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comments11.xml" ContentType="application/vnd.openxmlformats-officedocument.spreadsheetml.comments+xml"/>
  <Override PartName="/xl/comments7.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vmlDrawing4.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drawings/vmlDrawing8.vml" ContentType="application/vnd.openxmlformats-officedocument.vmlDrawing"/>
  <Override PartName="/xl/comments13.xml" ContentType="application/vnd.openxmlformats-officedocument.spreadsheetml.comments+xml"/>
  <Override PartName="/xl/comments3.xml" ContentType="application/vnd.openxmlformats-officedocument.spreadsheetml.comments+xml"/>
  <Override PartName="/xl/styles.xml" ContentType="application/vnd.openxmlformats-officedocument.spreadsheetml.styles+xml"/>
  <Override PartName="/xl/worksheets/_rels/sheet3.xml.rels" ContentType="application/vnd.openxmlformats-package.relationships+xml"/>
  <Override PartName="/xl/worksheets/_rels/sheet4.xml.rels" ContentType="application/vnd.openxmlformats-package.relationships+xml"/>
  <Override PartName="/xl/worksheets/_rels/sheet10.xml.rels" ContentType="application/vnd.openxmlformats-package.relationships+xml"/>
  <Override PartName="/xl/worksheets/_rels/sheet7.xml.rels" ContentType="application/vnd.openxmlformats-package.relationships+xml"/>
  <Override PartName="/xl/worksheets/_rels/sheet13.xml.rels" ContentType="application/vnd.openxmlformats-package.relationships+xml"/>
  <Override PartName="/xl/worksheets/_rels/sheet8.xml.rels" ContentType="application/vnd.openxmlformats-package.relationships+xml"/>
  <Override PartName="/xl/worksheets/_rels/sheet9.xml.rels" ContentType="application/vnd.openxmlformats-package.relationships+xml"/>
  <Override PartName="/xl/worksheets/_rels/sheet11.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comments9.xml" ContentType="application/vnd.openxmlformats-officedocument.spreadsheetml.comments+xml"/>
  <Override PartName="/xl/sharedStrings.xml" ContentType="application/vnd.openxmlformats-officedocument.spreadsheetml.sharedStrings+xml"/>
  <Override PartName="/xl/workbook.xml" ContentType="application/vnd.openxmlformats-officedocument.spreadsheetml.sheet.main+xml"/>
  <Override PartName="/xl/comments10.xml" ContentType="application/vnd.openxmlformats-officedocument.spreadsheetml.comments+xml"/>
  <Override PartName="/xl/comments4.xml" ContentType="application/vnd.openxmlformats-officedocument.spreadsheetml.comments+xml"/>
  <Override PartName="/xl/theme/theme1.xml" ContentType="application/vnd.openxmlformats-officedocument.theme+xml"/>
  <Override PartName="/xl/comments8.xml" ContentType="application/vnd.openxmlformats-officedocument.spreadsheetml.comment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600" firstSheet="0" activeTab="0"/>
  </bookViews>
  <sheets>
    <sheet name="Start" sheetId="1" state="visible" r:id="rId3"/>
    <sheet name="Scorecard" sheetId="2" state="visible" r:id="rId4"/>
    <sheet name="Office_Log" sheetId="3" state="visible" r:id="rId5"/>
    <sheet name="Brand_Log" sheetId="4" state="visible" r:id="rId6"/>
    <sheet name="Note_Office" sheetId="5" state="visible" r:id="rId7"/>
    <sheet name="Note_Brand" sheetId="6" state="visible" r:id="rId8"/>
    <sheet name="signed_offices" sheetId="7" state="visible" r:id="rId9"/>
    <sheet name="paid_brands" sheetId="8" state="visible" r:id="rId10"/>
    <sheet name="later_events" sheetId="9" state="visible" r:id="rId11"/>
    <sheet name="Clay_Offices" sheetId="10" state="visible" r:id="rId12"/>
    <sheet name="Clay_Brands" sheetId="11" state="visible" r:id="rId13"/>
    <sheet name="Sync" sheetId="12" state="visible" r:id="rId14"/>
    <sheet name="pipeline_log" sheetId="13" state="visible" r:id="rId15"/>
    <sheet name="Pipeline_Sort" sheetId="14" state="visible" r:id="rId16"/>
    <sheet name="Pipeline_Calc" sheetId="15" state="visible" r:id="rId17"/>
    <sheet name="Config" sheetId="16" state="visible" r:id="rId18"/>
    <sheet name="Lists" sheetId="17" state="visible" r:id="rId19"/>
    <sheet name="Dictionary" sheetId="18" state="visible" r:id="rId20"/>
    <sheet name="Clay_Columns" sheetId="19" state="visible" r:id="rId21"/>
  </sheets>
  <definedNames>
    <definedName function="false" hidden="false" localSheetId="1" name="_xlnm.Print_Titles" vbProcedure="false">Scorecard!$1:$2</definedName>
  </definedNames>
  <calcPr iterateCount="100" refMode="A1" iterate="false" iterateDelta="0.0001"/>
  <extLst>
    <ext xmlns:loext="http://schemas.libreoffice.org/" uri="{7626C862-2A13-11E5-B345-FEFF819CDC9F}">
      <loext:extCalcPr stringRefSyntax="ExcelA1"/>
    </ext>
  </extLst>
</workbook>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Clay row_id of this contact. Required. One row per conversation; a second call with the same office is a second row with the same row_id.
Maps to: CONTRACTS 6.2 row_id (join key)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1" authorId="0">
      <text>
        <r>
          <rPr>
            <sz val="10"/>
            <rFont val="Arial"/>
            <family val="2"/>
          </rPr>
          <t xml:space="preserve">Company name as in Clay. Two contacts at one company: type the company the same way on both rows, and the office counts once.
Maps to: plan: Contact, title, company,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1" authorId="0">
      <text>
        <r>
          <rPr>
            <sz val="10"/>
            <rFont val="Arial"/>
            <family val="2"/>
          </rPr>
          <t xml:space="preserve">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
Maps to: review round 3: one organisation, counted once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6</xdr:row>
                <xdr:rowOff>18</xdr:rowOff>
              </xdr:to>
            </anchor>
          </commentPr>
        </mc:Choice>
        <mc:Fallback/>
      </mc:AlternateContent>
    </comment>
    <comment ref="D1" authorId="0">
      <text>
        <r>
          <rPr>
            <sz val="10"/>
            <rFont val="Arial"/>
            <family val="2"/>
          </rPr>
          <t xml:space="preserve">First and last name of the person you spoke to (business contact only).
Maps to: plan: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1" authorId="0">
      <text>
        <r>
          <rPr>
            <sz val="10"/>
            <rFont val="Arial"/>
            <family val="2"/>
          </rPr>
          <t xml:space="preserve">Their title.
Maps to: plan: title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F1" authorId="0">
      <text>
        <r>
          <rPr>
            <sz val="10"/>
            <rFont val="Arial"/>
            <family val="2"/>
          </rPr>
          <t xml:space="preserve">Where the contact came from: the Clay table, warm network, walk-in, or 'referral from &lt;row_id&gt;'.
Maps to: plan: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G1" authorId="0">
      <text>
        <r>
          <rPr>
            <sz val="10"/>
            <rFont val="Arial"/>
            <family val="2"/>
          </rPr>
          <t xml:space="preserve">How the conversation came about: email, linkedin, warm-intro, walk-in.
Maps to: CONTRACTS 6.2 channel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H1" authorId="0">
      <text>
        <r>
          <rPr>
            <sz val="10"/>
            <rFont val="Arial"/>
            <family val="2"/>
          </rPr>
          <t xml:space="preserve">Date of the conversation (YYYY-MM-DD). Required; the Friday scorecard counts by this date.
Maps to: CONTRACTS 6.2 call_date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I1" authorId="0">
      <text>
        <r>
          <rPr>
            <sz val="10"/>
            <rFont val="Arial"/>
            <family val="2"/>
          </rPr>
          <t xml:space="preserve">phone, video, in-person or walk-in.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J1" authorId="0">
      <text>
        <r>
          <rPr>
            <sz val="10"/>
            <rFont val="Arial"/>
            <family val="2"/>
          </rPr>
          <t xml:space="preserve">Q1. How the pantry works today: who chooses, who delivers, how often. Their words.
Maps to: office guide Q1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K1" authorId="0">
      <text>
        <r>
          <rPr>
            <sz val="10"/>
            <rFont val="Arial"/>
            <family val="2"/>
          </rPr>
          <t xml:space="preserve">Q1. Who supplies the pantry now, if they said.
Maps to: office guide Q1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L1" authorId="0">
      <text>
        <r>
          <rPr>
            <sz val="10"/>
            <rFont val="Arial"/>
            <family val="2"/>
          </rPr>
          <t xml:space="preserve">Q1. Y if a snack delivery service or vendor stocks the pantry (not a grocery order or a store run).
Maps to: messages/12 [N USE A SERVICE]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M1" authorId="0">
      <text>
        <r>
          <rPr>
            <sz val="10"/>
            <rFont val="Arial"/>
            <family val="2"/>
          </rPr>
          <t xml:space="preserve">Q1. Monthly pantry spend in USD if they named one. Number only; a range: its low end. Blank if not said.
Maps to: plan: Monthly pantry spend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N1" authorId="0">
      <text>
        <r>
          <rPr>
            <sz val="10"/>
            <rFont val="Arial"/>
            <family val="2"/>
          </rPr>
          <t xml:space="preserve">Q1. Their words about cost.
Maps to: plan: Monthly pantry spend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O1" authorId="0">
      <text>
        <r>
          <rPr>
            <sz val="10"/>
            <rFont val="Arial"/>
            <family val="2"/>
          </rPr>
          <t xml:space="preserve">Q2. People actually in on a Tuesday. A range: its low end, with the range in headcount_verbatim.
Maps to: plan: Peak-day headcount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P1" authorId="0">
      <text>
        <r>
          <rPr>
            <sz val="10"/>
            <rFont val="Arial"/>
            <family val="2"/>
          </rPr>
          <t xml:space="preserve">Q2. Their words.
Maps to: plan: Peak-day headcount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Q1" authorId="0">
      <text>
        <r>
          <rPr>
            <sz val="10"/>
            <rFont val="Arial"/>
            <family val="2"/>
          </rPr>
          <t xml:space="preserve">Q3. Y if brands do reach out offering free product.
Maps to: office guide Q3; messages/12 [N GET BRAND OFFERS]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R1" authorId="0">
      <text>
        <r>
          <rPr>
            <sz val="10"/>
            <rFont val="Arial"/>
            <family val="2"/>
          </rPr>
          <t xml:space="preserve">Q3. Do brands offer free product, and what happens when they do.
Maps to: office guide Q3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S1" authorId="0">
      <text>
        <r>
          <rPr>
            <sz val="10"/>
            <rFont val="Arial"/>
            <family val="2"/>
          </rPr>
          <t xml:space="preserve">Q4. What they would need to say yes.
Maps to: office guide Q4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T1" authorId="0">
      <text>
        <r>
          <rPr>
            <sz val="10"/>
            <rFont val="Arial"/>
            <family val="2"/>
          </rPr>
          <t xml:space="preserve">Q4. What would make them say no.
Maps to: office guide Q4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U1" authorId="0">
      <text>
        <r>
          <rPr>
            <sz val="10"/>
            <rFont val="Arial"/>
            <family val="2"/>
          </rPr>
          <t xml:space="preserve">Q5. Would they photograph it on the shelf and post a three-question survey link? Y, N or maybe.
Maps to: office guide Q5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V1" authorId="0">
      <text>
        <r>
          <rPr>
            <sz val="10"/>
            <rFont val="Arial"/>
            <family val="2"/>
          </rPr>
          <t xml:space="preserve">Q5. Their words.
Maps to: office guide Q5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W1" authorId="0">
      <text>
        <r>
          <rPr>
            <sz val="10"/>
            <rFont val="Arial"/>
            <family val="2"/>
          </rPr>
          <t xml:space="preserve">Q6. Did you ask the budget probe word for word? Y or N.
Maps to: plan: The budget probe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X1" authorId="0">
      <text>
        <r>
          <rPr>
            <sz val="10"/>
            <rFont val="Arial"/>
            <family val="2"/>
          </rPr>
          <t xml:space="preserve">Q6. The answer, word for word.
Maps to: plan: Budget probe answer, verbatim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Y1" authorId="0">
      <text>
        <r>
          <rPr>
            <sz val="10"/>
            <rFont val="Arial"/>
            <family val="2"/>
          </rPr>
          <t xml:space="preserve">Q6 as a number, USD per month. A range: its low end. 'No budget' or 'zero': 0. No number or 'don't know': blank.
Maps to: pipeline_log value_number (budget_probe)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Z1" authorId="0">
      <text>
        <r>
          <rPr>
            <sz val="10"/>
            <rFont val="Arial"/>
            <family val="2"/>
          </rPr>
          <t xml:space="preserve">Q6 high end, USD per month. Same as low for a single number. Blank if none.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A1" authorId="0">
      <text>
        <r>
          <rPr>
            <sz val="10"/>
            <rFont val="Arial"/>
            <family val="2"/>
          </rPr>
          <t xml:space="preserve">Q7. How many nearby pantry owners they named or introduced.
Maps to: plan: Referrals given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B1" authorId="0">
      <text>
        <r>
          <rPr>
            <sz val="10"/>
            <rFont val="Arial"/>
            <family val="2"/>
          </rPr>
          <t xml:space="preserve">Q7. Who: company and title, semicolons. Each becomes a new Clay row with referral_from = this row_id.
Maps to: plan: Referrals given; Clay referral_from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C1" authorId="0">
      <text>
        <r>
          <rPr>
            <sz val="10"/>
            <rFont val="Arial"/>
            <family val="2"/>
          </rPr>
          <t xml:space="preserve">Did they name the pantry owner (the person who receives a drop and can say yes)? Y or N.
Maps to: plan: Pantry owner named; Gate 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D1" authorId="0">
      <text>
        <r>
          <rPr>
            <sz val="10"/>
            <rFont val="Arial"/>
            <family val="2"/>
          </rPr>
          <t xml:space="preserve">The pantry owner's name (business contact).
Maps to: office_intake pantry_owner_name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E1" authorId="0">
      <text>
        <r>
          <rPr>
            <sz val="10"/>
            <rFont val="Arial"/>
            <family val="2"/>
          </rPr>
          <t xml:space="preserve">The pantry owner's title.
Maps to: office_intake pantry_owner_title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F1" authorId="0">
      <text>
        <r>
          <rPr>
            <sz val="10"/>
            <rFont val="Arial"/>
            <family val="2"/>
          </rPr>
          <t xml:space="preserve">Can the owner say yes alone? 'I need to ask facilities or HR' is N.
Maps to: plan Phase 1 targeting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G1" authorId="0">
      <text>
        <r>
          <rPr>
            <sz val="10"/>
            <rFont val="Arial"/>
            <family val="2"/>
          </rPr>
          <t xml:space="preserve">If someone else must agree, who: facilities, hr, ceo-or-assistant, landlord-or-building, finance, other.
Maps to: messages/12 [WHO ELSE DECIDES]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H1" authorId="0">
      <text>
        <r>
          <rPr>
            <sz val="10"/>
            <rFont val="Arial"/>
            <family val="2"/>
          </rPr>
          <t xml:space="preserve">When a delivery can be received, in their words (e.g. Tue-Wed 9-11am). Blank if not named.
Maps to: plan: receiving window; Gate 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I1" authorId="0">
      <text>
        <r>
          <rPr>
            <sz val="10"/>
            <rFont val="Arial"/>
            <family val="2"/>
          </rPr>
          <t xml:space="preserve">walk-up, front desk, security desk, loading dock, other, unknown.
Maps to: plan: security; office_intake receiving_type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J1" authorId="0">
      <text>
        <r>
          <rPr>
            <sz val="10"/>
            <rFont val="Arial"/>
            <family val="2"/>
          </rPr>
          <t xml:space="preserve">Does the building require a certificate of insurance for deliveries? yes, no, unsure.
Maps to: office_intake coi_required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K1" authorId="0">
      <text>
        <r>
          <rPr>
            <sz val="10"/>
            <rFont val="Arial"/>
            <family val="2"/>
          </rPr>
          <t xml:space="preserve">Lobby, security or freight rules.
Maps to: plan: security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L1" authorId="0">
      <text>
        <r>
          <rPr>
            <sz val="10"/>
            <rFont val="Arial"/>
            <family val="2"/>
          </rPr>
          <t xml:space="preserve">Categories they would refuse, as category keys separated by semicolons (Lists tab).
Maps to: plan: Veto categories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M1" authorId="0">
      <text>
        <r>
          <rPr>
            <sz val="10"/>
            <rFont val="Arial"/>
            <family val="2"/>
          </rPr>
          <t xml:space="preserve">Their words about what they never want.
Maps to: plan: Veto categories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N1" authorId="0">
      <text>
        <r>
          <rPr>
            <sz val="10"/>
            <rFont val="Arial"/>
            <family val="2"/>
          </rPr>
          <t xml:space="preserve">Main objection, as a code (Lists tab). Blank if none.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O1" authorId="0">
      <text>
        <r>
          <rPr>
            <sz val="10"/>
            <rFont val="Arial"/>
            <family val="2"/>
          </rPr>
          <t xml:space="preserve">Second objection code.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P1" authorId="0">
      <text>
        <r>
          <rPr>
            <sz val="10"/>
            <rFont val="Arial"/>
            <family val="2"/>
          </rPr>
          <t xml:space="preserve">Third objection code.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Q1" authorId="0">
      <text>
        <r>
          <rPr>
            <sz val="10"/>
            <rFont val="Arial"/>
            <family val="2"/>
          </rPr>
          <t xml:space="preserve">Every objection in their words.
Maps to: plan: Objections, verbatim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R1" authorId="0">
      <text>
        <r>
          <rPr>
            <sz val="10"/>
            <rFont val="Arial"/>
            <family val="2"/>
          </rPr>
          <t xml:space="preserve">Y: would take a first drop in principle. maybe: interested but someone else must agree. N: no.
Maps to: plan: Yes in principle; Gate 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S1" authorId="0">
      <text>
        <r>
          <rPr>
            <sz val="10"/>
            <rFont val="Arial"/>
            <family val="2"/>
          </rPr>
          <t xml:space="preserve">Plan's yes signals seen: named_window_unprompted; asked_when; introduced_colleague.
Maps to: plan: A yes looks like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T1" authorId="0">
      <text>
        <r>
          <rPr>
            <sz val="10"/>
            <rFont val="Arial"/>
            <family val="2"/>
          </rPr>
          <t xml:space="preserve">Y if this office is on your Gate 0 shortlist of offices to pursue (plan: 8). Set on any of its rows.
Maps to: plan Phase 0 deliverables: shortlist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U1" authorId="0">
      <text>
        <r>
          <rPr>
            <sz val="10"/>
            <rFont val="Arial"/>
            <family val="2"/>
          </rPr>
          <t xml:space="preserve">Y only if they said yes to you quoting their words without their name (for example in a Startup CPG post). Blank or N: never quoted.
Maps to: messages/12 [QUOTE]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V1" authorId="0">
      <text>
        <r>
          <rPr>
            <sz val="10"/>
            <rFont val="Arial"/>
            <family val="2"/>
          </rPr>
          <t xml:space="preserve">Minutes from hanging up to finishing this row and the Clay write-back. Target 10 or less.
Maps to: ten-minute rule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W1" authorId="0">
      <text>
        <r>
          <rPr>
            <sz val="10"/>
            <rFont val="Arial"/>
            <family val="2"/>
          </rPr>
          <t xml:space="preserve">Y once call_date, status, yes_in_principle, call_notes, next_action and next_action_date are written to the Clay row.
Maps to: sync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X1" authorId="0">
      <text>
        <r>
          <rPr>
            <sz val="10"/>
            <rFont val="Arial"/>
            <family val="2"/>
          </rPr>
          <t xml:space="preserve">Anything else.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Y1" authorId="0">
      <text>
        <r>
          <rPr>
            <sz val="10"/>
            <rFont val="Arial"/>
            <family val="2"/>
          </rPr>
          <t xml:space="preserve">Calculated. What disagrees with the latest Clay paste. Fix it in Clay (or fix this row), then re-paste on Friday. Blank = in sync.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Z1" authorId="0">
      <text>
        <r>
          <rPr>
            <sz val="10"/>
            <rFont val="Arial"/>
            <family val="2"/>
          </rPr>
          <t xml:space="preserve">Calculated. The organisation this row is counted under (review round 3): org_key if typed, else the Clay company_group when it links several rows (grp-...), else the company name in lower case. Every Gate 0 count, median and pipeline org_id is one per calc_org, so two contacts at one company count once.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Clay row_id of this contact. Required. One row per conversation; a second call is a second row with the same row_id.
Maps to: CONTRACTS 6.2 row_id (join key)</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1" authorId="0">
      <text>
        <r>
          <rPr>
            <sz val="10"/>
            <rFont val="Arial"/>
            <family val="2"/>
          </rPr>
          <t xml:space="preserve">Brand name as in Clay. Two founders of one brand: type the brand the same way on both rows, and the brand counts once.
Maps to: plan: Contact, title, company,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1" authorId="0">
      <text>
        <r>
          <rPr>
            <sz val="10"/>
            <rFont val="Arial"/>
            <family val="2"/>
          </rPr>
          <t xml:space="preserve">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
Maps to: review round 3: one organisation, counted once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6</xdr:row>
                <xdr:rowOff>18</xdr:rowOff>
              </xdr:to>
            </anchor>
          </commentPr>
        </mc:Choice>
        <mc:Fallback/>
      </mc:AlternateContent>
    </comment>
    <comment ref="D1" authorId="0">
      <text>
        <r>
          <rPr>
            <sz val="10"/>
            <rFont val="Arial"/>
            <family val="2"/>
          </rPr>
          <t xml:space="preserve">First and last name of the person you spoke to.
Maps to: plan: Contact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E1" authorId="0">
      <text>
        <r>
          <rPr>
            <sz val="10"/>
            <rFont val="Arial"/>
            <family val="2"/>
          </rPr>
          <t xml:space="preserve">Their title.
Maps to: plan: title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F1" authorId="0">
      <text>
        <r>
          <rPr>
            <sz val="10"/>
            <rFont val="Arial"/>
            <family val="2"/>
          </rPr>
          <t xml:space="preserve">Where the contact came from: Clay table, Startup CPG event, shelf photo, warm network, referral.
Maps to: plan: source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G1" authorId="0">
      <text>
        <r>
          <rPr>
            <sz val="10"/>
            <rFont val="Arial"/>
            <family val="2"/>
          </rPr>
          <t xml:space="preserve">How the conversation came about.
Maps to: CONTRACTS 6.2 channel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H1" authorId="0">
      <text>
        <r>
          <rPr>
            <sz val="10"/>
            <rFont val="Arial"/>
            <family val="2"/>
          </rPr>
          <t xml:space="preserve">Date of the conversation (YYYY-MM-DD). Required.
Maps to: CONTRACTS 6.2 call_date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I1" authorId="0">
      <text>
        <r>
          <rPr>
            <sz val="10"/>
            <rFont val="Arial"/>
            <family val="2"/>
          </rPr>
          <t xml:space="preserve">phone, video, in-person or walk-in.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J1" authorId="0">
      <text>
        <r>
          <rPr>
            <sz val="10"/>
            <rFont val="Arial"/>
            <family val="2"/>
          </rPr>
          <t xml:space="preserve">Q1. How they get people to try the product now; what works and what doesn't.
Maps to: brand guide Q1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K1" authorId="0">
      <text>
        <r>
          <rPr>
            <sz val="10"/>
            <rFont val="Arial"/>
            <family val="2"/>
          </rPr>
          <t xml:space="preserve">Q2. Sampling or field-marketing spend per quarter, USD. A range: low end. Blank if not said.
Maps to: plan: Quarterly sampling budget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L1" authorId="0">
      <text>
        <r>
          <rPr>
            <sz val="10"/>
            <rFont val="Arial"/>
            <family val="2"/>
          </rPr>
          <t xml:space="preserve">Q2. High end of the range. Same as low for one number.
Maps to: plan: Quarterly sampling budget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M1" authorId="0">
      <text>
        <r>
          <rPr>
            <sz val="10"/>
            <rFont val="Arial"/>
            <family val="2"/>
          </rPr>
          <t xml:space="preserve">Q2. Their words about budget.
Maps to: plan: Quarterly sampling budget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N1" authorId="0">
      <text>
        <r>
          <rPr>
            <sz val="10"/>
            <rFont val="Arial"/>
            <family val="2"/>
          </rPr>
          <t xml:space="preserve">Q2. Who signs off, in their words (business title).
Maps to: plan: who approves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O1" authorId="0">
      <text>
        <r>
          <rPr>
            <sz val="10"/>
            <rFont val="Arial"/>
            <family val="2"/>
          </rPr>
          <t xml:space="preserve">Does the person on this call control the budget? Y or N. Gate 0 counts a brand only if Y.
Maps to: plan Gate 0; pipeline controls_budget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P1" authorId="0">
      <text>
        <r>
          <rPr>
            <sz val="10"/>
            <rFont val="Arial"/>
            <family val="2"/>
          </rPr>
          <t xml:space="preserve">Q3. Have they ever seeded offices? Y or N.
Maps to: brand guide Q3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Q1" authorId="0">
      <text>
        <r>
          <rPr>
            <sz val="10"/>
            <rFont val="Arial"/>
            <family val="2"/>
          </rPr>
          <t xml:space="preserve">Q3. What happened.
Maps to: brand guide Q3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R1" authorId="0">
      <text>
        <r>
          <rPr>
            <sz val="10"/>
            <rFont val="Arial"/>
            <family val="2"/>
          </rPr>
          <t xml:space="preserve">Q4. The number they named BEFORE you said $1,500, as USD for the 10-office, 500-unit campaign. 'Nothing': 0. No number: blank.
Maps to: plan: Willingness to pay before $1,500; pipeline budget_probe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S1" authorId="0">
      <text>
        <r>
          <rPr>
            <sz val="10"/>
            <rFont val="Arial"/>
            <family val="2"/>
          </rPr>
          <t xml:space="preserve">Q4. Their words, before you said $1,500.
Maps to: plan: Willingness to pay, verbatim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T1" authorId="0">
      <text>
        <r>
          <rPr>
            <sz val="10"/>
            <rFont val="Arial"/>
            <family val="2"/>
          </rPr>
          <t xml:space="preserve">If they gave a per-unit or per-store figure, how you turned it into a campaign number (e.g. $2 a unit x 500 = 1000).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U1" authorId="0">
      <text>
        <r>
          <rPr>
            <sz val="10"/>
            <rFont val="Arial"/>
            <family val="2"/>
          </rPr>
          <t xml:space="preserve">Did you then say the $1,500 standard price on this call? Y or N.
Maps to: plan: before and after hearing $1,500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V1" authorId="0">
      <text>
        <r>
          <rPr>
            <sz val="10"/>
            <rFont val="Arial"/>
            <family val="2"/>
          </rPr>
          <t xml:space="preserve">Q4. Their number AFTER hearing $1,500, USD per campaign. Blank if none.
Maps to: plan: Willingness to pay after $1,500; pipeline budget_probe (after_1500)</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W1" authorId="0">
      <text>
        <r>
          <rPr>
            <sz val="10"/>
            <rFont val="Arial"/>
            <family val="2"/>
          </rPr>
          <t xml:space="preserve">Q4. Their words after hearing $1,500.
Maps to: plan: Willingness to pay, verbatim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X1" authorId="0">
      <text>
        <r>
          <rPr>
            <sz val="10"/>
            <rFont val="Arial"/>
            <family val="2"/>
          </rPr>
          <t xml:space="preserve">Q5. What the report would need to show for them to do it again.
Maps to: brand guide Q5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Y1" authorId="0">
      <text>
        <r>
          <rPr>
            <sz val="10"/>
            <rFont val="Arial"/>
            <family val="2"/>
          </rPr>
          <t xml:space="preserve">Q6. Buy path near the cluster.
Maps to: plan: Buy path inside the cluster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Z1" authorId="0">
      <text>
        <r>
          <rPr>
            <sz val="10"/>
            <rFont val="Arial"/>
            <family val="2"/>
          </rPr>
          <t xml:space="preserve">Q6. Store name and street, or the site, in their words.
Maps to: plan: Buy path inside the cluster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A1" authorId="0">
      <text>
        <r>
          <rPr>
            <sz val="10"/>
            <rFont val="Arial"/>
            <family val="2"/>
          </rPr>
          <t xml:space="preserve">Q7. What would stop them: budget timing, inventory, shelf life, something else.
Maps to: brand guide Q7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B1" authorId="0">
      <text>
        <r>
          <rPr>
            <sz val="10"/>
            <rFont val="Arial"/>
            <family val="2"/>
          </rPr>
          <t xml:space="preserve">Qualifying call (weeks 4 to 7). Individually packaged, sealed, shelf-stable, 60+ days of shelf life at delivery? Y, N or unsure, in their words.
Maps to: plan Phase 2 checklist 1; brand_intake q1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C1" authorId="0">
      <text>
        <r>
          <rPr>
            <sz val="10"/>
            <rFont val="Arial"/>
            <family val="2"/>
          </rPr>
          <t xml:space="preserve">Label shows ingredients and the nine major allergens?
Maps to: checklist 2; brand_intake q2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D1" authorId="0">
      <text>
        <r>
          <rPr>
            <sz val="10"/>
            <rFont val="Arial"/>
            <family val="2"/>
          </rPr>
          <t xml:space="preserve">Stocked within ten blocks of the cluster, or online with a discount code? (Q6 above.)
Maps to: checklist 3; brand_intake q3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E1" authorId="0">
      <text>
        <r>
          <rPr>
            <sz val="10"/>
            <rFont val="Arial"/>
            <family val="2"/>
          </rPr>
          <t xml:space="preserve">Can ship 275 units (250 to place plus a 10% reserve) to one Manhattan address within ten business days?
Maps to: checklist 4; brand_intake q4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F1" authorId="0">
      <text>
        <r>
          <rPr>
            <sz val="10"/>
            <rFont val="Arial"/>
            <family val="2"/>
          </rPr>
          <t xml:space="preserve">Carries product liability insurance of at least $1,000,000 per occurrence and can add the company as additional insured until 12 months after the campaign? Less cover is N.
Maps to: checklist 5; brand_intake q5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G1" authorId="0">
      <text>
        <r>
          <rPr>
            <sz val="10"/>
            <rFont val="Arial"/>
            <family val="2"/>
          </rPr>
          <t xml:space="preserve">Can this person approve $600 without a committee?
Maps to: checklist 6; brand_intake q6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H1" authorId="0">
      <text>
        <r>
          <rPr>
            <sz val="10"/>
            <rFont val="Arial"/>
            <family val="2"/>
          </rPr>
          <t xml:space="preserve">Their reason to want New York trial now (new store, launch, local push), in their words. Blank if none.
Maps to: checklist 7; brand_intake q7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I1" authorId="0">
      <text>
        <r>
          <rPr>
            <sz val="10"/>
            <rFont val="Arial"/>
            <family val="2"/>
          </rPr>
          <t xml:space="preserve">Y = not alcohol, cannabis, CBD or THC, a supplement, refrigerated, needing preparation, or carrying a health claim (CONTRACTS 4).
Maps to: CONTRACTS section 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J1" authorId="0">
      <text>
        <r>
          <rPr>
            <sz val="10"/>
            <rFont val="Arial"/>
            <family val="2"/>
          </rPr>
          <t xml:space="preserve">Main objection, as a code (Lists tab).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K1" authorId="0">
      <text>
        <r>
          <rPr>
            <sz val="10"/>
            <rFont val="Arial"/>
            <family val="2"/>
          </rPr>
          <t xml:space="preserve">Second objection code.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L1" authorId="0">
      <text>
        <r>
          <rPr>
            <sz val="10"/>
            <rFont val="Arial"/>
            <family val="2"/>
          </rPr>
          <t xml:space="preserve">Third objection code.
Maps to: plan: Objections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M1" authorId="0">
      <text>
        <r>
          <rPr>
            <sz val="10"/>
            <rFont val="Arial"/>
            <family val="2"/>
          </rPr>
          <t xml:space="preserve">Every objection in their words.
Maps to: plan: Objections, verbatim</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N1" authorId="0">
      <text>
        <r>
          <rPr>
            <sz val="10"/>
            <rFont val="Arial"/>
            <family val="2"/>
          </rPr>
          <t xml:space="preserve">Y: would buy a campaign in principle at a price they named. maybe. N.
Maps to: plan: Yes in principle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O1" authorId="0">
      <text>
        <r>
          <rPr>
            <sz val="10"/>
            <rFont val="Arial"/>
            <family val="2"/>
          </rPr>
          <t xml:space="preserve">Y if this brand is on your Gate 0 shortlist of brands to pursue (plan: 6). Set on any of its rows.
Maps to: plan Phase 0 deliverables: shortlist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P1" authorId="0">
      <text>
        <r>
          <rPr>
            <sz val="10"/>
            <rFont val="Arial"/>
            <family val="2"/>
          </rPr>
          <t xml:space="preserve">How many other founders they named or introduced.
Maps to: plan: Referrals given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Q1" authorId="0">
      <text>
        <r>
          <rPr>
            <sz val="10"/>
            <rFont val="Arial"/>
            <family val="2"/>
          </rPr>
          <t xml:space="preserve">Who: brand and title, semicolons. Each becomes a new Clay row with referral_from = this row_id.
Maps to: plan: Referrals given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R1" authorId="0">
      <text>
        <r>
          <rPr>
            <sz val="10"/>
            <rFont val="Arial"/>
            <family val="2"/>
          </rPr>
          <t xml:space="preserve">Y only if they said yes to you quoting their words without their name (for example in a Startup CPG post). Blank or N: never quoted.
Maps to: messages/12 [QUOTE]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S1" authorId="0">
      <text>
        <r>
          <rPr>
            <sz val="10"/>
            <rFont val="Arial"/>
            <family val="2"/>
          </rPr>
          <t xml:space="preserve">Minutes from hanging up to finishing this row and the Clay write-back. Target 10 or less.
Maps to: ten-minute rule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T1" authorId="0">
      <text>
        <r>
          <rPr>
            <sz val="10"/>
            <rFont val="Arial"/>
            <family val="2"/>
          </rPr>
          <t xml:space="preserve">Y once call_date, status, yes_in_principle, call_notes, next_action and next_action_date are written to Clay.
Maps to: sync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U1" authorId="0">
      <text>
        <r>
          <rPr>
            <sz val="10"/>
            <rFont val="Arial"/>
            <family val="2"/>
          </rPr>
          <t xml:space="preserve">Anything else.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V1" authorId="0">
      <text>
        <r>
          <rPr>
            <sz val="10"/>
            <rFont val="Arial"/>
            <family val="2"/>
          </rPr>
          <t xml:space="preserve">Calculated. What disagrees with the latest Clay paste. Fix it in Clay (or fix this row), then re-paste on Friday. Blank = in sync.</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W1" authorId="0">
      <text>
        <r>
          <rPr>
            <sz val="10"/>
            <rFont val="Arial"/>
            <family val="2"/>
          </rPr>
          <t xml:space="preserve">Calculated. The organisation this row is counted under (review round 3): org_key if typed, else the Clay company_group when it links several rows (grp-...), else the company name in lower case. Every Gate 0 count, median and pipeline org_id is one per calc_org, so two contacts at one company count once.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A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B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Y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CZ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A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B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C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D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E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F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G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H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I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J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K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L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M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N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O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P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Q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R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S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T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U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V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W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 ref="DX1" authorId="0">
      <text>
        <r>
          <rPr>
            <sz val="10"/>
            <rFont val="Arial"/>
            <family val="2"/>
          </rPr>
          <t xml:space="preserve">Calculated. Do not type here.</t>
        </r>
      </text>
      <mc:AlternateContent>
        <mc:Choice Requires="v2">
          <commentPr autoFill="true" autoScale="false" colHidden="true" locked="false" rowHidden="false" textHAlign="justify" textVAlign="top">
            <anchor moveWithCells="false" sizeWithCells="false">
              <xdr:from>
                <xdr:col>0</xdr:col>
                <xdr:colOff>79</xdr:colOff>
                <xdr:row>0</xdr:row>
                <xdr:rowOff>2</xdr:rowOff>
              </xdr:from>
              <xdr:to>
                <xdr:col>3</xdr:col>
                <xdr:colOff>51</xdr:colOff>
                <xdr:row>4</xdr:row>
                <xdr:rowOff>6</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C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D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E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F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G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H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I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J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K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L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M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N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O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P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Q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R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S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T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U1" authorId="0">
      <text>
        <r>
          <rPr>
            <sz val="10"/>
            <rFont val="Arial"/>
            <family val="2"/>
          </rPr>
          <t xml:space="preserve">Copied from the office_intake row (CONTRACTS 6.3), same column order, so the row pastes in one go.
Maps to: CONTRACTS 6.3 office_intake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V1" authorId="0">
      <text>
        <r>
          <rPr>
            <sz val="10"/>
            <rFont val="Arial"/>
            <family val="2"/>
          </rPr>
          <t xml:space="preserve">O-### assigned at signing (CONTRACTS 6.4).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W1" authorId="0">
      <text>
        <r>
          <rPr>
            <sz val="10"/>
            <rFont val="Arial"/>
            <family val="2"/>
          </rPr>
          <t xml:space="preserve">The Clay row_id of the office contact. Must match the row_id used in Office_Log.
Maps to: CONTRACTS 6.4; pipeline org_id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X1" authorId="0">
      <text>
        <r>
          <rPr>
            <sz val="10"/>
            <rFont val="Arial"/>
            <family val="2"/>
          </rPr>
          <t xml:space="preserve">Date the participation agreement was signed by both sides.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Y1" authorId="0">
      <text>
        <r>
          <rPr>
            <sz val="10"/>
            <rFont val="Arial"/>
            <family val="2"/>
          </rPr>
          <t xml:space="preserve">File name of the signed PDF.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Z1" authorId="0">
      <text>
        <r>
          <rPr>
            <sz val="10"/>
            <rFont val="Arial"/>
            <family val="2"/>
          </rPr>
          <t xml:space="preserve">Y if the office ticked the box agreeing to be named on the founding roster (agreement section 6).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A1" authorId="0">
      <text>
        <r>
          <rPr>
            <sz val="10"/>
            <rFont val="Arial"/>
            <family val="2"/>
          </rPr>
          <t xml:space="preserve">Filled from Office_Log (first budget-probe answer for this clay_row_id). Overwrite only if there is no log row.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B1" authorId="0">
      <text>
        <r>
          <rPr>
            <sz val="10"/>
            <rFont val="Arial"/>
            <family val="2"/>
          </rPr>
          <t xml:space="preserve">Filled from Office_Log: the date of that answer.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C1" authorId="0">
      <text>
        <r>
          <rPr>
            <sz val="10"/>
            <rFont val="Arial"/>
            <family val="2"/>
          </rPr>
          <t xml:space="preserve">Filled from Office_Log: USD per month if they named a number (0 for 'no budget'), else blank.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D1" authorId="0">
      <text>
        <r>
          <rPr>
            <sz val="10"/>
            <rFont val="Arial"/>
            <family val="2"/>
          </rPr>
          <t xml:space="preserve">Version of the participation agreement signed (e.g. 0.8). Added at the legal pack's suggestion.
Maps to: addition (G)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E1" authorId="0">
      <text>
        <r>
          <rPr>
            <sz val="10"/>
            <rFont val="Arial"/>
            <family val="2"/>
          </rPr>
          <t xml:space="preserve">Y if the pantry owner can approve a brand alone.
Maps to: addition (plan Phase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F1" authorId="0">
      <text>
        <r>
          <rPr>
            <sz val="10"/>
            <rFont val="Arial"/>
            <family val="2"/>
          </rPr>
          <t xml:space="preserve">The office's industry, from Clay or cluster-1-flatiron/companies.csv (industry). Shown in brand proposals by industry, never by name.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G1" authorId="0">
      <text>
        <r>
          <rPr>
            <sz val="10"/>
            <rFont val="Arial"/>
            <family val="2"/>
          </rPr>
          <t xml:space="preserve">The pantry owner's business phone, from the agreement's top table.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H1" authorId="0">
      <text>
        <r>
          <rPr>
            <sz val="10"/>
            <rFont val="Arial"/>
            <family val="2"/>
          </rPr>
          <t xml:space="preserve">The pantry owner's business email, from the agreement's top table.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I1" authorId="0">
      <text>
        <r>
          <rPr>
            <sz val="10"/>
            <rFont val="Arial"/>
            <family val="2"/>
          </rPr>
          <t xml:space="preserve">Y only if the office ticked 'publicly' in section 6 of the agreement. Otherwise reports show it as a letter.
Maps to: addition (requested by operations; legal pack 03 section 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J1" authorId="0">
      <text>
        <r>
          <rPr>
            <sz val="10"/>
            <rFont val="Arial"/>
            <family val="2"/>
          </rPr>
          <t xml:space="preserve">B-B-### from cluster-1-flatiron (companies.csv building_id), if known.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List>
</comments>
</file>

<file path=xl/comments8.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C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D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E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F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G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H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I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J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K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L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M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N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O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P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Q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R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S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T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U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V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W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X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Y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Z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A1" authorId="0">
      <text>
        <r>
          <rPr>
            <sz val="10"/>
            <rFont val="Arial"/>
            <family val="2"/>
          </rPr>
          <t xml:space="preserve">Copied from the brand_intake row (CONTRACTS 6.3), same column order.
Maps to: CONTRACTS 6.3 brand_intake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B1" authorId="0">
      <text>
        <r>
          <rPr>
            <sz val="10"/>
            <rFont val="Arial"/>
            <family val="2"/>
          </rPr>
          <t xml:space="preserve">BR-### assigned at payment (CONTRACTS 6.4).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C1" authorId="0">
      <text>
        <r>
          <rPr>
            <sz val="10"/>
            <rFont val="Arial"/>
            <family val="2"/>
          </rPr>
          <t xml:space="preserve">The Clay row_id of the brand contact. Must match the row_id used in Brand_Log.
Maps to: CONTRACTS 6.4; pipeline org_id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D1" authorId="0">
      <text>
        <r>
          <rPr>
            <sz val="10"/>
            <rFont val="Arial"/>
            <family val="2"/>
          </rPr>
          <t xml:space="preserve">founding or standard.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E1" authorId="0">
      <text>
        <r>
          <rPr>
            <sz val="10"/>
            <rFont val="Arial"/>
            <family val="2"/>
          </rPr>
          <t xml:space="preserve">Campaign price in USD (600 founding, 1500 standard, plus 150 per extra office).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F1" authorId="0">
      <text>
        <r>
          <rPr>
            <sz val="10"/>
            <rFont val="Arial"/>
            <family val="2"/>
          </rPr>
          <t xml:space="preserve">Offices in the campaign (5 founding, 10 standard, more if extra offices).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G1" authorId="0">
      <text>
        <r>
          <rPr>
            <sz val="10"/>
            <rFont val="Arial"/>
            <family val="2"/>
          </rPr>
          <t xml:space="preserve">As in the signed agreement.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H1" authorId="0">
      <text>
        <r>
          <rPr>
            <sz val="10"/>
            <rFont val="Arial"/>
            <family val="2"/>
          </rPr>
          <t xml:space="preserve">Date the campaign agreement was signed by both sides.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I1" authorId="0">
      <text>
        <r>
          <rPr>
            <sz val="10"/>
            <rFont val="Arial"/>
            <family val="2"/>
          </rPr>
          <t xml:space="preserve">Invoice number.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J1" authorId="0">
      <text>
        <r>
          <rPr>
            <sz val="10"/>
            <rFont val="Arial"/>
            <family val="2"/>
          </rPr>
          <t xml:space="preserve">Invoice date.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K1" authorId="0">
      <text>
        <r>
          <rPr>
            <sz val="10"/>
            <rFont val="Arial"/>
            <family val="2"/>
          </rPr>
          <t xml:space="preserve">Date the payment that releases the ship date landed: founding = the full price; standard = the 50% deposit. Filled from payment_1_date.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L1" authorId="0">
      <text>
        <r>
          <rPr>
            <sz val="10"/>
            <rFont val="Arial"/>
            <family val="2"/>
          </rPr>
          <t xml:space="preserve">Date the product liability certificate arrived (checked per legal pack file 11).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M1" authorId="0">
      <text>
        <r>
          <rPr>
            <sz val="10"/>
            <rFont val="Arial"/>
            <family val="2"/>
          </rPr>
          <t xml:space="preserve">Date the ingredient and allergen sheet arrived.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N1" authorId="0">
      <text>
        <r>
          <rPr>
            <sz val="10"/>
            <rFont val="Arial"/>
            <family val="2"/>
          </rPr>
          <t xml:space="preserve">Date the logo files arrived.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O1" authorId="0">
      <text>
        <r>
          <rPr>
            <sz val="10"/>
            <rFont val="Arial"/>
            <family val="2"/>
          </rPr>
          <t xml:space="preserve">The brand's two sentences for the tent card, as sent (no health claims).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P1" authorId="0">
      <text>
        <r>
          <rPr>
            <sz val="10"/>
            <rFont val="Arial"/>
            <family val="2"/>
          </rPr>
          <t xml:space="preserve">The allergen statement copied word for word from the label.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Q1" authorId="0">
      <text>
        <r>
          <rPr>
            <sz val="10"/>
            <rFont val="Arial"/>
            <family val="2"/>
          </rPr>
          <t xml:space="preserve">'Find it at &lt;store, street&gt;' line for the card.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R1" authorId="0">
      <text>
        <r>
          <rPr>
            <sz val="10"/>
            <rFont val="Arial"/>
            <family val="2"/>
          </rPr>
          <t xml:space="preserve">The campaign discount code.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S1" authorId="0">
      <text>
        <r>
          <rPr>
            <sz val="10"/>
            <rFont val="Arial"/>
            <family val="2"/>
          </rPr>
          <t xml:space="preserve">Landing page for the QR, if the brand gave one.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T1" authorId="0">
      <text>
        <r>
          <rPr>
            <sz val="10"/>
            <rFont val="Arial"/>
            <family val="2"/>
          </rPr>
          <t xml:space="preserve">return or release, as elected in the agreement.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U1" authorId="0">
      <text>
        <r>
          <rPr>
            <sz val="10"/>
            <rFont val="Arial"/>
            <family val="2"/>
          </rPr>
          <t xml:space="preserve">office_ids that said yes to this brand, semicolons.
Maps to: CONTRACTS 6.4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V1" authorId="0">
      <text>
        <r>
          <rPr>
            <sz val="10"/>
            <rFont val="Arial"/>
            <family val="2"/>
          </rPr>
          <t xml:space="preserve">First payment received, USD (founding: 600; standard: the 50% deposit).
Maps to: addition: pipeline 'paid' rows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W1" authorId="0">
      <text>
        <r>
          <rPr>
            <sz val="10"/>
            <rFont val="Arial"/>
            <family val="2"/>
          </rPr>
          <t xml:space="preserve">Date the first payment landed in the bank.
Maps to: addition: pipeline 'paid' rows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X1" authorId="0">
      <text>
        <r>
          <rPr>
            <sz val="10"/>
            <rFont val="Arial"/>
            <family val="2"/>
          </rPr>
          <t xml:space="preserve">Second payment, USD (standard balance at placement confirmation). Blank for founding.
Maps to: addition: pipeline 'paid' rows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Y1" authorId="0">
      <text>
        <r>
          <rPr>
            <sz val="10"/>
            <rFont val="Arial"/>
            <family val="2"/>
          </rPr>
          <t xml:space="preserve">Date the second payment landed.
Maps to: addition: pipeline 'paid' rows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AZ1" authorId="0">
      <text>
        <r>
          <rPr>
            <sz val="10"/>
            <rFont val="Arial"/>
            <family val="2"/>
          </rPr>
          <t xml:space="preserve">Version of the campaign agreement signed.
Maps to: addition (G)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A1" authorId="0">
      <text>
        <r>
          <rPr>
            <sz val="10"/>
            <rFont val="Arial"/>
            <family val="2"/>
          </rPr>
          <t xml:space="preserve">End date of the brand's product liability policy, from the certificate.
Maps to: addition (G)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B1" authorId="0">
      <text>
        <r>
          <rPr>
            <sz val="10"/>
            <rFont val="Arial"/>
            <family val="2"/>
          </rPr>
          <t xml:space="preserve">Y if the brand chose the optional survey email box (agreement Part 1).
Maps to: addition (G)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C1" authorId="0">
      <text>
        <r>
          <rPr>
            <sz val="10"/>
            <rFont val="Arial"/>
            <family val="2"/>
          </rPr>
          <t xml:space="preserve">The brand's privacy policy URL (needed only if newsletter_option = Y).
Maps to: addition (G)</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D1" authorId="0">
      <text>
        <r>
          <rPr>
            <sz val="10"/>
            <rFont val="Arial"/>
            <family val="2"/>
          </rPr>
          <t xml:space="preserve">Where the allergen line comes from on the package.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E1" authorId="0">
      <text>
        <r>
          <rPr>
            <sz val="10"/>
            <rFont val="Arial"/>
            <family val="2"/>
          </rPr>
          <t xml:space="preserve">Any 'may contain' line, word for word.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F1" authorId="0">
      <text>
        <r>
          <rPr>
            <sz val="10"/>
            <rFont val="Arial"/>
            <family val="2"/>
          </rPr>
          <t xml:space="preserve">Two-flavor campaigns only: flavor 1 name.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G1" authorId="0">
      <text>
        <r>
          <rPr>
            <sz val="10"/>
            <rFont val="Arial"/>
            <family val="2"/>
          </rPr>
          <t xml:space="preserve">Two-flavor campaigns only: flavor 2 name.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H1" authorId="0">
      <text>
        <r>
          <rPr>
            <sz val="10"/>
            <rFont val="Arial"/>
            <family val="2"/>
          </rPr>
          <t xml:space="preserve">Two-flavor only: flavor 2 allergen source.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I1" authorId="0">
      <text>
        <r>
          <rPr>
            <sz val="10"/>
            <rFont val="Arial"/>
            <family val="2"/>
          </rPr>
          <t xml:space="preserve">Two-flavor only: flavor 2 allergen line.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J1" authorId="0">
      <text>
        <r>
          <rPr>
            <sz val="10"/>
            <rFont val="Arial"/>
            <family val="2"/>
          </rPr>
          <t xml:space="preserve">Two-flavor only: flavor 2 'may contain' line.
Maps to: addition (D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K1" authorId="0">
      <text>
        <r>
          <rPr>
            <sz val="10"/>
            <rFont val="Arial"/>
            <family val="2"/>
          </rPr>
          <t xml:space="preserve">Founder checked: sealed, individually packaged, shelf-stable, 60+ days of shelf life at the drop date.
Maps to: addition: qualification check 1</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L1" authorId="0">
      <text>
        <r>
          <rPr>
            <sz val="10"/>
            <rFont val="Arial"/>
            <family val="2"/>
          </rPr>
          <t xml:space="preserve">Founder checked the label: ingredients and the nine major allergens.
Maps to: addition: qualification check 2</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M1" authorId="0">
      <text>
        <r>
          <rPr>
            <sz val="10"/>
            <rFont val="Arial"/>
            <family val="2"/>
          </rPr>
          <t xml:space="preserve">Founder checked the buy path: a store within ten blocks (evidence grade store_selector, brand_claim or seen_on_shelf) or an online store with a code.
Maps to: addition: qualification check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N1" authorId="0">
      <text>
        <r>
          <rPr>
            <sz val="10"/>
            <rFont val="Arial"/>
            <family val="2"/>
          </rPr>
          <t xml:space="preserve">Brand confirmed in writing it can ship the units plus reserve to one Manhattan address within ten business days.
Maps to: addition: qualification check 4</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O1" authorId="0">
      <text>
        <r>
          <rPr>
            <sz val="10"/>
            <rFont val="Arial"/>
            <family val="2"/>
          </rPr>
          <t xml:space="preserve">Certificate received and checked (legal pack file 11).
Maps to: addition: qualification check 5</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P1" authorId="0">
      <text>
        <r>
          <rPr>
            <sz val="10"/>
            <rFont val="Arial"/>
            <family val="2"/>
          </rPr>
          <t xml:space="preserve">The signer approved the price alone.
Maps to: addition: qualification check 6</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Q1" authorId="0">
      <text>
        <r>
          <rPr>
            <sz val="10"/>
            <rFont val="Arial"/>
            <family val="2"/>
          </rPr>
          <t xml:space="preserve">A real reason for New York trial now (new store, launch, local push), noted in verified_notes.
Maps to: addition: qualification check 7</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R1" authorId="0">
      <text>
        <r>
          <rPr>
            <sz val="10"/>
            <rFont val="Arial"/>
            <family val="2"/>
          </rPr>
          <t xml:space="preserve">Not alcohol, cannabis, CBD or THC, supplement, refrigerated, needing preparation, or carrying a health claim (CONTRACTS 4).
Maps to: addition: excluded list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S1" authorId="0">
      <text>
        <r>
          <rPr>
            <sz val="10"/>
            <rFont val="Arial"/>
            <family val="2"/>
          </rPr>
          <t xml:space="preserve">Date the founder finished the checks.
Maps to: addition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T1" authorId="0">
      <text>
        <r>
          <rPr>
            <sz val="10"/>
            <rFont val="Arial"/>
            <family val="2"/>
          </rPr>
          <t xml:space="preserve">Evidence for the checks (best-by date seen, certificate details, store and street).
Maps to: addition</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U1" authorId="0">
      <text>
        <r>
          <rPr>
            <sz val="10"/>
            <rFont val="Arial"/>
            <family val="2"/>
          </rPr>
          <t xml:space="preserve">CMP-### of this brand's first campaign, from operations. Blank until operations assigns it.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V1" authorId="0">
      <text>
        <r>
          <rPr>
            <sz val="10"/>
            <rFont val="Arial"/>
            <family val="2"/>
          </rPr>
          <t xml:space="preserve">The brand's legal name from the signed agreement (Part 1). Printed on invoices.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W1" authorId="0">
      <text>
        <r>
          <rPr>
            <sz val="10"/>
            <rFont val="Arial"/>
            <family val="2"/>
          </rPr>
          <t xml:space="preserve">Business billing address from the agreement.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X1" authorId="0">
      <text>
        <r>
          <rPr>
            <sz val="10"/>
            <rFont val="Arial"/>
            <family val="2"/>
          </rPr>
          <t xml:space="preserve">Business email for invoices.
Maps to: addition (requested by operations)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 ref="BY1" authorId="0">
      <text>
        <r>
          <rPr>
            <sz val="10"/>
            <rFont val="Arial"/>
            <family val="2"/>
          </rPr>
          <t xml:space="preserve">Where the discount code works, short form without https:// (for example example.com).
Maps to: addition (requested by operations; tent card)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88</xdr:colOff>
                <xdr:row>4</xdr:row>
                <xdr:rowOff>6</xdr:rowOff>
              </xdr:to>
            </anchor>
          </commentPr>
        </mc:Choice>
        <mc:Fallback/>
      </mc:AlternateContent>
    </comment>
  </commentList>
</comments>
</file>

<file path=xl/comments9.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Date of the event.
Maps to: pipeline_log date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B1" authorId="0">
      <text>
        <r>
          <rPr>
            <sz val="10"/>
            <rFont val="Arial"/>
            <family val="2"/>
          </rPr>
          <t xml:space="preserve">office or brand.
Maps to: pipeline_log side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C1" authorId="0">
      <text>
        <r>
          <rPr>
            <sz val="10"/>
            <rFont val="Arial"/>
            <family val="2"/>
          </rPr>
          <t xml:space="preserve">Clay row_id of the organization (same as in the logs and handoff tabs).
Maps to: pipeline_log org_id</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D1" authorId="0">
      <text>
        <r>
          <rPr>
            <sz val="10"/>
            <rFont val="Arial"/>
            <family val="2"/>
          </rPr>
          <t xml:space="preserve">Company or brand name.
Maps to: pipeline_log org_name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E1" authorId="0">
      <text>
        <r>
          <rPr>
            <sz val="10"/>
            <rFont val="Arial"/>
            <family val="2"/>
          </rPr>
          <t xml:space="preserve">renewal_answer (a brand's answer at or after the debrief) or opt_out (a signed office or paid brand leaving the roster). Outreach unsubscribes are NOT logged here; they live in Clay only.
Maps to: pipeline_log event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F1" authorId="0">
      <text>
        <r>
          <rPr>
            <sz val="10"/>
            <rFont val="Arial"/>
            <family val="2"/>
          </rPr>
          <t xml:space="preserve">renewal_answer: USD committed if the answer is yes, else blank. opt_out: blank.
Maps to: pipeline_log value_number</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G1" authorId="0">
      <text>
        <r>
          <rPr>
            <sz val="10"/>
            <rFont val="Arial"/>
            <family val="2"/>
          </rPr>
          <t xml:space="preserve">renewal_answer: yes, maybe or no. opt_out: the reason in their words.
Maps to: pipeline_log value_text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 ref="H1" authorId="0">
      <text>
        <r>
          <rPr>
            <sz val="10"/>
            <rFont val="Arial"/>
            <family val="2"/>
          </rPr>
          <t xml:space="preserve">Anything else.
Maps to: pipeline_log notes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4</xdr:row>
                <xdr:rowOff>6</xdr:rowOff>
              </xdr:to>
            </anchor>
          </commentPr>
        </mc:Choice>
        <mc:Fallback/>
      </mc:AlternateContent>
    </comment>
  </commentList>
</comments>
</file>

<file path=xl/comments10.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 the whole Clay offices table export here every Friday: select A1, paste, header row included. Columns are found by their header names, so their order does not matter. Area A1:FZ601. Then type the export date on Config.</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3</xdr:col>
                <xdr:colOff>30</xdr:colOff>
                <xdr:row>9</xdr:row>
                <xdr:rowOff>9</xdr:rowOff>
              </xdr:to>
            </anchor>
          </commentPr>
        </mc:Choice>
        <mc:Fallback/>
      </mc:AlternateContent>
    </comment>
  </commentList>
</comments>
</file>

<file path=xl/comments1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Paste the whole Clay brands table export here every Friday: select A1, paste, header row included. Columns are found by their header names, so their order does not matter. Area A1:FZ601. Then type the export date on Config.</t>
        </r>
      </text>
      <mc:AlternateContent>
        <mc:Choice Requires="v2">
          <commentPr autoFill="true" autoScale="false" colHidden="false" locked="false" rowHidden="false" textHAlign="justify" textVAlign="top">
            <anchor moveWithCells="false" sizeWithCells="false">
              <xdr:from>
                <xdr:col>1</xdr:col>
                <xdr:colOff>15</xdr:colOff>
                <xdr:row>0</xdr:row>
                <xdr:rowOff>2</xdr:rowOff>
              </xdr:from>
              <xdr:to>
                <xdr:col>3</xdr:col>
                <xdr:colOff>30</xdr:colOff>
                <xdr:row>9</xdr:row>
                <xdr:rowOff>9</xdr:rowOff>
              </xdr:to>
            </anchor>
          </commentPr>
        </mc:Choice>
        <mc:Fallback/>
      </mc:AlternateContent>
    </comment>
  </commentList>
</comments>
</file>

<file path=xl/comments1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B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C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D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E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F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G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H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 ref="I1" authorId="0">
      <text>
        <r>
          <rPr>
            <sz val="10"/>
            <rFont val="Arial"/>
            <family val="2"/>
          </rPr>
          <t xml:space="preserve">Generated. Do not type here. File &gt; Download &gt; CSV (this tab only) and save as desk-drop-outreach/exports/pipeline_log.csv. Columns are exactly financial-model/HANDOFF.md section 3.</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3</xdr:col>
                <xdr:colOff>147</xdr:colOff>
                <xdr:row>5</xdr:row>
                <xdr:rowOff>4</xdr:rowOff>
              </xdr:to>
            </anchor>
          </commentPr>
        </mc:Choice>
        <mc:Fallback/>
      </mc:AlternateContent>
    </comment>
  </commentList>
</comments>
</file>

<file path=xl/sharedStrings.xml><?xml version="1.0" encoding="utf-8"?>
<sst xmlns="http://schemas.openxmlformats.org/spreadsheetml/2006/main" count="10274" uniqueCount="1740">
  <si>
    <t xml:space="preserve">SAMPLE COPY: every row in this file is SAMPLE data. Illustrative placeholders, not results. Use conversation-tracker.xlsx for real work.</t>
  </si>
  <si>
    <t xml:space="preserve">What this is: the conversation and notes log for discovery and selling, one row per conversation, keyed by the Clay row_id.</t>
  </si>
  <si>
    <t xml:space="preserve">It is not a status store. Status, touches, replies, next actions and do-not-contact live in the Clay tables only (CONTRACTS 6.2).</t>
  </si>
  <si>
    <t xml:space="preserve">After every call (ten minutes, calls/post-call-note-template.md)</t>
  </si>
  <si>
    <t xml:space="preserve">1. Fill Note_Office or Note_Brand top to bottom (verbatims first, then numbers and codes), copy its 'row to paste', and paste it into the next empty log row as values only (Ctrl+Shift+V). Or type straight into the log row.</t>
  </si>
  <si>
    <t xml:space="preserve">2. Write back to the Clay row: call_date, status (call_done or yes_in_principle), yes_in_principle, call_notes ('see tracker &lt;date&gt;'), next_action, next_action_date.</t>
  </si>
  <si>
    <t xml:space="preserve">3. Set clay_updated = Y and note_minutes.</t>
  </si>
  <si>
    <t xml:space="preserve">Every Friday (15 minutes)</t>
  </si>
  <si>
    <t xml:space="preserve">1. Export the Clay offices table (all columns) and paste it on Clay_Offices at A1. Same for brands on Clay_Brands. Type both export dates on Config.</t>
  </si>
  <si>
    <t xml:space="preserve">2. Open Scorecard. Fix every FIX under Data checks (the Sync tab and the red calc_sync_issue cells show where).</t>
  </si>
  <si>
    <t xml:space="preserve">3. Read the Gate 0 block, the medians, the top objections and the reply rates. If a reply-rate check says UNDER 20% (conversation replies) or an opt-out check says OPT-OUTS OVER 5%, run sending guide section 6.</t>
  </si>
  <si>
    <t xml:space="preserve">4. Download pipeline_log as CSV (File &gt; Download &gt; CSV, this tab only) to desk-drop-outreach/exports/pipeline_log.csv and paste it into the financial model's Pipeline tab.</t>
  </si>
  <si>
    <t xml:space="preserve">5. When an office signs or a brand pays: add the row on signed_offices or paid_brands, download that tab as CSV to desk-drop-outreach/handoff/.</t>
  </si>
  <si>
    <t xml:space="preserve">Tabs</t>
  </si>
  <si>
    <t xml:space="preserve">Scorecard: the Friday readout against Gate 0 and Gate 1.  Office_Log, Brand_Log: one row per conversation.  Note_Office, Note_Brand: a vertical form for one note, phone-friendly.  signed_offices, paid_brands: handoff rows for operations (CONTRACTS 6.4).</t>
  </si>
  <si>
    <t xml:space="preserve">later_events: renewal answers and roster exits.  Clay_Offices, Clay_Brands: the weekly Clay paste.  Sync: disagreements between Clay and this file.</t>
  </si>
  <si>
    <t xml:space="preserve">pipeline_log: generated export for the financial model (exactly its nine columns).  Pipeline_Sort, Pipeline_Calc: helpers, do not edit.</t>
  </si>
  <si>
    <t xml:space="preserve">Config: dates, targets, the company name.  Lists: dropdown values and objection codes.  Dictionary: every column.  Clay_Columns: the 13 columns to add in Clay.</t>
  </si>
  <si>
    <t xml:space="preserve">Rules</t>
  </si>
  <si>
    <t xml:space="preserve">Business contacts only. No employee names or details, ever. Verbatims are the speaker's own words; write 'paraphrase:' if you could not catch them exactly.</t>
  </si>
  <si>
    <t xml:space="preserve">One organisation counts once: every Gate 0 count reads calc_org (the grey column after calc_sync_issue on each log), so a colleague at the same company is a new Clay row and a new log row with the company written the same way.</t>
  </si>
  <si>
    <t xml:space="preserve">Grey columns are formulas. Hidden calc columns sit to the right of each log; unhide them only to debug.</t>
  </si>
  <si>
    <t xml:space="preserve">Dates as YYYY-MM-DD. Money as plain numbers. Rows whose row_id starts with SAMPLE are ignored while include_sample = N.</t>
  </si>
  <si>
    <t xml:space="preserve">Measure</t>
  </si>
  <si>
    <t xml:space="preserve">Fri wk 1</t>
  </si>
  <si>
    <t xml:space="preserve">Fri wk 2</t>
  </si>
  <si>
    <t xml:space="preserve">Gate 0</t>
  </si>
  <si>
    <t xml:space="preserve">As of</t>
  </si>
  <si>
    <t xml:space="preserve">Target</t>
  </si>
  <si>
    <t xml:space="preserve">How it is counted</t>
  </si>
  <si>
    <t xml:space="preserve">Cut-off date</t>
  </si>
  <si>
    <t xml:space="preserve">Offices (Gate 0: at least 5 of 15 say yes in principle AND name a pantry owner AND a receiving window)</t>
  </si>
  <si>
    <t xml:space="preserve">Office conversations held</t>
  </si>
  <si>
    <t xml:space="preserve">Distinct offices (calc_org on Office_Log) by the cut-off. Two contacts at one company count once.</t>
  </si>
  <si>
    <t xml:space="preserve">Yes in principle, pantry owner named, receiving window named</t>
  </si>
  <si>
    <t xml:space="preserve">The Gate 0 count: one per office (calc_org), while its latest answer (Y, N or maybe, from any contact) by the cut-off is still Y. Under 30 or over 250 on a Tuesday: not counted (row below).</t>
  </si>
  <si>
    <t xml:space="preserve">Gate 0, office side</t>
  </si>
  <si>
    <t xml:space="preserve">PASS at the target. Before Gate 0 a shortfall is 'not yet'. From Gate 0: FAIL once 15 conversations are held; with fewer, INCOMPLETE (no failure response yet) until the final read, Fri 2026-11-27 (Config gate0_final_read), when a shortfall is FAIL.</t>
  </si>
  <si>
    <t xml:space="preserve">Yes in principle, any (owner or window may be missing)</t>
  </si>
  <si>
    <t xml:space="preserve">Offices whose latest answer is Y. The gap to the row above is follow-up work: get the owner and the window.</t>
  </si>
  <si>
    <t xml:space="preserve">Withdrawn after a yes (latest answer N or maybe): not counted</t>
  </si>
  <si>
    <t xml:space="preserve">Offices that said Y and later said N or maybe, by the cut-off. Set their Clay status to no or not_now.</t>
  </si>
  <si>
    <t xml:space="preserve">Yes with owner and window, but under 30 or over 250 on a Tuesday: not counted</t>
  </si>
  <si>
    <t xml:space="preserve">Plan: under 30 or over 250 on a Tuesday is excluded (Config office_floor, office_ceiling). If the number is right, it is not a participating office.</t>
  </si>
  <si>
    <t xml:space="preserve">Of the counted yeses: 30 to 39 on a Tuesday (your call)</t>
  </si>
  <si>
    <t xml:space="preserve">Counted above. The plan's band is 40 to 250; 30 to 39 is the founder's call before signing.</t>
  </si>
  <si>
    <t xml:space="preserve">Conversations with people you already know (channel warm-intro)</t>
  </si>
  <si>
    <t xml:space="preserve">Plan Phase 0: five of the fifteen office conversations should come from your own network. Set channel = warm-intro for anyone you knew before.</t>
  </si>
  <si>
    <t xml:space="preserve">Said maybe at least once (someone else must agree)</t>
  </si>
  <si>
    <t xml:space="preserve">Plan Phase 1: 'I need to ask facilities and HR' is a maybe, not a yes.</t>
  </si>
  <si>
    <t xml:space="preserve">Median budget-probe answer, USD a month</t>
  </si>
  <si>
    <t xml:space="preserve">First numeric answer per office; a range counts at its low end; 'no budget' counts as 0; no number is left out.</t>
  </si>
  <si>
    <t xml:space="preserve">Offices that gave a number (0 included)</t>
  </si>
  <si>
    <t xml:space="preserve">The n behind the median.</t>
  </si>
  <si>
    <t xml:space="preserve">Of those, said no budget (0)</t>
  </si>
  <si>
    <t xml:space="preserve">Counted inside the median.</t>
  </si>
  <si>
    <t xml:space="preserve">Offices naming $100 a month or more (decision-rule input), as of</t>
  </si>
  <si>
    <t xml:space="preserve">Plan decision rule: office-paid tier is tested if at least five offices named $100 a month or more.</t>
  </si>
  <si>
    <t xml:space="preserve">Shortlisted offices (shortlist = Y)</t>
  </si>
  <si>
    <t xml:space="preserve">Plan Phase 0 deliverable: a shortlist of 8 offices to pursue.</t>
  </si>
  <si>
    <t xml:space="preserve">Median monthly pantry spend today, USD, as of</t>
  </si>
  <si>
    <t xml:space="preserve">First number per office, from Q1. Context for the budget probe.</t>
  </si>
  <si>
    <t xml:space="preserve">Brands (Gate 0: at least 3 of 15 say they would pay $500 or more AND the speaker controls the budget)</t>
  </si>
  <si>
    <t xml:space="preserve">Brand conversations held</t>
  </si>
  <si>
    <t xml:space="preserve">Distinct brands (calc_org on Brand_Log) by the cut-off. Two founders of one brand, or brands A grouped as one (company_group), count once.</t>
  </si>
  <si>
    <t xml:space="preserve">Would pay $500 or more and controls the budget</t>
  </si>
  <si>
    <t xml:space="preserve">The Gate 0 count, one per brand (calc_org): the higher of the two numbers is $500 or more and controls_budget = Y, while its latest answer by the cut-off, from any contact, still qualifies (a later controls_budget = N, or every number under $500, withdraws it).</t>
  </si>
  <si>
    <t xml:space="preserve">Gate 0, brand side</t>
  </si>
  <si>
    <t xml:space="preserve">Strict read: named $500 or more BEFORE hearing $1,500, and controls the budget</t>
  </si>
  <si>
    <t xml:space="preserve">Shown so an anchored answer is not mistaken for an unprompted one. Withdrawn answers are left out here too.</t>
  </si>
  <si>
    <t xml:space="preserve">Withdrawn after saying $500 or more (a later call: no budget control, or a lower number): not counted</t>
  </si>
  <si>
    <t xml:space="preserve">Brands that qualified and later withdrew, by the cut-off. The financial model still counts them until it adopts the same rule (HANDOFF 2.3).</t>
  </si>
  <si>
    <t xml:space="preserve">Said $500 or more but the speaker does not control the budget</t>
  </si>
  <si>
    <t xml:space="preserve">Not counted for Gate 0 from that conversation. Ask for a call with the budget owner.</t>
  </si>
  <si>
    <t xml:space="preserve">Median brand number before $1,500 was mentioned, USD per campaign</t>
  </si>
  <si>
    <t xml:space="preserve">First numeric before-answer per brand; 'nothing' counts as 0; no number is left out.</t>
  </si>
  <si>
    <t xml:space="preserve">Brands that named a number before $1,500</t>
  </si>
  <si>
    <t xml:space="preserve">Median brand number after hearing $1,500, USD per campaign</t>
  </si>
  <si>
    <t xml:space="preserve">First numeric after-answer per brand.</t>
  </si>
  <si>
    <t xml:space="preserve">Brands that answered after hearing $1,500</t>
  </si>
  <si>
    <t xml:space="preserve">Brands qualified on a call (all seven checks Y, not excluded)</t>
  </si>
  <si>
    <t xml:space="preserve">From the qualifying-call columns (qual_q1 to qual_q7, qual_not_excluded). The brand's word; the founder verifies at payment.</t>
  </si>
  <si>
    <t xml:space="preserve">Shortlisted brands (shortlist = Y)</t>
  </si>
  <si>
    <t xml:space="preserve">Plan Phase 0 deliverable: a shortlist of 6 brands to pursue.</t>
  </si>
  <si>
    <t xml:space="preserve">Median quarterly sampling budget, USD (low end), as of</t>
  </si>
  <si>
    <t xml:space="preserve">From Q2. Context: a $600 or $1,500 campaign against what they spend now.</t>
  </si>
  <si>
    <t xml:space="preserve">Gate 0 overall</t>
  </si>
  <si>
    <t xml:space="preserve">Objection counts used for the top three (as of). Ties go to the code listed first.</t>
  </si>
  <si>
    <t xml:space="preserve">Gate 0 result</t>
  </si>
  <si>
    <t xml:space="preserve">office code</t>
  </si>
  <si>
    <t xml:space="preserve">office label</t>
  </si>
  <si>
    <t xml:space="preserve">office mentions</t>
  </si>
  <si>
    <t xml:space="preserve">office score</t>
  </si>
  <si>
    <t xml:space="preserve">brand code</t>
  </si>
  <si>
    <t xml:space="preserve">brand label</t>
  </si>
  <si>
    <t xml:space="preserve">brand mentions</t>
  </si>
  <si>
    <t xml:space="preserve">brand score</t>
  </si>
  <si>
    <t xml:space="preserve">Sentence for the Gate 0 decision (as of)</t>
  </si>
  <si>
    <t xml:space="preserve">needs_approval</t>
  </si>
  <si>
    <t xml:space="preserve">I need to ask facilities, HR or someone else</t>
  </si>
  <si>
    <t xml:space="preserve">seed_ourselves</t>
  </si>
  <si>
    <t xml:space="preserve">We can seed offices ourselves for free</t>
  </si>
  <si>
    <t xml:space="preserve">If it fails (plan)</t>
  </si>
  <si>
    <t xml:space="preserve">Fewer than 3 brands: test the office-paid version for three more weeks. Fewer than 5 offices: change the cluster or the office size band, not the model.</t>
  </si>
  <si>
    <t xml:space="preserve">existing_vendor</t>
  </si>
  <si>
    <t xml:space="preserve">We already have a pantry vendor or contract</t>
  </si>
  <si>
    <t xml:space="preserve">price_per_sample</t>
  </si>
  <si>
    <t xml:space="preserve">$600 / the price is more than we pay per sample elsewhere</t>
  </si>
  <si>
    <t xml:space="preserve">If a side is INCOMPLETE (default, founder to confirm)</t>
  </si>
  <si>
    <t xml:space="preserve">Do not apply the failure response above to an INCOMPLETE side yet: the plan's test (5 of 15, 3 of 15) has not been run. Keep booking discovery calls on that side and read the As of column again on Fri 2026-11-20 (set Config as_of_date). The final read is Fri 2026-11-27 (Config gate0_final_read): from then a side still short reads FAIL and the response applies, the plan's 'stretch the weeks but keep the gates'. A side that passed goes ahead meanwhile.</t>
  </si>
  <si>
    <t xml:space="preserve">allergy_policy</t>
  </si>
  <si>
    <t xml:space="preserve">Allergy or food-safety worry</t>
  </si>
  <si>
    <t xml:space="preserve">free_trial</t>
  </si>
  <si>
    <t xml:space="preserve">Can we do a free trial first?</t>
  </si>
  <si>
    <t xml:space="preserve">healthy_policy</t>
  </si>
  <si>
    <t xml:space="preserve">We only stock healthy items (wellness policy)</t>
  </si>
  <si>
    <t xml:space="preserve">what_we_get</t>
  </si>
  <si>
    <t xml:space="preserve">What do we actually get out of it?</t>
  </si>
  <si>
    <t xml:space="preserve">Top three objections per side, as of (mentions across objection_1 to objection_3)</t>
  </si>
  <si>
    <t xml:space="preserve">building_receiving</t>
  </si>
  <si>
    <t xml:space="preserve">Building security, receiving or certificate rules</t>
  </si>
  <si>
    <t xml:space="preserve">budget_timing</t>
  </si>
  <si>
    <t xml:space="preserve">No budget now / budget timing</t>
  </si>
  <si>
    <t xml:space="preserve">Office</t>
  </si>
  <si>
    <t xml:space="preserve">Mentions</t>
  </si>
  <si>
    <t xml:space="preserve">First quote logged for that code</t>
  </si>
  <si>
    <t xml:space="preserve">low_attendance</t>
  </si>
  <si>
    <t xml:space="preserve">Not enough people in on a given day</t>
  </si>
  <si>
    <t xml:space="preserve">inventory</t>
  </si>
  <si>
    <t xml:space="preserve">Inventory or shipping the units</t>
  </si>
  <si>
    <t xml:space="preserve">Office side</t>
  </si>
  <si>
    <t xml:space="preserve">commitments_too_much</t>
  </si>
  <si>
    <t xml:space="preserve">Photos, survey or debrief are too much work</t>
  </si>
  <si>
    <t xml:space="preserve">shelf_life</t>
  </si>
  <si>
    <t xml:space="preserve">Shelf life</t>
  </si>
  <si>
    <t xml:space="preserve">survey_concern</t>
  </si>
  <si>
    <t xml:space="preserve">Survey or employee-data worry</t>
  </si>
  <si>
    <t xml:space="preserve">not_our_audience</t>
  </si>
  <si>
    <t xml:space="preserve">Office workers aren't our customer</t>
  </si>
  <si>
    <t xml:space="preserve">vendor_fatigue</t>
  </si>
  <si>
    <t xml:space="preserve">We don't want vendors or marketing in the office</t>
  </si>
  <si>
    <t xml:space="preserve">want_proof</t>
  </si>
  <si>
    <t xml:space="preserve">Show me results from other brands first</t>
  </si>
  <si>
    <t xml:space="preserve">space</t>
  </si>
  <si>
    <t xml:space="preserve">No shelf or counter space</t>
  </si>
  <si>
    <t xml:space="preserve">want_sales_data</t>
  </si>
  <si>
    <t xml:space="preserve">We need sales or lift data, not feedback</t>
  </si>
  <si>
    <t xml:space="preserve">Brand side</t>
  </si>
  <si>
    <t xml:space="preserve">supply_irregular</t>
  </si>
  <si>
    <t xml:space="preserve">Irregular, roughly monthly supply isn't useful</t>
  </si>
  <si>
    <t xml:space="preserve">no_buy_path</t>
  </si>
  <si>
    <t xml:space="preserve">No store near the cluster and no online code</t>
  </si>
  <si>
    <t xml:space="preserve">quality_unknown</t>
  </si>
  <si>
    <t xml:space="preserve">Don't know these brands; quality worry</t>
  </si>
  <si>
    <t xml:space="preserve">insurance</t>
  </si>
  <si>
    <t xml:space="preserve">No product liability certificate</t>
  </si>
  <si>
    <t xml:space="preserve">other</t>
  </si>
  <si>
    <t xml:space="preserve">Other (read the quotes)</t>
  </si>
  <si>
    <t xml:space="preserve">Pace and reply rate (from the Friday Clay paste)</t>
  </si>
  <si>
    <t xml:space="preserve">Office first touches sent</t>
  </si>
  <si>
    <t xml:space="preserve">Clay rows with touch_1_date on or before the cut-off.</t>
  </si>
  <si>
    <t xml:space="preserve">Office replies, all (any human reply, opt-outs included)</t>
  </si>
  <si>
    <t xml:space="preserve">Rows with last_reply_date on or before the cut-off; bounces and auto-replies excluded. Information only.</t>
  </si>
  <si>
    <t xml:space="preserve">Office reply rate, all replies (information only)</t>
  </si>
  <si>
    <t xml:space="preserve">All replies / first touches. Opt-outs and refusals count here, so this rate can look healthy while conversations fall short. It does not drive the check.</t>
  </si>
  <si>
    <t xml:space="preserve">Office conversation replies</t>
  </si>
  <si>
    <t xml:space="preserve">reply_type yes, maybe, needs_approval, send_info, referral, not_now or an objection (obj_*): a reply that can become a conversation. Not opt_out, no, wrong_person, bounce or out_of_office.</t>
  </si>
  <si>
    <t xml:space="preserve">Office conversation-reply rate</t>
  </si>
  <si>
    <t xml:space="preserve">Conversation replies / first touches. This drives the 20% check below: the plan's 150 messages at 20% is 30 conversations.</t>
  </si>
  <si>
    <t xml:space="preserve">Office conversations per first touch</t>
  </si>
  <si>
    <t xml:space="preserve">Conversations (above) / first touches. 15 from about 75 first touches is 20%.</t>
  </si>
  <si>
    <t xml:space="preserve">Office opt-outs</t>
  </si>
  <si>
    <t xml:space="preserve">Rows with opt_out_date on or before the cut-off. Every one must have do_not_contact = Y.</t>
  </si>
  <si>
    <t xml:space="preserve">Office opt-out rate</t>
  </si>
  <si>
    <t xml:space="preserve">Opt-outs / first touches. Over 5% (Config opt_out_rate_flag) with 3 or more opt-outs (opt_out_min_count) and 30 or more first touches: check targeting and copy (sending guide 6.3 to 6.4).</t>
  </si>
  <si>
    <t xml:space="preserve">Office reply-rate check (as of)</t>
  </si>
  <si>
    <t xml:space="preserve">Office opt-out check (as of)</t>
  </si>
  <si>
    <t xml:space="preserve">Brand first touches sent</t>
  </si>
  <si>
    <t xml:space="preserve">Brand replies, all (any human reply, opt-outs included)</t>
  </si>
  <si>
    <t xml:space="preserve">Brand reply rate, all replies (information only)</t>
  </si>
  <si>
    <t xml:space="preserve">Brand conversation replies</t>
  </si>
  <si>
    <t xml:space="preserve">Brand conversation-reply rate</t>
  </si>
  <si>
    <t xml:space="preserve">Brand conversations per first touch</t>
  </si>
  <si>
    <t xml:space="preserve">Brand opt-outs</t>
  </si>
  <si>
    <t xml:space="preserve">Brand opt-out rate</t>
  </si>
  <si>
    <t xml:space="preserve">Brand reply-rate check (as of)</t>
  </si>
  <si>
    <t xml:space="preserve">Brand opt-out check (as of)</t>
  </si>
  <si>
    <t xml:space="preserve">Email bounces to date (offices + brands) / first touches to date</t>
  </si>
  <si>
    <t xml:space="preserve">Two or more bounces in a week, or over 2% once 100 email first touches have gone, pauses cold email for five business days (sending guide 3.4).</t>
  </si>
  <si>
    <t xml:space="preserve">By sequence variant and by channel, as of (pick winners only on large gaps; see sending guide 6.4)</t>
  </si>
  <si>
    <t xml:space="preserve">Sequence or channel</t>
  </si>
  <si>
    <t xml:space="preserve">Side</t>
  </si>
  <si>
    <t xml:space="preserve">First touches</t>
  </si>
  <si>
    <t xml:space="preserve">Replies, all</t>
  </si>
  <si>
    <t xml:space="preserve">Reply rate, all</t>
  </si>
  <si>
    <t xml:space="preserve">Conversation replies</t>
  </si>
  <si>
    <t xml:space="preserve">office-discovery-A</t>
  </si>
  <si>
    <t xml:space="preserve">office</t>
  </si>
  <si>
    <t xml:space="preserve">office-discovery-B</t>
  </si>
  <si>
    <t xml:space="preserve">office-selling-A</t>
  </si>
  <si>
    <t xml:space="preserve">office-selling-B</t>
  </si>
  <si>
    <t xml:space="preserve">brand-discovery-A</t>
  </si>
  <si>
    <t xml:space="preserve">brand</t>
  </si>
  <si>
    <t xml:space="preserve">brand-discovery-B</t>
  </si>
  <si>
    <t xml:space="preserve">brand-selling-A</t>
  </si>
  <si>
    <t xml:space="preserve">brand-selling-B</t>
  </si>
  <si>
    <t xml:space="preserve">office-conversion-A</t>
  </si>
  <si>
    <t xml:space="preserve">brand-conversion-A</t>
  </si>
  <si>
    <t xml:space="preserve">channel: email</t>
  </si>
  <si>
    <t xml:space="preserve">channel: linkedin</t>
  </si>
  <si>
    <t xml:space="preserve">channel: warm-intro</t>
  </si>
  <si>
    <t xml:space="preserve">channel: walk-in</t>
  </si>
  <si>
    <t xml:space="preserve">Sequence names come from Clay's sequence column. Edit the names in column A to match the variants in messages/05 to 07.</t>
  </si>
  <si>
    <t xml:space="preserve">After Gate 0: Gate 1 progress (five offices signed with 350+ on a Tuesday; two founding brands paid in full)</t>
  </si>
  <si>
    <t xml:space="preserve">Gate 1</t>
  </si>
  <si>
    <t xml:space="preserve">Offices signed (signed_offices rows)</t>
  </si>
  <si>
    <t xml:space="preserve">Rows with a clay_row_id and agreement_signed_date on or before the cut-off.</t>
  </si>
  <si>
    <t xml:space="preserve">Combined Tuesday headcount of signed offices</t>
  </si>
  <si>
    <t xml:space="preserve">Each office's own intake number, never the Clay estimate.</t>
  </si>
  <si>
    <t xml:space="preserve">Brands paid in full</t>
  </si>
  <si>
    <t xml:space="preserve">payment_1_usd + payment_2_usd reach price_usd. Ship dates and office approvals (also Gate 1) are tracked in operations.</t>
  </si>
  <si>
    <t xml:space="preserve">Brands with any payment</t>
  </si>
  <si>
    <t xml:space="preserve">A standard brand's deposit counts here, not above.</t>
  </si>
  <si>
    <t xml:space="preserve">Gate 1, office side</t>
  </si>
  <si>
    <t xml:space="preserve">Five signed and 350 or more on a Tuesday, all inside the cluster (plan Phase 1).</t>
  </si>
  <si>
    <t xml:space="preserve">Gate 1, brand side</t>
  </si>
  <si>
    <t xml:space="preserve">Plan: one paid brand is a soft pass: run the campaign, and the second sale is the first task after it.</t>
  </si>
  <si>
    <t xml:space="preserve">Numbers for the Startup CPG posts (messages/12), as of: distinct offices or brands</t>
  </si>
  <si>
    <t xml:space="preserve">[OFFICE CONVERSATIONS]</t>
  </si>
  <si>
    <t xml:space="preserve">[N GET BRAND OFFERS]: q3_brands_reach_out = Y</t>
  </si>
  <si>
    <t xml:space="preserve">[N ONE PERSON DECIDES]: owner_can_say_yes_alone = Y</t>
  </si>
  <si>
    <t xml:space="preserve">[WHO ELSE DECIDES]: most common other_approver</t>
  </si>
  <si>
    <t xml:space="preserve">[N WOULD PHOTO AND SURVEY]: q5_photo_and_survey = Y</t>
  </si>
  <si>
    <t xml:space="preserve">[TUESDAY RANGE]: lowest to highest tuesday_headcount (first answer per office)</t>
  </si>
  <si>
    <t xml:space="preserve">[N USE A SERVICE]: uses_snack_service = Y</t>
  </si>
  <si>
    <t xml:space="preserve">[BRAND CONVERSATIONS]</t>
  </si>
  <si>
    <t xml:space="preserve">[BRAND SPEND RANGE]: lowest low to highest high quarterly sampling spend, USD</t>
  </si>
  <si>
    <t xml:space="preserve">[N SEEDED OFFICES]: q3_seeded_offices = Y</t>
  </si>
  <si>
    <t xml:space="preserve">[MEDIAN NUMBER NAMED]: median brand number before $1,500</t>
  </si>
  <si>
    <t xml:space="preserve">[TOP BLOCKER]: top brand objection (above)</t>
  </si>
  <si>
    <t xml:space="preserve">[QUOTE]: people who said yes to being quoted without their name (offices + brands)</t>
  </si>
  <si>
    <t xml:space="preserve">Quote only rows with quote_ok_to_share = Y, never with a name. The other slots in messages/12 (top yes and no reasons, what happened, top report need) are read from the verbatims.</t>
  </si>
  <si>
    <t xml:space="preserve">Counts for the copy slots (copy these into messages/04-slot-state.csv each Friday; that file wins)</t>
  </si>
  <si>
    <t xml:space="preserve">offices_yes: Clay offices with status yes_in_principle, materials_sent or signed</t>
  </si>
  <si>
    <t xml:space="preserve">offices_signed: Clay offices with status signed</t>
  </si>
  <si>
    <t xml:space="preserve">tuesday_headcount: sum of tuesday_headcount on signed_offices (blank until one has signed)</t>
  </si>
  <si>
    <t xml:space="preserve">founding_taken: paid_brands rows with tier founding (0 to 3)</t>
  </si>
  <si>
    <t xml:space="preserve">brands_paid: paid_brands rows</t>
  </si>
  <si>
    <t xml:space="preserve">brand_selling_on: brand Gate 0 PASS (as of) and offices_yes 2 or more</t>
  </si>
  <si>
    <t xml:space="preserve">Switches the founder sets (domain_ready, attorney_cleared, llc_formed and the rest) live only in messages/04-slot-state.csv.</t>
  </si>
  <si>
    <t xml:space="preserve">Data checks (fix every FIX before reading the numbers above)</t>
  </si>
  <si>
    <t xml:space="preserve">Check</t>
  </si>
  <si>
    <t xml:space="preserve">Count</t>
  </si>
  <si>
    <t xml:space="preserve">Result</t>
  </si>
  <si>
    <t xml:space="preserve">What to do</t>
  </si>
  <si>
    <t xml:space="preserve">Office_Log rows with a sync issue</t>
  </si>
  <si>
    <t xml:space="preserve">Read calc_sync_issue on Office_Log; fix in Clay, then re-paste.</t>
  </si>
  <si>
    <t xml:space="preserve">Brand_Log rows with a sync issue</t>
  </si>
  <si>
    <t xml:space="preserve">Read calc_sync_issue on Brand_Log.</t>
  </si>
  <si>
    <t xml:space="preserve">Clay office rows with an issue</t>
  </si>
  <si>
    <t xml:space="preserve">Sync tab, office list.</t>
  </si>
  <si>
    <t xml:space="preserve">Clay brand rows with an issue</t>
  </si>
  <si>
    <t xml:space="preserve">Sync tab, brand list.</t>
  </si>
  <si>
    <t xml:space="preserve">Handoff rows whose Clay status is not signed / paid</t>
  </si>
  <si>
    <t xml:space="preserve">Set the Clay status to signed or paid.</t>
  </si>
  <si>
    <t xml:space="preserve">Clay columns missing from a paste</t>
  </si>
  <si>
    <t xml:space="preserve">Export all columns from Clay (CONTRACTS 6.2 names).</t>
  </si>
  <si>
    <t xml:space="preserve">Days since the Clay offices paste (as of)</t>
  </si>
  <si>
    <t xml:space="preserve">Paste a fresh export each Friday and type its date on Config.</t>
  </si>
  <si>
    <t xml:space="preserve">Days since the Clay brands paste (as of)</t>
  </si>
  <si>
    <t xml:space="preserve">Same.</t>
  </si>
  <si>
    <t xml:space="preserve">Offices that said Y but owner or window is missing</t>
  </si>
  <si>
    <t xml:space="preserve">They do not count for Gate 0 until both are named.</t>
  </si>
  <si>
    <t xml:space="preserve">Budget probe asked but no verbatim</t>
  </si>
  <si>
    <t xml:space="preserve">Type the answer word for word.</t>
  </si>
  <si>
    <t xml:space="preserve">Brand number given but no verbatim</t>
  </si>
  <si>
    <t xml:space="preserve">Log rows with a row_id but no real call_date</t>
  </si>
  <si>
    <t xml:space="preserve">Type the date as YYYY-MM-DD.</t>
  </si>
  <si>
    <t xml:space="preserve">Clay touch_1_date cells stored as text</t>
  </si>
  <si>
    <t xml:space="preserve">Reformat the column as a date in Clay or here, or they drop out of every count.</t>
  </si>
  <si>
    <t xml:space="preserve">Pipeline events beyond the export rows</t>
  </si>
  <si>
    <t xml:space="preserve">Raise EXPORT_N in tools/build_tracker.py and rebuild, or split the file.</t>
  </si>
  <si>
    <t xml:space="preserve">Notes over the ten-minute target (as of)</t>
  </si>
  <si>
    <t xml:space="preserve">If this grows, trim the note template, not the verbatims.</t>
  </si>
  <si>
    <t xml:space="preserve">Median minutes per note (as of)</t>
  </si>
  <si>
    <t xml:space="preserve">Target 10 or less.</t>
  </si>
  <si>
    <t xml:space="preserve">Duplicate clay_row_id on signed_offices or paid_brands</t>
  </si>
  <si>
    <t xml:space="preserve">One row per office and per brand. A second campaign for the same brand stays on its first row (renewals go on later_events).</t>
  </si>
  <si>
    <t xml:space="preserve">Number cells typed as text (for example "$600")</t>
  </si>
  <si>
    <t xml:space="preserve">Retype as a plain number, no $ or commas: a number stored as text counts as nothing, so a $600 answer would drop out of Gate 0.</t>
  </si>
  <si>
    <t xml:space="preserve">call_date cells with a time of day</t>
  </si>
  <si>
    <t xml:space="preserve">Retype the date alone (YYYY-MM-DD). The counts already read it by its day, but Clay and the pipeline export carry the time.</t>
  </si>
  <si>
    <t xml:space="preserve">Two or more row_ids share one org_key (counted once)</t>
  </si>
  <si>
    <t xml:space="preserve">Organisations with more than one contact in the logs, each counted once (calc_org shows the key). If two are really different organisations, type different org_key values.</t>
  </si>
  <si>
    <t xml:space="preserve">Gate 0 yes with tuesday_headcount under 30 or over 250 (as of)</t>
  </si>
  <si>
    <t xml:space="preserve">Not counted for Gate 0 (plan: 30 to 250 on a Tuesday). Check the number with the office; if it is right, it is not a participating office.</t>
  </si>
  <si>
    <t xml:space="preserve">Withdrawn yes answers (offices and brands, as of)</t>
  </si>
  <si>
    <t xml:space="preserve">Not counted for Gate 0. Clay yes_in_principle follows the latest answer; set the Clay status to no or not_now.</t>
  </si>
  <si>
    <t xml:space="preserve">SAMPLE rows in this file</t>
  </si>
  <si>
    <t xml:space="preserve">Delete them before real use, or keep include_sample = N so they are ignored.</t>
  </si>
  <si>
    <t xml:space="preserve">row_id</t>
  </si>
  <si>
    <t xml:space="preserve">company</t>
  </si>
  <si>
    <t xml:space="preserve">org_key</t>
  </si>
  <si>
    <t xml:space="preserve">contact_name</t>
  </si>
  <si>
    <t xml:space="preserve">contact_title</t>
  </si>
  <si>
    <t xml:space="preserve">source</t>
  </si>
  <si>
    <t xml:space="preserve">channel</t>
  </si>
  <si>
    <t xml:space="preserve">call_date</t>
  </si>
  <si>
    <t xml:space="preserve">call_type</t>
  </si>
  <si>
    <t xml:space="preserve">q1_pantry_today_verbatim</t>
  </si>
  <si>
    <t xml:space="preserve">pantry_vendor</t>
  </si>
  <si>
    <t xml:space="preserve">uses_snack_service</t>
  </si>
  <si>
    <t xml:space="preserve">monthly_pantry_spend_usd</t>
  </si>
  <si>
    <t xml:space="preserve">monthly_pantry_spend_verbatim</t>
  </si>
  <si>
    <t xml:space="preserve">tuesday_headcount</t>
  </si>
  <si>
    <t xml:space="preserve">headcount_verbatim</t>
  </si>
  <si>
    <t xml:space="preserve">q3_brands_reach_out</t>
  </si>
  <si>
    <t xml:space="preserve">q3_free_product_verbatim</t>
  </si>
  <si>
    <t xml:space="preserve">q4_yes_needs_verbatim</t>
  </si>
  <si>
    <t xml:space="preserve">q4_no_triggers_verbatim</t>
  </si>
  <si>
    <t xml:space="preserve">q5_photo_and_survey</t>
  </si>
  <si>
    <t xml:space="preserve">q5_verbatim</t>
  </si>
  <si>
    <t xml:space="preserve">budget_probe_asked</t>
  </si>
  <si>
    <t xml:space="preserve">budget_probe_verbatim</t>
  </si>
  <si>
    <t xml:space="preserve">budget_probe_low_usd</t>
  </si>
  <si>
    <t xml:space="preserve">budget_probe_high_usd</t>
  </si>
  <si>
    <t xml:space="preserve">referrals_given_count</t>
  </si>
  <si>
    <t xml:space="preserve">referrals_given</t>
  </si>
  <si>
    <t xml:space="preserve">pantry_owner_named</t>
  </si>
  <si>
    <t xml:space="preserve">pantry_owner_name</t>
  </si>
  <si>
    <t xml:space="preserve">pantry_owner_title</t>
  </si>
  <si>
    <t xml:space="preserve">owner_can_say_yes_alone</t>
  </si>
  <si>
    <t xml:space="preserve">other_approver</t>
  </si>
  <si>
    <t xml:space="preserve">receiving_window</t>
  </si>
  <si>
    <t xml:space="preserve">receiving_type</t>
  </si>
  <si>
    <t xml:space="preserve">coi_required</t>
  </si>
  <si>
    <t xml:space="preserve">security_notes</t>
  </si>
  <si>
    <t xml:space="preserve">veto_categories</t>
  </si>
  <si>
    <t xml:space="preserve">veto_verbatim</t>
  </si>
  <si>
    <t xml:space="preserve">objection_1</t>
  </si>
  <si>
    <t xml:space="preserve">objection_2</t>
  </si>
  <si>
    <t xml:space="preserve">objection_3</t>
  </si>
  <si>
    <t xml:space="preserve">objections_verbatim</t>
  </si>
  <si>
    <t xml:space="preserve">yes_in_principle</t>
  </si>
  <si>
    <t xml:space="preserve">yes_signals</t>
  </si>
  <si>
    <t xml:space="preserve">shortlist</t>
  </si>
  <si>
    <t xml:space="preserve">quote_ok_to_share</t>
  </si>
  <si>
    <t xml:space="preserve">note_minutes</t>
  </si>
  <si>
    <t xml:space="preserve">clay_updated</t>
  </si>
  <si>
    <t xml:space="preserve">notes</t>
  </si>
  <si>
    <t xml:space="preserve">calc_sync_issue</t>
  </si>
  <si>
    <t xml:space="preserve">calc_org</t>
  </si>
  <si>
    <t xml:space="preserve">calc_row</t>
  </si>
  <si>
    <t xml:space="preserve">calc_valid</t>
  </si>
  <si>
    <t xml:space="preserve">calc_conv_first</t>
  </si>
  <si>
    <t xml:space="preserve">calc_latest</t>
  </si>
  <si>
    <t xml:space="preserve">calc_q_yes</t>
  </si>
  <si>
    <t xml:space="preserve">calc_q_yes_first</t>
  </si>
  <si>
    <t xml:space="preserve">calc_yes_incomplete</t>
  </si>
  <si>
    <t xml:space="preserve">calc_bp_has</t>
  </si>
  <si>
    <t xml:space="preserve">calc_bp_first</t>
  </si>
  <si>
    <t xml:space="preserve">calc_bp_w1</t>
  </si>
  <si>
    <t xml:space="preserve">calc_bp_w2</t>
  </si>
  <si>
    <t xml:space="preserve">calc_bp_g0</t>
  </si>
  <si>
    <t xml:space="preserve">calc_bp_asof</t>
  </si>
  <si>
    <t xml:space="preserve">calc_bp100_first</t>
  </si>
  <si>
    <t xml:space="preserve">calc_spend_has</t>
  </si>
  <si>
    <t xml:space="preserve">calc_spend_first</t>
  </si>
  <si>
    <t xml:space="preserve">calc_spend_asof</t>
  </si>
  <si>
    <t xml:space="preserve">calc_probe_row</t>
  </si>
  <si>
    <t xml:space="preserve">calc_probe_first</t>
  </si>
  <si>
    <t xml:space="preserve">calc_probe_key</t>
  </si>
  <si>
    <t xml:space="preserve">calc_probe_missing_text</t>
  </si>
  <si>
    <t xml:space="preserve">calc_obj1</t>
  </si>
  <si>
    <t xml:space="preserve">calc_obj2</t>
  </si>
  <si>
    <t xml:space="preserve">calc_obj3</t>
  </si>
  <si>
    <t xml:space="preserve">calc_note_min</t>
  </si>
  <si>
    <t xml:space="preserve">calc_yes_any</t>
  </si>
  <si>
    <t xml:space="preserve">calc_maybe</t>
  </si>
  <si>
    <t xml:space="preserve">calc_maybe_first</t>
  </si>
  <si>
    <t xml:space="preserve">calc_yes_any_first</t>
  </si>
  <si>
    <t xml:space="preserve">calc_bp100</t>
  </si>
  <si>
    <t xml:space="preserve">calc_short</t>
  </si>
  <si>
    <t xml:space="preserve">calc_short_first</t>
  </si>
  <si>
    <t xml:space="preserve">calc_warm</t>
  </si>
  <si>
    <t xml:space="preserve">calc_warm_first</t>
  </si>
  <si>
    <t xml:space="preserve">calc_reach</t>
  </si>
  <si>
    <t xml:space="preserve">calc_reach_first</t>
  </si>
  <si>
    <t xml:space="preserve">calc_alone</t>
  </si>
  <si>
    <t xml:space="preserve">calc_alone_first</t>
  </si>
  <si>
    <t xml:space="preserve">calc_q5y</t>
  </si>
  <si>
    <t xml:space="preserve">calc_q5y_first</t>
  </si>
  <si>
    <t xml:space="preserve">calc_svc</t>
  </si>
  <si>
    <t xml:space="preserve">calc_svc_first</t>
  </si>
  <si>
    <t xml:space="preserve">calc_hc_has</t>
  </si>
  <si>
    <t xml:space="preserve">calc_hc_first</t>
  </si>
  <si>
    <t xml:space="preserve">calc_hc_asof</t>
  </si>
  <si>
    <t xml:space="preserve">calc_appr</t>
  </si>
  <si>
    <t xml:space="preserve">calc_quote</t>
  </si>
  <si>
    <t xml:space="preserve">calc_quote_first</t>
  </si>
  <si>
    <t xml:space="preserve">calc_clay_idx</t>
  </si>
  <si>
    <t xml:space="preserve">calc_clay_status</t>
  </si>
  <si>
    <t xml:space="preserve">calc_clay_rank</t>
  </si>
  <si>
    <t xml:space="preserve">calc_clay_yes</t>
  </si>
  <si>
    <t xml:space="preserve">calc_clay_call_date</t>
  </si>
  <si>
    <t xml:space="preserve">calc_ans</t>
  </si>
  <si>
    <t xml:space="preserve">calc_ylast</t>
  </si>
  <si>
    <t xml:space="preserve">calc_last_w1</t>
  </si>
  <si>
    <t xml:space="preserve">calc_last_w2</t>
  </si>
  <si>
    <t xml:space="preserve">calc_last_g0</t>
  </si>
  <si>
    <t xml:space="preserve">calc_last_asof</t>
  </si>
  <si>
    <t xml:space="preserve">calc_stand_w1</t>
  </si>
  <si>
    <t xml:space="preserve">calc_stand_w2</t>
  </si>
  <si>
    <t xml:space="preserve">calc_stand_g0</t>
  </si>
  <si>
    <t xml:space="preserve">calc_stand_asof</t>
  </si>
  <si>
    <t xml:space="preserve">calc_qc_w1</t>
  </si>
  <si>
    <t xml:space="preserve">calc_qc_w2</t>
  </si>
  <si>
    <t xml:space="preserve">calc_qc_g0</t>
  </si>
  <si>
    <t xml:space="preserve">calc_qc_asof</t>
  </si>
  <si>
    <t xml:space="preserve">calc_yac_w1</t>
  </si>
  <si>
    <t xml:space="preserve">calc_yac_w2</t>
  </si>
  <si>
    <t xml:space="preserve">calc_yac_g0</t>
  </si>
  <si>
    <t xml:space="preserve">calc_yac_asof</t>
  </si>
  <si>
    <t xml:space="preserve">calc_wd_w1</t>
  </si>
  <si>
    <t xml:space="preserve">calc_wd_w2</t>
  </si>
  <si>
    <t xml:space="preserve">calc_wd_g0</t>
  </si>
  <si>
    <t xml:space="preserve">calc_wd_asof</t>
  </si>
  <si>
    <t xml:space="preserve">calc_num_text</t>
  </si>
  <si>
    <t xml:space="preserve">calc_has_time</t>
  </si>
  <si>
    <t xml:space="preserve">calc_cokey</t>
  </si>
  <si>
    <t xml:space="preserve">calc_grp</t>
  </si>
  <si>
    <t xml:space="preserve">calc_cogrp</t>
  </si>
  <si>
    <t xml:space="preserve">calc_orgfirst</t>
  </si>
  <si>
    <t xml:space="preserve">calc_orgrid</t>
  </si>
  <si>
    <t xml:space="preserve">calc_rid_first</t>
  </si>
  <si>
    <t xml:space="preserve">calc_multi</t>
  </si>
  <si>
    <t xml:space="preserve">calc_hc_last</t>
  </si>
  <si>
    <t xml:space="preserve">calc_hc_org</t>
  </si>
  <si>
    <t xml:space="preserve">calc_hc_out</t>
  </si>
  <si>
    <t xml:space="preserve">calc_hc_3039</t>
  </si>
  <si>
    <t xml:space="preserve">calc_qcout_w1</t>
  </si>
  <si>
    <t xml:space="preserve">calc_qcout_w2</t>
  </si>
  <si>
    <t xml:space="preserve">calc_qcout_g0</t>
  </si>
  <si>
    <t xml:space="preserve">calc_qcout_asof</t>
  </si>
  <si>
    <t xml:space="preserve">calc_qc3039_w1</t>
  </si>
  <si>
    <t xml:space="preserve">calc_qc3039_w2</t>
  </si>
  <si>
    <t xml:space="preserve">calc_qc3039_g0</t>
  </si>
  <si>
    <t xml:space="preserve">calc_qc3039_asof</t>
  </si>
  <si>
    <t xml:space="preserve">SAMPLE-O-001</t>
  </si>
  <si>
    <t xml:space="preserve">SAMPLE Office 01</t>
  </si>
  <si>
    <t xml:space="preserve">SAMPLE Contact O01</t>
  </si>
  <si>
    <t xml:space="preserve">Office Manager</t>
  </si>
  <si>
    <t xml:space="preserve">SAMPLE warm network</t>
  </si>
  <si>
    <t xml:space="preserve">warm-intro</t>
  </si>
  <si>
    <t xml:space="preserve">video</t>
  </si>
  <si>
    <t xml:space="preserve">SAMPLE: pantry answer 01</t>
  </si>
  <si>
    <t xml:space="preserve">SAMPLE grocery order</t>
  </si>
  <si>
    <t xml:space="preserve">N</t>
  </si>
  <si>
    <t xml:space="preserve">SAMPLE: about $800 a month</t>
  </si>
  <si>
    <t xml:space="preserve">SAMPLE: around 60 on a Tuesday</t>
  </si>
  <si>
    <t xml:space="preserve">Y</t>
  </si>
  <si>
    <t xml:space="preserve">SAMPLE: brands email us, we ignore most</t>
  </si>
  <si>
    <t xml:space="preserve">SAMPLE: allergen info and no work for me</t>
  </si>
  <si>
    <t xml:space="preserve">SAMPLE: anything with nuts</t>
  </si>
  <si>
    <t xml:space="preserve">SAMPLE: a photo is fine</t>
  </si>
  <si>
    <t xml:space="preserve">SAMPLE: maybe $100 to $200 a month</t>
  </si>
  <si>
    <t xml:space="preserve">SAMPLE Office 30 - Office Manager</t>
  </si>
  <si>
    <t xml:space="preserve">SAMPLE Owner O01</t>
  </si>
  <si>
    <t xml:space="preserve">SAMPLE Tue-Wed 9-11am</t>
  </si>
  <si>
    <t xml:space="preserve">front desk</t>
  </si>
  <si>
    <t xml:space="preserve">no</t>
  </si>
  <si>
    <t xml:space="preserve">SAMPLE: sign in at desk</t>
  </si>
  <si>
    <t xml:space="preserve">meat-snacks</t>
  </si>
  <si>
    <t xml:space="preserve">SAMPLE: no jerky</t>
  </si>
  <si>
    <t xml:space="preserve">SAMPLE: allergy_policy (office 01)</t>
  </si>
  <si>
    <t xml:space="preserve">asked_when</t>
  </si>
  <si>
    <t xml:space="preserve">SAMPLE-O-002</t>
  </si>
  <si>
    <t xml:space="preserve">SAMPLE Office 02</t>
  </si>
  <si>
    <t xml:space="preserve">SAMPLE Contact O02</t>
  </si>
  <si>
    <t xml:space="preserve">Workplace Experience Manager</t>
  </si>
  <si>
    <t xml:space="preserve">SAMPLE Clay offices table</t>
  </si>
  <si>
    <t xml:space="preserve">linkedin</t>
  </si>
  <si>
    <t xml:space="preserve">phone</t>
  </si>
  <si>
    <t xml:space="preserve">SAMPLE: pantry answer 02</t>
  </si>
  <si>
    <t xml:space="preserve">SAMPLE: about $400 a month</t>
  </si>
  <si>
    <t xml:space="preserve">SAMPLE: around 45 on a Tuesday</t>
  </si>
  <si>
    <t xml:space="preserve">SAMPLE: honestly, no budget for that</t>
  </si>
  <si>
    <t xml:space="preserve">SAMPLE Owner O02</t>
  </si>
  <si>
    <t xml:space="preserve">chocolate-candy;sparkling-soda</t>
  </si>
  <si>
    <t xml:space="preserve">SAMPLE: existing_vendor / allergy_policy (office 02)</t>
  </si>
  <si>
    <t xml:space="preserve">SAMPLE-O-003</t>
  </si>
  <si>
    <t xml:space="preserve">SAMPLE Office 03</t>
  </si>
  <si>
    <t xml:space="preserve">SAMPLE Contact O03</t>
  </si>
  <si>
    <t xml:space="preserve">walk-in</t>
  </si>
  <si>
    <t xml:space="preserve">SAMPLE: pantry answer 03</t>
  </si>
  <si>
    <t xml:space="preserve">SAMPLE snack service</t>
  </si>
  <si>
    <t xml:space="preserve">SAMPLE: around 120 on a Tuesday</t>
  </si>
  <si>
    <t xml:space="preserve">maybe</t>
  </si>
  <si>
    <t xml:space="preserve">SAMPLE: I don't know</t>
  </si>
  <si>
    <t xml:space="preserve">facilities</t>
  </si>
  <si>
    <t xml:space="preserve">walk-up</t>
  </si>
  <si>
    <t xml:space="preserve">SAMPLE: vendor_fatigue (office 03)</t>
  </si>
  <si>
    <t xml:space="preserve">SAMPLE-O-004</t>
  </si>
  <si>
    <t xml:space="preserve">SAMPLE Office 04</t>
  </si>
  <si>
    <t xml:space="preserve">SAMPLE Contact O04</t>
  </si>
  <si>
    <t xml:space="preserve">SAMPLE: pantry answer 04</t>
  </si>
  <si>
    <t xml:space="preserve">SAMPLE: about $1500 a month</t>
  </si>
  <si>
    <t xml:space="preserve">SAMPLE: around 90 on a Tuesday</t>
  </si>
  <si>
    <t xml:space="preserve">SAMPLE: around $300 a month</t>
  </si>
  <si>
    <t xml:space="preserve">SAMPLE Owner O04</t>
  </si>
  <si>
    <t xml:space="preserve">SAMPLE mornings before 10</t>
  </si>
  <si>
    <t xml:space="preserve">unsure</t>
  </si>
  <si>
    <t xml:space="preserve">SAMPLE: needs_approval (office 04)</t>
  </si>
  <si>
    <t xml:space="preserve">SAMPLE-O-005</t>
  </si>
  <si>
    <t xml:space="preserve">SAMPLE Office 05</t>
  </si>
  <si>
    <t xml:space="preserve">SAMPLE Contact O05</t>
  </si>
  <si>
    <t xml:space="preserve">SAMPLE: pantry answer 05</t>
  </si>
  <si>
    <t xml:space="preserve">SAMPLE: around 150 on a Tuesday</t>
  </si>
  <si>
    <t xml:space="preserve">SAMPLE: zero, it would come out of my budget</t>
  </si>
  <si>
    <t xml:space="preserve">SAMPLE: needs_approval / building_receiving (office 05)</t>
  </si>
  <si>
    <t xml:space="preserve">SAMPLE-O-006</t>
  </si>
  <si>
    <t xml:space="preserve">SAMPLE Office 06</t>
  </si>
  <si>
    <t xml:space="preserve">SAMPLE Contact O06</t>
  </si>
  <si>
    <t xml:space="preserve">in-person</t>
  </si>
  <si>
    <t xml:space="preserve">SAMPLE: pantry answer 06</t>
  </si>
  <si>
    <t xml:space="preserve">SAMPLE: about $300 a month</t>
  </si>
  <si>
    <t xml:space="preserve">SAMPLE: around 55 on a Tuesday</t>
  </si>
  <si>
    <t xml:space="preserve">SAMPLE: fifty dollars, maybe</t>
  </si>
  <si>
    <t xml:space="preserve">SAMPLE Owner O06</t>
  </si>
  <si>
    <t xml:space="preserve">SAMPLE Tue 8-10am</t>
  </si>
  <si>
    <t xml:space="preserve">SAMPLE: allergy_policy (office 06)</t>
  </si>
  <si>
    <t xml:space="preserve">SAMPLE-O-007</t>
  </si>
  <si>
    <t xml:space="preserve">SAMPLE Office 07</t>
  </si>
  <si>
    <t xml:space="preserve">SAMPLE Contact O07</t>
  </si>
  <si>
    <t xml:space="preserve">SAMPLE: pantry answer 07</t>
  </si>
  <si>
    <t xml:space="preserve">SAMPLE: about $2500 a month</t>
  </si>
  <si>
    <t xml:space="preserve">SAMPLE: around 200 on a Tuesday</t>
  </si>
  <si>
    <t xml:space="preserve">SAMPLE: wouldn't want to say</t>
  </si>
  <si>
    <t xml:space="preserve">SAMPLE Owner O07</t>
  </si>
  <si>
    <t xml:space="preserve">SAMPLE: commitments_too_much (office 07)</t>
  </si>
  <si>
    <t xml:space="preserve">SAMPLE-O-008</t>
  </si>
  <si>
    <t xml:space="preserve">SAMPLE Office 08</t>
  </si>
  <si>
    <t xml:space="preserve">SAMPLE Contact O08</t>
  </si>
  <si>
    <t xml:space="preserve">SAMPLE: pantry answer 08</t>
  </si>
  <si>
    <t xml:space="preserve">SAMPLE: about $600 a month</t>
  </si>
  <si>
    <t xml:space="preserve">SAMPLE: around 70 on a Tuesday</t>
  </si>
  <si>
    <t xml:space="preserve">SAMPLE: we would not pay</t>
  </si>
  <si>
    <t xml:space="preserve">SAMPLE Owner O08</t>
  </si>
  <si>
    <t xml:space="preserve">SAMPLE Wed 9-12</t>
  </si>
  <si>
    <t xml:space="preserve">SAMPLE: allergy_policy / needs_approval (office 08)</t>
  </si>
  <si>
    <t xml:space="preserve">SAMPLE-O-009</t>
  </si>
  <si>
    <t xml:space="preserve">SAMPLE Office 09</t>
  </si>
  <si>
    <t xml:space="preserve">SAMPLE Contact O09</t>
  </si>
  <si>
    <t xml:space="preserve">SAMPLE: pantry answer 09</t>
  </si>
  <si>
    <t xml:space="preserve">SAMPLE: around 35 on a Tuesday</t>
  </si>
  <si>
    <t xml:space="preserve">SAMPLE: existing_vendor (office 09)</t>
  </si>
  <si>
    <t xml:space="preserve">SAMPLE-O-010</t>
  </si>
  <si>
    <t xml:space="preserve">SAMPLE Office 10</t>
  </si>
  <si>
    <t xml:space="preserve">SAMPLE Contact O10</t>
  </si>
  <si>
    <t xml:space="preserve">SAMPLE: pantry answer 10</t>
  </si>
  <si>
    <t xml:space="preserve">SAMPLE: about $1200 a month</t>
  </si>
  <si>
    <t xml:space="preserve">SAMPLE: around 110 on a Tuesday</t>
  </si>
  <si>
    <t xml:space="preserve">SAMPLE: $200 to $400 if the team votes on it</t>
  </si>
  <si>
    <t xml:space="preserve">SAMPLE Owner O10</t>
  </si>
  <si>
    <t xml:space="preserve">SAMPLE Tue 10-11</t>
  </si>
  <si>
    <t xml:space="preserve">SAMPLE-O-011</t>
  </si>
  <si>
    <t xml:space="preserve">SAMPLE Office 11</t>
  </si>
  <si>
    <t xml:space="preserve">SAMPLE Contact O11</t>
  </si>
  <si>
    <t xml:space="preserve">SAMPLE: pantry answer 11</t>
  </si>
  <si>
    <t xml:space="preserve">SAMPLE: around 80 on a Tuesday</t>
  </si>
  <si>
    <t xml:space="preserve">SAMPLE Tue 9-11</t>
  </si>
  <si>
    <t xml:space="preserve">SAMPLE: needs_approval (office 11)</t>
  </si>
  <si>
    <t xml:space="preserve">SAMPLE-O-012</t>
  </si>
  <si>
    <t xml:space="preserve">SAMPLE Office 12</t>
  </si>
  <si>
    <t xml:space="preserve">SAMPLE Contact O12</t>
  </si>
  <si>
    <t xml:space="preserve">SAMPLE: pantry answer 12</t>
  </si>
  <si>
    <t xml:space="preserve">SAMPLE: about $900 a month</t>
  </si>
  <si>
    <t xml:space="preserve">SAMPLE: around 95 on a Tuesday</t>
  </si>
  <si>
    <t xml:space="preserve">SAMPLE: a hundred a month, tops</t>
  </si>
  <si>
    <t xml:space="preserve">SAMPLE Owner O12</t>
  </si>
  <si>
    <t xml:space="preserve">hr</t>
  </si>
  <si>
    <t xml:space="preserve">SAMPLE: building_receiving (office 12)</t>
  </si>
  <si>
    <t xml:space="preserve">SAMPLE-O-013</t>
  </si>
  <si>
    <t xml:space="preserve">SAMPLE Office 13</t>
  </si>
  <si>
    <t xml:space="preserve">SAMPLE Contact O13</t>
  </si>
  <si>
    <t xml:space="preserve">SAMPLE: pantry answer 13</t>
  </si>
  <si>
    <t xml:space="preserve">SAMPLE: around 65 on a Tuesday</t>
  </si>
  <si>
    <t xml:space="preserve">SAMPLE Owner O13</t>
  </si>
  <si>
    <t xml:space="preserve">SAMPLE Tue 9am</t>
  </si>
  <si>
    <t xml:space="preserve">SAMPLE: around 62 on a Tuesday</t>
  </si>
  <si>
    <t xml:space="preserve">SAMPLE: $150 a month</t>
  </si>
  <si>
    <t xml:space="preserve">SAMPLE-O-014</t>
  </si>
  <si>
    <t xml:space="preserve">SAMPLE Office 14</t>
  </si>
  <si>
    <t xml:space="preserve">SAMPLE Contact O14</t>
  </si>
  <si>
    <t xml:space="preserve">email</t>
  </si>
  <si>
    <t xml:space="preserve">SAMPLE: pantry answer 14</t>
  </si>
  <si>
    <t xml:space="preserve">SAMPLE: around 75 on a Tuesday</t>
  </si>
  <si>
    <t xml:space="preserve">SAMPLE Owner O14</t>
  </si>
  <si>
    <t xml:space="preserve">SAMPLE Wed 8-9am</t>
  </si>
  <si>
    <t xml:space="preserve">SAMPLE: needs_approval (office 14)</t>
  </si>
  <si>
    <t xml:space="preserve">q1_trial_now_verbatim</t>
  </si>
  <si>
    <t xml:space="preserve">q2_sampling_budget_quarter_low_usd</t>
  </si>
  <si>
    <t xml:space="preserve">q2_sampling_budget_quarter_high_usd</t>
  </si>
  <si>
    <t xml:space="preserve">q2_budget_verbatim</t>
  </si>
  <si>
    <t xml:space="preserve">budget_approver</t>
  </si>
  <si>
    <t xml:space="preserve">controls_budget</t>
  </si>
  <si>
    <t xml:space="preserve">q3_seeded_offices</t>
  </si>
  <si>
    <t xml:space="preserve">q3_verbatim</t>
  </si>
  <si>
    <t xml:space="preserve">wtp_before_usd</t>
  </si>
  <si>
    <t xml:space="preserve">wtp_before_verbatim</t>
  </si>
  <si>
    <t xml:space="preserve">wtp_unit_note</t>
  </si>
  <si>
    <t xml:space="preserve">price_1500_mentioned</t>
  </si>
  <si>
    <t xml:space="preserve">wtp_after_usd</t>
  </si>
  <si>
    <t xml:space="preserve">wtp_after_verbatim</t>
  </si>
  <si>
    <t xml:space="preserve">q5_report_needs_verbatim</t>
  </si>
  <si>
    <t xml:space="preserve">q6_buy_path_type</t>
  </si>
  <si>
    <t xml:space="preserve">q6_buy_path_verbatim</t>
  </si>
  <si>
    <t xml:space="preserve">q7_stoppers_verbatim</t>
  </si>
  <si>
    <t xml:space="preserve">qual_q1_sealed_shelf_stable_60d</t>
  </si>
  <si>
    <t xml:space="preserve">qual_q2_labeled_ingredients_allergens</t>
  </si>
  <si>
    <t xml:space="preserve">qual_q3_buy_path_near_cluster</t>
  </si>
  <si>
    <t xml:space="preserve">qual_q4_can_ship_275_in_10bd</t>
  </si>
  <si>
    <t xml:space="preserve">qual_q5_product_liability_insurance</t>
  </si>
  <si>
    <t xml:space="preserve">qual_q6_contact_can_approve_600</t>
  </si>
  <si>
    <t xml:space="preserve">qual_q7_why_now</t>
  </si>
  <si>
    <t xml:space="preserve">qual_not_excluded</t>
  </si>
  <si>
    <t xml:space="preserve">calc_g0</t>
  </si>
  <si>
    <t xml:space="preserve">calc_g0_first</t>
  </si>
  <si>
    <t xml:space="preserve">calc_g0_strict</t>
  </si>
  <si>
    <t xml:space="preserve">calc_g0_strict_first</t>
  </si>
  <si>
    <t xml:space="preserve">calc_g0_noctrl</t>
  </si>
  <si>
    <t xml:space="preserve">calc_g0_noctrl_first</t>
  </si>
  <si>
    <t xml:space="preserve">calc_wb_has</t>
  </si>
  <si>
    <t xml:space="preserve">calc_wb_first</t>
  </si>
  <si>
    <t xml:space="preserve">calc_wb_w1</t>
  </si>
  <si>
    <t xml:space="preserve">calc_wb_w2</t>
  </si>
  <si>
    <t xml:space="preserve">calc_wb_g0</t>
  </si>
  <si>
    <t xml:space="preserve">calc_wb_asof</t>
  </si>
  <si>
    <t xml:space="preserve">calc_wa_has</t>
  </si>
  <si>
    <t xml:space="preserve">calc_wa_first</t>
  </si>
  <si>
    <t xml:space="preserve">calc_wa_w1</t>
  </si>
  <si>
    <t xml:space="preserve">calc_wa_w2</t>
  </si>
  <si>
    <t xml:space="preserve">calc_wa_g0</t>
  </si>
  <si>
    <t xml:space="preserve">calc_wa_asof</t>
  </si>
  <si>
    <t xml:space="preserve">calc_q2_has</t>
  </si>
  <si>
    <t xml:space="preserve">calc_q2_first</t>
  </si>
  <si>
    <t xml:space="preserve">calc_q2_asof</t>
  </si>
  <si>
    <t xml:space="preserve">calc_wtp_missing_text</t>
  </si>
  <si>
    <t xml:space="preserve">calc_qualified</t>
  </si>
  <si>
    <t xml:space="preserve">calc_qualified_first</t>
  </si>
  <si>
    <t xml:space="preserve">calc_seeded</t>
  </si>
  <si>
    <t xml:space="preserve">calc_seeded_first</t>
  </si>
  <si>
    <t xml:space="preserve">calc_q2hi_asof</t>
  </si>
  <si>
    <t xml:space="preserve">calc_bneg</t>
  </si>
  <si>
    <t xml:space="preserve">calc_bans</t>
  </si>
  <si>
    <t xml:space="preserve">calc_blast_w1</t>
  </si>
  <si>
    <t xml:space="preserve">calc_blast_w2</t>
  </si>
  <si>
    <t xml:space="preserve">calc_blast_g0</t>
  </si>
  <si>
    <t xml:space="preserve">calc_blast_asof</t>
  </si>
  <si>
    <t xml:space="preserve">calc_bstand_w1</t>
  </si>
  <si>
    <t xml:space="preserve">calc_bstand_w2</t>
  </si>
  <si>
    <t xml:space="preserve">calc_bstand_g0</t>
  </si>
  <si>
    <t xml:space="preserve">calc_bstand_asof</t>
  </si>
  <si>
    <t xml:space="preserve">calc_g0c_w1</t>
  </si>
  <si>
    <t xml:space="preserve">calc_g0c_w2</t>
  </si>
  <si>
    <t xml:space="preserve">calc_g0c_g0</t>
  </si>
  <si>
    <t xml:space="preserve">calc_g0c_asof</t>
  </si>
  <si>
    <t xml:space="preserve">calc_g0sc_w1</t>
  </si>
  <si>
    <t xml:space="preserve">calc_g0sc_w2</t>
  </si>
  <si>
    <t xml:space="preserve">calc_g0sc_g0</t>
  </si>
  <si>
    <t xml:space="preserve">calc_g0sc_asof</t>
  </si>
  <si>
    <t xml:space="preserve">calc_bwd_w1</t>
  </si>
  <si>
    <t xml:space="preserve">calc_bwd_w2</t>
  </si>
  <si>
    <t xml:space="preserve">calc_bwd_g0</t>
  </si>
  <si>
    <t xml:space="preserve">calc_bwd_asof</t>
  </si>
  <si>
    <t xml:space="preserve">SAMPLE-B-001</t>
  </si>
  <si>
    <t xml:space="preserve">SAMPLE Brand 01</t>
  </si>
  <si>
    <t xml:space="preserve">SAMPLE Contact B01</t>
  </si>
  <si>
    <t xml:space="preserve">Founder</t>
  </si>
  <si>
    <t xml:space="preserve">SAMPLE Clay brands table</t>
  </si>
  <si>
    <t xml:space="preserve">SAMPLE: demos at two stores</t>
  </si>
  <si>
    <t xml:space="preserve">SAMPLE: a few thousand a quarter</t>
  </si>
  <si>
    <t xml:space="preserve">SAMPLE: me</t>
  </si>
  <si>
    <t xml:space="preserve">SAMPLE: never tried offices</t>
  </si>
  <si>
    <t xml:space="preserve">SAMPLE: maybe $500 for that</t>
  </si>
  <si>
    <t xml:space="preserve">SAMPLE: $1,500 is steep, $800 maybe</t>
  </si>
  <si>
    <t xml:space="preserve">SAMPLE: photos and what people said</t>
  </si>
  <si>
    <t xml:space="preserve">retailer-in-cluster</t>
  </si>
  <si>
    <t xml:space="preserve">SAMPLE Store, SAMPLE street</t>
  </si>
  <si>
    <t xml:space="preserve">SAMPLE: budget timing</t>
  </si>
  <si>
    <t xml:space="preserve">SAMPLE: new store near the cluster</t>
  </si>
  <si>
    <t xml:space="preserve">SAMPLE: price_per_sample / what_we_get (brand 01)</t>
  </si>
  <si>
    <t xml:space="preserve">SAMPLE-B-002</t>
  </si>
  <si>
    <t xml:space="preserve">SAMPLE Brand 02</t>
  </si>
  <si>
    <t xml:space="preserve">SAMPLE Contact B02</t>
  </si>
  <si>
    <t xml:space="preserve">Head of Marketing</t>
  </si>
  <si>
    <t xml:space="preserve">SAMPLE: a couple hundred</t>
  </si>
  <si>
    <t xml:space="preserve">SAMPLE: at $600 for five offices, yes</t>
  </si>
  <si>
    <t xml:space="preserve">online-with-code</t>
  </si>
  <si>
    <t xml:space="preserve">SAMPLE: price_per_sample (brand 02)</t>
  </si>
  <si>
    <t xml:space="preserve">SAMPLE-B-003</t>
  </si>
  <si>
    <t xml:space="preserve">SAMPLE Brand 03</t>
  </si>
  <si>
    <t xml:space="preserve">SAMPLE Contact B03</t>
  </si>
  <si>
    <t xml:space="preserve">SAMPLE: no idea what that's worth</t>
  </si>
  <si>
    <t xml:space="preserve">SAMPLE: not at that price</t>
  </si>
  <si>
    <t xml:space="preserve">SAMPLE: seed_ourselves / price_per_sample (brand 03)</t>
  </si>
  <si>
    <t xml:space="preserve">SAMPLE-B-004</t>
  </si>
  <si>
    <t xml:space="preserve">SAMPLE Brand 04</t>
  </si>
  <si>
    <t xml:space="preserve">SAMPLE Contact B04</t>
  </si>
  <si>
    <t xml:space="preserve">SAMPLE: my cofounder</t>
  </si>
  <si>
    <t xml:space="preserve">SAMPLE: a thousand, but my cofounder decides</t>
  </si>
  <si>
    <t xml:space="preserve">SAMPLE: $1,500 could work</t>
  </si>
  <si>
    <t xml:space="preserve">SAMPLE: what_we_get (brand 04)</t>
  </si>
  <si>
    <t xml:space="preserve">SAMPLE-B-005</t>
  </si>
  <si>
    <t xml:space="preserve">SAMPLE Brand 05</t>
  </si>
  <si>
    <t xml:space="preserve">SAMPLE Contact B05</t>
  </si>
  <si>
    <t xml:space="preserve">SAMPLE: we would want it free</t>
  </si>
  <si>
    <t xml:space="preserve">SAMPLE: free_trial / seed_ourselves (brand 05)</t>
  </si>
  <si>
    <t xml:space="preserve">SAMPLE-B-006</t>
  </si>
  <si>
    <t xml:space="preserve">SAMPLE Brand 06</t>
  </si>
  <si>
    <t xml:space="preserve">SAMPLE Contact B06</t>
  </si>
  <si>
    <t xml:space="preserve">SAMPLE: $750 feels right</t>
  </si>
  <si>
    <t xml:space="preserve">SAMPLE: we could stretch to $1,200</t>
  </si>
  <si>
    <t xml:space="preserve">SAMPLE: what_we_get (brand 06)</t>
  </si>
  <si>
    <t xml:space="preserve">SAMPLE-B-007</t>
  </si>
  <si>
    <t xml:space="preserve">SAMPLE Brand 07</t>
  </si>
  <si>
    <t xml:space="preserve">SAMPLE Contact B07</t>
  </si>
  <si>
    <t xml:space="preserve">SAMPLE: $300</t>
  </si>
  <si>
    <t xml:space="preserve">SAMPLE: still $300</t>
  </si>
  <si>
    <t xml:space="preserve">SAMPLE: price_per_sample / budget_timing (brand 07)</t>
  </si>
  <si>
    <t xml:space="preserve">SAMPLE-B-008</t>
  </si>
  <si>
    <t xml:space="preserve">SAMPLE Brand 08</t>
  </si>
  <si>
    <t xml:space="preserve">SAMPLE Contact B08</t>
  </si>
  <si>
    <t xml:space="preserve">SAMPLE: we spend $2,000 a weekend on demos</t>
  </si>
  <si>
    <t xml:space="preserve">SAMPLE: want_sales_data (brand 08)</t>
  </si>
  <si>
    <t xml:space="preserve">SAMPLE-B-009</t>
  </si>
  <si>
    <t xml:space="preserve">SAMPLE Brand 09</t>
  </si>
  <si>
    <t xml:space="preserve">SAMPLE Contact B09</t>
  </si>
  <si>
    <t xml:space="preserve">SAMPLE-B-010</t>
  </si>
  <si>
    <t xml:space="preserve">SAMPLE Brand 10</t>
  </si>
  <si>
    <t xml:space="preserve">SAMPLE Contact B10</t>
  </si>
  <si>
    <t xml:space="preserve">SAMPLE: $400 tops</t>
  </si>
  <si>
    <t xml:space="preserve">SAMPLE: seed_ourselves / free_trial (brand 10)</t>
  </si>
  <si>
    <t xml:space="preserve">SAMPLE-B-011</t>
  </si>
  <si>
    <t xml:space="preserve">SAMPLE Brand 11</t>
  </si>
  <si>
    <t xml:space="preserve">SAMPLE Contact B11</t>
  </si>
  <si>
    <t xml:space="preserve">SAMPLE: $600</t>
  </si>
  <si>
    <t xml:space="preserve">SAMPLE: $900</t>
  </si>
  <si>
    <t xml:space="preserve">SAMPLE: budget_timing (brand 11)</t>
  </si>
  <si>
    <t xml:space="preserve">SAMPLE: $700 on reflection</t>
  </si>
  <si>
    <t xml:space="preserve">SAMPLE-B-012</t>
  </si>
  <si>
    <t xml:space="preserve">SAMPLE Brand 12</t>
  </si>
  <si>
    <t xml:space="preserve">SAMPLE Contact B12</t>
  </si>
  <si>
    <t xml:space="preserve">SAMPLE: a hundred bucks</t>
  </si>
  <si>
    <t xml:space="preserve">SAMPLE: inventory (brand 12)</t>
  </si>
  <si>
    <t xml:space="preserve">SAMPLE-B-013</t>
  </si>
  <si>
    <t xml:space="preserve">SAMPLE Brand 13</t>
  </si>
  <si>
    <t xml:space="preserve">SAMPLE Contact B13</t>
  </si>
  <si>
    <t xml:space="preserve">SAMPLE: five hundred</t>
  </si>
  <si>
    <t xml:space="preserve">SAMPLE-B-014</t>
  </si>
  <si>
    <t xml:space="preserve">SAMPLE Brand 14</t>
  </si>
  <si>
    <t xml:space="preserve">SAMPLE Contact B14</t>
  </si>
  <si>
    <t xml:space="preserve">SAMPLE: fine at $1,500</t>
  </si>
  <si>
    <t xml:space="preserve">SAMPLE: shelf_life (brand 14)</t>
  </si>
  <si>
    <t xml:space="preserve">SAMPLE-B-015</t>
  </si>
  <si>
    <t xml:space="preserve">SAMPLE Brand 15</t>
  </si>
  <si>
    <t xml:space="preserve">SAMPLE Contact B15</t>
  </si>
  <si>
    <t xml:space="preserve">SAMPLE: fifty</t>
  </si>
  <si>
    <t xml:space="preserve">SAMPLE: not_our_audience (brand 15)</t>
  </si>
  <si>
    <t xml:space="preserve">Office_Log note entry: one conversation, filled top to bottom (works on a phone)</t>
  </si>
  <si>
    <t xml:space="preserve">1. Fill column B.  2. Select the whole 'row to paste' (row 57) and copy it.  3. On Office_Log, click column A of the first empty row and paste values only (Ctrl+Shift+V, or Edit &gt; Paste special &gt; Values only).  4. Clear B4:B53.</t>
  </si>
  <si>
    <t xml:space="preserve">field</t>
  </si>
  <si>
    <t xml:space="preserve">answer</t>
  </si>
  <si>
    <t xml:space="preserve">what to write</t>
  </si>
  <si>
    <t xml:space="preserve">Clay row_id of this contact. Required. One row per conversation; a second call with the same office is a second row with the same row_id.</t>
  </si>
  <si>
    <t xml:space="preserve">Company name as in Clay. Two contacts at one company: type the company the same way on both rows, and the office counts once.</t>
  </si>
  <si>
    <t xml:space="preserve">Optional; usually blank. The tracker counts every row of one organisation once, under calc_org: this cell if you type it, else the Clay company_group when it links several rows (grp-...), else the company name (case and spaces ignored). Type the same text on each row only to join rows whose company is written differently, or two different values to split two organisations that share a name.</t>
  </si>
  <si>
    <t xml:space="preserve">First and last name of the person you spoke to (business contact only).</t>
  </si>
  <si>
    <t xml:space="preserve">Their title.</t>
  </si>
  <si>
    <t xml:space="preserve">Where the contact came from: the Clay table, warm network, walk-in, or 'referral from &lt;row_id&gt;'.</t>
  </si>
  <si>
    <t xml:space="preserve">How the conversation came about: email, linkedin, warm-intro, walk-in.</t>
  </si>
  <si>
    <t xml:space="preserve">Date of the conversation (YYYY-MM-DD). Required; the Friday scorecard counts by this date.</t>
  </si>
  <si>
    <t xml:space="preserve">phone, video, in-person or walk-in.</t>
  </si>
  <si>
    <t xml:space="preserve">Q1. How the pantry works today: who chooses, who delivers, how often. Their words.</t>
  </si>
  <si>
    <t xml:space="preserve">Q1. Who supplies the pantry now, if they said.</t>
  </si>
  <si>
    <t xml:space="preserve">Q1. Y if a snack delivery service or vendor stocks the pantry (not a grocery order or a store run).</t>
  </si>
  <si>
    <t xml:space="preserve">Q1. Monthly pantry spend in USD if they named one. Number only; a range: its low end. Blank if not said.</t>
  </si>
  <si>
    <t xml:space="preserve">Q1. Their words about cost.</t>
  </si>
  <si>
    <t xml:space="preserve">Q2. People actually in on a Tuesday. A range: its low end, with the range in headcount_verbatim.</t>
  </si>
  <si>
    <t xml:space="preserve">Q2. Their words.</t>
  </si>
  <si>
    <t xml:space="preserve">Q3. Y if brands do reach out offering free product.</t>
  </si>
  <si>
    <t xml:space="preserve">Q3. Do brands offer free product, and what happens when they do.</t>
  </si>
  <si>
    <t xml:space="preserve">Q4. What they would need to say yes.</t>
  </si>
  <si>
    <t xml:space="preserve">Q4. What would make them say no.</t>
  </si>
  <si>
    <t xml:space="preserve">Q5. Would they photograph it on the shelf and post a three-question survey link? Y, N or maybe.</t>
  </si>
  <si>
    <t xml:space="preserve">Q5. Their words.</t>
  </si>
  <si>
    <t xml:space="preserve">Q6. Did you ask the budget probe word for word? Y or N.</t>
  </si>
  <si>
    <t xml:space="preserve">Q6. The answer, word for word.</t>
  </si>
  <si>
    <t xml:space="preserve">Q6 as a number, USD per month. A range: its low end. 'No budget' or 'zero': 0. No number or 'don't know': blank.</t>
  </si>
  <si>
    <t xml:space="preserve">Q6 high end, USD per month. Same as low for a single number. Blank if none.</t>
  </si>
  <si>
    <t xml:space="preserve">Q7. How many nearby pantry owners they named or introduced.</t>
  </si>
  <si>
    <t xml:space="preserve">Q7. Who: company and title, semicolons. Each becomes a new Clay row with referral_from = this row_id.</t>
  </si>
  <si>
    <t xml:space="preserve">Did they name the pantry owner (the person who receives a drop and can say yes)? Y or N.</t>
  </si>
  <si>
    <t xml:space="preserve">The pantry owner's name (business contact).</t>
  </si>
  <si>
    <t xml:space="preserve">The pantry owner's title.</t>
  </si>
  <si>
    <t xml:space="preserve">Can the owner say yes alone? 'I need to ask facilities or HR' is N.</t>
  </si>
  <si>
    <t xml:space="preserve">If someone else must agree, who: facilities, hr, ceo-or-assistant, landlord-or-building, finance, other.</t>
  </si>
  <si>
    <t xml:space="preserve">When a delivery can be received, in their words (e.g. Tue-Wed 9-11am). Blank if not named.</t>
  </si>
  <si>
    <t xml:space="preserve">walk-up, front desk, security desk, loading dock, other, unknown.</t>
  </si>
  <si>
    <t xml:space="preserve">Does the building require a certificate of insurance for deliveries? yes, no, unsure.</t>
  </si>
  <si>
    <t xml:space="preserve">Lobby, security or freight rules.</t>
  </si>
  <si>
    <t xml:space="preserve">Categories they would refuse, as category keys separated by semicolons (Lists tab).</t>
  </si>
  <si>
    <t xml:space="preserve">Their words about what they never want.</t>
  </si>
  <si>
    <t xml:space="preserve">Main objection, as a code (Lists tab). Blank if none.</t>
  </si>
  <si>
    <t xml:space="preserve">Second objection code.</t>
  </si>
  <si>
    <t xml:space="preserve">Third objection code.</t>
  </si>
  <si>
    <t xml:space="preserve">Every objection in their words.</t>
  </si>
  <si>
    <t xml:space="preserve">Y: would take a first drop in principle. maybe: interested but someone else must agree. N: no.</t>
  </si>
  <si>
    <t xml:space="preserve">Plan's yes signals seen: named_window_unprompted; asked_when; introduced_colleague.</t>
  </si>
  <si>
    <t xml:space="preserve">Y if this office is on your Gate 0 shortlist of offices to pursue (plan: 8). Set on any of its rows.</t>
  </si>
  <si>
    <t xml:space="preserve">Y only if they said yes to you quoting their words without their name (for example in a Startup CPG post). Blank or N: never quoted.</t>
  </si>
  <si>
    <t xml:space="preserve">Minutes from hanging up to finishing this row and the Clay write-back. Target 10 or less.</t>
  </si>
  <si>
    <t xml:space="preserve">Y once call_date, status, yes_in_principle, call_notes, next_action and next_action_date are written to the Clay row.</t>
  </si>
  <si>
    <t xml:space="preserve">Anything else.</t>
  </si>
  <si>
    <t xml:space="preserve">Check before pasting</t>
  </si>
  <si>
    <t xml:space="preserve">Row to paste into Office_Log (formulas; paste as values only)</t>
  </si>
  <si>
    <t xml:space="preserve">Brand_Log note entry: one conversation, filled top to bottom (works on a phone)</t>
  </si>
  <si>
    <t xml:space="preserve">1. Fill column B.  2. Select the whole 'row to paste' (row 54) and copy it.  3. On Brand_Log, click column A of the first empty row and paste values only (Ctrl+Shift+V, or Edit &gt; Paste special &gt; Values only).  4. Clear B4:B50.</t>
  </si>
  <si>
    <t xml:space="preserve">Clay row_id of this contact. Required. One row per conversation; a second call is a second row with the same row_id.</t>
  </si>
  <si>
    <t xml:space="preserve">Brand name as in Clay. Two founders of one brand: type the brand the same way on both rows, and the brand counts once.</t>
  </si>
  <si>
    <t xml:space="preserve">First and last name of the person you spoke to.</t>
  </si>
  <si>
    <t xml:space="preserve">Where the contact came from: Clay table, Startup CPG event, shelf photo, warm network, referral.</t>
  </si>
  <si>
    <t xml:space="preserve">How the conversation came about.</t>
  </si>
  <si>
    <t xml:space="preserve">Date of the conversation (YYYY-MM-DD). Required.</t>
  </si>
  <si>
    <t xml:space="preserve">Q1. How they get people to try the product now; what works and what doesn't.</t>
  </si>
  <si>
    <t xml:space="preserve">Q2. Sampling or field-marketing spend per quarter, USD. A range: low end. Blank if not said.</t>
  </si>
  <si>
    <t xml:space="preserve">Q2. High end of the range. Same as low for one number.</t>
  </si>
  <si>
    <t xml:space="preserve">Q2. Their words about budget.</t>
  </si>
  <si>
    <t xml:space="preserve">Q2. Who signs off, in their words (business title).</t>
  </si>
  <si>
    <t xml:space="preserve">Does the person on this call control the budget? Y or N. Gate 0 counts a brand only if Y.</t>
  </si>
  <si>
    <t xml:space="preserve">Q3. Have they ever seeded offices? Y or N.</t>
  </si>
  <si>
    <t xml:space="preserve">Q3. What happened.</t>
  </si>
  <si>
    <t xml:space="preserve">Q4. The number they named BEFORE you said $1,500, as USD for the 10-office, 500-unit campaign. 'Nothing': 0. No number: blank.</t>
  </si>
  <si>
    <t xml:space="preserve">Q4. Their words, before you said $1,500.</t>
  </si>
  <si>
    <t xml:space="preserve">If they gave a per-unit or per-store figure, how you turned it into a campaign number (e.g. $2 a unit x 500 = 1000).</t>
  </si>
  <si>
    <t xml:space="preserve">Did you then say the $1,500 standard price on this call? Y or N.</t>
  </si>
  <si>
    <t xml:space="preserve">Q4. Their number AFTER hearing $1,500, USD per campaign. Blank if none.</t>
  </si>
  <si>
    <t xml:space="preserve">Q4. Their words after hearing $1,500.</t>
  </si>
  <si>
    <t xml:space="preserve">Q5. What the report would need to show for them to do it again.</t>
  </si>
  <si>
    <t xml:space="preserve">Q6. Buy path near the cluster.</t>
  </si>
  <si>
    <t xml:space="preserve">Q6. Store name and street, or the site, in their words.</t>
  </si>
  <si>
    <t xml:space="preserve">Q7. What would stop them: budget timing, inventory, shelf life, something else.</t>
  </si>
  <si>
    <t xml:space="preserve">Qualifying call (weeks 4 to 7). Individually packaged, sealed, shelf-stable, 60+ days of shelf life at delivery? Y, N or unsure, in their words.</t>
  </si>
  <si>
    <t xml:space="preserve">Label shows ingredients and the nine major allergens?</t>
  </si>
  <si>
    <t xml:space="preserve">Stocked within ten blocks of the cluster, or online with a discount code? (Q6 above.)</t>
  </si>
  <si>
    <t xml:space="preserve">Can ship 275 units (250 to place plus a 10% reserve) to one Manhattan address within ten business days?</t>
  </si>
  <si>
    <t xml:space="preserve">Carries product liability insurance of at least $1,000,000 per occurrence and can add the company as additional insured until 12 months after the campaign? Less cover is N.</t>
  </si>
  <si>
    <t xml:space="preserve">Can this person approve $600 without a committee?</t>
  </si>
  <si>
    <t xml:space="preserve">Their reason to want New York trial now (new store, launch, local push), in their words. Blank if none.</t>
  </si>
  <si>
    <t xml:space="preserve">Y = not alcohol, cannabis, CBD or THC, a supplement, refrigerated, needing preparation, or carrying a health claim (CONTRACTS 4).</t>
  </si>
  <si>
    <t xml:space="preserve">Main objection, as a code (Lists tab).</t>
  </si>
  <si>
    <t xml:space="preserve">Y: would buy a campaign in principle at a price they named. maybe. N.</t>
  </si>
  <si>
    <t xml:space="preserve">Y if this brand is on your Gate 0 shortlist of brands to pursue (plan: 6). Set on any of its rows.</t>
  </si>
  <si>
    <t xml:space="preserve">How many other founders they named or introduced.</t>
  </si>
  <si>
    <t xml:space="preserve">Who: brand and title, semicolons. Each becomes a new Clay row with referral_from = this row_id.</t>
  </si>
  <si>
    <t xml:space="preserve">Y once call_date, status, yes_in_principle, call_notes, next_action and next_action_date are written to Clay.</t>
  </si>
  <si>
    <t xml:space="preserve">Row to paste into Brand_Log (formulas; paste as values only)</t>
  </si>
  <si>
    <t xml:space="preserve">submitted_at</t>
  </si>
  <si>
    <t xml:space="preserve">form_version</t>
  </si>
  <si>
    <t xml:space="preserve">contact_email</t>
  </si>
  <si>
    <t xml:space="preserve">contact_phone</t>
  </si>
  <si>
    <t xml:space="preserve">office_address</t>
  </si>
  <si>
    <t xml:space="preserve">floor_suite</t>
  </si>
  <si>
    <t xml:space="preserve">pantry_owner_is_contact</t>
  </si>
  <si>
    <t xml:space="preserve">survey_channel</t>
  </si>
  <si>
    <t xml:space="preserve">categories_wanted</t>
  </si>
  <si>
    <t xml:space="preserve">vetoes</t>
  </si>
  <si>
    <t xml:space="preserve">office_id</t>
  </si>
  <si>
    <t xml:space="preserve">clay_row_id</t>
  </si>
  <si>
    <t xml:space="preserve">agreement_signed_date</t>
  </si>
  <si>
    <t xml:space="preserve">agreement_file</t>
  </si>
  <si>
    <t xml:space="preserve">founding_roster_named</t>
  </si>
  <si>
    <t xml:space="preserve">budget_probe_date</t>
  </si>
  <si>
    <t xml:space="preserve">budget_probe_monthly_usd</t>
  </si>
  <si>
    <t xml:space="preserve">agreement_version</t>
  </si>
  <si>
    <t xml:space="preserve">industry</t>
  </si>
  <si>
    <t xml:space="preserve">pantry_owner_phone</t>
  </si>
  <si>
    <t xml:space="preserve">pantry_owner_email</t>
  </si>
  <si>
    <t xml:space="preserve">public_naming_ok</t>
  </si>
  <si>
    <t xml:space="preserve">building_id</t>
  </si>
  <si>
    <t xml:space="preserve">2026-11-23 10:14</t>
  </si>
  <si>
    <t xml:space="preserve">office-1.0</t>
  </si>
  <si>
    <t xml:space="preserve">SAMPLE-contact@SAMPLE-office-01.example</t>
  </si>
  <si>
    <t xml:space="preserve">SAMPLE 000-000-0000</t>
  </si>
  <si>
    <t xml:space="preserve">SAMPLE 1 Example Street, New York, NY</t>
  </si>
  <si>
    <t xml:space="preserve">SAMPLE Floor 4</t>
  </si>
  <si>
    <t xml:space="preserve">slack</t>
  </si>
  <si>
    <t xml:space="preserve">bars;sparkling-soda;chips-crisps</t>
  </si>
  <si>
    <t xml:space="preserve">SAMPLE: prefers low-sugar options</t>
  </si>
  <si>
    <t xml:space="preserve">founder</t>
  </si>
  <si>
    <t xml:space="preserve">SAMPLE-O-101</t>
  </si>
  <si>
    <t xml:space="preserve">SAMPLE-participation-agreement-office-01.pdf</t>
  </si>
  <si>
    <t xml:space="preserve">0.8</t>
  </si>
  <si>
    <t xml:space="preserve">SAMPLE software</t>
  </si>
  <si>
    <t xml:space="preserve">SAMPLE 000-000-0002</t>
  </si>
  <si>
    <t xml:space="preserve">SAMPLE-owner@SAMPLE-office-01.example</t>
  </si>
  <si>
    <t xml:space="preserve">SAMPLE-B-B-001</t>
  </si>
  <si>
    <t xml:space="preserve">2026-11-20 11:02</t>
  </si>
  <si>
    <t xml:space="preserve">SAMPLE-contact@SAMPLE-office-06.example</t>
  </si>
  <si>
    <t xml:space="preserve">SAMPLE 6 Example Street, New York, NY</t>
  </si>
  <si>
    <t xml:space="preserve">SAMPLE-O-102</t>
  </si>
  <si>
    <t xml:space="preserve">SAMPLE-participation-agreement-office-06.pdf</t>
  </si>
  <si>
    <t xml:space="preserve">SAMPLE-owner@SAMPLE-office-06.example</t>
  </si>
  <si>
    <t xml:space="preserve">SAMPLE-B-B-002</t>
  </si>
  <si>
    <t xml:space="preserve">2026-11-21 11:03</t>
  </si>
  <si>
    <t xml:space="preserve">SAMPLE-contact@SAMPLE-office-08.example</t>
  </si>
  <si>
    <t xml:space="preserve">SAMPLE 8 Example Street, New York, NY</t>
  </si>
  <si>
    <t xml:space="preserve">SAMPLE Floor 5</t>
  </si>
  <si>
    <t xml:space="preserve">SAMPLE-O-103</t>
  </si>
  <si>
    <t xml:space="preserve">SAMPLE-participation-agreement-office-08.pdf</t>
  </si>
  <si>
    <t xml:space="preserve">SAMPLE-owner@SAMPLE-office-08.example</t>
  </si>
  <si>
    <t xml:space="preserve">SAMPLE-B-B-003</t>
  </si>
  <si>
    <t xml:space="preserve">2026-11-22 11:04</t>
  </si>
  <si>
    <t xml:space="preserve">SAMPLE-contact@SAMPLE-office-10.example</t>
  </si>
  <si>
    <t xml:space="preserve">SAMPLE 10 Example Street, New York, NY</t>
  </si>
  <si>
    <t xml:space="preserve">SAMPLE Floor 6</t>
  </si>
  <si>
    <t xml:space="preserve">SAMPLE-O-104</t>
  </si>
  <si>
    <t xml:space="preserve">SAMPLE-participation-agreement-office-10.pdf</t>
  </si>
  <si>
    <t xml:space="preserve">SAMPLE-owner@SAMPLE-office-10.example</t>
  </si>
  <si>
    <t xml:space="preserve">SAMPLE-B-B-004</t>
  </si>
  <si>
    <t xml:space="preserve">2026-11-27 11:05</t>
  </si>
  <si>
    <t xml:space="preserve">SAMPLE-contact@SAMPLE-office-13.example</t>
  </si>
  <si>
    <t xml:space="preserve">SAMPLE 13 Example Street, New York, NY</t>
  </si>
  <si>
    <t xml:space="preserve">SAMPLE Floor 7</t>
  </si>
  <si>
    <t xml:space="preserve">SAMPLE-O-105</t>
  </si>
  <si>
    <t xml:space="preserve">SAMPLE-participation-agreement-office-13.pdf</t>
  </si>
  <si>
    <t xml:space="preserve">SAMPLE-owner@SAMPLE-office-13.example</t>
  </si>
  <si>
    <t xml:space="preserve">SAMPLE-B-B-005</t>
  </si>
  <si>
    <t xml:space="preserve">brand_name</t>
  </si>
  <si>
    <t xml:space="preserve">website</t>
  </si>
  <si>
    <t xml:space="preserve">product_sku</t>
  </si>
  <si>
    <t xml:space="preserve">category</t>
  </si>
  <si>
    <t xml:space="preserve">hq_city</t>
  </si>
  <si>
    <t xml:space="preserve">nyc_retailers</t>
  </si>
  <si>
    <t xml:space="preserve">online_store_url</t>
  </si>
  <si>
    <t xml:space="preserve">can_issue_discount_code</t>
  </si>
  <si>
    <t xml:space="preserve">preferred_timing</t>
  </si>
  <si>
    <t xml:space="preserve">budget_approver_is_contact</t>
  </si>
  <si>
    <t xml:space="preserve">budget_approver_name_title</t>
  </si>
  <si>
    <t xml:space="preserve">q1_sealed_shelf_stable_60d</t>
  </si>
  <si>
    <t xml:space="preserve">q2_labeled_ingredients_allergens</t>
  </si>
  <si>
    <t xml:space="preserve">q3_buy_path_near_cluster</t>
  </si>
  <si>
    <t xml:space="preserve">q4_can_ship_275_in_10bd</t>
  </si>
  <si>
    <t xml:space="preserve">q5_product_liability_insurance</t>
  </si>
  <si>
    <t xml:space="preserve">q6_contact_can_approve_600</t>
  </si>
  <si>
    <t xml:space="preserve">q7_why_now</t>
  </si>
  <si>
    <t xml:space="preserve">excluded_category_confirmed</t>
  </si>
  <si>
    <t xml:space="preserve">brand_id</t>
  </si>
  <si>
    <t xml:space="preserve">tier</t>
  </si>
  <si>
    <t xml:space="preserve">price_usd</t>
  </si>
  <si>
    <t xml:space="preserve">offices_count</t>
  </si>
  <si>
    <t xml:space="preserve">payment_terms</t>
  </si>
  <si>
    <t xml:space="preserve">invoice_id</t>
  </si>
  <si>
    <t xml:space="preserve">invoice_date</t>
  </si>
  <si>
    <t xml:space="preserve">payment_received_date</t>
  </si>
  <si>
    <t xml:space="preserve">coi_received_date</t>
  </si>
  <si>
    <t xml:space="preserve">allergen_sheet_received_date</t>
  </si>
  <si>
    <t xml:space="preserve">logo_received_date</t>
  </si>
  <si>
    <t xml:space="preserve">card_sentences</t>
  </si>
  <si>
    <t xml:space="preserve">allergen_line_verbatim</t>
  </si>
  <si>
    <t xml:space="preserve">retailer_line</t>
  </si>
  <si>
    <t xml:space="preserve">discount_code</t>
  </si>
  <si>
    <t xml:space="preserve">landing_url</t>
  </si>
  <si>
    <t xml:space="preserve">unused_product_election</t>
  </si>
  <si>
    <t xml:space="preserve">office_approvals</t>
  </si>
  <si>
    <t xml:space="preserve">payment_1_usd</t>
  </si>
  <si>
    <t xml:space="preserve">payment_1_date</t>
  </si>
  <si>
    <t xml:space="preserve">payment_2_usd</t>
  </si>
  <si>
    <t xml:space="preserve">payment_2_date</t>
  </si>
  <si>
    <t xml:space="preserve">coi_policy_end_date</t>
  </si>
  <si>
    <t xml:space="preserve">newsletter_option</t>
  </si>
  <si>
    <t xml:space="preserve">brand_privacy_url</t>
  </si>
  <si>
    <t xml:space="preserve">allergen_source</t>
  </si>
  <si>
    <t xml:space="preserve">may_contain_verbatim</t>
  </si>
  <si>
    <t xml:space="preserve">flavor_name</t>
  </si>
  <si>
    <t xml:space="preserve">flavor_name_2</t>
  </si>
  <si>
    <t xml:space="preserve">allergen_source_2</t>
  </si>
  <si>
    <t xml:space="preserve">allergen_line_verbatim_2</t>
  </si>
  <si>
    <t xml:space="preserve">may_contain_verbatim_2</t>
  </si>
  <si>
    <t xml:space="preserve">verified_q1_sealed_shelf_stable_60d</t>
  </si>
  <si>
    <t xml:space="preserve">verified_q2_labeled_ingredients_allergens</t>
  </si>
  <si>
    <t xml:space="preserve">verified_q3_buy_path_near_cluster</t>
  </si>
  <si>
    <t xml:space="preserve">verified_q4_can_ship_275_in_10bd</t>
  </si>
  <si>
    <t xml:space="preserve">verified_q5_product_liability_insurance</t>
  </si>
  <si>
    <t xml:space="preserve">verified_q6_contact_can_approve_600</t>
  </si>
  <si>
    <t xml:space="preserve">verified_q7_why_now</t>
  </si>
  <si>
    <t xml:space="preserve">verified_not_excluded</t>
  </si>
  <si>
    <t xml:space="preserve">verified_date</t>
  </si>
  <si>
    <t xml:space="preserve">verified_notes</t>
  </si>
  <si>
    <t xml:space="preserve">campaign_id</t>
  </si>
  <si>
    <t xml:space="preserve">brand_legal_name</t>
  </si>
  <si>
    <t xml:space="preserve">billing_address</t>
  </si>
  <si>
    <t xml:space="preserve">billing_email</t>
  </si>
  <si>
    <t xml:space="preserve">code_site</t>
  </si>
  <si>
    <t xml:space="preserve">2026-11-25 15:40</t>
  </si>
  <si>
    <t xml:space="preserve">brand-1.0</t>
  </si>
  <si>
    <t xml:space="preserve">https://SAMPLE-brand-01.example</t>
  </si>
  <si>
    <t xml:space="preserve">SAMPLE-founder@SAMPLE-brand-01.example</t>
  </si>
  <si>
    <t xml:space="preserve">SAMPLE 000-000-0001</t>
  </si>
  <si>
    <t xml:space="preserve">SAMPLE Crunch Bar, Sea Salt, 1.4 oz</t>
  </si>
  <si>
    <t xml:space="preserve">bars</t>
  </si>
  <si>
    <t xml:space="preserve">SAMPLE Brooklyn</t>
  </si>
  <si>
    <t xml:space="preserve">https://SAMPLE-brand-01.example/shop</t>
  </si>
  <si>
    <t xml:space="preserve">SAMPLE January</t>
  </si>
  <si>
    <t xml:space="preserve">SAMPLE Contact B01, Founder</t>
  </si>
  <si>
    <t xml:space="preserve">SAMPLE: new placement at a store near the cluster</t>
  </si>
  <si>
    <t xml:space="preserve">SAMPLE</t>
  </si>
  <si>
    <t xml:space="preserve">SAMPLE-BR-101</t>
  </si>
  <si>
    <t xml:space="preserve">founding</t>
  </si>
  <si>
    <t xml:space="preserve">founding: in full within five business days of invoice, before shipping</t>
  </si>
  <si>
    <t xml:space="preserve">SAMPLE-INV-0001</t>
  </si>
  <si>
    <t xml:space="preserve">SAMPLE: two sentences from the brand about who makes it and why.</t>
  </si>
  <si>
    <t xml:space="preserve">SAMPLE: Contains: almonds, milk.</t>
  </si>
  <si>
    <t xml:space="preserve">SAMPLE: Find it at SAMPLE Store, SAMPLE street</t>
  </si>
  <si>
    <t xml:space="preserve">SAMPLECODE10</t>
  </si>
  <si>
    <t xml:space="preserve">https://SAMPLE-brand-01.example/office</t>
  </si>
  <si>
    <t xml:space="preserve">release</t>
  </si>
  <si>
    <t xml:space="preserve">SAMPLE-O-101;SAMPLE-O-102;SAMPLE-O-103;SAMPLE-O-104;SAMPLE-O-105</t>
  </si>
  <si>
    <t xml:space="preserve">https://SAMPLE-brand-01.example/privacy</t>
  </si>
  <si>
    <t xml:space="preserve">contains_statement</t>
  </si>
  <si>
    <t xml:space="preserve">SAMPLE: May contain peanuts.</t>
  </si>
  <si>
    <t xml:space="preserve">SAMPLE: unit seen, best-by 2027-06; certificate checked</t>
  </si>
  <si>
    <t xml:space="preserve">SAMPLE-CMP-001</t>
  </si>
  <si>
    <t xml:space="preserve">SAMPLE Brand 01 LLC</t>
  </si>
  <si>
    <t xml:space="preserve">SAMPLE 2 Example Avenue, Brooklyn, NY</t>
  </si>
  <si>
    <t xml:space="preserve">SAMPLE-billing@SAMPLE-brand-01.example</t>
  </si>
  <si>
    <t xml:space="preserve">SAMPLE-brand-01.example</t>
  </si>
  <si>
    <t xml:space="preserve">date</t>
  </si>
  <si>
    <t xml:space="preserve">side</t>
  </si>
  <si>
    <t xml:space="preserve">org_name</t>
  </si>
  <si>
    <t xml:space="preserve">event</t>
  </si>
  <si>
    <t xml:space="preserve">value_number</t>
  </si>
  <si>
    <t xml:space="preserve">value_text</t>
  </si>
  <si>
    <t xml:space="preserve">renewal_answer</t>
  </si>
  <si>
    <t xml:space="preserve">SAMPLE: debrief, wants the report first</t>
  </si>
  <si>
    <t xml:space="preserve">SAMPLE_extra_enrichment</t>
  </si>
  <si>
    <t xml:space="preserve">first_name</t>
  </si>
  <si>
    <t xml:space="preserve">last_name</t>
  </si>
  <si>
    <t xml:space="preserve">title</t>
  </si>
  <si>
    <t xml:space="preserve">contact_linkedin_url</t>
  </si>
  <si>
    <t xml:space="preserve">work_email</t>
  </si>
  <si>
    <t xml:space="preserve">email_status</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</si>
  <si>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</si>
  <si>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</si>
  <si>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</si>
  <si>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</si>
  <si>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</si>
  <si>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</si>
  <si>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</si>
  <si>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</si>
  <si>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</si>
  <si>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</si>
  <si>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status</t>
  </si>
  <si>
    <t xml:space="preserve">do_not_contact</t>
  </si>
  <si>
    <t xml:space="preserve">source_url</t>
  </si>
  <si>
    <t xml:space="preserve">found_date</t>
  </si>
  <si>
    <t xml:space="preserve">touch_1_date</t>
  </si>
  <si>
    <t xml:space="preserve">sequence</t>
  </si>
  <si>
    <t xml:space="preserve">touch_2_date</t>
  </si>
  <si>
    <t xml:space="preserve">touch_3_date</t>
  </si>
  <si>
    <t xml:space="preserve">last_reply_date</t>
  </si>
  <si>
    <t xml:space="preserve">reply_type</t>
  </si>
  <si>
    <t xml:space="preserve">call_notes</t>
  </si>
  <si>
    <t xml:space="preserve">next_action</t>
  </si>
  <si>
    <t xml:space="preserve">next_action_date</t>
  </si>
  <si>
    <t xml:space="preserve">opt_out_date</t>
  </si>
  <si>
    <t xml:space="preserve">referral_from</t>
  </si>
  <si>
    <t xml:space="preserve">company_group</t>
  </si>
  <si>
    <t xml:space="preserve">SAMPLE enrichment 1</t>
  </si>
  <si>
    <t xml:space="preserve">Contact O01</t>
  </si>
  <si>
    <t xml:space="preserve">verified</t>
  </si>
  <si>
    <t xml:space="preserve">SAMPLE: score reason</t>
  </si>
  <si>
    <t xml:space="preserve">signed</t>
  </si>
  <si>
    <t xml:space="preserve">yes</t>
  </si>
  <si>
    <t xml:space="preserve">SAMPLE: see tracker 2026-11-06</t>
  </si>
  <si>
    <t xml:space="preserve">SAMPLE enrichment 2</t>
  </si>
  <si>
    <t xml:space="preserve">Contact O02</t>
  </si>
  <si>
    <t xml:space="preserve">SAMPLE: see tracker 2026-10-28</t>
  </si>
  <si>
    <t xml:space="preserve">SAMPLE enrichment 3</t>
  </si>
  <si>
    <t xml:space="preserve">Contact O03</t>
  </si>
  <si>
    <t xml:space="preserve">call_done</t>
  </si>
  <si>
    <t xml:space="preserve">SAMPLE: see tracker 2026-10-29</t>
  </si>
  <si>
    <t xml:space="preserve">SAMPLE enrichment 4</t>
  </si>
  <si>
    <t xml:space="preserve">Contact O04</t>
  </si>
  <si>
    <t xml:space="preserve">replied</t>
  </si>
  <si>
    <t xml:space="preserve">SAMPLE: see tracker 2026-11-12</t>
  </si>
  <si>
    <t xml:space="preserve">SAMPLE enrichment 5</t>
  </si>
  <si>
    <t xml:space="preserve">Contact O05</t>
  </si>
  <si>
    <t xml:space="preserve">SAMPLE: see tracker 2026-11-03</t>
  </si>
  <si>
    <t xml:space="preserve">SAMPLE enrichment 6</t>
  </si>
  <si>
    <t xml:space="preserve">Contact O06</t>
  </si>
  <si>
    <t xml:space="preserve">SAMPLE: see tracker 2026-11-04</t>
  </si>
  <si>
    <t xml:space="preserve">SAMPLE enrichment 7</t>
  </si>
  <si>
    <t xml:space="preserve">Contact O07</t>
  </si>
  <si>
    <t xml:space="preserve">SAMPLE: see tracker 2026-11-05</t>
  </si>
  <si>
    <t xml:space="preserve">SAMPLE enrichment 8</t>
  </si>
  <si>
    <t xml:space="preserve">Contact O08</t>
  </si>
  <si>
    <t xml:space="preserve">SAMPLE: see tracker 2026-11-09</t>
  </si>
  <si>
    <t xml:space="preserve">SAMPLE enrichment 9</t>
  </si>
  <si>
    <t xml:space="preserve">Contact O09</t>
  </si>
  <si>
    <t xml:space="preserve">SAMPLE: see tracker 2026-11-10</t>
  </si>
  <si>
    <t xml:space="preserve">SAMPLE enrichment 10</t>
  </si>
  <si>
    <t xml:space="preserve">Contact O10</t>
  </si>
  <si>
    <t xml:space="preserve">SAMPLE enrichment 11</t>
  </si>
  <si>
    <t xml:space="preserve">Contact O11</t>
  </si>
  <si>
    <t xml:space="preserve">SAMPLE enrichment 12</t>
  </si>
  <si>
    <t xml:space="preserve">Contact O12</t>
  </si>
  <si>
    <t xml:space="preserve">SAMPLE enrichment 13</t>
  </si>
  <si>
    <t xml:space="preserve">Contact O13</t>
  </si>
  <si>
    <t xml:space="preserve">SAMPLE: see tracker 2026-11-13</t>
  </si>
  <si>
    <t xml:space="preserve">SAMPLE enrichment 15</t>
  </si>
  <si>
    <t xml:space="preserve">SAMPLE Office 15</t>
  </si>
  <si>
    <t xml:space="preserve">SAMPLE-O-015</t>
  </si>
  <si>
    <t xml:space="preserve">Contact O15</t>
  </si>
  <si>
    <t xml:space="preserve">contacted</t>
  </si>
  <si>
    <t xml:space="preserve">out_of_office</t>
  </si>
  <si>
    <t xml:space="preserve">SAMPLE enrichment 16</t>
  </si>
  <si>
    <t xml:space="preserve">SAMPLE Office 16</t>
  </si>
  <si>
    <t xml:space="preserve">SAMPLE-O-016</t>
  </si>
  <si>
    <t xml:space="preserve">Contact O16</t>
  </si>
  <si>
    <t xml:space="preserve">not_now</t>
  </si>
  <si>
    <t xml:space="preserve">recontact</t>
  </si>
  <si>
    <t xml:space="preserve">SAMPLE enrichment 17</t>
  </si>
  <si>
    <t xml:space="preserve">SAMPLE Office 17</t>
  </si>
  <si>
    <t xml:space="preserve">SAMPLE-O-017</t>
  </si>
  <si>
    <t xml:space="preserve">Contact O17</t>
  </si>
  <si>
    <t xml:space="preserve">SAMPLE enrichment 18</t>
  </si>
  <si>
    <t xml:space="preserve">SAMPLE Office 18</t>
  </si>
  <si>
    <t xml:space="preserve">SAMPLE-O-018</t>
  </si>
  <si>
    <t xml:space="preserve">Contact O18</t>
  </si>
  <si>
    <t xml:space="preserve">SAMPLE enrichment 19</t>
  </si>
  <si>
    <t xml:space="preserve">SAMPLE Office 19</t>
  </si>
  <si>
    <t xml:space="preserve">SAMPLE-O-019</t>
  </si>
  <si>
    <t xml:space="preserve">Contact O19</t>
  </si>
  <si>
    <t xml:space="preserve">SAMPLE enrichment 20</t>
  </si>
  <si>
    <t xml:space="preserve">SAMPLE Office 20</t>
  </si>
  <si>
    <t xml:space="preserve">SAMPLE-O-020</t>
  </si>
  <si>
    <t xml:space="preserve">Contact O20</t>
  </si>
  <si>
    <t xml:space="preserve">SAMPLE enrichment 21</t>
  </si>
  <si>
    <t xml:space="preserve">SAMPLE Office 21</t>
  </si>
  <si>
    <t xml:space="preserve">SAMPLE-O-021</t>
  </si>
  <si>
    <t xml:space="preserve">Contact O21</t>
  </si>
  <si>
    <t xml:space="preserve">SAMPLE enrichment 22</t>
  </si>
  <si>
    <t xml:space="preserve">SAMPLE Office 22</t>
  </si>
  <si>
    <t xml:space="preserve">SAMPLE-O-022</t>
  </si>
  <si>
    <t xml:space="preserve">Contact O22</t>
  </si>
  <si>
    <t xml:space="preserve">SAMPLE enrichment 23</t>
  </si>
  <si>
    <t xml:space="preserve">SAMPLE Office 23</t>
  </si>
  <si>
    <t xml:space="preserve">SAMPLE-O-023</t>
  </si>
  <si>
    <t xml:space="preserve">Contact O23</t>
  </si>
  <si>
    <t xml:space="preserve">opt_out</t>
  </si>
  <si>
    <t xml:space="preserve">SAMPLE enrichment 24</t>
  </si>
  <si>
    <t xml:space="preserve">SAMPLE Office 24</t>
  </si>
  <si>
    <t xml:space="preserve">SAMPLE-O-024</t>
  </si>
  <si>
    <t xml:space="preserve">Contact O24</t>
  </si>
  <si>
    <t xml:space="preserve">none</t>
  </si>
  <si>
    <t xml:space="preserve">bounce</t>
  </si>
  <si>
    <t xml:space="preserve">SAMPLE enrichment 25</t>
  </si>
  <si>
    <t xml:space="preserve">SAMPLE Office 25</t>
  </si>
  <si>
    <t xml:space="preserve">SAMPLE-O-025</t>
  </si>
  <si>
    <t xml:space="preserve">Contact O25</t>
  </si>
  <si>
    <t xml:space="preserve">SAMPLE enrichment 26</t>
  </si>
  <si>
    <t xml:space="preserve">SAMPLE Office 26</t>
  </si>
  <si>
    <t xml:space="preserve">SAMPLE-O-026</t>
  </si>
  <si>
    <t xml:space="preserve">Contact O26</t>
  </si>
  <si>
    <t xml:space="preserve">SAMPLE enrichment 27</t>
  </si>
  <si>
    <t xml:space="preserve">SAMPLE Office 27</t>
  </si>
  <si>
    <t xml:space="preserve">SAMPLE-O-027</t>
  </si>
  <si>
    <t xml:space="preserve">Contact O27</t>
  </si>
  <si>
    <t xml:space="preserve">SAMPLE enrichment 28</t>
  </si>
  <si>
    <t xml:space="preserve">SAMPLE Office 28</t>
  </si>
  <si>
    <t xml:space="preserve">SAMPLE-O-028</t>
  </si>
  <si>
    <t xml:space="preserve">Contact O28</t>
  </si>
  <si>
    <t xml:space="preserve">SAMPLE enrichment 29</t>
  </si>
  <si>
    <t xml:space="preserve">SAMPLE Office 29</t>
  </si>
  <si>
    <t xml:space="preserve">SAMPLE-O-029</t>
  </si>
  <si>
    <t xml:space="preserve">Contact O29</t>
  </si>
  <si>
    <t xml:space="preserve">SAMPLE enrichment 30</t>
  </si>
  <si>
    <t xml:space="preserve">SAMPLE Office 30</t>
  </si>
  <si>
    <t xml:space="preserve">SAMPLE-O-030</t>
  </si>
  <si>
    <t xml:space="preserve">Contact O30</t>
  </si>
  <si>
    <t xml:space="preserve">SAMPLE enrichment 31</t>
  </si>
  <si>
    <t xml:space="preserve">SAMPLE Office 31</t>
  </si>
  <si>
    <t xml:space="preserve">SAMPLE-O-031</t>
  </si>
  <si>
    <t xml:space="preserve">Contact O31</t>
  </si>
  <si>
    <t xml:space="preserve">SAMPLE enrichment 32</t>
  </si>
  <si>
    <t xml:space="preserve">SAMPLE Office 32</t>
  </si>
  <si>
    <t xml:space="preserve">SAMPLE-O-032</t>
  </si>
  <si>
    <t xml:space="preserve">Contact O32</t>
  </si>
  <si>
    <t xml:space="preserve">SAMPLE enrichment 33</t>
  </si>
  <si>
    <t xml:space="preserve">SAMPLE Office 33</t>
  </si>
  <si>
    <t xml:space="preserve">SAMPLE-O-033</t>
  </si>
  <si>
    <t xml:space="preserve">Contact O33</t>
  </si>
  <si>
    <t xml:space="preserve">SAMPLE enrichment 34</t>
  </si>
  <si>
    <t xml:space="preserve">SAMPLE Office 34</t>
  </si>
  <si>
    <t xml:space="preserve">SAMPLE-O-034</t>
  </si>
  <si>
    <t xml:space="preserve">Contact O34</t>
  </si>
  <si>
    <t xml:space="preserve">SAMPLE enrichment 35</t>
  </si>
  <si>
    <t xml:space="preserve">SAMPLE Office 35</t>
  </si>
  <si>
    <t xml:space="preserve">SAMPLE-O-035</t>
  </si>
  <si>
    <t xml:space="preserve">Contact O35</t>
  </si>
  <si>
    <t xml:space="preserve">SAMPLE enrichment 36</t>
  </si>
  <si>
    <t xml:space="preserve">SAMPLE Office 36</t>
  </si>
  <si>
    <t xml:space="preserve">SAMPLE-O-036</t>
  </si>
  <si>
    <t xml:space="preserve">Contact O36</t>
  </si>
  <si>
    <t xml:space="preserve">SAMPLE enrichment 37</t>
  </si>
  <si>
    <t xml:space="preserve">SAMPLE Office 37</t>
  </si>
  <si>
    <t xml:space="preserve">SAMPLE-O-037</t>
  </si>
  <si>
    <t xml:space="preserve">Contact O37</t>
  </si>
  <si>
    <t xml:space="preserve">SAMPLE enrichment 38</t>
  </si>
  <si>
    <t xml:space="preserve">SAMPLE Office 38</t>
  </si>
  <si>
    <t xml:space="preserve">SAMPLE-O-038</t>
  </si>
  <si>
    <t xml:space="preserve">Contact O38</t>
  </si>
  <si>
    <t xml:space="preserve">SAMPLE enrichment 39</t>
  </si>
  <si>
    <t xml:space="preserve">SAMPLE Office 39</t>
  </si>
  <si>
    <t xml:space="preserve">SAMPLE-O-039</t>
  </si>
  <si>
    <t xml:space="preserve">Contact O39</t>
  </si>
  <si>
    <t xml:space="preserve">SAMPLE enrichment 40</t>
  </si>
  <si>
    <t xml:space="preserve">SAMPLE Office 40</t>
  </si>
  <si>
    <t xml:space="preserve">SAMPLE-O-040</t>
  </si>
  <si>
    <t xml:space="preserve">Contact O40</t>
  </si>
  <si>
    <t xml:space="preserve">Contact B01</t>
  </si>
  <si>
    <t xml:space="preserve">paid</t>
  </si>
  <si>
    <t xml:space="preserve">SAMPLE: see tracker 2026-10-27</t>
  </si>
  <si>
    <t xml:space="preserve">Contact B02</t>
  </si>
  <si>
    <t xml:space="preserve">Contact B03</t>
  </si>
  <si>
    <t xml:space="preserve">Contact B04</t>
  </si>
  <si>
    <t xml:space="preserve">SAMPLE: see tracker 2026-11-02</t>
  </si>
  <si>
    <t xml:space="preserve">Contact B05</t>
  </si>
  <si>
    <t xml:space="preserve">Contact B06</t>
  </si>
  <si>
    <t xml:space="preserve">Contact B07</t>
  </si>
  <si>
    <t xml:space="preserve">Contact B08</t>
  </si>
  <si>
    <t xml:space="preserve">Contact B09</t>
  </si>
  <si>
    <t xml:space="preserve">call_booked</t>
  </si>
  <si>
    <t xml:space="preserve">Contact B10</t>
  </si>
  <si>
    <t xml:space="preserve">SAMPLE: see tracker 2026-11-11</t>
  </si>
  <si>
    <t xml:space="preserve">Contact B11</t>
  </si>
  <si>
    <t xml:space="preserve">Contact B12</t>
  </si>
  <si>
    <t xml:space="preserve">Contact B13</t>
  </si>
  <si>
    <t xml:space="preserve">SAMPLE enrichment 14</t>
  </si>
  <si>
    <t xml:space="preserve">Contact B14</t>
  </si>
  <si>
    <t xml:space="preserve">SAMPLE: see tracker 2026-11-17</t>
  </si>
  <si>
    <t xml:space="preserve">Contact B15</t>
  </si>
  <si>
    <t xml:space="preserve">SAMPLE: see tracker 2026-11-18</t>
  </si>
  <si>
    <t xml:space="preserve">SAMPLE Brand 16</t>
  </si>
  <si>
    <t xml:space="preserve">SAMPLE-B-016</t>
  </si>
  <si>
    <t xml:space="preserve">Contact B16</t>
  </si>
  <si>
    <t xml:space="preserve">SAMPLE Brand 17</t>
  </si>
  <si>
    <t xml:space="preserve">SAMPLE-B-017</t>
  </si>
  <si>
    <t xml:space="preserve">Contact B17</t>
  </si>
  <si>
    <t xml:space="preserve">SAMPLE Brand 18</t>
  </si>
  <si>
    <t xml:space="preserve">SAMPLE-B-018</t>
  </si>
  <si>
    <t xml:space="preserve">Contact B18</t>
  </si>
  <si>
    <t xml:space="preserve">SAMPLE Brand 19</t>
  </si>
  <si>
    <t xml:space="preserve">SAMPLE-B-019</t>
  </si>
  <si>
    <t xml:space="preserve">Contact B19</t>
  </si>
  <si>
    <t xml:space="preserve">SAMPLE Brand 20</t>
  </si>
  <si>
    <t xml:space="preserve">SAMPLE-B-020</t>
  </si>
  <si>
    <t xml:space="preserve">Contact B20</t>
  </si>
  <si>
    <t xml:space="preserve">SAMPLE Brand 21</t>
  </si>
  <si>
    <t xml:space="preserve">SAMPLE-B-021</t>
  </si>
  <si>
    <t xml:space="preserve">Contact B21</t>
  </si>
  <si>
    <t xml:space="preserve">SAMPLE Brand 22</t>
  </si>
  <si>
    <t xml:space="preserve">SAMPLE-B-022</t>
  </si>
  <si>
    <t xml:space="preserve">Contact B22</t>
  </si>
  <si>
    <t xml:space="preserve">SAMPLE Brand 23</t>
  </si>
  <si>
    <t xml:space="preserve">SAMPLE-B-023</t>
  </si>
  <si>
    <t xml:space="preserve">Contact B23</t>
  </si>
  <si>
    <t xml:space="preserve">SAMPLE Brand 24</t>
  </si>
  <si>
    <t xml:space="preserve">SAMPLE-B-024</t>
  </si>
  <si>
    <t xml:space="preserve">Contact B24</t>
  </si>
  <si>
    <t xml:space="preserve">SAMPLE Brand 25</t>
  </si>
  <si>
    <t xml:space="preserve">SAMPLE-B-025</t>
  </si>
  <si>
    <t xml:space="preserve">Contact B25</t>
  </si>
  <si>
    <t xml:space="preserve">SAMPLE Brand 26</t>
  </si>
  <si>
    <t xml:space="preserve">SAMPLE-B-026</t>
  </si>
  <si>
    <t xml:space="preserve">Contact B26</t>
  </si>
  <si>
    <t xml:space="preserve">SAMPLE Brand 27</t>
  </si>
  <si>
    <t xml:space="preserve">SAMPLE-B-027</t>
  </si>
  <si>
    <t xml:space="preserve">Contact B27</t>
  </si>
  <si>
    <t xml:space="preserve">SAMPLE Brand 28</t>
  </si>
  <si>
    <t xml:space="preserve">SAMPLE-B-028</t>
  </si>
  <si>
    <t xml:space="preserve">Contact B28</t>
  </si>
  <si>
    <t xml:space="preserve">SAMPLE Brand 29</t>
  </si>
  <si>
    <t xml:space="preserve">SAMPLE-B-029</t>
  </si>
  <si>
    <t xml:space="preserve">Contact B29</t>
  </si>
  <si>
    <t xml:space="preserve">SAMPLE Brand 30</t>
  </si>
  <si>
    <t xml:space="preserve">SAMPLE-B-030</t>
  </si>
  <si>
    <t xml:space="preserve">Contact B30</t>
  </si>
  <si>
    <t xml:space="preserve">SAMPLE Brand 31</t>
  </si>
  <si>
    <t xml:space="preserve">SAMPLE-B-031</t>
  </si>
  <si>
    <t xml:space="preserve">Contact B31</t>
  </si>
  <si>
    <t xml:space="preserve">SAMPLE Brand 32</t>
  </si>
  <si>
    <t xml:space="preserve">SAMPLE-B-032</t>
  </si>
  <si>
    <t xml:space="preserve">Contact B32</t>
  </si>
  <si>
    <t xml:space="preserve">SAMPLE Brand 33</t>
  </si>
  <si>
    <t xml:space="preserve">SAMPLE-B-033</t>
  </si>
  <si>
    <t xml:space="preserve">Contact B33</t>
  </si>
  <si>
    <t xml:space="preserve">SAMPLE Brand 34</t>
  </si>
  <si>
    <t xml:space="preserve">SAMPLE-B-034</t>
  </si>
  <si>
    <t xml:space="preserve">Contact B34</t>
  </si>
  <si>
    <t xml:space="preserve">SAMPLE Brand 35</t>
  </si>
  <si>
    <t xml:space="preserve">SAMPLE-B-035</t>
  </si>
  <si>
    <t xml:space="preserve">Contact B35</t>
  </si>
  <si>
    <t xml:space="preserve">SAMPLE Brand 36</t>
  </si>
  <si>
    <t xml:space="preserve">SAMPLE-B-036</t>
  </si>
  <si>
    <t xml:space="preserve">Contact B36</t>
  </si>
  <si>
    <t xml:space="preserve">SAMPLE Brand 37</t>
  </si>
  <si>
    <t xml:space="preserve">SAMPLE-B-037</t>
  </si>
  <si>
    <t xml:space="preserve">Contact B37</t>
  </si>
  <si>
    <t xml:space="preserve">SAMPLE Brand 38</t>
  </si>
  <si>
    <t xml:space="preserve">SAMPLE-B-038</t>
  </si>
  <si>
    <t xml:space="preserve">Contact B38</t>
  </si>
  <si>
    <t xml:space="preserve">SAMPLE Brand 39</t>
  </si>
  <si>
    <t xml:space="preserve">SAMPLE-B-039</t>
  </si>
  <si>
    <t xml:space="preserve">Contact B39</t>
  </si>
  <si>
    <t xml:space="preserve">SAMPLE Brand 40</t>
  </si>
  <si>
    <t xml:space="preserve">SAMPLE-B-040</t>
  </si>
  <si>
    <t xml:space="preserve">Contact B40</t>
  </si>
  <si>
    <t xml:space="preserve">Sync: where the tracker and the Clay tables disagree. Clay is the status store; fix there, then re-paste.</t>
  </si>
  <si>
    <t xml:space="preserve">Rows 5 to 18 find each Clay column by its header. A blank number means that column is missing from the paste.</t>
  </si>
  <si>
    <t xml:space="preserve">Clay column</t>
  </si>
  <si>
    <t xml:space="preserve">offices col #</t>
  </si>
  <si>
    <t xml:space="preserve">brands col #</t>
  </si>
  <si>
    <t xml:space="preserve">note</t>
  </si>
  <si>
    <t xml:space="preserve">Clay rows that disagree with the tracker or with themselves</t>
  </si>
  <si>
    <t xml:space="preserve">i</t>
  </si>
  <si>
    <t xml:space="preserve">office row_id</t>
  </si>
  <si>
    <t xml:space="preserve">in tracker</t>
  </si>
  <si>
    <t xml:space="preserve">issue</t>
  </si>
  <si>
    <t xml:space="preserve">brand row_id</t>
  </si>
  <si>
    <t xml:space="preserve">signed_offices clay_row_id</t>
  </si>
  <si>
    <t xml:space="preserve">Clay status</t>
  </si>
  <si>
    <t xml:space="preserve">paid_brands clay_row_id</t>
  </si>
  <si>
    <t xml:space="preserve">paid_brands row</t>
  </si>
  <si>
    <t xml:space="preserve">paid in full on</t>
  </si>
  <si>
    <t xml:space="preserve">org_id</t>
  </si>
  <si>
    <t xml:space="preserve">j</t>
  </si>
  <si>
    <t xml:space="preserve">key</t>
  </si>
  <si>
    <t xml:space="preserve">calc row</t>
  </si>
  <si>
    <t xml:space="preserve">block</t>
  </si>
  <si>
    <t xml:space="preserve">One row per possible event, built from the logs, the handoff tabs and the Clay pastes. Sorted onto pipeline_log by key (date, then block, then row).</t>
  </si>
  <si>
    <t xml:space="preserve">office conversation</t>
  </si>
  <si>
    <t xml:space="preserve">office yes_in_principle</t>
  </si>
  <si>
    <t xml:space="preserve">office budget_probe</t>
  </si>
  <si>
    <t xml:space="preserve">brand conversation</t>
  </si>
  <si>
    <t xml:space="preserve">brand yes_in_principle</t>
  </si>
  <si>
    <t xml:space="preserve">brand budget_probe before $1,500</t>
  </si>
  <si>
    <t xml:space="preserve">brand budget_probe after $1,500</t>
  </si>
  <si>
    <t xml:space="preserve">office signed</t>
  </si>
  <si>
    <t xml:space="preserve">brand paid (payment 1)</t>
  </si>
  <si>
    <t xml:space="preserve">brand paid (payment 2)</t>
  </si>
  <si>
    <t xml:space="preserve">later events</t>
  </si>
  <si>
    <t xml:space="preserve">office outreach touch 1</t>
  </si>
  <si>
    <t xml:space="preserve">office outreach touch 2</t>
  </si>
  <si>
    <t xml:space="preserve">office outreach touch 3</t>
  </si>
  <si>
    <t xml:space="preserve">brand outreach touch 1</t>
  </si>
  <si>
    <t xml:space="preserve">brand outreach touch 2</t>
  </si>
  <si>
    <t xml:space="preserve">brand outreach touch 3</t>
  </si>
  <si>
    <t xml:space="preserve">Config: change values in column B only. Dates are derived from CONTRACTS section 3 (derived, founder to confirm).</t>
  </si>
  <si>
    <t xml:space="preserve">setting</t>
  </si>
  <si>
    <t xml:space="preserve">value</t>
  </si>
  <si>
    <t xml:space="preserve">what it means</t>
  </si>
  <si>
    <t xml:space="preserve">company_name</t>
  </si>
  <si>
    <t xml:space="preserve">Desk Drop</t>
  </si>
  <si>
    <t xml:space="preserve">The working name, in one place. Rename here; every tab title follows.</t>
  </si>
  <si>
    <t xml:space="preserve">tagline</t>
  </si>
  <si>
    <t xml:space="preserve">Emerging brands. Delivered to your workday.</t>
  </si>
  <si>
    <t xml:space="preserve">Working tagline.</t>
  </si>
  <si>
    <t xml:space="preserve">as_of_date</t>
  </si>
  <si>
    <t xml:space="preserve">The Friday you are reading. Default =TODAY(). Type a date to read an earlier week.</t>
  </si>
  <si>
    <t xml:space="preserve">week1_readout</t>
  </si>
  <si>
    <t xml:space="preserve">Friday of week 1 (derived, founder to confirm).</t>
  </si>
  <si>
    <t xml:space="preserve">week2_readout</t>
  </si>
  <si>
    <t xml:space="preserve">Friday of week 2 (derived, founder to confirm).</t>
  </si>
  <si>
    <t xml:space="preserve">gate0_date</t>
  </si>
  <si>
    <t xml:space="preserve">Gate 0, Friday of week 3 (CONTRACTS section 3; derived, founder to confirm).</t>
  </si>
  <si>
    <t xml:space="preserve">discovery_start</t>
  </si>
  <si>
    <t xml:space="preserve">Monday of week 1.</t>
  </si>
  <si>
    <t xml:space="preserve">target_office_conversations</t>
  </si>
  <si>
    <t xml:space="preserve">Plan Phase 0.</t>
  </si>
  <si>
    <t xml:space="preserve">target_office_yes</t>
  </si>
  <si>
    <t xml:space="preserve">Gate 0: yes in principle AND pantry owner named AND receiving window named.</t>
  </si>
  <si>
    <t xml:space="preserve">target_brand_conversations</t>
  </si>
  <si>
    <t xml:space="preserve">target_brand_yes</t>
  </si>
  <si>
    <t xml:space="preserve">Gate 0: would pay the threshold AND the speaker controls the budget.</t>
  </si>
  <si>
    <t xml:space="preserve">brand_wtp_threshold_usd</t>
  </si>
  <si>
    <t xml:space="preserve">Gate 0 brand threshold, USD per campaign.</t>
  </si>
  <si>
    <t xml:space="preserve">office_paid_threshold_usd</t>
  </si>
  <si>
    <t xml:space="preserve">Plan decision rule: offices naming $100 a month or more.</t>
  </si>
  <si>
    <t xml:space="preserve">reply_rate_target</t>
  </si>
  <si>
    <t xml:space="preserve">Plan cadence: 150 messages at 20% = 30 conversations.</t>
  </si>
  <si>
    <t xml:space="preserve">min_first_touches_to_judge</t>
  </si>
  <si>
    <t xml:space="preserve">Do not judge a reply rate on fewer first touches than this.</t>
  </si>
  <si>
    <t xml:space="preserve">note_minutes_target</t>
  </si>
  <si>
    <t xml:space="preserve">Plan: notes within ten minutes of each call.</t>
  </si>
  <si>
    <t xml:space="preserve">include_sample</t>
  </si>
  <si>
    <t xml:space="preserve">N: rows whose row_id starts with SAMPLE are ignored everywhere. Y only in the SAMPLE test copy.</t>
  </si>
  <si>
    <t xml:space="preserve">sample_criterion</t>
  </si>
  <si>
    <t xml:space="preserve">Calculated. Do not edit.</t>
  </si>
  <si>
    <t xml:space="preserve">clay_offices_export_date</t>
  </si>
  <si>
    <t xml:space="preserve">Type the date you exported the Clay offices table into Clay_Offices.</t>
  </si>
  <si>
    <t xml:space="preserve">clay_brands_export_date</t>
  </si>
  <si>
    <t xml:space="preserve">Type the date you exported the Clay brands table into Clay_Brands.</t>
  </si>
  <si>
    <t xml:space="preserve">pipeline_export_rows</t>
  </si>
  <si>
    <t xml:space="preserve">Rows available on pipeline_log. A check turns red if events exceed this.</t>
  </si>
  <si>
    <t xml:space="preserve">gate1_date</t>
  </si>
  <si>
    <t xml:space="preserve">Gate 1, Friday of week 7 (CONTRACTS section 3; derived, founder to confirm).</t>
  </si>
  <si>
    <t xml:space="preserve">target_offices_signed</t>
  </si>
  <si>
    <t xml:space="preserve">Gate 1: five signed offices with intake complete.</t>
  </si>
  <si>
    <t xml:space="preserve">target_tuesday_headcount</t>
  </si>
  <si>
    <t xml:space="preserve">Gate 1: combined Tuesday headcount of the signed offices.</t>
  </si>
  <si>
    <t xml:space="preserve">target_brands_paid</t>
  </si>
  <si>
    <t xml:space="preserve">Gate 1: two founding campaigns paid in full. One is a soft pass (plan Phase 2).</t>
  </si>
  <si>
    <t xml:space="preserve">founding_price_usd</t>
  </si>
  <si>
    <t xml:space="preserve">Founding price, paid in full before shipping.</t>
  </si>
  <si>
    <t xml:space="preserve">opt_out_rate_flag</t>
  </si>
  <si>
    <t xml:space="preserve">Opt-outs over this share of first touches (with enough first touches to judge) flag targeting and copy (sending guide 6.3 to 6.4). Judgment, not a published standard.</t>
  </si>
  <si>
    <t xml:space="preserve">opt_out_min_count</t>
  </si>
  <si>
    <t xml:space="preserve">The opt-out check flags only with at least this many opt-outs, as the bounce rule does: at 30 to 40 first touches, 2 opt-outs is noise (review round 2). Judgment.</t>
  </si>
  <si>
    <t xml:space="preserve">office_floor</t>
  </si>
  <si>
    <t xml:space="preserve">Plan: offices with fewer than 30 people on a Tuesday are excluded. A Gate 0 yes from a smaller office is shown but not counted.</t>
  </si>
  <si>
    <t xml:space="preserve">office_preferred_min</t>
  </si>
  <si>
    <t xml:space="preserve">Plan: 40 to 250 on a Tuesday. 30 to 39 is your call: counted, and shown on its own row.</t>
  </si>
  <si>
    <t xml:space="preserve">office_ceiling</t>
  </si>
  <si>
    <t xml:space="preserve">Plan: offices with more than 250 people on a Tuesday are excluded. A Gate 0 yes from a larger office is shown but not counted.</t>
  </si>
  <si>
    <t xml:space="preserve">gate0_final_read</t>
  </si>
  <si>
    <t xml:space="preserve">Last read of Gate 0 (default, founder to confirm). From this date a side short of its target reads FAIL whatever the number of conversations, and the plan's failure response applies. Earlier, a side reads FAIL as soon as it has held 15 conversations.</t>
  </si>
  <si>
    <t xml:space="preserve">yn</t>
  </si>
  <si>
    <t xml:space="preserve">ynm</t>
  </si>
  <si>
    <t xml:space="preserve">yesno_unsure</t>
  </si>
  <si>
    <t xml:space="preserve">yesno_unsure_yn</t>
  </si>
  <si>
    <t xml:space="preserve">intake_receiving_type</t>
  </si>
  <si>
    <t xml:space="preserve">buy_path_type</t>
  </si>
  <si>
    <t xml:space="preserve">status_rank</t>
  </si>
  <si>
    <t xml:space="preserve">office_objection</t>
  </si>
  <si>
    <t xml:space="preserve">office_objection_label</t>
  </si>
  <si>
    <t xml:space="preserve">brand_objection</t>
  </si>
  <si>
    <t xml:space="preserve">brand_objection_label</t>
  </si>
  <si>
    <t xml:space="preserve">intake_source</t>
  </si>
  <si>
    <t xml:space="preserve">later_event</t>
  </si>
  <si>
    <t xml:space="preserve">renewal_value</t>
  </si>
  <si>
    <t xml:space="preserve">new</t>
  </si>
  <si>
    <t xml:space="preserve">send_touch_2</t>
  </si>
  <si>
    <t xml:space="preserve">chips-crisps</t>
  </si>
  <si>
    <t xml:space="preserve">return</t>
  </si>
  <si>
    <t xml:space="preserve">named_window_unprompted</t>
  </si>
  <si>
    <t xml:space="preserve">retailer-within-10-blocks</t>
  </si>
  <si>
    <t xml:space="preserve">queued</t>
  </si>
  <si>
    <t xml:space="preserve">send_touch_3</t>
  </si>
  <si>
    <t xml:space="preserve">popcorn-puffs</t>
  </si>
  <si>
    <t xml:space="preserve">standard</t>
  </si>
  <si>
    <t xml:space="preserve">ingredient_list</t>
  </si>
  <si>
    <t xml:space="preserve">security desk</t>
  </si>
  <si>
    <t xml:space="preserve">loading dock</t>
  </si>
  <si>
    <t xml:space="preserve">await_connection</t>
  </si>
  <si>
    <t xml:space="preserve">crackers-pretzels</t>
  </si>
  <si>
    <t xml:space="preserve">single_ingredient</t>
  </si>
  <si>
    <t xml:space="preserve">introduced_colleague</t>
  </si>
  <si>
    <t xml:space="preserve">ceo-or-assistant</t>
  </si>
  <si>
    <t xml:space="preserve">online-no-code</t>
  </si>
  <si>
    <t xml:space="preserve">send_info</t>
  </si>
  <si>
    <t xml:space="preserve">book_call</t>
  </si>
  <si>
    <t xml:space="preserve">landlord-or-building</t>
  </si>
  <si>
    <t xml:space="preserve">wrong_person</t>
  </si>
  <si>
    <t xml:space="preserve">run_call</t>
  </si>
  <si>
    <t xml:space="preserve">cookies-baked</t>
  </si>
  <si>
    <t xml:space="preserve">finance</t>
  </si>
  <si>
    <t xml:space="preserve">unknown</t>
  </si>
  <si>
    <t xml:space="preserve">referral</t>
  </si>
  <si>
    <t xml:space="preserve">send_one_pager</t>
  </si>
  <si>
    <t xml:space="preserve">chocolate-candy</t>
  </si>
  <si>
    <t xml:space="preserve">send_proposal</t>
  </si>
  <si>
    <t xml:space="preserve">nuts-seeds-trail</t>
  </si>
  <si>
    <t xml:space="preserve">materials_sent</t>
  </si>
  <si>
    <t xml:space="preserve">send_agreement</t>
  </si>
  <si>
    <t xml:space="preserve">send_materials_request</t>
  </si>
  <si>
    <t xml:space="preserve">fruit-snacks</t>
  </si>
  <si>
    <t xml:space="preserve">obj_seed_ourselves</t>
  </si>
  <si>
    <t xml:space="preserve">chase_payment</t>
  </si>
  <si>
    <t xml:space="preserve">sparkling-soda</t>
  </si>
  <si>
    <t xml:space="preserve">obj_price</t>
  </si>
  <si>
    <t xml:space="preserve">ask_referral</t>
  </si>
  <si>
    <t xml:space="preserve">tea-juice</t>
  </si>
  <si>
    <t xml:space="preserve">obj_free_trial</t>
  </si>
  <si>
    <t xml:space="preserve">coffee-rtd</t>
  </si>
  <si>
    <t xml:space="preserve">obj_what_we_get</t>
  </si>
  <si>
    <t xml:space="preserve">other-snack</t>
  </si>
  <si>
    <t xml:space="preserve">obj_other</t>
  </si>
  <si>
    <t xml:space="preserve">other-drink</t>
  </si>
  <si>
    <t xml:space="preserve">tab</t>
  </si>
  <si>
    <t xml:space="preserve">column</t>
  </si>
  <si>
    <t xml:space="preserve">type</t>
  </si>
  <si>
    <t xml:space="preserve">meaning</t>
  </si>
  <si>
    <t xml:space="preserve">maps to</t>
  </si>
  <si>
    <t xml:space="preserve">Office_Log</t>
  </si>
  <si>
    <t xml:space="preserve">id</t>
  </si>
  <si>
    <t xml:space="preserve">CONTRACTS 6.2 row_id (join key)</t>
  </si>
  <si>
    <t xml:space="preserve">text</t>
  </si>
  <si>
    <t xml:space="preserve">plan: Contact, title, company, source</t>
  </si>
  <si>
    <t xml:space="preserve">review round 3: one organisation, counted once</t>
  </si>
  <si>
    <t xml:space="preserve">plan: Contact</t>
  </si>
  <si>
    <t xml:space="preserve">plan: title</t>
  </si>
  <si>
    <t xml:space="preserve">plan: source</t>
  </si>
  <si>
    <t xml:space="preserve">list: email, linkedin, warm-intro, walk-in</t>
  </si>
  <si>
    <t xml:space="preserve">CONTRACTS 6.2 channel</t>
  </si>
  <si>
    <t xml:space="preserve">CONTRACTS 6.2 call_date</t>
  </si>
  <si>
    <t xml:space="preserve">list: phone, video, in-person, walk-in</t>
  </si>
  <si>
    <t xml:space="preserve">office guide Q1</t>
  </si>
  <si>
    <t xml:space="preserve">list: Y, N</t>
  </si>
  <si>
    <t xml:space="preserve">messages/12 [N USE A SERVICE]</t>
  </si>
  <si>
    <t xml:space="preserve">num</t>
  </si>
  <si>
    <t xml:space="preserve">plan: Monthly pantry spend</t>
  </si>
  <si>
    <t xml:space="preserve">plan: Peak-day headcount</t>
  </si>
  <si>
    <t xml:space="preserve">office guide Q3; messages/12 [N GET BRAND OFFERS]</t>
  </si>
  <si>
    <t xml:space="preserve">office guide Q3</t>
  </si>
  <si>
    <t xml:space="preserve">office guide Q4</t>
  </si>
  <si>
    <t xml:space="preserve">list: Y, N, maybe</t>
  </si>
  <si>
    <t xml:space="preserve">office guide Q5</t>
  </si>
  <si>
    <t xml:space="preserve">plan: The budget probe</t>
  </si>
  <si>
    <t xml:space="preserve">plan: Budget probe answer, verbatim</t>
  </si>
  <si>
    <t xml:space="preserve">pipeline_log value_number (budget_probe)</t>
  </si>
  <si>
    <t xml:space="preserve">plan: Referrals given</t>
  </si>
  <si>
    <t xml:space="preserve">plan: Referrals given; Clay referral_from</t>
  </si>
  <si>
    <t xml:space="preserve">plan: Pantry owner named; Gate 0</t>
  </si>
  <si>
    <t xml:space="preserve">office_intake pantry_owner_name</t>
  </si>
  <si>
    <t xml:space="preserve">office_intake pantry_owner_title</t>
  </si>
  <si>
    <t xml:space="preserve">plan Phase 1 targeting</t>
  </si>
  <si>
    <t xml:space="preserve">list: facilities, hr, ceo-or-assistant, landlord-or-building, finance, other</t>
  </si>
  <si>
    <t xml:space="preserve">messages/12 [WHO ELSE DECIDES]</t>
  </si>
  <si>
    <t xml:space="preserve">plan: receiving window; Gate 0</t>
  </si>
  <si>
    <t xml:space="preserve">list: walk-up, front desk, security desk, loading dock, other, unknown</t>
  </si>
  <si>
    <t xml:space="preserve">plan: security; office_intake receiving_type</t>
  </si>
  <si>
    <t xml:space="preserve">list: yes, no, unsure</t>
  </si>
  <si>
    <t xml:space="preserve">office_intake coi_required</t>
  </si>
  <si>
    <t xml:space="preserve">plan: security</t>
  </si>
  <si>
    <t xml:space="preserve">plan: Veto categories</t>
  </si>
  <si>
    <t xml:space="preserve">list: needs_approval, existing_vendor, allergy_policy, healthy_policy, building_receiving, low_attendance, commitments_too_much, survey_concern, vendor_fatigue, space, supply_irregular, quality_unknown, oth</t>
  </si>
  <si>
    <t xml:space="preserve">plan: Objections</t>
  </si>
  <si>
    <t xml:space="preserve">plan: Objections, verbatim</t>
  </si>
  <si>
    <t xml:space="preserve">plan: Yes in principle; Gate 0</t>
  </si>
  <si>
    <t xml:space="preserve">plan: A yes looks like</t>
  </si>
  <si>
    <t xml:space="preserve">plan Phase 0 deliverables: shortlist</t>
  </si>
  <si>
    <t xml:space="preserve">messages/12 [QUOTE]</t>
  </si>
  <si>
    <t xml:space="preserve">ten-minute rule</t>
  </si>
  <si>
    <t xml:space="preserve">sync</t>
  </si>
  <si>
    <t xml:space="preserve">Brand_Log</t>
  </si>
  <si>
    <t xml:space="preserve">brand guide Q1</t>
  </si>
  <si>
    <t xml:space="preserve">plan: Quarterly sampling budget</t>
  </si>
  <si>
    <t xml:space="preserve">plan: who approves</t>
  </si>
  <si>
    <t xml:space="preserve">plan Gate 0; pipeline controls_budget</t>
  </si>
  <si>
    <t xml:space="preserve">brand guide Q3</t>
  </si>
  <si>
    <t xml:space="preserve">plan: Willingness to pay before $1,500; pipeline budget_probe</t>
  </si>
  <si>
    <t xml:space="preserve">plan: Willingness to pay, verbatim</t>
  </si>
  <si>
    <t xml:space="preserve">plan: before and after hearing $1,500</t>
  </si>
  <si>
    <t xml:space="preserve">plan: Willingness to pay after $1,500; pipeline budget_probe (after_1500)</t>
  </si>
  <si>
    <t xml:space="preserve">brand guide Q5</t>
  </si>
  <si>
    <t xml:space="preserve">list: retailer-in-cluster, retailer-within-10-blocks, online-with-code, online-no-code, none, unknown</t>
  </si>
  <si>
    <t xml:space="preserve">plan: Buy path inside the cluster</t>
  </si>
  <si>
    <t xml:space="preserve">brand guide Q7</t>
  </si>
  <si>
    <t xml:space="preserve">list: Y, N, unsure</t>
  </si>
  <si>
    <t xml:space="preserve">plan Phase 2 checklist 1; brand_intake q1</t>
  </si>
  <si>
    <t xml:space="preserve">checklist 2; brand_intake q2</t>
  </si>
  <si>
    <t xml:space="preserve">checklist 3; brand_intake q3</t>
  </si>
  <si>
    <t xml:space="preserve">checklist 4; brand_intake q4</t>
  </si>
  <si>
    <t xml:space="preserve">checklist 5; brand_intake q5</t>
  </si>
  <si>
    <t xml:space="preserve">checklist 6; brand_intake q6</t>
  </si>
  <si>
    <t xml:space="preserve">checklist 7; brand_intake q7</t>
  </si>
  <si>
    <t xml:space="preserve">CONTRACTS section 4</t>
  </si>
  <si>
    <t xml:space="preserve">list: seed_ourselves, price_per_sample, free_trial, what_we_get, budget_timing, inventory, shelf_life, not_our_audience, want_proof, want_sales_data, no_buy_path, insurance, other</t>
  </si>
  <si>
    <t xml:space="preserve">plan: Yes in principle</t>
  </si>
  <si>
    <t xml:space="preserve">signed_offices</t>
  </si>
  <si>
    <t xml:space="preserve">From office_intake (CONTRACTS 6.3).</t>
  </si>
  <si>
    <t xml:space="preserve">CONTRACTS 6.3</t>
  </si>
  <si>
    <t xml:space="preserve">O-### assigned at signing (CONTRACTS 6.4).</t>
  </si>
  <si>
    <t xml:space="preserve">CONTRACTS 6.4</t>
  </si>
  <si>
    <t xml:space="preserve">The Clay row_id of the office contact. Must match the row_id used in Office_Log.</t>
  </si>
  <si>
    <t xml:space="preserve">CONTRACTS 6.4; pipeline org_id</t>
  </si>
  <si>
    <t xml:space="preserve">Date the participation agreement was signed by both sides.</t>
  </si>
  <si>
    <t xml:space="preserve">File name of the signed PDF.</t>
  </si>
  <si>
    <t xml:space="preserve">Y if the office ticked the box agreeing to be named on the founding roster (agreement section 6).</t>
  </si>
  <si>
    <t xml:space="preserve">formula</t>
  </si>
  <si>
    <t xml:space="preserve">Filled from Office_Log (first budget-probe answer for this clay_row_id). Overwrite only if there is no log row.</t>
  </si>
  <si>
    <t xml:space="preserve">Filled from Office_Log: the date of that answer.</t>
  </si>
  <si>
    <t xml:space="preserve">Filled from Office_Log: USD per month if they named a number (0 for 'no budget'), else blank.</t>
  </si>
  <si>
    <t xml:space="preserve">Version of the participation agreement signed (e.g. 0.8). Added at the legal pack's suggestion.</t>
  </si>
  <si>
    <t xml:space="preserve">addition (G)</t>
  </si>
  <si>
    <t xml:space="preserve">Y if the pantry owner can approve a brand alone.</t>
  </si>
  <si>
    <t xml:space="preserve">addition (plan Phase 1)</t>
  </si>
  <si>
    <t xml:space="preserve">The office's industry, from Clay or cluster-1-flatiron/companies.csv (industry). Shown in brand proposals by industry, never by name.</t>
  </si>
  <si>
    <t xml:space="preserve">addition (requested by operations)</t>
  </si>
  <si>
    <t xml:space="preserve">The pantry owner's business phone, from the agreement's top table.</t>
  </si>
  <si>
    <t xml:space="preserve">The pantry owner's business email, from the agreement's top table.</t>
  </si>
  <si>
    <t xml:space="preserve">Y only if the office ticked 'publicly' in section 6 of the agreement. Otherwise reports show it as a letter.</t>
  </si>
  <si>
    <t xml:space="preserve">addition (requested by operations; legal pack 03 section 6)</t>
  </si>
  <si>
    <t xml:space="preserve">B-B-### from cluster-1-flatiron (companies.csv building_id), if known.</t>
  </si>
  <si>
    <t xml:space="preserve">paid_brands</t>
  </si>
  <si>
    <t xml:space="preserve">From brand_intake (CONTRACTS 6.3).</t>
  </si>
  <si>
    <t xml:space="preserve">BR-### assigned at payment (CONTRACTS 6.4).</t>
  </si>
  <si>
    <t xml:space="preserve">The Clay row_id of the brand contact. Must match the row_id used in Brand_Log.</t>
  </si>
  <si>
    <t xml:space="preserve">list: founding, standard</t>
  </si>
  <si>
    <t xml:space="preserve">founding or standard.</t>
  </si>
  <si>
    <t xml:space="preserve">Campaign price in USD (600 founding, 1500 standard, plus 150 per extra office).</t>
  </si>
  <si>
    <t xml:space="preserve">Offices in the campaign (5 founding, 10 standard, more if extra offices).</t>
  </si>
  <si>
    <t xml:space="preserve">As in the signed agreement.</t>
  </si>
  <si>
    <t xml:space="preserve">Date the campaign agreement was signed by both sides.</t>
  </si>
  <si>
    <t xml:space="preserve">Invoice number.</t>
  </si>
  <si>
    <t xml:space="preserve">Invoice date.</t>
  </si>
  <si>
    <t xml:space="preserve">Date the payment that releases the ship date landed: founding = the full price; standard = the 50% deposit. Filled from payment_1_date.</t>
  </si>
  <si>
    <t xml:space="preserve">Date the product liability certificate arrived (checked per legal pack file 11).</t>
  </si>
  <si>
    <t xml:space="preserve">Date the ingredient and allergen sheet arrived.</t>
  </si>
  <si>
    <t xml:space="preserve">Date the logo files arrived.</t>
  </si>
  <si>
    <t xml:space="preserve">The brand's two sentences for the tent card, as sent (no health claims).</t>
  </si>
  <si>
    <t xml:space="preserve">The allergen statement copied word for word from the label.</t>
  </si>
  <si>
    <t xml:space="preserve">'Find it at &lt;store, street&gt;' line for the card.</t>
  </si>
  <si>
    <t xml:space="preserve">The campaign discount code.</t>
  </si>
  <si>
    <t xml:space="preserve">Landing page for the QR, if the brand gave one.</t>
  </si>
  <si>
    <t xml:space="preserve">list: return, release</t>
  </si>
  <si>
    <t xml:space="preserve">return or release, as elected in the agreement.</t>
  </si>
  <si>
    <t xml:space="preserve">office_ids that said yes to this brand, semicolons.</t>
  </si>
  <si>
    <t xml:space="preserve">First payment received, USD (founding: 600; standard: the 50% deposit).</t>
  </si>
  <si>
    <t xml:space="preserve">addition: pipeline 'paid' rows</t>
  </si>
  <si>
    <t xml:space="preserve">Date the first payment landed in the bank.</t>
  </si>
  <si>
    <t xml:space="preserve">Second payment, USD (standard balance at placement confirmation). Blank for founding.</t>
  </si>
  <si>
    <t xml:space="preserve">Date the second payment landed.</t>
  </si>
  <si>
    <t xml:space="preserve">Version of the campaign agreement signed.</t>
  </si>
  <si>
    <t xml:space="preserve">End date of the brand's product liability policy, from the certificate.</t>
  </si>
  <si>
    <t xml:space="preserve">Y if the brand chose the optional survey email box (agreement Part 1).</t>
  </si>
  <si>
    <t xml:space="preserve">The brand's privacy policy URL (needed only if newsletter_option = Y).</t>
  </si>
  <si>
    <t xml:space="preserve">list: contains_statement, ingredient_list, single_ingredient</t>
  </si>
  <si>
    <t xml:space="preserve">Where the allergen line comes from on the package.</t>
  </si>
  <si>
    <t xml:space="preserve">addition (D tent card)</t>
  </si>
  <si>
    <t xml:space="preserve">Any 'may contain' line, word for word.</t>
  </si>
  <si>
    <t xml:space="preserve">Two-flavor campaigns only: flavor 1 name.</t>
  </si>
  <si>
    <t xml:space="preserve">Two-flavor campaigns only: flavor 2 name.</t>
  </si>
  <si>
    <t xml:space="preserve">Two-flavor only: flavor 2 allergen source.</t>
  </si>
  <si>
    <t xml:space="preserve">Two-flavor only: flavor 2 allergen line.</t>
  </si>
  <si>
    <t xml:space="preserve">Two-flavor only: flavor 2 'may contain' line.</t>
  </si>
  <si>
    <t xml:space="preserve">Founder checked: sealed, individually packaged, shelf-stable, 60+ days of shelf life at the drop date.</t>
  </si>
  <si>
    <t xml:space="preserve">addition: qualification check 1</t>
  </si>
  <si>
    <t xml:space="preserve">Founder checked the label: ingredients and the nine major allergens.</t>
  </si>
  <si>
    <t xml:space="preserve">addition: qualification check 2</t>
  </si>
  <si>
    <t xml:space="preserve">Founder checked the buy path: a store within ten blocks (evidence grade store_selector, brand_claim or seen_on_shelf) or an online store with a code.</t>
  </si>
  <si>
    <t xml:space="preserve">addition: qualification check 3</t>
  </si>
  <si>
    <t xml:space="preserve">Brand confirmed in writing it can ship the units plus reserve to one Manhattan address within ten business days.</t>
  </si>
  <si>
    <t xml:space="preserve">addition: qualification check 4</t>
  </si>
  <si>
    <t xml:space="preserve">Certificate received and checked (legal pack file 11).</t>
  </si>
  <si>
    <t xml:space="preserve">addition: qualification check 5</t>
  </si>
  <si>
    <t xml:space="preserve">The signer approved the price alone.</t>
  </si>
  <si>
    <t xml:space="preserve">addition: qualification check 6</t>
  </si>
  <si>
    <t xml:space="preserve">A real reason for New York trial now (new store, launch, local push), noted in verified_notes.</t>
  </si>
  <si>
    <t xml:space="preserve">addition: qualification check 7</t>
  </si>
  <si>
    <t xml:space="preserve">Not alcohol, cannabis, CBD or THC, supplement, refrigerated, needing preparation, or carrying a health claim (CONTRACTS 4).</t>
  </si>
  <si>
    <t xml:space="preserve">addition: excluded list</t>
  </si>
  <si>
    <t xml:space="preserve">Date the founder finished the checks.</t>
  </si>
  <si>
    <t xml:space="preserve">addition</t>
  </si>
  <si>
    <t xml:space="preserve">Evidence for the checks (best-by date seen, certificate details, store and street).</t>
  </si>
  <si>
    <t xml:space="preserve">CMP-### of this brand's first campaign, from operations. Blank until operations assigns it.</t>
  </si>
  <si>
    <t xml:space="preserve">The brand's legal name from the signed agreement (Part 1). Printed on invoices.</t>
  </si>
  <si>
    <t xml:space="preserve">Business billing address from the agreement.</t>
  </si>
  <si>
    <t xml:space="preserve">Business email for invoices.</t>
  </si>
  <si>
    <t xml:space="preserve">Where the discount code works, short form without https:// (for example example.com).</t>
  </si>
  <si>
    <t xml:space="preserve">addition (requested by operations; tent card)</t>
  </si>
  <si>
    <t xml:space="preserve">later_events</t>
  </si>
  <si>
    <t xml:space="preserve">Date of the event.</t>
  </si>
  <si>
    <t xml:space="preserve">pipeline_log date</t>
  </si>
  <si>
    <t xml:space="preserve">list: office, brand</t>
  </si>
  <si>
    <t xml:space="preserve">office or brand.</t>
  </si>
  <si>
    <t xml:space="preserve">pipeline_log side</t>
  </si>
  <si>
    <t xml:space="preserve">Clay row_id of the organization (same as in the logs and handoff tabs).</t>
  </si>
  <si>
    <t xml:space="preserve">pipeline_log org_id</t>
  </si>
  <si>
    <t xml:space="preserve">Company or brand name.</t>
  </si>
  <si>
    <t xml:space="preserve">pipeline_log org_name</t>
  </si>
  <si>
    <t xml:space="preserve">list: renewal_answer, opt_out</t>
  </si>
  <si>
    <t xml:space="preserve">renewal_answer (a brand's answer at or after the debrief) or opt_out (a signed office or paid brand leaving the roster). Outreach unsubscribes are NOT logged here; they live in Clay only.</t>
  </si>
  <si>
    <t xml:space="preserve">pipeline_log event</t>
  </si>
  <si>
    <t xml:space="preserve">renewal_answer: USD committed if the answer is yes, else blank. opt_out: blank.</t>
  </si>
  <si>
    <t xml:space="preserve">pipeline_log value_number</t>
  </si>
  <si>
    <t xml:space="preserve">renewal_answer: yes, maybe or no. opt_out: the reason in their words.</t>
  </si>
  <si>
    <t xml:space="preserve">pipeline_log value_text</t>
  </si>
  <si>
    <t xml:space="preserve">pipeline_log notes</t>
  </si>
  <si>
    <t xml:space="preserve">pipeline_log</t>
  </si>
  <si>
    <t xml:space="preserve">H section 3</t>
  </si>
  <si>
    <t xml:space="preserve">The Clay row_id of the organisation's first conversation (calc_org on the logs), the same for every event of one organisation, so two contacts at one company are one org_id (review round 3). A Clay row with no log row keeps its own row_id.</t>
  </si>
  <si>
    <t xml:space="preserve">H section 3 (recommended)</t>
  </si>
  <si>
    <t xml:space="preserve">outreach_sent (one per touch), conversation, yes_in_principle (offices: only with owner and window, and only while the yes stands: a later N or maybe withdraws it), signed, paid (one per payment), budget_probe, renewal_answer, opt_out (roster exits only).</t>
  </si>
  <si>
    <t xml:space="preserve">signed: Tuesday headcount. paid: USD received. office budget_probe: USD a month (low end; 0 = no budget). brand budget_probe: USD per campaign. renewal_answer: USD committed if yes.</t>
  </si>
  <si>
    <t xml:space="preserve">Verbatim answer; renewal_answer: yes, maybe or no.</t>
  </si>
  <si>
    <t xml:space="preserve">Y/N</t>
  </si>
  <si>
    <t xml:space="preserve">Brand budget_probe and yes rows only.</t>
  </si>
  <si>
    <t xml:space="preserve">Brand budget_probe after hearing $1,500: exactly after_1500. Outreach: touch number, sequence, channel.</t>
  </si>
  <si>
    <t xml:space="preserve">The 13 conversation-tracking columns to add to BOTH Clay tables (CONTRACTS 6.2). Clay is the only status store; this tracker reads them every Friday.</t>
  </si>
  <si>
    <t xml:space="preserve">allowed values</t>
  </si>
  <si>
    <t xml:space="preserve">written when</t>
  </si>
  <si>
    <t xml:space="preserve">rule</t>
  </si>
  <si>
    <t xml:space="preserve">&lt;side&gt;-&lt;stage&gt;-&lt;variant&gt;, e.g. office-discovery-A (stage: discovery, selling, conversion)</t>
  </si>
  <si>
    <t xml:space="preserve">When the first touch is sent</t>
  </si>
  <si>
    <t xml:space="preserve">Never changed afterwards; a new sequence on the same person is a new value only if the old one ended (not_now recontact)</t>
  </si>
  <si>
    <t xml:space="preserve">YYYY-MM-DD</t>
  </si>
  <si>
    <t xml:space="preserve">The day the first message with the ask is sent (email, LinkedIn message, walk-in conversation)</t>
  </si>
  <si>
    <t xml:space="preserve">A LinkedIn invitation with no note is not a touch: set next_action = await_connection instead</t>
  </si>
  <si>
    <t xml:space="preserve">Day touch 2 is sent</t>
  </si>
  <si>
    <t xml:space="preserve">Skip if they replied</t>
  </si>
  <si>
    <t xml:space="preserve">Day touch 3 is sent</t>
  </si>
  <si>
    <t xml:space="preserve">Last touch; then stop</t>
  </si>
  <si>
    <t xml:space="preserve">Each time they reply</t>
  </si>
  <si>
    <t xml:space="preserve">Not for bounces or out-of-office auto-replies</t>
  </si>
  <si>
    <t xml:space="preserve">list</t>
  </si>
  <si>
    <t xml:space="preserve">yes, maybe, needs_approval, send_info, wrong_person, referral, not_now, no, opt_out, obj_seed_ourselves, obj_price, obj_free_trial, obj_what_we_get, obj_other, out_of_office, bounce</t>
  </si>
  <si>
    <t xml:space="preserve">Each reply (the latest meaningful one)</t>
  </si>
  <si>
    <t xml:space="preserve">Silence stays blank</t>
  </si>
  <si>
    <t xml:space="preserve">After each conversation, copied from the tracker row</t>
  </si>
  <si>
    <t xml:space="preserve">Equals the latest call_date for this row_id in the tracker</t>
  </si>
  <si>
    <t xml:space="preserve">One line plus 'see tracker &lt;call_date&gt;'</t>
  </si>
  <si>
    <t xml:space="preserve">After each conversation</t>
  </si>
  <si>
    <t xml:space="preserve">The full notes live in the tracker, not in Clay</t>
  </si>
  <si>
    <t xml:space="preserve">Y or N</t>
  </si>
  <si>
    <t xml:space="preserve">After each conversation, copied from the tracker</t>
  </si>
  <si>
    <t xml:space="preserve">The latest answer for this row_id in the tracker: Y only if the latest Y, N or maybe is Y (a later N or maybe withdraws an earlier yes); maybe in the tracker is N here</t>
  </si>
  <si>
    <t xml:space="preserve">send_touch_2, send_touch_3, await_connection, book_call, run_call, send_one_pager, send_proposal, send_agreement, send_materials_request, chase_payment, ask_referral, recontact, none</t>
  </si>
  <si>
    <t xml:space="preserve">Whenever the next step changes</t>
  </si>
  <si>
    <t xml:space="preserve">Clay is the only place next actions live</t>
  </si>
  <si>
    <t xml:space="preserve">With next_action</t>
  </si>
  <si>
    <t xml:space="preserve">Drives the follow-up list each morning</t>
  </si>
  <si>
    <t xml:space="preserve">The same day anyone opts out, in any words, on any channel</t>
  </si>
  <si>
    <t xml:space="preserve">Also set do_not_contact = Y and status = do_not_contact. Never cleared</t>
  </si>
  <si>
    <t xml:space="preserve">row_id of the person who referred them</t>
  </si>
  <si>
    <t xml:space="preserve">When you create a row for a referred person</t>
  </si>
  <si>
    <t xml:space="preserve">Lets the scorecard and you trace referrals</t>
  </si>
  <si>
    <t xml:space="preserve">Columns A owns that this tracker also reads: row_id, company, status, do_not_contact, channel (CONTRACTS 6.2). Status values: CONTRACTS section 4 only.</t>
  </si>
</sst>
</file>

<file path=xl/styles.xml><?xml version="1.0" encoding="utf-8"?>
<styleSheet xmlns="http://schemas.openxmlformats.org/spreadsheetml/2006/main">
  <numFmts count="9">
    <numFmt numFmtId="164" formatCode="General"/>
    <numFmt numFmtId="165" formatCode="yyyy\-mm\-dd"/>
    <numFmt numFmtId="166" formatCode="0"/>
    <numFmt numFmtId="167" formatCode="General"/>
    <numFmt numFmtId="168" formatCode="\$#,##0"/>
    <numFmt numFmtId="169" formatCode="&quot;n=&quot;0"/>
    <numFmt numFmtId="170" formatCode="0%"/>
    <numFmt numFmtId="171" formatCode="0.0%"/>
    <numFmt numFmtId="172" formatCode="mm/dd/yy"/>
  </numFmts>
  <fonts count="10">
    <font>
      <sz val="11"/>
      <color theme="1"/>
      <name val="Calibri"/>
      <family val="2"/>
      <charset val="1"/>
    </font>
    <font>
      <sz val="10"/>
      <name val="Arial"/>
      <family val="0"/>
    </font>
    <font>
      <sz val="10"/>
      <name val="Arial"/>
      <family val="0"/>
    </font>
    <font>
      <sz val="10"/>
      <name val="Arial"/>
      <family val="0"/>
    </font>
    <font>
      <b val="true"/>
      <sz val="12"/>
      <color rgb="FFFFFFFF"/>
      <name val="Cambria"/>
      <family val="0"/>
      <charset val="1"/>
    </font>
    <font>
      <b val="true"/>
      <sz val="14"/>
      <name val="Cambria"/>
      <family val="0"/>
      <charset val="1"/>
    </font>
    <font>
      <b val="true"/>
      <sz val="11"/>
      <name val="Cambria"/>
      <family val="0"/>
      <charset val="1"/>
    </font>
    <font>
      <i val="true"/>
      <sz val="11"/>
      <color rgb="FF595959"/>
      <name val="Cambria"/>
      <family val="0"/>
      <charset val="1"/>
    </font>
    <font>
      <b val="true"/>
      <sz val="11"/>
      <color rgb="FFFFFFFF"/>
      <name val="Cambria"/>
      <family val="0"/>
      <charset val="1"/>
    </font>
    <font>
      <sz val="10"/>
      <name val="Arial"/>
      <family val="2"/>
    </font>
  </fonts>
  <fills count="7">
    <fill>
      <patternFill patternType="none"/>
    </fill>
    <fill>
      <patternFill patternType="gray125"/>
    </fill>
    <fill>
      <patternFill patternType="solid">
        <fgColor rgb="FFC00000"/>
        <bgColor rgb="FF800000"/>
      </patternFill>
    </fill>
    <fill>
      <patternFill patternType="solid">
        <fgColor rgb="FF1F3A5F"/>
        <bgColor rgb="FF333333"/>
      </patternFill>
    </fill>
    <fill>
      <patternFill patternType="solid">
        <fgColor rgb="FFDCE6F1"/>
        <bgColor rgb="FFEDEDED"/>
      </patternFill>
    </fill>
    <fill>
      <patternFill patternType="solid">
        <fgColor rgb="FF7F7F7F"/>
        <bgColor rgb="FF969696"/>
      </patternFill>
    </fill>
    <fill>
      <patternFill patternType="solid">
        <fgColor rgb="FFF2F2F2"/>
        <bgColor rgb="FFEDEDED"/>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6" fillId="0" borderId="0" xfId="0" applyFont="true" applyBorder="false" applyAlignment="true" applyProtection="false">
      <alignment horizontal="general" vertical="bottom" textRotation="0" wrapText="tru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3" borderId="0" xfId="0" applyFont="true" applyBorder="false" applyAlignment="true" applyProtection="false">
      <alignment horizontal="general" vertical="center" textRotation="0" wrapText="true" indent="0" shrinkToFit="false"/>
      <protection locked="true" hidden="false"/>
    </xf>
    <xf numFmtId="164" fontId="7" fillId="0" borderId="0" xfId="0" applyFont="true" applyBorder="false" applyAlignment="true" applyProtection="false">
      <alignment horizontal="general" vertical="center" textRotation="0" wrapText="true" indent="0" shrinkToFit="false"/>
      <protection locked="true" hidden="false"/>
    </xf>
    <xf numFmtId="165" fontId="7"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true" indent="0" shrinkToFit="false"/>
      <protection locked="true" hidden="false"/>
    </xf>
    <xf numFmtId="164" fontId="6" fillId="4"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6" fontId="6" fillId="0" borderId="0" xfId="0" applyFont="true" applyBorder="false" applyAlignment="true" applyProtection="false">
      <alignment horizontal="general" vertical="center" textRotation="0" wrapText="false" indent="0" shrinkToFit="false"/>
      <protection locked="true" hidden="false"/>
    </xf>
    <xf numFmtId="167" fontId="0" fillId="0" borderId="0" xfId="0" applyFont="false" applyBorder="false" applyAlignment="true" applyProtection="false">
      <alignment horizontal="general" vertical="center" textRotation="0" wrapText="false" indent="0" shrinkToFit="false"/>
      <protection locked="true" hidden="false"/>
    </xf>
    <xf numFmtId="164" fontId="6" fillId="0" borderId="0" xfId="0" applyFont="true" applyBorder="fals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8" fontId="6" fillId="0" borderId="0" xfId="0" applyFont="true" applyBorder="false" applyAlignment="true" applyProtection="false">
      <alignment horizontal="general" vertical="center" textRotation="0" wrapText="false" indent="0" shrinkToFit="false"/>
      <protection locked="true" hidden="false"/>
    </xf>
    <xf numFmtId="169" fontId="0" fillId="0" borderId="0" xfId="0" applyFont="false" applyBorder="false" applyAlignment="true" applyProtection="false">
      <alignment horizontal="general" vertical="center" textRotation="0" wrapText="false" indent="0" shrinkToFit="false"/>
      <protection locked="true" hidden="false"/>
    </xf>
    <xf numFmtId="164" fontId="8" fillId="5" borderId="0" xfId="0" applyFont="true" applyBorder="false" applyAlignment="true" applyProtection="false">
      <alignment horizontal="general" vertical="center" textRotation="0" wrapText="true" indent="0" shrinkToFit="false"/>
      <protection locked="true" hidden="false"/>
    </xf>
    <xf numFmtId="167" fontId="0" fillId="0" borderId="0" xfId="0" applyFont="false" applyBorder="true" applyAlignment="true" applyProtection="false">
      <alignment horizontal="general" vertical="center" textRotation="0" wrapText="true" indent="0" shrinkToFit="false"/>
      <protection locked="true" hidden="false"/>
    </xf>
    <xf numFmtId="164" fontId="0" fillId="6"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false" applyBorder="true" applyAlignment="true" applyProtection="false">
      <alignment horizontal="general" vertical="center" textRotation="0" wrapText="true" indent="0" shrinkToFit="false"/>
      <protection locked="true" hidden="false"/>
    </xf>
    <xf numFmtId="170" fontId="6" fillId="0" borderId="0" xfId="0" applyFont="true" applyBorder="false" applyAlignment="true" applyProtection="false">
      <alignment horizontal="general" vertical="center" textRotation="0" wrapText="false" indent="0" shrinkToFit="false"/>
      <protection locked="true" hidden="false"/>
    </xf>
    <xf numFmtId="171" fontId="6" fillId="0" borderId="0" xfId="0" applyFont="tru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false" indent="0" shrinkToFit="false"/>
      <protection locked="true" hidden="false"/>
    </xf>
    <xf numFmtId="170" fontId="0" fillId="0" borderId="0" xfId="0" applyFont="false" applyBorder="false" applyAlignment="true" applyProtection="false">
      <alignment horizontal="general" vertical="center" textRotation="0" wrapText="false" indent="0" shrinkToFit="false"/>
      <protection locked="true" hidden="false"/>
    </xf>
    <xf numFmtId="166" fontId="0" fillId="0" borderId="0" xfId="0" applyFont="false" applyBorder="false" applyAlignment="true" applyProtection="false">
      <alignment horizontal="general" vertical="center" textRotation="0" wrapText="tru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0" fillId="6" borderId="0" xfId="0" applyFont="false" applyBorder="false" applyAlignment="false" applyProtection="false">
      <alignment horizontal="general" vertical="bottom" textRotation="0" wrapText="false" indent="0" shrinkToFit="false"/>
      <protection locked="true" hidden="false"/>
    </xf>
    <xf numFmtId="165" fontId="0" fillId="6" borderId="0" xfId="0" applyFont="fals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5" fontId="0" fillId="0" borderId="0" xfId="0" applyFont="false" applyBorder="false" applyAlignment="true" applyProtection="false">
      <alignment horizontal="general" vertical="top" textRotation="0" wrapText="true" indent="0" shrinkToFit="false"/>
      <protection locked="true" hidden="false"/>
    </xf>
    <xf numFmtId="164" fontId="0" fillId="0" borderId="0" xfId="0" applyFont="false" applyBorder="false" applyAlignment="true" applyProtection="false">
      <alignment horizontal="general" vertical="top" textRotation="0" wrapText="true" indent="0" shrinkToFit="false"/>
      <protection locked="true" hidden="false"/>
    </xf>
    <xf numFmtId="172" fontId="0" fillId="6"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5">
    <dxf>
      <fill>
        <patternFill>
          <bgColor rgb="FFC00000"/>
        </patternFill>
      </fill>
    </dxf>
    <dxf>
      <fill>
        <patternFill>
          <bgColor rgb="FFC6EFCE"/>
        </patternFill>
      </fill>
    </dxf>
    <dxf>
      <fill>
        <patternFill>
          <bgColor rgb="FFFFC7CE"/>
        </patternFill>
      </fill>
    </dxf>
    <dxf>
      <fill>
        <patternFill>
          <bgColor rgb="FFEDEDED"/>
        </patternFill>
      </fill>
    </dxf>
    <dxf>
      <fill>
        <patternFill>
          <bgColor rgb="FFFFEB9C"/>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2F2F2"/>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EDEDED"/>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1F3A5F"/>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1.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2.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3.vml"/>
</Relationships>
</file>

<file path=xl/worksheets/_rels/sheet8.xml.rels><?xml version="1.0" encoding="UTF-8"?>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4.vml"/>
</Relationships>
</file>

<file path=xl/worksheets/_rels/sheet9.xml.rels><?xml version="1.0" encoding="UTF-8"?>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5.vml"/>
</Relationships>
</file>

<file path=xl/worksheets/_rels/sheet10.xml.rels><?xml version="1.0" encoding="UTF-8"?>
<Relationships xmlns="http://schemas.openxmlformats.org/package/2006/relationships"><Relationship Id="rId1" Type="http://schemas.openxmlformats.org/officeDocument/2006/relationships/comments" Target="../comments10.xml"/><Relationship Id="rId2" Type="http://schemas.openxmlformats.org/officeDocument/2006/relationships/vmlDrawing" Target="../drawings/vmlDrawing6.vml"/>
</Relationships>
</file>

<file path=xl/worksheets/_rels/sheet11.xml.rels><?xml version="1.0" encoding="UTF-8"?>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7.vml"/>
</Relationships>
</file>

<file path=xl/worksheets/_rels/sheet13.xml.rels><?xml version="1.0" encoding="UTF-8"?>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8.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s>
  <sheetData>
    <row r="1" customFormat="false" ht="28.35" hidden="false" customHeight="false" outlineLevel="0" collapsed="false">
      <c r="A1" s="1" t="s">
        <v>0</v>
      </c>
    </row>
    <row r="2" customFormat="false" ht="17.9" hidden="false" customHeight="false" outlineLevel="0" collapsed="false">
      <c r="A2" s="2" t="str">
        <f aca="false">Config!$B$3&amp;" · conversation tracker"</f>
        <v>Desk Drop · conversation tracker</v>
      </c>
    </row>
    <row r="3" customFormat="false" ht="15" hidden="false" customHeight="false" outlineLevel="0" collapsed="false">
      <c r="A3" s="3" t="s">
        <v>1</v>
      </c>
    </row>
    <row r="4" customFormat="false" ht="15" hidden="false" customHeight="false" outlineLevel="0" collapsed="false">
      <c r="A4" s="4" t="s">
        <v>2</v>
      </c>
    </row>
    <row r="5" customFormat="false" ht="15" hidden="false" customHeight="false" outlineLevel="0" collapsed="false">
      <c r="A5" s="3"/>
    </row>
    <row r="6" customFormat="false" ht="15" hidden="false" customHeight="false" outlineLevel="0" collapsed="false">
      <c r="A6" s="4" t="s">
        <v>3</v>
      </c>
    </row>
    <row r="7" customFormat="false" ht="28.35" hidden="false" customHeight="false" outlineLevel="0" collapsed="false">
      <c r="A7" s="3" t="s">
        <v>4</v>
      </c>
    </row>
    <row r="8" customFormat="false" ht="28.35" hidden="false" customHeight="false" outlineLevel="0" collapsed="false">
      <c r="A8" s="3" t="s">
        <v>5</v>
      </c>
    </row>
    <row r="9" customFormat="false" ht="15" hidden="false" customHeight="false" outlineLevel="0" collapsed="false">
      <c r="A9" s="3" t="s">
        <v>6</v>
      </c>
    </row>
    <row r="10" customFormat="false" ht="15" hidden="false" customHeight="false" outlineLevel="0" collapsed="false">
      <c r="A10" s="3"/>
    </row>
    <row r="11" customFormat="false" ht="15" hidden="false" customHeight="false" outlineLevel="0" collapsed="false">
      <c r="A11" s="4" t="s">
        <v>7</v>
      </c>
    </row>
    <row r="12" customFormat="false" ht="28.35" hidden="false" customHeight="false" outlineLevel="0" collapsed="false">
      <c r="A12" s="3" t="s">
        <v>8</v>
      </c>
    </row>
    <row r="13" customFormat="false" ht="15" hidden="false" customHeight="false" outlineLevel="0" collapsed="false">
      <c r="A13" s="3" t="s">
        <v>9</v>
      </c>
    </row>
    <row r="14" customFormat="false" ht="28.35" hidden="false" customHeight="false" outlineLevel="0" collapsed="false">
      <c r="A14" s="3" t="s">
        <v>10</v>
      </c>
    </row>
    <row r="15" customFormat="false" ht="28.35" hidden="false" customHeight="false" outlineLevel="0" collapsed="false">
      <c r="A15" s="3" t="s">
        <v>11</v>
      </c>
    </row>
    <row r="16" customFormat="false" ht="28.35" hidden="false" customHeight="false" outlineLevel="0" collapsed="false">
      <c r="A16" s="3" t="s">
        <v>12</v>
      </c>
    </row>
    <row r="17" customFormat="false" ht="15" hidden="false" customHeight="false" outlineLevel="0" collapsed="false">
      <c r="A17" s="3"/>
    </row>
    <row r="18" customFormat="false" ht="15" hidden="false" customHeight="false" outlineLevel="0" collapsed="false">
      <c r="A18" s="4" t="s">
        <v>13</v>
      </c>
    </row>
    <row r="19" customFormat="false" ht="28.35" hidden="false" customHeight="false" outlineLevel="0" collapsed="false">
      <c r="A19" s="3" t="s">
        <v>14</v>
      </c>
    </row>
    <row r="20" customFormat="false" ht="28.35" hidden="false" customHeight="false" outlineLevel="0" collapsed="false">
      <c r="A20" s="3" t="s">
        <v>15</v>
      </c>
    </row>
    <row r="21" customFormat="false" ht="15" hidden="false" customHeight="false" outlineLevel="0" collapsed="false">
      <c r="A21" s="3" t="s">
        <v>16</v>
      </c>
    </row>
    <row r="22" customFormat="false" ht="28.35" hidden="false" customHeight="false" outlineLevel="0" collapsed="false">
      <c r="A22" s="3" t="s">
        <v>17</v>
      </c>
    </row>
    <row r="23" customFormat="false" ht="15" hidden="false" customHeight="false" outlineLevel="0" collapsed="false">
      <c r="A23" s="3"/>
    </row>
    <row r="24" customFormat="false" ht="15" hidden="false" customHeight="false" outlineLevel="0" collapsed="false">
      <c r="A24" s="4" t="s">
        <v>18</v>
      </c>
    </row>
    <row r="25" customFormat="false" ht="28.35" hidden="false" customHeight="false" outlineLevel="0" collapsed="false">
      <c r="A25" s="3" t="s">
        <v>19</v>
      </c>
    </row>
    <row r="26" customFormat="false" ht="28.35" hidden="false" customHeight="false" outlineLevel="0" collapsed="false">
      <c r="A26" s="3" t="s">
        <v>20</v>
      </c>
    </row>
    <row r="27" customFormat="false" ht="15" hidden="false" customHeight="false" outlineLevel="0" collapsed="false">
      <c r="A27" s="3" t="s">
        <v>21</v>
      </c>
    </row>
    <row r="28" customFormat="false" ht="15" hidden="false" customHeight="false" outlineLevel="0" collapsed="false">
      <c r="A28" s="3" t="s">
        <v>22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61"/>
  <sheetViews>
    <sheetView showFormulas="false" showGridLines="true" showRowColHeaders="true" showZeros="true" rightToLeft="false" tabSelected="false" showOutlineSymbols="true" defaultGridColor="true" view="normal" topLeftCell="A1" colorId="64" zoomScale="90" zoomScaleNormal="90" zoomScalePageLayoutView="100" workbookViewId="0">
      <pane xSplit="1" ySplit="6" topLeftCell="B7" activePane="bottomRight" state="frozen"/>
      <selection pane="topLeft" activeCell="A1" activeCellId="0" sqref="A1"/>
      <selection pane="topRight" activeCell="B1" activeCellId="0" sqref="B1"/>
      <selection pane="bottomLeft" activeCell="A7" activeCellId="0" sqref="A7"/>
      <selection pane="bottomRight" activeCell="A1" activeCellId="0" sqref="A1"/>
    </sheetView>
  </sheetViews>
  <sheetFormatPr defaultColWidth="8.6796875" defaultRowHeight="15" zeroHeight="false" outlineLevelRow="0" outlineLevelCol="0"/>
  <cols>
    <col collapsed="false" customWidth="true" hidden="false" outlineLevel="0" max="1" min="1" style="0" width="70"/>
    <col collapsed="false" customWidth="true" hidden="false" outlineLevel="0" max="5" min="2" style="0" width="12"/>
    <col collapsed="false" customWidth="true" hidden="false" outlineLevel="0" max="6" min="6" style="0" width="9"/>
    <col collapsed="false" customWidth="true" hidden="false" outlineLevel="0" max="7" min="7" style="0" width="70"/>
    <col collapsed="false" customWidth="true" hidden="false" outlineLevel="0" max="8" min="8" style="0" width="4"/>
    <col collapsed="false" customWidth="true" hidden="false" outlineLevel="0" max="10" min="10" style="0" width="18"/>
    <col collapsed="false" customWidth="true" hidden="false" outlineLevel="0" max="11" min="11" style="0" width="36"/>
    <col collapsed="false" customWidth="true" hidden="false" outlineLevel="0" max="12" min="12" style="0" width="9"/>
    <col collapsed="false" customWidth="true" hidden="false" outlineLevel="0" max="13" min="13" style="0" width="10"/>
    <col collapsed="false" customWidth="true" hidden="false" outlineLevel="0" max="15" min="15" style="0" width="18"/>
    <col collapsed="false" customWidth="true" hidden="false" outlineLevel="0" max="16" min="16" style="0" width="36"/>
    <col collapsed="false" customWidth="true" hidden="false" outlineLevel="0" max="17" min="17" style="0" width="9"/>
    <col collapsed="false" customWidth="true" hidden="false" outlineLevel="0" max="18" min="18" style="0" width="10"/>
  </cols>
  <sheetData>
    <row r="1" customFormat="false" ht="15" hidden="false" customHeight="false" outlineLevel="0" collapsed="false">
      <c r="A1" s="5" t="str">
        <f aca="false">IF((COUNTIF(Office_Log!$A$2:$A$201,"SAMPLE*")+COUNTIF(Brand_Log!$A$2:$A$201,"SAMPLE*")+COUNTIF(signed_offices!$W$2:$W$51,"SAMPLE*")+COUNTIF(paid_brands!$AC$2:$AC$51,"SAMPLE*")+COUNTIF(later_events!$C$2:$C$101,"SAMPLE*")+IFERROR(COUNTIF(INDEX(Clay_Offices!$A$2:$FZ$601,0,Sync!$C$5),"SAMPLE*"),0)+IFERROR(COUNTIF(INDEX(Clay_Brands!$A$2:$FZ$601,0,Sync!$D$5),"SAMPLE*"),0))&gt;0,"SAMPLE: this file holds "&amp;(COUNTIF(Office_Log!$A$2:$A$201,"SAMPLE*")+COUNTIF(Brand_Log!$A$2:$A$201,"SAMPLE*")+COUNTIF(signed_offices!$W$2:$W$51,"SAMPLE*")+COUNTIF(paid_brands!$AC$2:$AC$51,"SAMPLE*")+COUNTIF(later_events!$C$2:$C$101,"SAMPLE*")+IFERROR(COUNTIF(INDEX(Clay_Offices!$A$2:$FZ$601,0,Sync!$C$5),"SAMPLE*"),0)+IFERROR(COUNTIF(INDEX(Clay_Brands!$A$2:$FZ$601,0,Sync!$D$5),"SAMPLE*"),0))&amp;" SAMPLE rows. Illustrative placeholders, not results. include_sample = "&amp;Config!$B$19&amp;IF(Config!$B$19="Y"," (SAMPLE rows are counted)"," (SAMPLE rows are ignored)"),"")</f>
        <v>SAMPLE: this file holds 118 SAMPLE rows. Illustrative placeholders, not results. include_sample = Y (SAMPLE rows are counted)</v>
      </c>
      <c r="B1" s="5"/>
      <c r="C1" s="5"/>
      <c r="D1" s="5"/>
      <c r="E1" s="5"/>
      <c r="F1" s="5"/>
      <c r="G1" s="5"/>
    </row>
    <row r="2" customFormat="false" ht="17.35" hidden="false" customHeight="false" outlineLevel="0" collapsed="false">
      <c r="A2" s="6" t="str">
        <f aca="false">Config!$B$3&amp;" · Friday scorecard"</f>
        <v>Desk Drop · Friday scorecard</v>
      </c>
    </row>
    <row r="3" customFormat="false" ht="15" hidden="false" customHeight="false" outlineLevel="0" collapsed="false">
      <c r="A3" s="7" t="str">
        <f aca="false">"As of "&amp;TEXT(Config!$B$5,"ddd yyyy-mm-dd")&amp;". Gate 0 is "&amp;TEXT(Config!$B$8,"ddd yyyy-mm-dd")&amp;" (derived, founder to confirm). Counts are distinct offices or brands, by call_date."</f>
        <v>As of Fri 2026-12-11. Gate 0 is Fri 2026-11-13 (derived, founder to confirm). Counts are distinct offices or brands, by call_date.</v>
      </c>
    </row>
    <row r="5" customFormat="false" ht="15" hidden="false" customHeight="false" outlineLevel="0" collapsed="false">
      <c r="A5" s="8" t="s">
        <v>23</v>
      </c>
      <c r="B5" s="8" t="s">
        <v>24</v>
      </c>
      <c r="C5" s="8" t="s">
        <v>25</v>
      </c>
      <c r="D5" s="8" t="s">
        <v>26</v>
      </c>
      <c r="E5" s="8" t="s">
        <v>27</v>
      </c>
      <c r="F5" s="8" t="s">
        <v>28</v>
      </c>
      <c r="G5" s="8" t="s">
        <v>29</v>
      </c>
    </row>
    <row r="6" customFormat="false" ht="15" hidden="false" customHeight="false" outlineLevel="0" collapsed="false">
      <c r="A6" s="9" t="s">
        <v>30</v>
      </c>
      <c r="B6" s="10" t="n">
        <f aca="false">Config!$B$6</f>
        <v>46325</v>
      </c>
      <c r="C6" s="10" t="n">
        <f aca="false">Config!$B$7</f>
        <v>46332</v>
      </c>
      <c r="D6" s="10" t="n">
        <f aca="false">Config!$B$8</f>
        <v>46339</v>
      </c>
      <c r="E6" s="10" t="n">
        <f aca="false">Config!$B$5</f>
        <v>46367</v>
      </c>
      <c r="F6" s="11"/>
      <c r="G6" s="12"/>
    </row>
    <row r="7" customFormat="false" ht="15" hidden="false" customHeight="true" outlineLevel="0" collapsed="false">
      <c r="A7" s="13" t="s">
        <v>31</v>
      </c>
      <c r="B7" s="13"/>
      <c r="C7" s="13"/>
      <c r="D7" s="13"/>
      <c r="E7" s="13"/>
      <c r="F7" s="13"/>
      <c r="G7" s="13"/>
    </row>
    <row r="8" customFormat="false" ht="28.35" hidden="false" customHeight="false" outlineLevel="0" collapsed="false">
      <c r="A8" s="14" t="s">
        <v>32</v>
      </c>
      <c r="B8" s="15" t="n">
        <f aca="false">COUNTIFS(Office_Log!$BC$2:$BC$201,1,Office_Log!$H$2:$H$201,"&lt;"&amp;(B$6+1))</f>
        <v>3</v>
      </c>
      <c r="C8" s="15" t="n">
        <f aca="false">COUNTIFS(Office_Log!$BC$2:$BC$201,1,Office_Log!$H$2:$H$201,"&lt;"&amp;(C$6+1))</f>
        <v>7</v>
      </c>
      <c r="D8" s="15" t="n">
        <f aca="false">COUNTIFS(Office_Log!$BC$2:$BC$201,1,Office_Log!$H$2:$H$201,"&lt;"&amp;(D$6+1))</f>
        <v>13</v>
      </c>
      <c r="E8" s="15" t="n">
        <f aca="false">COUNTIFS(Office_Log!$BC$2:$BC$201,1,Office_Log!$H$2:$H$201,"&lt;"&amp;(E$6+1))</f>
        <v>14</v>
      </c>
      <c r="F8" s="16" t="n">
        <f aca="false">Config!$B$10</f>
        <v>15</v>
      </c>
      <c r="G8" s="9" t="s">
        <v>33</v>
      </c>
    </row>
    <row r="9" customFormat="false" ht="41.75" hidden="false" customHeight="false" outlineLevel="0" collapsed="false">
      <c r="A9" s="14" t="s">
        <v>34</v>
      </c>
      <c r="B9" s="15" t="n">
        <f aca="false">COUNTIF(Office_Log!$DL$2:$DL$201,1)</f>
        <v>1</v>
      </c>
      <c r="C9" s="15" t="n">
        <f aca="false">COUNTIF(Office_Log!$DM$2:$DM$201,1)</f>
        <v>3</v>
      </c>
      <c r="D9" s="15" t="n">
        <f aca="false">COUNTIF(Office_Log!$DN$2:$DN$201,1)</f>
        <v>5</v>
      </c>
      <c r="E9" s="15" t="n">
        <f aca="false">COUNTIF(Office_Log!$DO$2:$DO$201,1)</f>
        <v>6</v>
      </c>
      <c r="F9" s="16" t="n">
        <f aca="false">Config!$B$11</f>
        <v>5</v>
      </c>
      <c r="G9" s="9" t="s">
        <v>35</v>
      </c>
    </row>
    <row r="10" customFormat="false" ht="41.75" hidden="false" customHeight="false" outlineLevel="0" collapsed="false">
      <c r="A10" s="17" t="s">
        <v>36</v>
      </c>
      <c r="B10" s="18" t="str">
        <f aca="false">IF(B9&gt;=Config!$B$11,"PASS",IF(B$6&lt;Config!$B$8,"not yet",IF(OR(B8&gt;=Config!$B$10,B$6&gt;=Config!$B$34),"FAIL","INCOMPLETE: "&amp;B8&amp;" of "&amp;Config!$B$10&amp;" conversations")))</f>
        <v>not yet</v>
      </c>
      <c r="C10" s="18" t="str">
        <f aca="false">IF(C9&gt;=Config!$B$11,"PASS",IF(C$6&lt;Config!$B$8,"not yet",IF(OR(C8&gt;=Config!$B$10,C$6&gt;=Config!$B$34),"FAIL","INCOMPLETE: "&amp;C8&amp;" of "&amp;Config!$B$10&amp;" conversations")))</f>
        <v>not yet</v>
      </c>
      <c r="D10" s="18" t="str">
        <f aca="false">IF(D9&gt;=Config!$B$11,"PASS",IF(D$6&lt;Config!$B$8,"not yet",IF(OR(D8&gt;=Config!$B$10,D$6&gt;=Config!$B$34),"FAIL","INCOMPLETE: "&amp;D8&amp;" of "&amp;Config!$B$10&amp;" conversations")))</f>
        <v>PASS</v>
      </c>
      <c r="E10" s="18" t="str">
        <f aca="false">IF(E9&gt;=Config!$B$11,"PASS",IF(E$6&lt;Config!$B$8,"not yet",IF(OR(E8&gt;=Config!$B$10,E$6&gt;=Config!$B$34),"FAIL","INCOMPLETE: "&amp;E8&amp;" of "&amp;Config!$B$10&amp;" conversations")))</f>
        <v>PASS</v>
      </c>
      <c r="F10" s="16"/>
      <c r="G10" s="9" t="s">
        <v>37</v>
      </c>
    </row>
    <row r="11" customFormat="false" ht="28.35" hidden="false" customHeight="false" outlineLevel="0" collapsed="false">
      <c r="A11" s="14" t="s">
        <v>38</v>
      </c>
      <c r="B11" s="15" t="n">
        <f aca="false">COUNTIF(Office_Log!$DP$2:$DP$201,1)</f>
        <v>2</v>
      </c>
      <c r="C11" s="15" t="n">
        <f aca="false">COUNTIF(Office_Log!$DQ$2:$DQ$201,1)</f>
        <v>4</v>
      </c>
      <c r="D11" s="15" t="n">
        <f aca="false">COUNTIF(Office_Log!$DR$2:$DR$201,1)</f>
        <v>7</v>
      </c>
      <c r="E11" s="15" t="n">
        <f aca="false">COUNTIF(Office_Log!$DS$2:$DS$201,1)</f>
        <v>8</v>
      </c>
      <c r="F11" s="16"/>
      <c r="G11" s="9" t="s">
        <v>39</v>
      </c>
    </row>
    <row r="12" customFormat="false" ht="28.35" hidden="false" customHeight="false" outlineLevel="0" collapsed="false">
      <c r="A12" s="14" t="s">
        <v>40</v>
      </c>
      <c r="B12" s="15" t="n">
        <f aca="false">COUNTIF(Office_Log!$DT$2:$DT$201,1)</f>
        <v>0</v>
      </c>
      <c r="C12" s="15" t="n">
        <f aca="false">COUNTIF(Office_Log!$DU$2:$DU$201,1)</f>
        <v>0</v>
      </c>
      <c r="D12" s="15" t="n">
        <f aca="false">COUNTIF(Office_Log!$DV$2:$DV$201,1)</f>
        <v>1</v>
      </c>
      <c r="E12" s="15" t="n">
        <f aca="false">COUNTIF(Office_Log!$DW$2:$DW$201,1)</f>
        <v>1</v>
      </c>
      <c r="F12" s="16"/>
      <c r="G12" s="9" t="s">
        <v>41</v>
      </c>
    </row>
    <row r="13" customFormat="false" ht="28.35" hidden="false" customHeight="false" outlineLevel="0" collapsed="false">
      <c r="A13" s="14" t="s">
        <v>42</v>
      </c>
      <c r="B13" s="15" t="n">
        <f aca="false">COUNTIF(Office_Log!$EK$2:$EK$201,1)</f>
        <v>0</v>
      </c>
      <c r="C13" s="15" t="n">
        <f aca="false">COUNTIF(Office_Log!$EL$2:$EL$201,1)</f>
        <v>0</v>
      </c>
      <c r="D13" s="15" t="n">
        <f aca="false">COUNTIF(Office_Log!$EM$2:$EM$201,1)</f>
        <v>0</v>
      </c>
      <c r="E13" s="15" t="n">
        <f aca="false">COUNTIF(Office_Log!$EN$2:$EN$201,1)</f>
        <v>0</v>
      </c>
      <c r="F13" s="16"/>
      <c r="G13" s="9" t="s">
        <v>43</v>
      </c>
    </row>
    <row r="14" customFormat="false" ht="28.35" hidden="false" customHeight="false" outlineLevel="0" collapsed="false">
      <c r="A14" s="14" t="s">
        <v>44</v>
      </c>
      <c r="B14" s="15" t="n">
        <f aca="false">COUNTIF(Office_Log!$EO$2:$EO$201,1)</f>
        <v>0</v>
      </c>
      <c r="C14" s="15" t="n">
        <f aca="false">COUNTIF(Office_Log!$EP$2:$EP$201,1)</f>
        <v>0</v>
      </c>
      <c r="D14" s="15" t="n">
        <f aca="false">COUNTIF(Office_Log!$EQ$2:$EQ$201,1)</f>
        <v>0</v>
      </c>
      <c r="E14" s="15" t="n">
        <f aca="false">COUNTIF(Office_Log!$ER$2:$ER$201,1)</f>
        <v>0</v>
      </c>
      <c r="F14" s="16"/>
      <c r="G14" s="9" t="s">
        <v>45</v>
      </c>
    </row>
    <row r="15" customFormat="false" ht="28.35" hidden="false" customHeight="false" outlineLevel="0" collapsed="false">
      <c r="A15" s="14" t="s">
        <v>46</v>
      </c>
      <c r="B15" s="15" t="n">
        <f aca="false">COUNTIFS(Office_Log!$CH$2:$CH$201,1,Office_Log!$H$2:$H$201,"&lt;"&amp;(B$6+1))</f>
        <v>1</v>
      </c>
      <c r="C15" s="15" t="n">
        <f aca="false">COUNTIFS(Office_Log!$CH$2:$CH$201,1,Office_Log!$H$2:$H$201,"&lt;"&amp;(C$6+1))</f>
        <v>1</v>
      </c>
      <c r="D15" s="15" t="n">
        <f aca="false">COUNTIFS(Office_Log!$CH$2:$CH$201,1,Office_Log!$H$2:$H$201,"&lt;"&amp;(D$6+1))</f>
        <v>3</v>
      </c>
      <c r="E15" s="15" t="n">
        <f aca="false">COUNTIFS(Office_Log!$CH$2:$CH$201,1,Office_Log!$H$2:$H$201,"&lt;"&amp;(E$6+1))</f>
        <v>3</v>
      </c>
      <c r="F15" s="16" t="n">
        <v>5</v>
      </c>
      <c r="G15" s="9" t="s">
        <v>47</v>
      </c>
    </row>
    <row r="16" customFormat="false" ht="15" hidden="false" customHeight="false" outlineLevel="0" collapsed="false">
      <c r="A16" s="14" t="s">
        <v>48</v>
      </c>
      <c r="B16" s="15" t="n">
        <f aca="false">COUNTIFS(Office_Log!$CB$2:$CB$201,1,Office_Log!$H$2:$H$201,"&lt;"&amp;(B$6+1))</f>
        <v>0</v>
      </c>
      <c r="C16" s="15" t="n">
        <f aca="false">COUNTIFS(Office_Log!$CB$2:$CB$201,1,Office_Log!$H$2:$H$201,"&lt;"&amp;(C$6+1))</f>
        <v>1</v>
      </c>
      <c r="D16" s="15" t="n">
        <f aca="false">COUNTIFS(Office_Log!$CB$2:$CB$201,1,Office_Log!$H$2:$H$201,"&lt;"&amp;(D$6+1))</f>
        <v>2</v>
      </c>
      <c r="E16" s="15" t="n">
        <f aca="false">COUNTIFS(Office_Log!$CB$2:$CB$201,1,Office_Log!$H$2:$H$201,"&lt;"&amp;(E$6+1))</f>
        <v>2</v>
      </c>
      <c r="F16" s="16"/>
      <c r="G16" s="9" t="s">
        <v>49</v>
      </c>
    </row>
    <row r="17" customFormat="false" ht="28.35" hidden="false" customHeight="false" outlineLevel="0" collapsed="false">
      <c r="A17" s="14" t="s">
        <v>50</v>
      </c>
      <c r="B17" s="19" t="n">
        <f aca="false">IF(COUNT(Office_Log!$BJ$2:$BJ$201)=0,"none yet",MEDIAN(Office_Log!$BJ$2:$BJ$201))</f>
        <v>50</v>
      </c>
      <c r="C17" s="19" t="n">
        <f aca="false">IF(COUNT(Office_Log!$BK$2:$BK$201)=0,"none yet",MEDIAN(Office_Log!$BK$2:$BK$201))</f>
        <v>50</v>
      </c>
      <c r="D17" s="19" t="n">
        <f aca="false">IF(COUNT(Office_Log!$BL$2:$BL$201)=0,"none yet",MEDIAN(Office_Log!$BL$2:$BL$201))</f>
        <v>75</v>
      </c>
      <c r="E17" s="19" t="n">
        <f aca="false">IF(COUNT(Office_Log!$BM$2:$BM$201)=0,"none yet",MEDIAN(Office_Log!$BM$2:$BM$201))</f>
        <v>75</v>
      </c>
      <c r="F17" s="16"/>
      <c r="G17" s="9" t="s">
        <v>51</v>
      </c>
    </row>
    <row r="18" customFormat="false" ht="15" hidden="false" customHeight="false" outlineLevel="0" collapsed="false">
      <c r="A18" s="14" t="s">
        <v>52</v>
      </c>
      <c r="B18" s="15" t="n">
        <f aca="false">COUNT(Office_Log!$BJ$2:$BJ$201)</f>
        <v>2</v>
      </c>
      <c r="C18" s="15" t="n">
        <f aca="false">COUNT(Office_Log!$BK$2:$BK$201)</f>
        <v>5</v>
      </c>
      <c r="D18" s="15" t="n">
        <f aca="false">COUNT(Office_Log!$BL$2:$BL$201)</f>
        <v>8</v>
      </c>
      <c r="E18" s="15" t="n">
        <f aca="false">COUNT(Office_Log!$BM$2:$BM$201)</f>
        <v>8</v>
      </c>
      <c r="F18" s="16"/>
      <c r="G18" s="9" t="s">
        <v>53</v>
      </c>
    </row>
    <row r="19" customFormat="false" ht="15" hidden="false" customHeight="false" outlineLevel="0" collapsed="false">
      <c r="A19" s="14" t="s">
        <v>54</v>
      </c>
      <c r="B19" s="15" t="n">
        <f aca="false">COUNTIF(Office_Log!$BJ$2:$BJ$201,0)</f>
        <v>1</v>
      </c>
      <c r="C19" s="15" t="n">
        <f aca="false">COUNTIF(Office_Log!$BK$2:$BK$201,0)</f>
        <v>2</v>
      </c>
      <c r="D19" s="15" t="n">
        <f aca="false">COUNTIF(Office_Log!$BL$2:$BL$201,0)</f>
        <v>3</v>
      </c>
      <c r="E19" s="15" t="n">
        <f aca="false">COUNTIF(Office_Log!$BM$2:$BM$201,0)</f>
        <v>3</v>
      </c>
      <c r="F19" s="16"/>
      <c r="G19" s="9" t="s">
        <v>55</v>
      </c>
    </row>
    <row r="20" customFormat="false" ht="28.35" hidden="false" customHeight="false" outlineLevel="0" collapsed="false">
      <c r="A20" s="14" t="s">
        <v>56</v>
      </c>
      <c r="B20" s="16"/>
      <c r="C20" s="16"/>
      <c r="D20" s="16"/>
      <c r="E20" s="15" t="n">
        <f aca="false">COUNTIFS(Office_Log!$BN$2:$BN$201,1,Office_Log!$H$2:$H$201,"&lt;"&amp;(E$6+1))</f>
        <v>4</v>
      </c>
      <c r="F20" s="16"/>
      <c r="G20" s="9" t="s">
        <v>57</v>
      </c>
    </row>
    <row r="21" customFormat="false" ht="15" hidden="false" customHeight="false" outlineLevel="0" collapsed="false">
      <c r="A21" s="14" t="s">
        <v>58</v>
      </c>
      <c r="B21" s="15" t="n">
        <f aca="false">COUNTIFS(Office_Log!$CF$2:$CF$201,1,Office_Log!$H$2:$H$201,"&lt;"&amp;(B$6+1))</f>
        <v>2</v>
      </c>
      <c r="C21" s="15" t="n">
        <f aca="false">COUNTIFS(Office_Log!$CF$2:$CF$201,1,Office_Log!$H$2:$H$201,"&lt;"&amp;(C$6+1))</f>
        <v>5</v>
      </c>
      <c r="D21" s="15" t="n">
        <f aca="false">COUNTIFS(Office_Log!$CF$2:$CF$201,1,Office_Log!$H$2:$H$201,"&lt;"&amp;(D$6+1))</f>
        <v>9</v>
      </c>
      <c r="E21" s="15" t="n">
        <f aca="false">COUNTIFS(Office_Log!$CF$2:$CF$201,1,Office_Log!$H$2:$H$201,"&lt;"&amp;(E$6+1))</f>
        <v>10</v>
      </c>
      <c r="F21" s="16" t="n">
        <v>8</v>
      </c>
      <c r="G21" s="9" t="s">
        <v>59</v>
      </c>
    </row>
    <row r="22" customFormat="false" ht="15" hidden="false" customHeight="false" outlineLevel="0" collapsed="false">
      <c r="A22" s="14" t="s">
        <v>60</v>
      </c>
      <c r="B22" s="16"/>
      <c r="C22" s="16"/>
      <c r="D22" s="16"/>
      <c r="E22" s="19" t="n">
        <f aca="false">IF(COUNT(Office_Log!$BQ$2:$BQ$201)=0,"none yet",MEDIAN(Office_Log!$BQ$2:$BQ$201))</f>
        <v>850</v>
      </c>
      <c r="F22" s="20" t="n">
        <f aca="false">COUNT(Office_Log!$BQ$2:$BQ$201)</f>
        <v>8</v>
      </c>
      <c r="G22" s="9" t="s">
        <v>61</v>
      </c>
    </row>
    <row r="23" customFormat="false" ht="15" hidden="false" customHeight="false" outlineLevel="0" collapsed="false">
      <c r="A23" s="14"/>
      <c r="B23" s="16"/>
      <c r="C23" s="16"/>
      <c r="D23" s="16"/>
      <c r="E23" s="16"/>
      <c r="F23" s="16"/>
      <c r="G23" s="12"/>
    </row>
    <row r="24" customFormat="false" ht="15" hidden="false" customHeight="true" outlineLevel="0" collapsed="false">
      <c r="A24" s="13" t="s">
        <v>62</v>
      </c>
      <c r="B24" s="13"/>
      <c r="C24" s="13"/>
      <c r="D24" s="13"/>
      <c r="E24" s="13"/>
      <c r="F24" s="13"/>
      <c r="G24" s="13"/>
    </row>
    <row r="25" customFormat="false" ht="28.35" hidden="false" customHeight="false" outlineLevel="0" collapsed="false">
      <c r="A25" s="14" t="s">
        <v>63</v>
      </c>
      <c r="B25" s="15" t="n">
        <f aca="false">COUNTIFS(Brand_Log!$AZ$2:$AZ$201,1,Brand_Log!$H$2:$H$201,"&lt;"&amp;(B$6+1))</f>
        <v>3</v>
      </c>
      <c r="C25" s="15" t="n">
        <f aca="false">COUNTIFS(Brand_Log!$AZ$2:$AZ$201,1,Brand_Log!$H$2:$H$201,"&lt;"&amp;(C$6+1))</f>
        <v>7</v>
      </c>
      <c r="D25" s="15" t="n">
        <f aca="false">COUNTIFS(Brand_Log!$AZ$2:$AZ$201,1,Brand_Log!$H$2:$H$201,"&lt;"&amp;(D$6+1))</f>
        <v>13</v>
      </c>
      <c r="E25" s="15" t="n">
        <f aca="false">COUNTIFS(Brand_Log!$AZ$2:$AZ$201,1,Brand_Log!$H$2:$H$201,"&lt;"&amp;(E$6+1))</f>
        <v>15</v>
      </c>
      <c r="F25" s="16" t="n">
        <f aca="false">Config!$B$12</f>
        <v>15</v>
      </c>
      <c r="G25" s="9" t="s">
        <v>64</v>
      </c>
    </row>
    <row r="26" customFormat="false" ht="55.2" hidden="false" customHeight="false" outlineLevel="0" collapsed="false">
      <c r="A26" s="14" t="s">
        <v>65</v>
      </c>
      <c r="B26" s="15" t="n">
        <f aca="false">COUNTIF(Brand_Log!$DD$2:$DD$201,1)</f>
        <v>2</v>
      </c>
      <c r="C26" s="15" t="n">
        <f aca="false">COUNTIF(Brand_Log!$DE$2:$DE$201,1)</f>
        <v>3</v>
      </c>
      <c r="D26" s="15" t="n">
        <f aca="false">COUNTIF(Brand_Log!$DF$2:$DF$201,1)</f>
        <v>6</v>
      </c>
      <c r="E26" s="15" t="n">
        <f aca="false">COUNTIF(Brand_Log!$DG$2:$DG$201,1)</f>
        <v>7</v>
      </c>
      <c r="F26" s="16" t="n">
        <f aca="false">Config!$B$13</f>
        <v>3</v>
      </c>
      <c r="G26" s="9" t="s">
        <v>66</v>
      </c>
    </row>
    <row r="27" customFormat="false" ht="41.75" hidden="false" customHeight="false" outlineLevel="0" collapsed="false">
      <c r="A27" s="17" t="s">
        <v>67</v>
      </c>
      <c r="B27" s="18" t="str">
        <f aca="false">IF(B26&gt;=Config!$B$13,"PASS",IF(B$6&lt;Config!$B$8,"not yet",IF(OR(B25&gt;=Config!$B$12,B$6&gt;=Config!$B$34),"FAIL","INCOMPLETE: "&amp;B25&amp;" of "&amp;Config!$B$12&amp;" conversations")))</f>
        <v>not yet</v>
      </c>
      <c r="C27" s="18" t="str">
        <f aca="false">IF(C26&gt;=Config!$B$13,"PASS",IF(C$6&lt;Config!$B$8,"not yet",IF(OR(C25&gt;=Config!$B$12,C$6&gt;=Config!$B$34),"FAIL","INCOMPLETE: "&amp;C25&amp;" of "&amp;Config!$B$12&amp;" conversations")))</f>
        <v>PASS</v>
      </c>
      <c r="D27" s="18" t="str">
        <f aca="false">IF(D26&gt;=Config!$B$13,"PASS",IF(D$6&lt;Config!$B$8,"not yet",IF(OR(D25&gt;=Config!$B$12,D$6&gt;=Config!$B$34),"FAIL","INCOMPLETE: "&amp;D25&amp;" of "&amp;Config!$B$12&amp;" conversations")))</f>
        <v>PASS</v>
      </c>
      <c r="E27" s="18" t="str">
        <f aca="false">IF(E26&gt;=Config!$B$13,"PASS",IF(E$6&lt;Config!$B$8,"not yet",IF(OR(E25&gt;=Config!$B$12,E$6&gt;=Config!$B$34),"FAIL","INCOMPLETE: "&amp;E25&amp;" of "&amp;Config!$B$12&amp;" conversations")))</f>
        <v>PASS</v>
      </c>
      <c r="F27" s="16"/>
      <c r="G27" s="9" t="s">
        <v>37</v>
      </c>
    </row>
    <row r="28" customFormat="false" ht="28.35" hidden="false" customHeight="false" outlineLevel="0" collapsed="false">
      <c r="A28" s="14" t="s">
        <v>68</v>
      </c>
      <c r="B28" s="15" t="n">
        <f aca="false">COUNTIF(Brand_Log!$DH$2:$DH$201,1)</f>
        <v>1</v>
      </c>
      <c r="C28" s="15" t="n">
        <f aca="false">COUNTIF(Brand_Log!$DI$2:$DI$201,1)</f>
        <v>2</v>
      </c>
      <c r="D28" s="15" t="n">
        <f aca="false">COUNTIF(Brand_Log!$DJ$2:$DJ$201,1)</f>
        <v>5</v>
      </c>
      <c r="E28" s="15" t="n">
        <f aca="false">COUNTIF(Brand_Log!$DK$2:$DK$201,1)</f>
        <v>6</v>
      </c>
      <c r="F28" s="16"/>
      <c r="G28" s="9" t="s">
        <v>69</v>
      </c>
    </row>
    <row r="29" customFormat="false" ht="28.35" hidden="false" customHeight="false" outlineLevel="0" collapsed="false">
      <c r="A29" s="14" t="s">
        <v>70</v>
      </c>
      <c r="B29" s="15" t="n">
        <f aca="false">COUNTIF(Brand_Log!$DL$2:$DL$201,1)</f>
        <v>0</v>
      </c>
      <c r="C29" s="15" t="n">
        <f aca="false">COUNTIF(Brand_Log!$DM$2:$DM$201,1)</f>
        <v>0</v>
      </c>
      <c r="D29" s="15" t="n">
        <f aca="false">COUNTIF(Brand_Log!$DN$2:$DN$201,1)</f>
        <v>0</v>
      </c>
      <c r="E29" s="15" t="n">
        <f aca="false">COUNTIF(Brand_Log!$DO$2:$DO$201,1)</f>
        <v>0</v>
      </c>
      <c r="F29" s="16"/>
      <c r="G29" s="9" t="s">
        <v>71</v>
      </c>
    </row>
    <row r="30" customFormat="false" ht="28.35" hidden="false" customHeight="false" outlineLevel="0" collapsed="false">
      <c r="A30" s="14" t="s">
        <v>72</v>
      </c>
      <c r="B30" s="15" t="n">
        <f aca="false">COUNTIFS(Brand_Log!$BG$2:$BG$201,1,Brand_Log!$H$2:$H$201,"&lt;"&amp;(B$6+1))</f>
        <v>0</v>
      </c>
      <c r="C30" s="15" t="n">
        <f aca="false">COUNTIFS(Brand_Log!$BG$2:$BG$201,1,Brand_Log!$H$2:$H$201,"&lt;"&amp;(C$6+1))</f>
        <v>1</v>
      </c>
      <c r="D30" s="15" t="n">
        <f aca="false">COUNTIFS(Brand_Log!$BG$2:$BG$201,1,Brand_Log!$H$2:$H$201,"&lt;"&amp;(D$6+1))</f>
        <v>1</v>
      </c>
      <c r="E30" s="15" t="n">
        <f aca="false">COUNTIFS(Brand_Log!$BG$2:$BG$201,1,Brand_Log!$H$2:$H$201,"&lt;"&amp;(E$6+1))</f>
        <v>1</v>
      </c>
      <c r="F30" s="16"/>
      <c r="G30" s="9" t="s">
        <v>73</v>
      </c>
    </row>
    <row r="31" customFormat="false" ht="15" hidden="false" customHeight="false" outlineLevel="0" collapsed="false">
      <c r="A31" s="14" t="s">
        <v>74</v>
      </c>
      <c r="B31" s="19" t="n">
        <f aca="false">IF(COUNT(Brand_Log!$BJ$2:$BJ$201)=0,"none yet",MEDIAN(Brand_Log!$BJ$2:$BJ$201))</f>
        <v>375</v>
      </c>
      <c r="C31" s="19" t="n">
        <f aca="false">IF(COUNT(Brand_Log!$BK$2:$BK$201)=0,"none yet",MEDIAN(Brand_Log!$BK$2:$BK$201))</f>
        <v>400</v>
      </c>
      <c r="D31" s="19" t="n">
        <f aca="false">IF(COUNT(Brand_Log!$BL$2:$BL$201)=0,"none yet",MEDIAN(Brand_Log!$BL$2:$BL$201))</f>
        <v>500</v>
      </c>
      <c r="E31" s="19" t="n">
        <f aca="false">IF(COUNT(Brand_Log!$BM$2:$BM$201)=0,"none yet",MEDIAN(Brand_Log!$BM$2:$BM$201))</f>
        <v>500</v>
      </c>
      <c r="F31" s="16"/>
      <c r="G31" s="9" t="s">
        <v>75</v>
      </c>
    </row>
    <row r="32" customFormat="false" ht="15" hidden="false" customHeight="false" outlineLevel="0" collapsed="false">
      <c r="A32" s="14" t="s">
        <v>76</v>
      </c>
      <c r="B32" s="15" t="n">
        <f aca="false">COUNT(Brand_Log!$BJ$2:$BJ$201)</f>
        <v>2</v>
      </c>
      <c r="C32" s="15" t="n">
        <f aca="false">COUNT(Brand_Log!$BK$2:$BK$201)</f>
        <v>6</v>
      </c>
      <c r="D32" s="15" t="n">
        <f aca="false">COUNT(Brand_Log!$BL$2:$BL$201)</f>
        <v>11</v>
      </c>
      <c r="E32" s="15" t="n">
        <f aca="false">COUNT(Brand_Log!$BM$2:$BM$201)</f>
        <v>13</v>
      </c>
      <c r="F32" s="16"/>
      <c r="G32" s="9" t="s">
        <v>53</v>
      </c>
    </row>
    <row r="33" customFormat="false" ht="15" hidden="false" customHeight="false" outlineLevel="0" collapsed="false">
      <c r="A33" s="14" t="s">
        <v>77</v>
      </c>
      <c r="B33" s="19" t="n">
        <f aca="false">IF(COUNT(Brand_Log!$BP$2:$BP$201)=0,"none yet",MEDIAN(Brand_Log!$BP$2:$BP$201))</f>
        <v>600</v>
      </c>
      <c r="C33" s="19" t="n">
        <f aca="false">IF(COUNT(Brand_Log!$BQ$2:$BQ$201)=0,"none yet",MEDIAN(Brand_Log!$BQ$2:$BQ$201))</f>
        <v>700</v>
      </c>
      <c r="D33" s="19" t="n">
        <f aca="false">IF(COUNT(Brand_Log!$BR$2:$BR$201)=0,"none yet",MEDIAN(Brand_Log!$BR$2:$BR$201))</f>
        <v>800</v>
      </c>
      <c r="E33" s="19" t="n">
        <f aca="false">IF(COUNT(Brand_Log!$BS$2:$BS$201)=0,"none yet",MEDIAN(Brand_Log!$BS$2:$BS$201))</f>
        <v>850</v>
      </c>
      <c r="F33" s="16"/>
      <c r="G33" s="9" t="s">
        <v>78</v>
      </c>
    </row>
    <row r="34" customFormat="false" ht="15" hidden="false" customHeight="false" outlineLevel="0" collapsed="false">
      <c r="A34" s="14" t="s">
        <v>79</v>
      </c>
      <c r="B34" s="15" t="n">
        <f aca="false">COUNT(Brand_Log!$BP$2:$BP$201)</f>
        <v>3</v>
      </c>
      <c r="C34" s="15" t="n">
        <f aca="false">COUNT(Brand_Log!$BQ$2:$BQ$201)</f>
        <v>6</v>
      </c>
      <c r="D34" s="15" t="n">
        <f aca="false">COUNT(Brand_Log!$BR$2:$BR$201)</f>
        <v>7</v>
      </c>
      <c r="E34" s="15" t="n">
        <f aca="false">COUNT(Brand_Log!$BS$2:$BS$201)</f>
        <v>8</v>
      </c>
      <c r="F34" s="16"/>
      <c r="G34" s="9" t="s">
        <v>53</v>
      </c>
    </row>
    <row r="35" customFormat="false" ht="28.35" hidden="false" customHeight="false" outlineLevel="0" collapsed="false">
      <c r="A35" s="14" t="s">
        <v>80</v>
      </c>
      <c r="B35" s="15" t="n">
        <f aca="false">COUNTIFS(Brand_Log!$CE$2:$CE$201,1,Brand_Log!$H$2:$H$201,"&lt;"&amp;(B$6+1))</f>
        <v>2</v>
      </c>
      <c r="C35" s="15" t="n">
        <f aca="false">COUNTIFS(Brand_Log!$CE$2:$CE$201,1,Brand_Log!$H$2:$H$201,"&lt;"&amp;(C$6+1))</f>
        <v>2</v>
      </c>
      <c r="D35" s="15" t="n">
        <f aca="false">COUNTIFS(Brand_Log!$CE$2:$CE$201,1,Brand_Log!$H$2:$H$201,"&lt;"&amp;(D$6+1))</f>
        <v>5</v>
      </c>
      <c r="E35" s="15" t="n">
        <f aca="false">COUNTIFS(Brand_Log!$CE$2:$CE$201,1,Brand_Log!$H$2:$H$201,"&lt;"&amp;(E$6+1))</f>
        <v>5</v>
      </c>
      <c r="F35" s="16"/>
      <c r="G35" s="9" t="s">
        <v>81</v>
      </c>
    </row>
    <row r="36" customFormat="false" ht="15" hidden="false" customHeight="false" outlineLevel="0" collapsed="false">
      <c r="A36" s="14" t="s">
        <v>82</v>
      </c>
      <c r="B36" s="15" t="n">
        <f aca="false">COUNTIFS(Brand_Log!$CG$2:$CG$201,1,Brand_Log!$H$2:$H$201,"&lt;"&amp;(B$6+1))</f>
        <v>2</v>
      </c>
      <c r="C36" s="15" t="n">
        <f aca="false">COUNTIFS(Brand_Log!$CG$2:$CG$201,1,Brand_Log!$H$2:$H$201,"&lt;"&amp;(C$6+1))</f>
        <v>3</v>
      </c>
      <c r="D36" s="15" t="n">
        <f aca="false">COUNTIFS(Brand_Log!$CG$2:$CG$201,1,Brand_Log!$H$2:$H$201,"&lt;"&amp;(D$6+1))</f>
        <v>6</v>
      </c>
      <c r="E36" s="15" t="n">
        <f aca="false">COUNTIFS(Brand_Log!$CG$2:$CG$201,1,Brand_Log!$H$2:$H$201,"&lt;"&amp;(E$6+1))</f>
        <v>7</v>
      </c>
      <c r="F36" s="16" t="n">
        <v>6</v>
      </c>
      <c r="G36" s="9" t="s">
        <v>83</v>
      </c>
    </row>
    <row r="37" customFormat="false" ht="15" hidden="false" customHeight="false" outlineLevel="0" collapsed="false">
      <c r="A37" s="14" t="s">
        <v>84</v>
      </c>
      <c r="B37" s="16"/>
      <c r="C37" s="16"/>
      <c r="D37" s="16"/>
      <c r="E37" s="19" t="n">
        <f aca="false">IF(COUNT(Brand_Log!$BV$2:$BV$201)=0,"none yet",MEDIAN(Brand_Log!$BV$2:$BV$201))</f>
        <v>2000</v>
      </c>
      <c r="F37" s="20" t="n">
        <f aca="false">COUNT(Brand_Log!$BV$2:$BV$201)</f>
        <v>15</v>
      </c>
      <c r="G37" s="9" t="s">
        <v>85</v>
      </c>
    </row>
    <row r="38" customFormat="false" ht="15" hidden="false" customHeight="false" outlineLevel="0" collapsed="false">
      <c r="A38" s="14"/>
      <c r="B38" s="16"/>
      <c r="C38" s="16"/>
      <c r="D38" s="16"/>
      <c r="E38" s="16"/>
      <c r="F38" s="16"/>
      <c r="G38" s="12"/>
    </row>
    <row r="39" customFormat="false" ht="15" hidden="false" customHeight="true" outlineLevel="0" collapsed="false">
      <c r="A39" s="13" t="s">
        <v>86</v>
      </c>
      <c r="B39" s="13"/>
      <c r="C39" s="13"/>
      <c r="D39" s="13"/>
      <c r="E39" s="13"/>
      <c r="F39" s="13"/>
      <c r="G39" s="13"/>
      <c r="J39" s="7" t="s">
        <v>87</v>
      </c>
    </row>
    <row r="40" customFormat="false" ht="41.75" hidden="false" customHeight="false" outlineLevel="0" collapsed="false">
      <c r="A40" s="17" t="s">
        <v>88</v>
      </c>
      <c r="B40" s="18" t="str">
        <f aca="false">IF(AND(B10="PASS",B27="PASS"),"PASS",IF(OR(B10="FAIL",B27="FAIL"),"FAIL",IF(OR(LEFT(B10,10)="INCOMPLETE",LEFT(B27,10)="INCOMPLETE"),"INCOMPLETE","not yet")))</f>
        <v>not yet</v>
      </c>
      <c r="C40" s="18" t="str">
        <f aca="false">IF(AND(C10="PASS",C27="PASS"),"PASS",IF(OR(C10="FAIL",C27="FAIL"),"FAIL",IF(OR(LEFT(C10,10)="INCOMPLETE",LEFT(C27,10)="INCOMPLETE"),"INCOMPLETE","not yet")))</f>
        <v>not yet</v>
      </c>
      <c r="D40" s="18" t="str">
        <f aca="false">IF(AND(D10="PASS",D27="PASS"),"PASS",IF(OR(D10="FAIL",D27="FAIL"),"FAIL",IF(OR(LEFT(D10,10)="INCOMPLETE",LEFT(D27,10)="INCOMPLETE"),"INCOMPLETE","not yet")))</f>
        <v>PASS</v>
      </c>
      <c r="E40" s="18" t="str">
        <f aca="false">IF(AND(E10="PASS",E27="PASS"),"PASS",IF(OR(E10="FAIL",E27="FAIL"),"FAIL",IF(OR(LEFT(E10,10)="INCOMPLETE",LEFT(E27,10)="INCOMPLETE"),"INCOMPLETE","not yet")))</f>
        <v>PASS</v>
      </c>
      <c r="F40" s="16"/>
      <c r="G40" s="12"/>
      <c r="J40" s="21" t="s">
        <v>89</v>
      </c>
      <c r="K40" s="21" t="s">
        <v>90</v>
      </c>
      <c r="L40" s="21" t="s">
        <v>91</v>
      </c>
      <c r="M40" s="21" t="s">
        <v>92</v>
      </c>
      <c r="O40" s="21" t="s">
        <v>93</v>
      </c>
      <c r="P40" s="21" t="s">
        <v>94</v>
      </c>
      <c r="Q40" s="21" t="s">
        <v>95</v>
      </c>
      <c r="R40" s="21" t="s">
        <v>96</v>
      </c>
    </row>
    <row r="41" customFormat="false" ht="31.5" hidden="false" customHeight="true" outlineLevel="0" collapsed="false">
      <c r="A41" s="17" t="s">
        <v>97</v>
      </c>
      <c r="B41" s="22" t="str">
        <f aca="false">"As of "&amp;TEXT(E$6,"yyyy-mm-dd")&amp;": "&amp;E9&amp;" of "&amp;E8&amp;" offices said yes with a pantry owner and a receiving window (target "&amp;F9&amp;"); "&amp;E26&amp;" of "&amp;E25&amp;" brands would pay $"&amp;Config!$B$14&amp;" or more and control the budget (target "&amp;F26&amp;"). Gate 0: "&amp;E40&amp;"."</f>
        <v>As of 2026-12-11: 6 of 14 offices said yes with a pantry owner and a receiving window (target 5); 7 of 15 brands would pay $500 or more and control the budget (target 3). Gate 0: PASS.</v>
      </c>
      <c r="C41" s="22"/>
      <c r="D41" s="22"/>
      <c r="E41" s="22"/>
      <c r="F41" s="22"/>
      <c r="G41" s="22"/>
      <c r="J41" s="23" t="s">
        <v>98</v>
      </c>
      <c r="K41" s="23" t="s">
        <v>99</v>
      </c>
      <c r="L41" s="23" t="n">
        <f aca="false">COUNTIFS(Office_Log!$BV$2:$BV$201,J41,Office_Log!$H$2:$H$201,"&lt;"&amp;($E$6+1))+COUNTIFS(Office_Log!$BW$2:$BW$201,J41,Office_Log!$H$2:$H$201,"&lt;"&amp;($E$6+1))+COUNTIFS(Office_Log!$BX$2:$BX$201,J41,Office_Log!$H$2:$H$201,"&lt;"&amp;($E$6+1))</f>
        <v>6</v>
      </c>
      <c r="M41" s="23" t="n">
        <f aca="false">L41-1/1000</f>
        <v>5.999</v>
      </c>
      <c r="O41" s="23" t="s">
        <v>100</v>
      </c>
      <c r="P41" s="23" t="s">
        <v>101</v>
      </c>
      <c r="Q41" s="23" t="n">
        <f aca="false">COUNTIFS(Brand_Log!$BX$2:$BX$201,O41,Brand_Log!$H$2:$H$201,"&lt;"&amp;($E$6+1))+COUNTIFS(Brand_Log!$BY$2:$BY$201,O41,Brand_Log!$H$2:$H$201,"&lt;"&amp;($E$6+1))+COUNTIFS(Brand_Log!$BZ$2:$BZ$201,O41,Brand_Log!$H$2:$H$201,"&lt;"&amp;($E$6+1))</f>
        <v>3</v>
      </c>
      <c r="R41" s="23" t="n">
        <f aca="false">Q41-1/1000</f>
        <v>2.999</v>
      </c>
    </row>
    <row r="42" customFormat="false" ht="30" hidden="false" customHeight="true" outlineLevel="0" collapsed="false">
      <c r="A42" s="9" t="s">
        <v>102</v>
      </c>
      <c r="B42" s="24" t="s">
        <v>103</v>
      </c>
      <c r="C42" s="24"/>
      <c r="D42" s="24"/>
      <c r="E42" s="24"/>
      <c r="F42" s="24"/>
      <c r="G42" s="24"/>
      <c r="J42" s="23" t="s">
        <v>104</v>
      </c>
      <c r="K42" s="23" t="s">
        <v>105</v>
      </c>
      <c r="L42" s="23" t="n">
        <f aca="false">COUNTIFS(Office_Log!$BV$2:$BV$201,J42,Office_Log!$H$2:$H$201,"&lt;"&amp;($E$6+1))+COUNTIFS(Office_Log!$BW$2:$BW$201,J42,Office_Log!$H$2:$H$201,"&lt;"&amp;($E$6+1))+COUNTIFS(Office_Log!$BX$2:$BX$201,J42,Office_Log!$H$2:$H$201,"&lt;"&amp;($E$6+1))</f>
        <v>2</v>
      </c>
      <c r="M42" s="23" t="n">
        <f aca="false">L42-2/1000</f>
        <v>1.998</v>
      </c>
      <c r="O42" s="23" t="s">
        <v>106</v>
      </c>
      <c r="P42" s="23" t="s">
        <v>107</v>
      </c>
      <c r="Q42" s="23" t="n">
        <f aca="false">COUNTIFS(Brand_Log!$BX$2:$BX$201,O42,Brand_Log!$H$2:$H$201,"&lt;"&amp;($E$6+1))+COUNTIFS(Brand_Log!$BY$2:$BY$201,O42,Brand_Log!$H$2:$H$201,"&lt;"&amp;($E$6+1))+COUNTIFS(Brand_Log!$BZ$2:$BZ$201,O42,Brand_Log!$H$2:$H$201,"&lt;"&amp;($E$6+1))</f>
        <v>4</v>
      </c>
      <c r="R42" s="23" t="n">
        <f aca="false">Q42-2/1000</f>
        <v>3.998</v>
      </c>
    </row>
    <row r="43" customFormat="false" ht="54" hidden="false" customHeight="true" outlineLevel="0" collapsed="false">
      <c r="A43" s="9" t="s">
        <v>108</v>
      </c>
      <c r="B43" s="24" t="s">
        <v>109</v>
      </c>
      <c r="C43" s="24"/>
      <c r="D43" s="24"/>
      <c r="E43" s="24"/>
      <c r="F43" s="24"/>
      <c r="G43" s="24"/>
      <c r="J43" s="23" t="s">
        <v>110</v>
      </c>
      <c r="K43" s="23" t="s">
        <v>111</v>
      </c>
      <c r="L43" s="23" t="n">
        <f aca="false">COUNTIFS(Office_Log!$BV$2:$BV$201,J43,Office_Log!$H$2:$H$201,"&lt;"&amp;($E$6+1))+COUNTIFS(Office_Log!$BW$2:$BW$201,J43,Office_Log!$H$2:$H$201,"&lt;"&amp;($E$6+1))+COUNTIFS(Office_Log!$BX$2:$BX$201,J43,Office_Log!$H$2:$H$201,"&lt;"&amp;($E$6+1))</f>
        <v>5</v>
      </c>
      <c r="M43" s="23" t="n">
        <f aca="false">L43-3/1000</f>
        <v>4.997</v>
      </c>
      <c r="O43" s="23" t="s">
        <v>112</v>
      </c>
      <c r="P43" s="23" t="s">
        <v>113</v>
      </c>
      <c r="Q43" s="23" t="n">
        <f aca="false">COUNTIFS(Brand_Log!$BX$2:$BX$201,O43,Brand_Log!$H$2:$H$201,"&lt;"&amp;($E$6+1))+COUNTIFS(Brand_Log!$BY$2:$BY$201,O43,Brand_Log!$H$2:$H$201,"&lt;"&amp;($E$6+1))+COUNTIFS(Brand_Log!$BZ$2:$BZ$201,O43,Brand_Log!$H$2:$H$201,"&lt;"&amp;($E$6+1))</f>
        <v>2</v>
      </c>
      <c r="R43" s="23" t="n">
        <f aca="false">Q43-3/1000</f>
        <v>1.997</v>
      </c>
    </row>
    <row r="44" customFormat="false" ht="15" hidden="false" customHeight="false" outlineLevel="0" collapsed="false">
      <c r="A44" s="14"/>
      <c r="B44" s="16"/>
      <c r="C44" s="16"/>
      <c r="D44" s="16"/>
      <c r="E44" s="16"/>
      <c r="F44" s="16"/>
      <c r="G44" s="12"/>
      <c r="J44" s="23" t="s">
        <v>114</v>
      </c>
      <c r="K44" s="23" t="s">
        <v>115</v>
      </c>
      <c r="L44" s="23" t="n">
        <f aca="false">COUNTIFS(Office_Log!$BV$2:$BV$201,J44,Office_Log!$H$2:$H$201,"&lt;"&amp;($E$6+1))+COUNTIFS(Office_Log!$BW$2:$BW$201,J44,Office_Log!$H$2:$H$201,"&lt;"&amp;($E$6+1))+COUNTIFS(Office_Log!$BX$2:$BX$201,J44,Office_Log!$H$2:$H$201,"&lt;"&amp;($E$6+1))</f>
        <v>0</v>
      </c>
      <c r="M44" s="23" t="n">
        <f aca="false">L44-4/1000</f>
        <v>-0.004</v>
      </c>
      <c r="O44" s="23" t="s">
        <v>116</v>
      </c>
      <c r="P44" s="23" t="s">
        <v>117</v>
      </c>
      <c r="Q44" s="23" t="n">
        <f aca="false">COUNTIFS(Brand_Log!$BX$2:$BX$201,O44,Brand_Log!$H$2:$H$201,"&lt;"&amp;($E$6+1))+COUNTIFS(Brand_Log!$BY$2:$BY$201,O44,Brand_Log!$H$2:$H$201,"&lt;"&amp;($E$6+1))+COUNTIFS(Brand_Log!$BZ$2:$BZ$201,O44,Brand_Log!$H$2:$H$201,"&lt;"&amp;($E$6+1))</f>
        <v>3</v>
      </c>
      <c r="R44" s="23" t="n">
        <f aca="false">Q44-4/1000</f>
        <v>2.996</v>
      </c>
    </row>
    <row r="45" customFormat="false" ht="15" hidden="false" customHeight="true" outlineLevel="0" collapsed="false">
      <c r="A45" s="13" t="s">
        <v>118</v>
      </c>
      <c r="B45" s="13"/>
      <c r="C45" s="13"/>
      <c r="D45" s="13"/>
      <c r="E45" s="13"/>
      <c r="F45" s="13"/>
      <c r="G45" s="13"/>
      <c r="J45" s="23" t="s">
        <v>119</v>
      </c>
      <c r="K45" s="23" t="s">
        <v>120</v>
      </c>
      <c r="L45" s="23" t="n">
        <f aca="false">COUNTIFS(Office_Log!$BV$2:$BV$201,J45,Office_Log!$H$2:$H$201,"&lt;"&amp;($E$6+1))+COUNTIFS(Office_Log!$BW$2:$BW$201,J45,Office_Log!$H$2:$H$201,"&lt;"&amp;($E$6+1))+COUNTIFS(Office_Log!$BX$2:$BX$201,J45,Office_Log!$H$2:$H$201,"&lt;"&amp;($E$6+1))</f>
        <v>2</v>
      </c>
      <c r="M45" s="23" t="n">
        <f aca="false">L45-5/1000</f>
        <v>1.995</v>
      </c>
      <c r="O45" s="23" t="s">
        <v>121</v>
      </c>
      <c r="P45" s="23" t="s">
        <v>122</v>
      </c>
      <c r="Q45" s="23" t="n">
        <f aca="false">COUNTIFS(Brand_Log!$BX$2:$BX$201,O45,Brand_Log!$H$2:$H$201,"&lt;"&amp;($E$6+1))+COUNTIFS(Brand_Log!$BY$2:$BY$201,O45,Brand_Log!$H$2:$H$201,"&lt;"&amp;($E$6+1))+COUNTIFS(Brand_Log!$BZ$2:$BZ$201,O45,Brand_Log!$H$2:$H$201,"&lt;"&amp;($E$6+1))</f>
        <v>2</v>
      </c>
      <c r="R45" s="23" t="n">
        <f aca="false">Q45-5/1000</f>
        <v>1.995</v>
      </c>
    </row>
    <row r="46" customFormat="false" ht="15" hidden="false" customHeight="false" outlineLevel="0" collapsed="false">
      <c r="A46" s="17" t="s">
        <v>123</v>
      </c>
      <c r="B46" s="18" t="s">
        <v>124</v>
      </c>
      <c r="C46" s="18" t="s">
        <v>125</v>
      </c>
      <c r="D46" s="16"/>
      <c r="E46" s="16"/>
      <c r="F46" s="16"/>
      <c r="G46" s="12"/>
      <c r="J46" s="23" t="s">
        <v>126</v>
      </c>
      <c r="K46" s="23" t="s">
        <v>127</v>
      </c>
      <c r="L46" s="23" t="n">
        <f aca="false">COUNTIFS(Office_Log!$BV$2:$BV$201,J46,Office_Log!$H$2:$H$201,"&lt;"&amp;($E$6+1))+COUNTIFS(Office_Log!$BW$2:$BW$201,J46,Office_Log!$H$2:$H$201,"&lt;"&amp;($E$6+1))+COUNTIFS(Office_Log!$BX$2:$BX$201,J46,Office_Log!$H$2:$H$201,"&lt;"&amp;($E$6+1))</f>
        <v>0</v>
      </c>
      <c r="M46" s="23" t="n">
        <f aca="false">L46-6/1000</f>
        <v>-0.006</v>
      </c>
      <c r="O46" s="23" t="s">
        <v>128</v>
      </c>
      <c r="P46" s="23" t="s">
        <v>129</v>
      </c>
      <c r="Q46" s="23" t="n">
        <f aca="false">COUNTIFS(Brand_Log!$BX$2:$BX$201,O46,Brand_Log!$H$2:$H$201,"&lt;"&amp;($E$6+1))+COUNTIFS(Brand_Log!$BY$2:$BY$201,O46,Brand_Log!$H$2:$H$201,"&lt;"&amp;($E$6+1))+COUNTIFS(Brand_Log!$BZ$2:$BZ$201,O46,Brand_Log!$H$2:$H$201,"&lt;"&amp;($E$6+1))</f>
        <v>1</v>
      </c>
      <c r="R46" s="23" t="n">
        <f aca="false">Q46-6/1000</f>
        <v>0.994</v>
      </c>
    </row>
    <row r="47" customFormat="false" ht="15" hidden="false" customHeight="false" outlineLevel="0" collapsed="false">
      <c r="A47" s="17" t="s">
        <v>130</v>
      </c>
      <c r="B47" s="16"/>
      <c r="C47" s="16"/>
      <c r="D47" s="16"/>
      <c r="E47" s="16"/>
      <c r="F47" s="16"/>
      <c r="G47" s="12"/>
      <c r="J47" s="23" t="s">
        <v>131</v>
      </c>
      <c r="K47" s="23" t="s">
        <v>132</v>
      </c>
      <c r="L47" s="23" t="n">
        <f aca="false">COUNTIFS(Office_Log!$BV$2:$BV$201,J47,Office_Log!$H$2:$H$201,"&lt;"&amp;($E$6+1))+COUNTIFS(Office_Log!$BW$2:$BW$201,J47,Office_Log!$H$2:$H$201,"&lt;"&amp;($E$6+1))+COUNTIFS(Office_Log!$BX$2:$BX$201,J47,Office_Log!$H$2:$H$201,"&lt;"&amp;($E$6+1))</f>
        <v>1</v>
      </c>
      <c r="M47" s="23" t="n">
        <f aca="false">L47-7/1000</f>
        <v>0.993</v>
      </c>
      <c r="O47" s="23" t="s">
        <v>133</v>
      </c>
      <c r="P47" s="23" t="s">
        <v>134</v>
      </c>
      <c r="Q47" s="23" t="n">
        <f aca="false">COUNTIFS(Brand_Log!$BX$2:$BX$201,O47,Brand_Log!$H$2:$H$201,"&lt;"&amp;($E$6+1))+COUNTIFS(Brand_Log!$BY$2:$BY$201,O47,Brand_Log!$H$2:$H$201,"&lt;"&amp;($E$6+1))+COUNTIFS(Brand_Log!$BZ$2:$BZ$201,O47,Brand_Log!$H$2:$H$201,"&lt;"&amp;($E$6+1))</f>
        <v>1</v>
      </c>
      <c r="R47" s="23" t="n">
        <f aca="false">Q47-7/1000</f>
        <v>0.993</v>
      </c>
    </row>
    <row r="48" customFormat="false" ht="15" hidden="false" customHeight="false" outlineLevel="0" collapsed="false">
      <c r="A48" s="14" t="str">
        <f aca="false">IF(INDEX($L$41:$L$53,MATCH(LARGE($M$41:$M$53,1),$M$41:$M$53,0))&lt;1,"1. none logged yet","1. "&amp;INDEX($K$41:$K$53,MATCH(LARGE($M$41:$M$53,1),$M$41:$M$53,0))&amp;" ("&amp;INDEX($J$41:$J$53,MATCH(LARGE($M$41:$M$53,1),$M$41:$M$53,0))&amp;")")</f>
        <v>1. I need to ask facilities, HR or someone else (needs_approval)</v>
      </c>
      <c r="B48" s="18" t="n">
        <f aca="false">INDEX($L$41:$L$53,MATCH(LARGE($M$41:$M$53,1),$M$41:$M$53,0))</f>
        <v>6</v>
      </c>
      <c r="C48" s="25" t="str">
        <f aca="false">IF(B48&lt;1,"",IFERROR(INDEX(Office_Log!$AQ$2:$AQ$201,MATCH(INDEX($J$41:$J$53,MATCH(LARGE($M$41:$M$53,1),$M$41:$M$53,0)),Office_Log!$BV$2:$BV$201,0)),IFERROR(INDEX(Office_Log!$AQ$2:$AQ$201,MATCH(INDEX($J$41:$J$53,MATCH(LARGE($M$41:$M$53,1),$M$41:$M$53,0)),Office_Log!$BW$2:$BW$201,0)),IFERROR(INDEX(Office_Log!$AQ$2:$AQ$201,MATCH(INDEX($J$41:$J$53,MATCH(LARGE($M$41:$M$53,1),$M$41:$M$53,0)),Office_Log!$BX$2:$BX$201,0)),""))))</f>
        <v>SAMPLE: needs_approval (office 04)</v>
      </c>
      <c r="D48" s="25"/>
      <c r="E48" s="25"/>
      <c r="F48" s="25"/>
      <c r="G48" s="25"/>
      <c r="J48" s="23" t="s">
        <v>135</v>
      </c>
      <c r="K48" s="23" t="s">
        <v>136</v>
      </c>
      <c r="L48" s="23" t="n">
        <f aca="false">COUNTIFS(Office_Log!$BV$2:$BV$201,J48,Office_Log!$H$2:$H$201,"&lt;"&amp;($E$6+1))+COUNTIFS(Office_Log!$BW$2:$BW$201,J48,Office_Log!$H$2:$H$201,"&lt;"&amp;($E$6+1))+COUNTIFS(Office_Log!$BX$2:$BX$201,J48,Office_Log!$H$2:$H$201,"&lt;"&amp;($E$6+1))</f>
        <v>0</v>
      </c>
      <c r="M48" s="23" t="n">
        <f aca="false">L48-8/1000</f>
        <v>-0.008</v>
      </c>
      <c r="O48" s="23" t="s">
        <v>137</v>
      </c>
      <c r="P48" s="23" t="s">
        <v>138</v>
      </c>
      <c r="Q48" s="23" t="n">
        <f aca="false">COUNTIFS(Brand_Log!$BX$2:$BX$201,O48,Brand_Log!$H$2:$H$201,"&lt;"&amp;($E$6+1))+COUNTIFS(Brand_Log!$BY$2:$BY$201,O48,Brand_Log!$H$2:$H$201,"&lt;"&amp;($E$6+1))+COUNTIFS(Brand_Log!$BZ$2:$BZ$201,O48,Brand_Log!$H$2:$H$201,"&lt;"&amp;($E$6+1))</f>
        <v>1</v>
      </c>
      <c r="R48" s="23" t="n">
        <f aca="false">Q48-8/1000</f>
        <v>0.992</v>
      </c>
    </row>
    <row r="49" customFormat="false" ht="15" hidden="false" customHeight="false" outlineLevel="0" collapsed="false">
      <c r="A49" s="14" t="str">
        <f aca="false">IF(INDEX($L$41:$L$53,MATCH(LARGE($M$41:$M$53,2),$M$41:$M$53,0))&lt;1,"2. none logged yet","2. "&amp;INDEX($K$41:$K$53,MATCH(LARGE($M$41:$M$53,2),$M$41:$M$53,0))&amp;" ("&amp;INDEX($J$41:$J$53,MATCH(LARGE($M$41:$M$53,2),$M$41:$M$53,0))&amp;")")</f>
        <v>2. Allergy or food-safety worry (allergy_policy)</v>
      </c>
      <c r="B49" s="18" t="n">
        <f aca="false">INDEX($L$41:$L$53,MATCH(LARGE($M$41:$M$53,2),$M$41:$M$53,0))</f>
        <v>5</v>
      </c>
      <c r="C49" s="25" t="str">
        <f aca="false">IF(B49&lt;1,"",IFERROR(INDEX(Office_Log!$AQ$2:$AQ$201,MATCH(INDEX($J$41:$J$53,MATCH(LARGE($M$41:$M$53,2),$M$41:$M$53,0)),Office_Log!$BV$2:$BV$201,0)),IFERROR(INDEX(Office_Log!$AQ$2:$AQ$201,MATCH(INDEX($J$41:$J$53,MATCH(LARGE($M$41:$M$53,2),$M$41:$M$53,0)),Office_Log!$BW$2:$BW$201,0)),IFERROR(INDEX(Office_Log!$AQ$2:$AQ$201,MATCH(INDEX($J$41:$J$53,MATCH(LARGE($M$41:$M$53,2),$M$41:$M$53,0)),Office_Log!$BX$2:$BX$201,0)),""))))</f>
        <v>SAMPLE: allergy_policy (office 01)</v>
      </c>
      <c r="D49" s="25"/>
      <c r="E49" s="25"/>
      <c r="F49" s="25"/>
      <c r="G49" s="25"/>
      <c r="J49" s="23" t="s">
        <v>139</v>
      </c>
      <c r="K49" s="23" t="s">
        <v>140</v>
      </c>
      <c r="L49" s="23" t="n">
        <f aca="false">COUNTIFS(Office_Log!$BV$2:$BV$201,J49,Office_Log!$H$2:$H$201,"&lt;"&amp;($E$6+1))+COUNTIFS(Office_Log!$BW$2:$BW$201,J49,Office_Log!$H$2:$H$201,"&lt;"&amp;($E$6+1))+COUNTIFS(Office_Log!$BX$2:$BX$201,J49,Office_Log!$H$2:$H$201,"&lt;"&amp;($E$6+1))</f>
        <v>1</v>
      </c>
      <c r="M49" s="23" t="n">
        <f aca="false">L49-9/1000</f>
        <v>0.991</v>
      </c>
      <c r="O49" s="23" t="s">
        <v>141</v>
      </c>
      <c r="P49" s="23" t="s">
        <v>142</v>
      </c>
      <c r="Q49" s="23" t="n">
        <f aca="false">COUNTIFS(Brand_Log!$BX$2:$BX$201,O49,Brand_Log!$H$2:$H$201,"&lt;"&amp;($E$6+1))+COUNTIFS(Brand_Log!$BY$2:$BY$201,O49,Brand_Log!$H$2:$H$201,"&lt;"&amp;($E$6+1))+COUNTIFS(Brand_Log!$BZ$2:$BZ$201,O49,Brand_Log!$H$2:$H$201,"&lt;"&amp;($E$6+1))</f>
        <v>0</v>
      </c>
      <c r="R49" s="23" t="n">
        <f aca="false">Q49-9/1000</f>
        <v>-0.009</v>
      </c>
    </row>
    <row r="50" customFormat="false" ht="15" hidden="false" customHeight="false" outlineLevel="0" collapsed="false">
      <c r="A50" s="14" t="str">
        <f aca="false">IF(INDEX($L$41:$L$53,MATCH(LARGE($M$41:$M$53,3),$M$41:$M$53,0))&lt;1,"3. none logged yet","3. "&amp;INDEX($K$41:$K$53,MATCH(LARGE($M$41:$M$53,3),$M$41:$M$53,0))&amp;" ("&amp;INDEX($J$41:$J$53,MATCH(LARGE($M$41:$M$53,3),$M$41:$M$53,0))&amp;")")</f>
        <v>3. We already have a pantry vendor or contract (existing_vendor)</v>
      </c>
      <c r="B50" s="18" t="n">
        <f aca="false">INDEX($L$41:$L$53,MATCH(LARGE($M$41:$M$53,3),$M$41:$M$53,0))</f>
        <v>2</v>
      </c>
      <c r="C50" s="25" t="str">
        <f aca="false">IF(B50&lt;1,"",IFERROR(INDEX(Office_Log!$AQ$2:$AQ$201,MATCH(INDEX($J$41:$J$53,MATCH(LARGE($M$41:$M$53,3),$M$41:$M$53,0)),Office_Log!$BV$2:$BV$201,0)),IFERROR(INDEX(Office_Log!$AQ$2:$AQ$201,MATCH(INDEX($J$41:$J$53,MATCH(LARGE($M$41:$M$53,3),$M$41:$M$53,0)),Office_Log!$BW$2:$BW$201,0)),IFERROR(INDEX(Office_Log!$AQ$2:$AQ$201,MATCH(INDEX($J$41:$J$53,MATCH(LARGE($M$41:$M$53,3),$M$41:$M$53,0)),Office_Log!$BX$2:$BX$201,0)),""))))</f>
        <v>SAMPLE: existing_vendor / allergy_policy (office 02)</v>
      </c>
      <c r="D50" s="25"/>
      <c r="E50" s="25"/>
      <c r="F50" s="25"/>
      <c r="G50" s="25"/>
      <c r="J50" s="23" t="s">
        <v>143</v>
      </c>
      <c r="K50" s="23" t="s">
        <v>144</v>
      </c>
      <c r="L50" s="23" t="n">
        <f aca="false">COUNTIFS(Office_Log!$BV$2:$BV$201,J50,Office_Log!$H$2:$H$201,"&lt;"&amp;($E$6+1))+COUNTIFS(Office_Log!$BW$2:$BW$201,J50,Office_Log!$H$2:$H$201,"&lt;"&amp;($E$6+1))+COUNTIFS(Office_Log!$BX$2:$BX$201,J50,Office_Log!$H$2:$H$201,"&lt;"&amp;($E$6+1))</f>
        <v>0</v>
      </c>
      <c r="M50" s="23" t="n">
        <f aca="false">L50-10/1000</f>
        <v>-0.01</v>
      </c>
      <c r="O50" s="23" t="s">
        <v>145</v>
      </c>
      <c r="P50" s="23" t="s">
        <v>146</v>
      </c>
      <c r="Q50" s="23" t="n">
        <f aca="false">COUNTIFS(Brand_Log!$BX$2:$BX$201,O50,Brand_Log!$H$2:$H$201,"&lt;"&amp;($E$6+1))+COUNTIFS(Brand_Log!$BY$2:$BY$201,O50,Brand_Log!$H$2:$H$201,"&lt;"&amp;($E$6+1))+COUNTIFS(Brand_Log!$BZ$2:$BZ$201,O50,Brand_Log!$H$2:$H$201,"&lt;"&amp;($E$6+1))</f>
        <v>1</v>
      </c>
      <c r="R50" s="23" t="n">
        <f aca="false">Q50-10/1000</f>
        <v>0.99</v>
      </c>
    </row>
    <row r="51" customFormat="false" ht="15" hidden="false" customHeight="false" outlineLevel="0" collapsed="false">
      <c r="A51" s="17" t="s">
        <v>147</v>
      </c>
      <c r="B51" s="16"/>
      <c r="C51" s="16"/>
      <c r="D51" s="16"/>
      <c r="E51" s="16"/>
      <c r="F51" s="16"/>
      <c r="G51" s="12"/>
      <c r="J51" s="23" t="s">
        <v>148</v>
      </c>
      <c r="K51" s="23" t="s">
        <v>149</v>
      </c>
      <c r="L51" s="23" t="n">
        <f aca="false">COUNTIFS(Office_Log!$BV$2:$BV$201,J51,Office_Log!$H$2:$H$201,"&lt;"&amp;($E$6+1))+COUNTIFS(Office_Log!$BW$2:$BW$201,J51,Office_Log!$H$2:$H$201,"&lt;"&amp;($E$6+1))+COUNTIFS(Office_Log!$BX$2:$BX$201,J51,Office_Log!$H$2:$H$201,"&lt;"&amp;($E$6+1))</f>
        <v>0</v>
      </c>
      <c r="M51" s="23" t="n">
        <f aca="false">L51-11/1000</f>
        <v>-0.011</v>
      </c>
      <c r="O51" s="23" t="s">
        <v>150</v>
      </c>
      <c r="P51" s="23" t="s">
        <v>151</v>
      </c>
      <c r="Q51" s="23" t="n">
        <f aca="false">COUNTIFS(Brand_Log!$BX$2:$BX$201,O51,Brand_Log!$H$2:$H$201,"&lt;"&amp;($E$6+1))+COUNTIFS(Brand_Log!$BY$2:$BY$201,O51,Brand_Log!$H$2:$H$201,"&lt;"&amp;($E$6+1))+COUNTIFS(Brand_Log!$BZ$2:$BZ$201,O51,Brand_Log!$H$2:$H$201,"&lt;"&amp;($E$6+1))</f>
        <v>0</v>
      </c>
      <c r="R51" s="23" t="n">
        <f aca="false">Q51-11/1000</f>
        <v>-0.011</v>
      </c>
    </row>
    <row r="52" customFormat="false" ht="15" hidden="false" customHeight="false" outlineLevel="0" collapsed="false">
      <c r="A52" s="14" t="str">
        <f aca="false">IF(INDEX($Q$41:$Q$53,MATCH(LARGE($R$41:$R$53,1),$R$41:$R$53,0))&lt;1,"1. none logged yet","1. "&amp;INDEX($P$41:$P$53,MATCH(LARGE($R$41:$R$53,1),$R$41:$R$53,0))&amp;" ("&amp;INDEX($O$41:$O$53,MATCH(LARGE($R$41:$R$53,1),$R$41:$R$53,0))&amp;")")</f>
        <v>1. $600 / the price is more than we pay per sample elsewhere (price_per_sample)</v>
      </c>
      <c r="B52" s="18" t="n">
        <f aca="false">INDEX($Q$41:$Q$53,MATCH(LARGE($R$41:$R$53,1),$R$41:$R$53,0))</f>
        <v>4</v>
      </c>
      <c r="C52" s="25" t="str">
        <f aca="false">IF(B52&lt;1,"",IFERROR(INDEX(Brand_Log!$AM$2:$AM$201,MATCH(INDEX($O$41:$O$53,MATCH(LARGE($R$41:$R$53,1),$R$41:$R$53,0)),Brand_Log!$BX$2:$BX$201,0)),IFERROR(INDEX(Brand_Log!$AM$2:$AM$201,MATCH(INDEX($O$41:$O$53,MATCH(LARGE($R$41:$R$53,1),$R$41:$R$53,0)),Brand_Log!$BY$2:$BY$201,0)),IFERROR(INDEX(Brand_Log!$AM$2:$AM$201,MATCH(INDEX($O$41:$O$53,MATCH(LARGE($R$41:$R$53,1),$R$41:$R$53,0)),Brand_Log!$BZ$2:$BZ$201,0)),""))))</f>
        <v>SAMPLE: price_per_sample / what_we_get (brand 01)</v>
      </c>
      <c r="D52" s="25"/>
      <c r="E52" s="25"/>
      <c r="F52" s="25"/>
      <c r="G52" s="25"/>
      <c r="J52" s="23" t="s">
        <v>152</v>
      </c>
      <c r="K52" s="23" t="s">
        <v>153</v>
      </c>
      <c r="L52" s="23" t="n">
        <f aca="false">COUNTIFS(Office_Log!$BV$2:$BV$201,J52,Office_Log!$H$2:$H$201,"&lt;"&amp;($E$6+1))+COUNTIFS(Office_Log!$BW$2:$BW$201,J52,Office_Log!$H$2:$H$201,"&lt;"&amp;($E$6+1))+COUNTIFS(Office_Log!$BX$2:$BX$201,J52,Office_Log!$H$2:$H$201,"&lt;"&amp;($E$6+1))</f>
        <v>0</v>
      </c>
      <c r="M52" s="23" t="n">
        <f aca="false">L52-12/1000</f>
        <v>-0.012</v>
      </c>
      <c r="O52" s="23" t="s">
        <v>154</v>
      </c>
      <c r="P52" s="23" t="s">
        <v>155</v>
      </c>
      <c r="Q52" s="23" t="n">
        <f aca="false">COUNTIFS(Brand_Log!$BX$2:$BX$201,O52,Brand_Log!$H$2:$H$201,"&lt;"&amp;($E$6+1))+COUNTIFS(Brand_Log!$BY$2:$BY$201,O52,Brand_Log!$H$2:$H$201,"&lt;"&amp;($E$6+1))+COUNTIFS(Brand_Log!$BZ$2:$BZ$201,O52,Brand_Log!$H$2:$H$201,"&lt;"&amp;($E$6+1))</f>
        <v>0</v>
      </c>
      <c r="R52" s="23" t="n">
        <f aca="false">Q52-12/1000</f>
        <v>-0.012</v>
      </c>
    </row>
    <row r="53" customFormat="false" ht="15" hidden="false" customHeight="false" outlineLevel="0" collapsed="false">
      <c r="A53" s="14" t="str">
        <f aca="false">IF(INDEX($Q$41:$Q$53,MATCH(LARGE($R$41:$R$53,2),$R$41:$R$53,0))&lt;1,"2. none logged yet","2. "&amp;INDEX($P$41:$P$53,MATCH(LARGE($R$41:$R$53,2),$R$41:$R$53,0))&amp;" ("&amp;INDEX($O$41:$O$53,MATCH(LARGE($R$41:$R$53,2),$R$41:$R$53,0))&amp;")")</f>
        <v>2. We can seed offices ourselves for free (seed_ourselves)</v>
      </c>
      <c r="B53" s="18" t="n">
        <f aca="false">INDEX($Q$41:$Q$53,MATCH(LARGE($R$41:$R$53,2),$R$41:$R$53,0))</f>
        <v>3</v>
      </c>
      <c r="C53" s="25" t="str">
        <f aca="false">IF(B53&lt;1,"",IFERROR(INDEX(Brand_Log!$AM$2:$AM$201,MATCH(INDEX($O$41:$O$53,MATCH(LARGE($R$41:$R$53,2),$R$41:$R$53,0)),Brand_Log!$BX$2:$BX$201,0)),IFERROR(INDEX(Brand_Log!$AM$2:$AM$201,MATCH(INDEX($O$41:$O$53,MATCH(LARGE($R$41:$R$53,2),$R$41:$R$53,0)),Brand_Log!$BY$2:$BY$201,0)),IFERROR(INDEX(Brand_Log!$AM$2:$AM$201,MATCH(INDEX($O$41:$O$53,MATCH(LARGE($R$41:$R$53,2),$R$41:$R$53,0)),Brand_Log!$BZ$2:$BZ$201,0)),""))))</f>
        <v>SAMPLE: seed_ourselves / price_per_sample (brand 03)</v>
      </c>
      <c r="D53" s="25"/>
      <c r="E53" s="25"/>
      <c r="F53" s="25"/>
      <c r="G53" s="25"/>
      <c r="J53" s="23" t="s">
        <v>156</v>
      </c>
      <c r="K53" s="23" t="s">
        <v>157</v>
      </c>
      <c r="L53" s="23" t="n">
        <f aca="false">COUNTIFS(Office_Log!$BV$2:$BV$201,J53,Office_Log!$H$2:$H$201,"&lt;"&amp;($E$6+1))+COUNTIFS(Office_Log!$BW$2:$BW$201,J53,Office_Log!$H$2:$H$201,"&lt;"&amp;($E$6+1))+COUNTIFS(Office_Log!$BX$2:$BX$201,J53,Office_Log!$H$2:$H$201,"&lt;"&amp;($E$6+1))</f>
        <v>0</v>
      </c>
      <c r="M53" s="23" t="n">
        <f aca="false">L53-13/1000</f>
        <v>-0.013</v>
      </c>
      <c r="O53" s="23" t="s">
        <v>156</v>
      </c>
      <c r="P53" s="23" t="s">
        <v>157</v>
      </c>
      <c r="Q53" s="23" t="n">
        <f aca="false">COUNTIFS(Brand_Log!$BX$2:$BX$201,O53,Brand_Log!$H$2:$H$201,"&lt;"&amp;($E$6+1))+COUNTIFS(Brand_Log!$BY$2:$BY$201,O53,Brand_Log!$H$2:$H$201,"&lt;"&amp;($E$6+1))+COUNTIFS(Brand_Log!$BZ$2:$BZ$201,O53,Brand_Log!$H$2:$H$201,"&lt;"&amp;($E$6+1))</f>
        <v>0</v>
      </c>
      <c r="R53" s="23" t="n">
        <f aca="false">Q53-13/1000</f>
        <v>-0.013</v>
      </c>
    </row>
    <row r="54" customFormat="false" ht="15" hidden="false" customHeight="false" outlineLevel="0" collapsed="false">
      <c r="A54" s="14" t="str">
        <f aca="false">IF(INDEX($Q$41:$Q$53,MATCH(LARGE($R$41:$R$53,3),$R$41:$R$53,0))&lt;1,"3. none logged yet","3. "&amp;INDEX($P$41:$P$53,MATCH(LARGE($R$41:$R$53,3),$R$41:$R$53,0))&amp;" ("&amp;INDEX($O$41:$O$53,MATCH(LARGE($R$41:$R$53,3),$R$41:$R$53,0))&amp;")")</f>
        <v>3. What do we actually get out of it? (what_we_get)</v>
      </c>
      <c r="B54" s="18" t="n">
        <f aca="false">INDEX($Q$41:$Q$53,MATCH(LARGE($R$41:$R$53,3),$R$41:$R$53,0))</f>
        <v>3</v>
      </c>
      <c r="C54" s="25" t="str">
        <f aca="false">IF(B54&lt;1,"",IFERROR(INDEX(Brand_Log!$AM$2:$AM$201,MATCH(INDEX($O$41:$O$53,MATCH(LARGE($R$41:$R$53,3),$R$41:$R$53,0)),Brand_Log!$BX$2:$BX$201,0)),IFERROR(INDEX(Brand_Log!$AM$2:$AM$201,MATCH(INDEX($O$41:$O$53,MATCH(LARGE($R$41:$R$53,3),$R$41:$R$53,0)),Brand_Log!$BY$2:$BY$201,0)),IFERROR(INDEX(Brand_Log!$AM$2:$AM$201,MATCH(INDEX($O$41:$O$53,MATCH(LARGE($R$41:$R$53,3),$R$41:$R$53,0)),Brand_Log!$BZ$2:$BZ$201,0)),""))))</f>
        <v>SAMPLE: what_we_get (brand 04)</v>
      </c>
      <c r="D54" s="25"/>
      <c r="E54" s="25"/>
      <c r="F54" s="25"/>
      <c r="G54" s="25"/>
    </row>
    <row r="55" customFormat="false" ht="15" hidden="false" customHeight="false" outlineLevel="0" collapsed="false">
      <c r="A55" s="14"/>
      <c r="B55" s="16"/>
      <c r="C55" s="16"/>
      <c r="D55" s="16"/>
      <c r="E55" s="16"/>
      <c r="F55" s="16"/>
      <c r="G55" s="12"/>
    </row>
    <row r="56" customFormat="false" ht="15" hidden="false" customHeight="true" outlineLevel="0" collapsed="false">
      <c r="A56" s="13" t="s">
        <v>158</v>
      </c>
      <c r="B56" s="13"/>
      <c r="C56" s="13"/>
      <c r="D56" s="13"/>
      <c r="E56" s="13"/>
      <c r="F56" s="13"/>
      <c r="G56" s="13"/>
    </row>
    <row r="57" customFormat="false" ht="15" hidden="false" customHeight="false" outlineLevel="0" collapsed="false">
      <c r="A57" s="8" t="s">
        <v>23</v>
      </c>
      <c r="B57" s="8" t="s">
        <v>24</v>
      </c>
      <c r="C57" s="8" t="s">
        <v>25</v>
      </c>
      <c r="D57" s="8" t="s">
        <v>26</v>
      </c>
      <c r="E57" s="8" t="s">
        <v>27</v>
      </c>
      <c r="F57" s="16"/>
      <c r="G57" s="8" t="s">
        <v>29</v>
      </c>
    </row>
    <row r="58" customFormat="false" ht="15" hidden="false" customHeight="false" outlineLevel="0" collapsed="false">
      <c r="A58" s="14" t="s">
        <v>159</v>
      </c>
      <c r="B58" s="15" t="n">
        <f aca="false">IFERROR(COUNTIFS(INDEX(Clay_Offices!$A$2:$FZ$601,0,Sync!$C$11),"&lt;"&amp;(B$6+1),INDEX(Clay_Offices!$A$2:$FZ$601,0,Sync!$C$5),Config!$B$20),0)</f>
        <v>14</v>
      </c>
      <c r="C58" s="15" t="n">
        <f aca="false">IFERROR(COUNTIFS(INDEX(Clay_Offices!$A$2:$FZ$601,0,Sync!$C$11),"&lt;"&amp;(C$6+1),INDEX(Clay_Offices!$A$2:$FZ$601,0,Sync!$C$5),Config!$B$20),0)</f>
        <v>27</v>
      </c>
      <c r="D58" s="15" t="n">
        <f aca="false">IFERROR(COUNTIFS(INDEX(Clay_Offices!$A$2:$FZ$601,0,Sync!$C$11),"&lt;"&amp;(D$6+1),INDEX(Clay_Offices!$A$2:$FZ$601,0,Sync!$C$5),Config!$B$20),0)</f>
        <v>33</v>
      </c>
      <c r="E58" s="15" t="n">
        <f aca="false">IFERROR(COUNTIFS(INDEX(Clay_Offices!$A$2:$FZ$601,0,Sync!$C$11),"&lt;"&amp;(E$6+1),INDEX(Clay_Offices!$A$2:$FZ$601,0,Sync!$C$5),Config!$B$20),0)</f>
        <v>39</v>
      </c>
      <c r="F58" s="16"/>
      <c r="G58" s="9" t="s">
        <v>160</v>
      </c>
    </row>
    <row r="59" customFormat="false" ht="28.35" hidden="false" customHeight="false" outlineLevel="0" collapsed="false">
      <c r="A59" s="14" t="s">
        <v>161</v>
      </c>
      <c r="B59" s="15" t="n">
        <f aca="false">IFERROR(COUNTIFS(INDEX(Clay_Offices!$A$2:$FZ$601,0,Sync!$C$14),"&lt;"&amp;(B$6+1),INDEX(Clay_Offices!$A$2:$FZ$601,0,Sync!$C$5),Config!$B$20,INDEX(Clay_Offices!$A$2:$FZ$601,0,Sync!$C$15),"&lt;&gt;bounce",INDEX(Clay_Offices!$A$2:$FZ$601,0,Sync!$C$15),"&lt;&gt;out_of_office"),0)</f>
        <v>9</v>
      </c>
      <c r="C59" s="15" t="n">
        <f aca="false">IFERROR(COUNTIFS(INDEX(Clay_Offices!$A$2:$FZ$601,0,Sync!$C$14),"&lt;"&amp;(C$6+1),INDEX(Clay_Offices!$A$2:$FZ$601,0,Sync!$C$5),Config!$B$20,INDEX(Clay_Offices!$A$2:$FZ$601,0,Sync!$C$15),"&lt;&gt;bounce",INDEX(Clay_Offices!$A$2:$FZ$601,0,Sync!$C$15),"&lt;&gt;out_of_office"),0)</f>
        <v>18</v>
      </c>
      <c r="D59" s="15" t="n">
        <f aca="false">IFERROR(COUNTIFS(INDEX(Clay_Offices!$A$2:$FZ$601,0,Sync!$C$14),"&lt;"&amp;(D$6+1),INDEX(Clay_Offices!$A$2:$FZ$601,0,Sync!$C$5),Config!$B$20,INDEX(Clay_Offices!$A$2:$FZ$601,0,Sync!$C$15),"&lt;&gt;bounce",INDEX(Clay_Offices!$A$2:$FZ$601,0,Sync!$C$15),"&lt;&gt;out_of_office"),0)</f>
        <v>22</v>
      </c>
      <c r="E59" s="15" t="n">
        <f aca="false">IFERROR(COUNTIFS(INDEX(Clay_Offices!$A$2:$FZ$601,0,Sync!$C$14),"&lt;"&amp;(E$6+1),INDEX(Clay_Offices!$A$2:$FZ$601,0,Sync!$C$5),Config!$B$20,INDEX(Clay_Offices!$A$2:$FZ$601,0,Sync!$C$15),"&lt;&gt;bounce",INDEX(Clay_Offices!$A$2:$FZ$601,0,Sync!$C$15),"&lt;&gt;out_of_office"),0)</f>
        <v>24</v>
      </c>
      <c r="F59" s="16"/>
      <c r="G59" s="9" t="s">
        <v>162</v>
      </c>
    </row>
    <row r="60" customFormat="false" ht="28.35" hidden="false" customHeight="false" outlineLevel="0" collapsed="false">
      <c r="A60" s="14" t="s">
        <v>163</v>
      </c>
      <c r="B60" s="26" t="n">
        <f aca="false">IF(B58=0,"",B59/B58)</f>
        <v>0.642857142857143</v>
      </c>
      <c r="C60" s="26" t="n">
        <f aca="false">IF(C58=0,"",C59/C58)</f>
        <v>0.666666666666667</v>
      </c>
      <c r="D60" s="26" t="n">
        <f aca="false">IF(D58=0,"",D59/D58)</f>
        <v>0.666666666666667</v>
      </c>
      <c r="E60" s="26" t="n">
        <f aca="false">IF(E58=0,"",E59/E58)</f>
        <v>0.615384615384615</v>
      </c>
      <c r="F60" s="16"/>
      <c r="G60" s="9" t="s">
        <v>164</v>
      </c>
    </row>
    <row r="61" customFormat="false" ht="41.75" hidden="false" customHeight="false" outlineLevel="0" collapsed="false">
      <c r="A61" s="14" t="s">
        <v>165</v>
      </c>
      <c r="B61" s="15" t="n">
        <f aca="false">IFERROR(COUNTIFS(INDEX(Clay_Offices!$A$2:$FZ$601,0,Sync!$C$14),"&lt;"&amp;(B$6+1),INDEX(Clay_Offices!$A$2:$FZ$601,0,Sync!$C$5),Config!$B$20,INDEX(Clay_Offices!$A$2:$FZ$601,0,Sync!$C$15),"yes"),0)+IFERROR(COUNTIFS(INDEX(Clay_Offices!$A$2:$FZ$601,0,Sync!$C$14),"&lt;"&amp;(B$6+1),INDEX(Clay_Offices!$A$2:$FZ$601,0,Sync!$C$5),Config!$B$20,INDEX(Clay_Offices!$A$2:$FZ$601,0,Sync!$C$15),"maybe"),0)+IFERROR(COUNTIFS(INDEX(Clay_Offices!$A$2:$FZ$601,0,Sync!$C$14),"&lt;"&amp;(B$6+1),INDEX(Clay_Offices!$A$2:$FZ$601,0,Sync!$C$5),Config!$B$20,INDEX(Clay_Offices!$A$2:$FZ$601,0,Sync!$C$15),"needs_approval"),0)+IFERROR(COUNTIFS(INDEX(Clay_Offices!$A$2:$FZ$601,0,Sync!$C$14),"&lt;"&amp;(B$6+1),INDEX(Clay_Offices!$A$2:$FZ$601,0,Sync!$C$5),Config!$B$20,INDEX(Clay_Offices!$A$2:$FZ$601,0,Sync!$C$15),"send_info"),0)+IFERROR(COUNTIFS(INDEX(Clay_Offices!$A$2:$FZ$601,0,Sync!$C$14),"&lt;"&amp;(B$6+1),INDEX(Clay_Offices!$A$2:$FZ$601,0,Sync!$C$5),Config!$B$20,INDEX(Clay_Offices!$A$2:$FZ$601,0,Sync!$C$15),"referral"),0)+IFERROR(COUNTIFS(INDEX(Clay_Offices!$A$2:$FZ$601,0,Sync!$C$14),"&lt;"&amp;(B$6+1),INDEX(Clay_Offices!$A$2:$FZ$601,0,Sync!$C$5),Config!$B$20,INDEX(Clay_Offices!$A$2:$FZ$601,0,Sync!$C$15),"not_now"),0)+IFERROR(COUNTIFS(INDEX(Clay_Offices!$A$2:$FZ$601,0,Sync!$C$14),"&lt;"&amp;(B$6+1),INDEX(Clay_Offices!$A$2:$FZ$601,0,Sync!$C$5),Config!$B$20,INDEX(Clay_Offices!$A$2:$FZ$601,0,Sync!$C$15),"obj_seed_ourselves"),0)+IFERROR(COUNTIFS(INDEX(Clay_Offices!$A$2:$FZ$601,0,Sync!$C$14),"&lt;"&amp;(B$6+1),INDEX(Clay_Offices!$A$2:$FZ$601,0,Sync!$C$5),Config!$B$20,INDEX(Clay_Offices!$A$2:$FZ$601,0,Sync!$C$15),"obj_price"),0)+IFERROR(COUNTIFS(INDEX(Clay_Offices!$A$2:$FZ$601,0,Sync!$C$14),"&lt;"&amp;(B$6+1),INDEX(Clay_Offices!$A$2:$FZ$601,0,Sync!$C$5),Config!$B$20,INDEX(Clay_Offices!$A$2:$FZ$601,0,Sync!$C$15),"obj_free_trial"),0)+IFERROR(COUNTIFS(INDEX(Clay_Offices!$A$2:$FZ$601,0,Sync!$C$14),"&lt;"&amp;(B$6+1),INDEX(Clay_Offices!$A$2:$FZ$601,0,Sync!$C$5),Config!$B$20,INDEX(Clay_Offices!$A$2:$FZ$601,0,Sync!$C$15),"obj_what_we_get"),0)+IFERROR(COUNTIFS(INDEX(Clay_Offices!$A$2:$FZ$601,0,Sync!$C$14),"&lt;"&amp;(B$6+1),INDEX(Clay_Offices!$A$2:$FZ$601,0,Sync!$C$5),Config!$B$20,INDEX(Clay_Offices!$A$2:$FZ$601,0,Sync!$C$15),"obj_other"),0)</f>
        <v>8</v>
      </c>
      <c r="C61" s="15" t="n">
        <f aca="false">IFERROR(COUNTIFS(INDEX(Clay_Offices!$A$2:$FZ$601,0,Sync!$C$14),"&lt;"&amp;(C$6+1),INDEX(Clay_Offices!$A$2:$FZ$601,0,Sync!$C$5),Config!$B$20,INDEX(Clay_Offices!$A$2:$FZ$601,0,Sync!$C$15),"yes"),0)+IFERROR(COUNTIFS(INDEX(Clay_Offices!$A$2:$FZ$601,0,Sync!$C$14),"&lt;"&amp;(C$6+1),INDEX(Clay_Offices!$A$2:$FZ$601,0,Sync!$C$5),Config!$B$20,INDEX(Clay_Offices!$A$2:$FZ$601,0,Sync!$C$15),"maybe"),0)+IFERROR(COUNTIFS(INDEX(Clay_Offices!$A$2:$FZ$601,0,Sync!$C$14),"&lt;"&amp;(C$6+1),INDEX(Clay_Offices!$A$2:$FZ$601,0,Sync!$C$5),Config!$B$20,INDEX(Clay_Offices!$A$2:$FZ$601,0,Sync!$C$15),"needs_approval"),0)+IFERROR(COUNTIFS(INDEX(Clay_Offices!$A$2:$FZ$601,0,Sync!$C$14),"&lt;"&amp;(C$6+1),INDEX(Clay_Offices!$A$2:$FZ$601,0,Sync!$C$5),Config!$B$20,INDEX(Clay_Offices!$A$2:$FZ$601,0,Sync!$C$15),"send_info"),0)+IFERROR(COUNTIFS(INDEX(Clay_Offices!$A$2:$FZ$601,0,Sync!$C$14),"&lt;"&amp;(C$6+1),INDEX(Clay_Offices!$A$2:$FZ$601,0,Sync!$C$5),Config!$B$20,INDEX(Clay_Offices!$A$2:$FZ$601,0,Sync!$C$15),"referral"),0)+IFERROR(COUNTIFS(INDEX(Clay_Offices!$A$2:$FZ$601,0,Sync!$C$14),"&lt;"&amp;(C$6+1),INDEX(Clay_Offices!$A$2:$FZ$601,0,Sync!$C$5),Config!$B$20,INDEX(Clay_Offices!$A$2:$FZ$601,0,Sync!$C$15),"not_now"),0)+IFERROR(COUNTIFS(INDEX(Clay_Offices!$A$2:$FZ$601,0,Sync!$C$14),"&lt;"&amp;(C$6+1),INDEX(Clay_Offices!$A$2:$FZ$601,0,Sync!$C$5),Config!$B$20,INDEX(Clay_Offices!$A$2:$FZ$601,0,Sync!$C$15),"obj_seed_ourselves"),0)+IFERROR(COUNTIFS(INDEX(Clay_Offices!$A$2:$FZ$601,0,Sync!$C$14),"&lt;"&amp;(C$6+1),INDEX(Clay_Offices!$A$2:$FZ$601,0,Sync!$C$5),Config!$B$20,INDEX(Clay_Offices!$A$2:$FZ$601,0,Sync!$C$15),"obj_price"),0)+IFERROR(COUNTIFS(INDEX(Clay_Offices!$A$2:$FZ$601,0,Sync!$C$14),"&lt;"&amp;(C$6+1),INDEX(Clay_Offices!$A$2:$FZ$601,0,Sync!$C$5),Config!$B$20,INDEX(Clay_Offices!$A$2:$FZ$601,0,Sync!$C$15),"obj_free_trial"),0)+IFERROR(COUNTIFS(INDEX(Clay_Offices!$A$2:$FZ$601,0,Sync!$C$14),"&lt;"&amp;(C$6+1),INDEX(Clay_Offices!$A$2:$FZ$601,0,Sync!$C$5),Config!$B$20,INDEX(Clay_Offices!$A$2:$FZ$601,0,Sync!$C$15),"obj_what_we_get"),0)+IFERROR(COUNTIFS(INDEX(Clay_Offices!$A$2:$FZ$601,0,Sync!$C$14),"&lt;"&amp;(C$6+1),INDEX(Clay_Offices!$A$2:$FZ$601,0,Sync!$C$5),Config!$B$20,INDEX(Clay_Offices!$A$2:$FZ$601,0,Sync!$C$15),"obj_other"),0)</f>
        <v>16</v>
      </c>
      <c r="D61" s="15" t="n">
        <f aca="false">IFERROR(COUNTIFS(INDEX(Clay_Offices!$A$2:$FZ$601,0,Sync!$C$14),"&lt;"&amp;(D$6+1),INDEX(Clay_Offices!$A$2:$FZ$601,0,Sync!$C$5),Config!$B$20,INDEX(Clay_Offices!$A$2:$FZ$601,0,Sync!$C$15),"yes"),0)+IFERROR(COUNTIFS(INDEX(Clay_Offices!$A$2:$FZ$601,0,Sync!$C$14),"&lt;"&amp;(D$6+1),INDEX(Clay_Offices!$A$2:$FZ$601,0,Sync!$C$5),Config!$B$20,INDEX(Clay_Offices!$A$2:$FZ$601,0,Sync!$C$15),"maybe"),0)+IFERROR(COUNTIFS(INDEX(Clay_Offices!$A$2:$FZ$601,0,Sync!$C$14),"&lt;"&amp;(D$6+1),INDEX(Clay_Offices!$A$2:$FZ$601,0,Sync!$C$5),Config!$B$20,INDEX(Clay_Offices!$A$2:$FZ$601,0,Sync!$C$15),"needs_approval"),0)+IFERROR(COUNTIFS(INDEX(Clay_Offices!$A$2:$FZ$601,0,Sync!$C$14),"&lt;"&amp;(D$6+1),INDEX(Clay_Offices!$A$2:$FZ$601,0,Sync!$C$5),Config!$B$20,INDEX(Clay_Offices!$A$2:$FZ$601,0,Sync!$C$15),"send_info"),0)+IFERROR(COUNTIFS(INDEX(Clay_Offices!$A$2:$FZ$601,0,Sync!$C$14),"&lt;"&amp;(D$6+1),INDEX(Clay_Offices!$A$2:$FZ$601,0,Sync!$C$5),Config!$B$20,INDEX(Clay_Offices!$A$2:$FZ$601,0,Sync!$C$15),"referral"),0)+IFERROR(COUNTIFS(INDEX(Clay_Offices!$A$2:$FZ$601,0,Sync!$C$14),"&lt;"&amp;(D$6+1),INDEX(Clay_Offices!$A$2:$FZ$601,0,Sync!$C$5),Config!$B$20,INDEX(Clay_Offices!$A$2:$FZ$601,0,Sync!$C$15),"not_now"),0)+IFERROR(COUNTIFS(INDEX(Clay_Offices!$A$2:$FZ$601,0,Sync!$C$14),"&lt;"&amp;(D$6+1),INDEX(Clay_Offices!$A$2:$FZ$601,0,Sync!$C$5),Config!$B$20,INDEX(Clay_Offices!$A$2:$FZ$601,0,Sync!$C$15),"obj_seed_ourselves"),0)+IFERROR(COUNTIFS(INDEX(Clay_Offices!$A$2:$FZ$601,0,Sync!$C$14),"&lt;"&amp;(D$6+1),INDEX(Clay_Offices!$A$2:$FZ$601,0,Sync!$C$5),Config!$B$20,INDEX(Clay_Offices!$A$2:$FZ$601,0,Sync!$C$15),"obj_price"),0)+IFERROR(COUNTIFS(INDEX(Clay_Offices!$A$2:$FZ$601,0,Sync!$C$14),"&lt;"&amp;(D$6+1),INDEX(Clay_Offices!$A$2:$FZ$601,0,Sync!$C$5),Config!$B$20,INDEX(Clay_Offices!$A$2:$FZ$601,0,Sync!$C$15),"obj_free_trial"),0)+IFERROR(COUNTIFS(INDEX(Clay_Offices!$A$2:$FZ$601,0,Sync!$C$14),"&lt;"&amp;(D$6+1),INDEX(Clay_Offices!$A$2:$FZ$601,0,Sync!$C$5),Config!$B$20,INDEX(Clay_Offices!$A$2:$FZ$601,0,Sync!$C$15),"obj_what_we_get"),0)+IFERROR(COUNTIFS(INDEX(Clay_Offices!$A$2:$FZ$601,0,Sync!$C$14),"&lt;"&amp;(D$6+1),INDEX(Clay_Offices!$A$2:$FZ$601,0,Sync!$C$5),Config!$B$20,INDEX(Clay_Offices!$A$2:$FZ$601,0,Sync!$C$15),"obj_other"),0)</f>
        <v>18</v>
      </c>
      <c r="E61" s="15" t="n">
        <f aca="false">IFERROR(COUNTIFS(INDEX(Clay_Offices!$A$2:$FZ$601,0,Sync!$C$14),"&lt;"&amp;(E$6+1),INDEX(Clay_Offices!$A$2:$FZ$601,0,Sync!$C$5),Config!$B$20,INDEX(Clay_Offices!$A$2:$FZ$601,0,Sync!$C$15),"yes"),0)+IFERROR(COUNTIFS(INDEX(Clay_Offices!$A$2:$FZ$601,0,Sync!$C$14),"&lt;"&amp;(E$6+1),INDEX(Clay_Offices!$A$2:$FZ$601,0,Sync!$C$5),Config!$B$20,INDEX(Clay_Offices!$A$2:$FZ$601,0,Sync!$C$15),"maybe"),0)+IFERROR(COUNTIFS(INDEX(Clay_Offices!$A$2:$FZ$601,0,Sync!$C$14),"&lt;"&amp;(E$6+1),INDEX(Clay_Offices!$A$2:$FZ$601,0,Sync!$C$5),Config!$B$20,INDEX(Clay_Offices!$A$2:$FZ$601,0,Sync!$C$15),"needs_approval"),0)+IFERROR(COUNTIFS(INDEX(Clay_Offices!$A$2:$FZ$601,0,Sync!$C$14),"&lt;"&amp;(E$6+1),INDEX(Clay_Offices!$A$2:$FZ$601,0,Sync!$C$5),Config!$B$20,INDEX(Clay_Offices!$A$2:$FZ$601,0,Sync!$C$15),"send_info"),0)+IFERROR(COUNTIFS(INDEX(Clay_Offices!$A$2:$FZ$601,0,Sync!$C$14),"&lt;"&amp;(E$6+1),INDEX(Clay_Offices!$A$2:$FZ$601,0,Sync!$C$5),Config!$B$20,INDEX(Clay_Offices!$A$2:$FZ$601,0,Sync!$C$15),"referral"),0)+IFERROR(COUNTIFS(INDEX(Clay_Offices!$A$2:$FZ$601,0,Sync!$C$14),"&lt;"&amp;(E$6+1),INDEX(Clay_Offices!$A$2:$FZ$601,0,Sync!$C$5),Config!$B$20,INDEX(Clay_Offices!$A$2:$FZ$601,0,Sync!$C$15),"not_now"),0)+IFERROR(COUNTIFS(INDEX(Clay_Offices!$A$2:$FZ$601,0,Sync!$C$14),"&lt;"&amp;(E$6+1),INDEX(Clay_Offices!$A$2:$FZ$601,0,Sync!$C$5),Config!$B$20,INDEX(Clay_Offices!$A$2:$FZ$601,0,Sync!$C$15),"obj_seed_ourselves"),0)+IFERROR(COUNTIFS(INDEX(Clay_Offices!$A$2:$FZ$601,0,Sync!$C$14),"&lt;"&amp;(E$6+1),INDEX(Clay_Offices!$A$2:$FZ$601,0,Sync!$C$5),Config!$B$20,INDEX(Clay_Offices!$A$2:$FZ$601,0,Sync!$C$15),"obj_price"),0)+IFERROR(COUNTIFS(INDEX(Clay_Offices!$A$2:$FZ$601,0,Sync!$C$14),"&lt;"&amp;(E$6+1),INDEX(Clay_Offices!$A$2:$FZ$601,0,Sync!$C$5),Config!$B$20,INDEX(Clay_Offices!$A$2:$FZ$601,0,Sync!$C$15),"obj_free_trial"),0)+IFERROR(COUNTIFS(INDEX(Clay_Offices!$A$2:$FZ$601,0,Sync!$C$14),"&lt;"&amp;(E$6+1),INDEX(Clay_Offices!$A$2:$FZ$601,0,Sync!$C$5),Config!$B$20,INDEX(Clay_Offices!$A$2:$FZ$601,0,Sync!$C$15),"obj_what_we_get"),0)+IFERROR(COUNTIFS(INDEX(Clay_Offices!$A$2:$FZ$601,0,Sync!$C$14),"&lt;"&amp;(E$6+1),INDEX(Clay_Offices!$A$2:$FZ$601,0,Sync!$C$5),Config!$B$20,INDEX(Clay_Offices!$A$2:$FZ$601,0,Sync!$C$15),"obj_other"),0)</f>
        <v>20</v>
      </c>
      <c r="F61" s="16"/>
      <c r="G61" s="9" t="s">
        <v>166</v>
      </c>
    </row>
    <row r="62" customFormat="false" ht="28.35" hidden="false" customHeight="false" outlineLevel="0" collapsed="false">
      <c r="A62" s="14" t="s">
        <v>167</v>
      </c>
      <c r="B62" s="26" t="n">
        <f aca="false">IF(B58=0,"",B61/B58)</f>
        <v>0.571428571428571</v>
      </c>
      <c r="C62" s="26" t="n">
        <f aca="false">IF(C58=0,"",C61/C58)</f>
        <v>0.592592592592593</v>
      </c>
      <c r="D62" s="26" t="n">
        <f aca="false">IF(D58=0,"",D61/D58)</f>
        <v>0.545454545454545</v>
      </c>
      <c r="E62" s="26" t="n">
        <f aca="false">IF(E58=0,"",E61/E58)</f>
        <v>0.512820512820513</v>
      </c>
      <c r="F62" s="16"/>
      <c r="G62" s="9" t="s">
        <v>168</v>
      </c>
    </row>
    <row r="63" customFormat="false" ht="15" hidden="false" customHeight="false" outlineLevel="0" collapsed="false">
      <c r="A63" s="14" t="s">
        <v>169</v>
      </c>
      <c r="B63" s="26" t="n">
        <f aca="false">IF(B58=0,"",B8/B58)</f>
        <v>0.214285714285714</v>
      </c>
      <c r="C63" s="26" t="n">
        <f aca="false">IF(C58=0,"",C8/C58)</f>
        <v>0.259259259259259</v>
      </c>
      <c r="D63" s="26" t="n">
        <f aca="false">IF(D58=0,"",D8/D58)</f>
        <v>0.393939393939394</v>
      </c>
      <c r="E63" s="26" t="n">
        <f aca="false">IF(E58=0,"",E8/E58)</f>
        <v>0.358974358974359</v>
      </c>
      <c r="F63" s="16"/>
      <c r="G63" s="9" t="s">
        <v>170</v>
      </c>
    </row>
    <row r="64" customFormat="false" ht="28.35" hidden="false" customHeight="false" outlineLevel="0" collapsed="false">
      <c r="A64" s="14" t="s">
        <v>171</v>
      </c>
      <c r="B64" s="15" t="n">
        <f aca="false">IFERROR(COUNTIFS(INDEX(Clay_Offices!$A$2:$FZ$601,0,Sync!$C$18),"&lt;"&amp;(B$6+1),INDEX(Clay_Offices!$A$2:$FZ$601,0,Sync!$C$5),Config!$B$20),0)</f>
        <v>0</v>
      </c>
      <c r="C64" s="15" t="n">
        <f aca="false">IFERROR(COUNTIFS(INDEX(Clay_Offices!$A$2:$FZ$601,0,Sync!$C$18),"&lt;"&amp;(C$6+1),INDEX(Clay_Offices!$A$2:$FZ$601,0,Sync!$C$5),Config!$B$20),0)</f>
        <v>1</v>
      </c>
      <c r="D64" s="15" t="n">
        <f aca="false">IFERROR(COUNTIFS(INDEX(Clay_Offices!$A$2:$FZ$601,0,Sync!$C$18),"&lt;"&amp;(D$6+1),INDEX(Clay_Offices!$A$2:$FZ$601,0,Sync!$C$5),Config!$B$20),0)</f>
        <v>2</v>
      </c>
      <c r="E64" s="15" t="n">
        <f aca="false">IFERROR(COUNTIFS(INDEX(Clay_Offices!$A$2:$FZ$601,0,Sync!$C$18),"&lt;"&amp;(E$6+1),INDEX(Clay_Offices!$A$2:$FZ$601,0,Sync!$C$5),Config!$B$20),0)</f>
        <v>2</v>
      </c>
      <c r="F64" s="16"/>
      <c r="G64" s="9" t="s">
        <v>172</v>
      </c>
    </row>
    <row r="65" customFormat="false" ht="41.75" hidden="false" customHeight="false" outlineLevel="0" collapsed="false">
      <c r="A65" s="14" t="s">
        <v>173</v>
      </c>
      <c r="B65" s="27" t="n">
        <f aca="false">IF(B58=0,"",B64/B58)</f>
        <v>0</v>
      </c>
      <c r="C65" s="27" t="n">
        <f aca="false">IF(C58=0,"",C64/C58)</f>
        <v>0.037037037037037</v>
      </c>
      <c r="D65" s="27" t="n">
        <f aca="false">IF(D58=0,"",D64/D58)</f>
        <v>0.0606060606060606</v>
      </c>
      <c r="E65" s="27" t="n">
        <f aca="false">IF(E58=0,"",E64/E58)</f>
        <v>0.0512820512820513</v>
      </c>
      <c r="F65" s="16"/>
      <c r="G65" s="9" t="s">
        <v>174</v>
      </c>
    </row>
    <row r="66" customFormat="false" ht="15" hidden="false" customHeight="false" outlineLevel="0" collapsed="false">
      <c r="A66" s="17" t="s">
        <v>175</v>
      </c>
      <c r="B66" s="28" t="str">
        <f aca="false">IF(E58&lt;Config!$B$17,"Too few first touches to judge ("&amp;E58&amp;" of "&amp;Config!$B$17&amp;").",IF(E62&lt;Config!$B$16,"UNDER 20%: conversation replies are under 20% of first touches. Run sending/sending-setup.md section 6 before sending more.","OK: conversation replies at or above 20%."))</f>
        <v>OK: conversation replies at or above 20%.</v>
      </c>
      <c r="C66" s="28"/>
      <c r="D66" s="28"/>
      <c r="E66" s="28"/>
      <c r="F66" s="28"/>
      <c r="G66" s="28"/>
    </row>
    <row r="67" customFormat="false" ht="15" hidden="false" customHeight="false" outlineLevel="0" collapsed="false">
      <c r="A67" s="17" t="s">
        <v>176</v>
      </c>
      <c r="B67" s="28" t="str">
        <f aca="false">IF(E58&lt;Config!$B$17,"Too few first touches to judge ("&amp;E58&amp;" of "&amp;Config!$B$17&amp;").",IF(AND(E64&gt;=Config!$B$30,E65&gt;Config!$B$29),"OPT-OUTS OVER 5%: check targeting and copy (sending/sending-setup.md 6.3 to 6.4).","OK: fewer than 3 opt-outs, or 5% or under."))</f>
        <v>OK: fewer than 3 opt-outs, or 5% or under.</v>
      </c>
      <c r="C67" s="28"/>
      <c r="D67" s="28"/>
      <c r="E67" s="28"/>
      <c r="F67" s="28"/>
      <c r="G67" s="28"/>
    </row>
    <row r="68" customFormat="false" ht="15" hidden="false" customHeight="false" outlineLevel="0" collapsed="false">
      <c r="A68" s="14" t="s">
        <v>177</v>
      </c>
      <c r="B68" s="15" t="n">
        <f aca="false">IFERROR(COUNTIFS(INDEX(Clay_Brands!$A$2:$FZ$601,0,Sync!$D$11),"&lt;"&amp;(B$6+1),INDEX(Clay_Brands!$A$2:$FZ$601,0,Sync!$D$5),Config!$B$20),0)</f>
        <v>14</v>
      </c>
      <c r="C68" s="15" t="n">
        <f aca="false">IFERROR(COUNTIFS(INDEX(Clay_Brands!$A$2:$FZ$601,0,Sync!$D$11),"&lt;"&amp;(C$6+1),INDEX(Clay_Brands!$A$2:$FZ$601,0,Sync!$D$5),Config!$B$20),0)</f>
        <v>26</v>
      </c>
      <c r="D68" s="15" t="n">
        <f aca="false">IFERROR(COUNTIFS(INDEX(Clay_Brands!$A$2:$FZ$601,0,Sync!$D$11),"&lt;"&amp;(D$6+1),INDEX(Clay_Brands!$A$2:$FZ$601,0,Sync!$D$5),Config!$B$20),0)</f>
        <v>34</v>
      </c>
      <c r="E68" s="15" t="n">
        <f aca="false">IFERROR(COUNTIFS(INDEX(Clay_Brands!$A$2:$FZ$601,0,Sync!$D$11),"&lt;"&amp;(E$6+1),INDEX(Clay_Brands!$A$2:$FZ$601,0,Sync!$D$5),Config!$B$20),0)</f>
        <v>40</v>
      </c>
      <c r="F68" s="16"/>
      <c r="G68" s="9" t="s">
        <v>160</v>
      </c>
    </row>
    <row r="69" customFormat="false" ht="28.35" hidden="false" customHeight="false" outlineLevel="0" collapsed="false">
      <c r="A69" s="14" t="s">
        <v>178</v>
      </c>
      <c r="B69" s="15" t="n">
        <f aca="false">IFERROR(COUNTIFS(INDEX(Clay_Brands!$A$2:$FZ$601,0,Sync!$D$14),"&lt;"&amp;(B$6+1),INDEX(Clay_Brands!$A$2:$FZ$601,0,Sync!$D$5),Config!$B$20,INDEX(Clay_Brands!$A$2:$FZ$601,0,Sync!$D$15),"&lt;&gt;bounce",INDEX(Clay_Brands!$A$2:$FZ$601,0,Sync!$D$15),"&lt;&gt;out_of_office"),0)</f>
        <v>9</v>
      </c>
      <c r="C69" s="15" t="n">
        <f aca="false">IFERROR(COUNTIFS(INDEX(Clay_Brands!$A$2:$FZ$601,0,Sync!$D$14),"&lt;"&amp;(C$6+1),INDEX(Clay_Brands!$A$2:$FZ$601,0,Sync!$D$5),Config!$B$20,INDEX(Clay_Brands!$A$2:$FZ$601,0,Sync!$D$15),"&lt;&gt;bounce",INDEX(Clay_Brands!$A$2:$FZ$601,0,Sync!$D$15),"&lt;&gt;out_of_office"),0)</f>
        <v>16</v>
      </c>
      <c r="D69" s="15" t="n">
        <f aca="false">IFERROR(COUNTIFS(INDEX(Clay_Brands!$A$2:$FZ$601,0,Sync!$D$14),"&lt;"&amp;(D$6+1),INDEX(Clay_Brands!$A$2:$FZ$601,0,Sync!$D$5),Config!$B$20,INDEX(Clay_Brands!$A$2:$FZ$601,0,Sync!$D$15),"&lt;&gt;bounce",INDEX(Clay_Brands!$A$2:$FZ$601,0,Sync!$D$15),"&lt;&gt;out_of_office"),0)</f>
        <v>23</v>
      </c>
      <c r="E69" s="15" t="n">
        <f aca="false">IFERROR(COUNTIFS(INDEX(Clay_Brands!$A$2:$FZ$601,0,Sync!$D$14),"&lt;"&amp;(E$6+1),INDEX(Clay_Brands!$A$2:$FZ$601,0,Sync!$D$5),Config!$B$20,INDEX(Clay_Brands!$A$2:$FZ$601,0,Sync!$D$15),"&lt;&gt;bounce",INDEX(Clay_Brands!$A$2:$FZ$601,0,Sync!$D$15),"&lt;&gt;out_of_office"),0)</f>
        <v>25</v>
      </c>
      <c r="F69" s="16"/>
      <c r="G69" s="9" t="s">
        <v>162</v>
      </c>
    </row>
    <row r="70" customFormat="false" ht="28.35" hidden="false" customHeight="false" outlineLevel="0" collapsed="false">
      <c r="A70" s="14" t="s">
        <v>179</v>
      </c>
      <c r="B70" s="26" t="n">
        <f aca="false">IF(B68=0,"",B69/B68)</f>
        <v>0.642857142857143</v>
      </c>
      <c r="C70" s="26" t="n">
        <f aca="false">IF(C68=0,"",C69/C68)</f>
        <v>0.615384615384615</v>
      </c>
      <c r="D70" s="26" t="n">
        <f aca="false">IF(D68=0,"",D69/D68)</f>
        <v>0.676470588235294</v>
      </c>
      <c r="E70" s="26" t="n">
        <f aca="false">IF(E68=0,"",E69/E68)</f>
        <v>0.625</v>
      </c>
      <c r="F70" s="16"/>
      <c r="G70" s="9" t="s">
        <v>164</v>
      </c>
    </row>
    <row r="71" customFormat="false" ht="41.75" hidden="false" customHeight="false" outlineLevel="0" collapsed="false">
      <c r="A71" s="14" t="s">
        <v>180</v>
      </c>
      <c r="B71" s="15" t="n">
        <f aca="false">IFERROR(COUNTIFS(INDEX(Clay_Brands!$A$2:$FZ$601,0,Sync!$D$14),"&lt;"&amp;(B$6+1),INDEX(Clay_Brands!$A$2:$FZ$601,0,Sync!$D$5),Config!$B$20,INDEX(Clay_Brands!$A$2:$FZ$601,0,Sync!$D$15),"yes"),0)+IFERROR(COUNTIFS(INDEX(Clay_Brands!$A$2:$FZ$601,0,Sync!$D$14),"&lt;"&amp;(B$6+1),INDEX(Clay_Brands!$A$2:$FZ$601,0,Sync!$D$5),Config!$B$20,INDEX(Clay_Brands!$A$2:$FZ$601,0,Sync!$D$15),"maybe"),0)+IFERROR(COUNTIFS(INDEX(Clay_Brands!$A$2:$FZ$601,0,Sync!$D$14),"&lt;"&amp;(B$6+1),INDEX(Clay_Brands!$A$2:$FZ$601,0,Sync!$D$5),Config!$B$20,INDEX(Clay_Brands!$A$2:$FZ$601,0,Sync!$D$15),"needs_approval"),0)+IFERROR(COUNTIFS(INDEX(Clay_Brands!$A$2:$FZ$601,0,Sync!$D$14),"&lt;"&amp;(B$6+1),INDEX(Clay_Brands!$A$2:$FZ$601,0,Sync!$D$5),Config!$B$20,INDEX(Clay_Brands!$A$2:$FZ$601,0,Sync!$D$15),"send_info"),0)+IFERROR(COUNTIFS(INDEX(Clay_Brands!$A$2:$FZ$601,0,Sync!$D$14),"&lt;"&amp;(B$6+1),INDEX(Clay_Brands!$A$2:$FZ$601,0,Sync!$D$5),Config!$B$20,INDEX(Clay_Brands!$A$2:$FZ$601,0,Sync!$D$15),"referral"),0)+IFERROR(COUNTIFS(INDEX(Clay_Brands!$A$2:$FZ$601,0,Sync!$D$14),"&lt;"&amp;(B$6+1),INDEX(Clay_Brands!$A$2:$FZ$601,0,Sync!$D$5),Config!$B$20,INDEX(Clay_Brands!$A$2:$FZ$601,0,Sync!$D$15),"not_now"),0)+IFERROR(COUNTIFS(INDEX(Clay_Brands!$A$2:$FZ$601,0,Sync!$D$14),"&lt;"&amp;(B$6+1),INDEX(Clay_Brands!$A$2:$FZ$601,0,Sync!$D$5),Config!$B$20,INDEX(Clay_Brands!$A$2:$FZ$601,0,Sync!$D$15),"obj_seed_ourselves"),0)+IFERROR(COUNTIFS(INDEX(Clay_Brands!$A$2:$FZ$601,0,Sync!$D$14),"&lt;"&amp;(B$6+1),INDEX(Clay_Brands!$A$2:$FZ$601,0,Sync!$D$5),Config!$B$20,INDEX(Clay_Brands!$A$2:$FZ$601,0,Sync!$D$15),"obj_price"),0)+IFERROR(COUNTIFS(INDEX(Clay_Brands!$A$2:$FZ$601,0,Sync!$D$14),"&lt;"&amp;(B$6+1),INDEX(Clay_Brands!$A$2:$FZ$601,0,Sync!$D$5),Config!$B$20,INDEX(Clay_Brands!$A$2:$FZ$601,0,Sync!$D$15),"obj_free_trial"),0)+IFERROR(COUNTIFS(INDEX(Clay_Brands!$A$2:$FZ$601,0,Sync!$D$14),"&lt;"&amp;(B$6+1),INDEX(Clay_Brands!$A$2:$FZ$601,0,Sync!$D$5),Config!$B$20,INDEX(Clay_Brands!$A$2:$FZ$601,0,Sync!$D$15),"obj_what_we_get"),0)+IFERROR(COUNTIFS(INDEX(Clay_Brands!$A$2:$FZ$601,0,Sync!$D$14),"&lt;"&amp;(B$6+1),INDEX(Clay_Brands!$A$2:$FZ$601,0,Sync!$D$5),Config!$B$20,INDEX(Clay_Brands!$A$2:$FZ$601,0,Sync!$D$15),"obj_other"),0)</f>
        <v>8</v>
      </c>
      <c r="C71" s="15" t="n">
        <f aca="false">IFERROR(COUNTIFS(INDEX(Clay_Brands!$A$2:$FZ$601,0,Sync!$D$14),"&lt;"&amp;(C$6+1),INDEX(Clay_Brands!$A$2:$FZ$601,0,Sync!$D$5),Config!$B$20,INDEX(Clay_Brands!$A$2:$FZ$601,0,Sync!$D$15),"yes"),0)+IFERROR(COUNTIFS(INDEX(Clay_Brands!$A$2:$FZ$601,0,Sync!$D$14),"&lt;"&amp;(C$6+1),INDEX(Clay_Brands!$A$2:$FZ$601,0,Sync!$D$5),Config!$B$20,INDEX(Clay_Brands!$A$2:$FZ$601,0,Sync!$D$15),"maybe"),0)+IFERROR(COUNTIFS(INDEX(Clay_Brands!$A$2:$FZ$601,0,Sync!$D$14),"&lt;"&amp;(C$6+1),INDEX(Clay_Brands!$A$2:$FZ$601,0,Sync!$D$5),Config!$B$20,INDEX(Clay_Brands!$A$2:$FZ$601,0,Sync!$D$15),"needs_approval"),0)+IFERROR(COUNTIFS(INDEX(Clay_Brands!$A$2:$FZ$601,0,Sync!$D$14),"&lt;"&amp;(C$6+1),INDEX(Clay_Brands!$A$2:$FZ$601,0,Sync!$D$5),Config!$B$20,INDEX(Clay_Brands!$A$2:$FZ$601,0,Sync!$D$15),"send_info"),0)+IFERROR(COUNTIFS(INDEX(Clay_Brands!$A$2:$FZ$601,0,Sync!$D$14),"&lt;"&amp;(C$6+1),INDEX(Clay_Brands!$A$2:$FZ$601,0,Sync!$D$5),Config!$B$20,INDEX(Clay_Brands!$A$2:$FZ$601,0,Sync!$D$15),"referral"),0)+IFERROR(COUNTIFS(INDEX(Clay_Brands!$A$2:$FZ$601,0,Sync!$D$14),"&lt;"&amp;(C$6+1),INDEX(Clay_Brands!$A$2:$FZ$601,0,Sync!$D$5),Config!$B$20,INDEX(Clay_Brands!$A$2:$FZ$601,0,Sync!$D$15),"not_now"),0)+IFERROR(COUNTIFS(INDEX(Clay_Brands!$A$2:$FZ$601,0,Sync!$D$14),"&lt;"&amp;(C$6+1),INDEX(Clay_Brands!$A$2:$FZ$601,0,Sync!$D$5),Config!$B$20,INDEX(Clay_Brands!$A$2:$FZ$601,0,Sync!$D$15),"obj_seed_ourselves"),0)+IFERROR(COUNTIFS(INDEX(Clay_Brands!$A$2:$FZ$601,0,Sync!$D$14),"&lt;"&amp;(C$6+1),INDEX(Clay_Brands!$A$2:$FZ$601,0,Sync!$D$5),Config!$B$20,INDEX(Clay_Brands!$A$2:$FZ$601,0,Sync!$D$15),"obj_price"),0)+IFERROR(COUNTIFS(INDEX(Clay_Brands!$A$2:$FZ$601,0,Sync!$D$14),"&lt;"&amp;(C$6+1),INDEX(Clay_Brands!$A$2:$FZ$601,0,Sync!$D$5),Config!$B$20,INDEX(Clay_Brands!$A$2:$FZ$601,0,Sync!$D$15),"obj_free_trial"),0)+IFERROR(COUNTIFS(INDEX(Clay_Brands!$A$2:$FZ$601,0,Sync!$D$14),"&lt;"&amp;(C$6+1),INDEX(Clay_Brands!$A$2:$FZ$601,0,Sync!$D$5),Config!$B$20,INDEX(Clay_Brands!$A$2:$FZ$601,0,Sync!$D$15),"obj_what_we_get"),0)+IFERROR(COUNTIFS(INDEX(Clay_Brands!$A$2:$FZ$601,0,Sync!$D$14),"&lt;"&amp;(C$6+1),INDEX(Clay_Brands!$A$2:$FZ$601,0,Sync!$D$5),Config!$B$20,INDEX(Clay_Brands!$A$2:$FZ$601,0,Sync!$D$15),"obj_other"),0)</f>
        <v>14</v>
      </c>
      <c r="D71" s="15" t="n">
        <f aca="false">IFERROR(COUNTIFS(INDEX(Clay_Brands!$A$2:$FZ$601,0,Sync!$D$14),"&lt;"&amp;(D$6+1),INDEX(Clay_Brands!$A$2:$FZ$601,0,Sync!$D$5),Config!$B$20,INDEX(Clay_Brands!$A$2:$FZ$601,0,Sync!$D$15),"yes"),0)+IFERROR(COUNTIFS(INDEX(Clay_Brands!$A$2:$FZ$601,0,Sync!$D$14),"&lt;"&amp;(D$6+1),INDEX(Clay_Brands!$A$2:$FZ$601,0,Sync!$D$5),Config!$B$20,INDEX(Clay_Brands!$A$2:$FZ$601,0,Sync!$D$15),"maybe"),0)+IFERROR(COUNTIFS(INDEX(Clay_Brands!$A$2:$FZ$601,0,Sync!$D$14),"&lt;"&amp;(D$6+1),INDEX(Clay_Brands!$A$2:$FZ$601,0,Sync!$D$5),Config!$B$20,INDEX(Clay_Brands!$A$2:$FZ$601,0,Sync!$D$15),"needs_approval"),0)+IFERROR(COUNTIFS(INDEX(Clay_Brands!$A$2:$FZ$601,0,Sync!$D$14),"&lt;"&amp;(D$6+1),INDEX(Clay_Brands!$A$2:$FZ$601,0,Sync!$D$5),Config!$B$20,INDEX(Clay_Brands!$A$2:$FZ$601,0,Sync!$D$15),"send_info"),0)+IFERROR(COUNTIFS(INDEX(Clay_Brands!$A$2:$FZ$601,0,Sync!$D$14),"&lt;"&amp;(D$6+1),INDEX(Clay_Brands!$A$2:$FZ$601,0,Sync!$D$5),Config!$B$20,INDEX(Clay_Brands!$A$2:$FZ$601,0,Sync!$D$15),"referral"),0)+IFERROR(COUNTIFS(INDEX(Clay_Brands!$A$2:$FZ$601,0,Sync!$D$14),"&lt;"&amp;(D$6+1),INDEX(Clay_Brands!$A$2:$FZ$601,0,Sync!$D$5),Config!$B$20,INDEX(Clay_Brands!$A$2:$FZ$601,0,Sync!$D$15),"not_now"),0)+IFERROR(COUNTIFS(INDEX(Clay_Brands!$A$2:$FZ$601,0,Sync!$D$14),"&lt;"&amp;(D$6+1),INDEX(Clay_Brands!$A$2:$FZ$601,0,Sync!$D$5),Config!$B$20,INDEX(Clay_Brands!$A$2:$FZ$601,0,Sync!$D$15),"obj_seed_ourselves"),0)+IFERROR(COUNTIFS(INDEX(Clay_Brands!$A$2:$FZ$601,0,Sync!$D$14),"&lt;"&amp;(D$6+1),INDEX(Clay_Brands!$A$2:$FZ$601,0,Sync!$D$5),Config!$B$20,INDEX(Clay_Brands!$A$2:$FZ$601,0,Sync!$D$15),"obj_price"),0)+IFERROR(COUNTIFS(INDEX(Clay_Brands!$A$2:$FZ$601,0,Sync!$D$14),"&lt;"&amp;(D$6+1),INDEX(Clay_Brands!$A$2:$FZ$601,0,Sync!$D$5),Config!$B$20,INDEX(Clay_Brands!$A$2:$FZ$601,0,Sync!$D$15),"obj_free_trial"),0)+IFERROR(COUNTIFS(INDEX(Clay_Brands!$A$2:$FZ$601,0,Sync!$D$14),"&lt;"&amp;(D$6+1),INDEX(Clay_Brands!$A$2:$FZ$601,0,Sync!$D$5),Config!$B$20,INDEX(Clay_Brands!$A$2:$FZ$601,0,Sync!$D$15),"obj_what_we_get"),0)+IFERROR(COUNTIFS(INDEX(Clay_Brands!$A$2:$FZ$601,0,Sync!$D$14),"&lt;"&amp;(D$6+1),INDEX(Clay_Brands!$A$2:$FZ$601,0,Sync!$D$5),Config!$B$20,INDEX(Clay_Brands!$A$2:$FZ$601,0,Sync!$D$15),"obj_other"),0)</f>
        <v>19</v>
      </c>
      <c r="E71" s="15" t="n">
        <f aca="false">IFERROR(COUNTIFS(INDEX(Clay_Brands!$A$2:$FZ$601,0,Sync!$D$14),"&lt;"&amp;(E$6+1),INDEX(Clay_Brands!$A$2:$FZ$601,0,Sync!$D$5),Config!$B$20,INDEX(Clay_Brands!$A$2:$FZ$601,0,Sync!$D$15),"yes"),0)+IFERROR(COUNTIFS(INDEX(Clay_Brands!$A$2:$FZ$601,0,Sync!$D$14),"&lt;"&amp;(E$6+1),INDEX(Clay_Brands!$A$2:$FZ$601,0,Sync!$D$5),Config!$B$20,INDEX(Clay_Brands!$A$2:$FZ$601,0,Sync!$D$15),"maybe"),0)+IFERROR(COUNTIFS(INDEX(Clay_Brands!$A$2:$FZ$601,0,Sync!$D$14),"&lt;"&amp;(E$6+1),INDEX(Clay_Brands!$A$2:$FZ$601,0,Sync!$D$5),Config!$B$20,INDEX(Clay_Brands!$A$2:$FZ$601,0,Sync!$D$15),"needs_approval"),0)+IFERROR(COUNTIFS(INDEX(Clay_Brands!$A$2:$FZ$601,0,Sync!$D$14),"&lt;"&amp;(E$6+1),INDEX(Clay_Brands!$A$2:$FZ$601,0,Sync!$D$5),Config!$B$20,INDEX(Clay_Brands!$A$2:$FZ$601,0,Sync!$D$15),"send_info"),0)+IFERROR(COUNTIFS(INDEX(Clay_Brands!$A$2:$FZ$601,0,Sync!$D$14),"&lt;"&amp;(E$6+1),INDEX(Clay_Brands!$A$2:$FZ$601,0,Sync!$D$5),Config!$B$20,INDEX(Clay_Brands!$A$2:$FZ$601,0,Sync!$D$15),"referral"),0)+IFERROR(COUNTIFS(INDEX(Clay_Brands!$A$2:$FZ$601,0,Sync!$D$14),"&lt;"&amp;(E$6+1),INDEX(Clay_Brands!$A$2:$FZ$601,0,Sync!$D$5),Config!$B$20,INDEX(Clay_Brands!$A$2:$FZ$601,0,Sync!$D$15),"not_now"),0)+IFERROR(COUNTIFS(INDEX(Clay_Brands!$A$2:$FZ$601,0,Sync!$D$14),"&lt;"&amp;(E$6+1),INDEX(Clay_Brands!$A$2:$FZ$601,0,Sync!$D$5),Config!$B$20,INDEX(Clay_Brands!$A$2:$FZ$601,0,Sync!$D$15),"obj_seed_ourselves"),0)+IFERROR(COUNTIFS(INDEX(Clay_Brands!$A$2:$FZ$601,0,Sync!$D$14),"&lt;"&amp;(E$6+1),INDEX(Clay_Brands!$A$2:$FZ$601,0,Sync!$D$5),Config!$B$20,INDEX(Clay_Brands!$A$2:$FZ$601,0,Sync!$D$15),"obj_price"),0)+IFERROR(COUNTIFS(INDEX(Clay_Brands!$A$2:$FZ$601,0,Sync!$D$14),"&lt;"&amp;(E$6+1),INDEX(Clay_Brands!$A$2:$FZ$601,0,Sync!$D$5),Config!$B$20,INDEX(Clay_Brands!$A$2:$FZ$601,0,Sync!$D$15),"obj_free_trial"),0)+IFERROR(COUNTIFS(INDEX(Clay_Brands!$A$2:$FZ$601,0,Sync!$D$14),"&lt;"&amp;(E$6+1),INDEX(Clay_Brands!$A$2:$FZ$601,0,Sync!$D$5),Config!$B$20,INDEX(Clay_Brands!$A$2:$FZ$601,0,Sync!$D$15),"obj_what_we_get"),0)+IFERROR(COUNTIFS(INDEX(Clay_Brands!$A$2:$FZ$601,0,Sync!$D$14),"&lt;"&amp;(E$6+1),INDEX(Clay_Brands!$A$2:$FZ$601,0,Sync!$D$5),Config!$B$20,INDEX(Clay_Brands!$A$2:$FZ$601,0,Sync!$D$15),"obj_other"),0)</f>
        <v>21</v>
      </c>
      <c r="F71" s="16"/>
      <c r="G71" s="9" t="s">
        <v>166</v>
      </c>
    </row>
    <row r="72" customFormat="false" ht="28.35" hidden="false" customHeight="false" outlineLevel="0" collapsed="false">
      <c r="A72" s="14" t="s">
        <v>181</v>
      </c>
      <c r="B72" s="26" t="n">
        <f aca="false">IF(B68=0,"",B71/B68)</f>
        <v>0.571428571428571</v>
      </c>
      <c r="C72" s="26" t="n">
        <f aca="false">IF(C68=0,"",C71/C68)</f>
        <v>0.538461538461538</v>
      </c>
      <c r="D72" s="26" t="n">
        <f aca="false">IF(D68=0,"",D71/D68)</f>
        <v>0.558823529411765</v>
      </c>
      <c r="E72" s="26" t="n">
        <f aca="false">IF(E68=0,"",E71/E68)</f>
        <v>0.525</v>
      </c>
      <c r="F72" s="16"/>
      <c r="G72" s="9" t="s">
        <v>168</v>
      </c>
    </row>
    <row r="73" customFormat="false" ht="15" hidden="false" customHeight="false" outlineLevel="0" collapsed="false">
      <c r="A73" s="14" t="s">
        <v>182</v>
      </c>
      <c r="B73" s="26" t="n">
        <f aca="false">IF(B68=0,"",B25/B68)</f>
        <v>0.214285714285714</v>
      </c>
      <c r="C73" s="26" t="n">
        <f aca="false">IF(C68=0,"",C25/C68)</f>
        <v>0.269230769230769</v>
      </c>
      <c r="D73" s="26" t="n">
        <f aca="false">IF(D68=0,"",D25/D68)</f>
        <v>0.382352941176471</v>
      </c>
      <c r="E73" s="26" t="n">
        <f aca="false">IF(E68=0,"",E25/E68)</f>
        <v>0.375</v>
      </c>
      <c r="F73" s="16"/>
      <c r="G73" s="9" t="s">
        <v>170</v>
      </c>
    </row>
    <row r="74" customFormat="false" ht="28.35" hidden="false" customHeight="false" outlineLevel="0" collapsed="false">
      <c r="A74" s="14" t="s">
        <v>183</v>
      </c>
      <c r="B74" s="15" t="n">
        <f aca="false">IFERROR(COUNTIFS(INDEX(Clay_Brands!$A$2:$FZ$601,0,Sync!$D$18),"&lt;"&amp;(B$6+1),INDEX(Clay_Brands!$A$2:$FZ$601,0,Sync!$D$5),Config!$B$20),0)</f>
        <v>0</v>
      </c>
      <c r="C74" s="15" t="n">
        <f aca="false">IFERROR(COUNTIFS(INDEX(Clay_Brands!$A$2:$FZ$601,0,Sync!$D$18),"&lt;"&amp;(C$6+1),INDEX(Clay_Brands!$A$2:$FZ$601,0,Sync!$D$5),Config!$B$20),0)</f>
        <v>1</v>
      </c>
      <c r="D74" s="15" t="n">
        <f aca="false">IFERROR(COUNTIFS(INDEX(Clay_Brands!$A$2:$FZ$601,0,Sync!$D$18),"&lt;"&amp;(D$6+1),INDEX(Clay_Brands!$A$2:$FZ$601,0,Sync!$D$5),Config!$B$20),0)</f>
        <v>2</v>
      </c>
      <c r="E74" s="15" t="n">
        <f aca="false">IFERROR(COUNTIFS(INDEX(Clay_Brands!$A$2:$FZ$601,0,Sync!$D$18),"&lt;"&amp;(E$6+1),INDEX(Clay_Brands!$A$2:$FZ$601,0,Sync!$D$5),Config!$B$20),0)</f>
        <v>2</v>
      </c>
      <c r="F74" s="16"/>
      <c r="G74" s="9" t="s">
        <v>172</v>
      </c>
    </row>
    <row r="75" customFormat="false" ht="41.75" hidden="false" customHeight="false" outlineLevel="0" collapsed="false">
      <c r="A75" s="14" t="s">
        <v>184</v>
      </c>
      <c r="B75" s="27" t="n">
        <f aca="false">IF(B68=0,"",B74/B68)</f>
        <v>0</v>
      </c>
      <c r="C75" s="27" t="n">
        <f aca="false">IF(C68=0,"",C74/C68)</f>
        <v>0.0384615384615385</v>
      </c>
      <c r="D75" s="27" t="n">
        <f aca="false">IF(D68=0,"",D74/D68)</f>
        <v>0.0588235294117647</v>
      </c>
      <c r="E75" s="27" t="n">
        <f aca="false">IF(E68=0,"",E74/E68)</f>
        <v>0.05</v>
      </c>
      <c r="F75" s="16"/>
      <c r="G75" s="9" t="s">
        <v>174</v>
      </c>
    </row>
    <row r="76" customFormat="false" ht="15" hidden="false" customHeight="false" outlineLevel="0" collapsed="false">
      <c r="A76" s="17" t="s">
        <v>185</v>
      </c>
      <c r="B76" s="28" t="str">
        <f aca="false">IF(E68&lt;Config!$B$17,"Too few first touches to judge ("&amp;E68&amp;" of "&amp;Config!$B$17&amp;").",IF(E72&lt;Config!$B$16,"UNDER 20%: conversation replies are under 20% of first touches. Run sending/sending-setup.md section 6 before sending more.","OK: conversation replies at or above 20%."))</f>
        <v>OK: conversation replies at or above 20%.</v>
      </c>
      <c r="C76" s="28"/>
      <c r="D76" s="28"/>
      <c r="E76" s="28"/>
      <c r="F76" s="28"/>
      <c r="G76" s="28"/>
    </row>
    <row r="77" customFormat="false" ht="15" hidden="false" customHeight="false" outlineLevel="0" collapsed="false">
      <c r="A77" s="17" t="s">
        <v>186</v>
      </c>
      <c r="B77" s="28" t="str">
        <f aca="false">IF(E68&lt;Config!$B$17,"Too few first touches to judge ("&amp;E68&amp;" of "&amp;Config!$B$17&amp;").",IF(AND(E74&gt;=Config!$B$30,E75&gt;Config!$B$29),"OPT-OUTS OVER 5%: check targeting and copy (sending/sending-setup.md 6.3 to 6.4).","OK: fewer than 3 opt-outs, or 5% or under."))</f>
        <v>OK: fewer than 3 opt-outs, or 5% or under.</v>
      </c>
      <c r="C77" s="28"/>
      <c r="D77" s="28"/>
      <c r="E77" s="28"/>
      <c r="F77" s="28"/>
      <c r="G77" s="28"/>
    </row>
    <row r="78" customFormat="false" ht="28.35" hidden="false" customHeight="false" outlineLevel="0" collapsed="false">
      <c r="A78" s="14" t="s">
        <v>187</v>
      </c>
      <c r="B78" s="16"/>
      <c r="C78" s="16"/>
      <c r="D78" s="16"/>
      <c r="E78" s="27" t="n">
        <f aca="false">IF((E58+E68)=0,"",(IFERROR(COUNTIFS(INDEX(Clay_Offices!$A$2:$FZ$601,0,Sync!$C$15),"bounce",INDEX(Clay_Offices!$A$2:$FZ$601,0,Sync!$C$5),Config!$B$20),0)+IFERROR(COUNTIFS(INDEX(Clay_Brands!$A$2:$FZ$601,0,Sync!$D$15),"bounce",INDEX(Clay_Brands!$A$2:$FZ$601,0,Sync!$D$5),Config!$B$20),0))/(E58+E68))</f>
        <v>0.0506329113924051</v>
      </c>
      <c r="F78" s="16"/>
      <c r="G78" s="9" t="s">
        <v>188</v>
      </c>
    </row>
    <row r="79" customFormat="false" ht="15" hidden="false" customHeight="false" outlineLevel="0" collapsed="false">
      <c r="A79" s="14"/>
      <c r="B79" s="16"/>
      <c r="C79" s="16"/>
      <c r="D79" s="16"/>
      <c r="E79" s="16"/>
      <c r="F79" s="16"/>
      <c r="G79" s="12"/>
    </row>
    <row r="80" customFormat="false" ht="15" hidden="false" customHeight="true" outlineLevel="0" collapsed="false">
      <c r="A80" s="13" t="s">
        <v>189</v>
      </c>
      <c r="B80" s="13"/>
      <c r="C80" s="13"/>
      <c r="D80" s="13"/>
      <c r="E80" s="13"/>
      <c r="F80" s="13"/>
      <c r="G80" s="13"/>
    </row>
    <row r="81" customFormat="false" ht="28.35" hidden="false" customHeight="false" outlineLevel="0" collapsed="false">
      <c r="A81" s="8" t="s">
        <v>190</v>
      </c>
      <c r="B81" s="8" t="s">
        <v>191</v>
      </c>
      <c r="C81" s="8" t="s">
        <v>192</v>
      </c>
      <c r="D81" s="8" t="s">
        <v>193</v>
      </c>
      <c r="E81" s="8" t="s">
        <v>194</v>
      </c>
      <c r="F81" s="16"/>
      <c r="G81" s="8" t="s">
        <v>195</v>
      </c>
    </row>
    <row r="82" customFormat="false" ht="15" hidden="false" customHeight="false" outlineLevel="0" collapsed="false">
      <c r="A82" s="14" t="s">
        <v>196</v>
      </c>
      <c r="B82" s="16" t="s">
        <v>197</v>
      </c>
      <c r="C82" s="29" t="n">
        <f aca="false">IFERROR(COUNTIFS(INDEX(Clay_Offices!$A$2:$FZ$601,0,Sync!$C$10),A82,INDEX(Clay_Offices!$A$2:$FZ$601,0,Sync!$C$11),"&lt;"&amp;($E$6+1),INDEX(Clay_Offices!$A$2:$FZ$601,0,Sync!$C$5),Config!$B$20),0)</f>
        <v>20</v>
      </c>
      <c r="D82" s="29" t="n">
        <f aca="false">IFERROR(COUNTIFS(INDEX(Clay_Offices!$A$2:$FZ$601,0,Sync!$C$10),A82,INDEX(Clay_Offices!$A$2:$FZ$601,0,Sync!$C$14),"&lt;"&amp;($E$6+1),INDEX(Clay_Offices!$A$2:$FZ$601,0,Sync!$C$5),Config!$B$20,INDEX(Clay_Offices!$A$2:$FZ$601,0,Sync!$C$15),"&lt;&gt;bounce",INDEX(Clay_Offices!$A$2:$FZ$601,0,Sync!$C$15),"&lt;&gt;out_of_office"),0)</f>
        <v>9</v>
      </c>
      <c r="E82" s="30" t="n">
        <f aca="false">IF(C82=0,"",D82/C82)</f>
        <v>0.45</v>
      </c>
      <c r="F82" s="16"/>
      <c r="G82" s="31" t="n">
        <f aca="false">IFERROR(COUNTIFS(INDEX(Clay_Offices!$A$2:$FZ$601,0,Sync!$C$10),A82,INDEX(Clay_Offices!$A$2:$FZ$601,0,Sync!$C$14),"&lt;"&amp;($E$6+1),INDEX(Clay_Offices!$A$2:$FZ$601,0,Sync!$C$5),Config!$B$20,INDEX(Clay_Offices!$A$2:$FZ$601,0,Sync!$C$15),"yes"),0)+IFERROR(COUNTIFS(INDEX(Clay_Offices!$A$2:$FZ$601,0,Sync!$C$10),A82,INDEX(Clay_Offices!$A$2:$FZ$601,0,Sync!$C$14),"&lt;"&amp;($E$6+1),INDEX(Clay_Offices!$A$2:$FZ$601,0,Sync!$C$5),Config!$B$20,INDEX(Clay_Offices!$A$2:$FZ$601,0,Sync!$C$15),"maybe"),0)+IFERROR(COUNTIFS(INDEX(Clay_Offices!$A$2:$FZ$601,0,Sync!$C$10),A82,INDEX(Clay_Offices!$A$2:$FZ$601,0,Sync!$C$14),"&lt;"&amp;($E$6+1),INDEX(Clay_Offices!$A$2:$FZ$601,0,Sync!$C$5),Config!$B$20,INDEX(Clay_Offices!$A$2:$FZ$601,0,Sync!$C$15),"needs_approval"),0)+IFERROR(COUNTIFS(INDEX(Clay_Offices!$A$2:$FZ$601,0,Sync!$C$10),A82,INDEX(Clay_Offices!$A$2:$FZ$601,0,Sync!$C$14),"&lt;"&amp;($E$6+1),INDEX(Clay_Offices!$A$2:$FZ$601,0,Sync!$C$5),Config!$B$20,INDEX(Clay_Offices!$A$2:$FZ$601,0,Sync!$C$15),"send_info"),0)+IFERROR(COUNTIFS(INDEX(Clay_Offices!$A$2:$FZ$601,0,Sync!$C$10),A82,INDEX(Clay_Offices!$A$2:$FZ$601,0,Sync!$C$14),"&lt;"&amp;($E$6+1),INDEX(Clay_Offices!$A$2:$FZ$601,0,Sync!$C$5),Config!$B$20,INDEX(Clay_Offices!$A$2:$FZ$601,0,Sync!$C$15),"referral"),0)+IFERROR(COUNTIFS(INDEX(Clay_Offices!$A$2:$FZ$601,0,Sync!$C$10),A82,INDEX(Clay_Offices!$A$2:$FZ$601,0,Sync!$C$14),"&lt;"&amp;($E$6+1),INDEX(Clay_Offices!$A$2:$FZ$601,0,Sync!$C$5),Config!$B$20,INDEX(Clay_Offices!$A$2:$FZ$601,0,Sync!$C$15),"not_now"),0)+IFERROR(COUNTIFS(INDEX(Clay_Offices!$A$2:$FZ$601,0,Sync!$C$10),A82,INDEX(Clay_Offices!$A$2:$FZ$601,0,Sync!$C$14),"&lt;"&amp;($E$6+1),INDEX(Clay_Offices!$A$2:$FZ$601,0,Sync!$C$5),Config!$B$20,INDEX(Clay_Offices!$A$2:$FZ$601,0,Sync!$C$15),"obj_seed_ourselves"),0)+IFERROR(COUNTIFS(INDEX(Clay_Offices!$A$2:$FZ$601,0,Sync!$C$10),A82,INDEX(Clay_Offices!$A$2:$FZ$601,0,Sync!$C$14),"&lt;"&amp;($E$6+1),INDEX(Clay_Offices!$A$2:$FZ$601,0,Sync!$C$5),Config!$B$20,INDEX(Clay_Offices!$A$2:$FZ$601,0,Sync!$C$15),"obj_price"),0)+IFERROR(COUNTIFS(INDEX(Clay_Offices!$A$2:$FZ$601,0,Sync!$C$10),A82,INDEX(Clay_Offices!$A$2:$FZ$601,0,Sync!$C$14),"&lt;"&amp;($E$6+1),INDEX(Clay_Offices!$A$2:$FZ$601,0,Sync!$C$5),Config!$B$20,INDEX(Clay_Offices!$A$2:$FZ$601,0,Sync!$C$15),"obj_free_trial"),0)+IFERROR(COUNTIFS(INDEX(Clay_Offices!$A$2:$FZ$601,0,Sync!$C$10),A82,INDEX(Clay_Offices!$A$2:$FZ$601,0,Sync!$C$14),"&lt;"&amp;($E$6+1),INDEX(Clay_Offices!$A$2:$FZ$601,0,Sync!$C$5),Config!$B$20,INDEX(Clay_Offices!$A$2:$FZ$601,0,Sync!$C$15),"obj_what_we_get"),0)+IFERROR(COUNTIFS(INDEX(Clay_Offices!$A$2:$FZ$601,0,Sync!$C$10),A82,INDEX(Clay_Offices!$A$2:$FZ$601,0,Sync!$C$14),"&lt;"&amp;($E$6+1),INDEX(Clay_Offices!$A$2:$FZ$601,0,Sync!$C$5),Config!$B$20,INDEX(Clay_Offices!$A$2:$FZ$601,0,Sync!$C$15),"obj_other"),0)</f>
        <v>7</v>
      </c>
    </row>
    <row r="83" customFormat="false" ht="15" hidden="false" customHeight="false" outlineLevel="0" collapsed="false">
      <c r="A83" s="14" t="s">
        <v>198</v>
      </c>
      <c r="B83" s="16" t="s">
        <v>197</v>
      </c>
      <c r="C83" s="29" t="n">
        <f aca="false">IFERROR(COUNTIFS(INDEX(Clay_Offices!$A$2:$FZ$601,0,Sync!$C$10),A83,INDEX(Clay_Offices!$A$2:$FZ$601,0,Sync!$C$11),"&lt;"&amp;($E$6+1),INDEX(Clay_Offices!$A$2:$FZ$601,0,Sync!$C$5),Config!$B$20),0)</f>
        <v>19</v>
      </c>
      <c r="D83" s="29" t="n">
        <f aca="false">IFERROR(COUNTIFS(INDEX(Clay_Offices!$A$2:$FZ$601,0,Sync!$C$10),A83,INDEX(Clay_Offices!$A$2:$FZ$601,0,Sync!$C$14),"&lt;"&amp;($E$6+1),INDEX(Clay_Offices!$A$2:$FZ$601,0,Sync!$C$5),Config!$B$20,INDEX(Clay_Offices!$A$2:$FZ$601,0,Sync!$C$15),"&lt;&gt;bounce",INDEX(Clay_Offices!$A$2:$FZ$601,0,Sync!$C$15),"&lt;&gt;out_of_office"),0)</f>
        <v>15</v>
      </c>
      <c r="E83" s="30" t="n">
        <f aca="false">IF(C83=0,"",D83/C83)</f>
        <v>0.789473684210526</v>
      </c>
      <c r="F83" s="16"/>
      <c r="G83" s="31" t="n">
        <f aca="false">IFERROR(COUNTIFS(INDEX(Clay_Offices!$A$2:$FZ$601,0,Sync!$C$10),A83,INDEX(Clay_Offices!$A$2:$FZ$601,0,Sync!$C$14),"&lt;"&amp;($E$6+1),INDEX(Clay_Offices!$A$2:$FZ$601,0,Sync!$C$5),Config!$B$20,INDEX(Clay_Offices!$A$2:$FZ$601,0,Sync!$C$15),"yes"),0)+IFERROR(COUNTIFS(INDEX(Clay_Offices!$A$2:$FZ$601,0,Sync!$C$10),A83,INDEX(Clay_Offices!$A$2:$FZ$601,0,Sync!$C$14),"&lt;"&amp;($E$6+1),INDEX(Clay_Offices!$A$2:$FZ$601,0,Sync!$C$5),Config!$B$20,INDEX(Clay_Offices!$A$2:$FZ$601,0,Sync!$C$15),"maybe"),0)+IFERROR(COUNTIFS(INDEX(Clay_Offices!$A$2:$FZ$601,0,Sync!$C$10),A83,INDEX(Clay_Offices!$A$2:$FZ$601,0,Sync!$C$14),"&lt;"&amp;($E$6+1),INDEX(Clay_Offices!$A$2:$FZ$601,0,Sync!$C$5),Config!$B$20,INDEX(Clay_Offices!$A$2:$FZ$601,0,Sync!$C$15),"needs_approval"),0)+IFERROR(COUNTIFS(INDEX(Clay_Offices!$A$2:$FZ$601,0,Sync!$C$10),A83,INDEX(Clay_Offices!$A$2:$FZ$601,0,Sync!$C$14),"&lt;"&amp;($E$6+1),INDEX(Clay_Offices!$A$2:$FZ$601,0,Sync!$C$5),Config!$B$20,INDEX(Clay_Offices!$A$2:$FZ$601,0,Sync!$C$15),"send_info"),0)+IFERROR(COUNTIFS(INDEX(Clay_Offices!$A$2:$FZ$601,0,Sync!$C$10),A83,INDEX(Clay_Offices!$A$2:$FZ$601,0,Sync!$C$14),"&lt;"&amp;($E$6+1),INDEX(Clay_Offices!$A$2:$FZ$601,0,Sync!$C$5),Config!$B$20,INDEX(Clay_Offices!$A$2:$FZ$601,0,Sync!$C$15),"referral"),0)+IFERROR(COUNTIFS(INDEX(Clay_Offices!$A$2:$FZ$601,0,Sync!$C$10),A83,INDEX(Clay_Offices!$A$2:$FZ$601,0,Sync!$C$14),"&lt;"&amp;($E$6+1),INDEX(Clay_Offices!$A$2:$FZ$601,0,Sync!$C$5),Config!$B$20,INDEX(Clay_Offices!$A$2:$FZ$601,0,Sync!$C$15),"not_now"),0)+IFERROR(COUNTIFS(INDEX(Clay_Offices!$A$2:$FZ$601,0,Sync!$C$10),A83,INDEX(Clay_Offices!$A$2:$FZ$601,0,Sync!$C$14),"&lt;"&amp;($E$6+1),INDEX(Clay_Offices!$A$2:$FZ$601,0,Sync!$C$5),Config!$B$20,INDEX(Clay_Offices!$A$2:$FZ$601,0,Sync!$C$15),"obj_seed_ourselves"),0)+IFERROR(COUNTIFS(INDEX(Clay_Offices!$A$2:$FZ$601,0,Sync!$C$10),A83,INDEX(Clay_Offices!$A$2:$FZ$601,0,Sync!$C$14),"&lt;"&amp;($E$6+1),INDEX(Clay_Offices!$A$2:$FZ$601,0,Sync!$C$5),Config!$B$20,INDEX(Clay_Offices!$A$2:$FZ$601,0,Sync!$C$15),"obj_price"),0)+IFERROR(COUNTIFS(INDEX(Clay_Offices!$A$2:$FZ$601,0,Sync!$C$10),A83,INDEX(Clay_Offices!$A$2:$FZ$601,0,Sync!$C$14),"&lt;"&amp;($E$6+1),INDEX(Clay_Offices!$A$2:$FZ$601,0,Sync!$C$5),Config!$B$20,INDEX(Clay_Offices!$A$2:$FZ$601,0,Sync!$C$15),"obj_free_trial"),0)+IFERROR(COUNTIFS(INDEX(Clay_Offices!$A$2:$FZ$601,0,Sync!$C$10),A83,INDEX(Clay_Offices!$A$2:$FZ$601,0,Sync!$C$14),"&lt;"&amp;($E$6+1),INDEX(Clay_Offices!$A$2:$FZ$601,0,Sync!$C$5),Config!$B$20,INDEX(Clay_Offices!$A$2:$FZ$601,0,Sync!$C$15),"obj_what_we_get"),0)+IFERROR(COUNTIFS(INDEX(Clay_Offices!$A$2:$FZ$601,0,Sync!$C$10),A83,INDEX(Clay_Offices!$A$2:$FZ$601,0,Sync!$C$14),"&lt;"&amp;($E$6+1),INDEX(Clay_Offices!$A$2:$FZ$601,0,Sync!$C$5),Config!$B$20,INDEX(Clay_Offices!$A$2:$FZ$601,0,Sync!$C$15),"obj_other"),0)</f>
        <v>13</v>
      </c>
    </row>
    <row r="84" customFormat="false" ht="15" hidden="false" customHeight="false" outlineLevel="0" collapsed="false">
      <c r="A84" s="14" t="s">
        <v>199</v>
      </c>
      <c r="B84" s="16" t="s">
        <v>197</v>
      </c>
      <c r="C84" s="29" t="n">
        <f aca="false">IFERROR(COUNTIFS(INDEX(Clay_Offices!$A$2:$FZ$601,0,Sync!$C$10),A84,INDEX(Clay_Offices!$A$2:$FZ$601,0,Sync!$C$11),"&lt;"&amp;($E$6+1),INDEX(Clay_Offices!$A$2:$FZ$601,0,Sync!$C$5),Config!$B$20),0)</f>
        <v>0</v>
      </c>
      <c r="D84" s="29" t="n">
        <f aca="false">IFERROR(COUNTIFS(INDEX(Clay_Offices!$A$2:$FZ$601,0,Sync!$C$10),A84,INDEX(Clay_Offices!$A$2:$FZ$601,0,Sync!$C$14),"&lt;"&amp;($E$6+1),INDEX(Clay_Offices!$A$2:$FZ$601,0,Sync!$C$5),Config!$B$20,INDEX(Clay_Offices!$A$2:$FZ$601,0,Sync!$C$15),"&lt;&gt;bounce",INDEX(Clay_Offices!$A$2:$FZ$601,0,Sync!$C$15),"&lt;&gt;out_of_office"),0)</f>
        <v>0</v>
      </c>
      <c r="E84" s="30" t="str">
        <f aca="false">IF(C84=0,"",D84/C84)</f>
        <v/>
      </c>
      <c r="F84" s="16"/>
      <c r="G84" s="31" t="n">
        <f aca="false">IFERROR(COUNTIFS(INDEX(Clay_Offices!$A$2:$FZ$601,0,Sync!$C$10),A84,INDEX(Clay_Offices!$A$2:$FZ$601,0,Sync!$C$14),"&lt;"&amp;($E$6+1),INDEX(Clay_Offices!$A$2:$FZ$601,0,Sync!$C$5),Config!$B$20,INDEX(Clay_Offices!$A$2:$FZ$601,0,Sync!$C$15),"yes"),0)+IFERROR(COUNTIFS(INDEX(Clay_Offices!$A$2:$FZ$601,0,Sync!$C$10),A84,INDEX(Clay_Offices!$A$2:$FZ$601,0,Sync!$C$14),"&lt;"&amp;($E$6+1),INDEX(Clay_Offices!$A$2:$FZ$601,0,Sync!$C$5),Config!$B$20,INDEX(Clay_Offices!$A$2:$FZ$601,0,Sync!$C$15),"maybe"),0)+IFERROR(COUNTIFS(INDEX(Clay_Offices!$A$2:$FZ$601,0,Sync!$C$10),A84,INDEX(Clay_Offices!$A$2:$FZ$601,0,Sync!$C$14),"&lt;"&amp;($E$6+1),INDEX(Clay_Offices!$A$2:$FZ$601,0,Sync!$C$5),Config!$B$20,INDEX(Clay_Offices!$A$2:$FZ$601,0,Sync!$C$15),"needs_approval"),0)+IFERROR(COUNTIFS(INDEX(Clay_Offices!$A$2:$FZ$601,0,Sync!$C$10),A84,INDEX(Clay_Offices!$A$2:$FZ$601,0,Sync!$C$14),"&lt;"&amp;($E$6+1),INDEX(Clay_Offices!$A$2:$FZ$601,0,Sync!$C$5),Config!$B$20,INDEX(Clay_Offices!$A$2:$FZ$601,0,Sync!$C$15),"send_info"),0)+IFERROR(COUNTIFS(INDEX(Clay_Offices!$A$2:$FZ$601,0,Sync!$C$10),A84,INDEX(Clay_Offices!$A$2:$FZ$601,0,Sync!$C$14),"&lt;"&amp;($E$6+1),INDEX(Clay_Offices!$A$2:$FZ$601,0,Sync!$C$5),Config!$B$20,INDEX(Clay_Offices!$A$2:$FZ$601,0,Sync!$C$15),"referral"),0)+IFERROR(COUNTIFS(INDEX(Clay_Offices!$A$2:$FZ$601,0,Sync!$C$10),A84,INDEX(Clay_Offices!$A$2:$FZ$601,0,Sync!$C$14),"&lt;"&amp;($E$6+1),INDEX(Clay_Offices!$A$2:$FZ$601,0,Sync!$C$5),Config!$B$20,INDEX(Clay_Offices!$A$2:$FZ$601,0,Sync!$C$15),"not_now"),0)+IFERROR(COUNTIFS(INDEX(Clay_Offices!$A$2:$FZ$601,0,Sync!$C$10),A84,INDEX(Clay_Offices!$A$2:$FZ$601,0,Sync!$C$14),"&lt;"&amp;($E$6+1),INDEX(Clay_Offices!$A$2:$FZ$601,0,Sync!$C$5),Config!$B$20,INDEX(Clay_Offices!$A$2:$FZ$601,0,Sync!$C$15),"obj_seed_ourselves"),0)+IFERROR(COUNTIFS(INDEX(Clay_Offices!$A$2:$FZ$601,0,Sync!$C$10),A84,INDEX(Clay_Offices!$A$2:$FZ$601,0,Sync!$C$14),"&lt;"&amp;($E$6+1),INDEX(Clay_Offices!$A$2:$FZ$601,0,Sync!$C$5),Config!$B$20,INDEX(Clay_Offices!$A$2:$FZ$601,0,Sync!$C$15),"obj_price"),0)+IFERROR(COUNTIFS(INDEX(Clay_Offices!$A$2:$FZ$601,0,Sync!$C$10),A84,INDEX(Clay_Offices!$A$2:$FZ$601,0,Sync!$C$14),"&lt;"&amp;($E$6+1),INDEX(Clay_Offices!$A$2:$FZ$601,0,Sync!$C$5),Config!$B$20,INDEX(Clay_Offices!$A$2:$FZ$601,0,Sync!$C$15),"obj_free_trial"),0)+IFERROR(COUNTIFS(INDEX(Clay_Offices!$A$2:$FZ$601,0,Sync!$C$10),A84,INDEX(Clay_Offices!$A$2:$FZ$601,0,Sync!$C$14),"&lt;"&amp;($E$6+1),INDEX(Clay_Offices!$A$2:$FZ$601,0,Sync!$C$5),Config!$B$20,INDEX(Clay_Offices!$A$2:$FZ$601,0,Sync!$C$15),"obj_what_we_get"),0)+IFERROR(COUNTIFS(INDEX(Clay_Offices!$A$2:$FZ$601,0,Sync!$C$10),A84,INDEX(Clay_Offices!$A$2:$FZ$601,0,Sync!$C$14),"&lt;"&amp;($E$6+1),INDEX(Clay_Offices!$A$2:$FZ$601,0,Sync!$C$5),Config!$B$20,INDEX(Clay_Offices!$A$2:$FZ$601,0,Sync!$C$15),"obj_other"),0)</f>
        <v>0</v>
      </c>
    </row>
    <row r="85" customFormat="false" ht="15" hidden="false" customHeight="false" outlineLevel="0" collapsed="false">
      <c r="A85" s="14" t="s">
        <v>200</v>
      </c>
      <c r="B85" s="16" t="s">
        <v>197</v>
      </c>
      <c r="C85" s="29" t="n">
        <f aca="false">IFERROR(COUNTIFS(INDEX(Clay_Offices!$A$2:$FZ$601,0,Sync!$C$10),A85,INDEX(Clay_Offices!$A$2:$FZ$601,0,Sync!$C$11),"&lt;"&amp;($E$6+1),INDEX(Clay_Offices!$A$2:$FZ$601,0,Sync!$C$5),Config!$B$20),0)</f>
        <v>0</v>
      </c>
      <c r="D85" s="29" t="n">
        <f aca="false">IFERROR(COUNTIFS(INDEX(Clay_Offices!$A$2:$FZ$601,0,Sync!$C$10),A85,INDEX(Clay_Offices!$A$2:$FZ$601,0,Sync!$C$14),"&lt;"&amp;($E$6+1),INDEX(Clay_Offices!$A$2:$FZ$601,0,Sync!$C$5),Config!$B$20,INDEX(Clay_Offices!$A$2:$FZ$601,0,Sync!$C$15),"&lt;&gt;bounce",INDEX(Clay_Offices!$A$2:$FZ$601,0,Sync!$C$15),"&lt;&gt;out_of_office"),0)</f>
        <v>0</v>
      </c>
      <c r="E85" s="30" t="str">
        <f aca="false">IF(C85=0,"",D85/C85)</f>
        <v/>
      </c>
      <c r="F85" s="16"/>
      <c r="G85" s="31" t="n">
        <f aca="false">IFERROR(COUNTIFS(INDEX(Clay_Offices!$A$2:$FZ$601,0,Sync!$C$10),A85,INDEX(Clay_Offices!$A$2:$FZ$601,0,Sync!$C$14),"&lt;"&amp;($E$6+1),INDEX(Clay_Offices!$A$2:$FZ$601,0,Sync!$C$5),Config!$B$20,INDEX(Clay_Offices!$A$2:$FZ$601,0,Sync!$C$15),"yes"),0)+IFERROR(COUNTIFS(INDEX(Clay_Offices!$A$2:$FZ$601,0,Sync!$C$10),A85,INDEX(Clay_Offices!$A$2:$FZ$601,0,Sync!$C$14),"&lt;"&amp;($E$6+1),INDEX(Clay_Offices!$A$2:$FZ$601,0,Sync!$C$5),Config!$B$20,INDEX(Clay_Offices!$A$2:$FZ$601,0,Sync!$C$15),"maybe"),0)+IFERROR(COUNTIFS(INDEX(Clay_Offices!$A$2:$FZ$601,0,Sync!$C$10),A85,INDEX(Clay_Offices!$A$2:$FZ$601,0,Sync!$C$14),"&lt;"&amp;($E$6+1),INDEX(Clay_Offices!$A$2:$FZ$601,0,Sync!$C$5),Config!$B$20,INDEX(Clay_Offices!$A$2:$FZ$601,0,Sync!$C$15),"needs_approval"),0)+IFERROR(COUNTIFS(INDEX(Clay_Offices!$A$2:$FZ$601,0,Sync!$C$10),A85,INDEX(Clay_Offices!$A$2:$FZ$601,0,Sync!$C$14),"&lt;"&amp;($E$6+1),INDEX(Clay_Offices!$A$2:$FZ$601,0,Sync!$C$5),Config!$B$20,INDEX(Clay_Offices!$A$2:$FZ$601,0,Sync!$C$15),"send_info"),0)+IFERROR(COUNTIFS(INDEX(Clay_Offices!$A$2:$FZ$601,0,Sync!$C$10),A85,INDEX(Clay_Offices!$A$2:$FZ$601,0,Sync!$C$14),"&lt;"&amp;($E$6+1),INDEX(Clay_Offices!$A$2:$FZ$601,0,Sync!$C$5),Config!$B$20,INDEX(Clay_Offices!$A$2:$FZ$601,0,Sync!$C$15),"referral"),0)+IFERROR(COUNTIFS(INDEX(Clay_Offices!$A$2:$FZ$601,0,Sync!$C$10),A85,INDEX(Clay_Offices!$A$2:$FZ$601,0,Sync!$C$14),"&lt;"&amp;($E$6+1),INDEX(Clay_Offices!$A$2:$FZ$601,0,Sync!$C$5),Config!$B$20,INDEX(Clay_Offices!$A$2:$FZ$601,0,Sync!$C$15),"not_now"),0)+IFERROR(COUNTIFS(INDEX(Clay_Offices!$A$2:$FZ$601,0,Sync!$C$10),A85,INDEX(Clay_Offices!$A$2:$FZ$601,0,Sync!$C$14),"&lt;"&amp;($E$6+1),INDEX(Clay_Offices!$A$2:$FZ$601,0,Sync!$C$5),Config!$B$20,INDEX(Clay_Offices!$A$2:$FZ$601,0,Sync!$C$15),"obj_seed_ourselves"),0)+IFERROR(COUNTIFS(INDEX(Clay_Offices!$A$2:$FZ$601,0,Sync!$C$10),A85,INDEX(Clay_Offices!$A$2:$FZ$601,0,Sync!$C$14),"&lt;"&amp;($E$6+1),INDEX(Clay_Offices!$A$2:$FZ$601,0,Sync!$C$5),Config!$B$20,INDEX(Clay_Offices!$A$2:$FZ$601,0,Sync!$C$15),"obj_price"),0)+IFERROR(COUNTIFS(INDEX(Clay_Offices!$A$2:$FZ$601,0,Sync!$C$10),A85,INDEX(Clay_Offices!$A$2:$FZ$601,0,Sync!$C$14),"&lt;"&amp;($E$6+1),INDEX(Clay_Offices!$A$2:$FZ$601,0,Sync!$C$5),Config!$B$20,INDEX(Clay_Offices!$A$2:$FZ$601,0,Sync!$C$15),"obj_free_trial"),0)+IFERROR(COUNTIFS(INDEX(Clay_Offices!$A$2:$FZ$601,0,Sync!$C$10),A85,INDEX(Clay_Offices!$A$2:$FZ$601,0,Sync!$C$14),"&lt;"&amp;($E$6+1),INDEX(Clay_Offices!$A$2:$FZ$601,0,Sync!$C$5),Config!$B$20,INDEX(Clay_Offices!$A$2:$FZ$601,0,Sync!$C$15),"obj_what_we_get"),0)+IFERROR(COUNTIFS(INDEX(Clay_Offices!$A$2:$FZ$601,0,Sync!$C$10),A85,INDEX(Clay_Offices!$A$2:$FZ$601,0,Sync!$C$14),"&lt;"&amp;($E$6+1),INDEX(Clay_Offices!$A$2:$FZ$601,0,Sync!$C$5),Config!$B$20,INDEX(Clay_Offices!$A$2:$FZ$601,0,Sync!$C$15),"obj_other"),0)</f>
        <v>0</v>
      </c>
    </row>
    <row r="86" customFormat="false" ht="15" hidden="false" customHeight="false" outlineLevel="0" collapsed="false">
      <c r="A86" s="14" t="s">
        <v>201</v>
      </c>
      <c r="B86" s="16" t="s">
        <v>202</v>
      </c>
      <c r="C86" s="29" t="n">
        <f aca="false">IFERROR(COUNTIFS(INDEX(Clay_Brands!$A$2:$FZ$601,0,Sync!$D$10),A86,INDEX(Clay_Brands!$A$2:$FZ$601,0,Sync!$D$11),"&lt;"&amp;($E$6+1),INDEX(Clay_Brands!$A$2:$FZ$601,0,Sync!$D$5),Config!$B$20),0)</f>
        <v>20</v>
      </c>
      <c r="D86" s="29" t="n">
        <f aca="false">IFERROR(COUNTIFS(INDEX(Clay_Brands!$A$2:$FZ$601,0,Sync!$D$10),A86,INDEX(Clay_Brands!$A$2:$FZ$601,0,Sync!$D$14),"&lt;"&amp;($E$6+1),INDEX(Clay_Brands!$A$2:$FZ$601,0,Sync!$D$5),Config!$B$20,INDEX(Clay_Brands!$A$2:$FZ$601,0,Sync!$D$15),"&lt;&gt;bounce",INDEX(Clay_Brands!$A$2:$FZ$601,0,Sync!$D$15),"&lt;&gt;out_of_office"),0)</f>
        <v>10</v>
      </c>
      <c r="E86" s="30" t="n">
        <f aca="false">IF(C86=0,"",D86/C86)</f>
        <v>0.5</v>
      </c>
      <c r="F86" s="16"/>
      <c r="G86" s="31" t="n">
        <f aca="false">IFERROR(COUNTIFS(INDEX(Clay_Brands!$A$2:$FZ$601,0,Sync!$D$10),A86,INDEX(Clay_Brands!$A$2:$FZ$601,0,Sync!$D$14),"&lt;"&amp;($E$6+1),INDEX(Clay_Brands!$A$2:$FZ$601,0,Sync!$D$5),Config!$B$20,INDEX(Clay_Brands!$A$2:$FZ$601,0,Sync!$D$15),"yes"),0)+IFERROR(COUNTIFS(INDEX(Clay_Brands!$A$2:$FZ$601,0,Sync!$D$10),A86,INDEX(Clay_Brands!$A$2:$FZ$601,0,Sync!$D$14),"&lt;"&amp;($E$6+1),INDEX(Clay_Brands!$A$2:$FZ$601,0,Sync!$D$5),Config!$B$20,INDEX(Clay_Brands!$A$2:$FZ$601,0,Sync!$D$15),"maybe"),0)+IFERROR(COUNTIFS(INDEX(Clay_Brands!$A$2:$FZ$601,0,Sync!$D$10),A86,INDEX(Clay_Brands!$A$2:$FZ$601,0,Sync!$D$14),"&lt;"&amp;($E$6+1),INDEX(Clay_Brands!$A$2:$FZ$601,0,Sync!$D$5),Config!$B$20,INDEX(Clay_Brands!$A$2:$FZ$601,0,Sync!$D$15),"needs_approval"),0)+IFERROR(COUNTIFS(INDEX(Clay_Brands!$A$2:$FZ$601,0,Sync!$D$10),A86,INDEX(Clay_Brands!$A$2:$FZ$601,0,Sync!$D$14),"&lt;"&amp;($E$6+1),INDEX(Clay_Brands!$A$2:$FZ$601,0,Sync!$D$5),Config!$B$20,INDEX(Clay_Brands!$A$2:$FZ$601,0,Sync!$D$15),"send_info"),0)+IFERROR(COUNTIFS(INDEX(Clay_Brands!$A$2:$FZ$601,0,Sync!$D$10),A86,INDEX(Clay_Brands!$A$2:$FZ$601,0,Sync!$D$14),"&lt;"&amp;($E$6+1),INDEX(Clay_Brands!$A$2:$FZ$601,0,Sync!$D$5),Config!$B$20,INDEX(Clay_Brands!$A$2:$FZ$601,0,Sync!$D$15),"referral"),0)+IFERROR(COUNTIFS(INDEX(Clay_Brands!$A$2:$FZ$601,0,Sync!$D$10),A86,INDEX(Clay_Brands!$A$2:$FZ$601,0,Sync!$D$14),"&lt;"&amp;($E$6+1),INDEX(Clay_Brands!$A$2:$FZ$601,0,Sync!$D$5),Config!$B$20,INDEX(Clay_Brands!$A$2:$FZ$601,0,Sync!$D$15),"not_now"),0)+IFERROR(COUNTIFS(INDEX(Clay_Brands!$A$2:$FZ$601,0,Sync!$D$10),A86,INDEX(Clay_Brands!$A$2:$FZ$601,0,Sync!$D$14),"&lt;"&amp;($E$6+1),INDEX(Clay_Brands!$A$2:$FZ$601,0,Sync!$D$5),Config!$B$20,INDEX(Clay_Brands!$A$2:$FZ$601,0,Sync!$D$15),"obj_seed_ourselves"),0)+IFERROR(COUNTIFS(INDEX(Clay_Brands!$A$2:$FZ$601,0,Sync!$D$10),A86,INDEX(Clay_Brands!$A$2:$FZ$601,0,Sync!$D$14),"&lt;"&amp;($E$6+1),INDEX(Clay_Brands!$A$2:$FZ$601,0,Sync!$D$5),Config!$B$20,INDEX(Clay_Brands!$A$2:$FZ$601,0,Sync!$D$15),"obj_price"),0)+IFERROR(COUNTIFS(INDEX(Clay_Brands!$A$2:$FZ$601,0,Sync!$D$10),A86,INDEX(Clay_Brands!$A$2:$FZ$601,0,Sync!$D$14),"&lt;"&amp;($E$6+1),INDEX(Clay_Brands!$A$2:$FZ$601,0,Sync!$D$5),Config!$B$20,INDEX(Clay_Brands!$A$2:$FZ$601,0,Sync!$D$15),"obj_free_trial"),0)+IFERROR(COUNTIFS(INDEX(Clay_Brands!$A$2:$FZ$601,0,Sync!$D$10),A86,INDEX(Clay_Brands!$A$2:$FZ$601,0,Sync!$D$14),"&lt;"&amp;($E$6+1),INDEX(Clay_Brands!$A$2:$FZ$601,0,Sync!$D$5),Config!$B$20,INDEX(Clay_Brands!$A$2:$FZ$601,0,Sync!$D$15),"obj_what_we_get"),0)+IFERROR(COUNTIFS(INDEX(Clay_Brands!$A$2:$FZ$601,0,Sync!$D$10),A86,INDEX(Clay_Brands!$A$2:$FZ$601,0,Sync!$D$14),"&lt;"&amp;($E$6+1),INDEX(Clay_Brands!$A$2:$FZ$601,0,Sync!$D$5),Config!$B$20,INDEX(Clay_Brands!$A$2:$FZ$601,0,Sync!$D$15),"obj_other"),0)</f>
        <v>8</v>
      </c>
    </row>
    <row r="87" customFormat="false" ht="15" hidden="false" customHeight="false" outlineLevel="0" collapsed="false">
      <c r="A87" s="14" t="s">
        <v>203</v>
      </c>
      <c r="B87" s="16" t="s">
        <v>202</v>
      </c>
      <c r="C87" s="29" t="n">
        <f aca="false">IFERROR(COUNTIFS(INDEX(Clay_Brands!$A$2:$FZ$601,0,Sync!$D$10),A87,INDEX(Clay_Brands!$A$2:$FZ$601,0,Sync!$D$11),"&lt;"&amp;($E$6+1),INDEX(Clay_Brands!$A$2:$FZ$601,0,Sync!$D$5),Config!$B$20),0)</f>
        <v>20</v>
      </c>
      <c r="D87" s="29" t="n">
        <f aca="false">IFERROR(COUNTIFS(INDEX(Clay_Brands!$A$2:$FZ$601,0,Sync!$D$10),A87,INDEX(Clay_Brands!$A$2:$FZ$601,0,Sync!$D$14),"&lt;"&amp;($E$6+1),INDEX(Clay_Brands!$A$2:$FZ$601,0,Sync!$D$5),Config!$B$20,INDEX(Clay_Brands!$A$2:$FZ$601,0,Sync!$D$15),"&lt;&gt;bounce",INDEX(Clay_Brands!$A$2:$FZ$601,0,Sync!$D$15),"&lt;&gt;out_of_office"),0)</f>
        <v>15</v>
      </c>
      <c r="E87" s="30" t="n">
        <f aca="false">IF(C87=0,"",D87/C87)</f>
        <v>0.75</v>
      </c>
      <c r="F87" s="16"/>
      <c r="G87" s="31" t="n">
        <f aca="false">IFERROR(COUNTIFS(INDEX(Clay_Brands!$A$2:$FZ$601,0,Sync!$D$10),A87,INDEX(Clay_Brands!$A$2:$FZ$601,0,Sync!$D$14),"&lt;"&amp;($E$6+1),INDEX(Clay_Brands!$A$2:$FZ$601,0,Sync!$D$5),Config!$B$20,INDEX(Clay_Brands!$A$2:$FZ$601,0,Sync!$D$15),"yes"),0)+IFERROR(COUNTIFS(INDEX(Clay_Brands!$A$2:$FZ$601,0,Sync!$D$10),A87,INDEX(Clay_Brands!$A$2:$FZ$601,0,Sync!$D$14),"&lt;"&amp;($E$6+1),INDEX(Clay_Brands!$A$2:$FZ$601,0,Sync!$D$5),Config!$B$20,INDEX(Clay_Brands!$A$2:$FZ$601,0,Sync!$D$15),"maybe"),0)+IFERROR(COUNTIFS(INDEX(Clay_Brands!$A$2:$FZ$601,0,Sync!$D$10),A87,INDEX(Clay_Brands!$A$2:$FZ$601,0,Sync!$D$14),"&lt;"&amp;($E$6+1),INDEX(Clay_Brands!$A$2:$FZ$601,0,Sync!$D$5),Config!$B$20,INDEX(Clay_Brands!$A$2:$FZ$601,0,Sync!$D$15),"needs_approval"),0)+IFERROR(COUNTIFS(INDEX(Clay_Brands!$A$2:$FZ$601,0,Sync!$D$10),A87,INDEX(Clay_Brands!$A$2:$FZ$601,0,Sync!$D$14),"&lt;"&amp;($E$6+1),INDEX(Clay_Brands!$A$2:$FZ$601,0,Sync!$D$5),Config!$B$20,INDEX(Clay_Brands!$A$2:$FZ$601,0,Sync!$D$15),"send_info"),0)+IFERROR(COUNTIFS(INDEX(Clay_Brands!$A$2:$FZ$601,0,Sync!$D$10),A87,INDEX(Clay_Brands!$A$2:$FZ$601,0,Sync!$D$14),"&lt;"&amp;($E$6+1),INDEX(Clay_Brands!$A$2:$FZ$601,0,Sync!$D$5),Config!$B$20,INDEX(Clay_Brands!$A$2:$FZ$601,0,Sync!$D$15),"referral"),0)+IFERROR(COUNTIFS(INDEX(Clay_Brands!$A$2:$FZ$601,0,Sync!$D$10),A87,INDEX(Clay_Brands!$A$2:$FZ$601,0,Sync!$D$14),"&lt;"&amp;($E$6+1),INDEX(Clay_Brands!$A$2:$FZ$601,0,Sync!$D$5),Config!$B$20,INDEX(Clay_Brands!$A$2:$FZ$601,0,Sync!$D$15),"not_now"),0)+IFERROR(COUNTIFS(INDEX(Clay_Brands!$A$2:$FZ$601,0,Sync!$D$10),A87,INDEX(Clay_Brands!$A$2:$FZ$601,0,Sync!$D$14),"&lt;"&amp;($E$6+1),INDEX(Clay_Brands!$A$2:$FZ$601,0,Sync!$D$5),Config!$B$20,INDEX(Clay_Brands!$A$2:$FZ$601,0,Sync!$D$15),"obj_seed_ourselves"),0)+IFERROR(COUNTIFS(INDEX(Clay_Brands!$A$2:$FZ$601,0,Sync!$D$10),A87,INDEX(Clay_Brands!$A$2:$FZ$601,0,Sync!$D$14),"&lt;"&amp;($E$6+1),INDEX(Clay_Brands!$A$2:$FZ$601,0,Sync!$D$5),Config!$B$20,INDEX(Clay_Brands!$A$2:$FZ$601,0,Sync!$D$15),"obj_price"),0)+IFERROR(COUNTIFS(INDEX(Clay_Brands!$A$2:$FZ$601,0,Sync!$D$10),A87,INDEX(Clay_Brands!$A$2:$FZ$601,0,Sync!$D$14),"&lt;"&amp;($E$6+1),INDEX(Clay_Brands!$A$2:$FZ$601,0,Sync!$D$5),Config!$B$20,INDEX(Clay_Brands!$A$2:$FZ$601,0,Sync!$D$15),"obj_free_trial"),0)+IFERROR(COUNTIFS(INDEX(Clay_Brands!$A$2:$FZ$601,0,Sync!$D$10),A87,INDEX(Clay_Brands!$A$2:$FZ$601,0,Sync!$D$14),"&lt;"&amp;($E$6+1),INDEX(Clay_Brands!$A$2:$FZ$601,0,Sync!$D$5),Config!$B$20,INDEX(Clay_Brands!$A$2:$FZ$601,0,Sync!$D$15),"obj_what_we_get"),0)+IFERROR(COUNTIFS(INDEX(Clay_Brands!$A$2:$FZ$601,0,Sync!$D$10),A87,INDEX(Clay_Brands!$A$2:$FZ$601,0,Sync!$D$14),"&lt;"&amp;($E$6+1),INDEX(Clay_Brands!$A$2:$FZ$601,0,Sync!$D$5),Config!$B$20,INDEX(Clay_Brands!$A$2:$FZ$601,0,Sync!$D$15),"obj_other"),0)</f>
        <v>13</v>
      </c>
    </row>
    <row r="88" customFormat="false" ht="15" hidden="false" customHeight="false" outlineLevel="0" collapsed="false">
      <c r="A88" s="14" t="s">
        <v>204</v>
      </c>
      <c r="B88" s="16" t="s">
        <v>202</v>
      </c>
      <c r="C88" s="29" t="n">
        <f aca="false">IFERROR(COUNTIFS(INDEX(Clay_Brands!$A$2:$FZ$601,0,Sync!$D$10),A88,INDEX(Clay_Brands!$A$2:$FZ$601,0,Sync!$D$11),"&lt;"&amp;($E$6+1),INDEX(Clay_Brands!$A$2:$FZ$601,0,Sync!$D$5),Config!$B$20),0)</f>
        <v>0</v>
      </c>
      <c r="D88" s="29" t="n">
        <f aca="false">IFERROR(COUNTIFS(INDEX(Clay_Brands!$A$2:$FZ$601,0,Sync!$D$10),A88,INDEX(Clay_Brands!$A$2:$FZ$601,0,Sync!$D$14),"&lt;"&amp;($E$6+1),INDEX(Clay_Brands!$A$2:$FZ$601,0,Sync!$D$5),Config!$B$20,INDEX(Clay_Brands!$A$2:$FZ$601,0,Sync!$D$15),"&lt;&gt;bounce",INDEX(Clay_Brands!$A$2:$FZ$601,0,Sync!$D$15),"&lt;&gt;out_of_office"),0)</f>
        <v>0</v>
      </c>
      <c r="E88" s="30" t="str">
        <f aca="false">IF(C88=0,"",D88/C88)</f>
        <v/>
      </c>
      <c r="F88" s="16"/>
      <c r="G88" s="31" t="n">
        <f aca="false">IFERROR(COUNTIFS(INDEX(Clay_Brands!$A$2:$FZ$601,0,Sync!$D$10),A88,INDEX(Clay_Brands!$A$2:$FZ$601,0,Sync!$D$14),"&lt;"&amp;($E$6+1),INDEX(Clay_Brands!$A$2:$FZ$601,0,Sync!$D$5),Config!$B$20,INDEX(Clay_Brands!$A$2:$FZ$601,0,Sync!$D$15),"yes"),0)+IFERROR(COUNTIFS(INDEX(Clay_Brands!$A$2:$FZ$601,0,Sync!$D$10),A88,INDEX(Clay_Brands!$A$2:$FZ$601,0,Sync!$D$14),"&lt;"&amp;($E$6+1),INDEX(Clay_Brands!$A$2:$FZ$601,0,Sync!$D$5),Config!$B$20,INDEX(Clay_Brands!$A$2:$FZ$601,0,Sync!$D$15),"maybe"),0)+IFERROR(COUNTIFS(INDEX(Clay_Brands!$A$2:$FZ$601,0,Sync!$D$10),A88,INDEX(Clay_Brands!$A$2:$FZ$601,0,Sync!$D$14),"&lt;"&amp;($E$6+1),INDEX(Clay_Brands!$A$2:$FZ$601,0,Sync!$D$5),Config!$B$20,INDEX(Clay_Brands!$A$2:$FZ$601,0,Sync!$D$15),"needs_approval"),0)+IFERROR(COUNTIFS(INDEX(Clay_Brands!$A$2:$FZ$601,0,Sync!$D$10),A88,INDEX(Clay_Brands!$A$2:$FZ$601,0,Sync!$D$14),"&lt;"&amp;($E$6+1),INDEX(Clay_Brands!$A$2:$FZ$601,0,Sync!$D$5),Config!$B$20,INDEX(Clay_Brands!$A$2:$FZ$601,0,Sync!$D$15),"send_info"),0)+IFERROR(COUNTIFS(INDEX(Clay_Brands!$A$2:$FZ$601,0,Sync!$D$10),A88,INDEX(Clay_Brands!$A$2:$FZ$601,0,Sync!$D$14),"&lt;"&amp;($E$6+1),INDEX(Clay_Brands!$A$2:$FZ$601,0,Sync!$D$5),Config!$B$20,INDEX(Clay_Brands!$A$2:$FZ$601,0,Sync!$D$15),"referral"),0)+IFERROR(COUNTIFS(INDEX(Clay_Brands!$A$2:$FZ$601,0,Sync!$D$10),A88,INDEX(Clay_Brands!$A$2:$FZ$601,0,Sync!$D$14),"&lt;"&amp;($E$6+1),INDEX(Clay_Brands!$A$2:$FZ$601,0,Sync!$D$5),Config!$B$20,INDEX(Clay_Brands!$A$2:$FZ$601,0,Sync!$D$15),"not_now"),0)+IFERROR(COUNTIFS(INDEX(Clay_Brands!$A$2:$FZ$601,0,Sync!$D$10),A88,INDEX(Clay_Brands!$A$2:$FZ$601,0,Sync!$D$14),"&lt;"&amp;($E$6+1),INDEX(Clay_Brands!$A$2:$FZ$601,0,Sync!$D$5),Config!$B$20,INDEX(Clay_Brands!$A$2:$FZ$601,0,Sync!$D$15),"obj_seed_ourselves"),0)+IFERROR(COUNTIFS(INDEX(Clay_Brands!$A$2:$FZ$601,0,Sync!$D$10),A88,INDEX(Clay_Brands!$A$2:$FZ$601,0,Sync!$D$14),"&lt;"&amp;($E$6+1),INDEX(Clay_Brands!$A$2:$FZ$601,0,Sync!$D$5),Config!$B$20,INDEX(Clay_Brands!$A$2:$FZ$601,0,Sync!$D$15),"obj_price"),0)+IFERROR(COUNTIFS(INDEX(Clay_Brands!$A$2:$FZ$601,0,Sync!$D$10),A88,INDEX(Clay_Brands!$A$2:$FZ$601,0,Sync!$D$14),"&lt;"&amp;($E$6+1),INDEX(Clay_Brands!$A$2:$FZ$601,0,Sync!$D$5),Config!$B$20,INDEX(Clay_Brands!$A$2:$FZ$601,0,Sync!$D$15),"obj_free_trial"),0)+IFERROR(COUNTIFS(INDEX(Clay_Brands!$A$2:$FZ$601,0,Sync!$D$10),A88,INDEX(Clay_Brands!$A$2:$FZ$601,0,Sync!$D$14),"&lt;"&amp;($E$6+1),INDEX(Clay_Brands!$A$2:$FZ$601,0,Sync!$D$5),Config!$B$20,INDEX(Clay_Brands!$A$2:$FZ$601,0,Sync!$D$15),"obj_what_we_get"),0)+IFERROR(COUNTIFS(INDEX(Clay_Brands!$A$2:$FZ$601,0,Sync!$D$10),A88,INDEX(Clay_Brands!$A$2:$FZ$601,0,Sync!$D$14),"&lt;"&amp;($E$6+1),INDEX(Clay_Brands!$A$2:$FZ$601,0,Sync!$D$5),Config!$B$20,INDEX(Clay_Brands!$A$2:$FZ$601,0,Sync!$D$15),"obj_other"),0)</f>
        <v>0</v>
      </c>
    </row>
    <row r="89" customFormat="false" ht="15" hidden="false" customHeight="false" outlineLevel="0" collapsed="false">
      <c r="A89" s="14" t="s">
        <v>205</v>
      </c>
      <c r="B89" s="16" t="s">
        <v>202</v>
      </c>
      <c r="C89" s="29" t="n">
        <f aca="false">IFERROR(COUNTIFS(INDEX(Clay_Brands!$A$2:$FZ$601,0,Sync!$D$10),A89,INDEX(Clay_Brands!$A$2:$FZ$601,0,Sync!$D$11),"&lt;"&amp;($E$6+1),INDEX(Clay_Brands!$A$2:$FZ$601,0,Sync!$D$5),Config!$B$20),0)</f>
        <v>0</v>
      </c>
      <c r="D89" s="29" t="n">
        <f aca="false">IFERROR(COUNTIFS(INDEX(Clay_Brands!$A$2:$FZ$601,0,Sync!$D$10),A89,INDEX(Clay_Brands!$A$2:$FZ$601,0,Sync!$D$14),"&lt;"&amp;($E$6+1),INDEX(Clay_Brands!$A$2:$FZ$601,0,Sync!$D$5),Config!$B$20,INDEX(Clay_Brands!$A$2:$FZ$601,0,Sync!$D$15),"&lt;&gt;bounce",INDEX(Clay_Brands!$A$2:$FZ$601,0,Sync!$D$15),"&lt;&gt;out_of_office"),0)</f>
        <v>0</v>
      </c>
      <c r="E89" s="30" t="str">
        <f aca="false">IF(C89=0,"",D89/C89)</f>
        <v/>
      </c>
      <c r="F89" s="16"/>
      <c r="G89" s="31" t="n">
        <f aca="false">IFERROR(COUNTIFS(INDEX(Clay_Brands!$A$2:$FZ$601,0,Sync!$D$10),A89,INDEX(Clay_Brands!$A$2:$FZ$601,0,Sync!$D$14),"&lt;"&amp;($E$6+1),INDEX(Clay_Brands!$A$2:$FZ$601,0,Sync!$D$5),Config!$B$20,INDEX(Clay_Brands!$A$2:$FZ$601,0,Sync!$D$15),"yes"),0)+IFERROR(COUNTIFS(INDEX(Clay_Brands!$A$2:$FZ$601,0,Sync!$D$10),A89,INDEX(Clay_Brands!$A$2:$FZ$601,0,Sync!$D$14),"&lt;"&amp;($E$6+1),INDEX(Clay_Brands!$A$2:$FZ$601,0,Sync!$D$5),Config!$B$20,INDEX(Clay_Brands!$A$2:$FZ$601,0,Sync!$D$15),"maybe"),0)+IFERROR(COUNTIFS(INDEX(Clay_Brands!$A$2:$FZ$601,0,Sync!$D$10),A89,INDEX(Clay_Brands!$A$2:$FZ$601,0,Sync!$D$14),"&lt;"&amp;($E$6+1),INDEX(Clay_Brands!$A$2:$FZ$601,0,Sync!$D$5),Config!$B$20,INDEX(Clay_Brands!$A$2:$FZ$601,0,Sync!$D$15),"needs_approval"),0)+IFERROR(COUNTIFS(INDEX(Clay_Brands!$A$2:$FZ$601,0,Sync!$D$10),A89,INDEX(Clay_Brands!$A$2:$FZ$601,0,Sync!$D$14),"&lt;"&amp;($E$6+1),INDEX(Clay_Brands!$A$2:$FZ$601,0,Sync!$D$5),Config!$B$20,INDEX(Clay_Brands!$A$2:$FZ$601,0,Sync!$D$15),"send_info"),0)+IFERROR(COUNTIFS(INDEX(Clay_Brands!$A$2:$FZ$601,0,Sync!$D$10),A89,INDEX(Clay_Brands!$A$2:$FZ$601,0,Sync!$D$14),"&lt;"&amp;($E$6+1),INDEX(Clay_Brands!$A$2:$FZ$601,0,Sync!$D$5),Config!$B$20,INDEX(Clay_Brands!$A$2:$FZ$601,0,Sync!$D$15),"referral"),0)+IFERROR(COUNTIFS(INDEX(Clay_Brands!$A$2:$FZ$601,0,Sync!$D$10),A89,INDEX(Clay_Brands!$A$2:$FZ$601,0,Sync!$D$14),"&lt;"&amp;($E$6+1),INDEX(Clay_Brands!$A$2:$FZ$601,0,Sync!$D$5),Config!$B$20,INDEX(Clay_Brands!$A$2:$FZ$601,0,Sync!$D$15),"not_now"),0)+IFERROR(COUNTIFS(INDEX(Clay_Brands!$A$2:$FZ$601,0,Sync!$D$10),A89,INDEX(Clay_Brands!$A$2:$FZ$601,0,Sync!$D$14),"&lt;"&amp;($E$6+1),INDEX(Clay_Brands!$A$2:$FZ$601,0,Sync!$D$5),Config!$B$20,INDEX(Clay_Brands!$A$2:$FZ$601,0,Sync!$D$15),"obj_seed_ourselves"),0)+IFERROR(COUNTIFS(INDEX(Clay_Brands!$A$2:$FZ$601,0,Sync!$D$10),A89,INDEX(Clay_Brands!$A$2:$FZ$601,0,Sync!$D$14),"&lt;"&amp;($E$6+1),INDEX(Clay_Brands!$A$2:$FZ$601,0,Sync!$D$5),Config!$B$20,INDEX(Clay_Brands!$A$2:$FZ$601,0,Sync!$D$15),"obj_price"),0)+IFERROR(COUNTIFS(INDEX(Clay_Brands!$A$2:$FZ$601,0,Sync!$D$10),A89,INDEX(Clay_Brands!$A$2:$FZ$601,0,Sync!$D$14),"&lt;"&amp;($E$6+1),INDEX(Clay_Brands!$A$2:$FZ$601,0,Sync!$D$5),Config!$B$20,INDEX(Clay_Brands!$A$2:$FZ$601,0,Sync!$D$15),"obj_free_trial"),0)+IFERROR(COUNTIFS(INDEX(Clay_Brands!$A$2:$FZ$601,0,Sync!$D$10),A89,INDEX(Clay_Brands!$A$2:$FZ$601,0,Sync!$D$14),"&lt;"&amp;($E$6+1),INDEX(Clay_Brands!$A$2:$FZ$601,0,Sync!$D$5),Config!$B$20,INDEX(Clay_Brands!$A$2:$FZ$601,0,Sync!$D$15),"obj_what_we_get"),0)+IFERROR(COUNTIFS(INDEX(Clay_Brands!$A$2:$FZ$601,0,Sync!$D$10),A89,INDEX(Clay_Brands!$A$2:$FZ$601,0,Sync!$D$14),"&lt;"&amp;($E$6+1),INDEX(Clay_Brands!$A$2:$FZ$601,0,Sync!$D$5),Config!$B$20,INDEX(Clay_Brands!$A$2:$FZ$601,0,Sync!$D$15),"obj_other"),0)</f>
        <v>0</v>
      </c>
    </row>
    <row r="90" customFormat="false" ht="15" hidden="false" customHeight="false" outlineLevel="0" collapsed="false">
      <c r="A90" s="14" t="s">
        <v>206</v>
      </c>
      <c r="B90" s="16" t="s">
        <v>197</v>
      </c>
      <c r="C90" s="29" t="n">
        <f aca="false">IFERROR(COUNTIFS(INDEX(Clay_Offices!$A$2:$FZ$601,0,Sync!$C$10),A90,INDEX(Clay_Offices!$A$2:$FZ$601,0,Sync!$C$11),"&lt;"&amp;($E$6+1),INDEX(Clay_Offices!$A$2:$FZ$601,0,Sync!$C$5),Config!$B$20),0)</f>
        <v>0</v>
      </c>
      <c r="D90" s="29" t="n">
        <f aca="false">IFERROR(COUNTIFS(INDEX(Clay_Offices!$A$2:$FZ$601,0,Sync!$C$10),A90,INDEX(Clay_Offices!$A$2:$FZ$601,0,Sync!$C$14),"&lt;"&amp;($E$6+1),INDEX(Clay_Offices!$A$2:$FZ$601,0,Sync!$C$5),Config!$B$20,INDEX(Clay_Offices!$A$2:$FZ$601,0,Sync!$C$15),"&lt;&gt;bounce",INDEX(Clay_Offices!$A$2:$FZ$601,0,Sync!$C$15),"&lt;&gt;out_of_office"),0)</f>
        <v>0</v>
      </c>
      <c r="E90" s="30" t="str">
        <f aca="false">IF(C90=0,"",D90/C90)</f>
        <v/>
      </c>
      <c r="F90" s="16"/>
      <c r="G90" s="31" t="n">
        <f aca="false">IFERROR(COUNTIFS(INDEX(Clay_Offices!$A$2:$FZ$601,0,Sync!$C$10),A90,INDEX(Clay_Offices!$A$2:$FZ$601,0,Sync!$C$14),"&lt;"&amp;($E$6+1),INDEX(Clay_Offices!$A$2:$FZ$601,0,Sync!$C$5),Config!$B$20,INDEX(Clay_Offices!$A$2:$FZ$601,0,Sync!$C$15),"yes"),0)+IFERROR(COUNTIFS(INDEX(Clay_Offices!$A$2:$FZ$601,0,Sync!$C$10),A90,INDEX(Clay_Offices!$A$2:$FZ$601,0,Sync!$C$14),"&lt;"&amp;($E$6+1),INDEX(Clay_Offices!$A$2:$FZ$601,0,Sync!$C$5),Config!$B$20,INDEX(Clay_Offices!$A$2:$FZ$601,0,Sync!$C$15),"maybe"),0)+IFERROR(COUNTIFS(INDEX(Clay_Offices!$A$2:$FZ$601,0,Sync!$C$10),A90,INDEX(Clay_Offices!$A$2:$FZ$601,0,Sync!$C$14),"&lt;"&amp;($E$6+1),INDEX(Clay_Offices!$A$2:$FZ$601,0,Sync!$C$5),Config!$B$20,INDEX(Clay_Offices!$A$2:$FZ$601,0,Sync!$C$15),"needs_approval"),0)+IFERROR(COUNTIFS(INDEX(Clay_Offices!$A$2:$FZ$601,0,Sync!$C$10),A90,INDEX(Clay_Offices!$A$2:$FZ$601,0,Sync!$C$14),"&lt;"&amp;($E$6+1),INDEX(Clay_Offices!$A$2:$FZ$601,0,Sync!$C$5),Config!$B$20,INDEX(Clay_Offices!$A$2:$FZ$601,0,Sync!$C$15),"send_info"),0)+IFERROR(COUNTIFS(INDEX(Clay_Offices!$A$2:$FZ$601,0,Sync!$C$10),A90,INDEX(Clay_Offices!$A$2:$FZ$601,0,Sync!$C$14),"&lt;"&amp;($E$6+1),INDEX(Clay_Offices!$A$2:$FZ$601,0,Sync!$C$5),Config!$B$20,INDEX(Clay_Offices!$A$2:$FZ$601,0,Sync!$C$15),"referral"),0)+IFERROR(COUNTIFS(INDEX(Clay_Offices!$A$2:$FZ$601,0,Sync!$C$10),A90,INDEX(Clay_Offices!$A$2:$FZ$601,0,Sync!$C$14),"&lt;"&amp;($E$6+1),INDEX(Clay_Offices!$A$2:$FZ$601,0,Sync!$C$5),Config!$B$20,INDEX(Clay_Offices!$A$2:$FZ$601,0,Sync!$C$15),"not_now"),0)+IFERROR(COUNTIFS(INDEX(Clay_Offices!$A$2:$FZ$601,0,Sync!$C$10),A90,INDEX(Clay_Offices!$A$2:$FZ$601,0,Sync!$C$14),"&lt;"&amp;($E$6+1),INDEX(Clay_Offices!$A$2:$FZ$601,0,Sync!$C$5),Config!$B$20,INDEX(Clay_Offices!$A$2:$FZ$601,0,Sync!$C$15),"obj_seed_ourselves"),0)+IFERROR(COUNTIFS(INDEX(Clay_Offices!$A$2:$FZ$601,0,Sync!$C$10),A90,INDEX(Clay_Offices!$A$2:$FZ$601,0,Sync!$C$14),"&lt;"&amp;($E$6+1),INDEX(Clay_Offices!$A$2:$FZ$601,0,Sync!$C$5),Config!$B$20,INDEX(Clay_Offices!$A$2:$FZ$601,0,Sync!$C$15),"obj_price"),0)+IFERROR(COUNTIFS(INDEX(Clay_Offices!$A$2:$FZ$601,0,Sync!$C$10),A90,INDEX(Clay_Offices!$A$2:$FZ$601,0,Sync!$C$14),"&lt;"&amp;($E$6+1),INDEX(Clay_Offices!$A$2:$FZ$601,0,Sync!$C$5),Config!$B$20,INDEX(Clay_Offices!$A$2:$FZ$601,0,Sync!$C$15),"obj_free_trial"),0)+IFERROR(COUNTIFS(INDEX(Clay_Offices!$A$2:$FZ$601,0,Sync!$C$10),A90,INDEX(Clay_Offices!$A$2:$FZ$601,0,Sync!$C$14),"&lt;"&amp;($E$6+1),INDEX(Clay_Offices!$A$2:$FZ$601,0,Sync!$C$5),Config!$B$20,INDEX(Clay_Offices!$A$2:$FZ$601,0,Sync!$C$15),"obj_what_we_get"),0)+IFERROR(COUNTIFS(INDEX(Clay_Offices!$A$2:$FZ$601,0,Sync!$C$10),A90,INDEX(Clay_Offices!$A$2:$FZ$601,0,Sync!$C$14),"&lt;"&amp;($E$6+1),INDEX(Clay_Offices!$A$2:$FZ$601,0,Sync!$C$5),Config!$B$20,INDEX(Clay_Offices!$A$2:$FZ$601,0,Sync!$C$15),"obj_other"),0)</f>
        <v>0</v>
      </c>
    </row>
    <row r="91" customFormat="false" ht="15" hidden="false" customHeight="false" outlineLevel="0" collapsed="false">
      <c r="A91" s="14" t="s">
        <v>207</v>
      </c>
      <c r="B91" s="16" t="s">
        <v>202</v>
      </c>
      <c r="C91" s="29" t="n">
        <f aca="false">IFERROR(COUNTIFS(INDEX(Clay_Brands!$A$2:$FZ$601,0,Sync!$D$10),A91,INDEX(Clay_Brands!$A$2:$FZ$601,0,Sync!$D$11),"&lt;"&amp;($E$6+1),INDEX(Clay_Brands!$A$2:$FZ$601,0,Sync!$D$5),Config!$B$20),0)</f>
        <v>0</v>
      </c>
      <c r="D91" s="29" t="n">
        <f aca="false">IFERROR(COUNTIFS(INDEX(Clay_Brands!$A$2:$FZ$601,0,Sync!$D$10),A91,INDEX(Clay_Brands!$A$2:$FZ$601,0,Sync!$D$14),"&lt;"&amp;($E$6+1),INDEX(Clay_Brands!$A$2:$FZ$601,0,Sync!$D$5),Config!$B$20,INDEX(Clay_Brands!$A$2:$FZ$601,0,Sync!$D$15),"&lt;&gt;bounce",INDEX(Clay_Brands!$A$2:$FZ$601,0,Sync!$D$15),"&lt;&gt;out_of_office"),0)</f>
        <v>0</v>
      </c>
      <c r="E91" s="30" t="str">
        <f aca="false">IF(C91=0,"",D91/C91)</f>
        <v/>
      </c>
      <c r="F91" s="16"/>
      <c r="G91" s="31" t="n">
        <f aca="false">IFERROR(COUNTIFS(INDEX(Clay_Brands!$A$2:$FZ$601,0,Sync!$D$10),A91,INDEX(Clay_Brands!$A$2:$FZ$601,0,Sync!$D$14),"&lt;"&amp;($E$6+1),INDEX(Clay_Brands!$A$2:$FZ$601,0,Sync!$D$5),Config!$B$20,INDEX(Clay_Brands!$A$2:$FZ$601,0,Sync!$D$15),"yes"),0)+IFERROR(COUNTIFS(INDEX(Clay_Brands!$A$2:$FZ$601,0,Sync!$D$10),A91,INDEX(Clay_Brands!$A$2:$FZ$601,0,Sync!$D$14),"&lt;"&amp;($E$6+1),INDEX(Clay_Brands!$A$2:$FZ$601,0,Sync!$D$5),Config!$B$20,INDEX(Clay_Brands!$A$2:$FZ$601,0,Sync!$D$15),"maybe"),0)+IFERROR(COUNTIFS(INDEX(Clay_Brands!$A$2:$FZ$601,0,Sync!$D$10),A91,INDEX(Clay_Brands!$A$2:$FZ$601,0,Sync!$D$14),"&lt;"&amp;($E$6+1),INDEX(Clay_Brands!$A$2:$FZ$601,0,Sync!$D$5),Config!$B$20,INDEX(Clay_Brands!$A$2:$FZ$601,0,Sync!$D$15),"needs_approval"),0)+IFERROR(COUNTIFS(INDEX(Clay_Brands!$A$2:$FZ$601,0,Sync!$D$10),A91,INDEX(Clay_Brands!$A$2:$FZ$601,0,Sync!$D$14),"&lt;"&amp;($E$6+1),INDEX(Clay_Brands!$A$2:$FZ$601,0,Sync!$D$5),Config!$B$20,INDEX(Clay_Brands!$A$2:$FZ$601,0,Sync!$D$15),"send_info"),0)+IFERROR(COUNTIFS(INDEX(Clay_Brands!$A$2:$FZ$601,0,Sync!$D$10),A91,INDEX(Clay_Brands!$A$2:$FZ$601,0,Sync!$D$14),"&lt;"&amp;($E$6+1),INDEX(Clay_Brands!$A$2:$FZ$601,0,Sync!$D$5),Config!$B$20,INDEX(Clay_Brands!$A$2:$FZ$601,0,Sync!$D$15),"referral"),0)+IFERROR(COUNTIFS(INDEX(Clay_Brands!$A$2:$FZ$601,0,Sync!$D$10),A91,INDEX(Clay_Brands!$A$2:$FZ$601,0,Sync!$D$14),"&lt;"&amp;($E$6+1),INDEX(Clay_Brands!$A$2:$FZ$601,0,Sync!$D$5),Config!$B$20,INDEX(Clay_Brands!$A$2:$FZ$601,0,Sync!$D$15),"not_now"),0)+IFERROR(COUNTIFS(INDEX(Clay_Brands!$A$2:$FZ$601,0,Sync!$D$10),A91,INDEX(Clay_Brands!$A$2:$FZ$601,0,Sync!$D$14),"&lt;"&amp;($E$6+1),INDEX(Clay_Brands!$A$2:$FZ$601,0,Sync!$D$5),Config!$B$20,INDEX(Clay_Brands!$A$2:$FZ$601,0,Sync!$D$15),"obj_seed_ourselves"),0)+IFERROR(COUNTIFS(INDEX(Clay_Brands!$A$2:$FZ$601,0,Sync!$D$10),A91,INDEX(Clay_Brands!$A$2:$FZ$601,0,Sync!$D$14),"&lt;"&amp;($E$6+1),INDEX(Clay_Brands!$A$2:$FZ$601,0,Sync!$D$5),Config!$B$20,INDEX(Clay_Brands!$A$2:$FZ$601,0,Sync!$D$15),"obj_price"),0)+IFERROR(COUNTIFS(INDEX(Clay_Brands!$A$2:$FZ$601,0,Sync!$D$10),A91,INDEX(Clay_Brands!$A$2:$FZ$601,0,Sync!$D$14),"&lt;"&amp;($E$6+1),INDEX(Clay_Brands!$A$2:$FZ$601,0,Sync!$D$5),Config!$B$20,INDEX(Clay_Brands!$A$2:$FZ$601,0,Sync!$D$15),"obj_free_trial"),0)+IFERROR(COUNTIFS(INDEX(Clay_Brands!$A$2:$FZ$601,0,Sync!$D$10),A91,INDEX(Clay_Brands!$A$2:$FZ$601,0,Sync!$D$14),"&lt;"&amp;($E$6+1),INDEX(Clay_Brands!$A$2:$FZ$601,0,Sync!$D$5),Config!$B$20,INDEX(Clay_Brands!$A$2:$FZ$601,0,Sync!$D$15),"obj_what_we_get"),0)+IFERROR(COUNTIFS(INDEX(Clay_Brands!$A$2:$FZ$601,0,Sync!$D$10),A91,INDEX(Clay_Brands!$A$2:$FZ$601,0,Sync!$D$14),"&lt;"&amp;($E$6+1),INDEX(Clay_Brands!$A$2:$FZ$601,0,Sync!$D$5),Config!$B$20,INDEX(Clay_Brands!$A$2:$FZ$601,0,Sync!$D$15),"obj_other"),0)</f>
        <v>0</v>
      </c>
    </row>
    <row r="92" customFormat="false" ht="15" hidden="false" customHeight="false" outlineLevel="0" collapsed="false">
      <c r="A92" s="14" t="s">
        <v>208</v>
      </c>
      <c r="B92" s="16" t="s">
        <v>197</v>
      </c>
      <c r="C92" s="29" t="n">
        <f aca="false">IFERROR(COUNTIFS(INDEX(Clay_Offices!$A$2:$FZ$601,0,Sync!$C$9),"email",INDEX(Clay_Offices!$A$2:$FZ$601,0,Sync!$C$11),"&lt;"&amp;($E$6+1),INDEX(Clay_Offices!$A$2:$FZ$601,0,Sync!$C$5),Config!$B$20),0)</f>
        <v>9</v>
      </c>
      <c r="D92" s="29" t="n">
        <f aca="false">IFERROR(COUNTIFS(INDEX(Clay_Offices!$A$2:$FZ$601,0,Sync!$C$9),"email",INDEX(Clay_Offices!$A$2:$FZ$601,0,Sync!$C$14),"&lt;"&amp;($E$6+1),INDEX(Clay_Offices!$A$2:$FZ$601,0,Sync!$C$5),Config!$B$20,INDEX(Clay_Offices!$A$2:$FZ$601,0,Sync!$C$15),"&lt;&gt;bounce",INDEX(Clay_Offices!$A$2:$FZ$601,0,Sync!$C$15),"&lt;&gt;out_of_office"),0)</f>
        <v>2</v>
      </c>
      <c r="E92" s="30" t="n">
        <f aca="false">IF(C92=0,"",D92/C92)</f>
        <v>0.222222222222222</v>
      </c>
      <c r="F92" s="16"/>
      <c r="G92" s="31" t="n">
        <f aca="false">IFERROR(COUNTIFS(INDEX(Clay_Offices!$A$2:$FZ$601,0,Sync!$C$9),"email",INDEX(Clay_Offices!$A$2:$FZ$601,0,Sync!$C$14),"&lt;"&amp;($E$6+1),INDEX(Clay_Offices!$A$2:$FZ$601,0,Sync!$C$5),Config!$B$20,INDEX(Clay_Offices!$A$2:$FZ$601,0,Sync!$C$15),"yes"),0)+IFERROR(COUNTIFS(INDEX(Clay_Offices!$A$2:$FZ$601,0,Sync!$C$9),"email",INDEX(Clay_Offices!$A$2:$FZ$601,0,Sync!$C$14),"&lt;"&amp;($E$6+1),INDEX(Clay_Offices!$A$2:$FZ$601,0,Sync!$C$5),Config!$B$20,INDEX(Clay_Offices!$A$2:$FZ$601,0,Sync!$C$15),"maybe"),0)+IFERROR(COUNTIFS(INDEX(Clay_Offices!$A$2:$FZ$601,0,Sync!$C$9),"email",INDEX(Clay_Offices!$A$2:$FZ$601,0,Sync!$C$14),"&lt;"&amp;($E$6+1),INDEX(Clay_Offices!$A$2:$FZ$601,0,Sync!$C$5),Config!$B$20,INDEX(Clay_Offices!$A$2:$FZ$601,0,Sync!$C$15),"needs_approval"),0)+IFERROR(COUNTIFS(INDEX(Clay_Offices!$A$2:$FZ$601,0,Sync!$C$9),"email",INDEX(Clay_Offices!$A$2:$FZ$601,0,Sync!$C$14),"&lt;"&amp;($E$6+1),INDEX(Clay_Offices!$A$2:$FZ$601,0,Sync!$C$5),Config!$B$20,INDEX(Clay_Offices!$A$2:$FZ$601,0,Sync!$C$15),"send_info"),0)+IFERROR(COUNTIFS(INDEX(Clay_Offices!$A$2:$FZ$601,0,Sync!$C$9),"email",INDEX(Clay_Offices!$A$2:$FZ$601,0,Sync!$C$14),"&lt;"&amp;($E$6+1),INDEX(Clay_Offices!$A$2:$FZ$601,0,Sync!$C$5),Config!$B$20,INDEX(Clay_Offices!$A$2:$FZ$601,0,Sync!$C$15),"referral"),0)+IFERROR(COUNTIFS(INDEX(Clay_Offices!$A$2:$FZ$601,0,Sync!$C$9),"email",INDEX(Clay_Offices!$A$2:$FZ$601,0,Sync!$C$14),"&lt;"&amp;($E$6+1),INDEX(Clay_Offices!$A$2:$FZ$601,0,Sync!$C$5),Config!$B$20,INDEX(Clay_Offices!$A$2:$FZ$601,0,Sync!$C$15),"not_now"),0)+IFERROR(COUNTIFS(INDEX(Clay_Offices!$A$2:$FZ$601,0,Sync!$C$9),"email",INDEX(Clay_Offices!$A$2:$FZ$601,0,Sync!$C$14),"&lt;"&amp;($E$6+1),INDEX(Clay_Offices!$A$2:$FZ$601,0,Sync!$C$5),Config!$B$20,INDEX(Clay_Offices!$A$2:$FZ$601,0,Sync!$C$15),"obj_seed_ourselves"),0)+IFERROR(COUNTIFS(INDEX(Clay_Offices!$A$2:$FZ$601,0,Sync!$C$9),"email",INDEX(Clay_Offices!$A$2:$FZ$601,0,Sync!$C$14),"&lt;"&amp;($E$6+1),INDEX(Clay_Offices!$A$2:$FZ$601,0,Sync!$C$5),Config!$B$20,INDEX(Clay_Offices!$A$2:$FZ$601,0,Sync!$C$15),"obj_price"),0)+IFERROR(COUNTIFS(INDEX(Clay_Offices!$A$2:$FZ$601,0,Sync!$C$9),"email",INDEX(Clay_Offices!$A$2:$FZ$601,0,Sync!$C$14),"&lt;"&amp;($E$6+1),INDEX(Clay_Offices!$A$2:$FZ$601,0,Sync!$C$5),Config!$B$20,INDEX(Clay_Offices!$A$2:$FZ$601,0,Sync!$C$15),"obj_free_trial"),0)+IFERROR(COUNTIFS(INDEX(Clay_Offices!$A$2:$FZ$601,0,Sync!$C$9),"email",INDEX(Clay_Offices!$A$2:$FZ$601,0,Sync!$C$14),"&lt;"&amp;($E$6+1),INDEX(Clay_Offices!$A$2:$FZ$601,0,Sync!$C$5),Config!$B$20,INDEX(Clay_Offices!$A$2:$FZ$601,0,Sync!$C$15),"obj_what_we_get"),0)+IFERROR(COUNTIFS(INDEX(Clay_Offices!$A$2:$FZ$601,0,Sync!$C$9),"email",INDEX(Clay_Offices!$A$2:$FZ$601,0,Sync!$C$14),"&lt;"&amp;($E$6+1),INDEX(Clay_Offices!$A$2:$FZ$601,0,Sync!$C$5),Config!$B$20,INDEX(Clay_Offices!$A$2:$FZ$601,0,Sync!$C$15),"obj_other"),0)</f>
        <v>1</v>
      </c>
    </row>
    <row r="93" customFormat="false" ht="15" hidden="false" customHeight="false" outlineLevel="0" collapsed="false">
      <c r="A93" s="14" t="s">
        <v>208</v>
      </c>
      <c r="B93" s="16" t="s">
        <v>202</v>
      </c>
      <c r="C93" s="29" t="n">
        <f aca="false">IFERROR(COUNTIFS(INDEX(Clay_Brands!$A$2:$FZ$601,0,Sync!$D$9),"email",INDEX(Clay_Brands!$A$2:$FZ$601,0,Sync!$D$11),"&lt;"&amp;($E$6+1),INDEX(Clay_Brands!$A$2:$FZ$601,0,Sync!$D$5),Config!$B$20),0)</f>
        <v>10</v>
      </c>
      <c r="D93" s="29" t="n">
        <f aca="false">IFERROR(COUNTIFS(INDEX(Clay_Brands!$A$2:$FZ$601,0,Sync!$D$9),"email",INDEX(Clay_Brands!$A$2:$FZ$601,0,Sync!$D$14),"&lt;"&amp;($E$6+1),INDEX(Clay_Brands!$A$2:$FZ$601,0,Sync!$D$5),Config!$B$20,INDEX(Clay_Brands!$A$2:$FZ$601,0,Sync!$D$15),"&lt;&gt;bounce",INDEX(Clay_Brands!$A$2:$FZ$601,0,Sync!$D$15),"&lt;&gt;out_of_office"),0)</f>
        <v>3</v>
      </c>
      <c r="E93" s="30" t="n">
        <f aca="false">IF(C93=0,"",D93/C93)</f>
        <v>0.3</v>
      </c>
      <c r="F93" s="16"/>
      <c r="G93" s="31" t="n">
        <f aca="false">IFERROR(COUNTIFS(INDEX(Clay_Brands!$A$2:$FZ$601,0,Sync!$D$9),"email",INDEX(Clay_Brands!$A$2:$FZ$601,0,Sync!$D$14),"&lt;"&amp;($E$6+1),INDEX(Clay_Brands!$A$2:$FZ$601,0,Sync!$D$5),Config!$B$20,INDEX(Clay_Brands!$A$2:$FZ$601,0,Sync!$D$15),"yes"),0)+IFERROR(COUNTIFS(INDEX(Clay_Brands!$A$2:$FZ$601,0,Sync!$D$9),"email",INDEX(Clay_Brands!$A$2:$FZ$601,0,Sync!$D$14),"&lt;"&amp;($E$6+1),INDEX(Clay_Brands!$A$2:$FZ$601,0,Sync!$D$5),Config!$B$20,INDEX(Clay_Brands!$A$2:$FZ$601,0,Sync!$D$15),"maybe"),0)+IFERROR(COUNTIFS(INDEX(Clay_Brands!$A$2:$FZ$601,0,Sync!$D$9),"email",INDEX(Clay_Brands!$A$2:$FZ$601,0,Sync!$D$14),"&lt;"&amp;($E$6+1),INDEX(Clay_Brands!$A$2:$FZ$601,0,Sync!$D$5),Config!$B$20,INDEX(Clay_Brands!$A$2:$FZ$601,0,Sync!$D$15),"needs_approval"),0)+IFERROR(COUNTIFS(INDEX(Clay_Brands!$A$2:$FZ$601,0,Sync!$D$9),"email",INDEX(Clay_Brands!$A$2:$FZ$601,0,Sync!$D$14),"&lt;"&amp;($E$6+1),INDEX(Clay_Brands!$A$2:$FZ$601,0,Sync!$D$5),Config!$B$20,INDEX(Clay_Brands!$A$2:$FZ$601,0,Sync!$D$15),"send_info"),0)+IFERROR(COUNTIFS(INDEX(Clay_Brands!$A$2:$FZ$601,0,Sync!$D$9),"email",INDEX(Clay_Brands!$A$2:$FZ$601,0,Sync!$D$14),"&lt;"&amp;($E$6+1),INDEX(Clay_Brands!$A$2:$FZ$601,0,Sync!$D$5),Config!$B$20,INDEX(Clay_Brands!$A$2:$FZ$601,0,Sync!$D$15),"referral"),0)+IFERROR(COUNTIFS(INDEX(Clay_Brands!$A$2:$FZ$601,0,Sync!$D$9),"email",INDEX(Clay_Brands!$A$2:$FZ$601,0,Sync!$D$14),"&lt;"&amp;($E$6+1),INDEX(Clay_Brands!$A$2:$FZ$601,0,Sync!$D$5),Config!$B$20,INDEX(Clay_Brands!$A$2:$FZ$601,0,Sync!$D$15),"not_now"),0)+IFERROR(COUNTIFS(INDEX(Clay_Brands!$A$2:$FZ$601,0,Sync!$D$9),"email",INDEX(Clay_Brands!$A$2:$FZ$601,0,Sync!$D$14),"&lt;"&amp;($E$6+1),INDEX(Clay_Brands!$A$2:$FZ$601,0,Sync!$D$5),Config!$B$20,INDEX(Clay_Brands!$A$2:$FZ$601,0,Sync!$D$15),"obj_seed_ourselves"),0)+IFERROR(COUNTIFS(INDEX(Clay_Brands!$A$2:$FZ$601,0,Sync!$D$9),"email",INDEX(Clay_Brands!$A$2:$FZ$601,0,Sync!$D$14),"&lt;"&amp;($E$6+1),INDEX(Clay_Brands!$A$2:$FZ$601,0,Sync!$D$5),Config!$B$20,INDEX(Clay_Brands!$A$2:$FZ$601,0,Sync!$D$15),"obj_price"),0)+IFERROR(COUNTIFS(INDEX(Clay_Brands!$A$2:$FZ$601,0,Sync!$D$9),"email",INDEX(Clay_Brands!$A$2:$FZ$601,0,Sync!$D$14),"&lt;"&amp;($E$6+1),INDEX(Clay_Brands!$A$2:$FZ$601,0,Sync!$D$5),Config!$B$20,INDEX(Clay_Brands!$A$2:$FZ$601,0,Sync!$D$15),"obj_free_trial"),0)+IFERROR(COUNTIFS(INDEX(Clay_Brands!$A$2:$FZ$601,0,Sync!$D$9),"email",INDEX(Clay_Brands!$A$2:$FZ$601,0,Sync!$D$14),"&lt;"&amp;($E$6+1),INDEX(Clay_Brands!$A$2:$FZ$601,0,Sync!$D$5),Config!$B$20,INDEX(Clay_Brands!$A$2:$FZ$601,0,Sync!$D$15),"obj_what_we_get"),0)+IFERROR(COUNTIFS(INDEX(Clay_Brands!$A$2:$FZ$601,0,Sync!$D$9),"email",INDEX(Clay_Brands!$A$2:$FZ$601,0,Sync!$D$14),"&lt;"&amp;($E$6+1),INDEX(Clay_Brands!$A$2:$FZ$601,0,Sync!$D$5),Config!$B$20,INDEX(Clay_Brands!$A$2:$FZ$601,0,Sync!$D$15),"obj_other"),0)</f>
        <v>2</v>
      </c>
    </row>
    <row r="94" customFormat="false" ht="15" hidden="false" customHeight="false" outlineLevel="0" collapsed="false">
      <c r="A94" s="14" t="s">
        <v>209</v>
      </c>
      <c r="B94" s="16" t="s">
        <v>197</v>
      </c>
      <c r="C94" s="29" t="n">
        <f aca="false">IFERROR(COUNTIFS(INDEX(Clay_Offices!$A$2:$FZ$601,0,Sync!$C$9),"linkedin",INDEX(Clay_Offices!$A$2:$FZ$601,0,Sync!$C$11),"&lt;"&amp;($E$6+1),INDEX(Clay_Offices!$A$2:$FZ$601,0,Sync!$C$5),Config!$B$20),0)</f>
        <v>24</v>
      </c>
      <c r="D94" s="29" t="n">
        <f aca="false">IFERROR(COUNTIFS(INDEX(Clay_Offices!$A$2:$FZ$601,0,Sync!$C$9),"linkedin",INDEX(Clay_Offices!$A$2:$FZ$601,0,Sync!$C$14),"&lt;"&amp;($E$6+1),INDEX(Clay_Offices!$A$2:$FZ$601,0,Sync!$C$5),Config!$B$20,INDEX(Clay_Offices!$A$2:$FZ$601,0,Sync!$C$15),"&lt;&gt;bounce",INDEX(Clay_Offices!$A$2:$FZ$601,0,Sync!$C$15),"&lt;&gt;out_of_office"),0)</f>
        <v>16</v>
      </c>
      <c r="E94" s="30" t="n">
        <f aca="false">IF(C94=0,"",D94/C94)</f>
        <v>0.666666666666667</v>
      </c>
      <c r="F94" s="16"/>
      <c r="G94" s="31" t="n">
        <f aca="false">IFERROR(COUNTIFS(INDEX(Clay_Offices!$A$2:$FZ$601,0,Sync!$C$9),"linkedin",INDEX(Clay_Offices!$A$2:$FZ$601,0,Sync!$C$14),"&lt;"&amp;($E$6+1),INDEX(Clay_Offices!$A$2:$FZ$601,0,Sync!$C$5),Config!$B$20,INDEX(Clay_Offices!$A$2:$FZ$601,0,Sync!$C$15),"yes"),0)+IFERROR(COUNTIFS(INDEX(Clay_Offices!$A$2:$FZ$601,0,Sync!$C$9),"linkedin",INDEX(Clay_Offices!$A$2:$FZ$601,0,Sync!$C$14),"&lt;"&amp;($E$6+1),INDEX(Clay_Offices!$A$2:$FZ$601,0,Sync!$C$5),Config!$B$20,INDEX(Clay_Offices!$A$2:$FZ$601,0,Sync!$C$15),"maybe"),0)+IFERROR(COUNTIFS(INDEX(Clay_Offices!$A$2:$FZ$601,0,Sync!$C$9),"linkedin",INDEX(Clay_Offices!$A$2:$FZ$601,0,Sync!$C$14),"&lt;"&amp;($E$6+1),INDEX(Clay_Offices!$A$2:$FZ$601,0,Sync!$C$5),Config!$B$20,INDEX(Clay_Offices!$A$2:$FZ$601,0,Sync!$C$15),"needs_approval"),0)+IFERROR(COUNTIFS(INDEX(Clay_Offices!$A$2:$FZ$601,0,Sync!$C$9),"linkedin",INDEX(Clay_Offices!$A$2:$FZ$601,0,Sync!$C$14),"&lt;"&amp;($E$6+1),INDEX(Clay_Offices!$A$2:$FZ$601,0,Sync!$C$5),Config!$B$20,INDEX(Clay_Offices!$A$2:$FZ$601,0,Sync!$C$15),"send_info"),0)+IFERROR(COUNTIFS(INDEX(Clay_Offices!$A$2:$FZ$601,0,Sync!$C$9),"linkedin",INDEX(Clay_Offices!$A$2:$FZ$601,0,Sync!$C$14),"&lt;"&amp;($E$6+1),INDEX(Clay_Offices!$A$2:$FZ$601,0,Sync!$C$5),Config!$B$20,INDEX(Clay_Offices!$A$2:$FZ$601,0,Sync!$C$15),"referral"),0)+IFERROR(COUNTIFS(INDEX(Clay_Offices!$A$2:$FZ$601,0,Sync!$C$9),"linkedin",INDEX(Clay_Offices!$A$2:$FZ$601,0,Sync!$C$14),"&lt;"&amp;($E$6+1),INDEX(Clay_Offices!$A$2:$FZ$601,0,Sync!$C$5),Config!$B$20,INDEX(Clay_Offices!$A$2:$FZ$601,0,Sync!$C$15),"not_now"),0)+IFERROR(COUNTIFS(INDEX(Clay_Offices!$A$2:$FZ$601,0,Sync!$C$9),"linkedin",INDEX(Clay_Offices!$A$2:$FZ$601,0,Sync!$C$14),"&lt;"&amp;($E$6+1),INDEX(Clay_Offices!$A$2:$FZ$601,0,Sync!$C$5),Config!$B$20,INDEX(Clay_Offices!$A$2:$FZ$601,0,Sync!$C$15),"obj_seed_ourselves"),0)+IFERROR(COUNTIFS(INDEX(Clay_Offices!$A$2:$FZ$601,0,Sync!$C$9),"linkedin",INDEX(Clay_Offices!$A$2:$FZ$601,0,Sync!$C$14),"&lt;"&amp;($E$6+1),INDEX(Clay_Offices!$A$2:$FZ$601,0,Sync!$C$5),Config!$B$20,INDEX(Clay_Offices!$A$2:$FZ$601,0,Sync!$C$15),"obj_price"),0)+IFERROR(COUNTIFS(INDEX(Clay_Offices!$A$2:$FZ$601,0,Sync!$C$9),"linkedin",INDEX(Clay_Offices!$A$2:$FZ$601,0,Sync!$C$14),"&lt;"&amp;($E$6+1),INDEX(Clay_Offices!$A$2:$FZ$601,0,Sync!$C$5),Config!$B$20,INDEX(Clay_Offices!$A$2:$FZ$601,0,Sync!$C$15),"obj_free_trial"),0)+IFERROR(COUNTIFS(INDEX(Clay_Offices!$A$2:$FZ$601,0,Sync!$C$9),"linkedin",INDEX(Clay_Offices!$A$2:$FZ$601,0,Sync!$C$14),"&lt;"&amp;($E$6+1),INDEX(Clay_Offices!$A$2:$FZ$601,0,Sync!$C$5),Config!$B$20,INDEX(Clay_Offices!$A$2:$FZ$601,0,Sync!$C$15),"obj_what_we_get"),0)+IFERROR(COUNTIFS(INDEX(Clay_Offices!$A$2:$FZ$601,0,Sync!$C$9),"linkedin",INDEX(Clay_Offices!$A$2:$FZ$601,0,Sync!$C$14),"&lt;"&amp;($E$6+1),INDEX(Clay_Offices!$A$2:$FZ$601,0,Sync!$C$5),Config!$B$20,INDEX(Clay_Offices!$A$2:$FZ$601,0,Sync!$C$15),"obj_other"),0)</f>
        <v>13</v>
      </c>
    </row>
    <row r="95" customFormat="false" ht="15" hidden="false" customHeight="false" outlineLevel="0" collapsed="false">
      <c r="A95" s="14" t="s">
        <v>209</v>
      </c>
      <c r="B95" s="16" t="s">
        <v>202</v>
      </c>
      <c r="C95" s="29" t="n">
        <f aca="false">IFERROR(COUNTIFS(INDEX(Clay_Brands!$A$2:$FZ$601,0,Sync!$D$9),"linkedin",INDEX(Clay_Brands!$A$2:$FZ$601,0,Sync!$D$11),"&lt;"&amp;($E$6+1),INDEX(Clay_Brands!$A$2:$FZ$601,0,Sync!$D$5),Config!$B$20),0)</f>
        <v>21</v>
      </c>
      <c r="D95" s="29" t="n">
        <f aca="false">IFERROR(COUNTIFS(INDEX(Clay_Brands!$A$2:$FZ$601,0,Sync!$D$9),"linkedin",INDEX(Clay_Brands!$A$2:$FZ$601,0,Sync!$D$14),"&lt;"&amp;($E$6+1),INDEX(Clay_Brands!$A$2:$FZ$601,0,Sync!$D$5),Config!$B$20,INDEX(Clay_Brands!$A$2:$FZ$601,0,Sync!$D$15),"&lt;&gt;bounce",INDEX(Clay_Brands!$A$2:$FZ$601,0,Sync!$D$15),"&lt;&gt;out_of_office"),0)</f>
        <v>13</v>
      </c>
      <c r="E95" s="30" t="n">
        <f aca="false">IF(C95=0,"",D95/C95)</f>
        <v>0.619047619047619</v>
      </c>
      <c r="F95" s="16"/>
      <c r="G95" s="31" t="n">
        <f aca="false">IFERROR(COUNTIFS(INDEX(Clay_Brands!$A$2:$FZ$601,0,Sync!$D$9),"linkedin",INDEX(Clay_Brands!$A$2:$FZ$601,0,Sync!$D$14),"&lt;"&amp;($E$6+1),INDEX(Clay_Brands!$A$2:$FZ$601,0,Sync!$D$5),Config!$B$20,INDEX(Clay_Brands!$A$2:$FZ$601,0,Sync!$D$15),"yes"),0)+IFERROR(COUNTIFS(INDEX(Clay_Brands!$A$2:$FZ$601,0,Sync!$D$9),"linkedin",INDEX(Clay_Brands!$A$2:$FZ$601,0,Sync!$D$14),"&lt;"&amp;($E$6+1),INDEX(Clay_Brands!$A$2:$FZ$601,0,Sync!$D$5),Config!$B$20,INDEX(Clay_Brands!$A$2:$FZ$601,0,Sync!$D$15),"maybe"),0)+IFERROR(COUNTIFS(INDEX(Clay_Brands!$A$2:$FZ$601,0,Sync!$D$9),"linkedin",INDEX(Clay_Brands!$A$2:$FZ$601,0,Sync!$D$14),"&lt;"&amp;($E$6+1),INDEX(Clay_Brands!$A$2:$FZ$601,0,Sync!$D$5),Config!$B$20,INDEX(Clay_Brands!$A$2:$FZ$601,0,Sync!$D$15),"needs_approval"),0)+IFERROR(COUNTIFS(INDEX(Clay_Brands!$A$2:$FZ$601,0,Sync!$D$9),"linkedin",INDEX(Clay_Brands!$A$2:$FZ$601,0,Sync!$D$14),"&lt;"&amp;($E$6+1),INDEX(Clay_Brands!$A$2:$FZ$601,0,Sync!$D$5),Config!$B$20,INDEX(Clay_Brands!$A$2:$FZ$601,0,Sync!$D$15),"send_info"),0)+IFERROR(COUNTIFS(INDEX(Clay_Brands!$A$2:$FZ$601,0,Sync!$D$9),"linkedin",INDEX(Clay_Brands!$A$2:$FZ$601,0,Sync!$D$14),"&lt;"&amp;($E$6+1),INDEX(Clay_Brands!$A$2:$FZ$601,0,Sync!$D$5),Config!$B$20,INDEX(Clay_Brands!$A$2:$FZ$601,0,Sync!$D$15),"referral"),0)+IFERROR(COUNTIFS(INDEX(Clay_Brands!$A$2:$FZ$601,0,Sync!$D$9),"linkedin",INDEX(Clay_Brands!$A$2:$FZ$601,0,Sync!$D$14),"&lt;"&amp;($E$6+1),INDEX(Clay_Brands!$A$2:$FZ$601,0,Sync!$D$5),Config!$B$20,INDEX(Clay_Brands!$A$2:$FZ$601,0,Sync!$D$15),"not_now"),0)+IFERROR(COUNTIFS(INDEX(Clay_Brands!$A$2:$FZ$601,0,Sync!$D$9),"linkedin",INDEX(Clay_Brands!$A$2:$FZ$601,0,Sync!$D$14),"&lt;"&amp;($E$6+1),INDEX(Clay_Brands!$A$2:$FZ$601,0,Sync!$D$5),Config!$B$20,INDEX(Clay_Brands!$A$2:$FZ$601,0,Sync!$D$15),"obj_seed_ourselves"),0)+IFERROR(COUNTIFS(INDEX(Clay_Brands!$A$2:$FZ$601,0,Sync!$D$9),"linkedin",INDEX(Clay_Brands!$A$2:$FZ$601,0,Sync!$D$14),"&lt;"&amp;($E$6+1),INDEX(Clay_Brands!$A$2:$FZ$601,0,Sync!$D$5),Config!$B$20,INDEX(Clay_Brands!$A$2:$FZ$601,0,Sync!$D$15),"obj_price"),0)+IFERROR(COUNTIFS(INDEX(Clay_Brands!$A$2:$FZ$601,0,Sync!$D$9),"linkedin",INDEX(Clay_Brands!$A$2:$FZ$601,0,Sync!$D$14),"&lt;"&amp;($E$6+1),INDEX(Clay_Brands!$A$2:$FZ$601,0,Sync!$D$5),Config!$B$20,INDEX(Clay_Brands!$A$2:$FZ$601,0,Sync!$D$15),"obj_free_trial"),0)+IFERROR(COUNTIFS(INDEX(Clay_Brands!$A$2:$FZ$601,0,Sync!$D$9),"linkedin",INDEX(Clay_Brands!$A$2:$FZ$601,0,Sync!$D$14),"&lt;"&amp;($E$6+1),INDEX(Clay_Brands!$A$2:$FZ$601,0,Sync!$D$5),Config!$B$20,INDEX(Clay_Brands!$A$2:$FZ$601,0,Sync!$D$15),"obj_what_we_get"),0)+IFERROR(COUNTIFS(INDEX(Clay_Brands!$A$2:$FZ$601,0,Sync!$D$9),"linkedin",INDEX(Clay_Brands!$A$2:$FZ$601,0,Sync!$D$14),"&lt;"&amp;($E$6+1),INDEX(Clay_Brands!$A$2:$FZ$601,0,Sync!$D$5),Config!$B$20,INDEX(Clay_Brands!$A$2:$FZ$601,0,Sync!$D$15),"obj_other"),0)</f>
        <v>10</v>
      </c>
    </row>
    <row r="96" customFormat="false" ht="15" hidden="false" customHeight="false" outlineLevel="0" collapsed="false">
      <c r="A96" s="14" t="s">
        <v>210</v>
      </c>
      <c r="B96" s="16" t="s">
        <v>197</v>
      </c>
      <c r="C96" s="29" t="n">
        <f aca="false">IFERROR(COUNTIFS(INDEX(Clay_Offices!$A$2:$FZ$601,0,Sync!$C$9),"warm-intro",INDEX(Clay_Offices!$A$2:$FZ$601,0,Sync!$C$11),"&lt;"&amp;($E$6+1),INDEX(Clay_Offices!$A$2:$FZ$601,0,Sync!$C$5),Config!$B$20),0)</f>
        <v>3</v>
      </c>
      <c r="D96" s="29" t="n">
        <f aca="false">IFERROR(COUNTIFS(INDEX(Clay_Offices!$A$2:$FZ$601,0,Sync!$C$9),"warm-intro",INDEX(Clay_Offices!$A$2:$FZ$601,0,Sync!$C$14),"&lt;"&amp;($E$6+1),INDEX(Clay_Offices!$A$2:$FZ$601,0,Sync!$C$5),Config!$B$20,INDEX(Clay_Offices!$A$2:$FZ$601,0,Sync!$C$15),"&lt;&gt;bounce",INDEX(Clay_Offices!$A$2:$FZ$601,0,Sync!$C$15),"&lt;&gt;out_of_office"),0)</f>
        <v>3</v>
      </c>
      <c r="E96" s="30" t="n">
        <f aca="false">IF(C96=0,"",D96/C96)</f>
        <v>1</v>
      </c>
      <c r="F96" s="16"/>
      <c r="G96" s="31" t="n">
        <f aca="false">IFERROR(COUNTIFS(INDEX(Clay_Offices!$A$2:$FZ$601,0,Sync!$C$9),"warm-intro",INDEX(Clay_Offices!$A$2:$FZ$601,0,Sync!$C$14),"&lt;"&amp;($E$6+1),INDEX(Clay_Offices!$A$2:$FZ$601,0,Sync!$C$5),Config!$B$20,INDEX(Clay_Offices!$A$2:$FZ$601,0,Sync!$C$15),"yes"),0)+IFERROR(COUNTIFS(INDEX(Clay_Offices!$A$2:$FZ$601,0,Sync!$C$9),"warm-intro",INDEX(Clay_Offices!$A$2:$FZ$601,0,Sync!$C$14),"&lt;"&amp;($E$6+1),INDEX(Clay_Offices!$A$2:$FZ$601,0,Sync!$C$5),Config!$B$20,INDEX(Clay_Offices!$A$2:$FZ$601,0,Sync!$C$15),"maybe"),0)+IFERROR(COUNTIFS(INDEX(Clay_Offices!$A$2:$FZ$601,0,Sync!$C$9),"warm-intro",INDEX(Clay_Offices!$A$2:$FZ$601,0,Sync!$C$14),"&lt;"&amp;($E$6+1),INDEX(Clay_Offices!$A$2:$FZ$601,0,Sync!$C$5),Config!$B$20,INDEX(Clay_Offices!$A$2:$FZ$601,0,Sync!$C$15),"needs_approval"),0)+IFERROR(COUNTIFS(INDEX(Clay_Offices!$A$2:$FZ$601,0,Sync!$C$9),"warm-intro",INDEX(Clay_Offices!$A$2:$FZ$601,0,Sync!$C$14),"&lt;"&amp;($E$6+1),INDEX(Clay_Offices!$A$2:$FZ$601,0,Sync!$C$5),Config!$B$20,INDEX(Clay_Offices!$A$2:$FZ$601,0,Sync!$C$15),"send_info"),0)+IFERROR(COUNTIFS(INDEX(Clay_Offices!$A$2:$FZ$601,0,Sync!$C$9),"warm-intro",INDEX(Clay_Offices!$A$2:$FZ$601,0,Sync!$C$14),"&lt;"&amp;($E$6+1),INDEX(Clay_Offices!$A$2:$FZ$601,0,Sync!$C$5),Config!$B$20,INDEX(Clay_Offices!$A$2:$FZ$601,0,Sync!$C$15),"referral"),0)+IFERROR(COUNTIFS(INDEX(Clay_Offices!$A$2:$FZ$601,0,Sync!$C$9),"warm-intro",INDEX(Clay_Offices!$A$2:$FZ$601,0,Sync!$C$14),"&lt;"&amp;($E$6+1),INDEX(Clay_Offices!$A$2:$FZ$601,0,Sync!$C$5),Config!$B$20,INDEX(Clay_Offices!$A$2:$FZ$601,0,Sync!$C$15),"not_now"),0)+IFERROR(COUNTIFS(INDEX(Clay_Offices!$A$2:$FZ$601,0,Sync!$C$9),"warm-intro",INDEX(Clay_Offices!$A$2:$FZ$601,0,Sync!$C$14),"&lt;"&amp;($E$6+1),INDEX(Clay_Offices!$A$2:$FZ$601,0,Sync!$C$5),Config!$B$20,INDEX(Clay_Offices!$A$2:$FZ$601,0,Sync!$C$15),"obj_seed_ourselves"),0)+IFERROR(COUNTIFS(INDEX(Clay_Offices!$A$2:$FZ$601,0,Sync!$C$9),"warm-intro",INDEX(Clay_Offices!$A$2:$FZ$601,0,Sync!$C$14),"&lt;"&amp;($E$6+1),INDEX(Clay_Offices!$A$2:$FZ$601,0,Sync!$C$5),Config!$B$20,INDEX(Clay_Offices!$A$2:$FZ$601,0,Sync!$C$15),"obj_price"),0)+IFERROR(COUNTIFS(INDEX(Clay_Offices!$A$2:$FZ$601,0,Sync!$C$9),"warm-intro",INDEX(Clay_Offices!$A$2:$FZ$601,0,Sync!$C$14),"&lt;"&amp;($E$6+1),INDEX(Clay_Offices!$A$2:$FZ$601,0,Sync!$C$5),Config!$B$20,INDEX(Clay_Offices!$A$2:$FZ$601,0,Sync!$C$15),"obj_free_trial"),0)+IFERROR(COUNTIFS(INDEX(Clay_Offices!$A$2:$FZ$601,0,Sync!$C$9),"warm-intro",INDEX(Clay_Offices!$A$2:$FZ$601,0,Sync!$C$14),"&lt;"&amp;($E$6+1),INDEX(Clay_Offices!$A$2:$FZ$601,0,Sync!$C$5),Config!$B$20,INDEX(Clay_Offices!$A$2:$FZ$601,0,Sync!$C$15),"obj_what_we_get"),0)+IFERROR(COUNTIFS(INDEX(Clay_Offices!$A$2:$FZ$601,0,Sync!$C$9),"warm-intro",INDEX(Clay_Offices!$A$2:$FZ$601,0,Sync!$C$14),"&lt;"&amp;($E$6+1),INDEX(Clay_Offices!$A$2:$FZ$601,0,Sync!$C$5),Config!$B$20,INDEX(Clay_Offices!$A$2:$FZ$601,0,Sync!$C$15),"obj_other"),0)</f>
        <v>3</v>
      </c>
    </row>
    <row r="97" customFormat="false" ht="15" hidden="false" customHeight="false" outlineLevel="0" collapsed="false">
      <c r="A97" s="14" t="s">
        <v>210</v>
      </c>
      <c r="B97" s="16" t="s">
        <v>202</v>
      </c>
      <c r="C97" s="29" t="n">
        <f aca="false">IFERROR(COUNTIFS(INDEX(Clay_Brands!$A$2:$FZ$601,0,Sync!$D$9),"warm-intro",INDEX(Clay_Brands!$A$2:$FZ$601,0,Sync!$D$11),"&lt;"&amp;($E$6+1),INDEX(Clay_Brands!$A$2:$FZ$601,0,Sync!$D$5),Config!$B$20),0)</f>
        <v>9</v>
      </c>
      <c r="D97" s="29" t="n">
        <f aca="false">IFERROR(COUNTIFS(INDEX(Clay_Brands!$A$2:$FZ$601,0,Sync!$D$9),"warm-intro",INDEX(Clay_Brands!$A$2:$FZ$601,0,Sync!$D$14),"&lt;"&amp;($E$6+1),INDEX(Clay_Brands!$A$2:$FZ$601,0,Sync!$D$5),Config!$B$20,INDEX(Clay_Brands!$A$2:$FZ$601,0,Sync!$D$15),"&lt;&gt;bounce",INDEX(Clay_Brands!$A$2:$FZ$601,0,Sync!$D$15),"&lt;&gt;out_of_office"),0)</f>
        <v>9</v>
      </c>
      <c r="E97" s="30" t="n">
        <f aca="false">IF(C97=0,"",D97/C97)</f>
        <v>1</v>
      </c>
      <c r="F97" s="16"/>
      <c r="G97" s="31" t="n">
        <f aca="false">IFERROR(COUNTIFS(INDEX(Clay_Brands!$A$2:$FZ$601,0,Sync!$D$9),"warm-intro",INDEX(Clay_Brands!$A$2:$FZ$601,0,Sync!$D$14),"&lt;"&amp;($E$6+1),INDEX(Clay_Brands!$A$2:$FZ$601,0,Sync!$D$5),Config!$B$20,INDEX(Clay_Brands!$A$2:$FZ$601,0,Sync!$D$15),"yes"),0)+IFERROR(COUNTIFS(INDEX(Clay_Brands!$A$2:$FZ$601,0,Sync!$D$9),"warm-intro",INDEX(Clay_Brands!$A$2:$FZ$601,0,Sync!$D$14),"&lt;"&amp;($E$6+1),INDEX(Clay_Brands!$A$2:$FZ$601,0,Sync!$D$5),Config!$B$20,INDEX(Clay_Brands!$A$2:$FZ$601,0,Sync!$D$15),"maybe"),0)+IFERROR(COUNTIFS(INDEX(Clay_Brands!$A$2:$FZ$601,0,Sync!$D$9),"warm-intro",INDEX(Clay_Brands!$A$2:$FZ$601,0,Sync!$D$14),"&lt;"&amp;($E$6+1),INDEX(Clay_Brands!$A$2:$FZ$601,0,Sync!$D$5),Config!$B$20,INDEX(Clay_Brands!$A$2:$FZ$601,0,Sync!$D$15),"needs_approval"),0)+IFERROR(COUNTIFS(INDEX(Clay_Brands!$A$2:$FZ$601,0,Sync!$D$9),"warm-intro",INDEX(Clay_Brands!$A$2:$FZ$601,0,Sync!$D$14),"&lt;"&amp;($E$6+1),INDEX(Clay_Brands!$A$2:$FZ$601,0,Sync!$D$5),Config!$B$20,INDEX(Clay_Brands!$A$2:$FZ$601,0,Sync!$D$15),"send_info"),0)+IFERROR(COUNTIFS(INDEX(Clay_Brands!$A$2:$FZ$601,0,Sync!$D$9),"warm-intro",INDEX(Clay_Brands!$A$2:$FZ$601,0,Sync!$D$14),"&lt;"&amp;($E$6+1),INDEX(Clay_Brands!$A$2:$FZ$601,0,Sync!$D$5),Config!$B$20,INDEX(Clay_Brands!$A$2:$FZ$601,0,Sync!$D$15),"referral"),0)+IFERROR(COUNTIFS(INDEX(Clay_Brands!$A$2:$FZ$601,0,Sync!$D$9),"warm-intro",INDEX(Clay_Brands!$A$2:$FZ$601,0,Sync!$D$14),"&lt;"&amp;($E$6+1),INDEX(Clay_Brands!$A$2:$FZ$601,0,Sync!$D$5),Config!$B$20,INDEX(Clay_Brands!$A$2:$FZ$601,0,Sync!$D$15),"not_now"),0)+IFERROR(COUNTIFS(INDEX(Clay_Brands!$A$2:$FZ$601,0,Sync!$D$9),"warm-intro",INDEX(Clay_Brands!$A$2:$FZ$601,0,Sync!$D$14),"&lt;"&amp;($E$6+1),INDEX(Clay_Brands!$A$2:$FZ$601,0,Sync!$D$5),Config!$B$20,INDEX(Clay_Brands!$A$2:$FZ$601,0,Sync!$D$15),"obj_seed_ourselves"),0)+IFERROR(COUNTIFS(INDEX(Clay_Brands!$A$2:$FZ$601,0,Sync!$D$9),"warm-intro",INDEX(Clay_Brands!$A$2:$FZ$601,0,Sync!$D$14),"&lt;"&amp;($E$6+1),INDEX(Clay_Brands!$A$2:$FZ$601,0,Sync!$D$5),Config!$B$20,INDEX(Clay_Brands!$A$2:$FZ$601,0,Sync!$D$15),"obj_price"),0)+IFERROR(COUNTIFS(INDEX(Clay_Brands!$A$2:$FZ$601,0,Sync!$D$9),"warm-intro",INDEX(Clay_Brands!$A$2:$FZ$601,0,Sync!$D$14),"&lt;"&amp;($E$6+1),INDEX(Clay_Brands!$A$2:$FZ$601,0,Sync!$D$5),Config!$B$20,INDEX(Clay_Brands!$A$2:$FZ$601,0,Sync!$D$15),"obj_free_trial"),0)+IFERROR(COUNTIFS(INDEX(Clay_Brands!$A$2:$FZ$601,0,Sync!$D$9),"warm-intro",INDEX(Clay_Brands!$A$2:$FZ$601,0,Sync!$D$14),"&lt;"&amp;($E$6+1),INDEX(Clay_Brands!$A$2:$FZ$601,0,Sync!$D$5),Config!$B$20,INDEX(Clay_Brands!$A$2:$FZ$601,0,Sync!$D$15),"obj_what_we_get"),0)+IFERROR(COUNTIFS(INDEX(Clay_Brands!$A$2:$FZ$601,0,Sync!$D$9),"warm-intro",INDEX(Clay_Brands!$A$2:$FZ$601,0,Sync!$D$14),"&lt;"&amp;($E$6+1),INDEX(Clay_Brands!$A$2:$FZ$601,0,Sync!$D$5),Config!$B$20,INDEX(Clay_Brands!$A$2:$FZ$601,0,Sync!$D$15),"obj_other"),0)</f>
        <v>9</v>
      </c>
    </row>
    <row r="98" customFormat="false" ht="15" hidden="false" customHeight="false" outlineLevel="0" collapsed="false">
      <c r="A98" s="14" t="s">
        <v>211</v>
      </c>
      <c r="B98" s="16" t="s">
        <v>197</v>
      </c>
      <c r="C98" s="29" t="n">
        <f aca="false">IFERROR(COUNTIFS(INDEX(Clay_Offices!$A$2:$FZ$601,0,Sync!$C$9),"walk-in",INDEX(Clay_Offices!$A$2:$FZ$601,0,Sync!$C$11),"&lt;"&amp;($E$6+1),INDEX(Clay_Offices!$A$2:$FZ$601,0,Sync!$C$5),Config!$B$20),0)</f>
        <v>3</v>
      </c>
      <c r="D98" s="29" t="n">
        <f aca="false">IFERROR(COUNTIFS(INDEX(Clay_Offices!$A$2:$FZ$601,0,Sync!$C$9),"walk-in",INDEX(Clay_Offices!$A$2:$FZ$601,0,Sync!$C$14),"&lt;"&amp;($E$6+1),INDEX(Clay_Offices!$A$2:$FZ$601,0,Sync!$C$5),Config!$B$20,INDEX(Clay_Offices!$A$2:$FZ$601,0,Sync!$C$15),"&lt;&gt;bounce",INDEX(Clay_Offices!$A$2:$FZ$601,0,Sync!$C$15),"&lt;&gt;out_of_office"),0)</f>
        <v>3</v>
      </c>
      <c r="E98" s="30" t="n">
        <f aca="false">IF(C98=0,"",D98/C98)</f>
        <v>1</v>
      </c>
      <c r="F98" s="16"/>
      <c r="G98" s="31" t="n">
        <f aca="false">IFERROR(COUNTIFS(INDEX(Clay_Offices!$A$2:$FZ$601,0,Sync!$C$9),"walk-in",INDEX(Clay_Offices!$A$2:$FZ$601,0,Sync!$C$14),"&lt;"&amp;($E$6+1),INDEX(Clay_Offices!$A$2:$FZ$601,0,Sync!$C$5),Config!$B$20,INDEX(Clay_Offices!$A$2:$FZ$601,0,Sync!$C$15),"yes"),0)+IFERROR(COUNTIFS(INDEX(Clay_Offices!$A$2:$FZ$601,0,Sync!$C$9),"walk-in",INDEX(Clay_Offices!$A$2:$FZ$601,0,Sync!$C$14),"&lt;"&amp;($E$6+1),INDEX(Clay_Offices!$A$2:$FZ$601,0,Sync!$C$5),Config!$B$20,INDEX(Clay_Offices!$A$2:$FZ$601,0,Sync!$C$15),"maybe"),0)+IFERROR(COUNTIFS(INDEX(Clay_Offices!$A$2:$FZ$601,0,Sync!$C$9),"walk-in",INDEX(Clay_Offices!$A$2:$FZ$601,0,Sync!$C$14),"&lt;"&amp;($E$6+1),INDEX(Clay_Offices!$A$2:$FZ$601,0,Sync!$C$5),Config!$B$20,INDEX(Clay_Offices!$A$2:$FZ$601,0,Sync!$C$15),"needs_approval"),0)+IFERROR(COUNTIFS(INDEX(Clay_Offices!$A$2:$FZ$601,0,Sync!$C$9),"walk-in",INDEX(Clay_Offices!$A$2:$FZ$601,0,Sync!$C$14),"&lt;"&amp;($E$6+1),INDEX(Clay_Offices!$A$2:$FZ$601,0,Sync!$C$5),Config!$B$20,INDEX(Clay_Offices!$A$2:$FZ$601,0,Sync!$C$15),"send_info"),0)+IFERROR(COUNTIFS(INDEX(Clay_Offices!$A$2:$FZ$601,0,Sync!$C$9),"walk-in",INDEX(Clay_Offices!$A$2:$FZ$601,0,Sync!$C$14),"&lt;"&amp;($E$6+1),INDEX(Clay_Offices!$A$2:$FZ$601,0,Sync!$C$5),Config!$B$20,INDEX(Clay_Offices!$A$2:$FZ$601,0,Sync!$C$15),"referral"),0)+IFERROR(COUNTIFS(INDEX(Clay_Offices!$A$2:$FZ$601,0,Sync!$C$9),"walk-in",INDEX(Clay_Offices!$A$2:$FZ$601,0,Sync!$C$14),"&lt;"&amp;($E$6+1),INDEX(Clay_Offices!$A$2:$FZ$601,0,Sync!$C$5),Config!$B$20,INDEX(Clay_Offices!$A$2:$FZ$601,0,Sync!$C$15),"not_now"),0)+IFERROR(COUNTIFS(INDEX(Clay_Offices!$A$2:$FZ$601,0,Sync!$C$9),"walk-in",INDEX(Clay_Offices!$A$2:$FZ$601,0,Sync!$C$14),"&lt;"&amp;($E$6+1),INDEX(Clay_Offices!$A$2:$FZ$601,0,Sync!$C$5),Config!$B$20,INDEX(Clay_Offices!$A$2:$FZ$601,0,Sync!$C$15),"obj_seed_ourselves"),0)+IFERROR(COUNTIFS(INDEX(Clay_Offices!$A$2:$FZ$601,0,Sync!$C$9),"walk-in",INDEX(Clay_Offices!$A$2:$FZ$601,0,Sync!$C$14),"&lt;"&amp;($E$6+1),INDEX(Clay_Offices!$A$2:$FZ$601,0,Sync!$C$5),Config!$B$20,INDEX(Clay_Offices!$A$2:$FZ$601,0,Sync!$C$15),"obj_price"),0)+IFERROR(COUNTIFS(INDEX(Clay_Offices!$A$2:$FZ$601,0,Sync!$C$9),"walk-in",INDEX(Clay_Offices!$A$2:$FZ$601,0,Sync!$C$14),"&lt;"&amp;($E$6+1),INDEX(Clay_Offices!$A$2:$FZ$601,0,Sync!$C$5),Config!$B$20,INDEX(Clay_Offices!$A$2:$FZ$601,0,Sync!$C$15),"obj_free_trial"),0)+IFERROR(COUNTIFS(INDEX(Clay_Offices!$A$2:$FZ$601,0,Sync!$C$9),"walk-in",INDEX(Clay_Offices!$A$2:$FZ$601,0,Sync!$C$14),"&lt;"&amp;($E$6+1),INDEX(Clay_Offices!$A$2:$FZ$601,0,Sync!$C$5),Config!$B$20,INDEX(Clay_Offices!$A$2:$FZ$601,0,Sync!$C$15),"obj_what_we_get"),0)+IFERROR(COUNTIFS(INDEX(Clay_Offices!$A$2:$FZ$601,0,Sync!$C$9),"walk-in",INDEX(Clay_Offices!$A$2:$FZ$601,0,Sync!$C$14),"&lt;"&amp;($E$6+1),INDEX(Clay_Offices!$A$2:$FZ$601,0,Sync!$C$5),Config!$B$20,INDEX(Clay_Offices!$A$2:$FZ$601,0,Sync!$C$15),"obj_other"),0)</f>
        <v>3</v>
      </c>
    </row>
    <row r="99" customFormat="false" ht="15" hidden="false" customHeight="false" outlineLevel="0" collapsed="false">
      <c r="A99" s="14" t="s">
        <v>211</v>
      </c>
      <c r="B99" s="16" t="s">
        <v>202</v>
      </c>
      <c r="C99" s="29" t="n">
        <f aca="false">IFERROR(COUNTIFS(INDEX(Clay_Brands!$A$2:$FZ$601,0,Sync!$D$9),"walk-in",INDEX(Clay_Brands!$A$2:$FZ$601,0,Sync!$D$11),"&lt;"&amp;($E$6+1),INDEX(Clay_Brands!$A$2:$FZ$601,0,Sync!$D$5),Config!$B$20),0)</f>
        <v>0</v>
      </c>
      <c r="D99" s="29" t="n">
        <f aca="false">IFERROR(COUNTIFS(INDEX(Clay_Brands!$A$2:$FZ$601,0,Sync!$D$9),"walk-in",INDEX(Clay_Brands!$A$2:$FZ$601,0,Sync!$D$14),"&lt;"&amp;($E$6+1),INDEX(Clay_Brands!$A$2:$FZ$601,0,Sync!$D$5),Config!$B$20,INDEX(Clay_Brands!$A$2:$FZ$601,0,Sync!$D$15),"&lt;&gt;bounce",INDEX(Clay_Brands!$A$2:$FZ$601,0,Sync!$D$15),"&lt;&gt;out_of_office"),0)</f>
        <v>0</v>
      </c>
      <c r="E99" s="30" t="str">
        <f aca="false">IF(C99=0,"",D99/C99)</f>
        <v/>
      </c>
      <c r="F99" s="16"/>
      <c r="G99" s="31" t="n">
        <f aca="false">IFERROR(COUNTIFS(INDEX(Clay_Brands!$A$2:$FZ$601,0,Sync!$D$9),"walk-in",INDEX(Clay_Brands!$A$2:$FZ$601,0,Sync!$D$14),"&lt;"&amp;($E$6+1),INDEX(Clay_Brands!$A$2:$FZ$601,0,Sync!$D$5),Config!$B$20,INDEX(Clay_Brands!$A$2:$FZ$601,0,Sync!$D$15),"yes"),0)+IFERROR(COUNTIFS(INDEX(Clay_Brands!$A$2:$FZ$601,0,Sync!$D$9),"walk-in",INDEX(Clay_Brands!$A$2:$FZ$601,0,Sync!$D$14),"&lt;"&amp;($E$6+1),INDEX(Clay_Brands!$A$2:$FZ$601,0,Sync!$D$5),Config!$B$20,INDEX(Clay_Brands!$A$2:$FZ$601,0,Sync!$D$15),"maybe"),0)+IFERROR(COUNTIFS(INDEX(Clay_Brands!$A$2:$FZ$601,0,Sync!$D$9),"walk-in",INDEX(Clay_Brands!$A$2:$FZ$601,0,Sync!$D$14),"&lt;"&amp;($E$6+1),INDEX(Clay_Brands!$A$2:$FZ$601,0,Sync!$D$5),Config!$B$20,INDEX(Clay_Brands!$A$2:$FZ$601,0,Sync!$D$15),"needs_approval"),0)+IFERROR(COUNTIFS(INDEX(Clay_Brands!$A$2:$FZ$601,0,Sync!$D$9),"walk-in",INDEX(Clay_Brands!$A$2:$FZ$601,0,Sync!$D$14),"&lt;"&amp;($E$6+1),INDEX(Clay_Brands!$A$2:$FZ$601,0,Sync!$D$5),Config!$B$20,INDEX(Clay_Brands!$A$2:$FZ$601,0,Sync!$D$15),"send_info"),0)+IFERROR(COUNTIFS(INDEX(Clay_Brands!$A$2:$FZ$601,0,Sync!$D$9),"walk-in",INDEX(Clay_Brands!$A$2:$FZ$601,0,Sync!$D$14),"&lt;"&amp;($E$6+1),INDEX(Clay_Brands!$A$2:$FZ$601,0,Sync!$D$5),Config!$B$20,INDEX(Clay_Brands!$A$2:$FZ$601,0,Sync!$D$15),"referral"),0)+IFERROR(COUNTIFS(INDEX(Clay_Brands!$A$2:$FZ$601,0,Sync!$D$9),"walk-in",INDEX(Clay_Brands!$A$2:$FZ$601,0,Sync!$D$14),"&lt;"&amp;($E$6+1),INDEX(Clay_Brands!$A$2:$FZ$601,0,Sync!$D$5),Config!$B$20,INDEX(Clay_Brands!$A$2:$FZ$601,0,Sync!$D$15),"not_now"),0)+IFERROR(COUNTIFS(INDEX(Clay_Brands!$A$2:$FZ$601,0,Sync!$D$9),"walk-in",INDEX(Clay_Brands!$A$2:$FZ$601,0,Sync!$D$14),"&lt;"&amp;($E$6+1),INDEX(Clay_Brands!$A$2:$FZ$601,0,Sync!$D$5),Config!$B$20,INDEX(Clay_Brands!$A$2:$FZ$601,0,Sync!$D$15),"obj_seed_ourselves"),0)+IFERROR(COUNTIFS(INDEX(Clay_Brands!$A$2:$FZ$601,0,Sync!$D$9),"walk-in",INDEX(Clay_Brands!$A$2:$FZ$601,0,Sync!$D$14),"&lt;"&amp;($E$6+1),INDEX(Clay_Brands!$A$2:$FZ$601,0,Sync!$D$5),Config!$B$20,INDEX(Clay_Brands!$A$2:$FZ$601,0,Sync!$D$15),"obj_price"),0)+IFERROR(COUNTIFS(INDEX(Clay_Brands!$A$2:$FZ$601,0,Sync!$D$9),"walk-in",INDEX(Clay_Brands!$A$2:$FZ$601,0,Sync!$D$14),"&lt;"&amp;($E$6+1),INDEX(Clay_Brands!$A$2:$FZ$601,0,Sync!$D$5),Config!$B$20,INDEX(Clay_Brands!$A$2:$FZ$601,0,Sync!$D$15),"obj_free_trial"),0)+IFERROR(COUNTIFS(INDEX(Clay_Brands!$A$2:$FZ$601,0,Sync!$D$9),"walk-in",INDEX(Clay_Brands!$A$2:$FZ$601,0,Sync!$D$14),"&lt;"&amp;($E$6+1),INDEX(Clay_Brands!$A$2:$FZ$601,0,Sync!$D$5),Config!$B$20,INDEX(Clay_Brands!$A$2:$FZ$601,0,Sync!$D$15),"obj_what_we_get"),0)+IFERROR(COUNTIFS(INDEX(Clay_Brands!$A$2:$FZ$601,0,Sync!$D$9),"walk-in",INDEX(Clay_Brands!$A$2:$FZ$601,0,Sync!$D$14),"&lt;"&amp;($E$6+1),INDEX(Clay_Brands!$A$2:$FZ$601,0,Sync!$D$5),Config!$B$20,INDEX(Clay_Brands!$A$2:$FZ$601,0,Sync!$D$15),"obj_other"),0)</f>
        <v>0</v>
      </c>
    </row>
    <row r="100" customFormat="false" ht="28.35" hidden="false" customHeight="false" outlineLevel="0" collapsed="false">
      <c r="A100" s="9" t="s">
        <v>212</v>
      </c>
      <c r="B100" s="16"/>
      <c r="C100" s="16"/>
      <c r="D100" s="16"/>
      <c r="E100" s="16"/>
      <c r="F100" s="16"/>
      <c r="G100" s="12"/>
    </row>
    <row r="101" customFormat="false" ht="15" hidden="false" customHeight="false" outlineLevel="0" collapsed="false">
      <c r="A101" s="14"/>
      <c r="B101" s="16"/>
      <c r="C101" s="16"/>
      <c r="D101" s="16"/>
      <c r="E101" s="16"/>
      <c r="F101" s="16"/>
      <c r="G101" s="12"/>
    </row>
    <row r="102" customFormat="false" ht="15" hidden="false" customHeight="true" outlineLevel="0" collapsed="false">
      <c r="A102" s="13" t="s">
        <v>213</v>
      </c>
      <c r="B102" s="13"/>
      <c r="C102" s="13"/>
      <c r="D102" s="13"/>
      <c r="E102" s="13"/>
      <c r="F102" s="13"/>
      <c r="G102" s="13"/>
    </row>
    <row r="103" customFormat="false" ht="15" hidden="false" customHeight="false" outlineLevel="0" collapsed="false">
      <c r="A103" s="8" t="s">
        <v>23</v>
      </c>
      <c r="B103" s="16"/>
      <c r="C103" s="16"/>
      <c r="D103" s="8" t="s">
        <v>214</v>
      </c>
      <c r="E103" s="8" t="s">
        <v>27</v>
      </c>
      <c r="F103" s="8" t="s">
        <v>28</v>
      </c>
      <c r="G103" s="8" t="s">
        <v>29</v>
      </c>
    </row>
    <row r="104" customFormat="false" ht="15" hidden="false" customHeight="false" outlineLevel="0" collapsed="false">
      <c r="A104" s="9" t="s">
        <v>30</v>
      </c>
      <c r="B104" s="16"/>
      <c r="C104" s="16"/>
      <c r="D104" s="10" t="n">
        <f aca="false">Config!$B$24</f>
        <v>46367</v>
      </c>
      <c r="E104" s="10" t="n">
        <f aca="false">Config!$B$5</f>
        <v>46367</v>
      </c>
      <c r="F104" s="16"/>
      <c r="G104" s="12"/>
    </row>
    <row r="105" customFormat="false" ht="15" hidden="false" customHeight="false" outlineLevel="0" collapsed="false">
      <c r="A105" s="14" t="s">
        <v>215</v>
      </c>
      <c r="B105" s="16"/>
      <c r="C105" s="16"/>
      <c r="D105" s="15" t="n">
        <f aca="false">COUNTIFS(signed_offices!$W$2:$W$51,"&lt;&gt;",signed_offices!$W$2:$W$51,Config!$B$20,signed_offices!$X$2:$X$51,"&lt;"&amp;(D$104+1))</f>
        <v>5</v>
      </c>
      <c r="E105" s="15" t="n">
        <f aca="false">COUNTIFS(signed_offices!$W$2:$W$51,"&lt;&gt;",signed_offices!$W$2:$W$51,Config!$B$20,signed_offices!$X$2:$X$51,"&lt;"&amp;(E$104+1))</f>
        <v>5</v>
      </c>
      <c r="F105" s="16" t="n">
        <f aca="false">Config!$B$25</f>
        <v>5</v>
      </c>
      <c r="G105" s="9" t="s">
        <v>216</v>
      </c>
    </row>
    <row r="106" customFormat="false" ht="15" hidden="false" customHeight="false" outlineLevel="0" collapsed="false">
      <c r="A106" s="14" t="s">
        <v>217</v>
      </c>
      <c r="B106" s="16"/>
      <c r="C106" s="16"/>
      <c r="D106" s="15" t="n">
        <f aca="false">SUMIFS(signed_offices!$J$2:$J$51,signed_offices!$W$2:$W$51,"&lt;&gt;",signed_offices!$W$2:$W$51,Config!$B$20,signed_offices!$X$2:$X$51,"&lt;"&amp;(D$104+1))</f>
        <v>362</v>
      </c>
      <c r="E106" s="15" t="n">
        <f aca="false">SUMIFS(signed_offices!$J$2:$J$51,signed_offices!$W$2:$W$51,"&lt;&gt;",signed_offices!$W$2:$W$51,Config!$B$20,signed_offices!$X$2:$X$51,"&lt;"&amp;(E$104+1))</f>
        <v>362</v>
      </c>
      <c r="F106" s="16" t="n">
        <f aca="false">Config!$B$26</f>
        <v>350</v>
      </c>
      <c r="G106" s="9" t="s">
        <v>218</v>
      </c>
    </row>
    <row r="107" customFormat="false" ht="28.35" hidden="false" customHeight="false" outlineLevel="0" collapsed="false">
      <c r="A107" s="14" t="s">
        <v>219</v>
      </c>
      <c r="B107" s="16"/>
      <c r="C107" s="16"/>
      <c r="D107" s="15" t="n">
        <f aca="false">COUNTIFS(Sync!$Y$22:$Y$71,"&lt;"&amp;(D$104+1))</f>
        <v>1</v>
      </c>
      <c r="E107" s="15" t="n">
        <f aca="false">COUNTIFS(Sync!$Y$22:$Y$71,"&lt;"&amp;(E$104+1))</f>
        <v>1</v>
      </c>
      <c r="F107" s="16" t="n">
        <f aca="false">Config!$B$27</f>
        <v>2</v>
      </c>
      <c r="G107" s="9" t="s">
        <v>220</v>
      </c>
    </row>
    <row r="108" customFormat="false" ht="15" hidden="false" customHeight="false" outlineLevel="0" collapsed="false">
      <c r="A108" s="14" t="s">
        <v>221</v>
      </c>
      <c r="B108" s="16"/>
      <c r="C108" s="16"/>
      <c r="D108" s="15" t="n">
        <f aca="false">COUNTIFS(paid_brands!$AC$2:$AC$51,"&lt;&gt;",paid_brands!$AC$2:$AC$51,Config!$B$20,paid_brands!$AW$2:$AW$51,"&lt;"&amp;(D$104+1))</f>
        <v>1</v>
      </c>
      <c r="E108" s="15" t="n">
        <f aca="false">COUNTIFS(paid_brands!$AC$2:$AC$51,"&lt;&gt;",paid_brands!$AC$2:$AC$51,Config!$B$20,paid_brands!$AW$2:$AW$51,"&lt;"&amp;(E$104+1))</f>
        <v>1</v>
      </c>
      <c r="F108" s="16"/>
      <c r="G108" s="9" t="s">
        <v>222</v>
      </c>
    </row>
    <row r="109" customFormat="false" ht="15" hidden="false" customHeight="false" outlineLevel="0" collapsed="false">
      <c r="A109" s="17" t="s">
        <v>223</v>
      </c>
      <c r="B109" s="16"/>
      <c r="C109" s="16"/>
      <c r="D109" s="18" t="str">
        <f aca="false">IF(AND(D105&gt;=Config!$B$25,D106&gt;=Config!$B$26),"PASS",IF(D$104&lt;Config!$B$24,"not yet","FAIL"))</f>
        <v>PASS</v>
      </c>
      <c r="E109" s="18" t="str">
        <f aca="false">IF(AND(E105&gt;=Config!$B$25,E106&gt;=Config!$B$26),"PASS",IF(E$104&lt;Config!$B$24,"not yet","FAIL"))</f>
        <v>PASS</v>
      </c>
      <c r="F109" s="16"/>
      <c r="G109" s="9" t="s">
        <v>224</v>
      </c>
    </row>
    <row r="110" customFormat="false" ht="28.35" hidden="false" customHeight="false" outlineLevel="0" collapsed="false">
      <c r="A110" s="17" t="s">
        <v>225</v>
      </c>
      <c r="B110" s="16"/>
      <c r="C110" s="16"/>
      <c r="D110" s="18" t="str">
        <f aca="false">IF(D107&gt;=Config!$B$27,"PASS",IF(D$104&lt;Config!$B$24,"not yet",IF(D107=1,"SOFT PASS","FAIL")))</f>
        <v>SOFT PASS</v>
      </c>
      <c r="E110" s="18" t="str">
        <f aca="false">IF(E107&gt;=Config!$B$27,"PASS",IF(E$104&lt;Config!$B$24,"not yet",IF(E107=1,"SOFT PASS","FAIL")))</f>
        <v>SOFT PASS</v>
      </c>
      <c r="F110" s="16"/>
      <c r="G110" s="9" t="s">
        <v>226</v>
      </c>
    </row>
    <row r="111" customFormat="false" ht="15" hidden="false" customHeight="false" outlineLevel="0" collapsed="false">
      <c r="A111" s="14"/>
      <c r="B111" s="16"/>
      <c r="C111" s="16"/>
      <c r="D111" s="16"/>
      <c r="E111" s="16"/>
      <c r="F111" s="16"/>
      <c r="G111" s="12"/>
    </row>
    <row r="112" customFormat="false" ht="15" hidden="false" customHeight="true" outlineLevel="0" collapsed="false">
      <c r="A112" s="13" t="s">
        <v>227</v>
      </c>
      <c r="B112" s="13"/>
      <c r="C112" s="13"/>
      <c r="D112" s="13"/>
      <c r="E112" s="13"/>
      <c r="F112" s="13"/>
      <c r="G112" s="13"/>
    </row>
    <row r="113" customFormat="false" ht="15" hidden="false" customHeight="false" outlineLevel="0" collapsed="false">
      <c r="A113" s="14" t="s">
        <v>228</v>
      </c>
      <c r="B113" s="16"/>
      <c r="C113" s="16"/>
      <c r="D113" s="16"/>
      <c r="E113" s="15" t="n">
        <f aca="false">E8</f>
        <v>14</v>
      </c>
      <c r="F113" s="16"/>
      <c r="G113" s="12"/>
    </row>
    <row r="114" customFormat="false" ht="15" hidden="false" customHeight="false" outlineLevel="0" collapsed="false">
      <c r="A114" s="14" t="s">
        <v>229</v>
      </c>
      <c r="B114" s="16"/>
      <c r="C114" s="16"/>
      <c r="D114" s="16"/>
      <c r="E114" s="18" t="n">
        <f aca="false">COUNTIFS(Office_Log!$CJ$2:$CJ$201,1,Office_Log!$H$2:$H$201,"&lt;"&amp;($E$6+1))</f>
        <v>7</v>
      </c>
      <c r="F114" s="16"/>
      <c r="G114" s="12"/>
    </row>
    <row r="115" customFormat="false" ht="15" hidden="false" customHeight="false" outlineLevel="0" collapsed="false">
      <c r="A115" s="14" t="s">
        <v>230</v>
      </c>
      <c r="B115" s="16"/>
      <c r="C115" s="16"/>
      <c r="D115" s="16"/>
      <c r="E115" s="18" t="n">
        <f aca="false">COUNTIFS(Office_Log!$CL$2:$CL$201,1,Office_Log!$H$2:$H$201,"&lt;"&amp;($E$6+1))</f>
        <v>9</v>
      </c>
      <c r="F115" s="16"/>
      <c r="G115" s="12"/>
    </row>
    <row r="116" customFormat="false" ht="15" hidden="false" customHeight="false" outlineLevel="0" collapsed="false">
      <c r="A116" s="14" t="s">
        <v>231</v>
      </c>
      <c r="B116" s="16"/>
      <c r="C116" s="16"/>
      <c r="D116" s="16"/>
      <c r="E116" s="18" t="str">
        <f aca="false">IF(COUNTIF(Office_Log!$CT$2:$CT$201,"facilities")+COUNTIF(Office_Log!$CT$2:$CT$201,"hr")+COUNTIF(Office_Log!$CT$2:$CT$201,"ceo-or-assistant")+COUNTIF(Office_Log!$CT$2:$CT$201,"landlord-or-building")+COUNTIF(Office_Log!$CT$2:$CT$201,"finance")+COUNTIF(Office_Log!$CT$2:$CT$201,"other")=0,"none named yet",IF(COUNTIF(Office_Log!$CT$2:$CT$201,"facilities")=MAX(COUNTIF(Office_Log!$CT$2:$CT$201,"facilities"),COUNTIF(Office_Log!$CT$2:$CT$201,"hr"),COUNTIF(Office_Log!$CT$2:$CT$201,"ceo-or-assistant"),COUNTIF(Office_Log!$CT$2:$CT$201,"landlord-or-building"),COUNTIF(Office_Log!$CT$2:$CT$201,"finance"),COUNTIF(Office_Log!$CT$2:$CT$201,"other")),"facilities",IF(COUNTIF(Office_Log!$CT$2:$CT$201,"hr")=MAX(COUNTIF(Office_Log!$CT$2:$CT$201,"facilities"),COUNTIF(Office_Log!$CT$2:$CT$201,"hr"),COUNTIF(Office_Log!$CT$2:$CT$201,"ceo-or-assistant"),COUNTIF(Office_Log!$CT$2:$CT$201,"landlord-or-building"),COUNTIF(Office_Log!$CT$2:$CT$201,"finance"),COUNTIF(Office_Log!$CT$2:$CT$201,"other")),"hr",IF(COUNTIF(Office_Log!$CT$2:$CT$201,"ceo-or-assistant")=MAX(COUNTIF(Office_Log!$CT$2:$CT$201,"facilities"),COUNTIF(Office_Log!$CT$2:$CT$201,"hr"),COUNTIF(Office_Log!$CT$2:$CT$201,"ceo-or-assistant"),COUNTIF(Office_Log!$CT$2:$CT$201,"landlord-or-building"),COUNTIF(Office_Log!$CT$2:$CT$201,"finance"),COUNTIF(Office_Log!$CT$2:$CT$201,"other")),"ceo-or-assistant",IF(COUNTIF(Office_Log!$CT$2:$CT$201,"landlord-or-building")=MAX(COUNTIF(Office_Log!$CT$2:$CT$201,"facilities"),COUNTIF(Office_Log!$CT$2:$CT$201,"hr"),COUNTIF(Office_Log!$CT$2:$CT$201,"ceo-or-assistant"),COUNTIF(Office_Log!$CT$2:$CT$201,"landlord-or-building"),COUNTIF(Office_Log!$CT$2:$CT$201,"finance"),COUNTIF(Office_Log!$CT$2:$CT$201,"other")),"landlord-or-building",IF(COUNTIF(Office_Log!$CT$2:$CT$201,"finance")=MAX(COUNTIF(Office_Log!$CT$2:$CT$201,"facilities"),COUNTIF(Office_Log!$CT$2:$CT$201,"hr"),COUNTIF(Office_Log!$CT$2:$CT$201,"ceo-or-assistant"),COUNTIF(Office_Log!$CT$2:$CT$201,"landlord-or-building"),COUNTIF(Office_Log!$CT$2:$CT$201,"finance"),COUNTIF(Office_Log!$CT$2:$CT$201,"other")),"finance",IF(COUNTIF(Office_Log!$CT$2:$CT$201,"other")=MAX(COUNTIF(Office_Log!$CT$2:$CT$201,"facilities"),COUNTIF(Office_Log!$CT$2:$CT$201,"hr"),COUNTIF(Office_Log!$CT$2:$CT$201,"ceo-or-assistant"),COUNTIF(Office_Log!$CT$2:$CT$201,"landlord-or-building"),COUNTIF(Office_Log!$CT$2:$CT$201,"finance"),COUNTIF(Office_Log!$CT$2:$CT$201,"other")),"other","")))))))</f>
        <v>facilities</v>
      </c>
      <c r="F116" s="16"/>
      <c r="G116" s="12"/>
    </row>
    <row r="117" customFormat="false" ht="15" hidden="false" customHeight="false" outlineLevel="0" collapsed="false">
      <c r="A117" s="14" t="s">
        <v>232</v>
      </c>
      <c r="B117" s="16"/>
      <c r="C117" s="16"/>
      <c r="D117" s="16"/>
      <c r="E117" s="18" t="n">
        <f aca="false">COUNTIFS(Office_Log!$CN$2:$CN$201,1,Office_Log!$H$2:$H$201,"&lt;"&amp;($E$6+1))</f>
        <v>9</v>
      </c>
      <c r="F117" s="16"/>
      <c r="G117" s="12"/>
    </row>
    <row r="118" customFormat="false" ht="15" hidden="false" customHeight="false" outlineLevel="0" collapsed="false">
      <c r="A118" s="14" t="s">
        <v>233</v>
      </c>
      <c r="B118" s="16"/>
      <c r="C118" s="16"/>
      <c r="D118" s="16"/>
      <c r="E118" s="18" t="str">
        <f aca="false">IF(COUNT(Office_Log!$CS$2:$CS$201)=0,"none yet",MIN(Office_Log!$CS$2:$CS$201)&amp;" to "&amp;MAX(Office_Log!$CS$2:$CS$201))</f>
        <v>35 to 200</v>
      </c>
      <c r="F118" s="16"/>
      <c r="G118" s="12"/>
    </row>
    <row r="119" customFormat="false" ht="15" hidden="false" customHeight="false" outlineLevel="0" collapsed="false">
      <c r="A119" s="14" t="s">
        <v>234</v>
      </c>
      <c r="B119" s="16"/>
      <c r="C119" s="16"/>
      <c r="D119" s="16"/>
      <c r="E119" s="18" t="n">
        <f aca="false">COUNTIFS(Office_Log!$CP$2:$CP$201,1,Office_Log!$H$2:$H$201,"&lt;"&amp;($E$6+1))</f>
        <v>4</v>
      </c>
      <c r="F119" s="16"/>
      <c r="G119" s="12"/>
    </row>
    <row r="120" customFormat="false" ht="15" hidden="false" customHeight="false" outlineLevel="0" collapsed="false">
      <c r="A120" s="14" t="s">
        <v>235</v>
      </c>
      <c r="B120" s="16"/>
      <c r="C120" s="16"/>
      <c r="D120" s="16"/>
      <c r="E120" s="15" t="n">
        <f aca="false">E25</f>
        <v>15</v>
      </c>
      <c r="F120" s="16"/>
      <c r="G120" s="12"/>
    </row>
    <row r="121" customFormat="false" ht="28.35" hidden="false" customHeight="false" outlineLevel="0" collapsed="false">
      <c r="A121" s="14" t="s">
        <v>236</v>
      </c>
      <c r="B121" s="16"/>
      <c r="C121" s="16"/>
      <c r="D121" s="16"/>
      <c r="E121" s="18" t="str">
        <f aca="false">IF(COUNT(Brand_Log!$BV$2:$BV$201)=0,"none yet","$"&amp;TEXT(MIN(Brand_Log!$BV$2:$BV$201),"#,##0")&amp;" to $"&amp;TEXT(MAX(Brand_Log!$CJ$2:$CJ$201,Brand_Log!$BV$2:$BV$201),"#,##0"))</f>
        <v>$0 to $4,500</v>
      </c>
      <c r="F121" s="16"/>
      <c r="G121" s="12"/>
    </row>
    <row r="122" customFormat="false" ht="15" hidden="false" customHeight="false" outlineLevel="0" collapsed="false">
      <c r="A122" s="14" t="s">
        <v>237</v>
      </c>
      <c r="B122" s="16"/>
      <c r="C122" s="16"/>
      <c r="D122" s="16"/>
      <c r="E122" s="18" t="n">
        <f aca="false">COUNTIFS(Brand_Log!$CI$2:$CI$201,1,Brand_Log!$H$2:$H$201,"&lt;"&amp;($E$6+1))</f>
        <v>0</v>
      </c>
      <c r="F122" s="16"/>
      <c r="G122" s="12"/>
    </row>
    <row r="123" customFormat="false" ht="15" hidden="false" customHeight="false" outlineLevel="0" collapsed="false">
      <c r="A123" s="14" t="s">
        <v>238</v>
      </c>
      <c r="B123" s="16"/>
      <c r="C123" s="16"/>
      <c r="D123" s="16"/>
      <c r="E123" s="19" t="n">
        <f aca="false">E31</f>
        <v>500</v>
      </c>
      <c r="F123" s="16"/>
      <c r="G123" s="12"/>
    </row>
    <row r="124" customFormat="false" ht="15" hidden="false" customHeight="false" outlineLevel="0" collapsed="false">
      <c r="A124" s="14" t="s">
        <v>239</v>
      </c>
      <c r="B124" s="16"/>
      <c r="C124" s="16"/>
      <c r="D124" s="16"/>
      <c r="E124" s="18" t="str">
        <f aca="false">A52</f>
        <v>1. $600 / the price is more than we pay per sample elsewhere (price_per_sample)</v>
      </c>
      <c r="F124" s="16"/>
      <c r="G124" s="12"/>
    </row>
    <row r="125" customFormat="false" ht="28.35" hidden="false" customHeight="false" outlineLevel="0" collapsed="false">
      <c r="A125" s="14" t="s">
        <v>240</v>
      </c>
      <c r="B125" s="16"/>
      <c r="C125" s="16"/>
      <c r="D125" s="16"/>
      <c r="E125" s="18" t="n">
        <f aca="false">COUNTIFS(Office_Log!$CV$2:$CV$201,1,Office_Log!$H$2:$H$201,"&lt;"&amp;($E$6+1))+COUNTIFS(Brand_Log!$CL$2:$CL$201,1,Brand_Log!$H$2:$H$201,"&lt;"&amp;($E$6+1))</f>
        <v>5</v>
      </c>
      <c r="F125" s="16"/>
      <c r="G125" s="12"/>
    </row>
    <row r="126" customFormat="false" ht="41.75" hidden="false" customHeight="false" outlineLevel="0" collapsed="false">
      <c r="A126" s="9" t="s">
        <v>241</v>
      </c>
      <c r="B126" s="16"/>
      <c r="C126" s="16"/>
      <c r="D126" s="16"/>
      <c r="E126" s="16"/>
      <c r="F126" s="16"/>
      <c r="G126" s="12"/>
    </row>
    <row r="127" customFormat="false" ht="15" hidden="false" customHeight="false" outlineLevel="0" collapsed="false">
      <c r="A127" s="14"/>
      <c r="B127" s="16"/>
      <c r="C127" s="16"/>
      <c r="D127" s="16"/>
      <c r="E127" s="16"/>
      <c r="F127" s="16"/>
      <c r="G127" s="12"/>
    </row>
    <row r="128" customFormat="false" ht="15" hidden="false" customHeight="true" outlineLevel="0" collapsed="false">
      <c r="A128" s="13" t="s">
        <v>242</v>
      </c>
      <c r="B128" s="13"/>
      <c r="C128" s="13"/>
      <c r="D128" s="13"/>
      <c r="E128" s="13"/>
      <c r="F128" s="13"/>
      <c r="G128" s="13"/>
    </row>
    <row r="129" customFormat="false" ht="15" hidden="false" customHeight="false" outlineLevel="0" collapsed="false">
      <c r="A129" s="14" t="s">
        <v>243</v>
      </c>
      <c r="B129" s="16"/>
      <c r="C129" s="16"/>
      <c r="D129" s="16"/>
      <c r="E129" s="18" t="n">
        <f aca="false">IFERROR(COUNTIFS(INDEX(Clay_Offices!$A$2:$FZ$601,0,Sync!$C$7),"yes_in_principle",INDEX(Clay_Offices!$A$2:$FZ$601,0,Sync!$C$5),Config!$B$20),0)+IFERROR(COUNTIFS(INDEX(Clay_Offices!$A$2:$FZ$601,0,Sync!$C$7),"materials_sent",INDEX(Clay_Offices!$A$2:$FZ$601,0,Sync!$C$5),Config!$B$20),0)+IFERROR(COUNTIFS(INDEX(Clay_Offices!$A$2:$FZ$601,0,Sync!$C$7),"signed",INDEX(Clay_Offices!$A$2:$FZ$601,0,Sync!$C$5),Config!$B$20),0)</f>
        <v>7</v>
      </c>
      <c r="F129" s="16"/>
      <c r="G129" s="12"/>
    </row>
    <row r="130" customFormat="false" ht="15" hidden="false" customHeight="false" outlineLevel="0" collapsed="false">
      <c r="A130" s="14" t="s">
        <v>244</v>
      </c>
      <c r="B130" s="16"/>
      <c r="C130" s="16"/>
      <c r="D130" s="16"/>
      <c r="E130" s="18" t="n">
        <f aca="false">IFERROR(COUNTIFS(INDEX(Clay_Offices!$A$2:$FZ$601,0,Sync!$C$7),"signed",INDEX(Clay_Offices!$A$2:$FZ$601,0,Sync!$C$5),Config!$B$20),0)</f>
        <v>5</v>
      </c>
      <c r="F130" s="16"/>
      <c r="G130" s="12"/>
    </row>
    <row r="131" customFormat="false" ht="28.35" hidden="false" customHeight="false" outlineLevel="0" collapsed="false">
      <c r="A131" s="14" t="s">
        <v>245</v>
      </c>
      <c r="B131" s="16"/>
      <c r="C131" s="16"/>
      <c r="D131" s="16"/>
      <c r="E131" s="15" t="n">
        <f aca="false">IF(E105=0,"",E106)</f>
        <v>362</v>
      </c>
      <c r="F131" s="16"/>
      <c r="G131" s="12"/>
    </row>
    <row r="132" customFormat="false" ht="15" hidden="false" customHeight="false" outlineLevel="0" collapsed="false">
      <c r="A132" s="14" t="s">
        <v>246</v>
      </c>
      <c r="B132" s="16"/>
      <c r="C132" s="16"/>
      <c r="D132" s="16"/>
      <c r="E132" s="18" t="n">
        <f aca="false">COUNTIFS(paid_brands!$AC$2:$AC$51,"&lt;&gt;",paid_brands!$AC$2:$AC$51,Config!$B$20,paid_brands!$AD$2:$AD$51,"founding")</f>
        <v>1</v>
      </c>
      <c r="F132" s="16"/>
      <c r="G132" s="12"/>
    </row>
    <row r="133" customFormat="false" ht="15" hidden="false" customHeight="false" outlineLevel="0" collapsed="false">
      <c r="A133" s="14" t="s">
        <v>247</v>
      </c>
      <c r="B133" s="16"/>
      <c r="C133" s="16"/>
      <c r="D133" s="16"/>
      <c r="E133" s="18" t="n">
        <f aca="false">COUNTIFS(paid_brands!$AC$2:$AC$51,"&lt;&gt;",paid_brands!$AC$2:$AC$51,Config!$B$20)</f>
        <v>1</v>
      </c>
      <c r="F133" s="16"/>
      <c r="G133" s="12"/>
    </row>
    <row r="134" customFormat="false" ht="15" hidden="false" customHeight="false" outlineLevel="0" collapsed="false">
      <c r="A134" s="14" t="s">
        <v>248</v>
      </c>
      <c r="B134" s="16"/>
      <c r="C134" s="16"/>
      <c r="D134" s="16"/>
      <c r="E134" s="18" t="str">
        <f aca="false">IF(AND(E27="PASS",N(E129)&gt;=2),"Y","N")</f>
        <v>Y</v>
      </c>
      <c r="F134" s="16"/>
      <c r="G134" s="12"/>
    </row>
    <row r="135" customFormat="false" ht="28.35" hidden="false" customHeight="false" outlineLevel="0" collapsed="false">
      <c r="A135" s="9" t="s">
        <v>249</v>
      </c>
      <c r="B135" s="16"/>
      <c r="C135" s="16"/>
      <c r="D135" s="16"/>
      <c r="E135" s="16"/>
      <c r="F135" s="16"/>
      <c r="G135" s="12"/>
    </row>
    <row r="136" customFormat="false" ht="15" hidden="false" customHeight="false" outlineLevel="0" collapsed="false">
      <c r="A136" s="14"/>
      <c r="B136" s="16"/>
      <c r="C136" s="16"/>
      <c r="D136" s="16"/>
      <c r="E136" s="16"/>
      <c r="F136" s="16"/>
      <c r="G136" s="12"/>
    </row>
    <row r="137" customFormat="false" ht="15" hidden="false" customHeight="true" outlineLevel="0" collapsed="false">
      <c r="A137" s="13" t="s">
        <v>250</v>
      </c>
      <c r="B137" s="13"/>
      <c r="C137" s="13"/>
      <c r="D137" s="13"/>
      <c r="E137" s="13"/>
      <c r="F137" s="13"/>
      <c r="G137" s="13"/>
    </row>
    <row r="138" customFormat="false" ht="15" hidden="false" customHeight="false" outlineLevel="0" collapsed="false">
      <c r="A138" s="8" t="s">
        <v>251</v>
      </c>
      <c r="B138" s="16"/>
      <c r="C138" s="16"/>
      <c r="D138" s="16"/>
      <c r="E138" s="8" t="s">
        <v>252</v>
      </c>
      <c r="F138" s="8" t="s">
        <v>253</v>
      </c>
      <c r="G138" s="8" t="s">
        <v>254</v>
      </c>
    </row>
    <row r="139" customFormat="false" ht="15" hidden="false" customHeight="false" outlineLevel="0" collapsed="false">
      <c r="A139" s="14" t="s">
        <v>255</v>
      </c>
      <c r="B139" s="16"/>
      <c r="C139" s="16"/>
      <c r="D139" s="16"/>
      <c r="E139" s="18" t="n">
        <f aca="false">COUNTIF(Office_Log!$AY$2:$AY$201,"?*")</f>
        <v>4</v>
      </c>
      <c r="F139" s="18" t="str">
        <f aca="false">IF(N(E139)=0,"OK","FIX")</f>
        <v>FIX</v>
      </c>
      <c r="G139" s="9" t="s">
        <v>256</v>
      </c>
    </row>
    <row r="140" customFormat="false" ht="15" hidden="false" customHeight="false" outlineLevel="0" collapsed="false">
      <c r="A140" s="14" t="s">
        <v>257</v>
      </c>
      <c r="B140" s="16"/>
      <c r="C140" s="16"/>
      <c r="D140" s="16"/>
      <c r="E140" s="18" t="n">
        <f aca="false">COUNTIF(Brand_Log!$AV$2:$AV$201,"?*")</f>
        <v>1</v>
      </c>
      <c r="F140" s="18" t="str">
        <f aca="false">IF(N(E140)=0,"OK","FIX")</f>
        <v>FIX</v>
      </c>
      <c r="G140" s="9" t="s">
        <v>258</v>
      </c>
    </row>
    <row r="141" customFormat="false" ht="15" hidden="false" customHeight="false" outlineLevel="0" collapsed="false">
      <c r="A141" s="14" t="s">
        <v>259</v>
      </c>
      <c r="B141" s="16"/>
      <c r="C141" s="16"/>
      <c r="D141" s="16"/>
      <c r="E141" s="18" t="n">
        <f aca="false">COUNTIF(Sync!$G$22:$G$621,"?*")</f>
        <v>2</v>
      </c>
      <c r="F141" s="18" t="str">
        <f aca="false">IF(N(E141)=0,"OK","FIX")</f>
        <v>FIX</v>
      </c>
      <c r="G141" s="9" t="s">
        <v>260</v>
      </c>
    </row>
    <row r="142" customFormat="false" ht="15" hidden="false" customHeight="false" outlineLevel="0" collapsed="false">
      <c r="A142" s="14" t="s">
        <v>261</v>
      </c>
      <c r="B142" s="16"/>
      <c r="C142" s="16"/>
      <c r="D142" s="16"/>
      <c r="E142" s="18" t="n">
        <f aca="false">COUNTIF(Sync!$N$22:$N$621,"?*")</f>
        <v>1</v>
      </c>
      <c r="F142" s="18" t="str">
        <f aca="false">IF(N(E142)=0,"OK","FIX")</f>
        <v>FIX</v>
      </c>
      <c r="G142" s="9" t="s">
        <v>262</v>
      </c>
    </row>
    <row r="143" customFormat="false" ht="15" hidden="false" customHeight="false" outlineLevel="0" collapsed="false">
      <c r="A143" s="14" t="s">
        <v>263</v>
      </c>
      <c r="B143" s="16"/>
      <c r="C143" s="16"/>
      <c r="D143" s="16"/>
      <c r="E143" s="18" t="n">
        <f aca="false">COUNTIF(Sync!$R$22:$R$71,"?*")+COUNTIF(Sync!$V$22:$V$71,"?*")</f>
        <v>0</v>
      </c>
      <c r="F143" s="18" t="str">
        <f aca="false">IF(N(E143)=0,"OK","FIX")</f>
        <v>OK</v>
      </c>
      <c r="G143" s="9" t="s">
        <v>264</v>
      </c>
    </row>
    <row r="144" customFormat="false" ht="15" hidden="false" customHeight="false" outlineLevel="0" collapsed="false">
      <c r="A144" s="14" t="s">
        <v>265</v>
      </c>
      <c r="B144" s="16"/>
      <c r="C144" s="16"/>
      <c r="D144" s="16"/>
      <c r="E144" s="18" t="n">
        <f aca="false">COUNTIF(Sync!$E$5:$E$19,"?*")</f>
        <v>0</v>
      </c>
      <c r="F144" s="18" t="str">
        <f aca="false">IF(N(E144)=0,"OK","FIX")</f>
        <v>OK</v>
      </c>
      <c r="G144" s="9" t="s">
        <v>266</v>
      </c>
    </row>
    <row r="145" customFormat="false" ht="15" hidden="false" customHeight="false" outlineLevel="0" collapsed="false">
      <c r="A145" s="14" t="s">
        <v>267</v>
      </c>
      <c r="B145" s="16"/>
      <c r="C145" s="16"/>
      <c r="D145" s="16"/>
      <c r="E145" s="18" t="n">
        <f aca="false">IF(Config!$B$21="",999,Config!$B$5-Config!$B$21)</f>
        <v>0</v>
      </c>
      <c r="F145" s="18" t="str">
        <f aca="false">IF(N(E145)&lt;=1,"OK","FIX")</f>
        <v>OK</v>
      </c>
      <c r="G145" s="9" t="s">
        <v>268</v>
      </c>
    </row>
    <row r="146" customFormat="false" ht="15" hidden="false" customHeight="false" outlineLevel="0" collapsed="false">
      <c r="A146" s="14" t="s">
        <v>269</v>
      </c>
      <c r="B146" s="16"/>
      <c r="C146" s="16"/>
      <c r="D146" s="16"/>
      <c r="E146" s="18" t="n">
        <f aca="false">IF(Config!$B$22="",999,Config!$B$5-Config!$B$22)</f>
        <v>0</v>
      </c>
      <c r="F146" s="18" t="str">
        <f aca="false">IF(N(E146)&lt;=1,"OK","FIX")</f>
        <v>OK</v>
      </c>
      <c r="G146" s="9" t="s">
        <v>270</v>
      </c>
    </row>
    <row r="147" customFormat="false" ht="15" hidden="false" customHeight="false" outlineLevel="0" collapsed="false">
      <c r="A147" s="14" t="s">
        <v>271</v>
      </c>
      <c r="B147" s="16"/>
      <c r="C147" s="16"/>
      <c r="D147" s="16"/>
      <c r="E147" s="18" t="n">
        <f aca="false">SUM(Office_Log!$BG$2:$BG$201)</f>
        <v>2</v>
      </c>
      <c r="F147" s="18" t="str">
        <f aca="false">"info"</f>
        <v>info</v>
      </c>
      <c r="G147" s="9" t="s">
        <v>272</v>
      </c>
    </row>
    <row r="148" customFormat="false" ht="15" hidden="false" customHeight="false" outlineLevel="0" collapsed="false">
      <c r="A148" s="14" t="s">
        <v>273</v>
      </c>
      <c r="B148" s="16"/>
      <c r="C148" s="16"/>
      <c r="D148" s="16"/>
      <c r="E148" s="18" t="n">
        <f aca="false">SUM(Office_Log!$BU$2:$BU$201)</f>
        <v>0</v>
      </c>
      <c r="F148" s="18" t="str">
        <f aca="false">IF(N(E148)=0,"OK","FIX")</f>
        <v>OK</v>
      </c>
      <c r="G148" s="9" t="s">
        <v>274</v>
      </c>
    </row>
    <row r="149" customFormat="false" ht="15" hidden="false" customHeight="false" outlineLevel="0" collapsed="false">
      <c r="A149" s="14" t="s">
        <v>275</v>
      </c>
      <c r="B149" s="16"/>
      <c r="C149" s="16"/>
      <c r="D149" s="16"/>
      <c r="E149" s="18" t="n">
        <f aca="false">SUM(Brand_Log!$BW$2:$BW$201)</f>
        <v>0</v>
      </c>
      <c r="F149" s="18" t="str">
        <f aca="false">IF(N(E149)=0,"OK","FIX")</f>
        <v>OK</v>
      </c>
      <c r="G149" s="9" t="s">
        <v>274</v>
      </c>
    </row>
    <row r="150" customFormat="false" ht="15" hidden="false" customHeight="false" outlineLevel="0" collapsed="false">
      <c r="A150" s="14" t="s">
        <v>276</v>
      </c>
      <c r="B150" s="16"/>
      <c r="C150" s="16"/>
      <c r="D150" s="16"/>
      <c r="E150" s="18" t="n">
        <f aca="false">COUNTIF(Office_Log!$AY$2:$AY$201,"call_date*")+COUNTIF(Brand_Log!$AV$2:$AV$201,"call_date*")</f>
        <v>0</v>
      </c>
      <c r="F150" s="18" t="str">
        <f aca="false">IF(N(E150)=0,"OK","FIX")</f>
        <v>OK</v>
      </c>
      <c r="G150" s="9" t="s">
        <v>277</v>
      </c>
    </row>
    <row r="151" customFormat="false" ht="15" hidden="false" customHeight="false" outlineLevel="0" collapsed="false">
      <c r="A151" s="14" t="s">
        <v>278</v>
      </c>
      <c r="B151" s="16"/>
      <c r="C151" s="16"/>
      <c r="D151" s="16"/>
      <c r="E151" s="18" t="n">
        <f aca="false">IFERROR(SUMPRODUCT(--ISTEXT(INDEX(Clay_Offices!$A$2:$FZ$601,0,Sync!$C$11))),0)+IFERROR(SUMPRODUCT(--ISTEXT(INDEX(Clay_Brands!$A$2:$FZ$601,0,Sync!$D$11))),0)</f>
        <v>0</v>
      </c>
      <c r="F151" s="18" t="str">
        <f aca="false">IF(N(E151)=0,"OK","FIX")</f>
        <v>OK</v>
      </c>
      <c r="G151" s="9" t="s">
        <v>279</v>
      </c>
    </row>
    <row r="152" customFormat="false" ht="15" hidden="false" customHeight="false" outlineLevel="0" collapsed="false">
      <c r="A152" s="14" t="s">
        <v>280</v>
      </c>
      <c r="B152" s="16"/>
      <c r="C152" s="16"/>
      <c r="D152" s="16"/>
      <c r="E152" s="18" t="n">
        <f aca="false">MAX(0,COUNT(Pipeline_Calc!$A$2:$A$5251)-1000)</f>
        <v>0</v>
      </c>
      <c r="F152" s="18" t="str">
        <f aca="false">IF(N(E152)=0,"OK","FIX")</f>
        <v>OK</v>
      </c>
      <c r="G152" s="9" t="s">
        <v>281</v>
      </c>
    </row>
    <row r="153" customFormat="false" ht="15" hidden="false" customHeight="false" outlineLevel="0" collapsed="false">
      <c r="A153" s="14" t="s">
        <v>282</v>
      </c>
      <c r="B153" s="16"/>
      <c r="C153" s="16"/>
      <c r="D153" s="16"/>
      <c r="E153" s="18" t="n">
        <f aca="false">COUNTIF(Office_Log!$BY$2:$BY$201,"&gt;"&amp;Config!$B$18)+COUNTIF(Brand_Log!$CA$2:$CA$201,"&gt;"&amp;Config!$B$18)</f>
        <v>5</v>
      </c>
      <c r="F153" s="18" t="str">
        <f aca="false">"info"</f>
        <v>info</v>
      </c>
      <c r="G153" s="9" t="s">
        <v>283</v>
      </c>
    </row>
    <row r="154" customFormat="false" ht="15" hidden="false" customHeight="false" outlineLevel="0" collapsed="false">
      <c r="A154" s="14" t="s">
        <v>284</v>
      </c>
      <c r="B154" s="16"/>
      <c r="C154" s="16"/>
      <c r="D154" s="16"/>
      <c r="E154" s="18" t="n">
        <f aca="false">IFERROR(MEDIAN(Office_Log!$BY$2:$BY$201,Brand_Log!$CA$2:$CA$201),"none yet")</f>
        <v>9</v>
      </c>
      <c r="F154" s="18" t="str">
        <f aca="false">"info"</f>
        <v>info</v>
      </c>
      <c r="G154" s="9" t="s">
        <v>285</v>
      </c>
    </row>
    <row r="155" customFormat="false" ht="28.35" hidden="false" customHeight="false" outlineLevel="0" collapsed="false">
      <c r="A155" s="14" t="s">
        <v>286</v>
      </c>
      <c r="B155" s="16"/>
      <c r="C155" s="16"/>
      <c r="D155" s="16"/>
      <c r="E155" s="18" t="n">
        <f aca="false">SUMPRODUCT((signed_offices!$W$2:$W$51&lt;&gt;"")*1)-SUMPRODUCT((signed_offices!$W$2:$W$51&lt;&gt;"")/COUNTIF(signed_offices!$W$2:$W$51,signed_offices!$W$2:$W$51&amp;""))+SUMPRODUCT((paid_brands!$AC$2:$AC$51&lt;&gt;"")*1)-SUMPRODUCT((paid_brands!$AC$2:$AC$51&lt;&gt;"")/COUNTIF(paid_brands!$AC$2:$AC$51,paid_brands!$AC$2:$AC$51&amp;""))</f>
        <v>0</v>
      </c>
      <c r="F155" s="18" t="str">
        <f aca="false">IF(N(E155)=0,"OK","FIX")</f>
        <v>OK</v>
      </c>
      <c r="G155" s="9" t="s">
        <v>287</v>
      </c>
    </row>
    <row r="156" customFormat="false" ht="28.35" hidden="false" customHeight="false" outlineLevel="0" collapsed="false">
      <c r="A156" s="14" t="s">
        <v>288</v>
      </c>
      <c r="B156" s="16"/>
      <c r="C156" s="16"/>
      <c r="D156" s="16"/>
      <c r="E156" s="18" t="n">
        <f aca="false">SUM(Office_Log!$DX$2:$DX$201)+SUM(Brand_Log!$DP$2:$DP$201)</f>
        <v>0</v>
      </c>
      <c r="F156" s="18" t="str">
        <f aca="false">IF(N(E156)=0,"OK","FIX")</f>
        <v>OK</v>
      </c>
      <c r="G156" s="9" t="s">
        <v>289</v>
      </c>
    </row>
    <row r="157" customFormat="false" ht="28.35" hidden="false" customHeight="false" outlineLevel="0" collapsed="false">
      <c r="A157" s="14" t="s">
        <v>290</v>
      </c>
      <c r="B157" s="16"/>
      <c r="C157" s="16"/>
      <c r="D157" s="16"/>
      <c r="E157" s="18" t="n">
        <f aca="false">SUM(Office_Log!$DY$2:$DY$201)+SUM(Brand_Log!$DQ$2:$DQ$201)</f>
        <v>0</v>
      </c>
      <c r="F157" s="18" t="str">
        <f aca="false">IF(N(E157)=0,"OK","FIX")</f>
        <v>OK</v>
      </c>
      <c r="G157" s="9" t="s">
        <v>291</v>
      </c>
    </row>
    <row r="158" customFormat="false" ht="41.75" hidden="false" customHeight="false" outlineLevel="0" collapsed="false">
      <c r="A158" s="14" t="s">
        <v>292</v>
      </c>
      <c r="B158" s="16"/>
      <c r="C158" s="16"/>
      <c r="D158" s="16"/>
      <c r="E158" s="18" t="n">
        <f aca="false">SUM(Office_Log!$EF$2:$EF$201)+SUM(Brand_Log!$DX$2:$DX$201)</f>
        <v>0</v>
      </c>
      <c r="F158" s="18" t="str">
        <f aca="false">"info"</f>
        <v>info</v>
      </c>
      <c r="G158" s="9" t="s">
        <v>293</v>
      </c>
    </row>
    <row r="159" customFormat="false" ht="28.35" hidden="false" customHeight="false" outlineLevel="0" collapsed="false">
      <c r="A159" s="14" t="s">
        <v>294</v>
      </c>
      <c r="B159" s="16"/>
      <c r="C159" s="16"/>
      <c r="D159" s="16"/>
      <c r="E159" s="18" t="n">
        <f aca="false">COUNTIF(Office_Log!$EN$2:$EN$201,1)</f>
        <v>0</v>
      </c>
      <c r="F159" s="18" t="str">
        <f aca="false">"info"</f>
        <v>info</v>
      </c>
      <c r="G159" s="9" t="s">
        <v>295</v>
      </c>
    </row>
    <row r="160" customFormat="false" ht="28.35" hidden="false" customHeight="false" outlineLevel="0" collapsed="false">
      <c r="A160" s="14" t="s">
        <v>296</v>
      </c>
      <c r="B160" s="16"/>
      <c r="C160" s="16"/>
      <c r="D160" s="16"/>
      <c r="E160" s="18" t="n">
        <f aca="false">COUNTIF(Office_Log!$DW$2:$DW$201,1)+COUNTIF(Brand_Log!$DO$2:$DO$201,1)</f>
        <v>1</v>
      </c>
      <c r="F160" s="18" t="str">
        <f aca="false">"info"</f>
        <v>info</v>
      </c>
      <c r="G160" s="9" t="s">
        <v>297</v>
      </c>
    </row>
    <row r="161" customFormat="false" ht="15" hidden="false" customHeight="false" outlineLevel="0" collapsed="false">
      <c r="A161" s="14" t="s">
        <v>298</v>
      </c>
      <c r="B161" s="16"/>
      <c r="C161" s="16"/>
      <c r="D161" s="16"/>
      <c r="E161" s="18" t="n">
        <f aca="false">COUNTIF(Office_Log!$A$2:$A$201,"SAMPLE*")+COUNTIF(Brand_Log!$A$2:$A$201,"SAMPLE*")+COUNTIF(signed_offices!$W$2:$W$51,"SAMPLE*")+COUNTIF(paid_brands!$AC$2:$AC$51,"SAMPLE*")+COUNTIF(later_events!$C$2:$C$101,"SAMPLE*")+IFERROR(COUNTIF(INDEX(Clay_Offices!$A$2:$FZ$601,0,Sync!$C$5),"SAMPLE*"),0)+IFERROR(COUNTIF(INDEX(Clay_Brands!$A$2:$FZ$601,0,Sync!$D$5),"SAMPLE*"),0)</f>
        <v>118</v>
      </c>
      <c r="F161" s="18" t="str">
        <f aca="false">IF(N(E161)=0,"OK",IF(Config!$B$19="Y","SAMPLE","ignored"))</f>
        <v>SAMPLE</v>
      </c>
      <c r="G161" s="9" t="s">
        <v>299</v>
      </c>
    </row>
  </sheetData>
  <mergeCells count="24">
    <mergeCell ref="A1:G1"/>
    <mergeCell ref="A7:G7"/>
    <mergeCell ref="A24:G24"/>
    <mergeCell ref="A39:G39"/>
    <mergeCell ref="B41:G41"/>
    <mergeCell ref="B42:G42"/>
    <mergeCell ref="B43:G43"/>
    <mergeCell ref="A45:G45"/>
    <mergeCell ref="C48:G48"/>
    <mergeCell ref="C49:G49"/>
    <mergeCell ref="C50:G50"/>
    <mergeCell ref="C52:G52"/>
    <mergeCell ref="C53:G53"/>
    <mergeCell ref="C54:G54"/>
    <mergeCell ref="A56:G56"/>
    <mergeCell ref="B66:G66"/>
    <mergeCell ref="B67:G67"/>
    <mergeCell ref="B76:G76"/>
    <mergeCell ref="B77:G77"/>
    <mergeCell ref="A80:G80"/>
    <mergeCell ref="A102:G102"/>
    <mergeCell ref="A112:G112"/>
    <mergeCell ref="A128:G128"/>
    <mergeCell ref="A137:G137"/>
  </mergeCells>
  <conditionalFormatting sqref="A1:G1">
    <cfRule type="expression" priority="2" aboveAverage="0" equalAverage="0" bottom="0" percent="0" rank="0" text="" dxfId="0">
      <formula>LEN($A$1)&gt;0</formula>
    </cfRule>
  </conditionalFormatting>
  <conditionalFormatting sqref="B7:F162">
    <cfRule type="expression" priority="3" aboveAverage="0" equalAverage="0" bottom="0" percent="0" rank="0" text="" dxfId="1">
      <formula>B7="PASS"</formula>
    </cfRule>
    <cfRule type="expression" priority="4" aboveAverage="0" equalAverage="0" bottom="0" percent="0" rank="0" text="" dxfId="1">
      <formula>B7="OK"</formula>
    </cfRule>
    <cfRule type="expression" priority="5" aboveAverage="0" equalAverage="0" bottom="0" percent="0" rank="0" text="" dxfId="2">
      <formula>B7="FAIL"</formula>
    </cfRule>
    <cfRule type="expression" priority="6" aboveAverage="0" equalAverage="0" bottom="0" percent="0" rank="0" text="" dxfId="2">
      <formula>B7="FIX"</formula>
    </cfRule>
    <cfRule type="expression" priority="7" aboveAverage="0" equalAverage="0" bottom="0" percent="0" rank="0" text="" dxfId="3">
      <formula>B7="not yet"</formula>
    </cfRule>
    <cfRule type="expression" priority="8" aboveAverage="0" equalAverage="0" bottom="0" percent="0" rank="0" text="" dxfId="4">
      <formula>LEFT(B7,10)="INCOMPLETE"</formula>
    </cfRule>
  </conditionalFormatting>
  <conditionalFormatting sqref="B1:G162">
    <cfRule type="expression" priority="9" aboveAverage="0" equalAverage="0" bottom="0" percent="0" rank="0" text="" dxfId="4">
      <formula>LEFT(B1,8)="UNDER 20"</formula>
    </cfRule>
    <cfRule type="expression" priority="10" aboveAverage="0" equalAverage="0" bottom="0" percent="0" rank="0" text="" dxfId="4">
      <formula>LEFT(B1,13)="OPT-OUTS OVER"</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R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20"/>
    <col collapsed="false" customWidth="true" hidden="false" outlineLevel="0" max="3" min="3" style="0" width="12"/>
    <col collapsed="false" customWidth="true" hidden="false" outlineLevel="0" max="4" min="4" style="0" width="17"/>
    <col collapsed="false" customWidth="true" hidden="false" outlineLevel="0" max="5" min="5" style="0" width="18"/>
    <col collapsed="false" customWidth="true" hidden="false" outlineLevel="0" max="6" min="6" style="0" width="16"/>
    <col collapsed="false" customWidth="true" hidden="false" outlineLevel="0" max="7" min="7" style="0" width="10"/>
    <col collapsed="false" customWidth="true" hidden="false" outlineLevel="0" max="8" min="8" style="0" width="11"/>
    <col collapsed="false" customWidth="true" hidden="false" outlineLevel="0" max="9" min="9" style="0" width="9"/>
    <col collapsed="false" customWidth="true" hidden="false" outlineLevel="0" max="10" min="10" style="0" width="34"/>
    <col collapsed="false" customWidth="true" hidden="false" outlineLevel="0" max="11" min="11" style="0" width="14"/>
    <col collapsed="false" customWidth="true" hidden="false" outlineLevel="0" max="12" min="12" style="0" width="7"/>
    <col collapsed="false" customWidth="true" hidden="false" outlineLevel="0" max="13" min="13" style="0" width="9"/>
    <col collapsed="false" customWidth="true" hidden="false" outlineLevel="0" max="14" min="14" style="0" width="20"/>
    <col collapsed="false" customWidth="true" hidden="false" outlineLevel="0" max="15" min="15" style="0" width="9"/>
    <col collapsed="false" customWidth="true" hidden="false" outlineLevel="0" max="16" min="16" style="0" width="16"/>
    <col collapsed="false" customWidth="true" hidden="false" outlineLevel="0" max="17" min="17" style="0" width="7"/>
    <col collapsed="false" customWidth="true" hidden="false" outlineLevel="0" max="20" min="18" style="0" width="26"/>
    <col collapsed="false" customWidth="true" hidden="false" outlineLevel="0" max="21" min="21" style="0" width="8"/>
    <col collapsed="false" customWidth="true" hidden="false" outlineLevel="0" max="22" min="22" style="0" width="18"/>
    <col collapsed="false" customWidth="true" hidden="false" outlineLevel="0" max="23" min="23" style="0" width="7"/>
    <col collapsed="false" customWidth="true" hidden="false" outlineLevel="0" max="24" min="24" style="0" width="32"/>
    <col collapsed="false" customWidth="true" hidden="false" outlineLevel="0" max="26" min="25" style="0" width="9"/>
    <col collapsed="false" customWidth="true" hidden="false" outlineLevel="0" max="27" min="27" style="0" width="7"/>
    <col collapsed="false" customWidth="true" hidden="false" outlineLevel="0" max="28" min="28" style="0" width="22"/>
    <col collapsed="false" customWidth="true" hidden="false" outlineLevel="0" max="29" min="29" style="0" width="7"/>
    <col collapsed="false" customWidth="true" hidden="false" outlineLevel="0" max="31" min="30" style="0" width="15"/>
    <col collapsed="false" customWidth="true" hidden="false" outlineLevel="0" max="32" min="32" style="0" width="7"/>
    <col collapsed="false" customWidth="true" hidden="false" outlineLevel="0" max="33" min="33" style="0" width="12"/>
    <col collapsed="false" customWidth="true" hidden="false" outlineLevel="0" max="34" min="34" style="0" width="15"/>
    <col collapsed="false" customWidth="true" hidden="false" outlineLevel="0" max="35" min="35" style="0" width="11"/>
    <col collapsed="false" customWidth="true" hidden="false" outlineLevel="0" max="36" min="36" style="0" width="8"/>
    <col collapsed="false" customWidth="true" hidden="false" outlineLevel="0" max="39" min="37" style="0" width="18"/>
    <col collapsed="false" customWidth="true" hidden="false" outlineLevel="0" max="42" min="40" style="0" width="14"/>
    <col collapsed="false" customWidth="true" hidden="false" outlineLevel="0" max="43" min="43" style="0" width="30"/>
    <col collapsed="false" customWidth="true" hidden="false" outlineLevel="0" max="44" min="44" style="0" width="7"/>
    <col collapsed="false" customWidth="true" hidden="false" outlineLevel="0" max="45" min="45" style="0" width="16"/>
    <col collapsed="false" customWidth="true" hidden="false" outlineLevel="0" max="49" min="46" style="0" width="7"/>
    <col collapsed="false" customWidth="true" hidden="false" outlineLevel="0" max="50" min="50" style="0" width="24"/>
    <col collapsed="false" customWidth="true" hidden="false" outlineLevel="0" max="51" min="51" style="0" width="34"/>
    <col collapsed="false" customWidth="true" hidden="false" outlineLevel="0" max="52" min="52" style="0" width="18"/>
    <col collapsed="false" customWidth="true" hidden="true" outlineLevel="1" max="148" min="53" style="0" width="11"/>
  </cols>
  <sheetData>
    <row r="1" customFormat="false" ht="42" hidden="false" customHeight="true" outlineLevel="0" collapsed="false">
      <c r="A1" s="8" t="s">
        <v>300</v>
      </c>
      <c r="B1" s="8" t="s">
        <v>301</v>
      </c>
      <c r="C1" s="8" t="s">
        <v>302</v>
      </c>
      <c r="D1" s="8" t="s">
        <v>303</v>
      </c>
      <c r="E1" s="8" t="s">
        <v>304</v>
      </c>
      <c r="F1" s="8" t="s">
        <v>305</v>
      </c>
      <c r="G1" s="8" t="s">
        <v>306</v>
      </c>
      <c r="H1" s="8" t="s">
        <v>307</v>
      </c>
      <c r="I1" s="8" t="s">
        <v>308</v>
      </c>
      <c r="J1" s="8" t="s">
        <v>309</v>
      </c>
      <c r="K1" s="8" t="s">
        <v>310</v>
      </c>
      <c r="L1" s="8" t="s">
        <v>311</v>
      </c>
      <c r="M1" s="8" t="s">
        <v>312</v>
      </c>
      <c r="N1" s="8" t="s">
        <v>313</v>
      </c>
      <c r="O1" s="8" t="s">
        <v>314</v>
      </c>
      <c r="P1" s="8" t="s">
        <v>315</v>
      </c>
      <c r="Q1" s="8" t="s">
        <v>316</v>
      </c>
      <c r="R1" s="8" t="s">
        <v>317</v>
      </c>
      <c r="S1" s="8" t="s">
        <v>318</v>
      </c>
      <c r="T1" s="8" t="s">
        <v>319</v>
      </c>
      <c r="U1" s="8" t="s">
        <v>320</v>
      </c>
      <c r="V1" s="8" t="s">
        <v>321</v>
      </c>
      <c r="W1" s="8" t="s">
        <v>322</v>
      </c>
      <c r="X1" s="8" t="s">
        <v>323</v>
      </c>
      <c r="Y1" s="8" t="s">
        <v>324</v>
      </c>
      <c r="Z1" s="8" t="s">
        <v>325</v>
      </c>
      <c r="AA1" s="8" t="s">
        <v>326</v>
      </c>
      <c r="AB1" s="8" t="s">
        <v>327</v>
      </c>
      <c r="AC1" s="8" t="s">
        <v>328</v>
      </c>
      <c r="AD1" s="8" t="s">
        <v>329</v>
      </c>
      <c r="AE1" s="8" t="s">
        <v>330</v>
      </c>
      <c r="AF1" s="8" t="s">
        <v>331</v>
      </c>
      <c r="AG1" s="8" t="s">
        <v>332</v>
      </c>
      <c r="AH1" s="8" t="s">
        <v>333</v>
      </c>
      <c r="AI1" s="8" t="s">
        <v>334</v>
      </c>
      <c r="AJ1" s="8" t="s">
        <v>335</v>
      </c>
      <c r="AK1" s="8" t="s">
        <v>336</v>
      </c>
      <c r="AL1" s="8" t="s">
        <v>337</v>
      </c>
      <c r="AM1" s="8" t="s">
        <v>338</v>
      </c>
      <c r="AN1" s="8" t="s">
        <v>339</v>
      </c>
      <c r="AO1" s="8" t="s">
        <v>340</v>
      </c>
      <c r="AP1" s="8" t="s">
        <v>341</v>
      </c>
      <c r="AQ1" s="8" t="s">
        <v>342</v>
      </c>
      <c r="AR1" s="8" t="s">
        <v>343</v>
      </c>
      <c r="AS1" s="8" t="s">
        <v>344</v>
      </c>
      <c r="AT1" s="8" t="s">
        <v>345</v>
      </c>
      <c r="AU1" s="8" t="s">
        <v>346</v>
      </c>
      <c r="AV1" s="8" t="s">
        <v>347</v>
      </c>
      <c r="AW1" s="8" t="s">
        <v>348</v>
      </c>
      <c r="AX1" s="8" t="s">
        <v>349</v>
      </c>
      <c r="AY1" s="21" t="s">
        <v>350</v>
      </c>
      <c r="AZ1" s="21" t="s">
        <v>351</v>
      </c>
      <c r="BA1" s="21" t="s">
        <v>352</v>
      </c>
      <c r="BB1" s="21" t="s">
        <v>353</v>
      </c>
      <c r="BC1" s="21" t="s">
        <v>354</v>
      </c>
      <c r="BD1" s="21" t="s">
        <v>355</v>
      </c>
      <c r="BE1" s="21" t="s">
        <v>356</v>
      </c>
      <c r="BF1" s="21" t="s">
        <v>357</v>
      </c>
      <c r="BG1" s="21" t="s">
        <v>358</v>
      </c>
      <c r="BH1" s="21" t="s">
        <v>359</v>
      </c>
      <c r="BI1" s="21" t="s">
        <v>360</v>
      </c>
      <c r="BJ1" s="21" t="s">
        <v>361</v>
      </c>
      <c r="BK1" s="21" t="s">
        <v>362</v>
      </c>
      <c r="BL1" s="21" t="s">
        <v>363</v>
      </c>
      <c r="BM1" s="21" t="s">
        <v>364</v>
      </c>
      <c r="BN1" s="21" t="s">
        <v>365</v>
      </c>
      <c r="BO1" s="21" t="s">
        <v>366</v>
      </c>
      <c r="BP1" s="21" t="s">
        <v>367</v>
      </c>
      <c r="BQ1" s="21" t="s">
        <v>368</v>
      </c>
      <c r="BR1" s="21" t="s">
        <v>369</v>
      </c>
      <c r="BS1" s="21" t="s">
        <v>370</v>
      </c>
      <c r="BT1" s="21" t="s">
        <v>371</v>
      </c>
      <c r="BU1" s="21" t="s">
        <v>372</v>
      </c>
      <c r="BV1" s="21" t="s">
        <v>373</v>
      </c>
      <c r="BW1" s="21" t="s">
        <v>374</v>
      </c>
      <c r="BX1" s="21" t="s">
        <v>375</v>
      </c>
      <c r="BY1" s="21" t="s">
        <v>376</v>
      </c>
      <c r="BZ1" s="21" t="s">
        <v>377</v>
      </c>
      <c r="CA1" s="21" t="s">
        <v>378</v>
      </c>
      <c r="CB1" s="21" t="s">
        <v>379</v>
      </c>
      <c r="CC1" s="21" t="s">
        <v>380</v>
      </c>
      <c r="CD1" s="21" t="s">
        <v>381</v>
      </c>
      <c r="CE1" s="21" t="s">
        <v>382</v>
      </c>
      <c r="CF1" s="21" t="s">
        <v>383</v>
      </c>
      <c r="CG1" s="21" t="s">
        <v>384</v>
      </c>
      <c r="CH1" s="21" t="s">
        <v>385</v>
      </c>
      <c r="CI1" s="21" t="s">
        <v>386</v>
      </c>
      <c r="CJ1" s="21" t="s">
        <v>387</v>
      </c>
      <c r="CK1" s="21" t="s">
        <v>388</v>
      </c>
      <c r="CL1" s="21" t="s">
        <v>389</v>
      </c>
      <c r="CM1" s="21" t="s">
        <v>390</v>
      </c>
      <c r="CN1" s="21" t="s">
        <v>391</v>
      </c>
      <c r="CO1" s="21" t="s">
        <v>392</v>
      </c>
      <c r="CP1" s="21" t="s">
        <v>393</v>
      </c>
      <c r="CQ1" s="21" t="s">
        <v>394</v>
      </c>
      <c r="CR1" s="21" t="s">
        <v>395</v>
      </c>
      <c r="CS1" s="21" t="s">
        <v>396</v>
      </c>
      <c r="CT1" s="21" t="s">
        <v>397</v>
      </c>
      <c r="CU1" s="21" t="s">
        <v>398</v>
      </c>
      <c r="CV1" s="21" t="s">
        <v>399</v>
      </c>
      <c r="CW1" s="21" t="s">
        <v>400</v>
      </c>
      <c r="CX1" s="21" t="s">
        <v>401</v>
      </c>
      <c r="CY1" s="21" t="s">
        <v>402</v>
      </c>
      <c r="CZ1" s="21" t="s">
        <v>403</v>
      </c>
      <c r="DA1" s="21" t="s">
        <v>404</v>
      </c>
      <c r="DB1" s="21" t="s">
        <v>405</v>
      </c>
      <c r="DC1" s="21" t="s">
        <v>406</v>
      </c>
      <c r="DD1" s="21" t="s">
        <v>407</v>
      </c>
      <c r="DE1" s="21" t="s">
        <v>408</v>
      </c>
      <c r="DF1" s="21" t="s">
        <v>409</v>
      </c>
      <c r="DG1" s="21" t="s">
        <v>410</v>
      </c>
      <c r="DH1" s="21" t="s">
        <v>411</v>
      </c>
      <c r="DI1" s="21" t="s">
        <v>412</v>
      </c>
      <c r="DJ1" s="21" t="s">
        <v>413</v>
      </c>
      <c r="DK1" s="21" t="s">
        <v>414</v>
      </c>
      <c r="DL1" s="21" t="s">
        <v>415</v>
      </c>
      <c r="DM1" s="21" t="s">
        <v>416</v>
      </c>
      <c r="DN1" s="21" t="s">
        <v>417</v>
      </c>
      <c r="DO1" s="21" t="s">
        <v>418</v>
      </c>
      <c r="DP1" s="21" t="s">
        <v>419</v>
      </c>
      <c r="DQ1" s="21" t="s">
        <v>420</v>
      </c>
      <c r="DR1" s="21" t="s">
        <v>421</v>
      </c>
      <c r="DS1" s="21" t="s">
        <v>422</v>
      </c>
      <c r="DT1" s="21" t="s">
        <v>423</v>
      </c>
      <c r="DU1" s="21" t="s">
        <v>424</v>
      </c>
      <c r="DV1" s="21" t="s">
        <v>425</v>
      </c>
      <c r="DW1" s="21" t="s">
        <v>426</v>
      </c>
      <c r="DX1" s="21" t="s">
        <v>427</v>
      </c>
      <c r="DY1" s="21" t="s">
        <v>428</v>
      </c>
      <c r="DZ1" s="21" t="s">
        <v>429</v>
      </c>
      <c r="EA1" s="21" t="s">
        <v>430</v>
      </c>
      <c r="EB1" s="21" t="s">
        <v>431</v>
      </c>
      <c r="EC1" s="21" t="s">
        <v>432</v>
      </c>
      <c r="ED1" s="21" t="s">
        <v>433</v>
      </c>
      <c r="EE1" s="21" t="s">
        <v>434</v>
      </c>
      <c r="EF1" s="21" t="s">
        <v>435</v>
      </c>
      <c r="EG1" s="21" t="s">
        <v>436</v>
      </c>
      <c r="EH1" s="21" t="s">
        <v>437</v>
      </c>
      <c r="EI1" s="21" t="s">
        <v>438</v>
      </c>
      <c r="EJ1" s="21" t="s">
        <v>439</v>
      </c>
      <c r="EK1" s="21" t="s">
        <v>440</v>
      </c>
      <c r="EL1" s="21" t="s">
        <v>441</v>
      </c>
      <c r="EM1" s="21" t="s">
        <v>442</v>
      </c>
      <c r="EN1" s="21" t="s">
        <v>443</v>
      </c>
      <c r="EO1" s="21" t="s">
        <v>444</v>
      </c>
      <c r="EP1" s="21" t="s">
        <v>445</v>
      </c>
      <c r="EQ1" s="21" t="s">
        <v>446</v>
      </c>
      <c r="ER1" s="21" t="s">
        <v>447</v>
      </c>
    </row>
    <row r="2" customFormat="false" ht="15" hidden="false" customHeight="false" outlineLevel="0" collapsed="false">
      <c r="A2" s="0" t="s">
        <v>448</v>
      </c>
      <c r="B2" s="0" t="s">
        <v>449</v>
      </c>
      <c r="D2" s="0" t="s">
        <v>450</v>
      </c>
      <c r="E2" s="0" t="s">
        <v>451</v>
      </c>
      <c r="F2" s="0" t="s">
        <v>452</v>
      </c>
      <c r="G2" s="32" t="s">
        <v>453</v>
      </c>
      <c r="H2" s="33" t="n">
        <v>46322</v>
      </c>
      <c r="I2" s="32" t="s">
        <v>454</v>
      </c>
      <c r="J2" s="32" t="s">
        <v>455</v>
      </c>
      <c r="K2" s="32" t="s">
        <v>456</v>
      </c>
      <c r="L2" s="32" t="s">
        <v>457</v>
      </c>
      <c r="M2" s="0" t="n">
        <v>800</v>
      </c>
      <c r="N2" s="32" t="s">
        <v>458</v>
      </c>
      <c r="O2" s="0" t="n">
        <v>60</v>
      </c>
      <c r="P2" s="32" t="s">
        <v>459</v>
      </c>
      <c r="Q2" s="32" t="s">
        <v>460</v>
      </c>
      <c r="R2" s="32" t="s">
        <v>461</v>
      </c>
      <c r="S2" s="32" t="s">
        <v>462</v>
      </c>
      <c r="T2" s="32" t="s">
        <v>463</v>
      </c>
      <c r="U2" s="32" t="s">
        <v>460</v>
      </c>
      <c r="V2" s="32" t="s">
        <v>464</v>
      </c>
      <c r="W2" s="32" t="s">
        <v>460</v>
      </c>
      <c r="X2" s="32" t="s">
        <v>465</v>
      </c>
      <c r="Y2" s="0" t="n">
        <v>100</v>
      </c>
      <c r="Z2" s="0" t="n">
        <v>200</v>
      </c>
      <c r="AA2" s="0" t="n">
        <v>1</v>
      </c>
      <c r="AB2" s="32" t="s">
        <v>466</v>
      </c>
      <c r="AC2" s="32" t="s">
        <v>460</v>
      </c>
      <c r="AD2" s="32" t="s">
        <v>467</v>
      </c>
      <c r="AE2" s="32" t="s">
        <v>451</v>
      </c>
      <c r="AF2" s="32" t="s">
        <v>460</v>
      </c>
      <c r="AH2" s="32" t="s">
        <v>468</v>
      </c>
      <c r="AI2" s="32" t="s">
        <v>469</v>
      </c>
      <c r="AJ2" s="32" t="s">
        <v>470</v>
      </c>
      <c r="AK2" s="32" t="s">
        <v>471</v>
      </c>
      <c r="AL2" s="32" t="s">
        <v>472</v>
      </c>
      <c r="AM2" s="32" t="s">
        <v>473</v>
      </c>
      <c r="AN2" s="32" t="s">
        <v>110</v>
      </c>
      <c r="AQ2" s="32" t="s">
        <v>474</v>
      </c>
      <c r="AR2" s="32" t="s">
        <v>460</v>
      </c>
      <c r="AS2" s="32" t="s">
        <v>475</v>
      </c>
      <c r="AT2" s="32" t="s">
        <v>460</v>
      </c>
      <c r="AU2" s="32" t="s">
        <v>460</v>
      </c>
      <c r="AV2" s="0" t="n">
        <v>9</v>
      </c>
      <c r="AW2" s="32" t="s">
        <v>460</v>
      </c>
      <c r="AY2" s="34" t="str">
        <f aca="false">IF(TRIM($A2)="","",IF(AND(LEFT($A2,6)="SAMPLE",Config!$B$19&lt;&gt;"Y"),"",IF(NOT(ISNUMBER(H2)),"call_date is blank or not a date",IF(Sync!$C$5="","Clay paste is empty or has no row_id column: paste the Clay export on Clay_Offices",IF(CW2="","row_id not found in the Clay paste: add the Clay row or fix the row_id",IF(AND(ISNUMBER(CY2),CY2&gt;=1,CY2&lt;=5),"Clay status is "&amp;CX2&amp;": set call_done or later",IF(AND(BD2=1,CZ2&lt;&gt;BZ2),"Clay yes_in_principle should be "&amp;BZ2,IF(AND(BD2=1,DA2&lt;&gt;H2),"Clay call_date should be "&amp;TEXT(H2,"yyyy-mm-dd"),""))))))))</f>
        <v/>
      </c>
      <c r="AZ2" s="23" t="str">
        <f aca="false">IF(TRIM($A2)="","",IF(TRIM(C2)&lt;&gt;"",SUBSTITUTE(SUBSTITUTE(SUBSTITUTE(SUBSTITUTE(SUBSTITUTE(SUBSTITUTE(LOWER(TRIM(C2)),"~",""),"*",""),"?",""),"&lt;",""),"&gt;",""),"=",""),IF(EA2&lt;&gt;"",EA2,IFERROR(INDEX($EA$2:$EA$201,MATCH(DZ2,$EB$2:$EB$201,0)),DZ2))))</f>
        <v>sample office 01</v>
      </c>
      <c r="BA2" s="23" t="n">
        <f aca="false">ROW()</f>
        <v>2</v>
      </c>
      <c r="BB2" s="23" t="n">
        <f aca="false">IF(AND(TRIM($A2)&lt;&gt;"",ISNUMBER(H2)),IF(AND(LEFT($A2,6)="SAMPLE",Config!$B$19&lt;&gt;"Y"),0,1),0)</f>
        <v>1</v>
      </c>
      <c r="BC2" s="23" t="n">
        <f aca="false">IF(BB2=1,IF(COUNTIFS($AZ$2:$AZ$201,AZ2,$BB$2:$BB$201,1,$H$2:$H$201,"&lt;"&amp;H2)+COUNTIFS($AZ$2:$AZ$201,AZ2,$BB$2:$BB$201,1,$H$2:$H$201,H2,$BA$2:$BA$201,"&lt;"&amp;BA2)=0,1,0),0)</f>
        <v>1</v>
      </c>
      <c r="BD2" s="23" t="n">
        <f aca="false">IF(BB2=1,IF(COUNTIFS($A$2:$A$201,$A2,$BB$2:$BB$201,1,$H$2:$H$201,"&gt;"&amp;H2)+COUNTIFS($A$2:$A$201,$A2,$BB$2:$BB$201,1,$H$2:$H$201,H2,$BA$2:$BA$201,"&gt;"&amp;BA2)=0,1,0),0)</f>
        <v>0</v>
      </c>
      <c r="BE2" s="23" t="n">
        <f aca="false">IF(AND(BB2=1,AR2="Y",AC2="Y",TRIM(AH2)&lt;&gt;""),1,0)</f>
        <v>1</v>
      </c>
      <c r="BF2" s="23" t="n">
        <f aca="false">IF(BE2=1,IF(COUNTIFS($AZ$2:$AZ$201,AZ2,$BE$2:$BE$201,1,$H$2:$H$201,"&lt;"&amp;H2)+COUNTIFS($AZ$2:$AZ$201,AZ2,$BE$2:$BE$201,1,$H$2:$H$201,H2,$BA$2:$BA$201,"&lt;"&amp;BA2)=0,1,0),0)</f>
        <v>1</v>
      </c>
      <c r="BG2" s="23" t="n">
        <f aca="false">IF(AND(BB2=1,AR2="Y",BE2=0),1,0)</f>
        <v>0</v>
      </c>
      <c r="BH2" s="23" t="n">
        <f aca="false">IF(AND(BB2=1,ISNUMBER(Y2)),1,0)</f>
        <v>1</v>
      </c>
      <c r="BI2" s="23" t="n">
        <f aca="false">IF(BH2=1,IF(COUNTIFS($AZ$2:$AZ$201,AZ2,$BH$2:$BH$201,1,$H$2:$H$201,"&lt;"&amp;H2)+COUNTIFS($AZ$2:$AZ$201,AZ2,$BH$2:$BH$201,1,$H$2:$H$201,H2,$BA$2:$BA$201,"&lt;"&amp;BA2)=0,1,0),0)</f>
        <v>1</v>
      </c>
      <c r="BJ2" s="23" t="n">
        <f aca="false">IF(AND(BI2=1,INT(N(H2))&lt;=Config!$B$6),Y2,"")</f>
        <v>100</v>
      </c>
      <c r="BK2" s="23" t="n">
        <f aca="false">IF(AND(BI2=1,INT(N(H2))&lt;=Config!$B$7),Y2,"")</f>
        <v>100</v>
      </c>
      <c r="BL2" s="23" t="n">
        <f aca="false">IF(AND(BI2=1,INT(N(H2))&lt;=Config!$B$8),Y2,"")</f>
        <v>100</v>
      </c>
      <c r="BM2" s="23" t="n">
        <f aca="false">IF(AND(BI2=1,INT(N(H2))&lt;=Config!$B$5),Y2,"")</f>
        <v>100</v>
      </c>
      <c r="BN2" s="23" t="n">
        <f aca="false">IF(CD2=1,IF(COUNTIFS($AZ$2:$AZ$201,AZ2,$CD$2:$CD$201,1,$H$2:$H$201,"&lt;"&amp;H2)+COUNTIFS($AZ$2:$AZ$201,AZ2,$CD$2:$CD$201,1,$H$2:$H$201,H2,$BA$2:$BA$201,"&lt;"&amp;BA2)=0,1,0),0)</f>
        <v>1</v>
      </c>
      <c r="BO2" s="23" t="n">
        <f aca="false">IF(AND(BB2=1,ISNUMBER(M2)),1,0)</f>
        <v>1</v>
      </c>
      <c r="BP2" s="23" t="n">
        <f aca="false">IF(BO2=1,IF(COUNTIFS($AZ$2:$AZ$201,AZ2,$BO$2:$BO$201,1,$H$2:$H$201,"&lt;"&amp;H2)+COUNTIFS($AZ$2:$AZ$201,AZ2,$BO$2:$BO$201,1,$H$2:$H$201,H2,$BA$2:$BA$201,"&lt;"&amp;BA2)=0,1,0),0)</f>
        <v>1</v>
      </c>
      <c r="BQ2" s="23" t="n">
        <f aca="false">IF(AND(BP2=1,INT(N(H2))&lt;=Config!$B$5),M2,"")</f>
        <v>800</v>
      </c>
      <c r="BR2" s="23" t="n">
        <f aca="false">IF(AND(BB2=1,OR(TRIM(X2)&lt;&gt;"",ISNUMBER(Y2))),1,0)</f>
        <v>1</v>
      </c>
      <c r="BS2" s="23" t="n">
        <f aca="false">IF(BR2=1,IF(COUNTIFS($AZ$2:$AZ$201,AZ2,$BR$2:$BR$201,1,$H$2:$H$201,"&lt;"&amp;H2)+COUNTIFS($AZ$2:$AZ$201,AZ2,$BR$2:$BR$201,1,$H$2:$H$201,H2,$BA$2:$BA$201,"&lt;"&amp;BA2)=0,1,0),0)</f>
        <v>1</v>
      </c>
      <c r="BT2" s="23" t="str">
        <f aca="false">IF(BS2=1,AZ2,"")</f>
        <v>sample office 01</v>
      </c>
      <c r="BU2" s="23" t="n">
        <f aca="false">IF(AND(BB2=1,W2="Y",TRIM(X2)=""),1,0)</f>
        <v>0</v>
      </c>
      <c r="BV2" s="23" t="str">
        <f aca="false">IF(BB2=1,AN2&amp;"","")</f>
        <v>allergy_policy</v>
      </c>
      <c r="BW2" s="23" t="str">
        <f aca="false">IF(BB2=1,AO2&amp;"","")</f>
        <v/>
      </c>
      <c r="BX2" s="23" t="str">
        <f aca="false">IF(BB2=1,AP2&amp;"","")</f>
        <v/>
      </c>
      <c r="BY2" s="23" t="n">
        <f aca="false">IF(AND(BB2=1,ISNUMBER(AV2),INT(N(H2))&lt;=Config!$B$5),AV2,"")</f>
        <v>9</v>
      </c>
      <c r="BZ2" s="23" t="str">
        <f aca="false">IF(BB2=1,IF(COUNTIFS($A$2:$A$201,$A2,$DC$2:$DC$201,1,$AR$2:$AR$201,"Y")&gt;0,"Y","N"),"")</f>
        <v>Y</v>
      </c>
      <c r="CA2" s="23" t="n">
        <f aca="false">IF(AND(BB2=1,AR2="maybe"),1,0)</f>
        <v>0</v>
      </c>
      <c r="CB2" s="23" t="n">
        <f aca="false">IF(CA2=1,IF(COUNTIFS($AZ$2:$AZ$201,AZ2,$CA$2:$CA$201,1,$H$2:$H$201,"&lt;"&amp;H2)+COUNTIFS($AZ$2:$AZ$201,AZ2,$CA$2:$CA$201,1,$H$2:$H$201,H2,$BA$2:$BA$201,"&lt;"&amp;BA2)=0,1,0),0)</f>
        <v>0</v>
      </c>
      <c r="CC2" s="23" t="n">
        <f aca="false">IF(AND(BB2=1,AR2="Y"),IF(COUNTIFS($AZ$2:$AZ$201,AZ2,$AR$2:$AR$201,"Y",$BB$2:$BB$201,1,$H$2:$H$201,"&lt;"&amp;H2)+COUNTIFS($AZ$2:$AZ$201,AZ2,$AR$2:$AR$201,"Y",$BB$2:$BB$201,1,$H$2:$H$201,H2,$BA$2:$BA$201,"&lt;"&amp;BA2)=0,1,0),0)</f>
        <v>1</v>
      </c>
      <c r="CD2" s="23" t="n">
        <f aca="false">IF(AND(BH2=1,N(Y2)&gt;=Config!$B$15),1,0)</f>
        <v>1</v>
      </c>
      <c r="CE2" s="23" t="n">
        <f aca="false">IF(AND(BB2=1,AT2="Y"),1,0)</f>
        <v>1</v>
      </c>
      <c r="CF2" s="23" t="n">
        <f aca="false">IF(CE2=1,IF(COUNTIFS($AZ$2:$AZ$201,AZ2,$CE$2:$CE$201,1,$H$2:$H$201,"&lt;"&amp;H2)+COUNTIFS($AZ$2:$AZ$201,AZ2,$CE$2:$CE$201,1,$H$2:$H$201,H2,$BA$2:$BA$201,"&lt;"&amp;BA2)=0,1,0),0)</f>
        <v>1</v>
      </c>
      <c r="CG2" s="23" t="n">
        <f aca="false">IF(AND(BB2=1,G2="warm-intro"),1,0)</f>
        <v>1</v>
      </c>
      <c r="CH2" s="23" t="n">
        <f aca="false">IF(CG2=1,IF(COUNTIFS($AZ$2:$AZ$201,AZ2,$CG$2:$CG$201,1,$H$2:$H$201,"&lt;"&amp;H2)+COUNTIFS($AZ$2:$AZ$201,AZ2,$CG$2:$CG$201,1,$H$2:$H$201,H2,$BA$2:$BA$201,"&lt;"&amp;BA2)=0,1,0),0)</f>
        <v>1</v>
      </c>
      <c r="CI2" s="23" t="n">
        <f aca="false">IF(AND(BB2=1,Q2="Y"),1,0)</f>
        <v>1</v>
      </c>
      <c r="CJ2" s="23" t="n">
        <f aca="false">IF(CI2=1,IF(COUNTIFS($AZ$2:$AZ$201,AZ2,$CI$2:$CI$201,1,$H$2:$H$201,"&lt;"&amp;H2)+COUNTIFS($AZ$2:$AZ$201,AZ2,$CI$2:$CI$201,1,$H$2:$H$201,H2,$BA$2:$BA$201,"&lt;"&amp;BA2)=0,1,0),0)</f>
        <v>1</v>
      </c>
      <c r="CK2" s="23" t="n">
        <f aca="false">IF(AND(BB2=1,AF2="Y"),1,0)</f>
        <v>1</v>
      </c>
      <c r="CL2" s="23" t="n">
        <f aca="false">IF(CK2=1,IF(COUNTIFS($AZ$2:$AZ$201,AZ2,$CK$2:$CK$201,1,$H$2:$H$201,"&lt;"&amp;H2)+COUNTIFS($AZ$2:$AZ$201,AZ2,$CK$2:$CK$201,1,$H$2:$H$201,H2,$BA$2:$BA$201,"&lt;"&amp;BA2)=0,1,0),0)</f>
        <v>1</v>
      </c>
      <c r="CM2" s="23" t="n">
        <f aca="false">IF(AND(BB2=1,U2="Y"),1,0)</f>
        <v>1</v>
      </c>
      <c r="CN2" s="23" t="n">
        <f aca="false">IF(CM2=1,IF(COUNTIFS($AZ$2:$AZ$201,AZ2,$CM$2:$CM$201,1,$H$2:$H$201,"&lt;"&amp;H2)+COUNTIFS($AZ$2:$AZ$201,AZ2,$CM$2:$CM$201,1,$H$2:$H$201,H2,$BA$2:$BA$201,"&lt;"&amp;BA2)=0,1,0),0)</f>
        <v>1</v>
      </c>
      <c r="CO2" s="23" t="n">
        <f aca="false">IF(AND(BB2=1,L2="Y"),1,0)</f>
        <v>0</v>
      </c>
      <c r="CP2" s="23" t="n">
        <f aca="false">IF(CO2=1,IF(COUNTIFS($AZ$2:$AZ$201,AZ2,$CO$2:$CO$201,1,$H$2:$H$201,"&lt;"&amp;H2)+COUNTIFS($AZ$2:$AZ$201,AZ2,$CO$2:$CO$201,1,$H$2:$H$201,H2,$BA$2:$BA$201,"&lt;"&amp;BA2)=0,1,0),0)</f>
        <v>0</v>
      </c>
      <c r="CQ2" s="23" t="n">
        <f aca="false">IF(AND(BB2=1,ISNUMBER(O2)),1,0)</f>
        <v>1</v>
      </c>
      <c r="CR2" s="23" t="n">
        <f aca="false">IF(CQ2=1,IF(COUNTIFS($AZ$2:$AZ$201,AZ2,$CQ$2:$CQ$201,1,$H$2:$H$201,"&lt;"&amp;H2)+COUNTIFS($AZ$2:$AZ$201,AZ2,$CQ$2:$CQ$201,1,$H$2:$H$201,H2,$BA$2:$BA$201,"&lt;"&amp;BA2)=0,1,0),0)</f>
        <v>1</v>
      </c>
      <c r="CS2" s="23" t="n">
        <f aca="false">IF(AND(CR2=1,INT(N(H2))&lt;=Config!$B$5),O2,"")</f>
        <v>60</v>
      </c>
      <c r="CT2" s="23" t="str">
        <f aca="false">IF(AND(BB2=1,INT(N(H2))&lt;=Config!$B$5),AG2&amp;"","")</f>
        <v/>
      </c>
      <c r="CU2" s="23" t="n">
        <f aca="false">IF(AND(BB2=1,AU2="Y"),1,0)</f>
        <v>1</v>
      </c>
      <c r="CV2" s="23" t="n">
        <f aca="false">IF(CU2=1,IF(COUNTIFS($AZ$2:$AZ$201,AZ2,$CU$2:$CU$201,1,$H$2:$H$201,"&lt;"&amp;H2)+COUNTIFS($AZ$2:$AZ$201,AZ2,$CU$2:$CU$201,1,$H$2:$H$201,H2,$BA$2:$BA$201,"&lt;"&amp;BA2)=0,1,0),0)</f>
        <v>1</v>
      </c>
      <c r="CW2" s="23" t="n">
        <f aca="false">IF(BB2=1,IFERROR(MATCH($A2,INDEX(Clay_Offices!$A$2:$FZ$601,0,Sync!$C$5),0),""),"")</f>
        <v>1</v>
      </c>
      <c r="CX2" s="23" t="str">
        <f aca="false">IF(CW2="","",IFERROR(INDEX(Clay_Offices!$A$2:$FZ$601,CW2,Sync!$C$7)&amp;"",""))</f>
        <v>signed</v>
      </c>
      <c r="CY2" s="23" t="n">
        <f aca="false">IF(CX2="","",IFERROR(INDEX(Lists!$K$2:$K$15,MATCH(CX2,Lists!$J$2:$J$15,0)),""))</f>
        <v>9</v>
      </c>
      <c r="CZ2" s="23" t="str">
        <f aca="false">IF(CW2="","",IFERROR(INDEX(Clay_Offices!$A$2:$FZ$601,CW2,Sync!$C$17)&amp;"",""))</f>
        <v>Y</v>
      </c>
      <c r="DA2" s="35" t="n">
        <f aca="false">IF(CW2="","",IFERROR(N(INDEX(Clay_Offices!$A$2:$FZ$601,CW2,Sync!$C$16)),0))</f>
        <v>46332</v>
      </c>
      <c r="DB2" s="23" t="n">
        <f aca="false">IF(AND(BB2=1,OR(AR2="Y",AR2="N",AR2="maybe")),1,0)</f>
        <v>1</v>
      </c>
      <c r="DC2" s="23" t="n">
        <f aca="false">IF(AND(DB2=1),IF(COUNTIFS($A$2:$A$201,$A2,$DB$2:$DB$201,1,$H$2:$H$201,"&gt;"&amp;H2)+COUNTIFS($A$2:$A$201,$A2,$DB$2:$DB$201,1,$H$2:$H$201,H2,$BA$2:$BA$201,"&gt;"&amp;BA2)=0,1,0),0)</f>
        <v>0</v>
      </c>
      <c r="DD2" s="23" t="n">
        <f aca="false">IF(AND(DB2=1,INT(N(H2))&lt;=Config!$B$6),IF(COUNTIFS($AZ$2:$AZ$201,AZ2,$DB$2:$DB$201,1,$H$2:$H$201,"&gt;"&amp;H2,$H$2:$H$201,"&lt;"&amp;(Config!$B$6+1))+COUNTIFS($AZ$2:$AZ$201,AZ2,$DB$2:$DB$201,1,$H$2:$H$201,H2,$BA$2:$BA$201,"&gt;"&amp;BA2)=0,1,0),0)</f>
        <v>1</v>
      </c>
      <c r="DE2" s="23" t="n">
        <f aca="false">IF(AND(DB2=1,INT(N(H2))&lt;=Config!$B$7),IF(COUNTIFS($AZ$2:$AZ$201,AZ2,$DB$2:$DB$201,1,$H$2:$H$201,"&gt;"&amp;H2,$H$2:$H$201,"&lt;"&amp;(Config!$B$7+1))+COUNTIFS($AZ$2:$AZ$201,AZ2,$DB$2:$DB$201,1,$H$2:$H$201,H2,$BA$2:$BA$201,"&gt;"&amp;BA2)=0,1,0),0)</f>
        <v>0</v>
      </c>
      <c r="DF2" s="23" t="n">
        <f aca="false">IF(AND(DB2=1,INT(N(H2))&lt;=Config!$B$8),IF(COUNTIFS($AZ$2:$AZ$201,AZ2,$DB$2:$DB$201,1,$H$2:$H$201,"&gt;"&amp;H2,$H$2:$H$201,"&lt;"&amp;(Config!$B$8+1))+COUNTIFS($AZ$2:$AZ$201,AZ2,$DB$2:$DB$201,1,$H$2:$H$201,H2,$BA$2:$BA$201,"&gt;"&amp;BA2)=0,1,0),0)</f>
        <v>0</v>
      </c>
      <c r="DG2" s="23" t="n">
        <f aca="false">IF(AND(DB2=1,INT(N(H2))&lt;=Config!$B$5),IF(COUNTIFS($AZ$2:$AZ$201,AZ2,$DB$2:$DB$201,1,$H$2:$H$201,"&gt;"&amp;H2,$H$2:$H$201,"&lt;"&amp;(Config!$B$5+1))+COUNTIFS($AZ$2:$AZ$201,AZ2,$DB$2:$DB$201,1,$H$2:$H$201,H2,$BA$2:$BA$201,"&gt;"&amp;BA2)=0,1,0),0)</f>
        <v>0</v>
      </c>
      <c r="DH2" s="23" t="n">
        <f aca="false">IF(BB2=1,IF(COUNTIFS($AZ$2:$AZ$201,AZ2,$DD$2:$DD$201,1,$AR$2:$AR$201,"Y")&gt;0,1,0),0)</f>
        <v>1</v>
      </c>
      <c r="DI2" s="23" t="n">
        <f aca="false">IF(BB2=1,IF(COUNTIFS($AZ$2:$AZ$201,AZ2,$DE$2:$DE$201,1,$AR$2:$AR$201,"Y")&gt;0,1,0),0)</f>
        <v>1</v>
      </c>
      <c r="DJ2" s="23" t="n">
        <f aca="false">IF(BB2=1,IF(COUNTIFS($AZ$2:$AZ$201,AZ2,$DF$2:$DF$201,1,$AR$2:$AR$201,"Y")&gt;0,1,0),0)</f>
        <v>1</v>
      </c>
      <c r="DK2" s="23" t="n">
        <f aca="false">IF(BB2=1,IF(COUNTIFS($AZ$2:$AZ$201,AZ2,$DG$2:$DG$201,1,$AR$2:$AR$201,"Y")&gt;0,1,0),0)</f>
        <v>1</v>
      </c>
      <c r="DL2" s="23" t="n">
        <f aca="false">IF(AND(BF2=1,INT(N(H2))&lt;=Config!$B$6,DH2=1,EI2=0),1,0)</f>
        <v>1</v>
      </c>
      <c r="DM2" s="23" t="n">
        <f aca="false">IF(AND(BF2=1,INT(N(H2))&lt;=Config!$B$7,DI2=1,EI2=0),1,0)</f>
        <v>1</v>
      </c>
      <c r="DN2" s="23" t="n">
        <f aca="false">IF(AND(BF2=1,INT(N(H2))&lt;=Config!$B$8,DJ2=1,EI2=0),1,0)</f>
        <v>1</v>
      </c>
      <c r="DO2" s="23" t="n">
        <f aca="false">IF(AND(BF2=1,INT(N(H2))&lt;=Config!$B$5,DK2=1,EI2=0),1,0)</f>
        <v>1</v>
      </c>
      <c r="DP2" s="23" t="n">
        <f aca="false">IF(AND(CC2=1,INT(N(H2))&lt;=Config!$B$6,DH2=1,EI2=0),1,0)</f>
        <v>1</v>
      </c>
      <c r="DQ2" s="23" t="n">
        <f aca="false">IF(AND(CC2=1,INT(N(H2))&lt;=Config!$B$7,DI2=1,EI2=0),1,0)</f>
        <v>1</v>
      </c>
      <c r="DR2" s="23" t="n">
        <f aca="false">IF(AND(CC2=1,INT(N(H2))&lt;=Config!$B$8,DJ2=1,EI2=0),1,0)</f>
        <v>1</v>
      </c>
      <c r="DS2" s="23" t="n">
        <f aca="false">IF(AND(CC2=1,INT(N(H2))&lt;=Config!$B$5,DK2=1,EI2=0),1,0)</f>
        <v>1</v>
      </c>
      <c r="DT2" s="23" t="n">
        <f aca="false">IF(AND(CC2=1,INT(N(H2))&lt;=Config!$B$6,DH2=0),1,0)</f>
        <v>0</v>
      </c>
      <c r="DU2" s="23" t="n">
        <f aca="false">IF(AND(CC2=1,INT(N(H2))&lt;=Config!$B$7,DI2=0),1,0)</f>
        <v>0</v>
      </c>
      <c r="DV2" s="23" t="n">
        <f aca="false">IF(AND(CC2=1,INT(N(H2))&lt;=Config!$B$8,DJ2=0),1,0)</f>
        <v>0</v>
      </c>
      <c r="DW2" s="23" t="n">
        <f aca="false">IF(AND(CC2=1,INT(N(H2))&lt;=Config!$B$5,DK2=0),1,0)</f>
        <v>0</v>
      </c>
      <c r="DX2" s="23" t="n">
        <f aca="false">IF(TRIM($A2)="",0,ISTEXT(M2)+ISTEXT(O2)+ISTEXT(Y2)+ISTEXT(Z2)+ISTEXT(AA2)+ISTEXT(AV2))</f>
        <v>0</v>
      </c>
      <c r="DY2" s="23" t="n">
        <f aca="false">IF(BB2=1,IF(H2&lt;&gt;INT(H2),1,0),0)</f>
        <v>0</v>
      </c>
      <c r="DZ2" s="23" t="str">
        <f aca="false">IF(TRIM($A2)="","",IF(TRIM(B2)="",SUBSTITUTE(SUBSTITUTE(SUBSTITUTE(SUBSTITUTE(SUBSTITUTE(SUBSTITUTE(LOWER(TRIM($A2)),"~",""),"*",""),"?",""),"&lt;",""),"&gt;",""),"=",""),SUBSTITUTE(SUBSTITUTE(SUBSTITUTE(SUBSTITUTE(SUBSTITUTE(SUBSTITUTE(LOWER(TRIM(B2)),"~",""),"*",""),"?",""),"&lt;",""),"&gt;",""),"=","")))</f>
        <v>sample office 01</v>
      </c>
      <c r="EA2" s="23" t="str">
        <f aca="false">IF(CW2="","",IFERROR(IF(LEFT(LOWER(TRIM(INDEX(Clay_Offices!$A$2:$FZ$601,CW2,Sync!$C$19)&amp;"")),4)="grp-",SUBSTITUTE(SUBSTITUTE(SUBSTITUTE(SUBSTITUTE(SUBSTITUTE(SUBSTITUTE(LOWER(TRIM(INDEX(Clay_Offices!$A$2:$FZ$601,CW2,Sync!$C$19)&amp;"")),"~",""),"*",""),"?",""),"&lt;",""),"&gt;",""),"=",""),""),""))</f>
        <v/>
      </c>
      <c r="EB2" s="23" t="str">
        <f aca="false">IF(EA2&lt;&gt;"",DZ2,"")</f>
        <v/>
      </c>
      <c r="EC2" s="23" t="str">
        <f aca="false">IF(BC2=1,AZ2,"")</f>
        <v>sample office 01</v>
      </c>
      <c r="ED2" s="23" t="str">
        <f aca="false">IF(TRIM($A2)="","",IFERROR(INDEX($A$2:$A$201,MATCH(AZ2,$EC$2:$EC$201,0))&amp;"",$A2&amp;""))</f>
        <v>SAMPLE-O-001</v>
      </c>
      <c r="EE2" s="23" t="n">
        <f aca="false">IF(BB2=1,IF(COUNTIFS($A$2:$A$201,$A2,$BB$2:$BB$201,1,$H$2:$H$201,"&lt;"&amp;H2)+COUNTIFS($A$2:$A$201,$A2,$BB$2:$BB$201,1,$H$2:$H$201,H2,$BA$2:$BA$201,"&lt;"&amp;BA2)=0,1,0),0)</f>
        <v>1</v>
      </c>
      <c r="EF2" s="23" t="n">
        <f aca="false">IF(BC2=1,IF(COUNTIFS($AZ$2:$AZ$201,AZ2,$EE$2:$EE$201,1)&gt;1,1,0),0)</f>
        <v>0</v>
      </c>
      <c r="EG2" s="23" t="n">
        <f aca="false">IF(AND(CQ2=1),IF(COUNTIFS($AZ$2:$AZ$201,AZ2,$CQ$2:$CQ$201,1,$H$2:$H$201,"&gt;"&amp;H2)+COUNTIFS($AZ$2:$AZ$201,AZ2,$CQ$2:$CQ$201,1,$H$2:$H$201,H2,$BA$2:$BA$201,"&gt;"&amp;BA2)=0,1,0),0)</f>
        <v>0</v>
      </c>
      <c r="EH2" s="23" t="n">
        <f aca="false">IF(BB2=1,IF(COUNTIFS($AZ$2:$AZ$201,AZ2,$EG$2:$EG$201,1)=0,"",SUMIFS($O$2:$O$201,$AZ$2:$AZ$201,AZ2,$EG$2:$EG$201,1)),"")</f>
        <v>62</v>
      </c>
      <c r="EI2" s="23" t="n">
        <f aca="false">IF(AND(ISNUMBER(EH2),OR(N(EH2)&lt;Config!$B$31,N(EH2)&gt;Config!$B$33)),1,0)</f>
        <v>0</v>
      </c>
      <c r="EJ2" s="23" t="n">
        <f aca="false">IF(AND(ISNUMBER(EH2),N(EH2)&gt;=Config!$B$31,N(EH2)&lt;Config!$B$32),1,0)</f>
        <v>0</v>
      </c>
      <c r="EK2" s="23" t="n">
        <f aca="false">IF(AND(BF2=1,INT(N(H2))&lt;=Config!$B$6,DH2=1,EI2=1),1,0)</f>
        <v>0</v>
      </c>
      <c r="EL2" s="23" t="n">
        <f aca="false">IF(AND(BF2=1,INT(N(H2))&lt;=Config!$B$7,DI2=1,EI2=1),1,0)</f>
        <v>0</v>
      </c>
      <c r="EM2" s="23" t="n">
        <f aca="false">IF(AND(BF2=1,INT(N(H2))&lt;=Config!$B$8,DJ2=1,EI2=1),1,0)</f>
        <v>0</v>
      </c>
      <c r="EN2" s="23" t="n">
        <f aca="false">IF(AND(BF2=1,INT(N(H2))&lt;=Config!$B$5,DK2=1,EI2=1),1,0)</f>
        <v>0</v>
      </c>
      <c r="EO2" s="23" t="n">
        <f aca="false">IF(AND(DL2=1,EJ2=1),1,0)</f>
        <v>0</v>
      </c>
      <c r="EP2" s="23" t="n">
        <f aca="false">IF(AND(DM2=1,EJ2=1),1,0)</f>
        <v>0</v>
      </c>
      <c r="EQ2" s="23" t="n">
        <f aca="false">IF(AND(DN2=1,EJ2=1),1,0)</f>
        <v>0</v>
      </c>
      <c r="ER2" s="23" t="n">
        <f aca="false">IF(AND(DO2=1,EJ2=1),1,0)</f>
        <v>0</v>
      </c>
    </row>
    <row r="3" customFormat="false" ht="15" hidden="false" customHeight="false" outlineLevel="0" collapsed="false">
      <c r="A3" s="0" t="s">
        <v>476</v>
      </c>
      <c r="B3" s="0" t="s">
        <v>477</v>
      </c>
      <c r="D3" s="0" t="s">
        <v>478</v>
      </c>
      <c r="E3" s="0" t="s">
        <v>479</v>
      </c>
      <c r="F3" s="0" t="s">
        <v>480</v>
      </c>
      <c r="G3" s="32" t="s">
        <v>481</v>
      </c>
      <c r="H3" s="33" t="n">
        <v>46323</v>
      </c>
      <c r="I3" s="32" t="s">
        <v>482</v>
      </c>
      <c r="J3" s="32" t="s">
        <v>483</v>
      </c>
      <c r="K3" s="32" t="s">
        <v>456</v>
      </c>
      <c r="L3" s="32" t="s">
        <v>457</v>
      </c>
      <c r="M3" s="0" t="n">
        <v>400</v>
      </c>
      <c r="N3" s="32" t="s">
        <v>484</v>
      </c>
      <c r="O3" s="0" t="n">
        <v>45</v>
      </c>
      <c r="P3" s="32" t="s">
        <v>485</v>
      </c>
      <c r="Q3" s="32" t="s">
        <v>457</v>
      </c>
      <c r="R3" s="32" t="s">
        <v>461</v>
      </c>
      <c r="S3" s="32" t="s">
        <v>462</v>
      </c>
      <c r="T3" s="32" t="s">
        <v>463</v>
      </c>
      <c r="U3" s="32" t="s">
        <v>460</v>
      </c>
      <c r="V3" s="32" t="s">
        <v>464</v>
      </c>
      <c r="W3" s="32" t="s">
        <v>460</v>
      </c>
      <c r="X3" s="32" t="s">
        <v>486</v>
      </c>
      <c r="Y3" s="0" t="n">
        <v>0</v>
      </c>
      <c r="Z3" s="0" t="n">
        <v>0</v>
      </c>
      <c r="AA3" s="0" t="n">
        <v>0</v>
      </c>
      <c r="AC3" s="32" t="s">
        <v>460</v>
      </c>
      <c r="AD3" s="32" t="s">
        <v>487</v>
      </c>
      <c r="AE3" s="32" t="s">
        <v>451</v>
      </c>
      <c r="AF3" s="32" t="s">
        <v>460</v>
      </c>
      <c r="AI3" s="32" t="s">
        <v>469</v>
      </c>
      <c r="AJ3" s="32" t="s">
        <v>470</v>
      </c>
      <c r="AK3" s="32" t="s">
        <v>471</v>
      </c>
      <c r="AL3" s="32" t="s">
        <v>488</v>
      </c>
      <c r="AM3" s="32" t="s">
        <v>473</v>
      </c>
      <c r="AN3" s="32" t="s">
        <v>104</v>
      </c>
      <c r="AO3" s="0" t="s">
        <v>110</v>
      </c>
      <c r="AQ3" s="32" t="s">
        <v>489</v>
      </c>
      <c r="AR3" s="32" t="s">
        <v>460</v>
      </c>
      <c r="AS3" s="32" t="s">
        <v>475</v>
      </c>
      <c r="AT3" s="32" t="s">
        <v>460</v>
      </c>
      <c r="AU3" s="32"/>
      <c r="AV3" s="0" t="n">
        <v>12</v>
      </c>
      <c r="AW3" s="32" t="s">
        <v>460</v>
      </c>
      <c r="AY3" s="34" t="str">
        <f aca="false">IF(TRIM($A3)="","",IF(AND(LEFT($A3,6)="SAMPLE",Config!$B$19&lt;&gt;"Y"),"",IF(NOT(ISNUMBER(H3)),"call_date is blank or not a date",IF(Sync!$C$5="","Clay paste is empty or has no row_id column: paste the Clay export on Clay_Offices",IF(CW3="","row_id not found in the Clay paste: add the Clay row or fix the row_id",IF(AND(ISNUMBER(CY3),CY3&gt;=1,CY3&lt;=5),"Clay status is "&amp;CX3&amp;": set call_done or later",IF(AND(BD3=1,CZ3&lt;&gt;BZ3),"Clay yes_in_principle should be "&amp;BZ3,IF(AND(BD3=1,DA3&lt;&gt;H3),"Clay call_date should be "&amp;TEXT(H3,"yyyy-mm-dd"),""))))))))</f>
        <v/>
      </c>
      <c r="AZ3" s="23" t="str">
        <f aca="false">IF(TRIM($A3)="","",IF(TRIM(C3)&lt;&gt;"",SUBSTITUTE(SUBSTITUTE(SUBSTITUTE(SUBSTITUTE(SUBSTITUTE(SUBSTITUTE(LOWER(TRIM(C3)),"~",""),"*",""),"?",""),"&lt;",""),"&gt;",""),"=",""),IF(EA3&lt;&gt;"",EA3,IFERROR(INDEX($EA$2:$EA$201,MATCH(DZ3,$EB$2:$EB$201,0)),DZ3))))</f>
        <v>sample office 02</v>
      </c>
      <c r="BA3" s="23" t="n">
        <f aca="false">ROW()</f>
        <v>3</v>
      </c>
      <c r="BB3" s="23" t="n">
        <f aca="false">IF(AND(TRIM($A3)&lt;&gt;"",ISNUMBER(H3)),IF(AND(LEFT($A3,6)="SAMPLE",Config!$B$19&lt;&gt;"Y"),0,1),0)</f>
        <v>1</v>
      </c>
      <c r="BC3" s="23" t="n">
        <f aca="false">IF(BB3=1,IF(COUNTIFS($AZ$2:$AZ$201,AZ3,$BB$2:$BB$201,1,$H$2:$H$201,"&lt;"&amp;H3)+COUNTIFS($AZ$2:$AZ$201,AZ3,$BB$2:$BB$201,1,$H$2:$H$201,H3,$BA$2:$BA$201,"&lt;"&amp;BA3)=0,1,0),0)</f>
        <v>1</v>
      </c>
      <c r="BD3" s="23" t="n">
        <f aca="false">IF(BB3=1,IF(COUNTIFS($A$2:$A$201,$A3,$BB$2:$BB$201,1,$H$2:$H$201,"&gt;"&amp;H3)+COUNTIFS($A$2:$A$201,$A3,$BB$2:$BB$201,1,$H$2:$H$201,H3,$BA$2:$BA$201,"&gt;"&amp;BA3)=0,1,0),0)</f>
        <v>1</v>
      </c>
      <c r="BE3" s="23" t="n">
        <f aca="false">IF(AND(BB3=1,AR3="Y",AC3="Y",TRIM(AH3)&lt;&gt;""),1,0)</f>
        <v>0</v>
      </c>
      <c r="BF3" s="23" t="n">
        <f aca="false">IF(BE3=1,IF(COUNTIFS($AZ$2:$AZ$201,AZ3,$BE$2:$BE$201,1,$H$2:$H$201,"&lt;"&amp;H3)+COUNTIFS($AZ$2:$AZ$201,AZ3,$BE$2:$BE$201,1,$H$2:$H$201,H3,$BA$2:$BA$201,"&lt;"&amp;BA3)=0,1,0),0)</f>
        <v>0</v>
      </c>
      <c r="BG3" s="23" t="n">
        <f aca="false">IF(AND(BB3=1,AR3="Y",BE3=0),1,0)</f>
        <v>1</v>
      </c>
      <c r="BH3" s="23" t="n">
        <f aca="false">IF(AND(BB3=1,ISNUMBER(Y3)),1,0)</f>
        <v>1</v>
      </c>
      <c r="BI3" s="23" t="n">
        <f aca="false">IF(BH3=1,IF(COUNTIFS($AZ$2:$AZ$201,AZ3,$BH$2:$BH$201,1,$H$2:$H$201,"&lt;"&amp;H3)+COUNTIFS($AZ$2:$AZ$201,AZ3,$BH$2:$BH$201,1,$H$2:$H$201,H3,$BA$2:$BA$201,"&lt;"&amp;BA3)=0,1,0),0)</f>
        <v>1</v>
      </c>
      <c r="BJ3" s="23" t="n">
        <f aca="false">IF(AND(BI3=1,INT(N(H3))&lt;=Config!$B$6),Y3,"")</f>
        <v>0</v>
      </c>
      <c r="BK3" s="23" t="n">
        <f aca="false">IF(AND(BI3=1,INT(N(H3))&lt;=Config!$B$7),Y3,"")</f>
        <v>0</v>
      </c>
      <c r="BL3" s="23" t="n">
        <f aca="false">IF(AND(BI3=1,INT(N(H3))&lt;=Config!$B$8),Y3,"")</f>
        <v>0</v>
      </c>
      <c r="BM3" s="23" t="n">
        <f aca="false">IF(AND(BI3=1,INT(N(H3))&lt;=Config!$B$5),Y3,"")</f>
        <v>0</v>
      </c>
      <c r="BN3" s="23" t="n">
        <f aca="false">IF(CD3=1,IF(COUNTIFS($AZ$2:$AZ$201,AZ3,$CD$2:$CD$201,1,$H$2:$H$201,"&lt;"&amp;H3)+COUNTIFS($AZ$2:$AZ$201,AZ3,$CD$2:$CD$201,1,$H$2:$H$201,H3,$BA$2:$BA$201,"&lt;"&amp;BA3)=0,1,0),0)</f>
        <v>0</v>
      </c>
      <c r="BO3" s="23" t="n">
        <f aca="false">IF(AND(BB3=1,ISNUMBER(M3)),1,0)</f>
        <v>1</v>
      </c>
      <c r="BP3" s="23" t="n">
        <f aca="false">IF(BO3=1,IF(COUNTIFS($AZ$2:$AZ$201,AZ3,$BO$2:$BO$201,1,$H$2:$H$201,"&lt;"&amp;H3)+COUNTIFS($AZ$2:$AZ$201,AZ3,$BO$2:$BO$201,1,$H$2:$H$201,H3,$BA$2:$BA$201,"&lt;"&amp;BA3)=0,1,0),0)</f>
        <v>1</v>
      </c>
      <c r="BQ3" s="23" t="n">
        <f aca="false">IF(AND(BP3=1,INT(N(H3))&lt;=Config!$B$5),M3,"")</f>
        <v>400</v>
      </c>
      <c r="BR3" s="23" t="n">
        <f aca="false">IF(AND(BB3=1,OR(TRIM(X3)&lt;&gt;"",ISNUMBER(Y3))),1,0)</f>
        <v>1</v>
      </c>
      <c r="BS3" s="23" t="n">
        <f aca="false">IF(BR3=1,IF(COUNTIFS($AZ$2:$AZ$201,AZ3,$BR$2:$BR$201,1,$H$2:$H$201,"&lt;"&amp;H3)+COUNTIFS($AZ$2:$AZ$201,AZ3,$BR$2:$BR$201,1,$H$2:$H$201,H3,$BA$2:$BA$201,"&lt;"&amp;BA3)=0,1,0),0)</f>
        <v>1</v>
      </c>
      <c r="BT3" s="23" t="str">
        <f aca="false">IF(BS3=1,AZ3,"")</f>
        <v>sample office 02</v>
      </c>
      <c r="BU3" s="23" t="n">
        <f aca="false">IF(AND(BB3=1,W3="Y",TRIM(X3)=""),1,0)</f>
        <v>0</v>
      </c>
      <c r="BV3" s="23" t="str">
        <f aca="false">IF(BB3=1,AN3&amp;"","")</f>
        <v>existing_vendor</v>
      </c>
      <c r="BW3" s="23" t="str">
        <f aca="false">IF(BB3=1,AO3&amp;"","")</f>
        <v>allergy_policy</v>
      </c>
      <c r="BX3" s="23" t="str">
        <f aca="false">IF(BB3=1,AP3&amp;"","")</f>
        <v/>
      </c>
      <c r="BY3" s="23" t="n">
        <f aca="false">IF(AND(BB3=1,ISNUMBER(AV3),INT(N(H3))&lt;=Config!$B$5),AV3,"")</f>
        <v>12</v>
      </c>
      <c r="BZ3" s="23" t="str">
        <f aca="false">IF(BB3=1,IF(COUNTIFS($A$2:$A$201,$A3,$DC$2:$DC$201,1,$AR$2:$AR$201,"Y")&gt;0,"Y","N"),"")</f>
        <v>Y</v>
      </c>
      <c r="CA3" s="23" t="n">
        <f aca="false">IF(AND(BB3=1,AR3="maybe"),1,0)</f>
        <v>0</v>
      </c>
      <c r="CB3" s="23" t="n">
        <f aca="false">IF(CA3=1,IF(COUNTIFS($AZ$2:$AZ$201,AZ3,$CA$2:$CA$201,1,$H$2:$H$201,"&lt;"&amp;H3)+COUNTIFS($AZ$2:$AZ$201,AZ3,$CA$2:$CA$201,1,$H$2:$H$201,H3,$BA$2:$BA$201,"&lt;"&amp;BA3)=0,1,0),0)</f>
        <v>0</v>
      </c>
      <c r="CC3" s="23" t="n">
        <f aca="false">IF(AND(BB3=1,AR3="Y"),IF(COUNTIFS($AZ$2:$AZ$201,AZ3,$AR$2:$AR$201,"Y",$BB$2:$BB$201,1,$H$2:$H$201,"&lt;"&amp;H3)+COUNTIFS($AZ$2:$AZ$201,AZ3,$AR$2:$AR$201,"Y",$BB$2:$BB$201,1,$H$2:$H$201,H3,$BA$2:$BA$201,"&lt;"&amp;BA3)=0,1,0),0)</f>
        <v>1</v>
      </c>
      <c r="CD3" s="23" t="n">
        <f aca="false">IF(AND(BH3=1,N(Y3)&gt;=Config!$B$15),1,0)</f>
        <v>0</v>
      </c>
      <c r="CE3" s="23" t="n">
        <f aca="false">IF(AND(BB3=1,AT3="Y"),1,0)</f>
        <v>1</v>
      </c>
      <c r="CF3" s="23" t="n">
        <f aca="false">IF(CE3=1,IF(COUNTIFS($AZ$2:$AZ$201,AZ3,$CE$2:$CE$201,1,$H$2:$H$201,"&lt;"&amp;H3)+COUNTIFS($AZ$2:$AZ$201,AZ3,$CE$2:$CE$201,1,$H$2:$H$201,H3,$BA$2:$BA$201,"&lt;"&amp;BA3)=0,1,0),0)</f>
        <v>1</v>
      </c>
      <c r="CG3" s="23" t="n">
        <f aca="false">IF(AND(BB3=1,G3="warm-intro"),1,0)</f>
        <v>0</v>
      </c>
      <c r="CH3" s="23" t="n">
        <f aca="false">IF(CG3=1,IF(COUNTIFS($AZ$2:$AZ$201,AZ3,$CG$2:$CG$201,1,$H$2:$H$201,"&lt;"&amp;H3)+COUNTIFS($AZ$2:$AZ$201,AZ3,$CG$2:$CG$201,1,$H$2:$H$201,H3,$BA$2:$BA$201,"&lt;"&amp;BA3)=0,1,0),0)</f>
        <v>0</v>
      </c>
      <c r="CI3" s="23" t="n">
        <f aca="false">IF(AND(BB3=1,Q3="Y"),1,0)</f>
        <v>0</v>
      </c>
      <c r="CJ3" s="23" t="n">
        <f aca="false">IF(CI3=1,IF(COUNTIFS($AZ$2:$AZ$201,AZ3,$CI$2:$CI$201,1,$H$2:$H$201,"&lt;"&amp;H3)+COUNTIFS($AZ$2:$AZ$201,AZ3,$CI$2:$CI$201,1,$H$2:$H$201,H3,$BA$2:$BA$201,"&lt;"&amp;BA3)=0,1,0),0)</f>
        <v>0</v>
      </c>
      <c r="CK3" s="23" t="n">
        <f aca="false">IF(AND(BB3=1,AF3="Y"),1,0)</f>
        <v>1</v>
      </c>
      <c r="CL3" s="23" t="n">
        <f aca="false">IF(CK3=1,IF(COUNTIFS($AZ$2:$AZ$201,AZ3,$CK$2:$CK$201,1,$H$2:$H$201,"&lt;"&amp;H3)+COUNTIFS($AZ$2:$AZ$201,AZ3,$CK$2:$CK$201,1,$H$2:$H$201,H3,$BA$2:$BA$201,"&lt;"&amp;BA3)=0,1,0),0)</f>
        <v>1</v>
      </c>
      <c r="CM3" s="23" t="n">
        <f aca="false">IF(AND(BB3=1,U3="Y"),1,0)</f>
        <v>1</v>
      </c>
      <c r="CN3" s="23" t="n">
        <f aca="false">IF(CM3=1,IF(COUNTIFS($AZ$2:$AZ$201,AZ3,$CM$2:$CM$201,1,$H$2:$H$201,"&lt;"&amp;H3)+COUNTIFS($AZ$2:$AZ$201,AZ3,$CM$2:$CM$201,1,$H$2:$H$201,H3,$BA$2:$BA$201,"&lt;"&amp;BA3)=0,1,0),0)</f>
        <v>1</v>
      </c>
      <c r="CO3" s="23" t="n">
        <f aca="false">IF(AND(BB3=1,L3="Y"),1,0)</f>
        <v>0</v>
      </c>
      <c r="CP3" s="23" t="n">
        <f aca="false">IF(CO3=1,IF(COUNTIFS($AZ$2:$AZ$201,AZ3,$CO$2:$CO$201,1,$H$2:$H$201,"&lt;"&amp;H3)+COUNTIFS($AZ$2:$AZ$201,AZ3,$CO$2:$CO$201,1,$H$2:$H$201,H3,$BA$2:$BA$201,"&lt;"&amp;BA3)=0,1,0),0)</f>
        <v>0</v>
      </c>
      <c r="CQ3" s="23" t="n">
        <f aca="false">IF(AND(BB3=1,ISNUMBER(O3)),1,0)</f>
        <v>1</v>
      </c>
      <c r="CR3" s="23" t="n">
        <f aca="false">IF(CQ3=1,IF(COUNTIFS($AZ$2:$AZ$201,AZ3,$CQ$2:$CQ$201,1,$H$2:$H$201,"&lt;"&amp;H3)+COUNTIFS($AZ$2:$AZ$201,AZ3,$CQ$2:$CQ$201,1,$H$2:$H$201,H3,$BA$2:$BA$201,"&lt;"&amp;BA3)=0,1,0),0)</f>
        <v>1</v>
      </c>
      <c r="CS3" s="23" t="n">
        <f aca="false">IF(AND(CR3=1,INT(N(H3))&lt;=Config!$B$5),O3,"")</f>
        <v>45</v>
      </c>
      <c r="CT3" s="23" t="str">
        <f aca="false">IF(AND(BB3=1,INT(N(H3))&lt;=Config!$B$5),AG3&amp;"","")</f>
        <v/>
      </c>
      <c r="CU3" s="23" t="n">
        <f aca="false">IF(AND(BB3=1,AU3="Y"),1,0)</f>
        <v>0</v>
      </c>
      <c r="CV3" s="23" t="n">
        <f aca="false">IF(CU3=1,IF(COUNTIFS($AZ$2:$AZ$201,AZ3,$CU$2:$CU$201,1,$H$2:$H$201,"&lt;"&amp;H3)+COUNTIFS($AZ$2:$AZ$201,AZ3,$CU$2:$CU$201,1,$H$2:$H$201,H3,$BA$2:$BA$201,"&lt;"&amp;BA3)=0,1,0),0)</f>
        <v>0</v>
      </c>
      <c r="CW3" s="23" t="n">
        <f aca="false">IF(BB3=1,IFERROR(MATCH($A3,INDEX(Clay_Offices!$A$2:$FZ$601,0,Sync!$C$5),0),""),"")</f>
        <v>2</v>
      </c>
      <c r="CX3" s="23" t="str">
        <f aca="false">IF(CW3="","",IFERROR(INDEX(Clay_Offices!$A$2:$FZ$601,CW3,Sync!$C$7)&amp;"",""))</f>
        <v>yes_in_principle</v>
      </c>
      <c r="CY3" s="23" t="n">
        <f aca="false">IF(CX3="","",IFERROR(INDEX(Lists!$K$2:$K$15,MATCH(CX3,Lists!$J$2:$J$15,0)),""))</f>
        <v>7</v>
      </c>
      <c r="CZ3" s="23" t="str">
        <f aca="false">IF(CW3="","",IFERROR(INDEX(Clay_Offices!$A$2:$FZ$601,CW3,Sync!$C$17)&amp;"",""))</f>
        <v>Y</v>
      </c>
      <c r="DA3" s="35" t="n">
        <f aca="false">IF(CW3="","",IFERROR(N(INDEX(Clay_Offices!$A$2:$FZ$601,CW3,Sync!$C$16)),0))</f>
        <v>46323</v>
      </c>
      <c r="DB3" s="23" t="n">
        <f aca="false">IF(AND(BB3=1,OR(AR3="Y",AR3="N",AR3="maybe")),1,0)</f>
        <v>1</v>
      </c>
      <c r="DC3" s="23" t="n">
        <f aca="false">IF(AND(DB3=1),IF(COUNTIFS($A$2:$A$201,$A3,$DB$2:$DB$201,1,$H$2:$H$201,"&gt;"&amp;H3)+COUNTIFS($A$2:$A$201,$A3,$DB$2:$DB$201,1,$H$2:$H$201,H3,$BA$2:$BA$201,"&gt;"&amp;BA3)=0,1,0),0)</f>
        <v>1</v>
      </c>
      <c r="DD3" s="23" t="n">
        <f aca="false">IF(AND(DB3=1,INT(N(H3))&lt;=Config!$B$6),IF(COUNTIFS($AZ$2:$AZ$201,AZ3,$DB$2:$DB$201,1,$H$2:$H$201,"&gt;"&amp;H3,$H$2:$H$201,"&lt;"&amp;(Config!$B$6+1))+COUNTIFS($AZ$2:$AZ$201,AZ3,$DB$2:$DB$201,1,$H$2:$H$201,H3,$BA$2:$BA$201,"&gt;"&amp;BA3)=0,1,0),0)</f>
        <v>1</v>
      </c>
      <c r="DE3" s="23" t="n">
        <f aca="false">IF(AND(DB3=1,INT(N(H3))&lt;=Config!$B$7),IF(COUNTIFS($AZ$2:$AZ$201,AZ3,$DB$2:$DB$201,1,$H$2:$H$201,"&gt;"&amp;H3,$H$2:$H$201,"&lt;"&amp;(Config!$B$7+1))+COUNTIFS($AZ$2:$AZ$201,AZ3,$DB$2:$DB$201,1,$H$2:$H$201,H3,$BA$2:$BA$201,"&gt;"&amp;BA3)=0,1,0),0)</f>
        <v>1</v>
      </c>
      <c r="DF3" s="23" t="n">
        <f aca="false">IF(AND(DB3=1,INT(N(H3))&lt;=Config!$B$8),IF(COUNTIFS($AZ$2:$AZ$201,AZ3,$DB$2:$DB$201,1,$H$2:$H$201,"&gt;"&amp;H3,$H$2:$H$201,"&lt;"&amp;(Config!$B$8+1))+COUNTIFS($AZ$2:$AZ$201,AZ3,$DB$2:$DB$201,1,$H$2:$H$201,H3,$BA$2:$BA$201,"&gt;"&amp;BA3)=0,1,0),0)</f>
        <v>1</v>
      </c>
      <c r="DG3" s="23" t="n">
        <f aca="false">IF(AND(DB3=1,INT(N(H3))&lt;=Config!$B$5),IF(COUNTIFS($AZ$2:$AZ$201,AZ3,$DB$2:$DB$201,1,$H$2:$H$201,"&gt;"&amp;H3,$H$2:$H$201,"&lt;"&amp;(Config!$B$5+1))+COUNTIFS($AZ$2:$AZ$201,AZ3,$DB$2:$DB$201,1,$H$2:$H$201,H3,$BA$2:$BA$201,"&gt;"&amp;BA3)=0,1,0),0)</f>
        <v>1</v>
      </c>
      <c r="DH3" s="23" t="n">
        <f aca="false">IF(BB3=1,IF(COUNTIFS($AZ$2:$AZ$201,AZ3,$DD$2:$DD$201,1,$AR$2:$AR$201,"Y")&gt;0,1,0),0)</f>
        <v>1</v>
      </c>
      <c r="DI3" s="23" t="n">
        <f aca="false">IF(BB3=1,IF(COUNTIFS($AZ$2:$AZ$201,AZ3,$DE$2:$DE$201,1,$AR$2:$AR$201,"Y")&gt;0,1,0),0)</f>
        <v>1</v>
      </c>
      <c r="DJ3" s="23" t="n">
        <f aca="false">IF(BB3=1,IF(COUNTIFS($AZ$2:$AZ$201,AZ3,$DF$2:$DF$201,1,$AR$2:$AR$201,"Y")&gt;0,1,0),0)</f>
        <v>1</v>
      </c>
      <c r="DK3" s="23" t="n">
        <f aca="false">IF(BB3=1,IF(COUNTIFS($AZ$2:$AZ$201,AZ3,$DG$2:$DG$201,1,$AR$2:$AR$201,"Y")&gt;0,1,0),0)</f>
        <v>1</v>
      </c>
      <c r="DL3" s="23" t="n">
        <f aca="false">IF(AND(BF3=1,INT(N(H3))&lt;=Config!$B$6,DH3=1,EI3=0),1,0)</f>
        <v>0</v>
      </c>
      <c r="DM3" s="23" t="n">
        <f aca="false">IF(AND(BF3=1,INT(N(H3))&lt;=Config!$B$7,DI3=1,EI3=0),1,0)</f>
        <v>0</v>
      </c>
      <c r="DN3" s="23" t="n">
        <f aca="false">IF(AND(BF3=1,INT(N(H3))&lt;=Config!$B$8,DJ3=1,EI3=0),1,0)</f>
        <v>0</v>
      </c>
      <c r="DO3" s="23" t="n">
        <f aca="false">IF(AND(BF3=1,INT(N(H3))&lt;=Config!$B$5,DK3=1,EI3=0),1,0)</f>
        <v>0</v>
      </c>
      <c r="DP3" s="23" t="n">
        <f aca="false">IF(AND(CC3=1,INT(N(H3))&lt;=Config!$B$6,DH3=1,EI3=0),1,0)</f>
        <v>1</v>
      </c>
      <c r="DQ3" s="23" t="n">
        <f aca="false">IF(AND(CC3=1,INT(N(H3))&lt;=Config!$B$7,DI3=1,EI3=0),1,0)</f>
        <v>1</v>
      </c>
      <c r="DR3" s="23" t="n">
        <f aca="false">IF(AND(CC3=1,INT(N(H3))&lt;=Config!$B$8,DJ3=1,EI3=0),1,0)</f>
        <v>1</v>
      </c>
      <c r="DS3" s="23" t="n">
        <f aca="false">IF(AND(CC3=1,INT(N(H3))&lt;=Config!$B$5,DK3=1,EI3=0),1,0)</f>
        <v>1</v>
      </c>
      <c r="DT3" s="23" t="n">
        <f aca="false">IF(AND(CC3=1,INT(N(H3))&lt;=Config!$B$6,DH3=0),1,0)</f>
        <v>0</v>
      </c>
      <c r="DU3" s="23" t="n">
        <f aca="false">IF(AND(CC3=1,INT(N(H3))&lt;=Config!$B$7,DI3=0),1,0)</f>
        <v>0</v>
      </c>
      <c r="DV3" s="23" t="n">
        <f aca="false">IF(AND(CC3=1,INT(N(H3))&lt;=Config!$B$8,DJ3=0),1,0)</f>
        <v>0</v>
      </c>
      <c r="DW3" s="23" t="n">
        <f aca="false">IF(AND(CC3=1,INT(N(H3))&lt;=Config!$B$5,DK3=0),1,0)</f>
        <v>0</v>
      </c>
      <c r="DX3" s="23" t="n">
        <f aca="false">IF(TRIM($A3)="",0,ISTEXT(M3)+ISTEXT(O3)+ISTEXT(Y3)+ISTEXT(Z3)+ISTEXT(AA3)+ISTEXT(AV3))</f>
        <v>0</v>
      </c>
      <c r="DY3" s="23" t="n">
        <f aca="false">IF(BB3=1,IF(H3&lt;&gt;INT(H3),1,0),0)</f>
        <v>0</v>
      </c>
      <c r="DZ3" s="23" t="str">
        <f aca="false">IF(TRIM($A3)="","",IF(TRIM(B3)="",SUBSTITUTE(SUBSTITUTE(SUBSTITUTE(SUBSTITUTE(SUBSTITUTE(SUBSTITUTE(LOWER(TRIM($A3)),"~",""),"*",""),"?",""),"&lt;",""),"&gt;",""),"=",""),SUBSTITUTE(SUBSTITUTE(SUBSTITUTE(SUBSTITUTE(SUBSTITUTE(SUBSTITUTE(LOWER(TRIM(B3)),"~",""),"*",""),"?",""),"&lt;",""),"&gt;",""),"=","")))</f>
        <v>sample office 02</v>
      </c>
      <c r="EA3" s="23" t="str">
        <f aca="false">IF(CW3="","",IFERROR(IF(LEFT(LOWER(TRIM(INDEX(Clay_Offices!$A$2:$FZ$601,CW3,Sync!$C$19)&amp;"")),4)="grp-",SUBSTITUTE(SUBSTITUTE(SUBSTITUTE(SUBSTITUTE(SUBSTITUTE(SUBSTITUTE(LOWER(TRIM(INDEX(Clay_Offices!$A$2:$FZ$601,CW3,Sync!$C$19)&amp;"")),"~",""),"*",""),"?",""),"&lt;",""),"&gt;",""),"=",""),""),""))</f>
        <v/>
      </c>
      <c r="EB3" s="23" t="str">
        <f aca="false">IF(EA3&lt;&gt;"",DZ3,"")</f>
        <v/>
      </c>
      <c r="EC3" s="23" t="str">
        <f aca="false">IF(BC3=1,AZ3,"")</f>
        <v>sample office 02</v>
      </c>
      <c r="ED3" s="23" t="str">
        <f aca="false">IF(TRIM($A3)="","",IFERROR(INDEX($A$2:$A$201,MATCH(AZ3,$EC$2:$EC$201,0))&amp;"",$A3&amp;""))</f>
        <v>SAMPLE-O-002</v>
      </c>
      <c r="EE3" s="23" t="n">
        <f aca="false">IF(BB3=1,IF(COUNTIFS($A$2:$A$201,$A3,$BB$2:$BB$201,1,$H$2:$H$201,"&lt;"&amp;H3)+COUNTIFS($A$2:$A$201,$A3,$BB$2:$BB$201,1,$H$2:$H$201,H3,$BA$2:$BA$201,"&lt;"&amp;BA3)=0,1,0),0)</f>
        <v>1</v>
      </c>
      <c r="EF3" s="23" t="n">
        <f aca="false">IF(BC3=1,IF(COUNTIFS($AZ$2:$AZ$201,AZ3,$EE$2:$EE$201,1)&gt;1,1,0),0)</f>
        <v>0</v>
      </c>
      <c r="EG3" s="23" t="n">
        <f aca="false">IF(AND(CQ3=1),IF(COUNTIFS($AZ$2:$AZ$201,AZ3,$CQ$2:$CQ$201,1,$H$2:$H$201,"&gt;"&amp;H3)+COUNTIFS($AZ$2:$AZ$201,AZ3,$CQ$2:$CQ$201,1,$H$2:$H$201,H3,$BA$2:$BA$201,"&gt;"&amp;BA3)=0,1,0),0)</f>
        <v>1</v>
      </c>
      <c r="EH3" s="23" t="n">
        <f aca="false">IF(BB3=1,IF(COUNTIFS($AZ$2:$AZ$201,AZ3,$EG$2:$EG$201,1)=0,"",SUMIFS($O$2:$O$201,$AZ$2:$AZ$201,AZ3,$EG$2:$EG$201,1)),"")</f>
        <v>45</v>
      </c>
      <c r="EI3" s="23" t="n">
        <f aca="false">IF(AND(ISNUMBER(EH3),OR(N(EH3)&lt;Config!$B$31,N(EH3)&gt;Config!$B$33)),1,0)</f>
        <v>0</v>
      </c>
      <c r="EJ3" s="23" t="n">
        <f aca="false">IF(AND(ISNUMBER(EH3),N(EH3)&gt;=Config!$B$31,N(EH3)&lt;Config!$B$32),1,0)</f>
        <v>0</v>
      </c>
      <c r="EK3" s="23" t="n">
        <f aca="false">IF(AND(BF3=1,INT(N(H3))&lt;=Config!$B$6,DH3=1,EI3=1),1,0)</f>
        <v>0</v>
      </c>
      <c r="EL3" s="23" t="n">
        <f aca="false">IF(AND(BF3=1,INT(N(H3))&lt;=Config!$B$7,DI3=1,EI3=1),1,0)</f>
        <v>0</v>
      </c>
      <c r="EM3" s="23" t="n">
        <f aca="false">IF(AND(BF3=1,INT(N(H3))&lt;=Config!$B$8,DJ3=1,EI3=1),1,0)</f>
        <v>0</v>
      </c>
      <c r="EN3" s="23" t="n">
        <f aca="false">IF(AND(BF3=1,INT(N(H3))&lt;=Config!$B$5,DK3=1,EI3=1),1,0)</f>
        <v>0</v>
      </c>
      <c r="EO3" s="23" t="n">
        <f aca="false">IF(AND(DL3=1,EJ3=1),1,0)</f>
        <v>0</v>
      </c>
      <c r="EP3" s="23" t="n">
        <f aca="false">IF(AND(DM3=1,EJ3=1),1,0)</f>
        <v>0</v>
      </c>
      <c r="EQ3" s="23" t="n">
        <f aca="false">IF(AND(DN3=1,EJ3=1),1,0)</f>
        <v>0</v>
      </c>
      <c r="ER3" s="23" t="n">
        <f aca="false">IF(AND(DO3=1,EJ3=1),1,0)</f>
        <v>0</v>
      </c>
    </row>
    <row r="4" customFormat="false" ht="15" hidden="false" customHeight="false" outlineLevel="0" collapsed="false">
      <c r="A4" s="0" t="s">
        <v>490</v>
      </c>
      <c r="B4" s="0" t="s">
        <v>491</v>
      </c>
      <c r="D4" s="0" t="s">
        <v>492</v>
      </c>
      <c r="E4" s="0" t="s">
        <v>451</v>
      </c>
      <c r="F4" s="0" t="s">
        <v>480</v>
      </c>
      <c r="G4" s="32" t="s">
        <v>493</v>
      </c>
      <c r="H4" s="33" t="n">
        <v>46324</v>
      </c>
      <c r="I4" s="32" t="s">
        <v>493</v>
      </c>
      <c r="J4" s="32" t="s">
        <v>494</v>
      </c>
      <c r="K4" s="32" t="s">
        <v>495</v>
      </c>
      <c r="L4" s="32" t="s">
        <v>460</v>
      </c>
      <c r="O4" s="0" t="n">
        <v>120</v>
      </c>
      <c r="P4" s="32" t="s">
        <v>496</v>
      </c>
      <c r="Q4" s="32" t="s">
        <v>460</v>
      </c>
      <c r="R4" s="32" t="s">
        <v>461</v>
      </c>
      <c r="S4" s="32" t="s">
        <v>462</v>
      </c>
      <c r="T4" s="32" t="s">
        <v>463</v>
      </c>
      <c r="U4" s="32" t="s">
        <v>497</v>
      </c>
      <c r="V4" s="32" t="s">
        <v>464</v>
      </c>
      <c r="W4" s="32" t="s">
        <v>460</v>
      </c>
      <c r="X4" s="32" t="s">
        <v>498</v>
      </c>
      <c r="AA4" s="0" t="n">
        <v>0</v>
      </c>
      <c r="AC4" s="32" t="s">
        <v>457</v>
      </c>
      <c r="AF4" s="32" t="s">
        <v>457</v>
      </c>
      <c r="AG4" s="0" t="s">
        <v>499</v>
      </c>
      <c r="AI4" s="32" t="s">
        <v>500</v>
      </c>
      <c r="AJ4" s="32" t="s">
        <v>470</v>
      </c>
      <c r="AL4" s="32" t="s">
        <v>472</v>
      </c>
      <c r="AM4" s="32" t="s">
        <v>473</v>
      </c>
      <c r="AN4" s="32" t="s">
        <v>139</v>
      </c>
      <c r="AQ4" s="32" t="s">
        <v>501</v>
      </c>
      <c r="AR4" s="32" t="s">
        <v>457</v>
      </c>
      <c r="AT4" s="32"/>
      <c r="AU4" s="32"/>
      <c r="AV4" s="0" t="n">
        <v>8</v>
      </c>
      <c r="AW4" s="32" t="s">
        <v>460</v>
      </c>
      <c r="AY4" s="34" t="str">
        <f aca="false">IF(TRIM($A4)="","",IF(AND(LEFT($A4,6)="SAMPLE",Config!$B$19&lt;&gt;"Y"),"",IF(NOT(ISNUMBER(H4)),"call_date is blank or not a date",IF(Sync!$C$5="","Clay paste is empty or has no row_id column: paste the Clay export on Clay_Offices",IF(CW4="","row_id not found in the Clay paste: add the Clay row or fix the row_id",IF(AND(ISNUMBER(CY4),CY4&gt;=1,CY4&lt;=5),"Clay status is "&amp;CX4&amp;": set call_done or later",IF(AND(BD4=1,CZ4&lt;&gt;BZ4),"Clay yes_in_principle should be "&amp;BZ4,IF(AND(BD4=1,DA4&lt;&gt;H4),"Clay call_date should be "&amp;TEXT(H4,"yyyy-mm-dd"),""))))))))</f>
        <v/>
      </c>
      <c r="AZ4" s="23" t="str">
        <f aca="false">IF(TRIM($A4)="","",IF(TRIM(C4)&lt;&gt;"",SUBSTITUTE(SUBSTITUTE(SUBSTITUTE(SUBSTITUTE(SUBSTITUTE(SUBSTITUTE(LOWER(TRIM(C4)),"~",""),"*",""),"?",""),"&lt;",""),"&gt;",""),"=",""),IF(EA4&lt;&gt;"",EA4,IFERROR(INDEX($EA$2:$EA$201,MATCH(DZ4,$EB$2:$EB$201,0)),DZ4))))</f>
        <v>sample office 03</v>
      </c>
      <c r="BA4" s="23" t="n">
        <f aca="false">ROW()</f>
        <v>4</v>
      </c>
      <c r="BB4" s="23" t="n">
        <f aca="false">IF(AND(TRIM($A4)&lt;&gt;"",ISNUMBER(H4)),IF(AND(LEFT($A4,6)="SAMPLE",Config!$B$19&lt;&gt;"Y"),0,1),0)</f>
        <v>1</v>
      </c>
      <c r="BC4" s="23" t="n">
        <f aca="false">IF(BB4=1,IF(COUNTIFS($AZ$2:$AZ$201,AZ4,$BB$2:$BB$201,1,$H$2:$H$201,"&lt;"&amp;H4)+COUNTIFS($AZ$2:$AZ$201,AZ4,$BB$2:$BB$201,1,$H$2:$H$201,H4,$BA$2:$BA$201,"&lt;"&amp;BA4)=0,1,0),0)</f>
        <v>1</v>
      </c>
      <c r="BD4" s="23" t="n">
        <f aca="false">IF(BB4=1,IF(COUNTIFS($A$2:$A$201,$A4,$BB$2:$BB$201,1,$H$2:$H$201,"&gt;"&amp;H4)+COUNTIFS($A$2:$A$201,$A4,$BB$2:$BB$201,1,$H$2:$H$201,H4,$BA$2:$BA$201,"&gt;"&amp;BA4)=0,1,0),0)</f>
        <v>1</v>
      </c>
      <c r="BE4" s="23" t="n">
        <f aca="false">IF(AND(BB4=1,AR4="Y",AC4="Y",TRIM(AH4)&lt;&gt;""),1,0)</f>
        <v>0</v>
      </c>
      <c r="BF4" s="23" t="n">
        <f aca="false">IF(BE4=1,IF(COUNTIFS($AZ$2:$AZ$201,AZ4,$BE$2:$BE$201,1,$H$2:$H$201,"&lt;"&amp;H4)+COUNTIFS($AZ$2:$AZ$201,AZ4,$BE$2:$BE$201,1,$H$2:$H$201,H4,$BA$2:$BA$201,"&lt;"&amp;BA4)=0,1,0),0)</f>
        <v>0</v>
      </c>
      <c r="BG4" s="23" t="n">
        <f aca="false">IF(AND(BB4=1,AR4="Y",BE4=0),1,0)</f>
        <v>0</v>
      </c>
      <c r="BH4" s="23" t="n">
        <f aca="false">IF(AND(BB4=1,ISNUMBER(Y4)),1,0)</f>
        <v>0</v>
      </c>
      <c r="BI4" s="23" t="n">
        <f aca="false">IF(BH4=1,IF(COUNTIFS($AZ$2:$AZ$201,AZ4,$BH$2:$BH$201,1,$H$2:$H$201,"&lt;"&amp;H4)+COUNTIFS($AZ$2:$AZ$201,AZ4,$BH$2:$BH$201,1,$H$2:$H$201,H4,$BA$2:$BA$201,"&lt;"&amp;BA4)=0,1,0),0)</f>
        <v>0</v>
      </c>
      <c r="BJ4" s="23" t="str">
        <f aca="false">IF(AND(BI4=1,INT(N(H4))&lt;=Config!$B$6),Y4,"")</f>
        <v/>
      </c>
      <c r="BK4" s="23" t="str">
        <f aca="false">IF(AND(BI4=1,INT(N(H4))&lt;=Config!$B$7),Y4,"")</f>
        <v/>
      </c>
      <c r="BL4" s="23" t="str">
        <f aca="false">IF(AND(BI4=1,INT(N(H4))&lt;=Config!$B$8),Y4,"")</f>
        <v/>
      </c>
      <c r="BM4" s="23" t="str">
        <f aca="false">IF(AND(BI4=1,INT(N(H4))&lt;=Config!$B$5),Y4,"")</f>
        <v/>
      </c>
      <c r="BN4" s="23" t="n">
        <f aca="false">IF(CD4=1,IF(COUNTIFS($AZ$2:$AZ$201,AZ4,$CD$2:$CD$201,1,$H$2:$H$201,"&lt;"&amp;H4)+COUNTIFS($AZ$2:$AZ$201,AZ4,$CD$2:$CD$201,1,$H$2:$H$201,H4,$BA$2:$BA$201,"&lt;"&amp;BA4)=0,1,0),0)</f>
        <v>0</v>
      </c>
      <c r="BO4" s="23" t="n">
        <f aca="false">IF(AND(BB4=1,ISNUMBER(M4)),1,0)</f>
        <v>0</v>
      </c>
      <c r="BP4" s="23" t="n">
        <f aca="false">IF(BO4=1,IF(COUNTIFS($AZ$2:$AZ$201,AZ4,$BO$2:$BO$201,1,$H$2:$H$201,"&lt;"&amp;H4)+COUNTIFS($AZ$2:$AZ$201,AZ4,$BO$2:$BO$201,1,$H$2:$H$201,H4,$BA$2:$BA$201,"&lt;"&amp;BA4)=0,1,0),0)</f>
        <v>0</v>
      </c>
      <c r="BQ4" s="23" t="str">
        <f aca="false">IF(AND(BP4=1,INT(N(H4))&lt;=Config!$B$5),M4,"")</f>
        <v/>
      </c>
      <c r="BR4" s="23" t="n">
        <f aca="false">IF(AND(BB4=1,OR(TRIM(X4)&lt;&gt;"",ISNUMBER(Y4))),1,0)</f>
        <v>1</v>
      </c>
      <c r="BS4" s="23" t="n">
        <f aca="false">IF(BR4=1,IF(COUNTIFS($AZ$2:$AZ$201,AZ4,$BR$2:$BR$201,1,$H$2:$H$201,"&lt;"&amp;H4)+COUNTIFS($AZ$2:$AZ$201,AZ4,$BR$2:$BR$201,1,$H$2:$H$201,H4,$BA$2:$BA$201,"&lt;"&amp;BA4)=0,1,0),0)</f>
        <v>1</v>
      </c>
      <c r="BT4" s="23" t="str">
        <f aca="false">IF(BS4=1,AZ4,"")</f>
        <v>sample office 03</v>
      </c>
      <c r="BU4" s="23" t="n">
        <f aca="false">IF(AND(BB4=1,W4="Y",TRIM(X4)=""),1,0)</f>
        <v>0</v>
      </c>
      <c r="BV4" s="23" t="str">
        <f aca="false">IF(BB4=1,AN4&amp;"","")</f>
        <v>vendor_fatigue</v>
      </c>
      <c r="BW4" s="23" t="str">
        <f aca="false">IF(BB4=1,AO4&amp;"","")</f>
        <v/>
      </c>
      <c r="BX4" s="23" t="str">
        <f aca="false">IF(BB4=1,AP4&amp;"","")</f>
        <v/>
      </c>
      <c r="BY4" s="23" t="n">
        <f aca="false">IF(AND(BB4=1,ISNUMBER(AV4),INT(N(H4))&lt;=Config!$B$5),AV4,"")</f>
        <v>8</v>
      </c>
      <c r="BZ4" s="23" t="str">
        <f aca="false">IF(BB4=1,IF(COUNTIFS($A$2:$A$201,$A4,$DC$2:$DC$201,1,$AR$2:$AR$201,"Y")&gt;0,"Y","N"),"")</f>
        <v>N</v>
      </c>
      <c r="CA4" s="23" t="n">
        <f aca="false">IF(AND(BB4=1,AR4="maybe"),1,0)</f>
        <v>0</v>
      </c>
      <c r="CB4" s="23" t="n">
        <f aca="false">IF(CA4=1,IF(COUNTIFS($AZ$2:$AZ$201,AZ4,$CA$2:$CA$201,1,$H$2:$H$201,"&lt;"&amp;H4)+COUNTIFS($AZ$2:$AZ$201,AZ4,$CA$2:$CA$201,1,$H$2:$H$201,H4,$BA$2:$BA$201,"&lt;"&amp;BA4)=0,1,0),0)</f>
        <v>0</v>
      </c>
      <c r="CC4" s="23" t="n">
        <f aca="false">IF(AND(BB4=1,AR4="Y"),IF(COUNTIFS($AZ$2:$AZ$201,AZ4,$AR$2:$AR$201,"Y",$BB$2:$BB$201,1,$H$2:$H$201,"&lt;"&amp;H4)+COUNTIFS($AZ$2:$AZ$201,AZ4,$AR$2:$AR$201,"Y",$BB$2:$BB$201,1,$H$2:$H$201,H4,$BA$2:$BA$201,"&lt;"&amp;BA4)=0,1,0),0)</f>
        <v>0</v>
      </c>
      <c r="CD4" s="23" t="n">
        <f aca="false">IF(AND(BH4=1,N(Y4)&gt;=Config!$B$15),1,0)</f>
        <v>0</v>
      </c>
      <c r="CE4" s="23" t="n">
        <f aca="false">IF(AND(BB4=1,AT4="Y"),1,0)</f>
        <v>0</v>
      </c>
      <c r="CF4" s="23" t="n">
        <f aca="false">IF(CE4=1,IF(COUNTIFS($AZ$2:$AZ$201,AZ4,$CE$2:$CE$201,1,$H$2:$H$201,"&lt;"&amp;H4)+COUNTIFS($AZ$2:$AZ$201,AZ4,$CE$2:$CE$201,1,$H$2:$H$201,H4,$BA$2:$BA$201,"&lt;"&amp;BA4)=0,1,0),0)</f>
        <v>0</v>
      </c>
      <c r="CG4" s="23" t="n">
        <f aca="false">IF(AND(BB4=1,G4="warm-intro"),1,0)</f>
        <v>0</v>
      </c>
      <c r="CH4" s="23" t="n">
        <f aca="false">IF(CG4=1,IF(COUNTIFS($AZ$2:$AZ$201,AZ4,$CG$2:$CG$201,1,$H$2:$H$201,"&lt;"&amp;H4)+COUNTIFS($AZ$2:$AZ$201,AZ4,$CG$2:$CG$201,1,$H$2:$H$201,H4,$BA$2:$BA$201,"&lt;"&amp;BA4)=0,1,0),0)</f>
        <v>0</v>
      </c>
      <c r="CI4" s="23" t="n">
        <f aca="false">IF(AND(BB4=1,Q4="Y"),1,0)</f>
        <v>1</v>
      </c>
      <c r="CJ4" s="23" t="n">
        <f aca="false">IF(CI4=1,IF(COUNTIFS($AZ$2:$AZ$201,AZ4,$CI$2:$CI$201,1,$H$2:$H$201,"&lt;"&amp;H4)+COUNTIFS($AZ$2:$AZ$201,AZ4,$CI$2:$CI$201,1,$H$2:$H$201,H4,$BA$2:$BA$201,"&lt;"&amp;BA4)=0,1,0),0)</f>
        <v>1</v>
      </c>
      <c r="CK4" s="23" t="n">
        <f aca="false">IF(AND(BB4=1,AF4="Y"),1,0)</f>
        <v>0</v>
      </c>
      <c r="CL4" s="23" t="n">
        <f aca="false">IF(CK4=1,IF(COUNTIFS($AZ$2:$AZ$201,AZ4,$CK$2:$CK$201,1,$H$2:$H$201,"&lt;"&amp;H4)+COUNTIFS($AZ$2:$AZ$201,AZ4,$CK$2:$CK$201,1,$H$2:$H$201,H4,$BA$2:$BA$201,"&lt;"&amp;BA4)=0,1,0),0)</f>
        <v>0</v>
      </c>
      <c r="CM4" s="23" t="n">
        <f aca="false">IF(AND(BB4=1,U4="Y"),1,0)</f>
        <v>0</v>
      </c>
      <c r="CN4" s="23" t="n">
        <f aca="false">IF(CM4=1,IF(COUNTIFS($AZ$2:$AZ$201,AZ4,$CM$2:$CM$201,1,$H$2:$H$201,"&lt;"&amp;H4)+COUNTIFS($AZ$2:$AZ$201,AZ4,$CM$2:$CM$201,1,$H$2:$H$201,H4,$BA$2:$BA$201,"&lt;"&amp;BA4)=0,1,0),0)</f>
        <v>0</v>
      </c>
      <c r="CO4" s="23" t="n">
        <f aca="false">IF(AND(BB4=1,L4="Y"),1,0)</f>
        <v>1</v>
      </c>
      <c r="CP4" s="23" t="n">
        <f aca="false">IF(CO4=1,IF(COUNTIFS($AZ$2:$AZ$201,AZ4,$CO$2:$CO$201,1,$H$2:$H$201,"&lt;"&amp;H4)+COUNTIFS($AZ$2:$AZ$201,AZ4,$CO$2:$CO$201,1,$H$2:$H$201,H4,$BA$2:$BA$201,"&lt;"&amp;BA4)=0,1,0),0)</f>
        <v>1</v>
      </c>
      <c r="CQ4" s="23" t="n">
        <f aca="false">IF(AND(BB4=1,ISNUMBER(O4)),1,0)</f>
        <v>1</v>
      </c>
      <c r="CR4" s="23" t="n">
        <f aca="false">IF(CQ4=1,IF(COUNTIFS($AZ$2:$AZ$201,AZ4,$CQ$2:$CQ$201,1,$H$2:$H$201,"&lt;"&amp;H4)+COUNTIFS($AZ$2:$AZ$201,AZ4,$CQ$2:$CQ$201,1,$H$2:$H$201,H4,$BA$2:$BA$201,"&lt;"&amp;BA4)=0,1,0),0)</f>
        <v>1</v>
      </c>
      <c r="CS4" s="23" t="n">
        <f aca="false">IF(AND(CR4=1,INT(N(H4))&lt;=Config!$B$5),O4,"")</f>
        <v>120</v>
      </c>
      <c r="CT4" s="23" t="str">
        <f aca="false">IF(AND(BB4=1,INT(N(H4))&lt;=Config!$B$5),AG4&amp;"","")</f>
        <v>facilities</v>
      </c>
      <c r="CU4" s="23" t="n">
        <f aca="false">IF(AND(BB4=1,AU4="Y"),1,0)</f>
        <v>0</v>
      </c>
      <c r="CV4" s="23" t="n">
        <f aca="false">IF(CU4=1,IF(COUNTIFS($AZ$2:$AZ$201,AZ4,$CU$2:$CU$201,1,$H$2:$H$201,"&lt;"&amp;H4)+COUNTIFS($AZ$2:$AZ$201,AZ4,$CU$2:$CU$201,1,$H$2:$H$201,H4,$BA$2:$BA$201,"&lt;"&amp;BA4)=0,1,0),0)</f>
        <v>0</v>
      </c>
      <c r="CW4" s="23" t="n">
        <f aca="false">IF(BB4=1,IFERROR(MATCH($A4,INDEX(Clay_Offices!$A$2:$FZ$601,0,Sync!$C$5),0),""),"")</f>
        <v>3</v>
      </c>
      <c r="CX4" s="23" t="str">
        <f aca="false">IF(CW4="","",IFERROR(INDEX(Clay_Offices!$A$2:$FZ$601,CW4,Sync!$C$7)&amp;"",""))</f>
        <v>call_done</v>
      </c>
      <c r="CY4" s="23" t="n">
        <f aca="false">IF(CX4="","",IFERROR(INDEX(Lists!$K$2:$K$15,MATCH(CX4,Lists!$J$2:$J$15,0)),""))</f>
        <v>6</v>
      </c>
      <c r="CZ4" s="23" t="str">
        <f aca="false">IF(CW4="","",IFERROR(INDEX(Clay_Offices!$A$2:$FZ$601,CW4,Sync!$C$17)&amp;"",""))</f>
        <v>N</v>
      </c>
      <c r="DA4" s="35" t="n">
        <f aca="false">IF(CW4="","",IFERROR(N(INDEX(Clay_Offices!$A$2:$FZ$601,CW4,Sync!$C$16)),0))</f>
        <v>46324</v>
      </c>
      <c r="DB4" s="23" t="n">
        <f aca="false">IF(AND(BB4=1,OR(AR4="Y",AR4="N",AR4="maybe")),1,0)</f>
        <v>1</v>
      </c>
      <c r="DC4" s="23" t="n">
        <f aca="false">IF(AND(DB4=1),IF(COUNTIFS($A$2:$A$201,$A4,$DB$2:$DB$201,1,$H$2:$H$201,"&gt;"&amp;H4)+COUNTIFS($A$2:$A$201,$A4,$DB$2:$DB$201,1,$H$2:$H$201,H4,$BA$2:$BA$201,"&gt;"&amp;BA4)=0,1,0),0)</f>
        <v>1</v>
      </c>
      <c r="DD4" s="23" t="n">
        <f aca="false">IF(AND(DB4=1,INT(N(H4))&lt;=Config!$B$6),IF(COUNTIFS($AZ$2:$AZ$201,AZ4,$DB$2:$DB$201,1,$H$2:$H$201,"&gt;"&amp;H4,$H$2:$H$201,"&lt;"&amp;(Config!$B$6+1))+COUNTIFS($AZ$2:$AZ$201,AZ4,$DB$2:$DB$201,1,$H$2:$H$201,H4,$BA$2:$BA$201,"&gt;"&amp;BA4)=0,1,0),0)</f>
        <v>1</v>
      </c>
      <c r="DE4" s="23" t="n">
        <f aca="false">IF(AND(DB4=1,INT(N(H4))&lt;=Config!$B$7),IF(COUNTIFS($AZ$2:$AZ$201,AZ4,$DB$2:$DB$201,1,$H$2:$H$201,"&gt;"&amp;H4,$H$2:$H$201,"&lt;"&amp;(Config!$B$7+1))+COUNTIFS($AZ$2:$AZ$201,AZ4,$DB$2:$DB$201,1,$H$2:$H$201,H4,$BA$2:$BA$201,"&gt;"&amp;BA4)=0,1,0),0)</f>
        <v>1</v>
      </c>
      <c r="DF4" s="23" t="n">
        <f aca="false">IF(AND(DB4=1,INT(N(H4))&lt;=Config!$B$8),IF(COUNTIFS($AZ$2:$AZ$201,AZ4,$DB$2:$DB$201,1,$H$2:$H$201,"&gt;"&amp;H4,$H$2:$H$201,"&lt;"&amp;(Config!$B$8+1))+COUNTIFS($AZ$2:$AZ$201,AZ4,$DB$2:$DB$201,1,$H$2:$H$201,H4,$BA$2:$BA$201,"&gt;"&amp;BA4)=0,1,0),0)</f>
        <v>1</v>
      </c>
      <c r="DG4" s="23" t="n">
        <f aca="false">IF(AND(DB4=1,INT(N(H4))&lt;=Config!$B$5),IF(COUNTIFS($AZ$2:$AZ$201,AZ4,$DB$2:$DB$201,1,$H$2:$H$201,"&gt;"&amp;H4,$H$2:$H$201,"&lt;"&amp;(Config!$B$5+1))+COUNTIFS($AZ$2:$AZ$201,AZ4,$DB$2:$DB$201,1,$H$2:$H$201,H4,$BA$2:$BA$201,"&gt;"&amp;BA4)=0,1,0),0)</f>
        <v>1</v>
      </c>
      <c r="DH4" s="23" t="n">
        <f aca="false">IF(BB4=1,IF(COUNTIFS($AZ$2:$AZ$201,AZ4,$DD$2:$DD$201,1,$AR$2:$AR$201,"Y")&gt;0,1,0),0)</f>
        <v>0</v>
      </c>
      <c r="DI4" s="23" t="n">
        <f aca="false">IF(BB4=1,IF(COUNTIFS($AZ$2:$AZ$201,AZ4,$DE$2:$DE$201,1,$AR$2:$AR$201,"Y")&gt;0,1,0),0)</f>
        <v>0</v>
      </c>
      <c r="DJ4" s="23" t="n">
        <f aca="false">IF(BB4=1,IF(COUNTIFS($AZ$2:$AZ$201,AZ4,$DF$2:$DF$201,1,$AR$2:$AR$201,"Y")&gt;0,1,0),0)</f>
        <v>0</v>
      </c>
      <c r="DK4" s="23" t="n">
        <f aca="false">IF(BB4=1,IF(COUNTIFS($AZ$2:$AZ$201,AZ4,$DG$2:$DG$201,1,$AR$2:$AR$201,"Y")&gt;0,1,0),0)</f>
        <v>0</v>
      </c>
      <c r="DL4" s="23" t="n">
        <f aca="false">IF(AND(BF4=1,INT(N(H4))&lt;=Config!$B$6,DH4=1,EI4=0),1,0)</f>
        <v>0</v>
      </c>
      <c r="DM4" s="23" t="n">
        <f aca="false">IF(AND(BF4=1,INT(N(H4))&lt;=Config!$B$7,DI4=1,EI4=0),1,0)</f>
        <v>0</v>
      </c>
      <c r="DN4" s="23" t="n">
        <f aca="false">IF(AND(BF4=1,INT(N(H4))&lt;=Config!$B$8,DJ4=1,EI4=0),1,0)</f>
        <v>0</v>
      </c>
      <c r="DO4" s="23" t="n">
        <f aca="false">IF(AND(BF4=1,INT(N(H4))&lt;=Config!$B$5,DK4=1,EI4=0),1,0)</f>
        <v>0</v>
      </c>
      <c r="DP4" s="23" t="n">
        <f aca="false">IF(AND(CC4=1,INT(N(H4))&lt;=Config!$B$6,DH4=1,EI4=0),1,0)</f>
        <v>0</v>
      </c>
      <c r="DQ4" s="23" t="n">
        <f aca="false">IF(AND(CC4=1,INT(N(H4))&lt;=Config!$B$7,DI4=1,EI4=0),1,0)</f>
        <v>0</v>
      </c>
      <c r="DR4" s="23" t="n">
        <f aca="false">IF(AND(CC4=1,INT(N(H4))&lt;=Config!$B$8,DJ4=1,EI4=0),1,0)</f>
        <v>0</v>
      </c>
      <c r="DS4" s="23" t="n">
        <f aca="false">IF(AND(CC4=1,INT(N(H4))&lt;=Config!$B$5,DK4=1,EI4=0),1,0)</f>
        <v>0</v>
      </c>
      <c r="DT4" s="23" t="n">
        <f aca="false">IF(AND(CC4=1,INT(N(H4))&lt;=Config!$B$6,DH4=0),1,0)</f>
        <v>0</v>
      </c>
      <c r="DU4" s="23" t="n">
        <f aca="false">IF(AND(CC4=1,INT(N(H4))&lt;=Config!$B$7,DI4=0),1,0)</f>
        <v>0</v>
      </c>
      <c r="DV4" s="23" t="n">
        <f aca="false">IF(AND(CC4=1,INT(N(H4))&lt;=Config!$B$8,DJ4=0),1,0)</f>
        <v>0</v>
      </c>
      <c r="DW4" s="23" t="n">
        <f aca="false">IF(AND(CC4=1,INT(N(H4))&lt;=Config!$B$5,DK4=0),1,0)</f>
        <v>0</v>
      </c>
      <c r="DX4" s="23" t="n">
        <f aca="false">IF(TRIM($A4)="",0,ISTEXT(M4)+ISTEXT(O4)+ISTEXT(Y4)+ISTEXT(Z4)+ISTEXT(AA4)+ISTEXT(AV4))</f>
        <v>0</v>
      </c>
      <c r="DY4" s="23" t="n">
        <f aca="false">IF(BB4=1,IF(H4&lt;&gt;INT(H4),1,0),0)</f>
        <v>0</v>
      </c>
      <c r="DZ4" s="23" t="str">
        <f aca="false">IF(TRIM($A4)="","",IF(TRIM(B4)="",SUBSTITUTE(SUBSTITUTE(SUBSTITUTE(SUBSTITUTE(SUBSTITUTE(SUBSTITUTE(LOWER(TRIM($A4)),"~",""),"*",""),"?",""),"&lt;",""),"&gt;",""),"=",""),SUBSTITUTE(SUBSTITUTE(SUBSTITUTE(SUBSTITUTE(SUBSTITUTE(SUBSTITUTE(LOWER(TRIM(B4)),"~",""),"*",""),"?",""),"&lt;",""),"&gt;",""),"=","")))</f>
        <v>sample office 03</v>
      </c>
      <c r="EA4" s="23" t="str">
        <f aca="false">IF(CW4="","",IFERROR(IF(LEFT(LOWER(TRIM(INDEX(Clay_Offices!$A$2:$FZ$601,CW4,Sync!$C$19)&amp;"")),4)="grp-",SUBSTITUTE(SUBSTITUTE(SUBSTITUTE(SUBSTITUTE(SUBSTITUTE(SUBSTITUTE(LOWER(TRIM(INDEX(Clay_Offices!$A$2:$FZ$601,CW4,Sync!$C$19)&amp;"")),"~",""),"*",""),"?",""),"&lt;",""),"&gt;",""),"=",""),""),""))</f>
        <v/>
      </c>
      <c r="EB4" s="23" t="str">
        <f aca="false">IF(EA4&lt;&gt;"",DZ4,"")</f>
        <v/>
      </c>
      <c r="EC4" s="23" t="str">
        <f aca="false">IF(BC4=1,AZ4,"")</f>
        <v>sample office 03</v>
      </c>
      <c r="ED4" s="23" t="str">
        <f aca="false">IF(TRIM($A4)="","",IFERROR(INDEX($A$2:$A$201,MATCH(AZ4,$EC$2:$EC$201,0))&amp;"",$A4&amp;""))</f>
        <v>SAMPLE-O-003</v>
      </c>
      <c r="EE4" s="23" t="n">
        <f aca="false">IF(BB4=1,IF(COUNTIFS($A$2:$A$201,$A4,$BB$2:$BB$201,1,$H$2:$H$201,"&lt;"&amp;H4)+COUNTIFS($A$2:$A$201,$A4,$BB$2:$BB$201,1,$H$2:$H$201,H4,$BA$2:$BA$201,"&lt;"&amp;BA4)=0,1,0),0)</f>
        <v>1</v>
      </c>
      <c r="EF4" s="23" t="n">
        <f aca="false">IF(BC4=1,IF(COUNTIFS($AZ$2:$AZ$201,AZ4,$EE$2:$EE$201,1)&gt;1,1,0),0)</f>
        <v>0</v>
      </c>
      <c r="EG4" s="23" t="n">
        <f aca="false">IF(AND(CQ4=1),IF(COUNTIFS($AZ$2:$AZ$201,AZ4,$CQ$2:$CQ$201,1,$H$2:$H$201,"&gt;"&amp;H4)+COUNTIFS($AZ$2:$AZ$201,AZ4,$CQ$2:$CQ$201,1,$H$2:$H$201,H4,$BA$2:$BA$201,"&gt;"&amp;BA4)=0,1,0),0)</f>
        <v>1</v>
      </c>
      <c r="EH4" s="23" t="n">
        <f aca="false">IF(BB4=1,IF(COUNTIFS($AZ$2:$AZ$201,AZ4,$EG$2:$EG$201,1)=0,"",SUMIFS($O$2:$O$201,$AZ$2:$AZ$201,AZ4,$EG$2:$EG$201,1)),"")</f>
        <v>120</v>
      </c>
      <c r="EI4" s="23" t="n">
        <f aca="false">IF(AND(ISNUMBER(EH4),OR(N(EH4)&lt;Config!$B$31,N(EH4)&gt;Config!$B$33)),1,0)</f>
        <v>0</v>
      </c>
      <c r="EJ4" s="23" t="n">
        <f aca="false">IF(AND(ISNUMBER(EH4),N(EH4)&gt;=Config!$B$31,N(EH4)&lt;Config!$B$32),1,0)</f>
        <v>0</v>
      </c>
      <c r="EK4" s="23" t="n">
        <f aca="false">IF(AND(BF4=1,INT(N(H4))&lt;=Config!$B$6,DH4=1,EI4=1),1,0)</f>
        <v>0</v>
      </c>
      <c r="EL4" s="23" t="n">
        <f aca="false">IF(AND(BF4=1,INT(N(H4))&lt;=Config!$B$7,DI4=1,EI4=1),1,0)</f>
        <v>0</v>
      </c>
      <c r="EM4" s="23" t="n">
        <f aca="false">IF(AND(BF4=1,INT(N(H4))&lt;=Config!$B$8,DJ4=1,EI4=1),1,0)</f>
        <v>0</v>
      </c>
      <c r="EN4" s="23" t="n">
        <f aca="false">IF(AND(BF4=1,INT(N(H4))&lt;=Config!$B$5,DK4=1,EI4=1),1,0)</f>
        <v>0</v>
      </c>
      <c r="EO4" s="23" t="n">
        <f aca="false">IF(AND(DL4=1,EJ4=1),1,0)</f>
        <v>0</v>
      </c>
      <c r="EP4" s="23" t="n">
        <f aca="false">IF(AND(DM4=1,EJ4=1),1,0)</f>
        <v>0</v>
      </c>
      <c r="EQ4" s="23" t="n">
        <f aca="false">IF(AND(DN4=1,EJ4=1),1,0)</f>
        <v>0</v>
      </c>
      <c r="ER4" s="23" t="n">
        <f aca="false">IF(AND(DO4=1,EJ4=1),1,0)</f>
        <v>0</v>
      </c>
    </row>
    <row r="5" customFormat="false" ht="15" hidden="false" customHeight="false" outlineLevel="0" collapsed="false">
      <c r="A5" s="0" t="s">
        <v>502</v>
      </c>
      <c r="B5" s="0" t="s">
        <v>503</v>
      </c>
      <c r="D5" s="0" t="s">
        <v>504</v>
      </c>
      <c r="E5" s="0" t="s">
        <v>479</v>
      </c>
      <c r="F5" s="0" t="s">
        <v>480</v>
      </c>
      <c r="G5" s="32" t="s">
        <v>481</v>
      </c>
      <c r="H5" s="33" t="n">
        <v>46328</v>
      </c>
      <c r="I5" s="32" t="s">
        <v>454</v>
      </c>
      <c r="J5" s="32" t="s">
        <v>505</v>
      </c>
      <c r="K5" s="32" t="s">
        <v>456</v>
      </c>
      <c r="L5" s="32" t="s">
        <v>457</v>
      </c>
      <c r="M5" s="0" t="n">
        <v>1500</v>
      </c>
      <c r="N5" s="32" t="s">
        <v>506</v>
      </c>
      <c r="O5" s="0" t="n">
        <v>90</v>
      </c>
      <c r="P5" s="32" t="s">
        <v>507</v>
      </c>
      <c r="Q5" s="32" t="s">
        <v>457</v>
      </c>
      <c r="R5" s="32" t="s">
        <v>461</v>
      </c>
      <c r="S5" s="32" t="s">
        <v>462</v>
      </c>
      <c r="T5" s="32" t="s">
        <v>463</v>
      </c>
      <c r="U5" s="32" t="s">
        <v>460</v>
      </c>
      <c r="V5" s="32" t="s">
        <v>464</v>
      </c>
      <c r="W5" s="32" t="s">
        <v>460</v>
      </c>
      <c r="X5" s="32" t="s">
        <v>508</v>
      </c>
      <c r="Y5" s="0" t="n">
        <v>300</v>
      </c>
      <c r="Z5" s="0" t="n">
        <v>300</v>
      </c>
      <c r="AA5" s="0" t="n">
        <v>0</v>
      </c>
      <c r="AC5" s="32" t="s">
        <v>460</v>
      </c>
      <c r="AD5" s="32" t="s">
        <v>509</v>
      </c>
      <c r="AE5" s="32" t="s">
        <v>451</v>
      </c>
      <c r="AF5" s="32" t="s">
        <v>460</v>
      </c>
      <c r="AH5" s="32" t="s">
        <v>510</v>
      </c>
      <c r="AI5" s="32" t="s">
        <v>469</v>
      </c>
      <c r="AJ5" s="32" t="s">
        <v>511</v>
      </c>
      <c r="AK5" s="32" t="s">
        <v>471</v>
      </c>
      <c r="AL5" s="32" t="s">
        <v>488</v>
      </c>
      <c r="AM5" s="32" t="s">
        <v>473</v>
      </c>
      <c r="AN5" s="32" t="s">
        <v>98</v>
      </c>
      <c r="AQ5" s="32" t="s">
        <v>512</v>
      </c>
      <c r="AR5" s="32" t="s">
        <v>460</v>
      </c>
      <c r="AS5" s="32" t="s">
        <v>475</v>
      </c>
      <c r="AT5" s="32" t="s">
        <v>460</v>
      </c>
      <c r="AU5" s="32" t="s">
        <v>460</v>
      </c>
      <c r="AV5" s="0" t="n">
        <v>10</v>
      </c>
      <c r="AW5" s="32" t="s">
        <v>460</v>
      </c>
      <c r="AY5" s="34" t="str">
        <f aca="false">IF(TRIM($A5)="","",IF(AND(LEFT($A5,6)="SAMPLE",Config!$B$19&lt;&gt;"Y"),"",IF(NOT(ISNUMBER(H5)),"call_date is blank or not a date",IF(Sync!$C$5="","Clay paste is empty or has no row_id column: paste the Clay export on Clay_Offices",IF(CW5="","row_id not found in the Clay paste: add the Clay row or fix the row_id",IF(AND(ISNUMBER(CY5),CY5&gt;=1,CY5&lt;=5),"Clay status is "&amp;CX5&amp;": set call_done or later",IF(AND(BD5=1,CZ5&lt;&gt;BZ5),"Clay yes_in_principle should be "&amp;BZ5,IF(AND(BD5=1,DA5&lt;&gt;H5),"Clay call_date should be "&amp;TEXT(H5,"yyyy-mm-dd"),""))))))))</f>
        <v>Clay status is replied: set call_done or later</v>
      </c>
      <c r="AZ5" s="23" t="str">
        <f aca="false">IF(TRIM($A5)="","",IF(TRIM(C5)&lt;&gt;"",SUBSTITUTE(SUBSTITUTE(SUBSTITUTE(SUBSTITUTE(SUBSTITUTE(SUBSTITUTE(LOWER(TRIM(C5)),"~",""),"*",""),"?",""),"&lt;",""),"&gt;",""),"=",""),IF(EA5&lt;&gt;"",EA5,IFERROR(INDEX($EA$2:$EA$201,MATCH(DZ5,$EB$2:$EB$201,0)),DZ5))))</f>
        <v>sample office 04</v>
      </c>
      <c r="BA5" s="23" t="n">
        <f aca="false">ROW()</f>
        <v>5</v>
      </c>
      <c r="BB5" s="23" t="n">
        <f aca="false">IF(AND(TRIM($A5)&lt;&gt;"",ISNUMBER(H5)),IF(AND(LEFT($A5,6)="SAMPLE",Config!$B$19&lt;&gt;"Y"),0,1),0)</f>
        <v>1</v>
      </c>
      <c r="BC5" s="23" t="n">
        <f aca="false">IF(BB5=1,IF(COUNTIFS($AZ$2:$AZ$201,AZ5,$BB$2:$BB$201,1,$H$2:$H$201,"&lt;"&amp;H5)+COUNTIFS($AZ$2:$AZ$201,AZ5,$BB$2:$BB$201,1,$H$2:$H$201,H5,$BA$2:$BA$201,"&lt;"&amp;BA5)=0,1,0),0)</f>
        <v>1</v>
      </c>
      <c r="BD5" s="23" t="n">
        <f aca="false">IF(BB5=1,IF(COUNTIFS($A$2:$A$201,$A5,$BB$2:$BB$201,1,$H$2:$H$201,"&gt;"&amp;H5)+COUNTIFS($A$2:$A$201,$A5,$BB$2:$BB$201,1,$H$2:$H$201,H5,$BA$2:$BA$201,"&gt;"&amp;BA5)=0,1,0),0)</f>
        <v>0</v>
      </c>
      <c r="BE5" s="23" t="n">
        <f aca="false">IF(AND(BB5=1,AR5="Y",AC5="Y",TRIM(AH5)&lt;&gt;""),1,0)</f>
        <v>1</v>
      </c>
      <c r="BF5" s="23" t="n">
        <f aca="false">IF(BE5=1,IF(COUNTIFS($AZ$2:$AZ$201,AZ5,$BE$2:$BE$201,1,$H$2:$H$201,"&lt;"&amp;H5)+COUNTIFS($AZ$2:$AZ$201,AZ5,$BE$2:$BE$201,1,$H$2:$H$201,H5,$BA$2:$BA$201,"&lt;"&amp;BA5)=0,1,0),0)</f>
        <v>1</v>
      </c>
      <c r="BG5" s="23" t="n">
        <f aca="false">IF(AND(BB5=1,AR5="Y",BE5=0),1,0)</f>
        <v>0</v>
      </c>
      <c r="BH5" s="23" t="n">
        <f aca="false">IF(AND(BB5=1,ISNUMBER(Y5)),1,0)</f>
        <v>1</v>
      </c>
      <c r="BI5" s="23" t="n">
        <f aca="false">IF(BH5=1,IF(COUNTIFS($AZ$2:$AZ$201,AZ5,$BH$2:$BH$201,1,$H$2:$H$201,"&lt;"&amp;H5)+COUNTIFS($AZ$2:$AZ$201,AZ5,$BH$2:$BH$201,1,$H$2:$H$201,H5,$BA$2:$BA$201,"&lt;"&amp;BA5)=0,1,0),0)</f>
        <v>1</v>
      </c>
      <c r="BJ5" s="23" t="str">
        <f aca="false">IF(AND(BI5=1,INT(N(H5))&lt;=Config!$B$6),Y5,"")</f>
        <v/>
      </c>
      <c r="BK5" s="23" t="n">
        <f aca="false">IF(AND(BI5=1,INT(N(H5))&lt;=Config!$B$7),Y5,"")</f>
        <v>300</v>
      </c>
      <c r="BL5" s="23" t="n">
        <f aca="false">IF(AND(BI5=1,INT(N(H5))&lt;=Config!$B$8),Y5,"")</f>
        <v>300</v>
      </c>
      <c r="BM5" s="23" t="n">
        <f aca="false">IF(AND(BI5=1,INT(N(H5))&lt;=Config!$B$5),Y5,"")</f>
        <v>300</v>
      </c>
      <c r="BN5" s="23" t="n">
        <f aca="false">IF(CD5=1,IF(COUNTIFS($AZ$2:$AZ$201,AZ5,$CD$2:$CD$201,1,$H$2:$H$201,"&lt;"&amp;H5)+COUNTIFS($AZ$2:$AZ$201,AZ5,$CD$2:$CD$201,1,$H$2:$H$201,H5,$BA$2:$BA$201,"&lt;"&amp;BA5)=0,1,0),0)</f>
        <v>1</v>
      </c>
      <c r="BO5" s="23" t="n">
        <f aca="false">IF(AND(BB5=1,ISNUMBER(M5)),1,0)</f>
        <v>1</v>
      </c>
      <c r="BP5" s="23" t="n">
        <f aca="false">IF(BO5=1,IF(COUNTIFS($AZ$2:$AZ$201,AZ5,$BO$2:$BO$201,1,$H$2:$H$201,"&lt;"&amp;H5)+COUNTIFS($AZ$2:$AZ$201,AZ5,$BO$2:$BO$201,1,$H$2:$H$201,H5,$BA$2:$BA$201,"&lt;"&amp;BA5)=0,1,0),0)</f>
        <v>1</v>
      </c>
      <c r="BQ5" s="23" t="n">
        <f aca="false">IF(AND(BP5=1,INT(N(H5))&lt;=Config!$B$5),M5,"")</f>
        <v>1500</v>
      </c>
      <c r="BR5" s="23" t="n">
        <f aca="false">IF(AND(BB5=1,OR(TRIM(X5)&lt;&gt;"",ISNUMBER(Y5))),1,0)</f>
        <v>1</v>
      </c>
      <c r="BS5" s="23" t="n">
        <f aca="false">IF(BR5=1,IF(COUNTIFS($AZ$2:$AZ$201,AZ5,$BR$2:$BR$201,1,$H$2:$H$201,"&lt;"&amp;H5)+COUNTIFS($AZ$2:$AZ$201,AZ5,$BR$2:$BR$201,1,$H$2:$H$201,H5,$BA$2:$BA$201,"&lt;"&amp;BA5)=0,1,0),0)</f>
        <v>1</v>
      </c>
      <c r="BT5" s="23" t="str">
        <f aca="false">IF(BS5=1,AZ5,"")</f>
        <v>sample office 04</v>
      </c>
      <c r="BU5" s="23" t="n">
        <f aca="false">IF(AND(BB5=1,W5="Y",TRIM(X5)=""),1,0)</f>
        <v>0</v>
      </c>
      <c r="BV5" s="23" t="str">
        <f aca="false">IF(BB5=1,AN5&amp;"","")</f>
        <v>needs_approval</v>
      </c>
      <c r="BW5" s="23" t="str">
        <f aca="false">IF(BB5=1,AO5&amp;"","")</f>
        <v/>
      </c>
      <c r="BX5" s="23" t="str">
        <f aca="false">IF(BB5=1,AP5&amp;"","")</f>
        <v/>
      </c>
      <c r="BY5" s="23" t="n">
        <f aca="false">IF(AND(BB5=1,ISNUMBER(AV5),INT(N(H5))&lt;=Config!$B$5),AV5,"")</f>
        <v>10</v>
      </c>
      <c r="BZ5" s="23" t="str">
        <f aca="false">IF(BB5=1,IF(COUNTIFS($A$2:$A$201,$A5,$DC$2:$DC$201,1,$AR$2:$AR$201,"Y")&gt;0,"Y","N"),"")</f>
        <v>N</v>
      </c>
      <c r="CA5" s="23" t="n">
        <f aca="false">IF(AND(BB5=1,AR5="maybe"),1,0)</f>
        <v>0</v>
      </c>
      <c r="CB5" s="23" t="n">
        <f aca="false">IF(CA5=1,IF(COUNTIFS($AZ$2:$AZ$201,AZ5,$CA$2:$CA$201,1,$H$2:$H$201,"&lt;"&amp;H5)+COUNTIFS($AZ$2:$AZ$201,AZ5,$CA$2:$CA$201,1,$H$2:$H$201,H5,$BA$2:$BA$201,"&lt;"&amp;BA5)=0,1,0),0)</f>
        <v>0</v>
      </c>
      <c r="CC5" s="23" t="n">
        <f aca="false">IF(AND(BB5=1,AR5="Y"),IF(COUNTIFS($AZ$2:$AZ$201,AZ5,$AR$2:$AR$201,"Y",$BB$2:$BB$201,1,$H$2:$H$201,"&lt;"&amp;H5)+COUNTIFS($AZ$2:$AZ$201,AZ5,$AR$2:$AR$201,"Y",$BB$2:$BB$201,1,$H$2:$H$201,H5,$BA$2:$BA$201,"&lt;"&amp;BA5)=0,1,0),0)</f>
        <v>1</v>
      </c>
      <c r="CD5" s="23" t="n">
        <f aca="false">IF(AND(BH5=1,N(Y5)&gt;=Config!$B$15),1,0)</f>
        <v>1</v>
      </c>
      <c r="CE5" s="23" t="n">
        <f aca="false">IF(AND(BB5=1,AT5="Y"),1,0)</f>
        <v>1</v>
      </c>
      <c r="CF5" s="23" t="n">
        <f aca="false">IF(CE5=1,IF(COUNTIFS($AZ$2:$AZ$201,AZ5,$CE$2:$CE$201,1,$H$2:$H$201,"&lt;"&amp;H5)+COUNTIFS($AZ$2:$AZ$201,AZ5,$CE$2:$CE$201,1,$H$2:$H$201,H5,$BA$2:$BA$201,"&lt;"&amp;BA5)=0,1,0),0)</f>
        <v>1</v>
      </c>
      <c r="CG5" s="23" t="n">
        <f aca="false">IF(AND(BB5=1,G5="warm-intro"),1,0)</f>
        <v>0</v>
      </c>
      <c r="CH5" s="23" t="n">
        <f aca="false">IF(CG5=1,IF(COUNTIFS($AZ$2:$AZ$201,AZ5,$CG$2:$CG$201,1,$H$2:$H$201,"&lt;"&amp;H5)+COUNTIFS($AZ$2:$AZ$201,AZ5,$CG$2:$CG$201,1,$H$2:$H$201,H5,$BA$2:$BA$201,"&lt;"&amp;BA5)=0,1,0),0)</f>
        <v>0</v>
      </c>
      <c r="CI5" s="23" t="n">
        <f aca="false">IF(AND(BB5=1,Q5="Y"),1,0)</f>
        <v>0</v>
      </c>
      <c r="CJ5" s="23" t="n">
        <f aca="false">IF(CI5=1,IF(COUNTIFS($AZ$2:$AZ$201,AZ5,$CI$2:$CI$201,1,$H$2:$H$201,"&lt;"&amp;H5)+COUNTIFS($AZ$2:$AZ$201,AZ5,$CI$2:$CI$201,1,$H$2:$H$201,H5,$BA$2:$BA$201,"&lt;"&amp;BA5)=0,1,0),0)</f>
        <v>0</v>
      </c>
      <c r="CK5" s="23" t="n">
        <f aca="false">IF(AND(BB5=1,AF5="Y"),1,0)</f>
        <v>1</v>
      </c>
      <c r="CL5" s="23" t="n">
        <f aca="false">IF(CK5=1,IF(COUNTIFS($AZ$2:$AZ$201,AZ5,$CK$2:$CK$201,1,$H$2:$H$201,"&lt;"&amp;H5)+COUNTIFS($AZ$2:$AZ$201,AZ5,$CK$2:$CK$201,1,$H$2:$H$201,H5,$BA$2:$BA$201,"&lt;"&amp;BA5)=0,1,0),0)</f>
        <v>1</v>
      </c>
      <c r="CM5" s="23" t="n">
        <f aca="false">IF(AND(BB5=1,U5="Y"),1,0)</f>
        <v>1</v>
      </c>
      <c r="CN5" s="23" t="n">
        <f aca="false">IF(CM5=1,IF(COUNTIFS($AZ$2:$AZ$201,AZ5,$CM$2:$CM$201,1,$H$2:$H$201,"&lt;"&amp;H5)+COUNTIFS($AZ$2:$AZ$201,AZ5,$CM$2:$CM$201,1,$H$2:$H$201,H5,$BA$2:$BA$201,"&lt;"&amp;BA5)=0,1,0),0)</f>
        <v>1</v>
      </c>
      <c r="CO5" s="23" t="n">
        <f aca="false">IF(AND(BB5=1,L5="Y"),1,0)</f>
        <v>0</v>
      </c>
      <c r="CP5" s="23" t="n">
        <f aca="false">IF(CO5=1,IF(COUNTIFS($AZ$2:$AZ$201,AZ5,$CO$2:$CO$201,1,$H$2:$H$201,"&lt;"&amp;H5)+COUNTIFS($AZ$2:$AZ$201,AZ5,$CO$2:$CO$201,1,$H$2:$H$201,H5,$BA$2:$BA$201,"&lt;"&amp;BA5)=0,1,0),0)</f>
        <v>0</v>
      </c>
      <c r="CQ5" s="23" t="n">
        <f aca="false">IF(AND(BB5=1,ISNUMBER(O5)),1,0)</f>
        <v>1</v>
      </c>
      <c r="CR5" s="23" t="n">
        <f aca="false">IF(CQ5=1,IF(COUNTIFS($AZ$2:$AZ$201,AZ5,$CQ$2:$CQ$201,1,$H$2:$H$201,"&lt;"&amp;H5)+COUNTIFS($AZ$2:$AZ$201,AZ5,$CQ$2:$CQ$201,1,$H$2:$H$201,H5,$BA$2:$BA$201,"&lt;"&amp;BA5)=0,1,0),0)</f>
        <v>1</v>
      </c>
      <c r="CS5" s="23" t="n">
        <f aca="false">IF(AND(CR5=1,INT(N(H5))&lt;=Config!$B$5),O5,"")</f>
        <v>90</v>
      </c>
      <c r="CT5" s="23" t="str">
        <f aca="false">IF(AND(BB5=1,INT(N(H5))&lt;=Config!$B$5),AG5&amp;"","")</f>
        <v/>
      </c>
      <c r="CU5" s="23" t="n">
        <f aca="false">IF(AND(BB5=1,AU5="Y"),1,0)</f>
        <v>1</v>
      </c>
      <c r="CV5" s="23" t="n">
        <f aca="false">IF(CU5=1,IF(COUNTIFS($AZ$2:$AZ$201,AZ5,$CU$2:$CU$201,1,$H$2:$H$201,"&lt;"&amp;H5)+COUNTIFS($AZ$2:$AZ$201,AZ5,$CU$2:$CU$201,1,$H$2:$H$201,H5,$BA$2:$BA$201,"&lt;"&amp;BA5)=0,1,0),0)</f>
        <v>1</v>
      </c>
      <c r="CW5" s="23" t="n">
        <f aca="false">IF(BB5=1,IFERROR(MATCH($A5,INDEX(Clay_Offices!$A$2:$FZ$601,0,Sync!$C$5),0),""),"")</f>
        <v>4</v>
      </c>
      <c r="CX5" s="23" t="str">
        <f aca="false">IF(CW5="","",IFERROR(INDEX(Clay_Offices!$A$2:$FZ$601,CW5,Sync!$C$7)&amp;"",""))</f>
        <v>replied</v>
      </c>
      <c r="CY5" s="23" t="n">
        <f aca="false">IF(CX5="","",IFERROR(INDEX(Lists!$K$2:$K$15,MATCH(CX5,Lists!$J$2:$J$15,0)),""))</f>
        <v>4</v>
      </c>
      <c r="CZ5" s="23" t="str">
        <f aca="false">IF(CW5="","",IFERROR(INDEX(Clay_Offices!$A$2:$FZ$601,CW5,Sync!$C$17)&amp;"",""))</f>
        <v>N</v>
      </c>
      <c r="DA5" s="35" t="n">
        <f aca="false">IF(CW5="","",IFERROR(N(INDEX(Clay_Offices!$A$2:$FZ$601,CW5,Sync!$C$16)),0))</f>
        <v>46338</v>
      </c>
      <c r="DB5" s="23" t="n">
        <f aca="false">IF(AND(BB5=1,OR(AR5="Y",AR5="N",AR5="maybe")),1,0)</f>
        <v>1</v>
      </c>
      <c r="DC5" s="23" t="n">
        <f aca="false">IF(AND(DB5=1),IF(COUNTIFS($A$2:$A$201,$A5,$DB$2:$DB$201,1,$H$2:$H$201,"&gt;"&amp;H5)+COUNTIFS($A$2:$A$201,$A5,$DB$2:$DB$201,1,$H$2:$H$201,H5,$BA$2:$BA$201,"&gt;"&amp;BA5)=0,1,0),0)</f>
        <v>0</v>
      </c>
      <c r="DD5" s="23" t="n">
        <f aca="false">IF(AND(DB5=1,INT(N(H5))&lt;=Config!$B$6),IF(COUNTIFS($AZ$2:$AZ$201,AZ5,$DB$2:$DB$201,1,$H$2:$H$201,"&gt;"&amp;H5,$H$2:$H$201,"&lt;"&amp;(Config!$B$6+1))+COUNTIFS($AZ$2:$AZ$201,AZ5,$DB$2:$DB$201,1,$H$2:$H$201,H5,$BA$2:$BA$201,"&gt;"&amp;BA5)=0,1,0),0)</f>
        <v>0</v>
      </c>
      <c r="DE5" s="23" t="n">
        <f aca="false">IF(AND(DB5=1,INT(N(H5))&lt;=Config!$B$7),IF(COUNTIFS($AZ$2:$AZ$201,AZ5,$DB$2:$DB$201,1,$H$2:$H$201,"&gt;"&amp;H5,$H$2:$H$201,"&lt;"&amp;(Config!$B$7+1))+COUNTIFS($AZ$2:$AZ$201,AZ5,$DB$2:$DB$201,1,$H$2:$H$201,H5,$BA$2:$BA$201,"&gt;"&amp;BA5)=0,1,0),0)</f>
        <v>1</v>
      </c>
      <c r="DF5" s="23" t="n">
        <f aca="false">IF(AND(DB5=1,INT(N(H5))&lt;=Config!$B$8),IF(COUNTIFS($AZ$2:$AZ$201,AZ5,$DB$2:$DB$201,1,$H$2:$H$201,"&gt;"&amp;H5,$H$2:$H$201,"&lt;"&amp;(Config!$B$8+1))+COUNTIFS($AZ$2:$AZ$201,AZ5,$DB$2:$DB$201,1,$H$2:$H$201,H5,$BA$2:$BA$201,"&gt;"&amp;BA5)=0,1,0),0)</f>
        <v>0</v>
      </c>
      <c r="DG5" s="23" t="n">
        <f aca="false">IF(AND(DB5=1,INT(N(H5))&lt;=Config!$B$5),IF(COUNTIFS($AZ$2:$AZ$201,AZ5,$DB$2:$DB$201,1,$H$2:$H$201,"&gt;"&amp;H5,$H$2:$H$201,"&lt;"&amp;(Config!$B$5+1))+COUNTIFS($AZ$2:$AZ$201,AZ5,$DB$2:$DB$201,1,$H$2:$H$201,H5,$BA$2:$BA$201,"&gt;"&amp;BA5)=0,1,0),0)</f>
        <v>0</v>
      </c>
      <c r="DH5" s="23" t="n">
        <f aca="false">IF(BB5=1,IF(COUNTIFS($AZ$2:$AZ$201,AZ5,$DD$2:$DD$201,1,$AR$2:$AR$201,"Y")&gt;0,1,0),0)</f>
        <v>0</v>
      </c>
      <c r="DI5" s="23" t="n">
        <f aca="false">IF(BB5=1,IF(COUNTIFS($AZ$2:$AZ$201,AZ5,$DE$2:$DE$201,1,$AR$2:$AR$201,"Y")&gt;0,1,0),0)</f>
        <v>1</v>
      </c>
      <c r="DJ5" s="23" t="n">
        <f aca="false">IF(BB5=1,IF(COUNTIFS($AZ$2:$AZ$201,AZ5,$DF$2:$DF$201,1,$AR$2:$AR$201,"Y")&gt;0,1,0),0)</f>
        <v>0</v>
      </c>
      <c r="DK5" s="23" t="n">
        <f aca="false">IF(BB5=1,IF(COUNTIFS($AZ$2:$AZ$201,AZ5,$DG$2:$DG$201,1,$AR$2:$AR$201,"Y")&gt;0,1,0),0)</f>
        <v>0</v>
      </c>
      <c r="DL5" s="23" t="n">
        <f aca="false">IF(AND(BF5=1,INT(N(H5))&lt;=Config!$B$6,DH5=1,EI5=0),1,0)</f>
        <v>0</v>
      </c>
      <c r="DM5" s="23" t="n">
        <f aca="false">IF(AND(BF5=1,INT(N(H5))&lt;=Config!$B$7,DI5=1,EI5=0),1,0)</f>
        <v>1</v>
      </c>
      <c r="DN5" s="23" t="n">
        <f aca="false">IF(AND(BF5=1,INT(N(H5))&lt;=Config!$B$8,DJ5=1,EI5=0),1,0)</f>
        <v>0</v>
      </c>
      <c r="DO5" s="23" t="n">
        <f aca="false">IF(AND(BF5=1,INT(N(H5))&lt;=Config!$B$5,DK5=1,EI5=0),1,0)</f>
        <v>0</v>
      </c>
      <c r="DP5" s="23" t="n">
        <f aca="false">IF(AND(CC5=1,INT(N(H5))&lt;=Config!$B$6,DH5=1,EI5=0),1,0)</f>
        <v>0</v>
      </c>
      <c r="DQ5" s="23" t="n">
        <f aca="false">IF(AND(CC5=1,INT(N(H5))&lt;=Config!$B$7,DI5=1,EI5=0),1,0)</f>
        <v>1</v>
      </c>
      <c r="DR5" s="23" t="n">
        <f aca="false">IF(AND(CC5=1,INT(N(H5))&lt;=Config!$B$8,DJ5=1,EI5=0),1,0)</f>
        <v>0</v>
      </c>
      <c r="DS5" s="23" t="n">
        <f aca="false">IF(AND(CC5=1,INT(N(H5))&lt;=Config!$B$5,DK5=1,EI5=0),1,0)</f>
        <v>0</v>
      </c>
      <c r="DT5" s="23" t="n">
        <f aca="false">IF(AND(CC5=1,INT(N(H5))&lt;=Config!$B$6,DH5=0),1,0)</f>
        <v>0</v>
      </c>
      <c r="DU5" s="23" t="n">
        <f aca="false">IF(AND(CC5=1,INT(N(H5))&lt;=Config!$B$7,DI5=0),1,0)</f>
        <v>0</v>
      </c>
      <c r="DV5" s="23" t="n">
        <f aca="false">IF(AND(CC5=1,INT(N(H5))&lt;=Config!$B$8,DJ5=0),1,0)</f>
        <v>1</v>
      </c>
      <c r="DW5" s="23" t="n">
        <f aca="false">IF(AND(CC5=1,INT(N(H5))&lt;=Config!$B$5,DK5=0),1,0)</f>
        <v>1</v>
      </c>
      <c r="DX5" s="23" t="n">
        <f aca="false">IF(TRIM($A5)="",0,ISTEXT(M5)+ISTEXT(O5)+ISTEXT(Y5)+ISTEXT(Z5)+ISTEXT(AA5)+ISTEXT(AV5))</f>
        <v>0</v>
      </c>
      <c r="DY5" s="23" t="n">
        <f aca="false">IF(BB5=1,IF(H5&lt;&gt;INT(H5),1,0),0)</f>
        <v>0</v>
      </c>
      <c r="DZ5" s="23" t="str">
        <f aca="false">IF(TRIM($A5)="","",IF(TRIM(B5)="",SUBSTITUTE(SUBSTITUTE(SUBSTITUTE(SUBSTITUTE(SUBSTITUTE(SUBSTITUTE(LOWER(TRIM($A5)),"~",""),"*",""),"?",""),"&lt;",""),"&gt;",""),"=",""),SUBSTITUTE(SUBSTITUTE(SUBSTITUTE(SUBSTITUTE(SUBSTITUTE(SUBSTITUTE(LOWER(TRIM(B5)),"~",""),"*",""),"?",""),"&lt;",""),"&gt;",""),"=","")))</f>
        <v>sample office 04</v>
      </c>
      <c r="EA5" s="23" t="str">
        <f aca="false">IF(CW5="","",IFERROR(IF(LEFT(LOWER(TRIM(INDEX(Clay_Offices!$A$2:$FZ$601,CW5,Sync!$C$19)&amp;"")),4)="grp-",SUBSTITUTE(SUBSTITUTE(SUBSTITUTE(SUBSTITUTE(SUBSTITUTE(SUBSTITUTE(LOWER(TRIM(INDEX(Clay_Offices!$A$2:$FZ$601,CW5,Sync!$C$19)&amp;"")),"~",""),"*",""),"?",""),"&lt;",""),"&gt;",""),"=",""),""),""))</f>
        <v/>
      </c>
      <c r="EB5" s="23" t="str">
        <f aca="false">IF(EA5&lt;&gt;"",DZ5,"")</f>
        <v/>
      </c>
      <c r="EC5" s="23" t="str">
        <f aca="false">IF(BC5=1,AZ5,"")</f>
        <v>sample office 04</v>
      </c>
      <c r="ED5" s="23" t="str">
        <f aca="false">IF(TRIM($A5)="","",IFERROR(INDEX($A$2:$A$201,MATCH(AZ5,$EC$2:$EC$201,0))&amp;"",$A5&amp;""))</f>
        <v>SAMPLE-O-004</v>
      </c>
      <c r="EE5" s="23" t="n">
        <f aca="false">IF(BB5=1,IF(COUNTIFS($A$2:$A$201,$A5,$BB$2:$BB$201,1,$H$2:$H$201,"&lt;"&amp;H5)+COUNTIFS($A$2:$A$201,$A5,$BB$2:$BB$201,1,$H$2:$H$201,H5,$BA$2:$BA$201,"&lt;"&amp;BA5)=0,1,0),0)</f>
        <v>1</v>
      </c>
      <c r="EF5" s="23" t="n">
        <f aca="false">IF(BC5=1,IF(COUNTIFS($AZ$2:$AZ$201,AZ5,$EE$2:$EE$201,1)&gt;1,1,0),0)</f>
        <v>0</v>
      </c>
      <c r="EG5" s="23" t="n">
        <f aca="false">IF(AND(CQ5=1),IF(COUNTIFS($AZ$2:$AZ$201,AZ5,$CQ$2:$CQ$201,1,$H$2:$H$201,"&gt;"&amp;H5)+COUNTIFS($AZ$2:$AZ$201,AZ5,$CQ$2:$CQ$201,1,$H$2:$H$201,H5,$BA$2:$BA$201,"&gt;"&amp;BA5)=0,1,0),0)</f>
        <v>0</v>
      </c>
      <c r="EH5" s="23" t="n">
        <f aca="false">IF(BB5=1,IF(COUNTIFS($AZ$2:$AZ$201,AZ5,$EG$2:$EG$201,1)=0,"",SUMIFS($O$2:$O$201,$AZ$2:$AZ$201,AZ5,$EG$2:$EG$201,1)),"")</f>
        <v>90</v>
      </c>
      <c r="EI5" s="23" t="n">
        <f aca="false">IF(AND(ISNUMBER(EH5),OR(N(EH5)&lt;Config!$B$31,N(EH5)&gt;Config!$B$33)),1,0)</f>
        <v>0</v>
      </c>
      <c r="EJ5" s="23" t="n">
        <f aca="false">IF(AND(ISNUMBER(EH5),N(EH5)&gt;=Config!$B$31,N(EH5)&lt;Config!$B$32),1,0)</f>
        <v>0</v>
      </c>
      <c r="EK5" s="23" t="n">
        <f aca="false">IF(AND(BF5=1,INT(N(H5))&lt;=Config!$B$6,DH5=1,EI5=1),1,0)</f>
        <v>0</v>
      </c>
      <c r="EL5" s="23" t="n">
        <f aca="false">IF(AND(BF5=1,INT(N(H5))&lt;=Config!$B$7,DI5=1,EI5=1),1,0)</f>
        <v>0</v>
      </c>
      <c r="EM5" s="23" t="n">
        <f aca="false">IF(AND(BF5=1,INT(N(H5))&lt;=Config!$B$8,DJ5=1,EI5=1),1,0)</f>
        <v>0</v>
      </c>
      <c r="EN5" s="23" t="n">
        <f aca="false">IF(AND(BF5=1,INT(N(H5))&lt;=Config!$B$5,DK5=1,EI5=1),1,0)</f>
        <v>0</v>
      </c>
      <c r="EO5" s="23" t="n">
        <f aca="false">IF(AND(DL5=1,EJ5=1),1,0)</f>
        <v>0</v>
      </c>
      <c r="EP5" s="23" t="n">
        <f aca="false">IF(AND(DM5=1,EJ5=1),1,0)</f>
        <v>0</v>
      </c>
      <c r="EQ5" s="23" t="n">
        <f aca="false">IF(AND(DN5=1,EJ5=1),1,0)</f>
        <v>0</v>
      </c>
      <c r="ER5" s="23" t="n">
        <f aca="false">IF(AND(DO5=1,EJ5=1),1,0)</f>
        <v>0</v>
      </c>
    </row>
    <row r="6" customFormat="false" ht="15" hidden="false" customHeight="false" outlineLevel="0" collapsed="false">
      <c r="A6" s="0" t="s">
        <v>513</v>
      </c>
      <c r="B6" s="0" t="s">
        <v>514</v>
      </c>
      <c r="D6" s="0" t="s">
        <v>515</v>
      </c>
      <c r="E6" s="0" t="s">
        <v>451</v>
      </c>
      <c r="F6" s="0" t="s">
        <v>480</v>
      </c>
      <c r="G6" s="32" t="s">
        <v>481</v>
      </c>
      <c r="H6" s="33" t="n">
        <v>46329</v>
      </c>
      <c r="I6" s="32" t="s">
        <v>482</v>
      </c>
      <c r="J6" s="32" t="s">
        <v>516</v>
      </c>
      <c r="K6" s="32" t="s">
        <v>456</v>
      </c>
      <c r="L6" s="32" t="s">
        <v>457</v>
      </c>
      <c r="O6" s="0" t="n">
        <v>150</v>
      </c>
      <c r="P6" s="32" t="s">
        <v>517</v>
      </c>
      <c r="Q6" s="32" t="s">
        <v>460</v>
      </c>
      <c r="R6" s="32" t="s">
        <v>461</v>
      </c>
      <c r="S6" s="32" t="s">
        <v>462</v>
      </c>
      <c r="T6" s="32" t="s">
        <v>463</v>
      </c>
      <c r="U6" s="32" t="s">
        <v>497</v>
      </c>
      <c r="V6" s="32" t="s">
        <v>464</v>
      </c>
      <c r="W6" s="32" t="s">
        <v>460</v>
      </c>
      <c r="X6" s="32" t="s">
        <v>518</v>
      </c>
      <c r="Y6" s="0" t="n">
        <v>0</v>
      </c>
      <c r="Z6" s="0" t="n">
        <v>0</v>
      </c>
      <c r="AA6" s="0" t="n">
        <v>0</v>
      </c>
      <c r="AC6" s="32" t="s">
        <v>457</v>
      </c>
      <c r="AF6" s="32" t="s">
        <v>457</v>
      </c>
      <c r="AG6" s="0" t="s">
        <v>499</v>
      </c>
      <c r="AI6" s="32" t="s">
        <v>469</v>
      </c>
      <c r="AJ6" s="32" t="s">
        <v>470</v>
      </c>
      <c r="AK6" s="32" t="s">
        <v>471</v>
      </c>
      <c r="AL6" s="32" t="s">
        <v>472</v>
      </c>
      <c r="AM6" s="32" t="s">
        <v>473</v>
      </c>
      <c r="AN6" s="32" t="s">
        <v>98</v>
      </c>
      <c r="AO6" s="0" t="s">
        <v>119</v>
      </c>
      <c r="AQ6" s="32" t="s">
        <v>519</v>
      </c>
      <c r="AR6" s="32" t="s">
        <v>497</v>
      </c>
      <c r="AT6" s="32" t="s">
        <v>460</v>
      </c>
      <c r="AU6" s="32"/>
      <c r="AV6" s="0" t="n">
        <v>7</v>
      </c>
      <c r="AW6" s="32" t="s">
        <v>460</v>
      </c>
      <c r="AY6" s="34" t="str">
        <f aca="false">IF(TRIM($A6)="","",IF(AND(LEFT($A6,6)="SAMPLE",Config!$B$19&lt;&gt;"Y"),"",IF(NOT(ISNUMBER(H6)),"call_date is blank or not a date",IF(Sync!$C$5="","Clay paste is empty or has no row_id column: paste the Clay export on Clay_Offices",IF(CW6="","row_id not found in the Clay paste: add the Clay row or fix the row_id",IF(AND(ISNUMBER(CY6),CY6&gt;=1,CY6&lt;=5),"Clay status is "&amp;CX6&amp;": set call_done or later",IF(AND(BD6=1,CZ6&lt;&gt;BZ6),"Clay yes_in_principle should be "&amp;BZ6,IF(AND(BD6=1,DA6&lt;&gt;H6),"Clay call_date should be "&amp;TEXT(H6,"yyyy-mm-dd"),""))))))))</f>
        <v/>
      </c>
      <c r="AZ6" s="23" t="str">
        <f aca="false">IF(TRIM($A6)="","",IF(TRIM(C6)&lt;&gt;"",SUBSTITUTE(SUBSTITUTE(SUBSTITUTE(SUBSTITUTE(SUBSTITUTE(SUBSTITUTE(LOWER(TRIM(C6)),"~",""),"*",""),"?",""),"&lt;",""),"&gt;",""),"=",""),IF(EA6&lt;&gt;"",EA6,IFERROR(INDEX($EA$2:$EA$201,MATCH(DZ6,$EB$2:$EB$201,0)),DZ6))))</f>
        <v>sample office 05</v>
      </c>
      <c r="BA6" s="23" t="n">
        <f aca="false">ROW()</f>
        <v>6</v>
      </c>
      <c r="BB6" s="23" t="n">
        <f aca="false">IF(AND(TRIM($A6)&lt;&gt;"",ISNUMBER(H6)),IF(AND(LEFT($A6,6)="SAMPLE",Config!$B$19&lt;&gt;"Y"),0,1),0)</f>
        <v>1</v>
      </c>
      <c r="BC6" s="23" t="n">
        <f aca="false">IF(BB6=1,IF(COUNTIFS($AZ$2:$AZ$201,AZ6,$BB$2:$BB$201,1,$H$2:$H$201,"&lt;"&amp;H6)+COUNTIFS($AZ$2:$AZ$201,AZ6,$BB$2:$BB$201,1,$H$2:$H$201,H6,$BA$2:$BA$201,"&lt;"&amp;BA6)=0,1,0),0)</f>
        <v>1</v>
      </c>
      <c r="BD6" s="23" t="n">
        <f aca="false">IF(BB6=1,IF(COUNTIFS($A$2:$A$201,$A6,$BB$2:$BB$201,1,$H$2:$H$201,"&gt;"&amp;H6)+COUNTIFS($A$2:$A$201,$A6,$BB$2:$BB$201,1,$H$2:$H$201,H6,$BA$2:$BA$201,"&gt;"&amp;BA6)=0,1,0),0)</f>
        <v>1</v>
      </c>
      <c r="BE6" s="23" t="n">
        <f aca="false">IF(AND(BB6=1,AR6="Y",AC6="Y",TRIM(AH6)&lt;&gt;""),1,0)</f>
        <v>0</v>
      </c>
      <c r="BF6" s="23" t="n">
        <f aca="false">IF(BE6=1,IF(COUNTIFS($AZ$2:$AZ$201,AZ6,$BE$2:$BE$201,1,$H$2:$H$201,"&lt;"&amp;H6)+COUNTIFS($AZ$2:$AZ$201,AZ6,$BE$2:$BE$201,1,$H$2:$H$201,H6,$BA$2:$BA$201,"&lt;"&amp;BA6)=0,1,0),0)</f>
        <v>0</v>
      </c>
      <c r="BG6" s="23" t="n">
        <f aca="false">IF(AND(BB6=1,AR6="Y",BE6=0),1,0)</f>
        <v>0</v>
      </c>
      <c r="BH6" s="23" t="n">
        <f aca="false">IF(AND(BB6=1,ISNUMBER(Y6)),1,0)</f>
        <v>1</v>
      </c>
      <c r="BI6" s="23" t="n">
        <f aca="false">IF(BH6=1,IF(COUNTIFS($AZ$2:$AZ$201,AZ6,$BH$2:$BH$201,1,$H$2:$H$201,"&lt;"&amp;H6)+COUNTIFS($AZ$2:$AZ$201,AZ6,$BH$2:$BH$201,1,$H$2:$H$201,H6,$BA$2:$BA$201,"&lt;"&amp;BA6)=0,1,0),0)</f>
        <v>1</v>
      </c>
      <c r="BJ6" s="23" t="str">
        <f aca="false">IF(AND(BI6=1,INT(N(H6))&lt;=Config!$B$6),Y6,"")</f>
        <v/>
      </c>
      <c r="BK6" s="23" t="n">
        <f aca="false">IF(AND(BI6=1,INT(N(H6))&lt;=Config!$B$7),Y6,"")</f>
        <v>0</v>
      </c>
      <c r="BL6" s="23" t="n">
        <f aca="false">IF(AND(BI6=1,INT(N(H6))&lt;=Config!$B$8),Y6,"")</f>
        <v>0</v>
      </c>
      <c r="BM6" s="23" t="n">
        <f aca="false">IF(AND(BI6=1,INT(N(H6))&lt;=Config!$B$5),Y6,"")</f>
        <v>0</v>
      </c>
      <c r="BN6" s="23" t="n">
        <f aca="false">IF(CD6=1,IF(COUNTIFS($AZ$2:$AZ$201,AZ6,$CD$2:$CD$201,1,$H$2:$H$201,"&lt;"&amp;H6)+COUNTIFS($AZ$2:$AZ$201,AZ6,$CD$2:$CD$201,1,$H$2:$H$201,H6,$BA$2:$BA$201,"&lt;"&amp;BA6)=0,1,0),0)</f>
        <v>0</v>
      </c>
      <c r="BO6" s="23" t="n">
        <f aca="false">IF(AND(BB6=1,ISNUMBER(M6)),1,0)</f>
        <v>0</v>
      </c>
      <c r="BP6" s="23" t="n">
        <f aca="false">IF(BO6=1,IF(COUNTIFS($AZ$2:$AZ$201,AZ6,$BO$2:$BO$201,1,$H$2:$H$201,"&lt;"&amp;H6)+COUNTIFS($AZ$2:$AZ$201,AZ6,$BO$2:$BO$201,1,$H$2:$H$201,H6,$BA$2:$BA$201,"&lt;"&amp;BA6)=0,1,0),0)</f>
        <v>0</v>
      </c>
      <c r="BQ6" s="23" t="str">
        <f aca="false">IF(AND(BP6=1,INT(N(H6))&lt;=Config!$B$5),M6,"")</f>
        <v/>
      </c>
      <c r="BR6" s="23" t="n">
        <f aca="false">IF(AND(BB6=1,OR(TRIM(X6)&lt;&gt;"",ISNUMBER(Y6))),1,0)</f>
        <v>1</v>
      </c>
      <c r="BS6" s="23" t="n">
        <f aca="false">IF(BR6=1,IF(COUNTIFS($AZ$2:$AZ$201,AZ6,$BR$2:$BR$201,1,$H$2:$H$201,"&lt;"&amp;H6)+COUNTIFS($AZ$2:$AZ$201,AZ6,$BR$2:$BR$201,1,$H$2:$H$201,H6,$BA$2:$BA$201,"&lt;"&amp;BA6)=0,1,0),0)</f>
        <v>1</v>
      </c>
      <c r="BT6" s="23" t="str">
        <f aca="false">IF(BS6=1,AZ6,"")</f>
        <v>sample office 05</v>
      </c>
      <c r="BU6" s="23" t="n">
        <f aca="false">IF(AND(BB6=1,W6="Y",TRIM(X6)=""),1,0)</f>
        <v>0</v>
      </c>
      <c r="BV6" s="23" t="str">
        <f aca="false">IF(BB6=1,AN6&amp;"","")</f>
        <v>needs_approval</v>
      </c>
      <c r="BW6" s="23" t="str">
        <f aca="false">IF(BB6=1,AO6&amp;"","")</f>
        <v>building_receiving</v>
      </c>
      <c r="BX6" s="23" t="str">
        <f aca="false">IF(BB6=1,AP6&amp;"","")</f>
        <v/>
      </c>
      <c r="BY6" s="23" t="n">
        <f aca="false">IF(AND(BB6=1,ISNUMBER(AV6),INT(N(H6))&lt;=Config!$B$5),AV6,"")</f>
        <v>7</v>
      </c>
      <c r="BZ6" s="23" t="str">
        <f aca="false">IF(BB6=1,IF(COUNTIFS($A$2:$A$201,$A6,$DC$2:$DC$201,1,$AR$2:$AR$201,"Y")&gt;0,"Y","N"),"")</f>
        <v>N</v>
      </c>
      <c r="CA6" s="23" t="n">
        <f aca="false">IF(AND(BB6=1,AR6="maybe"),1,0)</f>
        <v>1</v>
      </c>
      <c r="CB6" s="23" t="n">
        <f aca="false">IF(CA6=1,IF(COUNTIFS($AZ$2:$AZ$201,AZ6,$CA$2:$CA$201,1,$H$2:$H$201,"&lt;"&amp;H6)+COUNTIFS($AZ$2:$AZ$201,AZ6,$CA$2:$CA$201,1,$H$2:$H$201,H6,$BA$2:$BA$201,"&lt;"&amp;BA6)=0,1,0),0)</f>
        <v>1</v>
      </c>
      <c r="CC6" s="23" t="n">
        <f aca="false">IF(AND(BB6=1,AR6="Y"),IF(COUNTIFS($AZ$2:$AZ$201,AZ6,$AR$2:$AR$201,"Y",$BB$2:$BB$201,1,$H$2:$H$201,"&lt;"&amp;H6)+COUNTIFS($AZ$2:$AZ$201,AZ6,$AR$2:$AR$201,"Y",$BB$2:$BB$201,1,$H$2:$H$201,H6,$BA$2:$BA$201,"&lt;"&amp;BA6)=0,1,0),0)</f>
        <v>0</v>
      </c>
      <c r="CD6" s="23" t="n">
        <f aca="false">IF(AND(BH6=1,N(Y6)&gt;=Config!$B$15),1,0)</f>
        <v>0</v>
      </c>
      <c r="CE6" s="23" t="n">
        <f aca="false">IF(AND(BB6=1,AT6="Y"),1,0)</f>
        <v>1</v>
      </c>
      <c r="CF6" s="23" t="n">
        <f aca="false">IF(CE6=1,IF(COUNTIFS($AZ$2:$AZ$201,AZ6,$CE$2:$CE$201,1,$H$2:$H$201,"&lt;"&amp;H6)+COUNTIFS($AZ$2:$AZ$201,AZ6,$CE$2:$CE$201,1,$H$2:$H$201,H6,$BA$2:$BA$201,"&lt;"&amp;BA6)=0,1,0),0)</f>
        <v>1</v>
      </c>
      <c r="CG6" s="23" t="n">
        <f aca="false">IF(AND(BB6=1,G6="warm-intro"),1,0)</f>
        <v>0</v>
      </c>
      <c r="CH6" s="23" t="n">
        <f aca="false">IF(CG6=1,IF(COUNTIFS($AZ$2:$AZ$201,AZ6,$CG$2:$CG$201,1,$H$2:$H$201,"&lt;"&amp;H6)+COUNTIFS($AZ$2:$AZ$201,AZ6,$CG$2:$CG$201,1,$H$2:$H$201,H6,$BA$2:$BA$201,"&lt;"&amp;BA6)=0,1,0),0)</f>
        <v>0</v>
      </c>
      <c r="CI6" s="23" t="n">
        <f aca="false">IF(AND(BB6=1,Q6="Y"),1,0)</f>
        <v>1</v>
      </c>
      <c r="CJ6" s="23" t="n">
        <f aca="false">IF(CI6=1,IF(COUNTIFS($AZ$2:$AZ$201,AZ6,$CI$2:$CI$201,1,$H$2:$H$201,"&lt;"&amp;H6)+COUNTIFS($AZ$2:$AZ$201,AZ6,$CI$2:$CI$201,1,$H$2:$H$201,H6,$BA$2:$BA$201,"&lt;"&amp;BA6)=0,1,0),0)</f>
        <v>1</v>
      </c>
      <c r="CK6" s="23" t="n">
        <f aca="false">IF(AND(BB6=1,AF6="Y"),1,0)</f>
        <v>0</v>
      </c>
      <c r="CL6" s="23" t="n">
        <f aca="false">IF(CK6=1,IF(COUNTIFS($AZ$2:$AZ$201,AZ6,$CK$2:$CK$201,1,$H$2:$H$201,"&lt;"&amp;H6)+COUNTIFS($AZ$2:$AZ$201,AZ6,$CK$2:$CK$201,1,$H$2:$H$201,H6,$BA$2:$BA$201,"&lt;"&amp;BA6)=0,1,0),0)</f>
        <v>0</v>
      </c>
      <c r="CM6" s="23" t="n">
        <f aca="false">IF(AND(BB6=1,U6="Y"),1,0)</f>
        <v>0</v>
      </c>
      <c r="CN6" s="23" t="n">
        <f aca="false">IF(CM6=1,IF(COUNTIFS($AZ$2:$AZ$201,AZ6,$CM$2:$CM$201,1,$H$2:$H$201,"&lt;"&amp;H6)+COUNTIFS($AZ$2:$AZ$201,AZ6,$CM$2:$CM$201,1,$H$2:$H$201,H6,$BA$2:$BA$201,"&lt;"&amp;BA6)=0,1,0),0)</f>
        <v>0</v>
      </c>
      <c r="CO6" s="23" t="n">
        <f aca="false">IF(AND(BB6=1,L6="Y"),1,0)</f>
        <v>0</v>
      </c>
      <c r="CP6" s="23" t="n">
        <f aca="false">IF(CO6=1,IF(COUNTIFS($AZ$2:$AZ$201,AZ6,$CO$2:$CO$201,1,$H$2:$H$201,"&lt;"&amp;H6)+COUNTIFS($AZ$2:$AZ$201,AZ6,$CO$2:$CO$201,1,$H$2:$H$201,H6,$BA$2:$BA$201,"&lt;"&amp;BA6)=0,1,0),0)</f>
        <v>0</v>
      </c>
      <c r="CQ6" s="23" t="n">
        <f aca="false">IF(AND(BB6=1,ISNUMBER(O6)),1,0)</f>
        <v>1</v>
      </c>
      <c r="CR6" s="23" t="n">
        <f aca="false">IF(CQ6=1,IF(COUNTIFS($AZ$2:$AZ$201,AZ6,$CQ$2:$CQ$201,1,$H$2:$H$201,"&lt;"&amp;H6)+COUNTIFS($AZ$2:$AZ$201,AZ6,$CQ$2:$CQ$201,1,$H$2:$H$201,H6,$BA$2:$BA$201,"&lt;"&amp;BA6)=0,1,0),0)</f>
        <v>1</v>
      </c>
      <c r="CS6" s="23" t="n">
        <f aca="false">IF(AND(CR6=1,INT(N(H6))&lt;=Config!$B$5),O6,"")</f>
        <v>150</v>
      </c>
      <c r="CT6" s="23" t="str">
        <f aca="false">IF(AND(BB6=1,INT(N(H6))&lt;=Config!$B$5),AG6&amp;"","")</f>
        <v>facilities</v>
      </c>
      <c r="CU6" s="23" t="n">
        <f aca="false">IF(AND(BB6=1,AU6="Y"),1,0)</f>
        <v>0</v>
      </c>
      <c r="CV6" s="23" t="n">
        <f aca="false">IF(CU6=1,IF(COUNTIFS($AZ$2:$AZ$201,AZ6,$CU$2:$CU$201,1,$H$2:$H$201,"&lt;"&amp;H6)+COUNTIFS($AZ$2:$AZ$201,AZ6,$CU$2:$CU$201,1,$H$2:$H$201,H6,$BA$2:$BA$201,"&lt;"&amp;BA6)=0,1,0),0)</f>
        <v>0</v>
      </c>
      <c r="CW6" s="23" t="n">
        <f aca="false">IF(BB6=1,IFERROR(MATCH($A6,INDEX(Clay_Offices!$A$2:$FZ$601,0,Sync!$C$5),0),""),"")</f>
        <v>5</v>
      </c>
      <c r="CX6" s="23" t="str">
        <f aca="false">IF(CW6="","",IFERROR(INDEX(Clay_Offices!$A$2:$FZ$601,CW6,Sync!$C$7)&amp;"",""))</f>
        <v>call_done</v>
      </c>
      <c r="CY6" s="23" t="n">
        <f aca="false">IF(CX6="","",IFERROR(INDEX(Lists!$K$2:$K$15,MATCH(CX6,Lists!$J$2:$J$15,0)),""))</f>
        <v>6</v>
      </c>
      <c r="CZ6" s="23" t="str">
        <f aca="false">IF(CW6="","",IFERROR(INDEX(Clay_Offices!$A$2:$FZ$601,CW6,Sync!$C$17)&amp;"",""))</f>
        <v>N</v>
      </c>
      <c r="DA6" s="35" t="n">
        <f aca="false">IF(CW6="","",IFERROR(N(INDEX(Clay_Offices!$A$2:$FZ$601,CW6,Sync!$C$16)),0))</f>
        <v>46329</v>
      </c>
      <c r="DB6" s="23" t="n">
        <f aca="false">IF(AND(BB6=1,OR(AR6="Y",AR6="N",AR6="maybe")),1,0)</f>
        <v>1</v>
      </c>
      <c r="DC6" s="23" t="n">
        <f aca="false">IF(AND(DB6=1),IF(COUNTIFS($A$2:$A$201,$A6,$DB$2:$DB$201,1,$H$2:$H$201,"&gt;"&amp;H6)+COUNTIFS($A$2:$A$201,$A6,$DB$2:$DB$201,1,$H$2:$H$201,H6,$BA$2:$BA$201,"&gt;"&amp;BA6)=0,1,0),0)</f>
        <v>1</v>
      </c>
      <c r="DD6" s="23" t="n">
        <f aca="false">IF(AND(DB6=1,INT(N(H6))&lt;=Config!$B$6),IF(COUNTIFS($AZ$2:$AZ$201,AZ6,$DB$2:$DB$201,1,$H$2:$H$201,"&gt;"&amp;H6,$H$2:$H$201,"&lt;"&amp;(Config!$B$6+1))+COUNTIFS($AZ$2:$AZ$201,AZ6,$DB$2:$DB$201,1,$H$2:$H$201,H6,$BA$2:$BA$201,"&gt;"&amp;BA6)=0,1,0),0)</f>
        <v>0</v>
      </c>
      <c r="DE6" s="23" t="n">
        <f aca="false">IF(AND(DB6=1,INT(N(H6))&lt;=Config!$B$7),IF(COUNTIFS($AZ$2:$AZ$201,AZ6,$DB$2:$DB$201,1,$H$2:$H$201,"&gt;"&amp;H6,$H$2:$H$201,"&lt;"&amp;(Config!$B$7+1))+COUNTIFS($AZ$2:$AZ$201,AZ6,$DB$2:$DB$201,1,$H$2:$H$201,H6,$BA$2:$BA$201,"&gt;"&amp;BA6)=0,1,0),0)</f>
        <v>1</v>
      </c>
      <c r="DF6" s="23" t="n">
        <f aca="false">IF(AND(DB6=1,INT(N(H6))&lt;=Config!$B$8),IF(COUNTIFS($AZ$2:$AZ$201,AZ6,$DB$2:$DB$201,1,$H$2:$H$201,"&gt;"&amp;H6,$H$2:$H$201,"&lt;"&amp;(Config!$B$8+1))+COUNTIFS($AZ$2:$AZ$201,AZ6,$DB$2:$DB$201,1,$H$2:$H$201,H6,$BA$2:$BA$201,"&gt;"&amp;BA6)=0,1,0),0)</f>
        <v>1</v>
      </c>
      <c r="DG6" s="23" t="n">
        <f aca="false">IF(AND(DB6=1,INT(N(H6))&lt;=Config!$B$5),IF(COUNTIFS($AZ$2:$AZ$201,AZ6,$DB$2:$DB$201,1,$H$2:$H$201,"&gt;"&amp;H6,$H$2:$H$201,"&lt;"&amp;(Config!$B$5+1))+COUNTIFS($AZ$2:$AZ$201,AZ6,$DB$2:$DB$201,1,$H$2:$H$201,H6,$BA$2:$BA$201,"&gt;"&amp;BA6)=0,1,0),0)</f>
        <v>1</v>
      </c>
      <c r="DH6" s="23" t="n">
        <f aca="false">IF(BB6=1,IF(COUNTIFS($AZ$2:$AZ$201,AZ6,$DD$2:$DD$201,1,$AR$2:$AR$201,"Y")&gt;0,1,0),0)</f>
        <v>0</v>
      </c>
      <c r="DI6" s="23" t="n">
        <f aca="false">IF(BB6=1,IF(COUNTIFS($AZ$2:$AZ$201,AZ6,$DE$2:$DE$201,1,$AR$2:$AR$201,"Y")&gt;0,1,0),0)</f>
        <v>0</v>
      </c>
      <c r="DJ6" s="23" t="n">
        <f aca="false">IF(BB6=1,IF(COUNTIFS($AZ$2:$AZ$201,AZ6,$DF$2:$DF$201,1,$AR$2:$AR$201,"Y")&gt;0,1,0),0)</f>
        <v>0</v>
      </c>
      <c r="DK6" s="23" t="n">
        <f aca="false">IF(BB6=1,IF(COUNTIFS($AZ$2:$AZ$201,AZ6,$DG$2:$DG$201,1,$AR$2:$AR$201,"Y")&gt;0,1,0),0)</f>
        <v>0</v>
      </c>
      <c r="DL6" s="23" t="n">
        <f aca="false">IF(AND(BF6=1,INT(N(H6))&lt;=Config!$B$6,DH6=1,EI6=0),1,0)</f>
        <v>0</v>
      </c>
      <c r="DM6" s="23" t="n">
        <f aca="false">IF(AND(BF6=1,INT(N(H6))&lt;=Config!$B$7,DI6=1,EI6=0),1,0)</f>
        <v>0</v>
      </c>
      <c r="DN6" s="23" t="n">
        <f aca="false">IF(AND(BF6=1,INT(N(H6))&lt;=Config!$B$8,DJ6=1,EI6=0),1,0)</f>
        <v>0</v>
      </c>
      <c r="DO6" s="23" t="n">
        <f aca="false">IF(AND(BF6=1,INT(N(H6))&lt;=Config!$B$5,DK6=1,EI6=0),1,0)</f>
        <v>0</v>
      </c>
      <c r="DP6" s="23" t="n">
        <f aca="false">IF(AND(CC6=1,INT(N(H6))&lt;=Config!$B$6,DH6=1,EI6=0),1,0)</f>
        <v>0</v>
      </c>
      <c r="DQ6" s="23" t="n">
        <f aca="false">IF(AND(CC6=1,INT(N(H6))&lt;=Config!$B$7,DI6=1,EI6=0),1,0)</f>
        <v>0</v>
      </c>
      <c r="DR6" s="23" t="n">
        <f aca="false">IF(AND(CC6=1,INT(N(H6))&lt;=Config!$B$8,DJ6=1,EI6=0),1,0)</f>
        <v>0</v>
      </c>
      <c r="DS6" s="23" t="n">
        <f aca="false">IF(AND(CC6=1,INT(N(H6))&lt;=Config!$B$5,DK6=1,EI6=0),1,0)</f>
        <v>0</v>
      </c>
      <c r="DT6" s="23" t="n">
        <f aca="false">IF(AND(CC6=1,INT(N(H6))&lt;=Config!$B$6,DH6=0),1,0)</f>
        <v>0</v>
      </c>
      <c r="DU6" s="23" t="n">
        <f aca="false">IF(AND(CC6=1,INT(N(H6))&lt;=Config!$B$7,DI6=0),1,0)</f>
        <v>0</v>
      </c>
      <c r="DV6" s="23" t="n">
        <f aca="false">IF(AND(CC6=1,INT(N(H6))&lt;=Config!$B$8,DJ6=0),1,0)</f>
        <v>0</v>
      </c>
      <c r="DW6" s="23" t="n">
        <f aca="false">IF(AND(CC6=1,INT(N(H6))&lt;=Config!$B$5,DK6=0),1,0)</f>
        <v>0</v>
      </c>
      <c r="DX6" s="23" t="n">
        <f aca="false">IF(TRIM($A6)="",0,ISTEXT(M6)+ISTEXT(O6)+ISTEXT(Y6)+ISTEXT(Z6)+ISTEXT(AA6)+ISTEXT(AV6))</f>
        <v>0</v>
      </c>
      <c r="DY6" s="23" t="n">
        <f aca="false">IF(BB6=1,IF(H6&lt;&gt;INT(H6),1,0),0)</f>
        <v>0</v>
      </c>
      <c r="DZ6" s="23" t="str">
        <f aca="false">IF(TRIM($A6)="","",IF(TRIM(B6)="",SUBSTITUTE(SUBSTITUTE(SUBSTITUTE(SUBSTITUTE(SUBSTITUTE(SUBSTITUTE(LOWER(TRIM($A6)),"~",""),"*",""),"?",""),"&lt;",""),"&gt;",""),"=",""),SUBSTITUTE(SUBSTITUTE(SUBSTITUTE(SUBSTITUTE(SUBSTITUTE(SUBSTITUTE(LOWER(TRIM(B6)),"~",""),"*",""),"?",""),"&lt;",""),"&gt;",""),"=","")))</f>
        <v>sample office 05</v>
      </c>
      <c r="EA6" s="23" t="str">
        <f aca="false">IF(CW6="","",IFERROR(IF(LEFT(LOWER(TRIM(INDEX(Clay_Offices!$A$2:$FZ$601,CW6,Sync!$C$19)&amp;"")),4)="grp-",SUBSTITUTE(SUBSTITUTE(SUBSTITUTE(SUBSTITUTE(SUBSTITUTE(SUBSTITUTE(LOWER(TRIM(INDEX(Clay_Offices!$A$2:$FZ$601,CW6,Sync!$C$19)&amp;"")),"~",""),"*",""),"?",""),"&lt;",""),"&gt;",""),"=",""),""),""))</f>
        <v/>
      </c>
      <c r="EB6" s="23" t="str">
        <f aca="false">IF(EA6&lt;&gt;"",DZ6,"")</f>
        <v/>
      </c>
      <c r="EC6" s="23" t="str">
        <f aca="false">IF(BC6=1,AZ6,"")</f>
        <v>sample office 05</v>
      </c>
      <c r="ED6" s="23" t="str">
        <f aca="false">IF(TRIM($A6)="","",IFERROR(INDEX($A$2:$A$201,MATCH(AZ6,$EC$2:$EC$201,0))&amp;"",$A6&amp;""))</f>
        <v>SAMPLE-O-005</v>
      </c>
      <c r="EE6" s="23" t="n">
        <f aca="false">IF(BB6=1,IF(COUNTIFS($A$2:$A$201,$A6,$BB$2:$BB$201,1,$H$2:$H$201,"&lt;"&amp;H6)+COUNTIFS($A$2:$A$201,$A6,$BB$2:$BB$201,1,$H$2:$H$201,H6,$BA$2:$BA$201,"&lt;"&amp;BA6)=0,1,0),0)</f>
        <v>1</v>
      </c>
      <c r="EF6" s="23" t="n">
        <f aca="false">IF(BC6=1,IF(COUNTIFS($AZ$2:$AZ$201,AZ6,$EE$2:$EE$201,1)&gt;1,1,0),0)</f>
        <v>0</v>
      </c>
      <c r="EG6" s="23" t="n">
        <f aca="false">IF(AND(CQ6=1),IF(COUNTIFS($AZ$2:$AZ$201,AZ6,$CQ$2:$CQ$201,1,$H$2:$H$201,"&gt;"&amp;H6)+COUNTIFS($AZ$2:$AZ$201,AZ6,$CQ$2:$CQ$201,1,$H$2:$H$201,H6,$BA$2:$BA$201,"&gt;"&amp;BA6)=0,1,0),0)</f>
        <v>1</v>
      </c>
      <c r="EH6" s="23" t="n">
        <f aca="false">IF(BB6=1,IF(COUNTIFS($AZ$2:$AZ$201,AZ6,$EG$2:$EG$201,1)=0,"",SUMIFS($O$2:$O$201,$AZ$2:$AZ$201,AZ6,$EG$2:$EG$201,1)),"")</f>
        <v>150</v>
      </c>
      <c r="EI6" s="23" t="n">
        <f aca="false">IF(AND(ISNUMBER(EH6),OR(N(EH6)&lt;Config!$B$31,N(EH6)&gt;Config!$B$33)),1,0)</f>
        <v>0</v>
      </c>
      <c r="EJ6" s="23" t="n">
        <f aca="false">IF(AND(ISNUMBER(EH6),N(EH6)&gt;=Config!$B$31,N(EH6)&lt;Config!$B$32),1,0)</f>
        <v>0</v>
      </c>
      <c r="EK6" s="23" t="n">
        <f aca="false">IF(AND(BF6=1,INT(N(H6))&lt;=Config!$B$6,DH6=1,EI6=1),1,0)</f>
        <v>0</v>
      </c>
      <c r="EL6" s="23" t="n">
        <f aca="false">IF(AND(BF6=1,INT(N(H6))&lt;=Config!$B$7,DI6=1,EI6=1),1,0)</f>
        <v>0</v>
      </c>
      <c r="EM6" s="23" t="n">
        <f aca="false">IF(AND(BF6=1,INT(N(H6))&lt;=Config!$B$8,DJ6=1,EI6=1),1,0)</f>
        <v>0</v>
      </c>
      <c r="EN6" s="23" t="n">
        <f aca="false">IF(AND(BF6=1,INT(N(H6))&lt;=Config!$B$5,DK6=1,EI6=1),1,0)</f>
        <v>0</v>
      </c>
      <c r="EO6" s="23" t="n">
        <f aca="false">IF(AND(DL6=1,EJ6=1),1,0)</f>
        <v>0</v>
      </c>
      <c r="EP6" s="23" t="n">
        <f aca="false">IF(AND(DM6=1,EJ6=1),1,0)</f>
        <v>0</v>
      </c>
      <c r="EQ6" s="23" t="n">
        <f aca="false">IF(AND(DN6=1,EJ6=1),1,0)</f>
        <v>0</v>
      </c>
      <c r="ER6" s="23" t="n">
        <f aca="false">IF(AND(DO6=1,EJ6=1),1,0)</f>
        <v>0</v>
      </c>
    </row>
    <row r="7" customFormat="false" ht="15" hidden="false" customHeight="false" outlineLevel="0" collapsed="false">
      <c r="A7" s="0" t="s">
        <v>520</v>
      </c>
      <c r="B7" s="0" t="s">
        <v>521</v>
      </c>
      <c r="D7" s="0" t="s">
        <v>522</v>
      </c>
      <c r="E7" s="0" t="s">
        <v>479</v>
      </c>
      <c r="F7" s="0" t="s">
        <v>480</v>
      </c>
      <c r="G7" s="32" t="s">
        <v>493</v>
      </c>
      <c r="H7" s="33" t="n">
        <v>46330</v>
      </c>
      <c r="I7" s="32" t="s">
        <v>523</v>
      </c>
      <c r="J7" s="32" t="s">
        <v>524</v>
      </c>
      <c r="K7" s="32" t="s">
        <v>495</v>
      </c>
      <c r="L7" s="32" t="s">
        <v>460</v>
      </c>
      <c r="M7" s="0" t="n">
        <v>300</v>
      </c>
      <c r="N7" s="32" t="s">
        <v>525</v>
      </c>
      <c r="O7" s="0" t="n">
        <v>55</v>
      </c>
      <c r="P7" s="32" t="s">
        <v>526</v>
      </c>
      <c r="Q7" s="32" t="s">
        <v>457</v>
      </c>
      <c r="R7" s="32" t="s">
        <v>461</v>
      </c>
      <c r="S7" s="32" t="s">
        <v>462</v>
      </c>
      <c r="T7" s="32" t="s">
        <v>463</v>
      </c>
      <c r="U7" s="32" t="s">
        <v>460</v>
      </c>
      <c r="V7" s="32" t="s">
        <v>464</v>
      </c>
      <c r="W7" s="32" t="s">
        <v>460</v>
      </c>
      <c r="X7" s="32" t="s">
        <v>527</v>
      </c>
      <c r="Y7" s="0" t="n">
        <v>50</v>
      </c>
      <c r="Z7" s="0" t="n">
        <v>50</v>
      </c>
      <c r="AA7" s="0" t="n">
        <v>0</v>
      </c>
      <c r="AC7" s="32" t="s">
        <v>460</v>
      </c>
      <c r="AD7" s="32" t="s">
        <v>528</v>
      </c>
      <c r="AE7" s="32" t="s">
        <v>451</v>
      </c>
      <c r="AF7" s="32" t="s">
        <v>460</v>
      </c>
      <c r="AH7" s="32" t="s">
        <v>529</v>
      </c>
      <c r="AI7" s="32" t="s">
        <v>500</v>
      </c>
      <c r="AJ7" s="32" t="s">
        <v>470</v>
      </c>
      <c r="AL7" s="32" t="s">
        <v>488</v>
      </c>
      <c r="AM7" s="32" t="s">
        <v>473</v>
      </c>
      <c r="AN7" s="32" t="s">
        <v>110</v>
      </c>
      <c r="AQ7" s="32" t="s">
        <v>530</v>
      </c>
      <c r="AR7" s="32" t="s">
        <v>460</v>
      </c>
      <c r="AS7" s="32" t="s">
        <v>475</v>
      </c>
      <c r="AT7" s="32" t="s">
        <v>460</v>
      </c>
      <c r="AU7" s="32"/>
      <c r="AV7" s="0" t="n">
        <v>11</v>
      </c>
      <c r="AW7" s="32" t="s">
        <v>460</v>
      </c>
      <c r="AY7" s="34" t="str">
        <f aca="false">IF(TRIM($A7)="","",IF(AND(LEFT($A7,6)="SAMPLE",Config!$B$19&lt;&gt;"Y"),"",IF(NOT(ISNUMBER(H7)),"call_date is blank or not a date",IF(Sync!$C$5="","Clay paste is empty or has no row_id column: paste the Clay export on Clay_Offices",IF(CW7="","row_id not found in the Clay paste: add the Clay row or fix the row_id",IF(AND(ISNUMBER(CY7),CY7&gt;=1,CY7&lt;=5),"Clay status is "&amp;CX7&amp;": set call_done or later",IF(AND(BD7=1,CZ7&lt;&gt;BZ7),"Clay yes_in_principle should be "&amp;BZ7,IF(AND(BD7=1,DA7&lt;&gt;H7),"Clay call_date should be "&amp;TEXT(H7,"yyyy-mm-dd"),""))))))))</f>
        <v>Clay yes_in_principle should be Y</v>
      </c>
      <c r="AZ7" s="23" t="str">
        <f aca="false">IF(TRIM($A7)="","",IF(TRIM(C7)&lt;&gt;"",SUBSTITUTE(SUBSTITUTE(SUBSTITUTE(SUBSTITUTE(SUBSTITUTE(SUBSTITUTE(LOWER(TRIM(C7)),"~",""),"*",""),"?",""),"&lt;",""),"&gt;",""),"=",""),IF(EA7&lt;&gt;"",EA7,IFERROR(INDEX($EA$2:$EA$201,MATCH(DZ7,$EB$2:$EB$201,0)),DZ7))))</f>
        <v>sample office 06</v>
      </c>
      <c r="BA7" s="23" t="n">
        <f aca="false">ROW()</f>
        <v>7</v>
      </c>
      <c r="BB7" s="23" t="n">
        <f aca="false">IF(AND(TRIM($A7)&lt;&gt;"",ISNUMBER(H7)),IF(AND(LEFT($A7,6)="SAMPLE",Config!$B$19&lt;&gt;"Y"),0,1),0)</f>
        <v>1</v>
      </c>
      <c r="BC7" s="23" t="n">
        <f aca="false">IF(BB7=1,IF(COUNTIFS($AZ$2:$AZ$201,AZ7,$BB$2:$BB$201,1,$H$2:$H$201,"&lt;"&amp;H7)+COUNTIFS($AZ$2:$AZ$201,AZ7,$BB$2:$BB$201,1,$H$2:$H$201,H7,$BA$2:$BA$201,"&lt;"&amp;BA7)=0,1,0),0)</f>
        <v>1</v>
      </c>
      <c r="BD7" s="23" t="n">
        <f aca="false">IF(BB7=1,IF(COUNTIFS($A$2:$A$201,$A7,$BB$2:$BB$201,1,$H$2:$H$201,"&gt;"&amp;H7)+COUNTIFS($A$2:$A$201,$A7,$BB$2:$BB$201,1,$H$2:$H$201,H7,$BA$2:$BA$201,"&gt;"&amp;BA7)=0,1,0),0)</f>
        <v>1</v>
      </c>
      <c r="BE7" s="23" t="n">
        <f aca="false">IF(AND(BB7=1,AR7="Y",AC7="Y",TRIM(AH7)&lt;&gt;""),1,0)</f>
        <v>1</v>
      </c>
      <c r="BF7" s="23" t="n">
        <f aca="false">IF(BE7=1,IF(COUNTIFS($AZ$2:$AZ$201,AZ7,$BE$2:$BE$201,1,$H$2:$H$201,"&lt;"&amp;H7)+COUNTIFS($AZ$2:$AZ$201,AZ7,$BE$2:$BE$201,1,$H$2:$H$201,H7,$BA$2:$BA$201,"&lt;"&amp;BA7)=0,1,0),0)</f>
        <v>1</v>
      </c>
      <c r="BG7" s="23" t="n">
        <f aca="false">IF(AND(BB7=1,AR7="Y",BE7=0),1,0)</f>
        <v>0</v>
      </c>
      <c r="BH7" s="23" t="n">
        <f aca="false">IF(AND(BB7=1,ISNUMBER(Y7)),1,0)</f>
        <v>1</v>
      </c>
      <c r="BI7" s="23" t="n">
        <f aca="false">IF(BH7=1,IF(COUNTIFS($AZ$2:$AZ$201,AZ7,$BH$2:$BH$201,1,$H$2:$H$201,"&lt;"&amp;H7)+COUNTIFS($AZ$2:$AZ$201,AZ7,$BH$2:$BH$201,1,$H$2:$H$201,H7,$BA$2:$BA$201,"&lt;"&amp;BA7)=0,1,0),0)</f>
        <v>1</v>
      </c>
      <c r="BJ7" s="23" t="str">
        <f aca="false">IF(AND(BI7=1,INT(N(H7))&lt;=Config!$B$6),Y7,"")</f>
        <v/>
      </c>
      <c r="BK7" s="23" t="n">
        <f aca="false">IF(AND(BI7=1,INT(N(H7))&lt;=Config!$B$7),Y7,"")</f>
        <v>50</v>
      </c>
      <c r="BL7" s="23" t="n">
        <f aca="false">IF(AND(BI7=1,INT(N(H7))&lt;=Config!$B$8),Y7,"")</f>
        <v>50</v>
      </c>
      <c r="BM7" s="23" t="n">
        <f aca="false">IF(AND(BI7=1,INT(N(H7))&lt;=Config!$B$5),Y7,"")</f>
        <v>50</v>
      </c>
      <c r="BN7" s="23" t="n">
        <f aca="false">IF(CD7=1,IF(COUNTIFS($AZ$2:$AZ$201,AZ7,$CD$2:$CD$201,1,$H$2:$H$201,"&lt;"&amp;H7)+COUNTIFS($AZ$2:$AZ$201,AZ7,$CD$2:$CD$201,1,$H$2:$H$201,H7,$BA$2:$BA$201,"&lt;"&amp;BA7)=0,1,0),0)</f>
        <v>0</v>
      </c>
      <c r="BO7" s="23" t="n">
        <f aca="false">IF(AND(BB7=1,ISNUMBER(M7)),1,0)</f>
        <v>1</v>
      </c>
      <c r="BP7" s="23" t="n">
        <f aca="false">IF(BO7=1,IF(COUNTIFS($AZ$2:$AZ$201,AZ7,$BO$2:$BO$201,1,$H$2:$H$201,"&lt;"&amp;H7)+COUNTIFS($AZ$2:$AZ$201,AZ7,$BO$2:$BO$201,1,$H$2:$H$201,H7,$BA$2:$BA$201,"&lt;"&amp;BA7)=0,1,0),0)</f>
        <v>1</v>
      </c>
      <c r="BQ7" s="23" t="n">
        <f aca="false">IF(AND(BP7=1,INT(N(H7))&lt;=Config!$B$5),M7,"")</f>
        <v>300</v>
      </c>
      <c r="BR7" s="23" t="n">
        <f aca="false">IF(AND(BB7=1,OR(TRIM(X7)&lt;&gt;"",ISNUMBER(Y7))),1,0)</f>
        <v>1</v>
      </c>
      <c r="BS7" s="23" t="n">
        <f aca="false">IF(BR7=1,IF(COUNTIFS($AZ$2:$AZ$201,AZ7,$BR$2:$BR$201,1,$H$2:$H$201,"&lt;"&amp;H7)+COUNTIFS($AZ$2:$AZ$201,AZ7,$BR$2:$BR$201,1,$H$2:$H$201,H7,$BA$2:$BA$201,"&lt;"&amp;BA7)=0,1,0),0)</f>
        <v>1</v>
      </c>
      <c r="BT7" s="23" t="str">
        <f aca="false">IF(BS7=1,AZ7,"")</f>
        <v>sample office 06</v>
      </c>
      <c r="BU7" s="23" t="n">
        <f aca="false">IF(AND(BB7=1,W7="Y",TRIM(X7)=""),1,0)</f>
        <v>0</v>
      </c>
      <c r="BV7" s="23" t="str">
        <f aca="false">IF(BB7=1,AN7&amp;"","")</f>
        <v>allergy_policy</v>
      </c>
      <c r="BW7" s="23" t="str">
        <f aca="false">IF(BB7=1,AO7&amp;"","")</f>
        <v/>
      </c>
      <c r="BX7" s="23" t="str">
        <f aca="false">IF(BB7=1,AP7&amp;"","")</f>
        <v/>
      </c>
      <c r="BY7" s="23" t="n">
        <f aca="false">IF(AND(BB7=1,ISNUMBER(AV7),INT(N(H7))&lt;=Config!$B$5),AV7,"")</f>
        <v>11</v>
      </c>
      <c r="BZ7" s="23" t="str">
        <f aca="false">IF(BB7=1,IF(COUNTIFS($A$2:$A$201,$A7,$DC$2:$DC$201,1,$AR$2:$AR$201,"Y")&gt;0,"Y","N"),"")</f>
        <v>Y</v>
      </c>
      <c r="CA7" s="23" t="n">
        <f aca="false">IF(AND(BB7=1,AR7="maybe"),1,0)</f>
        <v>0</v>
      </c>
      <c r="CB7" s="23" t="n">
        <f aca="false">IF(CA7=1,IF(COUNTIFS($AZ$2:$AZ$201,AZ7,$CA$2:$CA$201,1,$H$2:$H$201,"&lt;"&amp;H7)+COUNTIFS($AZ$2:$AZ$201,AZ7,$CA$2:$CA$201,1,$H$2:$H$201,H7,$BA$2:$BA$201,"&lt;"&amp;BA7)=0,1,0),0)</f>
        <v>0</v>
      </c>
      <c r="CC7" s="23" t="n">
        <f aca="false">IF(AND(BB7=1,AR7="Y"),IF(COUNTIFS($AZ$2:$AZ$201,AZ7,$AR$2:$AR$201,"Y",$BB$2:$BB$201,1,$H$2:$H$201,"&lt;"&amp;H7)+COUNTIFS($AZ$2:$AZ$201,AZ7,$AR$2:$AR$201,"Y",$BB$2:$BB$201,1,$H$2:$H$201,H7,$BA$2:$BA$201,"&lt;"&amp;BA7)=0,1,0),0)</f>
        <v>1</v>
      </c>
      <c r="CD7" s="23" t="n">
        <f aca="false">IF(AND(BH7=1,N(Y7)&gt;=Config!$B$15),1,0)</f>
        <v>0</v>
      </c>
      <c r="CE7" s="23" t="n">
        <f aca="false">IF(AND(BB7=1,AT7="Y"),1,0)</f>
        <v>1</v>
      </c>
      <c r="CF7" s="23" t="n">
        <f aca="false">IF(CE7=1,IF(COUNTIFS($AZ$2:$AZ$201,AZ7,$CE$2:$CE$201,1,$H$2:$H$201,"&lt;"&amp;H7)+COUNTIFS($AZ$2:$AZ$201,AZ7,$CE$2:$CE$201,1,$H$2:$H$201,H7,$BA$2:$BA$201,"&lt;"&amp;BA7)=0,1,0),0)</f>
        <v>1</v>
      </c>
      <c r="CG7" s="23" t="n">
        <f aca="false">IF(AND(BB7=1,G7="warm-intro"),1,0)</f>
        <v>0</v>
      </c>
      <c r="CH7" s="23" t="n">
        <f aca="false">IF(CG7=1,IF(COUNTIFS($AZ$2:$AZ$201,AZ7,$CG$2:$CG$201,1,$H$2:$H$201,"&lt;"&amp;H7)+COUNTIFS($AZ$2:$AZ$201,AZ7,$CG$2:$CG$201,1,$H$2:$H$201,H7,$BA$2:$BA$201,"&lt;"&amp;BA7)=0,1,0),0)</f>
        <v>0</v>
      </c>
      <c r="CI7" s="23" t="n">
        <f aca="false">IF(AND(BB7=1,Q7="Y"),1,0)</f>
        <v>0</v>
      </c>
      <c r="CJ7" s="23" t="n">
        <f aca="false">IF(CI7=1,IF(COUNTIFS($AZ$2:$AZ$201,AZ7,$CI$2:$CI$201,1,$H$2:$H$201,"&lt;"&amp;H7)+COUNTIFS($AZ$2:$AZ$201,AZ7,$CI$2:$CI$201,1,$H$2:$H$201,H7,$BA$2:$BA$201,"&lt;"&amp;BA7)=0,1,0),0)</f>
        <v>0</v>
      </c>
      <c r="CK7" s="23" t="n">
        <f aca="false">IF(AND(BB7=1,AF7="Y"),1,0)</f>
        <v>1</v>
      </c>
      <c r="CL7" s="23" t="n">
        <f aca="false">IF(CK7=1,IF(COUNTIFS($AZ$2:$AZ$201,AZ7,$CK$2:$CK$201,1,$H$2:$H$201,"&lt;"&amp;H7)+COUNTIFS($AZ$2:$AZ$201,AZ7,$CK$2:$CK$201,1,$H$2:$H$201,H7,$BA$2:$BA$201,"&lt;"&amp;BA7)=0,1,0),0)</f>
        <v>1</v>
      </c>
      <c r="CM7" s="23" t="n">
        <f aca="false">IF(AND(BB7=1,U7="Y"),1,0)</f>
        <v>1</v>
      </c>
      <c r="CN7" s="23" t="n">
        <f aca="false">IF(CM7=1,IF(COUNTIFS($AZ$2:$AZ$201,AZ7,$CM$2:$CM$201,1,$H$2:$H$201,"&lt;"&amp;H7)+COUNTIFS($AZ$2:$AZ$201,AZ7,$CM$2:$CM$201,1,$H$2:$H$201,H7,$BA$2:$BA$201,"&lt;"&amp;BA7)=0,1,0),0)</f>
        <v>1</v>
      </c>
      <c r="CO7" s="23" t="n">
        <f aca="false">IF(AND(BB7=1,L7="Y"),1,0)</f>
        <v>1</v>
      </c>
      <c r="CP7" s="23" t="n">
        <f aca="false">IF(CO7=1,IF(COUNTIFS($AZ$2:$AZ$201,AZ7,$CO$2:$CO$201,1,$H$2:$H$201,"&lt;"&amp;H7)+COUNTIFS($AZ$2:$AZ$201,AZ7,$CO$2:$CO$201,1,$H$2:$H$201,H7,$BA$2:$BA$201,"&lt;"&amp;BA7)=0,1,0),0)</f>
        <v>1</v>
      </c>
      <c r="CQ7" s="23" t="n">
        <f aca="false">IF(AND(BB7=1,ISNUMBER(O7)),1,0)</f>
        <v>1</v>
      </c>
      <c r="CR7" s="23" t="n">
        <f aca="false">IF(CQ7=1,IF(COUNTIFS($AZ$2:$AZ$201,AZ7,$CQ$2:$CQ$201,1,$H$2:$H$201,"&lt;"&amp;H7)+COUNTIFS($AZ$2:$AZ$201,AZ7,$CQ$2:$CQ$201,1,$H$2:$H$201,H7,$BA$2:$BA$201,"&lt;"&amp;BA7)=0,1,0),0)</f>
        <v>1</v>
      </c>
      <c r="CS7" s="23" t="n">
        <f aca="false">IF(AND(CR7=1,INT(N(H7))&lt;=Config!$B$5),O7,"")</f>
        <v>55</v>
      </c>
      <c r="CT7" s="23" t="str">
        <f aca="false">IF(AND(BB7=1,INT(N(H7))&lt;=Config!$B$5),AG7&amp;"","")</f>
        <v/>
      </c>
      <c r="CU7" s="23" t="n">
        <f aca="false">IF(AND(BB7=1,AU7="Y"),1,0)</f>
        <v>0</v>
      </c>
      <c r="CV7" s="23" t="n">
        <f aca="false">IF(CU7=1,IF(COUNTIFS($AZ$2:$AZ$201,AZ7,$CU$2:$CU$201,1,$H$2:$H$201,"&lt;"&amp;H7)+COUNTIFS($AZ$2:$AZ$201,AZ7,$CU$2:$CU$201,1,$H$2:$H$201,H7,$BA$2:$BA$201,"&lt;"&amp;BA7)=0,1,0),0)</f>
        <v>0</v>
      </c>
      <c r="CW7" s="23" t="n">
        <f aca="false">IF(BB7=1,IFERROR(MATCH($A7,INDEX(Clay_Offices!$A$2:$FZ$601,0,Sync!$C$5),0),""),"")</f>
        <v>6</v>
      </c>
      <c r="CX7" s="23" t="str">
        <f aca="false">IF(CW7="","",IFERROR(INDEX(Clay_Offices!$A$2:$FZ$601,CW7,Sync!$C$7)&amp;"",""))</f>
        <v>signed</v>
      </c>
      <c r="CY7" s="23" t="n">
        <f aca="false">IF(CX7="","",IFERROR(INDEX(Lists!$K$2:$K$15,MATCH(CX7,Lists!$J$2:$J$15,0)),""))</f>
        <v>9</v>
      </c>
      <c r="CZ7" s="23" t="str">
        <f aca="false">IF(CW7="","",IFERROR(INDEX(Clay_Offices!$A$2:$FZ$601,CW7,Sync!$C$17)&amp;"",""))</f>
        <v/>
      </c>
      <c r="DA7" s="35" t="n">
        <f aca="false">IF(CW7="","",IFERROR(N(INDEX(Clay_Offices!$A$2:$FZ$601,CW7,Sync!$C$16)),0))</f>
        <v>46330</v>
      </c>
      <c r="DB7" s="23" t="n">
        <f aca="false">IF(AND(BB7=1,OR(AR7="Y",AR7="N",AR7="maybe")),1,0)</f>
        <v>1</v>
      </c>
      <c r="DC7" s="23" t="n">
        <f aca="false">IF(AND(DB7=1),IF(COUNTIFS($A$2:$A$201,$A7,$DB$2:$DB$201,1,$H$2:$H$201,"&gt;"&amp;H7)+COUNTIFS($A$2:$A$201,$A7,$DB$2:$DB$201,1,$H$2:$H$201,H7,$BA$2:$BA$201,"&gt;"&amp;BA7)=0,1,0),0)</f>
        <v>1</v>
      </c>
      <c r="DD7" s="23" t="n">
        <f aca="false">IF(AND(DB7=1,INT(N(H7))&lt;=Config!$B$6),IF(COUNTIFS($AZ$2:$AZ$201,AZ7,$DB$2:$DB$201,1,$H$2:$H$201,"&gt;"&amp;H7,$H$2:$H$201,"&lt;"&amp;(Config!$B$6+1))+COUNTIFS($AZ$2:$AZ$201,AZ7,$DB$2:$DB$201,1,$H$2:$H$201,H7,$BA$2:$BA$201,"&gt;"&amp;BA7)=0,1,0),0)</f>
        <v>0</v>
      </c>
      <c r="DE7" s="23" t="n">
        <f aca="false">IF(AND(DB7=1,INT(N(H7))&lt;=Config!$B$7),IF(COUNTIFS($AZ$2:$AZ$201,AZ7,$DB$2:$DB$201,1,$H$2:$H$201,"&gt;"&amp;H7,$H$2:$H$201,"&lt;"&amp;(Config!$B$7+1))+COUNTIFS($AZ$2:$AZ$201,AZ7,$DB$2:$DB$201,1,$H$2:$H$201,H7,$BA$2:$BA$201,"&gt;"&amp;BA7)=0,1,0),0)</f>
        <v>1</v>
      </c>
      <c r="DF7" s="23" t="n">
        <f aca="false">IF(AND(DB7=1,INT(N(H7))&lt;=Config!$B$8),IF(COUNTIFS($AZ$2:$AZ$201,AZ7,$DB$2:$DB$201,1,$H$2:$H$201,"&gt;"&amp;H7,$H$2:$H$201,"&lt;"&amp;(Config!$B$8+1))+COUNTIFS($AZ$2:$AZ$201,AZ7,$DB$2:$DB$201,1,$H$2:$H$201,H7,$BA$2:$BA$201,"&gt;"&amp;BA7)=0,1,0),0)</f>
        <v>1</v>
      </c>
      <c r="DG7" s="23" t="n">
        <f aca="false">IF(AND(DB7=1,INT(N(H7))&lt;=Config!$B$5),IF(COUNTIFS($AZ$2:$AZ$201,AZ7,$DB$2:$DB$201,1,$H$2:$H$201,"&gt;"&amp;H7,$H$2:$H$201,"&lt;"&amp;(Config!$B$5+1))+COUNTIFS($AZ$2:$AZ$201,AZ7,$DB$2:$DB$201,1,$H$2:$H$201,H7,$BA$2:$BA$201,"&gt;"&amp;BA7)=0,1,0),0)</f>
        <v>1</v>
      </c>
      <c r="DH7" s="23" t="n">
        <f aca="false">IF(BB7=1,IF(COUNTIFS($AZ$2:$AZ$201,AZ7,$DD$2:$DD$201,1,$AR$2:$AR$201,"Y")&gt;0,1,0),0)</f>
        <v>0</v>
      </c>
      <c r="DI7" s="23" t="n">
        <f aca="false">IF(BB7=1,IF(COUNTIFS($AZ$2:$AZ$201,AZ7,$DE$2:$DE$201,1,$AR$2:$AR$201,"Y")&gt;0,1,0),0)</f>
        <v>1</v>
      </c>
      <c r="DJ7" s="23" t="n">
        <f aca="false">IF(BB7=1,IF(COUNTIFS($AZ$2:$AZ$201,AZ7,$DF$2:$DF$201,1,$AR$2:$AR$201,"Y")&gt;0,1,0),0)</f>
        <v>1</v>
      </c>
      <c r="DK7" s="23" t="n">
        <f aca="false">IF(BB7=1,IF(COUNTIFS($AZ$2:$AZ$201,AZ7,$DG$2:$DG$201,1,$AR$2:$AR$201,"Y")&gt;0,1,0),0)</f>
        <v>1</v>
      </c>
      <c r="DL7" s="23" t="n">
        <f aca="false">IF(AND(BF7=1,INT(N(H7))&lt;=Config!$B$6,DH7=1,EI7=0),1,0)</f>
        <v>0</v>
      </c>
      <c r="DM7" s="23" t="n">
        <f aca="false">IF(AND(BF7=1,INT(N(H7))&lt;=Config!$B$7,DI7=1,EI7=0),1,0)</f>
        <v>1</v>
      </c>
      <c r="DN7" s="23" t="n">
        <f aca="false">IF(AND(BF7=1,INT(N(H7))&lt;=Config!$B$8,DJ7=1,EI7=0),1,0)</f>
        <v>1</v>
      </c>
      <c r="DO7" s="23" t="n">
        <f aca="false">IF(AND(BF7=1,INT(N(H7))&lt;=Config!$B$5,DK7=1,EI7=0),1,0)</f>
        <v>1</v>
      </c>
      <c r="DP7" s="23" t="n">
        <f aca="false">IF(AND(CC7=1,INT(N(H7))&lt;=Config!$B$6,DH7=1,EI7=0),1,0)</f>
        <v>0</v>
      </c>
      <c r="DQ7" s="23" t="n">
        <f aca="false">IF(AND(CC7=1,INT(N(H7))&lt;=Config!$B$7,DI7=1,EI7=0),1,0)</f>
        <v>1</v>
      </c>
      <c r="DR7" s="23" t="n">
        <f aca="false">IF(AND(CC7=1,INT(N(H7))&lt;=Config!$B$8,DJ7=1,EI7=0),1,0)</f>
        <v>1</v>
      </c>
      <c r="DS7" s="23" t="n">
        <f aca="false">IF(AND(CC7=1,INT(N(H7))&lt;=Config!$B$5,DK7=1,EI7=0),1,0)</f>
        <v>1</v>
      </c>
      <c r="DT7" s="23" t="n">
        <f aca="false">IF(AND(CC7=1,INT(N(H7))&lt;=Config!$B$6,DH7=0),1,0)</f>
        <v>0</v>
      </c>
      <c r="DU7" s="23" t="n">
        <f aca="false">IF(AND(CC7=1,INT(N(H7))&lt;=Config!$B$7,DI7=0),1,0)</f>
        <v>0</v>
      </c>
      <c r="DV7" s="23" t="n">
        <f aca="false">IF(AND(CC7=1,INT(N(H7))&lt;=Config!$B$8,DJ7=0),1,0)</f>
        <v>0</v>
      </c>
      <c r="DW7" s="23" t="n">
        <f aca="false">IF(AND(CC7=1,INT(N(H7))&lt;=Config!$B$5,DK7=0),1,0)</f>
        <v>0</v>
      </c>
      <c r="DX7" s="23" t="n">
        <f aca="false">IF(TRIM($A7)="",0,ISTEXT(M7)+ISTEXT(O7)+ISTEXT(Y7)+ISTEXT(Z7)+ISTEXT(AA7)+ISTEXT(AV7))</f>
        <v>0</v>
      </c>
      <c r="DY7" s="23" t="n">
        <f aca="false">IF(BB7=1,IF(H7&lt;&gt;INT(H7),1,0),0)</f>
        <v>0</v>
      </c>
      <c r="DZ7" s="23" t="str">
        <f aca="false">IF(TRIM($A7)="","",IF(TRIM(B7)="",SUBSTITUTE(SUBSTITUTE(SUBSTITUTE(SUBSTITUTE(SUBSTITUTE(SUBSTITUTE(LOWER(TRIM($A7)),"~",""),"*",""),"?",""),"&lt;",""),"&gt;",""),"=",""),SUBSTITUTE(SUBSTITUTE(SUBSTITUTE(SUBSTITUTE(SUBSTITUTE(SUBSTITUTE(LOWER(TRIM(B7)),"~",""),"*",""),"?",""),"&lt;",""),"&gt;",""),"=","")))</f>
        <v>sample office 06</v>
      </c>
      <c r="EA7" s="23" t="str">
        <f aca="false">IF(CW7="","",IFERROR(IF(LEFT(LOWER(TRIM(INDEX(Clay_Offices!$A$2:$FZ$601,CW7,Sync!$C$19)&amp;"")),4)="grp-",SUBSTITUTE(SUBSTITUTE(SUBSTITUTE(SUBSTITUTE(SUBSTITUTE(SUBSTITUTE(LOWER(TRIM(INDEX(Clay_Offices!$A$2:$FZ$601,CW7,Sync!$C$19)&amp;"")),"~",""),"*",""),"?",""),"&lt;",""),"&gt;",""),"=",""),""),""))</f>
        <v/>
      </c>
      <c r="EB7" s="23" t="str">
        <f aca="false">IF(EA7&lt;&gt;"",DZ7,"")</f>
        <v/>
      </c>
      <c r="EC7" s="23" t="str">
        <f aca="false">IF(BC7=1,AZ7,"")</f>
        <v>sample office 06</v>
      </c>
      <c r="ED7" s="23" t="str">
        <f aca="false">IF(TRIM($A7)="","",IFERROR(INDEX($A$2:$A$201,MATCH(AZ7,$EC$2:$EC$201,0))&amp;"",$A7&amp;""))</f>
        <v>SAMPLE-O-006</v>
      </c>
      <c r="EE7" s="23" t="n">
        <f aca="false">IF(BB7=1,IF(COUNTIFS($A$2:$A$201,$A7,$BB$2:$BB$201,1,$H$2:$H$201,"&lt;"&amp;H7)+COUNTIFS($A$2:$A$201,$A7,$BB$2:$BB$201,1,$H$2:$H$201,H7,$BA$2:$BA$201,"&lt;"&amp;BA7)=0,1,0),0)</f>
        <v>1</v>
      </c>
      <c r="EF7" s="23" t="n">
        <f aca="false">IF(BC7=1,IF(COUNTIFS($AZ$2:$AZ$201,AZ7,$EE$2:$EE$201,1)&gt;1,1,0),0)</f>
        <v>0</v>
      </c>
      <c r="EG7" s="23" t="n">
        <f aca="false">IF(AND(CQ7=1),IF(COUNTIFS($AZ$2:$AZ$201,AZ7,$CQ$2:$CQ$201,1,$H$2:$H$201,"&gt;"&amp;H7)+COUNTIFS($AZ$2:$AZ$201,AZ7,$CQ$2:$CQ$201,1,$H$2:$H$201,H7,$BA$2:$BA$201,"&gt;"&amp;BA7)=0,1,0),0)</f>
        <v>1</v>
      </c>
      <c r="EH7" s="23" t="n">
        <f aca="false">IF(BB7=1,IF(COUNTIFS($AZ$2:$AZ$201,AZ7,$EG$2:$EG$201,1)=0,"",SUMIFS($O$2:$O$201,$AZ$2:$AZ$201,AZ7,$EG$2:$EG$201,1)),"")</f>
        <v>55</v>
      </c>
      <c r="EI7" s="23" t="n">
        <f aca="false">IF(AND(ISNUMBER(EH7),OR(N(EH7)&lt;Config!$B$31,N(EH7)&gt;Config!$B$33)),1,0)</f>
        <v>0</v>
      </c>
      <c r="EJ7" s="23" t="n">
        <f aca="false">IF(AND(ISNUMBER(EH7),N(EH7)&gt;=Config!$B$31,N(EH7)&lt;Config!$B$32),1,0)</f>
        <v>0</v>
      </c>
      <c r="EK7" s="23" t="n">
        <f aca="false">IF(AND(BF7=1,INT(N(H7))&lt;=Config!$B$6,DH7=1,EI7=1),1,0)</f>
        <v>0</v>
      </c>
      <c r="EL7" s="23" t="n">
        <f aca="false">IF(AND(BF7=1,INT(N(H7))&lt;=Config!$B$7,DI7=1,EI7=1),1,0)</f>
        <v>0</v>
      </c>
      <c r="EM7" s="23" t="n">
        <f aca="false">IF(AND(BF7=1,INT(N(H7))&lt;=Config!$B$8,DJ7=1,EI7=1),1,0)</f>
        <v>0</v>
      </c>
      <c r="EN7" s="23" t="n">
        <f aca="false">IF(AND(BF7=1,INT(N(H7))&lt;=Config!$B$5,DK7=1,EI7=1),1,0)</f>
        <v>0</v>
      </c>
      <c r="EO7" s="23" t="n">
        <f aca="false">IF(AND(DL7=1,EJ7=1),1,0)</f>
        <v>0</v>
      </c>
      <c r="EP7" s="23" t="n">
        <f aca="false">IF(AND(DM7=1,EJ7=1),1,0)</f>
        <v>0</v>
      </c>
      <c r="EQ7" s="23" t="n">
        <f aca="false">IF(AND(DN7=1,EJ7=1),1,0)</f>
        <v>0</v>
      </c>
      <c r="ER7" s="23" t="n">
        <f aca="false">IF(AND(DO7=1,EJ7=1),1,0)</f>
        <v>0</v>
      </c>
    </row>
    <row r="8" customFormat="false" ht="15" hidden="false" customHeight="false" outlineLevel="0" collapsed="false">
      <c r="A8" s="0" t="s">
        <v>531</v>
      </c>
      <c r="B8" s="0" t="s">
        <v>532</v>
      </c>
      <c r="D8" s="0" t="s">
        <v>533</v>
      </c>
      <c r="E8" s="0" t="s">
        <v>451</v>
      </c>
      <c r="F8" s="0" t="s">
        <v>480</v>
      </c>
      <c r="G8" s="32" t="s">
        <v>481</v>
      </c>
      <c r="H8" s="33" t="n">
        <v>46331</v>
      </c>
      <c r="I8" s="32" t="s">
        <v>454</v>
      </c>
      <c r="J8" s="32" t="s">
        <v>534</v>
      </c>
      <c r="K8" s="32" t="s">
        <v>456</v>
      </c>
      <c r="L8" s="32" t="s">
        <v>457</v>
      </c>
      <c r="M8" s="0" t="n">
        <v>2500</v>
      </c>
      <c r="N8" s="32" t="s">
        <v>535</v>
      </c>
      <c r="O8" s="0" t="n">
        <v>200</v>
      </c>
      <c r="P8" s="32" t="s">
        <v>536</v>
      </c>
      <c r="Q8" s="32" t="s">
        <v>460</v>
      </c>
      <c r="R8" s="32" t="s">
        <v>461</v>
      </c>
      <c r="S8" s="32" t="s">
        <v>462</v>
      </c>
      <c r="T8" s="32" t="s">
        <v>463</v>
      </c>
      <c r="U8" s="32" t="s">
        <v>497</v>
      </c>
      <c r="V8" s="32" t="s">
        <v>464</v>
      </c>
      <c r="W8" s="32" t="s">
        <v>460</v>
      </c>
      <c r="X8" s="32" t="s">
        <v>537</v>
      </c>
      <c r="AA8" s="0" t="n">
        <v>0</v>
      </c>
      <c r="AC8" s="32" t="s">
        <v>460</v>
      </c>
      <c r="AD8" s="32" t="s">
        <v>538</v>
      </c>
      <c r="AE8" s="32" t="s">
        <v>451</v>
      </c>
      <c r="AF8" s="32" t="s">
        <v>457</v>
      </c>
      <c r="AG8" s="0" t="s">
        <v>499</v>
      </c>
      <c r="AI8" s="32" t="s">
        <v>469</v>
      </c>
      <c r="AJ8" s="32" t="s">
        <v>470</v>
      </c>
      <c r="AK8" s="32" t="s">
        <v>471</v>
      </c>
      <c r="AL8" s="32" t="s">
        <v>472</v>
      </c>
      <c r="AM8" s="32" t="s">
        <v>473</v>
      </c>
      <c r="AN8" s="32" t="s">
        <v>131</v>
      </c>
      <c r="AQ8" s="32" t="s">
        <v>539</v>
      </c>
      <c r="AR8" s="32" t="s">
        <v>457</v>
      </c>
      <c r="AT8" s="32"/>
      <c r="AU8" s="32"/>
      <c r="AV8" s="0" t="n">
        <v>6</v>
      </c>
      <c r="AW8" s="32" t="s">
        <v>460</v>
      </c>
      <c r="AY8" s="34" t="str">
        <f aca="false">IF(TRIM($A8)="","",IF(AND(LEFT($A8,6)="SAMPLE",Config!$B$19&lt;&gt;"Y"),"",IF(NOT(ISNUMBER(H8)),"call_date is blank or not a date",IF(Sync!$C$5="","Clay paste is empty or has no row_id column: paste the Clay export on Clay_Offices",IF(CW8="","row_id not found in the Clay paste: add the Clay row or fix the row_id",IF(AND(ISNUMBER(CY8),CY8&gt;=1,CY8&lt;=5),"Clay status is "&amp;CX8&amp;": set call_done or later",IF(AND(BD8=1,CZ8&lt;&gt;BZ8),"Clay yes_in_principle should be "&amp;BZ8,IF(AND(BD8=1,DA8&lt;&gt;H8),"Clay call_date should be "&amp;TEXT(H8,"yyyy-mm-dd"),""))))))))</f>
        <v/>
      </c>
      <c r="AZ8" s="23" t="str">
        <f aca="false">IF(TRIM($A8)="","",IF(TRIM(C8)&lt;&gt;"",SUBSTITUTE(SUBSTITUTE(SUBSTITUTE(SUBSTITUTE(SUBSTITUTE(SUBSTITUTE(LOWER(TRIM(C8)),"~",""),"*",""),"?",""),"&lt;",""),"&gt;",""),"=",""),IF(EA8&lt;&gt;"",EA8,IFERROR(INDEX($EA$2:$EA$201,MATCH(DZ8,$EB$2:$EB$201,0)),DZ8))))</f>
        <v>sample office 07</v>
      </c>
      <c r="BA8" s="23" t="n">
        <f aca="false">ROW()</f>
        <v>8</v>
      </c>
      <c r="BB8" s="23" t="n">
        <f aca="false">IF(AND(TRIM($A8)&lt;&gt;"",ISNUMBER(H8)),IF(AND(LEFT($A8,6)="SAMPLE",Config!$B$19&lt;&gt;"Y"),0,1),0)</f>
        <v>1</v>
      </c>
      <c r="BC8" s="23" t="n">
        <f aca="false">IF(BB8=1,IF(COUNTIFS($AZ$2:$AZ$201,AZ8,$BB$2:$BB$201,1,$H$2:$H$201,"&lt;"&amp;H8)+COUNTIFS($AZ$2:$AZ$201,AZ8,$BB$2:$BB$201,1,$H$2:$H$201,H8,$BA$2:$BA$201,"&lt;"&amp;BA8)=0,1,0),0)</f>
        <v>1</v>
      </c>
      <c r="BD8" s="23" t="n">
        <f aca="false">IF(BB8=1,IF(COUNTIFS($A$2:$A$201,$A8,$BB$2:$BB$201,1,$H$2:$H$201,"&gt;"&amp;H8)+COUNTIFS($A$2:$A$201,$A8,$BB$2:$BB$201,1,$H$2:$H$201,H8,$BA$2:$BA$201,"&gt;"&amp;BA8)=0,1,0),0)</f>
        <v>1</v>
      </c>
      <c r="BE8" s="23" t="n">
        <f aca="false">IF(AND(BB8=1,AR8="Y",AC8="Y",TRIM(AH8)&lt;&gt;""),1,0)</f>
        <v>0</v>
      </c>
      <c r="BF8" s="23" t="n">
        <f aca="false">IF(BE8=1,IF(COUNTIFS($AZ$2:$AZ$201,AZ8,$BE$2:$BE$201,1,$H$2:$H$201,"&lt;"&amp;H8)+COUNTIFS($AZ$2:$AZ$201,AZ8,$BE$2:$BE$201,1,$H$2:$H$201,H8,$BA$2:$BA$201,"&lt;"&amp;BA8)=0,1,0),0)</f>
        <v>0</v>
      </c>
      <c r="BG8" s="23" t="n">
        <f aca="false">IF(AND(BB8=1,AR8="Y",BE8=0),1,0)</f>
        <v>0</v>
      </c>
      <c r="BH8" s="23" t="n">
        <f aca="false">IF(AND(BB8=1,ISNUMBER(Y8)),1,0)</f>
        <v>0</v>
      </c>
      <c r="BI8" s="23" t="n">
        <f aca="false">IF(BH8=1,IF(COUNTIFS($AZ$2:$AZ$201,AZ8,$BH$2:$BH$201,1,$H$2:$H$201,"&lt;"&amp;H8)+COUNTIFS($AZ$2:$AZ$201,AZ8,$BH$2:$BH$201,1,$H$2:$H$201,H8,$BA$2:$BA$201,"&lt;"&amp;BA8)=0,1,0),0)</f>
        <v>0</v>
      </c>
      <c r="BJ8" s="23" t="str">
        <f aca="false">IF(AND(BI8=1,INT(N(H8))&lt;=Config!$B$6),Y8,"")</f>
        <v/>
      </c>
      <c r="BK8" s="23" t="str">
        <f aca="false">IF(AND(BI8=1,INT(N(H8))&lt;=Config!$B$7),Y8,"")</f>
        <v/>
      </c>
      <c r="BL8" s="23" t="str">
        <f aca="false">IF(AND(BI8=1,INT(N(H8))&lt;=Config!$B$8),Y8,"")</f>
        <v/>
      </c>
      <c r="BM8" s="23" t="str">
        <f aca="false">IF(AND(BI8=1,INT(N(H8))&lt;=Config!$B$5),Y8,"")</f>
        <v/>
      </c>
      <c r="BN8" s="23" t="n">
        <f aca="false">IF(CD8=1,IF(COUNTIFS($AZ$2:$AZ$201,AZ8,$CD$2:$CD$201,1,$H$2:$H$201,"&lt;"&amp;H8)+COUNTIFS($AZ$2:$AZ$201,AZ8,$CD$2:$CD$201,1,$H$2:$H$201,H8,$BA$2:$BA$201,"&lt;"&amp;BA8)=0,1,0),0)</f>
        <v>0</v>
      </c>
      <c r="BO8" s="23" t="n">
        <f aca="false">IF(AND(BB8=1,ISNUMBER(M8)),1,0)</f>
        <v>1</v>
      </c>
      <c r="BP8" s="23" t="n">
        <f aca="false">IF(BO8=1,IF(COUNTIFS($AZ$2:$AZ$201,AZ8,$BO$2:$BO$201,1,$H$2:$H$201,"&lt;"&amp;H8)+COUNTIFS($AZ$2:$AZ$201,AZ8,$BO$2:$BO$201,1,$H$2:$H$201,H8,$BA$2:$BA$201,"&lt;"&amp;BA8)=0,1,0),0)</f>
        <v>1</v>
      </c>
      <c r="BQ8" s="23" t="n">
        <f aca="false">IF(AND(BP8=1,INT(N(H8))&lt;=Config!$B$5),M8,"")</f>
        <v>2500</v>
      </c>
      <c r="BR8" s="23" t="n">
        <f aca="false">IF(AND(BB8=1,OR(TRIM(X8)&lt;&gt;"",ISNUMBER(Y8))),1,0)</f>
        <v>1</v>
      </c>
      <c r="BS8" s="23" t="n">
        <f aca="false">IF(BR8=1,IF(COUNTIFS($AZ$2:$AZ$201,AZ8,$BR$2:$BR$201,1,$H$2:$H$201,"&lt;"&amp;H8)+COUNTIFS($AZ$2:$AZ$201,AZ8,$BR$2:$BR$201,1,$H$2:$H$201,H8,$BA$2:$BA$201,"&lt;"&amp;BA8)=0,1,0),0)</f>
        <v>1</v>
      </c>
      <c r="BT8" s="23" t="str">
        <f aca="false">IF(BS8=1,AZ8,"")</f>
        <v>sample office 07</v>
      </c>
      <c r="BU8" s="23" t="n">
        <f aca="false">IF(AND(BB8=1,W8="Y",TRIM(X8)=""),1,0)</f>
        <v>0</v>
      </c>
      <c r="BV8" s="23" t="str">
        <f aca="false">IF(BB8=1,AN8&amp;"","")</f>
        <v>commitments_too_much</v>
      </c>
      <c r="BW8" s="23" t="str">
        <f aca="false">IF(BB8=1,AO8&amp;"","")</f>
        <v/>
      </c>
      <c r="BX8" s="23" t="str">
        <f aca="false">IF(BB8=1,AP8&amp;"","")</f>
        <v/>
      </c>
      <c r="BY8" s="23" t="n">
        <f aca="false">IF(AND(BB8=1,ISNUMBER(AV8),INT(N(H8))&lt;=Config!$B$5),AV8,"")</f>
        <v>6</v>
      </c>
      <c r="BZ8" s="23" t="str">
        <f aca="false">IF(BB8=1,IF(COUNTIFS($A$2:$A$201,$A8,$DC$2:$DC$201,1,$AR$2:$AR$201,"Y")&gt;0,"Y","N"),"")</f>
        <v>N</v>
      </c>
      <c r="CA8" s="23" t="n">
        <f aca="false">IF(AND(BB8=1,AR8="maybe"),1,0)</f>
        <v>0</v>
      </c>
      <c r="CB8" s="23" t="n">
        <f aca="false">IF(CA8=1,IF(COUNTIFS($AZ$2:$AZ$201,AZ8,$CA$2:$CA$201,1,$H$2:$H$201,"&lt;"&amp;H8)+COUNTIFS($AZ$2:$AZ$201,AZ8,$CA$2:$CA$201,1,$H$2:$H$201,H8,$BA$2:$BA$201,"&lt;"&amp;BA8)=0,1,0),0)</f>
        <v>0</v>
      </c>
      <c r="CC8" s="23" t="n">
        <f aca="false">IF(AND(BB8=1,AR8="Y"),IF(COUNTIFS($AZ$2:$AZ$201,AZ8,$AR$2:$AR$201,"Y",$BB$2:$BB$201,1,$H$2:$H$201,"&lt;"&amp;H8)+COUNTIFS($AZ$2:$AZ$201,AZ8,$AR$2:$AR$201,"Y",$BB$2:$BB$201,1,$H$2:$H$201,H8,$BA$2:$BA$201,"&lt;"&amp;BA8)=0,1,0),0)</f>
        <v>0</v>
      </c>
      <c r="CD8" s="23" t="n">
        <f aca="false">IF(AND(BH8=1,N(Y8)&gt;=Config!$B$15),1,0)</f>
        <v>0</v>
      </c>
      <c r="CE8" s="23" t="n">
        <f aca="false">IF(AND(BB8=1,AT8="Y"),1,0)</f>
        <v>0</v>
      </c>
      <c r="CF8" s="23" t="n">
        <f aca="false">IF(CE8=1,IF(COUNTIFS($AZ$2:$AZ$201,AZ8,$CE$2:$CE$201,1,$H$2:$H$201,"&lt;"&amp;H8)+COUNTIFS($AZ$2:$AZ$201,AZ8,$CE$2:$CE$201,1,$H$2:$H$201,H8,$BA$2:$BA$201,"&lt;"&amp;BA8)=0,1,0),0)</f>
        <v>0</v>
      </c>
      <c r="CG8" s="23" t="n">
        <f aca="false">IF(AND(BB8=1,G8="warm-intro"),1,0)</f>
        <v>0</v>
      </c>
      <c r="CH8" s="23" t="n">
        <f aca="false">IF(CG8=1,IF(COUNTIFS($AZ$2:$AZ$201,AZ8,$CG$2:$CG$201,1,$H$2:$H$201,"&lt;"&amp;H8)+COUNTIFS($AZ$2:$AZ$201,AZ8,$CG$2:$CG$201,1,$H$2:$H$201,H8,$BA$2:$BA$201,"&lt;"&amp;BA8)=0,1,0),0)</f>
        <v>0</v>
      </c>
      <c r="CI8" s="23" t="n">
        <f aca="false">IF(AND(BB8=1,Q8="Y"),1,0)</f>
        <v>1</v>
      </c>
      <c r="CJ8" s="23" t="n">
        <f aca="false">IF(CI8=1,IF(COUNTIFS($AZ$2:$AZ$201,AZ8,$CI$2:$CI$201,1,$H$2:$H$201,"&lt;"&amp;H8)+COUNTIFS($AZ$2:$AZ$201,AZ8,$CI$2:$CI$201,1,$H$2:$H$201,H8,$BA$2:$BA$201,"&lt;"&amp;BA8)=0,1,0),0)</f>
        <v>1</v>
      </c>
      <c r="CK8" s="23" t="n">
        <f aca="false">IF(AND(BB8=1,AF8="Y"),1,0)</f>
        <v>0</v>
      </c>
      <c r="CL8" s="23" t="n">
        <f aca="false">IF(CK8=1,IF(COUNTIFS($AZ$2:$AZ$201,AZ8,$CK$2:$CK$201,1,$H$2:$H$201,"&lt;"&amp;H8)+COUNTIFS($AZ$2:$AZ$201,AZ8,$CK$2:$CK$201,1,$H$2:$H$201,H8,$BA$2:$BA$201,"&lt;"&amp;BA8)=0,1,0),0)</f>
        <v>0</v>
      </c>
      <c r="CM8" s="23" t="n">
        <f aca="false">IF(AND(BB8=1,U8="Y"),1,0)</f>
        <v>0</v>
      </c>
      <c r="CN8" s="23" t="n">
        <f aca="false">IF(CM8=1,IF(COUNTIFS($AZ$2:$AZ$201,AZ8,$CM$2:$CM$201,1,$H$2:$H$201,"&lt;"&amp;H8)+COUNTIFS($AZ$2:$AZ$201,AZ8,$CM$2:$CM$201,1,$H$2:$H$201,H8,$BA$2:$BA$201,"&lt;"&amp;BA8)=0,1,0),0)</f>
        <v>0</v>
      </c>
      <c r="CO8" s="23" t="n">
        <f aca="false">IF(AND(BB8=1,L8="Y"),1,0)</f>
        <v>0</v>
      </c>
      <c r="CP8" s="23" t="n">
        <f aca="false">IF(CO8=1,IF(COUNTIFS($AZ$2:$AZ$201,AZ8,$CO$2:$CO$201,1,$H$2:$H$201,"&lt;"&amp;H8)+COUNTIFS($AZ$2:$AZ$201,AZ8,$CO$2:$CO$201,1,$H$2:$H$201,H8,$BA$2:$BA$201,"&lt;"&amp;BA8)=0,1,0),0)</f>
        <v>0</v>
      </c>
      <c r="CQ8" s="23" t="n">
        <f aca="false">IF(AND(BB8=1,ISNUMBER(O8)),1,0)</f>
        <v>1</v>
      </c>
      <c r="CR8" s="23" t="n">
        <f aca="false">IF(CQ8=1,IF(COUNTIFS($AZ$2:$AZ$201,AZ8,$CQ$2:$CQ$201,1,$H$2:$H$201,"&lt;"&amp;H8)+COUNTIFS($AZ$2:$AZ$201,AZ8,$CQ$2:$CQ$201,1,$H$2:$H$201,H8,$BA$2:$BA$201,"&lt;"&amp;BA8)=0,1,0),0)</f>
        <v>1</v>
      </c>
      <c r="CS8" s="23" t="n">
        <f aca="false">IF(AND(CR8=1,INT(N(H8))&lt;=Config!$B$5),O8,"")</f>
        <v>200</v>
      </c>
      <c r="CT8" s="23" t="str">
        <f aca="false">IF(AND(BB8=1,INT(N(H8))&lt;=Config!$B$5),AG8&amp;"","")</f>
        <v>facilities</v>
      </c>
      <c r="CU8" s="23" t="n">
        <f aca="false">IF(AND(BB8=1,AU8="Y"),1,0)</f>
        <v>0</v>
      </c>
      <c r="CV8" s="23" t="n">
        <f aca="false">IF(CU8=1,IF(COUNTIFS($AZ$2:$AZ$201,AZ8,$CU$2:$CU$201,1,$H$2:$H$201,"&lt;"&amp;H8)+COUNTIFS($AZ$2:$AZ$201,AZ8,$CU$2:$CU$201,1,$H$2:$H$201,H8,$BA$2:$BA$201,"&lt;"&amp;BA8)=0,1,0),0)</f>
        <v>0</v>
      </c>
      <c r="CW8" s="23" t="n">
        <f aca="false">IF(BB8=1,IFERROR(MATCH($A8,INDEX(Clay_Offices!$A$2:$FZ$601,0,Sync!$C$5),0),""),"")</f>
        <v>7</v>
      </c>
      <c r="CX8" s="23" t="str">
        <f aca="false">IF(CW8="","",IFERROR(INDEX(Clay_Offices!$A$2:$FZ$601,CW8,Sync!$C$7)&amp;"",""))</f>
        <v>call_done</v>
      </c>
      <c r="CY8" s="23" t="n">
        <f aca="false">IF(CX8="","",IFERROR(INDEX(Lists!$K$2:$K$15,MATCH(CX8,Lists!$J$2:$J$15,0)),""))</f>
        <v>6</v>
      </c>
      <c r="CZ8" s="23" t="str">
        <f aca="false">IF(CW8="","",IFERROR(INDEX(Clay_Offices!$A$2:$FZ$601,CW8,Sync!$C$17)&amp;"",""))</f>
        <v>N</v>
      </c>
      <c r="DA8" s="35" t="n">
        <f aca="false">IF(CW8="","",IFERROR(N(INDEX(Clay_Offices!$A$2:$FZ$601,CW8,Sync!$C$16)),0))</f>
        <v>46331</v>
      </c>
      <c r="DB8" s="23" t="n">
        <f aca="false">IF(AND(BB8=1,OR(AR8="Y",AR8="N",AR8="maybe")),1,0)</f>
        <v>1</v>
      </c>
      <c r="DC8" s="23" t="n">
        <f aca="false">IF(AND(DB8=1),IF(COUNTIFS($A$2:$A$201,$A8,$DB$2:$DB$201,1,$H$2:$H$201,"&gt;"&amp;H8)+COUNTIFS($A$2:$A$201,$A8,$DB$2:$DB$201,1,$H$2:$H$201,H8,$BA$2:$BA$201,"&gt;"&amp;BA8)=0,1,0),0)</f>
        <v>1</v>
      </c>
      <c r="DD8" s="23" t="n">
        <f aca="false">IF(AND(DB8=1,INT(N(H8))&lt;=Config!$B$6),IF(COUNTIFS($AZ$2:$AZ$201,AZ8,$DB$2:$DB$201,1,$H$2:$H$201,"&gt;"&amp;H8,$H$2:$H$201,"&lt;"&amp;(Config!$B$6+1))+COUNTIFS($AZ$2:$AZ$201,AZ8,$DB$2:$DB$201,1,$H$2:$H$201,H8,$BA$2:$BA$201,"&gt;"&amp;BA8)=0,1,0),0)</f>
        <v>0</v>
      </c>
      <c r="DE8" s="23" t="n">
        <f aca="false">IF(AND(DB8=1,INT(N(H8))&lt;=Config!$B$7),IF(COUNTIFS($AZ$2:$AZ$201,AZ8,$DB$2:$DB$201,1,$H$2:$H$201,"&gt;"&amp;H8,$H$2:$H$201,"&lt;"&amp;(Config!$B$7+1))+COUNTIFS($AZ$2:$AZ$201,AZ8,$DB$2:$DB$201,1,$H$2:$H$201,H8,$BA$2:$BA$201,"&gt;"&amp;BA8)=0,1,0),0)</f>
        <v>1</v>
      </c>
      <c r="DF8" s="23" t="n">
        <f aca="false">IF(AND(DB8=1,INT(N(H8))&lt;=Config!$B$8),IF(COUNTIFS($AZ$2:$AZ$201,AZ8,$DB$2:$DB$201,1,$H$2:$H$201,"&gt;"&amp;H8,$H$2:$H$201,"&lt;"&amp;(Config!$B$8+1))+COUNTIFS($AZ$2:$AZ$201,AZ8,$DB$2:$DB$201,1,$H$2:$H$201,H8,$BA$2:$BA$201,"&gt;"&amp;BA8)=0,1,0),0)</f>
        <v>1</v>
      </c>
      <c r="DG8" s="23" t="n">
        <f aca="false">IF(AND(DB8=1,INT(N(H8))&lt;=Config!$B$5),IF(COUNTIFS($AZ$2:$AZ$201,AZ8,$DB$2:$DB$201,1,$H$2:$H$201,"&gt;"&amp;H8,$H$2:$H$201,"&lt;"&amp;(Config!$B$5+1))+COUNTIFS($AZ$2:$AZ$201,AZ8,$DB$2:$DB$201,1,$H$2:$H$201,H8,$BA$2:$BA$201,"&gt;"&amp;BA8)=0,1,0),0)</f>
        <v>1</v>
      </c>
      <c r="DH8" s="23" t="n">
        <f aca="false">IF(BB8=1,IF(COUNTIFS($AZ$2:$AZ$201,AZ8,$DD$2:$DD$201,1,$AR$2:$AR$201,"Y")&gt;0,1,0),0)</f>
        <v>0</v>
      </c>
      <c r="DI8" s="23" t="n">
        <f aca="false">IF(BB8=1,IF(COUNTIFS($AZ$2:$AZ$201,AZ8,$DE$2:$DE$201,1,$AR$2:$AR$201,"Y")&gt;0,1,0),0)</f>
        <v>0</v>
      </c>
      <c r="DJ8" s="23" t="n">
        <f aca="false">IF(BB8=1,IF(COUNTIFS($AZ$2:$AZ$201,AZ8,$DF$2:$DF$201,1,$AR$2:$AR$201,"Y")&gt;0,1,0),0)</f>
        <v>0</v>
      </c>
      <c r="DK8" s="23" t="n">
        <f aca="false">IF(BB8=1,IF(COUNTIFS($AZ$2:$AZ$201,AZ8,$DG$2:$DG$201,1,$AR$2:$AR$201,"Y")&gt;0,1,0),0)</f>
        <v>0</v>
      </c>
      <c r="DL8" s="23" t="n">
        <f aca="false">IF(AND(BF8=1,INT(N(H8))&lt;=Config!$B$6,DH8=1,EI8=0),1,0)</f>
        <v>0</v>
      </c>
      <c r="DM8" s="23" t="n">
        <f aca="false">IF(AND(BF8=1,INT(N(H8))&lt;=Config!$B$7,DI8=1,EI8=0),1,0)</f>
        <v>0</v>
      </c>
      <c r="DN8" s="23" t="n">
        <f aca="false">IF(AND(BF8=1,INT(N(H8))&lt;=Config!$B$8,DJ8=1,EI8=0),1,0)</f>
        <v>0</v>
      </c>
      <c r="DO8" s="23" t="n">
        <f aca="false">IF(AND(BF8=1,INT(N(H8))&lt;=Config!$B$5,DK8=1,EI8=0),1,0)</f>
        <v>0</v>
      </c>
      <c r="DP8" s="23" t="n">
        <f aca="false">IF(AND(CC8=1,INT(N(H8))&lt;=Config!$B$6,DH8=1,EI8=0),1,0)</f>
        <v>0</v>
      </c>
      <c r="DQ8" s="23" t="n">
        <f aca="false">IF(AND(CC8=1,INT(N(H8))&lt;=Config!$B$7,DI8=1,EI8=0),1,0)</f>
        <v>0</v>
      </c>
      <c r="DR8" s="23" t="n">
        <f aca="false">IF(AND(CC8=1,INT(N(H8))&lt;=Config!$B$8,DJ8=1,EI8=0),1,0)</f>
        <v>0</v>
      </c>
      <c r="DS8" s="23" t="n">
        <f aca="false">IF(AND(CC8=1,INT(N(H8))&lt;=Config!$B$5,DK8=1,EI8=0),1,0)</f>
        <v>0</v>
      </c>
      <c r="DT8" s="23" t="n">
        <f aca="false">IF(AND(CC8=1,INT(N(H8))&lt;=Config!$B$6,DH8=0),1,0)</f>
        <v>0</v>
      </c>
      <c r="DU8" s="23" t="n">
        <f aca="false">IF(AND(CC8=1,INT(N(H8))&lt;=Config!$B$7,DI8=0),1,0)</f>
        <v>0</v>
      </c>
      <c r="DV8" s="23" t="n">
        <f aca="false">IF(AND(CC8=1,INT(N(H8))&lt;=Config!$B$8,DJ8=0),1,0)</f>
        <v>0</v>
      </c>
      <c r="DW8" s="23" t="n">
        <f aca="false">IF(AND(CC8=1,INT(N(H8))&lt;=Config!$B$5,DK8=0),1,0)</f>
        <v>0</v>
      </c>
      <c r="DX8" s="23" t="n">
        <f aca="false">IF(TRIM($A8)="",0,ISTEXT(M8)+ISTEXT(O8)+ISTEXT(Y8)+ISTEXT(Z8)+ISTEXT(AA8)+ISTEXT(AV8))</f>
        <v>0</v>
      </c>
      <c r="DY8" s="23" t="n">
        <f aca="false">IF(BB8=1,IF(H8&lt;&gt;INT(H8),1,0),0)</f>
        <v>0</v>
      </c>
      <c r="DZ8" s="23" t="str">
        <f aca="false">IF(TRIM($A8)="","",IF(TRIM(B8)="",SUBSTITUTE(SUBSTITUTE(SUBSTITUTE(SUBSTITUTE(SUBSTITUTE(SUBSTITUTE(LOWER(TRIM($A8)),"~",""),"*",""),"?",""),"&lt;",""),"&gt;",""),"=",""),SUBSTITUTE(SUBSTITUTE(SUBSTITUTE(SUBSTITUTE(SUBSTITUTE(SUBSTITUTE(LOWER(TRIM(B8)),"~",""),"*",""),"?",""),"&lt;",""),"&gt;",""),"=","")))</f>
        <v>sample office 07</v>
      </c>
      <c r="EA8" s="23" t="str">
        <f aca="false">IF(CW8="","",IFERROR(IF(LEFT(LOWER(TRIM(INDEX(Clay_Offices!$A$2:$FZ$601,CW8,Sync!$C$19)&amp;"")),4)="grp-",SUBSTITUTE(SUBSTITUTE(SUBSTITUTE(SUBSTITUTE(SUBSTITUTE(SUBSTITUTE(LOWER(TRIM(INDEX(Clay_Offices!$A$2:$FZ$601,CW8,Sync!$C$19)&amp;"")),"~",""),"*",""),"?",""),"&lt;",""),"&gt;",""),"=",""),""),""))</f>
        <v/>
      </c>
      <c r="EB8" s="23" t="str">
        <f aca="false">IF(EA8&lt;&gt;"",DZ8,"")</f>
        <v/>
      </c>
      <c r="EC8" s="23" t="str">
        <f aca="false">IF(BC8=1,AZ8,"")</f>
        <v>sample office 07</v>
      </c>
      <c r="ED8" s="23" t="str">
        <f aca="false">IF(TRIM($A8)="","",IFERROR(INDEX($A$2:$A$201,MATCH(AZ8,$EC$2:$EC$201,0))&amp;"",$A8&amp;""))</f>
        <v>SAMPLE-O-007</v>
      </c>
      <c r="EE8" s="23" t="n">
        <f aca="false">IF(BB8=1,IF(COUNTIFS($A$2:$A$201,$A8,$BB$2:$BB$201,1,$H$2:$H$201,"&lt;"&amp;H8)+COUNTIFS($A$2:$A$201,$A8,$BB$2:$BB$201,1,$H$2:$H$201,H8,$BA$2:$BA$201,"&lt;"&amp;BA8)=0,1,0),0)</f>
        <v>1</v>
      </c>
      <c r="EF8" s="23" t="n">
        <f aca="false">IF(BC8=1,IF(COUNTIFS($AZ$2:$AZ$201,AZ8,$EE$2:$EE$201,1)&gt;1,1,0),0)</f>
        <v>0</v>
      </c>
      <c r="EG8" s="23" t="n">
        <f aca="false">IF(AND(CQ8=1),IF(COUNTIFS($AZ$2:$AZ$201,AZ8,$CQ$2:$CQ$201,1,$H$2:$H$201,"&gt;"&amp;H8)+COUNTIFS($AZ$2:$AZ$201,AZ8,$CQ$2:$CQ$201,1,$H$2:$H$201,H8,$BA$2:$BA$201,"&gt;"&amp;BA8)=0,1,0),0)</f>
        <v>1</v>
      </c>
      <c r="EH8" s="23" t="n">
        <f aca="false">IF(BB8=1,IF(COUNTIFS($AZ$2:$AZ$201,AZ8,$EG$2:$EG$201,1)=0,"",SUMIFS($O$2:$O$201,$AZ$2:$AZ$201,AZ8,$EG$2:$EG$201,1)),"")</f>
        <v>200</v>
      </c>
      <c r="EI8" s="23" t="n">
        <f aca="false">IF(AND(ISNUMBER(EH8),OR(N(EH8)&lt;Config!$B$31,N(EH8)&gt;Config!$B$33)),1,0)</f>
        <v>0</v>
      </c>
      <c r="EJ8" s="23" t="n">
        <f aca="false">IF(AND(ISNUMBER(EH8),N(EH8)&gt;=Config!$B$31,N(EH8)&lt;Config!$B$32),1,0)</f>
        <v>0</v>
      </c>
      <c r="EK8" s="23" t="n">
        <f aca="false">IF(AND(BF8=1,INT(N(H8))&lt;=Config!$B$6,DH8=1,EI8=1),1,0)</f>
        <v>0</v>
      </c>
      <c r="EL8" s="23" t="n">
        <f aca="false">IF(AND(BF8=1,INT(N(H8))&lt;=Config!$B$7,DI8=1,EI8=1),1,0)</f>
        <v>0</v>
      </c>
      <c r="EM8" s="23" t="n">
        <f aca="false">IF(AND(BF8=1,INT(N(H8))&lt;=Config!$B$8,DJ8=1,EI8=1),1,0)</f>
        <v>0</v>
      </c>
      <c r="EN8" s="23" t="n">
        <f aca="false">IF(AND(BF8=1,INT(N(H8))&lt;=Config!$B$5,DK8=1,EI8=1),1,0)</f>
        <v>0</v>
      </c>
      <c r="EO8" s="23" t="n">
        <f aca="false">IF(AND(DL8=1,EJ8=1),1,0)</f>
        <v>0</v>
      </c>
      <c r="EP8" s="23" t="n">
        <f aca="false">IF(AND(DM8=1,EJ8=1),1,0)</f>
        <v>0</v>
      </c>
      <c r="EQ8" s="23" t="n">
        <f aca="false">IF(AND(DN8=1,EJ8=1),1,0)</f>
        <v>0</v>
      </c>
      <c r="ER8" s="23" t="n">
        <f aca="false">IF(AND(DO8=1,EJ8=1),1,0)</f>
        <v>0</v>
      </c>
    </row>
    <row r="9" customFormat="false" ht="15" hidden="false" customHeight="false" outlineLevel="0" collapsed="false">
      <c r="A9" s="0" t="s">
        <v>540</v>
      </c>
      <c r="B9" s="0" t="s">
        <v>541</v>
      </c>
      <c r="D9" s="0" t="s">
        <v>542</v>
      </c>
      <c r="E9" s="0" t="s">
        <v>479</v>
      </c>
      <c r="F9" s="0" t="s">
        <v>452</v>
      </c>
      <c r="G9" s="32" t="s">
        <v>453</v>
      </c>
      <c r="H9" s="33" t="n">
        <v>46335</v>
      </c>
      <c r="I9" s="32" t="s">
        <v>482</v>
      </c>
      <c r="J9" s="32" t="s">
        <v>543</v>
      </c>
      <c r="K9" s="32" t="s">
        <v>456</v>
      </c>
      <c r="L9" s="32" t="s">
        <v>457</v>
      </c>
      <c r="M9" s="0" t="n">
        <v>600</v>
      </c>
      <c r="N9" s="32" t="s">
        <v>544</v>
      </c>
      <c r="O9" s="0" t="n">
        <v>70</v>
      </c>
      <c r="P9" s="32" t="s">
        <v>545</v>
      </c>
      <c r="Q9" s="32" t="s">
        <v>457</v>
      </c>
      <c r="R9" s="32" t="s">
        <v>461</v>
      </c>
      <c r="S9" s="32" t="s">
        <v>462</v>
      </c>
      <c r="T9" s="32" t="s">
        <v>463</v>
      </c>
      <c r="U9" s="32" t="s">
        <v>460</v>
      </c>
      <c r="V9" s="32" t="s">
        <v>464</v>
      </c>
      <c r="W9" s="32" t="s">
        <v>460</v>
      </c>
      <c r="X9" s="32" t="s">
        <v>546</v>
      </c>
      <c r="Y9" s="0" t="n">
        <v>0</v>
      </c>
      <c r="Z9" s="0" t="n">
        <v>0</v>
      </c>
      <c r="AA9" s="0" t="n">
        <v>0</v>
      </c>
      <c r="AC9" s="32" t="s">
        <v>460</v>
      </c>
      <c r="AD9" s="32" t="s">
        <v>547</v>
      </c>
      <c r="AE9" s="32" t="s">
        <v>451</v>
      </c>
      <c r="AF9" s="32" t="s">
        <v>460</v>
      </c>
      <c r="AH9" s="32" t="s">
        <v>548</v>
      </c>
      <c r="AI9" s="32" t="s">
        <v>469</v>
      </c>
      <c r="AJ9" s="32" t="s">
        <v>511</v>
      </c>
      <c r="AK9" s="32" t="s">
        <v>471</v>
      </c>
      <c r="AL9" s="32" t="s">
        <v>488</v>
      </c>
      <c r="AM9" s="32" t="s">
        <v>473</v>
      </c>
      <c r="AN9" s="32" t="s">
        <v>110</v>
      </c>
      <c r="AO9" s="0" t="s">
        <v>98</v>
      </c>
      <c r="AQ9" s="32" t="s">
        <v>549</v>
      </c>
      <c r="AR9" s="32" t="s">
        <v>460</v>
      </c>
      <c r="AS9" s="32" t="s">
        <v>475</v>
      </c>
      <c r="AT9" s="32" t="s">
        <v>460</v>
      </c>
      <c r="AU9" s="32" t="s">
        <v>460</v>
      </c>
      <c r="AV9" s="0" t="n">
        <v>10</v>
      </c>
      <c r="AW9" s="32" t="s">
        <v>460</v>
      </c>
      <c r="AY9" s="34" t="str">
        <f aca="false">IF(TRIM($A9)="","",IF(AND(LEFT($A9,6)="SAMPLE",Config!$B$19&lt;&gt;"Y"),"",IF(NOT(ISNUMBER(H9)),"call_date is blank or not a date",IF(Sync!$C$5="","Clay paste is empty or has no row_id column: paste the Clay export on Clay_Offices",IF(CW9="","row_id not found in the Clay paste: add the Clay row or fix the row_id",IF(AND(ISNUMBER(CY9),CY9&gt;=1,CY9&lt;=5),"Clay status is "&amp;CX9&amp;": set call_done or later",IF(AND(BD9=1,CZ9&lt;&gt;BZ9),"Clay yes_in_principle should be "&amp;BZ9,IF(AND(BD9=1,DA9&lt;&gt;H9),"Clay call_date should be "&amp;TEXT(H9,"yyyy-mm-dd"),""))))))))</f>
        <v/>
      </c>
      <c r="AZ9" s="23" t="str">
        <f aca="false">IF(TRIM($A9)="","",IF(TRIM(C9)&lt;&gt;"",SUBSTITUTE(SUBSTITUTE(SUBSTITUTE(SUBSTITUTE(SUBSTITUTE(SUBSTITUTE(LOWER(TRIM(C9)),"~",""),"*",""),"?",""),"&lt;",""),"&gt;",""),"=",""),IF(EA9&lt;&gt;"",EA9,IFERROR(INDEX($EA$2:$EA$201,MATCH(DZ9,$EB$2:$EB$201,0)),DZ9))))</f>
        <v>sample office 08</v>
      </c>
      <c r="BA9" s="23" t="n">
        <f aca="false">ROW()</f>
        <v>9</v>
      </c>
      <c r="BB9" s="23" t="n">
        <f aca="false">IF(AND(TRIM($A9)&lt;&gt;"",ISNUMBER(H9)),IF(AND(LEFT($A9,6)="SAMPLE",Config!$B$19&lt;&gt;"Y"),0,1),0)</f>
        <v>1</v>
      </c>
      <c r="BC9" s="23" t="n">
        <f aca="false">IF(BB9=1,IF(COUNTIFS($AZ$2:$AZ$201,AZ9,$BB$2:$BB$201,1,$H$2:$H$201,"&lt;"&amp;H9)+COUNTIFS($AZ$2:$AZ$201,AZ9,$BB$2:$BB$201,1,$H$2:$H$201,H9,$BA$2:$BA$201,"&lt;"&amp;BA9)=0,1,0),0)</f>
        <v>1</v>
      </c>
      <c r="BD9" s="23" t="n">
        <f aca="false">IF(BB9=1,IF(COUNTIFS($A$2:$A$201,$A9,$BB$2:$BB$201,1,$H$2:$H$201,"&gt;"&amp;H9)+COUNTIFS($A$2:$A$201,$A9,$BB$2:$BB$201,1,$H$2:$H$201,H9,$BA$2:$BA$201,"&gt;"&amp;BA9)=0,1,0),0)</f>
        <v>1</v>
      </c>
      <c r="BE9" s="23" t="n">
        <f aca="false">IF(AND(BB9=1,AR9="Y",AC9="Y",TRIM(AH9)&lt;&gt;""),1,0)</f>
        <v>1</v>
      </c>
      <c r="BF9" s="23" t="n">
        <f aca="false">IF(BE9=1,IF(COUNTIFS($AZ$2:$AZ$201,AZ9,$BE$2:$BE$201,1,$H$2:$H$201,"&lt;"&amp;H9)+COUNTIFS($AZ$2:$AZ$201,AZ9,$BE$2:$BE$201,1,$H$2:$H$201,H9,$BA$2:$BA$201,"&lt;"&amp;BA9)=0,1,0),0)</f>
        <v>1</v>
      </c>
      <c r="BG9" s="23" t="n">
        <f aca="false">IF(AND(BB9=1,AR9="Y",BE9=0),1,0)</f>
        <v>0</v>
      </c>
      <c r="BH9" s="23" t="n">
        <f aca="false">IF(AND(BB9=1,ISNUMBER(Y9)),1,0)</f>
        <v>1</v>
      </c>
      <c r="BI9" s="23" t="n">
        <f aca="false">IF(BH9=1,IF(COUNTIFS($AZ$2:$AZ$201,AZ9,$BH$2:$BH$201,1,$H$2:$H$201,"&lt;"&amp;H9)+COUNTIFS($AZ$2:$AZ$201,AZ9,$BH$2:$BH$201,1,$H$2:$H$201,H9,$BA$2:$BA$201,"&lt;"&amp;BA9)=0,1,0),0)</f>
        <v>1</v>
      </c>
      <c r="BJ9" s="23" t="str">
        <f aca="false">IF(AND(BI9=1,INT(N(H9))&lt;=Config!$B$6),Y9,"")</f>
        <v/>
      </c>
      <c r="BK9" s="23" t="str">
        <f aca="false">IF(AND(BI9=1,INT(N(H9))&lt;=Config!$B$7),Y9,"")</f>
        <v/>
      </c>
      <c r="BL9" s="23" t="n">
        <f aca="false">IF(AND(BI9=1,INT(N(H9))&lt;=Config!$B$8),Y9,"")</f>
        <v>0</v>
      </c>
      <c r="BM9" s="23" t="n">
        <f aca="false">IF(AND(BI9=1,INT(N(H9))&lt;=Config!$B$5),Y9,"")</f>
        <v>0</v>
      </c>
      <c r="BN9" s="23" t="n">
        <f aca="false">IF(CD9=1,IF(COUNTIFS($AZ$2:$AZ$201,AZ9,$CD$2:$CD$201,1,$H$2:$H$201,"&lt;"&amp;H9)+COUNTIFS($AZ$2:$AZ$201,AZ9,$CD$2:$CD$201,1,$H$2:$H$201,H9,$BA$2:$BA$201,"&lt;"&amp;BA9)=0,1,0),0)</f>
        <v>0</v>
      </c>
      <c r="BO9" s="23" t="n">
        <f aca="false">IF(AND(BB9=1,ISNUMBER(M9)),1,0)</f>
        <v>1</v>
      </c>
      <c r="BP9" s="23" t="n">
        <f aca="false">IF(BO9=1,IF(COUNTIFS($AZ$2:$AZ$201,AZ9,$BO$2:$BO$201,1,$H$2:$H$201,"&lt;"&amp;H9)+COUNTIFS($AZ$2:$AZ$201,AZ9,$BO$2:$BO$201,1,$H$2:$H$201,H9,$BA$2:$BA$201,"&lt;"&amp;BA9)=0,1,0),0)</f>
        <v>1</v>
      </c>
      <c r="BQ9" s="23" t="n">
        <f aca="false">IF(AND(BP9=1,INT(N(H9))&lt;=Config!$B$5),M9,"")</f>
        <v>600</v>
      </c>
      <c r="BR9" s="23" t="n">
        <f aca="false">IF(AND(BB9=1,OR(TRIM(X9)&lt;&gt;"",ISNUMBER(Y9))),1,0)</f>
        <v>1</v>
      </c>
      <c r="BS9" s="23" t="n">
        <f aca="false">IF(BR9=1,IF(COUNTIFS($AZ$2:$AZ$201,AZ9,$BR$2:$BR$201,1,$H$2:$H$201,"&lt;"&amp;H9)+COUNTIFS($AZ$2:$AZ$201,AZ9,$BR$2:$BR$201,1,$H$2:$H$201,H9,$BA$2:$BA$201,"&lt;"&amp;BA9)=0,1,0),0)</f>
        <v>1</v>
      </c>
      <c r="BT9" s="23" t="str">
        <f aca="false">IF(BS9=1,AZ9,"")</f>
        <v>sample office 08</v>
      </c>
      <c r="BU9" s="23" t="n">
        <f aca="false">IF(AND(BB9=1,W9="Y",TRIM(X9)=""),1,0)</f>
        <v>0</v>
      </c>
      <c r="BV9" s="23" t="str">
        <f aca="false">IF(BB9=1,AN9&amp;"","")</f>
        <v>allergy_policy</v>
      </c>
      <c r="BW9" s="23" t="str">
        <f aca="false">IF(BB9=1,AO9&amp;"","")</f>
        <v>needs_approval</v>
      </c>
      <c r="BX9" s="23" t="str">
        <f aca="false">IF(BB9=1,AP9&amp;"","")</f>
        <v/>
      </c>
      <c r="BY9" s="23" t="n">
        <f aca="false">IF(AND(BB9=1,ISNUMBER(AV9),INT(N(H9))&lt;=Config!$B$5),AV9,"")</f>
        <v>10</v>
      </c>
      <c r="BZ9" s="23" t="str">
        <f aca="false">IF(BB9=1,IF(COUNTIFS($A$2:$A$201,$A9,$DC$2:$DC$201,1,$AR$2:$AR$201,"Y")&gt;0,"Y","N"),"")</f>
        <v>Y</v>
      </c>
      <c r="CA9" s="23" t="n">
        <f aca="false">IF(AND(BB9=1,AR9="maybe"),1,0)</f>
        <v>0</v>
      </c>
      <c r="CB9" s="23" t="n">
        <f aca="false">IF(CA9=1,IF(COUNTIFS($AZ$2:$AZ$201,AZ9,$CA$2:$CA$201,1,$H$2:$H$201,"&lt;"&amp;H9)+COUNTIFS($AZ$2:$AZ$201,AZ9,$CA$2:$CA$201,1,$H$2:$H$201,H9,$BA$2:$BA$201,"&lt;"&amp;BA9)=0,1,0),0)</f>
        <v>0</v>
      </c>
      <c r="CC9" s="23" t="n">
        <f aca="false">IF(AND(BB9=1,AR9="Y"),IF(COUNTIFS($AZ$2:$AZ$201,AZ9,$AR$2:$AR$201,"Y",$BB$2:$BB$201,1,$H$2:$H$201,"&lt;"&amp;H9)+COUNTIFS($AZ$2:$AZ$201,AZ9,$AR$2:$AR$201,"Y",$BB$2:$BB$201,1,$H$2:$H$201,H9,$BA$2:$BA$201,"&lt;"&amp;BA9)=0,1,0),0)</f>
        <v>1</v>
      </c>
      <c r="CD9" s="23" t="n">
        <f aca="false">IF(AND(BH9=1,N(Y9)&gt;=Config!$B$15),1,0)</f>
        <v>0</v>
      </c>
      <c r="CE9" s="23" t="n">
        <f aca="false">IF(AND(BB9=1,AT9="Y"),1,0)</f>
        <v>1</v>
      </c>
      <c r="CF9" s="23" t="n">
        <f aca="false">IF(CE9=1,IF(COUNTIFS($AZ$2:$AZ$201,AZ9,$CE$2:$CE$201,1,$H$2:$H$201,"&lt;"&amp;H9)+COUNTIFS($AZ$2:$AZ$201,AZ9,$CE$2:$CE$201,1,$H$2:$H$201,H9,$BA$2:$BA$201,"&lt;"&amp;BA9)=0,1,0),0)</f>
        <v>1</v>
      </c>
      <c r="CG9" s="23" t="n">
        <f aca="false">IF(AND(BB9=1,G9="warm-intro"),1,0)</f>
        <v>1</v>
      </c>
      <c r="CH9" s="23" t="n">
        <f aca="false">IF(CG9=1,IF(COUNTIFS($AZ$2:$AZ$201,AZ9,$CG$2:$CG$201,1,$H$2:$H$201,"&lt;"&amp;H9)+COUNTIFS($AZ$2:$AZ$201,AZ9,$CG$2:$CG$201,1,$H$2:$H$201,H9,$BA$2:$BA$201,"&lt;"&amp;BA9)=0,1,0),0)</f>
        <v>1</v>
      </c>
      <c r="CI9" s="23" t="n">
        <f aca="false">IF(AND(BB9=1,Q9="Y"),1,0)</f>
        <v>0</v>
      </c>
      <c r="CJ9" s="23" t="n">
        <f aca="false">IF(CI9=1,IF(COUNTIFS($AZ$2:$AZ$201,AZ9,$CI$2:$CI$201,1,$H$2:$H$201,"&lt;"&amp;H9)+COUNTIFS($AZ$2:$AZ$201,AZ9,$CI$2:$CI$201,1,$H$2:$H$201,H9,$BA$2:$BA$201,"&lt;"&amp;BA9)=0,1,0),0)</f>
        <v>0</v>
      </c>
      <c r="CK9" s="23" t="n">
        <f aca="false">IF(AND(BB9=1,AF9="Y"),1,0)</f>
        <v>1</v>
      </c>
      <c r="CL9" s="23" t="n">
        <f aca="false">IF(CK9=1,IF(COUNTIFS($AZ$2:$AZ$201,AZ9,$CK$2:$CK$201,1,$H$2:$H$201,"&lt;"&amp;H9)+COUNTIFS($AZ$2:$AZ$201,AZ9,$CK$2:$CK$201,1,$H$2:$H$201,H9,$BA$2:$BA$201,"&lt;"&amp;BA9)=0,1,0),0)</f>
        <v>1</v>
      </c>
      <c r="CM9" s="23" t="n">
        <f aca="false">IF(AND(BB9=1,U9="Y"),1,0)</f>
        <v>1</v>
      </c>
      <c r="CN9" s="23" t="n">
        <f aca="false">IF(CM9=1,IF(COUNTIFS($AZ$2:$AZ$201,AZ9,$CM$2:$CM$201,1,$H$2:$H$201,"&lt;"&amp;H9)+COUNTIFS($AZ$2:$AZ$201,AZ9,$CM$2:$CM$201,1,$H$2:$H$201,H9,$BA$2:$BA$201,"&lt;"&amp;BA9)=0,1,0),0)</f>
        <v>1</v>
      </c>
      <c r="CO9" s="23" t="n">
        <f aca="false">IF(AND(BB9=1,L9="Y"),1,0)</f>
        <v>0</v>
      </c>
      <c r="CP9" s="23" t="n">
        <f aca="false">IF(CO9=1,IF(COUNTIFS($AZ$2:$AZ$201,AZ9,$CO$2:$CO$201,1,$H$2:$H$201,"&lt;"&amp;H9)+COUNTIFS($AZ$2:$AZ$201,AZ9,$CO$2:$CO$201,1,$H$2:$H$201,H9,$BA$2:$BA$201,"&lt;"&amp;BA9)=0,1,0),0)</f>
        <v>0</v>
      </c>
      <c r="CQ9" s="23" t="n">
        <f aca="false">IF(AND(BB9=1,ISNUMBER(O9)),1,0)</f>
        <v>1</v>
      </c>
      <c r="CR9" s="23" t="n">
        <f aca="false">IF(CQ9=1,IF(COUNTIFS($AZ$2:$AZ$201,AZ9,$CQ$2:$CQ$201,1,$H$2:$H$201,"&lt;"&amp;H9)+COUNTIFS($AZ$2:$AZ$201,AZ9,$CQ$2:$CQ$201,1,$H$2:$H$201,H9,$BA$2:$BA$201,"&lt;"&amp;BA9)=0,1,0),0)</f>
        <v>1</v>
      </c>
      <c r="CS9" s="23" t="n">
        <f aca="false">IF(AND(CR9=1,INT(N(H9))&lt;=Config!$B$5),O9,"")</f>
        <v>70</v>
      </c>
      <c r="CT9" s="23" t="str">
        <f aca="false">IF(AND(BB9=1,INT(N(H9))&lt;=Config!$B$5),AG9&amp;"","")</f>
        <v/>
      </c>
      <c r="CU9" s="23" t="n">
        <f aca="false">IF(AND(BB9=1,AU9="Y"),1,0)</f>
        <v>1</v>
      </c>
      <c r="CV9" s="23" t="n">
        <f aca="false">IF(CU9=1,IF(COUNTIFS($AZ$2:$AZ$201,AZ9,$CU$2:$CU$201,1,$H$2:$H$201,"&lt;"&amp;H9)+COUNTIFS($AZ$2:$AZ$201,AZ9,$CU$2:$CU$201,1,$H$2:$H$201,H9,$BA$2:$BA$201,"&lt;"&amp;BA9)=0,1,0),0)</f>
        <v>1</v>
      </c>
      <c r="CW9" s="23" t="n">
        <f aca="false">IF(BB9=1,IFERROR(MATCH($A9,INDEX(Clay_Offices!$A$2:$FZ$601,0,Sync!$C$5),0),""),"")</f>
        <v>8</v>
      </c>
      <c r="CX9" s="23" t="str">
        <f aca="false">IF(CW9="","",IFERROR(INDEX(Clay_Offices!$A$2:$FZ$601,CW9,Sync!$C$7)&amp;"",""))</f>
        <v>signed</v>
      </c>
      <c r="CY9" s="23" t="n">
        <f aca="false">IF(CX9="","",IFERROR(INDEX(Lists!$K$2:$K$15,MATCH(CX9,Lists!$J$2:$J$15,0)),""))</f>
        <v>9</v>
      </c>
      <c r="CZ9" s="23" t="str">
        <f aca="false">IF(CW9="","",IFERROR(INDEX(Clay_Offices!$A$2:$FZ$601,CW9,Sync!$C$17)&amp;"",""))</f>
        <v>Y</v>
      </c>
      <c r="DA9" s="35" t="n">
        <f aca="false">IF(CW9="","",IFERROR(N(INDEX(Clay_Offices!$A$2:$FZ$601,CW9,Sync!$C$16)),0))</f>
        <v>46335</v>
      </c>
      <c r="DB9" s="23" t="n">
        <f aca="false">IF(AND(BB9=1,OR(AR9="Y",AR9="N",AR9="maybe")),1,0)</f>
        <v>1</v>
      </c>
      <c r="DC9" s="23" t="n">
        <f aca="false">IF(AND(DB9=1),IF(COUNTIFS($A$2:$A$201,$A9,$DB$2:$DB$201,1,$H$2:$H$201,"&gt;"&amp;H9)+COUNTIFS($A$2:$A$201,$A9,$DB$2:$DB$201,1,$H$2:$H$201,H9,$BA$2:$BA$201,"&gt;"&amp;BA9)=0,1,0),0)</f>
        <v>1</v>
      </c>
      <c r="DD9" s="23" t="n">
        <f aca="false">IF(AND(DB9=1,INT(N(H9))&lt;=Config!$B$6),IF(COUNTIFS($AZ$2:$AZ$201,AZ9,$DB$2:$DB$201,1,$H$2:$H$201,"&gt;"&amp;H9,$H$2:$H$201,"&lt;"&amp;(Config!$B$6+1))+COUNTIFS($AZ$2:$AZ$201,AZ9,$DB$2:$DB$201,1,$H$2:$H$201,H9,$BA$2:$BA$201,"&gt;"&amp;BA9)=0,1,0),0)</f>
        <v>0</v>
      </c>
      <c r="DE9" s="23" t="n">
        <f aca="false">IF(AND(DB9=1,INT(N(H9))&lt;=Config!$B$7),IF(COUNTIFS($AZ$2:$AZ$201,AZ9,$DB$2:$DB$201,1,$H$2:$H$201,"&gt;"&amp;H9,$H$2:$H$201,"&lt;"&amp;(Config!$B$7+1))+COUNTIFS($AZ$2:$AZ$201,AZ9,$DB$2:$DB$201,1,$H$2:$H$201,H9,$BA$2:$BA$201,"&gt;"&amp;BA9)=0,1,0),0)</f>
        <v>0</v>
      </c>
      <c r="DF9" s="23" t="n">
        <f aca="false">IF(AND(DB9=1,INT(N(H9))&lt;=Config!$B$8),IF(COUNTIFS($AZ$2:$AZ$201,AZ9,$DB$2:$DB$201,1,$H$2:$H$201,"&gt;"&amp;H9,$H$2:$H$201,"&lt;"&amp;(Config!$B$8+1))+COUNTIFS($AZ$2:$AZ$201,AZ9,$DB$2:$DB$201,1,$H$2:$H$201,H9,$BA$2:$BA$201,"&gt;"&amp;BA9)=0,1,0),0)</f>
        <v>1</v>
      </c>
      <c r="DG9" s="23" t="n">
        <f aca="false">IF(AND(DB9=1,INT(N(H9))&lt;=Config!$B$5),IF(COUNTIFS($AZ$2:$AZ$201,AZ9,$DB$2:$DB$201,1,$H$2:$H$201,"&gt;"&amp;H9,$H$2:$H$201,"&lt;"&amp;(Config!$B$5+1))+COUNTIFS($AZ$2:$AZ$201,AZ9,$DB$2:$DB$201,1,$H$2:$H$201,H9,$BA$2:$BA$201,"&gt;"&amp;BA9)=0,1,0),0)</f>
        <v>1</v>
      </c>
      <c r="DH9" s="23" t="n">
        <f aca="false">IF(BB9=1,IF(COUNTIFS($AZ$2:$AZ$201,AZ9,$DD$2:$DD$201,1,$AR$2:$AR$201,"Y")&gt;0,1,0),0)</f>
        <v>0</v>
      </c>
      <c r="DI9" s="23" t="n">
        <f aca="false">IF(BB9=1,IF(COUNTIFS($AZ$2:$AZ$201,AZ9,$DE$2:$DE$201,1,$AR$2:$AR$201,"Y")&gt;0,1,0),0)</f>
        <v>0</v>
      </c>
      <c r="DJ9" s="23" t="n">
        <f aca="false">IF(BB9=1,IF(COUNTIFS($AZ$2:$AZ$201,AZ9,$DF$2:$DF$201,1,$AR$2:$AR$201,"Y")&gt;0,1,0),0)</f>
        <v>1</v>
      </c>
      <c r="DK9" s="23" t="n">
        <f aca="false">IF(BB9=1,IF(COUNTIFS($AZ$2:$AZ$201,AZ9,$DG$2:$DG$201,1,$AR$2:$AR$201,"Y")&gt;0,1,0),0)</f>
        <v>1</v>
      </c>
      <c r="DL9" s="23" t="n">
        <f aca="false">IF(AND(BF9=1,INT(N(H9))&lt;=Config!$B$6,DH9=1,EI9=0),1,0)</f>
        <v>0</v>
      </c>
      <c r="DM9" s="23" t="n">
        <f aca="false">IF(AND(BF9=1,INT(N(H9))&lt;=Config!$B$7,DI9=1,EI9=0),1,0)</f>
        <v>0</v>
      </c>
      <c r="DN9" s="23" t="n">
        <f aca="false">IF(AND(BF9=1,INT(N(H9))&lt;=Config!$B$8,DJ9=1,EI9=0),1,0)</f>
        <v>1</v>
      </c>
      <c r="DO9" s="23" t="n">
        <f aca="false">IF(AND(BF9=1,INT(N(H9))&lt;=Config!$B$5,DK9=1,EI9=0),1,0)</f>
        <v>1</v>
      </c>
      <c r="DP9" s="23" t="n">
        <f aca="false">IF(AND(CC9=1,INT(N(H9))&lt;=Config!$B$6,DH9=1,EI9=0),1,0)</f>
        <v>0</v>
      </c>
      <c r="DQ9" s="23" t="n">
        <f aca="false">IF(AND(CC9=1,INT(N(H9))&lt;=Config!$B$7,DI9=1,EI9=0),1,0)</f>
        <v>0</v>
      </c>
      <c r="DR9" s="23" t="n">
        <f aca="false">IF(AND(CC9=1,INT(N(H9))&lt;=Config!$B$8,DJ9=1,EI9=0),1,0)</f>
        <v>1</v>
      </c>
      <c r="DS9" s="23" t="n">
        <f aca="false">IF(AND(CC9=1,INT(N(H9))&lt;=Config!$B$5,DK9=1,EI9=0),1,0)</f>
        <v>1</v>
      </c>
      <c r="DT9" s="23" t="n">
        <f aca="false">IF(AND(CC9=1,INT(N(H9))&lt;=Config!$B$6,DH9=0),1,0)</f>
        <v>0</v>
      </c>
      <c r="DU9" s="23" t="n">
        <f aca="false">IF(AND(CC9=1,INT(N(H9))&lt;=Config!$B$7,DI9=0),1,0)</f>
        <v>0</v>
      </c>
      <c r="DV9" s="23" t="n">
        <f aca="false">IF(AND(CC9=1,INT(N(H9))&lt;=Config!$B$8,DJ9=0),1,0)</f>
        <v>0</v>
      </c>
      <c r="DW9" s="23" t="n">
        <f aca="false">IF(AND(CC9=1,INT(N(H9))&lt;=Config!$B$5,DK9=0),1,0)</f>
        <v>0</v>
      </c>
      <c r="DX9" s="23" t="n">
        <f aca="false">IF(TRIM($A9)="",0,ISTEXT(M9)+ISTEXT(O9)+ISTEXT(Y9)+ISTEXT(Z9)+ISTEXT(AA9)+ISTEXT(AV9))</f>
        <v>0</v>
      </c>
      <c r="DY9" s="23" t="n">
        <f aca="false">IF(BB9=1,IF(H9&lt;&gt;INT(H9),1,0),0)</f>
        <v>0</v>
      </c>
      <c r="DZ9" s="23" t="str">
        <f aca="false">IF(TRIM($A9)="","",IF(TRIM(B9)="",SUBSTITUTE(SUBSTITUTE(SUBSTITUTE(SUBSTITUTE(SUBSTITUTE(SUBSTITUTE(LOWER(TRIM($A9)),"~",""),"*",""),"?",""),"&lt;",""),"&gt;",""),"=",""),SUBSTITUTE(SUBSTITUTE(SUBSTITUTE(SUBSTITUTE(SUBSTITUTE(SUBSTITUTE(LOWER(TRIM(B9)),"~",""),"*",""),"?",""),"&lt;",""),"&gt;",""),"=","")))</f>
        <v>sample office 08</v>
      </c>
      <c r="EA9" s="23" t="str">
        <f aca="false">IF(CW9="","",IFERROR(IF(LEFT(LOWER(TRIM(INDEX(Clay_Offices!$A$2:$FZ$601,CW9,Sync!$C$19)&amp;"")),4)="grp-",SUBSTITUTE(SUBSTITUTE(SUBSTITUTE(SUBSTITUTE(SUBSTITUTE(SUBSTITUTE(LOWER(TRIM(INDEX(Clay_Offices!$A$2:$FZ$601,CW9,Sync!$C$19)&amp;"")),"~",""),"*",""),"?",""),"&lt;",""),"&gt;",""),"=",""),""),""))</f>
        <v/>
      </c>
      <c r="EB9" s="23" t="str">
        <f aca="false">IF(EA9&lt;&gt;"",DZ9,"")</f>
        <v/>
      </c>
      <c r="EC9" s="23" t="str">
        <f aca="false">IF(BC9=1,AZ9,"")</f>
        <v>sample office 08</v>
      </c>
      <c r="ED9" s="23" t="str">
        <f aca="false">IF(TRIM($A9)="","",IFERROR(INDEX($A$2:$A$201,MATCH(AZ9,$EC$2:$EC$201,0))&amp;"",$A9&amp;""))</f>
        <v>SAMPLE-O-008</v>
      </c>
      <c r="EE9" s="23" t="n">
        <f aca="false">IF(BB9=1,IF(COUNTIFS($A$2:$A$201,$A9,$BB$2:$BB$201,1,$H$2:$H$201,"&lt;"&amp;H9)+COUNTIFS($A$2:$A$201,$A9,$BB$2:$BB$201,1,$H$2:$H$201,H9,$BA$2:$BA$201,"&lt;"&amp;BA9)=0,1,0),0)</f>
        <v>1</v>
      </c>
      <c r="EF9" s="23" t="n">
        <f aca="false">IF(BC9=1,IF(COUNTIFS($AZ$2:$AZ$201,AZ9,$EE$2:$EE$201,1)&gt;1,1,0),0)</f>
        <v>0</v>
      </c>
      <c r="EG9" s="23" t="n">
        <f aca="false">IF(AND(CQ9=1),IF(COUNTIFS($AZ$2:$AZ$201,AZ9,$CQ$2:$CQ$201,1,$H$2:$H$201,"&gt;"&amp;H9)+COUNTIFS($AZ$2:$AZ$201,AZ9,$CQ$2:$CQ$201,1,$H$2:$H$201,H9,$BA$2:$BA$201,"&gt;"&amp;BA9)=0,1,0),0)</f>
        <v>1</v>
      </c>
      <c r="EH9" s="23" t="n">
        <f aca="false">IF(BB9=1,IF(COUNTIFS($AZ$2:$AZ$201,AZ9,$EG$2:$EG$201,1)=0,"",SUMIFS($O$2:$O$201,$AZ$2:$AZ$201,AZ9,$EG$2:$EG$201,1)),"")</f>
        <v>70</v>
      </c>
      <c r="EI9" s="23" t="n">
        <f aca="false">IF(AND(ISNUMBER(EH9),OR(N(EH9)&lt;Config!$B$31,N(EH9)&gt;Config!$B$33)),1,0)</f>
        <v>0</v>
      </c>
      <c r="EJ9" s="23" t="n">
        <f aca="false">IF(AND(ISNUMBER(EH9),N(EH9)&gt;=Config!$B$31,N(EH9)&lt;Config!$B$32),1,0)</f>
        <v>0</v>
      </c>
      <c r="EK9" s="23" t="n">
        <f aca="false">IF(AND(BF9=1,INT(N(H9))&lt;=Config!$B$6,DH9=1,EI9=1),1,0)</f>
        <v>0</v>
      </c>
      <c r="EL9" s="23" t="n">
        <f aca="false">IF(AND(BF9=1,INT(N(H9))&lt;=Config!$B$7,DI9=1,EI9=1),1,0)</f>
        <v>0</v>
      </c>
      <c r="EM9" s="23" t="n">
        <f aca="false">IF(AND(BF9=1,INT(N(H9))&lt;=Config!$B$8,DJ9=1,EI9=1),1,0)</f>
        <v>0</v>
      </c>
      <c r="EN9" s="23" t="n">
        <f aca="false">IF(AND(BF9=1,INT(N(H9))&lt;=Config!$B$5,DK9=1,EI9=1),1,0)</f>
        <v>0</v>
      </c>
      <c r="EO9" s="23" t="n">
        <f aca="false">IF(AND(DL9=1,EJ9=1),1,0)</f>
        <v>0</v>
      </c>
      <c r="EP9" s="23" t="n">
        <f aca="false">IF(AND(DM9=1,EJ9=1),1,0)</f>
        <v>0</v>
      </c>
      <c r="EQ9" s="23" t="n">
        <f aca="false">IF(AND(DN9=1,EJ9=1),1,0)</f>
        <v>0</v>
      </c>
      <c r="ER9" s="23" t="n">
        <f aca="false">IF(AND(DO9=1,EJ9=1),1,0)</f>
        <v>0</v>
      </c>
    </row>
    <row r="10" customFormat="false" ht="15" hidden="false" customHeight="false" outlineLevel="0" collapsed="false">
      <c r="A10" s="0" t="s">
        <v>550</v>
      </c>
      <c r="B10" s="0" t="s">
        <v>551</v>
      </c>
      <c r="D10" s="0" t="s">
        <v>552</v>
      </c>
      <c r="E10" s="0" t="s">
        <v>451</v>
      </c>
      <c r="F10" s="0" t="s">
        <v>480</v>
      </c>
      <c r="G10" s="32" t="s">
        <v>481</v>
      </c>
      <c r="H10" s="33" t="n">
        <v>46336</v>
      </c>
      <c r="I10" s="32" t="s">
        <v>482</v>
      </c>
      <c r="J10" s="32" t="s">
        <v>553</v>
      </c>
      <c r="K10" s="32" t="s">
        <v>495</v>
      </c>
      <c r="L10" s="32" t="s">
        <v>460</v>
      </c>
      <c r="O10" s="0" t="n">
        <v>35</v>
      </c>
      <c r="P10" s="32" t="s">
        <v>554</v>
      </c>
      <c r="Q10" s="32" t="s">
        <v>460</v>
      </c>
      <c r="R10" s="32" t="s">
        <v>461</v>
      </c>
      <c r="S10" s="32" t="s">
        <v>462</v>
      </c>
      <c r="T10" s="32" t="s">
        <v>463</v>
      </c>
      <c r="U10" s="32" t="s">
        <v>497</v>
      </c>
      <c r="V10" s="32" t="s">
        <v>464</v>
      </c>
      <c r="W10" s="32" t="s">
        <v>457</v>
      </c>
      <c r="AA10" s="0" t="n">
        <v>0</v>
      </c>
      <c r="AC10" s="32" t="s">
        <v>457</v>
      </c>
      <c r="AF10" s="32" t="s">
        <v>457</v>
      </c>
      <c r="AG10" s="0" t="s">
        <v>499</v>
      </c>
      <c r="AI10" s="32" t="s">
        <v>500</v>
      </c>
      <c r="AJ10" s="32" t="s">
        <v>470</v>
      </c>
      <c r="AL10" s="32" t="s">
        <v>472</v>
      </c>
      <c r="AM10" s="32" t="s">
        <v>473</v>
      </c>
      <c r="AN10" s="32" t="s">
        <v>104</v>
      </c>
      <c r="AQ10" s="32" t="s">
        <v>555</v>
      </c>
      <c r="AR10" s="32" t="s">
        <v>457</v>
      </c>
      <c r="AT10" s="32"/>
      <c r="AU10" s="32"/>
      <c r="AV10" s="0" t="n">
        <v>5</v>
      </c>
      <c r="AW10" s="32" t="s">
        <v>460</v>
      </c>
      <c r="AY10" s="34" t="str">
        <f aca="false">IF(TRIM($A10)="","",IF(AND(LEFT($A10,6)="SAMPLE",Config!$B$19&lt;&gt;"Y"),"",IF(NOT(ISNUMBER(H10)),"call_date is blank or not a date",IF(Sync!$C$5="","Clay paste is empty or has no row_id column: paste the Clay export on Clay_Offices",IF(CW10="","row_id not found in the Clay paste: add the Clay row or fix the row_id",IF(AND(ISNUMBER(CY10),CY10&gt;=1,CY10&lt;=5),"Clay status is "&amp;CX10&amp;": set call_done or later",IF(AND(BD10=1,CZ10&lt;&gt;BZ10),"Clay yes_in_principle should be "&amp;BZ10,IF(AND(BD10=1,DA10&lt;&gt;H10),"Clay call_date should be "&amp;TEXT(H10,"yyyy-mm-dd"),""))))))))</f>
        <v/>
      </c>
      <c r="AZ10" s="23" t="str">
        <f aca="false">IF(TRIM($A10)="","",IF(TRIM(C10)&lt;&gt;"",SUBSTITUTE(SUBSTITUTE(SUBSTITUTE(SUBSTITUTE(SUBSTITUTE(SUBSTITUTE(LOWER(TRIM(C10)),"~",""),"*",""),"?",""),"&lt;",""),"&gt;",""),"=",""),IF(EA10&lt;&gt;"",EA10,IFERROR(INDEX($EA$2:$EA$201,MATCH(DZ10,$EB$2:$EB$201,0)),DZ10))))</f>
        <v>sample office 09</v>
      </c>
      <c r="BA10" s="23" t="n">
        <f aca="false">ROW()</f>
        <v>10</v>
      </c>
      <c r="BB10" s="23" t="n">
        <f aca="false">IF(AND(TRIM($A10)&lt;&gt;"",ISNUMBER(H10)),IF(AND(LEFT($A10,6)="SAMPLE",Config!$B$19&lt;&gt;"Y"),0,1),0)</f>
        <v>1</v>
      </c>
      <c r="BC10" s="23" t="n">
        <f aca="false">IF(BB10=1,IF(COUNTIFS($AZ$2:$AZ$201,AZ10,$BB$2:$BB$201,1,$H$2:$H$201,"&lt;"&amp;H10)+COUNTIFS($AZ$2:$AZ$201,AZ10,$BB$2:$BB$201,1,$H$2:$H$201,H10,$BA$2:$BA$201,"&lt;"&amp;BA10)=0,1,0),0)</f>
        <v>1</v>
      </c>
      <c r="BD10" s="23" t="n">
        <f aca="false">IF(BB10=1,IF(COUNTIFS($A$2:$A$201,$A10,$BB$2:$BB$201,1,$H$2:$H$201,"&gt;"&amp;H10)+COUNTIFS($A$2:$A$201,$A10,$BB$2:$BB$201,1,$H$2:$H$201,H10,$BA$2:$BA$201,"&gt;"&amp;BA10)=0,1,0),0)</f>
        <v>1</v>
      </c>
      <c r="BE10" s="23" t="n">
        <f aca="false">IF(AND(BB10=1,AR10="Y",AC10="Y",TRIM(AH10)&lt;&gt;""),1,0)</f>
        <v>0</v>
      </c>
      <c r="BF10" s="23" t="n">
        <f aca="false">IF(BE10=1,IF(COUNTIFS($AZ$2:$AZ$201,AZ10,$BE$2:$BE$201,1,$H$2:$H$201,"&lt;"&amp;H10)+COUNTIFS($AZ$2:$AZ$201,AZ10,$BE$2:$BE$201,1,$H$2:$H$201,H10,$BA$2:$BA$201,"&lt;"&amp;BA10)=0,1,0),0)</f>
        <v>0</v>
      </c>
      <c r="BG10" s="23" t="n">
        <f aca="false">IF(AND(BB10=1,AR10="Y",BE10=0),1,0)</f>
        <v>0</v>
      </c>
      <c r="BH10" s="23" t="n">
        <f aca="false">IF(AND(BB10=1,ISNUMBER(Y10)),1,0)</f>
        <v>0</v>
      </c>
      <c r="BI10" s="23" t="n">
        <f aca="false">IF(BH10=1,IF(COUNTIFS($AZ$2:$AZ$201,AZ10,$BH$2:$BH$201,1,$H$2:$H$201,"&lt;"&amp;H10)+COUNTIFS($AZ$2:$AZ$201,AZ10,$BH$2:$BH$201,1,$H$2:$H$201,H10,$BA$2:$BA$201,"&lt;"&amp;BA10)=0,1,0),0)</f>
        <v>0</v>
      </c>
      <c r="BJ10" s="23" t="str">
        <f aca="false">IF(AND(BI10=1,INT(N(H10))&lt;=Config!$B$6),Y10,"")</f>
        <v/>
      </c>
      <c r="BK10" s="23" t="str">
        <f aca="false">IF(AND(BI10=1,INT(N(H10))&lt;=Config!$B$7),Y10,"")</f>
        <v/>
      </c>
      <c r="BL10" s="23" t="str">
        <f aca="false">IF(AND(BI10=1,INT(N(H10))&lt;=Config!$B$8),Y10,"")</f>
        <v/>
      </c>
      <c r="BM10" s="23" t="str">
        <f aca="false">IF(AND(BI10=1,INT(N(H10))&lt;=Config!$B$5),Y10,"")</f>
        <v/>
      </c>
      <c r="BN10" s="23" t="n">
        <f aca="false">IF(CD10=1,IF(COUNTIFS($AZ$2:$AZ$201,AZ10,$CD$2:$CD$201,1,$H$2:$H$201,"&lt;"&amp;H10)+COUNTIFS($AZ$2:$AZ$201,AZ10,$CD$2:$CD$201,1,$H$2:$H$201,H10,$BA$2:$BA$201,"&lt;"&amp;BA10)=0,1,0),0)</f>
        <v>0</v>
      </c>
      <c r="BO10" s="23" t="n">
        <f aca="false">IF(AND(BB10=1,ISNUMBER(M10)),1,0)</f>
        <v>0</v>
      </c>
      <c r="BP10" s="23" t="n">
        <f aca="false">IF(BO10=1,IF(COUNTIFS($AZ$2:$AZ$201,AZ10,$BO$2:$BO$201,1,$H$2:$H$201,"&lt;"&amp;H10)+COUNTIFS($AZ$2:$AZ$201,AZ10,$BO$2:$BO$201,1,$H$2:$H$201,H10,$BA$2:$BA$201,"&lt;"&amp;BA10)=0,1,0),0)</f>
        <v>0</v>
      </c>
      <c r="BQ10" s="23" t="str">
        <f aca="false">IF(AND(BP10=1,INT(N(H10))&lt;=Config!$B$5),M10,"")</f>
        <v/>
      </c>
      <c r="BR10" s="23" t="n">
        <f aca="false">IF(AND(BB10=1,OR(TRIM(X10)&lt;&gt;"",ISNUMBER(Y10))),1,0)</f>
        <v>0</v>
      </c>
      <c r="BS10" s="23" t="n">
        <f aca="false">IF(BR10=1,IF(COUNTIFS($AZ$2:$AZ$201,AZ10,$BR$2:$BR$201,1,$H$2:$H$201,"&lt;"&amp;H10)+COUNTIFS($AZ$2:$AZ$201,AZ10,$BR$2:$BR$201,1,$H$2:$H$201,H10,$BA$2:$BA$201,"&lt;"&amp;BA10)=0,1,0),0)</f>
        <v>0</v>
      </c>
      <c r="BT10" s="23" t="str">
        <f aca="false">IF(BS10=1,AZ10,"")</f>
        <v/>
      </c>
      <c r="BU10" s="23" t="n">
        <f aca="false">IF(AND(BB10=1,W10="Y",TRIM(X10)=""),1,0)</f>
        <v>0</v>
      </c>
      <c r="BV10" s="23" t="str">
        <f aca="false">IF(BB10=1,AN10&amp;"","")</f>
        <v>existing_vendor</v>
      </c>
      <c r="BW10" s="23" t="str">
        <f aca="false">IF(BB10=1,AO10&amp;"","")</f>
        <v/>
      </c>
      <c r="BX10" s="23" t="str">
        <f aca="false">IF(BB10=1,AP10&amp;"","")</f>
        <v/>
      </c>
      <c r="BY10" s="23" t="n">
        <f aca="false">IF(AND(BB10=1,ISNUMBER(AV10),INT(N(H10))&lt;=Config!$B$5),AV10,"")</f>
        <v>5</v>
      </c>
      <c r="BZ10" s="23" t="str">
        <f aca="false">IF(BB10=1,IF(COUNTIFS($A$2:$A$201,$A10,$DC$2:$DC$201,1,$AR$2:$AR$201,"Y")&gt;0,"Y","N"),"")</f>
        <v>N</v>
      </c>
      <c r="CA10" s="23" t="n">
        <f aca="false">IF(AND(BB10=1,AR10="maybe"),1,0)</f>
        <v>0</v>
      </c>
      <c r="CB10" s="23" t="n">
        <f aca="false">IF(CA10=1,IF(COUNTIFS($AZ$2:$AZ$201,AZ10,$CA$2:$CA$201,1,$H$2:$H$201,"&lt;"&amp;H10)+COUNTIFS($AZ$2:$AZ$201,AZ10,$CA$2:$CA$201,1,$H$2:$H$201,H10,$BA$2:$BA$201,"&lt;"&amp;BA10)=0,1,0),0)</f>
        <v>0</v>
      </c>
      <c r="CC10" s="23" t="n">
        <f aca="false">IF(AND(BB10=1,AR10="Y"),IF(COUNTIFS($AZ$2:$AZ$201,AZ10,$AR$2:$AR$201,"Y",$BB$2:$BB$201,1,$H$2:$H$201,"&lt;"&amp;H10)+COUNTIFS($AZ$2:$AZ$201,AZ10,$AR$2:$AR$201,"Y",$BB$2:$BB$201,1,$H$2:$H$201,H10,$BA$2:$BA$201,"&lt;"&amp;BA10)=0,1,0),0)</f>
        <v>0</v>
      </c>
      <c r="CD10" s="23" t="n">
        <f aca="false">IF(AND(BH10=1,N(Y10)&gt;=Config!$B$15),1,0)</f>
        <v>0</v>
      </c>
      <c r="CE10" s="23" t="n">
        <f aca="false">IF(AND(BB10=1,AT10="Y"),1,0)</f>
        <v>0</v>
      </c>
      <c r="CF10" s="23" t="n">
        <f aca="false">IF(CE10=1,IF(COUNTIFS($AZ$2:$AZ$201,AZ10,$CE$2:$CE$201,1,$H$2:$H$201,"&lt;"&amp;H10)+COUNTIFS($AZ$2:$AZ$201,AZ10,$CE$2:$CE$201,1,$H$2:$H$201,H10,$BA$2:$BA$201,"&lt;"&amp;BA10)=0,1,0),0)</f>
        <v>0</v>
      </c>
      <c r="CG10" s="23" t="n">
        <f aca="false">IF(AND(BB10=1,G10="warm-intro"),1,0)</f>
        <v>0</v>
      </c>
      <c r="CH10" s="23" t="n">
        <f aca="false">IF(CG10=1,IF(COUNTIFS($AZ$2:$AZ$201,AZ10,$CG$2:$CG$201,1,$H$2:$H$201,"&lt;"&amp;H10)+COUNTIFS($AZ$2:$AZ$201,AZ10,$CG$2:$CG$201,1,$H$2:$H$201,H10,$BA$2:$BA$201,"&lt;"&amp;BA10)=0,1,0),0)</f>
        <v>0</v>
      </c>
      <c r="CI10" s="23" t="n">
        <f aca="false">IF(AND(BB10=1,Q10="Y"),1,0)</f>
        <v>1</v>
      </c>
      <c r="CJ10" s="23" t="n">
        <f aca="false">IF(CI10=1,IF(COUNTIFS($AZ$2:$AZ$201,AZ10,$CI$2:$CI$201,1,$H$2:$H$201,"&lt;"&amp;H10)+COUNTIFS($AZ$2:$AZ$201,AZ10,$CI$2:$CI$201,1,$H$2:$H$201,H10,$BA$2:$BA$201,"&lt;"&amp;BA10)=0,1,0),0)</f>
        <v>1</v>
      </c>
      <c r="CK10" s="23" t="n">
        <f aca="false">IF(AND(BB10=1,AF10="Y"),1,0)</f>
        <v>0</v>
      </c>
      <c r="CL10" s="23" t="n">
        <f aca="false">IF(CK10=1,IF(COUNTIFS($AZ$2:$AZ$201,AZ10,$CK$2:$CK$201,1,$H$2:$H$201,"&lt;"&amp;H10)+COUNTIFS($AZ$2:$AZ$201,AZ10,$CK$2:$CK$201,1,$H$2:$H$201,H10,$BA$2:$BA$201,"&lt;"&amp;BA10)=0,1,0),0)</f>
        <v>0</v>
      </c>
      <c r="CM10" s="23" t="n">
        <f aca="false">IF(AND(BB10=1,U10="Y"),1,0)</f>
        <v>0</v>
      </c>
      <c r="CN10" s="23" t="n">
        <f aca="false">IF(CM10=1,IF(COUNTIFS($AZ$2:$AZ$201,AZ10,$CM$2:$CM$201,1,$H$2:$H$201,"&lt;"&amp;H10)+COUNTIFS($AZ$2:$AZ$201,AZ10,$CM$2:$CM$201,1,$H$2:$H$201,H10,$BA$2:$BA$201,"&lt;"&amp;BA10)=0,1,0),0)</f>
        <v>0</v>
      </c>
      <c r="CO10" s="23" t="n">
        <f aca="false">IF(AND(BB10=1,L10="Y"),1,0)</f>
        <v>1</v>
      </c>
      <c r="CP10" s="23" t="n">
        <f aca="false">IF(CO10=1,IF(COUNTIFS($AZ$2:$AZ$201,AZ10,$CO$2:$CO$201,1,$H$2:$H$201,"&lt;"&amp;H10)+COUNTIFS($AZ$2:$AZ$201,AZ10,$CO$2:$CO$201,1,$H$2:$H$201,H10,$BA$2:$BA$201,"&lt;"&amp;BA10)=0,1,0),0)</f>
        <v>1</v>
      </c>
      <c r="CQ10" s="23" t="n">
        <f aca="false">IF(AND(BB10=1,ISNUMBER(O10)),1,0)</f>
        <v>1</v>
      </c>
      <c r="CR10" s="23" t="n">
        <f aca="false">IF(CQ10=1,IF(COUNTIFS($AZ$2:$AZ$201,AZ10,$CQ$2:$CQ$201,1,$H$2:$H$201,"&lt;"&amp;H10)+COUNTIFS($AZ$2:$AZ$201,AZ10,$CQ$2:$CQ$201,1,$H$2:$H$201,H10,$BA$2:$BA$201,"&lt;"&amp;BA10)=0,1,0),0)</f>
        <v>1</v>
      </c>
      <c r="CS10" s="23" t="n">
        <f aca="false">IF(AND(CR10=1,INT(N(H10))&lt;=Config!$B$5),O10,"")</f>
        <v>35</v>
      </c>
      <c r="CT10" s="23" t="str">
        <f aca="false">IF(AND(BB10=1,INT(N(H10))&lt;=Config!$B$5),AG10&amp;"","")</f>
        <v>facilities</v>
      </c>
      <c r="CU10" s="23" t="n">
        <f aca="false">IF(AND(BB10=1,AU10="Y"),1,0)</f>
        <v>0</v>
      </c>
      <c r="CV10" s="23" t="n">
        <f aca="false">IF(CU10=1,IF(COUNTIFS($AZ$2:$AZ$201,AZ10,$CU$2:$CU$201,1,$H$2:$H$201,"&lt;"&amp;H10)+COUNTIFS($AZ$2:$AZ$201,AZ10,$CU$2:$CU$201,1,$H$2:$H$201,H10,$BA$2:$BA$201,"&lt;"&amp;BA10)=0,1,0),0)</f>
        <v>0</v>
      </c>
      <c r="CW10" s="23" t="n">
        <f aca="false">IF(BB10=1,IFERROR(MATCH($A10,INDEX(Clay_Offices!$A$2:$FZ$601,0,Sync!$C$5),0),""),"")</f>
        <v>9</v>
      </c>
      <c r="CX10" s="23" t="str">
        <f aca="false">IF(CW10="","",IFERROR(INDEX(Clay_Offices!$A$2:$FZ$601,CW10,Sync!$C$7)&amp;"",""))</f>
        <v>call_done</v>
      </c>
      <c r="CY10" s="23" t="n">
        <f aca="false">IF(CX10="","",IFERROR(INDEX(Lists!$K$2:$K$15,MATCH(CX10,Lists!$J$2:$J$15,0)),""))</f>
        <v>6</v>
      </c>
      <c r="CZ10" s="23" t="str">
        <f aca="false">IF(CW10="","",IFERROR(INDEX(Clay_Offices!$A$2:$FZ$601,CW10,Sync!$C$17)&amp;"",""))</f>
        <v>N</v>
      </c>
      <c r="DA10" s="35" t="n">
        <f aca="false">IF(CW10="","",IFERROR(N(INDEX(Clay_Offices!$A$2:$FZ$601,CW10,Sync!$C$16)),0))</f>
        <v>46336</v>
      </c>
      <c r="DB10" s="23" t="n">
        <f aca="false">IF(AND(BB10=1,OR(AR10="Y",AR10="N",AR10="maybe")),1,0)</f>
        <v>1</v>
      </c>
      <c r="DC10" s="23" t="n">
        <f aca="false">IF(AND(DB10=1),IF(COUNTIFS($A$2:$A$201,$A10,$DB$2:$DB$201,1,$H$2:$H$201,"&gt;"&amp;H10)+COUNTIFS($A$2:$A$201,$A10,$DB$2:$DB$201,1,$H$2:$H$201,H10,$BA$2:$BA$201,"&gt;"&amp;BA10)=0,1,0),0)</f>
        <v>1</v>
      </c>
      <c r="DD10" s="23" t="n">
        <f aca="false">IF(AND(DB10=1,INT(N(H10))&lt;=Config!$B$6),IF(COUNTIFS($AZ$2:$AZ$201,AZ10,$DB$2:$DB$201,1,$H$2:$H$201,"&gt;"&amp;H10,$H$2:$H$201,"&lt;"&amp;(Config!$B$6+1))+COUNTIFS($AZ$2:$AZ$201,AZ10,$DB$2:$DB$201,1,$H$2:$H$201,H10,$BA$2:$BA$201,"&gt;"&amp;BA10)=0,1,0),0)</f>
        <v>0</v>
      </c>
      <c r="DE10" s="23" t="n">
        <f aca="false">IF(AND(DB10=1,INT(N(H10))&lt;=Config!$B$7),IF(COUNTIFS($AZ$2:$AZ$201,AZ10,$DB$2:$DB$201,1,$H$2:$H$201,"&gt;"&amp;H10,$H$2:$H$201,"&lt;"&amp;(Config!$B$7+1))+COUNTIFS($AZ$2:$AZ$201,AZ10,$DB$2:$DB$201,1,$H$2:$H$201,H10,$BA$2:$BA$201,"&gt;"&amp;BA10)=0,1,0),0)</f>
        <v>0</v>
      </c>
      <c r="DF10" s="23" t="n">
        <f aca="false">IF(AND(DB10=1,INT(N(H10))&lt;=Config!$B$8),IF(COUNTIFS($AZ$2:$AZ$201,AZ10,$DB$2:$DB$201,1,$H$2:$H$201,"&gt;"&amp;H10,$H$2:$H$201,"&lt;"&amp;(Config!$B$8+1))+COUNTIFS($AZ$2:$AZ$201,AZ10,$DB$2:$DB$201,1,$H$2:$H$201,H10,$BA$2:$BA$201,"&gt;"&amp;BA10)=0,1,0),0)</f>
        <v>1</v>
      </c>
      <c r="DG10" s="23" t="n">
        <f aca="false">IF(AND(DB10=1,INT(N(H10))&lt;=Config!$B$5),IF(COUNTIFS($AZ$2:$AZ$201,AZ10,$DB$2:$DB$201,1,$H$2:$H$201,"&gt;"&amp;H10,$H$2:$H$201,"&lt;"&amp;(Config!$B$5+1))+COUNTIFS($AZ$2:$AZ$201,AZ10,$DB$2:$DB$201,1,$H$2:$H$201,H10,$BA$2:$BA$201,"&gt;"&amp;BA10)=0,1,0),0)</f>
        <v>1</v>
      </c>
      <c r="DH10" s="23" t="n">
        <f aca="false">IF(BB10=1,IF(COUNTIFS($AZ$2:$AZ$201,AZ10,$DD$2:$DD$201,1,$AR$2:$AR$201,"Y")&gt;0,1,0),0)</f>
        <v>0</v>
      </c>
      <c r="DI10" s="23" t="n">
        <f aca="false">IF(BB10=1,IF(COUNTIFS($AZ$2:$AZ$201,AZ10,$DE$2:$DE$201,1,$AR$2:$AR$201,"Y")&gt;0,1,0),0)</f>
        <v>0</v>
      </c>
      <c r="DJ10" s="23" t="n">
        <f aca="false">IF(BB10=1,IF(COUNTIFS($AZ$2:$AZ$201,AZ10,$DF$2:$DF$201,1,$AR$2:$AR$201,"Y")&gt;0,1,0),0)</f>
        <v>0</v>
      </c>
      <c r="DK10" s="23" t="n">
        <f aca="false">IF(BB10=1,IF(COUNTIFS($AZ$2:$AZ$201,AZ10,$DG$2:$DG$201,1,$AR$2:$AR$201,"Y")&gt;0,1,0),0)</f>
        <v>0</v>
      </c>
      <c r="DL10" s="23" t="n">
        <f aca="false">IF(AND(BF10=1,INT(N(H10))&lt;=Config!$B$6,DH10=1,EI10=0),1,0)</f>
        <v>0</v>
      </c>
      <c r="DM10" s="23" t="n">
        <f aca="false">IF(AND(BF10=1,INT(N(H10))&lt;=Config!$B$7,DI10=1,EI10=0),1,0)</f>
        <v>0</v>
      </c>
      <c r="DN10" s="23" t="n">
        <f aca="false">IF(AND(BF10=1,INT(N(H10))&lt;=Config!$B$8,DJ10=1,EI10=0),1,0)</f>
        <v>0</v>
      </c>
      <c r="DO10" s="23" t="n">
        <f aca="false">IF(AND(BF10=1,INT(N(H10))&lt;=Config!$B$5,DK10=1,EI10=0),1,0)</f>
        <v>0</v>
      </c>
      <c r="DP10" s="23" t="n">
        <f aca="false">IF(AND(CC10=1,INT(N(H10))&lt;=Config!$B$6,DH10=1,EI10=0),1,0)</f>
        <v>0</v>
      </c>
      <c r="DQ10" s="23" t="n">
        <f aca="false">IF(AND(CC10=1,INT(N(H10))&lt;=Config!$B$7,DI10=1,EI10=0),1,0)</f>
        <v>0</v>
      </c>
      <c r="DR10" s="23" t="n">
        <f aca="false">IF(AND(CC10=1,INT(N(H10))&lt;=Config!$B$8,DJ10=1,EI10=0),1,0)</f>
        <v>0</v>
      </c>
      <c r="DS10" s="23" t="n">
        <f aca="false">IF(AND(CC10=1,INT(N(H10))&lt;=Config!$B$5,DK10=1,EI10=0),1,0)</f>
        <v>0</v>
      </c>
      <c r="DT10" s="23" t="n">
        <f aca="false">IF(AND(CC10=1,INT(N(H10))&lt;=Config!$B$6,DH10=0),1,0)</f>
        <v>0</v>
      </c>
      <c r="DU10" s="23" t="n">
        <f aca="false">IF(AND(CC10=1,INT(N(H10))&lt;=Config!$B$7,DI10=0),1,0)</f>
        <v>0</v>
      </c>
      <c r="DV10" s="23" t="n">
        <f aca="false">IF(AND(CC10=1,INT(N(H10))&lt;=Config!$B$8,DJ10=0),1,0)</f>
        <v>0</v>
      </c>
      <c r="DW10" s="23" t="n">
        <f aca="false">IF(AND(CC10=1,INT(N(H10))&lt;=Config!$B$5,DK10=0),1,0)</f>
        <v>0</v>
      </c>
      <c r="DX10" s="23" t="n">
        <f aca="false">IF(TRIM($A10)="",0,ISTEXT(M10)+ISTEXT(O10)+ISTEXT(Y10)+ISTEXT(Z10)+ISTEXT(AA10)+ISTEXT(AV10))</f>
        <v>0</v>
      </c>
      <c r="DY10" s="23" t="n">
        <f aca="false">IF(BB10=1,IF(H10&lt;&gt;INT(H10),1,0),0)</f>
        <v>0</v>
      </c>
      <c r="DZ10" s="23" t="str">
        <f aca="false">IF(TRIM($A10)="","",IF(TRIM(B10)="",SUBSTITUTE(SUBSTITUTE(SUBSTITUTE(SUBSTITUTE(SUBSTITUTE(SUBSTITUTE(LOWER(TRIM($A10)),"~",""),"*",""),"?",""),"&lt;",""),"&gt;",""),"=",""),SUBSTITUTE(SUBSTITUTE(SUBSTITUTE(SUBSTITUTE(SUBSTITUTE(SUBSTITUTE(LOWER(TRIM(B10)),"~",""),"*",""),"?",""),"&lt;",""),"&gt;",""),"=","")))</f>
        <v>sample office 09</v>
      </c>
      <c r="EA10" s="23" t="str">
        <f aca="false">IF(CW10="","",IFERROR(IF(LEFT(LOWER(TRIM(INDEX(Clay_Offices!$A$2:$FZ$601,CW10,Sync!$C$19)&amp;"")),4)="grp-",SUBSTITUTE(SUBSTITUTE(SUBSTITUTE(SUBSTITUTE(SUBSTITUTE(SUBSTITUTE(LOWER(TRIM(INDEX(Clay_Offices!$A$2:$FZ$601,CW10,Sync!$C$19)&amp;"")),"~",""),"*",""),"?",""),"&lt;",""),"&gt;",""),"=",""),""),""))</f>
        <v/>
      </c>
      <c r="EB10" s="23" t="str">
        <f aca="false">IF(EA10&lt;&gt;"",DZ10,"")</f>
        <v/>
      </c>
      <c r="EC10" s="23" t="str">
        <f aca="false">IF(BC10=1,AZ10,"")</f>
        <v>sample office 09</v>
      </c>
      <c r="ED10" s="23" t="str">
        <f aca="false">IF(TRIM($A10)="","",IFERROR(INDEX($A$2:$A$201,MATCH(AZ10,$EC$2:$EC$201,0))&amp;"",$A10&amp;""))</f>
        <v>SAMPLE-O-009</v>
      </c>
      <c r="EE10" s="23" t="n">
        <f aca="false">IF(BB10=1,IF(COUNTIFS($A$2:$A$201,$A10,$BB$2:$BB$201,1,$H$2:$H$201,"&lt;"&amp;H10)+COUNTIFS($A$2:$A$201,$A10,$BB$2:$BB$201,1,$H$2:$H$201,H10,$BA$2:$BA$201,"&lt;"&amp;BA10)=0,1,0),0)</f>
        <v>1</v>
      </c>
      <c r="EF10" s="23" t="n">
        <f aca="false">IF(BC10=1,IF(COUNTIFS($AZ$2:$AZ$201,AZ10,$EE$2:$EE$201,1)&gt;1,1,0),0)</f>
        <v>0</v>
      </c>
      <c r="EG10" s="23" t="n">
        <f aca="false">IF(AND(CQ10=1),IF(COUNTIFS($AZ$2:$AZ$201,AZ10,$CQ$2:$CQ$201,1,$H$2:$H$201,"&gt;"&amp;H10)+COUNTIFS($AZ$2:$AZ$201,AZ10,$CQ$2:$CQ$201,1,$H$2:$H$201,H10,$BA$2:$BA$201,"&gt;"&amp;BA10)=0,1,0),0)</f>
        <v>1</v>
      </c>
      <c r="EH10" s="23" t="n">
        <f aca="false">IF(BB10=1,IF(COUNTIFS($AZ$2:$AZ$201,AZ10,$EG$2:$EG$201,1)=0,"",SUMIFS($O$2:$O$201,$AZ$2:$AZ$201,AZ10,$EG$2:$EG$201,1)),"")</f>
        <v>35</v>
      </c>
      <c r="EI10" s="23" t="n">
        <f aca="false">IF(AND(ISNUMBER(EH10),OR(N(EH10)&lt;Config!$B$31,N(EH10)&gt;Config!$B$33)),1,0)</f>
        <v>0</v>
      </c>
      <c r="EJ10" s="23" t="n">
        <f aca="false">IF(AND(ISNUMBER(EH10),N(EH10)&gt;=Config!$B$31,N(EH10)&lt;Config!$B$32),1,0)</f>
        <v>1</v>
      </c>
      <c r="EK10" s="23" t="n">
        <f aca="false">IF(AND(BF10=1,INT(N(H10))&lt;=Config!$B$6,DH10=1,EI10=1),1,0)</f>
        <v>0</v>
      </c>
      <c r="EL10" s="23" t="n">
        <f aca="false">IF(AND(BF10=1,INT(N(H10))&lt;=Config!$B$7,DI10=1,EI10=1),1,0)</f>
        <v>0</v>
      </c>
      <c r="EM10" s="23" t="n">
        <f aca="false">IF(AND(BF10=1,INT(N(H10))&lt;=Config!$B$8,DJ10=1,EI10=1),1,0)</f>
        <v>0</v>
      </c>
      <c r="EN10" s="23" t="n">
        <f aca="false">IF(AND(BF10=1,INT(N(H10))&lt;=Config!$B$5,DK10=1,EI10=1),1,0)</f>
        <v>0</v>
      </c>
      <c r="EO10" s="23" t="n">
        <f aca="false">IF(AND(DL10=1,EJ10=1),1,0)</f>
        <v>0</v>
      </c>
      <c r="EP10" s="23" t="n">
        <f aca="false">IF(AND(DM10=1,EJ10=1),1,0)</f>
        <v>0</v>
      </c>
      <c r="EQ10" s="23" t="n">
        <f aca="false">IF(AND(DN10=1,EJ10=1),1,0)</f>
        <v>0</v>
      </c>
      <c r="ER10" s="23" t="n">
        <f aca="false">IF(AND(DO10=1,EJ10=1),1,0)</f>
        <v>0</v>
      </c>
    </row>
    <row r="11" customFormat="false" ht="15" hidden="false" customHeight="false" outlineLevel="0" collapsed="false">
      <c r="A11" s="0" t="s">
        <v>556</v>
      </c>
      <c r="B11" s="0" t="s">
        <v>557</v>
      </c>
      <c r="D11" s="0" t="s">
        <v>558</v>
      </c>
      <c r="E11" s="0" t="s">
        <v>479</v>
      </c>
      <c r="F11" s="0" t="s">
        <v>452</v>
      </c>
      <c r="G11" s="32" t="s">
        <v>453</v>
      </c>
      <c r="H11" s="33" t="n">
        <v>46336</v>
      </c>
      <c r="I11" s="32" t="s">
        <v>454</v>
      </c>
      <c r="J11" s="32" t="s">
        <v>559</v>
      </c>
      <c r="K11" s="32" t="s">
        <v>456</v>
      </c>
      <c r="L11" s="32" t="s">
        <v>457</v>
      </c>
      <c r="M11" s="0" t="n">
        <v>1200</v>
      </c>
      <c r="N11" s="32" t="s">
        <v>560</v>
      </c>
      <c r="O11" s="0" t="n">
        <v>110</v>
      </c>
      <c r="P11" s="32" t="s">
        <v>561</v>
      </c>
      <c r="Q11" s="32" t="s">
        <v>457</v>
      </c>
      <c r="R11" s="32" t="s">
        <v>461</v>
      </c>
      <c r="S11" s="32" t="s">
        <v>462</v>
      </c>
      <c r="T11" s="32" t="s">
        <v>463</v>
      </c>
      <c r="U11" s="32" t="s">
        <v>460</v>
      </c>
      <c r="V11" s="32" t="s">
        <v>464</v>
      </c>
      <c r="W11" s="32" t="s">
        <v>460</v>
      </c>
      <c r="X11" s="32" t="s">
        <v>562</v>
      </c>
      <c r="Y11" s="0" t="n">
        <v>200</v>
      </c>
      <c r="Z11" s="0" t="n">
        <v>400</v>
      </c>
      <c r="AA11" s="0" t="n">
        <v>1</v>
      </c>
      <c r="AB11" s="32" t="s">
        <v>466</v>
      </c>
      <c r="AC11" s="32" t="s">
        <v>460</v>
      </c>
      <c r="AD11" s="32" t="s">
        <v>563</v>
      </c>
      <c r="AE11" s="32" t="s">
        <v>451</v>
      </c>
      <c r="AF11" s="32" t="s">
        <v>460</v>
      </c>
      <c r="AH11" s="32" t="s">
        <v>564</v>
      </c>
      <c r="AI11" s="32" t="s">
        <v>469</v>
      </c>
      <c r="AJ11" s="32" t="s">
        <v>470</v>
      </c>
      <c r="AK11" s="32" t="s">
        <v>471</v>
      </c>
      <c r="AL11" s="32" t="s">
        <v>488</v>
      </c>
      <c r="AM11" s="32" t="s">
        <v>473</v>
      </c>
      <c r="AN11" s="32"/>
      <c r="AR11" s="32" t="s">
        <v>460</v>
      </c>
      <c r="AS11" s="32" t="s">
        <v>475</v>
      </c>
      <c r="AT11" s="32" t="s">
        <v>460</v>
      </c>
      <c r="AU11" s="32"/>
      <c r="AV11" s="0" t="n">
        <v>9</v>
      </c>
      <c r="AW11" s="32" t="s">
        <v>460</v>
      </c>
      <c r="AY11" s="34" t="str">
        <f aca="false">IF(TRIM($A11)="","",IF(AND(LEFT($A11,6)="SAMPLE",Config!$B$19&lt;&gt;"Y"),"",IF(NOT(ISNUMBER(H11)),"call_date is blank or not a date",IF(Sync!$C$5="","Clay paste is empty or has no row_id column: paste the Clay export on Clay_Offices",IF(CW11="","row_id not found in the Clay paste: add the Clay row or fix the row_id",IF(AND(ISNUMBER(CY11),CY11&gt;=1,CY11&lt;=5),"Clay status is "&amp;CX11&amp;": set call_done or later",IF(AND(BD11=1,CZ11&lt;&gt;BZ11),"Clay yes_in_principle should be "&amp;BZ11,IF(AND(BD11=1,DA11&lt;&gt;H11),"Clay call_date should be "&amp;TEXT(H11,"yyyy-mm-dd"),""))))))))</f>
        <v/>
      </c>
      <c r="AZ11" s="23" t="str">
        <f aca="false">IF(TRIM($A11)="","",IF(TRIM(C11)&lt;&gt;"",SUBSTITUTE(SUBSTITUTE(SUBSTITUTE(SUBSTITUTE(SUBSTITUTE(SUBSTITUTE(LOWER(TRIM(C11)),"~",""),"*",""),"?",""),"&lt;",""),"&gt;",""),"=",""),IF(EA11&lt;&gt;"",EA11,IFERROR(INDEX($EA$2:$EA$201,MATCH(DZ11,$EB$2:$EB$201,0)),DZ11))))</f>
        <v>sample office 10</v>
      </c>
      <c r="BA11" s="23" t="n">
        <f aca="false">ROW()</f>
        <v>11</v>
      </c>
      <c r="BB11" s="23" t="n">
        <f aca="false">IF(AND(TRIM($A11)&lt;&gt;"",ISNUMBER(H11)),IF(AND(LEFT($A11,6)="SAMPLE",Config!$B$19&lt;&gt;"Y"),0,1),0)</f>
        <v>1</v>
      </c>
      <c r="BC11" s="23" t="n">
        <f aca="false">IF(BB11=1,IF(COUNTIFS($AZ$2:$AZ$201,AZ11,$BB$2:$BB$201,1,$H$2:$H$201,"&lt;"&amp;H11)+COUNTIFS($AZ$2:$AZ$201,AZ11,$BB$2:$BB$201,1,$H$2:$H$201,H11,$BA$2:$BA$201,"&lt;"&amp;BA11)=0,1,0),0)</f>
        <v>1</v>
      </c>
      <c r="BD11" s="23" t="n">
        <f aca="false">IF(BB11=1,IF(COUNTIFS($A$2:$A$201,$A11,$BB$2:$BB$201,1,$H$2:$H$201,"&gt;"&amp;H11)+COUNTIFS($A$2:$A$201,$A11,$BB$2:$BB$201,1,$H$2:$H$201,H11,$BA$2:$BA$201,"&gt;"&amp;BA11)=0,1,0),0)</f>
        <v>1</v>
      </c>
      <c r="BE11" s="23" t="n">
        <f aca="false">IF(AND(BB11=1,AR11="Y",AC11="Y",TRIM(AH11)&lt;&gt;""),1,0)</f>
        <v>1</v>
      </c>
      <c r="BF11" s="23" t="n">
        <f aca="false">IF(BE11=1,IF(COUNTIFS($AZ$2:$AZ$201,AZ11,$BE$2:$BE$201,1,$H$2:$H$201,"&lt;"&amp;H11)+COUNTIFS($AZ$2:$AZ$201,AZ11,$BE$2:$BE$201,1,$H$2:$H$201,H11,$BA$2:$BA$201,"&lt;"&amp;BA11)=0,1,0),0)</f>
        <v>1</v>
      </c>
      <c r="BG11" s="23" t="n">
        <f aca="false">IF(AND(BB11=1,AR11="Y",BE11=0),1,0)</f>
        <v>0</v>
      </c>
      <c r="BH11" s="23" t="n">
        <f aca="false">IF(AND(BB11=1,ISNUMBER(Y11)),1,0)</f>
        <v>1</v>
      </c>
      <c r="BI11" s="23" t="n">
        <f aca="false">IF(BH11=1,IF(COUNTIFS($AZ$2:$AZ$201,AZ11,$BH$2:$BH$201,1,$H$2:$H$201,"&lt;"&amp;H11)+COUNTIFS($AZ$2:$AZ$201,AZ11,$BH$2:$BH$201,1,$H$2:$H$201,H11,$BA$2:$BA$201,"&lt;"&amp;BA11)=0,1,0),0)</f>
        <v>1</v>
      </c>
      <c r="BJ11" s="23" t="str">
        <f aca="false">IF(AND(BI11=1,INT(N(H11))&lt;=Config!$B$6),Y11,"")</f>
        <v/>
      </c>
      <c r="BK11" s="23" t="str">
        <f aca="false">IF(AND(BI11=1,INT(N(H11))&lt;=Config!$B$7),Y11,"")</f>
        <v/>
      </c>
      <c r="BL11" s="23" t="n">
        <f aca="false">IF(AND(BI11=1,INT(N(H11))&lt;=Config!$B$8),Y11,"")</f>
        <v>200</v>
      </c>
      <c r="BM11" s="23" t="n">
        <f aca="false">IF(AND(BI11=1,INT(N(H11))&lt;=Config!$B$5),Y11,"")</f>
        <v>200</v>
      </c>
      <c r="BN11" s="23" t="n">
        <f aca="false">IF(CD11=1,IF(COUNTIFS($AZ$2:$AZ$201,AZ11,$CD$2:$CD$201,1,$H$2:$H$201,"&lt;"&amp;H11)+COUNTIFS($AZ$2:$AZ$201,AZ11,$CD$2:$CD$201,1,$H$2:$H$201,H11,$BA$2:$BA$201,"&lt;"&amp;BA11)=0,1,0),0)</f>
        <v>1</v>
      </c>
      <c r="BO11" s="23" t="n">
        <f aca="false">IF(AND(BB11=1,ISNUMBER(M11)),1,0)</f>
        <v>1</v>
      </c>
      <c r="BP11" s="23" t="n">
        <f aca="false">IF(BO11=1,IF(COUNTIFS($AZ$2:$AZ$201,AZ11,$BO$2:$BO$201,1,$H$2:$H$201,"&lt;"&amp;H11)+COUNTIFS($AZ$2:$AZ$201,AZ11,$BO$2:$BO$201,1,$H$2:$H$201,H11,$BA$2:$BA$201,"&lt;"&amp;BA11)=0,1,0),0)</f>
        <v>1</v>
      </c>
      <c r="BQ11" s="23" t="n">
        <f aca="false">IF(AND(BP11=1,INT(N(H11))&lt;=Config!$B$5),M11,"")</f>
        <v>1200</v>
      </c>
      <c r="BR11" s="23" t="n">
        <f aca="false">IF(AND(BB11=1,OR(TRIM(X11)&lt;&gt;"",ISNUMBER(Y11))),1,0)</f>
        <v>1</v>
      </c>
      <c r="BS11" s="23" t="n">
        <f aca="false">IF(BR11=1,IF(COUNTIFS($AZ$2:$AZ$201,AZ11,$BR$2:$BR$201,1,$H$2:$H$201,"&lt;"&amp;H11)+COUNTIFS($AZ$2:$AZ$201,AZ11,$BR$2:$BR$201,1,$H$2:$H$201,H11,$BA$2:$BA$201,"&lt;"&amp;BA11)=0,1,0),0)</f>
        <v>1</v>
      </c>
      <c r="BT11" s="23" t="str">
        <f aca="false">IF(BS11=1,AZ11,"")</f>
        <v>sample office 10</v>
      </c>
      <c r="BU11" s="23" t="n">
        <f aca="false">IF(AND(BB11=1,W11="Y",TRIM(X11)=""),1,0)</f>
        <v>0</v>
      </c>
      <c r="BV11" s="23" t="str">
        <f aca="false">IF(BB11=1,AN11&amp;"","")</f>
        <v/>
      </c>
      <c r="BW11" s="23" t="str">
        <f aca="false">IF(BB11=1,AO11&amp;"","")</f>
        <v/>
      </c>
      <c r="BX11" s="23" t="str">
        <f aca="false">IF(BB11=1,AP11&amp;"","")</f>
        <v/>
      </c>
      <c r="BY11" s="23" t="n">
        <f aca="false">IF(AND(BB11=1,ISNUMBER(AV11),INT(N(H11))&lt;=Config!$B$5),AV11,"")</f>
        <v>9</v>
      </c>
      <c r="BZ11" s="23" t="str">
        <f aca="false">IF(BB11=1,IF(COUNTIFS($A$2:$A$201,$A11,$DC$2:$DC$201,1,$AR$2:$AR$201,"Y")&gt;0,"Y","N"),"")</f>
        <v>Y</v>
      </c>
      <c r="CA11" s="23" t="n">
        <f aca="false">IF(AND(BB11=1,AR11="maybe"),1,0)</f>
        <v>0</v>
      </c>
      <c r="CB11" s="23" t="n">
        <f aca="false">IF(CA11=1,IF(COUNTIFS($AZ$2:$AZ$201,AZ11,$CA$2:$CA$201,1,$H$2:$H$201,"&lt;"&amp;H11)+COUNTIFS($AZ$2:$AZ$201,AZ11,$CA$2:$CA$201,1,$H$2:$H$201,H11,$BA$2:$BA$201,"&lt;"&amp;BA11)=0,1,0),0)</f>
        <v>0</v>
      </c>
      <c r="CC11" s="23" t="n">
        <f aca="false">IF(AND(BB11=1,AR11="Y"),IF(COUNTIFS($AZ$2:$AZ$201,AZ11,$AR$2:$AR$201,"Y",$BB$2:$BB$201,1,$H$2:$H$201,"&lt;"&amp;H11)+COUNTIFS($AZ$2:$AZ$201,AZ11,$AR$2:$AR$201,"Y",$BB$2:$BB$201,1,$H$2:$H$201,H11,$BA$2:$BA$201,"&lt;"&amp;BA11)=0,1,0),0)</f>
        <v>1</v>
      </c>
      <c r="CD11" s="23" t="n">
        <f aca="false">IF(AND(BH11=1,N(Y11)&gt;=Config!$B$15),1,0)</f>
        <v>1</v>
      </c>
      <c r="CE11" s="23" t="n">
        <f aca="false">IF(AND(BB11=1,AT11="Y"),1,0)</f>
        <v>1</v>
      </c>
      <c r="CF11" s="23" t="n">
        <f aca="false">IF(CE11=1,IF(COUNTIFS($AZ$2:$AZ$201,AZ11,$CE$2:$CE$201,1,$H$2:$H$201,"&lt;"&amp;H11)+COUNTIFS($AZ$2:$AZ$201,AZ11,$CE$2:$CE$201,1,$H$2:$H$201,H11,$BA$2:$BA$201,"&lt;"&amp;BA11)=0,1,0),0)</f>
        <v>1</v>
      </c>
      <c r="CG11" s="23" t="n">
        <f aca="false">IF(AND(BB11=1,G11="warm-intro"),1,0)</f>
        <v>1</v>
      </c>
      <c r="CH11" s="23" t="n">
        <f aca="false">IF(CG11=1,IF(COUNTIFS($AZ$2:$AZ$201,AZ11,$CG$2:$CG$201,1,$H$2:$H$201,"&lt;"&amp;H11)+COUNTIFS($AZ$2:$AZ$201,AZ11,$CG$2:$CG$201,1,$H$2:$H$201,H11,$BA$2:$BA$201,"&lt;"&amp;BA11)=0,1,0),0)</f>
        <v>1</v>
      </c>
      <c r="CI11" s="23" t="n">
        <f aca="false">IF(AND(BB11=1,Q11="Y"),1,0)</f>
        <v>0</v>
      </c>
      <c r="CJ11" s="23" t="n">
        <f aca="false">IF(CI11=1,IF(COUNTIFS($AZ$2:$AZ$201,AZ11,$CI$2:$CI$201,1,$H$2:$H$201,"&lt;"&amp;H11)+COUNTIFS($AZ$2:$AZ$201,AZ11,$CI$2:$CI$201,1,$H$2:$H$201,H11,$BA$2:$BA$201,"&lt;"&amp;BA11)=0,1,0),0)</f>
        <v>0</v>
      </c>
      <c r="CK11" s="23" t="n">
        <f aca="false">IF(AND(BB11=1,AF11="Y"),1,0)</f>
        <v>1</v>
      </c>
      <c r="CL11" s="23" t="n">
        <f aca="false">IF(CK11=1,IF(COUNTIFS($AZ$2:$AZ$201,AZ11,$CK$2:$CK$201,1,$H$2:$H$201,"&lt;"&amp;H11)+COUNTIFS($AZ$2:$AZ$201,AZ11,$CK$2:$CK$201,1,$H$2:$H$201,H11,$BA$2:$BA$201,"&lt;"&amp;BA11)=0,1,0),0)</f>
        <v>1</v>
      </c>
      <c r="CM11" s="23" t="n">
        <f aca="false">IF(AND(BB11=1,U11="Y"),1,0)</f>
        <v>1</v>
      </c>
      <c r="CN11" s="23" t="n">
        <f aca="false">IF(CM11=1,IF(COUNTIFS($AZ$2:$AZ$201,AZ11,$CM$2:$CM$201,1,$H$2:$H$201,"&lt;"&amp;H11)+COUNTIFS($AZ$2:$AZ$201,AZ11,$CM$2:$CM$201,1,$H$2:$H$201,H11,$BA$2:$BA$201,"&lt;"&amp;BA11)=0,1,0),0)</f>
        <v>1</v>
      </c>
      <c r="CO11" s="23" t="n">
        <f aca="false">IF(AND(BB11=1,L11="Y"),1,0)</f>
        <v>0</v>
      </c>
      <c r="CP11" s="23" t="n">
        <f aca="false">IF(CO11=1,IF(COUNTIFS($AZ$2:$AZ$201,AZ11,$CO$2:$CO$201,1,$H$2:$H$201,"&lt;"&amp;H11)+COUNTIFS($AZ$2:$AZ$201,AZ11,$CO$2:$CO$201,1,$H$2:$H$201,H11,$BA$2:$BA$201,"&lt;"&amp;BA11)=0,1,0),0)</f>
        <v>0</v>
      </c>
      <c r="CQ11" s="23" t="n">
        <f aca="false">IF(AND(BB11=1,ISNUMBER(O11)),1,0)</f>
        <v>1</v>
      </c>
      <c r="CR11" s="23" t="n">
        <f aca="false">IF(CQ11=1,IF(COUNTIFS($AZ$2:$AZ$201,AZ11,$CQ$2:$CQ$201,1,$H$2:$H$201,"&lt;"&amp;H11)+COUNTIFS($AZ$2:$AZ$201,AZ11,$CQ$2:$CQ$201,1,$H$2:$H$201,H11,$BA$2:$BA$201,"&lt;"&amp;BA11)=0,1,0),0)</f>
        <v>1</v>
      </c>
      <c r="CS11" s="23" t="n">
        <f aca="false">IF(AND(CR11=1,INT(N(H11))&lt;=Config!$B$5),O11,"")</f>
        <v>110</v>
      </c>
      <c r="CT11" s="23" t="str">
        <f aca="false">IF(AND(BB11=1,INT(N(H11))&lt;=Config!$B$5),AG11&amp;"","")</f>
        <v/>
      </c>
      <c r="CU11" s="23" t="n">
        <f aca="false">IF(AND(BB11=1,AU11="Y"),1,0)</f>
        <v>0</v>
      </c>
      <c r="CV11" s="23" t="n">
        <f aca="false">IF(CU11=1,IF(COUNTIFS($AZ$2:$AZ$201,AZ11,$CU$2:$CU$201,1,$H$2:$H$201,"&lt;"&amp;H11)+COUNTIFS($AZ$2:$AZ$201,AZ11,$CU$2:$CU$201,1,$H$2:$H$201,H11,$BA$2:$BA$201,"&lt;"&amp;BA11)=0,1,0),0)</f>
        <v>0</v>
      </c>
      <c r="CW11" s="23" t="n">
        <f aca="false">IF(BB11=1,IFERROR(MATCH($A11,INDEX(Clay_Offices!$A$2:$FZ$601,0,Sync!$C$5),0),""),"")</f>
        <v>10</v>
      </c>
      <c r="CX11" s="23" t="str">
        <f aca="false">IF(CW11="","",IFERROR(INDEX(Clay_Offices!$A$2:$FZ$601,CW11,Sync!$C$7)&amp;"",""))</f>
        <v>signed</v>
      </c>
      <c r="CY11" s="23" t="n">
        <f aca="false">IF(CX11="","",IFERROR(INDEX(Lists!$K$2:$K$15,MATCH(CX11,Lists!$J$2:$J$15,0)),""))</f>
        <v>9</v>
      </c>
      <c r="CZ11" s="23" t="str">
        <f aca="false">IF(CW11="","",IFERROR(INDEX(Clay_Offices!$A$2:$FZ$601,CW11,Sync!$C$17)&amp;"",""))</f>
        <v>Y</v>
      </c>
      <c r="DA11" s="35" t="n">
        <f aca="false">IF(CW11="","",IFERROR(N(INDEX(Clay_Offices!$A$2:$FZ$601,CW11,Sync!$C$16)),0))</f>
        <v>46336</v>
      </c>
      <c r="DB11" s="23" t="n">
        <f aca="false">IF(AND(BB11=1,OR(AR11="Y",AR11="N",AR11="maybe")),1,0)</f>
        <v>1</v>
      </c>
      <c r="DC11" s="23" t="n">
        <f aca="false">IF(AND(DB11=1),IF(COUNTIFS($A$2:$A$201,$A11,$DB$2:$DB$201,1,$H$2:$H$201,"&gt;"&amp;H11)+COUNTIFS($A$2:$A$201,$A11,$DB$2:$DB$201,1,$H$2:$H$201,H11,$BA$2:$BA$201,"&gt;"&amp;BA11)=0,1,0),0)</f>
        <v>1</v>
      </c>
      <c r="DD11" s="23" t="n">
        <f aca="false">IF(AND(DB11=1,INT(N(H11))&lt;=Config!$B$6),IF(COUNTIFS($AZ$2:$AZ$201,AZ11,$DB$2:$DB$201,1,$H$2:$H$201,"&gt;"&amp;H11,$H$2:$H$201,"&lt;"&amp;(Config!$B$6+1))+COUNTIFS($AZ$2:$AZ$201,AZ11,$DB$2:$DB$201,1,$H$2:$H$201,H11,$BA$2:$BA$201,"&gt;"&amp;BA11)=0,1,0),0)</f>
        <v>0</v>
      </c>
      <c r="DE11" s="23" t="n">
        <f aca="false">IF(AND(DB11=1,INT(N(H11))&lt;=Config!$B$7),IF(COUNTIFS($AZ$2:$AZ$201,AZ11,$DB$2:$DB$201,1,$H$2:$H$201,"&gt;"&amp;H11,$H$2:$H$201,"&lt;"&amp;(Config!$B$7+1))+COUNTIFS($AZ$2:$AZ$201,AZ11,$DB$2:$DB$201,1,$H$2:$H$201,H11,$BA$2:$BA$201,"&gt;"&amp;BA11)=0,1,0),0)</f>
        <v>0</v>
      </c>
      <c r="DF11" s="23" t="n">
        <f aca="false">IF(AND(DB11=1,INT(N(H11))&lt;=Config!$B$8),IF(COUNTIFS($AZ$2:$AZ$201,AZ11,$DB$2:$DB$201,1,$H$2:$H$201,"&gt;"&amp;H11,$H$2:$H$201,"&lt;"&amp;(Config!$B$8+1))+COUNTIFS($AZ$2:$AZ$201,AZ11,$DB$2:$DB$201,1,$H$2:$H$201,H11,$BA$2:$BA$201,"&gt;"&amp;BA11)=0,1,0),0)</f>
        <v>1</v>
      </c>
      <c r="DG11" s="23" t="n">
        <f aca="false">IF(AND(DB11=1,INT(N(H11))&lt;=Config!$B$5),IF(COUNTIFS($AZ$2:$AZ$201,AZ11,$DB$2:$DB$201,1,$H$2:$H$201,"&gt;"&amp;H11,$H$2:$H$201,"&lt;"&amp;(Config!$B$5+1))+COUNTIFS($AZ$2:$AZ$201,AZ11,$DB$2:$DB$201,1,$H$2:$H$201,H11,$BA$2:$BA$201,"&gt;"&amp;BA11)=0,1,0),0)</f>
        <v>1</v>
      </c>
      <c r="DH11" s="23" t="n">
        <f aca="false">IF(BB11=1,IF(COUNTIFS($AZ$2:$AZ$201,AZ11,$DD$2:$DD$201,1,$AR$2:$AR$201,"Y")&gt;0,1,0),0)</f>
        <v>0</v>
      </c>
      <c r="DI11" s="23" t="n">
        <f aca="false">IF(BB11=1,IF(COUNTIFS($AZ$2:$AZ$201,AZ11,$DE$2:$DE$201,1,$AR$2:$AR$201,"Y")&gt;0,1,0),0)</f>
        <v>0</v>
      </c>
      <c r="DJ11" s="23" t="n">
        <f aca="false">IF(BB11=1,IF(COUNTIFS($AZ$2:$AZ$201,AZ11,$DF$2:$DF$201,1,$AR$2:$AR$201,"Y")&gt;0,1,0),0)</f>
        <v>1</v>
      </c>
      <c r="DK11" s="23" t="n">
        <f aca="false">IF(BB11=1,IF(COUNTIFS($AZ$2:$AZ$201,AZ11,$DG$2:$DG$201,1,$AR$2:$AR$201,"Y")&gt;0,1,0),0)</f>
        <v>1</v>
      </c>
      <c r="DL11" s="23" t="n">
        <f aca="false">IF(AND(BF11=1,INT(N(H11))&lt;=Config!$B$6,DH11=1,EI11=0),1,0)</f>
        <v>0</v>
      </c>
      <c r="DM11" s="23" t="n">
        <f aca="false">IF(AND(BF11=1,INT(N(H11))&lt;=Config!$B$7,DI11=1,EI11=0),1,0)</f>
        <v>0</v>
      </c>
      <c r="DN11" s="23" t="n">
        <f aca="false">IF(AND(BF11=1,INT(N(H11))&lt;=Config!$B$8,DJ11=1,EI11=0),1,0)</f>
        <v>1</v>
      </c>
      <c r="DO11" s="23" t="n">
        <f aca="false">IF(AND(BF11=1,INT(N(H11))&lt;=Config!$B$5,DK11=1,EI11=0),1,0)</f>
        <v>1</v>
      </c>
      <c r="DP11" s="23" t="n">
        <f aca="false">IF(AND(CC11=1,INT(N(H11))&lt;=Config!$B$6,DH11=1,EI11=0),1,0)</f>
        <v>0</v>
      </c>
      <c r="DQ11" s="23" t="n">
        <f aca="false">IF(AND(CC11=1,INT(N(H11))&lt;=Config!$B$7,DI11=1,EI11=0),1,0)</f>
        <v>0</v>
      </c>
      <c r="DR11" s="23" t="n">
        <f aca="false">IF(AND(CC11=1,INT(N(H11))&lt;=Config!$B$8,DJ11=1,EI11=0),1,0)</f>
        <v>1</v>
      </c>
      <c r="DS11" s="23" t="n">
        <f aca="false">IF(AND(CC11=1,INT(N(H11))&lt;=Config!$B$5,DK11=1,EI11=0),1,0)</f>
        <v>1</v>
      </c>
      <c r="DT11" s="23" t="n">
        <f aca="false">IF(AND(CC11=1,INT(N(H11))&lt;=Config!$B$6,DH11=0),1,0)</f>
        <v>0</v>
      </c>
      <c r="DU11" s="23" t="n">
        <f aca="false">IF(AND(CC11=1,INT(N(H11))&lt;=Config!$B$7,DI11=0),1,0)</f>
        <v>0</v>
      </c>
      <c r="DV11" s="23" t="n">
        <f aca="false">IF(AND(CC11=1,INT(N(H11))&lt;=Config!$B$8,DJ11=0),1,0)</f>
        <v>0</v>
      </c>
      <c r="DW11" s="23" t="n">
        <f aca="false">IF(AND(CC11=1,INT(N(H11))&lt;=Config!$B$5,DK11=0),1,0)</f>
        <v>0</v>
      </c>
      <c r="DX11" s="23" t="n">
        <f aca="false">IF(TRIM($A11)="",0,ISTEXT(M11)+ISTEXT(O11)+ISTEXT(Y11)+ISTEXT(Z11)+ISTEXT(AA11)+ISTEXT(AV11))</f>
        <v>0</v>
      </c>
      <c r="DY11" s="23" t="n">
        <f aca="false">IF(BB11=1,IF(H11&lt;&gt;INT(H11),1,0),0)</f>
        <v>0</v>
      </c>
      <c r="DZ11" s="23" t="str">
        <f aca="false">IF(TRIM($A11)="","",IF(TRIM(B11)="",SUBSTITUTE(SUBSTITUTE(SUBSTITUTE(SUBSTITUTE(SUBSTITUTE(SUBSTITUTE(LOWER(TRIM($A11)),"~",""),"*",""),"?",""),"&lt;",""),"&gt;",""),"=",""),SUBSTITUTE(SUBSTITUTE(SUBSTITUTE(SUBSTITUTE(SUBSTITUTE(SUBSTITUTE(LOWER(TRIM(B11)),"~",""),"*",""),"?",""),"&lt;",""),"&gt;",""),"=","")))</f>
        <v>sample office 10</v>
      </c>
      <c r="EA11" s="23" t="str">
        <f aca="false">IF(CW11="","",IFERROR(IF(LEFT(LOWER(TRIM(INDEX(Clay_Offices!$A$2:$FZ$601,CW11,Sync!$C$19)&amp;"")),4)="grp-",SUBSTITUTE(SUBSTITUTE(SUBSTITUTE(SUBSTITUTE(SUBSTITUTE(SUBSTITUTE(LOWER(TRIM(INDEX(Clay_Offices!$A$2:$FZ$601,CW11,Sync!$C$19)&amp;"")),"~",""),"*",""),"?",""),"&lt;",""),"&gt;",""),"=",""),""),""))</f>
        <v/>
      </c>
      <c r="EB11" s="23" t="str">
        <f aca="false">IF(EA11&lt;&gt;"",DZ11,"")</f>
        <v/>
      </c>
      <c r="EC11" s="23" t="str">
        <f aca="false">IF(BC11=1,AZ11,"")</f>
        <v>sample office 10</v>
      </c>
      <c r="ED11" s="23" t="str">
        <f aca="false">IF(TRIM($A11)="","",IFERROR(INDEX($A$2:$A$201,MATCH(AZ11,$EC$2:$EC$201,0))&amp;"",$A11&amp;""))</f>
        <v>SAMPLE-O-010</v>
      </c>
      <c r="EE11" s="23" t="n">
        <f aca="false">IF(BB11=1,IF(COUNTIFS($A$2:$A$201,$A11,$BB$2:$BB$201,1,$H$2:$H$201,"&lt;"&amp;H11)+COUNTIFS($A$2:$A$201,$A11,$BB$2:$BB$201,1,$H$2:$H$201,H11,$BA$2:$BA$201,"&lt;"&amp;BA11)=0,1,0),0)</f>
        <v>1</v>
      </c>
      <c r="EF11" s="23" t="n">
        <f aca="false">IF(BC11=1,IF(COUNTIFS($AZ$2:$AZ$201,AZ11,$EE$2:$EE$201,1)&gt;1,1,0),0)</f>
        <v>0</v>
      </c>
      <c r="EG11" s="23" t="n">
        <f aca="false">IF(AND(CQ11=1),IF(COUNTIFS($AZ$2:$AZ$201,AZ11,$CQ$2:$CQ$201,1,$H$2:$H$201,"&gt;"&amp;H11)+COUNTIFS($AZ$2:$AZ$201,AZ11,$CQ$2:$CQ$201,1,$H$2:$H$201,H11,$BA$2:$BA$201,"&gt;"&amp;BA11)=0,1,0),0)</f>
        <v>1</v>
      </c>
      <c r="EH11" s="23" t="n">
        <f aca="false">IF(BB11=1,IF(COUNTIFS($AZ$2:$AZ$201,AZ11,$EG$2:$EG$201,1)=0,"",SUMIFS($O$2:$O$201,$AZ$2:$AZ$201,AZ11,$EG$2:$EG$201,1)),"")</f>
        <v>110</v>
      </c>
      <c r="EI11" s="23" t="n">
        <f aca="false">IF(AND(ISNUMBER(EH11),OR(N(EH11)&lt;Config!$B$31,N(EH11)&gt;Config!$B$33)),1,0)</f>
        <v>0</v>
      </c>
      <c r="EJ11" s="23" t="n">
        <f aca="false">IF(AND(ISNUMBER(EH11),N(EH11)&gt;=Config!$B$31,N(EH11)&lt;Config!$B$32),1,0)</f>
        <v>0</v>
      </c>
      <c r="EK11" s="23" t="n">
        <f aca="false">IF(AND(BF11=1,INT(N(H11))&lt;=Config!$B$6,DH11=1,EI11=1),1,0)</f>
        <v>0</v>
      </c>
      <c r="EL11" s="23" t="n">
        <f aca="false">IF(AND(BF11=1,INT(N(H11))&lt;=Config!$B$7,DI11=1,EI11=1),1,0)</f>
        <v>0</v>
      </c>
      <c r="EM11" s="23" t="n">
        <f aca="false">IF(AND(BF11=1,INT(N(H11))&lt;=Config!$B$8,DJ11=1,EI11=1),1,0)</f>
        <v>0</v>
      </c>
      <c r="EN11" s="23" t="n">
        <f aca="false">IF(AND(BF11=1,INT(N(H11))&lt;=Config!$B$5,DK11=1,EI11=1),1,0)</f>
        <v>0</v>
      </c>
      <c r="EO11" s="23" t="n">
        <f aca="false">IF(AND(DL11=1,EJ11=1),1,0)</f>
        <v>0</v>
      </c>
      <c r="EP11" s="23" t="n">
        <f aca="false">IF(AND(DM11=1,EJ11=1),1,0)</f>
        <v>0</v>
      </c>
      <c r="EQ11" s="23" t="n">
        <f aca="false">IF(AND(DN11=1,EJ11=1),1,0)</f>
        <v>0</v>
      </c>
      <c r="ER11" s="23" t="n">
        <f aca="false">IF(AND(DO11=1,EJ11=1),1,0)</f>
        <v>0</v>
      </c>
    </row>
    <row r="12" customFormat="false" ht="15" hidden="false" customHeight="false" outlineLevel="0" collapsed="false">
      <c r="A12" s="0" t="s">
        <v>565</v>
      </c>
      <c r="B12" s="0" t="s">
        <v>566</v>
      </c>
      <c r="D12" s="0" t="s">
        <v>567</v>
      </c>
      <c r="E12" s="0" t="s">
        <v>451</v>
      </c>
      <c r="F12" s="0" t="s">
        <v>480</v>
      </c>
      <c r="G12" s="32" t="s">
        <v>481</v>
      </c>
      <c r="H12" s="33" t="n">
        <v>46338</v>
      </c>
      <c r="I12" s="32" t="s">
        <v>482</v>
      </c>
      <c r="J12" s="32" t="s">
        <v>568</v>
      </c>
      <c r="K12" s="32" t="s">
        <v>456</v>
      </c>
      <c r="L12" s="32" t="s">
        <v>457</v>
      </c>
      <c r="O12" s="0" t="n">
        <v>80</v>
      </c>
      <c r="P12" s="32" t="s">
        <v>569</v>
      </c>
      <c r="Q12" s="32" t="s">
        <v>460</v>
      </c>
      <c r="R12" s="32" t="s">
        <v>461</v>
      </c>
      <c r="S12" s="32" t="s">
        <v>462</v>
      </c>
      <c r="T12" s="32" t="s">
        <v>463</v>
      </c>
      <c r="U12" s="32" t="s">
        <v>460</v>
      </c>
      <c r="V12" s="32" t="s">
        <v>464</v>
      </c>
      <c r="W12" s="32" t="s">
        <v>457</v>
      </c>
      <c r="AA12" s="0" t="n">
        <v>0</v>
      </c>
      <c r="AC12" s="32" t="s">
        <v>457</v>
      </c>
      <c r="AF12" s="32" t="s">
        <v>460</v>
      </c>
      <c r="AH12" s="32" t="s">
        <v>570</v>
      </c>
      <c r="AI12" s="32" t="s">
        <v>469</v>
      </c>
      <c r="AJ12" s="32" t="s">
        <v>470</v>
      </c>
      <c r="AK12" s="32" t="s">
        <v>471</v>
      </c>
      <c r="AL12" s="32" t="s">
        <v>472</v>
      </c>
      <c r="AM12" s="32" t="s">
        <v>473</v>
      </c>
      <c r="AN12" s="32" t="s">
        <v>98</v>
      </c>
      <c r="AQ12" s="32" t="s">
        <v>571</v>
      </c>
      <c r="AR12" s="32" t="s">
        <v>460</v>
      </c>
      <c r="AS12" s="32" t="s">
        <v>475</v>
      </c>
      <c r="AT12" s="32"/>
      <c r="AU12" s="32"/>
      <c r="AV12" s="0" t="n">
        <v>8</v>
      </c>
      <c r="AW12" s="32" t="s">
        <v>460</v>
      </c>
      <c r="AY12" s="34" t="str">
        <f aca="false">IF(TRIM($A12)="","",IF(AND(LEFT($A12,6)="SAMPLE",Config!$B$19&lt;&gt;"Y"),"",IF(NOT(ISNUMBER(H12)),"call_date is blank or not a date",IF(Sync!$C$5="","Clay paste is empty or has no row_id column: paste the Clay export on Clay_Offices",IF(CW12="","row_id not found in the Clay paste: add the Clay row or fix the row_id",IF(AND(ISNUMBER(CY12),CY12&gt;=1,CY12&lt;=5),"Clay status is "&amp;CX12&amp;": set call_done or later",IF(AND(BD12=1,CZ12&lt;&gt;BZ12),"Clay yes_in_principle should be "&amp;BZ12,IF(AND(BD12=1,DA12&lt;&gt;H12),"Clay call_date should be "&amp;TEXT(H12,"yyyy-mm-dd"),""))))))))</f>
        <v/>
      </c>
      <c r="AZ12" s="23" t="str">
        <f aca="false">IF(TRIM($A12)="","",IF(TRIM(C12)&lt;&gt;"",SUBSTITUTE(SUBSTITUTE(SUBSTITUTE(SUBSTITUTE(SUBSTITUTE(SUBSTITUTE(LOWER(TRIM(C12)),"~",""),"*",""),"?",""),"&lt;",""),"&gt;",""),"=",""),IF(EA12&lt;&gt;"",EA12,IFERROR(INDEX($EA$2:$EA$201,MATCH(DZ12,$EB$2:$EB$201,0)),DZ12))))</f>
        <v>sample office 11</v>
      </c>
      <c r="BA12" s="23" t="n">
        <f aca="false">ROW()</f>
        <v>12</v>
      </c>
      <c r="BB12" s="23" t="n">
        <f aca="false">IF(AND(TRIM($A12)&lt;&gt;"",ISNUMBER(H12)),IF(AND(LEFT($A12,6)="SAMPLE",Config!$B$19&lt;&gt;"Y"),0,1),0)</f>
        <v>1</v>
      </c>
      <c r="BC12" s="23" t="n">
        <f aca="false">IF(BB12=1,IF(COUNTIFS($AZ$2:$AZ$201,AZ12,$BB$2:$BB$201,1,$H$2:$H$201,"&lt;"&amp;H12)+COUNTIFS($AZ$2:$AZ$201,AZ12,$BB$2:$BB$201,1,$H$2:$H$201,H12,$BA$2:$BA$201,"&lt;"&amp;BA12)=0,1,0),0)</f>
        <v>1</v>
      </c>
      <c r="BD12" s="23" t="n">
        <f aca="false">IF(BB12=1,IF(COUNTIFS($A$2:$A$201,$A12,$BB$2:$BB$201,1,$H$2:$H$201,"&gt;"&amp;H12)+COUNTIFS($A$2:$A$201,$A12,$BB$2:$BB$201,1,$H$2:$H$201,H12,$BA$2:$BA$201,"&gt;"&amp;BA12)=0,1,0),0)</f>
        <v>1</v>
      </c>
      <c r="BE12" s="23" t="n">
        <f aca="false">IF(AND(BB12=1,AR12="Y",AC12="Y",TRIM(AH12)&lt;&gt;""),1,0)</f>
        <v>0</v>
      </c>
      <c r="BF12" s="23" t="n">
        <f aca="false">IF(BE12=1,IF(COUNTIFS($AZ$2:$AZ$201,AZ12,$BE$2:$BE$201,1,$H$2:$H$201,"&lt;"&amp;H12)+COUNTIFS($AZ$2:$AZ$201,AZ12,$BE$2:$BE$201,1,$H$2:$H$201,H12,$BA$2:$BA$201,"&lt;"&amp;BA12)=0,1,0),0)</f>
        <v>0</v>
      </c>
      <c r="BG12" s="23" t="n">
        <f aca="false">IF(AND(BB12=1,AR12="Y",BE12=0),1,0)</f>
        <v>1</v>
      </c>
      <c r="BH12" s="23" t="n">
        <f aca="false">IF(AND(BB12=1,ISNUMBER(Y12)),1,0)</f>
        <v>0</v>
      </c>
      <c r="BI12" s="23" t="n">
        <f aca="false">IF(BH12=1,IF(COUNTIFS($AZ$2:$AZ$201,AZ12,$BH$2:$BH$201,1,$H$2:$H$201,"&lt;"&amp;H12)+COUNTIFS($AZ$2:$AZ$201,AZ12,$BH$2:$BH$201,1,$H$2:$H$201,H12,$BA$2:$BA$201,"&lt;"&amp;BA12)=0,1,0),0)</f>
        <v>0</v>
      </c>
      <c r="BJ12" s="23" t="str">
        <f aca="false">IF(AND(BI12=1,INT(N(H12))&lt;=Config!$B$6),Y12,"")</f>
        <v/>
      </c>
      <c r="BK12" s="23" t="str">
        <f aca="false">IF(AND(BI12=1,INT(N(H12))&lt;=Config!$B$7),Y12,"")</f>
        <v/>
      </c>
      <c r="BL12" s="23" t="str">
        <f aca="false">IF(AND(BI12=1,INT(N(H12))&lt;=Config!$B$8),Y12,"")</f>
        <v/>
      </c>
      <c r="BM12" s="23" t="str">
        <f aca="false">IF(AND(BI12=1,INT(N(H12))&lt;=Config!$B$5),Y12,"")</f>
        <v/>
      </c>
      <c r="BN12" s="23" t="n">
        <f aca="false">IF(CD12=1,IF(COUNTIFS($AZ$2:$AZ$201,AZ12,$CD$2:$CD$201,1,$H$2:$H$201,"&lt;"&amp;H12)+COUNTIFS($AZ$2:$AZ$201,AZ12,$CD$2:$CD$201,1,$H$2:$H$201,H12,$BA$2:$BA$201,"&lt;"&amp;BA12)=0,1,0),0)</f>
        <v>0</v>
      </c>
      <c r="BO12" s="23" t="n">
        <f aca="false">IF(AND(BB12=1,ISNUMBER(M12)),1,0)</f>
        <v>0</v>
      </c>
      <c r="BP12" s="23" t="n">
        <f aca="false">IF(BO12=1,IF(COUNTIFS($AZ$2:$AZ$201,AZ12,$BO$2:$BO$201,1,$H$2:$H$201,"&lt;"&amp;H12)+COUNTIFS($AZ$2:$AZ$201,AZ12,$BO$2:$BO$201,1,$H$2:$H$201,H12,$BA$2:$BA$201,"&lt;"&amp;BA12)=0,1,0),0)</f>
        <v>0</v>
      </c>
      <c r="BQ12" s="23" t="str">
        <f aca="false">IF(AND(BP12=1,INT(N(H12))&lt;=Config!$B$5),M12,"")</f>
        <v/>
      </c>
      <c r="BR12" s="23" t="n">
        <f aca="false">IF(AND(BB12=1,OR(TRIM(X12)&lt;&gt;"",ISNUMBER(Y12))),1,0)</f>
        <v>0</v>
      </c>
      <c r="BS12" s="23" t="n">
        <f aca="false">IF(BR12=1,IF(COUNTIFS($AZ$2:$AZ$201,AZ12,$BR$2:$BR$201,1,$H$2:$H$201,"&lt;"&amp;H12)+COUNTIFS($AZ$2:$AZ$201,AZ12,$BR$2:$BR$201,1,$H$2:$H$201,H12,$BA$2:$BA$201,"&lt;"&amp;BA12)=0,1,0),0)</f>
        <v>0</v>
      </c>
      <c r="BT12" s="23" t="str">
        <f aca="false">IF(BS12=1,AZ12,"")</f>
        <v/>
      </c>
      <c r="BU12" s="23" t="n">
        <f aca="false">IF(AND(BB12=1,W12="Y",TRIM(X12)=""),1,0)</f>
        <v>0</v>
      </c>
      <c r="BV12" s="23" t="str">
        <f aca="false">IF(BB12=1,AN12&amp;"","")</f>
        <v>needs_approval</v>
      </c>
      <c r="BW12" s="23" t="str">
        <f aca="false">IF(BB12=1,AO12&amp;"","")</f>
        <v/>
      </c>
      <c r="BX12" s="23" t="str">
        <f aca="false">IF(BB12=1,AP12&amp;"","")</f>
        <v/>
      </c>
      <c r="BY12" s="23" t="n">
        <f aca="false">IF(AND(BB12=1,ISNUMBER(AV12),INT(N(H12))&lt;=Config!$B$5),AV12,"")</f>
        <v>8</v>
      </c>
      <c r="BZ12" s="23" t="str">
        <f aca="false">IF(BB12=1,IF(COUNTIFS($A$2:$A$201,$A12,$DC$2:$DC$201,1,$AR$2:$AR$201,"Y")&gt;0,"Y","N"),"")</f>
        <v>Y</v>
      </c>
      <c r="CA12" s="23" t="n">
        <f aca="false">IF(AND(BB12=1,AR12="maybe"),1,0)</f>
        <v>0</v>
      </c>
      <c r="CB12" s="23" t="n">
        <f aca="false">IF(CA12=1,IF(COUNTIFS($AZ$2:$AZ$201,AZ12,$CA$2:$CA$201,1,$H$2:$H$201,"&lt;"&amp;H12)+COUNTIFS($AZ$2:$AZ$201,AZ12,$CA$2:$CA$201,1,$H$2:$H$201,H12,$BA$2:$BA$201,"&lt;"&amp;BA12)=0,1,0),0)</f>
        <v>0</v>
      </c>
      <c r="CC12" s="23" t="n">
        <f aca="false">IF(AND(BB12=1,AR12="Y"),IF(COUNTIFS($AZ$2:$AZ$201,AZ12,$AR$2:$AR$201,"Y",$BB$2:$BB$201,1,$H$2:$H$201,"&lt;"&amp;H12)+COUNTIFS($AZ$2:$AZ$201,AZ12,$AR$2:$AR$201,"Y",$BB$2:$BB$201,1,$H$2:$H$201,H12,$BA$2:$BA$201,"&lt;"&amp;BA12)=0,1,0),0)</f>
        <v>1</v>
      </c>
      <c r="CD12" s="23" t="n">
        <f aca="false">IF(AND(BH12=1,N(Y12)&gt;=Config!$B$15),1,0)</f>
        <v>0</v>
      </c>
      <c r="CE12" s="23" t="n">
        <f aca="false">IF(AND(BB12=1,AT12="Y"),1,0)</f>
        <v>0</v>
      </c>
      <c r="CF12" s="23" t="n">
        <f aca="false">IF(CE12=1,IF(COUNTIFS($AZ$2:$AZ$201,AZ12,$CE$2:$CE$201,1,$H$2:$H$201,"&lt;"&amp;H12)+COUNTIFS($AZ$2:$AZ$201,AZ12,$CE$2:$CE$201,1,$H$2:$H$201,H12,$BA$2:$BA$201,"&lt;"&amp;BA12)=0,1,0),0)</f>
        <v>0</v>
      </c>
      <c r="CG12" s="23" t="n">
        <f aca="false">IF(AND(BB12=1,G12="warm-intro"),1,0)</f>
        <v>0</v>
      </c>
      <c r="CH12" s="23" t="n">
        <f aca="false">IF(CG12=1,IF(COUNTIFS($AZ$2:$AZ$201,AZ12,$CG$2:$CG$201,1,$H$2:$H$201,"&lt;"&amp;H12)+COUNTIFS($AZ$2:$AZ$201,AZ12,$CG$2:$CG$201,1,$H$2:$H$201,H12,$BA$2:$BA$201,"&lt;"&amp;BA12)=0,1,0),0)</f>
        <v>0</v>
      </c>
      <c r="CI12" s="23" t="n">
        <f aca="false">IF(AND(BB12=1,Q12="Y"),1,0)</f>
        <v>1</v>
      </c>
      <c r="CJ12" s="23" t="n">
        <f aca="false">IF(CI12=1,IF(COUNTIFS($AZ$2:$AZ$201,AZ12,$CI$2:$CI$201,1,$H$2:$H$201,"&lt;"&amp;H12)+COUNTIFS($AZ$2:$AZ$201,AZ12,$CI$2:$CI$201,1,$H$2:$H$201,H12,$BA$2:$BA$201,"&lt;"&amp;BA12)=0,1,0),0)</f>
        <v>1</v>
      </c>
      <c r="CK12" s="23" t="n">
        <f aca="false">IF(AND(BB12=1,AF12="Y"),1,0)</f>
        <v>1</v>
      </c>
      <c r="CL12" s="23" t="n">
        <f aca="false">IF(CK12=1,IF(COUNTIFS($AZ$2:$AZ$201,AZ12,$CK$2:$CK$201,1,$H$2:$H$201,"&lt;"&amp;H12)+COUNTIFS($AZ$2:$AZ$201,AZ12,$CK$2:$CK$201,1,$H$2:$H$201,H12,$BA$2:$BA$201,"&lt;"&amp;BA12)=0,1,0),0)</f>
        <v>1</v>
      </c>
      <c r="CM12" s="23" t="n">
        <f aca="false">IF(AND(BB12=1,U12="Y"),1,0)</f>
        <v>1</v>
      </c>
      <c r="CN12" s="23" t="n">
        <f aca="false">IF(CM12=1,IF(COUNTIFS($AZ$2:$AZ$201,AZ12,$CM$2:$CM$201,1,$H$2:$H$201,"&lt;"&amp;H12)+COUNTIFS($AZ$2:$AZ$201,AZ12,$CM$2:$CM$201,1,$H$2:$H$201,H12,$BA$2:$BA$201,"&lt;"&amp;BA12)=0,1,0),0)</f>
        <v>1</v>
      </c>
      <c r="CO12" s="23" t="n">
        <f aca="false">IF(AND(BB12=1,L12="Y"),1,0)</f>
        <v>0</v>
      </c>
      <c r="CP12" s="23" t="n">
        <f aca="false">IF(CO12=1,IF(COUNTIFS($AZ$2:$AZ$201,AZ12,$CO$2:$CO$201,1,$H$2:$H$201,"&lt;"&amp;H12)+COUNTIFS($AZ$2:$AZ$201,AZ12,$CO$2:$CO$201,1,$H$2:$H$201,H12,$BA$2:$BA$201,"&lt;"&amp;BA12)=0,1,0),0)</f>
        <v>0</v>
      </c>
      <c r="CQ12" s="23" t="n">
        <f aca="false">IF(AND(BB12=1,ISNUMBER(O12)),1,0)</f>
        <v>1</v>
      </c>
      <c r="CR12" s="23" t="n">
        <f aca="false">IF(CQ12=1,IF(COUNTIFS($AZ$2:$AZ$201,AZ12,$CQ$2:$CQ$201,1,$H$2:$H$201,"&lt;"&amp;H12)+COUNTIFS($AZ$2:$AZ$201,AZ12,$CQ$2:$CQ$201,1,$H$2:$H$201,H12,$BA$2:$BA$201,"&lt;"&amp;BA12)=0,1,0),0)</f>
        <v>1</v>
      </c>
      <c r="CS12" s="23" t="n">
        <f aca="false">IF(AND(CR12=1,INT(N(H12))&lt;=Config!$B$5),O12,"")</f>
        <v>80</v>
      </c>
      <c r="CT12" s="23" t="str">
        <f aca="false">IF(AND(BB12=1,INT(N(H12))&lt;=Config!$B$5),AG12&amp;"","")</f>
        <v/>
      </c>
      <c r="CU12" s="23" t="n">
        <f aca="false">IF(AND(BB12=1,AU12="Y"),1,0)</f>
        <v>0</v>
      </c>
      <c r="CV12" s="23" t="n">
        <f aca="false">IF(CU12=1,IF(COUNTIFS($AZ$2:$AZ$201,AZ12,$CU$2:$CU$201,1,$H$2:$H$201,"&lt;"&amp;H12)+COUNTIFS($AZ$2:$AZ$201,AZ12,$CU$2:$CU$201,1,$H$2:$H$201,H12,$BA$2:$BA$201,"&lt;"&amp;BA12)=0,1,0),0)</f>
        <v>0</v>
      </c>
      <c r="CW12" s="23" t="n">
        <f aca="false">IF(BB12=1,IFERROR(MATCH($A12,INDEX(Clay_Offices!$A$2:$FZ$601,0,Sync!$C$5),0),""),"")</f>
        <v>11</v>
      </c>
      <c r="CX12" s="23" t="str">
        <f aca="false">IF(CW12="","",IFERROR(INDEX(Clay_Offices!$A$2:$FZ$601,CW12,Sync!$C$7)&amp;"",""))</f>
        <v>yes_in_principle</v>
      </c>
      <c r="CY12" s="23" t="n">
        <f aca="false">IF(CX12="","",IFERROR(INDEX(Lists!$K$2:$K$15,MATCH(CX12,Lists!$J$2:$J$15,0)),""))</f>
        <v>7</v>
      </c>
      <c r="CZ12" s="23" t="str">
        <f aca="false">IF(CW12="","",IFERROR(INDEX(Clay_Offices!$A$2:$FZ$601,CW12,Sync!$C$17)&amp;"",""))</f>
        <v>Y</v>
      </c>
      <c r="DA12" s="35" t="n">
        <f aca="false">IF(CW12="","",IFERROR(N(INDEX(Clay_Offices!$A$2:$FZ$601,CW12,Sync!$C$16)),0))</f>
        <v>46338</v>
      </c>
      <c r="DB12" s="23" t="n">
        <f aca="false">IF(AND(BB12=1,OR(AR12="Y",AR12="N",AR12="maybe")),1,0)</f>
        <v>1</v>
      </c>
      <c r="DC12" s="23" t="n">
        <f aca="false">IF(AND(DB12=1),IF(COUNTIFS($A$2:$A$201,$A12,$DB$2:$DB$201,1,$H$2:$H$201,"&gt;"&amp;H12)+COUNTIFS($A$2:$A$201,$A12,$DB$2:$DB$201,1,$H$2:$H$201,H12,$BA$2:$BA$201,"&gt;"&amp;BA12)=0,1,0),0)</f>
        <v>1</v>
      </c>
      <c r="DD12" s="23" t="n">
        <f aca="false">IF(AND(DB12=1,INT(N(H12))&lt;=Config!$B$6),IF(COUNTIFS($AZ$2:$AZ$201,AZ12,$DB$2:$DB$201,1,$H$2:$H$201,"&gt;"&amp;H12,$H$2:$H$201,"&lt;"&amp;(Config!$B$6+1))+COUNTIFS($AZ$2:$AZ$201,AZ12,$DB$2:$DB$201,1,$H$2:$H$201,H12,$BA$2:$BA$201,"&gt;"&amp;BA12)=0,1,0),0)</f>
        <v>0</v>
      </c>
      <c r="DE12" s="23" t="n">
        <f aca="false">IF(AND(DB12=1,INT(N(H12))&lt;=Config!$B$7),IF(COUNTIFS($AZ$2:$AZ$201,AZ12,$DB$2:$DB$201,1,$H$2:$H$201,"&gt;"&amp;H12,$H$2:$H$201,"&lt;"&amp;(Config!$B$7+1))+COUNTIFS($AZ$2:$AZ$201,AZ12,$DB$2:$DB$201,1,$H$2:$H$201,H12,$BA$2:$BA$201,"&gt;"&amp;BA12)=0,1,0),0)</f>
        <v>0</v>
      </c>
      <c r="DF12" s="23" t="n">
        <f aca="false">IF(AND(DB12=1,INT(N(H12))&lt;=Config!$B$8),IF(COUNTIFS($AZ$2:$AZ$201,AZ12,$DB$2:$DB$201,1,$H$2:$H$201,"&gt;"&amp;H12,$H$2:$H$201,"&lt;"&amp;(Config!$B$8+1))+COUNTIFS($AZ$2:$AZ$201,AZ12,$DB$2:$DB$201,1,$H$2:$H$201,H12,$BA$2:$BA$201,"&gt;"&amp;BA12)=0,1,0),0)</f>
        <v>1</v>
      </c>
      <c r="DG12" s="23" t="n">
        <f aca="false">IF(AND(DB12=1,INT(N(H12))&lt;=Config!$B$5),IF(COUNTIFS($AZ$2:$AZ$201,AZ12,$DB$2:$DB$201,1,$H$2:$H$201,"&gt;"&amp;H12,$H$2:$H$201,"&lt;"&amp;(Config!$B$5+1))+COUNTIFS($AZ$2:$AZ$201,AZ12,$DB$2:$DB$201,1,$H$2:$H$201,H12,$BA$2:$BA$201,"&gt;"&amp;BA12)=0,1,0),0)</f>
        <v>1</v>
      </c>
      <c r="DH12" s="23" t="n">
        <f aca="false">IF(BB12=1,IF(COUNTIFS($AZ$2:$AZ$201,AZ12,$DD$2:$DD$201,1,$AR$2:$AR$201,"Y")&gt;0,1,0),0)</f>
        <v>0</v>
      </c>
      <c r="DI12" s="23" t="n">
        <f aca="false">IF(BB12=1,IF(COUNTIFS($AZ$2:$AZ$201,AZ12,$DE$2:$DE$201,1,$AR$2:$AR$201,"Y")&gt;0,1,0),0)</f>
        <v>0</v>
      </c>
      <c r="DJ12" s="23" t="n">
        <f aca="false">IF(BB12=1,IF(COUNTIFS($AZ$2:$AZ$201,AZ12,$DF$2:$DF$201,1,$AR$2:$AR$201,"Y")&gt;0,1,0),0)</f>
        <v>1</v>
      </c>
      <c r="DK12" s="23" t="n">
        <f aca="false">IF(BB12=1,IF(COUNTIFS($AZ$2:$AZ$201,AZ12,$DG$2:$DG$201,1,$AR$2:$AR$201,"Y")&gt;0,1,0),0)</f>
        <v>1</v>
      </c>
      <c r="DL12" s="23" t="n">
        <f aca="false">IF(AND(BF12=1,INT(N(H12))&lt;=Config!$B$6,DH12=1,EI12=0),1,0)</f>
        <v>0</v>
      </c>
      <c r="DM12" s="23" t="n">
        <f aca="false">IF(AND(BF12=1,INT(N(H12))&lt;=Config!$B$7,DI12=1,EI12=0),1,0)</f>
        <v>0</v>
      </c>
      <c r="DN12" s="23" t="n">
        <f aca="false">IF(AND(BF12=1,INT(N(H12))&lt;=Config!$B$8,DJ12=1,EI12=0),1,0)</f>
        <v>0</v>
      </c>
      <c r="DO12" s="23" t="n">
        <f aca="false">IF(AND(BF12=1,INT(N(H12))&lt;=Config!$B$5,DK12=1,EI12=0),1,0)</f>
        <v>0</v>
      </c>
      <c r="DP12" s="23" t="n">
        <f aca="false">IF(AND(CC12=1,INT(N(H12))&lt;=Config!$B$6,DH12=1,EI12=0),1,0)</f>
        <v>0</v>
      </c>
      <c r="DQ12" s="23" t="n">
        <f aca="false">IF(AND(CC12=1,INT(N(H12))&lt;=Config!$B$7,DI12=1,EI12=0),1,0)</f>
        <v>0</v>
      </c>
      <c r="DR12" s="23" t="n">
        <f aca="false">IF(AND(CC12=1,INT(N(H12))&lt;=Config!$B$8,DJ12=1,EI12=0),1,0)</f>
        <v>1</v>
      </c>
      <c r="DS12" s="23" t="n">
        <f aca="false">IF(AND(CC12=1,INT(N(H12))&lt;=Config!$B$5,DK12=1,EI12=0),1,0)</f>
        <v>1</v>
      </c>
      <c r="DT12" s="23" t="n">
        <f aca="false">IF(AND(CC12=1,INT(N(H12))&lt;=Config!$B$6,DH12=0),1,0)</f>
        <v>0</v>
      </c>
      <c r="DU12" s="23" t="n">
        <f aca="false">IF(AND(CC12=1,INT(N(H12))&lt;=Config!$B$7,DI12=0),1,0)</f>
        <v>0</v>
      </c>
      <c r="DV12" s="23" t="n">
        <f aca="false">IF(AND(CC12=1,INT(N(H12))&lt;=Config!$B$8,DJ12=0),1,0)</f>
        <v>0</v>
      </c>
      <c r="DW12" s="23" t="n">
        <f aca="false">IF(AND(CC12=1,INT(N(H12))&lt;=Config!$B$5,DK12=0),1,0)</f>
        <v>0</v>
      </c>
      <c r="DX12" s="23" t="n">
        <f aca="false">IF(TRIM($A12)="",0,ISTEXT(M12)+ISTEXT(O12)+ISTEXT(Y12)+ISTEXT(Z12)+ISTEXT(AA12)+ISTEXT(AV12))</f>
        <v>0</v>
      </c>
      <c r="DY12" s="23" t="n">
        <f aca="false">IF(BB12=1,IF(H12&lt;&gt;INT(H12),1,0),0)</f>
        <v>0</v>
      </c>
      <c r="DZ12" s="23" t="str">
        <f aca="false">IF(TRIM($A12)="","",IF(TRIM(B12)="",SUBSTITUTE(SUBSTITUTE(SUBSTITUTE(SUBSTITUTE(SUBSTITUTE(SUBSTITUTE(LOWER(TRIM($A12)),"~",""),"*",""),"?",""),"&lt;",""),"&gt;",""),"=",""),SUBSTITUTE(SUBSTITUTE(SUBSTITUTE(SUBSTITUTE(SUBSTITUTE(SUBSTITUTE(LOWER(TRIM(B12)),"~",""),"*",""),"?",""),"&lt;",""),"&gt;",""),"=","")))</f>
        <v>sample office 11</v>
      </c>
      <c r="EA12" s="23" t="str">
        <f aca="false">IF(CW12="","",IFERROR(IF(LEFT(LOWER(TRIM(INDEX(Clay_Offices!$A$2:$FZ$601,CW12,Sync!$C$19)&amp;"")),4)="grp-",SUBSTITUTE(SUBSTITUTE(SUBSTITUTE(SUBSTITUTE(SUBSTITUTE(SUBSTITUTE(LOWER(TRIM(INDEX(Clay_Offices!$A$2:$FZ$601,CW12,Sync!$C$19)&amp;"")),"~",""),"*",""),"?",""),"&lt;",""),"&gt;",""),"=",""),""),""))</f>
        <v/>
      </c>
      <c r="EB12" s="23" t="str">
        <f aca="false">IF(EA12&lt;&gt;"",DZ12,"")</f>
        <v/>
      </c>
      <c r="EC12" s="23" t="str">
        <f aca="false">IF(BC12=1,AZ12,"")</f>
        <v>sample office 11</v>
      </c>
      <c r="ED12" s="23" t="str">
        <f aca="false">IF(TRIM($A12)="","",IFERROR(INDEX($A$2:$A$201,MATCH(AZ12,$EC$2:$EC$201,0))&amp;"",$A12&amp;""))</f>
        <v>SAMPLE-O-011</v>
      </c>
      <c r="EE12" s="23" t="n">
        <f aca="false">IF(BB12=1,IF(COUNTIFS($A$2:$A$201,$A12,$BB$2:$BB$201,1,$H$2:$H$201,"&lt;"&amp;H12)+COUNTIFS($A$2:$A$201,$A12,$BB$2:$BB$201,1,$H$2:$H$201,H12,$BA$2:$BA$201,"&lt;"&amp;BA12)=0,1,0),0)</f>
        <v>1</v>
      </c>
      <c r="EF12" s="23" t="n">
        <f aca="false">IF(BC12=1,IF(COUNTIFS($AZ$2:$AZ$201,AZ12,$EE$2:$EE$201,1)&gt;1,1,0),0)</f>
        <v>0</v>
      </c>
      <c r="EG12" s="23" t="n">
        <f aca="false">IF(AND(CQ12=1),IF(COUNTIFS($AZ$2:$AZ$201,AZ12,$CQ$2:$CQ$201,1,$H$2:$H$201,"&gt;"&amp;H12)+COUNTIFS($AZ$2:$AZ$201,AZ12,$CQ$2:$CQ$201,1,$H$2:$H$201,H12,$BA$2:$BA$201,"&gt;"&amp;BA12)=0,1,0),0)</f>
        <v>1</v>
      </c>
      <c r="EH12" s="23" t="n">
        <f aca="false">IF(BB12=1,IF(COUNTIFS($AZ$2:$AZ$201,AZ12,$EG$2:$EG$201,1)=0,"",SUMIFS($O$2:$O$201,$AZ$2:$AZ$201,AZ12,$EG$2:$EG$201,1)),"")</f>
        <v>80</v>
      </c>
      <c r="EI12" s="23" t="n">
        <f aca="false">IF(AND(ISNUMBER(EH12),OR(N(EH12)&lt;Config!$B$31,N(EH12)&gt;Config!$B$33)),1,0)</f>
        <v>0</v>
      </c>
      <c r="EJ12" s="23" t="n">
        <f aca="false">IF(AND(ISNUMBER(EH12),N(EH12)&gt;=Config!$B$31,N(EH12)&lt;Config!$B$32),1,0)</f>
        <v>0</v>
      </c>
      <c r="EK12" s="23" t="n">
        <f aca="false">IF(AND(BF12=1,INT(N(H12))&lt;=Config!$B$6,DH12=1,EI12=1),1,0)</f>
        <v>0</v>
      </c>
      <c r="EL12" s="23" t="n">
        <f aca="false">IF(AND(BF12=1,INT(N(H12))&lt;=Config!$B$7,DI12=1,EI12=1),1,0)</f>
        <v>0</v>
      </c>
      <c r="EM12" s="23" t="n">
        <f aca="false">IF(AND(BF12=1,INT(N(H12))&lt;=Config!$B$8,DJ12=1,EI12=1),1,0)</f>
        <v>0</v>
      </c>
      <c r="EN12" s="23" t="n">
        <f aca="false">IF(AND(BF12=1,INT(N(H12))&lt;=Config!$B$5,DK12=1,EI12=1),1,0)</f>
        <v>0</v>
      </c>
      <c r="EO12" s="23" t="n">
        <f aca="false">IF(AND(DL12=1,EJ12=1),1,0)</f>
        <v>0</v>
      </c>
      <c r="EP12" s="23" t="n">
        <f aca="false">IF(AND(DM12=1,EJ12=1),1,0)</f>
        <v>0</v>
      </c>
      <c r="EQ12" s="23" t="n">
        <f aca="false">IF(AND(DN12=1,EJ12=1),1,0)</f>
        <v>0</v>
      </c>
      <c r="ER12" s="23" t="n">
        <f aca="false">IF(AND(DO12=1,EJ12=1),1,0)</f>
        <v>0</v>
      </c>
    </row>
    <row r="13" customFormat="false" ht="15" hidden="false" customHeight="false" outlineLevel="0" collapsed="false">
      <c r="A13" s="0" t="s">
        <v>572</v>
      </c>
      <c r="B13" s="0" t="s">
        <v>573</v>
      </c>
      <c r="D13" s="0" t="s">
        <v>574</v>
      </c>
      <c r="E13" s="0" t="s">
        <v>479</v>
      </c>
      <c r="F13" s="0" t="s">
        <v>480</v>
      </c>
      <c r="G13" s="32" t="s">
        <v>481</v>
      </c>
      <c r="H13" s="33" t="n">
        <v>46338</v>
      </c>
      <c r="I13" s="32" t="s">
        <v>454</v>
      </c>
      <c r="J13" s="32" t="s">
        <v>575</v>
      </c>
      <c r="K13" s="32" t="s">
        <v>495</v>
      </c>
      <c r="L13" s="32" t="s">
        <v>460</v>
      </c>
      <c r="M13" s="0" t="n">
        <v>900</v>
      </c>
      <c r="N13" s="32" t="s">
        <v>576</v>
      </c>
      <c r="O13" s="0" t="n">
        <v>95</v>
      </c>
      <c r="P13" s="32" t="s">
        <v>577</v>
      </c>
      <c r="Q13" s="32" t="s">
        <v>457</v>
      </c>
      <c r="R13" s="32" t="s">
        <v>461</v>
      </c>
      <c r="S13" s="32" t="s">
        <v>462</v>
      </c>
      <c r="T13" s="32" t="s">
        <v>463</v>
      </c>
      <c r="U13" s="32" t="s">
        <v>497</v>
      </c>
      <c r="V13" s="32" t="s">
        <v>464</v>
      </c>
      <c r="W13" s="32" t="s">
        <v>460</v>
      </c>
      <c r="X13" s="32" t="s">
        <v>578</v>
      </c>
      <c r="Y13" s="0" t="n">
        <v>100</v>
      </c>
      <c r="Z13" s="0" t="n">
        <v>100</v>
      </c>
      <c r="AA13" s="0" t="n">
        <v>0</v>
      </c>
      <c r="AC13" s="32" t="s">
        <v>460</v>
      </c>
      <c r="AD13" s="32" t="s">
        <v>579</v>
      </c>
      <c r="AE13" s="32" t="s">
        <v>451</v>
      </c>
      <c r="AF13" s="32" t="s">
        <v>457</v>
      </c>
      <c r="AG13" s="0" t="s">
        <v>580</v>
      </c>
      <c r="AI13" s="32" t="s">
        <v>500</v>
      </c>
      <c r="AJ13" s="32" t="s">
        <v>511</v>
      </c>
      <c r="AL13" s="32" t="s">
        <v>488</v>
      </c>
      <c r="AM13" s="32" t="s">
        <v>473</v>
      </c>
      <c r="AN13" s="32" t="s">
        <v>119</v>
      </c>
      <c r="AQ13" s="32" t="s">
        <v>581</v>
      </c>
      <c r="AR13" s="32" t="s">
        <v>497</v>
      </c>
      <c r="AT13" s="32" t="s">
        <v>460</v>
      </c>
      <c r="AU13" s="32"/>
      <c r="AV13" s="0" t="n">
        <v>13</v>
      </c>
      <c r="AW13" s="32" t="s">
        <v>460</v>
      </c>
      <c r="AY13" s="34" t="str">
        <f aca="false">IF(TRIM($A13)="","",IF(AND(LEFT($A13,6)="SAMPLE",Config!$B$19&lt;&gt;"Y"),"",IF(NOT(ISNUMBER(H13)),"call_date is blank or not a date",IF(Sync!$C$5="","Clay paste is empty or has no row_id column: paste the Clay export on Clay_Offices",IF(CW13="","row_id not found in the Clay paste: add the Clay row or fix the row_id",IF(AND(ISNUMBER(CY13),CY13&gt;=1,CY13&lt;=5),"Clay status is "&amp;CX13&amp;": set call_done or later",IF(AND(BD13=1,CZ13&lt;&gt;BZ13),"Clay yes_in_principle should be "&amp;BZ13,IF(AND(BD13=1,DA13&lt;&gt;H13),"Clay call_date should be "&amp;TEXT(H13,"yyyy-mm-dd"),""))))))))</f>
        <v/>
      </c>
      <c r="AZ13" s="23" t="str">
        <f aca="false">IF(TRIM($A13)="","",IF(TRIM(C13)&lt;&gt;"",SUBSTITUTE(SUBSTITUTE(SUBSTITUTE(SUBSTITUTE(SUBSTITUTE(SUBSTITUTE(LOWER(TRIM(C13)),"~",""),"*",""),"?",""),"&lt;",""),"&gt;",""),"=",""),IF(EA13&lt;&gt;"",EA13,IFERROR(INDEX($EA$2:$EA$201,MATCH(DZ13,$EB$2:$EB$201,0)),DZ13))))</f>
        <v>sample office 12</v>
      </c>
      <c r="BA13" s="23" t="n">
        <f aca="false">ROW()</f>
        <v>13</v>
      </c>
      <c r="BB13" s="23" t="n">
        <f aca="false">IF(AND(TRIM($A13)&lt;&gt;"",ISNUMBER(H13)),IF(AND(LEFT($A13,6)="SAMPLE",Config!$B$19&lt;&gt;"Y"),0,1),0)</f>
        <v>1</v>
      </c>
      <c r="BC13" s="23" t="n">
        <f aca="false">IF(BB13=1,IF(COUNTIFS($AZ$2:$AZ$201,AZ13,$BB$2:$BB$201,1,$H$2:$H$201,"&lt;"&amp;H13)+COUNTIFS($AZ$2:$AZ$201,AZ13,$BB$2:$BB$201,1,$H$2:$H$201,H13,$BA$2:$BA$201,"&lt;"&amp;BA13)=0,1,0),0)</f>
        <v>1</v>
      </c>
      <c r="BD13" s="23" t="n">
        <f aca="false">IF(BB13=1,IF(COUNTIFS($A$2:$A$201,$A13,$BB$2:$BB$201,1,$H$2:$H$201,"&gt;"&amp;H13)+COUNTIFS($A$2:$A$201,$A13,$BB$2:$BB$201,1,$H$2:$H$201,H13,$BA$2:$BA$201,"&gt;"&amp;BA13)=0,1,0),0)</f>
        <v>1</v>
      </c>
      <c r="BE13" s="23" t="n">
        <f aca="false">IF(AND(BB13=1,AR13="Y",AC13="Y",TRIM(AH13)&lt;&gt;""),1,0)</f>
        <v>0</v>
      </c>
      <c r="BF13" s="23" t="n">
        <f aca="false">IF(BE13=1,IF(COUNTIFS($AZ$2:$AZ$201,AZ13,$BE$2:$BE$201,1,$H$2:$H$201,"&lt;"&amp;H13)+COUNTIFS($AZ$2:$AZ$201,AZ13,$BE$2:$BE$201,1,$H$2:$H$201,H13,$BA$2:$BA$201,"&lt;"&amp;BA13)=0,1,0),0)</f>
        <v>0</v>
      </c>
      <c r="BG13" s="23" t="n">
        <f aca="false">IF(AND(BB13=1,AR13="Y",BE13=0),1,0)</f>
        <v>0</v>
      </c>
      <c r="BH13" s="23" t="n">
        <f aca="false">IF(AND(BB13=1,ISNUMBER(Y13)),1,0)</f>
        <v>1</v>
      </c>
      <c r="BI13" s="23" t="n">
        <f aca="false">IF(BH13=1,IF(COUNTIFS($AZ$2:$AZ$201,AZ13,$BH$2:$BH$201,1,$H$2:$H$201,"&lt;"&amp;H13)+COUNTIFS($AZ$2:$AZ$201,AZ13,$BH$2:$BH$201,1,$H$2:$H$201,H13,$BA$2:$BA$201,"&lt;"&amp;BA13)=0,1,0),0)</f>
        <v>1</v>
      </c>
      <c r="BJ13" s="23" t="str">
        <f aca="false">IF(AND(BI13=1,INT(N(H13))&lt;=Config!$B$6),Y13,"")</f>
        <v/>
      </c>
      <c r="BK13" s="23" t="str">
        <f aca="false">IF(AND(BI13=1,INT(N(H13))&lt;=Config!$B$7),Y13,"")</f>
        <v/>
      </c>
      <c r="BL13" s="23" t="n">
        <f aca="false">IF(AND(BI13=1,INT(N(H13))&lt;=Config!$B$8),Y13,"")</f>
        <v>100</v>
      </c>
      <c r="BM13" s="23" t="n">
        <f aca="false">IF(AND(BI13=1,INT(N(H13))&lt;=Config!$B$5),Y13,"")</f>
        <v>100</v>
      </c>
      <c r="BN13" s="23" t="n">
        <f aca="false">IF(CD13=1,IF(COUNTIFS($AZ$2:$AZ$201,AZ13,$CD$2:$CD$201,1,$H$2:$H$201,"&lt;"&amp;H13)+COUNTIFS($AZ$2:$AZ$201,AZ13,$CD$2:$CD$201,1,$H$2:$H$201,H13,$BA$2:$BA$201,"&lt;"&amp;BA13)=0,1,0),0)</f>
        <v>1</v>
      </c>
      <c r="BO13" s="23" t="n">
        <f aca="false">IF(AND(BB13=1,ISNUMBER(M13)),1,0)</f>
        <v>1</v>
      </c>
      <c r="BP13" s="23" t="n">
        <f aca="false">IF(BO13=1,IF(COUNTIFS($AZ$2:$AZ$201,AZ13,$BO$2:$BO$201,1,$H$2:$H$201,"&lt;"&amp;H13)+COUNTIFS($AZ$2:$AZ$201,AZ13,$BO$2:$BO$201,1,$H$2:$H$201,H13,$BA$2:$BA$201,"&lt;"&amp;BA13)=0,1,0),0)</f>
        <v>1</v>
      </c>
      <c r="BQ13" s="23" t="n">
        <f aca="false">IF(AND(BP13=1,INT(N(H13))&lt;=Config!$B$5),M13,"")</f>
        <v>900</v>
      </c>
      <c r="BR13" s="23" t="n">
        <f aca="false">IF(AND(BB13=1,OR(TRIM(X13)&lt;&gt;"",ISNUMBER(Y13))),1,0)</f>
        <v>1</v>
      </c>
      <c r="BS13" s="23" t="n">
        <f aca="false">IF(BR13=1,IF(COUNTIFS($AZ$2:$AZ$201,AZ13,$BR$2:$BR$201,1,$H$2:$H$201,"&lt;"&amp;H13)+COUNTIFS($AZ$2:$AZ$201,AZ13,$BR$2:$BR$201,1,$H$2:$H$201,H13,$BA$2:$BA$201,"&lt;"&amp;BA13)=0,1,0),0)</f>
        <v>1</v>
      </c>
      <c r="BT13" s="23" t="str">
        <f aca="false">IF(BS13=1,AZ13,"")</f>
        <v>sample office 12</v>
      </c>
      <c r="BU13" s="23" t="n">
        <f aca="false">IF(AND(BB13=1,W13="Y",TRIM(X13)=""),1,0)</f>
        <v>0</v>
      </c>
      <c r="BV13" s="23" t="str">
        <f aca="false">IF(BB13=1,AN13&amp;"","")</f>
        <v>building_receiving</v>
      </c>
      <c r="BW13" s="23" t="str">
        <f aca="false">IF(BB13=1,AO13&amp;"","")</f>
        <v/>
      </c>
      <c r="BX13" s="23" t="str">
        <f aca="false">IF(BB13=1,AP13&amp;"","")</f>
        <v/>
      </c>
      <c r="BY13" s="23" t="n">
        <f aca="false">IF(AND(BB13=1,ISNUMBER(AV13),INT(N(H13))&lt;=Config!$B$5),AV13,"")</f>
        <v>13</v>
      </c>
      <c r="BZ13" s="23" t="str">
        <f aca="false">IF(BB13=1,IF(COUNTIFS($A$2:$A$201,$A13,$DC$2:$DC$201,1,$AR$2:$AR$201,"Y")&gt;0,"Y","N"),"")</f>
        <v>N</v>
      </c>
      <c r="CA13" s="23" t="n">
        <f aca="false">IF(AND(BB13=1,AR13="maybe"),1,0)</f>
        <v>1</v>
      </c>
      <c r="CB13" s="23" t="n">
        <f aca="false">IF(CA13=1,IF(COUNTIFS($AZ$2:$AZ$201,AZ13,$CA$2:$CA$201,1,$H$2:$H$201,"&lt;"&amp;H13)+COUNTIFS($AZ$2:$AZ$201,AZ13,$CA$2:$CA$201,1,$H$2:$H$201,H13,$BA$2:$BA$201,"&lt;"&amp;BA13)=0,1,0),0)</f>
        <v>1</v>
      </c>
      <c r="CC13" s="23" t="n">
        <f aca="false">IF(AND(BB13=1,AR13="Y"),IF(COUNTIFS($AZ$2:$AZ$201,AZ13,$AR$2:$AR$201,"Y",$BB$2:$BB$201,1,$H$2:$H$201,"&lt;"&amp;H13)+COUNTIFS($AZ$2:$AZ$201,AZ13,$AR$2:$AR$201,"Y",$BB$2:$BB$201,1,$H$2:$H$201,H13,$BA$2:$BA$201,"&lt;"&amp;BA13)=0,1,0),0)</f>
        <v>0</v>
      </c>
      <c r="CD13" s="23" t="n">
        <f aca="false">IF(AND(BH13=1,N(Y13)&gt;=Config!$B$15),1,0)</f>
        <v>1</v>
      </c>
      <c r="CE13" s="23" t="n">
        <f aca="false">IF(AND(BB13=1,AT13="Y"),1,0)</f>
        <v>1</v>
      </c>
      <c r="CF13" s="23" t="n">
        <f aca="false">IF(CE13=1,IF(COUNTIFS($AZ$2:$AZ$201,AZ13,$CE$2:$CE$201,1,$H$2:$H$201,"&lt;"&amp;H13)+COUNTIFS($AZ$2:$AZ$201,AZ13,$CE$2:$CE$201,1,$H$2:$H$201,H13,$BA$2:$BA$201,"&lt;"&amp;BA13)=0,1,0),0)</f>
        <v>1</v>
      </c>
      <c r="CG13" s="23" t="n">
        <f aca="false">IF(AND(BB13=1,G13="warm-intro"),1,0)</f>
        <v>0</v>
      </c>
      <c r="CH13" s="23" t="n">
        <f aca="false">IF(CG13=1,IF(COUNTIFS($AZ$2:$AZ$201,AZ13,$CG$2:$CG$201,1,$H$2:$H$201,"&lt;"&amp;H13)+COUNTIFS($AZ$2:$AZ$201,AZ13,$CG$2:$CG$201,1,$H$2:$H$201,H13,$BA$2:$BA$201,"&lt;"&amp;BA13)=0,1,0),0)</f>
        <v>0</v>
      </c>
      <c r="CI13" s="23" t="n">
        <f aca="false">IF(AND(BB13=1,Q13="Y"),1,0)</f>
        <v>0</v>
      </c>
      <c r="CJ13" s="23" t="n">
        <f aca="false">IF(CI13=1,IF(COUNTIFS($AZ$2:$AZ$201,AZ13,$CI$2:$CI$201,1,$H$2:$H$201,"&lt;"&amp;H13)+COUNTIFS($AZ$2:$AZ$201,AZ13,$CI$2:$CI$201,1,$H$2:$H$201,H13,$BA$2:$BA$201,"&lt;"&amp;BA13)=0,1,0),0)</f>
        <v>0</v>
      </c>
      <c r="CK13" s="23" t="n">
        <f aca="false">IF(AND(BB13=1,AF13="Y"),1,0)</f>
        <v>0</v>
      </c>
      <c r="CL13" s="23" t="n">
        <f aca="false">IF(CK13=1,IF(COUNTIFS($AZ$2:$AZ$201,AZ13,$CK$2:$CK$201,1,$H$2:$H$201,"&lt;"&amp;H13)+COUNTIFS($AZ$2:$AZ$201,AZ13,$CK$2:$CK$201,1,$H$2:$H$201,H13,$BA$2:$BA$201,"&lt;"&amp;BA13)=0,1,0),0)</f>
        <v>0</v>
      </c>
      <c r="CM13" s="23" t="n">
        <f aca="false">IF(AND(BB13=1,U13="Y"),1,0)</f>
        <v>0</v>
      </c>
      <c r="CN13" s="23" t="n">
        <f aca="false">IF(CM13=1,IF(COUNTIFS($AZ$2:$AZ$201,AZ13,$CM$2:$CM$201,1,$H$2:$H$201,"&lt;"&amp;H13)+COUNTIFS($AZ$2:$AZ$201,AZ13,$CM$2:$CM$201,1,$H$2:$H$201,H13,$BA$2:$BA$201,"&lt;"&amp;BA13)=0,1,0),0)</f>
        <v>0</v>
      </c>
      <c r="CO13" s="23" t="n">
        <f aca="false">IF(AND(BB13=1,L13="Y"),1,0)</f>
        <v>1</v>
      </c>
      <c r="CP13" s="23" t="n">
        <f aca="false">IF(CO13=1,IF(COUNTIFS($AZ$2:$AZ$201,AZ13,$CO$2:$CO$201,1,$H$2:$H$201,"&lt;"&amp;H13)+COUNTIFS($AZ$2:$AZ$201,AZ13,$CO$2:$CO$201,1,$H$2:$H$201,H13,$BA$2:$BA$201,"&lt;"&amp;BA13)=0,1,0),0)</f>
        <v>1</v>
      </c>
      <c r="CQ13" s="23" t="n">
        <f aca="false">IF(AND(BB13=1,ISNUMBER(O13)),1,0)</f>
        <v>1</v>
      </c>
      <c r="CR13" s="23" t="n">
        <f aca="false">IF(CQ13=1,IF(COUNTIFS($AZ$2:$AZ$201,AZ13,$CQ$2:$CQ$201,1,$H$2:$H$201,"&lt;"&amp;H13)+COUNTIFS($AZ$2:$AZ$201,AZ13,$CQ$2:$CQ$201,1,$H$2:$H$201,H13,$BA$2:$BA$201,"&lt;"&amp;BA13)=0,1,0),0)</f>
        <v>1</v>
      </c>
      <c r="CS13" s="23" t="n">
        <f aca="false">IF(AND(CR13=1,INT(N(H13))&lt;=Config!$B$5),O13,"")</f>
        <v>95</v>
      </c>
      <c r="CT13" s="23" t="str">
        <f aca="false">IF(AND(BB13=1,INT(N(H13))&lt;=Config!$B$5),AG13&amp;"","")</f>
        <v>hr</v>
      </c>
      <c r="CU13" s="23" t="n">
        <f aca="false">IF(AND(BB13=1,AU13="Y"),1,0)</f>
        <v>0</v>
      </c>
      <c r="CV13" s="23" t="n">
        <f aca="false">IF(CU13=1,IF(COUNTIFS($AZ$2:$AZ$201,AZ13,$CU$2:$CU$201,1,$H$2:$H$201,"&lt;"&amp;H13)+COUNTIFS($AZ$2:$AZ$201,AZ13,$CU$2:$CU$201,1,$H$2:$H$201,H13,$BA$2:$BA$201,"&lt;"&amp;BA13)=0,1,0),0)</f>
        <v>0</v>
      </c>
      <c r="CW13" s="23" t="n">
        <f aca="false">IF(BB13=1,IFERROR(MATCH($A13,INDEX(Clay_Offices!$A$2:$FZ$601,0,Sync!$C$5),0),""),"")</f>
        <v>12</v>
      </c>
      <c r="CX13" s="23" t="str">
        <f aca="false">IF(CW13="","",IFERROR(INDEX(Clay_Offices!$A$2:$FZ$601,CW13,Sync!$C$7)&amp;"",""))</f>
        <v>call_done</v>
      </c>
      <c r="CY13" s="23" t="n">
        <f aca="false">IF(CX13="","",IFERROR(INDEX(Lists!$K$2:$K$15,MATCH(CX13,Lists!$J$2:$J$15,0)),""))</f>
        <v>6</v>
      </c>
      <c r="CZ13" s="23" t="str">
        <f aca="false">IF(CW13="","",IFERROR(INDEX(Clay_Offices!$A$2:$FZ$601,CW13,Sync!$C$17)&amp;"",""))</f>
        <v>N</v>
      </c>
      <c r="DA13" s="35" t="n">
        <f aca="false">IF(CW13="","",IFERROR(N(INDEX(Clay_Offices!$A$2:$FZ$601,CW13,Sync!$C$16)),0))</f>
        <v>46338</v>
      </c>
      <c r="DB13" s="23" t="n">
        <f aca="false">IF(AND(BB13=1,OR(AR13="Y",AR13="N",AR13="maybe")),1,0)</f>
        <v>1</v>
      </c>
      <c r="DC13" s="23" t="n">
        <f aca="false">IF(AND(DB13=1),IF(COUNTIFS($A$2:$A$201,$A13,$DB$2:$DB$201,1,$H$2:$H$201,"&gt;"&amp;H13)+COUNTIFS($A$2:$A$201,$A13,$DB$2:$DB$201,1,$H$2:$H$201,H13,$BA$2:$BA$201,"&gt;"&amp;BA13)=0,1,0),0)</f>
        <v>1</v>
      </c>
      <c r="DD13" s="23" t="n">
        <f aca="false">IF(AND(DB13=1,INT(N(H13))&lt;=Config!$B$6),IF(COUNTIFS($AZ$2:$AZ$201,AZ13,$DB$2:$DB$201,1,$H$2:$H$201,"&gt;"&amp;H13,$H$2:$H$201,"&lt;"&amp;(Config!$B$6+1))+COUNTIFS($AZ$2:$AZ$201,AZ13,$DB$2:$DB$201,1,$H$2:$H$201,H13,$BA$2:$BA$201,"&gt;"&amp;BA13)=0,1,0),0)</f>
        <v>0</v>
      </c>
      <c r="DE13" s="23" t="n">
        <f aca="false">IF(AND(DB13=1,INT(N(H13))&lt;=Config!$B$7),IF(COUNTIFS($AZ$2:$AZ$201,AZ13,$DB$2:$DB$201,1,$H$2:$H$201,"&gt;"&amp;H13,$H$2:$H$201,"&lt;"&amp;(Config!$B$7+1))+COUNTIFS($AZ$2:$AZ$201,AZ13,$DB$2:$DB$201,1,$H$2:$H$201,H13,$BA$2:$BA$201,"&gt;"&amp;BA13)=0,1,0),0)</f>
        <v>0</v>
      </c>
      <c r="DF13" s="23" t="n">
        <f aca="false">IF(AND(DB13=1,INT(N(H13))&lt;=Config!$B$8),IF(COUNTIFS($AZ$2:$AZ$201,AZ13,$DB$2:$DB$201,1,$H$2:$H$201,"&gt;"&amp;H13,$H$2:$H$201,"&lt;"&amp;(Config!$B$8+1))+COUNTIFS($AZ$2:$AZ$201,AZ13,$DB$2:$DB$201,1,$H$2:$H$201,H13,$BA$2:$BA$201,"&gt;"&amp;BA13)=0,1,0),0)</f>
        <v>1</v>
      </c>
      <c r="DG13" s="23" t="n">
        <f aca="false">IF(AND(DB13=1,INT(N(H13))&lt;=Config!$B$5),IF(COUNTIFS($AZ$2:$AZ$201,AZ13,$DB$2:$DB$201,1,$H$2:$H$201,"&gt;"&amp;H13,$H$2:$H$201,"&lt;"&amp;(Config!$B$5+1))+COUNTIFS($AZ$2:$AZ$201,AZ13,$DB$2:$DB$201,1,$H$2:$H$201,H13,$BA$2:$BA$201,"&gt;"&amp;BA13)=0,1,0),0)</f>
        <v>1</v>
      </c>
      <c r="DH13" s="23" t="n">
        <f aca="false">IF(BB13=1,IF(COUNTIFS($AZ$2:$AZ$201,AZ13,$DD$2:$DD$201,1,$AR$2:$AR$201,"Y")&gt;0,1,0),0)</f>
        <v>0</v>
      </c>
      <c r="DI13" s="23" t="n">
        <f aca="false">IF(BB13=1,IF(COUNTIFS($AZ$2:$AZ$201,AZ13,$DE$2:$DE$201,1,$AR$2:$AR$201,"Y")&gt;0,1,0),0)</f>
        <v>0</v>
      </c>
      <c r="DJ13" s="23" t="n">
        <f aca="false">IF(BB13=1,IF(COUNTIFS($AZ$2:$AZ$201,AZ13,$DF$2:$DF$201,1,$AR$2:$AR$201,"Y")&gt;0,1,0),0)</f>
        <v>0</v>
      </c>
      <c r="DK13" s="23" t="n">
        <f aca="false">IF(BB13=1,IF(COUNTIFS($AZ$2:$AZ$201,AZ13,$DG$2:$DG$201,1,$AR$2:$AR$201,"Y")&gt;0,1,0),0)</f>
        <v>0</v>
      </c>
      <c r="DL13" s="23" t="n">
        <f aca="false">IF(AND(BF13=1,INT(N(H13))&lt;=Config!$B$6,DH13=1,EI13=0),1,0)</f>
        <v>0</v>
      </c>
      <c r="DM13" s="23" t="n">
        <f aca="false">IF(AND(BF13=1,INT(N(H13))&lt;=Config!$B$7,DI13=1,EI13=0),1,0)</f>
        <v>0</v>
      </c>
      <c r="DN13" s="23" t="n">
        <f aca="false">IF(AND(BF13=1,INT(N(H13))&lt;=Config!$B$8,DJ13=1,EI13=0),1,0)</f>
        <v>0</v>
      </c>
      <c r="DO13" s="23" t="n">
        <f aca="false">IF(AND(BF13=1,INT(N(H13))&lt;=Config!$B$5,DK13=1,EI13=0),1,0)</f>
        <v>0</v>
      </c>
      <c r="DP13" s="23" t="n">
        <f aca="false">IF(AND(CC13=1,INT(N(H13))&lt;=Config!$B$6,DH13=1,EI13=0),1,0)</f>
        <v>0</v>
      </c>
      <c r="DQ13" s="23" t="n">
        <f aca="false">IF(AND(CC13=1,INT(N(H13))&lt;=Config!$B$7,DI13=1,EI13=0),1,0)</f>
        <v>0</v>
      </c>
      <c r="DR13" s="23" t="n">
        <f aca="false">IF(AND(CC13=1,INT(N(H13))&lt;=Config!$B$8,DJ13=1,EI13=0),1,0)</f>
        <v>0</v>
      </c>
      <c r="DS13" s="23" t="n">
        <f aca="false">IF(AND(CC13=1,INT(N(H13))&lt;=Config!$B$5,DK13=1,EI13=0),1,0)</f>
        <v>0</v>
      </c>
      <c r="DT13" s="23" t="n">
        <f aca="false">IF(AND(CC13=1,INT(N(H13))&lt;=Config!$B$6,DH13=0),1,0)</f>
        <v>0</v>
      </c>
      <c r="DU13" s="23" t="n">
        <f aca="false">IF(AND(CC13=1,INT(N(H13))&lt;=Config!$B$7,DI13=0),1,0)</f>
        <v>0</v>
      </c>
      <c r="DV13" s="23" t="n">
        <f aca="false">IF(AND(CC13=1,INT(N(H13))&lt;=Config!$B$8,DJ13=0),1,0)</f>
        <v>0</v>
      </c>
      <c r="DW13" s="23" t="n">
        <f aca="false">IF(AND(CC13=1,INT(N(H13))&lt;=Config!$B$5,DK13=0),1,0)</f>
        <v>0</v>
      </c>
      <c r="DX13" s="23" t="n">
        <f aca="false">IF(TRIM($A13)="",0,ISTEXT(M13)+ISTEXT(O13)+ISTEXT(Y13)+ISTEXT(Z13)+ISTEXT(AA13)+ISTEXT(AV13))</f>
        <v>0</v>
      </c>
      <c r="DY13" s="23" t="n">
        <f aca="false">IF(BB13=1,IF(H13&lt;&gt;INT(H13),1,0),0)</f>
        <v>0</v>
      </c>
      <c r="DZ13" s="23" t="str">
        <f aca="false">IF(TRIM($A13)="","",IF(TRIM(B13)="",SUBSTITUTE(SUBSTITUTE(SUBSTITUTE(SUBSTITUTE(SUBSTITUTE(SUBSTITUTE(LOWER(TRIM($A13)),"~",""),"*",""),"?",""),"&lt;",""),"&gt;",""),"=",""),SUBSTITUTE(SUBSTITUTE(SUBSTITUTE(SUBSTITUTE(SUBSTITUTE(SUBSTITUTE(LOWER(TRIM(B13)),"~",""),"*",""),"?",""),"&lt;",""),"&gt;",""),"=","")))</f>
        <v>sample office 12</v>
      </c>
      <c r="EA13" s="23" t="str">
        <f aca="false">IF(CW13="","",IFERROR(IF(LEFT(LOWER(TRIM(INDEX(Clay_Offices!$A$2:$FZ$601,CW13,Sync!$C$19)&amp;"")),4)="grp-",SUBSTITUTE(SUBSTITUTE(SUBSTITUTE(SUBSTITUTE(SUBSTITUTE(SUBSTITUTE(LOWER(TRIM(INDEX(Clay_Offices!$A$2:$FZ$601,CW13,Sync!$C$19)&amp;"")),"~",""),"*",""),"?",""),"&lt;",""),"&gt;",""),"=",""),""),""))</f>
        <v/>
      </c>
      <c r="EB13" s="23" t="str">
        <f aca="false">IF(EA13&lt;&gt;"",DZ13,"")</f>
        <v/>
      </c>
      <c r="EC13" s="23" t="str">
        <f aca="false">IF(BC13=1,AZ13,"")</f>
        <v>sample office 12</v>
      </c>
      <c r="ED13" s="23" t="str">
        <f aca="false">IF(TRIM($A13)="","",IFERROR(INDEX($A$2:$A$201,MATCH(AZ13,$EC$2:$EC$201,0))&amp;"",$A13&amp;""))</f>
        <v>SAMPLE-O-012</v>
      </c>
      <c r="EE13" s="23" t="n">
        <f aca="false">IF(BB13=1,IF(COUNTIFS($A$2:$A$201,$A13,$BB$2:$BB$201,1,$H$2:$H$201,"&lt;"&amp;H13)+COUNTIFS($A$2:$A$201,$A13,$BB$2:$BB$201,1,$H$2:$H$201,H13,$BA$2:$BA$201,"&lt;"&amp;BA13)=0,1,0),0)</f>
        <v>1</v>
      </c>
      <c r="EF13" s="23" t="n">
        <f aca="false">IF(BC13=1,IF(COUNTIFS($AZ$2:$AZ$201,AZ13,$EE$2:$EE$201,1)&gt;1,1,0),0)</f>
        <v>0</v>
      </c>
      <c r="EG13" s="23" t="n">
        <f aca="false">IF(AND(CQ13=1),IF(COUNTIFS($AZ$2:$AZ$201,AZ13,$CQ$2:$CQ$201,1,$H$2:$H$201,"&gt;"&amp;H13)+COUNTIFS($AZ$2:$AZ$201,AZ13,$CQ$2:$CQ$201,1,$H$2:$H$201,H13,$BA$2:$BA$201,"&gt;"&amp;BA13)=0,1,0),0)</f>
        <v>1</v>
      </c>
      <c r="EH13" s="23" t="n">
        <f aca="false">IF(BB13=1,IF(COUNTIFS($AZ$2:$AZ$201,AZ13,$EG$2:$EG$201,1)=0,"",SUMIFS($O$2:$O$201,$AZ$2:$AZ$201,AZ13,$EG$2:$EG$201,1)),"")</f>
        <v>95</v>
      </c>
      <c r="EI13" s="23" t="n">
        <f aca="false">IF(AND(ISNUMBER(EH13),OR(N(EH13)&lt;Config!$B$31,N(EH13)&gt;Config!$B$33)),1,0)</f>
        <v>0</v>
      </c>
      <c r="EJ13" s="23" t="n">
        <f aca="false">IF(AND(ISNUMBER(EH13),N(EH13)&gt;=Config!$B$31,N(EH13)&lt;Config!$B$32),1,0)</f>
        <v>0</v>
      </c>
      <c r="EK13" s="23" t="n">
        <f aca="false">IF(AND(BF13=1,INT(N(H13))&lt;=Config!$B$6,DH13=1,EI13=1),1,0)</f>
        <v>0</v>
      </c>
      <c r="EL13" s="23" t="n">
        <f aca="false">IF(AND(BF13=1,INT(N(H13))&lt;=Config!$B$7,DI13=1,EI13=1),1,0)</f>
        <v>0</v>
      </c>
      <c r="EM13" s="23" t="n">
        <f aca="false">IF(AND(BF13=1,INT(N(H13))&lt;=Config!$B$8,DJ13=1,EI13=1),1,0)</f>
        <v>0</v>
      </c>
      <c r="EN13" s="23" t="n">
        <f aca="false">IF(AND(BF13=1,INT(N(H13))&lt;=Config!$B$5,DK13=1,EI13=1),1,0)</f>
        <v>0</v>
      </c>
      <c r="EO13" s="23" t="n">
        <f aca="false">IF(AND(DL13=1,EJ13=1),1,0)</f>
        <v>0</v>
      </c>
      <c r="EP13" s="23" t="n">
        <f aca="false">IF(AND(DM13=1,EJ13=1),1,0)</f>
        <v>0</v>
      </c>
      <c r="EQ13" s="23" t="n">
        <f aca="false">IF(AND(DN13=1,EJ13=1),1,0)</f>
        <v>0</v>
      </c>
      <c r="ER13" s="23" t="n">
        <f aca="false">IF(AND(DO13=1,EJ13=1),1,0)</f>
        <v>0</v>
      </c>
    </row>
    <row r="14" customFormat="false" ht="15" hidden="false" customHeight="false" outlineLevel="0" collapsed="false">
      <c r="A14" s="0" t="s">
        <v>582</v>
      </c>
      <c r="B14" s="0" t="s">
        <v>583</v>
      </c>
      <c r="D14" s="0" t="s">
        <v>584</v>
      </c>
      <c r="E14" s="0" t="s">
        <v>451</v>
      </c>
      <c r="F14" s="0" t="s">
        <v>480</v>
      </c>
      <c r="G14" s="32" t="s">
        <v>493</v>
      </c>
      <c r="H14" s="33" t="n">
        <v>46339</v>
      </c>
      <c r="I14" s="32" t="s">
        <v>523</v>
      </c>
      <c r="J14" s="32" t="s">
        <v>585</v>
      </c>
      <c r="K14" s="32" t="s">
        <v>456</v>
      </c>
      <c r="L14" s="32" t="s">
        <v>457</v>
      </c>
      <c r="O14" s="0" t="n">
        <v>65</v>
      </c>
      <c r="P14" s="32" t="s">
        <v>586</v>
      </c>
      <c r="Q14" s="32" t="s">
        <v>460</v>
      </c>
      <c r="R14" s="32" t="s">
        <v>461</v>
      </c>
      <c r="S14" s="32" t="s">
        <v>462</v>
      </c>
      <c r="T14" s="32" t="s">
        <v>463</v>
      </c>
      <c r="U14" s="32" t="s">
        <v>460</v>
      </c>
      <c r="V14" s="32" t="s">
        <v>464</v>
      </c>
      <c r="W14" s="32" t="s">
        <v>457</v>
      </c>
      <c r="AA14" s="0" t="n">
        <v>0</v>
      </c>
      <c r="AC14" s="32" t="s">
        <v>460</v>
      </c>
      <c r="AD14" s="32" t="s">
        <v>587</v>
      </c>
      <c r="AE14" s="32" t="s">
        <v>451</v>
      </c>
      <c r="AF14" s="32" t="s">
        <v>460</v>
      </c>
      <c r="AH14" s="32" t="s">
        <v>588</v>
      </c>
      <c r="AI14" s="32" t="s">
        <v>469</v>
      </c>
      <c r="AJ14" s="32" t="s">
        <v>470</v>
      </c>
      <c r="AK14" s="32" t="s">
        <v>471</v>
      </c>
      <c r="AL14" s="32" t="s">
        <v>472</v>
      </c>
      <c r="AM14" s="32" t="s">
        <v>473</v>
      </c>
      <c r="AN14" s="32"/>
      <c r="AR14" s="32" t="s">
        <v>460</v>
      </c>
      <c r="AS14" s="32" t="s">
        <v>475</v>
      </c>
      <c r="AT14" s="32" t="s">
        <v>460</v>
      </c>
      <c r="AU14" s="32"/>
      <c r="AV14" s="0" t="n">
        <v>9</v>
      </c>
      <c r="AW14" s="32" t="s">
        <v>460</v>
      </c>
      <c r="AY14" s="34" t="str">
        <f aca="false">IF(TRIM($A14)="","",IF(AND(LEFT($A14,6)="SAMPLE",Config!$B$19&lt;&gt;"Y"),"",IF(NOT(ISNUMBER(H14)),"call_date is blank or not a date",IF(Sync!$C$5="","Clay paste is empty or has no row_id column: paste the Clay export on Clay_Offices",IF(CW14="","row_id not found in the Clay paste: add the Clay row or fix the row_id",IF(AND(ISNUMBER(CY14),CY14&gt;=1,CY14&lt;=5),"Clay status is "&amp;CX14&amp;": set call_done or later",IF(AND(BD14=1,CZ14&lt;&gt;BZ14),"Clay yes_in_principle should be "&amp;BZ14,IF(AND(BD14=1,DA14&lt;&gt;H14),"Clay call_date should be "&amp;TEXT(H14,"yyyy-mm-dd"),""))))))))</f>
        <v/>
      </c>
      <c r="AZ14" s="23" t="str">
        <f aca="false">IF(TRIM($A14)="","",IF(TRIM(C14)&lt;&gt;"",SUBSTITUTE(SUBSTITUTE(SUBSTITUTE(SUBSTITUTE(SUBSTITUTE(SUBSTITUTE(LOWER(TRIM(C14)),"~",""),"*",""),"?",""),"&lt;",""),"&gt;",""),"=",""),IF(EA14&lt;&gt;"",EA14,IFERROR(INDEX($EA$2:$EA$201,MATCH(DZ14,$EB$2:$EB$201,0)),DZ14))))</f>
        <v>sample office 13</v>
      </c>
      <c r="BA14" s="23" t="n">
        <f aca="false">ROW()</f>
        <v>14</v>
      </c>
      <c r="BB14" s="23" t="n">
        <f aca="false">IF(AND(TRIM($A14)&lt;&gt;"",ISNUMBER(H14)),IF(AND(LEFT($A14,6)="SAMPLE",Config!$B$19&lt;&gt;"Y"),0,1),0)</f>
        <v>1</v>
      </c>
      <c r="BC14" s="23" t="n">
        <f aca="false">IF(BB14=1,IF(COUNTIFS($AZ$2:$AZ$201,AZ14,$BB$2:$BB$201,1,$H$2:$H$201,"&lt;"&amp;H14)+COUNTIFS($AZ$2:$AZ$201,AZ14,$BB$2:$BB$201,1,$H$2:$H$201,H14,$BA$2:$BA$201,"&lt;"&amp;BA14)=0,1,0),0)</f>
        <v>1</v>
      </c>
      <c r="BD14" s="23" t="n">
        <f aca="false">IF(BB14=1,IF(COUNTIFS($A$2:$A$201,$A14,$BB$2:$BB$201,1,$H$2:$H$201,"&gt;"&amp;H14)+COUNTIFS($A$2:$A$201,$A14,$BB$2:$BB$201,1,$H$2:$H$201,H14,$BA$2:$BA$201,"&gt;"&amp;BA14)=0,1,0),0)</f>
        <v>1</v>
      </c>
      <c r="BE14" s="23" t="n">
        <f aca="false">IF(AND(BB14=1,AR14="Y",AC14="Y",TRIM(AH14)&lt;&gt;""),1,0)</f>
        <v>1</v>
      </c>
      <c r="BF14" s="23" t="n">
        <f aca="false">IF(BE14=1,IF(COUNTIFS($AZ$2:$AZ$201,AZ14,$BE$2:$BE$201,1,$H$2:$H$201,"&lt;"&amp;H14)+COUNTIFS($AZ$2:$AZ$201,AZ14,$BE$2:$BE$201,1,$H$2:$H$201,H14,$BA$2:$BA$201,"&lt;"&amp;BA14)=0,1,0),0)</f>
        <v>1</v>
      </c>
      <c r="BG14" s="23" t="n">
        <f aca="false">IF(AND(BB14=1,AR14="Y",BE14=0),1,0)</f>
        <v>0</v>
      </c>
      <c r="BH14" s="23" t="n">
        <f aca="false">IF(AND(BB14=1,ISNUMBER(Y14)),1,0)</f>
        <v>0</v>
      </c>
      <c r="BI14" s="23" t="n">
        <f aca="false">IF(BH14=1,IF(COUNTIFS($AZ$2:$AZ$201,AZ14,$BH$2:$BH$201,1,$H$2:$H$201,"&lt;"&amp;H14)+COUNTIFS($AZ$2:$AZ$201,AZ14,$BH$2:$BH$201,1,$H$2:$H$201,H14,$BA$2:$BA$201,"&lt;"&amp;BA14)=0,1,0),0)</f>
        <v>0</v>
      </c>
      <c r="BJ14" s="23" t="str">
        <f aca="false">IF(AND(BI14=1,INT(N(H14))&lt;=Config!$B$6),Y14,"")</f>
        <v/>
      </c>
      <c r="BK14" s="23" t="str">
        <f aca="false">IF(AND(BI14=1,INT(N(H14))&lt;=Config!$B$7),Y14,"")</f>
        <v/>
      </c>
      <c r="BL14" s="23" t="str">
        <f aca="false">IF(AND(BI14=1,INT(N(H14))&lt;=Config!$B$8),Y14,"")</f>
        <v/>
      </c>
      <c r="BM14" s="23" t="str">
        <f aca="false">IF(AND(BI14=1,INT(N(H14))&lt;=Config!$B$5),Y14,"")</f>
        <v/>
      </c>
      <c r="BN14" s="23" t="n">
        <f aca="false">IF(CD14=1,IF(COUNTIFS($AZ$2:$AZ$201,AZ14,$CD$2:$CD$201,1,$H$2:$H$201,"&lt;"&amp;H14)+COUNTIFS($AZ$2:$AZ$201,AZ14,$CD$2:$CD$201,1,$H$2:$H$201,H14,$BA$2:$BA$201,"&lt;"&amp;BA14)=0,1,0),0)</f>
        <v>0</v>
      </c>
      <c r="BO14" s="23" t="n">
        <f aca="false">IF(AND(BB14=1,ISNUMBER(M14)),1,0)</f>
        <v>0</v>
      </c>
      <c r="BP14" s="23" t="n">
        <f aca="false">IF(BO14=1,IF(COUNTIFS($AZ$2:$AZ$201,AZ14,$BO$2:$BO$201,1,$H$2:$H$201,"&lt;"&amp;H14)+COUNTIFS($AZ$2:$AZ$201,AZ14,$BO$2:$BO$201,1,$H$2:$H$201,H14,$BA$2:$BA$201,"&lt;"&amp;BA14)=0,1,0),0)</f>
        <v>0</v>
      </c>
      <c r="BQ14" s="23" t="str">
        <f aca="false">IF(AND(BP14=1,INT(N(H14))&lt;=Config!$B$5),M14,"")</f>
        <v/>
      </c>
      <c r="BR14" s="23" t="n">
        <f aca="false">IF(AND(BB14=1,OR(TRIM(X14)&lt;&gt;"",ISNUMBER(Y14))),1,0)</f>
        <v>0</v>
      </c>
      <c r="BS14" s="23" t="n">
        <f aca="false">IF(BR14=1,IF(COUNTIFS($AZ$2:$AZ$201,AZ14,$BR$2:$BR$201,1,$H$2:$H$201,"&lt;"&amp;H14)+COUNTIFS($AZ$2:$AZ$201,AZ14,$BR$2:$BR$201,1,$H$2:$H$201,H14,$BA$2:$BA$201,"&lt;"&amp;BA14)=0,1,0),0)</f>
        <v>0</v>
      </c>
      <c r="BT14" s="23" t="str">
        <f aca="false">IF(BS14=1,AZ14,"")</f>
        <v/>
      </c>
      <c r="BU14" s="23" t="n">
        <f aca="false">IF(AND(BB14=1,W14="Y",TRIM(X14)=""),1,0)</f>
        <v>0</v>
      </c>
      <c r="BV14" s="23" t="str">
        <f aca="false">IF(BB14=1,AN14&amp;"","")</f>
        <v/>
      </c>
      <c r="BW14" s="23" t="str">
        <f aca="false">IF(BB14=1,AO14&amp;"","")</f>
        <v/>
      </c>
      <c r="BX14" s="23" t="str">
        <f aca="false">IF(BB14=1,AP14&amp;"","")</f>
        <v/>
      </c>
      <c r="BY14" s="23" t="n">
        <f aca="false">IF(AND(BB14=1,ISNUMBER(AV14),INT(N(H14))&lt;=Config!$B$5),AV14,"")</f>
        <v>9</v>
      </c>
      <c r="BZ14" s="23" t="str">
        <f aca="false">IF(BB14=1,IF(COUNTIFS($A$2:$A$201,$A14,$DC$2:$DC$201,1,$AR$2:$AR$201,"Y")&gt;0,"Y","N"),"")</f>
        <v>Y</v>
      </c>
      <c r="CA14" s="23" t="n">
        <f aca="false">IF(AND(BB14=1,AR14="maybe"),1,0)</f>
        <v>0</v>
      </c>
      <c r="CB14" s="23" t="n">
        <f aca="false">IF(CA14=1,IF(COUNTIFS($AZ$2:$AZ$201,AZ14,$CA$2:$CA$201,1,$H$2:$H$201,"&lt;"&amp;H14)+COUNTIFS($AZ$2:$AZ$201,AZ14,$CA$2:$CA$201,1,$H$2:$H$201,H14,$BA$2:$BA$201,"&lt;"&amp;BA14)=0,1,0),0)</f>
        <v>0</v>
      </c>
      <c r="CC14" s="23" t="n">
        <f aca="false">IF(AND(BB14=1,AR14="Y"),IF(COUNTIFS($AZ$2:$AZ$201,AZ14,$AR$2:$AR$201,"Y",$BB$2:$BB$201,1,$H$2:$H$201,"&lt;"&amp;H14)+COUNTIFS($AZ$2:$AZ$201,AZ14,$AR$2:$AR$201,"Y",$BB$2:$BB$201,1,$H$2:$H$201,H14,$BA$2:$BA$201,"&lt;"&amp;BA14)=0,1,0),0)</f>
        <v>1</v>
      </c>
      <c r="CD14" s="23" t="n">
        <f aca="false">IF(AND(BH14=1,N(Y14)&gt;=Config!$B$15),1,0)</f>
        <v>0</v>
      </c>
      <c r="CE14" s="23" t="n">
        <f aca="false">IF(AND(BB14=1,AT14="Y"),1,0)</f>
        <v>1</v>
      </c>
      <c r="CF14" s="23" t="n">
        <f aca="false">IF(CE14=1,IF(COUNTIFS($AZ$2:$AZ$201,AZ14,$CE$2:$CE$201,1,$H$2:$H$201,"&lt;"&amp;H14)+COUNTIFS($AZ$2:$AZ$201,AZ14,$CE$2:$CE$201,1,$H$2:$H$201,H14,$BA$2:$BA$201,"&lt;"&amp;BA14)=0,1,0),0)</f>
        <v>1</v>
      </c>
      <c r="CG14" s="23" t="n">
        <f aca="false">IF(AND(BB14=1,G14="warm-intro"),1,0)</f>
        <v>0</v>
      </c>
      <c r="CH14" s="23" t="n">
        <f aca="false">IF(CG14=1,IF(COUNTIFS($AZ$2:$AZ$201,AZ14,$CG$2:$CG$201,1,$H$2:$H$201,"&lt;"&amp;H14)+COUNTIFS($AZ$2:$AZ$201,AZ14,$CG$2:$CG$201,1,$H$2:$H$201,H14,$BA$2:$BA$201,"&lt;"&amp;BA14)=0,1,0),0)</f>
        <v>0</v>
      </c>
      <c r="CI14" s="23" t="n">
        <f aca="false">IF(AND(BB14=1,Q14="Y"),1,0)</f>
        <v>1</v>
      </c>
      <c r="CJ14" s="23" t="n">
        <f aca="false">IF(CI14=1,IF(COUNTIFS($AZ$2:$AZ$201,AZ14,$CI$2:$CI$201,1,$H$2:$H$201,"&lt;"&amp;H14)+COUNTIFS($AZ$2:$AZ$201,AZ14,$CI$2:$CI$201,1,$H$2:$H$201,H14,$BA$2:$BA$201,"&lt;"&amp;BA14)=0,1,0),0)</f>
        <v>1</v>
      </c>
      <c r="CK14" s="23" t="n">
        <f aca="false">IF(AND(BB14=1,AF14="Y"),1,0)</f>
        <v>1</v>
      </c>
      <c r="CL14" s="23" t="n">
        <f aca="false">IF(CK14=1,IF(COUNTIFS($AZ$2:$AZ$201,AZ14,$CK$2:$CK$201,1,$H$2:$H$201,"&lt;"&amp;H14)+COUNTIFS($AZ$2:$AZ$201,AZ14,$CK$2:$CK$201,1,$H$2:$H$201,H14,$BA$2:$BA$201,"&lt;"&amp;BA14)=0,1,0),0)</f>
        <v>1</v>
      </c>
      <c r="CM14" s="23" t="n">
        <f aca="false">IF(AND(BB14=1,U14="Y"),1,0)</f>
        <v>1</v>
      </c>
      <c r="CN14" s="23" t="n">
        <f aca="false">IF(CM14=1,IF(COUNTIFS($AZ$2:$AZ$201,AZ14,$CM$2:$CM$201,1,$H$2:$H$201,"&lt;"&amp;H14)+COUNTIFS($AZ$2:$AZ$201,AZ14,$CM$2:$CM$201,1,$H$2:$H$201,H14,$BA$2:$BA$201,"&lt;"&amp;BA14)=0,1,0),0)</f>
        <v>1</v>
      </c>
      <c r="CO14" s="23" t="n">
        <f aca="false">IF(AND(BB14=1,L14="Y"),1,0)</f>
        <v>0</v>
      </c>
      <c r="CP14" s="23" t="n">
        <f aca="false">IF(CO14=1,IF(COUNTIFS($AZ$2:$AZ$201,AZ14,$CO$2:$CO$201,1,$H$2:$H$201,"&lt;"&amp;H14)+COUNTIFS($AZ$2:$AZ$201,AZ14,$CO$2:$CO$201,1,$H$2:$H$201,H14,$BA$2:$BA$201,"&lt;"&amp;BA14)=0,1,0),0)</f>
        <v>0</v>
      </c>
      <c r="CQ14" s="23" t="n">
        <f aca="false">IF(AND(BB14=1,ISNUMBER(O14)),1,0)</f>
        <v>1</v>
      </c>
      <c r="CR14" s="23" t="n">
        <f aca="false">IF(CQ14=1,IF(COUNTIFS($AZ$2:$AZ$201,AZ14,$CQ$2:$CQ$201,1,$H$2:$H$201,"&lt;"&amp;H14)+COUNTIFS($AZ$2:$AZ$201,AZ14,$CQ$2:$CQ$201,1,$H$2:$H$201,H14,$BA$2:$BA$201,"&lt;"&amp;BA14)=0,1,0),0)</f>
        <v>1</v>
      </c>
      <c r="CS14" s="23" t="n">
        <f aca="false">IF(AND(CR14=1,INT(N(H14))&lt;=Config!$B$5),O14,"")</f>
        <v>65</v>
      </c>
      <c r="CT14" s="23" t="str">
        <f aca="false">IF(AND(BB14=1,INT(N(H14))&lt;=Config!$B$5),AG14&amp;"","")</f>
        <v/>
      </c>
      <c r="CU14" s="23" t="n">
        <f aca="false">IF(AND(BB14=1,AU14="Y"),1,0)</f>
        <v>0</v>
      </c>
      <c r="CV14" s="23" t="n">
        <f aca="false">IF(CU14=1,IF(COUNTIFS($AZ$2:$AZ$201,AZ14,$CU$2:$CU$201,1,$H$2:$H$201,"&lt;"&amp;H14)+COUNTIFS($AZ$2:$AZ$201,AZ14,$CU$2:$CU$201,1,$H$2:$H$201,H14,$BA$2:$BA$201,"&lt;"&amp;BA14)=0,1,0),0)</f>
        <v>0</v>
      </c>
      <c r="CW14" s="23" t="n">
        <f aca="false">IF(BB14=1,IFERROR(MATCH($A14,INDEX(Clay_Offices!$A$2:$FZ$601,0,Sync!$C$5),0),""),"")</f>
        <v>13</v>
      </c>
      <c r="CX14" s="23" t="str">
        <f aca="false">IF(CW14="","",IFERROR(INDEX(Clay_Offices!$A$2:$FZ$601,CW14,Sync!$C$7)&amp;"",""))</f>
        <v>signed</v>
      </c>
      <c r="CY14" s="23" t="n">
        <f aca="false">IF(CX14="","",IFERROR(INDEX(Lists!$K$2:$K$15,MATCH(CX14,Lists!$J$2:$J$15,0)),""))</f>
        <v>9</v>
      </c>
      <c r="CZ14" s="23" t="str">
        <f aca="false">IF(CW14="","",IFERROR(INDEX(Clay_Offices!$A$2:$FZ$601,CW14,Sync!$C$17)&amp;"",""))</f>
        <v>Y</v>
      </c>
      <c r="DA14" s="35" t="n">
        <f aca="false">IF(CW14="","",IFERROR(N(INDEX(Clay_Offices!$A$2:$FZ$601,CW14,Sync!$C$16)),0))</f>
        <v>46339</v>
      </c>
      <c r="DB14" s="23" t="n">
        <f aca="false">IF(AND(BB14=1,OR(AR14="Y",AR14="N",AR14="maybe")),1,0)</f>
        <v>1</v>
      </c>
      <c r="DC14" s="23" t="n">
        <f aca="false">IF(AND(DB14=1),IF(COUNTIFS($A$2:$A$201,$A14,$DB$2:$DB$201,1,$H$2:$H$201,"&gt;"&amp;H14)+COUNTIFS($A$2:$A$201,$A14,$DB$2:$DB$201,1,$H$2:$H$201,H14,$BA$2:$BA$201,"&gt;"&amp;BA14)=0,1,0),0)</f>
        <v>1</v>
      </c>
      <c r="DD14" s="23" t="n">
        <f aca="false">IF(AND(DB14=1,INT(N(H14))&lt;=Config!$B$6),IF(COUNTIFS($AZ$2:$AZ$201,AZ14,$DB$2:$DB$201,1,$H$2:$H$201,"&gt;"&amp;H14,$H$2:$H$201,"&lt;"&amp;(Config!$B$6+1))+COUNTIFS($AZ$2:$AZ$201,AZ14,$DB$2:$DB$201,1,$H$2:$H$201,H14,$BA$2:$BA$201,"&gt;"&amp;BA14)=0,1,0),0)</f>
        <v>0</v>
      </c>
      <c r="DE14" s="23" t="n">
        <f aca="false">IF(AND(DB14=1,INT(N(H14))&lt;=Config!$B$7),IF(COUNTIFS($AZ$2:$AZ$201,AZ14,$DB$2:$DB$201,1,$H$2:$H$201,"&gt;"&amp;H14,$H$2:$H$201,"&lt;"&amp;(Config!$B$7+1))+COUNTIFS($AZ$2:$AZ$201,AZ14,$DB$2:$DB$201,1,$H$2:$H$201,H14,$BA$2:$BA$201,"&gt;"&amp;BA14)=0,1,0),0)</f>
        <v>0</v>
      </c>
      <c r="DF14" s="23" t="n">
        <f aca="false">IF(AND(DB14=1,INT(N(H14))&lt;=Config!$B$8),IF(COUNTIFS($AZ$2:$AZ$201,AZ14,$DB$2:$DB$201,1,$H$2:$H$201,"&gt;"&amp;H14,$H$2:$H$201,"&lt;"&amp;(Config!$B$8+1))+COUNTIFS($AZ$2:$AZ$201,AZ14,$DB$2:$DB$201,1,$H$2:$H$201,H14,$BA$2:$BA$201,"&gt;"&amp;BA14)=0,1,0),0)</f>
        <v>1</v>
      </c>
      <c r="DG14" s="23" t="n">
        <f aca="false">IF(AND(DB14=1,INT(N(H14))&lt;=Config!$B$5),IF(COUNTIFS($AZ$2:$AZ$201,AZ14,$DB$2:$DB$201,1,$H$2:$H$201,"&gt;"&amp;H14,$H$2:$H$201,"&lt;"&amp;(Config!$B$5+1))+COUNTIFS($AZ$2:$AZ$201,AZ14,$DB$2:$DB$201,1,$H$2:$H$201,H14,$BA$2:$BA$201,"&gt;"&amp;BA14)=0,1,0),0)</f>
        <v>1</v>
      </c>
      <c r="DH14" s="23" t="n">
        <f aca="false">IF(BB14=1,IF(COUNTIFS($AZ$2:$AZ$201,AZ14,$DD$2:$DD$201,1,$AR$2:$AR$201,"Y")&gt;0,1,0),0)</f>
        <v>0</v>
      </c>
      <c r="DI14" s="23" t="n">
        <f aca="false">IF(BB14=1,IF(COUNTIFS($AZ$2:$AZ$201,AZ14,$DE$2:$DE$201,1,$AR$2:$AR$201,"Y")&gt;0,1,0),0)</f>
        <v>0</v>
      </c>
      <c r="DJ14" s="23" t="n">
        <f aca="false">IF(BB14=1,IF(COUNTIFS($AZ$2:$AZ$201,AZ14,$DF$2:$DF$201,1,$AR$2:$AR$201,"Y")&gt;0,1,0),0)</f>
        <v>1</v>
      </c>
      <c r="DK14" s="23" t="n">
        <f aca="false">IF(BB14=1,IF(COUNTIFS($AZ$2:$AZ$201,AZ14,$DG$2:$DG$201,1,$AR$2:$AR$201,"Y")&gt;0,1,0),0)</f>
        <v>1</v>
      </c>
      <c r="DL14" s="23" t="n">
        <f aca="false">IF(AND(BF14=1,INT(N(H14))&lt;=Config!$B$6,DH14=1,EI14=0),1,0)</f>
        <v>0</v>
      </c>
      <c r="DM14" s="23" t="n">
        <f aca="false">IF(AND(BF14=1,INT(N(H14))&lt;=Config!$B$7,DI14=1,EI14=0),1,0)</f>
        <v>0</v>
      </c>
      <c r="DN14" s="23" t="n">
        <f aca="false">IF(AND(BF14=1,INT(N(H14))&lt;=Config!$B$8,DJ14=1,EI14=0),1,0)</f>
        <v>1</v>
      </c>
      <c r="DO14" s="23" t="n">
        <f aca="false">IF(AND(BF14=1,INT(N(H14))&lt;=Config!$B$5,DK14=1,EI14=0),1,0)</f>
        <v>1</v>
      </c>
      <c r="DP14" s="23" t="n">
        <f aca="false">IF(AND(CC14=1,INT(N(H14))&lt;=Config!$B$6,DH14=1,EI14=0),1,0)</f>
        <v>0</v>
      </c>
      <c r="DQ14" s="23" t="n">
        <f aca="false">IF(AND(CC14=1,INT(N(H14))&lt;=Config!$B$7,DI14=1,EI14=0),1,0)</f>
        <v>0</v>
      </c>
      <c r="DR14" s="23" t="n">
        <f aca="false">IF(AND(CC14=1,INT(N(H14))&lt;=Config!$B$8,DJ14=1,EI14=0),1,0)</f>
        <v>1</v>
      </c>
      <c r="DS14" s="23" t="n">
        <f aca="false">IF(AND(CC14=1,INT(N(H14))&lt;=Config!$B$5,DK14=1,EI14=0),1,0)</f>
        <v>1</v>
      </c>
      <c r="DT14" s="23" t="n">
        <f aca="false">IF(AND(CC14=1,INT(N(H14))&lt;=Config!$B$6,DH14=0),1,0)</f>
        <v>0</v>
      </c>
      <c r="DU14" s="23" t="n">
        <f aca="false">IF(AND(CC14=1,INT(N(H14))&lt;=Config!$B$7,DI14=0),1,0)</f>
        <v>0</v>
      </c>
      <c r="DV14" s="23" t="n">
        <f aca="false">IF(AND(CC14=1,INT(N(H14))&lt;=Config!$B$8,DJ14=0),1,0)</f>
        <v>0</v>
      </c>
      <c r="DW14" s="23" t="n">
        <f aca="false">IF(AND(CC14=1,INT(N(H14))&lt;=Config!$B$5,DK14=0),1,0)</f>
        <v>0</v>
      </c>
      <c r="DX14" s="23" t="n">
        <f aca="false">IF(TRIM($A14)="",0,ISTEXT(M14)+ISTEXT(O14)+ISTEXT(Y14)+ISTEXT(Z14)+ISTEXT(AA14)+ISTEXT(AV14))</f>
        <v>0</v>
      </c>
      <c r="DY14" s="23" t="n">
        <f aca="false">IF(BB14=1,IF(H14&lt;&gt;INT(H14),1,0),0)</f>
        <v>0</v>
      </c>
      <c r="DZ14" s="23" t="str">
        <f aca="false">IF(TRIM($A14)="","",IF(TRIM(B14)="",SUBSTITUTE(SUBSTITUTE(SUBSTITUTE(SUBSTITUTE(SUBSTITUTE(SUBSTITUTE(LOWER(TRIM($A14)),"~",""),"*",""),"?",""),"&lt;",""),"&gt;",""),"=",""),SUBSTITUTE(SUBSTITUTE(SUBSTITUTE(SUBSTITUTE(SUBSTITUTE(SUBSTITUTE(LOWER(TRIM(B14)),"~",""),"*",""),"?",""),"&lt;",""),"&gt;",""),"=","")))</f>
        <v>sample office 13</v>
      </c>
      <c r="EA14" s="23" t="str">
        <f aca="false">IF(CW14="","",IFERROR(IF(LEFT(LOWER(TRIM(INDEX(Clay_Offices!$A$2:$FZ$601,CW14,Sync!$C$19)&amp;"")),4)="grp-",SUBSTITUTE(SUBSTITUTE(SUBSTITUTE(SUBSTITUTE(SUBSTITUTE(SUBSTITUTE(LOWER(TRIM(INDEX(Clay_Offices!$A$2:$FZ$601,CW14,Sync!$C$19)&amp;"")),"~",""),"*",""),"?",""),"&lt;",""),"&gt;",""),"=",""),""),""))</f>
        <v/>
      </c>
      <c r="EB14" s="23" t="str">
        <f aca="false">IF(EA14&lt;&gt;"",DZ14,"")</f>
        <v/>
      </c>
      <c r="EC14" s="23" t="str">
        <f aca="false">IF(BC14=1,AZ14,"")</f>
        <v>sample office 13</v>
      </c>
      <c r="ED14" s="23" t="str">
        <f aca="false">IF(TRIM($A14)="","",IFERROR(INDEX($A$2:$A$201,MATCH(AZ14,$EC$2:$EC$201,0))&amp;"",$A14&amp;""))</f>
        <v>SAMPLE-O-013</v>
      </c>
      <c r="EE14" s="23" t="n">
        <f aca="false">IF(BB14=1,IF(COUNTIFS($A$2:$A$201,$A14,$BB$2:$BB$201,1,$H$2:$H$201,"&lt;"&amp;H14)+COUNTIFS($A$2:$A$201,$A14,$BB$2:$BB$201,1,$H$2:$H$201,H14,$BA$2:$BA$201,"&lt;"&amp;BA14)=0,1,0),0)</f>
        <v>1</v>
      </c>
      <c r="EF14" s="23" t="n">
        <f aca="false">IF(BC14=1,IF(COUNTIFS($AZ$2:$AZ$201,AZ14,$EE$2:$EE$201,1)&gt;1,1,0),0)</f>
        <v>0</v>
      </c>
      <c r="EG14" s="23" t="n">
        <f aca="false">IF(AND(CQ14=1),IF(COUNTIFS($AZ$2:$AZ$201,AZ14,$CQ$2:$CQ$201,1,$H$2:$H$201,"&gt;"&amp;H14)+COUNTIFS($AZ$2:$AZ$201,AZ14,$CQ$2:$CQ$201,1,$H$2:$H$201,H14,$BA$2:$BA$201,"&gt;"&amp;BA14)=0,1,0),0)</f>
        <v>1</v>
      </c>
      <c r="EH14" s="23" t="n">
        <f aca="false">IF(BB14=1,IF(COUNTIFS($AZ$2:$AZ$201,AZ14,$EG$2:$EG$201,1)=0,"",SUMIFS($O$2:$O$201,$AZ$2:$AZ$201,AZ14,$EG$2:$EG$201,1)),"")</f>
        <v>65</v>
      </c>
      <c r="EI14" s="23" t="n">
        <f aca="false">IF(AND(ISNUMBER(EH14),OR(N(EH14)&lt;Config!$B$31,N(EH14)&gt;Config!$B$33)),1,0)</f>
        <v>0</v>
      </c>
      <c r="EJ14" s="23" t="n">
        <f aca="false">IF(AND(ISNUMBER(EH14),N(EH14)&gt;=Config!$B$31,N(EH14)&lt;Config!$B$32),1,0)</f>
        <v>0</v>
      </c>
      <c r="EK14" s="23" t="n">
        <f aca="false">IF(AND(BF14=1,INT(N(H14))&lt;=Config!$B$6,DH14=1,EI14=1),1,0)</f>
        <v>0</v>
      </c>
      <c r="EL14" s="23" t="n">
        <f aca="false">IF(AND(BF14=1,INT(N(H14))&lt;=Config!$B$7,DI14=1,EI14=1),1,0)</f>
        <v>0</v>
      </c>
      <c r="EM14" s="23" t="n">
        <f aca="false">IF(AND(BF14=1,INT(N(H14))&lt;=Config!$B$8,DJ14=1,EI14=1),1,0)</f>
        <v>0</v>
      </c>
      <c r="EN14" s="23" t="n">
        <f aca="false">IF(AND(BF14=1,INT(N(H14))&lt;=Config!$B$5,DK14=1,EI14=1),1,0)</f>
        <v>0</v>
      </c>
      <c r="EO14" s="23" t="n">
        <f aca="false">IF(AND(DL14=1,EJ14=1),1,0)</f>
        <v>0</v>
      </c>
      <c r="EP14" s="23" t="n">
        <f aca="false">IF(AND(DM14=1,EJ14=1),1,0)</f>
        <v>0</v>
      </c>
      <c r="EQ14" s="23" t="n">
        <f aca="false">IF(AND(DN14=1,EJ14=1),1,0)</f>
        <v>0</v>
      </c>
      <c r="ER14" s="23" t="n">
        <f aca="false">IF(AND(DO14=1,EJ14=1),1,0)</f>
        <v>0</v>
      </c>
    </row>
    <row r="15" customFormat="false" ht="15" hidden="false" customHeight="false" outlineLevel="0" collapsed="false">
      <c r="A15" s="0" t="s">
        <v>448</v>
      </c>
      <c r="B15" s="0" t="s">
        <v>449</v>
      </c>
      <c r="D15" s="0" t="s">
        <v>450</v>
      </c>
      <c r="E15" s="0" t="s">
        <v>451</v>
      </c>
      <c r="F15" s="0" t="s">
        <v>452</v>
      </c>
      <c r="G15" s="32" t="s">
        <v>453</v>
      </c>
      <c r="H15" s="33" t="n">
        <v>46332</v>
      </c>
      <c r="I15" s="32" t="s">
        <v>482</v>
      </c>
      <c r="J15" s="32" t="s">
        <v>455</v>
      </c>
      <c r="K15" s="32" t="s">
        <v>456</v>
      </c>
      <c r="L15" s="32" t="s">
        <v>457</v>
      </c>
      <c r="M15" s="0" t="n">
        <v>800</v>
      </c>
      <c r="N15" s="32" t="s">
        <v>458</v>
      </c>
      <c r="O15" s="0" t="n">
        <v>62</v>
      </c>
      <c r="P15" s="32" t="s">
        <v>589</v>
      </c>
      <c r="Q15" s="32" t="s">
        <v>460</v>
      </c>
      <c r="R15" s="32" t="s">
        <v>461</v>
      </c>
      <c r="S15" s="32" t="s">
        <v>462</v>
      </c>
      <c r="T15" s="32" t="s">
        <v>463</v>
      </c>
      <c r="U15" s="32" t="s">
        <v>460</v>
      </c>
      <c r="V15" s="32" t="s">
        <v>464</v>
      </c>
      <c r="W15" s="32" t="s">
        <v>460</v>
      </c>
      <c r="X15" s="32" t="s">
        <v>590</v>
      </c>
      <c r="Y15" s="0" t="n">
        <v>150</v>
      </c>
      <c r="Z15" s="0" t="n">
        <v>150</v>
      </c>
      <c r="AA15" s="0" t="n">
        <v>1</v>
      </c>
      <c r="AB15" s="32" t="s">
        <v>466</v>
      </c>
      <c r="AC15" s="32" t="s">
        <v>460</v>
      </c>
      <c r="AD15" s="32" t="s">
        <v>467</v>
      </c>
      <c r="AE15" s="32" t="s">
        <v>451</v>
      </c>
      <c r="AF15" s="32" t="s">
        <v>460</v>
      </c>
      <c r="AH15" s="32" t="s">
        <v>468</v>
      </c>
      <c r="AI15" s="32" t="s">
        <v>469</v>
      </c>
      <c r="AJ15" s="32" t="s">
        <v>470</v>
      </c>
      <c r="AK15" s="32" t="s">
        <v>471</v>
      </c>
      <c r="AL15" s="32" t="s">
        <v>472</v>
      </c>
      <c r="AM15" s="32" t="s">
        <v>473</v>
      </c>
      <c r="AN15" s="32" t="s">
        <v>110</v>
      </c>
      <c r="AQ15" s="32" t="s">
        <v>474</v>
      </c>
      <c r="AR15" s="32" t="s">
        <v>460</v>
      </c>
      <c r="AS15" s="32" t="s">
        <v>475</v>
      </c>
      <c r="AT15" s="32" t="s">
        <v>460</v>
      </c>
      <c r="AU15" s="32" t="s">
        <v>460</v>
      </c>
      <c r="AV15" s="0" t="n">
        <v>6</v>
      </c>
      <c r="AW15" s="32" t="s">
        <v>460</v>
      </c>
      <c r="AY15" s="34" t="str">
        <f aca="false">IF(TRIM($A15)="","",IF(AND(LEFT($A15,6)="SAMPLE",Config!$B$19&lt;&gt;"Y"),"",IF(NOT(ISNUMBER(H15)),"call_date is blank or not a date",IF(Sync!$C$5="","Clay paste is empty or has no row_id column: paste the Clay export on Clay_Offices",IF(CW15="","row_id not found in the Clay paste: add the Clay row or fix the row_id",IF(AND(ISNUMBER(CY15),CY15&gt;=1,CY15&lt;=5),"Clay status is "&amp;CX15&amp;": set call_done or later",IF(AND(BD15=1,CZ15&lt;&gt;BZ15),"Clay yes_in_principle should be "&amp;BZ15,IF(AND(BD15=1,DA15&lt;&gt;H15),"Clay call_date should be "&amp;TEXT(H15,"yyyy-mm-dd"),""))))))))</f>
        <v/>
      </c>
      <c r="AZ15" s="23" t="str">
        <f aca="false">IF(TRIM($A15)="","",IF(TRIM(C15)&lt;&gt;"",SUBSTITUTE(SUBSTITUTE(SUBSTITUTE(SUBSTITUTE(SUBSTITUTE(SUBSTITUTE(LOWER(TRIM(C15)),"~",""),"*",""),"?",""),"&lt;",""),"&gt;",""),"=",""),IF(EA15&lt;&gt;"",EA15,IFERROR(INDEX($EA$2:$EA$201,MATCH(DZ15,$EB$2:$EB$201,0)),DZ15))))</f>
        <v>sample office 01</v>
      </c>
      <c r="BA15" s="23" t="n">
        <f aca="false">ROW()</f>
        <v>15</v>
      </c>
      <c r="BB15" s="23" t="n">
        <f aca="false">IF(AND(TRIM($A15)&lt;&gt;"",ISNUMBER(H15)),IF(AND(LEFT($A15,6)="SAMPLE",Config!$B$19&lt;&gt;"Y"),0,1),0)</f>
        <v>1</v>
      </c>
      <c r="BC15" s="23" t="n">
        <f aca="false">IF(BB15=1,IF(COUNTIFS($AZ$2:$AZ$201,AZ15,$BB$2:$BB$201,1,$H$2:$H$201,"&lt;"&amp;H15)+COUNTIFS($AZ$2:$AZ$201,AZ15,$BB$2:$BB$201,1,$H$2:$H$201,H15,$BA$2:$BA$201,"&lt;"&amp;BA15)=0,1,0),0)</f>
        <v>0</v>
      </c>
      <c r="BD15" s="23" t="n">
        <f aca="false">IF(BB15=1,IF(COUNTIFS($A$2:$A$201,$A15,$BB$2:$BB$201,1,$H$2:$H$201,"&gt;"&amp;H15)+COUNTIFS($A$2:$A$201,$A15,$BB$2:$BB$201,1,$H$2:$H$201,H15,$BA$2:$BA$201,"&gt;"&amp;BA15)=0,1,0),0)</f>
        <v>1</v>
      </c>
      <c r="BE15" s="23" t="n">
        <f aca="false">IF(AND(BB15=1,AR15="Y",AC15="Y",TRIM(AH15)&lt;&gt;""),1,0)</f>
        <v>1</v>
      </c>
      <c r="BF15" s="23" t="n">
        <f aca="false">IF(BE15=1,IF(COUNTIFS($AZ$2:$AZ$201,AZ15,$BE$2:$BE$201,1,$H$2:$H$201,"&lt;"&amp;H15)+COUNTIFS($AZ$2:$AZ$201,AZ15,$BE$2:$BE$201,1,$H$2:$H$201,H15,$BA$2:$BA$201,"&lt;"&amp;BA15)=0,1,0),0)</f>
        <v>0</v>
      </c>
      <c r="BG15" s="23" t="n">
        <f aca="false">IF(AND(BB15=1,AR15="Y",BE15=0),1,0)</f>
        <v>0</v>
      </c>
      <c r="BH15" s="23" t="n">
        <f aca="false">IF(AND(BB15=1,ISNUMBER(Y15)),1,0)</f>
        <v>1</v>
      </c>
      <c r="BI15" s="23" t="n">
        <f aca="false">IF(BH15=1,IF(COUNTIFS($AZ$2:$AZ$201,AZ15,$BH$2:$BH$201,1,$H$2:$H$201,"&lt;"&amp;H15)+COUNTIFS($AZ$2:$AZ$201,AZ15,$BH$2:$BH$201,1,$H$2:$H$201,H15,$BA$2:$BA$201,"&lt;"&amp;BA15)=0,1,0),0)</f>
        <v>0</v>
      </c>
      <c r="BJ15" s="23" t="str">
        <f aca="false">IF(AND(BI15=1,INT(N(H15))&lt;=Config!$B$6),Y15,"")</f>
        <v/>
      </c>
      <c r="BK15" s="23" t="str">
        <f aca="false">IF(AND(BI15=1,INT(N(H15))&lt;=Config!$B$7),Y15,"")</f>
        <v/>
      </c>
      <c r="BL15" s="23" t="str">
        <f aca="false">IF(AND(BI15=1,INT(N(H15))&lt;=Config!$B$8),Y15,"")</f>
        <v/>
      </c>
      <c r="BM15" s="23" t="str">
        <f aca="false">IF(AND(BI15=1,INT(N(H15))&lt;=Config!$B$5),Y15,"")</f>
        <v/>
      </c>
      <c r="BN15" s="23" t="n">
        <f aca="false">IF(CD15=1,IF(COUNTIFS($AZ$2:$AZ$201,AZ15,$CD$2:$CD$201,1,$H$2:$H$201,"&lt;"&amp;H15)+COUNTIFS($AZ$2:$AZ$201,AZ15,$CD$2:$CD$201,1,$H$2:$H$201,H15,$BA$2:$BA$201,"&lt;"&amp;BA15)=0,1,0),0)</f>
        <v>0</v>
      </c>
      <c r="BO15" s="23" t="n">
        <f aca="false">IF(AND(BB15=1,ISNUMBER(M15)),1,0)</f>
        <v>1</v>
      </c>
      <c r="BP15" s="23" t="n">
        <f aca="false">IF(BO15=1,IF(COUNTIFS($AZ$2:$AZ$201,AZ15,$BO$2:$BO$201,1,$H$2:$H$201,"&lt;"&amp;H15)+COUNTIFS($AZ$2:$AZ$201,AZ15,$BO$2:$BO$201,1,$H$2:$H$201,H15,$BA$2:$BA$201,"&lt;"&amp;BA15)=0,1,0),0)</f>
        <v>0</v>
      </c>
      <c r="BQ15" s="23" t="str">
        <f aca="false">IF(AND(BP15=1,INT(N(H15))&lt;=Config!$B$5),M15,"")</f>
        <v/>
      </c>
      <c r="BR15" s="23" t="n">
        <f aca="false">IF(AND(BB15=1,OR(TRIM(X15)&lt;&gt;"",ISNUMBER(Y15))),1,0)</f>
        <v>1</v>
      </c>
      <c r="BS15" s="23" t="n">
        <f aca="false">IF(BR15=1,IF(COUNTIFS($AZ$2:$AZ$201,AZ15,$BR$2:$BR$201,1,$H$2:$H$201,"&lt;"&amp;H15)+COUNTIFS($AZ$2:$AZ$201,AZ15,$BR$2:$BR$201,1,$H$2:$H$201,H15,$BA$2:$BA$201,"&lt;"&amp;BA15)=0,1,0),0)</f>
        <v>0</v>
      </c>
      <c r="BT15" s="23" t="str">
        <f aca="false">IF(BS15=1,AZ15,"")</f>
        <v/>
      </c>
      <c r="BU15" s="23" t="n">
        <f aca="false">IF(AND(BB15=1,W15="Y",TRIM(X15)=""),1,0)</f>
        <v>0</v>
      </c>
      <c r="BV15" s="23" t="str">
        <f aca="false">IF(BB15=1,AN15&amp;"","")</f>
        <v>allergy_policy</v>
      </c>
      <c r="BW15" s="23" t="str">
        <f aca="false">IF(BB15=1,AO15&amp;"","")</f>
        <v/>
      </c>
      <c r="BX15" s="23" t="str">
        <f aca="false">IF(BB15=1,AP15&amp;"","")</f>
        <v/>
      </c>
      <c r="BY15" s="23" t="n">
        <f aca="false">IF(AND(BB15=1,ISNUMBER(AV15),INT(N(H15))&lt;=Config!$B$5),AV15,"")</f>
        <v>6</v>
      </c>
      <c r="BZ15" s="23" t="str">
        <f aca="false">IF(BB15=1,IF(COUNTIFS($A$2:$A$201,$A15,$DC$2:$DC$201,1,$AR$2:$AR$201,"Y")&gt;0,"Y","N"),"")</f>
        <v>Y</v>
      </c>
      <c r="CA15" s="23" t="n">
        <f aca="false">IF(AND(BB15=1,AR15="maybe"),1,0)</f>
        <v>0</v>
      </c>
      <c r="CB15" s="23" t="n">
        <f aca="false">IF(CA15=1,IF(COUNTIFS($AZ$2:$AZ$201,AZ15,$CA$2:$CA$201,1,$H$2:$H$201,"&lt;"&amp;H15)+COUNTIFS($AZ$2:$AZ$201,AZ15,$CA$2:$CA$201,1,$H$2:$H$201,H15,$BA$2:$BA$201,"&lt;"&amp;BA15)=0,1,0),0)</f>
        <v>0</v>
      </c>
      <c r="CC15" s="23" t="n">
        <f aca="false">IF(AND(BB15=1,AR15="Y"),IF(COUNTIFS($AZ$2:$AZ$201,AZ15,$AR$2:$AR$201,"Y",$BB$2:$BB$201,1,$H$2:$H$201,"&lt;"&amp;H15)+COUNTIFS($AZ$2:$AZ$201,AZ15,$AR$2:$AR$201,"Y",$BB$2:$BB$201,1,$H$2:$H$201,H15,$BA$2:$BA$201,"&lt;"&amp;BA15)=0,1,0),0)</f>
        <v>0</v>
      </c>
      <c r="CD15" s="23" t="n">
        <f aca="false">IF(AND(BH15=1,N(Y15)&gt;=Config!$B$15),1,0)</f>
        <v>1</v>
      </c>
      <c r="CE15" s="23" t="n">
        <f aca="false">IF(AND(BB15=1,AT15="Y"),1,0)</f>
        <v>1</v>
      </c>
      <c r="CF15" s="23" t="n">
        <f aca="false">IF(CE15=1,IF(COUNTIFS($AZ$2:$AZ$201,AZ15,$CE$2:$CE$201,1,$H$2:$H$201,"&lt;"&amp;H15)+COUNTIFS($AZ$2:$AZ$201,AZ15,$CE$2:$CE$201,1,$H$2:$H$201,H15,$BA$2:$BA$201,"&lt;"&amp;BA15)=0,1,0),0)</f>
        <v>0</v>
      </c>
      <c r="CG15" s="23" t="n">
        <f aca="false">IF(AND(BB15=1,G15="warm-intro"),1,0)</f>
        <v>1</v>
      </c>
      <c r="CH15" s="23" t="n">
        <f aca="false">IF(CG15=1,IF(COUNTIFS($AZ$2:$AZ$201,AZ15,$CG$2:$CG$201,1,$H$2:$H$201,"&lt;"&amp;H15)+COUNTIFS($AZ$2:$AZ$201,AZ15,$CG$2:$CG$201,1,$H$2:$H$201,H15,$BA$2:$BA$201,"&lt;"&amp;BA15)=0,1,0),0)</f>
        <v>0</v>
      </c>
      <c r="CI15" s="23" t="n">
        <f aca="false">IF(AND(BB15=1,Q15="Y"),1,0)</f>
        <v>1</v>
      </c>
      <c r="CJ15" s="23" t="n">
        <f aca="false">IF(CI15=1,IF(COUNTIFS($AZ$2:$AZ$201,AZ15,$CI$2:$CI$201,1,$H$2:$H$201,"&lt;"&amp;H15)+COUNTIFS($AZ$2:$AZ$201,AZ15,$CI$2:$CI$201,1,$H$2:$H$201,H15,$BA$2:$BA$201,"&lt;"&amp;BA15)=0,1,0),0)</f>
        <v>0</v>
      </c>
      <c r="CK15" s="23" t="n">
        <f aca="false">IF(AND(BB15=1,AF15="Y"),1,0)</f>
        <v>1</v>
      </c>
      <c r="CL15" s="23" t="n">
        <f aca="false">IF(CK15=1,IF(COUNTIFS($AZ$2:$AZ$201,AZ15,$CK$2:$CK$201,1,$H$2:$H$201,"&lt;"&amp;H15)+COUNTIFS($AZ$2:$AZ$201,AZ15,$CK$2:$CK$201,1,$H$2:$H$201,H15,$BA$2:$BA$201,"&lt;"&amp;BA15)=0,1,0),0)</f>
        <v>0</v>
      </c>
      <c r="CM15" s="23" t="n">
        <f aca="false">IF(AND(BB15=1,U15="Y"),1,0)</f>
        <v>1</v>
      </c>
      <c r="CN15" s="23" t="n">
        <f aca="false">IF(CM15=1,IF(COUNTIFS($AZ$2:$AZ$201,AZ15,$CM$2:$CM$201,1,$H$2:$H$201,"&lt;"&amp;H15)+COUNTIFS($AZ$2:$AZ$201,AZ15,$CM$2:$CM$201,1,$H$2:$H$201,H15,$BA$2:$BA$201,"&lt;"&amp;BA15)=0,1,0),0)</f>
        <v>0</v>
      </c>
      <c r="CO15" s="23" t="n">
        <f aca="false">IF(AND(BB15=1,L15="Y"),1,0)</f>
        <v>0</v>
      </c>
      <c r="CP15" s="23" t="n">
        <f aca="false">IF(CO15=1,IF(COUNTIFS($AZ$2:$AZ$201,AZ15,$CO$2:$CO$201,1,$H$2:$H$201,"&lt;"&amp;H15)+COUNTIFS($AZ$2:$AZ$201,AZ15,$CO$2:$CO$201,1,$H$2:$H$201,H15,$BA$2:$BA$201,"&lt;"&amp;BA15)=0,1,0),0)</f>
        <v>0</v>
      </c>
      <c r="CQ15" s="23" t="n">
        <f aca="false">IF(AND(BB15=1,ISNUMBER(O15)),1,0)</f>
        <v>1</v>
      </c>
      <c r="CR15" s="23" t="n">
        <f aca="false">IF(CQ15=1,IF(COUNTIFS($AZ$2:$AZ$201,AZ15,$CQ$2:$CQ$201,1,$H$2:$H$201,"&lt;"&amp;H15)+COUNTIFS($AZ$2:$AZ$201,AZ15,$CQ$2:$CQ$201,1,$H$2:$H$201,H15,$BA$2:$BA$201,"&lt;"&amp;BA15)=0,1,0),0)</f>
        <v>0</v>
      </c>
      <c r="CS15" s="23" t="str">
        <f aca="false">IF(AND(CR15=1,INT(N(H15))&lt;=Config!$B$5),O15,"")</f>
        <v/>
      </c>
      <c r="CT15" s="23" t="str">
        <f aca="false">IF(AND(BB15=1,INT(N(H15))&lt;=Config!$B$5),AG15&amp;"","")</f>
        <v/>
      </c>
      <c r="CU15" s="23" t="n">
        <f aca="false">IF(AND(BB15=1,AU15="Y"),1,0)</f>
        <v>1</v>
      </c>
      <c r="CV15" s="23" t="n">
        <f aca="false">IF(CU15=1,IF(COUNTIFS($AZ$2:$AZ$201,AZ15,$CU$2:$CU$201,1,$H$2:$H$201,"&lt;"&amp;H15)+COUNTIFS($AZ$2:$AZ$201,AZ15,$CU$2:$CU$201,1,$H$2:$H$201,H15,$BA$2:$BA$201,"&lt;"&amp;BA15)=0,1,0),0)</f>
        <v>0</v>
      </c>
      <c r="CW15" s="23" t="n">
        <f aca="false">IF(BB15=1,IFERROR(MATCH($A15,INDEX(Clay_Offices!$A$2:$FZ$601,0,Sync!$C$5),0),""),"")</f>
        <v>1</v>
      </c>
      <c r="CX15" s="23" t="str">
        <f aca="false">IF(CW15="","",IFERROR(INDEX(Clay_Offices!$A$2:$FZ$601,CW15,Sync!$C$7)&amp;"",""))</f>
        <v>signed</v>
      </c>
      <c r="CY15" s="23" t="n">
        <f aca="false">IF(CX15="","",IFERROR(INDEX(Lists!$K$2:$K$15,MATCH(CX15,Lists!$J$2:$J$15,0)),""))</f>
        <v>9</v>
      </c>
      <c r="CZ15" s="23" t="str">
        <f aca="false">IF(CW15="","",IFERROR(INDEX(Clay_Offices!$A$2:$FZ$601,CW15,Sync!$C$17)&amp;"",""))</f>
        <v>Y</v>
      </c>
      <c r="DA15" s="35" t="n">
        <f aca="false">IF(CW15="","",IFERROR(N(INDEX(Clay_Offices!$A$2:$FZ$601,CW15,Sync!$C$16)),0))</f>
        <v>46332</v>
      </c>
      <c r="DB15" s="23" t="n">
        <f aca="false">IF(AND(BB15=1,OR(AR15="Y",AR15="N",AR15="maybe")),1,0)</f>
        <v>1</v>
      </c>
      <c r="DC15" s="23" t="n">
        <f aca="false">IF(AND(DB15=1),IF(COUNTIFS($A$2:$A$201,$A15,$DB$2:$DB$201,1,$H$2:$H$201,"&gt;"&amp;H15)+COUNTIFS($A$2:$A$201,$A15,$DB$2:$DB$201,1,$H$2:$H$201,H15,$BA$2:$BA$201,"&gt;"&amp;BA15)=0,1,0),0)</f>
        <v>1</v>
      </c>
      <c r="DD15" s="23" t="n">
        <f aca="false">IF(AND(DB15=1,INT(N(H15))&lt;=Config!$B$6),IF(COUNTIFS($AZ$2:$AZ$201,AZ15,$DB$2:$DB$201,1,$H$2:$H$201,"&gt;"&amp;H15,$H$2:$H$201,"&lt;"&amp;(Config!$B$6+1))+COUNTIFS($AZ$2:$AZ$201,AZ15,$DB$2:$DB$201,1,$H$2:$H$201,H15,$BA$2:$BA$201,"&gt;"&amp;BA15)=0,1,0),0)</f>
        <v>0</v>
      </c>
      <c r="DE15" s="23" t="n">
        <f aca="false">IF(AND(DB15=1,INT(N(H15))&lt;=Config!$B$7),IF(COUNTIFS($AZ$2:$AZ$201,AZ15,$DB$2:$DB$201,1,$H$2:$H$201,"&gt;"&amp;H15,$H$2:$H$201,"&lt;"&amp;(Config!$B$7+1))+COUNTIFS($AZ$2:$AZ$201,AZ15,$DB$2:$DB$201,1,$H$2:$H$201,H15,$BA$2:$BA$201,"&gt;"&amp;BA15)=0,1,0),0)</f>
        <v>1</v>
      </c>
      <c r="DF15" s="23" t="n">
        <f aca="false">IF(AND(DB15=1,INT(N(H15))&lt;=Config!$B$8),IF(COUNTIFS($AZ$2:$AZ$201,AZ15,$DB$2:$DB$201,1,$H$2:$H$201,"&gt;"&amp;H15,$H$2:$H$201,"&lt;"&amp;(Config!$B$8+1))+COUNTIFS($AZ$2:$AZ$201,AZ15,$DB$2:$DB$201,1,$H$2:$H$201,H15,$BA$2:$BA$201,"&gt;"&amp;BA15)=0,1,0),0)</f>
        <v>1</v>
      </c>
      <c r="DG15" s="23" t="n">
        <f aca="false">IF(AND(DB15=1,INT(N(H15))&lt;=Config!$B$5),IF(COUNTIFS($AZ$2:$AZ$201,AZ15,$DB$2:$DB$201,1,$H$2:$H$201,"&gt;"&amp;H15,$H$2:$H$201,"&lt;"&amp;(Config!$B$5+1))+COUNTIFS($AZ$2:$AZ$201,AZ15,$DB$2:$DB$201,1,$H$2:$H$201,H15,$BA$2:$BA$201,"&gt;"&amp;BA15)=0,1,0),0)</f>
        <v>1</v>
      </c>
      <c r="DH15" s="23" t="n">
        <f aca="false">IF(BB15=1,IF(COUNTIFS($AZ$2:$AZ$201,AZ15,$DD$2:$DD$201,1,$AR$2:$AR$201,"Y")&gt;0,1,0),0)</f>
        <v>1</v>
      </c>
      <c r="DI15" s="23" t="n">
        <f aca="false">IF(BB15=1,IF(COUNTIFS($AZ$2:$AZ$201,AZ15,$DE$2:$DE$201,1,$AR$2:$AR$201,"Y")&gt;0,1,0),0)</f>
        <v>1</v>
      </c>
      <c r="DJ15" s="23" t="n">
        <f aca="false">IF(BB15=1,IF(COUNTIFS($AZ$2:$AZ$201,AZ15,$DF$2:$DF$201,1,$AR$2:$AR$201,"Y")&gt;0,1,0),0)</f>
        <v>1</v>
      </c>
      <c r="DK15" s="23" t="n">
        <f aca="false">IF(BB15=1,IF(COUNTIFS($AZ$2:$AZ$201,AZ15,$DG$2:$DG$201,1,$AR$2:$AR$201,"Y")&gt;0,1,0),0)</f>
        <v>1</v>
      </c>
      <c r="DL15" s="23" t="n">
        <f aca="false">IF(AND(BF15=1,INT(N(H15))&lt;=Config!$B$6,DH15=1,EI15=0),1,0)</f>
        <v>0</v>
      </c>
      <c r="DM15" s="23" t="n">
        <f aca="false">IF(AND(BF15=1,INT(N(H15))&lt;=Config!$B$7,DI15=1,EI15=0),1,0)</f>
        <v>0</v>
      </c>
      <c r="DN15" s="23" t="n">
        <f aca="false">IF(AND(BF15=1,INT(N(H15))&lt;=Config!$B$8,DJ15=1,EI15=0),1,0)</f>
        <v>0</v>
      </c>
      <c r="DO15" s="23" t="n">
        <f aca="false">IF(AND(BF15=1,INT(N(H15))&lt;=Config!$B$5,DK15=1,EI15=0),1,0)</f>
        <v>0</v>
      </c>
      <c r="DP15" s="23" t="n">
        <f aca="false">IF(AND(CC15=1,INT(N(H15))&lt;=Config!$B$6,DH15=1,EI15=0),1,0)</f>
        <v>0</v>
      </c>
      <c r="DQ15" s="23" t="n">
        <f aca="false">IF(AND(CC15=1,INT(N(H15))&lt;=Config!$B$7,DI15=1,EI15=0),1,0)</f>
        <v>0</v>
      </c>
      <c r="DR15" s="23" t="n">
        <f aca="false">IF(AND(CC15=1,INT(N(H15))&lt;=Config!$B$8,DJ15=1,EI15=0),1,0)</f>
        <v>0</v>
      </c>
      <c r="DS15" s="23" t="n">
        <f aca="false">IF(AND(CC15=1,INT(N(H15))&lt;=Config!$B$5,DK15=1,EI15=0),1,0)</f>
        <v>0</v>
      </c>
      <c r="DT15" s="23" t="n">
        <f aca="false">IF(AND(CC15=1,INT(N(H15))&lt;=Config!$B$6,DH15=0),1,0)</f>
        <v>0</v>
      </c>
      <c r="DU15" s="23" t="n">
        <f aca="false">IF(AND(CC15=1,INT(N(H15))&lt;=Config!$B$7,DI15=0),1,0)</f>
        <v>0</v>
      </c>
      <c r="DV15" s="23" t="n">
        <f aca="false">IF(AND(CC15=1,INT(N(H15))&lt;=Config!$B$8,DJ15=0),1,0)</f>
        <v>0</v>
      </c>
      <c r="DW15" s="23" t="n">
        <f aca="false">IF(AND(CC15=1,INT(N(H15))&lt;=Config!$B$5,DK15=0),1,0)</f>
        <v>0</v>
      </c>
      <c r="DX15" s="23" t="n">
        <f aca="false">IF(TRIM($A15)="",0,ISTEXT(M15)+ISTEXT(O15)+ISTEXT(Y15)+ISTEXT(Z15)+ISTEXT(AA15)+ISTEXT(AV15))</f>
        <v>0</v>
      </c>
      <c r="DY15" s="23" t="n">
        <f aca="false">IF(BB15=1,IF(H15&lt;&gt;INT(H15),1,0),0)</f>
        <v>0</v>
      </c>
      <c r="DZ15" s="23" t="str">
        <f aca="false">IF(TRIM($A15)="","",IF(TRIM(B15)="",SUBSTITUTE(SUBSTITUTE(SUBSTITUTE(SUBSTITUTE(SUBSTITUTE(SUBSTITUTE(LOWER(TRIM($A15)),"~",""),"*",""),"?",""),"&lt;",""),"&gt;",""),"=",""),SUBSTITUTE(SUBSTITUTE(SUBSTITUTE(SUBSTITUTE(SUBSTITUTE(SUBSTITUTE(LOWER(TRIM(B15)),"~",""),"*",""),"?",""),"&lt;",""),"&gt;",""),"=","")))</f>
        <v>sample office 01</v>
      </c>
      <c r="EA15" s="23" t="str">
        <f aca="false">IF(CW15="","",IFERROR(IF(LEFT(LOWER(TRIM(INDEX(Clay_Offices!$A$2:$FZ$601,CW15,Sync!$C$19)&amp;"")),4)="grp-",SUBSTITUTE(SUBSTITUTE(SUBSTITUTE(SUBSTITUTE(SUBSTITUTE(SUBSTITUTE(LOWER(TRIM(INDEX(Clay_Offices!$A$2:$FZ$601,CW15,Sync!$C$19)&amp;"")),"~",""),"*",""),"?",""),"&lt;",""),"&gt;",""),"=",""),""),""))</f>
        <v/>
      </c>
      <c r="EB15" s="23" t="str">
        <f aca="false">IF(EA15&lt;&gt;"",DZ15,"")</f>
        <v/>
      </c>
      <c r="EC15" s="23" t="str">
        <f aca="false">IF(BC15=1,AZ15,"")</f>
        <v/>
      </c>
      <c r="ED15" s="23" t="str">
        <f aca="false">IF(TRIM($A15)="","",IFERROR(INDEX($A$2:$A$201,MATCH(AZ15,$EC$2:$EC$201,0))&amp;"",$A15&amp;""))</f>
        <v>SAMPLE-O-001</v>
      </c>
      <c r="EE15" s="23" t="n">
        <f aca="false">IF(BB15=1,IF(COUNTIFS($A$2:$A$201,$A15,$BB$2:$BB$201,1,$H$2:$H$201,"&lt;"&amp;H15)+COUNTIFS($A$2:$A$201,$A15,$BB$2:$BB$201,1,$H$2:$H$201,H15,$BA$2:$BA$201,"&lt;"&amp;BA15)=0,1,0),0)</f>
        <v>0</v>
      </c>
      <c r="EF15" s="23" t="n">
        <f aca="false">IF(BC15=1,IF(COUNTIFS($AZ$2:$AZ$201,AZ15,$EE$2:$EE$201,1)&gt;1,1,0),0)</f>
        <v>0</v>
      </c>
      <c r="EG15" s="23" t="n">
        <f aca="false">IF(AND(CQ15=1),IF(COUNTIFS($AZ$2:$AZ$201,AZ15,$CQ$2:$CQ$201,1,$H$2:$H$201,"&gt;"&amp;H15)+COUNTIFS($AZ$2:$AZ$201,AZ15,$CQ$2:$CQ$201,1,$H$2:$H$201,H15,$BA$2:$BA$201,"&gt;"&amp;BA15)=0,1,0),0)</f>
        <v>1</v>
      </c>
      <c r="EH15" s="23" t="n">
        <f aca="false">IF(BB15=1,IF(COUNTIFS($AZ$2:$AZ$201,AZ15,$EG$2:$EG$201,1)=0,"",SUMIFS($O$2:$O$201,$AZ$2:$AZ$201,AZ15,$EG$2:$EG$201,1)),"")</f>
        <v>62</v>
      </c>
      <c r="EI15" s="23" t="n">
        <f aca="false">IF(AND(ISNUMBER(EH15),OR(N(EH15)&lt;Config!$B$31,N(EH15)&gt;Config!$B$33)),1,0)</f>
        <v>0</v>
      </c>
      <c r="EJ15" s="23" t="n">
        <f aca="false">IF(AND(ISNUMBER(EH15),N(EH15)&gt;=Config!$B$31,N(EH15)&lt;Config!$B$32),1,0)</f>
        <v>0</v>
      </c>
      <c r="EK15" s="23" t="n">
        <f aca="false">IF(AND(BF15=1,INT(N(H15))&lt;=Config!$B$6,DH15=1,EI15=1),1,0)</f>
        <v>0</v>
      </c>
      <c r="EL15" s="23" t="n">
        <f aca="false">IF(AND(BF15=1,INT(N(H15))&lt;=Config!$B$7,DI15=1,EI15=1),1,0)</f>
        <v>0</v>
      </c>
      <c r="EM15" s="23" t="n">
        <f aca="false">IF(AND(BF15=1,INT(N(H15))&lt;=Config!$B$8,DJ15=1,EI15=1),1,0)</f>
        <v>0</v>
      </c>
      <c r="EN15" s="23" t="n">
        <f aca="false">IF(AND(BF15=1,INT(N(H15))&lt;=Config!$B$5,DK15=1,EI15=1),1,0)</f>
        <v>0</v>
      </c>
      <c r="EO15" s="23" t="n">
        <f aca="false">IF(AND(DL15=1,EJ15=1),1,0)</f>
        <v>0</v>
      </c>
      <c r="EP15" s="23" t="n">
        <f aca="false">IF(AND(DM15=1,EJ15=1),1,0)</f>
        <v>0</v>
      </c>
      <c r="EQ15" s="23" t="n">
        <f aca="false">IF(AND(DN15=1,EJ15=1),1,0)</f>
        <v>0</v>
      </c>
      <c r="ER15" s="23" t="n">
        <f aca="false">IF(AND(DO15=1,EJ15=1),1,0)</f>
        <v>0</v>
      </c>
    </row>
    <row r="16" customFormat="false" ht="15" hidden="false" customHeight="false" outlineLevel="0" collapsed="false">
      <c r="A16" s="0" t="s">
        <v>591</v>
      </c>
      <c r="B16" s="0" t="s">
        <v>592</v>
      </c>
      <c r="D16" s="0" t="s">
        <v>593</v>
      </c>
      <c r="E16" s="0" t="s">
        <v>479</v>
      </c>
      <c r="F16" s="0" t="s">
        <v>480</v>
      </c>
      <c r="G16" s="32" t="s">
        <v>594</v>
      </c>
      <c r="H16" s="33" t="n">
        <v>46342</v>
      </c>
      <c r="I16" s="32" t="s">
        <v>454</v>
      </c>
      <c r="J16" s="32" t="s">
        <v>595</v>
      </c>
      <c r="K16" s="32" t="s">
        <v>456</v>
      </c>
      <c r="L16" s="32" t="s">
        <v>457</v>
      </c>
      <c r="O16" s="0" t="n">
        <v>75</v>
      </c>
      <c r="P16" s="32" t="s">
        <v>596</v>
      </c>
      <c r="Q16" s="32" t="s">
        <v>457</v>
      </c>
      <c r="R16" s="32" t="s">
        <v>461</v>
      </c>
      <c r="S16" s="32" t="s">
        <v>462</v>
      </c>
      <c r="T16" s="32" t="s">
        <v>463</v>
      </c>
      <c r="U16" s="32" t="s">
        <v>460</v>
      </c>
      <c r="V16" s="32" t="s">
        <v>464</v>
      </c>
      <c r="W16" s="32" t="s">
        <v>457</v>
      </c>
      <c r="AA16" s="0" t="n">
        <v>0</v>
      </c>
      <c r="AC16" s="32" t="s">
        <v>460</v>
      </c>
      <c r="AD16" s="32" t="s">
        <v>597</v>
      </c>
      <c r="AE16" s="32" t="s">
        <v>451</v>
      </c>
      <c r="AF16" s="32" t="s">
        <v>460</v>
      </c>
      <c r="AH16" s="32" t="s">
        <v>598</v>
      </c>
      <c r="AI16" s="32" t="s">
        <v>469</v>
      </c>
      <c r="AJ16" s="32" t="s">
        <v>470</v>
      </c>
      <c r="AK16" s="32" t="s">
        <v>471</v>
      </c>
      <c r="AL16" s="32" t="s">
        <v>488</v>
      </c>
      <c r="AM16" s="32" t="s">
        <v>473</v>
      </c>
      <c r="AN16" s="32" t="s">
        <v>98</v>
      </c>
      <c r="AQ16" s="32" t="s">
        <v>599</v>
      </c>
      <c r="AR16" s="32" t="s">
        <v>460</v>
      </c>
      <c r="AS16" s="32" t="s">
        <v>475</v>
      </c>
      <c r="AT16" s="32" t="s">
        <v>460</v>
      </c>
      <c r="AU16" s="32"/>
      <c r="AV16" s="0" t="n">
        <v>9</v>
      </c>
      <c r="AW16" s="32" t="s">
        <v>460</v>
      </c>
      <c r="AY16" s="34" t="str">
        <f aca="false">IF(TRIM($A16)="","",IF(AND(LEFT($A16,6)="SAMPLE",Config!$B$19&lt;&gt;"Y"),"",IF(NOT(ISNUMBER(H16)),"call_date is blank or not a date",IF(Sync!$C$5="","Clay paste is empty or has no row_id column: paste the Clay export on Clay_Offices",IF(CW16="","row_id not found in the Clay paste: add the Clay row or fix the row_id",IF(AND(ISNUMBER(CY16),CY16&gt;=1,CY16&lt;=5),"Clay status is "&amp;CX16&amp;": set call_done or later",IF(AND(BD16=1,CZ16&lt;&gt;BZ16),"Clay yes_in_principle should be "&amp;BZ16,IF(AND(BD16=1,DA16&lt;&gt;H16),"Clay call_date should be "&amp;TEXT(H16,"yyyy-mm-dd"),""))))))))</f>
        <v>row_id not found in the Clay paste: add the Clay row or fix the row_id</v>
      </c>
      <c r="AZ16" s="23" t="str">
        <f aca="false">IF(TRIM($A16)="","",IF(TRIM(C16)&lt;&gt;"",SUBSTITUTE(SUBSTITUTE(SUBSTITUTE(SUBSTITUTE(SUBSTITUTE(SUBSTITUTE(LOWER(TRIM(C16)),"~",""),"*",""),"?",""),"&lt;",""),"&gt;",""),"=",""),IF(EA16&lt;&gt;"",EA16,IFERROR(INDEX($EA$2:$EA$201,MATCH(DZ16,$EB$2:$EB$201,0)),DZ16))))</f>
        <v>sample office 14</v>
      </c>
      <c r="BA16" s="23" t="n">
        <f aca="false">ROW()</f>
        <v>16</v>
      </c>
      <c r="BB16" s="23" t="n">
        <f aca="false">IF(AND(TRIM($A16)&lt;&gt;"",ISNUMBER(H16)),IF(AND(LEFT($A16,6)="SAMPLE",Config!$B$19&lt;&gt;"Y"),0,1),0)</f>
        <v>1</v>
      </c>
      <c r="BC16" s="23" t="n">
        <f aca="false">IF(BB16=1,IF(COUNTIFS($AZ$2:$AZ$201,AZ16,$BB$2:$BB$201,1,$H$2:$H$201,"&lt;"&amp;H16)+COUNTIFS($AZ$2:$AZ$201,AZ16,$BB$2:$BB$201,1,$H$2:$H$201,H16,$BA$2:$BA$201,"&lt;"&amp;BA16)=0,1,0),0)</f>
        <v>1</v>
      </c>
      <c r="BD16" s="23" t="n">
        <f aca="false">IF(BB16=1,IF(COUNTIFS($A$2:$A$201,$A16,$BB$2:$BB$201,1,$H$2:$H$201,"&gt;"&amp;H16)+COUNTIFS($A$2:$A$201,$A16,$BB$2:$BB$201,1,$H$2:$H$201,H16,$BA$2:$BA$201,"&gt;"&amp;BA16)=0,1,0),0)</f>
        <v>1</v>
      </c>
      <c r="BE16" s="23" t="n">
        <f aca="false">IF(AND(BB16=1,AR16="Y",AC16="Y",TRIM(AH16)&lt;&gt;""),1,0)</f>
        <v>1</v>
      </c>
      <c r="BF16" s="23" t="n">
        <f aca="false">IF(BE16=1,IF(COUNTIFS($AZ$2:$AZ$201,AZ16,$BE$2:$BE$201,1,$H$2:$H$201,"&lt;"&amp;H16)+COUNTIFS($AZ$2:$AZ$201,AZ16,$BE$2:$BE$201,1,$H$2:$H$201,H16,$BA$2:$BA$201,"&lt;"&amp;BA16)=0,1,0),0)</f>
        <v>1</v>
      </c>
      <c r="BG16" s="23" t="n">
        <f aca="false">IF(AND(BB16=1,AR16="Y",BE16=0),1,0)</f>
        <v>0</v>
      </c>
      <c r="BH16" s="23" t="n">
        <f aca="false">IF(AND(BB16=1,ISNUMBER(Y16)),1,0)</f>
        <v>0</v>
      </c>
      <c r="BI16" s="23" t="n">
        <f aca="false">IF(BH16=1,IF(COUNTIFS($AZ$2:$AZ$201,AZ16,$BH$2:$BH$201,1,$H$2:$H$201,"&lt;"&amp;H16)+COUNTIFS($AZ$2:$AZ$201,AZ16,$BH$2:$BH$201,1,$H$2:$H$201,H16,$BA$2:$BA$201,"&lt;"&amp;BA16)=0,1,0),0)</f>
        <v>0</v>
      </c>
      <c r="BJ16" s="23" t="str">
        <f aca="false">IF(AND(BI16=1,INT(N(H16))&lt;=Config!$B$6),Y16,"")</f>
        <v/>
      </c>
      <c r="BK16" s="23" t="str">
        <f aca="false">IF(AND(BI16=1,INT(N(H16))&lt;=Config!$B$7),Y16,"")</f>
        <v/>
      </c>
      <c r="BL16" s="23" t="str">
        <f aca="false">IF(AND(BI16=1,INT(N(H16))&lt;=Config!$B$8),Y16,"")</f>
        <v/>
      </c>
      <c r="BM16" s="23" t="str">
        <f aca="false">IF(AND(BI16=1,INT(N(H16))&lt;=Config!$B$5),Y16,"")</f>
        <v/>
      </c>
      <c r="BN16" s="23" t="n">
        <f aca="false">IF(CD16=1,IF(COUNTIFS($AZ$2:$AZ$201,AZ16,$CD$2:$CD$201,1,$H$2:$H$201,"&lt;"&amp;H16)+COUNTIFS($AZ$2:$AZ$201,AZ16,$CD$2:$CD$201,1,$H$2:$H$201,H16,$BA$2:$BA$201,"&lt;"&amp;BA16)=0,1,0),0)</f>
        <v>0</v>
      </c>
      <c r="BO16" s="23" t="n">
        <f aca="false">IF(AND(BB16=1,ISNUMBER(M16)),1,0)</f>
        <v>0</v>
      </c>
      <c r="BP16" s="23" t="n">
        <f aca="false">IF(BO16=1,IF(COUNTIFS($AZ$2:$AZ$201,AZ16,$BO$2:$BO$201,1,$H$2:$H$201,"&lt;"&amp;H16)+COUNTIFS($AZ$2:$AZ$201,AZ16,$BO$2:$BO$201,1,$H$2:$H$201,H16,$BA$2:$BA$201,"&lt;"&amp;BA16)=0,1,0),0)</f>
        <v>0</v>
      </c>
      <c r="BQ16" s="23" t="str">
        <f aca="false">IF(AND(BP16=1,INT(N(H16))&lt;=Config!$B$5),M16,"")</f>
        <v/>
      </c>
      <c r="BR16" s="23" t="n">
        <f aca="false">IF(AND(BB16=1,OR(TRIM(X16)&lt;&gt;"",ISNUMBER(Y16))),1,0)</f>
        <v>0</v>
      </c>
      <c r="BS16" s="23" t="n">
        <f aca="false">IF(BR16=1,IF(COUNTIFS($AZ$2:$AZ$201,AZ16,$BR$2:$BR$201,1,$H$2:$H$201,"&lt;"&amp;H16)+COUNTIFS($AZ$2:$AZ$201,AZ16,$BR$2:$BR$201,1,$H$2:$H$201,H16,$BA$2:$BA$201,"&lt;"&amp;BA16)=0,1,0),0)</f>
        <v>0</v>
      </c>
      <c r="BT16" s="23" t="str">
        <f aca="false">IF(BS16=1,AZ16,"")</f>
        <v/>
      </c>
      <c r="BU16" s="23" t="n">
        <f aca="false">IF(AND(BB16=1,W16="Y",TRIM(X16)=""),1,0)</f>
        <v>0</v>
      </c>
      <c r="BV16" s="23" t="str">
        <f aca="false">IF(BB16=1,AN16&amp;"","")</f>
        <v>needs_approval</v>
      </c>
      <c r="BW16" s="23" t="str">
        <f aca="false">IF(BB16=1,AO16&amp;"","")</f>
        <v/>
      </c>
      <c r="BX16" s="23" t="str">
        <f aca="false">IF(BB16=1,AP16&amp;"","")</f>
        <v/>
      </c>
      <c r="BY16" s="23" t="n">
        <f aca="false">IF(AND(BB16=1,ISNUMBER(AV16),INT(N(H16))&lt;=Config!$B$5),AV16,"")</f>
        <v>9</v>
      </c>
      <c r="BZ16" s="23" t="str">
        <f aca="false">IF(BB16=1,IF(COUNTIFS($A$2:$A$201,$A16,$DC$2:$DC$201,1,$AR$2:$AR$201,"Y")&gt;0,"Y","N"),"")</f>
        <v>Y</v>
      </c>
      <c r="CA16" s="23" t="n">
        <f aca="false">IF(AND(BB16=1,AR16="maybe"),1,0)</f>
        <v>0</v>
      </c>
      <c r="CB16" s="23" t="n">
        <f aca="false">IF(CA16=1,IF(COUNTIFS($AZ$2:$AZ$201,AZ16,$CA$2:$CA$201,1,$H$2:$H$201,"&lt;"&amp;H16)+COUNTIFS($AZ$2:$AZ$201,AZ16,$CA$2:$CA$201,1,$H$2:$H$201,H16,$BA$2:$BA$201,"&lt;"&amp;BA16)=0,1,0),0)</f>
        <v>0</v>
      </c>
      <c r="CC16" s="23" t="n">
        <f aca="false">IF(AND(BB16=1,AR16="Y"),IF(COUNTIFS($AZ$2:$AZ$201,AZ16,$AR$2:$AR$201,"Y",$BB$2:$BB$201,1,$H$2:$H$201,"&lt;"&amp;H16)+COUNTIFS($AZ$2:$AZ$201,AZ16,$AR$2:$AR$201,"Y",$BB$2:$BB$201,1,$H$2:$H$201,H16,$BA$2:$BA$201,"&lt;"&amp;BA16)=0,1,0),0)</f>
        <v>1</v>
      </c>
      <c r="CD16" s="23" t="n">
        <f aca="false">IF(AND(BH16=1,N(Y16)&gt;=Config!$B$15),1,0)</f>
        <v>0</v>
      </c>
      <c r="CE16" s="23" t="n">
        <f aca="false">IF(AND(BB16=1,AT16="Y"),1,0)</f>
        <v>1</v>
      </c>
      <c r="CF16" s="23" t="n">
        <f aca="false">IF(CE16=1,IF(COUNTIFS($AZ$2:$AZ$201,AZ16,$CE$2:$CE$201,1,$H$2:$H$201,"&lt;"&amp;H16)+COUNTIFS($AZ$2:$AZ$201,AZ16,$CE$2:$CE$201,1,$H$2:$H$201,H16,$BA$2:$BA$201,"&lt;"&amp;BA16)=0,1,0),0)</f>
        <v>1</v>
      </c>
      <c r="CG16" s="23" t="n">
        <f aca="false">IF(AND(BB16=1,G16="warm-intro"),1,0)</f>
        <v>0</v>
      </c>
      <c r="CH16" s="23" t="n">
        <f aca="false">IF(CG16=1,IF(COUNTIFS($AZ$2:$AZ$201,AZ16,$CG$2:$CG$201,1,$H$2:$H$201,"&lt;"&amp;H16)+COUNTIFS($AZ$2:$AZ$201,AZ16,$CG$2:$CG$201,1,$H$2:$H$201,H16,$BA$2:$BA$201,"&lt;"&amp;BA16)=0,1,0),0)</f>
        <v>0</v>
      </c>
      <c r="CI16" s="23" t="n">
        <f aca="false">IF(AND(BB16=1,Q16="Y"),1,0)</f>
        <v>0</v>
      </c>
      <c r="CJ16" s="23" t="n">
        <f aca="false">IF(CI16=1,IF(COUNTIFS($AZ$2:$AZ$201,AZ16,$CI$2:$CI$201,1,$H$2:$H$201,"&lt;"&amp;H16)+COUNTIFS($AZ$2:$AZ$201,AZ16,$CI$2:$CI$201,1,$H$2:$H$201,H16,$BA$2:$BA$201,"&lt;"&amp;BA16)=0,1,0),0)</f>
        <v>0</v>
      </c>
      <c r="CK16" s="23" t="n">
        <f aca="false">IF(AND(BB16=1,AF16="Y"),1,0)</f>
        <v>1</v>
      </c>
      <c r="CL16" s="23" t="n">
        <f aca="false">IF(CK16=1,IF(COUNTIFS($AZ$2:$AZ$201,AZ16,$CK$2:$CK$201,1,$H$2:$H$201,"&lt;"&amp;H16)+COUNTIFS($AZ$2:$AZ$201,AZ16,$CK$2:$CK$201,1,$H$2:$H$201,H16,$BA$2:$BA$201,"&lt;"&amp;BA16)=0,1,0),0)</f>
        <v>1</v>
      </c>
      <c r="CM16" s="23" t="n">
        <f aca="false">IF(AND(BB16=1,U16="Y"),1,0)</f>
        <v>1</v>
      </c>
      <c r="CN16" s="23" t="n">
        <f aca="false">IF(CM16=1,IF(COUNTIFS($AZ$2:$AZ$201,AZ16,$CM$2:$CM$201,1,$H$2:$H$201,"&lt;"&amp;H16)+COUNTIFS($AZ$2:$AZ$201,AZ16,$CM$2:$CM$201,1,$H$2:$H$201,H16,$BA$2:$BA$201,"&lt;"&amp;BA16)=0,1,0),0)</f>
        <v>1</v>
      </c>
      <c r="CO16" s="23" t="n">
        <f aca="false">IF(AND(BB16=1,L16="Y"),1,0)</f>
        <v>0</v>
      </c>
      <c r="CP16" s="23" t="n">
        <f aca="false">IF(CO16=1,IF(COUNTIFS($AZ$2:$AZ$201,AZ16,$CO$2:$CO$201,1,$H$2:$H$201,"&lt;"&amp;H16)+COUNTIFS($AZ$2:$AZ$201,AZ16,$CO$2:$CO$201,1,$H$2:$H$201,H16,$BA$2:$BA$201,"&lt;"&amp;BA16)=0,1,0),0)</f>
        <v>0</v>
      </c>
      <c r="CQ16" s="23" t="n">
        <f aca="false">IF(AND(BB16=1,ISNUMBER(O16)),1,0)</f>
        <v>1</v>
      </c>
      <c r="CR16" s="23" t="n">
        <f aca="false">IF(CQ16=1,IF(COUNTIFS($AZ$2:$AZ$201,AZ16,$CQ$2:$CQ$201,1,$H$2:$H$201,"&lt;"&amp;H16)+COUNTIFS($AZ$2:$AZ$201,AZ16,$CQ$2:$CQ$201,1,$H$2:$H$201,H16,$BA$2:$BA$201,"&lt;"&amp;BA16)=0,1,0),0)</f>
        <v>1</v>
      </c>
      <c r="CS16" s="23" t="n">
        <f aca="false">IF(AND(CR16=1,INT(N(H16))&lt;=Config!$B$5),O16,"")</f>
        <v>75</v>
      </c>
      <c r="CT16" s="23" t="str">
        <f aca="false">IF(AND(BB16=1,INT(N(H16))&lt;=Config!$B$5),AG16&amp;"","")</f>
        <v/>
      </c>
      <c r="CU16" s="23" t="n">
        <f aca="false">IF(AND(BB16=1,AU16="Y"),1,0)</f>
        <v>0</v>
      </c>
      <c r="CV16" s="23" t="n">
        <f aca="false">IF(CU16=1,IF(COUNTIFS($AZ$2:$AZ$201,AZ16,$CU$2:$CU$201,1,$H$2:$H$201,"&lt;"&amp;H16)+COUNTIFS($AZ$2:$AZ$201,AZ16,$CU$2:$CU$201,1,$H$2:$H$201,H16,$BA$2:$BA$201,"&lt;"&amp;BA16)=0,1,0),0)</f>
        <v>0</v>
      </c>
      <c r="CW16" s="23" t="str">
        <f aca="false">IF(BB16=1,IFERROR(MATCH($A16,INDEX(Clay_Offices!$A$2:$FZ$601,0,Sync!$C$5),0),""),"")</f>
        <v/>
      </c>
      <c r="CX16" s="23" t="str">
        <f aca="false">IF(CW16="","",IFERROR(INDEX(Clay_Offices!$A$2:$FZ$601,CW16,Sync!$C$7)&amp;"",""))</f>
        <v/>
      </c>
      <c r="CY16" s="23" t="str">
        <f aca="false">IF(CX16="","",IFERROR(INDEX(Lists!$K$2:$K$15,MATCH(CX16,Lists!$J$2:$J$15,0)),""))</f>
        <v/>
      </c>
      <c r="CZ16" s="23" t="str">
        <f aca="false">IF(CW16="","",IFERROR(INDEX(Clay_Offices!$A$2:$FZ$601,CW16,Sync!$C$17)&amp;"",""))</f>
        <v/>
      </c>
      <c r="DA16" s="35" t="str">
        <f aca="false">IF(CW16="","",IFERROR(N(INDEX(Clay_Offices!$A$2:$FZ$601,CW16,Sync!$C$16)),0))</f>
        <v/>
      </c>
      <c r="DB16" s="23" t="n">
        <f aca="false">IF(AND(BB16=1,OR(AR16="Y",AR16="N",AR16="maybe")),1,0)</f>
        <v>1</v>
      </c>
      <c r="DC16" s="23" t="n">
        <f aca="false">IF(AND(DB16=1),IF(COUNTIFS($A$2:$A$201,$A16,$DB$2:$DB$201,1,$H$2:$H$201,"&gt;"&amp;H16)+COUNTIFS($A$2:$A$201,$A16,$DB$2:$DB$201,1,$H$2:$H$201,H16,$BA$2:$BA$201,"&gt;"&amp;BA16)=0,1,0),0)</f>
        <v>1</v>
      </c>
      <c r="DD16" s="23" t="n">
        <f aca="false">IF(AND(DB16=1,INT(N(H16))&lt;=Config!$B$6),IF(COUNTIFS($AZ$2:$AZ$201,AZ16,$DB$2:$DB$201,1,$H$2:$H$201,"&gt;"&amp;H16,$H$2:$H$201,"&lt;"&amp;(Config!$B$6+1))+COUNTIFS($AZ$2:$AZ$201,AZ16,$DB$2:$DB$201,1,$H$2:$H$201,H16,$BA$2:$BA$201,"&gt;"&amp;BA16)=0,1,0),0)</f>
        <v>0</v>
      </c>
      <c r="DE16" s="23" t="n">
        <f aca="false">IF(AND(DB16=1,INT(N(H16))&lt;=Config!$B$7),IF(COUNTIFS($AZ$2:$AZ$201,AZ16,$DB$2:$DB$201,1,$H$2:$H$201,"&gt;"&amp;H16,$H$2:$H$201,"&lt;"&amp;(Config!$B$7+1))+COUNTIFS($AZ$2:$AZ$201,AZ16,$DB$2:$DB$201,1,$H$2:$H$201,H16,$BA$2:$BA$201,"&gt;"&amp;BA16)=0,1,0),0)</f>
        <v>0</v>
      </c>
      <c r="DF16" s="23" t="n">
        <f aca="false">IF(AND(DB16=1,INT(N(H16))&lt;=Config!$B$8),IF(COUNTIFS($AZ$2:$AZ$201,AZ16,$DB$2:$DB$201,1,$H$2:$H$201,"&gt;"&amp;H16,$H$2:$H$201,"&lt;"&amp;(Config!$B$8+1))+COUNTIFS($AZ$2:$AZ$201,AZ16,$DB$2:$DB$201,1,$H$2:$H$201,H16,$BA$2:$BA$201,"&gt;"&amp;BA16)=0,1,0),0)</f>
        <v>0</v>
      </c>
      <c r="DG16" s="23" t="n">
        <f aca="false">IF(AND(DB16=1,INT(N(H16))&lt;=Config!$B$5),IF(COUNTIFS($AZ$2:$AZ$201,AZ16,$DB$2:$DB$201,1,$H$2:$H$201,"&gt;"&amp;H16,$H$2:$H$201,"&lt;"&amp;(Config!$B$5+1))+COUNTIFS($AZ$2:$AZ$201,AZ16,$DB$2:$DB$201,1,$H$2:$H$201,H16,$BA$2:$BA$201,"&gt;"&amp;BA16)=0,1,0),0)</f>
        <v>1</v>
      </c>
      <c r="DH16" s="23" t="n">
        <f aca="false">IF(BB16=1,IF(COUNTIFS($AZ$2:$AZ$201,AZ16,$DD$2:$DD$201,1,$AR$2:$AR$201,"Y")&gt;0,1,0),0)</f>
        <v>0</v>
      </c>
      <c r="DI16" s="23" t="n">
        <f aca="false">IF(BB16=1,IF(COUNTIFS($AZ$2:$AZ$201,AZ16,$DE$2:$DE$201,1,$AR$2:$AR$201,"Y")&gt;0,1,0),0)</f>
        <v>0</v>
      </c>
      <c r="DJ16" s="23" t="n">
        <f aca="false">IF(BB16=1,IF(COUNTIFS($AZ$2:$AZ$201,AZ16,$DF$2:$DF$201,1,$AR$2:$AR$201,"Y")&gt;0,1,0),0)</f>
        <v>0</v>
      </c>
      <c r="DK16" s="23" t="n">
        <f aca="false">IF(BB16=1,IF(COUNTIFS($AZ$2:$AZ$201,AZ16,$DG$2:$DG$201,1,$AR$2:$AR$201,"Y")&gt;0,1,0),0)</f>
        <v>1</v>
      </c>
      <c r="DL16" s="23" t="n">
        <f aca="false">IF(AND(BF16=1,INT(N(H16))&lt;=Config!$B$6,DH16=1,EI16=0),1,0)</f>
        <v>0</v>
      </c>
      <c r="DM16" s="23" t="n">
        <f aca="false">IF(AND(BF16=1,INT(N(H16))&lt;=Config!$B$7,DI16=1,EI16=0),1,0)</f>
        <v>0</v>
      </c>
      <c r="DN16" s="23" t="n">
        <f aca="false">IF(AND(BF16=1,INT(N(H16))&lt;=Config!$B$8,DJ16=1,EI16=0),1,0)</f>
        <v>0</v>
      </c>
      <c r="DO16" s="23" t="n">
        <f aca="false">IF(AND(BF16=1,INT(N(H16))&lt;=Config!$B$5,DK16=1,EI16=0),1,0)</f>
        <v>1</v>
      </c>
      <c r="DP16" s="23" t="n">
        <f aca="false">IF(AND(CC16=1,INT(N(H16))&lt;=Config!$B$6,DH16=1,EI16=0),1,0)</f>
        <v>0</v>
      </c>
      <c r="DQ16" s="23" t="n">
        <f aca="false">IF(AND(CC16=1,INT(N(H16))&lt;=Config!$B$7,DI16=1,EI16=0),1,0)</f>
        <v>0</v>
      </c>
      <c r="DR16" s="23" t="n">
        <f aca="false">IF(AND(CC16=1,INT(N(H16))&lt;=Config!$B$8,DJ16=1,EI16=0),1,0)</f>
        <v>0</v>
      </c>
      <c r="DS16" s="23" t="n">
        <f aca="false">IF(AND(CC16=1,INT(N(H16))&lt;=Config!$B$5,DK16=1,EI16=0),1,0)</f>
        <v>1</v>
      </c>
      <c r="DT16" s="23" t="n">
        <f aca="false">IF(AND(CC16=1,INT(N(H16))&lt;=Config!$B$6,DH16=0),1,0)</f>
        <v>0</v>
      </c>
      <c r="DU16" s="23" t="n">
        <f aca="false">IF(AND(CC16=1,INT(N(H16))&lt;=Config!$B$7,DI16=0),1,0)</f>
        <v>0</v>
      </c>
      <c r="DV16" s="23" t="n">
        <f aca="false">IF(AND(CC16=1,INT(N(H16))&lt;=Config!$B$8,DJ16=0),1,0)</f>
        <v>0</v>
      </c>
      <c r="DW16" s="23" t="n">
        <f aca="false">IF(AND(CC16=1,INT(N(H16))&lt;=Config!$B$5,DK16=0),1,0)</f>
        <v>0</v>
      </c>
      <c r="DX16" s="23" t="n">
        <f aca="false">IF(TRIM($A16)="",0,ISTEXT(M16)+ISTEXT(O16)+ISTEXT(Y16)+ISTEXT(Z16)+ISTEXT(AA16)+ISTEXT(AV16))</f>
        <v>0</v>
      </c>
      <c r="DY16" s="23" t="n">
        <f aca="false">IF(BB16=1,IF(H16&lt;&gt;INT(H16),1,0),0)</f>
        <v>0</v>
      </c>
      <c r="DZ16" s="23" t="str">
        <f aca="false">IF(TRIM($A16)="","",IF(TRIM(B16)="",SUBSTITUTE(SUBSTITUTE(SUBSTITUTE(SUBSTITUTE(SUBSTITUTE(SUBSTITUTE(LOWER(TRIM($A16)),"~",""),"*",""),"?",""),"&lt;",""),"&gt;",""),"=",""),SUBSTITUTE(SUBSTITUTE(SUBSTITUTE(SUBSTITUTE(SUBSTITUTE(SUBSTITUTE(LOWER(TRIM(B16)),"~",""),"*",""),"?",""),"&lt;",""),"&gt;",""),"=","")))</f>
        <v>sample office 14</v>
      </c>
      <c r="EA16" s="23" t="str">
        <f aca="false">IF(CW16="","",IFERROR(IF(LEFT(LOWER(TRIM(INDEX(Clay_Offices!$A$2:$FZ$601,CW16,Sync!$C$19)&amp;"")),4)="grp-",SUBSTITUTE(SUBSTITUTE(SUBSTITUTE(SUBSTITUTE(SUBSTITUTE(SUBSTITUTE(LOWER(TRIM(INDEX(Clay_Offices!$A$2:$FZ$601,CW16,Sync!$C$19)&amp;"")),"~",""),"*",""),"?",""),"&lt;",""),"&gt;",""),"=",""),""),""))</f>
        <v/>
      </c>
      <c r="EB16" s="23" t="str">
        <f aca="false">IF(EA16&lt;&gt;"",DZ16,"")</f>
        <v/>
      </c>
      <c r="EC16" s="23" t="str">
        <f aca="false">IF(BC16=1,AZ16,"")</f>
        <v>sample office 14</v>
      </c>
      <c r="ED16" s="23" t="str">
        <f aca="false">IF(TRIM($A16)="","",IFERROR(INDEX($A$2:$A$201,MATCH(AZ16,$EC$2:$EC$201,0))&amp;"",$A16&amp;""))</f>
        <v>SAMPLE-O-014</v>
      </c>
      <c r="EE16" s="23" t="n">
        <f aca="false">IF(BB16=1,IF(COUNTIFS($A$2:$A$201,$A16,$BB$2:$BB$201,1,$H$2:$H$201,"&lt;"&amp;H16)+COUNTIFS($A$2:$A$201,$A16,$BB$2:$BB$201,1,$H$2:$H$201,H16,$BA$2:$BA$201,"&lt;"&amp;BA16)=0,1,0),0)</f>
        <v>1</v>
      </c>
      <c r="EF16" s="23" t="n">
        <f aca="false">IF(BC16=1,IF(COUNTIFS($AZ$2:$AZ$201,AZ16,$EE$2:$EE$201,1)&gt;1,1,0),0)</f>
        <v>0</v>
      </c>
      <c r="EG16" s="23" t="n">
        <f aca="false">IF(AND(CQ16=1),IF(COUNTIFS($AZ$2:$AZ$201,AZ16,$CQ$2:$CQ$201,1,$H$2:$H$201,"&gt;"&amp;H16)+COUNTIFS($AZ$2:$AZ$201,AZ16,$CQ$2:$CQ$201,1,$H$2:$H$201,H16,$BA$2:$BA$201,"&gt;"&amp;BA16)=0,1,0),0)</f>
        <v>1</v>
      </c>
      <c r="EH16" s="23" t="n">
        <f aca="false">IF(BB16=1,IF(COUNTIFS($AZ$2:$AZ$201,AZ16,$EG$2:$EG$201,1)=0,"",SUMIFS($O$2:$O$201,$AZ$2:$AZ$201,AZ16,$EG$2:$EG$201,1)),"")</f>
        <v>75</v>
      </c>
      <c r="EI16" s="23" t="n">
        <f aca="false">IF(AND(ISNUMBER(EH16),OR(N(EH16)&lt;Config!$B$31,N(EH16)&gt;Config!$B$33)),1,0)</f>
        <v>0</v>
      </c>
      <c r="EJ16" s="23" t="n">
        <f aca="false">IF(AND(ISNUMBER(EH16),N(EH16)&gt;=Config!$B$31,N(EH16)&lt;Config!$B$32),1,0)</f>
        <v>0</v>
      </c>
      <c r="EK16" s="23" t="n">
        <f aca="false">IF(AND(BF16=1,INT(N(H16))&lt;=Config!$B$6,DH16=1,EI16=1),1,0)</f>
        <v>0</v>
      </c>
      <c r="EL16" s="23" t="n">
        <f aca="false">IF(AND(BF16=1,INT(N(H16))&lt;=Config!$B$7,DI16=1,EI16=1),1,0)</f>
        <v>0</v>
      </c>
      <c r="EM16" s="23" t="n">
        <f aca="false">IF(AND(BF16=1,INT(N(H16))&lt;=Config!$B$8,DJ16=1,EI16=1),1,0)</f>
        <v>0</v>
      </c>
      <c r="EN16" s="23" t="n">
        <f aca="false">IF(AND(BF16=1,INT(N(H16))&lt;=Config!$B$5,DK16=1,EI16=1),1,0)</f>
        <v>0</v>
      </c>
      <c r="EO16" s="23" t="n">
        <f aca="false">IF(AND(DL16=1,EJ16=1),1,0)</f>
        <v>0</v>
      </c>
      <c r="EP16" s="23" t="n">
        <f aca="false">IF(AND(DM16=1,EJ16=1),1,0)</f>
        <v>0</v>
      </c>
      <c r="EQ16" s="23" t="n">
        <f aca="false">IF(AND(DN16=1,EJ16=1),1,0)</f>
        <v>0</v>
      </c>
      <c r="ER16" s="23" t="n">
        <f aca="false">IF(AND(DO16=1,EJ16=1),1,0)</f>
        <v>0</v>
      </c>
    </row>
    <row r="17" customFormat="false" ht="15" hidden="false" customHeight="false" outlineLevel="0" collapsed="false">
      <c r="A17" s="0" t="s">
        <v>502</v>
      </c>
      <c r="B17" s="0" t="s">
        <v>503</v>
      </c>
      <c r="D17" s="0" t="s">
        <v>504</v>
      </c>
      <c r="E17" s="0" t="s">
        <v>479</v>
      </c>
      <c r="F17" s="0" t="s">
        <v>480</v>
      </c>
      <c r="G17" s="32" t="s">
        <v>481</v>
      </c>
      <c r="H17" s="33" t="n">
        <v>46338</v>
      </c>
      <c r="I17" s="32" t="s">
        <v>482</v>
      </c>
      <c r="J17" s="32" t="s">
        <v>505</v>
      </c>
      <c r="K17" s="32" t="s">
        <v>456</v>
      </c>
      <c r="L17" s="32" t="s">
        <v>457</v>
      </c>
      <c r="O17" s="0" t="n">
        <v>90</v>
      </c>
      <c r="P17" s="32" t="s">
        <v>507</v>
      </c>
      <c r="Q17" s="32" t="s">
        <v>457</v>
      </c>
      <c r="R17" s="32" t="s">
        <v>461</v>
      </c>
      <c r="S17" s="32" t="s">
        <v>462</v>
      </c>
      <c r="T17" s="32" t="s">
        <v>463</v>
      </c>
      <c r="U17" s="32" t="s">
        <v>497</v>
      </c>
      <c r="V17" s="32" t="s">
        <v>464</v>
      </c>
      <c r="W17" s="32" t="s">
        <v>457</v>
      </c>
      <c r="AA17" s="0" t="n">
        <v>0</v>
      </c>
      <c r="AC17" s="32" t="s">
        <v>460</v>
      </c>
      <c r="AD17" s="32" t="s">
        <v>509</v>
      </c>
      <c r="AE17" s="32" t="s">
        <v>451</v>
      </c>
      <c r="AF17" s="32" t="s">
        <v>457</v>
      </c>
      <c r="AG17" s="0" t="s">
        <v>580</v>
      </c>
      <c r="AI17" s="32" t="s">
        <v>469</v>
      </c>
      <c r="AJ17" s="32" t="s">
        <v>511</v>
      </c>
      <c r="AK17" s="32" t="s">
        <v>471</v>
      </c>
      <c r="AL17" s="32" t="s">
        <v>488</v>
      </c>
      <c r="AM17" s="32" t="s">
        <v>473</v>
      </c>
      <c r="AN17" s="32" t="s">
        <v>98</v>
      </c>
      <c r="AQ17" s="32" t="s">
        <v>512</v>
      </c>
      <c r="AR17" s="32" t="s">
        <v>457</v>
      </c>
      <c r="AT17" s="32"/>
      <c r="AU17" s="32" t="s">
        <v>460</v>
      </c>
      <c r="AV17" s="0" t="n">
        <v>8</v>
      </c>
      <c r="AW17" s="32" t="s">
        <v>460</v>
      </c>
      <c r="AY17" s="34" t="str">
        <f aca="false">IF(TRIM($A17)="","",IF(AND(LEFT($A17,6)="SAMPLE",Config!$B$19&lt;&gt;"Y"),"",IF(NOT(ISNUMBER(H17)),"call_date is blank or not a date",IF(Sync!$C$5="","Clay paste is empty or has no row_id column: paste the Clay export on Clay_Offices",IF(CW17="","row_id not found in the Clay paste: add the Clay row or fix the row_id",IF(AND(ISNUMBER(CY17),CY17&gt;=1,CY17&lt;=5),"Clay status is "&amp;CX17&amp;": set call_done or later",IF(AND(BD17=1,CZ17&lt;&gt;BZ17),"Clay yes_in_principle should be "&amp;BZ17,IF(AND(BD17=1,DA17&lt;&gt;H17),"Clay call_date should be "&amp;TEXT(H17,"yyyy-mm-dd"),""))))))))</f>
        <v>Clay status is replied: set call_done or later</v>
      </c>
      <c r="AZ17" s="23" t="str">
        <f aca="false">IF(TRIM($A17)="","",IF(TRIM(C17)&lt;&gt;"",SUBSTITUTE(SUBSTITUTE(SUBSTITUTE(SUBSTITUTE(SUBSTITUTE(SUBSTITUTE(LOWER(TRIM(C17)),"~",""),"*",""),"?",""),"&lt;",""),"&gt;",""),"=",""),IF(EA17&lt;&gt;"",EA17,IFERROR(INDEX($EA$2:$EA$201,MATCH(DZ17,$EB$2:$EB$201,0)),DZ17))))</f>
        <v>sample office 04</v>
      </c>
      <c r="BA17" s="23" t="n">
        <f aca="false">ROW()</f>
        <v>17</v>
      </c>
      <c r="BB17" s="23" t="n">
        <f aca="false">IF(AND(TRIM($A17)&lt;&gt;"",ISNUMBER(H17)),IF(AND(LEFT($A17,6)="SAMPLE",Config!$B$19&lt;&gt;"Y"),0,1),0)</f>
        <v>1</v>
      </c>
      <c r="BC17" s="23" t="n">
        <f aca="false">IF(BB17=1,IF(COUNTIFS($AZ$2:$AZ$201,AZ17,$BB$2:$BB$201,1,$H$2:$H$201,"&lt;"&amp;H17)+COUNTIFS($AZ$2:$AZ$201,AZ17,$BB$2:$BB$201,1,$H$2:$H$201,H17,$BA$2:$BA$201,"&lt;"&amp;BA17)=0,1,0),0)</f>
        <v>0</v>
      </c>
      <c r="BD17" s="23" t="n">
        <f aca="false">IF(BB17=1,IF(COUNTIFS($A$2:$A$201,$A17,$BB$2:$BB$201,1,$H$2:$H$201,"&gt;"&amp;H17)+COUNTIFS($A$2:$A$201,$A17,$BB$2:$BB$201,1,$H$2:$H$201,H17,$BA$2:$BA$201,"&gt;"&amp;BA17)=0,1,0),0)</f>
        <v>1</v>
      </c>
      <c r="BE17" s="23" t="n">
        <f aca="false">IF(AND(BB17=1,AR17="Y",AC17="Y",TRIM(AH17)&lt;&gt;""),1,0)</f>
        <v>0</v>
      </c>
      <c r="BF17" s="23" t="n">
        <f aca="false">IF(BE17=1,IF(COUNTIFS($AZ$2:$AZ$201,AZ17,$BE$2:$BE$201,1,$H$2:$H$201,"&lt;"&amp;H17)+COUNTIFS($AZ$2:$AZ$201,AZ17,$BE$2:$BE$201,1,$H$2:$H$201,H17,$BA$2:$BA$201,"&lt;"&amp;BA17)=0,1,0),0)</f>
        <v>0</v>
      </c>
      <c r="BG17" s="23" t="n">
        <f aca="false">IF(AND(BB17=1,AR17="Y",BE17=0),1,0)</f>
        <v>0</v>
      </c>
      <c r="BH17" s="23" t="n">
        <f aca="false">IF(AND(BB17=1,ISNUMBER(Y17)),1,0)</f>
        <v>0</v>
      </c>
      <c r="BI17" s="23" t="n">
        <f aca="false">IF(BH17=1,IF(COUNTIFS($AZ$2:$AZ$201,AZ17,$BH$2:$BH$201,1,$H$2:$H$201,"&lt;"&amp;H17)+COUNTIFS($AZ$2:$AZ$201,AZ17,$BH$2:$BH$201,1,$H$2:$H$201,H17,$BA$2:$BA$201,"&lt;"&amp;BA17)=0,1,0),0)</f>
        <v>0</v>
      </c>
      <c r="BJ17" s="23" t="str">
        <f aca="false">IF(AND(BI17=1,INT(N(H17))&lt;=Config!$B$6),Y17,"")</f>
        <v/>
      </c>
      <c r="BK17" s="23" t="str">
        <f aca="false">IF(AND(BI17=1,INT(N(H17))&lt;=Config!$B$7),Y17,"")</f>
        <v/>
      </c>
      <c r="BL17" s="23" t="str">
        <f aca="false">IF(AND(BI17=1,INT(N(H17))&lt;=Config!$B$8),Y17,"")</f>
        <v/>
      </c>
      <c r="BM17" s="23" t="str">
        <f aca="false">IF(AND(BI17=1,INT(N(H17))&lt;=Config!$B$5),Y17,"")</f>
        <v/>
      </c>
      <c r="BN17" s="23" t="n">
        <f aca="false">IF(CD17=1,IF(COUNTIFS($AZ$2:$AZ$201,AZ17,$CD$2:$CD$201,1,$H$2:$H$201,"&lt;"&amp;H17)+COUNTIFS($AZ$2:$AZ$201,AZ17,$CD$2:$CD$201,1,$H$2:$H$201,H17,$BA$2:$BA$201,"&lt;"&amp;BA17)=0,1,0),0)</f>
        <v>0</v>
      </c>
      <c r="BO17" s="23" t="n">
        <f aca="false">IF(AND(BB17=1,ISNUMBER(M17)),1,0)</f>
        <v>0</v>
      </c>
      <c r="BP17" s="23" t="n">
        <f aca="false">IF(BO17=1,IF(COUNTIFS($AZ$2:$AZ$201,AZ17,$BO$2:$BO$201,1,$H$2:$H$201,"&lt;"&amp;H17)+COUNTIFS($AZ$2:$AZ$201,AZ17,$BO$2:$BO$201,1,$H$2:$H$201,H17,$BA$2:$BA$201,"&lt;"&amp;BA17)=0,1,0),0)</f>
        <v>0</v>
      </c>
      <c r="BQ17" s="23" t="str">
        <f aca="false">IF(AND(BP17=1,INT(N(H17))&lt;=Config!$B$5),M17,"")</f>
        <v/>
      </c>
      <c r="BR17" s="23" t="n">
        <f aca="false">IF(AND(BB17=1,OR(TRIM(X17)&lt;&gt;"",ISNUMBER(Y17))),1,0)</f>
        <v>0</v>
      </c>
      <c r="BS17" s="23" t="n">
        <f aca="false">IF(BR17=1,IF(COUNTIFS($AZ$2:$AZ$201,AZ17,$BR$2:$BR$201,1,$H$2:$H$201,"&lt;"&amp;H17)+COUNTIFS($AZ$2:$AZ$201,AZ17,$BR$2:$BR$201,1,$H$2:$H$201,H17,$BA$2:$BA$201,"&lt;"&amp;BA17)=0,1,0),0)</f>
        <v>0</v>
      </c>
      <c r="BT17" s="23" t="str">
        <f aca="false">IF(BS17=1,AZ17,"")</f>
        <v/>
      </c>
      <c r="BU17" s="23" t="n">
        <f aca="false">IF(AND(BB17=1,W17="Y",TRIM(X17)=""),1,0)</f>
        <v>0</v>
      </c>
      <c r="BV17" s="23" t="str">
        <f aca="false">IF(BB17=1,AN17&amp;"","")</f>
        <v>needs_approval</v>
      </c>
      <c r="BW17" s="23" t="str">
        <f aca="false">IF(BB17=1,AO17&amp;"","")</f>
        <v/>
      </c>
      <c r="BX17" s="23" t="str">
        <f aca="false">IF(BB17=1,AP17&amp;"","")</f>
        <v/>
      </c>
      <c r="BY17" s="23" t="n">
        <f aca="false">IF(AND(BB17=1,ISNUMBER(AV17),INT(N(H17))&lt;=Config!$B$5),AV17,"")</f>
        <v>8</v>
      </c>
      <c r="BZ17" s="23" t="str">
        <f aca="false">IF(BB17=1,IF(COUNTIFS($A$2:$A$201,$A17,$DC$2:$DC$201,1,$AR$2:$AR$201,"Y")&gt;0,"Y","N"),"")</f>
        <v>N</v>
      </c>
      <c r="CA17" s="23" t="n">
        <f aca="false">IF(AND(BB17=1,AR17="maybe"),1,0)</f>
        <v>0</v>
      </c>
      <c r="CB17" s="23" t="n">
        <f aca="false">IF(CA17=1,IF(COUNTIFS($AZ$2:$AZ$201,AZ17,$CA$2:$CA$201,1,$H$2:$H$201,"&lt;"&amp;H17)+COUNTIFS($AZ$2:$AZ$201,AZ17,$CA$2:$CA$201,1,$H$2:$H$201,H17,$BA$2:$BA$201,"&lt;"&amp;BA17)=0,1,0),0)</f>
        <v>0</v>
      </c>
      <c r="CC17" s="23" t="n">
        <f aca="false">IF(AND(BB17=1,AR17="Y"),IF(COUNTIFS($AZ$2:$AZ$201,AZ17,$AR$2:$AR$201,"Y",$BB$2:$BB$201,1,$H$2:$H$201,"&lt;"&amp;H17)+COUNTIFS($AZ$2:$AZ$201,AZ17,$AR$2:$AR$201,"Y",$BB$2:$BB$201,1,$H$2:$H$201,H17,$BA$2:$BA$201,"&lt;"&amp;BA17)=0,1,0),0)</f>
        <v>0</v>
      </c>
      <c r="CD17" s="23" t="n">
        <f aca="false">IF(AND(BH17=1,N(Y17)&gt;=Config!$B$15),1,0)</f>
        <v>0</v>
      </c>
      <c r="CE17" s="23" t="n">
        <f aca="false">IF(AND(BB17=1,AT17="Y"),1,0)</f>
        <v>0</v>
      </c>
      <c r="CF17" s="23" t="n">
        <f aca="false">IF(CE17=1,IF(COUNTIFS($AZ$2:$AZ$201,AZ17,$CE$2:$CE$201,1,$H$2:$H$201,"&lt;"&amp;H17)+COUNTIFS($AZ$2:$AZ$201,AZ17,$CE$2:$CE$201,1,$H$2:$H$201,H17,$BA$2:$BA$201,"&lt;"&amp;BA17)=0,1,0),0)</f>
        <v>0</v>
      </c>
      <c r="CG17" s="23" t="n">
        <f aca="false">IF(AND(BB17=1,G17="warm-intro"),1,0)</f>
        <v>0</v>
      </c>
      <c r="CH17" s="23" t="n">
        <f aca="false">IF(CG17=1,IF(COUNTIFS($AZ$2:$AZ$201,AZ17,$CG$2:$CG$201,1,$H$2:$H$201,"&lt;"&amp;H17)+COUNTIFS($AZ$2:$AZ$201,AZ17,$CG$2:$CG$201,1,$H$2:$H$201,H17,$BA$2:$BA$201,"&lt;"&amp;BA17)=0,1,0),0)</f>
        <v>0</v>
      </c>
      <c r="CI17" s="23" t="n">
        <f aca="false">IF(AND(BB17=1,Q17="Y"),1,0)</f>
        <v>0</v>
      </c>
      <c r="CJ17" s="23" t="n">
        <f aca="false">IF(CI17=1,IF(COUNTIFS($AZ$2:$AZ$201,AZ17,$CI$2:$CI$201,1,$H$2:$H$201,"&lt;"&amp;H17)+COUNTIFS($AZ$2:$AZ$201,AZ17,$CI$2:$CI$201,1,$H$2:$H$201,H17,$BA$2:$BA$201,"&lt;"&amp;BA17)=0,1,0),0)</f>
        <v>0</v>
      </c>
      <c r="CK17" s="23" t="n">
        <f aca="false">IF(AND(BB17=1,AF17="Y"),1,0)</f>
        <v>0</v>
      </c>
      <c r="CL17" s="23" t="n">
        <f aca="false">IF(CK17=1,IF(COUNTIFS($AZ$2:$AZ$201,AZ17,$CK$2:$CK$201,1,$H$2:$H$201,"&lt;"&amp;H17)+COUNTIFS($AZ$2:$AZ$201,AZ17,$CK$2:$CK$201,1,$H$2:$H$201,H17,$BA$2:$BA$201,"&lt;"&amp;BA17)=0,1,0),0)</f>
        <v>0</v>
      </c>
      <c r="CM17" s="23" t="n">
        <f aca="false">IF(AND(BB17=1,U17="Y"),1,0)</f>
        <v>0</v>
      </c>
      <c r="CN17" s="23" t="n">
        <f aca="false">IF(CM17=1,IF(COUNTIFS($AZ$2:$AZ$201,AZ17,$CM$2:$CM$201,1,$H$2:$H$201,"&lt;"&amp;H17)+COUNTIFS($AZ$2:$AZ$201,AZ17,$CM$2:$CM$201,1,$H$2:$H$201,H17,$BA$2:$BA$201,"&lt;"&amp;BA17)=0,1,0),0)</f>
        <v>0</v>
      </c>
      <c r="CO17" s="23" t="n">
        <f aca="false">IF(AND(BB17=1,L17="Y"),1,0)</f>
        <v>0</v>
      </c>
      <c r="CP17" s="23" t="n">
        <f aca="false">IF(CO17=1,IF(COUNTIFS($AZ$2:$AZ$201,AZ17,$CO$2:$CO$201,1,$H$2:$H$201,"&lt;"&amp;H17)+COUNTIFS($AZ$2:$AZ$201,AZ17,$CO$2:$CO$201,1,$H$2:$H$201,H17,$BA$2:$BA$201,"&lt;"&amp;BA17)=0,1,0),0)</f>
        <v>0</v>
      </c>
      <c r="CQ17" s="23" t="n">
        <f aca="false">IF(AND(BB17=1,ISNUMBER(O17)),1,0)</f>
        <v>1</v>
      </c>
      <c r="CR17" s="23" t="n">
        <f aca="false">IF(CQ17=1,IF(COUNTIFS($AZ$2:$AZ$201,AZ17,$CQ$2:$CQ$201,1,$H$2:$H$201,"&lt;"&amp;H17)+COUNTIFS($AZ$2:$AZ$201,AZ17,$CQ$2:$CQ$201,1,$H$2:$H$201,H17,$BA$2:$BA$201,"&lt;"&amp;BA17)=0,1,0),0)</f>
        <v>0</v>
      </c>
      <c r="CS17" s="23" t="str">
        <f aca="false">IF(AND(CR17=1,INT(N(H17))&lt;=Config!$B$5),O17,"")</f>
        <v/>
      </c>
      <c r="CT17" s="23" t="str">
        <f aca="false">IF(AND(BB17=1,INT(N(H17))&lt;=Config!$B$5),AG17&amp;"","")</f>
        <v>hr</v>
      </c>
      <c r="CU17" s="23" t="n">
        <f aca="false">IF(AND(BB17=1,AU17="Y"),1,0)</f>
        <v>1</v>
      </c>
      <c r="CV17" s="23" t="n">
        <f aca="false">IF(CU17=1,IF(COUNTIFS($AZ$2:$AZ$201,AZ17,$CU$2:$CU$201,1,$H$2:$H$201,"&lt;"&amp;H17)+COUNTIFS($AZ$2:$AZ$201,AZ17,$CU$2:$CU$201,1,$H$2:$H$201,H17,$BA$2:$BA$201,"&lt;"&amp;BA17)=0,1,0),0)</f>
        <v>0</v>
      </c>
      <c r="CW17" s="23" t="n">
        <f aca="false">IF(BB17=1,IFERROR(MATCH($A17,INDEX(Clay_Offices!$A$2:$FZ$601,0,Sync!$C$5),0),""),"")</f>
        <v>4</v>
      </c>
      <c r="CX17" s="23" t="str">
        <f aca="false">IF(CW17="","",IFERROR(INDEX(Clay_Offices!$A$2:$FZ$601,CW17,Sync!$C$7)&amp;"",""))</f>
        <v>replied</v>
      </c>
      <c r="CY17" s="23" t="n">
        <f aca="false">IF(CX17="","",IFERROR(INDEX(Lists!$K$2:$K$15,MATCH(CX17,Lists!$J$2:$J$15,0)),""))</f>
        <v>4</v>
      </c>
      <c r="CZ17" s="23" t="str">
        <f aca="false">IF(CW17="","",IFERROR(INDEX(Clay_Offices!$A$2:$FZ$601,CW17,Sync!$C$17)&amp;"",""))</f>
        <v>N</v>
      </c>
      <c r="DA17" s="35" t="n">
        <f aca="false">IF(CW17="","",IFERROR(N(INDEX(Clay_Offices!$A$2:$FZ$601,CW17,Sync!$C$16)),0))</f>
        <v>46338</v>
      </c>
      <c r="DB17" s="23" t="n">
        <f aca="false">IF(AND(BB17=1,OR(AR17="Y",AR17="N",AR17="maybe")),1,0)</f>
        <v>1</v>
      </c>
      <c r="DC17" s="23" t="n">
        <f aca="false">IF(AND(DB17=1),IF(COUNTIFS($A$2:$A$201,$A17,$DB$2:$DB$201,1,$H$2:$H$201,"&gt;"&amp;H17)+COUNTIFS($A$2:$A$201,$A17,$DB$2:$DB$201,1,$H$2:$H$201,H17,$BA$2:$BA$201,"&gt;"&amp;BA17)=0,1,0),0)</f>
        <v>1</v>
      </c>
      <c r="DD17" s="23" t="n">
        <f aca="false">IF(AND(DB17=1,INT(N(H17))&lt;=Config!$B$6),IF(COUNTIFS($AZ$2:$AZ$201,AZ17,$DB$2:$DB$201,1,$H$2:$H$201,"&gt;"&amp;H17,$H$2:$H$201,"&lt;"&amp;(Config!$B$6+1))+COUNTIFS($AZ$2:$AZ$201,AZ17,$DB$2:$DB$201,1,$H$2:$H$201,H17,$BA$2:$BA$201,"&gt;"&amp;BA17)=0,1,0),0)</f>
        <v>0</v>
      </c>
      <c r="DE17" s="23" t="n">
        <f aca="false">IF(AND(DB17=1,INT(N(H17))&lt;=Config!$B$7),IF(COUNTIFS($AZ$2:$AZ$201,AZ17,$DB$2:$DB$201,1,$H$2:$H$201,"&gt;"&amp;H17,$H$2:$H$201,"&lt;"&amp;(Config!$B$7+1))+COUNTIFS($AZ$2:$AZ$201,AZ17,$DB$2:$DB$201,1,$H$2:$H$201,H17,$BA$2:$BA$201,"&gt;"&amp;BA17)=0,1,0),0)</f>
        <v>0</v>
      </c>
      <c r="DF17" s="23" t="n">
        <f aca="false">IF(AND(DB17=1,INT(N(H17))&lt;=Config!$B$8),IF(COUNTIFS($AZ$2:$AZ$201,AZ17,$DB$2:$DB$201,1,$H$2:$H$201,"&gt;"&amp;H17,$H$2:$H$201,"&lt;"&amp;(Config!$B$8+1))+COUNTIFS($AZ$2:$AZ$201,AZ17,$DB$2:$DB$201,1,$H$2:$H$201,H17,$BA$2:$BA$201,"&gt;"&amp;BA17)=0,1,0),0)</f>
        <v>1</v>
      </c>
      <c r="DG17" s="23" t="n">
        <f aca="false">IF(AND(DB17=1,INT(N(H17))&lt;=Config!$B$5),IF(COUNTIFS($AZ$2:$AZ$201,AZ17,$DB$2:$DB$201,1,$H$2:$H$201,"&gt;"&amp;H17,$H$2:$H$201,"&lt;"&amp;(Config!$B$5+1))+COUNTIFS($AZ$2:$AZ$201,AZ17,$DB$2:$DB$201,1,$H$2:$H$201,H17,$BA$2:$BA$201,"&gt;"&amp;BA17)=0,1,0),0)</f>
        <v>1</v>
      </c>
      <c r="DH17" s="23" t="n">
        <f aca="false">IF(BB17=1,IF(COUNTIFS($AZ$2:$AZ$201,AZ17,$DD$2:$DD$201,1,$AR$2:$AR$201,"Y")&gt;0,1,0),0)</f>
        <v>0</v>
      </c>
      <c r="DI17" s="23" t="n">
        <f aca="false">IF(BB17=1,IF(COUNTIFS($AZ$2:$AZ$201,AZ17,$DE$2:$DE$201,1,$AR$2:$AR$201,"Y")&gt;0,1,0),0)</f>
        <v>1</v>
      </c>
      <c r="DJ17" s="23" t="n">
        <f aca="false">IF(BB17=1,IF(COUNTIFS($AZ$2:$AZ$201,AZ17,$DF$2:$DF$201,1,$AR$2:$AR$201,"Y")&gt;0,1,0),0)</f>
        <v>0</v>
      </c>
      <c r="DK17" s="23" t="n">
        <f aca="false">IF(BB17=1,IF(COUNTIFS($AZ$2:$AZ$201,AZ17,$DG$2:$DG$201,1,$AR$2:$AR$201,"Y")&gt;0,1,0),0)</f>
        <v>0</v>
      </c>
      <c r="DL17" s="23" t="n">
        <f aca="false">IF(AND(BF17=1,INT(N(H17))&lt;=Config!$B$6,DH17=1,EI17=0),1,0)</f>
        <v>0</v>
      </c>
      <c r="DM17" s="23" t="n">
        <f aca="false">IF(AND(BF17=1,INT(N(H17))&lt;=Config!$B$7,DI17=1,EI17=0),1,0)</f>
        <v>0</v>
      </c>
      <c r="DN17" s="23" t="n">
        <f aca="false">IF(AND(BF17=1,INT(N(H17))&lt;=Config!$B$8,DJ17=1,EI17=0),1,0)</f>
        <v>0</v>
      </c>
      <c r="DO17" s="23" t="n">
        <f aca="false">IF(AND(BF17=1,INT(N(H17))&lt;=Config!$B$5,DK17=1,EI17=0),1,0)</f>
        <v>0</v>
      </c>
      <c r="DP17" s="23" t="n">
        <f aca="false">IF(AND(CC17=1,INT(N(H17))&lt;=Config!$B$6,DH17=1,EI17=0),1,0)</f>
        <v>0</v>
      </c>
      <c r="DQ17" s="23" t="n">
        <f aca="false">IF(AND(CC17=1,INT(N(H17))&lt;=Config!$B$7,DI17=1,EI17=0),1,0)</f>
        <v>0</v>
      </c>
      <c r="DR17" s="23" t="n">
        <f aca="false">IF(AND(CC17=1,INT(N(H17))&lt;=Config!$B$8,DJ17=1,EI17=0),1,0)</f>
        <v>0</v>
      </c>
      <c r="DS17" s="23" t="n">
        <f aca="false">IF(AND(CC17=1,INT(N(H17))&lt;=Config!$B$5,DK17=1,EI17=0),1,0)</f>
        <v>0</v>
      </c>
      <c r="DT17" s="23" t="n">
        <f aca="false">IF(AND(CC17=1,INT(N(H17))&lt;=Config!$B$6,DH17=0),1,0)</f>
        <v>0</v>
      </c>
      <c r="DU17" s="23" t="n">
        <f aca="false">IF(AND(CC17=1,INT(N(H17))&lt;=Config!$B$7,DI17=0),1,0)</f>
        <v>0</v>
      </c>
      <c r="DV17" s="23" t="n">
        <f aca="false">IF(AND(CC17=1,INT(N(H17))&lt;=Config!$B$8,DJ17=0),1,0)</f>
        <v>0</v>
      </c>
      <c r="DW17" s="23" t="n">
        <f aca="false">IF(AND(CC17=1,INT(N(H17))&lt;=Config!$B$5,DK17=0),1,0)</f>
        <v>0</v>
      </c>
      <c r="DX17" s="23" t="n">
        <f aca="false">IF(TRIM($A17)="",0,ISTEXT(M17)+ISTEXT(O17)+ISTEXT(Y17)+ISTEXT(Z17)+ISTEXT(AA17)+ISTEXT(AV17))</f>
        <v>0</v>
      </c>
      <c r="DY17" s="23" t="n">
        <f aca="false">IF(BB17=1,IF(H17&lt;&gt;INT(H17),1,0),0)</f>
        <v>0</v>
      </c>
      <c r="DZ17" s="23" t="str">
        <f aca="false">IF(TRIM($A17)="","",IF(TRIM(B17)="",SUBSTITUTE(SUBSTITUTE(SUBSTITUTE(SUBSTITUTE(SUBSTITUTE(SUBSTITUTE(LOWER(TRIM($A17)),"~",""),"*",""),"?",""),"&lt;",""),"&gt;",""),"=",""),SUBSTITUTE(SUBSTITUTE(SUBSTITUTE(SUBSTITUTE(SUBSTITUTE(SUBSTITUTE(LOWER(TRIM(B17)),"~",""),"*",""),"?",""),"&lt;",""),"&gt;",""),"=","")))</f>
        <v>sample office 04</v>
      </c>
      <c r="EA17" s="23" t="str">
        <f aca="false">IF(CW17="","",IFERROR(IF(LEFT(LOWER(TRIM(INDEX(Clay_Offices!$A$2:$FZ$601,CW17,Sync!$C$19)&amp;"")),4)="grp-",SUBSTITUTE(SUBSTITUTE(SUBSTITUTE(SUBSTITUTE(SUBSTITUTE(SUBSTITUTE(LOWER(TRIM(INDEX(Clay_Offices!$A$2:$FZ$601,CW17,Sync!$C$19)&amp;"")),"~",""),"*",""),"?",""),"&lt;",""),"&gt;",""),"=",""),""),""))</f>
        <v/>
      </c>
      <c r="EB17" s="23" t="str">
        <f aca="false">IF(EA17&lt;&gt;"",DZ17,"")</f>
        <v/>
      </c>
      <c r="EC17" s="23" t="str">
        <f aca="false">IF(BC17=1,AZ17,"")</f>
        <v/>
      </c>
      <c r="ED17" s="23" t="str">
        <f aca="false">IF(TRIM($A17)="","",IFERROR(INDEX($A$2:$A$201,MATCH(AZ17,$EC$2:$EC$201,0))&amp;"",$A17&amp;""))</f>
        <v>SAMPLE-O-004</v>
      </c>
      <c r="EE17" s="23" t="n">
        <f aca="false">IF(BB17=1,IF(COUNTIFS($A$2:$A$201,$A17,$BB$2:$BB$201,1,$H$2:$H$201,"&lt;"&amp;H17)+COUNTIFS($A$2:$A$201,$A17,$BB$2:$BB$201,1,$H$2:$H$201,H17,$BA$2:$BA$201,"&lt;"&amp;BA17)=0,1,0),0)</f>
        <v>0</v>
      </c>
      <c r="EF17" s="23" t="n">
        <f aca="false">IF(BC17=1,IF(COUNTIFS($AZ$2:$AZ$201,AZ17,$EE$2:$EE$201,1)&gt;1,1,0),0)</f>
        <v>0</v>
      </c>
      <c r="EG17" s="23" t="n">
        <f aca="false">IF(AND(CQ17=1),IF(COUNTIFS($AZ$2:$AZ$201,AZ17,$CQ$2:$CQ$201,1,$H$2:$H$201,"&gt;"&amp;H17)+COUNTIFS($AZ$2:$AZ$201,AZ17,$CQ$2:$CQ$201,1,$H$2:$H$201,H17,$BA$2:$BA$201,"&gt;"&amp;BA17)=0,1,0),0)</f>
        <v>1</v>
      </c>
      <c r="EH17" s="23" t="n">
        <f aca="false">IF(BB17=1,IF(COUNTIFS($AZ$2:$AZ$201,AZ17,$EG$2:$EG$201,1)=0,"",SUMIFS($O$2:$O$201,$AZ$2:$AZ$201,AZ17,$EG$2:$EG$201,1)),"")</f>
        <v>90</v>
      </c>
      <c r="EI17" s="23" t="n">
        <f aca="false">IF(AND(ISNUMBER(EH17),OR(N(EH17)&lt;Config!$B$31,N(EH17)&gt;Config!$B$33)),1,0)</f>
        <v>0</v>
      </c>
      <c r="EJ17" s="23" t="n">
        <f aca="false">IF(AND(ISNUMBER(EH17),N(EH17)&gt;=Config!$B$31,N(EH17)&lt;Config!$B$32),1,0)</f>
        <v>0</v>
      </c>
      <c r="EK17" s="23" t="n">
        <f aca="false">IF(AND(BF17=1,INT(N(H17))&lt;=Config!$B$6,DH17=1,EI17=1),1,0)</f>
        <v>0</v>
      </c>
      <c r="EL17" s="23" t="n">
        <f aca="false">IF(AND(BF17=1,INT(N(H17))&lt;=Config!$B$7,DI17=1,EI17=1),1,0)</f>
        <v>0</v>
      </c>
      <c r="EM17" s="23" t="n">
        <f aca="false">IF(AND(BF17=1,INT(N(H17))&lt;=Config!$B$8,DJ17=1,EI17=1),1,0)</f>
        <v>0</v>
      </c>
      <c r="EN17" s="23" t="n">
        <f aca="false">IF(AND(BF17=1,INT(N(H17))&lt;=Config!$B$5,DK17=1,EI17=1),1,0)</f>
        <v>0</v>
      </c>
      <c r="EO17" s="23" t="n">
        <f aca="false">IF(AND(DL17=1,EJ17=1),1,0)</f>
        <v>0</v>
      </c>
      <c r="EP17" s="23" t="n">
        <f aca="false">IF(AND(DM17=1,EJ17=1),1,0)</f>
        <v>0</v>
      </c>
      <c r="EQ17" s="23" t="n">
        <f aca="false">IF(AND(DN17=1,EJ17=1),1,0)</f>
        <v>0</v>
      </c>
      <c r="ER17" s="23" t="n">
        <f aca="false">IF(AND(DO17=1,EJ17=1),1,0)</f>
        <v>0</v>
      </c>
    </row>
    <row r="18" customFormat="false" ht="15" hidden="false" customHeight="false" outlineLevel="0" collapsed="false">
      <c r="G18" s="32"/>
      <c r="H18" s="33"/>
      <c r="I18" s="32"/>
      <c r="L18" s="32"/>
      <c r="Q18" s="32"/>
      <c r="U18" s="32"/>
      <c r="W18" s="32"/>
      <c r="AC18" s="32"/>
      <c r="AF18" s="32"/>
      <c r="AI18" s="32"/>
      <c r="AJ18" s="32"/>
      <c r="AN18" s="32"/>
      <c r="AR18" s="32"/>
      <c r="AT18" s="32"/>
      <c r="AU18" s="32"/>
      <c r="AW18" s="32"/>
      <c r="AY18" s="34" t="str">
        <f aca="false">IF(TRIM($A18)="","",IF(AND(LEFT($A18,6)="SAMPLE",Config!$B$19&lt;&gt;"Y"),"",IF(NOT(ISNUMBER(H18)),"call_date is blank or not a date",IF(Sync!$C$5="","Clay paste is empty or has no row_id column: paste the Clay export on Clay_Offices",IF(CW18="","row_id not found in the Clay paste: add the Clay row or fix the row_id",IF(AND(ISNUMBER(CY18),CY18&gt;=1,CY18&lt;=5),"Clay status is "&amp;CX18&amp;": set call_done or later",IF(AND(BD18=1,CZ18&lt;&gt;BZ18),"Clay yes_in_principle should be "&amp;BZ18,IF(AND(BD18=1,DA18&lt;&gt;H18),"Clay call_date should be "&amp;TEXT(H18,"yyyy-mm-dd"),""))))))))</f>
        <v/>
      </c>
      <c r="AZ18" s="23" t="str">
        <f aca="false">IF(TRIM($A18)="","",IF(TRIM(C18)&lt;&gt;"",SUBSTITUTE(SUBSTITUTE(SUBSTITUTE(SUBSTITUTE(SUBSTITUTE(SUBSTITUTE(LOWER(TRIM(C18)),"~",""),"*",""),"?",""),"&lt;",""),"&gt;",""),"=",""),IF(EA18&lt;&gt;"",EA18,IFERROR(INDEX($EA$2:$EA$201,MATCH(DZ18,$EB$2:$EB$201,0)),DZ18))))</f>
        <v/>
      </c>
      <c r="BA18" s="23" t="n">
        <f aca="false">ROW()</f>
        <v>18</v>
      </c>
      <c r="BB18" s="23" t="n">
        <f aca="false">IF(AND(TRIM($A18)&lt;&gt;"",ISNUMBER(H18)),IF(AND(LEFT($A18,6)="SAMPLE",Config!$B$19&lt;&gt;"Y"),0,1),0)</f>
        <v>0</v>
      </c>
      <c r="BC18" s="23" t="n">
        <f aca="false">IF(BB18=1,IF(COUNTIFS($AZ$2:$AZ$201,AZ18,$BB$2:$BB$201,1,$H$2:$H$201,"&lt;"&amp;H18)+COUNTIFS($AZ$2:$AZ$201,AZ18,$BB$2:$BB$201,1,$H$2:$H$201,H18,$BA$2:$BA$201,"&lt;"&amp;BA18)=0,1,0),0)</f>
        <v>0</v>
      </c>
      <c r="BD18" s="23" t="n">
        <f aca="false">IF(BB18=1,IF(COUNTIFS($A$2:$A$201,$A18,$BB$2:$BB$201,1,$H$2:$H$201,"&gt;"&amp;H18)+COUNTIFS($A$2:$A$201,$A18,$BB$2:$BB$201,1,$H$2:$H$201,H18,$BA$2:$BA$201,"&gt;"&amp;BA18)=0,1,0),0)</f>
        <v>0</v>
      </c>
      <c r="BE18" s="23" t="n">
        <f aca="false">IF(AND(BB18=1,AR18="Y",AC18="Y",TRIM(AH18)&lt;&gt;""),1,0)</f>
        <v>0</v>
      </c>
      <c r="BF18" s="23" t="n">
        <f aca="false">IF(BE18=1,IF(COUNTIFS($AZ$2:$AZ$201,AZ18,$BE$2:$BE$201,1,$H$2:$H$201,"&lt;"&amp;H18)+COUNTIFS($AZ$2:$AZ$201,AZ18,$BE$2:$BE$201,1,$H$2:$H$201,H18,$BA$2:$BA$201,"&lt;"&amp;BA18)=0,1,0),0)</f>
        <v>0</v>
      </c>
      <c r="BG18" s="23" t="n">
        <f aca="false">IF(AND(BB18=1,AR18="Y",BE18=0),1,0)</f>
        <v>0</v>
      </c>
      <c r="BH18" s="23" t="n">
        <f aca="false">IF(AND(BB18=1,ISNUMBER(Y18)),1,0)</f>
        <v>0</v>
      </c>
      <c r="BI18" s="23" t="n">
        <f aca="false">IF(BH18=1,IF(COUNTIFS($AZ$2:$AZ$201,AZ18,$BH$2:$BH$201,1,$H$2:$H$201,"&lt;"&amp;H18)+COUNTIFS($AZ$2:$AZ$201,AZ18,$BH$2:$BH$201,1,$H$2:$H$201,H18,$BA$2:$BA$201,"&lt;"&amp;BA18)=0,1,0),0)</f>
        <v>0</v>
      </c>
      <c r="BJ18" s="23" t="str">
        <f aca="false">IF(AND(BI18=1,INT(N(H18))&lt;=Config!$B$6),Y18,"")</f>
        <v/>
      </c>
      <c r="BK18" s="23" t="str">
        <f aca="false">IF(AND(BI18=1,INT(N(H18))&lt;=Config!$B$7),Y18,"")</f>
        <v/>
      </c>
      <c r="BL18" s="23" t="str">
        <f aca="false">IF(AND(BI18=1,INT(N(H18))&lt;=Config!$B$8),Y18,"")</f>
        <v/>
      </c>
      <c r="BM18" s="23" t="str">
        <f aca="false">IF(AND(BI18=1,INT(N(H18))&lt;=Config!$B$5),Y18,"")</f>
        <v/>
      </c>
      <c r="BN18" s="23" t="n">
        <f aca="false">IF(CD18=1,IF(COUNTIFS($AZ$2:$AZ$201,AZ18,$CD$2:$CD$201,1,$H$2:$H$201,"&lt;"&amp;H18)+COUNTIFS($AZ$2:$AZ$201,AZ18,$CD$2:$CD$201,1,$H$2:$H$201,H18,$BA$2:$BA$201,"&lt;"&amp;BA18)=0,1,0),0)</f>
        <v>0</v>
      </c>
      <c r="BO18" s="23" t="n">
        <f aca="false">IF(AND(BB18=1,ISNUMBER(M18)),1,0)</f>
        <v>0</v>
      </c>
      <c r="BP18" s="23" t="n">
        <f aca="false">IF(BO18=1,IF(COUNTIFS($AZ$2:$AZ$201,AZ18,$BO$2:$BO$201,1,$H$2:$H$201,"&lt;"&amp;H18)+COUNTIFS($AZ$2:$AZ$201,AZ18,$BO$2:$BO$201,1,$H$2:$H$201,H18,$BA$2:$BA$201,"&lt;"&amp;BA18)=0,1,0),0)</f>
        <v>0</v>
      </c>
      <c r="BQ18" s="23" t="str">
        <f aca="false">IF(AND(BP18=1,INT(N(H18))&lt;=Config!$B$5),M18,"")</f>
        <v/>
      </c>
      <c r="BR18" s="23" t="n">
        <f aca="false">IF(AND(BB18=1,OR(TRIM(X18)&lt;&gt;"",ISNUMBER(Y18))),1,0)</f>
        <v>0</v>
      </c>
      <c r="BS18" s="23" t="n">
        <f aca="false">IF(BR18=1,IF(COUNTIFS($AZ$2:$AZ$201,AZ18,$BR$2:$BR$201,1,$H$2:$H$201,"&lt;"&amp;H18)+COUNTIFS($AZ$2:$AZ$201,AZ18,$BR$2:$BR$201,1,$H$2:$H$201,H18,$BA$2:$BA$201,"&lt;"&amp;BA18)=0,1,0),0)</f>
        <v>0</v>
      </c>
      <c r="BT18" s="23" t="str">
        <f aca="false">IF(BS18=1,AZ18,"")</f>
        <v/>
      </c>
      <c r="BU18" s="23" t="n">
        <f aca="false">IF(AND(BB18=1,W18="Y",TRIM(X18)=""),1,0)</f>
        <v>0</v>
      </c>
      <c r="BV18" s="23" t="str">
        <f aca="false">IF(BB18=1,AN18&amp;"","")</f>
        <v/>
      </c>
      <c r="BW18" s="23" t="str">
        <f aca="false">IF(BB18=1,AO18&amp;"","")</f>
        <v/>
      </c>
      <c r="BX18" s="23" t="str">
        <f aca="false">IF(BB18=1,AP18&amp;"","")</f>
        <v/>
      </c>
      <c r="BY18" s="23" t="str">
        <f aca="false">IF(AND(BB18=1,ISNUMBER(AV18),INT(N(H18))&lt;=Config!$B$5),AV18,"")</f>
        <v/>
      </c>
      <c r="BZ18" s="23" t="str">
        <f aca="false">IF(BB18=1,IF(COUNTIFS($A$2:$A$201,$A18,$DC$2:$DC$201,1,$AR$2:$AR$201,"Y")&gt;0,"Y","N"),"")</f>
        <v/>
      </c>
      <c r="CA18" s="23" t="n">
        <f aca="false">IF(AND(BB18=1,AR18="maybe"),1,0)</f>
        <v>0</v>
      </c>
      <c r="CB18" s="23" t="n">
        <f aca="false">IF(CA18=1,IF(COUNTIFS($AZ$2:$AZ$201,AZ18,$CA$2:$CA$201,1,$H$2:$H$201,"&lt;"&amp;H18)+COUNTIFS($AZ$2:$AZ$201,AZ18,$CA$2:$CA$201,1,$H$2:$H$201,H18,$BA$2:$BA$201,"&lt;"&amp;BA18)=0,1,0),0)</f>
        <v>0</v>
      </c>
      <c r="CC18" s="23" t="n">
        <f aca="false">IF(AND(BB18=1,AR18="Y"),IF(COUNTIFS($AZ$2:$AZ$201,AZ18,$AR$2:$AR$201,"Y",$BB$2:$BB$201,1,$H$2:$H$201,"&lt;"&amp;H18)+COUNTIFS($AZ$2:$AZ$201,AZ18,$AR$2:$AR$201,"Y",$BB$2:$BB$201,1,$H$2:$H$201,H18,$BA$2:$BA$201,"&lt;"&amp;BA18)=0,1,0),0)</f>
        <v>0</v>
      </c>
      <c r="CD18" s="23" t="n">
        <f aca="false">IF(AND(BH18=1,N(Y18)&gt;=Config!$B$15),1,0)</f>
        <v>0</v>
      </c>
      <c r="CE18" s="23" t="n">
        <f aca="false">IF(AND(BB18=1,AT18="Y"),1,0)</f>
        <v>0</v>
      </c>
      <c r="CF18" s="23" t="n">
        <f aca="false">IF(CE18=1,IF(COUNTIFS($AZ$2:$AZ$201,AZ18,$CE$2:$CE$201,1,$H$2:$H$201,"&lt;"&amp;H18)+COUNTIFS($AZ$2:$AZ$201,AZ18,$CE$2:$CE$201,1,$H$2:$H$201,H18,$BA$2:$BA$201,"&lt;"&amp;BA18)=0,1,0),0)</f>
        <v>0</v>
      </c>
      <c r="CG18" s="23" t="n">
        <f aca="false">IF(AND(BB18=1,G18="warm-intro"),1,0)</f>
        <v>0</v>
      </c>
      <c r="CH18" s="23" t="n">
        <f aca="false">IF(CG18=1,IF(COUNTIFS($AZ$2:$AZ$201,AZ18,$CG$2:$CG$201,1,$H$2:$H$201,"&lt;"&amp;H18)+COUNTIFS($AZ$2:$AZ$201,AZ18,$CG$2:$CG$201,1,$H$2:$H$201,H18,$BA$2:$BA$201,"&lt;"&amp;BA18)=0,1,0),0)</f>
        <v>0</v>
      </c>
      <c r="CI18" s="23" t="n">
        <f aca="false">IF(AND(BB18=1,Q18="Y"),1,0)</f>
        <v>0</v>
      </c>
      <c r="CJ18" s="23" t="n">
        <f aca="false">IF(CI18=1,IF(COUNTIFS($AZ$2:$AZ$201,AZ18,$CI$2:$CI$201,1,$H$2:$H$201,"&lt;"&amp;H18)+COUNTIFS($AZ$2:$AZ$201,AZ18,$CI$2:$CI$201,1,$H$2:$H$201,H18,$BA$2:$BA$201,"&lt;"&amp;BA18)=0,1,0),0)</f>
        <v>0</v>
      </c>
      <c r="CK18" s="23" t="n">
        <f aca="false">IF(AND(BB18=1,AF18="Y"),1,0)</f>
        <v>0</v>
      </c>
      <c r="CL18" s="23" t="n">
        <f aca="false">IF(CK18=1,IF(COUNTIFS($AZ$2:$AZ$201,AZ18,$CK$2:$CK$201,1,$H$2:$H$201,"&lt;"&amp;H18)+COUNTIFS($AZ$2:$AZ$201,AZ18,$CK$2:$CK$201,1,$H$2:$H$201,H18,$BA$2:$BA$201,"&lt;"&amp;BA18)=0,1,0),0)</f>
        <v>0</v>
      </c>
      <c r="CM18" s="23" t="n">
        <f aca="false">IF(AND(BB18=1,U18="Y"),1,0)</f>
        <v>0</v>
      </c>
      <c r="CN18" s="23" t="n">
        <f aca="false">IF(CM18=1,IF(COUNTIFS($AZ$2:$AZ$201,AZ18,$CM$2:$CM$201,1,$H$2:$H$201,"&lt;"&amp;H18)+COUNTIFS($AZ$2:$AZ$201,AZ18,$CM$2:$CM$201,1,$H$2:$H$201,H18,$BA$2:$BA$201,"&lt;"&amp;BA18)=0,1,0),0)</f>
        <v>0</v>
      </c>
      <c r="CO18" s="23" t="n">
        <f aca="false">IF(AND(BB18=1,L18="Y"),1,0)</f>
        <v>0</v>
      </c>
      <c r="CP18" s="23" t="n">
        <f aca="false">IF(CO18=1,IF(COUNTIFS($AZ$2:$AZ$201,AZ18,$CO$2:$CO$201,1,$H$2:$H$201,"&lt;"&amp;H18)+COUNTIFS($AZ$2:$AZ$201,AZ18,$CO$2:$CO$201,1,$H$2:$H$201,H18,$BA$2:$BA$201,"&lt;"&amp;BA18)=0,1,0),0)</f>
        <v>0</v>
      </c>
      <c r="CQ18" s="23" t="n">
        <f aca="false">IF(AND(BB18=1,ISNUMBER(O18)),1,0)</f>
        <v>0</v>
      </c>
      <c r="CR18" s="23" t="n">
        <f aca="false">IF(CQ18=1,IF(COUNTIFS($AZ$2:$AZ$201,AZ18,$CQ$2:$CQ$201,1,$H$2:$H$201,"&lt;"&amp;H18)+COUNTIFS($AZ$2:$AZ$201,AZ18,$CQ$2:$CQ$201,1,$H$2:$H$201,H18,$BA$2:$BA$201,"&lt;"&amp;BA18)=0,1,0),0)</f>
        <v>0</v>
      </c>
      <c r="CS18" s="23" t="str">
        <f aca="false">IF(AND(CR18=1,INT(N(H18))&lt;=Config!$B$5),O18,"")</f>
        <v/>
      </c>
      <c r="CT18" s="23" t="str">
        <f aca="false">IF(AND(BB18=1,INT(N(H18))&lt;=Config!$B$5),AG18&amp;"","")</f>
        <v/>
      </c>
      <c r="CU18" s="23" t="n">
        <f aca="false">IF(AND(BB18=1,AU18="Y"),1,0)</f>
        <v>0</v>
      </c>
      <c r="CV18" s="23" t="n">
        <f aca="false">IF(CU18=1,IF(COUNTIFS($AZ$2:$AZ$201,AZ18,$CU$2:$CU$201,1,$H$2:$H$201,"&lt;"&amp;H18)+COUNTIFS($AZ$2:$AZ$201,AZ18,$CU$2:$CU$201,1,$H$2:$H$201,H18,$BA$2:$BA$201,"&lt;"&amp;BA18)=0,1,0),0)</f>
        <v>0</v>
      </c>
      <c r="CW18" s="23" t="str">
        <f aca="false">IF(BB18=1,IFERROR(MATCH($A18,INDEX(Clay_Offices!$A$2:$FZ$601,0,Sync!$C$5),0),""),"")</f>
        <v/>
      </c>
      <c r="CX18" s="23" t="str">
        <f aca="false">IF(CW18="","",IFERROR(INDEX(Clay_Offices!$A$2:$FZ$601,CW18,Sync!$C$7)&amp;"",""))</f>
        <v/>
      </c>
      <c r="CY18" s="23" t="str">
        <f aca="false">IF(CX18="","",IFERROR(INDEX(Lists!$K$2:$K$15,MATCH(CX18,Lists!$J$2:$J$15,0)),""))</f>
        <v/>
      </c>
      <c r="CZ18" s="23" t="str">
        <f aca="false">IF(CW18="","",IFERROR(INDEX(Clay_Offices!$A$2:$FZ$601,CW18,Sync!$C$17)&amp;"",""))</f>
        <v/>
      </c>
      <c r="DA18" s="35" t="str">
        <f aca="false">IF(CW18="","",IFERROR(N(INDEX(Clay_Offices!$A$2:$FZ$601,CW18,Sync!$C$16)),0))</f>
        <v/>
      </c>
      <c r="DB18" s="23" t="n">
        <f aca="false">IF(AND(BB18=1,OR(AR18="Y",AR18="N",AR18="maybe")),1,0)</f>
        <v>0</v>
      </c>
      <c r="DC18" s="23" t="n">
        <f aca="false">IF(AND(DB18=1),IF(COUNTIFS($A$2:$A$201,$A18,$DB$2:$DB$201,1,$H$2:$H$201,"&gt;"&amp;H18)+COUNTIFS($A$2:$A$201,$A18,$DB$2:$DB$201,1,$H$2:$H$201,H18,$BA$2:$BA$201,"&gt;"&amp;BA18)=0,1,0),0)</f>
        <v>0</v>
      </c>
      <c r="DD18" s="23" t="n">
        <f aca="false">IF(AND(DB18=1,INT(N(H18))&lt;=Config!$B$6),IF(COUNTIFS($AZ$2:$AZ$201,AZ18,$DB$2:$DB$201,1,$H$2:$H$201,"&gt;"&amp;H18,$H$2:$H$201,"&lt;"&amp;(Config!$B$6+1))+COUNTIFS($AZ$2:$AZ$201,AZ18,$DB$2:$DB$201,1,$H$2:$H$201,H18,$BA$2:$BA$201,"&gt;"&amp;BA18)=0,1,0),0)</f>
        <v>0</v>
      </c>
      <c r="DE18" s="23" t="n">
        <f aca="false">IF(AND(DB18=1,INT(N(H18))&lt;=Config!$B$7),IF(COUNTIFS($AZ$2:$AZ$201,AZ18,$DB$2:$DB$201,1,$H$2:$H$201,"&gt;"&amp;H18,$H$2:$H$201,"&lt;"&amp;(Config!$B$7+1))+COUNTIFS($AZ$2:$AZ$201,AZ18,$DB$2:$DB$201,1,$H$2:$H$201,H18,$BA$2:$BA$201,"&gt;"&amp;BA18)=0,1,0),0)</f>
        <v>0</v>
      </c>
      <c r="DF18" s="23" t="n">
        <f aca="false">IF(AND(DB18=1,INT(N(H18))&lt;=Config!$B$8),IF(COUNTIFS($AZ$2:$AZ$201,AZ18,$DB$2:$DB$201,1,$H$2:$H$201,"&gt;"&amp;H18,$H$2:$H$201,"&lt;"&amp;(Config!$B$8+1))+COUNTIFS($AZ$2:$AZ$201,AZ18,$DB$2:$DB$201,1,$H$2:$H$201,H18,$BA$2:$BA$201,"&gt;"&amp;BA18)=0,1,0),0)</f>
        <v>0</v>
      </c>
      <c r="DG18" s="23" t="n">
        <f aca="false">IF(AND(DB18=1,INT(N(H18))&lt;=Config!$B$5),IF(COUNTIFS($AZ$2:$AZ$201,AZ18,$DB$2:$DB$201,1,$H$2:$H$201,"&gt;"&amp;H18,$H$2:$H$201,"&lt;"&amp;(Config!$B$5+1))+COUNTIFS($AZ$2:$AZ$201,AZ18,$DB$2:$DB$201,1,$H$2:$H$201,H18,$BA$2:$BA$201,"&gt;"&amp;BA18)=0,1,0),0)</f>
        <v>0</v>
      </c>
      <c r="DH18" s="23" t="n">
        <f aca="false">IF(BB18=1,IF(COUNTIFS($AZ$2:$AZ$201,AZ18,$DD$2:$DD$201,1,$AR$2:$AR$201,"Y")&gt;0,1,0),0)</f>
        <v>0</v>
      </c>
      <c r="DI18" s="23" t="n">
        <f aca="false">IF(BB18=1,IF(COUNTIFS($AZ$2:$AZ$201,AZ18,$DE$2:$DE$201,1,$AR$2:$AR$201,"Y")&gt;0,1,0),0)</f>
        <v>0</v>
      </c>
      <c r="DJ18" s="23" t="n">
        <f aca="false">IF(BB18=1,IF(COUNTIFS($AZ$2:$AZ$201,AZ18,$DF$2:$DF$201,1,$AR$2:$AR$201,"Y")&gt;0,1,0),0)</f>
        <v>0</v>
      </c>
      <c r="DK18" s="23" t="n">
        <f aca="false">IF(BB18=1,IF(COUNTIFS($AZ$2:$AZ$201,AZ18,$DG$2:$DG$201,1,$AR$2:$AR$201,"Y")&gt;0,1,0),0)</f>
        <v>0</v>
      </c>
      <c r="DL18" s="23" t="n">
        <f aca="false">IF(AND(BF18=1,INT(N(H18))&lt;=Config!$B$6,DH18=1,EI18=0),1,0)</f>
        <v>0</v>
      </c>
      <c r="DM18" s="23" t="n">
        <f aca="false">IF(AND(BF18=1,INT(N(H18))&lt;=Config!$B$7,DI18=1,EI18=0),1,0)</f>
        <v>0</v>
      </c>
      <c r="DN18" s="23" t="n">
        <f aca="false">IF(AND(BF18=1,INT(N(H18))&lt;=Config!$B$8,DJ18=1,EI18=0),1,0)</f>
        <v>0</v>
      </c>
      <c r="DO18" s="23" t="n">
        <f aca="false">IF(AND(BF18=1,INT(N(H18))&lt;=Config!$B$5,DK18=1,EI18=0),1,0)</f>
        <v>0</v>
      </c>
      <c r="DP18" s="23" t="n">
        <f aca="false">IF(AND(CC18=1,INT(N(H18))&lt;=Config!$B$6,DH18=1,EI18=0),1,0)</f>
        <v>0</v>
      </c>
      <c r="DQ18" s="23" t="n">
        <f aca="false">IF(AND(CC18=1,INT(N(H18))&lt;=Config!$B$7,DI18=1,EI18=0),1,0)</f>
        <v>0</v>
      </c>
      <c r="DR18" s="23" t="n">
        <f aca="false">IF(AND(CC18=1,INT(N(H18))&lt;=Config!$B$8,DJ18=1,EI18=0),1,0)</f>
        <v>0</v>
      </c>
      <c r="DS18" s="23" t="n">
        <f aca="false">IF(AND(CC18=1,INT(N(H18))&lt;=Config!$B$5,DK18=1,EI18=0),1,0)</f>
        <v>0</v>
      </c>
      <c r="DT18" s="23" t="n">
        <f aca="false">IF(AND(CC18=1,INT(N(H18))&lt;=Config!$B$6,DH18=0),1,0)</f>
        <v>0</v>
      </c>
      <c r="DU18" s="23" t="n">
        <f aca="false">IF(AND(CC18=1,INT(N(H18))&lt;=Config!$B$7,DI18=0),1,0)</f>
        <v>0</v>
      </c>
      <c r="DV18" s="23" t="n">
        <f aca="false">IF(AND(CC18=1,INT(N(H18))&lt;=Config!$B$8,DJ18=0),1,0)</f>
        <v>0</v>
      </c>
      <c r="DW18" s="23" t="n">
        <f aca="false">IF(AND(CC18=1,INT(N(H18))&lt;=Config!$B$5,DK18=0),1,0)</f>
        <v>0</v>
      </c>
      <c r="DX18" s="23" t="n">
        <f aca="false">IF(TRIM($A18)="",0,ISTEXT(M18)+ISTEXT(O18)+ISTEXT(Y18)+ISTEXT(Z18)+ISTEXT(AA18)+ISTEXT(AV18))</f>
        <v>0</v>
      </c>
      <c r="DY18" s="23" t="n">
        <f aca="false">IF(BB18=1,IF(H18&lt;&gt;INT(H18),1,0),0)</f>
        <v>0</v>
      </c>
      <c r="DZ18" s="23" t="str">
        <f aca="false">IF(TRIM($A18)="","",IF(TRIM(B18)="",SUBSTITUTE(SUBSTITUTE(SUBSTITUTE(SUBSTITUTE(SUBSTITUTE(SUBSTITUTE(LOWER(TRIM($A18)),"~",""),"*",""),"?",""),"&lt;",""),"&gt;",""),"=",""),SUBSTITUTE(SUBSTITUTE(SUBSTITUTE(SUBSTITUTE(SUBSTITUTE(SUBSTITUTE(LOWER(TRIM(B18)),"~",""),"*",""),"?",""),"&lt;",""),"&gt;",""),"=","")))</f>
        <v/>
      </c>
      <c r="EA18" s="23" t="str">
        <f aca="false">IF(CW18="","",IFERROR(IF(LEFT(LOWER(TRIM(INDEX(Clay_Offices!$A$2:$FZ$601,CW18,Sync!$C$19)&amp;"")),4)="grp-",SUBSTITUTE(SUBSTITUTE(SUBSTITUTE(SUBSTITUTE(SUBSTITUTE(SUBSTITUTE(LOWER(TRIM(INDEX(Clay_Offices!$A$2:$FZ$601,CW18,Sync!$C$19)&amp;"")),"~",""),"*",""),"?",""),"&lt;",""),"&gt;",""),"=",""),""),""))</f>
        <v/>
      </c>
      <c r="EB18" s="23" t="str">
        <f aca="false">IF(EA18&lt;&gt;"",DZ18,"")</f>
        <v/>
      </c>
      <c r="EC18" s="23" t="str">
        <f aca="false">IF(BC18=1,AZ18,"")</f>
        <v/>
      </c>
      <c r="ED18" s="23" t="str">
        <f aca="false">IF(TRIM($A18)="","",IFERROR(INDEX($A$2:$A$201,MATCH(AZ18,$EC$2:$EC$201,0))&amp;"",$A18&amp;""))</f>
        <v/>
      </c>
      <c r="EE18" s="23" t="n">
        <f aca="false">IF(BB18=1,IF(COUNTIFS($A$2:$A$201,$A18,$BB$2:$BB$201,1,$H$2:$H$201,"&lt;"&amp;H18)+COUNTIFS($A$2:$A$201,$A18,$BB$2:$BB$201,1,$H$2:$H$201,H18,$BA$2:$BA$201,"&lt;"&amp;BA18)=0,1,0),0)</f>
        <v>0</v>
      </c>
      <c r="EF18" s="23" t="n">
        <f aca="false">IF(BC18=1,IF(COUNTIFS($AZ$2:$AZ$201,AZ18,$EE$2:$EE$201,1)&gt;1,1,0),0)</f>
        <v>0</v>
      </c>
      <c r="EG18" s="23" t="n">
        <f aca="false">IF(AND(CQ18=1),IF(COUNTIFS($AZ$2:$AZ$201,AZ18,$CQ$2:$CQ$201,1,$H$2:$H$201,"&gt;"&amp;H18)+COUNTIFS($AZ$2:$AZ$201,AZ18,$CQ$2:$CQ$201,1,$H$2:$H$201,H18,$BA$2:$BA$201,"&gt;"&amp;BA18)=0,1,0),0)</f>
        <v>0</v>
      </c>
      <c r="EH18" s="23" t="str">
        <f aca="false">IF(BB18=1,IF(COUNTIFS($AZ$2:$AZ$201,AZ18,$EG$2:$EG$201,1)=0,"",SUMIFS($O$2:$O$201,$AZ$2:$AZ$201,AZ18,$EG$2:$EG$201,1)),"")</f>
        <v/>
      </c>
      <c r="EI18" s="23" t="n">
        <f aca="false">IF(AND(ISNUMBER(EH18),OR(N(EH18)&lt;Config!$B$31,N(EH18)&gt;Config!$B$33)),1,0)</f>
        <v>0</v>
      </c>
      <c r="EJ18" s="23" t="n">
        <f aca="false">IF(AND(ISNUMBER(EH18),N(EH18)&gt;=Config!$B$31,N(EH18)&lt;Config!$B$32),1,0)</f>
        <v>0</v>
      </c>
      <c r="EK18" s="23" t="n">
        <f aca="false">IF(AND(BF18=1,INT(N(H18))&lt;=Config!$B$6,DH18=1,EI18=1),1,0)</f>
        <v>0</v>
      </c>
      <c r="EL18" s="23" t="n">
        <f aca="false">IF(AND(BF18=1,INT(N(H18))&lt;=Config!$B$7,DI18=1,EI18=1),1,0)</f>
        <v>0</v>
      </c>
      <c r="EM18" s="23" t="n">
        <f aca="false">IF(AND(BF18=1,INT(N(H18))&lt;=Config!$B$8,DJ18=1,EI18=1),1,0)</f>
        <v>0</v>
      </c>
      <c r="EN18" s="23" t="n">
        <f aca="false">IF(AND(BF18=1,INT(N(H18))&lt;=Config!$B$5,DK18=1,EI18=1),1,0)</f>
        <v>0</v>
      </c>
      <c r="EO18" s="23" t="n">
        <f aca="false">IF(AND(DL18=1,EJ18=1),1,0)</f>
        <v>0</v>
      </c>
      <c r="EP18" s="23" t="n">
        <f aca="false">IF(AND(DM18=1,EJ18=1),1,0)</f>
        <v>0</v>
      </c>
      <c r="EQ18" s="23" t="n">
        <f aca="false">IF(AND(DN18=1,EJ18=1),1,0)</f>
        <v>0</v>
      </c>
      <c r="ER18" s="23" t="n">
        <f aca="false">IF(AND(DO18=1,EJ18=1),1,0)</f>
        <v>0</v>
      </c>
    </row>
    <row r="19" customFormat="false" ht="15" hidden="false" customHeight="false" outlineLevel="0" collapsed="false">
      <c r="G19" s="32"/>
      <c r="H19" s="33"/>
      <c r="I19" s="32"/>
      <c r="L19" s="32"/>
      <c r="Q19" s="32"/>
      <c r="U19" s="32"/>
      <c r="W19" s="32"/>
      <c r="AC19" s="32"/>
      <c r="AF19" s="32"/>
      <c r="AI19" s="32"/>
      <c r="AJ19" s="32"/>
      <c r="AN19" s="32"/>
      <c r="AR19" s="32"/>
      <c r="AT19" s="32"/>
      <c r="AU19" s="32"/>
      <c r="AW19" s="32"/>
      <c r="AY19" s="34" t="str">
        <f aca="false">IF(TRIM($A19)="","",IF(AND(LEFT($A19,6)="SAMPLE",Config!$B$19&lt;&gt;"Y"),"",IF(NOT(ISNUMBER(H19)),"call_date is blank or not a date",IF(Sync!$C$5="","Clay paste is empty or has no row_id column: paste the Clay export on Clay_Offices",IF(CW19="","row_id not found in the Clay paste: add the Clay row or fix the row_id",IF(AND(ISNUMBER(CY19),CY19&gt;=1,CY19&lt;=5),"Clay status is "&amp;CX19&amp;": set call_done or later",IF(AND(BD19=1,CZ19&lt;&gt;BZ19),"Clay yes_in_principle should be "&amp;BZ19,IF(AND(BD19=1,DA19&lt;&gt;H19),"Clay call_date should be "&amp;TEXT(H19,"yyyy-mm-dd"),""))))))))</f>
        <v/>
      </c>
      <c r="AZ19" s="23" t="str">
        <f aca="false">IF(TRIM($A19)="","",IF(TRIM(C19)&lt;&gt;"",SUBSTITUTE(SUBSTITUTE(SUBSTITUTE(SUBSTITUTE(SUBSTITUTE(SUBSTITUTE(LOWER(TRIM(C19)),"~",""),"*",""),"?",""),"&lt;",""),"&gt;",""),"=",""),IF(EA19&lt;&gt;"",EA19,IFERROR(INDEX($EA$2:$EA$201,MATCH(DZ19,$EB$2:$EB$201,0)),DZ19))))</f>
        <v/>
      </c>
      <c r="BA19" s="23" t="n">
        <f aca="false">ROW()</f>
        <v>19</v>
      </c>
      <c r="BB19" s="23" t="n">
        <f aca="false">IF(AND(TRIM($A19)&lt;&gt;"",ISNUMBER(H19)),IF(AND(LEFT($A19,6)="SAMPLE",Config!$B$19&lt;&gt;"Y"),0,1),0)</f>
        <v>0</v>
      </c>
      <c r="BC19" s="23" t="n">
        <f aca="false">IF(BB19=1,IF(COUNTIFS($AZ$2:$AZ$201,AZ19,$BB$2:$BB$201,1,$H$2:$H$201,"&lt;"&amp;H19)+COUNTIFS($AZ$2:$AZ$201,AZ19,$BB$2:$BB$201,1,$H$2:$H$201,H19,$BA$2:$BA$201,"&lt;"&amp;BA19)=0,1,0),0)</f>
        <v>0</v>
      </c>
      <c r="BD19" s="23" t="n">
        <f aca="false">IF(BB19=1,IF(COUNTIFS($A$2:$A$201,$A19,$BB$2:$BB$201,1,$H$2:$H$201,"&gt;"&amp;H19)+COUNTIFS($A$2:$A$201,$A19,$BB$2:$BB$201,1,$H$2:$H$201,H19,$BA$2:$BA$201,"&gt;"&amp;BA19)=0,1,0),0)</f>
        <v>0</v>
      </c>
      <c r="BE19" s="23" t="n">
        <f aca="false">IF(AND(BB19=1,AR19="Y",AC19="Y",TRIM(AH19)&lt;&gt;""),1,0)</f>
        <v>0</v>
      </c>
      <c r="BF19" s="23" t="n">
        <f aca="false">IF(BE19=1,IF(COUNTIFS($AZ$2:$AZ$201,AZ19,$BE$2:$BE$201,1,$H$2:$H$201,"&lt;"&amp;H19)+COUNTIFS($AZ$2:$AZ$201,AZ19,$BE$2:$BE$201,1,$H$2:$H$201,H19,$BA$2:$BA$201,"&lt;"&amp;BA19)=0,1,0),0)</f>
        <v>0</v>
      </c>
      <c r="BG19" s="23" t="n">
        <f aca="false">IF(AND(BB19=1,AR19="Y",BE19=0),1,0)</f>
        <v>0</v>
      </c>
      <c r="BH19" s="23" t="n">
        <f aca="false">IF(AND(BB19=1,ISNUMBER(Y19)),1,0)</f>
        <v>0</v>
      </c>
      <c r="BI19" s="23" t="n">
        <f aca="false">IF(BH19=1,IF(COUNTIFS($AZ$2:$AZ$201,AZ19,$BH$2:$BH$201,1,$H$2:$H$201,"&lt;"&amp;H19)+COUNTIFS($AZ$2:$AZ$201,AZ19,$BH$2:$BH$201,1,$H$2:$H$201,H19,$BA$2:$BA$201,"&lt;"&amp;BA19)=0,1,0),0)</f>
        <v>0</v>
      </c>
      <c r="BJ19" s="23" t="str">
        <f aca="false">IF(AND(BI19=1,INT(N(H19))&lt;=Config!$B$6),Y19,"")</f>
        <v/>
      </c>
      <c r="BK19" s="23" t="str">
        <f aca="false">IF(AND(BI19=1,INT(N(H19))&lt;=Config!$B$7),Y19,"")</f>
        <v/>
      </c>
      <c r="BL19" s="23" t="str">
        <f aca="false">IF(AND(BI19=1,INT(N(H19))&lt;=Config!$B$8),Y19,"")</f>
        <v/>
      </c>
      <c r="BM19" s="23" t="str">
        <f aca="false">IF(AND(BI19=1,INT(N(H19))&lt;=Config!$B$5),Y19,"")</f>
        <v/>
      </c>
      <c r="BN19" s="23" t="n">
        <f aca="false">IF(CD19=1,IF(COUNTIFS($AZ$2:$AZ$201,AZ19,$CD$2:$CD$201,1,$H$2:$H$201,"&lt;"&amp;H19)+COUNTIFS($AZ$2:$AZ$201,AZ19,$CD$2:$CD$201,1,$H$2:$H$201,H19,$BA$2:$BA$201,"&lt;"&amp;BA19)=0,1,0),0)</f>
        <v>0</v>
      </c>
      <c r="BO19" s="23" t="n">
        <f aca="false">IF(AND(BB19=1,ISNUMBER(M19)),1,0)</f>
        <v>0</v>
      </c>
      <c r="BP19" s="23" t="n">
        <f aca="false">IF(BO19=1,IF(COUNTIFS($AZ$2:$AZ$201,AZ19,$BO$2:$BO$201,1,$H$2:$H$201,"&lt;"&amp;H19)+COUNTIFS($AZ$2:$AZ$201,AZ19,$BO$2:$BO$201,1,$H$2:$H$201,H19,$BA$2:$BA$201,"&lt;"&amp;BA19)=0,1,0),0)</f>
        <v>0</v>
      </c>
      <c r="BQ19" s="23" t="str">
        <f aca="false">IF(AND(BP19=1,INT(N(H19))&lt;=Config!$B$5),M19,"")</f>
        <v/>
      </c>
      <c r="BR19" s="23" t="n">
        <f aca="false">IF(AND(BB19=1,OR(TRIM(X19)&lt;&gt;"",ISNUMBER(Y19))),1,0)</f>
        <v>0</v>
      </c>
      <c r="BS19" s="23" t="n">
        <f aca="false">IF(BR19=1,IF(COUNTIFS($AZ$2:$AZ$201,AZ19,$BR$2:$BR$201,1,$H$2:$H$201,"&lt;"&amp;H19)+COUNTIFS($AZ$2:$AZ$201,AZ19,$BR$2:$BR$201,1,$H$2:$H$201,H19,$BA$2:$BA$201,"&lt;"&amp;BA19)=0,1,0),0)</f>
        <v>0</v>
      </c>
      <c r="BT19" s="23" t="str">
        <f aca="false">IF(BS19=1,AZ19,"")</f>
        <v/>
      </c>
      <c r="BU19" s="23" t="n">
        <f aca="false">IF(AND(BB19=1,W19="Y",TRIM(X19)=""),1,0)</f>
        <v>0</v>
      </c>
      <c r="BV19" s="23" t="str">
        <f aca="false">IF(BB19=1,AN19&amp;"","")</f>
        <v/>
      </c>
      <c r="BW19" s="23" t="str">
        <f aca="false">IF(BB19=1,AO19&amp;"","")</f>
        <v/>
      </c>
      <c r="BX19" s="23" t="str">
        <f aca="false">IF(BB19=1,AP19&amp;"","")</f>
        <v/>
      </c>
      <c r="BY19" s="23" t="str">
        <f aca="false">IF(AND(BB19=1,ISNUMBER(AV19),INT(N(H19))&lt;=Config!$B$5),AV19,"")</f>
        <v/>
      </c>
      <c r="BZ19" s="23" t="str">
        <f aca="false">IF(BB19=1,IF(COUNTIFS($A$2:$A$201,$A19,$DC$2:$DC$201,1,$AR$2:$AR$201,"Y")&gt;0,"Y","N"),"")</f>
        <v/>
      </c>
      <c r="CA19" s="23" t="n">
        <f aca="false">IF(AND(BB19=1,AR19="maybe"),1,0)</f>
        <v>0</v>
      </c>
      <c r="CB19" s="23" t="n">
        <f aca="false">IF(CA19=1,IF(COUNTIFS($AZ$2:$AZ$201,AZ19,$CA$2:$CA$201,1,$H$2:$H$201,"&lt;"&amp;H19)+COUNTIFS($AZ$2:$AZ$201,AZ19,$CA$2:$CA$201,1,$H$2:$H$201,H19,$BA$2:$BA$201,"&lt;"&amp;BA19)=0,1,0),0)</f>
        <v>0</v>
      </c>
      <c r="CC19" s="23" t="n">
        <f aca="false">IF(AND(BB19=1,AR19="Y"),IF(COUNTIFS($AZ$2:$AZ$201,AZ19,$AR$2:$AR$201,"Y",$BB$2:$BB$201,1,$H$2:$H$201,"&lt;"&amp;H19)+COUNTIFS($AZ$2:$AZ$201,AZ19,$AR$2:$AR$201,"Y",$BB$2:$BB$201,1,$H$2:$H$201,H19,$BA$2:$BA$201,"&lt;"&amp;BA19)=0,1,0),0)</f>
        <v>0</v>
      </c>
      <c r="CD19" s="23" t="n">
        <f aca="false">IF(AND(BH19=1,N(Y19)&gt;=Config!$B$15),1,0)</f>
        <v>0</v>
      </c>
      <c r="CE19" s="23" t="n">
        <f aca="false">IF(AND(BB19=1,AT19="Y"),1,0)</f>
        <v>0</v>
      </c>
      <c r="CF19" s="23" t="n">
        <f aca="false">IF(CE19=1,IF(COUNTIFS($AZ$2:$AZ$201,AZ19,$CE$2:$CE$201,1,$H$2:$H$201,"&lt;"&amp;H19)+COUNTIFS($AZ$2:$AZ$201,AZ19,$CE$2:$CE$201,1,$H$2:$H$201,H19,$BA$2:$BA$201,"&lt;"&amp;BA19)=0,1,0),0)</f>
        <v>0</v>
      </c>
      <c r="CG19" s="23" t="n">
        <f aca="false">IF(AND(BB19=1,G19="warm-intro"),1,0)</f>
        <v>0</v>
      </c>
      <c r="CH19" s="23" t="n">
        <f aca="false">IF(CG19=1,IF(COUNTIFS($AZ$2:$AZ$201,AZ19,$CG$2:$CG$201,1,$H$2:$H$201,"&lt;"&amp;H19)+COUNTIFS($AZ$2:$AZ$201,AZ19,$CG$2:$CG$201,1,$H$2:$H$201,H19,$BA$2:$BA$201,"&lt;"&amp;BA19)=0,1,0),0)</f>
        <v>0</v>
      </c>
      <c r="CI19" s="23" t="n">
        <f aca="false">IF(AND(BB19=1,Q19="Y"),1,0)</f>
        <v>0</v>
      </c>
      <c r="CJ19" s="23" t="n">
        <f aca="false">IF(CI19=1,IF(COUNTIFS($AZ$2:$AZ$201,AZ19,$CI$2:$CI$201,1,$H$2:$H$201,"&lt;"&amp;H19)+COUNTIFS($AZ$2:$AZ$201,AZ19,$CI$2:$CI$201,1,$H$2:$H$201,H19,$BA$2:$BA$201,"&lt;"&amp;BA19)=0,1,0),0)</f>
        <v>0</v>
      </c>
      <c r="CK19" s="23" t="n">
        <f aca="false">IF(AND(BB19=1,AF19="Y"),1,0)</f>
        <v>0</v>
      </c>
      <c r="CL19" s="23" t="n">
        <f aca="false">IF(CK19=1,IF(COUNTIFS($AZ$2:$AZ$201,AZ19,$CK$2:$CK$201,1,$H$2:$H$201,"&lt;"&amp;H19)+COUNTIFS($AZ$2:$AZ$201,AZ19,$CK$2:$CK$201,1,$H$2:$H$201,H19,$BA$2:$BA$201,"&lt;"&amp;BA19)=0,1,0),0)</f>
        <v>0</v>
      </c>
      <c r="CM19" s="23" t="n">
        <f aca="false">IF(AND(BB19=1,U19="Y"),1,0)</f>
        <v>0</v>
      </c>
      <c r="CN19" s="23" t="n">
        <f aca="false">IF(CM19=1,IF(COUNTIFS($AZ$2:$AZ$201,AZ19,$CM$2:$CM$201,1,$H$2:$H$201,"&lt;"&amp;H19)+COUNTIFS($AZ$2:$AZ$201,AZ19,$CM$2:$CM$201,1,$H$2:$H$201,H19,$BA$2:$BA$201,"&lt;"&amp;BA19)=0,1,0),0)</f>
        <v>0</v>
      </c>
      <c r="CO19" s="23" t="n">
        <f aca="false">IF(AND(BB19=1,L19="Y"),1,0)</f>
        <v>0</v>
      </c>
      <c r="CP19" s="23" t="n">
        <f aca="false">IF(CO19=1,IF(COUNTIFS($AZ$2:$AZ$201,AZ19,$CO$2:$CO$201,1,$H$2:$H$201,"&lt;"&amp;H19)+COUNTIFS($AZ$2:$AZ$201,AZ19,$CO$2:$CO$201,1,$H$2:$H$201,H19,$BA$2:$BA$201,"&lt;"&amp;BA19)=0,1,0),0)</f>
        <v>0</v>
      </c>
      <c r="CQ19" s="23" t="n">
        <f aca="false">IF(AND(BB19=1,ISNUMBER(O19)),1,0)</f>
        <v>0</v>
      </c>
      <c r="CR19" s="23" t="n">
        <f aca="false">IF(CQ19=1,IF(COUNTIFS($AZ$2:$AZ$201,AZ19,$CQ$2:$CQ$201,1,$H$2:$H$201,"&lt;"&amp;H19)+COUNTIFS($AZ$2:$AZ$201,AZ19,$CQ$2:$CQ$201,1,$H$2:$H$201,H19,$BA$2:$BA$201,"&lt;"&amp;BA19)=0,1,0),0)</f>
        <v>0</v>
      </c>
      <c r="CS19" s="23" t="str">
        <f aca="false">IF(AND(CR19=1,INT(N(H19))&lt;=Config!$B$5),O19,"")</f>
        <v/>
      </c>
      <c r="CT19" s="23" t="str">
        <f aca="false">IF(AND(BB19=1,INT(N(H19))&lt;=Config!$B$5),AG19&amp;"","")</f>
        <v/>
      </c>
      <c r="CU19" s="23" t="n">
        <f aca="false">IF(AND(BB19=1,AU19="Y"),1,0)</f>
        <v>0</v>
      </c>
      <c r="CV19" s="23" t="n">
        <f aca="false">IF(CU19=1,IF(COUNTIFS($AZ$2:$AZ$201,AZ19,$CU$2:$CU$201,1,$H$2:$H$201,"&lt;"&amp;H19)+COUNTIFS($AZ$2:$AZ$201,AZ19,$CU$2:$CU$201,1,$H$2:$H$201,H19,$BA$2:$BA$201,"&lt;"&amp;BA19)=0,1,0),0)</f>
        <v>0</v>
      </c>
      <c r="CW19" s="23" t="str">
        <f aca="false">IF(BB19=1,IFERROR(MATCH($A19,INDEX(Clay_Offices!$A$2:$FZ$601,0,Sync!$C$5),0),""),"")</f>
        <v/>
      </c>
      <c r="CX19" s="23" t="str">
        <f aca="false">IF(CW19="","",IFERROR(INDEX(Clay_Offices!$A$2:$FZ$601,CW19,Sync!$C$7)&amp;"",""))</f>
        <v/>
      </c>
      <c r="CY19" s="23" t="str">
        <f aca="false">IF(CX19="","",IFERROR(INDEX(Lists!$K$2:$K$15,MATCH(CX19,Lists!$J$2:$J$15,0)),""))</f>
        <v/>
      </c>
      <c r="CZ19" s="23" t="str">
        <f aca="false">IF(CW19="","",IFERROR(INDEX(Clay_Offices!$A$2:$FZ$601,CW19,Sync!$C$17)&amp;"",""))</f>
        <v/>
      </c>
      <c r="DA19" s="35" t="str">
        <f aca="false">IF(CW19="","",IFERROR(N(INDEX(Clay_Offices!$A$2:$FZ$601,CW19,Sync!$C$16)),0))</f>
        <v/>
      </c>
      <c r="DB19" s="23" t="n">
        <f aca="false">IF(AND(BB19=1,OR(AR19="Y",AR19="N",AR19="maybe")),1,0)</f>
        <v>0</v>
      </c>
      <c r="DC19" s="23" t="n">
        <f aca="false">IF(AND(DB19=1),IF(COUNTIFS($A$2:$A$201,$A19,$DB$2:$DB$201,1,$H$2:$H$201,"&gt;"&amp;H19)+COUNTIFS($A$2:$A$201,$A19,$DB$2:$DB$201,1,$H$2:$H$201,H19,$BA$2:$BA$201,"&gt;"&amp;BA19)=0,1,0),0)</f>
        <v>0</v>
      </c>
      <c r="DD19" s="23" t="n">
        <f aca="false">IF(AND(DB19=1,INT(N(H19))&lt;=Config!$B$6),IF(COUNTIFS($AZ$2:$AZ$201,AZ19,$DB$2:$DB$201,1,$H$2:$H$201,"&gt;"&amp;H19,$H$2:$H$201,"&lt;"&amp;(Config!$B$6+1))+COUNTIFS($AZ$2:$AZ$201,AZ19,$DB$2:$DB$201,1,$H$2:$H$201,H19,$BA$2:$BA$201,"&gt;"&amp;BA19)=0,1,0),0)</f>
        <v>0</v>
      </c>
      <c r="DE19" s="23" t="n">
        <f aca="false">IF(AND(DB19=1,INT(N(H19))&lt;=Config!$B$7),IF(COUNTIFS($AZ$2:$AZ$201,AZ19,$DB$2:$DB$201,1,$H$2:$H$201,"&gt;"&amp;H19,$H$2:$H$201,"&lt;"&amp;(Config!$B$7+1))+COUNTIFS($AZ$2:$AZ$201,AZ19,$DB$2:$DB$201,1,$H$2:$H$201,H19,$BA$2:$BA$201,"&gt;"&amp;BA19)=0,1,0),0)</f>
        <v>0</v>
      </c>
      <c r="DF19" s="23" t="n">
        <f aca="false">IF(AND(DB19=1,INT(N(H19))&lt;=Config!$B$8),IF(COUNTIFS($AZ$2:$AZ$201,AZ19,$DB$2:$DB$201,1,$H$2:$H$201,"&gt;"&amp;H19,$H$2:$H$201,"&lt;"&amp;(Config!$B$8+1))+COUNTIFS($AZ$2:$AZ$201,AZ19,$DB$2:$DB$201,1,$H$2:$H$201,H19,$BA$2:$BA$201,"&gt;"&amp;BA19)=0,1,0),0)</f>
        <v>0</v>
      </c>
      <c r="DG19" s="23" t="n">
        <f aca="false">IF(AND(DB19=1,INT(N(H19))&lt;=Config!$B$5),IF(COUNTIFS($AZ$2:$AZ$201,AZ19,$DB$2:$DB$201,1,$H$2:$H$201,"&gt;"&amp;H19,$H$2:$H$201,"&lt;"&amp;(Config!$B$5+1))+COUNTIFS($AZ$2:$AZ$201,AZ19,$DB$2:$DB$201,1,$H$2:$H$201,H19,$BA$2:$BA$201,"&gt;"&amp;BA19)=0,1,0),0)</f>
        <v>0</v>
      </c>
      <c r="DH19" s="23" t="n">
        <f aca="false">IF(BB19=1,IF(COUNTIFS($AZ$2:$AZ$201,AZ19,$DD$2:$DD$201,1,$AR$2:$AR$201,"Y")&gt;0,1,0),0)</f>
        <v>0</v>
      </c>
      <c r="DI19" s="23" t="n">
        <f aca="false">IF(BB19=1,IF(COUNTIFS($AZ$2:$AZ$201,AZ19,$DE$2:$DE$201,1,$AR$2:$AR$201,"Y")&gt;0,1,0),0)</f>
        <v>0</v>
      </c>
      <c r="DJ19" s="23" t="n">
        <f aca="false">IF(BB19=1,IF(COUNTIFS($AZ$2:$AZ$201,AZ19,$DF$2:$DF$201,1,$AR$2:$AR$201,"Y")&gt;0,1,0),0)</f>
        <v>0</v>
      </c>
      <c r="DK19" s="23" t="n">
        <f aca="false">IF(BB19=1,IF(COUNTIFS($AZ$2:$AZ$201,AZ19,$DG$2:$DG$201,1,$AR$2:$AR$201,"Y")&gt;0,1,0),0)</f>
        <v>0</v>
      </c>
      <c r="DL19" s="23" t="n">
        <f aca="false">IF(AND(BF19=1,INT(N(H19))&lt;=Config!$B$6,DH19=1,EI19=0),1,0)</f>
        <v>0</v>
      </c>
      <c r="DM19" s="23" t="n">
        <f aca="false">IF(AND(BF19=1,INT(N(H19))&lt;=Config!$B$7,DI19=1,EI19=0),1,0)</f>
        <v>0</v>
      </c>
      <c r="DN19" s="23" t="n">
        <f aca="false">IF(AND(BF19=1,INT(N(H19))&lt;=Config!$B$8,DJ19=1,EI19=0),1,0)</f>
        <v>0</v>
      </c>
      <c r="DO19" s="23" t="n">
        <f aca="false">IF(AND(BF19=1,INT(N(H19))&lt;=Config!$B$5,DK19=1,EI19=0),1,0)</f>
        <v>0</v>
      </c>
      <c r="DP19" s="23" t="n">
        <f aca="false">IF(AND(CC19=1,INT(N(H19))&lt;=Config!$B$6,DH19=1,EI19=0),1,0)</f>
        <v>0</v>
      </c>
      <c r="DQ19" s="23" t="n">
        <f aca="false">IF(AND(CC19=1,INT(N(H19))&lt;=Config!$B$7,DI19=1,EI19=0),1,0)</f>
        <v>0</v>
      </c>
      <c r="DR19" s="23" t="n">
        <f aca="false">IF(AND(CC19=1,INT(N(H19))&lt;=Config!$B$8,DJ19=1,EI19=0),1,0)</f>
        <v>0</v>
      </c>
      <c r="DS19" s="23" t="n">
        <f aca="false">IF(AND(CC19=1,INT(N(H19))&lt;=Config!$B$5,DK19=1,EI19=0),1,0)</f>
        <v>0</v>
      </c>
      <c r="DT19" s="23" t="n">
        <f aca="false">IF(AND(CC19=1,INT(N(H19))&lt;=Config!$B$6,DH19=0),1,0)</f>
        <v>0</v>
      </c>
      <c r="DU19" s="23" t="n">
        <f aca="false">IF(AND(CC19=1,INT(N(H19))&lt;=Config!$B$7,DI19=0),1,0)</f>
        <v>0</v>
      </c>
      <c r="DV19" s="23" t="n">
        <f aca="false">IF(AND(CC19=1,INT(N(H19))&lt;=Config!$B$8,DJ19=0),1,0)</f>
        <v>0</v>
      </c>
      <c r="DW19" s="23" t="n">
        <f aca="false">IF(AND(CC19=1,INT(N(H19))&lt;=Config!$B$5,DK19=0),1,0)</f>
        <v>0</v>
      </c>
      <c r="DX19" s="23" t="n">
        <f aca="false">IF(TRIM($A19)="",0,ISTEXT(M19)+ISTEXT(O19)+ISTEXT(Y19)+ISTEXT(Z19)+ISTEXT(AA19)+ISTEXT(AV19))</f>
        <v>0</v>
      </c>
      <c r="DY19" s="23" t="n">
        <f aca="false">IF(BB19=1,IF(H19&lt;&gt;INT(H19),1,0),0)</f>
        <v>0</v>
      </c>
      <c r="DZ19" s="23" t="str">
        <f aca="false">IF(TRIM($A19)="","",IF(TRIM(B19)="",SUBSTITUTE(SUBSTITUTE(SUBSTITUTE(SUBSTITUTE(SUBSTITUTE(SUBSTITUTE(LOWER(TRIM($A19)),"~",""),"*",""),"?",""),"&lt;",""),"&gt;",""),"=",""),SUBSTITUTE(SUBSTITUTE(SUBSTITUTE(SUBSTITUTE(SUBSTITUTE(SUBSTITUTE(LOWER(TRIM(B19)),"~",""),"*",""),"?",""),"&lt;",""),"&gt;",""),"=","")))</f>
        <v/>
      </c>
      <c r="EA19" s="23" t="str">
        <f aca="false">IF(CW19="","",IFERROR(IF(LEFT(LOWER(TRIM(INDEX(Clay_Offices!$A$2:$FZ$601,CW19,Sync!$C$19)&amp;"")),4)="grp-",SUBSTITUTE(SUBSTITUTE(SUBSTITUTE(SUBSTITUTE(SUBSTITUTE(SUBSTITUTE(LOWER(TRIM(INDEX(Clay_Offices!$A$2:$FZ$601,CW19,Sync!$C$19)&amp;"")),"~",""),"*",""),"?",""),"&lt;",""),"&gt;",""),"=",""),""),""))</f>
        <v/>
      </c>
      <c r="EB19" s="23" t="str">
        <f aca="false">IF(EA19&lt;&gt;"",DZ19,"")</f>
        <v/>
      </c>
      <c r="EC19" s="23" t="str">
        <f aca="false">IF(BC19=1,AZ19,"")</f>
        <v/>
      </c>
      <c r="ED19" s="23" t="str">
        <f aca="false">IF(TRIM($A19)="","",IFERROR(INDEX($A$2:$A$201,MATCH(AZ19,$EC$2:$EC$201,0))&amp;"",$A19&amp;""))</f>
        <v/>
      </c>
      <c r="EE19" s="23" t="n">
        <f aca="false">IF(BB19=1,IF(COUNTIFS($A$2:$A$201,$A19,$BB$2:$BB$201,1,$H$2:$H$201,"&lt;"&amp;H19)+COUNTIFS($A$2:$A$201,$A19,$BB$2:$BB$201,1,$H$2:$H$201,H19,$BA$2:$BA$201,"&lt;"&amp;BA19)=0,1,0),0)</f>
        <v>0</v>
      </c>
      <c r="EF19" s="23" t="n">
        <f aca="false">IF(BC19=1,IF(COUNTIFS($AZ$2:$AZ$201,AZ19,$EE$2:$EE$201,1)&gt;1,1,0),0)</f>
        <v>0</v>
      </c>
      <c r="EG19" s="23" t="n">
        <f aca="false">IF(AND(CQ19=1),IF(COUNTIFS($AZ$2:$AZ$201,AZ19,$CQ$2:$CQ$201,1,$H$2:$H$201,"&gt;"&amp;H19)+COUNTIFS($AZ$2:$AZ$201,AZ19,$CQ$2:$CQ$201,1,$H$2:$H$201,H19,$BA$2:$BA$201,"&gt;"&amp;BA19)=0,1,0),0)</f>
        <v>0</v>
      </c>
      <c r="EH19" s="23" t="str">
        <f aca="false">IF(BB19=1,IF(COUNTIFS($AZ$2:$AZ$201,AZ19,$EG$2:$EG$201,1)=0,"",SUMIFS($O$2:$O$201,$AZ$2:$AZ$201,AZ19,$EG$2:$EG$201,1)),"")</f>
        <v/>
      </c>
      <c r="EI19" s="23" t="n">
        <f aca="false">IF(AND(ISNUMBER(EH19),OR(N(EH19)&lt;Config!$B$31,N(EH19)&gt;Config!$B$33)),1,0)</f>
        <v>0</v>
      </c>
      <c r="EJ19" s="23" t="n">
        <f aca="false">IF(AND(ISNUMBER(EH19),N(EH19)&gt;=Config!$B$31,N(EH19)&lt;Config!$B$32),1,0)</f>
        <v>0</v>
      </c>
      <c r="EK19" s="23" t="n">
        <f aca="false">IF(AND(BF19=1,INT(N(H19))&lt;=Config!$B$6,DH19=1,EI19=1),1,0)</f>
        <v>0</v>
      </c>
      <c r="EL19" s="23" t="n">
        <f aca="false">IF(AND(BF19=1,INT(N(H19))&lt;=Config!$B$7,DI19=1,EI19=1),1,0)</f>
        <v>0</v>
      </c>
      <c r="EM19" s="23" t="n">
        <f aca="false">IF(AND(BF19=1,INT(N(H19))&lt;=Config!$B$8,DJ19=1,EI19=1),1,0)</f>
        <v>0</v>
      </c>
      <c r="EN19" s="23" t="n">
        <f aca="false">IF(AND(BF19=1,INT(N(H19))&lt;=Config!$B$5,DK19=1,EI19=1),1,0)</f>
        <v>0</v>
      </c>
      <c r="EO19" s="23" t="n">
        <f aca="false">IF(AND(DL19=1,EJ19=1),1,0)</f>
        <v>0</v>
      </c>
      <c r="EP19" s="23" t="n">
        <f aca="false">IF(AND(DM19=1,EJ19=1),1,0)</f>
        <v>0</v>
      </c>
      <c r="EQ19" s="23" t="n">
        <f aca="false">IF(AND(DN19=1,EJ19=1),1,0)</f>
        <v>0</v>
      </c>
      <c r="ER19" s="23" t="n">
        <f aca="false">IF(AND(DO19=1,EJ19=1),1,0)</f>
        <v>0</v>
      </c>
    </row>
    <row r="20" customFormat="false" ht="15" hidden="false" customHeight="false" outlineLevel="0" collapsed="false">
      <c r="G20" s="32"/>
      <c r="H20" s="33"/>
      <c r="I20" s="32"/>
      <c r="L20" s="32"/>
      <c r="Q20" s="32"/>
      <c r="U20" s="32"/>
      <c r="W20" s="32"/>
      <c r="AC20" s="32"/>
      <c r="AF20" s="32"/>
      <c r="AI20" s="32"/>
      <c r="AJ20" s="32"/>
      <c r="AN20" s="32"/>
      <c r="AR20" s="32"/>
      <c r="AT20" s="32"/>
      <c r="AU20" s="32"/>
      <c r="AW20" s="32"/>
      <c r="AY20" s="34" t="str">
        <f aca="false">IF(TRIM($A20)="","",IF(AND(LEFT($A20,6)="SAMPLE",Config!$B$19&lt;&gt;"Y"),"",IF(NOT(ISNUMBER(H20)),"call_date is blank or not a date",IF(Sync!$C$5="","Clay paste is empty or has no row_id column: paste the Clay export on Clay_Offices",IF(CW20="","row_id not found in the Clay paste: add the Clay row or fix the row_id",IF(AND(ISNUMBER(CY20),CY20&gt;=1,CY20&lt;=5),"Clay status is "&amp;CX20&amp;": set call_done or later",IF(AND(BD20=1,CZ20&lt;&gt;BZ20),"Clay yes_in_principle should be "&amp;BZ20,IF(AND(BD20=1,DA20&lt;&gt;H20),"Clay call_date should be "&amp;TEXT(H20,"yyyy-mm-dd"),""))))))))</f>
        <v/>
      </c>
      <c r="AZ20" s="23" t="str">
        <f aca="false">IF(TRIM($A20)="","",IF(TRIM(C20)&lt;&gt;"",SUBSTITUTE(SUBSTITUTE(SUBSTITUTE(SUBSTITUTE(SUBSTITUTE(SUBSTITUTE(LOWER(TRIM(C20)),"~",""),"*",""),"?",""),"&lt;",""),"&gt;",""),"=",""),IF(EA20&lt;&gt;"",EA20,IFERROR(INDEX($EA$2:$EA$201,MATCH(DZ20,$EB$2:$EB$201,0)),DZ20))))</f>
        <v/>
      </c>
      <c r="BA20" s="23" t="n">
        <f aca="false">ROW()</f>
        <v>20</v>
      </c>
      <c r="BB20" s="23" t="n">
        <f aca="false">IF(AND(TRIM($A20)&lt;&gt;"",ISNUMBER(H20)),IF(AND(LEFT($A20,6)="SAMPLE",Config!$B$19&lt;&gt;"Y"),0,1),0)</f>
        <v>0</v>
      </c>
      <c r="BC20" s="23" t="n">
        <f aca="false">IF(BB20=1,IF(COUNTIFS($AZ$2:$AZ$201,AZ20,$BB$2:$BB$201,1,$H$2:$H$201,"&lt;"&amp;H20)+COUNTIFS($AZ$2:$AZ$201,AZ20,$BB$2:$BB$201,1,$H$2:$H$201,H20,$BA$2:$BA$201,"&lt;"&amp;BA20)=0,1,0),0)</f>
        <v>0</v>
      </c>
      <c r="BD20" s="23" t="n">
        <f aca="false">IF(BB20=1,IF(COUNTIFS($A$2:$A$201,$A20,$BB$2:$BB$201,1,$H$2:$H$201,"&gt;"&amp;H20)+COUNTIFS($A$2:$A$201,$A20,$BB$2:$BB$201,1,$H$2:$H$201,H20,$BA$2:$BA$201,"&gt;"&amp;BA20)=0,1,0),0)</f>
        <v>0</v>
      </c>
      <c r="BE20" s="23" t="n">
        <f aca="false">IF(AND(BB20=1,AR20="Y",AC20="Y",TRIM(AH20)&lt;&gt;""),1,0)</f>
        <v>0</v>
      </c>
      <c r="BF20" s="23" t="n">
        <f aca="false">IF(BE20=1,IF(COUNTIFS($AZ$2:$AZ$201,AZ20,$BE$2:$BE$201,1,$H$2:$H$201,"&lt;"&amp;H20)+COUNTIFS($AZ$2:$AZ$201,AZ20,$BE$2:$BE$201,1,$H$2:$H$201,H20,$BA$2:$BA$201,"&lt;"&amp;BA20)=0,1,0),0)</f>
        <v>0</v>
      </c>
      <c r="BG20" s="23" t="n">
        <f aca="false">IF(AND(BB20=1,AR20="Y",BE20=0),1,0)</f>
        <v>0</v>
      </c>
      <c r="BH20" s="23" t="n">
        <f aca="false">IF(AND(BB20=1,ISNUMBER(Y20)),1,0)</f>
        <v>0</v>
      </c>
      <c r="BI20" s="23" t="n">
        <f aca="false">IF(BH20=1,IF(COUNTIFS($AZ$2:$AZ$201,AZ20,$BH$2:$BH$201,1,$H$2:$H$201,"&lt;"&amp;H20)+COUNTIFS($AZ$2:$AZ$201,AZ20,$BH$2:$BH$201,1,$H$2:$H$201,H20,$BA$2:$BA$201,"&lt;"&amp;BA20)=0,1,0),0)</f>
        <v>0</v>
      </c>
      <c r="BJ20" s="23" t="str">
        <f aca="false">IF(AND(BI20=1,INT(N(H20))&lt;=Config!$B$6),Y20,"")</f>
        <v/>
      </c>
      <c r="BK20" s="23" t="str">
        <f aca="false">IF(AND(BI20=1,INT(N(H20))&lt;=Config!$B$7),Y20,"")</f>
        <v/>
      </c>
      <c r="BL20" s="23" t="str">
        <f aca="false">IF(AND(BI20=1,INT(N(H20))&lt;=Config!$B$8),Y20,"")</f>
        <v/>
      </c>
      <c r="BM20" s="23" t="str">
        <f aca="false">IF(AND(BI20=1,INT(N(H20))&lt;=Config!$B$5),Y20,"")</f>
        <v/>
      </c>
      <c r="BN20" s="23" t="n">
        <f aca="false">IF(CD20=1,IF(COUNTIFS($AZ$2:$AZ$201,AZ20,$CD$2:$CD$201,1,$H$2:$H$201,"&lt;"&amp;H20)+COUNTIFS($AZ$2:$AZ$201,AZ20,$CD$2:$CD$201,1,$H$2:$H$201,H20,$BA$2:$BA$201,"&lt;"&amp;BA20)=0,1,0),0)</f>
        <v>0</v>
      </c>
      <c r="BO20" s="23" t="n">
        <f aca="false">IF(AND(BB20=1,ISNUMBER(M20)),1,0)</f>
        <v>0</v>
      </c>
      <c r="BP20" s="23" t="n">
        <f aca="false">IF(BO20=1,IF(COUNTIFS($AZ$2:$AZ$201,AZ20,$BO$2:$BO$201,1,$H$2:$H$201,"&lt;"&amp;H20)+COUNTIFS($AZ$2:$AZ$201,AZ20,$BO$2:$BO$201,1,$H$2:$H$201,H20,$BA$2:$BA$201,"&lt;"&amp;BA20)=0,1,0),0)</f>
        <v>0</v>
      </c>
      <c r="BQ20" s="23" t="str">
        <f aca="false">IF(AND(BP20=1,INT(N(H20))&lt;=Config!$B$5),M20,"")</f>
        <v/>
      </c>
      <c r="BR20" s="23" t="n">
        <f aca="false">IF(AND(BB20=1,OR(TRIM(X20)&lt;&gt;"",ISNUMBER(Y20))),1,0)</f>
        <v>0</v>
      </c>
      <c r="BS20" s="23" t="n">
        <f aca="false">IF(BR20=1,IF(COUNTIFS($AZ$2:$AZ$201,AZ20,$BR$2:$BR$201,1,$H$2:$H$201,"&lt;"&amp;H20)+COUNTIFS($AZ$2:$AZ$201,AZ20,$BR$2:$BR$201,1,$H$2:$H$201,H20,$BA$2:$BA$201,"&lt;"&amp;BA20)=0,1,0),0)</f>
        <v>0</v>
      </c>
      <c r="BT20" s="23" t="str">
        <f aca="false">IF(BS20=1,AZ20,"")</f>
        <v/>
      </c>
      <c r="BU20" s="23" t="n">
        <f aca="false">IF(AND(BB20=1,W20="Y",TRIM(X20)=""),1,0)</f>
        <v>0</v>
      </c>
      <c r="BV20" s="23" t="str">
        <f aca="false">IF(BB20=1,AN20&amp;"","")</f>
        <v/>
      </c>
      <c r="BW20" s="23" t="str">
        <f aca="false">IF(BB20=1,AO20&amp;"","")</f>
        <v/>
      </c>
      <c r="BX20" s="23" t="str">
        <f aca="false">IF(BB20=1,AP20&amp;"","")</f>
        <v/>
      </c>
      <c r="BY20" s="23" t="str">
        <f aca="false">IF(AND(BB20=1,ISNUMBER(AV20),INT(N(H20))&lt;=Config!$B$5),AV20,"")</f>
        <v/>
      </c>
      <c r="BZ20" s="23" t="str">
        <f aca="false">IF(BB20=1,IF(COUNTIFS($A$2:$A$201,$A20,$DC$2:$DC$201,1,$AR$2:$AR$201,"Y")&gt;0,"Y","N"),"")</f>
        <v/>
      </c>
      <c r="CA20" s="23" t="n">
        <f aca="false">IF(AND(BB20=1,AR20="maybe"),1,0)</f>
        <v>0</v>
      </c>
      <c r="CB20" s="23" t="n">
        <f aca="false">IF(CA20=1,IF(COUNTIFS($AZ$2:$AZ$201,AZ20,$CA$2:$CA$201,1,$H$2:$H$201,"&lt;"&amp;H20)+COUNTIFS($AZ$2:$AZ$201,AZ20,$CA$2:$CA$201,1,$H$2:$H$201,H20,$BA$2:$BA$201,"&lt;"&amp;BA20)=0,1,0),0)</f>
        <v>0</v>
      </c>
      <c r="CC20" s="23" t="n">
        <f aca="false">IF(AND(BB20=1,AR20="Y"),IF(COUNTIFS($AZ$2:$AZ$201,AZ20,$AR$2:$AR$201,"Y",$BB$2:$BB$201,1,$H$2:$H$201,"&lt;"&amp;H20)+COUNTIFS($AZ$2:$AZ$201,AZ20,$AR$2:$AR$201,"Y",$BB$2:$BB$201,1,$H$2:$H$201,H20,$BA$2:$BA$201,"&lt;"&amp;BA20)=0,1,0),0)</f>
        <v>0</v>
      </c>
      <c r="CD20" s="23" t="n">
        <f aca="false">IF(AND(BH20=1,N(Y20)&gt;=Config!$B$15),1,0)</f>
        <v>0</v>
      </c>
      <c r="CE20" s="23" t="n">
        <f aca="false">IF(AND(BB20=1,AT20="Y"),1,0)</f>
        <v>0</v>
      </c>
      <c r="CF20" s="23" t="n">
        <f aca="false">IF(CE20=1,IF(COUNTIFS($AZ$2:$AZ$201,AZ20,$CE$2:$CE$201,1,$H$2:$H$201,"&lt;"&amp;H20)+COUNTIFS($AZ$2:$AZ$201,AZ20,$CE$2:$CE$201,1,$H$2:$H$201,H20,$BA$2:$BA$201,"&lt;"&amp;BA20)=0,1,0),0)</f>
        <v>0</v>
      </c>
      <c r="CG20" s="23" t="n">
        <f aca="false">IF(AND(BB20=1,G20="warm-intro"),1,0)</f>
        <v>0</v>
      </c>
      <c r="CH20" s="23" t="n">
        <f aca="false">IF(CG20=1,IF(COUNTIFS($AZ$2:$AZ$201,AZ20,$CG$2:$CG$201,1,$H$2:$H$201,"&lt;"&amp;H20)+COUNTIFS($AZ$2:$AZ$201,AZ20,$CG$2:$CG$201,1,$H$2:$H$201,H20,$BA$2:$BA$201,"&lt;"&amp;BA20)=0,1,0),0)</f>
        <v>0</v>
      </c>
      <c r="CI20" s="23" t="n">
        <f aca="false">IF(AND(BB20=1,Q20="Y"),1,0)</f>
        <v>0</v>
      </c>
      <c r="CJ20" s="23" t="n">
        <f aca="false">IF(CI20=1,IF(COUNTIFS($AZ$2:$AZ$201,AZ20,$CI$2:$CI$201,1,$H$2:$H$201,"&lt;"&amp;H20)+COUNTIFS($AZ$2:$AZ$201,AZ20,$CI$2:$CI$201,1,$H$2:$H$201,H20,$BA$2:$BA$201,"&lt;"&amp;BA20)=0,1,0),0)</f>
        <v>0</v>
      </c>
      <c r="CK20" s="23" t="n">
        <f aca="false">IF(AND(BB20=1,AF20="Y"),1,0)</f>
        <v>0</v>
      </c>
      <c r="CL20" s="23" t="n">
        <f aca="false">IF(CK20=1,IF(COUNTIFS($AZ$2:$AZ$201,AZ20,$CK$2:$CK$201,1,$H$2:$H$201,"&lt;"&amp;H20)+COUNTIFS($AZ$2:$AZ$201,AZ20,$CK$2:$CK$201,1,$H$2:$H$201,H20,$BA$2:$BA$201,"&lt;"&amp;BA20)=0,1,0),0)</f>
        <v>0</v>
      </c>
      <c r="CM20" s="23" t="n">
        <f aca="false">IF(AND(BB20=1,U20="Y"),1,0)</f>
        <v>0</v>
      </c>
      <c r="CN20" s="23" t="n">
        <f aca="false">IF(CM20=1,IF(COUNTIFS($AZ$2:$AZ$201,AZ20,$CM$2:$CM$201,1,$H$2:$H$201,"&lt;"&amp;H20)+COUNTIFS($AZ$2:$AZ$201,AZ20,$CM$2:$CM$201,1,$H$2:$H$201,H20,$BA$2:$BA$201,"&lt;"&amp;BA20)=0,1,0),0)</f>
        <v>0</v>
      </c>
      <c r="CO20" s="23" t="n">
        <f aca="false">IF(AND(BB20=1,L20="Y"),1,0)</f>
        <v>0</v>
      </c>
      <c r="CP20" s="23" t="n">
        <f aca="false">IF(CO20=1,IF(COUNTIFS($AZ$2:$AZ$201,AZ20,$CO$2:$CO$201,1,$H$2:$H$201,"&lt;"&amp;H20)+COUNTIFS($AZ$2:$AZ$201,AZ20,$CO$2:$CO$201,1,$H$2:$H$201,H20,$BA$2:$BA$201,"&lt;"&amp;BA20)=0,1,0),0)</f>
        <v>0</v>
      </c>
      <c r="CQ20" s="23" t="n">
        <f aca="false">IF(AND(BB20=1,ISNUMBER(O20)),1,0)</f>
        <v>0</v>
      </c>
      <c r="CR20" s="23" t="n">
        <f aca="false">IF(CQ20=1,IF(COUNTIFS($AZ$2:$AZ$201,AZ20,$CQ$2:$CQ$201,1,$H$2:$H$201,"&lt;"&amp;H20)+COUNTIFS($AZ$2:$AZ$201,AZ20,$CQ$2:$CQ$201,1,$H$2:$H$201,H20,$BA$2:$BA$201,"&lt;"&amp;BA20)=0,1,0),0)</f>
        <v>0</v>
      </c>
      <c r="CS20" s="23" t="str">
        <f aca="false">IF(AND(CR20=1,INT(N(H20))&lt;=Config!$B$5),O20,"")</f>
        <v/>
      </c>
      <c r="CT20" s="23" t="str">
        <f aca="false">IF(AND(BB20=1,INT(N(H20))&lt;=Config!$B$5),AG20&amp;"","")</f>
        <v/>
      </c>
      <c r="CU20" s="23" t="n">
        <f aca="false">IF(AND(BB20=1,AU20="Y"),1,0)</f>
        <v>0</v>
      </c>
      <c r="CV20" s="23" t="n">
        <f aca="false">IF(CU20=1,IF(COUNTIFS($AZ$2:$AZ$201,AZ20,$CU$2:$CU$201,1,$H$2:$H$201,"&lt;"&amp;H20)+COUNTIFS($AZ$2:$AZ$201,AZ20,$CU$2:$CU$201,1,$H$2:$H$201,H20,$BA$2:$BA$201,"&lt;"&amp;BA20)=0,1,0),0)</f>
        <v>0</v>
      </c>
      <c r="CW20" s="23" t="str">
        <f aca="false">IF(BB20=1,IFERROR(MATCH($A20,INDEX(Clay_Offices!$A$2:$FZ$601,0,Sync!$C$5),0),""),"")</f>
        <v/>
      </c>
      <c r="CX20" s="23" t="str">
        <f aca="false">IF(CW20="","",IFERROR(INDEX(Clay_Offices!$A$2:$FZ$601,CW20,Sync!$C$7)&amp;"",""))</f>
        <v/>
      </c>
      <c r="CY20" s="23" t="str">
        <f aca="false">IF(CX20="","",IFERROR(INDEX(Lists!$K$2:$K$15,MATCH(CX20,Lists!$J$2:$J$15,0)),""))</f>
        <v/>
      </c>
      <c r="CZ20" s="23" t="str">
        <f aca="false">IF(CW20="","",IFERROR(INDEX(Clay_Offices!$A$2:$FZ$601,CW20,Sync!$C$17)&amp;"",""))</f>
        <v/>
      </c>
      <c r="DA20" s="35" t="str">
        <f aca="false">IF(CW20="","",IFERROR(N(INDEX(Clay_Offices!$A$2:$FZ$601,CW20,Sync!$C$16)),0))</f>
        <v/>
      </c>
      <c r="DB20" s="23" t="n">
        <f aca="false">IF(AND(BB20=1,OR(AR20="Y",AR20="N",AR20="maybe")),1,0)</f>
        <v>0</v>
      </c>
      <c r="DC20" s="23" t="n">
        <f aca="false">IF(AND(DB20=1),IF(COUNTIFS($A$2:$A$201,$A20,$DB$2:$DB$201,1,$H$2:$H$201,"&gt;"&amp;H20)+COUNTIFS($A$2:$A$201,$A20,$DB$2:$DB$201,1,$H$2:$H$201,H20,$BA$2:$BA$201,"&gt;"&amp;BA20)=0,1,0),0)</f>
        <v>0</v>
      </c>
      <c r="DD20" s="23" t="n">
        <f aca="false">IF(AND(DB20=1,INT(N(H20))&lt;=Config!$B$6),IF(COUNTIFS($AZ$2:$AZ$201,AZ20,$DB$2:$DB$201,1,$H$2:$H$201,"&gt;"&amp;H20,$H$2:$H$201,"&lt;"&amp;(Config!$B$6+1))+COUNTIFS($AZ$2:$AZ$201,AZ20,$DB$2:$DB$201,1,$H$2:$H$201,H20,$BA$2:$BA$201,"&gt;"&amp;BA20)=0,1,0),0)</f>
        <v>0</v>
      </c>
      <c r="DE20" s="23" t="n">
        <f aca="false">IF(AND(DB20=1,INT(N(H20))&lt;=Config!$B$7),IF(COUNTIFS($AZ$2:$AZ$201,AZ20,$DB$2:$DB$201,1,$H$2:$H$201,"&gt;"&amp;H20,$H$2:$H$201,"&lt;"&amp;(Config!$B$7+1))+COUNTIFS($AZ$2:$AZ$201,AZ20,$DB$2:$DB$201,1,$H$2:$H$201,H20,$BA$2:$BA$201,"&gt;"&amp;BA20)=0,1,0),0)</f>
        <v>0</v>
      </c>
      <c r="DF20" s="23" t="n">
        <f aca="false">IF(AND(DB20=1,INT(N(H20))&lt;=Config!$B$8),IF(COUNTIFS($AZ$2:$AZ$201,AZ20,$DB$2:$DB$201,1,$H$2:$H$201,"&gt;"&amp;H20,$H$2:$H$201,"&lt;"&amp;(Config!$B$8+1))+COUNTIFS($AZ$2:$AZ$201,AZ20,$DB$2:$DB$201,1,$H$2:$H$201,H20,$BA$2:$BA$201,"&gt;"&amp;BA20)=0,1,0),0)</f>
        <v>0</v>
      </c>
      <c r="DG20" s="23" t="n">
        <f aca="false">IF(AND(DB20=1,INT(N(H20))&lt;=Config!$B$5),IF(COUNTIFS($AZ$2:$AZ$201,AZ20,$DB$2:$DB$201,1,$H$2:$H$201,"&gt;"&amp;H20,$H$2:$H$201,"&lt;"&amp;(Config!$B$5+1))+COUNTIFS($AZ$2:$AZ$201,AZ20,$DB$2:$DB$201,1,$H$2:$H$201,H20,$BA$2:$BA$201,"&gt;"&amp;BA20)=0,1,0),0)</f>
        <v>0</v>
      </c>
      <c r="DH20" s="23" t="n">
        <f aca="false">IF(BB20=1,IF(COUNTIFS($AZ$2:$AZ$201,AZ20,$DD$2:$DD$201,1,$AR$2:$AR$201,"Y")&gt;0,1,0),0)</f>
        <v>0</v>
      </c>
      <c r="DI20" s="23" t="n">
        <f aca="false">IF(BB20=1,IF(COUNTIFS($AZ$2:$AZ$201,AZ20,$DE$2:$DE$201,1,$AR$2:$AR$201,"Y")&gt;0,1,0),0)</f>
        <v>0</v>
      </c>
      <c r="DJ20" s="23" t="n">
        <f aca="false">IF(BB20=1,IF(COUNTIFS($AZ$2:$AZ$201,AZ20,$DF$2:$DF$201,1,$AR$2:$AR$201,"Y")&gt;0,1,0),0)</f>
        <v>0</v>
      </c>
      <c r="DK20" s="23" t="n">
        <f aca="false">IF(BB20=1,IF(COUNTIFS($AZ$2:$AZ$201,AZ20,$DG$2:$DG$201,1,$AR$2:$AR$201,"Y")&gt;0,1,0),0)</f>
        <v>0</v>
      </c>
      <c r="DL20" s="23" t="n">
        <f aca="false">IF(AND(BF20=1,INT(N(H20))&lt;=Config!$B$6,DH20=1,EI20=0),1,0)</f>
        <v>0</v>
      </c>
      <c r="DM20" s="23" t="n">
        <f aca="false">IF(AND(BF20=1,INT(N(H20))&lt;=Config!$B$7,DI20=1,EI20=0),1,0)</f>
        <v>0</v>
      </c>
      <c r="DN20" s="23" t="n">
        <f aca="false">IF(AND(BF20=1,INT(N(H20))&lt;=Config!$B$8,DJ20=1,EI20=0),1,0)</f>
        <v>0</v>
      </c>
      <c r="DO20" s="23" t="n">
        <f aca="false">IF(AND(BF20=1,INT(N(H20))&lt;=Config!$B$5,DK20=1,EI20=0),1,0)</f>
        <v>0</v>
      </c>
      <c r="DP20" s="23" t="n">
        <f aca="false">IF(AND(CC20=1,INT(N(H20))&lt;=Config!$B$6,DH20=1,EI20=0),1,0)</f>
        <v>0</v>
      </c>
      <c r="DQ20" s="23" t="n">
        <f aca="false">IF(AND(CC20=1,INT(N(H20))&lt;=Config!$B$7,DI20=1,EI20=0),1,0)</f>
        <v>0</v>
      </c>
      <c r="DR20" s="23" t="n">
        <f aca="false">IF(AND(CC20=1,INT(N(H20))&lt;=Config!$B$8,DJ20=1,EI20=0),1,0)</f>
        <v>0</v>
      </c>
      <c r="DS20" s="23" t="n">
        <f aca="false">IF(AND(CC20=1,INT(N(H20))&lt;=Config!$B$5,DK20=1,EI20=0),1,0)</f>
        <v>0</v>
      </c>
      <c r="DT20" s="23" t="n">
        <f aca="false">IF(AND(CC20=1,INT(N(H20))&lt;=Config!$B$6,DH20=0),1,0)</f>
        <v>0</v>
      </c>
      <c r="DU20" s="23" t="n">
        <f aca="false">IF(AND(CC20=1,INT(N(H20))&lt;=Config!$B$7,DI20=0),1,0)</f>
        <v>0</v>
      </c>
      <c r="DV20" s="23" t="n">
        <f aca="false">IF(AND(CC20=1,INT(N(H20))&lt;=Config!$B$8,DJ20=0),1,0)</f>
        <v>0</v>
      </c>
      <c r="DW20" s="23" t="n">
        <f aca="false">IF(AND(CC20=1,INT(N(H20))&lt;=Config!$B$5,DK20=0),1,0)</f>
        <v>0</v>
      </c>
      <c r="DX20" s="23" t="n">
        <f aca="false">IF(TRIM($A20)="",0,ISTEXT(M20)+ISTEXT(O20)+ISTEXT(Y20)+ISTEXT(Z20)+ISTEXT(AA20)+ISTEXT(AV20))</f>
        <v>0</v>
      </c>
      <c r="DY20" s="23" t="n">
        <f aca="false">IF(BB20=1,IF(H20&lt;&gt;INT(H20),1,0),0)</f>
        <v>0</v>
      </c>
      <c r="DZ20" s="23" t="str">
        <f aca="false">IF(TRIM($A20)="","",IF(TRIM(B20)="",SUBSTITUTE(SUBSTITUTE(SUBSTITUTE(SUBSTITUTE(SUBSTITUTE(SUBSTITUTE(LOWER(TRIM($A20)),"~",""),"*",""),"?",""),"&lt;",""),"&gt;",""),"=",""),SUBSTITUTE(SUBSTITUTE(SUBSTITUTE(SUBSTITUTE(SUBSTITUTE(SUBSTITUTE(LOWER(TRIM(B20)),"~",""),"*",""),"?",""),"&lt;",""),"&gt;",""),"=","")))</f>
        <v/>
      </c>
      <c r="EA20" s="23" t="str">
        <f aca="false">IF(CW20="","",IFERROR(IF(LEFT(LOWER(TRIM(INDEX(Clay_Offices!$A$2:$FZ$601,CW20,Sync!$C$19)&amp;"")),4)="grp-",SUBSTITUTE(SUBSTITUTE(SUBSTITUTE(SUBSTITUTE(SUBSTITUTE(SUBSTITUTE(LOWER(TRIM(INDEX(Clay_Offices!$A$2:$FZ$601,CW20,Sync!$C$19)&amp;"")),"~",""),"*",""),"?",""),"&lt;",""),"&gt;",""),"=",""),""),""))</f>
        <v/>
      </c>
      <c r="EB20" s="23" t="str">
        <f aca="false">IF(EA20&lt;&gt;"",DZ20,"")</f>
        <v/>
      </c>
      <c r="EC20" s="23" t="str">
        <f aca="false">IF(BC20=1,AZ20,"")</f>
        <v/>
      </c>
      <c r="ED20" s="23" t="str">
        <f aca="false">IF(TRIM($A20)="","",IFERROR(INDEX($A$2:$A$201,MATCH(AZ20,$EC$2:$EC$201,0))&amp;"",$A20&amp;""))</f>
        <v/>
      </c>
      <c r="EE20" s="23" t="n">
        <f aca="false">IF(BB20=1,IF(COUNTIFS($A$2:$A$201,$A20,$BB$2:$BB$201,1,$H$2:$H$201,"&lt;"&amp;H20)+COUNTIFS($A$2:$A$201,$A20,$BB$2:$BB$201,1,$H$2:$H$201,H20,$BA$2:$BA$201,"&lt;"&amp;BA20)=0,1,0),0)</f>
        <v>0</v>
      </c>
      <c r="EF20" s="23" t="n">
        <f aca="false">IF(BC20=1,IF(COUNTIFS($AZ$2:$AZ$201,AZ20,$EE$2:$EE$201,1)&gt;1,1,0),0)</f>
        <v>0</v>
      </c>
      <c r="EG20" s="23" t="n">
        <f aca="false">IF(AND(CQ20=1),IF(COUNTIFS($AZ$2:$AZ$201,AZ20,$CQ$2:$CQ$201,1,$H$2:$H$201,"&gt;"&amp;H20)+COUNTIFS($AZ$2:$AZ$201,AZ20,$CQ$2:$CQ$201,1,$H$2:$H$201,H20,$BA$2:$BA$201,"&gt;"&amp;BA20)=0,1,0),0)</f>
        <v>0</v>
      </c>
      <c r="EH20" s="23" t="str">
        <f aca="false">IF(BB20=1,IF(COUNTIFS($AZ$2:$AZ$201,AZ20,$EG$2:$EG$201,1)=0,"",SUMIFS($O$2:$O$201,$AZ$2:$AZ$201,AZ20,$EG$2:$EG$201,1)),"")</f>
        <v/>
      </c>
      <c r="EI20" s="23" t="n">
        <f aca="false">IF(AND(ISNUMBER(EH20),OR(N(EH20)&lt;Config!$B$31,N(EH20)&gt;Config!$B$33)),1,0)</f>
        <v>0</v>
      </c>
      <c r="EJ20" s="23" t="n">
        <f aca="false">IF(AND(ISNUMBER(EH20),N(EH20)&gt;=Config!$B$31,N(EH20)&lt;Config!$B$32),1,0)</f>
        <v>0</v>
      </c>
      <c r="EK20" s="23" t="n">
        <f aca="false">IF(AND(BF20=1,INT(N(H20))&lt;=Config!$B$6,DH20=1,EI20=1),1,0)</f>
        <v>0</v>
      </c>
      <c r="EL20" s="23" t="n">
        <f aca="false">IF(AND(BF20=1,INT(N(H20))&lt;=Config!$B$7,DI20=1,EI20=1),1,0)</f>
        <v>0</v>
      </c>
      <c r="EM20" s="23" t="n">
        <f aca="false">IF(AND(BF20=1,INT(N(H20))&lt;=Config!$B$8,DJ20=1,EI20=1),1,0)</f>
        <v>0</v>
      </c>
      <c r="EN20" s="23" t="n">
        <f aca="false">IF(AND(BF20=1,INT(N(H20))&lt;=Config!$B$5,DK20=1,EI20=1),1,0)</f>
        <v>0</v>
      </c>
      <c r="EO20" s="23" t="n">
        <f aca="false">IF(AND(DL20=1,EJ20=1),1,0)</f>
        <v>0</v>
      </c>
      <c r="EP20" s="23" t="n">
        <f aca="false">IF(AND(DM20=1,EJ20=1),1,0)</f>
        <v>0</v>
      </c>
      <c r="EQ20" s="23" t="n">
        <f aca="false">IF(AND(DN20=1,EJ20=1),1,0)</f>
        <v>0</v>
      </c>
      <c r="ER20" s="23" t="n">
        <f aca="false">IF(AND(DO20=1,EJ20=1),1,0)</f>
        <v>0</v>
      </c>
    </row>
    <row r="21" customFormat="false" ht="15" hidden="false" customHeight="false" outlineLevel="0" collapsed="false">
      <c r="G21" s="32"/>
      <c r="H21" s="33"/>
      <c r="I21" s="32"/>
      <c r="L21" s="32"/>
      <c r="Q21" s="32"/>
      <c r="U21" s="32"/>
      <c r="W21" s="32"/>
      <c r="AC21" s="32"/>
      <c r="AF21" s="32"/>
      <c r="AI21" s="32"/>
      <c r="AJ21" s="32"/>
      <c r="AN21" s="32"/>
      <c r="AR21" s="32"/>
      <c r="AT21" s="32"/>
      <c r="AU21" s="32"/>
      <c r="AW21" s="32"/>
      <c r="AY21" s="34" t="str">
        <f aca="false">IF(TRIM($A21)="","",IF(AND(LEFT($A21,6)="SAMPLE",Config!$B$19&lt;&gt;"Y"),"",IF(NOT(ISNUMBER(H21)),"call_date is blank or not a date",IF(Sync!$C$5="","Clay paste is empty or has no row_id column: paste the Clay export on Clay_Offices",IF(CW21="","row_id not found in the Clay paste: add the Clay row or fix the row_id",IF(AND(ISNUMBER(CY21),CY21&gt;=1,CY21&lt;=5),"Clay status is "&amp;CX21&amp;": set call_done or later",IF(AND(BD21=1,CZ21&lt;&gt;BZ21),"Clay yes_in_principle should be "&amp;BZ21,IF(AND(BD21=1,DA21&lt;&gt;H21),"Clay call_date should be "&amp;TEXT(H21,"yyyy-mm-dd"),""))))))))</f>
        <v/>
      </c>
      <c r="AZ21" s="23" t="str">
        <f aca="false">IF(TRIM($A21)="","",IF(TRIM(C21)&lt;&gt;"",SUBSTITUTE(SUBSTITUTE(SUBSTITUTE(SUBSTITUTE(SUBSTITUTE(SUBSTITUTE(LOWER(TRIM(C21)),"~",""),"*",""),"?",""),"&lt;",""),"&gt;",""),"=",""),IF(EA21&lt;&gt;"",EA21,IFERROR(INDEX($EA$2:$EA$201,MATCH(DZ21,$EB$2:$EB$201,0)),DZ21))))</f>
        <v/>
      </c>
      <c r="BA21" s="23" t="n">
        <f aca="false">ROW()</f>
        <v>21</v>
      </c>
      <c r="BB21" s="23" t="n">
        <f aca="false">IF(AND(TRIM($A21)&lt;&gt;"",ISNUMBER(H21)),IF(AND(LEFT($A21,6)="SAMPLE",Config!$B$19&lt;&gt;"Y"),0,1),0)</f>
        <v>0</v>
      </c>
      <c r="BC21" s="23" t="n">
        <f aca="false">IF(BB21=1,IF(COUNTIFS($AZ$2:$AZ$201,AZ21,$BB$2:$BB$201,1,$H$2:$H$201,"&lt;"&amp;H21)+COUNTIFS($AZ$2:$AZ$201,AZ21,$BB$2:$BB$201,1,$H$2:$H$201,H21,$BA$2:$BA$201,"&lt;"&amp;BA21)=0,1,0),0)</f>
        <v>0</v>
      </c>
      <c r="BD21" s="23" t="n">
        <f aca="false">IF(BB21=1,IF(COUNTIFS($A$2:$A$201,$A21,$BB$2:$BB$201,1,$H$2:$H$201,"&gt;"&amp;H21)+COUNTIFS($A$2:$A$201,$A21,$BB$2:$BB$201,1,$H$2:$H$201,H21,$BA$2:$BA$201,"&gt;"&amp;BA21)=0,1,0),0)</f>
        <v>0</v>
      </c>
      <c r="BE21" s="23" t="n">
        <f aca="false">IF(AND(BB21=1,AR21="Y",AC21="Y",TRIM(AH21)&lt;&gt;""),1,0)</f>
        <v>0</v>
      </c>
      <c r="BF21" s="23" t="n">
        <f aca="false">IF(BE21=1,IF(COUNTIFS($AZ$2:$AZ$201,AZ21,$BE$2:$BE$201,1,$H$2:$H$201,"&lt;"&amp;H21)+COUNTIFS($AZ$2:$AZ$201,AZ21,$BE$2:$BE$201,1,$H$2:$H$201,H21,$BA$2:$BA$201,"&lt;"&amp;BA21)=0,1,0),0)</f>
        <v>0</v>
      </c>
      <c r="BG21" s="23" t="n">
        <f aca="false">IF(AND(BB21=1,AR21="Y",BE21=0),1,0)</f>
        <v>0</v>
      </c>
      <c r="BH21" s="23" t="n">
        <f aca="false">IF(AND(BB21=1,ISNUMBER(Y21)),1,0)</f>
        <v>0</v>
      </c>
      <c r="BI21" s="23" t="n">
        <f aca="false">IF(BH21=1,IF(COUNTIFS($AZ$2:$AZ$201,AZ21,$BH$2:$BH$201,1,$H$2:$H$201,"&lt;"&amp;H21)+COUNTIFS($AZ$2:$AZ$201,AZ21,$BH$2:$BH$201,1,$H$2:$H$201,H21,$BA$2:$BA$201,"&lt;"&amp;BA21)=0,1,0),0)</f>
        <v>0</v>
      </c>
      <c r="BJ21" s="23" t="str">
        <f aca="false">IF(AND(BI21=1,INT(N(H21))&lt;=Config!$B$6),Y21,"")</f>
        <v/>
      </c>
      <c r="BK21" s="23" t="str">
        <f aca="false">IF(AND(BI21=1,INT(N(H21))&lt;=Config!$B$7),Y21,"")</f>
        <v/>
      </c>
      <c r="BL21" s="23" t="str">
        <f aca="false">IF(AND(BI21=1,INT(N(H21))&lt;=Config!$B$8),Y21,"")</f>
        <v/>
      </c>
      <c r="BM21" s="23" t="str">
        <f aca="false">IF(AND(BI21=1,INT(N(H21))&lt;=Config!$B$5),Y21,"")</f>
        <v/>
      </c>
      <c r="BN21" s="23" t="n">
        <f aca="false">IF(CD21=1,IF(COUNTIFS($AZ$2:$AZ$201,AZ21,$CD$2:$CD$201,1,$H$2:$H$201,"&lt;"&amp;H21)+COUNTIFS($AZ$2:$AZ$201,AZ21,$CD$2:$CD$201,1,$H$2:$H$201,H21,$BA$2:$BA$201,"&lt;"&amp;BA21)=0,1,0),0)</f>
        <v>0</v>
      </c>
      <c r="BO21" s="23" t="n">
        <f aca="false">IF(AND(BB21=1,ISNUMBER(M21)),1,0)</f>
        <v>0</v>
      </c>
      <c r="BP21" s="23" t="n">
        <f aca="false">IF(BO21=1,IF(COUNTIFS($AZ$2:$AZ$201,AZ21,$BO$2:$BO$201,1,$H$2:$H$201,"&lt;"&amp;H21)+COUNTIFS($AZ$2:$AZ$201,AZ21,$BO$2:$BO$201,1,$H$2:$H$201,H21,$BA$2:$BA$201,"&lt;"&amp;BA21)=0,1,0),0)</f>
        <v>0</v>
      </c>
      <c r="BQ21" s="23" t="str">
        <f aca="false">IF(AND(BP21=1,INT(N(H21))&lt;=Config!$B$5),M21,"")</f>
        <v/>
      </c>
      <c r="BR21" s="23" t="n">
        <f aca="false">IF(AND(BB21=1,OR(TRIM(X21)&lt;&gt;"",ISNUMBER(Y21))),1,0)</f>
        <v>0</v>
      </c>
      <c r="BS21" s="23" t="n">
        <f aca="false">IF(BR21=1,IF(COUNTIFS($AZ$2:$AZ$201,AZ21,$BR$2:$BR$201,1,$H$2:$H$201,"&lt;"&amp;H21)+COUNTIFS($AZ$2:$AZ$201,AZ21,$BR$2:$BR$201,1,$H$2:$H$201,H21,$BA$2:$BA$201,"&lt;"&amp;BA21)=0,1,0),0)</f>
        <v>0</v>
      </c>
      <c r="BT21" s="23" t="str">
        <f aca="false">IF(BS21=1,AZ21,"")</f>
        <v/>
      </c>
      <c r="BU21" s="23" t="n">
        <f aca="false">IF(AND(BB21=1,W21="Y",TRIM(X21)=""),1,0)</f>
        <v>0</v>
      </c>
      <c r="BV21" s="23" t="str">
        <f aca="false">IF(BB21=1,AN21&amp;"","")</f>
        <v/>
      </c>
      <c r="BW21" s="23" t="str">
        <f aca="false">IF(BB21=1,AO21&amp;"","")</f>
        <v/>
      </c>
      <c r="BX21" s="23" t="str">
        <f aca="false">IF(BB21=1,AP21&amp;"","")</f>
        <v/>
      </c>
      <c r="BY21" s="23" t="str">
        <f aca="false">IF(AND(BB21=1,ISNUMBER(AV21),INT(N(H21))&lt;=Config!$B$5),AV21,"")</f>
        <v/>
      </c>
      <c r="BZ21" s="23" t="str">
        <f aca="false">IF(BB21=1,IF(COUNTIFS($A$2:$A$201,$A21,$DC$2:$DC$201,1,$AR$2:$AR$201,"Y")&gt;0,"Y","N"),"")</f>
        <v/>
      </c>
      <c r="CA21" s="23" t="n">
        <f aca="false">IF(AND(BB21=1,AR21="maybe"),1,0)</f>
        <v>0</v>
      </c>
      <c r="CB21" s="23" t="n">
        <f aca="false">IF(CA21=1,IF(COUNTIFS($AZ$2:$AZ$201,AZ21,$CA$2:$CA$201,1,$H$2:$H$201,"&lt;"&amp;H21)+COUNTIFS($AZ$2:$AZ$201,AZ21,$CA$2:$CA$201,1,$H$2:$H$201,H21,$BA$2:$BA$201,"&lt;"&amp;BA21)=0,1,0),0)</f>
        <v>0</v>
      </c>
      <c r="CC21" s="23" t="n">
        <f aca="false">IF(AND(BB21=1,AR21="Y"),IF(COUNTIFS($AZ$2:$AZ$201,AZ21,$AR$2:$AR$201,"Y",$BB$2:$BB$201,1,$H$2:$H$201,"&lt;"&amp;H21)+COUNTIFS($AZ$2:$AZ$201,AZ21,$AR$2:$AR$201,"Y",$BB$2:$BB$201,1,$H$2:$H$201,H21,$BA$2:$BA$201,"&lt;"&amp;BA21)=0,1,0),0)</f>
        <v>0</v>
      </c>
      <c r="CD21" s="23" t="n">
        <f aca="false">IF(AND(BH21=1,N(Y21)&gt;=Config!$B$15),1,0)</f>
        <v>0</v>
      </c>
      <c r="CE21" s="23" t="n">
        <f aca="false">IF(AND(BB21=1,AT21="Y"),1,0)</f>
        <v>0</v>
      </c>
      <c r="CF21" s="23" t="n">
        <f aca="false">IF(CE21=1,IF(COUNTIFS($AZ$2:$AZ$201,AZ21,$CE$2:$CE$201,1,$H$2:$H$201,"&lt;"&amp;H21)+COUNTIFS($AZ$2:$AZ$201,AZ21,$CE$2:$CE$201,1,$H$2:$H$201,H21,$BA$2:$BA$201,"&lt;"&amp;BA21)=0,1,0),0)</f>
        <v>0</v>
      </c>
      <c r="CG21" s="23" t="n">
        <f aca="false">IF(AND(BB21=1,G21="warm-intro"),1,0)</f>
        <v>0</v>
      </c>
      <c r="CH21" s="23" t="n">
        <f aca="false">IF(CG21=1,IF(COUNTIFS($AZ$2:$AZ$201,AZ21,$CG$2:$CG$201,1,$H$2:$H$201,"&lt;"&amp;H21)+COUNTIFS($AZ$2:$AZ$201,AZ21,$CG$2:$CG$201,1,$H$2:$H$201,H21,$BA$2:$BA$201,"&lt;"&amp;BA21)=0,1,0),0)</f>
        <v>0</v>
      </c>
      <c r="CI21" s="23" t="n">
        <f aca="false">IF(AND(BB21=1,Q21="Y"),1,0)</f>
        <v>0</v>
      </c>
      <c r="CJ21" s="23" t="n">
        <f aca="false">IF(CI21=1,IF(COUNTIFS($AZ$2:$AZ$201,AZ21,$CI$2:$CI$201,1,$H$2:$H$201,"&lt;"&amp;H21)+COUNTIFS($AZ$2:$AZ$201,AZ21,$CI$2:$CI$201,1,$H$2:$H$201,H21,$BA$2:$BA$201,"&lt;"&amp;BA21)=0,1,0),0)</f>
        <v>0</v>
      </c>
      <c r="CK21" s="23" t="n">
        <f aca="false">IF(AND(BB21=1,AF21="Y"),1,0)</f>
        <v>0</v>
      </c>
      <c r="CL21" s="23" t="n">
        <f aca="false">IF(CK21=1,IF(COUNTIFS($AZ$2:$AZ$201,AZ21,$CK$2:$CK$201,1,$H$2:$H$201,"&lt;"&amp;H21)+COUNTIFS($AZ$2:$AZ$201,AZ21,$CK$2:$CK$201,1,$H$2:$H$201,H21,$BA$2:$BA$201,"&lt;"&amp;BA21)=0,1,0),0)</f>
        <v>0</v>
      </c>
      <c r="CM21" s="23" t="n">
        <f aca="false">IF(AND(BB21=1,U21="Y"),1,0)</f>
        <v>0</v>
      </c>
      <c r="CN21" s="23" t="n">
        <f aca="false">IF(CM21=1,IF(COUNTIFS($AZ$2:$AZ$201,AZ21,$CM$2:$CM$201,1,$H$2:$H$201,"&lt;"&amp;H21)+COUNTIFS($AZ$2:$AZ$201,AZ21,$CM$2:$CM$201,1,$H$2:$H$201,H21,$BA$2:$BA$201,"&lt;"&amp;BA21)=0,1,0),0)</f>
        <v>0</v>
      </c>
      <c r="CO21" s="23" t="n">
        <f aca="false">IF(AND(BB21=1,L21="Y"),1,0)</f>
        <v>0</v>
      </c>
      <c r="CP21" s="23" t="n">
        <f aca="false">IF(CO21=1,IF(COUNTIFS($AZ$2:$AZ$201,AZ21,$CO$2:$CO$201,1,$H$2:$H$201,"&lt;"&amp;H21)+COUNTIFS($AZ$2:$AZ$201,AZ21,$CO$2:$CO$201,1,$H$2:$H$201,H21,$BA$2:$BA$201,"&lt;"&amp;BA21)=0,1,0),0)</f>
        <v>0</v>
      </c>
      <c r="CQ21" s="23" t="n">
        <f aca="false">IF(AND(BB21=1,ISNUMBER(O21)),1,0)</f>
        <v>0</v>
      </c>
      <c r="CR21" s="23" t="n">
        <f aca="false">IF(CQ21=1,IF(COUNTIFS($AZ$2:$AZ$201,AZ21,$CQ$2:$CQ$201,1,$H$2:$H$201,"&lt;"&amp;H21)+COUNTIFS($AZ$2:$AZ$201,AZ21,$CQ$2:$CQ$201,1,$H$2:$H$201,H21,$BA$2:$BA$201,"&lt;"&amp;BA21)=0,1,0),0)</f>
        <v>0</v>
      </c>
      <c r="CS21" s="23" t="str">
        <f aca="false">IF(AND(CR21=1,INT(N(H21))&lt;=Config!$B$5),O21,"")</f>
        <v/>
      </c>
      <c r="CT21" s="23" t="str">
        <f aca="false">IF(AND(BB21=1,INT(N(H21))&lt;=Config!$B$5),AG21&amp;"","")</f>
        <v/>
      </c>
      <c r="CU21" s="23" t="n">
        <f aca="false">IF(AND(BB21=1,AU21="Y"),1,0)</f>
        <v>0</v>
      </c>
      <c r="CV21" s="23" t="n">
        <f aca="false">IF(CU21=1,IF(COUNTIFS($AZ$2:$AZ$201,AZ21,$CU$2:$CU$201,1,$H$2:$H$201,"&lt;"&amp;H21)+COUNTIFS($AZ$2:$AZ$201,AZ21,$CU$2:$CU$201,1,$H$2:$H$201,H21,$BA$2:$BA$201,"&lt;"&amp;BA21)=0,1,0),0)</f>
        <v>0</v>
      </c>
      <c r="CW21" s="23" t="str">
        <f aca="false">IF(BB21=1,IFERROR(MATCH($A21,INDEX(Clay_Offices!$A$2:$FZ$601,0,Sync!$C$5),0),""),"")</f>
        <v/>
      </c>
      <c r="CX21" s="23" t="str">
        <f aca="false">IF(CW21="","",IFERROR(INDEX(Clay_Offices!$A$2:$FZ$601,CW21,Sync!$C$7)&amp;"",""))</f>
        <v/>
      </c>
      <c r="CY21" s="23" t="str">
        <f aca="false">IF(CX21="","",IFERROR(INDEX(Lists!$K$2:$K$15,MATCH(CX21,Lists!$J$2:$J$15,0)),""))</f>
        <v/>
      </c>
      <c r="CZ21" s="23" t="str">
        <f aca="false">IF(CW21="","",IFERROR(INDEX(Clay_Offices!$A$2:$FZ$601,CW21,Sync!$C$17)&amp;"",""))</f>
        <v/>
      </c>
      <c r="DA21" s="35" t="str">
        <f aca="false">IF(CW21="","",IFERROR(N(INDEX(Clay_Offices!$A$2:$FZ$601,CW21,Sync!$C$16)),0))</f>
        <v/>
      </c>
      <c r="DB21" s="23" t="n">
        <f aca="false">IF(AND(BB21=1,OR(AR21="Y",AR21="N",AR21="maybe")),1,0)</f>
        <v>0</v>
      </c>
      <c r="DC21" s="23" t="n">
        <f aca="false">IF(AND(DB21=1),IF(COUNTIFS($A$2:$A$201,$A21,$DB$2:$DB$201,1,$H$2:$H$201,"&gt;"&amp;H21)+COUNTIFS($A$2:$A$201,$A21,$DB$2:$DB$201,1,$H$2:$H$201,H21,$BA$2:$BA$201,"&gt;"&amp;BA21)=0,1,0),0)</f>
        <v>0</v>
      </c>
      <c r="DD21" s="23" t="n">
        <f aca="false">IF(AND(DB21=1,INT(N(H21))&lt;=Config!$B$6),IF(COUNTIFS($AZ$2:$AZ$201,AZ21,$DB$2:$DB$201,1,$H$2:$H$201,"&gt;"&amp;H21,$H$2:$H$201,"&lt;"&amp;(Config!$B$6+1))+COUNTIFS($AZ$2:$AZ$201,AZ21,$DB$2:$DB$201,1,$H$2:$H$201,H21,$BA$2:$BA$201,"&gt;"&amp;BA21)=0,1,0),0)</f>
        <v>0</v>
      </c>
      <c r="DE21" s="23" t="n">
        <f aca="false">IF(AND(DB21=1,INT(N(H21))&lt;=Config!$B$7),IF(COUNTIFS($AZ$2:$AZ$201,AZ21,$DB$2:$DB$201,1,$H$2:$H$201,"&gt;"&amp;H21,$H$2:$H$201,"&lt;"&amp;(Config!$B$7+1))+COUNTIFS($AZ$2:$AZ$201,AZ21,$DB$2:$DB$201,1,$H$2:$H$201,H21,$BA$2:$BA$201,"&gt;"&amp;BA21)=0,1,0),0)</f>
        <v>0</v>
      </c>
      <c r="DF21" s="23" t="n">
        <f aca="false">IF(AND(DB21=1,INT(N(H21))&lt;=Config!$B$8),IF(COUNTIFS($AZ$2:$AZ$201,AZ21,$DB$2:$DB$201,1,$H$2:$H$201,"&gt;"&amp;H21,$H$2:$H$201,"&lt;"&amp;(Config!$B$8+1))+COUNTIFS($AZ$2:$AZ$201,AZ21,$DB$2:$DB$201,1,$H$2:$H$201,H21,$BA$2:$BA$201,"&gt;"&amp;BA21)=0,1,0),0)</f>
        <v>0</v>
      </c>
      <c r="DG21" s="23" t="n">
        <f aca="false">IF(AND(DB21=1,INT(N(H21))&lt;=Config!$B$5),IF(COUNTIFS($AZ$2:$AZ$201,AZ21,$DB$2:$DB$201,1,$H$2:$H$201,"&gt;"&amp;H21,$H$2:$H$201,"&lt;"&amp;(Config!$B$5+1))+COUNTIFS($AZ$2:$AZ$201,AZ21,$DB$2:$DB$201,1,$H$2:$H$201,H21,$BA$2:$BA$201,"&gt;"&amp;BA21)=0,1,0),0)</f>
        <v>0</v>
      </c>
      <c r="DH21" s="23" t="n">
        <f aca="false">IF(BB21=1,IF(COUNTIFS($AZ$2:$AZ$201,AZ21,$DD$2:$DD$201,1,$AR$2:$AR$201,"Y")&gt;0,1,0),0)</f>
        <v>0</v>
      </c>
      <c r="DI21" s="23" t="n">
        <f aca="false">IF(BB21=1,IF(COUNTIFS($AZ$2:$AZ$201,AZ21,$DE$2:$DE$201,1,$AR$2:$AR$201,"Y")&gt;0,1,0),0)</f>
        <v>0</v>
      </c>
      <c r="DJ21" s="23" t="n">
        <f aca="false">IF(BB21=1,IF(COUNTIFS($AZ$2:$AZ$201,AZ21,$DF$2:$DF$201,1,$AR$2:$AR$201,"Y")&gt;0,1,0),0)</f>
        <v>0</v>
      </c>
      <c r="DK21" s="23" t="n">
        <f aca="false">IF(BB21=1,IF(COUNTIFS($AZ$2:$AZ$201,AZ21,$DG$2:$DG$201,1,$AR$2:$AR$201,"Y")&gt;0,1,0),0)</f>
        <v>0</v>
      </c>
      <c r="DL21" s="23" t="n">
        <f aca="false">IF(AND(BF21=1,INT(N(H21))&lt;=Config!$B$6,DH21=1,EI21=0),1,0)</f>
        <v>0</v>
      </c>
      <c r="DM21" s="23" t="n">
        <f aca="false">IF(AND(BF21=1,INT(N(H21))&lt;=Config!$B$7,DI21=1,EI21=0),1,0)</f>
        <v>0</v>
      </c>
      <c r="DN21" s="23" t="n">
        <f aca="false">IF(AND(BF21=1,INT(N(H21))&lt;=Config!$B$8,DJ21=1,EI21=0),1,0)</f>
        <v>0</v>
      </c>
      <c r="DO21" s="23" t="n">
        <f aca="false">IF(AND(BF21=1,INT(N(H21))&lt;=Config!$B$5,DK21=1,EI21=0),1,0)</f>
        <v>0</v>
      </c>
      <c r="DP21" s="23" t="n">
        <f aca="false">IF(AND(CC21=1,INT(N(H21))&lt;=Config!$B$6,DH21=1,EI21=0),1,0)</f>
        <v>0</v>
      </c>
      <c r="DQ21" s="23" t="n">
        <f aca="false">IF(AND(CC21=1,INT(N(H21))&lt;=Config!$B$7,DI21=1,EI21=0),1,0)</f>
        <v>0</v>
      </c>
      <c r="DR21" s="23" t="n">
        <f aca="false">IF(AND(CC21=1,INT(N(H21))&lt;=Config!$B$8,DJ21=1,EI21=0),1,0)</f>
        <v>0</v>
      </c>
      <c r="DS21" s="23" t="n">
        <f aca="false">IF(AND(CC21=1,INT(N(H21))&lt;=Config!$B$5,DK21=1,EI21=0),1,0)</f>
        <v>0</v>
      </c>
      <c r="DT21" s="23" t="n">
        <f aca="false">IF(AND(CC21=1,INT(N(H21))&lt;=Config!$B$6,DH21=0),1,0)</f>
        <v>0</v>
      </c>
      <c r="DU21" s="23" t="n">
        <f aca="false">IF(AND(CC21=1,INT(N(H21))&lt;=Config!$B$7,DI21=0),1,0)</f>
        <v>0</v>
      </c>
      <c r="DV21" s="23" t="n">
        <f aca="false">IF(AND(CC21=1,INT(N(H21))&lt;=Config!$B$8,DJ21=0),1,0)</f>
        <v>0</v>
      </c>
      <c r="DW21" s="23" t="n">
        <f aca="false">IF(AND(CC21=1,INT(N(H21))&lt;=Config!$B$5,DK21=0),1,0)</f>
        <v>0</v>
      </c>
      <c r="DX21" s="23" t="n">
        <f aca="false">IF(TRIM($A21)="",0,ISTEXT(M21)+ISTEXT(O21)+ISTEXT(Y21)+ISTEXT(Z21)+ISTEXT(AA21)+ISTEXT(AV21))</f>
        <v>0</v>
      </c>
      <c r="DY21" s="23" t="n">
        <f aca="false">IF(BB21=1,IF(H21&lt;&gt;INT(H21),1,0),0)</f>
        <v>0</v>
      </c>
      <c r="DZ21" s="23" t="str">
        <f aca="false">IF(TRIM($A21)="","",IF(TRIM(B21)="",SUBSTITUTE(SUBSTITUTE(SUBSTITUTE(SUBSTITUTE(SUBSTITUTE(SUBSTITUTE(LOWER(TRIM($A21)),"~",""),"*",""),"?",""),"&lt;",""),"&gt;",""),"=",""),SUBSTITUTE(SUBSTITUTE(SUBSTITUTE(SUBSTITUTE(SUBSTITUTE(SUBSTITUTE(LOWER(TRIM(B21)),"~",""),"*",""),"?",""),"&lt;",""),"&gt;",""),"=","")))</f>
        <v/>
      </c>
      <c r="EA21" s="23" t="str">
        <f aca="false">IF(CW21="","",IFERROR(IF(LEFT(LOWER(TRIM(INDEX(Clay_Offices!$A$2:$FZ$601,CW21,Sync!$C$19)&amp;"")),4)="grp-",SUBSTITUTE(SUBSTITUTE(SUBSTITUTE(SUBSTITUTE(SUBSTITUTE(SUBSTITUTE(LOWER(TRIM(INDEX(Clay_Offices!$A$2:$FZ$601,CW21,Sync!$C$19)&amp;"")),"~",""),"*",""),"?",""),"&lt;",""),"&gt;",""),"=",""),""),""))</f>
        <v/>
      </c>
      <c r="EB21" s="23" t="str">
        <f aca="false">IF(EA21&lt;&gt;"",DZ21,"")</f>
        <v/>
      </c>
      <c r="EC21" s="23" t="str">
        <f aca="false">IF(BC21=1,AZ21,"")</f>
        <v/>
      </c>
      <c r="ED21" s="23" t="str">
        <f aca="false">IF(TRIM($A21)="","",IFERROR(INDEX($A$2:$A$201,MATCH(AZ21,$EC$2:$EC$201,0))&amp;"",$A21&amp;""))</f>
        <v/>
      </c>
      <c r="EE21" s="23" t="n">
        <f aca="false">IF(BB21=1,IF(COUNTIFS($A$2:$A$201,$A21,$BB$2:$BB$201,1,$H$2:$H$201,"&lt;"&amp;H21)+COUNTIFS($A$2:$A$201,$A21,$BB$2:$BB$201,1,$H$2:$H$201,H21,$BA$2:$BA$201,"&lt;"&amp;BA21)=0,1,0),0)</f>
        <v>0</v>
      </c>
      <c r="EF21" s="23" t="n">
        <f aca="false">IF(BC21=1,IF(COUNTIFS($AZ$2:$AZ$201,AZ21,$EE$2:$EE$201,1)&gt;1,1,0),0)</f>
        <v>0</v>
      </c>
      <c r="EG21" s="23" t="n">
        <f aca="false">IF(AND(CQ21=1),IF(COUNTIFS($AZ$2:$AZ$201,AZ21,$CQ$2:$CQ$201,1,$H$2:$H$201,"&gt;"&amp;H21)+COUNTIFS($AZ$2:$AZ$201,AZ21,$CQ$2:$CQ$201,1,$H$2:$H$201,H21,$BA$2:$BA$201,"&gt;"&amp;BA21)=0,1,0),0)</f>
        <v>0</v>
      </c>
      <c r="EH21" s="23" t="str">
        <f aca="false">IF(BB21=1,IF(COUNTIFS($AZ$2:$AZ$201,AZ21,$EG$2:$EG$201,1)=0,"",SUMIFS($O$2:$O$201,$AZ$2:$AZ$201,AZ21,$EG$2:$EG$201,1)),"")</f>
        <v/>
      </c>
      <c r="EI21" s="23" t="n">
        <f aca="false">IF(AND(ISNUMBER(EH21),OR(N(EH21)&lt;Config!$B$31,N(EH21)&gt;Config!$B$33)),1,0)</f>
        <v>0</v>
      </c>
      <c r="EJ21" s="23" t="n">
        <f aca="false">IF(AND(ISNUMBER(EH21),N(EH21)&gt;=Config!$B$31,N(EH21)&lt;Config!$B$32),1,0)</f>
        <v>0</v>
      </c>
      <c r="EK21" s="23" t="n">
        <f aca="false">IF(AND(BF21=1,INT(N(H21))&lt;=Config!$B$6,DH21=1,EI21=1),1,0)</f>
        <v>0</v>
      </c>
      <c r="EL21" s="23" t="n">
        <f aca="false">IF(AND(BF21=1,INT(N(H21))&lt;=Config!$B$7,DI21=1,EI21=1),1,0)</f>
        <v>0</v>
      </c>
      <c r="EM21" s="23" t="n">
        <f aca="false">IF(AND(BF21=1,INT(N(H21))&lt;=Config!$B$8,DJ21=1,EI21=1),1,0)</f>
        <v>0</v>
      </c>
      <c r="EN21" s="23" t="n">
        <f aca="false">IF(AND(BF21=1,INT(N(H21))&lt;=Config!$B$5,DK21=1,EI21=1),1,0)</f>
        <v>0</v>
      </c>
      <c r="EO21" s="23" t="n">
        <f aca="false">IF(AND(DL21=1,EJ21=1),1,0)</f>
        <v>0</v>
      </c>
      <c r="EP21" s="23" t="n">
        <f aca="false">IF(AND(DM21=1,EJ21=1),1,0)</f>
        <v>0</v>
      </c>
      <c r="EQ21" s="23" t="n">
        <f aca="false">IF(AND(DN21=1,EJ21=1),1,0)</f>
        <v>0</v>
      </c>
      <c r="ER21" s="23" t="n">
        <f aca="false">IF(AND(DO21=1,EJ21=1),1,0)</f>
        <v>0</v>
      </c>
    </row>
    <row r="22" customFormat="false" ht="15" hidden="false" customHeight="false" outlineLevel="0" collapsed="false">
      <c r="G22" s="32"/>
      <c r="H22" s="33"/>
      <c r="I22" s="32"/>
      <c r="L22" s="32"/>
      <c r="Q22" s="32"/>
      <c r="U22" s="32"/>
      <c r="W22" s="32"/>
      <c r="AC22" s="32"/>
      <c r="AF22" s="32"/>
      <c r="AI22" s="32"/>
      <c r="AJ22" s="32"/>
      <c r="AN22" s="32"/>
      <c r="AR22" s="32"/>
      <c r="AT22" s="32"/>
      <c r="AU22" s="32"/>
      <c r="AW22" s="32"/>
      <c r="AY22" s="34" t="str">
        <f aca="false">IF(TRIM($A22)="","",IF(AND(LEFT($A22,6)="SAMPLE",Config!$B$19&lt;&gt;"Y"),"",IF(NOT(ISNUMBER(H22)),"call_date is blank or not a date",IF(Sync!$C$5="","Clay paste is empty or has no row_id column: paste the Clay export on Clay_Offices",IF(CW22="","row_id not found in the Clay paste: add the Clay row or fix the row_id",IF(AND(ISNUMBER(CY22),CY22&gt;=1,CY22&lt;=5),"Clay status is "&amp;CX22&amp;": set call_done or later",IF(AND(BD22=1,CZ22&lt;&gt;BZ22),"Clay yes_in_principle should be "&amp;BZ22,IF(AND(BD22=1,DA22&lt;&gt;H22),"Clay call_date should be "&amp;TEXT(H22,"yyyy-mm-dd"),""))))))))</f>
        <v/>
      </c>
      <c r="AZ22" s="23" t="str">
        <f aca="false">IF(TRIM($A22)="","",IF(TRIM(C22)&lt;&gt;"",SUBSTITUTE(SUBSTITUTE(SUBSTITUTE(SUBSTITUTE(SUBSTITUTE(SUBSTITUTE(LOWER(TRIM(C22)),"~",""),"*",""),"?",""),"&lt;",""),"&gt;",""),"=",""),IF(EA22&lt;&gt;"",EA22,IFERROR(INDEX($EA$2:$EA$201,MATCH(DZ22,$EB$2:$EB$201,0)),DZ22))))</f>
        <v/>
      </c>
      <c r="BA22" s="23" t="n">
        <f aca="false">ROW()</f>
        <v>22</v>
      </c>
      <c r="BB22" s="23" t="n">
        <f aca="false">IF(AND(TRIM($A22)&lt;&gt;"",ISNUMBER(H22)),IF(AND(LEFT($A22,6)="SAMPLE",Config!$B$19&lt;&gt;"Y"),0,1),0)</f>
        <v>0</v>
      </c>
      <c r="BC22" s="23" t="n">
        <f aca="false">IF(BB22=1,IF(COUNTIFS($AZ$2:$AZ$201,AZ22,$BB$2:$BB$201,1,$H$2:$H$201,"&lt;"&amp;H22)+COUNTIFS($AZ$2:$AZ$201,AZ22,$BB$2:$BB$201,1,$H$2:$H$201,H22,$BA$2:$BA$201,"&lt;"&amp;BA22)=0,1,0),0)</f>
        <v>0</v>
      </c>
      <c r="BD22" s="23" t="n">
        <f aca="false">IF(BB22=1,IF(COUNTIFS($A$2:$A$201,$A22,$BB$2:$BB$201,1,$H$2:$H$201,"&gt;"&amp;H22)+COUNTIFS($A$2:$A$201,$A22,$BB$2:$BB$201,1,$H$2:$H$201,H22,$BA$2:$BA$201,"&gt;"&amp;BA22)=0,1,0),0)</f>
        <v>0</v>
      </c>
      <c r="BE22" s="23" t="n">
        <f aca="false">IF(AND(BB22=1,AR22="Y",AC22="Y",TRIM(AH22)&lt;&gt;""),1,0)</f>
        <v>0</v>
      </c>
      <c r="BF22" s="23" t="n">
        <f aca="false">IF(BE22=1,IF(COUNTIFS($AZ$2:$AZ$201,AZ22,$BE$2:$BE$201,1,$H$2:$H$201,"&lt;"&amp;H22)+COUNTIFS($AZ$2:$AZ$201,AZ22,$BE$2:$BE$201,1,$H$2:$H$201,H22,$BA$2:$BA$201,"&lt;"&amp;BA22)=0,1,0),0)</f>
        <v>0</v>
      </c>
      <c r="BG22" s="23" t="n">
        <f aca="false">IF(AND(BB22=1,AR22="Y",BE22=0),1,0)</f>
        <v>0</v>
      </c>
      <c r="BH22" s="23" t="n">
        <f aca="false">IF(AND(BB22=1,ISNUMBER(Y22)),1,0)</f>
        <v>0</v>
      </c>
      <c r="BI22" s="23" t="n">
        <f aca="false">IF(BH22=1,IF(COUNTIFS($AZ$2:$AZ$201,AZ22,$BH$2:$BH$201,1,$H$2:$H$201,"&lt;"&amp;H22)+COUNTIFS($AZ$2:$AZ$201,AZ22,$BH$2:$BH$201,1,$H$2:$H$201,H22,$BA$2:$BA$201,"&lt;"&amp;BA22)=0,1,0),0)</f>
        <v>0</v>
      </c>
      <c r="BJ22" s="23" t="str">
        <f aca="false">IF(AND(BI22=1,INT(N(H22))&lt;=Config!$B$6),Y22,"")</f>
        <v/>
      </c>
      <c r="BK22" s="23" t="str">
        <f aca="false">IF(AND(BI22=1,INT(N(H22))&lt;=Config!$B$7),Y22,"")</f>
        <v/>
      </c>
      <c r="BL22" s="23" t="str">
        <f aca="false">IF(AND(BI22=1,INT(N(H22))&lt;=Config!$B$8),Y22,"")</f>
        <v/>
      </c>
      <c r="BM22" s="23" t="str">
        <f aca="false">IF(AND(BI22=1,INT(N(H22))&lt;=Config!$B$5),Y22,"")</f>
        <v/>
      </c>
      <c r="BN22" s="23" t="n">
        <f aca="false">IF(CD22=1,IF(COUNTIFS($AZ$2:$AZ$201,AZ22,$CD$2:$CD$201,1,$H$2:$H$201,"&lt;"&amp;H22)+COUNTIFS($AZ$2:$AZ$201,AZ22,$CD$2:$CD$201,1,$H$2:$H$201,H22,$BA$2:$BA$201,"&lt;"&amp;BA22)=0,1,0),0)</f>
        <v>0</v>
      </c>
      <c r="BO22" s="23" t="n">
        <f aca="false">IF(AND(BB22=1,ISNUMBER(M22)),1,0)</f>
        <v>0</v>
      </c>
      <c r="BP22" s="23" t="n">
        <f aca="false">IF(BO22=1,IF(COUNTIFS($AZ$2:$AZ$201,AZ22,$BO$2:$BO$201,1,$H$2:$H$201,"&lt;"&amp;H22)+COUNTIFS($AZ$2:$AZ$201,AZ22,$BO$2:$BO$201,1,$H$2:$H$201,H22,$BA$2:$BA$201,"&lt;"&amp;BA22)=0,1,0),0)</f>
        <v>0</v>
      </c>
      <c r="BQ22" s="23" t="str">
        <f aca="false">IF(AND(BP22=1,INT(N(H22))&lt;=Config!$B$5),M22,"")</f>
        <v/>
      </c>
      <c r="BR22" s="23" t="n">
        <f aca="false">IF(AND(BB22=1,OR(TRIM(X22)&lt;&gt;"",ISNUMBER(Y22))),1,0)</f>
        <v>0</v>
      </c>
      <c r="BS22" s="23" t="n">
        <f aca="false">IF(BR22=1,IF(COUNTIFS($AZ$2:$AZ$201,AZ22,$BR$2:$BR$201,1,$H$2:$H$201,"&lt;"&amp;H22)+COUNTIFS($AZ$2:$AZ$201,AZ22,$BR$2:$BR$201,1,$H$2:$H$201,H22,$BA$2:$BA$201,"&lt;"&amp;BA22)=0,1,0),0)</f>
        <v>0</v>
      </c>
      <c r="BT22" s="23" t="str">
        <f aca="false">IF(BS22=1,AZ22,"")</f>
        <v/>
      </c>
      <c r="BU22" s="23" t="n">
        <f aca="false">IF(AND(BB22=1,W22="Y",TRIM(X22)=""),1,0)</f>
        <v>0</v>
      </c>
      <c r="BV22" s="23" t="str">
        <f aca="false">IF(BB22=1,AN22&amp;"","")</f>
        <v/>
      </c>
      <c r="BW22" s="23" t="str">
        <f aca="false">IF(BB22=1,AO22&amp;"","")</f>
        <v/>
      </c>
      <c r="BX22" s="23" t="str">
        <f aca="false">IF(BB22=1,AP22&amp;"","")</f>
        <v/>
      </c>
      <c r="BY22" s="23" t="str">
        <f aca="false">IF(AND(BB22=1,ISNUMBER(AV22),INT(N(H22))&lt;=Config!$B$5),AV22,"")</f>
        <v/>
      </c>
      <c r="BZ22" s="23" t="str">
        <f aca="false">IF(BB22=1,IF(COUNTIFS($A$2:$A$201,$A22,$DC$2:$DC$201,1,$AR$2:$AR$201,"Y")&gt;0,"Y","N"),"")</f>
        <v/>
      </c>
      <c r="CA22" s="23" t="n">
        <f aca="false">IF(AND(BB22=1,AR22="maybe"),1,0)</f>
        <v>0</v>
      </c>
      <c r="CB22" s="23" t="n">
        <f aca="false">IF(CA22=1,IF(COUNTIFS($AZ$2:$AZ$201,AZ22,$CA$2:$CA$201,1,$H$2:$H$201,"&lt;"&amp;H22)+COUNTIFS($AZ$2:$AZ$201,AZ22,$CA$2:$CA$201,1,$H$2:$H$201,H22,$BA$2:$BA$201,"&lt;"&amp;BA22)=0,1,0),0)</f>
        <v>0</v>
      </c>
      <c r="CC22" s="23" t="n">
        <f aca="false">IF(AND(BB22=1,AR22="Y"),IF(COUNTIFS($AZ$2:$AZ$201,AZ22,$AR$2:$AR$201,"Y",$BB$2:$BB$201,1,$H$2:$H$201,"&lt;"&amp;H22)+COUNTIFS($AZ$2:$AZ$201,AZ22,$AR$2:$AR$201,"Y",$BB$2:$BB$201,1,$H$2:$H$201,H22,$BA$2:$BA$201,"&lt;"&amp;BA22)=0,1,0),0)</f>
        <v>0</v>
      </c>
      <c r="CD22" s="23" t="n">
        <f aca="false">IF(AND(BH22=1,N(Y22)&gt;=Config!$B$15),1,0)</f>
        <v>0</v>
      </c>
      <c r="CE22" s="23" t="n">
        <f aca="false">IF(AND(BB22=1,AT22="Y"),1,0)</f>
        <v>0</v>
      </c>
      <c r="CF22" s="23" t="n">
        <f aca="false">IF(CE22=1,IF(COUNTIFS($AZ$2:$AZ$201,AZ22,$CE$2:$CE$201,1,$H$2:$H$201,"&lt;"&amp;H22)+COUNTIFS($AZ$2:$AZ$201,AZ22,$CE$2:$CE$201,1,$H$2:$H$201,H22,$BA$2:$BA$201,"&lt;"&amp;BA22)=0,1,0),0)</f>
        <v>0</v>
      </c>
      <c r="CG22" s="23" t="n">
        <f aca="false">IF(AND(BB22=1,G22="warm-intro"),1,0)</f>
        <v>0</v>
      </c>
      <c r="CH22" s="23" t="n">
        <f aca="false">IF(CG22=1,IF(COUNTIFS($AZ$2:$AZ$201,AZ22,$CG$2:$CG$201,1,$H$2:$H$201,"&lt;"&amp;H22)+COUNTIFS($AZ$2:$AZ$201,AZ22,$CG$2:$CG$201,1,$H$2:$H$201,H22,$BA$2:$BA$201,"&lt;"&amp;BA22)=0,1,0),0)</f>
        <v>0</v>
      </c>
      <c r="CI22" s="23" t="n">
        <f aca="false">IF(AND(BB22=1,Q22="Y"),1,0)</f>
        <v>0</v>
      </c>
      <c r="CJ22" s="23" t="n">
        <f aca="false">IF(CI22=1,IF(COUNTIFS($AZ$2:$AZ$201,AZ22,$CI$2:$CI$201,1,$H$2:$H$201,"&lt;"&amp;H22)+COUNTIFS($AZ$2:$AZ$201,AZ22,$CI$2:$CI$201,1,$H$2:$H$201,H22,$BA$2:$BA$201,"&lt;"&amp;BA22)=0,1,0),0)</f>
        <v>0</v>
      </c>
      <c r="CK22" s="23" t="n">
        <f aca="false">IF(AND(BB22=1,AF22="Y"),1,0)</f>
        <v>0</v>
      </c>
      <c r="CL22" s="23" t="n">
        <f aca="false">IF(CK22=1,IF(COUNTIFS($AZ$2:$AZ$201,AZ22,$CK$2:$CK$201,1,$H$2:$H$201,"&lt;"&amp;H22)+COUNTIFS($AZ$2:$AZ$201,AZ22,$CK$2:$CK$201,1,$H$2:$H$201,H22,$BA$2:$BA$201,"&lt;"&amp;BA22)=0,1,0),0)</f>
        <v>0</v>
      </c>
      <c r="CM22" s="23" t="n">
        <f aca="false">IF(AND(BB22=1,U22="Y"),1,0)</f>
        <v>0</v>
      </c>
      <c r="CN22" s="23" t="n">
        <f aca="false">IF(CM22=1,IF(COUNTIFS($AZ$2:$AZ$201,AZ22,$CM$2:$CM$201,1,$H$2:$H$201,"&lt;"&amp;H22)+COUNTIFS($AZ$2:$AZ$201,AZ22,$CM$2:$CM$201,1,$H$2:$H$201,H22,$BA$2:$BA$201,"&lt;"&amp;BA22)=0,1,0),0)</f>
        <v>0</v>
      </c>
      <c r="CO22" s="23" t="n">
        <f aca="false">IF(AND(BB22=1,L22="Y"),1,0)</f>
        <v>0</v>
      </c>
      <c r="CP22" s="23" t="n">
        <f aca="false">IF(CO22=1,IF(COUNTIFS($AZ$2:$AZ$201,AZ22,$CO$2:$CO$201,1,$H$2:$H$201,"&lt;"&amp;H22)+COUNTIFS($AZ$2:$AZ$201,AZ22,$CO$2:$CO$201,1,$H$2:$H$201,H22,$BA$2:$BA$201,"&lt;"&amp;BA22)=0,1,0),0)</f>
        <v>0</v>
      </c>
      <c r="CQ22" s="23" t="n">
        <f aca="false">IF(AND(BB22=1,ISNUMBER(O22)),1,0)</f>
        <v>0</v>
      </c>
      <c r="CR22" s="23" t="n">
        <f aca="false">IF(CQ22=1,IF(COUNTIFS($AZ$2:$AZ$201,AZ22,$CQ$2:$CQ$201,1,$H$2:$H$201,"&lt;"&amp;H22)+COUNTIFS($AZ$2:$AZ$201,AZ22,$CQ$2:$CQ$201,1,$H$2:$H$201,H22,$BA$2:$BA$201,"&lt;"&amp;BA22)=0,1,0),0)</f>
        <v>0</v>
      </c>
      <c r="CS22" s="23" t="str">
        <f aca="false">IF(AND(CR22=1,INT(N(H22))&lt;=Config!$B$5),O22,"")</f>
        <v/>
      </c>
      <c r="CT22" s="23" t="str">
        <f aca="false">IF(AND(BB22=1,INT(N(H22))&lt;=Config!$B$5),AG22&amp;"","")</f>
        <v/>
      </c>
      <c r="CU22" s="23" t="n">
        <f aca="false">IF(AND(BB22=1,AU22="Y"),1,0)</f>
        <v>0</v>
      </c>
      <c r="CV22" s="23" t="n">
        <f aca="false">IF(CU22=1,IF(COUNTIFS($AZ$2:$AZ$201,AZ22,$CU$2:$CU$201,1,$H$2:$H$201,"&lt;"&amp;H22)+COUNTIFS($AZ$2:$AZ$201,AZ22,$CU$2:$CU$201,1,$H$2:$H$201,H22,$BA$2:$BA$201,"&lt;"&amp;BA22)=0,1,0),0)</f>
        <v>0</v>
      </c>
      <c r="CW22" s="23" t="str">
        <f aca="false">IF(BB22=1,IFERROR(MATCH($A22,INDEX(Clay_Offices!$A$2:$FZ$601,0,Sync!$C$5),0),""),"")</f>
        <v/>
      </c>
      <c r="CX22" s="23" t="str">
        <f aca="false">IF(CW22="","",IFERROR(INDEX(Clay_Offices!$A$2:$FZ$601,CW22,Sync!$C$7)&amp;"",""))</f>
        <v/>
      </c>
      <c r="CY22" s="23" t="str">
        <f aca="false">IF(CX22="","",IFERROR(INDEX(Lists!$K$2:$K$15,MATCH(CX22,Lists!$J$2:$J$15,0)),""))</f>
        <v/>
      </c>
      <c r="CZ22" s="23" t="str">
        <f aca="false">IF(CW22="","",IFERROR(INDEX(Clay_Offices!$A$2:$FZ$601,CW22,Sync!$C$17)&amp;"",""))</f>
        <v/>
      </c>
      <c r="DA22" s="35" t="str">
        <f aca="false">IF(CW22="","",IFERROR(N(INDEX(Clay_Offices!$A$2:$FZ$601,CW22,Sync!$C$16)),0))</f>
        <v/>
      </c>
      <c r="DB22" s="23" t="n">
        <f aca="false">IF(AND(BB22=1,OR(AR22="Y",AR22="N",AR22="maybe")),1,0)</f>
        <v>0</v>
      </c>
      <c r="DC22" s="23" t="n">
        <f aca="false">IF(AND(DB22=1),IF(COUNTIFS($A$2:$A$201,$A22,$DB$2:$DB$201,1,$H$2:$H$201,"&gt;"&amp;H22)+COUNTIFS($A$2:$A$201,$A22,$DB$2:$DB$201,1,$H$2:$H$201,H22,$BA$2:$BA$201,"&gt;"&amp;BA22)=0,1,0),0)</f>
        <v>0</v>
      </c>
      <c r="DD22" s="23" t="n">
        <f aca="false">IF(AND(DB22=1,INT(N(H22))&lt;=Config!$B$6),IF(COUNTIFS($AZ$2:$AZ$201,AZ22,$DB$2:$DB$201,1,$H$2:$H$201,"&gt;"&amp;H22,$H$2:$H$201,"&lt;"&amp;(Config!$B$6+1))+COUNTIFS($AZ$2:$AZ$201,AZ22,$DB$2:$DB$201,1,$H$2:$H$201,H22,$BA$2:$BA$201,"&gt;"&amp;BA22)=0,1,0),0)</f>
        <v>0</v>
      </c>
      <c r="DE22" s="23" t="n">
        <f aca="false">IF(AND(DB22=1,INT(N(H22))&lt;=Config!$B$7),IF(COUNTIFS($AZ$2:$AZ$201,AZ22,$DB$2:$DB$201,1,$H$2:$H$201,"&gt;"&amp;H22,$H$2:$H$201,"&lt;"&amp;(Config!$B$7+1))+COUNTIFS($AZ$2:$AZ$201,AZ22,$DB$2:$DB$201,1,$H$2:$H$201,H22,$BA$2:$BA$201,"&gt;"&amp;BA22)=0,1,0),0)</f>
        <v>0</v>
      </c>
      <c r="DF22" s="23" t="n">
        <f aca="false">IF(AND(DB22=1,INT(N(H22))&lt;=Config!$B$8),IF(COUNTIFS($AZ$2:$AZ$201,AZ22,$DB$2:$DB$201,1,$H$2:$H$201,"&gt;"&amp;H22,$H$2:$H$201,"&lt;"&amp;(Config!$B$8+1))+COUNTIFS($AZ$2:$AZ$201,AZ22,$DB$2:$DB$201,1,$H$2:$H$201,H22,$BA$2:$BA$201,"&gt;"&amp;BA22)=0,1,0),0)</f>
        <v>0</v>
      </c>
      <c r="DG22" s="23" t="n">
        <f aca="false">IF(AND(DB22=1,INT(N(H22))&lt;=Config!$B$5),IF(COUNTIFS($AZ$2:$AZ$201,AZ22,$DB$2:$DB$201,1,$H$2:$H$201,"&gt;"&amp;H22,$H$2:$H$201,"&lt;"&amp;(Config!$B$5+1))+COUNTIFS($AZ$2:$AZ$201,AZ22,$DB$2:$DB$201,1,$H$2:$H$201,H22,$BA$2:$BA$201,"&gt;"&amp;BA22)=0,1,0),0)</f>
        <v>0</v>
      </c>
      <c r="DH22" s="23" t="n">
        <f aca="false">IF(BB22=1,IF(COUNTIFS($AZ$2:$AZ$201,AZ22,$DD$2:$DD$201,1,$AR$2:$AR$201,"Y")&gt;0,1,0),0)</f>
        <v>0</v>
      </c>
      <c r="DI22" s="23" t="n">
        <f aca="false">IF(BB22=1,IF(COUNTIFS($AZ$2:$AZ$201,AZ22,$DE$2:$DE$201,1,$AR$2:$AR$201,"Y")&gt;0,1,0),0)</f>
        <v>0</v>
      </c>
      <c r="DJ22" s="23" t="n">
        <f aca="false">IF(BB22=1,IF(COUNTIFS($AZ$2:$AZ$201,AZ22,$DF$2:$DF$201,1,$AR$2:$AR$201,"Y")&gt;0,1,0),0)</f>
        <v>0</v>
      </c>
      <c r="DK22" s="23" t="n">
        <f aca="false">IF(BB22=1,IF(COUNTIFS($AZ$2:$AZ$201,AZ22,$DG$2:$DG$201,1,$AR$2:$AR$201,"Y")&gt;0,1,0),0)</f>
        <v>0</v>
      </c>
      <c r="DL22" s="23" t="n">
        <f aca="false">IF(AND(BF22=1,INT(N(H22))&lt;=Config!$B$6,DH22=1,EI22=0),1,0)</f>
        <v>0</v>
      </c>
      <c r="DM22" s="23" t="n">
        <f aca="false">IF(AND(BF22=1,INT(N(H22))&lt;=Config!$B$7,DI22=1,EI22=0),1,0)</f>
        <v>0</v>
      </c>
      <c r="DN22" s="23" t="n">
        <f aca="false">IF(AND(BF22=1,INT(N(H22))&lt;=Config!$B$8,DJ22=1,EI22=0),1,0)</f>
        <v>0</v>
      </c>
      <c r="DO22" s="23" t="n">
        <f aca="false">IF(AND(BF22=1,INT(N(H22))&lt;=Config!$B$5,DK22=1,EI22=0),1,0)</f>
        <v>0</v>
      </c>
      <c r="DP22" s="23" t="n">
        <f aca="false">IF(AND(CC22=1,INT(N(H22))&lt;=Config!$B$6,DH22=1,EI22=0),1,0)</f>
        <v>0</v>
      </c>
      <c r="DQ22" s="23" t="n">
        <f aca="false">IF(AND(CC22=1,INT(N(H22))&lt;=Config!$B$7,DI22=1,EI22=0),1,0)</f>
        <v>0</v>
      </c>
      <c r="DR22" s="23" t="n">
        <f aca="false">IF(AND(CC22=1,INT(N(H22))&lt;=Config!$B$8,DJ22=1,EI22=0),1,0)</f>
        <v>0</v>
      </c>
      <c r="DS22" s="23" t="n">
        <f aca="false">IF(AND(CC22=1,INT(N(H22))&lt;=Config!$B$5,DK22=1,EI22=0),1,0)</f>
        <v>0</v>
      </c>
      <c r="DT22" s="23" t="n">
        <f aca="false">IF(AND(CC22=1,INT(N(H22))&lt;=Config!$B$6,DH22=0),1,0)</f>
        <v>0</v>
      </c>
      <c r="DU22" s="23" t="n">
        <f aca="false">IF(AND(CC22=1,INT(N(H22))&lt;=Config!$B$7,DI22=0),1,0)</f>
        <v>0</v>
      </c>
      <c r="DV22" s="23" t="n">
        <f aca="false">IF(AND(CC22=1,INT(N(H22))&lt;=Config!$B$8,DJ22=0),1,0)</f>
        <v>0</v>
      </c>
      <c r="DW22" s="23" t="n">
        <f aca="false">IF(AND(CC22=1,INT(N(H22))&lt;=Config!$B$5,DK22=0),1,0)</f>
        <v>0</v>
      </c>
      <c r="DX22" s="23" t="n">
        <f aca="false">IF(TRIM($A22)="",0,ISTEXT(M22)+ISTEXT(O22)+ISTEXT(Y22)+ISTEXT(Z22)+ISTEXT(AA22)+ISTEXT(AV22))</f>
        <v>0</v>
      </c>
      <c r="DY22" s="23" t="n">
        <f aca="false">IF(BB22=1,IF(H22&lt;&gt;INT(H22),1,0),0)</f>
        <v>0</v>
      </c>
      <c r="DZ22" s="23" t="str">
        <f aca="false">IF(TRIM($A22)="","",IF(TRIM(B22)="",SUBSTITUTE(SUBSTITUTE(SUBSTITUTE(SUBSTITUTE(SUBSTITUTE(SUBSTITUTE(LOWER(TRIM($A22)),"~",""),"*",""),"?",""),"&lt;",""),"&gt;",""),"=",""),SUBSTITUTE(SUBSTITUTE(SUBSTITUTE(SUBSTITUTE(SUBSTITUTE(SUBSTITUTE(LOWER(TRIM(B22)),"~",""),"*",""),"?",""),"&lt;",""),"&gt;",""),"=","")))</f>
        <v/>
      </c>
      <c r="EA22" s="23" t="str">
        <f aca="false">IF(CW22="","",IFERROR(IF(LEFT(LOWER(TRIM(INDEX(Clay_Offices!$A$2:$FZ$601,CW22,Sync!$C$19)&amp;"")),4)="grp-",SUBSTITUTE(SUBSTITUTE(SUBSTITUTE(SUBSTITUTE(SUBSTITUTE(SUBSTITUTE(LOWER(TRIM(INDEX(Clay_Offices!$A$2:$FZ$601,CW22,Sync!$C$19)&amp;"")),"~",""),"*",""),"?",""),"&lt;",""),"&gt;",""),"=",""),""),""))</f>
        <v/>
      </c>
      <c r="EB22" s="23" t="str">
        <f aca="false">IF(EA22&lt;&gt;"",DZ22,"")</f>
        <v/>
      </c>
      <c r="EC22" s="23" t="str">
        <f aca="false">IF(BC22=1,AZ22,"")</f>
        <v/>
      </c>
      <c r="ED22" s="23" t="str">
        <f aca="false">IF(TRIM($A22)="","",IFERROR(INDEX($A$2:$A$201,MATCH(AZ22,$EC$2:$EC$201,0))&amp;"",$A22&amp;""))</f>
        <v/>
      </c>
      <c r="EE22" s="23" t="n">
        <f aca="false">IF(BB22=1,IF(COUNTIFS($A$2:$A$201,$A22,$BB$2:$BB$201,1,$H$2:$H$201,"&lt;"&amp;H22)+COUNTIFS($A$2:$A$201,$A22,$BB$2:$BB$201,1,$H$2:$H$201,H22,$BA$2:$BA$201,"&lt;"&amp;BA22)=0,1,0),0)</f>
        <v>0</v>
      </c>
      <c r="EF22" s="23" t="n">
        <f aca="false">IF(BC22=1,IF(COUNTIFS($AZ$2:$AZ$201,AZ22,$EE$2:$EE$201,1)&gt;1,1,0),0)</f>
        <v>0</v>
      </c>
      <c r="EG22" s="23" t="n">
        <f aca="false">IF(AND(CQ22=1),IF(COUNTIFS($AZ$2:$AZ$201,AZ22,$CQ$2:$CQ$201,1,$H$2:$H$201,"&gt;"&amp;H22)+COUNTIFS($AZ$2:$AZ$201,AZ22,$CQ$2:$CQ$201,1,$H$2:$H$201,H22,$BA$2:$BA$201,"&gt;"&amp;BA22)=0,1,0),0)</f>
        <v>0</v>
      </c>
      <c r="EH22" s="23" t="str">
        <f aca="false">IF(BB22=1,IF(COUNTIFS($AZ$2:$AZ$201,AZ22,$EG$2:$EG$201,1)=0,"",SUMIFS($O$2:$O$201,$AZ$2:$AZ$201,AZ22,$EG$2:$EG$201,1)),"")</f>
        <v/>
      </c>
      <c r="EI22" s="23" t="n">
        <f aca="false">IF(AND(ISNUMBER(EH22),OR(N(EH22)&lt;Config!$B$31,N(EH22)&gt;Config!$B$33)),1,0)</f>
        <v>0</v>
      </c>
      <c r="EJ22" s="23" t="n">
        <f aca="false">IF(AND(ISNUMBER(EH22),N(EH22)&gt;=Config!$B$31,N(EH22)&lt;Config!$B$32),1,0)</f>
        <v>0</v>
      </c>
      <c r="EK22" s="23" t="n">
        <f aca="false">IF(AND(BF22=1,INT(N(H22))&lt;=Config!$B$6,DH22=1,EI22=1),1,0)</f>
        <v>0</v>
      </c>
      <c r="EL22" s="23" t="n">
        <f aca="false">IF(AND(BF22=1,INT(N(H22))&lt;=Config!$B$7,DI22=1,EI22=1),1,0)</f>
        <v>0</v>
      </c>
      <c r="EM22" s="23" t="n">
        <f aca="false">IF(AND(BF22=1,INT(N(H22))&lt;=Config!$B$8,DJ22=1,EI22=1),1,0)</f>
        <v>0</v>
      </c>
      <c r="EN22" s="23" t="n">
        <f aca="false">IF(AND(BF22=1,INT(N(H22))&lt;=Config!$B$5,DK22=1,EI22=1),1,0)</f>
        <v>0</v>
      </c>
      <c r="EO22" s="23" t="n">
        <f aca="false">IF(AND(DL22=1,EJ22=1),1,0)</f>
        <v>0</v>
      </c>
      <c r="EP22" s="23" t="n">
        <f aca="false">IF(AND(DM22=1,EJ22=1),1,0)</f>
        <v>0</v>
      </c>
      <c r="EQ22" s="23" t="n">
        <f aca="false">IF(AND(DN22=1,EJ22=1),1,0)</f>
        <v>0</v>
      </c>
      <c r="ER22" s="23" t="n">
        <f aca="false">IF(AND(DO22=1,EJ22=1),1,0)</f>
        <v>0</v>
      </c>
    </row>
    <row r="23" customFormat="false" ht="15" hidden="false" customHeight="false" outlineLevel="0" collapsed="false">
      <c r="G23" s="32"/>
      <c r="H23" s="33"/>
      <c r="I23" s="32"/>
      <c r="L23" s="32"/>
      <c r="Q23" s="32"/>
      <c r="U23" s="32"/>
      <c r="W23" s="32"/>
      <c r="AC23" s="32"/>
      <c r="AF23" s="32"/>
      <c r="AI23" s="32"/>
      <c r="AJ23" s="32"/>
      <c r="AN23" s="32"/>
      <c r="AR23" s="32"/>
      <c r="AT23" s="32"/>
      <c r="AU23" s="32"/>
      <c r="AW23" s="32"/>
      <c r="AY23" s="34" t="str">
        <f aca="false">IF(TRIM($A23)="","",IF(AND(LEFT($A23,6)="SAMPLE",Config!$B$19&lt;&gt;"Y"),"",IF(NOT(ISNUMBER(H23)),"call_date is blank or not a date",IF(Sync!$C$5="","Clay paste is empty or has no row_id column: paste the Clay export on Clay_Offices",IF(CW23="","row_id not found in the Clay paste: add the Clay row or fix the row_id",IF(AND(ISNUMBER(CY23),CY23&gt;=1,CY23&lt;=5),"Clay status is "&amp;CX23&amp;": set call_done or later",IF(AND(BD23=1,CZ23&lt;&gt;BZ23),"Clay yes_in_principle should be "&amp;BZ23,IF(AND(BD23=1,DA23&lt;&gt;H23),"Clay call_date should be "&amp;TEXT(H23,"yyyy-mm-dd"),""))))))))</f>
        <v/>
      </c>
      <c r="AZ23" s="23" t="str">
        <f aca="false">IF(TRIM($A23)="","",IF(TRIM(C23)&lt;&gt;"",SUBSTITUTE(SUBSTITUTE(SUBSTITUTE(SUBSTITUTE(SUBSTITUTE(SUBSTITUTE(LOWER(TRIM(C23)),"~",""),"*",""),"?",""),"&lt;",""),"&gt;",""),"=",""),IF(EA23&lt;&gt;"",EA23,IFERROR(INDEX($EA$2:$EA$201,MATCH(DZ23,$EB$2:$EB$201,0)),DZ23))))</f>
        <v/>
      </c>
      <c r="BA23" s="23" t="n">
        <f aca="false">ROW()</f>
        <v>23</v>
      </c>
      <c r="BB23" s="23" t="n">
        <f aca="false">IF(AND(TRIM($A23)&lt;&gt;"",ISNUMBER(H23)),IF(AND(LEFT($A23,6)="SAMPLE",Config!$B$19&lt;&gt;"Y"),0,1),0)</f>
        <v>0</v>
      </c>
      <c r="BC23" s="23" t="n">
        <f aca="false">IF(BB23=1,IF(COUNTIFS($AZ$2:$AZ$201,AZ23,$BB$2:$BB$201,1,$H$2:$H$201,"&lt;"&amp;H23)+COUNTIFS($AZ$2:$AZ$201,AZ23,$BB$2:$BB$201,1,$H$2:$H$201,H23,$BA$2:$BA$201,"&lt;"&amp;BA23)=0,1,0),0)</f>
        <v>0</v>
      </c>
      <c r="BD23" s="23" t="n">
        <f aca="false">IF(BB23=1,IF(COUNTIFS($A$2:$A$201,$A23,$BB$2:$BB$201,1,$H$2:$H$201,"&gt;"&amp;H23)+COUNTIFS($A$2:$A$201,$A23,$BB$2:$BB$201,1,$H$2:$H$201,H23,$BA$2:$BA$201,"&gt;"&amp;BA23)=0,1,0),0)</f>
        <v>0</v>
      </c>
      <c r="BE23" s="23" t="n">
        <f aca="false">IF(AND(BB23=1,AR23="Y",AC23="Y",TRIM(AH23)&lt;&gt;""),1,0)</f>
        <v>0</v>
      </c>
      <c r="BF23" s="23" t="n">
        <f aca="false">IF(BE23=1,IF(COUNTIFS($AZ$2:$AZ$201,AZ23,$BE$2:$BE$201,1,$H$2:$H$201,"&lt;"&amp;H23)+COUNTIFS($AZ$2:$AZ$201,AZ23,$BE$2:$BE$201,1,$H$2:$H$201,H23,$BA$2:$BA$201,"&lt;"&amp;BA23)=0,1,0),0)</f>
        <v>0</v>
      </c>
      <c r="BG23" s="23" t="n">
        <f aca="false">IF(AND(BB23=1,AR23="Y",BE23=0),1,0)</f>
        <v>0</v>
      </c>
      <c r="BH23" s="23" t="n">
        <f aca="false">IF(AND(BB23=1,ISNUMBER(Y23)),1,0)</f>
        <v>0</v>
      </c>
      <c r="BI23" s="23" t="n">
        <f aca="false">IF(BH23=1,IF(COUNTIFS($AZ$2:$AZ$201,AZ23,$BH$2:$BH$201,1,$H$2:$H$201,"&lt;"&amp;H23)+COUNTIFS($AZ$2:$AZ$201,AZ23,$BH$2:$BH$201,1,$H$2:$H$201,H23,$BA$2:$BA$201,"&lt;"&amp;BA23)=0,1,0),0)</f>
        <v>0</v>
      </c>
      <c r="BJ23" s="23" t="str">
        <f aca="false">IF(AND(BI23=1,INT(N(H23))&lt;=Config!$B$6),Y23,"")</f>
        <v/>
      </c>
      <c r="BK23" s="23" t="str">
        <f aca="false">IF(AND(BI23=1,INT(N(H23))&lt;=Config!$B$7),Y23,"")</f>
        <v/>
      </c>
      <c r="BL23" s="23" t="str">
        <f aca="false">IF(AND(BI23=1,INT(N(H23))&lt;=Config!$B$8),Y23,"")</f>
        <v/>
      </c>
      <c r="BM23" s="23" t="str">
        <f aca="false">IF(AND(BI23=1,INT(N(H23))&lt;=Config!$B$5),Y23,"")</f>
        <v/>
      </c>
      <c r="BN23" s="23" t="n">
        <f aca="false">IF(CD23=1,IF(COUNTIFS($AZ$2:$AZ$201,AZ23,$CD$2:$CD$201,1,$H$2:$H$201,"&lt;"&amp;H23)+COUNTIFS($AZ$2:$AZ$201,AZ23,$CD$2:$CD$201,1,$H$2:$H$201,H23,$BA$2:$BA$201,"&lt;"&amp;BA23)=0,1,0),0)</f>
        <v>0</v>
      </c>
      <c r="BO23" s="23" t="n">
        <f aca="false">IF(AND(BB23=1,ISNUMBER(M23)),1,0)</f>
        <v>0</v>
      </c>
      <c r="BP23" s="23" t="n">
        <f aca="false">IF(BO23=1,IF(COUNTIFS($AZ$2:$AZ$201,AZ23,$BO$2:$BO$201,1,$H$2:$H$201,"&lt;"&amp;H23)+COUNTIFS($AZ$2:$AZ$201,AZ23,$BO$2:$BO$201,1,$H$2:$H$201,H23,$BA$2:$BA$201,"&lt;"&amp;BA23)=0,1,0),0)</f>
        <v>0</v>
      </c>
      <c r="BQ23" s="23" t="str">
        <f aca="false">IF(AND(BP23=1,INT(N(H23))&lt;=Config!$B$5),M23,"")</f>
        <v/>
      </c>
      <c r="BR23" s="23" t="n">
        <f aca="false">IF(AND(BB23=1,OR(TRIM(X23)&lt;&gt;"",ISNUMBER(Y23))),1,0)</f>
        <v>0</v>
      </c>
      <c r="BS23" s="23" t="n">
        <f aca="false">IF(BR23=1,IF(COUNTIFS($AZ$2:$AZ$201,AZ23,$BR$2:$BR$201,1,$H$2:$H$201,"&lt;"&amp;H23)+COUNTIFS($AZ$2:$AZ$201,AZ23,$BR$2:$BR$201,1,$H$2:$H$201,H23,$BA$2:$BA$201,"&lt;"&amp;BA23)=0,1,0),0)</f>
        <v>0</v>
      </c>
      <c r="BT23" s="23" t="str">
        <f aca="false">IF(BS23=1,AZ23,"")</f>
        <v/>
      </c>
      <c r="BU23" s="23" t="n">
        <f aca="false">IF(AND(BB23=1,W23="Y",TRIM(X23)=""),1,0)</f>
        <v>0</v>
      </c>
      <c r="BV23" s="23" t="str">
        <f aca="false">IF(BB23=1,AN23&amp;"","")</f>
        <v/>
      </c>
      <c r="BW23" s="23" t="str">
        <f aca="false">IF(BB23=1,AO23&amp;"","")</f>
        <v/>
      </c>
      <c r="BX23" s="23" t="str">
        <f aca="false">IF(BB23=1,AP23&amp;"","")</f>
        <v/>
      </c>
      <c r="BY23" s="23" t="str">
        <f aca="false">IF(AND(BB23=1,ISNUMBER(AV23),INT(N(H23))&lt;=Config!$B$5),AV23,"")</f>
        <v/>
      </c>
      <c r="BZ23" s="23" t="str">
        <f aca="false">IF(BB23=1,IF(COUNTIFS($A$2:$A$201,$A23,$DC$2:$DC$201,1,$AR$2:$AR$201,"Y")&gt;0,"Y","N"),"")</f>
        <v/>
      </c>
      <c r="CA23" s="23" t="n">
        <f aca="false">IF(AND(BB23=1,AR23="maybe"),1,0)</f>
        <v>0</v>
      </c>
      <c r="CB23" s="23" t="n">
        <f aca="false">IF(CA23=1,IF(COUNTIFS($AZ$2:$AZ$201,AZ23,$CA$2:$CA$201,1,$H$2:$H$201,"&lt;"&amp;H23)+COUNTIFS($AZ$2:$AZ$201,AZ23,$CA$2:$CA$201,1,$H$2:$H$201,H23,$BA$2:$BA$201,"&lt;"&amp;BA23)=0,1,0),0)</f>
        <v>0</v>
      </c>
      <c r="CC23" s="23" t="n">
        <f aca="false">IF(AND(BB23=1,AR23="Y"),IF(COUNTIFS($AZ$2:$AZ$201,AZ23,$AR$2:$AR$201,"Y",$BB$2:$BB$201,1,$H$2:$H$201,"&lt;"&amp;H23)+COUNTIFS($AZ$2:$AZ$201,AZ23,$AR$2:$AR$201,"Y",$BB$2:$BB$201,1,$H$2:$H$201,H23,$BA$2:$BA$201,"&lt;"&amp;BA23)=0,1,0),0)</f>
        <v>0</v>
      </c>
      <c r="CD23" s="23" t="n">
        <f aca="false">IF(AND(BH23=1,N(Y23)&gt;=Config!$B$15),1,0)</f>
        <v>0</v>
      </c>
      <c r="CE23" s="23" t="n">
        <f aca="false">IF(AND(BB23=1,AT23="Y"),1,0)</f>
        <v>0</v>
      </c>
      <c r="CF23" s="23" t="n">
        <f aca="false">IF(CE23=1,IF(COUNTIFS($AZ$2:$AZ$201,AZ23,$CE$2:$CE$201,1,$H$2:$H$201,"&lt;"&amp;H23)+COUNTIFS($AZ$2:$AZ$201,AZ23,$CE$2:$CE$201,1,$H$2:$H$201,H23,$BA$2:$BA$201,"&lt;"&amp;BA23)=0,1,0),0)</f>
        <v>0</v>
      </c>
      <c r="CG23" s="23" t="n">
        <f aca="false">IF(AND(BB23=1,G23="warm-intro"),1,0)</f>
        <v>0</v>
      </c>
      <c r="CH23" s="23" t="n">
        <f aca="false">IF(CG23=1,IF(COUNTIFS($AZ$2:$AZ$201,AZ23,$CG$2:$CG$201,1,$H$2:$H$201,"&lt;"&amp;H23)+COUNTIFS($AZ$2:$AZ$201,AZ23,$CG$2:$CG$201,1,$H$2:$H$201,H23,$BA$2:$BA$201,"&lt;"&amp;BA23)=0,1,0),0)</f>
        <v>0</v>
      </c>
      <c r="CI23" s="23" t="n">
        <f aca="false">IF(AND(BB23=1,Q23="Y"),1,0)</f>
        <v>0</v>
      </c>
      <c r="CJ23" s="23" t="n">
        <f aca="false">IF(CI23=1,IF(COUNTIFS($AZ$2:$AZ$201,AZ23,$CI$2:$CI$201,1,$H$2:$H$201,"&lt;"&amp;H23)+COUNTIFS($AZ$2:$AZ$201,AZ23,$CI$2:$CI$201,1,$H$2:$H$201,H23,$BA$2:$BA$201,"&lt;"&amp;BA23)=0,1,0),0)</f>
        <v>0</v>
      </c>
      <c r="CK23" s="23" t="n">
        <f aca="false">IF(AND(BB23=1,AF23="Y"),1,0)</f>
        <v>0</v>
      </c>
      <c r="CL23" s="23" t="n">
        <f aca="false">IF(CK23=1,IF(COUNTIFS($AZ$2:$AZ$201,AZ23,$CK$2:$CK$201,1,$H$2:$H$201,"&lt;"&amp;H23)+COUNTIFS($AZ$2:$AZ$201,AZ23,$CK$2:$CK$201,1,$H$2:$H$201,H23,$BA$2:$BA$201,"&lt;"&amp;BA23)=0,1,0),0)</f>
        <v>0</v>
      </c>
      <c r="CM23" s="23" t="n">
        <f aca="false">IF(AND(BB23=1,U23="Y"),1,0)</f>
        <v>0</v>
      </c>
      <c r="CN23" s="23" t="n">
        <f aca="false">IF(CM23=1,IF(COUNTIFS($AZ$2:$AZ$201,AZ23,$CM$2:$CM$201,1,$H$2:$H$201,"&lt;"&amp;H23)+COUNTIFS($AZ$2:$AZ$201,AZ23,$CM$2:$CM$201,1,$H$2:$H$201,H23,$BA$2:$BA$201,"&lt;"&amp;BA23)=0,1,0),0)</f>
        <v>0</v>
      </c>
      <c r="CO23" s="23" t="n">
        <f aca="false">IF(AND(BB23=1,L23="Y"),1,0)</f>
        <v>0</v>
      </c>
      <c r="CP23" s="23" t="n">
        <f aca="false">IF(CO23=1,IF(COUNTIFS($AZ$2:$AZ$201,AZ23,$CO$2:$CO$201,1,$H$2:$H$201,"&lt;"&amp;H23)+COUNTIFS($AZ$2:$AZ$201,AZ23,$CO$2:$CO$201,1,$H$2:$H$201,H23,$BA$2:$BA$201,"&lt;"&amp;BA23)=0,1,0),0)</f>
        <v>0</v>
      </c>
      <c r="CQ23" s="23" t="n">
        <f aca="false">IF(AND(BB23=1,ISNUMBER(O23)),1,0)</f>
        <v>0</v>
      </c>
      <c r="CR23" s="23" t="n">
        <f aca="false">IF(CQ23=1,IF(COUNTIFS($AZ$2:$AZ$201,AZ23,$CQ$2:$CQ$201,1,$H$2:$H$201,"&lt;"&amp;H23)+COUNTIFS($AZ$2:$AZ$201,AZ23,$CQ$2:$CQ$201,1,$H$2:$H$201,H23,$BA$2:$BA$201,"&lt;"&amp;BA23)=0,1,0),0)</f>
        <v>0</v>
      </c>
      <c r="CS23" s="23" t="str">
        <f aca="false">IF(AND(CR23=1,INT(N(H23))&lt;=Config!$B$5),O23,"")</f>
        <v/>
      </c>
      <c r="CT23" s="23" t="str">
        <f aca="false">IF(AND(BB23=1,INT(N(H23))&lt;=Config!$B$5),AG23&amp;"","")</f>
        <v/>
      </c>
      <c r="CU23" s="23" t="n">
        <f aca="false">IF(AND(BB23=1,AU23="Y"),1,0)</f>
        <v>0</v>
      </c>
      <c r="CV23" s="23" t="n">
        <f aca="false">IF(CU23=1,IF(COUNTIFS($AZ$2:$AZ$201,AZ23,$CU$2:$CU$201,1,$H$2:$H$201,"&lt;"&amp;H23)+COUNTIFS($AZ$2:$AZ$201,AZ23,$CU$2:$CU$201,1,$H$2:$H$201,H23,$BA$2:$BA$201,"&lt;"&amp;BA23)=0,1,0),0)</f>
        <v>0</v>
      </c>
      <c r="CW23" s="23" t="str">
        <f aca="false">IF(BB23=1,IFERROR(MATCH($A23,INDEX(Clay_Offices!$A$2:$FZ$601,0,Sync!$C$5),0),""),"")</f>
        <v/>
      </c>
      <c r="CX23" s="23" t="str">
        <f aca="false">IF(CW23="","",IFERROR(INDEX(Clay_Offices!$A$2:$FZ$601,CW23,Sync!$C$7)&amp;"",""))</f>
        <v/>
      </c>
      <c r="CY23" s="23" t="str">
        <f aca="false">IF(CX23="","",IFERROR(INDEX(Lists!$K$2:$K$15,MATCH(CX23,Lists!$J$2:$J$15,0)),""))</f>
        <v/>
      </c>
      <c r="CZ23" s="23" t="str">
        <f aca="false">IF(CW23="","",IFERROR(INDEX(Clay_Offices!$A$2:$FZ$601,CW23,Sync!$C$17)&amp;"",""))</f>
        <v/>
      </c>
      <c r="DA23" s="35" t="str">
        <f aca="false">IF(CW23="","",IFERROR(N(INDEX(Clay_Offices!$A$2:$FZ$601,CW23,Sync!$C$16)),0))</f>
        <v/>
      </c>
      <c r="DB23" s="23" t="n">
        <f aca="false">IF(AND(BB23=1,OR(AR23="Y",AR23="N",AR23="maybe")),1,0)</f>
        <v>0</v>
      </c>
      <c r="DC23" s="23" t="n">
        <f aca="false">IF(AND(DB23=1),IF(COUNTIFS($A$2:$A$201,$A23,$DB$2:$DB$201,1,$H$2:$H$201,"&gt;"&amp;H23)+COUNTIFS($A$2:$A$201,$A23,$DB$2:$DB$201,1,$H$2:$H$201,H23,$BA$2:$BA$201,"&gt;"&amp;BA23)=0,1,0),0)</f>
        <v>0</v>
      </c>
      <c r="DD23" s="23" t="n">
        <f aca="false">IF(AND(DB23=1,INT(N(H23))&lt;=Config!$B$6),IF(COUNTIFS($AZ$2:$AZ$201,AZ23,$DB$2:$DB$201,1,$H$2:$H$201,"&gt;"&amp;H23,$H$2:$H$201,"&lt;"&amp;(Config!$B$6+1))+COUNTIFS($AZ$2:$AZ$201,AZ23,$DB$2:$DB$201,1,$H$2:$H$201,H23,$BA$2:$BA$201,"&gt;"&amp;BA23)=0,1,0),0)</f>
        <v>0</v>
      </c>
      <c r="DE23" s="23" t="n">
        <f aca="false">IF(AND(DB23=1,INT(N(H23))&lt;=Config!$B$7),IF(COUNTIFS($AZ$2:$AZ$201,AZ23,$DB$2:$DB$201,1,$H$2:$H$201,"&gt;"&amp;H23,$H$2:$H$201,"&lt;"&amp;(Config!$B$7+1))+COUNTIFS($AZ$2:$AZ$201,AZ23,$DB$2:$DB$201,1,$H$2:$H$201,H23,$BA$2:$BA$201,"&gt;"&amp;BA23)=0,1,0),0)</f>
        <v>0</v>
      </c>
      <c r="DF23" s="23" t="n">
        <f aca="false">IF(AND(DB23=1,INT(N(H23))&lt;=Config!$B$8),IF(COUNTIFS($AZ$2:$AZ$201,AZ23,$DB$2:$DB$201,1,$H$2:$H$201,"&gt;"&amp;H23,$H$2:$H$201,"&lt;"&amp;(Config!$B$8+1))+COUNTIFS($AZ$2:$AZ$201,AZ23,$DB$2:$DB$201,1,$H$2:$H$201,H23,$BA$2:$BA$201,"&gt;"&amp;BA23)=0,1,0),0)</f>
        <v>0</v>
      </c>
      <c r="DG23" s="23" t="n">
        <f aca="false">IF(AND(DB23=1,INT(N(H23))&lt;=Config!$B$5),IF(COUNTIFS($AZ$2:$AZ$201,AZ23,$DB$2:$DB$201,1,$H$2:$H$201,"&gt;"&amp;H23,$H$2:$H$201,"&lt;"&amp;(Config!$B$5+1))+COUNTIFS($AZ$2:$AZ$201,AZ23,$DB$2:$DB$201,1,$H$2:$H$201,H23,$BA$2:$BA$201,"&gt;"&amp;BA23)=0,1,0),0)</f>
        <v>0</v>
      </c>
      <c r="DH23" s="23" t="n">
        <f aca="false">IF(BB23=1,IF(COUNTIFS($AZ$2:$AZ$201,AZ23,$DD$2:$DD$201,1,$AR$2:$AR$201,"Y")&gt;0,1,0),0)</f>
        <v>0</v>
      </c>
      <c r="DI23" s="23" t="n">
        <f aca="false">IF(BB23=1,IF(COUNTIFS($AZ$2:$AZ$201,AZ23,$DE$2:$DE$201,1,$AR$2:$AR$201,"Y")&gt;0,1,0),0)</f>
        <v>0</v>
      </c>
      <c r="DJ23" s="23" t="n">
        <f aca="false">IF(BB23=1,IF(COUNTIFS($AZ$2:$AZ$201,AZ23,$DF$2:$DF$201,1,$AR$2:$AR$201,"Y")&gt;0,1,0),0)</f>
        <v>0</v>
      </c>
      <c r="DK23" s="23" t="n">
        <f aca="false">IF(BB23=1,IF(COUNTIFS($AZ$2:$AZ$201,AZ23,$DG$2:$DG$201,1,$AR$2:$AR$201,"Y")&gt;0,1,0),0)</f>
        <v>0</v>
      </c>
      <c r="DL23" s="23" t="n">
        <f aca="false">IF(AND(BF23=1,INT(N(H23))&lt;=Config!$B$6,DH23=1,EI23=0),1,0)</f>
        <v>0</v>
      </c>
      <c r="DM23" s="23" t="n">
        <f aca="false">IF(AND(BF23=1,INT(N(H23))&lt;=Config!$B$7,DI23=1,EI23=0),1,0)</f>
        <v>0</v>
      </c>
      <c r="DN23" s="23" t="n">
        <f aca="false">IF(AND(BF23=1,INT(N(H23))&lt;=Config!$B$8,DJ23=1,EI23=0),1,0)</f>
        <v>0</v>
      </c>
      <c r="DO23" s="23" t="n">
        <f aca="false">IF(AND(BF23=1,INT(N(H23))&lt;=Config!$B$5,DK23=1,EI23=0),1,0)</f>
        <v>0</v>
      </c>
      <c r="DP23" s="23" t="n">
        <f aca="false">IF(AND(CC23=1,INT(N(H23))&lt;=Config!$B$6,DH23=1,EI23=0),1,0)</f>
        <v>0</v>
      </c>
      <c r="DQ23" s="23" t="n">
        <f aca="false">IF(AND(CC23=1,INT(N(H23))&lt;=Config!$B$7,DI23=1,EI23=0),1,0)</f>
        <v>0</v>
      </c>
      <c r="DR23" s="23" t="n">
        <f aca="false">IF(AND(CC23=1,INT(N(H23))&lt;=Config!$B$8,DJ23=1,EI23=0),1,0)</f>
        <v>0</v>
      </c>
      <c r="DS23" s="23" t="n">
        <f aca="false">IF(AND(CC23=1,INT(N(H23))&lt;=Config!$B$5,DK23=1,EI23=0),1,0)</f>
        <v>0</v>
      </c>
      <c r="DT23" s="23" t="n">
        <f aca="false">IF(AND(CC23=1,INT(N(H23))&lt;=Config!$B$6,DH23=0),1,0)</f>
        <v>0</v>
      </c>
      <c r="DU23" s="23" t="n">
        <f aca="false">IF(AND(CC23=1,INT(N(H23))&lt;=Config!$B$7,DI23=0),1,0)</f>
        <v>0</v>
      </c>
      <c r="DV23" s="23" t="n">
        <f aca="false">IF(AND(CC23=1,INT(N(H23))&lt;=Config!$B$8,DJ23=0),1,0)</f>
        <v>0</v>
      </c>
      <c r="DW23" s="23" t="n">
        <f aca="false">IF(AND(CC23=1,INT(N(H23))&lt;=Config!$B$5,DK23=0),1,0)</f>
        <v>0</v>
      </c>
      <c r="DX23" s="23" t="n">
        <f aca="false">IF(TRIM($A23)="",0,ISTEXT(M23)+ISTEXT(O23)+ISTEXT(Y23)+ISTEXT(Z23)+ISTEXT(AA23)+ISTEXT(AV23))</f>
        <v>0</v>
      </c>
      <c r="DY23" s="23" t="n">
        <f aca="false">IF(BB23=1,IF(H23&lt;&gt;INT(H23),1,0),0)</f>
        <v>0</v>
      </c>
      <c r="DZ23" s="23" t="str">
        <f aca="false">IF(TRIM($A23)="","",IF(TRIM(B23)="",SUBSTITUTE(SUBSTITUTE(SUBSTITUTE(SUBSTITUTE(SUBSTITUTE(SUBSTITUTE(LOWER(TRIM($A23)),"~",""),"*",""),"?",""),"&lt;",""),"&gt;",""),"=",""),SUBSTITUTE(SUBSTITUTE(SUBSTITUTE(SUBSTITUTE(SUBSTITUTE(SUBSTITUTE(LOWER(TRIM(B23)),"~",""),"*",""),"?",""),"&lt;",""),"&gt;",""),"=","")))</f>
        <v/>
      </c>
      <c r="EA23" s="23" t="str">
        <f aca="false">IF(CW23="","",IFERROR(IF(LEFT(LOWER(TRIM(INDEX(Clay_Offices!$A$2:$FZ$601,CW23,Sync!$C$19)&amp;"")),4)="grp-",SUBSTITUTE(SUBSTITUTE(SUBSTITUTE(SUBSTITUTE(SUBSTITUTE(SUBSTITUTE(LOWER(TRIM(INDEX(Clay_Offices!$A$2:$FZ$601,CW23,Sync!$C$19)&amp;"")),"~",""),"*",""),"?",""),"&lt;",""),"&gt;",""),"=",""),""),""))</f>
        <v/>
      </c>
      <c r="EB23" s="23" t="str">
        <f aca="false">IF(EA23&lt;&gt;"",DZ23,"")</f>
        <v/>
      </c>
      <c r="EC23" s="23" t="str">
        <f aca="false">IF(BC23=1,AZ23,"")</f>
        <v/>
      </c>
      <c r="ED23" s="23" t="str">
        <f aca="false">IF(TRIM($A23)="","",IFERROR(INDEX($A$2:$A$201,MATCH(AZ23,$EC$2:$EC$201,0))&amp;"",$A23&amp;""))</f>
        <v/>
      </c>
      <c r="EE23" s="23" t="n">
        <f aca="false">IF(BB23=1,IF(COUNTIFS($A$2:$A$201,$A23,$BB$2:$BB$201,1,$H$2:$H$201,"&lt;"&amp;H23)+COUNTIFS($A$2:$A$201,$A23,$BB$2:$BB$201,1,$H$2:$H$201,H23,$BA$2:$BA$201,"&lt;"&amp;BA23)=0,1,0),0)</f>
        <v>0</v>
      </c>
      <c r="EF23" s="23" t="n">
        <f aca="false">IF(BC23=1,IF(COUNTIFS($AZ$2:$AZ$201,AZ23,$EE$2:$EE$201,1)&gt;1,1,0),0)</f>
        <v>0</v>
      </c>
      <c r="EG23" s="23" t="n">
        <f aca="false">IF(AND(CQ23=1),IF(COUNTIFS($AZ$2:$AZ$201,AZ23,$CQ$2:$CQ$201,1,$H$2:$H$201,"&gt;"&amp;H23)+COUNTIFS($AZ$2:$AZ$201,AZ23,$CQ$2:$CQ$201,1,$H$2:$H$201,H23,$BA$2:$BA$201,"&gt;"&amp;BA23)=0,1,0),0)</f>
        <v>0</v>
      </c>
      <c r="EH23" s="23" t="str">
        <f aca="false">IF(BB23=1,IF(COUNTIFS($AZ$2:$AZ$201,AZ23,$EG$2:$EG$201,1)=0,"",SUMIFS($O$2:$O$201,$AZ$2:$AZ$201,AZ23,$EG$2:$EG$201,1)),"")</f>
        <v/>
      </c>
      <c r="EI23" s="23" t="n">
        <f aca="false">IF(AND(ISNUMBER(EH23),OR(N(EH23)&lt;Config!$B$31,N(EH23)&gt;Config!$B$33)),1,0)</f>
        <v>0</v>
      </c>
      <c r="EJ23" s="23" t="n">
        <f aca="false">IF(AND(ISNUMBER(EH23),N(EH23)&gt;=Config!$B$31,N(EH23)&lt;Config!$B$32),1,0)</f>
        <v>0</v>
      </c>
      <c r="EK23" s="23" t="n">
        <f aca="false">IF(AND(BF23=1,INT(N(H23))&lt;=Config!$B$6,DH23=1,EI23=1),1,0)</f>
        <v>0</v>
      </c>
      <c r="EL23" s="23" t="n">
        <f aca="false">IF(AND(BF23=1,INT(N(H23))&lt;=Config!$B$7,DI23=1,EI23=1),1,0)</f>
        <v>0</v>
      </c>
      <c r="EM23" s="23" t="n">
        <f aca="false">IF(AND(BF23=1,INT(N(H23))&lt;=Config!$B$8,DJ23=1,EI23=1),1,0)</f>
        <v>0</v>
      </c>
      <c r="EN23" s="23" t="n">
        <f aca="false">IF(AND(BF23=1,INT(N(H23))&lt;=Config!$B$5,DK23=1,EI23=1),1,0)</f>
        <v>0</v>
      </c>
      <c r="EO23" s="23" t="n">
        <f aca="false">IF(AND(DL23=1,EJ23=1),1,0)</f>
        <v>0</v>
      </c>
      <c r="EP23" s="23" t="n">
        <f aca="false">IF(AND(DM23=1,EJ23=1),1,0)</f>
        <v>0</v>
      </c>
      <c r="EQ23" s="23" t="n">
        <f aca="false">IF(AND(DN23=1,EJ23=1),1,0)</f>
        <v>0</v>
      </c>
      <c r="ER23" s="23" t="n">
        <f aca="false">IF(AND(DO23=1,EJ23=1),1,0)</f>
        <v>0</v>
      </c>
    </row>
    <row r="24" customFormat="false" ht="15" hidden="false" customHeight="false" outlineLevel="0" collapsed="false">
      <c r="G24" s="32"/>
      <c r="H24" s="33"/>
      <c r="I24" s="32"/>
      <c r="L24" s="32"/>
      <c r="Q24" s="32"/>
      <c r="U24" s="32"/>
      <c r="W24" s="32"/>
      <c r="AC24" s="32"/>
      <c r="AF24" s="32"/>
      <c r="AI24" s="32"/>
      <c r="AJ24" s="32"/>
      <c r="AN24" s="32"/>
      <c r="AR24" s="32"/>
      <c r="AT24" s="32"/>
      <c r="AU24" s="32"/>
      <c r="AW24" s="32"/>
      <c r="AY24" s="34" t="str">
        <f aca="false">IF(TRIM($A24)="","",IF(AND(LEFT($A24,6)="SAMPLE",Config!$B$19&lt;&gt;"Y"),"",IF(NOT(ISNUMBER(H24)),"call_date is blank or not a date",IF(Sync!$C$5="","Clay paste is empty or has no row_id column: paste the Clay export on Clay_Offices",IF(CW24="","row_id not found in the Clay paste: add the Clay row or fix the row_id",IF(AND(ISNUMBER(CY24),CY24&gt;=1,CY24&lt;=5),"Clay status is "&amp;CX24&amp;": set call_done or later",IF(AND(BD24=1,CZ24&lt;&gt;BZ24),"Clay yes_in_principle should be "&amp;BZ24,IF(AND(BD24=1,DA24&lt;&gt;H24),"Clay call_date should be "&amp;TEXT(H24,"yyyy-mm-dd"),""))))))))</f>
        <v/>
      </c>
      <c r="AZ24" s="23" t="str">
        <f aca="false">IF(TRIM($A24)="","",IF(TRIM(C24)&lt;&gt;"",SUBSTITUTE(SUBSTITUTE(SUBSTITUTE(SUBSTITUTE(SUBSTITUTE(SUBSTITUTE(LOWER(TRIM(C24)),"~",""),"*",""),"?",""),"&lt;",""),"&gt;",""),"=",""),IF(EA24&lt;&gt;"",EA24,IFERROR(INDEX($EA$2:$EA$201,MATCH(DZ24,$EB$2:$EB$201,0)),DZ24))))</f>
        <v/>
      </c>
      <c r="BA24" s="23" t="n">
        <f aca="false">ROW()</f>
        <v>24</v>
      </c>
      <c r="BB24" s="23" t="n">
        <f aca="false">IF(AND(TRIM($A24)&lt;&gt;"",ISNUMBER(H24)),IF(AND(LEFT($A24,6)="SAMPLE",Config!$B$19&lt;&gt;"Y"),0,1),0)</f>
        <v>0</v>
      </c>
      <c r="BC24" s="23" t="n">
        <f aca="false">IF(BB24=1,IF(COUNTIFS($AZ$2:$AZ$201,AZ24,$BB$2:$BB$201,1,$H$2:$H$201,"&lt;"&amp;H24)+COUNTIFS($AZ$2:$AZ$201,AZ24,$BB$2:$BB$201,1,$H$2:$H$201,H24,$BA$2:$BA$201,"&lt;"&amp;BA24)=0,1,0),0)</f>
        <v>0</v>
      </c>
      <c r="BD24" s="23" t="n">
        <f aca="false">IF(BB24=1,IF(COUNTIFS($A$2:$A$201,$A24,$BB$2:$BB$201,1,$H$2:$H$201,"&gt;"&amp;H24)+COUNTIFS($A$2:$A$201,$A24,$BB$2:$BB$201,1,$H$2:$H$201,H24,$BA$2:$BA$201,"&gt;"&amp;BA24)=0,1,0),0)</f>
        <v>0</v>
      </c>
      <c r="BE24" s="23" t="n">
        <f aca="false">IF(AND(BB24=1,AR24="Y",AC24="Y",TRIM(AH24)&lt;&gt;""),1,0)</f>
        <v>0</v>
      </c>
      <c r="BF24" s="23" t="n">
        <f aca="false">IF(BE24=1,IF(COUNTIFS($AZ$2:$AZ$201,AZ24,$BE$2:$BE$201,1,$H$2:$H$201,"&lt;"&amp;H24)+COUNTIFS($AZ$2:$AZ$201,AZ24,$BE$2:$BE$201,1,$H$2:$H$201,H24,$BA$2:$BA$201,"&lt;"&amp;BA24)=0,1,0),0)</f>
        <v>0</v>
      </c>
      <c r="BG24" s="23" t="n">
        <f aca="false">IF(AND(BB24=1,AR24="Y",BE24=0),1,0)</f>
        <v>0</v>
      </c>
      <c r="BH24" s="23" t="n">
        <f aca="false">IF(AND(BB24=1,ISNUMBER(Y24)),1,0)</f>
        <v>0</v>
      </c>
      <c r="BI24" s="23" t="n">
        <f aca="false">IF(BH24=1,IF(COUNTIFS($AZ$2:$AZ$201,AZ24,$BH$2:$BH$201,1,$H$2:$H$201,"&lt;"&amp;H24)+COUNTIFS($AZ$2:$AZ$201,AZ24,$BH$2:$BH$201,1,$H$2:$H$201,H24,$BA$2:$BA$201,"&lt;"&amp;BA24)=0,1,0),0)</f>
        <v>0</v>
      </c>
      <c r="BJ24" s="23" t="str">
        <f aca="false">IF(AND(BI24=1,INT(N(H24))&lt;=Config!$B$6),Y24,"")</f>
        <v/>
      </c>
      <c r="BK24" s="23" t="str">
        <f aca="false">IF(AND(BI24=1,INT(N(H24))&lt;=Config!$B$7),Y24,"")</f>
        <v/>
      </c>
      <c r="BL24" s="23" t="str">
        <f aca="false">IF(AND(BI24=1,INT(N(H24))&lt;=Config!$B$8),Y24,"")</f>
        <v/>
      </c>
      <c r="BM24" s="23" t="str">
        <f aca="false">IF(AND(BI24=1,INT(N(H24))&lt;=Config!$B$5),Y24,"")</f>
        <v/>
      </c>
      <c r="BN24" s="23" t="n">
        <f aca="false">IF(CD24=1,IF(COUNTIFS($AZ$2:$AZ$201,AZ24,$CD$2:$CD$201,1,$H$2:$H$201,"&lt;"&amp;H24)+COUNTIFS($AZ$2:$AZ$201,AZ24,$CD$2:$CD$201,1,$H$2:$H$201,H24,$BA$2:$BA$201,"&lt;"&amp;BA24)=0,1,0),0)</f>
        <v>0</v>
      </c>
      <c r="BO24" s="23" t="n">
        <f aca="false">IF(AND(BB24=1,ISNUMBER(M24)),1,0)</f>
        <v>0</v>
      </c>
      <c r="BP24" s="23" t="n">
        <f aca="false">IF(BO24=1,IF(COUNTIFS($AZ$2:$AZ$201,AZ24,$BO$2:$BO$201,1,$H$2:$H$201,"&lt;"&amp;H24)+COUNTIFS($AZ$2:$AZ$201,AZ24,$BO$2:$BO$201,1,$H$2:$H$201,H24,$BA$2:$BA$201,"&lt;"&amp;BA24)=0,1,0),0)</f>
        <v>0</v>
      </c>
      <c r="BQ24" s="23" t="str">
        <f aca="false">IF(AND(BP24=1,INT(N(H24))&lt;=Config!$B$5),M24,"")</f>
        <v/>
      </c>
      <c r="BR24" s="23" t="n">
        <f aca="false">IF(AND(BB24=1,OR(TRIM(X24)&lt;&gt;"",ISNUMBER(Y24))),1,0)</f>
        <v>0</v>
      </c>
      <c r="BS24" s="23" t="n">
        <f aca="false">IF(BR24=1,IF(COUNTIFS($AZ$2:$AZ$201,AZ24,$BR$2:$BR$201,1,$H$2:$H$201,"&lt;"&amp;H24)+COUNTIFS($AZ$2:$AZ$201,AZ24,$BR$2:$BR$201,1,$H$2:$H$201,H24,$BA$2:$BA$201,"&lt;"&amp;BA24)=0,1,0),0)</f>
        <v>0</v>
      </c>
      <c r="BT24" s="23" t="str">
        <f aca="false">IF(BS24=1,AZ24,"")</f>
        <v/>
      </c>
      <c r="BU24" s="23" t="n">
        <f aca="false">IF(AND(BB24=1,W24="Y",TRIM(X24)=""),1,0)</f>
        <v>0</v>
      </c>
      <c r="BV24" s="23" t="str">
        <f aca="false">IF(BB24=1,AN24&amp;"","")</f>
        <v/>
      </c>
      <c r="BW24" s="23" t="str">
        <f aca="false">IF(BB24=1,AO24&amp;"","")</f>
        <v/>
      </c>
      <c r="BX24" s="23" t="str">
        <f aca="false">IF(BB24=1,AP24&amp;"","")</f>
        <v/>
      </c>
      <c r="BY24" s="23" t="str">
        <f aca="false">IF(AND(BB24=1,ISNUMBER(AV24),INT(N(H24))&lt;=Config!$B$5),AV24,"")</f>
        <v/>
      </c>
      <c r="BZ24" s="23" t="str">
        <f aca="false">IF(BB24=1,IF(COUNTIFS($A$2:$A$201,$A24,$DC$2:$DC$201,1,$AR$2:$AR$201,"Y")&gt;0,"Y","N"),"")</f>
        <v/>
      </c>
      <c r="CA24" s="23" t="n">
        <f aca="false">IF(AND(BB24=1,AR24="maybe"),1,0)</f>
        <v>0</v>
      </c>
      <c r="CB24" s="23" t="n">
        <f aca="false">IF(CA24=1,IF(COUNTIFS($AZ$2:$AZ$201,AZ24,$CA$2:$CA$201,1,$H$2:$H$201,"&lt;"&amp;H24)+COUNTIFS($AZ$2:$AZ$201,AZ24,$CA$2:$CA$201,1,$H$2:$H$201,H24,$BA$2:$BA$201,"&lt;"&amp;BA24)=0,1,0),0)</f>
        <v>0</v>
      </c>
      <c r="CC24" s="23" t="n">
        <f aca="false">IF(AND(BB24=1,AR24="Y"),IF(COUNTIFS($AZ$2:$AZ$201,AZ24,$AR$2:$AR$201,"Y",$BB$2:$BB$201,1,$H$2:$H$201,"&lt;"&amp;H24)+COUNTIFS($AZ$2:$AZ$201,AZ24,$AR$2:$AR$201,"Y",$BB$2:$BB$201,1,$H$2:$H$201,H24,$BA$2:$BA$201,"&lt;"&amp;BA24)=0,1,0),0)</f>
        <v>0</v>
      </c>
      <c r="CD24" s="23" t="n">
        <f aca="false">IF(AND(BH24=1,N(Y24)&gt;=Config!$B$15),1,0)</f>
        <v>0</v>
      </c>
      <c r="CE24" s="23" t="n">
        <f aca="false">IF(AND(BB24=1,AT24="Y"),1,0)</f>
        <v>0</v>
      </c>
      <c r="CF24" s="23" t="n">
        <f aca="false">IF(CE24=1,IF(COUNTIFS($AZ$2:$AZ$201,AZ24,$CE$2:$CE$201,1,$H$2:$H$201,"&lt;"&amp;H24)+COUNTIFS($AZ$2:$AZ$201,AZ24,$CE$2:$CE$201,1,$H$2:$H$201,H24,$BA$2:$BA$201,"&lt;"&amp;BA24)=0,1,0),0)</f>
        <v>0</v>
      </c>
      <c r="CG24" s="23" t="n">
        <f aca="false">IF(AND(BB24=1,G24="warm-intro"),1,0)</f>
        <v>0</v>
      </c>
      <c r="CH24" s="23" t="n">
        <f aca="false">IF(CG24=1,IF(COUNTIFS($AZ$2:$AZ$201,AZ24,$CG$2:$CG$201,1,$H$2:$H$201,"&lt;"&amp;H24)+COUNTIFS($AZ$2:$AZ$201,AZ24,$CG$2:$CG$201,1,$H$2:$H$201,H24,$BA$2:$BA$201,"&lt;"&amp;BA24)=0,1,0),0)</f>
        <v>0</v>
      </c>
      <c r="CI24" s="23" t="n">
        <f aca="false">IF(AND(BB24=1,Q24="Y"),1,0)</f>
        <v>0</v>
      </c>
      <c r="CJ24" s="23" t="n">
        <f aca="false">IF(CI24=1,IF(COUNTIFS($AZ$2:$AZ$201,AZ24,$CI$2:$CI$201,1,$H$2:$H$201,"&lt;"&amp;H24)+COUNTIFS($AZ$2:$AZ$201,AZ24,$CI$2:$CI$201,1,$H$2:$H$201,H24,$BA$2:$BA$201,"&lt;"&amp;BA24)=0,1,0),0)</f>
        <v>0</v>
      </c>
      <c r="CK24" s="23" t="n">
        <f aca="false">IF(AND(BB24=1,AF24="Y"),1,0)</f>
        <v>0</v>
      </c>
      <c r="CL24" s="23" t="n">
        <f aca="false">IF(CK24=1,IF(COUNTIFS($AZ$2:$AZ$201,AZ24,$CK$2:$CK$201,1,$H$2:$H$201,"&lt;"&amp;H24)+COUNTIFS($AZ$2:$AZ$201,AZ24,$CK$2:$CK$201,1,$H$2:$H$201,H24,$BA$2:$BA$201,"&lt;"&amp;BA24)=0,1,0),0)</f>
        <v>0</v>
      </c>
      <c r="CM24" s="23" t="n">
        <f aca="false">IF(AND(BB24=1,U24="Y"),1,0)</f>
        <v>0</v>
      </c>
      <c r="CN24" s="23" t="n">
        <f aca="false">IF(CM24=1,IF(COUNTIFS($AZ$2:$AZ$201,AZ24,$CM$2:$CM$201,1,$H$2:$H$201,"&lt;"&amp;H24)+COUNTIFS($AZ$2:$AZ$201,AZ24,$CM$2:$CM$201,1,$H$2:$H$201,H24,$BA$2:$BA$201,"&lt;"&amp;BA24)=0,1,0),0)</f>
        <v>0</v>
      </c>
      <c r="CO24" s="23" t="n">
        <f aca="false">IF(AND(BB24=1,L24="Y"),1,0)</f>
        <v>0</v>
      </c>
      <c r="CP24" s="23" t="n">
        <f aca="false">IF(CO24=1,IF(COUNTIFS($AZ$2:$AZ$201,AZ24,$CO$2:$CO$201,1,$H$2:$H$201,"&lt;"&amp;H24)+COUNTIFS($AZ$2:$AZ$201,AZ24,$CO$2:$CO$201,1,$H$2:$H$201,H24,$BA$2:$BA$201,"&lt;"&amp;BA24)=0,1,0),0)</f>
        <v>0</v>
      </c>
      <c r="CQ24" s="23" t="n">
        <f aca="false">IF(AND(BB24=1,ISNUMBER(O24)),1,0)</f>
        <v>0</v>
      </c>
      <c r="CR24" s="23" t="n">
        <f aca="false">IF(CQ24=1,IF(COUNTIFS($AZ$2:$AZ$201,AZ24,$CQ$2:$CQ$201,1,$H$2:$H$201,"&lt;"&amp;H24)+COUNTIFS($AZ$2:$AZ$201,AZ24,$CQ$2:$CQ$201,1,$H$2:$H$201,H24,$BA$2:$BA$201,"&lt;"&amp;BA24)=0,1,0),0)</f>
        <v>0</v>
      </c>
      <c r="CS24" s="23" t="str">
        <f aca="false">IF(AND(CR24=1,INT(N(H24))&lt;=Config!$B$5),O24,"")</f>
        <v/>
      </c>
      <c r="CT24" s="23" t="str">
        <f aca="false">IF(AND(BB24=1,INT(N(H24))&lt;=Config!$B$5),AG24&amp;"","")</f>
        <v/>
      </c>
      <c r="CU24" s="23" t="n">
        <f aca="false">IF(AND(BB24=1,AU24="Y"),1,0)</f>
        <v>0</v>
      </c>
      <c r="CV24" s="23" t="n">
        <f aca="false">IF(CU24=1,IF(COUNTIFS($AZ$2:$AZ$201,AZ24,$CU$2:$CU$201,1,$H$2:$H$201,"&lt;"&amp;H24)+COUNTIFS($AZ$2:$AZ$201,AZ24,$CU$2:$CU$201,1,$H$2:$H$201,H24,$BA$2:$BA$201,"&lt;"&amp;BA24)=0,1,0),0)</f>
        <v>0</v>
      </c>
      <c r="CW24" s="23" t="str">
        <f aca="false">IF(BB24=1,IFERROR(MATCH($A24,INDEX(Clay_Offices!$A$2:$FZ$601,0,Sync!$C$5),0),""),"")</f>
        <v/>
      </c>
      <c r="CX24" s="23" t="str">
        <f aca="false">IF(CW24="","",IFERROR(INDEX(Clay_Offices!$A$2:$FZ$601,CW24,Sync!$C$7)&amp;"",""))</f>
        <v/>
      </c>
      <c r="CY24" s="23" t="str">
        <f aca="false">IF(CX24="","",IFERROR(INDEX(Lists!$K$2:$K$15,MATCH(CX24,Lists!$J$2:$J$15,0)),""))</f>
        <v/>
      </c>
      <c r="CZ24" s="23" t="str">
        <f aca="false">IF(CW24="","",IFERROR(INDEX(Clay_Offices!$A$2:$FZ$601,CW24,Sync!$C$17)&amp;"",""))</f>
        <v/>
      </c>
      <c r="DA24" s="35" t="str">
        <f aca="false">IF(CW24="","",IFERROR(N(INDEX(Clay_Offices!$A$2:$FZ$601,CW24,Sync!$C$16)),0))</f>
        <v/>
      </c>
      <c r="DB24" s="23" t="n">
        <f aca="false">IF(AND(BB24=1,OR(AR24="Y",AR24="N",AR24="maybe")),1,0)</f>
        <v>0</v>
      </c>
      <c r="DC24" s="23" t="n">
        <f aca="false">IF(AND(DB24=1),IF(COUNTIFS($A$2:$A$201,$A24,$DB$2:$DB$201,1,$H$2:$H$201,"&gt;"&amp;H24)+COUNTIFS($A$2:$A$201,$A24,$DB$2:$DB$201,1,$H$2:$H$201,H24,$BA$2:$BA$201,"&gt;"&amp;BA24)=0,1,0),0)</f>
        <v>0</v>
      </c>
      <c r="DD24" s="23" t="n">
        <f aca="false">IF(AND(DB24=1,INT(N(H24))&lt;=Config!$B$6),IF(COUNTIFS($AZ$2:$AZ$201,AZ24,$DB$2:$DB$201,1,$H$2:$H$201,"&gt;"&amp;H24,$H$2:$H$201,"&lt;"&amp;(Config!$B$6+1))+COUNTIFS($AZ$2:$AZ$201,AZ24,$DB$2:$DB$201,1,$H$2:$H$201,H24,$BA$2:$BA$201,"&gt;"&amp;BA24)=0,1,0),0)</f>
        <v>0</v>
      </c>
      <c r="DE24" s="23" t="n">
        <f aca="false">IF(AND(DB24=1,INT(N(H24))&lt;=Config!$B$7),IF(COUNTIFS($AZ$2:$AZ$201,AZ24,$DB$2:$DB$201,1,$H$2:$H$201,"&gt;"&amp;H24,$H$2:$H$201,"&lt;"&amp;(Config!$B$7+1))+COUNTIFS($AZ$2:$AZ$201,AZ24,$DB$2:$DB$201,1,$H$2:$H$201,H24,$BA$2:$BA$201,"&gt;"&amp;BA24)=0,1,0),0)</f>
        <v>0</v>
      </c>
      <c r="DF24" s="23" t="n">
        <f aca="false">IF(AND(DB24=1,INT(N(H24))&lt;=Config!$B$8),IF(COUNTIFS($AZ$2:$AZ$201,AZ24,$DB$2:$DB$201,1,$H$2:$H$201,"&gt;"&amp;H24,$H$2:$H$201,"&lt;"&amp;(Config!$B$8+1))+COUNTIFS($AZ$2:$AZ$201,AZ24,$DB$2:$DB$201,1,$H$2:$H$201,H24,$BA$2:$BA$201,"&gt;"&amp;BA24)=0,1,0),0)</f>
        <v>0</v>
      </c>
      <c r="DG24" s="23" t="n">
        <f aca="false">IF(AND(DB24=1,INT(N(H24))&lt;=Config!$B$5),IF(COUNTIFS($AZ$2:$AZ$201,AZ24,$DB$2:$DB$201,1,$H$2:$H$201,"&gt;"&amp;H24,$H$2:$H$201,"&lt;"&amp;(Config!$B$5+1))+COUNTIFS($AZ$2:$AZ$201,AZ24,$DB$2:$DB$201,1,$H$2:$H$201,H24,$BA$2:$BA$201,"&gt;"&amp;BA24)=0,1,0),0)</f>
        <v>0</v>
      </c>
      <c r="DH24" s="23" t="n">
        <f aca="false">IF(BB24=1,IF(COUNTIFS($AZ$2:$AZ$201,AZ24,$DD$2:$DD$201,1,$AR$2:$AR$201,"Y")&gt;0,1,0),0)</f>
        <v>0</v>
      </c>
      <c r="DI24" s="23" t="n">
        <f aca="false">IF(BB24=1,IF(COUNTIFS($AZ$2:$AZ$201,AZ24,$DE$2:$DE$201,1,$AR$2:$AR$201,"Y")&gt;0,1,0),0)</f>
        <v>0</v>
      </c>
      <c r="DJ24" s="23" t="n">
        <f aca="false">IF(BB24=1,IF(COUNTIFS($AZ$2:$AZ$201,AZ24,$DF$2:$DF$201,1,$AR$2:$AR$201,"Y")&gt;0,1,0),0)</f>
        <v>0</v>
      </c>
      <c r="DK24" s="23" t="n">
        <f aca="false">IF(BB24=1,IF(COUNTIFS($AZ$2:$AZ$201,AZ24,$DG$2:$DG$201,1,$AR$2:$AR$201,"Y")&gt;0,1,0),0)</f>
        <v>0</v>
      </c>
      <c r="DL24" s="23" t="n">
        <f aca="false">IF(AND(BF24=1,INT(N(H24))&lt;=Config!$B$6,DH24=1,EI24=0),1,0)</f>
        <v>0</v>
      </c>
      <c r="DM24" s="23" t="n">
        <f aca="false">IF(AND(BF24=1,INT(N(H24))&lt;=Config!$B$7,DI24=1,EI24=0),1,0)</f>
        <v>0</v>
      </c>
      <c r="DN24" s="23" t="n">
        <f aca="false">IF(AND(BF24=1,INT(N(H24))&lt;=Config!$B$8,DJ24=1,EI24=0),1,0)</f>
        <v>0</v>
      </c>
      <c r="DO24" s="23" t="n">
        <f aca="false">IF(AND(BF24=1,INT(N(H24))&lt;=Config!$B$5,DK24=1,EI24=0),1,0)</f>
        <v>0</v>
      </c>
      <c r="DP24" s="23" t="n">
        <f aca="false">IF(AND(CC24=1,INT(N(H24))&lt;=Config!$B$6,DH24=1,EI24=0),1,0)</f>
        <v>0</v>
      </c>
      <c r="DQ24" s="23" t="n">
        <f aca="false">IF(AND(CC24=1,INT(N(H24))&lt;=Config!$B$7,DI24=1,EI24=0),1,0)</f>
        <v>0</v>
      </c>
      <c r="DR24" s="23" t="n">
        <f aca="false">IF(AND(CC24=1,INT(N(H24))&lt;=Config!$B$8,DJ24=1,EI24=0),1,0)</f>
        <v>0</v>
      </c>
      <c r="DS24" s="23" t="n">
        <f aca="false">IF(AND(CC24=1,INT(N(H24))&lt;=Config!$B$5,DK24=1,EI24=0),1,0)</f>
        <v>0</v>
      </c>
      <c r="DT24" s="23" t="n">
        <f aca="false">IF(AND(CC24=1,INT(N(H24))&lt;=Config!$B$6,DH24=0),1,0)</f>
        <v>0</v>
      </c>
      <c r="DU24" s="23" t="n">
        <f aca="false">IF(AND(CC24=1,INT(N(H24))&lt;=Config!$B$7,DI24=0),1,0)</f>
        <v>0</v>
      </c>
      <c r="DV24" s="23" t="n">
        <f aca="false">IF(AND(CC24=1,INT(N(H24))&lt;=Config!$B$8,DJ24=0),1,0)</f>
        <v>0</v>
      </c>
      <c r="DW24" s="23" t="n">
        <f aca="false">IF(AND(CC24=1,INT(N(H24))&lt;=Config!$B$5,DK24=0),1,0)</f>
        <v>0</v>
      </c>
      <c r="DX24" s="23" t="n">
        <f aca="false">IF(TRIM($A24)="",0,ISTEXT(M24)+ISTEXT(O24)+ISTEXT(Y24)+ISTEXT(Z24)+ISTEXT(AA24)+ISTEXT(AV24))</f>
        <v>0</v>
      </c>
      <c r="DY24" s="23" t="n">
        <f aca="false">IF(BB24=1,IF(H24&lt;&gt;INT(H24),1,0),0)</f>
        <v>0</v>
      </c>
      <c r="DZ24" s="23" t="str">
        <f aca="false">IF(TRIM($A24)="","",IF(TRIM(B24)="",SUBSTITUTE(SUBSTITUTE(SUBSTITUTE(SUBSTITUTE(SUBSTITUTE(SUBSTITUTE(LOWER(TRIM($A24)),"~",""),"*",""),"?",""),"&lt;",""),"&gt;",""),"=",""),SUBSTITUTE(SUBSTITUTE(SUBSTITUTE(SUBSTITUTE(SUBSTITUTE(SUBSTITUTE(LOWER(TRIM(B24)),"~",""),"*",""),"?",""),"&lt;",""),"&gt;",""),"=","")))</f>
        <v/>
      </c>
      <c r="EA24" s="23" t="str">
        <f aca="false">IF(CW24="","",IFERROR(IF(LEFT(LOWER(TRIM(INDEX(Clay_Offices!$A$2:$FZ$601,CW24,Sync!$C$19)&amp;"")),4)="grp-",SUBSTITUTE(SUBSTITUTE(SUBSTITUTE(SUBSTITUTE(SUBSTITUTE(SUBSTITUTE(LOWER(TRIM(INDEX(Clay_Offices!$A$2:$FZ$601,CW24,Sync!$C$19)&amp;"")),"~",""),"*",""),"?",""),"&lt;",""),"&gt;",""),"=",""),""),""))</f>
        <v/>
      </c>
      <c r="EB24" s="23" t="str">
        <f aca="false">IF(EA24&lt;&gt;"",DZ24,"")</f>
        <v/>
      </c>
      <c r="EC24" s="23" t="str">
        <f aca="false">IF(BC24=1,AZ24,"")</f>
        <v/>
      </c>
      <c r="ED24" s="23" t="str">
        <f aca="false">IF(TRIM($A24)="","",IFERROR(INDEX($A$2:$A$201,MATCH(AZ24,$EC$2:$EC$201,0))&amp;"",$A24&amp;""))</f>
        <v/>
      </c>
      <c r="EE24" s="23" t="n">
        <f aca="false">IF(BB24=1,IF(COUNTIFS($A$2:$A$201,$A24,$BB$2:$BB$201,1,$H$2:$H$201,"&lt;"&amp;H24)+COUNTIFS($A$2:$A$201,$A24,$BB$2:$BB$201,1,$H$2:$H$201,H24,$BA$2:$BA$201,"&lt;"&amp;BA24)=0,1,0),0)</f>
        <v>0</v>
      </c>
      <c r="EF24" s="23" t="n">
        <f aca="false">IF(BC24=1,IF(COUNTIFS($AZ$2:$AZ$201,AZ24,$EE$2:$EE$201,1)&gt;1,1,0),0)</f>
        <v>0</v>
      </c>
      <c r="EG24" s="23" t="n">
        <f aca="false">IF(AND(CQ24=1),IF(COUNTIFS($AZ$2:$AZ$201,AZ24,$CQ$2:$CQ$201,1,$H$2:$H$201,"&gt;"&amp;H24)+COUNTIFS($AZ$2:$AZ$201,AZ24,$CQ$2:$CQ$201,1,$H$2:$H$201,H24,$BA$2:$BA$201,"&gt;"&amp;BA24)=0,1,0),0)</f>
        <v>0</v>
      </c>
      <c r="EH24" s="23" t="str">
        <f aca="false">IF(BB24=1,IF(COUNTIFS($AZ$2:$AZ$201,AZ24,$EG$2:$EG$201,1)=0,"",SUMIFS($O$2:$O$201,$AZ$2:$AZ$201,AZ24,$EG$2:$EG$201,1)),"")</f>
        <v/>
      </c>
      <c r="EI24" s="23" t="n">
        <f aca="false">IF(AND(ISNUMBER(EH24),OR(N(EH24)&lt;Config!$B$31,N(EH24)&gt;Config!$B$33)),1,0)</f>
        <v>0</v>
      </c>
      <c r="EJ24" s="23" t="n">
        <f aca="false">IF(AND(ISNUMBER(EH24),N(EH24)&gt;=Config!$B$31,N(EH24)&lt;Config!$B$32),1,0)</f>
        <v>0</v>
      </c>
      <c r="EK24" s="23" t="n">
        <f aca="false">IF(AND(BF24=1,INT(N(H24))&lt;=Config!$B$6,DH24=1,EI24=1),1,0)</f>
        <v>0</v>
      </c>
      <c r="EL24" s="23" t="n">
        <f aca="false">IF(AND(BF24=1,INT(N(H24))&lt;=Config!$B$7,DI24=1,EI24=1),1,0)</f>
        <v>0</v>
      </c>
      <c r="EM24" s="23" t="n">
        <f aca="false">IF(AND(BF24=1,INT(N(H24))&lt;=Config!$B$8,DJ24=1,EI24=1),1,0)</f>
        <v>0</v>
      </c>
      <c r="EN24" s="23" t="n">
        <f aca="false">IF(AND(BF24=1,INT(N(H24))&lt;=Config!$B$5,DK24=1,EI24=1),1,0)</f>
        <v>0</v>
      </c>
      <c r="EO24" s="23" t="n">
        <f aca="false">IF(AND(DL24=1,EJ24=1),1,0)</f>
        <v>0</v>
      </c>
      <c r="EP24" s="23" t="n">
        <f aca="false">IF(AND(DM24=1,EJ24=1),1,0)</f>
        <v>0</v>
      </c>
      <c r="EQ24" s="23" t="n">
        <f aca="false">IF(AND(DN24=1,EJ24=1),1,0)</f>
        <v>0</v>
      </c>
      <c r="ER24" s="23" t="n">
        <f aca="false">IF(AND(DO24=1,EJ24=1),1,0)</f>
        <v>0</v>
      </c>
    </row>
    <row r="25" customFormat="false" ht="15" hidden="false" customHeight="false" outlineLevel="0" collapsed="false">
      <c r="G25" s="32"/>
      <c r="H25" s="33"/>
      <c r="I25" s="32"/>
      <c r="L25" s="32"/>
      <c r="Q25" s="32"/>
      <c r="U25" s="32"/>
      <c r="W25" s="32"/>
      <c r="AC25" s="32"/>
      <c r="AF25" s="32"/>
      <c r="AI25" s="32"/>
      <c r="AJ25" s="32"/>
      <c r="AN25" s="32"/>
      <c r="AR25" s="32"/>
      <c r="AT25" s="32"/>
      <c r="AU25" s="32"/>
      <c r="AW25" s="32"/>
      <c r="AY25" s="34" t="str">
        <f aca="false">IF(TRIM($A25)="","",IF(AND(LEFT($A25,6)="SAMPLE",Config!$B$19&lt;&gt;"Y"),"",IF(NOT(ISNUMBER(H25)),"call_date is blank or not a date",IF(Sync!$C$5="","Clay paste is empty or has no row_id column: paste the Clay export on Clay_Offices",IF(CW25="","row_id not found in the Clay paste: add the Clay row or fix the row_id",IF(AND(ISNUMBER(CY25),CY25&gt;=1,CY25&lt;=5),"Clay status is "&amp;CX25&amp;": set call_done or later",IF(AND(BD25=1,CZ25&lt;&gt;BZ25),"Clay yes_in_principle should be "&amp;BZ25,IF(AND(BD25=1,DA25&lt;&gt;H25),"Clay call_date should be "&amp;TEXT(H25,"yyyy-mm-dd"),""))))))))</f>
        <v/>
      </c>
      <c r="AZ25" s="23" t="str">
        <f aca="false">IF(TRIM($A25)="","",IF(TRIM(C25)&lt;&gt;"",SUBSTITUTE(SUBSTITUTE(SUBSTITUTE(SUBSTITUTE(SUBSTITUTE(SUBSTITUTE(LOWER(TRIM(C25)),"~",""),"*",""),"?",""),"&lt;",""),"&gt;",""),"=",""),IF(EA25&lt;&gt;"",EA25,IFERROR(INDEX($EA$2:$EA$201,MATCH(DZ25,$EB$2:$EB$201,0)),DZ25))))</f>
        <v/>
      </c>
      <c r="BA25" s="23" t="n">
        <f aca="false">ROW()</f>
        <v>25</v>
      </c>
      <c r="BB25" s="23" t="n">
        <f aca="false">IF(AND(TRIM($A25)&lt;&gt;"",ISNUMBER(H25)),IF(AND(LEFT($A25,6)="SAMPLE",Config!$B$19&lt;&gt;"Y"),0,1),0)</f>
        <v>0</v>
      </c>
      <c r="BC25" s="23" t="n">
        <f aca="false">IF(BB25=1,IF(COUNTIFS($AZ$2:$AZ$201,AZ25,$BB$2:$BB$201,1,$H$2:$H$201,"&lt;"&amp;H25)+COUNTIFS($AZ$2:$AZ$201,AZ25,$BB$2:$BB$201,1,$H$2:$H$201,H25,$BA$2:$BA$201,"&lt;"&amp;BA25)=0,1,0),0)</f>
        <v>0</v>
      </c>
      <c r="BD25" s="23" t="n">
        <f aca="false">IF(BB25=1,IF(COUNTIFS($A$2:$A$201,$A25,$BB$2:$BB$201,1,$H$2:$H$201,"&gt;"&amp;H25)+COUNTIFS($A$2:$A$201,$A25,$BB$2:$BB$201,1,$H$2:$H$201,H25,$BA$2:$BA$201,"&gt;"&amp;BA25)=0,1,0),0)</f>
        <v>0</v>
      </c>
      <c r="BE25" s="23" t="n">
        <f aca="false">IF(AND(BB25=1,AR25="Y",AC25="Y",TRIM(AH25)&lt;&gt;""),1,0)</f>
        <v>0</v>
      </c>
      <c r="BF25" s="23" t="n">
        <f aca="false">IF(BE25=1,IF(COUNTIFS($AZ$2:$AZ$201,AZ25,$BE$2:$BE$201,1,$H$2:$H$201,"&lt;"&amp;H25)+COUNTIFS($AZ$2:$AZ$201,AZ25,$BE$2:$BE$201,1,$H$2:$H$201,H25,$BA$2:$BA$201,"&lt;"&amp;BA25)=0,1,0),0)</f>
        <v>0</v>
      </c>
      <c r="BG25" s="23" t="n">
        <f aca="false">IF(AND(BB25=1,AR25="Y",BE25=0),1,0)</f>
        <v>0</v>
      </c>
      <c r="BH25" s="23" t="n">
        <f aca="false">IF(AND(BB25=1,ISNUMBER(Y25)),1,0)</f>
        <v>0</v>
      </c>
      <c r="BI25" s="23" t="n">
        <f aca="false">IF(BH25=1,IF(COUNTIFS($AZ$2:$AZ$201,AZ25,$BH$2:$BH$201,1,$H$2:$H$201,"&lt;"&amp;H25)+COUNTIFS($AZ$2:$AZ$201,AZ25,$BH$2:$BH$201,1,$H$2:$H$201,H25,$BA$2:$BA$201,"&lt;"&amp;BA25)=0,1,0),0)</f>
        <v>0</v>
      </c>
      <c r="BJ25" s="23" t="str">
        <f aca="false">IF(AND(BI25=1,INT(N(H25))&lt;=Config!$B$6),Y25,"")</f>
        <v/>
      </c>
      <c r="BK25" s="23" t="str">
        <f aca="false">IF(AND(BI25=1,INT(N(H25))&lt;=Config!$B$7),Y25,"")</f>
        <v/>
      </c>
      <c r="BL25" s="23" t="str">
        <f aca="false">IF(AND(BI25=1,INT(N(H25))&lt;=Config!$B$8),Y25,"")</f>
        <v/>
      </c>
      <c r="BM25" s="23" t="str">
        <f aca="false">IF(AND(BI25=1,INT(N(H25))&lt;=Config!$B$5),Y25,"")</f>
        <v/>
      </c>
      <c r="BN25" s="23" t="n">
        <f aca="false">IF(CD25=1,IF(COUNTIFS($AZ$2:$AZ$201,AZ25,$CD$2:$CD$201,1,$H$2:$H$201,"&lt;"&amp;H25)+COUNTIFS($AZ$2:$AZ$201,AZ25,$CD$2:$CD$201,1,$H$2:$H$201,H25,$BA$2:$BA$201,"&lt;"&amp;BA25)=0,1,0),0)</f>
        <v>0</v>
      </c>
      <c r="BO25" s="23" t="n">
        <f aca="false">IF(AND(BB25=1,ISNUMBER(M25)),1,0)</f>
        <v>0</v>
      </c>
      <c r="BP25" s="23" t="n">
        <f aca="false">IF(BO25=1,IF(COUNTIFS($AZ$2:$AZ$201,AZ25,$BO$2:$BO$201,1,$H$2:$H$201,"&lt;"&amp;H25)+COUNTIFS($AZ$2:$AZ$201,AZ25,$BO$2:$BO$201,1,$H$2:$H$201,H25,$BA$2:$BA$201,"&lt;"&amp;BA25)=0,1,0),0)</f>
        <v>0</v>
      </c>
      <c r="BQ25" s="23" t="str">
        <f aca="false">IF(AND(BP25=1,INT(N(H25))&lt;=Config!$B$5),M25,"")</f>
        <v/>
      </c>
      <c r="BR25" s="23" t="n">
        <f aca="false">IF(AND(BB25=1,OR(TRIM(X25)&lt;&gt;"",ISNUMBER(Y25))),1,0)</f>
        <v>0</v>
      </c>
      <c r="BS25" s="23" t="n">
        <f aca="false">IF(BR25=1,IF(COUNTIFS($AZ$2:$AZ$201,AZ25,$BR$2:$BR$201,1,$H$2:$H$201,"&lt;"&amp;H25)+COUNTIFS($AZ$2:$AZ$201,AZ25,$BR$2:$BR$201,1,$H$2:$H$201,H25,$BA$2:$BA$201,"&lt;"&amp;BA25)=0,1,0),0)</f>
        <v>0</v>
      </c>
      <c r="BT25" s="23" t="str">
        <f aca="false">IF(BS25=1,AZ25,"")</f>
        <v/>
      </c>
      <c r="BU25" s="23" t="n">
        <f aca="false">IF(AND(BB25=1,W25="Y",TRIM(X25)=""),1,0)</f>
        <v>0</v>
      </c>
      <c r="BV25" s="23" t="str">
        <f aca="false">IF(BB25=1,AN25&amp;"","")</f>
        <v/>
      </c>
      <c r="BW25" s="23" t="str">
        <f aca="false">IF(BB25=1,AO25&amp;"","")</f>
        <v/>
      </c>
      <c r="BX25" s="23" t="str">
        <f aca="false">IF(BB25=1,AP25&amp;"","")</f>
        <v/>
      </c>
      <c r="BY25" s="23" t="str">
        <f aca="false">IF(AND(BB25=1,ISNUMBER(AV25),INT(N(H25))&lt;=Config!$B$5),AV25,"")</f>
        <v/>
      </c>
      <c r="BZ25" s="23" t="str">
        <f aca="false">IF(BB25=1,IF(COUNTIFS($A$2:$A$201,$A25,$DC$2:$DC$201,1,$AR$2:$AR$201,"Y")&gt;0,"Y","N"),"")</f>
        <v/>
      </c>
      <c r="CA25" s="23" t="n">
        <f aca="false">IF(AND(BB25=1,AR25="maybe"),1,0)</f>
        <v>0</v>
      </c>
      <c r="CB25" s="23" t="n">
        <f aca="false">IF(CA25=1,IF(COUNTIFS($AZ$2:$AZ$201,AZ25,$CA$2:$CA$201,1,$H$2:$H$201,"&lt;"&amp;H25)+COUNTIFS($AZ$2:$AZ$201,AZ25,$CA$2:$CA$201,1,$H$2:$H$201,H25,$BA$2:$BA$201,"&lt;"&amp;BA25)=0,1,0),0)</f>
        <v>0</v>
      </c>
      <c r="CC25" s="23" t="n">
        <f aca="false">IF(AND(BB25=1,AR25="Y"),IF(COUNTIFS($AZ$2:$AZ$201,AZ25,$AR$2:$AR$201,"Y",$BB$2:$BB$201,1,$H$2:$H$201,"&lt;"&amp;H25)+COUNTIFS($AZ$2:$AZ$201,AZ25,$AR$2:$AR$201,"Y",$BB$2:$BB$201,1,$H$2:$H$201,H25,$BA$2:$BA$201,"&lt;"&amp;BA25)=0,1,0),0)</f>
        <v>0</v>
      </c>
      <c r="CD25" s="23" t="n">
        <f aca="false">IF(AND(BH25=1,N(Y25)&gt;=Config!$B$15),1,0)</f>
        <v>0</v>
      </c>
      <c r="CE25" s="23" t="n">
        <f aca="false">IF(AND(BB25=1,AT25="Y"),1,0)</f>
        <v>0</v>
      </c>
      <c r="CF25" s="23" t="n">
        <f aca="false">IF(CE25=1,IF(COUNTIFS($AZ$2:$AZ$201,AZ25,$CE$2:$CE$201,1,$H$2:$H$201,"&lt;"&amp;H25)+COUNTIFS($AZ$2:$AZ$201,AZ25,$CE$2:$CE$201,1,$H$2:$H$201,H25,$BA$2:$BA$201,"&lt;"&amp;BA25)=0,1,0),0)</f>
        <v>0</v>
      </c>
      <c r="CG25" s="23" t="n">
        <f aca="false">IF(AND(BB25=1,G25="warm-intro"),1,0)</f>
        <v>0</v>
      </c>
      <c r="CH25" s="23" t="n">
        <f aca="false">IF(CG25=1,IF(COUNTIFS($AZ$2:$AZ$201,AZ25,$CG$2:$CG$201,1,$H$2:$H$201,"&lt;"&amp;H25)+COUNTIFS($AZ$2:$AZ$201,AZ25,$CG$2:$CG$201,1,$H$2:$H$201,H25,$BA$2:$BA$201,"&lt;"&amp;BA25)=0,1,0),0)</f>
        <v>0</v>
      </c>
      <c r="CI25" s="23" t="n">
        <f aca="false">IF(AND(BB25=1,Q25="Y"),1,0)</f>
        <v>0</v>
      </c>
      <c r="CJ25" s="23" t="n">
        <f aca="false">IF(CI25=1,IF(COUNTIFS($AZ$2:$AZ$201,AZ25,$CI$2:$CI$201,1,$H$2:$H$201,"&lt;"&amp;H25)+COUNTIFS($AZ$2:$AZ$201,AZ25,$CI$2:$CI$201,1,$H$2:$H$201,H25,$BA$2:$BA$201,"&lt;"&amp;BA25)=0,1,0),0)</f>
        <v>0</v>
      </c>
      <c r="CK25" s="23" t="n">
        <f aca="false">IF(AND(BB25=1,AF25="Y"),1,0)</f>
        <v>0</v>
      </c>
      <c r="CL25" s="23" t="n">
        <f aca="false">IF(CK25=1,IF(COUNTIFS($AZ$2:$AZ$201,AZ25,$CK$2:$CK$201,1,$H$2:$H$201,"&lt;"&amp;H25)+COUNTIFS($AZ$2:$AZ$201,AZ25,$CK$2:$CK$201,1,$H$2:$H$201,H25,$BA$2:$BA$201,"&lt;"&amp;BA25)=0,1,0),0)</f>
        <v>0</v>
      </c>
      <c r="CM25" s="23" t="n">
        <f aca="false">IF(AND(BB25=1,U25="Y"),1,0)</f>
        <v>0</v>
      </c>
      <c r="CN25" s="23" t="n">
        <f aca="false">IF(CM25=1,IF(COUNTIFS($AZ$2:$AZ$201,AZ25,$CM$2:$CM$201,1,$H$2:$H$201,"&lt;"&amp;H25)+COUNTIFS($AZ$2:$AZ$201,AZ25,$CM$2:$CM$201,1,$H$2:$H$201,H25,$BA$2:$BA$201,"&lt;"&amp;BA25)=0,1,0),0)</f>
        <v>0</v>
      </c>
      <c r="CO25" s="23" t="n">
        <f aca="false">IF(AND(BB25=1,L25="Y"),1,0)</f>
        <v>0</v>
      </c>
      <c r="CP25" s="23" t="n">
        <f aca="false">IF(CO25=1,IF(COUNTIFS($AZ$2:$AZ$201,AZ25,$CO$2:$CO$201,1,$H$2:$H$201,"&lt;"&amp;H25)+COUNTIFS($AZ$2:$AZ$201,AZ25,$CO$2:$CO$201,1,$H$2:$H$201,H25,$BA$2:$BA$201,"&lt;"&amp;BA25)=0,1,0),0)</f>
        <v>0</v>
      </c>
      <c r="CQ25" s="23" t="n">
        <f aca="false">IF(AND(BB25=1,ISNUMBER(O25)),1,0)</f>
        <v>0</v>
      </c>
      <c r="CR25" s="23" t="n">
        <f aca="false">IF(CQ25=1,IF(COUNTIFS($AZ$2:$AZ$201,AZ25,$CQ$2:$CQ$201,1,$H$2:$H$201,"&lt;"&amp;H25)+COUNTIFS($AZ$2:$AZ$201,AZ25,$CQ$2:$CQ$201,1,$H$2:$H$201,H25,$BA$2:$BA$201,"&lt;"&amp;BA25)=0,1,0),0)</f>
        <v>0</v>
      </c>
      <c r="CS25" s="23" t="str">
        <f aca="false">IF(AND(CR25=1,INT(N(H25))&lt;=Config!$B$5),O25,"")</f>
        <v/>
      </c>
      <c r="CT25" s="23" t="str">
        <f aca="false">IF(AND(BB25=1,INT(N(H25))&lt;=Config!$B$5),AG25&amp;"","")</f>
        <v/>
      </c>
      <c r="CU25" s="23" t="n">
        <f aca="false">IF(AND(BB25=1,AU25="Y"),1,0)</f>
        <v>0</v>
      </c>
      <c r="CV25" s="23" t="n">
        <f aca="false">IF(CU25=1,IF(COUNTIFS($AZ$2:$AZ$201,AZ25,$CU$2:$CU$201,1,$H$2:$H$201,"&lt;"&amp;H25)+COUNTIFS($AZ$2:$AZ$201,AZ25,$CU$2:$CU$201,1,$H$2:$H$201,H25,$BA$2:$BA$201,"&lt;"&amp;BA25)=0,1,0),0)</f>
        <v>0</v>
      </c>
      <c r="CW25" s="23" t="str">
        <f aca="false">IF(BB25=1,IFERROR(MATCH($A25,INDEX(Clay_Offices!$A$2:$FZ$601,0,Sync!$C$5),0),""),"")</f>
        <v/>
      </c>
      <c r="CX25" s="23" t="str">
        <f aca="false">IF(CW25="","",IFERROR(INDEX(Clay_Offices!$A$2:$FZ$601,CW25,Sync!$C$7)&amp;"",""))</f>
        <v/>
      </c>
      <c r="CY25" s="23" t="str">
        <f aca="false">IF(CX25="","",IFERROR(INDEX(Lists!$K$2:$K$15,MATCH(CX25,Lists!$J$2:$J$15,0)),""))</f>
        <v/>
      </c>
      <c r="CZ25" s="23" t="str">
        <f aca="false">IF(CW25="","",IFERROR(INDEX(Clay_Offices!$A$2:$FZ$601,CW25,Sync!$C$17)&amp;"",""))</f>
        <v/>
      </c>
      <c r="DA25" s="35" t="str">
        <f aca="false">IF(CW25="","",IFERROR(N(INDEX(Clay_Offices!$A$2:$FZ$601,CW25,Sync!$C$16)),0))</f>
        <v/>
      </c>
      <c r="DB25" s="23" t="n">
        <f aca="false">IF(AND(BB25=1,OR(AR25="Y",AR25="N",AR25="maybe")),1,0)</f>
        <v>0</v>
      </c>
      <c r="DC25" s="23" t="n">
        <f aca="false">IF(AND(DB25=1),IF(COUNTIFS($A$2:$A$201,$A25,$DB$2:$DB$201,1,$H$2:$H$201,"&gt;"&amp;H25)+COUNTIFS($A$2:$A$201,$A25,$DB$2:$DB$201,1,$H$2:$H$201,H25,$BA$2:$BA$201,"&gt;"&amp;BA25)=0,1,0),0)</f>
        <v>0</v>
      </c>
      <c r="DD25" s="23" t="n">
        <f aca="false">IF(AND(DB25=1,INT(N(H25))&lt;=Config!$B$6),IF(COUNTIFS($AZ$2:$AZ$201,AZ25,$DB$2:$DB$201,1,$H$2:$H$201,"&gt;"&amp;H25,$H$2:$H$201,"&lt;"&amp;(Config!$B$6+1))+COUNTIFS($AZ$2:$AZ$201,AZ25,$DB$2:$DB$201,1,$H$2:$H$201,H25,$BA$2:$BA$201,"&gt;"&amp;BA25)=0,1,0),0)</f>
        <v>0</v>
      </c>
      <c r="DE25" s="23" t="n">
        <f aca="false">IF(AND(DB25=1,INT(N(H25))&lt;=Config!$B$7),IF(COUNTIFS($AZ$2:$AZ$201,AZ25,$DB$2:$DB$201,1,$H$2:$H$201,"&gt;"&amp;H25,$H$2:$H$201,"&lt;"&amp;(Config!$B$7+1))+COUNTIFS($AZ$2:$AZ$201,AZ25,$DB$2:$DB$201,1,$H$2:$H$201,H25,$BA$2:$BA$201,"&gt;"&amp;BA25)=0,1,0),0)</f>
        <v>0</v>
      </c>
      <c r="DF25" s="23" t="n">
        <f aca="false">IF(AND(DB25=1,INT(N(H25))&lt;=Config!$B$8),IF(COUNTIFS($AZ$2:$AZ$201,AZ25,$DB$2:$DB$201,1,$H$2:$H$201,"&gt;"&amp;H25,$H$2:$H$201,"&lt;"&amp;(Config!$B$8+1))+COUNTIFS($AZ$2:$AZ$201,AZ25,$DB$2:$DB$201,1,$H$2:$H$201,H25,$BA$2:$BA$201,"&gt;"&amp;BA25)=0,1,0),0)</f>
        <v>0</v>
      </c>
      <c r="DG25" s="23" t="n">
        <f aca="false">IF(AND(DB25=1,INT(N(H25))&lt;=Config!$B$5),IF(COUNTIFS($AZ$2:$AZ$201,AZ25,$DB$2:$DB$201,1,$H$2:$H$201,"&gt;"&amp;H25,$H$2:$H$201,"&lt;"&amp;(Config!$B$5+1))+COUNTIFS($AZ$2:$AZ$201,AZ25,$DB$2:$DB$201,1,$H$2:$H$201,H25,$BA$2:$BA$201,"&gt;"&amp;BA25)=0,1,0),0)</f>
        <v>0</v>
      </c>
      <c r="DH25" s="23" t="n">
        <f aca="false">IF(BB25=1,IF(COUNTIFS($AZ$2:$AZ$201,AZ25,$DD$2:$DD$201,1,$AR$2:$AR$201,"Y")&gt;0,1,0),0)</f>
        <v>0</v>
      </c>
      <c r="DI25" s="23" t="n">
        <f aca="false">IF(BB25=1,IF(COUNTIFS($AZ$2:$AZ$201,AZ25,$DE$2:$DE$201,1,$AR$2:$AR$201,"Y")&gt;0,1,0),0)</f>
        <v>0</v>
      </c>
      <c r="DJ25" s="23" t="n">
        <f aca="false">IF(BB25=1,IF(COUNTIFS($AZ$2:$AZ$201,AZ25,$DF$2:$DF$201,1,$AR$2:$AR$201,"Y")&gt;0,1,0),0)</f>
        <v>0</v>
      </c>
      <c r="DK25" s="23" t="n">
        <f aca="false">IF(BB25=1,IF(COUNTIFS($AZ$2:$AZ$201,AZ25,$DG$2:$DG$201,1,$AR$2:$AR$201,"Y")&gt;0,1,0),0)</f>
        <v>0</v>
      </c>
      <c r="DL25" s="23" t="n">
        <f aca="false">IF(AND(BF25=1,INT(N(H25))&lt;=Config!$B$6,DH25=1,EI25=0),1,0)</f>
        <v>0</v>
      </c>
      <c r="DM25" s="23" t="n">
        <f aca="false">IF(AND(BF25=1,INT(N(H25))&lt;=Config!$B$7,DI25=1,EI25=0),1,0)</f>
        <v>0</v>
      </c>
      <c r="DN25" s="23" t="n">
        <f aca="false">IF(AND(BF25=1,INT(N(H25))&lt;=Config!$B$8,DJ25=1,EI25=0),1,0)</f>
        <v>0</v>
      </c>
      <c r="DO25" s="23" t="n">
        <f aca="false">IF(AND(BF25=1,INT(N(H25))&lt;=Config!$B$5,DK25=1,EI25=0),1,0)</f>
        <v>0</v>
      </c>
      <c r="DP25" s="23" t="n">
        <f aca="false">IF(AND(CC25=1,INT(N(H25))&lt;=Config!$B$6,DH25=1,EI25=0),1,0)</f>
        <v>0</v>
      </c>
      <c r="DQ25" s="23" t="n">
        <f aca="false">IF(AND(CC25=1,INT(N(H25))&lt;=Config!$B$7,DI25=1,EI25=0),1,0)</f>
        <v>0</v>
      </c>
      <c r="DR25" s="23" t="n">
        <f aca="false">IF(AND(CC25=1,INT(N(H25))&lt;=Config!$B$8,DJ25=1,EI25=0),1,0)</f>
        <v>0</v>
      </c>
      <c r="DS25" s="23" t="n">
        <f aca="false">IF(AND(CC25=1,INT(N(H25))&lt;=Config!$B$5,DK25=1,EI25=0),1,0)</f>
        <v>0</v>
      </c>
      <c r="DT25" s="23" t="n">
        <f aca="false">IF(AND(CC25=1,INT(N(H25))&lt;=Config!$B$6,DH25=0),1,0)</f>
        <v>0</v>
      </c>
      <c r="DU25" s="23" t="n">
        <f aca="false">IF(AND(CC25=1,INT(N(H25))&lt;=Config!$B$7,DI25=0),1,0)</f>
        <v>0</v>
      </c>
      <c r="DV25" s="23" t="n">
        <f aca="false">IF(AND(CC25=1,INT(N(H25))&lt;=Config!$B$8,DJ25=0),1,0)</f>
        <v>0</v>
      </c>
      <c r="DW25" s="23" t="n">
        <f aca="false">IF(AND(CC25=1,INT(N(H25))&lt;=Config!$B$5,DK25=0),1,0)</f>
        <v>0</v>
      </c>
      <c r="DX25" s="23" t="n">
        <f aca="false">IF(TRIM($A25)="",0,ISTEXT(M25)+ISTEXT(O25)+ISTEXT(Y25)+ISTEXT(Z25)+ISTEXT(AA25)+ISTEXT(AV25))</f>
        <v>0</v>
      </c>
      <c r="DY25" s="23" t="n">
        <f aca="false">IF(BB25=1,IF(H25&lt;&gt;INT(H25),1,0),0)</f>
        <v>0</v>
      </c>
      <c r="DZ25" s="23" t="str">
        <f aca="false">IF(TRIM($A25)="","",IF(TRIM(B25)="",SUBSTITUTE(SUBSTITUTE(SUBSTITUTE(SUBSTITUTE(SUBSTITUTE(SUBSTITUTE(LOWER(TRIM($A25)),"~",""),"*",""),"?",""),"&lt;",""),"&gt;",""),"=",""),SUBSTITUTE(SUBSTITUTE(SUBSTITUTE(SUBSTITUTE(SUBSTITUTE(SUBSTITUTE(LOWER(TRIM(B25)),"~",""),"*",""),"?",""),"&lt;",""),"&gt;",""),"=","")))</f>
        <v/>
      </c>
      <c r="EA25" s="23" t="str">
        <f aca="false">IF(CW25="","",IFERROR(IF(LEFT(LOWER(TRIM(INDEX(Clay_Offices!$A$2:$FZ$601,CW25,Sync!$C$19)&amp;"")),4)="grp-",SUBSTITUTE(SUBSTITUTE(SUBSTITUTE(SUBSTITUTE(SUBSTITUTE(SUBSTITUTE(LOWER(TRIM(INDEX(Clay_Offices!$A$2:$FZ$601,CW25,Sync!$C$19)&amp;"")),"~",""),"*",""),"?",""),"&lt;",""),"&gt;",""),"=",""),""),""))</f>
        <v/>
      </c>
      <c r="EB25" s="23" t="str">
        <f aca="false">IF(EA25&lt;&gt;"",DZ25,"")</f>
        <v/>
      </c>
      <c r="EC25" s="23" t="str">
        <f aca="false">IF(BC25=1,AZ25,"")</f>
        <v/>
      </c>
      <c r="ED25" s="23" t="str">
        <f aca="false">IF(TRIM($A25)="","",IFERROR(INDEX($A$2:$A$201,MATCH(AZ25,$EC$2:$EC$201,0))&amp;"",$A25&amp;""))</f>
        <v/>
      </c>
      <c r="EE25" s="23" t="n">
        <f aca="false">IF(BB25=1,IF(COUNTIFS($A$2:$A$201,$A25,$BB$2:$BB$201,1,$H$2:$H$201,"&lt;"&amp;H25)+COUNTIFS($A$2:$A$201,$A25,$BB$2:$BB$201,1,$H$2:$H$201,H25,$BA$2:$BA$201,"&lt;"&amp;BA25)=0,1,0),0)</f>
        <v>0</v>
      </c>
      <c r="EF25" s="23" t="n">
        <f aca="false">IF(BC25=1,IF(COUNTIFS($AZ$2:$AZ$201,AZ25,$EE$2:$EE$201,1)&gt;1,1,0),0)</f>
        <v>0</v>
      </c>
      <c r="EG25" s="23" t="n">
        <f aca="false">IF(AND(CQ25=1),IF(COUNTIFS($AZ$2:$AZ$201,AZ25,$CQ$2:$CQ$201,1,$H$2:$H$201,"&gt;"&amp;H25)+COUNTIFS($AZ$2:$AZ$201,AZ25,$CQ$2:$CQ$201,1,$H$2:$H$201,H25,$BA$2:$BA$201,"&gt;"&amp;BA25)=0,1,0),0)</f>
        <v>0</v>
      </c>
      <c r="EH25" s="23" t="str">
        <f aca="false">IF(BB25=1,IF(COUNTIFS($AZ$2:$AZ$201,AZ25,$EG$2:$EG$201,1)=0,"",SUMIFS($O$2:$O$201,$AZ$2:$AZ$201,AZ25,$EG$2:$EG$201,1)),"")</f>
        <v/>
      </c>
      <c r="EI25" s="23" t="n">
        <f aca="false">IF(AND(ISNUMBER(EH25),OR(N(EH25)&lt;Config!$B$31,N(EH25)&gt;Config!$B$33)),1,0)</f>
        <v>0</v>
      </c>
      <c r="EJ25" s="23" t="n">
        <f aca="false">IF(AND(ISNUMBER(EH25),N(EH25)&gt;=Config!$B$31,N(EH25)&lt;Config!$B$32),1,0)</f>
        <v>0</v>
      </c>
      <c r="EK25" s="23" t="n">
        <f aca="false">IF(AND(BF25=1,INT(N(H25))&lt;=Config!$B$6,DH25=1,EI25=1),1,0)</f>
        <v>0</v>
      </c>
      <c r="EL25" s="23" t="n">
        <f aca="false">IF(AND(BF25=1,INT(N(H25))&lt;=Config!$B$7,DI25=1,EI25=1),1,0)</f>
        <v>0</v>
      </c>
      <c r="EM25" s="23" t="n">
        <f aca="false">IF(AND(BF25=1,INT(N(H25))&lt;=Config!$B$8,DJ25=1,EI25=1),1,0)</f>
        <v>0</v>
      </c>
      <c r="EN25" s="23" t="n">
        <f aca="false">IF(AND(BF25=1,INT(N(H25))&lt;=Config!$B$5,DK25=1,EI25=1),1,0)</f>
        <v>0</v>
      </c>
      <c r="EO25" s="23" t="n">
        <f aca="false">IF(AND(DL25=1,EJ25=1),1,0)</f>
        <v>0</v>
      </c>
      <c r="EP25" s="23" t="n">
        <f aca="false">IF(AND(DM25=1,EJ25=1),1,0)</f>
        <v>0</v>
      </c>
      <c r="EQ25" s="23" t="n">
        <f aca="false">IF(AND(DN25=1,EJ25=1),1,0)</f>
        <v>0</v>
      </c>
      <c r="ER25" s="23" t="n">
        <f aca="false">IF(AND(DO25=1,EJ25=1),1,0)</f>
        <v>0</v>
      </c>
    </row>
    <row r="26" customFormat="false" ht="15" hidden="false" customHeight="false" outlineLevel="0" collapsed="false">
      <c r="G26" s="32"/>
      <c r="H26" s="33"/>
      <c r="I26" s="32"/>
      <c r="L26" s="32"/>
      <c r="Q26" s="32"/>
      <c r="U26" s="32"/>
      <c r="W26" s="32"/>
      <c r="AC26" s="32"/>
      <c r="AF26" s="32"/>
      <c r="AI26" s="32"/>
      <c r="AJ26" s="32"/>
      <c r="AN26" s="32"/>
      <c r="AR26" s="32"/>
      <c r="AT26" s="32"/>
      <c r="AU26" s="32"/>
      <c r="AW26" s="32"/>
      <c r="AY26" s="34" t="str">
        <f aca="false">IF(TRIM($A26)="","",IF(AND(LEFT($A26,6)="SAMPLE",Config!$B$19&lt;&gt;"Y"),"",IF(NOT(ISNUMBER(H26)),"call_date is blank or not a date",IF(Sync!$C$5="","Clay paste is empty or has no row_id column: paste the Clay export on Clay_Offices",IF(CW26="","row_id not found in the Clay paste: add the Clay row or fix the row_id",IF(AND(ISNUMBER(CY26),CY26&gt;=1,CY26&lt;=5),"Clay status is "&amp;CX26&amp;": set call_done or later",IF(AND(BD26=1,CZ26&lt;&gt;BZ26),"Clay yes_in_principle should be "&amp;BZ26,IF(AND(BD26=1,DA26&lt;&gt;H26),"Clay call_date should be "&amp;TEXT(H26,"yyyy-mm-dd"),""))))))))</f>
        <v/>
      </c>
      <c r="AZ26" s="23" t="str">
        <f aca="false">IF(TRIM($A26)="","",IF(TRIM(C26)&lt;&gt;"",SUBSTITUTE(SUBSTITUTE(SUBSTITUTE(SUBSTITUTE(SUBSTITUTE(SUBSTITUTE(LOWER(TRIM(C26)),"~",""),"*",""),"?",""),"&lt;",""),"&gt;",""),"=",""),IF(EA26&lt;&gt;"",EA26,IFERROR(INDEX($EA$2:$EA$201,MATCH(DZ26,$EB$2:$EB$201,0)),DZ26))))</f>
        <v/>
      </c>
      <c r="BA26" s="23" t="n">
        <f aca="false">ROW()</f>
        <v>26</v>
      </c>
      <c r="BB26" s="23" t="n">
        <f aca="false">IF(AND(TRIM($A26)&lt;&gt;"",ISNUMBER(H26)),IF(AND(LEFT($A26,6)="SAMPLE",Config!$B$19&lt;&gt;"Y"),0,1),0)</f>
        <v>0</v>
      </c>
      <c r="BC26" s="23" t="n">
        <f aca="false">IF(BB26=1,IF(COUNTIFS($AZ$2:$AZ$201,AZ26,$BB$2:$BB$201,1,$H$2:$H$201,"&lt;"&amp;H26)+COUNTIFS($AZ$2:$AZ$201,AZ26,$BB$2:$BB$201,1,$H$2:$H$201,H26,$BA$2:$BA$201,"&lt;"&amp;BA26)=0,1,0),0)</f>
        <v>0</v>
      </c>
      <c r="BD26" s="23" t="n">
        <f aca="false">IF(BB26=1,IF(COUNTIFS($A$2:$A$201,$A26,$BB$2:$BB$201,1,$H$2:$H$201,"&gt;"&amp;H26)+COUNTIFS($A$2:$A$201,$A26,$BB$2:$BB$201,1,$H$2:$H$201,H26,$BA$2:$BA$201,"&gt;"&amp;BA26)=0,1,0),0)</f>
        <v>0</v>
      </c>
      <c r="BE26" s="23" t="n">
        <f aca="false">IF(AND(BB26=1,AR26="Y",AC26="Y",TRIM(AH26)&lt;&gt;""),1,0)</f>
        <v>0</v>
      </c>
      <c r="BF26" s="23" t="n">
        <f aca="false">IF(BE26=1,IF(COUNTIFS($AZ$2:$AZ$201,AZ26,$BE$2:$BE$201,1,$H$2:$H$201,"&lt;"&amp;H26)+COUNTIFS($AZ$2:$AZ$201,AZ26,$BE$2:$BE$201,1,$H$2:$H$201,H26,$BA$2:$BA$201,"&lt;"&amp;BA26)=0,1,0),0)</f>
        <v>0</v>
      </c>
      <c r="BG26" s="23" t="n">
        <f aca="false">IF(AND(BB26=1,AR26="Y",BE26=0),1,0)</f>
        <v>0</v>
      </c>
      <c r="BH26" s="23" t="n">
        <f aca="false">IF(AND(BB26=1,ISNUMBER(Y26)),1,0)</f>
        <v>0</v>
      </c>
      <c r="BI26" s="23" t="n">
        <f aca="false">IF(BH26=1,IF(COUNTIFS($AZ$2:$AZ$201,AZ26,$BH$2:$BH$201,1,$H$2:$H$201,"&lt;"&amp;H26)+COUNTIFS($AZ$2:$AZ$201,AZ26,$BH$2:$BH$201,1,$H$2:$H$201,H26,$BA$2:$BA$201,"&lt;"&amp;BA26)=0,1,0),0)</f>
        <v>0</v>
      </c>
      <c r="BJ26" s="23" t="str">
        <f aca="false">IF(AND(BI26=1,INT(N(H26))&lt;=Config!$B$6),Y26,"")</f>
        <v/>
      </c>
      <c r="BK26" s="23" t="str">
        <f aca="false">IF(AND(BI26=1,INT(N(H26))&lt;=Config!$B$7),Y26,"")</f>
        <v/>
      </c>
      <c r="BL26" s="23" t="str">
        <f aca="false">IF(AND(BI26=1,INT(N(H26))&lt;=Config!$B$8),Y26,"")</f>
        <v/>
      </c>
      <c r="BM26" s="23" t="str">
        <f aca="false">IF(AND(BI26=1,INT(N(H26))&lt;=Config!$B$5),Y26,"")</f>
        <v/>
      </c>
      <c r="BN26" s="23" t="n">
        <f aca="false">IF(CD26=1,IF(COUNTIFS($AZ$2:$AZ$201,AZ26,$CD$2:$CD$201,1,$H$2:$H$201,"&lt;"&amp;H26)+COUNTIFS($AZ$2:$AZ$201,AZ26,$CD$2:$CD$201,1,$H$2:$H$201,H26,$BA$2:$BA$201,"&lt;"&amp;BA26)=0,1,0),0)</f>
        <v>0</v>
      </c>
      <c r="BO26" s="23" t="n">
        <f aca="false">IF(AND(BB26=1,ISNUMBER(M26)),1,0)</f>
        <v>0</v>
      </c>
      <c r="BP26" s="23" t="n">
        <f aca="false">IF(BO26=1,IF(COUNTIFS($AZ$2:$AZ$201,AZ26,$BO$2:$BO$201,1,$H$2:$H$201,"&lt;"&amp;H26)+COUNTIFS($AZ$2:$AZ$201,AZ26,$BO$2:$BO$201,1,$H$2:$H$201,H26,$BA$2:$BA$201,"&lt;"&amp;BA26)=0,1,0),0)</f>
        <v>0</v>
      </c>
      <c r="BQ26" s="23" t="str">
        <f aca="false">IF(AND(BP26=1,INT(N(H26))&lt;=Config!$B$5),M26,"")</f>
        <v/>
      </c>
      <c r="BR26" s="23" t="n">
        <f aca="false">IF(AND(BB26=1,OR(TRIM(X26)&lt;&gt;"",ISNUMBER(Y26))),1,0)</f>
        <v>0</v>
      </c>
      <c r="BS26" s="23" t="n">
        <f aca="false">IF(BR26=1,IF(COUNTIFS($AZ$2:$AZ$201,AZ26,$BR$2:$BR$201,1,$H$2:$H$201,"&lt;"&amp;H26)+COUNTIFS($AZ$2:$AZ$201,AZ26,$BR$2:$BR$201,1,$H$2:$H$201,H26,$BA$2:$BA$201,"&lt;"&amp;BA26)=0,1,0),0)</f>
        <v>0</v>
      </c>
      <c r="BT26" s="23" t="str">
        <f aca="false">IF(BS26=1,AZ26,"")</f>
        <v/>
      </c>
      <c r="BU26" s="23" t="n">
        <f aca="false">IF(AND(BB26=1,W26="Y",TRIM(X26)=""),1,0)</f>
        <v>0</v>
      </c>
      <c r="BV26" s="23" t="str">
        <f aca="false">IF(BB26=1,AN26&amp;"","")</f>
        <v/>
      </c>
      <c r="BW26" s="23" t="str">
        <f aca="false">IF(BB26=1,AO26&amp;"","")</f>
        <v/>
      </c>
      <c r="BX26" s="23" t="str">
        <f aca="false">IF(BB26=1,AP26&amp;"","")</f>
        <v/>
      </c>
      <c r="BY26" s="23" t="str">
        <f aca="false">IF(AND(BB26=1,ISNUMBER(AV26),INT(N(H26))&lt;=Config!$B$5),AV26,"")</f>
        <v/>
      </c>
      <c r="BZ26" s="23" t="str">
        <f aca="false">IF(BB26=1,IF(COUNTIFS($A$2:$A$201,$A26,$DC$2:$DC$201,1,$AR$2:$AR$201,"Y")&gt;0,"Y","N"),"")</f>
        <v/>
      </c>
      <c r="CA26" s="23" t="n">
        <f aca="false">IF(AND(BB26=1,AR26="maybe"),1,0)</f>
        <v>0</v>
      </c>
      <c r="CB26" s="23" t="n">
        <f aca="false">IF(CA26=1,IF(COUNTIFS($AZ$2:$AZ$201,AZ26,$CA$2:$CA$201,1,$H$2:$H$201,"&lt;"&amp;H26)+COUNTIFS($AZ$2:$AZ$201,AZ26,$CA$2:$CA$201,1,$H$2:$H$201,H26,$BA$2:$BA$201,"&lt;"&amp;BA26)=0,1,0),0)</f>
        <v>0</v>
      </c>
      <c r="CC26" s="23" t="n">
        <f aca="false">IF(AND(BB26=1,AR26="Y"),IF(COUNTIFS($AZ$2:$AZ$201,AZ26,$AR$2:$AR$201,"Y",$BB$2:$BB$201,1,$H$2:$H$201,"&lt;"&amp;H26)+COUNTIFS($AZ$2:$AZ$201,AZ26,$AR$2:$AR$201,"Y",$BB$2:$BB$201,1,$H$2:$H$201,H26,$BA$2:$BA$201,"&lt;"&amp;BA26)=0,1,0),0)</f>
        <v>0</v>
      </c>
      <c r="CD26" s="23" t="n">
        <f aca="false">IF(AND(BH26=1,N(Y26)&gt;=Config!$B$15),1,0)</f>
        <v>0</v>
      </c>
      <c r="CE26" s="23" t="n">
        <f aca="false">IF(AND(BB26=1,AT26="Y"),1,0)</f>
        <v>0</v>
      </c>
      <c r="CF26" s="23" t="n">
        <f aca="false">IF(CE26=1,IF(COUNTIFS($AZ$2:$AZ$201,AZ26,$CE$2:$CE$201,1,$H$2:$H$201,"&lt;"&amp;H26)+COUNTIFS($AZ$2:$AZ$201,AZ26,$CE$2:$CE$201,1,$H$2:$H$201,H26,$BA$2:$BA$201,"&lt;"&amp;BA26)=0,1,0),0)</f>
        <v>0</v>
      </c>
      <c r="CG26" s="23" t="n">
        <f aca="false">IF(AND(BB26=1,G26="warm-intro"),1,0)</f>
        <v>0</v>
      </c>
      <c r="CH26" s="23" t="n">
        <f aca="false">IF(CG26=1,IF(COUNTIFS($AZ$2:$AZ$201,AZ26,$CG$2:$CG$201,1,$H$2:$H$201,"&lt;"&amp;H26)+COUNTIFS($AZ$2:$AZ$201,AZ26,$CG$2:$CG$201,1,$H$2:$H$201,H26,$BA$2:$BA$201,"&lt;"&amp;BA26)=0,1,0),0)</f>
        <v>0</v>
      </c>
      <c r="CI26" s="23" t="n">
        <f aca="false">IF(AND(BB26=1,Q26="Y"),1,0)</f>
        <v>0</v>
      </c>
      <c r="CJ26" s="23" t="n">
        <f aca="false">IF(CI26=1,IF(COUNTIFS($AZ$2:$AZ$201,AZ26,$CI$2:$CI$201,1,$H$2:$H$201,"&lt;"&amp;H26)+COUNTIFS($AZ$2:$AZ$201,AZ26,$CI$2:$CI$201,1,$H$2:$H$201,H26,$BA$2:$BA$201,"&lt;"&amp;BA26)=0,1,0),0)</f>
        <v>0</v>
      </c>
      <c r="CK26" s="23" t="n">
        <f aca="false">IF(AND(BB26=1,AF26="Y"),1,0)</f>
        <v>0</v>
      </c>
      <c r="CL26" s="23" t="n">
        <f aca="false">IF(CK26=1,IF(COUNTIFS($AZ$2:$AZ$201,AZ26,$CK$2:$CK$201,1,$H$2:$H$201,"&lt;"&amp;H26)+COUNTIFS($AZ$2:$AZ$201,AZ26,$CK$2:$CK$201,1,$H$2:$H$201,H26,$BA$2:$BA$201,"&lt;"&amp;BA26)=0,1,0),0)</f>
        <v>0</v>
      </c>
      <c r="CM26" s="23" t="n">
        <f aca="false">IF(AND(BB26=1,U26="Y"),1,0)</f>
        <v>0</v>
      </c>
      <c r="CN26" s="23" t="n">
        <f aca="false">IF(CM26=1,IF(COUNTIFS($AZ$2:$AZ$201,AZ26,$CM$2:$CM$201,1,$H$2:$H$201,"&lt;"&amp;H26)+COUNTIFS($AZ$2:$AZ$201,AZ26,$CM$2:$CM$201,1,$H$2:$H$201,H26,$BA$2:$BA$201,"&lt;"&amp;BA26)=0,1,0),0)</f>
        <v>0</v>
      </c>
      <c r="CO26" s="23" t="n">
        <f aca="false">IF(AND(BB26=1,L26="Y"),1,0)</f>
        <v>0</v>
      </c>
      <c r="CP26" s="23" t="n">
        <f aca="false">IF(CO26=1,IF(COUNTIFS($AZ$2:$AZ$201,AZ26,$CO$2:$CO$201,1,$H$2:$H$201,"&lt;"&amp;H26)+COUNTIFS($AZ$2:$AZ$201,AZ26,$CO$2:$CO$201,1,$H$2:$H$201,H26,$BA$2:$BA$201,"&lt;"&amp;BA26)=0,1,0),0)</f>
        <v>0</v>
      </c>
      <c r="CQ26" s="23" t="n">
        <f aca="false">IF(AND(BB26=1,ISNUMBER(O26)),1,0)</f>
        <v>0</v>
      </c>
      <c r="CR26" s="23" t="n">
        <f aca="false">IF(CQ26=1,IF(COUNTIFS($AZ$2:$AZ$201,AZ26,$CQ$2:$CQ$201,1,$H$2:$H$201,"&lt;"&amp;H26)+COUNTIFS($AZ$2:$AZ$201,AZ26,$CQ$2:$CQ$201,1,$H$2:$H$201,H26,$BA$2:$BA$201,"&lt;"&amp;BA26)=0,1,0),0)</f>
        <v>0</v>
      </c>
      <c r="CS26" s="23" t="str">
        <f aca="false">IF(AND(CR26=1,INT(N(H26))&lt;=Config!$B$5),O26,"")</f>
        <v/>
      </c>
      <c r="CT26" s="23" t="str">
        <f aca="false">IF(AND(BB26=1,INT(N(H26))&lt;=Config!$B$5),AG26&amp;"","")</f>
        <v/>
      </c>
      <c r="CU26" s="23" t="n">
        <f aca="false">IF(AND(BB26=1,AU26="Y"),1,0)</f>
        <v>0</v>
      </c>
      <c r="CV26" s="23" t="n">
        <f aca="false">IF(CU26=1,IF(COUNTIFS($AZ$2:$AZ$201,AZ26,$CU$2:$CU$201,1,$H$2:$H$201,"&lt;"&amp;H26)+COUNTIFS($AZ$2:$AZ$201,AZ26,$CU$2:$CU$201,1,$H$2:$H$201,H26,$BA$2:$BA$201,"&lt;"&amp;BA26)=0,1,0),0)</f>
        <v>0</v>
      </c>
      <c r="CW26" s="23" t="str">
        <f aca="false">IF(BB26=1,IFERROR(MATCH($A26,INDEX(Clay_Offices!$A$2:$FZ$601,0,Sync!$C$5),0),""),"")</f>
        <v/>
      </c>
      <c r="CX26" s="23" t="str">
        <f aca="false">IF(CW26="","",IFERROR(INDEX(Clay_Offices!$A$2:$FZ$601,CW26,Sync!$C$7)&amp;"",""))</f>
        <v/>
      </c>
      <c r="CY26" s="23" t="str">
        <f aca="false">IF(CX26="","",IFERROR(INDEX(Lists!$K$2:$K$15,MATCH(CX26,Lists!$J$2:$J$15,0)),""))</f>
        <v/>
      </c>
      <c r="CZ26" s="23" t="str">
        <f aca="false">IF(CW26="","",IFERROR(INDEX(Clay_Offices!$A$2:$FZ$601,CW26,Sync!$C$17)&amp;"",""))</f>
        <v/>
      </c>
      <c r="DA26" s="35" t="str">
        <f aca="false">IF(CW26="","",IFERROR(N(INDEX(Clay_Offices!$A$2:$FZ$601,CW26,Sync!$C$16)),0))</f>
        <v/>
      </c>
      <c r="DB26" s="23" t="n">
        <f aca="false">IF(AND(BB26=1,OR(AR26="Y",AR26="N",AR26="maybe")),1,0)</f>
        <v>0</v>
      </c>
      <c r="DC26" s="23" t="n">
        <f aca="false">IF(AND(DB26=1),IF(COUNTIFS($A$2:$A$201,$A26,$DB$2:$DB$201,1,$H$2:$H$201,"&gt;"&amp;H26)+COUNTIFS($A$2:$A$201,$A26,$DB$2:$DB$201,1,$H$2:$H$201,H26,$BA$2:$BA$201,"&gt;"&amp;BA26)=0,1,0),0)</f>
        <v>0</v>
      </c>
      <c r="DD26" s="23" t="n">
        <f aca="false">IF(AND(DB26=1,INT(N(H26))&lt;=Config!$B$6),IF(COUNTIFS($AZ$2:$AZ$201,AZ26,$DB$2:$DB$201,1,$H$2:$H$201,"&gt;"&amp;H26,$H$2:$H$201,"&lt;"&amp;(Config!$B$6+1))+COUNTIFS($AZ$2:$AZ$201,AZ26,$DB$2:$DB$201,1,$H$2:$H$201,H26,$BA$2:$BA$201,"&gt;"&amp;BA26)=0,1,0),0)</f>
        <v>0</v>
      </c>
      <c r="DE26" s="23" t="n">
        <f aca="false">IF(AND(DB26=1,INT(N(H26))&lt;=Config!$B$7),IF(COUNTIFS($AZ$2:$AZ$201,AZ26,$DB$2:$DB$201,1,$H$2:$H$201,"&gt;"&amp;H26,$H$2:$H$201,"&lt;"&amp;(Config!$B$7+1))+COUNTIFS($AZ$2:$AZ$201,AZ26,$DB$2:$DB$201,1,$H$2:$H$201,H26,$BA$2:$BA$201,"&gt;"&amp;BA26)=0,1,0),0)</f>
        <v>0</v>
      </c>
      <c r="DF26" s="23" t="n">
        <f aca="false">IF(AND(DB26=1,INT(N(H26))&lt;=Config!$B$8),IF(COUNTIFS($AZ$2:$AZ$201,AZ26,$DB$2:$DB$201,1,$H$2:$H$201,"&gt;"&amp;H26,$H$2:$H$201,"&lt;"&amp;(Config!$B$8+1))+COUNTIFS($AZ$2:$AZ$201,AZ26,$DB$2:$DB$201,1,$H$2:$H$201,H26,$BA$2:$BA$201,"&gt;"&amp;BA26)=0,1,0),0)</f>
        <v>0</v>
      </c>
      <c r="DG26" s="23" t="n">
        <f aca="false">IF(AND(DB26=1,INT(N(H26))&lt;=Config!$B$5),IF(COUNTIFS($AZ$2:$AZ$201,AZ26,$DB$2:$DB$201,1,$H$2:$H$201,"&gt;"&amp;H26,$H$2:$H$201,"&lt;"&amp;(Config!$B$5+1))+COUNTIFS($AZ$2:$AZ$201,AZ26,$DB$2:$DB$201,1,$H$2:$H$201,H26,$BA$2:$BA$201,"&gt;"&amp;BA26)=0,1,0),0)</f>
        <v>0</v>
      </c>
      <c r="DH26" s="23" t="n">
        <f aca="false">IF(BB26=1,IF(COUNTIFS($AZ$2:$AZ$201,AZ26,$DD$2:$DD$201,1,$AR$2:$AR$201,"Y")&gt;0,1,0),0)</f>
        <v>0</v>
      </c>
      <c r="DI26" s="23" t="n">
        <f aca="false">IF(BB26=1,IF(COUNTIFS($AZ$2:$AZ$201,AZ26,$DE$2:$DE$201,1,$AR$2:$AR$201,"Y")&gt;0,1,0),0)</f>
        <v>0</v>
      </c>
      <c r="DJ26" s="23" t="n">
        <f aca="false">IF(BB26=1,IF(COUNTIFS($AZ$2:$AZ$201,AZ26,$DF$2:$DF$201,1,$AR$2:$AR$201,"Y")&gt;0,1,0),0)</f>
        <v>0</v>
      </c>
      <c r="DK26" s="23" t="n">
        <f aca="false">IF(BB26=1,IF(COUNTIFS($AZ$2:$AZ$201,AZ26,$DG$2:$DG$201,1,$AR$2:$AR$201,"Y")&gt;0,1,0),0)</f>
        <v>0</v>
      </c>
      <c r="DL26" s="23" t="n">
        <f aca="false">IF(AND(BF26=1,INT(N(H26))&lt;=Config!$B$6,DH26=1,EI26=0),1,0)</f>
        <v>0</v>
      </c>
      <c r="DM26" s="23" t="n">
        <f aca="false">IF(AND(BF26=1,INT(N(H26))&lt;=Config!$B$7,DI26=1,EI26=0),1,0)</f>
        <v>0</v>
      </c>
      <c r="DN26" s="23" t="n">
        <f aca="false">IF(AND(BF26=1,INT(N(H26))&lt;=Config!$B$8,DJ26=1,EI26=0),1,0)</f>
        <v>0</v>
      </c>
      <c r="DO26" s="23" t="n">
        <f aca="false">IF(AND(BF26=1,INT(N(H26))&lt;=Config!$B$5,DK26=1,EI26=0),1,0)</f>
        <v>0</v>
      </c>
      <c r="DP26" s="23" t="n">
        <f aca="false">IF(AND(CC26=1,INT(N(H26))&lt;=Config!$B$6,DH26=1,EI26=0),1,0)</f>
        <v>0</v>
      </c>
      <c r="DQ26" s="23" t="n">
        <f aca="false">IF(AND(CC26=1,INT(N(H26))&lt;=Config!$B$7,DI26=1,EI26=0),1,0)</f>
        <v>0</v>
      </c>
      <c r="DR26" s="23" t="n">
        <f aca="false">IF(AND(CC26=1,INT(N(H26))&lt;=Config!$B$8,DJ26=1,EI26=0),1,0)</f>
        <v>0</v>
      </c>
      <c r="DS26" s="23" t="n">
        <f aca="false">IF(AND(CC26=1,INT(N(H26))&lt;=Config!$B$5,DK26=1,EI26=0),1,0)</f>
        <v>0</v>
      </c>
      <c r="DT26" s="23" t="n">
        <f aca="false">IF(AND(CC26=1,INT(N(H26))&lt;=Config!$B$6,DH26=0),1,0)</f>
        <v>0</v>
      </c>
      <c r="DU26" s="23" t="n">
        <f aca="false">IF(AND(CC26=1,INT(N(H26))&lt;=Config!$B$7,DI26=0),1,0)</f>
        <v>0</v>
      </c>
      <c r="DV26" s="23" t="n">
        <f aca="false">IF(AND(CC26=1,INT(N(H26))&lt;=Config!$B$8,DJ26=0),1,0)</f>
        <v>0</v>
      </c>
      <c r="DW26" s="23" t="n">
        <f aca="false">IF(AND(CC26=1,INT(N(H26))&lt;=Config!$B$5,DK26=0),1,0)</f>
        <v>0</v>
      </c>
      <c r="DX26" s="23" t="n">
        <f aca="false">IF(TRIM($A26)="",0,ISTEXT(M26)+ISTEXT(O26)+ISTEXT(Y26)+ISTEXT(Z26)+ISTEXT(AA26)+ISTEXT(AV26))</f>
        <v>0</v>
      </c>
      <c r="DY26" s="23" t="n">
        <f aca="false">IF(BB26=1,IF(H26&lt;&gt;INT(H26),1,0),0)</f>
        <v>0</v>
      </c>
      <c r="DZ26" s="23" t="str">
        <f aca="false">IF(TRIM($A26)="","",IF(TRIM(B26)="",SUBSTITUTE(SUBSTITUTE(SUBSTITUTE(SUBSTITUTE(SUBSTITUTE(SUBSTITUTE(LOWER(TRIM($A26)),"~",""),"*",""),"?",""),"&lt;",""),"&gt;",""),"=",""),SUBSTITUTE(SUBSTITUTE(SUBSTITUTE(SUBSTITUTE(SUBSTITUTE(SUBSTITUTE(LOWER(TRIM(B26)),"~",""),"*",""),"?",""),"&lt;",""),"&gt;",""),"=","")))</f>
        <v/>
      </c>
      <c r="EA26" s="23" t="str">
        <f aca="false">IF(CW26="","",IFERROR(IF(LEFT(LOWER(TRIM(INDEX(Clay_Offices!$A$2:$FZ$601,CW26,Sync!$C$19)&amp;"")),4)="grp-",SUBSTITUTE(SUBSTITUTE(SUBSTITUTE(SUBSTITUTE(SUBSTITUTE(SUBSTITUTE(LOWER(TRIM(INDEX(Clay_Offices!$A$2:$FZ$601,CW26,Sync!$C$19)&amp;"")),"~",""),"*",""),"?",""),"&lt;",""),"&gt;",""),"=",""),""),""))</f>
        <v/>
      </c>
      <c r="EB26" s="23" t="str">
        <f aca="false">IF(EA26&lt;&gt;"",DZ26,"")</f>
        <v/>
      </c>
      <c r="EC26" s="23" t="str">
        <f aca="false">IF(BC26=1,AZ26,"")</f>
        <v/>
      </c>
      <c r="ED26" s="23" t="str">
        <f aca="false">IF(TRIM($A26)="","",IFERROR(INDEX($A$2:$A$201,MATCH(AZ26,$EC$2:$EC$201,0))&amp;"",$A26&amp;""))</f>
        <v/>
      </c>
      <c r="EE26" s="23" t="n">
        <f aca="false">IF(BB26=1,IF(COUNTIFS($A$2:$A$201,$A26,$BB$2:$BB$201,1,$H$2:$H$201,"&lt;"&amp;H26)+COUNTIFS($A$2:$A$201,$A26,$BB$2:$BB$201,1,$H$2:$H$201,H26,$BA$2:$BA$201,"&lt;"&amp;BA26)=0,1,0),0)</f>
        <v>0</v>
      </c>
      <c r="EF26" s="23" t="n">
        <f aca="false">IF(BC26=1,IF(COUNTIFS($AZ$2:$AZ$201,AZ26,$EE$2:$EE$201,1)&gt;1,1,0),0)</f>
        <v>0</v>
      </c>
      <c r="EG26" s="23" t="n">
        <f aca="false">IF(AND(CQ26=1),IF(COUNTIFS($AZ$2:$AZ$201,AZ26,$CQ$2:$CQ$201,1,$H$2:$H$201,"&gt;"&amp;H26)+COUNTIFS($AZ$2:$AZ$201,AZ26,$CQ$2:$CQ$201,1,$H$2:$H$201,H26,$BA$2:$BA$201,"&gt;"&amp;BA26)=0,1,0),0)</f>
        <v>0</v>
      </c>
      <c r="EH26" s="23" t="str">
        <f aca="false">IF(BB26=1,IF(COUNTIFS($AZ$2:$AZ$201,AZ26,$EG$2:$EG$201,1)=0,"",SUMIFS($O$2:$O$201,$AZ$2:$AZ$201,AZ26,$EG$2:$EG$201,1)),"")</f>
        <v/>
      </c>
      <c r="EI26" s="23" t="n">
        <f aca="false">IF(AND(ISNUMBER(EH26),OR(N(EH26)&lt;Config!$B$31,N(EH26)&gt;Config!$B$33)),1,0)</f>
        <v>0</v>
      </c>
      <c r="EJ26" s="23" t="n">
        <f aca="false">IF(AND(ISNUMBER(EH26),N(EH26)&gt;=Config!$B$31,N(EH26)&lt;Config!$B$32),1,0)</f>
        <v>0</v>
      </c>
      <c r="EK26" s="23" t="n">
        <f aca="false">IF(AND(BF26=1,INT(N(H26))&lt;=Config!$B$6,DH26=1,EI26=1),1,0)</f>
        <v>0</v>
      </c>
      <c r="EL26" s="23" t="n">
        <f aca="false">IF(AND(BF26=1,INT(N(H26))&lt;=Config!$B$7,DI26=1,EI26=1),1,0)</f>
        <v>0</v>
      </c>
      <c r="EM26" s="23" t="n">
        <f aca="false">IF(AND(BF26=1,INT(N(H26))&lt;=Config!$B$8,DJ26=1,EI26=1),1,0)</f>
        <v>0</v>
      </c>
      <c r="EN26" s="23" t="n">
        <f aca="false">IF(AND(BF26=1,INT(N(H26))&lt;=Config!$B$5,DK26=1,EI26=1),1,0)</f>
        <v>0</v>
      </c>
      <c r="EO26" s="23" t="n">
        <f aca="false">IF(AND(DL26=1,EJ26=1),1,0)</f>
        <v>0</v>
      </c>
      <c r="EP26" s="23" t="n">
        <f aca="false">IF(AND(DM26=1,EJ26=1),1,0)</f>
        <v>0</v>
      </c>
      <c r="EQ26" s="23" t="n">
        <f aca="false">IF(AND(DN26=1,EJ26=1),1,0)</f>
        <v>0</v>
      </c>
      <c r="ER26" s="23" t="n">
        <f aca="false">IF(AND(DO26=1,EJ26=1),1,0)</f>
        <v>0</v>
      </c>
    </row>
    <row r="27" customFormat="false" ht="15" hidden="false" customHeight="false" outlineLevel="0" collapsed="false">
      <c r="G27" s="32"/>
      <c r="H27" s="33"/>
      <c r="I27" s="32"/>
      <c r="L27" s="32"/>
      <c r="Q27" s="32"/>
      <c r="U27" s="32"/>
      <c r="W27" s="32"/>
      <c r="AC27" s="32"/>
      <c r="AF27" s="32"/>
      <c r="AI27" s="32"/>
      <c r="AJ27" s="32"/>
      <c r="AN27" s="32"/>
      <c r="AR27" s="32"/>
      <c r="AT27" s="32"/>
      <c r="AU27" s="32"/>
      <c r="AW27" s="32"/>
      <c r="AY27" s="34" t="str">
        <f aca="false">IF(TRIM($A27)="","",IF(AND(LEFT($A27,6)="SAMPLE",Config!$B$19&lt;&gt;"Y"),"",IF(NOT(ISNUMBER(H27)),"call_date is blank or not a date",IF(Sync!$C$5="","Clay paste is empty or has no row_id column: paste the Clay export on Clay_Offices",IF(CW27="","row_id not found in the Clay paste: add the Clay row or fix the row_id",IF(AND(ISNUMBER(CY27),CY27&gt;=1,CY27&lt;=5),"Clay status is "&amp;CX27&amp;": set call_done or later",IF(AND(BD27=1,CZ27&lt;&gt;BZ27),"Clay yes_in_principle should be "&amp;BZ27,IF(AND(BD27=1,DA27&lt;&gt;H27),"Clay call_date should be "&amp;TEXT(H27,"yyyy-mm-dd"),""))))))))</f>
        <v/>
      </c>
      <c r="AZ27" s="23" t="str">
        <f aca="false">IF(TRIM($A27)="","",IF(TRIM(C27)&lt;&gt;"",SUBSTITUTE(SUBSTITUTE(SUBSTITUTE(SUBSTITUTE(SUBSTITUTE(SUBSTITUTE(LOWER(TRIM(C27)),"~",""),"*",""),"?",""),"&lt;",""),"&gt;",""),"=",""),IF(EA27&lt;&gt;"",EA27,IFERROR(INDEX($EA$2:$EA$201,MATCH(DZ27,$EB$2:$EB$201,0)),DZ27))))</f>
        <v/>
      </c>
      <c r="BA27" s="23" t="n">
        <f aca="false">ROW()</f>
        <v>27</v>
      </c>
      <c r="BB27" s="23" t="n">
        <f aca="false">IF(AND(TRIM($A27)&lt;&gt;"",ISNUMBER(H27)),IF(AND(LEFT($A27,6)="SAMPLE",Config!$B$19&lt;&gt;"Y"),0,1),0)</f>
        <v>0</v>
      </c>
      <c r="BC27" s="23" t="n">
        <f aca="false">IF(BB27=1,IF(COUNTIFS($AZ$2:$AZ$201,AZ27,$BB$2:$BB$201,1,$H$2:$H$201,"&lt;"&amp;H27)+COUNTIFS($AZ$2:$AZ$201,AZ27,$BB$2:$BB$201,1,$H$2:$H$201,H27,$BA$2:$BA$201,"&lt;"&amp;BA27)=0,1,0),0)</f>
        <v>0</v>
      </c>
      <c r="BD27" s="23" t="n">
        <f aca="false">IF(BB27=1,IF(COUNTIFS($A$2:$A$201,$A27,$BB$2:$BB$201,1,$H$2:$H$201,"&gt;"&amp;H27)+COUNTIFS($A$2:$A$201,$A27,$BB$2:$BB$201,1,$H$2:$H$201,H27,$BA$2:$BA$201,"&gt;"&amp;BA27)=0,1,0),0)</f>
        <v>0</v>
      </c>
      <c r="BE27" s="23" t="n">
        <f aca="false">IF(AND(BB27=1,AR27="Y",AC27="Y",TRIM(AH27)&lt;&gt;""),1,0)</f>
        <v>0</v>
      </c>
      <c r="BF27" s="23" t="n">
        <f aca="false">IF(BE27=1,IF(COUNTIFS($AZ$2:$AZ$201,AZ27,$BE$2:$BE$201,1,$H$2:$H$201,"&lt;"&amp;H27)+COUNTIFS($AZ$2:$AZ$201,AZ27,$BE$2:$BE$201,1,$H$2:$H$201,H27,$BA$2:$BA$201,"&lt;"&amp;BA27)=0,1,0),0)</f>
        <v>0</v>
      </c>
      <c r="BG27" s="23" t="n">
        <f aca="false">IF(AND(BB27=1,AR27="Y",BE27=0),1,0)</f>
        <v>0</v>
      </c>
      <c r="BH27" s="23" t="n">
        <f aca="false">IF(AND(BB27=1,ISNUMBER(Y27)),1,0)</f>
        <v>0</v>
      </c>
      <c r="BI27" s="23" t="n">
        <f aca="false">IF(BH27=1,IF(COUNTIFS($AZ$2:$AZ$201,AZ27,$BH$2:$BH$201,1,$H$2:$H$201,"&lt;"&amp;H27)+COUNTIFS($AZ$2:$AZ$201,AZ27,$BH$2:$BH$201,1,$H$2:$H$201,H27,$BA$2:$BA$201,"&lt;"&amp;BA27)=0,1,0),0)</f>
        <v>0</v>
      </c>
      <c r="BJ27" s="23" t="str">
        <f aca="false">IF(AND(BI27=1,INT(N(H27))&lt;=Config!$B$6),Y27,"")</f>
        <v/>
      </c>
      <c r="BK27" s="23" t="str">
        <f aca="false">IF(AND(BI27=1,INT(N(H27))&lt;=Config!$B$7),Y27,"")</f>
        <v/>
      </c>
      <c r="BL27" s="23" t="str">
        <f aca="false">IF(AND(BI27=1,INT(N(H27))&lt;=Config!$B$8),Y27,"")</f>
        <v/>
      </c>
      <c r="BM27" s="23" t="str">
        <f aca="false">IF(AND(BI27=1,INT(N(H27))&lt;=Config!$B$5),Y27,"")</f>
        <v/>
      </c>
      <c r="BN27" s="23" t="n">
        <f aca="false">IF(CD27=1,IF(COUNTIFS($AZ$2:$AZ$201,AZ27,$CD$2:$CD$201,1,$H$2:$H$201,"&lt;"&amp;H27)+COUNTIFS($AZ$2:$AZ$201,AZ27,$CD$2:$CD$201,1,$H$2:$H$201,H27,$BA$2:$BA$201,"&lt;"&amp;BA27)=0,1,0),0)</f>
        <v>0</v>
      </c>
      <c r="BO27" s="23" t="n">
        <f aca="false">IF(AND(BB27=1,ISNUMBER(M27)),1,0)</f>
        <v>0</v>
      </c>
      <c r="BP27" s="23" t="n">
        <f aca="false">IF(BO27=1,IF(COUNTIFS($AZ$2:$AZ$201,AZ27,$BO$2:$BO$201,1,$H$2:$H$201,"&lt;"&amp;H27)+COUNTIFS($AZ$2:$AZ$201,AZ27,$BO$2:$BO$201,1,$H$2:$H$201,H27,$BA$2:$BA$201,"&lt;"&amp;BA27)=0,1,0),0)</f>
        <v>0</v>
      </c>
      <c r="BQ27" s="23" t="str">
        <f aca="false">IF(AND(BP27=1,INT(N(H27))&lt;=Config!$B$5),M27,"")</f>
        <v/>
      </c>
      <c r="BR27" s="23" t="n">
        <f aca="false">IF(AND(BB27=1,OR(TRIM(X27)&lt;&gt;"",ISNUMBER(Y27))),1,0)</f>
        <v>0</v>
      </c>
      <c r="BS27" s="23" t="n">
        <f aca="false">IF(BR27=1,IF(COUNTIFS($AZ$2:$AZ$201,AZ27,$BR$2:$BR$201,1,$H$2:$H$201,"&lt;"&amp;H27)+COUNTIFS($AZ$2:$AZ$201,AZ27,$BR$2:$BR$201,1,$H$2:$H$201,H27,$BA$2:$BA$201,"&lt;"&amp;BA27)=0,1,0),0)</f>
        <v>0</v>
      </c>
      <c r="BT27" s="23" t="str">
        <f aca="false">IF(BS27=1,AZ27,"")</f>
        <v/>
      </c>
      <c r="BU27" s="23" t="n">
        <f aca="false">IF(AND(BB27=1,W27="Y",TRIM(X27)=""),1,0)</f>
        <v>0</v>
      </c>
      <c r="BV27" s="23" t="str">
        <f aca="false">IF(BB27=1,AN27&amp;"","")</f>
        <v/>
      </c>
      <c r="BW27" s="23" t="str">
        <f aca="false">IF(BB27=1,AO27&amp;"","")</f>
        <v/>
      </c>
      <c r="BX27" s="23" t="str">
        <f aca="false">IF(BB27=1,AP27&amp;"","")</f>
        <v/>
      </c>
      <c r="BY27" s="23" t="str">
        <f aca="false">IF(AND(BB27=1,ISNUMBER(AV27),INT(N(H27))&lt;=Config!$B$5),AV27,"")</f>
        <v/>
      </c>
      <c r="BZ27" s="23" t="str">
        <f aca="false">IF(BB27=1,IF(COUNTIFS($A$2:$A$201,$A27,$DC$2:$DC$201,1,$AR$2:$AR$201,"Y")&gt;0,"Y","N"),"")</f>
        <v/>
      </c>
      <c r="CA27" s="23" t="n">
        <f aca="false">IF(AND(BB27=1,AR27="maybe"),1,0)</f>
        <v>0</v>
      </c>
      <c r="CB27" s="23" t="n">
        <f aca="false">IF(CA27=1,IF(COUNTIFS($AZ$2:$AZ$201,AZ27,$CA$2:$CA$201,1,$H$2:$H$201,"&lt;"&amp;H27)+COUNTIFS($AZ$2:$AZ$201,AZ27,$CA$2:$CA$201,1,$H$2:$H$201,H27,$BA$2:$BA$201,"&lt;"&amp;BA27)=0,1,0),0)</f>
        <v>0</v>
      </c>
      <c r="CC27" s="23" t="n">
        <f aca="false">IF(AND(BB27=1,AR27="Y"),IF(COUNTIFS($AZ$2:$AZ$201,AZ27,$AR$2:$AR$201,"Y",$BB$2:$BB$201,1,$H$2:$H$201,"&lt;"&amp;H27)+COUNTIFS($AZ$2:$AZ$201,AZ27,$AR$2:$AR$201,"Y",$BB$2:$BB$201,1,$H$2:$H$201,H27,$BA$2:$BA$201,"&lt;"&amp;BA27)=0,1,0),0)</f>
        <v>0</v>
      </c>
      <c r="CD27" s="23" t="n">
        <f aca="false">IF(AND(BH27=1,N(Y27)&gt;=Config!$B$15),1,0)</f>
        <v>0</v>
      </c>
      <c r="CE27" s="23" t="n">
        <f aca="false">IF(AND(BB27=1,AT27="Y"),1,0)</f>
        <v>0</v>
      </c>
      <c r="CF27" s="23" t="n">
        <f aca="false">IF(CE27=1,IF(COUNTIFS($AZ$2:$AZ$201,AZ27,$CE$2:$CE$201,1,$H$2:$H$201,"&lt;"&amp;H27)+COUNTIFS($AZ$2:$AZ$201,AZ27,$CE$2:$CE$201,1,$H$2:$H$201,H27,$BA$2:$BA$201,"&lt;"&amp;BA27)=0,1,0),0)</f>
        <v>0</v>
      </c>
      <c r="CG27" s="23" t="n">
        <f aca="false">IF(AND(BB27=1,G27="warm-intro"),1,0)</f>
        <v>0</v>
      </c>
      <c r="CH27" s="23" t="n">
        <f aca="false">IF(CG27=1,IF(COUNTIFS($AZ$2:$AZ$201,AZ27,$CG$2:$CG$201,1,$H$2:$H$201,"&lt;"&amp;H27)+COUNTIFS($AZ$2:$AZ$201,AZ27,$CG$2:$CG$201,1,$H$2:$H$201,H27,$BA$2:$BA$201,"&lt;"&amp;BA27)=0,1,0),0)</f>
        <v>0</v>
      </c>
      <c r="CI27" s="23" t="n">
        <f aca="false">IF(AND(BB27=1,Q27="Y"),1,0)</f>
        <v>0</v>
      </c>
      <c r="CJ27" s="23" t="n">
        <f aca="false">IF(CI27=1,IF(COUNTIFS($AZ$2:$AZ$201,AZ27,$CI$2:$CI$201,1,$H$2:$H$201,"&lt;"&amp;H27)+COUNTIFS($AZ$2:$AZ$201,AZ27,$CI$2:$CI$201,1,$H$2:$H$201,H27,$BA$2:$BA$201,"&lt;"&amp;BA27)=0,1,0),0)</f>
        <v>0</v>
      </c>
      <c r="CK27" s="23" t="n">
        <f aca="false">IF(AND(BB27=1,AF27="Y"),1,0)</f>
        <v>0</v>
      </c>
      <c r="CL27" s="23" t="n">
        <f aca="false">IF(CK27=1,IF(COUNTIFS($AZ$2:$AZ$201,AZ27,$CK$2:$CK$201,1,$H$2:$H$201,"&lt;"&amp;H27)+COUNTIFS($AZ$2:$AZ$201,AZ27,$CK$2:$CK$201,1,$H$2:$H$201,H27,$BA$2:$BA$201,"&lt;"&amp;BA27)=0,1,0),0)</f>
        <v>0</v>
      </c>
      <c r="CM27" s="23" t="n">
        <f aca="false">IF(AND(BB27=1,U27="Y"),1,0)</f>
        <v>0</v>
      </c>
      <c r="CN27" s="23" t="n">
        <f aca="false">IF(CM27=1,IF(COUNTIFS($AZ$2:$AZ$201,AZ27,$CM$2:$CM$201,1,$H$2:$H$201,"&lt;"&amp;H27)+COUNTIFS($AZ$2:$AZ$201,AZ27,$CM$2:$CM$201,1,$H$2:$H$201,H27,$BA$2:$BA$201,"&lt;"&amp;BA27)=0,1,0),0)</f>
        <v>0</v>
      </c>
      <c r="CO27" s="23" t="n">
        <f aca="false">IF(AND(BB27=1,L27="Y"),1,0)</f>
        <v>0</v>
      </c>
      <c r="CP27" s="23" t="n">
        <f aca="false">IF(CO27=1,IF(COUNTIFS($AZ$2:$AZ$201,AZ27,$CO$2:$CO$201,1,$H$2:$H$201,"&lt;"&amp;H27)+COUNTIFS($AZ$2:$AZ$201,AZ27,$CO$2:$CO$201,1,$H$2:$H$201,H27,$BA$2:$BA$201,"&lt;"&amp;BA27)=0,1,0),0)</f>
        <v>0</v>
      </c>
      <c r="CQ27" s="23" t="n">
        <f aca="false">IF(AND(BB27=1,ISNUMBER(O27)),1,0)</f>
        <v>0</v>
      </c>
      <c r="CR27" s="23" t="n">
        <f aca="false">IF(CQ27=1,IF(COUNTIFS($AZ$2:$AZ$201,AZ27,$CQ$2:$CQ$201,1,$H$2:$H$201,"&lt;"&amp;H27)+COUNTIFS($AZ$2:$AZ$201,AZ27,$CQ$2:$CQ$201,1,$H$2:$H$201,H27,$BA$2:$BA$201,"&lt;"&amp;BA27)=0,1,0),0)</f>
        <v>0</v>
      </c>
      <c r="CS27" s="23" t="str">
        <f aca="false">IF(AND(CR27=1,INT(N(H27))&lt;=Config!$B$5),O27,"")</f>
        <v/>
      </c>
      <c r="CT27" s="23" t="str">
        <f aca="false">IF(AND(BB27=1,INT(N(H27))&lt;=Config!$B$5),AG27&amp;"","")</f>
        <v/>
      </c>
      <c r="CU27" s="23" t="n">
        <f aca="false">IF(AND(BB27=1,AU27="Y"),1,0)</f>
        <v>0</v>
      </c>
      <c r="CV27" s="23" t="n">
        <f aca="false">IF(CU27=1,IF(COUNTIFS($AZ$2:$AZ$201,AZ27,$CU$2:$CU$201,1,$H$2:$H$201,"&lt;"&amp;H27)+COUNTIFS($AZ$2:$AZ$201,AZ27,$CU$2:$CU$201,1,$H$2:$H$201,H27,$BA$2:$BA$201,"&lt;"&amp;BA27)=0,1,0),0)</f>
        <v>0</v>
      </c>
      <c r="CW27" s="23" t="str">
        <f aca="false">IF(BB27=1,IFERROR(MATCH($A27,INDEX(Clay_Offices!$A$2:$FZ$601,0,Sync!$C$5),0),""),"")</f>
        <v/>
      </c>
      <c r="CX27" s="23" t="str">
        <f aca="false">IF(CW27="","",IFERROR(INDEX(Clay_Offices!$A$2:$FZ$601,CW27,Sync!$C$7)&amp;"",""))</f>
        <v/>
      </c>
      <c r="CY27" s="23" t="str">
        <f aca="false">IF(CX27="","",IFERROR(INDEX(Lists!$K$2:$K$15,MATCH(CX27,Lists!$J$2:$J$15,0)),""))</f>
        <v/>
      </c>
      <c r="CZ27" s="23" t="str">
        <f aca="false">IF(CW27="","",IFERROR(INDEX(Clay_Offices!$A$2:$FZ$601,CW27,Sync!$C$17)&amp;"",""))</f>
        <v/>
      </c>
      <c r="DA27" s="35" t="str">
        <f aca="false">IF(CW27="","",IFERROR(N(INDEX(Clay_Offices!$A$2:$FZ$601,CW27,Sync!$C$16)),0))</f>
        <v/>
      </c>
      <c r="DB27" s="23" t="n">
        <f aca="false">IF(AND(BB27=1,OR(AR27="Y",AR27="N",AR27="maybe")),1,0)</f>
        <v>0</v>
      </c>
      <c r="DC27" s="23" t="n">
        <f aca="false">IF(AND(DB27=1),IF(COUNTIFS($A$2:$A$201,$A27,$DB$2:$DB$201,1,$H$2:$H$201,"&gt;"&amp;H27)+COUNTIFS($A$2:$A$201,$A27,$DB$2:$DB$201,1,$H$2:$H$201,H27,$BA$2:$BA$201,"&gt;"&amp;BA27)=0,1,0),0)</f>
        <v>0</v>
      </c>
      <c r="DD27" s="23" t="n">
        <f aca="false">IF(AND(DB27=1,INT(N(H27))&lt;=Config!$B$6),IF(COUNTIFS($AZ$2:$AZ$201,AZ27,$DB$2:$DB$201,1,$H$2:$H$201,"&gt;"&amp;H27,$H$2:$H$201,"&lt;"&amp;(Config!$B$6+1))+COUNTIFS($AZ$2:$AZ$201,AZ27,$DB$2:$DB$201,1,$H$2:$H$201,H27,$BA$2:$BA$201,"&gt;"&amp;BA27)=0,1,0),0)</f>
        <v>0</v>
      </c>
      <c r="DE27" s="23" t="n">
        <f aca="false">IF(AND(DB27=1,INT(N(H27))&lt;=Config!$B$7),IF(COUNTIFS($AZ$2:$AZ$201,AZ27,$DB$2:$DB$201,1,$H$2:$H$201,"&gt;"&amp;H27,$H$2:$H$201,"&lt;"&amp;(Config!$B$7+1))+COUNTIFS($AZ$2:$AZ$201,AZ27,$DB$2:$DB$201,1,$H$2:$H$201,H27,$BA$2:$BA$201,"&gt;"&amp;BA27)=0,1,0),0)</f>
        <v>0</v>
      </c>
      <c r="DF27" s="23" t="n">
        <f aca="false">IF(AND(DB27=1,INT(N(H27))&lt;=Config!$B$8),IF(COUNTIFS($AZ$2:$AZ$201,AZ27,$DB$2:$DB$201,1,$H$2:$H$201,"&gt;"&amp;H27,$H$2:$H$201,"&lt;"&amp;(Config!$B$8+1))+COUNTIFS($AZ$2:$AZ$201,AZ27,$DB$2:$DB$201,1,$H$2:$H$201,H27,$BA$2:$BA$201,"&gt;"&amp;BA27)=0,1,0),0)</f>
        <v>0</v>
      </c>
      <c r="DG27" s="23" t="n">
        <f aca="false">IF(AND(DB27=1,INT(N(H27))&lt;=Config!$B$5),IF(COUNTIFS($AZ$2:$AZ$201,AZ27,$DB$2:$DB$201,1,$H$2:$H$201,"&gt;"&amp;H27,$H$2:$H$201,"&lt;"&amp;(Config!$B$5+1))+COUNTIFS($AZ$2:$AZ$201,AZ27,$DB$2:$DB$201,1,$H$2:$H$201,H27,$BA$2:$BA$201,"&gt;"&amp;BA27)=0,1,0),0)</f>
        <v>0</v>
      </c>
      <c r="DH27" s="23" t="n">
        <f aca="false">IF(BB27=1,IF(COUNTIFS($AZ$2:$AZ$201,AZ27,$DD$2:$DD$201,1,$AR$2:$AR$201,"Y")&gt;0,1,0),0)</f>
        <v>0</v>
      </c>
      <c r="DI27" s="23" t="n">
        <f aca="false">IF(BB27=1,IF(COUNTIFS($AZ$2:$AZ$201,AZ27,$DE$2:$DE$201,1,$AR$2:$AR$201,"Y")&gt;0,1,0),0)</f>
        <v>0</v>
      </c>
      <c r="DJ27" s="23" t="n">
        <f aca="false">IF(BB27=1,IF(COUNTIFS($AZ$2:$AZ$201,AZ27,$DF$2:$DF$201,1,$AR$2:$AR$201,"Y")&gt;0,1,0),0)</f>
        <v>0</v>
      </c>
      <c r="DK27" s="23" t="n">
        <f aca="false">IF(BB27=1,IF(COUNTIFS($AZ$2:$AZ$201,AZ27,$DG$2:$DG$201,1,$AR$2:$AR$201,"Y")&gt;0,1,0),0)</f>
        <v>0</v>
      </c>
      <c r="DL27" s="23" t="n">
        <f aca="false">IF(AND(BF27=1,INT(N(H27))&lt;=Config!$B$6,DH27=1,EI27=0),1,0)</f>
        <v>0</v>
      </c>
      <c r="DM27" s="23" t="n">
        <f aca="false">IF(AND(BF27=1,INT(N(H27))&lt;=Config!$B$7,DI27=1,EI27=0),1,0)</f>
        <v>0</v>
      </c>
      <c r="DN27" s="23" t="n">
        <f aca="false">IF(AND(BF27=1,INT(N(H27))&lt;=Config!$B$8,DJ27=1,EI27=0),1,0)</f>
        <v>0</v>
      </c>
      <c r="DO27" s="23" t="n">
        <f aca="false">IF(AND(BF27=1,INT(N(H27))&lt;=Config!$B$5,DK27=1,EI27=0),1,0)</f>
        <v>0</v>
      </c>
      <c r="DP27" s="23" t="n">
        <f aca="false">IF(AND(CC27=1,INT(N(H27))&lt;=Config!$B$6,DH27=1,EI27=0),1,0)</f>
        <v>0</v>
      </c>
      <c r="DQ27" s="23" t="n">
        <f aca="false">IF(AND(CC27=1,INT(N(H27))&lt;=Config!$B$7,DI27=1,EI27=0),1,0)</f>
        <v>0</v>
      </c>
      <c r="DR27" s="23" t="n">
        <f aca="false">IF(AND(CC27=1,INT(N(H27))&lt;=Config!$B$8,DJ27=1,EI27=0),1,0)</f>
        <v>0</v>
      </c>
      <c r="DS27" s="23" t="n">
        <f aca="false">IF(AND(CC27=1,INT(N(H27))&lt;=Config!$B$5,DK27=1,EI27=0),1,0)</f>
        <v>0</v>
      </c>
      <c r="DT27" s="23" t="n">
        <f aca="false">IF(AND(CC27=1,INT(N(H27))&lt;=Config!$B$6,DH27=0),1,0)</f>
        <v>0</v>
      </c>
      <c r="DU27" s="23" t="n">
        <f aca="false">IF(AND(CC27=1,INT(N(H27))&lt;=Config!$B$7,DI27=0),1,0)</f>
        <v>0</v>
      </c>
      <c r="DV27" s="23" t="n">
        <f aca="false">IF(AND(CC27=1,INT(N(H27))&lt;=Config!$B$8,DJ27=0),1,0)</f>
        <v>0</v>
      </c>
      <c r="DW27" s="23" t="n">
        <f aca="false">IF(AND(CC27=1,INT(N(H27))&lt;=Config!$B$5,DK27=0),1,0)</f>
        <v>0</v>
      </c>
      <c r="DX27" s="23" t="n">
        <f aca="false">IF(TRIM($A27)="",0,ISTEXT(M27)+ISTEXT(O27)+ISTEXT(Y27)+ISTEXT(Z27)+ISTEXT(AA27)+ISTEXT(AV27))</f>
        <v>0</v>
      </c>
      <c r="DY27" s="23" t="n">
        <f aca="false">IF(BB27=1,IF(H27&lt;&gt;INT(H27),1,0),0)</f>
        <v>0</v>
      </c>
      <c r="DZ27" s="23" t="str">
        <f aca="false">IF(TRIM($A27)="","",IF(TRIM(B27)="",SUBSTITUTE(SUBSTITUTE(SUBSTITUTE(SUBSTITUTE(SUBSTITUTE(SUBSTITUTE(LOWER(TRIM($A27)),"~",""),"*",""),"?",""),"&lt;",""),"&gt;",""),"=",""),SUBSTITUTE(SUBSTITUTE(SUBSTITUTE(SUBSTITUTE(SUBSTITUTE(SUBSTITUTE(LOWER(TRIM(B27)),"~",""),"*",""),"?",""),"&lt;",""),"&gt;",""),"=","")))</f>
        <v/>
      </c>
      <c r="EA27" s="23" t="str">
        <f aca="false">IF(CW27="","",IFERROR(IF(LEFT(LOWER(TRIM(INDEX(Clay_Offices!$A$2:$FZ$601,CW27,Sync!$C$19)&amp;"")),4)="grp-",SUBSTITUTE(SUBSTITUTE(SUBSTITUTE(SUBSTITUTE(SUBSTITUTE(SUBSTITUTE(LOWER(TRIM(INDEX(Clay_Offices!$A$2:$FZ$601,CW27,Sync!$C$19)&amp;"")),"~",""),"*",""),"?",""),"&lt;",""),"&gt;",""),"=",""),""),""))</f>
        <v/>
      </c>
      <c r="EB27" s="23" t="str">
        <f aca="false">IF(EA27&lt;&gt;"",DZ27,"")</f>
        <v/>
      </c>
      <c r="EC27" s="23" t="str">
        <f aca="false">IF(BC27=1,AZ27,"")</f>
        <v/>
      </c>
      <c r="ED27" s="23" t="str">
        <f aca="false">IF(TRIM($A27)="","",IFERROR(INDEX($A$2:$A$201,MATCH(AZ27,$EC$2:$EC$201,0))&amp;"",$A27&amp;""))</f>
        <v/>
      </c>
      <c r="EE27" s="23" t="n">
        <f aca="false">IF(BB27=1,IF(COUNTIFS($A$2:$A$201,$A27,$BB$2:$BB$201,1,$H$2:$H$201,"&lt;"&amp;H27)+COUNTIFS($A$2:$A$201,$A27,$BB$2:$BB$201,1,$H$2:$H$201,H27,$BA$2:$BA$201,"&lt;"&amp;BA27)=0,1,0),0)</f>
        <v>0</v>
      </c>
      <c r="EF27" s="23" t="n">
        <f aca="false">IF(BC27=1,IF(COUNTIFS($AZ$2:$AZ$201,AZ27,$EE$2:$EE$201,1)&gt;1,1,0),0)</f>
        <v>0</v>
      </c>
      <c r="EG27" s="23" t="n">
        <f aca="false">IF(AND(CQ27=1),IF(COUNTIFS($AZ$2:$AZ$201,AZ27,$CQ$2:$CQ$201,1,$H$2:$H$201,"&gt;"&amp;H27)+COUNTIFS($AZ$2:$AZ$201,AZ27,$CQ$2:$CQ$201,1,$H$2:$H$201,H27,$BA$2:$BA$201,"&gt;"&amp;BA27)=0,1,0),0)</f>
        <v>0</v>
      </c>
      <c r="EH27" s="23" t="str">
        <f aca="false">IF(BB27=1,IF(COUNTIFS($AZ$2:$AZ$201,AZ27,$EG$2:$EG$201,1)=0,"",SUMIFS($O$2:$O$201,$AZ$2:$AZ$201,AZ27,$EG$2:$EG$201,1)),"")</f>
        <v/>
      </c>
      <c r="EI27" s="23" t="n">
        <f aca="false">IF(AND(ISNUMBER(EH27),OR(N(EH27)&lt;Config!$B$31,N(EH27)&gt;Config!$B$33)),1,0)</f>
        <v>0</v>
      </c>
      <c r="EJ27" s="23" t="n">
        <f aca="false">IF(AND(ISNUMBER(EH27),N(EH27)&gt;=Config!$B$31,N(EH27)&lt;Config!$B$32),1,0)</f>
        <v>0</v>
      </c>
      <c r="EK27" s="23" t="n">
        <f aca="false">IF(AND(BF27=1,INT(N(H27))&lt;=Config!$B$6,DH27=1,EI27=1),1,0)</f>
        <v>0</v>
      </c>
      <c r="EL27" s="23" t="n">
        <f aca="false">IF(AND(BF27=1,INT(N(H27))&lt;=Config!$B$7,DI27=1,EI27=1),1,0)</f>
        <v>0</v>
      </c>
      <c r="EM27" s="23" t="n">
        <f aca="false">IF(AND(BF27=1,INT(N(H27))&lt;=Config!$B$8,DJ27=1,EI27=1),1,0)</f>
        <v>0</v>
      </c>
      <c r="EN27" s="23" t="n">
        <f aca="false">IF(AND(BF27=1,INT(N(H27))&lt;=Config!$B$5,DK27=1,EI27=1),1,0)</f>
        <v>0</v>
      </c>
      <c r="EO27" s="23" t="n">
        <f aca="false">IF(AND(DL27=1,EJ27=1),1,0)</f>
        <v>0</v>
      </c>
      <c r="EP27" s="23" t="n">
        <f aca="false">IF(AND(DM27=1,EJ27=1),1,0)</f>
        <v>0</v>
      </c>
      <c r="EQ27" s="23" t="n">
        <f aca="false">IF(AND(DN27=1,EJ27=1),1,0)</f>
        <v>0</v>
      </c>
      <c r="ER27" s="23" t="n">
        <f aca="false">IF(AND(DO27=1,EJ27=1),1,0)</f>
        <v>0</v>
      </c>
    </row>
    <row r="28" customFormat="false" ht="15" hidden="false" customHeight="false" outlineLevel="0" collapsed="false">
      <c r="G28" s="32"/>
      <c r="H28" s="33"/>
      <c r="I28" s="32"/>
      <c r="L28" s="32"/>
      <c r="Q28" s="32"/>
      <c r="U28" s="32"/>
      <c r="W28" s="32"/>
      <c r="AC28" s="32"/>
      <c r="AF28" s="32"/>
      <c r="AI28" s="32"/>
      <c r="AJ28" s="32"/>
      <c r="AN28" s="32"/>
      <c r="AR28" s="32"/>
      <c r="AT28" s="32"/>
      <c r="AU28" s="32"/>
      <c r="AW28" s="32"/>
      <c r="AY28" s="34" t="str">
        <f aca="false">IF(TRIM($A28)="","",IF(AND(LEFT($A28,6)="SAMPLE",Config!$B$19&lt;&gt;"Y"),"",IF(NOT(ISNUMBER(H28)),"call_date is blank or not a date",IF(Sync!$C$5="","Clay paste is empty or has no row_id column: paste the Clay export on Clay_Offices",IF(CW28="","row_id not found in the Clay paste: add the Clay row or fix the row_id",IF(AND(ISNUMBER(CY28),CY28&gt;=1,CY28&lt;=5),"Clay status is "&amp;CX28&amp;": set call_done or later",IF(AND(BD28=1,CZ28&lt;&gt;BZ28),"Clay yes_in_principle should be "&amp;BZ28,IF(AND(BD28=1,DA28&lt;&gt;H28),"Clay call_date should be "&amp;TEXT(H28,"yyyy-mm-dd"),""))))))))</f>
        <v/>
      </c>
      <c r="AZ28" s="23" t="str">
        <f aca="false">IF(TRIM($A28)="","",IF(TRIM(C28)&lt;&gt;"",SUBSTITUTE(SUBSTITUTE(SUBSTITUTE(SUBSTITUTE(SUBSTITUTE(SUBSTITUTE(LOWER(TRIM(C28)),"~",""),"*",""),"?",""),"&lt;",""),"&gt;",""),"=",""),IF(EA28&lt;&gt;"",EA28,IFERROR(INDEX($EA$2:$EA$201,MATCH(DZ28,$EB$2:$EB$201,0)),DZ28))))</f>
        <v/>
      </c>
      <c r="BA28" s="23" t="n">
        <f aca="false">ROW()</f>
        <v>28</v>
      </c>
      <c r="BB28" s="23" t="n">
        <f aca="false">IF(AND(TRIM($A28)&lt;&gt;"",ISNUMBER(H28)),IF(AND(LEFT($A28,6)="SAMPLE",Config!$B$19&lt;&gt;"Y"),0,1),0)</f>
        <v>0</v>
      </c>
      <c r="BC28" s="23" t="n">
        <f aca="false">IF(BB28=1,IF(COUNTIFS($AZ$2:$AZ$201,AZ28,$BB$2:$BB$201,1,$H$2:$H$201,"&lt;"&amp;H28)+COUNTIFS($AZ$2:$AZ$201,AZ28,$BB$2:$BB$201,1,$H$2:$H$201,H28,$BA$2:$BA$201,"&lt;"&amp;BA28)=0,1,0),0)</f>
        <v>0</v>
      </c>
      <c r="BD28" s="23" t="n">
        <f aca="false">IF(BB28=1,IF(COUNTIFS($A$2:$A$201,$A28,$BB$2:$BB$201,1,$H$2:$H$201,"&gt;"&amp;H28)+COUNTIFS($A$2:$A$201,$A28,$BB$2:$BB$201,1,$H$2:$H$201,H28,$BA$2:$BA$201,"&gt;"&amp;BA28)=0,1,0),0)</f>
        <v>0</v>
      </c>
      <c r="BE28" s="23" t="n">
        <f aca="false">IF(AND(BB28=1,AR28="Y",AC28="Y",TRIM(AH28)&lt;&gt;""),1,0)</f>
        <v>0</v>
      </c>
      <c r="BF28" s="23" t="n">
        <f aca="false">IF(BE28=1,IF(COUNTIFS($AZ$2:$AZ$201,AZ28,$BE$2:$BE$201,1,$H$2:$H$201,"&lt;"&amp;H28)+COUNTIFS($AZ$2:$AZ$201,AZ28,$BE$2:$BE$201,1,$H$2:$H$201,H28,$BA$2:$BA$201,"&lt;"&amp;BA28)=0,1,0),0)</f>
        <v>0</v>
      </c>
      <c r="BG28" s="23" t="n">
        <f aca="false">IF(AND(BB28=1,AR28="Y",BE28=0),1,0)</f>
        <v>0</v>
      </c>
      <c r="BH28" s="23" t="n">
        <f aca="false">IF(AND(BB28=1,ISNUMBER(Y28)),1,0)</f>
        <v>0</v>
      </c>
      <c r="BI28" s="23" t="n">
        <f aca="false">IF(BH28=1,IF(COUNTIFS($AZ$2:$AZ$201,AZ28,$BH$2:$BH$201,1,$H$2:$H$201,"&lt;"&amp;H28)+COUNTIFS($AZ$2:$AZ$201,AZ28,$BH$2:$BH$201,1,$H$2:$H$201,H28,$BA$2:$BA$201,"&lt;"&amp;BA28)=0,1,0),0)</f>
        <v>0</v>
      </c>
      <c r="BJ28" s="23" t="str">
        <f aca="false">IF(AND(BI28=1,INT(N(H28))&lt;=Config!$B$6),Y28,"")</f>
        <v/>
      </c>
      <c r="BK28" s="23" t="str">
        <f aca="false">IF(AND(BI28=1,INT(N(H28))&lt;=Config!$B$7),Y28,"")</f>
        <v/>
      </c>
      <c r="BL28" s="23" t="str">
        <f aca="false">IF(AND(BI28=1,INT(N(H28))&lt;=Config!$B$8),Y28,"")</f>
        <v/>
      </c>
      <c r="BM28" s="23" t="str">
        <f aca="false">IF(AND(BI28=1,INT(N(H28))&lt;=Config!$B$5),Y28,"")</f>
        <v/>
      </c>
      <c r="BN28" s="23" t="n">
        <f aca="false">IF(CD28=1,IF(COUNTIFS($AZ$2:$AZ$201,AZ28,$CD$2:$CD$201,1,$H$2:$H$201,"&lt;"&amp;H28)+COUNTIFS($AZ$2:$AZ$201,AZ28,$CD$2:$CD$201,1,$H$2:$H$201,H28,$BA$2:$BA$201,"&lt;"&amp;BA28)=0,1,0),0)</f>
        <v>0</v>
      </c>
      <c r="BO28" s="23" t="n">
        <f aca="false">IF(AND(BB28=1,ISNUMBER(M28)),1,0)</f>
        <v>0</v>
      </c>
      <c r="BP28" s="23" t="n">
        <f aca="false">IF(BO28=1,IF(COUNTIFS($AZ$2:$AZ$201,AZ28,$BO$2:$BO$201,1,$H$2:$H$201,"&lt;"&amp;H28)+COUNTIFS($AZ$2:$AZ$201,AZ28,$BO$2:$BO$201,1,$H$2:$H$201,H28,$BA$2:$BA$201,"&lt;"&amp;BA28)=0,1,0),0)</f>
        <v>0</v>
      </c>
      <c r="BQ28" s="23" t="str">
        <f aca="false">IF(AND(BP28=1,INT(N(H28))&lt;=Config!$B$5),M28,"")</f>
        <v/>
      </c>
      <c r="BR28" s="23" t="n">
        <f aca="false">IF(AND(BB28=1,OR(TRIM(X28)&lt;&gt;"",ISNUMBER(Y28))),1,0)</f>
        <v>0</v>
      </c>
      <c r="BS28" s="23" t="n">
        <f aca="false">IF(BR28=1,IF(COUNTIFS($AZ$2:$AZ$201,AZ28,$BR$2:$BR$201,1,$H$2:$H$201,"&lt;"&amp;H28)+COUNTIFS($AZ$2:$AZ$201,AZ28,$BR$2:$BR$201,1,$H$2:$H$201,H28,$BA$2:$BA$201,"&lt;"&amp;BA28)=0,1,0),0)</f>
        <v>0</v>
      </c>
      <c r="BT28" s="23" t="str">
        <f aca="false">IF(BS28=1,AZ28,"")</f>
        <v/>
      </c>
      <c r="BU28" s="23" t="n">
        <f aca="false">IF(AND(BB28=1,W28="Y",TRIM(X28)=""),1,0)</f>
        <v>0</v>
      </c>
      <c r="BV28" s="23" t="str">
        <f aca="false">IF(BB28=1,AN28&amp;"","")</f>
        <v/>
      </c>
      <c r="BW28" s="23" t="str">
        <f aca="false">IF(BB28=1,AO28&amp;"","")</f>
        <v/>
      </c>
      <c r="BX28" s="23" t="str">
        <f aca="false">IF(BB28=1,AP28&amp;"","")</f>
        <v/>
      </c>
      <c r="BY28" s="23" t="str">
        <f aca="false">IF(AND(BB28=1,ISNUMBER(AV28),INT(N(H28))&lt;=Config!$B$5),AV28,"")</f>
        <v/>
      </c>
      <c r="BZ28" s="23" t="str">
        <f aca="false">IF(BB28=1,IF(COUNTIFS($A$2:$A$201,$A28,$DC$2:$DC$201,1,$AR$2:$AR$201,"Y")&gt;0,"Y","N"),"")</f>
        <v/>
      </c>
      <c r="CA28" s="23" t="n">
        <f aca="false">IF(AND(BB28=1,AR28="maybe"),1,0)</f>
        <v>0</v>
      </c>
      <c r="CB28" s="23" t="n">
        <f aca="false">IF(CA28=1,IF(COUNTIFS($AZ$2:$AZ$201,AZ28,$CA$2:$CA$201,1,$H$2:$H$201,"&lt;"&amp;H28)+COUNTIFS($AZ$2:$AZ$201,AZ28,$CA$2:$CA$201,1,$H$2:$H$201,H28,$BA$2:$BA$201,"&lt;"&amp;BA28)=0,1,0),0)</f>
        <v>0</v>
      </c>
      <c r="CC28" s="23" t="n">
        <f aca="false">IF(AND(BB28=1,AR28="Y"),IF(COUNTIFS($AZ$2:$AZ$201,AZ28,$AR$2:$AR$201,"Y",$BB$2:$BB$201,1,$H$2:$H$201,"&lt;"&amp;H28)+COUNTIFS($AZ$2:$AZ$201,AZ28,$AR$2:$AR$201,"Y",$BB$2:$BB$201,1,$H$2:$H$201,H28,$BA$2:$BA$201,"&lt;"&amp;BA28)=0,1,0),0)</f>
        <v>0</v>
      </c>
      <c r="CD28" s="23" t="n">
        <f aca="false">IF(AND(BH28=1,N(Y28)&gt;=Config!$B$15),1,0)</f>
        <v>0</v>
      </c>
      <c r="CE28" s="23" t="n">
        <f aca="false">IF(AND(BB28=1,AT28="Y"),1,0)</f>
        <v>0</v>
      </c>
      <c r="CF28" s="23" t="n">
        <f aca="false">IF(CE28=1,IF(COUNTIFS($AZ$2:$AZ$201,AZ28,$CE$2:$CE$201,1,$H$2:$H$201,"&lt;"&amp;H28)+COUNTIFS($AZ$2:$AZ$201,AZ28,$CE$2:$CE$201,1,$H$2:$H$201,H28,$BA$2:$BA$201,"&lt;"&amp;BA28)=0,1,0),0)</f>
        <v>0</v>
      </c>
      <c r="CG28" s="23" t="n">
        <f aca="false">IF(AND(BB28=1,G28="warm-intro"),1,0)</f>
        <v>0</v>
      </c>
      <c r="CH28" s="23" t="n">
        <f aca="false">IF(CG28=1,IF(COUNTIFS($AZ$2:$AZ$201,AZ28,$CG$2:$CG$201,1,$H$2:$H$201,"&lt;"&amp;H28)+COUNTIFS($AZ$2:$AZ$201,AZ28,$CG$2:$CG$201,1,$H$2:$H$201,H28,$BA$2:$BA$201,"&lt;"&amp;BA28)=0,1,0),0)</f>
        <v>0</v>
      </c>
      <c r="CI28" s="23" t="n">
        <f aca="false">IF(AND(BB28=1,Q28="Y"),1,0)</f>
        <v>0</v>
      </c>
      <c r="CJ28" s="23" t="n">
        <f aca="false">IF(CI28=1,IF(COUNTIFS($AZ$2:$AZ$201,AZ28,$CI$2:$CI$201,1,$H$2:$H$201,"&lt;"&amp;H28)+COUNTIFS($AZ$2:$AZ$201,AZ28,$CI$2:$CI$201,1,$H$2:$H$201,H28,$BA$2:$BA$201,"&lt;"&amp;BA28)=0,1,0),0)</f>
        <v>0</v>
      </c>
      <c r="CK28" s="23" t="n">
        <f aca="false">IF(AND(BB28=1,AF28="Y"),1,0)</f>
        <v>0</v>
      </c>
      <c r="CL28" s="23" t="n">
        <f aca="false">IF(CK28=1,IF(COUNTIFS($AZ$2:$AZ$201,AZ28,$CK$2:$CK$201,1,$H$2:$H$201,"&lt;"&amp;H28)+COUNTIFS($AZ$2:$AZ$201,AZ28,$CK$2:$CK$201,1,$H$2:$H$201,H28,$BA$2:$BA$201,"&lt;"&amp;BA28)=0,1,0),0)</f>
        <v>0</v>
      </c>
      <c r="CM28" s="23" t="n">
        <f aca="false">IF(AND(BB28=1,U28="Y"),1,0)</f>
        <v>0</v>
      </c>
      <c r="CN28" s="23" t="n">
        <f aca="false">IF(CM28=1,IF(COUNTIFS($AZ$2:$AZ$201,AZ28,$CM$2:$CM$201,1,$H$2:$H$201,"&lt;"&amp;H28)+COUNTIFS($AZ$2:$AZ$201,AZ28,$CM$2:$CM$201,1,$H$2:$H$201,H28,$BA$2:$BA$201,"&lt;"&amp;BA28)=0,1,0),0)</f>
        <v>0</v>
      </c>
      <c r="CO28" s="23" t="n">
        <f aca="false">IF(AND(BB28=1,L28="Y"),1,0)</f>
        <v>0</v>
      </c>
      <c r="CP28" s="23" t="n">
        <f aca="false">IF(CO28=1,IF(COUNTIFS($AZ$2:$AZ$201,AZ28,$CO$2:$CO$201,1,$H$2:$H$201,"&lt;"&amp;H28)+COUNTIFS($AZ$2:$AZ$201,AZ28,$CO$2:$CO$201,1,$H$2:$H$201,H28,$BA$2:$BA$201,"&lt;"&amp;BA28)=0,1,0),0)</f>
        <v>0</v>
      </c>
      <c r="CQ28" s="23" t="n">
        <f aca="false">IF(AND(BB28=1,ISNUMBER(O28)),1,0)</f>
        <v>0</v>
      </c>
      <c r="CR28" s="23" t="n">
        <f aca="false">IF(CQ28=1,IF(COUNTIFS($AZ$2:$AZ$201,AZ28,$CQ$2:$CQ$201,1,$H$2:$H$201,"&lt;"&amp;H28)+COUNTIFS($AZ$2:$AZ$201,AZ28,$CQ$2:$CQ$201,1,$H$2:$H$201,H28,$BA$2:$BA$201,"&lt;"&amp;BA28)=0,1,0),0)</f>
        <v>0</v>
      </c>
      <c r="CS28" s="23" t="str">
        <f aca="false">IF(AND(CR28=1,INT(N(H28))&lt;=Config!$B$5),O28,"")</f>
        <v/>
      </c>
      <c r="CT28" s="23" t="str">
        <f aca="false">IF(AND(BB28=1,INT(N(H28))&lt;=Config!$B$5),AG28&amp;"","")</f>
        <v/>
      </c>
      <c r="CU28" s="23" t="n">
        <f aca="false">IF(AND(BB28=1,AU28="Y"),1,0)</f>
        <v>0</v>
      </c>
      <c r="CV28" s="23" t="n">
        <f aca="false">IF(CU28=1,IF(COUNTIFS($AZ$2:$AZ$201,AZ28,$CU$2:$CU$201,1,$H$2:$H$201,"&lt;"&amp;H28)+COUNTIFS($AZ$2:$AZ$201,AZ28,$CU$2:$CU$201,1,$H$2:$H$201,H28,$BA$2:$BA$201,"&lt;"&amp;BA28)=0,1,0),0)</f>
        <v>0</v>
      </c>
      <c r="CW28" s="23" t="str">
        <f aca="false">IF(BB28=1,IFERROR(MATCH($A28,INDEX(Clay_Offices!$A$2:$FZ$601,0,Sync!$C$5),0),""),"")</f>
        <v/>
      </c>
      <c r="CX28" s="23" t="str">
        <f aca="false">IF(CW28="","",IFERROR(INDEX(Clay_Offices!$A$2:$FZ$601,CW28,Sync!$C$7)&amp;"",""))</f>
        <v/>
      </c>
      <c r="CY28" s="23" t="str">
        <f aca="false">IF(CX28="","",IFERROR(INDEX(Lists!$K$2:$K$15,MATCH(CX28,Lists!$J$2:$J$15,0)),""))</f>
        <v/>
      </c>
      <c r="CZ28" s="23" t="str">
        <f aca="false">IF(CW28="","",IFERROR(INDEX(Clay_Offices!$A$2:$FZ$601,CW28,Sync!$C$17)&amp;"",""))</f>
        <v/>
      </c>
      <c r="DA28" s="35" t="str">
        <f aca="false">IF(CW28="","",IFERROR(N(INDEX(Clay_Offices!$A$2:$FZ$601,CW28,Sync!$C$16)),0))</f>
        <v/>
      </c>
      <c r="DB28" s="23" t="n">
        <f aca="false">IF(AND(BB28=1,OR(AR28="Y",AR28="N",AR28="maybe")),1,0)</f>
        <v>0</v>
      </c>
      <c r="DC28" s="23" t="n">
        <f aca="false">IF(AND(DB28=1),IF(COUNTIFS($A$2:$A$201,$A28,$DB$2:$DB$201,1,$H$2:$H$201,"&gt;"&amp;H28)+COUNTIFS($A$2:$A$201,$A28,$DB$2:$DB$201,1,$H$2:$H$201,H28,$BA$2:$BA$201,"&gt;"&amp;BA28)=0,1,0),0)</f>
        <v>0</v>
      </c>
      <c r="DD28" s="23" t="n">
        <f aca="false">IF(AND(DB28=1,INT(N(H28))&lt;=Config!$B$6),IF(COUNTIFS($AZ$2:$AZ$201,AZ28,$DB$2:$DB$201,1,$H$2:$H$201,"&gt;"&amp;H28,$H$2:$H$201,"&lt;"&amp;(Config!$B$6+1))+COUNTIFS($AZ$2:$AZ$201,AZ28,$DB$2:$DB$201,1,$H$2:$H$201,H28,$BA$2:$BA$201,"&gt;"&amp;BA28)=0,1,0),0)</f>
        <v>0</v>
      </c>
      <c r="DE28" s="23" t="n">
        <f aca="false">IF(AND(DB28=1,INT(N(H28))&lt;=Config!$B$7),IF(COUNTIFS($AZ$2:$AZ$201,AZ28,$DB$2:$DB$201,1,$H$2:$H$201,"&gt;"&amp;H28,$H$2:$H$201,"&lt;"&amp;(Config!$B$7+1))+COUNTIFS($AZ$2:$AZ$201,AZ28,$DB$2:$DB$201,1,$H$2:$H$201,H28,$BA$2:$BA$201,"&gt;"&amp;BA28)=0,1,0),0)</f>
        <v>0</v>
      </c>
      <c r="DF28" s="23" t="n">
        <f aca="false">IF(AND(DB28=1,INT(N(H28))&lt;=Config!$B$8),IF(COUNTIFS($AZ$2:$AZ$201,AZ28,$DB$2:$DB$201,1,$H$2:$H$201,"&gt;"&amp;H28,$H$2:$H$201,"&lt;"&amp;(Config!$B$8+1))+COUNTIFS($AZ$2:$AZ$201,AZ28,$DB$2:$DB$201,1,$H$2:$H$201,H28,$BA$2:$BA$201,"&gt;"&amp;BA28)=0,1,0),0)</f>
        <v>0</v>
      </c>
      <c r="DG28" s="23" t="n">
        <f aca="false">IF(AND(DB28=1,INT(N(H28))&lt;=Config!$B$5),IF(COUNTIFS($AZ$2:$AZ$201,AZ28,$DB$2:$DB$201,1,$H$2:$H$201,"&gt;"&amp;H28,$H$2:$H$201,"&lt;"&amp;(Config!$B$5+1))+COUNTIFS($AZ$2:$AZ$201,AZ28,$DB$2:$DB$201,1,$H$2:$H$201,H28,$BA$2:$BA$201,"&gt;"&amp;BA28)=0,1,0),0)</f>
        <v>0</v>
      </c>
      <c r="DH28" s="23" t="n">
        <f aca="false">IF(BB28=1,IF(COUNTIFS($AZ$2:$AZ$201,AZ28,$DD$2:$DD$201,1,$AR$2:$AR$201,"Y")&gt;0,1,0),0)</f>
        <v>0</v>
      </c>
      <c r="DI28" s="23" t="n">
        <f aca="false">IF(BB28=1,IF(COUNTIFS($AZ$2:$AZ$201,AZ28,$DE$2:$DE$201,1,$AR$2:$AR$201,"Y")&gt;0,1,0),0)</f>
        <v>0</v>
      </c>
      <c r="DJ28" s="23" t="n">
        <f aca="false">IF(BB28=1,IF(COUNTIFS($AZ$2:$AZ$201,AZ28,$DF$2:$DF$201,1,$AR$2:$AR$201,"Y")&gt;0,1,0),0)</f>
        <v>0</v>
      </c>
      <c r="DK28" s="23" t="n">
        <f aca="false">IF(BB28=1,IF(COUNTIFS($AZ$2:$AZ$201,AZ28,$DG$2:$DG$201,1,$AR$2:$AR$201,"Y")&gt;0,1,0),0)</f>
        <v>0</v>
      </c>
      <c r="DL28" s="23" t="n">
        <f aca="false">IF(AND(BF28=1,INT(N(H28))&lt;=Config!$B$6,DH28=1,EI28=0),1,0)</f>
        <v>0</v>
      </c>
      <c r="DM28" s="23" t="n">
        <f aca="false">IF(AND(BF28=1,INT(N(H28))&lt;=Config!$B$7,DI28=1,EI28=0),1,0)</f>
        <v>0</v>
      </c>
      <c r="DN28" s="23" t="n">
        <f aca="false">IF(AND(BF28=1,INT(N(H28))&lt;=Config!$B$8,DJ28=1,EI28=0),1,0)</f>
        <v>0</v>
      </c>
      <c r="DO28" s="23" t="n">
        <f aca="false">IF(AND(BF28=1,INT(N(H28))&lt;=Config!$B$5,DK28=1,EI28=0),1,0)</f>
        <v>0</v>
      </c>
      <c r="DP28" s="23" t="n">
        <f aca="false">IF(AND(CC28=1,INT(N(H28))&lt;=Config!$B$6,DH28=1,EI28=0),1,0)</f>
        <v>0</v>
      </c>
      <c r="DQ28" s="23" t="n">
        <f aca="false">IF(AND(CC28=1,INT(N(H28))&lt;=Config!$B$7,DI28=1,EI28=0),1,0)</f>
        <v>0</v>
      </c>
      <c r="DR28" s="23" t="n">
        <f aca="false">IF(AND(CC28=1,INT(N(H28))&lt;=Config!$B$8,DJ28=1,EI28=0),1,0)</f>
        <v>0</v>
      </c>
      <c r="DS28" s="23" t="n">
        <f aca="false">IF(AND(CC28=1,INT(N(H28))&lt;=Config!$B$5,DK28=1,EI28=0),1,0)</f>
        <v>0</v>
      </c>
      <c r="DT28" s="23" t="n">
        <f aca="false">IF(AND(CC28=1,INT(N(H28))&lt;=Config!$B$6,DH28=0),1,0)</f>
        <v>0</v>
      </c>
      <c r="DU28" s="23" t="n">
        <f aca="false">IF(AND(CC28=1,INT(N(H28))&lt;=Config!$B$7,DI28=0),1,0)</f>
        <v>0</v>
      </c>
      <c r="DV28" s="23" t="n">
        <f aca="false">IF(AND(CC28=1,INT(N(H28))&lt;=Config!$B$8,DJ28=0),1,0)</f>
        <v>0</v>
      </c>
      <c r="DW28" s="23" t="n">
        <f aca="false">IF(AND(CC28=1,INT(N(H28))&lt;=Config!$B$5,DK28=0),1,0)</f>
        <v>0</v>
      </c>
      <c r="DX28" s="23" t="n">
        <f aca="false">IF(TRIM($A28)="",0,ISTEXT(M28)+ISTEXT(O28)+ISTEXT(Y28)+ISTEXT(Z28)+ISTEXT(AA28)+ISTEXT(AV28))</f>
        <v>0</v>
      </c>
      <c r="DY28" s="23" t="n">
        <f aca="false">IF(BB28=1,IF(H28&lt;&gt;INT(H28),1,0),0)</f>
        <v>0</v>
      </c>
      <c r="DZ28" s="23" t="str">
        <f aca="false">IF(TRIM($A28)="","",IF(TRIM(B28)="",SUBSTITUTE(SUBSTITUTE(SUBSTITUTE(SUBSTITUTE(SUBSTITUTE(SUBSTITUTE(LOWER(TRIM($A28)),"~",""),"*",""),"?",""),"&lt;",""),"&gt;",""),"=",""),SUBSTITUTE(SUBSTITUTE(SUBSTITUTE(SUBSTITUTE(SUBSTITUTE(SUBSTITUTE(LOWER(TRIM(B28)),"~",""),"*",""),"?",""),"&lt;",""),"&gt;",""),"=","")))</f>
        <v/>
      </c>
      <c r="EA28" s="23" t="str">
        <f aca="false">IF(CW28="","",IFERROR(IF(LEFT(LOWER(TRIM(INDEX(Clay_Offices!$A$2:$FZ$601,CW28,Sync!$C$19)&amp;"")),4)="grp-",SUBSTITUTE(SUBSTITUTE(SUBSTITUTE(SUBSTITUTE(SUBSTITUTE(SUBSTITUTE(LOWER(TRIM(INDEX(Clay_Offices!$A$2:$FZ$601,CW28,Sync!$C$19)&amp;"")),"~",""),"*",""),"?",""),"&lt;",""),"&gt;",""),"=",""),""),""))</f>
        <v/>
      </c>
      <c r="EB28" s="23" t="str">
        <f aca="false">IF(EA28&lt;&gt;"",DZ28,"")</f>
        <v/>
      </c>
      <c r="EC28" s="23" t="str">
        <f aca="false">IF(BC28=1,AZ28,"")</f>
        <v/>
      </c>
      <c r="ED28" s="23" t="str">
        <f aca="false">IF(TRIM($A28)="","",IFERROR(INDEX($A$2:$A$201,MATCH(AZ28,$EC$2:$EC$201,0))&amp;"",$A28&amp;""))</f>
        <v/>
      </c>
      <c r="EE28" s="23" t="n">
        <f aca="false">IF(BB28=1,IF(COUNTIFS($A$2:$A$201,$A28,$BB$2:$BB$201,1,$H$2:$H$201,"&lt;"&amp;H28)+COUNTIFS($A$2:$A$201,$A28,$BB$2:$BB$201,1,$H$2:$H$201,H28,$BA$2:$BA$201,"&lt;"&amp;BA28)=0,1,0),0)</f>
        <v>0</v>
      </c>
      <c r="EF28" s="23" t="n">
        <f aca="false">IF(BC28=1,IF(COUNTIFS($AZ$2:$AZ$201,AZ28,$EE$2:$EE$201,1)&gt;1,1,0),0)</f>
        <v>0</v>
      </c>
      <c r="EG28" s="23" t="n">
        <f aca="false">IF(AND(CQ28=1),IF(COUNTIFS($AZ$2:$AZ$201,AZ28,$CQ$2:$CQ$201,1,$H$2:$H$201,"&gt;"&amp;H28)+COUNTIFS($AZ$2:$AZ$201,AZ28,$CQ$2:$CQ$201,1,$H$2:$H$201,H28,$BA$2:$BA$201,"&gt;"&amp;BA28)=0,1,0),0)</f>
        <v>0</v>
      </c>
      <c r="EH28" s="23" t="str">
        <f aca="false">IF(BB28=1,IF(COUNTIFS($AZ$2:$AZ$201,AZ28,$EG$2:$EG$201,1)=0,"",SUMIFS($O$2:$O$201,$AZ$2:$AZ$201,AZ28,$EG$2:$EG$201,1)),"")</f>
        <v/>
      </c>
      <c r="EI28" s="23" t="n">
        <f aca="false">IF(AND(ISNUMBER(EH28),OR(N(EH28)&lt;Config!$B$31,N(EH28)&gt;Config!$B$33)),1,0)</f>
        <v>0</v>
      </c>
      <c r="EJ28" s="23" t="n">
        <f aca="false">IF(AND(ISNUMBER(EH28),N(EH28)&gt;=Config!$B$31,N(EH28)&lt;Config!$B$32),1,0)</f>
        <v>0</v>
      </c>
      <c r="EK28" s="23" t="n">
        <f aca="false">IF(AND(BF28=1,INT(N(H28))&lt;=Config!$B$6,DH28=1,EI28=1),1,0)</f>
        <v>0</v>
      </c>
      <c r="EL28" s="23" t="n">
        <f aca="false">IF(AND(BF28=1,INT(N(H28))&lt;=Config!$B$7,DI28=1,EI28=1),1,0)</f>
        <v>0</v>
      </c>
      <c r="EM28" s="23" t="n">
        <f aca="false">IF(AND(BF28=1,INT(N(H28))&lt;=Config!$B$8,DJ28=1,EI28=1),1,0)</f>
        <v>0</v>
      </c>
      <c r="EN28" s="23" t="n">
        <f aca="false">IF(AND(BF28=1,INT(N(H28))&lt;=Config!$B$5,DK28=1,EI28=1),1,0)</f>
        <v>0</v>
      </c>
      <c r="EO28" s="23" t="n">
        <f aca="false">IF(AND(DL28=1,EJ28=1),1,0)</f>
        <v>0</v>
      </c>
      <c r="EP28" s="23" t="n">
        <f aca="false">IF(AND(DM28=1,EJ28=1),1,0)</f>
        <v>0</v>
      </c>
      <c r="EQ28" s="23" t="n">
        <f aca="false">IF(AND(DN28=1,EJ28=1),1,0)</f>
        <v>0</v>
      </c>
      <c r="ER28" s="23" t="n">
        <f aca="false">IF(AND(DO28=1,EJ28=1),1,0)</f>
        <v>0</v>
      </c>
    </row>
    <row r="29" customFormat="false" ht="15" hidden="false" customHeight="false" outlineLevel="0" collapsed="false">
      <c r="G29" s="32"/>
      <c r="H29" s="33"/>
      <c r="I29" s="32"/>
      <c r="L29" s="32"/>
      <c r="Q29" s="32"/>
      <c r="U29" s="32"/>
      <c r="W29" s="32"/>
      <c r="AC29" s="32"/>
      <c r="AF29" s="32"/>
      <c r="AI29" s="32"/>
      <c r="AJ29" s="32"/>
      <c r="AN29" s="32"/>
      <c r="AR29" s="32"/>
      <c r="AT29" s="32"/>
      <c r="AU29" s="32"/>
      <c r="AW29" s="32"/>
      <c r="AY29" s="34" t="str">
        <f aca="false">IF(TRIM($A29)="","",IF(AND(LEFT($A29,6)="SAMPLE",Config!$B$19&lt;&gt;"Y"),"",IF(NOT(ISNUMBER(H29)),"call_date is blank or not a date",IF(Sync!$C$5="","Clay paste is empty or has no row_id column: paste the Clay export on Clay_Offices",IF(CW29="","row_id not found in the Clay paste: add the Clay row or fix the row_id",IF(AND(ISNUMBER(CY29),CY29&gt;=1,CY29&lt;=5),"Clay status is "&amp;CX29&amp;": set call_done or later",IF(AND(BD29=1,CZ29&lt;&gt;BZ29),"Clay yes_in_principle should be "&amp;BZ29,IF(AND(BD29=1,DA29&lt;&gt;H29),"Clay call_date should be "&amp;TEXT(H29,"yyyy-mm-dd"),""))))))))</f>
        <v/>
      </c>
      <c r="AZ29" s="23" t="str">
        <f aca="false">IF(TRIM($A29)="","",IF(TRIM(C29)&lt;&gt;"",SUBSTITUTE(SUBSTITUTE(SUBSTITUTE(SUBSTITUTE(SUBSTITUTE(SUBSTITUTE(LOWER(TRIM(C29)),"~",""),"*",""),"?",""),"&lt;",""),"&gt;",""),"=",""),IF(EA29&lt;&gt;"",EA29,IFERROR(INDEX($EA$2:$EA$201,MATCH(DZ29,$EB$2:$EB$201,0)),DZ29))))</f>
        <v/>
      </c>
      <c r="BA29" s="23" t="n">
        <f aca="false">ROW()</f>
        <v>29</v>
      </c>
      <c r="BB29" s="23" t="n">
        <f aca="false">IF(AND(TRIM($A29)&lt;&gt;"",ISNUMBER(H29)),IF(AND(LEFT($A29,6)="SAMPLE",Config!$B$19&lt;&gt;"Y"),0,1),0)</f>
        <v>0</v>
      </c>
      <c r="BC29" s="23" t="n">
        <f aca="false">IF(BB29=1,IF(COUNTIFS($AZ$2:$AZ$201,AZ29,$BB$2:$BB$201,1,$H$2:$H$201,"&lt;"&amp;H29)+COUNTIFS($AZ$2:$AZ$201,AZ29,$BB$2:$BB$201,1,$H$2:$H$201,H29,$BA$2:$BA$201,"&lt;"&amp;BA29)=0,1,0),0)</f>
        <v>0</v>
      </c>
      <c r="BD29" s="23" t="n">
        <f aca="false">IF(BB29=1,IF(COUNTIFS($A$2:$A$201,$A29,$BB$2:$BB$201,1,$H$2:$H$201,"&gt;"&amp;H29)+COUNTIFS($A$2:$A$201,$A29,$BB$2:$BB$201,1,$H$2:$H$201,H29,$BA$2:$BA$201,"&gt;"&amp;BA29)=0,1,0),0)</f>
        <v>0</v>
      </c>
      <c r="BE29" s="23" t="n">
        <f aca="false">IF(AND(BB29=1,AR29="Y",AC29="Y",TRIM(AH29)&lt;&gt;""),1,0)</f>
        <v>0</v>
      </c>
      <c r="BF29" s="23" t="n">
        <f aca="false">IF(BE29=1,IF(COUNTIFS($AZ$2:$AZ$201,AZ29,$BE$2:$BE$201,1,$H$2:$H$201,"&lt;"&amp;H29)+COUNTIFS($AZ$2:$AZ$201,AZ29,$BE$2:$BE$201,1,$H$2:$H$201,H29,$BA$2:$BA$201,"&lt;"&amp;BA29)=0,1,0),0)</f>
        <v>0</v>
      </c>
      <c r="BG29" s="23" t="n">
        <f aca="false">IF(AND(BB29=1,AR29="Y",BE29=0),1,0)</f>
        <v>0</v>
      </c>
      <c r="BH29" s="23" t="n">
        <f aca="false">IF(AND(BB29=1,ISNUMBER(Y29)),1,0)</f>
        <v>0</v>
      </c>
      <c r="BI29" s="23" t="n">
        <f aca="false">IF(BH29=1,IF(COUNTIFS($AZ$2:$AZ$201,AZ29,$BH$2:$BH$201,1,$H$2:$H$201,"&lt;"&amp;H29)+COUNTIFS($AZ$2:$AZ$201,AZ29,$BH$2:$BH$201,1,$H$2:$H$201,H29,$BA$2:$BA$201,"&lt;"&amp;BA29)=0,1,0),0)</f>
        <v>0</v>
      </c>
      <c r="BJ29" s="23" t="str">
        <f aca="false">IF(AND(BI29=1,INT(N(H29))&lt;=Config!$B$6),Y29,"")</f>
        <v/>
      </c>
      <c r="BK29" s="23" t="str">
        <f aca="false">IF(AND(BI29=1,INT(N(H29))&lt;=Config!$B$7),Y29,"")</f>
        <v/>
      </c>
      <c r="BL29" s="23" t="str">
        <f aca="false">IF(AND(BI29=1,INT(N(H29))&lt;=Config!$B$8),Y29,"")</f>
        <v/>
      </c>
      <c r="BM29" s="23" t="str">
        <f aca="false">IF(AND(BI29=1,INT(N(H29))&lt;=Config!$B$5),Y29,"")</f>
        <v/>
      </c>
      <c r="BN29" s="23" t="n">
        <f aca="false">IF(CD29=1,IF(COUNTIFS($AZ$2:$AZ$201,AZ29,$CD$2:$CD$201,1,$H$2:$H$201,"&lt;"&amp;H29)+COUNTIFS($AZ$2:$AZ$201,AZ29,$CD$2:$CD$201,1,$H$2:$H$201,H29,$BA$2:$BA$201,"&lt;"&amp;BA29)=0,1,0),0)</f>
        <v>0</v>
      </c>
      <c r="BO29" s="23" t="n">
        <f aca="false">IF(AND(BB29=1,ISNUMBER(M29)),1,0)</f>
        <v>0</v>
      </c>
      <c r="BP29" s="23" t="n">
        <f aca="false">IF(BO29=1,IF(COUNTIFS($AZ$2:$AZ$201,AZ29,$BO$2:$BO$201,1,$H$2:$H$201,"&lt;"&amp;H29)+COUNTIFS($AZ$2:$AZ$201,AZ29,$BO$2:$BO$201,1,$H$2:$H$201,H29,$BA$2:$BA$201,"&lt;"&amp;BA29)=0,1,0),0)</f>
        <v>0</v>
      </c>
      <c r="BQ29" s="23" t="str">
        <f aca="false">IF(AND(BP29=1,INT(N(H29))&lt;=Config!$B$5),M29,"")</f>
        <v/>
      </c>
      <c r="BR29" s="23" t="n">
        <f aca="false">IF(AND(BB29=1,OR(TRIM(X29)&lt;&gt;"",ISNUMBER(Y29))),1,0)</f>
        <v>0</v>
      </c>
      <c r="BS29" s="23" t="n">
        <f aca="false">IF(BR29=1,IF(COUNTIFS($AZ$2:$AZ$201,AZ29,$BR$2:$BR$201,1,$H$2:$H$201,"&lt;"&amp;H29)+COUNTIFS($AZ$2:$AZ$201,AZ29,$BR$2:$BR$201,1,$H$2:$H$201,H29,$BA$2:$BA$201,"&lt;"&amp;BA29)=0,1,0),0)</f>
        <v>0</v>
      </c>
      <c r="BT29" s="23" t="str">
        <f aca="false">IF(BS29=1,AZ29,"")</f>
        <v/>
      </c>
      <c r="BU29" s="23" t="n">
        <f aca="false">IF(AND(BB29=1,W29="Y",TRIM(X29)=""),1,0)</f>
        <v>0</v>
      </c>
      <c r="BV29" s="23" t="str">
        <f aca="false">IF(BB29=1,AN29&amp;"","")</f>
        <v/>
      </c>
      <c r="BW29" s="23" t="str">
        <f aca="false">IF(BB29=1,AO29&amp;"","")</f>
        <v/>
      </c>
      <c r="BX29" s="23" t="str">
        <f aca="false">IF(BB29=1,AP29&amp;"","")</f>
        <v/>
      </c>
      <c r="BY29" s="23" t="str">
        <f aca="false">IF(AND(BB29=1,ISNUMBER(AV29),INT(N(H29))&lt;=Config!$B$5),AV29,"")</f>
        <v/>
      </c>
      <c r="BZ29" s="23" t="str">
        <f aca="false">IF(BB29=1,IF(COUNTIFS($A$2:$A$201,$A29,$DC$2:$DC$201,1,$AR$2:$AR$201,"Y")&gt;0,"Y","N"),"")</f>
        <v/>
      </c>
      <c r="CA29" s="23" t="n">
        <f aca="false">IF(AND(BB29=1,AR29="maybe"),1,0)</f>
        <v>0</v>
      </c>
      <c r="CB29" s="23" t="n">
        <f aca="false">IF(CA29=1,IF(COUNTIFS($AZ$2:$AZ$201,AZ29,$CA$2:$CA$201,1,$H$2:$H$201,"&lt;"&amp;H29)+COUNTIFS($AZ$2:$AZ$201,AZ29,$CA$2:$CA$201,1,$H$2:$H$201,H29,$BA$2:$BA$201,"&lt;"&amp;BA29)=0,1,0),0)</f>
        <v>0</v>
      </c>
      <c r="CC29" s="23" t="n">
        <f aca="false">IF(AND(BB29=1,AR29="Y"),IF(COUNTIFS($AZ$2:$AZ$201,AZ29,$AR$2:$AR$201,"Y",$BB$2:$BB$201,1,$H$2:$H$201,"&lt;"&amp;H29)+COUNTIFS($AZ$2:$AZ$201,AZ29,$AR$2:$AR$201,"Y",$BB$2:$BB$201,1,$H$2:$H$201,H29,$BA$2:$BA$201,"&lt;"&amp;BA29)=0,1,0),0)</f>
        <v>0</v>
      </c>
      <c r="CD29" s="23" t="n">
        <f aca="false">IF(AND(BH29=1,N(Y29)&gt;=Config!$B$15),1,0)</f>
        <v>0</v>
      </c>
      <c r="CE29" s="23" t="n">
        <f aca="false">IF(AND(BB29=1,AT29="Y"),1,0)</f>
        <v>0</v>
      </c>
      <c r="CF29" s="23" t="n">
        <f aca="false">IF(CE29=1,IF(COUNTIFS($AZ$2:$AZ$201,AZ29,$CE$2:$CE$201,1,$H$2:$H$201,"&lt;"&amp;H29)+COUNTIFS($AZ$2:$AZ$201,AZ29,$CE$2:$CE$201,1,$H$2:$H$201,H29,$BA$2:$BA$201,"&lt;"&amp;BA29)=0,1,0),0)</f>
        <v>0</v>
      </c>
      <c r="CG29" s="23" t="n">
        <f aca="false">IF(AND(BB29=1,G29="warm-intro"),1,0)</f>
        <v>0</v>
      </c>
      <c r="CH29" s="23" t="n">
        <f aca="false">IF(CG29=1,IF(COUNTIFS($AZ$2:$AZ$201,AZ29,$CG$2:$CG$201,1,$H$2:$H$201,"&lt;"&amp;H29)+COUNTIFS($AZ$2:$AZ$201,AZ29,$CG$2:$CG$201,1,$H$2:$H$201,H29,$BA$2:$BA$201,"&lt;"&amp;BA29)=0,1,0),0)</f>
        <v>0</v>
      </c>
      <c r="CI29" s="23" t="n">
        <f aca="false">IF(AND(BB29=1,Q29="Y"),1,0)</f>
        <v>0</v>
      </c>
      <c r="CJ29" s="23" t="n">
        <f aca="false">IF(CI29=1,IF(COUNTIFS($AZ$2:$AZ$201,AZ29,$CI$2:$CI$201,1,$H$2:$H$201,"&lt;"&amp;H29)+COUNTIFS($AZ$2:$AZ$201,AZ29,$CI$2:$CI$201,1,$H$2:$H$201,H29,$BA$2:$BA$201,"&lt;"&amp;BA29)=0,1,0),0)</f>
        <v>0</v>
      </c>
      <c r="CK29" s="23" t="n">
        <f aca="false">IF(AND(BB29=1,AF29="Y"),1,0)</f>
        <v>0</v>
      </c>
      <c r="CL29" s="23" t="n">
        <f aca="false">IF(CK29=1,IF(COUNTIFS($AZ$2:$AZ$201,AZ29,$CK$2:$CK$201,1,$H$2:$H$201,"&lt;"&amp;H29)+COUNTIFS($AZ$2:$AZ$201,AZ29,$CK$2:$CK$201,1,$H$2:$H$201,H29,$BA$2:$BA$201,"&lt;"&amp;BA29)=0,1,0),0)</f>
        <v>0</v>
      </c>
      <c r="CM29" s="23" t="n">
        <f aca="false">IF(AND(BB29=1,U29="Y"),1,0)</f>
        <v>0</v>
      </c>
      <c r="CN29" s="23" t="n">
        <f aca="false">IF(CM29=1,IF(COUNTIFS($AZ$2:$AZ$201,AZ29,$CM$2:$CM$201,1,$H$2:$H$201,"&lt;"&amp;H29)+COUNTIFS($AZ$2:$AZ$201,AZ29,$CM$2:$CM$201,1,$H$2:$H$201,H29,$BA$2:$BA$201,"&lt;"&amp;BA29)=0,1,0),0)</f>
        <v>0</v>
      </c>
      <c r="CO29" s="23" t="n">
        <f aca="false">IF(AND(BB29=1,L29="Y"),1,0)</f>
        <v>0</v>
      </c>
      <c r="CP29" s="23" t="n">
        <f aca="false">IF(CO29=1,IF(COUNTIFS($AZ$2:$AZ$201,AZ29,$CO$2:$CO$201,1,$H$2:$H$201,"&lt;"&amp;H29)+COUNTIFS($AZ$2:$AZ$201,AZ29,$CO$2:$CO$201,1,$H$2:$H$201,H29,$BA$2:$BA$201,"&lt;"&amp;BA29)=0,1,0),0)</f>
        <v>0</v>
      </c>
      <c r="CQ29" s="23" t="n">
        <f aca="false">IF(AND(BB29=1,ISNUMBER(O29)),1,0)</f>
        <v>0</v>
      </c>
      <c r="CR29" s="23" t="n">
        <f aca="false">IF(CQ29=1,IF(COUNTIFS($AZ$2:$AZ$201,AZ29,$CQ$2:$CQ$201,1,$H$2:$H$201,"&lt;"&amp;H29)+COUNTIFS($AZ$2:$AZ$201,AZ29,$CQ$2:$CQ$201,1,$H$2:$H$201,H29,$BA$2:$BA$201,"&lt;"&amp;BA29)=0,1,0),0)</f>
        <v>0</v>
      </c>
      <c r="CS29" s="23" t="str">
        <f aca="false">IF(AND(CR29=1,INT(N(H29))&lt;=Config!$B$5),O29,"")</f>
        <v/>
      </c>
      <c r="CT29" s="23" t="str">
        <f aca="false">IF(AND(BB29=1,INT(N(H29))&lt;=Config!$B$5),AG29&amp;"","")</f>
        <v/>
      </c>
      <c r="CU29" s="23" t="n">
        <f aca="false">IF(AND(BB29=1,AU29="Y"),1,0)</f>
        <v>0</v>
      </c>
      <c r="CV29" s="23" t="n">
        <f aca="false">IF(CU29=1,IF(COUNTIFS($AZ$2:$AZ$201,AZ29,$CU$2:$CU$201,1,$H$2:$H$201,"&lt;"&amp;H29)+COUNTIFS($AZ$2:$AZ$201,AZ29,$CU$2:$CU$201,1,$H$2:$H$201,H29,$BA$2:$BA$201,"&lt;"&amp;BA29)=0,1,0),0)</f>
        <v>0</v>
      </c>
      <c r="CW29" s="23" t="str">
        <f aca="false">IF(BB29=1,IFERROR(MATCH($A29,INDEX(Clay_Offices!$A$2:$FZ$601,0,Sync!$C$5),0),""),"")</f>
        <v/>
      </c>
      <c r="CX29" s="23" t="str">
        <f aca="false">IF(CW29="","",IFERROR(INDEX(Clay_Offices!$A$2:$FZ$601,CW29,Sync!$C$7)&amp;"",""))</f>
        <v/>
      </c>
      <c r="CY29" s="23" t="str">
        <f aca="false">IF(CX29="","",IFERROR(INDEX(Lists!$K$2:$K$15,MATCH(CX29,Lists!$J$2:$J$15,0)),""))</f>
        <v/>
      </c>
      <c r="CZ29" s="23" t="str">
        <f aca="false">IF(CW29="","",IFERROR(INDEX(Clay_Offices!$A$2:$FZ$601,CW29,Sync!$C$17)&amp;"",""))</f>
        <v/>
      </c>
      <c r="DA29" s="35" t="str">
        <f aca="false">IF(CW29="","",IFERROR(N(INDEX(Clay_Offices!$A$2:$FZ$601,CW29,Sync!$C$16)),0))</f>
        <v/>
      </c>
      <c r="DB29" s="23" t="n">
        <f aca="false">IF(AND(BB29=1,OR(AR29="Y",AR29="N",AR29="maybe")),1,0)</f>
        <v>0</v>
      </c>
      <c r="DC29" s="23" t="n">
        <f aca="false">IF(AND(DB29=1),IF(COUNTIFS($A$2:$A$201,$A29,$DB$2:$DB$201,1,$H$2:$H$201,"&gt;"&amp;H29)+COUNTIFS($A$2:$A$201,$A29,$DB$2:$DB$201,1,$H$2:$H$201,H29,$BA$2:$BA$201,"&gt;"&amp;BA29)=0,1,0),0)</f>
        <v>0</v>
      </c>
      <c r="DD29" s="23" t="n">
        <f aca="false">IF(AND(DB29=1,INT(N(H29))&lt;=Config!$B$6),IF(COUNTIFS($AZ$2:$AZ$201,AZ29,$DB$2:$DB$201,1,$H$2:$H$201,"&gt;"&amp;H29,$H$2:$H$201,"&lt;"&amp;(Config!$B$6+1))+COUNTIFS($AZ$2:$AZ$201,AZ29,$DB$2:$DB$201,1,$H$2:$H$201,H29,$BA$2:$BA$201,"&gt;"&amp;BA29)=0,1,0),0)</f>
        <v>0</v>
      </c>
      <c r="DE29" s="23" t="n">
        <f aca="false">IF(AND(DB29=1,INT(N(H29))&lt;=Config!$B$7),IF(COUNTIFS($AZ$2:$AZ$201,AZ29,$DB$2:$DB$201,1,$H$2:$H$201,"&gt;"&amp;H29,$H$2:$H$201,"&lt;"&amp;(Config!$B$7+1))+COUNTIFS($AZ$2:$AZ$201,AZ29,$DB$2:$DB$201,1,$H$2:$H$201,H29,$BA$2:$BA$201,"&gt;"&amp;BA29)=0,1,0),0)</f>
        <v>0</v>
      </c>
      <c r="DF29" s="23" t="n">
        <f aca="false">IF(AND(DB29=1,INT(N(H29))&lt;=Config!$B$8),IF(COUNTIFS($AZ$2:$AZ$201,AZ29,$DB$2:$DB$201,1,$H$2:$H$201,"&gt;"&amp;H29,$H$2:$H$201,"&lt;"&amp;(Config!$B$8+1))+COUNTIFS($AZ$2:$AZ$201,AZ29,$DB$2:$DB$201,1,$H$2:$H$201,H29,$BA$2:$BA$201,"&gt;"&amp;BA29)=0,1,0),0)</f>
        <v>0</v>
      </c>
      <c r="DG29" s="23" t="n">
        <f aca="false">IF(AND(DB29=1,INT(N(H29))&lt;=Config!$B$5),IF(COUNTIFS($AZ$2:$AZ$201,AZ29,$DB$2:$DB$201,1,$H$2:$H$201,"&gt;"&amp;H29,$H$2:$H$201,"&lt;"&amp;(Config!$B$5+1))+COUNTIFS($AZ$2:$AZ$201,AZ29,$DB$2:$DB$201,1,$H$2:$H$201,H29,$BA$2:$BA$201,"&gt;"&amp;BA29)=0,1,0),0)</f>
        <v>0</v>
      </c>
      <c r="DH29" s="23" t="n">
        <f aca="false">IF(BB29=1,IF(COUNTIFS($AZ$2:$AZ$201,AZ29,$DD$2:$DD$201,1,$AR$2:$AR$201,"Y")&gt;0,1,0),0)</f>
        <v>0</v>
      </c>
      <c r="DI29" s="23" t="n">
        <f aca="false">IF(BB29=1,IF(COUNTIFS($AZ$2:$AZ$201,AZ29,$DE$2:$DE$201,1,$AR$2:$AR$201,"Y")&gt;0,1,0),0)</f>
        <v>0</v>
      </c>
      <c r="DJ29" s="23" t="n">
        <f aca="false">IF(BB29=1,IF(COUNTIFS($AZ$2:$AZ$201,AZ29,$DF$2:$DF$201,1,$AR$2:$AR$201,"Y")&gt;0,1,0),0)</f>
        <v>0</v>
      </c>
      <c r="DK29" s="23" t="n">
        <f aca="false">IF(BB29=1,IF(COUNTIFS($AZ$2:$AZ$201,AZ29,$DG$2:$DG$201,1,$AR$2:$AR$201,"Y")&gt;0,1,0),0)</f>
        <v>0</v>
      </c>
      <c r="DL29" s="23" t="n">
        <f aca="false">IF(AND(BF29=1,INT(N(H29))&lt;=Config!$B$6,DH29=1,EI29=0),1,0)</f>
        <v>0</v>
      </c>
      <c r="DM29" s="23" t="n">
        <f aca="false">IF(AND(BF29=1,INT(N(H29))&lt;=Config!$B$7,DI29=1,EI29=0),1,0)</f>
        <v>0</v>
      </c>
      <c r="DN29" s="23" t="n">
        <f aca="false">IF(AND(BF29=1,INT(N(H29))&lt;=Config!$B$8,DJ29=1,EI29=0),1,0)</f>
        <v>0</v>
      </c>
      <c r="DO29" s="23" t="n">
        <f aca="false">IF(AND(BF29=1,INT(N(H29))&lt;=Config!$B$5,DK29=1,EI29=0),1,0)</f>
        <v>0</v>
      </c>
      <c r="DP29" s="23" t="n">
        <f aca="false">IF(AND(CC29=1,INT(N(H29))&lt;=Config!$B$6,DH29=1,EI29=0),1,0)</f>
        <v>0</v>
      </c>
      <c r="DQ29" s="23" t="n">
        <f aca="false">IF(AND(CC29=1,INT(N(H29))&lt;=Config!$B$7,DI29=1,EI29=0),1,0)</f>
        <v>0</v>
      </c>
      <c r="DR29" s="23" t="n">
        <f aca="false">IF(AND(CC29=1,INT(N(H29))&lt;=Config!$B$8,DJ29=1,EI29=0),1,0)</f>
        <v>0</v>
      </c>
      <c r="DS29" s="23" t="n">
        <f aca="false">IF(AND(CC29=1,INT(N(H29))&lt;=Config!$B$5,DK29=1,EI29=0),1,0)</f>
        <v>0</v>
      </c>
      <c r="DT29" s="23" t="n">
        <f aca="false">IF(AND(CC29=1,INT(N(H29))&lt;=Config!$B$6,DH29=0),1,0)</f>
        <v>0</v>
      </c>
      <c r="DU29" s="23" t="n">
        <f aca="false">IF(AND(CC29=1,INT(N(H29))&lt;=Config!$B$7,DI29=0),1,0)</f>
        <v>0</v>
      </c>
      <c r="DV29" s="23" t="n">
        <f aca="false">IF(AND(CC29=1,INT(N(H29))&lt;=Config!$B$8,DJ29=0),1,0)</f>
        <v>0</v>
      </c>
      <c r="DW29" s="23" t="n">
        <f aca="false">IF(AND(CC29=1,INT(N(H29))&lt;=Config!$B$5,DK29=0),1,0)</f>
        <v>0</v>
      </c>
      <c r="DX29" s="23" t="n">
        <f aca="false">IF(TRIM($A29)="",0,ISTEXT(M29)+ISTEXT(O29)+ISTEXT(Y29)+ISTEXT(Z29)+ISTEXT(AA29)+ISTEXT(AV29))</f>
        <v>0</v>
      </c>
      <c r="DY29" s="23" t="n">
        <f aca="false">IF(BB29=1,IF(H29&lt;&gt;INT(H29),1,0),0)</f>
        <v>0</v>
      </c>
      <c r="DZ29" s="23" t="str">
        <f aca="false">IF(TRIM($A29)="","",IF(TRIM(B29)="",SUBSTITUTE(SUBSTITUTE(SUBSTITUTE(SUBSTITUTE(SUBSTITUTE(SUBSTITUTE(LOWER(TRIM($A29)),"~",""),"*",""),"?",""),"&lt;",""),"&gt;",""),"=",""),SUBSTITUTE(SUBSTITUTE(SUBSTITUTE(SUBSTITUTE(SUBSTITUTE(SUBSTITUTE(LOWER(TRIM(B29)),"~",""),"*",""),"?",""),"&lt;",""),"&gt;",""),"=","")))</f>
        <v/>
      </c>
      <c r="EA29" s="23" t="str">
        <f aca="false">IF(CW29="","",IFERROR(IF(LEFT(LOWER(TRIM(INDEX(Clay_Offices!$A$2:$FZ$601,CW29,Sync!$C$19)&amp;"")),4)="grp-",SUBSTITUTE(SUBSTITUTE(SUBSTITUTE(SUBSTITUTE(SUBSTITUTE(SUBSTITUTE(LOWER(TRIM(INDEX(Clay_Offices!$A$2:$FZ$601,CW29,Sync!$C$19)&amp;"")),"~",""),"*",""),"?",""),"&lt;",""),"&gt;",""),"=",""),""),""))</f>
        <v/>
      </c>
      <c r="EB29" s="23" t="str">
        <f aca="false">IF(EA29&lt;&gt;"",DZ29,"")</f>
        <v/>
      </c>
      <c r="EC29" s="23" t="str">
        <f aca="false">IF(BC29=1,AZ29,"")</f>
        <v/>
      </c>
      <c r="ED29" s="23" t="str">
        <f aca="false">IF(TRIM($A29)="","",IFERROR(INDEX($A$2:$A$201,MATCH(AZ29,$EC$2:$EC$201,0))&amp;"",$A29&amp;""))</f>
        <v/>
      </c>
      <c r="EE29" s="23" t="n">
        <f aca="false">IF(BB29=1,IF(COUNTIFS($A$2:$A$201,$A29,$BB$2:$BB$201,1,$H$2:$H$201,"&lt;"&amp;H29)+COUNTIFS($A$2:$A$201,$A29,$BB$2:$BB$201,1,$H$2:$H$201,H29,$BA$2:$BA$201,"&lt;"&amp;BA29)=0,1,0),0)</f>
        <v>0</v>
      </c>
      <c r="EF29" s="23" t="n">
        <f aca="false">IF(BC29=1,IF(COUNTIFS($AZ$2:$AZ$201,AZ29,$EE$2:$EE$201,1)&gt;1,1,0),0)</f>
        <v>0</v>
      </c>
      <c r="EG29" s="23" t="n">
        <f aca="false">IF(AND(CQ29=1),IF(COUNTIFS($AZ$2:$AZ$201,AZ29,$CQ$2:$CQ$201,1,$H$2:$H$201,"&gt;"&amp;H29)+COUNTIFS($AZ$2:$AZ$201,AZ29,$CQ$2:$CQ$201,1,$H$2:$H$201,H29,$BA$2:$BA$201,"&gt;"&amp;BA29)=0,1,0),0)</f>
        <v>0</v>
      </c>
      <c r="EH29" s="23" t="str">
        <f aca="false">IF(BB29=1,IF(COUNTIFS($AZ$2:$AZ$201,AZ29,$EG$2:$EG$201,1)=0,"",SUMIFS($O$2:$O$201,$AZ$2:$AZ$201,AZ29,$EG$2:$EG$201,1)),"")</f>
        <v/>
      </c>
      <c r="EI29" s="23" t="n">
        <f aca="false">IF(AND(ISNUMBER(EH29),OR(N(EH29)&lt;Config!$B$31,N(EH29)&gt;Config!$B$33)),1,0)</f>
        <v>0</v>
      </c>
      <c r="EJ29" s="23" t="n">
        <f aca="false">IF(AND(ISNUMBER(EH29),N(EH29)&gt;=Config!$B$31,N(EH29)&lt;Config!$B$32),1,0)</f>
        <v>0</v>
      </c>
      <c r="EK29" s="23" t="n">
        <f aca="false">IF(AND(BF29=1,INT(N(H29))&lt;=Config!$B$6,DH29=1,EI29=1),1,0)</f>
        <v>0</v>
      </c>
      <c r="EL29" s="23" t="n">
        <f aca="false">IF(AND(BF29=1,INT(N(H29))&lt;=Config!$B$7,DI29=1,EI29=1),1,0)</f>
        <v>0</v>
      </c>
      <c r="EM29" s="23" t="n">
        <f aca="false">IF(AND(BF29=1,INT(N(H29))&lt;=Config!$B$8,DJ29=1,EI29=1),1,0)</f>
        <v>0</v>
      </c>
      <c r="EN29" s="23" t="n">
        <f aca="false">IF(AND(BF29=1,INT(N(H29))&lt;=Config!$B$5,DK29=1,EI29=1),1,0)</f>
        <v>0</v>
      </c>
      <c r="EO29" s="23" t="n">
        <f aca="false">IF(AND(DL29=1,EJ29=1),1,0)</f>
        <v>0</v>
      </c>
      <c r="EP29" s="23" t="n">
        <f aca="false">IF(AND(DM29=1,EJ29=1),1,0)</f>
        <v>0</v>
      </c>
      <c r="EQ29" s="23" t="n">
        <f aca="false">IF(AND(DN29=1,EJ29=1),1,0)</f>
        <v>0</v>
      </c>
      <c r="ER29" s="23" t="n">
        <f aca="false">IF(AND(DO29=1,EJ29=1),1,0)</f>
        <v>0</v>
      </c>
    </row>
    <row r="30" customFormat="false" ht="15" hidden="false" customHeight="false" outlineLevel="0" collapsed="false">
      <c r="G30" s="32"/>
      <c r="H30" s="33"/>
      <c r="I30" s="32"/>
      <c r="L30" s="32"/>
      <c r="Q30" s="32"/>
      <c r="U30" s="32"/>
      <c r="W30" s="32"/>
      <c r="AC30" s="32"/>
      <c r="AF30" s="32"/>
      <c r="AI30" s="32"/>
      <c r="AJ30" s="32"/>
      <c r="AN30" s="32"/>
      <c r="AR30" s="32"/>
      <c r="AT30" s="32"/>
      <c r="AU30" s="32"/>
      <c r="AW30" s="32"/>
      <c r="AY30" s="34" t="str">
        <f aca="false">IF(TRIM($A30)="","",IF(AND(LEFT($A30,6)="SAMPLE",Config!$B$19&lt;&gt;"Y"),"",IF(NOT(ISNUMBER(H30)),"call_date is blank or not a date",IF(Sync!$C$5="","Clay paste is empty or has no row_id column: paste the Clay export on Clay_Offices",IF(CW30="","row_id not found in the Clay paste: add the Clay row or fix the row_id",IF(AND(ISNUMBER(CY30),CY30&gt;=1,CY30&lt;=5),"Clay status is "&amp;CX30&amp;": set call_done or later",IF(AND(BD30=1,CZ30&lt;&gt;BZ30),"Clay yes_in_principle should be "&amp;BZ30,IF(AND(BD30=1,DA30&lt;&gt;H30),"Clay call_date should be "&amp;TEXT(H30,"yyyy-mm-dd"),""))))))))</f>
        <v/>
      </c>
      <c r="AZ30" s="23" t="str">
        <f aca="false">IF(TRIM($A30)="","",IF(TRIM(C30)&lt;&gt;"",SUBSTITUTE(SUBSTITUTE(SUBSTITUTE(SUBSTITUTE(SUBSTITUTE(SUBSTITUTE(LOWER(TRIM(C30)),"~",""),"*",""),"?",""),"&lt;",""),"&gt;",""),"=",""),IF(EA30&lt;&gt;"",EA30,IFERROR(INDEX($EA$2:$EA$201,MATCH(DZ30,$EB$2:$EB$201,0)),DZ30))))</f>
        <v/>
      </c>
      <c r="BA30" s="23" t="n">
        <f aca="false">ROW()</f>
        <v>30</v>
      </c>
      <c r="BB30" s="23" t="n">
        <f aca="false">IF(AND(TRIM($A30)&lt;&gt;"",ISNUMBER(H30)),IF(AND(LEFT($A30,6)="SAMPLE",Config!$B$19&lt;&gt;"Y"),0,1),0)</f>
        <v>0</v>
      </c>
      <c r="BC30" s="23" t="n">
        <f aca="false">IF(BB30=1,IF(COUNTIFS($AZ$2:$AZ$201,AZ30,$BB$2:$BB$201,1,$H$2:$H$201,"&lt;"&amp;H30)+COUNTIFS($AZ$2:$AZ$201,AZ30,$BB$2:$BB$201,1,$H$2:$H$201,H30,$BA$2:$BA$201,"&lt;"&amp;BA30)=0,1,0),0)</f>
        <v>0</v>
      </c>
      <c r="BD30" s="23" t="n">
        <f aca="false">IF(BB30=1,IF(COUNTIFS($A$2:$A$201,$A30,$BB$2:$BB$201,1,$H$2:$H$201,"&gt;"&amp;H30)+COUNTIFS($A$2:$A$201,$A30,$BB$2:$BB$201,1,$H$2:$H$201,H30,$BA$2:$BA$201,"&gt;"&amp;BA30)=0,1,0),0)</f>
        <v>0</v>
      </c>
      <c r="BE30" s="23" t="n">
        <f aca="false">IF(AND(BB30=1,AR30="Y",AC30="Y",TRIM(AH30)&lt;&gt;""),1,0)</f>
        <v>0</v>
      </c>
      <c r="BF30" s="23" t="n">
        <f aca="false">IF(BE30=1,IF(COUNTIFS($AZ$2:$AZ$201,AZ30,$BE$2:$BE$201,1,$H$2:$H$201,"&lt;"&amp;H30)+COUNTIFS($AZ$2:$AZ$201,AZ30,$BE$2:$BE$201,1,$H$2:$H$201,H30,$BA$2:$BA$201,"&lt;"&amp;BA30)=0,1,0),0)</f>
        <v>0</v>
      </c>
      <c r="BG30" s="23" t="n">
        <f aca="false">IF(AND(BB30=1,AR30="Y",BE30=0),1,0)</f>
        <v>0</v>
      </c>
      <c r="BH30" s="23" t="n">
        <f aca="false">IF(AND(BB30=1,ISNUMBER(Y30)),1,0)</f>
        <v>0</v>
      </c>
      <c r="BI30" s="23" t="n">
        <f aca="false">IF(BH30=1,IF(COUNTIFS($AZ$2:$AZ$201,AZ30,$BH$2:$BH$201,1,$H$2:$H$201,"&lt;"&amp;H30)+COUNTIFS($AZ$2:$AZ$201,AZ30,$BH$2:$BH$201,1,$H$2:$H$201,H30,$BA$2:$BA$201,"&lt;"&amp;BA30)=0,1,0),0)</f>
        <v>0</v>
      </c>
      <c r="BJ30" s="23" t="str">
        <f aca="false">IF(AND(BI30=1,INT(N(H30))&lt;=Config!$B$6),Y30,"")</f>
        <v/>
      </c>
      <c r="BK30" s="23" t="str">
        <f aca="false">IF(AND(BI30=1,INT(N(H30))&lt;=Config!$B$7),Y30,"")</f>
        <v/>
      </c>
      <c r="BL30" s="23" t="str">
        <f aca="false">IF(AND(BI30=1,INT(N(H30))&lt;=Config!$B$8),Y30,"")</f>
        <v/>
      </c>
      <c r="BM30" s="23" t="str">
        <f aca="false">IF(AND(BI30=1,INT(N(H30))&lt;=Config!$B$5),Y30,"")</f>
        <v/>
      </c>
      <c r="BN30" s="23" t="n">
        <f aca="false">IF(CD30=1,IF(COUNTIFS($AZ$2:$AZ$201,AZ30,$CD$2:$CD$201,1,$H$2:$H$201,"&lt;"&amp;H30)+COUNTIFS($AZ$2:$AZ$201,AZ30,$CD$2:$CD$201,1,$H$2:$H$201,H30,$BA$2:$BA$201,"&lt;"&amp;BA30)=0,1,0),0)</f>
        <v>0</v>
      </c>
      <c r="BO30" s="23" t="n">
        <f aca="false">IF(AND(BB30=1,ISNUMBER(M30)),1,0)</f>
        <v>0</v>
      </c>
      <c r="BP30" s="23" t="n">
        <f aca="false">IF(BO30=1,IF(COUNTIFS($AZ$2:$AZ$201,AZ30,$BO$2:$BO$201,1,$H$2:$H$201,"&lt;"&amp;H30)+COUNTIFS($AZ$2:$AZ$201,AZ30,$BO$2:$BO$201,1,$H$2:$H$201,H30,$BA$2:$BA$201,"&lt;"&amp;BA30)=0,1,0),0)</f>
        <v>0</v>
      </c>
      <c r="BQ30" s="23" t="str">
        <f aca="false">IF(AND(BP30=1,INT(N(H30))&lt;=Config!$B$5),M30,"")</f>
        <v/>
      </c>
      <c r="BR30" s="23" t="n">
        <f aca="false">IF(AND(BB30=1,OR(TRIM(X30)&lt;&gt;"",ISNUMBER(Y30))),1,0)</f>
        <v>0</v>
      </c>
      <c r="BS30" s="23" t="n">
        <f aca="false">IF(BR30=1,IF(COUNTIFS($AZ$2:$AZ$201,AZ30,$BR$2:$BR$201,1,$H$2:$H$201,"&lt;"&amp;H30)+COUNTIFS($AZ$2:$AZ$201,AZ30,$BR$2:$BR$201,1,$H$2:$H$201,H30,$BA$2:$BA$201,"&lt;"&amp;BA30)=0,1,0),0)</f>
        <v>0</v>
      </c>
      <c r="BT30" s="23" t="str">
        <f aca="false">IF(BS30=1,AZ30,"")</f>
        <v/>
      </c>
      <c r="BU30" s="23" t="n">
        <f aca="false">IF(AND(BB30=1,W30="Y",TRIM(X30)=""),1,0)</f>
        <v>0</v>
      </c>
      <c r="BV30" s="23" t="str">
        <f aca="false">IF(BB30=1,AN30&amp;"","")</f>
        <v/>
      </c>
      <c r="BW30" s="23" t="str">
        <f aca="false">IF(BB30=1,AO30&amp;"","")</f>
        <v/>
      </c>
      <c r="BX30" s="23" t="str">
        <f aca="false">IF(BB30=1,AP30&amp;"","")</f>
        <v/>
      </c>
      <c r="BY30" s="23" t="str">
        <f aca="false">IF(AND(BB30=1,ISNUMBER(AV30),INT(N(H30))&lt;=Config!$B$5),AV30,"")</f>
        <v/>
      </c>
      <c r="BZ30" s="23" t="str">
        <f aca="false">IF(BB30=1,IF(COUNTIFS($A$2:$A$201,$A30,$DC$2:$DC$201,1,$AR$2:$AR$201,"Y")&gt;0,"Y","N"),"")</f>
        <v/>
      </c>
      <c r="CA30" s="23" t="n">
        <f aca="false">IF(AND(BB30=1,AR30="maybe"),1,0)</f>
        <v>0</v>
      </c>
      <c r="CB30" s="23" t="n">
        <f aca="false">IF(CA30=1,IF(COUNTIFS($AZ$2:$AZ$201,AZ30,$CA$2:$CA$201,1,$H$2:$H$201,"&lt;"&amp;H30)+COUNTIFS($AZ$2:$AZ$201,AZ30,$CA$2:$CA$201,1,$H$2:$H$201,H30,$BA$2:$BA$201,"&lt;"&amp;BA30)=0,1,0),0)</f>
        <v>0</v>
      </c>
      <c r="CC30" s="23" t="n">
        <f aca="false">IF(AND(BB30=1,AR30="Y"),IF(COUNTIFS($AZ$2:$AZ$201,AZ30,$AR$2:$AR$201,"Y",$BB$2:$BB$201,1,$H$2:$H$201,"&lt;"&amp;H30)+COUNTIFS($AZ$2:$AZ$201,AZ30,$AR$2:$AR$201,"Y",$BB$2:$BB$201,1,$H$2:$H$201,H30,$BA$2:$BA$201,"&lt;"&amp;BA30)=0,1,0),0)</f>
        <v>0</v>
      </c>
      <c r="CD30" s="23" t="n">
        <f aca="false">IF(AND(BH30=1,N(Y30)&gt;=Config!$B$15),1,0)</f>
        <v>0</v>
      </c>
      <c r="CE30" s="23" t="n">
        <f aca="false">IF(AND(BB30=1,AT30="Y"),1,0)</f>
        <v>0</v>
      </c>
      <c r="CF30" s="23" t="n">
        <f aca="false">IF(CE30=1,IF(COUNTIFS($AZ$2:$AZ$201,AZ30,$CE$2:$CE$201,1,$H$2:$H$201,"&lt;"&amp;H30)+COUNTIFS($AZ$2:$AZ$201,AZ30,$CE$2:$CE$201,1,$H$2:$H$201,H30,$BA$2:$BA$201,"&lt;"&amp;BA30)=0,1,0),0)</f>
        <v>0</v>
      </c>
      <c r="CG30" s="23" t="n">
        <f aca="false">IF(AND(BB30=1,G30="warm-intro"),1,0)</f>
        <v>0</v>
      </c>
      <c r="CH30" s="23" t="n">
        <f aca="false">IF(CG30=1,IF(COUNTIFS($AZ$2:$AZ$201,AZ30,$CG$2:$CG$201,1,$H$2:$H$201,"&lt;"&amp;H30)+COUNTIFS($AZ$2:$AZ$201,AZ30,$CG$2:$CG$201,1,$H$2:$H$201,H30,$BA$2:$BA$201,"&lt;"&amp;BA30)=0,1,0),0)</f>
        <v>0</v>
      </c>
      <c r="CI30" s="23" t="n">
        <f aca="false">IF(AND(BB30=1,Q30="Y"),1,0)</f>
        <v>0</v>
      </c>
      <c r="CJ30" s="23" t="n">
        <f aca="false">IF(CI30=1,IF(COUNTIFS($AZ$2:$AZ$201,AZ30,$CI$2:$CI$201,1,$H$2:$H$201,"&lt;"&amp;H30)+COUNTIFS($AZ$2:$AZ$201,AZ30,$CI$2:$CI$201,1,$H$2:$H$201,H30,$BA$2:$BA$201,"&lt;"&amp;BA30)=0,1,0),0)</f>
        <v>0</v>
      </c>
      <c r="CK30" s="23" t="n">
        <f aca="false">IF(AND(BB30=1,AF30="Y"),1,0)</f>
        <v>0</v>
      </c>
      <c r="CL30" s="23" t="n">
        <f aca="false">IF(CK30=1,IF(COUNTIFS($AZ$2:$AZ$201,AZ30,$CK$2:$CK$201,1,$H$2:$H$201,"&lt;"&amp;H30)+COUNTIFS($AZ$2:$AZ$201,AZ30,$CK$2:$CK$201,1,$H$2:$H$201,H30,$BA$2:$BA$201,"&lt;"&amp;BA30)=0,1,0),0)</f>
        <v>0</v>
      </c>
      <c r="CM30" s="23" t="n">
        <f aca="false">IF(AND(BB30=1,U30="Y"),1,0)</f>
        <v>0</v>
      </c>
      <c r="CN30" s="23" t="n">
        <f aca="false">IF(CM30=1,IF(COUNTIFS($AZ$2:$AZ$201,AZ30,$CM$2:$CM$201,1,$H$2:$H$201,"&lt;"&amp;H30)+COUNTIFS($AZ$2:$AZ$201,AZ30,$CM$2:$CM$201,1,$H$2:$H$201,H30,$BA$2:$BA$201,"&lt;"&amp;BA30)=0,1,0),0)</f>
        <v>0</v>
      </c>
      <c r="CO30" s="23" t="n">
        <f aca="false">IF(AND(BB30=1,L30="Y"),1,0)</f>
        <v>0</v>
      </c>
      <c r="CP30" s="23" t="n">
        <f aca="false">IF(CO30=1,IF(COUNTIFS($AZ$2:$AZ$201,AZ30,$CO$2:$CO$201,1,$H$2:$H$201,"&lt;"&amp;H30)+COUNTIFS($AZ$2:$AZ$201,AZ30,$CO$2:$CO$201,1,$H$2:$H$201,H30,$BA$2:$BA$201,"&lt;"&amp;BA30)=0,1,0),0)</f>
        <v>0</v>
      </c>
      <c r="CQ30" s="23" t="n">
        <f aca="false">IF(AND(BB30=1,ISNUMBER(O30)),1,0)</f>
        <v>0</v>
      </c>
      <c r="CR30" s="23" t="n">
        <f aca="false">IF(CQ30=1,IF(COUNTIFS($AZ$2:$AZ$201,AZ30,$CQ$2:$CQ$201,1,$H$2:$H$201,"&lt;"&amp;H30)+COUNTIFS($AZ$2:$AZ$201,AZ30,$CQ$2:$CQ$201,1,$H$2:$H$201,H30,$BA$2:$BA$201,"&lt;"&amp;BA30)=0,1,0),0)</f>
        <v>0</v>
      </c>
      <c r="CS30" s="23" t="str">
        <f aca="false">IF(AND(CR30=1,INT(N(H30))&lt;=Config!$B$5),O30,"")</f>
        <v/>
      </c>
      <c r="CT30" s="23" t="str">
        <f aca="false">IF(AND(BB30=1,INT(N(H30))&lt;=Config!$B$5),AG30&amp;"","")</f>
        <v/>
      </c>
      <c r="CU30" s="23" t="n">
        <f aca="false">IF(AND(BB30=1,AU30="Y"),1,0)</f>
        <v>0</v>
      </c>
      <c r="CV30" s="23" t="n">
        <f aca="false">IF(CU30=1,IF(COUNTIFS($AZ$2:$AZ$201,AZ30,$CU$2:$CU$201,1,$H$2:$H$201,"&lt;"&amp;H30)+COUNTIFS($AZ$2:$AZ$201,AZ30,$CU$2:$CU$201,1,$H$2:$H$201,H30,$BA$2:$BA$201,"&lt;"&amp;BA30)=0,1,0),0)</f>
        <v>0</v>
      </c>
      <c r="CW30" s="23" t="str">
        <f aca="false">IF(BB30=1,IFERROR(MATCH($A30,INDEX(Clay_Offices!$A$2:$FZ$601,0,Sync!$C$5),0),""),"")</f>
        <v/>
      </c>
      <c r="CX30" s="23" t="str">
        <f aca="false">IF(CW30="","",IFERROR(INDEX(Clay_Offices!$A$2:$FZ$601,CW30,Sync!$C$7)&amp;"",""))</f>
        <v/>
      </c>
      <c r="CY30" s="23" t="str">
        <f aca="false">IF(CX30="","",IFERROR(INDEX(Lists!$K$2:$K$15,MATCH(CX30,Lists!$J$2:$J$15,0)),""))</f>
        <v/>
      </c>
      <c r="CZ30" s="23" t="str">
        <f aca="false">IF(CW30="","",IFERROR(INDEX(Clay_Offices!$A$2:$FZ$601,CW30,Sync!$C$17)&amp;"",""))</f>
        <v/>
      </c>
      <c r="DA30" s="35" t="str">
        <f aca="false">IF(CW30="","",IFERROR(N(INDEX(Clay_Offices!$A$2:$FZ$601,CW30,Sync!$C$16)),0))</f>
        <v/>
      </c>
      <c r="DB30" s="23" t="n">
        <f aca="false">IF(AND(BB30=1,OR(AR30="Y",AR30="N",AR30="maybe")),1,0)</f>
        <v>0</v>
      </c>
      <c r="DC30" s="23" t="n">
        <f aca="false">IF(AND(DB30=1),IF(COUNTIFS($A$2:$A$201,$A30,$DB$2:$DB$201,1,$H$2:$H$201,"&gt;"&amp;H30)+COUNTIFS($A$2:$A$201,$A30,$DB$2:$DB$201,1,$H$2:$H$201,H30,$BA$2:$BA$201,"&gt;"&amp;BA30)=0,1,0),0)</f>
        <v>0</v>
      </c>
      <c r="DD30" s="23" t="n">
        <f aca="false">IF(AND(DB30=1,INT(N(H30))&lt;=Config!$B$6),IF(COUNTIFS($AZ$2:$AZ$201,AZ30,$DB$2:$DB$201,1,$H$2:$H$201,"&gt;"&amp;H30,$H$2:$H$201,"&lt;"&amp;(Config!$B$6+1))+COUNTIFS($AZ$2:$AZ$201,AZ30,$DB$2:$DB$201,1,$H$2:$H$201,H30,$BA$2:$BA$201,"&gt;"&amp;BA30)=0,1,0),0)</f>
        <v>0</v>
      </c>
      <c r="DE30" s="23" t="n">
        <f aca="false">IF(AND(DB30=1,INT(N(H30))&lt;=Config!$B$7),IF(COUNTIFS($AZ$2:$AZ$201,AZ30,$DB$2:$DB$201,1,$H$2:$H$201,"&gt;"&amp;H30,$H$2:$H$201,"&lt;"&amp;(Config!$B$7+1))+COUNTIFS($AZ$2:$AZ$201,AZ30,$DB$2:$DB$201,1,$H$2:$H$201,H30,$BA$2:$BA$201,"&gt;"&amp;BA30)=0,1,0),0)</f>
        <v>0</v>
      </c>
      <c r="DF30" s="23" t="n">
        <f aca="false">IF(AND(DB30=1,INT(N(H30))&lt;=Config!$B$8),IF(COUNTIFS($AZ$2:$AZ$201,AZ30,$DB$2:$DB$201,1,$H$2:$H$201,"&gt;"&amp;H30,$H$2:$H$201,"&lt;"&amp;(Config!$B$8+1))+COUNTIFS($AZ$2:$AZ$201,AZ30,$DB$2:$DB$201,1,$H$2:$H$201,H30,$BA$2:$BA$201,"&gt;"&amp;BA30)=0,1,0),0)</f>
        <v>0</v>
      </c>
      <c r="DG30" s="23" t="n">
        <f aca="false">IF(AND(DB30=1,INT(N(H30))&lt;=Config!$B$5),IF(COUNTIFS($AZ$2:$AZ$201,AZ30,$DB$2:$DB$201,1,$H$2:$H$201,"&gt;"&amp;H30,$H$2:$H$201,"&lt;"&amp;(Config!$B$5+1))+COUNTIFS($AZ$2:$AZ$201,AZ30,$DB$2:$DB$201,1,$H$2:$H$201,H30,$BA$2:$BA$201,"&gt;"&amp;BA30)=0,1,0),0)</f>
        <v>0</v>
      </c>
      <c r="DH30" s="23" t="n">
        <f aca="false">IF(BB30=1,IF(COUNTIFS($AZ$2:$AZ$201,AZ30,$DD$2:$DD$201,1,$AR$2:$AR$201,"Y")&gt;0,1,0),0)</f>
        <v>0</v>
      </c>
      <c r="DI30" s="23" t="n">
        <f aca="false">IF(BB30=1,IF(COUNTIFS($AZ$2:$AZ$201,AZ30,$DE$2:$DE$201,1,$AR$2:$AR$201,"Y")&gt;0,1,0),0)</f>
        <v>0</v>
      </c>
      <c r="DJ30" s="23" t="n">
        <f aca="false">IF(BB30=1,IF(COUNTIFS($AZ$2:$AZ$201,AZ30,$DF$2:$DF$201,1,$AR$2:$AR$201,"Y")&gt;0,1,0),0)</f>
        <v>0</v>
      </c>
      <c r="DK30" s="23" t="n">
        <f aca="false">IF(BB30=1,IF(COUNTIFS($AZ$2:$AZ$201,AZ30,$DG$2:$DG$201,1,$AR$2:$AR$201,"Y")&gt;0,1,0),0)</f>
        <v>0</v>
      </c>
      <c r="DL30" s="23" t="n">
        <f aca="false">IF(AND(BF30=1,INT(N(H30))&lt;=Config!$B$6,DH30=1,EI30=0),1,0)</f>
        <v>0</v>
      </c>
      <c r="DM30" s="23" t="n">
        <f aca="false">IF(AND(BF30=1,INT(N(H30))&lt;=Config!$B$7,DI30=1,EI30=0),1,0)</f>
        <v>0</v>
      </c>
      <c r="DN30" s="23" t="n">
        <f aca="false">IF(AND(BF30=1,INT(N(H30))&lt;=Config!$B$8,DJ30=1,EI30=0),1,0)</f>
        <v>0</v>
      </c>
      <c r="DO30" s="23" t="n">
        <f aca="false">IF(AND(BF30=1,INT(N(H30))&lt;=Config!$B$5,DK30=1,EI30=0),1,0)</f>
        <v>0</v>
      </c>
      <c r="DP30" s="23" t="n">
        <f aca="false">IF(AND(CC30=1,INT(N(H30))&lt;=Config!$B$6,DH30=1,EI30=0),1,0)</f>
        <v>0</v>
      </c>
      <c r="DQ30" s="23" t="n">
        <f aca="false">IF(AND(CC30=1,INT(N(H30))&lt;=Config!$B$7,DI30=1,EI30=0),1,0)</f>
        <v>0</v>
      </c>
      <c r="DR30" s="23" t="n">
        <f aca="false">IF(AND(CC30=1,INT(N(H30))&lt;=Config!$B$8,DJ30=1,EI30=0),1,0)</f>
        <v>0</v>
      </c>
      <c r="DS30" s="23" t="n">
        <f aca="false">IF(AND(CC30=1,INT(N(H30))&lt;=Config!$B$5,DK30=1,EI30=0),1,0)</f>
        <v>0</v>
      </c>
      <c r="DT30" s="23" t="n">
        <f aca="false">IF(AND(CC30=1,INT(N(H30))&lt;=Config!$B$6,DH30=0),1,0)</f>
        <v>0</v>
      </c>
      <c r="DU30" s="23" t="n">
        <f aca="false">IF(AND(CC30=1,INT(N(H30))&lt;=Config!$B$7,DI30=0),1,0)</f>
        <v>0</v>
      </c>
      <c r="DV30" s="23" t="n">
        <f aca="false">IF(AND(CC30=1,INT(N(H30))&lt;=Config!$B$8,DJ30=0),1,0)</f>
        <v>0</v>
      </c>
      <c r="DW30" s="23" t="n">
        <f aca="false">IF(AND(CC30=1,INT(N(H30))&lt;=Config!$B$5,DK30=0),1,0)</f>
        <v>0</v>
      </c>
      <c r="DX30" s="23" t="n">
        <f aca="false">IF(TRIM($A30)="",0,ISTEXT(M30)+ISTEXT(O30)+ISTEXT(Y30)+ISTEXT(Z30)+ISTEXT(AA30)+ISTEXT(AV30))</f>
        <v>0</v>
      </c>
      <c r="DY30" s="23" t="n">
        <f aca="false">IF(BB30=1,IF(H30&lt;&gt;INT(H30),1,0),0)</f>
        <v>0</v>
      </c>
      <c r="DZ30" s="23" t="str">
        <f aca="false">IF(TRIM($A30)="","",IF(TRIM(B30)="",SUBSTITUTE(SUBSTITUTE(SUBSTITUTE(SUBSTITUTE(SUBSTITUTE(SUBSTITUTE(LOWER(TRIM($A30)),"~",""),"*",""),"?",""),"&lt;",""),"&gt;",""),"=",""),SUBSTITUTE(SUBSTITUTE(SUBSTITUTE(SUBSTITUTE(SUBSTITUTE(SUBSTITUTE(LOWER(TRIM(B30)),"~",""),"*",""),"?",""),"&lt;",""),"&gt;",""),"=","")))</f>
        <v/>
      </c>
      <c r="EA30" s="23" t="str">
        <f aca="false">IF(CW30="","",IFERROR(IF(LEFT(LOWER(TRIM(INDEX(Clay_Offices!$A$2:$FZ$601,CW30,Sync!$C$19)&amp;"")),4)="grp-",SUBSTITUTE(SUBSTITUTE(SUBSTITUTE(SUBSTITUTE(SUBSTITUTE(SUBSTITUTE(LOWER(TRIM(INDEX(Clay_Offices!$A$2:$FZ$601,CW30,Sync!$C$19)&amp;"")),"~",""),"*",""),"?",""),"&lt;",""),"&gt;",""),"=",""),""),""))</f>
        <v/>
      </c>
      <c r="EB30" s="23" t="str">
        <f aca="false">IF(EA30&lt;&gt;"",DZ30,"")</f>
        <v/>
      </c>
      <c r="EC30" s="23" t="str">
        <f aca="false">IF(BC30=1,AZ30,"")</f>
        <v/>
      </c>
      <c r="ED30" s="23" t="str">
        <f aca="false">IF(TRIM($A30)="","",IFERROR(INDEX($A$2:$A$201,MATCH(AZ30,$EC$2:$EC$201,0))&amp;"",$A30&amp;""))</f>
        <v/>
      </c>
      <c r="EE30" s="23" t="n">
        <f aca="false">IF(BB30=1,IF(COUNTIFS($A$2:$A$201,$A30,$BB$2:$BB$201,1,$H$2:$H$201,"&lt;"&amp;H30)+COUNTIFS($A$2:$A$201,$A30,$BB$2:$BB$201,1,$H$2:$H$201,H30,$BA$2:$BA$201,"&lt;"&amp;BA30)=0,1,0),0)</f>
        <v>0</v>
      </c>
      <c r="EF30" s="23" t="n">
        <f aca="false">IF(BC30=1,IF(COUNTIFS($AZ$2:$AZ$201,AZ30,$EE$2:$EE$201,1)&gt;1,1,0),0)</f>
        <v>0</v>
      </c>
      <c r="EG30" s="23" t="n">
        <f aca="false">IF(AND(CQ30=1),IF(COUNTIFS($AZ$2:$AZ$201,AZ30,$CQ$2:$CQ$201,1,$H$2:$H$201,"&gt;"&amp;H30)+COUNTIFS($AZ$2:$AZ$201,AZ30,$CQ$2:$CQ$201,1,$H$2:$H$201,H30,$BA$2:$BA$201,"&gt;"&amp;BA30)=0,1,0),0)</f>
        <v>0</v>
      </c>
      <c r="EH30" s="23" t="str">
        <f aca="false">IF(BB30=1,IF(COUNTIFS($AZ$2:$AZ$201,AZ30,$EG$2:$EG$201,1)=0,"",SUMIFS($O$2:$O$201,$AZ$2:$AZ$201,AZ30,$EG$2:$EG$201,1)),"")</f>
        <v/>
      </c>
      <c r="EI30" s="23" t="n">
        <f aca="false">IF(AND(ISNUMBER(EH30),OR(N(EH30)&lt;Config!$B$31,N(EH30)&gt;Config!$B$33)),1,0)</f>
        <v>0</v>
      </c>
      <c r="EJ30" s="23" t="n">
        <f aca="false">IF(AND(ISNUMBER(EH30),N(EH30)&gt;=Config!$B$31,N(EH30)&lt;Config!$B$32),1,0)</f>
        <v>0</v>
      </c>
      <c r="EK30" s="23" t="n">
        <f aca="false">IF(AND(BF30=1,INT(N(H30))&lt;=Config!$B$6,DH30=1,EI30=1),1,0)</f>
        <v>0</v>
      </c>
      <c r="EL30" s="23" t="n">
        <f aca="false">IF(AND(BF30=1,INT(N(H30))&lt;=Config!$B$7,DI30=1,EI30=1),1,0)</f>
        <v>0</v>
      </c>
      <c r="EM30" s="23" t="n">
        <f aca="false">IF(AND(BF30=1,INT(N(H30))&lt;=Config!$B$8,DJ30=1,EI30=1),1,0)</f>
        <v>0</v>
      </c>
      <c r="EN30" s="23" t="n">
        <f aca="false">IF(AND(BF30=1,INT(N(H30))&lt;=Config!$B$5,DK30=1,EI30=1),1,0)</f>
        <v>0</v>
      </c>
      <c r="EO30" s="23" t="n">
        <f aca="false">IF(AND(DL30=1,EJ30=1),1,0)</f>
        <v>0</v>
      </c>
      <c r="EP30" s="23" t="n">
        <f aca="false">IF(AND(DM30=1,EJ30=1),1,0)</f>
        <v>0</v>
      </c>
      <c r="EQ30" s="23" t="n">
        <f aca="false">IF(AND(DN30=1,EJ30=1),1,0)</f>
        <v>0</v>
      </c>
      <c r="ER30" s="23" t="n">
        <f aca="false">IF(AND(DO30=1,EJ30=1),1,0)</f>
        <v>0</v>
      </c>
    </row>
    <row r="31" customFormat="false" ht="15" hidden="false" customHeight="false" outlineLevel="0" collapsed="false">
      <c r="G31" s="32"/>
      <c r="H31" s="33"/>
      <c r="I31" s="32"/>
      <c r="L31" s="32"/>
      <c r="Q31" s="32"/>
      <c r="U31" s="32"/>
      <c r="W31" s="32"/>
      <c r="AC31" s="32"/>
      <c r="AF31" s="32"/>
      <c r="AI31" s="32"/>
      <c r="AJ31" s="32"/>
      <c r="AN31" s="32"/>
      <c r="AR31" s="32"/>
      <c r="AT31" s="32"/>
      <c r="AU31" s="32"/>
      <c r="AW31" s="32"/>
      <c r="AY31" s="34" t="str">
        <f aca="false">IF(TRIM($A31)="","",IF(AND(LEFT($A31,6)="SAMPLE",Config!$B$19&lt;&gt;"Y"),"",IF(NOT(ISNUMBER(H31)),"call_date is blank or not a date",IF(Sync!$C$5="","Clay paste is empty or has no row_id column: paste the Clay export on Clay_Offices",IF(CW31="","row_id not found in the Clay paste: add the Clay row or fix the row_id",IF(AND(ISNUMBER(CY31),CY31&gt;=1,CY31&lt;=5),"Clay status is "&amp;CX31&amp;": set call_done or later",IF(AND(BD31=1,CZ31&lt;&gt;BZ31),"Clay yes_in_principle should be "&amp;BZ31,IF(AND(BD31=1,DA31&lt;&gt;H31),"Clay call_date should be "&amp;TEXT(H31,"yyyy-mm-dd"),""))))))))</f>
        <v/>
      </c>
      <c r="AZ31" s="23" t="str">
        <f aca="false">IF(TRIM($A31)="","",IF(TRIM(C31)&lt;&gt;"",SUBSTITUTE(SUBSTITUTE(SUBSTITUTE(SUBSTITUTE(SUBSTITUTE(SUBSTITUTE(LOWER(TRIM(C31)),"~",""),"*",""),"?",""),"&lt;",""),"&gt;",""),"=",""),IF(EA31&lt;&gt;"",EA31,IFERROR(INDEX($EA$2:$EA$201,MATCH(DZ31,$EB$2:$EB$201,0)),DZ31))))</f>
        <v/>
      </c>
      <c r="BA31" s="23" t="n">
        <f aca="false">ROW()</f>
        <v>31</v>
      </c>
      <c r="BB31" s="23" t="n">
        <f aca="false">IF(AND(TRIM($A31)&lt;&gt;"",ISNUMBER(H31)),IF(AND(LEFT($A31,6)="SAMPLE",Config!$B$19&lt;&gt;"Y"),0,1),0)</f>
        <v>0</v>
      </c>
      <c r="BC31" s="23" t="n">
        <f aca="false">IF(BB31=1,IF(COUNTIFS($AZ$2:$AZ$201,AZ31,$BB$2:$BB$201,1,$H$2:$H$201,"&lt;"&amp;H31)+COUNTIFS($AZ$2:$AZ$201,AZ31,$BB$2:$BB$201,1,$H$2:$H$201,H31,$BA$2:$BA$201,"&lt;"&amp;BA31)=0,1,0),0)</f>
        <v>0</v>
      </c>
      <c r="BD31" s="23" t="n">
        <f aca="false">IF(BB31=1,IF(COUNTIFS($A$2:$A$201,$A31,$BB$2:$BB$201,1,$H$2:$H$201,"&gt;"&amp;H31)+COUNTIFS($A$2:$A$201,$A31,$BB$2:$BB$201,1,$H$2:$H$201,H31,$BA$2:$BA$201,"&gt;"&amp;BA31)=0,1,0),0)</f>
        <v>0</v>
      </c>
      <c r="BE31" s="23" t="n">
        <f aca="false">IF(AND(BB31=1,AR31="Y",AC31="Y",TRIM(AH31)&lt;&gt;""),1,0)</f>
        <v>0</v>
      </c>
      <c r="BF31" s="23" t="n">
        <f aca="false">IF(BE31=1,IF(COUNTIFS($AZ$2:$AZ$201,AZ31,$BE$2:$BE$201,1,$H$2:$H$201,"&lt;"&amp;H31)+COUNTIFS($AZ$2:$AZ$201,AZ31,$BE$2:$BE$201,1,$H$2:$H$201,H31,$BA$2:$BA$201,"&lt;"&amp;BA31)=0,1,0),0)</f>
        <v>0</v>
      </c>
      <c r="BG31" s="23" t="n">
        <f aca="false">IF(AND(BB31=1,AR31="Y",BE31=0),1,0)</f>
        <v>0</v>
      </c>
      <c r="BH31" s="23" t="n">
        <f aca="false">IF(AND(BB31=1,ISNUMBER(Y31)),1,0)</f>
        <v>0</v>
      </c>
      <c r="BI31" s="23" t="n">
        <f aca="false">IF(BH31=1,IF(COUNTIFS($AZ$2:$AZ$201,AZ31,$BH$2:$BH$201,1,$H$2:$H$201,"&lt;"&amp;H31)+COUNTIFS($AZ$2:$AZ$201,AZ31,$BH$2:$BH$201,1,$H$2:$H$201,H31,$BA$2:$BA$201,"&lt;"&amp;BA31)=0,1,0),0)</f>
        <v>0</v>
      </c>
      <c r="BJ31" s="23" t="str">
        <f aca="false">IF(AND(BI31=1,INT(N(H31))&lt;=Config!$B$6),Y31,"")</f>
        <v/>
      </c>
      <c r="BK31" s="23" t="str">
        <f aca="false">IF(AND(BI31=1,INT(N(H31))&lt;=Config!$B$7),Y31,"")</f>
        <v/>
      </c>
      <c r="BL31" s="23" t="str">
        <f aca="false">IF(AND(BI31=1,INT(N(H31))&lt;=Config!$B$8),Y31,"")</f>
        <v/>
      </c>
      <c r="BM31" s="23" t="str">
        <f aca="false">IF(AND(BI31=1,INT(N(H31))&lt;=Config!$B$5),Y31,"")</f>
        <v/>
      </c>
      <c r="BN31" s="23" t="n">
        <f aca="false">IF(CD31=1,IF(COUNTIFS($AZ$2:$AZ$201,AZ31,$CD$2:$CD$201,1,$H$2:$H$201,"&lt;"&amp;H31)+COUNTIFS($AZ$2:$AZ$201,AZ31,$CD$2:$CD$201,1,$H$2:$H$201,H31,$BA$2:$BA$201,"&lt;"&amp;BA31)=0,1,0),0)</f>
        <v>0</v>
      </c>
      <c r="BO31" s="23" t="n">
        <f aca="false">IF(AND(BB31=1,ISNUMBER(M31)),1,0)</f>
        <v>0</v>
      </c>
      <c r="BP31" s="23" t="n">
        <f aca="false">IF(BO31=1,IF(COUNTIFS($AZ$2:$AZ$201,AZ31,$BO$2:$BO$201,1,$H$2:$H$201,"&lt;"&amp;H31)+COUNTIFS($AZ$2:$AZ$201,AZ31,$BO$2:$BO$201,1,$H$2:$H$201,H31,$BA$2:$BA$201,"&lt;"&amp;BA31)=0,1,0),0)</f>
        <v>0</v>
      </c>
      <c r="BQ31" s="23" t="str">
        <f aca="false">IF(AND(BP31=1,INT(N(H31))&lt;=Config!$B$5),M31,"")</f>
        <v/>
      </c>
      <c r="BR31" s="23" t="n">
        <f aca="false">IF(AND(BB31=1,OR(TRIM(X31)&lt;&gt;"",ISNUMBER(Y31))),1,0)</f>
        <v>0</v>
      </c>
      <c r="BS31" s="23" t="n">
        <f aca="false">IF(BR31=1,IF(COUNTIFS($AZ$2:$AZ$201,AZ31,$BR$2:$BR$201,1,$H$2:$H$201,"&lt;"&amp;H31)+COUNTIFS($AZ$2:$AZ$201,AZ31,$BR$2:$BR$201,1,$H$2:$H$201,H31,$BA$2:$BA$201,"&lt;"&amp;BA31)=0,1,0),0)</f>
        <v>0</v>
      </c>
      <c r="BT31" s="23" t="str">
        <f aca="false">IF(BS31=1,AZ31,"")</f>
        <v/>
      </c>
      <c r="BU31" s="23" t="n">
        <f aca="false">IF(AND(BB31=1,W31="Y",TRIM(X31)=""),1,0)</f>
        <v>0</v>
      </c>
      <c r="BV31" s="23" t="str">
        <f aca="false">IF(BB31=1,AN31&amp;"","")</f>
        <v/>
      </c>
      <c r="BW31" s="23" t="str">
        <f aca="false">IF(BB31=1,AO31&amp;"","")</f>
        <v/>
      </c>
      <c r="BX31" s="23" t="str">
        <f aca="false">IF(BB31=1,AP31&amp;"","")</f>
        <v/>
      </c>
      <c r="BY31" s="23" t="str">
        <f aca="false">IF(AND(BB31=1,ISNUMBER(AV31),INT(N(H31))&lt;=Config!$B$5),AV31,"")</f>
        <v/>
      </c>
      <c r="BZ31" s="23" t="str">
        <f aca="false">IF(BB31=1,IF(COUNTIFS($A$2:$A$201,$A31,$DC$2:$DC$201,1,$AR$2:$AR$201,"Y")&gt;0,"Y","N"),"")</f>
        <v/>
      </c>
      <c r="CA31" s="23" t="n">
        <f aca="false">IF(AND(BB31=1,AR31="maybe"),1,0)</f>
        <v>0</v>
      </c>
      <c r="CB31" s="23" t="n">
        <f aca="false">IF(CA31=1,IF(COUNTIFS($AZ$2:$AZ$201,AZ31,$CA$2:$CA$201,1,$H$2:$H$201,"&lt;"&amp;H31)+COUNTIFS($AZ$2:$AZ$201,AZ31,$CA$2:$CA$201,1,$H$2:$H$201,H31,$BA$2:$BA$201,"&lt;"&amp;BA31)=0,1,0),0)</f>
        <v>0</v>
      </c>
      <c r="CC31" s="23" t="n">
        <f aca="false">IF(AND(BB31=1,AR31="Y"),IF(COUNTIFS($AZ$2:$AZ$201,AZ31,$AR$2:$AR$201,"Y",$BB$2:$BB$201,1,$H$2:$H$201,"&lt;"&amp;H31)+COUNTIFS($AZ$2:$AZ$201,AZ31,$AR$2:$AR$201,"Y",$BB$2:$BB$201,1,$H$2:$H$201,H31,$BA$2:$BA$201,"&lt;"&amp;BA31)=0,1,0),0)</f>
        <v>0</v>
      </c>
      <c r="CD31" s="23" t="n">
        <f aca="false">IF(AND(BH31=1,N(Y31)&gt;=Config!$B$15),1,0)</f>
        <v>0</v>
      </c>
      <c r="CE31" s="23" t="n">
        <f aca="false">IF(AND(BB31=1,AT31="Y"),1,0)</f>
        <v>0</v>
      </c>
      <c r="CF31" s="23" t="n">
        <f aca="false">IF(CE31=1,IF(COUNTIFS($AZ$2:$AZ$201,AZ31,$CE$2:$CE$201,1,$H$2:$H$201,"&lt;"&amp;H31)+COUNTIFS($AZ$2:$AZ$201,AZ31,$CE$2:$CE$201,1,$H$2:$H$201,H31,$BA$2:$BA$201,"&lt;"&amp;BA31)=0,1,0),0)</f>
        <v>0</v>
      </c>
      <c r="CG31" s="23" t="n">
        <f aca="false">IF(AND(BB31=1,G31="warm-intro"),1,0)</f>
        <v>0</v>
      </c>
      <c r="CH31" s="23" t="n">
        <f aca="false">IF(CG31=1,IF(COUNTIFS($AZ$2:$AZ$201,AZ31,$CG$2:$CG$201,1,$H$2:$H$201,"&lt;"&amp;H31)+COUNTIFS($AZ$2:$AZ$201,AZ31,$CG$2:$CG$201,1,$H$2:$H$201,H31,$BA$2:$BA$201,"&lt;"&amp;BA31)=0,1,0),0)</f>
        <v>0</v>
      </c>
      <c r="CI31" s="23" t="n">
        <f aca="false">IF(AND(BB31=1,Q31="Y"),1,0)</f>
        <v>0</v>
      </c>
      <c r="CJ31" s="23" t="n">
        <f aca="false">IF(CI31=1,IF(COUNTIFS($AZ$2:$AZ$201,AZ31,$CI$2:$CI$201,1,$H$2:$H$201,"&lt;"&amp;H31)+COUNTIFS($AZ$2:$AZ$201,AZ31,$CI$2:$CI$201,1,$H$2:$H$201,H31,$BA$2:$BA$201,"&lt;"&amp;BA31)=0,1,0),0)</f>
        <v>0</v>
      </c>
      <c r="CK31" s="23" t="n">
        <f aca="false">IF(AND(BB31=1,AF31="Y"),1,0)</f>
        <v>0</v>
      </c>
      <c r="CL31" s="23" t="n">
        <f aca="false">IF(CK31=1,IF(COUNTIFS($AZ$2:$AZ$201,AZ31,$CK$2:$CK$201,1,$H$2:$H$201,"&lt;"&amp;H31)+COUNTIFS($AZ$2:$AZ$201,AZ31,$CK$2:$CK$201,1,$H$2:$H$201,H31,$BA$2:$BA$201,"&lt;"&amp;BA31)=0,1,0),0)</f>
        <v>0</v>
      </c>
      <c r="CM31" s="23" t="n">
        <f aca="false">IF(AND(BB31=1,U31="Y"),1,0)</f>
        <v>0</v>
      </c>
      <c r="CN31" s="23" t="n">
        <f aca="false">IF(CM31=1,IF(COUNTIFS($AZ$2:$AZ$201,AZ31,$CM$2:$CM$201,1,$H$2:$H$201,"&lt;"&amp;H31)+COUNTIFS($AZ$2:$AZ$201,AZ31,$CM$2:$CM$201,1,$H$2:$H$201,H31,$BA$2:$BA$201,"&lt;"&amp;BA31)=0,1,0),0)</f>
        <v>0</v>
      </c>
      <c r="CO31" s="23" t="n">
        <f aca="false">IF(AND(BB31=1,L31="Y"),1,0)</f>
        <v>0</v>
      </c>
      <c r="CP31" s="23" t="n">
        <f aca="false">IF(CO31=1,IF(COUNTIFS($AZ$2:$AZ$201,AZ31,$CO$2:$CO$201,1,$H$2:$H$201,"&lt;"&amp;H31)+COUNTIFS($AZ$2:$AZ$201,AZ31,$CO$2:$CO$201,1,$H$2:$H$201,H31,$BA$2:$BA$201,"&lt;"&amp;BA31)=0,1,0),0)</f>
        <v>0</v>
      </c>
      <c r="CQ31" s="23" t="n">
        <f aca="false">IF(AND(BB31=1,ISNUMBER(O31)),1,0)</f>
        <v>0</v>
      </c>
      <c r="CR31" s="23" t="n">
        <f aca="false">IF(CQ31=1,IF(COUNTIFS($AZ$2:$AZ$201,AZ31,$CQ$2:$CQ$201,1,$H$2:$H$201,"&lt;"&amp;H31)+COUNTIFS($AZ$2:$AZ$201,AZ31,$CQ$2:$CQ$201,1,$H$2:$H$201,H31,$BA$2:$BA$201,"&lt;"&amp;BA31)=0,1,0),0)</f>
        <v>0</v>
      </c>
      <c r="CS31" s="23" t="str">
        <f aca="false">IF(AND(CR31=1,INT(N(H31))&lt;=Config!$B$5),O31,"")</f>
        <v/>
      </c>
      <c r="CT31" s="23" t="str">
        <f aca="false">IF(AND(BB31=1,INT(N(H31))&lt;=Config!$B$5),AG31&amp;"","")</f>
        <v/>
      </c>
      <c r="CU31" s="23" t="n">
        <f aca="false">IF(AND(BB31=1,AU31="Y"),1,0)</f>
        <v>0</v>
      </c>
      <c r="CV31" s="23" t="n">
        <f aca="false">IF(CU31=1,IF(COUNTIFS($AZ$2:$AZ$201,AZ31,$CU$2:$CU$201,1,$H$2:$H$201,"&lt;"&amp;H31)+COUNTIFS($AZ$2:$AZ$201,AZ31,$CU$2:$CU$201,1,$H$2:$H$201,H31,$BA$2:$BA$201,"&lt;"&amp;BA31)=0,1,0),0)</f>
        <v>0</v>
      </c>
      <c r="CW31" s="23" t="str">
        <f aca="false">IF(BB31=1,IFERROR(MATCH($A31,INDEX(Clay_Offices!$A$2:$FZ$601,0,Sync!$C$5),0),""),"")</f>
        <v/>
      </c>
      <c r="CX31" s="23" t="str">
        <f aca="false">IF(CW31="","",IFERROR(INDEX(Clay_Offices!$A$2:$FZ$601,CW31,Sync!$C$7)&amp;"",""))</f>
        <v/>
      </c>
      <c r="CY31" s="23" t="str">
        <f aca="false">IF(CX31="","",IFERROR(INDEX(Lists!$K$2:$K$15,MATCH(CX31,Lists!$J$2:$J$15,0)),""))</f>
        <v/>
      </c>
      <c r="CZ31" s="23" t="str">
        <f aca="false">IF(CW31="","",IFERROR(INDEX(Clay_Offices!$A$2:$FZ$601,CW31,Sync!$C$17)&amp;"",""))</f>
        <v/>
      </c>
      <c r="DA31" s="35" t="str">
        <f aca="false">IF(CW31="","",IFERROR(N(INDEX(Clay_Offices!$A$2:$FZ$601,CW31,Sync!$C$16)),0))</f>
        <v/>
      </c>
      <c r="DB31" s="23" t="n">
        <f aca="false">IF(AND(BB31=1,OR(AR31="Y",AR31="N",AR31="maybe")),1,0)</f>
        <v>0</v>
      </c>
      <c r="DC31" s="23" t="n">
        <f aca="false">IF(AND(DB31=1),IF(COUNTIFS($A$2:$A$201,$A31,$DB$2:$DB$201,1,$H$2:$H$201,"&gt;"&amp;H31)+COUNTIFS($A$2:$A$201,$A31,$DB$2:$DB$201,1,$H$2:$H$201,H31,$BA$2:$BA$201,"&gt;"&amp;BA31)=0,1,0),0)</f>
        <v>0</v>
      </c>
      <c r="DD31" s="23" t="n">
        <f aca="false">IF(AND(DB31=1,INT(N(H31))&lt;=Config!$B$6),IF(COUNTIFS($AZ$2:$AZ$201,AZ31,$DB$2:$DB$201,1,$H$2:$H$201,"&gt;"&amp;H31,$H$2:$H$201,"&lt;"&amp;(Config!$B$6+1))+COUNTIFS($AZ$2:$AZ$201,AZ31,$DB$2:$DB$201,1,$H$2:$H$201,H31,$BA$2:$BA$201,"&gt;"&amp;BA31)=0,1,0),0)</f>
        <v>0</v>
      </c>
      <c r="DE31" s="23" t="n">
        <f aca="false">IF(AND(DB31=1,INT(N(H31))&lt;=Config!$B$7),IF(COUNTIFS($AZ$2:$AZ$201,AZ31,$DB$2:$DB$201,1,$H$2:$H$201,"&gt;"&amp;H31,$H$2:$H$201,"&lt;"&amp;(Config!$B$7+1))+COUNTIFS($AZ$2:$AZ$201,AZ31,$DB$2:$DB$201,1,$H$2:$H$201,H31,$BA$2:$BA$201,"&gt;"&amp;BA31)=0,1,0),0)</f>
        <v>0</v>
      </c>
      <c r="DF31" s="23" t="n">
        <f aca="false">IF(AND(DB31=1,INT(N(H31))&lt;=Config!$B$8),IF(COUNTIFS($AZ$2:$AZ$201,AZ31,$DB$2:$DB$201,1,$H$2:$H$201,"&gt;"&amp;H31,$H$2:$H$201,"&lt;"&amp;(Config!$B$8+1))+COUNTIFS($AZ$2:$AZ$201,AZ31,$DB$2:$DB$201,1,$H$2:$H$201,H31,$BA$2:$BA$201,"&gt;"&amp;BA31)=0,1,0),0)</f>
        <v>0</v>
      </c>
      <c r="DG31" s="23" t="n">
        <f aca="false">IF(AND(DB31=1,INT(N(H31))&lt;=Config!$B$5),IF(COUNTIFS($AZ$2:$AZ$201,AZ31,$DB$2:$DB$201,1,$H$2:$H$201,"&gt;"&amp;H31,$H$2:$H$201,"&lt;"&amp;(Config!$B$5+1))+COUNTIFS($AZ$2:$AZ$201,AZ31,$DB$2:$DB$201,1,$H$2:$H$201,H31,$BA$2:$BA$201,"&gt;"&amp;BA31)=0,1,0),0)</f>
        <v>0</v>
      </c>
      <c r="DH31" s="23" t="n">
        <f aca="false">IF(BB31=1,IF(COUNTIFS($AZ$2:$AZ$201,AZ31,$DD$2:$DD$201,1,$AR$2:$AR$201,"Y")&gt;0,1,0),0)</f>
        <v>0</v>
      </c>
      <c r="DI31" s="23" t="n">
        <f aca="false">IF(BB31=1,IF(COUNTIFS($AZ$2:$AZ$201,AZ31,$DE$2:$DE$201,1,$AR$2:$AR$201,"Y")&gt;0,1,0),0)</f>
        <v>0</v>
      </c>
      <c r="DJ31" s="23" t="n">
        <f aca="false">IF(BB31=1,IF(COUNTIFS($AZ$2:$AZ$201,AZ31,$DF$2:$DF$201,1,$AR$2:$AR$201,"Y")&gt;0,1,0),0)</f>
        <v>0</v>
      </c>
      <c r="DK31" s="23" t="n">
        <f aca="false">IF(BB31=1,IF(COUNTIFS($AZ$2:$AZ$201,AZ31,$DG$2:$DG$201,1,$AR$2:$AR$201,"Y")&gt;0,1,0),0)</f>
        <v>0</v>
      </c>
      <c r="DL31" s="23" t="n">
        <f aca="false">IF(AND(BF31=1,INT(N(H31))&lt;=Config!$B$6,DH31=1,EI31=0),1,0)</f>
        <v>0</v>
      </c>
      <c r="DM31" s="23" t="n">
        <f aca="false">IF(AND(BF31=1,INT(N(H31))&lt;=Config!$B$7,DI31=1,EI31=0),1,0)</f>
        <v>0</v>
      </c>
      <c r="DN31" s="23" t="n">
        <f aca="false">IF(AND(BF31=1,INT(N(H31))&lt;=Config!$B$8,DJ31=1,EI31=0),1,0)</f>
        <v>0</v>
      </c>
      <c r="DO31" s="23" t="n">
        <f aca="false">IF(AND(BF31=1,INT(N(H31))&lt;=Config!$B$5,DK31=1,EI31=0),1,0)</f>
        <v>0</v>
      </c>
      <c r="DP31" s="23" t="n">
        <f aca="false">IF(AND(CC31=1,INT(N(H31))&lt;=Config!$B$6,DH31=1,EI31=0),1,0)</f>
        <v>0</v>
      </c>
      <c r="DQ31" s="23" t="n">
        <f aca="false">IF(AND(CC31=1,INT(N(H31))&lt;=Config!$B$7,DI31=1,EI31=0),1,0)</f>
        <v>0</v>
      </c>
      <c r="DR31" s="23" t="n">
        <f aca="false">IF(AND(CC31=1,INT(N(H31))&lt;=Config!$B$8,DJ31=1,EI31=0),1,0)</f>
        <v>0</v>
      </c>
      <c r="DS31" s="23" t="n">
        <f aca="false">IF(AND(CC31=1,INT(N(H31))&lt;=Config!$B$5,DK31=1,EI31=0),1,0)</f>
        <v>0</v>
      </c>
      <c r="DT31" s="23" t="n">
        <f aca="false">IF(AND(CC31=1,INT(N(H31))&lt;=Config!$B$6,DH31=0),1,0)</f>
        <v>0</v>
      </c>
      <c r="DU31" s="23" t="n">
        <f aca="false">IF(AND(CC31=1,INT(N(H31))&lt;=Config!$B$7,DI31=0),1,0)</f>
        <v>0</v>
      </c>
      <c r="DV31" s="23" t="n">
        <f aca="false">IF(AND(CC31=1,INT(N(H31))&lt;=Config!$B$8,DJ31=0),1,0)</f>
        <v>0</v>
      </c>
      <c r="DW31" s="23" t="n">
        <f aca="false">IF(AND(CC31=1,INT(N(H31))&lt;=Config!$B$5,DK31=0),1,0)</f>
        <v>0</v>
      </c>
      <c r="DX31" s="23" t="n">
        <f aca="false">IF(TRIM($A31)="",0,ISTEXT(M31)+ISTEXT(O31)+ISTEXT(Y31)+ISTEXT(Z31)+ISTEXT(AA31)+ISTEXT(AV31))</f>
        <v>0</v>
      </c>
      <c r="DY31" s="23" t="n">
        <f aca="false">IF(BB31=1,IF(H31&lt;&gt;INT(H31),1,0),0)</f>
        <v>0</v>
      </c>
      <c r="DZ31" s="23" t="str">
        <f aca="false">IF(TRIM($A31)="","",IF(TRIM(B31)="",SUBSTITUTE(SUBSTITUTE(SUBSTITUTE(SUBSTITUTE(SUBSTITUTE(SUBSTITUTE(LOWER(TRIM($A31)),"~",""),"*",""),"?",""),"&lt;",""),"&gt;",""),"=",""),SUBSTITUTE(SUBSTITUTE(SUBSTITUTE(SUBSTITUTE(SUBSTITUTE(SUBSTITUTE(LOWER(TRIM(B31)),"~",""),"*",""),"?",""),"&lt;",""),"&gt;",""),"=","")))</f>
        <v/>
      </c>
      <c r="EA31" s="23" t="str">
        <f aca="false">IF(CW31="","",IFERROR(IF(LEFT(LOWER(TRIM(INDEX(Clay_Offices!$A$2:$FZ$601,CW31,Sync!$C$19)&amp;"")),4)="grp-",SUBSTITUTE(SUBSTITUTE(SUBSTITUTE(SUBSTITUTE(SUBSTITUTE(SUBSTITUTE(LOWER(TRIM(INDEX(Clay_Offices!$A$2:$FZ$601,CW31,Sync!$C$19)&amp;"")),"~",""),"*",""),"?",""),"&lt;",""),"&gt;",""),"=",""),""),""))</f>
        <v/>
      </c>
      <c r="EB31" s="23" t="str">
        <f aca="false">IF(EA31&lt;&gt;"",DZ31,"")</f>
        <v/>
      </c>
      <c r="EC31" s="23" t="str">
        <f aca="false">IF(BC31=1,AZ31,"")</f>
        <v/>
      </c>
      <c r="ED31" s="23" t="str">
        <f aca="false">IF(TRIM($A31)="","",IFERROR(INDEX($A$2:$A$201,MATCH(AZ31,$EC$2:$EC$201,0))&amp;"",$A31&amp;""))</f>
        <v/>
      </c>
      <c r="EE31" s="23" t="n">
        <f aca="false">IF(BB31=1,IF(COUNTIFS($A$2:$A$201,$A31,$BB$2:$BB$201,1,$H$2:$H$201,"&lt;"&amp;H31)+COUNTIFS($A$2:$A$201,$A31,$BB$2:$BB$201,1,$H$2:$H$201,H31,$BA$2:$BA$201,"&lt;"&amp;BA31)=0,1,0),0)</f>
        <v>0</v>
      </c>
      <c r="EF31" s="23" t="n">
        <f aca="false">IF(BC31=1,IF(COUNTIFS($AZ$2:$AZ$201,AZ31,$EE$2:$EE$201,1)&gt;1,1,0),0)</f>
        <v>0</v>
      </c>
      <c r="EG31" s="23" t="n">
        <f aca="false">IF(AND(CQ31=1),IF(COUNTIFS($AZ$2:$AZ$201,AZ31,$CQ$2:$CQ$201,1,$H$2:$H$201,"&gt;"&amp;H31)+COUNTIFS($AZ$2:$AZ$201,AZ31,$CQ$2:$CQ$201,1,$H$2:$H$201,H31,$BA$2:$BA$201,"&gt;"&amp;BA31)=0,1,0),0)</f>
        <v>0</v>
      </c>
      <c r="EH31" s="23" t="str">
        <f aca="false">IF(BB31=1,IF(COUNTIFS($AZ$2:$AZ$201,AZ31,$EG$2:$EG$201,1)=0,"",SUMIFS($O$2:$O$201,$AZ$2:$AZ$201,AZ31,$EG$2:$EG$201,1)),"")</f>
        <v/>
      </c>
      <c r="EI31" s="23" t="n">
        <f aca="false">IF(AND(ISNUMBER(EH31),OR(N(EH31)&lt;Config!$B$31,N(EH31)&gt;Config!$B$33)),1,0)</f>
        <v>0</v>
      </c>
      <c r="EJ31" s="23" t="n">
        <f aca="false">IF(AND(ISNUMBER(EH31),N(EH31)&gt;=Config!$B$31,N(EH31)&lt;Config!$B$32),1,0)</f>
        <v>0</v>
      </c>
      <c r="EK31" s="23" t="n">
        <f aca="false">IF(AND(BF31=1,INT(N(H31))&lt;=Config!$B$6,DH31=1,EI31=1),1,0)</f>
        <v>0</v>
      </c>
      <c r="EL31" s="23" t="n">
        <f aca="false">IF(AND(BF31=1,INT(N(H31))&lt;=Config!$B$7,DI31=1,EI31=1),1,0)</f>
        <v>0</v>
      </c>
      <c r="EM31" s="23" t="n">
        <f aca="false">IF(AND(BF31=1,INT(N(H31))&lt;=Config!$B$8,DJ31=1,EI31=1),1,0)</f>
        <v>0</v>
      </c>
      <c r="EN31" s="23" t="n">
        <f aca="false">IF(AND(BF31=1,INT(N(H31))&lt;=Config!$B$5,DK31=1,EI31=1),1,0)</f>
        <v>0</v>
      </c>
      <c r="EO31" s="23" t="n">
        <f aca="false">IF(AND(DL31=1,EJ31=1),1,0)</f>
        <v>0</v>
      </c>
      <c r="EP31" s="23" t="n">
        <f aca="false">IF(AND(DM31=1,EJ31=1),1,0)</f>
        <v>0</v>
      </c>
      <c r="EQ31" s="23" t="n">
        <f aca="false">IF(AND(DN31=1,EJ31=1),1,0)</f>
        <v>0</v>
      </c>
      <c r="ER31" s="23" t="n">
        <f aca="false">IF(AND(DO31=1,EJ31=1),1,0)</f>
        <v>0</v>
      </c>
    </row>
    <row r="32" customFormat="false" ht="15" hidden="false" customHeight="false" outlineLevel="0" collapsed="false">
      <c r="G32" s="32"/>
      <c r="H32" s="33"/>
      <c r="I32" s="32"/>
      <c r="L32" s="32"/>
      <c r="Q32" s="32"/>
      <c r="U32" s="32"/>
      <c r="W32" s="32"/>
      <c r="AC32" s="32"/>
      <c r="AF32" s="32"/>
      <c r="AI32" s="32"/>
      <c r="AJ32" s="32"/>
      <c r="AN32" s="32"/>
      <c r="AR32" s="32"/>
      <c r="AT32" s="32"/>
      <c r="AU32" s="32"/>
      <c r="AW32" s="32"/>
      <c r="AY32" s="34" t="str">
        <f aca="false">IF(TRIM($A32)="","",IF(AND(LEFT($A32,6)="SAMPLE",Config!$B$19&lt;&gt;"Y"),"",IF(NOT(ISNUMBER(H32)),"call_date is blank or not a date",IF(Sync!$C$5="","Clay paste is empty or has no row_id column: paste the Clay export on Clay_Offices",IF(CW32="","row_id not found in the Clay paste: add the Clay row or fix the row_id",IF(AND(ISNUMBER(CY32),CY32&gt;=1,CY32&lt;=5),"Clay status is "&amp;CX32&amp;": set call_done or later",IF(AND(BD32=1,CZ32&lt;&gt;BZ32),"Clay yes_in_principle should be "&amp;BZ32,IF(AND(BD32=1,DA32&lt;&gt;H32),"Clay call_date should be "&amp;TEXT(H32,"yyyy-mm-dd"),""))))))))</f>
        <v/>
      </c>
      <c r="AZ32" s="23" t="str">
        <f aca="false">IF(TRIM($A32)="","",IF(TRIM(C32)&lt;&gt;"",SUBSTITUTE(SUBSTITUTE(SUBSTITUTE(SUBSTITUTE(SUBSTITUTE(SUBSTITUTE(LOWER(TRIM(C32)),"~",""),"*",""),"?",""),"&lt;",""),"&gt;",""),"=",""),IF(EA32&lt;&gt;"",EA32,IFERROR(INDEX($EA$2:$EA$201,MATCH(DZ32,$EB$2:$EB$201,0)),DZ32))))</f>
        <v/>
      </c>
      <c r="BA32" s="23" t="n">
        <f aca="false">ROW()</f>
        <v>32</v>
      </c>
      <c r="BB32" s="23" t="n">
        <f aca="false">IF(AND(TRIM($A32)&lt;&gt;"",ISNUMBER(H32)),IF(AND(LEFT($A32,6)="SAMPLE",Config!$B$19&lt;&gt;"Y"),0,1),0)</f>
        <v>0</v>
      </c>
      <c r="BC32" s="23" t="n">
        <f aca="false">IF(BB32=1,IF(COUNTIFS($AZ$2:$AZ$201,AZ32,$BB$2:$BB$201,1,$H$2:$H$201,"&lt;"&amp;H32)+COUNTIFS($AZ$2:$AZ$201,AZ32,$BB$2:$BB$201,1,$H$2:$H$201,H32,$BA$2:$BA$201,"&lt;"&amp;BA32)=0,1,0),0)</f>
        <v>0</v>
      </c>
      <c r="BD32" s="23" t="n">
        <f aca="false">IF(BB32=1,IF(COUNTIFS($A$2:$A$201,$A32,$BB$2:$BB$201,1,$H$2:$H$201,"&gt;"&amp;H32)+COUNTIFS($A$2:$A$201,$A32,$BB$2:$BB$201,1,$H$2:$H$201,H32,$BA$2:$BA$201,"&gt;"&amp;BA32)=0,1,0),0)</f>
        <v>0</v>
      </c>
      <c r="BE32" s="23" t="n">
        <f aca="false">IF(AND(BB32=1,AR32="Y",AC32="Y",TRIM(AH32)&lt;&gt;""),1,0)</f>
        <v>0</v>
      </c>
      <c r="BF32" s="23" t="n">
        <f aca="false">IF(BE32=1,IF(COUNTIFS($AZ$2:$AZ$201,AZ32,$BE$2:$BE$201,1,$H$2:$H$201,"&lt;"&amp;H32)+COUNTIFS($AZ$2:$AZ$201,AZ32,$BE$2:$BE$201,1,$H$2:$H$201,H32,$BA$2:$BA$201,"&lt;"&amp;BA32)=0,1,0),0)</f>
        <v>0</v>
      </c>
      <c r="BG32" s="23" t="n">
        <f aca="false">IF(AND(BB32=1,AR32="Y",BE32=0),1,0)</f>
        <v>0</v>
      </c>
      <c r="BH32" s="23" t="n">
        <f aca="false">IF(AND(BB32=1,ISNUMBER(Y32)),1,0)</f>
        <v>0</v>
      </c>
      <c r="BI32" s="23" t="n">
        <f aca="false">IF(BH32=1,IF(COUNTIFS($AZ$2:$AZ$201,AZ32,$BH$2:$BH$201,1,$H$2:$H$201,"&lt;"&amp;H32)+COUNTIFS($AZ$2:$AZ$201,AZ32,$BH$2:$BH$201,1,$H$2:$H$201,H32,$BA$2:$BA$201,"&lt;"&amp;BA32)=0,1,0),0)</f>
        <v>0</v>
      </c>
      <c r="BJ32" s="23" t="str">
        <f aca="false">IF(AND(BI32=1,INT(N(H32))&lt;=Config!$B$6),Y32,"")</f>
        <v/>
      </c>
      <c r="BK32" s="23" t="str">
        <f aca="false">IF(AND(BI32=1,INT(N(H32))&lt;=Config!$B$7),Y32,"")</f>
        <v/>
      </c>
      <c r="BL32" s="23" t="str">
        <f aca="false">IF(AND(BI32=1,INT(N(H32))&lt;=Config!$B$8),Y32,"")</f>
        <v/>
      </c>
      <c r="BM32" s="23" t="str">
        <f aca="false">IF(AND(BI32=1,INT(N(H32))&lt;=Config!$B$5),Y32,"")</f>
        <v/>
      </c>
      <c r="BN32" s="23" t="n">
        <f aca="false">IF(CD32=1,IF(COUNTIFS($AZ$2:$AZ$201,AZ32,$CD$2:$CD$201,1,$H$2:$H$201,"&lt;"&amp;H32)+COUNTIFS($AZ$2:$AZ$201,AZ32,$CD$2:$CD$201,1,$H$2:$H$201,H32,$BA$2:$BA$201,"&lt;"&amp;BA32)=0,1,0),0)</f>
        <v>0</v>
      </c>
      <c r="BO32" s="23" t="n">
        <f aca="false">IF(AND(BB32=1,ISNUMBER(M32)),1,0)</f>
        <v>0</v>
      </c>
      <c r="BP32" s="23" t="n">
        <f aca="false">IF(BO32=1,IF(COUNTIFS($AZ$2:$AZ$201,AZ32,$BO$2:$BO$201,1,$H$2:$H$201,"&lt;"&amp;H32)+COUNTIFS($AZ$2:$AZ$201,AZ32,$BO$2:$BO$201,1,$H$2:$H$201,H32,$BA$2:$BA$201,"&lt;"&amp;BA32)=0,1,0),0)</f>
        <v>0</v>
      </c>
      <c r="BQ32" s="23" t="str">
        <f aca="false">IF(AND(BP32=1,INT(N(H32))&lt;=Config!$B$5),M32,"")</f>
        <v/>
      </c>
      <c r="BR32" s="23" t="n">
        <f aca="false">IF(AND(BB32=1,OR(TRIM(X32)&lt;&gt;"",ISNUMBER(Y32))),1,0)</f>
        <v>0</v>
      </c>
      <c r="BS32" s="23" t="n">
        <f aca="false">IF(BR32=1,IF(COUNTIFS($AZ$2:$AZ$201,AZ32,$BR$2:$BR$201,1,$H$2:$H$201,"&lt;"&amp;H32)+COUNTIFS($AZ$2:$AZ$201,AZ32,$BR$2:$BR$201,1,$H$2:$H$201,H32,$BA$2:$BA$201,"&lt;"&amp;BA32)=0,1,0),0)</f>
        <v>0</v>
      </c>
      <c r="BT32" s="23" t="str">
        <f aca="false">IF(BS32=1,AZ32,"")</f>
        <v/>
      </c>
      <c r="BU32" s="23" t="n">
        <f aca="false">IF(AND(BB32=1,W32="Y",TRIM(X32)=""),1,0)</f>
        <v>0</v>
      </c>
      <c r="BV32" s="23" t="str">
        <f aca="false">IF(BB32=1,AN32&amp;"","")</f>
        <v/>
      </c>
      <c r="BW32" s="23" t="str">
        <f aca="false">IF(BB32=1,AO32&amp;"","")</f>
        <v/>
      </c>
      <c r="BX32" s="23" t="str">
        <f aca="false">IF(BB32=1,AP32&amp;"","")</f>
        <v/>
      </c>
      <c r="BY32" s="23" t="str">
        <f aca="false">IF(AND(BB32=1,ISNUMBER(AV32),INT(N(H32))&lt;=Config!$B$5),AV32,"")</f>
        <v/>
      </c>
      <c r="BZ32" s="23" t="str">
        <f aca="false">IF(BB32=1,IF(COUNTIFS($A$2:$A$201,$A32,$DC$2:$DC$201,1,$AR$2:$AR$201,"Y")&gt;0,"Y","N"),"")</f>
        <v/>
      </c>
      <c r="CA32" s="23" t="n">
        <f aca="false">IF(AND(BB32=1,AR32="maybe"),1,0)</f>
        <v>0</v>
      </c>
      <c r="CB32" s="23" t="n">
        <f aca="false">IF(CA32=1,IF(COUNTIFS($AZ$2:$AZ$201,AZ32,$CA$2:$CA$201,1,$H$2:$H$201,"&lt;"&amp;H32)+COUNTIFS($AZ$2:$AZ$201,AZ32,$CA$2:$CA$201,1,$H$2:$H$201,H32,$BA$2:$BA$201,"&lt;"&amp;BA32)=0,1,0),0)</f>
        <v>0</v>
      </c>
      <c r="CC32" s="23" t="n">
        <f aca="false">IF(AND(BB32=1,AR32="Y"),IF(COUNTIFS($AZ$2:$AZ$201,AZ32,$AR$2:$AR$201,"Y",$BB$2:$BB$201,1,$H$2:$H$201,"&lt;"&amp;H32)+COUNTIFS($AZ$2:$AZ$201,AZ32,$AR$2:$AR$201,"Y",$BB$2:$BB$201,1,$H$2:$H$201,H32,$BA$2:$BA$201,"&lt;"&amp;BA32)=0,1,0),0)</f>
        <v>0</v>
      </c>
      <c r="CD32" s="23" t="n">
        <f aca="false">IF(AND(BH32=1,N(Y32)&gt;=Config!$B$15),1,0)</f>
        <v>0</v>
      </c>
      <c r="CE32" s="23" t="n">
        <f aca="false">IF(AND(BB32=1,AT32="Y"),1,0)</f>
        <v>0</v>
      </c>
      <c r="CF32" s="23" t="n">
        <f aca="false">IF(CE32=1,IF(COUNTIFS($AZ$2:$AZ$201,AZ32,$CE$2:$CE$201,1,$H$2:$H$201,"&lt;"&amp;H32)+COUNTIFS($AZ$2:$AZ$201,AZ32,$CE$2:$CE$201,1,$H$2:$H$201,H32,$BA$2:$BA$201,"&lt;"&amp;BA32)=0,1,0),0)</f>
        <v>0</v>
      </c>
      <c r="CG32" s="23" t="n">
        <f aca="false">IF(AND(BB32=1,G32="warm-intro"),1,0)</f>
        <v>0</v>
      </c>
      <c r="CH32" s="23" t="n">
        <f aca="false">IF(CG32=1,IF(COUNTIFS($AZ$2:$AZ$201,AZ32,$CG$2:$CG$201,1,$H$2:$H$201,"&lt;"&amp;H32)+COUNTIFS($AZ$2:$AZ$201,AZ32,$CG$2:$CG$201,1,$H$2:$H$201,H32,$BA$2:$BA$201,"&lt;"&amp;BA32)=0,1,0),0)</f>
        <v>0</v>
      </c>
      <c r="CI32" s="23" t="n">
        <f aca="false">IF(AND(BB32=1,Q32="Y"),1,0)</f>
        <v>0</v>
      </c>
      <c r="CJ32" s="23" t="n">
        <f aca="false">IF(CI32=1,IF(COUNTIFS($AZ$2:$AZ$201,AZ32,$CI$2:$CI$201,1,$H$2:$H$201,"&lt;"&amp;H32)+COUNTIFS($AZ$2:$AZ$201,AZ32,$CI$2:$CI$201,1,$H$2:$H$201,H32,$BA$2:$BA$201,"&lt;"&amp;BA32)=0,1,0),0)</f>
        <v>0</v>
      </c>
      <c r="CK32" s="23" t="n">
        <f aca="false">IF(AND(BB32=1,AF32="Y"),1,0)</f>
        <v>0</v>
      </c>
      <c r="CL32" s="23" t="n">
        <f aca="false">IF(CK32=1,IF(COUNTIFS($AZ$2:$AZ$201,AZ32,$CK$2:$CK$201,1,$H$2:$H$201,"&lt;"&amp;H32)+COUNTIFS($AZ$2:$AZ$201,AZ32,$CK$2:$CK$201,1,$H$2:$H$201,H32,$BA$2:$BA$201,"&lt;"&amp;BA32)=0,1,0),0)</f>
        <v>0</v>
      </c>
      <c r="CM32" s="23" t="n">
        <f aca="false">IF(AND(BB32=1,U32="Y"),1,0)</f>
        <v>0</v>
      </c>
      <c r="CN32" s="23" t="n">
        <f aca="false">IF(CM32=1,IF(COUNTIFS($AZ$2:$AZ$201,AZ32,$CM$2:$CM$201,1,$H$2:$H$201,"&lt;"&amp;H32)+COUNTIFS($AZ$2:$AZ$201,AZ32,$CM$2:$CM$201,1,$H$2:$H$201,H32,$BA$2:$BA$201,"&lt;"&amp;BA32)=0,1,0),0)</f>
        <v>0</v>
      </c>
      <c r="CO32" s="23" t="n">
        <f aca="false">IF(AND(BB32=1,L32="Y"),1,0)</f>
        <v>0</v>
      </c>
      <c r="CP32" s="23" t="n">
        <f aca="false">IF(CO32=1,IF(COUNTIFS($AZ$2:$AZ$201,AZ32,$CO$2:$CO$201,1,$H$2:$H$201,"&lt;"&amp;H32)+COUNTIFS($AZ$2:$AZ$201,AZ32,$CO$2:$CO$201,1,$H$2:$H$201,H32,$BA$2:$BA$201,"&lt;"&amp;BA32)=0,1,0),0)</f>
        <v>0</v>
      </c>
      <c r="CQ32" s="23" t="n">
        <f aca="false">IF(AND(BB32=1,ISNUMBER(O32)),1,0)</f>
        <v>0</v>
      </c>
      <c r="CR32" s="23" t="n">
        <f aca="false">IF(CQ32=1,IF(COUNTIFS($AZ$2:$AZ$201,AZ32,$CQ$2:$CQ$201,1,$H$2:$H$201,"&lt;"&amp;H32)+COUNTIFS($AZ$2:$AZ$201,AZ32,$CQ$2:$CQ$201,1,$H$2:$H$201,H32,$BA$2:$BA$201,"&lt;"&amp;BA32)=0,1,0),0)</f>
        <v>0</v>
      </c>
      <c r="CS32" s="23" t="str">
        <f aca="false">IF(AND(CR32=1,INT(N(H32))&lt;=Config!$B$5),O32,"")</f>
        <v/>
      </c>
      <c r="CT32" s="23" t="str">
        <f aca="false">IF(AND(BB32=1,INT(N(H32))&lt;=Config!$B$5),AG32&amp;"","")</f>
        <v/>
      </c>
      <c r="CU32" s="23" t="n">
        <f aca="false">IF(AND(BB32=1,AU32="Y"),1,0)</f>
        <v>0</v>
      </c>
      <c r="CV32" s="23" t="n">
        <f aca="false">IF(CU32=1,IF(COUNTIFS($AZ$2:$AZ$201,AZ32,$CU$2:$CU$201,1,$H$2:$H$201,"&lt;"&amp;H32)+COUNTIFS($AZ$2:$AZ$201,AZ32,$CU$2:$CU$201,1,$H$2:$H$201,H32,$BA$2:$BA$201,"&lt;"&amp;BA32)=0,1,0),0)</f>
        <v>0</v>
      </c>
      <c r="CW32" s="23" t="str">
        <f aca="false">IF(BB32=1,IFERROR(MATCH($A32,INDEX(Clay_Offices!$A$2:$FZ$601,0,Sync!$C$5),0),""),"")</f>
        <v/>
      </c>
      <c r="CX32" s="23" t="str">
        <f aca="false">IF(CW32="","",IFERROR(INDEX(Clay_Offices!$A$2:$FZ$601,CW32,Sync!$C$7)&amp;"",""))</f>
        <v/>
      </c>
      <c r="CY32" s="23" t="str">
        <f aca="false">IF(CX32="","",IFERROR(INDEX(Lists!$K$2:$K$15,MATCH(CX32,Lists!$J$2:$J$15,0)),""))</f>
        <v/>
      </c>
      <c r="CZ32" s="23" t="str">
        <f aca="false">IF(CW32="","",IFERROR(INDEX(Clay_Offices!$A$2:$FZ$601,CW32,Sync!$C$17)&amp;"",""))</f>
        <v/>
      </c>
      <c r="DA32" s="35" t="str">
        <f aca="false">IF(CW32="","",IFERROR(N(INDEX(Clay_Offices!$A$2:$FZ$601,CW32,Sync!$C$16)),0))</f>
        <v/>
      </c>
      <c r="DB32" s="23" t="n">
        <f aca="false">IF(AND(BB32=1,OR(AR32="Y",AR32="N",AR32="maybe")),1,0)</f>
        <v>0</v>
      </c>
      <c r="DC32" s="23" t="n">
        <f aca="false">IF(AND(DB32=1),IF(COUNTIFS($A$2:$A$201,$A32,$DB$2:$DB$201,1,$H$2:$H$201,"&gt;"&amp;H32)+COUNTIFS($A$2:$A$201,$A32,$DB$2:$DB$201,1,$H$2:$H$201,H32,$BA$2:$BA$201,"&gt;"&amp;BA32)=0,1,0),0)</f>
        <v>0</v>
      </c>
      <c r="DD32" s="23" t="n">
        <f aca="false">IF(AND(DB32=1,INT(N(H32))&lt;=Config!$B$6),IF(COUNTIFS($AZ$2:$AZ$201,AZ32,$DB$2:$DB$201,1,$H$2:$H$201,"&gt;"&amp;H32,$H$2:$H$201,"&lt;"&amp;(Config!$B$6+1))+COUNTIFS($AZ$2:$AZ$201,AZ32,$DB$2:$DB$201,1,$H$2:$H$201,H32,$BA$2:$BA$201,"&gt;"&amp;BA32)=0,1,0),0)</f>
        <v>0</v>
      </c>
      <c r="DE32" s="23" t="n">
        <f aca="false">IF(AND(DB32=1,INT(N(H32))&lt;=Config!$B$7),IF(COUNTIFS($AZ$2:$AZ$201,AZ32,$DB$2:$DB$201,1,$H$2:$H$201,"&gt;"&amp;H32,$H$2:$H$201,"&lt;"&amp;(Config!$B$7+1))+COUNTIFS($AZ$2:$AZ$201,AZ32,$DB$2:$DB$201,1,$H$2:$H$201,H32,$BA$2:$BA$201,"&gt;"&amp;BA32)=0,1,0),0)</f>
        <v>0</v>
      </c>
      <c r="DF32" s="23" t="n">
        <f aca="false">IF(AND(DB32=1,INT(N(H32))&lt;=Config!$B$8),IF(COUNTIFS($AZ$2:$AZ$201,AZ32,$DB$2:$DB$201,1,$H$2:$H$201,"&gt;"&amp;H32,$H$2:$H$201,"&lt;"&amp;(Config!$B$8+1))+COUNTIFS($AZ$2:$AZ$201,AZ32,$DB$2:$DB$201,1,$H$2:$H$201,H32,$BA$2:$BA$201,"&gt;"&amp;BA32)=0,1,0),0)</f>
        <v>0</v>
      </c>
      <c r="DG32" s="23" t="n">
        <f aca="false">IF(AND(DB32=1,INT(N(H32))&lt;=Config!$B$5),IF(COUNTIFS($AZ$2:$AZ$201,AZ32,$DB$2:$DB$201,1,$H$2:$H$201,"&gt;"&amp;H32,$H$2:$H$201,"&lt;"&amp;(Config!$B$5+1))+COUNTIFS($AZ$2:$AZ$201,AZ32,$DB$2:$DB$201,1,$H$2:$H$201,H32,$BA$2:$BA$201,"&gt;"&amp;BA32)=0,1,0),0)</f>
        <v>0</v>
      </c>
      <c r="DH32" s="23" t="n">
        <f aca="false">IF(BB32=1,IF(COUNTIFS($AZ$2:$AZ$201,AZ32,$DD$2:$DD$201,1,$AR$2:$AR$201,"Y")&gt;0,1,0),0)</f>
        <v>0</v>
      </c>
      <c r="DI32" s="23" t="n">
        <f aca="false">IF(BB32=1,IF(COUNTIFS($AZ$2:$AZ$201,AZ32,$DE$2:$DE$201,1,$AR$2:$AR$201,"Y")&gt;0,1,0),0)</f>
        <v>0</v>
      </c>
      <c r="DJ32" s="23" t="n">
        <f aca="false">IF(BB32=1,IF(COUNTIFS($AZ$2:$AZ$201,AZ32,$DF$2:$DF$201,1,$AR$2:$AR$201,"Y")&gt;0,1,0),0)</f>
        <v>0</v>
      </c>
      <c r="DK32" s="23" t="n">
        <f aca="false">IF(BB32=1,IF(COUNTIFS($AZ$2:$AZ$201,AZ32,$DG$2:$DG$201,1,$AR$2:$AR$201,"Y")&gt;0,1,0),0)</f>
        <v>0</v>
      </c>
      <c r="DL32" s="23" t="n">
        <f aca="false">IF(AND(BF32=1,INT(N(H32))&lt;=Config!$B$6,DH32=1,EI32=0),1,0)</f>
        <v>0</v>
      </c>
      <c r="DM32" s="23" t="n">
        <f aca="false">IF(AND(BF32=1,INT(N(H32))&lt;=Config!$B$7,DI32=1,EI32=0),1,0)</f>
        <v>0</v>
      </c>
      <c r="DN32" s="23" t="n">
        <f aca="false">IF(AND(BF32=1,INT(N(H32))&lt;=Config!$B$8,DJ32=1,EI32=0),1,0)</f>
        <v>0</v>
      </c>
      <c r="DO32" s="23" t="n">
        <f aca="false">IF(AND(BF32=1,INT(N(H32))&lt;=Config!$B$5,DK32=1,EI32=0),1,0)</f>
        <v>0</v>
      </c>
      <c r="DP32" s="23" t="n">
        <f aca="false">IF(AND(CC32=1,INT(N(H32))&lt;=Config!$B$6,DH32=1,EI32=0),1,0)</f>
        <v>0</v>
      </c>
      <c r="DQ32" s="23" t="n">
        <f aca="false">IF(AND(CC32=1,INT(N(H32))&lt;=Config!$B$7,DI32=1,EI32=0),1,0)</f>
        <v>0</v>
      </c>
      <c r="DR32" s="23" t="n">
        <f aca="false">IF(AND(CC32=1,INT(N(H32))&lt;=Config!$B$8,DJ32=1,EI32=0),1,0)</f>
        <v>0</v>
      </c>
      <c r="DS32" s="23" t="n">
        <f aca="false">IF(AND(CC32=1,INT(N(H32))&lt;=Config!$B$5,DK32=1,EI32=0),1,0)</f>
        <v>0</v>
      </c>
      <c r="DT32" s="23" t="n">
        <f aca="false">IF(AND(CC32=1,INT(N(H32))&lt;=Config!$B$6,DH32=0),1,0)</f>
        <v>0</v>
      </c>
      <c r="DU32" s="23" t="n">
        <f aca="false">IF(AND(CC32=1,INT(N(H32))&lt;=Config!$B$7,DI32=0),1,0)</f>
        <v>0</v>
      </c>
      <c r="DV32" s="23" t="n">
        <f aca="false">IF(AND(CC32=1,INT(N(H32))&lt;=Config!$B$8,DJ32=0),1,0)</f>
        <v>0</v>
      </c>
      <c r="DW32" s="23" t="n">
        <f aca="false">IF(AND(CC32=1,INT(N(H32))&lt;=Config!$B$5,DK32=0),1,0)</f>
        <v>0</v>
      </c>
      <c r="DX32" s="23" t="n">
        <f aca="false">IF(TRIM($A32)="",0,ISTEXT(M32)+ISTEXT(O32)+ISTEXT(Y32)+ISTEXT(Z32)+ISTEXT(AA32)+ISTEXT(AV32))</f>
        <v>0</v>
      </c>
      <c r="DY32" s="23" t="n">
        <f aca="false">IF(BB32=1,IF(H32&lt;&gt;INT(H32),1,0),0)</f>
        <v>0</v>
      </c>
      <c r="DZ32" s="23" t="str">
        <f aca="false">IF(TRIM($A32)="","",IF(TRIM(B32)="",SUBSTITUTE(SUBSTITUTE(SUBSTITUTE(SUBSTITUTE(SUBSTITUTE(SUBSTITUTE(LOWER(TRIM($A32)),"~",""),"*",""),"?",""),"&lt;",""),"&gt;",""),"=",""),SUBSTITUTE(SUBSTITUTE(SUBSTITUTE(SUBSTITUTE(SUBSTITUTE(SUBSTITUTE(LOWER(TRIM(B32)),"~",""),"*",""),"?",""),"&lt;",""),"&gt;",""),"=","")))</f>
        <v/>
      </c>
      <c r="EA32" s="23" t="str">
        <f aca="false">IF(CW32="","",IFERROR(IF(LEFT(LOWER(TRIM(INDEX(Clay_Offices!$A$2:$FZ$601,CW32,Sync!$C$19)&amp;"")),4)="grp-",SUBSTITUTE(SUBSTITUTE(SUBSTITUTE(SUBSTITUTE(SUBSTITUTE(SUBSTITUTE(LOWER(TRIM(INDEX(Clay_Offices!$A$2:$FZ$601,CW32,Sync!$C$19)&amp;"")),"~",""),"*",""),"?",""),"&lt;",""),"&gt;",""),"=",""),""),""))</f>
        <v/>
      </c>
      <c r="EB32" s="23" t="str">
        <f aca="false">IF(EA32&lt;&gt;"",DZ32,"")</f>
        <v/>
      </c>
      <c r="EC32" s="23" t="str">
        <f aca="false">IF(BC32=1,AZ32,"")</f>
        <v/>
      </c>
      <c r="ED32" s="23" t="str">
        <f aca="false">IF(TRIM($A32)="","",IFERROR(INDEX($A$2:$A$201,MATCH(AZ32,$EC$2:$EC$201,0))&amp;"",$A32&amp;""))</f>
        <v/>
      </c>
      <c r="EE32" s="23" t="n">
        <f aca="false">IF(BB32=1,IF(COUNTIFS($A$2:$A$201,$A32,$BB$2:$BB$201,1,$H$2:$H$201,"&lt;"&amp;H32)+COUNTIFS($A$2:$A$201,$A32,$BB$2:$BB$201,1,$H$2:$H$201,H32,$BA$2:$BA$201,"&lt;"&amp;BA32)=0,1,0),0)</f>
        <v>0</v>
      </c>
      <c r="EF32" s="23" t="n">
        <f aca="false">IF(BC32=1,IF(COUNTIFS($AZ$2:$AZ$201,AZ32,$EE$2:$EE$201,1)&gt;1,1,0),0)</f>
        <v>0</v>
      </c>
      <c r="EG32" s="23" t="n">
        <f aca="false">IF(AND(CQ32=1),IF(COUNTIFS($AZ$2:$AZ$201,AZ32,$CQ$2:$CQ$201,1,$H$2:$H$201,"&gt;"&amp;H32)+COUNTIFS($AZ$2:$AZ$201,AZ32,$CQ$2:$CQ$201,1,$H$2:$H$201,H32,$BA$2:$BA$201,"&gt;"&amp;BA32)=0,1,0),0)</f>
        <v>0</v>
      </c>
      <c r="EH32" s="23" t="str">
        <f aca="false">IF(BB32=1,IF(COUNTIFS($AZ$2:$AZ$201,AZ32,$EG$2:$EG$201,1)=0,"",SUMIFS($O$2:$O$201,$AZ$2:$AZ$201,AZ32,$EG$2:$EG$201,1)),"")</f>
        <v/>
      </c>
      <c r="EI32" s="23" t="n">
        <f aca="false">IF(AND(ISNUMBER(EH32),OR(N(EH32)&lt;Config!$B$31,N(EH32)&gt;Config!$B$33)),1,0)</f>
        <v>0</v>
      </c>
      <c r="EJ32" s="23" t="n">
        <f aca="false">IF(AND(ISNUMBER(EH32),N(EH32)&gt;=Config!$B$31,N(EH32)&lt;Config!$B$32),1,0)</f>
        <v>0</v>
      </c>
      <c r="EK32" s="23" t="n">
        <f aca="false">IF(AND(BF32=1,INT(N(H32))&lt;=Config!$B$6,DH32=1,EI32=1),1,0)</f>
        <v>0</v>
      </c>
      <c r="EL32" s="23" t="n">
        <f aca="false">IF(AND(BF32=1,INT(N(H32))&lt;=Config!$B$7,DI32=1,EI32=1),1,0)</f>
        <v>0</v>
      </c>
      <c r="EM32" s="23" t="n">
        <f aca="false">IF(AND(BF32=1,INT(N(H32))&lt;=Config!$B$8,DJ32=1,EI32=1),1,0)</f>
        <v>0</v>
      </c>
      <c r="EN32" s="23" t="n">
        <f aca="false">IF(AND(BF32=1,INT(N(H32))&lt;=Config!$B$5,DK32=1,EI32=1),1,0)</f>
        <v>0</v>
      </c>
      <c r="EO32" s="23" t="n">
        <f aca="false">IF(AND(DL32=1,EJ32=1),1,0)</f>
        <v>0</v>
      </c>
      <c r="EP32" s="23" t="n">
        <f aca="false">IF(AND(DM32=1,EJ32=1),1,0)</f>
        <v>0</v>
      </c>
      <c r="EQ32" s="23" t="n">
        <f aca="false">IF(AND(DN32=1,EJ32=1),1,0)</f>
        <v>0</v>
      </c>
      <c r="ER32" s="23" t="n">
        <f aca="false">IF(AND(DO32=1,EJ32=1),1,0)</f>
        <v>0</v>
      </c>
    </row>
    <row r="33" customFormat="false" ht="15" hidden="false" customHeight="false" outlineLevel="0" collapsed="false">
      <c r="G33" s="32"/>
      <c r="H33" s="33"/>
      <c r="I33" s="32"/>
      <c r="L33" s="32"/>
      <c r="Q33" s="32"/>
      <c r="U33" s="32"/>
      <c r="W33" s="32"/>
      <c r="AC33" s="32"/>
      <c r="AF33" s="32"/>
      <c r="AI33" s="32"/>
      <c r="AJ33" s="32"/>
      <c r="AN33" s="32"/>
      <c r="AR33" s="32"/>
      <c r="AT33" s="32"/>
      <c r="AU33" s="32"/>
      <c r="AW33" s="32"/>
      <c r="AY33" s="34" t="str">
        <f aca="false">IF(TRIM($A33)="","",IF(AND(LEFT($A33,6)="SAMPLE",Config!$B$19&lt;&gt;"Y"),"",IF(NOT(ISNUMBER(H33)),"call_date is blank or not a date",IF(Sync!$C$5="","Clay paste is empty or has no row_id column: paste the Clay export on Clay_Offices",IF(CW33="","row_id not found in the Clay paste: add the Clay row or fix the row_id",IF(AND(ISNUMBER(CY33),CY33&gt;=1,CY33&lt;=5),"Clay status is "&amp;CX33&amp;": set call_done or later",IF(AND(BD33=1,CZ33&lt;&gt;BZ33),"Clay yes_in_principle should be "&amp;BZ33,IF(AND(BD33=1,DA33&lt;&gt;H33),"Clay call_date should be "&amp;TEXT(H33,"yyyy-mm-dd"),""))))))))</f>
        <v/>
      </c>
      <c r="AZ33" s="23" t="str">
        <f aca="false">IF(TRIM($A33)="","",IF(TRIM(C33)&lt;&gt;"",SUBSTITUTE(SUBSTITUTE(SUBSTITUTE(SUBSTITUTE(SUBSTITUTE(SUBSTITUTE(LOWER(TRIM(C33)),"~",""),"*",""),"?",""),"&lt;",""),"&gt;",""),"=",""),IF(EA33&lt;&gt;"",EA33,IFERROR(INDEX($EA$2:$EA$201,MATCH(DZ33,$EB$2:$EB$201,0)),DZ33))))</f>
        <v/>
      </c>
      <c r="BA33" s="23" t="n">
        <f aca="false">ROW()</f>
        <v>33</v>
      </c>
      <c r="BB33" s="23" t="n">
        <f aca="false">IF(AND(TRIM($A33)&lt;&gt;"",ISNUMBER(H33)),IF(AND(LEFT($A33,6)="SAMPLE",Config!$B$19&lt;&gt;"Y"),0,1),0)</f>
        <v>0</v>
      </c>
      <c r="BC33" s="23" t="n">
        <f aca="false">IF(BB33=1,IF(COUNTIFS($AZ$2:$AZ$201,AZ33,$BB$2:$BB$201,1,$H$2:$H$201,"&lt;"&amp;H33)+COUNTIFS($AZ$2:$AZ$201,AZ33,$BB$2:$BB$201,1,$H$2:$H$201,H33,$BA$2:$BA$201,"&lt;"&amp;BA33)=0,1,0),0)</f>
        <v>0</v>
      </c>
      <c r="BD33" s="23" t="n">
        <f aca="false">IF(BB33=1,IF(COUNTIFS($A$2:$A$201,$A33,$BB$2:$BB$201,1,$H$2:$H$201,"&gt;"&amp;H33)+COUNTIFS($A$2:$A$201,$A33,$BB$2:$BB$201,1,$H$2:$H$201,H33,$BA$2:$BA$201,"&gt;"&amp;BA33)=0,1,0),0)</f>
        <v>0</v>
      </c>
      <c r="BE33" s="23" t="n">
        <f aca="false">IF(AND(BB33=1,AR33="Y",AC33="Y",TRIM(AH33)&lt;&gt;""),1,0)</f>
        <v>0</v>
      </c>
      <c r="BF33" s="23" t="n">
        <f aca="false">IF(BE33=1,IF(COUNTIFS($AZ$2:$AZ$201,AZ33,$BE$2:$BE$201,1,$H$2:$H$201,"&lt;"&amp;H33)+COUNTIFS($AZ$2:$AZ$201,AZ33,$BE$2:$BE$201,1,$H$2:$H$201,H33,$BA$2:$BA$201,"&lt;"&amp;BA33)=0,1,0),0)</f>
        <v>0</v>
      </c>
      <c r="BG33" s="23" t="n">
        <f aca="false">IF(AND(BB33=1,AR33="Y",BE33=0),1,0)</f>
        <v>0</v>
      </c>
      <c r="BH33" s="23" t="n">
        <f aca="false">IF(AND(BB33=1,ISNUMBER(Y33)),1,0)</f>
        <v>0</v>
      </c>
      <c r="BI33" s="23" t="n">
        <f aca="false">IF(BH33=1,IF(COUNTIFS($AZ$2:$AZ$201,AZ33,$BH$2:$BH$201,1,$H$2:$H$201,"&lt;"&amp;H33)+COUNTIFS($AZ$2:$AZ$201,AZ33,$BH$2:$BH$201,1,$H$2:$H$201,H33,$BA$2:$BA$201,"&lt;"&amp;BA33)=0,1,0),0)</f>
        <v>0</v>
      </c>
      <c r="BJ33" s="23" t="str">
        <f aca="false">IF(AND(BI33=1,INT(N(H33))&lt;=Config!$B$6),Y33,"")</f>
        <v/>
      </c>
      <c r="BK33" s="23" t="str">
        <f aca="false">IF(AND(BI33=1,INT(N(H33))&lt;=Config!$B$7),Y33,"")</f>
        <v/>
      </c>
      <c r="BL33" s="23" t="str">
        <f aca="false">IF(AND(BI33=1,INT(N(H33))&lt;=Config!$B$8),Y33,"")</f>
        <v/>
      </c>
      <c r="BM33" s="23" t="str">
        <f aca="false">IF(AND(BI33=1,INT(N(H33))&lt;=Config!$B$5),Y33,"")</f>
        <v/>
      </c>
      <c r="BN33" s="23" t="n">
        <f aca="false">IF(CD33=1,IF(COUNTIFS($AZ$2:$AZ$201,AZ33,$CD$2:$CD$201,1,$H$2:$H$201,"&lt;"&amp;H33)+COUNTIFS($AZ$2:$AZ$201,AZ33,$CD$2:$CD$201,1,$H$2:$H$201,H33,$BA$2:$BA$201,"&lt;"&amp;BA33)=0,1,0),0)</f>
        <v>0</v>
      </c>
      <c r="BO33" s="23" t="n">
        <f aca="false">IF(AND(BB33=1,ISNUMBER(M33)),1,0)</f>
        <v>0</v>
      </c>
      <c r="BP33" s="23" t="n">
        <f aca="false">IF(BO33=1,IF(COUNTIFS($AZ$2:$AZ$201,AZ33,$BO$2:$BO$201,1,$H$2:$H$201,"&lt;"&amp;H33)+COUNTIFS($AZ$2:$AZ$201,AZ33,$BO$2:$BO$201,1,$H$2:$H$201,H33,$BA$2:$BA$201,"&lt;"&amp;BA33)=0,1,0),0)</f>
        <v>0</v>
      </c>
      <c r="BQ33" s="23" t="str">
        <f aca="false">IF(AND(BP33=1,INT(N(H33))&lt;=Config!$B$5),M33,"")</f>
        <v/>
      </c>
      <c r="BR33" s="23" t="n">
        <f aca="false">IF(AND(BB33=1,OR(TRIM(X33)&lt;&gt;"",ISNUMBER(Y33))),1,0)</f>
        <v>0</v>
      </c>
      <c r="BS33" s="23" t="n">
        <f aca="false">IF(BR33=1,IF(COUNTIFS($AZ$2:$AZ$201,AZ33,$BR$2:$BR$201,1,$H$2:$H$201,"&lt;"&amp;H33)+COUNTIFS($AZ$2:$AZ$201,AZ33,$BR$2:$BR$201,1,$H$2:$H$201,H33,$BA$2:$BA$201,"&lt;"&amp;BA33)=0,1,0),0)</f>
        <v>0</v>
      </c>
      <c r="BT33" s="23" t="str">
        <f aca="false">IF(BS33=1,AZ33,"")</f>
        <v/>
      </c>
      <c r="BU33" s="23" t="n">
        <f aca="false">IF(AND(BB33=1,W33="Y",TRIM(X33)=""),1,0)</f>
        <v>0</v>
      </c>
      <c r="BV33" s="23" t="str">
        <f aca="false">IF(BB33=1,AN33&amp;"","")</f>
        <v/>
      </c>
      <c r="BW33" s="23" t="str">
        <f aca="false">IF(BB33=1,AO33&amp;"","")</f>
        <v/>
      </c>
      <c r="BX33" s="23" t="str">
        <f aca="false">IF(BB33=1,AP33&amp;"","")</f>
        <v/>
      </c>
      <c r="BY33" s="23" t="str">
        <f aca="false">IF(AND(BB33=1,ISNUMBER(AV33),INT(N(H33))&lt;=Config!$B$5),AV33,"")</f>
        <v/>
      </c>
      <c r="BZ33" s="23" t="str">
        <f aca="false">IF(BB33=1,IF(COUNTIFS($A$2:$A$201,$A33,$DC$2:$DC$201,1,$AR$2:$AR$201,"Y")&gt;0,"Y","N"),"")</f>
        <v/>
      </c>
      <c r="CA33" s="23" t="n">
        <f aca="false">IF(AND(BB33=1,AR33="maybe"),1,0)</f>
        <v>0</v>
      </c>
      <c r="CB33" s="23" t="n">
        <f aca="false">IF(CA33=1,IF(COUNTIFS($AZ$2:$AZ$201,AZ33,$CA$2:$CA$201,1,$H$2:$H$201,"&lt;"&amp;H33)+COUNTIFS($AZ$2:$AZ$201,AZ33,$CA$2:$CA$201,1,$H$2:$H$201,H33,$BA$2:$BA$201,"&lt;"&amp;BA33)=0,1,0),0)</f>
        <v>0</v>
      </c>
      <c r="CC33" s="23" t="n">
        <f aca="false">IF(AND(BB33=1,AR33="Y"),IF(COUNTIFS($AZ$2:$AZ$201,AZ33,$AR$2:$AR$201,"Y",$BB$2:$BB$201,1,$H$2:$H$201,"&lt;"&amp;H33)+COUNTIFS($AZ$2:$AZ$201,AZ33,$AR$2:$AR$201,"Y",$BB$2:$BB$201,1,$H$2:$H$201,H33,$BA$2:$BA$201,"&lt;"&amp;BA33)=0,1,0),0)</f>
        <v>0</v>
      </c>
      <c r="CD33" s="23" t="n">
        <f aca="false">IF(AND(BH33=1,N(Y33)&gt;=Config!$B$15),1,0)</f>
        <v>0</v>
      </c>
      <c r="CE33" s="23" t="n">
        <f aca="false">IF(AND(BB33=1,AT33="Y"),1,0)</f>
        <v>0</v>
      </c>
      <c r="CF33" s="23" t="n">
        <f aca="false">IF(CE33=1,IF(COUNTIFS($AZ$2:$AZ$201,AZ33,$CE$2:$CE$201,1,$H$2:$H$201,"&lt;"&amp;H33)+COUNTIFS($AZ$2:$AZ$201,AZ33,$CE$2:$CE$201,1,$H$2:$H$201,H33,$BA$2:$BA$201,"&lt;"&amp;BA33)=0,1,0),0)</f>
        <v>0</v>
      </c>
      <c r="CG33" s="23" t="n">
        <f aca="false">IF(AND(BB33=1,G33="warm-intro"),1,0)</f>
        <v>0</v>
      </c>
      <c r="CH33" s="23" t="n">
        <f aca="false">IF(CG33=1,IF(COUNTIFS($AZ$2:$AZ$201,AZ33,$CG$2:$CG$201,1,$H$2:$H$201,"&lt;"&amp;H33)+COUNTIFS($AZ$2:$AZ$201,AZ33,$CG$2:$CG$201,1,$H$2:$H$201,H33,$BA$2:$BA$201,"&lt;"&amp;BA33)=0,1,0),0)</f>
        <v>0</v>
      </c>
      <c r="CI33" s="23" t="n">
        <f aca="false">IF(AND(BB33=1,Q33="Y"),1,0)</f>
        <v>0</v>
      </c>
      <c r="CJ33" s="23" t="n">
        <f aca="false">IF(CI33=1,IF(COUNTIFS($AZ$2:$AZ$201,AZ33,$CI$2:$CI$201,1,$H$2:$H$201,"&lt;"&amp;H33)+COUNTIFS($AZ$2:$AZ$201,AZ33,$CI$2:$CI$201,1,$H$2:$H$201,H33,$BA$2:$BA$201,"&lt;"&amp;BA33)=0,1,0),0)</f>
        <v>0</v>
      </c>
      <c r="CK33" s="23" t="n">
        <f aca="false">IF(AND(BB33=1,AF33="Y"),1,0)</f>
        <v>0</v>
      </c>
      <c r="CL33" s="23" t="n">
        <f aca="false">IF(CK33=1,IF(COUNTIFS($AZ$2:$AZ$201,AZ33,$CK$2:$CK$201,1,$H$2:$H$201,"&lt;"&amp;H33)+COUNTIFS($AZ$2:$AZ$201,AZ33,$CK$2:$CK$201,1,$H$2:$H$201,H33,$BA$2:$BA$201,"&lt;"&amp;BA33)=0,1,0),0)</f>
        <v>0</v>
      </c>
      <c r="CM33" s="23" t="n">
        <f aca="false">IF(AND(BB33=1,U33="Y"),1,0)</f>
        <v>0</v>
      </c>
      <c r="CN33" s="23" t="n">
        <f aca="false">IF(CM33=1,IF(COUNTIFS($AZ$2:$AZ$201,AZ33,$CM$2:$CM$201,1,$H$2:$H$201,"&lt;"&amp;H33)+COUNTIFS($AZ$2:$AZ$201,AZ33,$CM$2:$CM$201,1,$H$2:$H$201,H33,$BA$2:$BA$201,"&lt;"&amp;BA33)=0,1,0),0)</f>
        <v>0</v>
      </c>
      <c r="CO33" s="23" t="n">
        <f aca="false">IF(AND(BB33=1,L33="Y"),1,0)</f>
        <v>0</v>
      </c>
      <c r="CP33" s="23" t="n">
        <f aca="false">IF(CO33=1,IF(COUNTIFS($AZ$2:$AZ$201,AZ33,$CO$2:$CO$201,1,$H$2:$H$201,"&lt;"&amp;H33)+COUNTIFS($AZ$2:$AZ$201,AZ33,$CO$2:$CO$201,1,$H$2:$H$201,H33,$BA$2:$BA$201,"&lt;"&amp;BA33)=0,1,0),0)</f>
        <v>0</v>
      </c>
      <c r="CQ33" s="23" t="n">
        <f aca="false">IF(AND(BB33=1,ISNUMBER(O33)),1,0)</f>
        <v>0</v>
      </c>
      <c r="CR33" s="23" t="n">
        <f aca="false">IF(CQ33=1,IF(COUNTIFS($AZ$2:$AZ$201,AZ33,$CQ$2:$CQ$201,1,$H$2:$H$201,"&lt;"&amp;H33)+COUNTIFS($AZ$2:$AZ$201,AZ33,$CQ$2:$CQ$201,1,$H$2:$H$201,H33,$BA$2:$BA$201,"&lt;"&amp;BA33)=0,1,0),0)</f>
        <v>0</v>
      </c>
      <c r="CS33" s="23" t="str">
        <f aca="false">IF(AND(CR33=1,INT(N(H33))&lt;=Config!$B$5),O33,"")</f>
        <v/>
      </c>
      <c r="CT33" s="23" t="str">
        <f aca="false">IF(AND(BB33=1,INT(N(H33))&lt;=Config!$B$5),AG33&amp;"","")</f>
        <v/>
      </c>
      <c r="CU33" s="23" t="n">
        <f aca="false">IF(AND(BB33=1,AU33="Y"),1,0)</f>
        <v>0</v>
      </c>
      <c r="CV33" s="23" t="n">
        <f aca="false">IF(CU33=1,IF(COUNTIFS($AZ$2:$AZ$201,AZ33,$CU$2:$CU$201,1,$H$2:$H$201,"&lt;"&amp;H33)+COUNTIFS($AZ$2:$AZ$201,AZ33,$CU$2:$CU$201,1,$H$2:$H$201,H33,$BA$2:$BA$201,"&lt;"&amp;BA33)=0,1,0),0)</f>
        <v>0</v>
      </c>
      <c r="CW33" s="23" t="str">
        <f aca="false">IF(BB33=1,IFERROR(MATCH($A33,INDEX(Clay_Offices!$A$2:$FZ$601,0,Sync!$C$5),0),""),"")</f>
        <v/>
      </c>
      <c r="CX33" s="23" t="str">
        <f aca="false">IF(CW33="","",IFERROR(INDEX(Clay_Offices!$A$2:$FZ$601,CW33,Sync!$C$7)&amp;"",""))</f>
        <v/>
      </c>
      <c r="CY33" s="23" t="str">
        <f aca="false">IF(CX33="","",IFERROR(INDEX(Lists!$K$2:$K$15,MATCH(CX33,Lists!$J$2:$J$15,0)),""))</f>
        <v/>
      </c>
      <c r="CZ33" s="23" t="str">
        <f aca="false">IF(CW33="","",IFERROR(INDEX(Clay_Offices!$A$2:$FZ$601,CW33,Sync!$C$17)&amp;"",""))</f>
        <v/>
      </c>
      <c r="DA33" s="35" t="str">
        <f aca="false">IF(CW33="","",IFERROR(N(INDEX(Clay_Offices!$A$2:$FZ$601,CW33,Sync!$C$16)),0))</f>
        <v/>
      </c>
      <c r="DB33" s="23" t="n">
        <f aca="false">IF(AND(BB33=1,OR(AR33="Y",AR33="N",AR33="maybe")),1,0)</f>
        <v>0</v>
      </c>
      <c r="DC33" s="23" t="n">
        <f aca="false">IF(AND(DB33=1),IF(COUNTIFS($A$2:$A$201,$A33,$DB$2:$DB$201,1,$H$2:$H$201,"&gt;"&amp;H33)+COUNTIFS($A$2:$A$201,$A33,$DB$2:$DB$201,1,$H$2:$H$201,H33,$BA$2:$BA$201,"&gt;"&amp;BA33)=0,1,0),0)</f>
        <v>0</v>
      </c>
      <c r="DD33" s="23" t="n">
        <f aca="false">IF(AND(DB33=1,INT(N(H33))&lt;=Config!$B$6),IF(COUNTIFS($AZ$2:$AZ$201,AZ33,$DB$2:$DB$201,1,$H$2:$H$201,"&gt;"&amp;H33,$H$2:$H$201,"&lt;"&amp;(Config!$B$6+1))+COUNTIFS($AZ$2:$AZ$201,AZ33,$DB$2:$DB$201,1,$H$2:$H$201,H33,$BA$2:$BA$201,"&gt;"&amp;BA33)=0,1,0),0)</f>
        <v>0</v>
      </c>
      <c r="DE33" s="23" t="n">
        <f aca="false">IF(AND(DB33=1,INT(N(H33))&lt;=Config!$B$7),IF(COUNTIFS($AZ$2:$AZ$201,AZ33,$DB$2:$DB$201,1,$H$2:$H$201,"&gt;"&amp;H33,$H$2:$H$201,"&lt;"&amp;(Config!$B$7+1))+COUNTIFS($AZ$2:$AZ$201,AZ33,$DB$2:$DB$201,1,$H$2:$H$201,H33,$BA$2:$BA$201,"&gt;"&amp;BA33)=0,1,0),0)</f>
        <v>0</v>
      </c>
      <c r="DF33" s="23" t="n">
        <f aca="false">IF(AND(DB33=1,INT(N(H33))&lt;=Config!$B$8),IF(COUNTIFS($AZ$2:$AZ$201,AZ33,$DB$2:$DB$201,1,$H$2:$H$201,"&gt;"&amp;H33,$H$2:$H$201,"&lt;"&amp;(Config!$B$8+1))+COUNTIFS($AZ$2:$AZ$201,AZ33,$DB$2:$DB$201,1,$H$2:$H$201,H33,$BA$2:$BA$201,"&gt;"&amp;BA33)=0,1,0),0)</f>
        <v>0</v>
      </c>
      <c r="DG33" s="23" t="n">
        <f aca="false">IF(AND(DB33=1,INT(N(H33))&lt;=Config!$B$5),IF(COUNTIFS($AZ$2:$AZ$201,AZ33,$DB$2:$DB$201,1,$H$2:$H$201,"&gt;"&amp;H33,$H$2:$H$201,"&lt;"&amp;(Config!$B$5+1))+COUNTIFS($AZ$2:$AZ$201,AZ33,$DB$2:$DB$201,1,$H$2:$H$201,H33,$BA$2:$BA$201,"&gt;"&amp;BA33)=0,1,0),0)</f>
        <v>0</v>
      </c>
      <c r="DH33" s="23" t="n">
        <f aca="false">IF(BB33=1,IF(COUNTIFS($AZ$2:$AZ$201,AZ33,$DD$2:$DD$201,1,$AR$2:$AR$201,"Y")&gt;0,1,0),0)</f>
        <v>0</v>
      </c>
      <c r="DI33" s="23" t="n">
        <f aca="false">IF(BB33=1,IF(COUNTIFS($AZ$2:$AZ$201,AZ33,$DE$2:$DE$201,1,$AR$2:$AR$201,"Y")&gt;0,1,0),0)</f>
        <v>0</v>
      </c>
      <c r="DJ33" s="23" t="n">
        <f aca="false">IF(BB33=1,IF(COUNTIFS($AZ$2:$AZ$201,AZ33,$DF$2:$DF$201,1,$AR$2:$AR$201,"Y")&gt;0,1,0),0)</f>
        <v>0</v>
      </c>
      <c r="DK33" s="23" t="n">
        <f aca="false">IF(BB33=1,IF(COUNTIFS($AZ$2:$AZ$201,AZ33,$DG$2:$DG$201,1,$AR$2:$AR$201,"Y")&gt;0,1,0),0)</f>
        <v>0</v>
      </c>
      <c r="DL33" s="23" t="n">
        <f aca="false">IF(AND(BF33=1,INT(N(H33))&lt;=Config!$B$6,DH33=1,EI33=0),1,0)</f>
        <v>0</v>
      </c>
      <c r="DM33" s="23" t="n">
        <f aca="false">IF(AND(BF33=1,INT(N(H33))&lt;=Config!$B$7,DI33=1,EI33=0),1,0)</f>
        <v>0</v>
      </c>
      <c r="DN33" s="23" t="n">
        <f aca="false">IF(AND(BF33=1,INT(N(H33))&lt;=Config!$B$8,DJ33=1,EI33=0),1,0)</f>
        <v>0</v>
      </c>
      <c r="DO33" s="23" t="n">
        <f aca="false">IF(AND(BF33=1,INT(N(H33))&lt;=Config!$B$5,DK33=1,EI33=0),1,0)</f>
        <v>0</v>
      </c>
      <c r="DP33" s="23" t="n">
        <f aca="false">IF(AND(CC33=1,INT(N(H33))&lt;=Config!$B$6,DH33=1,EI33=0),1,0)</f>
        <v>0</v>
      </c>
      <c r="DQ33" s="23" t="n">
        <f aca="false">IF(AND(CC33=1,INT(N(H33))&lt;=Config!$B$7,DI33=1,EI33=0),1,0)</f>
        <v>0</v>
      </c>
      <c r="DR33" s="23" t="n">
        <f aca="false">IF(AND(CC33=1,INT(N(H33))&lt;=Config!$B$8,DJ33=1,EI33=0),1,0)</f>
        <v>0</v>
      </c>
      <c r="DS33" s="23" t="n">
        <f aca="false">IF(AND(CC33=1,INT(N(H33))&lt;=Config!$B$5,DK33=1,EI33=0),1,0)</f>
        <v>0</v>
      </c>
      <c r="DT33" s="23" t="n">
        <f aca="false">IF(AND(CC33=1,INT(N(H33))&lt;=Config!$B$6,DH33=0),1,0)</f>
        <v>0</v>
      </c>
      <c r="DU33" s="23" t="n">
        <f aca="false">IF(AND(CC33=1,INT(N(H33))&lt;=Config!$B$7,DI33=0),1,0)</f>
        <v>0</v>
      </c>
      <c r="DV33" s="23" t="n">
        <f aca="false">IF(AND(CC33=1,INT(N(H33))&lt;=Config!$B$8,DJ33=0),1,0)</f>
        <v>0</v>
      </c>
      <c r="DW33" s="23" t="n">
        <f aca="false">IF(AND(CC33=1,INT(N(H33))&lt;=Config!$B$5,DK33=0),1,0)</f>
        <v>0</v>
      </c>
      <c r="DX33" s="23" t="n">
        <f aca="false">IF(TRIM($A33)="",0,ISTEXT(M33)+ISTEXT(O33)+ISTEXT(Y33)+ISTEXT(Z33)+ISTEXT(AA33)+ISTEXT(AV33))</f>
        <v>0</v>
      </c>
      <c r="DY33" s="23" t="n">
        <f aca="false">IF(BB33=1,IF(H33&lt;&gt;INT(H33),1,0),0)</f>
        <v>0</v>
      </c>
      <c r="DZ33" s="23" t="str">
        <f aca="false">IF(TRIM($A33)="","",IF(TRIM(B33)="",SUBSTITUTE(SUBSTITUTE(SUBSTITUTE(SUBSTITUTE(SUBSTITUTE(SUBSTITUTE(LOWER(TRIM($A33)),"~",""),"*",""),"?",""),"&lt;",""),"&gt;",""),"=",""),SUBSTITUTE(SUBSTITUTE(SUBSTITUTE(SUBSTITUTE(SUBSTITUTE(SUBSTITUTE(LOWER(TRIM(B33)),"~",""),"*",""),"?",""),"&lt;",""),"&gt;",""),"=","")))</f>
        <v/>
      </c>
      <c r="EA33" s="23" t="str">
        <f aca="false">IF(CW33="","",IFERROR(IF(LEFT(LOWER(TRIM(INDEX(Clay_Offices!$A$2:$FZ$601,CW33,Sync!$C$19)&amp;"")),4)="grp-",SUBSTITUTE(SUBSTITUTE(SUBSTITUTE(SUBSTITUTE(SUBSTITUTE(SUBSTITUTE(LOWER(TRIM(INDEX(Clay_Offices!$A$2:$FZ$601,CW33,Sync!$C$19)&amp;"")),"~",""),"*",""),"?",""),"&lt;",""),"&gt;",""),"=",""),""),""))</f>
        <v/>
      </c>
      <c r="EB33" s="23" t="str">
        <f aca="false">IF(EA33&lt;&gt;"",DZ33,"")</f>
        <v/>
      </c>
      <c r="EC33" s="23" t="str">
        <f aca="false">IF(BC33=1,AZ33,"")</f>
        <v/>
      </c>
      <c r="ED33" s="23" t="str">
        <f aca="false">IF(TRIM($A33)="","",IFERROR(INDEX($A$2:$A$201,MATCH(AZ33,$EC$2:$EC$201,0))&amp;"",$A33&amp;""))</f>
        <v/>
      </c>
      <c r="EE33" s="23" t="n">
        <f aca="false">IF(BB33=1,IF(COUNTIFS($A$2:$A$201,$A33,$BB$2:$BB$201,1,$H$2:$H$201,"&lt;"&amp;H33)+COUNTIFS($A$2:$A$201,$A33,$BB$2:$BB$201,1,$H$2:$H$201,H33,$BA$2:$BA$201,"&lt;"&amp;BA33)=0,1,0),0)</f>
        <v>0</v>
      </c>
      <c r="EF33" s="23" t="n">
        <f aca="false">IF(BC33=1,IF(COUNTIFS($AZ$2:$AZ$201,AZ33,$EE$2:$EE$201,1)&gt;1,1,0),0)</f>
        <v>0</v>
      </c>
      <c r="EG33" s="23" t="n">
        <f aca="false">IF(AND(CQ33=1),IF(COUNTIFS($AZ$2:$AZ$201,AZ33,$CQ$2:$CQ$201,1,$H$2:$H$201,"&gt;"&amp;H33)+COUNTIFS($AZ$2:$AZ$201,AZ33,$CQ$2:$CQ$201,1,$H$2:$H$201,H33,$BA$2:$BA$201,"&gt;"&amp;BA33)=0,1,0),0)</f>
        <v>0</v>
      </c>
      <c r="EH33" s="23" t="str">
        <f aca="false">IF(BB33=1,IF(COUNTIFS($AZ$2:$AZ$201,AZ33,$EG$2:$EG$201,1)=0,"",SUMIFS($O$2:$O$201,$AZ$2:$AZ$201,AZ33,$EG$2:$EG$201,1)),"")</f>
        <v/>
      </c>
      <c r="EI33" s="23" t="n">
        <f aca="false">IF(AND(ISNUMBER(EH33),OR(N(EH33)&lt;Config!$B$31,N(EH33)&gt;Config!$B$33)),1,0)</f>
        <v>0</v>
      </c>
      <c r="EJ33" s="23" t="n">
        <f aca="false">IF(AND(ISNUMBER(EH33),N(EH33)&gt;=Config!$B$31,N(EH33)&lt;Config!$B$32),1,0)</f>
        <v>0</v>
      </c>
      <c r="EK33" s="23" t="n">
        <f aca="false">IF(AND(BF33=1,INT(N(H33))&lt;=Config!$B$6,DH33=1,EI33=1),1,0)</f>
        <v>0</v>
      </c>
      <c r="EL33" s="23" t="n">
        <f aca="false">IF(AND(BF33=1,INT(N(H33))&lt;=Config!$B$7,DI33=1,EI33=1),1,0)</f>
        <v>0</v>
      </c>
      <c r="EM33" s="23" t="n">
        <f aca="false">IF(AND(BF33=1,INT(N(H33))&lt;=Config!$B$8,DJ33=1,EI33=1),1,0)</f>
        <v>0</v>
      </c>
      <c r="EN33" s="23" t="n">
        <f aca="false">IF(AND(BF33=1,INT(N(H33))&lt;=Config!$B$5,DK33=1,EI33=1),1,0)</f>
        <v>0</v>
      </c>
      <c r="EO33" s="23" t="n">
        <f aca="false">IF(AND(DL33=1,EJ33=1),1,0)</f>
        <v>0</v>
      </c>
      <c r="EP33" s="23" t="n">
        <f aca="false">IF(AND(DM33=1,EJ33=1),1,0)</f>
        <v>0</v>
      </c>
      <c r="EQ33" s="23" t="n">
        <f aca="false">IF(AND(DN33=1,EJ33=1),1,0)</f>
        <v>0</v>
      </c>
      <c r="ER33" s="23" t="n">
        <f aca="false">IF(AND(DO33=1,EJ33=1),1,0)</f>
        <v>0</v>
      </c>
    </row>
    <row r="34" customFormat="false" ht="15" hidden="false" customHeight="false" outlineLevel="0" collapsed="false">
      <c r="G34" s="32"/>
      <c r="H34" s="33"/>
      <c r="I34" s="32"/>
      <c r="L34" s="32"/>
      <c r="Q34" s="32"/>
      <c r="U34" s="32"/>
      <c r="W34" s="32"/>
      <c r="AC34" s="32"/>
      <c r="AF34" s="32"/>
      <c r="AI34" s="32"/>
      <c r="AJ34" s="32"/>
      <c r="AN34" s="32"/>
      <c r="AR34" s="32"/>
      <c r="AT34" s="32"/>
      <c r="AU34" s="32"/>
      <c r="AW34" s="32"/>
      <c r="AY34" s="34" t="str">
        <f aca="false">IF(TRIM($A34)="","",IF(AND(LEFT($A34,6)="SAMPLE",Config!$B$19&lt;&gt;"Y"),"",IF(NOT(ISNUMBER(H34)),"call_date is blank or not a date",IF(Sync!$C$5="","Clay paste is empty or has no row_id column: paste the Clay export on Clay_Offices",IF(CW34="","row_id not found in the Clay paste: add the Clay row or fix the row_id",IF(AND(ISNUMBER(CY34),CY34&gt;=1,CY34&lt;=5),"Clay status is "&amp;CX34&amp;": set call_done or later",IF(AND(BD34=1,CZ34&lt;&gt;BZ34),"Clay yes_in_principle should be "&amp;BZ34,IF(AND(BD34=1,DA34&lt;&gt;H34),"Clay call_date should be "&amp;TEXT(H34,"yyyy-mm-dd"),""))))))))</f>
        <v/>
      </c>
      <c r="AZ34" s="23" t="str">
        <f aca="false">IF(TRIM($A34)="","",IF(TRIM(C34)&lt;&gt;"",SUBSTITUTE(SUBSTITUTE(SUBSTITUTE(SUBSTITUTE(SUBSTITUTE(SUBSTITUTE(LOWER(TRIM(C34)),"~",""),"*",""),"?",""),"&lt;",""),"&gt;",""),"=",""),IF(EA34&lt;&gt;"",EA34,IFERROR(INDEX($EA$2:$EA$201,MATCH(DZ34,$EB$2:$EB$201,0)),DZ34))))</f>
        <v/>
      </c>
      <c r="BA34" s="23" t="n">
        <f aca="false">ROW()</f>
        <v>34</v>
      </c>
      <c r="BB34" s="23" t="n">
        <f aca="false">IF(AND(TRIM($A34)&lt;&gt;"",ISNUMBER(H34)),IF(AND(LEFT($A34,6)="SAMPLE",Config!$B$19&lt;&gt;"Y"),0,1),0)</f>
        <v>0</v>
      </c>
      <c r="BC34" s="23" t="n">
        <f aca="false">IF(BB34=1,IF(COUNTIFS($AZ$2:$AZ$201,AZ34,$BB$2:$BB$201,1,$H$2:$H$201,"&lt;"&amp;H34)+COUNTIFS($AZ$2:$AZ$201,AZ34,$BB$2:$BB$201,1,$H$2:$H$201,H34,$BA$2:$BA$201,"&lt;"&amp;BA34)=0,1,0),0)</f>
        <v>0</v>
      </c>
      <c r="BD34" s="23" t="n">
        <f aca="false">IF(BB34=1,IF(COUNTIFS($A$2:$A$201,$A34,$BB$2:$BB$201,1,$H$2:$H$201,"&gt;"&amp;H34)+COUNTIFS($A$2:$A$201,$A34,$BB$2:$BB$201,1,$H$2:$H$201,H34,$BA$2:$BA$201,"&gt;"&amp;BA34)=0,1,0),0)</f>
        <v>0</v>
      </c>
      <c r="BE34" s="23" t="n">
        <f aca="false">IF(AND(BB34=1,AR34="Y",AC34="Y",TRIM(AH34)&lt;&gt;""),1,0)</f>
        <v>0</v>
      </c>
      <c r="BF34" s="23" t="n">
        <f aca="false">IF(BE34=1,IF(COUNTIFS($AZ$2:$AZ$201,AZ34,$BE$2:$BE$201,1,$H$2:$H$201,"&lt;"&amp;H34)+COUNTIFS($AZ$2:$AZ$201,AZ34,$BE$2:$BE$201,1,$H$2:$H$201,H34,$BA$2:$BA$201,"&lt;"&amp;BA34)=0,1,0),0)</f>
        <v>0</v>
      </c>
      <c r="BG34" s="23" t="n">
        <f aca="false">IF(AND(BB34=1,AR34="Y",BE34=0),1,0)</f>
        <v>0</v>
      </c>
      <c r="BH34" s="23" t="n">
        <f aca="false">IF(AND(BB34=1,ISNUMBER(Y34)),1,0)</f>
        <v>0</v>
      </c>
      <c r="BI34" s="23" t="n">
        <f aca="false">IF(BH34=1,IF(COUNTIFS($AZ$2:$AZ$201,AZ34,$BH$2:$BH$201,1,$H$2:$H$201,"&lt;"&amp;H34)+COUNTIFS($AZ$2:$AZ$201,AZ34,$BH$2:$BH$201,1,$H$2:$H$201,H34,$BA$2:$BA$201,"&lt;"&amp;BA34)=0,1,0),0)</f>
        <v>0</v>
      </c>
      <c r="BJ34" s="23" t="str">
        <f aca="false">IF(AND(BI34=1,INT(N(H34))&lt;=Config!$B$6),Y34,"")</f>
        <v/>
      </c>
      <c r="BK34" s="23" t="str">
        <f aca="false">IF(AND(BI34=1,INT(N(H34))&lt;=Config!$B$7),Y34,"")</f>
        <v/>
      </c>
      <c r="BL34" s="23" t="str">
        <f aca="false">IF(AND(BI34=1,INT(N(H34))&lt;=Config!$B$8),Y34,"")</f>
        <v/>
      </c>
      <c r="BM34" s="23" t="str">
        <f aca="false">IF(AND(BI34=1,INT(N(H34))&lt;=Config!$B$5),Y34,"")</f>
        <v/>
      </c>
      <c r="BN34" s="23" t="n">
        <f aca="false">IF(CD34=1,IF(COUNTIFS($AZ$2:$AZ$201,AZ34,$CD$2:$CD$201,1,$H$2:$H$201,"&lt;"&amp;H34)+COUNTIFS($AZ$2:$AZ$201,AZ34,$CD$2:$CD$201,1,$H$2:$H$201,H34,$BA$2:$BA$201,"&lt;"&amp;BA34)=0,1,0),0)</f>
        <v>0</v>
      </c>
      <c r="BO34" s="23" t="n">
        <f aca="false">IF(AND(BB34=1,ISNUMBER(M34)),1,0)</f>
        <v>0</v>
      </c>
      <c r="BP34" s="23" t="n">
        <f aca="false">IF(BO34=1,IF(COUNTIFS($AZ$2:$AZ$201,AZ34,$BO$2:$BO$201,1,$H$2:$H$201,"&lt;"&amp;H34)+COUNTIFS($AZ$2:$AZ$201,AZ34,$BO$2:$BO$201,1,$H$2:$H$201,H34,$BA$2:$BA$201,"&lt;"&amp;BA34)=0,1,0),0)</f>
        <v>0</v>
      </c>
      <c r="BQ34" s="23" t="str">
        <f aca="false">IF(AND(BP34=1,INT(N(H34))&lt;=Config!$B$5),M34,"")</f>
        <v/>
      </c>
      <c r="BR34" s="23" t="n">
        <f aca="false">IF(AND(BB34=1,OR(TRIM(X34)&lt;&gt;"",ISNUMBER(Y34))),1,0)</f>
        <v>0</v>
      </c>
      <c r="BS34" s="23" t="n">
        <f aca="false">IF(BR34=1,IF(COUNTIFS($AZ$2:$AZ$201,AZ34,$BR$2:$BR$201,1,$H$2:$H$201,"&lt;"&amp;H34)+COUNTIFS($AZ$2:$AZ$201,AZ34,$BR$2:$BR$201,1,$H$2:$H$201,H34,$BA$2:$BA$201,"&lt;"&amp;BA34)=0,1,0),0)</f>
        <v>0</v>
      </c>
      <c r="BT34" s="23" t="str">
        <f aca="false">IF(BS34=1,AZ34,"")</f>
        <v/>
      </c>
      <c r="BU34" s="23" t="n">
        <f aca="false">IF(AND(BB34=1,W34="Y",TRIM(X34)=""),1,0)</f>
        <v>0</v>
      </c>
      <c r="BV34" s="23" t="str">
        <f aca="false">IF(BB34=1,AN34&amp;"","")</f>
        <v/>
      </c>
      <c r="BW34" s="23" t="str">
        <f aca="false">IF(BB34=1,AO34&amp;"","")</f>
        <v/>
      </c>
      <c r="BX34" s="23" t="str">
        <f aca="false">IF(BB34=1,AP34&amp;"","")</f>
        <v/>
      </c>
      <c r="BY34" s="23" t="str">
        <f aca="false">IF(AND(BB34=1,ISNUMBER(AV34),INT(N(H34))&lt;=Config!$B$5),AV34,"")</f>
        <v/>
      </c>
      <c r="BZ34" s="23" t="str">
        <f aca="false">IF(BB34=1,IF(COUNTIFS($A$2:$A$201,$A34,$DC$2:$DC$201,1,$AR$2:$AR$201,"Y")&gt;0,"Y","N"),"")</f>
        <v/>
      </c>
      <c r="CA34" s="23" t="n">
        <f aca="false">IF(AND(BB34=1,AR34="maybe"),1,0)</f>
        <v>0</v>
      </c>
      <c r="CB34" s="23" t="n">
        <f aca="false">IF(CA34=1,IF(COUNTIFS($AZ$2:$AZ$201,AZ34,$CA$2:$CA$201,1,$H$2:$H$201,"&lt;"&amp;H34)+COUNTIFS($AZ$2:$AZ$201,AZ34,$CA$2:$CA$201,1,$H$2:$H$201,H34,$BA$2:$BA$201,"&lt;"&amp;BA34)=0,1,0),0)</f>
        <v>0</v>
      </c>
      <c r="CC34" s="23" t="n">
        <f aca="false">IF(AND(BB34=1,AR34="Y"),IF(COUNTIFS($AZ$2:$AZ$201,AZ34,$AR$2:$AR$201,"Y",$BB$2:$BB$201,1,$H$2:$H$201,"&lt;"&amp;H34)+COUNTIFS($AZ$2:$AZ$201,AZ34,$AR$2:$AR$201,"Y",$BB$2:$BB$201,1,$H$2:$H$201,H34,$BA$2:$BA$201,"&lt;"&amp;BA34)=0,1,0),0)</f>
        <v>0</v>
      </c>
      <c r="CD34" s="23" t="n">
        <f aca="false">IF(AND(BH34=1,N(Y34)&gt;=Config!$B$15),1,0)</f>
        <v>0</v>
      </c>
      <c r="CE34" s="23" t="n">
        <f aca="false">IF(AND(BB34=1,AT34="Y"),1,0)</f>
        <v>0</v>
      </c>
      <c r="CF34" s="23" t="n">
        <f aca="false">IF(CE34=1,IF(COUNTIFS($AZ$2:$AZ$201,AZ34,$CE$2:$CE$201,1,$H$2:$H$201,"&lt;"&amp;H34)+COUNTIFS($AZ$2:$AZ$201,AZ34,$CE$2:$CE$201,1,$H$2:$H$201,H34,$BA$2:$BA$201,"&lt;"&amp;BA34)=0,1,0),0)</f>
        <v>0</v>
      </c>
      <c r="CG34" s="23" t="n">
        <f aca="false">IF(AND(BB34=1,G34="warm-intro"),1,0)</f>
        <v>0</v>
      </c>
      <c r="CH34" s="23" t="n">
        <f aca="false">IF(CG34=1,IF(COUNTIFS($AZ$2:$AZ$201,AZ34,$CG$2:$CG$201,1,$H$2:$H$201,"&lt;"&amp;H34)+COUNTIFS($AZ$2:$AZ$201,AZ34,$CG$2:$CG$201,1,$H$2:$H$201,H34,$BA$2:$BA$201,"&lt;"&amp;BA34)=0,1,0),0)</f>
        <v>0</v>
      </c>
      <c r="CI34" s="23" t="n">
        <f aca="false">IF(AND(BB34=1,Q34="Y"),1,0)</f>
        <v>0</v>
      </c>
      <c r="CJ34" s="23" t="n">
        <f aca="false">IF(CI34=1,IF(COUNTIFS($AZ$2:$AZ$201,AZ34,$CI$2:$CI$201,1,$H$2:$H$201,"&lt;"&amp;H34)+COUNTIFS($AZ$2:$AZ$201,AZ34,$CI$2:$CI$201,1,$H$2:$H$201,H34,$BA$2:$BA$201,"&lt;"&amp;BA34)=0,1,0),0)</f>
        <v>0</v>
      </c>
      <c r="CK34" s="23" t="n">
        <f aca="false">IF(AND(BB34=1,AF34="Y"),1,0)</f>
        <v>0</v>
      </c>
      <c r="CL34" s="23" t="n">
        <f aca="false">IF(CK34=1,IF(COUNTIFS($AZ$2:$AZ$201,AZ34,$CK$2:$CK$201,1,$H$2:$H$201,"&lt;"&amp;H34)+COUNTIFS($AZ$2:$AZ$201,AZ34,$CK$2:$CK$201,1,$H$2:$H$201,H34,$BA$2:$BA$201,"&lt;"&amp;BA34)=0,1,0),0)</f>
        <v>0</v>
      </c>
      <c r="CM34" s="23" t="n">
        <f aca="false">IF(AND(BB34=1,U34="Y"),1,0)</f>
        <v>0</v>
      </c>
      <c r="CN34" s="23" t="n">
        <f aca="false">IF(CM34=1,IF(COUNTIFS($AZ$2:$AZ$201,AZ34,$CM$2:$CM$201,1,$H$2:$H$201,"&lt;"&amp;H34)+COUNTIFS($AZ$2:$AZ$201,AZ34,$CM$2:$CM$201,1,$H$2:$H$201,H34,$BA$2:$BA$201,"&lt;"&amp;BA34)=0,1,0),0)</f>
        <v>0</v>
      </c>
      <c r="CO34" s="23" t="n">
        <f aca="false">IF(AND(BB34=1,L34="Y"),1,0)</f>
        <v>0</v>
      </c>
      <c r="CP34" s="23" t="n">
        <f aca="false">IF(CO34=1,IF(COUNTIFS($AZ$2:$AZ$201,AZ34,$CO$2:$CO$201,1,$H$2:$H$201,"&lt;"&amp;H34)+COUNTIFS($AZ$2:$AZ$201,AZ34,$CO$2:$CO$201,1,$H$2:$H$201,H34,$BA$2:$BA$201,"&lt;"&amp;BA34)=0,1,0),0)</f>
        <v>0</v>
      </c>
      <c r="CQ34" s="23" t="n">
        <f aca="false">IF(AND(BB34=1,ISNUMBER(O34)),1,0)</f>
        <v>0</v>
      </c>
      <c r="CR34" s="23" t="n">
        <f aca="false">IF(CQ34=1,IF(COUNTIFS($AZ$2:$AZ$201,AZ34,$CQ$2:$CQ$201,1,$H$2:$H$201,"&lt;"&amp;H34)+COUNTIFS($AZ$2:$AZ$201,AZ34,$CQ$2:$CQ$201,1,$H$2:$H$201,H34,$BA$2:$BA$201,"&lt;"&amp;BA34)=0,1,0),0)</f>
        <v>0</v>
      </c>
      <c r="CS34" s="23" t="str">
        <f aca="false">IF(AND(CR34=1,INT(N(H34))&lt;=Config!$B$5),O34,"")</f>
        <v/>
      </c>
      <c r="CT34" s="23" t="str">
        <f aca="false">IF(AND(BB34=1,INT(N(H34))&lt;=Config!$B$5),AG34&amp;"","")</f>
        <v/>
      </c>
      <c r="CU34" s="23" t="n">
        <f aca="false">IF(AND(BB34=1,AU34="Y"),1,0)</f>
        <v>0</v>
      </c>
      <c r="CV34" s="23" t="n">
        <f aca="false">IF(CU34=1,IF(COUNTIFS($AZ$2:$AZ$201,AZ34,$CU$2:$CU$201,1,$H$2:$H$201,"&lt;"&amp;H34)+COUNTIFS($AZ$2:$AZ$201,AZ34,$CU$2:$CU$201,1,$H$2:$H$201,H34,$BA$2:$BA$201,"&lt;"&amp;BA34)=0,1,0),0)</f>
        <v>0</v>
      </c>
      <c r="CW34" s="23" t="str">
        <f aca="false">IF(BB34=1,IFERROR(MATCH($A34,INDEX(Clay_Offices!$A$2:$FZ$601,0,Sync!$C$5),0),""),"")</f>
        <v/>
      </c>
      <c r="CX34" s="23" t="str">
        <f aca="false">IF(CW34="","",IFERROR(INDEX(Clay_Offices!$A$2:$FZ$601,CW34,Sync!$C$7)&amp;"",""))</f>
        <v/>
      </c>
      <c r="CY34" s="23" t="str">
        <f aca="false">IF(CX34="","",IFERROR(INDEX(Lists!$K$2:$K$15,MATCH(CX34,Lists!$J$2:$J$15,0)),""))</f>
        <v/>
      </c>
      <c r="CZ34" s="23" t="str">
        <f aca="false">IF(CW34="","",IFERROR(INDEX(Clay_Offices!$A$2:$FZ$601,CW34,Sync!$C$17)&amp;"",""))</f>
        <v/>
      </c>
      <c r="DA34" s="35" t="str">
        <f aca="false">IF(CW34="","",IFERROR(N(INDEX(Clay_Offices!$A$2:$FZ$601,CW34,Sync!$C$16)),0))</f>
        <v/>
      </c>
      <c r="DB34" s="23" t="n">
        <f aca="false">IF(AND(BB34=1,OR(AR34="Y",AR34="N",AR34="maybe")),1,0)</f>
        <v>0</v>
      </c>
      <c r="DC34" s="23" t="n">
        <f aca="false">IF(AND(DB34=1),IF(COUNTIFS($A$2:$A$201,$A34,$DB$2:$DB$201,1,$H$2:$H$201,"&gt;"&amp;H34)+COUNTIFS($A$2:$A$201,$A34,$DB$2:$DB$201,1,$H$2:$H$201,H34,$BA$2:$BA$201,"&gt;"&amp;BA34)=0,1,0),0)</f>
        <v>0</v>
      </c>
      <c r="DD34" s="23" t="n">
        <f aca="false">IF(AND(DB34=1,INT(N(H34))&lt;=Config!$B$6),IF(COUNTIFS($AZ$2:$AZ$201,AZ34,$DB$2:$DB$201,1,$H$2:$H$201,"&gt;"&amp;H34,$H$2:$H$201,"&lt;"&amp;(Config!$B$6+1))+COUNTIFS($AZ$2:$AZ$201,AZ34,$DB$2:$DB$201,1,$H$2:$H$201,H34,$BA$2:$BA$201,"&gt;"&amp;BA34)=0,1,0),0)</f>
        <v>0</v>
      </c>
      <c r="DE34" s="23" t="n">
        <f aca="false">IF(AND(DB34=1,INT(N(H34))&lt;=Config!$B$7),IF(COUNTIFS($AZ$2:$AZ$201,AZ34,$DB$2:$DB$201,1,$H$2:$H$201,"&gt;"&amp;H34,$H$2:$H$201,"&lt;"&amp;(Config!$B$7+1))+COUNTIFS($AZ$2:$AZ$201,AZ34,$DB$2:$DB$201,1,$H$2:$H$201,H34,$BA$2:$BA$201,"&gt;"&amp;BA34)=0,1,0),0)</f>
        <v>0</v>
      </c>
      <c r="DF34" s="23" t="n">
        <f aca="false">IF(AND(DB34=1,INT(N(H34))&lt;=Config!$B$8),IF(COUNTIFS($AZ$2:$AZ$201,AZ34,$DB$2:$DB$201,1,$H$2:$H$201,"&gt;"&amp;H34,$H$2:$H$201,"&lt;"&amp;(Config!$B$8+1))+COUNTIFS($AZ$2:$AZ$201,AZ34,$DB$2:$DB$201,1,$H$2:$H$201,H34,$BA$2:$BA$201,"&gt;"&amp;BA34)=0,1,0),0)</f>
        <v>0</v>
      </c>
      <c r="DG34" s="23" t="n">
        <f aca="false">IF(AND(DB34=1,INT(N(H34))&lt;=Config!$B$5),IF(COUNTIFS($AZ$2:$AZ$201,AZ34,$DB$2:$DB$201,1,$H$2:$H$201,"&gt;"&amp;H34,$H$2:$H$201,"&lt;"&amp;(Config!$B$5+1))+COUNTIFS($AZ$2:$AZ$201,AZ34,$DB$2:$DB$201,1,$H$2:$H$201,H34,$BA$2:$BA$201,"&gt;"&amp;BA34)=0,1,0),0)</f>
        <v>0</v>
      </c>
      <c r="DH34" s="23" t="n">
        <f aca="false">IF(BB34=1,IF(COUNTIFS($AZ$2:$AZ$201,AZ34,$DD$2:$DD$201,1,$AR$2:$AR$201,"Y")&gt;0,1,0),0)</f>
        <v>0</v>
      </c>
      <c r="DI34" s="23" t="n">
        <f aca="false">IF(BB34=1,IF(COUNTIFS($AZ$2:$AZ$201,AZ34,$DE$2:$DE$201,1,$AR$2:$AR$201,"Y")&gt;0,1,0),0)</f>
        <v>0</v>
      </c>
      <c r="DJ34" s="23" t="n">
        <f aca="false">IF(BB34=1,IF(COUNTIFS($AZ$2:$AZ$201,AZ34,$DF$2:$DF$201,1,$AR$2:$AR$201,"Y")&gt;0,1,0),0)</f>
        <v>0</v>
      </c>
      <c r="DK34" s="23" t="n">
        <f aca="false">IF(BB34=1,IF(COUNTIFS($AZ$2:$AZ$201,AZ34,$DG$2:$DG$201,1,$AR$2:$AR$201,"Y")&gt;0,1,0),0)</f>
        <v>0</v>
      </c>
      <c r="DL34" s="23" t="n">
        <f aca="false">IF(AND(BF34=1,INT(N(H34))&lt;=Config!$B$6,DH34=1,EI34=0),1,0)</f>
        <v>0</v>
      </c>
      <c r="DM34" s="23" t="n">
        <f aca="false">IF(AND(BF34=1,INT(N(H34))&lt;=Config!$B$7,DI34=1,EI34=0),1,0)</f>
        <v>0</v>
      </c>
      <c r="DN34" s="23" t="n">
        <f aca="false">IF(AND(BF34=1,INT(N(H34))&lt;=Config!$B$8,DJ34=1,EI34=0),1,0)</f>
        <v>0</v>
      </c>
      <c r="DO34" s="23" t="n">
        <f aca="false">IF(AND(BF34=1,INT(N(H34))&lt;=Config!$B$5,DK34=1,EI34=0),1,0)</f>
        <v>0</v>
      </c>
      <c r="DP34" s="23" t="n">
        <f aca="false">IF(AND(CC34=1,INT(N(H34))&lt;=Config!$B$6,DH34=1,EI34=0),1,0)</f>
        <v>0</v>
      </c>
      <c r="DQ34" s="23" t="n">
        <f aca="false">IF(AND(CC34=1,INT(N(H34))&lt;=Config!$B$7,DI34=1,EI34=0),1,0)</f>
        <v>0</v>
      </c>
      <c r="DR34" s="23" t="n">
        <f aca="false">IF(AND(CC34=1,INT(N(H34))&lt;=Config!$B$8,DJ34=1,EI34=0),1,0)</f>
        <v>0</v>
      </c>
      <c r="DS34" s="23" t="n">
        <f aca="false">IF(AND(CC34=1,INT(N(H34))&lt;=Config!$B$5,DK34=1,EI34=0),1,0)</f>
        <v>0</v>
      </c>
      <c r="DT34" s="23" t="n">
        <f aca="false">IF(AND(CC34=1,INT(N(H34))&lt;=Config!$B$6,DH34=0),1,0)</f>
        <v>0</v>
      </c>
      <c r="DU34" s="23" t="n">
        <f aca="false">IF(AND(CC34=1,INT(N(H34))&lt;=Config!$B$7,DI34=0),1,0)</f>
        <v>0</v>
      </c>
      <c r="DV34" s="23" t="n">
        <f aca="false">IF(AND(CC34=1,INT(N(H34))&lt;=Config!$B$8,DJ34=0),1,0)</f>
        <v>0</v>
      </c>
      <c r="DW34" s="23" t="n">
        <f aca="false">IF(AND(CC34=1,INT(N(H34))&lt;=Config!$B$5,DK34=0),1,0)</f>
        <v>0</v>
      </c>
      <c r="DX34" s="23" t="n">
        <f aca="false">IF(TRIM($A34)="",0,ISTEXT(M34)+ISTEXT(O34)+ISTEXT(Y34)+ISTEXT(Z34)+ISTEXT(AA34)+ISTEXT(AV34))</f>
        <v>0</v>
      </c>
      <c r="DY34" s="23" t="n">
        <f aca="false">IF(BB34=1,IF(H34&lt;&gt;INT(H34),1,0),0)</f>
        <v>0</v>
      </c>
      <c r="DZ34" s="23" t="str">
        <f aca="false">IF(TRIM($A34)="","",IF(TRIM(B34)="",SUBSTITUTE(SUBSTITUTE(SUBSTITUTE(SUBSTITUTE(SUBSTITUTE(SUBSTITUTE(LOWER(TRIM($A34)),"~",""),"*",""),"?",""),"&lt;",""),"&gt;",""),"=",""),SUBSTITUTE(SUBSTITUTE(SUBSTITUTE(SUBSTITUTE(SUBSTITUTE(SUBSTITUTE(LOWER(TRIM(B34)),"~",""),"*",""),"?",""),"&lt;",""),"&gt;",""),"=","")))</f>
        <v/>
      </c>
      <c r="EA34" s="23" t="str">
        <f aca="false">IF(CW34="","",IFERROR(IF(LEFT(LOWER(TRIM(INDEX(Clay_Offices!$A$2:$FZ$601,CW34,Sync!$C$19)&amp;"")),4)="grp-",SUBSTITUTE(SUBSTITUTE(SUBSTITUTE(SUBSTITUTE(SUBSTITUTE(SUBSTITUTE(LOWER(TRIM(INDEX(Clay_Offices!$A$2:$FZ$601,CW34,Sync!$C$19)&amp;"")),"~",""),"*",""),"?",""),"&lt;",""),"&gt;",""),"=",""),""),""))</f>
        <v/>
      </c>
      <c r="EB34" s="23" t="str">
        <f aca="false">IF(EA34&lt;&gt;"",DZ34,"")</f>
        <v/>
      </c>
      <c r="EC34" s="23" t="str">
        <f aca="false">IF(BC34=1,AZ34,"")</f>
        <v/>
      </c>
      <c r="ED34" s="23" t="str">
        <f aca="false">IF(TRIM($A34)="","",IFERROR(INDEX($A$2:$A$201,MATCH(AZ34,$EC$2:$EC$201,0))&amp;"",$A34&amp;""))</f>
        <v/>
      </c>
      <c r="EE34" s="23" t="n">
        <f aca="false">IF(BB34=1,IF(COUNTIFS($A$2:$A$201,$A34,$BB$2:$BB$201,1,$H$2:$H$201,"&lt;"&amp;H34)+COUNTIFS($A$2:$A$201,$A34,$BB$2:$BB$201,1,$H$2:$H$201,H34,$BA$2:$BA$201,"&lt;"&amp;BA34)=0,1,0),0)</f>
        <v>0</v>
      </c>
      <c r="EF34" s="23" t="n">
        <f aca="false">IF(BC34=1,IF(COUNTIFS($AZ$2:$AZ$201,AZ34,$EE$2:$EE$201,1)&gt;1,1,0),0)</f>
        <v>0</v>
      </c>
      <c r="EG34" s="23" t="n">
        <f aca="false">IF(AND(CQ34=1),IF(COUNTIFS($AZ$2:$AZ$201,AZ34,$CQ$2:$CQ$201,1,$H$2:$H$201,"&gt;"&amp;H34)+COUNTIFS($AZ$2:$AZ$201,AZ34,$CQ$2:$CQ$201,1,$H$2:$H$201,H34,$BA$2:$BA$201,"&gt;"&amp;BA34)=0,1,0),0)</f>
        <v>0</v>
      </c>
      <c r="EH34" s="23" t="str">
        <f aca="false">IF(BB34=1,IF(COUNTIFS($AZ$2:$AZ$201,AZ34,$EG$2:$EG$201,1)=0,"",SUMIFS($O$2:$O$201,$AZ$2:$AZ$201,AZ34,$EG$2:$EG$201,1)),"")</f>
        <v/>
      </c>
      <c r="EI34" s="23" t="n">
        <f aca="false">IF(AND(ISNUMBER(EH34),OR(N(EH34)&lt;Config!$B$31,N(EH34)&gt;Config!$B$33)),1,0)</f>
        <v>0</v>
      </c>
      <c r="EJ34" s="23" t="n">
        <f aca="false">IF(AND(ISNUMBER(EH34),N(EH34)&gt;=Config!$B$31,N(EH34)&lt;Config!$B$32),1,0)</f>
        <v>0</v>
      </c>
      <c r="EK34" s="23" t="n">
        <f aca="false">IF(AND(BF34=1,INT(N(H34))&lt;=Config!$B$6,DH34=1,EI34=1),1,0)</f>
        <v>0</v>
      </c>
      <c r="EL34" s="23" t="n">
        <f aca="false">IF(AND(BF34=1,INT(N(H34))&lt;=Config!$B$7,DI34=1,EI34=1),1,0)</f>
        <v>0</v>
      </c>
      <c r="EM34" s="23" t="n">
        <f aca="false">IF(AND(BF34=1,INT(N(H34))&lt;=Config!$B$8,DJ34=1,EI34=1),1,0)</f>
        <v>0</v>
      </c>
      <c r="EN34" s="23" t="n">
        <f aca="false">IF(AND(BF34=1,INT(N(H34))&lt;=Config!$B$5,DK34=1,EI34=1),1,0)</f>
        <v>0</v>
      </c>
      <c r="EO34" s="23" t="n">
        <f aca="false">IF(AND(DL34=1,EJ34=1),1,0)</f>
        <v>0</v>
      </c>
      <c r="EP34" s="23" t="n">
        <f aca="false">IF(AND(DM34=1,EJ34=1),1,0)</f>
        <v>0</v>
      </c>
      <c r="EQ34" s="23" t="n">
        <f aca="false">IF(AND(DN34=1,EJ34=1),1,0)</f>
        <v>0</v>
      </c>
      <c r="ER34" s="23" t="n">
        <f aca="false">IF(AND(DO34=1,EJ34=1),1,0)</f>
        <v>0</v>
      </c>
    </row>
    <row r="35" customFormat="false" ht="15" hidden="false" customHeight="false" outlineLevel="0" collapsed="false">
      <c r="G35" s="32"/>
      <c r="H35" s="33"/>
      <c r="I35" s="32"/>
      <c r="L35" s="32"/>
      <c r="Q35" s="32"/>
      <c r="U35" s="32"/>
      <c r="W35" s="32"/>
      <c r="AC35" s="32"/>
      <c r="AF35" s="32"/>
      <c r="AI35" s="32"/>
      <c r="AJ35" s="32"/>
      <c r="AN35" s="32"/>
      <c r="AR35" s="32"/>
      <c r="AT35" s="32"/>
      <c r="AU35" s="32"/>
      <c r="AW35" s="32"/>
      <c r="AY35" s="34" t="str">
        <f aca="false">IF(TRIM($A35)="","",IF(AND(LEFT($A35,6)="SAMPLE",Config!$B$19&lt;&gt;"Y"),"",IF(NOT(ISNUMBER(H35)),"call_date is blank or not a date",IF(Sync!$C$5="","Clay paste is empty or has no row_id column: paste the Clay export on Clay_Offices",IF(CW35="","row_id not found in the Clay paste: add the Clay row or fix the row_id",IF(AND(ISNUMBER(CY35),CY35&gt;=1,CY35&lt;=5),"Clay status is "&amp;CX35&amp;": set call_done or later",IF(AND(BD35=1,CZ35&lt;&gt;BZ35),"Clay yes_in_principle should be "&amp;BZ35,IF(AND(BD35=1,DA35&lt;&gt;H35),"Clay call_date should be "&amp;TEXT(H35,"yyyy-mm-dd"),""))))))))</f>
        <v/>
      </c>
      <c r="AZ35" s="23" t="str">
        <f aca="false">IF(TRIM($A35)="","",IF(TRIM(C35)&lt;&gt;"",SUBSTITUTE(SUBSTITUTE(SUBSTITUTE(SUBSTITUTE(SUBSTITUTE(SUBSTITUTE(LOWER(TRIM(C35)),"~",""),"*",""),"?",""),"&lt;",""),"&gt;",""),"=",""),IF(EA35&lt;&gt;"",EA35,IFERROR(INDEX($EA$2:$EA$201,MATCH(DZ35,$EB$2:$EB$201,0)),DZ35))))</f>
        <v/>
      </c>
      <c r="BA35" s="23" t="n">
        <f aca="false">ROW()</f>
        <v>35</v>
      </c>
      <c r="BB35" s="23" t="n">
        <f aca="false">IF(AND(TRIM($A35)&lt;&gt;"",ISNUMBER(H35)),IF(AND(LEFT($A35,6)="SAMPLE",Config!$B$19&lt;&gt;"Y"),0,1),0)</f>
        <v>0</v>
      </c>
      <c r="BC35" s="23" t="n">
        <f aca="false">IF(BB35=1,IF(COUNTIFS($AZ$2:$AZ$201,AZ35,$BB$2:$BB$201,1,$H$2:$H$201,"&lt;"&amp;H35)+COUNTIFS($AZ$2:$AZ$201,AZ35,$BB$2:$BB$201,1,$H$2:$H$201,H35,$BA$2:$BA$201,"&lt;"&amp;BA35)=0,1,0),0)</f>
        <v>0</v>
      </c>
      <c r="BD35" s="23" t="n">
        <f aca="false">IF(BB35=1,IF(COUNTIFS($A$2:$A$201,$A35,$BB$2:$BB$201,1,$H$2:$H$201,"&gt;"&amp;H35)+COUNTIFS($A$2:$A$201,$A35,$BB$2:$BB$201,1,$H$2:$H$201,H35,$BA$2:$BA$201,"&gt;"&amp;BA35)=0,1,0),0)</f>
        <v>0</v>
      </c>
      <c r="BE35" s="23" t="n">
        <f aca="false">IF(AND(BB35=1,AR35="Y",AC35="Y",TRIM(AH35)&lt;&gt;""),1,0)</f>
        <v>0</v>
      </c>
      <c r="BF35" s="23" t="n">
        <f aca="false">IF(BE35=1,IF(COUNTIFS($AZ$2:$AZ$201,AZ35,$BE$2:$BE$201,1,$H$2:$H$201,"&lt;"&amp;H35)+COUNTIFS($AZ$2:$AZ$201,AZ35,$BE$2:$BE$201,1,$H$2:$H$201,H35,$BA$2:$BA$201,"&lt;"&amp;BA35)=0,1,0),0)</f>
        <v>0</v>
      </c>
      <c r="BG35" s="23" t="n">
        <f aca="false">IF(AND(BB35=1,AR35="Y",BE35=0),1,0)</f>
        <v>0</v>
      </c>
      <c r="BH35" s="23" t="n">
        <f aca="false">IF(AND(BB35=1,ISNUMBER(Y35)),1,0)</f>
        <v>0</v>
      </c>
      <c r="BI35" s="23" t="n">
        <f aca="false">IF(BH35=1,IF(COUNTIFS($AZ$2:$AZ$201,AZ35,$BH$2:$BH$201,1,$H$2:$H$201,"&lt;"&amp;H35)+COUNTIFS($AZ$2:$AZ$201,AZ35,$BH$2:$BH$201,1,$H$2:$H$201,H35,$BA$2:$BA$201,"&lt;"&amp;BA35)=0,1,0),0)</f>
        <v>0</v>
      </c>
      <c r="BJ35" s="23" t="str">
        <f aca="false">IF(AND(BI35=1,INT(N(H35))&lt;=Config!$B$6),Y35,"")</f>
        <v/>
      </c>
      <c r="BK35" s="23" t="str">
        <f aca="false">IF(AND(BI35=1,INT(N(H35))&lt;=Config!$B$7),Y35,"")</f>
        <v/>
      </c>
      <c r="BL35" s="23" t="str">
        <f aca="false">IF(AND(BI35=1,INT(N(H35))&lt;=Config!$B$8),Y35,"")</f>
        <v/>
      </c>
      <c r="BM35" s="23" t="str">
        <f aca="false">IF(AND(BI35=1,INT(N(H35))&lt;=Config!$B$5),Y35,"")</f>
        <v/>
      </c>
      <c r="BN35" s="23" t="n">
        <f aca="false">IF(CD35=1,IF(COUNTIFS($AZ$2:$AZ$201,AZ35,$CD$2:$CD$201,1,$H$2:$H$201,"&lt;"&amp;H35)+COUNTIFS($AZ$2:$AZ$201,AZ35,$CD$2:$CD$201,1,$H$2:$H$201,H35,$BA$2:$BA$201,"&lt;"&amp;BA35)=0,1,0),0)</f>
        <v>0</v>
      </c>
      <c r="BO35" s="23" t="n">
        <f aca="false">IF(AND(BB35=1,ISNUMBER(M35)),1,0)</f>
        <v>0</v>
      </c>
      <c r="BP35" s="23" t="n">
        <f aca="false">IF(BO35=1,IF(COUNTIFS($AZ$2:$AZ$201,AZ35,$BO$2:$BO$201,1,$H$2:$H$201,"&lt;"&amp;H35)+COUNTIFS($AZ$2:$AZ$201,AZ35,$BO$2:$BO$201,1,$H$2:$H$201,H35,$BA$2:$BA$201,"&lt;"&amp;BA35)=0,1,0),0)</f>
        <v>0</v>
      </c>
      <c r="BQ35" s="23" t="str">
        <f aca="false">IF(AND(BP35=1,INT(N(H35))&lt;=Config!$B$5),M35,"")</f>
        <v/>
      </c>
      <c r="BR35" s="23" t="n">
        <f aca="false">IF(AND(BB35=1,OR(TRIM(X35)&lt;&gt;"",ISNUMBER(Y35))),1,0)</f>
        <v>0</v>
      </c>
      <c r="BS35" s="23" t="n">
        <f aca="false">IF(BR35=1,IF(COUNTIFS($AZ$2:$AZ$201,AZ35,$BR$2:$BR$201,1,$H$2:$H$201,"&lt;"&amp;H35)+COUNTIFS($AZ$2:$AZ$201,AZ35,$BR$2:$BR$201,1,$H$2:$H$201,H35,$BA$2:$BA$201,"&lt;"&amp;BA35)=0,1,0),0)</f>
        <v>0</v>
      </c>
      <c r="BT35" s="23" t="str">
        <f aca="false">IF(BS35=1,AZ35,"")</f>
        <v/>
      </c>
      <c r="BU35" s="23" t="n">
        <f aca="false">IF(AND(BB35=1,W35="Y",TRIM(X35)=""),1,0)</f>
        <v>0</v>
      </c>
      <c r="BV35" s="23" t="str">
        <f aca="false">IF(BB35=1,AN35&amp;"","")</f>
        <v/>
      </c>
      <c r="BW35" s="23" t="str">
        <f aca="false">IF(BB35=1,AO35&amp;"","")</f>
        <v/>
      </c>
      <c r="BX35" s="23" t="str">
        <f aca="false">IF(BB35=1,AP35&amp;"","")</f>
        <v/>
      </c>
      <c r="BY35" s="23" t="str">
        <f aca="false">IF(AND(BB35=1,ISNUMBER(AV35),INT(N(H35))&lt;=Config!$B$5),AV35,"")</f>
        <v/>
      </c>
      <c r="BZ35" s="23" t="str">
        <f aca="false">IF(BB35=1,IF(COUNTIFS($A$2:$A$201,$A35,$DC$2:$DC$201,1,$AR$2:$AR$201,"Y")&gt;0,"Y","N"),"")</f>
        <v/>
      </c>
      <c r="CA35" s="23" t="n">
        <f aca="false">IF(AND(BB35=1,AR35="maybe"),1,0)</f>
        <v>0</v>
      </c>
      <c r="CB35" s="23" t="n">
        <f aca="false">IF(CA35=1,IF(COUNTIFS($AZ$2:$AZ$201,AZ35,$CA$2:$CA$201,1,$H$2:$H$201,"&lt;"&amp;H35)+COUNTIFS($AZ$2:$AZ$201,AZ35,$CA$2:$CA$201,1,$H$2:$H$201,H35,$BA$2:$BA$201,"&lt;"&amp;BA35)=0,1,0),0)</f>
        <v>0</v>
      </c>
      <c r="CC35" s="23" t="n">
        <f aca="false">IF(AND(BB35=1,AR35="Y"),IF(COUNTIFS($AZ$2:$AZ$201,AZ35,$AR$2:$AR$201,"Y",$BB$2:$BB$201,1,$H$2:$H$201,"&lt;"&amp;H35)+COUNTIFS($AZ$2:$AZ$201,AZ35,$AR$2:$AR$201,"Y",$BB$2:$BB$201,1,$H$2:$H$201,H35,$BA$2:$BA$201,"&lt;"&amp;BA35)=0,1,0),0)</f>
        <v>0</v>
      </c>
      <c r="CD35" s="23" t="n">
        <f aca="false">IF(AND(BH35=1,N(Y35)&gt;=Config!$B$15),1,0)</f>
        <v>0</v>
      </c>
      <c r="CE35" s="23" t="n">
        <f aca="false">IF(AND(BB35=1,AT35="Y"),1,0)</f>
        <v>0</v>
      </c>
      <c r="CF35" s="23" t="n">
        <f aca="false">IF(CE35=1,IF(COUNTIFS($AZ$2:$AZ$201,AZ35,$CE$2:$CE$201,1,$H$2:$H$201,"&lt;"&amp;H35)+COUNTIFS($AZ$2:$AZ$201,AZ35,$CE$2:$CE$201,1,$H$2:$H$201,H35,$BA$2:$BA$201,"&lt;"&amp;BA35)=0,1,0),0)</f>
        <v>0</v>
      </c>
      <c r="CG35" s="23" t="n">
        <f aca="false">IF(AND(BB35=1,G35="warm-intro"),1,0)</f>
        <v>0</v>
      </c>
      <c r="CH35" s="23" t="n">
        <f aca="false">IF(CG35=1,IF(COUNTIFS($AZ$2:$AZ$201,AZ35,$CG$2:$CG$201,1,$H$2:$H$201,"&lt;"&amp;H35)+COUNTIFS($AZ$2:$AZ$201,AZ35,$CG$2:$CG$201,1,$H$2:$H$201,H35,$BA$2:$BA$201,"&lt;"&amp;BA35)=0,1,0),0)</f>
        <v>0</v>
      </c>
      <c r="CI35" s="23" t="n">
        <f aca="false">IF(AND(BB35=1,Q35="Y"),1,0)</f>
        <v>0</v>
      </c>
      <c r="CJ35" s="23" t="n">
        <f aca="false">IF(CI35=1,IF(COUNTIFS($AZ$2:$AZ$201,AZ35,$CI$2:$CI$201,1,$H$2:$H$201,"&lt;"&amp;H35)+COUNTIFS($AZ$2:$AZ$201,AZ35,$CI$2:$CI$201,1,$H$2:$H$201,H35,$BA$2:$BA$201,"&lt;"&amp;BA35)=0,1,0),0)</f>
        <v>0</v>
      </c>
      <c r="CK35" s="23" t="n">
        <f aca="false">IF(AND(BB35=1,AF35="Y"),1,0)</f>
        <v>0</v>
      </c>
      <c r="CL35" s="23" t="n">
        <f aca="false">IF(CK35=1,IF(COUNTIFS($AZ$2:$AZ$201,AZ35,$CK$2:$CK$201,1,$H$2:$H$201,"&lt;"&amp;H35)+COUNTIFS($AZ$2:$AZ$201,AZ35,$CK$2:$CK$201,1,$H$2:$H$201,H35,$BA$2:$BA$201,"&lt;"&amp;BA35)=0,1,0),0)</f>
        <v>0</v>
      </c>
      <c r="CM35" s="23" t="n">
        <f aca="false">IF(AND(BB35=1,U35="Y"),1,0)</f>
        <v>0</v>
      </c>
      <c r="CN35" s="23" t="n">
        <f aca="false">IF(CM35=1,IF(COUNTIFS($AZ$2:$AZ$201,AZ35,$CM$2:$CM$201,1,$H$2:$H$201,"&lt;"&amp;H35)+COUNTIFS($AZ$2:$AZ$201,AZ35,$CM$2:$CM$201,1,$H$2:$H$201,H35,$BA$2:$BA$201,"&lt;"&amp;BA35)=0,1,0),0)</f>
        <v>0</v>
      </c>
      <c r="CO35" s="23" t="n">
        <f aca="false">IF(AND(BB35=1,L35="Y"),1,0)</f>
        <v>0</v>
      </c>
      <c r="CP35" s="23" t="n">
        <f aca="false">IF(CO35=1,IF(COUNTIFS($AZ$2:$AZ$201,AZ35,$CO$2:$CO$201,1,$H$2:$H$201,"&lt;"&amp;H35)+COUNTIFS($AZ$2:$AZ$201,AZ35,$CO$2:$CO$201,1,$H$2:$H$201,H35,$BA$2:$BA$201,"&lt;"&amp;BA35)=0,1,0),0)</f>
        <v>0</v>
      </c>
      <c r="CQ35" s="23" t="n">
        <f aca="false">IF(AND(BB35=1,ISNUMBER(O35)),1,0)</f>
        <v>0</v>
      </c>
      <c r="CR35" s="23" t="n">
        <f aca="false">IF(CQ35=1,IF(COUNTIFS($AZ$2:$AZ$201,AZ35,$CQ$2:$CQ$201,1,$H$2:$H$201,"&lt;"&amp;H35)+COUNTIFS($AZ$2:$AZ$201,AZ35,$CQ$2:$CQ$201,1,$H$2:$H$201,H35,$BA$2:$BA$201,"&lt;"&amp;BA35)=0,1,0),0)</f>
        <v>0</v>
      </c>
      <c r="CS35" s="23" t="str">
        <f aca="false">IF(AND(CR35=1,INT(N(H35))&lt;=Config!$B$5),O35,"")</f>
        <v/>
      </c>
      <c r="CT35" s="23" t="str">
        <f aca="false">IF(AND(BB35=1,INT(N(H35))&lt;=Config!$B$5),AG35&amp;"","")</f>
        <v/>
      </c>
      <c r="CU35" s="23" t="n">
        <f aca="false">IF(AND(BB35=1,AU35="Y"),1,0)</f>
        <v>0</v>
      </c>
      <c r="CV35" s="23" t="n">
        <f aca="false">IF(CU35=1,IF(COUNTIFS($AZ$2:$AZ$201,AZ35,$CU$2:$CU$201,1,$H$2:$H$201,"&lt;"&amp;H35)+COUNTIFS($AZ$2:$AZ$201,AZ35,$CU$2:$CU$201,1,$H$2:$H$201,H35,$BA$2:$BA$201,"&lt;"&amp;BA35)=0,1,0),0)</f>
        <v>0</v>
      </c>
      <c r="CW35" s="23" t="str">
        <f aca="false">IF(BB35=1,IFERROR(MATCH($A35,INDEX(Clay_Offices!$A$2:$FZ$601,0,Sync!$C$5),0),""),"")</f>
        <v/>
      </c>
      <c r="CX35" s="23" t="str">
        <f aca="false">IF(CW35="","",IFERROR(INDEX(Clay_Offices!$A$2:$FZ$601,CW35,Sync!$C$7)&amp;"",""))</f>
        <v/>
      </c>
      <c r="CY35" s="23" t="str">
        <f aca="false">IF(CX35="","",IFERROR(INDEX(Lists!$K$2:$K$15,MATCH(CX35,Lists!$J$2:$J$15,0)),""))</f>
        <v/>
      </c>
      <c r="CZ35" s="23" t="str">
        <f aca="false">IF(CW35="","",IFERROR(INDEX(Clay_Offices!$A$2:$FZ$601,CW35,Sync!$C$17)&amp;"",""))</f>
        <v/>
      </c>
      <c r="DA35" s="35" t="str">
        <f aca="false">IF(CW35="","",IFERROR(N(INDEX(Clay_Offices!$A$2:$FZ$601,CW35,Sync!$C$16)),0))</f>
        <v/>
      </c>
      <c r="DB35" s="23" t="n">
        <f aca="false">IF(AND(BB35=1,OR(AR35="Y",AR35="N",AR35="maybe")),1,0)</f>
        <v>0</v>
      </c>
      <c r="DC35" s="23" t="n">
        <f aca="false">IF(AND(DB35=1),IF(COUNTIFS($A$2:$A$201,$A35,$DB$2:$DB$201,1,$H$2:$H$201,"&gt;"&amp;H35)+COUNTIFS($A$2:$A$201,$A35,$DB$2:$DB$201,1,$H$2:$H$201,H35,$BA$2:$BA$201,"&gt;"&amp;BA35)=0,1,0),0)</f>
        <v>0</v>
      </c>
      <c r="DD35" s="23" t="n">
        <f aca="false">IF(AND(DB35=1,INT(N(H35))&lt;=Config!$B$6),IF(COUNTIFS($AZ$2:$AZ$201,AZ35,$DB$2:$DB$201,1,$H$2:$H$201,"&gt;"&amp;H35,$H$2:$H$201,"&lt;"&amp;(Config!$B$6+1))+COUNTIFS($AZ$2:$AZ$201,AZ35,$DB$2:$DB$201,1,$H$2:$H$201,H35,$BA$2:$BA$201,"&gt;"&amp;BA35)=0,1,0),0)</f>
        <v>0</v>
      </c>
      <c r="DE35" s="23" t="n">
        <f aca="false">IF(AND(DB35=1,INT(N(H35))&lt;=Config!$B$7),IF(COUNTIFS($AZ$2:$AZ$201,AZ35,$DB$2:$DB$201,1,$H$2:$H$201,"&gt;"&amp;H35,$H$2:$H$201,"&lt;"&amp;(Config!$B$7+1))+COUNTIFS($AZ$2:$AZ$201,AZ35,$DB$2:$DB$201,1,$H$2:$H$201,H35,$BA$2:$BA$201,"&gt;"&amp;BA35)=0,1,0),0)</f>
        <v>0</v>
      </c>
      <c r="DF35" s="23" t="n">
        <f aca="false">IF(AND(DB35=1,INT(N(H35))&lt;=Config!$B$8),IF(COUNTIFS($AZ$2:$AZ$201,AZ35,$DB$2:$DB$201,1,$H$2:$H$201,"&gt;"&amp;H35,$H$2:$H$201,"&lt;"&amp;(Config!$B$8+1))+COUNTIFS($AZ$2:$AZ$201,AZ35,$DB$2:$DB$201,1,$H$2:$H$201,H35,$BA$2:$BA$201,"&gt;"&amp;BA35)=0,1,0),0)</f>
        <v>0</v>
      </c>
      <c r="DG35" s="23" t="n">
        <f aca="false">IF(AND(DB35=1,INT(N(H35))&lt;=Config!$B$5),IF(COUNTIFS($AZ$2:$AZ$201,AZ35,$DB$2:$DB$201,1,$H$2:$H$201,"&gt;"&amp;H35,$H$2:$H$201,"&lt;"&amp;(Config!$B$5+1))+COUNTIFS($AZ$2:$AZ$201,AZ35,$DB$2:$DB$201,1,$H$2:$H$201,H35,$BA$2:$BA$201,"&gt;"&amp;BA35)=0,1,0),0)</f>
        <v>0</v>
      </c>
      <c r="DH35" s="23" t="n">
        <f aca="false">IF(BB35=1,IF(COUNTIFS($AZ$2:$AZ$201,AZ35,$DD$2:$DD$201,1,$AR$2:$AR$201,"Y")&gt;0,1,0),0)</f>
        <v>0</v>
      </c>
      <c r="DI35" s="23" t="n">
        <f aca="false">IF(BB35=1,IF(COUNTIFS($AZ$2:$AZ$201,AZ35,$DE$2:$DE$201,1,$AR$2:$AR$201,"Y")&gt;0,1,0),0)</f>
        <v>0</v>
      </c>
      <c r="DJ35" s="23" t="n">
        <f aca="false">IF(BB35=1,IF(COUNTIFS($AZ$2:$AZ$201,AZ35,$DF$2:$DF$201,1,$AR$2:$AR$201,"Y")&gt;0,1,0),0)</f>
        <v>0</v>
      </c>
      <c r="DK35" s="23" t="n">
        <f aca="false">IF(BB35=1,IF(COUNTIFS($AZ$2:$AZ$201,AZ35,$DG$2:$DG$201,1,$AR$2:$AR$201,"Y")&gt;0,1,0),0)</f>
        <v>0</v>
      </c>
      <c r="DL35" s="23" t="n">
        <f aca="false">IF(AND(BF35=1,INT(N(H35))&lt;=Config!$B$6,DH35=1,EI35=0),1,0)</f>
        <v>0</v>
      </c>
      <c r="DM35" s="23" t="n">
        <f aca="false">IF(AND(BF35=1,INT(N(H35))&lt;=Config!$B$7,DI35=1,EI35=0),1,0)</f>
        <v>0</v>
      </c>
      <c r="DN35" s="23" t="n">
        <f aca="false">IF(AND(BF35=1,INT(N(H35))&lt;=Config!$B$8,DJ35=1,EI35=0),1,0)</f>
        <v>0</v>
      </c>
      <c r="DO35" s="23" t="n">
        <f aca="false">IF(AND(BF35=1,INT(N(H35))&lt;=Config!$B$5,DK35=1,EI35=0),1,0)</f>
        <v>0</v>
      </c>
      <c r="DP35" s="23" t="n">
        <f aca="false">IF(AND(CC35=1,INT(N(H35))&lt;=Config!$B$6,DH35=1,EI35=0),1,0)</f>
        <v>0</v>
      </c>
      <c r="DQ35" s="23" t="n">
        <f aca="false">IF(AND(CC35=1,INT(N(H35))&lt;=Config!$B$7,DI35=1,EI35=0),1,0)</f>
        <v>0</v>
      </c>
      <c r="DR35" s="23" t="n">
        <f aca="false">IF(AND(CC35=1,INT(N(H35))&lt;=Config!$B$8,DJ35=1,EI35=0),1,0)</f>
        <v>0</v>
      </c>
      <c r="DS35" s="23" t="n">
        <f aca="false">IF(AND(CC35=1,INT(N(H35))&lt;=Config!$B$5,DK35=1,EI35=0),1,0)</f>
        <v>0</v>
      </c>
      <c r="DT35" s="23" t="n">
        <f aca="false">IF(AND(CC35=1,INT(N(H35))&lt;=Config!$B$6,DH35=0),1,0)</f>
        <v>0</v>
      </c>
      <c r="DU35" s="23" t="n">
        <f aca="false">IF(AND(CC35=1,INT(N(H35))&lt;=Config!$B$7,DI35=0),1,0)</f>
        <v>0</v>
      </c>
      <c r="DV35" s="23" t="n">
        <f aca="false">IF(AND(CC35=1,INT(N(H35))&lt;=Config!$B$8,DJ35=0),1,0)</f>
        <v>0</v>
      </c>
      <c r="DW35" s="23" t="n">
        <f aca="false">IF(AND(CC35=1,INT(N(H35))&lt;=Config!$B$5,DK35=0),1,0)</f>
        <v>0</v>
      </c>
      <c r="DX35" s="23" t="n">
        <f aca="false">IF(TRIM($A35)="",0,ISTEXT(M35)+ISTEXT(O35)+ISTEXT(Y35)+ISTEXT(Z35)+ISTEXT(AA35)+ISTEXT(AV35))</f>
        <v>0</v>
      </c>
      <c r="DY35" s="23" t="n">
        <f aca="false">IF(BB35=1,IF(H35&lt;&gt;INT(H35),1,0),0)</f>
        <v>0</v>
      </c>
      <c r="DZ35" s="23" t="str">
        <f aca="false">IF(TRIM($A35)="","",IF(TRIM(B35)="",SUBSTITUTE(SUBSTITUTE(SUBSTITUTE(SUBSTITUTE(SUBSTITUTE(SUBSTITUTE(LOWER(TRIM($A35)),"~",""),"*",""),"?",""),"&lt;",""),"&gt;",""),"=",""),SUBSTITUTE(SUBSTITUTE(SUBSTITUTE(SUBSTITUTE(SUBSTITUTE(SUBSTITUTE(LOWER(TRIM(B35)),"~",""),"*",""),"?",""),"&lt;",""),"&gt;",""),"=","")))</f>
        <v/>
      </c>
      <c r="EA35" s="23" t="str">
        <f aca="false">IF(CW35="","",IFERROR(IF(LEFT(LOWER(TRIM(INDEX(Clay_Offices!$A$2:$FZ$601,CW35,Sync!$C$19)&amp;"")),4)="grp-",SUBSTITUTE(SUBSTITUTE(SUBSTITUTE(SUBSTITUTE(SUBSTITUTE(SUBSTITUTE(LOWER(TRIM(INDEX(Clay_Offices!$A$2:$FZ$601,CW35,Sync!$C$19)&amp;"")),"~",""),"*",""),"?",""),"&lt;",""),"&gt;",""),"=",""),""),""))</f>
        <v/>
      </c>
      <c r="EB35" s="23" t="str">
        <f aca="false">IF(EA35&lt;&gt;"",DZ35,"")</f>
        <v/>
      </c>
      <c r="EC35" s="23" t="str">
        <f aca="false">IF(BC35=1,AZ35,"")</f>
        <v/>
      </c>
      <c r="ED35" s="23" t="str">
        <f aca="false">IF(TRIM($A35)="","",IFERROR(INDEX($A$2:$A$201,MATCH(AZ35,$EC$2:$EC$201,0))&amp;"",$A35&amp;""))</f>
        <v/>
      </c>
      <c r="EE35" s="23" t="n">
        <f aca="false">IF(BB35=1,IF(COUNTIFS($A$2:$A$201,$A35,$BB$2:$BB$201,1,$H$2:$H$201,"&lt;"&amp;H35)+COUNTIFS($A$2:$A$201,$A35,$BB$2:$BB$201,1,$H$2:$H$201,H35,$BA$2:$BA$201,"&lt;"&amp;BA35)=0,1,0),0)</f>
        <v>0</v>
      </c>
      <c r="EF35" s="23" t="n">
        <f aca="false">IF(BC35=1,IF(COUNTIFS($AZ$2:$AZ$201,AZ35,$EE$2:$EE$201,1)&gt;1,1,0),0)</f>
        <v>0</v>
      </c>
      <c r="EG35" s="23" t="n">
        <f aca="false">IF(AND(CQ35=1),IF(COUNTIFS($AZ$2:$AZ$201,AZ35,$CQ$2:$CQ$201,1,$H$2:$H$201,"&gt;"&amp;H35)+COUNTIFS($AZ$2:$AZ$201,AZ35,$CQ$2:$CQ$201,1,$H$2:$H$201,H35,$BA$2:$BA$201,"&gt;"&amp;BA35)=0,1,0),0)</f>
        <v>0</v>
      </c>
      <c r="EH35" s="23" t="str">
        <f aca="false">IF(BB35=1,IF(COUNTIFS($AZ$2:$AZ$201,AZ35,$EG$2:$EG$201,1)=0,"",SUMIFS($O$2:$O$201,$AZ$2:$AZ$201,AZ35,$EG$2:$EG$201,1)),"")</f>
        <v/>
      </c>
      <c r="EI35" s="23" t="n">
        <f aca="false">IF(AND(ISNUMBER(EH35),OR(N(EH35)&lt;Config!$B$31,N(EH35)&gt;Config!$B$33)),1,0)</f>
        <v>0</v>
      </c>
      <c r="EJ35" s="23" t="n">
        <f aca="false">IF(AND(ISNUMBER(EH35),N(EH35)&gt;=Config!$B$31,N(EH35)&lt;Config!$B$32),1,0)</f>
        <v>0</v>
      </c>
      <c r="EK35" s="23" t="n">
        <f aca="false">IF(AND(BF35=1,INT(N(H35))&lt;=Config!$B$6,DH35=1,EI35=1),1,0)</f>
        <v>0</v>
      </c>
      <c r="EL35" s="23" t="n">
        <f aca="false">IF(AND(BF35=1,INT(N(H35))&lt;=Config!$B$7,DI35=1,EI35=1),1,0)</f>
        <v>0</v>
      </c>
      <c r="EM35" s="23" t="n">
        <f aca="false">IF(AND(BF35=1,INT(N(H35))&lt;=Config!$B$8,DJ35=1,EI35=1),1,0)</f>
        <v>0</v>
      </c>
      <c r="EN35" s="23" t="n">
        <f aca="false">IF(AND(BF35=1,INT(N(H35))&lt;=Config!$B$5,DK35=1,EI35=1),1,0)</f>
        <v>0</v>
      </c>
      <c r="EO35" s="23" t="n">
        <f aca="false">IF(AND(DL35=1,EJ35=1),1,0)</f>
        <v>0</v>
      </c>
      <c r="EP35" s="23" t="n">
        <f aca="false">IF(AND(DM35=1,EJ35=1),1,0)</f>
        <v>0</v>
      </c>
      <c r="EQ35" s="23" t="n">
        <f aca="false">IF(AND(DN35=1,EJ35=1),1,0)</f>
        <v>0</v>
      </c>
      <c r="ER35" s="23" t="n">
        <f aca="false">IF(AND(DO35=1,EJ35=1),1,0)</f>
        <v>0</v>
      </c>
    </row>
    <row r="36" customFormat="false" ht="15" hidden="false" customHeight="false" outlineLevel="0" collapsed="false">
      <c r="G36" s="32"/>
      <c r="H36" s="33"/>
      <c r="I36" s="32"/>
      <c r="L36" s="32"/>
      <c r="Q36" s="32"/>
      <c r="U36" s="32"/>
      <c r="W36" s="32"/>
      <c r="AC36" s="32"/>
      <c r="AF36" s="32"/>
      <c r="AI36" s="32"/>
      <c r="AJ36" s="32"/>
      <c r="AN36" s="32"/>
      <c r="AR36" s="32"/>
      <c r="AT36" s="32"/>
      <c r="AU36" s="32"/>
      <c r="AW36" s="32"/>
      <c r="AY36" s="34" t="str">
        <f aca="false">IF(TRIM($A36)="","",IF(AND(LEFT($A36,6)="SAMPLE",Config!$B$19&lt;&gt;"Y"),"",IF(NOT(ISNUMBER(H36)),"call_date is blank or not a date",IF(Sync!$C$5="","Clay paste is empty or has no row_id column: paste the Clay export on Clay_Offices",IF(CW36="","row_id not found in the Clay paste: add the Clay row or fix the row_id",IF(AND(ISNUMBER(CY36),CY36&gt;=1,CY36&lt;=5),"Clay status is "&amp;CX36&amp;": set call_done or later",IF(AND(BD36=1,CZ36&lt;&gt;BZ36),"Clay yes_in_principle should be "&amp;BZ36,IF(AND(BD36=1,DA36&lt;&gt;H36),"Clay call_date should be "&amp;TEXT(H36,"yyyy-mm-dd"),""))))))))</f>
        <v/>
      </c>
      <c r="AZ36" s="23" t="str">
        <f aca="false">IF(TRIM($A36)="","",IF(TRIM(C36)&lt;&gt;"",SUBSTITUTE(SUBSTITUTE(SUBSTITUTE(SUBSTITUTE(SUBSTITUTE(SUBSTITUTE(LOWER(TRIM(C36)),"~",""),"*",""),"?",""),"&lt;",""),"&gt;",""),"=",""),IF(EA36&lt;&gt;"",EA36,IFERROR(INDEX($EA$2:$EA$201,MATCH(DZ36,$EB$2:$EB$201,0)),DZ36))))</f>
        <v/>
      </c>
      <c r="BA36" s="23" t="n">
        <f aca="false">ROW()</f>
        <v>36</v>
      </c>
      <c r="BB36" s="23" t="n">
        <f aca="false">IF(AND(TRIM($A36)&lt;&gt;"",ISNUMBER(H36)),IF(AND(LEFT($A36,6)="SAMPLE",Config!$B$19&lt;&gt;"Y"),0,1),0)</f>
        <v>0</v>
      </c>
      <c r="BC36" s="23" t="n">
        <f aca="false">IF(BB36=1,IF(COUNTIFS($AZ$2:$AZ$201,AZ36,$BB$2:$BB$201,1,$H$2:$H$201,"&lt;"&amp;H36)+COUNTIFS($AZ$2:$AZ$201,AZ36,$BB$2:$BB$201,1,$H$2:$H$201,H36,$BA$2:$BA$201,"&lt;"&amp;BA36)=0,1,0),0)</f>
        <v>0</v>
      </c>
      <c r="BD36" s="23" t="n">
        <f aca="false">IF(BB36=1,IF(COUNTIFS($A$2:$A$201,$A36,$BB$2:$BB$201,1,$H$2:$H$201,"&gt;"&amp;H36)+COUNTIFS($A$2:$A$201,$A36,$BB$2:$BB$201,1,$H$2:$H$201,H36,$BA$2:$BA$201,"&gt;"&amp;BA36)=0,1,0),0)</f>
        <v>0</v>
      </c>
      <c r="BE36" s="23" t="n">
        <f aca="false">IF(AND(BB36=1,AR36="Y",AC36="Y",TRIM(AH36)&lt;&gt;""),1,0)</f>
        <v>0</v>
      </c>
      <c r="BF36" s="23" t="n">
        <f aca="false">IF(BE36=1,IF(COUNTIFS($AZ$2:$AZ$201,AZ36,$BE$2:$BE$201,1,$H$2:$H$201,"&lt;"&amp;H36)+COUNTIFS($AZ$2:$AZ$201,AZ36,$BE$2:$BE$201,1,$H$2:$H$201,H36,$BA$2:$BA$201,"&lt;"&amp;BA36)=0,1,0),0)</f>
        <v>0</v>
      </c>
      <c r="BG36" s="23" t="n">
        <f aca="false">IF(AND(BB36=1,AR36="Y",BE36=0),1,0)</f>
        <v>0</v>
      </c>
      <c r="BH36" s="23" t="n">
        <f aca="false">IF(AND(BB36=1,ISNUMBER(Y36)),1,0)</f>
        <v>0</v>
      </c>
      <c r="BI36" s="23" t="n">
        <f aca="false">IF(BH36=1,IF(COUNTIFS($AZ$2:$AZ$201,AZ36,$BH$2:$BH$201,1,$H$2:$H$201,"&lt;"&amp;H36)+COUNTIFS($AZ$2:$AZ$201,AZ36,$BH$2:$BH$201,1,$H$2:$H$201,H36,$BA$2:$BA$201,"&lt;"&amp;BA36)=0,1,0),0)</f>
        <v>0</v>
      </c>
      <c r="BJ36" s="23" t="str">
        <f aca="false">IF(AND(BI36=1,INT(N(H36))&lt;=Config!$B$6),Y36,"")</f>
        <v/>
      </c>
      <c r="BK36" s="23" t="str">
        <f aca="false">IF(AND(BI36=1,INT(N(H36))&lt;=Config!$B$7),Y36,"")</f>
        <v/>
      </c>
      <c r="BL36" s="23" t="str">
        <f aca="false">IF(AND(BI36=1,INT(N(H36))&lt;=Config!$B$8),Y36,"")</f>
        <v/>
      </c>
      <c r="BM36" s="23" t="str">
        <f aca="false">IF(AND(BI36=1,INT(N(H36))&lt;=Config!$B$5),Y36,"")</f>
        <v/>
      </c>
      <c r="BN36" s="23" t="n">
        <f aca="false">IF(CD36=1,IF(COUNTIFS($AZ$2:$AZ$201,AZ36,$CD$2:$CD$201,1,$H$2:$H$201,"&lt;"&amp;H36)+COUNTIFS($AZ$2:$AZ$201,AZ36,$CD$2:$CD$201,1,$H$2:$H$201,H36,$BA$2:$BA$201,"&lt;"&amp;BA36)=0,1,0),0)</f>
        <v>0</v>
      </c>
      <c r="BO36" s="23" t="n">
        <f aca="false">IF(AND(BB36=1,ISNUMBER(M36)),1,0)</f>
        <v>0</v>
      </c>
      <c r="BP36" s="23" t="n">
        <f aca="false">IF(BO36=1,IF(COUNTIFS($AZ$2:$AZ$201,AZ36,$BO$2:$BO$201,1,$H$2:$H$201,"&lt;"&amp;H36)+COUNTIFS($AZ$2:$AZ$201,AZ36,$BO$2:$BO$201,1,$H$2:$H$201,H36,$BA$2:$BA$201,"&lt;"&amp;BA36)=0,1,0),0)</f>
        <v>0</v>
      </c>
      <c r="BQ36" s="23" t="str">
        <f aca="false">IF(AND(BP36=1,INT(N(H36))&lt;=Config!$B$5),M36,"")</f>
        <v/>
      </c>
      <c r="BR36" s="23" t="n">
        <f aca="false">IF(AND(BB36=1,OR(TRIM(X36)&lt;&gt;"",ISNUMBER(Y36))),1,0)</f>
        <v>0</v>
      </c>
      <c r="BS36" s="23" t="n">
        <f aca="false">IF(BR36=1,IF(COUNTIFS($AZ$2:$AZ$201,AZ36,$BR$2:$BR$201,1,$H$2:$H$201,"&lt;"&amp;H36)+COUNTIFS($AZ$2:$AZ$201,AZ36,$BR$2:$BR$201,1,$H$2:$H$201,H36,$BA$2:$BA$201,"&lt;"&amp;BA36)=0,1,0),0)</f>
        <v>0</v>
      </c>
      <c r="BT36" s="23" t="str">
        <f aca="false">IF(BS36=1,AZ36,"")</f>
        <v/>
      </c>
      <c r="BU36" s="23" t="n">
        <f aca="false">IF(AND(BB36=1,W36="Y",TRIM(X36)=""),1,0)</f>
        <v>0</v>
      </c>
      <c r="BV36" s="23" t="str">
        <f aca="false">IF(BB36=1,AN36&amp;"","")</f>
        <v/>
      </c>
      <c r="BW36" s="23" t="str">
        <f aca="false">IF(BB36=1,AO36&amp;"","")</f>
        <v/>
      </c>
      <c r="BX36" s="23" t="str">
        <f aca="false">IF(BB36=1,AP36&amp;"","")</f>
        <v/>
      </c>
      <c r="BY36" s="23" t="str">
        <f aca="false">IF(AND(BB36=1,ISNUMBER(AV36),INT(N(H36))&lt;=Config!$B$5),AV36,"")</f>
        <v/>
      </c>
      <c r="BZ36" s="23" t="str">
        <f aca="false">IF(BB36=1,IF(COUNTIFS($A$2:$A$201,$A36,$DC$2:$DC$201,1,$AR$2:$AR$201,"Y")&gt;0,"Y","N"),"")</f>
        <v/>
      </c>
      <c r="CA36" s="23" t="n">
        <f aca="false">IF(AND(BB36=1,AR36="maybe"),1,0)</f>
        <v>0</v>
      </c>
      <c r="CB36" s="23" t="n">
        <f aca="false">IF(CA36=1,IF(COUNTIFS($AZ$2:$AZ$201,AZ36,$CA$2:$CA$201,1,$H$2:$H$201,"&lt;"&amp;H36)+COUNTIFS($AZ$2:$AZ$201,AZ36,$CA$2:$CA$201,1,$H$2:$H$201,H36,$BA$2:$BA$201,"&lt;"&amp;BA36)=0,1,0),0)</f>
        <v>0</v>
      </c>
      <c r="CC36" s="23" t="n">
        <f aca="false">IF(AND(BB36=1,AR36="Y"),IF(COUNTIFS($AZ$2:$AZ$201,AZ36,$AR$2:$AR$201,"Y",$BB$2:$BB$201,1,$H$2:$H$201,"&lt;"&amp;H36)+COUNTIFS($AZ$2:$AZ$201,AZ36,$AR$2:$AR$201,"Y",$BB$2:$BB$201,1,$H$2:$H$201,H36,$BA$2:$BA$201,"&lt;"&amp;BA36)=0,1,0),0)</f>
        <v>0</v>
      </c>
      <c r="CD36" s="23" t="n">
        <f aca="false">IF(AND(BH36=1,N(Y36)&gt;=Config!$B$15),1,0)</f>
        <v>0</v>
      </c>
      <c r="CE36" s="23" t="n">
        <f aca="false">IF(AND(BB36=1,AT36="Y"),1,0)</f>
        <v>0</v>
      </c>
      <c r="CF36" s="23" t="n">
        <f aca="false">IF(CE36=1,IF(COUNTIFS($AZ$2:$AZ$201,AZ36,$CE$2:$CE$201,1,$H$2:$H$201,"&lt;"&amp;H36)+COUNTIFS($AZ$2:$AZ$201,AZ36,$CE$2:$CE$201,1,$H$2:$H$201,H36,$BA$2:$BA$201,"&lt;"&amp;BA36)=0,1,0),0)</f>
        <v>0</v>
      </c>
      <c r="CG36" s="23" t="n">
        <f aca="false">IF(AND(BB36=1,G36="warm-intro"),1,0)</f>
        <v>0</v>
      </c>
      <c r="CH36" s="23" t="n">
        <f aca="false">IF(CG36=1,IF(COUNTIFS($AZ$2:$AZ$201,AZ36,$CG$2:$CG$201,1,$H$2:$H$201,"&lt;"&amp;H36)+COUNTIFS($AZ$2:$AZ$201,AZ36,$CG$2:$CG$201,1,$H$2:$H$201,H36,$BA$2:$BA$201,"&lt;"&amp;BA36)=0,1,0),0)</f>
        <v>0</v>
      </c>
      <c r="CI36" s="23" t="n">
        <f aca="false">IF(AND(BB36=1,Q36="Y"),1,0)</f>
        <v>0</v>
      </c>
      <c r="CJ36" s="23" t="n">
        <f aca="false">IF(CI36=1,IF(COUNTIFS($AZ$2:$AZ$201,AZ36,$CI$2:$CI$201,1,$H$2:$H$201,"&lt;"&amp;H36)+COUNTIFS($AZ$2:$AZ$201,AZ36,$CI$2:$CI$201,1,$H$2:$H$201,H36,$BA$2:$BA$201,"&lt;"&amp;BA36)=0,1,0),0)</f>
        <v>0</v>
      </c>
      <c r="CK36" s="23" t="n">
        <f aca="false">IF(AND(BB36=1,AF36="Y"),1,0)</f>
        <v>0</v>
      </c>
      <c r="CL36" s="23" t="n">
        <f aca="false">IF(CK36=1,IF(COUNTIFS($AZ$2:$AZ$201,AZ36,$CK$2:$CK$201,1,$H$2:$H$201,"&lt;"&amp;H36)+COUNTIFS($AZ$2:$AZ$201,AZ36,$CK$2:$CK$201,1,$H$2:$H$201,H36,$BA$2:$BA$201,"&lt;"&amp;BA36)=0,1,0),0)</f>
        <v>0</v>
      </c>
      <c r="CM36" s="23" t="n">
        <f aca="false">IF(AND(BB36=1,U36="Y"),1,0)</f>
        <v>0</v>
      </c>
      <c r="CN36" s="23" t="n">
        <f aca="false">IF(CM36=1,IF(COUNTIFS($AZ$2:$AZ$201,AZ36,$CM$2:$CM$201,1,$H$2:$H$201,"&lt;"&amp;H36)+COUNTIFS($AZ$2:$AZ$201,AZ36,$CM$2:$CM$201,1,$H$2:$H$201,H36,$BA$2:$BA$201,"&lt;"&amp;BA36)=0,1,0),0)</f>
        <v>0</v>
      </c>
      <c r="CO36" s="23" t="n">
        <f aca="false">IF(AND(BB36=1,L36="Y"),1,0)</f>
        <v>0</v>
      </c>
      <c r="CP36" s="23" t="n">
        <f aca="false">IF(CO36=1,IF(COUNTIFS($AZ$2:$AZ$201,AZ36,$CO$2:$CO$201,1,$H$2:$H$201,"&lt;"&amp;H36)+COUNTIFS($AZ$2:$AZ$201,AZ36,$CO$2:$CO$201,1,$H$2:$H$201,H36,$BA$2:$BA$201,"&lt;"&amp;BA36)=0,1,0),0)</f>
        <v>0</v>
      </c>
      <c r="CQ36" s="23" t="n">
        <f aca="false">IF(AND(BB36=1,ISNUMBER(O36)),1,0)</f>
        <v>0</v>
      </c>
      <c r="CR36" s="23" t="n">
        <f aca="false">IF(CQ36=1,IF(COUNTIFS($AZ$2:$AZ$201,AZ36,$CQ$2:$CQ$201,1,$H$2:$H$201,"&lt;"&amp;H36)+COUNTIFS($AZ$2:$AZ$201,AZ36,$CQ$2:$CQ$201,1,$H$2:$H$201,H36,$BA$2:$BA$201,"&lt;"&amp;BA36)=0,1,0),0)</f>
        <v>0</v>
      </c>
      <c r="CS36" s="23" t="str">
        <f aca="false">IF(AND(CR36=1,INT(N(H36))&lt;=Config!$B$5),O36,"")</f>
        <v/>
      </c>
      <c r="CT36" s="23" t="str">
        <f aca="false">IF(AND(BB36=1,INT(N(H36))&lt;=Config!$B$5),AG36&amp;"","")</f>
        <v/>
      </c>
      <c r="CU36" s="23" t="n">
        <f aca="false">IF(AND(BB36=1,AU36="Y"),1,0)</f>
        <v>0</v>
      </c>
      <c r="CV36" s="23" t="n">
        <f aca="false">IF(CU36=1,IF(COUNTIFS($AZ$2:$AZ$201,AZ36,$CU$2:$CU$201,1,$H$2:$H$201,"&lt;"&amp;H36)+COUNTIFS($AZ$2:$AZ$201,AZ36,$CU$2:$CU$201,1,$H$2:$H$201,H36,$BA$2:$BA$201,"&lt;"&amp;BA36)=0,1,0),0)</f>
        <v>0</v>
      </c>
      <c r="CW36" s="23" t="str">
        <f aca="false">IF(BB36=1,IFERROR(MATCH($A36,INDEX(Clay_Offices!$A$2:$FZ$601,0,Sync!$C$5),0),""),"")</f>
        <v/>
      </c>
      <c r="CX36" s="23" t="str">
        <f aca="false">IF(CW36="","",IFERROR(INDEX(Clay_Offices!$A$2:$FZ$601,CW36,Sync!$C$7)&amp;"",""))</f>
        <v/>
      </c>
      <c r="CY36" s="23" t="str">
        <f aca="false">IF(CX36="","",IFERROR(INDEX(Lists!$K$2:$K$15,MATCH(CX36,Lists!$J$2:$J$15,0)),""))</f>
        <v/>
      </c>
      <c r="CZ36" s="23" t="str">
        <f aca="false">IF(CW36="","",IFERROR(INDEX(Clay_Offices!$A$2:$FZ$601,CW36,Sync!$C$17)&amp;"",""))</f>
        <v/>
      </c>
      <c r="DA36" s="35" t="str">
        <f aca="false">IF(CW36="","",IFERROR(N(INDEX(Clay_Offices!$A$2:$FZ$601,CW36,Sync!$C$16)),0))</f>
        <v/>
      </c>
      <c r="DB36" s="23" t="n">
        <f aca="false">IF(AND(BB36=1,OR(AR36="Y",AR36="N",AR36="maybe")),1,0)</f>
        <v>0</v>
      </c>
      <c r="DC36" s="23" t="n">
        <f aca="false">IF(AND(DB36=1),IF(COUNTIFS($A$2:$A$201,$A36,$DB$2:$DB$201,1,$H$2:$H$201,"&gt;"&amp;H36)+COUNTIFS($A$2:$A$201,$A36,$DB$2:$DB$201,1,$H$2:$H$201,H36,$BA$2:$BA$201,"&gt;"&amp;BA36)=0,1,0),0)</f>
        <v>0</v>
      </c>
      <c r="DD36" s="23" t="n">
        <f aca="false">IF(AND(DB36=1,INT(N(H36))&lt;=Config!$B$6),IF(COUNTIFS($AZ$2:$AZ$201,AZ36,$DB$2:$DB$201,1,$H$2:$H$201,"&gt;"&amp;H36,$H$2:$H$201,"&lt;"&amp;(Config!$B$6+1))+COUNTIFS($AZ$2:$AZ$201,AZ36,$DB$2:$DB$201,1,$H$2:$H$201,H36,$BA$2:$BA$201,"&gt;"&amp;BA36)=0,1,0),0)</f>
        <v>0</v>
      </c>
      <c r="DE36" s="23" t="n">
        <f aca="false">IF(AND(DB36=1,INT(N(H36))&lt;=Config!$B$7),IF(COUNTIFS($AZ$2:$AZ$201,AZ36,$DB$2:$DB$201,1,$H$2:$H$201,"&gt;"&amp;H36,$H$2:$H$201,"&lt;"&amp;(Config!$B$7+1))+COUNTIFS($AZ$2:$AZ$201,AZ36,$DB$2:$DB$201,1,$H$2:$H$201,H36,$BA$2:$BA$201,"&gt;"&amp;BA36)=0,1,0),0)</f>
        <v>0</v>
      </c>
      <c r="DF36" s="23" t="n">
        <f aca="false">IF(AND(DB36=1,INT(N(H36))&lt;=Config!$B$8),IF(COUNTIFS($AZ$2:$AZ$201,AZ36,$DB$2:$DB$201,1,$H$2:$H$201,"&gt;"&amp;H36,$H$2:$H$201,"&lt;"&amp;(Config!$B$8+1))+COUNTIFS($AZ$2:$AZ$201,AZ36,$DB$2:$DB$201,1,$H$2:$H$201,H36,$BA$2:$BA$201,"&gt;"&amp;BA36)=0,1,0),0)</f>
        <v>0</v>
      </c>
      <c r="DG36" s="23" t="n">
        <f aca="false">IF(AND(DB36=1,INT(N(H36))&lt;=Config!$B$5),IF(COUNTIFS($AZ$2:$AZ$201,AZ36,$DB$2:$DB$201,1,$H$2:$H$201,"&gt;"&amp;H36,$H$2:$H$201,"&lt;"&amp;(Config!$B$5+1))+COUNTIFS($AZ$2:$AZ$201,AZ36,$DB$2:$DB$201,1,$H$2:$H$201,H36,$BA$2:$BA$201,"&gt;"&amp;BA36)=0,1,0),0)</f>
        <v>0</v>
      </c>
      <c r="DH36" s="23" t="n">
        <f aca="false">IF(BB36=1,IF(COUNTIFS($AZ$2:$AZ$201,AZ36,$DD$2:$DD$201,1,$AR$2:$AR$201,"Y")&gt;0,1,0),0)</f>
        <v>0</v>
      </c>
      <c r="DI36" s="23" t="n">
        <f aca="false">IF(BB36=1,IF(COUNTIFS($AZ$2:$AZ$201,AZ36,$DE$2:$DE$201,1,$AR$2:$AR$201,"Y")&gt;0,1,0),0)</f>
        <v>0</v>
      </c>
      <c r="DJ36" s="23" t="n">
        <f aca="false">IF(BB36=1,IF(COUNTIFS($AZ$2:$AZ$201,AZ36,$DF$2:$DF$201,1,$AR$2:$AR$201,"Y")&gt;0,1,0),0)</f>
        <v>0</v>
      </c>
      <c r="DK36" s="23" t="n">
        <f aca="false">IF(BB36=1,IF(COUNTIFS($AZ$2:$AZ$201,AZ36,$DG$2:$DG$201,1,$AR$2:$AR$201,"Y")&gt;0,1,0),0)</f>
        <v>0</v>
      </c>
      <c r="DL36" s="23" t="n">
        <f aca="false">IF(AND(BF36=1,INT(N(H36))&lt;=Config!$B$6,DH36=1,EI36=0),1,0)</f>
        <v>0</v>
      </c>
      <c r="DM36" s="23" t="n">
        <f aca="false">IF(AND(BF36=1,INT(N(H36))&lt;=Config!$B$7,DI36=1,EI36=0),1,0)</f>
        <v>0</v>
      </c>
      <c r="DN36" s="23" t="n">
        <f aca="false">IF(AND(BF36=1,INT(N(H36))&lt;=Config!$B$8,DJ36=1,EI36=0),1,0)</f>
        <v>0</v>
      </c>
      <c r="DO36" s="23" t="n">
        <f aca="false">IF(AND(BF36=1,INT(N(H36))&lt;=Config!$B$5,DK36=1,EI36=0),1,0)</f>
        <v>0</v>
      </c>
      <c r="DP36" s="23" t="n">
        <f aca="false">IF(AND(CC36=1,INT(N(H36))&lt;=Config!$B$6,DH36=1,EI36=0),1,0)</f>
        <v>0</v>
      </c>
      <c r="DQ36" s="23" t="n">
        <f aca="false">IF(AND(CC36=1,INT(N(H36))&lt;=Config!$B$7,DI36=1,EI36=0),1,0)</f>
        <v>0</v>
      </c>
      <c r="DR36" s="23" t="n">
        <f aca="false">IF(AND(CC36=1,INT(N(H36))&lt;=Config!$B$8,DJ36=1,EI36=0),1,0)</f>
        <v>0</v>
      </c>
      <c r="DS36" s="23" t="n">
        <f aca="false">IF(AND(CC36=1,INT(N(H36))&lt;=Config!$B$5,DK36=1,EI36=0),1,0)</f>
        <v>0</v>
      </c>
      <c r="DT36" s="23" t="n">
        <f aca="false">IF(AND(CC36=1,INT(N(H36))&lt;=Config!$B$6,DH36=0),1,0)</f>
        <v>0</v>
      </c>
      <c r="DU36" s="23" t="n">
        <f aca="false">IF(AND(CC36=1,INT(N(H36))&lt;=Config!$B$7,DI36=0),1,0)</f>
        <v>0</v>
      </c>
      <c r="DV36" s="23" t="n">
        <f aca="false">IF(AND(CC36=1,INT(N(H36))&lt;=Config!$B$8,DJ36=0),1,0)</f>
        <v>0</v>
      </c>
      <c r="DW36" s="23" t="n">
        <f aca="false">IF(AND(CC36=1,INT(N(H36))&lt;=Config!$B$5,DK36=0),1,0)</f>
        <v>0</v>
      </c>
      <c r="DX36" s="23" t="n">
        <f aca="false">IF(TRIM($A36)="",0,ISTEXT(M36)+ISTEXT(O36)+ISTEXT(Y36)+ISTEXT(Z36)+ISTEXT(AA36)+ISTEXT(AV36))</f>
        <v>0</v>
      </c>
      <c r="DY36" s="23" t="n">
        <f aca="false">IF(BB36=1,IF(H36&lt;&gt;INT(H36),1,0),0)</f>
        <v>0</v>
      </c>
      <c r="DZ36" s="23" t="str">
        <f aca="false">IF(TRIM($A36)="","",IF(TRIM(B36)="",SUBSTITUTE(SUBSTITUTE(SUBSTITUTE(SUBSTITUTE(SUBSTITUTE(SUBSTITUTE(LOWER(TRIM($A36)),"~",""),"*",""),"?",""),"&lt;",""),"&gt;",""),"=",""),SUBSTITUTE(SUBSTITUTE(SUBSTITUTE(SUBSTITUTE(SUBSTITUTE(SUBSTITUTE(LOWER(TRIM(B36)),"~",""),"*",""),"?",""),"&lt;",""),"&gt;",""),"=","")))</f>
        <v/>
      </c>
      <c r="EA36" s="23" t="str">
        <f aca="false">IF(CW36="","",IFERROR(IF(LEFT(LOWER(TRIM(INDEX(Clay_Offices!$A$2:$FZ$601,CW36,Sync!$C$19)&amp;"")),4)="grp-",SUBSTITUTE(SUBSTITUTE(SUBSTITUTE(SUBSTITUTE(SUBSTITUTE(SUBSTITUTE(LOWER(TRIM(INDEX(Clay_Offices!$A$2:$FZ$601,CW36,Sync!$C$19)&amp;"")),"~",""),"*",""),"?",""),"&lt;",""),"&gt;",""),"=",""),""),""))</f>
        <v/>
      </c>
      <c r="EB36" s="23" t="str">
        <f aca="false">IF(EA36&lt;&gt;"",DZ36,"")</f>
        <v/>
      </c>
      <c r="EC36" s="23" t="str">
        <f aca="false">IF(BC36=1,AZ36,"")</f>
        <v/>
      </c>
      <c r="ED36" s="23" t="str">
        <f aca="false">IF(TRIM($A36)="","",IFERROR(INDEX($A$2:$A$201,MATCH(AZ36,$EC$2:$EC$201,0))&amp;"",$A36&amp;""))</f>
        <v/>
      </c>
      <c r="EE36" s="23" t="n">
        <f aca="false">IF(BB36=1,IF(COUNTIFS($A$2:$A$201,$A36,$BB$2:$BB$201,1,$H$2:$H$201,"&lt;"&amp;H36)+COUNTIFS($A$2:$A$201,$A36,$BB$2:$BB$201,1,$H$2:$H$201,H36,$BA$2:$BA$201,"&lt;"&amp;BA36)=0,1,0),0)</f>
        <v>0</v>
      </c>
      <c r="EF36" s="23" t="n">
        <f aca="false">IF(BC36=1,IF(COUNTIFS($AZ$2:$AZ$201,AZ36,$EE$2:$EE$201,1)&gt;1,1,0),0)</f>
        <v>0</v>
      </c>
      <c r="EG36" s="23" t="n">
        <f aca="false">IF(AND(CQ36=1),IF(COUNTIFS($AZ$2:$AZ$201,AZ36,$CQ$2:$CQ$201,1,$H$2:$H$201,"&gt;"&amp;H36)+COUNTIFS($AZ$2:$AZ$201,AZ36,$CQ$2:$CQ$201,1,$H$2:$H$201,H36,$BA$2:$BA$201,"&gt;"&amp;BA36)=0,1,0),0)</f>
        <v>0</v>
      </c>
      <c r="EH36" s="23" t="str">
        <f aca="false">IF(BB36=1,IF(COUNTIFS($AZ$2:$AZ$201,AZ36,$EG$2:$EG$201,1)=0,"",SUMIFS($O$2:$O$201,$AZ$2:$AZ$201,AZ36,$EG$2:$EG$201,1)),"")</f>
        <v/>
      </c>
      <c r="EI36" s="23" t="n">
        <f aca="false">IF(AND(ISNUMBER(EH36),OR(N(EH36)&lt;Config!$B$31,N(EH36)&gt;Config!$B$33)),1,0)</f>
        <v>0</v>
      </c>
      <c r="EJ36" s="23" t="n">
        <f aca="false">IF(AND(ISNUMBER(EH36),N(EH36)&gt;=Config!$B$31,N(EH36)&lt;Config!$B$32),1,0)</f>
        <v>0</v>
      </c>
      <c r="EK36" s="23" t="n">
        <f aca="false">IF(AND(BF36=1,INT(N(H36))&lt;=Config!$B$6,DH36=1,EI36=1),1,0)</f>
        <v>0</v>
      </c>
      <c r="EL36" s="23" t="n">
        <f aca="false">IF(AND(BF36=1,INT(N(H36))&lt;=Config!$B$7,DI36=1,EI36=1),1,0)</f>
        <v>0</v>
      </c>
      <c r="EM36" s="23" t="n">
        <f aca="false">IF(AND(BF36=1,INT(N(H36))&lt;=Config!$B$8,DJ36=1,EI36=1),1,0)</f>
        <v>0</v>
      </c>
      <c r="EN36" s="23" t="n">
        <f aca="false">IF(AND(BF36=1,INT(N(H36))&lt;=Config!$B$5,DK36=1,EI36=1),1,0)</f>
        <v>0</v>
      </c>
      <c r="EO36" s="23" t="n">
        <f aca="false">IF(AND(DL36=1,EJ36=1),1,0)</f>
        <v>0</v>
      </c>
      <c r="EP36" s="23" t="n">
        <f aca="false">IF(AND(DM36=1,EJ36=1),1,0)</f>
        <v>0</v>
      </c>
      <c r="EQ36" s="23" t="n">
        <f aca="false">IF(AND(DN36=1,EJ36=1),1,0)</f>
        <v>0</v>
      </c>
      <c r="ER36" s="23" t="n">
        <f aca="false">IF(AND(DO36=1,EJ36=1),1,0)</f>
        <v>0</v>
      </c>
    </row>
    <row r="37" customFormat="false" ht="15" hidden="false" customHeight="false" outlineLevel="0" collapsed="false">
      <c r="G37" s="32"/>
      <c r="H37" s="33"/>
      <c r="I37" s="32"/>
      <c r="L37" s="32"/>
      <c r="Q37" s="32"/>
      <c r="U37" s="32"/>
      <c r="W37" s="32"/>
      <c r="AC37" s="32"/>
      <c r="AF37" s="32"/>
      <c r="AI37" s="32"/>
      <c r="AJ37" s="32"/>
      <c r="AN37" s="32"/>
      <c r="AR37" s="32"/>
      <c r="AT37" s="32"/>
      <c r="AU37" s="32"/>
      <c r="AW37" s="32"/>
      <c r="AY37" s="34" t="str">
        <f aca="false">IF(TRIM($A37)="","",IF(AND(LEFT($A37,6)="SAMPLE",Config!$B$19&lt;&gt;"Y"),"",IF(NOT(ISNUMBER(H37)),"call_date is blank or not a date",IF(Sync!$C$5="","Clay paste is empty or has no row_id column: paste the Clay export on Clay_Offices",IF(CW37="","row_id not found in the Clay paste: add the Clay row or fix the row_id",IF(AND(ISNUMBER(CY37),CY37&gt;=1,CY37&lt;=5),"Clay status is "&amp;CX37&amp;": set call_done or later",IF(AND(BD37=1,CZ37&lt;&gt;BZ37),"Clay yes_in_principle should be "&amp;BZ37,IF(AND(BD37=1,DA37&lt;&gt;H37),"Clay call_date should be "&amp;TEXT(H37,"yyyy-mm-dd"),""))))))))</f>
        <v/>
      </c>
      <c r="AZ37" s="23" t="str">
        <f aca="false">IF(TRIM($A37)="","",IF(TRIM(C37)&lt;&gt;"",SUBSTITUTE(SUBSTITUTE(SUBSTITUTE(SUBSTITUTE(SUBSTITUTE(SUBSTITUTE(LOWER(TRIM(C37)),"~",""),"*",""),"?",""),"&lt;",""),"&gt;",""),"=",""),IF(EA37&lt;&gt;"",EA37,IFERROR(INDEX($EA$2:$EA$201,MATCH(DZ37,$EB$2:$EB$201,0)),DZ37))))</f>
        <v/>
      </c>
      <c r="BA37" s="23" t="n">
        <f aca="false">ROW()</f>
        <v>37</v>
      </c>
      <c r="BB37" s="23" t="n">
        <f aca="false">IF(AND(TRIM($A37)&lt;&gt;"",ISNUMBER(H37)),IF(AND(LEFT($A37,6)="SAMPLE",Config!$B$19&lt;&gt;"Y"),0,1),0)</f>
        <v>0</v>
      </c>
      <c r="BC37" s="23" t="n">
        <f aca="false">IF(BB37=1,IF(COUNTIFS($AZ$2:$AZ$201,AZ37,$BB$2:$BB$201,1,$H$2:$H$201,"&lt;"&amp;H37)+COUNTIFS($AZ$2:$AZ$201,AZ37,$BB$2:$BB$201,1,$H$2:$H$201,H37,$BA$2:$BA$201,"&lt;"&amp;BA37)=0,1,0),0)</f>
        <v>0</v>
      </c>
      <c r="BD37" s="23" t="n">
        <f aca="false">IF(BB37=1,IF(COUNTIFS($A$2:$A$201,$A37,$BB$2:$BB$201,1,$H$2:$H$201,"&gt;"&amp;H37)+COUNTIFS($A$2:$A$201,$A37,$BB$2:$BB$201,1,$H$2:$H$201,H37,$BA$2:$BA$201,"&gt;"&amp;BA37)=0,1,0),0)</f>
        <v>0</v>
      </c>
      <c r="BE37" s="23" t="n">
        <f aca="false">IF(AND(BB37=1,AR37="Y",AC37="Y",TRIM(AH37)&lt;&gt;""),1,0)</f>
        <v>0</v>
      </c>
      <c r="BF37" s="23" t="n">
        <f aca="false">IF(BE37=1,IF(COUNTIFS($AZ$2:$AZ$201,AZ37,$BE$2:$BE$201,1,$H$2:$H$201,"&lt;"&amp;H37)+COUNTIFS($AZ$2:$AZ$201,AZ37,$BE$2:$BE$201,1,$H$2:$H$201,H37,$BA$2:$BA$201,"&lt;"&amp;BA37)=0,1,0),0)</f>
        <v>0</v>
      </c>
      <c r="BG37" s="23" t="n">
        <f aca="false">IF(AND(BB37=1,AR37="Y",BE37=0),1,0)</f>
        <v>0</v>
      </c>
      <c r="BH37" s="23" t="n">
        <f aca="false">IF(AND(BB37=1,ISNUMBER(Y37)),1,0)</f>
        <v>0</v>
      </c>
      <c r="BI37" s="23" t="n">
        <f aca="false">IF(BH37=1,IF(COUNTIFS($AZ$2:$AZ$201,AZ37,$BH$2:$BH$201,1,$H$2:$H$201,"&lt;"&amp;H37)+COUNTIFS($AZ$2:$AZ$201,AZ37,$BH$2:$BH$201,1,$H$2:$H$201,H37,$BA$2:$BA$201,"&lt;"&amp;BA37)=0,1,0),0)</f>
        <v>0</v>
      </c>
      <c r="BJ37" s="23" t="str">
        <f aca="false">IF(AND(BI37=1,INT(N(H37))&lt;=Config!$B$6),Y37,"")</f>
        <v/>
      </c>
      <c r="BK37" s="23" t="str">
        <f aca="false">IF(AND(BI37=1,INT(N(H37))&lt;=Config!$B$7),Y37,"")</f>
        <v/>
      </c>
      <c r="BL37" s="23" t="str">
        <f aca="false">IF(AND(BI37=1,INT(N(H37))&lt;=Config!$B$8),Y37,"")</f>
        <v/>
      </c>
      <c r="BM37" s="23" t="str">
        <f aca="false">IF(AND(BI37=1,INT(N(H37))&lt;=Config!$B$5),Y37,"")</f>
        <v/>
      </c>
      <c r="BN37" s="23" t="n">
        <f aca="false">IF(CD37=1,IF(COUNTIFS($AZ$2:$AZ$201,AZ37,$CD$2:$CD$201,1,$H$2:$H$201,"&lt;"&amp;H37)+COUNTIFS($AZ$2:$AZ$201,AZ37,$CD$2:$CD$201,1,$H$2:$H$201,H37,$BA$2:$BA$201,"&lt;"&amp;BA37)=0,1,0),0)</f>
        <v>0</v>
      </c>
      <c r="BO37" s="23" t="n">
        <f aca="false">IF(AND(BB37=1,ISNUMBER(M37)),1,0)</f>
        <v>0</v>
      </c>
      <c r="BP37" s="23" t="n">
        <f aca="false">IF(BO37=1,IF(COUNTIFS($AZ$2:$AZ$201,AZ37,$BO$2:$BO$201,1,$H$2:$H$201,"&lt;"&amp;H37)+COUNTIFS($AZ$2:$AZ$201,AZ37,$BO$2:$BO$201,1,$H$2:$H$201,H37,$BA$2:$BA$201,"&lt;"&amp;BA37)=0,1,0),0)</f>
        <v>0</v>
      </c>
      <c r="BQ37" s="23" t="str">
        <f aca="false">IF(AND(BP37=1,INT(N(H37))&lt;=Config!$B$5),M37,"")</f>
        <v/>
      </c>
      <c r="BR37" s="23" t="n">
        <f aca="false">IF(AND(BB37=1,OR(TRIM(X37)&lt;&gt;"",ISNUMBER(Y37))),1,0)</f>
        <v>0</v>
      </c>
      <c r="BS37" s="23" t="n">
        <f aca="false">IF(BR37=1,IF(COUNTIFS($AZ$2:$AZ$201,AZ37,$BR$2:$BR$201,1,$H$2:$H$201,"&lt;"&amp;H37)+COUNTIFS($AZ$2:$AZ$201,AZ37,$BR$2:$BR$201,1,$H$2:$H$201,H37,$BA$2:$BA$201,"&lt;"&amp;BA37)=0,1,0),0)</f>
        <v>0</v>
      </c>
      <c r="BT37" s="23" t="str">
        <f aca="false">IF(BS37=1,AZ37,"")</f>
        <v/>
      </c>
      <c r="BU37" s="23" t="n">
        <f aca="false">IF(AND(BB37=1,W37="Y",TRIM(X37)=""),1,0)</f>
        <v>0</v>
      </c>
      <c r="BV37" s="23" t="str">
        <f aca="false">IF(BB37=1,AN37&amp;"","")</f>
        <v/>
      </c>
      <c r="BW37" s="23" t="str">
        <f aca="false">IF(BB37=1,AO37&amp;"","")</f>
        <v/>
      </c>
      <c r="BX37" s="23" t="str">
        <f aca="false">IF(BB37=1,AP37&amp;"","")</f>
        <v/>
      </c>
      <c r="BY37" s="23" t="str">
        <f aca="false">IF(AND(BB37=1,ISNUMBER(AV37),INT(N(H37))&lt;=Config!$B$5),AV37,"")</f>
        <v/>
      </c>
      <c r="BZ37" s="23" t="str">
        <f aca="false">IF(BB37=1,IF(COUNTIFS($A$2:$A$201,$A37,$DC$2:$DC$201,1,$AR$2:$AR$201,"Y")&gt;0,"Y","N"),"")</f>
        <v/>
      </c>
      <c r="CA37" s="23" t="n">
        <f aca="false">IF(AND(BB37=1,AR37="maybe"),1,0)</f>
        <v>0</v>
      </c>
      <c r="CB37" s="23" t="n">
        <f aca="false">IF(CA37=1,IF(COUNTIFS($AZ$2:$AZ$201,AZ37,$CA$2:$CA$201,1,$H$2:$H$201,"&lt;"&amp;H37)+COUNTIFS($AZ$2:$AZ$201,AZ37,$CA$2:$CA$201,1,$H$2:$H$201,H37,$BA$2:$BA$201,"&lt;"&amp;BA37)=0,1,0),0)</f>
        <v>0</v>
      </c>
      <c r="CC37" s="23" t="n">
        <f aca="false">IF(AND(BB37=1,AR37="Y"),IF(COUNTIFS($AZ$2:$AZ$201,AZ37,$AR$2:$AR$201,"Y",$BB$2:$BB$201,1,$H$2:$H$201,"&lt;"&amp;H37)+COUNTIFS($AZ$2:$AZ$201,AZ37,$AR$2:$AR$201,"Y",$BB$2:$BB$201,1,$H$2:$H$201,H37,$BA$2:$BA$201,"&lt;"&amp;BA37)=0,1,0),0)</f>
        <v>0</v>
      </c>
      <c r="CD37" s="23" t="n">
        <f aca="false">IF(AND(BH37=1,N(Y37)&gt;=Config!$B$15),1,0)</f>
        <v>0</v>
      </c>
      <c r="CE37" s="23" t="n">
        <f aca="false">IF(AND(BB37=1,AT37="Y"),1,0)</f>
        <v>0</v>
      </c>
      <c r="CF37" s="23" t="n">
        <f aca="false">IF(CE37=1,IF(COUNTIFS($AZ$2:$AZ$201,AZ37,$CE$2:$CE$201,1,$H$2:$H$201,"&lt;"&amp;H37)+COUNTIFS($AZ$2:$AZ$201,AZ37,$CE$2:$CE$201,1,$H$2:$H$201,H37,$BA$2:$BA$201,"&lt;"&amp;BA37)=0,1,0),0)</f>
        <v>0</v>
      </c>
      <c r="CG37" s="23" t="n">
        <f aca="false">IF(AND(BB37=1,G37="warm-intro"),1,0)</f>
        <v>0</v>
      </c>
      <c r="CH37" s="23" t="n">
        <f aca="false">IF(CG37=1,IF(COUNTIFS($AZ$2:$AZ$201,AZ37,$CG$2:$CG$201,1,$H$2:$H$201,"&lt;"&amp;H37)+COUNTIFS($AZ$2:$AZ$201,AZ37,$CG$2:$CG$201,1,$H$2:$H$201,H37,$BA$2:$BA$201,"&lt;"&amp;BA37)=0,1,0),0)</f>
        <v>0</v>
      </c>
      <c r="CI37" s="23" t="n">
        <f aca="false">IF(AND(BB37=1,Q37="Y"),1,0)</f>
        <v>0</v>
      </c>
      <c r="CJ37" s="23" t="n">
        <f aca="false">IF(CI37=1,IF(COUNTIFS($AZ$2:$AZ$201,AZ37,$CI$2:$CI$201,1,$H$2:$H$201,"&lt;"&amp;H37)+COUNTIFS($AZ$2:$AZ$201,AZ37,$CI$2:$CI$201,1,$H$2:$H$201,H37,$BA$2:$BA$201,"&lt;"&amp;BA37)=0,1,0),0)</f>
        <v>0</v>
      </c>
      <c r="CK37" s="23" t="n">
        <f aca="false">IF(AND(BB37=1,AF37="Y"),1,0)</f>
        <v>0</v>
      </c>
      <c r="CL37" s="23" t="n">
        <f aca="false">IF(CK37=1,IF(COUNTIFS($AZ$2:$AZ$201,AZ37,$CK$2:$CK$201,1,$H$2:$H$201,"&lt;"&amp;H37)+COUNTIFS($AZ$2:$AZ$201,AZ37,$CK$2:$CK$201,1,$H$2:$H$201,H37,$BA$2:$BA$201,"&lt;"&amp;BA37)=0,1,0),0)</f>
        <v>0</v>
      </c>
      <c r="CM37" s="23" t="n">
        <f aca="false">IF(AND(BB37=1,U37="Y"),1,0)</f>
        <v>0</v>
      </c>
      <c r="CN37" s="23" t="n">
        <f aca="false">IF(CM37=1,IF(COUNTIFS($AZ$2:$AZ$201,AZ37,$CM$2:$CM$201,1,$H$2:$H$201,"&lt;"&amp;H37)+COUNTIFS($AZ$2:$AZ$201,AZ37,$CM$2:$CM$201,1,$H$2:$H$201,H37,$BA$2:$BA$201,"&lt;"&amp;BA37)=0,1,0),0)</f>
        <v>0</v>
      </c>
      <c r="CO37" s="23" t="n">
        <f aca="false">IF(AND(BB37=1,L37="Y"),1,0)</f>
        <v>0</v>
      </c>
      <c r="CP37" s="23" t="n">
        <f aca="false">IF(CO37=1,IF(COUNTIFS($AZ$2:$AZ$201,AZ37,$CO$2:$CO$201,1,$H$2:$H$201,"&lt;"&amp;H37)+COUNTIFS($AZ$2:$AZ$201,AZ37,$CO$2:$CO$201,1,$H$2:$H$201,H37,$BA$2:$BA$201,"&lt;"&amp;BA37)=0,1,0),0)</f>
        <v>0</v>
      </c>
      <c r="CQ37" s="23" t="n">
        <f aca="false">IF(AND(BB37=1,ISNUMBER(O37)),1,0)</f>
        <v>0</v>
      </c>
      <c r="CR37" s="23" t="n">
        <f aca="false">IF(CQ37=1,IF(COUNTIFS($AZ$2:$AZ$201,AZ37,$CQ$2:$CQ$201,1,$H$2:$H$201,"&lt;"&amp;H37)+COUNTIFS($AZ$2:$AZ$201,AZ37,$CQ$2:$CQ$201,1,$H$2:$H$201,H37,$BA$2:$BA$201,"&lt;"&amp;BA37)=0,1,0),0)</f>
        <v>0</v>
      </c>
      <c r="CS37" s="23" t="str">
        <f aca="false">IF(AND(CR37=1,INT(N(H37))&lt;=Config!$B$5),O37,"")</f>
        <v/>
      </c>
      <c r="CT37" s="23" t="str">
        <f aca="false">IF(AND(BB37=1,INT(N(H37))&lt;=Config!$B$5),AG37&amp;"","")</f>
        <v/>
      </c>
      <c r="CU37" s="23" t="n">
        <f aca="false">IF(AND(BB37=1,AU37="Y"),1,0)</f>
        <v>0</v>
      </c>
      <c r="CV37" s="23" t="n">
        <f aca="false">IF(CU37=1,IF(COUNTIFS($AZ$2:$AZ$201,AZ37,$CU$2:$CU$201,1,$H$2:$H$201,"&lt;"&amp;H37)+COUNTIFS($AZ$2:$AZ$201,AZ37,$CU$2:$CU$201,1,$H$2:$H$201,H37,$BA$2:$BA$201,"&lt;"&amp;BA37)=0,1,0),0)</f>
        <v>0</v>
      </c>
      <c r="CW37" s="23" t="str">
        <f aca="false">IF(BB37=1,IFERROR(MATCH($A37,INDEX(Clay_Offices!$A$2:$FZ$601,0,Sync!$C$5),0),""),"")</f>
        <v/>
      </c>
      <c r="CX37" s="23" t="str">
        <f aca="false">IF(CW37="","",IFERROR(INDEX(Clay_Offices!$A$2:$FZ$601,CW37,Sync!$C$7)&amp;"",""))</f>
        <v/>
      </c>
      <c r="CY37" s="23" t="str">
        <f aca="false">IF(CX37="","",IFERROR(INDEX(Lists!$K$2:$K$15,MATCH(CX37,Lists!$J$2:$J$15,0)),""))</f>
        <v/>
      </c>
      <c r="CZ37" s="23" t="str">
        <f aca="false">IF(CW37="","",IFERROR(INDEX(Clay_Offices!$A$2:$FZ$601,CW37,Sync!$C$17)&amp;"",""))</f>
        <v/>
      </c>
      <c r="DA37" s="35" t="str">
        <f aca="false">IF(CW37="","",IFERROR(N(INDEX(Clay_Offices!$A$2:$FZ$601,CW37,Sync!$C$16)),0))</f>
        <v/>
      </c>
      <c r="DB37" s="23" t="n">
        <f aca="false">IF(AND(BB37=1,OR(AR37="Y",AR37="N",AR37="maybe")),1,0)</f>
        <v>0</v>
      </c>
      <c r="DC37" s="23" t="n">
        <f aca="false">IF(AND(DB37=1),IF(COUNTIFS($A$2:$A$201,$A37,$DB$2:$DB$201,1,$H$2:$H$201,"&gt;"&amp;H37)+COUNTIFS($A$2:$A$201,$A37,$DB$2:$DB$201,1,$H$2:$H$201,H37,$BA$2:$BA$201,"&gt;"&amp;BA37)=0,1,0),0)</f>
        <v>0</v>
      </c>
      <c r="DD37" s="23" t="n">
        <f aca="false">IF(AND(DB37=1,INT(N(H37))&lt;=Config!$B$6),IF(COUNTIFS($AZ$2:$AZ$201,AZ37,$DB$2:$DB$201,1,$H$2:$H$201,"&gt;"&amp;H37,$H$2:$H$201,"&lt;"&amp;(Config!$B$6+1))+COUNTIFS($AZ$2:$AZ$201,AZ37,$DB$2:$DB$201,1,$H$2:$H$201,H37,$BA$2:$BA$201,"&gt;"&amp;BA37)=0,1,0),0)</f>
        <v>0</v>
      </c>
      <c r="DE37" s="23" t="n">
        <f aca="false">IF(AND(DB37=1,INT(N(H37))&lt;=Config!$B$7),IF(COUNTIFS($AZ$2:$AZ$201,AZ37,$DB$2:$DB$201,1,$H$2:$H$201,"&gt;"&amp;H37,$H$2:$H$201,"&lt;"&amp;(Config!$B$7+1))+COUNTIFS($AZ$2:$AZ$201,AZ37,$DB$2:$DB$201,1,$H$2:$H$201,H37,$BA$2:$BA$201,"&gt;"&amp;BA37)=0,1,0),0)</f>
        <v>0</v>
      </c>
      <c r="DF37" s="23" t="n">
        <f aca="false">IF(AND(DB37=1,INT(N(H37))&lt;=Config!$B$8),IF(COUNTIFS($AZ$2:$AZ$201,AZ37,$DB$2:$DB$201,1,$H$2:$H$201,"&gt;"&amp;H37,$H$2:$H$201,"&lt;"&amp;(Config!$B$8+1))+COUNTIFS($AZ$2:$AZ$201,AZ37,$DB$2:$DB$201,1,$H$2:$H$201,H37,$BA$2:$BA$201,"&gt;"&amp;BA37)=0,1,0),0)</f>
        <v>0</v>
      </c>
      <c r="DG37" s="23" t="n">
        <f aca="false">IF(AND(DB37=1,INT(N(H37))&lt;=Config!$B$5),IF(COUNTIFS($AZ$2:$AZ$201,AZ37,$DB$2:$DB$201,1,$H$2:$H$201,"&gt;"&amp;H37,$H$2:$H$201,"&lt;"&amp;(Config!$B$5+1))+COUNTIFS($AZ$2:$AZ$201,AZ37,$DB$2:$DB$201,1,$H$2:$H$201,H37,$BA$2:$BA$201,"&gt;"&amp;BA37)=0,1,0),0)</f>
        <v>0</v>
      </c>
      <c r="DH37" s="23" t="n">
        <f aca="false">IF(BB37=1,IF(COUNTIFS($AZ$2:$AZ$201,AZ37,$DD$2:$DD$201,1,$AR$2:$AR$201,"Y")&gt;0,1,0),0)</f>
        <v>0</v>
      </c>
      <c r="DI37" s="23" t="n">
        <f aca="false">IF(BB37=1,IF(COUNTIFS($AZ$2:$AZ$201,AZ37,$DE$2:$DE$201,1,$AR$2:$AR$201,"Y")&gt;0,1,0),0)</f>
        <v>0</v>
      </c>
      <c r="DJ37" s="23" t="n">
        <f aca="false">IF(BB37=1,IF(COUNTIFS($AZ$2:$AZ$201,AZ37,$DF$2:$DF$201,1,$AR$2:$AR$201,"Y")&gt;0,1,0),0)</f>
        <v>0</v>
      </c>
      <c r="DK37" s="23" t="n">
        <f aca="false">IF(BB37=1,IF(COUNTIFS($AZ$2:$AZ$201,AZ37,$DG$2:$DG$201,1,$AR$2:$AR$201,"Y")&gt;0,1,0),0)</f>
        <v>0</v>
      </c>
      <c r="DL37" s="23" t="n">
        <f aca="false">IF(AND(BF37=1,INT(N(H37))&lt;=Config!$B$6,DH37=1,EI37=0),1,0)</f>
        <v>0</v>
      </c>
      <c r="DM37" s="23" t="n">
        <f aca="false">IF(AND(BF37=1,INT(N(H37))&lt;=Config!$B$7,DI37=1,EI37=0),1,0)</f>
        <v>0</v>
      </c>
      <c r="DN37" s="23" t="n">
        <f aca="false">IF(AND(BF37=1,INT(N(H37))&lt;=Config!$B$8,DJ37=1,EI37=0),1,0)</f>
        <v>0</v>
      </c>
      <c r="DO37" s="23" t="n">
        <f aca="false">IF(AND(BF37=1,INT(N(H37))&lt;=Config!$B$5,DK37=1,EI37=0),1,0)</f>
        <v>0</v>
      </c>
      <c r="DP37" s="23" t="n">
        <f aca="false">IF(AND(CC37=1,INT(N(H37))&lt;=Config!$B$6,DH37=1,EI37=0),1,0)</f>
        <v>0</v>
      </c>
      <c r="DQ37" s="23" t="n">
        <f aca="false">IF(AND(CC37=1,INT(N(H37))&lt;=Config!$B$7,DI37=1,EI37=0),1,0)</f>
        <v>0</v>
      </c>
      <c r="DR37" s="23" t="n">
        <f aca="false">IF(AND(CC37=1,INT(N(H37))&lt;=Config!$B$8,DJ37=1,EI37=0),1,0)</f>
        <v>0</v>
      </c>
      <c r="DS37" s="23" t="n">
        <f aca="false">IF(AND(CC37=1,INT(N(H37))&lt;=Config!$B$5,DK37=1,EI37=0),1,0)</f>
        <v>0</v>
      </c>
      <c r="DT37" s="23" t="n">
        <f aca="false">IF(AND(CC37=1,INT(N(H37))&lt;=Config!$B$6,DH37=0),1,0)</f>
        <v>0</v>
      </c>
      <c r="DU37" s="23" t="n">
        <f aca="false">IF(AND(CC37=1,INT(N(H37))&lt;=Config!$B$7,DI37=0),1,0)</f>
        <v>0</v>
      </c>
      <c r="DV37" s="23" t="n">
        <f aca="false">IF(AND(CC37=1,INT(N(H37))&lt;=Config!$B$8,DJ37=0),1,0)</f>
        <v>0</v>
      </c>
      <c r="DW37" s="23" t="n">
        <f aca="false">IF(AND(CC37=1,INT(N(H37))&lt;=Config!$B$5,DK37=0),1,0)</f>
        <v>0</v>
      </c>
      <c r="DX37" s="23" t="n">
        <f aca="false">IF(TRIM($A37)="",0,ISTEXT(M37)+ISTEXT(O37)+ISTEXT(Y37)+ISTEXT(Z37)+ISTEXT(AA37)+ISTEXT(AV37))</f>
        <v>0</v>
      </c>
      <c r="DY37" s="23" t="n">
        <f aca="false">IF(BB37=1,IF(H37&lt;&gt;INT(H37),1,0),0)</f>
        <v>0</v>
      </c>
      <c r="DZ37" s="23" t="str">
        <f aca="false">IF(TRIM($A37)="","",IF(TRIM(B37)="",SUBSTITUTE(SUBSTITUTE(SUBSTITUTE(SUBSTITUTE(SUBSTITUTE(SUBSTITUTE(LOWER(TRIM($A37)),"~",""),"*",""),"?",""),"&lt;",""),"&gt;",""),"=",""),SUBSTITUTE(SUBSTITUTE(SUBSTITUTE(SUBSTITUTE(SUBSTITUTE(SUBSTITUTE(LOWER(TRIM(B37)),"~",""),"*",""),"?",""),"&lt;",""),"&gt;",""),"=","")))</f>
        <v/>
      </c>
      <c r="EA37" s="23" t="str">
        <f aca="false">IF(CW37="","",IFERROR(IF(LEFT(LOWER(TRIM(INDEX(Clay_Offices!$A$2:$FZ$601,CW37,Sync!$C$19)&amp;"")),4)="grp-",SUBSTITUTE(SUBSTITUTE(SUBSTITUTE(SUBSTITUTE(SUBSTITUTE(SUBSTITUTE(LOWER(TRIM(INDEX(Clay_Offices!$A$2:$FZ$601,CW37,Sync!$C$19)&amp;"")),"~",""),"*",""),"?",""),"&lt;",""),"&gt;",""),"=",""),""),""))</f>
        <v/>
      </c>
      <c r="EB37" s="23" t="str">
        <f aca="false">IF(EA37&lt;&gt;"",DZ37,"")</f>
        <v/>
      </c>
      <c r="EC37" s="23" t="str">
        <f aca="false">IF(BC37=1,AZ37,"")</f>
        <v/>
      </c>
      <c r="ED37" s="23" t="str">
        <f aca="false">IF(TRIM($A37)="","",IFERROR(INDEX($A$2:$A$201,MATCH(AZ37,$EC$2:$EC$201,0))&amp;"",$A37&amp;""))</f>
        <v/>
      </c>
      <c r="EE37" s="23" t="n">
        <f aca="false">IF(BB37=1,IF(COUNTIFS($A$2:$A$201,$A37,$BB$2:$BB$201,1,$H$2:$H$201,"&lt;"&amp;H37)+COUNTIFS($A$2:$A$201,$A37,$BB$2:$BB$201,1,$H$2:$H$201,H37,$BA$2:$BA$201,"&lt;"&amp;BA37)=0,1,0),0)</f>
        <v>0</v>
      </c>
      <c r="EF37" s="23" t="n">
        <f aca="false">IF(BC37=1,IF(COUNTIFS($AZ$2:$AZ$201,AZ37,$EE$2:$EE$201,1)&gt;1,1,0),0)</f>
        <v>0</v>
      </c>
      <c r="EG37" s="23" t="n">
        <f aca="false">IF(AND(CQ37=1),IF(COUNTIFS($AZ$2:$AZ$201,AZ37,$CQ$2:$CQ$201,1,$H$2:$H$201,"&gt;"&amp;H37)+COUNTIFS($AZ$2:$AZ$201,AZ37,$CQ$2:$CQ$201,1,$H$2:$H$201,H37,$BA$2:$BA$201,"&gt;"&amp;BA37)=0,1,0),0)</f>
        <v>0</v>
      </c>
      <c r="EH37" s="23" t="str">
        <f aca="false">IF(BB37=1,IF(COUNTIFS($AZ$2:$AZ$201,AZ37,$EG$2:$EG$201,1)=0,"",SUMIFS($O$2:$O$201,$AZ$2:$AZ$201,AZ37,$EG$2:$EG$201,1)),"")</f>
        <v/>
      </c>
      <c r="EI37" s="23" t="n">
        <f aca="false">IF(AND(ISNUMBER(EH37),OR(N(EH37)&lt;Config!$B$31,N(EH37)&gt;Config!$B$33)),1,0)</f>
        <v>0</v>
      </c>
      <c r="EJ37" s="23" t="n">
        <f aca="false">IF(AND(ISNUMBER(EH37),N(EH37)&gt;=Config!$B$31,N(EH37)&lt;Config!$B$32),1,0)</f>
        <v>0</v>
      </c>
      <c r="EK37" s="23" t="n">
        <f aca="false">IF(AND(BF37=1,INT(N(H37))&lt;=Config!$B$6,DH37=1,EI37=1),1,0)</f>
        <v>0</v>
      </c>
      <c r="EL37" s="23" t="n">
        <f aca="false">IF(AND(BF37=1,INT(N(H37))&lt;=Config!$B$7,DI37=1,EI37=1),1,0)</f>
        <v>0</v>
      </c>
      <c r="EM37" s="23" t="n">
        <f aca="false">IF(AND(BF37=1,INT(N(H37))&lt;=Config!$B$8,DJ37=1,EI37=1),1,0)</f>
        <v>0</v>
      </c>
      <c r="EN37" s="23" t="n">
        <f aca="false">IF(AND(BF37=1,INT(N(H37))&lt;=Config!$B$5,DK37=1,EI37=1),1,0)</f>
        <v>0</v>
      </c>
      <c r="EO37" s="23" t="n">
        <f aca="false">IF(AND(DL37=1,EJ37=1),1,0)</f>
        <v>0</v>
      </c>
      <c r="EP37" s="23" t="n">
        <f aca="false">IF(AND(DM37=1,EJ37=1),1,0)</f>
        <v>0</v>
      </c>
      <c r="EQ37" s="23" t="n">
        <f aca="false">IF(AND(DN37=1,EJ37=1),1,0)</f>
        <v>0</v>
      </c>
      <c r="ER37" s="23" t="n">
        <f aca="false">IF(AND(DO37=1,EJ37=1),1,0)</f>
        <v>0</v>
      </c>
    </row>
    <row r="38" customFormat="false" ht="15" hidden="false" customHeight="false" outlineLevel="0" collapsed="false">
      <c r="G38" s="32"/>
      <c r="H38" s="33"/>
      <c r="I38" s="32"/>
      <c r="L38" s="32"/>
      <c r="Q38" s="32"/>
      <c r="U38" s="32"/>
      <c r="W38" s="32"/>
      <c r="AC38" s="32"/>
      <c r="AF38" s="32"/>
      <c r="AI38" s="32"/>
      <c r="AJ38" s="32"/>
      <c r="AN38" s="32"/>
      <c r="AR38" s="32"/>
      <c r="AT38" s="32"/>
      <c r="AU38" s="32"/>
      <c r="AW38" s="32"/>
      <c r="AY38" s="34" t="str">
        <f aca="false">IF(TRIM($A38)="","",IF(AND(LEFT($A38,6)="SAMPLE",Config!$B$19&lt;&gt;"Y"),"",IF(NOT(ISNUMBER(H38)),"call_date is blank or not a date",IF(Sync!$C$5="","Clay paste is empty or has no row_id column: paste the Clay export on Clay_Offices",IF(CW38="","row_id not found in the Clay paste: add the Clay row or fix the row_id",IF(AND(ISNUMBER(CY38),CY38&gt;=1,CY38&lt;=5),"Clay status is "&amp;CX38&amp;": set call_done or later",IF(AND(BD38=1,CZ38&lt;&gt;BZ38),"Clay yes_in_principle should be "&amp;BZ38,IF(AND(BD38=1,DA38&lt;&gt;H38),"Clay call_date should be "&amp;TEXT(H38,"yyyy-mm-dd"),""))))))))</f>
        <v/>
      </c>
      <c r="AZ38" s="23" t="str">
        <f aca="false">IF(TRIM($A38)="","",IF(TRIM(C38)&lt;&gt;"",SUBSTITUTE(SUBSTITUTE(SUBSTITUTE(SUBSTITUTE(SUBSTITUTE(SUBSTITUTE(LOWER(TRIM(C38)),"~",""),"*",""),"?",""),"&lt;",""),"&gt;",""),"=",""),IF(EA38&lt;&gt;"",EA38,IFERROR(INDEX($EA$2:$EA$201,MATCH(DZ38,$EB$2:$EB$201,0)),DZ38))))</f>
        <v/>
      </c>
      <c r="BA38" s="23" t="n">
        <f aca="false">ROW()</f>
        <v>38</v>
      </c>
      <c r="BB38" s="23" t="n">
        <f aca="false">IF(AND(TRIM($A38)&lt;&gt;"",ISNUMBER(H38)),IF(AND(LEFT($A38,6)="SAMPLE",Config!$B$19&lt;&gt;"Y"),0,1),0)</f>
        <v>0</v>
      </c>
      <c r="BC38" s="23" t="n">
        <f aca="false">IF(BB38=1,IF(COUNTIFS($AZ$2:$AZ$201,AZ38,$BB$2:$BB$201,1,$H$2:$H$201,"&lt;"&amp;H38)+COUNTIFS($AZ$2:$AZ$201,AZ38,$BB$2:$BB$201,1,$H$2:$H$201,H38,$BA$2:$BA$201,"&lt;"&amp;BA38)=0,1,0),0)</f>
        <v>0</v>
      </c>
      <c r="BD38" s="23" t="n">
        <f aca="false">IF(BB38=1,IF(COUNTIFS($A$2:$A$201,$A38,$BB$2:$BB$201,1,$H$2:$H$201,"&gt;"&amp;H38)+COUNTIFS($A$2:$A$201,$A38,$BB$2:$BB$201,1,$H$2:$H$201,H38,$BA$2:$BA$201,"&gt;"&amp;BA38)=0,1,0),0)</f>
        <v>0</v>
      </c>
      <c r="BE38" s="23" t="n">
        <f aca="false">IF(AND(BB38=1,AR38="Y",AC38="Y",TRIM(AH38)&lt;&gt;""),1,0)</f>
        <v>0</v>
      </c>
      <c r="BF38" s="23" t="n">
        <f aca="false">IF(BE38=1,IF(COUNTIFS($AZ$2:$AZ$201,AZ38,$BE$2:$BE$201,1,$H$2:$H$201,"&lt;"&amp;H38)+COUNTIFS($AZ$2:$AZ$201,AZ38,$BE$2:$BE$201,1,$H$2:$H$201,H38,$BA$2:$BA$201,"&lt;"&amp;BA38)=0,1,0),0)</f>
        <v>0</v>
      </c>
      <c r="BG38" s="23" t="n">
        <f aca="false">IF(AND(BB38=1,AR38="Y",BE38=0),1,0)</f>
        <v>0</v>
      </c>
      <c r="BH38" s="23" t="n">
        <f aca="false">IF(AND(BB38=1,ISNUMBER(Y38)),1,0)</f>
        <v>0</v>
      </c>
      <c r="BI38" s="23" t="n">
        <f aca="false">IF(BH38=1,IF(COUNTIFS($AZ$2:$AZ$201,AZ38,$BH$2:$BH$201,1,$H$2:$H$201,"&lt;"&amp;H38)+COUNTIFS($AZ$2:$AZ$201,AZ38,$BH$2:$BH$201,1,$H$2:$H$201,H38,$BA$2:$BA$201,"&lt;"&amp;BA38)=0,1,0),0)</f>
        <v>0</v>
      </c>
      <c r="BJ38" s="23" t="str">
        <f aca="false">IF(AND(BI38=1,INT(N(H38))&lt;=Config!$B$6),Y38,"")</f>
        <v/>
      </c>
      <c r="BK38" s="23" t="str">
        <f aca="false">IF(AND(BI38=1,INT(N(H38))&lt;=Config!$B$7),Y38,"")</f>
        <v/>
      </c>
      <c r="BL38" s="23" t="str">
        <f aca="false">IF(AND(BI38=1,INT(N(H38))&lt;=Config!$B$8),Y38,"")</f>
        <v/>
      </c>
      <c r="BM38" s="23" t="str">
        <f aca="false">IF(AND(BI38=1,INT(N(H38))&lt;=Config!$B$5),Y38,"")</f>
        <v/>
      </c>
      <c r="BN38" s="23" t="n">
        <f aca="false">IF(CD38=1,IF(COUNTIFS($AZ$2:$AZ$201,AZ38,$CD$2:$CD$201,1,$H$2:$H$201,"&lt;"&amp;H38)+COUNTIFS($AZ$2:$AZ$201,AZ38,$CD$2:$CD$201,1,$H$2:$H$201,H38,$BA$2:$BA$201,"&lt;"&amp;BA38)=0,1,0),0)</f>
        <v>0</v>
      </c>
      <c r="BO38" s="23" t="n">
        <f aca="false">IF(AND(BB38=1,ISNUMBER(M38)),1,0)</f>
        <v>0</v>
      </c>
      <c r="BP38" s="23" t="n">
        <f aca="false">IF(BO38=1,IF(COUNTIFS($AZ$2:$AZ$201,AZ38,$BO$2:$BO$201,1,$H$2:$H$201,"&lt;"&amp;H38)+COUNTIFS($AZ$2:$AZ$201,AZ38,$BO$2:$BO$201,1,$H$2:$H$201,H38,$BA$2:$BA$201,"&lt;"&amp;BA38)=0,1,0),0)</f>
        <v>0</v>
      </c>
      <c r="BQ38" s="23" t="str">
        <f aca="false">IF(AND(BP38=1,INT(N(H38))&lt;=Config!$B$5),M38,"")</f>
        <v/>
      </c>
      <c r="BR38" s="23" t="n">
        <f aca="false">IF(AND(BB38=1,OR(TRIM(X38)&lt;&gt;"",ISNUMBER(Y38))),1,0)</f>
        <v>0</v>
      </c>
      <c r="BS38" s="23" t="n">
        <f aca="false">IF(BR38=1,IF(COUNTIFS($AZ$2:$AZ$201,AZ38,$BR$2:$BR$201,1,$H$2:$H$201,"&lt;"&amp;H38)+COUNTIFS($AZ$2:$AZ$201,AZ38,$BR$2:$BR$201,1,$H$2:$H$201,H38,$BA$2:$BA$201,"&lt;"&amp;BA38)=0,1,0),0)</f>
        <v>0</v>
      </c>
      <c r="BT38" s="23" t="str">
        <f aca="false">IF(BS38=1,AZ38,"")</f>
        <v/>
      </c>
      <c r="BU38" s="23" t="n">
        <f aca="false">IF(AND(BB38=1,W38="Y",TRIM(X38)=""),1,0)</f>
        <v>0</v>
      </c>
      <c r="BV38" s="23" t="str">
        <f aca="false">IF(BB38=1,AN38&amp;"","")</f>
        <v/>
      </c>
      <c r="BW38" s="23" t="str">
        <f aca="false">IF(BB38=1,AO38&amp;"","")</f>
        <v/>
      </c>
      <c r="BX38" s="23" t="str">
        <f aca="false">IF(BB38=1,AP38&amp;"","")</f>
        <v/>
      </c>
      <c r="BY38" s="23" t="str">
        <f aca="false">IF(AND(BB38=1,ISNUMBER(AV38),INT(N(H38))&lt;=Config!$B$5),AV38,"")</f>
        <v/>
      </c>
      <c r="BZ38" s="23" t="str">
        <f aca="false">IF(BB38=1,IF(COUNTIFS($A$2:$A$201,$A38,$DC$2:$DC$201,1,$AR$2:$AR$201,"Y")&gt;0,"Y","N"),"")</f>
        <v/>
      </c>
      <c r="CA38" s="23" t="n">
        <f aca="false">IF(AND(BB38=1,AR38="maybe"),1,0)</f>
        <v>0</v>
      </c>
      <c r="CB38" s="23" t="n">
        <f aca="false">IF(CA38=1,IF(COUNTIFS($AZ$2:$AZ$201,AZ38,$CA$2:$CA$201,1,$H$2:$H$201,"&lt;"&amp;H38)+COUNTIFS($AZ$2:$AZ$201,AZ38,$CA$2:$CA$201,1,$H$2:$H$201,H38,$BA$2:$BA$201,"&lt;"&amp;BA38)=0,1,0),0)</f>
        <v>0</v>
      </c>
      <c r="CC38" s="23" t="n">
        <f aca="false">IF(AND(BB38=1,AR38="Y"),IF(COUNTIFS($AZ$2:$AZ$201,AZ38,$AR$2:$AR$201,"Y",$BB$2:$BB$201,1,$H$2:$H$201,"&lt;"&amp;H38)+COUNTIFS($AZ$2:$AZ$201,AZ38,$AR$2:$AR$201,"Y",$BB$2:$BB$201,1,$H$2:$H$201,H38,$BA$2:$BA$201,"&lt;"&amp;BA38)=0,1,0),0)</f>
        <v>0</v>
      </c>
      <c r="CD38" s="23" t="n">
        <f aca="false">IF(AND(BH38=1,N(Y38)&gt;=Config!$B$15),1,0)</f>
        <v>0</v>
      </c>
      <c r="CE38" s="23" t="n">
        <f aca="false">IF(AND(BB38=1,AT38="Y"),1,0)</f>
        <v>0</v>
      </c>
      <c r="CF38" s="23" t="n">
        <f aca="false">IF(CE38=1,IF(COUNTIFS($AZ$2:$AZ$201,AZ38,$CE$2:$CE$201,1,$H$2:$H$201,"&lt;"&amp;H38)+COUNTIFS($AZ$2:$AZ$201,AZ38,$CE$2:$CE$201,1,$H$2:$H$201,H38,$BA$2:$BA$201,"&lt;"&amp;BA38)=0,1,0),0)</f>
        <v>0</v>
      </c>
      <c r="CG38" s="23" t="n">
        <f aca="false">IF(AND(BB38=1,G38="warm-intro"),1,0)</f>
        <v>0</v>
      </c>
      <c r="CH38" s="23" t="n">
        <f aca="false">IF(CG38=1,IF(COUNTIFS($AZ$2:$AZ$201,AZ38,$CG$2:$CG$201,1,$H$2:$H$201,"&lt;"&amp;H38)+COUNTIFS($AZ$2:$AZ$201,AZ38,$CG$2:$CG$201,1,$H$2:$H$201,H38,$BA$2:$BA$201,"&lt;"&amp;BA38)=0,1,0),0)</f>
        <v>0</v>
      </c>
      <c r="CI38" s="23" t="n">
        <f aca="false">IF(AND(BB38=1,Q38="Y"),1,0)</f>
        <v>0</v>
      </c>
      <c r="CJ38" s="23" t="n">
        <f aca="false">IF(CI38=1,IF(COUNTIFS($AZ$2:$AZ$201,AZ38,$CI$2:$CI$201,1,$H$2:$H$201,"&lt;"&amp;H38)+COUNTIFS($AZ$2:$AZ$201,AZ38,$CI$2:$CI$201,1,$H$2:$H$201,H38,$BA$2:$BA$201,"&lt;"&amp;BA38)=0,1,0),0)</f>
        <v>0</v>
      </c>
      <c r="CK38" s="23" t="n">
        <f aca="false">IF(AND(BB38=1,AF38="Y"),1,0)</f>
        <v>0</v>
      </c>
      <c r="CL38" s="23" t="n">
        <f aca="false">IF(CK38=1,IF(COUNTIFS($AZ$2:$AZ$201,AZ38,$CK$2:$CK$201,1,$H$2:$H$201,"&lt;"&amp;H38)+COUNTIFS($AZ$2:$AZ$201,AZ38,$CK$2:$CK$201,1,$H$2:$H$201,H38,$BA$2:$BA$201,"&lt;"&amp;BA38)=0,1,0),0)</f>
        <v>0</v>
      </c>
      <c r="CM38" s="23" t="n">
        <f aca="false">IF(AND(BB38=1,U38="Y"),1,0)</f>
        <v>0</v>
      </c>
      <c r="CN38" s="23" t="n">
        <f aca="false">IF(CM38=1,IF(COUNTIFS($AZ$2:$AZ$201,AZ38,$CM$2:$CM$201,1,$H$2:$H$201,"&lt;"&amp;H38)+COUNTIFS($AZ$2:$AZ$201,AZ38,$CM$2:$CM$201,1,$H$2:$H$201,H38,$BA$2:$BA$201,"&lt;"&amp;BA38)=0,1,0),0)</f>
        <v>0</v>
      </c>
      <c r="CO38" s="23" t="n">
        <f aca="false">IF(AND(BB38=1,L38="Y"),1,0)</f>
        <v>0</v>
      </c>
      <c r="CP38" s="23" t="n">
        <f aca="false">IF(CO38=1,IF(COUNTIFS($AZ$2:$AZ$201,AZ38,$CO$2:$CO$201,1,$H$2:$H$201,"&lt;"&amp;H38)+COUNTIFS($AZ$2:$AZ$201,AZ38,$CO$2:$CO$201,1,$H$2:$H$201,H38,$BA$2:$BA$201,"&lt;"&amp;BA38)=0,1,0),0)</f>
        <v>0</v>
      </c>
      <c r="CQ38" s="23" t="n">
        <f aca="false">IF(AND(BB38=1,ISNUMBER(O38)),1,0)</f>
        <v>0</v>
      </c>
      <c r="CR38" s="23" t="n">
        <f aca="false">IF(CQ38=1,IF(COUNTIFS($AZ$2:$AZ$201,AZ38,$CQ$2:$CQ$201,1,$H$2:$H$201,"&lt;"&amp;H38)+COUNTIFS($AZ$2:$AZ$201,AZ38,$CQ$2:$CQ$201,1,$H$2:$H$201,H38,$BA$2:$BA$201,"&lt;"&amp;BA38)=0,1,0),0)</f>
        <v>0</v>
      </c>
      <c r="CS38" s="23" t="str">
        <f aca="false">IF(AND(CR38=1,INT(N(H38))&lt;=Config!$B$5),O38,"")</f>
        <v/>
      </c>
      <c r="CT38" s="23" t="str">
        <f aca="false">IF(AND(BB38=1,INT(N(H38))&lt;=Config!$B$5),AG38&amp;"","")</f>
        <v/>
      </c>
      <c r="CU38" s="23" t="n">
        <f aca="false">IF(AND(BB38=1,AU38="Y"),1,0)</f>
        <v>0</v>
      </c>
      <c r="CV38" s="23" t="n">
        <f aca="false">IF(CU38=1,IF(COUNTIFS($AZ$2:$AZ$201,AZ38,$CU$2:$CU$201,1,$H$2:$H$201,"&lt;"&amp;H38)+COUNTIFS($AZ$2:$AZ$201,AZ38,$CU$2:$CU$201,1,$H$2:$H$201,H38,$BA$2:$BA$201,"&lt;"&amp;BA38)=0,1,0),0)</f>
        <v>0</v>
      </c>
      <c r="CW38" s="23" t="str">
        <f aca="false">IF(BB38=1,IFERROR(MATCH($A38,INDEX(Clay_Offices!$A$2:$FZ$601,0,Sync!$C$5),0),""),"")</f>
        <v/>
      </c>
      <c r="CX38" s="23" t="str">
        <f aca="false">IF(CW38="","",IFERROR(INDEX(Clay_Offices!$A$2:$FZ$601,CW38,Sync!$C$7)&amp;"",""))</f>
        <v/>
      </c>
      <c r="CY38" s="23" t="str">
        <f aca="false">IF(CX38="","",IFERROR(INDEX(Lists!$K$2:$K$15,MATCH(CX38,Lists!$J$2:$J$15,0)),""))</f>
        <v/>
      </c>
      <c r="CZ38" s="23" t="str">
        <f aca="false">IF(CW38="","",IFERROR(INDEX(Clay_Offices!$A$2:$FZ$601,CW38,Sync!$C$17)&amp;"",""))</f>
        <v/>
      </c>
      <c r="DA38" s="35" t="str">
        <f aca="false">IF(CW38="","",IFERROR(N(INDEX(Clay_Offices!$A$2:$FZ$601,CW38,Sync!$C$16)),0))</f>
        <v/>
      </c>
      <c r="DB38" s="23" t="n">
        <f aca="false">IF(AND(BB38=1,OR(AR38="Y",AR38="N",AR38="maybe")),1,0)</f>
        <v>0</v>
      </c>
      <c r="DC38" s="23" t="n">
        <f aca="false">IF(AND(DB38=1),IF(COUNTIFS($A$2:$A$201,$A38,$DB$2:$DB$201,1,$H$2:$H$201,"&gt;"&amp;H38)+COUNTIFS($A$2:$A$201,$A38,$DB$2:$DB$201,1,$H$2:$H$201,H38,$BA$2:$BA$201,"&gt;"&amp;BA38)=0,1,0),0)</f>
        <v>0</v>
      </c>
      <c r="DD38" s="23" t="n">
        <f aca="false">IF(AND(DB38=1,INT(N(H38))&lt;=Config!$B$6),IF(COUNTIFS($AZ$2:$AZ$201,AZ38,$DB$2:$DB$201,1,$H$2:$H$201,"&gt;"&amp;H38,$H$2:$H$201,"&lt;"&amp;(Config!$B$6+1))+COUNTIFS($AZ$2:$AZ$201,AZ38,$DB$2:$DB$201,1,$H$2:$H$201,H38,$BA$2:$BA$201,"&gt;"&amp;BA38)=0,1,0),0)</f>
        <v>0</v>
      </c>
      <c r="DE38" s="23" t="n">
        <f aca="false">IF(AND(DB38=1,INT(N(H38))&lt;=Config!$B$7),IF(COUNTIFS($AZ$2:$AZ$201,AZ38,$DB$2:$DB$201,1,$H$2:$H$201,"&gt;"&amp;H38,$H$2:$H$201,"&lt;"&amp;(Config!$B$7+1))+COUNTIFS($AZ$2:$AZ$201,AZ38,$DB$2:$DB$201,1,$H$2:$H$201,H38,$BA$2:$BA$201,"&gt;"&amp;BA38)=0,1,0),0)</f>
        <v>0</v>
      </c>
      <c r="DF38" s="23" t="n">
        <f aca="false">IF(AND(DB38=1,INT(N(H38))&lt;=Config!$B$8),IF(COUNTIFS($AZ$2:$AZ$201,AZ38,$DB$2:$DB$201,1,$H$2:$H$201,"&gt;"&amp;H38,$H$2:$H$201,"&lt;"&amp;(Config!$B$8+1))+COUNTIFS($AZ$2:$AZ$201,AZ38,$DB$2:$DB$201,1,$H$2:$H$201,H38,$BA$2:$BA$201,"&gt;"&amp;BA38)=0,1,0),0)</f>
        <v>0</v>
      </c>
      <c r="DG38" s="23" t="n">
        <f aca="false">IF(AND(DB38=1,INT(N(H38))&lt;=Config!$B$5),IF(COUNTIFS($AZ$2:$AZ$201,AZ38,$DB$2:$DB$201,1,$H$2:$H$201,"&gt;"&amp;H38,$H$2:$H$201,"&lt;"&amp;(Config!$B$5+1))+COUNTIFS($AZ$2:$AZ$201,AZ38,$DB$2:$DB$201,1,$H$2:$H$201,H38,$BA$2:$BA$201,"&gt;"&amp;BA38)=0,1,0),0)</f>
        <v>0</v>
      </c>
      <c r="DH38" s="23" t="n">
        <f aca="false">IF(BB38=1,IF(COUNTIFS($AZ$2:$AZ$201,AZ38,$DD$2:$DD$201,1,$AR$2:$AR$201,"Y")&gt;0,1,0),0)</f>
        <v>0</v>
      </c>
      <c r="DI38" s="23" t="n">
        <f aca="false">IF(BB38=1,IF(COUNTIFS($AZ$2:$AZ$201,AZ38,$DE$2:$DE$201,1,$AR$2:$AR$201,"Y")&gt;0,1,0),0)</f>
        <v>0</v>
      </c>
      <c r="DJ38" s="23" t="n">
        <f aca="false">IF(BB38=1,IF(COUNTIFS($AZ$2:$AZ$201,AZ38,$DF$2:$DF$201,1,$AR$2:$AR$201,"Y")&gt;0,1,0),0)</f>
        <v>0</v>
      </c>
      <c r="DK38" s="23" t="n">
        <f aca="false">IF(BB38=1,IF(COUNTIFS($AZ$2:$AZ$201,AZ38,$DG$2:$DG$201,1,$AR$2:$AR$201,"Y")&gt;0,1,0),0)</f>
        <v>0</v>
      </c>
      <c r="DL38" s="23" t="n">
        <f aca="false">IF(AND(BF38=1,INT(N(H38))&lt;=Config!$B$6,DH38=1,EI38=0),1,0)</f>
        <v>0</v>
      </c>
      <c r="DM38" s="23" t="n">
        <f aca="false">IF(AND(BF38=1,INT(N(H38))&lt;=Config!$B$7,DI38=1,EI38=0),1,0)</f>
        <v>0</v>
      </c>
      <c r="DN38" s="23" t="n">
        <f aca="false">IF(AND(BF38=1,INT(N(H38))&lt;=Config!$B$8,DJ38=1,EI38=0),1,0)</f>
        <v>0</v>
      </c>
      <c r="DO38" s="23" t="n">
        <f aca="false">IF(AND(BF38=1,INT(N(H38))&lt;=Config!$B$5,DK38=1,EI38=0),1,0)</f>
        <v>0</v>
      </c>
      <c r="DP38" s="23" t="n">
        <f aca="false">IF(AND(CC38=1,INT(N(H38))&lt;=Config!$B$6,DH38=1,EI38=0),1,0)</f>
        <v>0</v>
      </c>
      <c r="DQ38" s="23" t="n">
        <f aca="false">IF(AND(CC38=1,INT(N(H38))&lt;=Config!$B$7,DI38=1,EI38=0),1,0)</f>
        <v>0</v>
      </c>
      <c r="DR38" s="23" t="n">
        <f aca="false">IF(AND(CC38=1,INT(N(H38))&lt;=Config!$B$8,DJ38=1,EI38=0),1,0)</f>
        <v>0</v>
      </c>
      <c r="DS38" s="23" t="n">
        <f aca="false">IF(AND(CC38=1,INT(N(H38))&lt;=Config!$B$5,DK38=1,EI38=0),1,0)</f>
        <v>0</v>
      </c>
      <c r="DT38" s="23" t="n">
        <f aca="false">IF(AND(CC38=1,INT(N(H38))&lt;=Config!$B$6,DH38=0),1,0)</f>
        <v>0</v>
      </c>
      <c r="DU38" s="23" t="n">
        <f aca="false">IF(AND(CC38=1,INT(N(H38))&lt;=Config!$B$7,DI38=0),1,0)</f>
        <v>0</v>
      </c>
      <c r="DV38" s="23" t="n">
        <f aca="false">IF(AND(CC38=1,INT(N(H38))&lt;=Config!$B$8,DJ38=0),1,0)</f>
        <v>0</v>
      </c>
      <c r="DW38" s="23" t="n">
        <f aca="false">IF(AND(CC38=1,INT(N(H38))&lt;=Config!$B$5,DK38=0),1,0)</f>
        <v>0</v>
      </c>
      <c r="DX38" s="23" t="n">
        <f aca="false">IF(TRIM($A38)="",0,ISTEXT(M38)+ISTEXT(O38)+ISTEXT(Y38)+ISTEXT(Z38)+ISTEXT(AA38)+ISTEXT(AV38))</f>
        <v>0</v>
      </c>
      <c r="DY38" s="23" t="n">
        <f aca="false">IF(BB38=1,IF(H38&lt;&gt;INT(H38),1,0),0)</f>
        <v>0</v>
      </c>
      <c r="DZ38" s="23" t="str">
        <f aca="false">IF(TRIM($A38)="","",IF(TRIM(B38)="",SUBSTITUTE(SUBSTITUTE(SUBSTITUTE(SUBSTITUTE(SUBSTITUTE(SUBSTITUTE(LOWER(TRIM($A38)),"~",""),"*",""),"?",""),"&lt;",""),"&gt;",""),"=",""),SUBSTITUTE(SUBSTITUTE(SUBSTITUTE(SUBSTITUTE(SUBSTITUTE(SUBSTITUTE(LOWER(TRIM(B38)),"~",""),"*",""),"?",""),"&lt;",""),"&gt;",""),"=","")))</f>
        <v/>
      </c>
      <c r="EA38" s="23" t="str">
        <f aca="false">IF(CW38="","",IFERROR(IF(LEFT(LOWER(TRIM(INDEX(Clay_Offices!$A$2:$FZ$601,CW38,Sync!$C$19)&amp;"")),4)="grp-",SUBSTITUTE(SUBSTITUTE(SUBSTITUTE(SUBSTITUTE(SUBSTITUTE(SUBSTITUTE(LOWER(TRIM(INDEX(Clay_Offices!$A$2:$FZ$601,CW38,Sync!$C$19)&amp;"")),"~",""),"*",""),"?",""),"&lt;",""),"&gt;",""),"=",""),""),""))</f>
        <v/>
      </c>
      <c r="EB38" s="23" t="str">
        <f aca="false">IF(EA38&lt;&gt;"",DZ38,"")</f>
        <v/>
      </c>
      <c r="EC38" s="23" t="str">
        <f aca="false">IF(BC38=1,AZ38,"")</f>
        <v/>
      </c>
      <c r="ED38" s="23" t="str">
        <f aca="false">IF(TRIM($A38)="","",IFERROR(INDEX($A$2:$A$201,MATCH(AZ38,$EC$2:$EC$201,0))&amp;"",$A38&amp;""))</f>
        <v/>
      </c>
      <c r="EE38" s="23" t="n">
        <f aca="false">IF(BB38=1,IF(COUNTIFS($A$2:$A$201,$A38,$BB$2:$BB$201,1,$H$2:$H$201,"&lt;"&amp;H38)+COUNTIFS($A$2:$A$201,$A38,$BB$2:$BB$201,1,$H$2:$H$201,H38,$BA$2:$BA$201,"&lt;"&amp;BA38)=0,1,0),0)</f>
        <v>0</v>
      </c>
      <c r="EF38" s="23" t="n">
        <f aca="false">IF(BC38=1,IF(COUNTIFS($AZ$2:$AZ$201,AZ38,$EE$2:$EE$201,1)&gt;1,1,0),0)</f>
        <v>0</v>
      </c>
      <c r="EG38" s="23" t="n">
        <f aca="false">IF(AND(CQ38=1),IF(COUNTIFS($AZ$2:$AZ$201,AZ38,$CQ$2:$CQ$201,1,$H$2:$H$201,"&gt;"&amp;H38)+COUNTIFS($AZ$2:$AZ$201,AZ38,$CQ$2:$CQ$201,1,$H$2:$H$201,H38,$BA$2:$BA$201,"&gt;"&amp;BA38)=0,1,0),0)</f>
        <v>0</v>
      </c>
      <c r="EH38" s="23" t="str">
        <f aca="false">IF(BB38=1,IF(COUNTIFS($AZ$2:$AZ$201,AZ38,$EG$2:$EG$201,1)=0,"",SUMIFS($O$2:$O$201,$AZ$2:$AZ$201,AZ38,$EG$2:$EG$201,1)),"")</f>
        <v/>
      </c>
      <c r="EI38" s="23" t="n">
        <f aca="false">IF(AND(ISNUMBER(EH38),OR(N(EH38)&lt;Config!$B$31,N(EH38)&gt;Config!$B$33)),1,0)</f>
        <v>0</v>
      </c>
      <c r="EJ38" s="23" t="n">
        <f aca="false">IF(AND(ISNUMBER(EH38),N(EH38)&gt;=Config!$B$31,N(EH38)&lt;Config!$B$32),1,0)</f>
        <v>0</v>
      </c>
      <c r="EK38" s="23" t="n">
        <f aca="false">IF(AND(BF38=1,INT(N(H38))&lt;=Config!$B$6,DH38=1,EI38=1),1,0)</f>
        <v>0</v>
      </c>
      <c r="EL38" s="23" t="n">
        <f aca="false">IF(AND(BF38=1,INT(N(H38))&lt;=Config!$B$7,DI38=1,EI38=1),1,0)</f>
        <v>0</v>
      </c>
      <c r="EM38" s="23" t="n">
        <f aca="false">IF(AND(BF38=1,INT(N(H38))&lt;=Config!$B$8,DJ38=1,EI38=1),1,0)</f>
        <v>0</v>
      </c>
      <c r="EN38" s="23" t="n">
        <f aca="false">IF(AND(BF38=1,INT(N(H38))&lt;=Config!$B$5,DK38=1,EI38=1),1,0)</f>
        <v>0</v>
      </c>
      <c r="EO38" s="23" t="n">
        <f aca="false">IF(AND(DL38=1,EJ38=1),1,0)</f>
        <v>0</v>
      </c>
      <c r="EP38" s="23" t="n">
        <f aca="false">IF(AND(DM38=1,EJ38=1),1,0)</f>
        <v>0</v>
      </c>
      <c r="EQ38" s="23" t="n">
        <f aca="false">IF(AND(DN38=1,EJ38=1),1,0)</f>
        <v>0</v>
      </c>
      <c r="ER38" s="23" t="n">
        <f aca="false">IF(AND(DO38=1,EJ38=1),1,0)</f>
        <v>0</v>
      </c>
    </row>
    <row r="39" customFormat="false" ht="15" hidden="false" customHeight="false" outlineLevel="0" collapsed="false">
      <c r="G39" s="32"/>
      <c r="H39" s="33"/>
      <c r="I39" s="32"/>
      <c r="L39" s="32"/>
      <c r="Q39" s="32"/>
      <c r="U39" s="32"/>
      <c r="W39" s="32"/>
      <c r="AC39" s="32"/>
      <c r="AF39" s="32"/>
      <c r="AI39" s="32"/>
      <c r="AJ39" s="32"/>
      <c r="AN39" s="32"/>
      <c r="AR39" s="32"/>
      <c r="AT39" s="32"/>
      <c r="AU39" s="32"/>
      <c r="AW39" s="32"/>
      <c r="AY39" s="34" t="str">
        <f aca="false">IF(TRIM($A39)="","",IF(AND(LEFT($A39,6)="SAMPLE",Config!$B$19&lt;&gt;"Y"),"",IF(NOT(ISNUMBER(H39)),"call_date is blank or not a date",IF(Sync!$C$5="","Clay paste is empty or has no row_id column: paste the Clay export on Clay_Offices",IF(CW39="","row_id not found in the Clay paste: add the Clay row or fix the row_id",IF(AND(ISNUMBER(CY39),CY39&gt;=1,CY39&lt;=5),"Clay status is "&amp;CX39&amp;": set call_done or later",IF(AND(BD39=1,CZ39&lt;&gt;BZ39),"Clay yes_in_principle should be "&amp;BZ39,IF(AND(BD39=1,DA39&lt;&gt;H39),"Clay call_date should be "&amp;TEXT(H39,"yyyy-mm-dd"),""))))))))</f>
        <v/>
      </c>
      <c r="AZ39" s="23" t="str">
        <f aca="false">IF(TRIM($A39)="","",IF(TRIM(C39)&lt;&gt;"",SUBSTITUTE(SUBSTITUTE(SUBSTITUTE(SUBSTITUTE(SUBSTITUTE(SUBSTITUTE(LOWER(TRIM(C39)),"~",""),"*",""),"?",""),"&lt;",""),"&gt;",""),"=",""),IF(EA39&lt;&gt;"",EA39,IFERROR(INDEX($EA$2:$EA$201,MATCH(DZ39,$EB$2:$EB$201,0)),DZ39))))</f>
        <v/>
      </c>
      <c r="BA39" s="23" t="n">
        <f aca="false">ROW()</f>
        <v>39</v>
      </c>
      <c r="BB39" s="23" t="n">
        <f aca="false">IF(AND(TRIM($A39)&lt;&gt;"",ISNUMBER(H39)),IF(AND(LEFT($A39,6)="SAMPLE",Config!$B$19&lt;&gt;"Y"),0,1),0)</f>
        <v>0</v>
      </c>
      <c r="BC39" s="23" t="n">
        <f aca="false">IF(BB39=1,IF(COUNTIFS($AZ$2:$AZ$201,AZ39,$BB$2:$BB$201,1,$H$2:$H$201,"&lt;"&amp;H39)+COUNTIFS($AZ$2:$AZ$201,AZ39,$BB$2:$BB$201,1,$H$2:$H$201,H39,$BA$2:$BA$201,"&lt;"&amp;BA39)=0,1,0),0)</f>
        <v>0</v>
      </c>
      <c r="BD39" s="23" t="n">
        <f aca="false">IF(BB39=1,IF(COUNTIFS($A$2:$A$201,$A39,$BB$2:$BB$201,1,$H$2:$H$201,"&gt;"&amp;H39)+COUNTIFS($A$2:$A$201,$A39,$BB$2:$BB$201,1,$H$2:$H$201,H39,$BA$2:$BA$201,"&gt;"&amp;BA39)=0,1,0),0)</f>
        <v>0</v>
      </c>
      <c r="BE39" s="23" t="n">
        <f aca="false">IF(AND(BB39=1,AR39="Y",AC39="Y",TRIM(AH39)&lt;&gt;""),1,0)</f>
        <v>0</v>
      </c>
      <c r="BF39" s="23" t="n">
        <f aca="false">IF(BE39=1,IF(COUNTIFS($AZ$2:$AZ$201,AZ39,$BE$2:$BE$201,1,$H$2:$H$201,"&lt;"&amp;H39)+COUNTIFS($AZ$2:$AZ$201,AZ39,$BE$2:$BE$201,1,$H$2:$H$201,H39,$BA$2:$BA$201,"&lt;"&amp;BA39)=0,1,0),0)</f>
        <v>0</v>
      </c>
      <c r="BG39" s="23" t="n">
        <f aca="false">IF(AND(BB39=1,AR39="Y",BE39=0),1,0)</f>
        <v>0</v>
      </c>
      <c r="BH39" s="23" t="n">
        <f aca="false">IF(AND(BB39=1,ISNUMBER(Y39)),1,0)</f>
        <v>0</v>
      </c>
      <c r="BI39" s="23" t="n">
        <f aca="false">IF(BH39=1,IF(COUNTIFS($AZ$2:$AZ$201,AZ39,$BH$2:$BH$201,1,$H$2:$H$201,"&lt;"&amp;H39)+COUNTIFS($AZ$2:$AZ$201,AZ39,$BH$2:$BH$201,1,$H$2:$H$201,H39,$BA$2:$BA$201,"&lt;"&amp;BA39)=0,1,0),0)</f>
        <v>0</v>
      </c>
      <c r="BJ39" s="23" t="str">
        <f aca="false">IF(AND(BI39=1,INT(N(H39))&lt;=Config!$B$6),Y39,"")</f>
        <v/>
      </c>
      <c r="BK39" s="23" t="str">
        <f aca="false">IF(AND(BI39=1,INT(N(H39))&lt;=Config!$B$7),Y39,"")</f>
        <v/>
      </c>
      <c r="BL39" s="23" t="str">
        <f aca="false">IF(AND(BI39=1,INT(N(H39))&lt;=Config!$B$8),Y39,"")</f>
        <v/>
      </c>
      <c r="BM39" s="23" t="str">
        <f aca="false">IF(AND(BI39=1,INT(N(H39))&lt;=Config!$B$5),Y39,"")</f>
        <v/>
      </c>
      <c r="BN39" s="23" t="n">
        <f aca="false">IF(CD39=1,IF(COUNTIFS($AZ$2:$AZ$201,AZ39,$CD$2:$CD$201,1,$H$2:$H$201,"&lt;"&amp;H39)+COUNTIFS($AZ$2:$AZ$201,AZ39,$CD$2:$CD$201,1,$H$2:$H$201,H39,$BA$2:$BA$201,"&lt;"&amp;BA39)=0,1,0),0)</f>
        <v>0</v>
      </c>
      <c r="BO39" s="23" t="n">
        <f aca="false">IF(AND(BB39=1,ISNUMBER(M39)),1,0)</f>
        <v>0</v>
      </c>
      <c r="BP39" s="23" t="n">
        <f aca="false">IF(BO39=1,IF(COUNTIFS($AZ$2:$AZ$201,AZ39,$BO$2:$BO$201,1,$H$2:$H$201,"&lt;"&amp;H39)+COUNTIFS($AZ$2:$AZ$201,AZ39,$BO$2:$BO$201,1,$H$2:$H$201,H39,$BA$2:$BA$201,"&lt;"&amp;BA39)=0,1,0),0)</f>
        <v>0</v>
      </c>
      <c r="BQ39" s="23" t="str">
        <f aca="false">IF(AND(BP39=1,INT(N(H39))&lt;=Config!$B$5),M39,"")</f>
        <v/>
      </c>
      <c r="BR39" s="23" t="n">
        <f aca="false">IF(AND(BB39=1,OR(TRIM(X39)&lt;&gt;"",ISNUMBER(Y39))),1,0)</f>
        <v>0</v>
      </c>
      <c r="BS39" s="23" t="n">
        <f aca="false">IF(BR39=1,IF(COUNTIFS($AZ$2:$AZ$201,AZ39,$BR$2:$BR$201,1,$H$2:$H$201,"&lt;"&amp;H39)+COUNTIFS($AZ$2:$AZ$201,AZ39,$BR$2:$BR$201,1,$H$2:$H$201,H39,$BA$2:$BA$201,"&lt;"&amp;BA39)=0,1,0),0)</f>
        <v>0</v>
      </c>
      <c r="BT39" s="23" t="str">
        <f aca="false">IF(BS39=1,AZ39,"")</f>
        <v/>
      </c>
      <c r="BU39" s="23" t="n">
        <f aca="false">IF(AND(BB39=1,W39="Y",TRIM(X39)=""),1,0)</f>
        <v>0</v>
      </c>
      <c r="BV39" s="23" t="str">
        <f aca="false">IF(BB39=1,AN39&amp;"","")</f>
        <v/>
      </c>
      <c r="BW39" s="23" t="str">
        <f aca="false">IF(BB39=1,AO39&amp;"","")</f>
        <v/>
      </c>
      <c r="BX39" s="23" t="str">
        <f aca="false">IF(BB39=1,AP39&amp;"","")</f>
        <v/>
      </c>
      <c r="BY39" s="23" t="str">
        <f aca="false">IF(AND(BB39=1,ISNUMBER(AV39),INT(N(H39))&lt;=Config!$B$5),AV39,"")</f>
        <v/>
      </c>
      <c r="BZ39" s="23" t="str">
        <f aca="false">IF(BB39=1,IF(COUNTIFS($A$2:$A$201,$A39,$DC$2:$DC$201,1,$AR$2:$AR$201,"Y")&gt;0,"Y","N"),"")</f>
        <v/>
      </c>
      <c r="CA39" s="23" t="n">
        <f aca="false">IF(AND(BB39=1,AR39="maybe"),1,0)</f>
        <v>0</v>
      </c>
      <c r="CB39" s="23" t="n">
        <f aca="false">IF(CA39=1,IF(COUNTIFS($AZ$2:$AZ$201,AZ39,$CA$2:$CA$201,1,$H$2:$H$201,"&lt;"&amp;H39)+COUNTIFS($AZ$2:$AZ$201,AZ39,$CA$2:$CA$201,1,$H$2:$H$201,H39,$BA$2:$BA$201,"&lt;"&amp;BA39)=0,1,0),0)</f>
        <v>0</v>
      </c>
      <c r="CC39" s="23" t="n">
        <f aca="false">IF(AND(BB39=1,AR39="Y"),IF(COUNTIFS($AZ$2:$AZ$201,AZ39,$AR$2:$AR$201,"Y",$BB$2:$BB$201,1,$H$2:$H$201,"&lt;"&amp;H39)+COUNTIFS($AZ$2:$AZ$201,AZ39,$AR$2:$AR$201,"Y",$BB$2:$BB$201,1,$H$2:$H$201,H39,$BA$2:$BA$201,"&lt;"&amp;BA39)=0,1,0),0)</f>
        <v>0</v>
      </c>
      <c r="CD39" s="23" t="n">
        <f aca="false">IF(AND(BH39=1,N(Y39)&gt;=Config!$B$15),1,0)</f>
        <v>0</v>
      </c>
      <c r="CE39" s="23" t="n">
        <f aca="false">IF(AND(BB39=1,AT39="Y"),1,0)</f>
        <v>0</v>
      </c>
      <c r="CF39" s="23" t="n">
        <f aca="false">IF(CE39=1,IF(COUNTIFS($AZ$2:$AZ$201,AZ39,$CE$2:$CE$201,1,$H$2:$H$201,"&lt;"&amp;H39)+COUNTIFS($AZ$2:$AZ$201,AZ39,$CE$2:$CE$201,1,$H$2:$H$201,H39,$BA$2:$BA$201,"&lt;"&amp;BA39)=0,1,0),0)</f>
        <v>0</v>
      </c>
      <c r="CG39" s="23" t="n">
        <f aca="false">IF(AND(BB39=1,G39="warm-intro"),1,0)</f>
        <v>0</v>
      </c>
      <c r="CH39" s="23" t="n">
        <f aca="false">IF(CG39=1,IF(COUNTIFS($AZ$2:$AZ$201,AZ39,$CG$2:$CG$201,1,$H$2:$H$201,"&lt;"&amp;H39)+COUNTIFS($AZ$2:$AZ$201,AZ39,$CG$2:$CG$201,1,$H$2:$H$201,H39,$BA$2:$BA$201,"&lt;"&amp;BA39)=0,1,0),0)</f>
        <v>0</v>
      </c>
      <c r="CI39" s="23" t="n">
        <f aca="false">IF(AND(BB39=1,Q39="Y"),1,0)</f>
        <v>0</v>
      </c>
      <c r="CJ39" s="23" t="n">
        <f aca="false">IF(CI39=1,IF(COUNTIFS($AZ$2:$AZ$201,AZ39,$CI$2:$CI$201,1,$H$2:$H$201,"&lt;"&amp;H39)+COUNTIFS($AZ$2:$AZ$201,AZ39,$CI$2:$CI$201,1,$H$2:$H$201,H39,$BA$2:$BA$201,"&lt;"&amp;BA39)=0,1,0),0)</f>
        <v>0</v>
      </c>
      <c r="CK39" s="23" t="n">
        <f aca="false">IF(AND(BB39=1,AF39="Y"),1,0)</f>
        <v>0</v>
      </c>
      <c r="CL39" s="23" t="n">
        <f aca="false">IF(CK39=1,IF(COUNTIFS($AZ$2:$AZ$201,AZ39,$CK$2:$CK$201,1,$H$2:$H$201,"&lt;"&amp;H39)+COUNTIFS($AZ$2:$AZ$201,AZ39,$CK$2:$CK$201,1,$H$2:$H$201,H39,$BA$2:$BA$201,"&lt;"&amp;BA39)=0,1,0),0)</f>
        <v>0</v>
      </c>
      <c r="CM39" s="23" t="n">
        <f aca="false">IF(AND(BB39=1,U39="Y"),1,0)</f>
        <v>0</v>
      </c>
      <c r="CN39" s="23" t="n">
        <f aca="false">IF(CM39=1,IF(COUNTIFS($AZ$2:$AZ$201,AZ39,$CM$2:$CM$201,1,$H$2:$H$201,"&lt;"&amp;H39)+COUNTIFS($AZ$2:$AZ$201,AZ39,$CM$2:$CM$201,1,$H$2:$H$201,H39,$BA$2:$BA$201,"&lt;"&amp;BA39)=0,1,0),0)</f>
        <v>0</v>
      </c>
      <c r="CO39" s="23" t="n">
        <f aca="false">IF(AND(BB39=1,L39="Y"),1,0)</f>
        <v>0</v>
      </c>
      <c r="CP39" s="23" t="n">
        <f aca="false">IF(CO39=1,IF(COUNTIFS($AZ$2:$AZ$201,AZ39,$CO$2:$CO$201,1,$H$2:$H$201,"&lt;"&amp;H39)+COUNTIFS($AZ$2:$AZ$201,AZ39,$CO$2:$CO$201,1,$H$2:$H$201,H39,$BA$2:$BA$201,"&lt;"&amp;BA39)=0,1,0),0)</f>
        <v>0</v>
      </c>
      <c r="CQ39" s="23" t="n">
        <f aca="false">IF(AND(BB39=1,ISNUMBER(O39)),1,0)</f>
        <v>0</v>
      </c>
      <c r="CR39" s="23" t="n">
        <f aca="false">IF(CQ39=1,IF(COUNTIFS($AZ$2:$AZ$201,AZ39,$CQ$2:$CQ$201,1,$H$2:$H$201,"&lt;"&amp;H39)+COUNTIFS($AZ$2:$AZ$201,AZ39,$CQ$2:$CQ$201,1,$H$2:$H$201,H39,$BA$2:$BA$201,"&lt;"&amp;BA39)=0,1,0),0)</f>
        <v>0</v>
      </c>
      <c r="CS39" s="23" t="str">
        <f aca="false">IF(AND(CR39=1,INT(N(H39))&lt;=Config!$B$5),O39,"")</f>
        <v/>
      </c>
      <c r="CT39" s="23" t="str">
        <f aca="false">IF(AND(BB39=1,INT(N(H39))&lt;=Config!$B$5),AG39&amp;"","")</f>
        <v/>
      </c>
      <c r="CU39" s="23" t="n">
        <f aca="false">IF(AND(BB39=1,AU39="Y"),1,0)</f>
        <v>0</v>
      </c>
      <c r="CV39" s="23" t="n">
        <f aca="false">IF(CU39=1,IF(COUNTIFS($AZ$2:$AZ$201,AZ39,$CU$2:$CU$201,1,$H$2:$H$201,"&lt;"&amp;H39)+COUNTIFS($AZ$2:$AZ$201,AZ39,$CU$2:$CU$201,1,$H$2:$H$201,H39,$BA$2:$BA$201,"&lt;"&amp;BA39)=0,1,0),0)</f>
        <v>0</v>
      </c>
      <c r="CW39" s="23" t="str">
        <f aca="false">IF(BB39=1,IFERROR(MATCH($A39,INDEX(Clay_Offices!$A$2:$FZ$601,0,Sync!$C$5),0),""),"")</f>
        <v/>
      </c>
      <c r="CX39" s="23" t="str">
        <f aca="false">IF(CW39="","",IFERROR(INDEX(Clay_Offices!$A$2:$FZ$601,CW39,Sync!$C$7)&amp;"",""))</f>
        <v/>
      </c>
      <c r="CY39" s="23" t="str">
        <f aca="false">IF(CX39="","",IFERROR(INDEX(Lists!$K$2:$K$15,MATCH(CX39,Lists!$J$2:$J$15,0)),""))</f>
        <v/>
      </c>
      <c r="CZ39" s="23" t="str">
        <f aca="false">IF(CW39="","",IFERROR(INDEX(Clay_Offices!$A$2:$FZ$601,CW39,Sync!$C$17)&amp;"",""))</f>
        <v/>
      </c>
      <c r="DA39" s="35" t="str">
        <f aca="false">IF(CW39="","",IFERROR(N(INDEX(Clay_Offices!$A$2:$FZ$601,CW39,Sync!$C$16)),0))</f>
        <v/>
      </c>
      <c r="DB39" s="23" t="n">
        <f aca="false">IF(AND(BB39=1,OR(AR39="Y",AR39="N",AR39="maybe")),1,0)</f>
        <v>0</v>
      </c>
      <c r="DC39" s="23" t="n">
        <f aca="false">IF(AND(DB39=1),IF(COUNTIFS($A$2:$A$201,$A39,$DB$2:$DB$201,1,$H$2:$H$201,"&gt;"&amp;H39)+COUNTIFS($A$2:$A$201,$A39,$DB$2:$DB$201,1,$H$2:$H$201,H39,$BA$2:$BA$201,"&gt;"&amp;BA39)=0,1,0),0)</f>
        <v>0</v>
      </c>
      <c r="DD39" s="23" t="n">
        <f aca="false">IF(AND(DB39=1,INT(N(H39))&lt;=Config!$B$6),IF(COUNTIFS($AZ$2:$AZ$201,AZ39,$DB$2:$DB$201,1,$H$2:$H$201,"&gt;"&amp;H39,$H$2:$H$201,"&lt;"&amp;(Config!$B$6+1))+COUNTIFS($AZ$2:$AZ$201,AZ39,$DB$2:$DB$201,1,$H$2:$H$201,H39,$BA$2:$BA$201,"&gt;"&amp;BA39)=0,1,0),0)</f>
        <v>0</v>
      </c>
      <c r="DE39" s="23" t="n">
        <f aca="false">IF(AND(DB39=1,INT(N(H39))&lt;=Config!$B$7),IF(COUNTIFS($AZ$2:$AZ$201,AZ39,$DB$2:$DB$201,1,$H$2:$H$201,"&gt;"&amp;H39,$H$2:$H$201,"&lt;"&amp;(Config!$B$7+1))+COUNTIFS($AZ$2:$AZ$201,AZ39,$DB$2:$DB$201,1,$H$2:$H$201,H39,$BA$2:$BA$201,"&gt;"&amp;BA39)=0,1,0),0)</f>
        <v>0</v>
      </c>
      <c r="DF39" s="23" t="n">
        <f aca="false">IF(AND(DB39=1,INT(N(H39))&lt;=Config!$B$8),IF(COUNTIFS($AZ$2:$AZ$201,AZ39,$DB$2:$DB$201,1,$H$2:$H$201,"&gt;"&amp;H39,$H$2:$H$201,"&lt;"&amp;(Config!$B$8+1))+COUNTIFS($AZ$2:$AZ$201,AZ39,$DB$2:$DB$201,1,$H$2:$H$201,H39,$BA$2:$BA$201,"&gt;"&amp;BA39)=0,1,0),0)</f>
        <v>0</v>
      </c>
      <c r="DG39" s="23" t="n">
        <f aca="false">IF(AND(DB39=1,INT(N(H39))&lt;=Config!$B$5),IF(COUNTIFS($AZ$2:$AZ$201,AZ39,$DB$2:$DB$201,1,$H$2:$H$201,"&gt;"&amp;H39,$H$2:$H$201,"&lt;"&amp;(Config!$B$5+1))+COUNTIFS($AZ$2:$AZ$201,AZ39,$DB$2:$DB$201,1,$H$2:$H$201,H39,$BA$2:$BA$201,"&gt;"&amp;BA39)=0,1,0),0)</f>
        <v>0</v>
      </c>
      <c r="DH39" s="23" t="n">
        <f aca="false">IF(BB39=1,IF(COUNTIFS($AZ$2:$AZ$201,AZ39,$DD$2:$DD$201,1,$AR$2:$AR$201,"Y")&gt;0,1,0),0)</f>
        <v>0</v>
      </c>
      <c r="DI39" s="23" t="n">
        <f aca="false">IF(BB39=1,IF(COUNTIFS($AZ$2:$AZ$201,AZ39,$DE$2:$DE$201,1,$AR$2:$AR$201,"Y")&gt;0,1,0),0)</f>
        <v>0</v>
      </c>
      <c r="DJ39" s="23" t="n">
        <f aca="false">IF(BB39=1,IF(COUNTIFS($AZ$2:$AZ$201,AZ39,$DF$2:$DF$201,1,$AR$2:$AR$201,"Y")&gt;0,1,0),0)</f>
        <v>0</v>
      </c>
      <c r="DK39" s="23" t="n">
        <f aca="false">IF(BB39=1,IF(COUNTIFS($AZ$2:$AZ$201,AZ39,$DG$2:$DG$201,1,$AR$2:$AR$201,"Y")&gt;0,1,0),0)</f>
        <v>0</v>
      </c>
      <c r="DL39" s="23" t="n">
        <f aca="false">IF(AND(BF39=1,INT(N(H39))&lt;=Config!$B$6,DH39=1,EI39=0),1,0)</f>
        <v>0</v>
      </c>
      <c r="DM39" s="23" t="n">
        <f aca="false">IF(AND(BF39=1,INT(N(H39))&lt;=Config!$B$7,DI39=1,EI39=0),1,0)</f>
        <v>0</v>
      </c>
      <c r="DN39" s="23" t="n">
        <f aca="false">IF(AND(BF39=1,INT(N(H39))&lt;=Config!$B$8,DJ39=1,EI39=0),1,0)</f>
        <v>0</v>
      </c>
      <c r="DO39" s="23" t="n">
        <f aca="false">IF(AND(BF39=1,INT(N(H39))&lt;=Config!$B$5,DK39=1,EI39=0),1,0)</f>
        <v>0</v>
      </c>
      <c r="DP39" s="23" t="n">
        <f aca="false">IF(AND(CC39=1,INT(N(H39))&lt;=Config!$B$6,DH39=1,EI39=0),1,0)</f>
        <v>0</v>
      </c>
      <c r="DQ39" s="23" t="n">
        <f aca="false">IF(AND(CC39=1,INT(N(H39))&lt;=Config!$B$7,DI39=1,EI39=0),1,0)</f>
        <v>0</v>
      </c>
      <c r="DR39" s="23" t="n">
        <f aca="false">IF(AND(CC39=1,INT(N(H39))&lt;=Config!$B$8,DJ39=1,EI39=0),1,0)</f>
        <v>0</v>
      </c>
      <c r="DS39" s="23" t="n">
        <f aca="false">IF(AND(CC39=1,INT(N(H39))&lt;=Config!$B$5,DK39=1,EI39=0),1,0)</f>
        <v>0</v>
      </c>
      <c r="DT39" s="23" t="n">
        <f aca="false">IF(AND(CC39=1,INT(N(H39))&lt;=Config!$B$6,DH39=0),1,0)</f>
        <v>0</v>
      </c>
      <c r="DU39" s="23" t="n">
        <f aca="false">IF(AND(CC39=1,INT(N(H39))&lt;=Config!$B$7,DI39=0),1,0)</f>
        <v>0</v>
      </c>
      <c r="DV39" s="23" t="n">
        <f aca="false">IF(AND(CC39=1,INT(N(H39))&lt;=Config!$B$8,DJ39=0),1,0)</f>
        <v>0</v>
      </c>
      <c r="DW39" s="23" t="n">
        <f aca="false">IF(AND(CC39=1,INT(N(H39))&lt;=Config!$B$5,DK39=0),1,0)</f>
        <v>0</v>
      </c>
      <c r="DX39" s="23" t="n">
        <f aca="false">IF(TRIM($A39)="",0,ISTEXT(M39)+ISTEXT(O39)+ISTEXT(Y39)+ISTEXT(Z39)+ISTEXT(AA39)+ISTEXT(AV39))</f>
        <v>0</v>
      </c>
      <c r="DY39" s="23" t="n">
        <f aca="false">IF(BB39=1,IF(H39&lt;&gt;INT(H39),1,0),0)</f>
        <v>0</v>
      </c>
      <c r="DZ39" s="23" t="str">
        <f aca="false">IF(TRIM($A39)="","",IF(TRIM(B39)="",SUBSTITUTE(SUBSTITUTE(SUBSTITUTE(SUBSTITUTE(SUBSTITUTE(SUBSTITUTE(LOWER(TRIM($A39)),"~",""),"*",""),"?",""),"&lt;",""),"&gt;",""),"=",""),SUBSTITUTE(SUBSTITUTE(SUBSTITUTE(SUBSTITUTE(SUBSTITUTE(SUBSTITUTE(LOWER(TRIM(B39)),"~",""),"*",""),"?",""),"&lt;",""),"&gt;",""),"=","")))</f>
        <v/>
      </c>
      <c r="EA39" s="23" t="str">
        <f aca="false">IF(CW39="","",IFERROR(IF(LEFT(LOWER(TRIM(INDEX(Clay_Offices!$A$2:$FZ$601,CW39,Sync!$C$19)&amp;"")),4)="grp-",SUBSTITUTE(SUBSTITUTE(SUBSTITUTE(SUBSTITUTE(SUBSTITUTE(SUBSTITUTE(LOWER(TRIM(INDEX(Clay_Offices!$A$2:$FZ$601,CW39,Sync!$C$19)&amp;"")),"~",""),"*",""),"?",""),"&lt;",""),"&gt;",""),"=",""),""),""))</f>
        <v/>
      </c>
      <c r="EB39" s="23" t="str">
        <f aca="false">IF(EA39&lt;&gt;"",DZ39,"")</f>
        <v/>
      </c>
      <c r="EC39" s="23" t="str">
        <f aca="false">IF(BC39=1,AZ39,"")</f>
        <v/>
      </c>
      <c r="ED39" s="23" t="str">
        <f aca="false">IF(TRIM($A39)="","",IFERROR(INDEX($A$2:$A$201,MATCH(AZ39,$EC$2:$EC$201,0))&amp;"",$A39&amp;""))</f>
        <v/>
      </c>
      <c r="EE39" s="23" t="n">
        <f aca="false">IF(BB39=1,IF(COUNTIFS($A$2:$A$201,$A39,$BB$2:$BB$201,1,$H$2:$H$201,"&lt;"&amp;H39)+COUNTIFS($A$2:$A$201,$A39,$BB$2:$BB$201,1,$H$2:$H$201,H39,$BA$2:$BA$201,"&lt;"&amp;BA39)=0,1,0),0)</f>
        <v>0</v>
      </c>
      <c r="EF39" s="23" t="n">
        <f aca="false">IF(BC39=1,IF(COUNTIFS($AZ$2:$AZ$201,AZ39,$EE$2:$EE$201,1)&gt;1,1,0),0)</f>
        <v>0</v>
      </c>
      <c r="EG39" s="23" t="n">
        <f aca="false">IF(AND(CQ39=1),IF(COUNTIFS($AZ$2:$AZ$201,AZ39,$CQ$2:$CQ$201,1,$H$2:$H$201,"&gt;"&amp;H39)+COUNTIFS($AZ$2:$AZ$201,AZ39,$CQ$2:$CQ$201,1,$H$2:$H$201,H39,$BA$2:$BA$201,"&gt;"&amp;BA39)=0,1,0),0)</f>
        <v>0</v>
      </c>
      <c r="EH39" s="23" t="str">
        <f aca="false">IF(BB39=1,IF(COUNTIFS($AZ$2:$AZ$201,AZ39,$EG$2:$EG$201,1)=0,"",SUMIFS($O$2:$O$201,$AZ$2:$AZ$201,AZ39,$EG$2:$EG$201,1)),"")</f>
        <v/>
      </c>
      <c r="EI39" s="23" t="n">
        <f aca="false">IF(AND(ISNUMBER(EH39),OR(N(EH39)&lt;Config!$B$31,N(EH39)&gt;Config!$B$33)),1,0)</f>
        <v>0</v>
      </c>
      <c r="EJ39" s="23" t="n">
        <f aca="false">IF(AND(ISNUMBER(EH39),N(EH39)&gt;=Config!$B$31,N(EH39)&lt;Config!$B$32),1,0)</f>
        <v>0</v>
      </c>
      <c r="EK39" s="23" t="n">
        <f aca="false">IF(AND(BF39=1,INT(N(H39))&lt;=Config!$B$6,DH39=1,EI39=1),1,0)</f>
        <v>0</v>
      </c>
      <c r="EL39" s="23" t="n">
        <f aca="false">IF(AND(BF39=1,INT(N(H39))&lt;=Config!$B$7,DI39=1,EI39=1),1,0)</f>
        <v>0</v>
      </c>
      <c r="EM39" s="23" t="n">
        <f aca="false">IF(AND(BF39=1,INT(N(H39))&lt;=Config!$B$8,DJ39=1,EI39=1),1,0)</f>
        <v>0</v>
      </c>
      <c r="EN39" s="23" t="n">
        <f aca="false">IF(AND(BF39=1,INT(N(H39))&lt;=Config!$B$5,DK39=1,EI39=1),1,0)</f>
        <v>0</v>
      </c>
      <c r="EO39" s="23" t="n">
        <f aca="false">IF(AND(DL39=1,EJ39=1),1,0)</f>
        <v>0</v>
      </c>
      <c r="EP39" s="23" t="n">
        <f aca="false">IF(AND(DM39=1,EJ39=1),1,0)</f>
        <v>0</v>
      </c>
      <c r="EQ39" s="23" t="n">
        <f aca="false">IF(AND(DN39=1,EJ39=1),1,0)</f>
        <v>0</v>
      </c>
      <c r="ER39" s="23" t="n">
        <f aca="false">IF(AND(DO39=1,EJ39=1),1,0)</f>
        <v>0</v>
      </c>
    </row>
    <row r="40" customFormat="false" ht="15" hidden="false" customHeight="false" outlineLevel="0" collapsed="false">
      <c r="G40" s="32"/>
      <c r="H40" s="33"/>
      <c r="I40" s="32"/>
      <c r="L40" s="32"/>
      <c r="Q40" s="32"/>
      <c r="U40" s="32"/>
      <c r="W40" s="32"/>
      <c r="AC40" s="32"/>
      <c r="AF40" s="32"/>
      <c r="AI40" s="32"/>
      <c r="AJ40" s="32"/>
      <c r="AN40" s="32"/>
      <c r="AR40" s="32"/>
      <c r="AT40" s="32"/>
      <c r="AU40" s="32"/>
      <c r="AW40" s="32"/>
      <c r="AY40" s="34" t="str">
        <f aca="false">IF(TRIM($A40)="","",IF(AND(LEFT($A40,6)="SAMPLE",Config!$B$19&lt;&gt;"Y"),"",IF(NOT(ISNUMBER(H40)),"call_date is blank or not a date",IF(Sync!$C$5="","Clay paste is empty or has no row_id column: paste the Clay export on Clay_Offices",IF(CW40="","row_id not found in the Clay paste: add the Clay row or fix the row_id",IF(AND(ISNUMBER(CY40),CY40&gt;=1,CY40&lt;=5),"Clay status is "&amp;CX40&amp;": set call_done or later",IF(AND(BD40=1,CZ40&lt;&gt;BZ40),"Clay yes_in_principle should be "&amp;BZ40,IF(AND(BD40=1,DA40&lt;&gt;H40),"Clay call_date should be "&amp;TEXT(H40,"yyyy-mm-dd"),""))))))))</f>
        <v/>
      </c>
      <c r="AZ40" s="23" t="str">
        <f aca="false">IF(TRIM($A40)="","",IF(TRIM(C40)&lt;&gt;"",SUBSTITUTE(SUBSTITUTE(SUBSTITUTE(SUBSTITUTE(SUBSTITUTE(SUBSTITUTE(LOWER(TRIM(C40)),"~",""),"*",""),"?",""),"&lt;",""),"&gt;",""),"=",""),IF(EA40&lt;&gt;"",EA40,IFERROR(INDEX($EA$2:$EA$201,MATCH(DZ40,$EB$2:$EB$201,0)),DZ40))))</f>
        <v/>
      </c>
      <c r="BA40" s="23" t="n">
        <f aca="false">ROW()</f>
        <v>40</v>
      </c>
      <c r="BB40" s="23" t="n">
        <f aca="false">IF(AND(TRIM($A40)&lt;&gt;"",ISNUMBER(H40)),IF(AND(LEFT($A40,6)="SAMPLE",Config!$B$19&lt;&gt;"Y"),0,1),0)</f>
        <v>0</v>
      </c>
      <c r="BC40" s="23" t="n">
        <f aca="false">IF(BB40=1,IF(COUNTIFS($AZ$2:$AZ$201,AZ40,$BB$2:$BB$201,1,$H$2:$H$201,"&lt;"&amp;H40)+COUNTIFS($AZ$2:$AZ$201,AZ40,$BB$2:$BB$201,1,$H$2:$H$201,H40,$BA$2:$BA$201,"&lt;"&amp;BA40)=0,1,0),0)</f>
        <v>0</v>
      </c>
      <c r="BD40" s="23" t="n">
        <f aca="false">IF(BB40=1,IF(COUNTIFS($A$2:$A$201,$A40,$BB$2:$BB$201,1,$H$2:$H$201,"&gt;"&amp;H40)+COUNTIFS($A$2:$A$201,$A40,$BB$2:$BB$201,1,$H$2:$H$201,H40,$BA$2:$BA$201,"&gt;"&amp;BA40)=0,1,0),0)</f>
        <v>0</v>
      </c>
      <c r="BE40" s="23" t="n">
        <f aca="false">IF(AND(BB40=1,AR40="Y",AC40="Y",TRIM(AH40)&lt;&gt;""),1,0)</f>
        <v>0</v>
      </c>
      <c r="BF40" s="23" t="n">
        <f aca="false">IF(BE40=1,IF(COUNTIFS($AZ$2:$AZ$201,AZ40,$BE$2:$BE$201,1,$H$2:$H$201,"&lt;"&amp;H40)+COUNTIFS($AZ$2:$AZ$201,AZ40,$BE$2:$BE$201,1,$H$2:$H$201,H40,$BA$2:$BA$201,"&lt;"&amp;BA40)=0,1,0),0)</f>
        <v>0</v>
      </c>
      <c r="BG40" s="23" t="n">
        <f aca="false">IF(AND(BB40=1,AR40="Y",BE40=0),1,0)</f>
        <v>0</v>
      </c>
      <c r="BH40" s="23" t="n">
        <f aca="false">IF(AND(BB40=1,ISNUMBER(Y40)),1,0)</f>
        <v>0</v>
      </c>
      <c r="BI40" s="23" t="n">
        <f aca="false">IF(BH40=1,IF(COUNTIFS($AZ$2:$AZ$201,AZ40,$BH$2:$BH$201,1,$H$2:$H$201,"&lt;"&amp;H40)+COUNTIFS($AZ$2:$AZ$201,AZ40,$BH$2:$BH$201,1,$H$2:$H$201,H40,$BA$2:$BA$201,"&lt;"&amp;BA40)=0,1,0),0)</f>
        <v>0</v>
      </c>
      <c r="BJ40" s="23" t="str">
        <f aca="false">IF(AND(BI40=1,INT(N(H40))&lt;=Config!$B$6),Y40,"")</f>
        <v/>
      </c>
      <c r="BK40" s="23" t="str">
        <f aca="false">IF(AND(BI40=1,INT(N(H40))&lt;=Config!$B$7),Y40,"")</f>
        <v/>
      </c>
      <c r="BL40" s="23" t="str">
        <f aca="false">IF(AND(BI40=1,INT(N(H40))&lt;=Config!$B$8),Y40,"")</f>
        <v/>
      </c>
      <c r="BM40" s="23" t="str">
        <f aca="false">IF(AND(BI40=1,INT(N(H40))&lt;=Config!$B$5),Y40,"")</f>
        <v/>
      </c>
      <c r="BN40" s="23" t="n">
        <f aca="false">IF(CD40=1,IF(COUNTIFS($AZ$2:$AZ$201,AZ40,$CD$2:$CD$201,1,$H$2:$H$201,"&lt;"&amp;H40)+COUNTIFS($AZ$2:$AZ$201,AZ40,$CD$2:$CD$201,1,$H$2:$H$201,H40,$BA$2:$BA$201,"&lt;"&amp;BA40)=0,1,0),0)</f>
        <v>0</v>
      </c>
      <c r="BO40" s="23" t="n">
        <f aca="false">IF(AND(BB40=1,ISNUMBER(M40)),1,0)</f>
        <v>0</v>
      </c>
      <c r="BP40" s="23" t="n">
        <f aca="false">IF(BO40=1,IF(COUNTIFS($AZ$2:$AZ$201,AZ40,$BO$2:$BO$201,1,$H$2:$H$201,"&lt;"&amp;H40)+COUNTIFS($AZ$2:$AZ$201,AZ40,$BO$2:$BO$201,1,$H$2:$H$201,H40,$BA$2:$BA$201,"&lt;"&amp;BA40)=0,1,0),0)</f>
        <v>0</v>
      </c>
      <c r="BQ40" s="23" t="str">
        <f aca="false">IF(AND(BP40=1,INT(N(H40))&lt;=Config!$B$5),M40,"")</f>
        <v/>
      </c>
      <c r="BR40" s="23" t="n">
        <f aca="false">IF(AND(BB40=1,OR(TRIM(X40)&lt;&gt;"",ISNUMBER(Y40))),1,0)</f>
        <v>0</v>
      </c>
      <c r="BS40" s="23" t="n">
        <f aca="false">IF(BR40=1,IF(COUNTIFS($AZ$2:$AZ$201,AZ40,$BR$2:$BR$201,1,$H$2:$H$201,"&lt;"&amp;H40)+COUNTIFS($AZ$2:$AZ$201,AZ40,$BR$2:$BR$201,1,$H$2:$H$201,H40,$BA$2:$BA$201,"&lt;"&amp;BA40)=0,1,0),0)</f>
        <v>0</v>
      </c>
      <c r="BT40" s="23" t="str">
        <f aca="false">IF(BS40=1,AZ40,"")</f>
        <v/>
      </c>
      <c r="BU40" s="23" t="n">
        <f aca="false">IF(AND(BB40=1,W40="Y",TRIM(X40)=""),1,0)</f>
        <v>0</v>
      </c>
      <c r="BV40" s="23" t="str">
        <f aca="false">IF(BB40=1,AN40&amp;"","")</f>
        <v/>
      </c>
      <c r="BW40" s="23" t="str">
        <f aca="false">IF(BB40=1,AO40&amp;"","")</f>
        <v/>
      </c>
      <c r="BX40" s="23" t="str">
        <f aca="false">IF(BB40=1,AP40&amp;"","")</f>
        <v/>
      </c>
      <c r="BY40" s="23" t="str">
        <f aca="false">IF(AND(BB40=1,ISNUMBER(AV40),INT(N(H40))&lt;=Config!$B$5),AV40,"")</f>
        <v/>
      </c>
      <c r="BZ40" s="23" t="str">
        <f aca="false">IF(BB40=1,IF(COUNTIFS($A$2:$A$201,$A40,$DC$2:$DC$201,1,$AR$2:$AR$201,"Y")&gt;0,"Y","N"),"")</f>
        <v/>
      </c>
      <c r="CA40" s="23" t="n">
        <f aca="false">IF(AND(BB40=1,AR40="maybe"),1,0)</f>
        <v>0</v>
      </c>
      <c r="CB40" s="23" t="n">
        <f aca="false">IF(CA40=1,IF(COUNTIFS($AZ$2:$AZ$201,AZ40,$CA$2:$CA$201,1,$H$2:$H$201,"&lt;"&amp;H40)+COUNTIFS($AZ$2:$AZ$201,AZ40,$CA$2:$CA$201,1,$H$2:$H$201,H40,$BA$2:$BA$201,"&lt;"&amp;BA40)=0,1,0),0)</f>
        <v>0</v>
      </c>
      <c r="CC40" s="23" t="n">
        <f aca="false">IF(AND(BB40=1,AR40="Y"),IF(COUNTIFS($AZ$2:$AZ$201,AZ40,$AR$2:$AR$201,"Y",$BB$2:$BB$201,1,$H$2:$H$201,"&lt;"&amp;H40)+COUNTIFS($AZ$2:$AZ$201,AZ40,$AR$2:$AR$201,"Y",$BB$2:$BB$201,1,$H$2:$H$201,H40,$BA$2:$BA$201,"&lt;"&amp;BA40)=0,1,0),0)</f>
        <v>0</v>
      </c>
      <c r="CD40" s="23" t="n">
        <f aca="false">IF(AND(BH40=1,N(Y40)&gt;=Config!$B$15),1,0)</f>
        <v>0</v>
      </c>
      <c r="CE40" s="23" t="n">
        <f aca="false">IF(AND(BB40=1,AT40="Y"),1,0)</f>
        <v>0</v>
      </c>
      <c r="CF40" s="23" t="n">
        <f aca="false">IF(CE40=1,IF(COUNTIFS($AZ$2:$AZ$201,AZ40,$CE$2:$CE$201,1,$H$2:$H$201,"&lt;"&amp;H40)+COUNTIFS($AZ$2:$AZ$201,AZ40,$CE$2:$CE$201,1,$H$2:$H$201,H40,$BA$2:$BA$201,"&lt;"&amp;BA40)=0,1,0),0)</f>
        <v>0</v>
      </c>
      <c r="CG40" s="23" t="n">
        <f aca="false">IF(AND(BB40=1,G40="warm-intro"),1,0)</f>
        <v>0</v>
      </c>
      <c r="CH40" s="23" t="n">
        <f aca="false">IF(CG40=1,IF(COUNTIFS($AZ$2:$AZ$201,AZ40,$CG$2:$CG$201,1,$H$2:$H$201,"&lt;"&amp;H40)+COUNTIFS($AZ$2:$AZ$201,AZ40,$CG$2:$CG$201,1,$H$2:$H$201,H40,$BA$2:$BA$201,"&lt;"&amp;BA40)=0,1,0),0)</f>
        <v>0</v>
      </c>
      <c r="CI40" s="23" t="n">
        <f aca="false">IF(AND(BB40=1,Q40="Y"),1,0)</f>
        <v>0</v>
      </c>
      <c r="CJ40" s="23" t="n">
        <f aca="false">IF(CI40=1,IF(COUNTIFS($AZ$2:$AZ$201,AZ40,$CI$2:$CI$201,1,$H$2:$H$201,"&lt;"&amp;H40)+COUNTIFS($AZ$2:$AZ$201,AZ40,$CI$2:$CI$201,1,$H$2:$H$201,H40,$BA$2:$BA$201,"&lt;"&amp;BA40)=0,1,0),0)</f>
        <v>0</v>
      </c>
      <c r="CK40" s="23" t="n">
        <f aca="false">IF(AND(BB40=1,AF40="Y"),1,0)</f>
        <v>0</v>
      </c>
      <c r="CL40" s="23" t="n">
        <f aca="false">IF(CK40=1,IF(COUNTIFS($AZ$2:$AZ$201,AZ40,$CK$2:$CK$201,1,$H$2:$H$201,"&lt;"&amp;H40)+COUNTIFS($AZ$2:$AZ$201,AZ40,$CK$2:$CK$201,1,$H$2:$H$201,H40,$BA$2:$BA$201,"&lt;"&amp;BA40)=0,1,0),0)</f>
        <v>0</v>
      </c>
      <c r="CM40" s="23" t="n">
        <f aca="false">IF(AND(BB40=1,U40="Y"),1,0)</f>
        <v>0</v>
      </c>
      <c r="CN40" s="23" t="n">
        <f aca="false">IF(CM40=1,IF(COUNTIFS($AZ$2:$AZ$201,AZ40,$CM$2:$CM$201,1,$H$2:$H$201,"&lt;"&amp;H40)+COUNTIFS($AZ$2:$AZ$201,AZ40,$CM$2:$CM$201,1,$H$2:$H$201,H40,$BA$2:$BA$201,"&lt;"&amp;BA40)=0,1,0),0)</f>
        <v>0</v>
      </c>
      <c r="CO40" s="23" t="n">
        <f aca="false">IF(AND(BB40=1,L40="Y"),1,0)</f>
        <v>0</v>
      </c>
      <c r="CP40" s="23" t="n">
        <f aca="false">IF(CO40=1,IF(COUNTIFS($AZ$2:$AZ$201,AZ40,$CO$2:$CO$201,1,$H$2:$H$201,"&lt;"&amp;H40)+COUNTIFS($AZ$2:$AZ$201,AZ40,$CO$2:$CO$201,1,$H$2:$H$201,H40,$BA$2:$BA$201,"&lt;"&amp;BA40)=0,1,0),0)</f>
        <v>0</v>
      </c>
      <c r="CQ40" s="23" t="n">
        <f aca="false">IF(AND(BB40=1,ISNUMBER(O40)),1,0)</f>
        <v>0</v>
      </c>
      <c r="CR40" s="23" t="n">
        <f aca="false">IF(CQ40=1,IF(COUNTIFS($AZ$2:$AZ$201,AZ40,$CQ$2:$CQ$201,1,$H$2:$H$201,"&lt;"&amp;H40)+COUNTIFS($AZ$2:$AZ$201,AZ40,$CQ$2:$CQ$201,1,$H$2:$H$201,H40,$BA$2:$BA$201,"&lt;"&amp;BA40)=0,1,0),0)</f>
        <v>0</v>
      </c>
      <c r="CS40" s="23" t="str">
        <f aca="false">IF(AND(CR40=1,INT(N(H40))&lt;=Config!$B$5),O40,"")</f>
        <v/>
      </c>
      <c r="CT40" s="23" t="str">
        <f aca="false">IF(AND(BB40=1,INT(N(H40))&lt;=Config!$B$5),AG40&amp;"","")</f>
        <v/>
      </c>
      <c r="CU40" s="23" t="n">
        <f aca="false">IF(AND(BB40=1,AU40="Y"),1,0)</f>
        <v>0</v>
      </c>
      <c r="CV40" s="23" t="n">
        <f aca="false">IF(CU40=1,IF(COUNTIFS($AZ$2:$AZ$201,AZ40,$CU$2:$CU$201,1,$H$2:$H$201,"&lt;"&amp;H40)+COUNTIFS($AZ$2:$AZ$201,AZ40,$CU$2:$CU$201,1,$H$2:$H$201,H40,$BA$2:$BA$201,"&lt;"&amp;BA40)=0,1,0),0)</f>
        <v>0</v>
      </c>
      <c r="CW40" s="23" t="str">
        <f aca="false">IF(BB40=1,IFERROR(MATCH($A40,INDEX(Clay_Offices!$A$2:$FZ$601,0,Sync!$C$5),0),""),"")</f>
        <v/>
      </c>
      <c r="CX40" s="23" t="str">
        <f aca="false">IF(CW40="","",IFERROR(INDEX(Clay_Offices!$A$2:$FZ$601,CW40,Sync!$C$7)&amp;"",""))</f>
        <v/>
      </c>
      <c r="CY40" s="23" t="str">
        <f aca="false">IF(CX40="","",IFERROR(INDEX(Lists!$K$2:$K$15,MATCH(CX40,Lists!$J$2:$J$15,0)),""))</f>
        <v/>
      </c>
      <c r="CZ40" s="23" t="str">
        <f aca="false">IF(CW40="","",IFERROR(INDEX(Clay_Offices!$A$2:$FZ$601,CW40,Sync!$C$17)&amp;"",""))</f>
        <v/>
      </c>
      <c r="DA40" s="35" t="str">
        <f aca="false">IF(CW40="","",IFERROR(N(INDEX(Clay_Offices!$A$2:$FZ$601,CW40,Sync!$C$16)),0))</f>
        <v/>
      </c>
      <c r="DB40" s="23" t="n">
        <f aca="false">IF(AND(BB40=1,OR(AR40="Y",AR40="N",AR40="maybe")),1,0)</f>
        <v>0</v>
      </c>
      <c r="DC40" s="23" t="n">
        <f aca="false">IF(AND(DB40=1),IF(COUNTIFS($A$2:$A$201,$A40,$DB$2:$DB$201,1,$H$2:$H$201,"&gt;"&amp;H40)+COUNTIFS($A$2:$A$201,$A40,$DB$2:$DB$201,1,$H$2:$H$201,H40,$BA$2:$BA$201,"&gt;"&amp;BA40)=0,1,0),0)</f>
        <v>0</v>
      </c>
      <c r="DD40" s="23" t="n">
        <f aca="false">IF(AND(DB40=1,INT(N(H40))&lt;=Config!$B$6),IF(COUNTIFS($AZ$2:$AZ$201,AZ40,$DB$2:$DB$201,1,$H$2:$H$201,"&gt;"&amp;H40,$H$2:$H$201,"&lt;"&amp;(Config!$B$6+1))+COUNTIFS($AZ$2:$AZ$201,AZ40,$DB$2:$DB$201,1,$H$2:$H$201,H40,$BA$2:$BA$201,"&gt;"&amp;BA40)=0,1,0),0)</f>
        <v>0</v>
      </c>
      <c r="DE40" s="23" t="n">
        <f aca="false">IF(AND(DB40=1,INT(N(H40))&lt;=Config!$B$7),IF(COUNTIFS($AZ$2:$AZ$201,AZ40,$DB$2:$DB$201,1,$H$2:$H$201,"&gt;"&amp;H40,$H$2:$H$201,"&lt;"&amp;(Config!$B$7+1))+COUNTIFS($AZ$2:$AZ$201,AZ40,$DB$2:$DB$201,1,$H$2:$H$201,H40,$BA$2:$BA$201,"&gt;"&amp;BA40)=0,1,0),0)</f>
        <v>0</v>
      </c>
      <c r="DF40" s="23" t="n">
        <f aca="false">IF(AND(DB40=1,INT(N(H40))&lt;=Config!$B$8),IF(COUNTIFS($AZ$2:$AZ$201,AZ40,$DB$2:$DB$201,1,$H$2:$H$201,"&gt;"&amp;H40,$H$2:$H$201,"&lt;"&amp;(Config!$B$8+1))+COUNTIFS($AZ$2:$AZ$201,AZ40,$DB$2:$DB$201,1,$H$2:$H$201,H40,$BA$2:$BA$201,"&gt;"&amp;BA40)=0,1,0),0)</f>
        <v>0</v>
      </c>
      <c r="DG40" s="23" t="n">
        <f aca="false">IF(AND(DB40=1,INT(N(H40))&lt;=Config!$B$5),IF(COUNTIFS($AZ$2:$AZ$201,AZ40,$DB$2:$DB$201,1,$H$2:$H$201,"&gt;"&amp;H40,$H$2:$H$201,"&lt;"&amp;(Config!$B$5+1))+COUNTIFS($AZ$2:$AZ$201,AZ40,$DB$2:$DB$201,1,$H$2:$H$201,H40,$BA$2:$BA$201,"&gt;"&amp;BA40)=0,1,0),0)</f>
        <v>0</v>
      </c>
      <c r="DH40" s="23" t="n">
        <f aca="false">IF(BB40=1,IF(COUNTIFS($AZ$2:$AZ$201,AZ40,$DD$2:$DD$201,1,$AR$2:$AR$201,"Y")&gt;0,1,0),0)</f>
        <v>0</v>
      </c>
      <c r="DI40" s="23" t="n">
        <f aca="false">IF(BB40=1,IF(COUNTIFS($AZ$2:$AZ$201,AZ40,$DE$2:$DE$201,1,$AR$2:$AR$201,"Y")&gt;0,1,0),0)</f>
        <v>0</v>
      </c>
      <c r="DJ40" s="23" t="n">
        <f aca="false">IF(BB40=1,IF(COUNTIFS($AZ$2:$AZ$201,AZ40,$DF$2:$DF$201,1,$AR$2:$AR$201,"Y")&gt;0,1,0),0)</f>
        <v>0</v>
      </c>
      <c r="DK40" s="23" t="n">
        <f aca="false">IF(BB40=1,IF(COUNTIFS($AZ$2:$AZ$201,AZ40,$DG$2:$DG$201,1,$AR$2:$AR$201,"Y")&gt;0,1,0),0)</f>
        <v>0</v>
      </c>
      <c r="DL40" s="23" t="n">
        <f aca="false">IF(AND(BF40=1,INT(N(H40))&lt;=Config!$B$6,DH40=1,EI40=0),1,0)</f>
        <v>0</v>
      </c>
      <c r="DM40" s="23" t="n">
        <f aca="false">IF(AND(BF40=1,INT(N(H40))&lt;=Config!$B$7,DI40=1,EI40=0),1,0)</f>
        <v>0</v>
      </c>
      <c r="DN40" s="23" t="n">
        <f aca="false">IF(AND(BF40=1,INT(N(H40))&lt;=Config!$B$8,DJ40=1,EI40=0),1,0)</f>
        <v>0</v>
      </c>
      <c r="DO40" s="23" t="n">
        <f aca="false">IF(AND(BF40=1,INT(N(H40))&lt;=Config!$B$5,DK40=1,EI40=0),1,0)</f>
        <v>0</v>
      </c>
      <c r="DP40" s="23" t="n">
        <f aca="false">IF(AND(CC40=1,INT(N(H40))&lt;=Config!$B$6,DH40=1,EI40=0),1,0)</f>
        <v>0</v>
      </c>
      <c r="DQ40" s="23" t="n">
        <f aca="false">IF(AND(CC40=1,INT(N(H40))&lt;=Config!$B$7,DI40=1,EI40=0),1,0)</f>
        <v>0</v>
      </c>
      <c r="DR40" s="23" t="n">
        <f aca="false">IF(AND(CC40=1,INT(N(H40))&lt;=Config!$B$8,DJ40=1,EI40=0),1,0)</f>
        <v>0</v>
      </c>
      <c r="DS40" s="23" t="n">
        <f aca="false">IF(AND(CC40=1,INT(N(H40))&lt;=Config!$B$5,DK40=1,EI40=0),1,0)</f>
        <v>0</v>
      </c>
      <c r="DT40" s="23" t="n">
        <f aca="false">IF(AND(CC40=1,INT(N(H40))&lt;=Config!$B$6,DH40=0),1,0)</f>
        <v>0</v>
      </c>
      <c r="DU40" s="23" t="n">
        <f aca="false">IF(AND(CC40=1,INT(N(H40))&lt;=Config!$B$7,DI40=0),1,0)</f>
        <v>0</v>
      </c>
      <c r="DV40" s="23" t="n">
        <f aca="false">IF(AND(CC40=1,INT(N(H40))&lt;=Config!$B$8,DJ40=0),1,0)</f>
        <v>0</v>
      </c>
      <c r="DW40" s="23" t="n">
        <f aca="false">IF(AND(CC40=1,INT(N(H40))&lt;=Config!$B$5,DK40=0),1,0)</f>
        <v>0</v>
      </c>
      <c r="DX40" s="23" t="n">
        <f aca="false">IF(TRIM($A40)="",0,ISTEXT(M40)+ISTEXT(O40)+ISTEXT(Y40)+ISTEXT(Z40)+ISTEXT(AA40)+ISTEXT(AV40))</f>
        <v>0</v>
      </c>
      <c r="DY40" s="23" t="n">
        <f aca="false">IF(BB40=1,IF(H40&lt;&gt;INT(H40),1,0),0)</f>
        <v>0</v>
      </c>
      <c r="DZ40" s="23" t="str">
        <f aca="false">IF(TRIM($A40)="","",IF(TRIM(B40)="",SUBSTITUTE(SUBSTITUTE(SUBSTITUTE(SUBSTITUTE(SUBSTITUTE(SUBSTITUTE(LOWER(TRIM($A40)),"~",""),"*",""),"?",""),"&lt;",""),"&gt;",""),"=",""),SUBSTITUTE(SUBSTITUTE(SUBSTITUTE(SUBSTITUTE(SUBSTITUTE(SUBSTITUTE(LOWER(TRIM(B40)),"~",""),"*",""),"?",""),"&lt;",""),"&gt;",""),"=","")))</f>
        <v/>
      </c>
      <c r="EA40" s="23" t="str">
        <f aca="false">IF(CW40="","",IFERROR(IF(LEFT(LOWER(TRIM(INDEX(Clay_Offices!$A$2:$FZ$601,CW40,Sync!$C$19)&amp;"")),4)="grp-",SUBSTITUTE(SUBSTITUTE(SUBSTITUTE(SUBSTITUTE(SUBSTITUTE(SUBSTITUTE(LOWER(TRIM(INDEX(Clay_Offices!$A$2:$FZ$601,CW40,Sync!$C$19)&amp;"")),"~",""),"*",""),"?",""),"&lt;",""),"&gt;",""),"=",""),""),""))</f>
        <v/>
      </c>
      <c r="EB40" s="23" t="str">
        <f aca="false">IF(EA40&lt;&gt;"",DZ40,"")</f>
        <v/>
      </c>
      <c r="EC40" s="23" t="str">
        <f aca="false">IF(BC40=1,AZ40,"")</f>
        <v/>
      </c>
      <c r="ED40" s="23" t="str">
        <f aca="false">IF(TRIM($A40)="","",IFERROR(INDEX($A$2:$A$201,MATCH(AZ40,$EC$2:$EC$201,0))&amp;"",$A40&amp;""))</f>
        <v/>
      </c>
      <c r="EE40" s="23" t="n">
        <f aca="false">IF(BB40=1,IF(COUNTIFS($A$2:$A$201,$A40,$BB$2:$BB$201,1,$H$2:$H$201,"&lt;"&amp;H40)+COUNTIFS($A$2:$A$201,$A40,$BB$2:$BB$201,1,$H$2:$H$201,H40,$BA$2:$BA$201,"&lt;"&amp;BA40)=0,1,0),0)</f>
        <v>0</v>
      </c>
      <c r="EF40" s="23" t="n">
        <f aca="false">IF(BC40=1,IF(COUNTIFS($AZ$2:$AZ$201,AZ40,$EE$2:$EE$201,1)&gt;1,1,0),0)</f>
        <v>0</v>
      </c>
      <c r="EG40" s="23" t="n">
        <f aca="false">IF(AND(CQ40=1),IF(COUNTIFS($AZ$2:$AZ$201,AZ40,$CQ$2:$CQ$201,1,$H$2:$H$201,"&gt;"&amp;H40)+COUNTIFS($AZ$2:$AZ$201,AZ40,$CQ$2:$CQ$201,1,$H$2:$H$201,H40,$BA$2:$BA$201,"&gt;"&amp;BA40)=0,1,0),0)</f>
        <v>0</v>
      </c>
      <c r="EH40" s="23" t="str">
        <f aca="false">IF(BB40=1,IF(COUNTIFS($AZ$2:$AZ$201,AZ40,$EG$2:$EG$201,1)=0,"",SUMIFS($O$2:$O$201,$AZ$2:$AZ$201,AZ40,$EG$2:$EG$201,1)),"")</f>
        <v/>
      </c>
      <c r="EI40" s="23" t="n">
        <f aca="false">IF(AND(ISNUMBER(EH40),OR(N(EH40)&lt;Config!$B$31,N(EH40)&gt;Config!$B$33)),1,0)</f>
        <v>0</v>
      </c>
      <c r="EJ40" s="23" t="n">
        <f aca="false">IF(AND(ISNUMBER(EH40),N(EH40)&gt;=Config!$B$31,N(EH40)&lt;Config!$B$32),1,0)</f>
        <v>0</v>
      </c>
      <c r="EK40" s="23" t="n">
        <f aca="false">IF(AND(BF40=1,INT(N(H40))&lt;=Config!$B$6,DH40=1,EI40=1),1,0)</f>
        <v>0</v>
      </c>
      <c r="EL40" s="23" t="n">
        <f aca="false">IF(AND(BF40=1,INT(N(H40))&lt;=Config!$B$7,DI40=1,EI40=1),1,0)</f>
        <v>0</v>
      </c>
      <c r="EM40" s="23" t="n">
        <f aca="false">IF(AND(BF40=1,INT(N(H40))&lt;=Config!$B$8,DJ40=1,EI40=1),1,0)</f>
        <v>0</v>
      </c>
      <c r="EN40" s="23" t="n">
        <f aca="false">IF(AND(BF40=1,INT(N(H40))&lt;=Config!$B$5,DK40=1,EI40=1),1,0)</f>
        <v>0</v>
      </c>
      <c r="EO40" s="23" t="n">
        <f aca="false">IF(AND(DL40=1,EJ40=1),1,0)</f>
        <v>0</v>
      </c>
      <c r="EP40" s="23" t="n">
        <f aca="false">IF(AND(DM40=1,EJ40=1),1,0)</f>
        <v>0</v>
      </c>
      <c r="EQ40" s="23" t="n">
        <f aca="false">IF(AND(DN40=1,EJ40=1),1,0)</f>
        <v>0</v>
      </c>
      <c r="ER40" s="23" t="n">
        <f aca="false">IF(AND(DO40=1,EJ40=1),1,0)</f>
        <v>0</v>
      </c>
    </row>
    <row r="41" customFormat="false" ht="15" hidden="false" customHeight="false" outlineLevel="0" collapsed="false">
      <c r="G41" s="32"/>
      <c r="H41" s="33"/>
      <c r="I41" s="32"/>
      <c r="L41" s="32"/>
      <c r="Q41" s="32"/>
      <c r="U41" s="32"/>
      <c r="W41" s="32"/>
      <c r="AC41" s="32"/>
      <c r="AF41" s="32"/>
      <c r="AI41" s="32"/>
      <c r="AJ41" s="32"/>
      <c r="AN41" s="32"/>
      <c r="AR41" s="32"/>
      <c r="AT41" s="32"/>
      <c r="AU41" s="32"/>
      <c r="AW41" s="32"/>
      <c r="AY41" s="34" t="str">
        <f aca="false">IF(TRIM($A41)="","",IF(AND(LEFT($A41,6)="SAMPLE",Config!$B$19&lt;&gt;"Y"),"",IF(NOT(ISNUMBER(H41)),"call_date is blank or not a date",IF(Sync!$C$5="","Clay paste is empty or has no row_id column: paste the Clay export on Clay_Offices",IF(CW41="","row_id not found in the Clay paste: add the Clay row or fix the row_id",IF(AND(ISNUMBER(CY41),CY41&gt;=1,CY41&lt;=5),"Clay status is "&amp;CX41&amp;": set call_done or later",IF(AND(BD41=1,CZ41&lt;&gt;BZ41),"Clay yes_in_principle should be "&amp;BZ41,IF(AND(BD41=1,DA41&lt;&gt;H41),"Clay call_date should be "&amp;TEXT(H41,"yyyy-mm-dd"),""))))))))</f>
        <v/>
      </c>
      <c r="AZ41" s="23" t="str">
        <f aca="false">IF(TRIM($A41)="","",IF(TRIM(C41)&lt;&gt;"",SUBSTITUTE(SUBSTITUTE(SUBSTITUTE(SUBSTITUTE(SUBSTITUTE(SUBSTITUTE(LOWER(TRIM(C41)),"~",""),"*",""),"?",""),"&lt;",""),"&gt;",""),"=",""),IF(EA41&lt;&gt;"",EA41,IFERROR(INDEX($EA$2:$EA$201,MATCH(DZ41,$EB$2:$EB$201,0)),DZ41))))</f>
        <v/>
      </c>
      <c r="BA41" s="23" t="n">
        <f aca="false">ROW()</f>
        <v>41</v>
      </c>
      <c r="BB41" s="23" t="n">
        <f aca="false">IF(AND(TRIM($A41)&lt;&gt;"",ISNUMBER(H41)),IF(AND(LEFT($A41,6)="SAMPLE",Config!$B$19&lt;&gt;"Y"),0,1),0)</f>
        <v>0</v>
      </c>
      <c r="BC41" s="23" t="n">
        <f aca="false">IF(BB41=1,IF(COUNTIFS($AZ$2:$AZ$201,AZ41,$BB$2:$BB$201,1,$H$2:$H$201,"&lt;"&amp;H41)+COUNTIFS($AZ$2:$AZ$201,AZ41,$BB$2:$BB$201,1,$H$2:$H$201,H41,$BA$2:$BA$201,"&lt;"&amp;BA41)=0,1,0),0)</f>
        <v>0</v>
      </c>
      <c r="BD41" s="23" t="n">
        <f aca="false">IF(BB41=1,IF(COUNTIFS($A$2:$A$201,$A41,$BB$2:$BB$201,1,$H$2:$H$201,"&gt;"&amp;H41)+COUNTIFS($A$2:$A$201,$A41,$BB$2:$BB$201,1,$H$2:$H$201,H41,$BA$2:$BA$201,"&gt;"&amp;BA41)=0,1,0),0)</f>
        <v>0</v>
      </c>
      <c r="BE41" s="23" t="n">
        <f aca="false">IF(AND(BB41=1,AR41="Y",AC41="Y",TRIM(AH41)&lt;&gt;""),1,0)</f>
        <v>0</v>
      </c>
      <c r="BF41" s="23" t="n">
        <f aca="false">IF(BE41=1,IF(COUNTIFS($AZ$2:$AZ$201,AZ41,$BE$2:$BE$201,1,$H$2:$H$201,"&lt;"&amp;H41)+COUNTIFS($AZ$2:$AZ$201,AZ41,$BE$2:$BE$201,1,$H$2:$H$201,H41,$BA$2:$BA$201,"&lt;"&amp;BA41)=0,1,0),0)</f>
        <v>0</v>
      </c>
      <c r="BG41" s="23" t="n">
        <f aca="false">IF(AND(BB41=1,AR41="Y",BE41=0),1,0)</f>
        <v>0</v>
      </c>
      <c r="BH41" s="23" t="n">
        <f aca="false">IF(AND(BB41=1,ISNUMBER(Y41)),1,0)</f>
        <v>0</v>
      </c>
      <c r="BI41" s="23" t="n">
        <f aca="false">IF(BH41=1,IF(COUNTIFS($AZ$2:$AZ$201,AZ41,$BH$2:$BH$201,1,$H$2:$H$201,"&lt;"&amp;H41)+COUNTIFS($AZ$2:$AZ$201,AZ41,$BH$2:$BH$201,1,$H$2:$H$201,H41,$BA$2:$BA$201,"&lt;"&amp;BA41)=0,1,0),0)</f>
        <v>0</v>
      </c>
      <c r="BJ41" s="23" t="str">
        <f aca="false">IF(AND(BI41=1,INT(N(H41))&lt;=Config!$B$6),Y41,"")</f>
        <v/>
      </c>
      <c r="BK41" s="23" t="str">
        <f aca="false">IF(AND(BI41=1,INT(N(H41))&lt;=Config!$B$7),Y41,"")</f>
        <v/>
      </c>
      <c r="BL41" s="23" t="str">
        <f aca="false">IF(AND(BI41=1,INT(N(H41))&lt;=Config!$B$8),Y41,"")</f>
        <v/>
      </c>
      <c r="BM41" s="23" t="str">
        <f aca="false">IF(AND(BI41=1,INT(N(H41))&lt;=Config!$B$5),Y41,"")</f>
        <v/>
      </c>
      <c r="BN41" s="23" t="n">
        <f aca="false">IF(CD41=1,IF(COUNTIFS($AZ$2:$AZ$201,AZ41,$CD$2:$CD$201,1,$H$2:$H$201,"&lt;"&amp;H41)+COUNTIFS($AZ$2:$AZ$201,AZ41,$CD$2:$CD$201,1,$H$2:$H$201,H41,$BA$2:$BA$201,"&lt;"&amp;BA41)=0,1,0),0)</f>
        <v>0</v>
      </c>
      <c r="BO41" s="23" t="n">
        <f aca="false">IF(AND(BB41=1,ISNUMBER(M41)),1,0)</f>
        <v>0</v>
      </c>
      <c r="BP41" s="23" t="n">
        <f aca="false">IF(BO41=1,IF(COUNTIFS($AZ$2:$AZ$201,AZ41,$BO$2:$BO$201,1,$H$2:$H$201,"&lt;"&amp;H41)+COUNTIFS($AZ$2:$AZ$201,AZ41,$BO$2:$BO$201,1,$H$2:$H$201,H41,$BA$2:$BA$201,"&lt;"&amp;BA41)=0,1,0),0)</f>
        <v>0</v>
      </c>
      <c r="BQ41" s="23" t="str">
        <f aca="false">IF(AND(BP41=1,INT(N(H41))&lt;=Config!$B$5),M41,"")</f>
        <v/>
      </c>
      <c r="BR41" s="23" t="n">
        <f aca="false">IF(AND(BB41=1,OR(TRIM(X41)&lt;&gt;"",ISNUMBER(Y41))),1,0)</f>
        <v>0</v>
      </c>
      <c r="BS41" s="23" t="n">
        <f aca="false">IF(BR41=1,IF(COUNTIFS($AZ$2:$AZ$201,AZ41,$BR$2:$BR$201,1,$H$2:$H$201,"&lt;"&amp;H41)+COUNTIFS($AZ$2:$AZ$201,AZ41,$BR$2:$BR$201,1,$H$2:$H$201,H41,$BA$2:$BA$201,"&lt;"&amp;BA41)=0,1,0),0)</f>
        <v>0</v>
      </c>
      <c r="BT41" s="23" t="str">
        <f aca="false">IF(BS41=1,AZ41,"")</f>
        <v/>
      </c>
      <c r="BU41" s="23" t="n">
        <f aca="false">IF(AND(BB41=1,W41="Y",TRIM(X41)=""),1,0)</f>
        <v>0</v>
      </c>
      <c r="BV41" s="23" t="str">
        <f aca="false">IF(BB41=1,AN41&amp;"","")</f>
        <v/>
      </c>
      <c r="BW41" s="23" t="str">
        <f aca="false">IF(BB41=1,AO41&amp;"","")</f>
        <v/>
      </c>
      <c r="BX41" s="23" t="str">
        <f aca="false">IF(BB41=1,AP41&amp;"","")</f>
        <v/>
      </c>
      <c r="BY41" s="23" t="str">
        <f aca="false">IF(AND(BB41=1,ISNUMBER(AV41),INT(N(H41))&lt;=Config!$B$5),AV41,"")</f>
        <v/>
      </c>
      <c r="BZ41" s="23" t="str">
        <f aca="false">IF(BB41=1,IF(COUNTIFS($A$2:$A$201,$A41,$DC$2:$DC$201,1,$AR$2:$AR$201,"Y")&gt;0,"Y","N"),"")</f>
        <v/>
      </c>
      <c r="CA41" s="23" t="n">
        <f aca="false">IF(AND(BB41=1,AR41="maybe"),1,0)</f>
        <v>0</v>
      </c>
      <c r="CB41" s="23" t="n">
        <f aca="false">IF(CA41=1,IF(COUNTIFS($AZ$2:$AZ$201,AZ41,$CA$2:$CA$201,1,$H$2:$H$201,"&lt;"&amp;H41)+COUNTIFS($AZ$2:$AZ$201,AZ41,$CA$2:$CA$201,1,$H$2:$H$201,H41,$BA$2:$BA$201,"&lt;"&amp;BA41)=0,1,0),0)</f>
        <v>0</v>
      </c>
      <c r="CC41" s="23" t="n">
        <f aca="false">IF(AND(BB41=1,AR41="Y"),IF(COUNTIFS($AZ$2:$AZ$201,AZ41,$AR$2:$AR$201,"Y",$BB$2:$BB$201,1,$H$2:$H$201,"&lt;"&amp;H41)+COUNTIFS($AZ$2:$AZ$201,AZ41,$AR$2:$AR$201,"Y",$BB$2:$BB$201,1,$H$2:$H$201,H41,$BA$2:$BA$201,"&lt;"&amp;BA41)=0,1,0),0)</f>
        <v>0</v>
      </c>
      <c r="CD41" s="23" t="n">
        <f aca="false">IF(AND(BH41=1,N(Y41)&gt;=Config!$B$15),1,0)</f>
        <v>0</v>
      </c>
      <c r="CE41" s="23" t="n">
        <f aca="false">IF(AND(BB41=1,AT41="Y"),1,0)</f>
        <v>0</v>
      </c>
      <c r="CF41" s="23" t="n">
        <f aca="false">IF(CE41=1,IF(COUNTIFS($AZ$2:$AZ$201,AZ41,$CE$2:$CE$201,1,$H$2:$H$201,"&lt;"&amp;H41)+COUNTIFS($AZ$2:$AZ$201,AZ41,$CE$2:$CE$201,1,$H$2:$H$201,H41,$BA$2:$BA$201,"&lt;"&amp;BA41)=0,1,0),0)</f>
        <v>0</v>
      </c>
      <c r="CG41" s="23" t="n">
        <f aca="false">IF(AND(BB41=1,G41="warm-intro"),1,0)</f>
        <v>0</v>
      </c>
      <c r="CH41" s="23" t="n">
        <f aca="false">IF(CG41=1,IF(COUNTIFS($AZ$2:$AZ$201,AZ41,$CG$2:$CG$201,1,$H$2:$H$201,"&lt;"&amp;H41)+COUNTIFS($AZ$2:$AZ$201,AZ41,$CG$2:$CG$201,1,$H$2:$H$201,H41,$BA$2:$BA$201,"&lt;"&amp;BA41)=0,1,0),0)</f>
        <v>0</v>
      </c>
      <c r="CI41" s="23" t="n">
        <f aca="false">IF(AND(BB41=1,Q41="Y"),1,0)</f>
        <v>0</v>
      </c>
      <c r="CJ41" s="23" t="n">
        <f aca="false">IF(CI41=1,IF(COUNTIFS($AZ$2:$AZ$201,AZ41,$CI$2:$CI$201,1,$H$2:$H$201,"&lt;"&amp;H41)+COUNTIFS($AZ$2:$AZ$201,AZ41,$CI$2:$CI$201,1,$H$2:$H$201,H41,$BA$2:$BA$201,"&lt;"&amp;BA41)=0,1,0),0)</f>
        <v>0</v>
      </c>
      <c r="CK41" s="23" t="n">
        <f aca="false">IF(AND(BB41=1,AF41="Y"),1,0)</f>
        <v>0</v>
      </c>
      <c r="CL41" s="23" t="n">
        <f aca="false">IF(CK41=1,IF(COUNTIFS($AZ$2:$AZ$201,AZ41,$CK$2:$CK$201,1,$H$2:$H$201,"&lt;"&amp;H41)+COUNTIFS($AZ$2:$AZ$201,AZ41,$CK$2:$CK$201,1,$H$2:$H$201,H41,$BA$2:$BA$201,"&lt;"&amp;BA41)=0,1,0),0)</f>
        <v>0</v>
      </c>
      <c r="CM41" s="23" t="n">
        <f aca="false">IF(AND(BB41=1,U41="Y"),1,0)</f>
        <v>0</v>
      </c>
      <c r="CN41" s="23" t="n">
        <f aca="false">IF(CM41=1,IF(COUNTIFS($AZ$2:$AZ$201,AZ41,$CM$2:$CM$201,1,$H$2:$H$201,"&lt;"&amp;H41)+COUNTIFS($AZ$2:$AZ$201,AZ41,$CM$2:$CM$201,1,$H$2:$H$201,H41,$BA$2:$BA$201,"&lt;"&amp;BA41)=0,1,0),0)</f>
        <v>0</v>
      </c>
      <c r="CO41" s="23" t="n">
        <f aca="false">IF(AND(BB41=1,L41="Y"),1,0)</f>
        <v>0</v>
      </c>
      <c r="CP41" s="23" t="n">
        <f aca="false">IF(CO41=1,IF(COUNTIFS($AZ$2:$AZ$201,AZ41,$CO$2:$CO$201,1,$H$2:$H$201,"&lt;"&amp;H41)+COUNTIFS($AZ$2:$AZ$201,AZ41,$CO$2:$CO$201,1,$H$2:$H$201,H41,$BA$2:$BA$201,"&lt;"&amp;BA41)=0,1,0),0)</f>
        <v>0</v>
      </c>
      <c r="CQ41" s="23" t="n">
        <f aca="false">IF(AND(BB41=1,ISNUMBER(O41)),1,0)</f>
        <v>0</v>
      </c>
      <c r="CR41" s="23" t="n">
        <f aca="false">IF(CQ41=1,IF(COUNTIFS($AZ$2:$AZ$201,AZ41,$CQ$2:$CQ$201,1,$H$2:$H$201,"&lt;"&amp;H41)+COUNTIFS($AZ$2:$AZ$201,AZ41,$CQ$2:$CQ$201,1,$H$2:$H$201,H41,$BA$2:$BA$201,"&lt;"&amp;BA41)=0,1,0),0)</f>
        <v>0</v>
      </c>
      <c r="CS41" s="23" t="str">
        <f aca="false">IF(AND(CR41=1,INT(N(H41))&lt;=Config!$B$5),O41,"")</f>
        <v/>
      </c>
      <c r="CT41" s="23" t="str">
        <f aca="false">IF(AND(BB41=1,INT(N(H41))&lt;=Config!$B$5),AG41&amp;"","")</f>
        <v/>
      </c>
      <c r="CU41" s="23" t="n">
        <f aca="false">IF(AND(BB41=1,AU41="Y"),1,0)</f>
        <v>0</v>
      </c>
      <c r="CV41" s="23" t="n">
        <f aca="false">IF(CU41=1,IF(COUNTIFS($AZ$2:$AZ$201,AZ41,$CU$2:$CU$201,1,$H$2:$H$201,"&lt;"&amp;H41)+COUNTIFS($AZ$2:$AZ$201,AZ41,$CU$2:$CU$201,1,$H$2:$H$201,H41,$BA$2:$BA$201,"&lt;"&amp;BA41)=0,1,0),0)</f>
        <v>0</v>
      </c>
      <c r="CW41" s="23" t="str">
        <f aca="false">IF(BB41=1,IFERROR(MATCH($A41,INDEX(Clay_Offices!$A$2:$FZ$601,0,Sync!$C$5),0),""),"")</f>
        <v/>
      </c>
      <c r="CX41" s="23" t="str">
        <f aca="false">IF(CW41="","",IFERROR(INDEX(Clay_Offices!$A$2:$FZ$601,CW41,Sync!$C$7)&amp;"",""))</f>
        <v/>
      </c>
      <c r="CY41" s="23" t="str">
        <f aca="false">IF(CX41="","",IFERROR(INDEX(Lists!$K$2:$K$15,MATCH(CX41,Lists!$J$2:$J$15,0)),""))</f>
        <v/>
      </c>
      <c r="CZ41" s="23" t="str">
        <f aca="false">IF(CW41="","",IFERROR(INDEX(Clay_Offices!$A$2:$FZ$601,CW41,Sync!$C$17)&amp;"",""))</f>
        <v/>
      </c>
      <c r="DA41" s="35" t="str">
        <f aca="false">IF(CW41="","",IFERROR(N(INDEX(Clay_Offices!$A$2:$FZ$601,CW41,Sync!$C$16)),0))</f>
        <v/>
      </c>
      <c r="DB41" s="23" t="n">
        <f aca="false">IF(AND(BB41=1,OR(AR41="Y",AR41="N",AR41="maybe")),1,0)</f>
        <v>0</v>
      </c>
      <c r="DC41" s="23" t="n">
        <f aca="false">IF(AND(DB41=1),IF(COUNTIFS($A$2:$A$201,$A41,$DB$2:$DB$201,1,$H$2:$H$201,"&gt;"&amp;H41)+COUNTIFS($A$2:$A$201,$A41,$DB$2:$DB$201,1,$H$2:$H$201,H41,$BA$2:$BA$201,"&gt;"&amp;BA41)=0,1,0),0)</f>
        <v>0</v>
      </c>
      <c r="DD41" s="23" t="n">
        <f aca="false">IF(AND(DB41=1,INT(N(H41))&lt;=Config!$B$6),IF(COUNTIFS($AZ$2:$AZ$201,AZ41,$DB$2:$DB$201,1,$H$2:$H$201,"&gt;"&amp;H41,$H$2:$H$201,"&lt;"&amp;(Config!$B$6+1))+COUNTIFS($AZ$2:$AZ$201,AZ41,$DB$2:$DB$201,1,$H$2:$H$201,H41,$BA$2:$BA$201,"&gt;"&amp;BA41)=0,1,0),0)</f>
        <v>0</v>
      </c>
      <c r="DE41" s="23" t="n">
        <f aca="false">IF(AND(DB41=1,INT(N(H41))&lt;=Config!$B$7),IF(COUNTIFS($AZ$2:$AZ$201,AZ41,$DB$2:$DB$201,1,$H$2:$H$201,"&gt;"&amp;H41,$H$2:$H$201,"&lt;"&amp;(Config!$B$7+1))+COUNTIFS($AZ$2:$AZ$201,AZ41,$DB$2:$DB$201,1,$H$2:$H$201,H41,$BA$2:$BA$201,"&gt;"&amp;BA41)=0,1,0),0)</f>
        <v>0</v>
      </c>
      <c r="DF41" s="23" t="n">
        <f aca="false">IF(AND(DB41=1,INT(N(H41))&lt;=Config!$B$8),IF(COUNTIFS($AZ$2:$AZ$201,AZ41,$DB$2:$DB$201,1,$H$2:$H$201,"&gt;"&amp;H41,$H$2:$H$201,"&lt;"&amp;(Config!$B$8+1))+COUNTIFS($AZ$2:$AZ$201,AZ41,$DB$2:$DB$201,1,$H$2:$H$201,H41,$BA$2:$BA$201,"&gt;"&amp;BA41)=0,1,0),0)</f>
        <v>0</v>
      </c>
      <c r="DG41" s="23" t="n">
        <f aca="false">IF(AND(DB41=1,INT(N(H41))&lt;=Config!$B$5),IF(COUNTIFS($AZ$2:$AZ$201,AZ41,$DB$2:$DB$201,1,$H$2:$H$201,"&gt;"&amp;H41,$H$2:$H$201,"&lt;"&amp;(Config!$B$5+1))+COUNTIFS($AZ$2:$AZ$201,AZ41,$DB$2:$DB$201,1,$H$2:$H$201,H41,$BA$2:$BA$201,"&gt;"&amp;BA41)=0,1,0),0)</f>
        <v>0</v>
      </c>
      <c r="DH41" s="23" t="n">
        <f aca="false">IF(BB41=1,IF(COUNTIFS($AZ$2:$AZ$201,AZ41,$DD$2:$DD$201,1,$AR$2:$AR$201,"Y")&gt;0,1,0),0)</f>
        <v>0</v>
      </c>
      <c r="DI41" s="23" t="n">
        <f aca="false">IF(BB41=1,IF(COUNTIFS($AZ$2:$AZ$201,AZ41,$DE$2:$DE$201,1,$AR$2:$AR$201,"Y")&gt;0,1,0),0)</f>
        <v>0</v>
      </c>
      <c r="DJ41" s="23" t="n">
        <f aca="false">IF(BB41=1,IF(COUNTIFS($AZ$2:$AZ$201,AZ41,$DF$2:$DF$201,1,$AR$2:$AR$201,"Y")&gt;0,1,0),0)</f>
        <v>0</v>
      </c>
      <c r="DK41" s="23" t="n">
        <f aca="false">IF(BB41=1,IF(COUNTIFS($AZ$2:$AZ$201,AZ41,$DG$2:$DG$201,1,$AR$2:$AR$201,"Y")&gt;0,1,0),0)</f>
        <v>0</v>
      </c>
      <c r="DL41" s="23" t="n">
        <f aca="false">IF(AND(BF41=1,INT(N(H41))&lt;=Config!$B$6,DH41=1,EI41=0),1,0)</f>
        <v>0</v>
      </c>
      <c r="DM41" s="23" t="n">
        <f aca="false">IF(AND(BF41=1,INT(N(H41))&lt;=Config!$B$7,DI41=1,EI41=0),1,0)</f>
        <v>0</v>
      </c>
      <c r="DN41" s="23" t="n">
        <f aca="false">IF(AND(BF41=1,INT(N(H41))&lt;=Config!$B$8,DJ41=1,EI41=0),1,0)</f>
        <v>0</v>
      </c>
      <c r="DO41" s="23" t="n">
        <f aca="false">IF(AND(BF41=1,INT(N(H41))&lt;=Config!$B$5,DK41=1,EI41=0),1,0)</f>
        <v>0</v>
      </c>
      <c r="DP41" s="23" t="n">
        <f aca="false">IF(AND(CC41=1,INT(N(H41))&lt;=Config!$B$6,DH41=1,EI41=0),1,0)</f>
        <v>0</v>
      </c>
      <c r="DQ41" s="23" t="n">
        <f aca="false">IF(AND(CC41=1,INT(N(H41))&lt;=Config!$B$7,DI41=1,EI41=0),1,0)</f>
        <v>0</v>
      </c>
      <c r="DR41" s="23" t="n">
        <f aca="false">IF(AND(CC41=1,INT(N(H41))&lt;=Config!$B$8,DJ41=1,EI41=0),1,0)</f>
        <v>0</v>
      </c>
      <c r="DS41" s="23" t="n">
        <f aca="false">IF(AND(CC41=1,INT(N(H41))&lt;=Config!$B$5,DK41=1,EI41=0),1,0)</f>
        <v>0</v>
      </c>
      <c r="DT41" s="23" t="n">
        <f aca="false">IF(AND(CC41=1,INT(N(H41))&lt;=Config!$B$6,DH41=0),1,0)</f>
        <v>0</v>
      </c>
      <c r="DU41" s="23" t="n">
        <f aca="false">IF(AND(CC41=1,INT(N(H41))&lt;=Config!$B$7,DI41=0),1,0)</f>
        <v>0</v>
      </c>
      <c r="DV41" s="23" t="n">
        <f aca="false">IF(AND(CC41=1,INT(N(H41))&lt;=Config!$B$8,DJ41=0),1,0)</f>
        <v>0</v>
      </c>
      <c r="DW41" s="23" t="n">
        <f aca="false">IF(AND(CC41=1,INT(N(H41))&lt;=Config!$B$5,DK41=0),1,0)</f>
        <v>0</v>
      </c>
      <c r="DX41" s="23" t="n">
        <f aca="false">IF(TRIM($A41)="",0,ISTEXT(M41)+ISTEXT(O41)+ISTEXT(Y41)+ISTEXT(Z41)+ISTEXT(AA41)+ISTEXT(AV41))</f>
        <v>0</v>
      </c>
      <c r="DY41" s="23" t="n">
        <f aca="false">IF(BB41=1,IF(H41&lt;&gt;INT(H41),1,0),0)</f>
        <v>0</v>
      </c>
      <c r="DZ41" s="23" t="str">
        <f aca="false">IF(TRIM($A41)="","",IF(TRIM(B41)="",SUBSTITUTE(SUBSTITUTE(SUBSTITUTE(SUBSTITUTE(SUBSTITUTE(SUBSTITUTE(LOWER(TRIM($A41)),"~",""),"*",""),"?",""),"&lt;",""),"&gt;",""),"=",""),SUBSTITUTE(SUBSTITUTE(SUBSTITUTE(SUBSTITUTE(SUBSTITUTE(SUBSTITUTE(LOWER(TRIM(B41)),"~",""),"*",""),"?",""),"&lt;",""),"&gt;",""),"=","")))</f>
        <v/>
      </c>
      <c r="EA41" s="23" t="str">
        <f aca="false">IF(CW41="","",IFERROR(IF(LEFT(LOWER(TRIM(INDEX(Clay_Offices!$A$2:$FZ$601,CW41,Sync!$C$19)&amp;"")),4)="grp-",SUBSTITUTE(SUBSTITUTE(SUBSTITUTE(SUBSTITUTE(SUBSTITUTE(SUBSTITUTE(LOWER(TRIM(INDEX(Clay_Offices!$A$2:$FZ$601,CW41,Sync!$C$19)&amp;"")),"~",""),"*",""),"?",""),"&lt;",""),"&gt;",""),"=",""),""),""))</f>
        <v/>
      </c>
      <c r="EB41" s="23" t="str">
        <f aca="false">IF(EA41&lt;&gt;"",DZ41,"")</f>
        <v/>
      </c>
      <c r="EC41" s="23" t="str">
        <f aca="false">IF(BC41=1,AZ41,"")</f>
        <v/>
      </c>
      <c r="ED41" s="23" t="str">
        <f aca="false">IF(TRIM($A41)="","",IFERROR(INDEX($A$2:$A$201,MATCH(AZ41,$EC$2:$EC$201,0))&amp;"",$A41&amp;""))</f>
        <v/>
      </c>
      <c r="EE41" s="23" t="n">
        <f aca="false">IF(BB41=1,IF(COUNTIFS($A$2:$A$201,$A41,$BB$2:$BB$201,1,$H$2:$H$201,"&lt;"&amp;H41)+COUNTIFS($A$2:$A$201,$A41,$BB$2:$BB$201,1,$H$2:$H$201,H41,$BA$2:$BA$201,"&lt;"&amp;BA41)=0,1,0),0)</f>
        <v>0</v>
      </c>
      <c r="EF41" s="23" t="n">
        <f aca="false">IF(BC41=1,IF(COUNTIFS($AZ$2:$AZ$201,AZ41,$EE$2:$EE$201,1)&gt;1,1,0),0)</f>
        <v>0</v>
      </c>
      <c r="EG41" s="23" t="n">
        <f aca="false">IF(AND(CQ41=1),IF(COUNTIFS($AZ$2:$AZ$201,AZ41,$CQ$2:$CQ$201,1,$H$2:$H$201,"&gt;"&amp;H41)+COUNTIFS($AZ$2:$AZ$201,AZ41,$CQ$2:$CQ$201,1,$H$2:$H$201,H41,$BA$2:$BA$201,"&gt;"&amp;BA41)=0,1,0),0)</f>
        <v>0</v>
      </c>
      <c r="EH41" s="23" t="str">
        <f aca="false">IF(BB41=1,IF(COUNTIFS($AZ$2:$AZ$201,AZ41,$EG$2:$EG$201,1)=0,"",SUMIFS($O$2:$O$201,$AZ$2:$AZ$201,AZ41,$EG$2:$EG$201,1)),"")</f>
        <v/>
      </c>
      <c r="EI41" s="23" t="n">
        <f aca="false">IF(AND(ISNUMBER(EH41),OR(N(EH41)&lt;Config!$B$31,N(EH41)&gt;Config!$B$33)),1,0)</f>
        <v>0</v>
      </c>
      <c r="EJ41" s="23" t="n">
        <f aca="false">IF(AND(ISNUMBER(EH41),N(EH41)&gt;=Config!$B$31,N(EH41)&lt;Config!$B$32),1,0)</f>
        <v>0</v>
      </c>
      <c r="EK41" s="23" t="n">
        <f aca="false">IF(AND(BF41=1,INT(N(H41))&lt;=Config!$B$6,DH41=1,EI41=1),1,0)</f>
        <v>0</v>
      </c>
      <c r="EL41" s="23" t="n">
        <f aca="false">IF(AND(BF41=1,INT(N(H41))&lt;=Config!$B$7,DI41=1,EI41=1),1,0)</f>
        <v>0</v>
      </c>
      <c r="EM41" s="23" t="n">
        <f aca="false">IF(AND(BF41=1,INT(N(H41))&lt;=Config!$B$8,DJ41=1,EI41=1),1,0)</f>
        <v>0</v>
      </c>
      <c r="EN41" s="23" t="n">
        <f aca="false">IF(AND(BF41=1,INT(N(H41))&lt;=Config!$B$5,DK41=1,EI41=1),1,0)</f>
        <v>0</v>
      </c>
      <c r="EO41" s="23" t="n">
        <f aca="false">IF(AND(DL41=1,EJ41=1),1,0)</f>
        <v>0</v>
      </c>
      <c r="EP41" s="23" t="n">
        <f aca="false">IF(AND(DM41=1,EJ41=1),1,0)</f>
        <v>0</v>
      </c>
      <c r="EQ41" s="23" t="n">
        <f aca="false">IF(AND(DN41=1,EJ41=1),1,0)</f>
        <v>0</v>
      </c>
      <c r="ER41" s="23" t="n">
        <f aca="false">IF(AND(DO41=1,EJ41=1),1,0)</f>
        <v>0</v>
      </c>
    </row>
    <row r="42" customFormat="false" ht="15" hidden="false" customHeight="false" outlineLevel="0" collapsed="false">
      <c r="G42" s="32"/>
      <c r="H42" s="33"/>
      <c r="I42" s="32"/>
      <c r="L42" s="32"/>
      <c r="Q42" s="32"/>
      <c r="U42" s="32"/>
      <c r="W42" s="32"/>
      <c r="AC42" s="32"/>
      <c r="AF42" s="32"/>
      <c r="AI42" s="32"/>
      <c r="AJ42" s="32"/>
      <c r="AN42" s="32"/>
      <c r="AR42" s="32"/>
      <c r="AT42" s="32"/>
      <c r="AU42" s="32"/>
      <c r="AW42" s="32"/>
      <c r="AY42" s="34" t="str">
        <f aca="false">IF(TRIM($A42)="","",IF(AND(LEFT($A42,6)="SAMPLE",Config!$B$19&lt;&gt;"Y"),"",IF(NOT(ISNUMBER(H42)),"call_date is blank or not a date",IF(Sync!$C$5="","Clay paste is empty or has no row_id column: paste the Clay export on Clay_Offices",IF(CW42="","row_id not found in the Clay paste: add the Clay row or fix the row_id",IF(AND(ISNUMBER(CY42),CY42&gt;=1,CY42&lt;=5),"Clay status is "&amp;CX42&amp;": set call_done or later",IF(AND(BD42=1,CZ42&lt;&gt;BZ42),"Clay yes_in_principle should be "&amp;BZ42,IF(AND(BD42=1,DA42&lt;&gt;H42),"Clay call_date should be "&amp;TEXT(H42,"yyyy-mm-dd"),""))))))))</f>
        <v/>
      </c>
      <c r="AZ42" s="23" t="str">
        <f aca="false">IF(TRIM($A42)="","",IF(TRIM(C42)&lt;&gt;"",SUBSTITUTE(SUBSTITUTE(SUBSTITUTE(SUBSTITUTE(SUBSTITUTE(SUBSTITUTE(LOWER(TRIM(C42)),"~",""),"*",""),"?",""),"&lt;",""),"&gt;",""),"=",""),IF(EA42&lt;&gt;"",EA42,IFERROR(INDEX($EA$2:$EA$201,MATCH(DZ42,$EB$2:$EB$201,0)),DZ42))))</f>
        <v/>
      </c>
      <c r="BA42" s="23" t="n">
        <f aca="false">ROW()</f>
        <v>42</v>
      </c>
      <c r="BB42" s="23" t="n">
        <f aca="false">IF(AND(TRIM($A42)&lt;&gt;"",ISNUMBER(H42)),IF(AND(LEFT($A42,6)="SAMPLE",Config!$B$19&lt;&gt;"Y"),0,1),0)</f>
        <v>0</v>
      </c>
      <c r="BC42" s="23" t="n">
        <f aca="false">IF(BB42=1,IF(COUNTIFS($AZ$2:$AZ$201,AZ42,$BB$2:$BB$201,1,$H$2:$H$201,"&lt;"&amp;H42)+COUNTIFS($AZ$2:$AZ$201,AZ42,$BB$2:$BB$201,1,$H$2:$H$201,H42,$BA$2:$BA$201,"&lt;"&amp;BA42)=0,1,0),0)</f>
        <v>0</v>
      </c>
      <c r="BD42" s="23" t="n">
        <f aca="false">IF(BB42=1,IF(COUNTIFS($A$2:$A$201,$A42,$BB$2:$BB$201,1,$H$2:$H$201,"&gt;"&amp;H42)+COUNTIFS($A$2:$A$201,$A42,$BB$2:$BB$201,1,$H$2:$H$201,H42,$BA$2:$BA$201,"&gt;"&amp;BA42)=0,1,0),0)</f>
        <v>0</v>
      </c>
      <c r="BE42" s="23" t="n">
        <f aca="false">IF(AND(BB42=1,AR42="Y",AC42="Y",TRIM(AH42)&lt;&gt;""),1,0)</f>
        <v>0</v>
      </c>
      <c r="BF42" s="23" t="n">
        <f aca="false">IF(BE42=1,IF(COUNTIFS($AZ$2:$AZ$201,AZ42,$BE$2:$BE$201,1,$H$2:$H$201,"&lt;"&amp;H42)+COUNTIFS($AZ$2:$AZ$201,AZ42,$BE$2:$BE$201,1,$H$2:$H$201,H42,$BA$2:$BA$201,"&lt;"&amp;BA42)=0,1,0),0)</f>
        <v>0</v>
      </c>
      <c r="BG42" s="23" t="n">
        <f aca="false">IF(AND(BB42=1,AR42="Y",BE42=0),1,0)</f>
        <v>0</v>
      </c>
      <c r="BH42" s="23" t="n">
        <f aca="false">IF(AND(BB42=1,ISNUMBER(Y42)),1,0)</f>
        <v>0</v>
      </c>
      <c r="BI42" s="23" t="n">
        <f aca="false">IF(BH42=1,IF(COUNTIFS($AZ$2:$AZ$201,AZ42,$BH$2:$BH$201,1,$H$2:$H$201,"&lt;"&amp;H42)+COUNTIFS($AZ$2:$AZ$201,AZ42,$BH$2:$BH$201,1,$H$2:$H$201,H42,$BA$2:$BA$201,"&lt;"&amp;BA42)=0,1,0),0)</f>
        <v>0</v>
      </c>
      <c r="BJ42" s="23" t="str">
        <f aca="false">IF(AND(BI42=1,INT(N(H42))&lt;=Config!$B$6),Y42,"")</f>
        <v/>
      </c>
      <c r="BK42" s="23" t="str">
        <f aca="false">IF(AND(BI42=1,INT(N(H42))&lt;=Config!$B$7),Y42,"")</f>
        <v/>
      </c>
      <c r="BL42" s="23" t="str">
        <f aca="false">IF(AND(BI42=1,INT(N(H42))&lt;=Config!$B$8),Y42,"")</f>
        <v/>
      </c>
      <c r="BM42" s="23" t="str">
        <f aca="false">IF(AND(BI42=1,INT(N(H42))&lt;=Config!$B$5),Y42,"")</f>
        <v/>
      </c>
      <c r="BN42" s="23" t="n">
        <f aca="false">IF(CD42=1,IF(COUNTIFS($AZ$2:$AZ$201,AZ42,$CD$2:$CD$201,1,$H$2:$H$201,"&lt;"&amp;H42)+COUNTIFS($AZ$2:$AZ$201,AZ42,$CD$2:$CD$201,1,$H$2:$H$201,H42,$BA$2:$BA$201,"&lt;"&amp;BA42)=0,1,0),0)</f>
        <v>0</v>
      </c>
      <c r="BO42" s="23" t="n">
        <f aca="false">IF(AND(BB42=1,ISNUMBER(M42)),1,0)</f>
        <v>0</v>
      </c>
      <c r="BP42" s="23" t="n">
        <f aca="false">IF(BO42=1,IF(COUNTIFS($AZ$2:$AZ$201,AZ42,$BO$2:$BO$201,1,$H$2:$H$201,"&lt;"&amp;H42)+COUNTIFS($AZ$2:$AZ$201,AZ42,$BO$2:$BO$201,1,$H$2:$H$201,H42,$BA$2:$BA$201,"&lt;"&amp;BA42)=0,1,0),0)</f>
        <v>0</v>
      </c>
      <c r="BQ42" s="23" t="str">
        <f aca="false">IF(AND(BP42=1,INT(N(H42))&lt;=Config!$B$5),M42,"")</f>
        <v/>
      </c>
      <c r="BR42" s="23" t="n">
        <f aca="false">IF(AND(BB42=1,OR(TRIM(X42)&lt;&gt;"",ISNUMBER(Y42))),1,0)</f>
        <v>0</v>
      </c>
      <c r="BS42" s="23" t="n">
        <f aca="false">IF(BR42=1,IF(COUNTIFS($AZ$2:$AZ$201,AZ42,$BR$2:$BR$201,1,$H$2:$H$201,"&lt;"&amp;H42)+COUNTIFS($AZ$2:$AZ$201,AZ42,$BR$2:$BR$201,1,$H$2:$H$201,H42,$BA$2:$BA$201,"&lt;"&amp;BA42)=0,1,0),0)</f>
        <v>0</v>
      </c>
      <c r="BT42" s="23" t="str">
        <f aca="false">IF(BS42=1,AZ42,"")</f>
        <v/>
      </c>
      <c r="BU42" s="23" t="n">
        <f aca="false">IF(AND(BB42=1,W42="Y",TRIM(X42)=""),1,0)</f>
        <v>0</v>
      </c>
      <c r="BV42" s="23" t="str">
        <f aca="false">IF(BB42=1,AN42&amp;"","")</f>
        <v/>
      </c>
      <c r="BW42" s="23" t="str">
        <f aca="false">IF(BB42=1,AO42&amp;"","")</f>
        <v/>
      </c>
      <c r="BX42" s="23" t="str">
        <f aca="false">IF(BB42=1,AP42&amp;"","")</f>
        <v/>
      </c>
      <c r="BY42" s="23" t="str">
        <f aca="false">IF(AND(BB42=1,ISNUMBER(AV42),INT(N(H42))&lt;=Config!$B$5),AV42,"")</f>
        <v/>
      </c>
      <c r="BZ42" s="23" t="str">
        <f aca="false">IF(BB42=1,IF(COUNTIFS($A$2:$A$201,$A42,$DC$2:$DC$201,1,$AR$2:$AR$201,"Y")&gt;0,"Y","N"),"")</f>
        <v/>
      </c>
      <c r="CA42" s="23" t="n">
        <f aca="false">IF(AND(BB42=1,AR42="maybe"),1,0)</f>
        <v>0</v>
      </c>
      <c r="CB42" s="23" t="n">
        <f aca="false">IF(CA42=1,IF(COUNTIFS($AZ$2:$AZ$201,AZ42,$CA$2:$CA$201,1,$H$2:$H$201,"&lt;"&amp;H42)+COUNTIFS($AZ$2:$AZ$201,AZ42,$CA$2:$CA$201,1,$H$2:$H$201,H42,$BA$2:$BA$201,"&lt;"&amp;BA42)=0,1,0),0)</f>
        <v>0</v>
      </c>
      <c r="CC42" s="23" t="n">
        <f aca="false">IF(AND(BB42=1,AR42="Y"),IF(COUNTIFS($AZ$2:$AZ$201,AZ42,$AR$2:$AR$201,"Y",$BB$2:$BB$201,1,$H$2:$H$201,"&lt;"&amp;H42)+COUNTIFS($AZ$2:$AZ$201,AZ42,$AR$2:$AR$201,"Y",$BB$2:$BB$201,1,$H$2:$H$201,H42,$BA$2:$BA$201,"&lt;"&amp;BA42)=0,1,0),0)</f>
        <v>0</v>
      </c>
      <c r="CD42" s="23" t="n">
        <f aca="false">IF(AND(BH42=1,N(Y42)&gt;=Config!$B$15),1,0)</f>
        <v>0</v>
      </c>
      <c r="CE42" s="23" t="n">
        <f aca="false">IF(AND(BB42=1,AT42="Y"),1,0)</f>
        <v>0</v>
      </c>
      <c r="CF42" s="23" t="n">
        <f aca="false">IF(CE42=1,IF(COUNTIFS($AZ$2:$AZ$201,AZ42,$CE$2:$CE$201,1,$H$2:$H$201,"&lt;"&amp;H42)+COUNTIFS($AZ$2:$AZ$201,AZ42,$CE$2:$CE$201,1,$H$2:$H$201,H42,$BA$2:$BA$201,"&lt;"&amp;BA42)=0,1,0),0)</f>
        <v>0</v>
      </c>
      <c r="CG42" s="23" t="n">
        <f aca="false">IF(AND(BB42=1,G42="warm-intro"),1,0)</f>
        <v>0</v>
      </c>
      <c r="CH42" s="23" t="n">
        <f aca="false">IF(CG42=1,IF(COUNTIFS($AZ$2:$AZ$201,AZ42,$CG$2:$CG$201,1,$H$2:$H$201,"&lt;"&amp;H42)+COUNTIFS($AZ$2:$AZ$201,AZ42,$CG$2:$CG$201,1,$H$2:$H$201,H42,$BA$2:$BA$201,"&lt;"&amp;BA42)=0,1,0),0)</f>
        <v>0</v>
      </c>
      <c r="CI42" s="23" t="n">
        <f aca="false">IF(AND(BB42=1,Q42="Y"),1,0)</f>
        <v>0</v>
      </c>
      <c r="CJ42" s="23" t="n">
        <f aca="false">IF(CI42=1,IF(COUNTIFS($AZ$2:$AZ$201,AZ42,$CI$2:$CI$201,1,$H$2:$H$201,"&lt;"&amp;H42)+COUNTIFS($AZ$2:$AZ$201,AZ42,$CI$2:$CI$201,1,$H$2:$H$201,H42,$BA$2:$BA$201,"&lt;"&amp;BA42)=0,1,0),0)</f>
        <v>0</v>
      </c>
      <c r="CK42" s="23" t="n">
        <f aca="false">IF(AND(BB42=1,AF42="Y"),1,0)</f>
        <v>0</v>
      </c>
      <c r="CL42" s="23" t="n">
        <f aca="false">IF(CK42=1,IF(COUNTIFS($AZ$2:$AZ$201,AZ42,$CK$2:$CK$201,1,$H$2:$H$201,"&lt;"&amp;H42)+COUNTIFS($AZ$2:$AZ$201,AZ42,$CK$2:$CK$201,1,$H$2:$H$201,H42,$BA$2:$BA$201,"&lt;"&amp;BA42)=0,1,0),0)</f>
        <v>0</v>
      </c>
      <c r="CM42" s="23" t="n">
        <f aca="false">IF(AND(BB42=1,U42="Y"),1,0)</f>
        <v>0</v>
      </c>
      <c r="CN42" s="23" t="n">
        <f aca="false">IF(CM42=1,IF(COUNTIFS($AZ$2:$AZ$201,AZ42,$CM$2:$CM$201,1,$H$2:$H$201,"&lt;"&amp;H42)+COUNTIFS($AZ$2:$AZ$201,AZ42,$CM$2:$CM$201,1,$H$2:$H$201,H42,$BA$2:$BA$201,"&lt;"&amp;BA42)=0,1,0),0)</f>
        <v>0</v>
      </c>
      <c r="CO42" s="23" t="n">
        <f aca="false">IF(AND(BB42=1,L42="Y"),1,0)</f>
        <v>0</v>
      </c>
      <c r="CP42" s="23" t="n">
        <f aca="false">IF(CO42=1,IF(COUNTIFS($AZ$2:$AZ$201,AZ42,$CO$2:$CO$201,1,$H$2:$H$201,"&lt;"&amp;H42)+COUNTIFS($AZ$2:$AZ$201,AZ42,$CO$2:$CO$201,1,$H$2:$H$201,H42,$BA$2:$BA$201,"&lt;"&amp;BA42)=0,1,0),0)</f>
        <v>0</v>
      </c>
      <c r="CQ42" s="23" t="n">
        <f aca="false">IF(AND(BB42=1,ISNUMBER(O42)),1,0)</f>
        <v>0</v>
      </c>
      <c r="CR42" s="23" t="n">
        <f aca="false">IF(CQ42=1,IF(COUNTIFS($AZ$2:$AZ$201,AZ42,$CQ$2:$CQ$201,1,$H$2:$H$201,"&lt;"&amp;H42)+COUNTIFS($AZ$2:$AZ$201,AZ42,$CQ$2:$CQ$201,1,$H$2:$H$201,H42,$BA$2:$BA$201,"&lt;"&amp;BA42)=0,1,0),0)</f>
        <v>0</v>
      </c>
      <c r="CS42" s="23" t="str">
        <f aca="false">IF(AND(CR42=1,INT(N(H42))&lt;=Config!$B$5),O42,"")</f>
        <v/>
      </c>
      <c r="CT42" s="23" t="str">
        <f aca="false">IF(AND(BB42=1,INT(N(H42))&lt;=Config!$B$5),AG42&amp;"","")</f>
        <v/>
      </c>
      <c r="CU42" s="23" t="n">
        <f aca="false">IF(AND(BB42=1,AU42="Y"),1,0)</f>
        <v>0</v>
      </c>
      <c r="CV42" s="23" t="n">
        <f aca="false">IF(CU42=1,IF(COUNTIFS($AZ$2:$AZ$201,AZ42,$CU$2:$CU$201,1,$H$2:$H$201,"&lt;"&amp;H42)+COUNTIFS($AZ$2:$AZ$201,AZ42,$CU$2:$CU$201,1,$H$2:$H$201,H42,$BA$2:$BA$201,"&lt;"&amp;BA42)=0,1,0),0)</f>
        <v>0</v>
      </c>
      <c r="CW42" s="23" t="str">
        <f aca="false">IF(BB42=1,IFERROR(MATCH($A42,INDEX(Clay_Offices!$A$2:$FZ$601,0,Sync!$C$5),0),""),"")</f>
        <v/>
      </c>
      <c r="CX42" s="23" t="str">
        <f aca="false">IF(CW42="","",IFERROR(INDEX(Clay_Offices!$A$2:$FZ$601,CW42,Sync!$C$7)&amp;"",""))</f>
        <v/>
      </c>
      <c r="CY42" s="23" t="str">
        <f aca="false">IF(CX42="","",IFERROR(INDEX(Lists!$K$2:$K$15,MATCH(CX42,Lists!$J$2:$J$15,0)),""))</f>
        <v/>
      </c>
      <c r="CZ42" s="23" t="str">
        <f aca="false">IF(CW42="","",IFERROR(INDEX(Clay_Offices!$A$2:$FZ$601,CW42,Sync!$C$17)&amp;"",""))</f>
        <v/>
      </c>
      <c r="DA42" s="35" t="str">
        <f aca="false">IF(CW42="","",IFERROR(N(INDEX(Clay_Offices!$A$2:$FZ$601,CW42,Sync!$C$16)),0))</f>
        <v/>
      </c>
      <c r="DB42" s="23" t="n">
        <f aca="false">IF(AND(BB42=1,OR(AR42="Y",AR42="N",AR42="maybe")),1,0)</f>
        <v>0</v>
      </c>
      <c r="DC42" s="23" t="n">
        <f aca="false">IF(AND(DB42=1),IF(COUNTIFS($A$2:$A$201,$A42,$DB$2:$DB$201,1,$H$2:$H$201,"&gt;"&amp;H42)+COUNTIFS($A$2:$A$201,$A42,$DB$2:$DB$201,1,$H$2:$H$201,H42,$BA$2:$BA$201,"&gt;"&amp;BA42)=0,1,0),0)</f>
        <v>0</v>
      </c>
      <c r="DD42" s="23" t="n">
        <f aca="false">IF(AND(DB42=1,INT(N(H42))&lt;=Config!$B$6),IF(COUNTIFS($AZ$2:$AZ$201,AZ42,$DB$2:$DB$201,1,$H$2:$H$201,"&gt;"&amp;H42,$H$2:$H$201,"&lt;"&amp;(Config!$B$6+1))+COUNTIFS($AZ$2:$AZ$201,AZ42,$DB$2:$DB$201,1,$H$2:$H$201,H42,$BA$2:$BA$201,"&gt;"&amp;BA42)=0,1,0),0)</f>
        <v>0</v>
      </c>
      <c r="DE42" s="23" t="n">
        <f aca="false">IF(AND(DB42=1,INT(N(H42))&lt;=Config!$B$7),IF(COUNTIFS($AZ$2:$AZ$201,AZ42,$DB$2:$DB$201,1,$H$2:$H$201,"&gt;"&amp;H42,$H$2:$H$201,"&lt;"&amp;(Config!$B$7+1))+COUNTIFS($AZ$2:$AZ$201,AZ42,$DB$2:$DB$201,1,$H$2:$H$201,H42,$BA$2:$BA$201,"&gt;"&amp;BA42)=0,1,0),0)</f>
        <v>0</v>
      </c>
      <c r="DF42" s="23" t="n">
        <f aca="false">IF(AND(DB42=1,INT(N(H42))&lt;=Config!$B$8),IF(COUNTIFS($AZ$2:$AZ$201,AZ42,$DB$2:$DB$201,1,$H$2:$H$201,"&gt;"&amp;H42,$H$2:$H$201,"&lt;"&amp;(Config!$B$8+1))+COUNTIFS($AZ$2:$AZ$201,AZ42,$DB$2:$DB$201,1,$H$2:$H$201,H42,$BA$2:$BA$201,"&gt;"&amp;BA42)=0,1,0),0)</f>
        <v>0</v>
      </c>
      <c r="DG42" s="23" t="n">
        <f aca="false">IF(AND(DB42=1,INT(N(H42))&lt;=Config!$B$5),IF(COUNTIFS($AZ$2:$AZ$201,AZ42,$DB$2:$DB$201,1,$H$2:$H$201,"&gt;"&amp;H42,$H$2:$H$201,"&lt;"&amp;(Config!$B$5+1))+COUNTIFS($AZ$2:$AZ$201,AZ42,$DB$2:$DB$201,1,$H$2:$H$201,H42,$BA$2:$BA$201,"&gt;"&amp;BA42)=0,1,0),0)</f>
        <v>0</v>
      </c>
      <c r="DH42" s="23" t="n">
        <f aca="false">IF(BB42=1,IF(COUNTIFS($AZ$2:$AZ$201,AZ42,$DD$2:$DD$201,1,$AR$2:$AR$201,"Y")&gt;0,1,0),0)</f>
        <v>0</v>
      </c>
      <c r="DI42" s="23" t="n">
        <f aca="false">IF(BB42=1,IF(COUNTIFS($AZ$2:$AZ$201,AZ42,$DE$2:$DE$201,1,$AR$2:$AR$201,"Y")&gt;0,1,0),0)</f>
        <v>0</v>
      </c>
      <c r="DJ42" s="23" t="n">
        <f aca="false">IF(BB42=1,IF(COUNTIFS($AZ$2:$AZ$201,AZ42,$DF$2:$DF$201,1,$AR$2:$AR$201,"Y")&gt;0,1,0),0)</f>
        <v>0</v>
      </c>
      <c r="DK42" s="23" t="n">
        <f aca="false">IF(BB42=1,IF(COUNTIFS($AZ$2:$AZ$201,AZ42,$DG$2:$DG$201,1,$AR$2:$AR$201,"Y")&gt;0,1,0),0)</f>
        <v>0</v>
      </c>
      <c r="DL42" s="23" t="n">
        <f aca="false">IF(AND(BF42=1,INT(N(H42))&lt;=Config!$B$6,DH42=1,EI42=0),1,0)</f>
        <v>0</v>
      </c>
      <c r="DM42" s="23" t="n">
        <f aca="false">IF(AND(BF42=1,INT(N(H42))&lt;=Config!$B$7,DI42=1,EI42=0),1,0)</f>
        <v>0</v>
      </c>
      <c r="DN42" s="23" t="n">
        <f aca="false">IF(AND(BF42=1,INT(N(H42))&lt;=Config!$B$8,DJ42=1,EI42=0),1,0)</f>
        <v>0</v>
      </c>
      <c r="DO42" s="23" t="n">
        <f aca="false">IF(AND(BF42=1,INT(N(H42))&lt;=Config!$B$5,DK42=1,EI42=0),1,0)</f>
        <v>0</v>
      </c>
      <c r="DP42" s="23" t="n">
        <f aca="false">IF(AND(CC42=1,INT(N(H42))&lt;=Config!$B$6,DH42=1,EI42=0),1,0)</f>
        <v>0</v>
      </c>
      <c r="DQ42" s="23" t="n">
        <f aca="false">IF(AND(CC42=1,INT(N(H42))&lt;=Config!$B$7,DI42=1,EI42=0),1,0)</f>
        <v>0</v>
      </c>
      <c r="DR42" s="23" t="n">
        <f aca="false">IF(AND(CC42=1,INT(N(H42))&lt;=Config!$B$8,DJ42=1,EI42=0),1,0)</f>
        <v>0</v>
      </c>
      <c r="DS42" s="23" t="n">
        <f aca="false">IF(AND(CC42=1,INT(N(H42))&lt;=Config!$B$5,DK42=1,EI42=0),1,0)</f>
        <v>0</v>
      </c>
      <c r="DT42" s="23" t="n">
        <f aca="false">IF(AND(CC42=1,INT(N(H42))&lt;=Config!$B$6,DH42=0),1,0)</f>
        <v>0</v>
      </c>
      <c r="DU42" s="23" t="n">
        <f aca="false">IF(AND(CC42=1,INT(N(H42))&lt;=Config!$B$7,DI42=0),1,0)</f>
        <v>0</v>
      </c>
      <c r="DV42" s="23" t="n">
        <f aca="false">IF(AND(CC42=1,INT(N(H42))&lt;=Config!$B$8,DJ42=0),1,0)</f>
        <v>0</v>
      </c>
      <c r="DW42" s="23" t="n">
        <f aca="false">IF(AND(CC42=1,INT(N(H42))&lt;=Config!$B$5,DK42=0),1,0)</f>
        <v>0</v>
      </c>
      <c r="DX42" s="23" t="n">
        <f aca="false">IF(TRIM($A42)="",0,ISTEXT(M42)+ISTEXT(O42)+ISTEXT(Y42)+ISTEXT(Z42)+ISTEXT(AA42)+ISTEXT(AV42))</f>
        <v>0</v>
      </c>
      <c r="DY42" s="23" t="n">
        <f aca="false">IF(BB42=1,IF(H42&lt;&gt;INT(H42),1,0),0)</f>
        <v>0</v>
      </c>
      <c r="DZ42" s="23" t="str">
        <f aca="false">IF(TRIM($A42)="","",IF(TRIM(B42)="",SUBSTITUTE(SUBSTITUTE(SUBSTITUTE(SUBSTITUTE(SUBSTITUTE(SUBSTITUTE(LOWER(TRIM($A42)),"~",""),"*",""),"?",""),"&lt;",""),"&gt;",""),"=",""),SUBSTITUTE(SUBSTITUTE(SUBSTITUTE(SUBSTITUTE(SUBSTITUTE(SUBSTITUTE(LOWER(TRIM(B42)),"~",""),"*",""),"?",""),"&lt;",""),"&gt;",""),"=","")))</f>
        <v/>
      </c>
      <c r="EA42" s="23" t="str">
        <f aca="false">IF(CW42="","",IFERROR(IF(LEFT(LOWER(TRIM(INDEX(Clay_Offices!$A$2:$FZ$601,CW42,Sync!$C$19)&amp;"")),4)="grp-",SUBSTITUTE(SUBSTITUTE(SUBSTITUTE(SUBSTITUTE(SUBSTITUTE(SUBSTITUTE(LOWER(TRIM(INDEX(Clay_Offices!$A$2:$FZ$601,CW42,Sync!$C$19)&amp;"")),"~",""),"*",""),"?",""),"&lt;",""),"&gt;",""),"=",""),""),""))</f>
        <v/>
      </c>
      <c r="EB42" s="23" t="str">
        <f aca="false">IF(EA42&lt;&gt;"",DZ42,"")</f>
        <v/>
      </c>
      <c r="EC42" s="23" t="str">
        <f aca="false">IF(BC42=1,AZ42,"")</f>
        <v/>
      </c>
      <c r="ED42" s="23" t="str">
        <f aca="false">IF(TRIM($A42)="","",IFERROR(INDEX($A$2:$A$201,MATCH(AZ42,$EC$2:$EC$201,0))&amp;"",$A42&amp;""))</f>
        <v/>
      </c>
      <c r="EE42" s="23" t="n">
        <f aca="false">IF(BB42=1,IF(COUNTIFS($A$2:$A$201,$A42,$BB$2:$BB$201,1,$H$2:$H$201,"&lt;"&amp;H42)+COUNTIFS($A$2:$A$201,$A42,$BB$2:$BB$201,1,$H$2:$H$201,H42,$BA$2:$BA$201,"&lt;"&amp;BA42)=0,1,0),0)</f>
        <v>0</v>
      </c>
      <c r="EF42" s="23" t="n">
        <f aca="false">IF(BC42=1,IF(COUNTIFS($AZ$2:$AZ$201,AZ42,$EE$2:$EE$201,1)&gt;1,1,0),0)</f>
        <v>0</v>
      </c>
      <c r="EG42" s="23" t="n">
        <f aca="false">IF(AND(CQ42=1),IF(COUNTIFS($AZ$2:$AZ$201,AZ42,$CQ$2:$CQ$201,1,$H$2:$H$201,"&gt;"&amp;H42)+COUNTIFS($AZ$2:$AZ$201,AZ42,$CQ$2:$CQ$201,1,$H$2:$H$201,H42,$BA$2:$BA$201,"&gt;"&amp;BA42)=0,1,0),0)</f>
        <v>0</v>
      </c>
      <c r="EH42" s="23" t="str">
        <f aca="false">IF(BB42=1,IF(COUNTIFS($AZ$2:$AZ$201,AZ42,$EG$2:$EG$201,1)=0,"",SUMIFS($O$2:$O$201,$AZ$2:$AZ$201,AZ42,$EG$2:$EG$201,1)),"")</f>
        <v/>
      </c>
      <c r="EI42" s="23" t="n">
        <f aca="false">IF(AND(ISNUMBER(EH42),OR(N(EH42)&lt;Config!$B$31,N(EH42)&gt;Config!$B$33)),1,0)</f>
        <v>0</v>
      </c>
      <c r="EJ42" s="23" t="n">
        <f aca="false">IF(AND(ISNUMBER(EH42),N(EH42)&gt;=Config!$B$31,N(EH42)&lt;Config!$B$32),1,0)</f>
        <v>0</v>
      </c>
      <c r="EK42" s="23" t="n">
        <f aca="false">IF(AND(BF42=1,INT(N(H42))&lt;=Config!$B$6,DH42=1,EI42=1),1,0)</f>
        <v>0</v>
      </c>
      <c r="EL42" s="23" t="n">
        <f aca="false">IF(AND(BF42=1,INT(N(H42))&lt;=Config!$B$7,DI42=1,EI42=1),1,0)</f>
        <v>0</v>
      </c>
      <c r="EM42" s="23" t="n">
        <f aca="false">IF(AND(BF42=1,INT(N(H42))&lt;=Config!$B$8,DJ42=1,EI42=1),1,0)</f>
        <v>0</v>
      </c>
      <c r="EN42" s="23" t="n">
        <f aca="false">IF(AND(BF42=1,INT(N(H42))&lt;=Config!$B$5,DK42=1,EI42=1),1,0)</f>
        <v>0</v>
      </c>
      <c r="EO42" s="23" t="n">
        <f aca="false">IF(AND(DL42=1,EJ42=1),1,0)</f>
        <v>0</v>
      </c>
      <c r="EP42" s="23" t="n">
        <f aca="false">IF(AND(DM42=1,EJ42=1),1,0)</f>
        <v>0</v>
      </c>
      <c r="EQ42" s="23" t="n">
        <f aca="false">IF(AND(DN42=1,EJ42=1),1,0)</f>
        <v>0</v>
      </c>
      <c r="ER42" s="23" t="n">
        <f aca="false">IF(AND(DO42=1,EJ42=1),1,0)</f>
        <v>0</v>
      </c>
    </row>
    <row r="43" customFormat="false" ht="15" hidden="false" customHeight="false" outlineLevel="0" collapsed="false">
      <c r="G43" s="32"/>
      <c r="H43" s="33"/>
      <c r="I43" s="32"/>
      <c r="L43" s="32"/>
      <c r="Q43" s="32"/>
      <c r="U43" s="32"/>
      <c r="W43" s="32"/>
      <c r="AC43" s="32"/>
      <c r="AF43" s="32"/>
      <c r="AI43" s="32"/>
      <c r="AJ43" s="32"/>
      <c r="AN43" s="32"/>
      <c r="AR43" s="32"/>
      <c r="AT43" s="32"/>
      <c r="AU43" s="32"/>
      <c r="AW43" s="32"/>
      <c r="AY43" s="34" t="str">
        <f aca="false">IF(TRIM($A43)="","",IF(AND(LEFT($A43,6)="SAMPLE",Config!$B$19&lt;&gt;"Y"),"",IF(NOT(ISNUMBER(H43)),"call_date is blank or not a date",IF(Sync!$C$5="","Clay paste is empty or has no row_id column: paste the Clay export on Clay_Offices",IF(CW43="","row_id not found in the Clay paste: add the Clay row or fix the row_id",IF(AND(ISNUMBER(CY43),CY43&gt;=1,CY43&lt;=5),"Clay status is "&amp;CX43&amp;": set call_done or later",IF(AND(BD43=1,CZ43&lt;&gt;BZ43),"Clay yes_in_principle should be "&amp;BZ43,IF(AND(BD43=1,DA43&lt;&gt;H43),"Clay call_date should be "&amp;TEXT(H43,"yyyy-mm-dd"),""))))))))</f>
        <v/>
      </c>
      <c r="AZ43" s="23" t="str">
        <f aca="false">IF(TRIM($A43)="","",IF(TRIM(C43)&lt;&gt;"",SUBSTITUTE(SUBSTITUTE(SUBSTITUTE(SUBSTITUTE(SUBSTITUTE(SUBSTITUTE(LOWER(TRIM(C43)),"~",""),"*",""),"?",""),"&lt;",""),"&gt;",""),"=",""),IF(EA43&lt;&gt;"",EA43,IFERROR(INDEX($EA$2:$EA$201,MATCH(DZ43,$EB$2:$EB$201,0)),DZ43))))</f>
        <v/>
      </c>
      <c r="BA43" s="23" t="n">
        <f aca="false">ROW()</f>
        <v>43</v>
      </c>
      <c r="BB43" s="23" t="n">
        <f aca="false">IF(AND(TRIM($A43)&lt;&gt;"",ISNUMBER(H43)),IF(AND(LEFT($A43,6)="SAMPLE",Config!$B$19&lt;&gt;"Y"),0,1),0)</f>
        <v>0</v>
      </c>
      <c r="BC43" s="23" t="n">
        <f aca="false">IF(BB43=1,IF(COUNTIFS($AZ$2:$AZ$201,AZ43,$BB$2:$BB$201,1,$H$2:$H$201,"&lt;"&amp;H43)+COUNTIFS($AZ$2:$AZ$201,AZ43,$BB$2:$BB$201,1,$H$2:$H$201,H43,$BA$2:$BA$201,"&lt;"&amp;BA43)=0,1,0),0)</f>
        <v>0</v>
      </c>
      <c r="BD43" s="23" t="n">
        <f aca="false">IF(BB43=1,IF(COUNTIFS($A$2:$A$201,$A43,$BB$2:$BB$201,1,$H$2:$H$201,"&gt;"&amp;H43)+COUNTIFS($A$2:$A$201,$A43,$BB$2:$BB$201,1,$H$2:$H$201,H43,$BA$2:$BA$201,"&gt;"&amp;BA43)=0,1,0),0)</f>
        <v>0</v>
      </c>
      <c r="BE43" s="23" t="n">
        <f aca="false">IF(AND(BB43=1,AR43="Y",AC43="Y",TRIM(AH43)&lt;&gt;""),1,0)</f>
        <v>0</v>
      </c>
      <c r="BF43" s="23" t="n">
        <f aca="false">IF(BE43=1,IF(COUNTIFS($AZ$2:$AZ$201,AZ43,$BE$2:$BE$201,1,$H$2:$H$201,"&lt;"&amp;H43)+COUNTIFS($AZ$2:$AZ$201,AZ43,$BE$2:$BE$201,1,$H$2:$H$201,H43,$BA$2:$BA$201,"&lt;"&amp;BA43)=0,1,0),0)</f>
        <v>0</v>
      </c>
      <c r="BG43" s="23" t="n">
        <f aca="false">IF(AND(BB43=1,AR43="Y",BE43=0),1,0)</f>
        <v>0</v>
      </c>
      <c r="BH43" s="23" t="n">
        <f aca="false">IF(AND(BB43=1,ISNUMBER(Y43)),1,0)</f>
        <v>0</v>
      </c>
      <c r="BI43" s="23" t="n">
        <f aca="false">IF(BH43=1,IF(COUNTIFS($AZ$2:$AZ$201,AZ43,$BH$2:$BH$201,1,$H$2:$H$201,"&lt;"&amp;H43)+COUNTIFS($AZ$2:$AZ$201,AZ43,$BH$2:$BH$201,1,$H$2:$H$201,H43,$BA$2:$BA$201,"&lt;"&amp;BA43)=0,1,0),0)</f>
        <v>0</v>
      </c>
      <c r="BJ43" s="23" t="str">
        <f aca="false">IF(AND(BI43=1,INT(N(H43))&lt;=Config!$B$6),Y43,"")</f>
        <v/>
      </c>
      <c r="BK43" s="23" t="str">
        <f aca="false">IF(AND(BI43=1,INT(N(H43))&lt;=Config!$B$7),Y43,"")</f>
        <v/>
      </c>
      <c r="BL43" s="23" t="str">
        <f aca="false">IF(AND(BI43=1,INT(N(H43))&lt;=Config!$B$8),Y43,"")</f>
        <v/>
      </c>
      <c r="BM43" s="23" t="str">
        <f aca="false">IF(AND(BI43=1,INT(N(H43))&lt;=Config!$B$5),Y43,"")</f>
        <v/>
      </c>
      <c r="BN43" s="23" t="n">
        <f aca="false">IF(CD43=1,IF(COUNTIFS($AZ$2:$AZ$201,AZ43,$CD$2:$CD$201,1,$H$2:$H$201,"&lt;"&amp;H43)+COUNTIFS($AZ$2:$AZ$201,AZ43,$CD$2:$CD$201,1,$H$2:$H$201,H43,$BA$2:$BA$201,"&lt;"&amp;BA43)=0,1,0),0)</f>
        <v>0</v>
      </c>
      <c r="BO43" s="23" t="n">
        <f aca="false">IF(AND(BB43=1,ISNUMBER(M43)),1,0)</f>
        <v>0</v>
      </c>
      <c r="BP43" s="23" t="n">
        <f aca="false">IF(BO43=1,IF(COUNTIFS($AZ$2:$AZ$201,AZ43,$BO$2:$BO$201,1,$H$2:$H$201,"&lt;"&amp;H43)+COUNTIFS($AZ$2:$AZ$201,AZ43,$BO$2:$BO$201,1,$H$2:$H$201,H43,$BA$2:$BA$201,"&lt;"&amp;BA43)=0,1,0),0)</f>
        <v>0</v>
      </c>
      <c r="BQ43" s="23" t="str">
        <f aca="false">IF(AND(BP43=1,INT(N(H43))&lt;=Config!$B$5),M43,"")</f>
        <v/>
      </c>
      <c r="BR43" s="23" t="n">
        <f aca="false">IF(AND(BB43=1,OR(TRIM(X43)&lt;&gt;"",ISNUMBER(Y43))),1,0)</f>
        <v>0</v>
      </c>
      <c r="BS43" s="23" t="n">
        <f aca="false">IF(BR43=1,IF(COUNTIFS($AZ$2:$AZ$201,AZ43,$BR$2:$BR$201,1,$H$2:$H$201,"&lt;"&amp;H43)+COUNTIFS($AZ$2:$AZ$201,AZ43,$BR$2:$BR$201,1,$H$2:$H$201,H43,$BA$2:$BA$201,"&lt;"&amp;BA43)=0,1,0),0)</f>
        <v>0</v>
      </c>
      <c r="BT43" s="23" t="str">
        <f aca="false">IF(BS43=1,AZ43,"")</f>
        <v/>
      </c>
      <c r="BU43" s="23" t="n">
        <f aca="false">IF(AND(BB43=1,W43="Y",TRIM(X43)=""),1,0)</f>
        <v>0</v>
      </c>
      <c r="BV43" s="23" t="str">
        <f aca="false">IF(BB43=1,AN43&amp;"","")</f>
        <v/>
      </c>
      <c r="BW43" s="23" t="str">
        <f aca="false">IF(BB43=1,AO43&amp;"","")</f>
        <v/>
      </c>
      <c r="BX43" s="23" t="str">
        <f aca="false">IF(BB43=1,AP43&amp;"","")</f>
        <v/>
      </c>
      <c r="BY43" s="23" t="str">
        <f aca="false">IF(AND(BB43=1,ISNUMBER(AV43),INT(N(H43))&lt;=Config!$B$5),AV43,"")</f>
        <v/>
      </c>
      <c r="BZ43" s="23" t="str">
        <f aca="false">IF(BB43=1,IF(COUNTIFS($A$2:$A$201,$A43,$DC$2:$DC$201,1,$AR$2:$AR$201,"Y")&gt;0,"Y","N"),"")</f>
        <v/>
      </c>
      <c r="CA43" s="23" t="n">
        <f aca="false">IF(AND(BB43=1,AR43="maybe"),1,0)</f>
        <v>0</v>
      </c>
      <c r="CB43" s="23" t="n">
        <f aca="false">IF(CA43=1,IF(COUNTIFS($AZ$2:$AZ$201,AZ43,$CA$2:$CA$201,1,$H$2:$H$201,"&lt;"&amp;H43)+COUNTIFS($AZ$2:$AZ$201,AZ43,$CA$2:$CA$201,1,$H$2:$H$201,H43,$BA$2:$BA$201,"&lt;"&amp;BA43)=0,1,0),0)</f>
        <v>0</v>
      </c>
      <c r="CC43" s="23" t="n">
        <f aca="false">IF(AND(BB43=1,AR43="Y"),IF(COUNTIFS($AZ$2:$AZ$201,AZ43,$AR$2:$AR$201,"Y",$BB$2:$BB$201,1,$H$2:$H$201,"&lt;"&amp;H43)+COUNTIFS($AZ$2:$AZ$201,AZ43,$AR$2:$AR$201,"Y",$BB$2:$BB$201,1,$H$2:$H$201,H43,$BA$2:$BA$201,"&lt;"&amp;BA43)=0,1,0),0)</f>
        <v>0</v>
      </c>
      <c r="CD43" s="23" t="n">
        <f aca="false">IF(AND(BH43=1,N(Y43)&gt;=Config!$B$15),1,0)</f>
        <v>0</v>
      </c>
      <c r="CE43" s="23" t="n">
        <f aca="false">IF(AND(BB43=1,AT43="Y"),1,0)</f>
        <v>0</v>
      </c>
      <c r="CF43" s="23" t="n">
        <f aca="false">IF(CE43=1,IF(COUNTIFS($AZ$2:$AZ$201,AZ43,$CE$2:$CE$201,1,$H$2:$H$201,"&lt;"&amp;H43)+COUNTIFS($AZ$2:$AZ$201,AZ43,$CE$2:$CE$201,1,$H$2:$H$201,H43,$BA$2:$BA$201,"&lt;"&amp;BA43)=0,1,0),0)</f>
        <v>0</v>
      </c>
      <c r="CG43" s="23" t="n">
        <f aca="false">IF(AND(BB43=1,G43="warm-intro"),1,0)</f>
        <v>0</v>
      </c>
      <c r="CH43" s="23" t="n">
        <f aca="false">IF(CG43=1,IF(COUNTIFS($AZ$2:$AZ$201,AZ43,$CG$2:$CG$201,1,$H$2:$H$201,"&lt;"&amp;H43)+COUNTIFS($AZ$2:$AZ$201,AZ43,$CG$2:$CG$201,1,$H$2:$H$201,H43,$BA$2:$BA$201,"&lt;"&amp;BA43)=0,1,0),0)</f>
        <v>0</v>
      </c>
      <c r="CI43" s="23" t="n">
        <f aca="false">IF(AND(BB43=1,Q43="Y"),1,0)</f>
        <v>0</v>
      </c>
      <c r="CJ43" s="23" t="n">
        <f aca="false">IF(CI43=1,IF(COUNTIFS($AZ$2:$AZ$201,AZ43,$CI$2:$CI$201,1,$H$2:$H$201,"&lt;"&amp;H43)+COUNTIFS($AZ$2:$AZ$201,AZ43,$CI$2:$CI$201,1,$H$2:$H$201,H43,$BA$2:$BA$201,"&lt;"&amp;BA43)=0,1,0),0)</f>
        <v>0</v>
      </c>
      <c r="CK43" s="23" t="n">
        <f aca="false">IF(AND(BB43=1,AF43="Y"),1,0)</f>
        <v>0</v>
      </c>
      <c r="CL43" s="23" t="n">
        <f aca="false">IF(CK43=1,IF(COUNTIFS($AZ$2:$AZ$201,AZ43,$CK$2:$CK$201,1,$H$2:$H$201,"&lt;"&amp;H43)+COUNTIFS($AZ$2:$AZ$201,AZ43,$CK$2:$CK$201,1,$H$2:$H$201,H43,$BA$2:$BA$201,"&lt;"&amp;BA43)=0,1,0),0)</f>
        <v>0</v>
      </c>
      <c r="CM43" s="23" t="n">
        <f aca="false">IF(AND(BB43=1,U43="Y"),1,0)</f>
        <v>0</v>
      </c>
      <c r="CN43" s="23" t="n">
        <f aca="false">IF(CM43=1,IF(COUNTIFS($AZ$2:$AZ$201,AZ43,$CM$2:$CM$201,1,$H$2:$H$201,"&lt;"&amp;H43)+COUNTIFS($AZ$2:$AZ$201,AZ43,$CM$2:$CM$201,1,$H$2:$H$201,H43,$BA$2:$BA$201,"&lt;"&amp;BA43)=0,1,0),0)</f>
        <v>0</v>
      </c>
      <c r="CO43" s="23" t="n">
        <f aca="false">IF(AND(BB43=1,L43="Y"),1,0)</f>
        <v>0</v>
      </c>
      <c r="CP43" s="23" t="n">
        <f aca="false">IF(CO43=1,IF(COUNTIFS($AZ$2:$AZ$201,AZ43,$CO$2:$CO$201,1,$H$2:$H$201,"&lt;"&amp;H43)+COUNTIFS($AZ$2:$AZ$201,AZ43,$CO$2:$CO$201,1,$H$2:$H$201,H43,$BA$2:$BA$201,"&lt;"&amp;BA43)=0,1,0),0)</f>
        <v>0</v>
      </c>
      <c r="CQ43" s="23" t="n">
        <f aca="false">IF(AND(BB43=1,ISNUMBER(O43)),1,0)</f>
        <v>0</v>
      </c>
      <c r="CR43" s="23" t="n">
        <f aca="false">IF(CQ43=1,IF(COUNTIFS($AZ$2:$AZ$201,AZ43,$CQ$2:$CQ$201,1,$H$2:$H$201,"&lt;"&amp;H43)+COUNTIFS($AZ$2:$AZ$201,AZ43,$CQ$2:$CQ$201,1,$H$2:$H$201,H43,$BA$2:$BA$201,"&lt;"&amp;BA43)=0,1,0),0)</f>
        <v>0</v>
      </c>
      <c r="CS43" s="23" t="str">
        <f aca="false">IF(AND(CR43=1,INT(N(H43))&lt;=Config!$B$5),O43,"")</f>
        <v/>
      </c>
      <c r="CT43" s="23" t="str">
        <f aca="false">IF(AND(BB43=1,INT(N(H43))&lt;=Config!$B$5),AG43&amp;"","")</f>
        <v/>
      </c>
      <c r="CU43" s="23" t="n">
        <f aca="false">IF(AND(BB43=1,AU43="Y"),1,0)</f>
        <v>0</v>
      </c>
      <c r="CV43" s="23" t="n">
        <f aca="false">IF(CU43=1,IF(COUNTIFS($AZ$2:$AZ$201,AZ43,$CU$2:$CU$201,1,$H$2:$H$201,"&lt;"&amp;H43)+COUNTIFS($AZ$2:$AZ$201,AZ43,$CU$2:$CU$201,1,$H$2:$H$201,H43,$BA$2:$BA$201,"&lt;"&amp;BA43)=0,1,0),0)</f>
        <v>0</v>
      </c>
      <c r="CW43" s="23" t="str">
        <f aca="false">IF(BB43=1,IFERROR(MATCH($A43,INDEX(Clay_Offices!$A$2:$FZ$601,0,Sync!$C$5),0),""),"")</f>
        <v/>
      </c>
      <c r="CX43" s="23" t="str">
        <f aca="false">IF(CW43="","",IFERROR(INDEX(Clay_Offices!$A$2:$FZ$601,CW43,Sync!$C$7)&amp;"",""))</f>
        <v/>
      </c>
      <c r="CY43" s="23" t="str">
        <f aca="false">IF(CX43="","",IFERROR(INDEX(Lists!$K$2:$K$15,MATCH(CX43,Lists!$J$2:$J$15,0)),""))</f>
        <v/>
      </c>
      <c r="CZ43" s="23" t="str">
        <f aca="false">IF(CW43="","",IFERROR(INDEX(Clay_Offices!$A$2:$FZ$601,CW43,Sync!$C$17)&amp;"",""))</f>
        <v/>
      </c>
      <c r="DA43" s="35" t="str">
        <f aca="false">IF(CW43="","",IFERROR(N(INDEX(Clay_Offices!$A$2:$FZ$601,CW43,Sync!$C$16)),0))</f>
        <v/>
      </c>
      <c r="DB43" s="23" t="n">
        <f aca="false">IF(AND(BB43=1,OR(AR43="Y",AR43="N",AR43="maybe")),1,0)</f>
        <v>0</v>
      </c>
      <c r="DC43" s="23" t="n">
        <f aca="false">IF(AND(DB43=1),IF(COUNTIFS($A$2:$A$201,$A43,$DB$2:$DB$201,1,$H$2:$H$201,"&gt;"&amp;H43)+COUNTIFS($A$2:$A$201,$A43,$DB$2:$DB$201,1,$H$2:$H$201,H43,$BA$2:$BA$201,"&gt;"&amp;BA43)=0,1,0),0)</f>
        <v>0</v>
      </c>
      <c r="DD43" s="23" t="n">
        <f aca="false">IF(AND(DB43=1,INT(N(H43))&lt;=Config!$B$6),IF(COUNTIFS($AZ$2:$AZ$201,AZ43,$DB$2:$DB$201,1,$H$2:$H$201,"&gt;"&amp;H43,$H$2:$H$201,"&lt;"&amp;(Config!$B$6+1))+COUNTIFS($AZ$2:$AZ$201,AZ43,$DB$2:$DB$201,1,$H$2:$H$201,H43,$BA$2:$BA$201,"&gt;"&amp;BA43)=0,1,0),0)</f>
        <v>0</v>
      </c>
      <c r="DE43" s="23" t="n">
        <f aca="false">IF(AND(DB43=1,INT(N(H43))&lt;=Config!$B$7),IF(COUNTIFS($AZ$2:$AZ$201,AZ43,$DB$2:$DB$201,1,$H$2:$H$201,"&gt;"&amp;H43,$H$2:$H$201,"&lt;"&amp;(Config!$B$7+1))+COUNTIFS($AZ$2:$AZ$201,AZ43,$DB$2:$DB$201,1,$H$2:$H$201,H43,$BA$2:$BA$201,"&gt;"&amp;BA43)=0,1,0),0)</f>
        <v>0</v>
      </c>
      <c r="DF43" s="23" t="n">
        <f aca="false">IF(AND(DB43=1,INT(N(H43))&lt;=Config!$B$8),IF(COUNTIFS($AZ$2:$AZ$201,AZ43,$DB$2:$DB$201,1,$H$2:$H$201,"&gt;"&amp;H43,$H$2:$H$201,"&lt;"&amp;(Config!$B$8+1))+COUNTIFS($AZ$2:$AZ$201,AZ43,$DB$2:$DB$201,1,$H$2:$H$201,H43,$BA$2:$BA$201,"&gt;"&amp;BA43)=0,1,0),0)</f>
        <v>0</v>
      </c>
      <c r="DG43" s="23" t="n">
        <f aca="false">IF(AND(DB43=1,INT(N(H43))&lt;=Config!$B$5),IF(COUNTIFS($AZ$2:$AZ$201,AZ43,$DB$2:$DB$201,1,$H$2:$H$201,"&gt;"&amp;H43,$H$2:$H$201,"&lt;"&amp;(Config!$B$5+1))+COUNTIFS($AZ$2:$AZ$201,AZ43,$DB$2:$DB$201,1,$H$2:$H$201,H43,$BA$2:$BA$201,"&gt;"&amp;BA43)=0,1,0),0)</f>
        <v>0</v>
      </c>
      <c r="DH43" s="23" t="n">
        <f aca="false">IF(BB43=1,IF(COUNTIFS($AZ$2:$AZ$201,AZ43,$DD$2:$DD$201,1,$AR$2:$AR$201,"Y")&gt;0,1,0),0)</f>
        <v>0</v>
      </c>
      <c r="DI43" s="23" t="n">
        <f aca="false">IF(BB43=1,IF(COUNTIFS($AZ$2:$AZ$201,AZ43,$DE$2:$DE$201,1,$AR$2:$AR$201,"Y")&gt;0,1,0),0)</f>
        <v>0</v>
      </c>
      <c r="DJ43" s="23" t="n">
        <f aca="false">IF(BB43=1,IF(COUNTIFS($AZ$2:$AZ$201,AZ43,$DF$2:$DF$201,1,$AR$2:$AR$201,"Y")&gt;0,1,0),0)</f>
        <v>0</v>
      </c>
      <c r="DK43" s="23" t="n">
        <f aca="false">IF(BB43=1,IF(COUNTIFS($AZ$2:$AZ$201,AZ43,$DG$2:$DG$201,1,$AR$2:$AR$201,"Y")&gt;0,1,0),0)</f>
        <v>0</v>
      </c>
      <c r="DL43" s="23" t="n">
        <f aca="false">IF(AND(BF43=1,INT(N(H43))&lt;=Config!$B$6,DH43=1,EI43=0),1,0)</f>
        <v>0</v>
      </c>
      <c r="DM43" s="23" t="n">
        <f aca="false">IF(AND(BF43=1,INT(N(H43))&lt;=Config!$B$7,DI43=1,EI43=0),1,0)</f>
        <v>0</v>
      </c>
      <c r="DN43" s="23" t="n">
        <f aca="false">IF(AND(BF43=1,INT(N(H43))&lt;=Config!$B$8,DJ43=1,EI43=0),1,0)</f>
        <v>0</v>
      </c>
      <c r="DO43" s="23" t="n">
        <f aca="false">IF(AND(BF43=1,INT(N(H43))&lt;=Config!$B$5,DK43=1,EI43=0),1,0)</f>
        <v>0</v>
      </c>
      <c r="DP43" s="23" t="n">
        <f aca="false">IF(AND(CC43=1,INT(N(H43))&lt;=Config!$B$6,DH43=1,EI43=0),1,0)</f>
        <v>0</v>
      </c>
      <c r="DQ43" s="23" t="n">
        <f aca="false">IF(AND(CC43=1,INT(N(H43))&lt;=Config!$B$7,DI43=1,EI43=0),1,0)</f>
        <v>0</v>
      </c>
      <c r="DR43" s="23" t="n">
        <f aca="false">IF(AND(CC43=1,INT(N(H43))&lt;=Config!$B$8,DJ43=1,EI43=0),1,0)</f>
        <v>0</v>
      </c>
      <c r="DS43" s="23" t="n">
        <f aca="false">IF(AND(CC43=1,INT(N(H43))&lt;=Config!$B$5,DK43=1,EI43=0),1,0)</f>
        <v>0</v>
      </c>
      <c r="DT43" s="23" t="n">
        <f aca="false">IF(AND(CC43=1,INT(N(H43))&lt;=Config!$B$6,DH43=0),1,0)</f>
        <v>0</v>
      </c>
      <c r="DU43" s="23" t="n">
        <f aca="false">IF(AND(CC43=1,INT(N(H43))&lt;=Config!$B$7,DI43=0),1,0)</f>
        <v>0</v>
      </c>
      <c r="DV43" s="23" t="n">
        <f aca="false">IF(AND(CC43=1,INT(N(H43))&lt;=Config!$B$8,DJ43=0),1,0)</f>
        <v>0</v>
      </c>
      <c r="DW43" s="23" t="n">
        <f aca="false">IF(AND(CC43=1,INT(N(H43))&lt;=Config!$B$5,DK43=0),1,0)</f>
        <v>0</v>
      </c>
      <c r="DX43" s="23" t="n">
        <f aca="false">IF(TRIM($A43)="",0,ISTEXT(M43)+ISTEXT(O43)+ISTEXT(Y43)+ISTEXT(Z43)+ISTEXT(AA43)+ISTEXT(AV43))</f>
        <v>0</v>
      </c>
      <c r="DY43" s="23" t="n">
        <f aca="false">IF(BB43=1,IF(H43&lt;&gt;INT(H43),1,0),0)</f>
        <v>0</v>
      </c>
      <c r="DZ43" s="23" t="str">
        <f aca="false">IF(TRIM($A43)="","",IF(TRIM(B43)="",SUBSTITUTE(SUBSTITUTE(SUBSTITUTE(SUBSTITUTE(SUBSTITUTE(SUBSTITUTE(LOWER(TRIM($A43)),"~",""),"*",""),"?",""),"&lt;",""),"&gt;",""),"=",""),SUBSTITUTE(SUBSTITUTE(SUBSTITUTE(SUBSTITUTE(SUBSTITUTE(SUBSTITUTE(LOWER(TRIM(B43)),"~",""),"*",""),"?",""),"&lt;",""),"&gt;",""),"=","")))</f>
        <v/>
      </c>
      <c r="EA43" s="23" t="str">
        <f aca="false">IF(CW43="","",IFERROR(IF(LEFT(LOWER(TRIM(INDEX(Clay_Offices!$A$2:$FZ$601,CW43,Sync!$C$19)&amp;"")),4)="grp-",SUBSTITUTE(SUBSTITUTE(SUBSTITUTE(SUBSTITUTE(SUBSTITUTE(SUBSTITUTE(LOWER(TRIM(INDEX(Clay_Offices!$A$2:$FZ$601,CW43,Sync!$C$19)&amp;"")),"~",""),"*",""),"?",""),"&lt;",""),"&gt;",""),"=",""),""),""))</f>
        <v/>
      </c>
      <c r="EB43" s="23" t="str">
        <f aca="false">IF(EA43&lt;&gt;"",DZ43,"")</f>
        <v/>
      </c>
      <c r="EC43" s="23" t="str">
        <f aca="false">IF(BC43=1,AZ43,"")</f>
        <v/>
      </c>
      <c r="ED43" s="23" t="str">
        <f aca="false">IF(TRIM($A43)="","",IFERROR(INDEX($A$2:$A$201,MATCH(AZ43,$EC$2:$EC$201,0))&amp;"",$A43&amp;""))</f>
        <v/>
      </c>
      <c r="EE43" s="23" t="n">
        <f aca="false">IF(BB43=1,IF(COUNTIFS($A$2:$A$201,$A43,$BB$2:$BB$201,1,$H$2:$H$201,"&lt;"&amp;H43)+COUNTIFS($A$2:$A$201,$A43,$BB$2:$BB$201,1,$H$2:$H$201,H43,$BA$2:$BA$201,"&lt;"&amp;BA43)=0,1,0),0)</f>
        <v>0</v>
      </c>
      <c r="EF43" s="23" t="n">
        <f aca="false">IF(BC43=1,IF(COUNTIFS($AZ$2:$AZ$201,AZ43,$EE$2:$EE$201,1)&gt;1,1,0),0)</f>
        <v>0</v>
      </c>
      <c r="EG43" s="23" t="n">
        <f aca="false">IF(AND(CQ43=1),IF(COUNTIFS($AZ$2:$AZ$201,AZ43,$CQ$2:$CQ$201,1,$H$2:$H$201,"&gt;"&amp;H43)+COUNTIFS($AZ$2:$AZ$201,AZ43,$CQ$2:$CQ$201,1,$H$2:$H$201,H43,$BA$2:$BA$201,"&gt;"&amp;BA43)=0,1,0),0)</f>
        <v>0</v>
      </c>
      <c r="EH43" s="23" t="str">
        <f aca="false">IF(BB43=1,IF(COUNTIFS($AZ$2:$AZ$201,AZ43,$EG$2:$EG$201,1)=0,"",SUMIFS($O$2:$O$201,$AZ$2:$AZ$201,AZ43,$EG$2:$EG$201,1)),"")</f>
        <v/>
      </c>
      <c r="EI43" s="23" t="n">
        <f aca="false">IF(AND(ISNUMBER(EH43),OR(N(EH43)&lt;Config!$B$31,N(EH43)&gt;Config!$B$33)),1,0)</f>
        <v>0</v>
      </c>
      <c r="EJ43" s="23" t="n">
        <f aca="false">IF(AND(ISNUMBER(EH43),N(EH43)&gt;=Config!$B$31,N(EH43)&lt;Config!$B$32),1,0)</f>
        <v>0</v>
      </c>
      <c r="EK43" s="23" t="n">
        <f aca="false">IF(AND(BF43=1,INT(N(H43))&lt;=Config!$B$6,DH43=1,EI43=1),1,0)</f>
        <v>0</v>
      </c>
      <c r="EL43" s="23" t="n">
        <f aca="false">IF(AND(BF43=1,INT(N(H43))&lt;=Config!$B$7,DI43=1,EI43=1),1,0)</f>
        <v>0</v>
      </c>
      <c r="EM43" s="23" t="n">
        <f aca="false">IF(AND(BF43=1,INT(N(H43))&lt;=Config!$B$8,DJ43=1,EI43=1),1,0)</f>
        <v>0</v>
      </c>
      <c r="EN43" s="23" t="n">
        <f aca="false">IF(AND(BF43=1,INT(N(H43))&lt;=Config!$B$5,DK43=1,EI43=1),1,0)</f>
        <v>0</v>
      </c>
      <c r="EO43" s="23" t="n">
        <f aca="false">IF(AND(DL43=1,EJ43=1),1,0)</f>
        <v>0</v>
      </c>
      <c r="EP43" s="23" t="n">
        <f aca="false">IF(AND(DM43=1,EJ43=1),1,0)</f>
        <v>0</v>
      </c>
      <c r="EQ43" s="23" t="n">
        <f aca="false">IF(AND(DN43=1,EJ43=1),1,0)</f>
        <v>0</v>
      </c>
      <c r="ER43" s="23" t="n">
        <f aca="false">IF(AND(DO43=1,EJ43=1),1,0)</f>
        <v>0</v>
      </c>
    </row>
    <row r="44" customFormat="false" ht="15" hidden="false" customHeight="false" outlineLevel="0" collapsed="false">
      <c r="G44" s="32"/>
      <c r="H44" s="33"/>
      <c r="I44" s="32"/>
      <c r="L44" s="32"/>
      <c r="Q44" s="32"/>
      <c r="U44" s="32"/>
      <c r="W44" s="32"/>
      <c r="AC44" s="32"/>
      <c r="AF44" s="32"/>
      <c r="AI44" s="32"/>
      <c r="AJ44" s="32"/>
      <c r="AN44" s="32"/>
      <c r="AR44" s="32"/>
      <c r="AT44" s="32"/>
      <c r="AU44" s="32"/>
      <c r="AW44" s="32"/>
      <c r="AY44" s="34" t="str">
        <f aca="false">IF(TRIM($A44)="","",IF(AND(LEFT($A44,6)="SAMPLE",Config!$B$19&lt;&gt;"Y"),"",IF(NOT(ISNUMBER(H44)),"call_date is blank or not a date",IF(Sync!$C$5="","Clay paste is empty or has no row_id column: paste the Clay export on Clay_Offices",IF(CW44="","row_id not found in the Clay paste: add the Clay row or fix the row_id",IF(AND(ISNUMBER(CY44),CY44&gt;=1,CY44&lt;=5),"Clay status is "&amp;CX44&amp;": set call_done or later",IF(AND(BD44=1,CZ44&lt;&gt;BZ44),"Clay yes_in_principle should be "&amp;BZ44,IF(AND(BD44=1,DA44&lt;&gt;H44),"Clay call_date should be "&amp;TEXT(H44,"yyyy-mm-dd"),""))))))))</f>
        <v/>
      </c>
      <c r="AZ44" s="23" t="str">
        <f aca="false">IF(TRIM($A44)="","",IF(TRIM(C44)&lt;&gt;"",SUBSTITUTE(SUBSTITUTE(SUBSTITUTE(SUBSTITUTE(SUBSTITUTE(SUBSTITUTE(LOWER(TRIM(C44)),"~",""),"*",""),"?",""),"&lt;",""),"&gt;",""),"=",""),IF(EA44&lt;&gt;"",EA44,IFERROR(INDEX($EA$2:$EA$201,MATCH(DZ44,$EB$2:$EB$201,0)),DZ44))))</f>
        <v/>
      </c>
      <c r="BA44" s="23" t="n">
        <f aca="false">ROW()</f>
        <v>44</v>
      </c>
      <c r="BB44" s="23" t="n">
        <f aca="false">IF(AND(TRIM($A44)&lt;&gt;"",ISNUMBER(H44)),IF(AND(LEFT($A44,6)="SAMPLE",Config!$B$19&lt;&gt;"Y"),0,1),0)</f>
        <v>0</v>
      </c>
      <c r="BC44" s="23" t="n">
        <f aca="false">IF(BB44=1,IF(COUNTIFS($AZ$2:$AZ$201,AZ44,$BB$2:$BB$201,1,$H$2:$H$201,"&lt;"&amp;H44)+COUNTIFS($AZ$2:$AZ$201,AZ44,$BB$2:$BB$201,1,$H$2:$H$201,H44,$BA$2:$BA$201,"&lt;"&amp;BA44)=0,1,0),0)</f>
        <v>0</v>
      </c>
      <c r="BD44" s="23" t="n">
        <f aca="false">IF(BB44=1,IF(COUNTIFS($A$2:$A$201,$A44,$BB$2:$BB$201,1,$H$2:$H$201,"&gt;"&amp;H44)+COUNTIFS($A$2:$A$201,$A44,$BB$2:$BB$201,1,$H$2:$H$201,H44,$BA$2:$BA$201,"&gt;"&amp;BA44)=0,1,0),0)</f>
        <v>0</v>
      </c>
      <c r="BE44" s="23" t="n">
        <f aca="false">IF(AND(BB44=1,AR44="Y",AC44="Y",TRIM(AH44)&lt;&gt;""),1,0)</f>
        <v>0</v>
      </c>
      <c r="BF44" s="23" t="n">
        <f aca="false">IF(BE44=1,IF(COUNTIFS($AZ$2:$AZ$201,AZ44,$BE$2:$BE$201,1,$H$2:$H$201,"&lt;"&amp;H44)+COUNTIFS($AZ$2:$AZ$201,AZ44,$BE$2:$BE$201,1,$H$2:$H$201,H44,$BA$2:$BA$201,"&lt;"&amp;BA44)=0,1,0),0)</f>
        <v>0</v>
      </c>
      <c r="BG44" s="23" t="n">
        <f aca="false">IF(AND(BB44=1,AR44="Y",BE44=0),1,0)</f>
        <v>0</v>
      </c>
      <c r="BH44" s="23" t="n">
        <f aca="false">IF(AND(BB44=1,ISNUMBER(Y44)),1,0)</f>
        <v>0</v>
      </c>
      <c r="BI44" s="23" t="n">
        <f aca="false">IF(BH44=1,IF(COUNTIFS($AZ$2:$AZ$201,AZ44,$BH$2:$BH$201,1,$H$2:$H$201,"&lt;"&amp;H44)+COUNTIFS($AZ$2:$AZ$201,AZ44,$BH$2:$BH$201,1,$H$2:$H$201,H44,$BA$2:$BA$201,"&lt;"&amp;BA44)=0,1,0),0)</f>
        <v>0</v>
      </c>
      <c r="BJ44" s="23" t="str">
        <f aca="false">IF(AND(BI44=1,INT(N(H44))&lt;=Config!$B$6),Y44,"")</f>
        <v/>
      </c>
      <c r="BK44" s="23" t="str">
        <f aca="false">IF(AND(BI44=1,INT(N(H44))&lt;=Config!$B$7),Y44,"")</f>
        <v/>
      </c>
      <c r="BL44" s="23" t="str">
        <f aca="false">IF(AND(BI44=1,INT(N(H44))&lt;=Config!$B$8),Y44,"")</f>
        <v/>
      </c>
      <c r="BM44" s="23" t="str">
        <f aca="false">IF(AND(BI44=1,INT(N(H44))&lt;=Config!$B$5),Y44,"")</f>
        <v/>
      </c>
      <c r="BN44" s="23" t="n">
        <f aca="false">IF(CD44=1,IF(COUNTIFS($AZ$2:$AZ$201,AZ44,$CD$2:$CD$201,1,$H$2:$H$201,"&lt;"&amp;H44)+COUNTIFS($AZ$2:$AZ$201,AZ44,$CD$2:$CD$201,1,$H$2:$H$201,H44,$BA$2:$BA$201,"&lt;"&amp;BA44)=0,1,0),0)</f>
        <v>0</v>
      </c>
      <c r="BO44" s="23" t="n">
        <f aca="false">IF(AND(BB44=1,ISNUMBER(M44)),1,0)</f>
        <v>0</v>
      </c>
      <c r="BP44" s="23" t="n">
        <f aca="false">IF(BO44=1,IF(COUNTIFS($AZ$2:$AZ$201,AZ44,$BO$2:$BO$201,1,$H$2:$H$201,"&lt;"&amp;H44)+COUNTIFS($AZ$2:$AZ$201,AZ44,$BO$2:$BO$201,1,$H$2:$H$201,H44,$BA$2:$BA$201,"&lt;"&amp;BA44)=0,1,0),0)</f>
        <v>0</v>
      </c>
      <c r="BQ44" s="23" t="str">
        <f aca="false">IF(AND(BP44=1,INT(N(H44))&lt;=Config!$B$5),M44,"")</f>
        <v/>
      </c>
      <c r="BR44" s="23" t="n">
        <f aca="false">IF(AND(BB44=1,OR(TRIM(X44)&lt;&gt;"",ISNUMBER(Y44))),1,0)</f>
        <v>0</v>
      </c>
      <c r="BS44" s="23" t="n">
        <f aca="false">IF(BR44=1,IF(COUNTIFS($AZ$2:$AZ$201,AZ44,$BR$2:$BR$201,1,$H$2:$H$201,"&lt;"&amp;H44)+COUNTIFS($AZ$2:$AZ$201,AZ44,$BR$2:$BR$201,1,$H$2:$H$201,H44,$BA$2:$BA$201,"&lt;"&amp;BA44)=0,1,0),0)</f>
        <v>0</v>
      </c>
      <c r="BT44" s="23" t="str">
        <f aca="false">IF(BS44=1,AZ44,"")</f>
        <v/>
      </c>
      <c r="BU44" s="23" t="n">
        <f aca="false">IF(AND(BB44=1,W44="Y",TRIM(X44)=""),1,0)</f>
        <v>0</v>
      </c>
      <c r="BV44" s="23" t="str">
        <f aca="false">IF(BB44=1,AN44&amp;"","")</f>
        <v/>
      </c>
      <c r="BW44" s="23" t="str">
        <f aca="false">IF(BB44=1,AO44&amp;"","")</f>
        <v/>
      </c>
      <c r="BX44" s="23" t="str">
        <f aca="false">IF(BB44=1,AP44&amp;"","")</f>
        <v/>
      </c>
      <c r="BY44" s="23" t="str">
        <f aca="false">IF(AND(BB44=1,ISNUMBER(AV44),INT(N(H44))&lt;=Config!$B$5),AV44,"")</f>
        <v/>
      </c>
      <c r="BZ44" s="23" t="str">
        <f aca="false">IF(BB44=1,IF(COUNTIFS($A$2:$A$201,$A44,$DC$2:$DC$201,1,$AR$2:$AR$201,"Y")&gt;0,"Y","N"),"")</f>
        <v/>
      </c>
      <c r="CA44" s="23" t="n">
        <f aca="false">IF(AND(BB44=1,AR44="maybe"),1,0)</f>
        <v>0</v>
      </c>
      <c r="CB44" s="23" t="n">
        <f aca="false">IF(CA44=1,IF(COUNTIFS($AZ$2:$AZ$201,AZ44,$CA$2:$CA$201,1,$H$2:$H$201,"&lt;"&amp;H44)+COUNTIFS($AZ$2:$AZ$201,AZ44,$CA$2:$CA$201,1,$H$2:$H$201,H44,$BA$2:$BA$201,"&lt;"&amp;BA44)=0,1,0),0)</f>
        <v>0</v>
      </c>
      <c r="CC44" s="23" t="n">
        <f aca="false">IF(AND(BB44=1,AR44="Y"),IF(COUNTIFS($AZ$2:$AZ$201,AZ44,$AR$2:$AR$201,"Y",$BB$2:$BB$201,1,$H$2:$H$201,"&lt;"&amp;H44)+COUNTIFS($AZ$2:$AZ$201,AZ44,$AR$2:$AR$201,"Y",$BB$2:$BB$201,1,$H$2:$H$201,H44,$BA$2:$BA$201,"&lt;"&amp;BA44)=0,1,0),0)</f>
        <v>0</v>
      </c>
      <c r="CD44" s="23" t="n">
        <f aca="false">IF(AND(BH44=1,N(Y44)&gt;=Config!$B$15),1,0)</f>
        <v>0</v>
      </c>
      <c r="CE44" s="23" t="n">
        <f aca="false">IF(AND(BB44=1,AT44="Y"),1,0)</f>
        <v>0</v>
      </c>
      <c r="CF44" s="23" t="n">
        <f aca="false">IF(CE44=1,IF(COUNTIFS($AZ$2:$AZ$201,AZ44,$CE$2:$CE$201,1,$H$2:$H$201,"&lt;"&amp;H44)+COUNTIFS($AZ$2:$AZ$201,AZ44,$CE$2:$CE$201,1,$H$2:$H$201,H44,$BA$2:$BA$201,"&lt;"&amp;BA44)=0,1,0),0)</f>
        <v>0</v>
      </c>
      <c r="CG44" s="23" t="n">
        <f aca="false">IF(AND(BB44=1,G44="warm-intro"),1,0)</f>
        <v>0</v>
      </c>
      <c r="CH44" s="23" t="n">
        <f aca="false">IF(CG44=1,IF(COUNTIFS($AZ$2:$AZ$201,AZ44,$CG$2:$CG$201,1,$H$2:$H$201,"&lt;"&amp;H44)+COUNTIFS($AZ$2:$AZ$201,AZ44,$CG$2:$CG$201,1,$H$2:$H$201,H44,$BA$2:$BA$201,"&lt;"&amp;BA44)=0,1,0),0)</f>
        <v>0</v>
      </c>
      <c r="CI44" s="23" t="n">
        <f aca="false">IF(AND(BB44=1,Q44="Y"),1,0)</f>
        <v>0</v>
      </c>
      <c r="CJ44" s="23" t="n">
        <f aca="false">IF(CI44=1,IF(COUNTIFS($AZ$2:$AZ$201,AZ44,$CI$2:$CI$201,1,$H$2:$H$201,"&lt;"&amp;H44)+COUNTIFS($AZ$2:$AZ$201,AZ44,$CI$2:$CI$201,1,$H$2:$H$201,H44,$BA$2:$BA$201,"&lt;"&amp;BA44)=0,1,0),0)</f>
        <v>0</v>
      </c>
      <c r="CK44" s="23" t="n">
        <f aca="false">IF(AND(BB44=1,AF44="Y"),1,0)</f>
        <v>0</v>
      </c>
      <c r="CL44" s="23" t="n">
        <f aca="false">IF(CK44=1,IF(COUNTIFS($AZ$2:$AZ$201,AZ44,$CK$2:$CK$201,1,$H$2:$H$201,"&lt;"&amp;H44)+COUNTIFS($AZ$2:$AZ$201,AZ44,$CK$2:$CK$201,1,$H$2:$H$201,H44,$BA$2:$BA$201,"&lt;"&amp;BA44)=0,1,0),0)</f>
        <v>0</v>
      </c>
      <c r="CM44" s="23" t="n">
        <f aca="false">IF(AND(BB44=1,U44="Y"),1,0)</f>
        <v>0</v>
      </c>
      <c r="CN44" s="23" t="n">
        <f aca="false">IF(CM44=1,IF(COUNTIFS($AZ$2:$AZ$201,AZ44,$CM$2:$CM$201,1,$H$2:$H$201,"&lt;"&amp;H44)+COUNTIFS($AZ$2:$AZ$201,AZ44,$CM$2:$CM$201,1,$H$2:$H$201,H44,$BA$2:$BA$201,"&lt;"&amp;BA44)=0,1,0),0)</f>
        <v>0</v>
      </c>
      <c r="CO44" s="23" t="n">
        <f aca="false">IF(AND(BB44=1,L44="Y"),1,0)</f>
        <v>0</v>
      </c>
      <c r="CP44" s="23" t="n">
        <f aca="false">IF(CO44=1,IF(COUNTIFS($AZ$2:$AZ$201,AZ44,$CO$2:$CO$201,1,$H$2:$H$201,"&lt;"&amp;H44)+COUNTIFS($AZ$2:$AZ$201,AZ44,$CO$2:$CO$201,1,$H$2:$H$201,H44,$BA$2:$BA$201,"&lt;"&amp;BA44)=0,1,0),0)</f>
        <v>0</v>
      </c>
      <c r="CQ44" s="23" t="n">
        <f aca="false">IF(AND(BB44=1,ISNUMBER(O44)),1,0)</f>
        <v>0</v>
      </c>
      <c r="CR44" s="23" t="n">
        <f aca="false">IF(CQ44=1,IF(COUNTIFS($AZ$2:$AZ$201,AZ44,$CQ$2:$CQ$201,1,$H$2:$H$201,"&lt;"&amp;H44)+COUNTIFS($AZ$2:$AZ$201,AZ44,$CQ$2:$CQ$201,1,$H$2:$H$201,H44,$BA$2:$BA$201,"&lt;"&amp;BA44)=0,1,0),0)</f>
        <v>0</v>
      </c>
      <c r="CS44" s="23" t="str">
        <f aca="false">IF(AND(CR44=1,INT(N(H44))&lt;=Config!$B$5),O44,"")</f>
        <v/>
      </c>
      <c r="CT44" s="23" t="str">
        <f aca="false">IF(AND(BB44=1,INT(N(H44))&lt;=Config!$B$5),AG44&amp;"","")</f>
        <v/>
      </c>
      <c r="CU44" s="23" t="n">
        <f aca="false">IF(AND(BB44=1,AU44="Y"),1,0)</f>
        <v>0</v>
      </c>
      <c r="CV44" s="23" t="n">
        <f aca="false">IF(CU44=1,IF(COUNTIFS($AZ$2:$AZ$201,AZ44,$CU$2:$CU$201,1,$H$2:$H$201,"&lt;"&amp;H44)+COUNTIFS($AZ$2:$AZ$201,AZ44,$CU$2:$CU$201,1,$H$2:$H$201,H44,$BA$2:$BA$201,"&lt;"&amp;BA44)=0,1,0),0)</f>
        <v>0</v>
      </c>
      <c r="CW44" s="23" t="str">
        <f aca="false">IF(BB44=1,IFERROR(MATCH($A44,INDEX(Clay_Offices!$A$2:$FZ$601,0,Sync!$C$5),0),""),"")</f>
        <v/>
      </c>
      <c r="CX44" s="23" t="str">
        <f aca="false">IF(CW44="","",IFERROR(INDEX(Clay_Offices!$A$2:$FZ$601,CW44,Sync!$C$7)&amp;"",""))</f>
        <v/>
      </c>
      <c r="CY44" s="23" t="str">
        <f aca="false">IF(CX44="","",IFERROR(INDEX(Lists!$K$2:$K$15,MATCH(CX44,Lists!$J$2:$J$15,0)),""))</f>
        <v/>
      </c>
      <c r="CZ44" s="23" t="str">
        <f aca="false">IF(CW44="","",IFERROR(INDEX(Clay_Offices!$A$2:$FZ$601,CW44,Sync!$C$17)&amp;"",""))</f>
        <v/>
      </c>
      <c r="DA44" s="35" t="str">
        <f aca="false">IF(CW44="","",IFERROR(N(INDEX(Clay_Offices!$A$2:$FZ$601,CW44,Sync!$C$16)),0))</f>
        <v/>
      </c>
      <c r="DB44" s="23" t="n">
        <f aca="false">IF(AND(BB44=1,OR(AR44="Y",AR44="N",AR44="maybe")),1,0)</f>
        <v>0</v>
      </c>
      <c r="DC44" s="23" t="n">
        <f aca="false">IF(AND(DB44=1),IF(COUNTIFS($A$2:$A$201,$A44,$DB$2:$DB$201,1,$H$2:$H$201,"&gt;"&amp;H44)+COUNTIFS($A$2:$A$201,$A44,$DB$2:$DB$201,1,$H$2:$H$201,H44,$BA$2:$BA$201,"&gt;"&amp;BA44)=0,1,0),0)</f>
        <v>0</v>
      </c>
      <c r="DD44" s="23" t="n">
        <f aca="false">IF(AND(DB44=1,INT(N(H44))&lt;=Config!$B$6),IF(COUNTIFS($AZ$2:$AZ$201,AZ44,$DB$2:$DB$201,1,$H$2:$H$201,"&gt;"&amp;H44,$H$2:$H$201,"&lt;"&amp;(Config!$B$6+1))+COUNTIFS($AZ$2:$AZ$201,AZ44,$DB$2:$DB$201,1,$H$2:$H$201,H44,$BA$2:$BA$201,"&gt;"&amp;BA44)=0,1,0),0)</f>
        <v>0</v>
      </c>
      <c r="DE44" s="23" t="n">
        <f aca="false">IF(AND(DB44=1,INT(N(H44))&lt;=Config!$B$7),IF(COUNTIFS($AZ$2:$AZ$201,AZ44,$DB$2:$DB$201,1,$H$2:$H$201,"&gt;"&amp;H44,$H$2:$H$201,"&lt;"&amp;(Config!$B$7+1))+COUNTIFS($AZ$2:$AZ$201,AZ44,$DB$2:$DB$201,1,$H$2:$H$201,H44,$BA$2:$BA$201,"&gt;"&amp;BA44)=0,1,0),0)</f>
        <v>0</v>
      </c>
      <c r="DF44" s="23" t="n">
        <f aca="false">IF(AND(DB44=1,INT(N(H44))&lt;=Config!$B$8),IF(COUNTIFS($AZ$2:$AZ$201,AZ44,$DB$2:$DB$201,1,$H$2:$H$201,"&gt;"&amp;H44,$H$2:$H$201,"&lt;"&amp;(Config!$B$8+1))+COUNTIFS($AZ$2:$AZ$201,AZ44,$DB$2:$DB$201,1,$H$2:$H$201,H44,$BA$2:$BA$201,"&gt;"&amp;BA44)=0,1,0),0)</f>
        <v>0</v>
      </c>
      <c r="DG44" s="23" t="n">
        <f aca="false">IF(AND(DB44=1,INT(N(H44))&lt;=Config!$B$5),IF(COUNTIFS($AZ$2:$AZ$201,AZ44,$DB$2:$DB$201,1,$H$2:$H$201,"&gt;"&amp;H44,$H$2:$H$201,"&lt;"&amp;(Config!$B$5+1))+COUNTIFS($AZ$2:$AZ$201,AZ44,$DB$2:$DB$201,1,$H$2:$H$201,H44,$BA$2:$BA$201,"&gt;"&amp;BA44)=0,1,0),0)</f>
        <v>0</v>
      </c>
      <c r="DH44" s="23" t="n">
        <f aca="false">IF(BB44=1,IF(COUNTIFS($AZ$2:$AZ$201,AZ44,$DD$2:$DD$201,1,$AR$2:$AR$201,"Y")&gt;0,1,0),0)</f>
        <v>0</v>
      </c>
      <c r="DI44" s="23" t="n">
        <f aca="false">IF(BB44=1,IF(COUNTIFS($AZ$2:$AZ$201,AZ44,$DE$2:$DE$201,1,$AR$2:$AR$201,"Y")&gt;0,1,0),0)</f>
        <v>0</v>
      </c>
      <c r="DJ44" s="23" t="n">
        <f aca="false">IF(BB44=1,IF(COUNTIFS($AZ$2:$AZ$201,AZ44,$DF$2:$DF$201,1,$AR$2:$AR$201,"Y")&gt;0,1,0),0)</f>
        <v>0</v>
      </c>
      <c r="DK44" s="23" t="n">
        <f aca="false">IF(BB44=1,IF(COUNTIFS($AZ$2:$AZ$201,AZ44,$DG$2:$DG$201,1,$AR$2:$AR$201,"Y")&gt;0,1,0),0)</f>
        <v>0</v>
      </c>
      <c r="DL44" s="23" t="n">
        <f aca="false">IF(AND(BF44=1,INT(N(H44))&lt;=Config!$B$6,DH44=1,EI44=0),1,0)</f>
        <v>0</v>
      </c>
      <c r="DM44" s="23" t="n">
        <f aca="false">IF(AND(BF44=1,INT(N(H44))&lt;=Config!$B$7,DI44=1,EI44=0),1,0)</f>
        <v>0</v>
      </c>
      <c r="DN44" s="23" t="n">
        <f aca="false">IF(AND(BF44=1,INT(N(H44))&lt;=Config!$B$8,DJ44=1,EI44=0),1,0)</f>
        <v>0</v>
      </c>
      <c r="DO44" s="23" t="n">
        <f aca="false">IF(AND(BF44=1,INT(N(H44))&lt;=Config!$B$5,DK44=1,EI44=0),1,0)</f>
        <v>0</v>
      </c>
      <c r="DP44" s="23" t="n">
        <f aca="false">IF(AND(CC44=1,INT(N(H44))&lt;=Config!$B$6,DH44=1,EI44=0),1,0)</f>
        <v>0</v>
      </c>
      <c r="DQ44" s="23" t="n">
        <f aca="false">IF(AND(CC44=1,INT(N(H44))&lt;=Config!$B$7,DI44=1,EI44=0),1,0)</f>
        <v>0</v>
      </c>
      <c r="DR44" s="23" t="n">
        <f aca="false">IF(AND(CC44=1,INT(N(H44))&lt;=Config!$B$8,DJ44=1,EI44=0),1,0)</f>
        <v>0</v>
      </c>
      <c r="DS44" s="23" t="n">
        <f aca="false">IF(AND(CC44=1,INT(N(H44))&lt;=Config!$B$5,DK44=1,EI44=0),1,0)</f>
        <v>0</v>
      </c>
      <c r="DT44" s="23" t="n">
        <f aca="false">IF(AND(CC44=1,INT(N(H44))&lt;=Config!$B$6,DH44=0),1,0)</f>
        <v>0</v>
      </c>
      <c r="DU44" s="23" t="n">
        <f aca="false">IF(AND(CC44=1,INT(N(H44))&lt;=Config!$B$7,DI44=0),1,0)</f>
        <v>0</v>
      </c>
      <c r="DV44" s="23" t="n">
        <f aca="false">IF(AND(CC44=1,INT(N(H44))&lt;=Config!$B$8,DJ44=0),1,0)</f>
        <v>0</v>
      </c>
      <c r="DW44" s="23" t="n">
        <f aca="false">IF(AND(CC44=1,INT(N(H44))&lt;=Config!$B$5,DK44=0),1,0)</f>
        <v>0</v>
      </c>
      <c r="DX44" s="23" t="n">
        <f aca="false">IF(TRIM($A44)="",0,ISTEXT(M44)+ISTEXT(O44)+ISTEXT(Y44)+ISTEXT(Z44)+ISTEXT(AA44)+ISTEXT(AV44))</f>
        <v>0</v>
      </c>
      <c r="DY44" s="23" t="n">
        <f aca="false">IF(BB44=1,IF(H44&lt;&gt;INT(H44),1,0),0)</f>
        <v>0</v>
      </c>
      <c r="DZ44" s="23" t="str">
        <f aca="false">IF(TRIM($A44)="","",IF(TRIM(B44)="",SUBSTITUTE(SUBSTITUTE(SUBSTITUTE(SUBSTITUTE(SUBSTITUTE(SUBSTITUTE(LOWER(TRIM($A44)),"~",""),"*",""),"?",""),"&lt;",""),"&gt;",""),"=",""),SUBSTITUTE(SUBSTITUTE(SUBSTITUTE(SUBSTITUTE(SUBSTITUTE(SUBSTITUTE(LOWER(TRIM(B44)),"~",""),"*",""),"?",""),"&lt;",""),"&gt;",""),"=","")))</f>
        <v/>
      </c>
      <c r="EA44" s="23" t="str">
        <f aca="false">IF(CW44="","",IFERROR(IF(LEFT(LOWER(TRIM(INDEX(Clay_Offices!$A$2:$FZ$601,CW44,Sync!$C$19)&amp;"")),4)="grp-",SUBSTITUTE(SUBSTITUTE(SUBSTITUTE(SUBSTITUTE(SUBSTITUTE(SUBSTITUTE(LOWER(TRIM(INDEX(Clay_Offices!$A$2:$FZ$601,CW44,Sync!$C$19)&amp;"")),"~",""),"*",""),"?",""),"&lt;",""),"&gt;",""),"=",""),""),""))</f>
        <v/>
      </c>
      <c r="EB44" s="23" t="str">
        <f aca="false">IF(EA44&lt;&gt;"",DZ44,"")</f>
        <v/>
      </c>
      <c r="EC44" s="23" t="str">
        <f aca="false">IF(BC44=1,AZ44,"")</f>
        <v/>
      </c>
      <c r="ED44" s="23" t="str">
        <f aca="false">IF(TRIM($A44)="","",IFERROR(INDEX($A$2:$A$201,MATCH(AZ44,$EC$2:$EC$201,0))&amp;"",$A44&amp;""))</f>
        <v/>
      </c>
      <c r="EE44" s="23" t="n">
        <f aca="false">IF(BB44=1,IF(COUNTIFS($A$2:$A$201,$A44,$BB$2:$BB$201,1,$H$2:$H$201,"&lt;"&amp;H44)+COUNTIFS($A$2:$A$201,$A44,$BB$2:$BB$201,1,$H$2:$H$201,H44,$BA$2:$BA$201,"&lt;"&amp;BA44)=0,1,0),0)</f>
        <v>0</v>
      </c>
      <c r="EF44" s="23" t="n">
        <f aca="false">IF(BC44=1,IF(COUNTIFS($AZ$2:$AZ$201,AZ44,$EE$2:$EE$201,1)&gt;1,1,0),0)</f>
        <v>0</v>
      </c>
      <c r="EG44" s="23" t="n">
        <f aca="false">IF(AND(CQ44=1),IF(COUNTIFS($AZ$2:$AZ$201,AZ44,$CQ$2:$CQ$201,1,$H$2:$H$201,"&gt;"&amp;H44)+COUNTIFS($AZ$2:$AZ$201,AZ44,$CQ$2:$CQ$201,1,$H$2:$H$201,H44,$BA$2:$BA$201,"&gt;"&amp;BA44)=0,1,0),0)</f>
        <v>0</v>
      </c>
      <c r="EH44" s="23" t="str">
        <f aca="false">IF(BB44=1,IF(COUNTIFS($AZ$2:$AZ$201,AZ44,$EG$2:$EG$201,1)=0,"",SUMIFS($O$2:$O$201,$AZ$2:$AZ$201,AZ44,$EG$2:$EG$201,1)),"")</f>
        <v/>
      </c>
      <c r="EI44" s="23" t="n">
        <f aca="false">IF(AND(ISNUMBER(EH44),OR(N(EH44)&lt;Config!$B$31,N(EH44)&gt;Config!$B$33)),1,0)</f>
        <v>0</v>
      </c>
      <c r="EJ44" s="23" t="n">
        <f aca="false">IF(AND(ISNUMBER(EH44),N(EH44)&gt;=Config!$B$31,N(EH44)&lt;Config!$B$32),1,0)</f>
        <v>0</v>
      </c>
      <c r="EK44" s="23" t="n">
        <f aca="false">IF(AND(BF44=1,INT(N(H44))&lt;=Config!$B$6,DH44=1,EI44=1),1,0)</f>
        <v>0</v>
      </c>
      <c r="EL44" s="23" t="n">
        <f aca="false">IF(AND(BF44=1,INT(N(H44))&lt;=Config!$B$7,DI44=1,EI44=1),1,0)</f>
        <v>0</v>
      </c>
      <c r="EM44" s="23" t="n">
        <f aca="false">IF(AND(BF44=1,INT(N(H44))&lt;=Config!$B$8,DJ44=1,EI44=1),1,0)</f>
        <v>0</v>
      </c>
      <c r="EN44" s="23" t="n">
        <f aca="false">IF(AND(BF44=1,INT(N(H44))&lt;=Config!$B$5,DK44=1,EI44=1),1,0)</f>
        <v>0</v>
      </c>
      <c r="EO44" s="23" t="n">
        <f aca="false">IF(AND(DL44=1,EJ44=1),1,0)</f>
        <v>0</v>
      </c>
      <c r="EP44" s="23" t="n">
        <f aca="false">IF(AND(DM44=1,EJ44=1),1,0)</f>
        <v>0</v>
      </c>
      <c r="EQ44" s="23" t="n">
        <f aca="false">IF(AND(DN44=1,EJ44=1),1,0)</f>
        <v>0</v>
      </c>
      <c r="ER44" s="23" t="n">
        <f aca="false">IF(AND(DO44=1,EJ44=1),1,0)</f>
        <v>0</v>
      </c>
    </row>
    <row r="45" customFormat="false" ht="15" hidden="false" customHeight="false" outlineLevel="0" collapsed="false">
      <c r="G45" s="32"/>
      <c r="H45" s="33"/>
      <c r="I45" s="32"/>
      <c r="L45" s="32"/>
      <c r="Q45" s="32"/>
      <c r="U45" s="32"/>
      <c r="W45" s="32"/>
      <c r="AC45" s="32"/>
      <c r="AF45" s="32"/>
      <c r="AI45" s="32"/>
      <c r="AJ45" s="32"/>
      <c r="AN45" s="32"/>
      <c r="AR45" s="32"/>
      <c r="AT45" s="32"/>
      <c r="AU45" s="32"/>
      <c r="AW45" s="32"/>
      <c r="AY45" s="34" t="str">
        <f aca="false">IF(TRIM($A45)="","",IF(AND(LEFT($A45,6)="SAMPLE",Config!$B$19&lt;&gt;"Y"),"",IF(NOT(ISNUMBER(H45)),"call_date is blank or not a date",IF(Sync!$C$5="","Clay paste is empty or has no row_id column: paste the Clay export on Clay_Offices",IF(CW45="","row_id not found in the Clay paste: add the Clay row or fix the row_id",IF(AND(ISNUMBER(CY45),CY45&gt;=1,CY45&lt;=5),"Clay status is "&amp;CX45&amp;": set call_done or later",IF(AND(BD45=1,CZ45&lt;&gt;BZ45),"Clay yes_in_principle should be "&amp;BZ45,IF(AND(BD45=1,DA45&lt;&gt;H45),"Clay call_date should be "&amp;TEXT(H45,"yyyy-mm-dd"),""))))))))</f>
        <v/>
      </c>
      <c r="AZ45" s="23" t="str">
        <f aca="false">IF(TRIM($A45)="","",IF(TRIM(C45)&lt;&gt;"",SUBSTITUTE(SUBSTITUTE(SUBSTITUTE(SUBSTITUTE(SUBSTITUTE(SUBSTITUTE(LOWER(TRIM(C45)),"~",""),"*",""),"?",""),"&lt;",""),"&gt;",""),"=",""),IF(EA45&lt;&gt;"",EA45,IFERROR(INDEX($EA$2:$EA$201,MATCH(DZ45,$EB$2:$EB$201,0)),DZ45))))</f>
        <v/>
      </c>
      <c r="BA45" s="23" t="n">
        <f aca="false">ROW()</f>
        <v>45</v>
      </c>
      <c r="BB45" s="23" t="n">
        <f aca="false">IF(AND(TRIM($A45)&lt;&gt;"",ISNUMBER(H45)),IF(AND(LEFT($A45,6)="SAMPLE",Config!$B$19&lt;&gt;"Y"),0,1),0)</f>
        <v>0</v>
      </c>
      <c r="BC45" s="23" t="n">
        <f aca="false">IF(BB45=1,IF(COUNTIFS($AZ$2:$AZ$201,AZ45,$BB$2:$BB$201,1,$H$2:$H$201,"&lt;"&amp;H45)+COUNTIFS($AZ$2:$AZ$201,AZ45,$BB$2:$BB$201,1,$H$2:$H$201,H45,$BA$2:$BA$201,"&lt;"&amp;BA45)=0,1,0),0)</f>
        <v>0</v>
      </c>
      <c r="BD45" s="23" t="n">
        <f aca="false">IF(BB45=1,IF(COUNTIFS($A$2:$A$201,$A45,$BB$2:$BB$201,1,$H$2:$H$201,"&gt;"&amp;H45)+COUNTIFS($A$2:$A$201,$A45,$BB$2:$BB$201,1,$H$2:$H$201,H45,$BA$2:$BA$201,"&gt;"&amp;BA45)=0,1,0),0)</f>
        <v>0</v>
      </c>
      <c r="BE45" s="23" t="n">
        <f aca="false">IF(AND(BB45=1,AR45="Y",AC45="Y",TRIM(AH45)&lt;&gt;""),1,0)</f>
        <v>0</v>
      </c>
      <c r="BF45" s="23" t="n">
        <f aca="false">IF(BE45=1,IF(COUNTIFS($AZ$2:$AZ$201,AZ45,$BE$2:$BE$201,1,$H$2:$H$201,"&lt;"&amp;H45)+COUNTIFS($AZ$2:$AZ$201,AZ45,$BE$2:$BE$201,1,$H$2:$H$201,H45,$BA$2:$BA$201,"&lt;"&amp;BA45)=0,1,0),0)</f>
        <v>0</v>
      </c>
      <c r="BG45" s="23" t="n">
        <f aca="false">IF(AND(BB45=1,AR45="Y",BE45=0),1,0)</f>
        <v>0</v>
      </c>
      <c r="BH45" s="23" t="n">
        <f aca="false">IF(AND(BB45=1,ISNUMBER(Y45)),1,0)</f>
        <v>0</v>
      </c>
      <c r="BI45" s="23" t="n">
        <f aca="false">IF(BH45=1,IF(COUNTIFS($AZ$2:$AZ$201,AZ45,$BH$2:$BH$201,1,$H$2:$H$201,"&lt;"&amp;H45)+COUNTIFS($AZ$2:$AZ$201,AZ45,$BH$2:$BH$201,1,$H$2:$H$201,H45,$BA$2:$BA$201,"&lt;"&amp;BA45)=0,1,0),0)</f>
        <v>0</v>
      </c>
      <c r="BJ45" s="23" t="str">
        <f aca="false">IF(AND(BI45=1,INT(N(H45))&lt;=Config!$B$6),Y45,"")</f>
        <v/>
      </c>
      <c r="BK45" s="23" t="str">
        <f aca="false">IF(AND(BI45=1,INT(N(H45))&lt;=Config!$B$7),Y45,"")</f>
        <v/>
      </c>
      <c r="BL45" s="23" t="str">
        <f aca="false">IF(AND(BI45=1,INT(N(H45))&lt;=Config!$B$8),Y45,"")</f>
        <v/>
      </c>
      <c r="BM45" s="23" t="str">
        <f aca="false">IF(AND(BI45=1,INT(N(H45))&lt;=Config!$B$5),Y45,"")</f>
        <v/>
      </c>
      <c r="BN45" s="23" t="n">
        <f aca="false">IF(CD45=1,IF(COUNTIFS($AZ$2:$AZ$201,AZ45,$CD$2:$CD$201,1,$H$2:$H$201,"&lt;"&amp;H45)+COUNTIFS($AZ$2:$AZ$201,AZ45,$CD$2:$CD$201,1,$H$2:$H$201,H45,$BA$2:$BA$201,"&lt;"&amp;BA45)=0,1,0),0)</f>
        <v>0</v>
      </c>
      <c r="BO45" s="23" t="n">
        <f aca="false">IF(AND(BB45=1,ISNUMBER(M45)),1,0)</f>
        <v>0</v>
      </c>
      <c r="BP45" s="23" t="n">
        <f aca="false">IF(BO45=1,IF(COUNTIFS($AZ$2:$AZ$201,AZ45,$BO$2:$BO$201,1,$H$2:$H$201,"&lt;"&amp;H45)+COUNTIFS($AZ$2:$AZ$201,AZ45,$BO$2:$BO$201,1,$H$2:$H$201,H45,$BA$2:$BA$201,"&lt;"&amp;BA45)=0,1,0),0)</f>
        <v>0</v>
      </c>
      <c r="BQ45" s="23" t="str">
        <f aca="false">IF(AND(BP45=1,INT(N(H45))&lt;=Config!$B$5),M45,"")</f>
        <v/>
      </c>
      <c r="BR45" s="23" t="n">
        <f aca="false">IF(AND(BB45=1,OR(TRIM(X45)&lt;&gt;"",ISNUMBER(Y45))),1,0)</f>
        <v>0</v>
      </c>
      <c r="BS45" s="23" t="n">
        <f aca="false">IF(BR45=1,IF(COUNTIFS($AZ$2:$AZ$201,AZ45,$BR$2:$BR$201,1,$H$2:$H$201,"&lt;"&amp;H45)+COUNTIFS($AZ$2:$AZ$201,AZ45,$BR$2:$BR$201,1,$H$2:$H$201,H45,$BA$2:$BA$201,"&lt;"&amp;BA45)=0,1,0),0)</f>
        <v>0</v>
      </c>
      <c r="BT45" s="23" t="str">
        <f aca="false">IF(BS45=1,AZ45,"")</f>
        <v/>
      </c>
      <c r="BU45" s="23" t="n">
        <f aca="false">IF(AND(BB45=1,W45="Y",TRIM(X45)=""),1,0)</f>
        <v>0</v>
      </c>
      <c r="BV45" s="23" t="str">
        <f aca="false">IF(BB45=1,AN45&amp;"","")</f>
        <v/>
      </c>
      <c r="BW45" s="23" t="str">
        <f aca="false">IF(BB45=1,AO45&amp;"","")</f>
        <v/>
      </c>
      <c r="BX45" s="23" t="str">
        <f aca="false">IF(BB45=1,AP45&amp;"","")</f>
        <v/>
      </c>
      <c r="BY45" s="23" t="str">
        <f aca="false">IF(AND(BB45=1,ISNUMBER(AV45),INT(N(H45))&lt;=Config!$B$5),AV45,"")</f>
        <v/>
      </c>
      <c r="BZ45" s="23" t="str">
        <f aca="false">IF(BB45=1,IF(COUNTIFS($A$2:$A$201,$A45,$DC$2:$DC$201,1,$AR$2:$AR$201,"Y")&gt;0,"Y","N"),"")</f>
        <v/>
      </c>
      <c r="CA45" s="23" t="n">
        <f aca="false">IF(AND(BB45=1,AR45="maybe"),1,0)</f>
        <v>0</v>
      </c>
      <c r="CB45" s="23" t="n">
        <f aca="false">IF(CA45=1,IF(COUNTIFS($AZ$2:$AZ$201,AZ45,$CA$2:$CA$201,1,$H$2:$H$201,"&lt;"&amp;H45)+COUNTIFS($AZ$2:$AZ$201,AZ45,$CA$2:$CA$201,1,$H$2:$H$201,H45,$BA$2:$BA$201,"&lt;"&amp;BA45)=0,1,0),0)</f>
        <v>0</v>
      </c>
      <c r="CC45" s="23" t="n">
        <f aca="false">IF(AND(BB45=1,AR45="Y"),IF(COUNTIFS($AZ$2:$AZ$201,AZ45,$AR$2:$AR$201,"Y",$BB$2:$BB$201,1,$H$2:$H$201,"&lt;"&amp;H45)+COUNTIFS($AZ$2:$AZ$201,AZ45,$AR$2:$AR$201,"Y",$BB$2:$BB$201,1,$H$2:$H$201,H45,$BA$2:$BA$201,"&lt;"&amp;BA45)=0,1,0),0)</f>
        <v>0</v>
      </c>
      <c r="CD45" s="23" t="n">
        <f aca="false">IF(AND(BH45=1,N(Y45)&gt;=Config!$B$15),1,0)</f>
        <v>0</v>
      </c>
      <c r="CE45" s="23" t="n">
        <f aca="false">IF(AND(BB45=1,AT45="Y"),1,0)</f>
        <v>0</v>
      </c>
      <c r="CF45" s="23" t="n">
        <f aca="false">IF(CE45=1,IF(COUNTIFS($AZ$2:$AZ$201,AZ45,$CE$2:$CE$201,1,$H$2:$H$201,"&lt;"&amp;H45)+COUNTIFS($AZ$2:$AZ$201,AZ45,$CE$2:$CE$201,1,$H$2:$H$201,H45,$BA$2:$BA$201,"&lt;"&amp;BA45)=0,1,0),0)</f>
        <v>0</v>
      </c>
      <c r="CG45" s="23" t="n">
        <f aca="false">IF(AND(BB45=1,G45="warm-intro"),1,0)</f>
        <v>0</v>
      </c>
      <c r="CH45" s="23" t="n">
        <f aca="false">IF(CG45=1,IF(COUNTIFS($AZ$2:$AZ$201,AZ45,$CG$2:$CG$201,1,$H$2:$H$201,"&lt;"&amp;H45)+COUNTIFS($AZ$2:$AZ$201,AZ45,$CG$2:$CG$201,1,$H$2:$H$201,H45,$BA$2:$BA$201,"&lt;"&amp;BA45)=0,1,0),0)</f>
        <v>0</v>
      </c>
      <c r="CI45" s="23" t="n">
        <f aca="false">IF(AND(BB45=1,Q45="Y"),1,0)</f>
        <v>0</v>
      </c>
      <c r="CJ45" s="23" t="n">
        <f aca="false">IF(CI45=1,IF(COUNTIFS($AZ$2:$AZ$201,AZ45,$CI$2:$CI$201,1,$H$2:$H$201,"&lt;"&amp;H45)+COUNTIFS($AZ$2:$AZ$201,AZ45,$CI$2:$CI$201,1,$H$2:$H$201,H45,$BA$2:$BA$201,"&lt;"&amp;BA45)=0,1,0),0)</f>
        <v>0</v>
      </c>
      <c r="CK45" s="23" t="n">
        <f aca="false">IF(AND(BB45=1,AF45="Y"),1,0)</f>
        <v>0</v>
      </c>
      <c r="CL45" s="23" t="n">
        <f aca="false">IF(CK45=1,IF(COUNTIFS($AZ$2:$AZ$201,AZ45,$CK$2:$CK$201,1,$H$2:$H$201,"&lt;"&amp;H45)+COUNTIFS($AZ$2:$AZ$201,AZ45,$CK$2:$CK$201,1,$H$2:$H$201,H45,$BA$2:$BA$201,"&lt;"&amp;BA45)=0,1,0),0)</f>
        <v>0</v>
      </c>
      <c r="CM45" s="23" t="n">
        <f aca="false">IF(AND(BB45=1,U45="Y"),1,0)</f>
        <v>0</v>
      </c>
      <c r="CN45" s="23" t="n">
        <f aca="false">IF(CM45=1,IF(COUNTIFS($AZ$2:$AZ$201,AZ45,$CM$2:$CM$201,1,$H$2:$H$201,"&lt;"&amp;H45)+COUNTIFS($AZ$2:$AZ$201,AZ45,$CM$2:$CM$201,1,$H$2:$H$201,H45,$BA$2:$BA$201,"&lt;"&amp;BA45)=0,1,0),0)</f>
        <v>0</v>
      </c>
      <c r="CO45" s="23" t="n">
        <f aca="false">IF(AND(BB45=1,L45="Y"),1,0)</f>
        <v>0</v>
      </c>
      <c r="CP45" s="23" t="n">
        <f aca="false">IF(CO45=1,IF(COUNTIFS($AZ$2:$AZ$201,AZ45,$CO$2:$CO$201,1,$H$2:$H$201,"&lt;"&amp;H45)+COUNTIFS($AZ$2:$AZ$201,AZ45,$CO$2:$CO$201,1,$H$2:$H$201,H45,$BA$2:$BA$201,"&lt;"&amp;BA45)=0,1,0),0)</f>
        <v>0</v>
      </c>
      <c r="CQ45" s="23" t="n">
        <f aca="false">IF(AND(BB45=1,ISNUMBER(O45)),1,0)</f>
        <v>0</v>
      </c>
      <c r="CR45" s="23" t="n">
        <f aca="false">IF(CQ45=1,IF(COUNTIFS($AZ$2:$AZ$201,AZ45,$CQ$2:$CQ$201,1,$H$2:$H$201,"&lt;"&amp;H45)+COUNTIFS($AZ$2:$AZ$201,AZ45,$CQ$2:$CQ$201,1,$H$2:$H$201,H45,$BA$2:$BA$201,"&lt;"&amp;BA45)=0,1,0),0)</f>
        <v>0</v>
      </c>
      <c r="CS45" s="23" t="str">
        <f aca="false">IF(AND(CR45=1,INT(N(H45))&lt;=Config!$B$5),O45,"")</f>
        <v/>
      </c>
      <c r="CT45" s="23" t="str">
        <f aca="false">IF(AND(BB45=1,INT(N(H45))&lt;=Config!$B$5),AG45&amp;"","")</f>
        <v/>
      </c>
      <c r="CU45" s="23" t="n">
        <f aca="false">IF(AND(BB45=1,AU45="Y"),1,0)</f>
        <v>0</v>
      </c>
      <c r="CV45" s="23" t="n">
        <f aca="false">IF(CU45=1,IF(COUNTIFS($AZ$2:$AZ$201,AZ45,$CU$2:$CU$201,1,$H$2:$H$201,"&lt;"&amp;H45)+COUNTIFS($AZ$2:$AZ$201,AZ45,$CU$2:$CU$201,1,$H$2:$H$201,H45,$BA$2:$BA$201,"&lt;"&amp;BA45)=0,1,0),0)</f>
        <v>0</v>
      </c>
      <c r="CW45" s="23" t="str">
        <f aca="false">IF(BB45=1,IFERROR(MATCH($A45,INDEX(Clay_Offices!$A$2:$FZ$601,0,Sync!$C$5),0),""),"")</f>
        <v/>
      </c>
      <c r="CX45" s="23" t="str">
        <f aca="false">IF(CW45="","",IFERROR(INDEX(Clay_Offices!$A$2:$FZ$601,CW45,Sync!$C$7)&amp;"",""))</f>
        <v/>
      </c>
      <c r="CY45" s="23" t="str">
        <f aca="false">IF(CX45="","",IFERROR(INDEX(Lists!$K$2:$K$15,MATCH(CX45,Lists!$J$2:$J$15,0)),""))</f>
        <v/>
      </c>
      <c r="CZ45" s="23" t="str">
        <f aca="false">IF(CW45="","",IFERROR(INDEX(Clay_Offices!$A$2:$FZ$601,CW45,Sync!$C$17)&amp;"",""))</f>
        <v/>
      </c>
      <c r="DA45" s="35" t="str">
        <f aca="false">IF(CW45="","",IFERROR(N(INDEX(Clay_Offices!$A$2:$FZ$601,CW45,Sync!$C$16)),0))</f>
        <v/>
      </c>
      <c r="DB45" s="23" t="n">
        <f aca="false">IF(AND(BB45=1,OR(AR45="Y",AR45="N",AR45="maybe")),1,0)</f>
        <v>0</v>
      </c>
      <c r="DC45" s="23" t="n">
        <f aca="false">IF(AND(DB45=1),IF(COUNTIFS($A$2:$A$201,$A45,$DB$2:$DB$201,1,$H$2:$H$201,"&gt;"&amp;H45)+COUNTIFS($A$2:$A$201,$A45,$DB$2:$DB$201,1,$H$2:$H$201,H45,$BA$2:$BA$201,"&gt;"&amp;BA45)=0,1,0),0)</f>
        <v>0</v>
      </c>
      <c r="DD45" s="23" t="n">
        <f aca="false">IF(AND(DB45=1,INT(N(H45))&lt;=Config!$B$6),IF(COUNTIFS($AZ$2:$AZ$201,AZ45,$DB$2:$DB$201,1,$H$2:$H$201,"&gt;"&amp;H45,$H$2:$H$201,"&lt;"&amp;(Config!$B$6+1))+COUNTIFS($AZ$2:$AZ$201,AZ45,$DB$2:$DB$201,1,$H$2:$H$201,H45,$BA$2:$BA$201,"&gt;"&amp;BA45)=0,1,0),0)</f>
        <v>0</v>
      </c>
      <c r="DE45" s="23" t="n">
        <f aca="false">IF(AND(DB45=1,INT(N(H45))&lt;=Config!$B$7),IF(COUNTIFS($AZ$2:$AZ$201,AZ45,$DB$2:$DB$201,1,$H$2:$H$201,"&gt;"&amp;H45,$H$2:$H$201,"&lt;"&amp;(Config!$B$7+1))+COUNTIFS($AZ$2:$AZ$201,AZ45,$DB$2:$DB$201,1,$H$2:$H$201,H45,$BA$2:$BA$201,"&gt;"&amp;BA45)=0,1,0),0)</f>
        <v>0</v>
      </c>
      <c r="DF45" s="23" t="n">
        <f aca="false">IF(AND(DB45=1,INT(N(H45))&lt;=Config!$B$8),IF(COUNTIFS($AZ$2:$AZ$201,AZ45,$DB$2:$DB$201,1,$H$2:$H$201,"&gt;"&amp;H45,$H$2:$H$201,"&lt;"&amp;(Config!$B$8+1))+COUNTIFS($AZ$2:$AZ$201,AZ45,$DB$2:$DB$201,1,$H$2:$H$201,H45,$BA$2:$BA$201,"&gt;"&amp;BA45)=0,1,0),0)</f>
        <v>0</v>
      </c>
      <c r="DG45" s="23" t="n">
        <f aca="false">IF(AND(DB45=1,INT(N(H45))&lt;=Config!$B$5),IF(COUNTIFS($AZ$2:$AZ$201,AZ45,$DB$2:$DB$201,1,$H$2:$H$201,"&gt;"&amp;H45,$H$2:$H$201,"&lt;"&amp;(Config!$B$5+1))+COUNTIFS($AZ$2:$AZ$201,AZ45,$DB$2:$DB$201,1,$H$2:$H$201,H45,$BA$2:$BA$201,"&gt;"&amp;BA45)=0,1,0),0)</f>
        <v>0</v>
      </c>
      <c r="DH45" s="23" t="n">
        <f aca="false">IF(BB45=1,IF(COUNTIFS($AZ$2:$AZ$201,AZ45,$DD$2:$DD$201,1,$AR$2:$AR$201,"Y")&gt;0,1,0),0)</f>
        <v>0</v>
      </c>
      <c r="DI45" s="23" t="n">
        <f aca="false">IF(BB45=1,IF(COUNTIFS($AZ$2:$AZ$201,AZ45,$DE$2:$DE$201,1,$AR$2:$AR$201,"Y")&gt;0,1,0),0)</f>
        <v>0</v>
      </c>
      <c r="DJ45" s="23" t="n">
        <f aca="false">IF(BB45=1,IF(COUNTIFS($AZ$2:$AZ$201,AZ45,$DF$2:$DF$201,1,$AR$2:$AR$201,"Y")&gt;0,1,0),0)</f>
        <v>0</v>
      </c>
      <c r="DK45" s="23" t="n">
        <f aca="false">IF(BB45=1,IF(COUNTIFS($AZ$2:$AZ$201,AZ45,$DG$2:$DG$201,1,$AR$2:$AR$201,"Y")&gt;0,1,0),0)</f>
        <v>0</v>
      </c>
      <c r="DL45" s="23" t="n">
        <f aca="false">IF(AND(BF45=1,INT(N(H45))&lt;=Config!$B$6,DH45=1,EI45=0),1,0)</f>
        <v>0</v>
      </c>
      <c r="DM45" s="23" t="n">
        <f aca="false">IF(AND(BF45=1,INT(N(H45))&lt;=Config!$B$7,DI45=1,EI45=0),1,0)</f>
        <v>0</v>
      </c>
      <c r="DN45" s="23" t="n">
        <f aca="false">IF(AND(BF45=1,INT(N(H45))&lt;=Config!$B$8,DJ45=1,EI45=0),1,0)</f>
        <v>0</v>
      </c>
      <c r="DO45" s="23" t="n">
        <f aca="false">IF(AND(BF45=1,INT(N(H45))&lt;=Config!$B$5,DK45=1,EI45=0),1,0)</f>
        <v>0</v>
      </c>
      <c r="DP45" s="23" t="n">
        <f aca="false">IF(AND(CC45=1,INT(N(H45))&lt;=Config!$B$6,DH45=1,EI45=0),1,0)</f>
        <v>0</v>
      </c>
      <c r="DQ45" s="23" t="n">
        <f aca="false">IF(AND(CC45=1,INT(N(H45))&lt;=Config!$B$7,DI45=1,EI45=0),1,0)</f>
        <v>0</v>
      </c>
      <c r="DR45" s="23" t="n">
        <f aca="false">IF(AND(CC45=1,INT(N(H45))&lt;=Config!$B$8,DJ45=1,EI45=0),1,0)</f>
        <v>0</v>
      </c>
      <c r="DS45" s="23" t="n">
        <f aca="false">IF(AND(CC45=1,INT(N(H45))&lt;=Config!$B$5,DK45=1,EI45=0),1,0)</f>
        <v>0</v>
      </c>
      <c r="DT45" s="23" t="n">
        <f aca="false">IF(AND(CC45=1,INT(N(H45))&lt;=Config!$B$6,DH45=0),1,0)</f>
        <v>0</v>
      </c>
      <c r="DU45" s="23" t="n">
        <f aca="false">IF(AND(CC45=1,INT(N(H45))&lt;=Config!$B$7,DI45=0),1,0)</f>
        <v>0</v>
      </c>
      <c r="DV45" s="23" t="n">
        <f aca="false">IF(AND(CC45=1,INT(N(H45))&lt;=Config!$B$8,DJ45=0),1,0)</f>
        <v>0</v>
      </c>
      <c r="DW45" s="23" t="n">
        <f aca="false">IF(AND(CC45=1,INT(N(H45))&lt;=Config!$B$5,DK45=0),1,0)</f>
        <v>0</v>
      </c>
      <c r="DX45" s="23" t="n">
        <f aca="false">IF(TRIM($A45)="",0,ISTEXT(M45)+ISTEXT(O45)+ISTEXT(Y45)+ISTEXT(Z45)+ISTEXT(AA45)+ISTEXT(AV45))</f>
        <v>0</v>
      </c>
      <c r="DY45" s="23" t="n">
        <f aca="false">IF(BB45=1,IF(H45&lt;&gt;INT(H45),1,0),0)</f>
        <v>0</v>
      </c>
      <c r="DZ45" s="23" t="str">
        <f aca="false">IF(TRIM($A45)="","",IF(TRIM(B45)="",SUBSTITUTE(SUBSTITUTE(SUBSTITUTE(SUBSTITUTE(SUBSTITUTE(SUBSTITUTE(LOWER(TRIM($A45)),"~",""),"*",""),"?",""),"&lt;",""),"&gt;",""),"=",""),SUBSTITUTE(SUBSTITUTE(SUBSTITUTE(SUBSTITUTE(SUBSTITUTE(SUBSTITUTE(LOWER(TRIM(B45)),"~",""),"*",""),"?",""),"&lt;",""),"&gt;",""),"=","")))</f>
        <v/>
      </c>
      <c r="EA45" s="23" t="str">
        <f aca="false">IF(CW45="","",IFERROR(IF(LEFT(LOWER(TRIM(INDEX(Clay_Offices!$A$2:$FZ$601,CW45,Sync!$C$19)&amp;"")),4)="grp-",SUBSTITUTE(SUBSTITUTE(SUBSTITUTE(SUBSTITUTE(SUBSTITUTE(SUBSTITUTE(LOWER(TRIM(INDEX(Clay_Offices!$A$2:$FZ$601,CW45,Sync!$C$19)&amp;"")),"~",""),"*",""),"?",""),"&lt;",""),"&gt;",""),"=",""),""),""))</f>
        <v/>
      </c>
      <c r="EB45" s="23" t="str">
        <f aca="false">IF(EA45&lt;&gt;"",DZ45,"")</f>
        <v/>
      </c>
      <c r="EC45" s="23" t="str">
        <f aca="false">IF(BC45=1,AZ45,"")</f>
        <v/>
      </c>
      <c r="ED45" s="23" t="str">
        <f aca="false">IF(TRIM($A45)="","",IFERROR(INDEX($A$2:$A$201,MATCH(AZ45,$EC$2:$EC$201,0))&amp;"",$A45&amp;""))</f>
        <v/>
      </c>
      <c r="EE45" s="23" t="n">
        <f aca="false">IF(BB45=1,IF(COUNTIFS($A$2:$A$201,$A45,$BB$2:$BB$201,1,$H$2:$H$201,"&lt;"&amp;H45)+COUNTIFS($A$2:$A$201,$A45,$BB$2:$BB$201,1,$H$2:$H$201,H45,$BA$2:$BA$201,"&lt;"&amp;BA45)=0,1,0),0)</f>
        <v>0</v>
      </c>
      <c r="EF45" s="23" t="n">
        <f aca="false">IF(BC45=1,IF(COUNTIFS($AZ$2:$AZ$201,AZ45,$EE$2:$EE$201,1)&gt;1,1,0),0)</f>
        <v>0</v>
      </c>
      <c r="EG45" s="23" t="n">
        <f aca="false">IF(AND(CQ45=1),IF(COUNTIFS($AZ$2:$AZ$201,AZ45,$CQ$2:$CQ$201,1,$H$2:$H$201,"&gt;"&amp;H45)+COUNTIFS($AZ$2:$AZ$201,AZ45,$CQ$2:$CQ$201,1,$H$2:$H$201,H45,$BA$2:$BA$201,"&gt;"&amp;BA45)=0,1,0),0)</f>
        <v>0</v>
      </c>
      <c r="EH45" s="23" t="str">
        <f aca="false">IF(BB45=1,IF(COUNTIFS($AZ$2:$AZ$201,AZ45,$EG$2:$EG$201,1)=0,"",SUMIFS($O$2:$O$201,$AZ$2:$AZ$201,AZ45,$EG$2:$EG$201,1)),"")</f>
        <v/>
      </c>
      <c r="EI45" s="23" t="n">
        <f aca="false">IF(AND(ISNUMBER(EH45),OR(N(EH45)&lt;Config!$B$31,N(EH45)&gt;Config!$B$33)),1,0)</f>
        <v>0</v>
      </c>
      <c r="EJ45" s="23" t="n">
        <f aca="false">IF(AND(ISNUMBER(EH45),N(EH45)&gt;=Config!$B$31,N(EH45)&lt;Config!$B$32),1,0)</f>
        <v>0</v>
      </c>
      <c r="EK45" s="23" t="n">
        <f aca="false">IF(AND(BF45=1,INT(N(H45))&lt;=Config!$B$6,DH45=1,EI45=1),1,0)</f>
        <v>0</v>
      </c>
      <c r="EL45" s="23" t="n">
        <f aca="false">IF(AND(BF45=1,INT(N(H45))&lt;=Config!$B$7,DI45=1,EI45=1),1,0)</f>
        <v>0</v>
      </c>
      <c r="EM45" s="23" t="n">
        <f aca="false">IF(AND(BF45=1,INT(N(H45))&lt;=Config!$B$8,DJ45=1,EI45=1),1,0)</f>
        <v>0</v>
      </c>
      <c r="EN45" s="23" t="n">
        <f aca="false">IF(AND(BF45=1,INT(N(H45))&lt;=Config!$B$5,DK45=1,EI45=1),1,0)</f>
        <v>0</v>
      </c>
      <c r="EO45" s="23" t="n">
        <f aca="false">IF(AND(DL45=1,EJ45=1),1,0)</f>
        <v>0</v>
      </c>
      <c r="EP45" s="23" t="n">
        <f aca="false">IF(AND(DM45=1,EJ45=1),1,0)</f>
        <v>0</v>
      </c>
      <c r="EQ45" s="23" t="n">
        <f aca="false">IF(AND(DN45=1,EJ45=1),1,0)</f>
        <v>0</v>
      </c>
      <c r="ER45" s="23" t="n">
        <f aca="false">IF(AND(DO45=1,EJ45=1),1,0)</f>
        <v>0</v>
      </c>
    </row>
    <row r="46" customFormat="false" ht="15" hidden="false" customHeight="false" outlineLevel="0" collapsed="false">
      <c r="G46" s="32"/>
      <c r="H46" s="33"/>
      <c r="I46" s="32"/>
      <c r="L46" s="32"/>
      <c r="Q46" s="32"/>
      <c r="U46" s="32"/>
      <c r="W46" s="32"/>
      <c r="AC46" s="32"/>
      <c r="AF46" s="32"/>
      <c r="AI46" s="32"/>
      <c r="AJ46" s="32"/>
      <c r="AN46" s="32"/>
      <c r="AR46" s="32"/>
      <c r="AT46" s="32"/>
      <c r="AU46" s="32"/>
      <c r="AW46" s="32"/>
      <c r="AY46" s="34" t="str">
        <f aca="false">IF(TRIM($A46)="","",IF(AND(LEFT($A46,6)="SAMPLE",Config!$B$19&lt;&gt;"Y"),"",IF(NOT(ISNUMBER(H46)),"call_date is blank or not a date",IF(Sync!$C$5="","Clay paste is empty or has no row_id column: paste the Clay export on Clay_Offices",IF(CW46="","row_id not found in the Clay paste: add the Clay row or fix the row_id",IF(AND(ISNUMBER(CY46),CY46&gt;=1,CY46&lt;=5),"Clay status is "&amp;CX46&amp;": set call_done or later",IF(AND(BD46=1,CZ46&lt;&gt;BZ46),"Clay yes_in_principle should be "&amp;BZ46,IF(AND(BD46=1,DA46&lt;&gt;H46),"Clay call_date should be "&amp;TEXT(H46,"yyyy-mm-dd"),""))))))))</f>
        <v/>
      </c>
      <c r="AZ46" s="23" t="str">
        <f aca="false">IF(TRIM($A46)="","",IF(TRIM(C46)&lt;&gt;"",SUBSTITUTE(SUBSTITUTE(SUBSTITUTE(SUBSTITUTE(SUBSTITUTE(SUBSTITUTE(LOWER(TRIM(C46)),"~",""),"*",""),"?",""),"&lt;",""),"&gt;",""),"=",""),IF(EA46&lt;&gt;"",EA46,IFERROR(INDEX($EA$2:$EA$201,MATCH(DZ46,$EB$2:$EB$201,0)),DZ46))))</f>
        <v/>
      </c>
      <c r="BA46" s="23" t="n">
        <f aca="false">ROW()</f>
        <v>46</v>
      </c>
      <c r="BB46" s="23" t="n">
        <f aca="false">IF(AND(TRIM($A46)&lt;&gt;"",ISNUMBER(H46)),IF(AND(LEFT($A46,6)="SAMPLE",Config!$B$19&lt;&gt;"Y"),0,1),0)</f>
        <v>0</v>
      </c>
      <c r="BC46" s="23" t="n">
        <f aca="false">IF(BB46=1,IF(COUNTIFS($AZ$2:$AZ$201,AZ46,$BB$2:$BB$201,1,$H$2:$H$201,"&lt;"&amp;H46)+COUNTIFS($AZ$2:$AZ$201,AZ46,$BB$2:$BB$201,1,$H$2:$H$201,H46,$BA$2:$BA$201,"&lt;"&amp;BA46)=0,1,0),0)</f>
        <v>0</v>
      </c>
      <c r="BD46" s="23" t="n">
        <f aca="false">IF(BB46=1,IF(COUNTIFS($A$2:$A$201,$A46,$BB$2:$BB$201,1,$H$2:$H$201,"&gt;"&amp;H46)+COUNTIFS($A$2:$A$201,$A46,$BB$2:$BB$201,1,$H$2:$H$201,H46,$BA$2:$BA$201,"&gt;"&amp;BA46)=0,1,0),0)</f>
        <v>0</v>
      </c>
      <c r="BE46" s="23" t="n">
        <f aca="false">IF(AND(BB46=1,AR46="Y",AC46="Y",TRIM(AH46)&lt;&gt;""),1,0)</f>
        <v>0</v>
      </c>
      <c r="BF46" s="23" t="n">
        <f aca="false">IF(BE46=1,IF(COUNTIFS($AZ$2:$AZ$201,AZ46,$BE$2:$BE$201,1,$H$2:$H$201,"&lt;"&amp;H46)+COUNTIFS($AZ$2:$AZ$201,AZ46,$BE$2:$BE$201,1,$H$2:$H$201,H46,$BA$2:$BA$201,"&lt;"&amp;BA46)=0,1,0),0)</f>
        <v>0</v>
      </c>
      <c r="BG46" s="23" t="n">
        <f aca="false">IF(AND(BB46=1,AR46="Y",BE46=0),1,0)</f>
        <v>0</v>
      </c>
      <c r="BH46" s="23" t="n">
        <f aca="false">IF(AND(BB46=1,ISNUMBER(Y46)),1,0)</f>
        <v>0</v>
      </c>
      <c r="BI46" s="23" t="n">
        <f aca="false">IF(BH46=1,IF(COUNTIFS($AZ$2:$AZ$201,AZ46,$BH$2:$BH$201,1,$H$2:$H$201,"&lt;"&amp;H46)+COUNTIFS($AZ$2:$AZ$201,AZ46,$BH$2:$BH$201,1,$H$2:$H$201,H46,$BA$2:$BA$201,"&lt;"&amp;BA46)=0,1,0),0)</f>
        <v>0</v>
      </c>
      <c r="BJ46" s="23" t="str">
        <f aca="false">IF(AND(BI46=1,INT(N(H46))&lt;=Config!$B$6),Y46,"")</f>
        <v/>
      </c>
      <c r="BK46" s="23" t="str">
        <f aca="false">IF(AND(BI46=1,INT(N(H46))&lt;=Config!$B$7),Y46,"")</f>
        <v/>
      </c>
      <c r="BL46" s="23" t="str">
        <f aca="false">IF(AND(BI46=1,INT(N(H46))&lt;=Config!$B$8),Y46,"")</f>
        <v/>
      </c>
      <c r="BM46" s="23" t="str">
        <f aca="false">IF(AND(BI46=1,INT(N(H46))&lt;=Config!$B$5),Y46,"")</f>
        <v/>
      </c>
      <c r="BN46" s="23" t="n">
        <f aca="false">IF(CD46=1,IF(COUNTIFS($AZ$2:$AZ$201,AZ46,$CD$2:$CD$201,1,$H$2:$H$201,"&lt;"&amp;H46)+COUNTIFS($AZ$2:$AZ$201,AZ46,$CD$2:$CD$201,1,$H$2:$H$201,H46,$BA$2:$BA$201,"&lt;"&amp;BA46)=0,1,0),0)</f>
        <v>0</v>
      </c>
      <c r="BO46" s="23" t="n">
        <f aca="false">IF(AND(BB46=1,ISNUMBER(M46)),1,0)</f>
        <v>0</v>
      </c>
      <c r="BP46" s="23" t="n">
        <f aca="false">IF(BO46=1,IF(COUNTIFS($AZ$2:$AZ$201,AZ46,$BO$2:$BO$201,1,$H$2:$H$201,"&lt;"&amp;H46)+COUNTIFS($AZ$2:$AZ$201,AZ46,$BO$2:$BO$201,1,$H$2:$H$201,H46,$BA$2:$BA$201,"&lt;"&amp;BA46)=0,1,0),0)</f>
        <v>0</v>
      </c>
      <c r="BQ46" s="23" t="str">
        <f aca="false">IF(AND(BP46=1,INT(N(H46))&lt;=Config!$B$5),M46,"")</f>
        <v/>
      </c>
      <c r="BR46" s="23" t="n">
        <f aca="false">IF(AND(BB46=1,OR(TRIM(X46)&lt;&gt;"",ISNUMBER(Y46))),1,0)</f>
        <v>0</v>
      </c>
      <c r="BS46" s="23" t="n">
        <f aca="false">IF(BR46=1,IF(COUNTIFS($AZ$2:$AZ$201,AZ46,$BR$2:$BR$201,1,$H$2:$H$201,"&lt;"&amp;H46)+COUNTIFS($AZ$2:$AZ$201,AZ46,$BR$2:$BR$201,1,$H$2:$H$201,H46,$BA$2:$BA$201,"&lt;"&amp;BA46)=0,1,0),0)</f>
        <v>0</v>
      </c>
      <c r="BT46" s="23" t="str">
        <f aca="false">IF(BS46=1,AZ46,"")</f>
        <v/>
      </c>
      <c r="BU46" s="23" t="n">
        <f aca="false">IF(AND(BB46=1,W46="Y",TRIM(X46)=""),1,0)</f>
        <v>0</v>
      </c>
      <c r="BV46" s="23" t="str">
        <f aca="false">IF(BB46=1,AN46&amp;"","")</f>
        <v/>
      </c>
      <c r="BW46" s="23" t="str">
        <f aca="false">IF(BB46=1,AO46&amp;"","")</f>
        <v/>
      </c>
      <c r="BX46" s="23" t="str">
        <f aca="false">IF(BB46=1,AP46&amp;"","")</f>
        <v/>
      </c>
      <c r="BY46" s="23" t="str">
        <f aca="false">IF(AND(BB46=1,ISNUMBER(AV46),INT(N(H46))&lt;=Config!$B$5),AV46,"")</f>
        <v/>
      </c>
      <c r="BZ46" s="23" t="str">
        <f aca="false">IF(BB46=1,IF(COUNTIFS($A$2:$A$201,$A46,$DC$2:$DC$201,1,$AR$2:$AR$201,"Y")&gt;0,"Y","N"),"")</f>
        <v/>
      </c>
      <c r="CA46" s="23" t="n">
        <f aca="false">IF(AND(BB46=1,AR46="maybe"),1,0)</f>
        <v>0</v>
      </c>
      <c r="CB46" s="23" t="n">
        <f aca="false">IF(CA46=1,IF(COUNTIFS($AZ$2:$AZ$201,AZ46,$CA$2:$CA$201,1,$H$2:$H$201,"&lt;"&amp;H46)+COUNTIFS($AZ$2:$AZ$201,AZ46,$CA$2:$CA$201,1,$H$2:$H$201,H46,$BA$2:$BA$201,"&lt;"&amp;BA46)=0,1,0),0)</f>
        <v>0</v>
      </c>
      <c r="CC46" s="23" t="n">
        <f aca="false">IF(AND(BB46=1,AR46="Y"),IF(COUNTIFS($AZ$2:$AZ$201,AZ46,$AR$2:$AR$201,"Y",$BB$2:$BB$201,1,$H$2:$H$201,"&lt;"&amp;H46)+COUNTIFS($AZ$2:$AZ$201,AZ46,$AR$2:$AR$201,"Y",$BB$2:$BB$201,1,$H$2:$H$201,H46,$BA$2:$BA$201,"&lt;"&amp;BA46)=0,1,0),0)</f>
        <v>0</v>
      </c>
      <c r="CD46" s="23" t="n">
        <f aca="false">IF(AND(BH46=1,N(Y46)&gt;=Config!$B$15),1,0)</f>
        <v>0</v>
      </c>
      <c r="CE46" s="23" t="n">
        <f aca="false">IF(AND(BB46=1,AT46="Y"),1,0)</f>
        <v>0</v>
      </c>
      <c r="CF46" s="23" t="n">
        <f aca="false">IF(CE46=1,IF(COUNTIFS($AZ$2:$AZ$201,AZ46,$CE$2:$CE$201,1,$H$2:$H$201,"&lt;"&amp;H46)+COUNTIFS($AZ$2:$AZ$201,AZ46,$CE$2:$CE$201,1,$H$2:$H$201,H46,$BA$2:$BA$201,"&lt;"&amp;BA46)=0,1,0),0)</f>
        <v>0</v>
      </c>
      <c r="CG46" s="23" t="n">
        <f aca="false">IF(AND(BB46=1,G46="warm-intro"),1,0)</f>
        <v>0</v>
      </c>
      <c r="CH46" s="23" t="n">
        <f aca="false">IF(CG46=1,IF(COUNTIFS($AZ$2:$AZ$201,AZ46,$CG$2:$CG$201,1,$H$2:$H$201,"&lt;"&amp;H46)+COUNTIFS($AZ$2:$AZ$201,AZ46,$CG$2:$CG$201,1,$H$2:$H$201,H46,$BA$2:$BA$201,"&lt;"&amp;BA46)=0,1,0),0)</f>
        <v>0</v>
      </c>
      <c r="CI46" s="23" t="n">
        <f aca="false">IF(AND(BB46=1,Q46="Y"),1,0)</f>
        <v>0</v>
      </c>
      <c r="CJ46" s="23" t="n">
        <f aca="false">IF(CI46=1,IF(COUNTIFS($AZ$2:$AZ$201,AZ46,$CI$2:$CI$201,1,$H$2:$H$201,"&lt;"&amp;H46)+COUNTIFS($AZ$2:$AZ$201,AZ46,$CI$2:$CI$201,1,$H$2:$H$201,H46,$BA$2:$BA$201,"&lt;"&amp;BA46)=0,1,0),0)</f>
        <v>0</v>
      </c>
      <c r="CK46" s="23" t="n">
        <f aca="false">IF(AND(BB46=1,AF46="Y"),1,0)</f>
        <v>0</v>
      </c>
      <c r="CL46" s="23" t="n">
        <f aca="false">IF(CK46=1,IF(COUNTIFS($AZ$2:$AZ$201,AZ46,$CK$2:$CK$201,1,$H$2:$H$201,"&lt;"&amp;H46)+COUNTIFS($AZ$2:$AZ$201,AZ46,$CK$2:$CK$201,1,$H$2:$H$201,H46,$BA$2:$BA$201,"&lt;"&amp;BA46)=0,1,0),0)</f>
        <v>0</v>
      </c>
      <c r="CM46" s="23" t="n">
        <f aca="false">IF(AND(BB46=1,U46="Y"),1,0)</f>
        <v>0</v>
      </c>
      <c r="CN46" s="23" t="n">
        <f aca="false">IF(CM46=1,IF(COUNTIFS($AZ$2:$AZ$201,AZ46,$CM$2:$CM$201,1,$H$2:$H$201,"&lt;"&amp;H46)+COUNTIFS($AZ$2:$AZ$201,AZ46,$CM$2:$CM$201,1,$H$2:$H$201,H46,$BA$2:$BA$201,"&lt;"&amp;BA46)=0,1,0),0)</f>
        <v>0</v>
      </c>
      <c r="CO46" s="23" t="n">
        <f aca="false">IF(AND(BB46=1,L46="Y"),1,0)</f>
        <v>0</v>
      </c>
      <c r="CP46" s="23" t="n">
        <f aca="false">IF(CO46=1,IF(COUNTIFS($AZ$2:$AZ$201,AZ46,$CO$2:$CO$201,1,$H$2:$H$201,"&lt;"&amp;H46)+COUNTIFS($AZ$2:$AZ$201,AZ46,$CO$2:$CO$201,1,$H$2:$H$201,H46,$BA$2:$BA$201,"&lt;"&amp;BA46)=0,1,0),0)</f>
        <v>0</v>
      </c>
      <c r="CQ46" s="23" t="n">
        <f aca="false">IF(AND(BB46=1,ISNUMBER(O46)),1,0)</f>
        <v>0</v>
      </c>
      <c r="CR46" s="23" t="n">
        <f aca="false">IF(CQ46=1,IF(COUNTIFS($AZ$2:$AZ$201,AZ46,$CQ$2:$CQ$201,1,$H$2:$H$201,"&lt;"&amp;H46)+COUNTIFS($AZ$2:$AZ$201,AZ46,$CQ$2:$CQ$201,1,$H$2:$H$201,H46,$BA$2:$BA$201,"&lt;"&amp;BA46)=0,1,0),0)</f>
        <v>0</v>
      </c>
      <c r="CS46" s="23" t="str">
        <f aca="false">IF(AND(CR46=1,INT(N(H46))&lt;=Config!$B$5),O46,"")</f>
        <v/>
      </c>
      <c r="CT46" s="23" t="str">
        <f aca="false">IF(AND(BB46=1,INT(N(H46))&lt;=Config!$B$5),AG46&amp;"","")</f>
        <v/>
      </c>
      <c r="CU46" s="23" t="n">
        <f aca="false">IF(AND(BB46=1,AU46="Y"),1,0)</f>
        <v>0</v>
      </c>
      <c r="CV46" s="23" t="n">
        <f aca="false">IF(CU46=1,IF(COUNTIFS($AZ$2:$AZ$201,AZ46,$CU$2:$CU$201,1,$H$2:$H$201,"&lt;"&amp;H46)+COUNTIFS($AZ$2:$AZ$201,AZ46,$CU$2:$CU$201,1,$H$2:$H$201,H46,$BA$2:$BA$201,"&lt;"&amp;BA46)=0,1,0),0)</f>
        <v>0</v>
      </c>
      <c r="CW46" s="23" t="str">
        <f aca="false">IF(BB46=1,IFERROR(MATCH($A46,INDEX(Clay_Offices!$A$2:$FZ$601,0,Sync!$C$5),0),""),"")</f>
        <v/>
      </c>
      <c r="CX46" s="23" t="str">
        <f aca="false">IF(CW46="","",IFERROR(INDEX(Clay_Offices!$A$2:$FZ$601,CW46,Sync!$C$7)&amp;"",""))</f>
        <v/>
      </c>
      <c r="CY46" s="23" t="str">
        <f aca="false">IF(CX46="","",IFERROR(INDEX(Lists!$K$2:$K$15,MATCH(CX46,Lists!$J$2:$J$15,0)),""))</f>
        <v/>
      </c>
      <c r="CZ46" s="23" t="str">
        <f aca="false">IF(CW46="","",IFERROR(INDEX(Clay_Offices!$A$2:$FZ$601,CW46,Sync!$C$17)&amp;"",""))</f>
        <v/>
      </c>
      <c r="DA46" s="35" t="str">
        <f aca="false">IF(CW46="","",IFERROR(N(INDEX(Clay_Offices!$A$2:$FZ$601,CW46,Sync!$C$16)),0))</f>
        <v/>
      </c>
      <c r="DB46" s="23" t="n">
        <f aca="false">IF(AND(BB46=1,OR(AR46="Y",AR46="N",AR46="maybe")),1,0)</f>
        <v>0</v>
      </c>
      <c r="DC46" s="23" t="n">
        <f aca="false">IF(AND(DB46=1),IF(COUNTIFS($A$2:$A$201,$A46,$DB$2:$DB$201,1,$H$2:$H$201,"&gt;"&amp;H46)+COUNTIFS($A$2:$A$201,$A46,$DB$2:$DB$201,1,$H$2:$H$201,H46,$BA$2:$BA$201,"&gt;"&amp;BA46)=0,1,0),0)</f>
        <v>0</v>
      </c>
      <c r="DD46" s="23" t="n">
        <f aca="false">IF(AND(DB46=1,INT(N(H46))&lt;=Config!$B$6),IF(COUNTIFS($AZ$2:$AZ$201,AZ46,$DB$2:$DB$201,1,$H$2:$H$201,"&gt;"&amp;H46,$H$2:$H$201,"&lt;"&amp;(Config!$B$6+1))+COUNTIFS($AZ$2:$AZ$201,AZ46,$DB$2:$DB$201,1,$H$2:$H$201,H46,$BA$2:$BA$201,"&gt;"&amp;BA46)=0,1,0),0)</f>
        <v>0</v>
      </c>
      <c r="DE46" s="23" t="n">
        <f aca="false">IF(AND(DB46=1,INT(N(H46))&lt;=Config!$B$7),IF(COUNTIFS($AZ$2:$AZ$201,AZ46,$DB$2:$DB$201,1,$H$2:$H$201,"&gt;"&amp;H46,$H$2:$H$201,"&lt;"&amp;(Config!$B$7+1))+COUNTIFS($AZ$2:$AZ$201,AZ46,$DB$2:$DB$201,1,$H$2:$H$201,H46,$BA$2:$BA$201,"&gt;"&amp;BA46)=0,1,0),0)</f>
        <v>0</v>
      </c>
      <c r="DF46" s="23" t="n">
        <f aca="false">IF(AND(DB46=1,INT(N(H46))&lt;=Config!$B$8),IF(COUNTIFS($AZ$2:$AZ$201,AZ46,$DB$2:$DB$201,1,$H$2:$H$201,"&gt;"&amp;H46,$H$2:$H$201,"&lt;"&amp;(Config!$B$8+1))+COUNTIFS($AZ$2:$AZ$201,AZ46,$DB$2:$DB$201,1,$H$2:$H$201,H46,$BA$2:$BA$201,"&gt;"&amp;BA46)=0,1,0),0)</f>
        <v>0</v>
      </c>
      <c r="DG46" s="23" t="n">
        <f aca="false">IF(AND(DB46=1,INT(N(H46))&lt;=Config!$B$5),IF(COUNTIFS($AZ$2:$AZ$201,AZ46,$DB$2:$DB$201,1,$H$2:$H$201,"&gt;"&amp;H46,$H$2:$H$201,"&lt;"&amp;(Config!$B$5+1))+COUNTIFS($AZ$2:$AZ$201,AZ46,$DB$2:$DB$201,1,$H$2:$H$201,H46,$BA$2:$BA$201,"&gt;"&amp;BA46)=0,1,0),0)</f>
        <v>0</v>
      </c>
      <c r="DH46" s="23" t="n">
        <f aca="false">IF(BB46=1,IF(COUNTIFS($AZ$2:$AZ$201,AZ46,$DD$2:$DD$201,1,$AR$2:$AR$201,"Y")&gt;0,1,0),0)</f>
        <v>0</v>
      </c>
      <c r="DI46" s="23" t="n">
        <f aca="false">IF(BB46=1,IF(COUNTIFS($AZ$2:$AZ$201,AZ46,$DE$2:$DE$201,1,$AR$2:$AR$201,"Y")&gt;0,1,0),0)</f>
        <v>0</v>
      </c>
      <c r="DJ46" s="23" t="n">
        <f aca="false">IF(BB46=1,IF(COUNTIFS($AZ$2:$AZ$201,AZ46,$DF$2:$DF$201,1,$AR$2:$AR$201,"Y")&gt;0,1,0),0)</f>
        <v>0</v>
      </c>
      <c r="DK46" s="23" t="n">
        <f aca="false">IF(BB46=1,IF(COUNTIFS($AZ$2:$AZ$201,AZ46,$DG$2:$DG$201,1,$AR$2:$AR$201,"Y")&gt;0,1,0),0)</f>
        <v>0</v>
      </c>
      <c r="DL46" s="23" t="n">
        <f aca="false">IF(AND(BF46=1,INT(N(H46))&lt;=Config!$B$6,DH46=1,EI46=0),1,0)</f>
        <v>0</v>
      </c>
      <c r="DM46" s="23" t="n">
        <f aca="false">IF(AND(BF46=1,INT(N(H46))&lt;=Config!$B$7,DI46=1,EI46=0),1,0)</f>
        <v>0</v>
      </c>
      <c r="DN46" s="23" t="n">
        <f aca="false">IF(AND(BF46=1,INT(N(H46))&lt;=Config!$B$8,DJ46=1,EI46=0),1,0)</f>
        <v>0</v>
      </c>
      <c r="DO46" s="23" t="n">
        <f aca="false">IF(AND(BF46=1,INT(N(H46))&lt;=Config!$B$5,DK46=1,EI46=0),1,0)</f>
        <v>0</v>
      </c>
      <c r="DP46" s="23" t="n">
        <f aca="false">IF(AND(CC46=1,INT(N(H46))&lt;=Config!$B$6,DH46=1,EI46=0),1,0)</f>
        <v>0</v>
      </c>
      <c r="DQ46" s="23" t="n">
        <f aca="false">IF(AND(CC46=1,INT(N(H46))&lt;=Config!$B$7,DI46=1,EI46=0),1,0)</f>
        <v>0</v>
      </c>
      <c r="DR46" s="23" t="n">
        <f aca="false">IF(AND(CC46=1,INT(N(H46))&lt;=Config!$B$8,DJ46=1,EI46=0),1,0)</f>
        <v>0</v>
      </c>
      <c r="DS46" s="23" t="n">
        <f aca="false">IF(AND(CC46=1,INT(N(H46))&lt;=Config!$B$5,DK46=1,EI46=0),1,0)</f>
        <v>0</v>
      </c>
      <c r="DT46" s="23" t="n">
        <f aca="false">IF(AND(CC46=1,INT(N(H46))&lt;=Config!$B$6,DH46=0),1,0)</f>
        <v>0</v>
      </c>
      <c r="DU46" s="23" t="n">
        <f aca="false">IF(AND(CC46=1,INT(N(H46))&lt;=Config!$B$7,DI46=0),1,0)</f>
        <v>0</v>
      </c>
      <c r="DV46" s="23" t="n">
        <f aca="false">IF(AND(CC46=1,INT(N(H46))&lt;=Config!$B$8,DJ46=0),1,0)</f>
        <v>0</v>
      </c>
      <c r="DW46" s="23" t="n">
        <f aca="false">IF(AND(CC46=1,INT(N(H46))&lt;=Config!$B$5,DK46=0),1,0)</f>
        <v>0</v>
      </c>
      <c r="DX46" s="23" t="n">
        <f aca="false">IF(TRIM($A46)="",0,ISTEXT(M46)+ISTEXT(O46)+ISTEXT(Y46)+ISTEXT(Z46)+ISTEXT(AA46)+ISTEXT(AV46))</f>
        <v>0</v>
      </c>
      <c r="DY46" s="23" t="n">
        <f aca="false">IF(BB46=1,IF(H46&lt;&gt;INT(H46),1,0),0)</f>
        <v>0</v>
      </c>
      <c r="DZ46" s="23" t="str">
        <f aca="false">IF(TRIM($A46)="","",IF(TRIM(B46)="",SUBSTITUTE(SUBSTITUTE(SUBSTITUTE(SUBSTITUTE(SUBSTITUTE(SUBSTITUTE(LOWER(TRIM($A46)),"~",""),"*",""),"?",""),"&lt;",""),"&gt;",""),"=",""),SUBSTITUTE(SUBSTITUTE(SUBSTITUTE(SUBSTITUTE(SUBSTITUTE(SUBSTITUTE(LOWER(TRIM(B46)),"~",""),"*",""),"?",""),"&lt;",""),"&gt;",""),"=","")))</f>
        <v/>
      </c>
      <c r="EA46" s="23" t="str">
        <f aca="false">IF(CW46="","",IFERROR(IF(LEFT(LOWER(TRIM(INDEX(Clay_Offices!$A$2:$FZ$601,CW46,Sync!$C$19)&amp;"")),4)="grp-",SUBSTITUTE(SUBSTITUTE(SUBSTITUTE(SUBSTITUTE(SUBSTITUTE(SUBSTITUTE(LOWER(TRIM(INDEX(Clay_Offices!$A$2:$FZ$601,CW46,Sync!$C$19)&amp;"")),"~",""),"*",""),"?",""),"&lt;",""),"&gt;",""),"=",""),""),""))</f>
        <v/>
      </c>
      <c r="EB46" s="23" t="str">
        <f aca="false">IF(EA46&lt;&gt;"",DZ46,"")</f>
        <v/>
      </c>
      <c r="EC46" s="23" t="str">
        <f aca="false">IF(BC46=1,AZ46,"")</f>
        <v/>
      </c>
      <c r="ED46" s="23" t="str">
        <f aca="false">IF(TRIM($A46)="","",IFERROR(INDEX($A$2:$A$201,MATCH(AZ46,$EC$2:$EC$201,0))&amp;"",$A46&amp;""))</f>
        <v/>
      </c>
      <c r="EE46" s="23" t="n">
        <f aca="false">IF(BB46=1,IF(COUNTIFS($A$2:$A$201,$A46,$BB$2:$BB$201,1,$H$2:$H$201,"&lt;"&amp;H46)+COUNTIFS($A$2:$A$201,$A46,$BB$2:$BB$201,1,$H$2:$H$201,H46,$BA$2:$BA$201,"&lt;"&amp;BA46)=0,1,0),0)</f>
        <v>0</v>
      </c>
      <c r="EF46" s="23" t="n">
        <f aca="false">IF(BC46=1,IF(COUNTIFS($AZ$2:$AZ$201,AZ46,$EE$2:$EE$201,1)&gt;1,1,0),0)</f>
        <v>0</v>
      </c>
      <c r="EG46" s="23" t="n">
        <f aca="false">IF(AND(CQ46=1),IF(COUNTIFS($AZ$2:$AZ$201,AZ46,$CQ$2:$CQ$201,1,$H$2:$H$201,"&gt;"&amp;H46)+COUNTIFS($AZ$2:$AZ$201,AZ46,$CQ$2:$CQ$201,1,$H$2:$H$201,H46,$BA$2:$BA$201,"&gt;"&amp;BA46)=0,1,0),0)</f>
        <v>0</v>
      </c>
      <c r="EH46" s="23" t="str">
        <f aca="false">IF(BB46=1,IF(COUNTIFS($AZ$2:$AZ$201,AZ46,$EG$2:$EG$201,1)=0,"",SUMIFS($O$2:$O$201,$AZ$2:$AZ$201,AZ46,$EG$2:$EG$201,1)),"")</f>
        <v/>
      </c>
      <c r="EI46" s="23" t="n">
        <f aca="false">IF(AND(ISNUMBER(EH46),OR(N(EH46)&lt;Config!$B$31,N(EH46)&gt;Config!$B$33)),1,0)</f>
        <v>0</v>
      </c>
      <c r="EJ46" s="23" t="n">
        <f aca="false">IF(AND(ISNUMBER(EH46),N(EH46)&gt;=Config!$B$31,N(EH46)&lt;Config!$B$32),1,0)</f>
        <v>0</v>
      </c>
      <c r="EK46" s="23" t="n">
        <f aca="false">IF(AND(BF46=1,INT(N(H46))&lt;=Config!$B$6,DH46=1,EI46=1),1,0)</f>
        <v>0</v>
      </c>
      <c r="EL46" s="23" t="n">
        <f aca="false">IF(AND(BF46=1,INT(N(H46))&lt;=Config!$B$7,DI46=1,EI46=1),1,0)</f>
        <v>0</v>
      </c>
      <c r="EM46" s="23" t="n">
        <f aca="false">IF(AND(BF46=1,INT(N(H46))&lt;=Config!$B$8,DJ46=1,EI46=1),1,0)</f>
        <v>0</v>
      </c>
      <c r="EN46" s="23" t="n">
        <f aca="false">IF(AND(BF46=1,INT(N(H46))&lt;=Config!$B$5,DK46=1,EI46=1),1,0)</f>
        <v>0</v>
      </c>
      <c r="EO46" s="23" t="n">
        <f aca="false">IF(AND(DL46=1,EJ46=1),1,0)</f>
        <v>0</v>
      </c>
      <c r="EP46" s="23" t="n">
        <f aca="false">IF(AND(DM46=1,EJ46=1),1,0)</f>
        <v>0</v>
      </c>
      <c r="EQ46" s="23" t="n">
        <f aca="false">IF(AND(DN46=1,EJ46=1),1,0)</f>
        <v>0</v>
      </c>
      <c r="ER46" s="23" t="n">
        <f aca="false">IF(AND(DO46=1,EJ46=1),1,0)</f>
        <v>0</v>
      </c>
    </row>
    <row r="47" customFormat="false" ht="15" hidden="false" customHeight="false" outlineLevel="0" collapsed="false">
      <c r="G47" s="32"/>
      <c r="H47" s="33"/>
      <c r="I47" s="32"/>
      <c r="L47" s="32"/>
      <c r="Q47" s="32"/>
      <c r="U47" s="32"/>
      <c r="W47" s="32"/>
      <c r="AC47" s="32"/>
      <c r="AF47" s="32"/>
      <c r="AI47" s="32"/>
      <c r="AJ47" s="32"/>
      <c r="AN47" s="32"/>
      <c r="AR47" s="32"/>
      <c r="AT47" s="32"/>
      <c r="AU47" s="32"/>
      <c r="AW47" s="32"/>
      <c r="AY47" s="34" t="str">
        <f aca="false">IF(TRIM($A47)="","",IF(AND(LEFT($A47,6)="SAMPLE",Config!$B$19&lt;&gt;"Y"),"",IF(NOT(ISNUMBER(H47)),"call_date is blank or not a date",IF(Sync!$C$5="","Clay paste is empty or has no row_id column: paste the Clay export on Clay_Offices",IF(CW47="","row_id not found in the Clay paste: add the Clay row or fix the row_id",IF(AND(ISNUMBER(CY47),CY47&gt;=1,CY47&lt;=5),"Clay status is "&amp;CX47&amp;": set call_done or later",IF(AND(BD47=1,CZ47&lt;&gt;BZ47),"Clay yes_in_principle should be "&amp;BZ47,IF(AND(BD47=1,DA47&lt;&gt;H47),"Clay call_date should be "&amp;TEXT(H47,"yyyy-mm-dd"),""))))))))</f>
        <v/>
      </c>
      <c r="AZ47" s="23" t="str">
        <f aca="false">IF(TRIM($A47)="","",IF(TRIM(C47)&lt;&gt;"",SUBSTITUTE(SUBSTITUTE(SUBSTITUTE(SUBSTITUTE(SUBSTITUTE(SUBSTITUTE(LOWER(TRIM(C47)),"~",""),"*",""),"?",""),"&lt;",""),"&gt;",""),"=",""),IF(EA47&lt;&gt;"",EA47,IFERROR(INDEX($EA$2:$EA$201,MATCH(DZ47,$EB$2:$EB$201,0)),DZ47))))</f>
        <v/>
      </c>
      <c r="BA47" s="23" t="n">
        <f aca="false">ROW()</f>
        <v>47</v>
      </c>
      <c r="BB47" s="23" t="n">
        <f aca="false">IF(AND(TRIM($A47)&lt;&gt;"",ISNUMBER(H47)),IF(AND(LEFT($A47,6)="SAMPLE",Config!$B$19&lt;&gt;"Y"),0,1),0)</f>
        <v>0</v>
      </c>
      <c r="BC47" s="23" t="n">
        <f aca="false">IF(BB47=1,IF(COUNTIFS($AZ$2:$AZ$201,AZ47,$BB$2:$BB$201,1,$H$2:$H$201,"&lt;"&amp;H47)+COUNTIFS($AZ$2:$AZ$201,AZ47,$BB$2:$BB$201,1,$H$2:$H$201,H47,$BA$2:$BA$201,"&lt;"&amp;BA47)=0,1,0),0)</f>
        <v>0</v>
      </c>
      <c r="BD47" s="23" t="n">
        <f aca="false">IF(BB47=1,IF(COUNTIFS($A$2:$A$201,$A47,$BB$2:$BB$201,1,$H$2:$H$201,"&gt;"&amp;H47)+COUNTIFS($A$2:$A$201,$A47,$BB$2:$BB$201,1,$H$2:$H$201,H47,$BA$2:$BA$201,"&gt;"&amp;BA47)=0,1,0),0)</f>
        <v>0</v>
      </c>
      <c r="BE47" s="23" t="n">
        <f aca="false">IF(AND(BB47=1,AR47="Y",AC47="Y",TRIM(AH47)&lt;&gt;""),1,0)</f>
        <v>0</v>
      </c>
      <c r="BF47" s="23" t="n">
        <f aca="false">IF(BE47=1,IF(COUNTIFS($AZ$2:$AZ$201,AZ47,$BE$2:$BE$201,1,$H$2:$H$201,"&lt;"&amp;H47)+COUNTIFS($AZ$2:$AZ$201,AZ47,$BE$2:$BE$201,1,$H$2:$H$201,H47,$BA$2:$BA$201,"&lt;"&amp;BA47)=0,1,0),0)</f>
        <v>0</v>
      </c>
      <c r="BG47" s="23" t="n">
        <f aca="false">IF(AND(BB47=1,AR47="Y",BE47=0),1,0)</f>
        <v>0</v>
      </c>
      <c r="BH47" s="23" t="n">
        <f aca="false">IF(AND(BB47=1,ISNUMBER(Y47)),1,0)</f>
        <v>0</v>
      </c>
      <c r="BI47" s="23" t="n">
        <f aca="false">IF(BH47=1,IF(COUNTIFS($AZ$2:$AZ$201,AZ47,$BH$2:$BH$201,1,$H$2:$H$201,"&lt;"&amp;H47)+COUNTIFS($AZ$2:$AZ$201,AZ47,$BH$2:$BH$201,1,$H$2:$H$201,H47,$BA$2:$BA$201,"&lt;"&amp;BA47)=0,1,0),0)</f>
        <v>0</v>
      </c>
      <c r="BJ47" s="23" t="str">
        <f aca="false">IF(AND(BI47=1,INT(N(H47))&lt;=Config!$B$6),Y47,"")</f>
        <v/>
      </c>
      <c r="BK47" s="23" t="str">
        <f aca="false">IF(AND(BI47=1,INT(N(H47))&lt;=Config!$B$7),Y47,"")</f>
        <v/>
      </c>
      <c r="BL47" s="23" t="str">
        <f aca="false">IF(AND(BI47=1,INT(N(H47))&lt;=Config!$B$8),Y47,"")</f>
        <v/>
      </c>
      <c r="BM47" s="23" t="str">
        <f aca="false">IF(AND(BI47=1,INT(N(H47))&lt;=Config!$B$5),Y47,"")</f>
        <v/>
      </c>
      <c r="BN47" s="23" t="n">
        <f aca="false">IF(CD47=1,IF(COUNTIFS($AZ$2:$AZ$201,AZ47,$CD$2:$CD$201,1,$H$2:$H$201,"&lt;"&amp;H47)+COUNTIFS($AZ$2:$AZ$201,AZ47,$CD$2:$CD$201,1,$H$2:$H$201,H47,$BA$2:$BA$201,"&lt;"&amp;BA47)=0,1,0),0)</f>
        <v>0</v>
      </c>
      <c r="BO47" s="23" t="n">
        <f aca="false">IF(AND(BB47=1,ISNUMBER(M47)),1,0)</f>
        <v>0</v>
      </c>
      <c r="BP47" s="23" t="n">
        <f aca="false">IF(BO47=1,IF(COUNTIFS($AZ$2:$AZ$201,AZ47,$BO$2:$BO$201,1,$H$2:$H$201,"&lt;"&amp;H47)+COUNTIFS($AZ$2:$AZ$201,AZ47,$BO$2:$BO$201,1,$H$2:$H$201,H47,$BA$2:$BA$201,"&lt;"&amp;BA47)=0,1,0),0)</f>
        <v>0</v>
      </c>
      <c r="BQ47" s="23" t="str">
        <f aca="false">IF(AND(BP47=1,INT(N(H47))&lt;=Config!$B$5),M47,"")</f>
        <v/>
      </c>
      <c r="BR47" s="23" t="n">
        <f aca="false">IF(AND(BB47=1,OR(TRIM(X47)&lt;&gt;"",ISNUMBER(Y47))),1,0)</f>
        <v>0</v>
      </c>
      <c r="BS47" s="23" t="n">
        <f aca="false">IF(BR47=1,IF(COUNTIFS($AZ$2:$AZ$201,AZ47,$BR$2:$BR$201,1,$H$2:$H$201,"&lt;"&amp;H47)+COUNTIFS($AZ$2:$AZ$201,AZ47,$BR$2:$BR$201,1,$H$2:$H$201,H47,$BA$2:$BA$201,"&lt;"&amp;BA47)=0,1,0),0)</f>
        <v>0</v>
      </c>
      <c r="BT47" s="23" t="str">
        <f aca="false">IF(BS47=1,AZ47,"")</f>
        <v/>
      </c>
      <c r="BU47" s="23" t="n">
        <f aca="false">IF(AND(BB47=1,W47="Y",TRIM(X47)=""),1,0)</f>
        <v>0</v>
      </c>
      <c r="BV47" s="23" t="str">
        <f aca="false">IF(BB47=1,AN47&amp;"","")</f>
        <v/>
      </c>
      <c r="BW47" s="23" t="str">
        <f aca="false">IF(BB47=1,AO47&amp;"","")</f>
        <v/>
      </c>
      <c r="BX47" s="23" t="str">
        <f aca="false">IF(BB47=1,AP47&amp;"","")</f>
        <v/>
      </c>
      <c r="BY47" s="23" t="str">
        <f aca="false">IF(AND(BB47=1,ISNUMBER(AV47),INT(N(H47))&lt;=Config!$B$5),AV47,"")</f>
        <v/>
      </c>
      <c r="BZ47" s="23" t="str">
        <f aca="false">IF(BB47=1,IF(COUNTIFS($A$2:$A$201,$A47,$DC$2:$DC$201,1,$AR$2:$AR$201,"Y")&gt;0,"Y","N"),"")</f>
        <v/>
      </c>
      <c r="CA47" s="23" t="n">
        <f aca="false">IF(AND(BB47=1,AR47="maybe"),1,0)</f>
        <v>0</v>
      </c>
      <c r="CB47" s="23" t="n">
        <f aca="false">IF(CA47=1,IF(COUNTIFS($AZ$2:$AZ$201,AZ47,$CA$2:$CA$201,1,$H$2:$H$201,"&lt;"&amp;H47)+COUNTIFS($AZ$2:$AZ$201,AZ47,$CA$2:$CA$201,1,$H$2:$H$201,H47,$BA$2:$BA$201,"&lt;"&amp;BA47)=0,1,0),0)</f>
        <v>0</v>
      </c>
      <c r="CC47" s="23" t="n">
        <f aca="false">IF(AND(BB47=1,AR47="Y"),IF(COUNTIFS($AZ$2:$AZ$201,AZ47,$AR$2:$AR$201,"Y",$BB$2:$BB$201,1,$H$2:$H$201,"&lt;"&amp;H47)+COUNTIFS($AZ$2:$AZ$201,AZ47,$AR$2:$AR$201,"Y",$BB$2:$BB$201,1,$H$2:$H$201,H47,$BA$2:$BA$201,"&lt;"&amp;BA47)=0,1,0),0)</f>
        <v>0</v>
      </c>
      <c r="CD47" s="23" t="n">
        <f aca="false">IF(AND(BH47=1,N(Y47)&gt;=Config!$B$15),1,0)</f>
        <v>0</v>
      </c>
      <c r="CE47" s="23" t="n">
        <f aca="false">IF(AND(BB47=1,AT47="Y"),1,0)</f>
        <v>0</v>
      </c>
      <c r="CF47" s="23" t="n">
        <f aca="false">IF(CE47=1,IF(COUNTIFS($AZ$2:$AZ$201,AZ47,$CE$2:$CE$201,1,$H$2:$H$201,"&lt;"&amp;H47)+COUNTIFS($AZ$2:$AZ$201,AZ47,$CE$2:$CE$201,1,$H$2:$H$201,H47,$BA$2:$BA$201,"&lt;"&amp;BA47)=0,1,0),0)</f>
        <v>0</v>
      </c>
      <c r="CG47" s="23" t="n">
        <f aca="false">IF(AND(BB47=1,G47="warm-intro"),1,0)</f>
        <v>0</v>
      </c>
      <c r="CH47" s="23" t="n">
        <f aca="false">IF(CG47=1,IF(COUNTIFS($AZ$2:$AZ$201,AZ47,$CG$2:$CG$201,1,$H$2:$H$201,"&lt;"&amp;H47)+COUNTIFS($AZ$2:$AZ$201,AZ47,$CG$2:$CG$201,1,$H$2:$H$201,H47,$BA$2:$BA$201,"&lt;"&amp;BA47)=0,1,0),0)</f>
        <v>0</v>
      </c>
      <c r="CI47" s="23" t="n">
        <f aca="false">IF(AND(BB47=1,Q47="Y"),1,0)</f>
        <v>0</v>
      </c>
      <c r="CJ47" s="23" t="n">
        <f aca="false">IF(CI47=1,IF(COUNTIFS($AZ$2:$AZ$201,AZ47,$CI$2:$CI$201,1,$H$2:$H$201,"&lt;"&amp;H47)+COUNTIFS($AZ$2:$AZ$201,AZ47,$CI$2:$CI$201,1,$H$2:$H$201,H47,$BA$2:$BA$201,"&lt;"&amp;BA47)=0,1,0),0)</f>
        <v>0</v>
      </c>
      <c r="CK47" s="23" t="n">
        <f aca="false">IF(AND(BB47=1,AF47="Y"),1,0)</f>
        <v>0</v>
      </c>
      <c r="CL47" s="23" t="n">
        <f aca="false">IF(CK47=1,IF(COUNTIFS($AZ$2:$AZ$201,AZ47,$CK$2:$CK$201,1,$H$2:$H$201,"&lt;"&amp;H47)+COUNTIFS($AZ$2:$AZ$201,AZ47,$CK$2:$CK$201,1,$H$2:$H$201,H47,$BA$2:$BA$201,"&lt;"&amp;BA47)=0,1,0),0)</f>
        <v>0</v>
      </c>
      <c r="CM47" s="23" t="n">
        <f aca="false">IF(AND(BB47=1,U47="Y"),1,0)</f>
        <v>0</v>
      </c>
      <c r="CN47" s="23" t="n">
        <f aca="false">IF(CM47=1,IF(COUNTIFS($AZ$2:$AZ$201,AZ47,$CM$2:$CM$201,1,$H$2:$H$201,"&lt;"&amp;H47)+COUNTIFS($AZ$2:$AZ$201,AZ47,$CM$2:$CM$201,1,$H$2:$H$201,H47,$BA$2:$BA$201,"&lt;"&amp;BA47)=0,1,0),0)</f>
        <v>0</v>
      </c>
      <c r="CO47" s="23" t="n">
        <f aca="false">IF(AND(BB47=1,L47="Y"),1,0)</f>
        <v>0</v>
      </c>
      <c r="CP47" s="23" t="n">
        <f aca="false">IF(CO47=1,IF(COUNTIFS($AZ$2:$AZ$201,AZ47,$CO$2:$CO$201,1,$H$2:$H$201,"&lt;"&amp;H47)+COUNTIFS($AZ$2:$AZ$201,AZ47,$CO$2:$CO$201,1,$H$2:$H$201,H47,$BA$2:$BA$201,"&lt;"&amp;BA47)=0,1,0),0)</f>
        <v>0</v>
      </c>
      <c r="CQ47" s="23" t="n">
        <f aca="false">IF(AND(BB47=1,ISNUMBER(O47)),1,0)</f>
        <v>0</v>
      </c>
      <c r="CR47" s="23" t="n">
        <f aca="false">IF(CQ47=1,IF(COUNTIFS($AZ$2:$AZ$201,AZ47,$CQ$2:$CQ$201,1,$H$2:$H$201,"&lt;"&amp;H47)+COUNTIFS($AZ$2:$AZ$201,AZ47,$CQ$2:$CQ$201,1,$H$2:$H$201,H47,$BA$2:$BA$201,"&lt;"&amp;BA47)=0,1,0),0)</f>
        <v>0</v>
      </c>
      <c r="CS47" s="23" t="str">
        <f aca="false">IF(AND(CR47=1,INT(N(H47))&lt;=Config!$B$5),O47,"")</f>
        <v/>
      </c>
      <c r="CT47" s="23" t="str">
        <f aca="false">IF(AND(BB47=1,INT(N(H47))&lt;=Config!$B$5),AG47&amp;"","")</f>
        <v/>
      </c>
      <c r="CU47" s="23" t="n">
        <f aca="false">IF(AND(BB47=1,AU47="Y"),1,0)</f>
        <v>0</v>
      </c>
      <c r="CV47" s="23" t="n">
        <f aca="false">IF(CU47=1,IF(COUNTIFS($AZ$2:$AZ$201,AZ47,$CU$2:$CU$201,1,$H$2:$H$201,"&lt;"&amp;H47)+COUNTIFS($AZ$2:$AZ$201,AZ47,$CU$2:$CU$201,1,$H$2:$H$201,H47,$BA$2:$BA$201,"&lt;"&amp;BA47)=0,1,0),0)</f>
        <v>0</v>
      </c>
      <c r="CW47" s="23" t="str">
        <f aca="false">IF(BB47=1,IFERROR(MATCH($A47,INDEX(Clay_Offices!$A$2:$FZ$601,0,Sync!$C$5),0),""),"")</f>
        <v/>
      </c>
      <c r="CX47" s="23" t="str">
        <f aca="false">IF(CW47="","",IFERROR(INDEX(Clay_Offices!$A$2:$FZ$601,CW47,Sync!$C$7)&amp;"",""))</f>
        <v/>
      </c>
      <c r="CY47" s="23" t="str">
        <f aca="false">IF(CX47="","",IFERROR(INDEX(Lists!$K$2:$K$15,MATCH(CX47,Lists!$J$2:$J$15,0)),""))</f>
        <v/>
      </c>
      <c r="CZ47" s="23" t="str">
        <f aca="false">IF(CW47="","",IFERROR(INDEX(Clay_Offices!$A$2:$FZ$601,CW47,Sync!$C$17)&amp;"",""))</f>
        <v/>
      </c>
      <c r="DA47" s="35" t="str">
        <f aca="false">IF(CW47="","",IFERROR(N(INDEX(Clay_Offices!$A$2:$FZ$601,CW47,Sync!$C$16)),0))</f>
        <v/>
      </c>
      <c r="DB47" s="23" t="n">
        <f aca="false">IF(AND(BB47=1,OR(AR47="Y",AR47="N",AR47="maybe")),1,0)</f>
        <v>0</v>
      </c>
      <c r="DC47" s="23" t="n">
        <f aca="false">IF(AND(DB47=1),IF(COUNTIFS($A$2:$A$201,$A47,$DB$2:$DB$201,1,$H$2:$H$201,"&gt;"&amp;H47)+COUNTIFS($A$2:$A$201,$A47,$DB$2:$DB$201,1,$H$2:$H$201,H47,$BA$2:$BA$201,"&gt;"&amp;BA47)=0,1,0),0)</f>
        <v>0</v>
      </c>
      <c r="DD47" s="23" t="n">
        <f aca="false">IF(AND(DB47=1,INT(N(H47))&lt;=Config!$B$6),IF(COUNTIFS($AZ$2:$AZ$201,AZ47,$DB$2:$DB$201,1,$H$2:$H$201,"&gt;"&amp;H47,$H$2:$H$201,"&lt;"&amp;(Config!$B$6+1))+COUNTIFS($AZ$2:$AZ$201,AZ47,$DB$2:$DB$201,1,$H$2:$H$201,H47,$BA$2:$BA$201,"&gt;"&amp;BA47)=0,1,0),0)</f>
        <v>0</v>
      </c>
      <c r="DE47" s="23" t="n">
        <f aca="false">IF(AND(DB47=1,INT(N(H47))&lt;=Config!$B$7),IF(COUNTIFS($AZ$2:$AZ$201,AZ47,$DB$2:$DB$201,1,$H$2:$H$201,"&gt;"&amp;H47,$H$2:$H$201,"&lt;"&amp;(Config!$B$7+1))+COUNTIFS($AZ$2:$AZ$201,AZ47,$DB$2:$DB$201,1,$H$2:$H$201,H47,$BA$2:$BA$201,"&gt;"&amp;BA47)=0,1,0),0)</f>
        <v>0</v>
      </c>
      <c r="DF47" s="23" t="n">
        <f aca="false">IF(AND(DB47=1,INT(N(H47))&lt;=Config!$B$8),IF(COUNTIFS($AZ$2:$AZ$201,AZ47,$DB$2:$DB$201,1,$H$2:$H$201,"&gt;"&amp;H47,$H$2:$H$201,"&lt;"&amp;(Config!$B$8+1))+COUNTIFS($AZ$2:$AZ$201,AZ47,$DB$2:$DB$201,1,$H$2:$H$201,H47,$BA$2:$BA$201,"&gt;"&amp;BA47)=0,1,0),0)</f>
        <v>0</v>
      </c>
      <c r="DG47" s="23" t="n">
        <f aca="false">IF(AND(DB47=1,INT(N(H47))&lt;=Config!$B$5),IF(COUNTIFS($AZ$2:$AZ$201,AZ47,$DB$2:$DB$201,1,$H$2:$H$201,"&gt;"&amp;H47,$H$2:$H$201,"&lt;"&amp;(Config!$B$5+1))+COUNTIFS($AZ$2:$AZ$201,AZ47,$DB$2:$DB$201,1,$H$2:$H$201,H47,$BA$2:$BA$201,"&gt;"&amp;BA47)=0,1,0),0)</f>
        <v>0</v>
      </c>
      <c r="DH47" s="23" t="n">
        <f aca="false">IF(BB47=1,IF(COUNTIFS($AZ$2:$AZ$201,AZ47,$DD$2:$DD$201,1,$AR$2:$AR$201,"Y")&gt;0,1,0),0)</f>
        <v>0</v>
      </c>
      <c r="DI47" s="23" t="n">
        <f aca="false">IF(BB47=1,IF(COUNTIFS($AZ$2:$AZ$201,AZ47,$DE$2:$DE$201,1,$AR$2:$AR$201,"Y")&gt;0,1,0),0)</f>
        <v>0</v>
      </c>
      <c r="DJ47" s="23" t="n">
        <f aca="false">IF(BB47=1,IF(COUNTIFS($AZ$2:$AZ$201,AZ47,$DF$2:$DF$201,1,$AR$2:$AR$201,"Y")&gt;0,1,0),0)</f>
        <v>0</v>
      </c>
      <c r="DK47" s="23" t="n">
        <f aca="false">IF(BB47=1,IF(COUNTIFS($AZ$2:$AZ$201,AZ47,$DG$2:$DG$201,1,$AR$2:$AR$201,"Y")&gt;0,1,0),0)</f>
        <v>0</v>
      </c>
      <c r="DL47" s="23" t="n">
        <f aca="false">IF(AND(BF47=1,INT(N(H47))&lt;=Config!$B$6,DH47=1,EI47=0),1,0)</f>
        <v>0</v>
      </c>
      <c r="DM47" s="23" t="n">
        <f aca="false">IF(AND(BF47=1,INT(N(H47))&lt;=Config!$B$7,DI47=1,EI47=0),1,0)</f>
        <v>0</v>
      </c>
      <c r="DN47" s="23" t="n">
        <f aca="false">IF(AND(BF47=1,INT(N(H47))&lt;=Config!$B$8,DJ47=1,EI47=0),1,0)</f>
        <v>0</v>
      </c>
      <c r="DO47" s="23" t="n">
        <f aca="false">IF(AND(BF47=1,INT(N(H47))&lt;=Config!$B$5,DK47=1,EI47=0),1,0)</f>
        <v>0</v>
      </c>
      <c r="DP47" s="23" t="n">
        <f aca="false">IF(AND(CC47=1,INT(N(H47))&lt;=Config!$B$6,DH47=1,EI47=0),1,0)</f>
        <v>0</v>
      </c>
      <c r="DQ47" s="23" t="n">
        <f aca="false">IF(AND(CC47=1,INT(N(H47))&lt;=Config!$B$7,DI47=1,EI47=0),1,0)</f>
        <v>0</v>
      </c>
      <c r="DR47" s="23" t="n">
        <f aca="false">IF(AND(CC47=1,INT(N(H47))&lt;=Config!$B$8,DJ47=1,EI47=0),1,0)</f>
        <v>0</v>
      </c>
      <c r="DS47" s="23" t="n">
        <f aca="false">IF(AND(CC47=1,INT(N(H47))&lt;=Config!$B$5,DK47=1,EI47=0),1,0)</f>
        <v>0</v>
      </c>
      <c r="DT47" s="23" t="n">
        <f aca="false">IF(AND(CC47=1,INT(N(H47))&lt;=Config!$B$6,DH47=0),1,0)</f>
        <v>0</v>
      </c>
      <c r="DU47" s="23" t="n">
        <f aca="false">IF(AND(CC47=1,INT(N(H47))&lt;=Config!$B$7,DI47=0),1,0)</f>
        <v>0</v>
      </c>
      <c r="DV47" s="23" t="n">
        <f aca="false">IF(AND(CC47=1,INT(N(H47))&lt;=Config!$B$8,DJ47=0),1,0)</f>
        <v>0</v>
      </c>
      <c r="DW47" s="23" t="n">
        <f aca="false">IF(AND(CC47=1,INT(N(H47))&lt;=Config!$B$5,DK47=0),1,0)</f>
        <v>0</v>
      </c>
      <c r="DX47" s="23" t="n">
        <f aca="false">IF(TRIM($A47)="",0,ISTEXT(M47)+ISTEXT(O47)+ISTEXT(Y47)+ISTEXT(Z47)+ISTEXT(AA47)+ISTEXT(AV47))</f>
        <v>0</v>
      </c>
      <c r="DY47" s="23" t="n">
        <f aca="false">IF(BB47=1,IF(H47&lt;&gt;INT(H47),1,0),0)</f>
        <v>0</v>
      </c>
      <c r="DZ47" s="23" t="str">
        <f aca="false">IF(TRIM($A47)="","",IF(TRIM(B47)="",SUBSTITUTE(SUBSTITUTE(SUBSTITUTE(SUBSTITUTE(SUBSTITUTE(SUBSTITUTE(LOWER(TRIM($A47)),"~",""),"*",""),"?",""),"&lt;",""),"&gt;",""),"=",""),SUBSTITUTE(SUBSTITUTE(SUBSTITUTE(SUBSTITUTE(SUBSTITUTE(SUBSTITUTE(LOWER(TRIM(B47)),"~",""),"*",""),"?",""),"&lt;",""),"&gt;",""),"=","")))</f>
        <v/>
      </c>
      <c r="EA47" s="23" t="str">
        <f aca="false">IF(CW47="","",IFERROR(IF(LEFT(LOWER(TRIM(INDEX(Clay_Offices!$A$2:$FZ$601,CW47,Sync!$C$19)&amp;"")),4)="grp-",SUBSTITUTE(SUBSTITUTE(SUBSTITUTE(SUBSTITUTE(SUBSTITUTE(SUBSTITUTE(LOWER(TRIM(INDEX(Clay_Offices!$A$2:$FZ$601,CW47,Sync!$C$19)&amp;"")),"~",""),"*",""),"?",""),"&lt;",""),"&gt;",""),"=",""),""),""))</f>
        <v/>
      </c>
      <c r="EB47" s="23" t="str">
        <f aca="false">IF(EA47&lt;&gt;"",DZ47,"")</f>
        <v/>
      </c>
      <c r="EC47" s="23" t="str">
        <f aca="false">IF(BC47=1,AZ47,"")</f>
        <v/>
      </c>
      <c r="ED47" s="23" t="str">
        <f aca="false">IF(TRIM($A47)="","",IFERROR(INDEX($A$2:$A$201,MATCH(AZ47,$EC$2:$EC$201,0))&amp;"",$A47&amp;""))</f>
        <v/>
      </c>
      <c r="EE47" s="23" t="n">
        <f aca="false">IF(BB47=1,IF(COUNTIFS($A$2:$A$201,$A47,$BB$2:$BB$201,1,$H$2:$H$201,"&lt;"&amp;H47)+COUNTIFS($A$2:$A$201,$A47,$BB$2:$BB$201,1,$H$2:$H$201,H47,$BA$2:$BA$201,"&lt;"&amp;BA47)=0,1,0),0)</f>
        <v>0</v>
      </c>
      <c r="EF47" s="23" t="n">
        <f aca="false">IF(BC47=1,IF(COUNTIFS($AZ$2:$AZ$201,AZ47,$EE$2:$EE$201,1)&gt;1,1,0),0)</f>
        <v>0</v>
      </c>
      <c r="EG47" s="23" t="n">
        <f aca="false">IF(AND(CQ47=1),IF(COUNTIFS($AZ$2:$AZ$201,AZ47,$CQ$2:$CQ$201,1,$H$2:$H$201,"&gt;"&amp;H47)+COUNTIFS($AZ$2:$AZ$201,AZ47,$CQ$2:$CQ$201,1,$H$2:$H$201,H47,$BA$2:$BA$201,"&gt;"&amp;BA47)=0,1,0),0)</f>
        <v>0</v>
      </c>
      <c r="EH47" s="23" t="str">
        <f aca="false">IF(BB47=1,IF(COUNTIFS($AZ$2:$AZ$201,AZ47,$EG$2:$EG$201,1)=0,"",SUMIFS($O$2:$O$201,$AZ$2:$AZ$201,AZ47,$EG$2:$EG$201,1)),"")</f>
        <v/>
      </c>
      <c r="EI47" s="23" t="n">
        <f aca="false">IF(AND(ISNUMBER(EH47),OR(N(EH47)&lt;Config!$B$31,N(EH47)&gt;Config!$B$33)),1,0)</f>
        <v>0</v>
      </c>
      <c r="EJ47" s="23" t="n">
        <f aca="false">IF(AND(ISNUMBER(EH47),N(EH47)&gt;=Config!$B$31,N(EH47)&lt;Config!$B$32),1,0)</f>
        <v>0</v>
      </c>
      <c r="EK47" s="23" t="n">
        <f aca="false">IF(AND(BF47=1,INT(N(H47))&lt;=Config!$B$6,DH47=1,EI47=1),1,0)</f>
        <v>0</v>
      </c>
      <c r="EL47" s="23" t="n">
        <f aca="false">IF(AND(BF47=1,INT(N(H47))&lt;=Config!$B$7,DI47=1,EI47=1),1,0)</f>
        <v>0</v>
      </c>
      <c r="EM47" s="23" t="n">
        <f aca="false">IF(AND(BF47=1,INT(N(H47))&lt;=Config!$B$8,DJ47=1,EI47=1),1,0)</f>
        <v>0</v>
      </c>
      <c r="EN47" s="23" t="n">
        <f aca="false">IF(AND(BF47=1,INT(N(H47))&lt;=Config!$B$5,DK47=1,EI47=1),1,0)</f>
        <v>0</v>
      </c>
      <c r="EO47" s="23" t="n">
        <f aca="false">IF(AND(DL47=1,EJ47=1),1,0)</f>
        <v>0</v>
      </c>
      <c r="EP47" s="23" t="n">
        <f aca="false">IF(AND(DM47=1,EJ47=1),1,0)</f>
        <v>0</v>
      </c>
      <c r="EQ47" s="23" t="n">
        <f aca="false">IF(AND(DN47=1,EJ47=1),1,0)</f>
        <v>0</v>
      </c>
      <c r="ER47" s="23" t="n">
        <f aca="false">IF(AND(DO47=1,EJ47=1),1,0)</f>
        <v>0</v>
      </c>
    </row>
    <row r="48" customFormat="false" ht="15" hidden="false" customHeight="false" outlineLevel="0" collapsed="false">
      <c r="G48" s="32"/>
      <c r="H48" s="33"/>
      <c r="I48" s="32"/>
      <c r="L48" s="32"/>
      <c r="Q48" s="32"/>
      <c r="U48" s="32"/>
      <c r="W48" s="32"/>
      <c r="AC48" s="32"/>
      <c r="AF48" s="32"/>
      <c r="AI48" s="32"/>
      <c r="AJ48" s="32"/>
      <c r="AN48" s="32"/>
      <c r="AR48" s="32"/>
      <c r="AT48" s="32"/>
      <c r="AU48" s="32"/>
      <c r="AW48" s="32"/>
      <c r="AY48" s="34" t="str">
        <f aca="false">IF(TRIM($A48)="","",IF(AND(LEFT($A48,6)="SAMPLE",Config!$B$19&lt;&gt;"Y"),"",IF(NOT(ISNUMBER(H48)),"call_date is blank or not a date",IF(Sync!$C$5="","Clay paste is empty or has no row_id column: paste the Clay export on Clay_Offices",IF(CW48="","row_id not found in the Clay paste: add the Clay row or fix the row_id",IF(AND(ISNUMBER(CY48),CY48&gt;=1,CY48&lt;=5),"Clay status is "&amp;CX48&amp;": set call_done or later",IF(AND(BD48=1,CZ48&lt;&gt;BZ48),"Clay yes_in_principle should be "&amp;BZ48,IF(AND(BD48=1,DA48&lt;&gt;H48),"Clay call_date should be "&amp;TEXT(H48,"yyyy-mm-dd"),""))))))))</f>
        <v/>
      </c>
      <c r="AZ48" s="23" t="str">
        <f aca="false">IF(TRIM($A48)="","",IF(TRIM(C48)&lt;&gt;"",SUBSTITUTE(SUBSTITUTE(SUBSTITUTE(SUBSTITUTE(SUBSTITUTE(SUBSTITUTE(LOWER(TRIM(C48)),"~",""),"*",""),"?",""),"&lt;",""),"&gt;",""),"=",""),IF(EA48&lt;&gt;"",EA48,IFERROR(INDEX($EA$2:$EA$201,MATCH(DZ48,$EB$2:$EB$201,0)),DZ48))))</f>
        <v/>
      </c>
      <c r="BA48" s="23" t="n">
        <f aca="false">ROW()</f>
        <v>48</v>
      </c>
      <c r="BB48" s="23" t="n">
        <f aca="false">IF(AND(TRIM($A48)&lt;&gt;"",ISNUMBER(H48)),IF(AND(LEFT($A48,6)="SAMPLE",Config!$B$19&lt;&gt;"Y"),0,1),0)</f>
        <v>0</v>
      </c>
      <c r="BC48" s="23" t="n">
        <f aca="false">IF(BB48=1,IF(COUNTIFS($AZ$2:$AZ$201,AZ48,$BB$2:$BB$201,1,$H$2:$H$201,"&lt;"&amp;H48)+COUNTIFS($AZ$2:$AZ$201,AZ48,$BB$2:$BB$201,1,$H$2:$H$201,H48,$BA$2:$BA$201,"&lt;"&amp;BA48)=0,1,0),0)</f>
        <v>0</v>
      </c>
      <c r="BD48" s="23" t="n">
        <f aca="false">IF(BB48=1,IF(COUNTIFS($A$2:$A$201,$A48,$BB$2:$BB$201,1,$H$2:$H$201,"&gt;"&amp;H48)+COUNTIFS($A$2:$A$201,$A48,$BB$2:$BB$201,1,$H$2:$H$201,H48,$BA$2:$BA$201,"&gt;"&amp;BA48)=0,1,0),0)</f>
        <v>0</v>
      </c>
      <c r="BE48" s="23" t="n">
        <f aca="false">IF(AND(BB48=1,AR48="Y",AC48="Y",TRIM(AH48)&lt;&gt;""),1,0)</f>
        <v>0</v>
      </c>
      <c r="BF48" s="23" t="n">
        <f aca="false">IF(BE48=1,IF(COUNTIFS($AZ$2:$AZ$201,AZ48,$BE$2:$BE$201,1,$H$2:$H$201,"&lt;"&amp;H48)+COUNTIFS($AZ$2:$AZ$201,AZ48,$BE$2:$BE$201,1,$H$2:$H$201,H48,$BA$2:$BA$201,"&lt;"&amp;BA48)=0,1,0),0)</f>
        <v>0</v>
      </c>
      <c r="BG48" s="23" t="n">
        <f aca="false">IF(AND(BB48=1,AR48="Y",BE48=0),1,0)</f>
        <v>0</v>
      </c>
      <c r="BH48" s="23" t="n">
        <f aca="false">IF(AND(BB48=1,ISNUMBER(Y48)),1,0)</f>
        <v>0</v>
      </c>
      <c r="BI48" s="23" t="n">
        <f aca="false">IF(BH48=1,IF(COUNTIFS($AZ$2:$AZ$201,AZ48,$BH$2:$BH$201,1,$H$2:$H$201,"&lt;"&amp;H48)+COUNTIFS($AZ$2:$AZ$201,AZ48,$BH$2:$BH$201,1,$H$2:$H$201,H48,$BA$2:$BA$201,"&lt;"&amp;BA48)=0,1,0),0)</f>
        <v>0</v>
      </c>
      <c r="BJ48" s="23" t="str">
        <f aca="false">IF(AND(BI48=1,INT(N(H48))&lt;=Config!$B$6),Y48,"")</f>
        <v/>
      </c>
      <c r="BK48" s="23" t="str">
        <f aca="false">IF(AND(BI48=1,INT(N(H48))&lt;=Config!$B$7),Y48,"")</f>
        <v/>
      </c>
      <c r="BL48" s="23" t="str">
        <f aca="false">IF(AND(BI48=1,INT(N(H48))&lt;=Config!$B$8),Y48,"")</f>
        <v/>
      </c>
      <c r="BM48" s="23" t="str">
        <f aca="false">IF(AND(BI48=1,INT(N(H48))&lt;=Config!$B$5),Y48,"")</f>
        <v/>
      </c>
      <c r="BN48" s="23" t="n">
        <f aca="false">IF(CD48=1,IF(COUNTIFS($AZ$2:$AZ$201,AZ48,$CD$2:$CD$201,1,$H$2:$H$201,"&lt;"&amp;H48)+COUNTIFS($AZ$2:$AZ$201,AZ48,$CD$2:$CD$201,1,$H$2:$H$201,H48,$BA$2:$BA$201,"&lt;"&amp;BA48)=0,1,0),0)</f>
        <v>0</v>
      </c>
      <c r="BO48" s="23" t="n">
        <f aca="false">IF(AND(BB48=1,ISNUMBER(M48)),1,0)</f>
        <v>0</v>
      </c>
      <c r="BP48" s="23" t="n">
        <f aca="false">IF(BO48=1,IF(COUNTIFS($AZ$2:$AZ$201,AZ48,$BO$2:$BO$201,1,$H$2:$H$201,"&lt;"&amp;H48)+COUNTIFS($AZ$2:$AZ$201,AZ48,$BO$2:$BO$201,1,$H$2:$H$201,H48,$BA$2:$BA$201,"&lt;"&amp;BA48)=0,1,0),0)</f>
        <v>0</v>
      </c>
      <c r="BQ48" s="23" t="str">
        <f aca="false">IF(AND(BP48=1,INT(N(H48))&lt;=Config!$B$5),M48,"")</f>
        <v/>
      </c>
      <c r="BR48" s="23" t="n">
        <f aca="false">IF(AND(BB48=1,OR(TRIM(X48)&lt;&gt;"",ISNUMBER(Y48))),1,0)</f>
        <v>0</v>
      </c>
      <c r="BS48" s="23" t="n">
        <f aca="false">IF(BR48=1,IF(COUNTIFS($AZ$2:$AZ$201,AZ48,$BR$2:$BR$201,1,$H$2:$H$201,"&lt;"&amp;H48)+COUNTIFS($AZ$2:$AZ$201,AZ48,$BR$2:$BR$201,1,$H$2:$H$201,H48,$BA$2:$BA$201,"&lt;"&amp;BA48)=0,1,0),0)</f>
        <v>0</v>
      </c>
      <c r="BT48" s="23" t="str">
        <f aca="false">IF(BS48=1,AZ48,"")</f>
        <v/>
      </c>
      <c r="BU48" s="23" t="n">
        <f aca="false">IF(AND(BB48=1,W48="Y",TRIM(X48)=""),1,0)</f>
        <v>0</v>
      </c>
      <c r="BV48" s="23" t="str">
        <f aca="false">IF(BB48=1,AN48&amp;"","")</f>
        <v/>
      </c>
      <c r="BW48" s="23" t="str">
        <f aca="false">IF(BB48=1,AO48&amp;"","")</f>
        <v/>
      </c>
      <c r="BX48" s="23" t="str">
        <f aca="false">IF(BB48=1,AP48&amp;"","")</f>
        <v/>
      </c>
      <c r="BY48" s="23" t="str">
        <f aca="false">IF(AND(BB48=1,ISNUMBER(AV48),INT(N(H48))&lt;=Config!$B$5),AV48,"")</f>
        <v/>
      </c>
      <c r="BZ48" s="23" t="str">
        <f aca="false">IF(BB48=1,IF(COUNTIFS($A$2:$A$201,$A48,$DC$2:$DC$201,1,$AR$2:$AR$201,"Y")&gt;0,"Y","N"),"")</f>
        <v/>
      </c>
      <c r="CA48" s="23" t="n">
        <f aca="false">IF(AND(BB48=1,AR48="maybe"),1,0)</f>
        <v>0</v>
      </c>
      <c r="CB48" s="23" t="n">
        <f aca="false">IF(CA48=1,IF(COUNTIFS($AZ$2:$AZ$201,AZ48,$CA$2:$CA$201,1,$H$2:$H$201,"&lt;"&amp;H48)+COUNTIFS($AZ$2:$AZ$201,AZ48,$CA$2:$CA$201,1,$H$2:$H$201,H48,$BA$2:$BA$201,"&lt;"&amp;BA48)=0,1,0),0)</f>
        <v>0</v>
      </c>
      <c r="CC48" s="23" t="n">
        <f aca="false">IF(AND(BB48=1,AR48="Y"),IF(COUNTIFS($AZ$2:$AZ$201,AZ48,$AR$2:$AR$201,"Y",$BB$2:$BB$201,1,$H$2:$H$201,"&lt;"&amp;H48)+COUNTIFS($AZ$2:$AZ$201,AZ48,$AR$2:$AR$201,"Y",$BB$2:$BB$201,1,$H$2:$H$201,H48,$BA$2:$BA$201,"&lt;"&amp;BA48)=0,1,0),0)</f>
        <v>0</v>
      </c>
      <c r="CD48" s="23" t="n">
        <f aca="false">IF(AND(BH48=1,N(Y48)&gt;=Config!$B$15),1,0)</f>
        <v>0</v>
      </c>
      <c r="CE48" s="23" t="n">
        <f aca="false">IF(AND(BB48=1,AT48="Y"),1,0)</f>
        <v>0</v>
      </c>
      <c r="CF48" s="23" t="n">
        <f aca="false">IF(CE48=1,IF(COUNTIFS($AZ$2:$AZ$201,AZ48,$CE$2:$CE$201,1,$H$2:$H$201,"&lt;"&amp;H48)+COUNTIFS($AZ$2:$AZ$201,AZ48,$CE$2:$CE$201,1,$H$2:$H$201,H48,$BA$2:$BA$201,"&lt;"&amp;BA48)=0,1,0),0)</f>
        <v>0</v>
      </c>
      <c r="CG48" s="23" t="n">
        <f aca="false">IF(AND(BB48=1,G48="warm-intro"),1,0)</f>
        <v>0</v>
      </c>
      <c r="CH48" s="23" t="n">
        <f aca="false">IF(CG48=1,IF(COUNTIFS($AZ$2:$AZ$201,AZ48,$CG$2:$CG$201,1,$H$2:$H$201,"&lt;"&amp;H48)+COUNTIFS($AZ$2:$AZ$201,AZ48,$CG$2:$CG$201,1,$H$2:$H$201,H48,$BA$2:$BA$201,"&lt;"&amp;BA48)=0,1,0),0)</f>
        <v>0</v>
      </c>
      <c r="CI48" s="23" t="n">
        <f aca="false">IF(AND(BB48=1,Q48="Y"),1,0)</f>
        <v>0</v>
      </c>
      <c r="CJ48" s="23" t="n">
        <f aca="false">IF(CI48=1,IF(COUNTIFS($AZ$2:$AZ$201,AZ48,$CI$2:$CI$201,1,$H$2:$H$201,"&lt;"&amp;H48)+COUNTIFS($AZ$2:$AZ$201,AZ48,$CI$2:$CI$201,1,$H$2:$H$201,H48,$BA$2:$BA$201,"&lt;"&amp;BA48)=0,1,0),0)</f>
        <v>0</v>
      </c>
      <c r="CK48" s="23" t="n">
        <f aca="false">IF(AND(BB48=1,AF48="Y"),1,0)</f>
        <v>0</v>
      </c>
      <c r="CL48" s="23" t="n">
        <f aca="false">IF(CK48=1,IF(COUNTIFS($AZ$2:$AZ$201,AZ48,$CK$2:$CK$201,1,$H$2:$H$201,"&lt;"&amp;H48)+COUNTIFS($AZ$2:$AZ$201,AZ48,$CK$2:$CK$201,1,$H$2:$H$201,H48,$BA$2:$BA$201,"&lt;"&amp;BA48)=0,1,0),0)</f>
        <v>0</v>
      </c>
      <c r="CM48" s="23" t="n">
        <f aca="false">IF(AND(BB48=1,U48="Y"),1,0)</f>
        <v>0</v>
      </c>
      <c r="CN48" s="23" t="n">
        <f aca="false">IF(CM48=1,IF(COUNTIFS($AZ$2:$AZ$201,AZ48,$CM$2:$CM$201,1,$H$2:$H$201,"&lt;"&amp;H48)+COUNTIFS($AZ$2:$AZ$201,AZ48,$CM$2:$CM$201,1,$H$2:$H$201,H48,$BA$2:$BA$201,"&lt;"&amp;BA48)=0,1,0),0)</f>
        <v>0</v>
      </c>
      <c r="CO48" s="23" t="n">
        <f aca="false">IF(AND(BB48=1,L48="Y"),1,0)</f>
        <v>0</v>
      </c>
      <c r="CP48" s="23" t="n">
        <f aca="false">IF(CO48=1,IF(COUNTIFS($AZ$2:$AZ$201,AZ48,$CO$2:$CO$201,1,$H$2:$H$201,"&lt;"&amp;H48)+COUNTIFS($AZ$2:$AZ$201,AZ48,$CO$2:$CO$201,1,$H$2:$H$201,H48,$BA$2:$BA$201,"&lt;"&amp;BA48)=0,1,0),0)</f>
        <v>0</v>
      </c>
      <c r="CQ48" s="23" t="n">
        <f aca="false">IF(AND(BB48=1,ISNUMBER(O48)),1,0)</f>
        <v>0</v>
      </c>
      <c r="CR48" s="23" t="n">
        <f aca="false">IF(CQ48=1,IF(COUNTIFS($AZ$2:$AZ$201,AZ48,$CQ$2:$CQ$201,1,$H$2:$H$201,"&lt;"&amp;H48)+COUNTIFS($AZ$2:$AZ$201,AZ48,$CQ$2:$CQ$201,1,$H$2:$H$201,H48,$BA$2:$BA$201,"&lt;"&amp;BA48)=0,1,0),0)</f>
        <v>0</v>
      </c>
      <c r="CS48" s="23" t="str">
        <f aca="false">IF(AND(CR48=1,INT(N(H48))&lt;=Config!$B$5),O48,"")</f>
        <v/>
      </c>
      <c r="CT48" s="23" t="str">
        <f aca="false">IF(AND(BB48=1,INT(N(H48))&lt;=Config!$B$5),AG48&amp;"","")</f>
        <v/>
      </c>
      <c r="CU48" s="23" t="n">
        <f aca="false">IF(AND(BB48=1,AU48="Y"),1,0)</f>
        <v>0</v>
      </c>
      <c r="CV48" s="23" t="n">
        <f aca="false">IF(CU48=1,IF(COUNTIFS($AZ$2:$AZ$201,AZ48,$CU$2:$CU$201,1,$H$2:$H$201,"&lt;"&amp;H48)+COUNTIFS($AZ$2:$AZ$201,AZ48,$CU$2:$CU$201,1,$H$2:$H$201,H48,$BA$2:$BA$201,"&lt;"&amp;BA48)=0,1,0),0)</f>
        <v>0</v>
      </c>
      <c r="CW48" s="23" t="str">
        <f aca="false">IF(BB48=1,IFERROR(MATCH($A48,INDEX(Clay_Offices!$A$2:$FZ$601,0,Sync!$C$5),0),""),"")</f>
        <v/>
      </c>
      <c r="CX48" s="23" t="str">
        <f aca="false">IF(CW48="","",IFERROR(INDEX(Clay_Offices!$A$2:$FZ$601,CW48,Sync!$C$7)&amp;"",""))</f>
        <v/>
      </c>
      <c r="CY48" s="23" t="str">
        <f aca="false">IF(CX48="","",IFERROR(INDEX(Lists!$K$2:$K$15,MATCH(CX48,Lists!$J$2:$J$15,0)),""))</f>
        <v/>
      </c>
      <c r="CZ48" s="23" t="str">
        <f aca="false">IF(CW48="","",IFERROR(INDEX(Clay_Offices!$A$2:$FZ$601,CW48,Sync!$C$17)&amp;"",""))</f>
        <v/>
      </c>
      <c r="DA48" s="35" t="str">
        <f aca="false">IF(CW48="","",IFERROR(N(INDEX(Clay_Offices!$A$2:$FZ$601,CW48,Sync!$C$16)),0))</f>
        <v/>
      </c>
      <c r="DB48" s="23" t="n">
        <f aca="false">IF(AND(BB48=1,OR(AR48="Y",AR48="N",AR48="maybe")),1,0)</f>
        <v>0</v>
      </c>
      <c r="DC48" s="23" t="n">
        <f aca="false">IF(AND(DB48=1),IF(COUNTIFS($A$2:$A$201,$A48,$DB$2:$DB$201,1,$H$2:$H$201,"&gt;"&amp;H48)+COUNTIFS($A$2:$A$201,$A48,$DB$2:$DB$201,1,$H$2:$H$201,H48,$BA$2:$BA$201,"&gt;"&amp;BA48)=0,1,0),0)</f>
        <v>0</v>
      </c>
      <c r="DD48" s="23" t="n">
        <f aca="false">IF(AND(DB48=1,INT(N(H48))&lt;=Config!$B$6),IF(COUNTIFS($AZ$2:$AZ$201,AZ48,$DB$2:$DB$201,1,$H$2:$H$201,"&gt;"&amp;H48,$H$2:$H$201,"&lt;"&amp;(Config!$B$6+1))+COUNTIFS($AZ$2:$AZ$201,AZ48,$DB$2:$DB$201,1,$H$2:$H$201,H48,$BA$2:$BA$201,"&gt;"&amp;BA48)=0,1,0),0)</f>
        <v>0</v>
      </c>
      <c r="DE48" s="23" t="n">
        <f aca="false">IF(AND(DB48=1,INT(N(H48))&lt;=Config!$B$7),IF(COUNTIFS($AZ$2:$AZ$201,AZ48,$DB$2:$DB$201,1,$H$2:$H$201,"&gt;"&amp;H48,$H$2:$H$201,"&lt;"&amp;(Config!$B$7+1))+COUNTIFS($AZ$2:$AZ$201,AZ48,$DB$2:$DB$201,1,$H$2:$H$201,H48,$BA$2:$BA$201,"&gt;"&amp;BA48)=0,1,0),0)</f>
        <v>0</v>
      </c>
      <c r="DF48" s="23" t="n">
        <f aca="false">IF(AND(DB48=1,INT(N(H48))&lt;=Config!$B$8),IF(COUNTIFS($AZ$2:$AZ$201,AZ48,$DB$2:$DB$201,1,$H$2:$H$201,"&gt;"&amp;H48,$H$2:$H$201,"&lt;"&amp;(Config!$B$8+1))+COUNTIFS($AZ$2:$AZ$201,AZ48,$DB$2:$DB$201,1,$H$2:$H$201,H48,$BA$2:$BA$201,"&gt;"&amp;BA48)=0,1,0),0)</f>
        <v>0</v>
      </c>
      <c r="DG48" s="23" t="n">
        <f aca="false">IF(AND(DB48=1,INT(N(H48))&lt;=Config!$B$5),IF(COUNTIFS($AZ$2:$AZ$201,AZ48,$DB$2:$DB$201,1,$H$2:$H$201,"&gt;"&amp;H48,$H$2:$H$201,"&lt;"&amp;(Config!$B$5+1))+COUNTIFS($AZ$2:$AZ$201,AZ48,$DB$2:$DB$201,1,$H$2:$H$201,H48,$BA$2:$BA$201,"&gt;"&amp;BA48)=0,1,0),0)</f>
        <v>0</v>
      </c>
      <c r="DH48" s="23" t="n">
        <f aca="false">IF(BB48=1,IF(COUNTIFS($AZ$2:$AZ$201,AZ48,$DD$2:$DD$201,1,$AR$2:$AR$201,"Y")&gt;0,1,0),0)</f>
        <v>0</v>
      </c>
      <c r="DI48" s="23" t="n">
        <f aca="false">IF(BB48=1,IF(COUNTIFS($AZ$2:$AZ$201,AZ48,$DE$2:$DE$201,1,$AR$2:$AR$201,"Y")&gt;0,1,0),0)</f>
        <v>0</v>
      </c>
      <c r="DJ48" s="23" t="n">
        <f aca="false">IF(BB48=1,IF(COUNTIFS($AZ$2:$AZ$201,AZ48,$DF$2:$DF$201,1,$AR$2:$AR$201,"Y")&gt;0,1,0),0)</f>
        <v>0</v>
      </c>
      <c r="DK48" s="23" t="n">
        <f aca="false">IF(BB48=1,IF(COUNTIFS($AZ$2:$AZ$201,AZ48,$DG$2:$DG$201,1,$AR$2:$AR$201,"Y")&gt;0,1,0),0)</f>
        <v>0</v>
      </c>
      <c r="DL48" s="23" t="n">
        <f aca="false">IF(AND(BF48=1,INT(N(H48))&lt;=Config!$B$6,DH48=1,EI48=0),1,0)</f>
        <v>0</v>
      </c>
      <c r="DM48" s="23" t="n">
        <f aca="false">IF(AND(BF48=1,INT(N(H48))&lt;=Config!$B$7,DI48=1,EI48=0),1,0)</f>
        <v>0</v>
      </c>
      <c r="DN48" s="23" t="n">
        <f aca="false">IF(AND(BF48=1,INT(N(H48))&lt;=Config!$B$8,DJ48=1,EI48=0),1,0)</f>
        <v>0</v>
      </c>
      <c r="DO48" s="23" t="n">
        <f aca="false">IF(AND(BF48=1,INT(N(H48))&lt;=Config!$B$5,DK48=1,EI48=0),1,0)</f>
        <v>0</v>
      </c>
      <c r="DP48" s="23" t="n">
        <f aca="false">IF(AND(CC48=1,INT(N(H48))&lt;=Config!$B$6,DH48=1,EI48=0),1,0)</f>
        <v>0</v>
      </c>
      <c r="DQ48" s="23" t="n">
        <f aca="false">IF(AND(CC48=1,INT(N(H48))&lt;=Config!$B$7,DI48=1,EI48=0),1,0)</f>
        <v>0</v>
      </c>
      <c r="DR48" s="23" t="n">
        <f aca="false">IF(AND(CC48=1,INT(N(H48))&lt;=Config!$B$8,DJ48=1,EI48=0),1,0)</f>
        <v>0</v>
      </c>
      <c r="DS48" s="23" t="n">
        <f aca="false">IF(AND(CC48=1,INT(N(H48))&lt;=Config!$B$5,DK48=1,EI48=0),1,0)</f>
        <v>0</v>
      </c>
      <c r="DT48" s="23" t="n">
        <f aca="false">IF(AND(CC48=1,INT(N(H48))&lt;=Config!$B$6,DH48=0),1,0)</f>
        <v>0</v>
      </c>
      <c r="DU48" s="23" t="n">
        <f aca="false">IF(AND(CC48=1,INT(N(H48))&lt;=Config!$B$7,DI48=0),1,0)</f>
        <v>0</v>
      </c>
      <c r="DV48" s="23" t="n">
        <f aca="false">IF(AND(CC48=1,INT(N(H48))&lt;=Config!$B$8,DJ48=0),1,0)</f>
        <v>0</v>
      </c>
      <c r="DW48" s="23" t="n">
        <f aca="false">IF(AND(CC48=1,INT(N(H48))&lt;=Config!$B$5,DK48=0),1,0)</f>
        <v>0</v>
      </c>
      <c r="DX48" s="23" t="n">
        <f aca="false">IF(TRIM($A48)="",0,ISTEXT(M48)+ISTEXT(O48)+ISTEXT(Y48)+ISTEXT(Z48)+ISTEXT(AA48)+ISTEXT(AV48))</f>
        <v>0</v>
      </c>
      <c r="DY48" s="23" t="n">
        <f aca="false">IF(BB48=1,IF(H48&lt;&gt;INT(H48),1,0),0)</f>
        <v>0</v>
      </c>
      <c r="DZ48" s="23" t="str">
        <f aca="false">IF(TRIM($A48)="","",IF(TRIM(B48)="",SUBSTITUTE(SUBSTITUTE(SUBSTITUTE(SUBSTITUTE(SUBSTITUTE(SUBSTITUTE(LOWER(TRIM($A48)),"~",""),"*",""),"?",""),"&lt;",""),"&gt;",""),"=",""),SUBSTITUTE(SUBSTITUTE(SUBSTITUTE(SUBSTITUTE(SUBSTITUTE(SUBSTITUTE(LOWER(TRIM(B48)),"~",""),"*",""),"?",""),"&lt;",""),"&gt;",""),"=","")))</f>
        <v/>
      </c>
      <c r="EA48" s="23" t="str">
        <f aca="false">IF(CW48="","",IFERROR(IF(LEFT(LOWER(TRIM(INDEX(Clay_Offices!$A$2:$FZ$601,CW48,Sync!$C$19)&amp;"")),4)="grp-",SUBSTITUTE(SUBSTITUTE(SUBSTITUTE(SUBSTITUTE(SUBSTITUTE(SUBSTITUTE(LOWER(TRIM(INDEX(Clay_Offices!$A$2:$FZ$601,CW48,Sync!$C$19)&amp;"")),"~",""),"*",""),"?",""),"&lt;",""),"&gt;",""),"=",""),""),""))</f>
        <v/>
      </c>
      <c r="EB48" s="23" t="str">
        <f aca="false">IF(EA48&lt;&gt;"",DZ48,"")</f>
        <v/>
      </c>
      <c r="EC48" s="23" t="str">
        <f aca="false">IF(BC48=1,AZ48,"")</f>
        <v/>
      </c>
      <c r="ED48" s="23" t="str">
        <f aca="false">IF(TRIM($A48)="","",IFERROR(INDEX($A$2:$A$201,MATCH(AZ48,$EC$2:$EC$201,0))&amp;"",$A48&amp;""))</f>
        <v/>
      </c>
      <c r="EE48" s="23" t="n">
        <f aca="false">IF(BB48=1,IF(COUNTIFS($A$2:$A$201,$A48,$BB$2:$BB$201,1,$H$2:$H$201,"&lt;"&amp;H48)+COUNTIFS($A$2:$A$201,$A48,$BB$2:$BB$201,1,$H$2:$H$201,H48,$BA$2:$BA$201,"&lt;"&amp;BA48)=0,1,0),0)</f>
        <v>0</v>
      </c>
      <c r="EF48" s="23" t="n">
        <f aca="false">IF(BC48=1,IF(COUNTIFS($AZ$2:$AZ$201,AZ48,$EE$2:$EE$201,1)&gt;1,1,0),0)</f>
        <v>0</v>
      </c>
      <c r="EG48" s="23" t="n">
        <f aca="false">IF(AND(CQ48=1),IF(COUNTIFS($AZ$2:$AZ$201,AZ48,$CQ$2:$CQ$201,1,$H$2:$H$201,"&gt;"&amp;H48)+COUNTIFS($AZ$2:$AZ$201,AZ48,$CQ$2:$CQ$201,1,$H$2:$H$201,H48,$BA$2:$BA$201,"&gt;"&amp;BA48)=0,1,0),0)</f>
        <v>0</v>
      </c>
      <c r="EH48" s="23" t="str">
        <f aca="false">IF(BB48=1,IF(COUNTIFS($AZ$2:$AZ$201,AZ48,$EG$2:$EG$201,1)=0,"",SUMIFS($O$2:$O$201,$AZ$2:$AZ$201,AZ48,$EG$2:$EG$201,1)),"")</f>
        <v/>
      </c>
      <c r="EI48" s="23" t="n">
        <f aca="false">IF(AND(ISNUMBER(EH48),OR(N(EH48)&lt;Config!$B$31,N(EH48)&gt;Config!$B$33)),1,0)</f>
        <v>0</v>
      </c>
      <c r="EJ48" s="23" t="n">
        <f aca="false">IF(AND(ISNUMBER(EH48),N(EH48)&gt;=Config!$B$31,N(EH48)&lt;Config!$B$32),1,0)</f>
        <v>0</v>
      </c>
      <c r="EK48" s="23" t="n">
        <f aca="false">IF(AND(BF48=1,INT(N(H48))&lt;=Config!$B$6,DH48=1,EI48=1),1,0)</f>
        <v>0</v>
      </c>
      <c r="EL48" s="23" t="n">
        <f aca="false">IF(AND(BF48=1,INT(N(H48))&lt;=Config!$B$7,DI48=1,EI48=1),1,0)</f>
        <v>0</v>
      </c>
      <c r="EM48" s="23" t="n">
        <f aca="false">IF(AND(BF48=1,INT(N(H48))&lt;=Config!$B$8,DJ48=1,EI48=1),1,0)</f>
        <v>0</v>
      </c>
      <c r="EN48" s="23" t="n">
        <f aca="false">IF(AND(BF48=1,INT(N(H48))&lt;=Config!$B$5,DK48=1,EI48=1),1,0)</f>
        <v>0</v>
      </c>
      <c r="EO48" s="23" t="n">
        <f aca="false">IF(AND(DL48=1,EJ48=1),1,0)</f>
        <v>0</v>
      </c>
      <c r="EP48" s="23" t="n">
        <f aca="false">IF(AND(DM48=1,EJ48=1),1,0)</f>
        <v>0</v>
      </c>
      <c r="EQ48" s="23" t="n">
        <f aca="false">IF(AND(DN48=1,EJ48=1),1,0)</f>
        <v>0</v>
      </c>
      <c r="ER48" s="23" t="n">
        <f aca="false">IF(AND(DO48=1,EJ48=1),1,0)</f>
        <v>0</v>
      </c>
    </row>
    <row r="49" customFormat="false" ht="15" hidden="false" customHeight="false" outlineLevel="0" collapsed="false">
      <c r="G49" s="32"/>
      <c r="H49" s="33"/>
      <c r="I49" s="32"/>
      <c r="L49" s="32"/>
      <c r="Q49" s="32"/>
      <c r="U49" s="32"/>
      <c r="W49" s="32"/>
      <c r="AC49" s="32"/>
      <c r="AF49" s="32"/>
      <c r="AI49" s="32"/>
      <c r="AJ49" s="32"/>
      <c r="AN49" s="32"/>
      <c r="AR49" s="32"/>
      <c r="AT49" s="32"/>
      <c r="AU49" s="32"/>
      <c r="AW49" s="32"/>
      <c r="AY49" s="34" t="str">
        <f aca="false">IF(TRIM($A49)="","",IF(AND(LEFT($A49,6)="SAMPLE",Config!$B$19&lt;&gt;"Y"),"",IF(NOT(ISNUMBER(H49)),"call_date is blank or not a date",IF(Sync!$C$5="","Clay paste is empty or has no row_id column: paste the Clay export on Clay_Offices",IF(CW49="","row_id not found in the Clay paste: add the Clay row or fix the row_id",IF(AND(ISNUMBER(CY49),CY49&gt;=1,CY49&lt;=5),"Clay status is "&amp;CX49&amp;": set call_done or later",IF(AND(BD49=1,CZ49&lt;&gt;BZ49),"Clay yes_in_principle should be "&amp;BZ49,IF(AND(BD49=1,DA49&lt;&gt;H49),"Clay call_date should be "&amp;TEXT(H49,"yyyy-mm-dd"),""))))))))</f>
        <v/>
      </c>
      <c r="AZ49" s="23" t="str">
        <f aca="false">IF(TRIM($A49)="","",IF(TRIM(C49)&lt;&gt;"",SUBSTITUTE(SUBSTITUTE(SUBSTITUTE(SUBSTITUTE(SUBSTITUTE(SUBSTITUTE(LOWER(TRIM(C49)),"~",""),"*",""),"?",""),"&lt;",""),"&gt;",""),"=",""),IF(EA49&lt;&gt;"",EA49,IFERROR(INDEX($EA$2:$EA$201,MATCH(DZ49,$EB$2:$EB$201,0)),DZ49))))</f>
        <v/>
      </c>
      <c r="BA49" s="23" t="n">
        <f aca="false">ROW()</f>
        <v>49</v>
      </c>
      <c r="BB49" s="23" t="n">
        <f aca="false">IF(AND(TRIM($A49)&lt;&gt;"",ISNUMBER(H49)),IF(AND(LEFT($A49,6)="SAMPLE",Config!$B$19&lt;&gt;"Y"),0,1),0)</f>
        <v>0</v>
      </c>
      <c r="BC49" s="23" t="n">
        <f aca="false">IF(BB49=1,IF(COUNTIFS($AZ$2:$AZ$201,AZ49,$BB$2:$BB$201,1,$H$2:$H$201,"&lt;"&amp;H49)+COUNTIFS($AZ$2:$AZ$201,AZ49,$BB$2:$BB$201,1,$H$2:$H$201,H49,$BA$2:$BA$201,"&lt;"&amp;BA49)=0,1,0),0)</f>
        <v>0</v>
      </c>
      <c r="BD49" s="23" t="n">
        <f aca="false">IF(BB49=1,IF(COUNTIFS($A$2:$A$201,$A49,$BB$2:$BB$201,1,$H$2:$H$201,"&gt;"&amp;H49)+COUNTIFS($A$2:$A$201,$A49,$BB$2:$BB$201,1,$H$2:$H$201,H49,$BA$2:$BA$201,"&gt;"&amp;BA49)=0,1,0),0)</f>
        <v>0</v>
      </c>
      <c r="BE49" s="23" t="n">
        <f aca="false">IF(AND(BB49=1,AR49="Y",AC49="Y",TRIM(AH49)&lt;&gt;""),1,0)</f>
        <v>0</v>
      </c>
      <c r="BF49" s="23" t="n">
        <f aca="false">IF(BE49=1,IF(COUNTIFS($AZ$2:$AZ$201,AZ49,$BE$2:$BE$201,1,$H$2:$H$201,"&lt;"&amp;H49)+COUNTIFS($AZ$2:$AZ$201,AZ49,$BE$2:$BE$201,1,$H$2:$H$201,H49,$BA$2:$BA$201,"&lt;"&amp;BA49)=0,1,0),0)</f>
        <v>0</v>
      </c>
      <c r="BG49" s="23" t="n">
        <f aca="false">IF(AND(BB49=1,AR49="Y",BE49=0),1,0)</f>
        <v>0</v>
      </c>
      <c r="BH49" s="23" t="n">
        <f aca="false">IF(AND(BB49=1,ISNUMBER(Y49)),1,0)</f>
        <v>0</v>
      </c>
      <c r="BI49" s="23" t="n">
        <f aca="false">IF(BH49=1,IF(COUNTIFS($AZ$2:$AZ$201,AZ49,$BH$2:$BH$201,1,$H$2:$H$201,"&lt;"&amp;H49)+COUNTIFS($AZ$2:$AZ$201,AZ49,$BH$2:$BH$201,1,$H$2:$H$201,H49,$BA$2:$BA$201,"&lt;"&amp;BA49)=0,1,0),0)</f>
        <v>0</v>
      </c>
      <c r="BJ49" s="23" t="str">
        <f aca="false">IF(AND(BI49=1,INT(N(H49))&lt;=Config!$B$6),Y49,"")</f>
        <v/>
      </c>
      <c r="BK49" s="23" t="str">
        <f aca="false">IF(AND(BI49=1,INT(N(H49))&lt;=Config!$B$7),Y49,"")</f>
        <v/>
      </c>
      <c r="BL49" s="23" t="str">
        <f aca="false">IF(AND(BI49=1,INT(N(H49))&lt;=Config!$B$8),Y49,"")</f>
        <v/>
      </c>
      <c r="BM49" s="23" t="str">
        <f aca="false">IF(AND(BI49=1,INT(N(H49))&lt;=Config!$B$5),Y49,"")</f>
        <v/>
      </c>
      <c r="BN49" s="23" t="n">
        <f aca="false">IF(CD49=1,IF(COUNTIFS($AZ$2:$AZ$201,AZ49,$CD$2:$CD$201,1,$H$2:$H$201,"&lt;"&amp;H49)+COUNTIFS($AZ$2:$AZ$201,AZ49,$CD$2:$CD$201,1,$H$2:$H$201,H49,$BA$2:$BA$201,"&lt;"&amp;BA49)=0,1,0),0)</f>
        <v>0</v>
      </c>
      <c r="BO49" s="23" t="n">
        <f aca="false">IF(AND(BB49=1,ISNUMBER(M49)),1,0)</f>
        <v>0</v>
      </c>
      <c r="BP49" s="23" t="n">
        <f aca="false">IF(BO49=1,IF(COUNTIFS($AZ$2:$AZ$201,AZ49,$BO$2:$BO$201,1,$H$2:$H$201,"&lt;"&amp;H49)+COUNTIFS($AZ$2:$AZ$201,AZ49,$BO$2:$BO$201,1,$H$2:$H$201,H49,$BA$2:$BA$201,"&lt;"&amp;BA49)=0,1,0),0)</f>
        <v>0</v>
      </c>
      <c r="BQ49" s="23" t="str">
        <f aca="false">IF(AND(BP49=1,INT(N(H49))&lt;=Config!$B$5),M49,"")</f>
        <v/>
      </c>
      <c r="BR49" s="23" t="n">
        <f aca="false">IF(AND(BB49=1,OR(TRIM(X49)&lt;&gt;"",ISNUMBER(Y49))),1,0)</f>
        <v>0</v>
      </c>
      <c r="BS49" s="23" t="n">
        <f aca="false">IF(BR49=1,IF(COUNTIFS($AZ$2:$AZ$201,AZ49,$BR$2:$BR$201,1,$H$2:$H$201,"&lt;"&amp;H49)+COUNTIFS($AZ$2:$AZ$201,AZ49,$BR$2:$BR$201,1,$H$2:$H$201,H49,$BA$2:$BA$201,"&lt;"&amp;BA49)=0,1,0),0)</f>
        <v>0</v>
      </c>
      <c r="BT49" s="23" t="str">
        <f aca="false">IF(BS49=1,AZ49,"")</f>
        <v/>
      </c>
      <c r="BU49" s="23" t="n">
        <f aca="false">IF(AND(BB49=1,W49="Y",TRIM(X49)=""),1,0)</f>
        <v>0</v>
      </c>
      <c r="BV49" s="23" t="str">
        <f aca="false">IF(BB49=1,AN49&amp;"","")</f>
        <v/>
      </c>
      <c r="BW49" s="23" t="str">
        <f aca="false">IF(BB49=1,AO49&amp;"","")</f>
        <v/>
      </c>
      <c r="BX49" s="23" t="str">
        <f aca="false">IF(BB49=1,AP49&amp;"","")</f>
        <v/>
      </c>
      <c r="BY49" s="23" t="str">
        <f aca="false">IF(AND(BB49=1,ISNUMBER(AV49),INT(N(H49))&lt;=Config!$B$5),AV49,"")</f>
        <v/>
      </c>
      <c r="BZ49" s="23" t="str">
        <f aca="false">IF(BB49=1,IF(COUNTIFS($A$2:$A$201,$A49,$DC$2:$DC$201,1,$AR$2:$AR$201,"Y")&gt;0,"Y","N"),"")</f>
        <v/>
      </c>
      <c r="CA49" s="23" t="n">
        <f aca="false">IF(AND(BB49=1,AR49="maybe"),1,0)</f>
        <v>0</v>
      </c>
      <c r="CB49" s="23" t="n">
        <f aca="false">IF(CA49=1,IF(COUNTIFS($AZ$2:$AZ$201,AZ49,$CA$2:$CA$201,1,$H$2:$H$201,"&lt;"&amp;H49)+COUNTIFS($AZ$2:$AZ$201,AZ49,$CA$2:$CA$201,1,$H$2:$H$201,H49,$BA$2:$BA$201,"&lt;"&amp;BA49)=0,1,0),0)</f>
        <v>0</v>
      </c>
      <c r="CC49" s="23" t="n">
        <f aca="false">IF(AND(BB49=1,AR49="Y"),IF(COUNTIFS($AZ$2:$AZ$201,AZ49,$AR$2:$AR$201,"Y",$BB$2:$BB$201,1,$H$2:$H$201,"&lt;"&amp;H49)+COUNTIFS($AZ$2:$AZ$201,AZ49,$AR$2:$AR$201,"Y",$BB$2:$BB$201,1,$H$2:$H$201,H49,$BA$2:$BA$201,"&lt;"&amp;BA49)=0,1,0),0)</f>
        <v>0</v>
      </c>
      <c r="CD49" s="23" t="n">
        <f aca="false">IF(AND(BH49=1,N(Y49)&gt;=Config!$B$15),1,0)</f>
        <v>0</v>
      </c>
      <c r="CE49" s="23" t="n">
        <f aca="false">IF(AND(BB49=1,AT49="Y"),1,0)</f>
        <v>0</v>
      </c>
      <c r="CF49" s="23" t="n">
        <f aca="false">IF(CE49=1,IF(COUNTIFS($AZ$2:$AZ$201,AZ49,$CE$2:$CE$201,1,$H$2:$H$201,"&lt;"&amp;H49)+COUNTIFS($AZ$2:$AZ$201,AZ49,$CE$2:$CE$201,1,$H$2:$H$201,H49,$BA$2:$BA$201,"&lt;"&amp;BA49)=0,1,0),0)</f>
        <v>0</v>
      </c>
      <c r="CG49" s="23" t="n">
        <f aca="false">IF(AND(BB49=1,G49="warm-intro"),1,0)</f>
        <v>0</v>
      </c>
      <c r="CH49" s="23" t="n">
        <f aca="false">IF(CG49=1,IF(COUNTIFS($AZ$2:$AZ$201,AZ49,$CG$2:$CG$201,1,$H$2:$H$201,"&lt;"&amp;H49)+COUNTIFS($AZ$2:$AZ$201,AZ49,$CG$2:$CG$201,1,$H$2:$H$201,H49,$BA$2:$BA$201,"&lt;"&amp;BA49)=0,1,0),0)</f>
        <v>0</v>
      </c>
      <c r="CI49" s="23" t="n">
        <f aca="false">IF(AND(BB49=1,Q49="Y"),1,0)</f>
        <v>0</v>
      </c>
      <c r="CJ49" s="23" t="n">
        <f aca="false">IF(CI49=1,IF(COUNTIFS($AZ$2:$AZ$201,AZ49,$CI$2:$CI$201,1,$H$2:$H$201,"&lt;"&amp;H49)+COUNTIFS($AZ$2:$AZ$201,AZ49,$CI$2:$CI$201,1,$H$2:$H$201,H49,$BA$2:$BA$201,"&lt;"&amp;BA49)=0,1,0),0)</f>
        <v>0</v>
      </c>
      <c r="CK49" s="23" t="n">
        <f aca="false">IF(AND(BB49=1,AF49="Y"),1,0)</f>
        <v>0</v>
      </c>
      <c r="CL49" s="23" t="n">
        <f aca="false">IF(CK49=1,IF(COUNTIFS($AZ$2:$AZ$201,AZ49,$CK$2:$CK$201,1,$H$2:$H$201,"&lt;"&amp;H49)+COUNTIFS($AZ$2:$AZ$201,AZ49,$CK$2:$CK$201,1,$H$2:$H$201,H49,$BA$2:$BA$201,"&lt;"&amp;BA49)=0,1,0),0)</f>
        <v>0</v>
      </c>
      <c r="CM49" s="23" t="n">
        <f aca="false">IF(AND(BB49=1,U49="Y"),1,0)</f>
        <v>0</v>
      </c>
      <c r="CN49" s="23" t="n">
        <f aca="false">IF(CM49=1,IF(COUNTIFS($AZ$2:$AZ$201,AZ49,$CM$2:$CM$201,1,$H$2:$H$201,"&lt;"&amp;H49)+COUNTIFS($AZ$2:$AZ$201,AZ49,$CM$2:$CM$201,1,$H$2:$H$201,H49,$BA$2:$BA$201,"&lt;"&amp;BA49)=0,1,0),0)</f>
        <v>0</v>
      </c>
      <c r="CO49" s="23" t="n">
        <f aca="false">IF(AND(BB49=1,L49="Y"),1,0)</f>
        <v>0</v>
      </c>
      <c r="CP49" s="23" t="n">
        <f aca="false">IF(CO49=1,IF(COUNTIFS($AZ$2:$AZ$201,AZ49,$CO$2:$CO$201,1,$H$2:$H$201,"&lt;"&amp;H49)+COUNTIFS($AZ$2:$AZ$201,AZ49,$CO$2:$CO$201,1,$H$2:$H$201,H49,$BA$2:$BA$201,"&lt;"&amp;BA49)=0,1,0),0)</f>
        <v>0</v>
      </c>
      <c r="CQ49" s="23" t="n">
        <f aca="false">IF(AND(BB49=1,ISNUMBER(O49)),1,0)</f>
        <v>0</v>
      </c>
      <c r="CR49" s="23" t="n">
        <f aca="false">IF(CQ49=1,IF(COUNTIFS($AZ$2:$AZ$201,AZ49,$CQ$2:$CQ$201,1,$H$2:$H$201,"&lt;"&amp;H49)+COUNTIFS($AZ$2:$AZ$201,AZ49,$CQ$2:$CQ$201,1,$H$2:$H$201,H49,$BA$2:$BA$201,"&lt;"&amp;BA49)=0,1,0),0)</f>
        <v>0</v>
      </c>
      <c r="CS49" s="23" t="str">
        <f aca="false">IF(AND(CR49=1,INT(N(H49))&lt;=Config!$B$5),O49,"")</f>
        <v/>
      </c>
      <c r="CT49" s="23" t="str">
        <f aca="false">IF(AND(BB49=1,INT(N(H49))&lt;=Config!$B$5),AG49&amp;"","")</f>
        <v/>
      </c>
      <c r="CU49" s="23" t="n">
        <f aca="false">IF(AND(BB49=1,AU49="Y"),1,0)</f>
        <v>0</v>
      </c>
      <c r="CV49" s="23" t="n">
        <f aca="false">IF(CU49=1,IF(COUNTIFS($AZ$2:$AZ$201,AZ49,$CU$2:$CU$201,1,$H$2:$H$201,"&lt;"&amp;H49)+COUNTIFS($AZ$2:$AZ$201,AZ49,$CU$2:$CU$201,1,$H$2:$H$201,H49,$BA$2:$BA$201,"&lt;"&amp;BA49)=0,1,0),0)</f>
        <v>0</v>
      </c>
      <c r="CW49" s="23" t="str">
        <f aca="false">IF(BB49=1,IFERROR(MATCH($A49,INDEX(Clay_Offices!$A$2:$FZ$601,0,Sync!$C$5),0),""),"")</f>
        <v/>
      </c>
      <c r="CX49" s="23" t="str">
        <f aca="false">IF(CW49="","",IFERROR(INDEX(Clay_Offices!$A$2:$FZ$601,CW49,Sync!$C$7)&amp;"",""))</f>
        <v/>
      </c>
      <c r="CY49" s="23" t="str">
        <f aca="false">IF(CX49="","",IFERROR(INDEX(Lists!$K$2:$K$15,MATCH(CX49,Lists!$J$2:$J$15,0)),""))</f>
        <v/>
      </c>
      <c r="CZ49" s="23" t="str">
        <f aca="false">IF(CW49="","",IFERROR(INDEX(Clay_Offices!$A$2:$FZ$601,CW49,Sync!$C$17)&amp;"",""))</f>
        <v/>
      </c>
      <c r="DA49" s="35" t="str">
        <f aca="false">IF(CW49="","",IFERROR(N(INDEX(Clay_Offices!$A$2:$FZ$601,CW49,Sync!$C$16)),0))</f>
        <v/>
      </c>
      <c r="DB49" s="23" t="n">
        <f aca="false">IF(AND(BB49=1,OR(AR49="Y",AR49="N",AR49="maybe")),1,0)</f>
        <v>0</v>
      </c>
      <c r="DC49" s="23" t="n">
        <f aca="false">IF(AND(DB49=1),IF(COUNTIFS($A$2:$A$201,$A49,$DB$2:$DB$201,1,$H$2:$H$201,"&gt;"&amp;H49)+COUNTIFS($A$2:$A$201,$A49,$DB$2:$DB$201,1,$H$2:$H$201,H49,$BA$2:$BA$201,"&gt;"&amp;BA49)=0,1,0),0)</f>
        <v>0</v>
      </c>
      <c r="DD49" s="23" t="n">
        <f aca="false">IF(AND(DB49=1,INT(N(H49))&lt;=Config!$B$6),IF(COUNTIFS($AZ$2:$AZ$201,AZ49,$DB$2:$DB$201,1,$H$2:$H$201,"&gt;"&amp;H49,$H$2:$H$201,"&lt;"&amp;(Config!$B$6+1))+COUNTIFS($AZ$2:$AZ$201,AZ49,$DB$2:$DB$201,1,$H$2:$H$201,H49,$BA$2:$BA$201,"&gt;"&amp;BA49)=0,1,0),0)</f>
        <v>0</v>
      </c>
      <c r="DE49" s="23" t="n">
        <f aca="false">IF(AND(DB49=1,INT(N(H49))&lt;=Config!$B$7),IF(COUNTIFS($AZ$2:$AZ$201,AZ49,$DB$2:$DB$201,1,$H$2:$H$201,"&gt;"&amp;H49,$H$2:$H$201,"&lt;"&amp;(Config!$B$7+1))+COUNTIFS($AZ$2:$AZ$201,AZ49,$DB$2:$DB$201,1,$H$2:$H$201,H49,$BA$2:$BA$201,"&gt;"&amp;BA49)=0,1,0),0)</f>
        <v>0</v>
      </c>
      <c r="DF49" s="23" t="n">
        <f aca="false">IF(AND(DB49=1,INT(N(H49))&lt;=Config!$B$8),IF(COUNTIFS($AZ$2:$AZ$201,AZ49,$DB$2:$DB$201,1,$H$2:$H$201,"&gt;"&amp;H49,$H$2:$H$201,"&lt;"&amp;(Config!$B$8+1))+COUNTIFS($AZ$2:$AZ$201,AZ49,$DB$2:$DB$201,1,$H$2:$H$201,H49,$BA$2:$BA$201,"&gt;"&amp;BA49)=0,1,0),0)</f>
        <v>0</v>
      </c>
      <c r="DG49" s="23" t="n">
        <f aca="false">IF(AND(DB49=1,INT(N(H49))&lt;=Config!$B$5),IF(COUNTIFS($AZ$2:$AZ$201,AZ49,$DB$2:$DB$201,1,$H$2:$H$201,"&gt;"&amp;H49,$H$2:$H$201,"&lt;"&amp;(Config!$B$5+1))+COUNTIFS($AZ$2:$AZ$201,AZ49,$DB$2:$DB$201,1,$H$2:$H$201,H49,$BA$2:$BA$201,"&gt;"&amp;BA49)=0,1,0),0)</f>
        <v>0</v>
      </c>
      <c r="DH49" s="23" t="n">
        <f aca="false">IF(BB49=1,IF(COUNTIFS($AZ$2:$AZ$201,AZ49,$DD$2:$DD$201,1,$AR$2:$AR$201,"Y")&gt;0,1,0),0)</f>
        <v>0</v>
      </c>
      <c r="DI49" s="23" t="n">
        <f aca="false">IF(BB49=1,IF(COUNTIFS($AZ$2:$AZ$201,AZ49,$DE$2:$DE$201,1,$AR$2:$AR$201,"Y")&gt;0,1,0),0)</f>
        <v>0</v>
      </c>
      <c r="DJ49" s="23" t="n">
        <f aca="false">IF(BB49=1,IF(COUNTIFS($AZ$2:$AZ$201,AZ49,$DF$2:$DF$201,1,$AR$2:$AR$201,"Y")&gt;0,1,0),0)</f>
        <v>0</v>
      </c>
      <c r="DK49" s="23" t="n">
        <f aca="false">IF(BB49=1,IF(COUNTIFS($AZ$2:$AZ$201,AZ49,$DG$2:$DG$201,1,$AR$2:$AR$201,"Y")&gt;0,1,0),0)</f>
        <v>0</v>
      </c>
      <c r="DL49" s="23" t="n">
        <f aca="false">IF(AND(BF49=1,INT(N(H49))&lt;=Config!$B$6,DH49=1,EI49=0),1,0)</f>
        <v>0</v>
      </c>
      <c r="DM49" s="23" t="n">
        <f aca="false">IF(AND(BF49=1,INT(N(H49))&lt;=Config!$B$7,DI49=1,EI49=0),1,0)</f>
        <v>0</v>
      </c>
      <c r="DN49" s="23" t="n">
        <f aca="false">IF(AND(BF49=1,INT(N(H49))&lt;=Config!$B$8,DJ49=1,EI49=0),1,0)</f>
        <v>0</v>
      </c>
      <c r="DO49" s="23" t="n">
        <f aca="false">IF(AND(BF49=1,INT(N(H49))&lt;=Config!$B$5,DK49=1,EI49=0),1,0)</f>
        <v>0</v>
      </c>
      <c r="DP49" s="23" t="n">
        <f aca="false">IF(AND(CC49=1,INT(N(H49))&lt;=Config!$B$6,DH49=1,EI49=0),1,0)</f>
        <v>0</v>
      </c>
      <c r="DQ49" s="23" t="n">
        <f aca="false">IF(AND(CC49=1,INT(N(H49))&lt;=Config!$B$7,DI49=1,EI49=0),1,0)</f>
        <v>0</v>
      </c>
      <c r="DR49" s="23" t="n">
        <f aca="false">IF(AND(CC49=1,INT(N(H49))&lt;=Config!$B$8,DJ49=1,EI49=0),1,0)</f>
        <v>0</v>
      </c>
      <c r="DS49" s="23" t="n">
        <f aca="false">IF(AND(CC49=1,INT(N(H49))&lt;=Config!$B$5,DK49=1,EI49=0),1,0)</f>
        <v>0</v>
      </c>
      <c r="DT49" s="23" t="n">
        <f aca="false">IF(AND(CC49=1,INT(N(H49))&lt;=Config!$B$6,DH49=0),1,0)</f>
        <v>0</v>
      </c>
      <c r="DU49" s="23" t="n">
        <f aca="false">IF(AND(CC49=1,INT(N(H49))&lt;=Config!$B$7,DI49=0),1,0)</f>
        <v>0</v>
      </c>
      <c r="DV49" s="23" t="n">
        <f aca="false">IF(AND(CC49=1,INT(N(H49))&lt;=Config!$B$8,DJ49=0),1,0)</f>
        <v>0</v>
      </c>
      <c r="DW49" s="23" t="n">
        <f aca="false">IF(AND(CC49=1,INT(N(H49))&lt;=Config!$B$5,DK49=0),1,0)</f>
        <v>0</v>
      </c>
      <c r="DX49" s="23" t="n">
        <f aca="false">IF(TRIM($A49)="",0,ISTEXT(M49)+ISTEXT(O49)+ISTEXT(Y49)+ISTEXT(Z49)+ISTEXT(AA49)+ISTEXT(AV49))</f>
        <v>0</v>
      </c>
      <c r="DY49" s="23" t="n">
        <f aca="false">IF(BB49=1,IF(H49&lt;&gt;INT(H49),1,0),0)</f>
        <v>0</v>
      </c>
      <c r="DZ49" s="23" t="str">
        <f aca="false">IF(TRIM($A49)="","",IF(TRIM(B49)="",SUBSTITUTE(SUBSTITUTE(SUBSTITUTE(SUBSTITUTE(SUBSTITUTE(SUBSTITUTE(LOWER(TRIM($A49)),"~",""),"*",""),"?",""),"&lt;",""),"&gt;",""),"=",""),SUBSTITUTE(SUBSTITUTE(SUBSTITUTE(SUBSTITUTE(SUBSTITUTE(SUBSTITUTE(LOWER(TRIM(B49)),"~",""),"*",""),"?",""),"&lt;",""),"&gt;",""),"=","")))</f>
        <v/>
      </c>
      <c r="EA49" s="23" t="str">
        <f aca="false">IF(CW49="","",IFERROR(IF(LEFT(LOWER(TRIM(INDEX(Clay_Offices!$A$2:$FZ$601,CW49,Sync!$C$19)&amp;"")),4)="grp-",SUBSTITUTE(SUBSTITUTE(SUBSTITUTE(SUBSTITUTE(SUBSTITUTE(SUBSTITUTE(LOWER(TRIM(INDEX(Clay_Offices!$A$2:$FZ$601,CW49,Sync!$C$19)&amp;"")),"~",""),"*",""),"?",""),"&lt;",""),"&gt;",""),"=",""),""),""))</f>
        <v/>
      </c>
      <c r="EB49" s="23" t="str">
        <f aca="false">IF(EA49&lt;&gt;"",DZ49,"")</f>
        <v/>
      </c>
      <c r="EC49" s="23" t="str">
        <f aca="false">IF(BC49=1,AZ49,"")</f>
        <v/>
      </c>
      <c r="ED49" s="23" t="str">
        <f aca="false">IF(TRIM($A49)="","",IFERROR(INDEX($A$2:$A$201,MATCH(AZ49,$EC$2:$EC$201,0))&amp;"",$A49&amp;""))</f>
        <v/>
      </c>
      <c r="EE49" s="23" t="n">
        <f aca="false">IF(BB49=1,IF(COUNTIFS($A$2:$A$201,$A49,$BB$2:$BB$201,1,$H$2:$H$201,"&lt;"&amp;H49)+COUNTIFS($A$2:$A$201,$A49,$BB$2:$BB$201,1,$H$2:$H$201,H49,$BA$2:$BA$201,"&lt;"&amp;BA49)=0,1,0),0)</f>
        <v>0</v>
      </c>
      <c r="EF49" s="23" t="n">
        <f aca="false">IF(BC49=1,IF(COUNTIFS($AZ$2:$AZ$201,AZ49,$EE$2:$EE$201,1)&gt;1,1,0),0)</f>
        <v>0</v>
      </c>
      <c r="EG49" s="23" t="n">
        <f aca="false">IF(AND(CQ49=1),IF(COUNTIFS($AZ$2:$AZ$201,AZ49,$CQ$2:$CQ$201,1,$H$2:$H$201,"&gt;"&amp;H49)+COUNTIFS($AZ$2:$AZ$201,AZ49,$CQ$2:$CQ$201,1,$H$2:$H$201,H49,$BA$2:$BA$201,"&gt;"&amp;BA49)=0,1,0),0)</f>
        <v>0</v>
      </c>
      <c r="EH49" s="23" t="str">
        <f aca="false">IF(BB49=1,IF(COUNTIFS($AZ$2:$AZ$201,AZ49,$EG$2:$EG$201,1)=0,"",SUMIFS($O$2:$O$201,$AZ$2:$AZ$201,AZ49,$EG$2:$EG$201,1)),"")</f>
        <v/>
      </c>
      <c r="EI49" s="23" t="n">
        <f aca="false">IF(AND(ISNUMBER(EH49),OR(N(EH49)&lt;Config!$B$31,N(EH49)&gt;Config!$B$33)),1,0)</f>
        <v>0</v>
      </c>
      <c r="EJ49" s="23" t="n">
        <f aca="false">IF(AND(ISNUMBER(EH49),N(EH49)&gt;=Config!$B$31,N(EH49)&lt;Config!$B$32),1,0)</f>
        <v>0</v>
      </c>
      <c r="EK49" s="23" t="n">
        <f aca="false">IF(AND(BF49=1,INT(N(H49))&lt;=Config!$B$6,DH49=1,EI49=1),1,0)</f>
        <v>0</v>
      </c>
      <c r="EL49" s="23" t="n">
        <f aca="false">IF(AND(BF49=1,INT(N(H49))&lt;=Config!$B$7,DI49=1,EI49=1),1,0)</f>
        <v>0</v>
      </c>
      <c r="EM49" s="23" t="n">
        <f aca="false">IF(AND(BF49=1,INT(N(H49))&lt;=Config!$B$8,DJ49=1,EI49=1),1,0)</f>
        <v>0</v>
      </c>
      <c r="EN49" s="23" t="n">
        <f aca="false">IF(AND(BF49=1,INT(N(H49))&lt;=Config!$B$5,DK49=1,EI49=1),1,0)</f>
        <v>0</v>
      </c>
      <c r="EO49" s="23" t="n">
        <f aca="false">IF(AND(DL49=1,EJ49=1),1,0)</f>
        <v>0</v>
      </c>
      <c r="EP49" s="23" t="n">
        <f aca="false">IF(AND(DM49=1,EJ49=1),1,0)</f>
        <v>0</v>
      </c>
      <c r="EQ49" s="23" t="n">
        <f aca="false">IF(AND(DN49=1,EJ49=1),1,0)</f>
        <v>0</v>
      </c>
      <c r="ER49" s="23" t="n">
        <f aca="false">IF(AND(DO49=1,EJ49=1),1,0)</f>
        <v>0</v>
      </c>
    </row>
    <row r="50" customFormat="false" ht="15" hidden="false" customHeight="false" outlineLevel="0" collapsed="false">
      <c r="G50" s="32"/>
      <c r="H50" s="33"/>
      <c r="I50" s="32"/>
      <c r="L50" s="32"/>
      <c r="Q50" s="32"/>
      <c r="U50" s="32"/>
      <c r="W50" s="32"/>
      <c r="AC50" s="32"/>
      <c r="AF50" s="32"/>
      <c r="AI50" s="32"/>
      <c r="AJ50" s="32"/>
      <c r="AN50" s="32"/>
      <c r="AR50" s="32"/>
      <c r="AT50" s="32"/>
      <c r="AU50" s="32"/>
      <c r="AW50" s="32"/>
      <c r="AY50" s="34" t="str">
        <f aca="false">IF(TRIM($A50)="","",IF(AND(LEFT($A50,6)="SAMPLE",Config!$B$19&lt;&gt;"Y"),"",IF(NOT(ISNUMBER(H50)),"call_date is blank or not a date",IF(Sync!$C$5="","Clay paste is empty or has no row_id column: paste the Clay export on Clay_Offices",IF(CW50="","row_id not found in the Clay paste: add the Clay row or fix the row_id",IF(AND(ISNUMBER(CY50),CY50&gt;=1,CY50&lt;=5),"Clay status is "&amp;CX50&amp;": set call_done or later",IF(AND(BD50=1,CZ50&lt;&gt;BZ50),"Clay yes_in_principle should be "&amp;BZ50,IF(AND(BD50=1,DA50&lt;&gt;H50),"Clay call_date should be "&amp;TEXT(H50,"yyyy-mm-dd"),""))))))))</f>
        <v/>
      </c>
      <c r="AZ50" s="23" t="str">
        <f aca="false">IF(TRIM($A50)="","",IF(TRIM(C50)&lt;&gt;"",SUBSTITUTE(SUBSTITUTE(SUBSTITUTE(SUBSTITUTE(SUBSTITUTE(SUBSTITUTE(LOWER(TRIM(C50)),"~",""),"*",""),"?",""),"&lt;",""),"&gt;",""),"=",""),IF(EA50&lt;&gt;"",EA50,IFERROR(INDEX($EA$2:$EA$201,MATCH(DZ50,$EB$2:$EB$201,0)),DZ50))))</f>
        <v/>
      </c>
      <c r="BA50" s="23" t="n">
        <f aca="false">ROW()</f>
        <v>50</v>
      </c>
      <c r="BB50" s="23" t="n">
        <f aca="false">IF(AND(TRIM($A50)&lt;&gt;"",ISNUMBER(H50)),IF(AND(LEFT($A50,6)="SAMPLE",Config!$B$19&lt;&gt;"Y"),0,1),0)</f>
        <v>0</v>
      </c>
      <c r="BC50" s="23" t="n">
        <f aca="false">IF(BB50=1,IF(COUNTIFS($AZ$2:$AZ$201,AZ50,$BB$2:$BB$201,1,$H$2:$H$201,"&lt;"&amp;H50)+COUNTIFS($AZ$2:$AZ$201,AZ50,$BB$2:$BB$201,1,$H$2:$H$201,H50,$BA$2:$BA$201,"&lt;"&amp;BA50)=0,1,0),0)</f>
        <v>0</v>
      </c>
      <c r="BD50" s="23" t="n">
        <f aca="false">IF(BB50=1,IF(COUNTIFS($A$2:$A$201,$A50,$BB$2:$BB$201,1,$H$2:$H$201,"&gt;"&amp;H50)+COUNTIFS($A$2:$A$201,$A50,$BB$2:$BB$201,1,$H$2:$H$201,H50,$BA$2:$BA$201,"&gt;"&amp;BA50)=0,1,0),0)</f>
        <v>0</v>
      </c>
      <c r="BE50" s="23" t="n">
        <f aca="false">IF(AND(BB50=1,AR50="Y",AC50="Y",TRIM(AH50)&lt;&gt;""),1,0)</f>
        <v>0</v>
      </c>
      <c r="BF50" s="23" t="n">
        <f aca="false">IF(BE50=1,IF(COUNTIFS($AZ$2:$AZ$201,AZ50,$BE$2:$BE$201,1,$H$2:$H$201,"&lt;"&amp;H50)+COUNTIFS($AZ$2:$AZ$201,AZ50,$BE$2:$BE$201,1,$H$2:$H$201,H50,$BA$2:$BA$201,"&lt;"&amp;BA50)=0,1,0),0)</f>
        <v>0</v>
      </c>
      <c r="BG50" s="23" t="n">
        <f aca="false">IF(AND(BB50=1,AR50="Y",BE50=0),1,0)</f>
        <v>0</v>
      </c>
      <c r="BH50" s="23" t="n">
        <f aca="false">IF(AND(BB50=1,ISNUMBER(Y50)),1,0)</f>
        <v>0</v>
      </c>
      <c r="BI50" s="23" t="n">
        <f aca="false">IF(BH50=1,IF(COUNTIFS($AZ$2:$AZ$201,AZ50,$BH$2:$BH$201,1,$H$2:$H$201,"&lt;"&amp;H50)+COUNTIFS($AZ$2:$AZ$201,AZ50,$BH$2:$BH$201,1,$H$2:$H$201,H50,$BA$2:$BA$201,"&lt;"&amp;BA50)=0,1,0),0)</f>
        <v>0</v>
      </c>
      <c r="BJ50" s="23" t="str">
        <f aca="false">IF(AND(BI50=1,INT(N(H50))&lt;=Config!$B$6),Y50,"")</f>
        <v/>
      </c>
      <c r="BK50" s="23" t="str">
        <f aca="false">IF(AND(BI50=1,INT(N(H50))&lt;=Config!$B$7),Y50,"")</f>
        <v/>
      </c>
      <c r="BL50" s="23" t="str">
        <f aca="false">IF(AND(BI50=1,INT(N(H50))&lt;=Config!$B$8),Y50,"")</f>
        <v/>
      </c>
      <c r="BM50" s="23" t="str">
        <f aca="false">IF(AND(BI50=1,INT(N(H50))&lt;=Config!$B$5),Y50,"")</f>
        <v/>
      </c>
      <c r="BN50" s="23" t="n">
        <f aca="false">IF(CD50=1,IF(COUNTIFS($AZ$2:$AZ$201,AZ50,$CD$2:$CD$201,1,$H$2:$H$201,"&lt;"&amp;H50)+COUNTIFS($AZ$2:$AZ$201,AZ50,$CD$2:$CD$201,1,$H$2:$H$201,H50,$BA$2:$BA$201,"&lt;"&amp;BA50)=0,1,0),0)</f>
        <v>0</v>
      </c>
      <c r="BO50" s="23" t="n">
        <f aca="false">IF(AND(BB50=1,ISNUMBER(M50)),1,0)</f>
        <v>0</v>
      </c>
      <c r="BP50" s="23" t="n">
        <f aca="false">IF(BO50=1,IF(COUNTIFS($AZ$2:$AZ$201,AZ50,$BO$2:$BO$201,1,$H$2:$H$201,"&lt;"&amp;H50)+COUNTIFS($AZ$2:$AZ$201,AZ50,$BO$2:$BO$201,1,$H$2:$H$201,H50,$BA$2:$BA$201,"&lt;"&amp;BA50)=0,1,0),0)</f>
        <v>0</v>
      </c>
      <c r="BQ50" s="23" t="str">
        <f aca="false">IF(AND(BP50=1,INT(N(H50))&lt;=Config!$B$5),M50,"")</f>
        <v/>
      </c>
      <c r="BR50" s="23" t="n">
        <f aca="false">IF(AND(BB50=1,OR(TRIM(X50)&lt;&gt;"",ISNUMBER(Y50))),1,0)</f>
        <v>0</v>
      </c>
      <c r="BS50" s="23" t="n">
        <f aca="false">IF(BR50=1,IF(COUNTIFS($AZ$2:$AZ$201,AZ50,$BR$2:$BR$201,1,$H$2:$H$201,"&lt;"&amp;H50)+COUNTIFS($AZ$2:$AZ$201,AZ50,$BR$2:$BR$201,1,$H$2:$H$201,H50,$BA$2:$BA$201,"&lt;"&amp;BA50)=0,1,0),0)</f>
        <v>0</v>
      </c>
      <c r="BT50" s="23" t="str">
        <f aca="false">IF(BS50=1,AZ50,"")</f>
        <v/>
      </c>
      <c r="BU50" s="23" t="n">
        <f aca="false">IF(AND(BB50=1,W50="Y",TRIM(X50)=""),1,0)</f>
        <v>0</v>
      </c>
      <c r="BV50" s="23" t="str">
        <f aca="false">IF(BB50=1,AN50&amp;"","")</f>
        <v/>
      </c>
      <c r="BW50" s="23" t="str">
        <f aca="false">IF(BB50=1,AO50&amp;"","")</f>
        <v/>
      </c>
      <c r="BX50" s="23" t="str">
        <f aca="false">IF(BB50=1,AP50&amp;"","")</f>
        <v/>
      </c>
      <c r="BY50" s="23" t="str">
        <f aca="false">IF(AND(BB50=1,ISNUMBER(AV50),INT(N(H50))&lt;=Config!$B$5),AV50,"")</f>
        <v/>
      </c>
      <c r="BZ50" s="23" t="str">
        <f aca="false">IF(BB50=1,IF(COUNTIFS($A$2:$A$201,$A50,$DC$2:$DC$201,1,$AR$2:$AR$201,"Y")&gt;0,"Y","N"),"")</f>
        <v/>
      </c>
      <c r="CA50" s="23" t="n">
        <f aca="false">IF(AND(BB50=1,AR50="maybe"),1,0)</f>
        <v>0</v>
      </c>
      <c r="CB50" s="23" t="n">
        <f aca="false">IF(CA50=1,IF(COUNTIFS($AZ$2:$AZ$201,AZ50,$CA$2:$CA$201,1,$H$2:$H$201,"&lt;"&amp;H50)+COUNTIFS($AZ$2:$AZ$201,AZ50,$CA$2:$CA$201,1,$H$2:$H$201,H50,$BA$2:$BA$201,"&lt;"&amp;BA50)=0,1,0),0)</f>
        <v>0</v>
      </c>
      <c r="CC50" s="23" t="n">
        <f aca="false">IF(AND(BB50=1,AR50="Y"),IF(COUNTIFS($AZ$2:$AZ$201,AZ50,$AR$2:$AR$201,"Y",$BB$2:$BB$201,1,$H$2:$H$201,"&lt;"&amp;H50)+COUNTIFS($AZ$2:$AZ$201,AZ50,$AR$2:$AR$201,"Y",$BB$2:$BB$201,1,$H$2:$H$201,H50,$BA$2:$BA$201,"&lt;"&amp;BA50)=0,1,0),0)</f>
        <v>0</v>
      </c>
      <c r="CD50" s="23" t="n">
        <f aca="false">IF(AND(BH50=1,N(Y50)&gt;=Config!$B$15),1,0)</f>
        <v>0</v>
      </c>
      <c r="CE50" s="23" t="n">
        <f aca="false">IF(AND(BB50=1,AT50="Y"),1,0)</f>
        <v>0</v>
      </c>
      <c r="CF50" s="23" t="n">
        <f aca="false">IF(CE50=1,IF(COUNTIFS($AZ$2:$AZ$201,AZ50,$CE$2:$CE$201,1,$H$2:$H$201,"&lt;"&amp;H50)+COUNTIFS($AZ$2:$AZ$201,AZ50,$CE$2:$CE$201,1,$H$2:$H$201,H50,$BA$2:$BA$201,"&lt;"&amp;BA50)=0,1,0),0)</f>
        <v>0</v>
      </c>
      <c r="CG50" s="23" t="n">
        <f aca="false">IF(AND(BB50=1,G50="warm-intro"),1,0)</f>
        <v>0</v>
      </c>
      <c r="CH50" s="23" t="n">
        <f aca="false">IF(CG50=1,IF(COUNTIFS($AZ$2:$AZ$201,AZ50,$CG$2:$CG$201,1,$H$2:$H$201,"&lt;"&amp;H50)+COUNTIFS($AZ$2:$AZ$201,AZ50,$CG$2:$CG$201,1,$H$2:$H$201,H50,$BA$2:$BA$201,"&lt;"&amp;BA50)=0,1,0),0)</f>
        <v>0</v>
      </c>
      <c r="CI50" s="23" t="n">
        <f aca="false">IF(AND(BB50=1,Q50="Y"),1,0)</f>
        <v>0</v>
      </c>
      <c r="CJ50" s="23" t="n">
        <f aca="false">IF(CI50=1,IF(COUNTIFS($AZ$2:$AZ$201,AZ50,$CI$2:$CI$201,1,$H$2:$H$201,"&lt;"&amp;H50)+COUNTIFS($AZ$2:$AZ$201,AZ50,$CI$2:$CI$201,1,$H$2:$H$201,H50,$BA$2:$BA$201,"&lt;"&amp;BA50)=0,1,0),0)</f>
        <v>0</v>
      </c>
      <c r="CK50" s="23" t="n">
        <f aca="false">IF(AND(BB50=1,AF50="Y"),1,0)</f>
        <v>0</v>
      </c>
      <c r="CL50" s="23" t="n">
        <f aca="false">IF(CK50=1,IF(COUNTIFS($AZ$2:$AZ$201,AZ50,$CK$2:$CK$201,1,$H$2:$H$201,"&lt;"&amp;H50)+COUNTIFS($AZ$2:$AZ$201,AZ50,$CK$2:$CK$201,1,$H$2:$H$201,H50,$BA$2:$BA$201,"&lt;"&amp;BA50)=0,1,0),0)</f>
        <v>0</v>
      </c>
      <c r="CM50" s="23" t="n">
        <f aca="false">IF(AND(BB50=1,U50="Y"),1,0)</f>
        <v>0</v>
      </c>
      <c r="CN50" s="23" t="n">
        <f aca="false">IF(CM50=1,IF(COUNTIFS($AZ$2:$AZ$201,AZ50,$CM$2:$CM$201,1,$H$2:$H$201,"&lt;"&amp;H50)+COUNTIFS($AZ$2:$AZ$201,AZ50,$CM$2:$CM$201,1,$H$2:$H$201,H50,$BA$2:$BA$201,"&lt;"&amp;BA50)=0,1,0),0)</f>
        <v>0</v>
      </c>
      <c r="CO50" s="23" t="n">
        <f aca="false">IF(AND(BB50=1,L50="Y"),1,0)</f>
        <v>0</v>
      </c>
      <c r="CP50" s="23" t="n">
        <f aca="false">IF(CO50=1,IF(COUNTIFS($AZ$2:$AZ$201,AZ50,$CO$2:$CO$201,1,$H$2:$H$201,"&lt;"&amp;H50)+COUNTIFS($AZ$2:$AZ$201,AZ50,$CO$2:$CO$201,1,$H$2:$H$201,H50,$BA$2:$BA$201,"&lt;"&amp;BA50)=0,1,0),0)</f>
        <v>0</v>
      </c>
      <c r="CQ50" s="23" t="n">
        <f aca="false">IF(AND(BB50=1,ISNUMBER(O50)),1,0)</f>
        <v>0</v>
      </c>
      <c r="CR50" s="23" t="n">
        <f aca="false">IF(CQ50=1,IF(COUNTIFS($AZ$2:$AZ$201,AZ50,$CQ$2:$CQ$201,1,$H$2:$H$201,"&lt;"&amp;H50)+COUNTIFS($AZ$2:$AZ$201,AZ50,$CQ$2:$CQ$201,1,$H$2:$H$201,H50,$BA$2:$BA$201,"&lt;"&amp;BA50)=0,1,0),0)</f>
        <v>0</v>
      </c>
      <c r="CS50" s="23" t="str">
        <f aca="false">IF(AND(CR50=1,INT(N(H50))&lt;=Config!$B$5),O50,"")</f>
        <v/>
      </c>
      <c r="CT50" s="23" t="str">
        <f aca="false">IF(AND(BB50=1,INT(N(H50))&lt;=Config!$B$5),AG50&amp;"","")</f>
        <v/>
      </c>
      <c r="CU50" s="23" t="n">
        <f aca="false">IF(AND(BB50=1,AU50="Y"),1,0)</f>
        <v>0</v>
      </c>
      <c r="CV50" s="23" t="n">
        <f aca="false">IF(CU50=1,IF(COUNTIFS($AZ$2:$AZ$201,AZ50,$CU$2:$CU$201,1,$H$2:$H$201,"&lt;"&amp;H50)+COUNTIFS($AZ$2:$AZ$201,AZ50,$CU$2:$CU$201,1,$H$2:$H$201,H50,$BA$2:$BA$201,"&lt;"&amp;BA50)=0,1,0),0)</f>
        <v>0</v>
      </c>
      <c r="CW50" s="23" t="str">
        <f aca="false">IF(BB50=1,IFERROR(MATCH($A50,INDEX(Clay_Offices!$A$2:$FZ$601,0,Sync!$C$5),0),""),"")</f>
        <v/>
      </c>
      <c r="CX50" s="23" t="str">
        <f aca="false">IF(CW50="","",IFERROR(INDEX(Clay_Offices!$A$2:$FZ$601,CW50,Sync!$C$7)&amp;"",""))</f>
        <v/>
      </c>
      <c r="CY50" s="23" t="str">
        <f aca="false">IF(CX50="","",IFERROR(INDEX(Lists!$K$2:$K$15,MATCH(CX50,Lists!$J$2:$J$15,0)),""))</f>
        <v/>
      </c>
      <c r="CZ50" s="23" t="str">
        <f aca="false">IF(CW50="","",IFERROR(INDEX(Clay_Offices!$A$2:$FZ$601,CW50,Sync!$C$17)&amp;"",""))</f>
        <v/>
      </c>
      <c r="DA50" s="35" t="str">
        <f aca="false">IF(CW50="","",IFERROR(N(INDEX(Clay_Offices!$A$2:$FZ$601,CW50,Sync!$C$16)),0))</f>
        <v/>
      </c>
      <c r="DB50" s="23" t="n">
        <f aca="false">IF(AND(BB50=1,OR(AR50="Y",AR50="N",AR50="maybe")),1,0)</f>
        <v>0</v>
      </c>
      <c r="DC50" s="23" t="n">
        <f aca="false">IF(AND(DB50=1),IF(COUNTIFS($A$2:$A$201,$A50,$DB$2:$DB$201,1,$H$2:$H$201,"&gt;"&amp;H50)+COUNTIFS($A$2:$A$201,$A50,$DB$2:$DB$201,1,$H$2:$H$201,H50,$BA$2:$BA$201,"&gt;"&amp;BA50)=0,1,0),0)</f>
        <v>0</v>
      </c>
      <c r="DD50" s="23" t="n">
        <f aca="false">IF(AND(DB50=1,INT(N(H50))&lt;=Config!$B$6),IF(COUNTIFS($AZ$2:$AZ$201,AZ50,$DB$2:$DB$201,1,$H$2:$H$201,"&gt;"&amp;H50,$H$2:$H$201,"&lt;"&amp;(Config!$B$6+1))+COUNTIFS($AZ$2:$AZ$201,AZ50,$DB$2:$DB$201,1,$H$2:$H$201,H50,$BA$2:$BA$201,"&gt;"&amp;BA50)=0,1,0),0)</f>
        <v>0</v>
      </c>
      <c r="DE50" s="23" t="n">
        <f aca="false">IF(AND(DB50=1,INT(N(H50))&lt;=Config!$B$7),IF(COUNTIFS($AZ$2:$AZ$201,AZ50,$DB$2:$DB$201,1,$H$2:$H$201,"&gt;"&amp;H50,$H$2:$H$201,"&lt;"&amp;(Config!$B$7+1))+COUNTIFS($AZ$2:$AZ$201,AZ50,$DB$2:$DB$201,1,$H$2:$H$201,H50,$BA$2:$BA$201,"&gt;"&amp;BA50)=0,1,0),0)</f>
        <v>0</v>
      </c>
      <c r="DF50" s="23" t="n">
        <f aca="false">IF(AND(DB50=1,INT(N(H50))&lt;=Config!$B$8),IF(COUNTIFS($AZ$2:$AZ$201,AZ50,$DB$2:$DB$201,1,$H$2:$H$201,"&gt;"&amp;H50,$H$2:$H$201,"&lt;"&amp;(Config!$B$8+1))+COUNTIFS($AZ$2:$AZ$201,AZ50,$DB$2:$DB$201,1,$H$2:$H$201,H50,$BA$2:$BA$201,"&gt;"&amp;BA50)=0,1,0),0)</f>
        <v>0</v>
      </c>
      <c r="DG50" s="23" t="n">
        <f aca="false">IF(AND(DB50=1,INT(N(H50))&lt;=Config!$B$5),IF(COUNTIFS($AZ$2:$AZ$201,AZ50,$DB$2:$DB$201,1,$H$2:$H$201,"&gt;"&amp;H50,$H$2:$H$201,"&lt;"&amp;(Config!$B$5+1))+COUNTIFS($AZ$2:$AZ$201,AZ50,$DB$2:$DB$201,1,$H$2:$H$201,H50,$BA$2:$BA$201,"&gt;"&amp;BA50)=0,1,0),0)</f>
        <v>0</v>
      </c>
      <c r="DH50" s="23" t="n">
        <f aca="false">IF(BB50=1,IF(COUNTIFS($AZ$2:$AZ$201,AZ50,$DD$2:$DD$201,1,$AR$2:$AR$201,"Y")&gt;0,1,0),0)</f>
        <v>0</v>
      </c>
      <c r="DI50" s="23" t="n">
        <f aca="false">IF(BB50=1,IF(COUNTIFS($AZ$2:$AZ$201,AZ50,$DE$2:$DE$201,1,$AR$2:$AR$201,"Y")&gt;0,1,0),0)</f>
        <v>0</v>
      </c>
      <c r="DJ50" s="23" t="n">
        <f aca="false">IF(BB50=1,IF(COUNTIFS($AZ$2:$AZ$201,AZ50,$DF$2:$DF$201,1,$AR$2:$AR$201,"Y")&gt;0,1,0),0)</f>
        <v>0</v>
      </c>
      <c r="DK50" s="23" t="n">
        <f aca="false">IF(BB50=1,IF(COUNTIFS($AZ$2:$AZ$201,AZ50,$DG$2:$DG$201,1,$AR$2:$AR$201,"Y")&gt;0,1,0),0)</f>
        <v>0</v>
      </c>
      <c r="DL50" s="23" t="n">
        <f aca="false">IF(AND(BF50=1,INT(N(H50))&lt;=Config!$B$6,DH50=1,EI50=0),1,0)</f>
        <v>0</v>
      </c>
      <c r="DM50" s="23" t="n">
        <f aca="false">IF(AND(BF50=1,INT(N(H50))&lt;=Config!$B$7,DI50=1,EI50=0),1,0)</f>
        <v>0</v>
      </c>
      <c r="DN50" s="23" t="n">
        <f aca="false">IF(AND(BF50=1,INT(N(H50))&lt;=Config!$B$8,DJ50=1,EI50=0),1,0)</f>
        <v>0</v>
      </c>
      <c r="DO50" s="23" t="n">
        <f aca="false">IF(AND(BF50=1,INT(N(H50))&lt;=Config!$B$5,DK50=1,EI50=0),1,0)</f>
        <v>0</v>
      </c>
      <c r="DP50" s="23" t="n">
        <f aca="false">IF(AND(CC50=1,INT(N(H50))&lt;=Config!$B$6,DH50=1,EI50=0),1,0)</f>
        <v>0</v>
      </c>
      <c r="DQ50" s="23" t="n">
        <f aca="false">IF(AND(CC50=1,INT(N(H50))&lt;=Config!$B$7,DI50=1,EI50=0),1,0)</f>
        <v>0</v>
      </c>
      <c r="DR50" s="23" t="n">
        <f aca="false">IF(AND(CC50=1,INT(N(H50))&lt;=Config!$B$8,DJ50=1,EI50=0),1,0)</f>
        <v>0</v>
      </c>
      <c r="DS50" s="23" t="n">
        <f aca="false">IF(AND(CC50=1,INT(N(H50))&lt;=Config!$B$5,DK50=1,EI50=0),1,0)</f>
        <v>0</v>
      </c>
      <c r="DT50" s="23" t="n">
        <f aca="false">IF(AND(CC50=1,INT(N(H50))&lt;=Config!$B$6,DH50=0),1,0)</f>
        <v>0</v>
      </c>
      <c r="DU50" s="23" t="n">
        <f aca="false">IF(AND(CC50=1,INT(N(H50))&lt;=Config!$B$7,DI50=0),1,0)</f>
        <v>0</v>
      </c>
      <c r="DV50" s="23" t="n">
        <f aca="false">IF(AND(CC50=1,INT(N(H50))&lt;=Config!$B$8,DJ50=0),1,0)</f>
        <v>0</v>
      </c>
      <c r="DW50" s="23" t="n">
        <f aca="false">IF(AND(CC50=1,INT(N(H50))&lt;=Config!$B$5,DK50=0),1,0)</f>
        <v>0</v>
      </c>
      <c r="DX50" s="23" t="n">
        <f aca="false">IF(TRIM($A50)="",0,ISTEXT(M50)+ISTEXT(O50)+ISTEXT(Y50)+ISTEXT(Z50)+ISTEXT(AA50)+ISTEXT(AV50))</f>
        <v>0</v>
      </c>
      <c r="DY50" s="23" t="n">
        <f aca="false">IF(BB50=1,IF(H50&lt;&gt;INT(H50),1,0),0)</f>
        <v>0</v>
      </c>
      <c r="DZ50" s="23" t="str">
        <f aca="false">IF(TRIM($A50)="","",IF(TRIM(B50)="",SUBSTITUTE(SUBSTITUTE(SUBSTITUTE(SUBSTITUTE(SUBSTITUTE(SUBSTITUTE(LOWER(TRIM($A50)),"~",""),"*",""),"?",""),"&lt;",""),"&gt;",""),"=",""),SUBSTITUTE(SUBSTITUTE(SUBSTITUTE(SUBSTITUTE(SUBSTITUTE(SUBSTITUTE(LOWER(TRIM(B50)),"~",""),"*",""),"?",""),"&lt;",""),"&gt;",""),"=","")))</f>
        <v/>
      </c>
      <c r="EA50" s="23" t="str">
        <f aca="false">IF(CW50="","",IFERROR(IF(LEFT(LOWER(TRIM(INDEX(Clay_Offices!$A$2:$FZ$601,CW50,Sync!$C$19)&amp;"")),4)="grp-",SUBSTITUTE(SUBSTITUTE(SUBSTITUTE(SUBSTITUTE(SUBSTITUTE(SUBSTITUTE(LOWER(TRIM(INDEX(Clay_Offices!$A$2:$FZ$601,CW50,Sync!$C$19)&amp;"")),"~",""),"*",""),"?",""),"&lt;",""),"&gt;",""),"=",""),""),""))</f>
        <v/>
      </c>
      <c r="EB50" s="23" t="str">
        <f aca="false">IF(EA50&lt;&gt;"",DZ50,"")</f>
        <v/>
      </c>
      <c r="EC50" s="23" t="str">
        <f aca="false">IF(BC50=1,AZ50,"")</f>
        <v/>
      </c>
      <c r="ED50" s="23" t="str">
        <f aca="false">IF(TRIM($A50)="","",IFERROR(INDEX($A$2:$A$201,MATCH(AZ50,$EC$2:$EC$201,0))&amp;"",$A50&amp;""))</f>
        <v/>
      </c>
      <c r="EE50" s="23" t="n">
        <f aca="false">IF(BB50=1,IF(COUNTIFS($A$2:$A$201,$A50,$BB$2:$BB$201,1,$H$2:$H$201,"&lt;"&amp;H50)+COUNTIFS($A$2:$A$201,$A50,$BB$2:$BB$201,1,$H$2:$H$201,H50,$BA$2:$BA$201,"&lt;"&amp;BA50)=0,1,0),0)</f>
        <v>0</v>
      </c>
      <c r="EF50" s="23" t="n">
        <f aca="false">IF(BC50=1,IF(COUNTIFS($AZ$2:$AZ$201,AZ50,$EE$2:$EE$201,1)&gt;1,1,0),0)</f>
        <v>0</v>
      </c>
      <c r="EG50" s="23" t="n">
        <f aca="false">IF(AND(CQ50=1),IF(COUNTIFS($AZ$2:$AZ$201,AZ50,$CQ$2:$CQ$201,1,$H$2:$H$201,"&gt;"&amp;H50)+COUNTIFS($AZ$2:$AZ$201,AZ50,$CQ$2:$CQ$201,1,$H$2:$H$201,H50,$BA$2:$BA$201,"&gt;"&amp;BA50)=0,1,0),0)</f>
        <v>0</v>
      </c>
      <c r="EH50" s="23" t="str">
        <f aca="false">IF(BB50=1,IF(COUNTIFS($AZ$2:$AZ$201,AZ50,$EG$2:$EG$201,1)=0,"",SUMIFS($O$2:$O$201,$AZ$2:$AZ$201,AZ50,$EG$2:$EG$201,1)),"")</f>
        <v/>
      </c>
      <c r="EI50" s="23" t="n">
        <f aca="false">IF(AND(ISNUMBER(EH50),OR(N(EH50)&lt;Config!$B$31,N(EH50)&gt;Config!$B$33)),1,0)</f>
        <v>0</v>
      </c>
      <c r="EJ50" s="23" t="n">
        <f aca="false">IF(AND(ISNUMBER(EH50),N(EH50)&gt;=Config!$B$31,N(EH50)&lt;Config!$B$32),1,0)</f>
        <v>0</v>
      </c>
      <c r="EK50" s="23" t="n">
        <f aca="false">IF(AND(BF50=1,INT(N(H50))&lt;=Config!$B$6,DH50=1,EI50=1),1,0)</f>
        <v>0</v>
      </c>
      <c r="EL50" s="23" t="n">
        <f aca="false">IF(AND(BF50=1,INT(N(H50))&lt;=Config!$B$7,DI50=1,EI50=1),1,0)</f>
        <v>0</v>
      </c>
      <c r="EM50" s="23" t="n">
        <f aca="false">IF(AND(BF50=1,INT(N(H50))&lt;=Config!$B$8,DJ50=1,EI50=1),1,0)</f>
        <v>0</v>
      </c>
      <c r="EN50" s="23" t="n">
        <f aca="false">IF(AND(BF50=1,INT(N(H50))&lt;=Config!$B$5,DK50=1,EI50=1),1,0)</f>
        <v>0</v>
      </c>
      <c r="EO50" s="23" t="n">
        <f aca="false">IF(AND(DL50=1,EJ50=1),1,0)</f>
        <v>0</v>
      </c>
      <c r="EP50" s="23" t="n">
        <f aca="false">IF(AND(DM50=1,EJ50=1),1,0)</f>
        <v>0</v>
      </c>
      <c r="EQ50" s="23" t="n">
        <f aca="false">IF(AND(DN50=1,EJ50=1),1,0)</f>
        <v>0</v>
      </c>
      <c r="ER50" s="23" t="n">
        <f aca="false">IF(AND(DO50=1,EJ50=1),1,0)</f>
        <v>0</v>
      </c>
    </row>
    <row r="51" customFormat="false" ht="15" hidden="false" customHeight="false" outlineLevel="0" collapsed="false">
      <c r="G51" s="32"/>
      <c r="H51" s="33"/>
      <c r="I51" s="32"/>
      <c r="L51" s="32"/>
      <c r="Q51" s="32"/>
      <c r="U51" s="32"/>
      <c r="W51" s="32"/>
      <c r="AC51" s="32"/>
      <c r="AF51" s="32"/>
      <c r="AI51" s="32"/>
      <c r="AJ51" s="32"/>
      <c r="AN51" s="32"/>
      <c r="AR51" s="32"/>
      <c r="AT51" s="32"/>
      <c r="AU51" s="32"/>
      <c r="AW51" s="32"/>
      <c r="AY51" s="34" t="str">
        <f aca="false">IF(TRIM($A51)="","",IF(AND(LEFT($A51,6)="SAMPLE",Config!$B$19&lt;&gt;"Y"),"",IF(NOT(ISNUMBER(H51)),"call_date is blank or not a date",IF(Sync!$C$5="","Clay paste is empty or has no row_id column: paste the Clay export on Clay_Offices",IF(CW51="","row_id not found in the Clay paste: add the Clay row or fix the row_id",IF(AND(ISNUMBER(CY51),CY51&gt;=1,CY51&lt;=5),"Clay status is "&amp;CX51&amp;": set call_done or later",IF(AND(BD51=1,CZ51&lt;&gt;BZ51),"Clay yes_in_principle should be "&amp;BZ51,IF(AND(BD51=1,DA51&lt;&gt;H51),"Clay call_date should be "&amp;TEXT(H51,"yyyy-mm-dd"),""))))))))</f>
        <v/>
      </c>
      <c r="AZ51" s="23" t="str">
        <f aca="false">IF(TRIM($A51)="","",IF(TRIM(C51)&lt;&gt;"",SUBSTITUTE(SUBSTITUTE(SUBSTITUTE(SUBSTITUTE(SUBSTITUTE(SUBSTITUTE(LOWER(TRIM(C51)),"~",""),"*",""),"?",""),"&lt;",""),"&gt;",""),"=",""),IF(EA51&lt;&gt;"",EA51,IFERROR(INDEX($EA$2:$EA$201,MATCH(DZ51,$EB$2:$EB$201,0)),DZ51))))</f>
        <v/>
      </c>
      <c r="BA51" s="23" t="n">
        <f aca="false">ROW()</f>
        <v>51</v>
      </c>
      <c r="BB51" s="23" t="n">
        <f aca="false">IF(AND(TRIM($A51)&lt;&gt;"",ISNUMBER(H51)),IF(AND(LEFT($A51,6)="SAMPLE",Config!$B$19&lt;&gt;"Y"),0,1),0)</f>
        <v>0</v>
      </c>
      <c r="BC51" s="23" t="n">
        <f aca="false">IF(BB51=1,IF(COUNTIFS($AZ$2:$AZ$201,AZ51,$BB$2:$BB$201,1,$H$2:$H$201,"&lt;"&amp;H51)+COUNTIFS($AZ$2:$AZ$201,AZ51,$BB$2:$BB$201,1,$H$2:$H$201,H51,$BA$2:$BA$201,"&lt;"&amp;BA51)=0,1,0),0)</f>
        <v>0</v>
      </c>
      <c r="BD51" s="23" t="n">
        <f aca="false">IF(BB51=1,IF(COUNTIFS($A$2:$A$201,$A51,$BB$2:$BB$201,1,$H$2:$H$201,"&gt;"&amp;H51)+COUNTIFS($A$2:$A$201,$A51,$BB$2:$BB$201,1,$H$2:$H$201,H51,$BA$2:$BA$201,"&gt;"&amp;BA51)=0,1,0),0)</f>
        <v>0</v>
      </c>
      <c r="BE51" s="23" t="n">
        <f aca="false">IF(AND(BB51=1,AR51="Y",AC51="Y",TRIM(AH51)&lt;&gt;""),1,0)</f>
        <v>0</v>
      </c>
      <c r="BF51" s="23" t="n">
        <f aca="false">IF(BE51=1,IF(COUNTIFS($AZ$2:$AZ$201,AZ51,$BE$2:$BE$201,1,$H$2:$H$201,"&lt;"&amp;H51)+COUNTIFS($AZ$2:$AZ$201,AZ51,$BE$2:$BE$201,1,$H$2:$H$201,H51,$BA$2:$BA$201,"&lt;"&amp;BA51)=0,1,0),0)</f>
        <v>0</v>
      </c>
      <c r="BG51" s="23" t="n">
        <f aca="false">IF(AND(BB51=1,AR51="Y",BE51=0),1,0)</f>
        <v>0</v>
      </c>
      <c r="BH51" s="23" t="n">
        <f aca="false">IF(AND(BB51=1,ISNUMBER(Y51)),1,0)</f>
        <v>0</v>
      </c>
      <c r="BI51" s="23" t="n">
        <f aca="false">IF(BH51=1,IF(COUNTIFS($AZ$2:$AZ$201,AZ51,$BH$2:$BH$201,1,$H$2:$H$201,"&lt;"&amp;H51)+COUNTIFS($AZ$2:$AZ$201,AZ51,$BH$2:$BH$201,1,$H$2:$H$201,H51,$BA$2:$BA$201,"&lt;"&amp;BA51)=0,1,0),0)</f>
        <v>0</v>
      </c>
      <c r="BJ51" s="23" t="str">
        <f aca="false">IF(AND(BI51=1,INT(N(H51))&lt;=Config!$B$6),Y51,"")</f>
        <v/>
      </c>
      <c r="BK51" s="23" t="str">
        <f aca="false">IF(AND(BI51=1,INT(N(H51))&lt;=Config!$B$7),Y51,"")</f>
        <v/>
      </c>
      <c r="BL51" s="23" t="str">
        <f aca="false">IF(AND(BI51=1,INT(N(H51))&lt;=Config!$B$8),Y51,"")</f>
        <v/>
      </c>
      <c r="BM51" s="23" t="str">
        <f aca="false">IF(AND(BI51=1,INT(N(H51))&lt;=Config!$B$5),Y51,"")</f>
        <v/>
      </c>
      <c r="BN51" s="23" t="n">
        <f aca="false">IF(CD51=1,IF(COUNTIFS($AZ$2:$AZ$201,AZ51,$CD$2:$CD$201,1,$H$2:$H$201,"&lt;"&amp;H51)+COUNTIFS($AZ$2:$AZ$201,AZ51,$CD$2:$CD$201,1,$H$2:$H$201,H51,$BA$2:$BA$201,"&lt;"&amp;BA51)=0,1,0),0)</f>
        <v>0</v>
      </c>
      <c r="BO51" s="23" t="n">
        <f aca="false">IF(AND(BB51=1,ISNUMBER(M51)),1,0)</f>
        <v>0</v>
      </c>
      <c r="BP51" s="23" t="n">
        <f aca="false">IF(BO51=1,IF(COUNTIFS($AZ$2:$AZ$201,AZ51,$BO$2:$BO$201,1,$H$2:$H$201,"&lt;"&amp;H51)+COUNTIFS($AZ$2:$AZ$201,AZ51,$BO$2:$BO$201,1,$H$2:$H$201,H51,$BA$2:$BA$201,"&lt;"&amp;BA51)=0,1,0),0)</f>
        <v>0</v>
      </c>
      <c r="BQ51" s="23" t="str">
        <f aca="false">IF(AND(BP51=1,INT(N(H51))&lt;=Config!$B$5),M51,"")</f>
        <v/>
      </c>
      <c r="BR51" s="23" t="n">
        <f aca="false">IF(AND(BB51=1,OR(TRIM(X51)&lt;&gt;"",ISNUMBER(Y51))),1,0)</f>
        <v>0</v>
      </c>
      <c r="BS51" s="23" t="n">
        <f aca="false">IF(BR51=1,IF(COUNTIFS($AZ$2:$AZ$201,AZ51,$BR$2:$BR$201,1,$H$2:$H$201,"&lt;"&amp;H51)+COUNTIFS($AZ$2:$AZ$201,AZ51,$BR$2:$BR$201,1,$H$2:$H$201,H51,$BA$2:$BA$201,"&lt;"&amp;BA51)=0,1,0),0)</f>
        <v>0</v>
      </c>
      <c r="BT51" s="23" t="str">
        <f aca="false">IF(BS51=1,AZ51,"")</f>
        <v/>
      </c>
      <c r="BU51" s="23" t="n">
        <f aca="false">IF(AND(BB51=1,W51="Y",TRIM(X51)=""),1,0)</f>
        <v>0</v>
      </c>
      <c r="BV51" s="23" t="str">
        <f aca="false">IF(BB51=1,AN51&amp;"","")</f>
        <v/>
      </c>
      <c r="BW51" s="23" t="str">
        <f aca="false">IF(BB51=1,AO51&amp;"","")</f>
        <v/>
      </c>
      <c r="BX51" s="23" t="str">
        <f aca="false">IF(BB51=1,AP51&amp;"","")</f>
        <v/>
      </c>
      <c r="BY51" s="23" t="str">
        <f aca="false">IF(AND(BB51=1,ISNUMBER(AV51),INT(N(H51))&lt;=Config!$B$5),AV51,"")</f>
        <v/>
      </c>
      <c r="BZ51" s="23" t="str">
        <f aca="false">IF(BB51=1,IF(COUNTIFS($A$2:$A$201,$A51,$DC$2:$DC$201,1,$AR$2:$AR$201,"Y")&gt;0,"Y","N"),"")</f>
        <v/>
      </c>
      <c r="CA51" s="23" t="n">
        <f aca="false">IF(AND(BB51=1,AR51="maybe"),1,0)</f>
        <v>0</v>
      </c>
      <c r="CB51" s="23" t="n">
        <f aca="false">IF(CA51=1,IF(COUNTIFS($AZ$2:$AZ$201,AZ51,$CA$2:$CA$201,1,$H$2:$H$201,"&lt;"&amp;H51)+COUNTIFS($AZ$2:$AZ$201,AZ51,$CA$2:$CA$201,1,$H$2:$H$201,H51,$BA$2:$BA$201,"&lt;"&amp;BA51)=0,1,0),0)</f>
        <v>0</v>
      </c>
      <c r="CC51" s="23" t="n">
        <f aca="false">IF(AND(BB51=1,AR51="Y"),IF(COUNTIFS($AZ$2:$AZ$201,AZ51,$AR$2:$AR$201,"Y",$BB$2:$BB$201,1,$H$2:$H$201,"&lt;"&amp;H51)+COUNTIFS($AZ$2:$AZ$201,AZ51,$AR$2:$AR$201,"Y",$BB$2:$BB$201,1,$H$2:$H$201,H51,$BA$2:$BA$201,"&lt;"&amp;BA51)=0,1,0),0)</f>
        <v>0</v>
      </c>
      <c r="CD51" s="23" t="n">
        <f aca="false">IF(AND(BH51=1,N(Y51)&gt;=Config!$B$15),1,0)</f>
        <v>0</v>
      </c>
      <c r="CE51" s="23" t="n">
        <f aca="false">IF(AND(BB51=1,AT51="Y"),1,0)</f>
        <v>0</v>
      </c>
      <c r="CF51" s="23" t="n">
        <f aca="false">IF(CE51=1,IF(COUNTIFS($AZ$2:$AZ$201,AZ51,$CE$2:$CE$201,1,$H$2:$H$201,"&lt;"&amp;H51)+COUNTIFS($AZ$2:$AZ$201,AZ51,$CE$2:$CE$201,1,$H$2:$H$201,H51,$BA$2:$BA$201,"&lt;"&amp;BA51)=0,1,0),0)</f>
        <v>0</v>
      </c>
      <c r="CG51" s="23" t="n">
        <f aca="false">IF(AND(BB51=1,G51="warm-intro"),1,0)</f>
        <v>0</v>
      </c>
      <c r="CH51" s="23" t="n">
        <f aca="false">IF(CG51=1,IF(COUNTIFS($AZ$2:$AZ$201,AZ51,$CG$2:$CG$201,1,$H$2:$H$201,"&lt;"&amp;H51)+COUNTIFS($AZ$2:$AZ$201,AZ51,$CG$2:$CG$201,1,$H$2:$H$201,H51,$BA$2:$BA$201,"&lt;"&amp;BA51)=0,1,0),0)</f>
        <v>0</v>
      </c>
      <c r="CI51" s="23" t="n">
        <f aca="false">IF(AND(BB51=1,Q51="Y"),1,0)</f>
        <v>0</v>
      </c>
      <c r="CJ51" s="23" t="n">
        <f aca="false">IF(CI51=1,IF(COUNTIFS($AZ$2:$AZ$201,AZ51,$CI$2:$CI$201,1,$H$2:$H$201,"&lt;"&amp;H51)+COUNTIFS($AZ$2:$AZ$201,AZ51,$CI$2:$CI$201,1,$H$2:$H$201,H51,$BA$2:$BA$201,"&lt;"&amp;BA51)=0,1,0),0)</f>
        <v>0</v>
      </c>
      <c r="CK51" s="23" t="n">
        <f aca="false">IF(AND(BB51=1,AF51="Y"),1,0)</f>
        <v>0</v>
      </c>
      <c r="CL51" s="23" t="n">
        <f aca="false">IF(CK51=1,IF(COUNTIFS($AZ$2:$AZ$201,AZ51,$CK$2:$CK$201,1,$H$2:$H$201,"&lt;"&amp;H51)+COUNTIFS($AZ$2:$AZ$201,AZ51,$CK$2:$CK$201,1,$H$2:$H$201,H51,$BA$2:$BA$201,"&lt;"&amp;BA51)=0,1,0),0)</f>
        <v>0</v>
      </c>
      <c r="CM51" s="23" t="n">
        <f aca="false">IF(AND(BB51=1,U51="Y"),1,0)</f>
        <v>0</v>
      </c>
      <c r="CN51" s="23" t="n">
        <f aca="false">IF(CM51=1,IF(COUNTIFS($AZ$2:$AZ$201,AZ51,$CM$2:$CM$201,1,$H$2:$H$201,"&lt;"&amp;H51)+COUNTIFS($AZ$2:$AZ$201,AZ51,$CM$2:$CM$201,1,$H$2:$H$201,H51,$BA$2:$BA$201,"&lt;"&amp;BA51)=0,1,0),0)</f>
        <v>0</v>
      </c>
      <c r="CO51" s="23" t="n">
        <f aca="false">IF(AND(BB51=1,L51="Y"),1,0)</f>
        <v>0</v>
      </c>
      <c r="CP51" s="23" t="n">
        <f aca="false">IF(CO51=1,IF(COUNTIFS($AZ$2:$AZ$201,AZ51,$CO$2:$CO$201,1,$H$2:$H$201,"&lt;"&amp;H51)+COUNTIFS($AZ$2:$AZ$201,AZ51,$CO$2:$CO$201,1,$H$2:$H$201,H51,$BA$2:$BA$201,"&lt;"&amp;BA51)=0,1,0),0)</f>
        <v>0</v>
      </c>
      <c r="CQ51" s="23" t="n">
        <f aca="false">IF(AND(BB51=1,ISNUMBER(O51)),1,0)</f>
        <v>0</v>
      </c>
      <c r="CR51" s="23" t="n">
        <f aca="false">IF(CQ51=1,IF(COUNTIFS($AZ$2:$AZ$201,AZ51,$CQ$2:$CQ$201,1,$H$2:$H$201,"&lt;"&amp;H51)+COUNTIFS($AZ$2:$AZ$201,AZ51,$CQ$2:$CQ$201,1,$H$2:$H$201,H51,$BA$2:$BA$201,"&lt;"&amp;BA51)=0,1,0),0)</f>
        <v>0</v>
      </c>
      <c r="CS51" s="23" t="str">
        <f aca="false">IF(AND(CR51=1,INT(N(H51))&lt;=Config!$B$5),O51,"")</f>
        <v/>
      </c>
      <c r="CT51" s="23" t="str">
        <f aca="false">IF(AND(BB51=1,INT(N(H51))&lt;=Config!$B$5),AG51&amp;"","")</f>
        <v/>
      </c>
      <c r="CU51" s="23" t="n">
        <f aca="false">IF(AND(BB51=1,AU51="Y"),1,0)</f>
        <v>0</v>
      </c>
      <c r="CV51" s="23" t="n">
        <f aca="false">IF(CU51=1,IF(COUNTIFS($AZ$2:$AZ$201,AZ51,$CU$2:$CU$201,1,$H$2:$H$201,"&lt;"&amp;H51)+COUNTIFS($AZ$2:$AZ$201,AZ51,$CU$2:$CU$201,1,$H$2:$H$201,H51,$BA$2:$BA$201,"&lt;"&amp;BA51)=0,1,0),0)</f>
        <v>0</v>
      </c>
      <c r="CW51" s="23" t="str">
        <f aca="false">IF(BB51=1,IFERROR(MATCH($A51,INDEX(Clay_Offices!$A$2:$FZ$601,0,Sync!$C$5),0),""),"")</f>
        <v/>
      </c>
      <c r="CX51" s="23" t="str">
        <f aca="false">IF(CW51="","",IFERROR(INDEX(Clay_Offices!$A$2:$FZ$601,CW51,Sync!$C$7)&amp;"",""))</f>
        <v/>
      </c>
      <c r="CY51" s="23" t="str">
        <f aca="false">IF(CX51="","",IFERROR(INDEX(Lists!$K$2:$K$15,MATCH(CX51,Lists!$J$2:$J$15,0)),""))</f>
        <v/>
      </c>
      <c r="CZ51" s="23" t="str">
        <f aca="false">IF(CW51="","",IFERROR(INDEX(Clay_Offices!$A$2:$FZ$601,CW51,Sync!$C$17)&amp;"",""))</f>
        <v/>
      </c>
      <c r="DA51" s="35" t="str">
        <f aca="false">IF(CW51="","",IFERROR(N(INDEX(Clay_Offices!$A$2:$FZ$601,CW51,Sync!$C$16)),0))</f>
        <v/>
      </c>
      <c r="DB51" s="23" t="n">
        <f aca="false">IF(AND(BB51=1,OR(AR51="Y",AR51="N",AR51="maybe")),1,0)</f>
        <v>0</v>
      </c>
      <c r="DC51" s="23" t="n">
        <f aca="false">IF(AND(DB51=1),IF(COUNTIFS($A$2:$A$201,$A51,$DB$2:$DB$201,1,$H$2:$H$201,"&gt;"&amp;H51)+COUNTIFS($A$2:$A$201,$A51,$DB$2:$DB$201,1,$H$2:$H$201,H51,$BA$2:$BA$201,"&gt;"&amp;BA51)=0,1,0),0)</f>
        <v>0</v>
      </c>
      <c r="DD51" s="23" t="n">
        <f aca="false">IF(AND(DB51=1,INT(N(H51))&lt;=Config!$B$6),IF(COUNTIFS($AZ$2:$AZ$201,AZ51,$DB$2:$DB$201,1,$H$2:$H$201,"&gt;"&amp;H51,$H$2:$H$201,"&lt;"&amp;(Config!$B$6+1))+COUNTIFS($AZ$2:$AZ$201,AZ51,$DB$2:$DB$201,1,$H$2:$H$201,H51,$BA$2:$BA$201,"&gt;"&amp;BA51)=0,1,0),0)</f>
        <v>0</v>
      </c>
      <c r="DE51" s="23" t="n">
        <f aca="false">IF(AND(DB51=1,INT(N(H51))&lt;=Config!$B$7),IF(COUNTIFS($AZ$2:$AZ$201,AZ51,$DB$2:$DB$201,1,$H$2:$H$201,"&gt;"&amp;H51,$H$2:$H$201,"&lt;"&amp;(Config!$B$7+1))+COUNTIFS($AZ$2:$AZ$201,AZ51,$DB$2:$DB$201,1,$H$2:$H$201,H51,$BA$2:$BA$201,"&gt;"&amp;BA51)=0,1,0),0)</f>
        <v>0</v>
      </c>
      <c r="DF51" s="23" t="n">
        <f aca="false">IF(AND(DB51=1,INT(N(H51))&lt;=Config!$B$8),IF(COUNTIFS($AZ$2:$AZ$201,AZ51,$DB$2:$DB$201,1,$H$2:$H$201,"&gt;"&amp;H51,$H$2:$H$201,"&lt;"&amp;(Config!$B$8+1))+COUNTIFS($AZ$2:$AZ$201,AZ51,$DB$2:$DB$201,1,$H$2:$H$201,H51,$BA$2:$BA$201,"&gt;"&amp;BA51)=0,1,0),0)</f>
        <v>0</v>
      </c>
      <c r="DG51" s="23" t="n">
        <f aca="false">IF(AND(DB51=1,INT(N(H51))&lt;=Config!$B$5),IF(COUNTIFS($AZ$2:$AZ$201,AZ51,$DB$2:$DB$201,1,$H$2:$H$201,"&gt;"&amp;H51,$H$2:$H$201,"&lt;"&amp;(Config!$B$5+1))+COUNTIFS($AZ$2:$AZ$201,AZ51,$DB$2:$DB$201,1,$H$2:$H$201,H51,$BA$2:$BA$201,"&gt;"&amp;BA51)=0,1,0),0)</f>
        <v>0</v>
      </c>
      <c r="DH51" s="23" t="n">
        <f aca="false">IF(BB51=1,IF(COUNTIFS($AZ$2:$AZ$201,AZ51,$DD$2:$DD$201,1,$AR$2:$AR$201,"Y")&gt;0,1,0),0)</f>
        <v>0</v>
      </c>
      <c r="DI51" s="23" t="n">
        <f aca="false">IF(BB51=1,IF(COUNTIFS($AZ$2:$AZ$201,AZ51,$DE$2:$DE$201,1,$AR$2:$AR$201,"Y")&gt;0,1,0),0)</f>
        <v>0</v>
      </c>
      <c r="DJ51" s="23" t="n">
        <f aca="false">IF(BB51=1,IF(COUNTIFS($AZ$2:$AZ$201,AZ51,$DF$2:$DF$201,1,$AR$2:$AR$201,"Y")&gt;0,1,0),0)</f>
        <v>0</v>
      </c>
      <c r="DK51" s="23" t="n">
        <f aca="false">IF(BB51=1,IF(COUNTIFS($AZ$2:$AZ$201,AZ51,$DG$2:$DG$201,1,$AR$2:$AR$201,"Y")&gt;0,1,0),0)</f>
        <v>0</v>
      </c>
      <c r="DL51" s="23" t="n">
        <f aca="false">IF(AND(BF51=1,INT(N(H51))&lt;=Config!$B$6,DH51=1,EI51=0),1,0)</f>
        <v>0</v>
      </c>
      <c r="DM51" s="23" t="n">
        <f aca="false">IF(AND(BF51=1,INT(N(H51))&lt;=Config!$B$7,DI51=1,EI51=0),1,0)</f>
        <v>0</v>
      </c>
      <c r="DN51" s="23" t="n">
        <f aca="false">IF(AND(BF51=1,INT(N(H51))&lt;=Config!$B$8,DJ51=1,EI51=0),1,0)</f>
        <v>0</v>
      </c>
      <c r="DO51" s="23" t="n">
        <f aca="false">IF(AND(BF51=1,INT(N(H51))&lt;=Config!$B$5,DK51=1,EI51=0),1,0)</f>
        <v>0</v>
      </c>
      <c r="DP51" s="23" t="n">
        <f aca="false">IF(AND(CC51=1,INT(N(H51))&lt;=Config!$B$6,DH51=1,EI51=0),1,0)</f>
        <v>0</v>
      </c>
      <c r="DQ51" s="23" t="n">
        <f aca="false">IF(AND(CC51=1,INT(N(H51))&lt;=Config!$B$7,DI51=1,EI51=0),1,0)</f>
        <v>0</v>
      </c>
      <c r="DR51" s="23" t="n">
        <f aca="false">IF(AND(CC51=1,INT(N(H51))&lt;=Config!$B$8,DJ51=1,EI51=0),1,0)</f>
        <v>0</v>
      </c>
      <c r="DS51" s="23" t="n">
        <f aca="false">IF(AND(CC51=1,INT(N(H51))&lt;=Config!$B$5,DK51=1,EI51=0),1,0)</f>
        <v>0</v>
      </c>
      <c r="DT51" s="23" t="n">
        <f aca="false">IF(AND(CC51=1,INT(N(H51))&lt;=Config!$B$6,DH51=0),1,0)</f>
        <v>0</v>
      </c>
      <c r="DU51" s="23" t="n">
        <f aca="false">IF(AND(CC51=1,INT(N(H51))&lt;=Config!$B$7,DI51=0),1,0)</f>
        <v>0</v>
      </c>
      <c r="DV51" s="23" t="n">
        <f aca="false">IF(AND(CC51=1,INT(N(H51))&lt;=Config!$B$8,DJ51=0),1,0)</f>
        <v>0</v>
      </c>
      <c r="DW51" s="23" t="n">
        <f aca="false">IF(AND(CC51=1,INT(N(H51))&lt;=Config!$B$5,DK51=0),1,0)</f>
        <v>0</v>
      </c>
      <c r="DX51" s="23" t="n">
        <f aca="false">IF(TRIM($A51)="",0,ISTEXT(M51)+ISTEXT(O51)+ISTEXT(Y51)+ISTEXT(Z51)+ISTEXT(AA51)+ISTEXT(AV51))</f>
        <v>0</v>
      </c>
      <c r="DY51" s="23" t="n">
        <f aca="false">IF(BB51=1,IF(H51&lt;&gt;INT(H51),1,0),0)</f>
        <v>0</v>
      </c>
      <c r="DZ51" s="23" t="str">
        <f aca="false">IF(TRIM($A51)="","",IF(TRIM(B51)="",SUBSTITUTE(SUBSTITUTE(SUBSTITUTE(SUBSTITUTE(SUBSTITUTE(SUBSTITUTE(LOWER(TRIM($A51)),"~",""),"*",""),"?",""),"&lt;",""),"&gt;",""),"=",""),SUBSTITUTE(SUBSTITUTE(SUBSTITUTE(SUBSTITUTE(SUBSTITUTE(SUBSTITUTE(LOWER(TRIM(B51)),"~",""),"*",""),"?",""),"&lt;",""),"&gt;",""),"=","")))</f>
        <v/>
      </c>
      <c r="EA51" s="23" t="str">
        <f aca="false">IF(CW51="","",IFERROR(IF(LEFT(LOWER(TRIM(INDEX(Clay_Offices!$A$2:$FZ$601,CW51,Sync!$C$19)&amp;"")),4)="grp-",SUBSTITUTE(SUBSTITUTE(SUBSTITUTE(SUBSTITUTE(SUBSTITUTE(SUBSTITUTE(LOWER(TRIM(INDEX(Clay_Offices!$A$2:$FZ$601,CW51,Sync!$C$19)&amp;"")),"~",""),"*",""),"?",""),"&lt;",""),"&gt;",""),"=",""),""),""))</f>
        <v/>
      </c>
      <c r="EB51" s="23" t="str">
        <f aca="false">IF(EA51&lt;&gt;"",DZ51,"")</f>
        <v/>
      </c>
      <c r="EC51" s="23" t="str">
        <f aca="false">IF(BC51=1,AZ51,"")</f>
        <v/>
      </c>
      <c r="ED51" s="23" t="str">
        <f aca="false">IF(TRIM($A51)="","",IFERROR(INDEX($A$2:$A$201,MATCH(AZ51,$EC$2:$EC$201,0))&amp;"",$A51&amp;""))</f>
        <v/>
      </c>
      <c r="EE51" s="23" t="n">
        <f aca="false">IF(BB51=1,IF(COUNTIFS($A$2:$A$201,$A51,$BB$2:$BB$201,1,$H$2:$H$201,"&lt;"&amp;H51)+COUNTIFS($A$2:$A$201,$A51,$BB$2:$BB$201,1,$H$2:$H$201,H51,$BA$2:$BA$201,"&lt;"&amp;BA51)=0,1,0),0)</f>
        <v>0</v>
      </c>
      <c r="EF51" s="23" t="n">
        <f aca="false">IF(BC51=1,IF(COUNTIFS($AZ$2:$AZ$201,AZ51,$EE$2:$EE$201,1)&gt;1,1,0),0)</f>
        <v>0</v>
      </c>
      <c r="EG51" s="23" t="n">
        <f aca="false">IF(AND(CQ51=1),IF(COUNTIFS($AZ$2:$AZ$201,AZ51,$CQ$2:$CQ$201,1,$H$2:$H$201,"&gt;"&amp;H51)+COUNTIFS($AZ$2:$AZ$201,AZ51,$CQ$2:$CQ$201,1,$H$2:$H$201,H51,$BA$2:$BA$201,"&gt;"&amp;BA51)=0,1,0),0)</f>
        <v>0</v>
      </c>
      <c r="EH51" s="23" t="str">
        <f aca="false">IF(BB51=1,IF(COUNTIFS($AZ$2:$AZ$201,AZ51,$EG$2:$EG$201,1)=0,"",SUMIFS($O$2:$O$201,$AZ$2:$AZ$201,AZ51,$EG$2:$EG$201,1)),"")</f>
        <v/>
      </c>
      <c r="EI51" s="23" t="n">
        <f aca="false">IF(AND(ISNUMBER(EH51),OR(N(EH51)&lt;Config!$B$31,N(EH51)&gt;Config!$B$33)),1,0)</f>
        <v>0</v>
      </c>
      <c r="EJ51" s="23" t="n">
        <f aca="false">IF(AND(ISNUMBER(EH51),N(EH51)&gt;=Config!$B$31,N(EH51)&lt;Config!$B$32),1,0)</f>
        <v>0</v>
      </c>
      <c r="EK51" s="23" t="n">
        <f aca="false">IF(AND(BF51=1,INT(N(H51))&lt;=Config!$B$6,DH51=1,EI51=1),1,0)</f>
        <v>0</v>
      </c>
      <c r="EL51" s="23" t="n">
        <f aca="false">IF(AND(BF51=1,INT(N(H51))&lt;=Config!$B$7,DI51=1,EI51=1),1,0)</f>
        <v>0</v>
      </c>
      <c r="EM51" s="23" t="n">
        <f aca="false">IF(AND(BF51=1,INT(N(H51))&lt;=Config!$B$8,DJ51=1,EI51=1),1,0)</f>
        <v>0</v>
      </c>
      <c r="EN51" s="23" t="n">
        <f aca="false">IF(AND(BF51=1,INT(N(H51))&lt;=Config!$B$5,DK51=1,EI51=1),1,0)</f>
        <v>0</v>
      </c>
      <c r="EO51" s="23" t="n">
        <f aca="false">IF(AND(DL51=1,EJ51=1),1,0)</f>
        <v>0</v>
      </c>
      <c r="EP51" s="23" t="n">
        <f aca="false">IF(AND(DM51=1,EJ51=1),1,0)</f>
        <v>0</v>
      </c>
      <c r="EQ51" s="23" t="n">
        <f aca="false">IF(AND(DN51=1,EJ51=1),1,0)</f>
        <v>0</v>
      </c>
      <c r="ER51" s="23" t="n">
        <f aca="false">IF(AND(DO51=1,EJ51=1),1,0)</f>
        <v>0</v>
      </c>
    </row>
    <row r="52" customFormat="false" ht="15" hidden="false" customHeight="false" outlineLevel="0" collapsed="false">
      <c r="G52" s="32"/>
      <c r="H52" s="33"/>
      <c r="I52" s="32"/>
      <c r="L52" s="32"/>
      <c r="Q52" s="32"/>
      <c r="U52" s="32"/>
      <c r="W52" s="32"/>
      <c r="AC52" s="32"/>
      <c r="AF52" s="32"/>
      <c r="AI52" s="32"/>
      <c r="AJ52" s="32"/>
      <c r="AN52" s="32"/>
      <c r="AR52" s="32"/>
      <c r="AT52" s="32"/>
      <c r="AU52" s="32"/>
      <c r="AW52" s="32"/>
      <c r="AY52" s="34" t="str">
        <f aca="false">IF(TRIM($A52)="","",IF(AND(LEFT($A52,6)="SAMPLE",Config!$B$19&lt;&gt;"Y"),"",IF(NOT(ISNUMBER(H52)),"call_date is blank or not a date",IF(Sync!$C$5="","Clay paste is empty or has no row_id column: paste the Clay export on Clay_Offices",IF(CW52="","row_id not found in the Clay paste: add the Clay row or fix the row_id",IF(AND(ISNUMBER(CY52),CY52&gt;=1,CY52&lt;=5),"Clay status is "&amp;CX52&amp;": set call_done or later",IF(AND(BD52=1,CZ52&lt;&gt;BZ52),"Clay yes_in_principle should be "&amp;BZ52,IF(AND(BD52=1,DA52&lt;&gt;H52),"Clay call_date should be "&amp;TEXT(H52,"yyyy-mm-dd"),""))))))))</f>
        <v/>
      </c>
      <c r="AZ52" s="23" t="str">
        <f aca="false">IF(TRIM($A52)="","",IF(TRIM(C52)&lt;&gt;"",SUBSTITUTE(SUBSTITUTE(SUBSTITUTE(SUBSTITUTE(SUBSTITUTE(SUBSTITUTE(LOWER(TRIM(C52)),"~",""),"*",""),"?",""),"&lt;",""),"&gt;",""),"=",""),IF(EA52&lt;&gt;"",EA52,IFERROR(INDEX($EA$2:$EA$201,MATCH(DZ52,$EB$2:$EB$201,0)),DZ52))))</f>
        <v/>
      </c>
      <c r="BA52" s="23" t="n">
        <f aca="false">ROW()</f>
        <v>52</v>
      </c>
      <c r="BB52" s="23" t="n">
        <f aca="false">IF(AND(TRIM($A52)&lt;&gt;"",ISNUMBER(H52)),IF(AND(LEFT($A52,6)="SAMPLE",Config!$B$19&lt;&gt;"Y"),0,1),0)</f>
        <v>0</v>
      </c>
      <c r="BC52" s="23" t="n">
        <f aca="false">IF(BB52=1,IF(COUNTIFS($AZ$2:$AZ$201,AZ52,$BB$2:$BB$201,1,$H$2:$H$201,"&lt;"&amp;H52)+COUNTIFS($AZ$2:$AZ$201,AZ52,$BB$2:$BB$201,1,$H$2:$H$201,H52,$BA$2:$BA$201,"&lt;"&amp;BA52)=0,1,0),0)</f>
        <v>0</v>
      </c>
      <c r="BD52" s="23" t="n">
        <f aca="false">IF(BB52=1,IF(COUNTIFS($A$2:$A$201,$A52,$BB$2:$BB$201,1,$H$2:$H$201,"&gt;"&amp;H52)+COUNTIFS($A$2:$A$201,$A52,$BB$2:$BB$201,1,$H$2:$H$201,H52,$BA$2:$BA$201,"&gt;"&amp;BA52)=0,1,0),0)</f>
        <v>0</v>
      </c>
      <c r="BE52" s="23" t="n">
        <f aca="false">IF(AND(BB52=1,AR52="Y",AC52="Y",TRIM(AH52)&lt;&gt;""),1,0)</f>
        <v>0</v>
      </c>
      <c r="BF52" s="23" t="n">
        <f aca="false">IF(BE52=1,IF(COUNTIFS($AZ$2:$AZ$201,AZ52,$BE$2:$BE$201,1,$H$2:$H$201,"&lt;"&amp;H52)+COUNTIFS($AZ$2:$AZ$201,AZ52,$BE$2:$BE$201,1,$H$2:$H$201,H52,$BA$2:$BA$201,"&lt;"&amp;BA52)=0,1,0),0)</f>
        <v>0</v>
      </c>
      <c r="BG52" s="23" t="n">
        <f aca="false">IF(AND(BB52=1,AR52="Y",BE52=0),1,0)</f>
        <v>0</v>
      </c>
      <c r="BH52" s="23" t="n">
        <f aca="false">IF(AND(BB52=1,ISNUMBER(Y52)),1,0)</f>
        <v>0</v>
      </c>
      <c r="BI52" s="23" t="n">
        <f aca="false">IF(BH52=1,IF(COUNTIFS($AZ$2:$AZ$201,AZ52,$BH$2:$BH$201,1,$H$2:$H$201,"&lt;"&amp;H52)+COUNTIFS($AZ$2:$AZ$201,AZ52,$BH$2:$BH$201,1,$H$2:$H$201,H52,$BA$2:$BA$201,"&lt;"&amp;BA52)=0,1,0),0)</f>
        <v>0</v>
      </c>
      <c r="BJ52" s="23" t="str">
        <f aca="false">IF(AND(BI52=1,INT(N(H52))&lt;=Config!$B$6),Y52,"")</f>
        <v/>
      </c>
      <c r="BK52" s="23" t="str">
        <f aca="false">IF(AND(BI52=1,INT(N(H52))&lt;=Config!$B$7),Y52,"")</f>
        <v/>
      </c>
      <c r="BL52" s="23" t="str">
        <f aca="false">IF(AND(BI52=1,INT(N(H52))&lt;=Config!$B$8),Y52,"")</f>
        <v/>
      </c>
      <c r="BM52" s="23" t="str">
        <f aca="false">IF(AND(BI52=1,INT(N(H52))&lt;=Config!$B$5),Y52,"")</f>
        <v/>
      </c>
      <c r="BN52" s="23" t="n">
        <f aca="false">IF(CD52=1,IF(COUNTIFS($AZ$2:$AZ$201,AZ52,$CD$2:$CD$201,1,$H$2:$H$201,"&lt;"&amp;H52)+COUNTIFS($AZ$2:$AZ$201,AZ52,$CD$2:$CD$201,1,$H$2:$H$201,H52,$BA$2:$BA$201,"&lt;"&amp;BA52)=0,1,0),0)</f>
        <v>0</v>
      </c>
      <c r="BO52" s="23" t="n">
        <f aca="false">IF(AND(BB52=1,ISNUMBER(M52)),1,0)</f>
        <v>0</v>
      </c>
      <c r="BP52" s="23" t="n">
        <f aca="false">IF(BO52=1,IF(COUNTIFS($AZ$2:$AZ$201,AZ52,$BO$2:$BO$201,1,$H$2:$H$201,"&lt;"&amp;H52)+COUNTIFS($AZ$2:$AZ$201,AZ52,$BO$2:$BO$201,1,$H$2:$H$201,H52,$BA$2:$BA$201,"&lt;"&amp;BA52)=0,1,0),0)</f>
        <v>0</v>
      </c>
      <c r="BQ52" s="23" t="str">
        <f aca="false">IF(AND(BP52=1,INT(N(H52))&lt;=Config!$B$5),M52,"")</f>
        <v/>
      </c>
      <c r="BR52" s="23" t="n">
        <f aca="false">IF(AND(BB52=1,OR(TRIM(X52)&lt;&gt;"",ISNUMBER(Y52))),1,0)</f>
        <v>0</v>
      </c>
      <c r="BS52" s="23" t="n">
        <f aca="false">IF(BR52=1,IF(COUNTIFS($AZ$2:$AZ$201,AZ52,$BR$2:$BR$201,1,$H$2:$H$201,"&lt;"&amp;H52)+COUNTIFS($AZ$2:$AZ$201,AZ52,$BR$2:$BR$201,1,$H$2:$H$201,H52,$BA$2:$BA$201,"&lt;"&amp;BA52)=0,1,0),0)</f>
        <v>0</v>
      </c>
      <c r="BT52" s="23" t="str">
        <f aca="false">IF(BS52=1,AZ52,"")</f>
        <v/>
      </c>
      <c r="BU52" s="23" t="n">
        <f aca="false">IF(AND(BB52=1,W52="Y",TRIM(X52)=""),1,0)</f>
        <v>0</v>
      </c>
      <c r="BV52" s="23" t="str">
        <f aca="false">IF(BB52=1,AN52&amp;"","")</f>
        <v/>
      </c>
      <c r="BW52" s="23" t="str">
        <f aca="false">IF(BB52=1,AO52&amp;"","")</f>
        <v/>
      </c>
      <c r="BX52" s="23" t="str">
        <f aca="false">IF(BB52=1,AP52&amp;"","")</f>
        <v/>
      </c>
      <c r="BY52" s="23" t="str">
        <f aca="false">IF(AND(BB52=1,ISNUMBER(AV52),INT(N(H52))&lt;=Config!$B$5),AV52,"")</f>
        <v/>
      </c>
      <c r="BZ52" s="23" t="str">
        <f aca="false">IF(BB52=1,IF(COUNTIFS($A$2:$A$201,$A52,$DC$2:$DC$201,1,$AR$2:$AR$201,"Y")&gt;0,"Y","N"),"")</f>
        <v/>
      </c>
      <c r="CA52" s="23" t="n">
        <f aca="false">IF(AND(BB52=1,AR52="maybe"),1,0)</f>
        <v>0</v>
      </c>
      <c r="CB52" s="23" t="n">
        <f aca="false">IF(CA52=1,IF(COUNTIFS($AZ$2:$AZ$201,AZ52,$CA$2:$CA$201,1,$H$2:$H$201,"&lt;"&amp;H52)+COUNTIFS($AZ$2:$AZ$201,AZ52,$CA$2:$CA$201,1,$H$2:$H$201,H52,$BA$2:$BA$201,"&lt;"&amp;BA52)=0,1,0),0)</f>
        <v>0</v>
      </c>
      <c r="CC52" s="23" t="n">
        <f aca="false">IF(AND(BB52=1,AR52="Y"),IF(COUNTIFS($AZ$2:$AZ$201,AZ52,$AR$2:$AR$201,"Y",$BB$2:$BB$201,1,$H$2:$H$201,"&lt;"&amp;H52)+COUNTIFS($AZ$2:$AZ$201,AZ52,$AR$2:$AR$201,"Y",$BB$2:$BB$201,1,$H$2:$H$201,H52,$BA$2:$BA$201,"&lt;"&amp;BA52)=0,1,0),0)</f>
        <v>0</v>
      </c>
      <c r="CD52" s="23" t="n">
        <f aca="false">IF(AND(BH52=1,N(Y52)&gt;=Config!$B$15),1,0)</f>
        <v>0</v>
      </c>
      <c r="CE52" s="23" t="n">
        <f aca="false">IF(AND(BB52=1,AT52="Y"),1,0)</f>
        <v>0</v>
      </c>
      <c r="CF52" s="23" t="n">
        <f aca="false">IF(CE52=1,IF(COUNTIFS($AZ$2:$AZ$201,AZ52,$CE$2:$CE$201,1,$H$2:$H$201,"&lt;"&amp;H52)+COUNTIFS($AZ$2:$AZ$201,AZ52,$CE$2:$CE$201,1,$H$2:$H$201,H52,$BA$2:$BA$201,"&lt;"&amp;BA52)=0,1,0),0)</f>
        <v>0</v>
      </c>
      <c r="CG52" s="23" t="n">
        <f aca="false">IF(AND(BB52=1,G52="warm-intro"),1,0)</f>
        <v>0</v>
      </c>
      <c r="CH52" s="23" t="n">
        <f aca="false">IF(CG52=1,IF(COUNTIFS($AZ$2:$AZ$201,AZ52,$CG$2:$CG$201,1,$H$2:$H$201,"&lt;"&amp;H52)+COUNTIFS($AZ$2:$AZ$201,AZ52,$CG$2:$CG$201,1,$H$2:$H$201,H52,$BA$2:$BA$201,"&lt;"&amp;BA52)=0,1,0),0)</f>
        <v>0</v>
      </c>
      <c r="CI52" s="23" t="n">
        <f aca="false">IF(AND(BB52=1,Q52="Y"),1,0)</f>
        <v>0</v>
      </c>
      <c r="CJ52" s="23" t="n">
        <f aca="false">IF(CI52=1,IF(COUNTIFS($AZ$2:$AZ$201,AZ52,$CI$2:$CI$201,1,$H$2:$H$201,"&lt;"&amp;H52)+COUNTIFS($AZ$2:$AZ$201,AZ52,$CI$2:$CI$201,1,$H$2:$H$201,H52,$BA$2:$BA$201,"&lt;"&amp;BA52)=0,1,0),0)</f>
        <v>0</v>
      </c>
      <c r="CK52" s="23" t="n">
        <f aca="false">IF(AND(BB52=1,AF52="Y"),1,0)</f>
        <v>0</v>
      </c>
      <c r="CL52" s="23" t="n">
        <f aca="false">IF(CK52=1,IF(COUNTIFS($AZ$2:$AZ$201,AZ52,$CK$2:$CK$201,1,$H$2:$H$201,"&lt;"&amp;H52)+COUNTIFS($AZ$2:$AZ$201,AZ52,$CK$2:$CK$201,1,$H$2:$H$201,H52,$BA$2:$BA$201,"&lt;"&amp;BA52)=0,1,0),0)</f>
        <v>0</v>
      </c>
      <c r="CM52" s="23" t="n">
        <f aca="false">IF(AND(BB52=1,U52="Y"),1,0)</f>
        <v>0</v>
      </c>
      <c r="CN52" s="23" t="n">
        <f aca="false">IF(CM52=1,IF(COUNTIFS($AZ$2:$AZ$201,AZ52,$CM$2:$CM$201,1,$H$2:$H$201,"&lt;"&amp;H52)+COUNTIFS($AZ$2:$AZ$201,AZ52,$CM$2:$CM$201,1,$H$2:$H$201,H52,$BA$2:$BA$201,"&lt;"&amp;BA52)=0,1,0),0)</f>
        <v>0</v>
      </c>
      <c r="CO52" s="23" t="n">
        <f aca="false">IF(AND(BB52=1,L52="Y"),1,0)</f>
        <v>0</v>
      </c>
      <c r="CP52" s="23" t="n">
        <f aca="false">IF(CO52=1,IF(COUNTIFS($AZ$2:$AZ$201,AZ52,$CO$2:$CO$201,1,$H$2:$H$201,"&lt;"&amp;H52)+COUNTIFS($AZ$2:$AZ$201,AZ52,$CO$2:$CO$201,1,$H$2:$H$201,H52,$BA$2:$BA$201,"&lt;"&amp;BA52)=0,1,0),0)</f>
        <v>0</v>
      </c>
      <c r="CQ52" s="23" t="n">
        <f aca="false">IF(AND(BB52=1,ISNUMBER(O52)),1,0)</f>
        <v>0</v>
      </c>
      <c r="CR52" s="23" t="n">
        <f aca="false">IF(CQ52=1,IF(COUNTIFS($AZ$2:$AZ$201,AZ52,$CQ$2:$CQ$201,1,$H$2:$H$201,"&lt;"&amp;H52)+COUNTIFS($AZ$2:$AZ$201,AZ52,$CQ$2:$CQ$201,1,$H$2:$H$201,H52,$BA$2:$BA$201,"&lt;"&amp;BA52)=0,1,0),0)</f>
        <v>0</v>
      </c>
      <c r="CS52" s="23" t="str">
        <f aca="false">IF(AND(CR52=1,INT(N(H52))&lt;=Config!$B$5),O52,"")</f>
        <v/>
      </c>
      <c r="CT52" s="23" t="str">
        <f aca="false">IF(AND(BB52=1,INT(N(H52))&lt;=Config!$B$5),AG52&amp;"","")</f>
        <v/>
      </c>
      <c r="CU52" s="23" t="n">
        <f aca="false">IF(AND(BB52=1,AU52="Y"),1,0)</f>
        <v>0</v>
      </c>
      <c r="CV52" s="23" t="n">
        <f aca="false">IF(CU52=1,IF(COUNTIFS($AZ$2:$AZ$201,AZ52,$CU$2:$CU$201,1,$H$2:$H$201,"&lt;"&amp;H52)+COUNTIFS($AZ$2:$AZ$201,AZ52,$CU$2:$CU$201,1,$H$2:$H$201,H52,$BA$2:$BA$201,"&lt;"&amp;BA52)=0,1,0),0)</f>
        <v>0</v>
      </c>
      <c r="CW52" s="23" t="str">
        <f aca="false">IF(BB52=1,IFERROR(MATCH($A52,INDEX(Clay_Offices!$A$2:$FZ$601,0,Sync!$C$5),0),""),"")</f>
        <v/>
      </c>
      <c r="CX52" s="23" t="str">
        <f aca="false">IF(CW52="","",IFERROR(INDEX(Clay_Offices!$A$2:$FZ$601,CW52,Sync!$C$7)&amp;"",""))</f>
        <v/>
      </c>
      <c r="CY52" s="23" t="str">
        <f aca="false">IF(CX52="","",IFERROR(INDEX(Lists!$K$2:$K$15,MATCH(CX52,Lists!$J$2:$J$15,0)),""))</f>
        <v/>
      </c>
      <c r="CZ52" s="23" t="str">
        <f aca="false">IF(CW52="","",IFERROR(INDEX(Clay_Offices!$A$2:$FZ$601,CW52,Sync!$C$17)&amp;"",""))</f>
        <v/>
      </c>
      <c r="DA52" s="35" t="str">
        <f aca="false">IF(CW52="","",IFERROR(N(INDEX(Clay_Offices!$A$2:$FZ$601,CW52,Sync!$C$16)),0))</f>
        <v/>
      </c>
      <c r="DB52" s="23" t="n">
        <f aca="false">IF(AND(BB52=1,OR(AR52="Y",AR52="N",AR52="maybe")),1,0)</f>
        <v>0</v>
      </c>
      <c r="DC52" s="23" t="n">
        <f aca="false">IF(AND(DB52=1),IF(COUNTIFS($A$2:$A$201,$A52,$DB$2:$DB$201,1,$H$2:$H$201,"&gt;"&amp;H52)+COUNTIFS($A$2:$A$201,$A52,$DB$2:$DB$201,1,$H$2:$H$201,H52,$BA$2:$BA$201,"&gt;"&amp;BA52)=0,1,0),0)</f>
        <v>0</v>
      </c>
      <c r="DD52" s="23" t="n">
        <f aca="false">IF(AND(DB52=1,INT(N(H52))&lt;=Config!$B$6),IF(COUNTIFS($AZ$2:$AZ$201,AZ52,$DB$2:$DB$201,1,$H$2:$H$201,"&gt;"&amp;H52,$H$2:$H$201,"&lt;"&amp;(Config!$B$6+1))+COUNTIFS($AZ$2:$AZ$201,AZ52,$DB$2:$DB$201,1,$H$2:$H$201,H52,$BA$2:$BA$201,"&gt;"&amp;BA52)=0,1,0),0)</f>
        <v>0</v>
      </c>
      <c r="DE52" s="23" t="n">
        <f aca="false">IF(AND(DB52=1,INT(N(H52))&lt;=Config!$B$7),IF(COUNTIFS($AZ$2:$AZ$201,AZ52,$DB$2:$DB$201,1,$H$2:$H$201,"&gt;"&amp;H52,$H$2:$H$201,"&lt;"&amp;(Config!$B$7+1))+COUNTIFS($AZ$2:$AZ$201,AZ52,$DB$2:$DB$201,1,$H$2:$H$201,H52,$BA$2:$BA$201,"&gt;"&amp;BA52)=0,1,0),0)</f>
        <v>0</v>
      </c>
      <c r="DF52" s="23" t="n">
        <f aca="false">IF(AND(DB52=1,INT(N(H52))&lt;=Config!$B$8),IF(COUNTIFS($AZ$2:$AZ$201,AZ52,$DB$2:$DB$201,1,$H$2:$H$201,"&gt;"&amp;H52,$H$2:$H$201,"&lt;"&amp;(Config!$B$8+1))+COUNTIFS($AZ$2:$AZ$201,AZ52,$DB$2:$DB$201,1,$H$2:$H$201,H52,$BA$2:$BA$201,"&gt;"&amp;BA52)=0,1,0),0)</f>
        <v>0</v>
      </c>
      <c r="DG52" s="23" t="n">
        <f aca="false">IF(AND(DB52=1,INT(N(H52))&lt;=Config!$B$5),IF(COUNTIFS($AZ$2:$AZ$201,AZ52,$DB$2:$DB$201,1,$H$2:$H$201,"&gt;"&amp;H52,$H$2:$H$201,"&lt;"&amp;(Config!$B$5+1))+COUNTIFS($AZ$2:$AZ$201,AZ52,$DB$2:$DB$201,1,$H$2:$H$201,H52,$BA$2:$BA$201,"&gt;"&amp;BA52)=0,1,0),0)</f>
        <v>0</v>
      </c>
      <c r="DH52" s="23" t="n">
        <f aca="false">IF(BB52=1,IF(COUNTIFS($AZ$2:$AZ$201,AZ52,$DD$2:$DD$201,1,$AR$2:$AR$201,"Y")&gt;0,1,0),0)</f>
        <v>0</v>
      </c>
      <c r="DI52" s="23" t="n">
        <f aca="false">IF(BB52=1,IF(COUNTIFS($AZ$2:$AZ$201,AZ52,$DE$2:$DE$201,1,$AR$2:$AR$201,"Y")&gt;0,1,0),0)</f>
        <v>0</v>
      </c>
      <c r="DJ52" s="23" t="n">
        <f aca="false">IF(BB52=1,IF(COUNTIFS($AZ$2:$AZ$201,AZ52,$DF$2:$DF$201,1,$AR$2:$AR$201,"Y")&gt;0,1,0),0)</f>
        <v>0</v>
      </c>
      <c r="DK52" s="23" t="n">
        <f aca="false">IF(BB52=1,IF(COUNTIFS($AZ$2:$AZ$201,AZ52,$DG$2:$DG$201,1,$AR$2:$AR$201,"Y")&gt;0,1,0),0)</f>
        <v>0</v>
      </c>
      <c r="DL52" s="23" t="n">
        <f aca="false">IF(AND(BF52=1,INT(N(H52))&lt;=Config!$B$6,DH52=1,EI52=0),1,0)</f>
        <v>0</v>
      </c>
      <c r="DM52" s="23" t="n">
        <f aca="false">IF(AND(BF52=1,INT(N(H52))&lt;=Config!$B$7,DI52=1,EI52=0),1,0)</f>
        <v>0</v>
      </c>
      <c r="DN52" s="23" t="n">
        <f aca="false">IF(AND(BF52=1,INT(N(H52))&lt;=Config!$B$8,DJ52=1,EI52=0),1,0)</f>
        <v>0</v>
      </c>
      <c r="DO52" s="23" t="n">
        <f aca="false">IF(AND(BF52=1,INT(N(H52))&lt;=Config!$B$5,DK52=1,EI52=0),1,0)</f>
        <v>0</v>
      </c>
      <c r="DP52" s="23" t="n">
        <f aca="false">IF(AND(CC52=1,INT(N(H52))&lt;=Config!$B$6,DH52=1,EI52=0),1,0)</f>
        <v>0</v>
      </c>
      <c r="DQ52" s="23" t="n">
        <f aca="false">IF(AND(CC52=1,INT(N(H52))&lt;=Config!$B$7,DI52=1,EI52=0),1,0)</f>
        <v>0</v>
      </c>
      <c r="DR52" s="23" t="n">
        <f aca="false">IF(AND(CC52=1,INT(N(H52))&lt;=Config!$B$8,DJ52=1,EI52=0),1,0)</f>
        <v>0</v>
      </c>
      <c r="DS52" s="23" t="n">
        <f aca="false">IF(AND(CC52=1,INT(N(H52))&lt;=Config!$B$5,DK52=1,EI52=0),1,0)</f>
        <v>0</v>
      </c>
      <c r="DT52" s="23" t="n">
        <f aca="false">IF(AND(CC52=1,INT(N(H52))&lt;=Config!$B$6,DH52=0),1,0)</f>
        <v>0</v>
      </c>
      <c r="DU52" s="23" t="n">
        <f aca="false">IF(AND(CC52=1,INT(N(H52))&lt;=Config!$B$7,DI52=0),1,0)</f>
        <v>0</v>
      </c>
      <c r="DV52" s="23" t="n">
        <f aca="false">IF(AND(CC52=1,INT(N(H52))&lt;=Config!$B$8,DJ52=0),1,0)</f>
        <v>0</v>
      </c>
      <c r="DW52" s="23" t="n">
        <f aca="false">IF(AND(CC52=1,INT(N(H52))&lt;=Config!$B$5,DK52=0),1,0)</f>
        <v>0</v>
      </c>
      <c r="DX52" s="23" t="n">
        <f aca="false">IF(TRIM($A52)="",0,ISTEXT(M52)+ISTEXT(O52)+ISTEXT(Y52)+ISTEXT(Z52)+ISTEXT(AA52)+ISTEXT(AV52))</f>
        <v>0</v>
      </c>
      <c r="DY52" s="23" t="n">
        <f aca="false">IF(BB52=1,IF(H52&lt;&gt;INT(H52),1,0),0)</f>
        <v>0</v>
      </c>
      <c r="DZ52" s="23" t="str">
        <f aca="false">IF(TRIM($A52)="","",IF(TRIM(B52)="",SUBSTITUTE(SUBSTITUTE(SUBSTITUTE(SUBSTITUTE(SUBSTITUTE(SUBSTITUTE(LOWER(TRIM($A52)),"~",""),"*",""),"?",""),"&lt;",""),"&gt;",""),"=",""),SUBSTITUTE(SUBSTITUTE(SUBSTITUTE(SUBSTITUTE(SUBSTITUTE(SUBSTITUTE(LOWER(TRIM(B52)),"~",""),"*",""),"?",""),"&lt;",""),"&gt;",""),"=","")))</f>
        <v/>
      </c>
      <c r="EA52" s="23" t="str">
        <f aca="false">IF(CW52="","",IFERROR(IF(LEFT(LOWER(TRIM(INDEX(Clay_Offices!$A$2:$FZ$601,CW52,Sync!$C$19)&amp;"")),4)="grp-",SUBSTITUTE(SUBSTITUTE(SUBSTITUTE(SUBSTITUTE(SUBSTITUTE(SUBSTITUTE(LOWER(TRIM(INDEX(Clay_Offices!$A$2:$FZ$601,CW52,Sync!$C$19)&amp;"")),"~",""),"*",""),"?",""),"&lt;",""),"&gt;",""),"=",""),""),""))</f>
        <v/>
      </c>
      <c r="EB52" s="23" t="str">
        <f aca="false">IF(EA52&lt;&gt;"",DZ52,"")</f>
        <v/>
      </c>
      <c r="EC52" s="23" t="str">
        <f aca="false">IF(BC52=1,AZ52,"")</f>
        <v/>
      </c>
      <c r="ED52" s="23" t="str">
        <f aca="false">IF(TRIM($A52)="","",IFERROR(INDEX($A$2:$A$201,MATCH(AZ52,$EC$2:$EC$201,0))&amp;"",$A52&amp;""))</f>
        <v/>
      </c>
      <c r="EE52" s="23" t="n">
        <f aca="false">IF(BB52=1,IF(COUNTIFS($A$2:$A$201,$A52,$BB$2:$BB$201,1,$H$2:$H$201,"&lt;"&amp;H52)+COUNTIFS($A$2:$A$201,$A52,$BB$2:$BB$201,1,$H$2:$H$201,H52,$BA$2:$BA$201,"&lt;"&amp;BA52)=0,1,0),0)</f>
        <v>0</v>
      </c>
      <c r="EF52" s="23" t="n">
        <f aca="false">IF(BC52=1,IF(COUNTIFS($AZ$2:$AZ$201,AZ52,$EE$2:$EE$201,1)&gt;1,1,0),0)</f>
        <v>0</v>
      </c>
      <c r="EG52" s="23" t="n">
        <f aca="false">IF(AND(CQ52=1),IF(COUNTIFS($AZ$2:$AZ$201,AZ52,$CQ$2:$CQ$201,1,$H$2:$H$201,"&gt;"&amp;H52)+COUNTIFS($AZ$2:$AZ$201,AZ52,$CQ$2:$CQ$201,1,$H$2:$H$201,H52,$BA$2:$BA$201,"&gt;"&amp;BA52)=0,1,0),0)</f>
        <v>0</v>
      </c>
      <c r="EH52" s="23" t="str">
        <f aca="false">IF(BB52=1,IF(COUNTIFS($AZ$2:$AZ$201,AZ52,$EG$2:$EG$201,1)=0,"",SUMIFS($O$2:$O$201,$AZ$2:$AZ$201,AZ52,$EG$2:$EG$201,1)),"")</f>
        <v/>
      </c>
      <c r="EI52" s="23" t="n">
        <f aca="false">IF(AND(ISNUMBER(EH52),OR(N(EH52)&lt;Config!$B$31,N(EH52)&gt;Config!$B$33)),1,0)</f>
        <v>0</v>
      </c>
      <c r="EJ52" s="23" t="n">
        <f aca="false">IF(AND(ISNUMBER(EH52),N(EH52)&gt;=Config!$B$31,N(EH52)&lt;Config!$B$32),1,0)</f>
        <v>0</v>
      </c>
      <c r="EK52" s="23" t="n">
        <f aca="false">IF(AND(BF52=1,INT(N(H52))&lt;=Config!$B$6,DH52=1,EI52=1),1,0)</f>
        <v>0</v>
      </c>
      <c r="EL52" s="23" t="n">
        <f aca="false">IF(AND(BF52=1,INT(N(H52))&lt;=Config!$B$7,DI52=1,EI52=1),1,0)</f>
        <v>0</v>
      </c>
      <c r="EM52" s="23" t="n">
        <f aca="false">IF(AND(BF52=1,INT(N(H52))&lt;=Config!$B$8,DJ52=1,EI52=1),1,0)</f>
        <v>0</v>
      </c>
      <c r="EN52" s="23" t="n">
        <f aca="false">IF(AND(BF52=1,INT(N(H52))&lt;=Config!$B$5,DK52=1,EI52=1),1,0)</f>
        <v>0</v>
      </c>
      <c r="EO52" s="23" t="n">
        <f aca="false">IF(AND(DL52=1,EJ52=1),1,0)</f>
        <v>0</v>
      </c>
      <c r="EP52" s="23" t="n">
        <f aca="false">IF(AND(DM52=1,EJ52=1),1,0)</f>
        <v>0</v>
      </c>
      <c r="EQ52" s="23" t="n">
        <f aca="false">IF(AND(DN52=1,EJ52=1),1,0)</f>
        <v>0</v>
      </c>
      <c r="ER52" s="23" t="n">
        <f aca="false">IF(AND(DO52=1,EJ52=1),1,0)</f>
        <v>0</v>
      </c>
    </row>
    <row r="53" customFormat="false" ht="15" hidden="false" customHeight="false" outlineLevel="0" collapsed="false">
      <c r="G53" s="32"/>
      <c r="H53" s="33"/>
      <c r="I53" s="32"/>
      <c r="L53" s="32"/>
      <c r="Q53" s="32"/>
      <c r="U53" s="32"/>
      <c r="W53" s="32"/>
      <c r="AC53" s="32"/>
      <c r="AF53" s="32"/>
      <c r="AI53" s="32"/>
      <c r="AJ53" s="32"/>
      <c r="AN53" s="32"/>
      <c r="AR53" s="32"/>
      <c r="AT53" s="32"/>
      <c r="AU53" s="32"/>
      <c r="AW53" s="32"/>
      <c r="AY53" s="34" t="str">
        <f aca="false">IF(TRIM($A53)="","",IF(AND(LEFT($A53,6)="SAMPLE",Config!$B$19&lt;&gt;"Y"),"",IF(NOT(ISNUMBER(H53)),"call_date is blank or not a date",IF(Sync!$C$5="","Clay paste is empty or has no row_id column: paste the Clay export on Clay_Offices",IF(CW53="","row_id not found in the Clay paste: add the Clay row or fix the row_id",IF(AND(ISNUMBER(CY53),CY53&gt;=1,CY53&lt;=5),"Clay status is "&amp;CX53&amp;": set call_done or later",IF(AND(BD53=1,CZ53&lt;&gt;BZ53),"Clay yes_in_principle should be "&amp;BZ53,IF(AND(BD53=1,DA53&lt;&gt;H53),"Clay call_date should be "&amp;TEXT(H53,"yyyy-mm-dd"),""))))))))</f>
        <v/>
      </c>
      <c r="AZ53" s="23" t="str">
        <f aca="false">IF(TRIM($A53)="","",IF(TRIM(C53)&lt;&gt;"",SUBSTITUTE(SUBSTITUTE(SUBSTITUTE(SUBSTITUTE(SUBSTITUTE(SUBSTITUTE(LOWER(TRIM(C53)),"~",""),"*",""),"?",""),"&lt;",""),"&gt;",""),"=",""),IF(EA53&lt;&gt;"",EA53,IFERROR(INDEX($EA$2:$EA$201,MATCH(DZ53,$EB$2:$EB$201,0)),DZ53))))</f>
        <v/>
      </c>
      <c r="BA53" s="23" t="n">
        <f aca="false">ROW()</f>
        <v>53</v>
      </c>
      <c r="BB53" s="23" t="n">
        <f aca="false">IF(AND(TRIM($A53)&lt;&gt;"",ISNUMBER(H53)),IF(AND(LEFT($A53,6)="SAMPLE",Config!$B$19&lt;&gt;"Y"),0,1),0)</f>
        <v>0</v>
      </c>
      <c r="BC53" s="23" t="n">
        <f aca="false">IF(BB53=1,IF(COUNTIFS($AZ$2:$AZ$201,AZ53,$BB$2:$BB$201,1,$H$2:$H$201,"&lt;"&amp;H53)+COUNTIFS($AZ$2:$AZ$201,AZ53,$BB$2:$BB$201,1,$H$2:$H$201,H53,$BA$2:$BA$201,"&lt;"&amp;BA53)=0,1,0),0)</f>
        <v>0</v>
      </c>
      <c r="BD53" s="23" t="n">
        <f aca="false">IF(BB53=1,IF(COUNTIFS($A$2:$A$201,$A53,$BB$2:$BB$201,1,$H$2:$H$201,"&gt;"&amp;H53)+COUNTIFS($A$2:$A$201,$A53,$BB$2:$BB$201,1,$H$2:$H$201,H53,$BA$2:$BA$201,"&gt;"&amp;BA53)=0,1,0),0)</f>
        <v>0</v>
      </c>
      <c r="BE53" s="23" t="n">
        <f aca="false">IF(AND(BB53=1,AR53="Y",AC53="Y",TRIM(AH53)&lt;&gt;""),1,0)</f>
        <v>0</v>
      </c>
      <c r="BF53" s="23" t="n">
        <f aca="false">IF(BE53=1,IF(COUNTIFS($AZ$2:$AZ$201,AZ53,$BE$2:$BE$201,1,$H$2:$H$201,"&lt;"&amp;H53)+COUNTIFS($AZ$2:$AZ$201,AZ53,$BE$2:$BE$201,1,$H$2:$H$201,H53,$BA$2:$BA$201,"&lt;"&amp;BA53)=0,1,0),0)</f>
        <v>0</v>
      </c>
      <c r="BG53" s="23" t="n">
        <f aca="false">IF(AND(BB53=1,AR53="Y",BE53=0),1,0)</f>
        <v>0</v>
      </c>
      <c r="BH53" s="23" t="n">
        <f aca="false">IF(AND(BB53=1,ISNUMBER(Y53)),1,0)</f>
        <v>0</v>
      </c>
      <c r="BI53" s="23" t="n">
        <f aca="false">IF(BH53=1,IF(COUNTIFS($AZ$2:$AZ$201,AZ53,$BH$2:$BH$201,1,$H$2:$H$201,"&lt;"&amp;H53)+COUNTIFS($AZ$2:$AZ$201,AZ53,$BH$2:$BH$201,1,$H$2:$H$201,H53,$BA$2:$BA$201,"&lt;"&amp;BA53)=0,1,0),0)</f>
        <v>0</v>
      </c>
      <c r="BJ53" s="23" t="str">
        <f aca="false">IF(AND(BI53=1,INT(N(H53))&lt;=Config!$B$6),Y53,"")</f>
        <v/>
      </c>
      <c r="BK53" s="23" t="str">
        <f aca="false">IF(AND(BI53=1,INT(N(H53))&lt;=Config!$B$7),Y53,"")</f>
        <v/>
      </c>
      <c r="BL53" s="23" t="str">
        <f aca="false">IF(AND(BI53=1,INT(N(H53))&lt;=Config!$B$8),Y53,"")</f>
        <v/>
      </c>
      <c r="BM53" s="23" t="str">
        <f aca="false">IF(AND(BI53=1,INT(N(H53))&lt;=Config!$B$5),Y53,"")</f>
        <v/>
      </c>
      <c r="BN53" s="23" t="n">
        <f aca="false">IF(CD53=1,IF(COUNTIFS($AZ$2:$AZ$201,AZ53,$CD$2:$CD$201,1,$H$2:$H$201,"&lt;"&amp;H53)+COUNTIFS($AZ$2:$AZ$201,AZ53,$CD$2:$CD$201,1,$H$2:$H$201,H53,$BA$2:$BA$201,"&lt;"&amp;BA53)=0,1,0),0)</f>
        <v>0</v>
      </c>
      <c r="BO53" s="23" t="n">
        <f aca="false">IF(AND(BB53=1,ISNUMBER(M53)),1,0)</f>
        <v>0</v>
      </c>
      <c r="BP53" s="23" t="n">
        <f aca="false">IF(BO53=1,IF(COUNTIFS($AZ$2:$AZ$201,AZ53,$BO$2:$BO$201,1,$H$2:$H$201,"&lt;"&amp;H53)+COUNTIFS($AZ$2:$AZ$201,AZ53,$BO$2:$BO$201,1,$H$2:$H$201,H53,$BA$2:$BA$201,"&lt;"&amp;BA53)=0,1,0),0)</f>
        <v>0</v>
      </c>
      <c r="BQ53" s="23" t="str">
        <f aca="false">IF(AND(BP53=1,INT(N(H53))&lt;=Config!$B$5),M53,"")</f>
        <v/>
      </c>
      <c r="BR53" s="23" t="n">
        <f aca="false">IF(AND(BB53=1,OR(TRIM(X53)&lt;&gt;"",ISNUMBER(Y53))),1,0)</f>
        <v>0</v>
      </c>
      <c r="BS53" s="23" t="n">
        <f aca="false">IF(BR53=1,IF(COUNTIFS($AZ$2:$AZ$201,AZ53,$BR$2:$BR$201,1,$H$2:$H$201,"&lt;"&amp;H53)+COUNTIFS($AZ$2:$AZ$201,AZ53,$BR$2:$BR$201,1,$H$2:$H$201,H53,$BA$2:$BA$201,"&lt;"&amp;BA53)=0,1,0),0)</f>
        <v>0</v>
      </c>
      <c r="BT53" s="23" t="str">
        <f aca="false">IF(BS53=1,AZ53,"")</f>
        <v/>
      </c>
      <c r="BU53" s="23" t="n">
        <f aca="false">IF(AND(BB53=1,W53="Y",TRIM(X53)=""),1,0)</f>
        <v>0</v>
      </c>
      <c r="BV53" s="23" t="str">
        <f aca="false">IF(BB53=1,AN53&amp;"","")</f>
        <v/>
      </c>
      <c r="BW53" s="23" t="str">
        <f aca="false">IF(BB53=1,AO53&amp;"","")</f>
        <v/>
      </c>
      <c r="BX53" s="23" t="str">
        <f aca="false">IF(BB53=1,AP53&amp;"","")</f>
        <v/>
      </c>
      <c r="BY53" s="23" t="str">
        <f aca="false">IF(AND(BB53=1,ISNUMBER(AV53),INT(N(H53))&lt;=Config!$B$5),AV53,"")</f>
        <v/>
      </c>
      <c r="BZ53" s="23" t="str">
        <f aca="false">IF(BB53=1,IF(COUNTIFS($A$2:$A$201,$A53,$DC$2:$DC$201,1,$AR$2:$AR$201,"Y")&gt;0,"Y","N"),"")</f>
        <v/>
      </c>
      <c r="CA53" s="23" t="n">
        <f aca="false">IF(AND(BB53=1,AR53="maybe"),1,0)</f>
        <v>0</v>
      </c>
      <c r="CB53" s="23" t="n">
        <f aca="false">IF(CA53=1,IF(COUNTIFS($AZ$2:$AZ$201,AZ53,$CA$2:$CA$201,1,$H$2:$H$201,"&lt;"&amp;H53)+COUNTIFS($AZ$2:$AZ$201,AZ53,$CA$2:$CA$201,1,$H$2:$H$201,H53,$BA$2:$BA$201,"&lt;"&amp;BA53)=0,1,0),0)</f>
        <v>0</v>
      </c>
      <c r="CC53" s="23" t="n">
        <f aca="false">IF(AND(BB53=1,AR53="Y"),IF(COUNTIFS($AZ$2:$AZ$201,AZ53,$AR$2:$AR$201,"Y",$BB$2:$BB$201,1,$H$2:$H$201,"&lt;"&amp;H53)+COUNTIFS($AZ$2:$AZ$201,AZ53,$AR$2:$AR$201,"Y",$BB$2:$BB$201,1,$H$2:$H$201,H53,$BA$2:$BA$201,"&lt;"&amp;BA53)=0,1,0),0)</f>
        <v>0</v>
      </c>
      <c r="CD53" s="23" t="n">
        <f aca="false">IF(AND(BH53=1,N(Y53)&gt;=Config!$B$15),1,0)</f>
        <v>0</v>
      </c>
      <c r="CE53" s="23" t="n">
        <f aca="false">IF(AND(BB53=1,AT53="Y"),1,0)</f>
        <v>0</v>
      </c>
      <c r="CF53" s="23" t="n">
        <f aca="false">IF(CE53=1,IF(COUNTIFS($AZ$2:$AZ$201,AZ53,$CE$2:$CE$201,1,$H$2:$H$201,"&lt;"&amp;H53)+COUNTIFS($AZ$2:$AZ$201,AZ53,$CE$2:$CE$201,1,$H$2:$H$201,H53,$BA$2:$BA$201,"&lt;"&amp;BA53)=0,1,0),0)</f>
        <v>0</v>
      </c>
      <c r="CG53" s="23" t="n">
        <f aca="false">IF(AND(BB53=1,G53="warm-intro"),1,0)</f>
        <v>0</v>
      </c>
      <c r="CH53" s="23" t="n">
        <f aca="false">IF(CG53=1,IF(COUNTIFS($AZ$2:$AZ$201,AZ53,$CG$2:$CG$201,1,$H$2:$H$201,"&lt;"&amp;H53)+COUNTIFS($AZ$2:$AZ$201,AZ53,$CG$2:$CG$201,1,$H$2:$H$201,H53,$BA$2:$BA$201,"&lt;"&amp;BA53)=0,1,0),0)</f>
        <v>0</v>
      </c>
      <c r="CI53" s="23" t="n">
        <f aca="false">IF(AND(BB53=1,Q53="Y"),1,0)</f>
        <v>0</v>
      </c>
      <c r="CJ53" s="23" t="n">
        <f aca="false">IF(CI53=1,IF(COUNTIFS($AZ$2:$AZ$201,AZ53,$CI$2:$CI$201,1,$H$2:$H$201,"&lt;"&amp;H53)+COUNTIFS($AZ$2:$AZ$201,AZ53,$CI$2:$CI$201,1,$H$2:$H$201,H53,$BA$2:$BA$201,"&lt;"&amp;BA53)=0,1,0),0)</f>
        <v>0</v>
      </c>
      <c r="CK53" s="23" t="n">
        <f aca="false">IF(AND(BB53=1,AF53="Y"),1,0)</f>
        <v>0</v>
      </c>
      <c r="CL53" s="23" t="n">
        <f aca="false">IF(CK53=1,IF(COUNTIFS($AZ$2:$AZ$201,AZ53,$CK$2:$CK$201,1,$H$2:$H$201,"&lt;"&amp;H53)+COUNTIFS($AZ$2:$AZ$201,AZ53,$CK$2:$CK$201,1,$H$2:$H$201,H53,$BA$2:$BA$201,"&lt;"&amp;BA53)=0,1,0),0)</f>
        <v>0</v>
      </c>
      <c r="CM53" s="23" t="n">
        <f aca="false">IF(AND(BB53=1,U53="Y"),1,0)</f>
        <v>0</v>
      </c>
      <c r="CN53" s="23" t="n">
        <f aca="false">IF(CM53=1,IF(COUNTIFS($AZ$2:$AZ$201,AZ53,$CM$2:$CM$201,1,$H$2:$H$201,"&lt;"&amp;H53)+COUNTIFS($AZ$2:$AZ$201,AZ53,$CM$2:$CM$201,1,$H$2:$H$201,H53,$BA$2:$BA$201,"&lt;"&amp;BA53)=0,1,0),0)</f>
        <v>0</v>
      </c>
      <c r="CO53" s="23" t="n">
        <f aca="false">IF(AND(BB53=1,L53="Y"),1,0)</f>
        <v>0</v>
      </c>
      <c r="CP53" s="23" t="n">
        <f aca="false">IF(CO53=1,IF(COUNTIFS($AZ$2:$AZ$201,AZ53,$CO$2:$CO$201,1,$H$2:$H$201,"&lt;"&amp;H53)+COUNTIFS($AZ$2:$AZ$201,AZ53,$CO$2:$CO$201,1,$H$2:$H$201,H53,$BA$2:$BA$201,"&lt;"&amp;BA53)=0,1,0),0)</f>
        <v>0</v>
      </c>
      <c r="CQ53" s="23" t="n">
        <f aca="false">IF(AND(BB53=1,ISNUMBER(O53)),1,0)</f>
        <v>0</v>
      </c>
      <c r="CR53" s="23" t="n">
        <f aca="false">IF(CQ53=1,IF(COUNTIFS($AZ$2:$AZ$201,AZ53,$CQ$2:$CQ$201,1,$H$2:$H$201,"&lt;"&amp;H53)+COUNTIFS($AZ$2:$AZ$201,AZ53,$CQ$2:$CQ$201,1,$H$2:$H$201,H53,$BA$2:$BA$201,"&lt;"&amp;BA53)=0,1,0),0)</f>
        <v>0</v>
      </c>
      <c r="CS53" s="23" t="str">
        <f aca="false">IF(AND(CR53=1,INT(N(H53))&lt;=Config!$B$5),O53,"")</f>
        <v/>
      </c>
      <c r="CT53" s="23" t="str">
        <f aca="false">IF(AND(BB53=1,INT(N(H53))&lt;=Config!$B$5),AG53&amp;"","")</f>
        <v/>
      </c>
      <c r="CU53" s="23" t="n">
        <f aca="false">IF(AND(BB53=1,AU53="Y"),1,0)</f>
        <v>0</v>
      </c>
      <c r="CV53" s="23" t="n">
        <f aca="false">IF(CU53=1,IF(COUNTIFS($AZ$2:$AZ$201,AZ53,$CU$2:$CU$201,1,$H$2:$H$201,"&lt;"&amp;H53)+COUNTIFS($AZ$2:$AZ$201,AZ53,$CU$2:$CU$201,1,$H$2:$H$201,H53,$BA$2:$BA$201,"&lt;"&amp;BA53)=0,1,0),0)</f>
        <v>0</v>
      </c>
      <c r="CW53" s="23" t="str">
        <f aca="false">IF(BB53=1,IFERROR(MATCH($A53,INDEX(Clay_Offices!$A$2:$FZ$601,0,Sync!$C$5),0),""),"")</f>
        <v/>
      </c>
      <c r="CX53" s="23" t="str">
        <f aca="false">IF(CW53="","",IFERROR(INDEX(Clay_Offices!$A$2:$FZ$601,CW53,Sync!$C$7)&amp;"",""))</f>
        <v/>
      </c>
      <c r="CY53" s="23" t="str">
        <f aca="false">IF(CX53="","",IFERROR(INDEX(Lists!$K$2:$K$15,MATCH(CX53,Lists!$J$2:$J$15,0)),""))</f>
        <v/>
      </c>
      <c r="CZ53" s="23" t="str">
        <f aca="false">IF(CW53="","",IFERROR(INDEX(Clay_Offices!$A$2:$FZ$601,CW53,Sync!$C$17)&amp;"",""))</f>
        <v/>
      </c>
      <c r="DA53" s="35" t="str">
        <f aca="false">IF(CW53="","",IFERROR(N(INDEX(Clay_Offices!$A$2:$FZ$601,CW53,Sync!$C$16)),0))</f>
        <v/>
      </c>
      <c r="DB53" s="23" t="n">
        <f aca="false">IF(AND(BB53=1,OR(AR53="Y",AR53="N",AR53="maybe")),1,0)</f>
        <v>0</v>
      </c>
      <c r="DC53" s="23" t="n">
        <f aca="false">IF(AND(DB53=1),IF(COUNTIFS($A$2:$A$201,$A53,$DB$2:$DB$201,1,$H$2:$H$201,"&gt;"&amp;H53)+COUNTIFS($A$2:$A$201,$A53,$DB$2:$DB$201,1,$H$2:$H$201,H53,$BA$2:$BA$201,"&gt;"&amp;BA53)=0,1,0),0)</f>
        <v>0</v>
      </c>
      <c r="DD53" s="23" t="n">
        <f aca="false">IF(AND(DB53=1,INT(N(H53))&lt;=Config!$B$6),IF(COUNTIFS($AZ$2:$AZ$201,AZ53,$DB$2:$DB$201,1,$H$2:$H$201,"&gt;"&amp;H53,$H$2:$H$201,"&lt;"&amp;(Config!$B$6+1))+COUNTIFS($AZ$2:$AZ$201,AZ53,$DB$2:$DB$201,1,$H$2:$H$201,H53,$BA$2:$BA$201,"&gt;"&amp;BA53)=0,1,0),0)</f>
        <v>0</v>
      </c>
      <c r="DE53" s="23" t="n">
        <f aca="false">IF(AND(DB53=1,INT(N(H53))&lt;=Config!$B$7),IF(COUNTIFS($AZ$2:$AZ$201,AZ53,$DB$2:$DB$201,1,$H$2:$H$201,"&gt;"&amp;H53,$H$2:$H$201,"&lt;"&amp;(Config!$B$7+1))+COUNTIFS($AZ$2:$AZ$201,AZ53,$DB$2:$DB$201,1,$H$2:$H$201,H53,$BA$2:$BA$201,"&gt;"&amp;BA53)=0,1,0),0)</f>
        <v>0</v>
      </c>
      <c r="DF53" s="23" t="n">
        <f aca="false">IF(AND(DB53=1,INT(N(H53))&lt;=Config!$B$8),IF(COUNTIFS($AZ$2:$AZ$201,AZ53,$DB$2:$DB$201,1,$H$2:$H$201,"&gt;"&amp;H53,$H$2:$H$201,"&lt;"&amp;(Config!$B$8+1))+COUNTIFS($AZ$2:$AZ$201,AZ53,$DB$2:$DB$201,1,$H$2:$H$201,H53,$BA$2:$BA$201,"&gt;"&amp;BA53)=0,1,0),0)</f>
        <v>0</v>
      </c>
      <c r="DG53" s="23" t="n">
        <f aca="false">IF(AND(DB53=1,INT(N(H53))&lt;=Config!$B$5),IF(COUNTIFS($AZ$2:$AZ$201,AZ53,$DB$2:$DB$201,1,$H$2:$H$201,"&gt;"&amp;H53,$H$2:$H$201,"&lt;"&amp;(Config!$B$5+1))+COUNTIFS($AZ$2:$AZ$201,AZ53,$DB$2:$DB$201,1,$H$2:$H$201,H53,$BA$2:$BA$201,"&gt;"&amp;BA53)=0,1,0),0)</f>
        <v>0</v>
      </c>
      <c r="DH53" s="23" t="n">
        <f aca="false">IF(BB53=1,IF(COUNTIFS($AZ$2:$AZ$201,AZ53,$DD$2:$DD$201,1,$AR$2:$AR$201,"Y")&gt;0,1,0),0)</f>
        <v>0</v>
      </c>
      <c r="DI53" s="23" t="n">
        <f aca="false">IF(BB53=1,IF(COUNTIFS($AZ$2:$AZ$201,AZ53,$DE$2:$DE$201,1,$AR$2:$AR$201,"Y")&gt;0,1,0),0)</f>
        <v>0</v>
      </c>
      <c r="DJ53" s="23" t="n">
        <f aca="false">IF(BB53=1,IF(COUNTIFS($AZ$2:$AZ$201,AZ53,$DF$2:$DF$201,1,$AR$2:$AR$201,"Y")&gt;0,1,0),0)</f>
        <v>0</v>
      </c>
      <c r="DK53" s="23" t="n">
        <f aca="false">IF(BB53=1,IF(COUNTIFS($AZ$2:$AZ$201,AZ53,$DG$2:$DG$201,1,$AR$2:$AR$201,"Y")&gt;0,1,0),0)</f>
        <v>0</v>
      </c>
      <c r="DL53" s="23" t="n">
        <f aca="false">IF(AND(BF53=1,INT(N(H53))&lt;=Config!$B$6,DH53=1,EI53=0),1,0)</f>
        <v>0</v>
      </c>
      <c r="DM53" s="23" t="n">
        <f aca="false">IF(AND(BF53=1,INT(N(H53))&lt;=Config!$B$7,DI53=1,EI53=0),1,0)</f>
        <v>0</v>
      </c>
      <c r="DN53" s="23" t="n">
        <f aca="false">IF(AND(BF53=1,INT(N(H53))&lt;=Config!$B$8,DJ53=1,EI53=0),1,0)</f>
        <v>0</v>
      </c>
      <c r="DO53" s="23" t="n">
        <f aca="false">IF(AND(BF53=1,INT(N(H53))&lt;=Config!$B$5,DK53=1,EI53=0),1,0)</f>
        <v>0</v>
      </c>
      <c r="DP53" s="23" t="n">
        <f aca="false">IF(AND(CC53=1,INT(N(H53))&lt;=Config!$B$6,DH53=1,EI53=0),1,0)</f>
        <v>0</v>
      </c>
      <c r="DQ53" s="23" t="n">
        <f aca="false">IF(AND(CC53=1,INT(N(H53))&lt;=Config!$B$7,DI53=1,EI53=0),1,0)</f>
        <v>0</v>
      </c>
      <c r="DR53" s="23" t="n">
        <f aca="false">IF(AND(CC53=1,INT(N(H53))&lt;=Config!$B$8,DJ53=1,EI53=0),1,0)</f>
        <v>0</v>
      </c>
      <c r="DS53" s="23" t="n">
        <f aca="false">IF(AND(CC53=1,INT(N(H53))&lt;=Config!$B$5,DK53=1,EI53=0),1,0)</f>
        <v>0</v>
      </c>
      <c r="DT53" s="23" t="n">
        <f aca="false">IF(AND(CC53=1,INT(N(H53))&lt;=Config!$B$6,DH53=0),1,0)</f>
        <v>0</v>
      </c>
      <c r="DU53" s="23" t="n">
        <f aca="false">IF(AND(CC53=1,INT(N(H53))&lt;=Config!$B$7,DI53=0),1,0)</f>
        <v>0</v>
      </c>
      <c r="DV53" s="23" t="n">
        <f aca="false">IF(AND(CC53=1,INT(N(H53))&lt;=Config!$B$8,DJ53=0),1,0)</f>
        <v>0</v>
      </c>
      <c r="DW53" s="23" t="n">
        <f aca="false">IF(AND(CC53=1,INT(N(H53))&lt;=Config!$B$5,DK53=0),1,0)</f>
        <v>0</v>
      </c>
      <c r="DX53" s="23" t="n">
        <f aca="false">IF(TRIM($A53)="",0,ISTEXT(M53)+ISTEXT(O53)+ISTEXT(Y53)+ISTEXT(Z53)+ISTEXT(AA53)+ISTEXT(AV53))</f>
        <v>0</v>
      </c>
      <c r="DY53" s="23" t="n">
        <f aca="false">IF(BB53=1,IF(H53&lt;&gt;INT(H53),1,0),0)</f>
        <v>0</v>
      </c>
      <c r="DZ53" s="23" t="str">
        <f aca="false">IF(TRIM($A53)="","",IF(TRIM(B53)="",SUBSTITUTE(SUBSTITUTE(SUBSTITUTE(SUBSTITUTE(SUBSTITUTE(SUBSTITUTE(LOWER(TRIM($A53)),"~",""),"*",""),"?",""),"&lt;",""),"&gt;",""),"=",""),SUBSTITUTE(SUBSTITUTE(SUBSTITUTE(SUBSTITUTE(SUBSTITUTE(SUBSTITUTE(LOWER(TRIM(B53)),"~",""),"*",""),"?",""),"&lt;",""),"&gt;",""),"=","")))</f>
        <v/>
      </c>
      <c r="EA53" s="23" t="str">
        <f aca="false">IF(CW53="","",IFERROR(IF(LEFT(LOWER(TRIM(INDEX(Clay_Offices!$A$2:$FZ$601,CW53,Sync!$C$19)&amp;"")),4)="grp-",SUBSTITUTE(SUBSTITUTE(SUBSTITUTE(SUBSTITUTE(SUBSTITUTE(SUBSTITUTE(LOWER(TRIM(INDEX(Clay_Offices!$A$2:$FZ$601,CW53,Sync!$C$19)&amp;"")),"~",""),"*",""),"?",""),"&lt;",""),"&gt;",""),"=",""),""),""))</f>
        <v/>
      </c>
      <c r="EB53" s="23" t="str">
        <f aca="false">IF(EA53&lt;&gt;"",DZ53,"")</f>
        <v/>
      </c>
      <c r="EC53" s="23" t="str">
        <f aca="false">IF(BC53=1,AZ53,"")</f>
        <v/>
      </c>
      <c r="ED53" s="23" t="str">
        <f aca="false">IF(TRIM($A53)="","",IFERROR(INDEX($A$2:$A$201,MATCH(AZ53,$EC$2:$EC$201,0))&amp;"",$A53&amp;""))</f>
        <v/>
      </c>
      <c r="EE53" s="23" t="n">
        <f aca="false">IF(BB53=1,IF(COUNTIFS($A$2:$A$201,$A53,$BB$2:$BB$201,1,$H$2:$H$201,"&lt;"&amp;H53)+COUNTIFS($A$2:$A$201,$A53,$BB$2:$BB$201,1,$H$2:$H$201,H53,$BA$2:$BA$201,"&lt;"&amp;BA53)=0,1,0),0)</f>
        <v>0</v>
      </c>
      <c r="EF53" s="23" t="n">
        <f aca="false">IF(BC53=1,IF(COUNTIFS($AZ$2:$AZ$201,AZ53,$EE$2:$EE$201,1)&gt;1,1,0),0)</f>
        <v>0</v>
      </c>
      <c r="EG53" s="23" t="n">
        <f aca="false">IF(AND(CQ53=1),IF(COUNTIFS($AZ$2:$AZ$201,AZ53,$CQ$2:$CQ$201,1,$H$2:$H$201,"&gt;"&amp;H53)+COUNTIFS($AZ$2:$AZ$201,AZ53,$CQ$2:$CQ$201,1,$H$2:$H$201,H53,$BA$2:$BA$201,"&gt;"&amp;BA53)=0,1,0),0)</f>
        <v>0</v>
      </c>
      <c r="EH53" s="23" t="str">
        <f aca="false">IF(BB53=1,IF(COUNTIFS($AZ$2:$AZ$201,AZ53,$EG$2:$EG$201,1)=0,"",SUMIFS($O$2:$O$201,$AZ$2:$AZ$201,AZ53,$EG$2:$EG$201,1)),"")</f>
        <v/>
      </c>
      <c r="EI53" s="23" t="n">
        <f aca="false">IF(AND(ISNUMBER(EH53),OR(N(EH53)&lt;Config!$B$31,N(EH53)&gt;Config!$B$33)),1,0)</f>
        <v>0</v>
      </c>
      <c r="EJ53" s="23" t="n">
        <f aca="false">IF(AND(ISNUMBER(EH53),N(EH53)&gt;=Config!$B$31,N(EH53)&lt;Config!$B$32),1,0)</f>
        <v>0</v>
      </c>
      <c r="EK53" s="23" t="n">
        <f aca="false">IF(AND(BF53=1,INT(N(H53))&lt;=Config!$B$6,DH53=1,EI53=1),1,0)</f>
        <v>0</v>
      </c>
      <c r="EL53" s="23" t="n">
        <f aca="false">IF(AND(BF53=1,INT(N(H53))&lt;=Config!$B$7,DI53=1,EI53=1),1,0)</f>
        <v>0</v>
      </c>
      <c r="EM53" s="23" t="n">
        <f aca="false">IF(AND(BF53=1,INT(N(H53))&lt;=Config!$B$8,DJ53=1,EI53=1),1,0)</f>
        <v>0</v>
      </c>
      <c r="EN53" s="23" t="n">
        <f aca="false">IF(AND(BF53=1,INT(N(H53))&lt;=Config!$B$5,DK53=1,EI53=1),1,0)</f>
        <v>0</v>
      </c>
      <c r="EO53" s="23" t="n">
        <f aca="false">IF(AND(DL53=1,EJ53=1),1,0)</f>
        <v>0</v>
      </c>
      <c r="EP53" s="23" t="n">
        <f aca="false">IF(AND(DM53=1,EJ53=1),1,0)</f>
        <v>0</v>
      </c>
      <c r="EQ53" s="23" t="n">
        <f aca="false">IF(AND(DN53=1,EJ53=1),1,0)</f>
        <v>0</v>
      </c>
      <c r="ER53" s="23" t="n">
        <f aca="false">IF(AND(DO53=1,EJ53=1),1,0)</f>
        <v>0</v>
      </c>
    </row>
    <row r="54" customFormat="false" ht="15" hidden="false" customHeight="false" outlineLevel="0" collapsed="false">
      <c r="G54" s="32"/>
      <c r="H54" s="33"/>
      <c r="I54" s="32"/>
      <c r="L54" s="32"/>
      <c r="Q54" s="32"/>
      <c r="U54" s="32"/>
      <c r="W54" s="32"/>
      <c r="AC54" s="32"/>
      <c r="AF54" s="32"/>
      <c r="AI54" s="32"/>
      <c r="AJ54" s="32"/>
      <c r="AN54" s="32"/>
      <c r="AR54" s="32"/>
      <c r="AT54" s="32"/>
      <c r="AU54" s="32"/>
      <c r="AW54" s="32"/>
      <c r="AY54" s="34" t="str">
        <f aca="false">IF(TRIM($A54)="","",IF(AND(LEFT($A54,6)="SAMPLE",Config!$B$19&lt;&gt;"Y"),"",IF(NOT(ISNUMBER(H54)),"call_date is blank or not a date",IF(Sync!$C$5="","Clay paste is empty or has no row_id column: paste the Clay export on Clay_Offices",IF(CW54="","row_id not found in the Clay paste: add the Clay row or fix the row_id",IF(AND(ISNUMBER(CY54),CY54&gt;=1,CY54&lt;=5),"Clay status is "&amp;CX54&amp;": set call_done or later",IF(AND(BD54=1,CZ54&lt;&gt;BZ54),"Clay yes_in_principle should be "&amp;BZ54,IF(AND(BD54=1,DA54&lt;&gt;H54),"Clay call_date should be "&amp;TEXT(H54,"yyyy-mm-dd"),""))))))))</f>
        <v/>
      </c>
      <c r="AZ54" s="23" t="str">
        <f aca="false">IF(TRIM($A54)="","",IF(TRIM(C54)&lt;&gt;"",SUBSTITUTE(SUBSTITUTE(SUBSTITUTE(SUBSTITUTE(SUBSTITUTE(SUBSTITUTE(LOWER(TRIM(C54)),"~",""),"*",""),"?",""),"&lt;",""),"&gt;",""),"=",""),IF(EA54&lt;&gt;"",EA54,IFERROR(INDEX($EA$2:$EA$201,MATCH(DZ54,$EB$2:$EB$201,0)),DZ54))))</f>
        <v/>
      </c>
      <c r="BA54" s="23" t="n">
        <f aca="false">ROW()</f>
        <v>54</v>
      </c>
      <c r="BB54" s="23" t="n">
        <f aca="false">IF(AND(TRIM($A54)&lt;&gt;"",ISNUMBER(H54)),IF(AND(LEFT($A54,6)="SAMPLE",Config!$B$19&lt;&gt;"Y"),0,1),0)</f>
        <v>0</v>
      </c>
      <c r="BC54" s="23" t="n">
        <f aca="false">IF(BB54=1,IF(COUNTIFS($AZ$2:$AZ$201,AZ54,$BB$2:$BB$201,1,$H$2:$H$201,"&lt;"&amp;H54)+COUNTIFS($AZ$2:$AZ$201,AZ54,$BB$2:$BB$201,1,$H$2:$H$201,H54,$BA$2:$BA$201,"&lt;"&amp;BA54)=0,1,0),0)</f>
        <v>0</v>
      </c>
      <c r="BD54" s="23" t="n">
        <f aca="false">IF(BB54=1,IF(COUNTIFS($A$2:$A$201,$A54,$BB$2:$BB$201,1,$H$2:$H$201,"&gt;"&amp;H54)+COUNTIFS($A$2:$A$201,$A54,$BB$2:$BB$201,1,$H$2:$H$201,H54,$BA$2:$BA$201,"&gt;"&amp;BA54)=0,1,0),0)</f>
        <v>0</v>
      </c>
      <c r="BE54" s="23" t="n">
        <f aca="false">IF(AND(BB54=1,AR54="Y",AC54="Y",TRIM(AH54)&lt;&gt;""),1,0)</f>
        <v>0</v>
      </c>
      <c r="BF54" s="23" t="n">
        <f aca="false">IF(BE54=1,IF(COUNTIFS($AZ$2:$AZ$201,AZ54,$BE$2:$BE$201,1,$H$2:$H$201,"&lt;"&amp;H54)+COUNTIFS($AZ$2:$AZ$201,AZ54,$BE$2:$BE$201,1,$H$2:$H$201,H54,$BA$2:$BA$201,"&lt;"&amp;BA54)=0,1,0),0)</f>
        <v>0</v>
      </c>
      <c r="BG54" s="23" t="n">
        <f aca="false">IF(AND(BB54=1,AR54="Y",BE54=0),1,0)</f>
        <v>0</v>
      </c>
      <c r="BH54" s="23" t="n">
        <f aca="false">IF(AND(BB54=1,ISNUMBER(Y54)),1,0)</f>
        <v>0</v>
      </c>
      <c r="BI54" s="23" t="n">
        <f aca="false">IF(BH54=1,IF(COUNTIFS($AZ$2:$AZ$201,AZ54,$BH$2:$BH$201,1,$H$2:$H$201,"&lt;"&amp;H54)+COUNTIFS($AZ$2:$AZ$201,AZ54,$BH$2:$BH$201,1,$H$2:$H$201,H54,$BA$2:$BA$201,"&lt;"&amp;BA54)=0,1,0),0)</f>
        <v>0</v>
      </c>
      <c r="BJ54" s="23" t="str">
        <f aca="false">IF(AND(BI54=1,INT(N(H54))&lt;=Config!$B$6),Y54,"")</f>
        <v/>
      </c>
      <c r="BK54" s="23" t="str">
        <f aca="false">IF(AND(BI54=1,INT(N(H54))&lt;=Config!$B$7),Y54,"")</f>
        <v/>
      </c>
      <c r="BL54" s="23" t="str">
        <f aca="false">IF(AND(BI54=1,INT(N(H54))&lt;=Config!$B$8),Y54,"")</f>
        <v/>
      </c>
      <c r="BM54" s="23" t="str">
        <f aca="false">IF(AND(BI54=1,INT(N(H54))&lt;=Config!$B$5),Y54,"")</f>
        <v/>
      </c>
      <c r="BN54" s="23" t="n">
        <f aca="false">IF(CD54=1,IF(COUNTIFS($AZ$2:$AZ$201,AZ54,$CD$2:$CD$201,1,$H$2:$H$201,"&lt;"&amp;H54)+COUNTIFS($AZ$2:$AZ$201,AZ54,$CD$2:$CD$201,1,$H$2:$H$201,H54,$BA$2:$BA$201,"&lt;"&amp;BA54)=0,1,0),0)</f>
        <v>0</v>
      </c>
      <c r="BO54" s="23" t="n">
        <f aca="false">IF(AND(BB54=1,ISNUMBER(M54)),1,0)</f>
        <v>0</v>
      </c>
      <c r="BP54" s="23" t="n">
        <f aca="false">IF(BO54=1,IF(COUNTIFS($AZ$2:$AZ$201,AZ54,$BO$2:$BO$201,1,$H$2:$H$201,"&lt;"&amp;H54)+COUNTIFS($AZ$2:$AZ$201,AZ54,$BO$2:$BO$201,1,$H$2:$H$201,H54,$BA$2:$BA$201,"&lt;"&amp;BA54)=0,1,0),0)</f>
        <v>0</v>
      </c>
      <c r="BQ54" s="23" t="str">
        <f aca="false">IF(AND(BP54=1,INT(N(H54))&lt;=Config!$B$5),M54,"")</f>
        <v/>
      </c>
      <c r="BR54" s="23" t="n">
        <f aca="false">IF(AND(BB54=1,OR(TRIM(X54)&lt;&gt;"",ISNUMBER(Y54))),1,0)</f>
        <v>0</v>
      </c>
      <c r="BS54" s="23" t="n">
        <f aca="false">IF(BR54=1,IF(COUNTIFS($AZ$2:$AZ$201,AZ54,$BR$2:$BR$201,1,$H$2:$H$201,"&lt;"&amp;H54)+COUNTIFS($AZ$2:$AZ$201,AZ54,$BR$2:$BR$201,1,$H$2:$H$201,H54,$BA$2:$BA$201,"&lt;"&amp;BA54)=0,1,0),0)</f>
        <v>0</v>
      </c>
      <c r="BT54" s="23" t="str">
        <f aca="false">IF(BS54=1,AZ54,"")</f>
        <v/>
      </c>
      <c r="BU54" s="23" t="n">
        <f aca="false">IF(AND(BB54=1,W54="Y",TRIM(X54)=""),1,0)</f>
        <v>0</v>
      </c>
      <c r="BV54" s="23" t="str">
        <f aca="false">IF(BB54=1,AN54&amp;"","")</f>
        <v/>
      </c>
      <c r="BW54" s="23" t="str">
        <f aca="false">IF(BB54=1,AO54&amp;"","")</f>
        <v/>
      </c>
      <c r="BX54" s="23" t="str">
        <f aca="false">IF(BB54=1,AP54&amp;"","")</f>
        <v/>
      </c>
      <c r="BY54" s="23" t="str">
        <f aca="false">IF(AND(BB54=1,ISNUMBER(AV54),INT(N(H54))&lt;=Config!$B$5),AV54,"")</f>
        <v/>
      </c>
      <c r="BZ54" s="23" t="str">
        <f aca="false">IF(BB54=1,IF(COUNTIFS($A$2:$A$201,$A54,$DC$2:$DC$201,1,$AR$2:$AR$201,"Y")&gt;0,"Y","N"),"")</f>
        <v/>
      </c>
      <c r="CA54" s="23" t="n">
        <f aca="false">IF(AND(BB54=1,AR54="maybe"),1,0)</f>
        <v>0</v>
      </c>
      <c r="CB54" s="23" t="n">
        <f aca="false">IF(CA54=1,IF(COUNTIFS($AZ$2:$AZ$201,AZ54,$CA$2:$CA$201,1,$H$2:$H$201,"&lt;"&amp;H54)+COUNTIFS($AZ$2:$AZ$201,AZ54,$CA$2:$CA$201,1,$H$2:$H$201,H54,$BA$2:$BA$201,"&lt;"&amp;BA54)=0,1,0),0)</f>
        <v>0</v>
      </c>
      <c r="CC54" s="23" t="n">
        <f aca="false">IF(AND(BB54=1,AR54="Y"),IF(COUNTIFS($AZ$2:$AZ$201,AZ54,$AR$2:$AR$201,"Y",$BB$2:$BB$201,1,$H$2:$H$201,"&lt;"&amp;H54)+COUNTIFS($AZ$2:$AZ$201,AZ54,$AR$2:$AR$201,"Y",$BB$2:$BB$201,1,$H$2:$H$201,H54,$BA$2:$BA$201,"&lt;"&amp;BA54)=0,1,0),0)</f>
        <v>0</v>
      </c>
      <c r="CD54" s="23" t="n">
        <f aca="false">IF(AND(BH54=1,N(Y54)&gt;=Config!$B$15),1,0)</f>
        <v>0</v>
      </c>
      <c r="CE54" s="23" t="n">
        <f aca="false">IF(AND(BB54=1,AT54="Y"),1,0)</f>
        <v>0</v>
      </c>
      <c r="CF54" s="23" t="n">
        <f aca="false">IF(CE54=1,IF(COUNTIFS($AZ$2:$AZ$201,AZ54,$CE$2:$CE$201,1,$H$2:$H$201,"&lt;"&amp;H54)+COUNTIFS($AZ$2:$AZ$201,AZ54,$CE$2:$CE$201,1,$H$2:$H$201,H54,$BA$2:$BA$201,"&lt;"&amp;BA54)=0,1,0),0)</f>
        <v>0</v>
      </c>
      <c r="CG54" s="23" t="n">
        <f aca="false">IF(AND(BB54=1,G54="warm-intro"),1,0)</f>
        <v>0</v>
      </c>
      <c r="CH54" s="23" t="n">
        <f aca="false">IF(CG54=1,IF(COUNTIFS($AZ$2:$AZ$201,AZ54,$CG$2:$CG$201,1,$H$2:$H$201,"&lt;"&amp;H54)+COUNTIFS($AZ$2:$AZ$201,AZ54,$CG$2:$CG$201,1,$H$2:$H$201,H54,$BA$2:$BA$201,"&lt;"&amp;BA54)=0,1,0),0)</f>
        <v>0</v>
      </c>
      <c r="CI54" s="23" t="n">
        <f aca="false">IF(AND(BB54=1,Q54="Y"),1,0)</f>
        <v>0</v>
      </c>
      <c r="CJ54" s="23" t="n">
        <f aca="false">IF(CI54=1,IF(COUNTIFS($AZ$2:$AZ$201,AZ54,$CI$2:$CI$201,1,$H$2:$H$201,"&lt;"&amp;H54)+COUNTIFS($AZ$2:$AZ$201,AZ54,$CI$2:$CI$201,1,$H$2:$H$201,H54,$BA$2:$BA$201,"&lt;"&amp;BA54)=0,1,0),0)</f>
        <v>0</v>
      </c>
      <c r="CK54" s="23" t="n">
        <f aca="false">IF(AND(BB54=1,AF54="Y"),1,0)</f>
        <v>0</v>
      </c>
      <c r="CL54" s="23" t="n">
        <f aca="false">IF(CK54=1,IF(COUNTIFS($AZ$2:$AZ$201,AZ54,$CK$2:$CK$201,1,$H$2:$H$201,"&lt;"&amp;H54)+COUNTIFS($AZ$2:$AZ$201,AZ54,$CK$2:$CK$201,1,$H$2:$H$201,H54,$BA$2:$BA$201,"&lt;"&amp;BA54)=0,1,0),0)</f>
        <v>0</v>
      </c>
      <c r="CM54" s="23" t="n">
        <f aca="false">IF(AND(BB54=1,U54="Y"),1,0)</f>
        <v>0</v>
      </c>
      <c r="CN54" s="23" t="n">
        <f aca="false">IF(CM54=1,IF(COUNTIFS($AZ$2:$AZ$201,AZ54,$CM$2:$CM$201,1,$H$2:$H$201,"&lt;"&amp;H54)+COUNTIFS($AZ$2:$AZ$201,AZ54,$CM$2:$CM$201,1,$H$2:$H$201,H54,$BA$2:$BA$201,"&lt;"&amp;BA54)=0,1,0),0)</f>
        <v>0</v>
      </c>
      <c r="CO54" s="23" t="n">
        <f aca="false">IF(AND(BB54=1,L54="Y"),1,0)</f>
        <v>0</v>
      </c>
      <c r="CP54" s="23" t="n">
        <f aca="false">IF(CO54=1,IF(COUNTIFS($AZ$2:$AZ$201,AZ54,$CO$2:$CO$201,1,$H$2:$H$201,"&lt;"&amp;H54)+COUNTIFS($AZ$2:$AZ$201,AZ54,$CO$2:$CO$201,1,$H$2:$H$201,H54,$BA$2:$BA$201,"&lt;"&amp;BA54)=0,1,0),0)</f>
        <v>0</v>
      </c>
      <c r="CQ54" s="23" t="n">
        <f aca="false">IF(AND(BB54=1,ISNUMBER(O54)),1,0)</f>
        <v>0</v>
      </c>
      <c r="CR54" s="23" t="n">
        <f aca="false">IF(CQ54=1,IF(COUNTIFS($AZ$2:$AZ$201,AZ54,$CQ$2:$CQ$201,1,$H$2:$H$201,"&lt;"&amp;H54)+COUNTIFS($AZ$2:$AZ$201,AZ54,$CQ$2:$CQ$201,1,$H$2:$H$201,H54,$BA$2:$BA$201,"&lt;"&amp;BA54)=0,1,0),0)</f>
        <v>0</v>
      </c>
      <c r="CS54" s="23" t="str">
        <f aca="false">IF(AND(CR54=1,INT(N(H54))&lt;=Config!$B$5),O54,"")</f>
        <v/>
      </c>
      <c r="CT54" s="23" t="str">
        <f aca="false">IF(AND(BB54=1,INT(N(H54))&lt;=Config!$B$5),AG54&amp;"","")</f>
        <v/>
      </c>
      <c r="CU54" s="23" t="n">
        <f aca="false">IF(AND(BB54=1,AU54="Y"),1,0)</f>
        <v>0</v>
      </c>
      <c r="CV54" s="23" t="n">
        <f aca="false">IF(CU54=1,IF(COUNTIFS($AZ$2:$AZ$201,AZ54,$CU$2:$CU$201,1,$H$2:$H$201,"&lt;"&amp;H54)+COUNTIFS($AZ$2:$AZ$201,AZ54,$CU$2:$CU$201,1,$H$2:$H$201,H54,$BA$2:$BA$201,"&lt;"&amp;BA54)=0,1,0),0)</f>
        <v>0</v>
      </c>
      <c r="CW54" s="23" t="str">
        <f aca="false">IF(BB54=1,IFERROR(MATCH($A54,INDEX(Clay_Offices!$A$2:$FZ$601,0,Sync!$C$5),0),""),"")</f>
        <v/>
      </c>
      <c r="CX54" s="23" t="str">
        <f aca="false">IF(CW54="","",IFERROR(INDEX(Clay_Offices!$A$2:$FZ$601,CW54,Sync!$C$7)&amp;"",""))</f>
        <v/>
      </c>
      <c r="CY54" s="23" t="str">
        <f aca="false">IF(CX54="","",IFERROR(INDEX(Lists!$K$2:$K$15,MATCH(CX54,Lists!$J$2:$J$15,0)),""))</f>
        <v/>
      </c>
      <c r="CZ54" s="23" t="str">
        <f aca="false">IF(CW54="","",IFERROR(INDEX(Clay_Offices!$A$2:$FZ$601,CW54,Sync!$C$17)&amp;"",""))</f>
        <v/>
      </c>
      <c r="DA54" s="35" t="str">
        <f aca="false">IF(CW54="","",IFERROR(N(INDEX(Clay_Offices!$A$2:$FZ$601,CW54,Sync!$C$16)),0))</f>
        <v/>
      </c>
      <c r="DB54" s="23" t="n">
        <f aca="false">IF(AND(BB54=1,OR(AR54="Y",AR54="N",AR54="maybe")),1,0)</f>
        <v>0</v>
      </c>
      <c r="DC54" s="23" t="n">
        <f aca="false">IF(AND(DB54=1),IF(COUNTIFS($A$2:$A$201,$A54,$DB$2:$DB$201,1,$H$2:$H$201,"&gt;"&amp;H54)+COUNTIFS($A$2:$A$201,$A54,$DB$2:$DB$201,1,$H$2:$H$201,H54,$BA$2:$BA$201,"&gt;"&amp;BA54)=0,1,0),0)</f>
        <v>0</v>
      </c>
      <c r="DD54" s="23" t="n">
        <f aca="false">IF(AND(DB54=1,INT(N(H54))&lt;=Config!$B$6),IF(COUNTIFS($AZ$2:$AZ$201,AZ54,$DB$2:$DB$201,1,$H$2:$H$201,"&gt;"&amp;H54,$H$2:$H$201,"&lt;"&amp;(Config!$B$6+1))+COUNTIFS($AZ$2:$AZ$201,AZ54,$DB$2:$DB$201,1,$H$2:$H$201,H54,$BA$2:$BA$201,"&gt;"&amp;BA54)=0,1,0),0)</f>
        <v>0</v>
      </c>
      <c r="DE54" s="23" t="n">
        <f aca="false">IF(AND(DB54=1,INT(N(H54))&lt;=Config!$B$7),IF(COUNTIFS($AZ$2:$AZ$201,AZ54,$DB$2:$DB$201,1,$H$2:$H$201,"&gt;"&amp;H54,$H$2:$H$201,"&lt;"&amp;(Config!$B$7+1))+COUNTIFS($AZ$2:$AZ$201,AZ54,$DB$2:$DB$201,1,$H$2:$H$201,H54,$BA$2:$BA$201,"&gt;"&amp;BA54)=0,1,0),0)</f>
        <v>0</v>
      </c>
      <c r="DF54" s="23" t="n">
        <f aca="false">IF(AND(DB54=1,INT(N(H54))&lt;=Config!$B$8),IF(COUNTIFS($AZ$2:$AZ$201,AZ54,$DB$2:$DB$201,1,$H$2:$H$201,"&gt;"&amp;H54,$H$2:$H$201,"&lt;"&amp;(Config!$B$8+1))+COUNTIFS($AZ$2:$AZ$201,AZ54,$DB$2:$DB$201,1,$H$2:$H$201,H54,$BA$2:$BA$201,"&gt;"&amp;BA54)=0,1,0),0)</f>
        <v>0</v>
      </c>
      <c r="DG54" s="23" t="n">
        <f aca="false">IF(AND(DB54=1,INT(N(H54))&lt;=Config!$B$5),IF(COUNTIFS($AZ$2:$AZ$201,AZ54,$DB$2:$DB$201,1,$H$2:$H$201,"&gt;"&amp;H54,$H$2:$H$201,"&lt;"&amp;(Config!$B$5+1))+COUNTIFS($AZ$2:$AZ$201,AZ54,$DB$2:$DB$201,1,$H$2:$H$201,H54,$BA$2:$BA$201,"&gt;"&amp;BA54)=0,1,0),0)</f>
        <v>0</v>
      </c>
      <c r="DH54" s="23" t="n">
        <f aca="false">IF(BB54=1,IF(COUNTIFS($AZ$2:$AZ$201,AZ54,$DD$2:$DD$201,1,$AR$2:$AR$201,"Y")&gt;0,1,0),0)</f>
        <v>0</v>
      </c>
      <c r="DI54" s="23" t="n">
        <f aca="false">IF(BB54=1,IF(COUNTIFS($AZ$2:$AZ$201,AZ54,$DE$2:$DE$201,1,$AR$2:$AR$201,"Y")&gt;0,1,0),0)</f>
        <v>0</v>
      </c>
      <c r="DJ54" s="23" t="n">
        <f aca="false">IF(BB54=1,IF(COUNTIFS($AZ$2:$AZ$201,AZ54,$DF$2:$DF$201,1,$AR$2:$AR$201,"Y")&gt;0,1,0),0)</f>
        <v>0</v>
      </c>
      <c r="DK54" s="23" t="n">
        <f aca="false">IF(BB54=1,IF(COUNTIFS($AZ$2:$AZ$201,AZ54,$DG$2:$DG$201,1,$AR$2:$AR$201,"Y")&gt;0,1,0),0)</f>
        <v>0</v>
      </c>
      <c r="DL54" s="23" t="n">
        <f aca="false">IF(AND(BF54=1,INT(N(H54))&lt;=Config!$B$6,DH54=1,EI54=0),1,0)</f>
        <v>0</v>
      </c>
      <c r="DM54" s="23" t="n">
        <f aca="false">IF(AND(BF54=1,INT(N(H54))&lt;=Config!$B$7,DI54=1,EI54=0),1,0)</f>
        <v>0</v>
      </c>
      <c r="DN54" s="23" t="n">
        <f aca="false">IF(AND(BF54=1,INT(N(H54))&lt;=Config!$B$8,DJ54=1,EI54=0),1,0)</f>
        <v>0</v>
      </c>
      <c r="DO54" s="23" t="n">
        <f aca="false">IF(AND(BF54=1,INT(N(H54))&lt;=Config!$B$5,DK54=1,EI54=0),1,0)</f>
        <v>0</v>
      </c>
      <c r="DP54" s="23" t="n">
        <f aca="false">IF(AND(CC54=1,INT(N(H54))&lt;=Config!$B$6,DH54=1,EI54=0),1,0)</f>
        <v>0</v>
      </c>
      <c r="DQ54" s="23" t="n">
        <f aca="false">IF(AND(CC54=1,INT(N(H54))&lt;=Config!$B$7,DI54=1,EI54=0),1,0)</f>
        <v>0</v>
      </c>
      <c r="DR54" s="23" t="n">
        <f aca="false">IF(AND(CC54=1,INT(N(H54))&lt;=Config!$B$8,DJ54=1,EI54=0),1,0)</f>
        <v>0</v>
      </c>
      <c r="DS54" s="23" t="n">
        <f aca="false">IF(AND(CC54=1,INT(N(H54))&lt;=Config!$B$5,DK54=1,EI54=0),1,0)</f>
        <v>0</v>
      </c>
      <c r="DT54" s="23" t="n">
        <f aca="false">IF(AND(CC54=1,INT(N(H54))&lt;=Config!$B$6,DH54=0),1,0)</f>
        <v>0</v>
      </c>
      <c r="DU54" s="23" t="n">
        <f aca="false">IF(AND(CC54=1,INT(N(H54))&lt;=Config!$B$7,DI54=0),1,0)</f>
        <v>0</v>
      </c>
      <c r="DV54" s="23" t="n">
        <f aca="false">IF(AND(CC54=1,INT(N(H54))&lt;=Config!$B$8,DJ54=0),1,0)</f>
        <v>0</v>
      </c>
      <c r="DW54" s="23" t="n">
        <f aca="false">IF(AND(CC54=1,INT(N(H54))&lt;=Config!$B$5,DK54=0),1,0)</f>
        <v>0</v>
      </c>
      <c r="DX54" s="23" t="n">
        <f aca="false">IF(TRIM($A54)="",0,ISTEXT(M54)+ISTEXT(O54)+ISTEXT(Y54)+ISTEXT(Z54)+ISTEXT(AA54)+ISTEXT(AV54))</f>
        <v>0</v>
      </c>
      <c r="DY54" s="23" t="n">
        <f aca="false">IF(BB54=1,IF(H54&lt;&gt;INT(H54),1,0),0)</f>
        <v>0</v>
      </c>
      <c r="DZ54" s="23" t="str">
        <f aca="false">IF(TRIM($A54)="","",IF(TRIM(B54)="",SUBSTITUTE(SUBSTITUTE(SUBSTITUTE(SUBSTITUTE(SUBSTITUTE(SUBSTITUTE(LOWER(TRIM($A54)),"~",""),"*",""),"?",""),"&lt;",""),"&gt;",""),"=",""),SUBSTITUTE(SUBSTITUTE(SUBSTITUTE(SUBSTITUTE(SUBSTITUTE(SUBSTITUTE(LOWER(TRIM(B54)),"~",""),"*",""),"?",""),"&lt;",""),"&gt;",""),"=","")))</f>
        <v/>
      </c>
      <c r="EA54" s="23" t="str">
        <f aca="false">IF(CW54="","",IFERROR(IF(LEFT(LOWER(TRIM(INDEX(Clay_Offices!$A$2:$FZ$601,CW54,Sync!$C$19)&amp;"")),4)="grp-",SUBSTITUTE(SUBSTITUTE(SUBSTITUTE(SUBSTITUTE(SUBSTITUTE(SUBSTITUTE(LOWER(TRIM(INDEX(Clay_Offices!$A$2:$FZ$601,CW54,Sync!$C$19)&amp;"")),"~",""),"*",""),"?",""),"&lt;",""),"&gt;",""),"=",""),""),""))</f>
        <v/>
      </c>
      <c r="EB54" s="23" t="str">
        <f aca="false">IF(EA54&lt;&gt;"",DZ54,"")</f>
        <v/>
      </c>
      <c r="EC54" s="23" t="str">
        <f aca="false">IF(BC54=1,AZ54,"")</f>
        <v/>
      </c>
      <c r="ED54" s="23" t="str">
        <f aca="false">IF(TRIM($A54)="","",IFERROR(INDEX($A$2:$A$201,MATCH(AZ54,$EC$2:$EC$201,0))&amp;"",$A54&amp;""))</f>
        <v/>
      </c>
      <c r="EE54" s="23" t="n">
        <f aca="false">IF(BB54=1,IF(COUNTIFS($A$2:$A$201,$A54,$BB$2:$BB$201,1,$H$2:$H$201,"&lt;"&amp;H54)+COUNTIFS($A$2:$A$201,$A54,$BB$2:$BB$201,1,$H$2:$H$201,H54,$BA$2:$BA$201,"&lt;"&amp;BA54)=0,1,0),0)</f>
        <v>0</v>
      </c>
      <c r="EF54" s="23" t="n">
        <f aca="false">IF(BC54=1,IF(COUNTIFS($AZ$2:$AZ$201,AZ54,$EE$2:$EE$201,1)&gt;1,1,0),0)</f>
        <v>0</v>
      </c>
      <c r="EG54" s="23" t="n">
        <f aca="false">IF(AND(CQ54=1),IF(COUNTIFS($AZ$2:$AZ$201,AZ54,$CQ$2:$CQ$201,1,$H$2:$H$201,"&gt;"&amp;H54)+COUNTIFS($AZ$2:$AZ$201,AZ54,$CQ$2:$CQ$201,1,$H$2:$H$201,H54,$BA$2:$BA$201,"&gt;"&amp;BA54)=0,1,0),0)</f>
        <v>0</v>
      </c>
      <c r="EH54" s="23" t="str">
        <f aca="false">IF(BB54=1,IF(COUNTIFS($AZ$2:$AZ$201,AZ54,$EG$2:$EG$201,1)=0,"",SUMIFS($O$2:$O$201,$AZ$2:$AZ$201,AZ54,$EG$2:$EG$201,1)),"")</f>
        <v/>
      </c>
      <c r="EI54" s="23" t="n">
        <f aca="false">IF(AND(ISNUMBER(EH54),OR(N(EH54)&lt;Config!$B$31,N(EH54)&gt;Config!$B$33)),1,0)</f>
        <v>0</v>
      </c>
      <c r="EJ54" s="23" t="n">
        <f aca="false">IF(AND(ISNUMBER(EH54),N(EH54)&gt;=Config!$B$31,N(EH54)&lt;Config!$B$32),1,0)</f>
        <v>0</v>
      </c>
      <c r="EK54" s="23" t="n">
        <f aca="false">IF(AND(BF54=1,INT(N(H54))&lt;=Config!$B$6,DH54=1,EI54=1),1,0)</f>
        <v>0</v>
      </c>
      <c r="EL54" s="23" t="n">
        <f aca="false">IF(AND(BF54=1,INT(N(H54))&lt;=Config!$B$7,DI54=1,EI54=1),1,0)</f>
        <v>0</v>
      </c>
      <c r="EM54" s="23" t="n">
        <f aca="false">IF(AND(BF54=1,INT(N(H54))&lt;=Config!$B$8,DJ54=1,EI54=1),1,0)</f>
        <v>0</v>
      </c>
      <c r="EN54" s="23" t="n">
        <f aca="false">IF(AND(BF54=1,INT(N(H54))&lt;=Config!$B$5,DK54=1,EI54=1),1,0)</f>
        <v>0</v>
      </c>
      <c r="EO54" s="23" t="n">
        <f aca="false">IF(AND(DL54=1,EJ54=1),1,0)</f>
        <v>0</v>
      </c>
      <c r="EP54" s="23" t="n">
        <f aca="false">IF(AND(DM54=1,EJ54=1),1,0)</f>
        <v>0</v>
      </c>
      <c r="EQ54" s="23" t="n">
        <f aca="false">IF(AND(DN54=1,EJ54=1),1,0)</f>
        <v>0</v>
      </c>
      <c r="ER54" s="23" t="n">
        <f aca="false">IF(AND(DO54=1,EJ54=1),1,0)</f>
        <v>0</v>
      </c>
    </row>
    <row r="55" customFormat="false" ht="15" hidden="false" customHeight="false" outlineLevel="0" collapsed="false">
      <c r="G55" s="32"/>
      <c r="H55" s="33"/>
      <c r="I55" s="32"/>
      <c r="L55" s="32"/>
      <c r="Q55" s="32"/>
      <c r="U55" s="32"/>
      <c r="W55" s="32"/>
      <c r="AC55" s="32"/>
      <c r="AF55" s="32"/>
      <c r="AI55" s="32"/>
      <c r="AJ55" s="32"/>
      <c r="AN55" s="32"/>
      <c r="AR55" s="32"/>
      <c r="AT55" s="32"/>
      <c r="AU55" s="32"/>
      <c r="AW55" s="32"/>
      <c r="AY55" s="34" t="str">
        <f aca="false">IF(TRIM($A55)="","",IF(AND(LEFT($A55,6)="SAMPLE",Config!$B$19&lt;&gt;"Y"),"",IF(NOT(ISNUMBER(H55)),"call_date is blank or not a date",IF(Sync!$C$5="","Clay paste is empty or has no row_id column: paste the Clay export on Clay_Offices",IF(CW55="","row_id not found in the Clay paste: add the Clay row or fix the row_id",IF(AND(ISNUMBER(CY55),CY55&gt;=1,CY55&lt;=5),"Clay status is "&amp;CX55&amp;": set call_done or later",IF(AND(BD55=1,CZ55&lt;&gt;BZ55),"Clay yes_in_principle should be "&amp;BZ55,IF(AND(BD55=1,DA55&lt;&gt;H55),"Clay call_date should be "&amp;TEXT(H55,"yyyy-mm-dd"),""))))))))</f>
        <v/>
      </c>
      <c r="AZ55" s="23" t="str">
        <f aca="false">IF(TRIM($A55)="","",IF(TRIM(C55)&lt;&gt;"",SUBSTITUTE(SUBSTITUTE(SUBSTITUTE(SUBSTITUTE(SUBSTITUTE(SUBSTITUTE(LOWER(TRIM(C55)),"~",""),"*",""),"?",""),"&lt;",""),"&gt;",""),"=",""),IF(EA55&lt;&gt;"",EA55,IFERROR(INDEX($EA$2:$EA$201,MATCH(DZ55,$EB$2:$EB$201,0)),DZ55))))</f>
        <v/>
      </c>
      <c r="BA55" s="23" t="n">
        <f aca="false">ROW()</f>
        <v>55</v>
      </c>
      <c r="BB55" s="23" t="n">
        <f aca="false">IF(AND(TRIM($A55)&lt;&gt;"",ISNUMBER(H55)),IF(AND(LEFT($A55,6)="SAMPLE",Config!$B$19&lt;&gt;"Y"),0,1),0)</f>
        <v>0</v>
      </c>
      <c r="BC55" s="23" t="n">
        <f aca="false">IF(BB55=1,IF(COUNTIFS($AZ$2:$AZ$201,AZ55,$BB$2:$BB$201,1,$H$2:$H$201,"&lt;"&amp;H55)+COUNTIFS($AZ$2:$AZ$201,AZ55,$BB$2:$BB$201,1,$H$2:$H$201,H55,$BA$2:$BA$201,"&lt;"&amp;BA55)=0,1,0),0)</f>
        <v>0</v>
      </c>
      <c r="BD55" s="23" t="n">
        <f aca="false">IF(BB55=1,IF(COUNTIFS($A$2:$A$201,$A55,$BB$2:$BB$201,1,$H$2:$H$201,"&gt;"&amp;H55)+COUNTIFS($A$2:$A$201,$A55,$BB$2:$BB$201,1,$H$2:$H$201,H55,$BA$2:$BA$201,"&gt;"&amp;BA55)=0,1,0),0)</f>
        <v>0</v>
      </c>
      <c r="BE55" s="23" t="n">
        <f aca="false">IF(AND(BB55=1,AR55="Y",AC55="Y",TRIM(AH55)&lt;&gt;""),1,0)</f>
        <v>0</v>
      </c>
      <c r="BF55" s="23" t="n">
        <f aca="false">IF(BE55=1,IF(COUNTIFS($AZ$2:$AZ$201,AZ55,$BE$2:$BE$201,1,$H$2:$H$201,"&lt;"&amp;H55)+COUNTIFS($AZ$2:$AZ$201,AZ55,$BE$2:$BE$201,1,$H$2:$H$201,H55,$BA$2:$BA$201,"&lt;"&amp;BA55)=0,1,0),0)</f>
        <v>0</v>
      </c>
      <c r="BG55" s="23" t="n">
        <f aca="false">IF(AND(BB55=1,AR55="Y",BE55=0),1,0)</f>
        <v>0</v>
      </c>
      <c r="BH55" s="23" t="n">
        <f aca="false">IF(AND(BB55=1,ISNUMBER(Y55)),1,0)</f>
        <v>0</v>
      </c>
      <c r="BI55" s="23" t="n">
        <f aca="false">IF(BH55=1,IF(COUNTIFS($AZ$2:$AZ$201,AZ55,$BH$2:$BH$201,1,$H$2:$H$201,"&lt;"&amp;H55)+COUNTIFS($AZ$2:$AZ$201,AZ55,$BH$2:$BH$201,1,$H$2:$H$201,H55,$BA$2:$BA$201,"&lt;"&amp;BA55)=0,1,0),0)</f>
        <v>0</v>
      </c>
      <c r="BJ55" s="23" t="str">
        <f aca="false">IF(AND(BI55=1,INT(N(H55))&lt;=Config!$B$6),Y55,"")</f>
        <v/>
      </c>
      <c r="BK55" s="23" t="str">
        <f aca="false">IF(AND(BI55=1,INT(N(H55))&lt;=Config!$B$7),Y55,"")</f>
        <v/>
      </c>
      <c r="BL55" s="23" t="str">
        <f aca="false">IF(AND(BI55=1,INT(N(H55))&lt;=Config!$B$8),Y55,"")</f>
        <v/>
      </c>
      <c r="BM55" s="23" t="str">
        <f aca="false">IF(AND(BI55=1,INT(N(H55))&lt;=Config!$B$5),Y55,"")</f>
        <v/>
      </c>
      <c r="BN55" s="23" t="n">
        <f aca="false">IF(CD55=1,IF(COUNTIFS($AZ$2:$AZ$201,AZ55,$CD$2:$CD$201,1,$H$2:$H$201,"&lt;"&amp;H55)+COUNTIFS($AZ$2:$AZ$201,AZ55,$CD$2:$CD$201,1,$H$2:$H$201,H55,$BA$2:$BA$201,"&lt;"&amp;BA55)=0,1,0),0)</f>
        <v>0</v>
      </c>
      <c r="BO55" s="23" t="n">
        <f aca="false">IF(AND(BB55=1,ISNUMBER(M55)),1,0)</f>
        <v>0</v>
      </c>
      <c r="BP55" s="23" t="n">
        <f aca="false">IF(BO55=1,IF(COUNTIFS($AZ$2:$AZ$201,AZ55,$BO$2:$BO$201,1,$H$2:$H$201,"&lt;"&amp;H55)+COUNTIFS($AZ$2:$AZ$201,AZ55,$BO$2:$BO$201,1,$H$2:$H$201,H55,$BA$2:$BA$201,"&lt;"&amp;BA55)=0,1,0),0)</f>
        <v>0</v>
      </c>
      <c r="BQ55" s="23" t="str">
        <f aca="false">IF(AND(BP55=1,INT(N(H55))&lt;=Config!$B$5),M55,"")</f>
        <v/>
      </c>
      <c r="BR55" s="23" t="n">
        <f aca="false">IF(AND(BB55=1,OR(TRIM(X55)&lt;&gt;"",ISNUMBER(Y55))),1,0)</f>
        <v>0</v>
      </c>
      <c r="BS55" s="23" t="n">
        <f aca="false">IF(BR55=1,IF(COUNTIFS($AZ$2:$AZ$201,AZ55,$BR$2:$BR$201,1,$H$2:$H$201,"&lt;"&amp;H55)+COUNTIFS($AZ$2:$AZ$201,AZ55,$BR$2:$BR$201,1,$H$2:$H$201,H55,$BA$2:$BA$201,"&lt;"&amp;BA55)=0,1,0),0)</f>
        <v>0</v>
      </c>
      <c r="BT55" s="23" t="str">
        <f aca="false">IF(BS55=1,AZ55,"")</f>
        <v/>
      </c>
      <c r="BU55" s="23" t="n">
        <f aca="false">IF(AND(BB55=1,W55="Y",TRIM(X55)=""),1,0)</f>
        <v>0</v>
      </c>
      <c r="BV55" s="23" t="str">
        <f aca="false">IF(BB55=1,AN55&amp;"","")</f>
        <v/>
      </c>
      <c r="BW55" s="23" t="str">
        <f aca="false">IF(BB55=1,AO55&amp;"","")</f>
        <v/>
      </c>
      <c r="BX55" s="23" t="str">
        <f aca="false">IF(BB55=1,AP55&amp;"","")</f>
        <v/>
      </c>
      <c r="BY55" s="23" t="str">
        <f aca="false">IF(AND(BB55=1,ISNUMBER(AV55),INT(N(H55))&lt;=Config!$B$5),AV55,"")</f>
        <v/>
      </c>
      <c r="BZ55" s="23" t="str">
        <f aca="false">IF(BB55=1,IF(COUNTIFS($A$2:$A$201,$A55,$DC$2:$DC$201,1,$AR$2:$AR$201,"Y")&gt;0,"Y","N"),"")</f>
        <v/>
      </c>
      <c r="CA55" s="23" t="n">
        <f aca="false">IF(AND(BB55=1,AR55="maybe"),1,0)</f>
        <v>0</v>
      </c>
      <c r="CB55" s="23" t="n">
        <f aca="false">IF(CA55=1,IF(COUNTIFS($AZ$2:$AZ$201,AZ55,$CA$2:$CA$201,1,$H$2:$H$201,"&lt;"&amp;H55)+COUNTIFS($AZ$2:$AZ$201,AZ55,$CA$2:$CA$201,1,$H$2:$H$201,H55,$BA$2:$BA$201,"&lt;"&amp;BA55)=0,1,0),0)</f>
        <v>0</v>
      </c>
      <c r="CC55" s="23" t="n">
        <f aca="false">IF(AND(BB55=1,AR55="Y"),IF(COUNTIFS($AZ$2:$AZ$201,AZ55,$AR$2:$AR$201,"Y",$BB$2:$BB$201,1,$H$2:$H$201,"&lt;"&amp;H55)+COUNTIFS($AZ$2:$AZ$201,AZ55,$AR$2:$AR$201,"Y",$BB$2:$BB$201,1,$H$2:$H$201,H55,$BA$2:$BA$201,"&lt;"&amp;BA55)=0,1,0),0)</f>
        <v>0</v>
      </c>
      <c r="CD55" s="23" t="n">
        <f aca="false">IF(AND(BH55=1,N(Y55)&gt;=Config!$B$15),1,0)</f>
        <v>0</v>
      </c>
      <c r="CE55" s="23" t="n">
        <f aca="false">IF(AND(BB55=1,AT55="Y"),1,0)</f>
        <v>0</v>
      </c>
      <c r="CF55" s="23" t="n">
        <f aca="false">IF(CE55=1,IF(COUNTIFS($AZ$2:$AZ$201,AZ55,$CE$2:$CE$201,1,$H$2:$H$201,"&lt;"&amp;H55)+COUNTIFS($AZ$2:$AZ$201,AZ55,$CE$2:$CE$201,1,$H$2:$H$201,H55,$BA$2:$BA$201,"&lt;"&amp;BA55)=0,1,0),0)</f>
        <v>0</v>
      </c>
      <c r="CG55" s="23" t="n">
        <f aca="false">IF(AND(BB55=1,G55="warm-intro"),1,0)</f>
        <v>0</v>
      </c>
      <c r="CH55" s="23" t="n">
        <f aca="false">IF(CG55=1,IF(COUNTIFS($AZ$2:$AZ$201,AZ55,$CG$2:$CG$201,1,$H$2:$H$201,"&lt;"&amp;H55)+COUNTIFS($AZ$2:$AZ$201,AZ55,$CG$2:$CG$201,1,$H$2:$H$201,H55,$BA$2:$BA$201,"&lt;"&amp;BA55)=0,1,0),0)</f>
        <v>0</v>
      </c>
      <c r="CI55" s="23" t="n">
        <f aca="false">IF(AND(BB55=1,Q55="Y"),1,0)</f>
        <v>0</v>
      </c>
      <c r="CJ55" s="23" t="n">
        <f aca="false">IF(CI55=1,IF(COUNTIFS($AZ$2:$AZ$201,AZ55,$CI$2:$CI$201,1,$H$2:$H$201,"&lt;"&amp;H55)+COUNTIFS($AZ$2:$AZ$201,AZ55,$CI$2:$CI$201,1,$H$2:$H$201,H55,$BA$2:$BA$201,"&lt;"&amp;BA55)=0,1,0),0)</f>
        <v>0</v>
      </c>
      <c r="CK55" s="23" t="n">
        <f aca="false">IF(AND(BB55=1,AF55="Y"),1,0)</f>
        <v>0</v>
      </c>
      <c r="CL55" s="23" t="n">
        <f aca="false">IF(CK55=1,IF(COUNTIFS($AZ$2:$AZ$201,AZ55,$CK$2:$CK$201,1,$H$2:$H$201,"&lt;"&amp;H55)+COUNTIFS($AZ$2:$AZ$201,AZ55,$CK$2:$CK$201,1,$H$2:$H$201,H55,$BA$2:$BA$201,"&lt;"&amp;BA55)=0,1,0),0)</f>
        <v>0</v>
      </c>
      <c r="CM55" s="23" t="n">
        <f aca="false">IF(AND(BB55=1,U55="Y"),1,0)</f>
        <v>0</v>
      </c>
      <c r="CN55" s="23" t="n">
        <f aca="false">IF(CM55=1,IF(COUNTIFS($AZ$2:$AZ$201,AZ55,$CM$2:$CM$201,1,$H$2:$H$201,"&lt;"&amp;H55)+COUNTIFS($AZ$2:$AZ$201,AZ55,$CM$2:$CM$201,1,$H$2:$H$201,H55,$BA$2:$BA$201,"&lt;"&amp;BA55)=0,1,0),0)</f>
        <v>0</v>
      </c>
      <c r="CO55" s="23" t="n">
        <f aca="false">IF(AND(BB55=1,L55="Y"),1,0)</f>
        <v>0</v>
      </c>
      <c r="CP55" s="23" t="n">
        <f aca="false">IF(CO55=1,IF(COUNTIFS($AZ$2:$AZ$201,AZ55,$CO$2:$CO$201,1,$H$2:$H$201,"&lt;"&amp;H55)+COUNTIFS($AZ$2:$AZ$201,AZ55,$CO$2:$CO$201,1,$H$2:$H$201,H55,$BA$2:$BA$201,"&lt;"&amp;BA55)=0,1,0),0)</f>
        <v>0</v>
      </c>
      <c r="CQ55" s="23" t="n">
        <f aca="false">IF(AND(BB55=1,ISNUMBER(O55)),1,0)</f>
        <v>0</v>
      </c>
      <c r="CR55" s="23" t="n">
        <f aca="false">IF(CQ55=1,IF(COUNTIFS($AZ$2:$AZ$201,AZ55,$CQ$2:$CQ$201,1,$H$2:$H$201,"&lt;"&amp;H55)+COUNTIFS($AZ$2:$AZ$201,AZ55,$CQ$2:$CQ$201,1,$H$2:$H$201,H55,$BA$2:$BA$201,"&lt;"&amp;BA55)=0,1,0),0)</f>
        <v>0</v>
      </c>
      <c r="CS55" s="23" t="str">
        <f aca="false">IF(AND(CR55=1,INT(N(H55))&lt;=Config!$B$5),O55,"")</f>
        <v/>
      </c>
      <c r="CT55" s="23" t="str">
        <f aca="false">IF(AND(BB55=1,INT(N(H55))&lt;=Config!$B$5),AG55&amp;"","")</f>
        <v/>
      </c>
      <c r="CU55" s="23" t="n">
        <f aca="false">IF(AND(BB55=1,AU55="Y"),1,0)</f>
        <v>0</v>
      </c>
      <c r="CV55" s="23" t="n">
        <f aca="false">IF(CU55=1,IF(COUNTIFS($AZ$2:$AZ$201,AZ55,$CU$2:$CU$201,1,$H$2:$H$201,"&lt;"&amp;H55)+COUNTIFS($AZ$2:$AZ$201,AZ55,$CU$2:$CU$201,1,$H$2:$H$201,H55,$BA$2:$BA$201,"&lt;"&amp;BA55)=0,1,0),0)</f>
        <v>0</v>
      </c>
      <c r="CW55" s="23" t="str">
        <f aca="false">IF(BB55=1,IFERROR(MATCH($A55,INDEX(Clay_Offices!$A$2:$FZ$601,0,Sync!$C$5),0),""),"")</f>
        <v/>
      </c>
      <c r="CX55" s="23" t="str">
        <f aca="false">IF(CW55="","",IFERROR(INDEX(Clay_Offices!$A$2:$FZ$601,CW55,Sync!$C$7)&amp;"",""))</f>
        <v/>
      </c>
      <c r="CY55" s="23" t="str">
        <f aca="false">IF(CX55="","",IFERROR(INDEX(Lists!$K$2:$K$15,MATCH(CX55,Lists!$J$2:$J$15,0)),""))</f>
        <v/>
      </c>
      <c r="CZ55" s="23" t="str">
        <f aca="false">IF(CW55="","",IFERROR(INDEX(Clay_Offices!$A$2:$FZ$601,CW55,Sync!$C$17)&amp;"",""))</f>
        <v/>
      </c>
      <c r="DA55" s="35" t="str">
        <f aca="false">IF(CW55="","",IFERROR(N(INDEX(Clay_Offices!$A$2:$FZ$601,CW55,Sync!$C$16)),0))</f>
        <v/>
      </c>
      <c r="DB55" s="23" t="n">
        <f aca="false">IF(AND(BB55=1,OR(AR55="Y",AR55="N",AR55="maybe")),1,0)</f>
        <v>0</v>
      </c>
      <c r="DC55" s="23" t="n">
        <f aca="false">IF(AND(DB55=1),IF(COUNTIFS($A$2:$A$201,$A55,$DB$2:$DB$201,1,$H$2:$H$201,"&gt;"&amp;H55)+COUNTIFS($A$2:$A$201,$A55,$DB$2:$DB$201,1,$H$2:$H$201,H55,$BA$2:$BA$201,"&gt;"&amp;BA55)=0,1,0),0)</f>
        <v>0</v>
      </c>
      <c r="DD55" s="23" t="n">
        <f aca="false">IF(AND(DB55=1,INT(N(H55))&lt;=Config!$B$6),IF(COUNTIFS($AZ$2:$AZ$201,AZ55,$DB$2:$DB$201,1,$H$2:$H$201,"&gt;"&amp;H55,$H$2:$H$201,"&lt;"&amp;(Config!$B$6+1))+COUNTIFS($AZ$2:$AZ$201,AZ55,$DB$2:$DB$201,1,$H$2:$H$201,H55,$BA$2:$BA$201,"&gt;"&amp;BA55)=0,1,0),0)</f>
        <v>0</v>
      </c>
      <c r="DE55" s="23" t="n">
        <f aca="false">IF(AND(DB55=1,INT(N(H55))&lt;=Config!$B$7),IF(COUNTIFS($AZ$2:$AZ$201,AZ55,$DB$2:$DB$201,1,$H$2:$H$201,"&gt;"&amp;H55,$H$2:$H$201,"&lt;"&amp;(Config!$B$7+1))+COUNTIFS($AZ$2:$AZ$201,AZ55,$DB$2:$DB$201,1,$H$2:$H$201,H55,$BA$2:$BA$201,"&gt;"&amp;BA55)=0,1,0),0)</f>
        <v>0</v>
      </c>
      <c r="DF55" s="23" t="n">
        <f aca="false">IF(AND(DB55=1,INT(N(H55))&lt;=Config!$B$8),IF(COUNTIFS($AZ$2:$AZ$201,AZ55,$DB$2:$DB$201,1,$H$2:$H$201,"&gt;"&amp;H55,$H$2:$H$201,"&lt;"&amp;(Config!$B$8+1))+COUNTIFS($AZ$2:$AZ$201,AZ55,$DB$2:$DB$201,1,$H$2:$H$201,H55,$BA$2:$BA$201,"&gt;"&amp;BA55)=0,1,0),0)</f>
        <v>0</v>
      </c>
      <c r="DG55" s="23" t="n">
        <f aca="false">IF(AND(DB55=1,INT(N(H55))&lt;=Config!$B$5),IF(COUNTIFS($AZ$2:$AZ$201,AZ55,$DB$2:$DB$201,1,$H$2:$H$201,"&gt;"&amp;H55,$H$2:$H$201,"&lt;"&amp;(Config!$B$5+1))+COUNTIFS($AZ$2:$AZ$201,AZ55,$DB$2:$DB$201,1,$H$2:$H$201,H55,$BA$2:$BA$201,"&gt;"&amp;BA55)=0,1,0),0)</f>
        <v>0</v>
      </c>
      <c r="DH55" s="23" t="n">
        <f aca="false">IF(BB55=1,IF(COUNTIFS($AZ$2:$AZ$201,AZ55,$DD$2:$DD$201,1,$AR$2:$AR$201,"Y")&gt;0,1,0),0)</f>
        <v>0</v>
      </c>
      <c r="DI55" s="23" t="n">
        <f aca="false">IF(BB55=1,IF(COUNTIFS($AZ$2:$AZ$201,AZ55,$DE$2:$DE$201,1,$AR$2:$AR$201,"Y")&gt;0,1,0),0)</f>
        <v>0</v>
      </c>
      <c r="DJ55" s="23" t="n">
        <f aca="false">IF(BB55=1,IF(COUNTIFS($AZ$2:$AZ$201,AZ55,$DF$2:$DF$201,1,$AR$2:$AR$201,"Y")&gt;0,1,0),0)</f>
        <v>0</v>
      </c>
      <c r="DK55" s="23" t="n">
        <f aca="false">IF(BB55=1,IF(COUNTIFS($AZ$2:$AZ$201,AZ55,$DG$2:$DG$201,1,$AR$2:$AR$201,"Y")&gt;0,1,0),0)</f>
        <v>0</v>
      </c>
      <c r="DL55" s="23" t="n">
        <f aca="false">IF(AND(BF55=1,INT(N(H55))&lt;=Config!$B$6,DH55=1,EI55=0),1,0)</f>
        <v>0</v>
      </c>
      <c r="DM55" s="23" t="n">
        <f aca="false">IF(AND(BF55=1,INT(N(H55))&lt;=Config!$B$7,DI55=1,EI55=0),1,0)</f>
        <v>0</v>
      </c>
      <c r="DN55" s="23" t="n">
        <f aca="false">IF(AND(BF55=1,INT(N(H55))&lt;=Config!$B$8,DJ55=1,EI55=0),1,0)</f>
        <v>0</v>
      </c>
      <c r="DO55" s="23" t="n">
        <f aca="false">IF(AND(BF55=1,INT(N(H55))&lt;=Config!$B$5,DK55=1,EI55=0),1,0)</f>
        <v>0</v>
      </c>
      <c r="DP55" s="23" t="n">
        <f aca="false">IF(AND(CC55=1,INT(N(H55))&lt;=Config!$B$6,DH55=1,EI55=0),1,0)</f>
        <v>0</v>
      </c>
      <c r="DQ55" s="23" t="n">
        <f aca="false">IF(AND(CC55=1,INT(N(H55))&lt;=Config!$B$7,DI55=1,EI55=0),1,0)</f>
        <v>0</v>
      </c>
      <c r="DR55" s="23" t="n">
        <f aca="false">IF(AND(CC55=1,INT(N(H55))&lt;=Config!$B$8,DJ55=1,EI55=0),1,0)</f>
        <v>0</v>
      </c>
      <c r="DS55" s="23" t="n">
        <f aca="false">IF(AND(CC55=1,INT(N(H55))&lt;=Config!$B$5,DK55=1,EI55=0),1,0)</f>
        <v>0</v>
      </c>
      <c r="DT55" s="23" t="n">
        <f aca="false">IF(AND(CC55=1,INT(N(H55))&lt;=Config!$B$6,DH55=0),1,0)</f>
        <v>0</v>
      </c>
      <c r="DU55" s="23" t="n">
        <f aca="false">IF(AND(CC55=1,INT(N(H55))&lt;=Config!$B$7,DI55=0),1,0)</f>
        <v>0</v>
      </c>
      <c r="DV55" s="23" t="n">
        <f aca="false">IF(AND(CC55=1,INT(N(H55))&lt;=Config!$B$8,DJ55=0),1,0)</f>
        <v>0</v>
      </c>
      <c r="DW55" s="23" t="n">
        <f aca="false">IF(AND(CC55=1,INT(N(H55))&lt;=Config!$B$5,DK55=0),1,0)</f>
        <v>0</v>
      </c>
      <c r="DX55" s="23" t="n">
        <f aca="false">IF(TRIM($A55)="",0,ISTEXT(M55)+ISTEXT(O55)+ISTEXT(Y55)+ISTEXT(Z55)+ISTEXT(AA55)+ISTEXT(AV55))</f>
        <v>0</v>
      </c>
      <c r="DY55" s="23" t="n">
        <f aca="false">IF(BB55=1,IF(H55&lt;&gt;INT(H55),1,0),0)</f>
        <v>0</v>
      </c>
      <c r="DZ55" s="23" t="str">
        <f aca="false">IF(TRIM($A55)="","",IF(TRIM(B55)="",SUBSTITUTE(SUBSTITUTE(SUBSTITUTE(SUBSTITUTE(SUBSTITUTE(SUBSTITUTE(LOWER(TRIM($A55)),"~",""),"*",""),"?",""),"&lt;",""),"&gt;",""),"=",""),SUBSTITUTE(SUBSTITUTE(SUBSTITUTE(SUBSTITUTE(SUBSTITUTE(SUBSTITUTE(LOWER(TRIM(B55)),"~",""),"*",""),"?",""),"&lt;",""),"&gt;",""),"=","")))</f>
        <v/>
      </c>
      <c r="EA55" s="23" t="str">
        <f aca="false">IF(CW55="","",IFERROR(IF(LEFT(LOWER(TRIM(INDEX(Clay_Offices!$A$2:$FZ$601,CW55,Sync!$C$19)&amp;"")),4)="grp-",SUBSTITUTE(SUBSTITUTE(SUBSTITUTE(SUBSTITUTE(SUBSTITUTE(SUBSTITUTE(LOWER(TRIM(INDEX(Clay_Offices!$A$2:$FZ$601,CW55,Sync!$C$19)&amp;"")),"~",""),"*",""),"?",""),"&lt;",""),"&gt;",""),"=",""),""),""))</f>
        <v/>
      </c>
      <c r="EB55" s="23" t="str">
        <f aca="false">IF(EA55&lt;&gt;"",DZ55,"")</f>
        <v/>
      </c>
      <c r="EC55" s="23" t="str">
        <f aca="false">IF(BC55=1,AZ55,"")</f>
        <v/>
      </c>
      <c r="ED55" s="23" t="str">
        <f aca="false">IF(TRIM($A55)="","",IFERROR(INDEX($A$2:$A$201,MATCH(AZ55,$EC$2:$EC$201,0))&amp;"",$A55&amp;""))</f>
        <v/>
      </c>
      <c r="EE55" s="23" t="n">
        <f aca="false">IF(BB55=1,IF(COUNTIFS($A$2:$A$201,$A55,$BB$2:$BB$201,1,$H$2:$H$201,"&lt;"&amp;H55)+COUNTIFS($A$2:$A$201,$A55,$BB$2:$BB$201,1,$H$2:$H$201,H55,$BA$2:$BA$201,"&lt;"&amp;BA55)=0,1,0),0)</f>
        <v>0</v>
      </c>
      <c r="EF55" s="23" t="n">
        <f aca="false">IF(BC55=1,IF(COUNTIFS($AZ$2:$AZ$201,AZ55,$EE$2:$EE$201,1)&gt;1,1,0),0)</f>
        <v>0</v>
      </c>
      <c r="EG55" s="23" t="n">
        <f aca="false">IF(AND(CQ55=1),IF(COUNTIFS($AZ$2:$AZ$201,AZ55,$CQ$2:$CQ$201,1,$H$2:$H$201,"&gt;"&amp;H55)+COUNTIFS($AZ$2:$AZ$201,AZ55,$CQ$2:$CQ$201,1,$H$2:$H$201,H55,$BA$2:$BA$201,"&gt;"&amp;BA55)=0,1,0),0)</f>
        <v>0</v>
      </c>
      <c r="EH55" s="23" t="str">
        <f aca="false">IF(BB55=1,IF(COUNTIFS($AZ$2:$AZ$201,AZ55,$EG$2:$EG$201,1)=0,"",SUMIFS($O$2:$O$201,$AZ$2:$AZ$201,AZ55,$EG$2:$EG$201,1)),"")</f>
        <v/>
      </c>
      <c r="EI55" s="23" t="n">
        <f aca="false">IF(AND(ISNUMBER(EH55),OR(N(EH55)&lt;Config!$B$31,N(EH55)&gt;Config!$B$33)),1,0)</f>
        <v>0</v>
      </c>
      <c r="EJ55" s="23" t="n">
        <f aca="false">IF(AND(ISNUMBER(EH55),N(EH55)&gt;=Config!$B$31,N(EH55)&lt;Config!$B$32),1,0)</f>
        <v>0</v>
      </c>
      <c r="EK55" s="23" t="n">
        <f aca="false">IF(AND(BF55=1,INT(N(H55))&lt;=Config!$B$6,DH55=1,EI55=1),1,0)</f>
        <v>0</v>
      </c>
      <c r="EL55" s="23" t="n">
        <f aca="false">IF(AND(BF55=1,INT(N(H55))&lt;=Config!$B$7,DI55=1,EI55=1),1,0)</f>
        <v>0</v>
      </c>
      <c r="EM55" s="23" t="n">
        <f aca="false">IF(AND(BF55=1,INT(N(H55))&lt;=Config!$B$8,DJ55=1,EI55=1),1,0)</f>
        <v>0</v>
      </c>
      <c r="EN55" s="23" t="n">
        <f aca="false">IF(AND(BF55=1,INT(N(H55))&lt;=Config!$B$5,DK55=1,EI55=1),1,0)</f>
        <v>0</v>
      </c>
      <c r="EO55" s="23" t="n">
        <f aca="false">IF(AND(DL55=1,EJ55=1),1,0)</f>
        <v>0</v>
      </c>
      <c r="EP55" s="23" t="n">
        <f aca="false">IF(AND(DM55=1,EJ55=1),1,0)</f>
        <v>0</v>
      </c>
      <c r="EQ55" s="23" t="n">
        <f aca="false">IF(AND(DN55=1,EJ55=1),1,0)</f>
        <v>0</v>
      </c>
      <c r="ER55" s="23" t="n">
        <f aca="false">IF(AND(DO55=1,EJ55=1),1,0)</f>
        <v>0</v>
      </c>
    </row>
    <row r="56" customFormat="false" ht="15" hidden="false" customHeight="false" outlineLevel="0" collapsed="false">
      <c r="G56" s="32"/>
      <c r="H56" s="33"/>
      <c r="I56" s="32"/>
      <c r="L56" s="32"/>
      <c r="Q56" s="32"/>
      <c r="U56" s="32"/>
      <c r="W56" s="32"/>
      <c r="AC56" s="32"/>
      <c r="AF56" s="32"/>
      <c r="AI56" s="32"/>
      <c r="AJ56" s="32"/>
      <c r="AN56" s="32"/>
      <c r="AR56" s="32"/>
      <c r="AT56" s="32"/>
      <c r="AU56" s="32"/>
      <c r="AW56" s="32"/>
      <c r="AY56" s="34" t="str">
        <f aca="false">IF(TRIM($A56)="","",IF(AND(LEFT($A56,6)="SAMPLE",Config!$B$19&lt;&gt;"Y"),"",IF(NOT(ISNUMBER(H56)),"call_date is blank or not a date",IF(Sync!$C$5="","Clay paste is empty or has no row_id column: paste the Clay export on Clay_Offices",IF(CW56="","row_id not found in the Clay paste: add the Clay row or fix the row_id",IF(AND(ISNUMBER(CY56),CY56&gt;=1,CY56&lt;=5),"Clay status is "&amp;CX56&amp;": set call_done or later",IF(AND(BD56=1,CZ56&lt;&gt;BZ56),"Clay yes_in_principle should be "&amp;BZ56,IF(AND(BD56=1,DA56&lt;&gt;H56),"Clay call_date should be "&amp;TEXT(H56,"yyyy-mm-dd"),""))))))))</f>
        <v/>
      </c>
      <c r="AZ56" s="23" t="str">
        <f aca="false">IF(TRIM($A56)="","",IF(TRIM(C56)&lt;&gt;"",SUBSTITUTE(SUBSTITUTE(SUBSTITUTE(SUBSTITUTE(SUBSTITUTE(SUBSTITUTE(LOWER(TRIM(C56)),"~",""),"*",""),"?",""),"&lt;",""),"&gt;",""),"=",""),IF(EA56&lt;&gt;"",EA56,IFERROR(INDEX($EA$2:$EA$201,MATCH(DZ56,$EB$2:$EB$201,0)),DZ56))))</f>
        <v/>
      </c>
      <c r="BA56" s="23" t="n">
        <f aca="false">ROW()</f>
        <v>56</v>
      </c>
      <c r="BB56" s="23" t="n">
        <f aca="false">IF(AND(TRIM($A56)&lt;&gt;"",ISNUMBER(H56)),IF(AND(LEFT($A56,6)="SAMPLE",Config!$B$19&lt;&gt;"Y"),0,1),0)</f>
        <v>0</v>
      </c>
      <c r="BC56" s="23" t="n">
        <f aca="false">IF(BB56=1,IF(COUNTIFS($AZ$2:$AZ$201,AZ56,$BB$2:$BB$201,1,$H$2:$H$201,"&lt;"&amp;H56)+COUNTIFS($AZ$2:$AZ$201,AZ56,$BB$2:$BB$201,1,$H$2:$H$201,H56,$BA$2:$BA$201,"&lt;"&amp;BA56)=0,1,0),0)</f>
        <v>0</v>
      </c>
      <c r="BD56" s="23" t="n">
        <f aca="false">IF(BB56=1,IF(COUNTIFS($A$2:$A$201,$A56,$BB$2:$BB$201,1,$H$2:$H$201,"&gt;"&amp;H56)+COUNTIFS($A$2:$A$201,$A56,$BB$2:$BB$201,1,$H$2:$H$201,H56,$BA$2:$BA$201,"&gt;"&amp;BA56)=0,1,0),0)</f>
        <v>0</v>
      </c>
      <c r="BE56" s="23" t="n">
        <f aca="false">IF(AND(BB56=1,AR56="Y",AC56="Y",TRIM(AH56)&lt;&gt;""),1,0)</f>
        <v>0</v>
      </c>
      <c r="BF56" s="23" t="n">
        <f aca="false">IF(BE56=1,IF(COUNTIFS($AZ$2:$AZ$201,AZ56,$BE$2:$BE$201,1,$H$2:$H$201,"&lt;"&amp;H56)+COUNTIFS($AZ$2:$AZ$201,AZ56,$BE$2:$BE$201,1,$H$2:$H$201,H56,$BA$2:$BA$201,"&lt;"&amp;BA56)=0,1,0),0)</f>
        <v>0</v>
      </c>
      <c r="BG56" s="23" t="n">
        <f aca="false">IF(AND(BB56=1,AR56="Y",BE56=0),1,0)</f>
        <v>0</v>
      </c>
      <c r="BH56" s="23" t="n">
        <f aca="false">IF(AND(BB56=1,ISNUMBER(Y56)),1,0)</f>
        <v>0</v>
      </c>
      <c r="BI56" s="23" t="n">
        <f aca="false">IF(BH56=1,IF(COUNTIFS($AZ$2:$AZ$201,AZ56,$BH$2:$BH$201,1,$H$2:$H$201,"&lt;"&amp;H56)+COUNTIFS($AZ$2:$AZ$201,AZ56,$BH$2:$BH$201,1,$H$2:$H$201,H56,$BA$2:$BA$201,"&lt;"&amp;BA56)=0,1,0),0)</f>
        <v>0</v>
      </c>
      <c r="BJ56" s="23" t="str">
        <f aca="false">IF(AND(BI56=1,INT(N(H56))&lt;=Config!$B$6),Y56,"")</f>
        <v/>
      </c>
      <c r="BK56" s="23" t="str">
        <f aca="false">IF(AND(BI56=1,INT(N(H56))&lt;=Config!$B$7),Y56,"")</f>
        <v/>
      </c>
      <c r="BL56" s="23" t="str">
        <f aca="false">IF(AND(BI56=1,INT(N(H56))&lt;=Config!$B$8),Y56,"")</f>
        <v/>
      </c>
      <c r="BM56" s="23" t="str">
        <f aca="false">IF(AND(BI56=1,INT(N(H56))&lt;=Config!$B$5),Y56,"")</f>
        <v/>
      </c>
      <c r="BN56" s="23" t="n">
        <f aca="false">IF(CD56=1,IF(COUNTIFS($AZ$2:$AZ$201,AZ56,$CD$2:$CD$201,1,$H$2:$H$201,"&lt;"&amp;H56)+COUNTIFS($AZ$2:$AZ$201,AZ56,$CD$2:$CD$201,1,$H$2:$H$201,H56,$BA$2:$BA$201,"&lt;"&amp;BA56)=0,1,0),0)</f>
        <v>0</v>
      </c>
      <c r="BO56" s="23" t="n">
        <f aca="false">IF(AND(BB56=1,ISNUMBER(M56)),1,0)</f>
        <v>0</v>
      </c>
      <c r="BP56" s="23" t="n">
        <f aca="false">IF(BO56=1,IF(COUNTIFS($AZ$2:$AZ$201,AZ56,$BO$2:$BO$201,1,$H$2:$H$201,"&lt;"&amp;H56)+COUNTIFS($AZ$2:$AZ$201,AZ56,$BO$2:$BO$201,1,$H$2:$H$201,H56,$BA$2:$BA$201,"&lt;"&amp;BA56)=0,1,0),0)</f>
        <v>0</v>
      </c>
      <c r="BQ56" s="23" t="str">
        <f aca="false">IF(AND(BP56=1,INT(N(H56))&lt;=Config!$B$5),M56,"")</f>
        <v/>
      </c>
      <c r="BR56" s="23" t="n">
        <f aca="false">IF(AND(BB56=1,OR(TRIM(X56)&lt;&gt;"",ISNUMBER(Y56))),1,0)</f>
        <v>0</v>
      </c>
      <c r="BS56" s="23" t="n">
        <f aca="false">IF(BR56=1,IF(COUNTIFS($AZ$2:$AZ$201,AZ56,$BR$2:$BR$201,1,$H$2:$H$201,"&lt;"&amp;H56)+COUNTIFS($AZ$2:$AZ$201,AZ56,$BR$2:$BR$201,1,$H$2:$H$201,H56,$BA$2:$BA$201,"&lt;"&amp;BA56)=0,1,0),0)</f>
        <v>0</v>
      </c>
      <c r="BT56" s="23" t="str">
        <f aca="false">IF(BS56=1,AZ56,"")</f>
        <v/>
      </c>
      <c r="BU56" s="23" t="n">
        <f aca="false">IF(AND(BB56=1,W56="Y",TRIM(X56)=""),1,0)</f>
        <v>0</v>
      </c>
      <c r="BV56" s="23" t="str">
        <f aca="false">IF(BB56=1,AN56&amp;"","")</f>
        <v/>
      </c>
      <c r="BW56" s="23" t="str">
        <f aca="false">IF(BB56=1,AO56&amp;"","")</f>
        <v/>
      </c>
      <c r="BX56" s="23" t="str">
        <f aca="false">IF(BB56=1,AP56&amp;"","")</f>
        <v/>
      </c>
      <c r="BY56" s="23" t="str">
        <f aca="false">IF(AND(BB56=1,ISNUMBER(AV56),INT(N(H56))&lt;=Config!$B$5),AV56,"")</f>
        <v/>
      </c>
      <c r="BZ56" s="23" t="str">
        <f aca="false">IF(BB56=1,IF(COUNTIFS($A$2:$A$201,$A56,$DC$2:$DC$201,1,$AR$2:$AR$201,"Y")&gt;0,"Y","N"),"")</f>
        <v/>
      </c>
      <c r="CA56" s="23" t="n">
        <f aca="false">IF(AND(BB56=1,AR56="maybe"),1,0)</f>
        <v>0</v>
      </c>
      <c r="CB56" s="23" t="n">
        <f aca="false">IF(CA56=1,IF(COUNTIFS($AZ$2:$AZ$201,AZ56,$CA$2:$CA$201,1,$H$2:$H$201,"&lt;"&amp;H56)+COUNTIFS($AZ$2:$AZ$201,AZ56,$CA$2:$CA$201,1,$H$2:$H$201,H56,$BA$2:$BA$201,"&lt;"&amp;BA56)=0,1,0),0)</f>
        <v>0</v>
      </c>
      <c r="CC56" s="23" t="n">
        <f aca="false">IF(AND(BB56=1,AR56="Y"),IF(COUNTIFS($AZ$2:$AZ$201,AZ56,$AR$2:$AR$201,"Y",$BB$2:$BB$201,1,$H$2:$H$201,"&lt;"&amp;H56)+COUNTIFS($AZ$2:$AZ$201,AZ56,$AR$2:$AR$201,"Y",$BB$2:$BB$201,1,$H$2:$H$201,H56,$BA$2:$BA$201,"&lt;"&amp;BA56)=0,1,0),0)</f>
        <v>0</v>
      </c>
      <c r="CD56" s="23" t="n">
        <f aca="false">IF(AND(BH56=1,N(Y56)&gt;=Config!$B$15),1,0)</f>
        <v>0</v>
      </c>
      <c r="CE56" s="23" t="n">
        <f aca="false">IF(AND(BB56=1,AT56="Y"),1,0)</f>
        <v>0</v>
      </c>
      <c r="CF56" s="23" t="n">
        <f aca="false">IF(CE56=1,IF(COUNTIFS($AZ$2:$AZ$201,AZ56,$CE$2:$CE$201,1,$H$2:$H$201,"&lt;"&amp;H56)+COUNTIFS($AZ$2:$AZ$201,AZ56,$CE$2:$CE$201,1,$H$2:$H$201,H56,$BA$2:$BA$201,"&lt;"&amp;BA56)=0,1,0),0)</f>
        <v>0</v>
      </c>
      <c r="CG56" s="23" t="n">
        <f aca="false">IF(AND(BB56=1,G56="warm-intro"),1,0)</f>
        <v>0</v>
      </c>
      <c r="CH56" s="23" t="n">
        <f aca="false">IF(CG56=1,IF(COUNTIFS($AZ$2:$AZ$201,AZ56,$CG$2:$CG$201,1,$H$2:$H$201,"&lt;"&amp;H56)+COUNTIFS($AZ$2:$AZ$201,AZ56,$CG$2:$CG$201,1,$H$2:$H$201,H56,$BA$2:$BA$201,"&lt;"&amp;BA56)=0,1,0),0)</f>
        <v>0</v>
      </c>
      <c r="CI56" s="23" t="n">
        <f aca="false">IF(AND(BB56=1,Q56="Y"),1,0)</f>
        <v>0</v>
      </c>
      <c r="CJ56" s="23" t="n">
        <f aca="false">IF(CI56=1,IF(COUNTIFS($AZ$2:$AZ$201,AZ56,$CI$2:$CI$201,1,$H$2:$H$201,"&lt;"&amp;H56)+COUNTIFS($AZ$2:$AZ$201,AZ56,$CI$2:$CI$201,1,$H$2:$H$201,H56,$BA$2:$BA$201,"&lt;"&amp;BA56)=0,1,0),0)</f>
        <v>0</v>
      </c>
      <c r="CK56" s="23" t="n">
        <f aca="false">IF(AND(BB56=1,AF56="Y"),1,0)</f>
        <v>0</v>
      </c>
      <c r="CL56" s="23" t="n">
        <f aca="false">IF(CK56=1,IF(COUNTIFS($AZ$2:$AZ$201,AZ56,$CK$2:$CK$201,1,$H$2:$H$201,"&lt;"&amp;H56)+COUNTIFS($AZ$2:$AZ$201,AZ56,$CK$2:$CK$201,1,$H$2:$H$201,H56,$BA$2:$BA$201,"&lt;"&amp;BA56)=0,1,0),0)</f>
        <v>0</v>
      </c>
      <c r="CM56" s="23" t="n">
        <f aca="false">IF(AND(BB56=1,U56="Y"),1,0)</f>
        <v>0</v>
      </c>
      <c r="CN56" s="23" t="n">
        <f aca="false">IF(CM56=1,IF(COUNTIFS($AZ$2:$AZ$201,AZ56,$CM$2:$CM$201,1,$H$2:$H$201,"&lt;"&amp;H56)+COUNTIFS($AZ$2:$AZ$201,AZ56,$CM$2:$CM$201,1,$H$2:$H$201,H56,$BA$2:$BA$201,"&lt;"&amp;BA56)=0,1,0),0)</f>
        <v>0</v>
      </c>
      <c r="CO56" s="23" t="n">
        <f aca="false">IF(AND(BB56=1,L56="Y"),1,0)</f>
        <v>0</v>
      </c>
      <c r="CP56" s="23" t="n">
        <f aca="false">IF(CO56=1,IF(COUNTIFS($AZ$2:$AZ$201,AZ56,$CO$2:$CO$201,1,$H$2:$H$201,"&lt;"&amp;H56)+COUNTIFS($AZ$2:$AZ$201,AZ56,$CO$2:$CO$201,1,$H$2:$H$201,H56,$BA$2:$BA$201,"&lt;"&amp;BA56)=0,1,0),0)</f>
        <v>0</v>
      </c>
      <c r="CQ56" s="23" t="n">
        <f aca="false">IF(AND(BB56=1,ISNUMBER(O56)),1,0)</f>
        <v>0</v>
      </c>
      <c r="CR56" s="23" t="n">
        <f aca="false">IF(CQ56=1,IF(COUNTIFS($AZ$2:$AZ$201,AZ56,$CQ$2:$CQ$201,1,$H$2:$H$201,"&lt;"&amp;H56)+COUNTIFS($AZ$2:$AZ$201,AZ56,$CQ$2:$CQ$201,1,$H$2:$H$201,H56,$BA$2:$BA$201,"&lt;"&amp;BA56)=0,1,0),0)</f>
        <v>0</v>
      </c>
      <c r="CS56" s="23" t="str">
        <f aca="false">IF(AND(CR56=1,INT(N(H56))&lt;=Config!$B$5),O56,"")</f>
        <v/>
      </c>
      <c r="CT56" s="23" t="str">
        <f aca="false">IF(AND(BB56=1,INT(N(H56))&lt;=Config!$B$5),AG56&amp;"","")</f>
        <v/>
      </c>
      <c r="CU56" s="23" t="n">
        <f aca="false">IF(AND(BB56=1,AU56="Y"),1,0)</f>
        <v>0</v>
      </c>
      <c r="CV56" s="23" t="n">
        <f aca="false">IF(CU56=1,IF(COUNTIFS($AZ$2:$AZ$201,AZ56,$CU$2:$CU$201,1,$H$2:$H$201,"&lt;"&amp;H56)+COUNTIFS($AZ$2:$AZ$201,AZ56,$CU$2:$CU$201,1,$H$2:$H$201,H56,$BA$2:$BA$201,"&lt;"&amp;BA56)=0,1,0),0)</f>
        <v>0</v>
      </c>
      <c r="CW56" s="23" t="str">
        <f aca="false">IF(BB56=1,IFERROR(MATCH($A56,INDEX(Clay_Offices!$A$2:$FZ$601,0,Sync!$C$5),0),""),"")</f>
        <v/>
      </c>
      <c r="CX56" s="23" t="str">
        <f aca="false">IF(CW56="","",IFERROR(INDEX(Clay_Offices!$A$2:$FZ$601,CW56,Sync!$C$7)&amp;"",""))</f>
        <v/>
      </c>
      <c r="CY56" s="23" t="str">
        <f aca="false">IF(CX56="","",IFERROR(INDEX(Lists!$K$2:$K$15,MATCH(CX56,Lists!$J$2:$J$15,0)),""))</f>
        <v/>
      </c>
      <c r="CZ56" s="23" t="str">
        <f aca="false">IF(CW56="","",IFERROR(INDEX(Clay_Offices!$A$2:$FZ$601,CW56,Sync!$C$17)&amp;"",""))</f>
        <v/>
      </c>
      <c r="DA56" s="35" t="str">
        <f aca="false">IF(CW56="","",IFERROR(N(INDEX(Clay_Offices!$A$2:$FZ$601,CW56,Sync!$C$16)),0))</f>
        <v/>
      </c>
      <c r="DB56" s="23" t="n">
        <f aca="false">IF(AND(BB56=1,OR(AR56="Y",AR56="N",AR56="maybe")),1,0)</f>
        <v>0</v>
      </c>
      <c r="DC56" s="23" t="n">
        <f aca="false">IF(AND(DB56=1),IF(COUNTIFS($A$2:$A$201,$A56,$DB$2:$DB$201,1,$H$2:$H$201,"&gt;"&amp;H56)+COUNTIFS($A$2:$A$201,$A56,$DB$2:$DB$201,1,$H$2:$H$201,H56,$BA$2:$BA$201,"&gt;"&amp;BA56)=0,1,0),0)</f>
        <v>0</v>
      </c>
      <c r="DD56" s="23" t="n">
        <f aca="false">IF(AND(DB56=1,INT(N(H56))&lt;=Config!$B$6),IF(COUNTIFS($AZ$2:$AZ$201,AZ56,$DB$2:$DB$201,1,$H$2:$H$201,"&gt;"&amp;H56,$H$2:$H$201,"&lt;"&amp;(Config!$B$6+1))+COUNTIFS($AZ$2:$AZ$201,AZ56,$DB$2:$DB$201,1,$H$2:$H$201,H56,$BA$2:$BA$201,"&gt;"&amp;BA56)=0,1,0),0)</f>
        <v>0</v>
      </c>
      <c r="DE56" s="23" t="n">
        <f aca="false">IF(AND(DB56=1,INT(N(H56))&lt;=Config!$B$7),IF(COUNTIFS($AZ$2:$AZ$201,AZ56,$DB$2:$DB$201,1,$H$2:$H$201,"&gt;"&amp;H56,$H$2:$H$201,"&lt;"&amp;(Config!$B$7+1))+COUNTIFS($AZ$2:$AZ$201,AZ56,$DB$2:$DB$201,1,$H$2:$H$201,H56,$BA$2:$BA$201,"&gt;"&amp;BA56)=0,1,0),0)</f>
        <v>0</v>
      </c>
      <c r="DF56" s="23" t="n">
        <f aca="false">IF(AND(DB56=1,INT(N(H56))&lt;=Config!$B$8),IF(COUNTIFS($AZ$2:$AZ$201,AZ56,$DB$2:$DB$201,1,$H$2:$H$201,"&gt;"&amp;H56,$H$2:$H$201,"&lt;"&amp;(Config!$B$8+1))+COUNTIFS($AZ$2:$AZ$201,AZ56,$DB$2:$DB$201,1,$H$2:$H$201,H56,$BA$2:$BA$201,"&gt;"&amp;BA56)=0,1,0),0)</f>
        <v>0</v>
      </c>
      <c r="DG56" s="23" t="n">
        <f aca="false">IF(AND(DB56=1,INT(N(H56))&lt;=Config!$B$5),IF(COUNTIFS($AZ$2:$AZ$201,AZ56,$DB$2:$DB$201,1,$H$2:$H$201,"&gt;"&amp;H56,$H$2:$H$201,"&lt;"&amp;(Config!$B$5+1))+COUNTIFS($AZ$2:$AZ$201,AZ56,$DB$2:$DB$201,1,$H$2:$H$201,H56,$BA$2:$BA$201,"&gt;"&amp;BA56)=0,1,0),0)</f>
        <v>0</v>
      </c>
      <c r="DH56" s="23" t="n">
        <f aca="false">IF(BB56=1,IF(COUNTIFS($AZ$2:$AZ$201,AZ56,$DD$2:$DD$201,1,$AR$2:$AR$201,"Y")&gt;0,1,0),0)</f>
        <v>0</v>
      </c>
      <c r="DI56" s="23" t="n">
        <f aca="false">IF(BB56=1,IF(COUNTIFS($AZ$2:$AZ$201,AZ56,$DE$2:$DE$201,1,$AR$2:$AR$201,"Y")&gt;0,1,0),0)</f>
        <v>0</v>
      </c>
      <c r="DJ56" s="23" t="n">
        <f aca="false">IF(BB56=1,IF(COUNTIFS($AZ$2:$AZ$201,AZ56,$DF$2:$DF$201,1,$AR$2:$AR$201,"Y")&gt;0,1,0),0)</f>
        <v>0</v>
      </c>
      <c r="DK56" s="23" t="n">
        <f aca="false">IF(BB56=1,IF(COUNTIFS($AZ$2:$AZ$201,AZ56,$DG$2:$DG$201,1,$AR$2:$AR$201,"Y")&gt;0,1,0),0)</f>
        <v>0</v>
      </c>
      <c r="DL56" s="23" t="n">
        <f aca="false">IF(AND(BF56=1,INT(N(H56))&lt;=Config!$B$6,DH56=1,EI56=0),1,0)</f>
        <v>0</v>
      </c>
      <c r="DM56" s="23" t="n">
        <f aca="false">IF(AND(BF56=1,INT(N(H56))&lt;=Config!$B$7,DI56=1,EI56=0),1,0)</f>
        <v>0</v>
      </c>
      <c r="DN56" s="23" t="n">
        <f aca="false">IF(AND(BF56=1,INT(N(H56))&lt;=Config!$B$8,DJ56=1,EI56=0),1,0)</f>
        <v>0</v>
      </c>
      <c r="DO56" s="23" t="n">
        <f aca="false">IF(AND(BF56=1,INT(N(H56))&lt;=Config!$B$5,DK56=1,EI56=0),1,0)</f>
        <v>0</v>
      </c>
      <c r="DP56" s="23" t="n">
        <f aca="false">IF(AND(CC56=1,INT(N(H56))&lt;=Config!$B$6,DH56=1,EI56=0),1,0)</f>
        <v>0</v>
      </c>
      <c r="DQ56" s="23" t="n">
        <f aca="false">IF(AND(CC56=1,INT(N(H56))&lt;=Config!$B$7,DI56=1,EI56=0),1,0)</f>
        <v>0</v>
      </c>
      <c r="DR56" s="23" t="n">
        <f aca="false">IF(AND(CC56=1,INT(N(H56))&lt;=Config!$B$8,DJ56=1,EI56=0),1,0)</f>
        <v>0</v>
      </c>
      <c r="DS56" s="23" t="n">
        <f aca="false">IF(AND(CC56=1,INT(N(H56))&lt;=Config!$B$5,DK56=1,EI56=0),1,0)</f>
        <v>0</v>
      </c>
      <c r="DT56" s="23" t="n">
        <f aca="false">IF(AND(CC56=1,INT(N(H56))&lt;=Config!$B$6,DH56=0),1,0)</f>
        <v>0</v>
      </c>
      <c r="DU56" s="23" t="n">
        <f aca="false">IF(AND(CC56=1,INT(N(H56))&lt;=Config!$B$7,DI56=0),1,0)</f>
        <v>0</v>
      </c>
      <c r="DV56" s="23" t="n">
        <f aca="false">IF(AND(CC56=1,INT(N(H56))&lt;=Config!$B$8,DJ56=0),1,0)</f>
        <v>0</v>
      </c>
      <c r="DW56" s="23" t="n">
        <f aca="false">IF(AND(CC56=1,INT(N(H56))&lt;=Config!$B$5,DK56=0),1,0)</f>
        <v>0</v>
      </c>
      <c r="DX56" s="23" t="n">
        <f aca="false">IF(TRIM($A56)="",0,ISTEXT(M56)+ISTEXT(O56)+ISTEXT(Y56)+ISTEXT(Z56)+ISTEXT(AA56)+ISTEXT(AV56))</f>
        <v>0</v>
      </c>
      <c r="DY56" s="23" t="n">
        <f aca="false">IF(BB56=1,IF(H56&lt;&gt;INT(H56),1,0),0)</f>
        <v>0</v>
      </c>
      <c r="DZ56" s="23" t="str">
        <f aca="false">IF(TRIM($A56)="","",IF(TRIM(B56)="",SUBSTITUTE(SUBSTITUTE(SUBSTITUTE(SUBSTITUTE(SUBSTITUTE(SUBSTITUTE(LOWER(TRIM($A56)),"~",""),"*",""),"?",""),"&lt;",""),"&gt;",""),"=",""),SUBSTITUTE(SUBSTITUTE(SUBSTITUTE(SUBSTITUTE(SUBSTITUTE(SUBSTITUTE(LOWER(TRIM(B56)),"~",""),"*",""),"?",""),"&lt;",""),"&gt;",""),"=","")))</f>
        <v/>
      </c>
      <c r="EA56" s="23" t="str">
        <f aca="false">IF(CW56="","",IFERROR(IF(LEFT(LOWER(TRIM(INDEX(Clay_Offices!$A$2:$FZ$601,CW56,Sync!$C$19)&amp;"")),4)="grp-",SUBSTITUTE(SUBSTITUTE(SUBSTITUTE(SUBSTITUTE(SUBSTITUTE(SUBSTITUTE(LOWER(TRIM(INDEX(Clay_Offices!$A$2:$FZ$601,CW56,Sync!$C$19)&amp;"")),"~",""),"*",""),"?",""),"&lt;",""),"&gt;",""),"=",""),""),""))</f>
        <v/>
      </c>
      <c r="EB56" s="23" t="str">
        <f aca="false">IF(EA56&lt;&gt;"",DZ56,"")</f>
        <v/>
      </c>
      <c r="EC56" s="23" t="str">
        <f aca="false">IF(BC56=1,AZ56,"")</f>
        <v/>
      </c>
      <c r="ED56" s="23" t="str">
        <f aca="false">IF(TRIM($A56)="","",IFERROR(INDEX($A$2:$A$201,MATCH(AZ56,$EC$2:$EC$201,0))&amp;"",$A56&amp;""))</f>
        <v/>
      </c>
      <c r="EE56" s="23" t="n">
        <f aca="false">IF(BB56=1,IF(COUNTIFS($A$2:$A$201,$A56,$BB$2:$BB$201,1,$H$2:$H$201,"&lt;"&amp;H56)+COUNTIFS($A$2:$A$201,$A56,$BB$2:$BB$201,1,$H$2:$H$201,H56,$BA$2:$BA$201,"&lt;"&amp;BA56)=0,1,0),0)</f>
        <v>0</v>
      </c>
      <c r="EF56" s="23" t="n">
        <f aca="false">IF(BC56=1,IF(COUNTIFS($AZ$2:$AZ$201,AZ56,$EE$2:$EE$201,1)&gt;1,1,0),0)</f>
        <v>0</v>
      </c>
      <c r="EG56" s="23" t="n">
        <f aca="false">IF(AND(CQ56=1),IF(COUNTIFS($AZ$2:$AZ$201,AZ56,$CQ$2:$CQ$201,1,$H$2:$H$201,"&gt;"&amp;H56)+COUNTIFS($AZ$2:$AZ$201,AZ56,$CQ$2:$CQ$201,1,$H$2:$H$201,H56,$BA$2:$BA$201,"&gt;"&amp;BA56)=0,1,0),0)</f>
        <v>0</v>
      </c>
      <c r="EH56" s="23" t="str">
        <f aca="false">IF(BB56=1,IF(COUNTIFS($AZ$2:$AZ$201,AZ56,$EG$2:$EG$201,1)=0,"",SUMIFS($O$2:$O$201,$AZ$2:$AZ$201,AZ56,$EG$2:$EG$201,1)),"")</f>
        <v/>
      </c>
      <c r="EI56" s="23" t="n">
        <f aca="false">IF(AND(ISNUMBER(EH56),OR(N(EH56)&lt;Config!$B$31,N(EH56)&gt;Config!$B$33)),1,0)</f>
        <v>0</v>
      </c>
      <c r="EJ56" s="23" t="n">
        <f aca="false">IF(AND(ISNUMBER(EH56),N(EH56)&gt;=Config!$B$31,N(EH56)&lt;Config!$B$32),1,0)</f>
        <v>0</v>
      </c>
      <c r="EK56" s="23" t="n">
        <f aca="false">IF(AND(BF56=1,INT(N(H56))&lt;=Config!$B$6,DH56=1,EI56=1),1,0)</f>
        <v>0</v>
      </c>
      <c r="EL56" s="23" t="n">
        <f aca="false">IF(AND(BF56=1,INT(N(H56))&lt;=Config!$B$7,DI56=1,EI56=1),1,0)</f>
        <v>0</v>
      </c>
      <c r="EM56" s="23" t="n">
        <f aca="false">IF(AND(BF56=1,INT(N(H56))&lt;=Config!$B$8,DJ56=1,EI56=1),1,0)</f>
        <v>0</v>
      </c>
      <c r="EN56" s="23" t="n">
        <f aca="false">IF(AND(BF56=1,INT(N(H56))&lt;=Config!$B$5,DK56=1,EI56=1),1,0)</f>
        <v>0</v>
      </c>
      <c r="EO56" s="23" t="n">
        <f aca="false">IF(AND(DL56=1,EJ56=1),1,0)</f>
        <v>0</v>
      </c>
      <c r="EP56" s="23" t="n">
        <f aca="false">IF(AND(DM56=1,EJ56=1),1,0)</f>
        <v>0</v>
      </c>
      <c r="EQ56" s="23" t="n">
        <f aca="false">IF(AND(DN56=1,EJ56=1),1,0)</f>
        <v>0</v>
      </c>
      <c r="ER56" s="23" t="n">
        <f aca="false">IF(AND(DO56=1,EJ56=1),1,0)</f>
        <v>0</v>
      </c>
    </row>
    <row r="57" customFormat="false" ht="15" hidden="false" customHeight="false" outlineLevel="0" collapsed="false">
      <c r="G57" s="32"/>
      <c r="H57" s="33"/>
      <c r="I57" s="32"/>
      <c r="L57" s="32"/>
      <c r="Q57" s="32"/>
      <c r="U57" s="32"/>
      <c r="W57" s="32"/>
      <c r="AC57" s="32"/>
      <c r="AF57" s="32"/>
      <c r="AI57" s="32"/>
      <c r="AJ57" s="32"/>
      <c r="AN57" s="32"/>
      <c r="AR57" s="32"/>
      <c r="AT57" s="32"/>
      <c r="AU57" s="32"/>
      <c r="AW57" s="32"/>
      <c r="AY57" s="34" t="str">
        <f aca="false">IF(TRIM($A57)="","",IF(AND(LEFT($A57,6)="SAMPLE",Config!$B$19&lt;&gt;"Y"),"",IF(NOT(ISNUMBER(H57)),"call_date is blank or not a date",IF(Sync!$C$5="","Clay paste is empty or has no row_id column: paste the Clay export on Clay_Offices",IF(CW57="","row_id not found in the Clay paste: add the Clay row or fix the row_id",IF(AND(ISNUMBER(CY57),CY57&gt;=1,CY57&lt;=5),"Clay status is "&amp;CX57&amp;": set call_done or later",IF(AND(BD57=1,CZ57&lt;&gt;BZ57),"Clay yes_in_principle should be "&amp;BZ57,IF(AND(BD57=1,DA57&lt;&gt;H57),"Clay call_date should be "&amp;TEXT(H57,"yyyy-mm-dd"),""))))))))</f>
        <v/>
      </c>
      <c r="AZ57" s="23" t="str">
        <f aca="false">IF(TRIM($A57)="","",IF(TRIM(C57)&lt;&gt;"",SUBSTITUTE(SUBSTITUTE(SUBSTITUTE(SUBSTITUTE(SUBSTITUTE(SUBSTITUTE(LOWER(TRIM(C57)),"~",""),"*",""),"?",""),"&lt;",""),"&gt;",""),"=",""),IF(EA57&lt;&gt;"",EA57,IFERROR(INDEX($EA$2:$EA$201,MATCH(DZ57,$EB$2:$EB$201,0)),DZ57))))</f>
        <v/>
      </c>
      <c r="BA57" s="23" t="n">
        <f aca="false">ROW()</f>
        <v>57</v>
      </c>
      <c r="BB57" s="23" t="n">
        <f aca="false">IF(AND(TRIM($A57)&lt;&gt;"",ISNUMBER(H57)),IF(AND(LEFT($A57,6)="SAMPLE",Config!$B$19&lt;&gt;"Y"),0,1),0)</f>
        <v>0</v>
      </c>
      <c r="BC57" s="23" t="n">
        <f aca="false">IF(BB57=1,IF(COUNTIFS($AZ$2:$AZ$201,AZ57,$BB$2:$BB$201,1,$H$2:$H$201,"&lt;"&amp;H57)+COUNTIFS($AZ$2:$AZ$201,AZ57,$BB$2:$BB$201,1,$H$2:$H$201,H57,$BA$2:$BA$201,"&lt;"&amp;BA57)=0,1,0),0)</f>
        <v>0</v>
      </c>
      <c r="BD57" s="23" t="n">
        <f aca="false">IF(BB57=1,IF(COUNTIFS($A$2:$A$201,$A57,$BB$2:$BB$201,1,$H$2:$H$201,"&gt;"&amp;H57)+COUNTIFS($A$2:$A$201,$A57,$BB$2:$BB$201,1,$H$2:$H$201,H57,$BA$2:$BA$201,"&gt;"&amp;BA57)=0,1,0),0)</f>
        <v>0</v>
      </c>
      <c r="BE57" s="23" t="n">
        <f aca="false">IF(AND(BB57=1,AR57="Y",AC57="Y",TRIM(AH57)&lt;&gt;""),1,0)</f>
        <v>0</v>
      </c>
      <c r="BF57" s="23" t="n">
        <f aca="false">IF(BE57=1,IF(COUNTIFS($AZ$2:$AZ$201,AZ57,$BE$2:$BE$201,1,$H$2:$H$201,"&lt;"&amp;H57)+COUNTIFS($AZ$2:$AZ$201,AZ57,$BE$2:$BE$201,1,$H$2:$H$201,H57,$BA$2:$BA$201,"&lt;"&amp;BA57)=0,1,0),0)</f>
        <v>0</v>
      </c>
      <c r="BG57" s="23" t="n">
        <f aca="false">IF(AND(BB57=1,AR57="Y",BE57=0),1,0)</f>
        <v>0</v>
      </c>
      <c r="BH57" s="23" t="n">
        <f aca="false">IF(AND(BB57=1,ISNUMBER(Y57)),1,0)</f>
        <v>0</v>
      </c>
      <c r="BI57" s="23" t="n">
        <f aca="false">IF(BH57=1,IF(COUNTIFS($AZ$2:$AZ$201,AZ57,$BH$2:$BH$201,1,$H$2:$H$201,"&lt;"&amp;H57)+COUNTIFS($AZ$2:$AZ$201,AZ57,$BH$2:$BH$201,1,$H$2:$H$201,H57,$BA$2:$BA$201,"&lt;"&amp;BA57)=0,1,0),0)</f>
        <v>0</v>
      </c>
      <c r="BJ57" s="23" t="str">
        <f aca="false">IF(AND(BI57=1,INT(N(H57))&lt;=Config!$B$6),Y57,"")</f>
        <v/>
      </c>
      <c r="BK57" s="23" t="str">
        <f aca="false">IF(AND(BI57=1,INT(N(H57))&lt;=Config!$B$7),Y57,"")</f>
        <v/>
      </c>
      <c r="BL57" s="23" t="str">
        <f aca="false">IF(AND(BI57=1,INT(N(H57))&lt;=Config!$B$8),Y57,"")</f>
        <v/>
      </c>
      <c r="BM57" s="23" t="str">
        <f aca="false">IF(AND(BI57=1,INT(N(H57))&lt;=Config!$B$5),Y57,"")</f>
        <v/>
      </c>
      <c r="BN57" s="23" t="n">
        <f aca="false">IF(CD57=1,IF(COUNTIFS($AZ$2:$AZ$201,AZ57,$CD$2:$CD$201,1,$H$2:$H$201,"&lt;"&amp;H57)+COUNTIFS($AZ$2:$AZ$201,AZ57,$CD$2:$CD$201,1,$H$2:$H$201,H57,$BA$2:$BA$201,"&lt;"&amp;BA57)=0,1,0),0)</f>
        <v>0</v>
      </c>
      <c r="BO57" s="23" t="n">
        <f aca="false">IF(AND(BB57=1,ISNUMBER(M57)),1,0)</f>
        <v>0</v>
      </c>
      <c r="BP57" s="23" t="n">
        <f aca="false">IF(BO57=1,IF(COUNTIFS($AZ$2:$AZ$201,AZ57,$BO$2:$BO$201,1,$H$2:$H$201,"&lt;"&amp;H57)+COUNTIFS($AZ$2:$AZ$201,AZ57,$BO$2:$BO$201,1,$H$2:$H$201,H57,$BA$2:$BA$201,"&lt;"&amp;BA57)=0,1,0),0)</f>
        <v>0</v>
      </c>
      <c r="BQ57" s="23" t="str">
        <f aca="false">IF(AND(BP57=1,INT(N(H57))&lt;=Config!$B$5),M57,"")</f>
        <v/>
      </c>
      <c r="BR57" s="23" t="n">
        <f aca="false">IF(AND(BB57=1,OR(TRIM(X57)&lt;&gt;"",ISNUMBER(Y57))),1,0)</f>
        <v>0</v>
      </c>
      <c r="BS57" s="23" t="n">
        <f aca="false">IF(BR57=1,IF(COUNTIFS($AZ$2:$AZ$201,AZ57,$BR$2:$BR$201,1,$H$2:$H$201,"&lt;"&amp;H57)+COUNTIFS($AZ$2:$AZ$201,AZ57,$BR$2:$BR$201,1,$H$2:$H$201,H57,$BA$2:$BA$201,"&lt;"&amp;BA57)=0,1,0),0)</f>
        <v>0</v>
      </c>
      <c r="BT57" s="23" t="str">
        <f aca="false">IF(BS57=1,AZ57,"")</f>
        <v/>
      </c>
      <c r="BU57" s="23" t="n">
        <f aca="false">IF(AND(BB57=1,W57="Y",TRIM(X57)=""),1,0)</f>
        <v>0</v>
      </c>
      <c r="BV57" s="23" t="str">
        <f aca="false">IF(BB57=1,AN57&amp;"","")</f>
        <v/>
      </c>
      <c r="BW57" s="23" t="str">
        <f aca="false">IF(BB57=1,AO57&amp;"","")</f>
        <v/>
      </c>
      <c r="BX57" s="23" t="str">
        <f aca="false">IF(BB57=1,AP57&amp;"","")</f>
        <v/>
      </c>
      <c r="BY57" s="23" t="str">
        <f aca="false">IF(AND(BB57=1,ISNUMBER(AV57),INT(N(H57))&lt;=Config!$B$5),AV57,"")</f>
        <v/>
      </c>
      <c r="BZ57" s="23" t="str">
        <f aca="false">IF(BB57=1,IF(COUNTIFS($A$2:$A$201,$A57,$DC$2:$DC$201,1,$AR$2:$AR$201,"Y")&gt;0,"Y","N"),"")</f>
        <v/>
      </c>
      <c r="CA57" s="23" t="n">
        <f aca="false">IF(AND(BB57=1,AR57="maybe"),1,0)</f>
        <v>0</v>
      </c>
      <c r="CB57" s="23" t="n">
        <f aca="false">IF(CA57=1,IF(COUNTIFS($AZ$2:$AZ$201,AZ57,$CA$2:$CA$201,1,$H$2:$H$201,"&lt;"&amp;H57)+COUNTIFS($AZ$2:$AZ$201,AZ57,$CA$2:$CA$201,1,$H$2:$H$201,H57,$BA$2:$BA$201,"&lt;"&amp;BA57)=0,1,0),0)</f>
        <v>0</v>
      </c>
      <c r="CC57" s="23" t="n">
        <f aca="false">IF(AND(BB57=1,AR57="Y"),IF(COUNTIFS($AZ$2:$AZ$201,AZ57,$AR$2:$AR$201,"Y",$BB$2:$BB$201,1,$H$2:$H$201,"&lt;"&amp;H57)+COUNTIFS($AZ$2:$AZ$201,AZ57,$AR$2:$AR$201,"Y",$BB$2:$BB$201,1,$H$2:$H$201,H57,$BA$2:$BA$201,"&lt;"&amp;BA57)=0,1,0),0)</f>
        <v>0</v>
      </c>
      <c r="CD57" s="23" t="n">
        <f aca="false">IF(AND(BH57=1,N(Y57)&gt;=Config!$B$15),1,0)</f>
        <v>0</v>
      </c>
      <c r="CE57" s="23" t="n">
        <f aca="false">IF(AND(BB57=1,AT57="Y"),1,0)</f>
        <v>0</v>
      </c>
      <c r="CF57" s="23" t="n">
        <f aca="false">IF(CE57=1,IF(COUNTIFS($AZ$2:$AZ$201,AZ57,$CE$2:$CE$201,1,$H$2:$H$201,"&lt;"&amp;H57)+COUNTIFS($AZ$2:$AZ$201,AZ57,$CE$2:$CE$201,1,$H$2:$H$201,H57,$BA$2:$BA$201,"&lt;"&amp;BA57)=0,1,0),0)</f>
        <v>0</v>
      </c>
      <c r="CG57" s="23" t="n">
        <f aca="false">IF(AND(BB57=1,G57="warm-intro"),1,0)</f>
        <v>0</v>
      </c>
      <c r="CH57" s="23" t="n">
        <f aca="false">IF(CG57=1,IF(COUNTIFS($AZ$2:$AZ$201,AZ57,$CG$2:$CG$201,1,$H$2:$H$201,"&lt;"&amp;H57)+COUNTIFS($AZ$2:$AZ$201,AZ57,$CG$2:$CG$201,1,$H$2:$H$201,H57,$BA$2:$BA$201,"&lt;"&amp;BA57)=0,1,0),0)</f>
        <v>0</v>
      </c>
      <c r="CI57" s="23" t="n">
        <f aca="false">IF(AND(BB57=1,Q57="Y"),1,0)</f>
        <v>0</v>
      </c>
      <c r="CJ57" s="23" t="n">
        <f aca="false">IF(CI57=1,IF(COUNTIFS($AZ$2:$AZ$201,AZ57,$CI$2:$CI$201,1,$H$2:$H$201,"&lt;"&amp;H57)+COUNTIFS($AZ$2:$AZ$201,AZ57,$CI$2:$CI$201,1,$H$2:$H$201,H57,$BA$2:$BA$201,"&lt;"&amp;BA57)=0,1,0),0)</f>
        <v>0</v>
      </c>
      <c r="CK57" s="23" t="n">
        <f aca="false">IF(AND(BB57=1,AF57="Y"),1,0)</f>
        <v>0</v>
      </c>
      <c r="CL57" s="23" t="n">
        <f aca="false">IF(CK57=1,IF(COUNTIFS($AZ$2:$AZ$201,AZ57,$CK$2:$CK$201,1,$H$2:$H$201,"&lt;"&amp;H57)+COUNTIFS($AZ$2:$AZ$201,AZ57,$CK$2:$CK$201,1,$H$2:$H$201,H57,$BA$2:$BA$201,"&lt;"&amp;BA57)=0,1,0),0)</f>
        <v>0</v>
      </c>
      <c r="CM57" s="23" t="n">
        <f aca="false">IF(AND(BB57=1,U57="Y"),1,0)</f>
        <v>0</v>
      </c>
      <c r="CN57" s="23" t="n">
        <f aca="false">IF(CM57=1,IF(COUNTIFS($AZ$2:$AZ$201,AZ57,$CM$2:$CM$201,1,$H$2:$H$201,"&lt;"&amp;H57)+COUNTIFS($AZ$2:$AZ$201,AZ57,$CM$2:$CM$201,1,$H$2:$H$201,H57,$BA$2:$BA$201,"&lt;"&amp;BA57)=0,1,0),0)</f>
        <v>0</v>
      </c>
      <c r="CO57" s="23" t="n">
        <f aca="false">IF(AND(BB57=1,L57="Y"),1,0)</f>
        <v>0</v>
      </c>
      <c r="CP57" s="23" t="n">
        <f aca="false">IF(CO57=1,IF(COUNTIFS($AZ$2:$AZ$201,AZ57,$CO$2:$CO$201,1,$H$2:$H$201,"&lt;"&amp;H57)+COUNTIFS($AZ$2:$AZ$201,AZ57,$CO$2:$CO$201,1,$H$2:$H$201,H57,$BA$2:$BA$201,"&lt;"&amp;BA57)=0,1,0),0)</f>
        <v>0</v>
      </c>
      <c r="CQ57" s="23" t="n">
        <f aca="false">IF(AND(BB57=1,ISNUMBER(O57)),1,0)</f>
        <v>0</v>
      </c>
      <c r="CR57" s="23" t="n">
        <f aca="false">IF(CQ57=1,IF(COUNTIFS($AZ$2:$AZ$201,AZ57,$CQ$2:$CQ$201,1,$H$2:$H$201,"&lt;"&amp;H57)+COUNTIFS($AZ$2:$AZ$201,AZ57,$CQ$2:$CQ$201,1,$H$2:$H$201,H57,$BA$2:$BA$201,"&lt;"&amp;BA57)=0,1,0),0)</f>
        <v>0</v>
      </c>
      <c r="CS57" s="23" t="str">
        <f aca="false">IF(AND(CR57=1,INT(N(H57))&lt;=Config!$B$5),O57,"")</f>
        <v/>
      </c>
      <c r="CT57" s="23" t="str">
        <f aca="false">IF(AND(BB57=1,INT(N(H57))&lt;=Config!$B$5),AG57&amp;"","")</f>
        <v/>
      </c>
      <c r="CU57" s="23" t="n">
        <f aca="false">IF(AND(BB57=1,AU57="Y"),1,0)</f>
        <v>0</v>
      </c>
      <c r="CV57" s="23" t="n">
        <f aca="false">IF(CU57=1,IF(COUNTIFS($AZ$2:$AZ$201,AZ57,$CU$2:$CU$201,1,$H$2:$H$201,"&lt;"&amp;H57)+COUNTIFS($AZ$2:$AZ$201,AZ57,$CU$2:$CU$201,1,$H$2:$H$201,H57,$BA$2:$BA$201,"&lt;"&amp;BA57)=0,1,0),0)</f>
        <v>0</v>
      </c>
      <c r="CW57" s="23" t="str">
        <f aca="false">IF(BB57=1,IFERROR(MATCH($A57,INDEX(Clay_Offices!$A$2:$FZ$601,0,Sync!$C$5),0),""),"")</f>
        <v/>
      </c>
      <c r="CX57" s="23" t="str">
        <f aca="false">IF(CW57="","",IFERROR(INDEX(Clay_Offices!$A$2:$FZ$601,CW57,Sync!$C$7)&amp;"",""))</f>
        <v/>
      </c>
      <c r="CY57" s="23" t="str">
        <f aca="false">IF(CX57="","",IFERROR(INDEX(Lists!$K$2:$K$15,MATCH(CX57,Lists!$J$2:$J$15,0)),""))</f>
        <v/>
      </c>
      <c r="CZ57" s="23" t="str">
        <f aca="false">IF(CW57="","",IFERROR(INDEX(Clay_Offices!$A$2:$FZ$601,CW57,Sync!$C$17)&amp;"",""))</f>
        <v/>
      </c>
      <c r="DA57" s="35" t="str">
        <f aca="false">IF(CW57="","",IFERROR(N(INDEX(Clay_Offices!$A$2:$FZ$601,CW57,Sync!$C$16)),0))</f>
        <v/>
      </c>
      <c r="DB57" s="23" t="n">
        <f aca="false">IF(AND(BB57=1,OR(AR57="Y",AR57="N",AR57="maybe")),1,0)</f>
        <v>0</v>
      </c>
      <c r="DC57" s="23" t="n">
        <f aca="false">IF(AND(DB57=1),IF(COUNTIFS($A$2:$A$201,$A57,$DB$2:$DB$201,1,$H$2:$H$201,"&gt;"&amp;H57)+COUNTIFS($A$2:$A$201,$A57,$DB$2:$DB$201,1,$H$2:$H$201,H57,$BA$2:$BA$201,"&gt;"&amp;BA57)=0,1,0),0)</f>
        <v>0</v>
      </c>
      <c r="DD57" s="23" t="n">
        <f aca="false">IF(AND(DB57=1,INT(N(H57))&lt;=Config!$B$6),IF(COUNTIFS($AZ$2:$AZ$201,AZ57,$DB$2:$DB$201,1,$H$2:$H$201,"&gt;"&amp;H57,$H$2:$H$201,"&lt;"&amp;(Config!$B$6+1))+COUNTIFS($AZ$2:$AZ$201,AZ57,$DB$2:$DB$201,1,$H$2:$H$201,H57,$BA$2:$BA$201,"&gt;"&amp;BA57)=0,1,0),0)</f>
        <v>0</v>
      </c>
      <c r="DE57" s="23" t="n">
        <f aca="false">IF(AND(DB57=1,INT(N(H57))&lt;=Config!$B$7),IF(COUNTIFS($AZ$2:$AZ$201,AZ57,$DB$2:$DB$201,1,$H$2:$H$201,"&gt;"&amp;H57,$H$2:$H$201,"&lt;"&amp;(Config!$B$7+1))+COUNTIFS($AZ$2:$AZ$201,AZ57,$DB$2:$DB$201,1,$H$2:$H$201,H57,$BA$2:$BA$201,"&gt;"&amp;BA57)=0,1,0),0)</f>
        <v>0</v>
      </c>
      <c r="DF57" s="23" t="n">
        <f aca="false">IF(AND(DB57=1,INT(N(H57))&lt;=Config!$B$8),IF(COUNTIFS($AZ$2:$AZ$201,AZ57,$DB$2:$DB$201,1,$H$2:$H$201,"&gt;"&amp;H57,$H$2:$H$201,"&lt;"&amp;(Config!$B$8+1))+COUNTIFS($AZ$2:$AZ$201,AZ57,$DB$2:$DB$201,1,$H$2:$H$201,H57,$BA$2:$BA$201,"&gt;"&amp;BA57)=0,1,0),0)</f>
        <v>0</v>
      </c>
      <c r="DG57" s="23" t="n">
        <f aca="false">IF(AND(DB57=1,INT(N(H57))&lt;=Config!$B$5),IF(COUNTIFS($AZ$2:$AZ$201,AZ57,$DB$2:$DB$201,1,$H$2:$H$201,"&gt;"&amp;H57,$H$2:$H$201,"&lt;"&amp;(Config!$B$5+1))+COUNTIFS($AZ$2:$AZ$201,AZ57,$DB$2:$DB$201,1,$H$2:$H$201,H57,$BA$2:$BA$201,"&gt;"&amp;BA57)=0,1,0),0)</f>
        <v>0</v>
      </c>
      <c r="DH57" s="23" t="n">
        <f aca="false">IF(BB57=1,IF(COUNTIFS($AZ$2:$AZ$201,AZ57,$DD$2:$DD$201,1,$AR$2:$AR$201,"Y")&gt;0,1,0),0)</f>
        <v>0</v>
      </c>
      <c r="DI57" s="23" t="n">
        <f aca="false">IF(BB57=1,IF(COUNTIFS($AZ$2:$AZ$201,AZ57,$DE$2:$DE$201,1,$AR$2:$AR$201,"Y")&gt;0,1,0),0)</f>
        <v>0</v>
      </c>
      <c r="DJ57" s="23" t="n">
        <f aca="false">IF(BB57=1,IF(COUNTIFS($AZ$2:$AZ$201,AZ57,$DF$2:$DF$201,1,$AR$2:$AR$201,"Y")&gt;0,1,0),0)</f>
        <v>0</v>
      </c>
      <c r="DK57" s="23" t="n">
        <f aca="false">IF(BB57=1,IF(COUNTIFS($AZ$2:$AZ$201,AZ57,$DG$2:$DG$201,1,$AR$2:$AR$201,"Y")&gt;0,1,0),0)</f>
        <v>0</v>
      </c>
      <c r="DL57" s="23" t="n">
        <f aca="false">IF(AND(BF57=1,INT(N(H57))&lt;=Config!$B$6,DH57=1,EI57=0),1,0)</f>
        <v>0</v>
      </c>
      <c r="DM57" s="23" t="n">
        <f aca="false">IF(AND(BF57=1,INT(N(H57))&lt;=Config!$B$7,DI57=1,EI57=0),1,0)</f>
        <v>0</v>
      </c>
      <c r="DN57" s="23" t="n">
        <f aca="false">IF(AND(BF57=1,INT(N(H57))&lt;=Config!$B$8,DJ57=1,EI57=0),1,0)</f>
        <v>0</v>
      </c>
      <c r="DO57" s="23" t="n">
        <f aca="false">IF(AND(BF57=1,INT(N(H57))&lt;=Config!$B$5,DK57=1,EI57=0),1,0)</f>
        <v>0</v>
      </c>
      <c r="DP57" s="23" t="n">
        <f aca="false">IF(AND(CC57=1,INT(N(H57))&lt;=Config!$B$6,DH57=1,EI57=0),1,0)</f>
        <v>0</v>
      </c>
      <c r="DQ57" s="23" t="n">
        <f aca="false">IF(AND(CC57=1,INT(N(H57))&lt;=Config!$B$7,DI57=1,EI57=0),1,0)</f>
        <v>0</v>
      </c>
      <c r="DR57" s="23" t="n">
        <f aca="false">IF(AND(CC57=1,INT(N(H57))&lt;=Config!$B$8,DJ57=1,EI57=0),1,0)</f>
        <v>0</v>
      </c>
      <c r="DS57" s="23" t="n">
        <f aca="false">IF(AND(CC57=1,INT(N(H57))&lt;=Config!$B$5,DK57=1,EI57=0),1,0)</f>
        <v>0</v>
      </c>
      <c r="DT57" s="23" t="n">
        <f aca="false">IF(AND(CC57=1,INT(N(H57))&lt;=Config!$B$6,DH57=0),1,0)</f>
        <v>0</v>
      </c>
      <c r="DU57" s="23" t="n">
        <f aca="false">IF(AND(CC57=1,INT(N(H57))&lt;=Config!$B$7,DI57=0),1,0)</f>
        <v>0</v>
      </c>
      <c r="DV57" s="23" t="n">
        <f aca="false">IF(AND(CC57=1,INT(N(H57))&lt;=Config!$B$8,DJ57=0),1,0)</f>
        <v>0</v>
      </c>
      <c r="DW57" s="23" t="n">
        <f aca="false">IF(AND(CC57=1,INT(N(H57))&lt;=Config!$B$5,DK57=0),1,0)</f>
        <v>0</v>
      </c>
      <c r="DX57" s="23" t="n">
        <f aca="false">IF(TRIM($A57)="",0,ISTEXT(M57)+ISTEXT(O57)+ISTEXT(Y57)+ISTEXT(Z57)+ISTEXT(AA57)+ISTEXT(AV57))</f>
        <v>0</v>
      </c>
      <c r="DY57" s="23" t="n">
        <f aca="false">IF(BB57=1,IF(H57&lt;&gt;INT(H57),1,0),0)</f>
        <v>0</v>
      </c>
      <c r="DZ57" s="23" t="str">
        <f aca="false">IF(TRIM($A57)="","",IF(TRIM(B57)="",SUBSTITUTE(SUBSTITUTE(SUBSTITUTE(SUBSTITUTE(SUBSTITUTE(SUBSTITUTE(LOWER(TRIM($A57)),"~",""),"*",""),"?",""),"&lt;",""),"&gt;",""),"=",""),SUBSTITUTE(SUBSTITUTE(SUBSTITUTE(SUBSTITUTE(SUBSTITUTE(SUBSTITUTE(LOWER(TRIM(B57)),"~",""),"*",""),"?",""),"&lt;",""),"&gt;",""),"=","")))</f>
        <v/>
      </c>
      <c r="EA57" s="23" t="str">
        <f aca="false">IF(CW57="","",IFERROR(IF(LEFT(LOWER(TRIM(INDEX(Clay_Offices!$A$2:$FZ$601,CW57,Sync!$C$19)&amp;"")),4)="grp-",SUBSTITUTE(SUBSTITUTE(SUBSTITUTE(SUBSTITUTE(SUBSTITUTE(SUBSTITUTE(LOWER(TRIM(INDEX(Clay_Offices!$A$2:$FZ$601,CW57,Sync!$C$19)&amp;"")),"~",""),"*",""),"?",""),"&lt;",""),"&gt;",""),"=",""),""),""))</f>
        <v/>
      </c>
      <c r="EB57" s="23" t="str">
        <f aca="false">IF(EA57&lt;&gt;"",DZ57,"")</f>
        <v/>
      </c>
      <c r="EC57" s="23" t="str">
        <f aca="false">IF(BC57=1,AZ57,"")</f>
        <v/>
      </c>
      <c r="ED57" s="23" t="str">
        <f aca="false">IF(TRIM($A57)="","",IFERROR(INDEX($A$2:$A$201,MATCH(AZ57,$EC$2:$EC$201,0))&amp;"",$A57&amp;""))</f>
        <v/>
      </c>
      <c r="EE57" s="23" t="n">
        <f aca="false">IF(BB57=1,IF(COUNTIFS($A$2:$A$201,$A57,$BB$2:$BB$201,1,$H$2:$H$201,"&lt;"&amp;H57)+COUNTIFS($A$2:$A$201,$A57,$BB$2:$BB$201,1,$H$2:$H$201,H57,$BA$2:$BA$201,"&lt;"&amp;BA57)=0,1,0),0)</f>
        <v>0</v>
      </c>
      <c r="EF57" s="23" t="n">
        <f aca="false">IF(BC57=1,IF(COUNTIFS($AZ$2:$AZ$201,AZ57,$EE$2:$EE$201,1)&gt;1,1,0),0)</f>
        <v>0</v>
      </c>
      <c r="EG57" s="23" t="n">
        <f aca="false">IF(AND(CQ57=1),IF(COUNTIFS($AZ$2:$AZ$201,AZ57,$CQ$2:$CQ$201,1,$H$2:$H$201,"&gt;"&amp;H57)+COUNTIFS($AZ$2:$AZ$201,AZ57,$CQ$2:$CQ$201,1,$H$2:$H$201,H57,$BA$2:$BA$201,"&gt;"&amp;BA57)=0,1,0),0)</f>
        <v>0</v>
      </c>
      <c r="EH57" s="23" t="str">
        <f aca="false">IF(BB57=1,IF(COUNTIFS($AZ$2:$AZ$201,AZ57,$EG$2:$EG$201,1)=0,"",SUMIFS($O$2:$O$201,$AZ$2:$AZ$201,AZ57,$EG$2:$EG$201,1)),"")</f>
        <v/>
      </c>
      <c r="EI57" s="23" t="n">
        <f aca="false">IF(AND(ISNUMBER(EH57),OR(N(EH57)&lt;Config!$B$31,N(EH57)&gt;Config!$B$33)),1,0)</f>
        <v>0</v>
      </c>
      <c r="EJ57" s="23" t="n">
        <f aca="false">IF(AND(ISNUMBER(EH57),N(EH57)&gt;=Config!$B$31,N(EH57)&lt;Config!$B$32),1,0)</f>
        <v>0</v>
      </c>
      <c r="EK57" s="23" t="n">
        <f aca="false">IF(AND(BF57=1,INT(N(H57))&lt;=Config!$B$6,DH57=1,EI57=1),1,0)</f>
        <v>0</v>
      </c>
      <c r="EL57" s="23" t="n">
        <f aca="false">IF(AND(BF57=1,INT(N(H57))&lt;=Config!$B$7,DI57=1,EI57=1),1,0)</f>
        <v>0</v>
      </c>
      <c r="EM57" s="23" t="n">
        <f aca="false">IF(AND(BF57=1,INT(N(H57))&lt;=Config!$B$8,DJ57=1,EI57=1),1,0)</f>
        <v>0</v>
      </c>
      <c r="EN57" s="23" t="n">
        <f aca="false">IF(AND(BF57=1,INT(N(H57))&lt;=Config!$B$5,DK57=1,EI57=1),1,0)</f>
        <v>0</v>
      </c>
      <c r="EO57" s="23" t="n">
        <f aca="false">IF(AND(DL57=1,EJ57=1),1,0)</f>
        <v>0</v>
      </c>
      <c r="EP57" s="23" t="n">
        <f aca="false">IF(AND(DM57=1,EJ57=1),1,0)</f>
        <v>0</v>
      </c>
      <c r="EQ57" s="23" t="n">
        <f aca="false">IF(AND(DN57=1,EJ57=1),1,0)</f>
        <v>0</v>
      </c>
      <c r="ER57" s="23" t="n">
        <f aca="false">IF(AND(DO57=1,EJ57=1),1,0)</f>
        <v>0</v>
      </c>
    </row>
    <row r="58" customFormat="false" ht="15" hidden="false" customHeight="false" outlineLevel="0" collapsed="false">
      <c r="G58" s="32"/>
      <c r="H58" s="33"/>
      <c r="I58" s="32"/>
      <c r="L58" s="32"/>
      <c r="Q58" s="32"/>
      <c r="U58" s="32"/>
      <c r="W58" s="32"/>
      <c r="AC58" s="32"/>
      <c r="AF58" s="32"/>
      <c r="AI58" s="32"/>
      <c r="AJ58" s="32"/>
      <c r="AN58" s="32"/>
      <c r="AR58" s="32"/>
      <c r="AT58" s="32"/>
      <c r="AU58" s="32"/>
      <c r="AW58" s="32"/>
      <c r="AY58" s="34" t="str">
        <f aca="false">IF(TRIM($A58)="","",IF(AND(LEFT($A58,6)="SAMPLE",Config!$B$19&lt;&gt;"Y"),"",IF(NOT(ISNUMBER(H58)),"call_date is blank or not a date",IF(Sync!$C$5="","Clay paste is empty or has no row_id column: paste the Clay export on Clay_Offices",IF(CW58="","row_id not found in the Clay paste: add the Clay row or fix the row_id",IF(AND(ISNUMBER(CY58),CY58&gt;=1,CY58&lt;=5),"Clay status is "&amp;CX58&amp;": set call_done or later",IF(AND(BD58=1,CZ58&lt;&gt;BZ58),"Clay yes_in_principle should be "&amp;BZ58,IF(AND(BD58=1,DA58&lt;&gt;H58),"Clay call_date should be "&amp;TEXT(H58,"yyyy-mm-dd"),""))))))))</f>
        <v/>
      </c>
      <c r="AZ58" s="23" t="str">
        <f aca="false">IF(TRIM($A58)="","",IF(TRIM(C58)&lt;&gt;"",SUBSTITUTE(SUBSTITUTE(SUBSTITUTE(SUBSTITUTE(SUBSTITUTE(SUBSTITUTE(LOWER(TRIM(C58)),"~",""),"*",""),"?",""),"&lt;",""),"&gt;",""),"=",""),IF(EA58&lt;&gt;"",EA58,IFERROR(INDEX($EA$2:$EA$201,MATCH(DZ58,$EB$2:$EB$201,0)),DZ58))))</f>
        <v/>
      </c>
      <c r="BA58" s="23" t="n">
        <f aca="false">ROW()</f>
        <v>58</v>
      </c>
      <c r="BB58" s="23" t="n">
        <f aca="false">IF(AND(TRIM($A58)&lt;&gt;"",ISNUMBER(H58)),IF(AND(LEFT($A58,6)="SAMPLE",Config!$B$19&lt;&gt;"Y"),0,1),0)</f>
        <v>0</v>
      </c>
      <c r="BC58" s="23" t="n">
        <f aca="false">IF(BB58=1,IF(COUNTIFS($AZ$2:$AZ$201,AZ58,$BB$2:$BB$201,1,$H$2:$H$201,"&lt;"&amp;H58)+COUNTIFS($AZ$2:$AZ$201,AZ58,$BB$2:$BB$201,1,$H$2:$H$201,H58,$BA$2:$BA$201,"&lt;"&amp;BA58)=0,1,0),0)</f>
        <v>0</v>
      </c>
      <c r="BD58" s="23" t="n">
        <f aca="false">IF(BB58=1,IF(COUNTIFS($A$2:$A$201,$A58,$BB$2:$BB$201,1,$H$2:$H$201,"&gt;"&amp;H58)+COUNTIFS($A$2:$A$201,$A58,$BB$2:$BB$201,1,$H$2:$H$201,H58,$BA$2:$BA$201,"&gt;"&amp;BA58)=0,1,0),0)</f>
        <v>0</v>
      </c>
      <c r="BE58" s="23" t="n">
        <f aca="false">IF(AND(BB58=1,AR58="Y",AC58="Y",TRIM(AH58)&lt;&gt;""),1,0)</f>
        <v>0</v>
      </c>
      <c r="BF58" s="23" t="n">
        <f aca="false">IF(BE58=1,IF(COUNTIFS($AZ$2:$AZ$201,AZ58,$BE$2:$BE$201,1,$H$2:$H$201,"&lt;"&amp;H58)+COUNTIFS($AZ$2:$AZ$201,AZ58,$BE$2:$BE$201,1,$H$2:$H$201,H58,$BA$2:$BA$201,"&lt;"&amp;BA58)=0,1,0),0)</f>
        <v>0</v>
      </c>
      <c r="BG58" s="23" t="n">
        <f aca="false">IF(AND(BB58=1,AR58="Y",BE58=0),1,0)</f>
        <v>0</v>
      </c>
      <c r="BH58" s="23" t="n">
        <f aca="false">IF(AND(BB58=1,ISNUMBER(Y58)),1,0)</f>
        <v>0</v>
      </c>
      <c r="BI58" s="23" t="n">
        <f aca="false">IF(BH58=1,IF(COUNTIFS($AZ$2:$AZ$201,AZ58,$BH$2:$BH$201,1,$H$2:$H$201,"&lt;"&amp;H58)+COUNTIFS($AZ$2:$AZ$201,AZ58,$BH$2:$BH$201,1,$H$2:$H$201,H58,$BA$2:$BA$201,"&lt;"&amp;BA58)=0,1,0),0)</f>
        <v>0</v>
      </c>
      <c r="BJ58" s="23" t="str">
        <f aca="false">IF(AND(BI58=1,INT(N(H58))&lt;=Config!$B$6),Y58,"")</f>
        <v/>
      </c>
      <c r="BK58" s="23" t="str">
        <f aca="false">IF(AND(BI58=1,INT(N(H58))&lt;=Config!$B$7),Y58,"")</f>
        <v/>
      </c>
      <c r="BL58" s="23" t="str">
        <f aca="false">IF(AND(BI58=1,INT(N(H58))&lt;=Config!$B$8),Y58,"")</f>
        <v/>
      </c>
      <c r="BM58" s="23" t="str">
        <f aca="false">IF(AND(BI58=1,INT(N(H58))&lt;=Config!$B$5),Y58,"")</f>
        <v/>
      </c>
      <c r="BN58" s="23" t="n">
        <f aca="false">IF(CD58=1,IF(COUNTIFS($AZ$2:$AZ$201,AZ58,$CD$2:$CD$201,1,$H$2:$H$201,"&lt;"&amp;H58)+COUNTIFS($AZ$2:$AZ$201,AZ58,$CD$2:$CD$201,1,$H$2:$H$201,H58,$BA$2:$BA$201,"&lt;"&amp;BA58)=0,1,0),0)</f>
        <v>0</v>
      </c>
      <c r="BO58" s="23" t="n">
        <f aca="false">IF(AND(BB58=1,ISNUMBER(M58)),1,0)</f>
        <v>0</v>
      </c>
      <c r="BP58" s="23" t="n">
        <f aca="false">IF(BO58=1,IF(COUNTIFS($AZ$2:$AZ$201,AZ58,$BO$2:$BO$201,1,$H$2:$H$201,"&lt;"&amp;H58)+COUNTIFS($AZ$2:$AZ$201,AZ58,$BO$2:$BO$201,1,$H$2:$H$201,H58,$BA$2:$BA$201,"&lt;"&amp;BA58)=0,1,0),0)</f>
        <v>0</v>
      </c>
      <c r="BQ58" s="23" t="str">
        <f aca="false">IF(AND(BP58=1,INT(N(H58))&lt;=Config!$B$5),M58,"")</f>
        <v/>
      </c>
      <c r="BR58" s="23" t="n">
        <f aca="false">IF(AND(BB58=1,OR(TRIM(X58)&lt;&gt;"",ISNUMBER(Y58))),1,0)</f>
        <v>0</v>
      </c>
      <c r="BS58" s="23" t="n">
        <f aca="false">IF(BR58=1,IF(COUNTIFS($AZ$2:$AZ$201,AZ58,$BR$2:$BR$201,1,$H$2:$H$201,"&lt;"&amp;H58)+COUNTIFS($AZ$2:$AZ$201,AZ58,$BR$2:$BR$201,1,$H$2:$H$201,H58,$BA$2:$BA$201,"&lt;"&amp;BA58)=0,1,0),0)</f>
        <v>0</v>
      </c>
      <c r="BT58" s="23" t="str">
        <f aca="false">IF(BS58=1,AZ58,"")</f>
        <v/>
      </c>
      <c r="BU58" s="23" t="n">
        <f aca="false">IF(AND(BB58=1,W58="Y",TRIM(X58)=""),1,0)</f>
        <v>0</v>
      </c>
      <c r="BV58" s="23" t="str">
        <f aca="false">IF(BB58=1,AN58&amp;"","")</f>
        <v/>
      </c>
      <c r="BW58" s="23" t="str">
        <f aca="false">IF(BB58=1,AO58&amp;"","")</f>
        <v/>
      </c>
      <c r="BX58" s="23" t="str">
        <f aca="false">IF(BB58=1,AP58&amp;"","")</f>
        <v/>
      </c>
      <c r="BY58" s="23" t="str">
        <f aca="false">IF(AND(BB58=1,ISNUMBER(AV58),INT(N(H58))&lt;=Config!$B$5),AV58,"")</f>
        <v/>
      </c>
      <c r="BZ58" s="23" t="str">
        <f aca="false">IF(BB58=1,IF(COUNTIFS($A$2:$A$201,$A58,$DC$2:$DC$201,1,$AR$2:$AR$201,"Y")&gt;0,"Y","N"),"")</f>
        <v/>
      </c>
      <c r="CA58" s="23" t="n">
        <f aca="false">IF(AND(BB58=1,AR58="maybe"),1,0)</f>
        <v>0</v>
      </c>
      <c r="CB58" s="23" t="n">
        <f aca="false">IF(CA58=1,IF(COUNTIFS($AZ$2:$AZ$201,AZ58,$CA$2:$CA$201,1,$H$2:$H$201,"&lt;"&amp;H58)+COUNTIFS($AZ$2:$AZ$201,AZ58,$CA$2:$CA$201,1,$H$2:$H$201,H58,$BA$2:$BA$201,"&lt;"&amp;BA58)=0,1,0),0)</f>
        <v>0</v>
      </c>
      <c r="CC58" s="23" t="n">
        <f aca="false">IF(AND(BB58=1,AR58="Y"),IF(COUNTIFS($AZ$2:$AZ$201,AZ58,$AR$2:$AR$201,"Y",$BB$2:$BB$201,1,$H$2:$H$201,"&lt;"&amp;H58)+COUNTIFS($AZ$2:$AZ$201,AZ58,$AR$2:$AR$201,"Y",$BB$2:$BB$201,1,$H$2:$H$201,H58,$BA$2:$BA$201,"&lt;"&amp;BA58)=0,1,0),0)</f>
        <v>0</v>
      </c>
      <c r="CD58" s="23" t="n">
        <f aca="false">IF(AND(BH58=1,N(Y58)&gt;=Config!$B$15),1,0)</f>
        <v>0</v>
      </c>
      <c r="CE58" s="23" t="n">
        <f aca="false">IF(AND(BB58=1,AT58="Y"),1,0)</f>
        <v>0</v>
      </c>
      <c r="CF58" s="23" t="n">
        <f aca="false">IF(CE58=1,IF(COUNTIFS($AZ$2:$AZ$201,AZ58,$CE$2:$CE$201,1,$H$2:$H$201,"&lt;"&amp;H58)+COUNTIFS($AZ$2:$AZ$201,AZ58,$CE$2:$CE$201,1,$H$2:$H$201,H58,$BA$2:$BA$201,"&lt;"&amp;BA58)=0,1,0),0)</f>
        <v>0</v>
      </c>
      <c r="CG58" s="23" t="n">
        <f aca="false">IF(AND(BB58=1,G58="warm-intro"),1,0)</f>
        <v>0</v>
      </c>
      <c r="CH58" s="23" t="n">
        <f aca="false">IF(CG58=1,IF(COUNTIFS($AZ$2:$AZ$201,AZ58,$CG$2:$CG$201,1,$H$2:$H$201,"&lt;"&amp;H58)+COUNTIFS($AZ$2:$AZ$201,AZ58,$CG$2:$CG$201,1,$H$2:$H$201,H58,$BA$2:$BA$201,"&lt;"&amp;BA58)=0,1,0),0)</f>
        <v>0</v>
      </c>
      <c r="CI58" s="23" t="n">
        <f aca="false">IF(AND(BB58=1,Q58="Y"),1,0)</f>
        <v>0</v>
      </c>
      <c r="CJ58" s="23" t="n">
        <f aca="false">IF(CI58=1,IF(COUNTIFS($AZ$2:$AZ$201,AZ58,$CI$2:$CI$201,1,$H$2:$H$201,"&lt;"&amp;H58)+COUNTIFS($AZ$2:$AZ$201,AZ58,$CI$2:$CI$201,1,$H$2:$H$201,H58,$BA$2:$BA$201,"&lt;"&amp;BA58)=0,1,0),0)</f>
        <v>0</v>
      </c>
      <c r="CK58" s="23" t="n">
        <f aca="false">IF(AND(BB58=1,AF58="Y"),1,0)</f>
        <v>0</v>
      </c>
      <c r="CL58" s="23" t="n">
        <f aca="false">IF(CK58=1,IF(COUNTIFS($AZ$2:$AZ$201,AZ58,$CK$2:$CK$201,1,$H$2:$H$201,"&lt;"&amp;H58)+COUNTIFS($AZ$2:$AZ$201,AZ58,$CK$2:$CK$201,1,$H$2:$H$201,H58,$BA$2:$BA$201,"&lt;"&amp;BA58)=0,1,0),0)</f>
        <v>0</v>
      </c>
      <c r="CM58" s="23" t="n">
        <f aca="false">IF(AND(BB58=1,U58="Y"),1,0)</f>
        <v>0</v>
      </c>
      <c r="CN58" s="23" t="n">
        <f aca="false">IF(CM58=1,IF(COUNTIFS($AZ$2:$AZ$201,AZ58,$CM$2:$CM$201,1,$H$2:$H$201,"&lt;"&amp;H58)+COUNTIFS($AZ$2:$AZ$201,AZ58,$CM$2:$CM$201,1,$H$2:$H$201,H58,$BA$2:$BA$201,"&lt;"&amp;BA58)=0,1,0),0)</f>
        <v>0</v>
      </c>
      <c r="CO58" s="23" t="n">
        <f aca="false">IF(AND(BB58=1,L58="Y"),1,0)</f>
        <v>0</v>
      </c>
      <c r="CP58" s="23" t="n">
        <f aca="false">IF(CO58=1,IF(COUNTIFS($AZ$2:$AZ$201,AZ58,$CO$2:$CO$201,1,$H$2:$H$201,"&lt;"&amp;H58)+COUNTIFS($AZ$2:$AZ$201,AZ58,$CO$2:$CO$201,1,$H$2:$H$201,H58,$BA$2:$BA$201,"&lt;"&amp;BA58)=0,1,0),0)</f>
        <v>0</v>
      </c>
      <c r="CQ58" s="23" t="n">
        <f aca="false">IF(AND(BB58=1,ISNUMBER(O58)),1,0)</f>
        <v>0</v>
      </c>
      <c r="CR58" s="23" t="n">
        <f aca="false">IF(CQ58=1,IF(COUNTIFS($AZ$2:$AZ$201,AZ58,$CQ$2:$CQ$201,1,$H$2:$H$201,"&lt;"&amp;H58)+COUNTIFS($AZ$2:$AZ$201,AZ58,$CQ$2:$CQ$201,1,$H$2:$H$201,H58,$BA$2:$BA$201,"&lt;"&amp;BA58)=0,1,0),0)</f>
        <v>0</v>
      </c>
      <c r="CS58" s="23" t="str">
        <f aca="false">IF(AND(CR58=1,INT(N(H58))&lt;=Config!$B$5),O58,"")</f>
        <v/>
      </c>
      <c r="CT58" s="23" t="str">
        <f aca="false">IF(AND(BB58=1,INT(N(H58))&lt;=Config!$B$5),AG58&amp;"","")</f>
        <v/>
      </c>
      <c r="CU58" s="23" t="n">
        <f aca="false">IF(AND(BB58=1,AU58="Y"),1,0)</f>
        <v>0</v>
      </c>
      <c r="CV58" s="23" t="n">
        <f aca="false">IF(CU58=1,IF(COUNTIFS($AZ$2:$AZ$201,AZ58,$CU$2:$CU$201,1,$H$2:$H$201,"&lt;"&amp;H58)+COUNTIFS($AZ$2:$AZ$201,AZ58,$CU$2:$CU$201,1,$H$2:$H$201,H58,$BA$2:$BA$201,"&lt;"&amp;BA58)=0,1,0),0)</f>
        <v>0</v>
      </c>
      <c r="CW58" s="23" t="str">
        <f aca="false">IF(BB58=1,IFERROR(MATCH($A58,INDEX(Clay_Offices!$A$2:$FZ$601,0,Sync!$C$5),0),""),"")</f>
        <v/>
      </c>
      <c r="CX58" s="23" t="str">
        <f aca="false">IF(CW58="","",IFERROR(INDEX(Clay_Offices!$A$2:$FZ$601,CW58,Sync!$C$7)&amp;"",""))</f>
        <v/>
      </c>
      <c r="CY58" s="23" t="str">
        <f aca="false">IF(CX58="","",IFERROR(INDEX(Lists!$K$2:$K$15,MATCH(CX58,Lists!$J$2:$J$15,0)),""))</f>
        <v/>
      </c>
      <c r="CZ58" s="23" t="str">
        <f aca="false">IF(CW58="","",IFERROR(INDEX(Clay_Offices!$A$2:$FZ$601,CW58,Sync!$C$17)&amp;"",""))</f>
        <v/>
      </c>
      <c r="DA58" s="35" t="str">
        <f aca="false">IF(CW58="","",IFERROR(N(INDEX(Clay_Offices!$A$2:$FZ$601,CW58,Sync!$C$16)),0))</f>
        <v/>
      </c>
      <c r="DB58" s="23" t="n">
        <f aca="false">IF(AND(BB58=1,OR(AR58="Y",AR58="N",AR58="maybe")),1,0)</f>
        <v>0</v>
      </c>
      <c r="DC58" s="23" t="n">
        <f aca="false">IF(AND(DB58=1),IF(COUNTIFS($A$2:$A$201,$A58,$DB$2:$DB$201,1,$H$2:$H$201,"&gt;"&amp;H58)+COUNTIFS($A$2:$A$201,$A58,$DB$2:$DB$201,1,$H$2:$H$201,H58,$BA$2:$BA$201,"&gt;"&amp;BA58)=0,1,0),0)</f>
        <v>0</v>
      </c>
      <c r="DD58" s="23" t="n">
        <f aca="false">IF(AND(DB58=1,INT(N(H58))&lt;=Config!$B$6),IF(COUNTIFS($AZ$2:$AZ$201,AZ58,$DB$2:$DB$201,1,$H$2:$H$201,"&gt;"&amp;H58,$H$2:$H$201,"&lt;"&amp;(Config!$B$6+1))+COUNTIFS($AZ$2:$AZ$201,AZ58,$DB$2:$DB$201,1,$H$2:$H$201,H58,$BA$2:$BA$201,"&gt;"&amp;BA58)=0,1,0),0)</f>
        <v>0</v>
      </c>
      <c r="DE58" s="23" t="n">
        <f aca="false">IF(AND(DB58=1,INT(N(H58))&lt;=Config!$B$7),IF(COUNTIFS($AZ$2:$AZ$201,AZ58,$DB$2:$DB$201,1,$H$2:$H$201,"&gt;"&amp;H58,$H$2:$H$201,"&lt;"&amp;(Config!$B$7+1))+COUNTIFS($AZ$2:$AZ$201,AZ58,$DB$2:$DB$201,1,$H$2:$H$201,H58,$BA$2:$BA$201,"&gt;"&amp;BA58)=0,1,0),0)</f>
        <v>0</v>
      </c>
      <c r="DF58" s="23" t="n">
        <f aca="false">IF(AND(DB58=1,INT(N(H58))&lt;=Config!$B$8),IF(COUNTIFS($AZ$2:$AZ$201,AZ58,$DB$2:$DB$201,1,$H$2:$H$201,"&gt;"&amp;H58,$H$2:$H$201,"&lt;"&amp;(Config!$B$8+1))+COUNTIFS($AZ$2:$AZ$201,AZ58,$DB$2:$DB$201,1,$H$2:$H$201,H58,$BA$2:$BA$201,"&gt;"&amp;BA58)=0,1,0),0)</f>
        <v>0</v>
      </c>
      <c r="DG58" s="23" t="n">
        <f aca="false">IF(AND(DB58=1,INT(N(H58))&lt;=Config!$B$5),IF(COUNTIFS($AZ$2:$AZ$201,AZ58,$DB$2:$DB$201,1,$H$2:$H$201,"&gt;"&amp;H58,$H$2:$H$201,"&lt;"&amp;(Config!$B$5+1))+COUNTIFS($AZ$2:$AZ$201,AZ58,$DB$2:$DB$201,1,$H$2:$H$201,H58,$BA$2:$BA$201,"&gt;"&amp;BA58)=0,1,0),0)</f>
        <v>0</v>
      </c>
      <c r="DH58" s="23" t="n">
        <f aca="false">IF(BB58=1,IF(COUNTIFS($AZ$2:$AZ$201,AZ58,$DD$2:$DD$201,1,$AR$2:$AR$201,"Y")&gt;0,1,0),0)</f>
        <v>0</v>
      </c>
      <c r="DI58" s="23" t="n">
        <f aca="false">IF(BB58=1,IF(COUNTIFS($AZ$2:$AZ$201,AZ58,$DE$2:$DE$201,1,$AR$2:$AR$201,"Y")&gt;0,1,0),0)</f>
        <v>0</v>
      </c>
      <c r="DJ58" s="23" t="n">
        <f aca="false">IF(BB58=1,IF(COUNTIFS($AZ$2:$AZ$201,AZ58,$DF$2:$DF$201,1,$AR$2:$AR$201,"Y")&gt;0,1,0),0)</f>
        <v>0</v>
      </c>
      <c r="DK58" s="23" t="n">
        <f aca="false">IF(BB58=1,IF(COUNTIFS($AZ$2:$AZ$201,AZ58,$DG$2:$DG$201,1,$AR$2:$AR$201,"Y")&gt;0,1,0),0)</f>
        <v>0</v>
      </c>
      <c r="DL58" s="23" t="n">
        <f aca="false">IF(AND(BF58=1,INT(N(H58))&lt;=Config!$B$6,DH58=1,EI58=0),1,0)</f>
        <v>0</v>
      </c>
      <c r="DM58" s="23" t="n">
        <f aca="false">IF(AND(BF58=1,INT(N(H58))&lt;=Config!$B$7,DI58=1,EI58=0),1,0)</f>
        <v>0</v>
      </c>
      <c r="DN58" s="23" t="n">
        <f aca="false">IF(AND(BF58=1,INT(N(H58))&lt;=Config!$B$8,DJ58=1,EI58=0),1,0)</f>
        <v>0</v>
      </c>
      <c r="DO58" s="23" t="n">
        <f aca="false">IF(AND(BF58=1,INT(N(H58))&lt;=Config!$B$5,DK58=1,EI58=0),1,0)</f>
        <v>0</v>
      </c>
      <c r="DP58" s="23" t="n">
        <f aca="false">IF(AND(CC58=1,INT(N(H58))&lt;=Config!$B$6,DH58=1,EI58=0),1,0)</f>
        <v>0</v>
      </c>
      <c r="DQ58" s="23" t="n">
        <f aca="false">IF(AND(CC58=1,INT(N(H58))&lt;=Config!$B$7,DI58=1,EI58=0),1,0)</f>
        <v>0</v>
      </c>
      <c r="DR58" s="23" t="n">
        <f aca="false">IF(AND(CC58=1,INT(N(H58))&lt;=Config!$B$8,DJ58=1,EI58=0),1,0)</f>
        <v>0</v>
      </c>
      <c r="DS58" s="23" t="n">
        <f aca="false">IF(AND(CC58=1,INT(N(H58))&lt;=Config!$B$5,DK58=1,EI58=0),1,0)</f>
        <v>0</v>
      </c>
      <c r="DT58" s="23" t="n">
        <f aca="false">IF(AND(CC58=1,INT(N(H58))&lt;=Config!$B$6,DH58=0),1,0)</f>
        <v>0</v>
      </c>
      <c r="DU58" s="23" t="n">
        <f aca="false">IF(AND(CC58=1,INT(N(H58))&lt;=Config!$B$7,DI58=0),1,0)</f>
        <v>0</v>
      </c>
      <c r="DV58" s="23" t="n">
        <f aca="false">IF(AND(CC58=1,INT(N(H58))&lt;=Config!$B$8,DJ58=0),1,0)</f>
        <v>0</v>
      </c>
      <c r="DW58" s="23" t="n">
        <f aca="false">IF(AND(CC58=1,INT(N(H58))&lt;=Config!$B$5,DK58=0),1,0)</f>
        <v>0</v>
      </c>
      <c r="DX58" s="23" t="n">
        <f aca="false">IF(TRIM($A58)="",0,ISTEXT(M58)+ISTEXT(O58)+ISTEXT(Y58)+ISTEXT(Z58)+ISTEXT(AA58)+ISTEXT(AV58))</f>
        <v>0</v>
      </c>
      <c r="DY58" s="23" t="n">
        <f aca="false">IF(BB58=1,IF(H58&lt;&gt;INT(H58),1,0),0)</f>
        <v>0</v>
      </c>
      <c r="DZ58" s="23" t="str">
        <f aca="false">IF(TRIM($A58)="","",IF(TRIM(B58)="",SUBSTITUTE(SUBSTITUTE(SUBSTITUTE(SUBSTITUTE(SUBSTITUTE(SUBSTITUTE(LOWER(TRIM($A58)),"~",""),"*",""),"?",""),"&lt;",""),"&gt;",""),"=",""),SUBSTITUTE(SUBSTITUTE(SUBSTITUTE(SUBSTITUTE(SUBSTITUTE(SUBSTITUTE(LOWER(TRIM(B58)),"~",""),"*",""),"?",""),"&lt;",""),"&gt;",""),"=","")))</f>
        <v/>
      </c>
      <c r="EA58" s="23" t="str">
        <f aca="false">IF(CW58="","",IFERROR(IF(LEFT(LOWER(TRIM(INDEX(Clay_Offices!$A$2:$FZ$601,CW58,Sync!$C$19)&amp;"")),4)="grp-",SUBSTITUTE(SUBSTITUTE(SUBSTITUTE(SUBSTITUTE(SUBSTITUTE(SUBSTITUTE(LOWER(TRIM(INDEX(Clay_Offices!$A$2:$FZ$601,CW58,Sync!$C$19)&amp;"")),"~",""),"*",""),"?",""),"&lt;",""),"&gt;",""),"=",""),""),""))</f>
        <v/>
      </c>
      <c r="EB58" s="23" t="str">
        <f aca="false">IF(EA58&lt;&gt;"",DZ58,"")</f>
        <v/>
      </c>
      <c r="EC58" s="23" t="str">
        <f aca="false">IF(BC58=1,AZ58,"")</f>
        <v/>
      </c>
      <c r="ED58" s="23" t="str">
        <f aca="false">IF(TRIM($A58)="","",IFERROR(INDEX($A$2:$A$201,MATCH(AZ58,$EC$2:$EC$201,0))&amp;"",$A58&amp;""))</f>
        <v/>
      </c>
      <c r="EE58" s="23" t="n">
        <f aca="false">IF(BB58=1,IF(COUNTIFS($A$2:$A$201,$A58,$BB$2:$BB$201,1,$H$2:$H$201,"&lt;"&amp;H58)+COUNTIFS($A$2:$A$201,$A58,$BB$2:$BB$201,1,$H$2:$H$201,H58,$BA$2:$BA$201,"&lt;"&amp;BA58)=0,1,0),0)</f>
        <v>0</v>
      </c>
      <c r="EF58" s="23" t="n">
        <f aca="false">IF(BC58=1,IF(COUNTIFS($AZ$2:$AZ$201,AZ58,$EE$2:$EE$201,1)&gt;1,1,0),0)</f>
        <v>0</v>
      </c>
      <c r="EG58" s="23" t="n">
        <f aca="false">IF(AND(CQ58=1),IF(COUNTIFS($AZ$2:$AZ$201,AZ58,$CQ$2:$CQ$201,1,$H$2:$H$201,"&gt;"&amp;H58)+COUNTIFS($AZ$2:$AZ$201,AZ58,$CQ$2:$CQ$201,1,$H$2:$H$201,H58,$BA$2:$BA$201,"&gt;"&amp;BA58)=0,1,0),0)</f>
        <v>0</v>
      </c>
      <c r="EH58" s="23" t="str">
        <f aca="false">IF(BB58=1,IF(COUNTIFS($AZ$2:$AZ$201,AZ58,$EG$2:$EG$201,1)=0,"",SUMIFS($O$2:$O$201,$AZ$2:$AZ$201,AZ58,$EG$2:$EG$201,1)),"")</f>
        <v/>
      </c>
      <c r="EI58" s="23" t="n">
        <f aca="false">IF(AND(ISNUMBER(EH58),OR(N(EH58)&lt;Config!$B$31,N(EH58)&gt;Config!$B$33)),1,0)</f>
        <v>0</v>
      </c>
      <c r="EJ58" s="23" t="n">
        <f aca="false">IF(AND(ISNUMBER(EH58),N(EH58)&gt;=Config!$B$31,N(EH58)&lt;Config!$B$32),1,0)</f>
        <v>0</v>
      </c>
      <c r="EK58" s="23" t="n">
        <f aca="false">IF(AND(BF58=1,INT(N(H58))&lt;=Config!$B$6,DH58=1,EI58=1),1,0)</f>
        <v>0</v>
      </c>
      <c r="EL58" s="23" t="n">
        <f aca="false">IF(AND(BF58=1,INT(N(H58))&lt;=Config!$B$7,DI58=1,EI58=1),1,0)</f>
        <v>0</v>
      </c>
      <c r="EM58" s="23" t="n">
        <f aca="false">IF(AND(BF58=1,INT(N(H58))&lt;=Config!$B$8,DJ58=1,EI58=1),1,0)</f>
        <v>0</v>
      </c>
      <c r="EN58" s="23" t="n">
        <f aca="false">IF(AND(BF58=1,INT(N(H58))&lt;=Config!$B$5,DK58=1,EI58=1),1,0)</f>
        <v>0</v>
      </c>
      <c r="EO58" s="23" t="n">
        <f aca="false">IF(AND(DL58=1,EJ58=1),1,0)</f>
        <v>0</v>
      </c>
      <c r="EP58" s="23" t="n">
        <f aca="false">IF(AND(DM58=1,EJ58=1),1,0)</f>
        <v>0</v>
      </c>
      <c r="EQ58" s="23" t="n">
        <f aca="false">IF(AND(DN58=1,EJ58=1),1,0)</f>
        <v>0</v>
      </c>
      <c r="ER58" s="23" t="n">
        <f aca="false">IF(AND(DO58=1,EJ58=1),1,0)</f>
        <v>0</v>
      </c>
    </row>
    <row r="59" customFormat="false" ht="15" hidden="false" customHeight="false" outlineLevel="0" collapsed="false">
      <c r="G59" s="32"/>
      <c r="H59" s="33"/>
      <c r="I59" s="32"/>
      <c r="L59" s="32"/>
      <c r="Q59" s="32"/>
      <c r="U59" s="32"/>
      <c r="W59" s="32"/>
      <c r="AC59" s="32"/>
      <c r="AF59" s="32"/>
      <c r="AI59" s="32"/>
      <c r="AJ59" s="32"/>
      <c r="AN59" s="32"/>
      <c r="AR59" s="32"/>
      <c r="AT59" s="32"/>
      <c r="AU59" s="32"/>
      <c r="AW59" s="32"/>
      <c r="AY59" s="34" t="str">
        <f aca="false">IF(TRIM($A59)="","",IF(AND(LEFT($A59,6)="SAMPLE",Config!$B$19&lt;&gt;"Y"),"",IF(NOT(ISNUMBER(H59)),"call_date is blank or not a date",IF(Sync!$C$5="","Clay paste is empty or has no row_id column: paste the Clay export on Clay_Offices",IF(CW59="","row_id not found in the Clay paste: add the Clay row or fix the row_id",IF(AND(ISNUMBER(CY59),CY59&gt;=1,CY59&lt;=5),"Clay status is "&amp;CX59&amp;": set call_done or later",IF(AND(BD59=1,CZ59&lt;&gt;BZ59),"Clay yes_in_principle should be "&amp;BZ59,IF(AND(BD59=1,DA59&lt;&gt;H59),"Clay call_date should be "&amp;TEXT(H59,"yyyy-mm-dd"),""))))))))</f>
        <v/>
      </c>
      <c r="AZ59" s="23" t="str">
        <f aca="false">IF(TRIM($A59)="","",IF(TRIM(C59)&lt;&gt;"",SUBSTITUTE(SUBSTITUTE(SUBSTITUTE(SUBSTITUTE(SUBSTITUTE(SUBSTITUTE(LOWER(TRIM(C59)),"~",""),"*",""),"?",""),"&lt;",""),"&gt;",""),"=",""),IF(EA59&lt;&gt;"",EA59,IFERROR(INDEX($EA$2:$EA$201,MATCH(DZ59,$EB$2:$EB$201,0)),DZ59))))</f>
        <v/>
      </c>
      <c r="BA59" s="23" t="n">
        <f aca="false">ROW()</f>
        <v>59</v>
      </c>
      <c r="BB59" s="23" t="n">
        <f aca="false">IF(AND(TRIM($A59)&lt;&gt;"",ISNUMBER(H59)),IF(AND(LEFT($A59,6)="SAMPLE",Config!$B$19&lt;&gt;"Y"),0,1),0)</f>
        <v>0</v>
      </c>
      <c r="BC59" s="23" t="n">
        <f aca="false">IF(BB59=1,IF(COUNTIFS($AZ$2:$AZ$201,AZ59,$BB$2:$BB$201,1,$H$2:$H$201,"&lt;"&amp;H59)+COUNTIFS($AZ$2:$AZ$201,AZ59,$BB$2:$BB$201,1,$H$2:$H$201,H59,$BA$2:$BA$201,"&lt;"&amp;BA59)=0,1,0),0)</f>
        <v>0</v>
      </c>
      <c r="BD59" s="23" t="n">
        <f aca="false">IF(BB59=1,IF(COUNTIFS($A$2:$A$201,$A59,$BB$2:$BB$201,1,$H$2:$H$201,"&gt;"&amp;H59)+COUNTIFS($A$2:$A$201,$A59,$BB$2:$BB$201,1,$H$2:$H$201,H59,$BA$2:$BA$201,"&gt;"&amp;BA59)=0,1,0),0)</f>
        <v>0</v>
      </c>
      <c r="BE59" s="23" t="n">
        <f aca="false">IF(AND(BB59=1,AR59="Y",AC59="Y",TRIM(AH59)&lt;&gt;""),1,0)</f>
        <v>0</v>
      </c>
      <c r="BF59" s="23" t="n">
        <f aca="false">IF(BE59=1,IF(COUNTIFS($AZ$2:$AZ$201,AZ59,$BE$2:$BE$201,1,$H$2:$H$201,"&lt;"&amp;H59)+COUNTIFS($AZ$2:$AZ$201,AZ59,$BE$2:$BE$201,1,$H$2:$H$201,H59,$BA$2:$BA$201,"&lt;"&amp;BA59)=0,1,0),0)</f>
        <v>0</v>
      </c>
      <c r="BG59" s="23" t="n">
        <f aca="false">IF(AND(BB59=1,AR59="Y",BE59=0),1,0)</f>
        <v>0</v>
      </c>
      <c r="BH59" s="23" t="n">
        <f aca="false">IF(AND(BB59=1,ISNUMBER(Y59)),1,0)</f>
        <v>0</v>
      </c>
      <c r="BI59" s="23" t="n">
        <f aca="false">IF(BH59=1,IF(COUNTIFS($AZ$2:$AZ$201,AZ59,$BH$2:$BH$201,1,$H$2:$H$201,"&lt;"&amp;H59)+COUNTIFS($AZ$2:$AZ$201,AZ59,$BH$2:$BH$201,1,$H$2:$H$201,H59,$BA$2:$BA$201,"&lt;"&amp;BA59)=0,1,0),0)</f>
        <v>0</v>
      </c>
      <c r="BJ59" s="23" t="str">
        <f aca="false">IF(AND(BI59=1,INT(N(H59))&lt;=Config!$B$6),Y59,"")</f>
        <v/>
      </c>
      <c r="BK59" s="23" t="str">
        <f aca="false">IF(AND(BI59=1,INT(N(H59))&lt;=Config!$B$7),Y59,"")</f>
        <v/>
      </c>
      <c r="BL59" s="23" t="str">
        <f aca="false">IF(AND(BI59=1,INT(N(H59))&lt;=Config!$B$8),Y59,"")</f>
        <v/>
      </c>
      <c r="BM59" s="23" t="str">
        <f aca="false">IF(AND(BI59=1,INT(N(H59))&lt;=Config!$B$5),Y59,"")</f>
        <v/>
      </c>
      <c r="BN59" s="23" t="n">
        <f aca="false">IF(CD59=1,IF(COUNTIFS($AZ$2:$AZ$201,AZ59,$CD$2:$CD$201,1,$H$2:$H$201,"&lt;"&amp;H59)+COUNTIFS($AZ$2:$AZ$201,AZ59,$CD$2:$CD$201,1,$H$2:$H$201,H59,$BA$2:$BA$201,"&lt;"&amp;BA59)=0,1,0),0)</f>
        <v>0</v>
      </c>
      <c r="BO59" s="23" t="n">
        <f aca="false">IF(AND(BB59=1,ISNUMBER(M59)),1,0)</f>
        <v>0</v>
      </c>
      <c r="BP59" s="23" t="n">
        <f aca="false">IF(BO59=1,IF(COUNTIFS($AZ$2:$AZ$201,AZ59,$BO$2:$BO$201,1,$H$2:$H$201,"&lt;"&amp;H59)+COUNTIFS($AZ$2:$AZ$201,AZ59,$BO$2:$BO$201,1,$H$2:$H$201,H59,$BA$2:$BA$201,"&lt;"&amp;BA59)=0,1,0),0)</f>
        <v>0</v>
      </c>
      <c r="BQ59" s="23" t="str">
        <f aca="false">IF(AND(BP59=1,INT(N(H59))&lt;=Config!$B$5),M59,"")</f>
        <v/>
      </c>
      <c r="BR59" s="23" t="n">
        <f aca="false">IF(AND(BB59=1,OR(TRIM(X59)&lt;&gt;"",ISNUMBER(Y59))),1,0)</f>
        <v>0</v>
      </c>
      <c r="BS59" s="23" t="n">
        <f aca="false">IF(BR59=1,IF(COUNTIFS($AZ$2:$AZ$201,AZ59,$BR$2:$BR$201,1,$H$2:$H$201,"&lt;"&amp;H59)+COUNTIFS($AZ$2:$AZ$201,AZ59,$BR$2:$BR$201,1,$H$2:$H$201,H59,$BA$2:$BA$201,"&lt;"&amp;BA59)=0,1,0),0)</f>
        <v>0</v>
      </c>
      <c r="BT59" s="23" t="str">
        <f aca="false">IF(BS59=1,AZ59,"")</f>
        <v/>
      </c>
      <c r="BU59" s="23" t="n">
        <f aca="false">IF(AND(BB59=1,W59="Y",TRIM(X59)=""),1,0)</f>
        <v>0</v>
      </c>
      <c r="BV59" s="23" t="str">
        <f aca="false">IF(BB59=1,AN59&amp;"","")</f>
        <v/>
      </c>
      <c r="BW59" s="23" t="str">
        <f aca="false">IF(BB59=1,AO59&amp;"","")</f>
        <v/>
      </c>
      <c r="BX59" s="23" t="str">
        <f aca="false">IF(BB59=1,AP59&amp;"","")</f>
        <v/>
      </c>
      <c r="BY59" s="23" t="str">
        <f aca="false">IF(AND(BB59=1,ISNUMBER(AV59),INT(N(H59))&lt;=Config!$B$5),AV59,"")</f>
        <v/>
      </c>
      <c r="BZ59" s="23" t="str">
        <f aca="false">IF(BB59=1,IF(COUNTIFS($A$2:$A$201,$A59,$DC$2:$DC$201,1,$AR$2:$AR$201,"Y")&gt;0,"Y","N"),"")</f>
        <v/>
      </c>
      <c r="CA59" s="23" t="n">
        <f aca="false">IF(AND(BB59=1,AR59="maybe"),1,0)</f>
        <v>0</v>
      </c>
      <c r="CB59" s="23" t="n">
        <f aca="false">IF(CA59=1,IF(COUNTIFS($AZ$2:$AZ$201,AZ59,$CA$2:$CA$201,1,$H$2:$H$201,"&lt;"&amp;H59)+COUNTIFS($AZ$2:$AZ$201,AZ59,$CA$2:$CA$201,1,$H$2:$H$201,H59,$BA$2:$BA$201,"&lt;"&amp;BA59)=0,1,0),0)</f>
        <v>0</v>
      </c>
      <c r="CC59" s="23" t="n">
        <f aca="false">IF(AND(BB59=1,AR59="Y"),IF(COUNTIFS($AZ$2:$AZ$201,AZ59,$AR$2:$AR$201,"Y",$BB$2:$BB$201,1,$H$2:$H$201,"&lt;"&amp;H59)+COUNTIFS($AZ$2:$AZ$201,AZ59,$AR$2:$AR$201,"Y",$BB$2:$BB$201,1,$H$2:$H$201,H59,$BA$2:$BA$201,"&lt;"&amp;BA59)=0,1,0),0)</f>
        <v>0</v>
      </c>
      <c r="CD59" s="23" t="n">
        <f aca="false">IF(AND(BH59=1,N(Y59)&gt;=Config!$B$15),1,0)</f>
        <v>0</v>
      </c>
      <c r="CE59" s="23" t="n">
        <f aca="false">IF(AND(BB59=1,AT59="Y"),1,0)</f>
        <v>0</v>
      </c>
      <c r="CF59" s="23" t="n">
        <f aca="false">IF(CE59=1,IF(COUNTIFS($AZ$2:$AZ$201,AZ59,$CE$2:$CE$201,1,$H$2:$H$201,"&lt;"&amp;H59)+COUNTIFS($AZ$2:$AZ$201,AZ59,$CE$2:$CE$201,1,$H$2:$H$201,H59,$BA$2:$BA$201,"&lt;"&amp;BA59)=0,1,0),0)</f>
        <v>0</v>
      </c>
      <c r="CG59" s="23" t="n">
        <f aca="false">IF(AND(BB59=1,G59="warm-intro"),1,0)</f>
        <v>0</v>
      </c>
      <c r="CH59" s="23" t="n">
        <f aca="false">IF(CG59=1,IF(COUNTIFS($AZ$2:$AZ$201,AZ59,$CG$2:$CG$201,1,$H$2:$H$201,"&lt;"&amp;H59)+COUNTIFS($AZ$2:$AZ$201,AZ59,$CG$2:$CG$201,1,$H$2:$H$201,H59,$BA$2:$BA$201,"&lt;"&amp;BA59)=0,1,0),0)</f>
        <v>0</v>
      </c>
      <c r="CI59" s="23" t="n">
        <f aca="false">IF(AND(BB59=1,Q59="Y"),1,0)</f>
        <v>0</v>
      </c>
      <c r="CJ59" s="23" t="n">
        <f aca="false">IF(CI59=1,IF(COUNTIFS($AZ$2:$AZ$201,AZ59,$CI$2:$CI$201,1,$H$2:$H$201,"&lt;"&amp;H59)+COUNTIFS($AZ$2:$AZ$201,AZ59,$CI$2:$CI$201,1,$H$2:$H$201,H59,$BA$2:$BA$201,"&lt;"&amp;BA59)=0,1,0),0)</f>
        <v>0</v>
      </c>
      <c r="CK59" s="23" t="n">
        <f aca="false">IF(AND(BB59=1,AF59="Y"),1,0)</f>
        <v>0</v>
      </c>
      <c r="CL59" s="23" t="n">
        <f aca="false">IF(CK59=1,IF(COUNTIFS($AZ$2:$AZ$201,AZ59,$CK$2:$CK$201,1,$H$2:$H$201,"&lt;"&amp;H59)+COUNTIFS($AZ$2:$AZ$201,AZ59,$CK$2:$CK$201,1,$H$2:$H$201,H59,$BA$2:$BA$201,"&lt;"&amp;BA59)=0,1,0),0)</f>
        <v>0</v>
      </c>
      <c r="CM59" s="23" t="n">
        <f aca="false">IF(AND(BB59=1,U59="Y"),1,0)</f>
        <v>0</v>
      </c>
      <c r="CN59" s="23" t="n">
        <f aca="false">IF(CM59=1,IF(COUNTIFS($AZ$2:$AZ$201,AZ59,$CM$2:$CM$201,1,$H$2:$H$201,"&lt;"&amp;H59)+COUNTIFS($AZ$2:$AZ$201,AZ59,$CM$2:$CM$201,1,$H$2:$H$201,H59,$BA$2:$BA$201,"&lt;"&amp;BA59)=0,1,0),0)</f>
        <v>0</v>
      </c>
      <c r="CO59" s="23" t="n">
        <f aca="false">IF(AND(BB59=1,L59="Y"),1,0)</f>
        <v>0</v>
      </c>
      <c r="CP59" s="23" t="n">
        <f aca="false">IF(CO59=1,IF(COUNTIFS($AZ$2:$AZ$201,AZ59,$CO$2:$CO$201,1,$H$2:$H$201,"&lt;"&amp;H59)+COUNTIFS($AZ$2:$AZ$201,AZ59,$CO$2:$CO$201,1,$H$2:$H$201,H59,$BA$2:$BA$201,"&lt;"&amp;BA59)=0,1,0),0)</f>
        <v>0</v>
      </c>
      <c r="CQ59" s="23" t="n">
        <f aca="false">IF(AND(BB59=1,ISNUMBER(O59)),1,0)</f>
        <v>0</v>
      </c>
      <c r="CR59" s="23" t="n">
        <f aca="false">IF(CQ59=1,IF(COUNTIFS($AZ$2:$AZ$201,AZ59,$CQ$2:$CQ$201,1,$H$2:$H$201,"&lt;"&amp;H59)+COUNTIFS($AZ$2:$AZ$201,AZ59,$CQ$2:$CQ$201,1,$H$2:$H$201,H59,$BA$2:$BA$201,"&lt;"&amp;BA59)=0,1,0),0)</f>
        <v>0</v>
      </c>
      <c r="CS59" s="23" t="str">
        <f aca="false">IF(AND(CR59=1,INT(N(H59))&lt;=Config!$B$5),O59,"")</f>
        <v/>
      </c>
      <c r="CT59" s="23" t="str">
        <f aca="false">IF(AND(BB59=1,INT(N(H59))&lt;=Config!$B$5),AG59&amp;"","")</f>
        <v/>
      </c>
      <c r="CU59" s="23" t="n">
        <f aca="false">IF(AND(BB59=1,AU59="Y"),1,0)</f>
        <v>0</v>
      </c>
      <c r="CV59" s="23" t="n">
        <f aca="false">IF(CU59=1,IF(COUNTIFS($AZ$2:$AZ$201,AZ59,$CU$2:$CU$201,1,$H$2:$H$201,"&lt;"&amp;H59)+COUNTIFS($AZ$2:$AZ$201,AZ59,$CU$2:$CU$201,1,$H$2:$H$201,H59,$BA$2:$BA$201,"&lt;"&amp;BA59)=0,1,0),0)</f>
        <v>0</v>
      </c>
      <c r="CW59" s="23" t="str">
        <f aca="false">IF(BB59=1,IFERROR(MATCH($A59,INDEX(Clay_Offices!$A$2:$FZ$601,0,Sync!$C$5),0),""),"")</f>
        <v/>
      </c>
      <c r="CX59" s="23" t="str">
        <f aca="false">IF(CW59="","",IFERROR(INDEX(Clay_Offices!$A$2:$FZ$601,CW59,Sync!$C$7)&amp;"",""))</f>
        <v/>
      </c>
      <c r="CY59" s="23" t="str">
        <f aca="false">IF(CX59="","",IFERROR(INDEX(Lists!$K$2:$K$15,MATCH(CX59,Lists!$J$2:$J$15,0)),""))</f>
        <v/>
      </c>
      <c r="CZ59" s="23" t="str">
        <f aca="false">IF(CW59="","",IFERROR(INDEX(Clay_Offices!$A$2:$FZ$601,CW59,Sync!$C$17)&amp;"",""))</f>
        <v/>
      </c>
      <c r="DA59" s="35" t="str">
        <f aca="false">IF(CW59="","",IFERROR(N(INDEX(Clay_Offices!$A$2:$FZ$601,CW59,Sync!$C$16)),0))</f>
        <v/>
      </c>
      <c r="DB59" s="23" t="n">
        <f aca="false">IF(AND(BB59=1,OR(AR59="Y",AR59="N",AR59="maybe")),1,0)</f>
        <v>0</v>
      </c>
      <c r="DC59" s="23" t="n">
        <f aca="false">IF(AND(DB59=1),IF(COUNTIFS($A$2:$A$201,$A59,$DB$2:$DB$201,1,$H$2:$H$201,"&gt;"&amp;H59)+COUNTIFS($A$2:$A$201,$A59,$DB$2:$DB$201,1,$H$2:$H$201,H59,$BA$2:$BA$201,"&gt;"&amp;BA59)=0,1,0),0)</f>
        <v>0</v>
      </c>
      <c r="DD59" s="23" t="n">
        <f aca="false">IF(AND(DB59=1,INT(N(H59))&lt;=Config!$B$6),IF(COUNTIFS($AZ$2:$AZ$201,AZ59,$DB$2:$DB$201,1,$H$2:$H$201,"&gt;"&amp;H59,$H$2:$H$201,"&lt;"&amp;(Config!$B$6+1))+COUNTIFS($AZ$2:$AZ$201,AZ59,$DB$2:$DB$201,1,$H$2:$H$201,H59,$BA$2:$BA$201,"&gt;"&amp;BA59)=0,1,0),0)</f>
        <v>0</v>
      </c>
      <c r="DE59" s="23" t="n">
        <f aca="false">IF(AND(DB59=1,INT(N(H59))&lt;=Config!$B$7),IF(COUNTIFS($AZ$2:$AZ$201,AZ59,$DB$2:$DB$201,1,$H$2:$H$201,"&gt;"&amp;H59,$H$2:$H$201,"&lt;"&amp;(Config!$B$7+1))+COUNTIFS($AZ$2:$AZ$201,AZ59,$DB$2:$DB$201,1,$H$2:$H$201,H59,$BA$2:$BA$201,"&gt;"&amp;BA59)=0,1,0),0)</f>
        <v>0</v>
      </c>
      <c r="DF59" s="23" t="n">
        <f aca="false">IF(AND(DB59=1,INT(N(H59))&lt;=Config!$B$8),IF(COUNTIFS($AZ$2:$AZ$201,AZ59,$DB$2:$DB$201,1,$H$2:$H$201,"&gt;"&amp;H59,$H$2:$H$201,"&lt;"&amp;(Config!$B$8+1))+COUNTIFS($AZ$2:$AZ$201,AZ59,$DB$2:$DB$201,1,$H$2:$H$201,H59,$BA$2:$BA$201,"&gt;"&amp;BA59)=0,1,0),0)</f>
        <v>0</v>
      </c>
      <c r="DG59" s="23" t="n">
        <f aca="false">IF(AND(DB59=1,INT(N(H59))&lt;=Config!$B$5),IF(COUNTIFS($AZ$2:$AZ$201,AZ59,$DB$2:$DB$201,1,$H$2:$H$201,"&gt;"&amp;H59,$H$2:$H$201,"&lt;"&amp;(Config!$B$5+1))+COUNTIFS($AZ$2:$AZ$201,AZ59,$DB$2:$DB$201,1,$H$2:$H$201,H59,$BA$2:$BA$201,"&gt;"&amp;BA59)=0,1,0),0)</f>
        <v>0</v>
      </c>
      <c r="DH59" s="23" t="n">
        <f aca="false">IF(BB59=1,IF(COUNTIFS($AZ$2:$AZ$201,AZ59,$DD$2:$DD$201,1,$AR$2:$AR$201,"Y")&gt;0,1,0),0)</f>
        <v>0</v>
      </c>
      <c r="DI59" s="23" t="n">
        <f aca="false">IF(BB59=1,IF(COUNTIFS($AZ$2:$AZ$201,AZ59,$DE$2:$DE$201,1,$AR$2:$AR$201,"Y")&gt;0,1,0),0)</f>
        <v>0</v>
      </c>
      <c r="DJ59" s="23" t="n">
        <f aca="false">IF(BB59=1,IF(COUNTIFS($AZ$2:$AZ$201,AZ59,$DF$2:$DF$201,1,$AR$2:$AR$201,"Y")&gt;0,1,0),0)</f>
        <v>0</v>
      </c>
      <c r="DK59" s="23" t="n">
        <f aca="false">IF(BB59=1,IF(COUNTIFS($AZ$2:$AZ$201,AZ59,$DG$2:$DG$201,1,$AR$2:$AR$201,"Y")&gt;0,1,0),0)</f>
        <v>0</v>
      </c>
      <c r="DL59" s="23" t="n">
        <f aca="false">IF(AND(BF59=1,INT(N(H59))&lt;=Config!$B$6,DH59=1,EI59=0),1,0)</f>
        <v>0</v>
      </c>
      <c r="DM59" s="23" t="n">
        <f aca="false">IF(AND(BF59=1,INT(N(H59))&lt;=Config!$B$7,DI59=1,EI59=0),1,0)</f>
        <v>0</v>
      </c>
      <c r="DN59" s="23" t="n">
        <f aca="false">IF(AND(BF59=1,INT(N(H59))&lt;=Config!$B$8,DJ59=1,EI59=0),1,0)</f>
        <v>0</v>
      </c>
      <c r="DO59" s="23" t="n">
        <f aca="false">IF(AND(BF59=1,INT(N(H59))&lt;=Config!$B$5,DK59=1,EI59=0),1,0)</f>
        <v>0</v>
      </c>
      <c r="DP59" s="23" t="n">
        <f aca="false">IF(AND(CC59=1,INT(N(H59))&lt;=Config!$B$6,DH59=1,EI59=0),1,0)</f>
        <v>0</v>
      </c>
      <c r="DQ59" s="23" t="n">
        <f aca="false">IF(AND(CC59=1,INT(N(H59))&lt;=Config!$B$7,DI59=1,EI59=0),1,0)</f>
        <v>0</v>
      </c>
      <c r="DR59" s="23" t="n">
        <f aca="false">IF(AND(CC59=1,INT(N(H59))&lt;=Config!$B$8,DJ59=1,EI59=0),1,0)</f>
        <v>0</v>
      </c>
      <c r="DS59" s="23" t="n">
        <f aca="false">IF(AND(CC59=1,INT(N(H59))&lt;=Config!$B$5,DK59=1,EI59=0),1,0)</f>
        <v>0</v>
      </c>
      <c r="DT59" s="23" t="n">
        <f aca="false">IF(AND(CC59=1,INT(N(H59))&lt;=Config!$B$6,DH59=0),1,0)</f>
        <v>0</v>
      </c>
      <c r="DU59" s="23" t="n">
        <f aca="false">IF(AND(CC59=1,INT(N(H59))&lt;=Config!$B$7,DI59=0),1,0)</f>
        <v>0</v>
      </c>
      <c r="DV59" s="23" t="n">
        <f aca="false">IF(AND(CC59=1,INT(N(H59))&lt;=Config!$B$8,DJ59=0),1,0)</f>
        <v>0</v>
      </c>
      <c r="DW59" s="23" t="n">
        <f aca="false">IF(AND(CC59=1,INT(N(H59))&lt;=Config!$B$5,DK59=0),1,0)</f>
        <v>0</v>
      </c>
      <c r="DX59" s="23" t="n">
        <f aca="false">IF(TRIM($A59)="",0,ISTEXT(M59)+ISTEXT(O59)+ISTEXT(Y59)+ISTEXT(Z59)+ISTEXT(AA59)+ISTEXT(AV59))</f>
        <v>0</v>
      </c>
      <c r="DY59" s="23" t="n">
        <f aca="false">IF(BB59=1,IF(H59&lt;&gt;INT(H59),1,0),0)</f>
        <v>0</v>
      </c>
      <c r="DZ59" s="23" t="str">
        <f aca="false">IF(TRIM($A59)="","",IF(TRIM(B59)="",SUBSTITUTE(SUBSTITUTE(SUBSTITUTE(SUBSTITUTE(SUBSTITUTE(SUBSTITUTE(LOWER(TRIM($A59)),"~",""),"*",""),"?",""),"&lt;",""),"&gt;",""),"=",""),SUBSTITUTE(SUBSTITUTE(SUBSTITUTE(SUBSTITUTE(SUBSTITUTE(SUBSTITUTE(LOWER(TRIM(B59)),"~",""),"*",""),"?",""),"&lt;",""),"&gt;",""),"=","")))</f>
        <v/>
      </c>
      <c r="EA59" s="23" t="str">
        <f aca="false">IF(CW59="","",IFERROR(IF(LEFT(LOWER(TRIM(INDEX(Clay_Offices!$A$2:$FZ$601,CW59,Sync!$C$19)&amp;"")),4)="grp-",SUBSTITUTE(SUBSTITUTE(SUBSTITUTE(SUBSTITUTE(SUBSTITUTE(SUBSTITUTE(LOWER(TRIM(INDEX(Clay_Offices!$A$2:$FZ$601,CW59,Sync!$C$19)&amp;"")),"~",""),"*",""),"?",""),"&lt;",""),"&gt;",""),"=",""),""),""))</f>
        <v/>
      </c>
      <c r="EB59" s="23" t="str">
        <f aca="false">IF(EA59&lt;&gt;"",DZ59,"")</f>
        <v/>
      </c>
      <c r="EC59" s="23" t="str">
        <f aca="false">IF(BC59=1,AZ59,"")</f>
        <v/>
      </c>
      <c r="ED59" s="23" t="str">
        <f aca="false">IF(TRIM($A59)="","",IFERROR(INDEX($A$2:$A$201,MATCH(AZ59,$EC$2:$EC$201,0))&amp;"",$A59&amp;""))</f>
        <v/>
      </c>
      <c r="EE59" s="23" t="n">
        <f aca="false">IF(BB59=1,IF(COUNTIFS($A$2:$A$201,$A59,$BB$2:$BB$201,1,$H$2:$H$201,"&lt;"&amp;H59)+COUNTIFS($A$2:$A$201,$A59,$BB$2:$BB$201,1,$H$2:$H$201,H59,$BA$2:$BA$201,"&lt;"&amp;BA59)=0,1,0),0)</f>
        <v>0</v>
      </c>
      <c r="EF59" s="23" t="n">
        <f aca="false">IF(BC59=1,IF(COUNTIFS($AZ$2:$AZ$201,AZ59,$EE$2:$EE$201,1)&gt;1,1,0),0)</f>
        <v>0</v>
      </c>
      <c r="EG59" s="23" t="n">
        <f aca="false">IF(AND(CQ59=1),IF(COUNTIFS($AZ$2:$AZ$201,AZ59,$CQ$2:$CQ$201,1,$H$2:$H$201,"&gt;"&amp;H59)+COUNTIFS($AZ$2:$AZ$201,AZ59,$CQ$2:$CQ$201,1,$H$2:$H$201,H59,$BA$2:$BA$201,"&gt;"&amp;BA59)=0,1,0),0)</f>
        <v>0</v>
      </c>
      <c r="EH59" s="23" t="str">
        <f aca="false">IF(BB59=1,IF(COUNTIFS($AZ$2:$AZ$201,AZ59,$EG$2:$EG$201,1)=0,"",SUMIFS($O$2:$O$201,$AZ$2:$AZ$201,AZ59,$EG$2:$EG$201,1)),"")</f>
        <v/>
      </c>
      <c r="EI59" s="23" t="n">
        <f aca="false">IF(AND(ISNUMBER(EH59),OR(N(EH59)&lt;Config!$B$31,N(EH59)&gt;Config!$B$33)),1,0)</f>
        <v>0</v>
      </c>
      <c r="EJ59" s="23" t="n">
        <f aca="false">IF(AND(ISNUMBER(EH59),N(EH59)&gt;=Config!$B$31,N(EH59)&lt;Config!$B$32),1,0)</f>
        <v>0</v>
      </c>
      <c r="EK59" s="23" t="n">
        <f aca="false">IF(AND(BF59=1,INT(N(H59))&lt;=Config!$B$6,DH59=1,EI59=1),1,0)</f>
        <v>0</v>
      </c>
      <c r="EL59" s="23" t="n">
        <f aca="false">IF(AND(BF59=1,INT(N(H59))&lt;=Config!$B$7,DI59=1,EI59=1),1,0)</f>
        <v>0</v>
      </c>
      <c r="EM59" s="23" t="n">
        <f aca="false">IF(AND(BF59=1,INT(N(H59))&lt;=Config!$B$8,DJ59=1,EI59=1),1,0)</f>
        <v>0</v>
      </c>
      <c r="EN59" s="23" t="n">
        <f aca="false">IF(AND(BF59=1,INT(N(H59))&lt;=Config!$B$5,DK59=1,EI59=1),1,0)</f>
        <v>0</v>
      </c>
      <c r="EO59" s="23" t="n">
        <f aca="false">IF(AND(DL59=1,EJ59=1),1,0)</f>
        <v>0</v>
      </c>
      <c r="EP59" s="23" t="n">
        <f aca="false">IF(AND(DM59=1,EJ59=1),1,0)</f>
        <v>0</v>
      </c>
      <c r="EQ59" s="23" t="n">
        <f aca="false">IF(AND(DN59=1,EJ59=1),1,0)</f>
        <v>0</v>
      </c>
      <c r="ER59" s="23" t="n">
        <f aca="false">IF(AND(DO59=1,EJ59=1),1,0)</f>
        <v>0</v>
      </c>
    </row>
    <row r="60" customFormat="false" ht="15" hidden="false" customHeight="false" outlineLevel="0" collapsed="false">
      <c r="G60" s="32"/>
      <c r="H60" s="33"/>
      <c r="I60" s="32"/>
      <c r="L60" s="32"/>
      <c r="Q60" s="32"/>
      <c r="U60" s="32"/>
      <c r="W60" s="32"/>
      <c r="AC60" s="32"/>
      <c r="AF60" s="32"/>
      <c r="AI60" s="32"/>
      <c r="AJ60" s="32"/>
      <c r="AN60" s="32"/>
      <c r="AR60" s="32"/>
      <c r="AT60" s="32"/>
      <c r="AU60" s="32"/>
      <c r="AW60" s="32"/>
      <c r="AY60" s="34" t="str">
        <f aca="false">IF(TRIM($A60)="","",IF(AND(LEFT($A60,6)="SAMPLE",Config!$B$19&lt;&gt;"Y"),"",IF(NOT(ISNUMBER(H60)),"call_date is blank or not a date",IF(Sync!$C$5="","Clay paste is empty or has no row_id column: paste the Clay export on Clay_Offices",IF(CW60="","row_id not found in the Clay paste: add the Clay row or fix the row_id",IF(AND(ISNUMBER(CY60),CY60&gt;=1,CY60&lt;=5),"Clay status is "&amp;CX60&amp;": set call_done or later",IF(AND(BD60=1,CZ60&lt;&gt;BZ60),"Clay yes_in_principle should be "&amp;BZ60,IF(AND(BD60=1,DA60&lt;&gt;H60),"Clay call_date should be "&amp;TEXT(H60,"yyyy-mm-dd"),""))))))))</f>
        <v/>
      </c>
      <c r="AZ60" s="23" t="str">
        <f aca="false">IF(TRIM($A60)="","",IF(TRIM(C60)&lt;&gt;"",SUBSTITUTE(SUBSTITUTE(SUBSTITUTE(SUBSTITUTE(SUBSTITUTE(SUBSTITUTE(LOWER(TRIM(C60)),"~",""),"*",""),"?",""),"&lt;",""),"&gt;",""),"=",""),IF(EA60&lt;&gt;"",EA60,IFERROR(INDEX($EA$2:$EA$201,MATCH(DZ60,$EB$2:$EB$201,0)),DZ60))))</f>
        <v/>
      </c>
      <c r="BA60" s="23" t="n">
        <f aca="false">ROW()</f>
        <v>60</v>
      </c>
      <c r="BB60" s="23" t="n">
        <f aca="false">IF(AND(TRIM($A60)&lt;&gt;"",ISNUMBER(H60)),IF(AND(LEFT($A60,6)="SAMPLE",Config!$B$19&lt;&gt;"Y"),0,1),0)</f>
        <v>0</v>
      </c>
      <c r="BC60" s="23" t="n">
        <f aca="false">IF(BB60=1,IF(COUNTIFS($AZ$2:$AZ$201,AZ60,$BB$2:$BB$201,1,$H$2:$H$201,"&lt;"&amp;H60)+COUNTIFS($AZ$2:$AZ$201,AZ60,$BB$2:$BB$201,1,$H$2:$H$201,H60,$BA$2:$BA$201,"&lt;"&amp;BA60)=0,1,0),0)</f>
        <v>0</v>
      </c>
      <c r="BD60" s="23" t="n">
        <f aca="false">IF(BB60=1,IF(COUNTIFS($A$2:$A$201,$A60,$BB$2:$BB$201,1,$H$2:$H$201,"&gt;"&amp;H60)+COUNTIFS($A$2:$A$201,$A60,$BB$2:$BB$201,1,$H$2:$H$201,H60,$BA$2:$BA$201,"&gt;"&amp;BA60)=0,1,0),0)</f>
        <v>0</v>
      </c>
      <c r="BE60" s="23" t="n">
        <f aca="false">IF(AND(BB60=1,AR60="Y",AC60="Y",TRIM(AH60)&lt;&gt;""),1,0)</f>
        <v>0</v>
      </c>
      <c r="BF60" s="23" t="n">
        <f aca="false">IF(BE60=1,IF(COUNTIFS($AZ$2:$AZ$201,AZ60,$BE$2:$BE$201,1,$H$2:$H$201,"&lt;"&amp;H60)+COUNTIFS($AZ$2:$AZ$201,AZ60,$BE$2:$BE$201,1,$H$2:$H$201,H60,$BA$2:$BA$201,"&lt;"&amp;BA60)=0,1,0),0)</f>
        <v>0</v>
      </c>
      <c r="BG60" s="23" t="n">
        <f aca="false">IF(AND(BB60=1,AR60="Y",BE60=0),1,0)</f>
        <v>0</v>
      </c>
      <c r="BH60" s="23" t="n">
        <f aca="false">IF(AND(BB60=1,ISNUMBER(Y60)),1,0)</f>
        <v>0</v>
      </c>
      <c r="BI60" s="23" t="n">
        <f aca="false">IF(BH60=1,IF(COUNTIFS($AZ$2:$AZ$201,AZ60,$BH$2:$BH$201,1,$H$2:$H$201,"&lt;"&amp;H60)+COUNTIFS($AZ$2:$AZ$201,AZ60,$BH$2:$BH$201,1,$H$2:$H$201,H60,$BA$2:$BA$201,"&lt;"&amp;BA60)=0,1,0),0)</f>
        <v>0</v>
      </c>
      <c r="BJ60" s="23" t="str">
        <f aca="false">IF(AND(BI60=1,INT(N(H60))&lt;=Config!$B$6),Y60,"")</f>
        <v/>
      </c>
      <c r="BK60" s="23" t="str">
        <f aca="false">IF(AND(BI60=1,INT(N(H60))&lt;=Config!$B$7),Y60,"")</f>
        <v/>
      </c>
      <c r="BL60" s="23" t="str">
        <f aca="false">IF(AND(BI60=1,INT(N(H60))&lt;=Config!$B$8),Y60,"")</f>
        <v/>
      </c>
      <c r="BM60" s="23" t="str">
        <f aca="false">IF(AND(BI60=1,INT(N(H60))&lt;=Config!$B$5),Y60,"")</f>
        <v/>
      </c>
      <c r="BN60" s="23" t="n">
        <f aca="false">IF(CD60=1,IF(COUNTIFS($AZ$2:$AZ$201,AZ60,$CD$2:$CD$201,1,$H$2:$H$201,"&lt;"&amp;H60)+COUNTIFS($AZ$2:$AZ$201,AZ60,$CD$2:$CD$201,1,$H$2:$H$201,H60,$BA$2:$BA$201,"&lt;"&amp;BA60)=0,1,0),0)</f>
        <v>0</v>
      </c>
      <c r="BO60" s="23" t="n">
        <f aca="false">IF(AND(BB60=1,ISNUMBER(M60)),1,0)</f>
        <v>0</v>
      </c>
      <c r="BP60" s="23" t="n">
        <f aca="false">IF(BO60=1,IF(COUNTIFS($AZ$2:$AZ$201,AZ60,$BO$2:$BO$201,1,$H$2:$H$201,"&lt;"&amp;H60)+COUNTIFS($AZ$2:$AZ$201,AZ60,$BO$2:$BO$201,1,$H$2:$H$201,H60,$BA$2:$BA$201,"&lt;"&amp;BA60)=0,1,0),0)</f>
        <v>0</v>
      </c>
      <c r="BQ60" s="23" t="str">
        <f aca="false">IF(AND(BP60=1,INT(N(H60))&lt;=Config!$B$5),M60,"")</f>
        <v/>
      </c>
      <c r="BR60" s="23" t="n">
        <f aca="false">IF(AND(BB60=1,OR(TRIM(X60)&lt;&gt;"",ISNUMBER(Y60))),1,0)</f>
        <v>0</v>
      </c>
      <c r="BS60" s="23" t="n">
        <f aca="false">IF(BR60=1,IF(COUNTIFS($AZ$2:$AZ$201,AZ60,$BR$2:$BR$201,1,$H$2:$H$201,"&lt;"&amp;H60)+COUNTIFS($AZ$2:$AZ$201,AZ60,$BR$2:$BR$201,1,$H$2:$H$201,H60,$BA$2:$BA$201,"&lt;"&amp;BA60)=0,1,0),0)</f>
        <v>0</v>
      </c>
      <c r="BT60" s="23" t="str">
        <f aca="false">IF(BS60=1,AZ60,"")</f>
        <v/>
      </c>
      <c r="BU60" s="23" t="n">
        <f aca="false">IF(AND(BB60=1,W60="Y",TRIM(X60)=""),1,0)</f>
        <v>0</v>
      </c>
      <c r="BV60" s="23" t="str">
        <f aca="false">IF(BB60=1,AN60&amp;"","")</f>
        <v/>
      </c>
      <c r="BW60" s="23" t="str">
        <f aca="false">IF(BB60=1,AO60&amp;"","")</f>
        <v/>
      </c>
      <c r="BX60" s="23" t="str">
        <f aca="false">IF(BB60=1,AP60&amp;"","")</f>
        <v/>
      </c>
      <c r="BY60" s="23" t="str">
        <f aca="false">IF(AND(BB60=1,ISNUMBER(AV60),INT(N(H60))&lt;=Config!$B$5),AV60,"")</f>
        <v/>
      </c>
      <c r="BZ60" s="23" t="str">
        <f aca="false">IF(BB60=1,IF(COUNTIFS($A$2:$A$201,$A60,$DC$2:$DC$201,1,$AR$2:$AR$201,"Y")&gt;0,"Y","N"),"")</f>
        <v/>
      </c>
      <c r="CA60" s="23" t="n">
        <f aca="false">IF(AND(BB60=1,AR60="maybe"),1,0)</f>
        <v>0</v>
      </c>
      <c r="CB60" s="23" t="n">
        <f aca="false">IF(CA60=1,IF(COUNTIFS($AZ$2:$AZ$201,AZ60,$CA$2:$CA$201,1,$H$2:$H$201,"&lt;"&amp;H60)+COUNTIFS($AZ$2:$AZ$201,AZ60,$CA$2:$CA$201,1,$H$2:$H$201,H60,$BA$2:$BA$201,"&lt;"&amp;BA60)=0,1,0),0)</f>
        <v>0</v>
      </c>
      <c r="CC60" s="23" t="n">
        <f aca="false">IF(AND(BB60=1,AR60="Y"),IF(COUNTIFS($AZ$2:$AZ$201,AZ60,$AR$2:$AR$201,"Y",$BB$2:$BB$201,1,$H$2:$H$201,"&lt;"&amp;H60)+COUNTIFS($AZ$2:$AZ$201,AZ60,$AR$2:$AR$201,"Y",$BB$2:$BB$201,1,$H$2:$H$201,H60,$BA$2:$BA$201,"&lt;"&amp;BA60)=0,1,0),0)</f>
        <v>0</v>
      </c>
      <c r="CD60" s="23" t="n">
        <f aca="false">IF(AND(BH60=1,N(Y60)&gt;=Config!$B$15),1,0)</f>
        <v>0</v>
      </c>
      <c r="CE60" s="23" t="n">
        <f aca="false">IF(AND(BB60=1,AT60="Y"),1,0)</f>
        <v>0</v>
      </c>
      <c r="CF60" s="23" t="n">
        <f aca="false">IF(CE60=1,IF(COUNTIFS($AZ$2:$AZ$201,AZ60,$CE$2:$CE$201,1,$H$2:$H$201,"&lt;"&amp;H60)+COUNTIFS($AZ$2:$AZ$201,AZ60,$CE$2:$CE$201,1,$H$2:$H$201,H60,$BA$2:$BA$201,"&lt;"&amp;BA60)=0,1,0),0)</f>
        <v>0</v>
      </c>
      <c r="CG60" s="23" t="n">
        <f aca="false">IF(AND(BB60=1,G60="warm-intro"),1,0)</f>
        <v>0</v>
      </c>
      <c r="CH60" s="23" t="n">
        <f aca="false">IF(CG60=1,IF(COUNTIFS($AZ$2:$AZ$201,AZ60,$CG$2:$CG$201,1,$H$2:$H$201,"&lt;"&amp;H60)+COUNTIFS($AZ$2:$AZ$201,AZ60,$CG$2:$CG$201,1,$H$2:$H$201,H60,$BA$2:$BA$201,"&lt;"&amp;BA60)=0,1,0),0)</f>
        <v>0</v>
      </c>
      <c r="CI60" s="23" t="n">
        <f aca="false">IF(AND(BB60=1,Q60="Y"),1,0)</f>
        <v>0</v>
      </c>
      <c r="CJ60" s="23" t="n">
        <f aca="false">IF(CI60=1,IF(COUNTIFS($AZ$2:$AZ$201,AZ60,$CI$2:$CI$201,1,$H$2:$H$201,"&lt;"&amp;H60)+COUNTIFS($AZ$2:$AZ$201,AZ60,$CI$2:$CI$201,1,$H$2:$H$201,H60,$BA$2:$BA$201,"&lt;"&amp;BA60)=0,1,0),0)</f>
        <v>0</v>
      </c>
      <c r="CK60" s="23" t="n">
        <f aca="false">IF(AND(BB60=1,AF60="Y"),1,0)</f>
        <v>0</v>
      </c>
      <c r="CL60" s="23" t="n">
        <f aca="false">IF(CK60=1,IF(COUNTIFS($AZ$2:$AZ$201,AZ60,$CK$2:$CK$201,1,$H$2:$H$201,"&lt;"&amp;H60)+COUNTIFS($AZ$2:$AZ$201,AZ60,$CK$2:$CK$201,1,$H$2:$H$201,H60,$BA$2:$BA$201,"&lt;"&amp;BA60)=0,1,0),0)</f>
        <v>0</v>
      </c>
      <c r="CM60" s="23" t="n">
        <f aca="false">IF(AND(BB60=1,U60="Y"),1,0)</f>
        <v>0</v>
      </c>
      <c r="CN60" s="23" t="n">
        <f aca="false">IF(CM60=1,IF(COUNTIFS($AZ$2:$AZ$201,AZ60,$CM$2:$CM$201,1,$H$2:$H$201,"&lt;"&amp;H60)+COUNTIFS($AZ$2:$AZ$201,AZ60,$CM$2:$CM$201,1,$H$2:$H$201,H60,$BA$2:$BA$201,"&lt;"&amp;BA60)=0,1,0),0)</f>
        <v>0</v>
      </c>
      <c r="CO60" s="23" t="n">
        <f aca="false">IF(AND(BB60=1,L60="Y"),1,0)</f>
        <v>0</v>
      </c>
      <c r="CP60" s="23" t="n">
        <f aca="false">IF(CO60=1,IF(COUNTIFS($AZ$2:$AZ$201,AZ60,$CO$2:$CO$201,1,$H$2:$H$201,"&lt;"&amp;H60)+COUNTIFS($AZ$2:$AZ$201,AZ60,$CO$2:$CO$201,1,$H$2:$H$201,H60,$BA$2:$BA$201,"&lt;"&amp;BA60)=0,1,0),0)</f>
        <v>0</v>
      </c>
      <c r="CQ60" s="23" t="n">
        <f aca="false">IF(AND(BB60=1,ISNUMBER(O60)),1,0)</f>
        <v>0</v>
      </c>
      <c r="CR60" s="23" t="n">
        <f aca="false">IF(CQ60=1,IF(COUNTIFS($AZ$2:$AZ$201,AZ60,$CQ$2:$CQ$201,1,$H$2:$H$201,"&lt;"&amp;H60)+COUNTIFS($AZ$2:$AZ$201,AZ60,$CQ$2:$CQ$201,1,$H$2:$H$201,H60,$BA$2:$BA$201,"&lt;"&amp;BA60)=0,1,0),0)</f>
        <v>0</v>
      </c>
      <c r="CS60" s="23" t="str">
        <f aca="false">IF(AND(CR60=1,INT(N(H60))&lt;=Config!$B$5),O60,"")</f>
        <v/>
      </c>
      <c r="CT60" s="23" t="str">
        <f aca="false">IF(AND(BB60=1,INT(N(H60))&lt;=Config!$B$5),AG60&amp;"","")</f>
        <v/>
      </c>
      <c r="CU60" s="23" t="n">
        <f aca="false">IF(AND(BB60=1,AU60="Y"),1,0)</f>
        <v>0</v>
      </c>
      <c r="CV60" s="23" t="n">
        <f aca="false">IF(CU60=1,IF(COUNTIFS($AZ$2:$AZ$201,AZ60,$CU$2:$CU$201,1,$H$2:$H$201,"&lt;"&amp;H60)+COUNTIFS($AZ$2:$AZ$201,AZ60,$CU$2:$CU$201,1,$H$2:$H$201,H60,$BA$2:$BA$201,"&lt;"&amp;BA60)=0,1,0),0)</f>
        <v>0</v>
      </c>
      <c r="CW60" s="23" t="str">
        <f aca="false">IF(BB60=1,IFERROR(MATCH($A60,INDEX(Clay_Offices!$A$2:$FZ$601,0,Sync!$C$5),0),""),"")</f>
        <v/>
      </c>
      <c r="CX60" s="23" t="str">
        <f aca="false">IF(CW60="","",IFERROR(INDEX(Clay_Offices!$A$2:$FZ$601,CW60,Sync!$C$7)&amp;"",""))</f>
        <v/>
      </c>
      <c r="CY60" s="23" t="str">
        <f aca="false">IF(CX60="","",IFERROR(INDEX(Lists!$K$2:$K$15,MATCH(CX60,Lists!$J$2:$J$15,0)),""))</f>
        <v/>
      </c>
      <c r="CZ60" s="23" t="str">
        <f aca="false">IF(CW60="","",IFERROR(INDEX(Clay_Offices!$A$2:$FZ$601,CW60,Sync!$C$17)&amp;"",""))</f>
        <v/>
      </c>
      <c r="DA60" s="35" t="str">
        <f aca="false">IF(CW60="","",IFERROR(N(INDEX(Clay_Offices!$A$2:$FZ$601,CW60,Sync!$C$16)),0))</f>
        <v/>
      </c>
      <c r="DB60" s="23" t="n">
        <f aca="false">IF(AND(BB60=1,OR(AR60="Y",AR60="N",AR60="maybe")),1,0)</f>
        <v>0</v>
      </c>
      <c r="DC60" s="23" t="n">
        <f aca="false">IF(AND(DB60=1),IF(COUNTIFS($A$2:$A$201,$A60,$DB$2:$DB$201,1,$H$2:$H$201,"&gt;"&amp;H60)+COUNTIFS($A$2:$A$201,$A60,$DB$2:$DB$201,1,$H$2:$H$201,H60,$BA$2:$BA$201,"&gt;"&amp;BA60)=0,1,0),0)</f>
        <v>0</v>
      </c>
      <c r="DD60" s="23" t="n">
        <f aca="false">IF(AND(DB60=1,INT(N(H60))&lt;=Config!$B$6),IF(COUNTIFS($AZ$2:$AZ$201,AZ60,$DB$2:$DB$201,1,$H$2:$H$201,"&gt;"&amp;H60,$H$2:$H$201,"&lt;"&amp;(Config!$B$6+1))+COUNTIFS($AZ$2:$AZ$201,AZ60,$DB$2:$DB$201,1,$H$2:$H$201,H60,$BA$2:$BA$201,"&gt;"&amp;BA60)=0,1,0),0)</f>
        <v>0</v>
      </c>
      <c r="DE60" s="23" t="n">
        <f aca="false">IF(AND(DB60=1,INT(N(H60))&lt;=Config!$B$7),IF(COUNTIFS($AZ$2:$AZ$201,AZ60,$DB$2:$DB$201,1,$H$2:$H$201,"&gt;"&amp;H60,$H$2:$H$201,"&lt;"&amp;(Config!$B$7+1))+COUNTIFS($AZ$2:$AZ$201,AZ60,$DB$2:$DB$201,1,$H$2:$H$201,H60,$BA$2:$BA$201,"&gt;"&amp;BA60)=0,1,0),0)</f>
        <v>0</v>
      </c>
      <c r="DF60" s="23" t="n">
        <f aca="false">IF(AND(DB60=1,INT(N(H60))&lt;=Config!$B$8),IF(COUNTIFS($AZ$2:$AZ$201,AZ60,$DB$2:$DB$201,1,$H$2:$H$201,"&gt;"&amp;H60,$H$2:$H$201,"&lt;"&amp;(Config!$B$8+1))+COUNTIFS($AZ$2:$AZ$201,AZ60,$DB$2:$DB$201,1,$H$2:$H$201,H60,$BA$2:$BA$201,"&gt;"&amp;BA60)=0,1,0),0)</f>
        <v>0</v>
      </c>
      <c r="DG60" s="23" t="n">
        <f aca="false">IF(AND(DB60=1,INT(N(H60))&lt;=Config!$B$5),IF(COUNTIFS($AZ$2:$AZ$201,AZ60,$DB$2:$DB$201,1,$H$2:$H$201,"&gt;"&amp;H60,$H$2:$H$201,"&lt;"&amp;(Config!$B$5+1))+COUNTIFS($AZ$2:$AZ$201,AZ60,$DB$2:$DB$201,1,$H$2:$H$201,H60,$BA$2:$BA$201,"&gt;"&amp;BA60)=0,1,0),0)</f>
        <v>0</v>
      </c>
      <c r="DH60" s="23" t="n">
        <f aca="false">IF(BB60=1,IF(COUNTIFS($AZ$2:$AZ$201,AZ60,$DD$2:$DD$201,1,$AR$2:$AR$201,"Y")&gt;0,1,0),0)</f>
        <v>0</v>
      </c>
      <c r="DI60" s="23" t="n">
        <f aca="false">IF(BB60=1,IF(COUNTIFS($AZ$2:$AZ$201,AZ60,$DE$2:$DE$201,1,$AR$2:$AR$201,"Y")&gt;0,1,0),0)</f>
        <v>0</v>
      </c>
      <c r="DJ60" s="23" t="n">
        <f aca="false">IF(BB60=1,IF(COUNTIFS($AZ$2:$AZ$201,AZ60,$DF$2:$DF$201,1,$AR$2:$AR$201,"Y")&gt;0,1,0),0)</f>
        <v>0</v>
      </c>
      <c r="DK60" s="23" t="n">
        <f aca="false">IF(BB60=1,IF(COUNTIFS($AZ$2:$AZ$201,AZ60,$DG$2:$DG$201,1,$AR$2:$AR$201,"Y")&gt;0,1,0),0)</f>
        <v>0</v>
      </c>
      <c r="DL60" s="23" t="n">
        <f aca="false">IF(AND(BF60=1,INT(N(H60))&lt;=Config!$B$6,DH60=1,EI60=0),1,0)</f>
        <v>0</v>
      </c>
      <c r="DM60" s="23" t="n">
        <f aca="false">IF(AND(BF60=1,INT(N(H60))&lt;=Config!$B$7,DI60=1,EI60=0),1,0)</f>
        <v>0</v>
      </c>
      <c r="DN60" s="23" t="n">
        <f aca="false">IF(AND(BF60=1,INT(N(H60))&lt;=Config!$B$8,DJ60=1,EI60=0),1,0)</f>
        <v>0</v>
      </c>
      <c r="DO60" s="23" t="n">
        <f aca="false">IF(AND(BF60=1,INT(N(H60))&lt;=Config!$B$5,DK60=1,EI60=0),1,0)</f>
        <v>0</v>
      </c>
      <c r="DP60" s="23" t="n">
        <f aca="false">IF(AND(CC60=1,INT(N(H60))&lt;=Config!$B$6,DH60=1,EI60=0),1,0)</f>
        <v>0</v>
      </c>
      <c r="DQ60" s="23" t="n">
        <f aca="false">IF(AND(CC60=1,INT(N(H60))&lt;=Config!$B$7,DI60=1,EI60=0),1,0)</f>
        <v>0</v>
      </c>
      <c r="DR60" s="23" t="n">
        <f aca="false">IF(AND(CC60=1,INT(N(H60))&lt;=Config!$B$8,DJ60=1,EI60=0),1,0)</f>
        <v>0</v>
      </c>
      <c r="DS60" s="23" t="n">
        <f aca="false">IF(AND(CC60=1,INT(N(H60))&lt;=Config!$B$5,DK60=1,EI60=0),1,0)</f>
        <v>0</v>
      </c>
      <c r="DT60" s="23" t="n">
        <f aca="false">IF(AND(CC60=1,INT(N(H60))&lt;=Config!$B$6,DH60=0),1,0)</f>
        <v>0</v>
      </c>
      <c r="DU60" s="23" t="n">
        <f aca="false">IF(AND(CC60=1,INT(N(H60))&lt;=Config!$B$7,DI60=0),1,0)</f>
        <v>0</v>
      </c>
      <c r="DV60" s="23" t="n">
        <f aca="false">IF(AND(CC60=1,INT(N(H60))&lt;=Config!$B$8,DJ60=0),1,0)</f>
        <v>0</v>
      </c>
      <c r="DW60" s="23" t="n">
        <f aca="false">IF(AND(CC60=1,INT(N(H60))&lt;=Config!$B$5,DK60=0),1,0)</f>
        <v>0</v>
      </c>
      <c r="DX60" s="23" t="n">
        <f aca="false">IF(TRIM($A60)="",0,ISTEXT(M60)+ISTEXT(O60)+ISTEXT(Y60)+ISTEXT(Z60)+ISTEXT(AA60)+ISTEXT(AV60))</f>
        <v>0</v>
      </c>
      <c r="DY60" s="23" t="n">
        <f aca="false">IF(BB60=1,IF(H60&lt;&gt;INT(H60),1,0),0)</f>
        <v>0</v>
      </c>
      <c r="DZ60" s="23" t="str">
        <f aca="false">IF(TRIM($A60)="","",IF(TRIM(B60)="",SUBSTITUTE(SUBSTITUTE(SUBSTITUTE(SUBSTITUTE(SUBSTITUTE(SUBSTITUTE(LOWER(TRIM($A60)),"~",""),"*",""),"?",""),"&lt;",""),"&gt;",""),"=",""),SUBSTITUTE(SUBSTITUTE(SUBSTITUTE(SUBSTITUTE(SUBSTITUTE(SUBSTITUTE(LOWER(TRIM(B60)),"~",""),"*",""),"?",""),"&lt;",""),"&gt;",""),"=","")))</f>
        <v/>
      </c>
      <c r="EA60" s="23" t="str">
        <f aca="false">IF(CW60="","",IFERROR(IF(LEFT(LOWER(TRIM(INDEX(Clay_Offices!$A$2:$FZ$601,CW60,Sync!$C$19)&amp;"")),4)="grp-",SUBSTITUTE(SUBSTITUTE(SUBSTITUTE(SUBSTITUTE(SUBSTITUTE(SUBSTITUTE(LOWER(TRIM(INDEX(Clay_Offices!$A$2:$FZ$601,CW60,Sync!$C$19)&amp;"")),"~",""),"*",""),"?",""),"&lt;",""),"&gt;",""),"=",""),""),""))</f>
        <v/>
      </c>
      <c r="EB60" s="23" t="str">
        <f aca="false">IF(EA60&lt;&gt;"",DZ60,"")</f>
        <v/>
      </c>
      <c r="EC60" s="23" t="str">
        <f aca="false">IF(BC60=1,AZ60,"")</f>
        <v/>
      </c>
      <c r="ED60" s="23" t="str">
        <f aca="false">IF(TRIM($A60)="","",IFERROR(INDEX($A$2:$A$201,MATCH(AZ60,$EC$2:$EC$201,0))&amp;"",$A60&amp;""))</f>
        <v/>
      </c>
      <c r="EE60" s="23" t="n">
        <f aca="false">IF(BB60=1,IF(COUNTIFS($A$2:$A$201,$A60,$BB$2:$BB$201,1,$H$2:$H$201,"&lt;"&amp;H60)+COUNTIFS($A$2:$A$201,$A60,$BB$2:$BB$201,1,$H$2:$H$201,H60,$BA$2:$BA$201,"&lt;"&amp;BA60)=0,1,0),0)</f>
        <v>0</v>
      </c>
      <c r="EF60" s="23" t="n">
        <f aca="false">IF(BC60=1,IF(COUNTIFS($AZ$2:$AZ$201,AZ60,$EE$2:$EE$201,1)&gt;1,1,0),0)</f>
        <v>0</v>
      </c>
      <c r="EG60" s="23" t="n">
        <f aca="false">IF(AND(CQ60=1),IF(COUNTIFS($AZ$2:$AZ$201,AZ60,$CQ$2:$CQ$201,1,$H$2:$H$201,"&gt;"&amp;H60)+COUNTIFS($AZ$2:$AZ$201,AZ60,$CQ$2:$CQ$201,1,$H$2:$H$201,H60,$BA$2:$BA$201,"&gt;"&amp;BA60)=0,1,0),0)</f>
        <v>0</v>
      </c>
      <c r="EH60" s="23" t="str">
        <f aca="false">IF(BB60=1,IF(COUNTIFS($AZ$2:$AZ$201,AZ60,$EG$2:$EG$201,1)=0,"",SUMIFS($O$2:$O$201,$AZ$2:$AZ$201,AZ60,$EG$2:$EG$201,1)),"")</f>
        <v/>
      </c>
      <c r="EI60" s="23" t="n">
        <f aca="false">IF(AND(ISNUMBER(EH60),OR(N(EH60)&lt;Config!$B$31,N(EH60)&gt;Config!$B$33)),1,0)</f>
        <v>0</v>
      </c>
      <c r="EJ60" s="23" t="n">
        <f aca="false">IF(AND(ISNUMBER(EH60),N(EH60)&gt;=Config!$B$31,N(EH60)&lt;Config!$B$32),1,0)</f>
        <v>0</v>
      </c>
      <c r="EK60" s="23" t="n">
        <f aca="false">IF(AND(BF60=1,INT(N(H60))&lt;=Config!$B$6,DH60=1,EI60=1),1,0)</f>
        <v>0</v>
      </c>
      <c r="EL60" s="23" t="n">
        <f aca="false">IF(AND(BF60=1,INT(N(H60))&lt;=Config!$B$7,DI60=1,EI60=1),1,0)</f>
        <v>0</v>
      </c>
      <c r="EM60" s="23" t="n">
        <f aca="false">IF(AND(BF60=1,INT(N(H60))&lt;=Config!$B$8,DJ60=1,EI60=1),1,0)</f>
        <v>0</v>
      </c>
      <c r="EN60" s="23" t="n">
        <f aca="false">IF(AND(BF60=1,INT(N(H60))&lt;=Config!$B$5,DK60=1,EI60=1),1,0)</f>
        <v>0</v>
      </c>
      <c r="EO60" s="23" t="n">
        <f aca="false">IF(AND(DL60=1,EJ60=1),1,0)</f>
        <v>0</v>
      </c>
      <c r="EP60" s="23" t="n">
        <f aca="false">IF(AND(DM60=1,EJ60=1),1,0)</f>
        <v>0</v>
      </c>
      <c r="EQ60" s="23" t="n">
        <f aca="false">IF(AND(DN60=1,EJ60=1),1,0)</f>
        <v>0</v>
      </c>
      <c r="ER60" s="23" t="n">
        <f aca="false">IF(AND(DO60=1,EJ60=1),1,0)</f>
        <v>0</v>
      </c>
    </row>
    <row r="61" customFormat="false" ht="15" hidden="false" customHeight="false" outlineLevel="0" collapsed="false">
      <c r="G61" s="32"/>
      <c r="H61" s="33"/>
      <c r="I61" s="32"/>
      <c r="L61" s="32"/>
      <c r="Q61" s="32"/>
      <c r="U61" s="32"/>
      <c r="W61" s="32"/>
      <c r="AC61" s="32"/>
      <c r="AF61" s="32"/>
      <c r="AI61" s="32"/>
      <c r="AJ61" s="32"/>
      <c r="AN61" s="32"/>
      <c r="AR61" s="32"/>
      <c r="AT61" s="32"/>
      <c r="AU61" s="32"/>
      <c r="AW61" s="32"/>
      <c r="AY61" s="34" t="str">
        <f aca="false">IF(TRIM($A61)="","",IF(AND(LEFT($A61,6)="SAMPLE",Config!$B$19&lt;&gt;"Y"),"",IF(NOT(ISNUMBER(H61)),"call_date is blank or not a date",IF(Sync!$C$5="","Clay paste is empty or has no row_id column: paste the Clay export on Clay_Offices",IF(CW61="","row_id not found in the Clay paste: add the Clay row or fix the row_id",IF(AND(ISNUMBER(CY61),CY61&gt;=1,CY61&lt;=5),"Clay status is "&amp;CX61&amp;": set call_done or later",IF(AND(BD61=1,CZ61&lt;&gt;BZ61),"Clay yes_in_principle should be "&amp;BZ61,IF(AND(BD61=1,DA61&lt;&gt;H61),"Clay call_date should be "&amp;TEXT(H61,"yyyy-mm-dd"),""))))))))</f>
        <v/>
      </c>
      <c r="AZ61" s="23" t="str">
        <f aca="false">IF(TRIM($A61)="","",IF(TRIM(C61)&lt;&gt;"",SUBSTITUTE(SUBSTITUTE(SUBSTITUTE(SUBSTITUTE(SUBSTITUTE(SUBSTITUTE(LOWER(TRIM(C61)),"~",""),"*",""),"?",""),"&lt;",""),"&gt;",""),"=",""),IF(EA61&lt;&gt;"",EA61,IFERROR(INDEX($EA$2:$EA$201,MATCH(DZ61,$EB$2:$EB$201,0)),DZ61))))</f>
        <v/>
      </c>
      <c r="BA61" s="23" t="n">
        <f aca="false">ROW()</f>
        <v>61</v>
      </c>
      <c r="BB61" s="23" t="n">
        <f aca="false">IF(AND(TRIM($A61)&lt;&gt;"",ISNUMBER(H61)),IF(AND(LEFT($A61,6)="SAMPLE",Config!$B$19&lt;&gt;"Y"),0,1),0)</f>
        <v>0</v>
      </c>
      <c r="BC61" s="23" t="n">
        <f aca="false">IF(BB61=1,IF(COUNTIFS($AZ$2:$AZ$201,AZ61,$BB$2:$BB$201,1,$H$2:$H$201,"&lt;"&amp;H61)+COUNTIFS($AZ$2:$AZ$201,AZ61,$BB$2:$BB$201,1,$H$2:$H$201,H61,$BA$2:$BA$201,"&lt;"&amp;BA61)=0,1,0),0)</f>
        <v>0</v>
      </c>
      <c r="BD61" s="23" t="n">
        <f aca="false">IF(BB61=1,IF(COUNTIFS($A$2:$A$201,$A61,$BB$2:$BB$201,1,$H$2:$H$201,"&gt;"&amp;H61)+COUNTIFS($A$2:$A$201,$A61,$BB$2:$BB$201,1,$H$2:$H$201,H61,$BA$2:$BA$201,"&gt;"&amp;BA61)=0,1,0),0)</f>
        <v>0</v>
      </c>
      <c r="BE61" s="23" t="n">
        <f aca="false">IF(AND(BB61=1,AR61="Y",AC61="Y",TRIM(AH61)&lt;&gt;""),1,0)</f>
        <v>0</v>
      </c>
      <c r="BF61" s="23" t="n">
        <f aca="false">IF(BE61=1,IF(COUNTIFS($AZ$2:$AZ$201,AZ61,$BE$2:$BE$201,1,$H$2:$H$201,"&lt;"&amp;H61)+COUNTIFS($AZ$2:$AZ$201,AZ61,$BE$2:$BE$201,1,$H$2:$H$201,H61,$BA$2:$BA$201,"&lt;"&amp;BA61)=0,1,0),0)</f>
        <v>0</v>
      </c>
      <c r="BG61" s="23" t="n">
        <f aca="false">IF(AND(BB61=1,AR61="Y",BE61=0),1,0)</f>
        <v>0</v>
      </c>
      <c r="BH61" s="23" t="n">
        <f aca="false">IF(AND(BB61=1,ISNUMBER(Y61)),1,0)</f>
        <v>0</v>
      </c>
      <c r="BI61" s="23" t="n">
        <f aca="false">IF(BH61=1,IF(COUNTIFS($AZ$2:$AZ$201,AZ61,$BH$2:$BH$201,1,$H$2:$H$201,"&lt;"&amp;H61)+COUNTIFS($AZ$2:$AZ$201,AZ61,$BH$2:$BH$201,1,$H$2:$H$201,H61,$BA$2:$BA$201,"&lt;"&amp;BA61)=0,1,0),0)</f>
        <v>0</v>
      </c>
      <c r="BJ61" s="23" t="str">
        <f aca="false">IF(AND(BI61=1,INT(N(H61))&lt;=Config!$B$6),Y61,"")</f>
        <v/>
      </c>
      <c r="BK61" s="23" t="str">
        <f aca="false">IF(AND(BI61=1,INT(N(H61))&lt;=Config!$B$7),Y61,"")</f>
        <v/>
      </c>
      <c r="BL61" s="23" t="str">
        <f aca="false">IF(AND(BI61=1,INT(N(H61))&lt;=Config!$B$8),Y61,"")</f>
        <v/>
      </c>
      <c r="BM61" s="23" t="str">
        <f aca="false">IF(AND(BI61=1,INT(N(H61))&lt;=Config!$B$5),Y61,"")</f>
        <v/>
      </c>
      <c r="BN61" s="23" t="n">
        <f aca="false">IF(CD61=1,IF(COUNTIFS($AZ$2:$AZ$201,AZ61,$CD$2:$CD$201,1,$H$2:$H$201,"&lt;"&amp;H61)+COUNTIFS($AZ$2:$AZ$201,AZ61,$CD$2:$CD$201,1,$H$2:$H$201,H61,$BA$2:$BA$201,"&lt;"&amp;BA61)=0,1,0),0)</f>
        <v>0</v>
      </c>
      <c r="BO61" s="23" t="n">
        <f aca="false">IF(AND(BB61=1,ISNUMBER(M61)),1,0)</f>
        <v>0</v>
      </c>
      <c r="BP61" s="23" t="n">
        <f aca="false">IF(BO61=1,IF(COUNTIFS($AZ$2:$AZ$201,AZ61,$BO$2:$BO$201,1,$H$2:$H$201,"&lt;"&amp;H61)+COUNTIFS($AZ$2:$AZ$201,AZ61,$BO$2:$BO$201,1,$H$2:$H$201,H61,$BA$2:$BA$201,"&lt;"&amp;BA61)=0,1,0),0)</f>
        <v>0</v>
      </c>
      <c r="BQ61" s="23" t="str">
        <f aca="false">IF(AND(BP61=1,INT(N(H61))&lt;=Config!$B$5),M61,"")</f>
        <v/>
      </c>
      <c r="BR61" s="23" t="n">
        <f aca="false">IF(AND(BB61=1,OR(TRIM(X61)&lt;&gt;"",ISNUMBER(Y61))),1,0)</f>
        <v>0</v>
      </c>
      <c r="BS61" s="23" t="n">
        <f aca="false">IF(BR61=1,IF(COUNTIFS($AZ$2:$AZ$201,AZ61,$BR$2:$BR$201,1,$H$2:$H$201,"&lt;"&amp;H61)+COUNTIFS($AZ$2:$AZ$201,AZ61,$BR$2:$BR$201,1,$H$2:$H$201,H61,$BA$2:$BA$201,"&lt;"&amp;BA61)=0,1,0),0)</f>
        <v>0</v>
      </c>
      <c r="BT61" s="23" t="str">
        <f aca="false">IF(BS61=1,AZ61,"")</f>
        <v/>
      </c>
      <c r="BU61" s="23" t="n">
        <f aca="false">IF(AND(BB61=1,W61="Y",TRIM(X61)=""),1,0)</f>
        <v>0</v>
      </c>
      <c r="BV61" s="23" t="str">
        <f aca="false">IF(BB61=1,AN61&amp;"","")</f>
        <v/>
      </c>
      <c r="BW61" s="23" t="str">
        <f aca="false">IF(BB61=1,AO61&amp;"","")</f>
        <v/>
      </c>
      <c r="BX61" s="23" t="str">
        <f aca="false">IF(BB61=1,AP61&amp;"","")</f>
        <v/>
      </c>
      <c r="BY61" s="23" t="str">
        <f aca="false">IF(AND(BB61=1,ISNUMBER(AV61),INT(N(H61))&lt;=Config!$B$5),AV61,"")</f>
        <v/>
      </c>
      <c r="BZ61" s="23" t="str">
        <f aca="false">IF(BB61=1,IF(COUNTIFS($A$2:$A$201,$A61,$DC$2:$DC$201,1,$AR$2:$AR$201,"Y")&gt;0,"Y","N"),"")</f>
        <v/>
      </c>
      <c r="CA61" s="23" t="n">
        <f aca="false">IF(AND(BB61=1,AR61="maybe"),1,0)</f>
        <v>0</v>
      </c>
      <c r="CB61" s="23" t="n">
        <f aca="false">IF(CA61=1,IF(COUNTIFS($AZ$2:$AZ$201,AZ61,$CA$2:$CA$201,1,$H$2:$H$201,"&lt;"&amp;H61)+COUNTIFS($AZ$2:$AZ$201,AZ61,$CA$2:$CA$201,1,$H$2:$H$201,H61,$BA$2:$BA$201,"&lt;"&amp;BA61)=0,1,0),0)</f>
        <v>0</v>
      </c>
      <c r="CC61" s="23" t="n">
        <f aca="false">IF(AND(BB61=1,AR61="Y"),IF(COUNTIFS($AZ$2:$AZ$201,AZ61,$AR$2:$AR$201,"Y",$BB$2:$BB$201,1,$H$2:$H$201,"&lt;"&amp;H61)+COUNTIFS($AZ$2:$AZ$201,AZ61,$AR$2:$AR$201,"Y",$BB$2:$BB$201,1,$H$2:$H$201,H61,$BA$2:$BA$201,"&lt;"&amp;BA61)=0,1,0),0)</f>
        <v>0</v>
      </c>
      <c r="CD61" s="23" t="n">
        <f aca="false">IF(AND(BH61=1,N(Y61)&gt;=Config!$B$15),1,0)</f>
        <v>0</v>
      </c>
      <c r="CE61" s="23" t="n">
        <f aca="false">IF(AND(BB61=1,AT61="Y"),1,0)</f>
        <v>0</v>
      </c>
      <c r="CF61" s="23" t="n">
        <f aca="false">IF(CE61=1,IF(COUNTIFS($AZ$2:$AZ$201,AZ61,$CE$2:$CE$201,1,$H$2:$H$201,"&lt;"&amp;H61)+COUNTIFS($AZ$2:$AZ$201,AZ61,$CE$2:$CE$201,1,$H$2:$H$201,H61,$BA$2:$BA$201,"&lt;"&amp;BA61)=0,1,0),0)</f>
        <v>0</v>
      </c>
      <c r="CG61" s="23" t="n">
        <f aca="false">IF(AND(BB61=1,G61="warm-intro"),1,0)</f>
        <v>0</v>
      </c>
      <c r="CH61" s="23" t="n">
        <f aca="false">IF(CG61=1,IF(COUNTIFS($AZ$2:$AZ$201,AZ61,$CG$2:$CG$201,1,$H$2:$H$201,"&lt;"&amp;H61)+COUNTIFS($AZ$2:$AZ$201,AZ61,$CG$2:$CG$201,1,$H$2:$H$201,H61,$BA$2:$BA$201,"&lt;"&amp;BA61)=0,1,0),0)</f>
        <v>0</v>
      </c>
      <c r="CI61" s="23" t="n">
        <f aca="false">IF(AND(BB61=1,Q61="Y"),1,0)</f>
        <v>0</v>
      </c>
      <c r="CJ61" s="23" t="n">
        <f aca="false">IF(CI61=1,IF(COUNTIFS($AZ$2:$AZ$201,AZ61,$CI$2:$CI$201,1,$H$2:$H$201,"&lt;"&amp;H61)+COUNTIFS($AZ$2:$AZ$201,AZ61,$CI$2:$CI$201,1,$H$2:$H$201,H61,$BA$2:$BA$201,"&lt;"&amp;BA61)=0,1,0),0)</f>
        <v>0</v>
      </c>
      <c r="CK61" s="23" t="n">
        <f aca="false">IF(AND(BB61=1,AF61="Y"),1,0)</f>
        <v>0</v>
      </c>
      <c r="CL61" s="23" t="n">
        <f aca="false">IF(CK61=1,IF(COUNTIFS($AZ$2:$AZ$201,AZ61,$CK$2:$CK$201,1,$H$2:$H$201,"&lt;"&amp;H61)+COUNTIFS($AZ$2:$AZ$201,AZ61,$CK$2:$CK$201,1,$H$2:$H$201,H61,$BA$2:$BA$201,"&lt;"&amp;BA61)=0,1,0),0)</f>
        <v>0</v>
      </c>
      <c r="CM61" s="23" t="n">
        <f aca="false">IF(AND(BB61=1,U61="Y"),1,0)</f>
        <v>0</v>
      </c>
      <c r="CN61" s="23" t="n">
        <f aca="false">IF(CM61=1,IF(COUNTIFS($AZ$2:$AZ$201,AZ61,$CM$2:$CM$201,1,$H$2:$H$201,"&lt;"&amp;H61)+COUNTIFS($AZ$2:$AZ$201,AZ61,$CM$2:$CM$201,1,$H$2:$H$201,H61,$BA$2:$BA$201,"&lt;"&amp;BA61)=0,1,0),0)</f>
        <v>0</v>
      </c>
      <c r="CO61" s="23" t="n">
        <f aca="false">IF(AND(BB61=1,L61="Y"),1,0)</f>
        <v>0</v>
      </c>
      <c r="CP61" s="23" t="n">
        <f aca="false">IF(CO61=1,IF(COUNTIFS($AZ$2:$AZ$201,AZ61,$CO$2:$CO$201,1,$H$2:$H$201,"&lt;"&amp;H61)+COUNTIFS($AZ$2:$AZ$201,AZ61,$CO$2:$CO$201,1,$H$2:$H$201,H61,$BA$2:$BA$201,"&lt;"&amp;BA61)=0,1,0),0)</f>
        <v>0</v>
      </c>
      <c r="CQ61" s="23" t="n">
        <f aca="false">IF(AND(BB61=1,ISNUMBER(O61)),1,0)</f>
        <v>0</v>
      </c>
      <c r="CR61" s="23" t="n">
        <f aca="false">IF(CQ61=1,IF(COUNTIFS($AZ$2:$AZ$201,AZ61,$CQ$2:$CQ$201,1,$H$2:$H$201,"&lt;"&amp;H61)+COUNTIFS($AZ$2:$AZ$201,AZ61,$CQ$2:$CQ$201,1,$H$2:$H$201,H61,$BA$2:$BA$201,"&lt;"&amp;BA61)=0,1,0),0)</f>
        <v>0</v>
      </c>
      <c r="CS61" s="23" t="str">
        <f aca="false">IF(AND(CR61=1,INT(N(H61))&lt;=Config!$B$5),O61,"")</f>
        <v/>
      </c>
      <c r="CT61" s="23" t="str">
        <f aca="false">IF(AND(BB61=1,INT(N(H61))&lt;=Config!$B$5),AG61&amp;"","")</f>
        <v/>
      </c>
      <c r="CU61" s="23" t="n">
        <f aca="false">IF(AND(BB61=1,AU61="Y"),1,0)</f>
        <v>0</v>
      </c>
      <c r="CV61" s="23" t="n">
        <f aca="false">IF(CU61=1,IF(COUNTIFS($AZ$2:$AZ$201,AZ61,$CU$2:$CU$201,1,$H$2:$H$201,"&lt;"&amp;H61)+COUNTIFS($AZ$2:$AZ$201,AZ61,$CU$2:$CU$201,1,$H$2:$H$201,H61,$BA$2:$BA$201,"&lt;"&amp;BA61)=0,1,0),0)</f>
        <v>0</v>
      </c>
      <c r="CW61" s="23" t="str">
        <f aca="false">IF(BB61=1,IFERROR(MATCH($A61,INDEX(Clay_Offices!$A$2:$FZ$601,0,Sync!$C$5),0),""),"")</f>
        <v/>
      </c>
      <c r="CX61" s="23" t="str">
        <f aca="false">IF(CW61="","",IFERROR(INDEX(Clay_Offices!$A$2:$FZ$601,CW61,Sync!$C$7)&amp;"",""))</f>
        <v/>
      </c>
      <c r="CY61" s="23" t="str">
        <f aca="false">IF(CX61="","",IFERROR(INDEX(Lists!$K$2:$K$15,MATCH(CX61,Lists!$J$2:$J$15,0)),""))</f>
        <v/>
      </c>
      <c r="CZ61" s="23" t="str">
        <f aca="false">IF(CW61="","",IFERROR(INDEX(Clay_Offices!$A$2:$FZ$601,CW61,Sync!$C$17)&amp;"",""))</f>
        <v/>
      </c>
      <c r="DA61" s="35" t="str">
        <f aca="false">IF(CW61="","",IFERROR(N(INDEX(Clay_Offices!$A$2:$FZ$601,CW61,Sync!$C$16)),0))</f>
        <v/>
      </c>
      <c r="DB61" s="23" t="n">
        <f aca="false">IF(AND(BB61=1,OR(AR61="Y",AR61="N",AR61="maybe")),1,0)</f>
        <v>0</v>
      </c>
      <c r="DC61" s="23" t="n">
        <f aca="false">IF(AND(DB61=1),IF(COUNTIFS($A$2:$A$201,$A61,$DB$2:$DB$201,1,$H$2:$H$201,"&gt;"&amp;H61)+COUNTIFS($A$2:$A$201,$A61,$DB$2:$DB$201,1,$H$2:$H$201,H61,$BA$2:$BA$201,"&gt;"&amp;BA61)=0,1,0),0)</f>
        <v>0</v>
      </c>
      <c r="DD61" s="23" t="n">
        <f aca="false">IF(AND(DB61=1,INT(N(H61))&lt;=Config!$B$6),IF(COUNTIFS($AZ$2:$AZ$201,AZ61,$DB$2:$DB$201,1,$H$2:$H$201,"&gt;"&amp;H61,$H$2:$H$201,"&lt;"&amp;(Config!$B$6+1))+COUNTIFS($AZ$2:$AZ$201,AZ61,$DB$2:$DB$201,1,$H$2:$H$201,H61,$BA$2:$BA$201,"&gt;"&amp;BA61)=0,1,0),0)</f>
        <v>0</v>
      </c>
      <c r="DE61" s="23" t="n">
        <f aca="false">IF(AND(DB61=1,INT(N(H61))&lt;=Config!$B$7),IF(COUNTIFS($AZ$2:$AZ$201,AZ61,$DB$2:$DB$201,1,$H$2:$H$201,"&gt;"&amp;H61,$H$2:$H$201,"&lt;"&amp;(Config!$B$7+1))+COUNTIFS($AZ$2:$AZ$201,AZ61,$DB$2:$DB$201,1,$H$2:$H$201,H61,$BA$2:$BA$201,"&gt;"&amp;BA61)=0,1,0),0)</f>
        <v>0</v>
      </c>
      <c r="DF61" s="23" t="n">
        <f aca="false">IF(AND(DB61=1,INT(N(H61))&lt;=Config!$B$8),IF(COUNTIFS($AZ$2:$AZ$201,AZ61,$DB$2:$DB$201,1,$H$2:$H$201,"&gt;"&amp;H61,$H$2:$H$201,"&lt;"&amp;(Config!$B$8+1))+COUNTIFS($AZ$2:$AZ$201,AZ61,$DB$2:$DB$201,1,$H$2:$H$201,H61,$BA$2:$BA$201,"&gt;"&amp;BA61)=0,1,0),0)</f>
        <v>0</v>
      </c>
      <c r="DG61" s="23" t="n">
        <f aca="false">IF(AND(DB61=1,INT(N(H61))&lt;=Config!$B$5),IF(COUNTIFS($AZ$2:$AZ$201,AZ61,$DB$2:$DB$201,1,$H$2:$H$201,"&gt;"&amp;H61,$H$2:$H$201,"&lt;"&amp;(Config!$B$5+1))+COUNTIFS($AZ$2:$AZ$201,AZ61,$DB$2:$DB$201,1,$H$2:$H$201,H61,$BA$2:$BA$201,"&gt;"&amp;BA61)=0,1,0),0)</f>
        <v>0</v>
      </c>
      <c r="DH61" s="23" t="n">
        <f aca="false">IF(BB61=1,IF(COUNTIFS($AZ$2:$AZ$201,AZ61,$DD$2:$DD$201,1,$AR$2:$AR$201,"Y")&gt;0,1,0),0)</f>
        <v>0</v>
      </c>
      <c r="DI61" s="23" t="n">
        <f aca="false">IF(BB61=1,IF(COUNTIFS($AZ$2:$AZ$201,AZ61,$DE$2:$DE$201,1,$AR$2:$AR$201,"Y")&gt;0,1,0),0)</f>
        <v>0</v>
      </c>
      <c r="DJ61" s="23" t="n">
        <f aca="false">IF(BB61=1,IF(COUNTIFS($AZ$2:$AZ$201,AZ61,$DF$2:$DF$201,1,$AR$2:$AR$201,"Y")&gt;0,1,0),0)</f>
        <v>0</v>
      </c>
      <c r="DK61" s="23" t="n">
        <f aca="false">IF(BB61=1,IF(COUNTIFS($AZ$2:$AZ$201,AZ61,$DG$2:$DG$201,1,$AR$2:$AR$201,"Y")&gt;0,1,0),0)</f>
        <v>0</v>
      </c>
      <c r="DL61" s="23" t="n">
        <f aca="false">IF(AND(BF61=1,INT(N(H61))&lt;=Config!$B$6,DH61=1,EI61=0),1,0)</f>
        <v>0</v>
      </c>
      <c r="DM61" s="23" t="n">
        <f aca="false">IF(AND(BF61=1,INT(N(H61))&lt;=Config!$B$7,DI61=1,EI61=0),1,0)</f>
        <v>0</v>
      </c>
      <c r="DN61" s="23" t="n">
        <f aca="false">IF(AND(BF61=1,INT(N(H61))&lt;=Config!$B$8,DJ61=1,EI61=0),1,0)</f>
        <v>0</v>
      </c>
      <c r="DO61" s="23" t="n">
        <f aca="false">IF(AND(BF61=1,INT(N(H61))&lt;=Config!$B$5,DK61=1,EI61=0),1,0)</f>
        <v>0</v>
      </c>
      <c r="DP61" s="23" t="n">
        <f aca="false">IF(AND(CC61=1,INT(N(H61))&lt;=Config!$B$6,DH61=1,EI61=0),1,0)</f>
        <v>0</v>
      </c>
      <c r="DQ61" s="23" t="n">
        <f aca="false">IF(AND(CC61=1,INT(N(H61))&lt;=Config!$B$7,DI61=1,EI61=0),1,0)</f>
        <v>0</v>
      </c>
      <c r="DR61" s="23" t="n">
        <f aca="false">IF(AND(CC61=1,INT(N(H61))&lt;=Config!$B$8,DJ61=1,EI61=0),1,0)</f>
        <v>0</v>
      </c>
      <c r="DS61" s="23" t="n">
        <f aca="false">IF(AND(CC61=1,INT(N(H61))&lt;=Config!$B$5,DK61=1,EI61=0),1,0)</f>
        <v>0</v>
      </c>
      <c r="DT61" s="23" t="n">
        <f aca="false">IF(AND(CC61=1,INT(N(H61))&lt;=Config!$B$6,DH61=0),1,0)</f>
        <v>0</v>
      </c>
      <c r="DU61" s="23" t="n">
        <f aca="false">IF(AND(CC61=1,INT(N(H61))&lt;=Config!$B$7,DI61=0),1,0)</f>
        <v>0</v>
      </c>
      <c r="DV61" s="23" t="n">
        <f aca="false">IF(AND(CC61=1,INT(N(H61))&lt;=Config!$B$8,DJ61=0),1,0)</f>
        <v>0</v>
      </c>
      <c r="DW61" s="23" t="n">
        <f aca="false">IF(AND(CC61=1,INT(N(H61))&lt;=Config!$B$5,DK61=0),1,0)</f>
        <v>0</v>
      </c>
      <c r="DX61" s="23" t="n">
        <f aca="false">IF(TRIM($A61)="",0,ISTEXT(M61)+ISTEXT(O61)+ISTEXT(Y61)+ISTEXT(Z61)+ISTEXT(AA61)+ISTEXT(AV61))</f>
        <v>0</v>
      </c>
      <c r="DY61" s="23" t="n">
        <f aca="false">IF(BB61=1,IF(H61&lt;&gt;INT(H61),1,0),0)</f>
        <v>0</v>
      </c>
      <c r="DZ61" s="23" t="str">
        <f aca="false">IF(TRIM($A61)="","",IF(TRIM(B61)="",SUBSTITUTE(SUBSTITUTE(SUBSTITUTE(SUBSTITUTE(SUBSTITUTE(SUBSTITUTE(LOWER(TRIM($A61)),"~",""),"*",""),"?",""),"&lt;",""),"&gt;",""),"=",""),SUBSTITUTE(SUBSTITUTE(SUBSTITUTE(SUBSTITUTE(SUBSTITUTE(SUBSTITUTE(LOWER(TRIM(B61)),"~",""),"*",""),"?",""),"&lt;",""),"&gt;",""),"=","")))</f>
        <v/>
      </c>
      <c r="EA61" s="23" t="str">
        <f aca="false">IF(CW61="","",IFERROR(IF(LEFT(LOWER(TRIM(INDEX(Clay_Offices!$A$2:$FZ$601,CW61,Sync!$C$19)&amp;"")),4)="grp-",SUBSTITUTE(SUBSTITUTE(SUBSTITUTE(SUBSTITUTE(SUBSTITUTE(SUBSTITUTE(LOWER(TRIM(INDEX(Clay_Offices!$A$2:$FZ$601,CW61,Sync!$C$19)&amp;"")),"~",""),"*",""),"?",""),"&lt;",""),"&gt;",""),"=",""),""),""))</f>
        <v/>
      </c>
      <c r="EB61" s="23" t="str">
        <f aca="false">IF(EA61&lt;&gt;"",DZ61,"")</f>
        <v/>
      </c>
      <c r="EC61" s="23" t="str">
        <f aca="false">IF(BC61=1,AZ61,"")</f>
        <v/>
      </c>
      <c r="ED61" s="23" t="str">
        <f aca="false">IF(TRIM($A61)="","",IFERROR(INDEX($A$2:$A$201,MATCH(AZ61,$EC$2:$EC$201,0))&amp;"",$A61&amp;""))</f>
        <v/>
      </c>
      <c r="EE61" s="23" t="n">
        <f aca="false">IF(BB61=1,IF(COUNTIFS($A$2:$A$201,$A61,$BB$2:$BB$201,1,$H$2:$H$201,"&lt;"&amp;H61)+COUNTIFS($A$2:$A$201,$A61,$BB$2:$BB$201,1,$H$2:$H$201,H61,$BA$2:$BA$201,"&lt;"&amp;BA61)=0,1,0),0)</f>
        <v>0</v>
      </c>
      <c r="EF61" s="23" t="n">
        <f aca="false">IF(BC61=1,IF(COUNTIFS($AZ$2:$AZ$201,AZ61,$EE$2:$EE$201,1)&gt;1,1,0),0)</f>
        <v>0</v>
      </c>
      <c r="EG61" s="23" t="n">
        <f aca="false">IF(AND(CQ61=1),IF(COUNTIFS($AZ$2:$AZ$201,AZ61,$CQ$2:$CQ$201,1,$H$2:$H$201,"&gt;"&amp;H61)+COUNTIFS($AZ$2:$AZ$201,AZ61,$CQ$2:$CQ$201,1,$H$2:$H$201,H61,$BA$2:$BA$201,"&gt;"&amp;BA61)=0,1,0),0)</f>
        <v>0</v>
      </c>
      <c r="EH61" s="23" t="str">
        <f aca="false">IF(BB61=1,IF(COUNTIFS($AZ$2:$AZ$201,AZ61,$EG$2:$EG$201,1)=0,"",SUMIFS($O$2:$O$201,$AZ$2:$AZ$201,AZ61,$EG$2:$EG$201,1)),"")</f>
        <v/>
      </c>
      <c r="EI61" s="23" t="n">
        <f aca="false">IF(AND(ISNUMBER(EH61),OR(N(EH61)&lt;Config!$B$31,N(EH61)&gt;Config!$B$33)),1,0)</f>
        <v>0</v>
      </c>
      <c r="EJ61" s="23" t="n">
        <f aca="false">IF(AND(ISNUMBER(EH61),N(EH61)&gt;=Config!$B$31,N(EH61)&lt;Config!$B$32),1,0)</f>
        <v>0</v>
      </c>
      <c r="EK61" s="23" t="n">
        <f aca="false">IF(AND(BF61=1,INT(N(H61))&lt;=Config!$B$6,DH61=1,EI61=1),1,0)</f>
        <v>0</v>
      </c>
      <c r="EL61" s="23" t="n">
        <f aca="false">IF(AND(BF61=1,INT(N(H61))&lt;=Config!$B$7,DI61=1,EI61=1),1,0)</f>
        <v>0</v>
      </c>
      <c r="EM61" s="23" t="n">
        <f aca="false">IF(AND(BF61=1,INT(N(H61))&lt;=Config!$B$8,DJ61=1,EI61=1),1,0)</f>
        <v>0</v>
      </c>
      <c r="EN61" s="23" t="n">
        <f aca="false">IF(AND(BF61=1,INT(N(H61))&lt;=Config!$B$5,DK61=1,EI61=1),1,0)</f>
        <v>0</v>
      </c>
      <c r="EO61" s="23" t="n">
        <f aca="false">IF(AND(DL61=1,EJ61=1),1,0)</f>
        <v>0</v>
      </c>
      <c r="EP61" s="23" t="n">
        <f aca="false">IF(AND(DM61=1,EJ61=1),1,0)</f>
        <v>0</v>
      </c>
      <c r="EQ61" s="23" t="n">
        <f aca="false">IF(AND(DN61=1,EJ61=1),1,0)</f>
        <v>0</v>
      </c>
      <c r="ER61" s="23" t="n">
        <f aca="false">IF(AND(DO61=1,EJ61=1),1,0)</f>
        <v>0</v>
      </c>
    </row>
    <row r="62" customFormat="false" ht="15" hidden="false" customHeight="false" outlineLevel="0" collapsed="false">
      <c r="G62" s="32"/>
      <c r="H62" s="33"/>
      <c r="I62" s="32"/>
      <c r="L62" s="32"/>
      <c r="Q62" s="32"/>
      <c r="U62" s="32"/>
      <c r="W62" s="32"/>
      <c r="AC62" s="32"/>
      <c r="AF62" s="32"/>
      <c r="AI62" s="32"/>
      <c r="AJ62" s="32"/>
      <c r="AN62" s="32"/>
      <c r="AR62" s="32"/>
      <c r="AT62" s="32"/>
      <c r="AU62" s="32"/>
      <c r="AW62" s="32"/>
      <c r="AY62" s="34" t="str">
        <f aca="false">IF(TRIM($A62)="","",IF(AND(LEFT($A62,6)="SAMPLE",Config!$B$19&lt;&gt;"Y"),"",IF(NOT(ISNUMBER(H62)),"call_date is blank or not a date",IF(Sync!$C$5="","Clay paste is empty or has no row_id column: paste the Clay export on Clay_Offices",IF(CW62="","row_id not found in the Clay paste: add the Clay row or fix the row_id",IF(AND(ISNUMBER(CY62),CY62&gt;=1,CY62&lt;=5),"Clay status is "&amp;CX62&amp;": set call_done or later",IF(AND(BD62=1,CZ62&lt;&gt;BZ62),"Clay yes_in_principle should be "&amp;BZ62,IF(AND(BD62=1,DA62&lt;&gt;H62),"Clay call_date should be "&amp;TEXT(H62,"yyyy-mm-dd"),""))))))))</f>
        <v/>
      </c>
      <c r="AZ62" s="23" t="str">
        <f aca="false">IF(TRIM($A62)="","",IF(TRIM(C62)&lt;&gt;"",SUBSTITUTE(SUBSTITUTE(SUBSTITUTE(SUBSTITUTE(SUBSTITUTE(SUBSTITUTE(LOWER(TRIM(C62)),"~",""),"*",""),"?",""),"&lt;",""),"&gt;",""),"=",""),IF(EA62&lt;&gt;"",EA62,IFERROR(INDEX($EA$2:$EA$201,MATCH(DZ62,$EB$2:$EB$201,0)),DZ62))))</f>
        <v/>
      </c>
      <c r="BA62" s="23" t="n">
        <f aca="false">ROW()</f>
        <v>62</v>
      </c>
      <c r="BB62" s="23" t="n">
        <f aca="false">IF(AND(TRIM($A62)&lt;&gt;"",ISNUMBER(H62)),IF(AND(LEFT($A62,6)="SAMPLE",Config!$B$19&lt;&gt;"Y"),0,1),0)</f>
        <v>0</v>
      </c>
      <c r="BC62" s="23" t="n">
        <f aca="false">IF(BB62=1,IF(COUNTIFS($AZ$2:$AZ$201,AZ62,$BB$2:$BB$201,1,$H$2:$H$201,"&lt;"&amp;H62)+COUNTIFS($AZ$2:$AZ$201,AZ62,$BB$2:$BB$201,1,$H$2:$H$201,H62,$BA$2:$BA$201,"&lt;"&amp;BA62)=0,1,0),0)</f>
        <v>0</v>
      </c>
      <c r="BD62" s="23" t="n">
        <f aca="false">IF(BB62=1,IF(COUNTIFS($A$2:$A$201,$A62,$BB$2:$BB$201,1,$H$2:$H$201,"&gt;"&amp;H62)+COUNTIFS($A$2:$A$201,$A62,$BB$2:$BB$201,1,$H$2:$H$201,H62,$BA$2:$BA$201,"&gt;"&amp;BA62)=0,1,0),0)</f>
        <v>0</v>
      </c>
      <c r="BE62" s="23" t="n">
        <f aca="false">IF(AND(BB62=1,AR62="Y",AC62="Y",TRIM(AH62)&lt;&gt;""),1,0)</f>
        <v>0</v>
      </c>
      <c r="BF62" s="23" t="n">
        <f aca="false">IF(BE62=1,IF(COUNTIFS($AZ$2:$AZ$201,AZ62,$BE$2:$BE$201,1,$H$2:$H$201,"&lt;"&amp;H62)+COUNTIFS($AZ$2:$AZ$201,AZ62,$BE$2:$BE$201,1,$H$2:$H$201,H62,$BA$2:$BA$201,"&lt;"&amp;BA62)=0,1,0),0)</f>
        <v>0</v>
      </c>
      <c r="BG62" s="23" t="n">
        <f aca="false">IF(AND(BB62=1,AR62="Y",BE62=0),1,0)</f>
        <v>0</v>
      </c>
      <c r="BH62" s="23" t="n">
        <f aca="false">IF(AND(BB62=1,ISNUMBER(Y62)),1,0)</f>
        <v>0</v>
      </c>
      <c r="BI62" s="23" t="n">
        <f aca="false">IF(BH62=1,IF(COUNTIFS($AZ$2:$AZ$201,AZ62,$BH$2:$BH$201,1,$H$2:$H$201,"&lt;"&amp;H62)+COUNTIFS($AZ$2:$AZ$201,AZ62,$BH$2:$BH$201,1,$H$2:$H$201,H62,$BA$2:$BA$201,"&lt;"&amp;BA62)=0,1,0),0)</f>
        <v>0</v>
      </c>
      <c r="BJ62" s="23" t="str">
        <f aca="false">IF(AND(BI62=1,INT(N(H62))&lt;=Config!$B$6),Y62,"")</f>
        <v/>
      </c>
      <c r="BK62" s="23" t="str">
        <f aca="false">IF(AND(BI62=1,INT(N(H62))&lt;=Config!$B$7),Y62,"")</f>
        <v/>
      </c>
      <c r="BL62" s="23" t="str">
        <f aca="false">IF(AND(BI62=1,INT(N(H62))&lt;=Config!$B$8),Y62,"")</f>
        <v/>
      </c>
      <c r="BM62" s="23" t="str">
        <f aca="false">IF(AND(BI62=1,INT(N(H62))&lt;=Config!$B$5),Y62,"")</f>
        <v/>
      </c>
      <c r="BN62" s="23" t="n">
        <f aca="false">IF(CD62=1,IF(COUNTIFS($AZ$2:$AZ$201,AZ62,$CD$2:$CD$201,1,$H$2:$H$201,"&lt;"&amp;H62)+COUNTIFS($AZ$2:$AZ$201,AZ62,$CD$2:$CD$201,1,$H$2:$H$201,H62,$BA$2:$BA$201,"&lt;"&amp;BA62)=0,1,0),0)</f>
        <v>0</v>
      </c>
      <c r="BO62" s="23" t="n">
        <f aca="false">IF(AND(BB62=1,ISNUMBER(M62)),1,0)</f>
        <v>0</v>
      </c>
      <c r="BP62" s="23" t="n">
        <f aca="false">IF(BO62=1,IF(COUNTIFS($AZ$2:$AZ$201,AZ62,$BO$2:$BO$201,1,$H$2:$H$201,"&lt;"&amp;H62)+COUNTIFS($AZ$2:$AZ$201,AZ62,$BO$2:$BO$201,1,$H$2:$H$201,H62,$BA$2:$BA$201,"&lt;"&amp;BA62)=0,1,0),0)</f>
        <v>0</v>
      </c>
      <c r="BQ62" s="23" t="str">
        <f aca="false">IF(AND(BP62=1,INT(N(H62))&lt;=Config!$B$5),M62,"")</f>
        <v/>
      </c>
      <c r="BR62" s="23" t="n">
        <f aca="false">IF(AND(BB62=1,OR(TRIM(X62)&lt;&gt;"",ISNUMBER(Y62))),1,0)</f>
        <v>0</v>
      </c>
      <c r="BS62" s="23" t="n">
        <f aca="false">IF(BR62=1,IF(COUNTIFS($AZ$2:$AZ$201,AZ62,$BR$2:$BR$201,1,$H$2:$H$201,"&lt;"&amp;H62)+COUNTIFS($AZ$2:$AZ$201,AZ62,$BR$2:$BR$201,1,$H$2:$H$201,H62,$BA$2:$BA$201,"&lt;"&amp;BA62)=0,1,0),0)</f>
        <v>0</v>
      </c>
      <c r="BT62" s="23" t="str">
        <f aca="false">IF(BS62=1,AZ62,"")</f>
        <v/>
      </c>
      <c r="BU62" s="23" t="n">
        <f aca="false">IF(AND(BB62=1,W62="Y",TRIM(X62)=""),1,0)</f>
        <v>0</v>
      </c>
      <c r="BV62" s="23" t="str">
        <f aca="false">IF(BB62=1,AN62&amp;"","")</f>
        <v/>
      </c>
      <c r="BW62" s="23" t="str">
        <f aca="false">IF(BB62=1,AO62&amp;"","")</f>
        <v/>
      </c>
      <c r="BX62" s="23" t="str">
        <f aca="false">IF(BB62=1,AP62&amp;"","")</f>
        <v/>
      </c>
      <c r="BY62" s="23" t="str">
        <f aca="false">IF(AND(BB62=1,ISNUMBER(AV62),INT(N(H62))&lt;=Config!$B$5),AV62,"")</f>
        <v/>
      </c>
      <c r="BZ62" s="23" t="str">
        <f aca="false">IF(BB62=1,IF(COUNTIFS($A$2:$A$201,$A62,$DC$2:$DC$201,1,$AR$2:$AR$201,"Y")&gt;0,"Y","N"),"")</f>
        <v/>
      </c>
      <c r="CA62" s="23" t="n">
        <f aca="false">IF(AND(BB62=1,AR62="maybe"),1,0)</f>
        <v>0</v>
      </c>
      <c r="CB62" s="23" t="n">
        <f aca="false">IF(CA62=1,IF(COUNTIFS($AZ$2:$AZ$201,AZ62,$CA$2:$CA$201,1,$H$2:$H$201,"&lt;"&amp;H62)+COUNTIFS($AZ$2:$AZ$201,AZ62,$CA$2:$CA$201,1,$H$2:$H$201,H62,$BA$2:$BA$201,"&lt;"&amp;BA62)=0,1,0),0)</f>
        <v>0</v>
      </c>
      <c r="CC62" s="23" t="n">
        <f aca="false">IF(AND(BB62=1,AR62="Y"),IF(COUNTIFS($AZ$2:$AZ$201,AZ62,$AR$2:$AR$201,"Y",$BB$2:$BB$201,1,$H$2:$H$201,"&lt;"&amp;H62)+COUNTIFS($AZ$2:$AZ$201,AZ62,$AR$2:$AR$201,"Y",$BB$2:$BB$201,1,$H$2:$H$201,H62,$BA$2:$BA$201,"&lt;"&amp;BA62)=0,1,0),0)</f>
        <v>0</v>
      </c>
      <c r="CD62" s="23" t="n">
        <f aca="false">IF(AND(BH62=1,N(Y62)&gt;=Config!$B$15),1,0)</f>
        <v>0</v>
      </c>
      <c r="CE62" s="23" t="n">
        <f aca="false">IF(AND(BB62=1,AT62="Y"),1,0)</f>
        <v>0</v>
      </c>
      <c r="CF62" s="23" t="n">
        <f aca="false">IF(CE62=1,IF(COUNTIFS($AZ$2:$AZ$201,AZ62,$CE$2:$CE$201,1,$H$2:$H$201,"&lt;"&amp;H62)+COUNTIFS($AZ$2:$AZ$201,AZ62,$CE$2:$CE$201,1,$H$2:$H$201,H62,$BA$2:$BA$201,"&lt;"&amp;BA62)=0,1,0),0)</f>
        <v>0</v>
      </c>
      <c r="CG62" s="23" t="n">
        <f aca="false">IF(AND(BB62=1,G62="warm-intro"),1,0)</f>
        <v>0</v>
      </c>
      <c r="CH62" s="23" t="n">
        <f aca="false">IF(CG62=1,IF(COUNTIFS($AZ$2:$AZ$201,AZ62,$CG$2:$CG$201,1,$H$2:$H$201,"&lt;"&amp;H62)+COUNTIFS($AZ$2:$AZ$201,AZ62,$CG$2:$CG$201,1,$H$2:$H$201,H62,$BA$2:$BA$201,"&lt;"&amp;BA62)=0,1,0),0)</f>
        <v>0</v>
      </c>
      <c r="CI62" s="23" t="n">
        <f aca="false">IF(AND(BB62=1,Q62="Y"),1,0)</f>
        <v>0</v>
      </c>
      <c r="CJ62" s="23" t="n">
        <f aca="false">IF(CI62=1,IF(COUNTIFS($AZ$2:$AZ$201,AZ62,$CI$2:$CI$201,1,$H$2:$H$201,"&lt;"&amp;H62)+COUNTIFS($AZ$2:$AZ$201,AZ62,$CI$2:$CI$201,1,$H$2:$H$201,H62,$BA$2:$BA$201,"&lt;"&amp;BA62)=0,1,0),0)</f>
        <v>0</v>
      </c>
      <c r="CK62" s="23" t="n">
        <f aca="false">IF(AND(BB62=1,AF62="Y"),1,0)</f>
        <v>0</v>
      </c>
      <c r="CL62" s="23" t="n">
        <f aca="false">IF(CK62=1,IF(COUNTIFS($AZ$2:$AZ$201,AZ62,$CK$2:$CK$201,1,$H$2:$H$201,"&lt;"&amp;H62)+COUNTIFS($AZ$2:$AZ$201,AZ62,$CK$2:$CK$201,1,$H$2:$H$201,H62,$BA$2:$BA$201,"&lt;"&amp;BA62)=0,1,0),0)</f>
        <v>0</v>
      </c>
      <c r="CM62" s="23" t="n">
        <f aca="false">IF(AND(BB62=1,U62="Y"),1,0)</f>
        <v>0</v>
      </c>
      <c r="CN62" s="23" t="n">
        <f aca="false">IF(CM62=1,IF(COUNTIFS($AZ$2:$AZ$201,AZ62,$CM$2:$CM$201,1,$H$2:$H$201,"&lt;"&amp;H62)+COUNTIFS($AZ$2:$AZ$201,AZ62,$CM$2:$CM$201,1,$H$2:$H$201,H62,$BA$2:$BA$201,"&lt;"&amp;BA62)=0,1,0),0)</f>
        <v>0</v>
      </c>
      <c r="CO62" s="23" t="n">
        <f aca="false">IF(AND(BB62=1,L62="Y"),1,0)</f>
        <v>0</v>
      </c>
      <c r="CP62" s="23" t="n">
        <f aca="false">IF(CO62=1,IF(COUNTIFS($AZ$2:$AZ$201,AZ62,$CO$2:$CO$201,1,$H$2:$H$201,"&lt;"&amp;H62)+COUNTIFS($AZ$2:$AZ$201,AZ62,$CO$2:$CO$201,1,$H$2:$H$201,H62,$BA$2:$BA$201,"&lt;"&amp;BA62)=0,1,0),0)</f>
        <v>0</v>
      </c>
      <c r="CQ62" s="23" t="n">
        <f aca="false">IF(AND(BB62=1,ISNUMBER(O62)),1,0)</f>
        <v>0</v>
      </c>
      <c r="CR62" s="23" t="n">
        <f aca="false">IF(CQ62=1,IF(COUNTIFS($AZ$2:$AZ$201,AZ62,$CQ$2:$CQ$201,1,$H$2:$H$201,"&lt;"&amp;H62)+COUNTIFS($AZ$2:$AZ$201,AZ62,$CQ$2:$CQ$201,1,$H$2:$H$201,H62,$BA$2:$BA$201,"&lt;"&amp;BA62)=0,1,0),0)</f>
        <v>0</v>
      </c>
      <c r="CS62" s="23" t="str">
        <f aca="false">IF(AND(CR62=1,INT(N(H62))&lt;=Config!$B$5),O62,"")</f>
        <v/>
      </c>
      <c r="CT62" s="23" t="str">
        <f aca="false">IF(AND(BB62=1,INT(N(H62))&lt;=Config!$B$5),AG62&amp;"","")</f>
        <v/>
      </c>
      <c r="CU62" s="23" t="n">
        <f aca="false">IF(AND(BB62=1,AU62="Y"),1,0)</f>
        <v>0</v>
      </c>
      <c r="CV62" s="23" t="n">
        <f aca="false">IF(CU62=1,IF(COUNTIFS($AZ$2:$AZ$201,AZ62,$CU$2:$CU$201,1,$H$2:$H$201,"&lt;"&amp;H62)+COUNTIFS($AZ$2:$AZ$201,AZ62,$CU$2:$CU$201,1,$H$2:$H$201,H62,$BA$2:$BA$201,"&lt;"&amp;BA62)=0,1,0),0)</f>
        <v>0</v>
      </c>
      <c r="CW62" s="23" t="str">
        <f aca="false">IF(BB62=1,IFERROR(MATCH($A62,INDEX(Clay_Offices!$A$2:$FZ$601,0,Sync!$C$5),0),""),"")</f>
        <v/>
      </c>
      <c r="CX62" s="23" t="str">
        <f aca="false">IF(CW62="","",IFERROR(INDEX(Clay_Offices!$A$2:$FZ$601,CW62,Sync!$C$7)&amp;"",""))</f>
        <v/>
      </c>
      <c r="CY62" s="23" t="str">
        <f aca="false">IF(CX62="","",IFERROR(INDEX(Lists!$K$2:$K$15,MATCH(CX62,Lists!$J$2:$J$15,0)),""))</f>
        <v/>
      </c>
      <c r="CZ62" s="23" t="str">
        <f aca="false">IF(CW62="","",IFERROR(INDEX(Clay_Offices!$A$2:$FZ$601,CW62,Sync!$C$17)&amp;"",""))</f>
        <v/>
      </c>
      <c r="DA62" s="35" t="str">
        <f aca="false">IF(CW62="","",IFERROR(N(INDEX(Clay_Offices!$A$2:$FZ$601,CW62,Sync!$C$16)),0))</f>
        <v/>
      </c>
      <c r="DB62" s="23" t="n">
        <f aca="false">IF(AND(BB62=1,OR(AR62="Y",AR62="N",AR62="maybe")),1,0)</f>
        <v>0</v>
      </c>
      <c r="DC62" s="23" t="n">
        <f aca="false">IF(AND(DB62=1),IF(COUNTIFS($A$2:$A$201,$A62,$DB$2:$DB$201,1,$H$2:$H$201,"&gt;"&amp;H62)+COUNTIFS($A$2:$A$201,$A62,$DB$2:$DB$201,1,$H$2:$H$201,H62,$BA$2:$BA$201,"&gt;"&amp;BA62)=0,1,0),0)</f>
        <v>0</v>
      </c>
      <c r="DD62" s="23" t="n">
        <f aca="false">IF(AND(DB62=1,INT(N(H62))&lt;=Config!$B$6),IF(COUNTIFS($AZ$2:$AZ$201,AZ62,$DB$2:$DB$201,1,$H$2:$H$201,"&gt;"&amp;H62,$H$2:$H$201,"&lt;"&amp;(Config!$B$6+1))+COUNTIFS($AZ$2:$AZ$201,AZ62,$DB$2:$DB$201,1,$H$2:$H$201,H62,$BA$2:$BA$201,"&gt;"&amp;BA62)=0,1,0),0)</f>
        <v>0</v>
      </c>
      <c r="DE62" s="23" t="n">
        <f aca="false">IF(AND(DB62=1,INT(N(H62))&lt;=Config!$B$7),IF(COUNTIFS($AZ$2:$AZ$201,AZ62,$DB$2:$DB$201,1,$H$2:$H$201,"&gt;"&amp;H62,$H$2:$H$201,"&lt;"&amp;(Config!$B$7+1))+COUNTIFS($AZ$2:$AZ$201,AZ62,$DB$2:$DB$201,1,$H$2:$H$201,H62,$BA$2:$BA$201,"&gt;"&amp;BA62)=0,1,0),0)</f>
        <v>0</v>
      </c>
      <c r="DF62" s="23" t="n">
        <f aca="false">IF(AND(DB62=1,INT(N(H62))&lt;=Config!$B$8),IF(COUNTIFS($AZ$2:$AZ$201,AZ62,$DB$2:$DB$201,1,$H$2:$H$201,"&gt;"&amp;H62,$H$2:$H$201,"&lt;"&amp;(Config!$B$8+1))+COUNTIFS($AZ$2:$AZ$201,AZ62,$DB$2:$DB$201,1,$H$2:$H$201,H62,$BA$2:$BA$201,"&gt;"&amp;BA62)=0,1,0),0)</f>
        <v>0</v>
      </c>
      <c r="DG62" s="23" t="n">
        <f aca="false">IF(AND(DB62=1,INT(N(H62))&lt;=Config!$B$5),IF(COUNTIFS($AZ$2:$AZ$201,AZ62,$DB$2:$DB$201,1,$H$2:$H$201,"&gt;"&amp;H62,$H$2:$H$201,"&lt;"&amp;(Config!$B$5+1))+COUNTIFS($AZ$2:$AZ$201,AZ62,$DB$2:$DB$201,1,$H$2:$H$201,H62,$BA$2:$BA$201,"&gt;"&amp;BA62)=0,1,0),0)</f>
        <v>0</v>
      </c>
      <c r="DH62" s="23" t="n">
        <f aca="false">IF(BB62=1,IF(COUNTIFS($AZ$2:$AZ$201,AZ62,$DD$2:$DD$201,1,$AR$2:$AR$201,"Y")&gt;0,1,0),0)</f>
        <v>0</v>
      </c>
      <c r="DI62" s="23" t="n">
        <f aca="false">IF(BB62=1,IF(COUNTIFS($AZ$2:$AZ$201,AZ62,$DE$2:$DE$201,1,$AR$2:$AR$201,"Y")&gt;0,1,0),0)</f>
        <v>0</v>
      </c>
      <c r="DJ62" s="23" t="n">
        <f aca="false">IF(BB62=1,IF(COUNTIFS($AZ$2:$AZ$201,AZ62,$DF$2:$DF$201,1,$AR$2:$AR$201,"Y")&gt;0,1,0),0)</f>
        <v>0</v>
      </c>
      <c r="DK62" s="23" t="n">
        <f aca="false">IF(BB62=1,IF(COUNTIFS($AZ$2:$AZ$201,AZ62,$DG$2:$DG$201,1,$AR$2:$AR$201,"Y")&gt;0,1,0),0)</f>
        <v>0</v>
      </c>
      <c r="DL62" s="23" t="n">
        <f aca="false">IF(AND(BF62=1,INT(N(H62))&lt;=Config!$B$6,DH62=1,EI62=0),1,0)</f>
        <v>0</v>
      </c>
      <c r="DM62" s="23" t="n">
        <f aca="false">IF(AND(BF62=1,INT(N(H62))&lt;=Config!$B$7,DI62=1,EI62=0),1,0)</f>
        <v>0</v>
      </c>
      <c r="DN62" s="23" t="n">
        <f aca="false">IF(AND(BF62=1,INT(N(H62))&lt;=Config!$B$8,DJ62=1,EI62=0),1,0)</f>
        <v>0</v>
      </c>
      <c r="DO62" s="23" t="n">
        <f aca="false">IF(AND(BF62=1,INT(N(H62))&lt;=Config!$B$5,DK62=1,EI62=0),1,0)</f>
        <v>0</v>
      </c>
      <c r="DP62" s="23" t="n">
        <f aca="false">IF(AND(CC62=1,INT(N(H62))&lt;=Config!$B$6,DH62=1,EI62=0),1,0)</f>
        <v>0</v>
      </c>
      <c r="DQ62" s="23" t="n">
        <f aca="false">IF(AND(CC62=1,INT(N(H62))&lt;=Config!$B$7,DI62=1,EI62=0),1,0)</f>
        <v>0</v>
      </c>
      <c r="DR62" s="23" t="n">
        <f aca="false">IF(AND(CC62=1,INT(N(H62))&lt;=Config!$B$8,DJ62=1,EI62=0),1,0)</f>
        <v>0</v>
      </c>
      <c r="DS62" s="23" t="n">
        <f aca="false">IF(AND(CC62=1,INT(N(H62))&lt;=Config!$B$5,DK62=1,EI62=0),1,0)</f>
        <v>0</v>
      </c>
      <c r="DT62" s="23" t="n">
        <f aca="false">IF(AND(CC62=1,INT(N(H62))&lt;=Config!$B$6,DH62=0),1,0)</f>
        <v>0</v>
      </c>
      <c r="DU62" s="23" t="n">
        <f aca="false">IF(AND(CC62=1,INT(N(H62))&lt;=Config!$B$7,DI62=0),1,0)</f>
        <v>0</v>
      </c>
      <c r="DV62" s="23" t="n">
        <f aca="false">IF(AND(CC62=1,INT(N(H62))&lt;=Config!$B$8,DJ62=0),1,0)</f>
        <v>0</v>
      </c>
      <c r="DW62" s="23" t="n">
        <f aca="false">IF(AND(CC62=1,INT(N(H62))&lt;=Config!$B$5,DK62=0),1,0)</f>
        <v>0</v>
      </c>
      <c r="DX62" s="23" t="n">
        <f aca="false">IF(TRIM($A62)="",0,ISTEXT(M62)+ISTEXT(O62)+ISTEXT(Y62)+ISTEXT(Z62)+ISTEXT(AA62)+ISTEXT(AV62))</f>
        <v>0</v>
      </c>
      <c r="DY62" s="23" t="n">
        <f aca="false">IF(BB62=1,IF(H62&lt;&gt;INT(H62),1,0),0)</f>
        <v>0</v>
      </c>
      <c r="DZ62" s="23" t="str">
        <f aca="false">IF(TRIM($A62)="","",IF(TRIM(B62)="",SUBSTITUTE(SUBSTITUTE(SUBSTITUTE(SUBSTITUTE(SUBSTITUTE(SUBSTITUTE(LOWER(TRIM($A62)),"~",""),"*",""),"?",""),"&lt;",""),"&gt;",""),"=",""),SUBSTITUTE(SUBSTITUTE(SUBSTITUTE(SUBSTITUTE(SUBSTITUTE(SUBSTITUTE(LOWER(TRIM(B62)),"~",""),"*",""),"?",""),"&lt;",""),"&gt;",""),"=","")))</f>
        <v/>
      </c>
      <c r="EA62" s="23" t="str">
        <f aca="false">IF(CW62="","",IFERROR(IF(LEFT(LOWER(TRIM(INDEX(Clay_Offices!$A$2:$FZ$601,CW62,Sync!$C$19)&amp;"")),4)="grp-",SUBSTITUTE(SUBSTITUTE(SUBSTITUTE(SUBSTITUTE(SUBSTITUTE(SUBSTITUTE(LOWER(TRIM(INDEX(Clay_Offices!$A$2:$FZ$601,CW62,Sync!$C$19)&amp;"")),"~",""),"*",""),"?",""),"&lt;",""),"&gt;",""),"=",""),""),""))</f>
        <v/>
      </c>
      <c r="EB62" s="23" t="str">
        <f aca="false">IF(EA62&lt;&gt;"",DZ62,"")</f>
        <v/>
      </c>
      <c r="EC62" s="23" t="str">
        <f aca="false">IF(BC62=1,AZ62,"")</f>
        <v/>
      </c>
      <c r="ED62" s="23" t="str">
        <f aca="false">IF(TRIM($A62)="","",IFERROR(INDEX($A$2:$A$201,MATCH(AZ62,$EC$2:$EC$201,0))&amp;"",$A62&amp;""))</f>
        <v/>
      </c>
      <c r="EE62" s="23" t="n">
        <f aca="false">IF(BB62=1,IF(COUNTIFS($A$2:$A$201,$A62,$BB$2:$BB$201,1,$H$2:$H$201,"&lt;"&amp;H62)+COUNTIFS($A$2:$A$201,$A62,$BB$2:$BB$201,1,$H$2:$H$201,H62,$BA$2:$BA$201,"&lt;"&amp;BA62)=0,1,0),0)</f>
        <v>0</v>
      </c>
      <c r="EF62" s="23" t="n">
        <f aca="false">IF(BC62=1,IF(COUNTIFS($AZ$2:$AZ$201,AZ62,$EE$2:$EE$201,1)&gt;1,1,0),0)</f>
        <v>0</v>
      </c>
      <c r="EG62" s="23" t="n">
        <f aca="false">IF(AND(CQ62=1),IF(COUNTIFS($AZ$2:$AZ$201,AZ62,$CQ$2:$CQ$201,1,$H$2:$H$201,"&gt;"&amp;H62)+COUNTIFS($AZ$2:$AZ$201,AZ62,$CQ$2:$CQ$201,1,$H$2:$H$201,H62,$BA$2:$BA$201,"&gt;"&amp;BA62)=0,1,0),0)</f>
        <v>0</v>
      </c>
      <c r="EH62" s="23" t="str">
        <f aca="false">IF(BB62=1,IF(COUNTIFS($AZ$2:$AZ$201,AZ62,$EG$2:$EG$201,1)=0,"",SUMIFS($O$2:$O$201,$AZ$2:$AZ$201,AZ62,$EG$2:$EG$201,1)),"")</f>
        <v/>
      </c>
      <c r="EI62" s="23" t="n">
        <f aca="false">IF(AND(ISNUMBER(EH62),OR(N(EH62)&lt;Config!$B$31,N(EH62)&gt;Config!$B$33)),1,0)</f>
        <v>0</v>
      </c>
      <c r="EJ62" s="23" t="n">
        <f aca="false">IF(AND(ISNUMBER(EH62),N(EH62)&gt;=Config!$B$31,N(EH62)&lt;Config!$B$32),1,0)</f>
        <v>0</v>
      </c>
      <c r="EK62" s="23" t="n">
        <f aca="false">IF(AND(BF62=1,INT(N(H62))&lt;=Config!$B$6,DH62=1,EI62=1),1,0)</f>
        <v>0</v>
      </c>
      <c r="EL62" s="23" t="n">
        <f aca="false">IF(AND(BF62=1,INT(N(H62))&lt;=Config!$B$7,DI62=1,EI62=1),1,0)</f>
        <v>0</v>
      </c>
      <c r="EM62" s="23" t="n">
        <f aca="false">IF(AND(BF62=1,INT(N(H62))&lt;=Config!$B$8,DJ62=1,EI62=1),1,0)</f>
        <v>0</v>
      </c>
      <c r="EN62" s="23" t="n">
        <f aca="false">IF(AND(BF62=1,INT(N(H62))&lt;=Config!$B$5,DK62=1,EI62=1),1,0)</f>
        <v>0</v>
      </c>
      <c r="EO62" s="23" t="n">
        <f aca="false">IF(AND(DL62=1,EJ62=1),1,0)</f>
        <v>0</v>
      </c>
      <c r="EP62" s="23" t="n">
        <f aca="false">IF(AND(DM62=1,EJ62=1),1,0)</f>
        <v>0</v>
      </c>
      <c r="EQ62" s="23" t="n">
        <f aca="false">IF(AND(DN62=1,EJ62=1),1,0)</f>
        <v>0</v>
      </c>
      <c r="ER62" s="23" t="n">
        <f aca="false">IF(AND(DO62=1,EJ62=1),1,0)</f>
        <v>0</v>
      </c>
    </row>
    <row r="63" customFormat="false" ht="15" hidden="false" customHeight="false" outlineLevel="0" collapsed="false">
      <c r="G63" s="32"/>
      <c r="H63" s="33"/>
      <c r="I63" s="32"/>
      <c r="L63" s="32"/>
      <c r="Q63" s="32"/>
      <c r="U63" s="32"/>
      <c r="W63" s="32"/>
      <c r="AC63" s="32"/>
      <c r="AF63" s="32"/>
      <c r="AI63" s="32"/>
      <c r="AJ63" s="32"/>
      <c r="AN63" s="32"/>
      <c r="AR63" s="32"/>
      <c r="AT63" s="32"/>
      <c r="AU63" s="32"/>
      <c r="AW63" s="32"/>
      <c r="AY63" s="34" t="str">
        <f aca="false">IF(TRIM($A63)="","",IF(AND(LEFT($A63,6)="SAMPLE",Config!$B$19&lt;&gt;"Y"),"",IF(NOT(ISNUMBER(H63)),"call_date is blank or not a date",IF(Sync!$C$5="","Clay paste is empty or has no row_id column: paste the Clay export on Clay_Offices",IF(CW63="","row_id not found in the Clay paste: add the Clay row or fix the row_id",IF(AND(ISNUMBER(CY63),CY63&gt;=1,CY63&lt;=5),"Clay status is "&amp;CX63&amp;": set call_done or later",IF(AND(BD63=1,CZ63&lt;&gt;BZ63),"Clay yes_in_principle should be "&amp;BZ63,IF(AND(BD63=1,DA63&lt;&gt;H63),"Clay call_date should be "&amp;TEXT(H63,"yyyy-mm-dd"),""))))))))</f>
        <v/>
      </c>
      <c r="AZ63" s="23" t="str">
        <f aca="false">IF(TRIM($A63)="","",IF(TRIM(C63)&lt;&gt;"",SUBSTITUTE(SUBSTITUTE(SUBSTITUTE(SUBSTITUTE(SUBSTITUTE(SUBSTITUTE(LOWER(TRIM(C63)),"~",""),"*",""),"?",""),"&lt;",""),"&gt;",""),"=",""),IF(EA63&lt;&gt;"",EA63,IFERROR(INDEX($EA$2:$EA$201,MATCH(DZ63,$EB$2:$EB$201,0)),DZ63))))</f>
        <v/>
      </c>
      <c r="BA63" s="23" t="n">
        <f aca="false">ROW()</f>
        <v>63</v>
      </c>
      <c r="BB63" s="23" t="n">
        <f aca="false">IF(AND(TRIM($A63)&lt;&gt;"",ISNUMBER(H63)),IF(AND(LEFT($A63,6)="SAMPLE",Config!$B$19&lt;&gt;"Y"),0,1),0)</f>
        <v>0</v>
      </c>
      <c r="BC63" s="23" t="n">
        <f aca="false">IF(BB63=1,IF(COUNTIFS($AZ$2:$AZ$201,AZ63,$BB$2:$BB$201,1,$H$2:$H$201,"&lt;"&amp;H63)+COUNTIFS($AZ$2:$AZ$201,AZ63,$BB$2:$BB$201,1,$H$2:$H$201,H63,$BA$2:$BA$201,"&lt;"&amp;BA63)=0,1,0),0)</f>
        <v>0</v>
      </c>
      <c r="BD63" s="23" t="n">
        <f aca="false">IF(BB63=1,IF(COUNTIFS($A$2:$A$201,$A63,$BB$2:$BB$201,1,$H$2:$H$201,"&gt;"&amp;H63)+COUNTIFS($A$2:$A$201,$A63,$BB$2:$BB$201,1,$H$2:$H$201,H63,$BA$2:$BA$201,"&gt;"&amp;BA63)=0,1,0),0)</f>
        <v>0</v>
      </c>
      <c r="BE63" s="23" t="n">
        <f aca="false">IF(AND(BB63=1,AR63="Y",AC63="Y",TRIM(AH63)&lt;&gt;""),1,0)</f>
        <v>0</v>
      </c>
      <c r="BF63" s="23" t="n">
        <f aca="false">IF(BE63=1,IF(COUNTIFS($AZ$2:$AZ$201,AZ63,$BE$2:$BE$201,1,$H$2:$H$201,"&lt;"&amp;H63)+COUNTIFS($AZ$2:$AZ$201,AZ63,$BE$2:$BE$201,1,$H$2:$H$201,H63,$BA$2:$BA$201,"&lt;"&amp;BA63)=0,1,0),0)</f>
        <v>0</v>
      </c>
      <c r="BG63" s="23" t="n">
        <f aca="false">IF(AND(BB63=1,AR63="Y",BE63=0),1,0)</f>
        <v>0</v>
      </c>
      <c r="BH63" s="23" t="n">
        <f aca="false">IF(AND(BB63=1,ISNUMBER(Y63)),1,0)</f>
        <v>0</v>
      </c>
      <c r="BI63" s="23" t="n">
        <f aca="false">IF(BH63=1,IF(COUNTIFS($AZ$2:$AZ$201,AZ63,$BH$2:$BH$201,1,$H$2:$H$201,"&lt;"&amp;H63)+COUNTIFS($AZ$2:$AZ$201,AZ63,$BH$2:$BH$201,1,$H$2:$H$201,H63,$BA$2:$BA$201,"&lt;"&amp;BA63)=0,1,0),0)</f>
        <v>0</v>
      </c>
      <c r="BJ63" s="23" t="str">
        <f aca="false">IF(AND(BI63=1,INT(N(H63))&lt;=Config!$B$6),Y63,"")</f>
        <v/>
      </c>
      <c r="BK63" s="23" t="str">
        <f aca="false">IF(AND(BI63=1,INT(N(H63))&lt;=Config!$B$7),Y63,"")</f>
        <v/>
      </c>
      <c r="BL63" s="23" t="str">
        <f aca="false">IF(AND(BI63=1,INT(N(H63))&lt;=Config!$B$8),Y63,"")</f>
        <v/>
      </c>
      <c r="BM63" s="23" t="str">
        <f aca="false">IF(AND(BI63=1,INT(N(H63))&lt;=Config!$B$5),Y63,"")</f>
        <v/>
      </c>
      <c r="BN63" s="23" t="n">
        <f aca="false">IF(CD63=1,IF(COUNTIFS($AZ$2:$AZ$201,AZ63,$CD$2:$CD$201,1,$H$2:$H$201,"&lt;"&amp;H63)+COUNTIFS($AZ$2:$AZ$201,AZ63,$CD$2:$CD$201,1,$H$2:$H$201,H63,$BA$2:$BA$201,"&lt;"&amp;BA63)=0,1,0),0)</f>
        <v>0</v>
      </c>
      <c r="BO63" s="23" t="n">
        <f aca="false">IF(AND(BB63=1,ISNUMBER(M63)),1,0)</f>
        <v>0</v>
      </c>
      <c r="BP63" s="23" t="n">
        <f aca="false">IF(BO63=1,IF(COUNTIFS($AZ$2:$AZ$201,AZ63,$BO$2:$BO$201,1,$H$2:$H$201,"&lt;"&amp;H63)+COUNTIFS($AZ$2:$AZ$201,AZ63,$BO$2:$BO$201,1,$H$2:$H$201,H63,$BA$2:$BA$201,"&lt;"&amp;BA63)=0,1,0),0)</f>
        <v>0</v>
      </c>
      <c r="BQ63" s="23" t="str">
        <f aca="false">IF(AND(BP63=1,INT(N(H63))&lt;=Config!$B$5),M63,"")</f>
        <v/>
      </c>
      <c r="BR63" s="23" t="n">
        <f aca="false">IF(AND(BB63=1,OR(TRIM(X63)&lt;&gt;"",ISNUMBER(Y63))),1,0)</f>
        <v>0</v>
      </c>
      <c r="BS63" s="23" t="n">
        <f aca="false">IF(BR63=1,IF(COUNTIFS($AZ$2:$AZ$201,AZ63,$BR$2:$BR$201,1,$H$2:$H$201,"&lt;"&amp;H63)+COUNTIFS($AZ$2:$AZ$201,AZ63,$BR$2:$BR$201,1,$H$2:$H$201,H63,$BA$2:$BA$201,"&lt;"&amp;BA63)=0,1,0),0)</f>
        <v>0</v>
      </c>
      <c r="BT63" s="23" t="str">
        <f aca="false">IF(BS63=1,AZ63,"")</f>
        <v/>
      </c>
      <c r="BU63" s="23" t="n">
        <f aca="false">IF(AND(BB63=1,W63="Y",TRIM(X63)=""),1,0)</f>
        <v>0</v>
      </c>
      <c r="BV63" s="23" t="str">
        <f aca="false">IF(BB63=1,AN63&amp;"","")</f>
        <v/>
      </c>
      <c r="BW63" s="23" t="str">
        <f aca="false">IF(BB63=1,AO63&amp;"","")</f>
        <v/>
      </c>
      <c r="BX63" s="23" t="str">
        <f aca="false">IF(BB63=1,AP63&amp;"","")</f>
        <v/>
      </c>
      <c r="BY63" s="23" t="str">
        <f aca="false">IF(AND(BB63=1,ISNUMBER(AV63),INT(N(H63))&lt;=Config!$B$5),AV63,"")</f>
        <v/>
      </c>
      <c r="BZ63" s="23" t="str">
        <f aca="false">IF(BB63=1,IF(COUNTIFS($A$2:$A$201,$A63,$DC$2:$DC$201,1,$AR$2:$AR$201,"Y")&gt;0,"Y","N"),"")</f>
        <v/>
      </c>
      <c r="CA63" s="23" t="n">
        <f aca="false">IF(AND(BB63=1,AR63="maybe"),1,0)</f>
        <v>0</v>
      </c>
      <c r="CB63" s="23" t="n">
        <f aca="false">IF(CA63=1,IF(COUNTIFS($AZ$2:$AZ$201,AZ63,$CA$2:$CA$201,1,$H$2:$H$201,"&lt;"&amp;H63)+COUNTIFS($AZ$2:$AZ$201,AZ63,$CA$2:$CA$201,1,$H$2:$H$201,H63,$BA$2:$BA$201,"&lt;"&amp;BA63)=0,1,0),0)</f>
        <v>0</v>
      </c>
      <c r="CC63" s="23" t="n">
        <f aca="false">IF(AND(BB63=1,AR63="Y"),IF(COUNTIFS($AZ$2:$AZ$201,AZ63,$AR$2:$AR$201,"Y",$BB$2:$BB$201,1,$H$2:$H$201,"&lt;"&amp;H63)+COUNTIFS($AZ$2:$AZ$201,AZ63,$AR$2:$AR$201,"Y",$BB$2:$BB$201,1,$H$2:$H$201,H63,$BA$2:$BA$201,"&lt;"&amp;BA63)=0,1,0),0)</f>
        <v>0</v>
      </c>
      <c r="CD63" s="23" t="n">
        <f aca="false">IF(AND(BH63=1,N(Y63)&gt;=Config!$B$15),1,0)</f>
        <v>0</v>
      </c>
      <c r="CE63" s="23" t="n">
        <f aca="false">IF(AND(BB63=1,AT63="Y"),1,0)</f>
        <v>0</v>
      </c>
      <c r="CF63" s="23" t="n">
        <f aca="false">IF(CE63=1,IF(COUNTIFS($AZ$2:$AZ$201,AZ63,$CE$2:$CE$201,1,$H$2:$H$201,"&lt;"&amp;H63)+COUNTIFS($AZ$2:$AZ$201,AZ63,$CE$2:$CE$201,1,$H$2:$H$201,H63,$BA$2:$BA$201,"&lt;"&amp;BA63)=0,1,0),0)</f>
        <v>0</v>
      </c>
      <c r="CG63" s="23" t="n">
        <f aca="false">IF(AND(BB63=1,G63="warm-intro"),1,0)</f>
        <v>0</v>
      </c>
      <c r="CH63" s="23" t="n">
        <f aca="false">IF(CG63=1,IF(COUNTIFS($AZ$2:$AZ$201,AZ63,$CG$2:$CG$201,1,$H$2:$H$201,"&lt;"&amp;H63)+COUNTIFS($AZ$2:$AZ$201,AZ63,$CG$2:$CG$201,1,$H$2:$H$201,H63,$BA$2:$BA$201,"&lt;"&amp;BA63)=0,1,0),0)</f>
        <v>0</v>
      </c>
      <c r="CI63" s="23" t="n">
        <f aca="false">IF(AND(BB63=1,Q63="Y"),1,0)</f>
        <v>0</v>
      </c>
      <c r="CJ63" s="23" t="n">
        <f aca="false">IF(CI63=1,IF(COUNTIFS($AZ$2:$AZ$201,AZ63,$CI$2:$CI$201,1,$H$2:$H$201,"&lt;"&amp;H63)+COUNTIFS($AZ$2:$AZ$201,AZ63,$CI$2:$CI$201,1,$H$2:$H$201,H63,$BA$2:$BA$201,"&lt;"&amp;BA63)=0,1,0),0)</f>
        <v>0</v>
      </c>
      <c r="CK63" s="23" t="n">
        <f aca="false">IF(AND(BB63=1,AF63="Y"),1,0)</f>
        <v>0</v>
      </c>
      <c r="CL63" s="23" t="n">
        <f aca="false">IF(CK63=1,IF(COUNTIFS($AZ$2:$AZ$201,AZ63,$CK$2:$CK$201,1,$H$2:$H$201,"&lt;"&amp;H63)+COUNTIFS($AZ$2:$AZ$201,AZ63,$CK$2:$CK$201,1,$H$2:$H$201,H63,$BA$2:$BA$201,"&lt;"&amp;BA63)=0,1,0),0)</f>
        <v>0</v>
      </c>
      <c r="CM63" s="23" t="n">
        <f aca="false">IF(AND(BB63=1,U63="Y"),1,0)</f>
        <v>0</v>
      </c>
      <c r="CN63" s="23" t="n">
        <f aca="false">IF(CM63=1,IF(COUNTIFS($AZ$2:$AZ$201,AZ63,$CM$2:$CM$201,1,$H$2:$H$201,"&lt;"&amp;H63)+COUNTIFS($AZ$2:$AZ$201,AZ63,$CM$2:$CM$201,1,$H$2:$H$201,H63,$BA$2:$BA$201,"&lt;"&amp;BA63)=0,1,0),0)</f>
        <v>0</v>
      </c>
      <c r="CO63" s="23" t="n">
        <f aca="false">IF(AND(BB63=1,L63="Y"),1,0)</f>
        <v>0</v>
      </c>
      <c r="CP63" s="23" t="n">
        <f aca="false">IF(CO63=1,IF(COUNTIFS($AZ$2:$AZ$201,AZ63,$CO$2:$CO$201,1,$H$2:$H$201,"&lt;"&amp;H63)+COUNTIFS($AZ$2:$AZ$201,AZ63,$CO$2:$CO$201,1,$H$2:$H$201,H63,$BA$2:$BA$201,"&lt;"&amp;BA63)=0,1,0),0)</f>
        <v>0</v>
      </c>
      <c r="CQ63" s="23" t="n">
        <f aca="false">IF(AND(BB63=1,ISNUMBER(O63)),1,0)</f>
        <v>0</v>
      </c>
      <c r="CR63" s="23" t="n">
        <f aca="false">IF(CQ63=1,IF(COUNTIFS($AZ$2:$AZ$201,AZ63,$CQ$2:$CQ$201,1,$H$2:$H$201,"&lt;"&amp;H63)+COUNTIFS($AZ$2:$AZ$201,AZ63,$CQ$2:$CQ$201,1,$H$2:$H$201,H63,$BA$2:$BA$201,"&lt;"&amp;BA63)=0,1,0),0)</f>
        <v>0</v>
      </c>
      <c r="CS63" s="23" t="str">
        <f aca="false">IF(AND(CR63=1,INT(N(H63))&lt;=Config!$B$5),O63,"")</f>
        <v/>
      </c>
      <c r="CT63" s="23" t="str">
        <f aca="false">IF(AND(BB63=1,INT(N(H63))&lt;=Config!$B$5),AG63&amp;"","")</f>
        <v/>
      </c>
      <c r="CU63" s="23" t="n">
        <f aca="false">IF(AND(BB63=1,AU63="Y"),1,0)</f>
        <v>0</v>
      </c>
      <c r="CV63" s="23" t="n">
        <f aca="false">IF(CU63=1,IF(COUNTIFS($AZ$2:$AZ$201,AZ63,$CU$2:$CU$201,1,$H$2:$H$201,"&lt;"&amp;H63)+COUNTIFS($AZ$2:$AZ$201,AZ63,$CU$2:$CU$201,1,$H$2:$H$201,H63,$BA$2:$BA$201,"&lt;"&amp;BA63)=0,1,0),0)</f>
        <v>0</v>
      </c>
      <c r="CW63" s="23" t="str">
        <f aca="false">IF(BB63=1,IFERROR(MATCH($A63,INDEX(Clay_Offices!$A$2:$FZ$601,0,Sync!$C$5),0),""),"")</f>
        <v/>
      </c>
      <c r="CX63" s="23" t="str">
        <f aca="false">IF(CW63="","",IFERROR(INDEX(Clay_Offices!$A$2:$FZ$601,CW63,Sync!$C$7)&amp;"",""))</f>
        <v/>
      </c>
      <c r="CY63" s="23" t="str">
        <f aca="false">IF(CX63="","",IFERROR(INDEX(Lists!$K$2:$K$15,MATCH(CX63,Lists!$J$2:$J$15,0)),""))</f>
        <v/>
      </c>
      <c r="CZ63" s="23" t="str">
        <f aca="false">IF(CW63="","",IFERROR(INDEX(Clay_Offices!$A$2:$FZ$601,CW63,Sync!$C$17)&amp;"",""))</f>
        <v/>
      </c>
      <c r="DA63" s="35" t="str">
        <f aca="false">IF(CW63="","",IFERROR(N(INDEX(Clay_Offices!$A$2:$FZ$601,CW63,Sync!$C$16)),0))</f>
        <v/>
      </c>
      <c r="DB63" s="23" t="n">
        <f aca="false">IF(AND(BB63=1,OR(AR63="Y",AR63="N",AR63="maybe")),1,0)</f>
        <v>0</v>
      </c>
      <c r="DC63" s="23" t="n">
        <f aca="false">IF(AND(DB63=1),IF(COUNTIFS($A$2:$A$201,$A63,$DB$2:$DB$201,1,$H$2:$H$201,"&gt;"&amp;H63)+COUNTIFS($A$2:$A$201,$A63,$DB$2:$DB$201,1,$H$2:$H$201,H63,$BA$2:$BA$201,"&gt;"&amp;BA63)=0,1,0),0)</f>
        <v>0</v>
      </c>
      <c r="DD63" s="23" t="n">
        <f aca="false">IF(AND(DB63=1,INT(N(H63))&lt;=Config!$B$6),IF(COUNTIFS($AZ$2:$AZ$201,AZ63,$DB$2:$DB$201,1,$H$2:$H$201,"&gt;"&amp;H63,$H$2:$H$201,"&lt;"&amp;(Config!$B$6+1))+COUNTIFS($AZ$2:$AZ$201,AZ63,$DB$2:$DB$201,1,$H$2:$H$201,H63,$BA$2:$BA$201,"&gt;"&amp;BA63)=0,1,0),0)</f>
        <v>0</v>
      </c>
      <c r="DE63" s="23" t="n">
        <f aca="false">IF(AND(DB63=1,INT(N(H63))&lt;=Config!$B$7),IF(COUNTIFS($AZ$2:$AZ$201,AZ63,$DB$2:$DB$201,1,$H$2:$H$201,"&gt;"&amp;H63,$H$2:$H$201,"&lt;"&amp;(Config!$B$7+1))+COUNTIFS($AZ$2:$AZ$201,AZ63,$DB$2:$DB$201,1,$H$2:$H$201,H63,$BA$2:$BA$201,"&gt;"&amp;BA63)=0,1,0),0)</f>
        <v>0</v>
      </c>
      <c r="DF63" s="23" t="n">
        <f aca="false">IF(AND(DB63=1,INT(N(H63))&lt;=Config!$B$8),IF(COUNTIFS($AZ$2:$AZ$201,AZ63,$DB$2:$DB$201,1,$H$2:$H$201,"&gt;"&amp;H63,$H$2:$H$201,"&lt;"&amp;(Config!$B$8+1))+COUNTIFS($AZ$2:$AZ$201,AZ63,$DB$2:$DB$201,1,$H$2:$H$201,H63,$BA$2:$BA$201,"&gt;"&amp;BA63)=0,1,0),0)</f>
        <v>0</v>
      </c>
      <c r="DG63" s="23" t="n">
        <f aca="false">IF(AND(DB63=1,INT(N(H63))&lt;=Config!$B$5),IF(COUNTIFS($AZ$2:$AZ$201,AZ63,$DB$2:$DB$201,1,$H$2:$H$201,"&gt;"&amp;H63,$H$2:$H$201,"&lt;"&amp;(Config!$B$5+1))+COUNTIFS($AZ$2:$AZ$201,AZ63,$DB$2:$DB$201,1,$H$2:$H$201,H63,$BA$2:$BA$201,"&gt;"&amp;BA63)=0,1,0),0)</f>
        <v>0</v>
      </c>
      <c r="DH63" s="23" t="n">
        <f aca="false">IF(BB63=1,IF(COUNTIFS($AZ$2:$AZ$201,AZ63,$DD$2:$DD$201,1,$AR$2:$AR$201,"Y")&gt;0,1,0),0)</f>
        <v>0</v>
      </c>
      <c r="DI63" s="23" t="n">
        <f aca="false">IF(BB63=1,IF(COUNTIFS($AZ$2:$AZ$201,AZ63,$DE$2:$DE$201,1,$AR$2:$AR$201,"Y")&gt;0,1,0),0)</f>
        <v>0</v>
      </c>
      <c r="DJ63" s="23" t="n">
        <f aca="false">IF(BB63=1,IF(COUNTIFS($AZ$2:$AZ$201,AZ63,$DF$2:$DF$201,1,$AR$2:$AR$201,"Y")&gt;0,1,0),0)</f>
        <v>0</v>
      </c>
      <c r="DK63" s="23" t="n">
        <f aca="false">IF(BB63=1,IF(COUNTIFS($AZ$2:$AZ$201,AZ63,$DG$2:$DG$201,1,$AR$2:$AR$201,"Y")&gt;0,1,0),0)</f>
        <v>0</v>
      </c>
      <c r="DL63" s="23" t="n">
        <f aca="false">IF(AND(BF63=1,INT(N(H63))&lt;=Config!$B$6,DH63=1,EI63=0),1,0)</f>
        <v>0</v>
      </c>
      <c r="DM63" s="23" t="n">
        <f aca="false">IF(AND(BF63=1,INT(N(H63))&lt;=Config!$B$7,DI63=1,EI63=0),1,0)</f>
        <v>0</v>
      </c>
      <c r="DN63" s="23" t="n">
        <f aca="false">IF(AND(BF63=1,INT(N(H63))&lt;=Config!$B$8,DJ63=1,EI63=0),1,0)</f>
        <v>0</v>
      </c>
      <c r="DO63" s="23" t="n">
        <f aca="false">IF(AND(BF63=1,INT(N(H63))&lt;=Config!$B$5,DK63=1,EI63=0),1,0)</f>
        <v>0</v>
      </c>
      <c r="DP63" s="23" t="n">
        <f aca="false">IF(AND(CC63=1,INT(N(H63))&lt;=Config!$B$6,DH63=1,EI63=0),1,0)</f>
        <v>0</v>
      </c>
      <c r="DQ63" s="23" t="n">
        <f aca="false">IF(AND(CC63=1,INT(N(H63))&lt;=Config!$B$7,DI63=1,EI63=0),1,0)</f>
        <v>0</v>
      </c>
      <c r="DR63" s="23" t="n">
        <f aca="false">IF(AND(CC63=1,INT(N(H63))&lt;=Config!$B$8,DJ63=1,EI63=0),1,0)</f>
        <v>0</v>
      </c>
      <c r="DS63" s="23" t="n">
        <f aca="false">IF(AND(CC63=1,INT(N(H63))&lt;=Config!$B$5,DK63=1,EI63=0),1,0)</f>
        <v>0</v>
      </c>
      <c r="DT63" s="23" t="n">
        <f aca="false">IF(AND(CC63=1,INT(N(H63))&lt;=Config!$B$6,DH63=0),1,0)</f>
        <v>0</v>
      </c>
      <c r="DU63" s="23" t="n">
        <f aca="false">IF(AND(CC63=1,INT(N(H63))&lt;=Config!$B$7,DI63=0),1,0)</f>
        <v>0</v>
      </c>
      <c r="DV63" s="23" t="n">
        <f aca="false">IF(AND(CC63=1,INT(N(H63))&lt;=Config!$B$8,DJ63=0),1,0)</f>
        <v>0</v>
      </c>
      <c r="DW63" s="23" t="n">
        <f aca="false">IF(AND(CC63=1,INT(N(H63))&lt;=Config!$B$5,DK63=0),1,0)</f>
        <v>0</v>
      </c>
      <c r="DX63" s="23" t="n">
        <f aca="false">IF(TRIM($A63)="",0,ISTEXT(M63)+ISTEXT(O63)+ISTEXT(Y63)+ISTEXT(Z63)+ISTEXT(AA63)+ISTEXT(AV63))</f>
        <v>0</v>
      </c>
      <c r="DY63" s="23" t="n">
        <f aca="false">IF(BB63=1,IF(H63&lt;&gt;INT(H63),1,0),0)</f>
        <v>0</v>
      </c>
      <c r="DZ63" s="23" t="str">
        <f aca="false">IF(TRIM($A63)="","",IF(TRIM(B63)="",SUBSTITUTE(SUBSTITUTE(SUBSTITUTE(SUBSTITUTE(SUBSTITUTE(SUBSTITUTE(LOWER(TRIM($A63)),"~",""),"*",""),"?",""),"&lt;",""),"&gt;",""),"=",""),SUBSTITUTE(SUBSTITUTE(SUBSTITUTE(SUBSTITUTE(SUBSTITUTE(SUBSTITUTE(LOWER(TRIM(B63)),"~",""),"*",""),"?",""),"&lt;",""),"&gt;",""),"=","")))</f>
        <v/>
      </c>
      <c r="EA63" s="23" t="str">
        <f aca="false">IF(CW63="","",IFERROR(IF(LEFT(LOWER(TRIM(INDEX(Clay_Offices!$A$2:$FZ$601,CW63,Sync!$C$19)&amp;"")),4)="grp-",SUBSTITUTE(SUBSTITUTE(SUBSTITUTE(SUBSTITUTE(SUBSTITUTE(SUBSTITUTE(LOWER(TRIM(INDEX(Clay_Offices!$A$2:$FZ$601,CW63,Sync!$C$19)&amp;"")),"~",""),"*",""),"?",""),"&lt;",""),"&gt;",""),"=",""),""),""))</f>
        <v/>
      </c>
      <c r="EB63" s="23" t="str">
        <f aca="false">IF(EA63&lt;&gt;"",DZ63,"")</f>
        <v/>
      </c>
      <c r="EC63" s="23" t="str">
        <f aca="false">IF(BC63=1,AZ63,"")</f>
        <v/>
      </c>
      <c r="ED63" s="23" t="str">
        <f aca="false">IF(TRIM($A63)="","",IFERROR(INDEX($A$2:$A$201,MATCH(AZ63,$EC$2:$EC$201,0))&amp;"",$A63&amp;""))</f>
        <v/>
      </c>
      <c r="EE63" s="23" t="n">
        <f aca="false">IF(BB63=1,IF(COUNTIFS($A$2:$A$201,$A63,$BB$2:$BB$201,1,$H$2:$H$201,"&lt;"&amp;H63)+COUNTIFS($A$2:$A$201,$A63,$BB$2:$BB$201,1,$H$2:$H$201,H63,$BA$2:$BA$201,"&lt;"&amp;BA63)=0,1,0),0)</f>
        <v>0</v>
      </c>
      <c r="EF63" s="23" t="n">
        <f aca="false">IF(BC63=1,IF(COUNTIFS($AZ$2:$AZ$201,AZ63,$EE$2:$EE$201,1)&gt;1,1,0),0)</f>
        <v>0</v>
      </c>
      <c r="EG63" s="23" t="n">
        <f aca="false">IF(AND(CQ63=1),IF(COUNTIFS($AZ$2:$AZ$201,AZ63,$CQ$2:$CQ$201,1,$H$2:$H$201,"&gt;"&amp;H63)+COUNTIFS($AZ$2:$AZ$201,AZ63,$CQ$2:$CQ$201,1,$H$2:$H$201,H63,$BA$2:$BA$201,"&gt;"&amp;BA63)=0,1,0),0)</f>
        <v>0</v>
      </c>
      <c r="EH63" s="23" t="str">
        <f aca="false">IF(BB63=1,IF(COUNTIFS($AZ$2:$AZ$201,AZ63,$EG$2:$EG$201,1)=0,"",SUMIFS($O$2:$O$201,$AZ$2:$AZ$201,AZ63,$EG$2:$EG$201,1)),"")</f>
        <v/>
      </c>
      <c r="EI63" s="23" t="n">
        <f aca="false">IF(AND(ISNUMBER(EH63),OR(N(EH63)&lt;Config!$B$31,N(EH63)&gt;Config!$B$33)),1,0)</f>
        <v>0</v>
      </c>
      <c r="EJ63" s="23" t="n">
        <f aca="false">IF(AND(ISNUMBER(EH63),N(EH63)&gt;=Config!$B$31,N(EH63)&lt;Config!$B$32),1,0)</f>
        <v>0</v>
      </c>
      <c r="EK63" s="23" t="n">
        <f aca="false">IF(AND(BF63=1,INT(N(H63))&lt;=Config!$B$6,DH63=1,EI63=1),1,0)</f>
        <v>0</v>
      </c>
      <c r="EL63" s="23" t="n">
        <f aca="false">IF(AND(BF63=1,INT(N(H63))&lt;=Config!$B$7,DI63=1,EI63=1),1,0)</f>
        <v>0</v>
      </c>
      <c r="EM63" s="23" t="n">
        <f aca="false">IF(AND(BF63=1,INT(N(H63))&lt;=Config!$B$8,DJ63=1,EI63=1),1,0)</f>
        <v>0</v>
      </c>
      <c r="EN63" s="23" t="n">
        <f aca="false">IF(AND(BF63=1,INT(N(H63))&lt;=Config!$B$5,DK63=1,EI63=1),1,0)</f>
        <v>0</v>
      </c>
      <c r="EO63" s="23" t="n">
        <f aca="false">IF(AND(DL63=1,EJ63=1),1,0)</f>
        <v>0</v>
      </c>
      <c r="EP63" s="23" t="n">
        <f aca="false">IF(AND(DM63=1,EJ63=1),1,0)</f>
        <v>0</v>
      </c>
      <c r="EQ63" s="23" t="n">
        <f aca="false">IF(AND(DN63=1,EJ63=1),1,0)</f>
        <v>0</v>
      </c>
      <c r="ER63" s="23" t="n">
        <f aca="false">IF(AND(DO63=1,EJ63=1),1,0)</f>
        <v>0</v>
      </c>
    </row>
    <row r="64" customFormat="false" ht="15" hidden="false" customHeight="false" outlineLevel="0" collapsed="false">
      <c r="G64" s="32"/>
      <c r="H64" s="33"/>
      <c r="I64" s="32"/>
      <c r="L64" s="32"/>
      <c r="Q64" s="32"/>
      <c r="U64" s="32"/>
      <c r="W64" s="32"/>
      <c r="AC64" s="32"/>
      <c r="AF64" s="32"/>
      <c r="AI64" s="32"/>
      <c r="AJ64" s="32"/>
      <c r="AN64" s="32"/>
      <c r="AR64" s="32"/>
      <c r="AT64" s="32"/>
      <c r="AU64" s="32"/>
      <c r="AW64" s="32"/>
      <c r="AY64" s="34" t="str">
        <f aca="false">IF(TRIM($A64)="","",IF(AND(LEFT($A64,6)="SAMPLE",Config!$B$19&lt;&gt;"Y"),"",IF(NOT(ISNUMBER(H64)),"call_date is blank or not a date",IF(Sync!$C$5="","Clay paste is empty or has no row_id column: paste the Clay export on Clay_Offices",IF(CW64="","row_id not found in the Clay paste: add the Clay row or fix the row_id",IF(AND(ISNUMBER(CY64),CY64&gt;=1,CY64&lt;=5),"Clay status is "&amp;CX64&amp;": set call_done or later",IF(AND(BD64=1,CZ64&lt;&gt;BZ64),"Clay yes_in_principle should be "&amp;BZ64,IF(AND(BD64=1,DA64&lt;&gt;H64),"Clay call_date should be "&amp;TEXT(H64,"yyyy-mm-dd"),""))))))))</f>
        <v/>
      </c>
      <c r="AZ64" s="23" t="str">
        <f aca="false">IF(TRIM($A64)="","",IF(TRIM(C64)&lt;&gt;"",SUBSTITUTE(SUBSTITUTE(SUBSTITUTE(SUBSTITUTE(SUBSTITUTE(SUBSTITUTE(LOWER(TRIM(C64)),"~",""),"*",""),"?",""),"&lt;",""),"&gt;",""),"=",""),IF(EA64&lt;&gt;"",EA64,IFERROR(INDEX($EA$2:$EA$201,MATCH(DZ64,$EB$2:$EB$201,0)),DZ64))))</f>
        <v/>
      </c>
      <c r="BA64" s="23" t="n">
        <f aca="false">ROW()</f>
        <v>64</v>
      </c>
      <c r="BB64" s="23" t="n">
        <f aca="false">IF(AND(TRIM($A64)&lt;&gt;"",ISNUMBER(H64)),IF(AND(LEFT($A64,6)="SAMPLE",Config!$B$19&lt;&gt;"Y"),0,1),0)</f>
        <v>0</v>
      </c>
      <c r="BC64" s="23" t="n">
        <f aca="false">IF(BB64=1,IF(COUNTIFS($AZ$2:$AZ$201,AZ64,$BB$2:$BB$201,1,$H$2:$H$201,"&lt;"&amp;H64)+COUNTIFS($AZ$2:$AZ$201,AZ64,$BB$2:$BB$201,1,$H$2:$H$201,H64,$BA$2:$BA$201,"&lt;"&amp;BA64)=0,1,0),0)</f>
        <v>0</v>
      </c>
      <c r="BD64" s="23" t="n">
        <f aca="false">IF(BB64=1,IF(COUNTIFS($A$2:$A$201,$A64,$BB$2:$BB$201,1,$H$2:$H$201,"&gt;"&amp;H64)+COUNTIFS($A$2:$A$201,$A64,$BB$2:$BB$201,1,$H$2:$H$201,H64,$BA$2:$BA$201,"&gt;"&amp;BA64)=0,1,0),0)</f>
        <v>0</v>
      </c>
      <c r="BE64" s="23" t="n">
        <f aca="false">IF(AND(BB64=1,AR64="Y",AC64="Y",TRIM(AH64)&lt;&gt;""),1,0)</f>
        <v>0</v>
      </c>
      <c r="BF64" s="23" t="n">
        <f aca="false">IF(BE64=1,IF(COUNTIFS($AZ$2:$AZ$201,AZ64,$BE$2:$BE$201,1,$H$2:$H$201,"&lt;"&amp;H64)+COUNTIFS($AZ$2:$AZ$201,AZ64,$BE$2:$BE$201,1,$H$2:$H$201,H64,$BA$2:$BA$201,"&lt;"&amp;BA64)=0,1,0),0)</f>
        <v>0</v>
      </c>
      <c r="BG64" s="23" t="n">
        <f aca="false">IF(AND(BB64=1,AR64="Y",BE64=0),1,0)</f>
        <v>0</v>
      </c>
      <c r="BH64" s="23" t="n">
        <f aca="false">IF(AND(BB64=1,ISNUMBER(Y64)),1,0)</f>
        <v>0</v>
      </c>
      <c r="BI64" s="23" t="n">
        <f aca="false">IF(BH64=1,IF(COUNTIFS($AZ$2:$AZ$201,AZ64,$BH$2:$BH$201,1,$H$2:$H$201,"&lt;"&amp;H64)+COUNTIFS($AZ$2:$AZ$201,AZ64,$BH$2:$BH$201,1,$H$2:$H$201,H64,$BA$2:$BA$201,"&lt;"&amp;BA64)=0,1,0),0)</f>
        <v>0</v>
      </c>
      <c r="BJ64" s="23" t="str">
        <f aca="false">IF(AND(BI64=1,INT(N(H64))&lt;=Config!$B$6),Y64,"")</f>
        <v/>
      </c>
      <c r="BK64" s="23" t="str">
        <f aca="false">IF(AND(BI64=1,INT(N(H64))&lt;=Config!$B$7),Y64,"")</f>
        <v/>
      </c>
      <c r="BL64" s="23" t="str">
        <f aca="false">IF(AND(BI64=1,INT(N(H64))&lt;=Config!$B$8),Y64,"")</f>
        <v/>
      </c>
      <c r="BM64" s="23" t="str">
        <f aca="false">IF(AND(BI64=1,INT(N(H64))&lt;=Config!$B$5),Y64,"")</f>
        <v/>
      </c>
      <c r="BN64" s="23" t="n">
        <f aca="false">IF(CD64=1,IF(COUNTIFS($AZ$2:$AZ$201,AZ64,$CD$2:$CD$201,1,$H$2:$H$201,"&lt;"&amp;H64)+COUNTIFS($AZ$2:$AZ$201,AZ64,$CD$2:$CD$201,1,$H$2:$H$201,H64,$BA$2:$BA$201,"&lt;"&amp;BA64)=0,1,0),0)</f>
        <v>0</v>
      </c>
      <c r="BO64" s="23" t="n">
        <f aca="false">IF(AND(BB64=1,ISNUMBER(M64)),1,0)</f>
        <v>0</v>
      </c>
      <c r="BP64" s="23" t="n">
        <f aca="false">IF(BO64=1,IF(COUNTIFS($AZ$2:$AZ$201,AZ64,$BO$2:$BO$201,1,$H$2:$H$201,"&lt;"&amp;H64)+COUNTIFS($AZ$2:$AZ$201,AZ64,$BO$2:$BO$201,1,$H$2:$H$201,H64,$BA$2:$BA$201,"&lt;"&amp;BA64)=0,1,0),0)</f>
        <v>0</v>
      </c>
      <c r="BQ64" s="23" t="str">
        <f aca="false">IF(AND(BP64=1,INT(N(H64))&lt;=Config!$B$5),M64,"")</f>
        <v/>
      </c>
      <c r="BR64" s="23" t="n">
        <f aca="false">IF(AND(BB64=1,OR(TRIM(X64)&lt;&gt;"",ISNUMBER(Y64))),1,0)</f>
        <v>0</v>
      </c>
      <c r="BS64" s="23" t="n">
        <f aca="false">IF(BR64=1,IF(COUNTIFS($AZ$2:$AZ$201,AZ64,$BR$2:$BR$201,1,$H$2:$H$201,"&lt;"&amp;H64)+COUNTIFS($AZ$2:$AZ$201,AZ64,$BR$2:$BR$201,1,$H$2:$H$201,H64,$BA$2:$BA$201,"&lt;"&amp;BA64)=0,1,0),0)</f>
        <v>0</v>
      </c>
      <c r="BT64" s="23" t="str">
        <f aca="false">IF(BS64=1,AZ64,"")</f>
        <v/>
      </c>
      <c r="BU64" s="23" t="n">
        <f aca="false">IF(AND(BB64=1,W64="Y",TRIM(X64)=""),1,0)</f>
        <v>0</v>
      </c>
      <c r="BV64" s="23" t="str">
        <f aca="false">IF(BB64=1,AN64&amp;"","")</f>
        <v/>
      </c>
      <c r="BW64" s="23" t="str">
        <f aca="false">IF(BB64=1,AO64&amp;"","")</f>
        <v/>
      </c>
      <c r="BX64" s="23" t="str">
        <f aca="false">IF(BB64=1,AP64&amp;"","")</f>
        <v/>
      </c>
      <c r="BY64" s="23" t="str">
        <f aca="false">IF(AND(BB64=1,ISNUMBER(AV64),INT(N(H64))&lt;=Config!$B$5),AV64,"")</f>
        <v/>
      </c>
      <c r="BZ64" s="23" t="str">
        <f aca="false">IF(BB64=1,IF(COUNTIFS($A$2:$A$201,$A64,$DC$2:$DC$201,1,$AR$2:$AR$201,"Y")&gt;0,"Y","N"),"")</f>
        <v/>
      </c>
      <c r="CA64" s="23" t="n">
        <f aca="false">IF(AND(BB64=1,AR64="maybe"),1,0)</f>
        <v>0</v>
      </c>
      <c r="CB64" s="23" t="n">
        <f aca="false">IF(CA64=1,IF(COUNTIFS($AZ$2:$AZ$201,AZ64,$CA$2:$CA$201,1,$H$2:$H$201,"&lt;"&amp;H64)+COUNTIFS($AZ$2:$AZ$201,AZ64,$CA$2:$CA$201,1,$H$2:$H$201,H64,$BA$2:$BA$201,"&lt;"&amp;BA64)=0,1,0),0)</f>
        <v>0</v>
      </c>
      <c r="CC64" s="23" t="n">
        <f aca="false">IF(AND(BB64=1,AR64="Y"),IF(COUNTIFS($AZ$2:$AZ$201,AZ64,$AR$2:$AR$201,"Y",$BB$2:$BB$201,1,$H$2:$H$201,"&lt;"&amp;H64)+COUNTIFS($AZ$2:$AZ$201,AZ64,$AR$2:$AR$201,"Y",$BB$2:$BB$201,1,$H$2:$H$201,H64,$BA$2:$BA$201,"&lt;"&amp;BA64)=0,1,0),0)</f>
        <v>0</v>
      </c>
      <c r="CD64" s="23" t="n">
        <f aca="false">IF(AND(BH64=1,N(Y64)&gt;=Config!$B$15),1,0)</f>
        <v>0</v>
      </c>
      <c r="CE64" s="23" t="n">
        <f aca="false">IF(AND(BB64=1,AT64="Y"),1,0)</f>
        <v>0</v>
      </c>
      <c r="CF64" s="23" t="n">
        <f aca="false">IF(CE64=1,IF(COUNTIFS($AZ$2:$AZ$201,AZ64,$CE$2:$CE$201,1,$H$2:$H$201,"&lt;"&amp;H64)+COUNTIFS($AZ$2:$AZ$201,AZ64,$CE$2:$CE$201,1,$H$2:$H$201,H64,$BA$2:$BA$201,"&lt;"&amp;BA64)=0,1,0),0)</f>
        <v>0</v>
      </c>
      <c r="CG64" s="23" t="n">
        <f aca="false">IF(AND(BB64=1,G64="warm-intro"),1,0)</f>
        <v>0</v>
      </c>
      <c r="CH64" s="23" t="n">
        <f aca="false">IF(CG64=1,IF(COUNTIFS($AZ$2:$AZ$201,AZ64,$CG$2:$CG$201,1,$H$2:$H$201,"&lt;"&amp;H64)+COUNTIFS($AZ$2:$AZ$201,AZ64,$CG$2:$CG$201,1,$H$2:$H$201,H64,$BA$2:$BA$201,"&lt;"&amp;BA64)=0,1,0),0)</f>
        <v>0</v>
      </c>
      <c r="CI64" s="23" t="n">
        <f aca="false">IF(AND(BB64=1,Q64="Y"),1,0)</f>
        <v>0</v>
      </c>
      <c r="CJ64" s="23" t="n">
        <f aca="false">IF(CI64=1,IF(COUNTIFS($AZ$2:$AZ$201,AZ64,$CI$2:$CI$201,1,$H$2:$H$201,"&lt;"&amp;H64)+COUNTIFS($AZ$2:$AZ$201,AZ64,$CI$2:$CI$201,1,$H$2:$H$201,H64,$BA$2:$BA$201,"&lt;"&amp;BA64)=0,1,0),0)</f>
        <v>0</v>
      </c>
      <c r="CK64" s="23" t="n">
        <f aca="false">IF(AND(BB64=1,AF64="Y"),1,0)</f>
        <v>0</v>
      </c>
      <c r="CL64" s="23" t="n">
        <f aca="false">IF(CK64=1,IF(COUNTIFS($AZ$2:$AZ$201,AZ64,$CK$2:$CK$201,1,$H$2:$H$201,"&lt;"&amp;H64)+COUNTIFS($AZ$2:$AZ$201,AZ64,$CK$2:$CK$201,1,$H$2:$H$201,H64,$BA$2:$BA$201,"&lt;"&amp;BA64)=0,1,0),0)</f>
        <v>0</v>
      </c>
      <c r="CM64" s="23" t="n">
        <f aca="false">IF(AND(BB64=1,U64="Y"),1,0)</f>
        <v>0</v>
      </c>
      <c r="CN64" s="23" t="n">
        <f aca="false">IF(CM64=1,IF(COUNTIFS($AZ$2:$AZ$201,AZ64,$CM$2:$CM$201,1,$H$2:$H$201,"&lt;"&amp;H64)+COUNTIFS($AZ$2:$AZ$201,AZ64,$CM$2:$CM$201,1,$H$2:$H$201,H64,$BA$2:$BA$201,"&lt;"&amp;BA64)=0,1,0),0)</f>
        <v>0</v>
      </c>
      <c r="CO64" s="23" t="n">
        <f aca="false">IF(AND(BB64=1,L64="Y"),1,0)</f>
        <v>0</v>
      </c>
      <c r="CP64" s="23" t="n">
        <f aca="false">IF(CO64=1,IF(COUNTIFS($AZ$2:$AZ$201,AZ64,$CO$2:$CO$201,1,$H$2:$H$201,"&lt;"&amp;H64)+COUNTIFS($AZ$2:$AZ$201,AZ64,$CO$2:$CO$201,1,$H$2:$H$201,H64,$BA$2:$BA$201,"&lt;"&amp;BA64)=0,1,0),0)</f>
        <v>0</v>
      </c>
      <c r="CQ64" s="23" t="n">
        <f aca="false">IF(AND(BB64=1,ISNUMBER(O64)),1,0)</f>
        <v>0</v>
      </c>
      <c r="CR64" s="23" t="n">
        <f aca="false">IF(CQ64=1,IF(COUNTIFS($AZ$2:$AZ$201,AZ64,$CQ$2:$CQ$201,1,$H$2:$H$201,"&lt;"&amp;H64)+COUNTIFS($AZ$2:$AZ$201,AZ64,$CQ$2:$CQ$201,1,$H$2:$H$201,H64,$BA$2:$BA$201,"&lt;"&amp;BA64)=0,1,0),0)</f>
        <v>0</v>
      </c>
      <c r="CS64" s="23" t="str">
        <f aca="false">IF(AND(CR64=1,INT(N(H64))&lt;=Config!$B$5),O64,"")</f>
        <v/>
      </c>
      <c r="CT64" s="23" t="str">
        <f aca="false">IF(AND(BB64=1,INT(N(H64))&lt;=Config!$B$5),AG64&amp;"","")</f>
        <v/>
      </c>
      <c r="CU64" s="23" t="n">
        <f aca="false">IF(AND(BB64=1,AU64="Y"),1,0)</f>
        <v>0</v>
      </c>
      <c r="CV64" s="23" t="n">
        <f aca="false">IF(CU64=1,IF(COUNTIFS($AZ$2:$AZ$201,AZ64,$CU$2:$CU$201,1,$H$2:$H$201,"&lt;"&amp;H64)+COUNTIFS($AZ$2:$AZ$201,AZ64,$CU$2:$CU$201,1,$H$2:$H$201,H64,$BA$2:$BA$201,"&lt;"&amp;BA64)=0,1,0),0)</f>
        <v>0</v>
      </c>
      <c r="CW64" s="23" t="str">
        <f aca="false">IF(BB64=1,IFERROR(MATCH($A64,INDEX(Clay_Offices!$A$2:$FZ$601,0,Sync!$C$5),0),""),"")</f>
        <v/>
      </c>
      <c r="CX64" s="23" t="str">
        <f aca="false">IF(CW64="","",IFERROR(INDEX(Clay_Offices!$A$2:$FZ$601,CW64,Sync!$C$7)&amp;"",""))</f>
        <v/>
      </c>
      <c r="CY64" s="23" t="str">
        <f aca="false">IF(CX64="","",IFERROR(INDEX(Lists!$K$2:$K$15,MATCH(CX64,Lists!$J$2:$J$15,0)),""))</f>
        <v/>
      </c>
      <c r="CZ64" s="23" t="str">
        <f aca="false">IF(CW64="","",IFERROR(INDEX(Clay_Offices!$A$2:$FZ$601,CW64,Sync!$C$17)&amp;"",""))</f>
        <v/>
      </c>
      <c r="DA64" s="35" t="str">
        <f aca="false">IF(CW64="","",IFERROR(N(INDEX(Clay_Offices!$A$2:$FZ$601,CW64,Sync!$C$16)),0))</f>
        <v/>
      </c>
      <c r="DB64" s="23" t="n">
        <f aca="false">IF(AND(BB64=1,OR(AR64="Y",AR64="N",AR64="maybe")),1,0)</f>
        <v>0</v>
      </c>
      <c r="DC64" s="23" t="n">
        <f aca="false">IF(AND(DB64=1),IF(COUNTIFS($A$2:$A$201,$A64,$DB$2:$DB$201,1,$H$2:$H$201,"&gt;"&amp;H64)+COUNTIFS($A$2:$A$201,$A64,$DB$2:$DB$201,1,$H$2:$H$201,H64,$BA$2:$BA$201,"&gt;"&amp;BA64)=0,1,0),0)</f>
        <v>0</v>
      </c>
      <c r="DD64" s="23" t="n">
        <f aca="false">IF(AND(DB64=1,INT(N(H64))&lt;=Config!$B$6),IF(COUNTIFS($AZ$2:$AZ$201,AZ64,$DB$2:$DB$201,1,$H$2:$H$201,"&gt;"&amp;H64,$H$2:$H$201,"&lt;"&amp;(Config!$B$6+1))+COUNTIFS($AZ$2:$AZ$201,AZ64,$DB$2:$DB$201,1,$H$2:$H$201,H64,$BA$2:$BA$201,"&gt;"&amp;BA64)=0,1,0),0)</f>
        <v>0</v>
      </c>
      <c r="DE64" s="23" t="n">
        <f aca="false">IF(AND(DB64=1,INT(N(H64))&lt;=Config!$B$7),IF(COUNTIFS($AZ$2:$AZ$201,AZ64,$DB$2:$DB$201,1,$H$2:$H$201,"&gt;"&amp;H64,$H$2:$H$201,"&lt;"&amp;(Config!$B$7+1))+COUNTIFS($AZ$2:$AZ$201,AZ64,$DB$2:$DB$201,1,$H$2:$H$201,H64,$BA$2:$BA$201,"&gt;"&amp;BA64)=0,1,0),0)</f>
        <v>0</v>
      </c>
      <c r="DF64" s="23" t="n">
        <f aca="false">IF(AND(DB64=1,INT(N(H64))&lt;=Config!$B$8),IF(COUNTIFS($AZ$2:$AZ$201,AZ64,$DB$2:$DB$201,1,$H$2:$H$201,"&gt;"&amp;H64,$H$2:$H$201,"&lt;"&amp;(Config!$B$8+1))+COUNTIFS($AZ$2:$AZ$201,AZ64,$DB$2:$DB$201,1,$H$2:$H$201,H64,$BA$2:$BA$201,"&gt;"&amp;BA64)=0,1,0),0)</f>
        <v>0</v>
      </c>
      <c r="DG64" s="23" t="n">
        <f aca="false">IF(AND(DB64=1,INT(N(H64))&lt;=Config!$B$5),IF(COUNTIFS($AZ$2:$AZ$201,AZ64,$DB$2:$DB$201,1,$H$2:$H$201,"&gt;"&amp;H64,$H$2:$H$201,"&lt;"&amp;(Config!$B$5+1))+COUNTIFS($AZ$2:$AZ$201,AZ64,$DB$2:$DB$201,1,$H$2:$H$201,H64,$BA$2:$BA$201,"&gt;"&amp;BA64)=0,1,0),0)</f>
        <v>0</v>
      </c>
      <c r="DH64" s="23" t="n">
        <f aca="false">IF(BB64=1,IF(COUNTIFS($AZ$2:$AZ$201,AZ64,$DD$2:$DD$201,1,$AR$2:$AR$201,"Y")&gt;0,1,0),0)</f>
        <v>0</v>
      </c>
      <c r="DI64" s="23" t="n">
        <f aca="false">IF(BB64=1,IF(COUNTIFS($AZ$2:$AZ$201,AZ64,$DE$2:$DE$201,1,$AR$2:$AR$201,"Y")&gt;0,1,0),0)</f>
        <v>0</v>
      </c>
      <c r="DJ64" s="23" t="n">
        <f aca="false">IF(BB64=1,IF(COUNTIFS($AZ$2:$AZ$201,AZ64,$DF$2:$DF$201,1,$AR$2:$AR$201,"Y")&gt;0,1,0),0)</f>
        <v>0</v>
      </c>
      <c r="DK64" s="23" t="n">
        <f aca="false">IF(BB64=1,IF(COUNTIFS($AZ$2:$AZ$201,AZ64,$DG$2:$DG$201,1,$AR$2:$AR$201,"Y")&gt;0,1,0),0)</f>
        <v>0</v>
      </c>
      <c r="DL64" s="23" t="n">
        <f aca="false">IF(AND(BF64=1,INT(N(H64))&lt;=Config!$B$6,DH64=1,EI64=0),1,0)</f>
        <v>0</v>
      </c>
      <c r="DM64" s="23" t="n">
        <f aca="false">IF(AND(BF64=1,INT(N(H64))&lt;=Config!$B$7,DI64=1,EI64=0),1,0)</f>
        <v>0</v>
      </c>
      <c r="DN64" s="23" t="n">
        <f aca="false">IF(AND(BF64=1,INT(N(H64))&lt;=Config!$B$8,DJ64=1,EI64=0),1,0)</f>
        <v>0</v>
      </c>
      <c r="DO64" s="23" t="n">
        <f aca="false">IF(AND(BF64=1,INT(N(H64))&lt;=Config!$B$5,DK64=1,EI64=0),1,0)</f>
        <v>0</v>
      </c>
      <c r="DP64" s="23" t="n">
        <f aca="false">IF(AND(CC64=1,INT(N(H64))&lt;=Config!$B$6,DH64=1,EI64=0),1,0)</f>
        <v>0</v>
      </c>
      <c r="DQ64" s="23" t="n">
        <f aca="false">IF(AND(CC64=1,INT(N(H64))&lt;=Config!$B$7,DI64=1,EI64=0),1,0)</f>
        <v>0</v>
      </c>
      <c r="DR64" s="23" t="n">
        <f aca="false">IF(AND(CC64=1,INT(N(H64))&lt;=Config!$B$8,DJ64=1,EI64=0),1,0)</f>
        <v>0</v>
      </c>
      <c r="DS64" s="23" t="n">
        <f aca="false">IF(AND(CC64=1,INT(N(H64))&lt;=Config!$B$5,DK64=1,EI64=0),1,0)</f>
        <v>0</v>
      </c>
      <c r="DT64" s="23" t="n">
        <f aca="false">IF(AND(CC64=1,INT(N(H64))&lt;=Config!$B$6,DH64=0),1,0)</f>
        <v>0</v>
      </c>
      <c r="DU64" s="23" t="n">
        <f aca="false">IF(AND(CC64=1,INT(N(H64))&lt;=Config!$B$7,DI64=0),1,0)</f>
        <v>0</v>
      </c>
      <c r="DV64" s="23" t="n">
        <f aca="false">IF(AND(CC64=1,INT(N(H64))&lt;=Config!$B$8,DJ64=0),1,0)</f>
        <v>0</v>
      </c>
      <c r="DW64" s="23" t="n">
        <f aca="false">IF(AND(CC64=1,INT(N(H64))&lt;=Config!$B$5,DK64=0),1,0)</f>
        <v>0</v>
      </c>
      <c r="DX64" s="23" t="n">
        <f aca="false">IF(TRIM($A64)="",0,ISTEXT(M64)+ISTEXT(O64)+ISTEXT(Y64)+ISTEXT(Z64)+ISTEXT(AA64)+ISTEXT(AV64))</f>
        <v>0</v>
      </c>
      <c r="DY64" s="23" t="n">
        <f aca="false">IF(BB64=1,IF(H64&lt;&gt;INT(H64),1,0),0)</f>
        <v>0</v>
      </c>
      <c r="DZ64" s="23" t="str">
        <f aca="false">IF(TRIM($A64)="","",IF(TRIM(B64)="",SUBSTITUTE(SUBSTITUTE(SUBSTITUTE(SUBSTITUTE(SUBSTITUTE(SUBSTITUTE(LOWER(TRIM($A64)),"~",""),"*",""),"?",""),"&lt;",""),"&gt;",""),"=",""),SUBSTITUTE(SUBSTITUTE(SUBSTITUTE(SUBSTITUTE(SUBSTITUTE(SUBSTITUTE(LOWER(TRIM(B64)),"~",""),"*",""),"?",""),"&lt;",""),"&gt;",""),"=","")))</f>
        <v/>
      </c>
      <c r="EA64" s="23" t="str">
        <f aca="false">IF(CW64="","",IFERROR(IF(LEFT(LOWER(TRIM(INDEX(Clay_Offices!$A$2:$FZ$601,CW64,Sync!$C$19)&amp;"")),4)="grp-",SUBSTITUTE(SUBSTITUTE(SUBSTITUTE(SUBSTITUTE(SUBSTITUTE(SUBSTITUTE(LOWER(TRIM(INDEX(Clay_Offices!$A$2:$FZ$601,CW64,Sync!$C$19)&amp;"")),"~",""),"*",""),"?",""),"&lt;",""),"&gt;",""),"=",""),""),""))</f>
        <v/>
      </c>
      <c r="EB64" s="23" t="str">
        <f aca="false">IF(EA64&lt;&gt;"",DZ64,"")</f>
        <v/>
      </c>
      <c r="EC64" s="23" t="str">
        <f aca="false">IF(BC64=1,AZ64,"")</f>
        <v/>
      </c>
      <c r="ED64" s="23" t="str">
        <f aca="false">IF(TRIM($A64)="","",IFERROR(INDEX($A$2:$A$201,MATCH(AZ64,$EC$2:$EC$201,0))&amp;"",$A64&amp;""))</f>
        <v/>
      </c>
      <c r="EE64" s="23" t="n">
        <f aca="false">IF(BB64=1,IF(COUNTIFS($A$2:$A$201,$A64,$BB$2:$BB$201,1,$H$2:$H$201,"&lt;"&amp;H64)+COUNTIFS($A$2:$A$201,$A64,$BB$2:$BB$201,1,$H$2:$H$201,H64,$BA$2:$BA$201,"&lt;"&amp;BA64)=0,1,0),0)</f>
        <v>0</v>
      </c>
      <c r="EF64" s="23" t="n">
        <f aca="false">IF(BC64=1,IF(COUNTIFS($AZ$2:$AZ$201,AZ64,$EE$2:$EE$201,1)&gt;1,1,0),0)</f>
        <v>0</v>
      </c>
      <c r="EG64" s="23" t="n">
        <f aca="false">IF(AND(CQ64=1),IF(COUNTIFS($AZ$2:$AZ$201,AZ64,$CQ$2:$CQ$201,1,$H$2:$H$201,"&gt;"&amp;H64)+COUNTIFS($AZ$2:$AZ$201,AZ64,$CQ$2:$CQ$201,1,$H$2:$H$201,H64,$BA$2:$BA$201,"&gt;"&amp;BA64)=0,1,0),0)</f>
        <v>0</v>
      </c>
      <c r="EH64" s="23" t="str">
        <f aca="false">IF(BB64=1,IF(COUNTIFS($AZ$2:$AZ$201,AZ64,$EG$2:$EG$201,1)=0,"",SUMIFS($O$2:$O$201,$AZ$2:$AZ$201,AZ64,$EG$2:$EG$201,1)),"")</f>
        <v/>
      </c>
      <c r="EI64" s="23" t="n">
        <f aca="false">IF(AND(ISNUMBER(EH64),OR(N(EH64)&lt;Config!$B$31,N(EH64)&gt;Config!$B$33)),1,0)</f>
        <v>0</v>
      </c>
      <c r="EJ64" s="23" t="n">
        <f aca="false">IF(AND(ISNUMBER(EH64),N(EH64)&gt;=Config!$B$31,N(EH64)&lt;Config!$B$32),1,0)</f>
        <v>0</v>
      </c>
      <c r="EK64" s="23" t="n">
        <f aca="false">IF(AND(BF64=1,INT(N(H64))&lt;=Config!$B$6,DH64=1,EI64=1),1,0)</f>
        <v>0</v>
      </c>
      <c r="EL64" s="23" t="n">
        <f aca="false">IF(AND(BF64=1,INT(N(H64))&lt;=Config!$B$7,DI64=1,EI64=1),1,0)</f>
        <v>0</v>
      </c>
      <c r="EM64" s="23" t="n">
        <f aca="false">IF(AND(BF64=1,INT(N(H64))&lt;=Config!$B$8,DJ64=1,EI64=1),1,0)</f>
        <v>0</v>
      </c>
      <c r="EN64" s="23" t="n">
        <f aca="false">IF(AND(BF64=1,INT(N(H64))&lt;=Config!$B$5,DK64=1,EI64=1),1,0)</f>
        <v>0</v>
      </c>
      <c r="EO64" s="23" t="n">
        <f aca="false">IF(AND(DL64=1,EJ64=1),1,0)</f>
        <v>0</v>
      </c>
      <c r="EP64" s="23" t="n">
        <f aca="false">IF(AND(DM64=1,EJ64=1),1,0)</f>
        <v>0</v>
      </c>
      <c r="EQ64" s="23" t="n">
        <f aca="false">IF(AND(DN64=1,EJ64=1),1,0)</f>
        <v>0</v>
      </c>
      <c r="ER64" s="23" t="n">
        <f aca="false">IF(AND(DO64=1,EJ64=1),1,0)</f>
        <v>0</v>
      </c>
    </row>
    <row r="65" customFormat="false" ht="15" hidden="false" customHeight="false" outlineLevel="0" collapsed="false">
      <c r="G65" s="32"/>
      <c r="H65" s="33"/>
      <c r="I65" s="32"/>
      <c r="L65" s="32"/>
      <c r="Q65" s="32"/>
      <c r="U65" s="32"/>
      <c r="W65" s="32"/>
      <c r="AC65" s="32"/>
      <c r="AF65" s="32"/>
      <c r="AI65" s="32"/>
      <c r="AJ65" s="32"/>
      <c r="AN65" s="32"/>
      <c r="AR65" s="32"/>
      <c r="AT65" s="32"/>
      <c r="AU65" s="32"/>
      <c r="AW65" s="32"/>
      <c r="AY65" s="34" t="str">
        <f aca="false">IF(TRIM($A65)="","",IF(AND(LEFT($A65,6)="SAMPLE",Config!$B$19&lt;&gt;"Y"),"",IF(NOT(ISNUMBER(H65)),"call_date is blank or not a date",IF(Sync!$C$5="","Clay paste is empty or has no row_id column: paste the Clay export on Clay_Offices",IF(CW65="","row_id not found in the Clay paste: add the Clay row or fix the row_id",IF(AND(ISNUMBER(CY65),CY65&gt;=1,CY65&lt;=5),"Clay status is "&amp;CX65&amp;": set call_done or later",IF(AND(BD65=1,CZ65&lt;&gt;BZ65),"Clay yes_in_principle should be "&amp;BZ65,IF(AND(BD65=1,DA65&lt;&gt;H65),"Clay call_date should be "&amp;TEXT(H65,"yyyy-mm-dd"),""))))))))</f>
        <v/>
      </c>
      <c r="AZ65" s="23" t="str">
        <f aca="false">IF(TRIM($A65)="","",IF(TRIM(C65)&lt;&gt;"",SUBSTITUTE(SUBSTITUTE(SUBSTITUTE(SUBSTITUTE(SUBSTITUTE(SUBSTITUTE(LOWER(TRIM(C65)),"~",""),"*",""),"?",""),"&lt;",""),"&gt;",""),"=",""),IF(EA65&lt;&gt;"",EA65,IFERROR(INDEX($EA$2:$EA$201,MATCH(DZ65,$EB$2:$EB$201,0)),DZ65))))</f>
        <v/>
      </c>
      <c r="BA65" s="23" t="n">
        <f aca="false">ROW()</f>
        <v>65</v>
      </c>
      <c r="BB65" s="23" t="n">
        <f aca="false">IF(AND(TRIM($A65)&lt;&gt;"",ISNUMBER(H65)),IF(AND(LEFT($A65,6)="SAMPLE",Config!$B$19&lt;&gt;"Y"),0,1),0)</f>
        <v>0</v>
      </c>
      <c r="BC65" s="23" t="n">
        <f aca="false">IF(BB65=1,IF(COUNTIFS($AZ$2:$AZ$201,AZ65,$BB$2:$BB$201,1,$H$2:$H$201,"&lt;"&amp;H65)+COUNTIFS($AZ$2:$AZ$201,AZ65,$BB$2:$BB$201,1,$H$2:$H$201,H65,$BA$2:$BA$201,"&lt;"&amp;BA65)=0,1,0),0)</f>
        <v>0</v>
      </c>
      <c r="BD65" s="23" t="n">
        <f aca="false">IF(BB65=1,IF(COUNTIFS($A$2:$A$201,$A65,$BB$2:$BB$201,1,$H$2:$H$201,"&gt;"&amp;H65)+COUNTIFS($A$2:$A$201,$A65,$BB$2:$BB$201,1,$H$2:$H$201,H65,$BA$2:$BA$201,"&gt;"&amp;BA65)=0,1,0),0)</f>
        <v>0</v>
      </c>
      <c r="BE65" s="23" t="n">
        <f aca="false">IF(AND(BB65=1,AR65="Y",AC65="Y",TRIM(AH65)&lt;&gt;""),1,0)</f>
        <v>0</v>
      </c>
      <c r="BF65" s="23" t="n">
        <f aca="false">IF(BE65=1,IF(COUNTIFS($AZ$2:$AZ$201,AZ65,$BE$2:$BE$201,1,$H$2:$H$201,"&lt;"&amp;H65)+COUNTIFS($AZ$2:$AZ$201,AZ65,$BE$2:$BE$201,1,$H$2:$H$201,H65,$BA$2:$BA$201,"&lt;"&amp;BA65)=0,1,0),0)</f>
        <v>0</v>
      </c>
      <c r="BG65" s="23" t="n">
        <f aca="false">IF(AND(BB65=1,AR65="Y",BE65=0),1,0)</f>
        <v>0</v>
      </c>
      <c r="BH65" s="23" t="n">
        <f aca="false">IF(AND(BB65=1,ISNUMBER(Y65)),1,0)</f>
        <v>0</v>
      </c>
      <c r="BI65" s="23" t="n">
        <f aca="false">IF(BH65=1,IF(COUNTIFS($AZ$2:$AZ$201,AZ65,$BH$2:$BH$201,1,$H$2:$H$201,"&lt;"&amp;H65)+COUNTIFS($AZ$2:$AZ$201,AZ65,$BH$2:$BH$201,1,$H$2:$H$201,H65,$BA$2:$BA$201,"&lt;"&amp;BA65)=0,1,0),0)</f>
        <v>0</v>
      </c>
      <c r="BJ65" s="23" t="str">
        <f aca="false">IF(AND(BI65=1,INT(N(H65))&lt;=Config!$B$6),Y65,"")</f>
        <v/>
      </c>
      <c r="BK65" s="23" t="str">
        <f aca="false">IF(AND(BI65=1,INT(N(H65))&lt;=Config!$B$7),Y65,"")</f>
        <v/>
      </c>
      <c r="BL65" s="23" t="str">
        <f aca="false">IF(AND(BI65=1,INT(N(H65))&lt;=Config!$B$8),Y65,"")</f>
        <v/>
      </c>
      <c r="BM65" s="23" t="str">
        <f aca="false">IF(AND(BI65=1,INT(N(H65))&lt;=Config!$B$5),Y65,"")</f>
        <v/>
      </c>
      <c r="BN65" s="23" t="n">
        <f aca="false">IF(CD65=1,IF(COUNTIFS($AZ$2:$AZ$201,AZ65,$CD$2:$CD$201,1,$H$2:$H$201,"&lt;"&amp;H65)+COUNTIFS($AZ$2:$AZ$201,AZ65,$CD$2:$CD$201,1,$H$2:$H$201,H65,$BA$2:$BA$201,"&lt;"&amp;BA65)=0,1,0),0)</f>
        <v>0</v>
      </c>
      <c r="BO65" s="23" t="n">
        <f aca="false">IF(AND(BB65=1,ISNUMBER(M65)),1,0)</f>
        <v>0</v>
      </c>
      <c r="BP65" s="23" t="n">
        <f aca="false">IF(BO65=1,IF(COUNTIFS($AZ$2:$AZ$201,AZ65,$BO$2:$BO$201,1,$H$2:$H$201,"&lt;"&amp;H65)+COUNTIFS($AZ$2:$AZ$201,AZ65,$BO$2:$BO$201,1,$H$2:$H$201,H65,$BA$2:$BA$201,"&lt;"&amp;BA65)=0,1,0),0)</f>
        <v>0</v>
      </c>
      <c r="BQ65" s="23" t="str">
        <f aca="false">IF(AND(BP65=1,INT(N(H65))&lt;=Config!$B$5),M65,"")</f>
        <v/>
      </c>
      <c r="BR65" s="23" t="n">
        <f aca="false">IF(AND(BB65=1,OR(TRIM(X65)&lt;&gt;"",ISNUMBER(Y65))),1,0)</f>
        <v>0</v>
      </c>
      <c r="BS65" s="23" t="n">
        <f aca="false">IF(BR65=1,IF(COUNTIFS($AZ$2:$AZ$201,AZ65,$BR$2:$BR$201,1,$H$2:$H$201,"&lt;"&amp;H65)+COUNTIFS($AZ$2:$AZ$201,AZ65,$BR$2:$BR$201,1,$H$2:$H$201,H65,$BA$2:$BA$201,"&lt;"&amp;BA65)=0,1,0),0)</f>
        <v>0</v>
      </c>
      <c r="BT65" s="23" t="str">
        <f aca="false">IF(BS65=1,AZ65,"")</f>
        <v/>
      </c>
      <c r="BU65" s="23" t="n">
        <f aca="false">IF(AND(BB65=1,W65="Y",TRIM(X65)=""),1,0)</f>
        <v>0</v>
      </c>
      <c r="BV65" s="23" t="str">
        <f aca="false">IF(BB65=1,AN65&amp;"","")</f>
        <v/>
      </c>
      <c r="BW65" s="23" t="str">
        <f aca="false">IF(BB65=1,AO65&amp;"","")</f>
        <v/>
      </c>
      <c r="BX65" s="23" t="str">
        <f aca="false">IF(BB65=1,AP65&amp;"","")</f>
        <v/>
      </c>
      <c r="BY65" s="23" t="str">
        <f aca="false">IF(AND(BB65=1,ISNUMBER(AV65),INT(N(H65))&lt;=Config!$B$5),AV65,"")</f>
        <v/>
      </c>
      <c r="BZ65" s="23" t="str">
        <f aca="false">IF(BB65=1,IF(COUNTIFS($A$2:$A$201,$A65,$DC$2:$DC$201,1,$AR$2:$AR$201,"Y")&gt;0,"Y","N"),"")</f>
        <v/>
      </c>
      <c r="CA65" s="23" t="n">
        <f aca="false">IF(AND(BB65=1,AR65="maybe"),1,0)</f>
        <v>0</v>
      </c>
      <c r="CB65" s="23" t="n">
        <f aca="false">IF(CA65=1,IF(COUNTIFS($AZ$2:$AZ$201,AZ65,$CA$2:$CA$201,1,$H$2:$H$201,"&lt;"&amp;H65)+COUNTIFS($AZ$2:$AZ$201,AZ65,$CA$2:$CA$201,1,$H$2:$H$201,H65,$BA$2:$BA$201,"&lt;"&amp;BA65)=0,1,0),0)</f>
        <v>0</v>
      </c>
      <c r="CC65" s="23" t="n">
        <f aca="false">IF(AND(BB65=1,AR65="Y"),IF(COUNTIFS($AZ$2:$AZ$201,AZ65,$AR$2:$AR$201,"Y",$BB$2:$BB$201,1,$H$2:$H$201,"&lt;"&amp;H65)+COUNTIFS($AZ$2:$AZ$201,AZ65,$AR$2:$AR$201,"Y",$BB$2:$BB$201,1,$H$2:$H$201,H65,$BA$2:$BA$201,"&lt;"&amp;BA65)=0,1,0),0)</f>
        <v>0</v>
      </c>
      <c r="CD65" s="23" t="n">
        <f aca="false">IF(AND(BH65=1,N(Y65)&gt;=Config!$B$15),1,0)</f>
        <v>0</v>
      </c>
      <c r="CE65" s="23" t="n">
        <f aca="false">IF(AND(BB65=1,AT65="Y"),1,0)</f>
        <v>0</v>
      </c>
      <c r="CF65" s="23" t="n">
        <f aca="false">IF(CE65=1,IF(COUNTIFS($AZ$2:$AZ$201,AZ65,$CE$2:$CE$201,1,$H$2:$H$201,"&lt;"&amp;H65)+COUNTIFS($AZ$2:$AZ$201,AZ65,$CE$2:$CE$201,1,$H$2:$H$201,H65,$BA$2:$BA$201,"&lt;"&amp;BA65)=0,1,0),0)</f>
        <v>0</v>
      </c>
      <c r="CG65" s="23" t="n">
        <f aca="false">IF(AND(BB65=1,G65="warm-intro"),1,0)</f>
        <v>0</v>
      </c>
      <c r="CH65" s="23" t="n">
        <f aca="false">IF(CG65=1,IF(COUNTIFS($AZ$2:$AZ$201,AZ65,$CG$2:$CG$201,1,$H$2:$H$201,"&lt;"&amp;H65)+COUNTIFS($AZ$2:$AZ$201,AZ65,$CG$2:$CG$201,1,$H$2:$H$201,H65,$BA$2:$BA$201,"&lt;"&amp;BA65)=0,1,0),0)</f>
        <v>0</v>
      </c>
      <c r="CI65" s="23" t="n">
        <f aca="false">IF(AND(BB65=1,Q65="Y"),1,0)</f>
        <v>0</v>
      </c>
      <c r="CJ65" s="23" t="n">
        <f aca="false">IF(CI65=1,IF(COUNTIFS($AZ$2:$AZ$201,AZ65,$CI$2:$CI$201,1,$H$2:$H$201,"&lt;"&amp;H65)+COUNTIFS($AZ$2:$AZ$201,AZ65,$CI$2:$CI$201,1,$H$2:$H$201,H65,$BA$2:$BA$201,"&lt;"&amp;BA65)=0,1,0),0)</f>
        <v>0</v>
      </c>
      <c r="CK65" s="23" t="n">
        <f aca="false">IF(AND(BB65=1,AF65="Y"),1,0)</f>
        <v>0</v>
      </c>
      <c r="CL65" s="23" t="n">
        <f aca="false">IF(CK65=1,IF(COUNTIFS($AZ$2:$AZ$201,AZ65,$CK$2:$CK$201,1,$H$2:$H$201,"&lt;"&amp;H65)+COUNTIFS($AZ$2:$AZ$201,AZ65,$CK$2:$CK$201,1,$H$2:$H$201,H65,$BA$2:$BA$201,"&lt;"&amp;BA65)=0,1,0),0)</f>
        <v>0</v>
      </c>
      <c r="CM65" s="23" t="n">
        <f aca="false">IF(AND(BB65=1,U65="Y"),1,0)</f>
        <v>0</v>
      </c>
      <c r="CN65" s="23" t="n">
        <f aca="false">IF(CM65=1,IF(COUNTIFS($AZ$2:$AZ$201,AZ65,$CM$2:$CM$201,1,$H$2:$H$201,"&lt;"&amp;H65)+COUNTIFS($AZ$2:$AZ$201,AZ65,$CM$2:$CM$201,1,$H$2:$H$201,H65,$BA$2:$BA$201,"&lt;"&amp;BA65)=0,1,0),0)</f>
        <v>0</v>
      </c>
      <c r="CO65" s="23" t="n">
        <f aca="false">IF(AND(BB65=1,L65="Y"),1,0)</f>
        <v>0</v>
      </c>
      <c r="CP65" s="23" t="n">
        <f aca="false">IF(CO65=1,IF(COUNTIFS($AZ$2:$AZ$201,AZ65,$CO$2:$CO$201,1,$H$2:$H$201,"&lt;"&amp;H65)+COUNTIFS($AZ$2:$AZ$201,AZ65,$CO$2:$CO$201,1,$H$2:$H$201,H65,$BA$2:$BA$201,"&lt;"&amp;BA65)=0,1,0),0)</f>
        <v>0</v>
      </c>
      <c r="CQ65" s="23" t="n">
        <f aca="false">IF(AND(BB65=1,ISNUMBER(O65)),1,0)</f>
        <v>0</v>
      </c>
      <c r="CR65" s="23" t="n">
        <f aca="false">IF(CQ65=1,IF(COUNTIFS($AZ$2:$AZ$201,AZ65,$CQ$2:$CQ$201,1,$H$2:$H$201,"&lt;"&amp;H65)+COUNTIFS($AZ$2:$AZ$201,AZ65,$CQ$2:$CQ$201,1,$H$2:$H$201,H65,$BA$2:$BA$201,"&lt;"&amp;BA65)=0,1,0),0)</f>
        <v>0</v>
      </c>
      <c r="CS65" s="23" t="str">
        <f aca="false">IF(AND(CR65=1,INT(N(H65))&lt;=Config!$B$5),O65,"")</f>
        <v/>
      </c>
      <c r="CT65" s="23" t="str">
        <f aca="false">IF(AND(BB65=1,INT(N(H65))&lt;=Config!$B$5),AG65&amp;"","")</f>
        <v/>
      </c>
      <c r="CU65" s="23" t="n">
        <f aca="false">IF(AND(BB65=1,AU65="Y"),1,0)</f>
        <v>0</v>
      </c>
      <c r="CV65" s="23" t="n">
        <f aca="false">IF(CU65=1,IF(COUNTIFS($AZ$2:$AZ$201,AZ65,$CU$2:$CU$201,1,$H$2:$H$201,"&lt;"&amp;H65)+COUNTIFS($AZ$2:$AZ$201,AZ65,$CU$2:$CU$201,1,$H$2:$H$201,H65,$BA$2:$BA$201,"&lt;"&amp;BA65)=0,1,0),0)</f>
        <v>0</v>
      </c>
      <c r="CW65" s="23" t="str">
        <f aca="false">IF(BB65=1,IFERROR(MATCH($A65,INDEX(Clay_Offices!$A$2:$FZ$601,0,Sync!$C$5),0),""),"")</f>
        <v/>
      </c>
      <c r="CX65" s="23" t="str">
        <f aca="false">IF(CW65="","",IFERROR(INDEX(Clay_Offices!$A$2:$FZ$601,CW65,Sync!$C$7)&amp;"",""))</f>
        <v/>
      </c>
      <c r="CY65" s="23" t="str">
        <f aca="false">IF(CX65="","",IFERROR(INDEX(Lists!$K$2:$K$15,MATCH(CX65,Lists!$J$2:$J$15,0)),""))</f>
        <v/>
      </c>
      <c r="CZ65" s="23" t="str">
        <f aca="false">IF(CW65="","",IFERROR(INDEX(Clay_Offices!$A$2:$FZ$601,CW65,Sync!$C$17)&amp;"",""))</f>
        <v/>
      </c>
      <c r="DA65" s="35" t="str">
        <f aca="false">IF(CW65="","",IFERROR(N(INDEX(Clay_Offices!$A$2:$FZ$601,CW65,Sync!$C$16)),0))</f>
        <v/>
      </c>
      <c r="DB65" s="23" t="n">
        <f aca="false">IF(AND(BB65=1,OR(AR65="Y",AR65="N",AR65="maybe")),1,0)</f>
        <v>0</v>
      </c>
      <c r="DC65" s="23" t="n">
        <f aca="false">IF(AND(DB65=1),IF(COUNTIFS($A$2:$A$201,$A65,$DB$2:$DB$201,1,$H$2:$H$201,"&gt;"&amp;H65)+COUNTIFS($A$2:$A$201,$A65,$DB$2:$DB$201,1,$H$2:$H$201,H65,$BA$2:$BA$201,"&gt;"&amp;BA65)=0,1,0),0)</f>
        <v>0</v>
      </c>
      <c r="DD65" s="23" t="n">
        <f aca="false">IF(AND(DB65=1,INT(N(H65))&lt;=Config!$B$6),IF(COUNTIFS($AZ$2:$AZ$201,AZ65,$DB$2:$DB$201,1,$H$2:$H$201,"&gt;"&amp;H65,$H$2:$H$201,"&lt;"&amp;(Config!$B$6+1))+COUNTIFS($AZ$2:$AZ$201,AZ65,$DB$2:$DB$201,1,$H$2:$H$201,H65,$BA$2:$BA$201,"&gt;"&amp;BA65)=0,1,0),0)</f>
        <v>0</v>
      </c>
      <c r="DE65" s="23" t="n">
        <f aca="false">IF(AND(DB65=1,INT(N(H65))&lt;=Config!$B$7),IF(COUNTIFS($AZ$2:$AZ$201,AZ65,$DB$2:$DB$201,1,$H$2:$H$201,"&gt;"&amp;H65,$H$2:$H$201,"&lt;"&amp;(Config!$B$7+1))+COUNTIFS($AZ$2:$AZ$201,AZ65,$DB$2:$DB$201,1,$H$2:$H$201,H65,$BA$2:$BA$201,"&gt;"&amp;BA65)=0,1,0),0)</f>
        <v>0</v>
      </c>
      <c r="DF65" s="23" t="n">
        <f aca="false">IF(AND(DB65=1,INT(N(H65))&lt;=Config!$B$8),IF(COUNTIFS($AZ$2:$AZ$201,AZ65,$DB$2:$DB$201,1,$H$2:$H$201,"&gt;"&amp;H65,$H$2:$H$201,"&lt;"&amp;(Config!$B$8+1))+COUNTIFS($AZ$2:$AZ$201,AZ65,$DB$2:$DB$201,1,$H$2:$H$201,H65,$BA$2:$BA$201,"&gt;"&amp;BA65)=0,1,0),0)</f>
        <v>0</v>
      </c>
      <c r="DG65" s="23" t="n">
        <f aca="false">IF(AND(DB65=1,INT(N(H65))&lt;=Config!$B$5),IF(COUNTIFS($AZ$2:$AZ$201,AZ65,$DB$2:$DB$201,1,$H$2:$H$201,"&gt;"&amp;H65,$H$2:$H$201,"&lt;"&amp;(Config!$B$5+1))+COUNTIFS($AZ$2:$AZ$201,AZ65,$DB$2:$DB$201,1,$H$2:$H$201,H65,$BA$2:$BA$201,"&gt;"&amp;BA65)=0,1,0),0)</f>
        <v>0</v>
      </c>
      <c r="DH65" s="23" t="n">
        <f aca="false">IF(BB65=1,IF(COUNTIFS($AZ$2:$AZ$201,AZ65,$DD$2:$DD$201,1,$AR$2:$AR$201,"Y")&gt;0,1,0),0)</f>
        <v>0</v>
      </c>
      <c r="DI65" s="23" t="n">
        <f aca="false">IF(BB65=1,IF(COUNTIFS($AZ$2:$AZ$201,AZ65,$DE$2:$DE$201,1,$AR$2:$AR$201,"Y")&gt;0,1,0),0)</f>
        <v>0</v>
      </c>
      <c r="DJ65" s="23" t="n">
        <f aca="false">IF(BB65=1,IF(COUNTIFS($AZ$2:$AZ$201,AZ65,$DF$2:$DF$201,1,$AR$2:$AR$201,"Y")&gt;0,1,0),0)</f>
        <v>0</v>
      </c>
      <c r="DK65" s="23" t="n">
        <f aca="false">IF(BB65=1,IF(COUNTIFS($AZ$2:$AZ$201,AZ65,$DG$2:$DG$201,1,$AR$2:$AR$201,"Y")&gt;0,1,0),0)</f>
        <v>0</v>
      </c>
      <c r="DL65" s="23" t="n">
        <f aca="false">IF(AND(BF65=1,INT(N(H65))&lt;=Config!$B$6,DH65=1,EI65=0),1,0)</f>
        <v>0</v>
      </c>
      <c r="DM65" s="23" t="n">
        <f aca="false">IF(AND(BF65=1,INT(N(H65))&lt;=Config!$B$7,DI65=1,EI65=0),1,0)</f>
        <v>0</v>
      </c>
      <c r="DN65" s="23" t="n">
        <f aca="false">IF(AND(BF65=1,INT(N(H65))&lt;=Config!$B$8,DJ65=1,EI65=0),1,0)</f>
        <v>0</v>
      </c>
      <c r="DO65" s="23" t="n">
        <f aca="false">IF(AND(BF65=1,INT(N(H65))&lt;=Config!$B$5,DK65=1,EI65=0),1,0)</f>
        <v>0</v>
      </c>
      <c r="DP65" s="23" t="n">
        <f aca="false">IF(AND(CC65=1,INT(N(H65))&lt;=Config!$B$6,DH65=1,EI65=0),1,0)</f>
        <v>0</v>
      </c>
      <c r="DQ65" s="23" t="n">
        <f aca="false">IF(AND(CC65=1,INT(N(H65))&lt;=Config!$B$7,DI65=1,EI65=0),1,0)</f>
        <v>0</v>
      </c>
      <c r="DR65" s="23" t="n">
        <f aca="false">IF(AND(CC65=1,INT(N(H65))&lt;=Config!$B$8,DJ65=1,EI65=0),1,0)</f>
        <v>0</v>
      </c>
      <c r="DS65" s="23" t="n">
        <f aca="false">IF(AND(CC65=1,INT(N(H65))&lt;=Config!$B$5,DK65=1,EI65=0),1,0)</f>
        <v>0</v>
      </c>
      <c r="DT65" s="23" t="n">
        <f aca="false">IF(AND(CC65=1,INT(N(H65))&lt;=Config!$B$6,DH65=0),1,0)</f>
        <v>0</v>
      </c>
      <c r="DU65" s="23" t="n">
        <f aca="false">IF(AND(CC65=1,INT(N(H65))&lt;=Config!$B$7,DI65=0),1,0)</f>
        <v>0</v>
      </c>
      <c r="DV65" s="23" t="n">
        <f aca="false">IF(AND(CC65=1,INT(N(H65))&lt;=Config!$B$8,DJ65=0),1,0)</f>
        <v>0</v>
      </c>
      <c r="DW65" s="23" t="n">
        <f aca="false">IF(AND(CC65=1,INT(N(H65))&lt;=Config!$B$5,DK65=0),1,0)</f>
        <v>0</v>
      </c>
      <c r="DX65" s="23" t="n">
        <f aca="false">IF(TRIM($A65)="",0,ISTEXT(M65)+ISTEXT(O65)+ISTEXT(Y65)+ISTEXT(Z65)+ISTEXT(AA65)+ISTEXT(AV65))</f>
        <v>0</v>
      </c>
      <c r="DY65" s="23" t="n">
        <f aca="false">IF(BB65=1,IF(H65&lt;&gt;INT(H65),1,0),0)</f>
        <v>0</v>
      </c>
      <c r="DZ65" s="23" t="str">
        <f aca="false">IF(TRIM($A65)="","",IF(TRIM(B65)="",SUBSTITUTE(SUBSTITUTE(SUBSTITUTE(SUBSTITUTE(SUBSTITUTE(SUBSTITUTE(LOWER(TRIM($A65)),"~",""),"*",""),"?",""),"&lt;",""),"&gt;",""),"=",""),SUBSTITUTE(SUBSTITUTE(SUBSTITUTE(SUBSTITUTE(SUBSTITUTE(SUBSTITUTE(LOWER(TRIM(B65)),"~",""),"*",""),"?",""),"&lt;",""),"&gt;",""),"=","")))</f>
        <v/>
      </c>
      <c r="EA65" s="23" t="str">
        <f aca="false">IF(CW65="","",IFERROR(IF(LEFT(LOWER(TRIM(INDEX(Clay_Offices!$A$2:$FZ$601,CW65,Sync!$C$19)&amp;"")),4)="grp-",SUBSTITUTE(SUBSTITUTE(SUBSTITUTE(SUBSTITUTE(SUBSTITUTE(SUBSTITUTE(LOWER(TRIM(INDEX(Clay_Offices!$A$2:$FZ$601,CW65,Sync!$C$19)&amp;"")),"~",""),"*",""),"?",""),"&lt;",""),"&gt;",""),"=",""),""),""))</f>
        <v/>
      </c>
      <c r="EB65" s="23" t="str">
        <f aca="false">IF(EA65&lt;&gt;"",DZ65,"")</f>
        <v/>
      </c>
      <c r="EC65" s="23" t="str">
        <f aca="false">IF(BC65=1,AZ65,"")</f>
        <v/>
      </c>
      <c r="ED65" s="23" t="str">
        <f aca="false">IF(TRIM($A65)="","",IFERROR(INDEX($A$2:$A$201,MATCH(AZ65,$EC$2:$EC$201,0))&amp;"",$A65&amp;""))</f>
        <v/>
      </c>
      <c r="EE65" s="23" t="n">
        <f aca="false">IF(BB65=1,IF(COUNTIFS($A$2:$A$201,$A65,$BB$2:$BB$201,1,$H$2:$H$201,"&lt;"&amp;H65)+COUNTIFS($A$2:$A$201,$A65,$BB$2:$BB$201,1,$H$2:$H$201,H65,$BA$2:$BA$201,"&lt;"&amp;BA65)=0,1,0),0)</f>
        <v>0</v>
      </c>
      <c r="EF65" s="23" t="n">
        <f aca="false">IF(BC65=1,IF(COUNTIFS($AZ$2:$AZ$201,AZ65,$EE$2:$EE$201,1)&gt;1,1,0),0)</f>
        <v>0</v>
      </c>
      <c r="EG65" s="23" t="n">
        <f aca="false">IF(AND(CQ65=1),IF(COUNTIFS($AZ$2:$AZ$201,AZ65,$CQ$2:$CQ$201,1,$H$2:$H$201,"&gt;"&amp;H65)+COUNTIFS($AZ$2:$AZ$201,AZ65,$CQ$2:$CQ$201,1,$H$2:$H$201,H65,$BA$2:$BA$201,"&gt;"&amp;BA65)=0,1,0),0)</f>
        <v>0</v>
      </c>
      <c r="EH65" s="23" t="str">
        <f aca="false">IF(BB65=1,IF(COUNTIFS($AZ$2:$AZ$201,AZ65,$EG$2:$EG$201,1)=0,"",SUMIFS($O$2:$O$201,$AZ$2:$AZ$201,AZ65,$EG$2:$EG$201,1)),"")</f>
        <v/>
      </c>
      <c r="EI65" s="23" t="n">
        <f aca="false">IF(AND(ISNUMBER(EH65),OR(N(EH65)&lt;Config!$B$31,N(EH65)&gt;Config!$B$33)),1,0)</f>
        <v>0</v>
      </c>
      <c r="EJ65" s="23" t="n">
        <f aca="false">IF(AND(ISNUMBER(EH65),N(EH65)&gt;=Config!$B$31,N(EH65)&lt;Config!$B$32),1,0)</f>
        <v>0</v>
      </c>
      <c r="EK65" s="23" t="n">
        <f aca="false">IF(AND(BF65=1,INT(N(H65))&lt;=Config!$B$6,DH65=1,EI65=1),1,0)</f>
        <v>0</v>
      </c>
      <c r="EL65" s="23" t="n">
        <f aca="false">IF(AND(BF65=1,INT(N(H65))&lt;=Config!$B$7,DI65=1,EI65=1),1,0)</f>
        <v>0</v>
      </c>
      <c r="EM65" s="23" t="n">
        <f aca="false">IF(AND(BF65=1,INT(N(H65))&lt;=Config!$B$8,DJ65=1,EI65=1),1,0)</f>
        <v>0</v>
      </c>
      <c r="EN65" s="23" t="n">
        <f aca="false">IF(AND(BF65=1,INT(N(H65))&lt;=Config!$B$5,DK65=1,EI65=1),1,0)</f>
        <v>0</v>
      </c>
      <c r="EO65" s="23" t="n">
        <f aca="false">IF(AND(DL65=1,EJ65=1),1,0)</f>
        <v>0</v>
      </c>
      <c r="EP65" s="23" t="n">
        <f aca="false">IF(AND(DM65=1,EJ65=1),1,0)</f>
        <v>0</v>
      </c>
      <c r="EQ65" s="23" t="n">
        <f aca="false">IF(AND(DN65=1,EJ65=1),1,0)</f>
        <v>0</v>
      </c>
      <c r="ER65" s="23" t="n">
        <f aca="false">IF(AND(DO65=1,EJ65=1),1,0)</f>
        <v>0</v>
      </c>
    </row>
    <row r="66" customFormat="false" ht="15" hidden="false" customHeight="false" outlineLevel="0" collapsed="false">
      <c r="G66" s="32"/>
      <c r="H66" s="33"/>
      <c r="I66" s="32"/>
      <c r="L66" s="32"/>
      <c r="Q66" s="32"/>
      <c r="U66" s="32"/>
      <c r="W66" s="32"/>
      <c r="AC66" s="32"/>
      <c r="AF66" s="32"/>
      <c r="AI66" s="32"/>
      <c r="AJ66" s="32"/>
      <c r="AN66" s="32"/>
      <c r="AR66" s="32"/>
      <c r="AT66" s="32"/>
      <c r="AU66" s="32"/>
      <c r="AW66" s="32"/>
      <c r="AY66" s="34" t="str">
        <f aca="false">IF(TRIM($A66)="","",IF(AND(LEFT($A66,6)="SAMPLE",Config!$B$19&lt;&gt;"Y"),"",IF(NOT(ISNUMBER(H66)),"call_date is blank or not a date",IF(Sync!$C$5="","Clay paste is empty or has no row_id column: paste the Clay export on Clay_Offices",IF(CW66="","row_id not found in the Clay paste: add the Clay row or fix the row_id",IF(AND(ISNUMBER(CY66),CY66&gt;=1,CY66&lt;=5),"Clay status is "&amp;CX66&amp;": set call_done or later",IF(AND(BD66=1,CZ66&lt;&gt;BZ66),"Clay yes_in_principle should be "&amp;BZ66,IF(AND(BD66=1,DA66&lt;&gt;H66),"Clay call_date should be "&amp;TEXT(H66,"yyyy-mm-dd"),""))))))))</f>
        <v/>
      </c>
      <c r="AZ66" s="23" t="str">
        <f aca="false">IF(TRIM($A66)="","",IF(TRIM(C66)&lt;&gt;"",SUBSTITUTE(SUBSTITUTE(SUBSTITUTE(SUBSTITUTE(SUBSTITUTE(SUBSTITUTE(LOWER(TRIM(C66)),"~",""),"*",""),"?",""),"&lt;",""),"&gt;",""),"=",""),IF(EA66&lt;&gt;"",EA66,IFERROR(INDEX($EA$2:$EA$201,MATCH(DZ66,$EB$2:$EB$201,0)),DZ66))))</f>
        <v/>
      </c>
      <c r="BA66" s="23" t="n">
        <f aca="false">ROW()</f>
        <v>66</v>
      </c>
      <c r="BB66" s="23" t="n">
        <f aca="false">IF(AND(TRIM($A66)&lt;&gt;"",ISNUMBER(H66)),IF(AND(LEFT($A66,6)="SAMPLE",Config!$B$19&lt;&gt;"Y"),0,1),0)</f>
        <v>0</v>
      </c>
      <c r="BC66" s="23" t="n">
        <f aca="false">IF(BB66=1,IF(COUNTIFS($AZ$2:$AZ$201,AZ66,$BB$2:$BB$201,1,$H$2:$H$201,"&lt;"&amp;H66)+COUNTIFS($AZ$2:$AZ$201,AZ66,$BB$2:$BB$201,1,$H$2:$H$201,H66,$BA$2:$BA$201,"&lt;"&amp;BA66)=0,1,0),0)</f>
        <v>0</v>
      </c>
      <c r="BD66" s="23" t="n">
        <f aca="false">IF(BB66=1,IF(COUNTIFS($A$2:$A$201,$A66,$BB$2:$BB$201,1,$H$2:$H$201,"&gt;"&amp;H66)+COUNTIFS($A$2:$A$201,$A66,$BB$2:$BB$201,1,$H$2:$H$201,H66,$BA$2:$BA$201,"&gt;"&amp;BA66)=0,1,0),0)</f>
        <v>0</v>
      </c>
      <c r="BE66" s="23" t="n">
        <f aca="false">IF(AND(BB66=1,AR66="Y",AC66="Y",TRIM(AH66)&lt;&gt;""),1,0)</f>
        <v>0</v>
      </c>
      <c r="BF66" s="23" t="n">
        <f aca="false">IF(BE66=1,IF(COUNTIFS($AZ$2:$AZ$201,AZ66,$BE$2:$BE$201,1,$H$2:$H$201,"&lt;"&amp;H66)+COUNTIFS($AZ$2:$AZ$201,AZ66,$BE$2:$BE$201,1,$H$2:$H$201,H66,$BA$2:$BA$201,"&lt;"&amp;BA66)=0,1,0),0)</f>
        <v>0</v>
      </c>
      <c r="BG66" s="23" t="n">
        <f aca="false">IF(AND(BB66=1,AR66="Y",BE66=0),1,0)</f>
        <v>0</v>
      </c>
      <c r="BH66" s="23" t="n">
        <f aca="false">IF(AND(BB66=1,ISNUMBER(Y66)),1,0)</f>
        <v>0</v>
      </c>
      <c r="BI66" s="23" t="n">
        <f aca="false">IF(BH66=1,IF(COUNTIFS($AZ$2:$AZ$201,AZ66,$BH$2:$BH$201,1,$H$2:$H$201,"&lt;"&amp;H66)+COUNTIFS($AZ$2:$AZ$201,AZ66,$BH$2:$BH$201,1,$H$2:$H$201,H66,$BA$2:$BA$201,"&lt;"&amp;BA66)=0,1,0),0)</f>
        <v>0</v>
      </c>
      <c r="BJ66" s="23" t="str">
        <f aca="false">IF(AND(BI66=1,INT(N(H66))&lt;=Config!$B$6),Y66,"")</f>
        <v/>
      </c>
      <c r="BK66" s="23" t="str">
        <f aca="false">IF(AND(BI66=1,INT(N(H66))&lt;=Config!$B$7),Y66,"")</f>
        <v/>
      </c>
      <c r="BL66" s="23" t="str">
        <f aca="false">IF(AND(BI66=1,INT(N(H66))&lt;=Config!$B$8),Y66,"")</f>
        <v/>
      </c>
      <c r="BM66" s="23" t="str">
        <f aca="false">IF(AND(BI66=1,INT(N(H66))&lt;=Config!$B$5),Y66,"")</f>
        <v/>
      </c>
      <c r="BN66" s="23" t="n">
        <f aca="false">IF(CD66=1,IF(COUNTIFS($AZ$2:$AZ$201,AZ66,$CD$2:$CD$201,1,$H$2:$H$201,"&lt;"&amp;H66)+COUNTIFS($AZ$2:$AZ$201,AZ66,$CD$2:$CD$201,1,$H$2:$H$201,H66,$BA$2:$BA$201,"&lt;"&amp;BA66)=0,1,0),0)</f>
        <v>0</v>
      </c>
      <c r="BO66" s="23" t="n">
        <f aca="false">IF(AND(BB66=1,ISNUMBER(M66)),1,0)</f>
        <v>0</v>
      </c>
      <c r="BP66" s="23" t="n">
        <f aca="false">IF(BO66=1,IF(COUNTIFS($AZ$2:$AZ$201,AZ66,$BO$2:$BO$201,1,$H$2:$H$201,"&lt;"&amp;H66)+COUNTIFS($AZ$2:$AZ$201,AZ66,$BO$2:$BO$201,1,$H$2:$H$201,H66,$BA$2:$BA$201,"&lt;"&amp;BA66)=0,1,0),0)</f>
        <v>0</v>
      </c>
      <c r="BQ66" s="23" t="str">
        <f aca="false">IF(AND(BP66=1,INT(N(H66))&lt;=Config!$B$5),M66,"")</f>
        <v/>
      </c>
      <c r="BR66" s="23" t="n">
        <f aca="false">IF(AND(BB66=1,OR(TRIM(X66)&lt;&gt;"",ISNUMBER(Y66))),1,0)</f>
        <v>0</v>
      </c>
      <c r="BS66" s="23" t="n">
        <f aca="false">IF(BR66=1,IF(COUNTIFS($AZ$2:$AZ$201,AZ66,$BR$2:$BR$201,1,$H$2:$H$201,"&lt;"&amp;H66)+COUNTIFS($AZ$2:$AZ$201,AZ66,$BR$2:$BR$201,1,$H$2:$H$201,H66,$BA$2:$BA$201,"&lt;"&amp;BA66)=0,1,0),0)</f>
        <v>0</v>
      </c>
      <c r="BT66" s="23" t="str">
        <f aca="false">IF(BS66=1,AZ66,"")</f>
        <v/>
      </c>
      <c r="BU66" s="23" t="n">
        <f aca="false">IF(AND(BB66=1,W66="Y",TRIM(X66)=""),1,0)</f>
        <v>0</v>
      </c>
      <c r="BV66" s="23" t="str">
        <f aca="false">IF(BB66=1,AN66&amp;"","")</f>
        <v/>
      </c>
      <c r="BW66" s="23" t="str">
        <f aca="false">IF(BB66=1,AO66&amp;"","")</f>
        <v/>
      </c>
      <c r="BX66" s="23" t="str">
        <f aca="false">IF(BB66=1,AP66&amp;"","")</f>
        <v/>
      </c>
      <c r="BY66" s="23" t="str">
        <f aca="false">IF(AND(BB66=1,ISNUMBER(AV66),INT(N(H66))&lt;=Config!$B$5),AV66,"")</f>
        <v/>
      </c>
      <c r="BZ66" s="23" t="str">
        <f aca="false">IF(BB66=1,IF(COUNTIFS($A$2:$A$201,$A66,$DC$2:$DC$201,1,$AR$2:$AR$201,"Y")&gt;0,"Y","N"),"")</f>
        <v/>
      </c>
      <c r="CA66" s="23" t="n">
        <f aca="false">IF(AND(BB66=1,AR66="maybe"),1,0)</f>
        <v>0</v>
      </c>
      <c r="CB66" s="23" t="n">
        <f aca="false">IF(CA66=1,IF(COUNTIFS($AZ$2:$AZ$201,AZ66,$CA$2:$CA$201,1,$H$2:$H$201,"&lt;"&amp;H66)+COUNTIFS($AZ$2:$AZ$201,AZ66,$CA$2:$CA$201,1,$H$2:$H$201,H66,$BA$2:$BA$201,"&lt;"&amp;BA66)=0,1,0),0)</f>
        <v>0</v>
      </c>
      <c r="CC66" s="23" t="n">
        <f aca="false">IF(AND(BB66=1,AR66="Y"),IF(COUNTIFS($AZ$2:$AZ$201,AZ66,$AR$2:$AR$201,"Y",$BB$2:$BB$201,1,$H$2:$H$201,"&lt;"&amp;H66)+COUNTIFS($AZ$2:$AZ$201,AZ66,$AR$2:$AR$201,"Y",$BB$2:$BB$201,1,$H$2:$H$201,H66,$BA$2:$BA$201,"&lt;"&amp;BA66)=0,1,0),0)</f>
        <v>0</v>
      </c>
      <c r="CD66" s="23" t="n">
        <f aca="false">IF(AND(BH66=1,N(Y66)&gt;=Config!$B$15),1,0)</f>
        <v>0</v>
      </c>
      <c r="CE66" s="23" t="n">
        <f aca="false">IF(AND(BB66=1,AT66="Y"),1,0)</f>
        <v>0</v>
      </c>
      <c r="CF66" s="23" t="n">
        <f aca="false">IF(CE66=1,IF(COUNTIFS($AZ$2:$AZ$201,AZ66,$CE$2:$CE$201,1,$H$2:$H$201,"&lt;"&amp;H66)+COUNTIFS($AZ$2:$AZ$201,AZ66,$CE$2:$CE$201,1,$H$2:$H$201,H66,$BA$2:$BA$201,"&lt;"&amp;BA66)=0,1,0),0)</f>
        <v>0</v>
      </c>
      <c r="CG66" s="23" t="n">
        <f aca="false">IF(AND(BB66=1,G66="warm-intro"),1,0)</f>
        <v>0</v>
      </c>
      <c r="CH66" s="23" t="n">
        <f aca="false">IF(CG66=1,IF(COUNTIFS($AZ$2:$AZ$201,AZ66,$CG$2:$CG$201,1,$H$2:$H$201,"&lt;"&amp;H66)+COUNTIFS($AZ$2:$AZ$201,AZ66,$CG$2:$CG$201,1,$H$2:$H$201,H66,$BA$2:$BA$201,"&lt;"&amp;BA66)=0,1,0),0)</f>
        <v>0</v>
      </c>
      <c r="CI66" s="23" t="n">
        <f aca="false">IF(AND(BB66=1,Q66="Y"),1,0)</f>
        <v>0</v>
      </c>
      <c r="CJ66" s="23" t="n">
        <f aca="false">IF(CI66=1,IF(COUNTIFS($AZ$2:$AZ$201,AZ66,$CI$2:$CI$201,1,$H$2:$H$201,"&lt;"&amp;H66)+COUNTIFS($AZ$2:$AZ$201,AZ66,$CI$2:$CI$201,1,$H$2:$H$201,H66,$BA$2:$BA$201,"&lt;"&amp;BA66)=0,1,0),0)</f>
        <v>0</v>
      </c>
      <c r="CK66" s="23" t="n">
        <f aca="false">IF(AND(BB66=1,AF66="Y"),1,0)</f>
        <v>0</v>
      </c>
      <c r="CL66" s="23" t="n">
        <f aca="false">IF(CK66=1,IF(COUNTIFS($AZ$2:$AZ$201,AZ66,$CK$2:$CK$201,1,$H$2:$H$201,"&lt;"&amp;H66)+COUNTIFS($AZ$2:$AZ$201,AZ66,$CK$2:$CK$201,1,$H$2:$H$201,H66,$BA$2:$BA$201,"&lt;"&amp;BA66)=0,1,0),0)</f>
        <v>0</v>
      </c>
      <c r="CM66" s="23" t="n">
        <f aca="false">IF(AND(BB66=1,U66="Y"),1,0)</f>
        <v>0</v>
      </c>
      <c r="CN66" s="23" t="n">
        <f aca="false">IF(CM66=1,IF(COUNTIFS($AZ$2:$AZ$201,AZ66,$CM$2:$CM$201,1,$H$2:$H$201,"&lt;"&amp;H66)+COUNTIFS($AZ$2:$AZ$201,AZ66,$CM$2:$CM$201,1,$H$2:$H$201,H66,$BA$2:$BA$201,"&lt;"&amp;BA66)=0,1,0),0)</f>
        <v>0</v>
      </c>
      <c r="CO66" s="23" t="n">
        <f aca="false">IF(AND(BB66=1,L66="Y"),1,0)</f>
        <v>0</v>
      </c>
      <c r="CP66" s="23" t="n">
        <f aca="false">IF(CO66=1,IF(COUNTIFS($AZ$2:$AZ$201,AZ66,$CO$2:$CO$201,1,$H$2:$H$201,"&lt;"&amp;H66)+COUNTIFS($AZ$2:$AZ$201,AZ66,$CO$2:$CO$201,1,$H$2:$H$201,H66,$BA$2:$BA$201,"&lt;"&amp;BA66)=0,1,0),0)</f>
        <v>0</v>
      </c>
      <c r="CQ66" s="23" t="n">
        <f aca="false">IF(AND(BB66=1,ISNUMBER(O66)),1,0)</f>
        <v>0</v>
      </c>
      <c r="CR66" s="23" t="n">
        <f aca="false">IF(CQ66=1,IF(COUNTIFS($AZ$2:$AZ$201,AZ66,$CQ$2:$CQ$201,1,$H$2:$H$201,"&lt;"&amp;H66)+COUNTIFS($AZ$2:$AZ$201,AZ66,$CQ$2:$CQ$201,1,$H$2:$H$201,H66,$BA$2:$BA$201,"&lt;"&amp;BA66)=0,1,0),0)</f>
        <v>0</v>
      </c>
      <c r="CS66" s="23" t="str">
        <f aca="false">IF(AND(CR66=1,INT(N(H66))&lt;=Config!$B$5),O66,"")</f>
        <v/>
      </c>
      <c r="CT66" s="23" t="str">
        <f aca="false">IF(AND(BB66=1,INT(N(H66))&lt;=Config!$B$5),AG66&amp;"","")</f>
        <v/>
      </c>
      <c r="CU66" s="23" t="n">
        <f aca="false">IF(AND(BB66=1,AU66="Y"),1,0)</f>
        <v>0</v>
      </c>
      <c r="CV66" s="23" t="n">
        <f aca="false">IF(CU66=1,IF(COUNTIFS($AZ$2:$AZ$201,AZ66,$CU$2:$CU$201,1,$H$2:$H$201,"&lt;"&amp;H66)+COUNTIFS($AZ$2:$AZ$201,AZ66,$CU$2:$CU$201,1,$H$2:$H$201,H66,$BA$2:$BA$201,"&lt;"&amp;BA66)=0,1,0),0)</f>
        <v>0</v>
      </c>
      <c r="CW66" s="23" t="str">
        <f aca="false">IF(BB66=1,IFERROR(MATCH($A66,INDEX(Clay_Offices!$A$2:$FZ$601,0,Sync!$C$5),0),""),"")</f>
        <v/>
      </c>
      <c r="CX66" s="23" t="str">
        <f aca="false">IF(CW66="","",IFERROR(INDEX(Clay_Offices!$A$2:$FZ$601,CW66,Sync!$C$7)&amp;"",""))</f>
        <v/>
      </c>
      <c r="CY66" s="23" t="str">
        <f aca="false">IF(CX66="","",IFERROR(INDEX(Lists!$K$2:$K$15,MATCH(CX66,Lists!$J$2:$J$15,0)),""))</f>
        <v/>
      </c>
      <c r="CZ66" s="23" t="str">
        <f aca="false">IF(CW66="","",IFERROR(INDEX(Clay_Offices!$A$2:$FZ$601,CW66,Sync!$C$17)&amp;"",""))</f>
        <v/>
      </c>
      <c r="DA66" s="35" t="str">
        <f aca="false">IF(CW66="","",IFERROR(N(INDEX(Clay_Offices!$A$2:$FZ$601,CW66,Sync!$C$16)),0))</f>
        <v/>
      </c>
      <c r="DB66" s="23" t="n">
        <f aca="false">IF(AND(BB66=1,OR(AR66="Y",AR66="N",AR66="maybe")),1,0)</f>
        <v>0</v>
      </c>
      <c r="DC66" s="23" t="n">
        <f aca="false">IF(AND(DB66=1),IF(COUNTIFS($A$2:$A$201,$A66,$DB$2:$DB$201,1,$H$2:$H$201,"&gt;"&amp;H66)+COUNTIFS($A$2:$A$201,$A66,$DB$2:$DB$201,1,$H$2:$H$201,H66,$BA$2:$BA$201,"&gt;"&amp;BA66)=0,1,0),0)</f>
        <v>0</v>
      </c>
      <c r="DD66" s="23" t="n">
        <f aca="false">IF(AND(DB66=1,INT(N(H66))&lt;=Config!$B$6),IF(COUNTIFS($AZ$2:$AZ$201,AZ66,$DB$2:$DB$201,1,$H$2:$H$201,"&gt;"&amp;H66,$H$2:$H$201,"&lt;"&amp;(Config!$B$6+1))+COUNTIFS($AZ$2:$AZ$201,AZ66,$DB$2:$DB$201,1,$H$2:$H$201,H66,$BA$2:$BA$201,"&gt;"&amp;BA66)=0,1,0),0)</f>
        <v>0</v>
      </c>
      <c r="DE66" s="23" t="n">
        <f aca="false">IF(AND(DB66=1,INT(N(H66))&lt;=Config!$B$7),IF(COUNTIFS($AZ$2:$AZ$201,AZ66,$DB$2:$DB$201,1,$H$2:$H$201,"&gt;"&amp;H66,$H$2:$H$201,"&lt;"&amp;(Config!$B$7+1))+COUNTIFS($AZ$2:$AZ$201,AZ66,$DB$2:$DB$201,1,$H$2:$H$201,H66,$BA$2:$BA$201,"&gt;"&amp;BA66)=0,1,0),0)</f>
        <v>0</v>
      </c>
      <c r="DF66" s="23" t="n">
        <f aca="false">IF(AND(DB66=1,INT(N(H66))&lt;=Config!$B$8),IF(COUNTIFS($AZ$2:$AZ$201,AZ66,$DB$2:$DB$201,1,$H$2:$H$201,"&gt;"&amp;H66,$H$2:$H$201,"&lt;"&amp;(Config!$B$8+1))+COUNTIFS($AZ$2:$AZ$201,AZ66,$DB$2:$DB$201,1,$H$2:$H$201,H66,$BA$2:$BA$201,"&gt;"&amp;BA66)=0,1,0),0)</f>
        <v>0</v>
      </c>
      <c r="DG66" s="23" t="n">
        <f aca="false">IF(AND(DB66=1,INT(N(H66))&lt;=Config!$B$5),IF(COUNTIFS($AZ$2:$AZ$201,AZ66,$DB$2:$DB$201,1,$H$2:$H$201,"&gt;"&amp;H66,$H$2:$H$201,"&lt;"&amp;(Config!$B$5+1))+COUNTIFS($AZ$2:$AZ$201,AZ66,$DB$2:$DB$201,1,$H$2:$H$201,H66,$BA$2:$BA$201,"&gt;"&amp;BA66)=0,1,0),0)</f>
        <v>0</v>
      </c>
      <c r="DH66" s="23" t="n">
        <f aca="false">IF(BB66=1,IF(COUNTIFS($AZ$2:$AZ$201,AZ66,$DD$2:$DD$201,1,$AR$2:$AR$201,"Y")&gt;0,1,0),0)</f>
        <v>0</v>
      </c>
      <c r="DI66" s="23" t="n">
        <f aca="false">IF(BB66=1,IF(COUNTIFS($AZ$2:$AZ$201,AZ66,$DE$2:$DE$201,1,$AR$2:$AR$201,"Y")&gt;0,1,0),0)</f>
        <v>0</v>
      </c>
      <c r="DJ66" s="23" t="n">
        <f aca="false">IF(BB66=1,IF(COUNTIFS($AZ$2:$AZ$201,AZ66,$DF$2:$DF$201,1,$AR$2:$AR$201,"Y")&gt;0,1,0),0)</f>
        <v>0</v>
      </c>
      <c r="DK66" s="23" t="n">
        <f aca="false">IF(BB66=1,IF(COUNTIFS($AZ$2:$AZ$201,AZ66,$DG$2:$DG$201,1,$AR$2:$AR$201,"Y")&gt;0,1,0),0)</f>
        <v>0</v>
      </c>
      <c r="DL66" s="23" t="n">
        <f aca="false">IF(AND(BF66=1,INT(N(H66))&lt;=Config!$B$6,DH66=1,EI66=0),1,0)</f>
        <v>0</v>
      </c>
      <c r="DM66" s="23" t="n">
        <f aca="false">IF(AND(BF66=1,INT(N(H66))&lt;=Config!$B$7,DI66=1,EI66=0),1,0)</f>
        <v>0</v>
      </c>
      <c r="DN66" s="23" t="n">
        <f aca="false">IF(AND(BF66=1,INT(N(H66))&lt;=Config!$B$8,DJ66=1,EI66=0),1,0)</f>
        <v>0</v>
      </c>
      <c r="DO66" s="23" t="n">
        <f aca="false">IF(AND(BF66=1,INT(N(H66))&lt;=Config!$B$5,DK66=1,EI66=0),1,0)</f>
        <v>0</v>
      </c>
      <c r="DP66" s="23" t="n">
        <f aca="false">IF(AND(CC66=1,INT(N(H66))&lt;=Config!$B$6,DH66=1,EI66=0),1,0)</f>
        <v>0</v>
      </c>
      <c r="DQ66" s="23" t="n">
        <f aca="false">IF(AND(CC66=1,INT(N(H66))&lt;=Config!$B$7,DI66=1,EI66=0),1,0)</f>
        <v>0</v>
      </c>
      <c r="DR66" s="23" t="n">
        <f aca="false">IF(AND(CC66=1,INT(N(H66))&lt;=Config!$B$8,DJ66=1,EI66=0),1,0)</f>
        <v>0</v>
      </c>
      <c r="DS66" s="23" t="n">
        <f aca="false">IF(AND(CC66=1,INT(N(H66))&lt;=Config!$B$5,DK66=1,EI66=0),1,0)</f>
        <v>0</v>
      </c>
      <c r="DT66" s="23" t="n">
        <f aca="false">IF(AND(CC66=1,INT(N(H66))&lt;=Config!$B$6,DH66=0),1,0)</f>
        <v>0</v>
      </c>
      <c r="DU66" s="23" t="n">
        <f aca="false">IF(AND(CC66=1,INT(N(H66))&lt;=Config!$B$7,DI66=0),1,0)</f>
        <v>0</v>
      </c>
      <c r="DV66" s="23" t="n">
        <f aca="false">IF(AND(CC66=1,INT(N(H66))&lt;=Config!$B$8,DJ66=0),1,0)</f>
        <v>0</v>
      </c>
      <c r="DW66" s="23" t="n">
        <f aca="false">IF(AND(CC66=1,INT(N(H66))&lt;=Config!$B$5,DK66=0),1,0)</f>
        <v>0</v>
      </c>
      <c r="DX66" s="23" t="n">
        <f aca="false">IF(TRIM($A66)="",0,ISTEXT(M66)+ISTEXT(O66)+ISTEXT(Y66)+ISTEXT(Z66)+ISTEXT(AA66)+ISTEXT(AV66))</f>
        <v>0</v>
      </c>
      <c r="DY66" s="23" t="n">
        <f aca="false">IF(BB66=1,IF(H66&lt;&gt;INT(H66),1,0),0)</f>
        <v>0</v>
      </c>
      <c r="DZ66" s="23" t="str">
        <f aca="false">IF(TRIM($A66)="","",IF(TRIM(B66)="",SUBSTITUTE(SUBSTITUTE(SUBSTITUTE(SUBSTITUTE(SUBSTITUTE(SUBSTITUTE(LOWER(TRIM($A66)),"~",""),"*",""),"?",""),"&lt;",""),"&gt;",""),"=",""),SUBSTITUTE(SUBSTITUTE(SUBSTITUTE(SUBSTITUTE(SUBSTITUTE(SUBSTITUTE(LOWER(TRIM(B66)),"~",""),"*",""),"?",""),"&lt;",""),"&gt;",""),"=","")))</f>
        <v/>
      </c>
      <c r="EA66" s="23" t="str">
        <f aca="false">IF(CW66="","",IFERROR(IF(LEFT(LOWER(TRIM(INDEX(Clay_Offices!$A$2:$FZ$601,CW66,Sync!$C$19)&amp;"")),4)="grp-",SUBSTITUTE(SUBSTITUTE(SUBSTITUTE(SUBSTITUTE(SUBSTITUTE(SUBSTITUTE(LOWER(TRIM(INDEX(Clay_Offices!$A$2:$FZ$601,CW66,Sync!$C$19)&amp;"")),"~",""),"*",""),"?",""),"&lt;",""),"&gt;",""),"=",""),""),""))</f>
        <v/>
      </c>
      <c r="EB66" s="23" t="str">
        <f aca="false">IF(EA66&lt;&gt;"",DZ66,"")</f>
        <v/>
      </c>
      <c r="EC66" s="23" t="str">
        <f aca="false">IF(BC66=1,AZ66,"")</f>
        <v/>
      </c>
      <c r="ED66" s="23" t="str">
        <f aca="false">IF(TRIM($A66)="","",IFERROR(INDEX($A$2:$A$201,MATCH(AZ66,$EC$2:$EC$201,0))&amp;"",$A66&amp;""))</f>
        <v/>
      </c>
      <c r="EE66" s="23" t="n">
        <f aca="false">IF(BB66=1,IF(COUNTIFS($A$2:$A$201,$A66,$BB$2:$BB$201,1,$H$2:$H$201,"&lt;"&amp;H66)+COUNTIFS($A$2:$A$201,$A66,$BB$2:$BB$201,1,$H$2:$H$201,H66,$BA$2:$BA$201,"&lt;"&amp;BA66)=0,1,0),0)</f>
        <v>0</v>
      </c>
      <c r="EF66" s="23" t="n">
        <f aca="false">IF(BC66=1,IF(COUNTIFS($AZ$2:$AZ$201,AZ66,$EE$2:$EE$201,1)&gt;1,1,0),0)</f>
        <v>0</v>
      </c>
      <c r="EG66" s="23" t="n">
        <f aca="false">IF(AND(CQ66=1),IF(COUNTIFS($AZ$2:$AZ$201,AZ66,$CQ$2:$CQ$201,1,$H$2:$H$201,"&gt;"&amp;H66)+COUNTIFS($AZ$2:$AZ$201,AZ66,$CQ$2:$CQ$201,1,$H$2:$H$201,H66,$BA$2:$BA$201,"&gt;"&amp;BA66)=0,1,0),0)</f>
        <v>0</v>
      </c>
      <c r="EH66" s="23" t="str">
        <f aca="false">IF(BB66=1,IF(COUNTIFS($AZ$2:$AZ$201,AZ66,$EG$2:$EG$201,1)=0,"",SUMIFS($O$2:$O$201,$AZ$2:$AZ$201,AZ66,$EG$2:$EG$201,1)),"")</f>
        <v/>
      </c>
      <c r="EI66" s="23" t="n">
        <f aca="false">IF(AND(ISNUMBER(EH66),OR(N(EH66)&lt;Config!$B$31,N(EH66)&gt;Config!$B$33)),1,0)</f>
        <v>0</v>
      </c>
      <c r="EJ66" s="23" t="n">
        <f aca="false">IF(AND(ISNUMBER(EH66),N(EH66)&gt;=Config!$B$31,N(EH66)&lt;Config!$B$32),1,0)</f>
        <v>0</v>
      </c>
      <c r="EK66" s="23" t="n">
        <f aca="false">IF(AND(BF66=1,INT(N(H66))&lt;=Config!$B$6,DH66=1,EI66=1),1,0)</f>
        <v>0</v>
      </c>
      <c r="EL66" s="23" t="n">
        <f aca="false">IF(AND(BF66=1,INT(N(H66))&lt;=Config!$B$7,DI66=1,EI66=1),1,0)</f>
        <v>0</v>
      </c>
      <c r="EM66" s="23" t="n">
        <f aca="false">IF(AND(BF66=1,INT(N(H66))&lt;=Config!$B$8,DJ66=1,EI66=1),1,0)</f>
        <v>0</v>
      </c>
      <c r="EN66" s="23" t="n">
        <f aca="false">IF(AND(BF66=1,INT(N(H66))&lt;=Config!$B$5,DK66=1,EI66=1),1,0)</f>
        <v>0</v>
      </c>
      <c r="EO66" s="23" t="n">
        <f aca="false">IF(AND(DL66=1,EJ66=1),1,0)</f>
        <v>0</v>
      </c>
      <c r="EP66" s="23" t="n">
        <f aca="false">IF(AND(DM66=1,EJ66=1),1,0)</f>
        <v>0</v>
      </c>
      <c r="EQ66" s="23" t="n">
        <f aca="false">IF(AND(DN66=1,EJ66=1),1,0)</f>
        <v>0</v>
      </c>
      <c r="ER66" s="23" t="n">
        <f aca="false">IF(AND(DO66=1,EJ66=1),1,0)</f>
        <v>0</v>
      </c>
    </row>
    <row r="67" customFormat="false" ht="15" hidden="false" customHeight="false" outlineLevel="0" collapsed="false">
      <c r="G67" s="32"/>
      <c r="H67" s="33"/>
      <c r="I67" s="32"/>
      <c r="L67" s="32"/>
      <c r="Q67" s="32"/>
      <c r="U67" s="32"/>
      <c r="W67" s="32"/>
      <c r="AC67" s="32"/>
      <c r="AF67" s="32"/>
      <c r="AI67" s="32"/>
      <c r="AJ67" s="32"/>
      <c r="AN67" s="32"/>
      <c r="AR67" s="32"/>
      <c r="AT67" s="32"/>
      <c r="AU67" s="32"/>
      <c r="AW67" s="32"/>
      <c r="AY67" s="34" t="str">
        <f aca="false">IF(TRIM($A67)="","",IF(AND(LEFT($A67,6)="SAMPLE",Config!$B$19&lt;&gt;"Y"),"",IF(NOT(ISNUMBER(H67)),"call_date is blank or not a date",IF(Sync!$C$5="","Clay paste is empty or has no row_id column: paste the Clay export on Clay_Offices",IF(CW67="","row_id not found in the Clay paste: add the Clay row or fix the row_id",IF(AND(ISNUMBER(CY67),CY67&gt;=1,CY67&lt;=5),"Clay status is "&amp;CX67&amp;": set call_done or later",IF(AND(BD67=1,CZ67&lt;&gt;BZ67),"Clay yes_in_principle should be "&amp;BZ67,IF(AND(BD67=1,DA67&lt;&gt;H67),"Clay call_date should be "&amp;TEXT(H67,"yyyy-mm-dd"),""))))))))</f>
        <v/>
      </c>
      <c r="AZ67" s="23" t="str">
        <f aca="false">IF(TRIM($A67)="","",IF(TRIM(C67)&lt;&gt;"",SUBSTITUTE(SUBSTITUTE(SUBSTITUTE(SUBSTITUTE(SUBSTITUTE(SUBSTITUTE(LOWER(TRIM(C67)),"~",""),"*",""),"?",""),"&lt;",""),"&gt;",""),"=",""),IF(EA67&lt;&gt;"",EA67,IFERROR(INDEX($EA$2:$EA$201,MATCH(DZ67,$EB$2:$EB$201,0)),DZ67))))</f>
        <v/>
      </c>
      <c r="BA67" s="23" t="n">
        <f aca="false">ROW()</f>
        <v>67</v>
      </c>
      <c r="BB67" s="23" t="n">
        <f aca="false">IF(AND(TRIM($A67)&lt;&gt;"",ISNUMBER(H67)),IF(AND(LEFT($A67,6)="SAMPLE",Config!$B$19&lt;&gt;"Y"),0,1),0)</f>
        <v>0</v>
      </c>
      <c r="BC67" s="23" t="n">
        <f aca="false">IF(BB67=1,IF(COUNTIFS($AZ$2:$AZ$201,AZ67,$BB$2:$BB$201,1,$H$2:$H$201,"&lt;"&amp;H67)+COUNTIFS($AZ$2:$AZ$201,AZ67,$BB$2:$BB$201,1,$H$2:$H$201,H67,$BA$2:$BA$201,"&lt;"&amp;BA67)=0,1,0),0)</f>
        <v>0</v>
      </c>
      <c r="BD67" s="23" t="n">
        <f aca="false">IF(BB67=1,IF(COUNTIFS($A$2:$A$201,$A67,$BB$2:$BB$201,1,$H$2:$H$201,"&gt;"&amp;H67)+COUNTIFS($A$2:$A$201,$A67,$BB$2:$BB$201,1,$H$2:$H$201,H67,$BA$2:$BA$201,"&gt;"&amp;BA67)=0,1,0),0)</f>
        <v>0</v>
      </c>
      <c r="BE67" s="23" t="n">
        <f aca="false">IF(AND(BB67=1,AR67="Y",AC67="Y",TRIM(AH67)&lt;&gt;""),1,0)</f>
        <v>0</v>
      </c>
      <c r="BF67" s="23" t="n">
        <f aca="false">IF(BE67=1,IF(COUNTIFS($AZ$2:$AZ$201,AZ67,$BE$2:$BE$201,1,$H$2:$H$201,"&lt;"&amp;H67)+COUNTIFS($AZ$2:$AZ$201,AZ67,$BE$2:$BE$201,1,$H$2:$H$201,H67,$BA$2:$BA$201,"&lt;"&amp;BA67)=0,1,0),0)</f>
        <v>0</v>
      </c>
      <c r="BG67" s="23" t="n">
        <f aca="false">IF(AND(BB67=1,AR67="Y",BE67=0),1,0)</f>
        <v>0</v>
      </c>
      <c r="BH67" s="23" t="n">
        <f aca="false">IF(AND(BB67=1,ISNUMBER(Y67)),1,0)</f>
        <v>0</v>
      </c>
      <c r="BI67" s="23" t="n">
        <f aca="false">IF(BH67=1,IF(COUNTIFS($AZ$2:$AZ$201,AZ67,$BH$2:$BH$201,1,$H$2:$H$201,"&lt;"&amp;H67)+COUNTIFS($AZ$2:$AZ$201,AZ67,$BH$2:$BH$201,1,$H$2:$H$201,H67,$BA$2:$BA$201,"&lt;"&amp;BA67)=0,1,0),0)</f>
        <v>0</v>
      </c>
      <c r="BJ67" s="23" t="str">
        <f aca="false">IF(AND(BI67=1,INT(N(H67))&lt;=Config!$B$6),Y67,"")</f>
        <v/>
      </c>
      <c r="BK67" s="23" t="str">
        <f aca="false">IF(AND(BI67=1,INT(N(H67))&lt;=Config!$B$7),Y67,"")</f>
        <v/>
      </c>
      <c r="BL67" s="23" t="str">
        <f aca="false">IF(AND(BI67=1,INT(N(H67))&lt;=Config!$B$8),Y67,"")</f>
        <v/>
      </c>
      <c r="BM67" s="23" t="str">
        <f aca="false">IF(AND(BI67=1,INT(N(H67))&lt;=Config!$B$5),Y67,"")</f>
        <v/>
      </c>
      <c r="BN67" s="23" t="n">
        <f aca="false">IF(CD67=1,IF(COUNTIFS($AZ$2:$AZ$201,AZ67,$CD$2:$CD$201,1,$H$2:$H$201,"&lt;"&amp;H67)+COUNTIFS($AZ$2:$AZ$201,AZ67,$CD$2:$CD$201,1,$H$2:$H$201,H67,$BA$2:$BA$201,"&lt;"&amp;BA67)=0,1,0),0)</f>
        <v>0</v>
      </c>
      <c r="BO67" s="23" t="n">
        <f aca="false">IF(AND(BB67=1,ISNUMBER(M67)),1,0)</f>
        <v>0</v>
      </c>
      <c r="BP67" s="23" t="n">
        <f aca="false">IF(BO67=1,IF(COUNTIFS($AZ$2:$AZ$201,AZ67,$BO$2:$BO$201,1,$H$2:$H$201,"&lt;"&amp;H67)+COUNTIFS($AZ$2:$AZ$201,AZ67,$BO$2:$BO$201,1,$H$2:$H$201,H67,$BA$2:$BA$201,"&lt;"&amp;BA67)=0,1,0),0)</f>
        <v>0</v>
      </c>
      <c r="BQ67" s="23" t="str">
        <f aca="false">IF(AND(BP67=1,INT(N(H67))&lt;=Config!$B$5),M67,"")</f>
        <v/>
      </c>
      <c r="BR67" s="23" t="n">
        <f aca="false">IF(AND(BB67=1,OR(TRIM(X67)&lt;&gt;"",ISNUMBER(Y67))),1,0)</f>
        <v>0</v>
      </c>
      <c r="BS67" s="23" t="n">
        <f aca="false">IF(BR67=1,IF(COUNTIFS($AZ$2:$AZ$201,AZ67,$BR$2:$BR$201,1,$H$2:$H$201,"&lt;"&amp;H67)+COUNTIFS($AZ$2:$AZ$201,AZ67,$BR$2:$BR$201,1,$H$2:$H$201,H67,$BA$2:$BA$201,"&lt;"&amp;BA67)=0,1,0),0)</f>
        <v>0</v>
      </c>
      <c r="BT67" s="23" t="str">
        <f aca="false">IF(BS67=1,AZ67,"")</f>
        <v/>
      </c>
      <c r="BU67" s="23" t="n">
        <f aca="false">IF(AND(BB67=1,W67="Y",TRIM(X67)=""),1,0)</f>
        <v>0</v>
      </c>
      <c r="BV67" s="23" t="str">
        <f aca="false">IF(BB67=1,AN67&amp;"","")</f>
        <v/>
      </c>
      <c r="BW67" s="23" t="str">
        <f aca="false">IF(BB67=1,AO67&amp;"","")</f>
        <v/>
      </c>
      <c r="BX67" s="23" t="str">
        <f aca="false">IF(BB67=1,AP67&amp;"","")</f>
        <v/>
      </c>
      <c r="BY67" s="23" t="str">
        <f aca="false">IF(AND(BB67=1,ISNUMBER(AV67),INT(N(H67))&lt;=Config!$B$5),AV67,"")</f>
        <v/>
      </c>
      <c r="BZ67" s="23" t="str">
        <f aca="false">IF(BB67=1,IF(COUNTIFS($A$2:$A$201,$A67,$DC$2:$DC$201,1,$AR$2:$AR$201,"Y")&gt;0,"Y","N"),"")</f>
        <v/>
      </c>
      <c r="CA67" s="23" t="n">
        <f aca="false">IF(AND(BB67=1,AR67="maybe"),1,0)</f>
        <v>0</v>
      </c>
      <c r="CB67" s="23" t="n">
        <f aca="false">IF(CA67=1,IF(COUNTIFS($AZ$2:$AZ$201,AZ67,$CA$2:$CA$201,1,$H$2:$H$201,"&lt;"&amp;H67)+COUNTIFS($AZ$2:$AZ$201,AZ67,$CA$2:$CA$201,1,$H$2:$H$201,H67,$BA$2:$BA$201,"&lt;"&amp;BA67)=0,1,0),0)</f>
        <v>0</v>
      </c>
      <c r="CC67" s="23" t="n">
        <f aca="false">IF(AND(BB67=1,AR67="Y"),IF(COUNTIFS($AZ$2:$AZ$201,AZ67,$AR$2:$AR$201,"Y",$BB$2:$BB$201,1,$H$2:$H$201,"&lt;"&amp;H67)+COUNTIFS($AZ$2:$AZ$201,AZ67,$AR$2:$AR$201,"Y",$BB$2:$BB$201,1,$H$2:$H$201,H67,$BA$2:$BA$201,"&lt;"&amp;BA67)=0,1,0),0)</f>
        <v>0</v>
      </c>
      <c r="CD67" s="23" t="n">
        <f aca="false">IF(AND(BH67=1,N(Y67)&gt;=Config!$B$15),1,0)</f>
        <v>0</v>
      </c>
      <c r="CE67" s="23" t="n">
        <f aca="false">IF(AND(BB67=1,AT67="Y"),1,0)</f>
        <v>0</v>
      </c>
      <c r="CF67" s="23" t="n">
        <f aca="false">IF(CE67=1,IF(COUNTIFS($AZ$2:$AZ$201,AZ67,$CE$2:$CE$201,1,$H$2:$H$201,"&lt;"&amp;H67)+COUNTIFS($AZ$2:$AZ$201,AZ67,$CE$2:$CE$201,1,$H$2:$H$201,H67,$BA$2:$BA$201,"&lt;"&amp;BA67)=0,1,0),0)</f>
        <v>0</v>
      </c>
      <c r="CG67" s="23" t="n">
        <f aca="false">IF(AND(BB67=1,G67="warm-intro"),1,0)</f>
        <v>0</v>
      </c>
      <c r="CH67" s="23" t="n">
        <f aca="false">IF(CG67=1,IF(COUNTIFS($AZ$2:$AZ$201,AZ67,$CG$2:$CG$201,1,$H$2:$H$201,"&lt;"&amp;H67)+COUNTIFS($AZ$2:$AZ$201,AZ67,$CG$2:$CG$201,1,$H$2:$H$201,H67,$BA$2:$BA$201,"&lt;"&amp;BA67)=0,1,0),0)</f>
        <v>0</v>
      </c>
      <c r="CI67" s="23" t="n">
        <f aca="false">IF(AND(BB67=1,Q67="Y"),1,0)</f>
        <v>0</v>
      </c>
      <c r="CJ67" s="23" t="n">
        <f aca="false">IF(CI67=1,IF(COUNTIFS($AZ$2:$AZ$201,AZ67,$CI$2:$CI$201,1,$H$2:$H$201,"&lt;"&amp;H67)+COUNTIFS($AZ$2:$AZ$201,AZ67,$CI$2:$CI$201,1,$H$2:$H$201,H67,$BA$2:$BA$201,"&lt;"&amp;BA67)=0,1,0),0)</f>
        <v>0</v>
      </c>
      <c r="CK67" s="23" t="n">
        <f aca="false">IF(AND(BB67=1,AF67="Y"),1,0)</f>
        <v>0</v>
      </c>
      <c r="CL67" s="23" t="n">
        <f aca="false">IF(CK67=1,IF(COUNTIFS($AZ$2:$AZ$201,AZ67,$CK$2:$CK$201,1,$H$2:$H$201,"&lt;"&amp;H67)+COUNTIFS($AZ$2:$AZ$201,AZ67,$CK$2:$CK$201,1,$H$2:$H$201,H67,$BA$2:$BA$201,"&lt;"&amp;BA67)=0,1,0),0)</f>
        <v>0</v>
      </c>
      <c r="CM67" s="23" t="n">
        <f aca="false">IF(AND(BB67=1,U67="Y"),1,0)</f>
        <v>0</v>
      </c>
      <c r="CN67" s="23" t="n">
        <f aca="false">IF(CM67=1,IF(COUNTIFS($AZ$2:$AZ$201,AZ67,$CM$2:$CM$201,1,$H$2:$H$201,"&lt;"&amp;H67)+COUNTIFS($AZ$2:$AZ$201,AZ67,$CM$2:$CM$201,1,$H$2:$H$201,H67,$BA$2:$BA$201,"&lt;"&amp;BA67)=0,1,0),0)</f>
        <v>0</v>
      </c>
      <c r="CO67" s="23" t="n">
        <f aca="false">IF(AND(BB67=1,L67="Y"),1,0)</f>
        <v>0</v>
      </c>
      <c r="CP67" s="23" t="n">
        <f aca="false">IF(CO67=1,IF(COUNTIFS($AZ$2:$AZ$201,AZ67,$CO$2:$CO$201,1,$H$2:$H$201,"&lt;"&amp;H67)+COUNTIFS($AZ$2:$AZ$201,AZ67,$CO$2:$CO$201,1,$H$2:$H$201,H67,$BA$2:$BA$201,"&lt;"&amp;BA67)=0,1,0),0)</f>
        <v>0</v>
      </c>
      <c r="CQ67" s="23" t="n">
        <f aca="false">IF(AND(BB67=1,ISNUMBER(O67)),1,0)</f>
        <v>0</v>
      </c>
      <c r="CR67" s="23" t="n">
        <f aca="false">IF(CQ67=1,IF(COUNTIFS($AZ$2:$AZ$201,AZ67,$CQ$2:$CQ$201,1,$H$2:$H$201,"&lt;"&amp;H67)+COUNTIFS($AZ$2:$AZ$201,AZ67,$CQ$2:$CQ$201,1,$H$2:$H$201,H67,$BA$2:$BA$201,"&lt;"&amp;BA67)=0,1,0),0)</f>
        <v>0</v>
      </c>
      <c r="CS67" s="23" t="str">
        <f aca="false">IF(AND(CR67=1,INT(N(H67))&lt;=Config!$B$5),O67,"")</f>
        <v/>
      </c>
      <c r="CT67" s="23" t="str">
        <f aca="false">IF(AND(BB67=1,INT(N(H67))&lt;=Config!$B$5),AG67&amp;"","")</f>
        <v/>
      </c>
      <c r="CU67" s="23" t="n">
        <f aca="false">IF(AND(BB67=1,AU67="Y"),1,0)</f>
        <v>0</v>
      </c>
      <c r="CV67" s="23" t="n">
        <f aca="false">IF(CU67=1,IF(COUNTIFS($AZ$2:$AZ$201,AZ67,$CU$2:$CU$201,1,$H$2:$H$201,"&lt;"&amp;H67)+COUNTIFS($AZ$2:$AZ$201,AZ67,$CU$2:$CU$201,1,$H$2:$H$201,H67,$BA$2:$BA$201,"&lt;"&amp;BA67)=0,1,0),0)</f>
        <v>0</v>
      </c>
      <c r="CW67" s="23" t="str">
        <f aca="false">IF(BB67=1,IFERROR(MATCH($A67,INDEX(Clay_Offices!$A$2:$FZ$601,0,Sync!$C$5),0),""),"")</f>
        <v/>
      </c>
      <c r="CX67" s="23" t="str">
        <f aca="false">IF(CW67="","",IFERROR(INDEX(Clay_Offices!$A$2:$FZ$601,CW67,Sync!$C$7)&amp;"",""))</f>
        <v/>
      </c>
      <c r="CY67" s="23" t="str">
        <f aca="false">IF(CX67="","",IFERROR(INDEX(Lists!$K$2:$K$15,MATCH(CX67,Lists!$J$2:$J$15,0)),""))</f>
        <v/>
      </c>
      <c r="CZ67" s="23" t="str">
        <f aca="false">IF(CW67="","",IFERROR(INDEX(Clay_Offices!$A$2:$FZ$601,CW67,Sync!$C$17)&amp;"",""))</f>
        <v/>
      </c>
      <c r="DA67" s="35" t="str">
        <f aca="false">IF(CW67="","",IFERROR(N(INDEX(Clay_Offices!$A$2:$FZ$601,CW67,Sync!$C$16)),0))</f>
        <v/>
      </c>
      <c r="DB67" s="23" t="n">
        <f aca="false">IF(AND(BB67=1,OR(AR67="Y",AR67="N",AR67="maybe")),1,0)</f>
        <v>0</v>
      </c>
      <c r="DC67" s="23" t="n">
        <f aca="false">IF(AND(DB67=1),IF(COUNTIFS($A$2:$A$201,$A67,$DB$2:$DB$201,1,$H$2:$H$201,"&gt;"&amp;H67)+COUNTIFS($A$2:$A$201,$A67,$DB$2:$DB$201,1,$H$2:$H$201,H67,$BA$2:$BA$201,"&gt;"&amp;BA67)=0,1,0),0)</f>
        <v>0</v>
      </c>
      <c r="DD67" s="23" t="n">
        <f aca="false">IF(AND(DB67=1,INT(N(H67))&lt;=Config!$B$6),IF(COUNTIFS($AZ$2:$AZ$201,AZ67,$DB$2:$DB$201,1,$H$2:$H$201,"&gt;"&amp;H67,$H$2:$H$201,"&lt;"&amp;(Config!$B$6+1))+COUNTIFS($AZ$2:$AZ$201,AZ67,$DB$2:$DB$201,1,$H$2:$H$201,H67,$BA$2:$BA$201,"&gt;"&amp;BA67)=0,1,0),0)</f>
        <v>0</v>
      </c>
      <c r="DE67" s="23" t="n">
        <f aca="false">IF(AND(DB67=1,INT(N(H67))&lt;=Config!$B$7),IF(COUNTIFS($AZ$2:$AZ$201,AZ67,$DB$2:$DB$201,1,$H$2:$H$201,"&gt;"&amp;H67,$H$2:$H$201,"&lt;"&amp;(Config!$B$7+1))+COUNTIFS($AZ$2:$AZ$201,AZ67,$DB$2:$DB$201,1,$H$2:$H$201,H67,$BA$2:$BA$201,"&gt;"&amp;BA67)=0,1,0),0)</f>
        <v>0</v>
      </c>
      <c r="DF67" s="23" t="n">
        <f aca="false">IF(AND(DB67=1,INT(N(H67))&lt;=Config!$B$8),IF(COUNTIFS($AZ$2:$AZ$201,AZ67,$DB$2:$DB$201,1,$H$2:$H$201,"&gt;"&amp;H67,$H$2:$H$201,"&lt;"&amp;(Config!$B$8+1))+COUNTIFS($AZ$2:$AZ$201,AZ67,$DB$2:$DB$201,1,$H$2:$H$201,H67,$BA$2:$BA$201,"&gt;"&amp;BA67)=0,1,0),0)</f>
        <v>0</v>
      </c>
      <c r="DG67" s="23" t="n">
        <f aca="false">IF(AND(DB67=1,INT(N(H67))&lt;=Config!$B$5),IF(COUNTIFS($AZ$2:$AZ$201,AZ67,$DB$2:$DB$201,1,$H$2:$H$201,"&gt;"&amp;H67,$H$2:$H$201,"&lt;"&amp;(Config!$B$5+1))+COUNTIFS($AZ$2:$AZ$201,AZ67,$DB$2:$DB$201,1,$H$2:$H$201,H67,$BA$2:$BA$201,"&gt;"&amp;BA67)=0,1,0),0)</f>
        <v>0</v>
      </c>
      <c r="DH67" s="23" t="n">
        <f aca="false">IF(BB67=1,IF(COUNTIFS($AZ$2:$AZ$201,AZ67,$DD$2:$DD$201,1,$AR$2:$AR$201,"Y")&gt;0,1,0),0)</f>
        <v>0</v>
      </c>
      <c r="DI67" s="23" t="n">
        <f aca="false">IF(BB67=1,IF(COUNTIFS($AZ$2:$AZ$201,AZ67,$DE$2:$DE$201,1,$AR$2:$AR$201,"Y")&gt;0,1,0),0)</f>
        <v>0</v>
      </c>
      <c r="DJ67" s="23" t="n">
        <f aca="false">IF(BB67=1,IF(COUNTIFS($AZ$2:$AZ$201,AZ67,$DF$2:$DF$201,1,$AR$2:$AR$201,"Y")&gt;0,1,0),0)</f>
        <v>0</v>
      </c>
      <c r="DK67" s="23" t="n">
        <f aca="false">IF(BB67=1,IF(COUNTIFS($AZ$2:$AZ$201,AZ67,$DG$2:$DG$201,1,$AR$2:$AR$201,"Y")&gt;0,1,0),0)</f>
        <v>0</v>
      </c>
      <c r="DL67" s="23" t="n">
        <f aca="false">IF(AND(BF67=1,INT(N(H67))&lt;=Config!$B$6,DH67=1,EI67=0),1,0)</f>
        <v>0</v>
      </c>
      <c r="DM67" s="23" t="n">
        <f aca="false">IF(AND(BF67=1,INT(N(H67))&lt;=Config!$B$7,DI67=1,EI67=0),1,0)</f>
        <v>0</v>
      </c>
      <c r="DN67" s="23" t="n">
        <f aca="false">IF(AND(BF67=1,INT(N(H67))&lt;=Config!$B$8,DJ67=1,EI67=0),1,0)</f>
        <v>0</v>
      </c>
      <c r="DO67" s="23" t="n">
        <f aca="false">IF(AND(BF67=1,INT(N(H67))&lt;=Config!$B$5,DK67=1,EI67=0),1,0)</f>
        <v>0</v>
      </c>
      <c r="DP67" s="23" t="n">
        <f aca="false">IF(AND(CC67=1,INT(N(H67))&lt;=Config!$B$6,DH67=1,EI67=0),1,0)</f>
        <v>0</v>
      </c>
      <c r="DQ67" s="23" t="n">
        <f aca="false">IF(AND(CC67=1,INT(N(H67))&lt;=Config!$B$7,DI67=1,EI67=0),1,0)</f>
        <v>0</v>
      </c>
      <c r="DR67" s="23" t="n">
        <f aca="false">IF(AND(CC67=1,INT(N(H67))&lt;=Config!$B$8,DJ67=1,EI67=0),1,0)</f>
        <v>0</v>
      </c>
      <c r="DS67" s="23" t="n">
        <f aca="false">IF(AND(CC67=1,INT(N(H67))&lt;=Config!$B$5,DK67=1,EI67=0),1,0)</f>
        <v>0</v>
      </c>
      <c r="DT67" s="23" t="n">
        <f aca="false">IF(AND(CC67=1,INT(N(H67))&lt;=Config!$B$6,DH67=0),1,0)</f>
        <v>0</v>
      </c>
      <c r="DU67" s="23" t="n">
        <f aca="false">IF(AND(CC67=1,INT(N(H67))&lt;=Config!$B$7,DI67=0),1,0)</f>
        <v>0</v>
      </c>
      <c r="DV67" s="23" t="n">
        <f aca="false">IF(AND(CC67=1,INT(N(H67))&lt;=Config!$B$8,DJ67=0),1,0)</f>
        <v>0</v>
      </c>
      <c r="DW67" s="23" t="n">
        <f aca="false">IF(AND(CC67=1,INT(N(H67))&lt;=Config!$B$5,DK67=0),1,0)</f>
        <v>0</v>
      </c>
      <c r="DX67" s="23" t="n">
        <f aca="false">IF(TRIM($A67)="",0,ISTEXT(M67)+ISTEXT(O67)+ISTEXT(Y67)+ISTEXT(Z67)+ISTEXT(AA67)+ISTEXT(AV67))</f>
        <v>0</v>
      </c>
      <c r="DY67" s="23" t="n">
        <f aca="false">IF(BB67=1,IF(H67&lt;&gt;INT(H67),1,0),0)</f>
        <v>0</v>
      </c>
      <c r="DZ67" s="23" t="str">
        <f aca="false">IF(TRIM($A67)="","",IF(TRIM(B67)="",SUBSTITUTE(SUBSTITUTE(SUBSTITUTE(SUBSTITUTE(SUBSTITUTE(SUBSTITUTE(LOWER(TRIM($A67)),"~",""),"*",""),"?",""),"&lt;",""),"&gt;",""),"=",""),SUBSTITUTE(SUBSTITUTE(SUBSTITUTE(SUBSTITUTE(SUBSTITUTE(SUBSTITUTE(LOWER(TRIM(B67)),"~",""),"*",""),"?",""),"&lt;",""),"&gt;",""),"=","")))</f>
        <v/>
      </c>
      <c r="EA67" s="23" t="str">
        <f aca="false">IF(CW67="","",IFERROR(IF(LEFT(LOWER(TRIM(INDEX(Clay_Offices!$A$2:$FZ$601,CW67,Sync!$C$19)&amp;"")),4)="grp-",SUBSTITUTE(SUBSTITUTE(SUBSTITUTE(SUBSTITUTE(SUBSTITUTE(SUBSTITUTE(LOWER(TRIM(INDEX(Clay_Offices!$A$2:$FZ$601,CW67,Sync!$C$19)&amp;"")),"~",""),"*",""),"?",""),"&lt;",""),"&gt;",""),"=",""),""),""))</f>
        <v/>
      </c>
      <c r="EB67" s="23" t="str">
        <f aca="false">IF(EA67&lt;&gt;"",DZ67,"")</f>
        <v/>
      </c>
      <c r="EC67" s="23" t="str">
        <f aca="false">IF(BC67=1,AZ67,"")</f>
        <v/>
      </c>
      <c r="ED67" s="23" t="str">
        <f aca="false">IF(TRIM($A67)="","",IFERROR(INDEX($A$2:$A$201,MATCH(AZ67,$EC$2:$EC$201,0))&amp;"",$A67&amp;""))</f>
        <v/>
      </c>
      <c r="EE67" s="23" t="n">
        <f aca="false">IF(BB67=1,IF(COUNTIFS($A$2:$A$201,$A67,$BB$2:$BB$201,1,$H$2:$H$201,"&lt;"&amp;H67)+COUNTIFS($A$2:$A$201,$A67,$BB$2:$BB$201,1,$H$2:$H$201,H67,$BA$2:$BA$201,"&lt;"&amp;BA67)=0,1,0),0)</f>
        <v>0</v>
      </c>
      <c r="EF67" s="23" t="n">
        <f aca="false">IF(BC67=1,IF(COUNTIFS($AZ$2:$AZ$201,AZ67,$EE$2:$EE$201,1)&gt;1,1,0),0)</f>
        <v>0</v>
      </c>
      <c r="EG67" s="23" t="n">
        <f aca="false">IF(AND(CQ67=1),IF(COUNTIFS($AZ$2:$AZ$201,AZ67,$CQ$2:$CQ$201,1,$H$2:$H$201,"&gt;"&amp;H67)+COUNTIFS($AZ$2:$AZ$201,AZ67,$CQ$2:$CQ$201,1,$H$2:$H$201,H67,$BA$2:$BA$201,"&gt;"&amp;BA67)=0,1,0),0)</f>
        <v>0</v>
      </c>
      <c r="EH67" s="23" t="str">
        <f aca="false">IF(BB67=1,IF(COUNTIFS($AZ$2:$AZ$201,AZ67,$EG$2:$EG$201,1)=0,"",SUMIFS($O$2:$O$201,$AZ$2:$AZ$201,AZ67,$EG$2:$EG$201,1)),"")</f>
        <v/>
      </c>
      <c r="EI67" s="23" t="n">
        <f aca="false">IF(AND(ISNUMBER(EH67),OR(N(EH67)&lt;Config!$B$31,N(EH67)&gt;Config!$B$33)),1,0)</f>
        <v>0</v>
      </c>
      <c r="EJ67" s="23" t="n">
        <f aca="false">IF(AND(ISNUMBER(EH67),N(EH67)&gt;=Config!$B$31,N(EH67)&lt;Config!$B$32),1,0)</f>
        <v>0</v>
      </c>
      <c r="EK67" s="23" t="n">
        <f aca="false">IF(AND(BF67=1,INT(N(H67))&lt;=Config!$B$6,DH67=1,EI67=1),1,0)</f>
        <v>0</v>
      </c>
      <c r="EL67" s="23" t="n">
        <f aca="false">IF(AND(BF67=1,INT(N(H67))&lt;=Config!$B$7,DI67=1,EI67=1),1,0)</f>
        <v>0</v>
      </c>
      <c r="EM67" s="23" t="n">
        <f aca="false">IF(AND(BF67=1,INT(N(H67))&lt;=Config!$B$8,DJ67=1,EI67=1),1,0)</f>
        <v>0</v>
      </c>
      <c r="EN67" s="23" t="n">
        <f aca="false">IF(AND(BF67=1,INT(N(H67))&lt;=Config!$B$5,DK67=1,EI67=1),1,0)</f>
        <v>0</v>
      </c>
      <c r="EO67" s="23" t="n">
        <f aca="false">IF(AND(DL67=1,EJ67=1),1,0)</f>
        <v>0</v>
      </c>
      <c r="EP67" s="23" t="n">
        <f aca="false">IF(AND(DM67=1,EJ67=1),1,0)</f>
        <v>0</v>
      </c>
      <c r="EQ67" s="23" t="n">
        <f aca="false">IF(AND(DN67=1,EJ67=1),1,0)</f>
        <v>0</v>
      </c>
      <c r="ER67" s="23" t="n">
        <f aca="false">IF(AND(DO67=1,EJ67=1),1,0)</f>
        <v>0</v>
      </c>
    </row>
    <row r="68" customFormat="false" ht="15" hidden="false" customHeight="false" outlineLevel="0" collapsed="false">
      <c r="G68" s="32"/>
      <c r="H68" s="33"/>
      <c r="I68" s="32"/>
      <c r="L68" s="32"/>
      <c r="Q68" s="32"/>
      <c r="U68" s="32"/>
      <c r="W68" s="32"/>
      <c r="AC68" s="32"/>
      <c r="AF68" s="32"/>
      <c r="AI68" s="32"/>
      <c r="AJ68" s="32"/>
      <c r="AN68" s="32"/>
      <c r="AR68" s="32"/>
      <c r="AT68" s="32"/>
      <c r="AU68" s="32"/>
      <c r="AW68" s="32"/>
      <c r="AY68" s="34" t="str">
        <f aca="false">IF(TRIM($A68)="","",IF(AND(LEFT($A68,6)="SAMPLE",Config!$B$19&lt;&gt;"Y"),"",IF(NOT(ISNUMBER(H68)),"call_date is blank or not a date",IF(Sync!$C$5="","Clay paste is empty or has no row_id column: paste the Clay export on Clay_Offices",IF(CW68="","row_id not found in the Clay paste: add the Clay row or fix the row_id",IF(AND(ISNUMBER(CY68),CY68&gt;=1,CY68&lt;=5),"Clay status is "&amp;CX68&amp;": set call_done or later",IF(AND(BD68=1,CZ68&lt;&gt;BZ68),"Clay yes_in_principle should be "&amp;BZ68,IF(AND(BD68=1,DA68&lt;&gt;H68),"Clay call_date should be "&amp;TEXT(H68,"yyyy-mm-dd"),""))))))))</f>
        <v/>
      </c>
      <c r="AZ68" s="23" t="str">
        <f aca="false">IF(TRIM($A68)="","",IF(TRIM(C68)&lt;&gt;"",SUBSTITUTE(SUBSTITUTE(SUBSTITUTE(SUBSTITUTE(SUBSTITUTE(SUBSTITUTE(LOWER(TRIM(C68)),"~",""),"*",""),"?",""),"&lt;",""),"&gt;",""),"=",""),IF(EA68&lt;&gt;"",EA68,IFERROR(INDEX($EA$2:$EA$201,MATCH(DZ68,$EB$2:$EB$201,0)),DZ68))))</f>
        <v/>
      </c>
      <c r="BA68" s="23" t="n">
        <f aca="false">ROW()</f>
        <v>68</v>
      </c>
      <c r="BB68" s="23" t="n">
        <f aca="false">IF(AND(TRIM($A68)&lt;&gt;"",ISNUMBER(H68)),IF(AND(LEFT($A68,6)="SAMPLE",Config!$B$19&lt;&gt;"Y"),0,1),0)</f>
        <v>0</v>
      </c>
      <c r="BC68" s="23" t="n">
        <f aca="false">IF(BB68=1,IF(COUNTIFS($AZ$2:$AZ$201,AZ68,$BB$2:$BB$201,1,$H$2:$H$201,"&lt;"&amp;H68)+COUNTIFS($AZ$2:$AZ$201,AZ68,$BB$2:$BB$201,1,$H$2:$H$201,H68,$BA$2:$BA$201,"&lt;"&amp;BA68)=0,1,0),0)</f>
        <v>0</v>
      </c>
      <c r="BD68" s="23" t="n">
        <f aca="false">IF(BB68=1,IF(COUNTIFS($A$2:$A$201,$A68,$BB$2:$BB$201,1,$H$2:$H$201,"&gt;"&amp;H68)+COUNTIFS($A$2:$A$201,$A68,$BB$2:$BB$201,1,$H$2:$H$201,H68,$BA$2:$BA$201,"&gt;"&amp;BA68)=0,1,0),0)</f>
        <v>0</v>
      </c>
      <c r="BE68" s="23" t="n">
        <f aca="false">IF(AND(BB68=1,AR68="Y",AC68="Y",TRIM(AH68)&lt;&gt;""),1,0)</f>
        <v>0</v>
      </c>
      <c r="BF68" s="23" t="n">
        <f aca="false">IF(BE68=1,IF(COUNTIFS($AZ$2:$AZ$201,AZ68,$BE$2:$BE$201,1,$H$2:$H$201,"&lt;"&amp;H68)+COUNTIFS($AZ$2:$AZ$201,AZ68,$BE$2:$BE$201,1,$H$2:$H$201,H68,$BA$2:$BA$201,"&lt;"&amp;BA68)=0,1,0),0)</f>
        <v>0</v>
      </c>
      <c r="BG68" s="23" t="n">
        <f aca="false">IF(AND(BB68=1,AR68="Y",BE68=0),1,0)</f>
        <v>0</v>
      </c>
      <c r="BH68" s="23" t="n">
        <f aca="false">IF(AND(BB68=1,ISNUMBER(Y68)),1,0)</f>
        <v>0</v>
      </c>
      <c r="BI68" s="23" t="n">
        <f aca="false">IF(BH68=1,IF(COUNTIFS($AZ$2:$AZ$201,AZ68,$BH$2:$BH$201,1,$H$2:$H$201,"&lt;"&amp;H68)+COUNTIFS($AZ$2:$AZ$201,AZ68,$BH$2:$BH$201,1,$H$2:$H$201,H68,$BA$2:$BA$201,"&lt;"&amp;BA68)=0,1,0),0)</f>
        <v>0</v>
      </c>
      <c r="BJ68" s="23" t="str">
        <f aca="false">IF(AND(BI68=1,INT(N(H68))&lt;=Config!$B$6),Y68,"")</f>
        <v/>
      </c>
      <c r="BK68" s="23" t="str">
        <f aca="false">IF(AND(BI68=1,INT(N(H68))&lt;=Config!$B$7),Y68,"")</f>
        <v/>
      </c>
      <c r="BL68" s="23" t="str">
        <f aca="false">IF(AND(BI68=1,INT(N(H68))&lt;=Config!$B$8),Y68,"")</f>
        <v/>
      </c>
      <c r="BM68" s="23" t="str">
        <f aca="false">IF(AND(BI68=1,INT(N(H68))&lt;=Config!$B$5),Y68,"")</f>
        <v/>
      </c>
      <c r="BN68" s="23" t="n">
        <f aca="false">IF(CD68=1,IF(COUNTIFS($AZ$2:$AZ$201,AZ68,$CD$2:$CD$201,1,$H$2:$H$201,"&lt;"&amp;H68)+COUNTIFS($AZ$2:$AZ$201,AZ68,$CD$2:$CD$201,1,$H$2:$H$201,H68,$BA$2:$BA$201,"&lt;"&amp;BA68)=0,1,0),0)</f>
        <v>0</v>
      </c>
      <c r="BO68" s="23" t="n">
        <f aca="false">IF(AND(BB68=1,ISNUMBER(M68)),1,0)</f>
        <v>0</v>
      </c>
      <c r="BP68" s="23" t="n">
        <f aca="false">IF(BO68=1,IF(COUNTIFS($AZ$2:$AZ$201,AZ68,$BO$2:$BO$201,1,$H$2:$H$201,"&lt;"&amp;H68)+COUNTIFS($AZ$2:$AZ$201,AZ68,$BO$2:$BO$201,1,$H$2:$H$201,H68,$BA$2:$BA$201,"&lt;"&amp;BA68)=0,1,0),0)</f>
        <v>0</v>
      </c>
      <c r="BQ68" s="23" t="str">
        <f aca="false">IF(AND(BP68=1,INT(N(H68))&lt;=Config!$B$5),M68,"")</f>
        <v/>
      </c>
      <c r="BR68" s="23" t="n">
        <f aca="false">IF(AND(BB68=1,OR(TRIM(X68)&lt;&gt;"",ISNUMBER(Y68))),1,0)</f>
        <v>0</v>
      </c>
      <c r="BS68" s="23" t="n">
        <f aca="false">IF(BR68=1,IF(COUNTIFS($AZ$2:$AZ$201,AZ68,$BR$2:$BR$201,1,$H$2:$H$201,"&lt;"&amp;H68)+COUNTIFS($AZ$2:$AZ$201,AZ68,$BR$2:$BR$201,1,$H$2:$H$201,H68,$BA$2:$BA$201,"&lt;"&amp;BA68)=0,1,0),0)</f>
        <v>0</v>
      </c>
      <c r="BT68" s="23" t="str">
        <f aca="false">IF(BS68=1,AZ68,"")</f>
        <v/>
      </c>
      <c r="BU68" s="23" t="n">
        <f aca="false">IF(AND(BB68=1,W68="Y",TRIM(X68)=""),1,0)</f>
        <v>0</v>
      </c>
      <c r="BV68" s="23" t="str">
        <f aca="false">IF(BB68=1,AN68&amp;"","")</f>
        <v/>
      </c>
      <c r="BW68" s="23" t="str">
        <f aca="false">IF(BB68=1,AO68&amp;"","")</f>
        <v/>
      </c>
      <c r="BX68" s="23" t="str">
        <f aca="false">IF(BB68=1,AP68&amp;"","")</f>
        <v/>
      </c>
      <c r="BY68" s="23" t="str">
        <f aca="false">IF(AND(BB68=1,ISNUMBER(AV68),INT(N(H68))&lt;=Config!$B$5),AV68,"")</f>
        <v/>
      </c>
      <c r="BZ68" s="23" t="str">
        <f aca="false">IF(BB68=1,IF(COUNTIFS($A$2:$A$201,$A68,$DC$2:$DC$201,1,$AR$2:$AR$201,"Y")&gt;0,"Y","N"),"")</f>
        <v/>
      </c>
      <c r="CA68" s="23" t="n">
        <f aca="false">IF(AND(BB68=1,AR68="maybe"),1,0)</f>
        <v>0</v>
      </c>
      <c r="CB68" s="23" t="n">
        <f aca="false">IF(CA68=1,IF(COUNTIFS($AZ$2:$AZ$201,AZ68,$CA$2:$CA$201,1,$H$2:$H$201,"&lt;"&amp;H68)+COUNTIFS($AZ$2:$AZ$201,AZ68,$CA$2:$CA$201,1,$H$2:$H$201,H68,$BA$2:$BA$201,"&lt;"&amp;BA68)=0,1,0),0)</f>
        <v>0</v>
      </c>
      <c r="CC68" s="23" t="n">
        <f aca="false">IF(AND(BB68=1,AR68="Y"),IF(COUNTIFS($AZ$2:$AZ$201,AZ68,$AR$2:$AR$201,"Y",$BB$2:$BB$201,1,$H$2:$H$201,"&lt;"&amp;H68)+COUNTIFS($AZ$2:$AZ$201,AZ68,$AR$2:$AR$201,"Y",$BB$2:$BB$201,1,$H$2:$H$201,H68,$BA$2:$BA$201,"&lt;"&amp;BA68)=0,1,0),0)</f>
        <v>0</v>
      </c>
      <c r="CD68" s="23" t="n">
        <f aca="false">IF(AND(BH68=1,N(Y68)&gt;=Config!$B$15),1,0)</f>
        <v>0</v>
      </c>
      <c r="CE68" s="23" t="n">
        <f aca="false">IF(AND(BB68=1,AT68="Y"),1,0)</f>
        <v>0</v>
      </c>
      <c r="CF68" s="23" t="n">
        <f aca="false">IF(CE68=1,IF(COUNTIFS($AZ$2:$AZ$201,AZ68,$CE$2:$CE$201,1,$H$2:$H$201,"&lt;"&amp;H68)+COUNTIFS($AZ$2:$AZ$201,AZ68,$CE$2:$CE$201,1,$H$2:$H$201,H68,$BA$2:$BA$201,"&lt;"&amp;BA68)=0,1,0),0)</f>
        <v>0</v>
      </c>
      <c r="CG68" s="23" t="n">
        <f aca="false">IF(AND(BB68=1,G68="warm-intro"),1,0)</f>
        <v>0</v>
      </c>
      <c r="CH68" s="23" t="n">
        <f aca="false">IF(CG68=1,IF(COUNTIFS($AZ$2:$AZ$201,AZ68,$CG$2:$CG$201,1,$H$2:$H$201,"&lt;"&amp;H68)+COUNTIFS($AZ$2:$AZ$201,AZ68,$CG$2:$CG$201,1,$H$2:$H$201,H68,$BA$2:$BA$201,"&lt;"&amp;BA68)=0,1,0),0)</f>
        <v>0</v>
      </c>
      <c r="CI68" s="23" t="n">
        <f aca="false">IF(AND(BB68=1,Q68="Y"),1,0)</f>
        <v>0</v>
      </c>
      <c r="CJ68" s="23" t="n">
        <f aca="false">IF(CI68=1,IF(COUNTIFS($AZ$2:$AZ$201,AZ68,$CI$2:$CI$201,1,$H$2:$H$201,"&lt;"&amp;H68)+COUNTIFS($AZ$2:$AZ$201,AZ68,$CI$2:$CI$201,1,$H$2:$H$201,H68,$BA$2:$BA$201,"&lt;"&amp;BA68)=0,1,0),0)</f>
        <v>0</v>
      </c>
      <c r="CK68" s="23" t="n">
        <f aca="false">IF(AND(BB68=1,AF68="Y"),1,0)</f>
        <v>0</v>
      </c>
      <c r="CL68" s="23" t="n">
        <f aca="false">IF(CK68=1,IF(COUNTIFS($AZ$2:$AZ$201,AZ68,$CK$2:$CK$201,1,$H$2:$H$201,"&lt;"&amp;H68)+COUNTIFS($AZ$2:$AZ$201,AZ68,$CK$2:$CK$201,1,$H$2:$H$201,H68,$BA$2:$BA$201,"&lt;"&amp;BA68)=0,1,0),0)</f>
        <v>0</v>
      </c>
      <c r="CM68" s="23" t="n">
        <f aca="false">IF(AND(BB68=1,U68="Y"),1,0)</f>
        <v>0</v>
      </c>
      <c r="CN68" s="23" t="n">
        <f aca="false">IF(CM68=1,IF(COUNTIFS($AZ$2:$AZ$201,AZ68,$CM$2:$CM$201,1,$H$2:$H$201,"&lt;"&amp;H68)+COUNTIFS($AZ$2:$AZ$201,AZ68,$CM$2:$CM$201,1,$H$2:$H$201,H68,$BA$2:$BA$201,"&lt;"&amp;BA68)=0,1,0),0)</f>
        <v>0</v>
      </c>
      <c r="CO68" s="23" t="n">
        <f aca="false">IF(AND(BB68=1,L68="Y"),1,0)</f>
        <v>0</v>
      </c>
      <c r="CP68" s="23" t="n">
        <f aca="false">IF(CO68=1,IF(COUNTIFS($AZ$2:$AZ$201,AZ68,$CO$2:$CO$201,1,$H$2:$H$201,"&lt;"&amp;H68)+COUNTIFS($AZ$2:$AZ$201,AZ68,$CO$2:$CO$201,1,$H$2:$H$201,H68,$BA$2:$BA$201,"&lt;"&amp;BA68)=0,1,0),0)</f>
        <v>0</v>
      </c>
      <c r="CQ68" s="23" t="n">
        <f aca="false">IF(AND(BB68=1,ISNUMBER(O68)),1,0)</f>
        <v>0</v>
      </c>
      <c r="CR68" s="23" t="n">
        <f aca="false">IF(CQ68=1,IF(COUNTIFS($AZ$2:$AZ$201,AZ68,$CQ$2:$CQ$201,1,$H$2:$H$201,"&lt;"&amp;H68)+COUNTIFS($AZ$2:$AZ$201,AZ68,$CQ$2:$CQ$201,1,$H$2:$H$201,H68,$BA$2:$BA$201,"&lt;"&amp;BA68)=0,1,0),0)</f>
        <v>0</v>
      </c>
      <c r="CS68" s="23" t="str">
        <f aca="false">IF(AND(CR68=1,INT(N(H68))&lt;=Config!$B$5),O68,"")</f>
        <v/>
      </c>
      <c r="CT68" s="23" t="str">
        <f aca="false">IF(AND(BB68=1,INT(N(H68))&lt;=Config!$B$5),AG68&amp;"","")</f>
        <v/>
      </c>
      <c r="CU68" s="23" t="n">
        <f aca="false">IF(AND(BB68=1,AU68="Y"),1,0)</f>
        <v>0</v>
      </c>
      <c r="CV68" s="23" t="n">
        <f aca="false">IF(CU68=1,IF(COUNTIFS($AZ$2:$AZ$201,AZ68,$CU$2:$CU$201,1,$H$2:$H$201,"&lt;"&amp;H68)+COUNTIFS($AZ$2:$AZ$201,AZ68,$CU$2:$CU$201,1,$H$2:$H$201,H68,$BA$2:$BA$201,"&lt;"&amp;BA68)=0,1,0),0)</f>
        <v>0</v>
      </c>
      <c r="CW68" s="23" t="str">
        <f aca="false">IF(BB68=1,IFERROR(MATCH($A68,INDEX(Clay_Offices!$A$2:$FZ$601,0,Sync!$C$5),0),""),"")</f>
        <v/>
      </c>
      <c r="CX68" s="23" t="str">
        <f aca="false">IF(CW68="","",IFERROR(INDEX(Clay_Offices!$A$2:$FZ$601,CW68,Sync!$C$7)&amp;"",""))</f>
        <v/>
      </c>
      <c r="CY68" s="23" t="str">
        <f aca="false">IF(CX68="","",IFERROR(INDEX(Lists!$K$2:$K$15,MATCH(CX68,Lists!$J$2:$J$15,0)),""))</f>
        <v/>
      </c>
      <c r="CZ68" s="23" t="str">
        <f aca="false">IF(CW68="","",IFERROR(INDEX(Clay_Offices!$A$2:$FZ$601,CW68,Sync!$C$17)&amp;"",""))</f>
        <v/>
      </c>
      <c r="DA68" s="35" t="str">
        <f aca="false">IF(CW68="","",IFERROR(N(INDEX(Clay_Offices!$A$2:$FZ$601,CW68,Sync!$C$16)),0))</f>
        <v/>
      </c>
      <c r="DB68" s="23" t="n">
        <f aca="false">IF(AND(BB68=1,OR(AR68="Y",AR68="N",AR68="maybe")),1,0)</f>
        <v>0</v>
      </c>
      <c r="DC68" s="23" t="n">
        <f aca="false">IF(AND(DB68=1),IF(COUNTIFS($A$2:$A$201,$A68,$DB$2:$DB$201,1,$H$2:$H$201,"&gt;"&amp;H68)+COUNTIFS($A$2:$A$201,$A68,$DB$2:$DB$201,1,$H$2:$H$201,H68,$BA$2:$BA$201,"&gt;"&amp;BA68)=0,1,0),0)</f>
        <v>0</v>
      </c>
      <c r="DD68" s="23" t="n">
        <f aca="false">IF(AND(DB68=1,INT(N(H68))&lt;=Config!$B$6),IF(COUNTIFS($AZ$2:$AZ$201,AZ68,$DB$2:$DB$201,1,$H$2:$H$201,"&gt;"&amp;H68,$H$2:$H$201,"&lt;"&amp;(Config!$B$6+1))+COUNTIFS($AZ$2:$AZ$201,AZ68,$DB$2:$DB$201,1,$H$2:$H$201,H68,$BA$2:$BA$201,"&gt;"&amp;BA68)=0,1,0),0)</f>
        <v>0</v>
      </c>
      <c r="DE68" s="23" t="n">
        <f aca="false">IF(AND(DB68=1,INT(N(H68))&lt;=Config!$B$7),IF(COUNTIFS($AZ$2:$AZ$201,AZ68,$DB$2:$DB$201,1,$H$2:$H$201,"&gt;"&amp;H68,$H$2:$H$201,"&lt;"&amp;(Config!$B$7+1))+COUNTIFS($AZ$2:$AZ$201,AZ68,$DB$2:$DB$201,1,$H$2:$H$201,H68,$BA$2:$BA$201,"&gt;"&amp;BA68)=0,1,0),0)</f>
        <v>0</v>
      </c>
      <c r="DF68" s="23" t="n">
        <f aca="false">IF(AND(DB68=1,INT(N(H68))&lt;=Config!$B$8),IF(COUNTIFS($AZ$2:$AZ$201,AZ68,$DB$2:$DB$201,1,$H$2:$H$201,"&gt;"&amp;H68,$H$2:$H$201,"&lt;"&amp;(Config!$B$8+1))+COUNTIFS($AZ$2:$AZ$201,AZ68,$DB$2:$DB$201,1,$H$2:$H$201,H68,$BA$2:$BA$201,"&gt;"&amp;BA68)=0,1,0),0)</f>
        <v>0</v>
      </c>
      <c r="DG68" s="23" t="n">
        <f aca="false">IF(AND(DB68=1,INT(N(H68))&lt;=Config!$B$5),IF(COUNTIFS($AZ$2:$AZ$201,AZ68,$DB$2:$DB$201,1,$H$2:$H$201,"&gt;"&amp;H68,$H$2:$H$201,"&lt;"&amp;(Config!$B$5+1))+COUNTIFS($AZ$2:$AZ$201,AZ68,$DB$2:$DB$201,1,$H$2:$H$201,H68,$BA$2:$BA$201,"&gt;"&amp;BA68)=0,1,0),0)</f>
        <v>0</v>
      </c>
      <c r="DH68" s="23" t="n">
        <f aca="false">IF(BB68=1,IF(COUNTIFS($AZ$2:$AZ$201,AZ68,$DD$2:$DD$201,1,$AR$2:$AR$201,"Y")&gt;0,1,0),0)</f>
        <v>0</v>
      </c>
      <c r="DI68" s="23" t="n">
        <f aca="false">IF(BB68=1,IF(COUNTIFS($AZ$2:$AZ$201,AZ68,$DE$2:$DE$201,1,$AR$2:$AR$201,"Y")&gt;0,1,0),0)</f>
        <v>0</v>
      </c>
      <c r="DJ68" s="23" t="n">
        <f aca="false">IF(BB68=1,IF(COUNTIFS($AZ$2:$AZ$201,AZ68,$DF$2:$DF$201,1,$AR$2:$AR$201,"Y")&gt;0,1,0),0)</f>
        <v>0</v>
      </c>
      <c r="DK68" s="23" t="n">
        <f aca="false">IF(BB68=1,IF(COUNTIFS($AZ$2:$AZ$201,AZ68,$DG$2:$DG$201,1,$AR$2:$AR$201,"Y")&gt;0,1,0),0)</f>
        <v>0</v>
      </c>
      <c r="DL68" s="23" t="n">
        <f aca="false">IF(AND(BF68=1,INT(N(H68))&lt;=Config!$B$6,DH68=1,EI68=0),1,0)</f>
        <v>0</v>
      </c>
      <c r="DM68" s="23" t="n">
        <f aca="false">IF(AND(BF68=1,INT(N(H68))&lt;=Config!$B$7,DI68=1,EI68=0),1,0)</f>
        <v>0</v>
      </c>
      <c r="DN68" s="23" t="n">
        <f aca="false">IF(AND(BF68=1,INT(N(H68))&lt;=Config!$B$8,DJ68=1,EI68=0),1,0)</f>
        <v>0</v>
      </c>
      <c r="DO68" s="23" t="n">
        <f aca="false">IF(AND(BF68=1,INT(N(H68))&lt;=Config!$B$5,DK68=1,EI68=0),1,0)</f>
        <v>0</v>
      </c>
      <c r="DP68" s="23" t="n">
        <f aca="false">IF(AND(CC68=1,INT(N(H68))&lt;=Config!$B$6,DH68=1,EI68=0),1,0)</f>
        <v>0</v>
      </c>
      <c r="DQ68" s="23" t="n">
        <f aca="false">IF(AND(CC68=1,INT(N(H68))&lt;=Config!$B$7,DI68=1,EI68=0),1,0)</f>
        <v>0</v>
      </c>
      <c r="DR68" s="23" t="n">
        <f aca="false">IF(AND(CC68=1,INT(N(H68))&lt;=Config!$B$8,DJ68=1,EI68=0),1,0)</f>
        <v>0</v>
      </c>
      <c r="DS68" s="23" t="n">
        <f aca="false">IF(AND(CC68=1,INT(N(H68))&lt;=Config!$B$5,DK68=1,EI68=0),1,0)</f>
        <v>0</v>
      </c>
      <c r="DT68" s="23" t="n">
        <f aca="false">IF(AND(CC68=1,INT(N(H68))&lt;=Config!$B$6,DH68=0),1,0)</f>
        <v>0</v>
      </c>
      <c r="DU68" s="23" t="n">
        <f aca="false">IF(AND(CC68=1,INT(N(H68))&lt;=Config!$B$7,DI68=0),1,0)</f>
        <v>0</v>
      </c>
      <c r="DV68" s="23" t="n">
        <f aca="false">IF(AND(CC68=1,INT(N(H68))&lt;=Config!$B$8,DJ68=0),1,0)</f>
        <v>0</v>
      </c>
      <c r="DW68" s="23" t="n">
        <f aca="false">IF(AND(CC68=1,INT(N(H68))&lt;=Config!$B$5,DK68=0),1,0)</f>
        <v>0</v>
      </c>
      <c r="DX68" s="23" t="n">
        <f aca="false">IF(TRIM($A68)="",0,ISTEXT(M68)+ISTEXT(O68)+ISTEXT(Y68)+ISTEXT(Z68)+ISTEXT(AA68)+ISTEXT(AV68))</f>
        <v>0</v>
      </c>
      <c r="DY68" s="23" t="n">
        <f aca="false">IF(BB68=1,IF(H68&lt;&gt;INT(H68),1,0),0)</f>
        <v>0</v>
      </c>
      <c r="DZ68" s="23" t="str">
        <f aca="false">IF(TRIM($A68)="","",IF(TRIM(B68)="",SUBSTITUTE(SUBSTITUTE(SUBSTITUTE(SUBSTITUTE(SUBSTITUTE(SUBSTITUTE(LOWER(TRIM($A68)),"~",""),"*",""),"?",""),"&lt;",""),"&gt;",""),"=",""),SUBSTITUTE(SUBSTITUTE(SUBSTITUTE(SUBSTITUTE(SUBSTITUTE(SUBSTITUTE(LOWER(TRIM(B68)),"~",""),"*",""),"?",""),"&lt;",""),"&gt;",""),"=","")))</f>
        <v/>
      </c>
      <c r="EA68" s="23" t="str">
        <f aca="false">IF(CW68="","",IFERROR(IF(LEFT(LOWER(TRIM(INDEX(Clay_Offices!$A$2:$FZ$601,CW68,Sync!$C$19)&amp;"")),4)="grp-",SUBSTITUTE(SUBSTITUTE(SUBSTITUTE(SUBSTITUTE(SUBSTITUTE(SUBSTITUTE(LOWER(TRIM(INDEX(Clay_Offices!$A$2:$FZ$601,CW68,Sync!$C$19)&amp;"")),"~",""),"*",""),"?",""),"&lt;",""),"&gt;",""),"=",""),""),""))</f>
        <v/>
      </c>
      <c r="EB68" s="23" t="str">
        <f aca="false">IF(EA68&lt;&gt;"",DZ68,"")</f>
        <v/>
      </c>
      <c r="EC68" s="23" t="str">
        <f aca="false">IF(BC68=1,AZ68,"")</f>
        <v/>
      </c>
      <c r="ED68" s="23" t="str">
        <f aca="false">IF(TRIM($A68)="","",IFERROR(INDEX($A$2:$A$201,MATCH(AZ68,$EC$2:$EC$201,0))&amp;"",$A68&amp;""))</f>
        <v/>
      </c>
      <c r="EE68" s="23" t="n">
        <f aca="false">IF(BB68=1,IF(COUNTIFS($A$2:$A$201,$A68,$BB$2:$BB$201,1,$H$2:$H$201,"&lt;"&amp;H68)+COUNTIFS($A$2:$A$201,$A68,$BB$2:$BB$201,1,$H$2:$H$201,H68,$BA$2:$BA$201,"&lt;"&amp;BA68)=0,1,0),0)</f>
        <v>0</v>
      </c>
      <c r="EF68" s="23" t="n">
        <f aca="false">IF(BC68=1,IF(COUNTIFS($AZ$2:$AZ$201,AZ68,$EE$2:$EE$201,1)&gt;1,1,0),0)</f>
        <v>0</v>
      </c>
      <c r="EG68" s="23" t="n">
        <f aca="false">IF(AND(CQ68=1),IF(COUNTIFS($AZ$2:$AZ$201,AZ68,$CQ$2:$CQ$201,1,$H$2:$H$201,"&gt;"&amp;H68)+COUNTIFS($AZ$2:$AZ$201,AZ68,$CQ$2:$CQ$201,1,$H$2:$H$201,H68,$BA$2:$BA$201,"&gt;"&amp;BA68)=0,1,0),0)</f>
        <v>0</v>
      </c>
      <c r="EH68" s="23" t="str">
        <f aca="false">IF(BB68=1,IF(COUNTIFS($AZ$2:$AZ$201,AZ68,$EG$2:$EG$201,1)=0,"",SUMIFS($O$2:$O$201,$AZ$2:$AZ$201,AZ68,$EG$2:$EG$201,1)),"")</f>
        <v/>
      </c>
      <c r="EI68" s="23" t="n">
        <f aca="false">IF(AND(ISNUMBER(EH68),OR(N(EH68)&lt;Config!$B$31,N(EH68)&gt;Config!$B$33)),1,0)</f>
        <v>0</v>
      </c>
      <c r="EJ68" s="23" t="n">
        <f aca="false">IF(AND(ISNUMBER(EH68),N(EH68)&gt;=Config!$B$31,N(EH68)&lt;Config!$B$32),1,0)</f>
        <v>0</v>
      </c>
      <c r="EK68" s="23" t="n">
        <f aca="false">IF(AND(BF68=1,INT(N(H68))&lt;=Config!$B$6,DH68=1,EI68=1),1,0)</f>
        <v>0</v>
      </c>
      <c r="EL68" s="23" t="n">
        <f aca="false">IF(AND(BF68=1,INT(N(H68))&lt;=Config!$B$7,DI68=1,EI68=1),1,0)</f>
        <v>0</v>
      </c>
      <c r="EM68" s="23" t="n">
        <f aca="false">IF(AND(BF68=1,INT(N(H68))&lt;=Config!$B$8,DJ68=1,EI68=1),1,0)</f>
        <v>0</v>
      </c>
      <c r="EN68" s="23" t="n">
        <f aca="false">IF(AND(BF68=1,INT(N(H68))&lt;=Config!$B$5,DK68=1,EI68=1),1,0)</f>
        <v>0</v>
      </c>
      <c r="EO68" s="23" t="n">
        <f aca="false">IF(AND(DL68=1,EJ68=1),1,0)</f>
        <v>0</v>
      </c>
      <c r="EP68" s="23" t="n">
        <f aca="false">IF(AND(DM68=1,EJ68=1),1,0)</f>
        <v>0</v>
      </c>
      <c r="EQ68" s="23" t="n">
        <f aca="false">IF(AND(DN68=1,EJ68=1),1,0)</f>
        <v>0</v>
      </c>
      <c r="ER68" s="23" t="n">
        <f aca="false">IF(AND(DO68=1,EJ68=1),1,0)</f>
        <v>0</v>
      </c>
    </row>
    <row r="69" customFormat="false" ht="15" hidden="false" customHeight="false" outlineLevel="0" collapsed="false">
      <c r="G69" s="32"/>
      <c r="H69" s="33"/>
      <c r="I69" s="32"/>
      <c r="L69" s="32"/>
      <c r="Q69" s="32"/>
      <c r="U69" s="32"/>
      <c r="W69" s="32"/>
      <c r="AC69" s="32"/>
      <c r="AF69" s="32"/>
      <c r="AI69" s="32"/>
      <c r="AJ69" s="32"/>
      <c r="AN69" s="32"/>
      <c r="AR69" s="32"/>
      <c r="AT69" s="32"/>
      <c r="AU69" s="32"/>
      <c r="AW69" s="32"/>
      <c r="AY69" s="34" t="str">
        <f aca="false">IF(TRIM($A69)="","",IF(AND(LEFT($A69,6)="SAMPLE",Config!$B$19&lt;&gt;"Y"),"",IF(NOT(ISNUMBER(H69)),"call_date is blank or not a date",IF(Sync!$C$5="","Clay paste is empty or has no row_id column: paste the Clay export on Clay_Offices",IF(CW69="","row_id not found in the Clay paste: add the Clay row or fix the row_id",IF(AND(ISNUMBER(CY69),CY69&gt;=1,CY69&lt;=5),"Clay status is "&amp;CX69&amp;": set call_done or later",IF(AND(BD69=1,CZ69&lt;&gt;BZ69),"Clay yes_in_principle should be "&amp;BZ69,IF(AND(BD69=1,DA69&lt;&gt;H69),"Clay call_date should be "&amp;TEXT(H69,"yyyy-mm-dd"),""))))))))</f>
        <v/>
      </c>
      <c r="AZ69" s="23" t="str">
        <f aca="false">IF(TRIM($A69)="","",IF(TRIM(C69)&lt;&gt;"",SUBSTITUTE(SUBSTITUTE(SUBSTITUTE(SUBSTITUTE(SUBSTITUTE(SUBSTITUTE(LOWER(TRIM(C69)),"~",""),"*",""),"?",""),"&lt;",""),"&gt;",""),"=",""),IF(EA69&lt;&gt;"",EA69,IFERROR(INDEX($EA$2:$EA$201,MATCH(DZ69,$EB$2:$EB$201,0)),DZ69))))</f>
        <v/>
      </c>
      <c r="BA69" s="23" t="n">
        <f aca="false">ROW()</f>
        <v>69</v>
      </c>
      <c r="BB69" s="23" t="n">
        <f aca="false">IF(AND(TRIM($A69)&lt;&gt;"",ISNUMBER(H69)),IF(AND(LEFT($A69,6)="SAMPLE",Config!$B$19&lt;&gt;"Y"),0,1),0)</f>
        <v>0</v>
      </c>
      <c r="BC69" s="23" t="n">
        <f aca="false">IF(BB69=1,IF(COUNTIFS($AZ$2:$AZ$201,AZ69,$BB$2:$BB$201,1,$H$2:$H$201,"&lt;"&amp;H69)+COUNTIFS($AZ$2:$AZ$201,AZ69,$BB$2:$BB$201,1,$H$2:$H$201,H69,$BA$2:$BA$201,"&lt;"&amp;BA69)=0,1,0),0)</f>
        <v>0</v>
      </c>
      <c r="BD69" s="23" t="n">
        <f aca="false">IF(BB69=1,IF(COUNTIFS($A$2:$A$201,$A69,$BB$2:$BB$201,1,$H$2:$H$201,"&gt;"&amp;H69)+COUNTIFS($A$2:$A$201,$A69,$BB$2:$BB$201,1,$H$2:$H$201,H69,$BA$2:$BA$201,"&gt;"&amp;BA69)=0,1,0),0)</f>
        <v>0</v>
      </c>
      <c r="BE69" s="23" t="n">
        <f aca="false">IF(AND(BB69=1,AR69="Y",AC69="Y",TRIM(AH69)&lt;&gt;""),1,0)</f>
        <v>0</v>
      </c>
      <c r="BF69" s="23" t="n">
        <f aca="false">IF(BE69=1,IF(COUNTIFS($AZ$2:$AZ$201,AZ69,$BE$2:$BE$201,1,$H$2:$H$201,"&lt;"&amp;H69)+COUNTIFS($AZ$2:$AZ$201,AZ69,$BE$2:$BE$201,1,$H$2:$H$201,H69,$BA$2:$BA$201,"&lt;"&amp;BA69)=0,1,0),0)</f>
        <v>0</v>
      </c>
      <c r="BG69" s="23" t="n">
        <f aca="false">IF(AND(BB69=1,AR69="Y",BE69=0),1,0)</f>
        <v>0</v>
      </c>
      <c r="BH69" s="23" t="n">
        <f aca="false">IF(AND(BB69=1,ISNUMBER(Y69)),1,0)</f>
        <v>0</v>
      </c>
      <c r="BI69" s="23" t="n">
        <f aca="false">IF(BH69=1,IF(COUNTIFS($AZ$2:$AZ$201,AZ69,$BH$2:$BH$201,1,$H$2:$H$201,"&lt;"&amp;H69)+COUNTIFS($AZ$2:$AZ$201,AZ69,$BH$2:$BH$201,1,$H$2:$H$201,H69,$BA$2:$BA$201,"&lt;"&amp;BA69)=0,1,0),0)</f>
        <v>0</v>
      </c>
      <c r="BJ69" s="23" t="str">
        <f aca="false">IF(AND(BI69=1,INT(N(H69))&lt;=Config!$B$6),Y69,"")</f>
        <v/>
      </c>
      <c r="BK69" s="23" t="str">
        <f aca="false">IF(AND(BI69=1,INT(N(H69))&lt;=Config!$B$7),Y69,"")</f>
        <v/>
      </c>
      <c r="BL69" s="23" t="str">
        <f aca="false">IF(AND(BI69=1,INT(N(H69))&lt;=Config!$B$8),Y69,"")</f>
        <v/>
      </c>
      <c r="BM69" s="23" t="str">
        <f aca="false">IF(AND(BI69=1,INT(N(H69))&lt;=Config!$B$5),Y69,"")</f>
        <v/>
      </c>
      <c r="BN69" s="23" t="n">
        <f aca="false">IF(CD69=1,IF(COUNTIFS($AZ$2:$AZ$201,AZ69,$CD$2:$CD$201,1,$H$2:$H$201,"&lt;"&amp;H69)+COUNTIFS($AZ$2:$AZ$201,AZ69,$CD$2:$CD$201,1,$H$2:$H$201,H69,$BA$2:$BA$201,"&lt;"&amp;BA69)=0,1,0),0)</f>
        <v>0</v>
      </c>
      <c r="BO69" s="23" t="n">
        <f aca="false">IF(AND(BB69=1,ISNUMBER(M69)),1,0)</f>
        <v>0</v>
      </c>
      <c r="BP69" s="23" t="n">
        <f aca="false">IF(BO69=1,IF(COUNTIFS($AZ$2:$AZ$201,AZ69,$BO$2:$BO$201,1,$H$2:$H$201,"&lt;"&amp;H69)+COUNTIFS($AZ$2:$AZ$201,AZ69,$BO$2:$BO$201,1,$H$2:$H$201,H69,$BA$2:$BA$201,"&lt;"&amp;BA69)=0,1,0),0)</f>
        <v>0</v>
      </c>
      <c r="BQ69" s="23" t="str">
        <f aca="false">IF(AND(BP69=1,INT(N(H69))&lt;=Config!$B$5),M69,"")</f>
        <v/>
      </c>
      <c r="BR69" s="23" t="n">
        <f aca="false">IF(AND(BB69=1,OR(TRIM(X69)&lt;&gt;"",ISNUMBER(Y69))),1,0)</f>
        <v>0</v>
      </c>
      <c r="BS69" s="23" t="n">
        <f aca="false">IF(BR69=1,IF(COUNTIFS($AZ$2:$AZ$201,AZ69,$BR$2:$BR$201,1,$H$2:$H$201,"&lt;"&amp;H69)+COUNTIFS($AZ$2:$AZ$201,AZ69,$BR$2:$BR$201,1,$H$2:$H$201,H69,$BA$2:$BA$201,"&lt;"&amp;BA69)=0,1,0),0)</f>
        <v>0</v>
      </c>
      <c r="BT69" s="23" t="str">
        <f aca="false">IF(BS69=1,AZ69,"")</f>
        <v/>
      </c>
      <c r="BU69" s="23" t="n">
        <f aca="false">IF(AND(BB69=1,W69="Y",TRIM(X69)=""),1,0)</f>
        <v>0</v>
      </c>
      <c r="BV69" s="23" t="str">
        <f aca="false">IF(BB69=1,AN69&amp;"","")</f>
        <v/>
      </c>
      <c r="BW69" s="23" t="str">
        <f aca="false">IF(BB69=1,AO69&amp;"","")</f>
        <v/>
      </c>
      <c r="BX69" s="23" t="str">
        <f aca="false">IF(BB69=1,AP69&amp;"","")</f>
        <v/>
      </c>
      <c r="BY69" s="23" t="str">
        <f aca="false">IF(AND(BB69=1,ISNUMBER(AV69),INT(N(H69))&lt;=Config!$B$5),AV69,"")</f>
        <v/>
      </c>
      <c r="BZ69" s="23" t="str">
        <f aca="false">IF(BB69=1,IF(COUNTIFS($A$2:$A$201,$A69,$DC$2:$DC$201,1,$AR$2:$AR$201,"Y")&gt;0,"Y","N"),"")</f>
        <v/>
      </c>
      <c r="CA69" s="23" t="n">
        <f aca="false">IF(AND(BB69=1,AR69="maybe"),1,0)</f>
        <v>0</v>
      </c>
      <c r="CB69" s="23" t="n">
        <f aca="false">IF(CA69=1,IF(COUNTIFS($AZ$2:$AZ$201,AZ69,$CA$2:$CA$201,1,$H$2:$H$201,"&lt;"&amp;H69)+COUNTIFS($AZ$2:$AZ$201,AZ69,$CA$2:$CA$201,1,$H$2:$H$201,H69,$BA$2:$BA$201,"&lt;"&amp;BA69)=0,1,0),0)</f>
        <v>0</v>
      </c>
      <c r="CC69" s="23" t="n">
        <f aca="false">IF(AND(BB69=1,AR69="Y"),IF(COUNTIFS($AZ$2:$AZ$201,AZ69,$AR$2:$AR$201,"Y",$BB$2:$BB$201,1,$H$2:$H$201,"&lt;"&amp;H69)+COUNTIFS($AZ$2:$AZ$201,AZ69,$AR$2:$AR$201,"Y",$BB$2:$BB$201,1,$H$2:$H$201,H69,$BA$2:$BA$201,"&lt;"&amp;BA69)=0,1,0),0)</f>
        <v>0</v>
      </c>
      <c r="CD69" s="23" t="n">
        <f aca="false">IF(AND(BH69=1,N(Y69)&gt;=Config!$B$15),1,0)</f>
        <v>0</v>
      </c>
      <c r="CE69" s="23" t="n">
        <f aca="false">IF(AND(BB69=1,AT69="Y"),1,0)</f>
        <v>0</v>
      </c>
      <c r="CF69" s="23" t="n">
        <f aca="false">IF(CE69=1,IF(COUNTIFS($AZ$2:$AZ$201,AZ69,$CE$2:$CE$201,1,$H$2:$H$201,"&lt;"&amp;H69)+COUNTIFS($AZ$2:$AZ$201,AZ69,$CE$2:$CE$201,1,$H$2:$H$201,H69,$BA$2:$BA$201,"&lt;"&amp;BA69)=0,1,0),0)</f>
        <v>0</v>
      </c>
      <c r="CG69" s="23" t="n">
        <f aca="false">IF(AND(BB69=1,G69="warm-intro"),1,0)</f>
        <v>0</v>
      </c>
      <c r="CH69" s="23" t="n">
        <f aca="false">IF(CG69=1,IF(COUNTIFS($AZ$2:$AZ$201,AZ69,$CG$2:$CG$201,1,$H$2:$H$201,"&lt;"&amp;H69)+COUNTIFS($AZ$2:$AZ$201,AZ69,$CG$2:$CG$201,1,$H$2:$H$201,H69,$BA$2:$BA$201,"&lt;"&amp;BA69)=0,1,0),0)</f>
        <v>0</v>
      </c>
      <c r="CI69" s="23" t="n">
        <f aca="false">IF(AND(BB69=1,Q69="Y"),1,0)</f>
        <v>0</v>
      </c>
      <c r="CJ69" s="23" t="n">
        <f aca="false">IF(CI69=1,IF(COUNTIFS($AZ$2:$AZ$201,AZ69,$CI$2:$CI$201,1,$H$2:$H$201,"&lt;"&amp;H69)+COUNTIFS($AZ$2:$AZ$201,AZ69,$CI$2:$CI$201,1,$H$2:$H$201,H69,$BA$2:$BA$201,"&lt;"&amp;BA69)=0,1,0),0)</f>
        <v>0</v>
      </c>
      <c r="CK69" s="23" t="n">
        <f aca="false">IF(AND(BB69=1,AF69="Y"),1,0)</f>
        <v>0</v>
      </c>
      <c r="CL69" s="23" t="n">
        <f aca="false">IF(CK69=1,IF(COUNTIFS($AZ$2:$AZ$201,AZ69,$CK$2:$CK$201,1,$H$2:$H$201,"&lt;"&amp;H69)+COUNTIFS($AZ$2:$AZ$201,AZ69,$CK$2:$CK$201,1,$H$2:$H$201,H69,$BA$2:$BA$201,"&lt;"&amp;BA69)=0,1,0),0)</f>
        <v>0</v>
      </c>
      <c r="CM69" s="23" t="n">
        <f aca="false">IF(AND(BB69=1,U69="Y"),1,0)</f>
        <v>0</v>
      </c>
      <c r="CN69" s="23" t="n">
        <f aca="false">IF(CM69=1,IF(COUNTIFS($AZ$2:$AZ$201,AZ69,$CM$2:$CM$201,1,$H$2:$H$201,"&lt;"&amp;H69)+COUNTIFS($AZ$2:$AZ$201,AZ69,$CM$2:$CM$201,1,$H$2:$H$201,H69,$BA$2:$BA$201,"&lt;"&amp;BA69)=0,1,0),0)</f>
        <v>0</v>
      </c>
      <c r="CO69" s="23" t="n">
        <f aca="false">IF(AND(BB69=1,L69="Y"),1,0)</f>
        <v>0</v>
      </c>
      <c r="CP69" s="23" t="n">
        <f aca="false">IF(CO69=1,IF(COUNTIFS($AZ$2:$AZ$201,AZ69,$CO$2:$CO$201,1,$H$2:$H$201,"&lt;"&amp;H69)+COUNTIFS($AZ$2:$AZ$201,AZ69,$CO$2:$CO$201,1,$H$2:$H$201,H69,$BA$2:$BA$201,"&lt;"&amp;BA69)=0,1,0),0)</f>
        <v>0</v>
      </c>
      <c r="CQ69" s="23" t="n">
        <f aca="false">IF(AND(BB69=1,ISNUMBER(O69)),1,0)</f>
        <v>0</v>
      </c>
      <c r="CR69" s="23" t="n">
        <f aca="false">IF(CQ69=1,IF(COUNTIFS($AZ$2:$AZ$201,AZ69,$CQ$2:$CQ$201,1,$H$2:$H$201,"&lt;"&amp;H69)+COUNTIFS($AZ$2:$AZ$201,AZ69,$CQ$2:$CQ$201,1,$H$2:$H$201,H69,$BA$2:$BA$201,"&lt;"&amp;BA69)=0,1,0),0)</f>
        <v>0</v>
      </c>
      <c r="CS69" s="23" t="str">
        <f aca="false">IF(AND(CR69=1,INT(N(H69))&lt;=Config!$B$5),O69,"")</f>
        <v/>
      </c>
      <c r="CT69" s="23" t="str">
        <f aca="false">IF(AND(BB69=1,INT(N(H69))&lt;=Config!$B$5),AG69&amp;"","")</f>
        <v/>
      </c>
      <c r="CU69" s="23" t="n">
        <f aca="false">IF(AND(BB69=1,AU69="Y"),1,0)</f>
        <v>0</v>
      </c>
      <c r="CV69" s="23" t="n">
        <f aca="false">IF(CU69=1,IF(COUNTIFS($AZ$2:$AZ$201,AZ69,$CU$2:$CU$201,1,$H$2:$H$201,"&lt;"&amp;H69)+COUNTIFS($AZ$2:$AZ$201,AZ69,$CU$2:$CU$201,1,$H$2:$H$201,H69,$BA$2:$BA$201,"&lt;"&amp;BA69)=0,1,0),0)</f>
        <v>0</v>
      </c>
      <c r="CW69" s="23" t="str">
        <f aca="false">IF(BB69=1,IFERROR(MATCH($A69,INDEX(Clay_Offices!$A$2:$FZ$601,0,Sync!$C$5),0),""),"")</f>
        <v/>
      </c>
      <c r="CX69" s="23" t="str">
        <f aca="false">IF(CW69="","",IFERROR(INDEX(Clay_Offices!$A$2:$FZ$601,CW69,Sync!$C$7)&amp;"",""))</f>
        <v/>
      </c>
      <c r="CY69" s="23" t="str">
        <f aca="false">IF(CX69="","",IFERROR(INDEX(Lists!$K$2:$K$15,MATCH(CX69,Lists!$J$2:$J$15,0)),""))</f>
        <v/>
      </c>
      <c r="CZ69" s="23" t="str">
        <f aca="false">IF(CW69="","",IFERROR(INDEX(Clay_Offices!$A$2:$FZ$601,CW69,Sync!$C$17)&amp;"",""))</f>
        <v/>
      </c>
      <c r="DA69" s="35" t="str">
        <f aca="false">IF(CW69="","",IFERROR(N(INDEX(Clay_Offices!$A$2:$FZ$601,CW69,Sync!$C$16)),0))</f>
        <v/>
      </c>
      <c r="DB69" s="23" t="n">
        <f aca="false">IF(AND(BB69=1,OR(AR69="Y",AR69="N",AR69="maybe")),1,0)</f>
        <v>0</v>
      </c>
      <c r="DC69" s="23" t="n">
        <f aca="false">IF(AND(DB69=1),IF(COUNTIFS($A$2:$A$201,$A69,$DB$2:$DB$201,1,$H$2:$H$201,"&gt;"&amp;H69)+COUNTIFS($A$2:$A$201,$A69,$DB$2:$DB$201,1,$H$2:$H$201,H69,$BA$2:$BA$201,"&gt;"&amp;BA69)=0,1,0),0)</f>
        <v>0</v>
      </c>
      <c r="DD69" s="23" t="n">
        <f aca="false">IF(AND(DB69=1,INT(N(H69))&lt;=Config!$B$6),IF(COUNTIFS($AZ$2:$AZ$201,AZ69,$DB$2:$DB$201,1,$H$2:$H$201,"&gt;"&amp;H69,$H$2:$H$201,"&lt;"&amp;(Config!$B$6+1))+COUNTIFS($AZ$2:$AZ$201,AZ69,$DB$2:$DB$201,1,$H$2:$H$201,H69,$BA$2:$BA$201,"&gt;"&amp;BA69)=0,1,0),0)</f>
        <v>0</v>
      </c>
      <c r="DE69" s="23" t="n">
        <f aca="false">IF(AND(DB69=1,INT(N(H69))&lt;=Config!$B$7),IF(COUNTIFS($AZ$2:$AZ$201,AZ69,$DB$2:$DB$201,1,$H$2:$H$201,"&gt;"&amp;H69,$H$2:$H$201,"&lt;"&amp;(Config!$B$7+1))+COUNTIFS($AZ$2:$AZ$201,AZ69,$DB$2:$DB$201,1,$H$2:$H$201,H69,$BA$2:$BA$201,"&gt;"&amp;BA69)=0,1,0),0)</f>
        <v>0</v>
      </c>
      <c r="DF69" s="23" t="n">
        <f aca="false">IF(AND(DB69=1,INT(N(H69))&lt;=Config!$B$8),IF(COUNTIFS($AZ$2:$AZ$201,AZ69,$DB$2:$DB$201,1,$H$2:$H$201,"&gt;"&amp;H69,$H$2:$H$201,"&lt;"&amp;(Config!$B$8+1))+COUNTIFS($AZ$2:$AZ$201,AZ69,$DB$2:$DB$201,1,$H$2:$H$201,H69,$BA$2:$BA$201,"&gt;"&amp;BA69)=0,1,0),0)</f>
        <v>0</v>
      </c>
      <c r="DG69" s="23" t="n">
        <f aca="false">IF(AND(DB69=1,INT(N(H69))&lt;=Config!$B$5),IF(COUNTIFS($AZ$2:$AZ$201,AZ69,$DB$2:$DB$201,1,$H$2:$H$201,"&gt;"&amp;H69,$H$2:$H$201,"&lt;"&amp;(Config!$B$5+1))+COUNTIFS($AZ$2:$AZ$201,AZ69,$DB$2:$DB$201,1,$H$2:$H$201,H69,$BA$2:$BA$201,"&gt;"&amp;BA69)=0,1,0),0)</f>
        <v>0</v>
      </c>
      <c r="DH69" s="23" t="n">
        <f aca="false">IF(BB69=1,IF(COUNTIFS($AZ$2:$AZ$201,AZ69,$DD$2:$DD$201,1,$AR$2:$AR$201,"Y")&gt;0,1,0),0)</f>
        <v>0</v>
      </c>
      <c r="DI69" s="23" t="n">
        <f aca="false">IF(BB69=1,IF(COUNTIFS($AZ$2:$AZ$201,AZ69,$DE$2:$DE$201,1,$AR$2:$AR$201,"Y")&gt;0,1,0),0)</f>
        <v>0</v>
      </c>
      <c r="DJ69" s="23" t="n">
        <f aca="false">IF(BB69=1,IF(COUNTIFS($AZ$2:$AZ$201,AZ69,$DF$2:$DF$201,1,$AR$2:$AR$201,"Y")&gt;0,1,0),0)</f>
        <v>0</v>
      </c>
      <c r="DK69" s="23" t="n">
        <f aca="false">IF(BB69=1,IF(COUNTIFS($AZ$2:$AZ$201,AZ69,$DG$2:$DG$201,1,$AR$2:$AR$201,"Y")&gt;0,1,0),0)</f>
        <v>0</v>
      </c>
      <c r="DL69" s="23" t="n">
        <f aca="false">IF(AND(BF69=1,INT(N(H69))&lt;=Config!$B$6,DH69=1,EI69=0),1,0)</f>
        <v>0</v>
      </c>
      <c r="DM69" s="23" t="n">
        <f aca="false">IF(AND(BF69=1,INT(N(H69))&lt;=Config!$B$7,DI69=1,EI69=0),1,0)</f>
        <v>0</v>
      </c>
      <c r="DN69" s="23" t="n">
        <f aca="false">IF(AND(BF69=1,INT(N(H69))&lt;=Config!$B$8,DJ69=1,EI69=0),1,0)</f>
        <v>0</v>
      </c>
      <c r="DO69" s="23" t="n">
        <f aca="false">IF(AND(BF69=1,INT(N(H69))&lt;=Config!$B$5,DK69=1,EI69=0),1,0)</f>
        <v>0</v>
      </c>
      <c r="DP69" s="23" t="n">
        <f aca="false">IF(AND(CC69=1,INT(N(H69))&lt;=Config!$B$6,DH69=1,EI69=0),1,0)</f>
        <v>0</v>
      </c>
      <c r="DQ69" s="23" t="n">
        <f aca="false">IF(AND(CC69=1,INT(N(H69))&lt;=Config!$B$7,DI69=1,EI69=0),1,0)</f>
        <v>0</v>
      </c>
      <c r="DR69" s="23" t="n">
        <f aca="false">IF(AND(CC69=1,INT(N(H69))&lt;=Config!$B$8,DJ69=1,EI69=0),1,0)</f>
        <v>0</v>
      </c>
      <c r="DS69" s="23" t="n">
        <f aca="false">IF(AND(CC69=1,INT(N(H69))&lt;=Config!$B$5,DK69=1,EI69=0),1,0)</f>
        <v>0</v>
      </c>
      <c r="DT69" s="23" t="n">
        <f aca="false">IF(AND(CC69=1,INT(N(H69))&lt;=Config!$B$6,DH69=0),1,0)</f>
        <v>0</v>
      </c>
      <c r="DU69" s="23" t="n">
        <f aca="false">IF(AND(CC69=1,INT(N(H69))&lt;=Config!$B$7,DI69=0),1,0)</f>
        <v>0</v>
      </c>
      <c r="DV69" s="23" t="n">
        <f aca="false">IF(AND(CC69=1,INT(N(H69))&lt;=Config!$B$8,DJ69=0),1,0)</f>
        <v>0</v>
      </c>
      <c r="DW69" s="23" t="n">
        <f aca="false">IF(AND(CC69=1,INT(N(H69))&lt;=Config!$B$5,DK69=0),1,0)</f>
        <v>0</v>
      </c>
      <c r="DX69" s="23" t="n">
        <f aca="false">IF(TRIM($A69)="",0,ISTEXT(M69)+ISTEXT(O69)+ISTEXT(Y69)+ISTEXT(Z69)+ISTEXT(AA69)+ISTEXT(AV69))</f>
        <v>0</v>
      </c>
      <c r="DY69" s="23" t="n">
        <f aca="false">IF(BB69=1,IF(H69&lt;&gt;INT(H69),1,0),0)</f>
        <v>0</v>
      </c>
      <c r="DZ69" s="23" t="str">
        <f aca="false">IF(TRIM($A69)="","",IF(TRIM(B69)="",SUBSTITUTE(SUBSTITUTE(SUBSTITUTE(SUBSTITUTE(SUBSTITUTE(SUBSTITUTE(LOWER(TRIM($A69)),"~",""),"*",""),"?",""),"&lt;",""),"&gt;",""),"=",""),SUBSTITUTE(SUBSTITUTE(SUBSTITUTE(SUBSTITUTE(SUBSTITUTE(SUBSTITUTE(LOWER(TRIM(B69)),"~",""),"*",""),"?",""),"&lt;",""),"&gt;",""),"=","")))</f>
        <v/>
      </c>
      <c r="EA69" s="23" t="str">
        <f aca="false">IF(CW69="","",IFERROR(IF(LEFT(LOWER(TRIM(INDEX(Clay_Offices!$A$2:$FZ$601,CW69,Sync!$C$19)&amp;"")),4)="grp-",SUBSTITUTE(SUBSTITUTE(SUBSTITUTE(SUBSTITUTE(SUBSTITUTE(SUBSTITUTE(LOWER(TRIM(INDEX(Clay_Offices!$A$2:$FZ$601,CW69,Sync!$C$19)&amp;"")),"~",""),"*",""),"?",""),"&lt;",""),"&gt;",""),"=",""),""),""))</f>
        <v/>
      </c>
      <c r="EB69" s="23" t="str">
        <f aca="false">IF(EA69&lt;&gt;"",DZ69,"")</f>
        <v/>
      </c>
      <c r="EC69" s="23" t="str">
        <f aca="false">IF(BC69=1,AZ69,"")</f>
        <v/>
      </c>
      <c r="ED69" s="23" t="str">
        <f aca="false">IF(TRIM($A69)="","",IFERROR(INDEX($A$2:$A$201,MATCH(AZ69,$EC$2:$EC$201,0))&amp;"",$A69&amp;""))</f>
        <v/>
      </c>
      <c r="EE69" s="23" t="n">
        <f aca="false">IF(BB69=1,IF(COUNTIFS($A$2:$A$201,$A69,$BB$2:$BB$201,1,$H$2:$H$201,"&lt;"&amp;H69)+COUNTIFS($A$2:$A$201,$A69,$BB$2:$BB$201,1,$H$2:$H$201,H69,$BA$2:$BA$201,"&lt;"&amp;BA69)=0,1,0),0)</f>
        <v>0</v>
      </c>
      <c r="EF69" s="23" t="n">
        <f aca="false">IF(BC69=1,IF(COUNTIFS($AZ$2:$AZ$201,AZ69,$EE$2:$EE$201,1)&gt;1,1,0),0)</f>
        <v>0</v>
      </c>
      <c r="EG69" s="23" t="n">
        <f aca="false">IF(AND(CQ69=1),IF(COUNTIFS($AZ$2:$AZ$201,AZ69,$CQ$2:$CQ$201,1,$H$2:$H$201,"&gt;"&amp;H69)+COUNTIFS($AZ$2:$AZ$201,AZ69,$CQ$2:$CQ$201,1,$H$2:$H$201,H69,$BA$2:$BA$201,"&gt;"&amp;BA69)=0,1,0),0)</f>
        <v>0</v>
      </c>
      <c r="EH69" s="23" t="str">
        <f aca="false">IF(BB69=1,IF(COUNTIFS($AZ$2:$AZ$201,AZ69,$EG$2:$EG$201,1)=0,"",SUMIFS($O$2:$O$201,$AZ$2:$AZ$201,AZ69,$EG$2:$EG$201,1)),"")</f>
        <v/>
      </c>
      <c r="EI69" s="23" t="n">
        <f aca="false">IF(AND(ISNUMBER(EH69),OR(N(EH69)&lt;Config!$B$31,N(EH69)&gt;Config!$B$33)),1,0)</f>
        <v>0</v>
      </c>
      <c r="EJ69" s="23" t="n">
        <f aca="false">IF(AND(ISNUMBER(EH69),N(EH69)&gt;=Config!$B$31,N(EH69)&lt;Config!$B$32),1,0)</f>
        <v>0</v>
      </c>
      <c r="EK69" s="23" t="n">
        <f aca="false">IF(AND(BF69=1,INT(N(H69))&lt;=Config!$B$6,DH69=1,EI69=1),1,0)</f>
        <v>0</v>
      </c>
      <c r="EL69" s="23" t="n">
        <f aca="false">IF(AND(BF69=1,INT(N(H69))&lt;=Config!$B$7,DI69=1,EI69=1),1,0)</f>
        <v>0</v>
      </c>
      <c r="EM69" s="23" t="n">
        <f aca="false">IF(AND(BF69=1,INT(N(H69))&lt;=Config!$B$8,DJ69=1,EI69=1),1,0)</f>
        <v>0</v>
      </c>
      <c r="EN69" s="23" t="n">
        <f aca="false">IF(AND(BF69=1,INT(N(H69))&lt;=Config!$B$5,DK69=1,EI69=1),1,0)</f>
        <v>0</v>
      </c>
      <c r="EO69" s="23" t="n">
        <f aca="false">IF(AND(DL69=1,EJ69=1),1,0)</f>
        <v>0</v>
      </c>
      <c r="EP69" s="23" t="n">
        <f aca="false">IF(AND(DM69=1,EJ69=1),1,0)</f>
        <v>0</v>
      </c>
      <c r="EQ69" s="23" t="n">
        <f aca="false">IF(AND(DN69=1,EJ69=1),1,0)</f>
        <v>0</v>
      </c>
      <c r="ER69" s="23" t="n">
        <f aca="false">IF(AND(DO69=1,EJ69=1),1,0)</f>
        <v>0</v>
      </c>
    </row>
    <row r="70" customFormat="false" ht="15" hidden="false" customHeight="false" outlineLevel="0" collapsed="false">
      <c r="G70" s="32"/>
      <c r="H70" s="33"/>
      <c r="I70" s="32"/>
      <c r="L70" s="32"/>
      <c r="Q70" s="32"/>
      <c r="U70" s="32"/>
      <c r="W70" s="32"/>
      <c r="AC70" s="32"/>
      <c r="AF70" s="32"/>
      <c r="AI70" s="32"/>
      <c r="AJ70" s="32"/>
      <c r="AN70" s="32"/>
      <c r="AR70" s="32"/>
      <c r="AT70" s="32"/>
      <c r="AU70" s="32"/>
      <c r="AW70" s="32"/>
      <c r="AY70" s="34" t="str">
        <f aca="false">IF(TRIM($A70)="","",IF(AND(LEFT($A70,6)="SAMPLE",Config!$B$19&lt;&gt;"Y"),"",IF(NOT(ISNUMBER(H70)),"call_date is blank or not a date",IF(Sync!$C$5="","Clay paste is empty or has no row_id column: paste the Clay export on Clay_Offices",IF(CW70="","row_id not found in the Clay paste: add the Clay row or fix the row_id",IF(AND(ISNUMBER(CY70),CY70&gt;=1,CY70&lt;=5),"Clay status is "&amp;CX70&amp;": set call_done or later",IF(AND(BD70=1,CZ70&lt;&gt;BZ70),"Clay yes_in_principle should be "&amp;BZ70,IF(AND(BD70=1,DA70&lt;&gt;H70),"Clay call_date should be "&amp;TEXT(H70,"yyyy-mm-dd"),""))))))))</f>
        <v/>
      </c>
      <c r="AZ70" s="23" t="str">
        <f aca="false">IF(TRIM($A70)="","",IF(TRIM(C70)&lt;&gt;"",SUBSTITUTE(SUBSTITUTE(SUBSTITUTE(SUBSTITUTE(SUBSTITUTE(SUBSTITUTE(LOWER(TRIM(C70)),"~",""),"*",""),"?",""),"&lt;",""),"&gt;",""),"=",""),IF(EA70&lt;&gt;"",EA70,IFERROR(INDEX($EA$2:$EA$201,MATCH(DZ70,$EB$2:$EB$201,0)),DZ70))))</f>
        <v/>
      </c>
      <c r="BA70" s="23" t="n">
        <f aca="false">ROW()</f>
        <v>70</v>
      </c>
      <c r="BB70" s="23" t="n">
        <f aca="false">IF(AND(TRIM($A70)&lt;&gt;"",ISNUMBER(H70)),IF(AND(LEFT($A70,6)="SAMPLE",Config!$B$19&lt;&gt;"Y"),0,1),0)</f>
        <v>0</v>
      </c>
      <c r="BC70" s="23" t="n">
        <f aca="false">IF(BB70=1,IF(COUNTIFS($AZ$2:$AZ$201,AZ70,$BB$2:$BB$201,1,$H$2:$H$201,"&lt;"&amp;H70)+COUNTIFS($AZ$2:$AZ$201,AZ70,$BB$2:$BB$201,1,$H$2:$H$201,H70,$BA$2:$BA$201,"&lt;"&amp;BA70)=0,1,0),0)</f>
        <v>0</v>
      </c>
      <c r="BD70" s="23" t="n">
        <f aca="false">IF(BB70=1,IF(COUNTIFS($A$2:$A$201,$A70,$BB$2:$BB$201,1,$H$2:$H$201,"&gt;"&amp;H70)+COUNTIFS($A$2:$A$201,$A70,$BB$2:$BB$201,1,$H$2:$H$201,H70,$BA$2:$BA$201,"&gt;"&amp;BA70)=0,1,0),0)</f>
        <v>0</v>
      </c>
      <c r="BE70" s="23" t="n">
        <f aca="false">IF(AND(BB70=1,AR70="Y",AC70="Y",TRIM(AH70)&lt;&gt;""),1,0)</f>
        <v>0</v>
      </c>
      <c r="BF70" s="23" t="n">
        <f aca="false">IF(BE70=1,IF(COUNTIFS($AZ$2:$AZ$201,AZ70,$BE$2:$BE$201,1,$H$2:$H$201,"&lt;"&amp;H70)+COUNTIFS($AZ$2:$AZ$201,AZ70,$BE$2:$BE$201,1,$H$2:$H$201,H70,$BA$2:$BA$201,"&lt;"&amp;BA70)=0,1,0),0)</f>
        <v>0</v>
      </c>
      <c r="BG70" s="23" t="n">
        <f aca="false">IF(AND(BB70=1,AR70="Y",BE70=0),1,0)</f>
        <v>0</v>
      </c>
      <c r="BH70" s="23" t="n">
        <f aca="false">IF(AND(BB70=1,ISNUMBER(Y70)),1,0)</f>
        <v>0</v>
      </c>
      <c r="BI70" s="23" t="n">
        <f aca="false">IF(BH70=1,IF(COUNTIFS($AZ$2:$AZ$201,AZ70,$BH$2:$BH$201,1,$H$2:$H$201,"&lt;"&amp;H70)+COUNTIFS($AZ$2:$AZ$201,AZ70,$BH$2:$BH$201,1,$H$2:$H$201,H70,$BA$2:$BA$201,"&lt;"&amp;BA70)=0,1,0),0)</f>
        <v>0</v>
      </c>
      <c r="BJ70" s="23" t="str">
        <f aca="false">IF(AND(BI70=1,INT(N(H70))&lt;=Config!$B$6),Y70,"")</f>
        <v/>
      </c>
      <c r="BK70" s="23" t="str">
        <f aca="false">IF(AND(BI70=1,INT(N(H70))&lt;=Config!$B$7),Y70,"")</f>
        <v/>
      </c>
      <c r="BL70" s="23" t="str">
        <f aca="false">IF(AND(BI70=1,INT(N(H70))&lt;=Config!$B$8),Y70,"")</f>
        <v/>
      </c>
      <c r="BM70" s="23" t="str">
        <f aca="false">IF(AND(BI70=1,INT(N(H70))&lt;=Config!$B$5),Y70,"")</f>
        <v/>
      </c>
      <c r="BN70" s="23" t="n">
        <f aca="false">IF(CD70=1,IF(COUNTIFS($AZ$2:$AZ$201,AZ70,$CD$2:$CD$201,1,$H$2:$H$201,"&lt;"&amp;H70)+COUNTIFS($AZ$2:$AZ$201,AZ70,$CD$2:$CD$201,1,$H$2:$H$201,H70,$BA$2:$BA$201,"&lt;"&amp;BA70)=0,1,0),0)</f>
        <v>0</v>
      </c>
      <c r="BO70" s="23" t="n">
        <f aca="false">IF(AND(BB70=1,ISNUMBER(M70)),1,0)</f>
        <v>0</v>
      </c>
      <c r="BP70" s="23" t="n">
        <f aca="false">IF(BO70=1,IF(COUNTIFS($AZ$2:$AZ$201,AZ70,$BO$2:$BO$201,1,$H$2:$H$201,"&lt;"&amp;H70)+COUNTIFS($AZ$2:$AZ$201,AZ70,$BO$2:$BO$201,1,$H$2:$H$201,H70,$BA$2:$BA$201,"&lt;"&amp;BA70)=0,1,0),0)</f>
        <v>0</v>
      </c>
      <c r="BQ70" s="23" t="str">
        <f aca="false">IF(AND(BP70=1,INT(N(H70))&lt;=Config!$B$5),M70,"")</f>
        <v/>
      </c>
      <c r="BR70" s="23" t="n">
        <f aca="false">IF(AND(BB70=1,OR(TRIM(X70)&lt;&gt;"",ISNUMBER(Y70))),1,0)</f>
        <v>0</v>
      </c>
      <c r="BS70" s="23" t="n">
        <f aca="false">IF(BR70=1,IF(COUNTIFS($AZ$2:$AZ$201,AZ70,$BR$2:$BR$201,1,$H$2:$H$201,"&lt;"&amp;H70)+COUNTIFS($AZ$2:$AZ$201,AZ70,$BR$2:$BR$201,1,$H$2:$H$201,H70,$BA$2:$BA$201,"&lt;"&amp;BA70)=0,1,0),0)</f>
        <v>0</v>
      </c>
      <c r="BT70" s="23" t="str">
        <f aca="false">IF(BS70=1,AZ70,"")</f>
        <v/>
      </c>
      <c r="BU70" s="23" t="n">
        <f aca="false">IF(AND(BB70=1,W70="Y",TRIM(X70)=""),1,0)</f>
        <v>0</v>
      </c>
      <c r="BV70" s="23" t="str">
        <f aca="false">IF(BB70=1,AN70&amp;"","")</f>
        <v/>
      </c>
      <c r="BW70" s="23" t="str">
        <f aca="false">IF(BB70=1,AO70&amp;"","")</f>
        <v/>
      </c>
      <c r="BX70" s="23" t="str">
        <f aca="false">IF(BB70=1,AP70&amp;"","")</f>
        <v/>
      </c>
      <c r="BY70" s="23" t="str">
        <f aca="false">IF(AND(BB70=1,ISNUMBER(AV70),INT(N(H70))&lt;=Config!$B$5),AV70,"")</f>
        <v/>
      </c>
      <c r="BZ70" s="23" t="str">
        <f aca="false">IF(BB70=1,IF(COUNTIFS($A$2:$A$201,$A70,$DC$2:$DC$201,1,$AR$2:$AR$201,"Y")&gt;0,"Y","N"),"")</f>
        <v/>
      </c>
      <c r="CA70" s="23" t="n">
        <f aca="false">IF(AND(BB70=1,AR70="maybe"),1,0)</f>
        <v>0</v>
      </c>
      <c r="CB70" s="23" t="n">
        <f aca="false">IF(CA70=1,IF(COUNTIFS($AZ$2:$AZ$201,AZ70,$CA$2:$CA$201,1,$H$2:$H$201,"&lt;"&amp;H70)+COUNTIFS($AZ$2:$AZ$201,AZ70,$CA$2:$CA$201,1,$H$2:$H$201,H70,$BA$2:$BA$201,"&lt;"&amp;BA70)=0,1,0),0)</f>
        <v>0</v>
      </c>
      <c r="CC70" s="23" t="n">
        <f aca="false">IF(AND(BB70=1,AR70="Y"),IF(COUNTIFS($AZ$2:$AZ$201,AZ70,$AR$2:$AR$201,"Y",$BB$2:$BB$201,1,$H$2:$H$201,"&lt;"&amp;H70)+COUNTIFS($AZ$2:$AZ$201,AZ70,$AR$2:$AR$201,"Y",$BB$2:$BB$201,1,$H$2:$H$201,H70,$BA$2:$BA$201,"&lt;"&amp;BA70)=0,1,0),0)</f>
        <v>0</v>
      </c>
      <c r="CD70" s="23" t="n">
        <f aca="false">IF(AND(BH70=1,N(Y70)&gt;=Config!$B$15),1,0)</f>
        <v>0</v>
      </c>
      <c r="CE70" s="23" t="n">
        <f aca="false">IF(AND(BB70=1,AT70="Y"),1,0)</f>
        <v>0</v>
      </c>
      <c r="CF70" s="23" t="n">
        <f aca="false">IF(CE70=1,IF(COUNTIFS($AZ$2:$AZ$201,AZ70,$CE$2:$CE$201,1,$H$2:$H$201,"&lt;"&amp;H70)+COUNTIFS($AZ$2:$AZ$201,AZ70,$CE$2:$CE$201,1,$H$2:$H$201,H70,$BA$2:$BA$201,"&lt;"&amp;BA70)=0,1,0),0)</f>
        <v>0</v>
      </c>
      <c r="CG70" s="23" t="n">
        <f aca="false">IF(AND(BB70=1,G70="warm-intro"),1,0)</f>
        <v>0</v>
      </c>
      <c r="CH70" s="23" t="n">
        <f aca="false">IF(CG70=1,IF(COUNTIFS($AZ$2:$AZ$201,AZ70,$CG$2:$CG$201,1,$H$2:$H$201,"&lt;"&amp;H70)+COUNTIFS($AZ$2:$AZ$201,AZ70,$CG$2:$CG$201,1,$H$2:$H$201,H70,$BA$2:$BA$201,"&lt;"&amp;BA70)=0,1,0),0)</f>
        <v>0</v>
      </c>
      <c r="CI70" s="23" t="n">
        <f aca="false">IF(AND(BB70=1,Q70="Y"),1,0)</f>
        <v>0</v>
      </c>
      <c r="CJ70" s="23" t="n">
        <f aca="false">IF(CI70=1,IF(COUNTIFS($AZ$2:$AZ$201,AZ70,$CI$2:$CI$201,1,$H$2:$H$201,"&lt;"&amp;H70)+COUNTIFS($AZ$2:$AZ$201,AZ70,$CI$2:$CI$201,1,$H$2:$H$201,H70,$BA$2:$BA$201,"&lt;"&amp;BA70)=0,1,0),0)</f>
        <v>0</v>
      </c>
      <c r="CK70" s="23" t="n">
        <f aca="false">IF(AND(BB70=1,AF70="Y"),1,0)</f>
        <v>0</v>
      </c>
      <c r="CL70" s="23" t="n">
        <f aca="false">IF(CK70=1,IF(COUNTIFS($AZ$2:$AZ$201,AZ70,$CK$2:$CK$201,1,$H$2:$H$201,"&lt;"&amp;H70)+COUNTIFS($AZ$2:$AZ$201,AZ70,$CK$2:$CK$201,1,$H$2:$H$201,H70,$BA$2:$BA$201,"&lt;"&amp;BA70)=0,1,0),0)</f>
        <v>0</v>
      </c>
      <c r="CM70" s="23" t="n">
        <f aca="false">IF(AND(BB70=1,U70="Y"),1,0)</f>
        <v>0</v>
      </c>
      <c r="CN70" s="23" t="n">
        <f aca="false">IF(CM70=1,IF(COUNTIFS($AZ$2:$AZ$201,AZ70,$CM$2:$CM$201,1,$H$2:$H$201,"&lt;"&amp;H70)+COUNTIFS($AZ$2:$AZ$201,AZ70,$CM$2:$CM$201,1,$H$2:$H$201,H70,$BA$2:$BA$201,"&lt;"&amp;BA70)=0,1,0),0)</f>
        <v>0</v>
      </c>
      <c r="CO70" s="23" t="n">
        <f aca="false">IF(AND(BB70=1,L70="Y"),1,0)</f>
        <v>0</v>
      </c>
      <c r="CP70" s="23" t="n">
        <f aca="false">IF(CO70=1,IF(COUNTIFS($AZ$2:$AZ$201,AZ70,$CO$2:$CO$201,1,$H$2:$H$201,"&lt;"&amp;H70)+COUNTIFS($AZ$2:$AZ$201,AZ70,$CO$2:$CO$201,1,$H$2:$H$201,H70,$BA$2:$BA$201,"&lt;"&amp;BA70)=0,1,0),0)</f>
        <v>0</v>
      </c>
      <c r="CQ70" s="23" t="n">
        <f aca="false">IF(AND(BB70=1,ISNUMBER(O70)),1,0)</f>
        <v>0</v>
      </c>
      <c r="CR70" s="23" t="n">
        <f aca="false">IF(CQ70=1,IF(COUNTIFS($AZ$2:$AZ$201,AZ70,$CQ$2:$CQ$201,1,$H$2:$H$201,"&lt;"&amp;H70)+COUNTIFS($AZ$2:$AZ$201,AZ70,$CQ$2:$CQ$201,1,$H$2:$H$201,H70,$BA$2:$BA$201,"&lt;"&amp;BA70)=0,1,0),0)</f>
        <v>0</v>
      </c>
      <c r="CS70" s="23" t="str">
        <f aca="false">IF(AND(CR70=1,INT(N(H70))&lt;=Config!$B$5),O70,"")</f>
        <v/>
      </c>
      <c r="CT70" s="23" t="str">
        <f aca="false">IF(AND(BB70=1,INT(N(H70))&lt;=Config!$B$5),AG70&amp;"","")</f>
        <v/>
      </c>
      <c r="CU70" s="23" t="n">
        <f aca="false">IF(AND(BB70=1,AU70="Y"),1,0)</f>
        <v>0</v>
      </c>
      <c r="CV70" s="23" t="n">
        <f aca="false">IF(CU70=1,IF(COUNTIFS($AZ$2:$AZ$201,AZ70,$CU$2:$CU$201,1,$H$2:$H$201,"&lt;"&amp;H70)+COUNTIFS($AZ$2:$AZ$201,AZ70,$CU$2:$CU$201,1,$H$2:$H$201,H70,$BA$2:$BA$201,"&lt;"&amp;BA70)=0,1,0),0)</f>
        <v>0</v>
      </c>
      <c r="CW70" s="23" t="str">
        <f aca="false">IF(BB70=1,IFERROR(MATCH($A70,INDEX(Clay_Offices!$A$2:$FZ$601,0,Sync!$C$5),0),""),"")</f>
        <v/>
      </c>
      <c r="CX70" s="23" t="str">
        <f aca="false">IF(CW70="","",IFERROR(INDEX(Clay_Offices!$A$2:$FZ$601,CW70,Sync!$C$7)&amp;"",""))</f>
        <v/>
      </c>
      <c r="CY70" s="23" t="str">
        <f aca="false">IF(CX70="","",IFERROR(INDEX(Lists!$K$2:$K$15,MATCH(CX70,Lists!$J$2:$J$15,0)),""))</f>
        <v/>
      </c>
      <c r="CZ70" s="23" t="str">
        <f aca="false">IF(CW70="","",IFERROR(INDEX(Clay_Offices!$A$2:$FZ$601,CW70,Sync!$C$17)&amp;"",""))</f>
        <v/>
      </c>
      <c r="DA70" s="35" t="str">
        <f aca="false">IF(CW70="","",IFERROR(N(INDEX(Clay_Offices!$A$2:$FZ$601,CW70,Sync!$C$16)),0))</f>
        <v/>
      </c>
      <c r="DB70" s="23" t="n">
        <f aca="false">IF(AND(BB70=1,OR(AR70="Y",AR70="N",AR70="maybe")),1,0)</f>
        <v>0</v>
      </c>
      <c r="DC70" s="23" t="n">
        <f aca="false">IF(AND(DB70=1),IF(COUNTIFS($A$2:$A$201,$A70,$DB$2:$DB$201,1,$H$2:$H$201,"&gt;"&amp;H70)+COUNTIFS($A$2:$A$201,$A70,$DB$2:$DB$201,1,$H$2:$H$201,H70,$BA$2:$BA$201,"&gt;"&amp;BA70)=0,1,0),0)</f>
        <v>0</v>
      </c>
      <c r="DD70" s="23" t="n">
        <f aca="false">IF(AND(DB70=1,INT(N(H70))&lt;=Config!$B$6),IF(COUNTIFS($AZ$2:$AZ$201,AZ70,$DB$2:$DB$201,1,$H$2:$H$201,"&gt;"&amp;H70,$H$2:$H$201,"&lt;"&amp;(Config!$B$6+1))+COUNTIFS($AZ$2:$AZ$201,AZ70,$DB$2:$DB$201,1,$H$2:$H$201,H70,$BA$2:$BA$201,"&gt;"&amp;BA70)=0,1,0),0)</f>
        <v>0</v>
      </c>
      <c r="DE70" s="23" t="n">
        <f aca="false">IF(AND(DB70=1,INT(N(H70))&lt;=Config!$B$7),IF(COUNTIFS($AZ$2:$AZ$201,AZ70,$DB$2:$DB$201,1,$H$2:$H$201,"&gt;"&amp;H70,$H$2:$H$201,"&lt;"&amp;(Config!$B$7+1))+COUNTIFS($AZ$2:$AZ$201,AZ70,$DB$2:$DB$201,1,$H$2:$H$201,H70,$BA$2:$BA$201,"&gt;"&amp;BA70)=0,1,0),0)</f>
        <v>0</v>
      </c>
      <c r="DF70" s="23" t="n">
        <f aca="false">IF(AND(DB70=1,INT(N(H70))&lt;=Config!$B$8),IF(COUNTIFS($AZ$2:$AZ$201,AZ70,$DB$2:$DB$201,1,$H$2:$H$201,"&gt;"&amp;H70,$H$2:$H$201,"&lt;"&amp;(Config!$B$8+1))+COUNTIFS($AZ$2:$AZ$201,AZ70,$DB$2:$DB$201,1,$H$2:$H$201,H70,$BA$2:$BA$201,"&gt;"&amp;BA70)=0,1,0),0)</f>
        <v>0</v>
      </c>
      <c r="DG70" s="23" t="n">
        <f aca="false">IF(AND(DB70=1,INT(N(H70))&lt;=Config!$B$5),IF(COUNTIFS($AZ$2:$AZ$201,AZ70,$DB$2:$DB$201,1,$H$2:$H$201,"&gt;"&amp;H70,$H$2:$H$201,"&lt;"&amp;(Config!$B$5+1))+COUNTIFS($AZ$2:$AZ$201,AZ70,$DB$2:$DB$201,1,$H$2:$H$201,H70,$BA$2:$BA$201,"&gt;"&amp;BA70)=0,1,0),0)</f>
        <v>0</v>
      </c>
      <c r="DH70" s="23" t="n">
        <f aca="false">IF(BB70=1,IF(COUNTIFS($AZ$2:$AZ$201,AZ70,$DD$2:$DD$201,1,$AR$2:$AR$201,"Y")&gt;0,1,0),0)</f>
        <v>0</v>
      </c>
      <c r="DI70" s="23" t="n">
        <f aca="false">IF(BB70=1,IF(COUNTIFS($AZ$2:$AZ$201,AZ70,$DE$2:$DE$201,1,$AR$2:$AR$201,"Y")&gt;0,1,0),0)</f>
        <v>0</v>
      </c>
      <c r="DJ70" s="23" t="n">
        <f aca="false">IF(BB70=1,IF(COUNTIFS($AZ$2:$AZ$201,AZ70,$DF$2:$DF$201,1,$AR$2:$AR$201,"Y")&gt;0,1,0),0)</f>
        <v>0</v>
      </c>
      <c r="DK70" s="23" t="n">
        <f aca="false">IF(BB70=1,IF(COUNTIFS($AZ$2:$AZ$201,AZ70,$DG$2:$DG$201,1,$AR$2:$AR$201,"Y")&gt;0,1,0),0)</f>
        <v>0</v>
      </c>
      <c r="DL70" s="23" t="n">
        <f aca="false">IF(AND(BF70=1,INT(N(H70))&lt;=Config!$B$6,DH70=1,EI70=0),1,0)</f>
        <v>0</v>
      </c>
      <c r="DM70" s="23" t="n">
        <f aca="false">IF(AND(BF70=1,INT(N(H70))&lt;=Config!$B$7,DI70=1,EI70=0),1,0)</f>
        <v>0</v>
      </c>
      <c r="DN70" s="23" t="n">
        <f aca="false">IF(AND(BF70=1,INT(N(H70))&lt;=Config!$B$8,DJ70=1,EI70=0),1,0)</f>
        <v>0</v>
      </c>
      <c r="DO70" s="23" t="n">
        <f aca="false">IF(AND(BF70=1,INT(N(H70))&lt;=Config!$B$5,DK70=1,EI70=0),1,0)</f>
        <v>0</v>
      </c>
      <c r="DP70" s="23" t="n">
        <f aca="false">IF(AND(CC70=1,INT(N(H70))&lt;=Config!$B$6,DH70=1,EI70=0),1,0)</f>
        <v>0</v>
      </c>
      <c r="DQ70" s="23" t="n">
        <f aca="false">IF(AND(CC70=1,INT(N(H70))&lt;=Config!$B$7,DI70=1,EI70=0),1,0)</f>
        <v>0</v>
      </c>
      <c r="DR70" s="23" t="n">
        <f aca="false">IF(AND(CC70=1,INT(N(H70))&lt;=Config!$B$8,DJ70=1,EI70=0),1,0)</f>
        <v>0</v>
      </c>
      <c r="DS70" s="23" t="n">
        <f aca="false">IF(AND(CC70=1,INT(N(H70))&lt;=Config!$B$5,DK70=1,EI70=0),1,0)</f>
        <v>0</v>
      </c>
      <c r="DT70" s="23" t="n">
        <f aca="false">IF(AND(CC70=1,INT(N(H70))&lt;=Config!$B$6,DH70=0),1,0)</f>
        <v>0</v>
      </c>
      <c r="DU70" s="23" t="n">
        <f aca="false">IF(AND(CC70=1,INT(N(H70))&lt;=Config!$B$7,DI70=0),1,0)</f>
        <v>0</v>
      </c>
      <c r="DV70" s="23" t="n">
        <f aca="false">IF(AND(CC70=1,INT(N(H70))&lt;=Config!$B$8,DJ70=0),1,0)</f>
        <v>0</v>
      </c>
      <c r="DW70" s="23" t="n">
        <f aca="false">IF(AND(CC70=1,INT(N(H70))&lt;=Config!$B$5,DK70=0),1,0)</f>
        <v>0</v>
      </c>
      <c r="DX70" s="23" t="n">
        <f aca="false">IF(TRIM($A70)="",0,ISTEXT(M70)+ISTEXT(O70)+ISTEXT(Y70)+ISTEXT(Z70)+ISTEXT(AA70)+ISTEXT(AV70))</f>
        <v>0</v>
      </c>
      <c r="DY70" s="23" t="n">
        <f aca="false">IF(BB70=1,IF(H70&lt;&gt;INT(H70),1,0),0)</f>
        <v>0</v>
      </c>
      <c r="DZ70" s="23" t="str">
        <f aca="false">IF(TRIM($A70)="","",IF(TRIM(B70)="",SUBSTITUTE(SUBSTITUTE(SUBSTITUTE(SUBSTITUTE(SUBSTITUTE(SUBSTITUTE(LOWER(TRIM($A70)),"~",""),"*",""),"?",""),"&lt;",""),"&gt;",""),"=",""),SUBSTITUTE(SUBSTITUTE(SUBSTITUTE(SUBSTITUTE(SUBSTITUTE(SUBSTITUTE(LOWER(TRIM(B70)),"~",""),"*",""),"?",""),"&lt;",""),"&gt;",""),"=","")))</f>
        <v/>
      </c>
      <c r="EA70" s="23" t="str">
        <f aca="false">IF(CW70="","",IFERROR(IF(LEFT(LOWER(TRIM(INDEX(Clay_Offices!$A$2:$FZ$601,CW70,Sync!$C$19)&amp;"")),4)="grp-",SUBSTITUTE(SUBSTITUTE(SUBSTITUTE(SUBSTITUTE(SUBSTITUTE(SUBSTITUTE(LOWER(TRIM(INDEX(Clay_Offices!$A$2:$FZ$601,CW70,Sync!$C$19)&amp;"")),"~",""),"*",""),"?",""),"&lt;",""),"&gt;",""),"=",""),""),""))</f>
        <v/>
      </c>
      <c r="EB70" s="23" t="str">
        <f aca="false">IF(EA70&lt;&gt;"",DZ70,"")</f>
        <v/>
      </c>
      <c r="EC70" s="23" t="str">
        <f aca="false">IF(BC70=1,AZ70,"")</f>
        <v/>
      </c>
      <c r="ED70" s="23" t="str">
        <f aca="false">IF(TRIM($A70)="","",IFERROR(INDEX($A$2:$A$201,MATCH(AZ70,$EC$2:$EC$201,0))&amp;"",$A70&amp;""))</f>
        <v/>
      </c>
      <c r="EE70" s="23" t="n">
        <f aca="false">IF(BB70=1,IF(COUNTIFS($A$2:$A$201,$A70,$BB$2:$BB$201,1,$H$2:$H$201,"&lt;"&amp;H70)+COUNTIFS($A$2:$A$201,$A70,$BB$2:$BB$201,1,$H$2:$H$201,H70,$BA$2:$BA$201,"&lt;"&amp;BA70)=0,1,0),0)</f>
        <v>0</v>
      </c>
      <c r="EF70" s="23" t="n">
        <f aca="false">IF(BC70=1,IF(COUNTIFS($AZ$2:$AZ$201,AZ70,$EE$2:$EE$201,1)&gt;1,1,0),0)</f>
        <v>0</v>
      </c>
      <c r="EG70" s="23" t="n">
        <f aca="false">IF(AND(CQ70=1),IF(COUNTIFS($AZ$2:$AZ$201,AZ70,$CQ$2:$CQ$201,1,$H$2:$H$201,"&gt;"&amp;H70)+COUNTIFS($AZ$2:$AZ$201,AZ70,$CQ$2:$CQ$201,1,$H$2:$H$201,H70,$BA$2:$BA$201,"&gt;"&amp;BA70)=0,1,0),0)</f>
        <v>0</v>
      </c>
      <c r="EH70" s="23" t="str">
        <f aca="false">IF(BB70=1,IF(COUNTIFS($AZ$2:$AZ$201,AZ70,$EG$2:$EG$201,1)=0,"",SUMIFS($O$2:$O$201,$AZ$2:$AZ$201,AZ70,$EG$2:$EG$201,1)),"")</f>
        <v/>
      </c>
      <c r="EI70" s="23" t="n">
        <f aca="false">IF(AND(ISNUMBER(EH70),OR(N(EH70)&lt;Config!$B$31,N(EH70)&gt;Config!$B$33)),1,0)</f>
        <v>0</v>
      </c>
      <c r="EJ70" s="23" t="n">
        <f aca="false">IF(AND(ISNUMBER(EH70),N(EH70)&gt;=Config!$B$31,N(EH70)&lt;Config!$B$32),1,0)</f>
        <v>0</v>
      </c>
      <c r="EK70" s="23" t="n">
        <f aca="false">IF(AND(BF70=1,INT(N(H70))&lt;=Config!$B$6,DH70=1,EI70=1),1,0)</f>
        <v>0</v>
      </c>
      <c r="EL70" s="23" t="n">
        <f aca="false">IF(AND(BF70=1,INT(N(H70))&lt;=Config!$B$7,DI70=1,EI70=1),1,0)</f>
        <v>0</v>
      </c>
      <c r="EM70" s="23" t="n">
        <f aca="false">IF(AND(BF70=1,INT(N(H70))&lt;=Config!$B$8,DJ70=1,EI70=1),1,0)</f>
        <v>0</v>
      </c>
      <c r="EN70" s="23" t="n">
        <f aca="false">IF(AND(BF70=1,INT(N(H70))&lt;=Config!$B$5,DK70=1,EI70=1),1,0)</f>
        <v>0</v>
      </c>
      <c r="EO70" s="23" t="n">
        <f aca="false">IF(AND(DL70=1,EJ70=1),1,0)</f>
        <v>0</v>
      </c>
      <c r="EP70" s="23" t="n">
        <f aca="false">IF(AND(DM70=1,EJ70=1),1,0)</f>
        <v>0</v>
      </c>
      <c r="EQ70" s="23" t="n">
        <f aca="false">IF(AND(DN70=1,EJ70=1),1,0)</f>
        <v>0</v>
      </c>
      <c r="ER70" s="23" t="n">
        <f aca="false">IF(AND(DO70=1,EJ70=1),1,0)</f>
        <v>0</v>
      </c>
    </row>
    <row r="71" customFormat="false" ht="15" hidden="false" customHeight="false" outlineLevel="0" collapsed="false">
      <c r="G71" s="32"/>
      <c r="H71" s="33"/>
      <c r="I71" s="32"/>
      <c r="L71" s="32"/>
      <c r="Q71" s="32"/>
      <c r="U71" s="32"/>
      <c r="W71" s="32"/>
      <c r="AC71" s="32"/>
      <c r="AF71" s="32"/>
      <c r="AI71" s="32"/>
      <c r="AJ71" s="32"/>
      <c r="AN71" s="32"/>
      <c r="AR71" s="32"/>
      <c r="AT71" s="32"/>
      <c r="AU71" s="32"/>
      <c r="AW71" s="32"/>
      <c r="AY71" s="34" t="str">
        <f aca="false">IF(TRIM($A71)="","",IF(AND(LEFT($A71,6)="SAMPLE",Config!$B$19&lt;&gt;"Y"),"",IF(NOT(ISNUMBER(H71)),"call_date is blank or not a date",IF(Sync!$C$5="","Clay paste is empty or has no row_id column: paste the Clay export on Clay_Offices",IF(CW71="","row_id not found in the Clay paste: add the Clay row or fix the row_id",IF(AND(ISNUMBER(CY71),CY71&gt;=1,CY71&lt;=5),"Clay status is "&amp;CX71&amp;": set call_done or later",IF(AND(BD71=1,CZ71&lt;&gt;BZ71),"Clay yes_in_principle should be "&amp;BZ71,IF(AND(BD71=1,DA71&lt;&gt;H71),"Clay call_date should be "&amp;TEXT(H71,"yyyy-mm-dd"),""))))))))</f>
        <v/>
      </c>
      <c r="AZ71" s="23" t="str">
        <f aca="false">IF(TRIM($A71)="","",IF(TRIM(C71)&lt;&gt;"",SUBSTITUTE(SUBSTITUTE(SUBSTITUTE(SUBSTITUTE(SUBSTITUTE(SUBSTITUTE(LOWER(TRIM(C71)),"~",""),"*",""),"?",""),"&lt;",""),"&gt;",""),"=",""),IF(EA71&lt;&gt;"",EA71,IFERROR(INDEX($EA$2:$EA$201,MATCH(DZ71,$EB$2:$EB$201,0)),DZ71))))</f>
        <v/>
      </c>
      <c r="BA71" s="23" t="n">
        <f aca="false">ROW()</f>
        <v>71</v>
      </c>
      <c r="BB71" s="23" t="n">
        <f aca="false">IF(AND(TRIM($A71)&lt;&gt;"",ISNUMBER(H71)),IF(AND(LEFT($A71,6)="SAMPLE",Config!$B$19&lt;&gt;"Y"),0,1),0)</f>
        <v>0</v>
      </c>
      <c r="BC71" s="23" t="n">
        <f aca="false">IF(BB71=1,IF(COUNTIFS($AZ$2:$AZ$201,AZ71,$BB$2:$BB$201,1,$H$2:$H$201,"&lt;"&amp;H71)+COUNTIFS($AZ$2:$AZ$201,AZ71,$BB$2:$BB$201,1,$H$2:$H$201,H71,$BA$2:$BA$201,"&lt;"&amp;BA71)=0,1,0),0)</f>
        <v>0</v>
      </c>
      <c r="BD71" s="23" t="n">
        <f aca="false">IF(BB71=1,IF(COUNTIFS($A$2:$A$201,$A71,$BB$2:$BB$201,1,$H$2:$H$201,"&gt;"&amp;H71)+COUNTIFS($A$2:$A$201,$A71,$BB$2:$BB$201,1,$H$2:$H$201,H71,$BA$2:$BA$201,"&gt;"&amp;BA71)=0,1,0),0)</f>
        <v>0</v>
      </c>
      <c r="BE71" s="23" t="n">
        <f aca="false">IF(AND(BB71=1,AR71="Y",AC71="Y",TRIM(AH71)&lt;&gt;""),1,0)</f>
        <v>0</v>
      </c>
      <c r="BF71" s="23" t="n">
        <f aca="false">IF(BE71=1,IF(COUNTIFS($AZ$2:$AZ$201,AZ71,$BE$2:$BE$201,1,$H$2:$H$201,"&lt;"&amp;H71)+COUNTIFS($AZ$2:$AZ$201,AZ71,$BE$2:$BE$201,1,$H$2:$H$201,H71,$BA$2:$BA$201,"&lt;"&amp;BA71)=0,1,0),0)</f>
        <v>0</v>
      </c>
      <c r="BG71" s="23" t="n">
        <f aca="false">IF(AND(BB71=1,AR71="Y",BE71=0),1,0)</f>
        <v>0</v>
      </c>
      <c r="BH71" s="23" t="n">
        <f aca="false">IF(AND(BB71=1,ISNUMBER(Y71)),1,0)</f>
        <v>0</v>
      </c>
      <c r="BI71" s="23" t="n">
        <f aca="false">IF(BH71=1,IF(COUNTIFS($AZ$2:$AZ$201,AZ71,$BH$2:$BH$201,1,$H$2:$H$201,"&lt;"&amp;H71)+COUNTIFS($AZ$2:$AZ$201,AZ71,$BH$2:$BH$201,1,$H$2:$H$201,H71,$BA$2:$BA$201,"&lt;"&amp;BA71)=0,1,0),0)</f>
        <v>0</v>
      </c>
      <c r="BJ71" s="23" t="str">
        <f aca="false">IF(AND(BI71=1,INT(N(H71))&lt;=Config!$B$6),Y71,"")</f>
        <v/>
      </c>
      <c r="BK71" s="23" t="str">
        <f aca="false">IF(AND(BI71=1,INT(N(H71))&lt;=Config!$B$7),Y71,"")</f>
        <v/>
      </c>
      <c r="BL71" s="23" t="str">
        <f aca="false">IF(AND(BI71=1,INT(N(H71))&lt;=Config!$B$8),Y71,"")</f>
        <v/>
      </c>
      <c r="BM71" s="23" t="str">
        <f aca="false">IF(AND(BI71=1,INT(N(H71))&lt;=Config!$B$5),Y71,"")</f>
        <v/>
      </c>
      <c r="BN71" s="23" t="n">
        <f aca="false">IF(CD71=1,IF(COUNTIFS($AZ$2:$AZ$201,AZ71,$CD$2:$CD$201,1,$H$2:$H$201,"&lt;"&amp;H71)+COUNTIFS($AZ$2:$AZ$201,AZ71,$CD$2:$CD$201,1,$H$2:$H$201,H71,$BA$2:$BA$201,"&lt;"&amp;BA71)=0,1,0),0)</f>
        <v>0</v>
      </c>
      <c r="BO71" s="23" t="n">
        <f aca="false">IF(AND(BB71=1,ISNUMBER(M71)),1,0)</f>
        <v>0</v>
      </c>
      <c r="BP71" s="23" t="n">
        <f aca="false">IF(BO71=1,IF(COUNTIFS($AZ$2:$AZ$201,AZ71,$BO$2:$BO$201,1,$H$2:$H$201,"&lt;"&amp;H71)+COUNTIFS($AZ$2:$AZ$201,AZ71,$BO$2:$BO$201,1,$H$2:$H$201,H71,$BA$2:$BA$201,"&lt;"&amp;BA71)=0,1,0),0)</f>
        <v>0</v>
      </c>
      <c r="BQ71" s="23" t="str">
        <f aca="false">IF(AND(BP71=1,INT(N(H71))&lt;=Config!$B$5),M71,"")</f>
        <v/>
      </c>
      <c r="BR71" s="23" t="n">
        <f aca="false">IF(AND(BB71=1,OR(TRIM(X71)&lt;&gt;"",ISNUMBER(Y71))),1,0)</f>
        <v>0</v>
      </c>
      <c r="BS71" s="23" t="n">
        <f aca="false">IF(BR71=1,IF(COUNTIFS($AZ$2:$AZ$201,AZ71,$BR$2:$BR$201,1,$H$2:$H$201,"&lt;"&amp;H71)+COUNTIFS($AZ$2:$AZ$201,AZ71,$BR$2:$BR$201,1,$H$2:$H$201,H71,$BA$2:$BA$201,"&lt;"&amp;BA71)=0,1,0),0)</f>
        <v>0</v>
      </c>
      <c r="BT71" s="23" t="str">
        <f aca="false">IF(BS71=1,AZ71,"")</f>
        <v/>
      </c>
      <c r="BU71" s="23" t="n">
        <f aca="false">IF(AND(BB71=1,W71="Y",TRIM(X71)=""),1,0)</f>
        <v>0</v>
      </c>
      <c r="BV71" s="23" t="str">
        <f aca="false">IF(BB71=1,AN71&amp;"","")</f>
        <v/>
      </c>
      <c r="BW71" s="23" t="str">
        <f aca="false">IF(BB71=1,AO71&amp;"","")</f>
        <v/>
      </c>
      <c r="BX71" s="23" t="str">
        <f aca="false">IF(BB71=1,AP71&amp;"","")</f>
        <v/>
      </c>
      <c r="BY71" s="23" t="str">
        <f aca="false">IF(AND(BB71=1,ISNUMBER(AV71),INT(N(H71))&lt;=Config!$B$5),AV71,"")</f>
        <v/>
      </c>
      <c r="BZ71" s="23" t="str">
        <f aca="false">IF(BB71=1,IF(COUNTIFS($A$2:$A$201,$A71,$DC$2:$DC$201,1,$AR$2:$AR$201,"Y")&gt;0,"Y","N"),"")</f>
        <v/>
      </c>
      <c r="CA71" s="23" t="n">
        <f aca="false">IF(AND(BB71=1,AR71="maybe"),1,0)</f>
        <v>0</v>
      </c>
      <c r="CB71" s="23" t="n">
        <f aca="false">IF(CA71=1,IF(COUNTIFS($AZ$2:$AZ$201,AZ71,$CA$2:$CA$201,1,$H$2:$H$201,"&lt;"&amp;H71)+COUNTIFS($AZ$2:$AZ$201,AZ71,$CA$2:$CA$201,1,$H$2:$H$201,H71,$BA$2:$BA$201,"&lt;"&amp;BA71)=0,1,0),0)</f>
        <v>0</v>
      </c>
      <c r="CC71" s="23" t="n">
        <f aca="false">IF(AND(BB71=1,AR71="Y"),IF(COUNTIFS($AZ$2:$AZ$201,AZ71,$AR$2:$AR$201,"Y",$BB$2:$BB$201,1,$H$2:$H$201,"&lt;"&amp;H71)+COUNTIFS($AZ$2:$AZ$201,AZ71,$AR$2:$AR$201,"Y",$BB$2:$BB$201,1,$H$2:$H$201,H71,$BA$2:$BA$201,"&lt;"&amp;BA71)=0,1,0),0)</f>
        <v>0</v>
      </c>
      <c r="CD71" s="23" t="n">
        <f aca="false">IF(AND(BH71=1,N(Y71)&gt;=Config!$B$15),1,0)</f>
        <v>0</v>
      </c>
      <c r="CE71" s="23" t="n">
        <f aca="false">IF(AND(BB71=1,AT71="Y"),1,0)</f>
        <v>0</v>
      </c>
      <c r="CF71" s="23" t="n">
        <f aca="false">IF(CE71=1,IF(COUNTIFS($AZ$2:$AZ$201,AZ71,$CE$2:$CE$201,1,$H$2:$H$201,"&lt;"&amp;H71)+COUNTIFS($AZ$2:$AZ$201,AZ71,$CE$2:$CE$201,1,$H$2:$H$201,H71,$BA$2:$BA$201,"&lt;"&amp;BA71)=0,1,0),0)</f>
        <v>0</v>
      </c>
      <c r="CG71" s="23" t="n">
        <f aca="false">IF(AND(BB71=1,G71="warm-intro"),1,0)</f>
        <v>0</v>
      </c>
      <c r="CH71" s="23" t="n">
        <f aca="false">IF(CG71=1,IF(COUNTIFS($AZ$2:$AZ$201,AZ71,$CG$2:$CG$201,1,$H$2:$H$201,"&lt;"&amp;H71)+COUNTIFS($AZ$2:$AZ$201,AZ71,$CG$2:$CG$201,1,$H$2:$H$201,H71,$BA$2:$BA$201,"&lt;"&amp;BA71)=0,1,0),0)</f>
        <v>0</v>
      </c>
      <c r="CI71" s="23" t="n">
        <f aca="false">IF(AND(BB71=1,Q71="Y"),1,0)</f>
        <v>0</v>
      </c>
      <c r="CJ71" s="23" t="n">
        <f aca="false">IF(CI71=1,IF(COUNTIFS($AZ$2:$AZ$201,AZ71,$CI$2:$CI$201,1,$H$2:$H$201,"&lt;"&amp;H71)+COUNTIFS($AZ$2:$AZ$201,AZ71,$CI$2:$CI$201,1,$H$2:$H$201,H71,$BA$2:$BA$201,"&lt;"&amp;BA71)=0,1,0),0)</f>
        <v>0</v>
      </c>
      <c r="CK71" s="23" t="n">
        <f aca="false">IF(AND(BB71=1,AF71="Y"),1,0)</f>
        <v>0</v>
      </c>
      <c r="CL71" s="23" t="n">
        <f aca="false">IF(CK71=1,IF(COUNTIFS($AZ$2:$AZ$201,AZ71,$CK$2:$CK$201,1,$H$2:$H$201,"&lt;"&amp;H71)+COUNTIFS($AZ$2:$AZ$201,AZ71,$CK$2:$CK$201,1,$H$2:$H$201,H71,$BA$2:$BA$201,"&lt;"&amp;BA71)=0,1,0),0)</f>
        <v>0</v>
      </c>
      <c r="CM71" s="23" t="n">
        <f aca="false">IF(AND(BB71=1,U71="Y"),1,0)</f>
        <v>0</v>
      </c>
      <c r="CN71" s="23" t="n">
        <f aca="false">IF(CM71=1,IF(COUNTIFS($AZ$2:$AZ$201,AZ71,$CM$2:$CM$201,1,$H$2:$H$201,"&lt;"&amp;H71)+COUNTIFS($AZ$2:$AZ$201,AZ71,$CM$2:$CM$201,1,$H$2:$H$201,H71,$BA$2:$BA$201,"&lt;"&amp;BA71)=0,1,0),0)</f>
        <v>0</v>
      </c>
      <c r="CO71" s="23" t="n">
        <f aca="false">IF(AND(BB71=1,L71="Y"),1,0)</f>
        <v>0</v>
      </c>
      <c r="CP71" s="23" t="n">
        <f aca="false">IF(CO71=1,IF(COUNTIFS($AZ$2:$AZ$201,AZ71,$CO$2:$CO$201,1,$H$2:$H$201,"&lt;"&amp;H71)+COUNTIFS($AZ$2:$AZ$201,AZ71,$CO$2:$CO$201,1,$H$2:$H$201,H71,$BA$2:$BA$201,"&lt;"&amp;BA71)=0,1,0),0)</f>
        <v>0</v>
      </c>
      <c r="CQ71" s="23" t="n">
        <f aca="false">IF(AND(BB71=1,ISNUMBER(O71)),1,0)</f>
        <v>0</v>
      </c>
      <c r="CR71" s="23" t="n">
        <f aca="false">IF(CQ71=1,IF(COUNTIFS($AZ$2:$AZ$201,AZ71,$CQ$2:$CQ$201,1,$H$2:$H$201,"&lt;"&amp;H71)+COUNTIFS($AZ$2:$AZ$201,AZ71,$CQ$2:$CQ$201,1,$H$2:$H$201,H71,$BA$2:$BA$201,"&lt;"&amp;BA71)=0,1,0),0)</f>
        <v>0</v>
      </c>
      <c r="CS71" s="23" t="str">
        <f aca="false">IF(AND(CR71=1,INT(N(H71))&lt;=Config!$B$5),O71,"")</f>
        <v/>
      </c>
      <c r="CT71" s="23" t="str">
        <f aca="false">IF(AND(BB71=1,INT(N(H71))&lt;=Config!$B$5),AG71&amp;"","")</f>
        <v/>
      </c>
      <c r="CU71" s="23" t="n">
        <f aca="false">IF(AND(BB71=1,AU71="Y"),1,0)</f>
        <v>0</v>
      </c>
      <c r="CV71" s="23" t="n">
        <f aca="false">IF(CU71=1,IF(COUNTIFS($AZ$2:$AZ$201,AZ71,$CU$2:$CU$201,1,$H$2:$H$201,"&lt;"&amp;H71)+COUNTIFS($AZ$2:$AZ$201,AZ71,$CU$2:$CU$201,1,$H$2:$H$201,H71,$BA$2:$BA$201,"&lt;"&amp;BA71)=0,1,0),0)</f>
        <v>0</v>
      </c>
      <c r="CW71" s="23" t="str">
        <f aca="false">IF(BB71=1,IFERROR(MATCH($A71,INDEX(Clay_Offices!$A$2:$FZ$601,0,Sync!$C$5),0),""),"")</f>
        <v/>
      </c>
      <c r="CX71" s="23" t="str">
        <f aca="false">IF(CW71="","",IFERROR(INDEX(Clay_Offices!$A$2:$FZ$601,CW71,Sync!$C$7)&amp;"",""))</f>
        <v/>
      </c>
      <c r="CY71" s="23" t="str">
        <f aca="false">IF(CX71="","",IFERROR(INDEX(Lists!$K$2:$K$15,MATCH(CX71,Lists!$J$2:$J$15,0)),""))</f>
        <v/>
      </c>
      <c r="CZ71" s="23" t="str">
        <f aca="false">IF(CW71="","",IFERROR(INDEX(Clay_Offices!$A$2:$FZ$601,CW71,Sync!$C$17)&amp;"",""))</f>
        <v/>
      </c>
      <c r="DA71" s="35" t="str">
        <f aca="false">IF(CW71="","",IFERROR(N(INDEX(Clay_Offices!$A$2:$FZ$601,CW71,Sync!$C$16)),0))</f>
        <v/>
      </c>
      <c r="DB71" s="23" t="n">
        <f aca="false">IF(AND(BB71=1,OR(AR71="Y",AR71="N",AR71="maybe")),1,0)</f>
        <v>0</v>
      </c>
      <c r="DC71" s="23" t="n">
        <f aca="false">IF(AND(DB71=1),IF(COUNTIFS($A$2:$A$201,$A71,$DB$2:$DB$201,1,$H$2:$H$201,"&gt;"&amp;H71)+COUNTIFS($A$2:$A$201,$A71,$DB$2:$DB$201,1,$H$2:$H$201,H71,$BA$2:$BA$201,"&gt;"&amp;BA71)=0,1,0),0)</f>
        <v>0</v>
      </c>
      <c r="DD71" s="23" t="n">
        <f aca="false">IF(AND(DB71=1,INT(N(H71))&lt;=Config!$B$6),IF(COUNTIFS($AZ$2:$AZ$201,AZ71,$DB$2:$DB$201,1,$H$2:$H$201,"&gt;"&amp;H71,$H$2:$H$201,"&lt;"&amp;(Config!$B$6+1))+COUNTIFS($AZ$2:$AZ$201,AZ71,$DB$2:$DB$201,1,$H$2:$H$201,H71,$BA$2:$BA$201,"&gt;"&amp;BA71)=0,1,0),0)</f>
        <v>0</v>
      </c>
      <c r="DE71" s="23" t="n">
        <f aca="false">IF(AND(DB71=1,INT(N(H71))&lt;=Config!$B$7),IF(COUNTIFS($AZ$2:$AZ$201,AZ71,$DB$2:$DB$201,1,$H$2:$H$201,"&gt;"&amp;H71,$H$2:$H$201,"&lt;"&amp;(Config!$B$7+1))+COUNTIFS($AZ$2:$AZ$201,AZ71,$DB$2:$DB$201,1,$H$2:$H$201,H71,$BA$2:$BA$201,"&gt;"&amp;BA71)=0,1,0),0)</f>
        <v>0</v>
      </c>
      <c r="DF71" s="23" t="n">
        <f aca="false">IF(AND(DB71=1,INT(N(H71))&lt;=Config!$B$8),IF(COUNTIFS($AZ$2:$AZ$201,AZ71,$DB$2:$DB$201,1,$H$2:$H$201,"&gt;"&amp;H71,$H$2:$H$201,"&lt;"&amp;(Config!$B$8+1))+COUNTIFS($AZ$2:$AZ$201,AZ71,$DB$2:$DB$201,1,$H$2:$H$201,H71,$BA$2:$BA$201,"&gt;"&amp;BA71)=0,1,0),0)</f>
        <v>0</v>
      </c>
      <c r="DG71" s="23" t="n">
        <f aca="false">IF(AND(DB71=1,INT(N(H71))&lt;=Config!$B$5),IF(COUNTIFS($AZ$2:$AZ$201,AZ71,$DB$2:$DB$201,1,$H$2:$H$201,"&gt;"&amp;H71,$H$2:$H$201,"&lt;"&amp;(Config!$B$5+1))+COUNTIFS($AZ$2:$AZ$201,AZ71,$DB$2:$DB$201,1,$H$2:$H$201,H71,$BA$2:$BA$201,"&gt;"&amp;BA71)=0,1,0),0)</f>
        <v>0</v>
      </c>
      <c r="DH71" s="23" t="n">
        <f aca="false">IF(BB71=1,IF(COUNTIFS($AZ$2:$AZ$201,AZ71,$DD$2:$DD$201,1,$AR$2:$AR$201,"Y")&gt;0,1,0),0)</f>
        <v>0</v>
      </c>
      <c r="DI71" s="23" t="n">
        <f aca="false">IF(BB71=1,IF(COUNTIFS($AZ$2:$AZ$201,AZ71,$DE$2:$DE$201,1,$AR$2:$AR$201,"Y")&gt;0,1,0),0)</f>
        <v>0</v>
      </c>
      <c r="DJ71" s="23" t="n">
        <f aca="false">IF(BB71=1,IF(COUNTIFS($AZ$2:$AZ$201,AZ71,$DF$2:$DF$201,1,$AR$2:$AR$201,"Y")&gt;0,1,0),0)</f>
        <v>0</v>
      </c>
      <c r="DK71" s="23" t="n">
        <f aca="false">IF(BB71=1,IF(COUNTIFS($AZ$2:$AZ$201,AZ71,$DG$2:$DG$201,1,$AR$2:$AR$201,"Y")&gt;0,1,0),0)</f>
        <v>0</v>
      </c>
      <c r="DL71" s="23" t="n">
        <f aca="false">IF(AND(BF71=1,INT(N(H71))&lt;=Config!$B$6,DH71=1,EI71=0),1,0)</f>
        <v>0</v>
      </c>
      <c r="DM71" s="23" t="n">
        <f aca="false">IF(AND(BF71=1,INT(N(H71))&lt;=Config!$B$7,DI71=1,EI71=0),1,0)</f>
        <v>0</v>
      </c>
      <c r="DN71" s="23" t="n">
        <f aca="false">IF(AND(BF71=1,INT(N(H71))&lt;=Config!$B$8,DJ71=1,EI71=0),1,0)</f>
        <v>0</v>
      </c>
      <c r="DO71" s="23" t="n">
        <f aca="false">IF(AND(BF71=1,INT(N(H71))&lt;=Config!$B$5,DK71=1,EI71=0),1,0)</f>
        <v>0</v>
      </c>
      <c r="DP71" s="23" t="n">
        <f aca="false">IF(AND(CC71=1,INT(N(H71))&lt;=Config!$B$6,DH71=1,EI71=0),1,0)</f>
        <v>0</v>
      </c>
      <c r="DQ71" s="23" t="n">
        <f aca="false">IF(AND(CC71=1,INT(N(H71))&lt;=Config!$B$7,DI71=1,EI71=0),1,0)</f>
        <v>0</v>
      </c>
      <c r="DR71" s="23" t="n">
        <f aca="false">IF(AND(CC71=1,INT(N(H71))&lt;=Config!$B$8,DJ71=1,EI71=0),1,0)</f>
        <v>0</v>
      </c>
      <c r="DS71" s="23" t="n">
        <f aca="false">IF(AND(CC71=1,INT(N(H71))&lt;=Config!$B$5,DK71=1,EI71=0),1,0)</f>
        <v>0</v>
      </c>
      <c r="DT71" s="23" t="n">
        <f aca="false">IF(AND(CC71=1,INT(N(H71))&lt;=Config!$B$6,DH71=0),1,0)</f>
        <v>0</v>
      </c>
      <c r="DU71" s="23" t="n">
        <f aca="false">IF(AND(CC71=1,INT(N(H71))&lt;=Config!$B$7,DI71=0),1,0)</f>
        <v>0</v>
      </c>
      <c r="DV71" s="23" t="n">
        <f aca="false">IF(AND(CC71=1,INT(N(H71))&lt;=Config!$B$8,DJ71=0),1,0)</f>
        <v>0</v>
      </c>
      <c r="DW71" s="23" t="n">
        <f aca="false">IF(AND(CC71=1,INT(N(H71))&lt;=Config!$B$5,DK71=0),1,0)</f>
        <v>0</v>
      </c>
      <c r="DX71" s="23" t="n">
        <f aca="false">IF(TRIM($A71)="",0,ISTEXT(M71)+ISTEXT(O71)+ISTEXT(Y71)+ISTEXT(Z71)+ISTEXT(AA71)+ISTEXT(AV71))</f>
        <v>0</v>
      </c>
      <c r="DY71" s="23" t="n">
        <f aca="false">IF(BB71=1,IF(H71&lt;&gt;INT(H71),1,0),0)</f>
        <v>0</v>
      </c>
      <c r="DZ71" s="23" t="str">
        <f aca="false">IF(TRIM($A71)="","",IF(TRIM(B71)="",SUBSTITUTE(SUBSTITUTE(SUBSTITUTE(SUBSTITUTE(SUBSTITUTE(SUBSTITUTE(LOWER(TRIM($A71)),"~",""),"*",""),"?",""),"&lt;",""),"&gt;",""),"=",""),SUBSTITUTE(SUBSTITUTE(SUBSTITUTE(SUBSTITUTE(SUBSTITUTE(SUBSTITUTE(LOWER(TRIM(B71)),"~",""),"*",""),"?",""),"&lt;",""),"&gt;",""),"=","")))</f>
        <v/>
      </c>
      <c r="EA71" s="23" t="str">
        <f aca="false">IF(CW71="","",IFERROR(IF(LEFT(LOWER(TRIM(INDEX(Clay_Offices!$A$2:$FZ$601,CW71,Sync!$C$19)&amp;"")),4)="grp-",SUBSTITUTE(SUBSTITUTE(SUBSTITUTE(SUBSTITUTE(SUBSTITUTE(SUBSTITUTE(LOWER(TRIM(INDEX(Clay_Offices!$A$2:$FZ$601,CW71,Sync!$C$19)&amp;"")),"~",""),"*",""),"?",""),"&lt;",""),"&gt;",""),"=",""),""),""))</f>
        <v/>
      </c>
      <c r="EB71" s="23" t="str">
        <f aca="false">IF(EA71&lt;&gt;"",DZ71,"")</f>
        <v/>
      </c>
      <c r="EC71" s="23" t="str">
        <f aca="false">IF(BC71=1,AZ71,"")</f>
        <v/>
      </c>
      <c r="ED71" s="23" t="str">
        <f aca="false">IF(TRIM($A71)="","",IFERROR(INDEX($A$2:$A$201,MATCH(AZ71,$EC$2:$EC$201,0))&amp;"",$A71&amp;""))</f>
        <v/>
      </c>
      <c r="EE71" s="23" t="n">
        <f aca="false">IF(BB71=1,IF(COUNTIFS($A$2:$A$201,$A71,$BB$2:$BB$201,1,$H$2:$H$201,"&lt;"&amp;H71)+COUNTIFS($A$2:$A$201,$A71,$BB$2:$BB$201,1,$H$2:$H$201,H71,$BA$2:$BA$201,"&lt;"&amp;BA71)=0,1,0),0)</f>
        <v>0</v>
      </c>
      <c r="EF71" s="23" t="n">
        <f aca="false">IF(BC71=1,IF(COUNTIFS($AZ$2:$AZ$201,AZ71,$EE$2:$EE$201,1)&gt;1,1,0),0)</f>
        <v>0</v>
      </c>
      <c r="EG71" s="23" t="n">
        <f aca="false">IF(AND(CQ71=1),IF(COUNTIFS($AZ$2:$AZ$201,AZ71,$CQ$2:$CQ$201,1,$H$2:$H$201,"&gt;"&amp;H71)+COUNTIFS($AZ$2:$AZ$201,AZ71,$CQ$2:$CQ$201,1,$H$2:$H$201,H71,$BA$2:$BA$201,"&gt;"&amp;BA71)=0,1,0),0)</f>
        <v>0</v>
      </c>
      <c r="EH71" s="23" t="str">
        <f aca="false">IF(BB71=1,IF(COUNTIFS($AZ$2:$AZ$201,AZ71,$EG$2:$EG$201,1)=0,"",SUMIFS($O$2:$O$201,$AZ$2:$AZ$201,AZ71,$EG$2:$EG$201,1)),"")</f>
        <v/>
      </c>
      <c r="EI71" s="23" t="n">
        <f aca="false">IF(AND(ISNUMBER(EH71),OR(N(EH71)&lt;Config!$B$31,N(EH71)&gt;Config!$B$33)),1,0)</f>
        <v>0</v>
      </c>
      <c r="EJ71" s="23" t="n">
        <f aca="false">IF(AND(ISNUMBER(EH71),N(EH71)&gt;=Config!$B$31,N(EH71)&lt;Config!$B$32),1,0)</f>
        <v>0</v>
      </c>
      <c r="EK71" s="23" t="n">
        <f aca="false">IF(AND(BF71=1,INT(N(H71))&lt;=Config!$B$6,DH71=1,EI71=1),1,0)</f>
        <v>0</v>
      </c>
      <c r="EL71" s="23" t="n">
        <f aca="false">IF(AND(BF71=1,INT(N(H71))&lt;=Config!$B$7,DI71=1,EI71=1),1,0)</f>
        <v>0</v>
      </c>
      <c r="EM71" s="23" t="n">
        <f aca="false">IF(AND(BF71=1,INT(N(H71))&lt;=Config!$B$8,DJ71=1,EI71=1),1,0)</f>
        <v>0</v>
      </c>
      <c r="EN71" s="23" t="n">
        <f aca="false">IF(AND(BF71=1,INT(N(H71))&lt;=Config!$B$5,DK71=1,EI71=1),1,0)</f>
        <v>0</v>
      </c>
      <c r="EO71" s="23" t="n">
        <f aca="false">IF(AND(DL71=1,EJ71=1),1,0)</f>
        <v>0</v>
      </c>
      <c r="EP71" s="23" t="n">
        <f aca="false">IF(AND(DM71=1,EJ71=1),1,0)</f>
        <v>0</v>
      </c>
      <c r="EQ71" s="23" t="n">
        <f aca="false">IF(AND(DN71=1,EJ71=1),1,0)</f>
        <v>0</v>
      </c>
      <c r="ER71" s="23" t="n">
        <f aca="false">IF(AND(DO71=1,EJ71=1),1,0)</f>
        <v>0</v>
      </c>
    </row>
    <row r="72" customFormat="false" ht="15" hidden="false" customHeight="false" outlineLevel="0" collapsed="false">
      <c r="G72" s="32"/>
      <c r="H72" s="33"/>
      <c r="I72" s="32"/>
      <c r="L72" s="32"/>
      <c r="Q72" s="32"/>
      <c r="U72" s="32"/>
      <c r="W72" s="32"/>
      <c r="AC72" s="32"/>
      <c r="AF72" s="32"/>
      <c r="AI72" s="32"/>
      <c r="AJ72" s="32"/>
      <c r="AN72" s="32"/>
      <c r="AR72" s="32"/>
      <c r="AT72" s="32"/>
      <c r="AU72" s="32"/>
      <c r="AW72" s="32"/>
      <c r="AY72" s="34" t="str">
        <f aca="false">IF(TRIM($A72)="","",IF(AND(LEFT($A72,6)="SAMPLE",Config!$B$19&lt;&gt;"Y"),"",IF(NOT(ISNUMBER(H72)),"call_date is blank or not a date",IF(Sync!$C$5="","Clay paste is empty or has no row_id column: paste the Clay export on Clay_Offices",IF(CW72="","row_id not found in the Clay paste: add the Clay row or fix the row_id",IF(AND(ISNUMBER(CY72),CY72&gt;=1,CY72&lt;=5),"Clay status is "&amp;CX72&amp;": set call_done or later",IF(AND(BD72=1,CZ72&lt;&gt;BZ72),"Clay yes_in_principle should be "&amp;BZ72,IF(AND(BD72=1,DA72&lt;&gt;H72),"Clay call_date should be "&amp;TEXT(H72,"yyyy-mm-dd"),""))))))))</f>
        <v/>
      </c>
      <c r="AZ72" s="23" t="str">
        <f aca="false">IF(TRIM($A72)="","",IF(TRIM(C72)&lt;&gt;"",SUBSTITUTE(SUBSTITUTE(SUBSTITUTE(SUBSTITUTE(SUBSTITUTE(SUBSTITUTE(LOWER(TRIM(C72)),"~",""),"*",""),"?",""),"&lt;",""),"&gt;",""),"=",""),IF(EA72&lt;&gt;"",EA72,IFERROR(INDEX($EA$2:$EA$201,MATCH(DZ72,$EB$2:$EB$201,0)),DZ72))))</f>
        <v/>
      </c>
      <c r="BA72" s="23" t="n">
        <f aca="false">ROW()</f>
        <v>72</v>
      </c>
      <c r="BB72" s="23" t="n">
        <f aca="false">IF(AND(TRIM($A72)&lt;&gt;"",ISNUMBER(H72)),IF(AND(LEFT($A72,6)="SAMPLE",Config!$B$19&lt;&gt;"Y"),0,1),0)</f>
        <v>0</v>
      </c>
      <c r="BC72" s="23" t="n">
        <f aca="false">IF(BB72=1,IF(COUNTIFS($AZ$2:$AZ$201,AZ72,$BB$2:$BB$201,1,$H$2:$H$201,"&lt;"&amp;H72)+COUNTIFS($AZ$2:$AZ$201,AZ72,$BB$2:$BB$201,1,$H$2:$H$201,H72,$BA$2:$BA$201,"&lt;"&amp;BA72)=0,1,0),0)</f>
        <v>0</v>
      </c>
      <c r="BD72" s="23" t="n">
        <f aca="false">IF(BB72=1,IF(COUNTIFS($A$2:$A$201,$A72,$BB$2:$BB$201,1,$H$2:$H$201,"&gt;"&amp;H72)+COUNTIFS($A$2:$A$201,$A72,$BB$2:$BB$201,1,$H$2:$H$201,H72,$BA$2:$BA$201,"&gt;"&amp;BA72)=0,1,0),0)</f>
        <v>0</v>
      </c>
      <c r="BE72" s="23" t="n">
        <f aca="false">IF(AND(BB72=1,AR72="Y",AC72="Y",TRIM(AH72)&lt;&gt;""),1,0)</f>
        <v>0</v>
      </c>
      <c r="BF72" s="23" t="n">
        <f aca="false">IF(BE72=1,IF(COUNTIFS($AZ$2:$AZ$201,AZ72,$BE$2:$BE$201,1,$H$2:$H$201,"&lt;"&amp;H72)+COUNTIFS($AZ$2:$AZ$201,AZ72,$BE$2:$BE$201,1,$H$2:$H$201,H72,$BA$2:$BA$201,"&lt;"&amp;BA72)=0,1,0),0)</f>
        <v>0</v>
      </c>
      <c r="BG72" s="23" t="n">
        <f aca="false">IF(AND(BB72=1,AR72="Y",BE72=0),1,0)</f>
        <v>0</v>
      </c>
      <c r="BH72" s="23" t="n">
        <f aca="false">IF(AND(BB72=1,ISNUMBER(Y72)),1,0)</f>
        <v>0</v>
      </c>
      <c r="BI72" s="23" t="n">
        <f aca="false">IF(BH72=1,IF(COUNTIFS($AZ$2:$AZ$201,AZ72,$BH$2:$BH$201,1,$H$2:$H$201,"&lt;"&amp;H72)+COUNTIFS($AZ$2:$AZ$201,AZ72,$BH$2:$BH$201,1,$H$2:$H$201,H72,$BA$2:$BA$201,"&lt;"&amp;BA72)=0,1,0),0)</f>
        <v>0</v>
      </c>
      <c r="BJ72" s="23" t="str">
        <f aca="false">IF(AND(BI72=1,INT(N(H72))&lt;=Config!$B$6),Y72,"")</f>
        <v/>
      </c>
      <c r="BK72" s="23" t="str">
        <f aca="false">IF(AND(BI72=1,INT(N(H72))&lt;=Config!$B$7),Y72,"")</f>
        <v/>
      </c>
      <c r="BL72" s="23" t="str">
        <f aca="false">IF(AND(BI72=1,INT(N(H72))&lt;=Config!$B$8),Y72,"")</f>
        <v/>
      </c>
      <c r="BM72" s="23" t="str">
        <f aca="false">IF(AND(BI72=1,INT(N(H72))&lt;=Config!$B$5),Y72,"")</f>
        <v/>
      </c>
      <c r="BN72" s="23" t="n">
        <f aca="false">IF(CD72=1,IF(COUNTIFS($AZ$2:$AZ$201,AZ72,$CD$2:$CD$201,1,$H$2:$H$201,"&lt;"&amp;H72)+COUNTIFS($AZ$2:$AZ$201,AZ72,$CD$2:$CD$201,1,$H$2:$H$201,H72,$BA$2:$BA$201,"&lt;"&amp;BA72)=0,1,0),0)</f>
        <v>0</v>
      </c>
      <c r="BO72" s="23" t="n">
        <f aca="false">IF(AND(BB72=1,ISNUMBER(M72)),1,0)</f>
        <v>0</v>
      </c>
      <c r="BP72" s="23" t="n">
        <f aca="false">IF(BO72=1,IF(COUNTIFS($AZ$2:$AZ$201,AZ72,$BO$2:$BO$201,1,$H$2:$H$201,"&lt;"&amp;H72)+COUNTIFS($AZ$2:$AZ$201,AZ72,$BO$2:$BO$201,1,$H$2:$H$201,H72,$BA$2:$BA$201,"&lt;"&amp;BA72)=0,1,0),0)</f>
        <v>0</v>
      </c>
      <c r="BQ72" s="23" t="str">
        <f aca="false">IF(AND(BP72=1,INT(N(H72))&lt;=Config!$B$5),M72,"")</f>
        <v/>
      </c>
      <c r="BR72" s="23" t="n">
        <f aca="false">IF(AND(BB72=1,OR(TRIM(X72)&lt;&gt;"",ISNUMBER(Y72))),1,0)</f>
        <v>0</v>
      </c>
      <c r="BS72" s="23" t="n">
        <f aca="false">IF(BR72=1,IF(COUNTIFS($AZ$2:$AZ$201,AZ72,$BR$2:$BR$201,1,$H$2:$H$201,"&lt;"&amp;H72)+COUNTIFS($AZ$2:$AZ$201,AZ72,$BR$2:$BR$201,1,$H$2:$H$201,H72,$BA$2:$BA$201,"&lt;"&amp;BA72)=0,1,0),0)</f>
        <v>0</v>
      </c>
      <c r="BT72" s="23" t="str">
        <f aca="false">IF(BS72=1,AZ72,"")</f>
        <v/>
      </c>
      <c r="BU72" s="23" t="n">
        <f aca="false">IF(AND(BB72=1,W72="Y",TRIM(X72)=""),1,0)</f>
        <v>0</v>
      </c>
      <c r="BV72" s="23" t="str">
        <f aca="false">IF(BB72=1,AN72&amp;"","")</f>
        <v/>
      </c>
      <c r="BW72" s="23" t="str">
        <f aca="false">IF(BB72=1,AO72&amp;"","")</f>
        <v/>
      </c>
      <c r="BX72" s="23" t="str">
        <f aca="false">IF(BB72=1,AP72&amp;"","")</f>
        <v/>
      </c>
      <c r="BY72" s="23" t="str">
        <f aca="false">IF(AND(BB72=1,ISNUMBER(AV72),INT(N(H72))&lt;=Config!$B$5),AV72,"")</f>
        <v/>
      </c>
      <c r="BZ72" s="23" t="str">
        <f aca="false">IF(BB72=1,IF(COUNTIFS($A$2:$A$201,$A72,$DC$2:$DC$201,1,$AR$2:$AR$201,"Y")&gt;0,"Y","N"),"")</f>
        <v/>
      </c>
      <c r="CA72" s="23" t="n">
        <f aca="false">IF(AND(BB72=1,AR72="maybe"),1,0)</f>
        <v>0</v>
      </c>
      <c r="CB72" s="23" t="n">
        <f aca="false">IF(CA72=1,IF(COUNTIFS($AZ$2:$AZ$201,AZ72,$CA$2:$CA$201,1,$H$2:$H$201,"&lt;"&amp;H72)+COUNTIFS($AZ$2:$AZ$201,AZ72,$CA$2:$CA$201,1,$H$2:$H$201,H72,$BA$2:$BA$201,"&lt;"&amp;BA72)=0,1,0),0)</f>
        <v>0</v>
      </c>
      <c r="CC72" s="23" t="n">
        <f aca="false">IF(AND(BB72=1,AR72="Y"),IF(COUNTIFS($AZ$2:$AZ$201,AZ72,$AR$2:$AR$201,"Y",$BB$2:$BB$201,1,$H$2:$H$201,"&lt;"&amp;H72)+COUNTIFS($AZ$2:$AZ$201,AZ72,$AR$2:$AR$201,"Y",$BB$2:$BB$201,1,$H$2:$H$201,H72,$BA$2:$BA$201,"&lt;"&amp;BA72)=0,1,0),0)</f>
        <v>0</v>
      </c>
      <c r="CD72" s="23" t="n">
        <f aca="false">IF(AND(BH72=1,N(Y72)&gt;=Config!$B$15),1,0)</f>
        <v>0</v>
      </c>
      <c r="CE72" s="23" t="n">
        <f aca="false">IF(AND(BB72=1,AT72="Y"),1,0)</f>
        <v>0</v>
      </c>
      <c r="CF72" s="23" t="n">
        <f aca="false">IF(CE72=1,IF(COUNTIFS($AZ$2:$AZ$201,AZ72,$CE$2:$CE$201,1,$H$2:$H$201,"&lt;"&amp;H72)+COUNTIFS($AZ$2:$AZ$201,AZ72,$CE$2:$CE$201,1,$H$2:$H$201,H72,$BA$2:$BA$201,"&lt;"&amp;BA72)=0,1,0),0)</f>
        <v>0</v>
      </c>
      <c r="CG72" s="23" t="n">
        <f aca="false">IF(AND(BB72=1,G72="warm-intro"),1,0)</f>
        <v>0</v>
      </c>
      <c r="CH72" s="23" t="n">
        <f aca="false">IF(CG72=1,IF(COUNTIFS($AZ$2:$AZ$201,AZ72,$CG$2:$CG$201,1,$H$2:$H$201,"&lt;"&amp;H72)+COUNTIFS($AZ$2:$AZ$201,AZ72,$CG$2:$CG$201,1,$H$2:$H$201,H72,$BA$2:$BA$201,"&lt;"&amp;BA72)=0,1,0),0)</f>
        <v>0</v>
      </c>
      <c r="CI72" s="23" t="n">
        <f aca="false">IF(AND(BB72=1,Q72="Y"),1,0)</f>
        <v>0</v>
      </c>
      <c r="CJ72" s="23" t="n">
        <f aca="false">IF(CI72=1,IF(COUNTIFS($AZ$2:$AZ$201,AZ72,$CI$2:$CI$201,1,$H$2:$H$201,"&lt;"&amp;H72)+COUNTIFS($AZ$2:$AZ$201,AZ72,$CI$2:$CI$201,1,$H$2:$H$201,H72,$BA$2:$BA$201,"&lt;"&amp;BA72)=0,1,0),0)</f>
        <v>0</v>
      </c>
      <c r="CK72" s="23" t="n">
        <f aca="false">IF(AND(BB72=1,AF72="Y"),1,0)</f>
        <v>0</v>
      </c>
      <c r="CL72" s="23" t="n">
        <f aca="false">IF(CK72=1,IF(COUNTIFS($AZ$2:$AZ$201,AZ72,$CK$2:$CK$201,1,$H$2:$H$201,"&lt;"&amp;H72)+COUNTIFS($AZ$2:$AZ$201,AZ72,$CK$2:$CK$201,1,$H$2:$H$201,H72,$BA$2:$BA$201,"&lt;"&amp;BA72)=0,1,0),0)</f>
        <v>0</v>
      </c>
      <c r="CM72" s="23" t="n">
        <f aca="false">IF(AND(BB72=1,U72="Y"),1,0)</f>
        <v>0</v>
      </c>
      <c r="CN72" s="23" t="n">
        <f aca="false">IF(CM72=1,IF(COUNTIFS($AZ$2:$AZ$201,AZ72,$CM$2:$CM$201,1,$H$2:$H$201,"&lt;"&amp;H72)+COUNTIFS($AZ$2:$AZ$201,AZ72,$CM$2:$CM$201,1,$H$2:$H$201,H72,$BA$2:$BA$201,"&lt;"&amp;BA72)=0,1,0),0)</f>
        <v>0</v>
      </c>
      <c r="CO72" s="23" t="n">
        <f aca="false">IF(AND(BB72=1,L72="Y"),1,0)</f>
        <v>0</v>
      </c>
      <c r="CP72" s="23" t="n">
        <f aca="false">IF(CO72=1,IF(COUNTIFS($AZ$2:$AZ$201,AZ72,$CO$2:$CO$201,1,$H$2:$H$201,"&lt;"&amp;H72)+COUNTIFS($AZ$2:$AZ$201,AZ72,$CO$2:$CO$201,1,$H$2:$H$201,H72,$BA$2:$BA$201,"&lt;"&amp;BA72)=0,1,0),0)</f>
        <v>0</v>
      </c>
      <c r="CQ72" s="23" t="n">
        <f aca="false">IF(AND(BB72=1,ISNUMBER(O72)),1,0)</f>
        <v>0</v>
      </c>
      <c r="CR72" s="23" t="n">
        <f aca="false">IF(CQ72=1,IF(COUNTIFS($AZ$2:$AZ$201,AZ72,$CQ$2:$CQ$201,1,$H$2:$H$201,"&lt;"&amp;H72)+COUNTIFS($AZ$2:$AZ$201,AZ72,$CQ$2:$CQ$201,1,$H$2:$H$201,H72,$BA$2:$BA$201,"&lt;"&amp;BA72)=0,1,0),0)</f>
        <v>0</v>
      </c>
      <c r="CS72" s="23" t="str">
        <f aca="false">IF(AND(CR72=1,INT(N(H72))&lt;=Config!$B$5),O72,"")</f>
        <v/>
      </c>
      <c r="CT72" s="23" t="str">
        <f aca="false">IF(AND(BB72=1,INT(N(H72))&lt;=Config!$B$5),AG72&amp;"","")</f>
        <v/>
      </c>
      <c r="CU72" s="23" t="n">
        <f aca="false">IF(AND(BB72=1,AU72="Y"),1,0)</f>
        <v>0</v>
      </c>
      <c r="CV72" s="23" t="n">
        <f aca="false">IF(CU72=1,IF(COUNTIFS($AZ$2:$AZ$201,AZ72,$CU$2:$CU$201,1,$H$2:$H$201,"&lt;"&amp;H72)+COUNTIFS($AZ$2:$AZ$201,AZ72,$CU$2:$CU$201,1,$H$2:$H$201,H72,$BA$2:$BA$201,"&lt;"&amp;BA72)=0,1,0),0)</f>
        <v>0</v>
      </c>
      <c r="CW72" s="23" t="str">
        <f aca="false">IF(BB72=1,IFERROR(MATCH($A72,INDEX(Clay_Offices!$A$2:$FZ$601,0,Sync!$C$5),0),""),"")</f>
        <v/>
      </c>
      <c r="CX72" s="23" t="str">
        <f aca="false">IF(CW72="","",IFERROR(INDEX(Clay_Offices!$A$2:$FZ$601,CW72,Sync!$C$7)&amp;"",""))</f>
        <v/>
      </c>
      <c r="CY72" s="23" t="str">
        <f aca="false">IF(CX72="","",IFERROR(INDEX(Lists!$K$2:$K$15,MATCH(CX72,Lists!$J$2:$J$15,0)),""))</f>
        <v/>
      </c>
      <c r="CZ72" s="23" t="str">
        <f aca="false">IF(CW72="","",IFERROR(INDEX(Clay_Offices!$A$2:$FZ$601,CW72,Sync!$C$17)&amp;"",""))</f>
        <v/>
      </c>
      <c r="DA72" s="35" t="str">
        <f aca="false">IF(CW72="","",IFERROR(N(INDEX(Clay_Offices!$A$2:$FZ$601,CW72,Sync!$C$16)),0))</f>
        <v/>
      </c>
      <c r="DB72" s="23" t="n">
        <f aca="false">IF(AND(BB72=1,OR(AR72="Y",AR72="N",AR72="maybe")),1,0)</f>
        <v>0</v>
      </c>
      <c r="DC72" s="23" t="n">
        <f aca="false">IF(AND(DB72=1),IF(COUNTIFS($A$2:$A$201,$A72,$DB$2:$DB$201,1,$H$2:$H$201,"&gt;"&amp;H72)+COUNTIFS($A$2:$A$201,$A72,$DB$2:$DB$201,1,$H$2:$H$201,H72,$BA$2:$BA$201,"&gt;"&amp;BA72)=0,1,0),0)</f>
        <v>0</v>
      </c>
      <c r="DD72" s="23" t="n">
        <f aca="false">IF(AND(DB72=1,INT(N(H72))&lt;=Config!$B$6),IF(COUNTIFS($AZ$2:$AZ$201,AZ72,$DB$2:$DB$201,1,$H$2:$H$201,"&gt;"&amp;H72,$H$2:$H$201,"&lt;"&amp;(Config!$B$6+1))+COUNTIFS($AZ$2:$AZ$201,AZ72,$DB$2:$DB$201,1,$H$2:$H$201,H72,$BA$2:$BA$201,"&gt;"&amp;BA72)=0,1,0),0)</f>
        <v>0</v>
      </c>
      <c r="DE72" s="23" t="n">
        <f aca="false">IF(AND(DB72=1,INT(N(H72))&lt;=Config!$B$7),IF(COUNTIFS($AZ$2:$AZ$201,AZ72,$DB$2:$DB$201,1,$H$2:$H$201,"&gt;"&amp;H72,$H$2:$H$201,"&lt;"&amp;(Config!$B$7+1))+COUNTIFS($AZ$2:$AZ$201,AZ72,$DB$2:$DB$201,1,$H$2:$H$201,H72,$BA$2:$BA$201,"&gt;"&amp;BA72)=0,1,0),0)</f>
        <v>0</v>
      </c>
      <c r="DF72" s="23" t="n">
        <f aca="false">IF(AND(DB72=1,INT(N(H72))&lt;=Config!$B$8),IF(COUNTIFS($AZ$2:$AZ$201,AZ72,$DB$2:$DB$201,1,$H$2:$H$201,"&gt;"&amp;H72,$H$2:$H$201,"&lt;"&amp;(Config!$B$8+1))+COUNTIFS($AZ$2:$AZ$201,AZ72,$DB$2:$DB$201,1,$H$2:$H$201,H72,$BA$2:$BA$201,"&gt;"&amp;BA72)=0,1,0),0)</f>
        <v>0</v>
      </c>
      <c r="DG72" s="23" t="n">
        <f aca="false">IF(AND(DB72=1,INT(N(H72))&lt;=Config!$B$5),IF(COUNTIFS($AZ$2:$AZ$201,AZ72,$DB$2:$DB$201,1,$H$2:$H$201,"&gt;"&amp;H72,$H$2:$H$201,"&lt;"&amp;(Config!$B$5+1))+COUNTIFS($AZ$2:$AZ$201,AZ72,$DB$2:$DB$201,1,$H$2:$H$201,H72,$BA$2:$BA$201,"&gt;"&amp;BA72)=0,1,0),0)</f>
        <v>0</v>
      </c>
      <c r="DH72" s="23" t="n">
        <f aca="false">IF(BB72=1,IF(COUNTIFS($AZ$2:$AZ$201,AZ72,$DD$2:$DD$201,1,$AR$2:$AR$201,"Y")&gt;0,1,0),0)</f>
        <v>0</v>
      </c>
      <c r="DI72" s="23" t="n">
        <f aca="false">IF(BB72=1,IF(COUNTIFS($AZ$2:$AZ$201,AZ72,$DE$2:$DE$201,1,$AR$2:$AR$201,"Y")&gt;0,1,0),0)</f>
        <v>0</v>
      </c>
      <c r="DJ72" s="23" t="n">
        <f aca="false">IF(BB72=1,IF(COUNTIFS($AZ$2:$AZ$201,AZ72,$DF$2:$DF$201,1,$AR$2:$AR$201,"Y")&gt;0,1,0),0)</f>
        <v>0</v>
      </c>
      <c r="DK72" s="23" t="n">
        <f aca="false">IF(BB72=1,IF(COUNTIFS($AZ$2:$AZ$201,AZ72,$DG$2:$DG$201,1,$AR$2:$AR$201,"Y")&gt;0,1,0),0)</f>
        <v>0</v>
      </c>
      <c r="DL72" s="23" t="n">
        <f aca="false">IF(AND(BF72=1,INT(N(H72))&lt;=Config!$B$6,DH72=1,EI72=0),1,0)</f>
        <v>0</v>
      </c>
      <c r="DM72" s="23" t="n">
        <f aca="false">IF(AND(BF72=1,INT(N(H72))&lt;=Config!$B$7,DI72=1,EI72=0),1,0)</f>
        <v>0</v>
      </c>
      <c r="DN72" s="23" t="n">
        <f aca="false">IF(AND(BF72=1,INT(N(H72))&lt;=Config!$B$8,DJ72=1,EI72=0),1,0)</f>
        <v>0</v>
      </c>
      <c r="DO72" s="23" t="n">
        <f aca="false">IF(AND(BF72=1,INT(N(H72))&lt;=Config!$B$5,DK72=1,EI72=0),1,0)</f>
        <v>0</v>
      </c>
      <c r="DP72" s="23" t="n">
        <f aca="false">IF(AND(CC72=1,INT(N(H72))&lt;=Config!$B$6,DH72=1,EI72=0),1,0)</f>
        <v>0</v>
      </c>
      <c r="DQ72" s="23" t="n">
        <f aca="false">IF(AND(CC72=1,INT(N(H72))&lt;=Config!$B$7,DI72=1,EI72=0),1,0)</f>
        <v>0</v>
      </c>
      <c r="DR72" s="23" t="n">
        <f aca="false">IF(AND(CC72=1,INT(N(H72))&lt;=Config!$B$8,DJ72=1,EI72=0),1,0)</f>
        <v>0</v>
      </c>
      <c r="DS72" s="23" t="n">
        <f aca="false">IF(AND(CC72=1,INT(N(H72))&lt;=Config!$B$5,DK72=1,EI72=0),1,0)</f>
        <v>0</v>
      </c>
      <c r="DT72" s="23" t="n">
        <f aca="false">IF(AND(CC72=1,INT(N(H72))&lt;=Config!$B$6,DH72=0),1,0)</f>
        <v>0</v>
      </c>
      <c r="DU72" s="23" t="n">
        <f aca="false">IF(AND(CC72=1,INT(N(H72))&lt;=Config!$B$7,DI72=0),1,0)</f>
        <v>0</v>
      </c>
      <c r="DV72" s="23" t="n">
        <f aca="false">IF(AND(CC72=1,INT(N(H72))&lt;=Config!$B$8,DJ72=0),1,0)</f>
        <v>0</v>
      </c>
      <c r="DW72" s="23" t="n">
        <f aca="false">IF(AND(CC72=1,INT(N(H72))&lt;=Config!$B$5,DK72=0),1,0)</f>
        <v>0</v>
      </c>
      <c r="DX72" s="23" t="n">
        <f aca="false">IF(TRIM($A72)="",0,ISTEXT(M72)+ISTEXT(O72)+ISTEXT(Y72)+ISTEXT(Z72)+ISTEXT(AA72)+ISTEXT(AV72))</f>
        <v>0</v>
      </c>
      <c r="DY72" s="23" t="n">
        <f aca="false">IF(BB72=1,IF(H72&lt;&gt;INT(H72),1,0),0)</f>
        <v>0</v>
      </c>
      <c r="DZ72" s="23" t="str">
        <f aca="false">IF(TRIM($A72)="","",IF(TRIM(B72)="",SUBSTITUTE(SUBSTITUTE(SUBSTITUTE(SUBSTITUTE(SUBSTITUTE(SUBSTITUTE(LOWER(TRIM($A72)),"~",""),"*",""),"?",""),"&lt;",""),"&gt;",""),"=",""),SUBSTITUTE(SUBSTITUTE(SUBSTITUTE(SUBSTITUTE(SUBSTITUTE(SUBSTITUTE(LOWER(TRIM(B72)),"~",""),"*",""),"?",""),"&lt;",""),"&gt;",""),"=","")))</f>
        <v/>
      </c>
      <c r="EA72" s="23" t="str">
        <f aca="false">IF(CW72="","",IFERROR(IF(LEFT(LOWER(TRIM(INDEX(Clay_Offices!$A$2:$FZ$601,CW72,Sync!$C$19)&amp;"")),4)="grp-",SUBSTITUTE(SUBSTITUTE(SUBSTITUTE(SUBSTITUTE(SUBSTITUTE(SUBSTITUTE(LOWER(TRIM(INDEX(Clay_Offices!$A$2:$FZ$601,CW72,Sync!$C$19)&amp;"")),"~",""),"*",""),"?",""),"&lt;",""),"&gt;",""),"=",""),""),""))</f>
        <v/>
      </c>
      <c r="EB72" s="23" t="str">
        <f aca="false">IF(EA72&lt;&gt;"",DZ72,"")</f>
        <v/>
      </c>
      <c r="EC72" s="23" t="str">
        <f aca="false">IF(BC72=1,AZ72,"")</f>
        <v/>
      </c>
      <c r="ED72" s="23" t="str">
        <f aca="false">IF(TRIM($A72)="","",IFERROR(INDEX($A$2:$A$201,MATCH(AZ72,$EC$2:$EC$201,0))&amp;"",$A72&amp;""))</f>
        <v/>
      </c>
      <c r="EE72" s="23" t="n">
        <f aca="false">IF(BB72=1,IF(COUNTIFS($A$2:$A$201,$A72,$BB$2:$BB$201,1,$H$2:$H$201,"&lt;"&amp;H72)+COUNTIFS($A$2:$A$201,$A72,$BB$2:$BB$201,1,$H$2:$H$201,H72,$BA$2:$BA$201,"&lt;"&amp;BA72)=0,1,0),0)</f>
        <v>0</v>
      </c>
      <c r="EF72" s="23" t="n">
        <f aca="false">IF(BC72=1,IF(COUNTIFS($AZ$2:$AZ$201,AZ72,$EE$2:$EE$201,1)&gt;1,1,0),0)</f>
        <v>0</v>
      </c>
      <c r="EG72" s="23" t="n">
        <f aca="false">IF(AND(CQ72=1),IF(COUNTIFS($AZ$2:$AZ$201,AZ72,$CQ$2:$CQ$201,1,$H$2:$H$201,"&gt;"&amp;H72)+COUNTIFS($AZ$2:$AZ$201,AZ72,$CQ$2:$CQ$201,1,$H$2:$H$201,H72,$BA$2:$BA$201,"&gt;"&amp;BA72)=0,1,0),0)</f>
        <v>0</v>
      </c>
      <c r="EH72" s="23" t="str">
        <f aca="false">IF(BB72=1,IF(COUNTIFS($AZ$2:$AZ$201,AZ72,$EG$2:$EG$201,1)=0,"",SUMIFS($O$2:$O$201,$AZ$2:$AZ$201,AZ72,$EG$2:$EG$201,1)),"")</f>
        <v/>
      </c>
      <c r="EI72" s="23" t="n">
        <f aca="false">IF(AND(ISNUMBER(EH72),OR(N(EH72)&lt;Config!$B$31,N(EH72)&gt;Config!$B$33)),1,0)</f>
        <v>0</v>
      </c>
      <c r="EJ72" s="23" t="n">
        <f aca="false">IF(AND(ISNUMBER(EH72),N(EH72)&gt;=Config!$B$31,N(EH72)&lt;Config!$B$32),1,0)</f>
        <v>0</v>
      </c>
      <c r="EK72" s="23" t="n">
        <f aca="false">IF(AND(BF72=1,INT(N(H72))&lt;=Config!$B$6,DH72=1,EI72=1),1,0)</f>
        <v>0</v>
      </c>
      <c r="EL72" s="23" t="n">
        <f aca="false">IF(AND(BF72=1,INT(N(H72))&lt;=Config!$B$7,DI72=1,EI72=1),1,0)</f>
        <v>0</v>
      </c>
      <c r="EM72" s="23" t="n">
        <f aca="false">IF(AND(BF72=1,INT(N(H72))&lt;=Config!$B$8,DJ72=1,EI72=1),1,0)</f>
        <v>0</v>
      </c>
      <c r="EN72" s="23" t="n">
        <f aca="false">IF(AND(BF72=1,INT(N(H72))&lt;=Config!$B$5,DK72=1,EI72=1),1,0)</f>
        <v>0</v>
      </c>
      <c r="EO72" s="23" t="n">
        <f aca="false">IF(AND(DL72=1,EJ72=1),1,0)</f>
        <v>0</v>
      </c>
      <c r="EP72" s="23" t="n">
        <f aca="false">IF(AND(DM72=1,EJ72=1),1,0)</f>
        <v>0</v>
      </c>
      <c r="EQ72" s="23" t="n">
        <f aca="false">IF(AND(DN72=1,EJ72=1),1,0)</f>
        <v>0</v>
      </c>
      <c r="ER72" s="23" t="n">
        <f aca="false">IF(AND(DO72=1,EJ72=1),1,0)</f>
        <v>0</v>
      </c>
    </row>
    <row r="73" customFormat="false" ht="15" hidden="false" customHeight="false" outlineLevel="0" collapsed="false">
      <c r="G73" s="32"/>
      <c r="H73" s="33"/>
      <c r="I73" s="32"/>
      <c r="L73" s="32"/>
      <c r="Q73" s="32"/>
      <c r="U73" s="32"/>
      <c r="W73" s="32"/>
      <c r="AC73" s="32"/>
      <c r="AF73" s="32"/>
      <c r="AI73" s="32"/>
      <c r="AJ73" s="32"/>
      <c r="AN73" s="32"/>
      <c r="AR73" s="32"/>
      <c r="AT73" s="32"/>
      <c r="AU73" s="32"/>
      <c r="AW73" s="32"/>
      <c r="AY73" s="34" t="str">
        <f aca="false">IF(TRIM($A73)="","",IF(AND(LEFT($A73,6)="SAMPLE",Config!$B$19&lt;&gt;"Y"),"",IF(NOT(ISNUMBER(H73)),"call_date is blank or not a date",IF(Sync!$C$5="","Clay paste is empty or has no row_id column: paste the Clay export on Clay_Offices",IF(CW73="","row_id not found in the Clay paste: add the Clay row or fix the row_id",IF(AND(ISNUMBER(CY73),CY73&gt;=1,CY73&lt;=5),"Clay status is "&amp;CX73&amp;": set call_done or later",IF(AND(BD73=1,CZ73&lt;&gt;BZ73),"Clay yes_in_principle should be "&amp;BZ73,IF(AND(BD73=1,DA73&lt;&gt;H73),"Clay call_date should be "&amp;TEXT(H73,"yyyy-mm-dd"),""))))))))</f>
        <v/>
      </c>
      <c r="AZ73" s="23" t="str">
        <f aca="false">IF(TRIM($A73)="","",IF(TRIM(C73)&lt;&gt;"",SUBSTITUTE(SUBSTITUTE(SUBSTITUTE(SUBSTITUTE(SUBSTITUTE(SUBSTITUTE(LOWER(TRIM(C73)),"~",""),"*",""),"?",""),"&lt;",""),"&gt;",""),"=",""),IF(EA73&lt;&gt;"",EA73,IFERROR(INDEX($EA$2:$EA$201,MATCH(DZ73,$EB$2:$EB$201,0)),DZ73))))</f>
        <v/>
      </c>
      <c r="BA73" s="23" t="n">
        <f aca="false">ROW()</f>
        <v>73</v>
      </c>
      <c r="BB73" s="23" t="n">
        <f aca="false">IF(AND(TRIM($A73)&lt;&gt;"",ISNUMBER(H73)),IF(AND(LEFT($A73,6)="SAMPLE",Config!$B$19&lt;&gt;"Y"),0,1),0)</f>
        <v>0</v>
      </c>
      <c r="BC73" s="23" t="n">
        <f aca="false">IF(BB73=1,IF(COUNTIFS($AZ$2:$AZ$201,AZ73,$BB$2:$BB$201,1,$H$2:$H$201,"&lt;"&amp;H73)+COUNTIFS($AZ$2:$AZ$201,AZ73,$BB$2:$BB$201,1,$H$2:$H$201,H73,$BA$2:$BA$201,"&lt;"&amp;BA73)=0,1,0),0)</f>
        <v>0</v>
      </c>
      <c r="BD73" s="23" t="n">
        <f aca="false">IF(BB73=1,IF(COUNTIFS($A$2:$A$201,$A73,$BB$2:$BB$201,1,$H$2:$H$201,"&gt;"&amp;H73)+COUNTIFS($A$2:$A$201,$A73,$BB$2:$BB$201,1,$H$2:$H$201,H73,$BA$2:$BA$201,"&gt;"&amp;BA73)=0,1,0),0)</f>
        <v>0</v>
      </c>
      <c r="BE73" s="23" t="n">
        <f aca="false">IF(AND(BB73=1,AR73="Y",AC73="Y",TRIM(AH73)&lt;&gt;""),1,0)</f>
        <v>0</v>
      </c>
      <c r="BF73" s="23" t="n">
        <f aca="false">IF(BE73=1,IF(COUNTIFS($AZ$2:$AZ$201,AZ73,$BE$2:$BE$201,1,$H$2:$H$201,"&lt;"&amp;H73)+COUNTIFS($AZ$2:$AZ$201,AZ73,$BE$2:$BE$201,1,$H$2:$H$201,H73,$BA$2:$BA$201,"&lt;"&amp;BA73)=0,1,0),0)</f>
        <v>0</v>
      </c>
      <c r="BG73" s="23" t="n">
        <f aca="false">IF(AND(BB73=1,AR73="Y",BE73=0),1,0)</f>
        <v>0</v>
      </c>
      <c r="BH73" s="23" t="n">
        <f aca="false">IF(AND(BB73=1,ISNUMBER(Y73)),1,0)</f>
        <v>0</v>
      </c>
      <c r="BI73" s="23" t="n">
        <f aca="false">IF(BH73=1,IF(COUNTIFS($AZ$2:$AZ$201,AZ73,$BH$2:$BH$201,1,$H$2:$H$201,"&lt;"&amp;H73)+COUNTIFS($AZ$2:$AZ$201,AZ73,$BH$2:$BH$201,1,$H$2:$H$201,H73,$BA$2:$BA$201,"&lt;"&amp;BA73)=0,1,0),0)</f>
        <v>0</v>
      </c>
      <c r="BJ73" s="23" t="str">
        <f aca="false">IF(AND(BI73=1,INT(N(H73))&lt;=Config!$B$6),Y73,"")</f>
        <v/>
      </c>
      <c r="BK73" s="23" t="str">
        <f aca="false">IF(AND(BI73=1,INT(N(H73))&lt;=Config!$B$7),Y73,"")</f>
        <v/>
      </c>
      <c r="BL73" s="23" t="str">
        <f aca="false">IF(AND(BI73=1,INT(N(H73))&lt;=Config!$B$8),Y73,"")</f>
        <v/>
      </c>
      <c r="BM73" s="23" t="str">
        <f aca="false">IF(AND(BI73=1,INT(N(H73))&lt;=Config!$B$5),Y73,"")</f>
        <v/>
      </c>
      <c r="BN73" s="23" t="n">
        <f aca="false">IF(CD73=1,IF(COUNTIFS($AZ$2:$AZ$201,AZ73,$CD$2:$CD$201,1,$H$2:$H$201,"&lt;"&amp;H73)+COUNTIFS($AZ$2:$AZ$201,AZ73,$CD$2:$CD$201,1,$H$2:$H$201,H73,$BA$2:$BA$201,"&lt;"&amp;BA73)=0,1,0),0)</f>
        <v>0</v>
      </c>
      <c r="BO73" s="23" t="n">
        <f aca="false">IF(AND(BB73=1,ISNUMBER(M73)),1,0)</f>
        <v>0</v>
      </c>
      <c r="BP73" s="23" t="n">
        <f aca="false">IF(BO73=1,IF(COUNTIFS($AZ$2:$AZ$201,AZ73,$BO$2:$BO$201,1,$H$2:$H$201,"&lt;"&amp;H73)+COUNTIFS($AZ$2:$AZ$201,AZ73,$BO$2:$BO$201,1,$H$2:$H$201,H73,$BA$2:$BA$201,"&lt;"&amp;BA73)=0,1,0),0)</f>
        <v>0</v>
      </c>
      <c r="BQ73" s="23" t="str">
        <f aca="false">IF(AND(BP73=1,INT(N(H73))&lt;=Config!$B$5),M73,"")</f>
        <v/>
      </c>
      <c r="BR73" s="23" t="n">
        <f aca="false">IF(AND(BB73=1,OR(TRIM(X73)&lt;&gt;"",ISNUMBER(Y73))),1,0)</f>
        <v>0</v>
      </c>
      <c r="BS73" s="23" t="n">
        <f aca="false">IF(BR73=1,IF(COUNTIFS($AZ$2:$AZ$201,AZ73,$BR$2:$BR$201,1,$H$2:$H$201,"&lt;"&amp;H73)+COUNTIFS($AZ$2:$AZ$201,AZ73,$BR$2:$BR$201,1,$H$2:$H$201,H73,$BA$2:$BA$201,"&lt;"&amp;BA73)=0,1,0),0)</f>
        <v>0</v>
      </c>
      <c r="BT73" s="23" t="str">
        <f aca="false">IF(BS73=1,AZ73,"")</f>
        <v/>
      </c>
      <c r="BU73" s="23" t="n">
        <f aca="false">IF(AND(BB73=1,W73="Y",TRIM(X73)=""),1,0)</f>
        <v>0</v>
      </c>
      <c r="BV73" s="23" t="str">
        <f aca="false">IF(BB73=1,AN73&amp;"","")</f>
        <v/>
      </c>
      <c r="BW73" s="23" t="str">
        <f aca="false">IF(BB73=1,AO73&amp;"","")</f>
        <v/>
      </c>
      <c r="BX73" s="23" t="str">
        <f aca="false">IF(BB73=1,AP73&amp;"","")</f>
        <v/>
      </c>
      <c r="BY73" s="23" t="str">
        <f aca="false">IF(AND(BB73=1,ISNUMBER(AV73),INT(N(H73))&lt;=Config!$B$5),AV73,"")</f>
        <v/>
      </c>
      <c r="BZ73" s="23" t="str">
        <f aca="false">IF(BB73=1,IF(COUNTIFS($A$2:$A$201,$A73,$DC$2:$DC$201,1,$AR$2:$AR$201,"Y")&gt;0,"Y","N"),"")</f>
        <v/>
      </c>
      <c r="CA73" s="23" t="n">
        <f aca="false">IF(AND(BB73=1,AR73="maybe"),1,0)</f>
        <v>0</v>
      </c>
      <c r="CB73" s="23" t="n">
        <f aca="false">IF(CA73=1,IF(COUNTIFS($AZ$2:$AZ$201,AZ73,$CA$2:$CA$201,1,$H$2:$H$201,"&lt;"&amp;H73)+COUNTIFS($AZ$2:$AZ$201,AZ73,$CA$2:$CA$201,1,$H$2:$H$201,H73,$BA$2:$BA$201,"&lt;"&amp;BA73)=0,1,0),0)</f>
        <v>0</v>
      </c>
      <c r="CC73" s="23" t="n">
        <f aca="false">IF(AND(BB73=1,AR73="Y"),IF(COUNTIFS($AZ$2:$AZ$201,AZ73,$AR$2:$AR$201,"Y",$BB$2:$BB$201,1,$H$2:$H$201,"&lt;"&amp;H73)+COUNTIFS($AZ$2:$AZ$201,AZ73,$AR$2:$AR$201,"Y",$BB$2:$BB$201,1,$H$2:$H$201,H73,$BA$2:$BA$201,"&lt;"&amp;BA73)=0,1,0),0)</f>
        <v>0</v>
      </c>
      <c r="CD73" s="23" t="n">
        <f aca="false">IF(AND(BH73=1,N(Y73)&gt;=Config!$B$15),1,0)</f>
        <v>0</v>
      </c>
      <c r="CE73" s="23" t="n">
        <f aca="false">IF(AND(BB73=1,AT73="Y"),1,0)</f>
        <v>0</v>
      </c>
      <c r="CF73" s="23" t="n">
        <f aca="false">IF(CE73=1,IF(COUNTIFS($AZ$2:$AZ$201,AZ73,$CE$2:$CE$201,1,$H$2:$H$201,"&lt;"&amp;H73)+COUNTIFS($AZ$2:$AZ$201,AZ73,$CE$2:$CE$201,1,$H$2:$H$201,H73,$BA$2:$BA$201,"&lt;"&amp;BA73)=0,1,0),0)</f>
        <v>0</v>
      </c>
      <c r="CG73" s="23" t="n">
        <f aca="false">IF(AND(BB73=1,G73="warm-intro"),1,0)</f>
        <v>0</v>
      </c>
      <c r="CH73" s="23" t="n">
        <f aca="false">IF(CG73=1,IF(COUNTIFS($AZ$2:$AZ$201,AZ73,$CG$2:$CG$201,1,$H$2:$H$201,"&lt;"&amp;H73)+COUNTIFS($AZ$2:$AZ$201,AZ73,$CG$2:$CG$201,1,$H$2:$H$201,H73,$BA$2:$BA$201,"&lt;"&amp;BA73)=0,1,0),0)</f>
        <v>0</v>
      </c>
      <c r="CI73" s="23" t="n">
        <f aca="false">IF(AND(BB73=1,Q73="Y"),1,0)</f>
        <v>0</v>
      </c>
      <c r="CJ73" s="23" t="n">
        <f aca="false">IF(CI73=1,IF(COUNTIFS($AZ$2:$AZ$201,AZ73,$CI$2:$CI$201,1,$H$2:$H$201,"&lt;"&amp;H73)+COUNTIFS($AZ$2:$AZ$201,AZ73,$CI$2:$CI$201,1,$H$2:$H$201,H73,$BA$2:$BA$201,"&lt;"&amp;BA73)=0,1,0),0)</f>
        <v>0</v>
      </c>
      <c r="CK73" s="23" t="n">
        <f aca="false">IF(AND(BB73=1,AF73="Y"),1,0)</f>
        <v>0</v>
      </c>
      <c r="CL73" s="23" t="n">
        <f aca="false">IF(CK73=1,IF(COUNTIFS($AZ$2:$AZ$201,AZ73,$CK$2:$CK$201,1,$H$2:$H$201,"&lt;"&amp;H73)+COUNTIFS($AZ$2:$AZ$201,AZ73,$CK$2:$CK$201,1,$H$2:$H$201,H73,$BA$2:$BA$201,"&lt;"&amp;BA73)=0,1,0),0)</f>
        <v>0</v>
      </c>
      <c r="CM73" s="23" t="n">
        <f aca="false">IF(AND(BB73=1,U73="Y"),1,0)</f>
        <v>0</v>
      </c>
      <c r="CN73" s="23" t="n">
        <f aca="false">IF(CM73=1,IF(COUNTIFS($AZ$2:$AZ$201,AZ73,$CM$2:$CM$201,1,$H$2:$H$201,"&lt;"&amp;H73)+COUNTIFS($AZ$2:$AZ$201,AZ73,$CM$2:$CM$201,1,$H$2:$H$201,H73,$BA$2:$BA$201,"&lt;"&amp;BA73)=0,1,0),0)</f>
        <v>0</v>
      </c>
      <c r="CO73" s="23" t="n">
        <f aca="false">IF(AND(BB73=1,L73="Y"),1,0)</f>
        <v>0</v>
      </c>
      <c r="CP73" s="23" t="n">
        <f aca="false">IF(CO73=1,IF(COUNTIFS($AZ$2:$AZ$201,AZ73,$CO$2:$CO$201,1,$H$2:$H$201,"&lt;"&amp;H73)+COUNTIFS($AZ$2:$AZ$201,AZ73,$CO$2:$CO$201,1,$H$2:$H$201,H73,$BA$2:$BA$201,"&lt;"&amp;BA73)=0,1,0),0)</f>
        <v>0</v>
      </c>
      <c r="CQ73" s="23" t="n">
        <f aca="false">IF(AND(BB73=1,ISNUMBER(O73)),1,0)</f>
        <v>0</v>
      </c>
      <c r="CR73" s="23" t="n">
        <f aca="false">IF(CQ73=1,IF(COUNTIFS($AZ$2:$AZ$201,AZ73,$CQ$2:$CQ$201,1,$H$2:$H$201,"&lt;"&amp;H73)+COUNTIFS($AZ$2:$AZ$201,AZ73,$CQ$2:$CQ$201,1,$H$2:$H$201,H73,$BA$2:$BA$201,"&lt;"&amp;BA73)=0,1,0),0)</f>
        <v>0</v>
      </c>
      <c r="CS73" s="23" t="str">
        <f aca="false">IF(AND(CR73=1,INT(N(H73))&lt;=Config!$B$5),O73,"")</f>
        <v/>
      </c>
      <c r="CT73" s="23" t="str">
        <f aca="false">IF(AND(BB73=1,INT(N(H73))&lt;=Config!$B$5),AG73&amp;"","")</f>
        <v/>
      </c>
      <c r="CU73" s="23" t="n">
        <f aca="false">IF(AND(BB73=1,AU73="Y"),1,0)</f>
        <v>0</v>
      </c>
      <c r="CV73" s="23" t="n">
        <f aca="false">IF(CU73=1,IF(COUNTIFS($AZ$2:$AZ$201,AZ73,$CU$2:$CU$201,1,$H$2:$H$201,"&lt;"&amp;H73)+COUNTIFS($AZ$2:$AZ$201,AZ73,$CU$2:$CU$201,1,$H$2:$H$201,H73,$BA$2:$BA$201,"&lt;"&amp;BA73)=0,1,0),0)</f>
        <v>0</v>
      </c>
      <c r="CW73" s="23" t="str">
        <f aca="false">IF(BB73=1,IFERROR(MATCH($A73,INDEX(Clay_Offices!$A$2:$FZ$601,0,Sync!$C$5),0),""),"")</f>
        <v/>
      </c>
      <c r="CX73" s="23" t="str">
        <f aca="false">IF(CW73="","",IFERROR(INDEX(Clay_Offices!$A$2:$FZ$601,CW73,Sync!$C$7)&amp;"",""))</f>
        <v/>
      </c>
      <c r="CY73" s="23" t="str">
        <f aca="false">IF(CX73="","",IFERROR(INDEX(Lists!$K$2:$K$15,MATCH(CX73,Lists!$J$2:$J$15,0)),""))</f>
        <v/>
      </c>
      <c r="CZ73" s="23" t="str">
        <f aca="false">IF(CW73="","",IFERROR(INDEX(Clay_Offices!$A$2:$FZ$601,CW73,Sync!$C$17)&amp;"",""))</f>
        <v/>
      </c>
      <c r="DA73" s="35" t="str">
        <f aca="false">IF(CW73="","",IFERROR(N(INDEX(Clay_Offices!$A$2:$FZ$601,CW73,Sync!$C$16)),0))</f>
        <v/>
      </c>
      <c r="DB73" s="23" t="n">
        <f aca="false">IF(AND(BB73=1,OR(AR73="Y",AR73="N",AR73="maybe")),1,0)</f>
        <v>0</v>
      </c>
      <c r="DC73" s="23" t="n">
        <f aca="false">IF(AND(DB73=1),IF(COUNTIFS($A$2:$A$201,$A73,$DB$2:$DB$201,1,$H$2:$H$201,"&gt;"&amp;H73)+COUNTIFS($A$2:$A$201,$A73,$DB$2:$DB$201,1,$H$2:$H$201,H73,$BA$2:$BA$201,"&gt;"&amp;BA73)=0,1,0),0)</f>
        <v>0</v>
      </c>
      <c r="DD73" s="23" t="n">
        <f aca="false">IF(AND(DB73=1,INT(N(H73))&lt;=Config!$B$6),IF(COUNTIFS($AZ$2:$AZ$201,AZ73,$DB$2:$DB$201,1,$H$2:$H$201,"&gt;"&amp;H73,$H$2:$H$201,"&lt;"&amp;(Config!$B$6+1))+COUNTIFS($AZ$2:$AZ$201,AZ73,$DB$2:$DB$201,1,$H$2:$H$201,H73,$BA$2:$BA$201,"&gt;"&amp;BA73)=0,1,0),0)</f>
        <v>0</v>
      </c>
      <c r="DE73" s="23" t="n">
        <f aca="false">IF(AND(DB73=1,INT(N(H73))&lt;=Config!$B$7),IF(COUNTIFS($AZ$2:$AZ$201,AZ73,$DB$2:$DB$201,1,$H$2:$H$201,"&gt;"&amp;H73,$H$2:$H$201,"&lt;"&amp;(Config!$B$7+1))+COUNTIFS($AZ$2:$AZ$201,AZ73,$DB$2:$DB$201,1,$H$2:$H$201,H73,$BA$2:$BA$201,"&gt;"&amp;BA73)=0,1,0),0)</f>
        <v>0</v>
      </c>
      <c r="DF73" s="23" t="n">
        <f aca="false">IF(AND(DB73=1,INT(N(H73))&lt;=Config!$B$8),IF(COUNTIFS($AZ$2:$AZ$201,AZ73,$DB$2:$DB$201,1,$H$2:$H$201,"&gt;"&amp;H73,$H$2:$H$201,"&lt;"&amp;(Config!$B$8+1))+COUNTIFS($AZ$2:$AZ$201,AZ73,$DB$2:$DB$201,1,$H$2:$H$201,H73,$BA$2:$BA$201,"&gt;"&amp;BA73)=0,1,0),0)</f>
        <v>0</v>
      </c>
      <c r="DG73" s="23" t="n">
        <f aca="false">IF(AND(DB73=1,INT(N(H73))&lt;=Config!$B$5),IF(COUNTIFS($AZ$2:$AZ$201,AZ73,$DB$2:$DB$201,1,$H$2:$H$201,"&gt;"&amp;H73,$H$2:$H$201,"&lt;"&amp;(Config!$B$5+1))+COUNTIFS($AZ$2:$AZ$201,AZ73,$DB$2:$DB$201,1,$H$2:$H$201,H73,$BA$2:$BA$201,"&gt;"&amp;BA73)=0,1,0),0)</f>
        <v>0</v>
      </c>
      <c r="DH73" s="23" t="n">
        <f aca="false">IF(BB73=1,IF(COUNTIFS($AZ$2:$AZ$201,AZ73,$DD$2:$DD$201,1,$AR$2:$AR$201,"Y")&gt;0,1,0),0)</f>
        <v>0</v>
      </c>
      <c r="DI73" s="23" t="n">
        <f aca="false">IF(BB73=1,IF(COUNTIFS($AZ$2:$AZ$201,AZ73,$DE$2:$DE$201,1,$AR$2:$AR$201,"Y")&gt;0,1,0),0)</f>
        <v>0</v>
      </c>
      <c r="DJ73" s="23" t="n">
        <f aca="false">IF(BB73=1,IF(COUNTIFS($AZ$2:$AZ$201,AZ73,$DF$2:$DF$201,1,$AR$2:$AR$201,"Y")&gt;0,1,0),0)</f>
        <v>0</v>
      </c>
      <c r="DK73" s="23" t="n">
        <f aca="false">IF(BB73=1,IF(COUNTIFS($AZ$2:$AZ$201,AZ73,$DG$2:$DG$201,1,$AR$2:$AR$201,"Y")&gt;0,1,0),0)</f>
        <v>0</v>
      </c>
      <c r="DL73" s="23" t="n">
        <f aca="false">IF(AND(BF73=1,INT(N(H73))&lt;=Config!$B$6,DH73=1,EI73=0),1,0)</f>
        <v>0</v>
      </c>
      <c r="DM73" s="23" t="n">
        <f aca="false">IF(AND(BF73=1,INT(N(H73))&lt;=Config!$B$7,DI73=1,EI73=0),1,0)</f>
        <v>0</v>
      </c>
      <c r="DN73" s="23" t="n">
        <f aca="false">IF(AND(BF73=1,INT(N(H73))&lt;=Config!$B$8,DJ73=1,EI73=0),1,0)</f>
        <v>0</v>
      </c>
      <c r="DO73" s="23" t="n">
        <f aca="false">IF(AND(BF73=1,INT(N(H73))&lt;=Config!$B$5,DK73=1,EI73=0),1,0)</f>
        <v>0</v>
      </c>
      <c r="DP73" s="23" t="n">
        <f aca="false">IF(AND(CC73=1,INT(N(H73))&lt;=Config!$B$6,DH73=1,EI73=0),1,0)</f>
        <v>0</v>
      </c>
      <c r="DQ73" s="23" t="n">
        <f aca="false">IF(AND(CC73=1,INT(N(H73))&lt;=Config!$B$7,DI73=1,EI73=0),1,0)</f>
        <v>0</v>
      </c>
      <c r="DR73" s="23" t="n">
        <f aca="false">IF(AND(CC73=1,INT(N(H73))&lt;=Config!$B$8,DJ73=1,EI73=0),1,0)</f>
        <v>0</v>
      </c>
      <c r="DS73" s="23" t="n">
        <f aca="false">IF(AND(CC73=1,INT(N(H73))&lt;=Config!$B$5,DK73=1,EI73=0),1,0)</f>
        <v>0</v>
      </c>
      <c r="DT73" s="23" t="n">
        <f aca="false">IF(AND(CC73=1,INT(N(H73))&lt;=Config!$B$6,DH73=0),1,0)</f>
        <v>0</v>
      </c>
      <c r="DU73" s="23" t="n">
        <f aca="false">IF(AND(CC73=1,INT(N(H73))&lt;=Config!$B$7,DI73=0),1,0)</f>
        <v>0</v>
      </c>
      <c r="DV73" s="23" t="n">
        <f aca="false">IF(AND(CC73=1,INT(N(H73))&lt;=Config!$B$8,DJ73=0),1,0)</f>
        <v>0</v>
      </c>
      <c r="DW73" s="23" t="n">
        <f aca="false">IF(AND(CC73=1,INT(N(H73))&lt;=Config!$B$5,DK73=0),1,0)</f>
        <v>0</v>
      </c>
      <c r="DX73" s="23" t="n">
        <f aca="false">IF(TRIM($A73)="",0,ISTEXT(M73)+ISTEXT(O73)+ISTEXT(Y73)+ISTEXT(Z73)+ISTEXT(AA73)+ISTEXT(AV73))</f>
        <v>0</v>
      </c>
      <c r="DY73" s="23" t="n">
        <f aca="false">IF(BB73=1,IF(H73&lt;&gt;INT(H73),1,0),0)</f>
        <v>0</v>
      </c>
      <c r="DZ73" s="23" t="str">
        <f aca="false">IF(TRIM($A73)="","",IF(TRIM(B73)="",SUBSTITUTE(SUBSTITUTE(SUBSTITUTE(SUBSTITUTE(SUBSTITUTE(SUBSTITUTE(LOWER(TRIM($A73)),"~",""),"*",""),"?",""),"&lt;",""),"&gt;",""),"=",""),SUBSTITUTE(SUBSTITUTE(SUBSTITUTE(SUBSTITUTE(SUBSTITUTE(SUBSTITUTE(LOWER(TRIM(B73)),"~",""),"*",""),"?",""),"&lt;",""),"&gt;",""),"=","")))</f>
        <v/>
      </c>
      <c r="EA73" s="23" t="str">
        <f aca="false">IF(CW73="","",IFERROR(IF(LEFT(LOWER(TRIM(INDEX(Clay_Offices!$A$2:$FZ$601,CW73,Sync!$C$19)&amp;"")),4)="grp-",SUBSTITUTE(SUBSTITUTE(SUBSTITUTE(SUBSTITUTE(SUBSTITUTE(SUBSTITUTE(LOWER(TRIM(INDEX(Clay_Offices!$A$2:$FZ$601,CW73,Sync!$C$19)&amp;"")),"~",""),"*",""),"?",""),"&lt;",""),"&gt;",""),"=",""),""),""))</f>
        <v/>
      </c>
      <c r="EB73" s="23" t="str">
        <f aca="false">IF(EA73&lt;&gt;"",DZ73,"")</f>
        <v/>
      </c>
      <c r="EC73" s="23" t="str">
        <f aca="false">IF(BC73=1,AZ73,"")</f>
        <v/>
      </c>
      <c r="ED73" s="23" t="str">
        <f aca="false">IF(TRIM($A73)="","",IFERROR(INDEX($A$2:$A$201,MATCH(AZ73,$EC$2:$EC$201,0))&amp;"",$A73&amp;""))</f>
        <v/>
      </c>
      <c r="EE73" s="23" t="n">
        <f aca="false">IF(BB73=1,IF(COUNTIFS($A$2:$A$201,$A73,$BB$2:$BB$201,1,$H$2:$H$201,"&lt;"&amp;H73)+COUNTIFS($A$2:$A$201,$A73,$BB$2:$BB$201,1,$H$2:$H$201,H73,$BA$2:$BA$201,"&lt;"&amp;BA73)=0,1,0),0)</f>
        <v>0</v>
      </c>
      <c r="EF73" s="23" t="n">
        <f aca="false">IF(BC73=1,IF(COUNTIFS($AZ$2:$AZ$201,AZ73,$EE$2:$EE$201,1)&gt;1,1,0),0)</f>
        <v>0</v>
      </c>
      <c r="EG73" s="23" t="n">
        <f aca="false">IF(AND(CQ73=1),IF(COUNTIFS($AZ$2:$AZ$201,AZ73,$CQ$2:$CQ$201,1,$H$2:$H$201,"&gt;"&amp;H73)+COUNTIFS($AZ$2:$AZ$201,AZ73,$CQ$2:$CQ$201,1,$H$2:$H$201,H73,$BA$2:$BA$201,"&gt;"&amp;BA73)=0,1,0),0)</f>
        <v>0</v>
      </c>
      <c r="EH73" s="23" t="str">
        <f aca="false">IF(BB73=1,IF(COUNTIFS($AZ$2:$AZ$201,AZ73,$EG$2:$EG$201,1)=0,"",SUMIFS($O$2:$O$201,$AZ$2:$AZ$201,AZ73,$EG$2:$EG$201,1)),"")</f>
        <v/>
      </c>
      <c r="EI73" s="23" t="n">
        <f aca="false">IF(AND(ISNUMBER(EH73),OR(N(EH73)&lt;Config!$B$31,N(EH73)&gt;Config!$B$33)),1,0)</f>
        <v>0</v>
      </c>
      <c r="EJ73" s="23" t="n">
        <f aca="false">IF(AND(ISNUMBER(EH73),N(EH73)&gt;=Config!$B$31,N(EH73)&lt;Config!$B$32),1,0)</f>
        <v>0</v>
      </c>
      <c r="EK73" s="23" t="n">
        <f aca="false">IF(AND(BF73=1,INT(N(H73))&lt;=Config!$B$6,DH73=1,EI73=1),1,0)</f>
        <v>0</v>
      </c>
      <c r="EL73" s="23" t="n">
        <f aca="false">IF(AND(BF73=1,INT(N(H73))&lt;=Config!$B$7,DI73=1,EI73=1),1,0)</f>
        <v>0</v>
      </c>
      <c r="EM73" s="23" t="n">
        <f aca="false">IF(AND(BF73=1,INT(N(H73))&lt;=Config!$B$8,DJ73=1,EI73=1),1,0)</f>
        <v>0</v>
      </c>
      <c r="EN73" s="23" t="n">
        <f aca="false">IF(AND(BF73=1,INT(N(H73))&lt;=Config!$B$5,DK73=1,EI73=1),1,0)</f>
        <v>0</v>
      </c>
      <c r="EO73" s="23" t="n">
        <f aca="false">IF(AND(DL73=1,EJ73=1),1,0)</f>
        <v>0</v>
      </c>
      <c r="EP73" s="23" t="n">
        <f aca="false">IF(AND(DM73=1,EJ73=1),1,0)</f>
        <v>0</v>
      </c>
      <c r="EQ73" s="23" t="n">
        <f aca="false">IF(AND(DN73=1,EJ73=1),1,0)</f>
        <v>0</v>
      </c>
      <c r="ER73" s="23" t="n">
        <f aca="false">IF(AND(DO73=1,EJ73=1),1,0)</f>
        <v>0</v>
      </c>
    </row>
    <row r="74" customFormat="false" ht="15" hidden="false" customHeight="false" outlineLevel="0" collapsed="false">
      <c r="G74" s="32"/>
      <c r="H74" s="33"/>
      <c r="I74" s="32"/>
      <c r="L74" s="32"/>
      <c r="Q74" s="32"/>
      <c r="U74" s="32"/>
      <c r="W74" s="32"/>
      <c r="AC74" s="32"/>
      <c r="AF74" s="32"/>
      <c r="AI74" s="32"/>
      <c r="AJ74" s="32"/>
      <c r="AN74" s="32"/>
      <c r="AR74" s="32"/>
      <c r="AT74" s="32"/>
      <c r="AU74" s="32"/>
      <c r="AW74" s="32"/>
      <c r="AY74" s="34" t="str">
        <f aca="false">IF(TRIM($A74)="","",IF(AND(LEFT($A74,6)="SAMPLE",Config!$B$19&lt;&gt;"Y"),"",IF(NOT(ISNUMBER(H74)),"call_date is blank or not a date",IF(Sync!$C$5="","Clay paste is empty or has no row_id column: paste the Clay export on Clay_Offices",IF(CW74="","row_id not found in the Clay paste: add the Clay row or fix the row_id",IF(AND(ISNUMBER(CY74),CY74&gt;=1,CY74&lt;=5),"Clay status is "&amp;CX74&amp;": set call_done or later",IF(AND(BD74=1,CZ74&lt;&gt;BZ74),"Clay yes_in_principle should be "&amp;BZ74,IF(AND(BD74=1,DA74&lt;&gt;H74),"Clay call_date should be "&amp;TEXT(H74,"yyyy-mm-dd"),""))))))))</f>
        <v/>
      </c>
      <c r="AZ74" s="23" t="str">
        <f aca="false">IF(TRIM($A74)="","",IF(TRIM(C74)&lt;&gt;"",SUBSTITUTE(SUBSTITUTE(SUBSTITUTE(SUBSTITUTE(SUBSTITUTE(SUBSTITUTE(LOWER(TRIM(C74)),"~",""),"*",""),"?",""),"&lt;",""),"&gt;",""),"=",""),IF(EA74&lt;&gt;"",EA74,IFERROR(INDEX($EA$2:$EA$201,MATCH(DZ74,$EB$2:$EB$201,0)),DZ74))))</f>
        <v/>
      </c>
      <c r="BA74" s="23" t="n">
        <f aca="false">ROW()</f>
        <v>74</v>
      </c>
      <c r="BB74" s="23" t="n">
        <f aca="false">IF(AND(TRIM($A74)&lt;&gt;"",ISNUMBER(H74)),IF(AND(LEFT($A74,6)="SAMPLE",Config!$B$19&lt;&gt;"Y"),0,1),0)</f>
        <v>0</v>
      </c>
      <c r="BC74" s="23" t="n">
        <f aca="false">IF(BB74=1,IF(COUNTIFS($AZ$2:$AZ$201,AZ74,$BB$2:$BB$201,1,$H$2:$H$201,"&lt;"&amp;H74)+COUNTIFS($AZ$2:$AZ$201,AZ74,$BB$2:$BB$201,1,$H$2:$H$201,H74,$BA$2:$BA$201,"&lt;"&amp;BA74)=0,1,0),0)</f>
        <v>0</v>
      </c>
      <c r="BD74" s="23" t="n">
        <f aca="false">IF(BB74=1,IF(COUNTIFS($A$2:$A$201,$A74,$BB$2:$BB$201,1,$H$2:$H$201,"&gt;"&amp;H74)+COUNTIFS($A$2:$A$201,$A74,$BB$2:$BB$201,1,$H$2:$H$201,H74,$BA$2:$BA$201,"&gt;"&amp;BA74)=0,1,0),0)</f>
        <v>0</v>
      </c>
      <c r="BE74" s="23" t="n">
        <f aca="false">IF(AND(BB74=1,AR74="Y",AC74="Y",TRIM(AH74)&lt;&gt;""),1,0)</f>
        <v>0</v>
      </c>
      <c r="BF74" s="23" t="n">
        <f aca="false">IF(BE74=1,IF(COUNTIFS($AZ$2:$AZ$201,AZ74,$BE$2:$BE$201,1,$H$2:$H$201,"&lt;"&amp;H74)+COUNTIFS($AZ$2:$AZ$201,AZ74,$BE$2:$BE$201,1,$H$2:$H$201,H74,$BA$2:$BA$201,"&lt;"&amp;BA74)=0,1,0),0)</f>
        <v>0</v>
      </c>
      <c r="BG74" s="23" t="n">
        <f aca="false">IF(AND(BB74=1,AR74="Y",BE74=0),1,0)</f>
        <v>0</v>
      </c>
      <c r="BH74" s="23" t="n">
        <f aca="false">IF(AND(BB74=1,ISNUMBER(Y74)),1,0)</f>
        <v>0</v>
      </c>
      <c r="BI74" s="23" t="n">
        <f aca="false">IF(BH74=1,IF(COUNTIFS($AZ$2:$AZ$201,AZ74,$BH$2:$BH$201,1,$H$2:$H$201,"&lt;"&amp;H74)+COUNTIFS($AZ$2:$AZ$201,AZ74,$BH$2:$BH$201,1,$H$2:$H$201,H74,$BA$2:$BA$201,"&lt;"&amp;BA74)=0,1,0),0)</f>
        <v>0</v>
      </c>
      <c r="BJ74" s="23" t="str">
        <f aca="false">IF(AND(BI74=1,INT(N(H74))&lt;=Config!$B$6),Y74,"")</f>
        <v/>
      </c>
      <c r="BK74" s="23" t="str">
        <f aca="false">IF(AND(BI74=1,INT(N(H74))&lt;=Config!$B$7),Y74,"")</f>
        <v/>
      </c>
      <c r="BL74" s="23" t="str">
        <f aca="false">IF(AND(BI74=1,INT(N(H74))&lt;=Config!$B$8),Y74,"")</f>
        <v/>
      </c>
      <c r="BM74" s="23" t="str">
        <f aca="false">IF(AND(BI74=1,INT(N(H74))&lt;=Config!$B$5),Y74,"")</f>
        <v/>
      </c>
      <c r="BN74" s="23" t="n">
        <f aca="false">IF(CD74=1,IF(COUNTIFS($AZ$2:$AZ$201,AZ74,$CD$2:$CD$201,1,$H$2:$H$201,"&lt;"&amp;H74)+COUNTIFS($AZ$2:$AZ$201,AZ74,$CD$2:$CD$201,1,$H$2:$H$201,H74,$BA$2:$BA$201,"&lt;"&amp;BA74)=0,1,0),0)</f>
        <v>0</v>
      </c>
      <c r="BO74" s="23" t="n">
        <f aca="false">IF(AND(BB74=1,ISNUMBER(M74)),1,0)</f>
        <v>0</v>
      </c>
      <c r="BP74" s="23" t="n">
        <f aca="false">IF(BO74=1,IF(COUNTIFS($AZ$2:$AZ$201,AZ74,$BO$2:$BO$201,1,$H$2:$H$201,"&lt;"&amp;H74)+COUNTIFS($AZ$2:$AZ$201,AZ74,$BO$2:$BO$201,1,$H$2:$H$201,H74,$BA$2:$BA$201,"&lt;"&amp;BA74)=0,1,0),0)</f>
        <v>0</v>
      </c>
      <c r="BQ74" s="23" t="str">
        <f aca="false">IF(AND(BP74=1,INT(N(H74))&lt;=Config!$B$5),M74,"")</f>
        <v/>
      </c>
      <c r="BR74" s="23" t="n">
        <f aca="false">IF(AND(BB74=1,OR(TRIM(X74)&lt;&gt;"",ISNUMBER(Y74))),1,0)</f>
        <v>0</v>
      </c>
      <c r="BS74" s="23" t="n">
        <f aca="false">IF(BR74=1,IF(COUNTIFS($AZ$2:$AZ$201,AZ74,$BR$2:$BR$201,1,$H$2:$H$201,"&lt;"&amp;H74)+COUNTIFS($AZ$2:$AZ$201,AZ74,$BR$2:$BR$201,1,$H$2:$H$201,H74,$BA$2:$BA$201,"&lt;"&amp;BA74)=0,1,0),0)</f>
        <v>0</v>
      </c>
      <c r="BT74" s="23" t="str">
        <f aca="false">IF(BS74=1,AZ74,"")</f>
        <v/>
      </c>
      <c r="BU74" s="23" t="n">
        <f aca="false">IF(AND(BB74=1,W74="Y",TRIM(X74)=""),1,0)</f>
        <v>0</v>
      </c>
      <c r="BV74" s="23" t="str">
        <f aca="false">IF(BB74=1,AN74&amp;"","")</f>
        <v/>
      </c>
      <c r="BW74" s="23" t="str">
        <f aca="false">IF(BB74=1,AO74&amp;"","")</f>
        <v/>
      </c>
      <c r="BX74" s="23" t="str">
        <f aca="false">IF(BB74=1,AP74&amp;"","")</f>
        <v/>
      </c>
      <c r="BY74" s="23" t="str">
        <f aca="false">IF(AND(BB74=1,ISNUMBER(AV74),INT(N(H74))&lt;=Config!$B$5),AV74,"")</f>
        <v/>
      </c>
      <c r="BZ74" s="23" t="str">
        <f aca="false">IF(BB74=1,IF(COUNTIFS($A$2:$A$201,$A74,$DC$2:$DC$201,1,$AR$2:$AR$201,"Y")&gt;0,"Y","N"),"")</f>
        <v/>
      </c>
      <c r="CA74" s="23" t="n">
        <f aca="false">IF(AND(BB74=1,AR74="maybe"),1,0)</f>
        <v>0</v>
      </c>
      <c r="CB74" s="23" t="n">
        <f aca="false">IF(CA74=1,IF(COUNTIFS($AZ$2:$AZ$201,AZ74,$CA$2:$CA$201,1,$H$2:$H$201,"&lt;"&amp;H74)+COUNTIFS($AZ$2:$AZ$201,AZ74,$CA$2:$CA$201,1,$H$2:$H$201,H74,$BA$2:$BA$201,"&lt;"&amp;BA74)=0,1,0),0)</f>
        <v>0</v>
      </c>
      <c r="CC74" s="23" t="n">
        <f aca="false">IF(AND(BB74=1,AR74="Y"),IF(COUNTIFS($AZ$2:$AZ$201,AZ74,$AR$2:$AR$201,"Y",$BB$2:$BB$201,1,$H$2:$H$201,"&lt;"&amp;H74)+COUNTIFS($AZ$2:$AZ$201,AZ74,$AR$2:$AR$201,"Y",$BB$2:$BB$201,1,$H$2:$H$201,H74,$BA$2:$BA$201,"&lt;"&amp;BA74)=0,1,0),0)</f>
        <v>0</v>
      </c>
      <c r="CD74" s="23" t="n">
        <f aca="false">IF(AND(BH74=1,N(Y74)&gt;=Config!$B$15),1,0)</f>
        <v>0</v>
      </c>
      <c r="CE74" s="23" t="n">
        <f aca="false">IF(AND(BB74=1,AT74="Y"),1,0)</f>
        <v>0</v>
      </c>
      <c r="CF74" s="23" t="n">
        <f aca="false">IF(CE74=1,IF(COUNTIFS($AZ$2:$AZ$201,AZ74,$CE$2:$CE$201,1,$H$2:$H$201,"&lt;"&amp;H74)+COUNTIFS($AZ$2:$AZ$201,AZ74,$CE$2:$CE$201,1,$H$2:$H$201,H74,$BA$2:$BA$201,"&lt;"&amp;BA74)=0,1,0),0)</f>
        <v>0</v>
      </c>
      <c r="CG74" s="23" t="n">
        <f aca="false">IF(AND(BB74=1,G74="warm-intro"),1,0)</f>
        <v>0</v>
      </c>
      <c r="CH74" s="23" t="n">
        <f aca="false">IF(CG74=1,IF(COUNTIFS($AZ$2:$AZ$201,AZ74,$CG$2:$CG$201,1,$H$2:$H$201,"&lt;"&amp;H74)+COUNTIFS($AZ$2:$AZ$201,AZ74,$CG$2:$CG$201,1,$H$2:$H$201,H74,$BA$2:$BA$201,"&lt;"&amp;BA74)=0,1,0),0)</f>
        <v>0</v>
      </c>
      <c r="CI74" s="23" t="n">
        <f aca="false">IF(AND(BB74=1,Q74="Y"),1,0)</f>
        <v>0</v>
      </c>
      <c r="CJ74" s="23" t="n">
        <f aca="false">IF(CI74=1,IF(COUNTIFS($AZ$2:$AZ$201,AZ74,$CI$2:$CI$201,1,$H$2:$H$201,"&lt;"&amp;H74)+COUNTIFS($AZ$2:$AZ$201,AZ74,$CI$2:$CI$201,1,$H$2:$H$201,H74,$BA$2:$BA$201,"&lt;"&amp;BA74)=0,1,0),0)</f>
        <v>0</v>
      </c>
      <c r="CK74" s="23" t="n">
        <f aca="false">IF(AND(BB74=1,AF74="Y"),1,0)</f>
        <v>0</v>
      </c>
      <c r="CL74" s="23" t="n">
        <f aca="false">IF(CK74=1,IF(COUNTIFS($AZ$2:$AZ$201,AZ74,$CK$2:$CK$201,1,$H$2:$H$201,"&lt;"&amp;H74)+COUNTIFS($AZ$2:$AZ$201,AZ74,$CK$2:$CK$201,1,$H$2:$H$201,H74,$BA$2:$BA$201,"&lt;"&amp;BA74)=0,1,0),0)</f>
        <v>0</v>
      </c>
      <c r="CM74" s="23" t="n">
        <f aca="false">IF(AND(BB74=1,U74="Y"),1,0)</f>
        <v>0</v>
      </c>
      <c r="CN74" s="23" t="n">
        <f aca="false">IF(CM74=1,IF(COUNTIFS($AZ$2:$AZ$201,AZ74,$CM$2:$CM$201,1,$H$2:$H$201,"&lt;"&amp;H74)+COUNTIFS($AZ$2:$AZ$201,AZ74,$CM$2:$CM$201,1,$H$2:$H$201,H74,$BA$2:$BA$201,"&lt;"&amp;BA74)=0,1,0),0)</f>
        <v>0</v>
      </c>
      <c r="CO74" s="23" t="n">
        <f aca="false">IF(AND(BB74=1,L74="Y"),1,0)</f>
        <v>0</v>
      </c>
      <c r="CP74" s="23" t="n">
        <f aca="false">IF(CO74=1,IF(COUNTIFS($AZ$2:$AZ$201,AZ74,$CO$2:$CO$201,1,$H$2:$H$201,"&lt;"&amp;H74)+COUNTIFS($AZ$2:$AZ$201,AZ74,$CO$2:$CO$201,1,$H$2:$H$201,H74,$BA$2:$BA$201,"&lt;"&amp;BA74)=0,1,0),0)</f>
        <v>0</v>
      </c>
      <c r="CQ74" s="23" t="n">
        <f aca="false">IF(AND(BB74=1,ISNUMBER(O74)),1,0)</f>
        <v>0</v>
      </c>
      <c r="CR74" s="23" t="n">
        <f aca="false">IF(CQ74=1,IF(COUNTIFS($AZ$2:$AZ$201,AZ74,$CQ$2:$CQ$201,1,$H$2:$H$201,"&lt;"&amp;H74)+COUNTIFS($AZ$2:$AZ$201,AZ74,$CQ$2:$CQ$201,1,$H$2:$H$201,H74,$BA$2:$BA$201,"&lt;"&amp;BA74)=0,1,0),0)</f>
        <v>0</v>
      </c>
      <c r="CS74" s="23" t="str">
        <f aca="false">IF(AND(CR74=1,INT(N(H74))&lt;=Config!$B$5),O74,"")</f>
        <v/>
      </c>
      <c r="CT74" s="23" t="str">
        <f aca="false">IF(AND(BB74=1,INT(N(H74))&lt;=Config!$B$5),AG74&amp;"","")</f>
        <v/>
      </c>
      <c r="CU74" s="23" t="n">
        <f aca="false">IF(AND(BB74=1,AU74="Y"),1,0)</f>
        <v>0</v>
      </c>
      <c r="CV74" s="23" t="n">
        <f aca="false">IF(CU74=1,IF(COUNTIFS($AZ$2:$AZ$201,AZ74,$CU$2:$CU$201,1,$H$2:$H$201,"&lt;"&amp;H74)+COUNTIFS($AZ$2:$AZ$201,AZ74,$CU$2:$CU$201,1,$H$2:$H$201,H74,$BA$2:$BA$201,"&lt;"&amp;BA74)=0,1,0),0)</f>
        <v>0</v>
      </c>
      <c r="CW74" s="23" t="str">
        <f aca="false">IF(BB74=1,IFERROR(MATCH($A74,INDEX(Clay_Offices!$A$2:$FZ$601,0,Sync!$C$5),0),""),"")</f>
        <v/>
      </c>
      <c r="CX74" s="23" t="str">
        <f aca="false">IF(CW74="","",IFERROR(INDEX(Clay_Offices!$A$2:$FZ$601,CW74,Sync!$C$7)&amp;"",""))</f>
        <v/>
      </c>
      <c r="CY74" s="23" t="str">
        <f aca="false">IF(CX74="","",IFERROR(INDEX(Lists!$K$2:$K$15,MATCH(CX74,Lists!$J$2:$J$15,0)),""))</f>
        <v/>
      </c>
      <c r="CZ74" s="23" t="str">
        <f aca="false">IF(CW74="","",IFERROR(INDEX(Clay_Offices!$A$2:$FZ$601,CW74,Sync!$C$17)&amp;"",""))</f>
        <v/>
      </c>
      <c r="DA74" s="35" t="str">
        <f aca="false">IF(CW74="","",IFERROR(N(INDEX(Clay_Offices!$A$2:$FZ$601,CW74,Sync!$C$16)),0))</f>
        <v/>
      </c>
      <c r="DB74" s="23" t="n">
        <f aca="false">IF(AND(BB74=1,OR(AR74="Y",AR74="N",AR74="maybe")),1,0)</f>
        <v>0</v>
      </c>
      <c r="DC74" s="23" t="n">
        <f aca="false">IF(AND(DB74=1),IF(COUNTIFS($A$2:$A$201,$A74,$DB$2:$DB$201,1,$H$2:$H$201,"&gt;"&amp;H74)+COUNTIFS($A$2:$A$201,$A74,$DB$2:$DB$201,1,$H$2:$H$201,H74,$BA$2:$BA$201,"&gt;"&amp;BA74)=0,1,0),0)</f>
        <v>0</v>
      </c>
      <c r="DD74" s="23" t="n">
        <f aca="false">IF(AND(DB74=1,INT(N(H74))&lt;=Config!$B$6),IF(COUNTIFS($AZ$2:$AZ$201,AZ74,$DB$2:$DB$201,1,$H$2:$H$201,"&gt;"&amp;H74,$H$2:$H$201,"&lt;"&amp;(Config!$B$6+1))+COUNTIFS($AZ$2:$AZ$201,AZ74,$DB$2:$DB$201,1,$H$2:$H$201,H74,$BA$2:$BA$201,"&gt;"&amp;BA74)=0,1,0),0)</f>
        <v>0</v>
      </c>
      <c r="DE74" s="23" t="n">
        <f aca="false">IF(AND(DB74=1,INT(N(H74))&lt;=Config!$B$7),IF(COUNTIFS($AZ$2:$AZ$201,AZ74,$DB$2:$DB$201,1,$H$2:$H$201,"&gt;"&amp;H74,$H$2:$H$201,"&lt;"&amp;(Config!$B$7+1))+COUNTIFS($AZ$2:$AZ$201,AZ74,$DB$2:$DB$201,1,$H$2:$H$201,H74,$BA$2:$BA$201,"&gt;"&amp;BA74)=0,1,0),0)</f>
        <v>0</v>
      </c>
      <c r="DF74" s="23" t="n">
        <f aca="false">IF(AND(DB74=1,INT(N(H74))&lt;=Config!$B$8),IF(COUNTIFS($AZ$2:$AZ$201,AZ74,$DB$2:$DB$201,1,$H$2:$H$201,"&gt;"&amp;H74,$H$2:$H$201,"&lt;"&amp;(Config!$B$8+1))+COUNTIFS($AZ$2:$AZ$201,AZ74,$DB$2:$DB$201,1,$H$2:$H$201,H74,$BA$2:$BA$201,"&gt;"&amp;BA74)=0,1,0),0)</f>
        <v>0</v>
      </c>
      <c r="DG74" s="23" t="n">
        <f aca="false">IF(AND(DB74=1,INT(N(H74))&lt;=Config!$B$5),IF(COUNTIFS($AZ$2:$AZ$201,AZ74,$DB$2:$DB$201,1,$H$2:$H$201,"&gt;"&amp;H74,$H$2:$H$201,"&lt;"&amp;(Config!$B$5+1))+COUNTIFS($AZ$2:$AZ$201,AZ74,$DB$2:$DB$201,1,$H$2:$H$201,H74,$BA$2:$BA$201,"&gt;"&amp;BA74)=0,1,0),0)</f>
        <v>0</v>
      </c>
      <c r="DH74" s="23" t="n">
        <f aca="false">IF(BB74=1,IF(COUNTIFS($AZ$2:$AZ$201,AZ74,$DD$2:$DD$201,1,$AR$2:$AR$201,"Y")&gt;0,1,0),0)</f>
        <v>0</v>
      </c>
      <c r="DI74" s="23" t="n">
        <f aca="false">IF(BB74=1,IF(COUNTIFS($AZ$2:$AZ$201,AZ74,$DE$2:$DE$201,1,$AR$2:$AR$201,"Y")&gt;0,1,0),0)</f>
        <v>0</v>
      </c>
      <c r="DJ74" s="23" t="n">
        <f aca="false">IF(BB74=1,IF(COUNTIFS($AZ$2:$AZ$201,AZ74,$DF$2:$DF$201,1,$AR$2:$AR$201,"Y")&gt;0,1,0),0)</f>
        <v>0</v>
      </c>
      <c r="DK74" s="23" t="n">
        <f aca="false">IF(BB74=1,IF(COUNTIFS($AZ$2:$AZ$201,AZ74,$DG$2:$DG$201,1,$AR$2:$AR$201,"Y")&gt;0,1,0),0)</f>
        <v>0</v>
      </c>
      <c r="DL74" s="23" t="n">
        <f aca="false">IF(AND(BF74=1,INT(N(H74))&lt;=Config!$B$6,DH74=1,EI74=0),1,0)</f>
        <v>0</v>
      </c>
      <c r="DM74" s="23" t="n">
        <f aca="false">IF(AND(BF74=1,INT(N(H74))&lt;=Config!$B$7,DI74=1,EI74=0),1,0)</f>
        <v>0</v>
      </c>
      <c r="DN74" s="23" t="n">
        <f aca="false">IF(AND(BF74=1,INT(N(H74))&lt;=Config!$B$8,DJ74=1,EI74=0),1,0)</f>
        <v>0</v>
      </c>
      <c r="DO74" s="23" t="n">
        <f aca="false">IF(AND(BF74=1,INT(N(H74))&lt;=Config!$B$5,DK74=1,EI74=0),1,0)</f>
        <v>0</v>
      </c>
      <c r="DP74" s="23" t="n">
        <f aca="false">IF(AND(CC74=1,INT(N(H74))&lt;=Config!$B$6,DH74=1,EI74=0),1,0)</f>
        <v>0</v>
      </c>
      <c r="DQ74" s="23" t="n">
        <f aca="false">IF(AND(CC74=1,INT(N(H74))&lt;=Config!$B$7,DI74=1,EI74=0),1,0)</f>
        <v>0</v>
      </c>
      <c r="DR74" s="23" t="n">
        <f aca="false">IF(AND(CC74=1,INT(N(H74))&lt;=Config!$B$8,DJ74=1,EI74=0),1,0)</f>
        <v>0</v>
      </c>
      <c r="DS74" s="23" t="n">
        <f aca="false">IF(AND(CC74=1,INT(N(H74))&lt;=Config!$B$5,DK74=1,EI74=0),1,0)</f>
        <v>0</v>
      </c>
      <c r="DT74" s="23" t="n">
        <f aca="false">IF(AND(CC74=1,INT(N(H74))&lt;=Config!$B$6,DH74=0),1,0)</f>
        <v>0</v>
      </c>
      <c r="DU74" s="23" t="n">
        <f aca="false">IF(AND(CC74=1,INT(N(H74))&lt;=Config!$B$7,DI74=0),1,0)</f>
        <v>0</v>
      </c>
      <c r="DV74" s="23" t="n">
        <f aca="false">IF(AND(CC74=1,INT(N(H74))&lt;=Config!$B$8,DJ74=0),1,0)</f>
        <v>0</v>
      </c>
      <c r="DW74" s="23" t="n">
        <f aca="false">IF(AND(CC74=1,INT(N(H74))&lt;=Config!$B$5,DK74=0),1,0)</f>
        <v>0</v>
      </c>
      <c r="DX74" s="23" t="n">
        <f aca="false">IF(TRIM($A74)="",0,ISTEXT(M74)+ISTEXT(O74)+ISTEXT(Y74)+ISTEXT(Z74)+ISTEXT(AA74)+ISTEXT(AV74))</f>
        <v>0</v>
      </c>
      <c r="DY74" s="23" t="n">
        <f aca="false">IF(BB74=1,IF(H74&lt;&gt;INT(H74),1,0),0)</f>
        <v>0</v>
      </c>
      <c r="DZ74" s="23" t="str">
        <f aca="false">IF(TRIM($A74)="","",IF(TRIM(B74)="",SUBSTITUTE(SUBSTITUTE(SUBSTITUTE(SUBSTITUTE(SUBSTITUTE(SUBSTITUTE(LOWER(TRIM($A74)),"~",""),"*",""),"?",""),"&lt;",""),"&gt;",""),"=",""),SUBSTITUTE(SUBSTITUTE(SUBSTITUTE(SUBSTITUTE(SUBSTITUTE(SUBSTITUTE(LOWER(TRIM(B74)),"~",""),"*",""),"?",""),"&lt;",""),"&gt;",""),"=","")))</f>
        <v/>
      </c>
      <c r="EA74" s="23" t="str">
        <f aca="false">IF(CW74="","",IFERROR(IF(LEFT(LOWER(TRIM(INDEX(Clay_Offices!$A$2:$FZ$601,CW74,Sync!$C$19)&amp;"")),4)="grp-",SUBSTITUTE(SUBSTITUTE(SUBSTITUTE(SUBSTITUTE(SUBSTITUTE(SUBSTITUTE(LOWER(TRIM(INDEX(Clay_Offices!$A$2:$FZ$601,CW74,Sync!$C$19)&amp;"")),"~",""),"*",""),"?",""),"&lt;",""),"&gt;",""),"=",""),""),""))</f>
        <v/>
      </c>
      <c r="EB74" s="23" t="str">
        <f aca="false">IF(EA74&lt;&gt;"",DZ74,"")</f>
        <v/>
      </c>
      <c r="EC74" s="23" t="str">
        <f aca="false">IF(BC74=1,AZ74,"")</f>
        <v/>
      </c>
      <c r="ED74" s="23" t="str">
        <f aca="false">IF(TRIM($A74)="","",IFERROR(INDEX($A$2:$A$201,MATCH(AZ74,$EC$2:$EC$201,0))&amp;"",$A74&amp;""))</f>
        <v/>
      </c>
      <c r="EE74" s="23" t="n">
        <f aca="false">IF(BB74=1,IF(COUNTIFS($A$2:$A$201,$A74,$BB$2:$BB$201,1,$H$2:$H$201,"&lt;"&amp;H74)+COUNTIFS($A$2:$A$201,$A74,$BB$2:$BB$201,1,$H$2:$H$201,H74,$BA$2:$BA$201,"&lt;"&amp;BA74)=0,1,0),0)</f>
        <v>0</v>
      </c>
      <c r="EF74" s="23" t="n">
        <f aca="false">IF(BC74=1,IF(COUNTIFS($AZ$2:$AZ$201,AZ74,$EE$2:$EE$201,1)&gt;1,1,0),0)</f>
        <v>0</v>
      </c>
      <c r="EG74" s="23" t="n">
        <f aca="false">IF(AND(CQ74=1),IF(COUNTIFS($AZ$2:$AZ$201,AZ74,$CQ$2:$CQ$201,1,$H$2:$H$201,"&gt;"&amp;H74)+COUNTIFS($AZ$2:$AZ$201,AZ74,$CQ$2:$CQ$201,1,$H$2:$H$201,H74,$BA$2:$BA$201,"&gt;"&amp;BA74)=0,1,0),0)</f>
        <v>0</v>
      </c>
      <c r="EH74" s="23" t="str">
        <f aca="false">IF(BB74=1,IF(COUNTIFS($AZ$2:$AZ$201,AZ74,$EG$2:$EG$201,1)=0,"",SUMIFS($O$2:$O$201,$AZ$2:$AZ$201,AZ74,$EG$2:$EG$201,1)),"")</f>
        <v/>
      </c>
      <c r="EI74" s="23" t="n">
        <f aca="false">IF(AND(ISNUMBER(EH74),OR(N(EH74)&lt;Config!$B$31,N(EH74)&gt;Config!$B$33)),1,0)</f>
        <v>0</v>
      </c>
      <c r="EJ74" s="23" t="n">
        <f aca="false">IF(AND(ISNUMBER(EH74),N(EH74)&gt;=Config!$B$31,N(EH74)&lt;Config!$B$32),1,0)</f>
        <v>0</v>
      </c>
      <c r="EK74" s="23" t="n">
        <f aca="false">IF(AND(BF74=1,INT(N(H74))&lt;=Config!$B$6,DH74=1,EI74=1),1,0)</f>
        <v>0</v>
      </c>
      <c r="EL74" s="23" t="n">
        <f aca="false">IF(AND(BF74=1,INT(N(H74))&lt;=Config!$B$7,DI74=1,EI74=1),1,0)</f>
        <v>0</v>
      </c>
      <c r="EM74" s="23" t="n">
        <f aca="false">IF(AND(BF74=1,INT(N(H74))&lt;=Config!$B$8,DJ74=1,EI74=1),1,0)</f>
        <v>0</v>
      </c>
      <c r="EN74" s="23" t="n">
        <f aca="false">IF(AND(BF74=1,INT(N(H74))&lt;=Config!$B$5,DK74=1,EI74=1),1,0)</f>
        <v>0</v>
      </c>
      <c r="EO74" s="23" t="n">
        <f aca="false">IF(AND(DL74=1,EJ74=1),1,0)</f>
        <v>0</v>
      </c>
      <c r="EP74" s="23" t="n">
        <f aca="false">IF(AND(DM74=1,EJ74=1),1,0)</f>
        <v>0</v>
      </c>
      <c r="EQ74" s="23" t="n">
        <f aca="false">IF(AND(DN74=1,EJ74=1),1,0)</f>
        <v>0</v>
      </c>
      <c r="ER74" s="23" t="n">
        <f aca="false">IF(AND(DO74=1,EJ74=1),1,0)</f>
        <v>0</v>
      </c>
    </row>
    <row r="75" customFormat="false" ht="15" hidden="false" customHeight="false" outlineLevel="0" collapsed="false">
      <c r="G75" s="32"/>
      <c r="H75" s="33"/>
      <c r="I75" s="32"/>
      <c r="L75" s="32"/>
      <c r="Q75" s="32"/>
      <c r="U75" s="32"/>
      <c r="W75" s="32"/>
      <c r="AC75" s="32"/>
      <c r="AF75" s="32"/>
      <c r="AI75" s="32"/>
      <c r="AJ75" s="32"/>
      <c r="AN75" s="32"/>
      <c r="AR75" s="32"/>
      <c r="AT75" s="32"/>
      <c r="AU75" s="32"/>
      <c r="AW75" s="32"/>
      <c r="AY75" s="34" t="str">
        <f aca="false">IF(TRIM($A75)="","",IF(AND(LEFT($A75,6)="SAMPLE",Config!$B$19&lt;&gt;"Y"),"",IF(NOT(ISNUMBER(H75)),"call_date is blank or not a date",IF(Sync!$C$5="","Clay paste is empty or has no row_id column: paste the Clay export on Clay_Offices",IF(CW75="","row_id not found in the Clay paste: add the Clay row or fix the row_id",IF(AND(ISNUMBER(CY75),CY75&gt;=1,CY75&lt;=5),"Clay status is "&amp;CX75&amp;": set call_done or later",IF(AND(BD75=1,CZ75&lt;&gt;BZ75),"Clay yes_in_principle should be "&amp;BZ75,IF(AND(BD75=1,DA75&lt;&gt;H75),"Clay call_date should be "&amp;TEXT(H75,"yyyy-mm-dd"),""))))))))</f>
        <v/>
      </c>
      <c r="AZ75" s="23" t="str">
        <f aca="false">IF(TRIM($A75)="","",IF(TRIM(C75)&lt;&gt;"",SUBSTITUTE(SUBSTITUTE(SUBSTITUTE(SUBSTITUTE(SUBSTITUTE(SUBSTITUTE(LOWER(TRIM(C75)),"~",""),"*",""),"?",""),"&lt;",""),"&gt;",""),"=",""),IF(EA75&lt;&gt;"",EA75,IFERROR(INDEX($EA$2:$EA$201,MATCH(DZ75,$EB$2:$EB$201,0)),DZ75))))</f>
        <v/>
      </c>
      <c r="BA75" s="23" t="n">
        <f aca="false">ROW()</f>
        <v>75</v>
      </c>
      <c r="BB75" s="23" t="n">
        <f aca="false">IF(AND(TRIM($A75)&lt;&gt;"",ISNUMBER(H75)),IF(AND(LEFT($A75,6)="SAMPLE",Config!$B$19&lt;&gt;"Y"),0,1),0)</f>
        <v>0</v>
      </c>
      <c r="BC75" s="23" t="n">
        <f aca="false">IF(BB75=1,IF(COUNTIFS($AZ$2:$AZ$201,AZ75,$BB$2:$BB$201,1,$H$2:$H$201,"&lt;"&amp;H75)+COUNTIFS($AZ$2:$AZ$201,AZ75,$BB$2:$BB$201,1,$H$2:$H$201,H75,$BA$2:$BA$201,"&lt;"&amp;BA75)=0,1,0),0)</f>
        <v>0</v>
      </c>
      <c r="BD75" s="23" t="n">
        <f aca="false">IF(BB75=1,IF(COUNTIFS($A$2:$A$201,$A75,$BB$2:$BB$201,1,$H$2:$H$201,"&gt;"&amp;H75)+COUNTIFS($A$2:$A$201,$A75,$BB$2:$BB$201,1,$H$2:$H$201,H75,$BA$2:$BA$201,"&gt;"&amp;BA75)=0,1,0),0)</f>
        <v>0</v>
      </c>
      <c r="BE75" s="23" t="n">
        <f aca="false">IF(AND(BB75=1,AR75="Y",AC75="Y",TRIM(AH75)&lt;&gt;""),1,0)</f>
        <v>0</v>
      </c>
      <c r="BF75" s="23" t="n">
        <f aca="false">IF(BE75=1,IF(COUNTIFS($AZ$2:$AZ$201,AZ75,$BE$2:$BE$201,1,$H$2:$H$201,"&lt;"&amp;H75)+COUNTIFS($AZ$2:$AZ$201,AZ75,$BE$2:$BE$201,1,$H$2:$H$201,H75,$BA$2:$BA$201,"&lt;"&amp;BA75)=0,1,0),0)</f>
        <v>0</v>
      </c>
      <c r="BG75" s="23" t="n">
        <f aca="false">IF(AND(BB75=1,AR75="Y",BE75=0),1,0)</f>
        <v>0</v>
      </c>
      <c r="BH75" s="23" t="n">
        <f aca="false">IF(AND(BB75=1,ISNUMBER(Y75)),1,0)</f>
        <v>0</v>
      </c>
      <c r="BI75" s="23" t="n">
        <f aca="false">IF(BH75=1,IF(COUNTIFS($AZ$2:$AZ$201,AZ75,$BH$2:$BH$201,1,$H$2:$H$201,"&lt;"&amp;H75)+COUNTIFS($AZ$2:$AZ$201,AZ75,$BH$2:$BH$201,1,$H$2:$H$201,H75,$BA$2:$BA$201,"&lt;"&amp;BA75)=0,1,0),0)</f>
        <v>0</v>
      </c>
      <c r="BJ75" s="23" t="str">
        <f aca="false">IF(AND(BI75=1,INT(N(H75))&lt;=Config!$B$6),Y75,"")</f>
        <v/>
      </c>
      <c r="BK75" s="23" t="str">
        <f aca="false">IF(AND(BI75=1,INT(N(H75))&lt;=Config!$B$7),Y75,"")</f>
        <v/>
      </c>
      <c r="BL75" s="23" t="str">
        <f aca="false">IF(AND(BI75=1,INT(N(H75))&lt;=Config!$B$8),Y75,"")</f>
        <v/>
      </c>
      <c r="BM75" s="23" t="str">
        <f aca="false">IF(AND(BI75=1,INT(N(H75))&lt;=Config!$B$5),Y75,"")</f>
        <v/>
      </c>
      <c r="BN75" s="23" t="n">
        <f aca="false">IF(CD75=1,IF(COUNTIFS($AZ$2:$AZ$201,AZ75,$CD$2:$CD$201,1,$H$2:$H$201,"&lt;"&amp;H75)+COUNTIFS($AZ$2:$AZ$201,AZ75,$CD$2:$CD$201,1,$H$2:$H$201,H75,$BA$2:$BA$201,"&lt;"&amp;BA75)=0,1,0),0)</f>
        <v>0</v>
      </c>
      <c r="BO75" s="23" t="n">
        <f aca="false">IF(AND(BB75=1,ISNUMBER(M75)),1,0)</f>
        <v>0</v>
      </c>
      <c r="BP75" s="23" t="n">
        <f aca="false">IF(BO75=1,IF(COUNTIFS($AZ$2:$AZ$201,AZ75,$BO$2:$BO$201,1,$H$2:$H$201,"&lt;"&amp;H75)+COUNTIFS($AZ$2:$AZ$201,AZ75,$BO$2:$BO$201,1,$H$2:$H$201,H75,$BA$2:$BA$201,"&lt;"&amp;BA75)=0,1,0),0)</f>
        <v>0</v>
      </c>
      <c r="BQ75" s="23" t="str">
        <f aca="false">IF(AND(BP75=1,INT(N(H75))&lt;=Config!$B$5),M75,"")</f>
        <v/>
      </c>
      <c r="BR75" s="23" t="n">
        <f aca="false">IF(AND(BB75=1,OR(TRIM(X75)&lt;&gt;"",ISNUMBER(Y75))),1,0)</f>
        <v>0</v>
      </c>
      <c r="BS75" s="23" t="n">
        <f aca="false">IF(BR75=1,IF(COUNTIFS($AZ$2:$AZ$201,AZ75,$BR$2:$BR$201,1,$H$2:$H$201,"&lt;"&amp;H75)+COUNTIFS($AZ$2:$AZ$201,AZ75,$BR$2:$BR$201,1,$H$2:$H$201,H75,$BA$2:$BA$201,"&lt;"&amp;BA75)=0,1,0),0)</f>
        <v>0</v>
      </c>
      <c r="BT75" s="23" t="str">
        <f aca="false">IF(BS75=1,AZ75,"")</f>
        <v/>
      </c>
      <c r="BU75" s="23" t="n">
        <f aca="false">IF(AND(BB75=1,W75="Y",TRIM(X75)=""),1,0)</f>
        <v>0</v>
      </c>
      <c r="BV75" s="23" t="str">
        <f aca="false">IF(BB75=1,AN75&amp;"","")</f>
        <v/>
      </c>
      <c r="BW75" s="23" t="str">
        <f aca="false">IF(BB75=1,AO75&amp;"","")</f>
        <v/>
      </c>
      <c r="BX75" s="23" t="str">
        <f aca="false">IF(BB75=1,AP75&amp;"","")</f>
        <v/>
      </c>
      <c r="BY75" s="23" t="str">
        <f aca="false">IF(AND(BB75=1,ISNUMBER(AV75),INT(N(H75))&lt;=Config!$B$5),AV75,"")</f>
        <v/>
      </c>
      <c r="BZ75" s="23" t="str">
        <f aca="false">IF(BB75=1,IF(COUNTIFS($A$2:$A$201,$A75,$DC$2:$DC$201,1,$AR$2:$AR$201,"Y")&gt;0,"Y","N"),"")</f>
        <v/>
      </c>
      <c r="CA75" s="23" t="n">
        <f aca="false">IF(AND(BB75=1,AR75="maybe"),1,0)</f>
        <v>0</v>
      </c>
      <c r="CB75" s="23" t="n">
        <f aca="false">IF(CA75=1,IF(COUNTIFS($AZ$2:$AZ$201,AZ75,$CA$2:$CA$201,1,$H$2:$H$201,"&lt;"&amp;H75)+COUNTIFS($AZ$2:$AZ$201,AZ75,$CA$2:$CA$201,1,$H$2:$H$201,H75,$BA$2:$BA$201,"&lt;"&amp;BA75)=0,1,0),0)</f>
        <v>0</v>
      </c>
      <c r="CC75" s="23" t="n">
        <f aca="false">IF(AND(BB75=1,AR75="Y"),IF(COUNTIFS($AZ$2:$AZ$201,AZ75,$AR$2:$AR$201,"Y",$BB$2:$BB$201,1,$H$2:$H$201,"&lt;"&amp;H75)+COUNTIFS($AZ$2:$AZ$201,AZ75,$AR$2:$AR$201,"Y",$BB$2:$BB$201,1,$H$2:$H$201,H75,$BA$2:$BA$201,"&lt;"&amp;BA75)=0,1,0),0)</f>
        <v>0</v>
      </c>
      <c r="CD75" s="23" t="n">
        <f aca="false">IF(AND(BH75=1,N(Y75)&gt;=Config!$B$15),1,0)</f>
        <v>0</v>
      </c>
      <c r="CE75" s="23" t="n">
        <f aca="false">IF(AND(BB75=1,AT75="Y"),1,0)</f>
        <v>0</v>
      </c>
      <c r="CF75" s="23" t="n">
        <f aca="false">IF(CE75=1,IF(COUNTIFS($AZ$2:$AZ$201,AZ75,$CE$2:$CE$201,1,$H$2:$H$201,"&lt;"&amp;H75)+COUNTIFS($AZ$2:$AZ$201,AZ75,$CE$2:$CE$201,1,$H$2:$H$201,H75,$BA$2:$BA$201,"&lt;"&amp;BA75)=0,1,0),0)</f>
        <v>0</v>
      </c>
      <c r="CG75" s="23" t="n">
        <f aca="false">IF(AND(BB75=1,G75="warm-intro"),1,0)</f>
        <v>0</v>
      </c>
      <c r="CH75" s="23" t="n">
        <f aca="false">IF(CG75=1,IF(COUNTIFS($AZ$2:$AZ$201,AZ75,$CG$2:$CG$201,1,$H$2:$H$201,"&lt;"&amp;H75)+COUNTIFS($AZ$2:$AZ$201,AZ75,$CG$2:$CG$201,1,$H$2:$H$201,H75,$BA$2:$BA$201,"&lt;"&amp;BA75)=0,1,0),0)</f>
        <v>0</v>
      </c>
      <c r="CI75" s="23" t="n">
        <f aca="false">IF(AND(BB75=1,Q75="Y"),1,0)</f>
        <v>0</v>
      </c>
      <c r="CJ75" s="23" t="n">
        <f aca="false">IF(CI75=1,IF(COUNTIFS($AZ$2:$AZ$201,AZ75,$CI$2:$CI$201,1,$H$2:$H$201,"&lt;"&amp;H75)+COUNTIFS($AZ$2:$AZ$201,AZ75,$CI$2:$CI$201,1,$H$2:$H$201,H75,$BA$2:$BA$201,"&lt;"&amp;BA75)=0,1,0),0)</f>
        <v>0</v>
      </c>
      <c r="CK75" s="23" t="n">
        <f aca="false">IF(AND(BB75=1,AF75="Y"),1,0)</f>
        <v>0</v>
      </c>
      <c r="CL75" s="23" t="n">
        <f aca="false">IF(CK75=1,IF(COUNTIFS($AZ$2:$AZ$201,AZ75,$CK$2:$CK$201,1,$H$2:$H$201,"&lt;"&amp;H75)+COUNTIFS($AZ$2:$AZ$201,AZ75,$CK$2:$CK$201,1,$H$2:$H$201,H75,$BA$2:$BA$201,"&lt;"&amp;BA75)=0,1,0),0)</f>
        <v>0</v>
      </c>
      <c r="CM75" s="23" t="n">
        <f aca="false">IF(AND(BB75=1,U75="Y"),1,0)</f>
        <v>0</v>
      </c>
      <c r="CN75" s="23" t="n">
        <f aca="false">IF(CM75=1,IF(COUNTIFS($AZ$2:$AZ$201,AZ75,$CM$2:$CM$201,1,$H$2:$H$201,"&lt;"&amp;H75)+COUNTIFS($AZ$2:$AZ$201,AZ75,$CM$2:$CM$201,1,$H$2:$H$201,H75,$BA$2:$BA$201,"&lt;"&amp;BA75)=0,1,0),0)</f>
        <v>0</v>
      </c>
      <c r="CO75" s="23" t="n">
        <f aca="false">IF(AND(BB75=1,L75="Y"),1,0)</f>
        <v>0</v>
      </c>
      <c r="CP75" s="23" t="n">
        <f aca="false">IF(CO75=1,IF(COUNTIFS($AZ$2:$AZ$201,AZ75,$CO$2:$CO$201,1,$H$2:$H$201,"&lt;"&amp;H75)+COUNTIFS($AZ$2:$AZ$201,AZ75,$CO$2:$CO$201,1,$H$2:$H$201,H75,$BA$2:$BA$201,"&lt;"&amp;BA75)=0,1,0),0)</f>
        <v>0</v>
      </c>
      <c r="CQ75" s="23" t="n">
        <f aca="false">IF(AND(BB75=1,ISNUMBER(O75)),1,0)</f>
        <v>0</v>
      </c>
      <c r="CR75" s="23" t="n">
        <f aca="false">IF(CQ75=1,IF(COUNTIFS($AZ$2:$AZ$201,AZ75,$CQ$2:$CQ$201,1,$H$2:$H$201,"&lt;"&amp;H75)+COUNTIFS($AZ$2:$AZ$201,AZ75,$CQ$2:$CQ$201,1,$H$2:$H$201,H75,$BA$2:$BA$201,"&lt;"&amp;BA75)=0,1,0),0)</f>
        <v>0</v>
      </c>
      <c r="CS75" s="23" t="str">
        <f aca="false">IF(AND(CR75=1,INT(N(H75))&lt;=Config!$B$5),O75,"")</f>
        <v/>
      </c>
      <c r="CT75" s="23" t="str">
        <f aca="false">IF(AND(BB75=1,INT(N(H75))&lt;=Config!$B$5),AG75&amp;"","")</f>
        <v/>
      </c>
      <c r="CU75" s="23" t="n">
        <f aca="false">IF(AND(BB75=1,AU75="Y"),1,0)</f>
        <v>0</v>
      </c>
      <c r="CV75" s="23" t="n">
        <f aca="false">IF(CU75=1,IF(COUNTIFS($AZ$2:$AZ$201,AZ75,$CU$2:$CU$201,1,$H$2:$H$201,"&lt;"&amp;H75)+COUNTIFS($AZ$2:$AZ$201,AZ75,$CU$2:$CU$201,1,$H$2:$H$201,H75,$BA$2:$BA$201,"&lt;"&amp;BA75)=0,1,0),0)</f>
        <v>0</v>
      </c>
      <c r="CW75" s="23" t="str">
        <f aca="false">IF(BB75=1,IFERROR(MATCH($A75,INDEX(Clay_Offices!$A$2:$FZ$601,0,Sync!$C$5),0),""),"")</f>
        <v/>
      </c>
      <c r="CX75" s="23" t="str">
        <f aca="false">IF(CW75="","",IFERROR(INDEX(Clay_Offices!$A$2:$FZ$601,CW75,Sync!$C$7)&amp;"",""))</f>
        <v/>
      </c>
      <c r="CY75" s="23" t="str">
        <f aca="false">IF(CX75="","",IFERROR(INDEX(Lists!$K$2:$K$15,MATCH(CX75,Lists!$J$2:$J$15,0)),""))</f>
        <v/>
      </c>
      <c r="CZ75" s="23" t="str">
        <f aca="false">IF(CW75="","",IFERROR(INDEX(Clay_Offices!$A$2:$FZ$601,CW75,Sync!$C$17)&amp;"",""))</f>
        <v/>
      </c>
      <c r="DA75" s="35" t="str">
        <f aca="false">IF(CW75="","",IFERROR(N(INDEX(Clay_Offices!$A$2:$FZ$601,CW75,Sync!$C$16)),0))</f>
        <v/>
      </c>
      <c r="DB75" s="23" t="n">
        <f aca="false">IF(AND(BB75=1,OR(AR75="Y",AR75="N",AR75="maybe")),1,0)</f>
        <v>0</v>
      </c>
      <c r="DC75" s="23" t="n">
        <f aca="false">IF(AND(DB75=1),IF(COUNTIFS($A$2:$A$201,$A75,$DB$2:$DB$201,1,$H$2:$H$201,"&gt;"&amp;H75)+COUNTIFS($A$2:$A$201,$A75,$DB$2:$DB$201,1,$H$2:$H$201,H75,$BA$2:$BA$201,"&gt;"&amp;BA75)=0,1,0),0)</f>
        <v>0</v>
      </c>
      <c r="DD75" s="23" t="n">
        <f aca="false">IF(AND(DB75=1,INT(N(H75))&lt;=Config!$B$6),IF(COUNTIFS($AZ$2:$AZ$201,AZ75,$DB$2:$DB$201,1,$H$2:$H$201,"&gt;"&amp;H75,$H$2:$H$201,"&lt;"&amp;(Config!$B$6+1))+COUNTIFS($AZ$2:$AZ$201,AZ75,$DB$2:$DB$201,1,$H$2:$H$201,H75,$BA$2:$BA$201,"&gt;"&amp;BA75)=0,1,0),0)</f>
        <v>0</v>
      </c>
      <c r="DE75" s="23" t="n">
        <f aca="false">IF(AND(DB75=1,INT(N(H75))&lt;=Config!$B$7),IF(COUNTIFS($AZ$2:$AZ$201,AZ75,$DB$2:$DB$201,1,$H$2:$H$201,"&gt;"&amp;H75,$H$2:$H$201,"&lt;"&amp;(Config!$B$7+1))+COUNTIFS($AZ$2:$AZ$201,AZ75,$DB$2:$DB$201,1,$H$2:$H$201,H75,$BA$2:$BA$201,"&gt;"&amp;BA75)=0,1,0),0)</f>
        <v>0</v>
      </c>
      <c r="DF75" s="23" t="n">
        <f aca="false">IF(AND(DB75=1,INT(N(H75))&lt;=Config!$B$8),IF(COUNTIFS($AZ$2:$AZ$201,AZ75,$DB$2:$DB$201,1,$H$2:$H$201,"&gt;"&amp;H75,$H$2:$H$201,"&lt;"&amp;(Config!$B$8+1))+COUNTIFS($AZ$2:$AZ$201,AZ75,$DB$2:$DB$201,1,$H$2:$H$201,H75,$BA$2:$BA$201,"&gt;"&amp;BA75)=0,1,0),0)</f>
        <v>0</v>
      </c>
      <c r="DG75" s="23" t="n">
        <f aca="false">IF(AND(DB75=1,INT(N(H75))&lt;=Config!$B$5),IF(COUNTIFS($AZ$2:$AZ$201,AZ75,$DB$2:$DB$201,1,$H$2:$H$201,"&gt;"&amp;H75,$H$2:$H$201,"&lt;"&amp;(Config!$B$5+1))+COUNTIFS($AZ$2:$AZ$201,AZ75,$DB$2:$DB$201,1,$H$2:$H$201,H75,$BA$2:$BA$201,"&gt;"&amp;BA75)=0,1,0),0)</f>
        <v>0</v>
      </c>
      <c r="DH75" s="23" t="n">
        <f aca="false">IF(BB75=1,IF(COUNTIFS($AZ$2:$AZ$201,AZ75,$DD$2:$DD$201,1,$AR$2:$AR$201,"Y")&gt;0,1,0),0)</f>
        <v>0</v>
      </c>
      <c r="DI75" s="23" t="n">
        <f aca="false">IF(BB75=1,IF(COUNTIFS($AZ$2:$AZ$201,AZ75,$DE$2:$DE$201,1,$AR$2:$AR$201,"Y")&gt;0,1,0),0)</f>
        <v>0</v>
      </c>
      <c r="DJ75" s="23" t="n">
        <f aca="false">IF(BB75=1,IF(COUNTIFS($AZ$2:$AZ$201,AZ75,$DF$2:$DF$201,1,$AR$2:$AR$201,"Y")&gt;0,1,0),0)</f>
        <v>0</v>
      </c>
      <c r="DK75" s="23" t="n">
        <f aca="false">IF(BB75=1,IF(COUNTIFS($AZ$2:$AZ$201,AZ75,$DG$2:$DG$201,1,$AR$2:$AR$201,"Y")&gt;0,1,0),0)</f>
        <v>0</v>
      </c>
      <c r="DL75" s="23" t="n">
        <f aca="false">IF(AND(BF75=1,INT(N(H75))&lt;=Config!$B$6,DH75=1,EI75=0),1,0)</f>
        <v>0</v>
      </c>
      <c r="DM75" s="23" t="n">
        <f aca="false">IF(AND(BF75=1,INT(N(H75))&lt;=Config!$B$7,DI75=1,EI75=0),1,0)</f>
        <v>0</v>
      </c>
      <c r="DN75" s="23" t="n">
        <f aca="false">IF(AND(BF75=1,INT(N(H75))&lt;=Config!$B$8,DJ75=1,EI75=0),1,0)</f>
        <v>0</v>
      </c>
      <c r="DO75" s="23" t="n">
        <f aca="false">IF(AND(BF75=1,INT(N(H75))&lt;=Config!$B$5,DK75=1,EI75=0),1,0)</f>
        <v>0</v>
      </c>
      <c r="DP75" s="23" t="n">
        <f aca="false">IF(AND(CC75=1,INT(N(H75))&lt;=Config!$B$6,DH75=1,EI75=0),1,0)</f>
        <v>0</v>
      </c>
      <c r="DQ75" s="23" t="n">
        <f aca="false">IF(AND(CC75=1,INT(N(H75))&lt;=Config!$B$7,DI75=1,EI75=0),1,0)</f>
        <v>0</v>
      </c>
      <c r="DR75" s="23" t="n">
        <f aca="false">IF(AND(CC75=1,INT(N(H75))&lt;=Config!$B$8,DJ75=1,EI75=0),1,0)</f>
        <v>0</v>
      </c>
      <c r="DS75" s="23" t="n">
        <f aca="false">IF(AND(CC75=1,INT(N(H75))&lt;=Config!$B$5,DK75=1,EI75=0),1,0)</f>
        <v>0</v>
      </c>
      <c r="DT75" s="23" t="n">
        <f aca="false">IF(AND(CC75=1,INT(N(H75))&lt;=Config!$B$6,DH75=0),1,0)</f>
        <v>0</v>
      </c>
      <c r="DU75" s="23" t="n">
        <f aca="false">IF(AND(CC75=1,INT(N(H75))&lt;=Config!$B$7,DI75=0),1,0)</f>
        <v>0</v>
      </c>
      <c r="DV75" s="23" t="n">
        <f aca="false">IF(AND(CC75=1,INT(N(H75))&lt;=Config!$B$8,DJ75=0),1,0)</f>
        <v>0</v>
      </c>
      <c r="DW75" s="23" t="n">
        <f aca="false">IF(AND(CC75=1,INT(N(H75))&lt;=Config!$B$5,DK75=0),1,0)</f>
        <v>0</v>
      </c>
      <c r="DX75" s="23" t="n">
        <f aca="false">IF(TRIM($A75)="",0,ISTEXT(M75)+ISTEXT(O75)+ISTEXT(Y75)+ISTEXT(Z75)+ISTEXT(AA75)+ISTEXT(AV75))</f>
        <v>0</v>
      </c>
      <c r="DY75" s="23" t="n">
        <f aca="false">IF(BB75=1,IF(H75&lt;&gt;INT(H75),1,0),0)</f>
        <v>0</v>
      </c>
      <c r="DZ75" s="23" t="str">
        <f aca="false">IF(TRIM($A75)="","",IF(TRIM(B75)="",SUBSTITUTE(SUBSTITUTE(SUBSTITUTE(SUBSTITUTE(SUBSTITUTE(SUBSTITUTE(LOWER(TRIM($A75)),"~",""),"*",""),"?",""),"&lt;",""),"&gt;",""),"=",""),SUBSTITUTE(SUBSTITUTE(SUBSTITUTE(SUBSTITUTE(SUBSTITUTE(SUBSTITUTE(LOWER(TRIM(B75)),"~",""),"*",""),"?",""),"&lt;",""),"&gt;",""),"=","")))</f>
        <v/>
      </c>
      <c r="EA75" s="23" t="str">
        <f aca="false">IF(CW75="","",IFERROR(IF(LEFT(LOWER(TRIM(INDEX(Clay_Offices!$A$2:$FZ$601,CW75,Sync!$C$19)&amp;"")),4)="grp-",SUBSTITUTE(SUBSTITUTE(SUBSTITUTE(SUBSTITUTE(SUBSTITUTE(SUBSTITUTE(LOWER(TRIM(INDEX(Clay_Offices!$A$2:$FZ$601,CW75,Sync!$C$19)&amp;"")),"~",""),"*",""),"?",""),"&lt;",""),"&gt;",""),"=",""),""),""))</f>
        <v/>
      </c>
      <c r="EB75" s="23" t="str">
        <f aca="false">IF(EA75&lt;&gt;"",DZ75,"")</f>
        <v/>
      </c>
      <c r="EC75" s="23" t="str">
        <f aca="false">IF(BC75=1,AZ75,"")</f>
        <v/>
      </c>
      <c r="ED75" s="23" t="str">
        <f aca="false">IF(TRIM($A75)="","",IFERROR(INDEX($A$2:$A$201,MATCH(AZ75,$EC$2:$EC$201,0))&amp;"",$A75&amp;""))</f>
        <v/>
      </c>
      <c r="EE75" s="23" t="n">
        <f aca="false">IF(BB75=1,IF(COUNTIFS($A$2:$A$201,$A75,$BB$2:$BB$201,1,$H$2:$H$201,"&lt;"&amp;H75)+COUNTIFS($A$2:$A$201,$A75,$BB$2:$BB$201,1,$H$2:$H$201,H75,$BA$2:$BA$201,"&lt;"&amp;BA75)=0,1,0),0)</f>
        <v>0</v>
      </c>
      <c r="EF75" s="23" t="n">
        <f aca="false">IF(BC75=1,IF(COUNTIFS($AZ$2:$AZ$201,AZ75,$EE$2:$EE$201,1)&gt;1,1,0),0)</f>
        <v>0</v>
      </c>
      <c r="EG75" s="23" t="n">
        <f aca="false">IF(AND(CQ75=1),IF(COUNTIFS($AZ$2:$AZ$201,AZ75,$CQ$2:$CQ$201,1,$H$2:$H$201,"&gt;"&amp;H75)+COUNTIFS($AZ$2:$AZ$201,AZ75,$CQ$2:$CQ$201,1,$H$2:$H$201,H75,$BA$2:$BA$201,"&gt;"&amp;BA75)=0,1,0),0)</f>
        <v>0</v>
      </c>
      <c r="EH75" s="23" t="str">
        <f aca="false">IF(BB75=1,IF(COUNTIFS($AZ$2:$AZ$201,AZ75,$EG$2:$EG$201,1)=0,"",SUMIFS($O$2:$O$201,$AZ$2:$AZ$201,AZ75,$EG$2:$EG$201,1)),"")</f>
        <v/>
      </c>
      <c r="EI75" s="23" t="n">
        <f aca="false">IF(AND(ISNUMBER(EH75),OR(N(EH75)&lt;Config!$B$31,N(EH75)&gt;Config!$B$33)),1,0)</f>
        <v>0</v>
      </c>
      <c r="EJ75" s="23" t="n">
        <f aca="false">IF(AND(ISNUMBER(EH75),N(EH75)&gt;=Config!$B$31,N(EH75)&lt;Config!$B$32),1,0)</f>
        <v>0</v>
      </c>
      <c r="EK75" s="23" t="n">
        <f aca="false">IF(AND(BF75=1,INT(N(H75))&lt;=Config!$B$6,DH75=1,EI75=1),1,0)</f>
        <v>0</v>
      </c>
      <c r="EL75" s="23" t="n">
        <f aca="false">IF(AND(BF75=1,INT(N(H75))&lt;=Config!$B$7,DI75=1,EI75=1),1,0)</f>
        <v>0</v>
      </c>
      <c r="EM75" s="23" t="n">
        <f aca="false">IF(AND(BF75=1,INT(N(H75))&lt;=Config!$B$8,DJ75=1,EI75=1),1,0)</f>
        <v>0</v>
      </c>
      <c r="EN75" s="23" t="n">
        <f aca="false">IF(AND(BF75=1,INT(N(H75))&lt;=Config!$B$5,DK75=1,EI75=1),1,0)</f>
        <v>0</v>
      </c>
      <c r="EO75" s="23" t="n">
        <f aca="false">IF(AND(DL75=1,EJ75=1),1,0)</f>
        <v>0</v>
      </c>
      <c r="EP75" s="23" t="n">
        <f aca="false">IF(AND(DM75=1,EJ75=1),1,0)</f>
        <v>0</v>
      </c>
      <c r="EQ75" s="23" t="n">
        <f aca="false">IF(AND(DN75=1,EJ75=1),1,0)</f>
        <v>0</v>
      </c>
      <c r="ER75" s="23" t="n">
        <f aca="false">IF(AND(DO75=1,EJ75=1),1,0)</f>
        <v>0</v>
      </c>
    </row>
    <row r="76" customFormat="false" ht="15" hidden="false" customHeight="false" outlineLevel="0" collapsed="false">
      <c r="G76" s="32"/>
      <c r="H76" s="33"/>
      <c r="I76" s="32"/>
      <c r="L76" s="32"/>
      <c r="Q76" s="32"/>
      <c r="U76" s="32"/>
      <c r="W76" s="32"/>
      <c r="AC76" s="32"/>
      <c r="AF76" s="32"/>
      <c r="AI76" s="32"/>
      <c r="AJ76" s="32"/>
      <c r="AN76" s="32"/>
      <c r="AR76" s="32"/>
      <c r="AT76" s="32"/>
      <c r="AU76" s="32"/>
      <c r="AW76" s="32"/>
      <c r="AY76" s="34" t="str">
        <f aca="false">IF(TRIM($A76)="","",IF(AND(LEFT($A76,6)="SAMPLE",Config!$B$19&lt;&gt;"Y"),"",IF(NOT(ISNUMBER(H76)),"call_date is blank or not a date",IF(Sync!$C$5="","Clay paste is empty or has no row_id column: paste the Clay export on Clay_Offices",IF(CW76="","row_id not found in the Clay paste: add the Clay row or fix the row_id",IF(AND(ISNUMBER(CY76),CY76&gt;=1,CY76&lt;=5),"Clay status is "&amp;CX76&amp;": set call_done or later",IF(AND(BD76=1,CZ76&lt;&gt;BZ76),"Clay yes_in_principle should be "&amp;BZ76,IF(AND(BD76=1,DA76&lt;&gt;H76),"Clay call_date should be "&amp;TEXT(H76,"yyyy-mm-dd"),""))))))))</f>
        <v/>
      </c>
      <c r="AZ76" s="23" t="str">
        <f aca="false">IF(TRIM($A76)="","",IF(TRIM(C76)&lt;&gt;"",SUBSTITUTE(SUBSTITUTE(SUBSTITUTE(SUBSTITUTE(SUBSTITUTE(SUBSTITUTE(LOWER(TRIM(C76)),"~",""),"*",""),"?",""),"&lt;",""),"&gt;",""),"=",""),IF(EA76&lt;&gt;"",EA76,IFERROR(INDEX($EA$2:$EA$201,MATCH(DZ76,$EB$2:$EB$201,0)),DZ76))))</f>
        <v/>
      </c>
      <c r="BA76" s="23" t="n">
        <f aca="false">ROW()</f>
        <v>76</v>
      </c>
      <c r="BB76" s="23" t="n">
        <f aca="false">IF(AND(TRIM($A76)&lt;&gt;"",ISNUMBER(H76)),IF(AND(LEFT($A76,6)="SAMPLE",Config!$B$19&lt;&gt;"Y"),0,1),0)</f>
        <v>0</v>
      </c>
      <c r="BC76" s="23" t="n">
        <f aca="false">IF(BB76=1,IF(COUNTIFS($AZ$2:$AZ$201,AZ76,$BB$2:$BB$201,1,$H$2:$H$201,"&lt;"&amp;H76)+COUNTIFS($AZ$2:$AZ$201,AZ76,$BB$2:$BB$201,1,$H$2:$H$201,H76,$BA$2:$BA$201,"&lt;"&amp;BA76)=0,1,0),0)</f>
        <v>0</v>
      </c>
      <c r="BD76" s="23" t="n">
        <f aca="false">IF(BB76=1,IF(COUNTIFS($A$2:$A$201,$A76,$BB$2:$BB$201,1,$H$2:$H$201,"&gt;"&amp;H76)+COUNTIFS($A$2:$A$201,$A76,$BB$2:$BB$201,1,$H$2:$H$201,H76,$BA$2:$BA$201,"&gt;"&amp;BA76)=0,1,0),0)</f>
        <v>0</v>
      </c>
      <c r="BE76" s="23" t="n">
        <f aca="false">IF(AND(BB76=1,AR76="Y",AC76="Y",TRIM(AH76)&lt;&gt;""),1,0)</f>
        <v>0</v>
      </c>
      <c r="BF76" s="23" t="n">
        <f aca="false">IF(BE76=1,IF(COUNTIFS($AZ$2:$AZ$201,AZ76,$BE$2:$BE$201,1,$H$2:$H$201,"&lt;"&amp;H76)+COUNTIFS($AZ$2:$AZ$201,AZ76,$BE$2:$BE$201,1,$H$2:$H$201,H76,$BA$2:$BA$201,"&lt;"&amp;BA76)=0,1,0),0)</f>
        <v>0</v>
      </c>
      <c r="BG76" s="23" t="n">
        <f aca="false">IF(AND(BB76=1,AR76="Y",BE76=0),1,0)</f>
        <v>0</v>
      </c>
      <c r="BH76" s="23" t="n">
        <f aca="false">IF(AND(BB76=1,ISNUMBER(Y76)),1,0)</f>
        <v>0</v>
      </c>
      <c r="BI76" s="23" t="n">
        <f aca="false">IF(BH76=1,IF(COUNTIFS($AZ$2:$AZ$201,AZ76,$BH$2:$BH$201,1,$H$2:$H$201,"&lt;"&amp;H76)+COUNTIFS($AZ$2:$AZ$201,AZ76,$BH$2:$BH$201,1,$H$2:$H$201,H76,$BA$2:$BA$201,"&lt;"&amp;BA76)=0,1,0),0)</f>
        <v>0</v>
      </c>
      <c r="BJ76" s="23" t="str">
        <f aca="false">IF(AND(BI76=1,INT(N(H76))&lt;=Config!$B$6),Y76,"")</f>
        <v/>
      </c>
      <c r="BK76" s="23" t="str">
        <f aca="false">IF(AND(BI76=1,INT(N(H76))&lt;=Config!$B$7),Y76,"")</f>
        <v/>
      </c>
      <c r="BL76" s="23" t="str">
        <f aca="false">IF(AND(BI76=1,INT(N(H76))&lt;=Config!$B$8),Y76,"")</f>
        <v/>
      </c>
      <c r="BM76" s="23" t="str">
        <f aca="false">IF(AND(BI76=1,INT(N(H76))&lt;=Config!$B$5),Y76,"")</f>
        <v/>
      </c>
      <c r="BN76" s="23" t="n">
        <f aca="false">IF(CD76=1,IF(COUNTIFS($AZ$2:$AZ$201,AZ76,$CD$2:$CD$201,1,$H$2:$H$201,"&lt;"&amp;H76)+COUNTIFS($AZ$2:$AZ$201,AZ76,$CD$2:$CD$201,1,$H$2:$H$201,H76,$BA$2:$BA$201,"&lt;"&amp;BA76)=0,1,0),0)</f>
        <v>0</v>
      </c>
      <c r="BO76" s="23" t="n">
        <f aca="false">IF(AND(BB76=1,ISNUMBER(M76)),1,0)</f>
        <v>0</v>
      </c>
      <c r="BP76" s="23" t="n">
        <f aca="false">IF(BO76=1,IF(COUNTIFS($AZ$2:$AZ$201,AZ76,$BO$2:$BO$201,1,$H$2:$H$201,"&lt;"&amp;H76)+COUNTIFS($AZ$2:$AZ$201,AZ76,$BO$2:$BO$201,1,$H$2:$H$201,H76,$BA$2:$BA$201,"&lt;"&amp;BA76)=0,1,0),0)</f>
        <v>0</v>
      </c>
      <c r="BQ76" s="23" t="str">
        <f aca="false">IF(AND(BP76=1,INT(N(H76))&lt;=Config!$B$5),M76,"")</f>
        <v/>
      </c>
      <c r="BR76" s="23" t="n">
        <f aca="false">IF(AND(BB76=1,OR(TRIM(X76)&lt;&gt;"",ISNUMBER(Y76))),1,0)</f>
        <v>0</v>
      </c>
      <c r="BS76" s="23" t="n">
        <f aca="false">IF(BR76=1,IF(COUNTIFS($AZ$2:$AZ$201,AZ76,$BR$2:$BR$201,1,$H$2:$H$201,"&lt;"&amp;H76)+COUNTIFS($AZ$2:$AZ$201,AZ76,$BR$2:$BR$201,1,$H$2:$H$201,H76,$BA$2:$BA$201,"&lt;"&amp;BA76)=0,1,0),0)</f>
        <v>0</v>
      </c>
      <c r="BT76" s="23" t="str">
        <f aca="false">IF(BS76=1,AZ76,"")</f>
        <v/>
      </c>
      <c r="BU76" s="23" t="n">
        <f aca="false">IF(AND(BB76=1,W76="Y",TRIM(X76)=""),1,0)</f>
        <v>0</v>
      </c>
      <c r="BV76" s="23" t="str">
        <f aca="false">IF(BB76=1,AN76&amp;"","")</f>
        <v/>
      </c>
      <c r="BW76" s="23" t="str">
        <f aca="false">IF(BB76=1,AO76&amp;"","")</f>
        <v/>
      </c>
      <c r="BX76" s="23" t="str">
        <f aca="false">IF(BB76=1,AP76&amp;"","")</f>
        <v/>
      </c>
      <c r="BY76" s="23" t="str">
        <f aca="false">IF(AND(BB76=1,ISNUMBER(AV76),INT(N(H76))&lt;=Config!$B$5),AV76,"")</f>
        <v/>
      </c>
      <c r="BZ76" s="23" t="str">
        <f aca="false">IF(BB76=1,IF(COUNTIFS($A$2:$A$201,$A76,$DC$2:$DC$201,1,$AR$2:$AR$201,"Y")&gt;0,"Y","N"),"")</f>
        <v/>
      </c>
      <c r="CA76" s="23" t="n">
        <f aca="false">IF(AND(BB76=1,AR76="maybe"),1,0)</f>
        <v>0</v>
      </c>
      <c r="CB76" s="23" t="n">
        <f aca="false">IF(CA76=1,IF(COUNTIFS($AZ$2:$AZ$201,AZ76,$CA$2:$CA$201,1,$H$2:$H$201,"&lt;"&amp;H76)+COUNTIFS($AZ$2:$AZ$201,AZ76,$CA$2:$CA$201,1,$H$2:$H$201,H76,$BA$2:$BA$201,"&lt;"&amp;BA76)=0,1,0),0)</f>
        <v>0</v>
      </c>
      <c r="CC76" s="23" t="n">
        <f aca="false">IF(AND(BB76=1,AR76="Y"),IF(COUNTIFS($AZ$2:$AZ$201,AZ76,$AR$2:$AR$201,"Y",$BB$2:$BB$201,1,$H$2:$H$201,"&lt;"&amp;H76)+COUNTIFS($AZ$2:$AZ$201,AZ76,$AR$2:$AR$201,"Y",$BB$2:$BB$201,1,$H$2:$H$201,H76,$BA$2:$BA$201,"&lt;"&amp;BA76)=0,1,0),0)</f>
        <v>0</v>
      </c>
      <c r="CD76" s="23" t="n">
        <f aca="false">IF(AND(BH76=1,N(Y76)&gt;=Config!$B$15),1,0)</f>
        <v>0</v>
      </c>
      <c r="CE76" s="23" t="n">
        <f aca="false">IF(AND(BB76=1,AT76="Y"),1,0)</f>
        <v>0</v>
      </c>
      <c r="CF76" s="23" t="n">
        <f aca="false">IF(CE76=1,IF(COUNTIFS($AZ$2:$AZ$201,AZ76,$CE$2:$CE$201,1,$H$2:$H$201,"&lt;"&amp;H76)+COUNTIFS($AZ$2:$AZ$201,AZ76,$CE$2:$CE$201,1,$H$2:$H$201,H76,$BA$2:$BA$201,"&lt;"&amp;BA76)=0,1,0),0)</f>
        <v>0</v>
      </c>
      <c r="CG76" s="23" t="n">
        <f aca="false">IF(AND(BB76=1,G76="warm-intro"),1,0)</f>
        <v>0</v>
      </c>
      <c r="CH76" s="23" t="n">
        <f aca="false">IF(CG76=1,IF(COUNTIFS($AZ$2:$AZ$201,AZ76,$CG$2:$CG$201,1,$H$2:$H$201,"&lt;"&amp;H76)+COUNTIFS($AZ$2:$AZ$201,AZ76,$CG$2:$CG$201,1,$H$2:$H$201,H76,$BA$2:$BA$201,"&lt;"&amp;BA76)=0,1,0),0)</f>
        <v>0</v>
      </c>
      <c r="CI76" s="23" t="n">
        <f aca="false">IF(AND(BB76=1,Q76="Y"),1,0)</f>
        <v>0</v>
      </c>
      <c r="CJ76" s="23" t="n">
        <f aca="false">IF(CI76=1,IF(COUNTIFS($AZ$2:$AZ$201,AZ76,$CI$2:$CI$201,1,$H$2:$H$201,"&lt;"&amp;H76)+COUNTIFS($AZ$2:$AZ$201,AZ76,$CI$2:$CI$201,1,$H$2:$H$201,H76,$BA$2:$BA$201,"&lt;"&amp;BA76)=0,1,0),0)</f>
        <v>0</v>
      </c>
      <c r="CK76" s="23" t="n">
        <f aca="false">IF(AND(BB76=1,AF76="Y"),1,0)</f>
        <v>0</v>
      </c>
      <c r="CL76" s="23" t="n">
        <f aca="false">IF(CK76=1,IF(COUNTIFS($AZ$2:$AZ$201,AZ76,$CK$2:$CK$201,1,$H$2:$H$201,"&lt;"&amp;H76)+COUNTIFS($AZ$2:$AZ$201,AZ76,$CK$2:$CK$201,1,$H$2:$H$201,H76,$BA$2:$BA$201,"&lt;"&amp;BA76)=0,1,0),0)</f>
        <v>0</v>
      </c>
      <c r="CM76" s="23" t="n">
        <f aca="false">IF(AND(BB76=1,U76="Y"),1,0)</f>
        <v>0</v>
      </c>
      <c r="CN76" s="23" t="n">
        <f aca="false">IF(CM76=1,IF(COUNTIFS($AZ$2:$AZ$201,AZ76,$CM$2:$CM$201,1,$H$2:$H$201,"&lt;"&amp;H76)+COUNTIFS($AZ$2:$AZ$201,AZ76,$CM$2:$CM$201,1,$H$2:$H$201,H76,$BA$2:$BA$201,"&lt;"&amp;BA76)=0,1,0),0)</f>
        <v>0</v>
      </c>
      <c r="CO76" s="23" t="n">
        <f aca="false">IF(AND(BB76=1,L76="Y"),1,0)</f>
        <v>0</v>
      </c>
      <c r="CP76" s="23" t="n">
        <f aca="false">IF(CO76=1,IF(COUNTIFS($AZ$2:$AZ$201,AZ76,$CO$2:$CO$201,1,$H$2:$H$201,"&lt;"&amp;H76)+COUNTIFS($AZ$2:$AZ$201,AZ76,$CO$2:$CO$201,1,$H$2:$H$201,H76,$BA$2:$BA$201,"&lt;"&amp;BA76)=0,1,0),0)</f>
        <v>0</v>
      </c>
      <c r="CQ76" s="23" t="n">
        <f aca="false">IF(AND(BB76=1,ISNUMBER(O76)),1,0)</f>
        <v>0</v>
      </c>
      <c r="CR76" s="23" t="n">
        <f aca="false">IF(CQ76=1,IF(COUNTIFS($AZ$2:$AZ$201,AZ76,$CQ$2:$CQ$201,1,$H$2:$H$201,"&lt;"&amp;H76)+COUNTIFS($AZ$2:$AZ$201,AZ76,$CQ$2:$CQ$201,1,$H$2:$H$201,H76,$BA$2:$BA$201,"&lt;"&amp;BA76)=0,1,0),0)</f>
        <v>0</v>
      </c>
      <c r="CS76" s="23" t="str">
        <f aca="false">IF(AND(CR76=1,INT(N(H76))&lt;=Config!$B$5),O76,"")</f>
        <v/>
      </c>
      <c r="CT76" s="23" t="str">
        <f aca="false">IF(AND(BB76=1,INT(N(H76))&lt;=Config!$B$5),AG76&amp;"","")</f>
        <v/>
      </c>
      <c r="CU76" s="23" t="n">
        <f aca="false">IF(AND(BB76=1,AU76="Y"),1,0)</f>
        <v>0</v>
      </c>
      <c r="CV76" s="23" t="n">
        <f aca="false">IF(CU76=1,IF(COUNTIFS($AZ$2:$AZ$201,AZ76,$CU$2:$CU$201,1,$H$2:$H$201,"&lt;"&amp;H76)+COUNTIFS($AZ$2:$AZ$201,AZ76,$CU$2:$CU$201,1,$H$2:$H$201,H76,$BA$2:$BA$201,"&lt;"&amp;BA76)=0,1,0),0)</f>
        <v>0</v>
      </c>
      <c r="CW76" s="23" t="str">
        <f aca="false">IF(BB76=1,IFERROR(MATCH($A76,INDEX(Clay_Offices!$A$2:$FZ$601,0,Sync!$C$5),0),""),"")</f>
        <v/>
      </c>
      <c r="CX76" s="23" t="str">
        <f aca="false">IF(CW76="","",IFERROR(INDEX(Clay_Offices!$A$2:$FZ$601,CW76,Sync!$C$7)&amp;"",""))</f>
        <v/>
      </c>
      <c r="CY76" s="23" t="str">
        <f aca="false">IF(CX76="","",IFERROR(INDEX(Lists!$K$2:$K$15,MATCH(CX76,Lists!$J$2:$J$15,0)),""))</f>
        <v/>
      </c>
      <c r="CZ76" s="23" t="str">
        <f aca="false">IF(CW76="","",IFERROR(INDEX(Clay_Offices!$A$2:$FZ$601,CW76,Sync!$C$17)&amp;"",""))</f>
        <v/>
      </c>
      <c r="DA76" s="35" t="str">
        <f aca="false">IF(CW76="","",IFERROR(N(INDEX(Clay_Offices!$A$2:$FZ$601,CW76,Sync!$C$16)),0))</f>
        <v/>
      </c>
      <c r="DB76" s="23" t="n">
        <f aca="false">IF(AND(BB76=1,OR(AR76="Y",AR76="N",AR76="maybe")),1,0)</f>
        <v>0</v>
      </c>
      <c r="DC76" s="23" t="n">
        <f aca="false">IF(AND(DB76=1),IF(COUNTIFS($A$2:$A$201,$A76,$DB$2:$DB$201,1,$H$2:$H$201,"&gt;"&amp;H76)+COUNTIFS($A$2:$A$201,$A76,$DB$2:$DB$201,1,$H$2:$H$201,H76,$BA$2:$BA$201,"&gt;"&amp;BA76)=0,1,0),0)</f>
        <v>0</v>
      </c>
      <c r="DD76" s="23" t="n">
        <f aca="false">IF(AND(DB76=1,INT(N(H76))&lt;=Config!$B$6),IF(COUNTIFS($AZ$2:$AZ$201,AZ76,$DB$2:$DB$201,1,$H$2:$H$201,"&gt;"&amp;H76,$H$2:$H$201,"&lt;"&amp;(Config!$B$6+1))+COUNTIFS($AZ$2:$AZ$201,AZ76,$DB$2:$DB$201,1,$H$2:$H$201,H76,$BA$2:$BA$201,"&gt;"&amp;BA76)=0,1,0),0)</f>
        <v>0</v>
      </c>
      <c r="DE76" s="23" t="n">
        <f aca="false">IF(AND(DB76=1,INT(N(H76))&lt;=Config!$B$7),IF(COUNTIFS($AZ$2:$AZ$201,AZ76,$DB$2:$DB$201,1,$H$2:$H$201,"&gt;"&amp;H76,$H$2:$H$201,"&lt;"&amp;(Config!$B$7+1))+COUNTIFS($AZ$2:$AZ$201,AZ76,$DB$2:$DB$201,1,$H$2:$H$201,H76,$BA$2:$BA$201,"&gt;"&amp;BA76)=0,1,0),0)</f>
        <v>0</v>
      </c>
      <c r="DF76" s="23" t="n">
        <f aca="false">IF(AND(DB76=1,INT(N(H76))&lt;=Config!$B$8),IF(COUNTIFS($AZ$2:$AZ$201,AZ76,$DB$2:$DB$201,1,$H$2:$H$201,"&gt;"&amp;H76,$H$2:$H$201,"&lt;"&amp;(Config!$B$8+1))+COUNTIFS($AZ$2:$AZ$201,AZ76,$DB$2:$DB$201,1,$H$2:$H$201,H76,$BA$2:$BA$201,"&gt;"&amp;BA76)=0,1,0),0)</f>
        <v>0</v>
      </c>
      <c r="DG76" s="23" t="n">
        <f aca="false">IF(AND(DB76=1,INT(N(H76))&lt;=Config!$B$5),IF(COUNTIFS($AZ$2:$AZ$201,AZ76,$DB$2:$DB$201,1,$H$2:$H$201,"&gt;"&amp;H76,$H$2:$H$201,"&lt;"&amp;(Config!$B$5+1))+COUNTIFS($AZ$2:$AZ$201,AZ76,$DB$2:$DB$201,1,$H$2:$H$201,H76,$BA$2:$BA$201,"&gt;"&amp;BA76)=0,1,0),0)</f>
        <v>0</v>
      </c>
      <c r="DH76" s="23" t="n">
        <f aca="false">IF(BB76=1,IF(COUNTIFS($AZ$2:$AZ$201,AZ76,$DD$2:$DD$201,1,$AR$2:$AR$201,"Y")&gt;0,1,0),0)</f>
        <v>0</v>
      </c>
      <c r="DI76" s="23" t="n">
        <f aca="false">IF(BB76=1,IF(COUNTIFS($AZ$2:$AZ$201,AZ76,$DE$2:$DE$201,1,$AR$2:$AR$201,"Y")&gt;0,1,0),0)</f>
        <v>0</v>
      </c>
      <c r="DJ76" s="23" t="n">
        <f aca="false">IF(BB76=1,IF(COUNTIFS($AZ$2:$AZ$201,AZ76,$DF$2:$DF$201,1,$AR$2:$AR$201,"Y")&gt;0,1,0),0)</f>
        <v>0</v>
      </c>
      <c r="DK76" s="23" t="n">
        <f aca="false">IF(BB76=1,IF(COUNTIFS($AZ$2:$AZ$201,AZ76,$DG$2:$DG$201,1,$AR$2:$AR$201,"Y")&gt;0,1,0),0)</f>
        <v>0</v>
      </c>
      <c r="DL76" s="23" t="n">
        <f aca="false">IF(AND(BF76=1,INT(N(H76))&lt;=Config!$B$6,DH76=1,EI76=0),1,0)</f>
        <v>0</v>
      </c>
      <c r="DM76" s="23" t="n">
        <f aca="false">IF(AND(BF76=1,INT(N(H76))&lt;=Config!$B$7,DI76=1,EI76=0),1,0)</f>
        <v>0</v>
      </c>
      <c r="DN76" s="23" t="n">
        <f aca="false">IF(AND(BF76=1,INT(N(H76))&lt;=Config!$B$8,DJ76=1,EI76=0),1,0)</f>
        <v>0</v>
      </c>
      <c r="DO76" s="23" t="n">
        <f aca="false">IF(AND(BF76=1,INT(N(H76))&lt;=Config!$B$5,DK76=1,EI76=0),1,0)</f>
        <v>0</v>
      </c>
      <c r="DP76" s="23" t="n">
        <f aca="false">IF(AND(CC76=1,INT(N(H76))&lt;=Config!$B$6,DH76=1,EI76=0),1,0)</f>
        <v>0</v>
      </c>
      <c r="DQ76" s="23" t="n">
        <f aca="false">IF(AND(CC76=1,INT(N(H76))&lt;=Config!$B$7,DI76=1,EI76=0),1,0)</f>
        <v>0</v>
      </c>
      <c r="DR76" s="23" t="n">
        <f aca="false">IF(AND(CC76=1,INT(N(H76))&lt;=Config!$B$8,DJ76=1,EI76=0),1,0)</f>
        <v>0</v>
      </c>
      <c r="DS76" s="23" t="n">
        <f aca="false">IF(AND(CC76=1,INT(N(H76))&lt;=Config!$B$5,DK76=1,EI76=0),1,0)</f>
        <v>0</v>
      </c>
      <c r="DT76" s="23" t="n">
        <f aca="false">IF(AND(CC76=1,INT(N(H76))&lt;=Config!$B$6,DH76=0),1,0)</f>
        <v>0</v>
      </c>
      <c r="DU76" s="23" t="n">
        <f aca="false">IF(AND(CC76=1,INT(N(H76))&lt;=Config!$B$7,DI76=0),1,0)</f>
        <v>0</v>
      </c>
      <c r="DV76" s="23" t="n">
        <f aca="false">IF(AND(CC76=1,INT(N(H76))&lt;=Config!$B$8,DJ76=0),1,0)</f>
        <v>0</v>
      </c>
      <c r="DW76" s="23" t="n">
        <f aca="false">IF(AND(CC76=1,INT(N(H76))&lt;=Config!$B$5,DK76=0),1,0)</f>
        <v>0</v>
      </c>
      <c r="DX76" s="23" t="n">
        <f aca="false">IF(TRIM($A76)="",0,ISTEXT(M76)+ISTEXT(O76)+ISTEXT(Y76)+ISTEXT(Z76)+ISTEXT(AA76)+ISTEXT(AV76))</f>
        <v>0</v>
      </c>
      <c r="DY76" s="23" t="n">
        <f aca="false">IF(BB76=1,IF(H76&lt;&gt;INT(H76),1,0),0)</f>
        <v>0</v>
      </c>
      <c r="DZ76" s="23" t="str">
        <f aca="false">IF(TRIM($A76)="","",IF(TRIM(B76)="",SUBSTITUTE(SUBSTITUTE(SUBSTITUTE(SUBSTITUTE(SUBSTITUTE(SUBSTITUTE(LOWER(TRIM($A76)),"~",""),"*",""),"?",""),"&lt;",""),"&gt;",""),"=",""),SUBSTITUTE(SUBSTITUTE(SUBSTITUTE(SUBSTITUTE(SUBSTITUTE(SUBSTITUTE(LOWER(TRIM(B76)),"~",""),"*",""),"?",""),"&lt;",""),"&gt;",""),"=","")))</f>
        <v/>
      </c>
      <c r="EA76" s="23" t="str">
        <f aca="false">IF(CW76="","",IFERROR(IF(LEFT(LOWER(TRIM(INDEX(Clay_Offices!$A$2:$FZ$601,CW76,Sync!$C$19)&amp;"")),4)="grp-",SUBSTITUTE(SUBSTITUTE(SUBSTITUTE(SUBSTITUTE(SUBSTITUTE(SUBSTITUTE(LOWER(TRIM(INDEX(Clay_Offices!$A$2:$FZ$601,CW76,Sync!$C$19)&amp;"")),"~",""),"*",""),"?",""),"&lt;",""),"&gt;",""),"=",""),""),""))</f>
        <v/>
      </c>
      <c r="EB76" s="23" t="str">
        <f aca="false">IF(EA76&lt;&gt;"",DZ76,"")</f>
        <v/>
      </c>
      <c r="EC76" s="23" t="str">
        <f aca="false">IF(BC76=1,AZ76,"")</f>
        <v/>
      </c>
      <c r="ED76" s="23" t="str">
        <f aca="false">IF(TRIM($A76)="","",IFERROR(INDEX($A$2:$A$201,MATCH(AZ76,$EC$2:$EC$201,0))&amp;"",$A76&amp;""))</f>
        <v/>
      </c>
      <c r="EE76" s="23" t="n">
        <f aca="false">IF(BB76=1,IF(COUNTIFS($A$2:$A$201,$A76,$BB$2:$BB$201,1,$H$2:$H$201,"&lt;"&amp;H76)+COUNTIFS($A$2:$A$201,$A76,$BB$2:$BB$201,1,$H$2:$H$201,H76,$BA$2:$BA$201,"&lt;"&amp;BA76)=0,1,0),0)</f>
        <v>0</v>
      </c>
      <c r="EF76" s="23" t="n">
        <f aca="false">IF(BC76=1,IF(COUNTIFS($AZ$2:$AZ$201,AZ76,$EE$2:$EE$201,1)&gt;1,1,0),0)</f>
        <v>0</v>
      </c>
      <c r="EG76" s="23" t="n">
        <f aca="false">IF(AND(CQ76=1),IF(COUNTIFS($AZ$2:$AZ$201,AZ76,$CQ$2:$CQ$201,1,$H$2:$H$201,"&gt;"&amp;H76)+COUNTIFS($AZ$2:$AZ$201,AZ76,$CQ$2:$CQ$201,1,$H$2:$H$201,H76,$BA$2:$BA$201,"&gt;"&amp;BA76)=0,1,0),0)</f>
        <v>0</v>
      </c>
      <c r="EH76" s="23" t="str">
        <f aca="false">IF(BB76=1,IF(COUNTIFS($AZ$2:$AZ$201,AZ76,$EG$2:$EG$201,1)=0,"",SUMIFS($O$2:$O$201,$AZ$2:$AZ$201,AZ76,$EG$2:$EG$201,1)),"")</f>
        <v/>
      </c>
      <c r="EI76" s="23" t="n">
        <f aca="false">IF(AND(ISNUMBER(EH76),OR(N(EH76)&lt;Config!$B$31,N(EH76)&gt;Config!$B$33)),1,0)</f>
        <v>0</v>
      </c>
      <c r="EJ76" s="23" t="n">
        <f aca="false">IF(AND(ISNUMBER(EH76),N(EH76)&gt;=Config!$B$31,N(EH76)&lt;Config!$B$32),1,0)</f>
        <v>0</v>
      </c>
      <c r="EK76" s="23" t="n">
        <f aca="false">IF(AND(BF76=1,INT(N(H76))&lt;=Config!$B$6,DH76=1,EI76=1),1,0)</f>
        <v>0</v>
      </c>
      <c r="EL76" s="23" t="n">
        <f aca="false">IF(AND(BF76=1,INT(N(H76))&lt;=Config!$B$7,DI76=1,EI76=1),1,0)</f>
        <v>0</v>
      </c>
      <c r="EM76" s="23" t="n">
        <f aca="false">IF(AND(BF76=1,INT(N(H76))&lt;=Config!$B$8,DJ76=1,EI76=1),1,0)</f>
        <v>0</v>
      </c>
      <c r="EN76" s="23" t="n">
        <f aca="false">IF(AND(BF76=1,INT(N(H76))&lt;=Config!$B$5,DK76=1,EI76=1),1,0)</f>
        <v>0</v>
      </c>
      <c r="EO76" s="23" t="n">
        <f aca="false">IF(AND(DL76=1,EJ76=1),1,0)</f>
        <v>0</v>
      </c>
      <c r="EP76" s="23" t="n">
        <f aca="false">IF(AND(DM76=1,EJ76=1),1,0)</f>
        <v>0</v>
      </c>
      <c r="EQ76" s="23" t="n">
        <f aca="false">IF(AND(DN76=1,EJ76=1),1,0)</f>
        <v>0</v>
      </c>
      <c r="ER76" s="23" t="n">
        <f aca="false">IF(AND(DO76=1,EJ76=1),1,0)</f>
        <v>0</v>
      </c>
    </row>
    <row r="77" customFormat="false" ht="15" hidden="false" customHeight="false" outlineLevel="0" collapsed="false">
      <c r="G77" s="32"/>
      <c r="H77" s="33"/>
      <c r="I77" s="32"/>
      <c r="L77" s="32"/>
      <c r="Q77" s="32"/>
      <c r="U77" s="32"/>
      <c r="W77" s="32"/>
      <c r="AC77" s="32"/>
      <c r="AF77" s="32"/>
      <c r="AI77" s="32"/>
      <c r="AJ77" s="32"/>
      <c r="AN77" s="32"/>
      <c r="AR77" s="32"/>
      <c r="AT77" s="32"/>
      <c r="AU77" s="32"/>
      <c r="AW77" s="32"/>
      <c r="AY77" s="34" t="str">
        <f aca="false">IF(TRIM($A77)="","",IF(AND(LEFT($A77,6)="SAMPLE",Config!$B$19&lt;&gt;"Y"),"",IF(NOT(ISNUMBER(H77)),"call_date is blank or not a date",IF(Sync!$C$5="","Clay paste is empty or has no row_id column: paste the Clay export on Clay_Offices",IF(CW77="","row_id not found in the Clay paste: add the Clay row or fix the row_id",IF(AND(ISNUMBER(CY77),CY77&gt;=1,CY77&lt;=5),"Clay status is "&amp;CX77&amp;": set call_done or later",IF(AND(BD77=1,CZ77&lt;&gt;BZ77),"Clay yes_in_principle should be "&amp;BZ77,IF(AND(BD77=1,DA77&lt;&gt;H77),"Clay call_date should be "&amp;TEXT(H77,"yyyy-mm-dd"),""))))))))</f>
        <v/>
      </c>
      <c r="AZ77" s="23" t="str">
        <f aca="false">IF(TRIM($A77)="","",IF(TRIM(C77)&lt;&gt;"",SUBSTITUTE(SUBSTITUTE(SUBSTITUTE(SUBSTITUTE(SUBSTITUTE(SUBSTITUTE(LOWER(TRIM(C77)),"~",""),"*",""),"?",""),"&lt;",""),"&gt;",""),"=",""),IF(EA77&lt;&gt;"",EA77,IFERROR(INDEX($EA$2:$EA$201,MATCH(DZ77,$EB$2:$EB$201,0)),DZ77))))</f>
        <v/>
      </c>
      <c r="BA77" s="23" t="n">
        <f aca="false">ROW()</f>
        <v>77</v>
      </c>
      <c r="BB77" s="23" t="n">
        <f aca="false">IF(AND(TRIM($A77)&lt;&gt;"",ISNUMBER(H77)),IF(AND(LEFT($A77,6)="SAMPLE",Config!$B$19&lt;&gt;"Y"),0,1),0)</f>
        <v>0</v>
      </c>
      <c r="BC77" s="23" t="n">
        <f aca="false">IF(BB77=1,IF(COUNTIFS($AZ$2:$AZ$201,AZ77,$BB$2:$BB$201,1,$H$2:$H$201,"&lt;"&amp;H77)+COUNTIFS($AZ$2:$AZ$201,AZ77,$BB$2:$BB$201,1,$H$2:$H$201,H77,$BA$2:$BA$201,"&lt;"&amp;BA77)=0,1,0),0)</f>
        <v>0</v>
      </c>
      <c r="BD77" s="23" t="n">
        <f aca="false">IF(BB77=1,IF(COUNTIFS($A$2:$A$201,$A77,$BB$2:$BB$201,1,$H$2:$H$201,"&gt;"&amp;H77)+COUNTIFS($A$2:$A$201,$A77,$BB$2:$BB$201,1,$H$2:$H$201,H77,$BA$2:$BA$201,"&gt;"&amp;BA77)=0,1,0),0)</f>
        <v>0</v>
      </c>
      <c r="BE77" s="23" t="n">
        <f aca="false">IF(AND(BB77=1,AR77="Y",AC77="Y",TRIM(AH77)&lt;&gt;""),1,0)</f>
        <v>0</v>
      </c>
      <c r="BF77" s="23" t="n">
        <f aca="false">IF(BE77=1,IF(COUNTIFS($AZ$2:$AZ$201,AZ77,$BE$2:$BE$201,1,$H$2:$H$201,"&lt;"&amp;H77)+COUNTIFS($AZ$2:$AZ$201,AZ77,$BE$2:$BE$201,1,$H$2:$H$201,H77,$BA$2:$BA$201,"&lt;"&amp;BA77)=0,1,0),0)</f>
        <v>0</v>
      </c>
      <c r="BG77" s="23" t="n">
        <f aca="false">IF(AND(BB77=1,AR77="Y",BE77=0),1,0)</f>
        <v>0</v>
      </c>
      <c r="BH77" s="23" t="n">
        <f aca="false">IF(AND(BB77=1,ISNUMBER(Y77)),1,0)</f>
        <v>0</v>
      </c>
      <c r="BI77" s="23" t="n">
        <f aca="false">IF(BH77=1,IF(COUNTIFS($AZ$2:$AZ$201,AZ77,$BH$2:$BH$201,1,$H$2:$H$201,"&lt;"&amp;H77)+COUNTIFS($AZ$2:$AZ$201,AZ77,$BH$2:$BH$201,1,$H$2:$H$201,H77,$BA$2:$BA$201,"&lt;"&amp;BA77)=0,1,0),0)</f>
        <v>0</v>
      </c>
      <c r="BJ77" s="23" t="str">
        <f aca="false">IF(AND(BI77=1,INT(N(H77))&lt;=Config!$B$6),Y77,"")</f>
        <v/>
      </c>
      <c r="BK77" s="23" t="str">
        <f aca="false">IF(AND(BI77=1,INT(N(H77))&lt;=Config!$B$7),Y77,"")</f>
        <v/>
      </c>
      <c r="BL77" s="23" t="str">
        <f aca="false">IF(AND(BI77=1,INT(N(H77))&lt;=Config!$B$8),Y77,"")</f>
        <v/>
      </c>
      <c r="BM77" s="23" t="str">
        <f aca="false">IF(AND(BI77=1,INT(N(H77))&lt;=Config!$B$5),Y77,"")</f>
        <v/>
      </c>
      <c r="BN77" s="23" t="n">
        <f aca="false">IF(CD77=1,IF(COUNTIFS($AZ$2:$AZ$201,AZ77,$CD$2:$CD$201,1,$H$2:$H$201,"&lt;"&amp;H77)+COUNTIFS($AZ$2:$AZ$201,AZ77,$CD$2:$CD$201,1,$H$2:$H$201,H77,$BA$2:$BA$201,"&lt;"&amp;BA77)=0,1,0),0)</f>
        <v>0</v>
      </c>
      <c r="BO77" s="23" t="n">
        <f aca="false">IF(AND(BB77=1,ISNUMBER(M77)),1,0)</f>
        <v>0</v>
      </c>
      <c r="BP77" s="23" t="n">
        <f aca="false">IF(BO77=1,IF(COUNTIFS($AZ$2:$AZ$201,AZ77,$BO$2:$BO$201,1,$H$2:$H$201,"&lt;"&amp;H77)+COUNTIFS($AZ$2:$AZ$201,AZ77,$BO$2:$BO$201,1,$H$2:$H$201,H77,$BA$2:$BA$201,"&lt;"&amp;BA77)=0,1,0),0)</f>
        <v>0</v>
      </c>
      <c r="BQ77" s="23" t="str">
        <f aca="false">IF(AND(BP77=1,INT(N(H77))&lt;=Config!$B$5),M77,"")</f>
        <v/>
      </c>
      <c r="BR77" s="23" t="n">
        <f aca="false">IF(AND(BB77=1,OR(TRIM(X77)&lt;&gt;"",ISNUMBER(Y77))),1,0)</f>
        <v>0</v>
      </c>
      <c r="BS77" s="23" t="n">
        <f aca="false">IF(BR77=1,IF(COUNTIFS($AZ$2:$AZ$201,AZ77,$BR$2:$BR$201,1,$H$2:$H$201,"&lt;"&amp;H77)+COUNTIFS($AZ$2:$AZ$201,AZ77,$BR$2:$BR$201,1,$H$2:$H$201,H77,$BA$2:$BA$201,"&lt;"&amp;BA77)=0,1,0),0)</f>
        <v>0</v>
      </c>
      <c r="BT77" s="23" t="str">
        <f aca="false">IF(BS77=1,AZ77,"")</f>
        <v/>
      </c>
      <c r="BU77" s="23" t="n">
        <f aca="false">IF(AND(BB77=1,W77="Y",TRIM(X77)=""),1,0)</f>
        <v>0</v>
      </c>
      <c r="BV77" s="23" t="str">
        <f aca="false">IF(BB77=1,AN77&amp;"","")</f>
        <v/>
      </c>
      <c r="BW77" s="23" t="str">
        <f aca="false">IF(BB77=1,AO77&amp;"","")</f>
        <v/>
      </c>
      <c r="BX77" s="23" t="str">
        <f aca="false">IF(BB77=1,AP77&amp;"","")</f>
        <v/>
      </c>
      <c r="BY77" s="23" t="str">
        <f aca="false">IF(AND(BB77=1,ISNUMBER(AV77),INT(N(H77))&lt;=Config!$B$5),AV77,"")</f>
        <v/>
      </c>
      <c r="BZ77" s="23" t="str">
        <f aca="false">IF(BB77=1,IF(COUNTIFS($A$2:$A$201,$A77,$DC$2:$DC$201,1,$AR$2:$AR$201,"Y")&gt;0,"Y","N"),"")</f>
        <v/>
      </c>
      <c r="CA77" s="23" t="n">
        <f aca="false">IF(AND(BB77=1,AR77="maybe"),1,0)</f>
        <v>0</v>
      </c>
      <c r="CB77" s="23" t="n">
        <f aca="false">IF(CA77=1,IF(COUNTIFS($AZ$2:$AZ$201,AZ77,$CA$2:$CA$201,1,$H$2:$H$201,"&lt;"&amp;H77)+COUNTIFS($AZ$2:$AZ$201,AZ77,$CA$2:$CA$201,1,$H$2:$H$201,H77,$BA$2:$BA$201,"&lt;"&amp;BA77)=0,1,0),0)</f>
        <v>0</v>
      </c>
      <c r="CC77" s="23" t="n">
        <f aca="false">IF(AND(BB77=1,AR77="Y"),IF(COUNTIFS($AZ$2:$AZ$201,AZ77,$AR$2:$AR$201,"Y",$BB$2:$BB$201,1,$H$2:$H$201,"&lt;"&amp;H77)+COUNTIFS($AZ$2:$AZ$201,AZ77,$AR$2:$AR$201,"Y",$BB$2:$BB$201,1,$H$2:$H$201,H77,$BA$2:$BA$201,"&lt;"&amp;BA77)=0,1,0),0)</f>
        <v>0</v>
      </c>
      <c r="CD77" s="23" t="n">
        <f aca="false">IF(AND(BH77=1,N(Y77)&gt;=Config!$B$15),1,0)</f>
        <v>0</v>
      </c>
      <c r="CE77" s="23" t="n">
        <f aca="false">IF(AND(BB77=1,AT77="Y"),1,0)</f>
        <v>0</v>
      </c>
      <c r="CF77" s="23" t="n">
        <f aca="false">IF(CE77=1,IF(COUNTIFS($AZ$2:$AZ$201,AZ77,$CE$2:$CE$201,1,$H$2:$H$201,"&lt;"&amp;H77)+COUNTIFS($AZ$2:$AZ$201,AZ77,$CE$2:$CE$201,1,$H$2:$H$201,H77,$BA$2:$BA$201,"&lt;"&amp;BA77)=0,1,0),0)</f>
        <v>0</v>
      </c>
      <c r="CG77" s="23" t="n">
        <f aca="false">IF(AND(BB77=1,G77="warm-intro"),1,0)</f>
        <v>0</v>
      </c>
      <c r="CH77" s="23" t="n">
        <f aca="false">IF(CG77=1,IF(COUNTIFS($AZ$2:$AZ$201,AZ77,$CG$2:$CG$201,1,$H$2:$H$201,"&lt;"&amp;H77)+COUNTIFS($AZ$2:$AZ$201,AZ77,$CG$2:$CG$201,1,$H$2:$H$201,H77,$BA$2:$BA$201,"&lt;"&amp;BA77)=0,1,0),0)</f>
        <v>0</v>
      </c>
      <c r="CI77" s="23" t="n">
        <f aca="false">IF(AND(BB77=1,Q77="Y"),1,0)</f>
        <v>0</v>
      </c>
      <c r="CJ77" s="23" t="n">
        <f aca="false">IF(CI77=1,IF(COUNTIFS($AZ$2:$AZ$201,AZ77,$CI$2:$CI$201,1,$H$2:$H$201,"&lt;"&amp;H77)+COUNTIFS($AZ$2:$AZ$201,AZ77,$CI$2:$CI$201,1,$H$2:$H$201,H77,$BA$2:$BA$201,"&lt;"&amp;BA77)=0,1,0),0)</f>
        <v>0</v>
      </c>
      <c r="CK77" s="23" t="n">
        <f aca="false">IF(AND(BB77=1,AF77="Y"),1,0)</f>
        <v>0</v>
      </c>
      <c r="CL77" s="23" t="n">
        <f aca="false">IF(CK77=1,IF(COUNTIFS($AZ$2:$AZ$201,AZ77,$CK$2:$CK$201,1,$H$2:$H$201,"&lt;"&amp;H77)+COUNTIFS($AZ$2:$AZ$201,AZ77,$CK$2:$CK$201,1,$H$2:$H$201,H77,$BA$2:$BA$201,"&lt;"&amp;BA77)=0,1,0),0)</f>
        <v>0</v>
      </c>
      <c r="CM77" s="23" t="n">
        <f aca="false">IF(AND(BB77=1,U77="Y"),1,0)</f>
        <v>0</v>
      </c>
      <c r="CN77" s="23" t="n">
        <f aca="false">IF(CM77=1,IF(COUNTIFS($AZ$2:$AZ$201,AZ77,$CM$2:$CM$201,1,$H$2:$H$201,"&lt;"&amp;H77)+COUNTIFS($AZ$2:$AZ$201,AZ77,$CM$2:$CM$201,1,$H$2:$H$201,H77,$BA$2:$BA$201,"&lt;"&amp;BA77)=0,1,0),0)</f>
        <v>0</v>
      </c>
      <c r="CO77" s="23" t="n">
        <f aca="false">IF(AND(BB77=1,L77="Y"),1,0)</f>
        <v>0</v>
      </c>
      <c r="CP77" s="23" t="n">
        <f aca="false">IF(CO77=1,IF(COUNTIFS($AZ$2:$AZ$201,AZ77,$CO$2:$CO$201,1,$H$2:$H$201,"&lt;"&amp;H77)+COUNTIFS($AZ$2:$AZ$201,AZ77,$CO$2:$CO$201,1,$H$2:$H$201,H77,$BA$2:$BA$201,"&lt;"&amp;BA77)=0,1,0),0)</f>
        <v>0</v>
      </c>
      <c r="CQ77" s="23" t="n">
        <f aca="false">IF(AND(BB77=1,ISNUMBER(O77)),1,0)</f>
        <v>0</v>
      </c>
      <c r="CR77" s="23" t="n">
        <f aca="false">IF(CQ77=1,IF(COUNTIFS($AZ$2:$AZ$201,AZ77,$CQ$2:$CQ$201,1,$H$2:$H$201,"&lt;"&amp;H77)+COUNTIFS($AZ$2:$AZ$201,AZ77,$CQ$2:$CQ$201,1,$H$2:$H$201,H77,$BA$2:$BA$201,"&lt;"&amp;BA77)=0,1,0),0)</f>
        <v>0</v>
      </c>
      <c r="CS77" s="23" t="str">
        <f aca="false">IF(AND(CR77=1,INT(N(H77))&lt;=Config!$B$5),O77,"")</f>
        <v/>
      </c>
      <c r="CT77" s="23" t="str">
        <f aca="false">IF(AND(BB77=1,INT(N(H77))&lt;=Config!$B$5),AG77&amp;"","")</f>
        <v/>
      </c>
      <c r="CU77" s="23" t="n">
        <f aca="false">IF(AND(BB77=1,AU77="Y"),1,0)</f>
        <v>0</v>
      </c>
      <c r="CV77" s="23" t="n">
        <f aca="false">IF(CU77=1,IF(COUNTIFS($AZ$2:$AZ$201,AZ77,$CU$2:$CU$201,1,$H$2:$H$201,"&lt;"&amp;H77)+COUNTIFS($AZ$2:$AZ$201,AZ77,$CU$2:$CU$201,1,$H$2:$H$201,H77,$BA$2:$BA$201,"&lt;"&amp;BA77)=0,1,0),0)</f>
        <v>0</v>
      </c>
      <c r="CW77" s="23" t="str">
        <f aca="false">IF(BB77=1,IFERROR(MATCH($A77,INDEX(Clay_Offices!$A$2:$FZ$601,0,Sync!$C$5),0),""),"")</f>
        <v/>
      </c>
      <c r="CX77" s="23" t="str">
        <f aca="false">IF(CW77="","",IFERROR(INDEX(Clay_Offices!$A$2:$FZ$601,CW77,Sync!$C$7)&amp;"",""))</f>
        <v/>
      </c>
      <c r="CY77" s="23" t="str">
        <f aca="false">IF(CX77="","",IFERROR(INDEX(Lists!$K$2:$K$15,MATCH(CX77,Lists!$J$2:$J$15,0)),""))</f>
        <v/>
      </c>
      <c r="CZ77" s="23" t="str">
        <f aca="false">IF(CW77="","",IFERROR(INDEX(Clay_Offices!$A$2:$FZ$601,CW77,Sync!$C$17)&amp;"",""))</f>
        <v/>
      </c>
      <c r="DA77" s="35" t="str">
        <f aca="false">IF(CW77="","",IFERROR(N(INDEX(Clay_Offices!$A$2:$FZ$601,CW77,Sync!$C$16)),0))</f>
        <v/>
      </c>
      <c r="DB77" s="23" t="n">
        <f aca="false">IF(AND(BB77=1,OR(AR77="Y",AR77="N",AR77="maybe")),1,0)</f>
        <v>0</v>
      </c>
      <c r="DC77" s="23" t="n">
        <f aca="false">IF(AND(DB77=1),IF(COUNTIFS($A$2:$A$201,$A77,$DB$2:$DB$201,1,$H$2:$H$201,"&gt;"&amp;H77)+COUNTIFS($A$2:$A$201,$A77,$DB$2:$DB$201,1,$H$2:$H$201,H77,$BA$2:$BA$201,"&gt;"&amp;BA77)=0,1,0),0)</f>
        <v>0</v>
      </c>
      <c r="DD77" s="23" t="n">
        <f aca="false">IF(AND(DB77=1,INT(N(H77))&lt;=Config!$B$6),IF(COUNTIFS($AZ$2:$AZ$201,AZ77,$DB$2:$DB$201,1,$H$2:$H$201,"&gt;"&amp;H77,$H$2:$H$201,"&lt;"&amp;(Config!$B$6+1))+COUNTIFS($AZ$2:$AZ$201,AZ77,$DB$2:$DB$201,1,$H$2:$H$201,H77,$BA$2:$BA$201,"&gt;"&amp;BA77)=0,1,0),0)</f>
        <v>0</v>
      </c>
      <c r="DE77" s="23" t="n">
        <f aca="false">IF(AND(DB77=1,INT(N(H77))&lt;=Config!$B$7),IF(COUNTIFS($AZ$2:$AZ$201,AZ77,$DB$2:$DB$201,1,$H$2:$H$201,"&gt;"&amp;H77,$H$2:$H$201,"&lt;"&amp;(Config!$B$7+1))+COUNTIFS($AZ$2:$AZ$201,AZ77,$DB$2:$DB$201,1,$H$2:$H$201,H77,$BA$2:$BA$201,"&gt;"&amp;BA77)=0,1,0),0)</f>
        <v>0</v>
      </c>
      <c r="DF77" s="23" t="n">
        <f aca="false">IF(AND(DB77=1,INT(N(H77))&lt;=Config!$B$8),IF(COUNTIFS($AZ$2:$AZ$201,AZ77,$DB$2:$DB$201,1,$H$2:$H$201,"&gt;"&amp;H77,$H$2:$H$201,"&lt;"&amp;(Config!$B$8+1))+COUNTIFS($AZ$2:$AZ$201,AZ77,$DB$2:$DB$201,1,$H$2:$H$201,H77,$BA$2:$BA$201,"&gt;"&amp;BA77)=0,1,0),0)</f>
        <v>0</v>
      </c>
      <c r="DG77" s="23" t="n">
        <f aca="false">IF(AND(DB77=1,INT(N(H77))&lt;=Config!$B$5),IF(COUNTIFS($AZ$2:$AZ$201,AZ77,$DB$2:$DB$201,1,$H$2:$H$201,"&gt;"&amp;H77,$H$2:$H$201,"&lt;"&amp;(Config!$B$5+1))+COUNTIFS($AZ$2:$AZ$201,AZ77,$DB$2:$DB$201,1,$H$2:$H$201,H77,$BA$2:$BA$201,"&gt;"&amp;BA77)=0,1,0),0)</f>
        <v>0</v>
      </c>
      <c r="DH77" s="23" t="n">
        <f aca="false">IF(BB77=1,IF(COUNTIFS($AZ$2:$AZ$201,AZ77,$DD$2:$DD$201,1,$AR$2:$AR$201,"Y")&gt;0,1,0),0)</f>
        <v>0</v>
      </c>
      <c r="DI77" s="23" t="n">
        <f aca="false">IF(BB77=1,IF(COUNTIFS($AZ$2:$AZ$201,AZ77,$DE$2:$DE$201,1,$AR$2:$AR$201,"Y")&gt;0,1,0),0)</f>
        <v>0</v>
      </c>
      <c r="DJ77" s="23" t="n">
        <f aca="false">IF(BB77=1,IF(COUNTIFS($AZ$2:$AZ$201,AZ77,$DF$2:$DF$201,1,$AR$2:$AR$201,"Y")&gt;0,1,0),0)</f>
        <v>0</v>
      </c>
      <c r="DK77" s="23" t="n">
        <f aca="false">IF(BB77=1,IF(COUNTIFS($AZ$2:$AZ$201,AZ77,$DG$2:$DG$201,1,$AR$2:$AR$201,"Y")&gt;0,1,0),0)</f>
        <v>0</v>
      </c>
      <c r="DL77" s="23" t="n">
        <f aca="false">IF(AND(BF77=1,INT(N(H77))&lt;=Config!$B$6,DH77=1,EI77=0),1,0)</f>
        <v>0</v>
      </c>
      <c r="DM77" s="23" t="n">
        <f aca="false">IF(AND(BF77=1,INT(N(H77))&lt;=Config!$B$7,DI77=1,EI77=0),1,0)</f>
        <v>0</v>
      </c>
      <c r="DN77" s="23" t="n">
        <f aca="false">IF(AND(BF77=1,INT(N(H77))&lt;=Config!$B$8,DJ77=1,EI77=0),1,0)</f>
        <v>0</v>
      </c>
      <c r="DO77" s="23" t="n">
        <f aca="false">IF(AND(BF77=1,INT(N(H77))&lt;=Config!$B$5,DK77=1,EI77=0),1,0)</f>
        <v>0</v>
      </c>
      <c r="DP77" s="23" t="n">
        <f aca="false">IF(AND(CC77=1,INT(N(H77))&lt;=Config!$B$6,DH77=1,EI77=0),1,0)</f>
        <v>0</v>
      </c>
      <c r="DQ77" s="23" t="n">
        <f aca="false">IF(AND(CC77=1,INT(N(H77))&lt;=Config!$B$7,DI77=1,EI77=0),1,0)</f>
        <v>0</v>
      </c>
      <c r="DR77" s="23" t="n">
        <f aca="false">IF(AND(CC77=1,INT(N(H77))&lt;=Config!$B$8,DJ77=1,EI77=0),1,0)</f>
        <v>0</v>
      </c>
      <c r="DS77" s="23" t="n">
        <f aca="false">IF(AND(CC77=1,INT(N(H77))&lt;=Config!$B$5,DK77=1,EI77=0),1,0)</f>
        <v>0</v>
      </c>
      <c r="DT77" s="23" t="n">
        <f aca="false">IF(AND(CC77=1,INT(N(H77))&lt;=Config!$B$6,DH77=0),1,0)</f>
        <v>0</v>
      </c>
      <c r="DU77" s="23" t="n">
        <f aca="false">IF(AND(CC77=1,INT(N(H77))&lt;=Config!$B$7,DI77=0),1,0)</f>
        <v>0</v>
      </c>
      <c r="DV77" s="23" t="n">
        <f aca="false">IF(AND(CC77=1,INT(N(H77))&lt;=Config!$B$8,DJ77=0),1,0)</f>
        <v>0</v>
      </c>
      <c r="DW77" s="23" t="n">
        <f aca="false">IF(AND(CC77=1,INT(N(H77))&lt;=Config!$B$5,DK77=0),1,0)</f>
        <v>0</v>
      </c>
      <c r="DX77" s="23" t="n">
        <f aca="false">IF(TRIM($A77)="",0,ISTEXT(M77)+ISTEXT(O77)+ISTEXT(Y77)+ISTEXT(Z77)+ISTEXT(AA77)+ISTEXT(AV77))</f>
        <v>0</v>
      </c>
      <c r="DY77" s="23" t="n">
        <f aca="false">IF(BB77=1,IF(H77&lt;&gt;INT(H77),1,0),0)</f>
        <v>0</v>
      </c>
      <c r="DZ77" s="23" t="str">
        <f aca="false">IF(TRIM($A77)="","",IF(TRIM(B77)="",SUBSTITUTE(SUBSTITUTE(SUBSTITUTE(SUBSTITUTE(SUBSTITUTE(SUBSTITUTE(LOWER(TRIM($A77)),"~",""),"*",""),"?",""),"&lt;",""),"&gt;",""),"=",""),SUBSTITUTE(SUBSTITUTE(SUBSTITUTE(SUBSTITUTE(SUBSTITUTE(SUBSTITUTE(LOWER(TRIM(B77)),"~",""),"*",""),"?",""),"&lt;",""),"&gt;",""),"=","")))</f>
        <v/>
      </c>
      <c r="EA77" s="23" t="str">
        <f aca="false">IF(CW77="","",IFERROR(IF(LEFT(LOWER(TRIM(INDEX(Clay_Offices!$A$2:$FZ$601,CW77,Sync!$C$19)&amp;"")),4)="grp-",SUBSTITUTE(SUBSTITUTE(SUBSTITUTE(SUBSTITUTE(SUBSTITUTE(SUBSTITUTE(LOWER(TRIM(INDEX(Clay_Offices!$A$2:$FZ$601,CW77,Sync!$C$19)&amp;"")),"~",""),"*",""),"?",""),"&lt;",""),"&gt;",""),"=",""),""),""))</f>
        <v/>
      </c>
      <c r="EB77" s="23" t="str">
        <f aca="false">IF(EA77&lt;&gt;"",DZ77,"")</f>
        <v/>
      </c>
      <c r="EC77" s="23" t="str">
        <f aca="false">IF(BC77=1,AZ77,"")</f>
        <v/>
      </c>
      <c r="ED77" s="23" t="str">
        <f aca="false">IF(TRIM($A77)="","",IFERROR(INDEX($A$2:$A$201,MATCH(AZ77,$EC$2:$EC$201,0))&amp;"",$A77&amp;""))</f>
        <v/>
      </c>
      <c r="EE77" s="23" t="n">
        <f aca="false">IF(BB77=1,IF(COUNTIFS($A$2:$A$201,$A77,$BB$2:$BB$201,1,$H$2:$H$201,"&lt;"&amp;H77)+COUNTIFS($A$2:$A$201,$A77,$BB$2:$BB$201,1,$H$2:$H$201,H77,$BA$2:$BA$201,"&lt;"&amp;BA77)=0,1,0),0)</f>
        <v>0</v>
      </c>
      <c r="EF77" s="23" t="n">
        <f aca="false">IF(BC77=1,IF(COUNTIFS($AZ$2:$AZ$201,AZ77,$EE$2:$EE$201,1)&gt;1,1,0),0)</f>
        <v>0</v>
      </c>
      <c r="EG77" s="23" t="n">
        <f aca="false">IF(AND(CQ77=1),IF(COUNTIFS($AZ$2:$AZ$201,AZ77,$CQ$2:$CQ$201,1,$H$2:$H$201,"&gt;"&amp;H77)+COUNTIFS($AZ$2:$AZ$201,AZ77,$CQ$2:$CQ$201,1,$H$2:$H$201,H77,$BA$2:$BA$201,"&gt;"&amp;BA77)=0,1,0),0)</f>
        <v>0</v>
      </c>
      <c r="EH77" s="23" t="str">
        <f aca="false">IF(BB77=1,IF(COUNTIFS($AZ$2:$AZ$201,AZ77,$EG$2:$EG$201,1)=0,"",SUMIFS($O$2:$O$201,$AZ$2:$AZ$201,AZ77,$EG$2:$EG$201,1)),"")</f>
        <v/>
      </c>
      <c r="EI77" s="23" t="n">
        <f aca="false">IF(AND(ISNUMBER(EH77),OR(N(EH77)&lt;Config!$B$31,N(EH77)&gt;Config!$B$33)),1,0)</f>
        <v>0</v>
      </c>
      <c r="EJ77" s="23" t="n">
        <f aca="false">IF(AND(ISNUMBER(EH77),N(EH77)&gt;=Config!$B$31,N(EH77)&lt;Config!$B$32),1,0)</f>
        <v>0</v>
      </c>
      <c r="EK77" s="23" t="n">
        <f aca="false">IF(AND(BF77=1,INT(N(H77))&lt;=Config!$B$6,DH77=1,EI77=1),1,0)</f>
        <v>0</v>
      </c>
      <c r="EL77" s="23" t="n">
        <f aca="false">IF(AND(BF77=1,INT(N(H77))&lt;=Config!$B$7,DI77=1,EI77=1),1,0)</f>
        <v>0</v>
      </c>
      <c r="EM77" s="23" t="n">
        <f aca="false">IF(AND(BF77=1,INT(N(H77))&lt;=Config!$B$8,DJ77=1,EI77=1),1,0)</f>
        <v>0</v>
      </c>
      <c r="EN77" s="23" t="n">
        <f aca="false">IF(AND(BF77=1,INT(N(H77))&lt;=Config!$B$5,DK77=1,EI77=1),1,0)</f>
        <v>0</v>
      </c>
      <c r="EO77" s="23" t="n">
        <f aca="false">IF(AND(DL77=1,EJ77=1),1,0)</f>
        <v>0</v>
      </c>
      <c r="EP77" s="23" t="n">
        <f aca="false">IF(AND(DM77=1,EJ77=1),1,0)</f>
        <v>0</v>
      </c>
      <c r="EQ77" s="23" t="n">
        <f aca="false">IF(AND(DN77=1,EJ77=1),1,0)</f>
        <v>0</v>
      </c>
      <c r="ER77" s="23" t="n">
        <f aca="false">IF(AND(DO77=1,EJ77=1),1,0)</f>
        <v>0</v>
      </c>
    </row>
    <row r="78" customFormat="false" ht="15" hidden="false" customHeight="false" outlineLevel="0" collapsed="false">
      <c r="G78" s="32"/>
      <c r="H78" s="33"/>
      <c r="I78" s="32"/>
      <c r="L78" s="32"/>
      <c r="Q78" s="32"/>
      <c r="U78" s="32"/>
      <c r="W78" s="32"/>
      <c r="AC78" s="32"/>
      <c r="AF78" s="32"/>
      <c r="AI78" s="32"/>
      <c r="AJ78" s="32"/>
      <c r="AN78" s="32"/>
      <c r="AR78" s="32"/>
      <c r="AT78" s="32"/>
      <c r="AU78" s="32"/>
      <c r="AW78" s="32"/>
      <c r="AY78" s="34" t="str">
        <f aca="false">IF(TRIM($A78)="","",IF(AND(LEFT($A78,6)="SAMPLE",Config!$B$19&lt;&gt;"Y"),"",IF(NOT(ISNUMBER(H78)),"call_date is blank or not a date",IF(Sync!$C$5="","Clay paste is empty or has no row_id column: paste the Clay export on Clay_Offices",IF(CW78="","row_id not found in the Clay paste: add the Clay row or fix the row_id",IF(AND(ISNUMBER(CY78),CY78&gt;=1,CY78&lt;=5),"Clay status is "&amp;CX78&amp;": set call_done or later",IF(AND(BD78=1,CZ78&lt;&gt;BZ78),"Clay yes_in_principle should be "&amp;BZ78,IF(AND(BD78=1,DA78&lt;&gt;H78),"Clay call_date should be "&amp;TEXT(H78,"yyyy-mm-dd"),""))))))))</f>
        <v/>
      </c>
      <c r="AZ78" s="23" t="str">
        <f aca="false">IF(TRIM($A78)="","",IF(TRIM(C78)&lt;&gt;"",SUBSTITUTE(SUBSTITUTE(SUBSTITUTE(SUBSTITUTE(SUBSTITUTE(SUBSTITUTE(LOWER(TRIM(C78)),"~",""),"*",""),"?",""),"&lt;",""),"&gt;",""),"=",""),IF(EA78&lt;&gt;"",EA78,IFERROR(INDEX($EA$2:$EA$201,MATCH(DZ78,$EB$2:$EB$201,0)),DZ78))))</f>
        <v/>
      </c>
      <c r="BA78" s="23" t="n">
        <f aca="false">ROW()</f>
        <v>78</v>
      </c>
      <c r="BB78" s="23" t="n">
        <f aca="false">IF(AND(TRIM($A78)&lt;&gt;"",ISNUMBER(H78)),IF(AND(LEFT($A78,6)="SAMPLE",Config!$B$19&lt;&gt;"Y"),0,1),0)</f>
        <v>0</v>
      </c>
      <c r="BC78" s="23" t="n">
        <f aca="false">IF(BB78=1,IF(COUNTIFS($AZ$2:$AZ$201,AZ78,$BB$2:$BB$201,1,$H$2:$H$201,"&lt;"&amp;H78)+COUNTIFS($AZ$2:$AZ$201,AZ78,$BB$2:$BB$201,1,$H$2:$H$201,H78,$BA$2:$BA$201,"&lt;"&amp;BA78)=0,1,0),0)</f>
        <v>0</v>
      </c>
      <c r="BD78" s="23" t="n">
        <f aca="false">IF(BB78=1,IF(COUNTIFS($A$2:$A$201,$A78,$BB$2:$BB$201,1,$H$2:$H$201,"&gt;"&amp;H78)+COUNTIFS($A$2:$A$201,$A78,$BB$2:$BB$201,1,$H$2:$H$201,H78,$BA$2:$BA$201,"&gt;"&amp;BA78)=0,1,0),0)</f>
        <v>0</v>
      </c>
      <c r="BE78" s="23" t="n">
        <f aca="false">IF(AND(BB78=1,AR78="Y",AC78="Y",TRIM(AH78)&lt;&gt;""),1,0)</f>
        <v>0</v>
      </c>
      <c r="BF78" s="23" t="n">
        <f aca="false">IF(BE78=1,IF(COUNTIFS($AZ$2:$AZ$201,AZ78,$BE$2:$BE$201,1,$H$2:$H$201,"&lt;"&amp;H78)+COUNTIFS($AZ$2:$AZ$201,AZ78,$BE$2:$BE$201,1,$H$2:$H$201,H78,$BA$2:$BA$201,"&lt;"&amp;BA78)=0,1,0),0)</f>
        <v>0</v>
      </c>
      <c r="BG78" s="23" t="n">
        <f aca="false">IF(AND(BB78=1,AR78="Y",BE78=0),1,0)</f>
        <v>0</v>
      </c>
      <c r="BH78" s="23" t="n">
        <f aca="false">IF(AND(BB78=1,ISNUMBER(Y78)),1,0)</f>
        <v>0</v>
      </c>
      <c r="BI78" s="23" t="n">
        <f aca="false">IF(BH78=1,IF(COUNTIFS($AZ$2:$AZ$201,AZ78,$BH$2:$BH$201,1,$H$2:$H$201,"&lt;"&amp;H78)+COUNTIFS($AZ$2:$AZ$201,AZ78,$BH$2:$BH$201,1,$H$2:$H$201,H78,$BA$2:$BA$201,"&lt;"&amp;BA78)=0,1,0),0)</f>
        <v>0</v>
      </c>
      <c r="BJ78" s="23" t="str">
        <f aca="false">IF(AND(BI78=1,INT(N(H78))&lt;=Config!$B$6),Y78,"")</f>
        <v/>
      </c>
      <c r="BK78" s="23" t="str">
        <f aca="false">IF(AND(BI78=1,INT(N(H78))&lt;=Config!$B$7),Y78,"")</f>
        <v/>
      </c>
      <c r="BL78" s="23" t="str">
        <f aca="false">IF(AND(BI78=1,INT(N(H78))&lt;=Config!$B$8),Y78,"")</f>
        <v/>
      </c>
      <c r="BM78" s="23" t="str">
        <f aca="false">IF(AND(BI78=1,INT(N(H78))&lt;=Config!$B$5),Y78,"")</f>
        <v/>
      </c>
      <c r="BN78" s="23" t="n">
        <f aca="false">IF(CD78=1,IF(COUNTIFS($AZ$2:$AZ$201,AZ78,$CD$2:$CD$201,1,$H$2:$H$201,"&lt;"&amp;H78)+COUNTIFS($AZ$2:$AZ$201,AZ78,$CD$2:$CD$201,1,$H$2:$H$201,H78,$BA$2:$BA$201,"&lt;"&amp;BA78)=0,1,0),0)</f>
        <v>0</v>
      </c>
      <c r="BO78" s="23" t="n">
        <f aca="false">IF(AND(BB78=1,ISNUMBER(M78)),1,0)</f>
        <v>0</v>
      </c>
      <c r="BP78" s="23" t="n">
        <f aca="false">IF(BO78=1,IF(COUNTIFS($AZ$2:$AZ$201,AZ78,$BO$2:$BO$201,1,$H$2:$H$201,"&lt;"&amp;H78)+COUNTIFS($AZ$2:$AZ$201,AZ78,$BO$2:$BO$201,1,$H$2:$H$201,H78,$BA$2:$BA$201,"&lt;"&amp;BA78)=0,1,0),0)</f>
        <v>0</v>
      </c>
      <c r="BQ78" s="23" t="str">
        <f aca="false">IF(AND(BP78=1,INT(N(H78))&lt;=Config!$B$5),M78,"")</f>
        <v/>
      </c>
      <c r="BR78" s="23" t="n">
        <f aca="false">IF(AND(BB78=1,OR(TRIM(X78)&lt;&gt;"",ISNUMBER(Y78))),1,0)</f>
        <v>0</v>
      </c>
      <c r="BS78" s="23" t="n">
        <f aca="false">IF(BR78=1,IF(COUNTIFS($AZ$2:$AZ$201,AZ78,$BR$2:$BR$201,1,$H$2:$H$201,"&lt;"&amp;H78)+COUNTIFS($AZ$2:$AZ$201,AZ78,$BR$2:$BR$201,1,$H$2:$H$201,H78,$BA$2:$BA$201,"&lt;"&amp;BA78)=0,1,0),0)</f>
        <v>0</v>
      </c>
      <c r="BT78" s="23" t="str">
        <f aca="false">IF(BS78=1,AZ78,"")</f>
        <v/>
      </c>
      <c r="BU78" s="23" t="n">
        <f aca="false">IF(AND(BB78=1,W78="Y",TRIM(X78)=""),1,0)</f>
        <v>0</v>
      </c>
      <c r="BV78" s="23" t="str">
        <f aca="false">IF(BB78=1,AN78&amp;"","")</f>
        <v/>
      </c>
      <c r="BW78" s="23" t="str">
        <f aca="false">IF(BB78=1,AO78&amp;"","")</f>
        <v/>
      </c>
      <c r="BX78" s="23" t="str">
        <f aca="false">IF(BB78=1,AP78&amp;"","")</f>
        <v/>
      </c>
      <c r="BY78" s="23" t="str">
        <f aca="false">IF(AND(BB78=1,ISNUMBER(AV78),INT(N(H78))&lt;=Config!$B$5),AV78,"")</f>
        <v/>
      </c>
      <c r="BZ78" s="23" t="str">
        <f aca="false">IF(BB78=1,IF(COUNTIFS($A$2:$A$201,$A78,$DC$2:$DC$201,1,$AR$2:$AR$201,"Y")&gt;0,"Y","N"),"")</f>
        <v/>
      </c>
      <c r="CA78" s="23" t="n">
        <f aca="false">IF(AND(BB78=1,AR78="maybe"),1,0)</f>
        <v>0</v>
      </c>
      <c r="CB78" s="23" t="n">
        <f aca="false">IF(CA78=1,IF(COUNTIFS($AZ$2:$AZ$201,AZ78,$CA$2:$CA$201,1,$H$2:$H$201,"&lt;"&amp;H78)+COUNTIFS($AZ$2:$AZ$201,AZ78,$CA$2:$CA$201,1,$H$2:$H$201,H78,$BA$2:$BA$201,"&lt;"&amp;BA78)=0,1,0),0)</f>
        <v>0</v>
      </c>
      <c r="CC78" s="23" t="n">
        <f aca="false">IF(AND(BB78=1,AR78="Y"),IF(COUNTIFS($AZ$2:$AZ$201,AZ78,$AR$2:$AR$201,"Y",$BB$2:$BB$201,1,$H$2:$H$201,"&lt;"&amp;H78)+COUNTIFS($AZ$2:$AZ$201,AZ78,$AR$2:$AR$201,"Y",$BB$2:$BB$201,1,$H$2:$H$201,H78,$BA$2:$BA$201,"&lt;"&amp;BA78)=0,1,0),0)</f>
        <v>0</v>
      </c>
      <c r="CD78" s="23" t="n">
        <f aca="false">IF(AND(BH78=1,N(Y78)&gt;=Config!$B$15),1,0)</f>
        <v>0</v>
      </c>
      <c r="CE78" s="23" t="n">
        <f aca="false">IF(AND(BB78=1,AT78="Y"),1,0)</f>
        <v>0</v>
      </c>
      <c r="CF78" s="23" t="n">
        <f aca="false">IF(CE78=1,IF(COUNTIFS($AZ$2:$AZ$201,AZ78,$CE$2:$CE$201,1,$H$2:$H$201,"&lt;"&amp;H78)+COUNTIFS($AZ$2:$AZ$201,AZ78,$CE$2:$CE$201,1,$H$2:$H$201,H78,$BA$2:$BA$201,"&lt;"&amp;BA78)=0,1,0),0)</f>
        <v>0</v>
      </c>
      <c r="CG78" s="23" t="n">
        <f aca="false">IF(AND(BB78=1,G78="warm-intro"),1,0)</f>
        <v>0</v>
      </c>
      <c r="CH78" s="23" t="n">
        <f aca="false">IF(CG78=1,IF(COUNTIFS($AZ$2:$AZ$201,AZ78,$CG$2:$CG$201,1,$H$2:$H$201,"&lt;"&amp;H78)+COUNTIFS($AZ$2:$AZ$201,AZ78,$CG$2:$CG$201,1,$H$2:$H$201,H78,$BA$2:$BA$201,"&lt;"&amp;BA78)=0,1,0),0)</f>
        <v>0</v>
      </c>
      <c r="CI78" s="23" t="n">
        <f aca="false">IF(AND(BB78=1,Q78="Y"),1,0)</f>
        <v>0</v>
      </c>
      <c r="CJ78" s="23" t="n">
        <f aca="false">IF(CI78=1,IF(COUNTIFS($AZ$2:$AZ$201,AZ78,$CI$2:$CI$201,1,$H$2:$H$201,"&lt;"&amp;H78)+COUNTIFS($AZ$2:$AZ$201,AZ78,$CI$2:$CI$201,1,$H$2:$H$201,H78,$BA$2:$BA$201,"&lt;"&amp;BA78)=0,1,0),0)</f>
        <v>0</v>
      </c>
      <c r="CK78" s="23" t="n">
        <f aca="false">IF(AND(BB78=1,AF78="Y"),1,0)</f>
        <v>0</v>
      </c>
      <c r="CL78" s="23" t="n">
        <f aca="false">IF(CK78=1,IF(COUNTIFS($AZ$2:$AZ$201,AZ78,$CK$2:$CK$201,1,$H$2:$H$201,"&lt;"&amp;H78)+COUNTIFS($AZ$2:$AZ$201,AZ78,$CK$2:$CK$201,1,$H$2:$H$201,H78,$BA$2:$BA$201,"&lt;"&amp;BA78)=0,1,0),0)</f>
        <v>0</v>
      </c>
      <c r="CM78" s="23" t="n">
        <f aca="false">IF(AND(BB78=1,U78="Y"),1,0)</f>
        <v>0</v>
      </c>
      <c r="CN78" s="23" t="n">
        <f aca="false">IF(CM78=1,IF(COUNTIFS($AZ$2:$AZ$201,AZ78,$CM$2:$CM$201,1,$H$2:$H$201,"&lt;"&amp;H78)+COUNTIFS($AZ$2:$AZ$201,AZ78,$CM$2:$CM$201,1,$H$2:$H$201,H78,$BA$2:$BA$201,"&lt;"&amp;BA78)=0,1,0),0)</f>
        <v>0</v>
      </c>
      <c r="CO78" s="23" t="n">
        <f aca="false">IF(AND(BB78=1,L78="Y"),1,0)</f>
        <v>0</v>
      </c>
      <c r="CP78" s="23" t="n">
        <f aca="false">IF(CO78=1,IF(COUNTIFS($AZ$2:$AZ$201,AZ78,$CO$2:$CO$201,1,$H$2:$H$201,"&lt;"&amp;H78)+COUNTIFS($AZ$2:$AZ$201,AZ78,$CO$2:$CO$201,1,$H$2:$H$201,H78,$BA$2:$BA$201,"&lt;"&amp;BA78)=0,1,0),0)</f>
        <v>0</v>
      </c>
      <c r="CQ78" s="23" t="n">
        <f aca="false">IF(AND(BB78=1,ISNUMBER(O78)),1,0)</f>
        <v>0</v>
      </c>
      <c r="CR78" s="23" t="n">
        <f aca="false">IF(CQ78=1,IF(COUNTIFS($AZ$2:$AZ$201,AZ78,$CQ$2:$CQ$201,1,$H$2:$H$201,"&lt;"&amp;H78)+COUNTIFS($AZ$2:$AZ$201,AZ78,$CQ$2:$CQ$201,1,$H$2:$H$201,H78,$BA$2:$BA$201,"&lt;"&amp;BA78)=0,1,0),0)</f>
        <v>0</v>
      </c>
      <c r="CS78" s="23" t="str">
        <f aca="false">IF(AND(CR78=1,INT(N(H78))&lt;=Config!$B$5),O78,"")</f>
        <v/>
      </c>
      <c r="CT78" s="23" t="str">
        <f aca="false">IF(AND(BB78=1,INT(N(H78))&lt;=Config!$B$5),AG78&amp;"","")</f>
        <v/>
      </c>
      <c r="CU78" s="23" t="n">
        <f aca="false">IF(AND(BB78=1,AU78="Y"),1,0)</f>
        <v>0</v>
      </c>
      <c r="CV78" s="23" t="n">
        <f aca="false">IF(CU78=1,IF(COUNTIFS($AZ$2:$AZ$201,AZ78,$CU$2:$CU$201,1,$H$2:$H$201,"&lt;"&amp;H78)+COUNTIFS($AZ$2:$AZ$201,AZ78,$CU$2:$CU$201,1,$H$2:$H$201,H78,$BA$2:$BA$201,"&lt;"&amp;BA78)=0,1,0),0)</f>
        <v>0</v>
      </c>
      <c r="CW78" s="23" t="str">
        <f aca="false">IF(BB78=1,IFERROR(MATCH($A78,INDEX(Clay_Offices!$A$2:$FZ$601,0,Sync!$C$5),0),""),"")</f>
        <v/>
      </c>
      <c r="CX78" s="23" t="str">
        <f aca="false">IF(CW78="","",IFERROR(INDEX(Clay_Offices!$A$2:$FZ$601,CW78,Sync!$C$7)&amp;"",""))</f>
        <v/>
      </c>
      <c r="CY78" s="23" t="str">
        <f aca="false">IF(CX78="","",IFERROR(INDEX(Lists!$K$2:$K$15,MATCH(CX78,Lists!$J$2:$J$15,0)),""))</f>
        <v/>
      </c>
      <c r="CZ78" s="23" t="str">
        <f aca="false">IF(CW78="","",IFERROR(INDEX(Clay_Offices!$A$2:$FZ$601,CW78,Sync!$C$17)&amp;"",""))</f>
        <v/>
      </c>
      <c r="DA78" s="35" t="str">
        <f aca="false">IF(CW78="","",IFERROR(N(INDEX(Clay_Offices!$A$2:$FZ$601,CW78,Sync!$C$16)),0))</f>
        <v/>
      </c>
      <c r="DB78" s="23" t="n">
        <f aca="false">IF(AND(BB78=1,OR(AR78="Y",AR78="N",AR78="maybe")),1,0)</f>
        <v>0</v>
      </c>
      <c r="DC78" s="23" t="n">
        <f aca="false">IF(AND(DB78=1),IF(COUNTIFS($A$2:$A$201,$A78,$DB$2:$DB$201,1,$H$2:$H$201,"&gt;"&amp;H78)+COUNTIFS($A$2:$A$201,$A78,$DB$2:$DB$201,1,$H$2:$H$201,H78,$BA$2:$BA$201,"&gt;"&amp;BA78)=0,1,0),0)</f>
        <v>0</v>
      </c>
      <c r="DD78" s="23" t="n">
        <f aca="false">IF(AND(DB78=1,INT(N(H78))&lt;=Config!$B$6),IF(COUNTIFS($AZ$2:$AZ$201,AZ78,$DB$2:$DB$201,1,$H$2:$H$201,"&gt;"&amp;H78,$H$2:$H$201,"&lt;"&amp;(Config!$B$6+1))+COUNTIFS($AZ$2:$AZ$201,AZ78,$DB$2:$DB$201,1,$H$2:$H$201,H78,$BA$2:$BA$201,"&gt;"&amp;BA78)=0,1,0),0)</f>
        <v>0</v>
      </c>
      <c r="DE78" s="23" t="n">
        <f aca="false">IF(AND(DB78=1,INT(N(H78))&lt;=Config!$B$7),IF(COUNTIFS($AZ$2:$AZ$201,AZ78,$DB$2:$DB$201,1,$H$2:$H$201,"&gt;"&amp;H78,$H$2:$H$201,"&lt;"&amp;(Config!$B$7+1))+COUNTIFS($AZ$2:$AZ$201,AZ78,$DB$2:$DB$201,1,$H$2:$H$201,H78,$BA$2:$BA$201,"&gt;"&amp;BA78)=0,1,0),0)</f>
        <v>0</v>
      </c>
      <c r="DF78" s="23" t="n">
        <f aca="false">IF(AND(DB78=1,INT(N(H78))&lt;=Config!$B$8),IF(COUNTIFS($AZ$2:$AZ$201,AZ78,$DB$2:$DB$201,1,$H$2:$H$201,"&gt;"&amp;H78,$H$2:$H$201,"&lt;"&amp;(Config!$B$8+1))+COUNTIFS($AZ$2:$AZ$201,AZ78,$DB$2:$DB$201,1,$H$2:$H$201,H78,$BA$2:$BA$201,"&gt;"&amp;BA78)=0,1,0),0)</f>
        <v>0</v>
      </c>
      <c r="DG78" s="23" t="n">
        <f aca="false">IF(AND(DB78=1,INT(N(H78))&lt;=Config!$B$5),IF(COUNTIFS($AZ$2:$AZ$201,AZ78,$DB$2:$DB$201,1,$H$2:$H$201,"&gt;"&amp;H78,$H$2:$H$201,"&lt;"&amp;(Config!$B$5+1))+COUNTIFS($AZ$2:$AZ$201,AZ78,$DB$2:$DB$201,1,$H$2:$H$201,H78,$BA$2:$BA$201,"&gt;"&amp;BA78)=0,1,0),0)</f>
        <v>0</v>
      </c>
      <c r="DH78" s="23" t="n">
        <f aca="false">IF(BB78=1,IF(COUNTIFS($AZ$2:$AZ$201,AZ78,$DD$2:$DD$201,1,$AR$2:$AR$201,"Y")&gt;0,1,0),0)</f>
        <v>0</v>
      </c>
      <c r="DI78" s="23" t="n">
        <f aca="false">IF(BB78=1,IF(COUNTIFS($AZ$2:$AZ$201,AZ78,$DE$2:$DE$201,1,$AR$2:$AR$201,"Y")&gt;0,1,0),0)</f>
        <v>0</v>
      </c>
      <c r="DJ78" s="23" t="n">
        <f aca="false">IF(BB78=1,IF(COUNTIFS($AZ$2:$AZ$201,AZ78,$DF$2:$DF$201,1,$AR$2:$AR$201,"Y")&gt;0,1,0),0)</f>
        <v>0</v>
      </c>
      <c r="DK78" s="23" t="n">
        <f aca="false">IF(BB78=1,IF(COUNTIFS($AZ$2:$AZ$201,AZ78,$DG$2:$DG$201,1,$AR$2:$AR$201,"Y")&gt;0,1,0),0)</f>
        <v>0</v>
      </c>
      <c r="DL78" s="23" t="n">
        <f aca="false">IF(AND(BF78=1,INT(N(H78))&lt;=Config!$B$6,DH78=1,EI78=0),1,0)</f>
        <v>0</v>
      </c>
      <c r="DM78" s="23" t="n">
        <f aca="false">IF(AND(BF78=1,INT(N(H78))&lt;=Config!$B$7,DI78=1,EI78=0),1,0)</f>
        <v>0</v>
      </c>
      <c r="DN78" s="23" t="n">
        <f aca="false">IF(AND(BF78=1,INT(N(H78))&lt;=Config!$B$8,DJ78=1,EI78=0),1,0)</f>
        <v>0</v>
      </c>
      <c r="DO78" s="23" t="n">
        <f aca="false">IF(AND(BF78=1,INT(N(H78))&lt;=Config!$B$5,DK78=1,EI78=0),1,0)</f>
        <v>0</v>
      </c>
      <c r="DP78" s="23" t="n">
        <f aca="false">IF(AND(CC78=1,INT(N(H78))&lt;=Config!$B$6,DH78=1,EI78=0),1,0)</f>
        <v>0</v>
      </c>
      <c r="DQ78" s="23" t="n">
        <f aca="false">IF(AND(CC78=1,INT(N(H78))&lt;=Config!$B$7,DI78=1,EI78=0),1,0)</f>
        <v>0</v>
      </c>
      <c r="DR78" s="23" t="n">
        <f aca="false">IF(AND(CC78=1,INT(N(H78))&lt;=Config!$B$8,DJ78=1,EI78=0),1,0)</f>
        <v>0</v>
      </c>
      <c r="DS78" s="23" t="n">
        <f aca="false">IF(AND(CC78=1,INT(N(H78))&lt;=Config!$B$5,DK78=1,EI78=0),1,0)</f>
        <v>0</v>
      </c>
      <c r="DT78" s="23" t="n">
        <f aca="false">IF(AND(CC78=1,INT(N(H78))&lt;=Config!$B$6,DH78=0),1,0)</f>
        <v>0</v>
      </c>
      <c r="DU78" s="23" t="n">
        <f aca="false">IF(AND(CC78=1,INT(N(H78))&lt;=Config!$B$7,DI78=0),1,0)</f>
        <v>0</v>
      </c>
      <c r="DV78" s="23" t="n">
        <f aca="false">IF(AND(CC78=1,INT(N(H78))&lt;=Config!$B$8,DJ78=0),1,0)</f>
        <v>0</v>
      </c>
      <c r="DW78" s="23" t="n">
        <f aca="false">IF(AND(CC78=1,INT(N(H78))&lt;=Config!$B$5,DK78=0),1,0)</f>
        <v>0</v>
      </c>
      <c r="DX78" s="23" t="n">
        <f aca="false">IF(TRIM($A78)="",0,ISTEXT(M78)+ISTEXT(O78)+ISTEXT(Y78)+ISTEXT(Z78)+ISTEXT(AA78)+ISTEXT(AV78))</f>
        <v>0</v>
      </c>
      <c r="DY78" s="23" t="n">
        <f aca="false">IF(BB78=1,IF(H78&lt;&gt;INT(H78),1,0),0)</f>
        <v>0</v>
      </c>
      <c r="DZ78" s="23" t="str">
        <f aca="false">IF(TRIM($A78)="","",IF(TRIM(B78)="",SUBSTITUTE(SUBSTITUTE(SUBSTITUTE(SUBSTITUTE(SUBSTITUTE(SUBSTITUTE(LOWER(TRIM($A78)),"~",""),"*",""),"?",""),"&lt;",""),"&gt;",""),"=",""),SUBSTITUTE(SUBSTITUTE(SUBSTITUTE(SUBSTITUTE(SUBSTITUTE(SUBSTITUTE(LOWER(TRIM(B78)),"~",""),"*",""),"?",""),"&lt;",""),"&gt;",""),"=","")))</f>
        <v/>
      </c>
      <c r="EA78" s="23" t="str">
        <f aca="false">IF(CW78="","",IFERROR(IF(LEFT(LOWER(TRIM(INDEX(Clay_Offices!$A$2:$FZ$601,CW78,Sync!$C$19)&amp;"")),4)="grp-",SUBSTITUTE(SUBSTITUTE(SUBSTITUTE(SUBSTITUTE(SUBSTITUTE(SUBSTITUTE(LOWER(TRIM(INDEX(Clay_Offices!$A$2:$FZ$601,CW78,Sync!$C$19)&amp;"")),"~",""),"*",""),"?",""),"&lt;",""),"&gt;",""),"=",""),""),""))</f>
        <v/>
      </c>
      <c r="EB78" s="23" t="str">
        <f aca="false">IF(EA78&lt;&gt;"",DZ78,"")</f>
        <v/>
      </c>
      <c r="EC78" s="23" t="str">
        <f aca="false">IF(BC78=1,AZ78,"")</f>
        <v/>
      </c>
      <c r="ED78" s="23" t="str">
        <f aca="false">IF(TRIM($A78)="","",IFERROR(INDEX($A$2:$A$201,MATCH(AZ78,$EC$2:$EC$201,0))&amp;"",$A78&amp;""))</f>
        <v/>
      </c>
      <c r="EE78" s="23" t="n">
        <f aca="false">IF(BB78=1,IF(COUNTIFS($A$2:$A$201,$A78,$BB$2:$BB$201,1,$H$2:$H$201,"&lt;"&amp;H78)+COUNTIFS($A$2:$A$201,$A78,$BB$2:$BB$201,1,$H$2:$H$201,H78,$BA$2:$BA$201,"&lt;"&amp;BA78)=0,1,0),0)</f>
        <v>0</v>
      </c>
      <c r="EF78" s="23" t="n">
        <f aca="false">IF(BC78=1,IF(COUNTIFS($AZ$2:$AZ$201,AZ78,$EE$2:$EE$201,1)&gt;1,1,0),0)</f>
        <v>0</v>
      </c>
      <c r="EG78" s="23" t="n">
        <f aca="false">IF(AND(CQ78=1),IF(COUNTIFS($AZ$2:$AZ$201,AZ78,$CQ$2:$CQ$201,1,$H$2:$H$201,"&gt;"&amp;H78)+COUNTIFS($AZ$2:$AZ$201,AZ78,$CQ$2:$CQ$201,1,$H$2:$H$201,H78,$BA$2:$BA$201,"&gt;"&amp;BA78)=0,1,0),0)</f>
        <v>0</v>
      </c>
      <c r="EH78" s="23" t="str">
        <f aca="false">IF(BB78=1,IF(COUNTIFS($AZ$2:$AZ$201,AZ78,$EG$2:$EG$201,1)=0,"",SUMIFS($O$2:$O$201,$AZ$2:$AZ$201,AZ78,$EG$2:$EG$201,1)),"")</f>
        <v/>
      </c>
      <c r="EI78" s="23" t="n">
        <f aca="false">IF(AND(ISNUMBER(EH78),OR(N(EH78)&lt;Config!$B$31,N(EH78)&gt;Config!$B$33)),1,0)</f>
        <v>0</v>
      </c>
      <c r="EJ78" s="23" t="n">
        <f aca="false">IF(AND(ISNUMBER(EH78),N(EH78)&gt;=Config!$B$31,N(EH78)&lt;Config!$B$32),1,0)</f>
        <v>0</v>
      </c>
      <c r="EK78" s="23" t="n">
        <f aca="false">IF(AND(BF78=1,INT(N(H78))&lt;=Config!$B$6,DH78=1,EI78=1),1,0)</f>
        <v>0</v>
      </c>
      <c r="EL78" s="23" t="n">
        <f aca="false">IF(AND(BF78=1,INT(N(H78))&lt;=Config!$B$7,DI78=1,EI78=1),1,0)</f>
        <v>0</v>
      </c>
      <c r="EM78" s="23" t="n">
        <f aca="false">IF(AND(BF78=1,INT(N(H78))&lt;=Config!$B$8,DJ78=1,EI78=1),1,0)</f>
        <v>0</v>
      </c>
      <c r="EN78" s="23" t="n">
        <f aca="false">IF(AND(BF78=1,INT(N(H78))&lt;=Config!$B$5,DK78=1,EI78=1),1,0)</f>
        <v>0</v>
      </c>
      <c r="EO78" s="23" t="n">
        <f aca="false">IF(AND(DL78=1,EJ78=1),1,0)</f>
        <v>0</v>
      </c>
      <c r="EP78" s="23" t="n">
        <f aca="false">IF(AND(DM78=1,EJ78=1),1,0)</f>
        <v>0</v>
      </c>
      <c r="EQ78" s="23" t="n">
        <f aca="false">IF(AND(DN78=1,EJ78=1),1,0)</f>
        <v>0</v>
      </c>
      <c r="ER78" s="23" t="n">
        <f aca="false">IF(AND(DO78=1,EJ78=1),1,0)</f>
        <v>0</v>
      </c>
    </row>
    <row r="79" customFormat="false" ht="15" hidden="false" customHeight="false" outlineLevel="0" collapsed="false">
      <c r="G79" s="32"/>
      <c r="H79" s="33"/>
      <c r="I79" s="32"/>
      <c r="L79" s="32"/>
      <c r="Q79" s="32"/>
      <c r="U79" s="32"/>
      <c r="W79" s="32"/>
      <c r="AC79" s="32"/>
      <c r="AF79" s="32"/>
      <c r="AI79" s="32"/>
      <c r="AJ79" s="32"/>
      <c r="AN79" s="32"/>
      <c r="AR79" s="32"/>
      <c r="AT79" s="32"/>
      <c r="AU79" s="32"/>
      <c r="AW79" s="32"/>
      <c r="AY79" s="34" t="str">
        <f aca="false">IF(TRIM($A79)="","",IF(AND(LEFT($A79,6)="SAMPLE",Config!$B$19&lt;&gt;"Y"),"",IF(NOT(ISNUMBER(H79)),"call_date is blank or not a date",IF(Sync!$C$5="","Clay paste is empty or has no row_id column: paste the Clay export on Clay_Offices",IF(CW79="","row_id not found in the Clay paste: add the Clay row or fix the row_id",IF(AND(ISNUMBER(CY79),CY79&gt;=1,CY79&lt;=5),"Clay status is "&amp;CX79&amp;": set call_done or later",IF(AND(BD79=1,CZ79&lt;&gt;BZ79),"Clay yes_in_principle should be "&amp;BZ79,IF(AND(BD79=1,DA79&lt;&gt;H79),"Clay call_date should be "&amp;TEXT(H79,"yyyy-mm-dd"),""))))))))</f>
        <v/>
      </c>
      <c r="AZ79" s="23" t="str">
        <f aca="false">IF(TRIM($A79)="","",IF(TRIM(C79)&lt;&gt;"",SUBSTITUTE(SUBSTITUTE(SUBSTITUTE(SUBSTITUTE(SUBSTITUTE(SUBSTITUTE(LOWER(TRIM(C79)),"~",""),"*",""),"?",""),"&lt;",""),"&gt;",""),"=",""),IF(EA79&lt;&gt;"",EA79,IFERROR(INDEX($EA$2:$EA$201,MATCH(DZ79,$EB$2:$EB$201,0)),DZ79))))</f>
        <v/>
      </c>
      <c r="BA79" s="23" t="n">
        <f aca="false">ROW()</f>
        <v>79</v>
      </c>
      <c r="BB79" s="23" t="n">
        <f aca="false">IF(AND(TRIM($A79)&lt;&gt;"",ISNUMBER(H79)),IF(AND(LEFT($A79,6)="SAMPLE",Config!$B$19&lt;&gt;"Y"),0,1),0)</f>
        <v>0</v>
      </c>
      <c r="BC79" s="23" t="n">
        <f aca="false">IF(BB79=1,IF(COUNTIFS($AZ$2:$AZ$201,AZ79,$BB$2:$BB$201,1,$H$2:$H$201,"&lt;"&amp;H79)+COUNTIFS($AZ$2:$AZ$201,AZ79,$BB$2:$BB$201,1,$H$2:$H$201,H79,$BA$2:$BA$201,"&lt;"&amp;BA79)=0,1,0),0)</f>
        <v>0</v>
      </c>
      <c r="BD79" s="23" t="n">
        <f aca="false">IF(BB79=1,IF(COUNTIFS($A$2:$A$201,$A79,$BB$2:$BB$201,1,$H$2:$H$201,"&gt;"&amp;H79)+COUNTIFS($A$2:$A$201,$A79,$BB$2:$BB$201,1,$H$2:$H$201,H79,$BA$2:$BA$201,"&gt;"&amp;BA79)=0,1,0),0)</f>
        <v>0</v>
      </c>
      <c r="BE79" s="23" t="n">
        <f aca="false">IF(AND(BB79=1,AR79="Y",AC79="Y",TRIM(AH79)&lt;&gt;""),1,0)</f>
        <v>0</v>
      </c>
      <c r="BF79" s="23" t="n">
        <f aca="false">IF(BE79=1,IF(COUNTIFS($AZ$2:$AZ$201,AZ79,$BE$2:$BE$201,1,$H$2:$H$201,"&lt;"&amp;H79)+COUNTIFS($AZ$2:$AZ$201,AZ79,$BE$2:$BE$201,1,$H$2:$H$201,H79,$BA$2:$BA$201,"&lt;"&amp;BA79)=0,1,0),0)</f>
        <v>0</v>
      </c>
      <c r="BG79" s="23" t="n">
        <f aca="false">IF(AND(BB79=1,AR79="Y",BE79=0),1,0)</f>
        <v>0</v>
      </c>
      <c r="BH79" s="23" t="n">
        <f aca="false">IF(AND(BB79=1,ISNUMBER(Y79)),1,0)</f>
        <v>0</v>
      </c>
      <c r="BI79" s="23" t="n">
        <f aca="false">IF(BH79=1,IF(COUNTIFS($AZ$2:$AZ$201,AZ79,$BH$2:$BH$201,1,$H$2:$H$201,"&lt;"&amp;H79)+COUNTIFS($AZ$2:$AZ$201,AZ79,$BH$2:$BH$201,1,$H$2:$H$201,H79,$BA$2:$BA$201,"&lt;"&amp;BA79)=0,1,0),0)</f>
        <v>0</v>
      </c>
      <c r="BJ79" s="23" t="str">
        <f aca="false">IF(AND(BI79=1,INT(N(H79))&lt;=Config!$B$6),Y79,"")</f>
        <v/>
      </c>
      <c r="BK79" s="23" t="str">
        <f aca="false">IF(AND(BI79=1,INT(N(H79))&lt;=Config!$B$7),Y79,"")</f>
        <v/>
      </c>
      <c r="BL79" s="23" t="str">
        <f aca="false">IF(AND(BI79=1,INT(N(H79))&lt;=Config!$B$8),Y79,"")</f>
        <v/>
      </c>
      <c r="BM79" s="23" t="str">
        <f aca="false">IF(AND(BI79=1,INT(N(H79))&lt;=Config!$B$5),Y79,"")</f>
        <v/>
      </c>
      <c r="BN79" s="23" t="n">
        <f aca="false">IF(CD79=1,IF(COUNTIFS($AZ$2:$AZ$201,AZ79,$CD$2:$CD$201,1,$H$2:$H$201,"&lt;"&amp;H79)+COUNTIFS($AZ$2:$AZ$201,AZ79,$CD$2:$CD$201,1,$H$2:$H$201,H79,$BA$2:$BA$201,"&lt;"&amp;BA79)=0,1,0),0)</f>
        <v>0</v>
      </c>
      <c r="BO79" s="23" t="n">
        <f aca="false">IF(AND(BB79=1,ISNUMBER(M79)),1,0)</f>
        <v>0</v>
      </c>
      <c r="BP79" s="23" t="n">
        <f aca="false">IF(BO79=1,IF(COUNTIFS($AZ$2:$AZ$201,AZ79,$BO$2:$BO$201,1,$H$2:$H$201,"&lt;"&amp;H79)+COUNTIFS($AZ$2:$AZ$201,AZ79,$BO$2:$BO$201,1,$H$2:$H$201,H79,$BA$2:$BA$201,"&lt;"&amp;BA79)=0,1,0),0)</f>
        <v>0</v>
      </c>
      <c r="BQ79" s="23" t="str">
        <f aca="false">IF(AND(BP79=1,INT(N(H79))&lt;=Config!$B$5),M79,"")</f>
        <v/>
      </c>
      <c r="BR79" s="23" t="n">
        <f aca="false">IF(AND(BB79=1,OR(TRIM(X79)&lt;&gt;"",ISNUMBER(Y79))),1,0)</f>
        <v>0</v>
      </c>
      <c r="BS79" s="23" t="n">
        <f aca="false">IF(BR79=1,IF(COUNTIFS($AZ$2:$AZ$201,AZ79,$BR$2:$BR$201,1,$H$2:$H$201,"&lt;"&amp;H79)+COUNTIFS($AZ$2:$AZ$201,AZ79,$BR$2:$BR$201,1,$H$2:$H$201,H79,$BA$2:$BA$201,"&lt;"&amp;BA79)=0,1,0),0)</f>
        <v>0</v>
      </c>
      <c r="BT79" s="23" t="str">
        <f aca="false">IF(BS79=1,AZ79,"")</f>
        <v/>
      </c>
      <c r="BU79" s="23" t="n">
        <f aca="false">IF(AND(BB79=1,W79="Y",TRIM(X79)=""),1,0)</f>
        <v>0</v>
      </c>
      <c r="BV79" s="23" t="str">
        <f aca="false">IF(BB79=1,AN79&amp;"","")</f>
        <v/>
      </c>
      <c r="BW79" s="23" t="str">
        <f aca="false">IF(BB79=1,AO79&amp;"","")</f>
        <v/>
      </c>
      <c r="BX79" s="23" t="str">
        <f aca="false">IF(BB79=1,AP79&amp;"","")</f>
        <v/>
      </c>
      <c r="BY79" s="23" t="str">
        <f aca="false">IF(AND(BB79=1,ISNUMBER(AV79),INT(N(H79))&lt;=Config!$B$5),AV79,"")</f>
        <v/>
      </c>
      <c r="BZ79" s="23" t="str">
        <f aca="false">IF(BB79=1,IF(COUNTIFS($A$2:$A$201,$A79,$DC$2:$DC$201,1,$AR$2:$AR$201,"Y")&gt;0,"Y","N"),"")</f>
        <v/>
      </c>
      <c r="CA79" s="23" t="n">
        <f aca="false">IF(AND(BB79=1,AR79="maybe"),1,0)</f>
        <v>0</v>
      </c>
      <c r="CB79" s="23" t="n">
        <f aca="false">IF(CA79=1,IF(COUNTIFS($AZ$2:$AZ$201,AZ79,$CA$2:$CA$201,1,$H$2:$H$201,"&lt;"&amp;H79)+COUNTIFS($AZ$2:$AZ$201,AZ79,$CA$2:$CA$201,1,$H$2:$H$201,H79,$BA$2:$BA$201,"&lt;"&amp;BA79)=0,1,0),0)</f>
        <v>0</v>
      </c>
      <c r="CC79" s="23" t="n">
        <f aca="false">IF(AND(BB79=1,AR79="Y"),IF(COUNTIFS($AZ$2:$AZ$201,AZ79,$AR$2:$AR$201,"Y",$BB$2:$BB$201,1,$H$2:$H$201,"&lt;"&amp;H79)+COUNTIFS($AZ$2:$AZ$201,AZ79,$AR$2:$AR$201,"Y",$BB$2:$BB$201,1,$H$2:$H$201,H79,$BA$2:$BA$201,"&lt;"&amp;BA79)=0,1,0),0)</f>
        <v>0</v>
      </c>
      <c r="CD79" s="23" t="n">
        <f aca="false">IF(AND(BH79=1,N(Y79)&gt;=Config!$B$15),1,0)</f>
        <v>0</v>
      </c>
      <c r="CE79" s="23" t="n">
        <f aca="false">IF(AND(BB79=1,AT79="Y"),1,0)</f>
        <v>0</v>
      </c>
      <c r="CF79" s="23" t="n">
        <f aca="false">IF(CE79=1,IF(COUNTIFS($AZ$2:$AZ$201,AZ79,$CE$2:$CE$201,1,$H$2:$H$201,"&lt;"&amp;H79)+COUNTIFS($AZ$2:$AZ$201,AZ79,$CE$2:$CE$201,1,$H$2:$H$201,H79,$BA$2:$BA$201,"&lt;"&amp;BA79)=0,1,0),0)</f>
        <v>0</v>
      </c>
      <c r="CG79" s="23" t="n">
        <f aca="false">IF(AND(BB79=1,G79="warm-intro"),1,0)</f>
        <v>0</v>
      </c>
      <c r="CH79" s="23" t="n">
        <f aca="false">IF(CG79=1,IF(COUNTIFS($AZ$2:$AZ$201,AZ79,$CG$2:$CG$201,1,$H$2:$H$201,"&lt;"&amp;H79)+COUNTIFS($AZ$2:$AZ$201,AZ79,$CG$2:$CG$201,1,$H$2:$H$201,H79,$BA$2:$BA$201,"&lt;"&amp;BA79)=0,1,0),0)</f>
        <v>0</v>
      </c>
      <c r="CI79" s="23" t="n">
        <f aca="false">IF(AND(BB79=1,Q79="Y"),1,0)</f>
        <v>0</v>
      </c>
      <c r="CJ79" s="23" t="n">
        <f aca="false">IF(CI79=1,IF(COUNTIFS($AZ$2:$AZ$201,AZ79,$CI$2:$CI$201,1,$H$2:$H$201,"&lt;"&amp;H79)+COUNTIFS($AZ$2:$AZ$201,AZ79,$CI$2:$CI$201,1,$H$2:$H$201,H79,$BA$2:$BA$201,"&lt;"&amp;BA79)=0,1,0),0)</f>
        <v>0</v>
      </c>
      <c r="CK79" s="23" t="n">
        <f aca="false">IF(AND(BB79=1,AF79="Y"),1,0)</f>
        <v>0</v>
      </c>
      <c r="CL79" s="23" t="n">
        <f aca="false">IF(CK79=1,IF(COUNTIFS($AZ$2:$AZ$201,AZ79,$CK$2:$CK$201,1,$H$2:$H$201,"&lt;"&amp;H79)+COUNTIFS($AZ$2:$AZ$201,AZ79,$CK$2:$CK$201,1,$H$2:$H$201,H79,$BA$2:$BA$201,"&lt;"&amp;BA79)=0,1,0),0)</f>
        <v>0</v>
      </c>
      <c r="CM79" s="23" t="n">
        <f aca="false">IF(AND(BB79=1,U79="Y"),1,0)</f>
        <v>0</v>
      </c>
      <c r="CN79" s="23" t="n">
        <f aca="false">IF(CM79=1,IF(COUNTIFS($AZ$2:$AZ$201,AZ79,$CM$2:$CM$201,1,$H$2:$H$201,"&lt;"&amp;H79)+COUNTIFS($AZ$2:$AZ$201,AZ79,$CM$2:$CM$201,1,$H$2:$H$201,H79,$BA$2:$BA$201,"&lt;"&amp;BA79)=0,1,0),0)</f>
        <v>0</v>
      </c>
      <c r="CO79" s="23" t="n">
        <f aca="false">IF(AND(BB79=1,L79="Y"),1,0)</f>
        <v>0</v>
      </c>
      <c r="CP79" s="23" t="n">
        <f aca="false">IF(CO79=1,IF(COUNTIFS($AZ$2:$AZ$201,AZ79,$CO$2:$CO$201,1,$H$2:$H$201,"&lt;"&amp;H79)+COUNTIFS($AZ$2:$AZ$201,AZ79,$CO$2:$CO$201,1,$H$2:$H$201,H79,$BA$2:$BA$201,"&lt;"&amp;BA79)=0,1,0),0)</f>
        <v>0</v>
      </c>
      <c r="CQ79" s="23" t="n">
        <f aca="false">IF(AND(BB79=1,ISNUMBER(O79)),1,0)</f>
        <v>0</v>
      </c>
      <c r="CR79" s="23" t="n">
        <f aca="false">IF(CQ79=1,IF(COUNTIFS($AZ$2:$AZ$201,AZ79,$CQ$2:$CQ$201,1,$H$2:$H$201,"&lt;"&amp;H79)+COUNTIFS($AZ$2:$AZ$201,AZ79,$CQ$2:$CQ$201,1,$H$2:$H$201,H79,$BA$2:$BA$201,"&lt;"&amp;BA79)=0,1,0),0)</f>
        <v>0</v>
      </c>
      <c r="CS79" s="23" t="str">
        <f aca="false">IF(AND(CR79=1,INT(N(H79))&lt;=Config!$B$5),O79,"")</f>
        <v/>
      </c>
      <c r="CT79" s="23" t="str">
        <f aca="false">IF(AND(BB79=1,INT(N(H79))&lt;=Config!$B$5),AG79&amp;"","")</f>
        <v/>
      </c>
      <c r="CU79" s="23" t="n">
        <f aca="false">IF(AND(BB79=1,AU79="Y"),1,0)</f>
        <v>0</v>
      </c>
      <c r="CV79" s="23" t="n">
        <f aca="false">IF(CU79=1,IF(COUNTIFS($AZ$2:$AZ$201,AZ79,$CU$2:$CU$201,1,$H$2:$H$201,"&lt;"&amp;H79)+COUNTIFS($AZ$2:$AZ$201,AZ79,$CU$2:$CU$201,1,$H$2:$H$201,H79,$BA$2:$BA$201,"&lt;"&amp;BA79)=0,1,0),0)</f>
        <v>0</v>
      </c>
      <c r="CW79" s="23" t="str">
        <f aca="false">IF(BB79=1,IFERROR(MATCH($A79,INDEX(Clay_Offices!$A$2:$FZ$601,0,Sync!$C$5),0),""),"")</f>
        <v/>
      </c>
      <c r="CX79" s="23" t="str">
        <f aca="false">IF(CW79="","",IFERROR(INDEX(Clay_Offices!$A$2:$FZ$601,CW79,Sync!$C$7)&amp;"",""))</f>
        <v/>
      </c>
      <c r="CY79" s="23" t="str">
        <f aca="false">IF(CX79="","",IFERROR(INDEX(Lists!$K$2:$K$15,MATCH(CX79,Lists!$J$2:$J$15,0)),""))</f>
        <v/>
      </c>
      <c r="CZ79" s="23" t="str">
        <f aca="false">IF(CW79="","",IFERROR(INDEX(Clay_Offices!$A$2:$FZ$601,CW79,Sync!$C$17)&amp;"",""))</f>
        <v/>
      </c>
      <c r="DA79" s="35" t="str">
        <f aca="false">IF(CW79="","",IFERROR(N(INDEX(Clay_Offices!$A$2:$FZ$601,CW79,Sync!$C$16)),0))</f>
        <v/>
      </c>
      <c r="DB79" s="23" t="n">
        <f aca="false">IF(AND(BB79=1,OR(AR79="Y",AR79="N",AR79="maybe")),1,0)</f>
        <v>0</v>
      </c>
      <c r="DC79" s="23" t="n">
        <f aca="false">IF(AND(DB79=1),IF(COUNTIFS($A$2:$A$201,$A79,$DB$2:$DB$201,1,$H$2:$H$201,"&gt;"&amp;H79)+COUNTIFS($A$2:$A$201,$A79,$DB$2:$DB$201,1,$H$2:$H$201,H79,$BA$2:$BA$201,"&gt;"&amp;BA79)=0,1,0),0)</f>
        <v>0</v>
      </c>
      <c r="DD79" s="23" t="n">
        <f aca="false">IF(AND(DB79=1,INT(N(H79))&lt;=Config!$B$6),IF(COUNTIFS($AZ$2:$AZ$201,AZ79,$DB$2:$DB$201,1,$H$2:$H$201,"&gt;"&amp;H79,$H$2:$H$201,"&lt;"&amp;(Config!$B$6+1))+COUNTIFS($AZ$2:$AZ$201,AZ79,$DB$2:$DB$201,1,$H$2:$H$201,H79,$BA$2:$BA$201,"&gt;"&amp;BA79)=0,1,0),0)</f>
        <v>0</v>
      </c>
      <c r="DE79" s="23" t="n">
        <f aca="false">IF(AND(DB79=1,INT(N(H79))&lt;=Config!$B$7),IF(COUNTIFS($AZ$2:$AZ$201,AZ79,$DB$2:$DB$201,1,$H$2:$H$201,"&gt;"&amp;H79,$H$2:$H$201,"&lt;"&amp;(Config!$B$7+1))+COUNTIFS($AZ$2:$AZ$201,AZ79,$DB$2:$DB$201,1,$H$2:$H$201,H79,$BA$2:$BA$201,"&gt;"&amp;BA79)=0,1,0),0)</f>
        <v>0</v>
      </c>
      <c r="DF79" s="23" t="n">
        <f aca="false">IF(AND(DB79=1,INT(N(H79))&lt;=Config!$B$8),IF(COUNTIFS($AZ$2:$AZ$201,AZ79,$DB$2:$DB$201,1,$H$2:$H$201,"&gt;"&amp;H79,$H$2:$H$201,"&lt;"&amp;(Config!$B$8+1))+COUNTIFS($AZ$2:$AZ$201,AZ79,$DB$2:$DB$201,1,$H$2:$H$201,H79,$BA$2:$BA$201,"&gt;"&amp;BA79)=0,1,0),0)</f>
        <v>0</v>
      </c>
      <c r="DG79" s="23" t="n">
        <f aca="false">IF(AND(DB79=1,INT(N(H79))&lt;=Config!$B$5),IF(COUNTIFS($AZ$2:$AZ$201,AZ79,$DB$2:$DB$201,1,$H$2:$H$201,"&gt;"&amp;H79,$H$2:$H$201,"&lt;"&amp;(Config!$B$5+1))+COUNTIFS($AZ$2:$AZ$201,AZ79,$DB$2:$DB$201,1,$H$2:$H$201,H79,$BA$2:$BA$201,"&gt;"&amp;BA79)=0,1,0),0)</f>
        <v>0</v>
      </c>
      <c r="DH79" s="23" t="n">
        <f aca="false">IF(BB79=1,IF(COUNTIFS($AZ$2:$AZ$201,AZ79,$DD$2:$DD$201,1,$AR$2:$AR$201,"Y")&gt;0,1,0),0)</f>
        <v>0</v>
      </c>
      <c r="DI79" s="23" t="n">
        <f aca="false">IF(BB79=1,IF(COUNTIFS($AZ$2:$AZ$201,AZ79,$DE$2:$DE$201,1,$AR$2:$AR$201,"Y")&gt;0,1,0),0)</f>
        <v>0</v>
      </c>
      <c r="DJ79" s="23" t="n">
        <f aca="false">IF(BB79=1,IF(COUNTIFS($AZ$2:$AZ$201,AZ79,$DF$2:$DF$201,1,$AR$2:$AR$201,"Y")&gt;0,1,0),0)</f>
        <v>0</v>
      </c>
      <c r="DK79" s="23" t="n">
        <f aca="false">IF(BB79=1,IF(COUNTIFS($AZ$2:$AZ$201,AZ79,$DG$2:$DG$201,1,$AR$2:$AR$201,"Y")&gt;0,1,0),0)</f>
        <v>0</v>
      </c>
      <c r="DL79" s="23" t="n">
        <f aca="false">IF(AND(BF79=1,INT(N(H79))&lt;=Config!$B$6,DH79=1,EI79=0),1,0)</f>
        <v>0</v>
      </c>
      <c r="DM79" s="23" t="n">
        <f aca="false">IF(AND(BF79=1,INT(N(H79))&lt;=Config!$B$7,DI79=1,EI79=0),1,0)</f>
        <v>0</v>
      </c>
      <c r="DN79" s="23" t="n">
        <f aca="false">IF(AND(BF79=1,INT(N(H79))&lt;=Config!$B$8,DJ79=1,EI79=0),1,0)</f>
        <v>0</v>
      </c>
      <c r="DO79" s="23" t="n">
        <f aca="false">IF(AND(BF79=1,INT(N(H79))&lt;=Config!$B$5,DK79=1,EI79=0),1,0)</f>
        <v>0</v>
      </c>
      <c r="DP79" s="23" t="n">
        <f aca="false">IF(AND(CC79=1,INT(N(H79))&lt;=Config!$B$6,DH79=1,EI79=0),1,0)</f>
        <v>0</v>
      </c>
      <c r="DQ79" s="23" t="n">
        <f aca="false">IF(AND(CC79=1,INT(N(H79))&lt;=Config!$B$7,DI79=1,EI79=0),1,0)</f>
        <v>0</v>
      </c>
      <c r="DR79" s="23" t="n">
        <f aca="false">IF(AND(CC79=1,INT(N(H79))&lt;=Config!$B$8,DJ79=1,EI79=0),1,0)</f>
        <v>0</v>
      </c>
      <c r="DS79" s="23" t="n">
        <f aca="false">IF(AND(CC79=1,INT(N(H79))&lt;=Config!$B$5,DK79=1,EI79=0),1,0)</f>
        <v>0</v>
      </c>
      <c r="DT79" s="23" t="n">
        <f aca="false">IF(AND(CC79=1,INT(N(H79))&lt;=Config!$B$6,DH79=0),1,0)</f>
        <v>0</v>
      </c>
      <c r="DU79" s="23" t="n">
        <f aca="false">IF(AND(CC79=1,INT(N(H79))&lt;=Config!$B$7,DI79=0),1,0)</f>
        <v>0</v>
      </c>
      <c r="DV79" s="23" t="n">
        <f aca="false">IF(AND(CC79=1,INT(N(H79))&lt;=Config!$B$8,DJ79=0),1,0)</f>
        <v>0</v>
      </c>
      <c r="DW79" s="23" t="n">
        <f aca="false">IF(AND(CC79=1,INT(N(H79))&lt;=Config!$B$5,DK79=0),1,0)</f>
        <v>0</v>
      </c>
      <c r="DX79" s="23" t="n">
        <f aca="false">IF(TRIM($A79)="",0,ISTEXT(M79)+ISTEXT(O79)+ISTEXT(Y79)+ISTEXT(Z79)+ISTEXT(AA79)+ISTEXT(AV79))</f>
        <v>0</v>
      </c>
      <c r="DY79" s="23" t="n">
        <f aca="false">IF(BB79=1,IF(H79&lt;&gt;INT(H79),1,0),0)</f>
        <v>0</v>
      </c>
      <c r="DZ79" s="23" t="str">
        <f aca="false">IF(TRIM($A79)="","",IF(TRIM(B79)="",SUBSTITUTE(SUBSTITUTE(SUBSTITUTE(SUBSTITUTE(SUBSTITUTE(SUBSTITUTE(LOWER(TRIM($A79)),"~",""),"*",""),"?",""),"&lt;",""),"&gt;",""),"=",""),SUBSTITUTE(SUBSTITUTE(SUBSTITUTE(SUBSTITUTE(SUBSTITUTE(SUBSTITUTE(LOWER(TRIM(B79)),"~",""),"*",""),"?",""),"&lt;",""),"&gt;",""),"=","")))</f>
        <v/>
      </c>
      <c r="EA79" s="23" t="str">
        <f aca="false">IF(CW79="","",IFERROR(IF(LEFT(LOWER(TRIM(INDEX(Clay_Offices!$A$2:$FZ$601,CW79,Sync!$C$19)&amp;"")),4)="grp-",SUBSTITUTE(SUBSTITUTE(SUBSTITUTE(SUBSTITUTE(SUBSTITUTE(SUBSTITUTE(LOWER(TRIM(INDEX(Clay_Offices!$A$2:$FZ$601,CW79,Sync!$C$19)&amp;"")),"~",""),"*",""),"?",""),"&lt;",""),"&gt;",""),"=",""),""),""))</f>
        <v/>
      </c>
      <c r="EB79" s="23" t="str">
        <f aca="false">IF(EA79&lt;&gt;"",DZ79,"")</f>
        <v/>
      </c>
      <c r="EC79" s="23" t="str">
        <f aca="false">IF(BC79=1,AZ79,"")</f>
        <v/>
      </c>
      <c r="ED79" s="23" t="str">
        <f aca="false">IF(TRIM($A79)="","",IFERROR(INDEX($A$2:$A$201,MATCH(AZ79,$EC$2:$EC$201,0))&amp;"",$A79&amp;""))</f>
        <v/>
      </c>
      <c r="EE79" s="23" t="n">
        <f aca="false">IF(BB79=1,IF(COUNTIFS($A$2:$A$201,$A79,$BB$2:$BB$201,1,$H$2:$H$201,"&lt;"&amp;H79)+COUNTIFS($A$2:$A$201,$A79,$BB$2:$BB$201,1,$H$2:$H$201,H79,$BA$2:$BA$201,"&lt;"&amp;BA79)=0,1,0),0)</f>
        <v>0</v>
      </c>
      <c r="EF79" s="23" t="n">
        <f aca="false">IF(BC79=1,IF(COUNTIFS($AZ$2:$AZ$201,AZ79,$EE$2:$EE$201,1)&gt;1,1,0),0)</f>
        <v>0</v>
      </c>
      <c r="EG79" s="23" t="n">
        <f aca="false">IF(AND(CQ79=1),IF(COUNTIFS($AZ$2:$AZ$201,AZ79,$CQ$2:$CQ$201,1,$H$2:$H$201,"&gt;"&amp;H79)+COUNTIFS($AZ$2:$AZ$201,AZ79,$CQ$2:$CQ$201,1,$H$2:$H$201,H79,$BA$2:$BA$201,"&gt;"&amp;BA79)=0,1,0),0)</f>
        <v>0</v>
      </c>
      <c r="EH79" s="23" t="str">
        <f aca="false">IF(BB79=1,IF(COUNTIFS($AZ$2:$AZ$201,AZ79,$EG$2:$EG$201,1)=0,"",SUMIFS($O$2:$O$201,$AZ$2:$AZ$201,AZ79,$EG$2:$EG$201,1)),"")</f>
        <v/>
      </c>
      <c r="EI79" s="23" t="n">
        <f aca="false">IF(AND(ISNUMBER(EH79),OR(N(EH79)&lt;Config!$B$31,N(EH79)&gt;Config!$B$33)),1,0)</f>
        <v>0</v>
      </c>
      <c r="EJ79" s="23" t="n">
        <f aca="false">IF(AND(ISNUMBER(EH79),N(EH79)&gt;=Config!$B$31,N(EH79)&lt;Config!$B$32),1,0)</f>
        <v>0</v>
      </c>
      <c r="EK79" s="23" t="n">
        <f aca="false">IF(AND(BF79=1,INT(N(H79))&lt;=Config!$B$6,DH79=1,EI79=1),1,0)</f>
        <v>0</v>
      </c>
      <c r="EL79" s="23" t="n">
        <f aca="false">IF(AND(BF79=1,INT(N(H79))&lt;=Config!$B$7,DI79=1,EI79=1),1,0)</f>
        <v>0</v>
      </c>
      <c r="EM79" s="23" t="n">
        <f aca="false">IF(AND(BF79=1,INT(N(H79))&lt;=Config!$B$8,DJ79=1,EI79=1),1,0)</f>
        <v>0</v>
      </c>
      <c r="EN79" s="23" t="n">
        <f aca="false">IF(AND(BF79=1,INT(N(H79))&lt;=Config!$B$5,DK79=1,EI79=1),1,0)</f>
        <v>0</v>
      </c>
      <c r="EO79" s="23" t="n">
        <f aca="false">IF(AND(DL79=1,EJ79=1),1,0)</f>
        <v>0</v>
      </c>
      <c r="EP79" s="23" t="n">
        <f aca="false">IF(AND(DM79=1,EJ79=1),1,0)</f>
        <v>0</v>
      </c>
      <c r="EQ79" s="23" t="n">
        <f aca="false">IF(AND(DN79=1,EJ79=1),1,0)</f>
        <v>0</v>
      </c>
      <c r="ER79" s="23" t="n">
        <f aca="false">IF(AND(DO79=1,EJ79=1),1,0)</f>
        <v>0</v>
      </c>
    </row>
    <row r="80" customFormat="false" ht="15" hidden="false" customHeight="false" outlineLevel="0" collapsed="false">
      <c r="G80" s="32"/>
      <c r="H80" s="33"/>
      <c r="I80" s="32"/>
      <c r="L80" s="32"/>
      <c r="Q80" s="32"/>
      <c r="U80" s="32"/>
      <c r="W80" s="32"/>
      <c r="AC80" s="32"/>
      <c r="AF80" s="32"/>
      <c r="AI80" s="32"/>
      <c r="AJ80" s="32"/>
      <c r="AN80" s="32"/>
      <c r="AR80" s="32"/>
      <c r="AT80" s="32"/>
      <c r="AU80" s="32"/>
      <c r="AW80" s="32"/>
      <c r="AY80" s="34" t="str">
        <f aca="false">IF(TRIM($A80)="","",IF(AND(LEFT($A80,6)="SAMPLE",Config!$B$19&lt;&gt;"Y"),"",IF(NOT(ISNUMBER(H80)),"call_date is blank or not a date",IF(Sync!$C$5="","Clay paste is empty or has no row_id column: paste the Clay export on Clay_Offices",IF(CW80="","row_id not found in the Clay paste: add the Clay row or fix the row_id",IF(AND(ISNUMBER(CY80),CY80&gt;=1,CY80&lt;=5),"Clay status is "&amp;CX80&amp;": set call_done or later",IF(AND(BD80=1,CZ80&lt;&gt;BZ80),"Clay yes_in_principle should be "&amp;BZ80,IF(AND(BD80=1,DA80&lt;&gt;H80),"Clay call_date should be "&amp;TEXT(H80,"yyyy-mm-dd"),""))))))))</f>
        <v/>
      </c>
      <c r="AZ80" s="23" t="str">
        <f aca="false">IF(TRIM($A80)="","",IF(TRIM(C80)&lt;&gt;"",SUBSTITUTE(SUBSTITUTE(SUBSTITUTE(SUBSTITUTE(SUBSTITUTE(SUBSTITUTE(LOWER(TRIM(C80)),"~",""),"*",""),"?",""),"&lt;",""),"&gt;",""),"=",""),IF(EA80&lt;&gt;"",EA80,IFERROR(INDEX($EA$2:$EA$201,MATCH(DZ80,$EB$2:$EB$201,0)),DZ80))))</f>
        <v/>
      </c>
      <c r="BA80" s="23" t="n">
        <f aca="false">ROW()</f>
        <v>80</v>
      </c>
      <c r="BB80" s="23" t="n">
        <f aca="false">IF(AND(TRIM($A80)&lt;&gt;"",ISNUMBER(H80)),IF(AND(LEFT($A80,6)="SAMPLE",Config!$B$19&lt;&gt;"Y"),0,1),0)</f>
        <v>0</v>
      </c>
      <c r="BC80" s="23" t="n">
        <f aca="false">IF(BB80=1,IF(COUNTIFS($AZ$2:$AZ$201,AZ80,$BB$2:$BB$201,1,$H$2:$H$201,"&lt;"&amp;H80)+COUNTIFS($AZ$2:$AZ$201,AZ80,$BB$2:$BB$201,1,$H$2:$H$201,H80,$BA$2:$BA$201,"&lt;"&amp;BA80)=0,1,0),0)</f>
        <v>0</v>
      </c>
      <c r="BD80" s="23" t="n">
        <f aca="false">IF(BB80=1,IF(COUNTIFS($A$2:$A$201,$A80,$BB$2:$BB$201,1,$H$2:$H$201,"&gt;"&amp;H80)+COUNTIFS($A$2:$A$201,$A80,$BB$2:$BB$201,1,$H$2:$H$201,H80,$BA$2:$BA$201,"&gt;"&amp;BA80)=0,1,0),0)</f>
        <v>0</v>
      </c>
      <c r="BE80" s="23" t="n">
        <f aca="false">IF(AND(BB80=1,AR80="Y",AC80="Y",TRIM(AH80)&lt;&gt;""),1,0)</f>
        <v>0</v>
      </c>
      <c r="BF80" s="23" t="n">
        <f aca="false">IF(BE80=1,IF(COUNTIFS($AZ$2:$AZ$201,AZ80,$BE$2:$BE$201,1,$H$2:$H$201,"&lt;"&amp;H80)+COUNTIFS($AZ$2:$AZ$201,AZ80,$BE$2:$BE$201,1,$H$2:$H$201,H80,$BA$2:$BA$201,"&lt;"&amp;BA80)=0,1,0),0)</f>
        <v>0</v>
      </c>
      <c r="BG80" s="23" t="n">
        <f aca="false">IF(AND(BB80=1,AR80="Y",BE80=0),1,0)</f>
        <v>0</v>
      </c>
      <c r="BH80" s="23" t="n">
        <f aca="false">IF(AND(BB80=1,ISNUMBER(Y80)),1,0)</f>
        <v>0</v>
      </c>
      <c r="BI80" s="23" t="n">
        <f aca="false">IF(BH80=1,IF(COUNTIFS($AZ$2:$AZ$201,AZ80,$BH$2:$BH$201,1,$H$2:$H$201,"&lt;"&amp;H80)+COUNTIFS($AZ$2:$AZ$201,AZ80,$BH$2:$BH$201,1,$H$2:$H$201,H80,$BA$2:$BA$201,"&lt;"&amp;BA80)=0,1,0),0)</f>
        <v>0</v>
      </c>
      <c r="BJ80" s="23" t="str">
        <f aca="false">IF(AND(BI80=1,INT(N(H80))&lt;=Config!$B$6),Y80,"")</f>
        <v/>
      </c>
      <c r="BK80" s="23" t="str">
        <f aca="false">IF(AND(BI80=1,INT(N(H80))&lt;=Config!$B$7),Y80,"")</f>
        <v/>
      </c>
      <c r="BL80" s="23" t="str">
        <f aca="false">IF(AND(BI80=1,INT(N(H80))&lt;=Config!$B$8),Y80,"")</f>
        <v/>
      </c>
      <c r="BM80" s="23" t="str">
        <f aca="false">IF(AND(BI80=1,INT(N(H80))&lt;=Config!$B$5),Y80,"")</f>
        <v/>
      </c>
      <c r="BN80" s="23" t="n">
        <f aca="false">IF(CD80=1,IF(COUNTIFS($AZ$2:$AZ$201,AZ80,$CD$2:$CD$201,1,$H$2:$H$201,"&lt;"&amp;H80)+COUNTIFS($AZ$2:$AZ$201,AZ80,$CD$2:$CD$201,1,$H$2:$H$201,H80,$BA$2:$BA$201,"&lt;"&amp;BA80)=0,1,0),0)</f>
        <v>0</v>
      </c>
      <c r="BO80" s="23" t="n">
        <f aca="false">IF(AND(BB80=1,ISNUMBER(M80)),1,0)</f>
        <v>0</v>
      </c>
      <c r="BP80" s="23" t="n">
        <f aca="false">IF(BO80=1,IF(COUNTIFS($AZ$2:$AZ$201,AZ80,$BO$2:$BO$201,1,$H$2:$H$201,"&lt;"&amp;H80)+COUNTIFS($AZ$2:$AZ$201,AZ80,$BO$2:$BO$201,1,$H$2:$H$201,H80,$BA$2:$BA$201,"&lt;"&amp;BA80)=0,1,0),0)</f>
        <v>0</v>
      </c>
      <c r="BQ80" s="23" t="str">
        <f aca="false">IF(AND(BP80=1,INT(N(H80))&lt;=Config!$B$5),M80,"")</f>
        <v/>
      </c>
      <c r="BR80" s="23" t="n">
        <f aca="false">IF(AND(BB80=1,OR(TRIM(X80)&lt;&gt;"",ISNUMBER(Y80))),1,0)</f>
        <v>0</v>
      </c>
      <c r="BS80" s="23" t="n">
        <f aca="false">IF(BR80=1,IF(COUNTIFS($AZ$2:$AZ$201,AZ80,$BR$2:$BR$201,1,$H$2:$H$201,"&lt;"&amp;H80)+COUNTIFS($AZ$2:$AZ$201,AZ80,$BR$2:$BR$201,1,$H$2:$H$201,H80,$BA$2:$BA$201,"&lt;"&amp;BA80)=0,1,0),0)</f>
        <v>0</v>
      </c>
      <c r="BT80" s="23" t="str">
        <f aca="false">IF(BS80=1,AZ80,"")</f>
        <v/>
      </c>
      <c r="BU80" s="23" t="n">
        <f aca="false">IF(AND(BB80=1,W80="Y",TRIM(X80)=""),1,0)</f>
        <v>0</v>
      </c>
      <c r="BV80" s="23" t="str">
        <f aca="false">IF(BB80=1,AN80&amp;"","")</f>
        <v/>
      </c>
      <c r="BW80" s="23" t="str">
        <f aca="false">IF(BB80=1,AO80&amp;"","")</f>
        <v/>
      </c>
      <c r="BX80" s="23" t="str">
        <f aca="false">IF(BB80=1,AP80&amp;"","")</f>
        <v/>
      </c>
      <c r="BY80" s="23" t="str">
        <f aca="false">IF(AND(BB80=1,ISNUMBER(AV80),INT(N(H80))&lt;=Config!$B$5),AV80,"")</f>
        <v/>
      </c>
      <c r="BZ80" s="23" t="str">
        <f aca="false">IF(BB80=1,IF(COUNTIFS($A$2:$A$201,$A80,$DC$2:$DC$201,1,$AR$2:$AR$201,"Y")&gt;0,"Y","N"),"")</f>
        <v/>
      </c>
      <c r="CA80" s="23" t="n">
        <f aca="false">IF(AND(BB80=1,AR80="maybe"),1,0)</f>
        <v>0</v>
      </c>
      <c r="CB80" s="23" t="n">
        <f aca="false">IF(CA80=1,IF(COUNTIFS($AZ$2:$AZ$201,AZ80,$CA$2:$CA$201,1,$H$2:$H$201,"&lt;"&amp;H80)+COUNTIFS($AZ$2:$AZ$201,AZ80,$CA$2:$CA$201,1,$H$2:$H$201,H80,$BA$2:$BA$201,"&lt;"&amp;BA80)=0,1,0),0)</f>
        <v>0</v>
      </c>
      <c r="CC80" s="23" t="n">
        <f aca="false">IF(AND(BB80=1,AR80="Y"),IF(COUNTIFS($AZ$2:$AZ$201,AZ80,$AR$2:$AR$201,"Y",$BB$2:$BB$201,1,$H$2:$H$201,"&lt;"&amp;H80)+COUNTIFS($AZ$2:$AZ$201,AZ80,$AR$2:$AR$201,"Y",$BB$2:$BB$201,1,$H$2:$H$201,H80,$BA$2:$BA$201,"&lt;"&amp;BA80)=0,1,0),0)</f>
        <v>0</v>
      </c>
      <c r="CD80" s="23" t="n">
        <f aca="false">IF(AND(BH80=1,N(Y80)&gt;=Config!$B$15),1,0)</f>
        <v>0</v>
      </c>
      <c r="CE80" s="23" t="n">
        <f aca="false">IF(AND(BB80=1,AT80="Y"),1,0)</f>
        <v>0</v>
      </c>
      <c r="CF80" s="23" t="n">
        <f aca="false">IF(CE80=1,IF(COUNTIFS($AZ$2:$AZ$201,AZ80,$CE$2:$CE$201,1,$H$2:$H$201,"&lt;"&amp;H80)+COUNTIFS($AZ$2:$AZ$201,AZ80,$CE$2:$CE$201,1,$H$2:$H$201,H80,$BA$2:$BA$201,"&lt;"&amp;BA80)=0,1,0),0)</f>
        <v>0</v>
      </c>
      <c r="CG80" s="23" t="n">
        <f aca="false">IF(AND(BB80=1,G80="warm-intro"),1,0)</f>
        <v>0</v>
      </c>
      <c r="CH80" s="23" t="n">
        <f aca="false">IF(CG80=1,IF(COUNTIFS($AZ$2:$AZ$201,AZ80,$CG$2:$CG$201,1,$H$2:$H$201,"&lt;"&amp;H80)+COUNTIFS($AZ$2:$AZ$201,AZ80,$CG$2:$CG$201,1,$H$2:$H$201,H80,$BA$2:$BA$201,"&lt;"&amp;BA80)=0,1,0),0)</f>
        <v>0</v>
      </c>
      <c r="CI80" s="23" t="n">
        <f aca="false">IF(AND(BB80=1,Q80="Y"),1,0)</f>
        <v>0</v>
      </c>
      <c r="CJ80" s="23" t="n">
        <f aca="false">IF(CI80=1,IF(COUNTIFS($AZ$2:$AZ$201,AZ80,$CI$2:$CI$201,1,$H$2:$H$201,"&lt;"&amp;H80)+COUNTIFS($AZ$2:$AZ$201,AZ80,$CI$2:$CI$201,1,$H$2:$H$201,H80,$BA$2:$BA$201,"&lt;"&amp;BA80)=0,1,0),0)</f>
        <v>0</v>
      </c>
      <c r="CK80" s="23" t="n">
        <f aca="false">IF(AND(BB80=1,AF80="Y"),1,0)</f>
        <v>0</v>
      </c>
      <c r="CL80" s="23" t="n">
        <f aca="false">IF(CK80=1,IF(COUNTIFS($AZ$2:$AZ$201,AZ80,$CK$2:$CK$201,1,$H$2:$H$201,"&lt;"&amp;H80)+COUNTIFS($AZ$2:$AZ$201,AZ80,$CK$2:$CK$201,1,$H$2:$H$201,H80,$BA$2:$BA$201,"&lt;"&amp;BA80)=0,1,0),0)</f>
        <v>0</v>
      </c>
      <c r="CM80" s="23" t="n">
        <f aca="false">IF(AND(BB80=1,U80="Y"),1,0)</f>
        <v>0</v>
      </c>
      <c r="CN80" s="23" t="n">
        <f aca="false">IF(CM80=1,IF(COUNTIFS($AZ$2:$AZ$201,AZ80,$CM$2:$CM$201,1,$H$2:$H$201,"&lt;"&amp;H80)+COUNTIFS($AZ$2:$AZ$201,AZ80,$CM$2:$CM$201,1,$H$2:$H$201,H80,$BA$2:$BA$201,"&lt;"&amp;BA80)=0,1,0),0)</f>
        <v>0</v>
      </c>
      <c r="CO80" s="23" t="n">
        <f aca="false">IF(AND(BB80=1,L80="Y"),1,0)</f>
        <v>0</v>
      </c>
      <c r="CP80" s="23" t="n">
        <f aca="false">IF(CO80=1,IF(COUNTIFS($AZ$2:$AZ$201,AZ80,$CO$2:$CO$201,1,$H$2:$H$201,"&lt;"&amp;H80)+COUNTIFS($AZ$2:$AZ$201,AZ80,$CO$2:$CO$201,1,$H$2:$H$201,H80,$BA$2:$BA$201,"&lt;"&amp;BA80)=0,1,0),0)</f>
        <v>0</v>
      </c>
      <c r="CQ80" s="23" t="n">
        <f aca="false">IF(AND(BB80=1,ISNUMBER(O80)),1,0)</f>
        <v>0</v>
      </c>
      <c r="CR80" s="23" t="n">
        <f aca="false">IF(CQ80=1,IF(COUNTIFS($AZ$2:$AZ$201,AZ80,$CQ$2:$CQ$201,1,$H$2:$H$201,"&lt;"&amp;H80)+COUNTIFS($AZ$2:$AZ$201,AZ80,$CQ$2:$CQ$201,1,$H$2:$H$201,H80,$BA$2:$BA$201,"&lt;"&amp;BA80)=0,1,0),0)</f>
        <v>0</v>
      </c>
      <c r="CS80" s="23" t="str">
        <f aca="false">IF(AND(CR80=1,INT(N(H80))&lt;=Config!$B$5),O80,"")</f>
        <v/>
      </c>
      <c r="CT80" s="23" t="str">
        <f aca="false">IF(AND(BB80=1,INT(N(H80))&lt;=Config!$B$5),AG80&amp;"","")</f>
        <v/>
      </c>
      <c r="CU80" s="23" t="n">
        <f aca="false">IF(AND(BB80=1,AU80="Y"),1,0)</f>
        <v>0</v>
      </c>
      <c r="CV80" s="23" t="n">
        <f aca="false">IF(CU80=1,IF(COUNTIFS($AZ$2:$AZ$201,AZ80,$CU$2:$CU$201,1,$H$2:$H$201,"&lt;"&amp;H80)+COUNTIFS($AZ$2:$AZ$201,AZ80,$CU$2:$CU$201,1,$H$2:$H$201,H80,$BA$2:$BA$201,"&lt;"&amp;BA80)=0,1,0),0)</f>
        <v>0</v>
      </c>
      <c r="CW80" s="23" t="str">
        <f aca="false">IF(BB80=1,IFERROR(MATCH($A80,INDEX(Clay_Offices!$A$2:$FZ$601,0,Sync!$C$5),0),""),"")</f>
        <v/>
      </c>
      <c r="CX80" s="23" t="str">
        <f aca="false">IF(CW80="","",IFERROR(INDEX(Clay_Offices!$A$2:$FZ$601,CW80,Sync!$C$7)&amp;"",""))</f>
        <v/>
      </c>
      <c r="CY80" s="23" t="str">
        <f aca="false">IF(CX80="","",IFERROR(INDEX(Lists!$K$2:$K$15,MATCH(CX80,Lists!$J$2:$J$15,0)),""))</f>
        <v/>
      </c>
      <c r="CZ80" s="23" t="str">
        <f aca="false">IF(CW80="","",IFERROR(INDEX(Clay_Offices!$A$2:$FZ$601,CW80,Sync!$C$17)&amp;"",""))</f>
        <v/>
      </c>
      <c r="DA80" s="35" t="str">
        <f aca="false">IF(CW80="","",IFERROR(N(INDEX(Clay_Offices!$A$2:$FZ$601,CW80,Sync!$C$16)),0))</f>
        <v/>
      </c>
      <c r="DB80" s="23" t="n">
        <f aca="false">IF(AND(BB80=1,OR(AR80="Y",AR80="N",AR80="maybe")),1,0)</f>
        <v>0</v>
      </c>
      <c r="DC80" s="23" t="n">
        <f aca="false">IF(AND(DB80=1),IF(COUNTIFS($A$2:$A$201,$A80,$DB$2:$DB$201,1,$H$2:$H$201,"&gt;"&amp;H80)+COUNTIFS($A$2:$A$201,$A80,$DB$2:$DB$201,1,$H$2:$H$201,H80,$BA$2:$BA$201,"&gt;"&amp;BA80)=0,1,0),0)</f>
        <v>0</v>
      </c>
      <c r="DD80" s="23" t="n">
        <f aca="false">IF(AND(DB80=1,INT(N(H80))&lt;=Config!$B$6),IF(COUNTIFS($AZ$2:$AZ$201,AZ80,$DB$2:$DB$201,1,$H$2:$H$201,"&gt;"&amp;H80,$H$2:$H$201,"&lt;"&amp;(Config!$B$6+1))+COUNTIFS($AZ$2:$AZ$201,AZ80,$DB$2:$DB$201,1,$H$2:$H$201,H80,$BA$2:$BA$201,"&gt;"&amp;BA80)=0,1,0),0)</f>
        <v>0</v>
      </c>
      <c r="DE80" s="23" t="n">
        <f aca="false">IF(AND(DB80=1,INT(N(H80))&lt;=Config!$B$7),IF(COUNTIFS($AZ$2:$AZ$201,AZ80,$DB$2:$DB$201,1,$H$2:$H$201,"&gt;"&amp;H80,$H$2:$H$201,"&lt;"&amp;(Config!$B$7+1))+COUNTIFS($AZ$2:$AZ$201,AZ80,$DB$2:$DB$201,1,$H$2:$H$201,H80,$BA$2:$BA$201,"&gt;"&amp;BA80)=0,1,0),0)</f>
        <v>0</v>
      </c>
      <c r="DF80" s="23" t="n">
        <f aca="false">IF(AND(DB80=1,INT(N(H80))&lt;=Config!$B$8),IF(COUNTIFS($AZ$2:$AZ$201,AZ80,$DB$2:$DB$201,1,$H$2:$H$201,"&gt;"&amp;H80,$H$2:$H$201,"&lt;"&amp;(Config!$B$8+1))+COUNTIFS($AZ$2:$AZ$201,AZ80,$DB$2:$DB$201,1,$H$2:$H$201,H80,$BA$2:$BA$201,"&gt;"&amp;BA80)=0,1,0),0)</f>
        <v>0</v>
      </c>
      <c r="DG80" s="23" t="n">
        <f aca="false">IF(AND(DB80=1,INT(N(H80))&lt;=Config!$B$5),IF(COUNTIFS($AZ$2:$AZ$201,AZ80,$DB$2:$DB$201,1,$H$2:$H$201,"&gt;"&amp;H80,$H$2:$H$201,"&lt;"&amp;(Config!$B$5+1))+COUNTIFS($AZ$2:$AZ$201,AZ80,$DB$2:$DB$201,1,$H$2:$H$201,H80,$BA$2:$BA$201,"&gt;"&amp;BA80)=0,1,0),0)</f>
        <v>0</v>
      </c>
      <c r="DH80" s="23" t="n">
        <f aca="false">IF(BB80=1,IF(COUNTIFS($AZ$2:$AZ$201,AZ80,$DD$2:$DD$201,1,$AR$2:$AR$201,"Y")&gt;0,1,0),0)</f>
        <v>0</v>
      </c>
      <c r="DI80" s="23" t="n">
        <f aca="false">IF(BB80=1,IF(COUNTIFS($AZ$2:$AZ$201,AZ80,$DE$2:$DE$201,1,$AR$2:$AR$201,"Y")&gt;0,1,0),0)</f>
        <v>0</v>
      </c>
      <c r="DJ80" s="23" t="n">
        <f aca="false">IF(BB80=1,IF(COUNTIFS($AZ$2:$AZ$201,AZ80,$DF$2:$DF$201,1,$AR$2:$AR$201,"Y")&gt;0,1,0),0)</f>
        <v>0</v>
      </c>
      <c r="DK80" s="23" t="n">
        <f aca="false">IF(BB80=1,IF(COUNTIFS($AZ$2:$AZ$201,AZ80,$DG$2:$DG$201,1,$AR$2:$AR$201,"Y")&gt;0,1,0),0)</f>
        <v>0</v>
      </c>
      <c r="DL80" s="23" t="n">
        <f aca="false">IF(AND(BF80=1,INT(N(H80))&lt;=Config!$B$6,DH80=1,EI80=0),1,0)</f>
        <v>0</v>
      </c>
      <c r="DM80" s="23" t="n">
        <f aca="false">IF(AND(BF80=1,INT(N(H80))&lt;=Config!$B$7,DI80=1,EI80=0),1,0)</f>
        <v>0</v>
      </c>
      <c r="DN80" s="23" t="n">
        <f aca="false">IF(AND(BF80=1,INT(N(H80))&lt;=Config!$B$8,DJ80=1,EI80=0),1,0)</f>
        <v>0</v>
      </c>
      <c r="DO80" s="23" t="n">
        <f aca="false">IF(AND(BF80=1,INT(N(H80))&lt;=Config!$B$5,DK80=1,EI80=0),1,0)</f>
        <v>0</v>
      </c>
      <c r="DP80" s="23" t="n">
        <f aca="false">IF(AND(CC80=1,INT(N(H80))&lt;=Config!$B$6,DH80=1,EI80=0),1,0)</f>
        <v>0</v>
      </c>
      <c r="DQ80" s="23" t="n">
        <f aca="false">IF(AND(CC80=1,INT(N(H80))&lt;=Config!$B$7,DI80=1,EI80=0),1,0)</f>
        <v>0</v>
      </c>
      <c r="DR80" s="23" t="n">
        <f aca="false">IF(AND(CC80=1,INT(N(H80))&lt;=Config!$B$8,DJ80=1,EI80=0),1,0)</f>
        <v>0</v>
      </c>
      <c r="DS80" s="23" t="n">
        <f aca="false">IF(AND(CC80=1,INT(N(H80))&lt;=Config!$B$5,DK80=1,EI80=0),1,0)</f>
        <v>0</v>
      </c>
      <c r="DT80" s="23" t="n">
        <f aca="false">IF(AND(CC80=1,INT(N(H80))&lt;=Config!$B$6,DH80=0),1,0)</f>
        <v>0</v>
      </c>
      <c r="DU80" s="23" t="n">
        <f aca="false">IF(AND(CC80=1,INT(N(H80))&lt;=Config!$B$7,DI80=0),1,0)</f>
        <v>0</v>
      </c>
      <c r="DV80" s="23" t="n">
        <f aca="false">IF(AND(CC80=1,INT(N(H80))&lt;=Config!$B$8,DJ80=0),1,0)</f>
        <v>0</v>
      </c>
      <c r="DW80" s="23" t="n">
        <f aca="false">IF(AND(CC80=1,INT(N(H80))&lt;=Config!$B$5,DK80=0),1,0)</f>
        <v>0</v>
      </c>
      <c r="DX80" s="23" t="n">
        <f aca="false">IF(TRIM($A80)="",0,ISTEXT(M80)+ISTEXT(O80)+ISTEXT(Y80)+ISTEXT(Z80)+ISTEXT(AA80)+ISTEXT(AV80))</f>
        <v>0</v>
      </c>
      <c r="DY80" s="23" t="n">
        <f aca="false">IF(BB80=1,IF(H80&lt;&gt;INT(H80),1,0),0)</f>
        <v>0</v>
      </c>
      <c r="DZ80" s="23" t="str">
        <f aca="false">IF(TRIM($A80)="","",IF(TRIM(B80)="",SUBSTITUTE(SUBSTITUTE(SUBSTITUTE(SUBSTITUTE(SUBSTITUTE(SUBSTITUTE(LOWER(TRIM($A80)),"~",""),"*",""),"?",""),"&lt;",""),"&gt;",""),"=",""),SUBSTITUTE(SUBSTITUTE(SUBSTITUTE(SUBSTITUTE(SUBSTITUTE(SUBSTITUTE(LOWER(TRIM(B80)),"~",""),"*",""),"?",""),"&lt;",""),"&gt;",""),"=","")))</f>
        <v/>
      </c>
      <c r="EA80" s="23" t="str">
        <f aca="false">IF(CW80="","",IFERROR(IF(LEFT(LOWER(TRIM(INDEX(Clay_Offices!$A$2:$FZ$601,CW80,Sync!$C$19)&amp;"")),4)="grp-",SUBSTITUTE(SUBSTITUTE(SUBSTITUTE(SUBSTITUTE(SUBSTITUTE(SUBSTITUTE(LOWER(TRIM(INDEX(Clay_Offices!$A$2:$FZ$601,CW80,Sync!$C$19)&amp;"")),"~",""),"*",""),"?",""),"&lt;",""),"&gt;",""),"=",""),""),""))</f>
        <v/>
      </c>
      <c r="EB80" s="23" t="str">
        <f aca="false">IF(EA80&lt;&gt;"",DZ80,"")</f>
        <v/>
      </c>
      <c r="EC80" s="23" t="str">
        <f aca="false">IF(BC80=1,AZ80,"")</f>
        <v/>
      </c>
      <c r="ED80" s="23" t="str">
        <f aca="false">IF(TRIM($A80)="","",IFERROR(INDEX($A$2:$A$201,MATCH(AZ80,$EC$2:$EC$201,0))&amp;"",$A80&amp;""))</f>
        <v/>
      </c>
      <c r="EE80" s="23" t="n">
        <f aca="false">IF(BB80=1,IF(COUNTIFS($A$2:$A$201,$A80,$BB$2:$BB$201,1,$H$2:$H$201,"&lt;"&amp;H80)+COUNTIFS($A$2:$A$201,$A80,$BB$2:$BB$201,1,$H$2:$H$201,H80,$BA$2:$BA$201,"&lt;"&amp;BA80)=0,1,0),0)</f>
        <v>0</v>
      </c>
      <c r="EF80" s="23" t="n">
        <f aca="false">IF(BC80=1,IF(COUNTIFS($AZ$2:$AZ$201,AZ80,$EE$2:$EE$201,1)&gt;1,1,0),0)</f>
        <v>0</v>
      </c>
      <c r="EG80" s="23" t="n">
        <f aca="false">IF(AND(CQ80=1),IF(COUNTIFS($AZ$2:$AZ$201,AZ80,$CQ$2:$CQ$201,1,$H$2:$H$201,"&gt;"&amp;H80)+COUNTIFS($AZ$2:$AZ$201,AZ80,$CQ$2:$CQ$201,1,$H$2:$H$201,H80,$BA$2:$BA$201,"&gt;"&amp;BA80)=0,1,0),0)</f>
        <v>0</v>
      </c>
      <c r="EH80" s="23" t="str">
        <f aca="false">IF(BB80=1,IF(COUNTIFS($AZ$2:$AZ$201,AZ80,$EG$2:$EG$201,1)=0,"",SUMIFS($O$2:$O$201,$AZ$2:$AZ$201,AZ80,$EG$2:$EG$201,1)),"")</f>
        <v/>
      </c>
      <c r="EI80" s="23" t="n">
        <f aca="false">IF(AND(ISNUMBER(EH80),OR(N(EH80)&lt;Config!$B$31,N(EH80)&gt;Config!$B$33)),1,0)</f>
        <v>0</v>
      </c>
      <c r="EJ80" s="23" t="n">
        <f aca="false">IF(AND(ISNUMBER(EH80),N(EH80)&gt;=Config!$B$31,N(EH80)&lt;Config!$B$32),1,0)</f>
        <v>0</v>
      </c>
      <c r="EK80" s="23" t="n">
        <f aca="false">IF(AND(BF80=1,INT(N(H80))&lt;=Config!$B$6,DH80=1,EI80=1),1,0)</f>
        <v>0</v>
      </c>
      <c r="EL80" s="23" t="n">
        <f aca="false">IF(AND(BF80=1,INT(N(H80))&lt;=Config!$B$7,DI80=1,EI80=1),1,0)</f>
        <v>0</v>
      </c>
      <c r="EM80" s="23" t="n">
        <f aca="false">IF(AND(BF80=1,INT(N(H80))&lt;=Config!$B$8,DJ80=1,EI80=1),1,0)</f>
        <v>0</v>
      </c>
      <c r="EN80" s="23" t="n">
        <f aca="false">IF(AND(BF80=1,INT(N(H80))&lt;=Config!$B$5,DK80=1,EI80=1),1,0)</f>
        <v>0</v>
      </c>
      <c r="EO80" s="23" t="n">
        <f aca="false">IF(AND(DL80=1,EJ80=1),1,0)</f>
        <v>0</v>
      </c>
      <c r="EP80" s="23" t="n">
        <f aca="false">IF(AND(DM80=1,EJ80=1),1,0)</f>
        <v>0</v>
      </c>
      <c r="EQ80" s="23" t="n">
        <f aca="false">IF(AND(DN80=1,EJ80=1),1,0)</f>
        <v>0</v>
      </c>
      <c r="ER80" s="23" t="n">
        <f aca="false">IF(AND(DO80=1,EJ80=1),1,0)</f>
        <v>0</v>
      </c>
    </row>
    <row r="81" customFormat="false" ht="15" hidden="false" customHeight="false" outlineLevel="0" collapsed="false">
      <c r="G81" s="32"/>
      <c r="H81" s="33"/>
      <c r="I81" s="32"/>
      <c r="L81" s="32"/>
      <c r="Q81" s="32"/>
      <c r="U81" s="32"/>
      <c r="W81" s="32"/>
      <c r="AC81" s="32"/>
      <c r="AF81" s="32"/>
      <c r="AI81" s="32"/>
      <c r="AJ81" s="32"/>
      <c r="AN81" s="32"/>
      <c r="AR81" s="32"/>
      <c r="AT81" s="32"/>
      <c r="AU81" s="32"/>
      <c r="AW81" s="32"/>
      <c r="AY81" s="34" t="str">
        <f aca="false">IF(TRIM($A81)="","",IF(AND(LEFT($A81,6)="SAMPLE",Config!$B$19&lt;&gt;"Y"),"",IF(NOT(ISNUMBER(H81)),"call_date is blank or not a date",IF(Sync!$C$5="","Clay paste is empty or has no row_id column: paste the Clay export on Clay_Offices",IF(CW81="","row_id not found in the Clay paste: add the Clay row or fix the row_id",IF(AND(ISNUMBER(CY81),CY81&gt;=1,CY81&lt;=5),"Clay status is "&amp;CX81&amp;": set call_done or later",IF(AND(BD81=1,CZ81&lt;&gt;BZ81),"Clay yes_in_principle should be "&amp;BZ81,IF(AND(BD81=1,DA81&lt;&gt;H81),"Clay call_date should be "&amp;TEXT(H81,"yyyy-mm-dd"),""))))))))</f>
        <v/>
      </c>
      <c r="AZ81" s="23" t="str">
        <f aca="false">IF(TRIM($A81)="","",IF(TRIM(C81)&lt;&gt;"",SUBSTITUTE(SUBSTITUTE(SUBSTITUTE(SUBSTITUTE(SUBSTITUTE(SUBSTITUTE(LOWER(TRIM(C81)),"~",""),"*",""),"?",""),"&lt;",""),"&gt;",""),"=",""),IF(EA81&lt;&gt;"",EA81,IFERROR(INDEX($EA$2:$EA$201,MATCH(DZ81,$EB$2:$EB$201,0)),DZ81))))</f>
        <v/>
      </c>
      <c r="BA81" s="23" t="n">
        <f aca="false">ROW()</f>
        <v>81</v>
      </c>
      <c r="BB81" s="23" t="n">
        <f aca="false">IF(AND(TRIM($A81)&lt;&gt;"",ISNUMBER(H81)),IF(AND(LEFT($A81,6)="SAMPLE",Config!$B$19&lt;&gt;"Y"),0,1),0)</f>
        <v>0</v>
      </c>
      <c r="BC81" s="23" t="n">
        <f aca="false">IF(BB81=1,IF(COUNTIFS($AZ$2:$AZ$201,AZ81,$BB$2:$BB$201,1,$H$2:$H$201,"&lt;"&amp;H81)+COUNTIFS($AZ$2:$AZ$201,AZ81,$BB$2:$BB$201,1,$H$2:$H$201,H81,$BA$2:$BA$201,"&lt;"&amp;BA81)=0,1,0),0)</f>
        <v>0</v>
      </c>
      <c r="BD81" s="23" t="n">
        <f aca="false">IF(BB81=1,IF(COUNTIFS($A$2:$A$201,$A81,$BB$2:$BB$201,1,$H$2:$H$201,"&gt;"&amp;H81)+COUNTIFS($A$2:$A$201,$A81,$BB$2:$BB$201,1,$H$2:$H$201,H81,$BA$2:$BA$201,"&gt;"&amp;BA81)=0,1,0),0)</f>
        <v>0</v>
      </c>
      <c r="BE81" s="23" t="n">
        <f aca="false">IF(AND(BB81=1,AR81="Y",AC81="Y",TRIM(AH81)&lt;&gt;""),1,0)</f>
        <v>0</v>
      </c>
      <c r="BF81" s="23" t="n">
        <f aca="false">IF(BE81=1,IF(COUNTIFS($AZ$2:$AZ$201,AZ81,$BE$2:$BE$201,1,$H$2:$H$201,"&lt;"&amp;H81)+COUNTIFS($AZ$2:$AZ$201,AZ81,$BE$2:$BE$201,1,$H$2:$H$201,H81,$BA$2:$BA$201,"&lt;"&amp;BA81)=0,1,0),0)</f>
        <v>0</v>
      </c>
      <c r="BG81" s="23" t="n">
        <f aca="false">IF(AND(BB81=1,AR81="Y",BE81=0),1,0)</f>
        <v>0</v>
      </c>
      <c r="BH81" s="23" t="n">
        <f aca="false">IF(AND(BB81=1,ISNUMBER(Y81)),1,0)</f>
        <v>0</v>
      </c>
      <c r="BI81" s="23" t="n">
        <f aca="false">IF(BH81=1,IF(COUNTIFS($AZ$2:$AZ$201,AZ81,$BH$2:$BH$201,1,$H$2:$H$201,"&lt;"&amp;H81)+COUNTIFS($AZ$2:$AZ$201,AZ81,$BH$2:$BH$201,1,$H$2:$H$201,H81,$BA$2:$BA$201,"&lt;"&amp;BA81)=0,1,0),0)</f>
        <v>0</v>
      </c>
      <c r="BJ81" s="23" t="str">
        <f aca="false">IF(AND(BI81=1,INT(N(H81))&lt;=Config!$B$6),Y81,"")</f>
        <v/>
      </c>
      <c r="BK81" s="23" t="str">
        <f aca="false">IF(AND(BI81=1,INT(N(H81))&lt;=Config!$B$7),Y81,"")</f>
        <v/>
      </c>
      <c r="BL81" s="23" t="str">
        <f aca="false">IF(AND(BI81=1,INT(N(H81))&lt;=Config!$B$8),Y81,"")</f>
        <v/>
      </c>
      <c r="BM81" s="23" t="str">
        <f aca="false">IF(AND(BI81=1,INT(N(H81))&lt;=Config!$B$5),Y81,"")</f>
        <v/>
      </c>
      <c r="BN81" s="23" t="n">
        <f aca="false">IF(CD81=1,IF(COUNTIFS($AZ$2:$AZ$201,AZ81,$CD$2:$CD$201,1,$H$2:$H$201,"&lt;"&amp;H81)+COUNTIFS($AZ$2:$AZ$201,AZ81,$CD$2:$CD$201,1,$H$2:$H$201,H81,$BA$2:$BA$201,"&lt;"&amp;BA81)=0,1,0),0)</f>
        <v>0</v>
      </c>
      <c r="BO81" s="23" t="n">
        <f aca="false">IF(AND(BB81=1,ISNUMBER(M81)),1,0)</f>
        <v>0</v>
      </c>
      <c r="BP81" s="23" t="n">
        <f aca="false">IF(BO81=1,IF(COUNTIFS($AZ$2:$AZ$201,AZ81,$BO$2:$BO$201,1,$H$2:$H$201,"&lt;"&amp;H81)+COUNTIFS($AZ$2:$AZ$201,AZ81,$BO$2:$BO$201,1,$H$2:$H$201,H81,$BA$2:$BA$201,"&lt;"&amp;BA81)=0,1,0),0)</f>
        <v>0</v>
      </c>
      <c r="BQ81" s="23" t="str">
        <f aca="false">IF(AND(BP81=1,INT(N(H81))&lt;=Config!$B$5),M81,"")</f>
        <v/>
      </c>
      <c r="BR81" s="23" t="n">
        <f aca="false">IF(AND(BB81=1,OR(TRIM(X81)&lt;&gt;"",ISNUMBER(Y81))),1,0)</f>
        <v>0</v>
      </c>
      <c r="BS81" s="23" t="n">
        <f aca="false">IF(BR81=1,IF(COUNTIFS($AZ$2:$AZ$201,AZ81,$BR$2:$BR$201,1,$H$2:$H$201,"&lt;"&amp;H81)+COUNTIFS($AZ$2:$AZ$201,AZ81,$BR$2:$BR$201,1,$H$2:$H$201,H81,$BA$2:$BA$201,"&lt;"&amp;BA81)=0,1,0),0)</f>
        <v>0</v>
      </c>
      <c r="BT81" s="23" t="str">
        <f aca="false">IF(BS81=1,AZ81,"")</f>
        <v/>
      </c>
      <c r="BU81" s="23" t="n">
        <f aca="false">IF(AND(BB81=1,W81="Y",TRIM(X81)=""),1,0)</f>
        <v>0</v>
      </c>
      <c r="BV81" s="23" t="str">
        <f aca="false">IF(BB81=1,AN81&amp;"","")</f>
        <v/>
      </c>
      <c r="BW81" s="23" t="str">
        <f aca="false">IF(BB81=1,AO81&amp;"","")</f>
        <v/>
      </c>
      <c r="BX81" s="23" t="str">
        <f aca="false">IF(BB81=1,AP81&amp;"","")</f>
        <v/>
      </c>
      <c r="BY81" s="23" t="str">
        <f aca="false">IF(AND(BB81=1,ISNUMBER(AV81),INT(N(H81))&lt;=Config!$B$5),AV81,"")</f>
        <v/>
      </c>
      <c r="BZ81" s="23" t="str">
        <f aca="false">IF(BB81=1,IF(COUNTIFS($A$2:$A$201,$A81,$DC$2:$DC$201,1,$AR$2:$AR$201,"Y")&gt;0,"Y","N"),"")</f>
        <v/>
      </c>
      <c r="CA81" s="23" t="n">
        <f aca="false">IF(AND(BB81=1,AR81="maybe"),1,0)</f>
        <v>0</v>
      </c>
      <c r="CB81" s="23" t="n">
        <f aca="false">IF(CA81=1,IF(COUNTIFS($AZ$2:$AZ$201,AZ81,$CA$2:$CA$201,1,$H$2:$H$201,"&lt;"&amp;H81)+COUNTIFS($AZ$2:$AZ$201,AZ81,$CA$2:$CA$201,1,$H$2:$H$201,H81,$BA$2:$BA$201,"&lt;"&amp;BA81)=0,1,0),0)</f>
        <v>0</v>
      </c>
      <c r="CC81" s="23" t="n">
        <f aca="false">IF(AND(BB81=1,AR81="Y"),IF(COUNTIFS($AZ$2:$AZ$201,AZ81,$AR$2:$AR$201,"Y",$BB$2:$BB$201,1,$H$2:$H$201,"&lt;"&amp;H81)+COUNTIFS($AZ$2:$AZ$201,AZ81,$AR$2:$AR$201,"Y",$BB$2:$BB$201,1,$H$2:$H$201,H81,$BA$2:$BA$201,"&lt;"&amp;BA81)=0,1,0),0)</f>
        <v>0</v>
      </c>
      <c r="CD81" s="23" t="n">
        <f aca="false">IF(AND(BH81=1,N(Y81)&gt;=Config!$B$15),1,0)</f>
        <v>0</v>
      </c>
      <c r="CE81" s="23" t="n">
        <f aca="false">IF(AND(BB81=1,AT81="Y"),1,0)</f>
        <v>0</v>
      </c>
      <c r="CF81" s="23" t="n">
        <f aca="false">IF(CE81=1,IF(COUNTIFS($AZ$2:$AZ$201,AZ81,$CE$2:$CE$201,1,$H$2:$H$201,"&lt;"&amp;H81)+COUNTIFS($AZ$2:$AZ$201,AZ81,$CE$2:$CE$201,1,$H$2:$H$201,H81,$BA$2:$BA$201,"&lt;"&amp;BA81)=0,1,0),0)</f>
        <v>0</v>
      </c>
      <c r="CG81" s="23" t="n">
        <f aca="false">IF(AND(BB81=1,G81="warm-intro"),1,0)</f>
        <v>0</v>
      </c>
      <c r="CH81" s="23" t="n">
        <f aca="false">IF(CG81=1,IF(COUNTIFS($AZ$2:$AZ$201,AZ81,$CG$2:$CG$201,1,$H$2:$H$201,"&lt;"&amp;H81)+COUNTIFS($AZ$2:$AZ$201,AZ81,$CG$2:$CG$201,1,$H$2:$H$201,H81,$BA$2:$BA$201,"&lt;"&amp;BA81)=0,1,0),0)</f>
        <v>0</v>
      </c>
      <c r="CI81" s="23" t="n">
        <f aca="false">IF(AND(BB81=1,Q81="Y"),1,0)</f>
        <v>0</v>
      </c>
      <c r="CJ81" s="23" t="n">
        <f aca="false">IF(CI81=1,IF(COUNTIFS($AZ$2:$AZ$201,AZ81,$CI$2:$CI$201,1,$H$2:$H$201,"&lt;"&amp;H81)+COUNTIFS($AZ$2:$AZ$201,AZ81,$CI$2:$CI$201,1,$H$2:$H$201,H81,$BA$2:$BA$201,"&lt;"&amp;BA81)=0,1,0),0)</f>
        <v>0</v>
      </c>
      <c r="CK81" s="23" t="n">
        <f aca="false">IF(AND(BB81=1,AF81="Y"),1,0)</f>
        <v>0</v>
      </c>
      <c r="CL81" s="23" t="n">
        <f aca="false">IF(CK81=1,IF(COUNTIFS($AZ$2:$AZ$201,AZ81,$CK$2:$CK$201,1,$H$2:$H$201,"&lt;"&amp;H81)+COUNTIFS($AZ$2:$AZ$201,AZ81,$CK$2:$CK$201,1,$H$2:$H$201,H81,$BA$2:$BA$201,"&lt;"&amp;BA81)=0,1,0),0)</f>
        <v>0</v>
      </c>
      <c r="CM81" s="23" t="n">
        <f aca="false">IF(AND(BB81=1,U81="Y"),1,0)</f>
        <v>0</v>
      </c>
      <c r="CN81" s="23" t="n">
        <f aca="false">IF(CM81=1,IF(COUNTIFS($AZ$2:$AZ$201,AZ81,$CM$2:$CM$201,1,$H$2:$H$201,"&lt;"&amp;H81)+COUNTIFS($AZ$2:$AZ$201,AZ81,$CM$2:$CM$201,1,$H$2:$H$201,H81,$BA$2:$BA$201,"&lt;"&amp;BA81)=0,1,0),0)</f>
        <v>0</v>
      </c>
      <c r="CO81" s="23" t="n">
        <f aca="false">IF(AND(BB81=1,L81="Y"),1,0)</f>
        <v>0</v>
      </c>
      <c r="CP81" s="23" t="n">
        <f aca="false">IF(CO81=1,IF(COUNTIFS($AZ$2:$AZ$201,AZ81,$CO$2:$CO$201,1,$H$2:$H$201,"&lt;"&amp;H81)+COUNTIFS($AZ$2:$AZ$201,AZ81,$CO$2:$CO$201,1,$H$2:$H$201,H81,$BA$2:$BA$201,"&lt;"&amp;BA81)=0,1,0),0)</f>
        <v>0</v>
      </c>
      <c r="CQ81" s="23" t="n">
        <f aca="false">IF(AND(BB81=1,ISNUMBER(O81)),1,0)</f>
        <v>0</v>
      </c>
      <c r="CR81" s="23" t="n">
        <f aca="false">IF(CQ81=1,IF(COUNTIFS($AZ$2:$AZ$201,AZ81,$CQ$2:$CQ$201,1,$H$2:$H$201,"&lt;"&amp;H81)+COUNTIFS($AZ$2:$AZ$201,AZ81,$CQ$2:$CQ$201,1,$H$2:$H$201,H81,$BA$2:$BA$201,"&lt;"&amp;BA81)=0,1,0),0)</f>
        <v>0</v>
      </c>
      <c r="CS81" s="23" t="str">
        <f aca="false">IF(AND(CR81=1,INT(N(H81))&lt;=Config!$B$5),O81,"")</f>
        <v/>
      </c>
      <c r="CT81" s="23" t="str">
        <f aca="false">IF(AND(BB81=1,INT(N(H81))&lt;=Config!$B$5),AG81&amp;"","")</f>
        <v/>
      </c>
      <c r="CU81" s="23" t="n">
        <f aca="false">IF(AND(BB81=1,AU81="Y"),1,0)</f>
        <v>0</v>
      </c>
      <c r="CV81" s="23" t="n">
        <f aca="false">IF(CU81=1,IF(COUNTIFS($AZ$2:$AZ$201,AZ81,$CU$2:$CU$201,1,$H$2:$H$201,"&lt;"&amp;H81)+COUNTIFS($AZ$2:$AZ$201,AZ81,$CU$2:$CU$201,1,$H$2:$H$201,H81,$BA$2:$BA$201,"&lt;"&amp;BA81)=0,1,0),0)</f>
        <v>0</v>
      </c>
      <c r="CW81" s="23" t="str">
        <f aca="false">IF(BB81=1,IFERROR(MATCH($A81,INDEX(Clay_Offices!$A$2:$FZ$601,0,Sync!$C$5),0),""),"")</f>
        <v/>
      </c>
      <c r="CX81" s="23" t="str">
        <f aca="false">IF(CW81="","",IFERROR(INDEX(Clay_Offices!$A$2:$FZ$601,CW81,Sync!$C$7)&amp;"",""))</f>
        <v/>
      </c>
      <c r="CY81" s="23" t="str">
        <f aca="false">IF(CX81="","",IFERROR(INDEX(Lists!$K$2:$K$15,MATCH(CX81,Lists!$J$2:$J$15,0)),""))</f>
        <v/>
      </c>
      <c r="CZ81" s="23" t="str">
        <f aca="false">IF(CW81="","",IFERROR(INDEX(Clay_Offices!$A$2:$FZ$601,CW81,Sync!$C$17)&amp;"",""))</f>
        <v/>
      </c>
      <c r="DA81" s="35" t="str">
        <f aca="false">IF(CW81="","",IFERROR(N(INDEX(Clay_Offices!$A$2:$FZ$601,CW81,Sync!$C$16)),0))</f>
        <v/>
      </c>
      <c r="DB81" s="23" t="n">
        <f aca="false">IF(AND(BB81=1,OR(AR81="Y",AR81="N",AR81="maybe")),1,0)</f>
        <v>0</v>
      </c>
      <c r="DC81" s="23" t="n">
        <f aca="false">IF(AND(DB81=1),IF(COUNTIFS($A$2:$A$201,$A81,$DB$2:$DB$201,1,$H$2:$H$201,"&gt;"&amp;H81)+COUNTIFS($A$2:$A$201,$A81,$DB$2:$DB$201,1,$H$2:$H$201,H81,$BA$2:$BA$201,"&gt;"&amp;BA81)=0,1,0),0)</f>
        <v>0</v>
      </c>
      <c r="DD81" s="23" t="n">
        <f aca="false">IF(AND(DB81=1,INT(N(H81))&lt;=Config!$B$6),IF(COUNTIFS($AZ$2:$AZ$201,AZ81,$DB$2:$DB$201,1,$H$2:$H$201,"&gt;"&amp;H81,$H$2:$H$201,"&lt;"&amp;(Config!$B$6+1))+COUNTIFS($AZ$2:$AZ$201,AZ81,$DB$2:$DB$201,1,$H$2:$H$201,H81,$BA$2:$BA$201,"&gt;"&amp;BA81)=0,1,0),0)</f>
        <v>0</v>
      </c>
      <c r="DE81" s="23" t="n">
        <f aca="false">IF(AND(DB81=1,INT(N(H81))&lt;=Config!$B$7),IF(COUNTIFS($AZ$2:$AZ$201,AZ81,$DB$2:$DB$201,1,$H$2:$H$201,"&gt;"&amp;H81,$H$2:$H$201,"&lt;"&amp;(Config!$B$7+1))+COUNTIFS($AZ$2:$AZ$201,AZ81,$DB$2:$DB$201,1,$H$2:$H$201,H81,$BA$2:$BA$201,"&gt;"&amp;BA81)=0,1,0),0)</f>
        <v>0</v>
      </c>
      <c r="DF81" s="23" t="n">
        <f aca="false">IF(AND(DB81=1,INT(N(H81))&lt;=Config!$B$8),IF(COUNTIFS($AZ$2:$AZ$201,AZ81,$DB$2:$DB$201,1,$H$2:$H$201,"&gt;"&amp;H81,$H$2:$H$201,"&lt;"&amp;(Config!$B$8+1))+COUNTIFS($AZ$2:$AZ$201,AZ81,$DB$2:$DB$201,1,$H$2:$H$201,H81,$BA$2:$BA$201,"&gt;"&amp;BA81)=0,1,0),0)</f>
        <v>0</v>
      </c>
      <c r="DG81" s="23" t="n">
        <f aca="false">IF(AND(DB81=1,INT(N(H81))&lt;=Config!$B$5),IF(COUNTIFS($AZ$2:$AZ$201,AZ81,$DB$2:$DB$201,1,$H$2:$H$201,"&gt;"&amp;H81,$H$2:$H$201,"&lt;"&amp;(Config!$B$5+1))+COUNTIFS($AZ$2:$AZ$201,AZ81,$DB$2:$DB$201,1,$H$2:$H$201,H81,$BA$2:$BA$201,"&gt;"&amp;BA81)=0,1,0),0)</f>
        <v>0</v>
      </c>
      <c r="DH81" s="23" t="n">
        <f aca="false">IF(BB81=1,IF(COUNTIFS($AZ$2:$AZ$201,AZ81,$DD$2:$DD$201,1,$AR$2:$AR$201,"Y")&gt;0,1,0),0)</f>
        <v>0</v>
      </c>
      <c r="DI81" s="23" t="n">
        <f aca="false">IF(BB81=1,IF(COUNTIFS($AZ$2:$AZ$201,AZ81,$DE$2:$DE$201,1,$AR$2:$AR$201,"Y")&gt;0,1,0),0)</f>
        <v>0</v>
      </c>
      <c r="DJ81" s="23" t="n">
        <f aca="false">IF(BB81=1,IF(COUNTIFS($AZ$2:$AZ$201,AZ81,$DF$2:$DF$201,1,$AR$2:$AR$201,"Y")&gt;0,1,0),0)</f>
        <v>0</v>
      </c>
      <c r="DK81" s="23" t="n">
        <f aca="false">IF(BB81=1,IF(COUNTIFS($AZ$2:$AZ$201,AZ81,$DG$2:$DG$201,1,$AR$2:$AR$201,"Y")&gt;0,1,0),0)</f>
        <v>0</v>
      </c>
      <c r="DL81" s="23" t="n">
        <f aca="false">IF(AND(BF81=1,INT(N(H81))&lt;=Config!$B$6,DH81=1,EI81=0),1,0)</f>
        <v>0</v>
      </c>
      <c r="DM81" s="23" t="n">
        <f aca="false">IF(AND(BF81=1,INT(N(H81))&lt;=Config!$B$7,DI81=1,EI81=0),1,0)</f>
        <v>0</v>
      </c>
      <c r="DN81" s="23" t="n">
        <f aca="false">IF(AND(BF81=1,INT(N(H81))&lt;=Config!$B$8,DJ81=1,EI81=0),1,0)</f>
        <v>0</v>
      </c>
      <c r="DO81" s="23" t="n">
        <f aca="false">IF(AND(BF81=1,INT(N(H81))&lt;=Config!$B$5,DK81=1,EI81=0),1,0)</f>
        <v>0</v>
      </c>
      <c r="DP81" s="23" t="n">
        <f aca="false">IF(AND(CC81=1,INT(N(H81))&lt;=Config!$B$6,DH81=1,EI81=0),1,0)</f>
        <v>0</v>
      </c>
      <c r="DQ81" s="23" t="n">
        <f aca="false">IF(AND(CC81=1,INT(N(H81))&lt;=Config!$B$7,DI81=1,EI81=0),1,0)</f>
        <v>0</v>
      </c>
      <c r="DR81" s="23" t="n">
        <f aca="false">IF(AND(CC81=1,INT(N(H81))&lt;=Config!$B$8,DJ81=1,EI81=0),1,0)</f>
        <v>0</v>
      </c>
      <c r="DS81" s="23" t="n">
        <f aca="false">IF(AND(CC81=1,INT(N(H81))&lt;=Config!$B$5,DK81=1,EI81=0),1,0)</f>
        <v>0</v>
      </c>
      <c r="DT81" s="23" t="n">
        <f aca="false">IF(AND(CC81=1,INT(N(H81))&lt;=Config!$B$6,DH81=0),1,0)</f>
        <v>0</v>
      </c>
      <c r="DU81" s="23" t="n">
        <f aca="false">IF(AND(CC81=1,INT(N(H81))&lt;=Config!$B$7,DI81=0),1,0)</f>
        <v>0</v>
      </c>
      <c r="DV81" s="23" t="n">
        <f aca="false">IF(AND(CC81=1,INT(N(H81))&lt;=Config!$B$8,DJ81=0),1,0)</f>
        <v>0</v>
      </c>
      <c r="DW81" s="23" t="n">
        <f aca="false">IF(AND(CC81=1,INT(N(H81))&lt;=Config!$B$5,DK81=0),1,0)</f>
        <v>0</v>
      </c>
      <c r="DX81" s="23" t="n">
        <f aca="false">IF(TRIM($A81)="",0,ISTEXT(M81)+ISTEXT(O81)+ISTEXT(Y81)+ISTEXT(Z81)+ISTEXT(AA81)+ISTEXT(AV81))</f>
        <v>0</v>
      </c>
      <c r="DY81" s="23" t="n">
        <f aca="false">IF(BB81=1,IF(H81&lt;&gt;INT(H81),1,0),0)</f>
        <v>0</v>
      </c>
      <c r="DZ81" s="23" t="str">
        <f aca="false">IF(TRIM($A81)="","",IF(TRIM(B81)="",SUBSTITUTE(SUBSTITUTE(SUBSTITUTE(SUBSTITUTE(SUBSTITUTE(SUBSTITUTE(LOWER(TRIM($A81)),"~",""),"*",""),"?",""),"&lt;",""),"&gt;",""),"=",""),SUBSTITUTE(SUBSTITUTE(SUBSTITUTE(SUBSTITUTE(SUBSTITUTE(SUBSTITUTE(LOWER(TRIM(B81)),"~",""),"*",""),"?",""),"&lt;",""),"&gt;",""),"=","")))</f>
        <v/>
      </c>
      <c r="EA81" s="23" t="str">
        <f aca="false">IF(CW81="","",IFERROR(IF(LEFT(LOWER(TRIM(INDEX(Clay_Offices!$A$2:$FZ$601,CW81,Sync!$C$19)&amp;"")),4)="grp-",SUBSTITUTE(SUBSTITUTE(SUBSTITUTE(SUBSTITUTE(SUBSTITUTE(SUBSTITUTE(LOWER(TRIM(INDEX(Clay_Offices!$A$2:$FZ$601,CW81,Sync!$C$19)&amp;"")),"~",""),"*",""),"?",""),"&lt;",""),"&gt;",""),"=",""),""),""))</f>
        <v/>
      </c>
      <c r="EB81" s="23" t="str">
        <f aca="false">IF(EA81&lt;&gt;"",DZ81,"")</f>
        <v/>
      </c>
      <c r="EC81" s="23" t="str">
        <f aca="false">IF(BC81=1,AZ81,"")</f>
        <v/>
      </c>
      <c r="ED81" s="23" t="str">
        <f aca="false">IF(TRIM($A81)="","",IFERROR(INDEX($A$2:$A$201,MATCH(AZ81,$EC$2:$EC$201,0))&amp;"",$A81&amp;""))</f>
        <v/>
      </c>
      <c r="EE81" s="23" t="n">
        <f aca="false">IF(BB81=1,IF(COUNTIFS($A$2:$A$201,$A81,$BB$2:$BB$201,1,$H$2:$H$201,"&lt;"&amp;H81)+COUNTIFS($A$2:$A$201,$A81,$BB$2:$BB$201,1,$H$2:$H$201,H81,$BA$2:$BA$201,"&lt;"&amp;BA81)=0,1,0),0)</f>
        <v>0</v>
      </c>
      <c r="EF81" s="23" t="n">
        <f aca="false">IF(BC81=1,IF(COUNTIFS($AZ$2:$AZ$201,AZ81,$EE$2:$EE$201,1)&gt;1,1,0),0)</f>
        <v>0</v>
      </c>
      <c r="EG81" s="23" t="n">
        <f aca="false">IF(AND(CQ81=1),IF(COUNTIFS($AZ$2:$AZ$201,AZ81,$CQ$2:$CQ$201,1,$H$2:$H$201,"&gt;"&amp;H81)+COUNTIFS($AZ$2:$AZ$201,AZ81,$CQ$2:$CQ$201,1,$H$2:$H$201,H81,$BA$2:$BA$201,"&gt;"&amp;BA81)=0,1,0),0)</f>
        <v>0</v>
      </c>
      <c r="EH81" s="23" t="str">
        <f aca="false">IF(BB81=1,IF(COUNTIFS($AZ$2:$AZ$201,AZ81,$EG$2:$EG$201,1)=0,"",SUMIFS($O$2:$O$201,$AZ$2:$AZ$201,AZ81,$EG$2:$EG$201,1)),"")</f>
        <v/>
      </c>
      <c r="EI81" s="23" t="n">
        <f aca="false">IF(AND(ISNUMBER(EH81),OR(N(EH81)&lt;Config!$B$31,N(EH81)&gt;Config!$B$33)),1,0)</f>
        <v>0</v>
      </c>
      <c r="EJ81" s="23" t="n">
        <f aca="false">IF(AND(ISNUMBER(EH81),N(EH81)&gt;=Config!$B$31,N(EH81)&lt;Config!$B$32),1,0)</f>
        <v>0</v>
      </c>
      <c r="EK81" s="23" t="n">
        <f aca="false">IF(AND(BF81=1,INT(N(H81))&lt;=Config!$B$6,DH81=1,EI81=1),1,0)</f>
        <v>0</v>
      </c>
      <c r="EL81" s="23" t="n">
        <f aca="false">IF(AND(BF81=1,INT(N(H81))&lt;=Config!$B$7,DI81=1,EI81=1),1,0)</f>
        <v>0</v>
      </c>
      <c r="EM81" s="23" t="n">
        <f aca="false">IF(AND(BF81=1,INT(N(H81))&lt;=Config!$B$8,DJ81=1,EI81=1),1,0)</f>
        <v>0</v>
      </c>
      <c r="EN81" s="23" t="n">
        <f aca="false">IF(AND(BF81=1,INT(N(H81))&lt;=Config!$B$5,DK81=1,EI81=1),1,0)</f>
        <v>0</v>
      </c>
      <c r="EO81" s="23" t="n">
        <f aca="false">IF(AND(DL81=1,EJ81=1),1,0)</f>
        <v>0</v>
      </c>
      <c r="EP81" s="23" t="n">
        <f aca="false">IF(AND(DM81=1,EJ81=1),1,0)</f>
        <v>0</v>
      </c>
      <c r="EQ81" s="23" t="n">
        <f aca="false">IF(AND(DN81=1,EJ81=1),1,0)</f>
        <v>0</v>
      </c>
      <c r="ER81" s="23" t="n">
        <f aca="false">IF(AND(DO81=1,EJ81=1),1,0)</f>
        <v>0</v>
      </c>
    </row>
    <row r="82" customFormat="false" ht="15" hidden="false" customHeight="false" outlineLevel="0" collapsed="false">
      <c r="G82" s="32"/>
      <c r="H82" s="33"/>
      <c r="I82" s="32"/>
      <c r="L82" s="32"/>
      <c r="Q82" s="32"/>
      <c r="U82" s="32"/>
      <c r="W82" s="32"/>
      <c r="AC82" s="32"/>
      <c r="AF82" s="32"/>
      <c r="AI82" s="32"/>
      <c r="AJ82" s="32"/>
      <c r="AN82" s="32"/>
      <c r="AR82" s="32"/>
      <c r="AT82" s="32"/>
      <c r="AU82" s="32"/>
      <c r="AW82" s="32"/>
      <c r="AY82" s="34" t="str">
        <f aca="false">IF(TRIM($A82)="","",IF(AND(LEFT($A82,6)="SAMPLE",Config!$B$19&lt;&gt;"Y"),"",IF(NOT(ISNUMBER(H82)),"call_date is blank or not a date",IF(Sync!$C$5="","Clay paste is empty or has no row_id column: paste the Clay export on Clay_Offices",IF(CW82="","row_id not found in the Clay paste: add the Clay row or fix the row_id",IF(AND(ISNUMBER(CY82),CY82&gt;=1,CY82&lt;=5),"Clay status is "&amp;CX82&amp;": set call_done or later",IF(AND(BD82=1,CZ82&lt;&gt;BZ82),"Clay yes_in_principle should be "&amp;BZ82,IF(AND(BD82=1,DA82&lt;&gt;H82),"Clay call_date should be "&amp;TEXT(H82,"yyyy-mm-dd"),""))))))))</f>
        <v/>
      </c>
      <c r="AZ82" s="23" t="str">
        <f aca="false">IF(TRIM($A82)="","",IF(TRIM(C82)&lt;&gt;"",SUBSTITUTE(SUBSTITUTE(SUBSTITUTE(SUBSTITUTE(SUBSTITUTE(SUBSTITUTE(LOWER(TRIM(C82)),"~",""),"*",""),"?",""),"&lt;",""),"&gt;",""),"=",""),IF(EA82&lt;&gt;"",EA82,IFERROR(INDEX($EA$2:$EA$201,MATCH(DZ82,$EB$2:$EB$201,0)),DZ82))))</f>
        <v/>
      </c>
      <c r="BA82" s="23" t="n">
        <f aca="false">ROW()</f>
        <v>82</v>
      </c>
      <c r="BB82" s="23" t="n">
        <f aca="false">IF(AND(TRIM($A82)&lt;&gt;"",ISNUMBER(H82)),IF(AND(LEFT($A82,6)="SAMPLE",Config!$B$19&lt;&gt;"Y"),0,1),0)</f>
        <v>0</v>
      </c>
      <c r="BC82" s="23" t="n">
        <f aca="false">IF(BB82=1,IF(COUNTIFS($AZ$2:$AZ$201,AZ82,$BB$2:$BB$201,1,$H$2:$H$201,"&lt;"&amp;H82)+COUNTIFS($AZ$2:$AZ$201,AZ82,$BB$2:$BB$201,1,$H$2:$H$201,H82,$BA$2:$BA$201,"&lt;"&amp;BA82)=0,1,0),0)</f>
        <v>0</v>
      </c>
      <c r="BD82" s="23" t="n">
        <f aca="false">IF(BB82=1,IF(COUNTIFS($A$2:$A$201,$A82,$BB$2:$BB$201,1,$H$2:$H$201,"&gt;"&amp;H82)+COUNTIFS($A$2:$A$201,$A82,$BB$2:$BB$201,1,$H$2:$H$201,H82,$BA$2:$BA$201,"&gt;"&amp;BA82)=0,1,0),0)</f>
        <v>0</v>
      </c>
      <c r="BE82" s="23" t="n">
        <f aca="false">IF(AND(BB82=1,AR82="Y",AC82="Y",TRIM(AH82)&lt;&gt;""),1,0)</f>
        <v>0</v>
      </c>
      <c r="BF82" s="23" t="n">
        <f aca="false">IF(BE82=1,IF(COUNTIFS($AZ$2:$AZ$201,AZ82,$BE$2:$BE$201,1,$H$2:$H$201,"&lt;"&amp;H82)+COUNTIFS($AZ$2:$AZ$201,AZ82,$BE$2:$BE$201,1,$H$2:$H$201,H82,$BA$2:$BA$201,"&lt;"&amp;BA82)=0,1,0),0)</f>
        <v>0</v>
      </c>
      <c r="BG82" s="23" t="n">
        <f aca="false">IF(AND(BB82=1,AR82="Y",BE82=0),1,0)</f>
        <v>0</v>
      </c>
      <c r="BH82" s="23" t="n">
        <f aca="false">IF(AND(BB82=1,ISNUMBER(Y82)),1,0)</f>
        <v>0</v>
      </c>
      <c r="BI82" s="23" t="n">
        <f aca="false">IF(BH82=1,IF(COUNTIFS($AZ$2:$AZ$201,AZ82,$BH$2:$BH$201,1,$H$2:$H$201,"&lt;"&amp;H82)+COUNTIFS($AZ$2:$AZ$201,AZ82,$BH$2:$BH$201,1,$H$2:$H$201,H82,$BA$2:$BA$201,"&lt;"&amp;BA82)=0,1,0),0)</f>
        <v>0</v>
      </c>
      <c r="BJ82" s="23" t="str">
        <f aca="false">IF(AND(BI82=1,INT(N(H82))&lt;=Config!$B$6),Y82,"")</f>
        <v/>
      </c>
      <c r="BK82" s="23" t="str">
        <f aca="false">IF(AND(BI82=1,INT(N(H82))&lt;=Config!$B$7),Y82,"")</f>
        <v/>
      </c>
      <c r="BL82" s="23" t="str">
        <f aca="false">IF(AND(BI82=1,INT(N(H82))&lt;=Config!$B$8),Y82,"")</f>
        <v/>
      </c>
      <c r="BM82" s="23" t="str">
        <f aca="false">IF(AND(BI82=1,INT(N(H82))&lt;=Config!$B$5),Y82,"")</f>
        <v/>
      </c>
      <c r="BN82" s="23" t="n">
        <f aca="false">IF(CD82=1,IF(COUNTIFS($AZ$2:$AZ$201,AZ82,$CD$2:$CD$201,1,$H$2:$H$201,"&lt;"&amp;H82)+COUNTIFS($AZ$2:$AZ$201,AZ82,$CD$2:$CD$201,1,$H$2:$H$201,H82,$BA$2:$BA$201,"&lt;"&amp;BA82)=0,1,0),0)</f>
        <v>0</v>
      </c>
      <c r="BO82" s="23" t="n">
        <f aca="false">IF(AND(BB82=1,ISNUMBER(M82)),1,0)</f>
        <v>0</v>
      </c>
      <c r="BP82" s="23" t="n">
        <f aca="false">IF(BO82=1,IF(COUNTIFS($AZ$2:$AZ$201,AZ82,$BO$2:$BO$201,1,$H$2:$H$201,"&lt;"&amp;H82)+COUNTIFS($AZ$2:$AZ$201,AZ82,$BO$2:$BO$201,1,$H$2:$H$201,H82,$BA$2:$BA$201,"&lt;"&amp;BA82)=0,1,0),0)</f>
        <v>0</v>
      </c>
      <c r="BQ82" s="23" t="str">
        <f aca="false">IF(AND(BP82=1,INT(N(H82))&lt;=Config!$B$5),M82,"")</f>
        <v/>
      </c>
      <c r="BR82" s="23" t="n">
        <f aca="false">IF(AND(BB82=1,OR(TRIM(X82)&lt;&gt;"",ISNUMBER(Y82))),1,0)</f>
        <v>0</v>
      </c>
      <c r="BS82" s="23" t="n">
        <f aca="false">IF(BR82=1,IF(COUNTIFS($AZ$2:$AZ$201,AZ82,$BR$2:$BR$201,1,$H$2:$H$201,"&lt;"&amp;H82)+COUNTIFS($AZ$2:$AZ$201,AZ82,$BR$2:$BR$201,1,$H$2:$H$201,H82,$BA$2:$BA$201,"&lt;"&amp;BA82)=0,1,0),0)</f>
        <v>0</v>
      </c>
      <c r="BT82" s="23" t="str">
        <f aca="false">IF(BS82=1,AZ82,"")</f>
        <v/>
      </c>
      <c r="BU82" s="23" t="n">
        <f aca="false">IF(AND(BB82=1,W82="Y",TRIM(X82)=""),1,0)</f>
        <v>0</v>
      </c>
      <c r="BV82" s="23" t="str">
        <f aca="false">IF(BB82=1,AN82&amp;"","")</f>
        <v/>
      </c>
      <c r="BW82" s="23" t="str">
        <f aca="false">IF(BB82=1,AO82&amp;"","")</f>
        <v/>
      </c>
      <c r="BX82" s="23" t="str">
        <f aca="false">IF(BB82=1,AP82&amp;"","")</f>
        <v/>
      </c>
      <c r="BY82" s="23" t="str">
        <f aca="false">IF(AND(BB82=1,ISNUMBER(AV82),INT(N(H82))&lt;=Config!$B$5),AV82,"")</f>
        <v/>
      </c>
      <c r="BZ82" s="23" t="str">
        <f aca="false">IF(BB82=1,IF(COUNTIFS($A$2:$A$201,$A82,$DC$2:$DC$201,1,$AR$2:$AR$201,"Y")&gt;0,"Y","N"),"")</f>
        <v/>
      </c>
      <c r="CA82" s="23" t="n">
        <f aca="false">IF(AND(BB82=1,AR82="maybe"),1,0)</f>
        <v>0</v>
      </c>
      <c r="CB82" s="23" t="n">
        <f aca="false">IF(CA82=1,IF(COUNTIFS($AZ$2:$AZ$201,AZ82,$CA$2:$CA$201,1,$H$2:$H$201,"&lt;"&amp;H82)+COUNTIFS($AZ$2:$AZ$201,AZ82,$CA$2:$CA$201,1,$H$2:$H$201,H82,$BA$2:$BA$201,"&lt;"&amp;BA82)=0,1,0),0)</f>
        <v>0</v>
      </c>
      <c r="CC82" s="23" t="n">
        <f aca="false">IF(AND(BB82=1,AR82="Y"),IF(COUNTIFS($AZ$2:$AZ$201,AZ82,$AR$2:$AR$201,"Y",$BB$2:$BB$201,1,$H$2:$H$201,"&lt;"&amp;H82)+COUNTIFS($AZ$2:$AZ$201,AZ82,$AR$2:$AR$201,"Y",$BB$2:$BB$201,1,$H$2:$H$201,H82,$BA$2:$BA$201,"&lt;"&amp;BA82)=0,1,0),0)</f>
        <v>0</v>
      </c>
      <c r="CD82" s="23" t="n">
        <f aca="false">IF(AND(BH82=1,N(Y82)&gt;=Config!$B$15),1,0)</f>
        <v>0</v>
      </c>
      <c r="CE82" s="23" t="n">
        <f aca="false">IF(AND(BB82=1,AT82="Y"),1,0)</f>
        <v>0</v>
      </c>
      <c r="CF82" s="23" t="n">
        <f aca="false">IF(CE82=1,IF(COUNTIFS($AZ$2:$AZ$201,AZ82,$CE$2:$CE$201,1,$H$2:$H$201,"&lt;"&amp;H82)+COUNTIFS($AZ$2:$AZ$201,AZ82,$CE$2:$CE$201,1,$H$2:$H$201,H82,$BA$2:$BA$201,"&lt;"&amp;BA82)=0,1,0),0)</f>
        <v>0</v>
      </c>
      <c r="CG82" s="23" t="n">
        <f aca="false">IF(AND(BB82=1,G82="warm-intro"),1,0)</f>
        <v>0</v>
      </c>
      <c r="CH82" s="23" t="n">
        <f aca="false">IF(CG82=1,IF(COUNTIFS($AZ$2:$AZ$201,AZ82,$CG$2:$CG$201,1,$H$2:$H$201,"&lt;"&amp;H82)+COUNTIFS($AZ$2:$AZ$201,AZ82,$CG$2:$CG$201,1,$H$2:$H$201,H82,$BA$2:$BA$201,"&lt;"&amp;BA82)=0,1,0),0)</f>
        <v>0</v>
      </c>
      <c r="CI82" s="23" t="n">
        <f aca="false">IF(AND(BB82=1,Q82="Y"),1,0)</f>
        <v>0</v>
      </c>
      <c r="CJ82" s="23" t="n">
        <f aca="false">IF(CI82=1,IF(COUNTIFS($AZ$2:$AZ$201,AZ82,$CI$2:$CI$201,1,$H$2:$H$201,"&lt;"&amp;H82)+COUNTIFS($AZ$2:$AZ$201,AZ82,$CI$2:$CI$201,1,$H$2:$H$201,H82,$BA$2:$BA$201,"&lt;"&amp;BA82)=0,1,0),0)</f>
        <v>0</v>
      </c>
      <c r="CK82" s="23" t="n">
        <f aca="false">IF(AND(BB82=1,AF82="Y"),1,0)</f>
        <v>0</v>
      </c>
      <c r="CL82" s="23" t="n">
        <f aca="false">IF(CK82=1,IF(COUNTIFS($AZ$2:$AZ$201,AZ82,$CK$2:$CK$201,1,$H$2:$H$201,"&lt;"&amp;H82)+COUNTIFS($AZ$2:$AZ$201,AZ82,$CK$2:$CK$201,1,$H$2:$H$201,H82,$BA$2:$BA$201,"&lt;"&amp;BA82)=0,1,0),0)</f>
        <v>0</v>
      </c>
      <c r="CM82" s="23" t="n">
        <f aca="false">IF(AND(BB82=1,U82="Y"),1,0)</f>
        <v>0</v>
      </c>
      <c r="CN82" s="23" t="n">
        <f aca="false">IF(CM82=1,IF(COUNTIFS($AZ$2:$AZ$201,AZ82,$CM$2:$CM$201,1,$H$2:$H$201,"&lt;"&amp;H82)+COUNTIFS($AZ$2:$AZ$201,AZ82,$CM$2:$CM$201,1,$H$2:$H$201,H82,$BA$2:$BA$201,"&lt;"&amp;BA82)=0,1,0),0)</f>
        <v>0</v>
      </c>
      <c r="CO82" s="23" t="n">
        <f aca="false">IF(AND(BB82=1,L82="Y"),1,0)</f>
        <v>0</v>
      </c>
      <c r="CP82" s="23" t="n">
        <f aca="false">IF(CO82=1,IF(COUNTIFS($AZ$2:$AZ$201,AZ82,$CO$2:$CO$201,1,$H$2:$H$201,"&lt;"&amp;H82)+COUNTIFS($AZ$2:$AZ$201,AZ82,$CO$2:$CO$201,1,$H$2:$H$201,H82,$BA$2:$BA$201,"&lt;"&amp;BA82)=0,1,0),0)</f>
        <v>0</v>
      </c>
      <c r="CQ82" s="23" t="n">
        <f aca="false">IF(AND(BB82=1,ISNUMBER(O82)),1,0)</f>
        <v>0</v>
      </c>
      <c r="CR82" s="23" t="n">
        <f aca="false">IF(CQ82=1,IF(COUNTIFS($AZ$2:$AZ$201,AZ82,$CQ$2:$CQ$201,1,$H$2:$H$201,"&lt;"&amp;H82)+COUNTIFS($AZ$2:$AZ$201,AZ82,$CQ$2:$CQ$201,1,$H$2:$H$201,H82,$BA$2:$BA$201,"&lt;"&amp;BA82)=0,1,0),0)</f>
        <v>0</v>
      </c>
      <c r="CS82" s="23" t="str">
        <f aca="false">IF(AND(CR82=1,INT(N(H82))&lt;=Config!$B$5),O82,"")</f>
        <v/>
      </c>
      <c r="CT82" s="23" t="str">
        <f aca="false">IF(AND(BB82=1,INT(N(H82))&lt;=Config!$B$5),AG82&amp;"","")</f>
        <v/>
      </c>
      <c r="CU82" s="23" t="n">
        <f aca="false">IF(AND(BB82=1,AU82="Y"),1,0)</f>
        <v>0</v>
      </c>
      <c r="CV82" s="23" t="n">
        <f aca="false">IF(CU82=1,IF(COUNTIFS($AZ$2:$AZ$201,AZ82,$CU$2:$CU$201,1,$H$2:$H$201,"&lt;"&amp;H82)+COUNTIFS($AZ$2:$AZ$201,AZ82,$CU$2:$CU$201,1,$H$2:$H$201,H82,$BA$2:$BA$201,"&lt;"&amp;BA82)=0,1,0),0)</f>
        <v>0</v>
      </c>
      <c r="CW82" s="23" t="str">
        <f aca="false">IF(BB82=1,IFERROR(MATCH($A82,INDEX(Clay_Offices!$A$2:$FZ$601,0,Sync!$C$5),0),""),"")</f>
        <v/>
      </c>
      <c r="CX82" s="23" t="str">
        <f aca="false">IF(CW82="","",IFERROR(INDEX(Clay_Offices!$A$2:$FZ$601,CW82,Sync!$C$7)&amp;"",""))</f>
        <v/>
      </c>
      <c r="CY82" s="23" t="str">
        <f aca="false">IF(CX82="","",IFERROR(INDEX(Lists!$K$2:$K$15,MATCH(CX82,Lists!$J$2:$J$15,0)),""))</f>
        <v/>
      </c>
      <c r="CZ82" s="23" t="str">
        <f aca="false">IF(CW82="","",IFERROR(INDEX(Clay_Offices!$A$2:$FZ$601,CW82,Sync!$C$17)&amp;"",""))</f>
        <v/>
      </c>
      <c r="DA82" s="35" t="str">
        <f aca="false">IF(CW82="","",IFERROR(N(INDEX(Clay_Offices!$A$2:$FZ$601,CW82,Sync!$C$16)),0))</f>
        <v/>
      </c>
      <c r="DB82" s="23" t="n">
        <f aca="false">IF(AND(BB82=1,OR(AR82="Y",AR82="N",AR82="maybe")),1,0)</f>
        <v>0</v>
      </c>
      <c r="DC82" s="23" t="n">
        <f aca="false">IF(AND(DB82=1),IF(COUNTIFS($A$2:$A$201,$A82,$DB$2:$DB$201,1,$H$2:$H$201,"&gt;"&amp;H82)+COUNTIFS($A$2:$A$201,$A82,$DB$2:$DB$201,1,$H$2:$H$201,H82,$BA$2:$BA$201,"&gt;"&amp;BA82)=0,1,0),0)</f>
        <v>0</v>
      </c>
      <c r="DD82" s="23" t="n">
        <f aca="false">IF(AND(DB82=1,INT(N(H82))&lt;=Config!$B$6),IF(COUNTIFS($AZ$2:$AZ$201,AZ82,$DB$2:$DB$201,1,$H$2:$H$201,"&gt;"&amp;H82,$H$2:$H$201,"&lt;"&amp;(Config!$B$6+1))+COUNTIFS($AZ$2:$AZ$201,AZ82,$DB$2:$DB$201,1,$H$2:$H$201,H82,$BA$2:$BA$201,"&gt;"&amp;BA82)=0,1,0),0)</f>
        <v>0</v>
      </c>
      <c r="DE82" s="23" t="n">
        <f aca="false">IF(AND(DB82=1,INT(N(H82))&lt;=Config!$B$7),IF(COUNTIFS($AZ$2:$AZ$201,AZ82,$DB$2:$DB$201,1,$H$2:$H$201,"&gt;"&amp;H82,$H$2:$H$201,"&lt;"&amp;(Config!$B$7+1))+COUNTIFS($AZ$2:$AZ$201,AZ82,$DB$2:$DB$201,1,$H$2:$H$201,H82,$BA$2:$BA$201,"&gt;"&amp;BA82)=0,1,0),0)</f>
        <v>0</v>
      </c>
      <c r="DF82" s="23" t="n">
        <f aca="false">IF(AND(DB82=1,INT(N(H82))&lt;=Config!$B$8),IF(COUNTIFS($AZ$2:$AZ$201,AZ82,$DB$2:$DB$201,1,$H$2:$H$201,"&gt;"&amp;H82,$H$2:$H$201,"&lt;"&amp;(Config!$B$8+1))+COUNTIFS($AZ$2:$AZ$201,AZ82,$DB$2:$DB$201,1,$H$2:$H$201,H82,$BA$2:$BA$201,"&gt;"&amp;BA82)=0,1,0),0)</f>
        <v>0</v>
      </c>
      <c r="DG82" s="23" t="n">
        <f aca="false">IF(AND(DB82=1,INT(N(H82))&lt;=Config!$B$5),IF(COUNTIFS($AZ$2:$AZ$201,AZ82,$DB$2:$DB$201,1,$H$2:$H$201,"&gt;"&amp;H82,$H$2:$H$201,"&lt;"&amp;(Config!$B$5+1))+COUNTIFS($AZ$2:$AZ$201,AZ82,$DB$2:$DB$201,1,$H$2:$H$201,H82,$BA$2:$BA$201,"&gt;"&amp;BA82)=0,1,0),0)</f>
        <v>0</v>
      </c>
      <c r="DH82" s="23" t="n">
        <f aca="false">IF(BB82=1,IF(COUNTIFS($AZ$2:$AZ$201,AZ82,$DD$2:$DD$201,1,$AR$2:$AR$201,"Y")&gt;0,1,0),0)</f>
        <v>0</v>
      </c>
      <c r="DI82" s="23" t="n">
        <f aca="false">IF(BB82=1,IF(COUNTIFS($AZ$2:$AZ$201,AZ82,$DE$2:$DE$201,1,$AR$2:$AR$201,"Y")&gt;0,1,0),0)</f>
        <v>0</v>
      </c>
      <c r="DJ82" s="23" t="n">
        <f aca="false">IF(BB82=1,IF(COUNTIFS($AZ$2:$AZ$201,AZ82,$DF$2:$DF$201,1,$AR$2:$AR$201,"Y")&gt;0,1,0),0)</f>
        <v>0</v>
      </c>
      <c r="DK82" s="23" t="n">
        <f aca="false">IF(BB82=1,IF(COUNTIFS($AZ$2:$AZ$201,AZ82,$DG$2:$DG$201,1,$AR$2:$AR$201,"Y")&gt;0,1,0),0)</f>
        <v>0</v>
      </c>
      <c r="DL82" s="23" t="n">
        <f aca="false">IF(AND(BF82=1,INT(N(H82))&lt;=Config!$B$6,DH82=1,EI82=0),1,0)</f>
        <v>0</v>
      </c>
      <c r="DM82" s="23" t="n">
        <f aca="false">IF(AND(BF82=1,INT(N(H82))&lt;=Config!$B$7,DI82=1,EI82=0),1,0)</f>
        <v>0</v>
      </c>
      <c r="DN82" s="23" t="n">
        <f aca="false">IF(AND(BF82=1,INT(N(H82))&lt;=Config!$B$8,DJ82=1,EI82=0),1,0)</f>
        <v>0</v>
      </c>
      <c r="DO82" s="23" t="n">
        <f aca="false">IF(AND(BF82=1,INT(N(H82))&lt;=Config!$B$5,DK82=1,EI82=0),1,0)</f>
        <v>0</v>
      </c>
      <c r="DP82" s="23" t="n">
        <f aca="false">IF(AND(CC82=1,INT(N(H82))&lt;=Config!$B$6,DH82=1,EI82=0),1,0)</f>
        <v>0</v>
      </c>
      <c r="DQ82" s="23" t="n">
        <f aca="false">IF(AND(CC82=1,INT(N(H82))&lt;=Config!$B$7,DI82=1,EI82=0),1,0)</f>
        <v>0</v>
      </c>
      <c r="DR82" s="23" t="n">
        <f aca="false">IF(AND(CC82=1,INT(N(H82))&lt;=Config!$B$8,DJ82=1,EI82=0),1,0)</f>
        <v>0</v>
      </c>
      <c r="DS82" s="23" t="n">
        <f aca="false">IF(AND(CC82=1,INT(N(H82))&lt;=Config!$B$5,DK82=1,EI82=0),1,0)</f>
        <v>0</v>
      </c>
      <c r="DT82" s="23" t="n">
        <f aca="false">IF(AND(CC82=1,INT(N(H82))&lt;=Config!$B$6,DH82=0),1,0)</f>
        <v>0</v>
      </c>
      <c r="DU82" s="23" t="n">
        <f aca="false">IF(AND(CC82=1,INT(N(H82))&lt;=Config!$B$7,DI82=0),1,0)</f>
        <v>0</v>
      </c>
      <c r="DV82" s="23" t="n">
        <f aca="false">IF(AND(CC82=1,INT(N(H82))&lt;=Config!$B$8,DJ82=0),1,0)</f>
        <v>0</v>
      </c>
      <c r="DW82" s="23" t="n">
        <f aca="false">IF(AND(CC82=1,INT(N(H82))&lt;=Config!$B$5,DK82=0),1,0)</f>
        <v>0</v>
      </c>
      <c r="DX82" s="23" t="n">
        <f aca="false">IF(TRIM($A82)="",0,ISTEXT(M82)+ISTEXT(O82)+ISTEXT(Y82)+ISTEXT(Z82)+ISTEXT(AA82)+ISTEXT(AV82))</f>
        <v>0</v>
      </c>
      <c r="DY82" s="23" t="n">
        <f aca="false">IF(BB82=1,IF(H82&lt;&gt;INT(H82),1,0),0)</f>
        <v>0</v>
      </c>
      <c r="DZ82" s="23" t="str">
        <f aca="false">IF(TRIM($A82)="","",IF(TRIM(B82)="",SUBSTITUTE(SUBSTITUTE(SUBSTITUTE(SUBSTITUTE(SUBSTITUTE(SUBSTITUTE(LOWER(TRIM($A82)),"~",""),"*",""),"?",""),"&lt;",""),"&gt;",""),"=",""),SUBSTITUTE(SUBSTITUTE(SUBSTITUTE(SUBSTITUTE(SUBSTITUTE(SUBSTITUTE(LOWER(TRIM(B82)),"~",""),"*",""),"?",""),"&lt;",""),"&gt;",""),"=","")))</f>
        <v/>
      </c>
      <c r="EA82" s="23" t="str">
        <f aca="false">IF(CW82="","",IFERROR(IF(LEFT(LOWER(TRIM(INDEX(Clay_Offices!$A$2:$FZ$601,CW82,Sync!$C$19)&amp;"")),4)="grp-",SUBSTITUTE(SUBSTITUTE(SUBSTITUTE(SUBSTITUTE(SUBSTITUTE(SUBSTITUTE(LOWER(TRIM(INDEX(Clay_Offices!$A$2:$FZ$601,CW82,Sync!$C$19)&amp;"")),"~",""),"*",""),"?",""),"&lt;",""),"&gt;",""),"=",""),""),""))</f>
        <v/>
      </c>
      <c r="EB82" s="23" t="str">
        <f aca="false">IF(EA82&lt;&gt;"",DZ82,"")</f>
        <v/>
      </c>
      <c r="EC82" s="23" t="str">
        <f aca="false">IF(BC82=1,AZ82,"")</f>
        <v/>
      </c>
      <c r="ED82" s="23" t="str">
        <f aca="false">IF(TRIM($A82)="","",IFERROR(INDEX($A$2:$A$201,MATCH(AZ82,$EC$2:$EC$201,0))&amp;"",$A82&amp;""))</f>
        <v/>
      </c>
      <c r="EE82" s="23" t="n">
        <f aca="false">IF(BB82=1,IF(COUNTIFS($A$2:$A$201,$A82,$BB$2:$BB$201,1,$H$2:$H$201,"&lt;"&amp;H82)+COUNTIFS($A$2:$A$201,$A82,$BB$2:$BB$201,1,$H$2:$H$201,H82,$BA$2:$BA$201,"&lt;"&amp;BA82)=0,1,0),0)</f>
        <v>0</v>
      </c>
      <c r="EF82" s="23" t="n">
        <f aca="false">IF(BC82=1,IF(COUNTIFS($AZ$2:$AZ$201,AZ82,$EE$2:$EE$201,1)&gt;1,1,0),0)</f>
        <v>0</v>
      </c>
      <c r="EG82" s="23" t="n">
        <f aca="false">IF(AND(CQ82=1),IF(COUNTIFS($AZ$2:$AZ$201,AZ82,$CQ$2:$CQ$201,1,$H$2:$H$201,"&gt;"&amp;H82)+COUNTIFS($AZ$2:$AZ$201,AZ82,$CQ$2:$CQ$201,1,$H$2:$H$201,H82,$BA$2:$BA$201,"&gt;"&amp;BA82)=0,1,0),0)</f>
        <v>0</v>
      </c>
      <c r="EH82" s="23" t="str">
        <f aca="false">IF(BB82=1,IF(COUNTIFS($AZ$2:$AZ$201,AZ82,$EG$2:$EG$201,1)=0,"",SUMIFS($O$2:$O$201,$AZ$2:$AZ$201,AZ82,$EG$2:$EG$201,1)),"")</f>
        <v/>
      </c>
      <c r="EI82" s="23" t="n">
        <f aca="false">IF(AND(ISNUMBER(EH82),OR(N(EH82)&lt;Config!$B$31,N(EH82)&gt;Config!$B$33)),1,0)</f>
        <v>0</v>
      </c>
      <c r="EJ82" s="23" t="n">
        <f aca="false">IF(AND(ISNUMBER(EH82),N(EH82)&gt;=Config!$B$31,N(EH82)&lt;Config!$B$32),1,0)</f>
        <v>0</v>
      </c>
      <c r="EK82" s="23" t="n">
        <f aca="false">IF(AND(BF82=1,INT(N(H82))&lt;=Config!$B$6,DH82=1,EI82=1),1,0)</f>
        <v>0</v>
      </c>
      <c r="EL82" s="23" t="n">
        <f aca="false">IF(AND(BF82=1,INT(N(H82))&lt;=Config!$B$7,DI82=1,EI82=1),1,0)</f>
        <v>0</v>
      </c>
      <c r="EM82" s="23" t="n">
        <f aca="false">IF(AND(BF82=1,INT(N(H82))&lt;=Config!$B$8,DJ82=1,EI82=1),1,0)</f>
        <v>0</v>
      </c>
      <c r="EN82" s="23" t="n">
        <f aca="false">IF(AND(BF82=1,INT(N(H82))&lt;=Config!$B$5,DK82=1,EI82=1),1,0)</f>
        <v>0</v>
      </c>
      <c r="EO82" s="23" t="n">
        <f aca="false">IF(AND(DL82=1,EJ82=1),1,0)</f>
        <v>0</v>
      </c>
      <c r="EP82" s="23" t="n">
        <f aca="false">IF(AND(DM82=1,EJ82=1),1,0)</f>
        <v>0</v>
      </c>
      <c r="EQ82" s="23" t="n">
        <f aca="false">IF(AND(DN82=1,EJ82=1),1,0)</f>
        <v>0</v>
      </c>
      <c r="ER82" s="23" t="n">
        <f aca="false">IF(AND(DO82=1,EJ82=1),1,0)</f>
        <v>0</v>
      </c>
    </row>
    <row r="83" customFormat="false" ht="15" hidden="false" customHeight="false" outlineLevel="0" collapsed="false">
      <c r="G83" s="32"/>
      <c r="H83" s="33"/>
      <c r="I83" s="32"/>
      <c r="L83" s="32"/>
      <c r="Q83" s="32"/>
      <c r="U83" s="32"/>
      <c r="W83" s="32"/>
      <c r="AC83" s="32"/>
      <c r="AF83" s="32"/>
      <c r="AI83" s="32"/>
      <c r="AJ83" s="32"/>
      <c r="AN83" s="32"/>
      <c r="AR83" s="32"/>
      <c r="AT83" s="32"/>
      <c r="AU83" s="32"/>
      <c r="AW83" s="32"/>
      <c r="AY83" s="34" t="str">
        <f aca="false">IF(TRIM($A83)="","",IF(AND(LEFT($A83,6)="SAMPLE",Config!$B$19&lt;&gt;"Y"),"",IF(NOT(ISNUMBER(H83)),"call_date is blank or not a date",IF(Sync!$C$5="","Clay paste is empty or has no row_id column: paste the Clay export on Clay_Offices",IF(CW83="","row_id not found in the Clay paste: add the Clay row or fix the row_id",IF(AND(ISNUMBER(CY83),CY83&gt;=1,CY83&lt;=5),"Clay status is "&amp;CX83&amp;": set call_done or later",IF(AND(BD83=1,CZ83&lt;&gt;BZ83),"Clay yes_in_principle should be "&amp;BZ83,IF(AND(BD83=1,DA83&lt;&gt;H83),"Clay call_date should be "&amp;TEXT(H83,"yyyy-mm-dd"),""))))))))</f>
        <v/>
      </c>
      <c r="AZ83" s="23" t="str">
        <f aca="false">IF(TRIM($A83)="","",IF(TRIM(C83)&lt;&gt;"",SUBSTITUTE(SUBSTITUTE(SUBSTITUTE(SUBSTITUTE(SUBSTITUTE(SUBSTITUTE(LOWER(TRIM(C83)),"~",""),"*",""),"?",""),"&lt;",""),"&gt;",""),"=",""),IF(EA83&lt;&gt;"",EA83,IFERROR(INDEX($EA$2:$EA$201,MATCH(DZ83,$EB$2:$EB$201,0)),DZ83))))</f>
        <v/>
      </c>
      <c r="BA83" s="23" t="n">
        <f aca="false">ROW()</f>
        <v>83</v>
      </c>
      <c r="BB83" s="23" t="n">
        <f aca="false">IF(AND(TRIM($A83)&lt;&gt;"",ISNUMBER(H83)),IF(AND(LEFT($A83,6)="SAMPLE",Config!$B$19&lt;&gt;"Y"),0,1),0)</f>
        <v>0</v>
      </c>
      <c r="BC83" s="23" t="n">
        <f aca="false">IF(BB83=1,IF(COUNTIFS($AZ$2:$AZ$201,AZ83,$BB$2:$BB$201,1,$H$2:$H$201,"&lt;"&amp;H83)+COUNTIFS($AZ$2:$AZ$201,AZ83,$BB$2:$BB$201,1,$H$2:$H$201,H83,$BA$2:$BA$201,"&lt;"&amp;BA83)=0,1,0),0)</f>
        <v>0</v>
      </c>
      <c r="BD83" s="23" t="n">
        <f aca="false">IF(BB83=1,IF(COUNTIFS($A$2:$A$201,$A83,$BB$2:$BB$201,1,$H$2:$H$201,"&gt;"&amp;H83)+COUNTIFS($A$2:$A$201,$A83,$BB$2:$BB$201,1,$H$2:$H$201,H83,$BA$2:$BA$201,"&gt;"&amp;BA83)=0,1,0),0)</f>
        <v>0</v>
      </c>
      <c r="BE83" s="23" t="n">
        <f aca="false">IF(AND(BB83=1,AR83="Y",AC83="Y",TRIM(AH83)&lt;&gt;""),1,0)</f>
        <v>0</v>
      </c>
      <c r="BF83" s="23" t="n">
        <f aca="false">IF(BE83=1,IF(COUNTIFS($AZ$2:$AZ$201,AZ83,$BE$2:$BE$201,1,$H$2:$H$201,"&lt;"&amp;H83)+COUNTIFS($AZ$2:$AZ$201,AZ83,$BE$2:$BE$201,1,$H$2:$H$201,H83,$BA$2:$BA$201,"&lt;"&amp;BA83)=0,1,0),0)</f>
        <v>0</v>
      </c>
      <c r="BG83" s="23" t="n">
        <f aca="false">IF(AND(BB83=1,AR83="Y",BE83=0),1,0)</f>
        <v>0</v>
      </c>
      <c r="BH83" s="23" t="n">
        <f aca="false">IF(AND(BB83=1,ISNUMBER(Y83)),1,0)</f>
        <v>0</v>
      </c>
      <c r="BI83" s="23" t="n">
        <f aca="false">IF(BH83=1,IF(COUNTIFS($AZ$2:$AZ$201,AZ83,$BH$2:$BH$201,1,$H$2:$H$201,"&lt;"&amp;H83)+COUNTIFS($AZ$2:$AZ$201,AZ83,$BH$2:$BH$201,1,$H$2:$H$201,H83,$BA$2:$BA$201,"&lt;"&amp;BA83)=0,1,0),0)</f>
        <v>0</v>
      </c>
      <c r="BJ83" s="23" t="str">
        <f aca="false">IF(AND(BI83=1,INT(N(H83))&lt;=Config!$B$6),Y83,"")</f>
        <v/>
      </c>
      <c r="BK83" s="23" t="str">
        <f aca="false">IF(AND(BI83=1,INT(N(H83))&lt;=Config!$B$7),Y83,"")</f>
        <v/>
      </c>
      <c r="BL83" s="23" t="str">
        <f aca="false">IF(AND(BI83=1,INT(N(H83))&lt;=Config!$B$8),Y83,"")</f>
        <v/>
      </c>
      <c r="BM83" s="23" t="str">
        <f aca="false">IF(AND(BI83=1,INT(N(H83))&lt;=Config!$B$5),Y83,"")</f>
        <v/>
      </c>
      <c r="BN83" s="23" t="n">
        <f aca="false">IF(CD83=1,IF(COUNTIFS($AZ$2:$AZ$201,AZ83,$CD$2:$CD$201,1,$H$2:$H$201,"&lt;"&amp;H83)+COUNTIFS($AZ$2:$AZ$201,AZ83,$CD$2:$CD$201,1,$H$2:$H$201,H83,$BA$2:$BA$201,"&lt;"&amp;BA83)=0,1,0),0)</f>
        <v>0</v>
      </c>
      <c r="BO83" s="23" t="n">
        <f aca="false">IF(AND(BB83=1,ISNUMBER(M83)),1,0)</f>
        <v>0</v>
      </c>
      <c r="BP83" s="23" t="n">
        <f aca="false">IF(BO83=1,IF(COUNTIFS($AZ$2:$AZ$201,AZ83,$BO$2:$BO$201,1,$H$2:$H$201,"&lt;"&amp;H83)+COUNTIFS($AZ$2:$AZ$201,AZ83,$BO$2:$BO$201,1,$H$2:$H$201,H83,$BA$2:$BA$201,"&lt;"&amp;BA83)=0,1,0),0)</f>
        <v>0</v>
      </c>
      <c r="BQ83" s="23" t="str">
        <f aca="false">IF(AND(BP83=1,INT(N(H83))&lt;=Config!$B$5),M83,"")</f>
        <v/>
      </c>
      <c r="BR83" s="23" t="n">
        <f aca="false">IF(AND(BB83=1,OR(TRIM(X83)&lt;&gt;"",ISNUMBER(Y83))),1,0)</f>
        <v>0</v>
      </c>
      <c r="BS83" s="23" t="n">
        <f aca="false">IF(BR83=1,IF(COUNTIFS($AZ$2:$AZ$201,AZ83,$BR$2:$BR$201,1,$H$2:$H$201,"&lt;"&amp;H83)+COUNTIFS($AZ$2:$AZ$201,AZ83,$BR$2:$BR$201,1,$H$2:$H$201,H83,$BA$2:$BA$201,"&lt;"&amp;BA83)=0,1,0),0)</f>
        <v>0</v>
      </c>
      <c r="BT83" s="23" t="str">
        <f aca="false">IF(BS83=1,AZ83,"")</f>
        <v/>
      </c>
      <c r="BU83" s="23" t="n">
        <f aca="false">IF(AND(BB83=1,W83="Y",TRIM(X83)=""),1,0)</f>
        <v>0</v>
      </c>
      <c r="BV83" s="23" t="str">
        <f aca="false">IF(BB83=1,AN83&amp;"","")</f>
        <v/>
      </c>
      <c r="BW83" s="23" t="str">
        <f aca="false">IF(BB83=1,AO83&amp;"","")</f>
        <v/>
      </c>
      <c r="BX83" s="23" t="str">
        <f aca="false">IF(BB83=1,AP83&amp;"","")</f>
        <v/>
      </c>
      <c r="BY83" s="23" t="str">
        <f aca="false">IF(AND(BB83=1,ISNUMBER(AV83),INT(N(H83))&lt;=Config!$B$5),AV83,"")</f>
        <v/>
      </c>
      <c r="BZ83" s="23" t="str">
        <f aca="false">IF(BB83=1,IF(COUNTIFS($A$2:$A$201,$A83,$DC$2:$DC$201,1,$AR$2:$AR$201,"Y")&gt;0,"Y","N"),"")</f>
        <v/>
      </c>
      <c r="CA83" s="23" t="n">
        <f aca="false">IF(AND(BB83=1,AR83="maybe"),1,0)</f>
        <v>0</v>
      </c>
      <c r="CB83" s="23" t="n">
        <f aca="false">IF(CA83=1,IF(COUNTIFS($AZ$2:$AZ$201,AZ83,$CA$2:$CA$201,1,$H$2:$H$201,"&lt;"&amp;H83)+COUNTIFS($AZ$2:$AZ$201,AZ83,$CA$2:$CA$201,1,$H$2:$H$201,H83,$BA$2:$BA$201,"&lt;"&amp;BA83)=0,1,0),0)</f>
        <v>0</v>
      </c>
      <c r="CC83" s="23" t="n">
        <f aca="false">IF(AND(BB83=1,AR83="Y"),IF(COUNTIFS($AZ$2:$AZ$201,AZ83,$AR$2:$AR$201,"Y",$BB$2:$BB$201,1,$H$2:$H$201,"&lt;"&amp;H83)+COUNTIFS($AZ$2:$AZ$201,AZ83,$AR$2:$AR$201,"Y",$BB$2:$BB$201,1,$H$2:$H$201,H83,$BA$2:$BA$201,"&lt;"&amp;BA83)=0,1,0),0)</f>
        <v>0</v>
      </c>
      <c r="CD83" s="23" t="n">
        <f aca="false">IF(AND(BH83=1,N(Y83)&gt;=Config!$B$15),1,0)</f>
        <v>0</v>
      </c>
      <c r="CE83" s="23" t="n">
        <f aca="false">IF(AND(BB83=1,AT83="Y"),1,0)</f>
        <v>0</v>
      </c>
      <c r="CF83" s="23" t="n">
        <f aca="false">IF(CE83=1,IF(COUNTIFS($AZ$2:$AZ$201,AZ83,$CE$2:$CE$201,1,$H$2:$H$201,"&lt;"&amp;H83)+COUNTIFS($AZ$2:$AZ$201,AZ83,$CE$2:$CE$201,1,$H$2:$H$201,H83,$BA$2:$BA$201,"&lt;"&amp;BA83)=0,1,0),0)</f>
        <v>0</v>
      </c>
      <c r="CG83" s="23" t="n">
        <f aca="false">IF(AND(BB83=1,G83="warm-intro"),1,0)</f>
        <v>0</v>
      </c>
      <c r="CH83" s="23" t="n">
        <f aca="false">IF(CG83=1,IF(COUNTIFS($AZ$2:$AZ$201,AZ83,$CG$2:$CG$201,1,$H$2:$H$201,"&lt;"&amp;H83)+COUNTIFS($AZ$2:$AZ$201,AZ83,$CG$2:$CG$201,1,$H$2:$H$201,H83,$BA$2:$BA$201,"&lt;"&amp;BA83)=0,1,0),0)</f>
        <v>0</v>
      </c>
      <c r="CI83" s="23" t="n">
        <f aca="false">IF(AND(BB83=1,Q83="Y"),1,0)</f>
        <v>0</v>
      </c>
      <c r="CJ83" s="23" t="n">
        <f aca="false">IF(CI83=1,IF(COUNTIFS($AZ$2:$AZ$201,AZ83,$CI$2:$CI$201,1,$H$2:$H$201,"&lt;"&amp;H83)+COUNTIFS($AZ$2:$AZ$201,AZ83,$CI$2:$CI$201,1,$H$2:$H$201,H83,$BA$2:$BA$201,"&lt;"&amp;BA83)=0,1,0),0)</f>
        <v>0</v>
      </c>
      <c r="CK83" s="23" t="n">
        <f aca="false">IF(AND(BB83=1,AF83="Y"),1,0)</f>
        <v>0</v>
      </c>
      <c r="CL83" s="23" t="n">
        <f aca="false">IF(CK83=1,IF(COUNTIFS($AZ$2:$AZ$201,AZ83,$CK$2:$CK$201,1,$H$2:$H$201,"&lt;"&amp;H83)+COUNTIFS($AZ$2:$AZ$201,AZ83,$CK$2:$CK$201,1,$H$2:$H$201,H83,$BA$2:$BA$201,"&lt;"&amp;BA83)=0,1,0),0)</f>
        <v>0</v>
      </c>
      <c r="CM83" s="23" t="n">
        <f aca="false">IF(AND(BB83=1,U83="Y"),1,0)</f>
        <v>0</v>
      </c>
      <c r="CN83" s="23" t="n">
        <f aca="false">IF(CM83=1,IF(COUNTIFS($AZ$2:$AZ$201,AZ83,$CM$2:$CM$201,1,$H$2:$H$201,"&lt;"&amp;H83)+COUNTIFS($AZ$2:$AZ$201,AZ83,$CM$2:$CM$201,1,$H$2:$H$201,H83,$BA$2:$BA$201,"&lt;"&amp;BA83)=0,1,0),0)</f>
        <v>0</v>
      </c>
      <c r="CO83" s="23" t="n">
        <f aca="false">IF(AND(BB83=1,L83="Y"),1,0)</f>
        <v>0</v>
      </c>
      <c r="CP83" s="23" t="n">
        <f aca="false">IF(CO83=1,IF(COUNTIFS($AZ$2:$AZ$201,AZ83,$CO$2:$CO$201,1,$H$2:$H$201,"&lt;"&amp;H83)+COUNTIFS($AZ$2:$AZ$201,AZ83,$CO$2:$CO$201,1,$H$2:$H$201,H83,$BA$2:$BA$201,"&lt;"&amp;BA83)=0,1,0),0)</f>
        <v>0</v>
      </c>
      <c r="CQ83" s="23" t="n">
        <f aca="false">IF(AND(BB83=1,ISNUMBER(O83)),1,0)</f>
        <v>0</v>
      </c>
      <c r="CR83" s="23" t="n">
        <f aca="false">IF(CQ83=1,IF(COUNTIFS($AZ$2:$AZ$201,AZ83,$CQ$2:$CQ$201,1,$H$2:$H$201,"&lt;"&amp;H83)+COUNTIFS($AZ$2:$AZ$201,AZ83,$CQ$2:$CQ$201,1,$H$2:$H$201,H83,$BA$2:$BA$201,"&lt;"&amp;BA83)=0,1,0),0)</f>
        <v>0</v>
      </c>
      <c r="CS83" s="23" t="str">
        <f aca="false">IF(AND(CR83=1,INT(N(H83))&lt;=Config!$B$5),O83,"")</f>
        <v/>
      </c>
      <c r="CT83" s="23" t="str">
        <f aca="false">IF(AND(BB83=1,INT(N(H83))&lt;=Config!$B$5),AG83&amp;"","")</f>
        <v/>
      </c>
      <c r="CU83" s="23" t="n">
        <f aca="false">IF(AND(BB83=1,AU83="Y"),1,0)</f>
        <v>0</v>
      </c>
      <c r="CV83" s="23" t="n">
        <f aca="false">IF(CU83=1,IF(COUNTIFS($AZ$2:$AZ$201,AZ83,$CU$2:$CU$201,1,$H$2:$H$201,"&lt;"&amp;H83)+COUNTIFS($AZ$2:$AZ$201,AZ83,$CU$2:$CU$201,1,$H$2:$H$201,H83,$BA$2:$BA$201,"&lt;"&amp;BA83)=0,1,0),0)</f>
        <v>0</v>
      </c>
      <c r="CW83" s="23" t="str">
        <f aca="false">IF(BB83=1,IFERROR(MATCH($A83,INDEX(Clay_Offices!$A$2:$FZ$601,0,Sync!$C$5),0),""),"")</f>
        <v/>
      </c>
      <c r="CX83" s="23" t="str">
        <f aca="false">IF(CW83="","",IFERROR(INDEX(Clay_Offices!$A$2:$FZ$601,CW83,Sync!$C$7)&amp;"",""))</f>
        <v/>
      </c>
      <c r="CY83" s="23" t="str">
        <f aca="false">IF(CX83="","",IFERROR(INDEX(Lists!$K$2:$K$15,MATCH(CX83,Lists!$J$2:$J$15,0)),""))</f>
        <v/>
      </c>
      <c r="CZ83" s="23" t="str">
        <f aca="false">IF(CW83="","",IFERROR(INDEX(Clay_Offices!$A$2:$FZ$601,CW83,Sync!$C$17)&amp;"",""))</f>
        <v/>
      </c>
      <c r="DA83" s="35" t="str">
        <f aca="false">IF(CW83="","",IFERROR(N(INDEX(Clay_Offices!$A$2:$FZ$601,CW83,Sync!$C$16)),0))</f>
        <v/>
      </c>
      <c r="DB83" s="23" t="n">
        <f aca="false">IF(AND(BB83=1,OR(AR83="Y",AR83="N",AR83="maybe")),1,0)</f>
        <v>0</v>
      </c>
      <c r="DC83" s="23" t="n">
        <f aca="false">IF(AND(DB83=1),IF(COUNTIFS($A$2:$A$201,$A83,$DB$2:$DB$201,1,$H$2:$H$201,"&gt;"&amp;H83)+COUNTIFS($A$2:$A$201,$A83,$DB$2:$DB$201,1,$H$2:$H$201,H83,$BA$2:$BA$201,"&gt;"&amp;BA83)=0,1,0),0)</f>
        <v>0</v>
      </c>
      <c r="DD83" s="23" t="n">
        <f aca="false">IF(AND(DB83=1,INT(N(H83))&lt;=Config!$B$6),IF(COUNTIFS($AZ$2:$AZ$201,AZ83,$DB$2:$DB$201,1,$H$2:$H$201,"&gt;"&amp;H83,$H$2:$H$201,"&lt;"&amp;(Config!$B$6+1))+COUNTIFS($AZ$2:$AZ$201,AZ83,$DB$2:$DB$201,1,$H$2:$H$201,H83,$BA$2:$BA$201,"&gt;"&amp;BA83)=0,1,0),0)</f>
        <v>0</v>
      </c>
      <c r="DE83" s="23" t="n">
        <f aca="false">IF(AND(DB83=1,INT(N(H83))&lt;=Config!$B$7),IF(COUNTIFS($AZ$2:$AZ$201,AZ83,$DB$2:$DB$201,1,$H$2:$H$201,"&gt;"&amp;H83,$H$2:$H$201,"&lt;"&amp;(Config!$B$7+1))+COUNTIFS($AZ$2:$AZ$201,AZ83,$DB$2:$DB$201,1,$H$2:$H$201,H83,$BA$2:$BA$201,"&gt;"&amp;BA83)=0,1,0),0)</f>
        <v>0</v>
      </c>
      <c r="DF83" s="23" t="n">
        <f aca="false">IF(AND(DB83=1,INT(N(H83))&lt;=Config!$B$8),IF(COUNTIFS($AZ$2:$AZ$201,AZ83,$DB$2:$DB$201,1,$H$2:$H$201,"&gt;"&amp;H83,$H$2:$H$201,"&lt;"&amp;(Config!$B$8+1))+COUNTIFS($AZ$2:$AZ$201,AZ83,$DB$2:$DB$201,1,$H$2:$H$201,H83,$BA$2:$BA$201,"&gt;"&amp;BA83)=0,1,0),0)</f>
        <v>0</v>
      </c>
      <c r="DG83" s="23" t="n">
        <f aca="false">IF(AND(DB83=1,INT(N(H83))&lt;=Config!$B$5),IF(COUNTIFS($AZ$2:$AZ$201,AZ83,$DB$2:$DB$201,1,$H$2:$H$201,"&gt;"&amp;H83,$H$2:$H$201,"&lt;"&amp;(Config!$B$5+1))+COUNTIFS($AZ$2:$AZ$201,AZ83,$DB$2:$DB$201,1,$H$2:$H$201,H83,$BA$2:$BA$201,"&gt;"&amp;BA83)=0,1,0),0)</f>
        <v>0</v>
      </c>
      <c r="DH83" s="23" t="n">
        <f aca="false">IF(BB83=1,IF(COUNTIFS($AZ$2:$AZ$201,AZ83,$DD$2:$DD$201,1,$AR$2:$AR$201,"Y")&gt;0,1,0),0)</f>
        <v>0</v>
      </c>
      <c r="DI83" s="23" t="n">
        <f aca="false">IF(BB83=1,IF(COUNTIFS($AZ$2:$AZ$201,AZ83,$DE$2:$DE$201,1,$AR$2:$AR$201,"Y")&gt;0,1,0),0)</f>
        <v>0</v>
      </c>
      <c r="DJ83" s="23" t="n">
        <f aca="false">IF(BB83=1,IF(COUNTIFS($AZ$2:$AZ$201,AZ83,$DF$2:$DF$201,1,$AR$2:$AR$201,"Y")&gt;0,1,0),0)</f>
        <v>0</v>
      </c>
      <c r="DK83" s="23" t="n">
        <f aca="false">IF(BB83=1,IF(COUNTIFS($AZ$2:$AZ$201,AZ83,$DG$2:$DG$201,1,$AR$2:$AR$201,"Y")&gt;0,1,0),0)</f>
        <v>0</v>
      </c>
      <c r="DL83" s="23" t="n">
        <f aca="false">IF(AND(BF83=1,INT(N(H83))&lt;=Config!$B$6,DH83=1,EI83=0),1,0)</f>
        <v>0</v>
      </c>
      <c r="DM83" s="23" t="n">
        <f aca="false">IF(AND(BF83=1,INT(N(H83))&lt;=Config!$B$7,DI83=1,EI83=0),1,0)</f>
        <v>0</v>
      </c>
      <c r="DN83" s="23" t="n">
        <f aca="false">IF(AND(BF83=1,INT(N(H83))&lt;=Config!$B$8,DJ83=1,EI83=0),1,0)</f>
        <v>0</v>
      </c>
      <c r="DO83" s="23" t="n">
        <f aca="false">IF(AND(BF83=1,INT(N(H83))&lt;=Config!$B$5,DK83=1,EI83=0),1,0)</f>
        <v>0</v>
      </c>
      <c r="DP83" s="23" t="n">
        <f aca="false">IF(AND(CC83=1,INT(N(H83))&lt;=Config!$B$6,DH83=1,EI83=0),1,0)</f>
        <v>0</v>
      </c>
      <c r="DQ83" s="23" t="n">
        <f aca="false">IF(AND(CC83=1,INT(N(H83))&lt;=Config!$B$7,DI83=1,EI83=0),1,0)</f>
        <v>0</v>
      </c>
      <c r="DR83" s="23" t="n">
        <f aca="false">IF(AND(CC83=1,INT(N(H83))&lt;=Config!$B$8,DJ83=1,EI83=0),1,0)</f>
        <v>0</v>
      </c>
      <c r="DS83" s="23" t="n">
        <f aca="false">IF(AND(CC83=1,INT(N(H83))&lt;=Config!$B$5,DK83=1,EI83=0),1,0)</f>
        <v>0</v>
      </c>
      <c r="DT83" s="23" t="n">
        <f aca="false">IF(AND(CC83=1,INT(N(H83))&lt;=Config!$B$6,DH83=0),1,0)</f>
        <v>0</v>
      </c>
      <c r="DU83" s="23" t="n">
        <f aca="false">IF(AND(CC83=1,INT(N(H83))&lt;=Config!$B$7,DI83=0),1,0)</f>
        <v>0</v>
      </c>
      <c r="DV83" s="23" t="n">
        <f aca="false">IF(AND(CC83=1,INT(N(H83))&lt;=Config!$B$8,DJ83=0),1,0)</f>
        <v>0</v>
      </c>
      <c r="DW83" s="23" t="n">
        <f aca="false">IF(AND(CC83=1,INT(N(H83))&lt;=Config!$B$5,DK83=0),1,0)</f>
        <v>0</v>
      </c>
      <c r="DX83" s="23" t="n">
        <f aca="false">IF(TRIM($A83)="",0,ISTEXT(M83)+ISTEXT(O83)+ISTEXT(Y83)+ISTEXT(Z83)+ISTEXT(AA83)+ISTEXT(AV83))</f>
        <v>0</v>
      </c>
      <c r="DY83" s="23" t="n">
        <f aca="false">IF(BB83=1,IF(H83&lt;&gt;INT(H83),1,0),0)</f>
        <v>0</v>
      </c>
      <c r="DZ83" s="23" t="str">
        <f aca="false">IF(TRIM($A83)="","",IF(TRIM(B83)="",SUBSTITUTE(SUBSTITUTE(SUBSTITUTE(SUBSTITUTE(SUBSTITUTE(SUBSTITUTE(LOWER(TRIM($A83)),"~",""),"*",""),"?",""),"&lt;",""),"&gt;",""),"=",""),SUBSTITUTE(SUBSTITUTE(SUBSTITUTE(SUBSTITUTE(SUBSTITUTE(SUBSTITUTE(LOWER(TRIM(B83)),"~",""),"*",""),"?",""),"&lt;",""),"&gt;",""),"=","")))</f>
        <v/>
      </c>
      <c r="EA83" s="23" t="str">
        <f aca="false">IF(CW83="","",IFERROR(IF(LEFT(LOWER(TRIM(INDEX(Clay_Offices!$A$2:$FZ$601,CW83,Sync!$C$19)&amp;"")),4)="grp-",SUBSTITUTE(SUBSTITUTE(SUBSTITUTE(SUBSTITUTE(SUBSTITUTE(SUBSTITUTE(LOWER(TRIM(INDEX(Clay_Offices!$A$2:$FZ$601,CW83,Sync!$C$19)&amp;"")),"~",""),"*",""),"?",""),"&lt;",""),"&gt;",""),"=",""),""),""))</f>
        <v/>
      </c>
      <c r="EB83" s="23" t="str">
        <f aca="false">IF(EA83&lt;&gt;"",DZ83,"")</f>
        <v/>
      </c>
      <c r="EC83" s="23" t="str">
        <f aca="false">IF(BC83=1,AZ83,"")</f>
        <v/>
      </c>
      <c r="ED83" s="23" t="str">
        <f aca="false">IF(TRIM($A83)="","",IFERROR(INDEX($A$2:$A$201,MATCH(AZ83,$EC$2:$EC$201,0))&amp;"",$A83&amp;""))</f>
        <v/>
      </c>
      <c r="EE83" s="23" t="n">
        <f aca="false">IF(BB83=1,IF(COUNTIFS($A$2:$A$201,$A83,$BB$2:$BB$201,1,$H$2:$H$201,"&lt;"&amp;H83)+COUNTIFS($A$2:$A$201,$A83,$BB$2:$BB$201,1,$H$2:$H$201,H83,$BA$2:$BA$201,"&lt;"&amp;BA83)=0,1,0),0)</f>
        <v>0</v>
      </c>
      <c r="EF83" s="23" t="n">
        <f aca="false">IF(BC83=1,IF(COUNTIFS($AZ$2:$AZ$201,AZ83,$EE$2:$EE$201,1)&gt;1,1,0),0)</f>
        <v>0</v>
      </c>
      <c r="EG83" s="23" t="n">
        <f aca="false">IF(AND(CQ83=1),IF(COUNTIFS($AZ$2:$AZ$201,AZ83,$CQ$2:$CQ$201,1,$H$2:$H$201,"&gt;"&amp;H83)+COUNTIFS($AZ$2:$AZ$201,AZ83,$CQ$2:$CQ$201,1,$H$2:$H$201,H83,$BA$2:$BA$201,"&gt;"&amp;BA83)=0,1,0),0)</f>
        <v>0</v>
      </c>
      <c r="EH83" s="23" t="str">
        <f aca="false">IF(BB83=1,IF(COUNTIFS($AZ$2:$AZ$201,AZ83,$EG$2:$EG$201,1)=0,"",SUMIFS($O$2:$O$201,$AZ$2:$AZ$201,AZ83,$EG$2:$EG$201,1)),"")</f>
        <v/>
      </c>
      <c r="EI83" s="23" t="n">
        <f aca="false">IF(AND(ISNUMBER(EH83),OR(N(EH83)&lt;Config!$B$31,N(EH83)&gt;Config!$B$33)),1,0)</f>
        <v>0</v>
      </c>
      <c r="EJ83" s="23" t="n">
        <f aca="false">IF(AND(ISNUMBER(EH83),N(EH83)&gt;=Config!$B$31,N(EH83)&lt;Config!$B$32),1,0)</f>
        <v>0</v>
      </c>
      <c r="EK83" s="23" t="n">
        <f aca="false">IF(AND(BF83=1,INT(N(H83))&lt;=Config!$B$6,DH83=1,EI83=1),1,0)</f>
        <v>0</v>
      </c>
      <c r="EL83" s="23" t="n">
        <f aca="false">IF(AND(BF83=1,INT(N(H83))&lt;=Config!$B$7,DI83=1,EI83=1),1,0)</f>
        <v>0</v>
      </c>
      <c r="EM83" s="23" t="n">
        <f aca="false">IF(AND(BF83=1,INT(N(H83))&lt;=Config!$B$8,DJ83=1,EI83=1),1,0)</f>
        <v>0</v>
      </c>
      <c r="EN83" s="23" t="n">
        <f aca="false">IF(AND(BF83=1,INT(N(H83))&lt;=Config!$B$5,DK83=1,EI83=1),1,0)</f>
        <v>0</v>
      </c>
      <c r="EO83" s="23" t="n">
        <f aca="false">IF(AND(DL83=1,EJ83=1),1,0)</f>
        <v>0</v>
      </c>
      <c r="EP83" s="23" t="n">
        <f aca="false">IF(AND(DM83=1,EJ83=1),1,0)</f>
        <v>0</v>
      </c>
      <c r="EQ83" s="23" t="n">
        <f aca="false">IF(AND(DN83=1,EJ83=1),1,0)</f>
        <v>0</v>
      </c>
      <c r="ER83" s="23" t="n">
        <f aca="false">IF(AND(DO83=1,EJ83=1),1,0)</f>
        <v>0</v>
      </c>
    </row>
    <row r="84" customFormat="false" ht="15" hidden="false" customHeight="false" outlineLevel="0" collapsed="false">
      <c r="G84" s="32"/>
      <c r="H84" s="33"/>
      <c r="I84" s="32"/>
      <c r="L84" s="32"/>
      <c r="Q84" s="32"/>
      <c r="U84" s="32"/>
      <c r="W84" s="32"/>
      <c r="AC84" s="32"/>
      <c r="AF84" s="32"/>
      <c r="AI84" s="32"/>
      <c r="AJ84" s="32"/>
      <c r="AN84" s="32"/>
      <c r="AR84" s="32"/>
      <c r="AT84" s="32"/>
      <c r="AU84" s="32"/>
      <c r="AW84" s="32"/>
      <c r="AY84" s="34" t="str">
        <f aca="false">IF(TRIM($A84)="","",IF(AND(LEFT($A84,6)="SAMPLE",Config!$B$19&lt;&gt;"Y"),"",IF(NOT(ISNUMBER(H84)),"call_date is blank or not a date",IF(Sync!$C$5="","Clay paste is empty or has no row_id column: paste the Clay export on Clay_Offices",IF(CW84="","row_id not found in the Clay paste: add the Clay row or fix the row_id",IF(AND(ISNUMBER(CY84),CY84&gt;=1,CY84&lt;=5),"Clay status is "&amp;CX84&amp;": set call_done or later",IF(AND(BD84=1,CZ84&lt;&gt;BZ84),"Clay yes_in_principle should be "&amp;BZ84,IF(AND(BD84=1,DA84&lt;&gt;H84),"Clay call_date should be "&amp;TEXT(H84,"yyyy-mm-dd"),""))))))))</f>
        <v/>
      </c>
      <c r="AZ84" s="23" t="str">
        <f aca="false">IF(TRIM($A84)="","",IF(TRIM(C84)&lt;&gt;"",SUBSTITUTE(SUBSTITUTE(SUBSTITUTE(SUBSTITUTE(SUBSTITUTE(SUBSTITUTE(LOWER(TRIM(C84)),"~",""),"*",""),"?",""),"&lt;",""),"&gt;",""),"=",""),IF(EA84&lt;&gt;"",EA84,IFERROR(INDEX($EA$2:$EA$201,MATCH(DZ84,$EB$2:$EB$201,0)),DZ84))))</f>
        <v/>
      </c>
      <c r="BA84" s="23" t="n">
        <f aca="false">ROW()</f>
        <v>84</v>
      </c>
      <c r="BB84" s="23" t="n">
        <f aca="false">IF(AND(TRIM($A84)&lt;&gt;"",ISNUMBER(H84)),IF(AND(LEFT($A84,6)="SAMPLE",Config!$B$19&lt;&gt;"Y"),0,1),0)</f>
        <v>0</v>
      </c>
      <c r="BC84" s="23" t="n">
        <f aca="false">IF(BB84=1,IF(COUNTIFS($AZ$2:$AZ$201,AZ84,$BB$2:$BB$201,1,$H$2:$H$201,"&lt;"&amp;H84)+COUNTIFS($AZ$2:$AZ$201,AZ84,$BB$2:$BB$201,1,$H$2:$H$201,H84,$BA$2:$BA$201,"&lt;"&amp;BA84)=0,1,0),0)</f>
        <v>0</v>
      </c>
      <c r="BD84" s="23" t="n">
        <f aca="false">IF(BB84=1,IF(COUNTIFS($A$2:$A$201,$A84,$BB$2:$BB$201,1,$H$2:$H$201,"&gt;"&amp;H84)+COUNTIFS($A$2:$A$201,$A84,$BB$2:$BB$201,1,$H$2:$H$201,H84,$BA$2:$BA$201,"&gt;"&amp;BA84)=0,1,0),0)</f>
        <v>0</v>
      </c>
      <c r="BE84" s="23" t="n">
        <f aca="false">IF(AND(BB84=1,AR84="Y",AC84="Y",TRIM(AH84)&lt;&gt;""),1,0)</f>
        <v>0</v>
      </c>
      <c r="BF84" s="23" t="n">
        <f aca="false">IF(BE84=1,IF(COUNTIFS($AZ$2:$AZ$201,AZ84,$BE$2:$BE$201,1,$H$2:$H$201,"&lt;"&amp;H84)+COUNTIFS($AZ$2:$AZ$201,AZ84,$BE$2:$BE$201,1,$H$2:$H$201,H84,$BA$2:$BA$201,"&lt;"&amp;BA84)=0,1,0),0)</f>
        <v>0</v>
      </c>
      <c r="BG84" s="23" t="n">
        <f aca="false">IF(AND(BB84=1,AR84="Y",BE84=0),1,0)</f>
        <v>0</v>
      </c>
      <c r="BH84" s="23" t="n">
        <f aca="false">IF(AND(BB84=1,ISNUMBER(Y84)),1,0)</f>
        <v>0</v>
      </c>
      <c r="BI84" s="23" t="n">
        <f aca="false">IF(BH84=1,IF(COUNTIFS($AZ$2:$AZ$201,AZ84,$BH$2:$BH$201,1,$H$2:$H$201,"&lt;"&amp;H84)+COUNTIFS($AZ$2:$AZ$201,AZ84,$BH$2:$BH$201,1,$H$2:$H$201,H84,$BA$2:$BA$201,"&lt;"&amp;BA84)=0,1,0),0)</f>
        <v>0</v>
      </c>
      <c r="BJ84" s="23" t="str">
        <f aca="false">IF(AND(BI84=1,INT(N(H84))&lt;=Config!$B$6),Y84,"")</f>
        <v/>
      </c>
      <c r="BK84" s="23" t="str">
        <f aca="false">IF(AND(BI84=1,INT(N(H84))&lt;=Config!$B$7),Y84,"")</f>
        <v/>
      </c>
      <c r="BL84" s="23" t="str">
        <f aca="false">IF(AND(BI84=1,INT(N(H84))&lt;=Config!$B$8),Y84,"")</f>
        <v/>
      </c>
      <c r="BM84" s="23" t="str">
        <f aca="false">IF(AND(BI84=1,INT(N(H84))&lt;=Config!$B$5),Y84,"")</f>
        <v/>
      </c>
      <c r="BN84" s="23" t="n">
        <f aca="false">IF(CD84=1,IF(COUNTIFS($AZ$2:$AZ$201,AZ84,$CD$2:$CD$201,1,$H$2:$H$201,"&lt;"&amp;H84)+COUNTIFS($AZ$2:$AZ$201,AZ84,$CD$2:$CD$201,1,$H$2:$H$201,H84,$BA$2:$BA$201,"&lt;"&amp;BA84)=0,1,0),0)</f>
        <v>0</v>
      </c>
      <c r="BO84" s="23" t="n">
        <f aca="false">IF(AND(BB84=1,ISNUMBER(M84)),1,0)</f>
        <v>0</v>
      </c>
      <c r="BP84" s="23" t="n">
        <f aca="false">IF(BO84=1,IF(COUNTIFS($AZ$2:$AZ$201,AZ84,$BO$2:$BO$201,1,$H$2:$H$201,"&lt;"&amp;H84)+COUNTIFS($AZ$2:$AZ$201,AZ84,$BO$2:$BO$201,1,$H$2:$H$201,H84,$BA$2:$BA$201,"&lt;"&amp;BA84)=0,1,0),0)</f>
        <v>0</v>
      </c>
      <c r="BQ84" s="23" t="str">
        <f aca="false">IF(AND(BP84=1,INT(N(H84))&lt;=Config!$B$5),M84,"")</f>
        <v/>
      </c>
      <c r="BR84" s="23" t="n">
        <f aca="false">IF(AND(BB84=1,OR(TRIM(X84)&lt;&gt;"",ISNUMBER(Y84))),1,0)</f>
        <v>0</v>
      </c>
      <c r="BS84" s="23" t="n">
        <f aca="false">IF(BR84=1,IF(COUNTIFS($AZ$2:$AZ$201,AZ84,$BR$2:$BR$201,1,$H$2:$H$201,"&lt;"&amp;H84)+COUNTIFS($AZ$2:$AZ$201,AZ84,$BR$2:$BR$201,1,$H$2:$H$201,H84,$BA$2:$BA$201,"&lt;"&amp;BA84)=0,1,0),0)</f>
        <v>0</v>
      </c>
      <c r="BT84" s="23" t="str">
        <f aca="false">IF(BS84=1,AZ84,"")</f>
        <v/>
      </c>
      <c r="BU84" s="23" t="n">
        <f aca="false">IF(AND(BB84=1,W84="Y",TRIM(X84)=""),1,0)</f>
        <v>0</v>
      </c>
      <c r="BV84" s="23" t="str">
        <f aca="false">IF(BB84=1,AN84&amp;"","")</f>
        <v/>
      </c>
      <c r="BW84" s="23" t="str">
        <f aca="false">IF(BB84=1,AO84&amp;"","")</f>
        <v/>
      </c>
      <c r="BX84" s="23" t="str">
        <f aca="false">IF(BB84=1,AP84&amp;"","")</f>
        <v/>
      </c>
      <c r="BY84" s="23" t="str">
        <f aca="false">IF(AND(BB84=1,ISNUMBER(AV84),INT(N(H84))&lt;=Config!$B$5),AV84,"")</f>
        <v/>
      </c>
      <c r="BZ84" s="23" t="str">
        <f aca="false">IF(BB84=1,IF(COUNTIFS($A$2:$A$201,$A84,$DC$2:$DC$201,1,$AR$2:$AR$201,"Y")&gt;0,"Y","N"),"")</f>
        <v/>
      </c>
      <c r="CA84" s="23" t="n">
        <f aca="false">IF(AND(BB84=1,AR84="maybe"),1,0)</f>
        <v>0</v>
      </c>
      <c r="CB84" s="23" t="n">
        <f aca="false">IF(CA84=1,IF(COUNTIFS($AZ$2:$AZ$201,AZ84,$CA$2:$CA$201,1,$H$2:$H$201,"&lt;"&amp;H84)+COUNTIFS($AZ$2:$AZ$201,AZ84,$CA$2:$CA$201,1,$H$2:$H$201,H84,$BA$2:$BA$201,"&lt;"&amp;BA84)=0,1,0),0)</f>
        <v>0</v>
      </c>
      <c r="CC84" s="23" t="n">
        <f aca="false">IF(AND(BB84=1,AR84="Y"),IF(COUNTIFS($AZ$2:$AZ$201,AZ84,$AR$2:$AR$201,"Y",$BB$2:$BB$201,1,$H$2:$H$201,"&lt;"&amp;H84)+COUNTIFS($AZ$2:$AZ$201,AZ84,$AR$2:$AR$201,"Y",$BB$2:$BB$201,1,$H$2:$H$201,H84,$BA$2:$BA$201,"&lt;"&amp;BA84)=0,1,0),0)</f>
        <v>0</v>
      </c>
      <c r="CD84" s="23" t="n">
        <f aca="false">IF(AND(BH84=1,N(Y84)&gt;=Config!$B$15),1,0)</f>
        <v>0</v>
      </c>
      <c r="CE84" s="23" t="n">
        <f aca="false">IF(AND(BB84=1,AT84="Y"),1,0)</f>
        <v>0</v>
      </c>
      <c r="CF84" s="23" t="n">
        <f aca="false">IF(CE84=1,IF(COUNTIFS($AZ$2:$AZ$201,AZ84,$CE$2:$CE$201,1,$H$2:$H$201,"&lt;"&amp;H84)+COUNTIFS($AZ$2:$AZ$201,AZ84,$CE$2:$CE$201,1,$H$2:$H$201,H84,$BA$2:$BA$201,"&lt;"&amp;BA84)=0,1,0),0)</f>
        <v>0</v>
      </c>
      <c r="CG84" s="23" t="n">
        <f aca="false">IF(AND(BB84=1,G84="warm-intro"),1,0)</f>
        <v>0</v>
      </c>
      <c r="CH84" s="23" t="n">
        <f aca="false">IF(CG84=1,IF(COUNTIFS($AZ$2:$AZ$201,AZ84,$CG$2:$CG$201,1,$H$2:$H$201,"&lt;"&amp;H84)+COUNTIFS($AZ$2:$AZ$201,AZ84,$CG$2:$CG$201,1,$H$2:$H$201,H84,$BA$2:$BA$201,"&lt;"&amp;BA84)=0,1,0),0)</f>
        <v>0</v>
      </c>
      <c r="CI84" s="23" t="n">
        <f aca="false">IF(AND(BB84=1,Q84="Y"),1,0)</f>
        <v>0</v>
      </c>
      <c r="CJ84" s="23" t="n">
        <f aca="false">IF(CI84=1,IF(COUNTIFS($AZ$2:$AZ$201,AZ84,$CI$2:$CI$201,1,$H$2:$H$201,"&lt;"&amp;H84)+COUNTIFS($AZ$2:$AZ$201,AZ84,$CI$2:$CI$201,1,$H$2:$H$201,H84,$BA$2:$BA$201,"&lt;"&amp;BA84)=0,1,0),0)</f>
        <v>0</v>
      </c>
      <c r="CK84" s="23" t="n">
        <f aca="false">IF(AND(BB84=1,AF84="Y"),1,0)</f>
        <v>0</v>
      </c>
      <c r="CL84" s="23" t="n">
        <f aca="false">IF(CK84=1,IF(COUNTIFS($AZ$2:$AZ$201,AZ84,$CK$2:$CK$201,1,$H$2:$H$201,"&lt;"&amp;H84)+COUNTIFS($AZ$2:$AZ$201,AZ84,$CK$2:$CK$201,1,$H$2:$H$201,H84,$BA$2:$BA$201,"&lt;"&amp;BA84)=0,1,0),0)</f>
        <v>0</v>
      </c>
      <c r="CM84" s="23" t="n">
        <f aca="false">IF(AND(BB84=1,U84="Y"),1,0)</f>
        <v>0</v>
      </c>
      <c r="CN84" s="23" t="n">
        <f aca="false">IF(CM84=1,IF(COUNTIFS($AZ$2:$AZ$201,AZ84,$CM$2:$CM$201,1,$H$2:$H$201,"&lt;"&amp;H84)+COUNTIFS($AZ$2:$AZ$201,AZ84,$CM$2:$CM$201,1,$H$2:$H$201,H84,$BA$2:$BA$201,"&lt;"&amp;BA84)=0,1,0),0)</f>
        <v>0</v>
      </c>
      <c r="CO84" s="23" t="n">
        <f aca="false">IF(AND(BB84=1,L84="Y"),1,0)</f>
        <v>0</v>
      </c>
      <c r="CP84" s="23" t="n">
        <f aca="false">IF(CO84=1,IF(COUNTIFS($AZ$2:$AZ$201,AZ84,$CO$2:$CO$201,1,$H$2:$H$201,"&lt;"&amp;H84)+COUNTIFS($AZ$2:$AZ$201,AZ84,$CO$2:$CO$201,1,$H$2:$H$201,H84,$BA$2:$BA$201,"&lt;"&amp;BA84)=0,1,0),0)</f>
        <v>0</v>
      </c>
      <c r="CQ84" s="23" t="n">
        <f aca="false">IF(AND(BB84=1,ISNUMBER(O84)),1,0)</f>
        <v>0</v>
      </c>
      <c r="CR84" s="23" t="n">
        <f aca="false">IF(CQ84=1,IF(COUNTIFS($AZ$2:$AZ$201,AZ84,$CQ$2:$CQ$201,1,$H$2:$H$201,"&lt;"&amp;H84)+COUNTIFS($AZ$2:$AZ$201,AZ84,$CQ$2:$CQ$201,1,$H$2:$H$201,H84,$BA$2:$BA$201,"&lt;"&amp;BA84)=0,1,0),0)</f>
        <v>0</v>
      </c>
      <c r="CS84" s="23" t="str">
        <f aca="false">IF(AND(CR84=1,INT(N(H84))&lt;=Config!$B$5),O84,"")</f>
        <v/>
      </c>
      <c r="CT84" s="23" t="str">
        <f aca="false">IF(AND(BB84=1,INT(N(H84))&lt;=Config!$B$5),AG84&amp;"","")</f>
        <v/>
      </c>
      <c r="CU84" s="23" t="n">
        <f aca="false">IF(AND(BB84=1,AU84="Y"),1,0)</f>
        <v>0</v>
      </c>
      <c r="CV84" s="23" t="n">
        <f aca="false">IF(CU84=1,IF(COUNTIFS($AZ$2:$AZ$201,AZ84,$CU$2:$CU$201,1,$H$2:$H$201,"&lt;"&amp;H84)+COUNTIFS($AZ$2:$AZ$201,AZ84,$CU$2:$CU$201,1,$H$2:$H$201,H84,$BA$2:$BA$201,"&lt;"&amp;BA84)=0,1,0),0)</f>
        <v>0</v>
      </c>
      <c r="CW84" s="23" t="str">
        <f aca="false">IF(BB84=1,IFERROR(MATCH($A84,INDEX(Clay_Offices!$A$2:$FZ$601,0,Sync!$C$5),0),""),"")</f>
        <v/>
      </c>
      <c r="CX84" s="23" t="str">
        <f aca="false">IF(CW84="","",IFERROR(INDEX(Clay_Offices!$A$2:$FZ$601,CW84,Sync!$C$7)&amp;"",""))</f>
        <v/>
      </c>
      <c r="CY84" s="23" t="str">
        <f aca="false">IF(CX84="","",IFERROR(INDEX(Lists!$K$2:$K$15,MATCH(CX84,Lists!$J$2:$J$15,0)),""))</f>
        <v/>
      </c>
      <c r="CZ84" s="23" t="str">
        <f aca="false">IF(CW84="","",IFERROR(INDEX(Clay_Offices!$A$2:$FZ$601,CW84,Sync!$C$17)&amp;"",""))</f>
        <v/>
      </c>
      <c r="DA84" s="35" t="str">
        <f aca="false">IF(CW84="","",IFERROR(N(INDEX(Clay_Offices!$A$2:$FZ$601,CW84,Sync!$C$16)),0))</f>
        <v/>
      </c>
      <c r="DB84" s="23" t="n">
        <f aca="false">IF(AND(BB84=1,OR(AR84="Y",AR84="N",AR84="maybe")),1,0)</f>
        <v>0</v>
      </c>
      <c r="DC84" s="23" t="n">
        <f aca="false">IF(AND(DB84=1),IF(COUNTIFS($A$2:$A$201,$A84,$DB$2:$DB$201,1,$H$2:$H$201,"&gt;"&amp;H84)+COUNTIFS($A$2:$A$201,$A84,$DB$2:$DB$201,1,$H$2:$H$201,H84,$BA$2:$BA$201,"&gt;"&amp;BA84)=0,1,0),0)</f>
        <v>0</v>
      </c>
      <c r="DD84" s="23" t="n">
        <f aca="false">IF(AND(DB84=1,INT(N(H84))&lt;=Config!$B$6),IF(COUNTIFS($AZ$2:$AZ$201,AZ84,$DB$2:$DB$201,1,$H$2:$H$201,"&gt;"&amp;H84,$H$2:$H$201,"&lt;"&amp;(Config!$B$6+1))+COUNTIFS($AZ$2:$AZ$201,AZ84,$DB$2:$DB$201,1,$H$2:$H$201,H84,$BA$2:$BA$201,"&gt;"&amp;BA84)=0,1,0),0)</f>
        <v>0</v>
      </c>
      <c r="DE84" s="23" t="n">
        <f aca="false">IF(AND(DB84=1,INT(N(H84))&lt;=Config!$B$7),IF(COUNTIFS($AZ$2:$AZ$201,AZ84,$DB$2:$DB$201,1,$H$2:$H$201,"&gt;"&amp;H84,$H$2:$H$201,"&lt;"&amp;(Config!$B$7+1))+COUNTIFS($AZ$2:$AZ$201,AZ84,$DB$2:$DB$201,1,$H$2:$H$201,H84,$BA$2:$BA$201,"&gt;"&amp;BA84)=0,1,0),0)</f>
        <v>0</v>
      </c>
      <c r="DF84" s="23" t="n">
        <f aca="false">IF(AND(DB84=1,INT(N(H84))&lt;=Config!$B$8),IF(COUNTIFS($AZ$2:$AZ$201,AZ84,$DB$2:$DB$201,1,$H$2:$H$201,"&gt;"&amp;H84,$H$2:$H$201,"&lt;"&amp;(Config!$B$8+1))+COUNTIFS($AZ$2:$AZ$201,AZ84,$DB$2:$DB$201,1,$H$2:$H$201,H84,$BA$2:$BA$201,"&gt;"&amp;BA84)=0,1,0),0)</f>
        <v>0</v>
      </c>
      <c r="DG84" s="23" t="n">
        <f aca="false">IF(AND(DB84=1,INT(N(H84))&lt;=Config!$B$5),IF(COUNTIFS($AZ$2:$AZ$201,AZ84,$DB$2:$DB$201,1,$H$2:$H$201,"&gt;"&amp;H84,$H$2:$H$201,"&lt;"&amp;(Config!$B$5+1))+COUNTIFS($AZ$2:$AZ$201,AZ84,$DB$2:$DB$201,1,$H$2:$H$201,H84,$BA$2:$BA$201,"&gt;"&amp;BA84)=0,1,0),0)</f>
        <v>0</v>
      </c>
      <c r="DH84" s="23" t="n">
        <f aca="false">IF(BB84=1,IF(COUNTIFS($AZ$2:$AZ$201,AZ84,$DD$2:$DD$201,1,$AR$2:$AR$201,"Y")&gt;0,1,0),0)</f>
        <v>0</v>
      </c>
      <c r="DI84" s="23" t="n">
        <f aca="false">IF(BB84=1,IF(COUNTIFS($AZ$2:$AZ$201,AZ84,$DE$2:$DE$201,1,$AR$2:$AR$201,"Y")&gt;0,1,0),0)</f>
        <v>0</v>
      </c>
      <c r="DJ84" s="23" t="n">
        <f aca="false">IF(BB84=1,IF(COUNTIFS($AZ$2:$AZ$201,AZ84,$DF$2:$DF$201,1,$AR$2:$AR$201,"Y")&gt;0,1,0),0)</f>
        <v>0</v>
      </c>
      <c r="DK84" s="23" t="n">
        <f aca="false">IF(BB84=1,IF(COUNTIFS($AZ$2:$AZ$201,AZ84,$DG$2:$DG$201,1,$AR$2:$AR$201,"Y")&gt;0,1,0),0)</f>
        <v>0</v>
      </c>
      <c r="DL84" s="23" t="n">
        <f aca="false">IF(AND(BF84=1,INT(N(H84))&lt;=Config!$B$6,DH84=1,EI84=0),1,0)</f>
        <v>0</v>
      </c>
      <c r="DM84" s="23" t="n">
        <f aca="false">IF(AND(BF84=1,INT(N(H84))&lt;=Config!$B$7,DI84=1,EI84=0),1,0)</f>
        <v>0</v>
      </c>
      <c r="DN84" s="23" t="n">
        <f aca="false">IF(AND(BF84=1,INT(N(H84))&lt;=Config!$B$8,DJ84=1,EI84=0),1,0)</f>
        <v>0</v>
      </c>
      <c r="DO84" s="23" t="n">
        <f aca="false">IF(AND(BF84=1,INT(N(H84))&lt;=Config!$B$5,DK84=1,EI84=0),1,0)</f>
        <v>0</v>
      </c>
      <c r="DP84" s="23" t="n">
        <f aca="false">IF(AND(CC84=1,INT(N(H84))&lt;=Config!$B$6,DH84=1,EI84=0),1,0)</f>
        <v>0</v>
      </c>
      <c r="DQ84" s="23" t="n">
        <f aca="false">IF(AND(CC84=1,INT(N(H84))&lt;=Config!$B$7,DI84=1,EI84=0),1,0)</f>
        <v>0</v>
      </c>
      <c r="DR84" s="23" t="n">
        <f aca="false">IF(AND(CC84=1,INT(N(H84))&lt;=Config!$B$8,DJ84=1,EI84=0),1,0)</f>
        <v>0</v>
      </c>
      <c r="DS84" s="23" t="n">
        <f aca="false">IF(AND(CC84=1,INT(N(H84))&lt;=Config!$B$5,DK84=1,EI84=0),1,0)</f>
        <v>0</v>
      </c>
      <c r="DT84" s="23" t="n">
        <f aca="false">IF(AND(CC84=1,INT(N(H84))&lt;=Config!$B$6,DH84=0),1,0)</f>
        <v>0</v>
      </c>
      <c r="DU84" s="23" t="n">
        <f aca="false">IF(AND(CC84=1,INT(N(H84))&lt;=Config!$B$7,DI84=0),1,0)</f>
        <v>0</v>
      </c>
      <c r="DV84" s="23" t="n">
        <f aca="false">IF(AND(CC84=1,INT(N(H84))&lt;=Config!$B$8,DJ84=0),1,0)</f>
        <v>0</v>
      </c>
      <c r="DW84" s="23" t="n">
        <f aca="false">IF(AND(CC84=1,INT(N(H84))&lt;=Config!$B$5,DK84=0),1,0)</f>
        <v>0</v>
      </c>
      <c r="DX84" s="23" t="n">
        <f aca="false">IF(TRIM($A84)="",0,ISTEXT(M84)+ISTEXT(O84)+ISTEXT(Y84)+ISTEXT(Z84)+ISTEXT(AA84)+ISTEXT(AV84))</f>
        <v>0</v>
      </c>
      <c r="DY84" s="23" t="n">
        <f aca="false">IF(BB84=1,IF(H84&lt;&gt;INT(H84),1,0),0)</f>
        <v>0</v>
      </c>
      <c r="DZ84" s="23" t="str">
        <f aca="false">IF(TRIM($A84)="","",IF(TRIM(B84)="",SUBSTITUTE(SUBSTITUTE(SUBSTITUTE(SUBSTITUTE(SUBSTITUTE(SUBSTITUTE(LOWER(TRIM($A84)),"~",""),"*",""),"?",""),"&lt;",""),"&gt;",""),"=",""),SUBSTITUTE(SUBSTITUTE(SUBSTITUTE(SUBSTITUTE(SUBSTITUTE(SUBSTITUTE(LOWER(TRIM(B84)),"~",""),"*",""),"?",""),"&lt;",""),"&gt;",""),"=","")))</f>
        <v/>
      </c>
      <c r="EA84" s="23" t="str">
        <f aca="false">IF(CW84="","",IFERROR(IF(LEFT(LOWER(TRIM(INDEX(Clay_Offices!$A$2:$FZ$601,CW84,Sync!$C$19)&amp;"")),4)="grp-",SUBSTITUTE(SUBSTITUTE(SUBSTITUTE(SUBSTITUTE(SUBSTITUTE(SUBSTITUTE(LOWER(TRIM(INDEX(Clay_Offices!$A$2:$FZ$601,CW84,Sync!$C$19)&amp;"")),"~",""),"*",""),"?",""),"&lt;",""),"&gt;",""),"=",""),""),""))</f>
        <v/>
      </c>
      <c r="EB84" s="23" t="str">
        <f aca="false">IF(EA84&lt;&gt;"",DZ84,"")</f>
        <v/>
      </c>
      <c r="EC84" s="23" t="str">
        <f aca="false">IF(BC84=1,AZ84,"")</f>
        <v/>
      </c>
      <c r="ED84" s="23" t="str">
        <f aca="false">IF(TRIM($A84)="","",IFERROR(INDEX($A$2:$A$201,MATCH(AZ84,$EC$2:$EC$201,0))&amp;"",$A84&amp;""))</f>
        <v/>
      </c>
      <c r="EE84" s="23" t="n">
        <f aca="false">IF(BB84=1,IF(COUNTIFS($A$2:$A$201,$A84,$BB$2:$BB$201,1,$H$2:$H$201,"&lt;"&amp;H84)+COUNTIFS($A$2:$A$201,$A84,$BB$2:$BB$201,1,$H$2:$H$201,H84,$BA$2:$BA$201,"&lt;"&amp;BA84)=0,1,0),0)</f>
        <v>0</v>
      </c>
      <c r="EF84" s="23" t="n">
        <f aca="false">IF(BC84=1,IF(COUNTIFS($AZ$2:$AZ$201,AZ84,$EE$2:$EE$201,1)&gt;1,1,0),0)</f>
        <v>0</v>
      </c>
      <c r="EG84" s="23" t="n">
        <f aca="false">IF(AND(CQ84=1),IF(COUNTIFS($AZ$2:$AZ$201,AZ84,$CQ$2:$CQ$201,1,$H$2:$H$201,"&gt;"&amp;H84)+COUNTIFS($AZ$2:$AZ$201,AZ84,$CQ$2:$CQ$201,1,$H$2:$H$201,H84,$BA$2:$BA$201,"&gt;"&amp;BA84)=0,1,0),0)</f>
        <v>0</v>
      </c>
      <c r="EH84" s="23" t="str">
        <f aca="false">IF(BB84=1,IF(COUNTIFS($AZ$2:$AZ$201,AZ84,$EG$2:$EG$201,1)=0,"",SUMIFS($O$2:$O$201,$AZ$2:$AZ$201,AZ84,$EG$2:$EG$201,1)),"")</f>
        <v/>
      </c>
      <c r="EI84" s="23" t="n">
        <f aca="false">IF(AND(ISNUMBER(EH84),OR(N(EH84)&lt;Config!$B$31,N(EH84)&gt;Config!$B$33)),1,0)</f>
        <v>0</v>
      </c>
      <c r="EJ84" s="23" t="n">
        <f aca="false">IF(AND(ISNUMBER(EH84),N(EH84)&gt;=Config!$B$31,N(EH84)&lt;Config!$B$32),1,0)</f>
        <v>0</v>
      </c>
      <c r="EK84" s="23" t="n">
        <f aca="false">IF(AND(BF84=1,INT(N(H84))&lt;=Config!$B$6,DH84=1,EI84=1),1,0)</f>
        <v>0</v>
      </c>
      <c r="EL84" s="23" t="n">
        <f aca="false">IF(AND(BF84=1,INT(N(H84))&lt;=Config!$B$7,DI84=1,EI84=1),1,0)</f>
        <v>0</v>
      </c>
      <c r="EM84" s="23" t="n">
        <f aca="false">IF(AND(BF84=1,INT(N(H84))&lt;=Config!$B$8,DJ84=1,EI84=1),1,0)</f>
        <v>0</v>
      </c>
      <c r="EN84" s="23" t="n">
        <f aca="false">IF(AND(BF84=1,INT(N(H84))&lt;=Config!$B$5,DK84=1,EI84=1),1,0)</f>
        <v>0</v>
      </c>
      <c r="EO84" s="23" t="n">
        <f aca="false">IF(AND(DL84=1,EJ84=1),1,0)</f>
        <v>0</v>
      </c>
      <c r="EP84" s="23" t="n">
        <f aca="false">IF(AND(DM84=1,EJ84=1),1,0)</f>
        <v>0</v>
      </c>
      <c r="EQ84" s="23" t="n">
        <f aca="false">IF(AND(DN84=1,EJ84=1),1,0)</f>
        <v>0</v>
      </c>
      <c r="ER84" s="23" t="n">
        <f aca="false">IF(AND(DO84=1,EJ84=1),1,0)</f>
        <v>0</v>
      </c>
    </row>
    <row r="85" customFormat="false" ht="15" hidden="false" customHeight="false" outlineLevel="0" collapsed="false">
      <c r="G85" s="32"/>
      <c r="H85" s="33"/>
      <c r="I85" s="32"/>
      <c r="L85" s="32"/>
      <c r="Q85" s="32"/>
      <c r="U85" s="32"/>
      <c r="W85" s="32"/>
      <c r="AC85" s="32"/>
      <c r="AF85" s="32"/>
      <c r="AI85" s="32"/>
      <c r="AJ85" s="32"/>
      <c r="AN85" s="32"/>
      <c r="AR85" s="32"/>
      <c r="AT85" s="32"/>
      <c r="AU85" s="32"/>
      <c r="AW85" s="32"/>
      <c r="AY85" s="34" t="str">
        <f aca="false">IF(TRIM($A85)="","",IF(AND(LEFT($A85,6)="SAMPLE",Config!$B$19&lt;&gt;"Y"),"",IF(NOT(ISNUMBER(H85)),"call_date is blank or not a date",IF(Sync!$C$5="","Clay paste is empty or has no row_id column: paste the Clay export on Clay_Offices",IF(CW85="","row_id not found in the Clay paste: add the Clay row or fix the row_id",IF(AND(ISNUMBER(CY85),CY85&gt;=1,CY85&lt;=5),"Clay status is "&amp;CX85&amp;": set call_done or later",IF(AND(BD85=1,CZ85&lt;&gt;BZ85),"Clay yes_in_principle should be "&amp;BZ85,IF(AND(BD85=1,DA85&lt;&gt;H85),"Clay call_date should be "&amp;TEXT(H85,"yyyy-mm-dd"),""))))))))</f>
        <v/>
      </c>
      <c r="AZ85" s="23" t="str">
        <f aca="false">IF(TRIM($A85)="","",IF(TRIM(C85)&lt;&gt;"",SUBSTITUTE(SUBSTITUTE(SUBSTITUTE(SUBSTITUTE(SUBSTITUTE(SUBSTITUTE(LOWER(TRIM(C85)),"~",""),"*",""),"?",""),"&lt;",""),"&gt;",""),"=",""),IF(EA85&lt;&gt;"",EA85,IFERROR(INDEX($EA$2:$EA$201,MATCH(DZ85,$EB$2:$EB$201,0)),DZ85))))</f>
        <v/>
      </c>
      <c r="BA85" s="23" t="n">
        <f aca="false">ROW()</f>
        <v>85</v>
      </c>
      <c r="BB85" s="23" t="n">
        <f aca="false">IF(AND(TRIM($A85)&lt;&gt;"",ISNUMBER(H85)),IF(AND(LEFT($A85,6)="SAMPLE",Config!$B$19&lt;&gt;"Y"),0,1),0)</f>
        <v>0</v>
      </c>
      <c r="BC85" s="23" t="n">
        <f aca="false">IF(BB85=1,IF(COUNTIFS($AZ$2:$AZ$201,AZ85,$BB$2:$BB$201,1,$H$2:$H$201,"&lt;"&amp;H85)+COUNTIFS($AZ$2:$AZ$201,AZ85,$BB$2:$BB$201,1,$H$2:$H$201,H85,$BA$2:$BA$201,"&lt;"&amp;BA85)=0,1,0),0)</f>
        <v>0</v>
      </c>
      <c r="BD85" s="23" t="n">
        <f aca="false">IF(BB85=1,IF(COUNTIFS($A$2:$A$201,$A85,$BB$2:$BB$201,1,$H$2:$H$201,"&gt;"&amp;H85)+COUNTIFS($A$2:$A$201,$A85,$BB$2:$BB$201,1,$H$2:$H$201,H85,$BA$2:$BA$201,"&gt;"&amp;BA85)=0,1,0),0)</f>
        <v>0</v>
      </c>
      <c r="BE85" s="23" t="n">
        <f aca="false">IF(AND(BB85=1,AR85="Y",AC85="Y",TRIM(AH85)&lt;&gt;""),1,0)</f>
        <v>0</v>
      </c>
      <c r="BF85" s="23" t="n">
        <f aca="false">IF(BE85=1,IF(COUNTIFS($AZ$2:$AZ$201,AZ85,$BE$2:$BE$201,1,$H$2:$H$201,"&lt;"&amp;H85)+COUNTIFS($AZ$2:$AZ$201,AZ85,$BE$2:$BE$201,1,$H$2:$H$201,H85,$BA$2:$BA$201,"&lt;"&amp;BA85)=0,1,0),0)</f>
        <v>0</v>
      </c>
      <c r="BG85" s="23" t="n">
        <f aca="false">IF(AND(BB85=1,AR85="Y",BE85=0),1,0)</f>
        <v>0</v>
      </c>
      <c r="BH85" s="23" t="n">
        <f aca="false">IF(AND(BB85=1,ISNUMBER(Y85)),1,0)</f>
        <v>0</v>
      </c>
      <c r="BI85" s="23" t="n">
        <f aca="false">IF(BH85=1,IF(COUNTIFS($AZ$2:$AZ$201,AZ85,$BH$2:$BH$201,1,$H$2:$H$201,"&lt;"&amp;H85)+COUNTIFS($AZ$2:$AZ$201,AZ85,$BH$2:$BH$201,1,$H$2:$H$201,H85,$BA$2:$BA$201,"&lt;"&amp;BA85)=0,1,0),0)</f>
        <v>0</v>
      </c>
      <c r="BJ85" s="23" t="str">
        <f aca="false">IF(AND(BI85=1,INT(N(H85))&lt;=Config!$B$6),Y85,"")</f>
        <v/>
      </c>
      <c r="BK85" s="23" t="str">
        <f aca="false">IF(AND(BI85=1,INT(N(H85))&lt;=Config!$B$7),Y85,"")</f>
        <v/>
      </c>
      <c r="BL85" s="23" t="str">
        <f aca="false">IF(AND(BI85=1,INT(N(H85))&lt;=Config!$B$8),Y85,"")</f>
        <v/>
      </c>
      <c r="BM85" s="23" t="str">
        <f aca="false">IF(AND(BI85=1,INT(N(H85))&lt;=Config!$B$5),Y85,"")</f>
        <v/>
      </c>
      <c r="BN85" s="23" t="n">
        <f aca="false">IF(CD85=1,IF(COUNTIFS($AZ$2:$AZ$201,AZ85,$CD$2:$CD$201,1,$H$2:$H$201,"&lt;"&amp;H85)+COUNTIFS($AZ$2:$AZ$201,AZ85,$CD$2:$CD$201,1,$H$2:$H$201,H85,$BA$2:$BA$201,"&lt;"&amp;BA85)=0,1,0),0)</f>
        <v>0</v>
      </c>
      <c r="BO85" s="23" t="n">
        <f aca="false">IF(AND(BB85=1,ISNUMBER(M85)),1,0)</f>
        <v>0</v>
      </c>
      <c r="BP85" s="23" t="n">
        <f aca="false">IF(BO85=1,IF(COUNTIFS($AZ$2:$AZ$201,AZ85,$BO$2:$BO$201,1,$H$2:$H$201,"&lt;"&amp;H85)+COUNTIFS($AZ$2:$AZ$201,AZ85,$BO$2:$BO$201,1,$H$2:$H$201,H85,$BA$2:$BA$201,"&lt;"&amp;BA85)=0,1,0),0)</f>
        <v>0</v>
      </c>
      <c r="BQ85" s="23" t="str">
        <f aca="false">IF(AND(BP85=1,INT(N(H85))&lt;=Config!$B$5),M85,"")</f>
        <v/>
      </c>
      <c r="BR85" s="23" t="n">
        <f aca="false">IF(AND(BB85=1,OR(TRIM(X85)&lt;&gt;"",ISNUMBER(Y85))),1,0)</f>
        <v>0</v>
      </c>
      <c r="BS85" s="23" t="n">
        <f aca="false">IF(BR85=1,IF(COUNTIFS($AZ$2:$AZ$201,AZ85,$BR$2:$BR$201,1,$H$2:$H$201,"&lt;"&amp;H85)+COUNTIFS($AZ$2:$AZ$201,AZ85,$BR$2:$BR$201,1,$H$2:$H$201,H85,$BA$2:$BA$201,"&lt;"&amp;BA85)=0,1,0),0)</f>
        <v>0</v>
      </c>
      <c r="BT85" s="23" t="str">
        <f aca="false">IF(BS85=1,AZ85,"")</f>
        <v/>
      </c>
      <c r="BU85" s="23" t="n">
        <f aca="false">IF(AND(BB85=1,W85="Y",TRIM(X85)=""),1,0)</f>
        <v>0</v>
      </c>
      <c r="BV85" s="23" t="str">
        <f aca="false">IF(BB85=1,AN85&amp;"","")</f>
        <v/>
      </c>
      <c r="BW85" s="23" t="str">
        <f aca="false">IF(BB85=1,AO85&amp;"","")</f>
        <v/>
      </c>
      <c r="BX85" s="23" t="str">
        <f aca="false">IF(BB85=1,AP85&amp;"","")</f>
        <v/>
      </c>
      <c r="BY85" s="23" t="str">
        <f aca="false">IF(AND(BB85=1,ISNUMBER(AV85),INT(N(H85))&lt;=Config!$B$5),AV85,"")</f>
        <v/>
      </c>
      <c r="BZ85" s="23" t="str">
        <f aca="false">IF(BB85=1,IF(COUNTIFS($A$2:$A$201,$A85,$DC$2:$DC$201,1,$AR$2:$AR$201,"Y")&gt;0,"Y","N"),"")</f>
        <v/>
      </c>
      <c r="CA85" s="23" t="n">
        <f aca="false">IF(AND(BB85=1,AR85="maybe"),1,0)</f>
        <v>0</v>
      </c>
      <c r="CB85" s="23" t="n">
        <f aca="false">IF(CA85=1,IF(COUNTIFS($AZ$2:$AZ$201,AZ85,$CA$2:$CA$201,1,$H$2:$H$201,"&lt;"&amp;H85)+COUNTIFS($AZ$2:$AZ$201,AZ85,$CA$2:$CA$201,1,$H$2:$H$201,H85,$BA$2:$BA$201,"&lt;"&amp;BA85)=0,1,0),0)</f>
        <v>0</v>
      </c>
      <c r="CC85" s="23" t="n">
        <f aca="false">IF(AND(BB85=1,AR85="Y"),IF(COUNTIFS($AZ$2:$AZ$201,AZ85,$AR$2:$AR$201,"Y",$BB$2:$BB$201,1,$H$2:$H$201,"&lt;"&amp;H85)+COUNTIFS($AZ$2:$AZ$201,AZ85,$AR$2:$AR$201,"Y",$BB$2:$BB$201,1,$H$2:$H$201,H85,$BA$2:$BA$201,"&lt;"&amp;BA85)=0,1,0),0)</f>
        <v>0</v>
      </c>
      <c r="CD85" s="23" t="n">
        <f aca="false">IF(AND(BH85=1,N(Y85)&gt;=Config!$B$15),1,0)</f>
        <v>0</v>
      </c>
      <c r="CE85" s="23" t="n">
        <f aca="false">IF(AND(BB85=1,AT85="Y"),1,0)</f>
        <v>0</v>
      </c>
      <c r="CF85" s="23" t="n">
        <f aca="false">IF(CE85=1,IF(COUNTIFS($AZ$2:$AZ$201,AZ85,$CE$2:$CE$201,1,$H$2:$H$201,"&lt;"&amp;H85)+COUNTIFS($AZ$2:$AZ$201,AZ85,$CE$2:$CE$201,1,$H$2:$H$201,H85,$BA$2:$BA$201,"&lt;"&amp;BA85)=0,1,0),0)</f>
        <v>0</v>
      </c>
      <c r="CG85" s="23" t="n">
        <f aca="false">IF(AND(BB85=1,G85="warm-intro"),1,0)</f>
        <v>0</v>
      </c>
      <c r="CH85" s="23" t="n">
        <f aca="false">IF(CG85=1,IF(COUNTIFS($AZ$2:$AZ$201,AZ85,$CG$2:$CG$201,1,$H$2:$H$201,"&lt;"&amp;H85)+COUNTIFS($AZ$2:$AZ$201,AZ85,$CG$2:$CG$201,1,$H$2:$H$201,H85,$BA$2:$BA$201,"&lt;"&amp;BA85)=0,1,0),0)</f>
        <v>0</v>
      </c>
      <c r="CI85" s="23" t="n">
        <f aca="false">IF(AND(BB85=1,Q85="Y"),1,0)</f>
        <v>0</v>
      </c>
      <c r="CJ85" s="23" t="n">
        <f aca="false">IF(CI85=1,IF(COUNTIFS($AZ$2:$AZ$201,AZ85,$CI$2:$CI$201,1,$H$2:$H$201,"&lt;"&amp;H85)+COUNTIFS($AZ$2:$AZ$201,AZ85,$CI$2:$CI$201,1,$H$2:$H$201,H85,$BA$2:$BA$201,"&lt;"&amp;BA85)=0,1,0),0)</f>
        <v>0</v>
      </c>
      <c r="CK85" s="23" t="n">
        <f aca="false">IF(AND(BB85=1,AF85="Y"),1,0)</f>
        <v>0</v>
      </c>
      <c r="CL85" s="23" t="n">
        <f aca="false">IF(CK85=1,IF(COUNTIFS($AZ$2:$AZ$201,AZ85,$CK$2:$CK$201,1,$H$2:$H$201,"&lt;"&amp;H85)+COUNTIFS($AZ$2:$AZ$201,AZ85,$CK$2:$CK$201,1,$H$2:$H$201,H85,$BA$2:$BA$201,"&lt;"&amp;BA85)=0,1,0),0)</f>
        <v>0</v>
      </c>
      <c r="CM85" s="23" t="n">
        <f aca="false">IF(AND(BB85=1,U85="Y"),1,0)</f>
        <v>0</v>
      </c>
      <c r="CN85" s="23" t="n">
        <f aca="false">IF(CM85=1,IF(COUNTIFS($AZ$2:$AZ$201,AZ85,$CM$2:$CM$201,1,$H$2:$H$201,"&lt;"&amp;H85)+COUNTIFS($AZ$2:$AZ$201,AZ85,$CM$2:$CM$201,1,$H$2:$H$201,H85,$BA$2:$BA$201,"&lt;"&amp;BA85)=0,1,0),0)</f>
        <v>0</v>
      </c>
      <c r="CO85" s="23" t="n">
        <f aca="false">IF(AND(BB85=1,L85="Y"),1,0)</f>
        <v>0</v>
      </c>
      <c r="CP85" s="23" t="n">
        <f aca="false">IF(CO85=1,IF(COUNTIFS($AZ$2:$AZ$201,AZ85,$CO$2:$CO$201,1,$H$2:$H$201,"&lt;"&amp;H85)+COUNTIFS($AZ$2:$AZ$201,AZ85,$CO$2:$CO$201,1,$H$2:$H$201,H85,$BA$2:$BA$201,"&lt;"&amp;BA85)=0,1,0),0)</f>
        <v>0</v>
      </c>
      <c r="CQ85" s="23" t="n">
        <f aca="false">IF(AND(BB85=1,ISNUMBER(O85)),1,0)</f>
        <v>0</v>
      </c>
      <c r="CR85" s="23" t="n">
        <f aca="false">IF(CQ85=1,IF(COUNTIFS($AZ$2:$AZ$201,AZ85,$CQ$2:$CQ$201,1,$H$2:$H$201,"&lt;"&amp;H85)+COUNTIFS($AZ$2:$AZ$201,AZ85,$CQ$2:$CQ$201,1,$H$2:$H$201,H85,$BA$2:$BA$201,"&lt;"&amp;BA85)=0,1,0),0)</f>
        <v>0</v>
      </c>
      <c r="CS85" s="23" t="str">
        <f aca="false">IF(AND(CR85=1,INT(N(H85))&lt;=Config!$B$5),O85,"")</f>
        <v/>
      </c>
      <c r="CT85" s="23" t="str">
        <f aca="false">IF(AND(BB85=1,INT(N(H85))&lt;=Config!$B$5),AG85&amp;"","")</f>
        <v/>
      </c>
      <c r="CU85" s="23" t="n">
        <f aca="false">IF(AND(BB85=1,AU85="Y"),1,0)</f>
        <v>0</v>
      </c>
      <c r="CV85" s="23" t="n">
        <f aca="false">IF(CU85=1,IF(COUNTIFS($AZ$2:$AZ$201,AZ85,$CU$2:$CU$201,1,$H$2:$H$201,"&lt;"&amp;H85)+COUNTIFS($AZ$2:$AZ$201,AZ85,$CU$2:$CU$201,1,$H$2:$H$201,H85,$BA$2:$BA$201,"&lt;"&amp;BA85)=0,1,0),0)</f>
        <v>0</v>
      </c>
      <c r="CW85" s="23" t="str">
        <f aca="false">IF(BB85=1,IFERROR(MATCH($A85,INDEX(Clay_Offices!$A$2:$FZ$601,0,Sync!$C$5),0),""),"")</f>
        <v/>
      </c>
      <c r="CX85" s="23" t="str">
        <f aca="false">IF(CW85="","",IFERROR(INDEX(Clay_Offices!$A$2:$FZ$601,CW85,Sync!$C$7)&amp;"",""))</f>
        <v/>
      </c>
      <c r="CY85" s="23" t="str">
        <f aca="false">IF(CX85="","",IFERROR(INDEX(Lists!$K$2:$K$15,MATCH(CX85,Lists!$J$2:$J$15,0)),""))</f>
        <v/>
      </c>
      <c r="CZ85" s="23" t="str">
        <f aca="false">IF(CW85="","",IFERROR(INDEX(Clay_Offices!$A$2:$FZ$601,CW85,Sync!$C$17)&amp;"",""))</f>
        <v/>
      </c>
      <c r="DA85" s="35" t="str">
        <f aca="false">IF(CW85="","",IFERROR(N(INDEX(Clay_Offices!$A$2:$FZ$601,CW85,Sync!$C$16)),0))</f>
        <v/>
      </c>
      <c r="DB85" s="23" t="n">
        <f aca="false">IF(AND(BB85=1,OR(AR85="Y",AR85="N",AR85="maybe")),1,0)</f>
        <v>0</v>
      </c>
      <c r="DC85" s="23" t="n">
        <f aca="false">IF(AND(DB85=1),IF(COUNTIFS($A$2:$A$201,$A85,$DB$2:$DB$201,1,$H$2:$H$201,"&gt;"&amp;H85)+COUNTIFS($A$2:$A$201,$A85,$DB$2:$DB$201,1,$H$2:$H$201,H85,$BA$2:$BA$201,"&gt;"&amp;BA85)=0,1,0),0)</f>
        <v>0</v>
      </c>
      <c r="DD85" s="23" t="n">
        <f aca="false">IF(AND(DB85=1,INT(N(H85))&lt;=Config!$B$6),IF(COUNTIFS($AZ$2:$AZ$201,AZ85,$DB$2:$DB$201,1,$H$2:$H$201,"&gt;"&amp;H85,$H$2:$H$201,"&lt;"&amp;(Config!$B$6+1))+COUNTIFS($AZ$2:$AZ$201,AZ85,$DB$2:$DB$201,1,$H$2:$H$201,H85,$BA$2:$BA$201,"&gt;"&amp;BA85)=0,1,0),0)</f>
        <v>0</v>
      </c>
      <c r="DE85" s="23" t="n">
        <f aca="false">IF(AND(DB85=1,INT(N(H85))&lt;=Config!$B$7),IF(COUNTIFS($AZ$2:$AZ$201,AZ85,$DB$2:$DB$201,1,$H$2:$H$201,"&gt;"&amp;H85,$H$2:$H$201,"&lt;"&amp;(Config!$B$7+1))+COUNTIFS($AZ$2:$AZ$201,AZ85,$DB$2:$DB$201,1,$H$2:$H$201,H85,$BA$2:$BA$201,"&gt;"&amp;BA85)=0,1,0),0)</f>
        <v>0</v>
      </c>
      <c r="DF85" s="23" t="n">
        <f aca="false">IF(AND(DB85=1,INT(N(H85))&lt;=Config!$B$8),IF(COUNTIFS($AZ$2:$AZ$201,AZ85,$DB$2:$DB$201,1,$H$2:$H$201,"&gt;"&amp;H85,$H$2:$H$201,"&lt;"&amp;(Config!$B$8+1))+COUNTIFS($AZ$2:$AZ$201,AZ85,$DB$2:$DB$201,1,$H$2:$H$201,H85,$BA$2:$BA$201,"&gt;"&amp;BA85)=0,1,0),0)</f>
        <v>0</v>
      </c>
      <c r="DG85" s="23" t="n">
        <f aca="false">IF(AND(DB85=1,INT(N(H85))&lt;=Config!$B$5),IF(COUNTIFS($AZ$2:$AZ$201,AZ85,$DB$2:$DB$201,1,$H$2:$H$201,"&gt;"&amp;H85,$H$2:$H$201,"&lt;"&amp;(Config!$B$5+1))+COUNTIFS($AZ$2:$AZ$201,AZ85,$DB$2:$DB$201,1,$H$2:$H$201,H85,$BA$2:$BA$201,"&gt;"&amp;BA85)=0,1,0),0)</f>
        <v>0</v>
      </c>
      <c r="DH85" s="23" t="n">
        <f aca="false">IF(BB85=1,IF(COUNTIFS($AZ$2:$AZ$201,AZ85,$DD$2:$DD$201,1,$AR$2:$AR$201,"Y")&gt;0,1,0),0)</f>
        <v>0</v>
      </c>
      <c r="DI85" s="23" t="n">
        <f aca="false">IF(BB85=1,IF(COUNTIFS($AZ$2:$AZ$201,AZ85,$DE$2:$DE$201,1,$AR$2:$AR$201,"Y")&gt;0,1,0),0)</f>
        <v>0</v>
      </c>
      <c r="DJ85" s="23" t="n">
        <f aca="false">IF(BB85=1,IF(COUNTIFS($AZ$2:$AZ$201,AZ85,$DF$2:$DF$201,1,$AR$2:$AR$201,"Y")&gt;0,1,0),0)</f>
        <v>0</v>
      </c>
      <c r="DK85" s="23" t="n">
        <f aca="false">IF(BB85=1,IF(COUNTIFS($AZ$2:$AZ$201,AZ85,$DG$2:$DG$201,1,$AR$2:$AR$201,"Y")&gt;0,1,0),0)</f>
        <v>0</v>
      </c>
      <c r="DL85" s="23" t="n">
        <f aca="false">IF(AND(BF85=1,INT(N(H85))&lt;=Config!$B$6,DH85=1,EI85=0),1,0)</f>
        <v>0</v>
      </c>
      <c r="DM85" s="23" t="n">
        <f aca="false">IF(AND(BF85=1,INT(N(H85))&lt;=Config!$B$7,DI85=1,EI85=0),1,0)</f>
        <v>0</v>
      </c>
      <c r="DN85" s="23" t="n">
        <f aca="false">IF(AND(BF85=1,INT(N(H85))&lt;=Config!$B$8,DJ85=1,EI85=0),1,0)</f>
        <v>0</v>
      </c>
      <c r="DO85" s="23" t="n">
        <f aca="false">IF(AND(BF85=1,INT(N(H85))&lt;=Config!$B$5,DK85=1,EI85=0),1,0)</f>
        <v>0</v>
      </c>
      <c r="DP85" s="23" t="n">
        <f aca="false">IF(AND(CC85=1,INT(N(H85))&lt;=Config!$B$6,DH85=1,EI85=0),1,0)</f>
        <v>0</v>
      </c>
      <c r="DQ85" s="23" t="n">
        <f aca="false">IF(AND(CC85=1,INT(N(H85))&lt;=Config!$B$7,DI85=1,EI85=0),1,0)</f>
        <v>0</v>
      </c>
      <c r="DR85" s="23" t="n">
        <f aca="false">IF(AND(CC85=1,INT(N(H85))&lt;=Config!$B$8,DJ85=1,EI85=0),1,0)</f>
        <v>0</v>
      </c>
      <c r="DS85" s="23" t="n">
        <f aca="false">IF(AND(CC85=1,INT(N(H85))&lt;=Config!$B$5,DK85=1,EI85=0),1,0)</f>
        <v>0</v>
      </c>
      <c r="DT85" s="23" t="n">
        <f aca="false">IF(AND(CC85=1,INT(N(H85))&lt;=Config!$B$6,DH85=0),1,0)</f>
        <v>0</v>
      </c>
      <c r="DU85" s="23" t="n">
        <f aca="false">IF(AND(CC85=1,INT(N(H85))&lt;=Config!$B$7,DI85=0),1,0)</f>
        <v>0</v>
      </c>
      <c r="DV85" s="23" t="n">
        <f aca="false">IF(AND(CC85=1,INT(N(H85))&lt;=Config!$B$8,DJ85=0),1,0)</f>
        <v>0</v>
      </c>
      <c r="DW85" s="23" t="n">
        <f aca="false">IF(AND(CC85=1,INT(N(H85))&lt;=Config!$B$5,DK85=0),1,0)</f>
        <v>0</v>
      </c>
      <c r="DX85" s="23" t="n">
        <f aca="false">IF(TRIM($A85)="",0,ISTEXT(M85)+ISTEXT(O85)+ISTEXT(Y85)+ISTEXT(Z85)+ISTEXT(AA85)+ISTEXT(AV85))</f>
        <v>0</v>
      </c>
      <c r="DY85" s="23" t="n">
        <f aca="false">IF(BB85=1,IF(H85&lt;&gt;INT(H85),1,0),0)</f>
        <v>0</v>
      </c>
      <c r="DZ85" s="23" t="str">
        <f aca="false">IF(TRIM($A85)="","",IF(TRIM(B85)="",SUBSTITUTE(SUBSTITUTE(SUBSTITUTE(SUBSTITUTE(SUBSTITUTE(SUBSTITUTE(LOWER(TRIM($A85)),"~",""),"*",""),"?",""),"&lt;",""),"&gt;",""),"=",""),SUBSTITUTE(SUBSTITUTE(SUBSTITUTE(SUBSTITUTE(SUBSTITUTE(SUBSTITUTE(LOWER(TRIM(B85)),"~",""),"*",""),"?",""),"&lt;",""),"&gt;",""),"=","")))</f>
        <v/>
      </c>
      <c r="EA85" s="23" t="str">
        <f aca="false">IF(CW85="","",IFERROR(IF(LEFT(LOWER(TRIM(INDEX(Clay_Offices!$A$2:$FZ$601,CW85,Sync!$C$19)&amp;"")),4)="grp-",SUBSTITUTE(SUBSTITUTE(SUBSTITUTE(SUBSTITUTE(SUBSTITUTE(SUBSTITUTE(LOWER(TRIM(INDEX(Clay_Offices!$A$2:$FZ$601,CW85,Sync!$C$19)&amp;"")),"~",""),"*",""),"?",""),"&lt;",""),"&gt;",""),"=",""),""),""))</f>
        <v/>
      </c>
      <c r="EB85" s="23" t="str">
        <f aca="false">IF(EA85&lt;&gt;"",DZ85,"")</f>
        <v/>
      </c>
      <c r="EC85" s="23" t="str">
        <f aca="false">IF(BC85=1,AZ85,"")</f>
        <v/>
      </c>
      <c r="ED85" s="23" t="str">
        <f aca="false">IF(TRIM($A85)="","",IFERROR(INDEX($A$2:$A$201,MATCH(AZ85,$EC$2:$EC$201,0))&amp;"",$A85&amp;""))</f>
        <v/>
      </c>
      <c r="EE85" s="23" t="n">
        <f aca="false">IF(BB85=1,IF(COUNTIFS($A$2:$A$201,$A85,$BB$2:$BB$201,1,$H$2:$H$201,"&lt;"&amp;H85)+COUNTIFS($A$2:$A$201,$A85,$BB$2:$BB$201,1,$H$2:$H$201,H85,$BA$2:$BA$201,"&lt;"&amp;BA85)=0,1,0),0)</f>
        <v>0</v>
      </c>
      <c r="EF85" s="23" t="n">
        <f aca="false">IF(BC85=1,IF(COUNTIFS($AZ$2:$AZ$201,AZ85,$EE$2:$EE$201,1)&gt;1,1,0),0)</f>
        <v>0</v>
      </c>
      <c r="EG85" s="23" t="n">
        <f aca="false">IF(AND(CQ85=1),IF(COUNTIFS($AZ$2:$AZ$201,AZ85,$CQ$2:$CQ$201,1,$H$2:$H$201,"&gt;"&amp;H85)+COUNTIFS($AZ$2:$AZ$201,AZ85,$CQ$2:$CQ$201,1,$H$2:$H$201,H85,$BA$2:$BA$201,"&gt;"&amp;BA85)=0,1,0),0)</f>
        <v>0</v>
      </c>
      <c r="EH85" s="23" t="str">
        <f aca="false">IF(BB85=1,IF(COUNTIFS($AZ$2:$AZ$201,AZ85,$EG$2:$EG$201,1)=0,"",SUMIFS($O$2:$O$201,$AZ$2:$AZ$201,AZ85,$EG$2:$EG$201,1)),"")</f>
        <v/>
      </c>
      <c r="EI85" s="23" t="n">
        <f aca="false">IF(AND(ISNUMBER(EH85),OR(N(EH85)&lt;Config!$B$31,N(EH85)&gt;Config!$B$33)),1,0)</f>
        <v>0</v>
      </c>
      <c r="EJ85" s="23" t="n">
        <f aca="false">IF(AND(ISNUMBER(EH85),N(EH85)&gt;=Config!$B$31,N(EH85)&lt;Config!$B$32),1,0)</f>
        <v>0</v>
      </c>
      <c r="EK85" s="23" t="n">
        <f aca="false">IF(AND(BF85=1,INT(N(H85))&lt;=Config!$B$6,DH85=1,EI85=1),1,0)</f>
        <v>0</v>
      </c>
      <c r="EL85" s="23" t="n">
        <f aca="false">IF(AND(BF85=1,INT(N(H85))&lt;=Config!$B$7,DI85=1,EI85=1),1,0)</f>
        <v>0</v>
      </c>
      <c r="EM85" s="23" t="n">
        <f aca="false">IF(AND(BF85=1,INT(N(H85))&lt;=Config!$B$8,DJ85=1,EI85=1),1,0)</f>
        <v>0</v>
      </c>
      <c r="EN85" s="23" t="n">
        <f aca="false">IF(AND(BF85=1,INT(N(H85))&lt;=Config!$B$5,DK85=1,EI85=1),1,0)</f>
        <v>0</v>
      </c>
      <c r="EO85" s="23" t="n">
        <f aca="false">IF(AND(DL85=1,EJ85=1),1,0)</f>
        <v>0</v>
      </c>
      <c r="EP85" s="23" t="n">
        <f aca="false">IF(AND(DM85=1,EJ85=1),1,0)</f>
        <v>0</v>
      </c>
      <c r="EQ85" s="23" t="n">
        <f aca="false">IF(AND(DN85=1,EJ85=1),1,0)</f>
        <v>0</v>
      </c>
      <c r="ER85" s="23" t="n">
        <f aca="false">IF(AND(DO85=1,EJ85=1),1,0)</f>
        <v>0</v>
      </c>
    </row>
    <row r="86" customFormat="false" ht="15" hidden="false" customHeight="false" outlineLevel="0" collapsed="false">
      <c r="G86" s="32"/>
      <c r="H86" s="33"/>
      <c r="I86" s="32"/>
      <c r="L86" s="32"/>
      <c r="Q86" s="32"/>
      <c r="U86" s="32"/>
      <c r="W86" s="32"/>
      <c r="AC86" s="32"/>
      <c r="AF86" s="32"/>
      <c r="AI86" s="32"/>
      <c r="AJ86" s="32"/>
      <c r="AN86" s="32"/>
      <c r="AR86" s="32"/>
      <c r="AT86" s="32"/>
      <c r="AU86" s="32"/>
      <c r="AW86" s="32"/>
      <c r="AY86" s="34" t="str">
        <f aca="false">IF(TRIM($A86)="","",IF(AND(LEFT($A86,6)="SAMPLE",Config!$B$19&lt;&gt;"Y"),"",IF(NOT(ISNUMBER(H86)),"call_date is blank or not a date",IF(Sync!$C$5="","Clay paste is empty or has no row_id column: paste the Clay export on Clay_Offices",IF(CW86="","row_id not found in the Clay paste: add the Clay row or fix the row_id",IF(AND(ISNUMBER(CY86),CY86&gt;=1,CY86&lt;=5),"Clay status is "&amp;CX86&amp;": set call_done or later",IF(AND(BD86=1,CZ86&lt;&gt;BZ86),"Clay yes_in_principle should be "&amp;BZ86,IF(AND(BD86=1,DA86&lt;&gt;H86),"Clay call_date should be "&amp;TEXT(H86,"yyyy-mm-dd"),""))))))))</f>
        <v/>
      </c>
      <c r="AZ86" s="23" t="str">
        <f aca="false">IF(TRIM($A86)="","",IF(TRIM(C86)&lt;&gt;"",SUBSTITUTE(SUBSTITUTE(SUBSTITUTE(SUBSTITUTE(SUBSTITUTE(SUBSTITUTE(LOWER(TRIM(C86)),"~",""),"*",""),"?",""),"&lt;",""),"&gt;",""),"=",""),IF(EA86&lt;&gt;"",EA86,IFERROR(INDEX($EA$2:$EA$201,MATCH(DZ86,$EB$2:$EB$201,0)),DZ86))))</f>
        <v/>
      </c>
      <c r="BA86" s="23" t="n">
        <f aca="false">ROW()</f>
        <v>86</v>
      </c>
      <c r="BB86" s="23" t="n">
        <f aca="false">IF(AND(TRIM($A86)&lt;&gt;"",ISNUMBER(H86)),IF(AND(LEFT($A86,6)="SAMPLE",Config!$B$19&lt;&gt;"Y"),0,1),0)</f>
        <v>0</v>
      </c>
      <c r="BC86" s="23" t="n">
        <f aca="false">IF(BB86=1,IF(COUNTIFS($AZ$2:$AZ$201,AZ86,$BB$2:$BB$201,1,$H$2:$H$201,"&lt;"&amp;H86)+COUNTIFS($AZ$2:$AZ$201,AZ86,$BB$2:$BB$201,1,$H$2:$H$201,H86,$BA$2:$BA$201,"&lt;"&amp;BA86)=0,1,0),0)</f>
        <v>0</v>
      </c>
      <c r="BD86" s="23" t="n">
        <f aca="false">IF(BB86=1,IF(COUNTIFS($A$2:$A$201,$A86,$BB$2:$BB$201,1,$H$2:$H$201,"&gt;"&amp;H86)+COUNTIFS($A$2:$A$201,$A86,$BB$2:$BB$201,1,$H$2:$H$201,H86,$BA$2:$BA$201,"&gt;"&amp;BA86)=0,1,0),0)</f>
        <v>0</v>
      </c>
      <c r="BE86" s="23" t="n">
        <f aca="false">IF(AND(BB86=1,AR86="Y",AC86="Y",TRIM(AH86)&lt;&gt;""),1,0)</f>
        <v>0</v>
      </c>
      <c r="BF86" s="23" t="n">
        <f aca="false">IF(BE86=1,IF(COUNTIFS($AZ$2:$AZ$201,AZ86,$BE$2:$BE$201,1,$H$2:$H$201,"&lt;"&amp;H86)+COUNTIFS($AZ$2:$AZ$201,AZ86,$BE$2:$BE$201,1,$H$2:$H$201,H86,$BA$2:$BA$201,"&lt;"&amp;BA86)=0,1,0),0)</f>
        <v>0</v>
      </c>
      <c r="BG86" s="23" t="n">
        <f aca="false">IF(AND(BB86=1,AR86="Y",BE86=0),1,0)</f>
        <v>0</v>
      </c>
      <c r="BH86" s="23" t="n">
        <f aca="false">IF(AND(BB86=1,ISNUMBER(Y86)),1,0)</f>
        <v>0</v>
      </c>
      <c r="BI86" s="23" t="n">
        <f aca="false">IF(BH86=1,IF(COUNTIFS($AZ$2:$AZ$201,AZ86,$BH$2:$BH$201,1,$H$2:$H$201,"&lt;"&amp;H86)+COUNTIFS($AZ$2:$AZ$201,AZ86,$BH$2:$BH$201,1,$H$2:$H$201,H86,$BA$2:$BA$201,"&lt;"&amp;BA86)=0,1,0),0)</f>
        <v>0</v>
      </c>
      <c r="BJ86" s="23" t="str">
        <f aca="false">IF(AND(BI86=1,INT(N(H86))&lt;=Config!$B$6),Y86,"")</f>
        <v/>
      </c>
      <c r="BK86" s="23" t="str">
        <f aca="false">IF(AND(BI86=1,INT(N(H86))&lt;=Config!$B$7),Y86,"")</f>
        <v/>
      </c>
      <c r="BL86" s="23" t="str">
        <f aca="false">IF(AND(BI86=1,INT(N(H86))&lt;=Config!$B$8),Y86,"")</f>
        <v/>
      </c>
      <c r="BM86" s="23" t="str">
        <f aca="false">IF(AND(BI86=1,INT(N(H86))&lt;=Config!$B$5),Y86,"")</f>
        <v/>
      </c>
      <c r="BN86" s="23" t="n">
        <f aca="false">IF(CD86=1,IF(COUNTIFS($AZ$2:$AZ$201,AZ86,$CD$2:$CD$201,1,$H$2:$H$201,"&lt;"&amp;H86)+COUNTIFS($AZ$2:$AZ$201,AZ86,$CD$2:$CD$201,1,$H$2:$H$201,H86,$BA$2:$BA$201,"&lt;"&amp;BA86)=0,1,0),0)</f>
        <v>0</v>
      </c>
      <c r="BO86" s="23" t="n">
        <f aca="false">IF(AND(BB86=1,ISNUMBER(M86)),1,0)</f>
        <v>0</v>
      </c>
      <c r="BP86" s="23" t="n">
        <f aca="false">IF(BO86=1,IF(COUNTIFS($AZ$2:$AZ$201,AZ86,$BO$2:$BO$201,1,$H$2:$H$201,"&lt;"&amp;H86)+COUNTIFS($AZ$2:$AZ$201,AZ86,$BO$2:$BO$201,1,$H$2:$H$201,H86,$BA$2:$BA$201,"&lt;"&amp;BA86)=0,1,0),0)</f>
        <v>0</v>
      </c>
      <c r="BQ86" s="23" t="str">
        <f aca="false">IF(AND(BP86=1,INT(N(H86))&lt;=Config!$B$5),M86,"")</f>
        <v/>
      </c>
      <c r="BR86" s="23" t="n">
        <f aca="false">IF(AND(BB86=1,OR(TRIM(X86)&lt;&gt;"",ISNUMBER(Y86))),1,0)</f>
        <v>0</v>
      </c>
      <c r="BS86" s="23" t="n">
        <f aca="false">IF(BR86=1,IF(COUNTIFS($AZ$2:$AZ$201,AZ86,$BR$2:$BR$201,1,$H$2:$H$201,"&lt;"&amp;H86)+COUNTIFS($AZ$2:$AZ$201,AZ86,$BR$2:$BR$201,1,$H$2:$H$201,H86,$BA$2:$BA$201,"&lt;"&amp;BA86)=0,1,0),0)</f>
        <v>0</v>
      </c>
      <c r="BT86" s="23" t="str">
        <f aca="false">IF(BS86=1,AZ86,"")</f>
        <v/>
      </c>
      <c r="BU86" s="23" t="n">
        <f aca="false">IF(AND(BB86=1,W86="Y",TRIM(X86)=""),1,0)</f>
        <v>0</v>
      </c>
      <c r="BV86" s="23" t="str">
        <f aca="false">IF(BB86=1,AN86&amp;"","")</f>
        <v/>
      </c>
      <c r="BW86" s="23" t="str">
        <f aca="false">IF(BB86=1,AO86&amp;"","")</f>
        <v/>
      </c>
      <c r="BX86" s="23" t="str">
        <f aca="false">IF(BB86=1,AP86&amp;"","")</f>
        <v/>
      </c>
      <c r="BY86" s="23" t="str">
        <f aca="false">IF(AND(BB86=1,ISNUMBER(AV86),INT(N(H86))&lt;=Config!$B$5),AV86,"")</f>
        <v/>
      </c>
      <c r="BZ86" s="23" t="str">
        <f aca="false">IF(BB86=1,IF(COUNTIFS($A$2:$A$201,$A86,$DC$2:$DC$201,1,$AR$2:$AR$201,"Y")&gt;0,"Y","N"),"")</f>
        <v/>
      </c>
      <c r="CA86" s="23" t="n">
        <f aca="false">IF(AND(BB86=1,AR86="maybe"),1,0)</f>
        <v>0</v>
      </c>
      <c r="CB86" s="23" t="n">
        <f aca="false">IF(CA86=1,IF(COUNTIFS($AZ$2:$AZ$201,AZ86,$CA$2:$CA$201,1,$H$2:$H$201,"&lt;"&amp;H86)+COUNTIFS($AZ$2:$AZ$201,AZ86,$CA$2:$CA$201,1,$H$2:$H$201,H86,$BA$2:$BA$201,"&lt;"&amp;BA86)=0,1,0),0)</f>
        <v>0</v>
      </c>
      <c r="CC86" s="23" t="n">
        <f aca="false">IF(AND(BB86=1,AR86="Y"),IF(COUNTIFS($AZ$2:$AZ$201,AZ86,$AR$2:$AR$201,"Y",$BB$2:$BB$201,1,$H$2:$H$201,"&lt;"&amp;H86)+COUNTIFS($AZ$2:$AZ$201,AZ86,$AR$2:$AR$201,"Y",$BB$2:$BB$201,1,$H$2:$H$201,H86,$BA$2:$BA$201,"&lt;"&amp;BA86)=0,1,0),0)</f>
        <v>0</v>
      </c>
      <c r="CD86" s="23" t="n">
        <f aca="false">IF(AND(BH86=1,N(Y86)&gt;=Config!$B$15),1,0)</f>
        <v>0</v>
      </c>
      <c r="CE86" s="23" t="n">
        <f aca="false">IF(AND(BB86=1,AT86="Y"),1,0)</f>
        <v>0</v>
      </c>
      <c r="CF86" s="23" t="n">
        <f aca="false">IF(CE86=1,IF(COUNTIFS($AZ$2:$AZ$201,AZ86,$CE$2:$CE$201,1,$H$2:$H$201,"&lt;"&amp;H86)+COUNTIFS($AZ$2:$AZ$201,AZ86,$CE$2:$CE$201,1,$H$2:$H$201,H86,$BA$2:$BA$201,"&lt;"&amp;BA86)=0,1,0),0)</f>
        <v>0</v>
      </c>
      <c r="CG86" s="23" t="n">
        <f aca="false">IF(AND(BB86=1,G86="warm-intro"),1,0)</f>
        <v>0</v>
      </c>
      <c r="CH86" s="23" t="n">
        <f aca="false">IF(CG86=1,IF(COUNTIFS($AZ$2:$AZ$201,AZ86,$CG$2:$CG$201,1,$H$2:$H$201,"&lt;"&amp;H86)+COUNTIFS($AZ$2:$AZ$201,AZ86,$CG$2:$CG$201,1,$H$2:$H$201,H86,$BA$2:$BA$201,"&lt;"&amp;BA86)=0,1,0),0)</f>
        <v>0</v>
      </c>
      <c r="CI86" s="23" t="n">
        <f aca="false">IF(AND(BB86=1,Q86="Y"),1,0)</f>
        <v>0</v>
      </c>
      <c r="CJ86" s="23" t="n">
        <f aca="false">IF(CI86=1,IF(COUNTIFS($AZ$2:$AZ$201,AZ86,$CI$2:$CI$201,1,$H$2:$H$201,"&lt;"&amp;H86)+COUNTIFS($AZ$2:$AZ$201,AZ86,$CI$2:$CI$201,1,$H$2:$H$201,H86,$BA$2:$BA$201,"&lt;"&amp;BA86)=0,1,0),0)</f>
        <v>0</v>
      </c>
      <c r="CK86" s="23" t="n">
        <f aca="false">IF(AND(BB86=1,AF86="Y"),1,0)</f>
        <v>0</v>
      </c>
      <c r="CL86" s="23" t="n">
        <f aca="false">IF(CK86=1,IF(COUNTIFS($AZ$2:$AZ$201,AZ86,$CK$2:$CK$201,1,$H$2:$H$201,"&lt;"&amp;H86)+COUNTIFS($AZ$2:$AZ$201,AZ86,$CK$2:$CK$201,1,$H$2:$H$201,H86,$BA$2:$BA$201,"&lt;"&amp;BA86)=0,1,0),0)</f>
        <v>0</v>
      </c>
      <c r="CM86" s="23" t="n">
        <f aca="false">IF(AND(BB86=1,U86="Y"),1,0)</f>
        <v>0</v>
      </c>
      <c r="CN86" s="23" t="n">
        <f aca="false">IF(CM86=1,IF(COUNTIFS($AZ$2:$AZ$201,AZ86,$CM$2:$CM$201,1,$H$2:$H$201,"&lt;"&amp;H86)+COUNTIFS($AZ$2:$AZ$201,AZ86,$CM$2:$CM$201,1,$H$2:$H$201,H86,$BA$2:$BA$201,"&lt;"&amp;BA86)=0,1,0),0)</f>
        <v>0</v>
      </c>
      <c r="CO86" s="23" t="n">
        <f aca="false">IF(AND(BB86=1,L86="Y"),1,0)</f>
        <v>0</v>
      </c>
      <c r="CP86" s="23" t="n">
        <f aca="false">IF(CO86=1,IF(COUNTIFS($AZ$2:$AZ$201,AZ86,$CO$2:$CO$201,1,$H$2:$H$201,"&lt;"&amp;H86)+COUNTIFS($AZ$2:$AZ$201,AZ86,$CO$2:$CO$201,1,$H$2:$H$201,H86,$BA$2:$BA$201,"&lt;"&amp;BA86)=0,1,0),0)</f>
        <v>0</v>
      </c>
      <c r="CQ86" s="23" t="n">
        <f aca="false">IF(AND(BB86=1,ISNUMBER(O86)),1,0)</f>
        <v>0</v>
      </c>
      <c r="CR86" s="23" t="n">
        <f aca="false">IF(CQ86=1,IF(COUNTIFS($AZ$2:$AZ$201,AZ86,$CQ$2:$CQ$201,1,$H$2:$H$201,"&lt;"&amp;H86)+COUNTIFS($AZ$2:$AZ$201,AZ86,$CQ$2:$CQ$201,1,$H$2:$H$201,H86,$BA$2:$BA$201,"&lt;"&amp;BA86)=0,1,0),0)</f>
        <v>0</v>
      </c>
      <c r="CS86" s="23" t="str">
        <f aca="false">IF(AND(CR86=1,INT(N(H86))&lt;=Config!$B$5),O86,"")</f>
        <v/>
      </c>
      <c r="CT86" s="23" t="str">
        <f aca="false">IF(AND(BB86=1,INT(N(H86))&lt;=Config!$B$5),AG86&amp;"","")</f>
        <v/>
      </c>
      <c r="CU86" s="23" t="n">
        <f aca="false">IF(AND(BB86=1,AU86="Y"),1,0)</f>
        <v>0</v>
      </c>
      <c r="CV86" s="23" t="n">
        <f aca="false">IF(CU86=1,IF(COUNTIFS($AZ$2:$AZ$201,AZ86,$CU$2:$CU$201,1,$H$2:$H$201,"&lt;"&amp;H86)+COUNTIFS($AZ$2:$AZ$201,AZ86,$CU$2:$CU$201,1,$H$2:$H$201,H86,$BA$2:$BA$201,"&lt;"&amp;BA86)=0,1,0),0)</f>
        <v>0</v>
      </c>
      <c r="CW86" s="23" t="str">
        <f aca="false">IF(BB86=1,IFERROR(MATCH($A86,INDEX(Clay_Offices!$A$2:$FZ$601,0,Sync!$C$5),0),""),"")</f>
        <v/>
      </c>
      <c r="CX86" s="23" t="str">
        <f aca="false">IF(CW86="","",IFERROR(INDEX(Clay_Offices!$A$2:$FZ$601,CW86,Sync!$C$7)&amp;"",""))</f>
        <v/>
      </c>
      <c r="CY86" s="23" t="str">
        <f aca="false">IF(CX86="","",IFERROR(INDEX(Lists!$K$2:$K$15,MATCH(CX86,Lists!$J$2:$J$15,0)),""))</f>
        <v/>
      </c>
      <c r="CZ86" s="23" t="str">
        <f aca="false">IF(CW86="","",IFERROR(INDEX(Clay_Offices!$A$2:$FZ$601,CW86,Sync!$C$17)&amp;"",""))</f>
        <v/>
      </c>
      <c r="DA86" s="35" t="str">
        <f aca="false">IF(CW86="","",IFERROR(N(INDEX(Clay_Offices!$A$2:$FZ$601,CW86,Sync!$C$16)),0))</f>
        <v/>
      </c>
      <c r="DB86" s="23" t="n">
        <f aca="false">IF(AND(BB86=1,OR(AR86="Y",AR86="N",AR86="maybe")),1,0)</f>
        <v>0</v>
      </c>
      <c r="DC86" s="23" t="n">
        <f aca="false">IF(AND(DB86=1),IF(COUNTIFS($A$2:$A$201,$A86,$DB$2:$DB$201,1,$H$2:$H$201,"&gt;"&amp;H86)+COUNTIFS($A$2:$A$201,$A86,$DB$2:$DB$201,1,$H$2:$H$201,H86,$BA$2:$BA$201,"&gt;"&amp;BA86)=0,1,0),0)</f>
        <v>0</v>
      </c>
      <c r="DD86" s="23" t="n">
        <f aca="false">IF(AND(DB86=1,INT(N(H86))&lt;=Config!$B$6),IF(COUNTIFS($AZ$2:$AZ$201,AZ86,$DB$2:$DB$201,1,$H$2:$H$201,"&gt;"&amp;H86,$H$2:$H$201,"&lt;"&amp;(Config!$B$6+1))+COUNTIFS($AZ$2:$AZ$201,AZ86,$DB$2:$DB$201,1,$H$2:$H$201,H86,$BA$2:$BA$201,"&gt;"&amp;BA86)=0,1,0),0)</f>
        <v>0</v>
      </c>
      <c r="DE86" s="23" t="n">
        <f aca="false">IF(AND(DB86=1,INT(N(H86))&lt;=Config!$B$7),IF(COUNTIFS($AZ$2:$AZ$201,AZ86,$DB$2:$DB$201,1,$H$2:$H$201,"&gt;"&amp;H86,$H$2:$H$201,"&lt;"&amp;(Config!$B$7+1))+COUNTIFS($AZ$2:$AZ$201,AZ86,$DB$2:$DB$201,1,$H$2:$H$201,H86,$BA$2:$BA$201,"&gt;"&amp;BA86)=0,1,0),0)</f>
        <v>0</v>
      </c>
      <c r="DF86" s="23" t="n">
        <f aca="false">IF(AND(DB86=1,INT(N(H86))&lt;=Config!$B$8),IF(COUNTIFS($AZ$2:$AZ$201,AZ86,$DB$2:$DB$201,1,$H$2:$H$201,"&gt;"&amp;H86,$H$2:$H$201,"&lt;"&amp;(Config!$B$8+1))+COUNTIFS($AZ$2:$AZ$201,AZ86,$DB$2:$DB$201,1,$H$2:$H$201,H86,$BA$2:$BA$201,"&gt;"&amp;BA86)=0,1,0),0)</f>
        <v>0</v>
      </c>
      <c r="DG86" s="23" t="n">
        <f aca="false">IF(AND(DB86=1,INT(N(H86))&lt;=Config!$B$5),IF(COUNTIFS($AZ$2:$AZ$201,AZ86,$DB$2:$DB$201,1,$H$2:$H$201,"&gt;"&amp;H86,$H$2:$H$201,"&lt;"&amp;(Config!$B$5+1))+COUNTIFS($AZ$2:$AZ$201,AZ86,$DB$2:$DB$201,1,$H$2:$H$201,H86,$BA$2:$BA$201,"&gt;"&amp;BA86)=0,1,0),0)</f>
        <v>0</v>
      </c>
      <c r="DH86" s="23" t="n">
        <f aca="false">IF(BB86=1,IF(COUNTIFS($AZ$2:$AZ$201,AZ86,$DD$2:$DD$201,1,$AR$2:$AR$201,"Y")&gt;0,1,0),0)</f>
        <v>0</v>
      </c>
      <c r="DI86" s="23" t="n">
        <f aca="false">IF(BB86=1,IF(COUNTIFS($AZ$2:$AZ$201,AZ86,$DE$2:$DE$201,1,$AR$2:$AR$201,"Y")&gt;0,1,0),0)</f>
        <v>0</v>
      </c>
      <c r="DJ86" s="23" t="n">
        <f aca="false">IF(BB86=1,IF(COUNTIFS($AZ$2:$AZ$201,AZ86,$DF$2:$DF$201,1,$AR$2:$AR$201,"Y")&gt;0,1,0),0)</f>
        <v>0</v>
      </c>
      <c r="DK86" s="23" t="n">
        <f aca="false">IF(BB86=1,IF(COUNTIFS($AZ$2:$AZ$201,AZ86,$DG$2:$DG$201,1,$AR$2:$AR$201,"Y")&gt;0,1,0),0)</f>
        <v>0</v>
      </c>
      <c r="DL86" s="23" t="n">
        <f aca="false">IF(AND(BF86=1,INT(N(H86))&lt;=Config!$B$6,DH86=1,EI86=0),1,0)</f>
        <v>0</v>
      </c>
      <c r="DM86" s="23" t="n">
        <f aca="false">IF(AND(BF86=1,INT(N(H86))&lt;=Config!$B$7,DI86=1,EI86=0),1,0)</f>
        <v>0</v>
      </c>
      <c r="DN86" s="23" t="n">
        <f aca="false">IF(AND(BF86=1,INT(N(H86))&lt;=Config!$B$8,DJ86=1,EI86=0),1,0)</f>
        <v>0</v>
      </c>
      <c r="DO86" s="23" t="n">
        <f aca="false">IF(AND(BF86=1,INT(N(H86))&lt;=Config!$B$5,DK86=1,EI86=0),1,0)</f>
        <v>0</v>
      </c>
      <c r="DP86" s="23" t="n">
        <f aca="false">IF(AND(CC86=1,INT(N(H86))&lt;=Config!$B$6,DH86=1,EI86=0),1,0)</f>
        <v>0</v>
      </c>
      <c r="DQ86" s="23" t="n">
        <f aca="false">IF(AND(CC86=1,INT(N(H86))&lt;=Config!$B$7,DI86=1,EI86=0),1,0)</f>
        <v>0</v>
      </c>
      <c r="DR86" s="23" t="n">
        <f aca="false">IF(AND(CC86=1,INT(N(H86))&lt;=Config!$B$8,DJ86=1,EI86=0),1,0)</f>
        <v>0</v>
      </c>
      <c r="DS86" s="23" t="n">
        <f aca="false">IF(AND(CC86=1,INT(N(H86))&lt;=Config!$B$5,DK86=1,EI86=0),1,0)</f>
        <v>0</v>
      </c>
      <c r="DT86" s="23" t="n">
        <f aca="false">IF(AND(CC86=1,INT(N(H86))&lt;=Config!$B$6,DH86=0),1,0)</f>
        <v>0</v>
      </c>
      <c r="DU86" s="23" t="n">
        <f aca="false">IF(AND(CC86=1,INT(N(H86))&lt;=Config!$B$7,DI86=0),1,0)</f>
        <v>0</v>
      </c>
      <c r="DV86" s="23" t="n">
        <f aca="false">IF(AND(CC86=1,INT(N(H86))&lt;=Config!$B$8,DJ86=0),1,0)</f>
        <v>0</v>
      </c>
      <c r="DW86" s="23" t="n">
        <f aca="false">IF(AND(CC86=1,INT(N(H86))&lt;=Config!$B$5,DK86=0),1,0)</f>
        <v>0</v>
      </c>
      <c r="DX86" s="23" t="n">
        <f aca="false">IF(TRIM($A86)="",0,ISTEXT(M86)+ISTEXT(O86)+ISTEXT(Y86)+ISTEXT(Z86)+ISTEXT(AA86)+ISTEXT(AV86))</f>
        <v>0</v>
      </c>
      <c r="DY86" s="23" t="n">
        <f aca="false">IF(BB86=1,IF(H86&lt;&gt;INT(H86),1,0),0)</f>
        <v>0</v>
      </c>
      <c r="DZ86" s="23" t="str">
        <f aca="false">IF(TRIM($A86)="","",IF(TRIM(B86)="",SUBSTITUTE(SUBSTITUTE(SUBSTITUTE(SUBSTITUTE(SUBSTITUTE(SUBSTITUTE(LOWER(TRIM($A86)),"~",""),"*",""),"?",""),"&lt;",""),"&gt;",""),"=",""),SUBSTITUTE(SUBSTITUTE(SUBSTITUTE(SUBSTITUTE(SUBSTITUTE(SUBSTITUTE(LOWER(TRIM(B86)),"~",""),"*",""),"?",""),"&lt;",""),"&gt;",""),"=","")))</f>
        <v/>
      </c>
      <c r="EA86" s="23" t="str">
        <f aca="false">IF(CW86="","",IFERROR(IF(LEFT(LOWER(TRIM(INDEX(Clay_Offices!$A$2:$FZ$601,CW86,Sync!$C$19)&amp;"")),4)="grp-",SUBSTITUTE(SUBSTITUTE(SUBSTITUTE(SUBSTITUTE(SUBSTITUTE(SUBSTITUTE(LOWER(TRIM(INDEX(Clay_Offices!$A$2:$FZ$601,CW86,Sync!$C$19)&amp;"")),"~",""),"*",""),"?",""),"&lt;",""),"&gt;",""),"=",""),""),""))</f>
        <v/>
      </c>
      <c r="EB86" s="23" t="str">
        <f aca="false">IF(EA86&lt;&gt;"",DZ86,"")</f>
        <v/>
      </c>
      <c r="EC86" s="23" t="str">
        <f aca="false">IF(BC86=1,AZ86,"")</f>
        <v/>
      </c>
      <c r="ED86" s="23" t="str">
        <f aca="false">IF(TRIM($A86)="","",IFERROR(INDEX($A$2:$A$201,MATCH(AZ86,$EC$2:$EC$201,0))&amp;"",$A86&amp;""))</f>
        <v/>
      </c>
      <c r="EE86" s="23" t="n">
        <f aca="false">IF(BB86=1,IF(COUNTIFS($A$2:$A$201,$A86,$BB$2:$BB$201,1,$H$2:$H$201,"&lt;"&amp;H86)+COUNTIFS($A$2:$A$201,$A86,$BB$2:$BB$201,1,$H$2:$H$201,H86,$BA$2:$BA$201,"&lt;"&amp;BA86)=0,1,0),0)</f>
        <v>0</v>
      </c>
      <c r="EF86" s="23" t="n">
        <f aca="false">IF(BC86=1,IF(COUNTIFS($AZ$2:$AZ$201,AZ86,$EE$2:$EE$201,1)&gt;1,1,0),0)</f>
        <v>0</v>
      </c>
      <c r="EG86" s="23" t="n">
        <f aca="false">IF(AND(CQ86=1),IF(COUNTIFS($AZ$2:$AZ$201,AZ86,$CQ$2:$CQ$201,1,$H$2:$H$201,"&gt;"&amp;H86)+COUNTIFS($AZ$2:$AZ$201,AZ86,$CQ$2:$CQ$201,1,$H$2:$H$201,H86,$BA$2:$BA$201,"&gt;"&amp;BA86)=0,1,0),0)</f>
        <v>0</v>
      </c>
      <c r="EH86" s="23" t="str">
        <f aca="false">IF(BB86=1,IF(COUNTIFS($AZ$2:$AZ$201,AZ86,$EG$2:$EG$201,1)=0,"",SUMIFS($O$2:$O$201,$AZ$2:$AZ$201,AZ86,$EG$2:$EG$201,1)),"")</f>
        <v/>
      </c>
      <c r="EI86" s="23" t="n">
        <f aca="false">IF(AND(ISNUMBER(EH86),OR(N(EH86)&lt;Config!$B$31,N(EH86)&gt;Config!$B$33)),1,0)</f>
        <v>0</v>
      </c>
      <c r="EJ86" s="23" t="n">
        <f aca="false">IF(AND(ISNUMBER(EH86),N(EH86)&gt;=Config!$B$31,N(EH86)&lt;Config!$B$32),1,0)</f>
        <v>0</v>
      </c>
      <c r="EK86" s="23" t="n">
        <f aca="false">IF(AND(BF86=1,INT(N(H86))&lt;=Config!$B$6,DH86=1,EI86=1),1,0)</f>
        <v>0</v>
      </c>
      <c r="EL86" s="23" t="n">
        <f aca="false">IF(AND(BF86=1,INT(N(H86))&lt;=Config!$B$7,DI86=1,EI86=1),1,0)</f>
        <v>0</v>
      </c>
      <c r="EM86" s="23" t="n">
        <f aca="false">IF(AND(BF86=1,INT(N(H86))&lt;=Config!$B$8,DJ86=1,EI86=1),1,0)</f>
        <v>0</v>
      </c>
      <c r="EN86" s="23" t="n">
        <f aca="false">IF(AND(BF86=1,INT(N(H86))&lt;=Config!$B$5,DK86=1,EI86=1),1,0)</f>
        <v>0</v>
      </c>
      <c r="EO86" s="23" t="n">
        <f aca="false">IF(AND(DL86=1,EJ86=1),1,0)</f>
        <v>0</v>
      </c>
      <c r="EP86" s="23" t="n">
        <f aca="false">IF(AND(DM86=1,EJ86=1),1,0)</f>
        <v>0</v>
      </c>
      <c r="EQ86" s="23" t="n">
        <f aca="false">IF(AND(DN86=1,EJ86=1),1,0)</f>
        <v>0</v>
      </c>
      <c r="ER86" s="23" t="n">
        <f aca="false">IF(AND(DO86=1,EJ86=1),1,0)</f>
        <v>0</v>
      </c>
    </row>
    <row r="87" customFormat="false" ht="15" hidden="false" customHeight="false" outlineLevel="0" collapsed="false">
      <c r="G87" s="32"/>
      <c r="H87" s="33"/>
      <c r="I87" s="32"/>
      <c r="L87" s="32"/>
      <c r="Q87" s="32"/>
      <c r="U87" s="32"/>
      <c r="W87" s="32"/>
      <c r="AC87" s="32"/>
      <c r="AF87" s="32"/>
      <c r="AI87" s="32"/>
      <c r="AJ87" s="32"/>
      <c r="AN87" s="32"/>
      <c r="AR87" s="32"/>
      <c r="AT87" s="32"/>
      <c r="AU87" s="32"/>
      <c r="AW87" s="32"/>
      <c r="AY87" s="34" t="str">
        <f aca="false">IF(TRIM($A87)="","",IF(AND(LEFT($A87,6)="SAMPLE",Config!$B$19&lt;&gt;"Y"),"",IF(NOT(ISNUMBER(H87)),"call_date is blank or not a date",IF(Sync!$C$5="","Clay paste is empty or has no row_id column: paste the Clay export on Clay_Offices",IF(CW87="","row_id not found in the Clay paste: add the Clay row or fix the row_id",IF(AND(ISNUMBER(CY87),CY87&gt;=1,CY87&lt;=5),"Clay status is "&amp;CX87&amp;": set call_done or later",IF(AND(BD87=1,CZ87&lt;&gt;BZ87),"Clay yes_in_principle should be "&amp;BZ87,IF(AND(BD87=1,DA87&lt;&gt;H87),"Clay call_date should be "&amp;TEXT(H87,"yyyy-mm-dd"),""))))))))</f>
        <v/>
      </c>
      <c r="AZ87" s="23" t="str">
        <f aca="false">IF(TRIM($A87)="","",IF(TRIM(C87)&lt;&gt;"",SUBSTITUTE(SUBSTITUTE(SUBSTITUTE(SUBSTITUTE(SUBSTITUTE(SUBSTITUTE(LOWER(TRIM(C87)),"~",""),"*",""),"?",""),"&lt;",""),"&gt;",""),"=",""),IF(EA87&lt;&gt;"",EA87,IFERROR(INDEX($EA$2:$EA$201,MATCH(DZ87,$EB$2:$EB$201,0)),DZ87))))</f>
        <v/>
      </c>
      <c r="BA87" s="23" t="n">
        <f aca="false">ROW()</f>
        <v>87</v>
      </c>
      <c r="BB87" s="23" t="n">
        <f aca="false">IF(AND(TRIM($A87)&lt;&gt;"",ISNUMBER(H87)),IF(AND(LEFT($A87,6)="SAMPLE",Config!$B$19&lt;&gt;"Y"),0,1),0)</f>
        <v>0</v>
      </c>
      <c r="BC87" s="23" t="n">
        <f aca="false">IF(BB87=1,IF(COUNTIFS($AZ$2:$AZ$201,AZ87,$BB$2:$BB$201,1,$H$2:$H$201,"&lt;"&amp;H87)+COUNTIFS($AZ$2:$AZ$201,AZ87,$BB$2:$BB$201,1,$H$2:$H$201,H87,$BA$2:$BA$201,"&lt;"&amp;BA87)=0,1,0),0)</f>
        <v>0</v>
      </c>
      <c r="BD87" s="23" t="n">
        <f aca="false">IF(BB87=1,IF(COUNTIFS($A$2:$A$201,$A87,$BB$2:$BB$201,1,$H$2:$H$201,"&gt;"&amp;H87)+COUNTIFS($A$2:$A$201,$A87,$BB$2:$BB$201,1,$H$2:$H$201,H87,$BA$2:$BA$201,"&gt;"&amp;BA87)=0,1,0),0)</f>
        <v>0</v>
      </c>
      <c r="BE87" s="23" t="n">
        <f aca="false">IF(AND(BB87=1,AR87="Y",AC87="Y",TRIM(AH87)&lt;&gt;""),1,0)</f>
        <v>0</v>
      </c>
      <c r="BF87" s="23" t="n">
        <f aca="false">IF(BE87=1,IF(COUNTIFS($AZ$2:$AZ$201,AZ87,$BE$2:$BE$201,1,$H$2:$H$201,"&lt;"&amp;H87)+COUNTIFS($AZ$2:$AZ$201,AZ87,$BE$2:$BE$201,1,$H$2:$H$201,H87,$BA$2:$BA$201,"&lt;"&amp;BA87)=0,1,0),0)</f>
        <v>0</v>
      </c>
      <c r="BG87" s="23" t="n">
        <f aca="false">IF(AND(BB87=1,AR87="Y",BE87=0),1,0)</f>
        <v>0</v>
      </c>
      <c r="BH87" s="23" t="n">
        <f aca="false">IF(AND(BB87=1,ISNUMBER(Y87)),1,0)</f>
        <v>0</v>
      </c>
      <c r="BI87" s="23" t="n">
        <f aca="false">IF(BH87=1,IF(COUNTIFS($AZ$2:$AZ$201,AZ87,$BH$2:$BH$201,1,$H$2:$H$201,"&lt;"&amp;H87)+COUNTIFS($AZ$2:$AZ$201,AZ87,$BH$2:$BH$201,1,$H$2:$H$201,H87,$BA$2:$BA$201,"&lt;"&amp;BA87)=0,1,0),0)</f>
        <v>0</v>
      </c>
      <c r="BJ87" s="23" t="str">
        <f aca="false">IF(AND(BI87=1,INT(N(H87))&lt;=Config!$B$6),Y87,"")</f>
        <v/>
      </c>
      <c r="BK87" s="23" t="str">
        <f aca="false">IF(AND(BI87=1,INT(N(H87))&lt;=Config!$B$7),Y87,"")</f>
        <v/>
      </c>
      <c r="BL87" s="23" t="str">
        <f aca="false">IF(AND(BI87=1,INT(N(H87))&lt;=Config!$B$8),Y87,"")</f>
        <v/>
      </c>
      <c r="BM87" s="23" t="str">
        <f aca="false">IF(AND(BI87=1,INT(N(H87))&lt;=Config!$B$5),Y87,"")</f>
        <v/>
      </c>
      <c r="BN87" s="23" t="n">
        <f aca="false">IF(CD87=1,IF(COUNTIFS($AZ$2:$AZ$201,AZ87,$CD$2:$CD$201,1,$H$2:$H$201,"&lt;"&amp;H87)+COUNTIFS($AZ$2:$AZ$201,AZ87,$CD$2:$CD$201,1,$H$2:$H$201,H87,$BA$2:$BA$201,"&lt;"&amp;BA87)=0,1,0),0)</f>
        <v>0</v>
      </c>
      <c r="BO87" s="23" t="n">
        <f aca="false">IF(AND(BB87=1,ISNUMBER(M87)),1,0)</f>
        <v>0</v>
      </c>
      <c r="BP87" s="23" t="n">
        <f aca="false">IF(BO87=1,IF(COUNTIFS($AZ$2:$AZ$201,AZ87,$BO$2:$BO$201,1,$H$2:$H$201,"&lt;"&amp;H87)+COUNTIFS($AZ$2:$AZ$201,AZ87,$BO$2:$BO$201,1,$H$2:$H$201,H87,$BA$2:$BA$201,"&lt;"&amp;BA87)=0,1,0),0)</f>
        <v>0</v>
      </c>
      <c r="BQ87" s="23" t="str">
        <f aca="false">IF(AND(BP87=1,INT(N(H87))&lt;=Config!$B$5),M87,"")</f>
        <v/>
      </c>
      <c r="BR87" s="23" t="n">
        <f aca="false">IF(AND(BB87=1,OR(TRIM(X87)&lt;&gt;"",ISNUMBER(Y87))),1,0)</f>
        <v>0</v>
      </c>
      <c r="BS87" s="23" t="n">
        <f aca="false">IF(BR87=1,IF(COUNTIFS($AZ$2:$AZ$201,AZ87,$BR$2:$BR$201,1,$H$2:$H$201,"&lt;"&amp;H87)+COUNTIFS($AZ$2:$AZ$201,AZ87,$BR$2:$BR$201,1,$H$2:$H$201,H87,$BA$2:$BA$201,"&lt;"&amp;BA87)=0,1,0),0)</f>
        <v>0</v>
      </c>
      <c r="BT87" s="23" t="str">
        <f aca="false">IF(BS87=1,AZ87,"")</f>
        <v/>
      </c>
      <c r="BU87" s="23" t="n">
        <f aca="false">IF(AND(BB87=1,W87="Y",TRIM(X87)=""),1,0)</f>
        <v>0</v>
      </c>
      <c r="BV87" s="23" t="str">
        <f aca="false">IF(BB87=1,AN87&amp;"","")</f>
        <v/>
      </c>
      <c r="BW87" s="23" t="str">
        <f aca="false">IF(BB87=1,AO87&amp;"","")</f>
        <v/>
      </c>
      <c r="BX87" s="23" t="str">
        <f aca="false">IF(BB87=1,AP87&amp;"","")</f>
        <v/>
      </c>
      <c r="BY87" s="23" t="str">
        <f aca="false">IF(AND(BB87=1,ISNUMBER(AV87),INT(N(H87))&lt;=Config!$B$5),AV87,"")</f>
        <v/>
      </c>
      <c r="BZ87" s="23" t="str">
        <f aca="false">IF(BB87=1,IF(COUNTIFS($A$2:$A$201,$A87,$DC$2:$DC$201,1,$AR$2:$AR$201,"Y")&gt;0,"Y","N"),"")</f>
        <v/>
      </c>
      <c r="CA87" s="23" t="n">
        <f aca="false">IF(AND(BB87=1,AR87="maybe"),1,0)</f>
        <v>0</v>
      </c>
      <c r="CB87" s="23" t="n">
        <f aca="false">IF(CA87=1,IF(COUNTIFS($AZ$2:$AZ$201,AZ87,$CA$2:$CA$201,1,$H$2:$H$201,"&lt;"&amp;H87)+COUNTIFS($AZ$2:$AZ$201,AZ87,$CA$2:$CA$201,1,$H$2:$H$201,H87,$BA$2:$BA$201,"&lt;"&amp;BA87)=0,1,0),0)</f>
        <v>0</v>
      </c>
      <c r="CC87" s="23" t="n">
        <f aca="false">IF(AND(BB87=1,AR87="Y"),IF(COUNTIFS($AZ$2:$AZ$201,AZ87,$AR$2:$AR$201,"Y",$BB$2:$BB$201,1,$H$2:$H$201,"&lt;"&amp;H87)+COUNTIFS($AZ$2:$AZ$201,AZ87,$AR$2:$AR$201,"Y",$BB$2:$BB$201,1,$H$2:$H$201,H87,$BA$2:$BA$201,"&lt;"&amp;BA87)=0,1,0),0)</f>
        <v>0</v>
      </c>
      <c r="CD87" s="23" t="n">
        <f aca="false">IF(AND(BH87=1,N(Y87)&gt;=Config!$B$15),1,0)</f>
        <v>0</v>
      </c>
      <c r="CE87" s="23" t="n">
        <f aca="false">IF(AND(BB87=1,AT87="Y"),1,0)</f>
        <v>0</v>
      </c>
      <c r="CF87" s="23" t="n">
        <f aca="false">IF(CE87=1,IF(COUNTIFS($AZ$2:$AZ$201,AZ87,$CE$2:$CE$201,1,$H$2:$H$201,"&lt;"&amp;H87)+COUNTIFS($AZ$2:$AZ$201,AZ87,$CE$2:$CE$201,1,$H$2:$H$201,H87,$BA$2:$BA$201,"&lt;"&amp;BA87)=0,1,0),0)</f>
        <v>0</v>
      </c>
      <c r="CG87" s="23" t="n">
        <f aca="false">IF(AND(BB87=1,G87="warm-intro"),1,0)</f>
        <v>0</v>
      </c>
      <c r="CH87" s="23" t="n">
        <f aca="false">IF(CG87=1,IF(COUNTIFS($AZ$2:$AZ$201,AZ87,$CG$2:$CG$201,1,$H$2:$H$201,"&lt;"&amp;H87)+COUNTIFS($AZ$2:$AZ$201,AZ87,$CG$2:$CG$201,1,$H$2:$H$201,H87,$BA$2:$BA$201,"&lt;"&amp;BA87)=0,1,0),0)</f>
        <v>0</v>
      </c>
      <c r="CI87" s="23" t="n">
        <f aca="false">IF(AND(BB87=1,Q87="Y"),1,0)</f>
        <v>0</v>
      </c>
      <c r="CJ87" s="23" t="n">
        <f aca="false">IF(CI87=1,IF(COUNTIFS($AZ$2:$AZ$201,AZ87,$CI$2:$CI$201,1,$H$2:$H$201,"&lt;"&amp;H87)+COUNTIFS($AZ$2:$AZ$201,AZ87,$CI$2:$CI$201,1,$H$2:$H$201,H87,$BA$2:$BA$201,"&lt;"&amp;BA87)=0,1,0),0)</f>
        <v>0</v>
      </c>
      <c r="CK87" s="23" t="n">
        <f aca="false">IF(AND(BB87=1,AF87="Y"),1,0)</f>
        <v>0</v>
      </c>
      <c r="CL87" s="23" t="n">
        <f aca="false">IF(CK87=1,IF(COUNTIFS($AZ$2:$AZ$201,AZ87,$CK$2:$CK$201,1,$H$2:$H$201,"&lt;"&amp;H87)+COUNTIFS($AZ$2:$AZ$201,AZ87,$CK$2:$CK$201,1,$H$2:$H$201,H87,$BA$2:$BA$201,"&lt;"&amp;BA87)=0,1,0),0)</f>
        <v>0</v>
      </c>
      <c r="CM87" s="23" t="n">
        <f aca="false">IF(AND(BB87=1,U87="Y"),1,0)</f>
        <v>0</v>
      </c>
      <c r="CN87" s="23" t="n">
        <f aca="false">IF(CM87=1,IF(COUNTIFS($AZ$2:$AZ$201,AZ87,$CM$2:$CM$201,1,$H$2:$H$201,"&lt;"&amp;H87)+COUNTIFS($AZ$2:$AZ$201,AZ87,$CM$2:$CM$201,1,$H$2:$H$201,H87,$BA$2:$BA$201,"&lt;"&amp;BA87)=0,1,0),0)</f>
        <v>0</v>
      </c>
      <c r="CO87" s="23" t="n">
        <f aca="false">IF(AND(BB87=1,L87="Y"),1,0)</f>
        <v>0</v>
      </c>
      <c r="CP87" s="23" t="n">
        <f aca="false">IF(CO87=1,IF(COUNTIFS($AZ$2:$AZ$201,AZ87,$CO$2:$CO$201,1,$H$2:$H$201,"&lt;"&amp;H87)+COUNTIFS($AZ$2:$AZ$201,AZ87,$CO$2:$CO$201,1,$H$2:$H$201,H87,$BA$2:$BA$201,"&lt;"&amp;BA87)=0,1,0),0)</f>
        <v>0</v>
      </c>
      <c r="CQ87" s="23" t="n">
        <f aca="false">IF(AND(BB87=1,ISNUMBER(O87)),1,0)</f>
        <v>0</v>
      </c>
      <c r="CR87" s="23" t="n">
        <f aca="false">IF(CQ87=1,IF(COUNTIFS($AZ$2:$AZ$201,AZ87,$CQ$2:$CQ$201,1,$H$2:$H$201,"&lt;"&amp;H87)+COUNTIFS($AZ$2:$AZ$201,AZ87,$CQ$2:$CQ$201,1,$H$2:$H$201,H87,$BA$2:$BA$201,"&lt;"&amp;BA87)=0,1,0),0)</f>
        <v>0</v>
      </c>
      <c r="CS87" s="23" t="str">
        <f aca="false">IF(AND(CR87=1,INT(N(H87))&lt;=Config!$B$5),O87,"")</f>
        <v/>
      </c>
      <c r="CT87" s="23" t="str">
        <f aca="false">IF(AND(BB87=1,INT(N(H87))&lt;=Config!$B$5),AG87&amp;"","")</f>
        <v/>
      </c>
      <c r="CU87" s="23" t="n">
        <f aca="false">IF(AND(BB87=1,AU87="Y"),1,0)</f>
        <v>0</v>
      </c>
      <c r="CV87" s="23" t="n">
        <f aca="false">IF(CU87=1,IF(COUNTIFS($AZ$2:$AZ$201,AZ87,$CU$2:$CU$201,1,$H$2:$H$201,"&lt;"&amp;H87)+COUNTIFS($AZ$2:$AZ$201,AZ87,$CU$2:$CU$201,1,$H$2:$H$201,H87,$BA$2:$BA$201,"&lt;"&amp;BA87)=0,1,0),0)</f>
        <v>0</v>
      </c>
      <c r="CW87" s="23" t="str">
        <f aca="false">IF(BB87=1,IFERROR(MATCH($A87,INDEX(Clay_Offices!$A$2:$FZ$601,0,Sync!$C$5),0),""),"")</f>
        <v/>
      </c>
      <c r="CX87" s="23" t="str">
        <f aca="false">IF(CW87="","",IFERROR(INDEX(Clay_Offices!$A$2:$FZ$601,CW87,Sync!$C$7)&amp;"",""))</f>
        <v/>
      </c>
      <c r="CY87" s="23" t="str">
        <f aca="false">IF(CX87="","",IFERROR(INDEX(Lists!$K$2:$K$15,MATCH(CX87,Lists!$J$2:$J$15,0)),""))</f>
        <v/>
      </c>
      <c r="CZ87" s="23" t="str">
        <f aca="false">IF(CW87="","",IFERROR(INDEX(Clay_Offices!$A$2:$FZ$601,CW87,Sync!$C$17)&amp;"",""))</f>
        <v/>
      </c>
      <c r="DA87" s="35" t="str">
        <f aca="false">IF(CW87="","",IFERROR(N(INDEX(Clay_Offices!$A$2:$FZ$601,CW87,Sync!$C$16)),0))</f>
        <v/>
      </c>
      <c r="DB87" s="23" t="n">
        <f aca="false">IF(AND(BB87=1,OR(AR87="Y",AR87="N",AR87="maybe")),1,0)</f>
        <v>0</v>
      </c>
      <c r="DC87" s="23" t="n">
        <f aca="false">IF(AND(DB87=1),IF(COUNTIFS($A$2:$A$201,$A87,$DB$2:$DB$201,1,$H$2:$H$201,"&gt;"&amp;H87)+COUNTIFS($A$2:$A$201,$A87,$DB$2:$DB$201,1,$H$2:$H$201,H87,$BA$2:$BA$201,"&gt;"&amp;BA87)=0,1,0),0)</f>
        <v>0</v>
      </c>
      <c r="DD87" s="23" t="n">
        <f aca="false">IF(AND(DB87=1,INT(N(H87))&lt;=Config!$B$6),IF(COUNTIFS($AZ$2:$AZ$201,AZ87,$DB$2:$DB$201,1,$H$2:$H$201,"&gt;"&amp;H87,$H$2:$H$201,"&lt;"&amp;(Config!$B$6+1))+COUNTIFS($AZ$2:$AZ$201,AZ87,$DB$2:$DB$201,1,$H$2:$H$201,H87,$BA$2:$BA$201,"&gt;"&amp;BA87)=0,1,0),0)</f>
        <v>0</v>
      </c>
      <c r="DE87" s="23" t="n">
        <f aca="false">IF(AND(DB87=1,INT(N(H87))&lt;=Config!$B$7),IF(COUNTIFS($AZ$2:$AZ$201,AZ87,$DB$2:$DB$201,1,$H$2:$H$201,"&gt;"&amp;H87,$H$2:$H$201,"&lt;"&amp;(Config!$B$7+1))+COUNTIFS($AZ$2:$AZ$201,AZ87,$DB$2:$DB$201,1,$H$2:$H$201,H87,$BA$2:$BA$201,"&gt;"&amp;BA87)=0,1,0),0)</f>
        <v>0</v>
      </c>
      <c r="DF87" s="23" t="n">
        <f aca="false">IF(AND(DB87=1,INT(N(H87))&lt;=Config!$B$8),IF(COUNTIFS($AZ$2:$AZ$201,AZ87,$DB$2:$DB$201,1,$H$2:$H$201,"&gt;"&amp;H87,$H$2:$H$201,"&lt;"&amp;(Config!$B$8+1))+COUNTIFS($AZ$2:$AZ$201,AZ87,$DB$2:$DB$201,1,$H$2:$H$201,H87,$BA$2:$BA$201,"&gt;"&amp;BA87)=0,1,0),0)</f>
        <v>0</v>
      </c>
      <c r="DG87" s="23" t="n">
        <f aca="false">IF(AND(DB87=1,INT(N(H87))&lt;=Config!$B$5),IF(COUNTIFS($AZ$2:$AZ$201,AZ87,$DB$2:$DB$201,1,$H$2:$H$201,"&gt;"&amp;H87,$H$2:$H$201,"&lt;"&amp;(Config!$B$5+1))+COUNTIFS($AZ$2:$AZ$201,AZ87,$DB$2:$DB$201,1,$H$2:$H$201,H87,$BA$2:$BA$201,"&gt;"&amp;BA87)=0,1,0),0)</f>
        <v>0</v>
      </c>
      <c r="DH87" s="23" t="n">
        <f aca="false">IF(BB87=1,IF(COUNTIFS($AZ$2:$AZ$201,AZ87,$DD$2:$DD$201,1,$AR$2:$AR$201,"Y")&gt;0,1,0),0)</f>
        <v>0</v>
      </c>
      <c r="DI87" s="23" t="n">
        <f aca="false">IF(BB87=1,IF(COUNTIFS($AZ$2:$AZ$201,AZ87,$DE$2:$DE$201,1,$AR$2:$AR$201,"Y")&gt;0,1,0),0)</f>
        <v>0</v>
      </c>
      <c r="DJ87" s="23" t="n">
        <f aca="false">IF(BB87=1,IF(COUNTIFS($AZ$2:$AZ$201,AZ87,$DF$2:$DF$201,1,$AR$2:$AR$201,"Y")&gt;0,1,0),0)</f>
        <v>0</v>
      </c>
      <c r="DK87" s="23" t="n">
        <f aca="false">IF(BB87=1,IF(COUNTIFS($AZ$2:$AZ$201,AZ87,$DG$2:$DG$201,1,$AR$2:$AR$201,"Y")&gt;0,1,0),0)</f>
        <v>0</v>
      </c>
      <c r="DL87" s="23" t="n">
        <f aca="false">IF(AND(BF87=1,INT(N(H87))&lt;=Config!$B$6,DH87=1,EI87=0),1,0)</f>
        <v>0</v>
      </c>
      <c r="DM87" s="23" t="n">
        <f aca="false">IF(AND(BF87=1,INT(N(H87))&lt;=Config!$B$7,DI87=1,EI87=0),1,0)</f>
        <v>0</v>
      </c>
      <c r="DN87" s="23" t="n">
        <f aca="false">IF(AND(BF87=1,INT(N(H87))&lt;=Config!$B$8,DJ87=1,EI87=0),1,0)</f>
        <v>0</v>
      </c>
      <c r="DO87" s="23" t="n">
        <f aca="false">IF(AND(BF87=1,INT(N(H87))&lt;=Config!$B$5,DK87=1,EI87=0),1,0)</f>
        <v>0</v>
      </c>
      <c r="DP87" s="23" t="n">
        <f aca="false">IF(AND(CC87=1,INT(N(H87))&lt;=Config!$B$6,DH87=1,EI87=0),1,0)</f>
        <v>0</v>
      </c>
      <c r="DQ87" s="23" t="n">
        <f aca="false">IF(AND(CC87=1,INT(N(H87))&lt;=Config!$B$7,DI87=1,EI87=0),1,0)</f>
        <v>0</v>
      </c>
      <c r="DR87" s="23" t="n">
        <f aca="false">IF(AND(CC87=1,INT(N(H87))&lt;=Config!$B$8,DJ87=1,EI87=0),1,0)</f>
        <v>0</v>
      </c>
      <c r="DS87" s="23" t="n">
        <f aca="false">IF(AND(CC87=1,INT(N(H87))&lt;=Config!$B$5,DK87=1,EI87=0),1,0)</f>
        <v>0</v>
      </c>
      <c r="DT87" s="23" t="n">
        <f aca="false">IF(AND(CC87=1,INT(N(H87))&lt;=Config!$B$6,DH87=0),1,0)</f>
        <v>0</v>
      </c>
      <c r="DU87" s="23" t="n">
        <f aca="false">IF(AND(CC87=1,INT(N(H87))&lt;=Config!$B$7,DI87=0),1,0)</f>
        <v>0</v>
      </c>
      <c r="DV87" s="23" t="n">
        <f aca="false">IF(AND(CC87=1,INT(N(H87))&lt;=Config!$B$8,DJ87=0),1,0)</f>
        <v>0</v>
      </c>
      <c r="DW87" s="23" t="n">
        <f aca="false">IF(AND(CC87=1,INT(N(H87))&lt;=Config!$B$5,DK87=0),1,0)</f>
        <v>0</v>
      </c>
      <c r="DX87" s="23" t="n">
        <f aca="false">IF(TRIM($A87)="",0,ISTEXT(M87)+ISTEXT(O87)+ISTEXT(Y87)+ISTEXT(Z87)+ISTEXT(AA87)+ISTEXT(AV87))</f>
        <v>0</v>
      </c>
      <c r="DY87" s="23" t="n">
        <f aca="false">IF(BB87=1,IF(H87&lt;&gt;INT(H87),1,0),0)</f>
        <v>0</v>
      </c>
      <c r="DZ87" s="23" t="str">
        <f aca="false">IF(TRIM($A87)="","",IF(TRIM(B87)="",SUBSTITUTE(SUBSTITUTE(SUBSTITUTE(SUBSTITUTE(SUBSTITUTE(SUBSTITUTE(LOWER(TRIM($A87)),"~",""),"*",""),"?",""),"&lt;",""),"&gt;",""),"=",""),SUBSTITUTE(SUBSTITUTE(SUBSTITUTE(SUBSTITUTE(SUBSTITUTE(SUBSTITUTE(LOWER(TRIM(B87)),"~",""),"*",""),"?",""),"&lt;",""),"&gt;",""),"=","")))</f>
        <v/>
      </c>
      <c r="EA87" s="23" t="str">
        <f aca="false">IF(CW87="","",IFERROR(IF(LEFT(LOWER(TRIM(INDEX(Clay_Offices!$A$2:$FZ$601,CW87,Sync!$C$19)&amp;"")),4)="grp-",SUBSTITUTE(SUBSTITUTE(SUBSTITUTE(SUBSTITUTE(SUBSTITUTE(SUBSTITUTE(LOWER(TRIM(INDEX(Clay_Offices!$A$2:$FZ$601,CW87,Sync!$C$19)&amp;"")),"~",""),"*",""),"?",""),"&lt;",""),"&gt;",""),"=",""),""),""))</f>
        <v/>
      </c>
      <c r="EB87" s="23" t="str">
        <f aca="false">IF(EA87&lt;&gt;"",DZ87,"")</f>
        <v/>
      </c>
      <c r="EC87" s="23" t="str">
        <f aca="false">IF(BC87=1,AZ87,"")</f>
        <v/>
      </c>
      <c r="ED87" s="23" t="str">
        <f aca="false">IF(TRIM($A87)="","",IFERROR(INDEX($A$2:$A$201,MATCH(AZ87,$EC$2:$EC$201,0))&amp;"",$A87&amp;""))</f>
        <v/>
      </c>
      <c r="EE87" s="23" t="n">
        <f aca="false">IF(BB87=1,IF(COUNTIFS($A$2:$A$201,$A87,$BB$2:$BB$201,1,$H$2:$H$201,"&lt;"&amp;H87)+COUNTIFS($A$2:$A$201,$A87,$BB$2:$BB$201,1,$H$2:$H$201,H87,$BA$2:$BA$201,"&lt;"&amp;BA87)=0,1,0),0)</f>
        <v>0</v>
      </c>
      <c r="EF87" s="23" t="n">
        <f aca="false">IF(BC87=1,IF(COUNTIFS($AZ$2:$AZ$201,AZ87,$EE$2:$EE$201,1)&gt;1,1,0),0)</f>
        <v>0</v>
      </c>
      <c r="EG87" s="23" t="n">
        <f aca="false">IF(AND(CQ87=1),IF(COUNTIFS($AZ$2:$AZ$201,AZ87,$CQ$2:$CQ$201,1,$H$2:$H$201,"&gt;"&amp;H87)+COUNTIFS($AZ$2:$AZ$201,AZ87,$CQ$2:$CQ$201,1,$H$2:$H$201,H87,$BA$2:$BA$201,"&gt;"&amp;BA87)=0,1,0),0)</f>
        <v>0</v>
      </c>
      <c r="EH87" s="23" t="str">
        <f aca="false">IF(BB87=1,IF(COUNTIFS($AZ$2:$AZ$201,AZ87,$EG$2:$EG$201,1)=0,"",SUMIFS($O$2:$O$201,$AZ$2:$AZ$201,AZ87,$EG$2:$EG$201,1)),"")</f>
        <v/>
      </c>
      <c r="EI87" s="23" t="n">
        <f aca="false">IF(AND(ISNUMBER(EH87),OR(N(EH87)&lt;Config!$B$31,N(EH87)&gt;Config!$B$33)),1,0)</f>
        <v>0</v>
      </c>
      <c r="EJ87" s="23" t="n">
        <f aca="false">IF(AND(ISNUMBER(EH87),N(EH87)&gt;=Config!$B$31,N(EH87)&lt;Config!$B$32),1,0)</f>
        <v>0</v>
      </c>
      <c r="EK87" s="23" t="n">
        <f aca="false">IF(AND(BF87=1,INT(N(H87))&lt;=Config!$B$6,DH87=1,EI87=1),1,0)</f>
        <v>0</v>
      </c>
      <c r="EL87" s="23" t="n">
        <f aca="false">IF(AND(BF87=1,INT(N(H87))&lt;=Config!$B$7,DI87=1,EI87=1),1,0)</f>
        <v>0</v>
      </c>
      <c r="EM87" s="23" t="n">
        <f aca="false">IF(AND(BF87=1,INT(N(H87))&lt;=Config!$B$8,DJ87=1,EI87=1),1,0)</f>
        <v>0</v>
      </c>
      <c r="EN87" s="23" t="n">
        <f aca="false">IF(AND(BF87=1,INT(N(H87))&lt;=Config!$B$5,DK87=1,EI87=1),1,0)</f>
        <v>0</v>
      </c>
      <c r="EO87" s="23" t="n">
        <f aca="false">IF(AND(DL87=1,EJ87=1),1,0)</f>
        <v>0</v>
      </c>
      <c r="EP87" s="23" t="n">
        <f aca="false">IF(AND(DM87=1,EJ87=1),1,0)</f>
        <v>0</v>
      </c>
      <c r="EQ87" s="23" t="n">
        <f aca="false">IF(AND(DN87=1,EJ87=1),1,0)</f>
        <v>0</v>
      </c>
      <c r="ER87" s="23" t="n">
        <f aca="false">IF(AND(DO87=1,EJ87=1),1,0)</f>
        <v>0</v>
      </c>
    </row>
    <row r="88" customFormat="false" ht="15" hidden="false" customHeight="false" outlineLevel="0" collapsed="false">
      <c r="G88" s="32"/>
      <c r="H88" s="33"/>
      <c r="I88" s="32"/>
      <c r="L88" s="32"/>
      <c r="Q88" s="32"/>
      <c r="U88" s="32"/>
      <c r="W88" s="32"/>
      <c r="AC88" s="32"/>
      <c r="AF88" s="32"/>
      <c r="AI88" s="32"/>
      <c r="AJ88" s="32"/>
      <c r="AN88" s="32"/>
      <c r="AR88" s="32"/>
      <c r="AT88" s="32"/>
      <c r="AU88" s="32"/>
      <c r="AW88" s="32"/>
      <c r="AY88" s="34" t="str">
        <f aca="false">IF(TRIM($A88)="","",IF(AND(LEFT($A88,6)="SAMPLE",Config!$B$19&lt;&gt;"Y"),"",IF(NOT(ISNUMBER(H88)),"call_date is blank or not a date",IF(Sync!$C$5="","Clay paste is empty or has no row_id column: paste the Clay export on Clay_Offices",IF(CW88="","row_id not found in the Clay paste: add the Clay row or fix the row_id",IF(AND(ISNUMBER(CY88),CY88&gt;=1,CY88&lt;=5),"Clay status is "&amp;CX88&amp;": set call_done or later",IF(AND(BD88=1,CZ88&lt;&gt;BZ88),"Clay yes_in_principle should be "&amp;BZ88,IF(AND(BD88=1,DA88&lt;&gt;H88),"Clay call_date should be "&amp;TEXT(H88,"yyyy-mm-dd"),""))))))))</f>
        <v/>
      </c>
      <c r="AZ88" s="23" t="str">
        <f aca="false">IF(TRIM($A88)="","",IF(TRIM(C88)&lt;&gt;"",SUBSTITUTE(SUBSTITUTE(SUBSTITUTE(SUBSTITUTE(SUBSTITUTE(SUBSTITUTE(LOWER(TRIM(C88)),"~",""),"*",""),"?",""),"&lt;",""),"&gt;",""),"=",""),IF(EA88&lt;&gt;"",EA88,IFERROR(INDEX($EA$2:$EA$201,MATCH(DZ88,$EB$2:$EB$201,0)),DZ88))))</f>
        <v/>
      </c>
      <c r="BA88" s="23" t="n">
        <f aca="false">ROW()</f>
        <v>88</v>
      </c>
      <c r="BB88" s="23" t="n">
        <f aca="false">IF(AND(TRIM($A88)&lt;&gt;"",ISNUMBER(H88)),IF(AND(LEFT($A88,6)="SAMPLE",Config!$B$19&lt;&gt;"Y"),0,1),0)</f>
        <v>0</v>
      </c>
      <c r="BC88" s="23" t="n">
        <f aca="false">IF(BB88=1,IF(COUNTIFS($AZ$2:$AZ$201,AZ88,$BB$2:$BB$201,1,$H$2:$H$201,"&lt;"&amp;H88)+COUNTIFS($AZ$2:$AZ$201,AZ88,$BB$2:$BB$201,1,$H$2:$H$201,H88,$BA$2:$BA$201,"&lt;"&amp;BA88)=0,1,0),0)</f>
        <v>0</v>
      </c>
      <c r="BD88" s="23" t="n">
        <f aca="false">IF(BB88=1,IF(COUNTIFS($A$2:$A$201,$A88,$BB$2:$BB$201,1,$H$2:$H$201,"&gt;"&amp;H88)+COUNTIFS($A$2:$A$201,$A88,$BB$2:$BB$201,1,$H$2:$H$201,H88,$BA$2:$BA$201,"&gt;"&amp;BA88)=0,1,0),0)</f>
        <v>0</v>
      </c>
      <c r="BE88" s="23" t="n">
        <f aca="false">IF(AND(BB88=1,AR88="Y",AC88="Y",TRIM(AH88)&lt;&gt;""),1,0)</f>
        <v>0</v>
      </c>
      <c r="BF88" s="23" t="n">
        <f aca="false">IF(BE88=1,IF(COUNTIFS($AZ$2:$AZ$201,AZ88,$BE$2:$BE$201,1,$H$2:$H$201,"&lt;"&amp;H88)+COUNTIFS($AZ$2:$AZ$201,AZ88,$BE$2:$BE$201,1,$H$2:$H$201,H88,$BA$2:$BA$201,"&lt;"&amp;BA88)=0,1,0),0)</f>
        <v>0</v>
      </c>
      <c r="BG88" s="23" t="n">
        <f aca="false">IF(AND(BB88=1,AR88="Y",BE88=0),1,0)</f>
        <v>0</v>
      </c>
      <c r="BH88" s="23" t="n">
        <f aca="false">IF(AND(BB88=1,ISNUMBER(Y88)),1,0)</f>
        <v>0</v>
      </c>
      <c r="BI88" s="23" t="n">
        <f aca="false">IF(BH88=1,IF(COUNTIFS($AZ$2:$AZ$201,AZ88,$BH$2:$BH$201,1,$H$2:$H$201,"&lt;"&amp;H88)+COUNTIFS($AZ$2:$AZ$201,AZ88,$BH$2:$BH$201,1,$H$2:$H$201,H88,$BA$2:$BA$201,"&lt;"&amp;BA88)=0,1,0),0)</f>
        <v>0</v>
      </c>
      <c r="BJ88" s="23" t="str">
        <f aca="false">IF(AND(BI88=1,INT(N(H88))&lt;=Config!$B$6),Y88,"")</f>
        <v/>
      </c>
      <c r="BK88" s="23" t="str">
        <f aca="false">IF(AND(BI88=1,INT(N(H88))&lt;=Config!$B$7),Y88,"")</f>
        <v/>
      </c>
      <c r="BL88" s="23" t="str">
        <f aca="false">IF(AND(BI88=1,INT(N(H88))&lt;=Config!$B$8),Y88,"")</f>
        <v/>
      </c>
      <c r="BM88" s="23" t="str">
        <f aca="false">IF(AND(BI88=1,INT(N(H88))&lt;=Config!$B$5),Y88,"")</f>
        <v/>
      </c>
      <c r="BN88" s="23" t="n">
        <f aca="false">IF(CD88=1,IF(COUNTIFS($AZ$2:$AZ$201,AZ88,$CD$2:$CD$201,1,$H$2:$H$201,"&lt;"&amp;H88)+COUNTIFS($AZ$2:$AZ$201,AZ88,$CD$2:$CD$201,1,$H$2:$H$201,H88,$BA$2:$BA$201,"&lt;"&amp;BA88)=0,1,0),0)</f>
        <v>0</v>
      </c>
      <c r="BO88" s="23" t="n">
        <f aca="false">IF(AND(BB88=1,ISNUMBER(M88)),1,0)</f>
        <v>0</v>
      </c>
      <c r="BP88" s="23" t="n">
        <f aca="false">IF(BO88=1,IF(COUNTIFS($AZ$2:$AZ$201,AZ88,$BO$2:$BO$201,1,$H$2:$H$201,"&lt;"&amp;H88)+COUNTIFS($AZ$2:$AZ$201,AZ88,$BO$2:$BO$201,1,$H$2:$H$201,H88,$BA$2:$BA$201,"&lt;"&amp;BA88)=0,1,0),0)</f>
        <v>0</v>
      </c>
      <c r="BQ88" s="23" t="str">
        <f aca="false">IF(AND(BP88=1,INT(N(H88))&lt;=Config!$B$5),M88,"")</f>
        <v/>
      </c>
      <c r="BR88" s="23" t="n">
        <f aca="false">IF(AND(BB88=1,OR(TRIM(X88)&lt;&gt;"",ISNUMBER(Y88))),1,0)</f>
        <v>0</v>
      </c>
      <c r="BS88" s="23" t="n">
        <f aca="false">IF(BR88=1,IF(COUNTIFS($AZ$2:$AZ$201,AZ88,$BR$2:$BR$201,1,$H$2:$H$201,"&lt;"&amp;H88)+COUNTIFS($AZ$2:$AZ$201,AZ88,$BR$2:$BR$201,1,$H$2:$H$201,H88,$BA$2:$BA$201,"&lt;"&amp;BA88)=0,1,0),0)</f>
        <v>0</v>
      </c>
      <c r="BT88" s="23" t="str">
        <f aca="false">IF(BS88=1,AZ88,"")</f>
        <v/>
      </c>
      <c r="BU88" s="23" t="n">
        <f aca="false">IF(AND(BB88=1,W88="Y",TRIM(X88)=""),1,0)</f>
        <v>0</v>
      </c>
      <c r="BV88" s="23" t="str">
        <f aca="false">IF(BB88=1,AN88&amp;"","")</f>
        <v/>
      </c>
      <c r="BW88" s="23" t="str">
        <f aca="false">IF(BB88=1,AO88&amp;"","")</f>
        <v/>
      </c>
      <c r="BX88" s="23" t="str">
        <f aca="false">IF(BB88=1,AP88&amp;"","")</f>
        <v/>
      </c>
      <c r="BY88" s="23" t="str">
        <f aca="false">IF(AND(BB88=1,ISNUMBER(AV88),INT(N(H88))&lt;=Config!$B$5),AV88,"")</f>
        <v/>
      </c>
      <c r="BZ88" s="23" t="str">
        <f aca="false">IF(BB88=1,IF(COUNTIFS($A$2:$A$201,$A88,$DC$2:$DC$201,1,$AR$2:$AR$201,"Y")&gt;0,"Y","N"),"")</f>
        <v/>
      </c>
      <c r="CA88" s="23" t="n">
        <f aca="false">IF(AND(BB88=1,AR88="maybe"),1,0)</f>
        <v>0</v>
      </c>
      <c r="CB88" s="23" t="n">
        <f aca="false">IF(CA88=1,IF(COUNTIFS($AZ$2:$AZ$201,AZ88,$CA$2:$CA$201,1,$H$2:$H$201,"&lt;"&amp;H88)+COUNTIFS($AZ$2:$AZ$201,AZ88,$CA$2:$CA$201,1,$H$2:$H$201,H88,$BA$2:$BA$201,"&lt;"&amp;BA88)=0,1,0),0)</f>
        <v>0</v>
      </c>
      <c r="CC88" s="23" t="n">
        <f aca="false">IF(AND(BB88=1,AR88="Y"),IF(COUNTIFS($AZ$2:$AZ$201,AZ88,$AR$2:$AR$201,"Y",$BB$2:$BB$201,1,$H$2:$H$201,"&lt;"&amp;H88)+COUNTIFS($AZ$2:$AZ$201,AZ88,$AR$2:$AR$201,"Y",$BB$2:$BB$201,1,$H$2:$H$201,H88,$BA$2:$BA$201,"&lt;"&amp;BA88)=0,1,0),0)</f>
        <v>0</v>
      </c>
      <c r="CD88" s="23" t="n">
        <f aca="false">IF(AND(BH88=1,N(Y88)&gt;=Config!$B$15),1,0)</f>
        <v>0</v>
      </c>
      <c r="CE88" s="23" t="n">
        <f aca="false">IF(AND(BB88=1,AT88="Y"),1,0)</f>
        <v>0</v>
      </c>
      <c r="CF88" s="23" t="n">
        <f aca="false">IF(CE88=1,IF(COUNTIFS($AZ$2:$AZ$201,AZ88,$CE$2:$CE$201,1,$H$2:$H$201,"&lt;"&amp;H88)+COUNTIFS($AZ$2:$AZ$201,AZ88,$CE$2:$CE$201,1,$H$2:$H$201,H88,$BA$2:$BA$201,"&lt;"&amp;BA88)=0,1,0),0)</f>
        <v>0</v>
      </c>
      <c r="CG88" s="23" t="n">
        <f aca="false">IF(AND(BB88=1,G88="warm-intro"),1,0)</f>
        <v>0</v>
      </c>
      <c r="CH88" s="23" t="n">
        <f aca="false">IF(CG88=1,IF(COUNTIFS($AZ$2:$AZ$201,AZ88,$CG$2:$CG$201,1,$H$2:$H$201,"&lt;"&amp;H88)+COUNTIFS($AZ$2:$AZ$201,AZ88,$CG$2:$CG$201,1,$H$2:$H$201,H88,$BA$2:$BA$201,"&lt;"&amp;BA88)=0,1,0),0)</f>
        <v>0</v>
      </c>
      <c r="CI88" s="23" t="n">
        <f aca="false">IF(AND(BB88=1,Q88="Y"),1,0)</f>
        <v>0</v>
      </c>
      <c r="CJ88" s="23" t="n">
        <f aca="false">IF(CI88=1,IF(COUNTIFS($AZ$2:$AZ$201,AZ88,$CI$2:$CI$201,1,$H$2:$H$201,"&lt;"&amp;H88)+COUNTIFS($AZ$2:$AZ$201,AZ88,$CI$2:$CI$201,1,$H$2:$H$201,H88,$BA$2:$BA$201,"&lt;"&amp;BA88)=0,1,0),0)</f>
        <v>0</v>
      </c>
      <c r="CK88" s="23" t="n">
        <f aca="false">IF(AND(BB88=1,AF88="Y"),1,0)</f>
        <v>0</v>
      </c>
      <c r="CL88" s="23" t="n">
        <f aca="false">IF(CK88=1,IF(COUNTIFS($AZ$2:$AZ$201,AZ88,$CK$2:$CK$201,1,$H$2:$H$201,"&lt;"&amp;H88)+COUNTIFS($AZ$2:$AZ$201,AZ88,$CK$2:$CK$201,1,$H$2:$H$201,H88,$BA$2:$BA$201,"&lt;"&amp;BA88)=0,1,0),0)</f>
        <v>0</v>
      </c>
      <c r="CM88" s="23" t="n">
        <f aca="false">IF(AND(BB88=1,U88="Y"),1,0)</f>
        <v>0</v>
      </c>
      <c r="CN88" s="23" t="n">
        <f aca="false">IF(CM88=1,IF(COUNTIFS($AZ$2:$AZ$201,AZ88,$CM$2:$CM$201,1,$H$2:$H$201,"&lt;"&amp;H88)+COUNTIFS($AZ$2:$AZ$201,AZ88,$CM$2:$CM$201,1,$H$2:$H$201,H88,$BA$2:$BA$201,"&lt;"&amp;BA88)=0,1,0),0)</f>
        <v>0</v>
      </c>
      <c r="CO88" s="23" t="n">
        <f aca="false">IF(AND(BB88=1,L88="Y"),1,0)</f>
        <v>0</v>
      </c>
      <c r="CP88" s="23" t="n">
        <f aca="false">IF(CO88=1,IF(COUNTIFS($AZ$2:$AZ$201,AZ88,$CO$2:$CO$201,1,$H$2:$H$201,"&lt;"&amp;H88)+COUNTIFS($AZ$2:$AZ$201,AZ88,$CO$2:$CO$201,1,$H$2:$H$201,H88,$BA$2:$BA$201,"&lt;"&amp;BA88)=0,1,0),0)</f>
        <v>0</v>
      </c>
      <c r="CQ88" s="23" t="n">
        <f aca="false">IF(AND(BB88=1,ISNUMBER(O88)),1,0)</f>
        <v>0</v>
      </c>
      <c r="CR88" s="23" t="n">
        <f aca="false">IF(CQ88=1,IF(COUNTIFS($AZ$2:$AZ$201,AZ88,$CQ$2:$CQ$201,1,$H$2:$H$201,"&lt;"&amp;H88)+COUNTIFS($AZ$2:$AZ$201,AZ88,$CQ$2:$CQ$201,1,$H$2:$H$201,H88,$BA$2:$BA$201,"&lt;"&amp;BA88)=0,1,0),0)</f>
        <v>0</v>
      </c>
      <c r="CS88" s="23" t="str">
        <f aca="false">IF(AND(CR88=1,INT(N(H88))&lt;=Config!$B$5),O88,"")</f>
        <v/>
      </c>
      <c r="CT88" s="23" t="str">
        <f aca="false">IF(AND(BB88=1,INT(N(H88))&lt;=Config!$B$5),AG88&amp;"","")</f>
        <v/>
      </c>
      <c r="CU88" s="23" t="n">
        <f aca="false">IF(AND(BB88=1,AU88="Y"),1,0)</f>
        <v>0</v>
      </c>
      <c r="CV88" s="23" t="n">
        <f aca="false">IF(CU88=1,IF(COUNTIFS($AZ$2:$AZ$201,AZ88,$CU$2:$CU$201,1,$H$2:$H$201,"&lt;"&amp;H88)+COUNTIFS($AZ$2:$AZ$201,AZ88,$CU$2:$CU$201,1,$H$2:$H$201,H88,$BA$2:$BA$201,"&lt;"&amp;BA88)=0,1,0),0)</f>
        <v>0</v>
      </c>
      <c r="CW88" s="23" t="str">
        <f aca="false">IF(BB88=1,IFERROR(MATCH($A88,INDEX(Clay_Offices!$A$2:$FZ$601,0,Sync!$C$5),0),""),"")</f>
        <v/>
      </c>
      <c r="CX88" s="23" t="str">
        <f aca="false">IF(CW88="","",IFERROR(INDEX(Clay_Offices!$A$2:$FZ$601,CW88,Sync!$C$7)&amp;"",""))</f>
        <v/>
      </c>
      <c r="CY88" s="23" t="str">
        <f aca="false">IF(CX88="","",IFERROR(INDEX(Lists!$K$2:$K$15,MATCH(CX88,Lists!$J$2:$J$15,0)),""))</f>
        <v/>
      </c>
      <c r="CZ88" s="23" t="str">
        <f aca="false">IF(CW88="","",IFERROR(INDEX(Clay_Offices!$A$2:$FZ$601,CW88,Sync!$C$17)&amp;"",""))</f>
        <v/>
      </c>
      <c r="DA88" s="35" t="str">
        <f aca="false">IF(CW88="","",IFERROR(N(INDEX(Clay_Offices!$A$2:$FZ$601,CW88,Sync!$C$16)),0))</f>
        <v/>
      </c>
      <c r="DB88" s="23" t="n">
        <f aca="false">IF(AND(BB88=1,OR(AR88="Y",AR88="N",AR88="maybe")),1,0)</f>
        <v>0</v>
      </c>
      <c r="DC88" s="23" t="n">
        <f aca="false">IF(AND(DB88=1),IF(COUNTIFS($A$2:$A$201,$A88,$DB$2:$DB$201,1,$H$2:$H$201,"&gt;"&amp;H88)+COUNTIFS($A$2:$A$201,$A88,$DB$2:$DB$201,1,$H$2:$H$201,H88,$BA$2:$BA$201,"&gt;"&amp;BA88)=0,1,0),0)</f>
        <v>0</v>
      </c>
      <c r="DD88" s="23" t="n">
        <f aca="false">IF(AND(DB88=1,INT(N(H88))&lt;=Config!$B$6),IF(COUNTIFS($AZ$2:$AZ$201,AZ88,$DB$2:$DB$201,1,$H$2:$H$201,"&gt;"&amp;H88,$H$2:$H$201,"&lt;"&amp;(Config!$B$6+1))+COUNTIFS($AZ$2:$AZ$201,AZ88,$DB$2:$DB$201,1,$H$2:$H$201,H88,$BA$2:$BA$201,"&gt;"&amp;BA88)=0,1,0),0)</f>
        <v>0</v>
      </c>
      <c r="DE88" s="23" t="n">
        <f aca="false">IF(AND(DB88=1,INT(N(H88))&lt;=Config!$B$7),IF(COUNTIFS($AZ$2:$AZ$201,AZ88,$DB$2:$DB$201,1,$H$2:$H$201,"&gt;"&amp;H88,$H$2:$H$201,"&lt;"&amp;(Config!$B$7+1))+COUNTIFS($AZ$2:$AZ$201,AZ88,$DB$2:$DB$201,1,$H$2:$H$201,H88,$BA$2:$BA$201,"&gt;"&amp;BA88)=0,1,0),0)</f>
        <v>0</v>
      </c>
      <c r="DF88" s="23" t="n">
        <f aca="false">IF(AND(DB88=1,INT(N(H88))&lt;=Config!$B$8),IF(COUNTIFS($AZ$2:$AZ$201,AZ88,$DB$2:$DB$201,1,$H$2:$H$201,"&gt;"&amp;H88,$H$2:$H$201,"&lt;"&amp;(Config!$B$8+1))+COUNTIFS($AZ$2:$AZ$201,AZ88,$DB$2:$DB$201,1,$H$2:$H$201,H88,$BA$2:$BA$201,"&gt;"&amp;BA88)=0,1,0),0)</f>
        <v>0</v>
      </c>
      <c r="DG88" s="23" t="n">
        <f aca="false">IF(AND(DB88=1,INT(N(H88))&lt;=Config!$B$5),IF(COUNTIFS($AZ$2:$AZ$201,AZ88,$DB$2:$DB$201,1,$H$2:$H$201,"&gt;"&amp;H88,$H$2:$H$201,"&lt;"&amp;(Config!$B$5+1))+COUNTIFS($AZ$2:$AZ$201,AZ88,$DB$2:$DB$201,1,$H$2:$H$201,H88,$BA$2:$BA$201,"&gt;"&amp;BA88)=0,1,0),0)</f>
        <v>0</v>
      </c>
      <c r="DH88" s="23" t="n">
        <f aca="false">IF(BB88=1,IF(COUNTIFS($AZ$2:$AZ$201,AZ88,$DD$2:$DD$201,1,$AR$2:$AR$201,"Y")&gt;0,1,0),0)</f>
        <v>0</v>
      </c>
      <c r="DI88" s="23" t="n">
        <f aca="false">IF(BB88=1,IF(COUNTIFS($AZ$2:$AZ$201,AZ88,$DE$2:$DE$201,1,$AR$2:$AR$201,"Y")&gt;0,1,0),0)</f>
        <v>0</v>
      </c>
      <c r="DJ88" s="23" t="n">
        <f aca="false">IF(BB88=1,IF(COUNTIFS($AZ$2:$AZ$201,AZ88,$DF$2:$DF$201,1,$AR$2:$AR$201,"Y")&gt;0,1,0),0)</f>
        <v>0</v>
      </c>
      <c r="DK88" s="23" t="n">
        <f aca="false">IF(BB88=1,IF(COUNTIFS($AZ$2:$AZ$201,AZ88,$DG$2:$DG$201,1,$AR$2:$AR$201,"Y")&gt;0,1,0),0)</f>
        <v>0</v>
      </c>
      <c r="DL88" s="23" t="n">
        <f aca="false">IF(AND(BF88=1,INT(N(H88))&lt;=Config!$B$6,DH88=1,EI88=0),1,0)</f>
        <v>0</v>
      </c>
      <c r="DM88" s="23" t="n">
        <f aca="false">IF(AND(BF88=1,INT(N(H88))&lt;=Config!$B$7,DI88=1,EI88=0),1,0)</f>
        <v>0</v>
      </c>
      <c r="DN88" s="23" t="n">
        <f aca="false">IF(AND(BF88=1,INT(N(H88))&lt;=Config!$B$8,DJ88=1,EI88=0),1,0)</f>
        <v>0</v>
      </c>
      <c r="DO88" s="23" t="n">
        <f aca="false">IF(AND(BF88=1,INT(N(H88))&lt;=Config!$B$5,DK88=1,EI88=0),1,0)</f>
        <v>0</v>
      </c>
      <c r="DP88" s="23" t="n">
        <f aca="false">IF(AND(CC88=1,INT(N(H88))&lt;=Config!$B$6,DH88=1,EI88=0),1,0)</f>
        <v>0</v>
      </c>
      <c r="DQ88" s="23" t="n">
        <f aca="false">IF(AND(CC88=1,INT(N(H88))&lt;=Config!$B$7,DI88=1,EI88=0),1,0)</f>
        <v>0</v>
      </c>
      <c r="DR88" s="23" t="n">
        <f aca="false">IF(AND(CC88=1,INT(N(H88))&lt;=Config!$B$8,DJ88=1,EI88=0),1,0)</f>
        <v>0</v>
      </c>
      <c r="DS88" s="23" t="n">
        <f aca="false">IF(AND(CC88=1,INT(N(H88))&lt;=Config!$B$5,DK88=1,EI88=0),1,0)</f>
        <v>0</v>
      </c>
      <c r="DT88" s="23" t="n">
        <f aca="false">IF(AND(CC88=1,INT(N(H88))&lt;=Config!$B$6,DH88=0),1,0)</f>
        <v>0</v>
      </c>
      <c r="DU88" s="23" t="n">
        <f aca="false">IF(AND(CC88=1,INT(N(H88))&lt;=Config!$B$7,DI88=0),1,0)</f>
        <v>0</v>
      </c>
      <c r="DV88" s="23" t="n">
        <f aca="false">IF(AND(CC88=1,INT(N(H88))&lt;=Config!$B$8,DJ88=0),1,0)</f>
        <v>0</v>
      </c>
      <c r="DW88" s="23" t="n">
        <f aca="false">IF(AND(CC88=1,INT(N(H88))&lt;=Config!$B$5,DK88=0),1,0)</f>
        <v>0</v>
      </c>
      <c r="DX88" s="23" t="n">
        <f aca="false">IF(TRIM($A88)="",0,ISTEXT(M88)+ISTEXT(O88)+ISTEXT(Y88)+ISTEXT(Z88)+ISTEXT(AA88)+ISTEXT(AV88))</f>
        <v>0</v>
      </c>
      <c r="DY88" s="23" t="n">
        <f aca="false">IF(BB88=1,IF(H88&lt;&gt;INT(H88),1,0),0)</f>
        <v>0</v>
      </c>
      <c r="DZ88" s="23" t="str">
        <f aca="false">IF(TRIM($A88)="","",IF(TRIM(B88)="",SUBSTITUTE(SUBSTITUTE(SUBSTITUTE(SUBSTITUTE(SUBSTITUTE(SUBSTITUTE(LOWER(TRIM($A88)),"~",""),"*",""),"?",""),"&lt;",""),"&gt;",""),"=",""),SUBSTITUTE(SUBSTITUTE(SUBSTITUTE(SUBSTITUTE(SUBSTITUTE(SUBSTITUTE(LOWER(TRIM(B88)),"~",""),"*",""),"?",""),"&lt;",""),"&gt;",""),"=","")))</f>
        <v/>
      </c>
      <c r="EA88" s="23" t="str">
        <f aca="false">IF(CW88="","",IFERROR(IF(LEFT(LOWER(TRIM(INDEX(Clay_Offices!$A$2:$FZ$601,CW88,Sync!$C$19)&amp;"")),4)="grp-",SUBSTITUTE(SUBSTITUTE(SUBSTITUTE(SUBSTITUTE(SUBSTITUTE(SUBSTITUTE(LOWER(TRIM(INDEX(Clay_Offices!$A$2:$FZ$601,CW88,Sync!$C$19)&amp;"")),"~",""),"*",""),"?",""),"&lt;",""),"&gt;",""),"=",""),""),""))</f>
        <v/>
      </c>
      <c r="EB88" s="23" t="str">
        <f aca="false">IF(EA88&lt;&gt;"",DZ88,"")</f>
        <v/>
      </c>
      <c r="EC88" s="23" t="str">
        <f aca="false">IF(BC88=1,AZ88,"")</f>
        <v/>
      </c>
      <c r="ED88" s="23" t="str">
        <f aca="false">IF(TRIM($A88)="","",IFERROR(INDEX($A$2:$A$201,MATCH(AZ88,$EC$2:$EC$201,0))&amp;"",$A88&amp;""))</f>
        <v/>
      </c>
      <c r="EE88" s="23" t="n">
        <f aca="false">IF(BB88=1,IF(COUNTIFS($A$2:$A$201,$A88,$BB$2:$BB$201,1,$H$2:$H$201,"&lt;"&amp;H88)+COUNTIFS($A$2:$A$201,$A88,$BB$2:$BB$201,1,$H$2:$H$201,H88,$BA$2:$BA$201,"&lt;"&amp;BA88)=0,1,0),0)</f>
        <v>0</v>
      </c>
      <c r="EF88" s="23" t="n">
        <f aca="false">IF(BC88=1,IF(COUNTIFS($AZ$2:$AZ$201,AZ88,$EE$2:$EE$201,1)&gt;1,1,0),0)</f>
        <v>0</v>
      </c>
      <c r="EG88" s="23" t="n">
        <f aca="false">IF(AND(CQ88=1),IF(COUNTIFS($AZ$2:$AZ$201,AZ88,$CQ$2:$CQ$201,1,$H$2:$H$201,"&gt;"&amp;H88)+COUNTIFS($AZ$2:$AZ$201,AZ88,$CQ$2:$CQ$201,1,$H$2:$H$201,H88,$BA$2:$BA$201,"&gt;"&amp;BA88)=0,1,0),0)</f>
        <v>0</v>
      </c>
      <c r="EH88" s="23" t="str">
        <f aca="false">IF(BB88=1,IF(COUNTIFS($AZ$2:$AZ$201,AZ88,$EG$2:$EG$201,1)=0,"",SUMIFS($O$2:$O$201,$AZ$2:$AZ$201,AZ88,$EG$2:$EG$201,1)),"")</f>
        <v/>
      </c>
      <c r="EI88" s="23" t="n">
        <f aca="false">IF(AND(ISNUMBER(EH88),OR(N(EH88)&lt;Config!$B$31,N(EH88)&gt;Config!$B$33)),1,0)</f>
        <v>0</v>
      </c>
      <c r="EJ88" s="23" t="n">
        <f aca="false">IF(AND(ISNUMBER(EH88),N(EH88)&gt;=Config!$B$31,N(EH88)&lt;Config!$B$32),1,0)</f>
        <v>0</v>
      </c>
      <c r="EK88" s="23" t="n">
        <f aca="false">IF(AND(BF88=1,INT(N(H88))&lt;=Config!$B$6,DH88=1,EI88=1),1,0)</f>
        <v>0</v>
      </c>
      <c r="EL88" s="23" t="n">
        <f aca="false">IF(AND(BF88=1,INT(N(H88))&lt;=Config!$B$7,DI88=1,EI88=1),1,0)</f>
        <v>0</v>
      </c>
      <c r="EM88" s="23" t="n">
        <f aca="false">IF(AND(BF88=1,INT(N(H88))&lt;=Config!$B$8,DJ88=1,EI88=1),1,0)</f>
        <v>0</v>
      </c>
      <c r="EN88" s="23" t="n">
        <f aca="false">IF(AND(BF88=1,INT(N(H88))&lt;=Config!$B$5,DK88=1,EI88=1),1,0)</f>
        <v>0</v>
      </c>
      <c r="EO88" s="23" t="n">
        <f aca="false">IF(AND(DL88=1,EJ88=1),1,0)</f>
        <v>0</v>
      </c>
      <c r="EP88" s="23" t="n">
        <f aca="false">IF(AND(DM88=1,EJ88=1),1,0)</f>
        <v>0</v>
      </c>
      <c r="EQ88" s="23" t="n">
        <f aca="false">IF(AND(DN88=1,EJ88=1),1,0)</f>
        <v>0</v>
      </c>
      <c r="ER88" s="23" t="n">
        <f aca="false">IF(AND(DO88=1,EJ88=1),1,0)</f>
        <v>0</v>
      </c>
    </row>
    <row r="89" customFormat="false" ht="15" hidden="false" customHeight="false" outlineLevel="0" collapsed="false">
      <c r="G89" s="32"/>
      <c r="H89" s="33"/>
      <c r="I89" s="32"/>
      <c r="L89" s="32"/>
      <c r="Q89" s="32"/>
      <c r="U89" s="32"/>
      <c r="W89" s="32"/>
      <c r="AC89" s="32"/>
      <c r="AF89" s="32"/>
      <c r="AI89" s="32"/>
      <c r="AJ89" s="32"/>
      <c r="AN89" s="32"/>
      <c r="AR89" s="32"/>
      <c r="AT89" s="32"/>
      <c r="AU89" s="32"/>
      <c r="AW89" s="32"/>
      <c r="AY89" s="34" t="str">
        <f aca="false">IF(TRIM($A89)="","",IF(AND(LEFT($A89,6)="SAMPLE",Config!$B$19&lt;&gt;"Y"),"",IF(NOT(ISNUMBER(H89)),"call_date is blank or not a date",IF(Sync!$C$5="","Clay paste is empty or has no row_id column: paste the Clay export on Clay_Offices",IF(CW89="","row_id not found in the Clay paste: add the Clay row or fix the row_id",IF(AND(ISNUMBER(CY89),CY89&gt;=1,CY89&lt;=5),"Clay status is "&amp;CX89&amp;": set call_done or later",IF(AND(BD89=1,CZ89&lt;&gt;BZ89),"Clay yes_in_principle should be "&amp;BZ89,IF(AND(BD89=1,DA89&lt;&gt;H89),"Clay call_date should be "&amp;TEXT(H89,"yyyy-mm-dd"),""))))))))</f>
        <v/>
      </c>
      <c r="AZ89" s="23" t="str">
        <f aca="false">IF(TRIM($A89)="","",IF(TRIM(C89)&lt;&gt;"",SUBSTITUTE(SUBSTITUTE(SUBSTITUTE(SUBSTITUTE(SUBSTITUTE(SUBSTITUTE(LOWER(TRIM(C89)),"~",""),"*",""),"?",""),"&lt;",""),"&gt;",""),"=",""),IF(EA89&lt;&gt;"",EA89,IFERROR(INDEX($EA$2:$EA$201,MATCH(DZ89,$EB$2:$EB$201,0)),DZ89))))</f>
        <v/>
      </c>
      <c r="BA89" s="23" t="n">
        <f aca="false">ROW()</f>
        <v>89</v>
      </c>
      <c r="BB89" s="23" t="n">
        <f aca="false">IF(AND(TRIM($A89)&lt;&gt;"",ISNUMBER(H89)),IF(AND(LEFT($A89,6)="SAMPLE",Config!$B$19&lt;&gt;"Y"),0,1),0)</f>
        <v>0</v>
      </c>
      <c r="BC89" s="23" t="n">
        <f aca="false">IF(BB89=1,IF(COUNTIFS($AZ$2:$AZ$201,AZ89,$BB$2:$BB$201,1,$H$2:$H$201,"&lt;"&amp;H89)+COUNTIFS($AZ$2:$AZ$201,AZ89,$BB$2:$BB$201,1,$H$2:$H$201,H89,$BA$2:$BA$201,"&lt;"&amp;BA89)=0,1,0),0)</f>
        <v>0</v>
      </c>
      <c r="BD89" s="23" t="n">
        <f aca="false">IF(BB89=1,IF(COUNTIFS($A$2:$A$201,$A89,$BB$2:$BB$201,1,$H$2:$H$201,"&gt;"&amp;H89)+COUNTIFS($A$2:$A$201,$A89,$BB$2:$BB$201,1,$H$2:$H$201,H89,$BA$2:$BA$201,"&gt;"&amp;BA89)=0,1,0),0)</f>
        <v>0</v>
      </c>
      <c r="BE89" s="23" t="n">
        <f aca="false">IF(AND(BB89=1,AR89="Y",AC89="Y",TRIM(AH89)&lt;&gt;""),1,0)</f>
        <v>0</v>
      </c>
      <c r="BF89" s="23" t="n">
        <f aca="false">IF(BE89=1,IF(COUNTIFS($AZ$2:$AZ$201,AZ89,$BE$2:$BE$201,1,$H$2:$H$201,"&lt;"&amp;H89)+COUNTIFS($AZ$2:$AZ$201,AZ89,$BE$2:$BE$201,1,$H$2:$H$201,H89,$BA$2:$BA$201,"&lt;"&amp;BA89)=0,1,0),0)</f>
        <v>0</v>
      </c>
      <c r="BG89" s="23" t="n">
        <f aca="false">IF(AND(BB89=1,AR89="Y",BE89=0),1,0)</f>
        <v>0</v>
      </c>
      <c r="BH89" s="23" t="n">
        <f aca="false">IF(AND(BB89=1,ISNUMBER(Y89)),1,0)</f>
        <v>0</v>
      </c>
      <c r="BI89" s="23" t="n">
        <f aca="false">IF(BH89=1,IF(COUNTIFS($AZ$2:$AZ$201,AZ89,$BH$2:$BH$201,1,$H$2:$H$201,"&lt;"&amp;H89)+COUNTIFS($AZ$2:$AZ$201,AZ89,$BH$2:$BH$201,1,$H$2:$H$201,H89,$BA$2:$BA$201,"&lt;"&amp;BA89)=0,1,0),0)</f>
        <v>0</v>
      </c>
      <c r="BJ89" s="23" t="str">
        <f aca="false">IF(AND(BI89=1,INT(N(H89))&lt;=Config!$B$6),Y89,"")</f>
        <v/>
      </c>
      <c r="BK89" s="23" t="str">
        <f aca="false">IF(AND(BI89=1,INT(N(H89))&lt;=Config!$B$7),Y89,"")</f>
        <v/>
      </c>
      <c r="BL89" s="23" t="str">
        <f aca="false">IF(AND(BI89=1,INT(N(H89))&lt;=Config!$B$8),Y89,"")</f>
        <v/>
      </c>
      <c r="BM89" s="23" t="str">
        <f aca="false">IF(AND(BI89=1,INT(N(H89))&lt;=Config!$B$5),Y89,"")</f>
        <v/>
      </c>
      <c r="BN89" s="23" t="n">
        <f aca="false">IF(CD89=1,IF(COUNTIFS($AZ$2:$AZ$201,AZ89,$CD$2:$CD$201,1,$H$2:$H$201,"&lt;"&amp;H89)+COUNTIFS($AZ$2:$AZ$201,AZ89,$CD$2:$CD$201,1,$H$2:$H$201,H89,$BA$2:$BA$201,"&lt;"&amp;BA89)=0,1,0),0)</f>
        <v>0</v>
      </c>
      <c r="BO89" s="23" t="n">
        <f aca="false">IF(AND(BB89=1,ISNUMBER(M89)),1,0)</f>
        <v>0</v>
      </c>
      <c r="BP89" s="23" t="n">
        <f aca="false">IF(BO89=1,IF(COUNTIFS($AZ$2:$AZ$201,AZ89,$BO$2:$BO$201,1,$H$2:$H$201,"&lt;"&amp;H89)+COUNTIFS($AZ$2:$AZ$201,AZ89,$BO$2:$BO$201,1,$H$2:$H$201,H89,$BA$2:$BA$201,"&lt;"&amp;BA89)=0,1,0),0)</f>
        <v>0</v>
      </c>
      <c r="BQ89" s="23" t="str">
        <f aca="false">IF(AND(BP89=1,INT(N(H89))&lt;=Config!$B$5),M89,"")</f>
        <v/>
      </c>
      <c r="BR89" s="23" t="n">
        <f aca="false">IF(AND(BB89=1,OR(TRIM(X89)&lt;&gt;"",ISNUMBER(Y89))),1,0)</f>
        <v>0</v>
      </c>
      <c r="BS89" s="23" t="n">
        <f aca="false">IF(BR89=1,IF(COUNTIFS($AZ$2:$AZ$201,AZ89,$BR$2:$BR$201,1,$H$2:$H$201,"&lt;"&amp;H89)+COUNTIFS($AZ$2:$AZ$201,AZ89,$BR$2:$BR$201,1,$H$2:$H$201,H89,$BA$2:$BA$201,"&lt;"&amp;BA89)=0,1,0),0)</f>
        <v>0</v>
      </c>
      <c r="BT89" s="23" t="str">
        <f aca="false">IF(BS89=1,AZ89,"")</f>
        <v/>
      </c>
      <c r="BU89" s="23" t="n">
        <f aca="false">IF(AND(BB89=1,W89="Y",TRIM(X89)=""),1,0)</f>
        <v>0</v>
      </c>
      <c r="BV89" s="23" t="str">
        <f aca="false">IF(BB89=1,AN89&amp;"","")</f>
        <v/>
      </c>
      <c r="BW89" s="23" t="str">
        <f aca="false">IF(BB89=1,AO89&amp;"","")</f>
        <v/>
      </c>
      <c r="BX89" s="23" t="str">
        <f aca="false">IF(BB89=1,AP89&amp;"","")</f>
        <v/>
      </c>
      <c r="BY89" s="23" t="str">
        <f aca="false">IF(AND(BB89=1,ISNUMBER(AV89),INT(N(H89))&lt;=Config!$B$5),AV89,"")</f>
        <v/>
      </c>
      <c r="BZ89" s="23" t="str">
        <f aca="false">IF(BB89=1,IF(COUNTIFS($A$2:$A$201,$A89,$DC$2:$DC$201,1,$AR$2:$AR$201,"Y")&gt;0,"Y","N"),"")</f>
        <v/>
      </c>
      <c r="CA89" s="23" t="n">
        <f aca="false">IF(AND(BB89=1,AR89="maybe"),1,0)</f>
        <v>0</v>
      </c>
      <c r="CB89" s="23" t="n">
        <f aca="false">IF(CA89=1,IF(COUNTIFS($AZ$2:$AZ$201,AZ89,$CA$2:$CA$201,1,$H$2:$H$201,"&lt;"&amp;H89)+COUNTIFS($AZ$2:$AZ$201,AZ89,$CA$2:$CA$201,1,$H$2:$H$201,H89,$BA$2:$BA$201,"&lt;"&amp;BA89)=0,1,0),0)</f>
        <v>0</v>
      </c>
      <c r="CC89" s="23" t="n">
        <f aca="false">IF(AND(BB89=1,AR89="Y"),IF(COUNTIFS($AZ$2:$AZ$201,AZ89,$AR$2:$AR$201,"Y",$BB$2:$BB$201,1,$H$2:$H$201,"&lt;"&amp;H89)+COUNTIFS($AZ$2:$AZ$201,AZ89,$AR$2:$AR$201,"Y",$BB$2:$BB$201,1,$H$2:$H$201,H89,$BA$2:$BA$201,"&lt;"&amp;BA89)=0,1,0),0)</f>
        <v>0</v>
      </c>
      <c r="CD89" s="23" t="n">
        <f aca="false">IF(AND(BH89=1,N(Y89)&gt;=Config!$B$15),1,0)</f>
        <v>0</v>
      </c>
      <c r="CE89" s="23" t="n">
        <f aca="false">IF(AND(BB89=1,AT89="Y"),1,0)</f>
        <v>0</v>
      </c>
      <c r="CF89" s="23" t="n">
        <f aca="false">IF(CE89=1,IF(COUNTIFS($AZ$2:$AZ$201,AZ89,$CE$2:$CE$201,1,$H$2:$H$201,"&lt;"&amp;H89)+COUNTIFS($AZ$2:$AZ$201,AZ89,$CE$2:$CE$201,1,$H$2:$H$201,H89,$BA$2:$BA$201,"&lt;"&amp;BA89)=0,1,0),0)</f>
        <v>0</v>
      </c>
      <c r="CG89" s="23" t="n">
        <f aca="false">IF(AND(BB89=1,G89="warm-intro"),1,0)</f>
        <v>0</v>
      </c>
      <c r="CH89" s="23" t="n">
        <f aca="false">IF(CG89=1,IF(COUNTIFS($AZ$2:$AZ$201,AZ89,$CG$2:$CG$201,1,$H$2:$H$201,"&lt;"&amp;H89)+COUNTIFS($AZ$2:$AZ$201,AZ89,$CG$2:$CG$201,1,$H$2:$H$201,H89,$BA$2:$BA$201,"&lt;"&amp;BA89)=0,1,0),0)</f>
        <v>0</v>
      </c>
      <c r="CI89" s="23" t="n">
        <f aca="false">IF(AND(BB89=1,Q89="Y"),1,0)</f>
        <v>0</v>
      </c>
      <c r="CJ89" s="23" t="n">
        <f aca="false">IF(CI89=1,IF(COUNTIFS($AZ$2:$AZ$201,AZ89,$CI$2:$CI$201,1,$H$2:$H$201,"&lt;"&amp;H89)+COUNTIFS($AZ$2:$AZ$201,AZ89,$CI$2:$CI$201,1,$H$2:$H$201,H89,$BA$2:$BA$201,"&lt;"&amp;BA89)=0,1,0),0)</f>
        <v>0</v>
      </c>
      <c r="CK89" s="23" t="n">
        <f aca="false">IF(AND(BB89=1,AF89="Y"),1,0)</f>
        <v>0</v>
      </c>
      <c r="CL89" s="23" t="n">
        <f aca="false">IF(CK89=1,IF(COUNTIFS($AZ$2:$AZ$201,AZ89,$CK$2:$CK$201,1,$H$2:$H$201,"&lt;"&amp;H89)+COUNTIFS($AZ$2:$AZ$201,AZ89,$CK$2:$CK$201,1,$H$2:$H$201,H89,$BA$2:$BA$201,"&lt;"&amp;BA89)=0,1,0),0)</f>
        <v>0</v>
      </c>
      <c r="CM89" s="23" t="n">
        <f aca="false">IF(AND(BB89=1,U89="Y"),1,0)</f>
        <v>0</v>
      </c>
      <c r="CN89" s="23" t="n">
        <f aca="false">IF(CM89=1,IF(COUNTIFS($AZ$2:$AZ$201,AZ89,$CM$2:$CM$201,1,$H$2:$H$201,"&lt;"&amp;H89)+COUNTIFS($AZ$2:$AZ$201,AZ89,$CM$2:$CM$201,1,$H$2:$H$201,H89,$BA$2:$BA$201,"&lt;"&amp;BA89)=0,1,0),0)</f>
        <v>0</v>
      </c>
      <c r="CO89" s="23" t="n">
        <f aca="false">IF(AND(BB89=1,L89="Y"),1,0)</f>
        <v>0</v>
      </c>
      <c r="CP89" s="23" t="n">
        <f aca="false">IF(CO89=1,IF(COUNTIFS($AZ$2:$AZ$201,AZ89,$CO$2:$CO$201,1,$H$2:$H$201,"&lt;"&amp;H89)+COUNTIFS($AZ$2:$AZ$201,AZ89,$CO$2:$CO$201,1,$H$2:$H$201,H89,$BA$2:$BA$201,"&lt;"&amp;BA89)=0,1,0),0)</f>
        <v>0</v>
      </c>
      <c r="CQ89" s="23" t="n">
        <f aca="false">IF(AND(BB89=1,ISNUMBER(O89)),1,0)</f>
        <v>0</v>
      </c>
      <c r="CR89" s="23" t="n">
        <f aca="false">IF(CQ89=1,IF(COUNTIFS($AZ$2:$AZ$201,AZ89,$CQ$2:$CQ$201,1,$H$2:$H$201,"&lt;"&amp;H89)+COUNTIFS($AZ$2:$AZ$201,AZ89,$CQ$2:$CQ$201,1,$H$2:$H$201,H89,$BA$2:$BA$201,"&lt;"&amp;BA89)=0,1,0),0)</f>
        <v>0</v>
      </c>
      <c r="CS89" s="23" t="str">
        <f aca="false">IF(AND(CR89=1,INT(N(H89))&lt;=Config!$B$5),O89,"")</f>
        <v/>
      </c>
      <c r="CT89" s="23" t="str">
        <f aca="false">IF(AND(BB89=1,INT(N(H89))&lt;=Config!$B$5),AG89&amp;"","")</f>
        <v/>
      </c>
      <c r="CU89" s="23" t="n">
        <f aca="false">IF(AND(BB89=1,AU89="Y"),1,0)</f>
        <v>0</v>
      </c>
      <c r="CV89" s="23" t="n">
        <f aca="false">IF(CU89=1,IF(COUNTIFS($AZ$2:$AZ$201,AZ89,$CU$2:$CU$201,1,$H$2:$H$201,"&lt;"&amp;H89)+COUNTIFS($AZ$2:$AZ$201,AZ89,$CU$2:$CU$201,1,$H$2:$H$201,H89,$BA$2:$BA$201,"&lt;"&amp;BA89)=0,1,0),0)</f>
        <v>0</v>
      </c>
      <c r="CW89" s="23" t="str">
        <f aca="false">IF(BB89=1,IFERROR(MATCH($A89,INDEX(Clay_Offices!$A$2:$FZ$601,0,Sync!$C$5),0),""),"")</f>
        <v/>
      </c>
      <c r="CX89" s="23" t="str">
        <f aca="false">IF(CW89="","",IFERROR(INDEX(Clay_Offices!$A$2:$FZ$601,CW89,Sync!$C$7)&amp;"",""))</f>
        <v/>
      </c>
      <c r="CY89" s="23" t="str">
        <f aca="false">IF(CX89="","",IFERROR(INDEX(Lists!$K$2:$K$15,MATCH(CX89,Lists!$J$2:$J$15,0)),""))</f>
        <v/>
      </c>
      <c r="CZ89" s="23" t="str">
        <f aca="false">IF(CW89="","",IFERROR(INDEX(Clay_Offices!$A$2:$FZ$601,CW89,Sync!$C$17)&amp;"",""))</f>
        <v/>
      </c>
      <c r="DA89" s="35" t="str">
        <f aca="false">IF(CW89="","",IFERROR(N(INDEX(Clay_Offices!$A$2:$FZ$601,CW89,Sync!$C$16)),0))</f>
        <v/>
      </c>
      <c r="DB89" s="23" t="n">
        <f aca="false">IF(AND(BB89=1,OR(AR89="Y",AR89="N",AR89="maybe")),1,0)</f>
        <v>0</v>
      </c>
      <c r="DC89" s="23" t="n">
        <f aca="false">IF(AND(DB89=1),IF(COUNTIFS($A$2:$A$201,$A89,$DB$2:$DB$201,1,$H$2:$H$201,"&gt;"&amp;H89)+COUNTIFS($A$2:$A$201,$A89,$DB$2:$DB$201,1,$H$2:$H$201,H89,$BA$2:$BA$201,"&gt;"&amp;BA89)=0,1,0),0)</f>
        <v>0</v>
      </c>
      <c r="DD89" s="23" t="n">
        <f aca="false">IF(AND(DB89=1,INT(N(H89))&lt;=Config!$B$6),IF(COUNTIFS($AZ$2:$AZ$201,AZ89,$DB$2:$DB$201,1,$H$2:$H$201,"&gt;"&amp;H89,$H$2:$H$201,"&lt;"&amp;(Config!$B$6+1))+COUNTIFS($AZ$2:$AZ$201,AZ89,$DB$2:$DB$201,1,$H$2:$H$201,H89,$BA$2:$BA$201,"&gt;"&amp;BA89)=0,1,0),0)</f>
        <v>0</v>
      </c>
      <c r="DE89" s="23" t="n">
        <f aca="false">IF(AND(DB89=1,INT(N(H89))&lt;=Config!$B$7),IF(COUNTIFS($AZ$2:$AZ$201,AZ89,$DB$2:$DB$201,1,$H$2:$H$201,"&gt;"&amp;H89,$H$2:$H$201,"&lt;"&amp;(Config!$B$7+1))+COUNTIFS($AZ$2:$AZ$201,AZ89,$DB$2:$DB$201,1,$H$2:$H$201,H89,$BA$2:$BA$201,"&gt;"&amp;BA89)=0,1,0),0)</f>
        <v>0</v>
      </c>
      <c r="DF89" s="23" t="n">
        <f aca="false">IF(AND(DB89=1,INT(N(H89))&lt;=Config!$B$8),IF(COUNTIFS($AZ$2:$AZ$201,AZ89,$DB$2:$DB$201,1,$H$2:$H$201,"&gt;"&amp;H89,$H$2:$H$201,"&lt;"&amp;(Config!$B$8+1))+COUNTIFS($AZ$2:$AZ$201,AZ89,$DB$2:$DB$201,1,$H$2:$H$201,H89,$BA$2:$BA$201,"&gt;"&amp;BA89)=0,1,0),0)</f>
        <v>0</v>
      </c>
      <c r="DG89" s="23" t="n">
        <f aca="false">IF(AND(DB89=1,INT(N(H89))&lt;=Config!$B$5),IF(COUNTIFS($AZ$2:$AZ$201,AZ89,$DB$2:$DB$201,1,$H$2:$H$201,"&gt;"&amp;H89,$H$2:$H$201,"&lt;"&amp;(Config!$B$5+1))+COUNTIFS($AZ$2:$AZ$201,AZ89,$DB$2:$DB$201,1,$H$2:$H$201,H89,$BA$2:$BA$201,"&gt;"&amp;BA89)=0,1,0),0)</f>
        <v>0</v>
      </c>
      <c r="DH89" s="23" t="n">
        <f aca="false">IF(BB89=1,IF(COUNTIFS($AZ$2:$AZ$201,AZ89,$DD$2:$DD$201,1,$AR$2:$AR$201,"Y")&gt;0,1,0),0)</f>
        <v>0</v>
      </c>
      <c r="DI89" s="23" t="n">
        <f aca="false">IF(BB89=1,IF(COUNTIFS($AZ$2:$AZ$201,AZ89,$DE$2:$DE$201,1,$AR$2:$AR$201,"Y")&gt;0,1,0),0)</f>
        <v>0</v>
      </c>
      <c r="DJ89" s="23" t="n">
        <f aca="false">IF(BB89=1,IF(COUNTIFS($AZ$2:$AZ$201,AZ89,$DF$2:$DF$201,1,$AR$2:$AR$201,"Y")&gt;0,1,0),0)</f>
        <v>0</v>
      </c>
      <c r="DK89" s="23" t="n">
        <f aca="false">IF(BB89=1,IF(COUNTIFS($AZ$2:$AZ$201,AZ89,$DG$2:$DG$201,1,$AR$2:$AR$201,"Y")&gt;0,1,0),0)</f>
        <v>0</v>
      </c>
      <c r="DL89" s="23" t="n">
        <f aca="false">IF(AND(BF89=1,INT(N(H89))&lt;=Config!$B$6,DH89=1,EI89=0),1,0)</f>
        <v>0</v>
      </c>
      <c r="DM89" s="23" t="n">
        <f aca="false">IF(AND(BF89=1,INT(N(H89))&lt;=Config!$B$7,DI89=1,EI89=0),1,0)</f>
        <v>0</v>
      </c>
      <c r="DN89" s="23" t="n">
        <f aca="false">IF(AND(BF89=1,INT(N(H89))&lt;=Config!$B$8,DJ89=1,EI89=0),1,0)</f>
        <v>0</v>
      </c>
      <c r="DO89" s="23" t="n">
        <f aca="false">IF(AND(BF89=1,INT(N(H89))&lt;=Config!$B$5,DK89=1,EI89=0),1,0)</f>
        <v>0</v>
      </c>
      <c r="DP89" s="23" t="n">
        <f aca="false">IF(AND(CC89=1,INT(N(H89))&lt;=Config!$B$6,DH89=1,EI89=0),1,0)</f>
        <v>0</v>
      </c>
      <c r="DQ89" s="23" t="n">
        <f aca="false">IF(AND(CC89=1,INT(N(H89))&lt;=Config!$B$7,DI89=1,EI89=0),1,0)</f>
        <v>0</v>
      </c>
      <c r="DR89" s="23" t="n">
        <f aca="false">IF(AND(CC89=1,INT(N(H89))&lt;=Config!$B$8,DJ89=1,EI89=0),1,0)</f>
        <v>0</v>
      </c>
      <c r="DS89" s="23" t="n">
        <f aca="false">IF(AND(CC89=1,INT(N(H89))&lt;=Config!$B$5,DK89=1,EI89=0),1,0)</f>
        <v>0</v>
      </c>
      <c r="DT89" s="23" t="n">
        <f aca="false">IF(AND(CC89=1,INT(N(H89))&lt;=Config!$B$6,DH89=0),1,0)</f>
        <v>0</v>
      </c>
      <c r="DU89" s="23" t="n">
        <f aca="false">IF(AND(CC89=1,INT(N(H89))&lt;=Config!$B$7,DI89=0),1,0)</f>
        <v>0</v>
      </c>
      <c r="DV89" s="23" t="n">
        <f aca="false">IF(AND(CC89=1,INT(N(H89))&lt;=Config!$B$8,DJ89=0),1,0)</f>
        <v>0</v>
      </c>
      <c r="DW89" s="23" t="n">
        <f aca="false">IF(AND(CC89=1,INT(N(H89))&lt;=Config!$B$5,DK89=0),1,0)</f>
        <v>0</v>
      </c>
      <c r="DX89" s="23" t="n">
        <f aca="false">IF(TRIM($A89)="",0,ISTEXT(M89)+ISTEXT(O89)+ISTEXT(Y89)+ISTEXT(Z89)+ISTEXT(AA89)+ISTEXT(AV89))</f>
        <v>0</v>
      </c>
      <c r="DY89" s="23" t="n">
        <f aca="false">IF(BB89=1,IF(H89&lt;&gt;INT(H89),1,0),0)</f>
        <v>0</v>
      </c>
      <c r="DZ89" s="23" t="str">
        <f aca="false">IF(TRIM($A89)="","",IF(TRIM(B89)="",SUBSTITUTE(SUBSTITUTE(SUBSTITUTE(SUBSTITUTE(SUBSTITUTE(SUBSTITUTE(LOWER(TRIM($A89)),"~",""),"*",""),"?",""),"&lt;",""),"&gt;",""),"=",""),SUBSTITUTE(SUBSTITUTE(SUBSTITUTE(SUBSTITUTE(SUBSTITUTE(SUBSTITUTE(LOWER(TRIM(B89)),"~",""),"*",""),"?",""),"&lt;",""),"&gt;",""),"=","")))</f>
        <v/>
      </c>
      <c r="EA89" s="23" t="str">
        <f aca="false">IF(CW89="","",IFERROR(IF(LEFT(LOWER(TRIM(INDEX(Clay_Offices!$A$2:$FZ$601,CW89,Sync!$C$19)&amp;"")),4)="grp-",SUBSTITUTE(SUBSTITUTE(SUBSTITUTE(SUBSTITUTE(SUBSTITUTE(SUBSTITUTE(LOWER(TRIM(INDEX(Clay_Offices!$A$2:$FZ$601,CW89,Sync!$C$19)&amp;"")),"~",""),"*",""),"?",""),"&lt;",""),"&gt;",""),"=",""),""),""))</f>
        <v/>
      </c>
      <c r="EB89" s="23" t="str">
        <f aca="false">IF(EA89&lt;&gt;"",DZ89,"")</f>
        <v/>
      </c>
      <c r="EC89" s="23" t="str">
        <f aca="false">IF(BC89=1,AZ89,"")</f>
        <v/>
      </c>
      <c r="ED89" s="23" t="str">
        <f aca="false">IF(TRIM($A89)="","",IFERROR(INDEX($A$2:$A$201,MATCH(AZ89,$EC$2:$EC$201,0))&amp;"",$A89&amp;""))</f>
        <v/>
      </c>
      <c r="EE89" s="23" t="n">
        <f aca="false">IF(BB89=1,IF(COUNTIFS($A$2:$A$201,$A89,$BB$2:$BB$201,1,$H$2:$H$201,"&lt;"&amp;H89)+COUNTIFS($A$2:$A$201,$A89,$BB$2:$BB$201,1,$H$2:$H$201,H89,$BA$2:$BA$201,"&lt;"&amp;BA89)=0,1,0),0)</f>
        <v>0</v>
      </c>
      <c r="EF89" s="23" t="n">
        <f aca="false">IF(BC89=1,IF(COUNTIFS($AZ$2:$AZ$201,AZ89,$EE$2:$EE$201,1)&gt;1,1,0),0)</f>
        <v>0</v>
      </c>
      <c r="EG89" s="23" t="n">
        <f aca="false">IF(AND(CQ89=1),IF(COUNTIFS($AZ$2:$AZ$201,AZ89,$CQ$2:$CQ$201,1,$H$2:$H$201,"&gt;"&amp;H89)+COUNTIFS($AZ$2:$AZ$201,AZ89,$CQ$2:$CQ$201,1,$H$2:$H$201,H89,$BA$2:$BA$201,"&gt;"&amp;BA89)=0,1,0),0)</f>
        <v>0</v>
      </c>
      <c r="EH89" s="23" t="str">
        <f aca="false">IF(BB89=1,IF(COUNTIFS($AZ$2:$AZ$201,AZ89,$EG$2:$EG$201,1)=0,"",SUMIFS($O$2:$O$201,$AZ$2:$AZ$201,AZ89,$EG$2:$EG$201,1)),"")</f>
        <v/>
      </c>
      <c r="EI89" s="23" t="n">
        <f aca="false">IF(AND(ISNUMBER(EH89),OR(N(EH89)&lt;Config!$B$31,N(EH89)&gt;Config!$B$33)),1,0)</f>
        <v>0</v>
      </c>
      <c r="EJ89" s="23" t="n">
        <f aca="false">IF(AND(ISNUMBER(EH89),N(EH89)&gt;=Config!$B$31,N(EH89)&lt;Config!$B$32),1,0)</f>
        <v>0</v>
      </c>
      <c r="EK89" s="23" t="n">
        <f aca="false">IF(AND(BF89=1,INT(N(H89))&lt;=Config!$B$6,DH89=1,EI89=1),1,0)</f>
        <v>0</v>
      </c>
      <c r="EL89" s="23" t="n">
        <f aca="false">IF(AND(BF89=1,INT(N(H89))&lt;=Config!$B$7,DI89=1,EI89=1),1,0)</f>
        <v>0</v>
      </c>
      <c r="EM89" s="23" t="n">
        <f aca="false">IF(AND(BF89=1,INT(N(H89))&lt;=Config!$B$8,DJ89=1,EI89=1),1,0)</f>
        <v>0</v>
      </c>
      <c r="EN89" s="23" t="n">
        <f aca="false">IF(AND(BF89=1,INT(N(H89))&lt;=Config!$B$5,DK89=1,EI89=1),1,0)</f>
        <v>0</v>
      </c>
      <c r="EO89" s="23" t="n">
        <f aca="false">IF(AND(DL89=1,EJ89=1),1,0)</f>
        <v>0</v>
      </c>
      <c r="EP89" s="23" t="n">
        <f aca="false">IF(AND(DM89=1,EJ89=1),1,0)</f>
        <v>0</v>
      </c>
      <c r="EQ89" s="23" t="n">
        <f aca="false">IF(AND(DN89=1,EJ89=1),1,0)</f>
        <v>0</v>
      </c>
      <c r="ER89" s="23" t="n">
        <f aca="false">IF(AND(DO89=1,EJ89=1),1,0)</f>
        <v>0</v>
      </c>
    </row>
    <row r="90" customFormat="false" ht="15" hidden="false" customHeight="false" outlineLevel="0" collapsed="false">
      <c r="G90" s="32"/>
      <c r="H90" s="33"/>
      <c r="I90" s="32"/>
      <c r="L90" s="32"/>
      <c r="Q90" s="32"/>
      <c r="U90" s="32"/>
      <c r="W90" s="32"/>
      <c r="AC90" s="32"/>
      <c r="AF90" s="32"/>
      <c r="AI90" s="32"/>
      <c r="AJ90" s="32"/>
      <c r="AN90" s="32"/>
      <c r="AR90" s="32"/>
      <c r="AT90" s="32"/>
      <c r="AU90" s="32"/>
      <c r="AW90" s="32"/>
      <c r="AY90" s="34" t="str">
        <f aca="false">IF(TRIM($A90)="","",IF(AND(LEFT($A90,6)="SAMPLE",Config!$B$19&lt;&gt;"Y"),"",IF(NOT(ISNUMBER(H90)),"call_date is blank or not a date",IF(Sync!$C$5="","Clay paste is empty or has no row_id column: paste the Clay export on Clay_Offices",IF(CW90="","row_id not found in the Clay paste: add the Clay row or fix the row_id",IF(AND(ISNUMBER(CY90),CY90&gt;=1,CY90&lt;=5),"Clay status is "&amp;CX90&amp;": set call_done or later",IF(AND(BD90=1,CZ90&lt;&gt;BZ90),"Clay yes_in_principle should be "&amp;BZ90,IF(AND(BD90=1,DA90&lt;&gt;H90),"Clay call_date should be "&amp;TEXT(H90,"yyyy-mm-dd"),""))))))))</f>
        <v/>
      </c>
      <c r="AZ90" s="23" t="str">
        <f aca="false">IF(TRIM($A90)="","",IF(TRIM(C90)&lt;&gt;"",SUBSTITUTE(SUBSTITUTE(SUBSTITUTE(SUBSTITUTE(SUBSTITUTE(SUBSTITUTE(LOWER(TRIM(C90)),"~",""),"*",""),"?",""),"&lt;",""),"&gt;",""),"=",""),IF(EA90&lt;&gt;"",EA90,IFERROR(INDEX($EA$2:$EA$201,MATCH(DZ90,$EB$2:$EB$201,0)),DZ90))))</f>
        <v/>
      </c>
      <c r="BA90" s="23" t="n">
        <f aca="false">ROW()</f>
        <v>90</v>
      </c>
      <c r="BB90" s="23" t="n">
        <f aca="false">IF(AND(TRIM($A90)&lt;&gt;"",ISNUMBER(H90)),IF(AND(LEFT($A90,6)="SAMPLE",Config!$B$19&lt;&gt;"Y"),0,1),0)</f>
        <v>0</v>
      </c>
      <c r="BC90" s="23" t="n">
        <f aca="false">IF(BB90=1,IF(COUNTIFS($AZ$2:$AZ$201,AZ90,$BB$2:$BB$201,1,$H$2:$H$201,"&lt;"&amp;H90)+COUNTIFS($AZ$2:$AZ$201,AZ90,$BB$2:$BB$201,1,$H$2:$H$201,H90,$BA$2:$BA$201,"&lt;"&amp;BA90)=0,1,0),0)</f>
        <v>0</v>
      </c>
      <c r="BD90" s="23" t="n">
        <f aca="false">IF(BB90=1,IF(COUNTIFS($A$2:$A$201,$A90,$BB$2:$BB$201,1,$H$2:$H$201,"&gt;"&amp;H90)+COUNTIFS($A$2:$A$201,$A90,$BB$2:$BB$201,1,$H$2:$H$201,H90,$BA$2:$BA$201,"&gt;"&amp;BA90)=0,1,0),0)</f>
        <v>0</v>
      </c>
      <c r="BE90" s="23" t="n">
        <f aca="false">IF(AND(BB90=1,AR90="Y",AC90="Y",TRIM(AH90)&lt;&gt;""),1,0)</f>
        <v>0</v>
      </c>
      <c r="BF90" s="23" t="n">
        <f aca="false">IF(BE90=1,IF(COUNTIFS($AZ$2:$AZ$201,AZ90,$BE$2:$BE$201,1,$H$2:$H$201,"&lt;"&amp;H90)+COUNTIFS($AZ$2:$AZ$201,AZ90,$BE$2:$BE$201,1,$H$2:$H$201,H90,$BA$2:$BA$201,"&lt;"&amp;BA90)=0,1,0),0)</f>
        <v>0</v>
      </c>
      <c r="BG90" s="23" t="n">
        <f aca="false">IF(AND(BB90=1,AR90="Y",BE90=0),1,0)</f>
        <v>0</v>
      </c>
      <c r="BH90" s="23" t="n">
        <f aca="false">IF(AND(BB90=1,ISNUMBER(Y90)),1,0)</f>
        <v>0</v>
      </c>
      <c r="BI90" s="23" t="n">
        <f aca="false">IF(BH90=1,IF(COUNTIFS($AZ$2:$AZ$201,AZ90,$BH$2:$BH$201,1,$H$2:$H$201,"&lt;"&amp;H90)+COUNTIFS($AZ$2:$AZ$201,AZ90,$BH$2:$BH$201,1,$H$2:$H$201,H90,$BA$2:$BA$201,"&lt;"&amp;BA90)=0,1,0),0)</f>
        <v>0</v>
      </c>
      <c r="BJ90" s="23" t="str">
        <f aca="false">IF(AND(BI90=1,INT(N(H90))&lt;=Config!$B$6),Y90,"")</f>
        <v/>
      </c>
      <c r="BK90" s="23" t="str">
        <f aca="false">IF(AND(BI90=1,INT(N(H90))&lt;=Config!$B$7),Y90,"")</f>
        <v/>
      </c>
      <c r="BL90" s="23" t="str">
        <f aca="false">IF(AND(BI90=1,INT(N(H90))&lt;=Config!$B$8),Y90,"")</f>
        <v/>
      </c>
      <c r="BM90" s="23" t="str">
        <f aca="false">IF(AND(BI90=1,INT(N(H90))&lt;=Config!$B$5),Y90,"")</f>
        <v/>
      </c>
      <c r="BN90" s="23" t="n">
        <f aca="false">IF(CD90=1,IF(COUNTIFS($AZ$2:$AZ$201,AZ90,$CD$2:$CD$201,1,$H$2:$H$201,"&lt;"&amp;H90)+COUNTIFS($AZ$2:$AZ$201,AZ90,$CD$2:$CD$201,1,$H$2:$H$201,H90,$BA$2:$BA$201,"&lt;"&amp;BA90)=0,1,0),0)</f>
        <v>0</v>
      </c>
      <c r="BO90" s="23" t="n">
        <f aca="false">IF(AND(BB90=1,ISNUMBER(M90)),1,0)</f>
        <v>0</v>
      </c>
      <c r="BP90" s="23" t="n">
        <f aca="false">IF(BO90=1,IF(COUNTIFS($AZ$2:$AZ$201,AZ90,$BO$2:$BO$201,1,$H$2:$H$201,"&lt;"&amp;H90)+COUNTIFS($AZ$2:$AZ$201,AZ90,$BO$2:$BO$201,1,$H$2:$H$201,H90,$BA$2:$BA$201,"&lt;"&amp;BA90)=0,1,0),0)</f>
        <v>0</v>
      </c>
      <c r="BQ90" s="23" t="str">
        <f aca="false">IF(AND(BP90=1,INT(N(H90))&lt;=Config!$B$5),M90,"")</f>
        <v/>
      </c>
      <c r="BR90" s="23" t="n">
        <f aca="false">IF(AND(BB90=1,OR(TRIM(X90)&lt;&gt;"",ISNUMBER(Y90))),1,0)</f>
        <v>0</v>
      </c>
      <c r="BS90" s="23" t="n">
        <f aca="false">IF(BR90=1,IF(COUNTIFS($AZ$2:$AZ$201,AZ90,$BR$2:$BR$201,1,$H$2:$H$201,"&lt;"&amp;H90)+COUNTIFS($AZ$2:$AZ$201,AZ90,$BR$2:$BR$201,1,$H$2:$H$201,H90,$BA$2:$BA$201,"&lt;"&amp;BA90)=0,1,0),0)</f>
        <v>0</v>
      </c>
      <c r="BT90" s="23" t="str">
        <f aca="false">IF(BS90=1,AZ90,"")</f>
        <v/>
      </c>
      <c r="BU90" s="23" t="n">
        <f aca="false">IF(AND(BB90=1,W90="Y",TRIM(X90)=""),1,0)</f>
        <v>0</v>
      </c>
      <c r="BV90" s="23" t="str">
        <f aca="false">IF(BB90=1,AN90&amp;"","")</f>
        <v/>
      </c>
      <c r="BW90" s="23" t="str">
        <f aca="false">IF(BB90=1,AO90&amp;"","")</f>
        <v/>
      </c>
      <c r="BX90" s="23" t="str">
        <f aca="false">IF(BB90=1,AP90&amp;"","")</f>
        <v/>
      </c>
      <c r="BY90" s="23" t="str">
        <f aca="false">IF(AND(BB90=1,ISNUMBER(AV90),INT(N(H90))&lt;=Config!$B$5),AV90,"")</f>
        <v/>
      </c>
      <c r="BZ90" s="23" t="str">
        <f aca="false">IF(BB90=1,IF(COUNTIFS($A$2:$A$201,$A90,$DC$2:$DC$201,1,$AR$2:$AR$201,"Y")&gt;0,"Y","N"),"")</f>
        <v/>
      </c>
      <c r="CA90" s="23" t="n">
        <f aca="false">IF(AND(BB90=1,AR90="maybe"),1,0)</f>
        <v>0</v>
      </c>
      <c r="CB90" s="23" t="n">
        <f aca="false">IF(CA90=1,IF(COUNTIFS($AZ$2:$AZ$201,AZ90,$CA$2:$CA$201,1,$H$2:$H$201,"&lt;"&amp;H90)+COUNTIFS($AZ$2:$AZ$201,AZ90,$CA$2:$CA$201,1,$H$2:$H$201,H90,$BA$2:$BA$201,"&lt;"&amp;BA90)=0,1,0),0)</f>
        <v>0</v>
      </c>
      <c r="CC90" s="23" t="n">
        <f aca="false">IF(AND(BB90=1,AR90="Y"),IF(COUNTIFS($AZ$2:$AZ$201,AZ90,$AR$2:$AR$201,"Y",$BB$2:$BB$201,1,$H$2:$H$201,"&lt;"&amp;H90)+COUNTIFS($AZ$2:$AZ$201,AZ90,$AR$2:$AR$201,"Y",$BB$2:$BB$201,1,$H$2:$H$201,H90,$BA$2:$BA$201,"&lt;"&amp;BA90)=0,1,0),0)</f>
        <v>0</v>
      </c>
      <c r="CD90" s="23" t="n">
        <f aca="false">IF(AND(BH90=1,N(Y90)&gt;=Config!$B$15),1,0)</f>
        <v>0</v>
      </c>
      <c r="CE90" s="23" t="n">
        <f aca="false">IF(AND(BB90=1,AT90="Y"),1,0)</f>
        <v>0</v>
      </c>
      <c r="CF90" s="23" t="n">
        <f aca="false">IF(CE90=1,IF(COUNTIFS($AZ$2:$AZ$201,AZ90,$CE$2:$CE$201,1,$H$2:$H$201,"&lt;"&amp;H90)+COUNTIFS($AZ$2:$AZ$201,AZ90,$CE$2:$CE$201,1,$H$2:$H$201,H90,$BA$2:$BA$201,"&lt;"&amp;BA90)=0,1,0),0)</f>
        <v>0</v>
      </c>
      <c r="CG90" s="23" t="n">
        <f aca="false">IF(AND(BB90=1,G90="warm-intro"),1,0)</f>
        <v>0</v>
      </c>
      <c r="CH90" s="23" t="n">
        <f aca="false">IF(CG90=1,IF(COUNTIFS($AZ$2:$AZ$201,AZ90,$CG$2:$CG$201,1,$H$2:$H$201,"&lt;"&amp;H90)+COUNTIFS($AZ$2:$AZ$201,AZ90,$CG$2:$CG$201,1,$H$2:$H$201,H90,$BA$2:$BA$201,"&lt;"&amp;BA90)=0,1,0),0)</f>
        <v>0</v>
      </c>
      <c r="CI90" s="23" t="n">
        <f aca="false">IF(AND(BB90=1,Q90="Y"),1,0)</f>
        <v>0</v>
      </c>
      <c r="CJ90" s="23" t="n">
        <f aca="false">IF(CI90=1,IF(COUNTIFS($AZ$2:$AZ$201,AZ90,$CI$2:$CI$201,1,$H$2:$H$201,"&lt;"&amp;H90)+COUNTIFS($AZ$2:$AZ$201,AZ90,$CI$2:$CI$201,1,$H$2:$H$201,H90,$BA$2:$BA$201,"&lt;"&amp;BA90)=0,1,0),0)</f>
        <v>0</v>
      </c>
      <c r="CK90" s="23" t="n">
        <f aca="false">IF(AND(BB90=1,AF90="Y"),1,0)</f>
        <v>0</v>
      </c>
      <c r="CL90" s="23" t="n">
        <f aca="false">IF(CK90=1,IF(COUNTIFS($AZ$2:$AZ$201,AZ90,$CK$2:$CK$201,1,$H$2:$H$201,"&lt;"&amp;H90)+COUNTIFS($AZ$2:$AZ$201,AZ90,$CK$2:$CK$201,1,$H$2:$H$201,H90,$BA$2:$BA$201,"&lt;"&amp;BA90)=0,1,0),0)</f>
        <v>0</v>
      </c>
      <c r="CM90" s="23" t="n">
        <f aca="false">IF(AND(BB90=1,U90="Y"),1,0)</f>
        <v>0</v>
      </c>
      <c r="CN90" s="23" t="n">
        <f aca="false">IF(CM90=1,IF(COUNTIFS($AZ$2:$AZ$201,AZ90,$CM$2:$CM$201,1,$H$2:$H$201,"&lt;"&amp;H90)+COUNTIFS($AZ$2:$AZ$201,AZ90,$CM$2:$CM$201,1,$H$2:$H$201,H90,$BA$2:$BA$201,"&lt;"&amp;BA90)=0,1,0),0)</f>
        <v>0</v>
      </c>
      <c r="CO90" s="23" t="n">
        <f aca="false">IF(AND(BB90=1,L90="Y"),1,0)</f>
        <v>0</v>
      </c>
      <c r="CP90" s="23" t="n">
        <f aca="false">IF(CO90=1,IF(COUNTIFS($AZ$2:$AZ$201,AZ90,$CO$2:$CO$201,1,$H$2:$H$201,"&lt;"&amp;H90)+COUNTIFS($AZ$2:$AZ$201,AZ90,$CO$2:$CO$201,1,$H$2:$H$201,H90,$BA$2:$BA$201,"&lt;"&amp;BA90)=0,1,0),0)</f>
        <v>0</v>
      </c>
      <c r="CQ90" s="23" t="n">
        <f aca="false">IF(AND(BB90=1,ISNUMBER(O90)),1,0)</f>
        <v>0</v>
      </c>
      <c r="CR90" s="23" t="n">
        <f aca="false">IF(CQ90=1,IF(COUNTIFS($AZ$2:$AZ$201,AZ90,$CQ$2:$CQ$201,1,$H$2:$H$201,"&lt;"&amp;H90)+COUNTIFS($AZ$2:$AZ$201,AZ90,$CQ$2:$CQ$201,1,$H$2:$H$201,H90,$BA$2:$BA$201,"&lt;"&amp;BA90)=0,1,0),0)</f>
        <v>0</v>
      </c>
      <c r="CS90" s="23" t="str">
        <f aca="false">IF(AND(CR90=1,INT(N(H90))&lt;=Config!$B$5),O90,"")</f>
        <v/>
      </c>
      <c r="CT90" s="23" t="str">
        <f aca="false">IF(AND(BB90=1,INT(N(H90))&lt;=Config!$B$5),AG90&amp;"","")</f>
        <v/>
      </c>
      <c r="CU90" s="23" t="n">
        <f aca="false">IF(AND(BB90=1,AU90="Y"),1,0)</f>
        <v>0</v>
      </c>
      <c r="CV90" s="23" t="n">
        <f aca="false">IF(CU90=1,IF(COUNTIFS($AZ$2:$AZ$201,AZ90,$CU$2:$CU$201,1,$H$2:$H$201,"&lt;"&amp;H90)+COUNTIFS($AZ$2:$AZ$201,AZ90,$CU$2:$CU$201,1,$H$2:$H$201,H90,$BA$2:$BA$201,"&lt;"&amp;BA90)=0,1,0),0)</f>
        <v>0</v>
      </c>
      <c r="CW90" s="23" t="str">
        <f aca="false">IF(BB90=1,IFERROR(MATCH($A90,INDEX(Clay_Offices!$A$2:$FZ$601,0,Sync!$C$5),0),""),"")</f>
        <v/>
      </c>
      <c r="CX90" s="23" t="str">
        <f aca="false">IF(CW90="","",IFERROR(INDEX(Clay_Offices!$A$2:$FZ$601,CW90,Sync!$C$7)&amp;"",""))</f>
        <v/>
      </c>
      <c r="CY90" s="23" t="str">
        <f aca="false">IF(CX90="","",IFERROR(INDEX(Lists!$K$2:$K$15,MATCH(CX90,Lists!$J$2:$J$15,0)),""))</f>
        <v/>
      </c>
      <c r="CZ90" s="23" t="str">
        <f aca="false">IF(CW90="","",IFERROR(INDEX(Clay_Offices!$A$2:$FZ$601,CW90,Sync!$C$17)&amp;"",""))</f>
        <v/>
      </c>
      <c r="DA90" s="35" t="str">
        <f aca="false">IF(CW90="","",IFERROR(N(INDEX(Clay_Offices!$A$2:$FZ$601,CW90,Sync!$C$16)),0))</f>
        <v/>
      </c>
      <c r="DB90" s="23" t="n">
        <f aca="false">IF(AND(BB90=1,OR(AR90="Y",AR90="N",AR90="maybe")),1,0)</f>
        <v>0</v>
      </c>
      <c r="DC90" s="23" t="n">
        <f aca="false">IF(AND(DB90=1),IF(COUNTIFS($A$2:$A$201,$A90,$DB$2:$DB$201,1,$H$2:$H$201,"&gt;"&amp;H90)+COUNTIFS($A$2:$A$201,$A90,$DB$2:$DB$201,1,$H$2:$H$201,H90,$BA$2:$BA$201,"&gt;"&amp;BA90)=0,1,0),0)</f>
        <v>0</v>
      </c>
      <c r="DD90" s="23" t="n">
        <f aca="false">IF(AND(DB90=1,INT(N(H90))&lt;=Config!$B$6),IF(COUNTIFS($AZ$2:$AZ$201,AZ90,$DB$2:$DB$201,1,$H$2:$H$201,"&gt;"&amp;H90,$H$2:$H$201,"&lt;"&amp;(Config!$B$6+1))+COUNTIFS($AZ$2:$AZ$201,AZ90,$DB$2:$DB$201,1,$H$2:$H$201,H90,$BA$2:$BA$201,"&gt;"&amp;BA90)=0,1,0),0)</f>
        <v>0</v>
      </c>
      <c r="DE90" s="23" t="n">
        <f aca="false">IF(AND(DB90=1,INT(N(H90))&lt;=Config!$B$7),IF(COUNTIFS($AZ$2:$AZ$201,AZ90,$DB$2:$DB$201,1,$H$2:$H$201,"&gt;"&amp;H90,$H$2:$H$201,"&lt;"&amp;(Config!$B$7+1))+COUNTIFS($AZ$2:$AZ$201,AZ90,$DB$2:$DB$201,1,$H$2:$H$201,H90,$BA$2:$BA$201,"&gt;"&amp;BA90)=0,1,0),0)</f>
        <v>0</v>
      </c>
      <c r="DF90" s="23" t="n">
        <f aca="false">IF(AND(DB90=1,INT(N(H90))&lt;=Config!$B$8),IF(COUNTIFS($AZ$2:$AZ$201,AZ90,$DB$2:$DB$201,1,$H$2:$H$201,"&gt;"&amp;H90,$H$2:$H$201,"&lt;"&amp;(Config!$B$8+1))+COUNTIFS($AZ$2:$AZ$201,AZ90,$DB$2:$DB$201,1,$H$2:$H$201,H90,$BA$2:$BA$201,"&gt;"&amp;BA90)=0,1,0),0)</f>
        <v>0</v>
      </c>
      <c r="DG90" s="23" t="n">
        <f aca="false">IF(AND(DB90=1,INT(N(H90))&lt;=Config!$B$5),IF(COUNTIFS($AZ$2:$AZ$201,AZ90,$DB$2:$DB$201,1,$H$2:$H$201,"&gt;"&amp;H90,$H$2:$H$201,"&lt;"&amp;(Config!$B$5+1))+COUNTIFS($AZ$2:$AZ$201,AZ90,$DB$2:$DB$201,1,$H$2:$H$201,H90,$BA$2:$BA$201,"&gt;"&amp;BA90)=0,1,0),0)</f>
        <v>0</v>
      </c>
      <c r="DH90" s="23" t="n">
        <f aca="false">IF(BB90=1,IF(COUNTIFS($AZ$2:$AZ$201,AZ90,$DD$2:$DD$201,1,$AR$2:$AR$201,"Y")&gt;0,1,0),0)</f>
        <v>0</v>
      </c>
      <c r="DI90" s="23" t="n">
        <f aca="false">IF(BB90=1,IF(COUNTIFS($AZ$2:$AZ$201,AZ90,$DE$2:$DE$201,1,$AR$2:$AR$201,"Y")&gt;0,1,0),0)</f>
        <v>0</v>
      </c>
      <c r="DJ90" s="23" t="n">
        <f aca="false">IF(BB90=1,IF(COUNTIFS($AZ$2:$AZ$201,AZ90,$DF$2:$DF$201,1,$AR$2:$AR$201,"Y")&gt;0,1,0),0)</f>
        <v>0</v>
      </c>
      <c r="DK90" s="23" t="n">
        <f aca="false">IF(BB90=1,IF(COUNTIFS($AZ$2:$AZ$201,AZ90,$DG$2:$DG$201,1,$AR$2:$AR$201,"Y")&gt;0,1,0),0)</f>
        <v>0</v>
      </c>
      <c r="DL90" s="23" t="n">
        <f aca="false">IF(AND(BF90=1,INT(N(H90))&lt;=Config!$B$6,DH90=1,EI90=0),1,0)</f>
        <v>0</v>
      </c>
      <c r="DM90" s="23" t="n">
        <f aca="false">IF(AND(BF90=1,INT(N(H90))&lt;=Config!$B$7,DI90=1,EI90=0),1,0)</f>
        <v>0</v>
      </c>
      <c r="DN90" s="23" t="n">
        <f aca="false">IF(AND(BF90=1,INT(N(H90))&lt;=Config!$B$8,DJ90=1,EI90=0),1,0)</f>
        <v>0</v>
      </c>
      <c r="DO90" s="23" t="n">
        <f aca="false">IF(AND(BF90=1,INT(N(H90))&lt;=Config!$B$5,DK90=1,EI90=0),1,0)</f>
        <v>0</v>
      </c>
      <c r="DP90" s="23" t="n">
        <f aca="false">IF(AND(CC90=1,INT(N(H90))&lt;=Config!$B$6,DH90=1,EI90=0),1,0)</f>
        <v>0</v>
      </c>
      <c r="DQ90" s="23" t="n">
        <f aca="false">IF(AND(CC90=1,INT(N(H90))&lt;=Config!$B$7,DI90=1,EI90=0),1,0)</f>
        <v>0</v>
      </c>
      <c r="DR90" s="23" t="n">
        <f aca="false">IF(AND(CC90=1,INT(N(H90))&lt;=Config!$B$8,DJ90=1,EI90=0),1,0)</f>
        <v>0</v>
      </c>
      <c r="DS90" s="23" t="n">
        <f aca="false">IF(AND(CC90=1,INT(N(H90))&lt;=Config!$B$5,DK90=1,EI90=0),1,0)</f>
        <v>0</v>
      </c>
      <c r="DT90" s="23" t="n">
        <f aca="false">IF(AND(CC90=1,INT(N(H90))&lt;=Config!$B$6,DH90=0),1,0)</f>
        <v>0</v>
      </c>
      <c r="DU90" s="23" t="n">
        <f aca="false">IF(AND(CC90=1,INT(N(H90))&lt;=Config!$B$7,DI90=0),1,0)</f>
        <v>0</v>
      </c>
      <c r="DV90" s="23" t="n">
        <f aca="false">IF(AND(CC90=1,INT(N(H90))&lt;=Config!$B$8,DJ90=0),1,0)</f>
        <v>0</v>
      </c>
      <c r="DW90" s="23" t="n">
        <f aca="false">IF(AND(CC90=1,INT(N(H90))&lt;=Config!$B$5,DK90=0),1,0)</f>
        <v>0</v>
      </c>
      <c r="DX90" s="23" t="n">
        <f aca="false">IF(TRIM($A90)="",0,ISTEXT(M90)+ISTEXT(O90)+ISTEXT(Y90)+ISTEXT(Z90)+ISTEXT(AA90)+ISTEXT(AV90))</f>
        <v>0</v>
      </c>
      <c r="DY90" s="23" t="n">
        <f aca="false">IF(BB90=1,IF(H90&lt;&gt;INT(H90),1,0),0)</f>
        <v>0</v>
      </c>
      <c r="DZ90" s="23" t="str">
        <f aca="false">IF(TRIM($A90)="","",IF(TRIM(B90)="",SUBSTITUTE(SUBSTITUTE(SUBSTITUTE(SUBSTITUTE(SUBSTITUTE(SUBSTITUTE(LOWER(TRIM($A90)),"~",""),"*",""),"?",""),"&lt;",""),"&gt;",""),"=",""),SUBSTITUTE(SUBSTITUTE(SUBSTITUTE(SUBSTITUTE(SUBSTITUTE(SUBSTITUTE(LOWER(TRIM(B90)),"~",""),"*",""),"?",""),"&lt;",""),"&gt;",""),"=","")))</f>
        <v/>
      </c>
      <c r="EA90" s="23" t="str">
        <f aca="false">IF(CW90="","",IFERROR(IF(LEFT(LOWER(TRIM(INDEX(Clay_Offices!$A$2:$FZ$601,CW90,Sync!$C$19)&amp;"")),4)="grp-",SUBSTITUTE(SUBSTITUTE(SUBSTITUTE(SUBSTITUTE(SUBSTITUTE(SUBSTITUTE(LOWER(TRIM(INDEX(Clay_Offices!$A$2:$FZ$601,CW90,Sync!$C$19)&amp;"")),"~",""),"*",""),"?",""),"&lt;",""),"&gt;",""),"=",""),""),""))</f>
        <v/>
      </c>
      <c r="EB90" s="23" t="str">
        <f aca="false">IF(EA90&lt;&gt;"",DZ90,"")</f>
        <v/>
      </c>
      <c r="EC90" s="23" t="str">
        <f aca="false">IF(BC90=1,AZ90,"")</f>
        <v/>
      </c>
      <c r="ED90" s="23" t="str">
        <f aca="false">IF(TRIM($A90)="","",IFERROR(INDEX($A$2:$A$201,MATCH(AZ90,$EC$2:$EC$201,0))&amp;"",$A90&amp;""))</f>
        <v/>
      </c>
      <c r="EE90" s="23" t="n">
        <f aca="false">IF(BB90=1,IF(COUNTIFS($A$2:$A$201,$A90,$BB$2:$BB$201,1,$H$2:$H$201,"&lt;"&amp;H90)+COUNTIFS($A$2:$A$201,$A90,$BB$2:$BB$201,1,$H$2:$H$201,H90,$BA$2:$BA$201,"&lt;"&amp;BA90)=0,1,0),0)</f>
        <v>0</v>
      </c>
      <c r="EF90" s="23" t="n">
        <f aca="false">IF(BC90=1,IF(COUNTIFS($AZ$2:$AZ$201,AZ90,$EE$2:$EE$201,1)&gt;1,1,0),0)</f>
        <v>0</v>
      </c>
      <c r="EG90" s="23" t="n">
        <f aca="false">IF(AND(CQ90=1),IF(COUNTIFS($AZ$2:$AZ$201,AZ90,$CQ$2:$CQ$201,1,$H$2:$H$201,"&gt;"&amp;H90)+COUNTIFS($AZ$2:$AZ$201,AZ90,$CQ$2:$CQ$201,1,$H$2:$H$201,H90,$BA$2:$BA$201,"&gt;"&amp;BA90)=0,1,0),0)</f>
        <v>0</v>
      </c>
      <c r="EH90" s="23" t="str">
        <f aca="false">IF(BB90=1,IF(COUNTIFS($AZ$2:$AZ$201,AZ90,$EG$2:$EG$201,1)=0,"",SUMIFS($O$2:$O$201,$AZ$2:$AZ$201,AZ90,$EG$2:$EG$201,1)),"")</f>
        <v/>
      </c>
      <c r="EI90" s="23" t="n">
        <f aca="false">IF(AND(ISNUMBER(EH90),OR(N(EH90)&lt;Config!$B$31,N(EH90)&gt;Config!$B$33)),1,0)</f>
        <v>0</v>
      </c>
      <c r="EJ90" s="23" t="n">
        <f aca="false">IF(AND(ISNUMBER(EH90),N(EH90)&gt;=Config!$B$31,N(EH90)&lt;Config!$B$32),1,0)</f>
        <v>0</v>
      </c>
      <c r="EK90" s="23" t="n">
        <f aca="false">IF(AND(BF90=1,INT(N(H90))&lt;=Config!$B$6,DH90=1,EI90=1),1,0)</f>
        <v>0</v>
      </c>
      <c r="EL90" s="23" t="n">
        <f aca="false">IF(AND(BF90=1,INT(N(H90))&lt;=Config!$B$7,DI90=1,EI90=1),1,0)</f>
        <v>0</v>
      </c>
      <c r="EM90" s="23" t="n">
        <f aca="false">IF(AND(BF90=1,INT(N(H90))&lt;=Config!$B$8,DJ90=1,EI90=1),1,0)</f>
        <v>0</v>
      </c>
      <c r="EN90" s="23" t="n">
        <f aca="false">IF(AND(BF90=1,INT(N(H90))&lt;=Config!$B$5,DK90=1,EI90=1),1,0)</f>
        <v>0</v>
      </c>
      <c r="EO90" s="23" t="n">
        <f aca="false">IF(AND(DL90=1,EJ90=1),1,0)</f>
        <v>0</v>
      </c>
      <c r="EP90" s="23" t="n">
        <f aca="false">IF(AND(DM90=1,EJ90=1),1,0)</f>
        <v>0</v>
      </c>
      <c r="EQ90" s="23" t="n">
        <f aca="false">IF(AND(DN90=1,EJ90=1),1,0)</f>
        <v>0</v>
      </c>
      <c r="ER90" s="23" t="n">
        <f aca="false">IF(AND(DO90=1,EJ90=1),1,0)</f>
        <v>0</v>
      </c>
    </row>
    <row r="91" customFormat="false" ht="15" hidden="false" customHeight="false" outlineLevel="0" collapsed="false">
      <c r="G91" s="32"/>
      <c r="H91" s="33"/>
      <c r="I91" s="32"/>
      <c r="L91" s="32"/>
      <c r="Q91" s="32"/>
      <c r="U91" s="32"/>
      <c r="W91" s="32"/>
      <c r="AC91" s="32"/>
      <c r="AF91" s="32"/>
      <c r="AI91" s="32"/>
      <c r="AJ91" s="32"/>
      <c r="AN91" s="32"/>
      <c r="AR91" s="32"/>
      <c r="AT91" s="32"/>
      <c r="AU91" s="32"/>
      <c r="AW91" s="32"/>
      <c r="AY91" s="34" t="str">
        <f aca="false">IF(TRIM($A91)="","",IF(AND(LEFT($A91,6)="SAMPLE",Config!$B$19&lt;&gt;"Y"),"",IF(NOT(ISNUMBER(H91)),"call_date is blank or not a date",IF(Sync!$C$5="","Clay paste is empty or has no row_id column: paste the Clay export on Clay_Offices",IF(CW91="","row_id not found in the Clay paste: add the Clay row or fix the row_id",IF(AND(ISNUMBER(CY91),CY91&gt;=1,CY91&lt;=5),"Clay status is "&amp;CX91&amp;": set call_done or later",IF(AND(BD91=1,CZ91&lt;&gt;BZ91),"Clay yes_in_principle should be "&amp;BZ91,IF(AND(BD91=1,DA91&lt;&gt;H91),"Clay call_date should be "&amp;TEXT(H91,"yyyy-mm-dd"),""))))))))</f>
        <v/>
      </c>
      <c r="AZ91" s="23" t="str">
        <f aca="false">IF(TRIM($A91)="","",IF(TRIM(C91)&lt;&gt;"",SUBSTITUTE(SUBSTITUTE(SUBSTITUTE(SUBSTITUTE(SUBSTITUTE(SUBSTITUTE(LOWER(TRIM(C91)),"~",""),"*",""),"?",""),"&lt;",""),"&gt;",""),"=",""),IF(EA91&lt;&gt;"",EA91,IFERROR(INDEX($EA$2:$EA$201,MATCH(DZ91,$EB$2:$EB$201,0)),DZ91))))</f>
        <v/>
      </c>
      <c r="BA91" s="23" t="n">
        <f aca="false">ROW()</f>
        <v>91</v>
      </c>
      <c r="BB91" s="23" t="n">
        <f aca="false">IF(AND(TRIM($A91)&lt;&gt;"",ISNUMBER(H91)),IF(AND(LEFT($A91,6)="SAMPLE",Config!$B$19&lt;&gt;"Y"),0,1),0)</f>
        <v>0</v>
      </c>
      <c r="BC91" s="23" t="n">
        <f aca="false">IF(BB91=1,IF(COUNTIFS($AZ$2:$AZ$201,AZ91,$BB$2:$BB$201,1,$H$2:$H$201,"&lt;"&amp;H91)+COUNTIFS($AZ$2:$AZ$201,AZ91,$BB$2:$BB$201,1,$H$2:$H$201,H91,$BA$2:$BA$201,"&lt;"&amp;BA91)=0,1,0),0)</f>
        <v>0</v>
      </c>
      <c r="BD91" s="23" t="n">
        <f aca="false">IF(BB91=1,IF(COUNTIFS($A$2:$A$201,$A91,$BB$2:$BB$201,1,$H$2:$H$201,"&gt;"&amp;H91)+COUNTIFS($A$2:$A$201,$A91,$BB$2:$BB$201,1,$H$2:$H$201,H91,$BA$2:$BA$201,"&gt;"&amp;BA91)=0,1,0),0)</f>
        <v>0</v>
      </c>
      <c r="BE91" s="23" t="n">
        <f aca="false">IF(AND(BB91=1,AR91="Y",AC91="Y",TRIM(AH91)&lt;&gt;""),1,0)</f>
        <v>0</v>
      </c>
      <c r="BF91" s="23" t="n">
        <f aca="false">IF(BE91=1,IF(COUNTIFS($AZ$2:$AZ$201,AZ91,$BE$2:$BE$201,1,$H$2:$H$201,"&lt;"&amp;H91)+COUNTIFS($AZ$2:$AZ$201,AZ91,$BE$2:$BE$201,1,$H$2:$H$201,H91,$BA$2:$BA$201,"&lt;"&amp;BA91)=0,1,0),0)</f>
        <v>0</v>
      </c>
      <c r="BG91" s="23" t="n">
        <f aca="false">IF(AND(BB91=1,AR91="Y",BE91=0),1,0)</f>
        <v>0</v>
      </c>
      <c r="BH91" s="23" t="n">
        <f aca="false">IF(AND(BB91=1,ISNUMBER(Y91)),1,0)</f>
        <v>0</v>
      </c>
      <c r="BI91" s="23" t="n">
        <f aca="false">IF(BH91=1,IF(COUNTIFS($AZ$2:$AZ$201,AZ91,$BH$2:$BH$201,1,$H$2:$H$201,"&lt;"&amp;H91)+COUNTIFS($AZ$2:$AZ$201,AZ91,$BH$2:$BH$201,1,$H$2:$H$201,H91,$BA$2:$BA$201,"&lt;"&amp;BA91)=0,1,0),0)</f>
        <v>0</v>
      </c>
      <c r="BJ91" s="23" t="str">
        <f aca="false">IF(AND(BI91=1,INT(N(H91))&lt;=Config!$B$6),Y91,"")</f>
        <v/>
      </c>
      <c r="BK91" s="23" t="str">
        <f aca="false">IF(AND(BI91=1,INT(N(H91))&lt;=Config!$B$7),Y91,"")</f>
        <v/>
      </c>
      <c r="BL91" s="23" t="str">
        <f aca="false">IF(AND(BI91=1,INT(N(H91))&lt;=Config!$B$8),Y91,"")</f>
        <v/>
      </c>
      <c r="BM91" s="23" t="str">
        <f aca="false">IF(AND(BI91=1,INT(N(H91))&lt;=Config!$B$5),Y91,"")</f>
        <v/>
      </c>
      <c r="BN91" s="23" t="n">
        <f aca="false">IF(CD91=1,IF(COUNTIFS($AZ$2:$AZ$201,AZ91,$CD$2:$CD$201,1,$H$2:$H$201,"&lt;"&amp;H91)+COUNTIFS($AZ$2:$AZ$201,AZ91,$CD$2:$CD$201,1,$H$2:$H$201,H91,$BA$2:$BA$201,"&lt;"&amp;BA91)=0,1,0),0)</f>
        <v>0</v>
      </c>
      <c r="BO91" s="23" t="n">
        <f aca="false">IF(AND(BB91=1,ISNUMBER(M91)),1,0)</f>
        <v>0</v>
      </c>
      <c r="BP91" s="23" t="n">
        <f aca="false">IF(BO91=1,IF(COUNTIFS($AZ$2:$AZ$201,AZ91,$BO$2:$BO$201,1,$H$2:$H$201,"&lt;"&amp;H91)+COUNTIFS($AZ$2:$AZ$201,AZ91,$BO$2:$BO$201,1,$H$2:$H$201,H91,$BA$2:$BA$201,"&lt;"&amp;BA91)=0,1,0),0)</f>
        <v>0</v>
      </c>
      <c r="BQ91" s="23" t="str">
        <f aca="false">IF(AND(BP91=1,INT(N(H91))&lt;=Config!$B$5),M91,"")</f>
        <v/>
      </c>
      <c r="BR91" s="23" t="n">
        <f aca="false">IF(AND(BB91=1,OR(TRIM(X91)&lt;&gt;"",ISNUMBER(Y91))),1,0)</f>
        <v>0</v>
      </c>
      <c r="BS91" s="23" t="n">
        <f aca="false">IF(BR91=1,IF(COUNTIFS($AZ$2:$AZ$201,AZ91,$BR$2:$BR$201,1,$H$2:$H$201,"&lt;"&amp;H91)+COUNTIFS($AZ$2:$AZ$201,AZ91,$BR$2:$BR$201,1,$H$2:$H$201,H91,$BA$2:$BA$201,"&lt;"&amp;BA91)=0,1,0),0)</f>
        <v>0</v>
      </c>
      <c r="BT91" s="23" t="str">
        <f aca="false">IF(BS91=1,AZ91,"")</f>
        <v/>
      </c>
      <c r="BU91" s="23" t="n">
        <f aca="false">IF(AND(BB91=1,W91="Y",TRIM(X91)=""),1,0)</f>
        <v>0</v>
      </c>
      <c r="BV91" s="23" t="str">
        <f aca="false">IF(BB91=1,AN91&amp;"","")</f>
        <v/>
      </c>
      <c r="BW91" s="23" t="str">
        <f aca="false">IF(BB91=1,AO91&amp;"","")</f>
        <v/>
      </c>
      <c r="BX91" s="23" t="str">
        <f aca="false">IF(BB91=1,AP91&amp;"","")</f>
        <v/>
      </c>
      <c r="BY91" s="23" t="str">
        <f aca="false">IF(AND(BB91=1,ISNUMBER(AV91),INT(N(H91))&lt;=Config!$B$5),AV91,"")</f>
        <v/>
      </c>
      <c r="BZ91" s="23" t="str">
        <f aca="false">IF(BB91=1,IF(COUNTIFS($A$2:$A$201,$A91,$DC$2:$DC$201,1,$AR$2:$AR$201,"Y")&gt;0,"Y","N"),"")</f>
        <v/>
      </c>
      <c r="CA91" s="23" t="n">
        <f aca="false">IF(AND(BB91=1,AR91="maybe"),1,0)</f>
        <v>0</v>
      </c>
      <c r="CB91" s="23" t="n">
        <f aca="false">IF(CA91=1,IF(COUNTIFS($AZ$2:$AZ$201,AZ91,$CA$2:$CA$201,1,$H$2:$H$201,"&lt;"&amp;H91)+COUNTIFS($AZ$2:$AZ$201,AZ91,$CA$2:$CA$201,1,$H$2:$H$201,H91,$BA$2:$BA$201,"&lt;"&amp;BA91)=0,1,0),0)</f>
        <v>0</v>
      </c>
      <c r="CC91" s="23" t="n">
        <f aca="false">IF(AND(BB91=1,AR91="Y"),IF(COUNTIFS($AZ$2:$AZ$201,AZ91,$AR$2:$AR$201,"Y",$BB$2:$BB$201,1,$H$2:$H$201,"&lt;"&amp;H91)+COUNTIFS($AZ$2:$AZ$201,AZ91,$AR$2:$AR$201,"Y",$BB$2:$BB$201,1,$H$2:$H$201,H91,$BA$2:$BA$201,"&lt;"&amp;BA91)=0,1,0),0)</f>
        <v>0</v>
      </c>
      <c r="CD91" s="23" t="n">
        <f aca="false">IF(AND(BH91=1,N(Y91)&gt;=Config!$B$15),1,0)</f>
        <v>0</v>
      </c>
      <c r="CE91" s="23" t="n">
        <f aca="false">IF(AND(BB91=1,AT91="Y"),1,0)</f>
        <v>0</v>
      </c>
      <c r="CF91" s="23" t="n">
        <f aca="false">IF(CE91=1,IF(COUNTIFS($AZ$2:$AZ$201,AZ91,$CE$2:$CE$201,1,$H$2:$H$201,"&lt;"&amp;H91)+COUNTIFS($AZ$2:$AZ$201,AZ91,$CE$2:$CE$201,1,$H$2:$H$201,H91,$BA$2:$BA$201,"&lt;"&amp;BA91)=0,1,0),0)</f>
        <v>0</v>
      </c>
      <c r="CG91" s="23" t="n">
        <f aca="false">IF(AND(BB91=1,G91="warm-intro"),1,0)</f>
        <v>0</v>
      </c>
      <c r="CH91" s="23" t="n">
        <f aca="false">IF(CG91=1,IF(COUNTIFS($AZ$2:$AZ$201,AZ91,$CG$2:$CG$201,1,$H$2:$H$201,"&lt;"&amp;H91)+COUNTIFS($AZ$2:$AZ$201,AZ91,$CG$2:$CG$201,1,$H$2:$H$201,H91,$BA$2:$BA$201,"&lt;"&amp;BA91)=0,1,0),0)</f>
        <v>0</v>
      </c>
      <c r="CI91" s="23" t="n">
        <f aca="false">IF(AND(BB91=1,Q91="Y"),1,0)</f>
        <v>0</v>
      </c>
      <c r="CJ91" s="23" t="n">
        <f aca="false">IF(CI91=1,IF(COUNTIFS($AZ$2:$AZ$201,AZ91,$CI$2:$CI$201,1,$H$2:$H$201,"&lt;"&amp;H91)+COUNTIFS($AZ$2:$AZ$201,AZ91,$CI$2:$CI$201,1,$H$2:$H$201,H91,$BA$2:$BA$201,"&lt;"&amp;BA91)=0,1,0),0)</f>
        <v>0</v>
      </c>
      <c r="CK91" s="23" t="n">
        <f aca="false">IF(AND(BB91=1,AF91="Y"),1,0)</f>
        <v>0</v>
      </c>
      <c r="CL91" s="23" t="n">
        <f aca="false">IF(CK91=1,IF(COUNTIFS($AZ$2:$AZ$201,AZ91,$CK$2:$CK$201,1,$H$2:$H$201,"&lt;"&amp;H91)+COUNTIFS($AZ$2:$AZ$201,AZ91,$CK$2:$CK$201,1,$H$2:$H$201,H91,$BA$2:$BA$201,"&lt;"&amp;BA91)=0,1,0),0)</f>
        <v>0</v>
      </c>
      <c r="CM91" s="23" t="n">
        <f aca="false">IF(AND(BB91=1,U91="Y"),1,0)</f>
        <v>0</v>
      </c>
      <c r="CN91" s="23" t="n">
        <f aca="false">IF(CM91=1,IF(COUNTIFS($AZ$2:$AZ$201,AZ91,$CM$2:$CM$201,1,$H$2:$H$201,"&lt;"&amp;H91)+COUNTIFS($AZ$2:$AZ$201,AZ91,$CM$2:$CM$201,1,$H$2:$H$201,H91,$BA$2:$BA$201,"&lt;"&amp;BA91)=0,1,0),0)</f>
        <v>0</v>
      </c>
      <c r="CO91" s="23" t="n">
        <f aca="false">IF(AND(BB91=1,L91="Y"),1,0)</f>
        <v>0</v>
      </c>
      <c r="CP91" s="23" t="n">
        <f aca="false">IF(CO91=1,IF(COUNTIFS($AZ$2:$AZ$201,AZ91,$CO$2:$CO$201,1,$H$2:$H$201,"&lt;"&amp;H91)+COUNTIFS($AZ$2:$AZ$201,AZ91,$CO$2:$CO$201,1,$H$2:$H$201,H91,$BA$2:$BA$201,"&lt;"&amp;BA91)=0,1,0),0)</f>
        <v>0</v>
      </c>
      <c r="CQ91" s="23" t="n">
        <f aca="false">IF(AND(BB91=1,ISNUMBER(O91)),1,0)</f>
        <v>0</v>
      </c>
      <c r="CR91" s="23" t="n">
        <f aca="false">IF(CQ91=1,IF(COUNTIFS($AZ$2:$AZ$201,AZ91,$CQ$2:$CQ$201,1,$H$2:$H$201,"&lt;"&amp;H91)+COUNTIFS($AZ$2:$AZ$201,AZ91,$CQ$2:$CQ$201,1,$H$2:$H$201,H91,$BA$2:$BA$201,"&lt;"&amp;BA91)=0,1,0),0)</f>
        <v>0</v>
      </c>
      <c r="CS91" s="23" t="str">
        <f aca="false">IF(AND(CR91=1,INT(N(H91))&lt;=Config!$B$5),O91,"")</f>
        <v/>
      </c>
      <c r="CT91" s="23" t="str">
        <f aca="false">IF(AND(BB91=1,INT(N(H91))&lt;=Config!$B$5),AG91&amp;"","")</f>
        <v/>
      </c>
      <c r="CU91" s="23" t="n">
        <f aca="false">IF(AND(BB91=1,AU91="Y"),1,0)</f>
        <v>0</v>
      </c>
      <c r="CV91" s="23" t="n">
        <f aca="false">IF(CU91=1,IF(COUNTIFS($AZ$2:$AZ$201,AZ91,$CU$2:$CU$201,1,$H$2:$H$201,"&lt;"&amp;H91)+COUNTIFS($AZ$2:$AZ$201,AZ91,$CU$2:$CU$201,1,$H$2:$H$201,H91,$BA$2:$BA$201,"&lt;"&amp;BA91)=0,1,0),0)</f>
        <v>0</v>
      </c>
      <c r="CW91" s="23" t="str">
        <f aca="false">IF(BB91=1,IFERROR(MATCH($A91,INDEX(Clay_Offices!$A$2:$FZ$601,0,Sync!$C$5),0),""),"")</f>
        <v/>
      </c>
      <c r="CX91" s="23" t="str">
        <f aca="false">IF(CW91="","",IFERROR(INDEX(Clay_Offices!$A$2:$FZ$601,CW91,Sync!$C$7)&amp;"",""))</f>
        <v/>
      </c>
      <c r="CY91" s="23" t="str">
        <f aca="false">IF(CX91="","",IFERROR(INDEX(Lists!$K$2:$K$15,MATCH(CX91,Lists!$J$2:$J$15,0)),""))</f>
        <v/>
      </c>
      <c r="CZ91" s="23" t="str">
        <f aca="false">IF(CW91="","",IFERROR(INDEX(Clay_Offices!$A$2:$FZ$601,CW91,Sync!$C$17)&amp;"",""))</f>
        <v/>
      </c>
      <c r="DA91" s="35" t="str">
        <f aca="false">IF(CW91="","",IFERROR(N(INDEX(Clay_Offices!$A$2:$FZ$601,CW91,Sync!$C$16)),0))</f>
        <v/>
      </c>
      <c r="DB91" s="23" t="n">
        <f aca="false">IF(AND(BB91=1,OR(AR91="Y",AR91="N",AR91="maybe")),1,0)</f>
        <v>0</v>
      </c>
      <c r="DC91" s="23" t="n">
        <f aca="false">IF(AND(DB91=1),IF(COUNTIFS($A$2:$A$201,$A91,$DB$2:$DB$201,1,$H$2:$H$201,"&gt;"&amp;H91)+COUNTIFS($A$2:$A$201,$A91,$DB$2:$DB$201,1,$H$2:$H$201,H91,$BA$2:$BA$201,"&gt;"&amp;BA91)=0,1,0),0)</f>
        <v>0</v>
      </c>
      <c r="DD91" s="23" t="n">
        <f aca="false">IF(AND(DB91=1,INT(N(H91))&lt;=Config!$B$6),IF(COUNTIFS($AZ$2:$AZ$201,AZ91,$DB$2:$DB$201,1,$H$2:$H$201,"&gt;"&amp;H91,$H$2:$H$201,"&lt;"&amp;(Config!$B$6+1))+COUNTIFS($AZ$2:$AZ$201,AZ91,$DB$2:$DB$201,1,$H$2:$H$201,H91,$BA$2:$BA$201,"&gt;"&amp;BA91)=0,1,0),0)</f>
        <v>0</v>
      </c>
      <c r="DE91" s="23" t="n">
        <f aca="false">IF(AND(DB91=1,INT(N(H91))&lt;=Config!$B$7),IF(COUNTIFS($AZ$2:$AZ$201,AZ91,$DB$2:$DB$201,1,$H$2:$H$201,"&gt;"&amp;H91,$H$2:$H$201,"&lt;"&amp;(Config!$B$7+1))+COUNTIFS($AZ$2:$AZ$201,AZ91,$DB$2:$DB$201,1,$H$2:$H$201,H91,$BA$2:$BA$201,"&gt;"&amp;BA91)=0,1,0),0)</f>
        <v>0</v>
      </c>
      <c r="DF91" s="23" t="n">
        <f aca="false">IF(AND(DB91=1,INT(N(H91))&lt;=Config!$B$8),IF(COUNTIFS($AZ$2:$AZ$201,AZ91,$DB$2:$DB$201,1,$H$2:$H$201,"&gt;"&amp;H91,$H$2:$H$201,"&lt;"&amp;(Config!$B$8+1))+COUNTIFS($AZ$2:$AZ$201,AZ91,$DB$2:$DB$201,1,$H$2:$H$201,H91,$BA$2:$BA$201,"&gt;"&amp;BA91)=0,1,0),0)</f>
        <v>0</v>
      </c>
      <c r="DG91" s="23" t="n">
        <f aca="false">IF(AND(DB91=1,INT(N(H91))&lt;=Config!$B$5),IF(COUNTIFS($AZ$2:$AZ$201,AZ91,$DB$2:$DB$201,1,$H$2:$H$201,"&gt;"&amp;H91,$H$2:$H$201,"&lt;"&amp;(Config!$B$5+1))+COUNTIFS($AZ$2:$AZ$201,AZ91,$DB$2:$DB$201,1,$H$2:$H$201,H91,$BA$2:$BA$201,"&gt;"&amp;BA91)=0,1,0),0)</f>
        <v>0</v>
      </c>
      <c r="DH91" s="23" t="n">
        <f aca="false">IF(BB91=1,IF(COUNTIFS($AZ$2:$AZ$201,AZ91,$DD$2:$DD$201,1,$AR$2:$AR$201,"Y")&gt;0,1,0),0)</f>
        <v>0</v>
      </c>
      <c r="DI91" s="23" t="n">
        <f aca="false">IF(BB91=1,IF(COUNTIFS($AZ$2:$AZ$201,AZ91,$DE$2:$DE$201,1,$AR$2:$AR$201,"Y")&gt;0,1,0),0)</f>
        <v>0</v>
      </c>
      <c r="DJ91" s="23" t="n">
        <f aca="false">IF(BB91=1,IF(COUNTIFS($AZ$2:$AZ$201,AZ91,$DF$2:$DF$201,1,$AR$2:$AR$201,"Y")&gt;0,1,0),0)</f>
        <v>0</v>
      </c>
      <c r="DK91" s="23" t="n">
        <f aca="false">IF(BB91=1,IF(COUNTIFS($AZ$2:$AZ$201,AZ91,$DG$2:$DG$201,1,$AR$2:$AR$201,"Y")&gt;0,1,0),0)</f>
        <v>0</v>
      </c>
      <c r="DL91" s="23" t="n">
        <f aca="false">IF(AND(BF91=1,INT(N(H91))&lt;=Config!$B$6,DH91=1,EI91=0),1,0)</f>
        <v>0</v>
      </c>
      <c r="DM91" s="23" t="n">
        <f aca="false">IF(AND(BF91=1,INT(N(H91))&lt;=Config!$B$7,DI91=1,EI91=0),1,0)</f>
        <v>0</v>
      </c>
      <c r="DN91" s="23" t="n">
        <f aca="false">IF(AND(BF91=1,INT(N(H91))&lt;=Config!$B$8,DJ91=1,EI91=0),1,0)</f>
        <v>0</v>
      </c>
      <c r="DO91" s="23" t="n">
        <f aca="false">IF(AND(BF91=1,INT(N(H91))&lt;=Config!$B$5,DK91=1,EI91=0),1,0)</f>
        <v>0</v>
      </c>
      <c r="DP91" s="23" t="n">
        <f aca="false">IF(AND(CC91=1,INT(N(H91))&lt;=Config!$B$6,DH91=1,EI91=0),1,0)</f>
        <v>0</v>
      </c>
      <c r="DQ91" s="23" t="n">
        <f aca="false">IF(AND(CC91=1,INT(N(H91))&lt;=Config!$B$7,DI91=1,EI91=0),1,0)</f>
        <v>0</v>
      </c>
      <c r="DR91" s="23" t="n">
        <f aca="false">IF(AND(CC91=1,INT(N(H91))&lt;=Config!$B$8,DJ91=1,EI91=0),1,0)</f>
        <v>0</v>
      </c>
      <c r="DS91" s="23" t="n">
        <f aca="false">IF(AND(CC91=1,INT(N(H91))&lt;=Config!$B$5,DK91=1,EI91=0),1,0)</f>
        <v>0</v>
      </c>
      <c r="DT91" s="23" t="n">
        <f aca="false">IF(AND(CC91=1,INT(N(H91))&lt;=Config!$B$6,DH91=0),1,0)</f>
        <v>0</v>
      </c>
      <c r="DU91" s="23" t="n">
        <f aca="false">IF(AND(CC91=1,INT(N(H91))&lt;=Config!$B$7,DI91=0),1,0)</f>
        <v>0</v>
      </c>
      <c r="DV91" s="23" t="n">
        <f aca="false">IF(AND(CC91=1,INT(N(H91))&lt;=Config!$B$8,DJ91=0),1,0)</f>
        <v>0</v>
      </c>
      <c r="DW91" s="23" t="n">
        <f aca="false">IF(AND(CC91=1,INT(N(H91))&lt;=Config!$B$5,DK91=0),1,0)</f>
        <v>0</v>
      </c>
      <c r="DX91" s="23" t="n">
        <f aca="false">IF(TRIM($A91)="",0,ISTEXT(M91)+ISTEXT(O91)+ISTEXT(Y91)+ISTEXT(Z91)+ISTEXT(AA91)+ISTEXT(AV91))</f>
        <v>0</v>
      </c>
      <c r="DY91" s="23" t="n">
        <f aca="false">IF(BB91=1,IF(H91&lt;&gt;INT(H91),1,0),0)</f>
        <v>0</v>
      </c>
      <c r="DZ91" s="23" t="str">
        <f aca="false">IF(TRIM($A91)="","",IF(TRIM(B91)="",SUBSTITUTE(SUBSTITUTE(SUBSTITUTE(SUBSTITUTE(SUBSTITUTE(SUBSTITUTE(LOWER(TRIM($A91)),"~",""),"*",""),"?",""),"&lt;",""),"&gt;",""),"=",""),SUBSTITUTE(SUBSTITUTE(SUBSTITUTE(SUBSTITUTE(SUBSTITUTE(SUBSTITUTE(LOWER(TRIM(B91)),"~",""),"*",""),"?",""),"&lt;",""),"&gt;",""),"=","")))</f>
        <v/>
      </c>
      <c r="EA91" s="23" t="str">
        <f aca="false">IF(CW91="","",IFERROR(IF(LEFT(LOWER(TRIM(INDEX(Clay_Offices!$A$2:$FZ$601,CW91,Sync!$C$19)&amp;"")),4)="grp-",SUBSTITUTE(SUBSTITUTE(SUBSTITUTE(SUBSTITUTE(SUBSTITUTE(SUBSTITUTE(LOWER(TRIM(INDEX(Clay_Offices!$A$2:$FZ$601,CW91,Sync!$C$19)&amp;"")),"~",""),"*",""),"?",""),"&lt;",""),"&gt;",""),"=",""),""),""))</f>
        <v/>
      </c>
      <c r="EB91" s="23" t="str">
        <f aca="false">IF(EA91&lt;&gt;"",DZ91,"")</f>
        <v/>
      </c>
      <c r="EC91" s="23" t="str">
        <f aca="false">IF(BC91=1,AZ91,"")</f>
        <v/>
      </c>
      <c r="ED91" s="23" t="str">
        <f aca="false">IF(TRIM($A91)="","",IFERROR(INDEX($A$2:$A$201,MATCH(AZ91,$EC$2:$EC$201,0))&amp;"",$A91&amp;""))</f>
        <v/>
      </c>
      <c r="EE91" s="23" t="n">
        <f aca="false">IF(BB91=1,IF(COUNTIFS($A$2:$A$201,$A91,$BB$2:$BB$201,1,$H$2:$H$201,"&lt;"&amp;H91)+COUNTIFS($A$2:$A$201,$A91,$BB$2:$BB$201,1,$H$2:$H$201,H91,$BA$2:$BA$201,"&lt;"&amp;BA91)=0,1,0),0)</f>
        <v>0</v>
      </c>
      <c r="EF91" s="23" t="n">
        <f aca="false">IF(BC91=1,IF(COUNTIFS($AZ$2:$AZ$201,AZ91,$EE$2:$EE$201,1)&gt;1,1,0),0)</f>
        <v>0</v>
      </c>
      <c r="EG91" s="23" t="n">
        <f aca="false">IF(AND(CQ91=1),IF(COUNTIFS($AZ$2:$AZ$201,AZ91,$CQ$2:$CQ$201,1,$H$2:$H$201,"&gt;"&amp;H91)+COUNTIFS($AZ$2:$AZ$201,AZ91,$CQ$2:$CQ$201,1,$H$2:$H$201,H91,$BA$2:$BA$201,"&gt;"&amp;BA91)=0,1,0),0)</f>
        <v>0</v>
      </c>
      <c r="EH91" s="23" t="str">
        <f aca="false">IF(BB91=1,IF(COUNTIFS($AZ$2:$AZ$201,AZ91,$EG$2:$EG$201,1)=0,"",SUMIFS($O$2:$O$201,$AZ$2:$AZ$201,AZ91,$EG$2:$EG$201,1)),"")</f>
        <v/>
      </c>
      <c r="EI91" s="23" t="n">
        <f aca="false">IF(AND(ISNUMBER(EH91),OR(N(EH91)&lt;Config!$B$31,N(EH91)&gt;Config!$B$33)),1,0)</f>
        <v>0</v>
      </c>
      <c r="EJ91" s="23" t="n">
        <f aca="false">IF(AND(ISNUMBER(EH91),N(EH91)&gt;=Config!$B$31,N(EH91)&lt;Config!$B$32),1,0)</f>
        <v>0</v>
      </c>
      <c r="EK91" s="23" t="n">
        <f aca="false">IF(AND(BF91=1,INT(N(H91))&lt;=Config!$B$6,DH91=1,EI91=1),1,0)</f>
        <v>0</v>
      </c>
      <c r="EL91" s="23" t="n">
        <f aca="false">IF(AND(BF91=1,INT(N(H91))&lt;=Config!$B$7,DI91=1,EI91=1),1,0)</f>
        <v>0</v>
      </c>
      <c r="EM91" s="23" t="n">
        <f aca="false">IF(AND(BF91=1,INT(N(H91))&lt;=Config!$B$8,DJ91=1,EI91=1),1,0)</f>
        <v>0</v>
      </c>
      <c r="EN91" s="23" t="n">
        <f aca="false">IF(AND(BF91=1,INT(N(H91))&lt;=Config!$B$5,DK91=1,EI91=1),1,0)</f>
        <v>0</v>
      </c>
      <c r="EO91" s="23" t="n">
        <f aca="false">IF(AND(DL91=1,EJ91=1),1,0)</f>
        <v>0</v>
      </c>
      <c r="EP91" s="23" t="n">
        <f aca="false">IF(AND(DM91=1,EJ91=1),1,0)</f>
        <v>0</v>
      </c>
      <c r="EQ91" s="23" t="n">
        <f aca="false">IF(AND(DN91=1,EJ91=1),1,0)</f>
        <v>0</v>
      </c>
      <c r="ER91" s="23" t="n">
        <f aca="false">IF(AND(DO91=1,EJ91=1),1,0)</f>
        <v>0</v>
      </c>
    </row>
    <row r="92" customFormat="false" ht="15" hidden="false" customHeight="false" outlineLevel="0" collapsed="false">
      <c r="G92" s="32"/>
      <c r="H92" s="33"/>
      <c r="I92" s="32"/>
      <c r="L92" s="32"/>
      <c r="Q92" s="32"/>
      <c r="U92" s="32"/>
      <c r="W92" s="32"/>
      <c r="AC92" s="32"/>
      <c r="AF92" s="32"/>
      <c r="AI92" s="32"/>
      <c r="AJ92" s="32"/>
      <c r="AN92" s="32"/>
      <c r="AR92" s="32"/>
      <c r="AT92" s="32"/>
      <c r="AU92" s="32"/>
      <c r="AW92" s="32"/>
      <c r="AY92" s="34" t="str">
        <f aca="false">IF(TRIM($A92)="","",IF(AND(LEFT($A92,6)="SAMPLE",Config!$B$19&lt;&gt;"Y"),"",IF(NOT(ISNUMBER(H92)),"call_date is blank or not a date",IF(Sync!$C$5="","Clay paste is empty or has no row_id column: paste the Clay export on Clay_Offices",IF(CW92="","row_id not found in the Clay paste: add the Clay row or fix the row_id",IF(AND(ISNUMBER(CY92),CY92&gt;=1,CY92&lt;=5),"Clay status is "&amp;CX92&amp;": set call_done or later",IF(AND(BD92=1,CZ92&lt;&gt;BZ92),"Clay yes_in_principle should be "&amp;BZ92,IF(AND(BD92=1,DA92&lt;&gt;H92),"Clay call_date should be "&amp;TEXT(H92,"yyyy-mm-dd"),""))))))))</f>
        <v/>
      </c>
      <c r="AZ92" s="23" t="str">
        <f aca="false">IF(TRIM($A92)="","",IF(TRIM(C92)&lt;&gt;"",SUBSTITUTE(SUBSTITUTE(SUBSTITUTE(SUBSTITUTE(SUBSTITUTE(SUBSTITUTE(LOWER(TRIM(C92)),"~",""),"*",""),"?",""),"&lt;",""),"&gt;",""),"=",""),IF(EA92&lt;&gt;"",EA92,IFERROR(INDEX($EA$2:$EA$201,MATCH(DZ92,$EB$2:$EB$201,0)),DZ92))))</f>
        <v/>
      </c>
      <c r="BA92" s="23" t="n">
        <f aca="false">ROW()</f>
        <v>92</v>
      </c>
      <c r="BB92" s="23" t="n">
        <f aca="false">IF(AND(TRIM($A92)&lt;&gt;"",ISNUMBER(H92)),IF(AND(LEFT($A92,6)="SAMPLE",Config!$B$19&lt;&gt;"Y"),0,1),0)</f>
        <v>0</v>
      </c>
      <c r="BC92" s="23" t="n">
        <f aca="false">IF(BB92=1,IF(COUNTIFS($AZ$2:$AZ$201,AZ92,$BB$2:$BB$201,1,$H$2:$H$201,"&lt;"&amp;H92)+COUNTIFS($AZ$2:$AZ$201,AZ92,$BB$2:$BB$201,1,$H$2:$H$201,H92,$BA$2:$BA$201,"&lt;"&amp;BA92)=0,1,0),0)</f>
        <v>0</v>
      </c>
      <c r="BD92" s="23" t="n">
        <f aca="false">IF(BB92=1,IF(COUNTIFS($A$2:$A$201,$A92,$BB$2:$BB$201,1,$H$2:$H$201,"&gt;"&amp;H92)+COUNTIFS($A$2:$A$201,$A92,$BB$2:$BB$201,1,$H$2:$H$201,H92,$BA$2:$BA$201,"&gt;"&amp;BA92)=0,1,0),0)</f>
        <v>0</v>
      </c>
      <c r="BE92" s="23" t="n">
        <f aca="false">IF(AND(BB92=1,AR92="Y",AC92="Y",TRIM(AH92)&lt;&gt;""),1,0)</f>
        <v>0</v>
      </c>
      <c r="BF92" s="23" t="n">
        <f aca="false">IF(BE92=1,IF(COUNTIFS($AZ$2:$AZ$201,AZ92,$BE$2:$BE$201,1,$H$2:$H$201,"&lt;"&amp;H92)+COUNTIFS($AZ$2:$AZ$201,AZ92,$BE$2:$BE$201,1,$H$2:$H$201,H92,$BA$2:$BA$201,"&lt;"&amp;BA92)=0,1,0),0)</f>
        <v>0</v>
      </c>
      <c r="BG92" s="23" t="n">
        <f aca="false">IF(AND(BB92=1,AR92="Y",BE92=0),1,0)</f>
        <v>0</v>
      </c>
      <c r="BH92" s="23" t="n">
        <f aca="false">IF(AND(BB92=1,ISNUMBER(Y92)),1,0)</f>
        <v>0</v>
      </c>
      <c r="BI92" s="23" t="n">
        <f aca="false">IF(BH92=1,IF(COUNTIFS($AZ$2:$AZ$201,AZ92,$BH$2:$BH$201,1,$H$2:$H$201,"&lt;"&amp;H92)+COUNTIFS($AZ$2:$AZ$201,AZ92,$BH$2:$BH$201,1,$H$2:$H$201,H92,$BA$2:$BA$201,"&lt;"&amp;BA92)=0,1,0),0)</f>
        <v>0</v>
      </c>
      <c r="BJ92" s="23" t="str">
        <f aca="false">IF(AND(BI92=1,INT(N(H92))&lt;=Config!$B$6),Y92,"")</f>
        <v/>
      </c>
      <c r="BK92" s="23" t="str">
        <f aca="false">IF(AND(BI92=1,INT(N(H92))&lt;=Config!$B$7),Y92,"")</f>
        <v/>
      </c>
      <c r="BL92" s="23" t="str">
        <f aca="false">IF(AND(BI92=1,INT(N(H92))&lt;=Config!$B$8),Y92,"")</f>
        <v/>
      </c>
      <c r="BM92" s="23" t="str">
        <f aca="false">IF(AND(BI92=1,INT(N(H92))&lt;=Config!$B$5),Y92,"")</f>
        <v/>
      </c>
      <c r="BN92" s="23" t="n">
        <f aca="false">IF(CD92=1,IF(COUNTIFS($AZ$2:$AZ$201,AZ92,$CD$2:$CD$201,1,$H$2:$H$201,"&lt;"&amp;H92)+COUNTIFS($AZ$2:$AZ$201,AZ92,$CD$2:$CD$201,1,$H$2:$H$201,H92,$BA$2:$BA$201,"&lt;"&amp;BA92)=0,1,0),0)</f>
        <v>0</v>
      </c>
      <c r="BO92" s="23" t="n">
        <f aca="false">IF(AND(BB92=1,ISNUMBER(M92)),1,0)</f>
        <v>0</v>
      </c>
      <c r="BP92" s="23" t="n">
        <f aca="false">IF(BO92=1,IF(COUNTIFS($AZ$2:$AZ$201,AZ92,$BO$2:$BO$201,1,$H$2:$H$201,"&lt;"&amp;H92)+COUNTIFS($AZ$2:$AZ$201,AZ92,$BO$2:$BO$201,1,$H$2:$H$201,H92,$BA$2:$BA$201,"&lt;"&amp;BA92)=0,1,0),0)</f>
        <v>0</v>
      </c>
      <c r="BQ92" s="23" t="str">
        <f aca="false">IF(AND(BP92=1,INT(N(H92))&lt;=Config!$B$5),M92,"")</f>
        <v/>
      </c>
      <c r="BR92" s="23" t="n">
        <f aca="false">IF(AND(BB92=1,OR(TRIM(X92)&lt;&gt;"",ISNUMBER(Y92))),1,0)</f>
        <v>0</v>
      </c>
      <c r="BS92" s="23" t="n">
        <f aca="false">IF(BR92=1,IF(COUNTIFS($AZ$2:$AZ$201,AZ92,$BR$2:$BR$201,1,$H$2:$H$201,"&lt;"&amp;H92)+COUNTIFS($AZ$2:$AZ$201,AZ92,$BR$2:$BR$201,1,$H$2:$H$201,H92,$BA$2:$BA$201,"&lt;"&amp;BA92)=0,1,0),0)</f>
        <v>0</v>
      </c>
      <c r="BT92" s="23" t="str">
        <f aca="false">IF(BS92=1,AZ92,"")</f>
        <v/>
      </c>
      <c r="BU92" s="23" t="n">
        <f aca="false">IF(AND(BB92=1,W92="Y",TRIM(X92)=""),1,0)</f>
        <v>0</v>
      </c>
      <c r="BV92" s="23" t="str">
        <f aca="false">IF(BB92=1,AN92&amp;"","")</f>
        <v/>
      </c>
      <c r="BW92" s="23" t="str">
        <f aca="false">IF(BB92=1,AO92&amp;"","")</f>
        <v/>
      </c>
      <c r="BX92" s="23" t="str">
        <f aca="false">IF(BB92=1,AP92&amp;"","")</f>
        <v/>
      </c>
      <c r="BY92" s="23" t="str">
        <f aca="false">IF(AND(BB92=1,ISNUMBER(AV92),INT(N(H92))&lt;=Config!$B$5),AV92,"")</f>
        <v/>
      </c>
      <c r="BZ92" s="23" t="str">
        <f aca="false">IF(BB92=1,IF(COUNTIFS($A$2:$A$201,$A92,$DC$2:$DC$201,1,$AR$2:$AR$201,"Y")&gt;0,"Y","N"),"")</f>
        <v/>
      </c>
      <c r="CA92" s="23" t="n">
        <f aca="false">IF(AND(BB92=1,AR92="maybe"),1,0)</f>
        <v>0</v>
      </c>
      <c r="CB92" s="23" t="n">
        <f aca="false">IF(CA92=1,IF(COUNTIFS($AZ$2:$AZ$201,AZ92,$CA$2:$CA$201,1,$H$2:$H$201,"&lt;"&amp;H92)+COUNTIFS($AZ$2:$AZ$201,AZ92,$CA$2:$CA$201,1,$H$2:$H$201,H92,$BA$2:$BA$201,"&lt;"&amp;BA92)=0,1,0),0)</f>
        <v>0</v>
      </c>
      <c r="CC92" s="23" t="n">
        <f aca="false">IF(AND(BB92=1,AR92="Y"),IF(COUNTIFS($AZ$2:$AZ$201,AZ92,$AR$2:$AR$201,"Y",$BB$2:$BB$201,1,$H$2:$H$201,"&lt;"&amp;H92)+COUNTIFS($AZ$2:$AZ$201,AZ92,$AR$2:$AR$201,"Y",$BB$2:$BB$201,1,$H$2:$H$201,H92,$BA$2:$BA$201,"&lt;"&amp;BA92)=0,1,0),0)</f>
        <v>0</v>
      </c>
      <c r="CD92" s="23" t="n">
        <f aca="false">IF(AND(BH92=1,N(Y92)&gt;=Config!$B$15),1,0)</f>
        <v>0</v>
      </c>
      <c r="CE92" s="23" t="n">
        <f aca="false">IF(AND(BB92=1,AT92="Y"),1,0)</f>
        <v>0</v>
      </c>
      <c r="CF92" s="23" t="n">
        <f aca="false">IF(CE92=1,IF(COUNTIFS($AZ$2:$AZ$201,AZ92,$CE$2:$CE$201,1,$H$2:$H$201,"&lt;"&amp;H92)+COUNTIFS($AZ$2:$AZ$201,AZ92,$CE$2:$CE$201,1,$H$2:$H$201,H92,$BA$2:$BA$201,"&lt;"&amp;BA92)=0,1,0),0)</f>
        <v>0</v>
      </c>
      <c r="CG92" s="23" t="n">
        <f aca="false">IF(AND(BB92=1,G92="warm-intro"),1,0)</f>
        <v>0</v>
      </c>
      <c r="CH92" s="23" t="n">
        <f aca="false">IF(CG92=1,IF(COUNTIFS($AZ$2:$AZ$201,AZ92,$CG$2:$CG$201,1,$H$2:$H$201,"&lt;"&amp;H92)+COUNTIFS($AZ$2:$AZ$201,AZ92,$CG$2:$CG$201,1,$H$2:$H$201,H92,$BA$2:$BA$201,"&lt;"&amp;BA92)=0,1,0),0)</f>
        <v>0</v>
      </c>
      <c r="CI92" s="23" t="n">
        <f aca="false">IF(AND(BB92=1,Q92="Y"),1,0)</f>
        <v>0</v>
      </c>
      <c r="CJ92" s="23" t="n">
        <f aca="false">IF(CI92=1,IF(COUNTIFS($AZ$2:$AZ$201,AZ92,$CI$2:$CI$201,1,$H$2:$H$201,"&lt;"&amp;H92)+COUNTIFS($AZ$2:$AZ$201,AZ92,$CI$2:$CI$201,1,$H$2:$H$201,H92,$BA$2:$BA$201,"&lt;"&amp;BA92)=0,1,0),0)</f>
        <v>0</v>
      </c>
      <c r="CK92" s="23" t="n">
        <f aca="false">IF(AND(BB92=1,AF92="Y"),1,0)</f>
        <v>0</v>
      </c>
      <c r="CL92" s="23" t="n">
        <f aca="false">IF(CK92=1,IF(COUNTIFS($AZ$2:$AZ$201,AZ92,$CK$2:$CK$201,1,$H$2:$H$201,"&lt;"&amp;H92)+COUNTIFS($AZ$2:$AZ$201,AZ92,$CK$2:$CK$201,1,$H$2:$H$201,H92,$BA$2:$BA$201,"&lt;"&amp;BA92)=0,1,0),0)</f>
        <v>0</v>
      </c>
      <c r="CM92" s="23" t="n">
        <f aca="false">IF(AND(BB92=1,U92="Y"),1,0)</f>
        <v>0</v>
      </c>
      <c r="CN92" s="23" t="n">
        <f aca="false">IF(CM92=1,IF(COUNTIFS($AZ$2:$AZ$201,AZ92,$CM$2:$CM$201,1,$H$2:$H$201,"&lt;"&amp;H92)+COUNTIFS($AZ$2:$AZ$201,AZ92,$CM$2:$CM$201,1,$H$2:$H$201,H92,$BA$2:$BA$201,"&lt;"&amp;BA92)=0,1,0),0)</f>
        <v>0</v>
      </c>
      <c r="CO92" s="23" t="n">
        <f aca="false">IF(AND(BB92=1,L92="Y"),1,0)</f>
        <v>0</v>
      </c>
      <c r="CP92" s="23" t="n">
        <f aca="false">IF(CO92=1,IF(COUNTIFS($AZ$2:$AZ$201,AZ92,$CO$2:$CO$201,1,$H$2:$H$201,"&lt;"&amp;H92)+COUNTIFS($AZ$2:$AZ$201,AZ92,$CO$2:$CO$201,1,$H$2:$H$201,H92,$BA$2:$BA$201,"&lt;"&amp;BA92)=0,1,0),0)</f>
        <v>0</v>
      </c>
      <c r="CQ92" s="23" t="n">
        <f aca="false">IF(AND(BB92=1,ISNUMBER(O92)),1,0)</f>
        <v>0</v>
      </c>
      <c r="CR92" s="23" t="n">
        <f aca="false">IF(CQ92=1,IF(COUNTIFS($AZ$2:$AZ$201,AZ92,$CQ$2:$CQ$201,1,$H$2:$H$201,"&lt;"&amp;H92)+COUNTIFS($AZ$2:$AZ$201,AZ92,$CQ$2:$CQ$201,1,$H$2:$H$201,H92,$BA$2:$BA$201,"&lt;"&amp;BA92)=0,1,0),0)</f>
        <v>0</v>
      </c>
      <c r="CS92" s="23" t="str">
        <f aca="false">IF(AND(CR92=1,INT(N(H92))&lt;=Config!$B$5),O92,"")</f>
        <v/>
      </c>
      <c r="CT92" s="23" t="str">
        <f aca="false">IF(AND(BB92=1,INT(N(H92))&lt;=Config!$B$5),AG92&amp;"","")</f>
        <v/>
      </c>
      <c r="CU92" s="23" t="n">
        <f aca="false">IF(AND(BB92=1,AU92="Y"),1,0)</f>
        <v>0</v>
      </c>
      <c r="CV92" s="23" t="n">
        <f aca="false">IF(CU92=1,IF(COUNTIFS($AZ$2:$AZ$201,AZ92,$CU$2:$CU$201,1,$H$2:$H$201,"&lt;"&amp;H92)+COUNTIFS($AZ$2:$AZ$201,AZ92,$CU$2:$CU$201,1,$H$2:$H$201,H92,$BA$2:$BA$201,"&lt;"&amp;BA92)=0,1,0),0)</f>
        <v>0</v>
      </c>
      <c r="CW92" s="23" t="str">
        <f aca="false">IF(BB92=1,IFERROR(MATCH($A92,INDEX(Clay_Offices!$A$2:$FZ$601,0,Sync!$C$5),0),""),"")</f>
        <v/>
      </c>
      <c r="CX92" s="23" t="str">
        <f aca="false">IF(CW92="","",IFERROR(INDEX(Clay_Offices!$A$2:$FZ$601,CW92,Sync!$C$7)&amp;"",""))</f>
        <v/>
      </c>
      <c r="CY92" s="23" t="str">
        <f aca="false">IF(CX92="","",IFERROR(INDEX(Lists!$K$2:$K$15,MATCH(CX92,Lists!$J$2:$J$15,0)),""))</f>
        <v/>
      </c>
      <c r="CZ92" s="23" t="str">
        <f aca="false">IF(CW92="","",IFERROR(INDEX(Clay_Offices!$A$2:$FZ$601,CW92,Sync!$C$17)&amp;"",""))</f>
        <v/>
      </c>
      <c r="DA92" s="35" t="str">
        <f aca="false">IF(CW92="","",IFERROR(N(INDEX(Clay_Offices!$A$2:$FZ$601,CW92,Sync!$C$16)),0))</f>
        <v/>
      </c>
      <c r="DB92" s="23" t="n">
        <f aca="false">IF(AND(BB92=1,OR(AR92="Y",AR92="N",AR92="maybe")),1,0)</f>
        <v>0</v>
      </c>
      <c r="DC92" s="23" t="n">
        <f aca="false">IF(AND(DB92=1),IF(COUNTIFS($A$2:$A$201,$A92,$DB$2:$DB$201,1,$H$2:$H$201,"&gt;"&amp;H92)+COUNTIFS($A$2:$A$201,$A92,$DB$2:$DB$201,1,$H$2:$H$201,H92,$BA$2:$BA$201,"&gt;"&amp;BA92)=0,1,0),0)</f>
        <v>0</v>
      </c>
      <c r="DD92" s="23" t="n">
        <f aca="false">IF(AND(DB92=1,INT(N(H92))&lt;=Config!$B$6),IF(COUNTIFS($AZ$2:$AZ$201,AZ92,$DB$2:$DB$201,1,$H$2:$H$201,"&gt;"&amp;H92,$H$2:$H$201,"&lt;"&amp;(Config!$B$6+1))+COUNTIFS($AZ$2:$AZ$201,AZ92,$DB$2:$DB$201,1,$H$2:$H$201,H92,$BA$2:$BA$201,"&gt;"&amp;BA92)=0,1,0),0)</f>
        <v>0</v>
      </c>
      <c r="DE92" s="23" t="n">
        <f aca="false">IF(AND(DB92=1,INT(N(H92))&lt;=Config!$B$7),IF(COUNTIFS($AZ$2:$AZ$201,AZ92,$DB$2:$DB$201,1,$H$2:$H$201,"&gt;"&amp;H92,$H$2:$H$201,"&lt;"&amp;(Config!$B$7+1))+COUNTIFS($AZ$2:$AZ$201,AZ92,$DB$2:$DB$201,1,$H$2:$H$201,H92,$BA$2:$BA$201,"&gt;"&amp;BA92)=0,1,0),0)</f>
        <v>0</v>
      </c>
      <c r="DF92" s="23" t="n">
        <f aca="false">IF(AND(DB92=1,INT(N(H92))&lt;=Config!$B$8),IF(COUNTIFS($AZ$2:$AZ$201,AZ92,$DB$2:$DB$201,1,$H$2:$H$201,"&gt;"&amp;H92,$H$2:$H$201,"&lt;"&amp;(Config!$B$8+1))+COUNTIFS($AZ$2:$AZ$201,AZ92,$DB$2:$DB$201,1,$H$2:$H$201,H92,$BA$2:$BA$201,"&gt;"&amp;BA92)=0,1,0),0)</f>
        <v>0</v>
      </c>
      <c r="DG92" s="23" t="n">
        <f aca="false">IF(AND(DB92=1,INT(N(H92))&lt;=Config!$B$5),IF(COUNTIFS($AZ$2:$AZ$201,AZ92,$DB$2:$DB$201,1,$H$2:$H$201,"&gt;"&amp;H92,$H$2:$H$201,"&lt;"&amp;(Config!$B$5+1))+COUNTIFS($AZ$2:$AZ$201,AZ92,$DB$2:$DB$201,1,$H$2:$H$201,H92,$BA$2:$BA$201,"&gt;"&amp;BA92)=0,1,0),0)</f>
        <v>0</v>
      </c>
      <c r="DH92" s="23" t="n">
        <f aca="false">IF(BB92=1,IF(COUNTIFS($AZ$2:$AZ$201,AZ92,$DD$2:$DD$201,1,$AR$2:$AR$201,"Y")&gt;0,1,0),0)</f>
        <v>0</v>
      </c>
      <c r="DI92" s="23" t="n">
        <f aca="false">IF(BB92=1,IF(COUNTIFS($AZ$2:$AZ$201,AZ92,$DE$2:$DE$201,1,$AR$2:$AR$201,"Y")&gt;0,1,0),0)</f>
        <v>0</v>
      </c>
      <c r="DJ92" s="23" t="n">
        <f aca="false">IF(BB92=1,IF(COUNTIFS($AZ$2:$AZ$201,AZ92,$DF$2:$DF$201,1,$AR$2:$AR$201,"Y")&gt;0,1,0),0)</f>
        <v>0</v>
      </c>
      <c r="DK92" s="23" t="n">
        <f aca="false">IF(BB92=1,IF(COUNTIFS($AZ$2:$AZ$201,AZ92,$DG$2:$DG$201,1,$AR$2:$AR$201,"Y")&gt;0,1,0),0)</f>
        <v>0</v>
      </c>
      <c r="DL92" s="23" t="n">
        <f aca="false">IF(AND(BF92=1,INT(N(H92))&lt;=Config!$B$6,DH92=1,EI92=0),1,0)</f>
        <v>0</v>
      </c>
      <c r="DM92" s="23" t="n">
        <f aca="false">IF(AND(BF92=1,INT(N(H92))&lt;=Config!$B$7,DI92=1,EI92=0),1,0)</f>
        <v>0</v>
      </c>
      <c r="DN92" s="23" t="n">
        <f aca="false">IF(AND(BF92=1,INT(N(H92))&lt;=Config!$B$8,DJ92=1,EI92=0),1,0)</f>
        <v>0</v>
      </c>
      <c r="DO92" s="23" t="n">
        <f aca="false">IF(AND(BF92=1,INT(N(H92))&lt;=Config!$B$5,DK92=1,EI92=0),1,0)</f>
        <v>0</v>
      </c>
      <c r="DP92" s="23" t="n">
        <f aca="false">IF(AND(CC92=1,INT(N(H92))&lt;=Config!$B$6,DH92=1,EI92=0),1,0)</f>
        <v>0</v>
      </c>
      <c r="DQ92" s="23" t="n">
        <f aca="false">IF(AND(CC92=1,INT(N(H92))&lt;=Config!$B$7,DI92=1,EI92=0),1,0)</f>
        <v>0</v>
      </c>
      <c r="DR92" s="23" t="n">
        <f aca="false">IF(AND(CC92=1,INT(N(H92))&lt;=Config!$B$8,DJ92=1,EI92=0),1,0)</f>
        <v>0</v>
      </c>
      <c r="DS92" s="23" t="n">
        <f aca="false">IF(AND(CC92=1,INT(N(H92))&lt;=Config!$B$5,DK92=1,EI92=0),1,0)</f>
        <v>0</v>
      </c>
      <c r="DT92" s="23" t="n">
        <f aca="false">IF(AND(CC92=1,INT(N(H92))&lt;=Config!$B$6,DH92=0),1,0)</f>
        <v>0</v>
      </c>
      <c r="DU92" s="23" t="n">
        <f aca="false">IF(AND(CC92=1,INT(N(H92))&lt;=Config!$B$7,DI92=0),1,0)</f>
        <v>0</v>
      </c>
      <c r="DV92" s="23" t="n">
        <f aca="false">IF(AND(CC92=1,INT(N(H92))&lt;=Config!$B$8,DJ92=0),1,0)</f>
        <v>0</v>
      </c>
      <c r="DW92" s="23" t="n">
        <f aca="false">IF(AND(CC92=1,INT(N(H92))&lt;=Config!$B$5,DK92=0),1,0)</f>
        <v>0</v>
      </c>
      <c r="DX92" s="23" t="n">
        <f aca="false">IF(TRIM($A92)="",0,ISTEXT(M92)+ISTEXT(O92)+ISTEXT(Y92)+ISTEXT(Z92)+ISTEXT(AA92)+ISTEXT(AV92))</f>
        <v>0</v>
      </c>
      <c r="DY92" s="23" t="n">
        <f aca="false">IF(BB92=1,IF(H92&lt;&gt;INT(H92),1,0),0)</f>
        <v>0</v>
      </c>
      <c r="DZ92" s="23" t="str">
        <f aca="false">IF(TRIM($A92)="","",IF(TRIM(B92)="",SUBSTITUTE(SUBSTITUTE(SUBSTITUTE(SUBSTITUTE(SUBSTITUTE(SUBSTITUTE(LOWER(TRIM($A92)),"~",""),"*",""),"?",""),"&lt;",""),"&gt;",""),"=",""),SUBSTITUTE(SUBSTITUTE(SUBSTITUTE(SUBSTITUTE(SUBSTITUTE(SUBSTITUTE(LOWER(TRIM(B92)),"~",""),"*",""),"?",""),"&lt;",""),"&gt;",""),"=","")))</f>
        <v/>
      </c>
      <c r="EA92" s="23" t="str">
        <f aca="false">IF(CW92="","",IFERROR(IF(LEFT(LOWER(TRIM(INDEX(Clay_Offices!$A$2:$FZ$601,CW92,Sync!$C$19)&amp;"")),4)="grp-",SUBSTITUTE(SUBSTITUTE(SUBSTITUTE(SUBSTITUTE(SUBSTITUTE(SUBSTITUTE(LOWER(TRIM(INDEX(Clay_Offices!$A$2:$FZ$601,CW92,Sync!$C$19)&amp;"")),"~",""),"*",""),"?",""),"&lt;",""),"&gt;",""),"=",""),""),""))</f>
        <v/>
      </c>
      <c r="EB92" s="23" t="str">
        <f aca="false">IF(EA92&lt;&gt;"",DZ92,"")</f>
        <v/>
      </c>
      <c r="EC92" s="23" t="str">
        <f aca="false">IF(BC92=1,AZ92,"")</f>
        <v/>
      </c>
      <c r="ED92" s="23" t="str">
        <f aca="false">IF(TRIM($A92)="","",IFERROR(INDEX($A$2:$A$201,MATCH(AZ92,$EC$2:$EC$201,0))&amp;"",$A92&amp;""))</f>
        <v/>
      </c>
      <c r="EE92" s="23" t="n">
        <f aca="false">IF(BB92=1,IF(COUNTIFS($A$2:$A$201,$A92,$BB$2:$BB$201,1,$H$2:$H$201,"&lt;"&amp;H92)+COUNTIFS($A$2:$A$201,$A92,$BB$2:$BB$201,1,$H$2:$H$201,H92,$BA$2:$BA$201,"&lt;"&amp;BA92)=0,1,0),0)</f>
        <v>0</v>
      </c>
      <c r="EF92" s="23" t="n">
        <f aca="false">IF(BC92=1,IF(COUNTIFS($AZ$2:$AZ$201,AZ92,$EE$2:$EE$201,1)&gt;1,1,0),0)</f>
        <v>0</v>
      </c>
      <c r="EG92" s="23" t="n">
        <f aca="false">IF(AND(CQ92=1),IF(COUNTIFS($AZ$2:$AZ$201,AZ92,$CQ$2:$CQ$201,1,$H$2:$H$201,"&gt;"&amp;H92)+COUNTIFS($AZ$2:$AZ$201,AZ92,$CQ$2:$CQ$201,1,$H$2:$H$201,H92,$BA$2:$BA$201,"&gt;"&amp;BA92)=0,1,0),0)</f>
        <v>0</v>
      </c>
      <c r="EH92" s="23" t="str">
        <f aca="false">IF(BB92=1,IF(COUNTIFS($AZ$2:$AZ$201,AZ92,$EG$2:$EG$201,1)=0,"",SUMIFS($O$2:$O$201,$AZ$2:$AZ$201,AZ92,$EG$2:$EG$201,1)),"")</f>
        <v/>
      </c>
      <c r="EI92" s="23" t="n">
        <f aca="false">IF(AND(ISNUMBER(EH92),OR(N(EH92)&lt;Config!$B$31,N(EH92)&gt;Config!$B$33)),1,0)</f>
        <v>0</v>
      </c>
      <c r="EJ92" s="23" t="n">
        <f aca="false">IF(AND(ISNUMBER(EH92),N(EH92)&gt;=Config!$B$31,N(EH92)&lt;Config!$B$32),1,0)</f>
        <v>0</v>
      </c>
      <c r="EK92" s="23" t="n">
        <f aca="false">IF(AND(BF92=1,INT(N(H92))&lt;=Config!$B$6,DH92=1,EI92=1),1,0)</f>
        <v>0</v>
      </c>
      <c r="EL92" s="23" t="n">
        <f aca="false">IF(AND(BF92=1,INT(N(H92))&lt;=Config!$B$7,DI92=1,EI92=1),1,0)</f>
        <v>0</v>
      </c>
      <c r="EM92" s="23" t="n">
        <f aca="false">IF(AND(BF92=1,INT(N(H92))&lt;=Config!$B$8,DJ92=1,EI92=1),1,0)</f>
        <v>0</v>
      </c>
      <c r="EN92" s="23" t="n">
        <f aca="false">IF(AND(BF92=1,INT(N(H92))&lt;=Config!$B$5,DK92=1,EI92=1),1,0)</f>
        <v>0</v>
      </c>
      <c r="EO92" s="23" t="n">
        <f aca="false">IF(AND(DL92=1,EJ92=1),1,0)</f>
        <v>0</v>
      </c>
      <c r="EP92" s="23" t="n">
        <f aca="false">IF(AND(DM92=1,EJ92=1),1,0)</f>
        <v>0</v>
      </c>
      <c r="EQ92" s="23" t="n">
        <f aca="false">IF(AND(DN92=1,EJ92=1),1,0)</f>
        <v>0</v>
      </c>
      <c r="ER92" s="23" t="n">
        <f aca="false">IF(AND(DO92=1,EJ92=1),1,0)</f>
        <v>0</v>
      </c>
    </row>
    <row r="93" customFormat="false" ht="15" hidden="false" customHeight="false" outlineLevel="0" collapsed="false">
      <c r="G93" s="32"/>
      <c r="H93" s="33"/>
      <c r="I93" s="32"/>
      <c r="L93" s="32"/>
      <c r="Q93" s="32"/>
      <c r="U93" s="32"/>
      <c r="W93" s="32"/>
      <c r="AC93" s="32"/>
      <c r="AF93" s="32"/>
      <c r="AI93" s="32"/>
      <c r="AJ93" s="32"/>
      <c r="AN93" s="32"/>
      <c r="AR93" s="32"/>
      <c r="AT93" s="32"/>
      <c r="AU93" s="32"/>
      <c r="AW93" s="32"/>
      <c r="AY93" s="34" t="str">
        <f aca="false">IF(TRIM($A93)="","",IF(AND(LEFT($A93,6)="SAMPLE",Config!$B$19&lt;&gt;"Y"),"",IF(NOT(ISNUMBER(H93)),"call_date is blank or not a date",IF(Sync!$C$5="","Clay paste is empty or has no row_id column: paste the Clay export on Clay_Offices",IF(CW93="","row_id not found in the Clay paste: add the Clay row or fix the row_id",IF(AND(ISNUMBER(CY93),CY93&gt;=1,CY93&lt;=5),"Clay status is "&amp;CX93&amp;": set call_done or later",IF(AND(BD93=1,CZ93&lt;&gt;BZ93),"Clay yes_in_principle should be "&amp;BZ93,IF(AND(BD93=1,DA93&lt;&gt;H93),"Clay call_date should be "&amp;TEXT(H93,"yyyy-mm-dd"),""))))))))</f>
        <v/>
      </c>
      <c r="AZ93" s="23" t="str">
        <f aca="false">IF(TRIM($A93)="","",IF(TRIM(C93)&lt;&gt;"",SUBSTITUTE(SUBSTITUTE(SUBSTITUTE(SUBSTITUTE(SUBSTITUTE(SUBSTITUTE(LOWER(TRIM(C93)),"~",""),"*",""),"?",""),"&lt;",""),"&gt;",""),"=",""),IF(EA93&lt;&gt;"",EA93,IFERROR(INDEX($EA$2:$EA$201,MATCH(DZ93,$EB$2:$EB$201,0)),DZ93))))</f>
        <v/>
      </c>
      <c r="BA93" s="23" t="n">
        <f aca="false">ROW()</f>
        <v>93</v>
      </c>
      <c r="BB93" s="23" t="n">
        <f aca="false">IF(AND(TRIM($A93)&lt;&gt;"",ISNUMBER(H93)),IF(AND(LEFT($A93,6)="SAMPLE",Config!$B$19&lt;&gt;"Y"),0,1),0)</f>
        <v>0</v>
      </c>
      <c r="BC93" s="23" t="n">
        <f aca="false">IF(BB93=1,IF(COUNTIFS($AZ$2:$AZ$201,AZ93,$BB$2:$BB$201,1,$H$2:$H$201,"&lt;"&amp;H93)+COUNTIFS($AZ$2:$AZ$201,AZ93,$BB$2:$BB$201,1,$H$2:$H$201,H93,$BA$2:$BA$201,"&lt;"&amp;BA93)=0,1,0),0)</f>
        <v>0</v>
      </c>
      <c r="BD93" s="23" t="n">
        <f aca="false">IF(BB93=1,IF(COUNTIFS($A$2:$A$201,$A93,$BB$2:$BB$201,1,$H$2:$H$201,"&gt;"&amp;H93)+COUNTIFS($A$2:$A$201,$A93,$BB$2:$BB$201,1,$H$2:$H$201,H93,$BA$2:$BA$201,"&gt;"&amp;BA93)=0,1,0),0)</f>
        <v>0</v>
      </c>
      <c r="BE93" s="23" t="n">
        <f aca="false">IF(AND(BB93=1,AR93="Y",AC93="Y",TRIM(AH93)&lt;&gt;""),1,0)</f>
        <v>0</v>
      </c>
      <c r="BF93" s="23" t="n">
        <f aca="false">IF(BE93=1,IF(COUNTIFS($AZ$2:$AZ$201,AZ93,$BE$2:$BE$201,1,$H$2:$H$201,"&lt;"&amp;H93)+COUNTIFS($AZ$2:$AZ$201,AZ93,$BE$2:$BE$201,1,$H$2:$H$201,H93,$BA$2:$BA$201,"&lt;"&amp;BA93)=0,1,0),0)</f>
        <v>0</v>
      </c>
      <c r="BG93" s="23" t="n">
        <f aca="false">IF(AND(BB93=1,AR93="Y",BE93=0),1,0)</f>
        <v>0</v>
      </c>
      <c r="BH93" s="23" t="n">
        <f aca="false">IF(AND(BB93=1,ISNUMBER(Y93)),1,0)</f>
        <v>0</v>
      </c>
      <c r="BI93" s="23" t="n">
        <f aca="false">IF(BH93=1,IF(COUNTIFS($AZ$2:$AZ$201,AZ93,$BH$2:$BH$201,1,$H$2:$H$201,"&lt;"&amp;H93)+COUNTIFS($AZ$2:$AZ$201,AZ93,$BH$2:$BH$201,1,$H$2:$H$201,H93,$BA$2:$BA$201,"&lt;"&amp;BA93)=0,1,0),0)</f>
        <v>0</v>
      </c>
      <c r="BJ93" s="23" t="str">
        <f aca="false">IF(AND(BI93=1,INT(N(H93))&lt;=Config!$B$6),Y93,"")</f>
        <v/>
      </c>
      <c r="BK93" s="23" t="str">
        <f aca="false">IF(AND(BI93=1,INT(N(H93))&lt;=Config!$B$7),Y93,"")</f>
        <v/>
      </c>
      <c r="BL93" s="23" t="str">
        <f aca="false">IF(AND(BI93=1,INT(N(H93))&lt;=Config!$B$8),Y93,"")</f>
        <v/>
      </c>
      <c r="BM93" s="23" t="str">
        <f aca="false">IF(AND(BI93=1,INT(N(H93))&lt;=Config!$B$5),Y93,"")</f>
        <v/>
      </c>
      <c r="BN93" s="23" t="n">
        <f aca="false">IF(CD93=1,IF(COUNTIFS($AZ$2:$AZ$201,AZ93,$CD$2:$CD$201,1,$H$2:$H$201,"&lt;"&amp;H93)+COUNTIFS($AZ$2:$AZ$201,AZ93,$CD$2:$CD$201,1,$H$2:$H$201,H93,$BA$2:$BA$201,"&lt;"&amp;BA93)=0,1,0),0)</f>
        <v>0</v>
      </c>
      <c r="BO93" s="23" t="n">
        <f aca="false">IF(AND(BB93=1,ISNUMBER(M93)),1,0)</f>
        <v>0</v>
      </c>
      <c r="BP93" s="23" t="n">
        <f aca="false">IF(BO93=1,IF(COUNTIFS($AZ$2:$AZ$201,AZ93,$BO$2:$BO$201,1,$H$2:$H$201,"&lt;"&amp;H93)+COUNTIFS($AZ$2:$AZ$201,AZ93,$BO$2:$BO$201,1,$H$2:$H$201,H93,$BA$2:$BA$201,"&lt;"&amp;BA93)=0,1,0),0)</f>
        <v>0</v>
      </c>
      <c r="BQ93" s="23" t="str">
        <f aca="false">IF(AND(BP93=1,INT(N(H93))&lt;=Config!$B$5),M93,"")</f>
        <v/>
      </c>
      <c r="BR93" s="23" t="n">
        <f aca="false">IF(AND(BB93=1,OR(TRIM(X93)&lt;&gt;"",ISNUMBER(Y93))),1,0)</f>
        <v>0</v>
      </c>
      <c r="BS93" s="23" t="n">
        <f aca="false">IF(BR93=1,IF(COUNTIFS($AZ$2:$AZ$201,AZ93,$BR$2:$BR$201,1,$H$2:$H$201,"&lt;"&amp;H93)+COUNTIFS($AZ$2:$AZ$201,AZ93,$BR$2:$BR$201,1,$H$2:$H$201,H93,$BA$2:$BA$201,"&lt;"&amp;BA93)=0,1,0),0)</f>
        <v>0</v>
      </c>
      <c r="BT93" s="23" t="str">
        <f aca="false">IF(BS93=1,AZ93,"")</f>
        <v/>
      </c>
      <c r="BU93" s="23" t="n">
        <f aca="false">IF(AND(BB93=1,W93="Y",TRIM(X93)=""),1,0)</f>
        <v>0</v>
      </c>
      <c r="BV93" s="23" t="str">
        <f aca="false">IF(BB93=1,AN93&amp;"","")</f>
        <v/>
      </c>
      <c r="BW93" s="23" t="str">
        <f aca="false">IF(BB93=1,AO93&amp;"","")</f>
        <v/>
      </c>
      <c r="BX93" s="23" t="str">
        <f aca="false">IF(BB93=1,AP93&amp;"","")</f>
        <v/>
      </c>
      <c r="BY93" s="23" t="str">
        <f aca="false">IF(AND(BB93=1,ISNUMBER(AV93),INT(N(H93))&lt;=Config!$B$5),AV93,"")</f>
        <v/>
      </c>
      <c r="BZ93" s="23" t="str">
        <f aca="false">IF(BB93=1,IF(COUNTIFS($A$2:$A$201,$A93,$DC$2:$DC$201,1,$AR$2:$AR$201,"Y")&gt;0,"Y","N"),"")</f>
        <v/>
      </c>
      <c r="CA93" s="23" t="n">
        <f aca="false">IF(AND(BB93=1,AR93="maybe"),1,0)</f>
        <v>0</v>
      </c>
      <c r="CB93" s="23" t="n">
        <f aca="false">IF(CA93=1,IF(COUNTIFS($AZ$2:$AZ$201,AZ93,$CA$2:$CA$201,1,$H$2:$H$201,"&lt;"&amp;H93)+COUNTIFS($AZ$2:$AZ$201,AZ93,$CA$2:$CA$201,1,$H$2:$H$201,H93,$BA$2:$BA$201,"&lt;"&amp;BA93)=0,1,0),0)</f>
        <v>0</v>
      </c>
      <c r="CC93" s="23" t="n">
        <f aca="false">IF(AND(BB93=1,AR93="Y"),IF(COUNTIFS($AZ$2:$AZ$201,AZ93,$AR$2:$AR$201,"Y",$BB$2:$BB$201,1,$H$2:$H$201,"&lt;"&amp;H93)+COUNTIFS($AZ$2:$AZ$201,AZ93,$AR$2:$AR$201,"Y",$BB$2:$BB$201,1,$H$2:$H$201,H93,$BA$2:$BA$201,"&lt;"&amp;BA93)=0,1,0),0)</f>
        <v>0</v>
      </c>
      <c r="CD93" s="23" t="n">
        <f aca="false">IF(AND(BH93=1,N(Y93)&gt;=Config!$B$15),1,0)</f>
        <v>0</v>
      </c>
      <c r="CE93" s="23" t="n">
        <f aca="false">IF(AND(BB93=1,AT93="Y"),1,0)</f>
        <v>0</v>
      </c>
      <c r="CF93" s="23" t="n">
        <f aca="false">IF(CE93=1,IF(COUNTIFS($AZ$2:$AZ$201,AZ93,$CE$2:$CE$201,1,$H$2:$H$201,"&lt;"&amp;H93)+COUNTIFS($AZ$2:$AZ$201,AZ93,$CE$2:$CE$201,1,$H$2:$H$201,H93,$BA$2:$BA$201,"&lt;"&amp;BA93)=0,1,0),0)</f>
        <v>0</v>
      </c>
      <c r="CG93" s="23" t="n">
        <f aca="false">IF(AND(BB93=1,G93="warm-intro"),1,0)</f>
        <v>0</v>
      </c>
      <c r="CH93" s="23" t="n">
        <f aca="false">IF(CG93=1,IF(COUNTIFS($AZ$2:$AZ$201,AZ93,$CG$2:$CG$201,1,$H$2:$H$201,"&lt;"&amp;H93)+COUNTIFS($AZ$2:$AZ$201,AZ93,$CG$2:$CG$201,1,$H$2:$H$201,H93,$BA$2:$BA$201,"&lt;"&amp;BA93)=0,1,0),0)</f>
        <v>0</v>
      </c>
      <c r="CI93" s="23" t="n">
        <f aca="false">IF(AND(BB93=1,Q93="Y"),1,0)</f>
        <v>0</v>
      </c>
      <c r="CJ93" s="23" t="n">
        <f aca="false">IF(CI93=1,IF(COUNTIFS($AZ$2:$AZ$201,AZ93,$CI$2:$CI$201,1,$H$2:$H$201,"&lt;"&amp;H93)+COUNTIFS($AZ$2:$AZ$201,AZ93,$CI$2:$CI$201,1,$H$2:$H$201,H93,$BA$2:$BA$201,"&lt;"&amp;BA93)=0,1,0),0)</f>
        <v>0</v>
      </c>
      <c r="CK93" s="23" t="n">
        <f aca="false">IF(AND(BB93=1,AF93="Y"),1,0)</f>
        <v>0</v>
      </c>
      <c r="CL93" s="23" t="n">
        <f aca="false">IF(CK93=1,IF(COUNTIFS($AZ$2:$AZ$201,AZ93,$CK$2:$CK$201,1,$H$2:$H$201,"&lt;"&amp;H93)+COUNTIFS($AZ$2:$AZ$201,AZ93,$CK$2:$CK$201,1,$H$2:$H$201,H93,$BA$2:$BA$201,"&lt;"&amp;BA93)=0,1,0),0)</f>
        <v>0</v>
      </c>
      <c r="CM93" s="23" t="n">
        <f aca="false">IF(AND(BB93=1,U93="Y"),1,0)</f>
        <v>0</v>
      </c>
      <c r="CN93" s="23" t="n">
        <f aca="false">IF(CM93=1,IF(COUNTIFS($AZ$2:$AZ$201,AZ93,$CM$2:$CM$201,1,$H$2:$H$201,"&lt;"&amp;H93)+COUNTIFS($AZ$2:$AZ$201,AZ93,$CM$2:$CM$201,1,$H$2:$H$201,H93,$BA$2:$BA$201,"&lt;"&amp;BA93)=0,1,0),0)</f>
        <v>0</v>
      </c>
      <c r="CO93" s="23" t="n">
        <f aca="false">IF(AND(BB93=1,L93="Y"),1,0)</f>
        <v>0</v>
      </c>
      <c r="CP93" s="23" t="n">
        <f aca="false">IF(CO93=1,IF(COUNTIFS($AZ$2:$AZ$201,AZ93,$CO$2:$CO$201,1,$H$2:$H$201,"&lt;"&amp;H93)+COUNTIFS($AZ$2:$AZ$201,AZ93,$CO$2:$CO$201,1,$H$2:$H$201,H93,$BA$2:$BA$201,"&lt;"&amp;BA93)=0,1,0),0)</f>
        <v>0</v>
      </c>
      <c r="CQ93" s="23" t="n">
        <f aca="false">IF(AND(BB93=1,ISNUMBER(O93)),1,0)</f>
        <v>0</v>
      </c>
      <c r="CR93" s="23" t="n">
        <f aca="false">IF(CQ93=1,IF(COUNTIFS($AZ$2:$AZ$201,AZ93,$CQ$2:$CQ$201,1,$H$2:$H$201,"&lt;"&amp;H93)+COUNTIFS($AZ$2:$AZ$201,AZ93,$CQ$2:$CQ$201,1,$H$2:$H$201,H93,$BA$2:$BA$201,"&lt;"&amp;BA93)=0,1,0),0)</f>
        <v>0</v>
      </c>
      <c r="CS93" s="23" t="str">
        <f aca="false">IF(AND(CR93=1,INT(N(H93))&lt;=Config!$B$5),O93,"")</f>
        <v/>
      </c>
      <c r="CT93" s="23" t="str">
        <f aca="false">IF(AND(BB93=1,INT(N(H93))&lt;=Config!$B$5),AG93&amp;"","")</f>
        <v/>
      </c>
      <c r="CU93" s="23" t="n">
        <f aca="false">IF(AND(BB93=1,AU93="Y"),1,0)</f>
        <v>0</v>
      </c>
      <c r="CV93" s="23" t="n">
        <f aca="false">IF(CU93=1,IF(COUNTIFS($AZ$2:$AZ$201,AZ93,$CU$2:$CU$201,1,$H$2:$H$201,"&lt;"&amp;H93)+COUNTIFS($AZ$2:$AZ$201,AZ93,$CU$2:$CU$201,1,$H$2:$H$201,H93,$BA$2:$BA$201,"&lt;"&amp;BA93)=0,1,0),0)</f>
        <v>0</v>
      </c>
      <c r="CW93" s="23" t="str">
        <f aca="false">IF(BB93=1,IFERROR(MATCH($A93,INDEX(Clay_Offices!$A$2:$FZ$601,0,Sync!$C$5),0),""),"")</f>
        <v/>
      </c>
      <c r="CX93" s="23" t="str">
        <f aca="false">IF(CW93="","",IFERROR(INDEX(Clay_Offices!$A$2:$FZ$601,CW93,Sync!$C$7)&amp;"",""))</f>
        <v/>
      </c>
      <c r="CY93" s="23" t="str">
        <f aca="false">IF(CX93="","",IFERROR(INDEX(Lists!$K$2:$K$15,MATCH(CX93,Lists!$J$2:$J$15,0)),""))</f>
        <v/>
      </c>
      <c r="CZ93" s="23" t="str">
        <f aca="false">IF(CW93="","",IFERROR(INDEX(Clay_Offices!$A$2:$FZ$601,CW93,Sync!$C$17)&amp;"",""))</f>
        <v/>
      </c>
      <c r="DA93" s="35" t="str">
        <f aca="false">IF(CW93="","",IFERROR(N(INDEX(Clay_Offices!$A$2:$FZ$601,CW93,Sync!$C$16)),0))</f>
        <v/>
      </c>
      <c r="DB93" s="23" t="n">
        <f aca="false">IF(AND(BB93=1,OR(AR93="Y",AR93="N",AR93="maybe")),1,0)</f>
        <v>0</v>
      </c>
      <c r="DC93" s="23" t="n">
        <f aca="false">IF(AND(DB93=1),IF(COUNTIFS($A$2:$A$201,$A93,$DB$2:$DB$201,1,$H$2:$H$201,"&gt;"&amp;H93)+COUNTIFS($A$2:$A$201,$A93,$DB$2:$DB$201,1,$H$2:$H$201,H93,$BA$2:$BA$201,"&gt;"&amp;BA93)=0,1,0),0)</f>
        <v>0</v>
      </c>
      <c r="DD93" s="23" t="n">
        <f aca="false">IF(AND(DB93=1,INT(N(H93))&lt;=Config!$B$6),IF(COUNTIFS($AZ$2:$AZ$201,AZ93,$DB$2:$DB$201,1,$H$2:$H$201,"&gt;"&amp;H93,$H$2:$H$201,"&lt;"&amp;(Config!$B$6+1))+COUNTIFS($AZ$2:$AZ$201,AZ93,$DB$2:$DB$201,1,$H$2:$H$201,H93,$BA$2:$BA$201,"&gt;"&amp;BA93)=0,1,0),0)</f>
        <v>0</v>
      </c>
      <c r="DE93" s="23" t="n">
        <f aca="false">IF(AND(DB93=1,INT(N(H93))&lt;=Config!$B$7),IF(COUNTIFS($AZ$2:$AZ$201,AZ93,$DB$2:$DB$201,1,$H$2:$H$201,"&gt;"&amp;H93,$H$2:$H$201,"&lt;"&amp;(Config!$B$7+1))+COUNTIFS($AZ$2:$AZ$201,AZ93,$DB$2:$DB$201,1,$H$2:$H$201,H93,$BA$2:$BA$201,"&gt;"&amp;BA93)=0,1,0),0)</f>
        <v>0</v>
      </c>
      <c r="DF93" s="23" t="n">
        <f aca="false">IF(AND(DB93=1,INT(N(H93))&lt;=Config!$B$8),IF(COUNTIFS($AZ$2:$AZ$201,AZ93,$DB$2:$DB$201,1,$H$2:$H$201,"&gt;"&amp;H93,$H$2:$H$201,"&lt;"&amp;(Config!$B$8+1))+COUNTIFS($AZ$2:$AZ$201,AZ93,$DB$2:$DB$201,1,$H$2:$H$201,H93,$BA$2:$BA$201,"&gt;"&amp;BA93)=0,1,0),0)</f>
        <v>0</v>
      </c>
      <c r="DG93" s="23" t="n">
        <f aca="false">IF(AND(DB93=1,INT(N(H93))&lt;=Config!$B$5),IF(COUNTIFS($AZ$2:$AZ$201,AZ93,$DB$2:$DB$201,1,$H$2:$H$201,"&gt;"&amp;H93,$H$2:$H$201,"&lt;"&amp;(Config!$B$5+1))+COUNTIFS($AZ$2:$AZ$201,AZ93,$DB$2:$DB$201,1,$H$2:$H$201,H93,$BA$2:$BA$201,"&gt;"&amp;BA93)=0,1,0),0)</f>
        <v>0</v>
      </c>
      <c r="DH93" s="23" t="n">
        <f aca="false">IF(BB93=1,IF(COUNTIFS($AZ$2:$AZ$201,AZ93,$DD$2:$DD$201,1,$AR$2:$AR$201,"Y")&gt;0,1,0),0)</f>
        <v>0</v>
      </c>
      <c r="DI93" s="23" t="n">
        <f aca="false">IF(BB93=1,IF(COUNTIFS($AZ$2:$AZ$201,AZ93,$DE$2:$DE$201,1,$AR$2:$AR$201,"Y")&gt;0,1,0),0)</f>
        <v>0</v>
      </c>
      <c r="DJ93" s="23" t="n">
        <f aca="false">IF(BB93=1,IF(COUNTIFS($AZ$2:$AZ$201,AZ93,$DF$2:$DF$201,1,$AR$2:$AR$201,"Y")&gt;0,1,0),0)</f>
        <v>0</v>
      </c>
      <c r="DK93" s="23" t="n">
        <f aca="false">IF(BB93=1,IF(COUNTIFS($AZ$2:$AZ$201,AZ93,$DG$2:$DG$201,1,$AR$2:$AR$201,"Y")&gt;0,1,0),0)</f>
        <v>0</v>
      </c>
      <c r="DL93" s="23" t="n">
        <f aca="false">IF(AND(BF93=1,INT(N(H93))&lt;=Config!$B$6,DH93=1,EI93=0),1,0)</f>
        <v>0</v>
      </c>
      <c r="DM93" s="23" t="n">
        <f aca="false">IF(AND(BF93=1,INT(N(H93))&lt;=Config!$B$7,DI93=1,EI93=0),1,0)</f>
        <v>0</v>
      </c>
      <c r="DN93" s="23" t="n">
        <f aca="false">IF(AND(BF93=1,INT(N(H93))&lt;=Config!$B$8,DJ93=1,EI93=0),1,0)</f>
        <v>0</v>
      </c>
      <c r="DO93" s="23" t="n">
        <f aca="false">IF(AND(BF93=1,INT(N(H93))&lt;=Config!$B$5,DK93=1,EI93=0),1,0)</f>
        <v>0</v>
      </c>
      <c r="DP93" s="23" t="n">
        <f aca="false">IF(AND(CC93=1,INT(N(H93))&lt;=Config!$B$6,DH93=1,EI93=0),1,0)</f>
        <v>0</v>
      </c>
      <c r="DQ93" s="23" t="n">
        <f aca="false">IF(AND(CC93=1,INT(N(H93))&lt;=Config!$B$7,DI93=1,EI93=0),1,0)</f>
        <v>0</v>
      </c>
      <c r="DR93" s="23" t="n">
        <f aca="false">IF(AND(CC93=1,INT(N(H93))&lt;=Config!$B$8,DJ93=1,EI93=0),1,0)</f>
        <v>0</v>
      </c>
      <c r="DS93" s="23" t="n">
        <f aca="false">IF(AND(CC93=1,INT(N(H93))&lt;=Config!$B$5,DK93=1,EI93=0),1,0)</f>
        <v>0</v>
      </c>
      <c r="DT93" s="23" t="n">
        <f aca="false">IF(AND(CC93=1,INT(N(H93))&lt;=Config!$B$6,DH93=0),1,0)</f>
        <v>0</v>
      </c>
      <c r="DU93" s="23" t="n">
        <f aca="false">IF(AND(CC93=1,INT(N(H93))&lt;=Config!$B$7,DI93=0),1,0)</f>
        <v>0</v>
      </c>
      <c r="DV93" s="23" t="n">
        <f aca="false">IF(AND(CC93=1,INT(N(H93))&lt;=Config!$B$8,DJ93=0),1,0)</f>
        <v>0</v>
      </c>
      <c r="DW93" s="23" t="n">
        <f aca="false">IF(AND(CC93=1,INT(N(H93))&lt;=Config!$B$5,DK93=0),1,0)</f>
        <v>0</v>
      </c>
      <c r="DX93" s="23" t="n">
        <f aca="false">IF(TRIM($A93)="",0,ISTEXT(M93)+ISTEXT(O93)+ISTEXT(Y93)+ISTEXT(Z93)+ISTEXT(AA93)+ISTEXT(AV93))</f>
        <v>0</v>
      </c>
      <c r="DY93" s="23" t="n">
        <f aca="false">IF(BB93=1,IF(H93&lt;&gt;INT(H93),1,0),0)</f>
        <v>0</v>
      </c>
      <c r="DZ93" s="23" t="str">
        <f aca="false">IF(TRIM($A93)="","",IF(TRIM(B93)="",SUBSTITUTE(SUBSTITUTE(SUBSTITUTE(SUBSTITUTE(SUBSTITUTE(SUBSTITUTE(LOWER(TRIM($A93)),"~",""),"*",""),"?",""),"&lt;",""),"&gt;",""),"=",""),SUBSTITUTE(SUBSTITUTE(SUBSTITUTE(SUBSTITUTE(SUBSTITUTE(SUBSTITUTE(LOWER(TRIM(B93)),"~",""),"*",""),"?",""),"&lt;",""),"&gt;",""),"=","")))</f>
        <v/>
      </c>
      <c r="EA93" s="23" t="str">
        <f aca="false">IF(CW93="","",IFERROR(IF(LEFT(LOWER(TRIM(INDEX(Clay_Offices!$A$2:$FZ$601,CW93,Sync!$C$19)&amp;"")),4)="grp-",SUBSTITUTE(SUBSTITUTE(SUBSTITUTE(SUBSTITUTE(SUBSTITUTE(SUBSTITUTE(LOWER(TRIM(INDEX(Clay_Offices!$A$2:$FZ$601,CW93,Sync!$C$19)&amp;"")),"~",""),"*",""),"?",""),"&lt;",""),"&gt;",""),"=",""),""),""))</f>
        <v/>
      </c>
      <c r="EB93" s="23" t="str">
        <f aca="false">IF(EA93&lt;&gt;"",DZ93,"")</f>
        <v/>
      </c>
      <c r="EC93" s="23" t="str">
        <f aca="false">IF(BC93=1,AZ93,"")</f>
        <v/>
      </c>
      <c r="ED93" s="23" t="str">
        <f aca="false">IF(TRIM($A93)="","",IFERROR(INDEX($A$2:$A$201,MATCH(AZ93,$EC$2:$EC$201,0))&amp;"",$A93&amp;""))</f>
        <v/>
      </c>
      <c r="EE93" s="23" t="n">
        <f aca="false">IF(BB93=1,IF(COUNTIFS($A$2:$A$201,$A93,$BB$2:$BB$201,1,$H$2:$H$201,"&lt;"&amp;H93)+COUNTIFS($A$2:$A$201,$A93,$BB$2:$BB$201,1,$H$2:$H$201,H93,$BA$2:$BA$201,"&lt;"&amp;BA93)=0,1,0),0)</f>
        <v>0</v>
      </c>
      <c r="EF93" s="23" t="n">
        <f aca="false">IF(BC93=1,IF(COUNTIFS($AZ$2:$AZ$201,AZ93,$EE$2:$EE$201,1)&gt;1,1,0),0)</f>
        <v>0</v>
      </c>
      <c r="EG93" s="23" t="n">
        <f aca="false">IF(AND(CQ93=1),IF(COUNTIFS($AZ$2:$AZ$201,AZ93,$CQ$2:$CQ$201,1,$H$2:$H$201,"&gt;"&amp;H93)+COUNTIFS($AZ$2:$AZ$201,AZ93,$CQ$2:$CQ$201,1,$H$2:$H$201,H93,$BA$2:$BA$201,"&gt;"&amp;BA93)=0,1,0),0)</f>
        <v>0</v>
      </c>
      <c r="EH93" s="23" t="str">
        <f aca="false">IF(BB93=1,IF(COUNTIFS($AZ$2:$AZ$201,AZ93,$EG$2:$EG$201,1)=0,"",SUMIFS($O$2:$O$201,$AZ$2:$AZ$201,AZ93,$EG$2:$EG$201,1)),"")</f>
        <v/>
      </c>
      <c r="EI93" s="23" t="n">
        <f aca="false">IF(AND(ISNUMBER(EH93),OR(N(EH93)&lt;Config!$B$31,N(EH93)&gt;Config!$B$33)),1,0)</f>
        <v>0</v>
      </c>
      <c r="EJ93" s="23" t="n">
        <f aca="false">IF(AND(ISNUMBER(EH93),N(EH93)&gt;=Config!$B$31,N(EH93)&lt;Config!$B$32),1,0)</f>
        <v>0</v>
      </c>
      <c r="EK93" s="23" t="n">
        <f aca="false">IF(AND(BF93=1,INT(N(H93))&lt;=Config!$B$6,DH93=1,EI93=1),1,0)</f>
        <v>0</v>
      </c>
      <c r="EL93" s="23" t="n">
        <f aca="false">IF(AND(BF93=1,INT(N(H93))&lt;=Config!$B$7,DI93=1,EI93=1),1,0)</f>
        <v>0</v>
      </c>
      <c r="EM93" s="23" t="n">
        <f aca="false">IF(AND(BF93=1,INT(N(H93))&lt;=Config!$B$8,DJ93=1,EI93=1),1,0)</f>
        <v>0</v>
      </c>
      <c r="EN93" s="23" t="n">
        <f aca="false">IF(AND(BF93=1,INT(N(H93))&lt;=Config!$B$5,DK93=1,EI93=1),1,0)</f>
        <v>0</v>
      </c>
      <c r="EO93" s="23" t="n">
        <f aca="false">IF(AND(DL93=1,EJ93=1),1,0)</f>
        <v>0</v>
      </c>
      <c r="EP93" s="23" t="n">
        <f aca="false">IF(AND(DM93=1,EJ93=1),1,0)</f>
        <v>0</v>
      </c>
      <c r="EQ93" s="23" t="n">
        <f aca="false">IF(AND(DN93=1,EJ93=1),1,0)</f>
        <v>0</v>
      </c>
      <c r="ER93" s="23" t="n">
        <f aca="false">IF(AND(DO93=1,EJ93=1),1,0)</f>
        <v>0</v>
      </c>
    </row>
    <row r="94" customFormat="false" ht="15" hidden="false" customHeight="false" outlineLevel="0" collapsed="false">
      <c r="G94" s="32"/>
      <c r="H94" s="33"/>
      <c r="I94" s="32"/>
      <c r="L94" s="32"/>
      <c r="Q94" s="32"/>
      <c r="U94" s="32"/>
      <c r="W94" s="32"/>
      <c r="AC94" s="32"/>
      <c r="AF94" s="32"/>
      <c r="AI94" s="32"/>
      <c r="AJ94" s="32"/>
      <c r="AN94" s="32"/>
      <c r="AR94" s="32"/>
      <c r="AT94" s="32"/>
      <c r="AU94" s="32"/>
      <c r="AW94" s="32"/>
      <c r="AY94" s="34" t="str">
        <f aca="false">IF(TRIM($A94)="","",IF(AND(LEFT($A94,6)="SAMPLE",Config!$B$19&lt;&gt;"Y"),"",IF(NOT(ISNUMBER(H94)),"call_date is blank or not a date",IF(Sync!$C$5="","Clay paste is empty or has no row_id column: paste the Clay export on Clay_Offices",IF(CW94="","row_id not found in the Clay paste: add the Clay row or fix the row_id",IF(AND(ISNUMBER(CY94),CY94&gt;=1,CY94&lt;=5),"Clay status is "&amp;CX94&amp;": set call_done or later",IF(AND(BD94=1,CZ94&lt;&gt;BZ94),"Clay yes_in_principle should be "&amp;BZ94,IF(AND(BD94=1,DA94&lt;&gt;H94),"Clay call_date should be "&amp;TEXT(H94,"yyyy-mm-dd"),""))))))))</f>
        <v/>
      </c>
      <c r="AZ94" s="23" t="str">
        <f aca="false">IF(TRIM($A94)="","",IF(TRIM(C94)&lt;&gt;"",SUBSTITUTE(SUBSTITUTE(SUBSTITUTE(SUBSTITUTE(SUBSTITUTE(SUBSTITUTE(LOWER(TRIM(C94)),"~",""),"*",""),"?",""),"&lt;",""),"&gt;",""),"=",""),IF(EA94&lt;&gt;"",EA94,IFERROR(INDEX($EA$2:$EA$201,MATCH(DZ94,$EB$2:$EB$201,0)),DZ94))))</f>
        <v/>
      </c>
      <c r="BA94" s="23" t="n">
        <f aca="false">ROW()</f>
        <v>94</v>
      </c>
      <c r="BB94" s="23" t="n">
        <f aca="false">IF(AND(TRIM($A94)&lt;&gt;"",ISNUMBER(H94)),IF(AND(LEFT($A94,6)="SAMPLE",Config!$B$19&lt;&gt;"Y"),0,1),0)</f>
        <v>0</v>
      </c>
      <c r="BC94" s="23" t="n">
        <f aca="false">IF(BB94=1,IF(COUNTIFS($AZ$2:$AZ$201,AZ94,$BB$2:$BB$201,1,$H$2:$H$201,"&lt;"&amp;H94)+COUNTIFS($AZ$2:$AZ$201,AZ94,$BB$2:$BB$201,1,$H$2:$H$201,H94,$BA$2:$BA$201,"&lt;"&amp;BA94)=0,1,0),0)</f>
        <v>0</v>
      </c>
      <c r="BD94" s="23" t="n">
        <f aca="false">IF(BB94=1,IF(COUNTIFS($A$2:$A$201,$A94,$BB$2:$BB$201,1,$H$2:$H$201,"&gt;"&amp;H94)+COUNTIFS($A$2:$A$201,$A94,$BB$2:$BB$201,1,$H$2:$H$201,H94,$BA$2:$BA$201,"&gt;"&amp;BA94)=0,1,0),0)</f>
        <v>0</v>
      </c>
      <c r="BE94" s="23" t="n">
        <f aca="false">IF(AND(BB94=1,AR94="Y",AC94="Y",TRIM(AH94)&lt;&gt;""),1,0)</f>
        <v>0</v>
      </c>
      <c r="BF94" s="23" t="n">
        <f aca="false">IF(BE94=1,IF(COUNTIFS($AZ$2:$AZ$201,AZ94,$BE$2:$BE$201,1,$H$2:$H$201,"&lt;"&amp;H94)+COUNTIFS($AZ$2:$AZ$201,AZ94,$BE$2:$BE$201,1,$H$2:$H$201,H94,$BA$2:$BA$201,"&lt;"&amp;BA94)=0,1,0),0)</f>
        <v>0</v>
      </c>
      <c r="BG94" s="23" t="n">
        <f aca="false">IF(AND(BB94=1,AR94="Y",BE94=0),1,0)</f>
        <v>0</v>
      </c>
      <c r="BH94" s="23" t="n">
        <f aca="false">IF(AND(BB94=1,ISNUMBER(Y94)),1,0)</f>
        <v>0</v>
      </c>
      <c r="BI94" s="23" t="n">
        <f aca="false">IF(BH94=1,IF(COUNTIFS($AZ$2:$AZ$201,AZ94,$BH$2:$BH$201,1,$H$2:$H$201,"&lt;"&amp;H94)+COUNTIFS($AZ$2:$AZ$201,AZ94,$BH$2:$BH$201,1,$H$2:$H$201,H94,$BA$2:$BA$201,"&lt;"&amp;BA94)=0,1,0),0)</f>
        <v>0</v>
      </c>
      <c r="BJ94" s="23" t="str">
        <f aca="false">IF(AND(BI94=1,INT(N(H94))&lt;=Config!$B$6),Y94,"")</f>
        <v/>
      </c>
      <c r="BK94" s="23" t="str">
        <f aca="false">IF(AND(BI94=1,INT(N(H94))&lt;=Config!$B$7),Y94,"")</f>
        <v/>
      </c>
      <c r="BL94" s="23" t="str">
        <f aca="false">IF(AND(BI94=1,INT(N(H94))&lt;=Config!$B$8),Y94,"")</f>
        <v/>
      </c>
      <c r="BM94" s="23" t="str">
        <f aca="false">IF(AND(BI94=1,INT(N(H94))&lt;=Config!$B$5),Y94,"")</f>
        <v/>
      </c>
      <c r="BN94" s="23" t="n">
        <f aca="false">IF(CD94=1,IF(COUNTIFS($AZ$2:$AZ$201,AZ94,$CD$2:$CD$201,1,$H$2:$H$201,"&lt;"&amp;H94)+COUNTIFS($AZ$2:$AZ$201,AZ94,$CD$2:$CD$201,1,$H$2:$H$201,H94,$BA$2:$BA$201,"&lt;"&amp;BA94)=0,1,0),0)</f>
        <v>0</v>
      </c>
      <c r="BO94" s="23" t="n">
        <f aca="false">IF(AND(BB94=1,ISNUMBER(M94)),1,0)</f>
        <v>0</v>
      </c>
      <c r="BP94" s="23" t="n">
        <f aca="false">IF(BO94=1,IF(COUNTIFS($AZ$2:$AZ$201,AZ94,$BO$2:$BO$201,1,$H$2:$H$201,"&lt;"&amp;H94)+COUNTIFS($AZ$2:$AZ$201,AZ94,$BO$2:$BO$201,1,$H$2:$H$201,H94,$BA$2:$BA$201,"&lt;"&amp;BA94)=0,1,0),0)</f>
        <v>0</v>
      </c>
      <c r="BQ94" s="23" t="str">
        <f aca="false">IF(AND(BP94=1,INT(N(H94))&lt;=Config!$B$5),M94,"")</f>
        <v/>
      </c>
      <c r="BR94" s="23" t="n">
        <f aca="false">IF(AND(BB94=1,OR(TRIM(X94)&lt;&gt;"",ISNUMBER(Y94))),1,0)</f>
        <v>0</v>
      </c>
      <c r="BS94" s="23" t="n">
        <f aca="false">IF(BR94=1,IF(COUNTIFS($AZ$2:$AZ$201,AZ94,$BR$2:$BR$201,1,$H$2:$H$201,"&lt;"&amp;H94)+COUNTIFS($AZ$2:$AZ$201,AZ94,$BR$2:$BR$201,1,$H$2:$H$201,H94,$BA$2:$BA$201,"&lt;"&amp;BA94)=0,1,0),0)</f>
        <v>0</v>
      </c>
      <c r="BT94" s="23" t="str">
        <f aca="false">IF(BS94=1,AZ94,"")</f>
        <v/>
      </c>
      <c r="BU94" s="23" t="n">
        <f aca="false">IF(AND(BB94=1,W94="Y",TRIM(X94)=""),1,0)</f>
        <v>0</v>
      </c>
      <c r="BV94" s="23" t="str">
        <f aca="false">IF(BB94=1,AN94&amp;"","")</f>
        <v/>
      </c>
      <c r="BW94" s="23" t="str">
        <f aca="false">IF(BB94=1,AO94&amp;"","")</f>
        <v/>
      </c>
      <c r="BX94" s="23" t="str">
        <f aca="false">IF(BB94=1,AP94&amp;"","")</f>
        <v/>
      </c>
      <c r="BY94" s="23" t="str">
        <f aca="false">IF(AND(BB94=1,ISNUMBER(AV94),INT(N(H94))&lt;=Config!$B$5),AV94,"")</f>
        <v/>
      </c>
      <c r="BZ94" s="23" t="str">
        <f aca="false">IF(BB94=1,IF(COUNTIFS($A$2:$A$201,$A94,$DC$2:$DC$201,1,$AR$2:$AR$201,"Y")&gt;0,"Y","N"),"")</f>
        <v/>
      </c>
      <c r="CA94" s="23" t="n">
        <f aca="false">IF(AND(BB94=1,AR94="maybe"),1,0)</f>
        <v>0</v>
      </c>
      <c r="CB94" s="23" t="n">
        <f aca="false">IF(CA94=1,IF(COUNTIFS($AZ$2:$AZ$201,AZ94,$CA$2:$CA$201,1,$H$2:$H$201,"&lt;"&amp;H94)+COUNTIFS($AZ$2:$AZ$201,AZ94,$CA$2:$CA$201,1,$H$2:$H$201,H94,$BA$2:$BA$201,"&lt;"&amp;BA94)=0,1,0),0)</f>
        <v>0</v>
      </c>
      <c r="CC94" s="23" t="n">
        <f aca="false">IF(AND(BB94=1,AR94="Y"),IF(COUNTIFS($AZ$2:$AZ$201,AZ94,$AR$2:$AR$201,"Y",$BB$2:$BB$201,1,$H$2:$H$201,"&lt;"&amp;H94)+COUNTIFS($AZ$2:$AZ$201,AZ94,$AR$2:$AR$201,"Y",$BB$2:$BB$201,1,$H$2:$H$201,H94,$BA$2:$BA$201,"&lt;"&amp;BA94)=0,1,0),0)</f>
        <v>0</v>
      </c>
      <c r="CD94" s="23" t="n">
        <f aca="false">IF(AND(BH94=1,N(Y94)&gt;=Config!$B$15),1,0)</f>
        <v>0</v>
      </c>
      <c r="CE94" s="23" t="n">
        <f aca="false">IF(AND(BB94=1,AT94="Y"),1,0)</f>
        <v>0</v>
      </c>
      <c r="CF94" s="23" t="n">
        <f aca="false">IF(CE94=1,IF(COUNTIFS($AZ$2:$AZ$201,AZ94,$CE$2:$CE$201,1,$H$2:$H$201,"&lt;"&amp;H94)+COUNTIFS($AZ$2:$AZ$201,AZ94,$CE$2:$CE$201,1,$H$2:$H$201,H94,$BA$2:$BA$201,"&lt;"&amp;BA94)=0,1,0),0)</f>
        <v>0</v>
      </c>
      <c r="CG94" s="23" t="n">
        <f aca="false">IF(AND(BB94=1,G94="warm-intro"),1,0)</f>
        <v>0</v>
      </c>
      <c r="CH94" s="23" t="n">
        <f aca="false">IF(CG94=1,IF(COUNTIFS($AZ$2:$AZ$201,AZ94,$CG$2:$CG$201,1,$H$2:$H$201,"&lt;"&amp;H94)+COUNTIFS($AZ$2:$AZ$201,AZ94,$CG$2:$CG$201,1,$H$2:$H$201,H94,$BA$2:$BA$201,"&lt;"&amp;BA94)=0,1,0),0)</f>
        <v>0</v>
      </c>
      <c r="CI94" s="23" t="n">
        <f aca="false">IF(AND(BB94=1,Q94="Y"),1,0)</f>
        <v>0</v>
      </c>
      <c r="CJ94" s="23" t="n">
        <f aca="false">IF(CI94=1,IF(COUNTIFS($AZ$2:$AZ$201,AZ94,$CI$2:$CI$201,1,$H$2:$H$201,"&lt;"&amp;H94)+COUNTIFS($AZ$2:$AZ$201,AZ94,$CI$2:$CI$201,1,$H$2:$H$201,H94,$BA$2:$BA$201,"&lt;"&amp;BA94)=0,1,0),0)</f>
        <v>0</v>
      </c>
      <c r="CK94" s="23" t="n">
        <f aca="false">IF(AND(BB94=1,AF94="Y"),1,0)</f>
        <v>0</v>
      </c>
      <c r="CL94" s="23" t="n">
        <f aca="false">IF(CK94=1,IF(COUNTIFS($AZ$2:$AZ$201,AZ94,$CK$2:$CK$201,1,$H$2:$H$201,"&lt;"&amp;H94)+COUNTIFS($AZ$2:$AZ$201,AZ94,$CK$2:$CK$201,1,$H$2:$H$201,H94,$BA$2:$BA$201,"&lt;"&amp;BA94)=0,1,0),0)</f>
        <v>0</v>
      </c>
      <c r="CM94" s="23" t="n">
        <f aca="false">IF(AND(BB94=1,U94="Y"),1,0)</f>
        <v>0</v>
      </c>
      <c r="CN94" s="23" t="n">
        <f aca="false">IF(CM94=1,IF(COUNTIFS($AZ$2:$AZ$201,AZ94,$CM$2:$CM$201,1,$H$2:$H$201,"&lt;"&amp;H94)+COUNTIFS($AZ$2:$AZ$201,AZ94,$CM$2:$CM$201,1,$H$2:$H$201,H94,$BA$2:$BA$201,"&lt;"&amp;BA94)=0,1,0),0)</f>
        <v>0</v>
      </c>
      <c r="CO94" s="23" t="n">
        <f aca="false">IF(AND(BB94=1,L94="Y"),1,0)</f>
        <v>0</v>
      </c>
      <c r="CP94" s="23" t="n">
        <f aca="false">IF(CO94=1,IF(COUNTIFS($AZ$2:$AZ$201,AZ94,$CO$2:$CO$201,1,$H$2:$H$201,"&lt;"&amp;H94)+COUNTIFS($AZ$2:$AZ$201,AZ94,$CO$2:$CO$201,1,$H$2:$H$201,H94,$BA$2:$BA$201,"&lt;"&amp;BA94)=0,1,0),0)</f>
        <v>0</v>
      </c>
      <c r="CQ94" s="23" t="n">
        <f aca="false">IF(AND(BB94=1,ISNUMBER(O94)),1,0)</f>
        <v>0</v>
      </c>
      <c r="CR94" s="23" t="n">
        <f aca="false">IF(CQ94=1,IF(COUNTIFS($AZ$2:$AZ$201,AZ94,$CQ$2:$CQ$201,1,$H$2:$H$201,"&lt;"&amp;H94)+COUNTIFS($AZ$2:$AZ$201,AZ94,$CQ$2:$CQ$201,1,$H$2:$H$201,H94,$BA$2:$BA$201,"&lt;"&amp;BA94)=0,1,0),0)</f>
        <v>0</v>
      </c>
      <c r="CS94" s="23" t="str">
        <f aca="false">IF(AND(CR94=1,INT(N(H94))&lt;=Config!$B$5),O94,"")</f>
        <v/>
      </c>
      <c r="CT94" s="23" t="str">
        <f aca="false">IF(AND(BB94=1,INT(N(H94))&lt;=Config!$B$5),AG94&amp;"","")</f>
        <v/>
      </c>
      <c r="CU94" s="23" t="n">
        <f aca="false">IF(AND(BB94=1,AU94="Y"),1,0)</f>
        <v>0</v>
      </c>
      <c r="CV94" s="23" t="n">
        <f aca="false">IF(CU94=1,IF(COUNTIFS($AZ$2:$AZ$201,AZ94,$CU$2:$CU$201,1,$H$2:$H$201,"&lt;"&amp;H94)+COUNTIFS($AZ$2:$AZ$201,AZ94,$CU$2:$CU$201,1,$H$2:$H$201,H94,$BA$2:$BA$201,"&lt;"&amp;BA94)=0,1,0),0)</f>
        <v>0</v>
      </c>
      <c r="CW94" s="23" t="str">
        <f aca="false">IF(BB94=1,IFERROR(MATCH($A94,INDEX(Clay_Offices!$A$2:$FZ$601,0,Sync!$C$5),0),""),"")</f>
        <v/>
      </c>
      <c r="CX94" s="23" t="str">
        <f aca="false">IF(CW94="","",IFERROR(INDEX(Clay_Offices!$A$2:$FZ$601,CW94,Sync!$C$7)&amp;"",""))</f>
        <v/>
      </c>
      <c r="CY94" s="23" t="str">
        <f aca="false">IF(CX94="","",IFERROR(INDEX(Lists!$K$2:$K$15,MATCH(CX94,Lists!$J$2:$J$15,0)),""))</f>
        <v/>
      </c>
      <c r="CZ94" s="23" t="str">
        <f aca="false">IF(CW94="","",IFERROR(INDEX(Clay_Offices!$A$2:$FZ$601,CW94,Sync!$C$17)&amp;"",""))</f>
        <v/>
      </c>
      <c r="DA94" s="35" t="str">
        <f aca="false">IF(CW94="","",IFERROR(N(INDEX(Clay_Offices!$A$2:$FZ$601,CW94,Sync!$C$16)),0))</f>
        <v/>
      </c>
      <c r="DB94" s="23" t="n">
        <f aca="false">IF(AND(BB94=1,OR(AR94="Y",AR94="N",AR94="maybe")),1,0)</f>
        <v>0</v>
      </c>
      <c r="DC94" s="23" t="n">
        <f aca="false">IF(AND(DB94=1),IF(COUNTIFS($A$2:$A$201,$A94,$DB$2:$DB$201,1,$H$2:$H$201,"&gt;"&amp;H94)+COUNTIFS($A$2:$A$201,$A94,$DB$2:$DB$201,1,$H$2:$H$201,H94,$BA$2:$BA$201,"&gt;"&amp;BA94)=0,1,0),0)</f>
        <v>0</v>
      </c>
      <c r="DD94" s="23" t="n">
        <f aca="false">IF(AND(DB94=1,INT(N(H94))&lt;=Config!$B$6),IF(COUNTIFS($AZ$2:$AZ$201,AZ94,$DB$2:$DB$201,1,$H$2:$H$201,"&gt;"&amp;H94,$H$2:$H$201,"&lt;"&amp;(Config!$B$6+1))+COUNTIFS($AZ$2:$AZ$201,AZ94,$DB$2:$DB$201,1,$H$2:$H$201,H94,$BA$2:$BA$201,"&gt;"&amp;BA94)=0,1,0),0)</f>
        <v>0</v>
      </c>
      <c r="DE94" s="23" t="n">
        <f aca="false">IF(AND(DB94=1,INT(N(H94))&lt;=Config!$B$7),IF(COUNTIFS($AZ$2:$AZ$201,AZ94,$DB$2:$DB$201,1,$H$2:$H$201,"&gt;"&amp;H94,$H$2:$H$201,"&lt;"&amp;(Config!$B$7+1))+COUNTIFS($AZ$2:$AZ$201,AZ94,$DB$2:$DB$201,1,$H$2:$H$201,H94,$BA$2:$BA$201,"&gt;"&amp;BA94)=0,1,0),0)</f>
        <v>0</v>
      </c>
      <c r="DF94" s="23" t="n">
        <f aca="false">IF(AND(DB94=1,INT(N(H94))&lt;=Config!$B$8),IF(COUNTIFS($AZ$2:$AZ$201,AZ94,$DB$2:$DB$201,1,$H$2:$H$201,"&gt;"&amp;H94,$H$2:$H$201,"&lt;"&amp;(Config!$B$8+1))+COUNTIFS($AZ$2:$AZ$201,AZ94,$DB$2:$DB$201,1,$H$2:$H$201,H94,$BA$2:$BA$201,"&gt;"&amp;BA94)=0,1,0),0)</f>
        <v>0</v>
      </c>
      <c r="DG94" s="23" t="n">
        <f aca="false">IF(AND(DB94=1,INT(N(H94))&lt;=Config!$B$5),IF(COUNTIFS($AZ$2:$AZ$201,AZ94,$DB$2:$DB$201,1,$H$2:$H$201,"&gt;"&amp;H94,$H$2:$H$201,"&lt;"&amp;(Config!$B$5+1))+COUNTIFS($AZ$2:$AZ$201,AZ94,$DB$2:$DB$201,1,$H$2:$H$201,H94,$BA$2:$BA$201,"&gt;"&amp;BA94)=0,1,0),0)</f>
        <v>0</v>
      </c>
      <c r="DH94" s="23" t="n">
        <f aca="false">IF(BB94=1,IF(COUNTIFS($AZ$2:$AZ$201,AZ94,$DD$2:$DD$201,1,$AR$2:$AR$201,"Y")&gt;0,1,0),0)</f>
        <v>0</v>
      </c>
      <c r="DI94" s="23" t="n">
        <f aca="false">IF(BB94=1,IF(COUNTIFS($AZ$2:$AZ$201,AZ94,$DE$2:$DE$201,1,$AR$2:$AR$201,"Y")&gt;0,1,0),0)</f>
        <v>0</v>
      </c>
      <c r="DJ94" s="23" t="n">
        <f aca="false">IF(BB94=1,IF(COUNTIFS($AZ$2:$AZ$201,AZ94,$DF$2:$DF$201,1,$AR$2:$AR$201,"Y")&gt;0,1,0),0)</f>
        <v>0</v>
      </c>
      <c r="DK94" s="23" t="n">
        <f aca="false">IF(BB94=1,IF(COUNTIFS($AZ$2:$AZ$201,AZ94,$DG$2:$DG$201,1,$AR$2:$AR$201,"Y")&gt;0,1,0),0)</f>
        <v>0</v>
      </c>
      <c r="DL94" s="23" t="n">
        <f aca="false">IF(AND(BF94=1,INT(N(H94))&lt;=Config!$B$6,DH94=1,EI94=0),1,0)</f>
        <v>0</v>
      </c>
      <c r="DM94" s="23" t="n">
        <f aca="false">IF(AND(BF94=1,INT(N(H94))&lt;=Config!$B$7,DI94=1,EI94=0),1,0)</f>
        <v>0</v>
      </c>
      <c r="DN94" s="23" t="n">
        <f aca="false">IF(AND(BF94=1,INT(N(H94))&lt;=Config!$B$8,DJ94=1,EI94=0),1,0)</f>
        <v>0</v>
      </c>
      <c r="DO94" s="23" t="n">
        <f aca="false">IF(AND(BF94=1,INT(N(H94))&lt;=Config!$B$5,DK94=1,EI94=0),1,0)</f>
        <v>0</v>
      </c>
      <c r="DP94" s="23" t="n">
        <f aca="false">IF(AND(CC94=1,INT(N(H94))&lt;=Config!$B$6,DH94=1,EI94=0),1,0)</f>
        <v>0</v>
      </c>
      <c r="DQ94" s="23" t="n">
        <f aca="false">IF(AND(CC94=1,INT(N(H94))&lt;=Config!$B$7,DI94=1,EI94=0),1,0)</f>
        <v>0</v>
      </c>
      <c r="DR94" s="23" t="n">
        <f aca="false">IF(AND(CC94=1,INT(N(H94))&lt;=Config!$B$8,DJ94=1,EI94=0),1,0)</f>
        <v>0</v>
      </c>
      <c r="DS94" s="23" t="n">
        <f aca="false">IF(AND(CC94=1,INT(N(H94))&lt;=Config!$B$5,DK94=1,EI94=0),1,0)</f>
        <v>0</v>
      </c>
      <c r="DT94" s="23" t="n">
        <f aca="false">IF(AND(CC94=1,INT(N(H94))&lt;=Config!$B$6,DH94=0),1,0)</f>
        <v>0</v>
      </c>
      <c r="DU94" s="23" t="n">
        <f aca="false">IF(AND(CC94=1,INT(N(H94))&lt;=Config!$B$7,DI94=0),1,0)</f>
        <v>0</v>
      </c>
      <c r="DV94" s="23" t="n">
        <f aca="false">IF(AND(CC94=1,INT(N(H94))&lt;=Config!$B$8,DJ94=0),1,0)</f>
        <v>0</v>
      </c>
      <c r="DW94" s="23" t="n">
        <f aca="false">IF(AND(CC94=1,INT(N(H94))&lt;=Config!$B$5,DK94=0),1,0)</f>
        <v>0</v>
      </c>
      <c r="DX94" s="23" t="n">
        <f aca="false">IF(TRIM($A94)="",0,ISTEXT(M94)+ISTEXT(O94)+ISTEXT(Y94)+ISTEXT(Z94)+ISTEXT(AA94)+ISTEXT(AV94))</f>
        <v>0</v>
      </c>
      <c r="DY94" s="23" t="n">
        <f aca="false">IF(BB94=1,IF(H94&lt;&gt;INT(H94),1,0),0)</f>
        <v>0</v>
      </c>
      <c r="DZ94" s="23" t="str">
        <f aca="false">IF(TRIM($A94)="","",IF(TRIM(B94)="",SUBSTITUTE(SUBSTITUTE(SUBSTITUTE(SUBSTITUTE(SUBSTITUTE(SUBSTITUTE(LOWER(TRIM($A94)),"~",""),"*",""),"?",""),"&lt;",""),"&gt;",""),"=",""),SUBSTITUTE(SUBSTITUTE(SUBSTITUTE(SUBSTITUTE(SUBSTITUTE(SUBSTITUTE(LOWER(TRIM(B94)),"~",""),"*",""),"?",""),"&lt;",""),"&gt;",""),"=","")))</f>
        <v/>
      </c>
      <c r="EA94" s="23" t="str">
        <f aca="false">IF(CW94="","",IFERROR(IF(LEFT(LOWER(TRIM(INDEX(Clay_Offices!$A$2:$FZ$601,CW94,Sync!$C$19)&amp;"")),4)="grp-",SUBSTITUTE(SUBSTITUTE(SUBSTITUTE(SUBSTITUTE(SUBSTITUTE(SUBSTITUTE(LOWER(TRIM(INDEX(Clay_Offices!$A$2:$FZ$601,CW94,Sync!$C$19)&amp;"")),"~",""),"*",""),"?",""),"&lt;",""),"&gt;",""),"=",""),""),""))</f>
        <v/>
      </c>
      <c r="EB94" s="23" t="str">
        <f aca="false">IF(EA94&lt;&gt;"",DZ94,"")</f>
        <v/>
      </c>
      <c r="EC94" s="23" t="str">
        <f aca="false">IF(BC94=1,AZ94,"")</f>
        <v/>
      </c>
      <c r="ED94" s="23" t="str">
        <f aca="false">IF(TRIM($A94)="","",IFERROR(INDEX($A$2:$A$201,MATCH(AZ94,$EC$2:$EC$201,0))&amp;"",$A94&amp;""))</f>
        <v/>
      </c>
      <c r="EE94" s="23" t="n">
        <f aca="false">IF(BB94=1,IF(COUNTIFS($A$2:$A$201,$A94,$BB$2:$BB$201,1,$H$2:$H$201,"&lt;"&amp;H94)+COUNTIFS($A$2:$A$201,$A94,$BB$2:$BB$201,1,$H$2:$H$201,H94,$BA$2:$BA$201,"&lt;"&amp;BA94)=0,1,0),0)</f>
        <v>0</v>
      </c>
      <c r="EF94" s="23" t="n">
        <f aca="false">IF(BC94=1,IF(COUNTIFS($AZ$2:$AZ$201,AZ94,$EE$2:$EE$201,1)&gt;1,1,0),0)</f>
        <v>0</v>
      </c>
      <c r="EG94" s="23" t="n">
        <f aca="false">IF(AND(CQ94=1),IF(COUNTIFS($AZ$2:$AZ$201,AZ94,$CQ$2:$CQ$201,1,$H$2:$H$201,"&gt;"&amp;H94)+COUNTIFS($AZ$2:$AZ$201,AZ94,$CQ$2:$CQ$201,1,$H$2:$H$201,H94,$BA$2:$BA$201,"&gt;"&amp;BA94)=0,1,0),0)</f>
        <v>0</v>
      </c>
      <c r="EH94" s="23" t="str">
        <f aca="false">IF(BB94=1,IF(COUNTIFS($AZ$2:$AZ$201,AZ94,$EG$2:$EG$201,1)=0,"",SUMIFS($O$2:$O$201,$AZ$2:$AZ$201,AZ94,$EG$2:$EG$201,1)),"")</f>
        <v/>
      </c>
      <c r="EI94" s="23" t="n">
        <f aca="false">IF(AND(ISNUMBER(EH94),OR(N(EH94)&lt;Config!$B$31,N(EH94)&gt;Config!$B$33)),1,0)</f>
        <v>0</v>
      </c>
      <c r="EJ94" s="23" t="n">
        <f aca="false">IF(AND(ISNUMBER(EH94),N(EH94)&gt;=Config!$B$31,N(EH94)&lt;Config!$B$32),1,0)</f>
        <v>0</v>
      </c>
      <c r="EK94" s="23" t="n">
        <f aca="false">IF(AND(BF94=1,INT(N(H94))&lt;=Config!$B$6,DH94=1,EI94=1),1,0)</f>
        <v>0</v>
      </c>
      <c r="EL94" s="23" t="n">
        <f aca="false">IF(AND(BF94=1,INT(N(H94))&lt;=Config!$B$7,DI94=1,EI94=1),1,0)</f>
        <v>0</v>
      </c>
      <c r="EM94" s="23" t="n">
        <f aca="false">IF(AND(BF94=1,INT(N(H94))&lt;=Config!$B$8,DJ94=1,EI94=1),1,0)</f>
        <v>0</v>
      </c>
      <c r="EN94" s="23" t="n">
        <f aca="false">IF(AND(BF94=1,INT(N(H94))&lt;=Config!$B$5,DK94=1,EI94=1),1,0)</f>
        <v>0</v>
      </c>
      <c r="EO94" s="23" t="n">
        <f aca="false">IF(AND(DL94=1,EJ94=1),1,0)</f>
        <v>0</v>
      </c>
      <c r="EP94" s="23" t="n">
        <f aca="false">IF(AND(DM94=1,EJ94=1),1,0)</f>
        <v>0</v>
      </c>
      <c r="EQ94" s="23" t="n">
        <f aca="false">IF(AND(DN94=1,EJ94=1),1,0)</f>
        <v>0</v>
      </c>
      <c r="ER94" s="23" t="n">
        <f aca="false">IF(AND(DO94=1,EJ94=1),1,0)</f>
        <v>0</v>
      </c>
    </row>
    <row r="95" customFormat="false" ht="15" hidden="false" customHeight="false" outlineLevel="0" collapsed="false">
      <c r="G95" s="32"/>
      <c r="H95" s="33"/>
      <c r="I95" s="32"/>
      <c r="L95" s="32"/>
      <c r="Q95" s="32"/>
      <c r="U95" s="32"/>
      <c r="W95" s="32"/>
      <c r="AC95" s="32"/>
      <c r="AF95" s="32"/>
      <c r="AI95" s="32"/>
      <c r="AJ95" s="32"/>
      <c r="AN95" s="32"/>
      <c r="AR95" s="32"/>
      <c r="AT95" s="32"/>
      <c r="AU95" s="32"/>
      <c r="AW95" s="32"/>
      <c r="AY95" s="34" t="str">
        <f aca="false">IF(TRIM($A95)="","",IF(AND(LEFT($A95,6)="SAMPLE",Config!$B$19&lt;&gt;"Y"),"",IF(NOT(ISNUMBER(H95)),"call_date is blank or not a date",IF(Sync!$C$5="","Clay paste is empty or has no row_id column: paste the Clay export on Clay_Offices",IF(CW95="","row_id not found in the Clay paste: add the Clay row or fix the row_id",IF(AND(ISNUMBER(CY95),CY95&gt;=1,CY95&lt;=5),"Clay status is "&amp;CX95&amp;": set call_done or later",IF(AND(BD95=1,CZ95&lt;&gt;BZ95),"Clay yes_in_principle should be "&amp;BZ95,IF(AND(BD95=1,DA95&lt;&gt;H95),"Clay call_date should be "&amp;TEXT(H95,"yyyy-mm-dd"),""))))))))</f>
        <v/>
      </c>
      <c r="AZ95" s="23" t="str">
        <f aca="false">IF(TRIM($A95)="","",IF(TRIM(C95)&lt;&gt;"",SUBSTITUTE(SUBSTITUTE(SUBSTITUTE(SUBSTITUTE(SUBSTITUTE(SUBSTITUTE(LOWER(TRIM(C95)),"~",""),"*",""),"?",""),"&lt;",""),"&gt;",""),"=",""),IF(EA95&lt;&gt;"",EA95,IFERROR(INDEX($EA$2:$EA$201,MATCH(DZ95,$EB$2:$EB$201,0)),DZ95))))</f>
        <v/>
      </c>
      <c r="BA95" s="23" t="n">
        <f aca="false">ROW()</f>
        <v>95</v>
      </c>
      <c r="BB95" s="23" t="n">
        <f aca="false">IF(AND(TRIM($A95)&lt;&gt;"",ISNUMBER(H95)),IF(AND(LEFT($A95,6)="SAMPLE",Config!$B$19&lt;&gt;"Y"),0,1),0)</f>
        <v>0</v>
      </c>
      <c r="BC95" s="23" t="n">
        <f aca="false">IF(BB95=1,IF(COUNTIFS($AZ$2:$AZ$201,AZ95,$BB$2:$BB$201,1,$H$2:$H$201,"&lt;"&amp;H95)+COUNTIFS($AZ$2:$AZ$201,AZ95,$BB$2:$BB$201,1,$H$2:$H$201,H95,$BA$2:$BA$201,"&lt;"&amp;BA95)=0,1,0),0)</f>
        <v>0</v>
      </c>
      <c r="BD95" s="23" t="n">
        <f aca="false">IF(BB95=1,IF(COUNTIFS($A$2:$A$201,$A95,$BB$2:$BB$201,1,$H$2:$H$201,"&gt;"&amp;H95)+COUNTIFS($A$2:$A$201,$A95,$BB$2:$BB$201,1,$H$2:$H$201,H95,$BA$2:$BA$201,"&gt;"&amp;BA95)=0,1,0),0)</f>
        <v>0</v>
      </c>
      <c r="BE95" s="23" t="n">
        <f aca="false">IF(AND(BB95=1,AR95="Y",AC95="Y",TRIM(AH95)&lt;&gt;""),1,0)</f>
        <v>0</v>
      </c>
      <c r="BF95" s="23" t="n">
        <f aca="false">IF(BE95=1,IF(COUNTIFS($AZ$2:$AZ$201,AZ95,$BE$2:$BE$201,1,$H$2:$H$201,"&lt;"&amp;H95)+COUNTIFS($AZ$2:$AZ$201,AZ95,$BE$2:$BE$201,1,$H$2:$H$201,H95,$BA$2:$BA$201,"&lt;"&amp;BA95)=0,1,0),0)</f>
        <v>0</v>
      </c>
      <c r="BG95" s="23" t="n">
        <f aca="false">IF(AND(BB95=1,AR95="Y",BE95=0),1,0)</f>
        <v>0</v>
      </c>
      <c r="BH95" s="23" t="n">
        <f aca="false">IF(AND(BB95=1,ISNUMBER(Y95)),1,0)</f>
        <v>0</v>
      </c>
      <c r="BI95" s="23" t="n">
        <f aca="false">IF(BH95=1,IF(COUNTIFS($AZ$2:$AZ$201,AZ95,$BH$2:$BH$201,1,$H$2:$H$201,"&lt;"&amp;H95)+COUNTIFS($AZ$2:$AZ$201,AZ95,$BH$2:$BH$201,1,$H$2:$H$201,H95,$BA$2:$BA$201,"&lt;"&amp;BA95)=0,1,0),0)</f>
        <v>0</v>
      </c>
      <c r="BJ95" s="23" t="str">
        <f aca="false">IF(AND(BI95=1,INT(N(H95))&lt;=Config!$B$6),Y95,"")</f>
        <v/>
      </c>
      <c r="BK95" s="23" t="str">
        <f aca="false">IF(AND(BI95=1,INT(N(H95))&lt;=Config!$B$7),Y95,"")</f>
        <v/>
      </c>
      <c r="BL95" s="23" t="str">
        <f aca="false">IF(AND(BI95=1,INT(N(H95))&lt;=Config!$B$8),Y95,"")</f>
        <v/>
      </c>
      <c r="BM95" s="23" t="str">
        <f aca="false">IF(AND(BI95=1,INT(N(H95))&lt;=Config!$B$5),Y95,"")</f>
        <v/>
      </c>
      <c r="BN95" s="23" t="n">
        <f aca="false">IF(CD95=1,IF(COUNTIFS($AZ$2:$AZ$201,AZ95,$CD$2:$CD$201,1,$H$2:$H$201,"&lt;"&amp;H95)+COUNTIFS($AZ$2:$AZ$201,AZ95,$CD$2:$CD$201,1,$H$2:$H$201,H95,$BA$2:$BA$201,"&lt;"&amp;BA95)=0,1,0),0)</f>
        <v>0</v>
      </c>
      <c r="BO95" s="23" t="n">
        <f aca="false">IF(AND(BB95=1,ISNUMBER(M95)),1,0)</f>
        <v>0</v>
      </c>
      <c r="BP95" s="23" t="n">
        <f aca="false">IF(BO95=1,IF(COUNTIFS($AZ$2:$AZ$201,AZ95,$BO$2:$BO$201,1,$H$2:$H$201,"&lt;"&amp;H95)+COUNTIFS($AZ$2:$AZ$201,AZ95,$BO$2:$BO$201,1,$H$2:$H$201,H95,$BA$2:$BA$201,"&lt;"&amp;BA95)=0,1,0),0)</f>
        <v>0</v>
      </c>
      <c r="BQ95" s="23" t="str">
        <f aca="false">IF(AND(BP95=1,INT(N(H95))&lt;=Config!$B$5),M95,"")</f>
        <v/>
      </c>
      <c r="BR95" s="23" t="n">
        <f aca="false">IF(AND(BB95=1,OR(TRIM(X95)&lt;&gt;"",ISNUMBER(Y95))),1,0)</f>
        <v>0</v>
      </c>
      <c r="BS95" s="23" t="n">
        <f aca="false">IF(BR95=1,IF(COUNTIFS($AZ$2:$AZ$201,AZ95,$BR$2:$BR$201,1,$H$2:$H$201,"&lt;"&amp;H95)+COUNTIFS($AZ$2:$AZ$201,AZ95,$BR$2:$BR$201,1,$H$2:$H$201,H95,$BA$2:$BA$201,"&lt;"&amp;BA95)=0,1,0),0)</f>
        <v>0</v>
      </c>
      <c r="BT95" s="23" t="str">
        <f aca="false">IF(BS95=1,AZ95,"")</f>
        <v/>
      </c>
      <c r="BU95" s="23" t="n">
        <f aca="false">IF(AND(BB95=1,W95="Y",TRIM(X95)=""),1,0)</f>
        <v>0</v>
      </c>
      <c r="BV95" s="23" t="str">
        <f aca="false">IF(BB95=1,AN95&amp;"","")</f>
        <v/>
      </c>
      <c r="BW95" s="23" t="str">
        <f aca="false">IF(BB95=1,AO95&amp;"","")</f>
        <v/>
      </c>
      <c r="BX95" s="23" t="str">
        <f aca="false">IF(BB95=1,AP95&amp;"","")</f>
        <v/>
      </c>
      <c r="BY95" s="23" t="str">
        <f aca="false">IF(AND(BB95=1,ISNUMBER(AV95),INT(N(H95))&lt;=Config!$B$5),AV95,"")</f>
        <v/>
      </c>
      <c r="BZ95" s="23" t="str">
        <f aca="false">IF(BB95=1,IF(COUNTIFS($A$2:$A$201,$A95,$DC$2:$DC$201,1,$AR$2:$AR$201,"Y")&gt;0,"Y","N"),"")</f>
        <v/>
      </c>
      <c r="CA95" s="23" t="n">
        <f aca="false">IF(AND(BB95=1,AR95="maybe"),1,0)</f>
        <v>0</v>
      </c>
      <c r="CB95" s="23" t="n">
        <f aca="false">IF(CA95=1,IF(COUNTIFS($AZ$2:$AZ$201,AZ95,$CA$2:$CA$201,1,$H$2:$H$201,"&lt;"&amp;H95)+COUNTIFS($AZ$2:$AZ$201,AZ95,$CA$2:$CA$201,1,$H$2:$H$201,H95,$BA$2:$BA$201,"&lt;"&amp;BA95)=0,1,0),0)</f>
        <v>0</v>
      </c>
      <c r="CC95" s="23" t="n">
        <f aca="false">IF(AND(BB95=1,AR95="Y"),IF(COUNTIFS($AZ$2:$AZ$201,AZ95,$AR$2:$AR$201,"Y",$BB$2:$BB$201,1,$H$2:$H$201,"&lt;"&amp;H95)+COUNTIFS($AZ$2:$AZ$201,AZ95,$AR$2:$AR$201,"Y",$BB$2:$BB$201,1,$H$2:$H$201,H95,$BA$2:$BA$201,"&lt;"&amp;BA95)=0,1,0),0)</f>
        <v>0</v>
      </c>
      <c r="CD95" s="23" t="n">
        <f aca="false">IF(AND(BH95=1,N(Y95)&gt;=Config!$B$15),1,0)</f>
        <v>0</v>
      </c>
      <c r="CE95" s="23" t="n">
        <f aca="false">IF(AND(BB95=1,AT95="Y"),1,0)</f>
        <v>0</v>
      </c>
      <c r="CF95" s="23" t="n">
        <f aca="false">IF(CE95=1,IF(COUNTIFS($AZ$2:$AZ$201,AZ95,$CE$2:$CE$201,1,$H$2:$H$201,"&lt;"&amp;H95)+COUNTIFS($AZ$2:$AZ$201,AZ95,$CE$2:$CE$201,1,$H$2:$H$201,H95,$BA$2:$BA$201,"&lt;"&amp;BA95)=0,1,0),0)</f>
        <v>0</v>
      </c>
      <c r="CG95" s="23" t="n">
        <f aca="false">IF(AND(BB95=1,G95="warm-intro"),1,0)</f>
        <v>0</v>
      </c>
      <c r="CH95" s="23" t="n">
        <f aca="false">IF(CG95=1,IF(COUNTIFS($AZ$2:$AZ$201,AZ95,$CG$2:$CG$201,1,$H$2:$H$201,"&lt;"&amp;H95)+COUNTIFS($AZ$2:$AZ$201,AZ95,$CG$2:$CG$201,1,$H$2:$H$201,H95,$BA$2:$BA$201,"&lt;"&amp;BA95)=0,1,0),0)</f>
        <v>0</v>
      </c>
      <c r="CI95" s="23" t="n">
        <f aca="false">IF(AND(BB95=1,Q95="Y"),1,0)</f>
        <v>0</v>
      </c>
      <c r="CJ95" s="23" t="n">
        <f aca="false">IF(CI95=1,IF(COUNTIFS($AZ$2:$AZ$201,AZ95,$CI$2:$CI$201,1,$H$2:$H$201,"&lt;"&amp;H95)+COUNTIFS($AZ$2:$AZ$201,AZ95,$CI$2:$CI$201,1,$H$2:$H$201,H95,$BA$2:$BA$201,"&lt;"&amp;BA95)=0,1,0),0)</f>
        <v>0</v>
      </c>
      <c r="CK95" s="23" t="n">
        <f aca="false">IF(AND(BB95=1,AF95="Y"),1,0)</f>
        <v>0</v>
      </c>
      <c r="CL95" s="23" t="n">
        <f aca="false">IF(CK95=1,IF(COUNTIFS($AZ$2:$AZ$201,AZ95,$CK$2:$CK$201,1,$H$2:$H$201,"&lt;"&amp;H95)+COUNTIFS($AZ$2:$AZ$201,AZ95,$CK$2:$CK$201,1,$H$2:$H$201,H95,$BA$2:$BA$201,"&lt;"&amp;BA95)=0,1,0),0)</f>
        <v>0</v>
      </c>
      <c r="CM95" s="23" t="n">
        <f aca="false">IF(AND(BB95=1,U95="Y"),1,0)</f>
        <v>0</v>
      </c>
      <c r="CN95" s="23" t="n">
        <f aca="false">IF(CM95=1,IF(COUNTIFS($AZ$2:$AZ$201,AZ95,$CM$2:$CM$201,1,$H$2:$H$201,"&lt;"&amp;H95)+COUNTIFS($AZ$2:$AZ$201,AZ95,$CM$2:$CM$201,1,$H$2:$H$201,H95,$BA$2:$BA$201,"&lt;"&amp;BA95)=0,1,0),0)</f>
        <v>0</v>
      </c>
      <c r="CO95" s="23" t="n">
        <f aca="false">IF(AND(BB95=1,L95="Y"),1,0)</f>
        <v>0</v>
      </c>
      <c r="CP95" s="23" t="n">
        <f aca="false">IF(CO95=1,IF(COUNTIFS($AZ$2:$AZ$201,AZ95,$CO$2:$CO$201,1,$H$2:$H$201,"&lt;"&amp;H95)+COUNTIFS($AZ$2:$AZ$201,AZ95,$CO$2:$CO$201,1,$H$2:$H$201,H95,$BA$2:$BA$201,"&lt;"&amp;BA95)=0,1,0),0)</f>
        <v>0</v>
      </c>
      <c r="CQ95" s="23" t="n">
        <f aca="false">IF(AND(BB95=1,ISNUMBER(O95)),1,0)</f>
        <v>0</v>
      </c>
      <c r="CR95" s="23" t="n">
        <f aca="false">IF(CQ95=1,IF(COUNTIFS($AZ$2:$AZ$201,AZ95,$CQ$2:$CQ$201,1,$H$2:$H$201,"&lt;"&amp;H95)+COUNTIFS($AZ$2:$AZ$201,AZ95,$CQ$2:$CQ$201,1,$H$2:$H$201,H95,$BA$2:$BA$201,"&lt;"&amp;BA95)=0,1,0),0)</f>
        <v>0</v>
      </c>
      <c r="CS95" s="23" t="str">
        <f aca="false">IF(AND(CR95=1,INT(N(H95))&lt;=Config!$B$5),O95,"")</f>
        <v/>
      </c>
      <c r="CT95" s="23" t="str">
        <f aca="false">IF(AND(BB95=1,INT(N(H95))&lt;=Config!$B$5),AG95&amp;"","")</f>
        <v/>
      </c>
      <c r="CU95" s="23" t="n">
        <f aca="false">IF(AND(BB95=1,AU95="Y"),1,0)</f>
        <v>0</v>
      </c>
      <c r="CV95" s="23" t="n">
        <f aca="false">IF(CU95=1,IF(COUNTIFS($AZ$2:$AZ$201,AZ95,$CU$2:$CU$201,1,$H$2:$H$201,"&lt;"&amp;H95)+COUNTIFS($AZ$2:$AZ$201,AZ95,$CU$2:$CU$201,1,$H$2:$H$201,H95,$BA$2:$BA$201,"&lt;"&amp;BA95)=0,1,0),0)</f>
        <v>0</v>
      </c>
      <c r="CW95" s="23" t="str">
        <f aca="false">IF(BB95=1,IFERROR(MATCH($A95,INDEX(Clay_Offices!$A$2:$FZ$601,0,Sync!$C$5),0),""),"")</f>
        <v/>
      </c>
      <c r="CX95" s="23" t="str">
        <f aca="false">IF(CW95="","",IFERROR(INDEX(Clay_Offices!$A$2:$FZ$601,CW95,Sync!$C$7)&amp;"",""))</f>
        <v/>
      </c>
      <c r="CY95" s="23" t="str">
        <f aca="false">IF(CX95="","",IFERROR(INDEX(Lists!$K$2:$K$15,MATCH(CX95,Lists!$J$2:$J$15,0)),""))</f>
        <v/>
      </c>
      <c r="CZ95" s="23" t="str">
        <f aca="false">IF(CW95="","",IFERROR(INDEX(Clay_Offices!$A$2:$FZ$601,CW95,Sync!$C$17)&amp;"",""))</f>
        <v/>
      </c>
      <c r="DA95" s="35" t="str">
        <f aca="false">IF(CW95="","",IFERROR(N(INDEX(Clay_Offices!$A$2:$FZ$601,CW95,Sync!$C$16)),0))</f>
        <v/>
      </c>
      <c r="DB95" s="23" t="n">
        <f aca="false">IF(AND(BB95=1,OR(AR95="Y",AR95="N",AR95="maybe")),1,0)</f>
        <v>0</v>
      </c>
      <c r="DC95" s="23" t="n">
        <f aca="false">IF(AND(DB95=1),IF(COUNTIFS($A$2:$A$201,$A95,$DB$2:$DB$201,1,$H$2:$H$201,"&gt;"&amp;H95)+COUNTIFS($A$2:$A$201,$A95,$DB$2:$DB$201,1,$H$2:$H$201,H95,$BA$2:$BA$201,"&gt;"&amp;BA95)=0,1,0),0)</f>
        <v>0</v>
      </c>
      <c r="DD95" s="23" t="n">
        <f aca="false">IF(AND(DB95=1,INT(N(H95))&lt;=Config!$B$6),IF(COUNTIFS($AZ$2:$AZ$201,AZ95,$DB$2:$DB$201,1,$H$2:$H$201,"&gt;"&amp;H95,$H$2:$H$201,"&lt;"&amp;(Config!$B$6+1))+COUNTIFS($AZ$2:$AZ$201,AZ95,$DB$2:$DB$201,1,$H$2:$H$201,H95,$BA$2:$BA$201,"&gt;"&amp;BA95)=0,1,0),0)</f>
        <v>0</v>
      </c>
      <c r="DE95" s="23" t="n">
        <f aca="false">IF(AND(DB95=1,INT(N(H95))&lt;=Config!$B$7),IF(COUNTIFS($AZ$2:$AZ$201,AZ95,$DB$2:$DB$201,1,$H$2:$H$201,"&gt;"&amp;H95,$H$2:$H$201,"&lt;"&amp;(Config!$B$7+1))+COUNTIFS($AZ$2:$AZ$201,AZ95,$DB$2:$DB$201,1,$H$2:$H$201,H95,$BA$2:$BA$201,"&gt;"&amp;BA95)=0,1,0),0)</f>
        <v>0</v>
      </c>
      <c r="DF95" s="23" t="n">
        <f aca="false">IF(AND(DB95=1,INT(N(H95))&lt;=Config!$B$8),IF(COUNTIFS($AZ$2:$AZ$201,AZ95,$DB$2:$DB$201,1,$H$2:$H$201,"&gt;"&amp;H95,$H$2:$H$201,"&lt;"&amp;(Config!$B$8+1))+COUNTIFS($AZ$2:$AZ$201,AZ95,$DB$2:$DB$201,1,$H$2:$H$201,H95,$BA$2:$BA$201,"&gt;"&amp;BA95)=0,1,0),0)</f>
        <v>0</v>
      </c>
      <c r="DG95" s="23" t="n">
        <f aca="false">IF(AND(DB95=1,INT(N(H95))&lt;=Config!$B$5),IF(COUNTIFS($AZ$2:$AZ$201,AZ95,$DB$2:$DB$201,1,$H$2:$H$201,"&gt;"&amp;H95,$H$2:$H$201,"&lt;"&amp;(Config!$B$5+1))+COUNTIFS($AZ$2:$AZ$201,AZ95,$DB$2:$DB$201,1,$H$2:$H$201,H95,$BA$2:$BA$201,"&gt;"&amp;BA95)=0,1,0),0)</f>
        <v>0</v>
      </c>
      <c r="DH95" s="23" t="n">
        <f aca="false">IF(BB95=1,IF(COUNTIFS($AZ$2:$AZ$201,AZ95,$DD$2:$DD$201,1,$AR$2:$AR$201,"Y")&gt;0,1,0),0)</f>
        <v>0</v>
      </c>
      <c r="DI95" s="23" t="n">
        <f aca="false">IF(BB95=1,IF(COUNTIFS($AZ$2:$AZ$201,AZ95,$DE$2:$DE$201,1,$AR$2:$AR$201,"Y")&gt;0,1,0),0)</f>
        <v>0</v>
      </c>
      <c r="DJ95" s="23" t="n">
        <f aca="false">IF(BB95=1,IF(COUNTIFS($AZ$2:$AZ$201,AZ95,$DF$2:$DF$201,1,$AR$2:$AR$201,"Y")&gt;0,1,0),0)</f>
        <v>0</v>
      </c>
      <c r="DK95" s="23" t="n">
        <f aca="false">IF(BB95=1,IF(COUNTIFS($AZ$2:$AZ$201,AZ95,$DG$2:$DG$201,1,$AR$2:$AR$201,"Y")&gt;0,1,0),0)</f>
        <v>0</v>
      </c>
      <c r="DL95" s="23" t="n">
        <f aca="false">IF(AND(BF95=1,INT(N(H95))&lt;=Config!$B$6,DH95=1,EI95=0),1,0)</f>
        <v>0</v>
      </c>
      <c r="DM95" s="23" t="n">
        <f aca="false">IF(AND(BF95=1,INT(N(H95))&lt;=Config!$B$7,DI95=1,EI95=0),1,0)</f>
        <v>0</v>
      </c>
      <c r="DN95" s="23" t="n">
        <f aca="false">IF(AND(BF95=1,INT(N(H95))&lt;=Config!$B$8,DJ95=1,EI95=0),1,0)</f>
        <v>0</v>
      </c>
      <c r="DO95" s="23" t="n">
        <f aca="false">IF(AND(BF95=1,INT(N(H95))&lt;=Config!$B$5,DK95=1,EI95=0),1,0)</f>
        <v>0</v>
      </c>
      <c r="DP95" s="23" t="n">
        <f aca="false">IF(AND(CC95=1,INT(N(H95))&lt;=Config!$B$6,DH95=1,EI95=0),1,0)</f>
        <v>0</v>
      </c>
      <c r="DQ95" s="23" t="n">
        <f aca="false">IF(AND(CC95=1,INT(N(H95))&lt;=Config!$B$7,DI95=1,EI95=0),1,0)</f>
        <v>0</v>
      </c>
      <c r="DR95" s="23" t="n">
        <f aca="false">IF(AND(CC95=1,INT(N(H95))&lt;=Config!$B$8,DJ95=1,EI95=0),1,0)</f>
        <v>0</v>
      </c>
      <c r="DS95" s="23" t="n">
        <f aca="false">IF(AND(CC95=1,INT(N(H95))&lt;=Config!$B$5,DK95=1,EI95=0),1,0)</f>
        <v>0</v>
      </c>
      <c r="DT95" s="23" t="n">
        <f aca="false">IF(AND(CC95=1,INT(N(H95))&lt;=Config!$B$6,DH95=0),1,0)</f>
        <v>0</v>
      </c>
      <c r="DU95" s="23" t="n">
        <f aca="false">IF(AND(CC95=1,INT(N(H95))&lt;=Config!$B$7,DI95=0),1,0)</f>
        <v>0</v>
      </c>
      <c r="DV95" s="23" t="n">
        <f aca="false">IF(AND(CC95=1,INT(N(H95))&lt;=Config!$B$8,DJ95=0),1,0)</f>
        <v>0</v>
      </c>
      <c r="DW95" s="23" t="n">
        <f aca="false">IF(AND(CC95=1,INT(N(H95))&lt;=Config!$B$5,DK95=0),1,0)</f>
        <v>0</v>
      </c>
      <c r="DX95" s="23" t="n">
        <f aca="false">IF(TRIM($A95)="",0,ISTEXT(M95)+ISTEXT(O95)+ISTEXT(Y95)+ISTEXT(Z95)+ISTEXT(AA95)+ISTEXT(AV95))</f>
        <v>0</v>
      </c>
      <c r="DY95" s="23" t="n">
        <f aca="false">IF(BB95=1,IF(H95&lt;&gt;INT(H95),1,0),0)</f>
        <v>0</v>
      </c>
      <c r="DZ95" s="23" t="str">
        <f aca="false">IF(TRIM($A95)="","",IF(TRIM(B95)="",SUBSTITUTE(SUBSTITUTE(SUBSTITUTE(SUBSTITUTE(SUBSTITUTE(SUBSTITUTE(LOWER(TRIM($A95)),"~",""),"*",""),"?",""),"&lt;",""),"&gt;",""),"=",""),SUBSTITUTE(SUBSTITUTE(SUBSTITUTE(SUBSTITUTE(SUBSTITUTE(SUBSTITUTE(LOWER(TRIM(B95)),"~",""),"*",""),"?",""),"&lt;",""),"&gt;",""),"=","")))</f>
        <v/>
      </c>
      <c r="EA95" s="23" t="str">
        <f aca="false">IF(CW95="","",IFERROR(IF(LEFT(LOWER(TRIM(INDEX(Clay_Offices!$A$2:$FZ$601,CW95,Sync!$C$19)&amp;"")),4)="grp-",SUBSTITUTE(SUBSTITUTE(SUBSTITUTE(SUBSTITUTE(SUBSTITUTE(SUBSTITUTE(LOWER(TRIM(INDEX(Clay_Offices!$A$2:$FZ$601,CW95,Sync!$C$19)&amp;"")),"~",""),"*",""),"?",""),"&lt;",""),"&gt;",""),"=",""),""),""))</f>
        <v/>
      </c>
      <c r="EB95" s="23" t="str">
        <f aca="false">IF(EA95&lt;&gt;"",DZ95,"")</f>
        <v/>
      </c>
      <c r="EC95" s="23" t="str">
        <f aca="false">IF(BC95=1,AZ95,"")</f>
        <v/>
      </c>
      <c r="ED95" s="23" t="str">
        <f aca="false">IF(TRIM($A95)="","",IFERROR(INDEX($A$2:$A$201,MATCH(AZ95,$EC$2:$EC$201,0))&amp;"",$A95&amp;""))</f>
        <v/>
      </c>
      <c r="EE95" s="23" t="n">
        <f aca="false">IF(BB95=1,IF(COUNTIFS($A$2:$A$201,$A95,$BB$2:$BB$201,1,$H$2:$H$201,"&lt;"&amp;H95)+COUNTIFS($A$2:$A$201,$A95,$BB$2:$BB$201,1,$H$2:$H$201,H95,$BA$2:$BA$201,"&lt;"&amp;BA95)=0,1,0),0)</f>
        <v>0</v>
      </c>
      <c r="EF95" s="23" t="n">
        <f aca="false">IF(BC95=1,IF(COUNTIFS($AZ$2:$AZ$201,AZ95,$EE$2:$EE$201,1)&gt;1,1,0),0)</f>
        <v>0</v>
      </c>
      <c r="EG95" s="23" t="n">
        <f aca="false">IF(AND(CQ95=1),IF(COUNTIFS($AZ$2:$AZ$201,AZ95,$CQ$2:$CQ$201,1,$H$2:$H$201,"&gt;"&amp;H95)+COUNTIFS($AZ$2:$AZ$201,AZ95,$CQ$2:$CQ$201,1,$H$2:$H$201,H95,$BA$2:$BA$201,"&gt;"&amp;BA95)=0,1,0),0)</f>
        <v>0</v>
      </c>
      <c r="EH95" s="23" t="str">
        <f aca="false">IF(BB95=1,IF(COUNTIFS($AZ$2:$AZ$201,AZ95,$EG$2:$EG$201,1)=0,"",SUMIFS($O$2:$O$201,$AZ$2:$AZ$201,AZ95,$EG$2:$EG$201,1)),"")</f>
        <v/>
      </c>
      <c r="EI95" s="23" t="n">
        <f aca="false">IF(AND(ISNUMBER(EH95),OR(N(EH95)&lt;Config!$B$31,N(EH95)&gt;Config!$B$33)),1,0)</f>
        <v>0</v>
      </c>
      <c r="EJ95" s="23" t="n">
        <f aca="false">IF(AND(ISNUMBER(EH95),N(EH95)&gt;=Config!$B$31,N(EH95)&lt;Config!$B$32),1,0)</f>
        <v>0</v>
      </c>
      <c r="EK95" s="23" t="n">
        <f aca="false">IF(AND(BF95=1,INT(N(H95))&lt;=Config!$B$6,DH95=1,EI95=1),1,0)</f>
        <v>0</v>
      </c>
      <c r="EL95" s="23" t="n">
        <f aca="false">IF(AND(BF95=1,INT(N(H95))&lt;=Config!$B$7,DI95=1,EI95=1),1,0)</f>
        <v>0</v>
      </c>
      <c r="EM95" s="23" t="n">
        <f aca="false">IF(AND(BF95=1,INT(N(H95))&lt;=Config!$B$8,DJ95=1,EI95=1),1,0)</f>
        <v>0</v>
      </c>
      <c r="EN95" s="23" t="n">
        <f aca="false">IF(AND(BF95=1,INT(N(H95))&lt;=Config!$B$5,DK95=1,EI95=1),1,0)</f>
        <v>0</v>
      </c>
      <c r="EO95" s="23" t="n">
        <f aca="false">IF(AND(DL95=1,EJ95=1),1,0)</f>
        <v>0</v>
      </c>
      <c r="EP95" s="23" t="n">
        <f aca="false">IF(AND(DM95=1,EJ95=1),1,0)</f>
        <v>0</v>
      </c>
      <c r="EQ95" s="23" t="n">
        <f aca="false">IF(AND(DN95=1,EJ95=1),1,0)</f>
        <v>0</v>
      </c>
      <c r="ER95" s="23" t="n">
        <f aca="false">IF(AND(DO95=1,EJ95=1),1,0)</f>
        <v>0</v>
      </c>
    </row>
    <row r="96" customFormat="false" ht="15" hidden="false" customHeight="false" outlineLevel="0" collapsed="false">
      <c r="G96" s="32"/>
      <c r="H96" s="33"/>
      <c r="I96" s="32"/>
      <c r="L96" s="32"/>
      <c r="Q96" s="32"/>
      <c r="U96" s="32"/>
      <c r="W96" s="32"/>
      <c r="AC96" s="32"/>
      <c r="AF96" s="32"/>
      <c r="AI96" s="32"/>
      <c r="AJ96" s="32"/>
      <c r="AN96" s="32"/>
      <c r="AR96" s="32"/>
      <c r="AT96" s="32"/>
      <c r="AU96" s="32"/>
      <c r="AW96" s="32"/>
      <c r="AY96" s="34" t="str">
        <f aca="false">IF(TRIM($A96)="","",IF(AND(LEFT($A96,6)="SAMPLE",Config!$B$19&lt;&gt;"Y"),"",IF(NOT(ISNUMBER(H96)),"call_date is blank or not a date",IF(Sync!$C$5="","Clay paste is empty or has no row_id column: paste the Clay export on Clay_Offices",IF(CW96="","row_id not found in the Clay paste: add the Clay row or fix the row_id",IF(AND(ISNUMBER(CY96),CY96&gt;=1,CY96&lt;=5),"Clay status is "&amp;CX96&amp;": set call_done or later",IF(AND(BD96=1,CZ96&lt;&gt;BZ96),"Clay yes_in_principle should be "&amp;BZ96,IF(AND(BD96=1,DA96&lt;&gt;H96),"Clay call_date should be "&amp;TEXT(H96,"yyyy-mm-dd"),""))))))))</f>
        <v/>
      </c>
      <c r="AZ96" s="23" t="str">
        <f aca="false">IF(TRIM($A96)="","",IF(TRIM(C96)&lt;&gt;"",SUBSTITUTE(SUBSTITUTE(SUBSTITUTE(SUBSTITUTE(SUBSTITUTE(SUBSTITUTE(LOWER(TRIM(C96)),"~",""),"*",""),"?",""),"&lt;",""),"&gt;",""),"=",""),IF(EA96&lt;&gt;"",EA96,IFERROR(INDEX($EA$2:$EA$201,MATCH(DZ96,$EB$2:$EB$201,0)),DZ96))))</f>
        <v/>
      </c>
      <c r="BA96" s="23" t="n">
        <f aca="false">ROW()</f>
        <v>96</v>
      </c>
      <c r="BB96" s="23" t="n">
        <f aca="false">IF(AND(TRIM($A96)&lt;&gt;"",ISNUMBER(H96)),IF(AND(LEFT($A96,6)="SAMPLE",Config!$B$19&lt;&gt;"Y"),0,1),0)</f>
        <v>0</v>
      </c>
      <c r="BC96" s="23" t="n">
        <f aca="false">IF(BB96=1,IF(COUNTIFS($AZ$2:$AZ$201,AZ96,$BB$2:$BB$201,1,$H$2:$H$201,"&lt;"&amp;H96)+COUNTIFS($AZ$2:$AZ$201,AZ96,$BB$2:$BB$201,1,$H$2:$H$201,H96,$BA$2:$BA$201,"&lt;"&amp;BA96)=0,1,0),0)</f>
        <v>0</v>
      </c>
      <c r="BD96" s="23" t="n">
        <f aca="false">IF(BB96=1,IF(COUNTIFS($A$2:$A$201,$A96,$BB$2:$BB$201,1,$H$2:$H$201,"&gt;"&amp;H96)+COUNTIFS($A$2:$A$201,$A96,$BB$2:$BB$201,1,$H$2:$H$201,H96,$BA$2:$BA$201,"&gt;"&amp;BA96)=0,1,0),0)</f>
        <v>0</v>
      </c>
      <c r="BE96" s="23" t="n">
        <f aca="false">IF(AND(BB96=1,AR96="Y",AC96="Y",TRIM(AH96)&lt;&gt;""),1,0)</f>
        <v>0</v>
      </c>
      <c r="BF96" s="23" t="n">
        <f aca="false">IF(BE96=1,IF(COUNTIFS($AZ$2:$AZ$201,AZ96,$BE$2:$BE$201,1,$H$2:$H$201,"&lt;"&amp;H96)+COUNTIFS($AZ$2:$AZ$201,AZ96,$BE$2:$BE$201,1,$H$2:$H$201,H96,$BA$2:$BA$201,"&lt;"&amp;BA96)=0,1,0),0)</f>
        <v>0</v>
      </c>
      <c r="BG96" s="23" t="n">
        <f aca="false">IF(AND(BB96=1,AR96="Y",BE96=0),1,0)</f>
        <v>0</v>
      </c>
      <c r="BH96" s="23" t="n">
        <f aca="false">IF(AND(BB96=1,ISNUMBER(Y96)),1,0)</f>
        <v>0</v>
      </c>
      <c r="BI96" s="23" t="n">
        <f aca="false">IF(BH96=1,IF(COUNTIFS($AZ$2:$AZ$201,AZ96,$BH$2:$BH$201,1,$H$2:$H$201,"&lt;"&amp;H96)+COUNTIFS($AZ$2:$AZ$201,AZ96,$BH$2:$BH$201,1,$H$2:$H$201,H96,$BA$2:$BA$201,"&lt;"&amp;BA96)=0,1,0),0)</f>
        <v>0</v>
      </c>
      <c r="BJ96" s="23" t="str">
        <f aca="false">IF(AND(BI96=1,INT(N(H96))&lt;=Config!$B$6),Y96,"")</f>
        <v/>
      </c>
      <c r="BK96" s="23" t="str">
        <f aca="false">IF(AND(BI96=1,INT(N(H96))&lt;=Config!$B$7),Y96,"")</f>
        <v/>
      </c>
      <c r="BL96" s="23" t="str">
        <f aca="false">IF(AND(BI96=1,INT(N(H96))&lt;=Config!$B$8),Y96,"")</f>
        <v/>
      </c>
      <c r="BM96" s="23" t="str">
        <f aca="false">IF(AND(BI96=1,INT(N(H96))&lt;=Config!$B$5),Y96,"")</f>
        <v/>
      </c>
      <c r="BN96" s="23" t="n">
        <f aca="false">IF(CD96=1,IF(COUNTIFS($AZ$2:$AZ$201,AZ96,$CD$2:$CD$201,1,$H$2:$H$201,"&lt;"&amp;H96)+COUNTIFS($AZ$2:$AZ$201,AZ96,$CD$2:$CD$201,1,$H$2:$H$201,H96,$BA$2:$BA$201,"&lt;"&amp;BA96)=0,1,0),0)</f>
        <v>0</v>
      </c>
      <c r="BO96" s="23" t="n">
        <f aca="false">IF(AND(BB96=1,ISNUMBER(M96)),1,0)</f>
        <v>0</v>
      </c>
      <c r="BP96" s="23" t="n">
        <f aca="false">IF(BO96=1,IF(COUNTIFS($AZ$2:$AZ$201,AZ96,$BO$2:$BO$201,1,$H$2:$H$201,"&lt;"&amp;H96)+COUNTIFS($AZ$2:$AZ$201,AZ96,$BO$2:$BO$201,1,$H$2:$H$201,H96,$BA$2:$BA$201,"&lt;"&amp;BA96)=0,1,0),0)</f>
        <v>0</v>
      </c>
      <c r="BQ96" s="23" t="str">
        <f aca="false">IF(AND(BP96=1,INT(N(H96))&lt;=Config!$B$5),M96,"")</f>
        <v/>
      </c>
      <c r="BR96" s="23" t="n">
        <f aca="false">IF(AND(BB96=1,OR(TRIM(X96)&lt;&gt;"",ISNUMBER(Y96))),1,0)</f>
        <v>0</v>
      </c>
      <c r="BS96" s="23" t="n">
        <f aca="false">IF(BR96=1,IF(COUNTIFS($AZ$2:$AZ$201,AZ96,$BR$2:$BR$201,1,$H$2:$H$201,"&lt;"&amp;H96)+COUNTIFS($AZ$2:$AZ$201,AZ96,$BR$2:$BR$201,1,$H$2:$H$201,H96,$BA$2:$BA$201,"&lt;"&amp;BA96)=0,1,0),0)</f>
        <v>0</v>
      </c>
      <c r="BT96" s="23" t="str">
        <f aca="false">IF(BS96=1,AZ96,"")</f>
        <v/>
      </c>
      <c r="BU96" s="23" t="n">
        <f aca="false">IF(AND(BB96=1,W96="Y",TRIM(X96)=""),1,0)</f>
        <v>0</v>
      </c>
      <c r="BV96" s="23" t="str">
        <f aca="false">IF(BB96=1,AN96&amp;"","")</f>
        <v/>
      </c>
      <c r="BW96" s="23" t="str">
        <f aca="false">IF(BB96=1,AO96&amp;"","")</f>
        <v/>
      </c>
      <c r="BX96" s="23" t="str">
        <f aca="false">IF(BB96=1,AP96&amp;"","")</f>
        <v/>
      </c>
      <c r="BY96" s="23" t="str">
        <f aca="false">IF(AND(BB96=1,ISNUMBER(AV96),INT(N(H96))&lt;=Config!$B$5),AV96,"")</f>
        <v/>
      </c>
      <c r="BZ96" s="23" t="str">
        <f aca="false">IF(BB96=1,IF(COUNTIFS($A$2:$A$201,$A96,$DC$2:$DC$201,1,$AR$2:$AR$201,"Y")&gt;0,"Y","N"),"")</f>
        <v/>
      </c>
      <c r="CA96" s="23" t="n">
        <f aca="false">IF(AND(BB96=1,AR96="maybe"),1,0)</f>
        <v>0</v>
      </c>
      <c r="CB96" s="23" t="n">
        <f aca="false">IF(CA96=1,IF(COUNTIFS($AZ$2:$AZ$201,AZ96,$CA$2:$CA$201,1,$H$2:$H$201,"&lt;"&amp;H96)+COUNTIFS($AZ$2:$AZ$201,AZ96,$CA$2:$CA$201,1,$H$2:$H$201,H96,$BA$2:$BA$201,"&lt;"&amp;BA96)=0,1,0),0)</f>
        <v>0</v>
      </c>
      <c r="CC96" s="23" t="n">
        <f aca="false">IF(AND(BB96=1,AR96="Y"),IF(COUNTIFS($AZ$2:$AZ$201,AZ96,$AR$2:$AR$201,"Y",$BB$2:$BB$201,1,$H$2:$H$201,"&lt;"&amp;H96)+COUNTIFS($AZ$2:$AZ$201,AZ96,$AR$2:$AR$201,"Y",$BB$2:$BB$201,1,$H$2:$H$201,H96,$BA$2:$BA$201,"&lt;"&amp;BA96)=0,1,0),0)</f>
        <v>0</v>
      </c>
      <c r="CD96" s="23" t="n">
        <f aca="false">IF(AND(BH96=1,N(Y96)&gt;=Config!$B$15),1,0)</f>
        <v>0</v>
      </c>
      <c r="CE96" s="23" t="n">
        <f aca="false">IF(AND(BB96=1,AT96="Y"),1,0)</f>
        <v>0</v>
      </c>
      <c r="CF96" s="23" t="n">
        <f aca="false">IF(CE96=1,IF(COUNTIFS($AZ$2:$AZ$201,AZ96,$CE$2:$CE$201,1,$H$2:$H$201,"&lt;"&amp;H96)+COUNTIFS($AZ$2:$AZ$201,AZ96,$CE$2:$CE$201,1,$H$2:$H$201,H96,$BA$2:$BA$201,"&lt;"&amp;BA96)=0,1,0),0)</f>
        <v>0</v>
      </c>
      <c r="CG96" s="23" t="n">
        <f aca="false">IF(AND(BB96=1,G96="warm-intro"),1,0)</f>
        <v>0</v>
      </c>
      <c r="CH96" s="23" t="n">
        <f aca="false">IF(CG96=1,IF(COUNTIFS($AZ$2:$AZ$201,AZ96,$CG$2:$CG$201,1,$H$2:$H$201,"&lt;"&amp;H96)+COUNTIFS($AZ$2:$AZ$201,AZ96,$CG$2:$CG$201,1,$H$2:$H$201,H96,$BA$2:$BA$201,"&lt;"&amp;BA96)=0,1,0),0)</f>
        <v>0</v>
      </c>
      <c r="CI96" s="23" t="n">
        <f aca="false">IF(AND(BB96=1,Q96="Y"),1,0)</f>
        <v>0</v>
      </c>
      <c r="CJ96" s="23" t="n">
        <f aca="false">IF(CI96=1,IF(COUNTIFS($AZ$2:$AZ$201,AZ96,$CI$2:$CI$201,1,$H$2:$H$201,"&lt;"&amp;H96)+COUNTIFS($AZ$2:$AZ$201,AZ96,$CI$2:$CI$201,1,$H$2:$H$201,H96,$BA$2:$BA$201,"&lt;"&amp;BA96)=0,1,0),0)</f>
        <v>0</v>
      </c>
      <c r="CK96" s="23" t="n">
        <f aca="false">IF(AND(BB96=1,AF96="Y"),1,0)</f>
        <v>0</v>
      </c>
      <c r="CL96" s="23" t="n">
        <f aca="false">IF(CK96=1,IF(COUNTIFS($AZ$2:$AZ$201,AZ96,$CK$2:$CK$201,1,$H$2:$H$201,"&lt;"&amp;H96)+COUNTIFS($AZ$2:$AZ$201,AZ96,$CK$2:$CK$201,1,$H$2:$H$201,H96,$BA$2:$BA$201,"&lt;"&amp;BA96)=0,1,0),0)</f>
        <v>0</v>
      </c>
      <c r="CM96" s="23" t="n">
        <f aca="false">IF(AND(BB96=1,U96="Y"),1,0)</f>
        <v>0</v>
      </c>
      <c r="CN96" s="23" t="n">
        <f aca="false">IF(CM96=1,IF(COUNTIFS($AZ$2:$AZ$201,AZ96,$CM$2:$CM$201,1,$H$2:$H$201,"&lt;"&amp;H96)+COUNTIFS($AZ$2:$AZ$201,AZ96,$CM$2:$CM$201,1,$H$2:$H$201,H96,$BA$2:$BA$201,"&lt;"&amp;BA96)=0,1,0),0)</f>
        <v>0</v>
      </c>
      <c r="CO96" s="23" t="n">
        <f aca="false">IF(AND(BB96=1,L96="Y"),1,0)</f>
        <v>0</v>
      </c>
      <c r="CP96" s="23" t="n">
        <f aca="false">IF(CO96=1,IF(COUNTIFS($AZ$2:$AZ$201,AZ96,$CO$2:$CO$201,1,$H$2:$H$201,"&lt;"&amp;H96)+COUNTIFS($AZ$2:$AZ$201,AZ96,$CO$2:$CO$201,1,$H$2:$H$201,H96,$BA$2:$BA$201,"&lt;"&amp;BA96)=0,1,0),0)</f>
        <v>0</v>
      </c>
      <c r="CQ96" s="23" t="n">
        <f aca="false">IF(AND(BB96=1,ISNUMBER(O96)),1,0)</f>
        <v>0</v>
      </c>
      <c r="CR96" s="23" t="n">
        <f aca="false">IF(CQ96=1,IF(COUNTIFS($AZ$2:$AZ$201,AZ96,$CQ$2:$CQ$201,1,$H$2:$H$201,"&lt;"&amp;H96)+COUNTIFS($AZ$2:$AZ$201,AZ96,$CQ$2:$CQ$201,1,$H$2:$H$201,H96,$BA$2:$BA$201,"&lt;"&amp;BA96)=0,1,0),0)</f>
        <v>0</v>
      </c>
      <c r="CS96" s="23" t="str">
        <f aca="false">IF(AND(CR96=1,INT(N(H96))&lt;=Config!$B$5),O96,"")</f>
        <v/>
      </c>
      <c r="CT96" s="23" t="str">
        <f aca="false">IF(AND(BB96=1,INT(N(H96))&lt;=Config!$B$5),AG96&amp;"","")</f>
        <v/>
      </c>
      <c r="CU96" s="23" t="n">
        <f aca="false">IF(AND(BB96=1,AU96="Y"),1,0)</f>
        <v>0</v>
      </c>
      <c r="CV96" s="23" t="n">
        <f aca="false">IF(CU96=1,IF(COUNTIFS($AZ$2:$AZ$201,AZ96,$CU$2:$CU$201,1,$H$2:$H$201,"&lt;"&amp;H96)+COUNTIFS($AZ$2:$AZ$201,AZ96,$CU$2:$CU$201,1,$H$2:$H$201,H96,$BA$2:$BA$201,"&lt;"&amp;BA96)=0,1,0),0)</f>
        <v>0</v>
      </c>
      <c r="CW96" s="23" t="str">
        <f aca="false">IF(BB96=1,IFERROR(MATCH($A96,INDEX(Clay_Offices!$A$2:$FZ$601,0,Sync!$C$5),0),""),"")</f>
        <v/>
      </c>
      <c r="CX96" s="23" t="str">
        <f aca="false">IF(CW96="","",IFERROR(INDEX(Clay_Offices!$A$2:$FZ$601,CW96,Sync!$C$7)&amp;"",""))</f>
        <v/>
      </c>
      <c r="CY96" s="23" t="str">
        <f aca="false">IF(CX96="","",IFERROR(INDEX(Lists!$K$2:$K$15,MATCH(CX96,Lists!$J$2:$J$15,0)),""))</f>
        <v/>
      </c>
      <c r="CZ96" s="23" t="str">
        <f aca="false">IF(CW96="","",IFERROR(INDEX(Clay_Offices!$A$2:$FZ$601,CW96,Sync!$C$17)&amp;"",""))</f>
        <v/>
      </c>
      <c r="DA96" s="35" t="str">
        <f aca="false">IF(CW96="","",IFERROR(N(INDEX(Clay_Offices!$A$2:$FZ$601,CW96,Sync!$C$16)),0))</f>
        <v/>
      </c>
      <c r="DB96" s="23" t="n">
        <f aca="false">IF(AND(BB96=1,OR(AR96="Y",AR96="N",AR96="maybe")),1,0)</f>
        <v>0</v>
      </c>
      <c r="DC96" s="23" t="n">
        <f aca="false">IF(AND(DB96=1),IF(COUNTIFS($A$2:$A$201,$A96,$DB$2:$DB$201,1,$H$2:$H$201,"&gt;"&amp;H96)+COUNTIFS($A$2:$A$201,$A96,$DB$2:$DB$201,1,$H$2:$H$201,H96,$BA$2:$BA$201,"&gt;"&amp;BA96)=0,1,0),0)</f>
        <v>0</v>
      </c>
      <c r="DD96" s="23" t="n">
        <f aca="false">IF(AND(DB96=1,INT(N(H96))&lt;=Config!$B$6),IF(COUNTIFS($AZ$2:$AZ$201,AZ96,$DB$2:$DB$201,1,$H$2:$H$201,"&gt;"&amp;H96,$H$2:$H$201,"&lt;"&amp;(Config!$B$6+1))+COUNTIFS($AZ$2:$AZ$201,AZ96,$DB$2:$DB$201,1,$H$2:$H$201,H96,$BA$2:$BA$201,"&gt;"&amp;BA96)=0,1,0),0)</f>
        <v>0</v>
      </c>
      <c r="DE96" s="23" t="n">
        <f aca="false">IF(AND(DB96=1,INT(N(H96))&lt;=Config!$B$7),IF(COUNTIFS($AZ$2:$AZ$201,AZ96,$DB$2:$DB$201,1,$H$2:$H$201,"&gt;"&amp;H96,$H$2:$H$201,"&lt;"&amp;(Config!$B$7+1))+COUNTIFS($AZ$2:$AZ$201,AZ96,$DB$2:$DB$201,1,$H$2:$H$201,H96,$BA$2:$BA$201,"&gt;"&amp;BA96)=0,1,0),0)</f>
        <v>0</v>
      </c>
      <c r="DF96" s="23" t="n">
        <f aca="false">IF(AND(DB96=1,INT(N(H96))&lt;=Config!$B$8),IF(COUNTIFS($AZ$2:$AZ$201,AZ96,$DB$2:$DB$201,1,$H$2:$H$201,"&gt;"&amp;H96,$H$2:$H$201,"&lt;"&amp;(Config!$B$8+1))+COUNTIFS($AZ$2:$AZ$201,AZ96,$DB$2:$DB$201,1,$H$2:$H$201,H96,$BA$2:$BA$201,"&gt;"&amp;BA96)=0,1,0),0)</f>
        <v>0</v>
      </c>
      <c r="DG96" s="23" t="n">
        <f aca="false">IF(AND(DB96=1,INT(N(H96))&lt;=Config!$B$5),IF(COUNTIFS($AZ$2:$AZ$201,AZ96,$DB$2:$DB$201,1,$H$2:$H$201,"&gt;"&amp;H96,$H$2:$H$201,"&lt;"&amp;(Config!$B$5+1))+COUNTIFS($AZ$2:$AZ$201,AZ96,$DB$2:$DB$201,1,$H$2:$H$201,H96,$BA$2:$BA$201,"&gt;"&amp;BA96)=0,1,0),0)</f>
        <v>0</v>
      </c>
      <c r="DH96" s="23" t="n">
        <f aca="false">IF(BB96=1,IF(COUNTIFS($AZ$2:$AZ$201,AZ96,$DD$2:$DD$201,1,$AR$2:$AR$201,"Y")&gt;0,1,0),0)</f>
        <v>0</v>
      </c>
      <c r="DI96" s="23" t="n">
        <f aca="false">IF(BB96=1,IF(COUNTIFS($AZ$2:$AZ$201,AZ96,$DE$2:$DE$201,1,$AR$2:$AR$201,"Y")&gt;0,1,0),0)</f>
        <v>0</v>
      </c>
      <c r="DJ96" s="23" t="n">
        <f aca="false">IF(BB96=1,IF(COUNTIFS($AZ$2:$AZ$201,AZ96,$DF$2:$DF$201,1,$AR$2:$AR$201,"Y")&gt;0,1,0),0)</f>
        <v>0</v>
      </c>
      <c r="DK96" s="23" t="n">
        <f aca="false">IF(BB96=1,IF(COUNTIFS($AZ$2:$AZ$201,AZ96,$DG$2:$DG$201,1,$AR$2:$AR$201,"Y")&gt;0,1,0),0)</f>
        <v>0</v>
      </c>
      <c r="DL96" s="23" t="n">
        <f aca="false">IF(AND(BF96=1,INT(N(H96))&lt;=Config!$B$6,DH96=1,EI96=0),1,0)</f>
        <v>0</v>
      </c>
      <c r="DM96" s="23" t="n">
        <f aca="false">IF(AND(BF96=1,INT(N(H96))&lt;=Config!$B$7,DI96=1,EI96=0),1,0)</f>
        <v>0</v>
      </c>
      <c r="DN96" s="23" t="n">
        <f aca="false">IF(AND(BF96=1,INT(N(H96))&lt;=Config!$B$8,DJ96=1,EI96=0),1,0)</f>
        <v>0</v>
      </c>
      <c r="DO96" s="23" t="n">
        <f aca="false">IF(AND(BF96=1,INT(N(H96))&lt;=Config!$B$5,DK96=1,EI96=0),1,0)</f>
        <v>0</v>
      </c>
      <c r="DP96" s="23" t="n">
        <f aca="false">IF(AND(CC96=1,INT(N(H96))&lt;=Config!$B$6,DH96=1,EI96=0),1,0)</f>
        <v>0</v>
      </c>
      <c r="DQ96" s="23" t="n">
        <f aca="false">IF(AND(CC96=1,INT(N(H96))&lt;=Config!$B$7,DI96=1,EI96=0),1,0)</f>
        <v>0</v>
      </c>
      <c r="DR96" s="23" t="n">
        <f aca="false">IF(AND(CC96=1,INT(N(H96))&lt;=Config!$B$8,DJ96=1,EI96=0),1,0)</f>
        <v>0</v>
      </c>
      <c r="DS96" s="23" t="n">
        <f aca="false">IF(AND(CC96=1,INT(N(H96))&lt;=Config!$B$5,DK96=1,EI96=0),1,0)</f>
        <v>0</v>
      </c>
      <c r="DT96" s="23" t="n">
        <f aca="false">IF(AND(CC96=1,INT(N(H96))&lt;=Config!$B$6,DH96=0),1,0)</f>
        <v>0</v>
      </c>
      <c r="DU96" s="23" t="n">
        <f aca="false">IF(AND(CC96=1,INT(N(H96))&lt;=Config!$B$7,DI96=0),1,0)</f>
        <v>0</v>
      </c>
      <c r="DV96" s="23" t="n">
        <f aca="false">IF(AND(CC96=1,INT(N(H96))&lt;=Config!$B$8,DJ96=0),1,0)</f>
        <v>0</v>
      </c>
      <c r="DW96" s="23" t="n">
        <f aca="false">IF(AND(CC96=1,INT(N(H96))&lt;=Config!$B$5,DK96=0),1,0)</f>
        <v>0</v>
      </c>
      <c r="DX96" s="23" t="n">
        <f aca="false">IF(TRIM($A96)="",0,ISTEXT(M96)+ISTEXT(O96)+ISTEXT(Y96)+ISTEXT(Z96)+ISTEXT(AA96)+ISTEXT(AV96))</f>
        <v>0</v>
      </c>
      <c r="DY96" s="23" t="n">
        <f aca="false">IF(BB96=1,IF(H96&lt;&gt;INT(H96),1,0),0)</f>
        <v>0</v>
      </c>
      <c r="DZ96" s="23" t="str">
        <f aca="false">IF(TRIM($A96)="","",IF(TRIM(B96)="",SUBSTITUTE(SUBSTITUTE(SUBSTITUTE(SUBSTITUTE(SUBSTITUTE(SUBSTITUTE(LOWER(TRIM($A96)),"~",""),"*",""),"?",""),"&lt;",""),"&gt;",""),"=",""),SUBSTITUTE(SUBSTITUTE(SUBSTITUTE(SUBSTITUTE(SUBSTITUTE(SUBSTITUTE(LOWER(TRIM(B96)),"~",""),"*",""),"?",""),"&lt;",""),"&gt;",""),"=","")))</f>
        <v/>
      </c>
      <c r="EA96" s="23" t="str">
        <f aca="false">IF(CW96="","",IFERROR(IF(LEFT(LOWER(TRIM(INDEX(Clay_Offices!$A$2:$FZ$601,CW96,Sync!$C$19)&amp;"")),4)="grp-",SUBSTITUTE(SUBSTITUTE(SUBSTITUTE(SUBSTITUTE(SUBSTITUTE(SUBSTITUTE(LOWER(TRIM(INDEX(Clay_Offices!$A$2:$FZ$601,CW96,Sync!$C$19)&amp;"")),"~",""),"*",""),"?",""),"&lt;",""),"&gt;",""),"=",""),""),""))</f>
        <v/>
      </c>
      <c r="EB96" s="23" t="str">
        <f aca="false">IF(EA96&lt;&gt;"",DZ96,"")</f>
        <v/>
      </c>
      <c r="EC96" s="23" t="str">
        <f aca="false">IF(BC96=1,AZ96,"")</f>
        <v/>
      </c>
      <c r="ED96" s="23" t="str">
        <f aca="false">IF(TRIM($A96)="","",IFERROR(INDEX($A$2:$A$201,MATCH(AZ96,$EC$2:$EC$201,0))&amp;"",$A96&amp;""))</f>
        <v/>
      </c>
      <c r="EE96" s="23" t="n">
        <f aca="false">IF(BB96=1,IF(COUNTIFS($A$2:$A$201,$A96,$BB$2:$BB$201,1,$H$2:$H$201,"&lt;"&amp;H96)+COUNTIFS($A$2:$A$201,$A96,$BB$2:$BB$201,1,$H$2:$H$201,H96,$BA$2:$BA$201,"&lt;"&amp;BA96)=0,1,0),0)</f>
        <v>0</v>
      </c>
      <c r="EF96" s="23" t="n">
        <f aca="false">IF(BC96=1,IF(COUNTIFS($AZ$2:$AZ$201,AZ96,$EE$2:$EE$201,1)&gt;1,1,0),0)</f>
        <v>0</v>
      </c>
      <c r="EG96" s="23" t="n">
        <f aca="false">IF(AND(CQ96=1),IF(COUNTIFS($AZ$2:$AZ$201,AZ96,$CQ$2:$CQ$201,1,$H$2:$H$201,"&gt;"&amp;H96)+COUNTIFS($AZ$2:$AZ$201,AZ96,$CQ$2:$CQ$201,1,$H$2:$H$201,H96,$BA$2:$BA$201,"&gt;"&amp;BA96)=0,1,0),0)</f>
        <v>0</v>
      </c>
      <c r="EH96" s="23" t="str">
        <f aca="false">IF(BB96=1,IF(COUNTIFS($AZ$2:$AZ$201,AZ96,$EG$2:$EG$201,1)=0,"",SUMIFS($O$2:$O$201,$AZ$2:$AZ$201,AZ96,$EG$2:$EG$201,1)),"")</f>
        <v/>
      </c>
      <c r="EI96" s="23" t="n">
        <f aca="false">IF(AND(ISNUMBER(EH96),OR(N(EH96)&lt;Config!$B$31,N(EH96)&gt;Config!$B$33)),1,0)</f>
        <v>0</v>
      </c>
      <c r="EJ96" s="23" t="n">
        <f aca="false">IF(AND(ISNUMBER(EH96),N(EH96)&gt;=Config!$B$31,N(EH96)&lt;Config!$B$32),1,0)</f>
        <v>0</v>
      </c>
      <c r="EK96" s="23" t="n">
        <f aca="false">IF(AND(BF96=1,INT(N(H96))&lt;=Config!$B$6,DH96=1,EI96=1),1,0)</f>
        <v>0</v>
      </c>
      <c r="EL96" s="23" t="n">
        <f aca="false">IF(AND(BF96=1,INT(N(H96))&lt;=Config!$B$7,DI96=1,EI96=1),1,0)</f>
        <v>0</v>
      </c>
      <c r="EM96" s="23" t="n">
        <f aca="false">IF(AND(BF96=1,INT(N(H96))&lt;=Config!$B$8,DJ96=1,EI96=1),1,0)</f>
        <v>0</v>
      </c>
      <c r="EN96" s="23" t="n">
        <f aca="false">IF(AND(BF96=1,INT(N(H96))&lt;=Config!$B$5,DK96=1,EI96=1),1,0)</f>
        <v>0</v>
      </c>
      <c r="EO96" s="23" t="n">
        <f aca="false">IF(AND(DL96=1,EJ96=1),1,0)</f>
        <v>0</v>
      </c>
      <c r="EP96" s="23" t="n">
        <f aca="false">IF(AND(DM96=1,EJ96=1),1,0)</f>
        <v>0</v>
      </c>
      <c r="EQ96" s="23" t="n">
        <f aca="false">IF(AND(DN96=1,EJ96=1),1,0)</f>
        <v>0</v>
      </c>
      <c r="ER96" s="23" t="n">
        <f aca="false">IF(AND(DO96=1,EJ96=1),1,0)</f>
        <v>0</v>
      </c>
    </row>
    <row r="97" customFormat="false" ht="15" hidden="false" customHeight="false" outlineLevel="0" collapsed="false">
      <c r="G97" s="32"/>
      <c r="H97" s="33"/>
      <c r="I97" s="32"/>
      <c r="L97" s="32"/>
      <c r="Q97" s="32"/>
      <c r="U97" s="32"/>
      <c r="W97" s="32"/>
      <c r="AC97" s="32"/>
      <c r="AF97" s="32"/>
      <c r="AI97" s="32"/>
      <c r="AJ97" s="32"/>
      <c r="AN97" s="32"/>
      <c r="AR97" s="32"/>
      <c r="AT97" s="32"/>
      <c r="AU97" s="32"/>
      <c r="AW97" s="32"/>
      <c r="AY97" s="34" t="str">
        <f aca="false">IF(TRIM($A97)="","",IF(AND(LEFT($A97,6)="SAMPLE",Config!$B$19&lt;&gt;"Y"),"",IF(NOT(ISNUMBER(H97)),"call_date is blank or not a date",IF(Sync!$C$5="","Clay paste is empty or has no row_id column: paste the Clay export on Clay_Offices",IF(CW97="","row_id not found in the Clay paste: add the Clay row or fix the row_id",IF(AND(ISNUMBER(CY97),CY97&gt;=1,CY97&lt;=5),"Clay status is "&amp;CX97&amp;": set call_done or later",IF(AND(BD97=1,CZ97&lt;&gt;BZ97),"Clay yes_in_principle should be "&amp;BZ97,IF(AND(BD97=1,DA97&lt;&gt;H97),"Clay call_date should be "&amp;TEXT(H97,"yyyy-mm-dd"),""))))))))</f>
        <v/>
      </c>
      <c r="AZ97" s="23" t="str">
        <f aca="false">IF(TRIM($A97)="","",IF(TRIM(C97)&lt;&gt;"",SUBSTITUTE(SUBSTITUTE(SUBSTITUTE(SUBSTITUTE(SUBSTITUTE(SUBSTITUTE(LOWER(TRIM(C97)),"~",""),"*",""),"?",""),"&lt;",""),"&gt;",""),"=",""),IF(EA97&lt;&gt;"",EA97,IFERROR(INDEX($EA$2:$EA$201,MATCH(DZ97,$EB$2:$EB$201,0)),DZ97))))</f>
        <v/>
      </c>
      <c r="BA97" s="23" t="n">
        <f aca="false">ROW()</f>
        <v>97</v>
      </c>
      <c r="BB97" s="23" t="n">
        <f aca="false">IF(AND(TRIM($A97)&lt;&gt;"",ISNUMBER(H97)),IF(AND(LEFT($A97,6)="SAMPLE",Config!$B$19&lt;&gt;"Y"),0,1),0)</f>
        <v>0</v>
      </c>
      <c r="BC97" s="23" t="n">
        <f aca="false">IF(BB97=1,IF(COUNTIFS($AZ$2:$AZ$201,AZ97,$BB$2:$BB$201,1,$H$2:$H$201,"&lt;"&amp;H97)+COUNTIFS($AZ$2:$AZ$201,AZ97,$BB$2:$BB$201,1,$H$2:$H$201,H97,$BA$2:$BA$201,"&lt;"&amp;BA97)=0,1,0),0)</f>
        <v>0</v>
      </c>
      <c r="BD97" s="23" t="n">
        <f aca="false">IF(BB97=1,IF(COUNTIFS($A$2:$A$201,$A97,$BB$2:$BB$201,1,$H$2:$H$201,"&gt;"&amp;H97)+COUNTIFS($A$2:$A$201,$A97,$BB$2:$BB$201,1,$H$2:$H$201,H97,$BA$2:$BA$201,"&gt;"&amp;BA97)=0,1,0),0)</f>
        <v>0</v>
      </c>
      <c r="BE97" s="23" t="n">
        <f aca="false">IF(AND(BB97=1,AR97="Y",AC97="Y",TRIM(AH97)&lt;&gt;""),1,0)</f>
        <v>0</v>
      </c>
      <c r="BF97" s="23" t="n">
        <f aca="false">IF(BE97=1,IF(COUNTIFS($AZ$2:$AZ$201,AZ97,$BE$2:$BE$201,1,$H$2:$H$201,"&lt;"&amp;H97)+COUNTIFS($AZ$2:$AZ$201,AZ97,$BE$2:$BE$201,1,$H$2:$H$201,H97,$BA$2:$BA$201,"&lt;"&amp;BA97)=0,1,0),0)</f>
        <v>0</v>
      </c>
      <c r="BG97" s="23" t="n">
        <f aca="false">IF(AND(BB97=1,AR97="Y",BE97=0),1,0)</f>
        <v>0</v>
      </c>
      <c r="BH97" s="23" t="n">
        <f aca="false">IF(AND(BB97=1,ISNUMBER(Y97)),1,0)</f>
        <v>0</v>
      </c>
      <c r="BI97" s="23" t="n">
        <f aca="false">IF(BH97=1,IF(COUNTIFS($AZ$2:$AZ$201,AZ97,$BH$2:$BH$201,1,$H$2:$H$201,"&lt;"&amp;H97)+COUNTIFS($AZ$2:$AZ$201,AZ97,$BH$2:$BH$201,1,$H$2:$H$201,H97,$BA$2:$BA$201,"&lt;"&amp;BA97)=0,1,0),0)</f>
        <v>0</v>
      </c>
      <c r="BJ97" s="23" t="str">
        <f aca="false">IF(AND(BI97=1,INT(N(H97))&lt;=Config!$B$6),Y97,"")</f>
        <v/>
      </c>
      <c r="BK97" s="23" t="str">
        <f aca="false">IF(AND(BI97=1,INT(N(H97))&lt;=Config!$B$7),Y97,"")</f>
        <v/>
      </c>
      <c r="BL97" s="23" t="str">
        <f aca="false">IF(AND(BI97=1,INT(N(H97))&lt;=Config!$B$8),Y97,"")</f>
        <v/>
      </c>
      <c r="BM97" s="23" t="str">
        <f aca="false">IF(AND(BI97=1,INT(N(H97))&lt;=Config!$B$5),Y97,"")</f>
        <v/>
      </c>
      <c r="BN97" s="23" t="n">
        <f aca="false">IF(CD97=1,IF(COUNTIFS($AZ$2:$AZ$201,AZ97,$CD$2:$CD$201,1,$H$2:$H$201,"&lt;"&amp;H97)+COUNTIFS($AZ$2:$AZ$201,AZ97,$CD$2:$CD$201,1,$H$2:$H$201,H97,$BA$2:$BA$201,"&lt;"&amp;BA97)=0,1,0),0)</f>
        <v>0</v>
      </c>
      <c r="BO97" s="23" t="n">
        <f aca="false">IF(AND(BB97=1,ISNUMBER(M97)),1,0)</f>
        <v>0</v>
      </c>
      <c r="BP97" s="23" t="n">
        <f aca="false">IF(BO97=1,IF(COUNTIFS($AZ$2:$AZ$201,AZ97,$BO$2:$BO$201,1,$H$2:$H$201,"&lt;"&amp;H97)+COUNTIFS($AZ$2:$AZ$201,AZ97,$BO$2:$BO$201,1,$H$2:$H$201,H97,$BA$2:$BA$201,"&lt;"&amp;BA97)=0,1,0),0)</f>
        <v>0</v>
      </c>
      <c r="BQ97" s="23" t="str">
        <f aca="false">IF(AND(BP97=1,INT(N(H97))&lt;=Config!$B$5),M97,"")</f>
        <v/>
      </c>
      <c r="BR97" s="23" t="n">
        <f aca="false">IF(AND(BB97=1,OR(TRIM(X97)&lt;&gt;"",ISNUMBER(Y97))),1,0)</f>
        <v>0</v>
      </c>
      <c r="BS97" s="23" t="n">
        <f aca="false">IF(BR97=1,IF(COUNTIFS($AZ$2:$AZ$201,AZ97,$BR$2:$BR$201,1,$H$2:$H$201,"&lt;"&amp;H97)+COUNTIFS($AZ$2:$AZ$201,AZ97,$BR$2:$BR$201,1,$H$2:$H$201,H97,$BA$2:$BA$201,"&lt;"&amp;BA97)=0,1,0),0)</f>
        <v>0</v>
      </c>
      <c r="BT97" s="23" t="str">
        <f aca="false">IF(BS97=1,AZ97,"")</f>
        <v/>
      </c>
      <c r="BU97" s="23" t="n">
        <f aca="false">IF(AND(BB97=1,W97="Y",TRIM(X97)=""),1,0)</f>
        <v>0</v>
      </c>
      <c r="BV97" s="23" t="str">
        <f aca="false">IF(BB97=1,AN97&amp;"","")</f>
        <v/>
      </c>
      <c r="BW97" s="23" t="str">
        <f aca="false">IF(BB97=1,AO97&amp;"","")</f>
        <v/>
      </c>
      <c r="BX97" s="23" t="str">
        <f aca="false">IF(BB97=1,AP97&amp;"","")</f>
        <v/>
      </c>
      <c r="BY97" s="23" t="str">
        <f aca="false">IF(AND(BB97=1,ISNUMBER(AV97),INT(N(H97))&lt;=Config!$B$5),AV97,"")</f>
        <v/>
      </c>
      <c r="BZ97" s="23" t="str">
        <f aca="false">IF(BB97=1,IF(COUNTIFS($A$2:$A$201,$A97,$DC$2:$DC$201,1,$AR$2:$AR$201,"Y")&gt;0,"Y","N"),"")</f>
        <v/>
      </c>
      <c r="CA97" s="23" t="n">
        <f aca="false">IF(AND(BB97=1,AR97="maybe"),1,0)</f>
        <v>0</v>
      </c>
      <c r="CB97" s="23" t="n">
        <f aca="false">IF(CA97=1,IF(COUNTIFS($AZ$2:$AZ$201,AZ97,$CA$2:$CA$201,1,$H$2:$H$201,"&lt;"&amp;H97)+COUNTIFS($AZ$2:$AZ$201,AZ97,$CA$2:$CA$201,1,$H$2:$H$201,H97,$BA$2:$BA$201,"&lt;"&amp;BA97)=0,1,0),0)</f>
        <v>0</v>
      </c>
      <c r="CC97" s="23" t="n">
        <f aca="false">IF(AND(BB97=1,AR97="Y"),IF(COUNTIFS($AZ$2:$AZ$201,AZ97,$AR$2:$AR$201,"Y",$BB$2:$BB$201,1,$H$2:$H$201,"&lt;"&amp;H97)+COUNTIFS($AZ$2:$AZ$201,AZ97,$AR$2:$AR$201,"Y",$BB$2:$BB$201,1,$H$2:$H$201,H97,$BA$2:$BA$201,"&lt;"&amp;BA97)=0,1,0),0)</f>
        <v>0</v>
      </c>
      <c r="CD97" s="23" t="n">
        <f aca="false">IF(AND(BH97=1,N(Y97)&gt;=Config!$B$15),1,0)</f>
        <v>0</v>
      </c>
      <c r="CE97" s="23" t="n">
        <f aca="false">IF(AND(BB97=1,AT97="Y"),1,0)</f>
        <v>0</v>
      </c>
      <c r="CF97" s="23" t="n">
        <f aca="false">IF(CE97=1,IF(COUNTIFS($AZ$2:$AZ$201,AZ97,$CE$2:$CE$201,1,$H$2:$H$201,"&lt;"&amp;H97)+COUNTIFS($AZ$2:$AZ$201,AZ97,$CE$2:$CE$201,1,$H$2:$H$201,H97,$BA$2:$BA$201,"&lt;"&amp;BA97)=0,1,0),0)</f>
        <v>0</v>
      </c>
      <c r="CG97" s="23" t="n">
        <f aca="false">IF(AND(BB97=1,G97="warm-intro"),1,0)</f>
        <v>0</v>
      </c>
      <c r="CH97" s="23" t="n">
        <f aca="false">IF(CG97=1,IF(COUNTIFS($AZ$2:$AZ$201,AZ97,$CG$2:$CG$201,1,$H$2:$H$201,"&lt;"&amp;H97)+COUNTIFS($AZ$2:$AZ$201,AZ97,$CG$2:$CG$201,1,$H$2:$H$201,H97,$BA$2:$BA$201,"&lt;"&amp;BA97)=0,1,0),0)</f>
        <v>0</v>
      </c>
      <c r="CI97" s="23" t="n">
        <f aca="false">IF(AND(BB97=1,Q97="Y"),1,0)</f>
        <v>0</v>
      </c>
      <c r="CJ97" s="23" t="n">
        <f aca="false">IF(CI97=1,IF(COUNTIFS($AZ$2:$AZ$201,AZ97,$CI$2:$CI$201,1,$H$2:$H$201,"&lt;"&amp;H97)+COUNTIFS($AZ$2:$AZ$201,AZ97,$CI$2:$CI$201,1,$H$2:$H$201,H97,$BA$2:$BA$201,"&lt;"&amp;BA97)=0,1,0),0)</f>
        <v>0</v>
      </c>
      <c r="CK97" s="23" t="n">
        <f aca="false">IF(AND(BB97=1,AF97="Y"),1,0)</f>
        <v>0</v>
      </c>
      <c r="CL97" s="23" t="n">
        <f aca="false">IF(CK97=1,IF(COUNTIFS($AZ$2:$AZ$201,AZ97,$CK$2:$CK$201,1,$H$2:$H$201,"&lt;"&amp;H97)+COUNTIFS($AZ$2:$AZ$201,AZ97,$CK$2:$CK$201,1,$H$2:$H$201,H97,$BA$2:$BA$201,"&lt;"&amp;BA97)=0,1,0),0)</f>
        <v>0</v>
      </c>
      <c r="CM97" s="23" t="n">
        <f aca="false">IF(AND(BB97=1,U97="Y"),1,0)</f>
        <v>0</v>
      </c>
      <c r="CN97" s="23" t="n">
        <f aca="false">IF(CM97=1,IF(COUNTIFS($AZ$2:$AZ$201,AZ97,$CM$2:$CM$201,1,$H$2:$H$201,"&lt;"&amp;H97)+COUNTIFS($AZ$2:$AZ$201,AZ97,$CM$2:$CM$201,1,$H$2:$H$201,H97,$BA$2:$BA$201,"&lt;"&amp;BA97)=0,1,0),0)</f>
        <v>0</v>
      </c>
      <c r="CO97" s="23" t="n">
        <f aca="false">IF(AND(BB97=1,L97="Y"),1,0)</f>
        <v>0</v>
      </c>
      <c r="CP97" s="23" t="n">
        <f aca="false">IF(CO97=1,IF(COUNTIFS($AZ$2:$AZ$201,AZ97,$CO$2:$CO$201,1,$H$2:$H$201,"&lt;"&amp;H97)+COUNTIFS($AZ$2:$AZ$201,AZ97,$CO$2:$CO$201,1,$H$2:$H$201,H97,$BA$2:$BA$201,"&lt;"&amp;BA97)=0,1,0),0)</f>
        <v>0</v>
      </c>
      <c r="CQ97" s="23" t="n">
        <f aca="false">IF(AND(BB97=1,ISNUMBER(O97)),1,0)</f>
        <v>0</v>
      </c>
      <c r="CR97" s="23" t="n">
        <f aca="false">IF(CQ97=1,IF(COUNTIFS($AZ$2:$AZ$201,AZ97,$CQ$2:$CQ$201,1,$H$2:$H$201,"&lt;"&amp;H97)+COUNTIFS($AZ$2:$AZ$201,AZ97,$CQ$2:$CQ$201,1,$H$2:$H$201,H97,$BA$2:$BA$201,"&lt;"&amp;BA97)=0,1,0),0)</f>
        <v>0</v>
      </c>
      <c r="CS97" s="23" t="str">
        <f aca="false">IF(AND(CR97=1,INT(N(H97))&lt;=Config!$B$5),O97,"")</f>
        <v/>
      </c>
      <c r="CT97" s="23" t="str">
        <f aca="false">IF(AND(BB97=1,INT(N(H97))&lt;=Config!$B$5),AG97&amp;"","")</f>
        <v/>
      </c>
      <c r="CU97" s="23" t="n">
        <f aca="false">IF(AND(BB97=1,AU97="Y"),1,0)</f>
        <v>0</v>
      </c>
      <c r="CV97" s="23" t="n">
        <f aca="false">IF(CU97=1,IF(COUNTIFS($AZ$2:$AZ$201,AZ97,$CU$2:$CU$201,1,$H$2:$H$201,"&lt;"&amp;H97)+COUNTIFS($AZ$2:$AZ$201,AZ97,$CU$2:$CU$201,1,$H$2:$H$201,H97,$BA$2:$BA$201,"&lt;"&amp;BA97)=0,1,0),0)</f>
        <v>0</v>
      </c>
      <c r="CW97" s="23" t="str">
        <f aca="false">IF(BB97=1,IFERROR(MATCH($A97,INDEX(Clay_Offices!$A$2:$FZ$601,0,Sync!$C$5),0),""),"")</f>
        <v/>
      </c>
      <c r="CX97" s="23" t="str">
        <f aca="false">IF(CW97="","",IFERROR(INDEX(Clay_Offices!$A$2:$FZ$601,CW97,Sync!$C$7)&amp;"",""))</f>
        <v/>
      </c>
      <c r="CY97" s="23" t="str">
        <f aca="false">IF(CX97="","",IFERROR(INDEX(Lists!$K$2:$K$15,MATCH(CX97,Lists!$J$2:$J$15,0)),""))</f>
        <v/>
      </c>
      <c r="CZ97" s="23" t="str">
        <f aca="false">IF(CW97="","",IFERROR(INDEX(Clay_Offices!$A$2:$FZ$601,CW97,Sync!$C$17)&amp;"",""))</f>
        <v/>
      </c>
      <c r="DA97" s="35" t="str">
        <f aca="false">IF(CW97="","",IFERROR(N(INDEX(Clay_Offices!$A$2:$FZ$601,CW97,Sync!$C$16)),0))</f>
        <v/>
      </c>
      <c r="DB97" s="23" t="n">
        <f aca="false">IF(AND(BB97=1,OR(AR97="Y",AR97="N",AR97="maybe")),1,0)</f>
        <v>0</v>
      </c>
      <c r="DC97" s="23" t="n">
        <f aca="false">IF(AND(DB97=1),IF(COUNTIFS($A$2:$A$201,$A97,$DB$2:$DB$201,1,$H$2:$H$201,"&gt;"&amp;H97)+COUNTIFS($A$2:$A$201,$A97,$DB$2:$DB$201,1,$H$2:$H$201,H97,$BA$2:$BA$201,"&gt;"&amp;BA97)=0,1,0),0)</f>
        <v>0</v>
      </c>
      <c r="DD97" s="23" t="n">
        <f aca="false">IF(AND(DB97=1,INT(N(H97))&lt;=Config!$B$6),IF(COUNTIFS($AZ$2:$AZ$201,AZ97,$DB$2:$DB$201,1,$H$2:$H$201,"&gt;"&amp;H97,$H$2:$H$201,"&lt;"&amp;(Config!$B$6+1))+COUNTIFS($AZ$2:$AZ$201,AZ97,$DB$2:$DB$201,1,$H$2:$H$201,H97,$BA$2:$BA$201,"&gt;"&amp;BA97)=0,1,0),0)</f>
        <v>0</v>
      </c>
      <c r="DE97" s="23" t="n">
        <f aca="false">IF(AND(DB97=1,INT(N(H97))&lt;=Config!$B$7),IF(COUNTIFS($AZ$2:$AZ$201,AZ97,$DB$2:$DB$201,1,$H$2:$H$201,"&gt;"&amp;H97,$H$2:$H$201,"&lt;"&amp;(Config!$B$7+1))+COUNTIFS($AZ$2:$AZ$201,AZ97,$DB$2:$DB$201,1,$H$2:$H$201,H97,$BA$2:$BA$201,"&gt;"&amp;BA97)=0,1,0),0)</f>
        <v>0</v>
      </c>
      <c r="DF97" s="23" t="n">
        <f aca="false">IF(AND(DB97=1,INT(N(H97))&lt;=Config!$B$8),IF(COUNTIFS($AZ$2:$AZ$201,AZ97,$DB$2:$DB$201,1,$H$2:$H$201,"&gt;"&amp;H97,$H$2:$H$201,"&lt;"&amp;(Config!$B$8+1))+COUNTIFS($AZ$2:$AZ$201,AZ97,$DB$2:$DB$201,1,$H$2:$H$201,H97,$BA$2:$BA$201,"&gt;"&amp;BA97)=0,1,0),0)</f>
        <v>0</v>
      </c>
      <c r="DG97" s="23" t="n">
        <f aca="false">IF(AND(DB97=1,INT(N(H97))&lt;=Config!$B$5),IF(COUNTIFS($AZ$2:$AZ$201,AZ97,$DB$2:$DB$201,1,$H$2:$H$201,"&gt;"&amp;H97,$H$2:$H$201,"&lt;"&amp;(Config!$B$5+1))+COUNTIFS($AZ$2:$AZ$201,AZ97,$DB$2:$DB$201,1,$H$2:$H$201,H97,$BA$2:$BA$201,"&gt;"&amp;BA97)=0,1,0),0)</f>
        <v>0</v>
      </c>
      <c r="DH97" s="23" t="n">
        <f aca="false">IF(BB97=1,IF(COUNTIFS($AZ$2:$AZ$201,AZ97,$DD$2:$DD$201,1,$AR$2:$AR$201,"Y")&gt;0,1,0),0)</f>
        <v>0</v>
      </c>
      <c r="DI97" s="23" t="n">
        <f aca="false">IF(BB97=1,IF(COUNTIFS($AZ$2:$AZ$201,AZ97,$DE$2:$DE$201,1,$AR$2:$AR$201,"Y")&gt;0,1,0),0)</f>
        <v>0</v>
      </c>
      <c r="DJ97" s="23" t="n">
        <f aca="false">IF(BB97=1,IF(COUNTIFS($AZ$2:$AZ$201,AZ97,$DF$2:$DF$201,1,$AR$2:$AR$201,"Y")&gt;0,1,0),0)</f>
        <v>0</v>
      </c>
      <c r="DK97" s="23" t="n">
        <f aca="false">IF(BB97=1,IF(COUNTIFS($AZ$2:$AZ$201,AZ97,$DG$2:$DG$201,1,$AR$2:$AR$201,"Y")&gt;0,1,0),0)</f>
        <v>0</v>
      </c>
      <c r="DL97" s="23" t="n">
        <f aca="false">IF(AND(BF97=1,INT(N(H97))&lt;=Config!$B$6,DH97=1,EI97=0),1,0)</f>
        <v>0</v>
      </c>
      <c r="DM97" s="23" t="n">
        <f aca="false">IF(AND(BF97=1,INT(N(H97))&lt;=Config!$B$7,DI97=1,EI97=0),1,0)</f>
        <v>0</v>
      </c>
      <c r="DN97" s="23" t="n">
        <f aca="false">IF(AND(BF97=1,INT(N(H97))&lt;=Config!$B$8,DJ97=1,EI97=0),1,0)</f>
        <v>0</v>
      </c>
      <c r="DO97" s="23" t="n">
        <f aca="false">IF(AND(BF97=1,INT(N(H97))&lt;=Config!$B$5,DK97=1,EI97=0),1,0)</f>
        <v>0</v>
      </c>
      <c r="DP97" s="23" t="n">
        <f aca="false">IF(AND(CC97=1,INT(N(H97))&lt;=Config!$B$6,DH97=1,EI97=0),1,0)</f>
        <v>0</v>
      </c>
      <c r="DQ97" s="23" t="n">
        <f aca="false">IF(AND(CC97=1,INT(N(H97))&lt;=Config!$B$7,DI97=1,EI97=0),1,0)</f>
        <v>0</v>
      </c>
      <c r="DR97" s="23" t="n">
        <f aca="false">IF(AND(CC97=1,INT(N(H97))&lt;=Config!$B$8,DJ97=1,EI97=0),1,0)</f>
        <v>0</v>
      </c>
      <c r="DS97" s="23" t="n">
        <f aca="false">IF(AND(CC97=1,INT(N(H97))&lt;=Config!$B$5,DK97=1,EI97=0),1,0)</f>
        <v>0</v>
      </c>
      <c r="DT97" s="23" t="n">
        <f aca="false">IF(AND(CC97=1,INT(N(H97))&lt;=Config!$B$6,DH97=0),1,0)</f>
        <v>0</v>
      </c>
      <c r="DU97" s="23" t="n">
        <f aca="false">IF(AND(CC97=1,INT(N(H97))&lt;=Config!$B$7,DI97=0),1,0)</f>
        <v>0</v>
      </c>
      <c r="DV97" s="23" t="n">
        <f aca="false">IF(AND(CC97=1,INT(N(H97))&lt;=Config!$B$8,DJ97=0),1,0)</f>
        <v>0</v>
      </c>
      <c r="DW97" s="23" t="n">
        <f aca="false">IF(AND(CC97=1,INT(N(H97))&lt;=Config!$B$5,DK97=0),1,0)</f>
        <v>0</v>
      </c>
      <c r="DX97" s="23" t="n">
        <f aca="false">IF(TRIM($A97)="",0,ISTEXT(M97)+ISTEXT(O97)+ISTEXT(Y97)+ISTEXT(Z97)+ISTEXT(AA97)+ISTEXT(AV97))</f>
        <v>0</v>
      </c>
      <c r="DY97" s="23" t="n">
        <f aca="false">IF(BB97=1,IF(H97&lt;&gt;INT(H97),1,0),0)</f>
        <v>0</v>
      </c>
      <c r="DZ97" s="23" t="str">
        <f aca="false">IF(TRIM($A97)="","",IF(TRIM(B97)="",SUBSTITUTE(SUBSTITUTE(SUBSTITUTE(SUBSTITUTE(SUBSTITUTE(SUBSTITUTE(LOWER(TRIM($A97)),"~",""),"*",""),"?",""),"&lt;",""),"&gt;",""),"=",""),SUBSTITUTE(SUBSTITUTE(SUBSTITUTE(SUBSTITUTE(SUBSTITUTE(SUBSTITUTE(LOWER(TRIM(B97)),"~",""),"*",""),"?",""),"&lt;",""),"&gt;",""),"=","")))</f>
        <v/>
      </c>
      <c r="EA97" s="23" t="str">
        <f aca="false">IF(CW97="","",IFERROR(IF(LEFT(LOWER(TRIM(INDEX(Clay_Offices!$A$2:$FZ$601,CW97,Sync!$C$19)&amp;"")),4)="grp-",SUBSTITUTE(SUBSTITUTE(SUBSTITUTE(SUBSTITUTE(SUBSTITUTE(SUBSTITUTE(LOWER(TRIM(INDEX(Clay_Offices!$A$2:$FZ$601,CW97,Sync!$C$19)&amp;"")),"~",""),"*",""),"?",""),"&lt;",""),"&gt;",""),"=",""),""),""))</f>
        <v/>
      </c>
      <c r="EB97" s="23" t="str">
        <f aca="false">IF(EA97&lt;&gt;"",DZ97,"")</f>
        <v/>
      </c>
      <c r="EC97" s="23" t="str">
        <f aca="false">IF(BC97=1,AZ97,"")</f>
        <v/>
      </c>
      <c r="ED97" s="23" t="str">
        <f aca="false">IF(TRIM($A97)="","",IFERROR(INDEX($A$2:$A$201,MATCH(AZ97,$EC$2:$EC$201,0))&amp;"",$A97&amp;""))</f>
        <v/>
      </c>
      <c r="EE97" s="23" t="n">
        <f aca="false">IF(BB97=1,IF(COUNTIFS($A$2:$A$201,$A97,$BB$2:$BB$201,1,$H$2:$H$201,"&lt;"&amp;H97)+COUNTIFS($A$2:$A$201,$A97,$BB$2:$BB$201,1,$H$2:$H$201,H97,$BA$2:$BA$201,"&lt;"&amp;BA97)=0,1,0),0)</f>
        <v>0</v>
      </c>
      <c r="EF97" s="23" t="n">
        <f aca="false">IF(BC97=1,IF(COUNTIFS($AZ$2:$AZ$201,AZ97,$EE$2:$EE$201,1)&gt;1,1,0),0)</f>
        <v>0</v>
      </c>
      <c r="EG97" s="23" t="n">
        <f aca="false">IF(AND(CQ97=1),IF(COUNTIFS($AZ$2:$AZ$201,AZ97,$CQ$2:$CQ$201,1,$H$2:$H$201,"&gt;"&amp;H97)+COUNTIFS($AZ$2:$AZ$201,AZ97,$CQ$2:$CQ$201,1,$H$2:$H$201,H97,$BA$2:$BA$201,"&gt;"&amp;BA97)=0,1,0),0)</f>
        <v>0</v>
      </c>
      <c r="EH97" s="23" t="str">
        <f aca="false">IF(BB97=1,IF(COUNTIFS($AZ$2:$AZ$201,AZ97,$EG$2:$EG$201,1)=0,"",SUMIFS($O$2:$O$201,$AZ$2:$AZ$201,AZ97,$EG$2:$EG$201,1)),"")</f>
        <v/>
      </c>
      <c r="EI97" s="23" t="n">
        <f aca="false">IF(AND(ISNUMBER(EH97),OR(N(EH97)&lt;Config!$B$31,N(EH97)&gt;Config!$B$33)),1,0)</f>
        <v>0</v>
      </c>
      <c r="EJ97" s="23" t="n">
        <f aca="false">IF(AND(ISNUMBER(EH97),N(EH97)&gt;=Config!$B$31,N(EH97)&lt;Config!$B$32),1,0)</f>
        <v>0</v>
      </c>
      <c r="EK97" s="23" t="n">
        <f aca="false">IF(AND(BF97=1,INT(N(H97))&lt;=Config!$B$6,DH97=1,EI97=1),1,0)</f>
        <v>0</v>
      </c>
      <c r="EL97" s="23" t="n">
        <f aca="false">IF(AND(BF97=1,INT(N(H97))&lt;=Config!$B$7,DI97=1,EI97=1),1,0)</f>
        <v>0</v>
      </c>
      <c r="EM97" s="23" t="n">
        <f aca="false">IF(AND(BF97=1,INT(N(H97))&lt;=Config!$B$8,DJ97=1,EI97=1),1,0)</f>
        <v>0</v>
      </c>
      <c r="EN97" s="23" t="n">
        <f aca="false">IF(AND(BF97=1,INT(N(H97))&lt;=Config!$B$5,DK97=1,EI97=1),1,0)</f>
        <v>0</v>
      </c>
      <c r="EO97" s="23" t="n">
        <f aca="false">IF(AND(DL97=1,EJ97=1),1,0)</f>
        <v>0</v>
      </c>
      <c r="EP97" s="23" t="n">
        <f aca="false">IF(AND(DM97=1,EJ97=1),1,0)</f>
        <v>0</v>
      </c>
      <c r="EQ97" s="23" t="n">
        <f aca="false">IF(AND(DN97=1,EJ97=1),1,0)</f>
        <v>0</v>
      </c>
      <c r="ER97" s="23" t="n">
        <f aca="false">IF(AND(DO97=1,EJ97=1),1,0)</f>
        <v>0</v>
      </c>
    </row>
    <row r="98" customFormat="false" ht="15" hidden="false" customHeight="false" outlineLevel="0" collapsed="false">
      <c r="G98" s="32"/>
      <c r="H98" s="33"/>
      <c r="I98" s="32"/>
      <c r="L98" s="32"/>
      <c r="Q98" s="32"/>
      <c r="U98" s="32"/>
      <c r="W98" s="32"/>
      <c r="AC98" s="32"/>
      <c r="AF98" s="32"/>
      <c r="AI98" s="32"/>
      <c r="AJ98" s="32"/>
      <c r="AN98" s="32"/>
      <c r="AR98" s="32"/>
      <c r="AT98" s="32"/>
      <c r="AU98" s="32"/>
      <c r="AW98" s="32"/>
      <c r="AY98" s="34" t="str">
        <f aca="false">IF(TRIM($A98)="","",IF(AND(LEFT($A98,6)="SAMPLE",Config!$B$19&lt;&gt;"Y"),"",IF(NOT(ISNUMBER(H98)),"call_date is blank or not a date",IF(Sync!$C$5="","Clay paste is empty or has no row_id column: paste the Clay export on Clay_Offices",IF(CW98="","row_id not found in the Clay paste: add the Clay row or fix the row_id",IF(AND(ISNUMBER(CY98),CY98&gt;=1,CY98&lt;=5),"Clay status is "&amp;CX98&amp;": set call_done or later",IF(AND(BD98=1,CZ98&lt;&gt;BZ98),"Clay yes_in_principle should be "&amp;BZ98,IF(AND(BD98=1,DA98&lt;&gt;H98),"Clay call_date should be "&amp;TEXT(H98,"yyyy-mm-dd"),""))))))))</f>
        <v/>
      </c>
      <c r="AZ98" s="23" t="str">
        <f aca="false">IF(TRIM($A98)="","",IF(TRIM(C98)&lt;&gt;"",SUBSTITUTE(SUBSTITUTE(SUBSTITUTE(SUBSTITUTE(SUBSTITUTE(SUBSTITUTE(LOWER(TRIM(C98)),"~",""),"*",""),"?",""),"&lt;",""),"&gt;",""),"=",""),IF(EA98&lt;&gt;"",EA98,IFERROR(INDEX($EA$2:$EA$201,MATCH(DZ98,$EB$2:$EB$201,0)),DZ98))))</f>
        <v/>
      </c>
      <c r="BA98" s="23" t="n">
        <f aca="false">ROW()</f>
        <v>98</v>
      </c>
      <c r="BB98" s="23" t="n">
        <f aca="false">IF(AND(TRIM($A98)&lt;&gt;"",ISNUMBER(H98)),IF(AND(LEFT($A98,6)="SAMPLE",Config!$B$19&lt;&gt;"Y"),0,1),0)</f>
        <v>0</v>
      </c>
      <c r="BC98" s="23" t="n">
        <f aca="false">IF(BB98=1,IF(COUNTIFS($AZ$2:$AZ$201,AZ98,$BB$2:$BB$201,1,$H$2:$H$201,"&lt;"&amp;H98)+COUNTIFS($AZ$2:$AZ$201,AZ98,$BB$2:$BB$201,1,$H$2:$H$201,H98,$BA$2:$BA$201,"&lt;"&amp;BA98)=0,1,0),0)</f>
        <v>0</v>
      </c>
      <c r="BD98" s="23" t="n">
        <f aca="false">IF(BB98=1,IF(COUNTIFS($A$2:$A$201,$A98,$BB$2:$BB$201,1,$H$2:$H$201,"&gt;"&amp;H98)+COUNTIFS($A$2:$A$201,$A98,$BB$2:$BB$201,1,$H$2:$H$201,H98,$BA$2:$BA$201,"&gt;"&amp;BA98)=0,1,0),0)</f>
        <v>0</v>
      </c>
      <c r="BE98" s="23" t="n">
        <f aca="false">IF(AND(BB98=1,AR98="Y",AC98="Y",TRIM(AH98)&lt;&gt;""),1,0)</f>
        <v>0</v>
      </c>
      <c r="BF98" s="23" t="n">
        <f aca="false">IF(BE98=1,IF(COUNTIFS($AZ$2:$AZ$201,AZ98,$BE$2:$BE$201,1,$H$2:$H$201,"&lt;"&amp;H98)+COUNTIFS($AZ$2:$AZ$201,AZ98,$BE$2:$BE$201,1,$H$2:$H$201,H98,$BA$2:$BA$201,"&lt;"&amp;BA98)=0,1,0),0)</f>
        <v>0</v>
      </c>
      <c r="BG98" s="23" t="n">
        <f aca="false">IF(AND(BB98=1,AR98="Y",BE98=0),1,0)</f>
        <v>0</v>
      </c>
      <c r="BH98" s="23" t="n">
        <f aca="false">IF(AND(BB98=1,ISNUMBER(Y98)),1,0)</f>
        <v>0</v>
      </c>
      <c r="BI98" s="23" t="n">
        <f aca="false">IF(BH98=1,IF(COUNTIFS($AZ$2:$AZ$201,AZ98,$BH$2:$BH$201,1,$H$2:$H$201,"&lt;"&amp;H98)+COUNTIFS($AZ$2:$AZ$201,AZ98,$BH$2:$BH$201,1,$H$2:$H$201,H98,$BA$2:$BA$201,"&lt;"&amp;BA98)=0,1,0),0)</f>
        <v>0</v>
      </c>
      <c r="BJ98" s="23" t="str">
        <f aca="false">IF(AND(BI98=1,INT(N(H98))&lt;=Config!$B$6),Y98,"")</f>
        <v/>
      </c>
      <c r="BK98" s="23" t="str">
        <f aca="false">IF(AND(BI98=1,INT(N(H98))&lt;=Config!$B$7),Y98,"")</f>
        <v/>
      </c>
      <c r="BL98" s="23" t="str">
        <f aca="false">IF(AND(BI98=1,INT(N(H98))&lt;=Config!$B$8),Y98,"")</f>
        <v/>
      </c>
      <c r="BM98" s="23" t="str">
        <f aca="false">IF(AND(BI98=1,INT(N(H98))&lt;=Config!$B$5),Y98,"")</f>
        <v/>
      </c>
      <c r="BN98" s="23" t="n">
        <f aca="false">IF(CD98=1,IF(COUNTIFS($AZ$2:$AZ$201,AZ98,$CD$2:$CD$201,1,$H$2:$H$201,"&lt;"&amp;H98)+COUNTIFS($AZ$2:$AZ$201,AZ98,$CD$2:$CD$201,1,$H$2:$H$201,H98,$BA$2:$BA$201,"&lt;"&amp;BA98)=0,1,0),0)</f>
        <v>0</v>
      </c>
      <c r="BO98" s="23" t="n">
        <f aca="false">IF(AND(BB98=1,ISNUMBER(M98)),1,0)</f>
        <v>0</v>
      </c>
      <c r="BP98" s="23" t="n">
        <f aca="false">IF(BO98=1,IF(COUNTIFS($AZ$2:$AZ$201,AZ98,$BO$2:$BO$201,1,$H$2:$H$201,"&lt;"&amp;H98)+COUNTIFS($AZ$2:$AZ$201,AZ98,$BO$2:$BO$201,1,$H$2:$H$201,H98,$BA$2:$BA$201,"&lt;"&amp;BA98)=0,1,0),0)</f>
        <v>0</v>
      </c>
      <c r="BQ98" s="23" t="str">
        <f aca="false">IF(AND(BP98=1,INT(N(H98))&lt;=Config!$B$5),M98,"")</f>
        <v/>
      </c>
      <c r="BR98" s="23" t="n">
        <f aca="false">IF(AND(BB98=1,OR(TRIM(X98)&lt;&gt;"",ISNUMBER(Y98))),1,0)</f>
        <v>0</v>
      </c>
      <c r="BS98" s="23" t="n">
        <f aca="false">IF(BR98=1,IF(COUNTIFS($AZ$2:$AZ$201,AZ98,$BR$2:$BR$201,1,$H$2:$H$201,"&lt;"&amp;H98)+COUNTIFS($AZ$2:$AZ$201,AZ98,$BR$2:$BR$201,1,$H$2:$H$201,H98,$BA$2:$BA$201,"&lt;"&amp;BA98)=0,1,0),0)</f>
        <v>0</v>
      </c>
      <c r="BT98" s="23" t="str">
        <f aca="false">IF(BS98=1,AZ98,"")</f>
        <v/>
      </c>
      <c r="BU98" s="23" t="n">
        <f aca="false">IF(AND(BB98=1,W98="Y",TRIM(X98)=""),1,0)</f>
        <v>0</v>
      </c>
      <c r="BV98" s="23" t="str">
        <f aca="false">IF(BB98=1,AN98&amp;"","")</f>
        <v/>
      </c>
      <c r="BW98" s="23" t="str">
        <f aca="false">IF(BB98=1,AO98&amp;"","")</f>
        <v/>
      </c>
      <c r="BX98" s="23" t="str">
        <f aca="false">IF(BB98=1,AP98&amp;"","")</f>
        <v/>
      </c>
      <c r="BY98" s="23" t="str">
        <f aca="false">IF(AND(BB98=1,ISNUMBER(AV98),INT(N(H98))&lt;=Config!$B$5),AV98,"")</f>
        <v/>
      </c>
      <c r="BZ98" s="23" t="str">
        <f aca="false">IF(BB98=1,IF(COUNTIFS($A$2:$A$201,$A98,$DC$2:$DC$201,1,$AR$2:$AR$201,"Y")&gt;0,"Y","N"),"")</f>
        <v/>
      </c>
      <c r="CA98" s="23" t="n">
        <f aca="false">IF(AND(BB98=1,AR98="maybe"),1,0)</f>
        <v>0</v>
      </c>
      <c r="CB98" s="23" t="n">
        <f aca="false">IF(CA98=1,IF(COUNTIFS($AZ$2:$AZ$201,AZ98,$CA$2:$CA$201,1,$H$2:$H$201,"&lt;"&amp;H98)+COUNTIFS($AZ$2:$AZ$201,AZ98,$CA$2:$CA$201,1,$H$2:$H$201,H98,$BA$2:$BA$201,"&lt;"&amp;BA98)=0,1,0),0)</f>
        <v>0</v>
      </c>
      <c r="CC98" s="23" t="n">
        <f aca="false">IF(AND(BB98=1,AR98="Y"),IF(COUNTIFS($AZ$2:$AZ$201,AZ98,$AR$2:$AR$201,"Y",$BB$2:$BB$201,1,$H$2:$H$201,"&lt;"&amp;H98)+COUNTIFS($AZ$2:$AZ$201,AZ98,$AR$2:$AR$201,"Y",$BB$2:$BB$201,1,$H$2:$H$201,H98,$BA$2:$BA$201,"&lt;"&amp;BA98)=0,1,0),0)</f>
        <v>0</v>
      </c>
      <c r="CD98" s="23" t="n">
        <f aca="false">IF(AND(BH98=1,N(Y98)&gt;=Config!$B$15),1,0)</f>
        <v>0</v>
      </c>
      <c r="CE98" s="23" t="n">
        <f aca="false">IF(AND(BB98=1,AT98="Y"),1,0)</f>
        <v>0</v>
      </c>
      <c r="CF98" s="23" t="n">
        <f aca="false">IF(CE98=1,IF(COUNTIFS($AZ$2:$AZ$201,AZ98,$CE$2:$CE$201,1,$H$2:$H$201,"&lt;"&amp;H98)+COUNTIFS($AZ$2:$AZ$201,AZ98,$CE$2:$CE$201,1,$H$2:$H$201,H98,$BA$2:$BA$201,"&lt;"&amp;BA98)=0,1,0),0)</f>
        <v>0</v>
      </c>
      <c r="CG98" s="23" t="n">
        <f aca="false">IF(AND(BB98=1,G98="warm-intro"),1,0)</f>
        <v>0</v>
      </c>
      <c r="CH98" s="23" t="n">
        <f aca="false">IF(CG98=1,IF(COUNTIFS($AZ$2:$AZ$201,AZ98,$CG$2:$CG$201,1,$H$2:$H$201,"&lt;"&amp;H98)+COUNTIFS($AZ$2:$AZ$201,AZ98,$CG$2:$CG$201,1,$H$2:$H$201,H98,$BA$2:$BA$201,"&lt;"&amp;BA98)=0,1,0),0)</f>
        <v>0</v>
      </c>
      <c r="CI98" s="23" t="n">
        <f aca="false">IF(AND(BB98=1,Q98="Y"),1,0)</f>
        <v>0</v>
      </c>
      <c r="CJ98" s="23" t="n">
        <f aca="false">IF(CI98=1,IF(COUNTIFS($AZ$2:$AZ$201,AZ98,$CI$2:$CI$201,1,$H$2:$H$201,"&lt;"&amp;H98)+COUNTIFS($AZ$2:$AZ$201,AZ98,$CI$2:$CI$201,1,$H$2:$H$201,H98,$BA$2:$BA$201,"&lt;"&amp;BA98)=0,1,0),0)</f>
        <v>0</v>
      </c>
      <c r="CK98" s="23" t="n">
        <f aca="false">IF(AND(BB98=1,AF98="Y"),1,0)</f>
        <v>0</v>
      </c>
      <c r="CL98" s="23" t="n">
        <f aca="false">IF(CK98=1,IF(COUNTIFS($AZ$2:$AZ$201,AZ98,$CK$2:$CK$201,1,$H$2:$H$201,"&lt;"&amp;H98)+COUNTIFS($AZ$2:$AZ$201,AZ98,$CK$2:$CK$201,1,$H$2:$H$201,H98,$BA$2:$BA$201,"&lt;"&amp;BA98)=0,1,0),0)</f>
        <v>0</v>
      </c>
      <c r="CM98" s="23" t="n">
        <f aca="false">IF(AND(BB98=1,U98="Y"),1,0)</f>
        <v>0</v>
      </c>
      <c r="CN98" s="23" t="n">
        <f aca="false">IF(CM98=1,IF(COUNTIFS($AZ$2:$AZ$201,AZ98,$CM$2:$CM$201,1,$H$2:$H$201,"&lt;"&amp;H98)+COUNTIFS($AZ$2:$AZ$201,AZ98,$CM$2:$CM$201,1,$H$2:$H$201,H98,$BA$2:$BA$201,"&lt;"&amp;BA98)=0,1,0),0)</f>
        <v>0</v>
      </c>
      <c r="CO98" s="23" t="n">
        <f aca="false">IF(AND(BB98=1,L98="Y"),1,0)</f>
        <v>0</v>
      </c>
      <c r="CP98" s="23" t="n">
        <f aca="false">IF(CO98=1,IF(COUNTIFS($AZ$2:$AZ$201,AZ98,$CO$2:$CO$201,1,$H$2:$H$201,"&lt;"&amp;H98)+COUNTIFS($AZ$2:$AZ$201,AZ98,$CO$2:$CO$201,1,$H$2:$H$201,H98,$BA$2:$BA$201,"&lt;"&amp;BA98)=0,1,0),0)</f>
        <v>0</v>
      </c>
      <c r="CQ98" s="23" t="n">
        <f aca="false">IF(AND(BB98=1,ISNUMBER(O98)),1,0)</f>
        <v>0</v>
      </c>
      <c r="CR98" s="23" t="n">
        <f aca="false">IF(CQ98=1,IF(COUNTIFS($AZ$2:$AZ$201,AZ98,$CQ$2:$CQ$201,1,$H$2:$H$201,"&lt;"&amp;H98)+COUNTIFS($AZ$2:$AZ$201,AZ98,$CQ$2:$CQ$201,1,$H$2:$H$201,H98,$BA$2:$BA$201,"&lt;"&amp;BA98)=0,1,0),0)</f>
        <v>0</v>
      </c>
      <c r="CS98" s="23" t="str">
        <f aca="false">IF(AND(CR98=1,INT(N(H98))&lt;=Config!$B$5),O98,"")</f>
        <v/>
      </c>
      <c r="CT98" s="23" t="str">
        <f aca="false">IF(AND(BB98=1,INT(N(H98))&lt;=Config!$B$5),AG98&amp;"","")</f>
        <v/>
      </c>
      <c r="CU98" s="23" t="n">
        <f aca="false">IF(AND(BB98=1,AU98="Y"),1,0)</f>
        <v>0</v>
      </c>
      <c r="CV98" s="23" t="n">
        <f aca="false">IF(CU98=1,IF(COUNTIFS($AZ$2:$AZ$201,AZ98,$CU$2:$CU$201,1,$H$2:$H$201,"&lt;"&amp;H98)+COUNTIFS($AZ$2:$AZ$201,AZ98,$CU$2:$CU$201,1,$H$2:$H$201,H98,$BA$2:$BA$201,"&lt;"&amp;BA98)=0,1,0),0)</f>
        <v>0</v>
      </c>
      <c r="CW98" s="23" t="str">
        <f aca="false">IF(BB98=1,IFERROR(MATCH($A98,INDEX(Clay_Offices!$A$2:$FZ$601,0,Sync!$C$5),0),""),"")</f>
        <v/>
      </c>
      <c r="CX98" s="23" t="str">
        <f aca="false">IF(CW98="","",IFERROR(INDEX(Clay_Offices!$A$2:$FZ$601,CW98,Sync!$C$7)&amp;"",""))</f>
        <v/>
      </c>
      <c r="CY98" s="23" t="str">
        <f aca="false">IF(CX98="","",IFERROR(INDEX(Lists!$K$2:$K$15,MATCH(CX98,Lists!$J$2:$J$15,0)),""))</f>
        <v/>
      </c>
      <c r="CZ98" s="23" t="str">
        <f aca="false">IF(CW98="","",IFERROR(INDEX(Clay_Offices!$A$2:$FZ$601,CW98,Sync!$C$17)&amp;"",""))</f>
        <v/>
      </c>
      <c r="DA98" s="35" t="str">
        <f aca="false">IF(CW98="","",IFERROR(N(INDEX(Clay_Offices!$A$2:$FZ$601,CW98,Sync!$C$16)),0))</f>
        <v/>
      </c>
      <c r="DB98" s="23" t="n">
        <f aca="false">IF(AND(BB98=1,OR(AR98="Y",AR98="N",AR98="maybe")),1,0)</f>
        <v>0</v>
      </c>
      <c r="DC98" s="23" t="n">
        <f aca="false">IF(AND(DB98=1),IF(COUNTIFS($A$2:$A$201,$A98,$DB$2:$DB$201,1,$H$2:$H$201,"&gt;"&amp;H98)+COUNTIFS($A$2:$A$201,$A98,$DB$2:$DB$201,1,$H$2:$H$201,H98,$BA$2:$BA$201,"&gt;"&amp;BA98)=0,1,0),0)</f>
        <v>0</v>
      </c>
      <c r="DD98" s="23" t="n">
        <f aca="false">IF(AND(DB98=1,INT(N(H98))&lt;=Config!$B$6),IF(COUNTIFS($AZ$2:$AZ$201,AZ98,$DB$2:$DB$201,1,$H$2:$H$201,"&gt;"&amp;H98,$H$2:$H$201,"&lt;"&amp;(Config!$B$6+1))+COUNTIFS($AZ$2:$AZ$201,AZ98,$DB$2:$DB$201,1,$H$2:$H$201,H98,$BA$2:$BA$201,"&gt;"&amp;BA98)=0,1,0),0)</f>
        <v>0</v>
      </c>
      <c r="DE98" s="23" t="n">
        <f aca="false">IF(AND(DB98=1,INT(N(H98))&lt;=Config!$B$7),IF(COUNTIFS($AZ$2:$AZ$201,AZ98,$DB$2:$DB$201,1,$H$2:$H$201,"&gt;"&amp;H98,$H$2:$H$201,"&lt;"&amp;(Config!$B$7+1))+COUNTIFS($AZ$2:$AZ$201,AZ98,$DB$2:$DB$201,1,$H$2:$H$201,H98,$BA$2:$BA$201,"&gt;"&amp;BA98)=0,1,0),0)</f>
        <v>0</v>
      </c>
      <c r="DF98" s="23" t="n">
        <f aca="false">IF(AND(DB98=1,INT(N(H98))&lt;=Config!$B$8),IF(COUNTIFS($AZ$2:$AZ$201,AZ98,$DB$2:$DB$201,1,$H$2:$H$201,"&gt;"&amp;H98,$H$2:$H$201,"&lt;"&amp;(Config!$B$8+1))+COUNTIFS($AZ$2:$AZ$201,AZ98,$DB$2:$DB$201,1,$H$2:$H$201,H98,$BA$2:$BA$201,"&gt;"&amp;BA98)=0,1,0),0)</f>
        <v>0</v>
      </c>
      <c r="DG98" s="23" t="n">
        <f aca="false">IF(AND(DB98=1,INT(N(H98))&lt;=Config!$B$5),IF(COUNTIFS($AZ$2:$AZ$201,AZ98,$DB$2:$DB$201,1,$H$2:$H$201,"&gt;"&amp;H98,$H$2:$H$201,"&lt;"&amp;(Config!$B$5+1))+COUNTIFS($AZ$2:$AZ$201,AZ98,$DB$2:$DB$201,1,$H$2:$H$201,H98,$BA$2:$BA$201,"&gt;"&amp;BA98)=0,1,0),0)</f>
        <v>0</v>
      </c>
      <c r="DH98" s="23" t="n">
        <f aca="false">IF(BB98=1,IF(COUNTIFS($AZ$2:$AZ$201,AZ98,$DD$2:$DD$201,1,$AR$2:$AR$201,"Y")&gt;0,1,0),0)</f>
        <v>0</v>
      </c>
      <c r="DI98" s="23" t="n">
        <f aca="false">IF(BB98=1,IF(COUNTIFS($AZ$2:$AZ$201,AZ98,$DE$2:$DE$201,1,$AR$2:$AR$201,"Y")&gt;0,1,0),0)</f>
        <v>0</v>
      </c>
      <c r="DJ98" s="23" t="n">
        <f aca="false">IF(BB98=1,IF(COUNTIFS($AZ$2:$AZ$201,AZ98,$DF$2:$DF$201,1,$AR$2:$AR$201,"Y")&gt;0,1,0),0)</f>
        <v>0</v>
      </c>
      <c r="DK98" s="23" t="n">
        <f aca="false">IF(BB98=1,IF(COUNTIFS($AZ$2:$AZ$201,AZ98,$DG$2:$DG$201,1,$AR$2:$AR$201,"Y")&gt;0,1,0),0)</f>
        <v>0</v>
      </c>
      <c r="DL98" s="23" t="n">
        <f aca="false">IF(AND(BF98=1,INT(N(H98))&lt;=Config!$B$6,DH98=1,EI98=0),1,0)</f>
        <v>0</v>
      </c>
      <c r="DM98" s="23" t="n">
        <f aca="false">IF(AND(BF98=1,INT(N(H98))&lt;=Config!$B$7,DI98=1,EI98=0),1,0)</f>
        <v>0</v>
      </c>
      <c r="DN98" s="23" t="n">
        <f aca="false">IF(AND(BF98=1,INT(N(H98))&lt;=Config!$B$8,DJ98=1,EI98=0),1,0)</f>
        <v>0</v>
      </c>
      <c r="DO98" s="23" t="n">
        <f aca="false">IF(AND(BF98=1,INT(N(H98))&lt;=Config!$B$5,DK98=1,EI98=0),1,0)</f>
        <v>0</v>
      </c>
      <c r="DP98" s="23" t="n">
        <f aca="false">IF(AND(CC98=1,INT(N(H98))&lt;=Config!$B$6,DH98=1,EI98=0),1,0)</f>
        <v>0</v>
      </c>
      <c r="DQ98" s="23" t="n">
        <f aca="false">IF(AND(CC98=1,INT(N(H98))&lt;=Config!$B$7,DI98=1,EI98=0),1,0)</f>
        <v>0</v>
      </c>
      <c r="DR98" s="23" t="n">
        <f aca="false">IF(AND(CC98=1,INT(N(H98))&lt;=Config!$B$8,DJ98=1,EI98=0),1,0)</f>
        <v>0</v>
      </c>
      <c r="DS98" s="23" t="n">
        <f aca="false">IF(AND(CC98=1,INT(N(H98))&lt;=Config!$B$5,DK98=1,EI98=0),1,0)</f>
        <v>0</v>
      </c>
      <c r="DT98" s="23" t="n">
        <f aca="false">IF(AND(CC98=1,INT(N(H98))&lt;=Config!$B$6,DH98=0),1,0)</f>
        <v>0</v>
      </c>
      <c r="DU98" s="23" t="n">
        <f aca="false">IF(AND(CC98=1,INT(N(H98))&lt;=Config!$B$7,DI98=0),1,0)</f>
        <v>0</v>
      </c>
      <c r="DV98" s="23" t="n">
        <f aca="false">IF(AND(CC98=1,INT(N(H98))&lt;=Config!$B$8,DJ98=0),1,0)</f>
        <v>0</v>
      </c>
      <c r="DW98" s="23" t="n">
        <f aca="false">IF(AND(CC98=1,INT(N(H98))&lt;=Config!$B$5,DK98=0),1,0)</f>
        <v>0</v>
      </c>
      <c r="DX98" s="23" t="n">
        <f aca="false">IF(TRIM($A98)="",0,ISTEXT(M98)+ISTEXT(O98)+ISTEXT(Y98)+ISTEXT(Z98)+ISTEXT(AA98)+ISTEXT(AV98))</f>
        <v>0</v>
      </c>
      <c r="DY98" s="23" t="n">
        <f aca="false">IF(BB98=1,IF(H98&lt;&gt;INT(H98),1,0),0)</f>
        <v>0</v>
      </c>
      <c r="DZ98" s="23" t="str">
        <f aca="false">IF(TRIM($A98)="","",IF(TRIM(B98)="",SUBSTITUTE(SUBSTITUTE(SUBSTITUTE(SUBSTITUTE(SUBSTITUTE(SUBSTITUTE(LOWER(TRIM($A98)),"~",""),"*",""),"?",""),"&lt;",""),"&gt;",""),"=",""),SUBSTITUTE(SUBSTITUTE(SUBSTITUTE(SUBSTITUTE(SUBSTITUTE(SUBSTITUTE(LOWER(TRIM(B98)),"~",""),"*",""),"?",""),"&lt;",""),"&gt;",""),"=","")))</f>
        <v/>
      </c>
      <c r="EA98" s="23" t="str">
        <f aca="false">IF(CW98="","",IFERROR(IF(LEFT(LOWER(TRIM(INDEX(Clay_Offices!$A$2:$FZ$601,CW98,Sync!$C$19)&amp;"")),4)="grp-",SUBSTITUTE(SUBSTITUTE(SUBSTITUTE(SUBSTITUTE(SUBSTITUTE(SUBSTITUTE(LOWER(TRIM(INDEX(Clay_Offices!$A$2:$FZ$601,CW98,Sync!$C$19)&amp;"")),"~",""),"*",""),"?",""),"&lt;",""),"&gt;",""),"=",""),""),""))</f>
        <v/>
      </c>
      <c r="EB98" s="23" t="str">
        <f aca="false">IF(EA98&lt;&gt;"",DZ98,"")</f>
        <v/>
      </c>
      <c r="EC98" s="23" t="str">
        <f aca="false">IF(BC98=1,AZ98,"")</f>
        <v/>
      </c>
      <c r="ED98" s="23" t="str">
        <f aca="false">IF(TRIM($A98)="","",IFERROR(INDEX($A$2:$A$201,MATCH(AZ98,$EC$2:$EC$201,0))&amp;"",$A98&amp;""))</f>
        <v/>
      </c>
      <c r="EE98" s="23" t="n">
        <f aca="false">IF(BB98=1,IF(COUNTIFS($A$2:$A$201,$A98,$BB$2:$BB$201,1,$H$2:$H$201,"&lt;"&amp;H98)+COUNTIFS($A$2:$A$201,$A98,$BB$2:$BB$201,1,$H$2:$H$201,H98,$BA$2:$BA$201,"&lt;"&amp;BA98)=0,1,0),0)</f>
        <v>0</v>
      </c>
      <c r="EF98" s="23" t="n">
        <f aca="false">IF(BC98=1,IF(COUNTIFS($AZ$2:$AZ$201,AZ98,$EE$2:$EE$201,1)&gt;1,1,0),0)</f>
        <v>0</v>
      </c>
      <c r="EG98" s="23" t="n">
        <f aca="false">IF(AND(CQ98=1),IF(COUNTIFS($AZ$2:$AZ$201,AZ98,$CQ$2:$CQ$201,1,$H$2:$H$201,"&gt;"&amp;H98)+COUNTIFS($AZ$2:$AZ$201,AZ98,$CQ$2:$CQ$201,1,$H$2:$H$201,H98,$BA$2:$BA$201,"&gt;"&amp;BA98)=0,1,0),0)</f>
        <v>0</v>
      </c>
      <c r="EH98" s="23" t="str">
        <f aca="false">IF(BB98=1,IF(COUNTIFS($AZ$2:$AZ$201,AZ98,$EG$2:$EG$201,1)=0,"",SUMIFS($O$2:$O$201,$AZ$2:$AZ$201,AZ98,$EG$2:$EG$201,1)),"")</f>
        <v/>
      </c>
      <c r="EI98" s="23" t="n">
        <f aca="false">IF(AND(ISNUMBER(EH98),OR(N(EH98)&lt;Config!$B$31,N(EH98)&gt;Config!$B$33)),1,0)</f>
        <v>0</v>
      </c>
      <c r="EJ98" s="23" t="n">
        <f aca="false">IF(AND(ISNUMBER(EH98),N(EH98)&gt;=Config!$B$31,N(EH98)&lt;Config!$B$32),1,0)</f>
        <v>0</v>
      </c>
      <c r="EK98" s="23" t="n">
        <f aca="false">IF(AND(BF98=1,INT(N(H98))&lt;=Config!$B$6,DH98=1,EI98=1),1,0)</f>
        <v>0</v>
      </c>
      <c r="EL98" s="23" t="n">
        <f aca="false">IF(AND(BF98=1,INT(N(H98))&lt;=Config!$B$7,DI98=1,EI98=1),1,0)</f>
        <v>0</v>
      </c>
      <c r="EM98" s="23" t="n">
        <f aca="false">IF(AND(BF98=1,INT(N(H98))&lt;=Config!$B$8,DJ98=1,EI98=1),1,0)</f>
        <v>0</v>
      </c>
      <c r="EN98" s="23" t="n">
        <f aca="false">IF(AND(BF98=1,INT(N(H98))&lt;=Config!$B$5,DK98=1,EI98=1),1,0)</f>
        <v>0</v>
      </c>
      <c r="EO98" s="23" t="n">
        <f aca="false">IF(AND(DL98=1,EJ98=1),1,0)</f>
        <v>0</v>
      </c>
      <c r="EP98" s="23" t="n">
        <f aca="false">IF(AND(DM98=1,EJ98=1),1,0)</f>
        <v>0</v>
      </c>
      <c r="EQ98" s="23" t="n">
        <f aca="false">IF(AND(DN98=1,EJ98=1),1,0)</f>
        <v>0</v>
      </c>
      <c r="ER98" s="23" t="n">
        <f aca="false">IF(AND(DO98=1,EJ98=1),1,0)</f>
        <v>0</v>
      </c>
    </row>
    <row r="99" customFormat="false" ht="15" hidden="false" customHeight="false" outlineLevel="0" collapsed="false">
      <c r="G99" s="32"/>
      <c r="H99" s="33"/>
      <c r="I99" s="32"/>
      <c r="L99" s="32"/>
      <c r="Q99" s="32"/>
      <c r="U99" s="32"/>
      <c r="W99" s="32"/>
      <c r="AC99" s="32"/>
      <c r="AF99" s="32"/>
      <c r="AI99" s="32"/>
      <c r="AJ99" s="32"/>
      <c r="AN99" s="32"/>
      <c r="AR99" s="32"/>
      <c r="AT99" s="32"/>
      <c r="AU99" s="32"/>
      <c r="AW99" s="32"/>
      <c r="AY99" s="34" t="str">
        <f aca="false">IF(TRIM($A99)="","",IF(AND(LEFT($A99,6)="SAMPLE",Config!$B$19&lt;&gt;"Y"),"",IF(NOT(ISNUMBER(H99)),"call_date is blank or not a date",IF(Sync!$C$5="","Clay paste is empty or has no row_id column: paste the Clay export on Clay_Offices",IF(CW99="","row_id not found in the Clay paste: add the Clay row or fix the row_id",IF(AND(ISNUMBER(CY99),CY99&gt;=1,CY99&lt;=5),"Clay status is "&amp;CX99&amp;": set call_done or later",IF(AND(BD99=1,CZ99&lt;&gt;BZ99),"Clay yes_in_principle should be "&amp;BZ99,IF(AND(BD99=1,DA99&lt;&gt;H99),"Clay call_date should be "&amp;TEXT(H99,"yyyy-mm-dd"),""))))))))</f>
        <v/>
      </c>
      <c r="AZ99" s="23" t="str">
        <f aca="false">IF(TRIM($A99)="","",IF(TRIM(C99)&lt;&gt;"",SUBSTITUTE(SUBSTITUTE(SUBSTITUTE(SUBSTITUTE(SUBSTITUTE(SUBSTITUTE(LOWER(TRIM(C99)),"~",""),"*",""),"?",""),"&lt;",""),"&gt;",""),"=",""),IF(EA99&lt;&gt;"",EA99,IFERROR(INDEX($EA$2:$EA$201,MATCH(DZ99,$EB$2:$EB$201,0)),DZ99))))</f>
        <v/>
      </c>
      <c r="BA99" s="23" t="n">
        <f aca="false">ROW()</f>
        <v>99</v>
      </c>
      <c r="BB99" s="23" t="n">
        <f aca="false">IF(AND(TRIM($A99)&lt;&gt;"",ISNUMBER(H99)),IF(AND(LEFT($A99,6)="SAMPLE",Config!$B$19&lt;&gt;"Y"),0,1),0)</f>
        <v>0</v>
      </c>
      <c r="BC99" s="23" t="n">
        <f aca="false">IF(BB99=1,IF(COUNTIFS($AZ$2:$AZ$201,AZ99,$BB$2:$BB$201,1,$H$2:$H$201,"&lt;"&amp;H99)+COUNTIFS($AZ$2:$AZ$201,AZ99,$BB$2:$BB$201,1,$H$2:$H$201,H99,$BA$2:$BA$201,"&lt;"&amp;BA99)=0,1,0),0)</f>
        <v>0</v>
      </c>
      <c r="BD99" s="23" t="n">
        <f aca="false">IF(BB99=1,IF(COUNTIFS($A$2:$A$201,$A99,$BB$2:$BB$201,1,$H$2:$H$201,"&gt;"&amp;H99)+COUNTIFS($A$2:$A$201,$A99,$BB$2:$BB$201,1,$H$2:$H$201,H99,$BA$2:$BA$201,"&gt;"&amp;BA99)=0,1,0),0)</f>
        <v>0</v>
      </c>
      <c r="BE99" s="23" t="n">
        <f aca="false">IF(AND(BB99=1,AR99="Y",AC99="Y",TRIM(AH99)&lt;&gt;""),1,0)</f>
        <v>0</v>
      </c>
      <c r="BF99" s="23" t="n">
        <f aca="false">IF(BE99=1,IF(COUNTIFS($AZ$2:$AZ$201,AZ99,$BE$2:$BE$201,1,$H$2:$H$201,"&lt;"&amp;H99)+COUNTIFS($AZ$2:$AZ$201,AZ99,$BE$2:$BE$201,1,$H$2:$H$201,H99,$BA$2:$BA$201,"&lt;"&amp;BA99)=0,1,0),0)</f>
        <v>0</v>
      </c>
      <c r="BG99" s="23" t="n">
        <f aca="false">IF(AND(BB99=1,AR99="Y",BE99=0),1,0)</f>
        <v>0</v>
      </c>
      <c r="BH99" s="23" t="n">
        <f aca="false">IF(AND(BB99=1,ISNUMBER(Y99)),1,0)</f>
        <v>0</v>
      </c>
      <c r="BI99" s="23" t="n">
        <f aca="false">IF(BH99=1,IF(COUNTIFS($AZ$2:$AZ$201,AZ99,$BH$2:$BH$201,1,$H$2:$H$201,"&lt;"&amp;H99)+COUNTIFS($AZ$2:$AZ$201,AZ99,$BH$2:$BH$201,1,$H$2:$H$201,H99,$BA$2:$BA$201,"&lt;"&amp;BA99)=0,1,0),0)</f>
        <v>0</v>
      </c>
      <c r="BJ99" s="23" t="str">
        <f aca="false">IF(AND(BI99=1,INT(N(H99))&lt;=Config!$B$6),Y99,"")</f>
        <v/>
      </c>
      <c r="BK99" s="23" t="str">
        <f aca="false">IF(AND(BI99=1,INT(N(H99))&lt;=Config!$B$7),Y99,"")</f>
        <v/>
      </c>
      <c r="BL99" s="23" t="str">
        <f aca="false">IF(AND(BI99=1,INT(N(H99))&lt;=Config!$B$8),Y99,"")</f>
        <v/>
      </c>
      <c r="BM99" s="23" t="str">
        <f aca="false">IF(AND(BI99=1,INT(N(H99))&lt;=Config!$B$5),Y99,"")</f>
        <v/>
      </c>
      <c r="BN99" s="23" t="n">
        <f aca="false">IF(CD99=1,IF(COUNTIFS($AZ$2:$AZ$201,AZ99,$CD$2:$CD$201,1,$H$2:$H$201,"&lt;"&amp;H99)+COUNTIFS($AZ$2:$AZ$201,AZ99,$CD$2:$CD$201,1,$H$2:$H$201,H99,$BA$2:$BA$201,"&lt;"&amp;BA99)=0,1,0),0)</f>
        <v>0</v>
      </c>
      <c r="BO99" s="23" t="n">
        <f aca="false">IF(AND(BB99=1,ISNUMBER(M99)),1,0)</f>
        <v>0</v>
      </c>
      <c r="BP99" s="23" t="n">
        <f aca="false">IF(BO99=1,IF(COUNTIFS($AZ$2:$AZ$201,AZ99,$BO$2:$BO$201,1,$H$2:$H$201,"&lt;"&amp;H99)+COUNTIFS($AZ$2:$AZ$201,AZ99,$BO$2:$BO$201,1,$H$2:$H$201,H99,$BA$2:$BA$201,"&lt;"&amp;BA99)=0,1,0),0)</f>
        <v>0</v>
      </c>
      <c r="BQ99" s="23" t="str">
        <f aca="false">IF(AND(BP99=1,INT(N(H99))&lt;=Config!$B$5),M99,"")</f>
        <v/>
      </c>
      <c r="BR99" s="23" t="n">
        <f aca="false">IF(AND(BB99=1,OR(TRIM(X99)&lt;&gt;"",ISNUMBER(Y99))),1,0)</f>
        <v>0</v>
      </c>
      <c r="BS99" s="23" t="n">
        <f aca="false">IF(BR99=1,IF(COUNTIFS($AZ$2:$AZ$201,AZ99,$BR$2:$BR$201,1,$H$2:$H$201,"&lt;"&amp;H99)+COUNTIFS($AZ$2:$AZ$201,AZ99,$BR$2:$BR$201,1,$H$2:$H$201,H99,$BA$2:$BA$201,"&lt;"&amp;BA99)=0,1,0),0)</f>
        <v>0</v>
      </c>
      <c r="BT99" s="23" t="str">
        <f aca="false">IF(BS99=1,AZ99,"")</f>
        <v/>
      </c>
      <c r="BU99" s="23" t="n">
        <f aca="false">IF(AND(BB99=1,W99="Y",TRIM(X99)=""),1,0)</f>
        <v>0</v>
      </c>
      <c r="BV99" s="23" t="str">
        <f aca="false">IF(BB99=1,AN99&amp;"","")</f>
        <v/>
      </c>
      <c r="BW99" s="23" t="str">
        <f aca="false">IF(BB99=1,AO99&amp;"","")</f>
        <v/>
      </c>
      <c r="BX99" s="23" t="str">
        <f aca="false">IF(BB99=1,AP99&amp;"","")</f>
        <v/>
      </c>
      <c r="BY99" s="23" t="str">
        <f aca="false">IF(AND(BB99=1,ISNUMBER(AV99),INT(N(H99))&lt;=Config!$B$5),AV99,"")</f>
        <v/>
      </c>
      <c r="BZ99" s="23" t="str">
        <f aca="false">IF(BB99=1,IF(COUNTIFS($A$2:$A$201,$A99,$DC$2:$DC$201,1,$AR$2:$AR$201,"Y")&gt;0,"Y","N"),"")</f>
        <v/>
      </c>
      <c r="CA99" s="23" t="n">
        <f aca="false">IF(AND(BB99=1,AR99="maybe"),1,0)</f>
        <v>0</v>
      </c>
      <c r="CB99" s="23" t="n">
        <f aca="false">IF(CA99=1,IF(COUNTIFS($AZ$2:$AZ$201,AZ99,$CA$2:$CA$201,1,$H$2:$H$201,"&lt;"&amp;H99)+COUNTIFS($AZ$2:$AZ$201,AZ99,$CA$2:$CA$201,1,$H$2:$H$201,H99,$BA$2:$BA$201,"&lt;"&amp;BA99)=0,1,0),0)</f>
        <v>0</v>
      </c>
      <c r="CC99" s="23" t="n">
        <f aca="false">IF(AND(BB99=1,AR99="Y"),IF(COUNTIFS($AZ$2:$AZ$201,AZ99,$AR$2:$AR$201,"Y",$BB$2:$BB$201,1,$H$2:$H$201,"&lt;"&amp;H99)+COUNTIFS($AZ$2:$AZ$201,AZ99,$AR$2:$AR$201,"Y",$BB$2:$BB$201,1,$H$2:$H$201,H99,$BA$2:$BA$201,"&lt;"&amp;BA99)=0,1,0),0)</f>
        <v>0</v>
      </c>
      <c r="CD99" s="23" t="n">
        <f aca="false">IF(AND(BH99=1,N(Y99)&gt;=Config!$B$15),1,0)</f>
        <v>0</v>
      </c>
      <c r="CE99" s="23" t="n">
        <f aca="false">IF(AND(BB99=1,AT99="Y"),1,0)</f>
        <v>0</v>
      </c>
      <c r="CF99" s="23" t="n">
        <f aca="false">IF(CE99=1,IF(COUNTIFS($AZ$2:$AZ$201,AZ99,$CE$2:$CE$201,1,$H$2:$H$201,"&lt;"&amp;H99)+COUNTIFS($AZ$2:$AZ$201,AZ99,$CE$2:$CE$201,1,$H$2:$H$201,H99,$BA$2:$BA$201,"&lt;"&amp;BA99)=0,1,0),0)</f>
        <v>0</v>
      </c>
      <c r="CG99" s="23" t="n">
        <f aca="false">IF(AND(BB99=1,G99="warm-intro"),1,0)</f>
        <v>0</v>
      </c>
      <c r="CH99" s="23" t="n">
        <f aca="false">IF(CG99=1,IF(COUNTIFS($AZ$2:$AZ$201,AZ99,$CG$2:$CG$201,1,$H$2:$H$201,"&lt;"&amp;H99)+COUNTIFS($AZ$2:$AZ$201,AZ99,$CG$2:$CG$201,1,$H$2:$H$201,H99,$BA$2:$BA$201,"&lt;"&amp;BA99)=0,1,0),0)</f>
        <v>0</v>
      </c>
      <c r="CI99" s="23" t="n">
        <f aca="false">IF(AND(BB99=1,Q99="Y"),1,0)</f>
        <v>0</v>
      </c>
      <c r="CJ99" s="23" t="n">
        <f aca="false">IF(CI99=1,IF(COUNTIFS($AZ$2:$AZ$201,AZ99,$CI$2:$CI$201,1,$H$2:$H$201,"&lt;"&amp;H99)+COUNTIFS($AZ$2:$AZ$201,AZ99,$CI$2:$CI$201,1,$H$2:$H$201,H99,$BA$2:$BA$201,"&lt;"&amp;BA99)=0,1,0),0)</f>
        <v>0</v>
      </c>
      <c r="CK99" s="23" t="n">
        <f aca="false">IF(AND(BB99=1,AF99="Y"),1,0)</f>
        <v>0</v>
      </c>
      <c r="CL99" s="23" t="n">
        <f aca="false">IF(CK99=1,IF(COUNTIFS($AZ$2:$AZ$201,AZ99,$CK$2:$CK$201,1,$H$2:$H$201,"&lt;"&amp;H99)+COUNTIFS($AZ$2:$AZ$201,AZ99,$CK$2:$CK$201,1,$H$2:$H$201,H99,$BA$2:$BA$201,"&lt;"&amp;BA99)=0,1,0),0)</f>
        <v>0</v>
      </c>
      <c r="CM99" s="23" t="n">
        <f aca="false">IF(AND(BB99=1,U99="Y"),1,0)</f>
        <v>0</v>
      </c>
      <c r="CN99" s="23" t="n">
        <f aca="false">IF(CM99=1,IF(COUNTIFS($AZ$2:$AZ$201,AZ99,$CM$2:$CM$201,1,$H$2:$H$201,"&lt;"&amp;H99)+COUNTIFS($AZ$2:$AZ$201,AZ99,$CM$2:$CM$201,1,$H$2:$H$201,H99,$BA$2:$BA$201,"&lt;"&amp;BA99)=0,1,0),0)</f>
        <v>0</v>
      </c>
      <c r="CO99" s="23" t="n">
        <f aca="false">IF(AND(BB99=1,L99="Y"),1,0)</f>
        <v>0</v>
      </c>
      <c r="CP99" s="23" t="n">
        <f aca="false">IF(CO99=1,IF(COUNTIFS($AZ$2:$AZ$201,AZ99,$CO$2:$CO$201,1,$H$2:$H$201,"&lt;"&amp;H99)+COUNTIFS($AZ$2:$AZ$201,AZ99,$CO$2:$CO$201,1,$H$2:$H$201,H99,$BA$2:$BA$201,"&lt;"&amp;BA99)=0,1,0),0)</f>
        <v>0</v>
      </c>
      <c r="CQ99" s="23" t="n">
        <f aca="false">IF(AND(BB99=1,ISNUMBER(O99)),1,0)</f>
        <v>0</v>
      </c>
      <c r="CR99" s="23" t="n">
        <f aca="false">IF(CQ99=1,IF(COUNTIFS($AZ$2:$AZ$201,AZ99,$CQ$2:$CQ$201,1,$H$2:$H$201,"&lt;"&amp;H99)+COUNTIFS($AZ$2:$AZ$201,AZ99,$CQ$2:$CQ$201,1,$H$2:$H$201,H99,$BA$2:$BA$201,"&lt;"&amp;BA99)=0,1,0),0)</f>
        <v>0</v>
      </c>
      <c r="CS99" s="23" t="str">
        <f aca="false">IF(AND(CR99=1,INT(N(H99))&lt;=Config!$B$5),O99,"")</f>
        <v/>
      </c>
      <c r="CT99" s="23" t="str">
        <f aca="false">IF(AND(BB99=1,INT(N(H99))&lt;=Config!$B$5),AG99&amp;"","")</f>
        <v/>
      </c>
      <c r="CU99" s="23" t="n">
        <f aca="false">IF(AND(BB99=1,AU99="Y"),1,0)</f>
        <v>0</v>
      </c>
      <c r="CV99" s="23" t="n">
        <f aca="false">IF(CU99=1,IF(COUNTIFS($AZ$2:$AZ$201,AZ99,$CU$2:$CU$201,1,$H$2:$H$201,"&lt;"&amp;H99)+COUNTIFS($AZ$2:$AZ$201,AZ99,$CU$2:$CU$201,1,$H$2:$H$201,H99,$BA$2:$BA$201,"&lt;"&amp;BA99)=0,1,0),0)</f>
        <v>0</v>
      </c>
      <c r="CW99" s="23" t="str">
        <f aca="false">IF(BB99=1,IFERROR(MATCH($A99,INDEX(Clay_Offices!$A$2:$FZ$601,0,Sync!$C$5),0),""),"")</f>
        <v/>
      </c>
      <c r="CX99" s="23" t="str">
        <f aca="false">IF(CW99="","",IFERROR(INDEX(Clay_Offices!$A$2:$FZ$601,CW99,Sync!$C$7)&amp;"",""))</f>
        <v/>
      </c>
      <c r="CY99" s="23" t="str">
        <f aca="false">IF(CX99="","",IFERROR(INDEX(Lists!$K$2:$K$15,MATCH(CX99,Lists!$J$2:$J$15,0)),""))</f>
        <v/>
      </c>
      <c r="CZ99" s="23" t="str">
        <f aca="false">IF(CW99="","",IFERROR(INDEX(Clay_Offices!$A$2:$FZ$601,CW99,Sync!$C$17)&amp;"",""))</f>
        <v/>
      </c>
      <c r="DA99" s="35" t="str">
        <f aca="false">IF(CW99="","",IFERROR(N(INDEX(Clay_Offices!$A$2:$FZ$601,CW99,Sync!$C$16)),0))</f>
        <v/>
      </c>
      <c r="DB99" s="23" t="n">
        <f aca="false">IF(AND(BB99=1,OR(AR99="Y",AR99="N",AR99="maybe")),1,0)</f>
        <v>0</v>
      </c>
      <c r="DC99" s="23" t="n">
        <f aca="false">IF(AND(DB99=1),IF(COUNTIFS($A$2:$A$201,$A99,$DB$2:$DB$201,1,$H$2:$H$201,"&gt;"&amp;H99)+COUNTIFS($A$2:$A$201,$A99,$DB$2:$DB$201,1,$H$2:$H$201,H99,$BA$2:$BA$201,"&gt;"&amp;BA99)=0,1,0),0)</f>
        <v>0</v>
      </c>
      <c r="DD99" s="23" t="n">
        <f aca="false">IF(AND(DB99=1,INT(N(H99))&lt;=Config!$B$6),IF(COUNTIFS($AZ$2:$AZ$201,AZ99,$DB$2:$DB$201,1,$H$2:$H$201,"&gt;"&amp;H99,$H$2:$H$201,"&lt;"&amp;(Config!$B$6+1))+COUNTIFS($AZ$2:$AZ$201,AZ99,$DB$2:$DB$201,1,$H$2:$H$201,H99,$BA$2:$BA$201,"&gt;"&amp;BA99)=0,1,0),0)</f>
        <v>0</v>
      </c>
      <c r="DE99" s="23" t="n">
        <f aca="false">IF(AND(DB99=1,INT(N(H99))&lt;=Config!$B$7),IF(COUNTIFS($AZ$2:$AZ$201,AZ99,$DB$2:$DB$201,1,$H$2:$H$201,"&gt;"&amp;H99,$H$2:$H$201,"&lt;"&amp;(Config!$B$7+1))+COUNTIFS($AZ$2:$AZ$201,AZ99,$DB$2:$DB$201,1,$H$2:$H$201,H99,$BA$2:$BA$201,"&gt;"&amp;BA99)=0,1,0),0)</f>
        <v>0</v>
      </c>
      <c r="DF99" s="23" t="n">
        <f aca="false">IF(AND(DB99=1,INT(N(H99))&lt;=Config!$B$8),IF(COUNTIFS($AZ$2:$AZ$201,AZ99,$DB$2:$DB$201,1,$H$2:$H$201,"&gt;"&amp;H99,$H$2:$H$201,"&lt;"&amp;(Config!$B$8+1))+COUNTIFS($AZ$2:$AZ$201,AZ99,$DB$2:$DB$201,1,$H$2:$H$201,H99,$BA$2:$BA$201,"&gt;"&amp;BA99)=0,1,0),0)</f>
        <v>0</v>
      </c>
      <c r="DG99" s="23" t="n">
        <f aca="false">IF(AND(DB99=1,INT(N(H99))&lt;=Config!$B$5),IF(COUNTIFS($AZ$2:$AZ$201,AZ99,$DB$2:$DB$201,1,$H$2:$H$201,"&gt;"&amp;H99,$H$2:$H$201,"&lt;"&amp;(Config!$B$5+1))+COUNTIFS($AZ$2:$AZ$201,AZ99,$DB$2:$DB$201,1,$H$2:$H$201,H99,$BA$2:$BA$201,"&gt;"&amp;BA99)=0,1,0),0)</f>
        <v>0</v>
      </c>
      <c r="DH99" s="23" t="n">
        <f aca="false">IF(BB99=1,IF(COUNTIFS($AZ$2:$AZ$201,AZ99,$DD$2:$DD$201,1,$AR$2:$AR$201,"Y")&gt;0,1,0),0)</f>
        <v>0</v>
      </c>
      <c r="DI99" s="23" t="n">
        <f aca="false">IF(BB99=1,IF(COUNTIFS($AZ$2:$AZ$201,AZ99,$DE$2:$DE$201,1,$AR$2:$AR$201,"Y")&gt;0,1,0),0)</f>
        <v>0</v>
      </c>
      <c r="DJ99" s="23" t="n">
        <f aca="false">IF(BB99=1,IF(COUNTIFS($AZ$2:$AZ$201,AZ99,$DF$2:$DF$201,1,$AR$2:$AR$201,"Y")&gt;0,1,0),0)</f>
        <v>0</v>
      </c>
      <c r="DK99" s="23" t="n">
        <f aca="false">IF(BB99=1,IF(COUNTIFS($AZ$2:$AZ$201,AZ99,$DG$2:$DG$201,1,$AR$2:$AR$201,"Y")&gt;0,1,0),0)</f>
        <v>0</v>
      </c>
      <c r="DL99" s="23" t="n">
        <f aca="false">IF(AND(BF99=1,INT(N(H99))&lt;=Config!$B$6,DH99=1,EI99=0),1,0)</f>
        <v>0</v>
      </c>
      <c r="DM99" s="23" t="n">
        <f aca="false">IF(AND(BF99=1,INT(N(H99))&lt;=Config!$B$7,DI99=1,EI99=0),1,0)</f>
        <v>0</v>
      </c>
      <c r="DN99" s="23" t="n">
        <f aca="false">IF(AND(BF99=1,INT(N(H99))&lt;=Config!$B$8,DJ99=1,EI99=0),1,0)</f>
        <v>0</v>
      </c>
      <c r="DO99" s="23" t="n">
        <f aca="false">IF(AND(BF99=1,INT(N(H99))&lt;=Config!$B$5,DK99=1,EI99=0),1,0)</f>
        <v>0</v>
      </c>
      <c r="DP99" s="23" t="n">
        <f aca="false">IF(AND(CC99=1,INT(N(H99))&lt;=Config!$B$6,DH99=1,EI99=0),1,0)</f>
        <v>0</v>
      </c>
      <c r="DQ99" s="23" t="n">
        <f aca="false">IF(AND(CC99=1,INT(N(H99))&lt;=Config!$B$7,DI99=1,EI99=0),1,0)</f>
        <v>0</v>
      </c>
      <c r="DR99" s="23" t="n">
        <f aca="false">IF(AND(CC99=1,INT(N(H99))&lt;=Config!$B$8,DJ99=1,EI99=0),1,0)</f>
        <v>0</v>
      </c>
      <c r="DS99" s="23" t="n">
        <f aca="false">IF(AND(CC99=1,INT(N(H99))&lt;=Config!$B$5,DK99=1,EI99=0),1,0)</f>
        <v>0</v>
      </c>
      <c r="DT99" s="23" t="n">
        <f aca="false">IF(AND(CC99=1,INT(N(H99))&lt;=Config!$B$6,DH99=0),1,0)</f>
        <v>0</v>
      </c>
      <c r="DU99" s="23" t="n">
        <f aca="false">IF(AND(CC99=1,INT(N(H99))&lt;=Config!$B$7,DI99=0),1,0)</f>
        <v>0</v>
      </c>
      <c r="DV99" s="23" t="n">
        <f aca="false">IF(AND(CC99=1,INT(N(H99))&lt;=Config!$B$8,DJ99=0),1,0)</f>
        <v>0</v>
      </c>
      <c r="DW99" s="23" t="n">
        <f aca="false">IF(AND(CC99=1,INT(N(H99))&lt;=Config!$B$5,DK99=0),1,0)</f>
        <v>0</v>
      </c>
      <c r="DX99" s="23" t="n">
        <f aca="false">IF(TRIM($A99)="",0,ISTEXT(M99)+ISTEXT(O99)+ISTEXT(Y99)+ISTEXT(Z99)+ISTEXT(AA99)+ISTEXT(AV99))</f>
        <v>0</v>
      </c>
      <c r="DY99" s="23" t="n">
        <f aca="false">IF(BB99=1,IF(H99&lt;&gt;INT(H99),1,0),0)</f>
        <v>0</v>
      </c>
      <c r="DZ99" s="23" t="str">
        <f aca="false">IF(TRIM($A99)="","",IF(TRIM(B99)="",SUBSTITUTE(SUBSTITUTE(SUBSTITUTE(SUBSTITUTE(SUBSTITUTE(SUBSTITUTE(LOWER(TRIM($A99)),"~",""),"*",""),"?",""),"&lt;",""),"&gt;",""),"=",""),SUBSTITUTE(SUBSTITUTE(SUBSTITUTE(SUBSTITUTE(SUBSTITUTE(SUBSTITUTE(LOWER(TRIM(B99)),"~",""),"*",""),"?",""),"&lt;",""),"&gt;",""),"=","")))</f>
        <v/>
      </c>
      <c r="EA99" s="23" t="str">
        <f aca="false">IF(CW99="","",IFERROR(IF(LEFT(LOWER(TRIM(INDEX(Clay_Offices!$A$2:$FZ$601,CW99,Sync!$C$19)&amp;"")),4)="grp-",SUBSTITUTE(SUBSTITUTE(SUBSTITUTE(SUBSTITUTE(SUBSTITUTE(SUBSTITUTE(LOWER(TRIM(INDEX(Clay_Offices!$A$2:$FZ$601,CW99,Sync!$C$19)&amp;"")),"~",""),"*",""),"?",""),"&lt;",""),"&gt;",""),"=",""),""),""))</f>
        <v/>
      </c>
      <c r="EB99" s="23" t="str">
        <f aca="false">IF(EA99&lt;&gt;"",DZ99,"")</f>
        <v/>
      </c>
      <c r="EC99" s="23" t="str">
        <f aca="false">IF(BC99=1,AZ99,"")</f>
        <v/>
      </c>
      <c r="ED99" s="23" t="str">
        <f aca="false">IF(TRIM($A99)="","",IFERROR(INDEX($A$2:$A$201,MATCH(AZ99,$EC$2:$EC$201,0))&amp;"",$A99&amp;""))</f>
        <v/>
      </c>
      <c r="EE99" s="23" t="n">
        <f aca="false">IF(BB99=1,IF(COUNTIFS($A$2:$A$201,$A99,$BB$2:$BB$201,1,$H$2:$H$201,"&lt;"&amp;H99)+COUNTIFS($A$2:$A$201,$A99,$BB$2:$BB$201,1,$H$2:$H$201,H99,$BA$2:$BA$201,"&lt;"&amp;BA99)=0,1,0),0)</f>
        <v>0</v>
      </c>
      <c r="EF99" s="23" t="n">
        <f aca="false">IF(BC99=1,IF(COUNTIFS($AZ$2:$AZ$201,AZ99,$EE$2:$EE$201,1)&gt;1,1,0),0)</f>
        <v>0</v>
      </c>
      <c r="EG99" s="23" t="n">
        <f aca="false">IF(AND(CQ99=1),IF(COUNTIFS($AZ$2:$AZ$201,AZ99,$CQ$2:$CQ$201,1,$H$2:$H$201,"&gt;"&amp;H99)+COUNTIFS($AZ$2:$AZ$201,AZ99,$CQ$2:$CQ$201,1,$H$2:$H$201,H99,$BA$2:$BA$201,"&gt;"&amp;BA99)=0,1,0),0)</f>
        <v>0</v>
      </c>
      <c r="EH99" s="23" t="str">
        <f aca="false">IF(BB99=1,IF(COUNTIFS($AZ$2:$AZ$201,AZ99,$EG$2:$EG$201,1)=0,"",SUMIFS($O$2:$O$201,$AZ$2:$AZ$201,AZ99,$EG$2:$EG$201,1)),"")</f>
        <v/>
      </c>
      <c r="EI99" s="23" t="n">
        <f aca="false">IF(AND(ISNUMBER(EH99),OR(N(EH99)&lt;Config!$B$31,N(EH99)&gt;Config!$B$33)),1,0)</f>
        <v>0</v>
      </c>
      <c r="EJ99" s="23" t="n">
        <f aca="false">IF(AND(ISNUMBER(EH99),N(EH99)&gt;=Config!$B$31,N(EH99)&lt;Config!$B$32),1,0)</f>
        <v>0</v>
      </c>
      <c r="EK99" s="23" t="n">
        <f aca="false">IF(AND(BF99=1,INT(N(H99))&lt;=Config!$B$6,DH99=1,EI99=1),1,0)</f>
        <v>0</v>
      </c>
      <c r="EL99" s="23" t="n">
        <f aca="false">IF(AND(BF99=1,INT(N(H99))&lt;=Config!$B$7,DI99=1,EI99=1),1,0)</f>
        <v>0</v>
      </c>
      <c r="EM99" s="23" t="n">
        <f aca="false">IF(AND(BF99=1,INT(N(H99))&lt;=Config!$B$8,DJ99=1,EI99=1),1,0)</f>
        <v>0</v>
      </c>
      <c r="EN99" s="23" t="n">
        <f aca="false">IF(AND(BF99=1,INT(N(H99))&lt;=Config!$B$5,DK99=1,EI99=1),1,0)</f>
        <v>0</v>
      </c>
      <c r="EO99" s="23" t="n">
        <f aca="false">IF(AND(DL99=1,EJ99=1),1,0)</f>
        <v>0</v>
      </c>
      <c r="EP99" s="23" t="n">
        <f aca="false">IF(AND(DM99=1,EJ99=1),1,0)</f>
        <v>0</v>
      </c>
      <c r="EQ99" s="23" t="n">
        <f aca="false">IF(AND(DN99=1,EJ99=1),1,0)</f>
        <v>0</v>
      </c>
      <c r="ER99" s="23" t="n">
        <f aca="false">IF(AND(DO99=1,EJ99=1),1,0)</f>
        <v>0</v>
      </c>
    </row>
    <row r="100" customFormat="false" ht="15" hidden="false" customHeight="false" outlineLevel="0" collapsed="false">
      <c r="G100" s="32"/>
      <c r="H100" s="33"/>
      <c r="I100" s="32"/>
      <c r="L100" s="32"/>
      <c r="Q100" s="32"/>
      <c r="U100" s="32"/>
      <c r="W100" s="32"/>
      <c r="AC100" s="32"/>
      <c r="AF100" s="32"/>
      <c r="AI100" s="32"/>
      <c r="AJ100" s="32"/>
      <c r="AN100" s="32"/>
      <c r="AR100" s="32"/>
      <c r="AT100" s="32"/>
      <c r="AU100" s="32"/>
      <c r="AW100" s="32"/>
      <c r="AY100" s="34" t="str">
        <f aca="false">IF(TRIM($A100)="","",IF(AND(LEFT($A100,6)="SAMPLE",Config!$B$19&lt;&gt;"Y"),"",IF(NOT(ISNUMBER(H100)),"call_date is blank or not a date",IF(Sync!$C$5="","Clay paste is empty or has no row_id column: paste the Clay export on Clay_Offices",IF(CW100="","row_id not found in the Clay paste: add the Clay row or fix the row_id",IF(AND(ISNUMBER(CY100),CY100&gt;=1,CY100&lt;=5),"Clay status is "&amp;CX100&amp;": set call_done or later",IF(AND(BD100=1,CZ100&lt;&gt;BZ100),"Clay yes_in_principle should be "&amp;BZ100,IF(AND(BD100=1,DA100&lt;&gt;H100),"Clay call_date should be "&amp;TEXT(H100,"yyyy-mm-dd"),""))))))))</f>
        <v/>
      </c>
      <c r="AZ100" s="23" t="str">
        <f aca="false">IF(TRIM($A100)="","",IF(TRIM(C100)&lt;&gt;"",SUBSTITUTE(SUBSTITUTE(SUBSTITUTE(SUBSTITUTE(SUBSTITUTE(SUBSTITUTE(LOWER(TRIM(C100)),"~",""),"*",""),"?",""),"&lt;",""),"&gt;",""),"=",""),IF(EA100&lt;&gt;"",EA100,IFERROR(INDEX($EA$2:$EA$201,MATCH(DZ100,$EB$2:$EB$201,0)),DZ100))))</f>
        <v/>
      </c>
      <c r="BA100" s="23" t="n">
        <f aca="false">ROW()</f>
        <v>100</v>
      </c>
      <c r="BB100" s="23" t="n">
        <f aca="false">IF(AND(TRIM($A100)&lt;&gt;"",ISNUMBER(H100)),IF(AND(LEFT($A100,6)="SAMPLE",Config!$B$19&lt;&gt;"Y"),0,1),0)</f>
        <v>0</v>
      </c>
      <c r="BC100" s="23" t="n">
        <f aca="false">IF(BB100=1,IF(COUNTIFS($AZ$2:$AZ$201,AZ100,$BB$2:$BB$201,1,$H$2:$H$201,"&lt;"&amp;H100)+COUNTIFS($AZ$2:$AZ$201,AZ100,$BB$2:$BB$201,1,$H$2:$H$201,H100,$BA$2:$BA$201,"&lt;"&amp;BA100)=0,1,0),0)</f>
        <v>0</v>
      </c>
      <c r="BD100" s="23" t="n">
        <f aca="false">IF(BB100=1,IF(COUNTIFS($A$2:$A$201,$A100,$BB$2:$BB$201,1,$H$2:$H$201,"&gt;"&amp;H100)+COUNTIFS($A$2:$A$201,$A100,$BB$2:$BB$201,1,$H$2:$H$201,H100,$BA$2:$BA$201,"&gt;"&amp;BA100)=0,1,0),0)</f>
        <v>0</v>
      </c>
      <c r="BE100" s="23" t="n">
        <f aca="false">IF(AND(BB100=1,AR100="Y",AC100="Y",TRIM(AH100)&lt;&gt;""),1,0)</f>
        <v>0</v>
      </c>
      <c r="BF100" s="23" t="n">
        <f aca="false">IF(BE100=1,IF(COUNTIFS($AZ$2:$AZ$201,AZ100,$BE$2:$BE$201,1,$H$2:$H$201,"&lt;"&amp;H100)+COUNTIFS($AZ$2:$AZ$201,AZ100,$BE$2:$BE$201,1,$H$2:$H$201,H100,$BA$2:$BA$201,"&lt;"&amp;BA100)=0,1,0),0)</f>
        <v>0</v>
      </c>
      <c r="BG100" s="23" t="n">
        <f aca="false">IF(AND(BB100=1,AR100="Y",BE100=0),1,0)</f>
        <v>0</v>
      </c>
      <c r="BH100" s="23" t="n">
        <f aca="false">IF(AND(BB100=1,ISNUMBER(Y100)),1,0)</f>
        <v>0</v>
      </c>
      <c r="BI100" s="23" t="n">
        <f aca="false">IF(BH100=1,IF(COUNTIFS($AZ$2:$AZ$201,AZ100,$BH$2:$BH$201,1,$H$2:$H$201,"&lt;"&amp;H100)+COUNTIFS($AZ$2:$AZ$201,AZ100,$BH$2:$BH$201,1,$H$2:$H$201,H100,$BA$2:$BA$201,"&lt;"&amp;BA100)=0,1,0),0)</f>
        <v>0</v>
      </c>
      <c r="BJ100" s="23" t="str">
        <f aca="false">IF(AND(BI100=1,INT(N(H100))&lt;=Config!$B$6),Y100,"")</f>
        <v/>
      </c>
      <c r="BK100" s="23" t="str">
        <f aca="false">IF(AND(BI100=1,INT(N(H100))&lt;=Config!$B$7),Y100,"")</f>
        <v/>
      </c>
      <c r="BL100" s="23" t="str">
        <f aca="false">IF(AND(BI100=1,INT(N(H100))&lt;=Config!$B$8),Y100,"")</f>
        <v/>
      </c>
      <c r="BM100" s="23" t="str">
        <f aca="false">IF(AND(BI100=1,INT(N(H100))&lt;=Config!$B$5),Y100,"")</f>
        <v/>
      </c>
      <c r="BN100" s="23" t="n">
        <f aca="false">IF(CD100=1,IF(COUNTIFS($AZ$2:$AZ$201,AZ100,$CD$2:$CD$201,1,$H$2:$H$201,"&lt;"&amp;H100)+COUNTIFS($AZ$2:$AZ$201,AZ100,$CD$2:$CD$201,1,$H$2:$H$201,H100,$BA$2:$BA$201,"&lt;"&amp;BA100)=0,1,0),0)</f>
        <v>0</v>
      </c>
      <c r="BO100" s="23" t="n">
        <f aca="false">IF(AND(BB100=1,ISNUMBER(M100)),1,0)</f>
        <v>0</v>
      </c>
      <c r="BP100" s="23" t="n">
        <f aca="false">IF(BO100=1,IF(COUNTIFS($AZ$2:$AZ$201,AZ100,$BO$2:$BO$201,1,$H$2:$H$201,"&lt;"&amp;H100)+COUNTIFS($AZ$2:$AZ$201,AZ100,$BO$2:$BO$201,1,$H$2:$H$201,H100,$BA$2:$BA$201,"&lt;"&amp;BA100)=0,1,0),0)</f>
        <v>0</v>
      </c>
      <c r="BQ100" s="23" t="str">
        <f aca="false">IF(AND(BP100=1,INT(N(H100))&lt;=Config!$B$5),M100,"")</f>
        <v/>
      </c>
      <c r="BR100" s="23" t="n">
        <f aca="false">IF(AND(BB100=1,OR(TRIM(X100)&lt;&gt;"",ISNUMBER(Y100))),1,0)</f>
        <v>0</v>
      </c>
      <c r="BS100" s="23" t="n">
        <f aca="false">IF(BR100=1,IF(COUNTIFS($AZ$2:$AZ$201,AZ100,$BR$2:$BR$201,1,$H$2:$H$201,"&lt;"&amp;H100)+COUNTIFS($AZ$2:$AZ$201,AZ100,$BR$2:$BR$201,1,$H$2:$H$201,H100,$BA$2:$BA$201,"&lt;"&amp;BA100)=0,1,0),0)</f>
        <v>0</v>
      </c>
      <c r="BT100" s="23" t="str">
        <f aca="false">IF(BS100=1,AZ100,"")</f>
        <v/>
      </c>
      <c r="BU100" s="23" t="n">
        <f aca="false">IF(AND(BB100=1,W100="Y",TRIM(X100)=""),1,0)</f>
        <v>0</v>
      </c>
      <c r="BV100" s="23" t="str">
        <f aca="false">IF(BB100=1,AN100&amp;"","")</f>
        <v/>
      </c>
      <c r="BW100" s="23" t="str">
        <f aca="false">IF(BB100=1,AO100&amp;"","")</f>
        <v/>
      </c>
      <c r="BX100" s="23" t="str">
        <f aca="false">IF(BB100=1,AP100&amp;"","")</f>
        <v/>
      </c>
      <c r="BY100" s="23" t="str">
        <f aca="false">IF(AND(BB100=1,ISNUMBER(AV100),INT(N(H100))&lt;=Config!$B$5),AV100,"")</f>
        <v/>
      </c>
      <c r="BZ100" s="23" t="str">
        <f aca="false">IF(BB100=1,IF(COUNTIFS($A$2:$A$201,$A100,$DC$2:$DC$201,1,$AR$2:$AR$201,"Y")&gt;0,"Y","N"),"")</f>
        <v/>
      </c>
      <c r="CA100" s="23" t="n">
        <f aca="false">IF(AND(BB100=1,AR100="maybe"),1,0)</f>
        <v>0</v>
      </c>
      <c r="CB100" s="23" t="n">
        <f aca="false">IF(CA100=1,IF(COUNTIFS($AZ$2:$AZ$201,AZ100,$CA$2:$CA$201,1,$H$2:$H$201,"&lt;"&amp;H100)+COUNTIFS($AZ$2:$AZ$201,AZ100,$CA$2:$CA$201,1,$H$2:$H$201,H100,$BA$2:$BA$201,"&lt;"&amp;BA100)=0,1,0),0)</f>
        <v>0</v>
      </c>
      <c r="CC100" s="23" t="n">
        <f aca="false">IF(AND(BB100=1,AR100="Y"),IF(COUNTIFS($AZ$2:$AZ$201,AZ100,$AR$2:$AR$201,"Y",$BB$2:$BB$201,1,$H$2:$H$201,"&lt;"&amp;H100)+COUNTIFS($AZ$2:$AZ$201,AZ100,$AR$2:$AR$201,"Y",$BB$2:$BB$201,1,$H$2:$H$201,H100,$BA$2:$BA$201,"&lt;"&amp;BA100)=0,1,0),0)</f>
        <v>0</v>
      </c>
      <c r="CD100" s="23" t="n">
        <f aca="false">IF(AND(BH100=1,N(Y100)&gt;=Config!$B$15),1,0)</f>
        <v>0</v>
      </c>
      <c r="CE100" s="23" t="n">
        <f aca="false">IF(AND(BB100=1,AT100="Y"),1,0)</f>
        <v>0</v>
      </c>
      <c r="CF100" s="23" t="n">
        <f aca="false">IF(CE100=1,IF(COUNTIFS($AZ$2:$AZ$201,AZ100,$CE$2:$CE$201,1,$H$2:$H$201,"&lt;"&amp;H100)+COUNTIFS($AZ$2:$AZ$201,AZ100,$CE$2:$CE$201,1,$H$2:$H$201,H100,$BA$2:$BA$201,"&lt;"&amp;BA100)=0,1,0),0)</f>
        <v>0</v>
      </c>
      <c r="CG100" s="23" t="n">
        <f aca="false">IF(AND(BB100=1,G100="warm-intro"),1,0)</f>
        <v>0</v>
      </c>
      <c r="CH100" s="23" t="n">
        <f aca="false">IF(CG100=1,IF(COUNTIFS($AZ$2:$AZ$201,AZ100,$CG$2:$CG$201,1,$H$2:$H$201,"&lt;"&amp;H100)+COUNTIFS($AZ$2:$AZ$201,AZ100,$CG$2:$CG$201,1,$H$2:$H$201,H100,$BA$2:$BA$201,"&lt;"&amp;BA100)=0,1,0),0)</f>
        <v>0</v>
      </c>
      <c r="CI100" s="23" t="n">
        <f aca="false">IF(AND(BB100=1,Q100="Y"),1,0)</f>
        <v>0</v>
      </c>
      <c r="CJ100" s="23" t="n">
        <f aca="false">IF(CI100=1,IF(COUNTIFS($AZ$2:$AZ$201,AZ100,$CI$2:$CI$201,1,$H$2:$H$201,"&lt;"&amp;H100)+COUNTIFS($AZ$2:$AZ$201,AZ100,$CI$2:$CI$201,1,$H$2:$H$201,H100,$BA$2:$BA$201,"&lt;"&amp;BA100)=0,1,0),0)</f>
        <v>0</v>
      </c>
      <c r="CK100" s="23" t="n">
        <f aca="false">IF(AND(BB100=1,AF100="Y"),1,0)</f>
        <v>0</v>
      </c>
      <c r="CL100" s="23" t="n">
        <f aca="false">IF(CK100=1,IF(COUNTIFS($AZ$2:$AZ$201,AZ100,$CK$2:$CK$201,1,$H$2:$H$201,"&lt;"&amp;H100)+COUNTIFS($AZ$2:$AZ$201,AZ100,$CK$2:$CK$201,1,$H$2:$H$201,H100,$BA$2:$BA$201,"&lt;"&amp;BA100)=0,1,0),0)</f>
        <v>0</v>
      </c>
      <c r="CM100" s="23" t="n">
        <f aca="false">IF(AND(BB100=1,U100="Y"),1,0)</f>
        <v>0</v>
      </c>
      <c r="CN100" s="23" t="n">
        <f aca="false">IF(CM100=1,IF(COUNTIFS($AZ$2:$AZ$201,AZ100,$CM$2:$CM$201,1,$H$2:$H$201,"&lt;"&amp;H100)+COUNTIFS($AZ$2:$AZ$201,AZ100,$CM$2:$CM$201,1,$H$2:$H$201,H100,$BA$2:$BA$201,"&lt;"&amp;BA100)=0,1,0),0)</f>
        <v>0</v>
      </c>
      <c r="CO100" s="23" t="n">
        <f aca="false">IF(AND(BB100=1,L100="Y"),1,0)</f>
        <v>0</v>
      </c>
      <c r="CP100" s="23" t="n">
        <f aca="false">IF(CO100=1,IF(COUNTIFS($AZ$2:$AZ$201,AZ100,$CO$2:$CO$201,1,$H$2:$H$201,"&lt;"&amp;H100)+COUNTIFS($AZ$2:$AZ$201,AZ100,$CO$2:$CO$201,1,$H$2:$H$201,H100,$BA$2:$BA$201,"&lt;"&amp;BA100)=0,1,0),0)</f>
        <v>0</v>
      </c>
      <c r="CQ100" s="23" t="n">
        <f aca="false">IF(AND(BB100=1,ISNUMBER(O100)),1,0)</f>
        <v>0</v>
      </c>
      <c r="CR100" s="23" t="n">
        <f aca="false">IF(CQ100=1,IF(COUNTIFS($AZ$2:$AZ$201,AZ100,$CQ$2:$CQ$201,1,$H$2:$H$201,"&lt;"&amp;H100)+COUNTIFS($AZ$2:$AZ$201,AZ100,$CQ$2:$CQ$201,1,$H$2:$H$201,H100,$BA$2:$BA$201,"&lt;"&amp;BA100)=0,1,0),0)</f>
        <v>0</v>
      </c>
      <c r="CS100" s="23" t="str">
        <f aca="false">IF(AND(CR100=1,INT(N(H100))&lt;=Config!$B$5),O100,"")</f>
        <v/>
      </c>
      <c r="CT100" s="23" t="str">
        <f aca="false">IF(AND(BB100=1,INT(N(H100))&lt;=Config!$B$5),AG100&amp;"","")</f>
        <v/>
      </c>
      <c r="CU100" s="23" t="n">
        <f aca="false">IF(AND(BB100=1,AU100="Y"),1,0)</f>
        <v>0</v>
      </c>
      <c r="CV100" s="23" t="n">
        <f aca="false">IF(CU100=1,IF(COUNTIFS($AZ$2:$AZ$201,AZ100,$CU$2:$CU$201,1,$H$2:$H$201,"&lt;"&amp;H100)+COUNTIFS($AZ$2:$AZ$201,AZ100,$CU$2:$CU$201,1,$H$2:$H$201,H100,$BA$2:$BA$201,"&lt;"&amp;BA100)=0,1,0),0)</f>
        <v>0</v>
      </c>
      <c r="CW100" s="23" t="str">
        <f aca="false">IF(BB100=1,IFERROR(MATCH($A100,INDEX(Clay_Offices!$A$2:$FZ$601,0,Sync!$C$5),0),""),"")</f>
        <v/>
      </c>
      <c r="CX100" s="23" t="str">
        <f aca="false">IF(CW100="","",IFERROR(INDEX(Clay_Offices!$A$2:$FZ$601,CW100,Sync!$C$7)&amp;"",""))</f>
        <v/>
      </c>
      <c r="CY100" s="23" t="str">
        <f aca="false">IF(CX100="","",IFERROR(INDEX(Lists!$K$2:$K$15,MATCH(CX100,Lists!$J$2:$J$15,0)),""))</f>
        <v/>
      </c>
      <c r="CZ100" s="23" t="str">
        <f aca="false">IF(CW100="","",IFERROR(INDEX(Clay_Offices!$A$2:$FZ$601,CW100,Sync!$C$17)&amp;"",""))</f>
        <v/>
      </c>
      <c r="DA100" s="35" t="str">
        <f aca="false">IF(CW100="","",IFERROR(N(INDEX(Clay_Offices!$A$2:$FZ$601,CW100,Sync!$C$16)),0))</f>
        <v/>
      </c>
      <c r="DB100" s="23" t="n">
        <f aca="false">IF(AND(BB100=1,OR(AR100="Y",AR100="N",AR100="maybe")),1,0)</f>
        <v>0</v>
      </c>
      <c r="DC100" s="23" t="n">
        <f aca="false">IF(AND(DB100=1),IF(COUNTIFS($A$2:$A$201,$A100,$DB$2:$DB$201,1,$H$2:$H$201,"&gt;"&amp;H100)+COUNTIFS($A$2:$A$201,$A100,$DB$2:$DB$201,1,$H$2:$H$201,H100,$BA$2:$BA$201,"&gt;"&amp;BA100)=0,1,0),0)</f>
        <v>0</v>
      </c>
      <c r="DD100" s="23" t="n">
        <f aca="false">IF(AND(DB100=1,INT(N(H100))&lt;=Config!$B$6),IF(COUNTIFS($AZ$2:$AZ$201,AZ100,$DB$2:$DB$201,1,$H$2:$H$201,"&gt;"&amp;H100,$H$2:$H$201,"&lt;"&amp;(Config!$B$6+1))+COUNTIFS($AZ$2:$AZ$201,AZ100,$DB$2:$DB$201,1,$H$2:$H$201,H100,$BA$2:$BA$201,"&gt;"&amp;BA100)=0,1,0),0)</f>
        <v>0</v>
      </c>
      <c r="DE100" s="23" t="n">
        <f aca="false">IF(AND(DB100=1,INT(N(H100))&lt;=Config!$B$7),IF(COUNTIFS($AZ$2:$AZ$201,AZ100,$DB$2:$DB$201,1,$H$2:$H$201,"&gt;"&amp;H100,$H$2:$H$201,"&lt;"&amp;(Config!$B$7+1))+COUNTIFS($AZ$2:$AZ$201,AZ100,$DB$2:$DB$201,1,$H$2:$H$201,H100,$BA$2:$BA$201,"&gt;"&amp;BA100)=0,1,0),0)</f>
        <v>0</v>
      </c>
      <c r="DF100" s="23" t="n">
        <f aca="false">IF(AND(DB100=1,INT(N(H100))&lt;=Config!$B$8),IF(COUNTIFS($AZ$2:$AZ$201,AZ100,$DB$2:$DB$201,1,$H$2:$H$201,"&gt;"&amp;H100,$H$2:$H$201,"&lt;"&amp;(Config!$B$8+1))+COUNTIFS($AZ$2:$AZ$201,AZ100,$DB$2:$DB$201,1,$H$2:$H$201,H100,$BA$2:$BA$201,"&gt;"&amp;BA100)=0,1,0),0)</f>
        <v>0</v>
      </c>
      <c r="DG100" s="23" t="n">
        <f aca="false">IF(AND(DB100=1,INT(N(H100))&lt;=Config!$B$5),IF(COUNTIFS($AZ$2:$AZ$201,AZ100,$DB$2:$DB$201,1,$H$2:$H$201,"&gt;"&amp;H100,$H$2:$H$201,"&lt;"&amp;(Config!$B$5+1))+COUNTIFS($AZ$2:$AZ$201,AZ100,$DB$2:$DB$201,1,$H$2:$H$201,H100,$BA$2:$BA$201,"&gt;"&amp;BA100)=0,1,0),0)</f>
        <v>0</v>
      </c>
      <c r="DH100" s="23" t="n">
        <f aca="false">IF(BB100=1,IF(COUNTIFS($AZ$2:$AZ$201,AZ100,$DD$2:$DD$201,1,$AR$2:$AR$201,"Y")&gt;0,1,0),0)</f>
        <v>0</v>
      </c>
      <c r="DI100" s="23" t="n">
        <f aca="false">IF(BB100=1,IF(COUNTIFS($AZ$2:$AZ$201,AZ100,$DE$2:$DE$201,1,$AR$2:$AR$201,"Y")&gt;0,1,0),0)</f>
        <v>0</v>
      </c>
      <c r="DJ100" s="23" t="n">
        <f aca="false">IF(BB100=1,IF(COUNTIFS($AZ$2:$AZ$201,AZ100,$DF$2:$DF$201,1,$AR$2:$AR$201,"Y")&gt;0,1,0),0)</f>
        <v>0</v>
      </c>
      <c r="DK100" s="23" t="n">
        <f aca="false">IF(BB100=1,IF(COUNTIFS($AZ$2:$AZ$201,AZ100,$DG$2:$DG$201,1,$AR$2:$AR$201,"Y")&gt;0,1,0),0)</f>
        <v>0</v>
      </c>
      <c r="DL100" s="23" t="n">
        <f aca="false">IF(AND(BF100=1,INT(N(H100))&lt;=Config!$B$6,DH100=1,EI100=0),1,0)</f>
        <v>0</v>
      </c>
      <c r="DM100" s="23" t="n">
        <f aca="false">IF(AND(BF100=1,INT(N(H100))&lt;=Config!$B$7,DI100=1,EI100=0),1,0)</f>
        <v>0</v>
      </c>
      <c r="DN100" s="23" t="n">
        <f aca="false">IF(AND(BF100=1,INT(N(H100))&lt;=Config!$B$8,DJ100=1,EI100=0),1,0)</f>
        <v>0</v>
      </c>
      <c r="DO100" s="23" t="n">
        <f aca="false">IF(AND(BF100=1,INT(N(H100))&lt;=Config!$B$5,DK100=1,EI100=0),1,0)</f>
        <v>0</v>
      </c>
      <c r="DP100" s="23" t="n">
        <f aca="false">IF(AND(CC100=1,INT(N(H100))&lt;=Config!$B$6,DH100=1,EI100=0),1,0)</f>
        <v>0</v>
      </c>
      <c r="DQ100" s="23" t="n">
        <f aca="false">IF(AND(CC100=1,INT(N(H100))&lt;=Config!$B$7,DI100=1,EI100=0),1,0)</f>
        <v>0</v>
      </c>
      <c r="DR100" s="23" t="n">
        <f aca="false">IF(AND(CC100=1,INT(N(H100))&lt;=Config!$B$8,DJ100=1,EI100=0),1,0)</f>
        <v>0</v>
      </c>
      <c r="DS100" s="23" t="n">
        <f aca="false">IF(AND(CC100=1,INT(N(H100))&lt;=Config!$B$5,DK100=1,EI100=0),1,0)</f>
        <v>0</v>
      </c>
      <c r="DT100" s="23" t="n">
        <f aca="false">IF(AND(CC100=1,INT(N(H100))&lt;=Config!$B$6,DH100=0),1,0)</f>
        <v>0</v>
      </c>
      <c r="DU100" s="23" t="n">
        <f aca="false">IF(AND(CC100=1,INT(N(H100))&lt;=Config!$B$7,DI100=0),1,0)</f>
        <v>0</v>
      </c>
      <c r="DV100" s="23" t="n">
        <f aca="false">IF(AND(CC100=1,INT(N(H100))&lt;=Config!$B$8,DJ100=0),1,0)</f>
        <v>0</v>
      </c>
      <c r="DW100" s="23" t="n">
        <f aca="false">IF(AND(CC100=1,INT(N(H100))&lt;=Config!$B$5,DK100=0),1,0)</f>
        <v>0</v>
      </c>
      <c r="DX100" s="23" t="n">
        <f aca="false">IF(TRIM($A100)="",0,ISTEXT(M100)+ISTEXT(O100)+ISTEXT(Y100)+ISTEXT(Z100)+ISTEXT(AA100)+ISTEXT(AV100))</f>
        <v>0</v>
      </c>
      <c r="DY100" s="23" t="n">
        <f aca="false">IF(BB100=1,IF(H100&lt;&gt;INT(H100),1,0),0)</f>
        <v>0</v>
      </c>
      <c r="DZ100" s="23" t="str">
        <f aca="false">IF(TRIM($A100)="","",IF(TRIM(B100)="",SUBSTITUTE(SUBSTITUTE(SUBSTITUTE(SUBSTITUTE(SUBSTITUTE(SUBSTITUTE(LOWER(TRIM($A100)),"~",""),"*",""),"?",""),"&lt;",""),"&gt;",""),"=",""),SUBSTITUTE(SUBSTITUTE(SUBSTITUTE(SUBSTITUTE(SUBSTITUTE(SUBSTITUTE(LOWER(TRIM(B100)),"~",""),"*",""),"?",""),"&lt;",""),"&gt;",""),"=","")))</f>
        <v/>
      </c>
      <c r="EA100" s="23" t="str">
        <f aca="false">IF(CW100="","",IFERROR(IF(LEFT(LOWER(TRIM(INDEX(Clay_Offices!$A$2:$FZ$601,CW100,Sync!$C$19)&amp;"")),4)="grp-",SUBSTITUTE(SUBSTITUTE(SUBSTITUTE(SUBSTITUTE(SUBSTITUTE(SUBSTITUTE(LOWER(TRIM(INDEX(Clay_Offices!$A$2:$FZ$601,CW100,Sync!$C$19)&amp;"")),"~",""),"*",""),"?",""),"&lt;",""),"&gt;",""),"=",""),""),""))</f>
        <v/>
      </c>
      <c r="EB100" s="23" t="str">
        <f aca="false">IF(EA100&lt;&gt;"",DZ100,"")</f>
        <v/>
      </c>
      <c r="EC100" s="23" t="str">
        <f aca="false">IF(BC100=1,AZ100,"")</f>
        <v/>
      </c>
      <c r="ED100" s="23" t="str">
        <f aca="false">IF(TRIM($A100)="","",IFERROR(INDEX($A$2:$A$201,MATCH(AZ100,$EC$2:$EC$201,0))&amp;"",$A100&amp;""))</f>
        <v/>
      </c>
      <c r="EE100" s="23" t="n">
        <f aca="false">IF(BB100=1,IF(COUNTIFS($A$2:$A$201,$A100,$BB$2:$BB$201,1,$H$2:$H$201,"&lt;"&amp;H100)+COUNTIFS($A$2:$A$201,$A100,$BB$2:$BB$201,1,$H$2:$H$201,H100,$BA$2:$BA$201,"&lt;"&amp;BA100)=0,1,0),0)</f>
        <v>0</v>
      </c>
      <c r="EF100" s="23" t="n">
        <f aca="false">IF(BC100=1,IF(COUNTIFS($AZ$2:$AZ$201,AZ100,$EE$2:$EE$201,1)&gt;1,1,0),0)</f>
        <v>0</v>
      </c>
      <c r="EG100" s="23" t="n">
        <f aca="false">IF(AND(CQ100=1),IF(COUNTIFS($AZ$2:$AZ$201,AZ100,$CQ$2:$CQ$201,1,$H$2:$H$201,"&gt;"&amp;H100)+COUNTIFS($AZ$2:$AZ$201,AZ100,$CQ$2:$CQ$201,1,$H$2:$H$201,H100,$BA$2:$BA$201,"&gt;"&amp;BA100)=0,1,0),0)</f>
        <v>0</v>
      </c>
      <c r="EH100" s="23" t="str">
        <f aca="false">IF(BB100=1,IF(COUNTIFS($AZ$2:$AZ$201,AZ100,$EG$2:$EG$201,1)=0,"",SUMIFS($O$2:$O$201,$AZ$2:$AZ$201,AZ100,$EG$2:$EG$201,1)),"")</f>
        <v/>
      </c>
      <c r="EI100" s="23" t="n">
        <f aca="false">IF(AND(ISNUMBER(EH100),OR(N(EH100)&lt;Config!$B$31,N(EH100)&gt;Config!$B$33)),1,0)</f>
        <v>0</v>
      </c>
      <c r="EJ100" s="23" t="n">
        <f aca="false">IF(AND(ISNUMBER(EH100),N(EH100)&gt;=Config!$B$31,N(EH100)&lt;Config!$B$32),1,0)</f>
        <v>0</v>
      </c>
      <c r="EK100" s="23" t="n">
        <f aca="false">IF(AND(BF100=1,INT(N(H100))&lt;=Config!$B$6,DH100=1,EI100=1),1,0)</f>
        <v>0</v>
      </c>
      <c r="EL100" s="23" t="n">
        <f aca="false">IF(AND(BF100=1,INT(N(H100))&lt;=Config!$B$7,DI100=1,EI100=1),1,0)</f>
        <v>0</v>
      </c>
      <c r="EM100" s="23" t="n">
        <f aca="false">IF(AND(BF100=1,INT(N(H100))&lt;=Config!$B$8,DJ100=1,EI100=1),1,0)</f>
        <v>0</v>
      </c>
      <c r="EN100" s="23" t="n">
        <f aca="false">IF(AND(BF100=1,INT(N(H100))&lt;=Config!$B$5,DK100=1,EI100=1),1,0)</f>
        <v>0</v>
      </c>
      <c r="EO100" s="23" t="n">
        <f aca="false">IF(AND(DL100=1,EJ100=1),1,0)</f>
        <v>0</v>
      </c>
      <c r="EP100" s="23" t="n">
        <f aca="false">IF(AND(DM100=1,EJ100=1),1,0)</f>
        <v>0</v>
      </c>
      <c r="EQ100" s="23" t="n">
        <f aca="false">IF(AND(DN100=1,EJ100=1),1,0)</f>
        <v>0</v>
      </c>
      <c r="ER100" s="23" t="n">
        <f aca="false">IF(AND(DO100=1,EJ100=1),1,0)</f>
        <v>0</v>
      </c>
    </row>
    <row r="101" customFormat="false" ht="15" hidden="false" customHeight="false" outlineLevel="0" collapsed="false">
      <c r="G101" s="32"/>
      <c r="H101" s="33"/>
      <c r="I101" s="32"/>
      <c r="L101" s="32"/>
      <c r="Q101" s="32"/>
      <c r="U101" s="32"/>
      <c r="W101" s="32"/>
      <c r="AC101" s="32"/>
      <c r="AF101" s="32"/>
      <c r="AI101" s="32"/>
      <c r="AJ101" s="32"/>
      <c r="AN101" s="32"/>
      <c r="AR101" s="32"/>
      <c r="AT101" s="32"/>
      <c r="AU101" s="32"/>
      <c r="AW101" s="32"/>
      <c r="AY101" s="34" t="str">
        <f aca="false">IF(TRIM($A101)="","",IF(AND(LEFT($A101,6)="SAMPLE",Config!$B$19&lt;&gt;"Y"),"",IF(NOT(ISNUMBER(H101)),"call_date is blank or not a date",IF(Sync!$C$5="","Clay paste is empty or has no row_id column: paste the Clay export on Clay_Offices",IF(CW101="","row_id not found in the Clay paste: add the Clay row or fix the row_id",IF(AND(ISNUMBER(CY101),CY101&gt;=1,CY101&lt;=5),"Clay status is "&amp;CX101&amp;": set call_done or later",IF(AND(BD101=1,CZ101&lt;&gt;BZ101),"Clay yes_in_principle should be "&amp;BZ101,IF(AND(BD101=1,DA101&lt;&gt;H101),"Clay call_date should be "&amp;TEXT(H101,"yyyy-mm-dd"),""))))))))</f>
        <v/>
      </c>
      <c r="AZ101" s="23" t="str">
        <f aca="false">IF(TRIM($A101)="","",IF(TRIM(C101)&lt;&gt;"",SUBSTITUTE(SUBSTITUTE(SUBSTITUTE(SUBSTITUTE(SUBSTITUTE(SUBSTITUTE(LOWER(TRIM(C101)),"~",""),"*",""),"?",""),"&lt;",""),"&gt;",""),"=",""),IF(EA101&lt;&gt;"",EA101,IFERROR(INDEX($EA$2:$EA$201,MATCH(DZ101,$EB$2:$EB$201,0)),DZ101))))</f>
        <v/>
      </c>
      <c r="BA101" s="23" t="n">
        <f aca="false">ROW()</f>
        <v>101</v>
      </c>
      <c r="BB101" s="23" t="n">
        <f aca="false">IF(AND(TRIM($A101)&lt;&gt;"",ISNUMBER(H101)),IF(AND(LEFT($A101,6)="SAMPLE",Config!$B$19&lt;&gt;"Y"),0,1),0)</f>
        <v>0</v>
      </c>
      <c r="BC101" s="23" t="n">
        <f aca="false">IF(BB101=1,IF(COUNTIFS($AZ$2:$AZ$201,AZ101,$BB$2:$BB$201,1,$H$2:$H$201,"&lt;"&amp;H101)+COUNTIFS($AZ$2:$AZ$201,AZ101,$BB$2:$BB$201,1,$H$2:$H$201,H101,$BA$2:$BA$201,"&lt;"&amp;BA101)=0,1,0),0)</f>
        <v>0</v>
      </c>
      <c r="BD101" s="23" t="n">
        <f aca="false">IF(BB101=1,IF(COUNTIFS($A$2:$A$201,$A101,$BB$2:$BB$201,1,$H$2:$H$201,"&gt;"&amp;H101)+COUNTIFS($A$2:$A$201,$A101,$BB$2:$BB$201,1,$H$2:$H$201,H101,$BA$2:$BA$201,"&gt;"&amp;BA101)=0,1,0),0)</f>
        <v>0</v>
      </c>
      <c r="BE101" s="23" t="n">
        <f aca="false">IF(AND(BB101=1,AR101="Y",AC101="Y",TRIM(AH101)&lt;&gt;""),1,0)</f>
        <v>0</v>
      </c>
      <c r="BF101" s="23" t="n">
        <f aca="false">IF(BE101=1,IF(COUNTIFS($AZ$2:$AZ$201,AZ101,$BE$2:$BE$201,1,$H$2:$H$201,"&lt;"&amp;H101)+COUNTIFS($AZ$2:$AZ$201,AZ101,$BE$2:$BE$201,1,$H$2:$H$201,H101,$BA$2:$BA$201,"&lt;"&amp;BA101)=0,1,0),0)</f>
        <v>0</v>
      </c>
      <c r="BG101" s="23" t="n">
        <f aca="false">IF(AND(BB101=1,AR101="Y",BE101=0),1,0)</f>
        <v>0</v>
      </c>
      <c r="BH101" s="23" t="n">
        <f aca="false">IF(AND(BB101=1,ISNUMBER(Y101)),1,0)</f>
        <v>0</v>
      </c>
      <c r="BI101" s="23" t="n">
        <f aca="false">IF(BH101=1,IF(COUNTIFS($AZ$2:$AZ$201,AZ101,$BH$2:$BH$201,1,$H$2:$H$201,"&lt;"&amp;H101)+COUNTIFS($AZ$2:$AZ$201,AZ101,$BH$2:$BH$201,1,$H$2:$H$201,H101,$BA$2:$BA$201,"&lt;"&amp;BA101)=0,1,0),0)</f>
        <v>0</v>
      </c>
      <c r="BJ101" s="23" t="str">
        <f aca="false">IF(AND(BI101=1,INT(N(H101))&lt;=Config!$B$6),Y101,"")</f>
        <v/>
      </c>
      <c r="BK101" s="23" t="str">
        <f aca="false">IF(AND(BI101=1,INT(N(H101))&lt;=Config!$B$7),Y101,"")</f>
        <v/>
      </c>
      <c r="BL101" s="23" t="str">
        <f aca="false">IF(AND(BI101=1,INT(N(H101))&lt;=Config!$B$8),Y101,"")</f>
        <v/>
      </c>
      <c r="BM101" s="23" t="str">
        <f aca="false">IF(AND(BI101=1,INT(N(H101))&lt;=Config!$B$5),Y101,"")</f>
        <v/>
      </c>
      <c r="BN101" s="23" t="n">
        <f aca="false">IF(CD101=1,IF(COUNTIFS($AZ$2:$AZ$201,AZ101,$CD$2:$CD$201,1,$H$2:$H$201,"&lt;"&amp;H101)+COUNTIFS($AZ$2:$AZ$201,AZ101,$CD$2:$CD$201,1,$H$2:$H$201,H101,$BA$2:$BA$201,"&lt;"&amp;BA101)=0,1,0),0)</f>
        <v>0</v>
      </c>
      <c r="BO101" s="23" t="n">
        <f aca="false">IF(AND(BB101=1,ISNUMBER(M101)),1,0)</f>
        <v>0</v>
      </c>
      <c r="BP101" s="23" t="n">
        <f aca="false">IF(BO101=1,IF(COUNTIFS($AZ$2:$AZ$201,AZ101,$BO$2:$BO$201,1,$H$2:$H$201,"&lt;"&amp;H101)+COUNTIFS($AZ$2:$AZ$201,AZ101,$BO$2:$BO$201,1,$H$2:$H$201,H101,$BA$2:$BA$201,"&lt;"&amp;BA101)=0,1,0),0)</f>
        <v>0</v>
      </c>
      <c r="BQ101" s="23" t="str">
        <f aca="false">IF(AND(BP101=1,INT(N(H101))&lt;=Config!$B$5),M101,"")</f>
        <v/>
      </c>
      <c r="BR101" s="23" t="n">
        <f aca="false">IF(AND(BB101=1,OR(TRIM(X101)&lt;&gt;"",ISNUMBER(Y101))),1,0)</f>
        <v>0</v>
      </c>
      <c r="BS101" s="23" t="n">
        <f aca="false">IF(BR101=1,IF(COUNTIFS($AZ$2:$AZ$201,AZ101,$BR$2:$BR$201,1,$H$2:$H$201,"&lt;"&amp;H101)+COUNTIFS($AZ$2:$AZ$201,AZ101,$BR$2:$BR$201,1,$H$2:$H$201,H101,$BA$2:$BA$201,"&lt;"&amp;BA101)=0,1,0),0)</f>
        <v>0</v>
      </c>
      <c r="BT101" s="23" t="str">
        <f aca="false">IF(BS101=1,AZ101,"")</f>
        <v/>
      </c>
      <c r="BU101" s="23" t="n">
        <f aca="false">IF(AND(BB101=1,W101="Y",TRIM(X101)=""),1,0)</f>
        <v>0</v>
      </c>
      <c r="BV101" s="23" t="str">
        <f aca="false">IF(BB101=1,AN101&amp;"","")</f>
        <v/>
      </c>
      <c r="BW101" s="23" t="str">
        <f aca="false">IF(BB101=1,AO101&amp;"","")</f>
        <v/>
      </c>
      <c r="BX101" s="23" t="str">
        <f aca="false">IF(BB101=1,AP101&amp;"","")</f>
        <v/>
      </c>
      <c r="BY101" s="23" t="str">
        <f aca="false">IF(AND(BB101=1,ISNUMBER(AV101),INT(N(H101))&lt;=Config!$B$5),AV101,"")</f>
        <v/>
      </c>
      <c r="BZ101" s="23" t="str">
        <f aca="false">IF(BB101=1,IF(COUNTIFS($A$2:$A$201,$A101,$DC$2:$DC$201,1,$AR$2:$AR$201,"Y")&gt;0,"Y","N"),"")</f>
        <v/>
      </c>
      <c r="CA101" s="23" t="n">
        <f aca="false">IF(AND(BB101=1,AR101="maybe"),1,0)</f>
        <v>0</v>
      </c>
      <c r="CB101" s="23" t="n">
        <f aca="false">IF(CA101=1,IF(COUNTIFS($AZ$2:$AZ$201,AZ101,$CA$2:$CA$201,1,$H$2:$H$201,"&lt;"&amp;H101)+COUNTIFS($AZ$2:$AZ$201,AZ101,$CA$2:$CA$201,1,$H$2:$H$201,H101,$BA$2:$BA$201,"&lt;"&amp;BA101)=0,1,0),0)</f>
        <v>0</v>
      </c>
      <c r="CC101" s="23" t="n">
        <f aca="false">IF(AND(BB101=1,AR101="Y"),IF(COUNTIFS($AZ$2:$AZ$201,AZ101,$AR$2:$AR$201,"Y",$BB$2:$BB$201,1,$H$2:$H$201,"&lt;"&amp;H101)+COUNTIFS($AZ$2:$AZ$201,AZ101,$AR$2:$AR$201,"Y",$BB$2:$BB$201,1,$H$2:$H$201,H101,$BA$2:$BA$201,"&lt;"&amp;BA101)=0,1,0),0)</f>
        <v>0</v>
      </c>
      <c r="CD101" s="23" t="n">
        <f aca="false">IF(AND(BH101=1,N(Y101)&gt;=Config!$B$15),1,0)</f>
        <v>0</v>
      </c>
      <c r="CE101" s="23" t="n">
        <f aca="false">IF(AND(BB101=1,AT101="Y"),1,0)</f>
        <v>0</v>
      </c>
      <c r="CF101" s="23" t="n">
        <f aca="false">IF(CE101=1,IF(COUNTIFS($AZ$2:$AZ$201,AZ101,$CE$2:$CE$201,1,$H$2:$H$201,"&lt;"&amp;H101)+COUNTIFS($AZ$2:$AZ$201,AZ101,$CE$2:$CE$201,1,$H$2:$H$201,H101,$BA$2:$BA$201,"&lt;"&amp;BA101)=0,1,0),0)</f>
        <v>0</v>
      </c>
      <c r="CG101" s="23" t="n">
        <f aca="false">IF(AND(BB101=1,G101="warm-intro"),1,0)</f>
        <v>0</v>
      </c>
      <c r="CH101" s="23" t="n">
        <f aca="false">IF(CG101=1,IF(COUNTIFS($AZ$2:$AZ$201,AZ101,$CG$2:$CG$201,1,$H$2:$H$201,"&lt;"&amp;H101)+COUNTIFS($AZ$2:$AZ$201,AZ101,$CG$2:$CG$201,1,$H$2:$H$201,H101,$BA$2:$BA$201,"&lt;"&amp;BA101)=0,1,0),0)</f>
        <v>0</v>
      </c>
      <c r="CI101" s="23" t="n">
        <f aca="false">IF(AND(BB101=1,Q101="Y"),1,0)</f>
        <v>0</v>
      </c>
      <c r="CJ101" s="23" t="n">
        <f aca="false">IF(CI101=1,IF(COUNTIFS($AZ$2:$AZ$201,AZ101,$CI$2:$CI$201,1,$H$2:$H$201,"&lt;"&amp;H101)+COUNTIFS($AZ$2:$AZ$201,AZ101,$CI$2:$CI$201,1,$H$2:$H$201,H101,$BA$2:$BA$201,"&lt;"&amp;BA101)=0,1,0),0)</f>
        <v>0</v>
      </c>
      <c r="CK101" s="23" t="n">
        <f aca="false">IF(AND(BB101=1,AF101="Y"),1,0)</f>
        <v>0</v>
      </c>
      <c r="CL101" s="23" t="n">
        <f aca="false">IF(CK101=1,IF(COUNTIFS($AZ$2:$AZ$201,AZ101,$CK$2:$CK$201,1,$H$2:$H$201,"&lt;"&amp;H101)+COUNTIFS($AZ$2:$AZ$201,AZ101,$CK$2:$CK$201,1,$H$2:$H$201,H101,$BA$2:$BA$201,"&lt;"&amp;BA101)=0,1,0),0)</f>
        <v>0</v>
      </c>
      <c r="CM101" s="23" t="n">
        <f aca="false">IF(AND(BB101=1,U101="Y"),1,0)</f>
        <v>0</v>
      </c>
      <c r="CN101" s="23" t="n">
        <f aca="false">IF(CM101=1,IF(COUNTIFS($AZ$2:$AZ$201,AZ101,$CM$2:$CM$201,1,$H$2:$H$201,"&lt;"&amp;H101)+COUNTIFS($AZ$2:$AZ$201,AZ101,$CM$2:$CM$201,1,$H$2:$H$201,H101,$BA$2:$BA$201,"&lt;"&amp;BA101)=0,1,0),0)</f>
        <v>0</v>
      </c>
      <c r="CO101" s="23" t="n">
        <f aca="false">IF(AND(BB101=1,L101="Y"),1,0)</f>
        <v>0</v>
      </c>
      <c r="CP101" s="23" t="n">
        <f aca="false">IF(CO101=1,IF(COUNTIFS($AZ$2:$AZ$201,AZ101,$CO$2:$CO$201,1,$H$2:$H$201,"&lt;"&amp;H101)+COUNTIFS($AZ$2:$AZ$201,AZ101,$CO$2:$CO$201,1,$H$2:$H$201,H101,$BA$2:$BA$201,"&lt;"&amp;BA101)=0,1,0),0)</f>
        <v>0</v>
      </c>
      <c r="CQ101" s="23" t="n">
        <f aca="false">IF(AND(BB101=1,ISNUMBER(O101)),1,0)</f>
        <v>0</v>
      </c>
      <c r="CR101" s="23" t="n">
        <f aca="false">IF(CQ101=1,IF(COUNTIFS($AZ$2:$AZ$201,AZ101,$CQ$2:$CQ$201,1,$H$2:$H$201,"&lt;"&amp;H101)+COUNTIFS($AZ$2:$AZ$201,AZ101,$CQ$2:$CQ$201,1,$H$2:$H$201,H101,$BA$2:$BA$201,"&lt;"&amp;BA101)=0,1,0),0)</f>
        <v>0</v>
      </c>
      <c r="CS101" s="23" t="str">
        <f aca="false">IF(AND(CR101=1,INT(N(H101))&lt;=Config!$B$5),O101,"")</f>
        <v/>
      </c>
      <c r="CT101" s="23" t="str">
        <f aca="false">IF(AND(BB101=1,INT(N(H101))&lt;=Config!$B$5),AG101&amp;"","")</f>
        <v/>
      </c>
      <c r="CU101" s="23" t="n">
        <f aca="false">IF(AND(BB101=1,AU101="Y"),1,0)</f>
        <v>0</v>
      </c>
      <c r="CV101" s="23" t="n">
        <f aca="false">IF(CU101=1,IF(COUNTIFS($AZ$2:$AZ$201,AZ101,$CU$2:$CU$201,1,$H$2:$H$201,"&lt;"&amp;H101)+COUNTIFS($AZ$2:$AZ$201,AZ101,$CU$2:$CU$201,1,$H$2:$H$201,H101,$BA$2:$BA$201,"&lt;"&amp;BA101)=0,1,0),0)</f>
        <v>0</v>
      </c>
      <c r="CW101" s="23" t="str">
        <f aca="false">IF(BB101=1,IFERROR(MATCH($A101,INDEX(Clay_Offices!$A$2:$FZ$601,0,Sync!$C$5),0),""),"")</f>
        <v/>
      </c>
      <c r="CX101" s="23" t="str">
        <f aca="false">IF(CW101="","",IFERROR(INDEX(Clay_Offices!$A$2:$FZ$601,CW101,Sync!$C$7)&amp;"",""))</f>
        <v/>
      </c>
      <c r="CY101" s="23" t="str">
        <f aca="false">IF(CX101="","",IFERROR(INDEX(Lists!$K$2:$K$15,MATCH(CX101,Lists!$J$2:$J$15,0)),""))</f>
        <v/>
      </c>
      <c r="CZ101" s="23" t="str">
        <f aca="false">IF(CW101="","",IFERROR(INDEX(Clay_Offices!$A$2:$FZ$601,CW101,Sync!$C$17)&amp;"",""))</f>
        <v/>
      </c>
      <c r="DA101" s="35" t="str">
        <f aca="false">IF(CW101="","",IFERROR(N(INDEX(Clay_Offices!$A$2:$FZ$601,CW101,Sync!$C$16)),0))</f>
        <v/>
      </c>
      <c r="DB101" s="23" t="n">
        <f aca="false">IF(AND(BB101=1,OR(AR101="Y",AR101="N",AR101="maybe")),1,0)</f>
        <v>0</v>
      </c>
      <c r="DC101" s="23" t="n">
        <f aca="false">IF(AND(DB101=1),IF(COUNTIFS($A$2:$A$201,$A101,$DB$2:$DB$201,1,$H$2:$H$201,"&gt;"&amp;H101)+COUNTIFS($A$2:$A$201,$A101,$DB$2:$DB$201,1,$H$2:$H$201,H101,$BA$2:$BA$201,"&gt;"&amp;BA101)=0,1,0),0)</f>
        <v>0</v>
      </c>
      <c r="DD101" s="23" t="n">
        <f aca="false">IF(AND(DB101=1,INT(N(H101))&lt;=Config!$B$6),IF(COUNTIFS($AZ$2:$AZ$201,AZ101,$DB$2:$DB$201,1,$H$2:$H$201,"&gt;"&amp;H101,$H$2:$H$201,"&lt;"&amp;(Config!$B$6+1))+COUNTIFS($AZ$2:$AZ$201,AZ101,$DB$2:$DB$201,1,$H$2:$H$201,H101,$BA$2:$BA$201,"&gt;"&amp;BA101)=0,1,0),0)</f>
        <v>0</v>
      </c>
      <c r="DE101" s="23" t="n">
        <f aca="false">IF(AND(DB101=1,INT(N(H101))&lt;=Config!$B$7),IF(COUNTIFS($AZ$2:$AZ$201,AZ101,$DB$2:$DB$201,1,$H$2:$H$201,"&gt;"&amp;H101,$H$2:$H$201,"&lt;"&amp;(Config!$B$7+1))+COUNTIFS($AZ$2:$AZ$201,AZ101,$DB$2:$DB$201,1,$H$2:$H$201,H101,$BA$2:$BA$201,"&gt;"&amp;BA101)=0,1,0),0)</f>
        <v>0</v>
      </c>
      <c r="DF101" s="23" t="n">
        <f aca="false">IF(AND(DB101=1,INT(N(H101))&lt;=Config!$B$8),IF(COUNTIFS($AZ$2:$AZ$201,AZ101,$DB$2:$DB$201,1,$H$2:$H$201,"&gt;"&amp;H101,$H$2:$H$201,"&lt;"&amp;(Config!$B$8+1))+COUNTIFS($AZ$2:$AZ$201,AZ101,$DB$2:$DB$201,1,$H$2:$H$201,H101,$BA$2:$BA$201,"&gt;"&amp;BA101)=0,1,0),0)</f>
        <v>0</v>
      </c>
      <c r="DG101" s="23" t="n">
        <f aca="false">IF(AND(DB101=1,INT(N(H101))&lt;=Config!$B$5),IF(COUNTIFS($AZ$2:$AZ$201,AZ101,$DB$2:$DB$201,1,$H$2:$H$201,"&gt;"&amp;H101,$H$2:$H$201,"&lt;"&amp;(Config!$B$5+1))+COUNTIFS($AZ$2:$AZ$201,AZ101,$DB$2:$DB$201,1,$H$2:$H$201,H101,$BA$2:$BA$201,"&gt;"&amp;BA101)=0,1,0),0)</f>
        <v>0</v>
      </c>
      <c r="DH101" s="23" t="n">
        <f aca="false">IF(BB101=1,IF(COUNTIFS($AZ$2:$AZ$201,AZ101,$DD$2:$DD$201,1,$AR$2:$AR$201,"Y")&gt;0,1,0),0)</f>
        <v>0</v>
      </c>
      <c r="DI101" s="23" t="n">
        <f aca="false">IF(BB101=1,IF(COUNTIFS($AZ$2:$AZ$201,AZ101,$DE$2:$DE$201,1,$AR$2:$AR$201,"Y")&gt;0,1,0),0)</f>
        <v>0</v>
      </c>
      <c r="DJ101" s="23" t="n">
        <f aca="false">IF(BB101=1,IF(COUNTIFS($AZ$2:$AZ$201,AZ101,$DF$2:$DF$201,1,$AR$2:$AR$201,"Y")&gt;0,1,0),0)</f>
        <v>0</v>
      </c>
      <c r="DK101" s="23" t="n">
        <f aca="false">IF(BB101=1,IF(COUNTIFS($AZ$2:$AZ$201,AZ101,$DG$2:$DG$201,1,$AR$2:$AR$201,"Y")&gt;0,1,0),0)</f>
        <v>0</v>
      </c>
      <c r="DL101" s="23" t="n">
        <f aca="false">IF(AND(BF101=1,INT(N(H101))&lt;=Config!$B$6,DH101=1,EI101=0),1,0)</f>
        <v>0</v>
      </c>
      <c r="DM101" s="23" t="n">
        <f aca="false">IF(AND(BF101=1,INT(N(H101))&lt;=Config!$B$7,DI101=1,EI101=0),1,0)</f>
        <v>0</v>
      </c>
      <c r="DN101" s="23" t="n">
        <f aca="false">IF(AND(BF101=1,INT(N(H101))&lt;=Config!$B$8,DJ101=1,EI101=0),1,0)</f>
        <v>0</v>
      </c>
      <c r="DO101" s="23" t="n">
        <f aca="false">IF(AND(BF101=1,INT(N(H101))&lt;=Config!$B$5,DK101=1,EI101=0),1,0)</f>
        <v>0</v>
      </c>
      <c r="DP101" s="23" t="n">
        <f aca="false">IF(AND(CC101=1,INT(N(H101))&lt;=Config!$B$6,DH101=1,EI101=0),1,0)</f>
        <v>0</v>
      </c>
      <c r="DQ101" s="23" t="n">
        <f aca="false">IF(AND(CC101=1,INT(N(H101))&lt;=Config!$B$7,DI101=1,EI101=0),1,0)</f>
        <v>0</v>
      </c>
      <c r="DR101" s="23" t="n">
        <f aca="false">IF(AND(CC101=1,INT(N(H101))&lt;=Config!$B$8,DJ101=1,EI101=0),1,0)</f>
        <v>0</v>
      </c>
      <c r="DS101" s="23" t="n">
        <f aca="false">IF(AND(CC101=1,INT(N(H101))&lt;=Config!$B$5,DK101=1,EI101=0),1,0)</f>
        <v>0</v>
      </c>
      <c r="DT101" s="23" t="n">
        <f aca="false">IF(AND(CC101=1,INT(N(H101))&lt;=Config!$B$6,DH101=0),1,0)</f>
        <v>0</v>
      </c>
      <c r="DU101" s="23" t="n">
        <f aca="false">IF(AND(CC101=1,INT(N(H101))&lt;=Config!$B$7,DI101=0),1,0)</f>
        <v>0</v>
      </c>
      <c r="DV101" s="23" t="n">
        <f aca="false">IF(AND(CC101=1,INT(N(H101))&lt;=Config!$B$8,DJ101=0),1,0)</f>
        <v>0</v>
      </c>
      <c r="DW101" s="23" t="n">
        <f aca="false">IF(AND(CC101=1,INT(N(H101))&lt;=Config!$B$5,DK101=0),1,0)</f>
        <v>0</v>
      </c>
      <c r="DX101" s="23" t="n">
        <f aca="false">IF(TRIM($A101)="",0,ISTEXT(M101)+ISTEXT(O101)+ISTEXT(Y101)+ISTEXT(Z101)+ISTEXT(AA101)+ISTEXT(AV101))</f>
        <v>0</v>
      </c>
      <c r="DY101" s="23" t="n">
        <f aca="false">IF(BB101=1,IF(H101&lt;&gt;INT(H101),1,0),0)</f>
        <v>0</v>
      </c>
      <c r="DZ101" s="23" t="str">
        <f aca="false">IF(TRIM($A101)="","",IF(TRIM(B101)="",SUBSTITUTE(SUBSTITUTE(SUBSTITUTE(SUBSTITUTE(SUBSTITUTE(SUBSTITUTE(LOWER(TRIM($A101)),"~",""),"*",""),"?",""),"&lt;",""),"&gt;",""),"=",""),SUBSTITUTE(SUBSTITUTE(SUBSTITUTE(SUBSTITUTE(SUBSTITUTE(SUBSTITUTE(LOWER(TRIM(B101)),"~",""),"*",""),"?",""),"&lt;",""),"&gt;",""),"=","")))</f>
        <v/>
      </c>
      <c r="EA101" s="23" t="str">
        <f aca="false">IF(CW101="","",IFERROR(IF(LEFT(LOWER(TRIM(INDEX(Clay_Offices!$A$2:$FZ$601,CW101,Sync!$C$19)&amp;"")),4)="grp-",SUBSTITUTE(SUBSTITUTE(SUBSTITUTE(SUBSTITUTE(SUBSTITUTE(SUBSTITUTE(LOWER(TRIM(INDEX(Clay_Offices!$A$2:$FZ$601,CW101,Sync!$C$19)&amp;"")),"~",""),"*",""),"?",""),"&lt;",""),"&gt;",""),"=",""),""),""))</f>
        <v/>
      </c>
      <c r="EB101" s="23" t="str">
        <f aca="false">IF(EA101&lt;&gt;"",DZ101,"")</f>
        <v/>
      </c>
      <c r="EC101" s="23" t="str">
        <f aca="false">IF(BC101=1,AZ101,"")</f>
        <v/>
      </c>
      <c r="ED101" s="23" t="str">
        <f aca="false">IF(TRIM($A101)="","",IFERROR(INDEX($A$2:$A$201,MATCH(AZ101,$EC$2:$EC$201,0))&amp;"",$A101&amp;""))</f>
        <v/>
      </c>
      <c r="EE101" s="23" t="n">
        <f aca="false">IF(BB101=1,IF(COUNTIFS($A$2:$A$201,$A101,$BB$2:$BB$201,1,$H$2:$H$201,"&lt;"&amp;H101)+COUNTIFS($A$2:$A$201,$A101,$BB$2:$BB$201,1,$H$2:$H$201,H101,$BA$2:$BA$201,"&lt;"&amp;BA101)=0,1,0),0)</f>
        <v>0</v>
      </c>
      <c r="EF101" s="23" t="n">
        <f aca="false">IF(BC101=1,IF(COUNTIFS($AZ$2:$AZ$201,AZ101,$EE$2:$EE$201,1)&gt;1,1,0),0)</f>
        <v>0</v>
      </c>
      <c r="EG101" s="23" t="n">
        <f aca="false">IF(AND(CQ101=1),IF(COUNTIFS($AZ$2:$AZ$201,AZ101,$CQ$2:$CQ$201,1,$H$2:$H$201,"&gt;"&amp;H101)+COUNTIFS($AZ$2:$AZ$201,AZ101,$CQ$2:$CQ$201,1,$H$2:$H$201,H101,$BA$2:$BA$201,"&gt;"&amp;BA101)=0,1,0),0)</f>
        <v>0</v>
      </c>
      <c r="EH101" s="23" t="str">
        <f aca="false">IF(BB101=1,IF(COUNTIFS($AZ$2:$AZ$201,AZ101,$EG$2:$EG$201,1)=0,"",SUMIFS($O$2:$O$201,$AZ$2:$AZ$201,AZ101,$EG$2:$EG$201,1)),"")</f>
        <v/>
      </c>
      <c r="EI101" s="23" t="n">
        <f aca="false">IF(AND(ISNUMBER(EH101),OR(N(EH101)&lt;Config!$B$31,N(EH101)&gt;Config!$B$33)),1,0)</f>
        <v>0</v>
      </c>
      <c r="EJ101" s="23" t="n">
        <f aca="false">IF(AND(ISNUMBER(EH101),N(EH101)&gt;=Config!$B$31,N(EH101)&lt;Config!$B$32),1,0)</f>
        <v>0</v>
      </c>
      <c r="EK101" s="23" t="n">
        <f aca="false">IF(AND(BF101=1,INT(N(H101))&lt;=Config!$B$6,DH101=1,EI101=1),1,0)</f>
        <v>0</v>
      </c>
      <c r="EL101" s="23" t="n">
        <f aca="false">IF(AND(BF101=1,INT(N(H101))&lt;=Config!$B$7,DI101=1,EI101=1),1,0)</f>
        <v>0</v>
      </c>
      <c r="EM101" s="23" t="n">
        <f aca="false">IF(AND(BF101=1,INT(N(H101))&lt;=Config!$B$8,DJ101=1,EI101=1),1,0)</f>
        <v>0</v>
      </c>
      <c r="EN101" s="23" t="n">
        <f aca="false">IF(AND(BF101=1,INT(N(H101))&lt;=Config!$B$5,DK101=1,EI101=1),1,0)</f>
        <v>0</v>
      </c>
      <c r="EO101" s="23" t="n">
        <f aca="false">IF(AND(DL101=1,EJ101=1),1,0)</f>
        <v>0</v>
      </c>
      <c r="EP101" s="23" t="n">
        <f aca="false">IF(AND(DM101=1,EJ101=1),1,0)</f>
        <v>0</v>
      </c>
      <c r="EQ101" s="23" t="n">
        <f aca="false">IF(AND(DN101=1,EJ101=1),1,0)</f>
        <v>0</v>
      </c>
      <c r="ER101" s="23" t="n">
        <f aca="false">IF(AND(DO101=1,EJ101=1),1,0)</f>
        <v>0</v>
      </c>
    </row>
    <row r="102" customFormat="false" ht="15" hidden="false" customHeight="false" outlineLevel="0" collapsed="false">
      <c r="G102" s="32"/>
      <c r="H102" s="33"/>
      <c r="I102" s="32"/>
      <c r="L102" s="32"/>
      <c r="Q102" s="32"/>
      <c r="U102" s="32"/>
      <c r="W102" s="32"/>
      <c r="AC102" s="32"/>
      <c r="AF102" s="32"/>
      <c r="AI102" s="32"/>
      <c r="AJ102" s="32"/>
      <c r="AN102" s="32"/>
      <c r="AR102" s="32"/>
      <c r="AT102" s="32"/>
      <c r="AU102" s="32"/>
      <c r="AW102" s="32"/>
      <c r="AY102" s="34" t="str">
        <f aca="false">IF(TRIM($A102)="","",IF(AND(LEFT($A102,6)="SAMPLE",Config!$B$19&lt;&gt;"Y"),"",IF(NOT(ISNUMBER(H102)),"call_date is blank or not a date",IF(Sync!$C$5="","Clay paste is empty or has no row_id column: paste the Clay export on Clay_Offices",IF(CW102="","row_id not found in the Clay paste: add the Clay row or fix the row_id",IF(AND(ISNUMBER(CY102),CY102&gt;=1,CY102&lt;=5),"Clay status is "&amp;CX102&amp;": set call_done or later",IF(AND(BD102=1,CZ102&lt;&gt;BZ102),"Clay yes_in_principle should be "&amp;BZ102,IF(AND(BD102=1,DA102&lt;&gt;H102),"Clay call_date should be "&amp;TEXT(H102,"yyyy-mm-dd"),""))))))))</f>
        <v/>
      </c>
      <c r="AZ102" s="23" t="str">
        <f aca="false">IF(TRIM($A102)="","",IF(TRIM(C102)&lt;&gt;"",SUBSTITUTE(SUBSTITUTE(SUBSTITUTE(SUBSTITUTE(SUBSTITUTE(SUBSTITUTE(LOWER(TRIM(C102)),"~",""),"*",""),"?",""),"&lt;",""),"&gt;",""),"=",""),IF(EA102&lt;&gt;"",EA102,IFERROR(INDEX($EA$2:$EA$201,MATCH(DZ102,$EB$2:$EB$201,0)),DZ102))))</f>
        <v/>
      </c>
      <c r="BA102" s="23" t="n">
        <f aca="false">ROW()</f>
        <v>102</v>
      </c>
      <c r="BB102" s="23" t="n">
        <f aca="false">IF(AND(TRIM($A102)&lt;&gt;"",ISNUMBER(H102)),IF(AND(LEFT($A102,6)="SAMPLE",Config!$B$19&lt;&gt;"Y"),0,1),0)</f>
        <v>0</v>
      </c>
      <c r="BC102" s="23" t="n">
        <f aca="false">IF(BB102=1,IF(COUNTIFS($AZ$2:$AZ$201,AZ102,$BB$2:$BB$201,1,$H$2:$H$201,"&lt;"&amp;H102)+COUNTIFS($AZ$2:$AZ$201,AZ102,$BB$2:$BB$201,1,$H$2:$H$201,H102,$BA$2:$BA$201,"&lt;"&amp;BA102)=0,1,0),0)</f>
        <v>0</v>
      </c>
      <c r="BD102" s="23" t="n">
        <f aca="false">IF(BB102=1,IF(COUNTIFS($A$2:$A$201,$A102,$BB$2:$BB$201,1,$H$2:$H$201,"&gt;"&amp;H102)+COUNTIFS($A$2:$A$201,$A102,$BB$2:$BB$201,1,$H$2:$H$201,H102,$BA$2:$BA$201,"&gt;"&amp;BA102)=0,1,0),0)</f>
        <v>0</v>
      </c>
      <c r="BE102" s="23" t="n">
        <f aca="false">IF(AND(BB102=1,AR102="Y",AC102="Y",TRIM(AH102)&lt;&gt;""),1,0)</f>
        <v>0</v>
      </c>
      <c r="BF102" s="23" t="n">
        <f aca="false">IF(BE102=1,IF(COUNTIFS($AZ$2:$AZ$201,AZ102,$BE$2:$BE$201,1,$H$2:$H$201,"&lt;"&amp;H102)+COUNTIFS($AZ$2:$AZ$201,AZ102,$BE$2:$BE$201,1,$H$2:$H$201,H102,$BA$2:$BA$201,"&lt;"&amp;BA102)=0,1,0),0)</f>
        <v>0</v>
      </c>
      <c r="BG102" s="23" t="n">
        <f aca="false">IF(AND(BB102=1,AR102="Y",BE102=0),1,0)</f>
        <v>0</v>
      </c>
      <c r="BH102" s="23" t="n">
        <f aca="false">IF(AND(BB102=1,ISNUMBER(Y102)),1,0)</f>
        <v>0</v>
      </c>
      <c r="BI102" s="23" t="n">
        <f aca="false">IF(BH102=1,IF(COUNTIFS($AZ$2:$AZ$201,AZ102,$BH$2:$BH$201,1,$H$2:$H$201,"&lt;"&amp;H102)+COUNTIFS($AZ$2:$AZ$201,AZ102,$BH$2:$BH$201,1,$H$2:$H$201,H102,$BA$2:$BA$201,"&lt;"&amp;BA102)=0,1,0),0)</f>
        <v>0</v>
      </c>
      <c r="BJ102" s="23" t="str">
        <f aca="false">IF(AND(BI102=1,INT(N(H102))&lt;=Config!$B$6),Y102,"")</f>
        <v/>
      </c>
      <c r="BK102" s="23" t="str">
        <f aca="false">IF(AND(BI102=1,INT(N(H102))&lt;=Config!$B$7),Y102,"")</f>
        <v/>
      </c>
      <c r="BL102" s="23" t="str">
        <f aca="false">IF(AND(BI102=1,INT(N(H102))&lt;=Config!$B$8),Y102,"")</f>
        <v/>
      </c>
      <c r="BM102" s="23" t="str">
        <f aca="false">IF(AND(BI102=1,INT(N(H102))&lt;=Config!$B$5),Y102,"")</f>
        <v/>
      </c>
      <c r="BN102" s="23" t="n">
        <f aca="false">IF(CD102=1,IF(COUNTIFS($AZ$2:$AZ$201,AZ102,$CD$2:$CD$201,1,$H$2:$H$201,"&lt;"&amp;H102)+COUNTIFS($AZ$2:$AZ$201,AZ102,$CD$2:$CD$201,1,$H$2:$H$201,H102,$BA$2:$BA$201,"&lt;"&amp;BA102)=0,1,0),0)</f>
        <v>0</v>
      </c>
      <c r="BO102" s="23" t="n">
        <f aca="false">IF(AND(BB102=1,ISNUMBER(M102)),1,0)</f>
        <v>0</v>
      </c>
      <c r="BP102" s="23" t="n">
        <f aca="false">IF(BO102=1,IF(COUNTIFS($AZ$2:$AZ$201,AZ102,$BO$2:$BO$201,1,$H$2:$H$201,"&lt;"&amp;H102)+COUNTIFS($AZ$2:$AZ$201,AZ102,$BO$2:$BO$201,1,$H$2:$H$201,H102,$BA$2:$BA$201,"&lt;"&amp;BA102)=0,1,0),0)</f>
        <v>0</v>
      </c>
      <c r="BQ102" s="23" t="str">
        <f aca="false">IF(AND(BP102=1,INT(N(H102))&lt;=Config!$B$5),M102,"")</f>
        <v/>
      </c>
      <c r="BR102" s="23" t="n">
        <f aca="false">IF(AND(BB102=1,OR(TRIM(X102)&lt;&gt;"",ISNUMBER(Y102))),1,0)</f>
        <v>0</v>
      </c>
      <c r="BS102" s="23" t="n">
        <f aca="false">IF(BR102=1,IF(COUNTIFS($AZ$2:$AZ$201,AZ102,$BR$2:$BR$201,1,$H$2:$H$201,"&lt;"&amp;H102)+COUNTIFS($AZ$2:$AZ$201,AZ102,$BR$2:$BR$201,1,$H$2:$H$201,H102,$BA$2:$BA$201,"&lt;"&amp;BA102)=0,1,0),0)</f>
        <v>0</v>
      </c>
      <c r="BT102" s="23" t="str">
        <f aca="false">IF(BS102=1,AZ102,"")</f>
        <v/>
      </c>
      <c r="BU102" s="23" t="n">
        <f aca="false">IF(AND(BB102=1,W102="Y",TRIM(X102)=""),1,0)</f>
        <v>0</v>
      </c>
      <c r="BV102" s="23" t="str">
        <f aca="false">IF(BB102=1,AN102&amp;"","")</f>
        <v/>
      </c>
      <c r="BW102" s="23" t="str">
        <f aca="false">IF(BB102=1,AO102&amp;"","")</f>
        <v/>
      </c>
      <c r="BX102" s="23" t="str">
        <f aca="false">IF(BB102=1,AP102&amp;"","")</f>
        <v/>
      </c>
      <c r="BY102" s="23" t="str">
        <f aca="false">IF(AND(BB102=1,ISNUMBER(AV102),INT(N(H102))&lt;=Config!$B$5),AV102,"")</f>
        <v/>
      </c>
      <c r="BZ102" s="23" t="str">
        <f aca="false">IF(BB102=1,IF(COUNTIFS($A$2:$A$201,$A102,$DC$2:$DC$201,1,$AR$2:$AR$201,"Y")&gt;0,"Y","N"),"")</f>
        <v/>
      </c>
      <c r="CA102" s="23" t="n">
        <f aca="false">IF(AND(BB102=1,AR102="maybe"),1,0)</f>
        <v>0</v>
      </c>
      <c r="CB102" s="23" t="n">
        <f aca="false">IF(CA102=1,IF(COUNTIFS($AZ$2:$AZ$201,AZ102,$CA$2:$CA$201,1,$H$2:$H$201,"&lt;"&amp;H102)+COUNTIFS($AZ$2:$AZ$201,AZ102,$CA$2:$CA$201,1,$H$2:$H$201,H102,$BA$2:$BA$201,"&lt;"&amp;BA102)=0,1,0),0)</f>
        <v>0</v>
      </c>
      <c r="CC102" s="23" t="n">
        <f aca="false">IF(AND(BB102=1,AR102="Y"),IF(COUNTIFS($AZ$2:$AZ$201,AZ102,$AR$2:$AR$201,"Y",$BB$2:$BB$201,1,$H$2:$H$201,"&lt;"&amp;H102)+COUNTIFS($AZ$2:$AZ$201,AZ102,$AR$2:$AR$201,"Y",$BB$2:$BB$201,1,$H$2:$H$201,H102,$BA$2:$BA$201,"&lt;"&amp;BA102)=0,1,0),0)</f>
        <v>0</v>
      </c>
      <c r="CD102" s="23" t="n">
        <f aca="false">IF(AND(BH102=1,N(Y102)&gt;=Config!$B$15),1,0)</f>
        <v>0</v>
      </c>
      <c r="CE102" s="23" t="n">
        <f aca="false">IF(AND(BB102=1,AT102="Y"),1,0)</f>
        <v>0</v>
      </c>
      <c r="CF102" s="23" t="n">
        <f aca="false">IF(CE102=1,IF(COUNTIFS($AZ$2:$AZ$201,AZ102,$CE$2:$CE$201,1,$H$2:$H$201,"&lt;"&amp;H102)+COUNTIFS($AZ$2:$AZ$201,AZ102,$CE$2:$CE$201,1,$H$2:$H$201,H102,$BA$2:$BA$201,"&lt;"&amp;BA102)=0,1,0),0)</f>
        <v>0</v>
      </c>
      <c r="CG102" s="23" t="n">
        <f aca="false">IF(AND(BB102=1,G102="warm-intro"),1,0)</f>
        <v>0</v>
      </c>
      <c r="CH102" s="23" t="n">
        <f aca="false">IF(CG102=1,IF(COUNTIFS($AZ$2:$AZ$201,AZ102,$CG$2:$CG$201,1,$H$2:$H$201,"&lt;"&amp;H102)+COUNTIFS($AZ$2:$AZ$201,AZ102,$CG$2:$CG$201,1,$H$2:$H$201,H102,$BA$2:$BA$201,"&lt;"&amp;BA102)=0,1,0),0)</f>
        <v>0</v>
      </c>
      <c r="CI102" s="23" t="n">
        <f aca="false">IF(AND(BB102=1,Q102="Y"),1,0)</f>
        <v>0</v>
      </c>
      <c r="CJ102" s="23" t="n">
        <f aca="false">IF(CI102=1,IF(COUNTIFS($AZ$2:$AZ$201,AZ102,$CI$2:$CI$201,1,$H$2:$H$201,"&lt;"&amp;H102)+COUNTIFS($AZ$2:$AZ$201,AZ102,$CI$2:$CI$201,1,$H$2:$H$201,H102,$BA$2:$BA$201,"&lt;"&amp;BA102)=0,1,0),0)</f>
        <v>0</v>
      </c>
      <c r="CK102" s="23" t="n">
        <f aca="false">IF(AND(BB102=1,AF102="Y"),1,0)</f>
        <v>0</v>
      </c>
      <c r="CL102" s="23" t="n">
        <f aca="false">IF(CK102=1,IF(COUNTIFS($AZ$2:$AZ$201,AZ102,$CK$2:$CK$201,1,$H$2:$H$201,"&lt;"&amp;H102)+COUNTIFS($AZ$2:$AZ$201,AZ102,$CK$2:$CK$201,1,$H$2:$H$201,H102,$BA$2:$BA$201,"&lt;"&amp;BA102)=0,1,0),0)</f>
        <v>0</v>
      </c>
      <c r="CM102" s="23" t="n">
        <f aca="false">IF(AND(BB102=1,U102="Y"),1,0)</f>
        <v>0</v>
      </c>
      <c r="CN102" s="23" t="n">
        <f aca="false">IF(CM102=1,IF(COUNTIFS($AZ$2:$AZ$201,AZ102,$CM$2:$CM$201,1,$H$2:$H$201,"&lt;"&amp;H102)+COUNTIFS($AZ$2:$AZ$201,AZ102,$CM$2:$CM$201,1,$H$2:$H$201,H102,$BA$2:$BA$201,"&lt;"&amp;BA102)=0,1,0),0)</f>
        <v>0</v>
      </c>
      <c r="CO102" s="23" t="n">
        <f aca="false">IF(AND(BB102=1,L102="Y"),1,0)</f>
        <v>0</v>
      </c>
      <c r="CP102" s="23" t="n">
        <f aca="false">IF(CO102=1,IF(COUNTIFS($AZ$2:$AZ$201,AZ102,$CO$2:$CO$201,1,$H$2:$H$201,"&lt;"&amp;H102)+COUNTIFS($AZ$2:$AZ$201,AZ102,$CO$2:$CO$201,1,$H$2:$H$201,H102,$BA$2:$BA$201,"&lt;"&amp;BA102)=0,1,0),0)</f>
        <v>0</v>
      </c>
      <c r="CQ102" s="23" t="n">
        <f aca="false">IF(AND(BB102=1,ISNUMBER(O102)),1,0)</f>
        <v>0</v>
      </c>
      <c r="CR102" s="23" t="n">
        <f aca="false">IF(CQ102=1,IF(COUNTIFS($AZ$2:$AZ$201,AZ102,$CQ$2:$CQ$201,1,$H$2:$H$201,"&lt;"&amp;H102)+COUNTIFS($AZ$2:$AZ$201,AZ102,$CQ$2:$CQ$201,1,$H$2:$H$201,H102,$BA$2:$BA$201,"&lt;"&amp;BA102)=0,1,0),0)</f>
        <v>0</v>
      </c>
      <c r="CS102" s="23" t="str">
        <f aca="false">IF(AND(CR102=1,INT(N(H102))&lt;=Config!$B$5),O102,"")</f>
        <v/>
      </c>
      <c r="CT102" s="23" t="str">
        <f aca="false">IF(AND(BB102=1,INT(N(H102))&lt;=Config!$B$5),AG102&amp;"","")</f>
        <v/>
      </c>
      <c r="CU102" s="23" t="n">
        <f aca="false">IF(AND(BB102=1,AU102="Y"),1,0)</f>
        <v>0</v>
      </c>
      <c r="CV102" s="23" t="n">
        <f aca="false">IF(CU102=1,IF(COUNTIFS($AZ$2:$AZ$201,AZ102,$CU$2:$CU$201,1,$H$2:$H$201,"&lt;"&amp;H102)+COUNTIFS($AZ$2:$AZ$201,AZ102,$CU$2:$CU$201,1,$H$2:$H$201,H102,$BA$2:$BA$201,"&lt;"&amp;BA102)=0,1,0),0)</f>
        <v>0</v>
      </c>
      <c r="CW102" s="23" t="str">
        <f aca="false">IF(BB102=1,IFERROR(MATCH($A102,INDEX(Clay_Offices!$A$2:$FZ$601,0,Sync!$C$5),0),""),"")</f>
        <v/>
      </c>
      <c r="CX102" s="23" t="str">
        <f aca="false">IF(CW102="","",IFERROR(INDEX(Clay_Offices!$A$2:$FZ$601,CW102,Sync!$C$7)&amp;"",""))</f>
        <v/>
      </c>
      <c r="CY102" s="23" t="str">
        <f aca="false">IF(CX102="","",IFERROR(INDEX(Lists!$K$2:$K$15,MATCH(CX102,Lists!$J$2:$J$15,0)),""))</f>
        <v/>
      </c>
      <c r="CZ102" s="23" t="str">
        <f aca="false">IF(CW102="","",IFERROR(INDEX(Clay_Offices!$A$2:$FZ$601,CW102,Sync!$C$17)&amp;"",""))</f>
        <v/>
      </c>
      <c r="DA102" s="35" t="str">
        <f aca="false">IF(CW102="","",IFERROR(N(INDEX(Clay_Offices!$A$2:$FZ$601,CW102,Sync!$C$16)),0))</f>
        <v/>
      </c>
      <c r="DB102" s="23" t="n">
        <f aca="false">IF(AND(BB102=1,OR(AR102="Y",AR102="N",AR102="maybe")),1,0)</f>
        <v>0</v>
      </c>
      <c r="DC102" s="23" t="n">
        <f aca="false">IF(AND(DB102=1),IF(COUNTIFS($A$2:$A$201,$A102,$DB$2:$DB$201,1,$H$2:$H$201,"&gt;"&amp;H102)+COUNTIFS($A$2:$A$201,$A102,$DB$2:$DB$201,1,$H$2:$H$201,H102,$BA$2:$BA$201,"&gt;"&amp;BA102)=0,1,0),0)</f>
        <v>0</v>
      </c>
      <c r="DD102" s="23" t="n">
        <f aca="false">IF(AND(DB102=1,INT(N(H102))&lt;=Config!$B$6),IF(COUNTIFS($AZ$2:$AZ$201,AZ102,$DB$2:$DB$201,1,$H$2:$H$201,"&gt;"&amp;H102,$H$2:$H$201,"&lt;"&amp;(Config!$B$6+1))+COUNTIFS($AZ$2:$AZ$201,AZ102,$DB$2:$DB$201,1,$H$2:$H$201,H102,$BA$2:$BA$201,"&gt;"&amp;BA102)=0,1,0),0)</f>
        <v>0</v>
      </c>
      <c r="DE102" s="23" t="n">
        <f aca="false">IF(AND(DB102=1,INT(N(H102))&lt;=Config!$B$7),IF(COUNTIFS($AZ$2:$AZ$201,AZ102,$DB$2:$DB$201,1,$H$2:$H$201,"&gt;"&amp;H102,$H$2:$H$201,"&lt;"&amp;(Config!$B$7+1))+COUNTIFS($AZ$2:$AZ$201,AZ102,$DB$2:$DB$201,1,$H$2:$H$201,H102,$BA$2:$BA$201,"&gt;"&amp;BA102)=0,1,0),0)</f>
        <v>0</v>
      </c>
      <c r="DF102" s="23" t="n">
        <f aca="false">IF(AND(DB102=1,INT(N(H102))&lt;=Config!$B$8),IF(COUNTIFS($AZ$2:$AZ$201,AZ102,$DB$2:$DB$201,1,$H$2:$H$201,"&gt;"&amp;H102,$H$2:$H$201,"&lt;"&amp;(Config!$B$8+1))+COUNTIFS($AZ$2:$AZ$201,AZ102,$DB$2:$DB$201,1,$H$2:$H$201,H102,$BA$2:$BA$201,"&gt;"&amp;BA102)=0,1,0),0)</f>
        <v>0</v>
      </c>
      <c r="DG102" s="23" t="n">
        <f aca="false">IF(AND(DB102=1,INT(N(H102))&lt;=Config!$B$5),IF(COUNTIFS($AZ$2:$AZ$201,AZ102,$DB$2:$DB$201,1,$H$2:$H$201,"&gt;"&amp;H102,$H$2:$H$201,"&lt;"&amp;(Config!$B$5+1))+COUNTIFS($AZ$2:$AZ$201,AZ102,$DB$2:$DB$201,1,$H$2:$H$201,H102,$BA$2:$BA$201,"&gt;"&amp;BA102)=0,1,0),0)</f>
        <v>0</v>
      </c>
      <c r="DH102" s="23" t="n">
        <f aca="false">IF(BB102=1,IF(COUNTIFS($AZ$2:$AZ$201,AZ102,$DD$2:$DD$201,1,$AR$2:$AR$201,"Y")&gt;0,1,0),0)</f>
        <v>0</v>
      </c>
      <c r="DI102" s="23" t="n">
        <f aca="false">IF(BB102=1,IF(COUNTIFS($AZ$2:$AZ$201,AZ102,$DE$2:$DE$201,1,$AR$2:$AR$201,"Y")&gt;0,1,0),0)</f>
        <v>0</v>
      </c>
      <c r="DJ102" s="23" t="n">
        <f aca="false">IF(BB102=1,IF(COUNTIFS($AZ$2:$AZ$201,AZ102,$DF$2:$DF$201,1,$AR$2:$AR$201,"Y")&gt;0,1,0),0)</f>
        <v>0</v>
      </c>
      <c r="DK102" s="23" t="n">
        <f aca="false">IF(BB102=1,IF(COUNTIFS($AZ$2:$AZ$201,AZ102,$DG$2:$DG$201,1,$AR$2:$AR$201,"Y")&gt;0,1,0),0)</f>
        <v>0</v>
      </c>
      <c r="DL102" s="23" t="n">
        <f aca="false">IF(AND(BF102=1,INT(N(H102))&lt;=Config!$B$6,DH102=1,EI102=0),1,0)</f>
        <v>0</v>
      </c>
      <c r="DM102" s="23" t="n">
        <f aca="false">IF(AND(BF102=1,INT(N(H102))&lt;=Config!$B$7,DI102=1,EI102=0),1,0)</f>
        <v>0</v>
      </c>
      <c r="DN102" s="23" t="n">
        <f aca="false">IF(AND(BF102=1,INT(N(H102))&lt;=Config!$B$8,DJ102=1,EI102=0),1,0)</f>
        <v>0</v>
      </c>
      <c r="DO102" s="23" t="n">
        <f aca="false">IF(AND(BF102=1,INT(N(H102))&lt;=Config!$B$5,DK102=1,EI102=0),1,0)</f>
        <v>0</v>
      </c>
      <c r="DP102" s="23" t="n">
        <f aca="false">IF(AND(CC102=1,INT(N(H102))&lt;=Config!$B$6,DH102=1,EI102=0),1,0)</f>
        <v>0</v>
      </c>
      <c r="DQ102" s="23" t="n">
        <f aca="false">IF(AND(CC102=1,INT(N(H102))&lt;=Config!$B$7,DI102=1,EI102=0),1,0)</f>
        <v>0</v>
      </c>
      <c r="DR102" s="23" t="n">
        <f aca="false">IF(AND(CC102=1,INT(N(H102))&lt;=Config!$B$8,DJ102=1,EI102=0),1,0)</f>
        <v>0</v>
      </c>
      <c r="DS102" s="23" t="n">
        <f aca="false">IF(AND(CC102=1,INT(N(H102))&lt;=Config!$B$5,DK102=1,EI102=0),1,0)</f>
        <v>0</v>
      </c>
      <c r="DT102" s="23" t="n">
        <f aca="false">IF(AND(CC102=1,INT(N(H102))&lt;=Config!$B$6,DH102=0),1,0)</f>
        <v>0</v>
      </c>
      <c r="DU102" s="23" t="n">
        <f aca="false">IF(AND(CC102=1,INT(N(H102))&lt;=Config!$B$7,DI102=0),1,0)</f>
        <v>0</v>
      </c>
      <c r="DV102" s="23" t="n">
        <f aca="false">IF(AND(CC102=1,INT(N(H102))&lt;=Config!$B$8,DJ102=0),1,0)</f>
        <v>0</v>
      </c>
      <c r="DW102" s="23" t="n">
        <f aca="false">IF(AND(CC102=1,INT(N(H102))&lt;=Config!$B$5,DK102=0),1,0)</f>
        <v>0</v>
      </c>
      <c r="DX102" s="23" t="n">
        <f aca="false">IF(TRIM($A102)="",0,ISTEXT(M102)+ISTEXT(O102)+ISTEXT(Y102)+ISTEXT(Z102)+ISTEXT(AA102)+ISTEXT(AV102))</f>
        <v>0</v>
      </c>
      <c r="DY102" s="23" t="n">
        <f aca="false">IF(BB102=1,IF(H102&lt;&gt;INT(H102),1,0),0)</f>
        <v>0</v>
      </c>
      <c r="DZ102" s="23" t="str">
        <f aca="false">IF(TRIM($A102)="","",IF(TRIM(B102)="",SUBSTITUTE(SUBSTITUTE(SUBSTITUTE(SUBSTITUTE(SUBSTITUTE(SUBSTITUTE(LOWER(TRIM($A102)),"~",""),"*",""),"?",""),"&lt;",""),"&gt;",""),"=",""),SUBSTITUTE(SUBSTITUTE(SUBSTITUTE(SUBSTITUTE(SUBSTITUTE(SUBSTITUTE(LOWER(TRIM(B102)),"~",""),"*",""),"?",""),"&lt;",""),"&gt;",""),"=","")))</f>
        <v/>
      </c>
      <c r="EA102" s="23" t="str">
        <f aca="false">IF(CW102="","",IFERROR(IF(LEFT(LOWER(TRIM(INDEX(Clay_Offices!$A$2:$FZ$601,CW102,Sync!$C$19)&amp;"")),4)="grp-",SUBSTITUTE(SUBSTITUTE(SUBSTITUTE(SUBSTITUTE(SUBSTITUTE(SUBSTITUTE(LOWER(TRIM(INDEX(Clay_Offices!$A$2:$FZ$601,CW102,Sync!$C$19)&amp;"")),"~",""),"*",""),"?",""),"&lt;",""),"&gt;",""),"=",""),""),""))</f>
        <v/>
      </c>
      <c r="EB102" s="23" t="str">
        <f aca="false">IF(EA102&lt;&gt;"",DZ102,"")</f>
        <v/>
      </c>
      <c r="EC102" s="23" t="str">
        <f aca="false">IF(BC102=1,AZ102,"")</f>
        <v/>
      </c>
      <c r="ED102" s="23" t="str">
        <f aca="false">IF(TRIM($A102)="","",IFERROR(INDEX($A$2:$A$201,MATCH(AZ102,$EC$2:$EC$201,0))&amp;"",$A102&amp;""))</f>
        <v/>
      </c>
      <c r="EE102" s="23" t="n">
        <f aca="false">IF(BB102=1,IF(COUNTIFS($A$2:$A$201,$A102,$BB$2:$BB$201,1,$H$2:$H$201,"&lt;"&amp;H102)+COUNTIFS($A$2:$A$201,$A102,$BB$2:$BB$201,1,$H$2:$H$201,H102,$BA$2:$BA$201,"&lt;"&amp;BA102)=0,1,0),0)</f>
        <v>0</v>
      </c>
      <c r="EF102" s="23" t="n">
        <f aca="false">IF(BC102=1,IF(COUNTIFS($AZ$2:$AZ$201,AZ102,$EE$2:$EE$201,1)&gt;1,1,0),0)</f>
        <v>0</v>
      </c>
      <c r="EG102" s="23" t="n">
        <f aca="false">IF(AND(CQ102=1),IF(COUNTIFS($AZ$2:$AZ$201,AZ102,$CQ$2:$CQ$201,1,$H$2:$H$201,"&gt;"&amp;H102)+COUNTIFS($AZ$2:$AZ$201,AZ102,$CQ$2:$CQ$201,1,$H$2:$H$201,H102,$BA$2:$BA$201,"&gt;"&amp;BA102)=0,1,0),0)</f>
        <v>0</v>
      </c>
      <c r="EH102" s="23" t="str">
        <f aca="false">IF(BB102=1,IF(COUNTIFS($AZ$2:$AZ$201,AZ102,$EG$2:$EG$201,1)=0,"",SUMIFS($O$2:$O$201,$AZ$2:$AZ$201,AZ102,$EG$2:$EG$201,1)),"")</f>
        <v/>
      </c>
      <c r="EI102" s="23" t="n">
        <f aca="false">IF(AND(ISNUMBER(EH102),OR(N(EH102)&lt;Config!$B$31,N(EH102)&gt;Config!$B$33)),1,0)</f>
        <v>0</v>
      </c>
      <c r="EJ102" s="23" t="n">
        <f aca="false">IF(AND(ISNUMBER(EH102),N(EH102)&gt;=Config!$B$31,N(EH102)&lt;Config!$B$32),1,0)</f>
        <v>0</v>
      </c>
      <c r="EK102" s="23" t="n">
        <f aca="false">IF(AND(BF102=1,INT(N(H102))&lt;=Config!$B$6,DH102=1,EI102=1),1,0)</f>
        <v>0</v>
      </c>
      <c r="EL102" s="23" t="n">
        <f aca="false">IF(AND(BF102=1,INT(N(H102))&lt;=Config!$B$7,DI102=1,EI102=1),1,0)</f>
        <v>0</v>
      </c>
      <c r="EM102" s="23" t="n">
        <f aca="false">IF(AND(BF102=1,INT(N(H102))&lt;=Config!$B$8,DJ102=1,EI102=1),1,0)</f>
        <v>0</v>
      </c>
      <c r="EN102" s="23" t="n">
        <f aca="false">IF(AND(BF102=1,INT(N(H102))&lt;=Config!$B$5,DK102=1,EI102=1),1,0)</f>
        <v>0</v>
      </c>
      <c r="EO102" s="23" t="n">
        <f aca="false">IF(AND(DL102=1,EJ102=1),1,0)</f>
        <v>0</v>
      </c>
      <c r="EP102" s="23" t="n">
        <f aca="false">IF(AND(DM102=1,EJ102=1),1,0)</f>
        <v>0</v>
      </c>
      <c r="EQ102" s="23" t="n">
        <f aca="false">IF(AND(DN102=1,EJ102=1),1,0)</f>
        <v>0</v>
      </c>
      <c r="ER102" s="23" t="n">
        <f aca="false">IF(AND(DO102=1,EJ102=1),1,0)</f>
        <v>0</v>
      </c>
    </row>
    <row r="103" customFormat="false" ht="15" hidden="false" customHeight="false" outlineLevel="0" collapsed="false">
      <c r="G103" s="32"/>
      <c r="H103" s="33"/>
      <c r="I103" s="32"/>
      <c r="L103" s="32"/>
      <c r="Q103" s="32"/>
      <c r="U103" s="32"/>
      <c r="W103" s="32"/>
      <c r="AC103" s="32"/>
      <c r="AF103" s="32"/>
      <c r="AI103" s="32"/>
      <c r="AJ103" s="32"/>
      <c r="AN103" s="32"/>
      <c r="AR103" s="32"/>
      <c r="AT103" s="32"/>
      <c r="AU103" s="32"/>
      <c r="AW103" s="32"/>
      <c r="AY103" s="34" t="str">
        <f aca="false">IF(TRIM($A103)="","",IF(AND(LEFT($A103,6)="SAMPLE",Config!$B$19&lt;&gt;"Y"),"",IF(NOT(ISNUMBER(H103)),"call_date is blank or not a date",IF(Sync!$C$5="","Clay paste is empty or has no row_id column: paste the Clay export on Clay_Offices",IF(CW103="","row_id not found in the Clay paste: add the Clay row or fix the row_id",IF(AND(ISNUMBER(CY103),CY103&gt;=1,CY103&lt;=5),"Clay status is "&amp;CX103&amp;": set call_done or later",IF(AND(BD103=1,CZ103&lt;&gt;BZ103),"Clay yes_in_principle should be "&amp;BZ103,IF(AND(BD103=1,DA103&lt;&gt;H103),"Clay call_date should be "&amp;TEXT(H103,"yyyy-mm-dd"),""))))))))</f>
        <v/>
      </c>
      <c r="AZ103" s="23" t="str">
        <f aca="false">IF(TRIM($A103)="","",IF(TRIM(C103)&lt;&gt;"",SUBSTITUTE(SUBSTITUTE(SUBSTITUTE(SUBSTITUTE(SUBSTITUTE(SUBSTITUTE(LOWER(TRIM(C103)),"~",""),"*",""),"?",""),"&lt;",""),"&gt;",""),"=",""),IF(EA103&lt;&gt;"",EA103,IFERROR(INDEX($EA$2:$EA$201,MATCH(DZ103,$EB$2:$EB$201,0)),DZ103))))</f>
        <v/>
      </c>
      <c r="BA103" s="23" t="n">
        <f aca="false">ROW()</f>
        <v>103</v>
      </c>
      <c r="BB103" s="23" t="n">
        <f aca="false">IF(AND(TRIM($A103)&lt;&gt;"",ISNUMBER(H103)),IF(AND(LEFT($A103,6)="SAMPLE",Config!$B$19&lt;&gt;"Y"),0,1),0)</f>
        <v>0</v>
      </c>
      <c r="BC103" s="23" t="n">
        <f aca="false">IF(BB103=1,IF(COUNTIFS($AZ$2:$AZ$201,AZ103,$BB$2:$BB$201,1,$H$2:$H$201,"&lt;"&amp;H103)+COUNTIFS($AZ$2:$AZ$201,AZ103,$BB$2:$BB$201,1,$H$2:$H$201,H103,$BA$2:$BA$201,"&lt;"&amp;BA103)=0,1,0),0)</f>
        <v>0</v>
      </c>
      <c r="BD103" s="23" t="n">
        <f aca="false">IF(BB103=1,IF(COUNTIFS($A$2:$A$201,$A103,$BB$2:$BB$201,1,$H$2:$H$201,"&gt;"&amp;H103)+COUNTIFS($A$2:$A$201,$A103,$BB$2:$BB$201,1,$H$2:$H$201,H103,$BA$2:$BA$201,"&gt;"&amp;BA103)=0,1,0),0)</f>
        <v>0</v>
      </c>
      <c r="BE103" s="23" t="n">
        <f aca="false">IF(AND(BB103=1,AR103="Y",AC103="Y",TRIM(AH103)&lt;&gt;""),1,0)</f>
        <v>0</v>
      </c>
      <c r="BF103" s="23" t="n">
        <f aca="false">IF(BE103=1,IF(COUNTIFS($AZ$2:$AZ$201,AZ103,$BE$2:$BE$201,1,$H$2:$H$201,"&lt;"&amp;H103)+COUNTIFS($AZ$2:$AZ$201,AZ103,$BE$2:$BE$201,1,$H$2:$H$201,H103,$BA$2:$BA$201,"&lt;"&amp;BA103)=0,1,0),0)</f>
        <v>0</v>
      </c>
      <c r="BG103" s="23" t="n">
        <f aca="false">IF(AND(BB103=1,AR103="Y",BE103=0),1,0)</f>
        <v>0</v>
      </c>
      <c r="BH103" s="23" t="n">
        <f aca="false">IF(AND(BB103=1,ISNUMBER(Y103)),1,0)</f>
        <v>0</v>
      </c>
      <c r="BI103" s="23" t="n">
        <f aca="false">IF(BH103=1,IF(COUNTIFS($AZ$2:$AZ$201,AZ103,$BH$2:$BH$201,1,$H$2:$H$201,"&lt;"&amp;H103)+COUNTIFS($AZ$2:$AZ$201,AZ103,$BH$2:$BH$201,1,$H$2:$H$201,H103,$BA$2:$BA$201,"&lt;"&amp;BA103)=0,1,0),0)</f>
        <v>0</v>
      </c>
      <c r="BJ103" s="23" t="str">
        <f aca="false">IF(AND(BI103=1,INT(N(H103))&lt;=Config!$B$6),Y103,"")</f>
        <v/>
      </c>
      <c r="BK103" s="23" t="str">
        <f aca="false">IF(AND(BI103=1,INT(N(H103))&lt;=Config!$B$7),Y103,"")</f>
        <v/>
      </c>
      <c r="BL103" s="23" t="str">
        <f aca="false">IF(AND(BI103=1,INT(N(H103))&lt;=Config!$B$8),Y103,"")</f>
        <v/>
      </c>
      <c r="BM103" s="23" t="str">
        <f aca="false">IF(AND(BI103=1,INT(N(H103))&lt;=Config!$B$5),Y103,"")</f>
        <v/>
      </c>
      <c r="BN103" s="23" t="n">
        <f aca="false">IF(CD103=1,IF(COUNTIFS($AZ$2:$AZ$201,AZ103,$CD$2:$CD$201,1,$H$2:$H$201,"&lt;"&amp;H103)+COUNTIFS($AZ$2:$AZ$201,AZ103,$CD$2:$CD$201,1,$H$2:$H$201,H103,$BA$2:$BA$201,"&lt;"&amp;BA103)=0,1,0),0)</f>
        <v>0</v>
      </c>
      <c r="BO103" s="23" t="n">
        <f aca="false">IF(AND(BB103=1,ISNUMBER(M103)),1,0)</f>
        <v>0</v>
      </c>
      <c r="BP103" s="23" t="n">
        <f aca="false">IF(BO103=1,IF(COUNTIFS($AZ$2:$AZ$201,AZ103,$BO$2:$BO$201,1,$H$2:$H$201,"&lt;"&amp;H103)+COUNTIFS($AZ$2:$AZ$201,AZ103,$BO$2:$BO$201,1,$H$2:$H$201,H103,$BA$2:$BA$201,"&lt;"&amp;BA103)=0,1,0),0)</f>
        <v>0</v>
      </c>
      <c r="BQ103" s="23" t="str">
        <f aca="false">IF(AND(BP103=1,INT(N(H103))&lt;=Config!$B$5),M103,"")</f>
        <v/>
      </c>
      <c r="BR103" s="23" t="n">
        <f aca="false">IF(AND(BB103=1,OR(TRIM(X103)&lt;&gt;"",ISNUMBER(Y103))),1,0)</f>
        <v>0</v>
      </c>
      <c r="BS103" s="23" t="n">
        <f aca="false">IF(BR103=1,IF(COUNTIFS($AZ$2:$AZ$201,AZ103,$BR$2:$BR$201,1,$H$2:$H$201,"&lt;"&amp;H103)+COUNTIFS($AZ$2:$AZ$201,AZ103,$BR$2:$BR$201,1,$H$2:$H$201,H103,$BA$2:$BA$201,"&lt;"&amp;BA103)=0,1,0),0)</f>
        <v>0</v>
      </c>
      <c r="BT103" s="23" t="str">
        <f aca="false">IF(BS103=1,AZ103,"")</f>
        <v/>
      </c>
      <c r="BU103" s="23" t="n">
        <f aca="false">IF(AND(BB103=1,W103="Y",TRIM(X103)=""),1,0)</f>
        <v>0</v>
      </c>
      <c r="BV103" s="23" t="str">
        <f aca="false">IF(BB103=1,AN103&amp;"","")</f>
        <v/>
      </c>
      <c r="BW103" s="23" t="str">
        <f aca="false">IF(BB103=1,AO103&amp;"","")</f>
        <v/>
      </c>
      <c r="BX103" s="23" t="str">
        <f aca="false">IF(BB103=1,AP103&amp;"","")</f>
        <v/>
      </c>
      <c r="BY103" s="23" t="str">
        <f aca="false">IF(AND(BB103=1,ISNUMBER(AV103),INT(N(H103))&lt;=Config!$B$5),AV103,"")</f>
        <v/>
      </c>
      <c r="BZ103" s="23" t="str">
        <f aca="false">IF(BB103=1,IF(COUNTIFS($A$2:$A$201,$A103,$DC$2:$DC$201,1,$AR$2:$AR$201,"Y")&gt;0,"Y","N"),"")</f>
        <v/>
      </c>
      <c r="CA103" s="23" t="n">
        <f aca="false">IF(AND(BB103=1,AR103="maybe"),1,0)</f>
        <v>0</v>
      </c>
      <c r="CB103" s="23" t="n">
        <f aca="false">IF(CA103=1,IF(COUNTIFS($AZ$2:$AZ$201,AZ103,$CA$2:$CA$201,1,$H$2:$H$201,"&lt;"&amp;H103)+COUNTIFS($AZ$2:$AZ$201,AZ103,$CA$2:$CA$201,1,$H$2:$H$201,H103,$BA$2:$BA$201,"&lt;"&amp;BA103)=0,1,0),0)</f>
        <v>0</v>
      </c>
      <c r="CC103" s="23" t="n">
        <f aca="false">IF(AND(BB103=1,AR103="Y"),IF(COUNTIFS($AZ$2:$AZ$201,AZ103,$AR$2:$AR$201,"Y",$BB$2:$BB$201,1,$H$2:$H$201,"&lt;"&amp;H103)+COUNTIFS($AZ$2:$AZ$201,AZ103,$AR$2:$AR$201,"Y",$BB$2:$BB$201,1,$H$2:$H$201,H103,$BA$2:$BA$201,"&lt;"&amp;BA103)=0,1,0),0)</f>
        <v>0</v>
      </c>
      <c r="CD103" s="23" t="n">
        <f aca="false">IF(AND(BH103=1,N(Y103)&gt;=Config!$B$15),1,0)</f>
        <v>0</v>
      </c>
      <c r="CE103" s="23" t="n">
        <f aca="false">IF(AND(BB103=1,AT103="Y"),1,0)</f>
        <v>0</v>
      </c>
      <c r="CF103" s="23" t="n">
        <f aca="false">IF(CE103=1,IF(COUNTIFS($AZ$2:$AZ$201,AZ103,$CE$2:$CE$201,1,$H$2:$H$201,"&lt;"&amp;H103)+COUNTIFS($AZ$2:$AZ$201,AZ103,$CE$2:$CE$201,1,$H$2:$H$201,H103,$BA$2:$BA$201,"&lt;"&amp;BA103)=0,1,0),0)</f>
        <v>0</v>
      </c>
      <c r="CG103" s="23" t="n">
        <f aca="false">IF(AND(BB103=1,G103="warm-intro"),1,0)</f>
        <v>0</v>
      </c>
      <c r="CH103" s="23" t="n">
        <f aca="false">IF(CG103=1,IF(COUNTIFS($AZ$2:$AZ$201,AZ103,$CG$2:$CG$201,1,$H$2:$H$201,"&lt;"&amp;H103)+COUNTIFS($AZ$2:$AZ$201,AZ103,$CG$2:$CG$201,1,$H$2:$H$201,H103,$BA$2:$BA$201,"&lt;"&amp;BA103)=0,1,0),0)</f>
        <v>0</v>
      </c>
      <c r="CI103" s="23" t="n">
        <f aca="false">IF(AND(BB103=1,Q103="Y"),1,0)</f>
        <v>0</v>
      </c>
      <c r="CJ103" s="23" t="n">
        <f aca="false">IF(CI103=1,IF(COUNTIFS($AZ$2:$AZ$201,AZ103,$CI$2:$CI$201,1,$H$2:$H$201,"&lt;"&amp;H103)+COUNTIFS($AZ$2:$AZ$201,AZ103,$CI$2:$CI$201,1,$H$2:$H$201,H103,$BA$2:$BA$201,"&lt;"&amp;BA103)=0,1,0),0)</f>
        <v>0</v>
      </c>
      <c r="CK103" s="23" t="n">
        <f aca="false">IF(AND(BB103=1,AF103="Y"),1,0)</f>
        <v>0</v>
      </c>
      <c r="CL103" s="23" t="n">
        <f aca="false">IF(CK103=1,IF(COUNTIFS($AZ$2:$AZ$201,AZ103,$CK$2:$CK$201,1,$H$2:$H$201,"&lt;"&amp;H103)+COUNTIFS($AZ$2:$AZ$201,AZ103,$CK$2:$CK$201,1,$H$2:$H$201,H103,$BA$2:$BA$201,"&lt;"&amp;BA103)=0,1,0),0)</f>
        <v>0</v>
      </c>
      <c r="CM103" s="23" t="n">
        <f aca="false">IF(AND(BB103=1,U103="Y"),1,0)</f>
        <v>0</v>
      </c>
      <c r="CN103" s="23" t="n">
        <f aca="false">IF(CM103=1,IF(COUNTIFS($AZ$2:$AZ$201,AZ103,$CM$2:$CM$201,1,$H$2:$H$201,"&lt;"&amp;H103)+COUNTIFS($AZ$2:$AZ$201,AZ103,$CM$2:$CM$201,1,$H$2:$H$201,H103,$BA$2:$BA$201,"&lt;"&amp;BA103)=0,1,0),0)</f>
        <v>0</v>
      </c>
      <c r="CO103" s="23" t="n">
        <f aca="false">IF(AND(BB103=1,L103="Y"),1,0)</f>
        <v>0</v>
      </c>
      <c r="CP103" s="23" t="n">
        <f aca="false">IF(CO103=1,IF(COUNTIFS($AZ$2:$AZ$201,AZ103,$CO$2:$CO$201,1,$H$2:$H$201,"&lt;"&amp;H103)+COUNTIFS($AZ$2:$AZ$201,AZ103,$CO$2:$CO$201,1,$H$2:$H$201,H103,$BA$2:$BA$201,"&lt;"&amp;BA103)=0,1,0),0)</f>
        <v>0</v>
      </c>
      <c r="CQ103" s="23" t="n">
        <f aca="false">IF(AND(BB103=1,ISNUMBER(O103)),1,0)</f>
        <v>0</v>
      </c>
      <c r="CR103" s="23" t="n">
        <f aca="false">IF(CQ103=1,IF(COUNTIFS($AZ$2:$AZ$201,AZ103,$CQ$2:$CQ$201,1,$H$2:$H$201,"&lt;"&amp;H103)+COUNTIFS($AZ$2:$AZ$201,AZ103,$CQ$2:$CQ$201,1,$H$2:$H$201,H103,$BA$2:$BA$201,"&lt;"&amp;BA103)=0,1,0),0)</f>
        <v>0</v>
      </c>
      <c r="CS103" s="23" t="str">
        <f aca="false">IF(AND(CR103=1,INT(N(H103))&lt;=Config!$B$5),O103,"")</f>
        <v/>
      </c>
      <c r="CT103" s="23" t="str">
        <f aca="false">IF(AND(BB103=1,INT(N(H103))&lt;=Config!$B$5),AG103&amp;"","")</f>
        <v/>
      </c>
      <c r="CU103" s="23" t="n">
        <f aca="false">IF(AND(BB103=1,AU103="Y"),1,0)</f>
        <v>0</v>
      </c>
      <c r="CV103" s="23" t="n">
        <f aca="false">IF(CU103=1,IF(COUNTIFS($AZ$2:$AZ$201,AZ103,$CU$2:$CU$201,1,$H$2:$H$201,"&lt;"&amp;H103)+COUNTIFS($AZ$2:$AZ$201,AZ103,$CU$2:$CU$201,1,$H$2:$H$201,H103,$BA$2:$BA$201,"&lt;"&amp;BA103)=0,1,0),0)</f>
        <v>0</v>
      </c>
      <c r="CW103" s="23" t="str">
        <f aca="false">IF(BB103=1,IFERROR(MATCH($A103,INDEX(Clay_Offices!$A$2:$FZ$601,0,Sync!$C$5),0),""),"")</f>
        <v/>
      </c>
      <c r="CX103" s="23" t="str">
        <f aca="false">IF(CW103="","",IFERROR(INDEX(Clay_Offices!$A$2:$FZ$601,CW103,Sync!$C$7)&amp;"",""))</f>
        <v/>
      </c>
      <c r="CY103" s="23" t="str">
        <f aca="false">IF(CX103="","",IFERROR(INDEX(Lists!$K$2:$K$15,MATCH(CX103,Lists!$J$2:$J$15,0)),""))</f>
        <v/>
      </c>
      <c r="CZ103" s="23" t="str">
        <f aca="false">IF(CW103="","",IFERROR(INDEX(Clay_Offices!$A$2:$FZ$601,CW103,Sync!$C$17)&amp;"",""))</f>
        <v/>
      </c>
      <c r="DA103" s="35" t="str">
        <f aca="false">IF(CW103="","",IFERROR(N(INDEX(Clay_Offices!$A$2:$FZ$601,CW103,Sync!$C$16)),0))</f>
        <v/>
      </c>
      <c r="DB103" s="23" t="n">
        <f aca="false">IF(AND(BB103=1,OR(AR103="Y",AR103="N",AR103="maybe")),1,0)</f>
        <v>0</v>
      </c>
      <c r="DC103" s="23" t="n">
        <f aca="false">IF(AND(DB103=1),IF(COUNTIFS($A$2:$A$201,$A103,$DB$2:$DB$201,1,$H$2:$H$201,"&gt;"&amp;H103)+COUNTIFS($A$2:$A$201,$A103,$DB$2:$DB$201,1,$H$2:$H$201,H103,$BA$2:$BA$201,"&gt;"&amp;BA103)=0,1,0),0)</f>
        <v>0</v>
      </c>
      <c r="DD103" s="23" t="n">
        <f aca="false">IF(AND(DB103=1,INT(N(H103))&lt;=Config!$B$6),IF(COUNTIFS($AZ$2:$AZ$201,AZ103,$DB$2:$DB$201,1,$H$2:$H$201,"&gt;"&amp;H103,$H$2:$H$201,"&lt;"&amp;(Config!$B$6+1))+COUNTIFS($AZ$2:$AZ$201,AZ103,$DB$2:$DB$201,1,$H$2:$H$201,H103,$BA$2:$BA$201,"&gt;"&amp;BA103)=0,1,0),0)</f>
        <v>0</v>
      </c>
      <c r="DE103" s="23" t="n">
        <f aca="false">IF(AND(DB103=1,INT(N(H103))&lt;=Config!$B$7),IF(COUNTIFS($AZ$2:$AZ$201,AZ103,$DB$2:$DB$201,1,$H$2:$H$201,"&gt;"&amp;H103,$H$2:$H$201,"&lt;"&amp;(Config!$B$7+1))+COUNTIFS($AZ$2:$AZ$201,AZ103,$DB$2:$DB$201,1,$H$2:$H$201,H103,$BA$2:$BA$201,"&gt;"&amp;BA103)=0,1,0),0)</f>
        <v>0</v>
      </c>
      <c r="DF103" s="23" t="n">
        <f aca="false">IF(AND(DB103=1,INT(N(H103))&lt;=Config!$B$8),IF(COUNTIFS($AZ$2:$AZ$201,AZ103,$DB$2:$DB$201,1,$H$2:$H$201,"&gt;"&amp;H103,$H$2:$H$201,"&lt;"&amp;(Config!$B$8+1))+COUNTIFS($AZ$2:$AZ$201,AZ103,$DB$2:$DB$201,1,$H$2:$H$201,H103,$BA$2:$BA$201,"&gt;"&amp;BA103)=0,1,0),0)</f>
        <v>0</v>
      </c>
      <c r="DG103" s="23" t="n">
        <f aca="false">IF(AND(DB103=1,INT(N(H103))&lt;=Config!$B$5),IF(COUNTIFS($AZ$2:$AZ$201,AZ103,$DB$2:$DB$201,1,$H$2:$H$201,"&gt;"&amp;H103,$H$2:$H$201,"&lt;"&amp;(Config!$B$5+1))+COUNTIFS($AZ$2:$AZ$201,AZ103,$DB$2:$DB$201,1,$H$2:$H$201,H103,$BA$2:$BA$201,"&gt;"&amp;BA103)=0,1,0),0)</f>
        <v>0</v>
      </c>
      <c r="DH103" s="23" t="n">
        <f aca="false">IF(BB103=1,IF(COUNTIFS($AZ$2:$AZ$201,AZ103,$DD$2:$DD$201,1,$AR$2:$AR$201,"Y")&gt;0,1,0),0)</f>
        <v>0</v>
      </c>
      <c r="DI103" s="23" t="n">
        <f aca="false">IF(BB103=1,IF(COUNTIFS($AZ$2:$AZ$201,AZ103,$DE$2:$DE$201,1,$AR$2:$AR$201,"Y")&gt;0,1,0),0)</f>
        <v>0</v>
      </c>
      <c r="DJ103" s="23" t="n">
        <f aca="false">IF(BB103=1,IF(COUNTIFS($AZ$2:$AZ$201,AZ103,$DF$2:$DF$201,1,$AR$2:$AR$201,"Y")&gt;0,1,0),0)</f>
        <v>0</v>
      </c>
      <c r="DK103" s="23" t="n">
        <f aca="false">IF(BB103=1,IF(COUNTIFS($AZ$2:$AZ$201,AZ103,$DG$2:$DG$201,1,$AR$2:$AR$201,"Y")&gt;0,1,0),0)</f>
        <v>0</v>
      </c>
      <c r="DL103" s="23" t="n">
        <f aca="false">IF(AND(BF103=1,INT(N(H103))&lt;=Config!$B$6,DH103=1,EI103=0),1,0)</f>
        <v>0</v>
      </c>
      <c r="DM103" s="23" t="n">
        <f aca="false">IF(AND(BF103=1,INT(N(H103))&lt;=Config!$B$7,DI103=1,EI103=0),1,0)</f>
        <v>0</v>
      </c>
      <c r="DN103" s="23" t="n">
        <f aca="false">IF(AND(BF103=1,INT(N(H103))&lt;=Config!$B$8,DJ103=1,EI103=0),1,0)</f>
        <v>0</v>
      </c>
      <c r="DO103" s="23" t="n">
        <f aca="false">IF(AND(BF103=1,INT(N(H103))&lt;=Config!$B$5,DK103=1,EI103=0),1,0)</f>
        <v>0</v>
      </c>
      <c r="DP103" s="23" t="n">
        <f aca="false">IF(AND(CC103=1,INT(N(H103))&lt;=Config!$B$6,DH103=1,EI103=0),1,0)</f>
        <v>0</v>
      </c>
      <c r="DQ103" s="23" t="n">
        <f aca="false">IF(AND(CC103=1,INT(N(H103))&lt;=Config!$B$7,DI103=1,EI103=0),1,0)</f>
        <v>0</v>
      </c>
      <c r="DR103" s="23" t="n">
        <f aca="false">IF(AND(CC103=1,INT(N(H103))&lt;=Config!$B$8,DJ103=1,EI103=0),1,0)</f>
        <v>0</v>
      </c>
      <c r="DS103" s="23" t="n">
        <f aca="false">IF(AND(CC103=1,INT(N(H103))&lt;=Config!$B$5,DK103=1,EI103=0),1,0)</f>
        <v>0</v>
      </c>
      <c r="DT103" s="23" t="n">
        <f aca="false">IF(AND(CC103=1,INT(N(H103))&lt;=Config!$B$6,DH103=0),1,0)</f>
        <v>0</v>
      </c>
      <c r="DU103" s="23" t="n">
        <f aca="false">IF(AND(CC103=1,INT(N(H103))&lt;=Config!$B$7,DI103=0),1,0)</f>
        <v>0</v>
      </c>
      <c r="DV103" s="23" t="n">
        <f aca="false">IF(AND(CC103=1,INT(N(H103))&lt;=Config!$B$8,DJ103=0),1,0)</f>
        <v>0</v>
      </c>
      <c r="DW103" s="23" t="n">
        <f aca="false">IF(AND(CC103=1,INT(N(H103))&lt;=Config!$B$5,DK103=0),1,0)</f>
        <v>0</v>
      </c>
      <c r="DX103" s="23" t="n">
        <f aca="false">IF(TRIM($A103)="",0,ISTEXT(M103)+ISTEXT(O103)+ISTEXT(Y103)+ISTEXT(Z103)+ISTEXT(AA103)+ISTEXT(AV103))</f>
        <v>0</v>
      </c>
      <c r="DY103" s="23" t="n">
        <f aca="false">IF(BB103=1,IF(H103&lt;&gt;INT(H103),1,0),0)</f>
        <v>0</v>
      </c>
      <c r="DZ103" s="23" t="str">
        <f aca="false">IF(TRIM($A103)="","",IF(TRIM(B103)="",SUBSTITUTE(SUBSTITUTE(SUBSTITUTE(SUBSTITUTE(SUBSTITUTE(SUBSTITUTE(LOWER(TRIM($A103)),"~",""),"*",""),"?",""),"&lt;",""),"&gt;",""),"=",""),SUBSTITUTE(SUBSTITUTE(SUBSTITUTE(SUBSTITUTE(SUBSTITUTE(SUBSTITUTE(LOWER(TRIM(B103)),"~",""),"*",""),"?",""),"&lt;",""),"&gt;",""),"=","")))</f>
        <v/>
      </c>
      <c r="EA103" s="23" t="str">
        <f aca="false">IF(CW103="","",IFERROR(IF(LEFT(LOWER(TRIM(INDEX(Clay_Offices!$A$2:$FZ$601,CW103,Sync!$C$19)&amp;"")),4)="grp-",SUBSTITUTE(SUBSTITUTE(SUBSTITUTE(SUBSTITUTE(SUBSTITUTE(SUBSTITUTE(LOWER(TRIM(INDEX(Clay_Offices!$A$2:$FZ$601,CW103,Sync!$C$19)&amp;"")),"~",""),"*",""),"?",""),"&lt;",""),"&gt;",""),"=",""),""),""))</f>
        <v/>
      </c>
      <c r="EB103" s="23" t="str">
        <f aca="false">IF(EA103&lt;&gt;"",DZ103,"")</f>
        <v/>
      </c>
      <c r="EC103" s="23" t="str">
        <f aca="false">IF(BC103=1,AZ103,"")</f>
        <v/>
      </c>
      <c r="ED103" s="23" t="str">
        <f aca="false">IF(TRIM($A103)="","",IFERROR(INDEX($A$2:$A$201,MATCH(AZ103,$EC$2:$EC$201,0))&amp;"",$A103&amp;""))</f>
        <v/>
      </c>
      <c r="EE103" s="23" t="n">
        <f aca="false">IF(BB103=1,IF(COUNTIFS($A$2:$A$201,$A103,$BB$2:$BB$201,1,$H$2:$H$201,"&lt;"&amp;H103)+COUNTIFS($A$2:$A$201,$A103,$BB$2:$BB$201,1,$H$2:$H$201,H103,$BA$2:$BA$201,"&lt;"&amp;BA103)=0,1,0),0)</f>
        <v>0</v>
      </c>
      <c r="EF103" s="23" t="n">
        <f aca="false">IF(BC103=1,IF(COUNTIFS($AZ$2:$AZ$201,AZ103,$EE$2:$EE$201,1)&gt;1,1,0),0)</f>
        <v>0</v>
      </c>
      <c r="EG103" s="23" t="n">
        <f aca="false">IF(AND(CQ103=1),IF(COUNTIFS($AZ$2:$AZ$201,AZ103,$CQ$2:$CQ$201,1,$H$2:$H$201,"&gt;"&amp;H103)+COUNTIFS($AZ$2:$AZ$201,AZ103,$CQ$2:$CQ$201,1,$H$2:$H$201,H103,$BA$2:$BA$201,"&gt;"&amp;BA103)=0,1,0),0)</f>
        <v>0</v>
      </c>
      <c r="EH103" s="23" t="str">
        <f aca="false">IF(BB103=1,IF(COUNTIFS($AZ$2:$AZ$201,AZ103,$EG$2:$EG$201,1)=0,"",SUMIFS($O$2:$O$201,$AZ$2:$AZ$201,AZ103,$EG$2:$EG$201,1)),"")</f>
        <v/>
      </c>
      <c r="EI103" s="23" t="n">
        <f aca="false">IF(AND(ISNUMBER(EH103),OR(N(EH103)&lt;Config!$B$31,N(EH103)&gt;Config!$B$33)),1,0)</f>
        <v>0</v>
      </c>
      <c r="EJ103" s="23" t="n">
        <f aca="false">IF(AND(ISNUMBER(EH103),N(EH103)&gt;=Config!$B$31,N(EH103)&lt;Config!$B$32),1,0)</f>
        <v>0</v>
      </c>
      <c r="EK103" s="23" t="n">
        <f aca="false">IF(AND(BF103=1,INT(N(H103))&lt;=Config!$B$6,DH103=1,EI103=1),1,0)</f>
        <v>0</v>
      </c>
      <c r="EL103" s="23" t="n">
        <f aca="false">IF(AND(BF103=1,INT(N(H103))&lt;=Config!$B$7,DI103=1,EI103=1),1,0)</f>
        <v>0</v>
      </c>
      <c r="EM103" s="23" t="n">
        <f aca="false">IF(AND(BF103=1,INT(N(H103))&lt;=Config!$B$8,DJ103=1,EI103=1),1,0)</f>
        <v>0</v>
      </c>
      <c r="EN103" s="23" t="n">
        <f aca="false">IF(AND(BF103=1,INT(N(H103))&lt;=Config!$B$5,DK103=1,EI103=1),1,0)</f>
        <v>0</v>
      </c>
      <c r="EO103" s="23" t="n">
        <f aca="false">IF(AND(DL103=1,EJ103=1),1,0)</f>
        <v>0</v>
      </c>
      <c r="EP103" s="23" t="n">
        <f aca="false">IF(AND(DM103=1,EJ103=1),1,0)</f>
        <v>0</v>
      </c>
      <c r="EQ103" s="23" t="n">
        <f aca="false">IF(AND(DN103=1,EJ103=1),1,0)</f>
        <v>0</v>
      </c>
      <c r="ER103" s="23" t="n">
        <f aca="false">IF(AND(DO103=1,EJ103=1),1,0)</f>
        <v>0</v>
      </c>
    </row>
    <row r="104" customFormat="false" ht="15" hidden="false" customHeight="false" outlineLevel="0" collapsed="false">
      <c r="G104" s="32"/>
      <c r="H104" s="33"/>
      <c r="I104" s="32"/>
      <c r="L104" s="32"/>
      <c r="Q104" s="32"/>
      <c r="U104" s="32"/>
      <c r="W104" s="32"/>
      <c r="AC104" s="32"/>
      <c r="AF104" s="32"/>
      <c r="AI104" s="32"/>
      <c r="AJ104" s="32"/>
      <c r="AN104" s="32"/>
      <c r="AR104" s="32"/>
      <c r="AT104" s="32"/>
      <c r="AU104" s="32"/>
      <c r="AW104" s="32"/>
      <c r="AY104" s="34" t="str">
        <f aca="false">IF(TRIM($A104)="","",IF(AND(LEFT($A104,6)="SAMPLE",Config!$B$19&lt;&gt;"Y"),"",IF(NOT(ISNUMBER(H104)),"call_date is blank or not a date",IF(Sync!$C$5="","Clay paste is empty or has no row_id column: paste the Clay export on Clay_Offices",IF(CW104="","row_id not found in the Clay paste: add the Clay row or fix the row_id",IF(AND(ISNUMBER(CY104),CY104&gt;=1,CY104&lt;=5),"Clay status is "&amp;CX104&amp;": set call_done or later",IF(AND(BD104=1,CZ104&lt;&gt;BZ104),"Clay yes_in_principle should be "&amp;BZ104,IF(AND(BD104=1,DA104&lt;&gt;H104),"Clay call_date should be "&amp;TEXT(H104,"yyyy-mm-dd"),""))))))))</f>
        <v/>
      </c>
      <c r="AZ104" s="23" t="str">
        <f aca="false">IF(TRIM($A104)="","",IF(TRIM(C104)&lt;&gt;"",SUBSTITUTE(SUBSTITUTE(SUBSTITUTE(SUBSTITUTE(SUBSTITUTE(SUBSTITUTE(LOWER(TRIM(C104)),"~",""),"*",""),"?",""),"&lt;",""),"&gt;",""),"=",""),IF(EA104&lt;&gt;"",EA104,IFERROR(INDEX($EA$2:$EA$201,MATCH(DZ104,$EB$2:$EB$201,0)),DZ104))))</f>
        <v/>
      </c>
      <c r="BA104" s="23" t="n">
        <f aca="false">ROW()</f>
        <v>104</v>
      </c>
      <c r="BB104" s="23" t="n">
        <f aca="false">IF(AND(TRIM($A104)&lt;&gt;"",ISNUMBER(H104)),IF(AND(LEFT($A104,6)="SAMPLE",Config!$B$19&lt;&gt;"Y"),0,1),0)</f>
        <v>0</v>
      </c>
      <c r="BC104" s="23" t="n">
        <f aca="false">IF(BB104=1,IF(COUNTIFS($AZ$2:$AZ$201,AZ104,$BB$2:$BB$201,1,$H$2:$H$201,"&lt;"&amp;H104)+COUNTIFS($AZ$2:$AZ$201,AZ104,$BB$2:$BB$201,1,$H$2:$H$201,H104,$BA$2:$BA$201,"&lt;"&amp;BA104)=0,1,0),0)</f>
        <v>0</v>
      </c>
      <c r="BD104" s="23" t="n">
        <f aca="false">IF(BB104=1,IF(COUNTIFS($A$2:$A$201,$A104,$BB$2:$BB$201,1,$H$2:$H$201,"&gt;"&amp;H104)+COUNTIFS($A$2:$A$201,$A104,$BB$2:$BB$201,1,$H$2:$H$201,H104,$BA$2:$BA$201,"&gt;"&amp;BA104)=0,1,0),0)</f>
        <v>0</v>
      </c>
      <c r="BE104" s="23" t="n">
        <f aca="false">IF(AND(BB104=1,AR104="Y",AC104="Y",TRIM(AH104)&lt;&gt;""),1,0)</f>
        <v>0</v>
      </c>
      <c r="BF104" s="23" t="n">
        <f aca="false">IF(BE104=1,IF(COUNTIFS($AZ$2:$AZ$201,AZ104,$BE$2:$BE$201,1,$H$2:$H$201,"&lt;"&amp;H104)+COUNTIFS($AZ$2:$AZ$201,AZ104,$BE$2:$BE$201,1,$H$2:$H$201,H104,$BA$2:$BA$201,"&lt;"&amp;BA104)=0,1,0),0)</f>
        <v>0</v>
      </c>
      <c r="BG104" s="23" t="n">
        <f aca="false">IF(AND(BB104=1,AR104="Y",BE104=0),1,0)</f>
        <v>0</v>
      </c>
      <c r="BH104" s="23" t="n">
        <f aca="false">IF(AND(BB104=1,ISNUMBER(Y104)),1,0)</f>
        <v>0</v>
      </c>
      <c r="BI104" s="23" t="n">
        <f aca="false">IF(BH104=1,IF(COUNTIFS($AZ$2:$AZ$201,AZ104,$BH$2:$BH$201,1,$H$2:$H$201,"&lt;"&amp;H104)+COUNTIFS($AZ$2:$AZ$201,AZ104,$BH$2:$BH$201,1,$H$2:$H$201,H104,$BA$2:$BA$201,"&lt;"&amp;BA104)=0,1,0),0)</f>
        <v>0</v>
      </c>
      <c r="BJ104" s="23" t="str">
        <f aca="false">IF(AND(BI104=1,INT(N(H104))&lt;=Config!$B$6),Y104,"")</f>
        <v/>
      </c>
      <c r="BK104" s="23" t="str">
        <f aca="false">IF(AND(BI104=1,INT(N(H104))&lt;=Config!$B$7),Y104,"")</f>
        <v/>
      </c>
      <c r="BL104" s="23" t="str">
        <f aca="false">IF(AND(BI104=1,INT(N(H104))&lt;=Config!$B$8),Y104,"")</f>
        <v/>
      </c>
      <c r="BM104" s="23" t="str">
        <f aca="false">IF(AND(BI104=1,INT(N(H104))&lt;=Config!$B$5),Y104,"")</f>
        <v/>
      </c>
      <c r="BN104" s="23" t="n">
        <f aca="false">IF(CD104=1,IF(COUNTIFS($AZ$2:$AZ$201,AZ104,$CD$2:$CD$201,1,$H$2:$H$201,"&lt;"&amp;H104)+COUNTIFS($AZ$2:$AZ$201,AZ104,$CD$2:$CD$201,1,$H$2:$H$201,H104,$BA$2:$BA$201,"&lt;"&amp;BA104)=0,1,0),0)</f>
        <v>0</v>
      </c>
      <c r="BO104" s="23" t="n">
        <f aca="false">IF(AND(BB104=1,ISNUMBER(M104)),1,0)</f>
        <v>0</v>
      </c>
      <c r="BP104" s="23" t="n">
        <f aca="false">IF(BO104=1,IF(COUNTIFS($AZ$2:$AZ$201,AZ104,$BO$2:$BO$201,1,$H$2:$H$201,"&lt;"&amp;H104)+COUNTIFS($AZ$2:$AZ$201,AZ104,$BO$2:$BO$201,1,$H$2:$H$201,H104,$BA$2:$BA$201,"&lt;"&amp;BA104)=0,1,0),0)</f>
        <v>0</v>
      </c>
      <c r="BQ104" s="23" t="str">
        <f aca="false">IF(AND(BP104=1,INT(N(H104))&lt;=Config!$B$5),M104,"")</f>
        <v/>
      </c>
      <c r="BR104" s="23" t="n">
        <f aca="false">IF(AND(BB104=1,OR(TRIM(X104)&lt;&gt;"",ISNUMBER(Y104))),1,0)</f>
        <v>0</v>
      </c>
      <c r="BS104" s="23" t="n">
        <f aca="false">IF(BR104=1,IF(COUNTIFS($AZ$2:$AZ$201,AZ104,$BR$2:$BR$201,1,$H$2:$H$201,"&lt;"&amp;H104)+COUNTIFS($AZ$2:$AZ$201,AZ104,$BR$2:$BR$201,1,$H$2:$H$201,H104,$BA$2:$BA$201,"&lt;"&amp;BA104)=0,1,0),0)</f>
        <v>0</v>
      </c>
      <c r="BT104" s="23" t="str">
        <f aca="false">IF(BS104=1,AZ104,"")</f>
        <v/>
      </c>
      <c r="BU104" s="23" t="n">
        <f aca="false">IF(AND(BB104=1,W104="Y",TRIM(X104)=""),1,0)</f>
        <v>0</v>
      </c>
      <c r="BV104" s="23" t="str">
        <f aca="false">IF(BB104=1,AN104&amp;"","")</f>
        <v/>
      </c>
      <c r="BW104" s="23" t="str">
        <f aca="false">IF(BB104=1,AO104&amp;"","")</f>
        <v/>
      </c>
      <c r="BX104" s="23" t="str">
        <f aca="false">IF(BB104=1,AP104&amp;"","")</f>
        <v/>
      </c>
      <c r="BY104" s="23" t="str">
        <f aca="false">IF(AND(BB104=1,ISNUMBER(AV104),INT(N(H104))&lt;=Config!$B$5),AV104,"")</f>
        <v/>
      </c>
      <c r="BZ104" s="23" t="str">
        <f aca="false">IF(BB104=1,IF(COUNTIFS($A$2:$A$201,$A104,$DC$2:$DC$201,1,$AR$2:$AR$201,"Y")&gt;0,"Y","N"),"")</f>
        <v/>
      </c>
      <c r="CA104" s="23" t="n">
        <f aca="false">IF(AND(BB104=1,AR104="maybe"),1,0)</f>
        <v>0</v>
      </c>
      <c r="CB104" s="23" t="n">
        <f aca="false">IF(CA104=1,IF(COUNTIFS($AZ$2:$AZ$201,AZ104,$CA$2:$CA$201,1,$H$2:$H$201,"&lt;"&amp;H104)+COUNTIFS($AZ$2:$AZ$201,AZ104,$CA$2:$CA$201,1,$H$2:$H$201,H104,$BA$2:$BA$201,"&lt;"&amp;BA104)=0,1,0),0)</f>
        <v>0</v>
      </c>
      <c r="CC104" s="23" t="n">
        <f aca="false">IF(AND(BB104=1,AR104="Y"),IF(COUNTIFS($AZ$2:$AZ$201,AZ104,$AR$2:$AR$201,"Y",$BB$2:$BB$201,1,$H$2:$H$201,"&lt;"&amp;H104)+COUNTIFS($AZ$2:$AZ$201,AZ104,$AR$2:$AR$201,"Y",$BB$2:$BB$201,1,$H$2:$H$201,H104,$BA$2:$BA$201,"&lt;"&amp;BA104)=0,1,0),0)</f>
        <v>0</v>
      </c>
      <c r="CD104" s="23" t="n">
        <f aca="false">IF(AND(BH104=1,N(Y104)&gt;=Config!$B$15),1,0)</f>
        <v>0</v>
      </c>
      <c r="CE104" s="23" t="n">
        <f aca="false">IF(AND(BB104=1,AT104="Y"),1,0)</f>
        <v>0</v>
      </c>
      <c r="CF104" s="23" t="n">
        <f aca="false">IF(CE104=1,IF(COUNTIFS($AZ$2:$AZ$201,AZ104,$CE$2:$CE$201,1,$H$2:$H$201,"&lt;"&amp;H104)+COUNTIFS($AZ$2:$AZ$201,AZ104,$CE$2:$CE$201,1,$H$2:$H$201,H104,$BA$2:$BA$201,"&lt;"&amp;BA104)=0,1,0),0)</f>
        <v>0</v>
      </c>
      <c r="CG104" s="23" t="n">
        <f aca="false">IF(AND(BB104=1,G104="warm-intro"),1,0)</f>
        <v>0</v>
      </c>
      <c r="CH104" s="23" t="n">
        <f aca="false">IF(CG104=1,IF(COUNTIFS($AZ$2:$AZ$201,AZ104,$CG$2:$CG$201,1,$H$2:$H$201,"&lt;"&amp;H104)+COUNTIFS($AZ$2:$AZ$201,AZ104,$CG$2:$CG$201,1,$H$2:$H$201,H104,$BA$2:$BA$201,"&lt;"&amp;BA104)=0,1,0),0)</f>
        <v>0</v>
      </c>
      <c r="CI104" s="23" t="n">
        <f aca="false">IF(AND(BB104=1,Q104="Y"),1,0)</f>
        <v>0</v>
      </c>
      <c r="CJ104" s="23" t="n">
        <f aca="false">IF(CI104=1,IF(COUNTIFS($AZ$2:$AZ$201,AZ104,$CI$2:$CI$201,1,$H$2:$H$201,"&lt;"&amp;H104)+COUNTIFS($AZ$2:$AZ$201,AZ104,$CI$2:$CI$201,1,$H$2:$H$201,H104,$BA$2:$BA$201,"&lt;"&amp;BA104)=0,1,0),0)</f>
        <v>0</v>
      </c>
      <c r="CK104" s="23" t="n">
        <f aca="false">IF(AND(BB104=1,AF104="Y"),1,0)</f>
        <v>0</v>
      </c>
      <c r="CL104" s="23" t="n">
        <f aca="false">IF(CK104=1,IF(COUNTIFS($AZ$2:$AZ$201,AZ104,$CK$2:$CK$201,1,$H$2:$H$201,"&lt;"&amp;H104)+COUNTIFS($AZ$2:$AZ$201,AZ104,$CK$2:$CK$201,1,$H$2:$H$201,H104,$BA$2:$BA$201,"&lt;"&amp;BA104)=0,1,0),0)</f>
        <v>0</v>
      </c>
      <c r="CM104" s="23" t="n">
        <f aca="false">IF(AND(BB104=1,U104="Y"),1,0)</f>
        <v>0</v>
      </c>
      <c r="CN104" s="23" t="n">
        <f aca="false">IF(CM104=1,IF(COUNTIFS($AZ$2:$AZ$201,AZ104,$CM$2:$CM$201,1,$H$2:$H$201,"&lt;"&amp;H104)+COUNTIFS($AZ$2:$AZ$201,AZ104,$CM$2:$CM$201,1,$H$2:$H$201,H104,$BA$2:$BA$201,"&lt;"&amp;BA104)=0,1,0),0)</f>
        <v>0</v>
      </c>
      <c r="CO104" s="23" t="n">
        <f aca="false">IF(AND(BB104=1,L104="Y"),1,0)</f>
        <v>0</v>
      </c>
      <c r="CP104" s="23" t="n">
        <f aca="false">IF(CO104=1,IF(COUNTIFS($AZ$2:$AZ$201,AZ104,$CO$2:$CO$201,1,$H$2:$H$201,"&lt;"&amp;H104)+COUNTIFS($AZ$2:$AZ$201,AZ104,$CO$2:$CO$201,1,$H$2:$H$201,H104,$BA$2:$BA$201,"&lt;"&amp;BA104)=0,1,0),0)</f>
        <v>0</v>
      </c>
      <c r="CQ104" s="23" t="n">
        <f aca="false">IF(AND(BB104=1,ISNUMBER(O104)),1,0)</f>
        <v>0</v>
      </c>
      <c r="CR104" s="23" t="n">
        <f aca="false">IF(CQ104=1,IF(COUNTIFS($AZ$2:$AZ$201,AZ104,$CQ$2:$CQ$201,1,$H$2:$H$201,"&lt;"&amp;H104)+COUNTIFS($AZ$2:$AZ$201,AZ104,$CQ$2:$CQ$201,1,$H$2:$H$201,H104,$BA$2:$BA$201,"&lt;"&amp;BA104)=0,1,0),0)</f>
        <v>0</v>
      </c>
      <c r="CS104" s="23" t="str">
        <f aca="false">IF(AND(CR104=1,INT(N(H104))&lt;=Config!$B$5),O104,"")</f>
        <v/>
      </c>
      <c r="CT104" s="23" t="str">
        <f aca="false">IF(AND(BB104=1,INT(N(H104))&lt;=Config!$B$5),AG104&amp;"","")</f>
        <v/>
      </c>
      <c r="CU104" s="23" t="n">
        <f aca="false">IF(AND(BB104=1,AU104="Y"),1,0)</f>
        <v>0</v>
      </c>
      <c r="CV104" s="23" t="n">
        <f aca="false">IF(CU104=1,IF(COUNTIFS($AZ$2:$AZ$201,AZ104,$CU$2:$CU$201,1,$H$2:$H$201,"&lt;"&amp;H104)+COUNTIFS($AZ$2:$AZ$201,AZ104,$CU$2:$CU$201,1,$H$2:$H$201,H104,$BA$2:$BA$201,"&lt;"&amp;BA104)=0,1,0),0)</f>
        <v>0</v>
      </c>
      <c r="CW104" s="23" t="str">
        <f aca="false">IF(BB104=1,IFERROR(MATCH($A104,INDEX(Clay_Offices!$A$2:$FZ$601,0,Sync!$C$5),0),""),"")</f>
        <v/>
      </c>
      <c r="CX104" s="23" t="str">
        <f aca="false">IF(CW104="","",IFERROR(INDEX(Clay_Offices!$A$2:$FZ$601,CW104,Sync!$C$7)&amp;"",""))</f>
        <v/>
      </c>
      <c r="CY104" s="23" t="str">
        <f aca="false">IF(CX104="","",IFERROR(INDEX(Lists!$K$2:$K$15,MATCH(CX104,Lists!$J$2:$J$15,0)),""))</f>
        <v/>
      </c>
      <c r="CZ104" s="23" t="str">
        <f aca="false">IF(CW104="","",IFERROR(INDEX(Clay_Offices!$A$2:$FZ$601,CW104,Sync!$C$17)&amp;"",""))</f>
        <v/>
      </c>
      <c r="DA104" s="35" t="str">
        <f aca="false">IF(CW104="","",IFERROR(N(INDEX(Clay_Offices!$A$2:$FZ$601,CW104,Sync!$C$16)),0))</f>
        <v/>
      </c>
      <c r="DB104" s="23" t="n">
        <f aca="false">IF(AND(BB104=1,OR(AR104="Y",AR104="N",AR104="maybe")),1,0)</f>
        <v>0</v>
      </c>
      <c r="DC104" s="23" t="n">
        <f aca="false">IF(AND(DB104=1),IF(COUNTIFS($A$2:$A$201,$A104,$DB$2:$DB$201,1,$H$2:$H$201,"&gt;"&amp;H104)+COUNTIFS($A$2:$A$201,$A104,$DB$2:$DB$201,1,$H$2:$H$201,H104,$BA$2:$BA$201,"&gt;"&amp;BA104)=0,1,0),0)</f>
        <v>0</v>
      </c>
      <c r="DD104" s="23" t="n">
        <f aca="false">IF(AND(DB104=1,INT(N(H104))&lt;=Config!$B$6),IF(COUNTIFS($AZ$2:$AZ$201,AZ104,$DB$2:$DB$201,1,$H$2:$H$201,"&gt;"&amp;H104,$H$2:$H$201,"&lt;"&amp;(Config!$B$6+1))+COUNTIFS($AZ$2:$AZ$201,AZ104,$DB$2:$DB$201,1,$H$2:$H$201,H104,$BA$2:$BA$201,"&gt;"&amp;BA104)=0,1,0),0)</f>
        <v>0</v>
      </c>
      <c r="DE104" s="23" t="n">
        <f aca="false">IF(AND(DB104=1,INT(N(H104))&lt;=Config!$B$7),IF(COUNTIFS($AZ$2:$AZ$201,AZ104,$DB$2:$DB$201,1,$H$2:$H$201,"&gt;"&amp;H104,$H$2:$H$201,"&lt;"&amp;(Config!$B$7+1))+COUNTIFS($AZ$2:$AZ$201,AZ104,$DB$2:$DB$201,1,$H$2:$H$201,H104,$BA$2:$BA$201,"&gt;"&amp;BA104)=0,1,0),0)</f>
        <v>0</v>
      </c>
      <c r="DF104" s="23" t="n">
        <f aca="false">IF(AND(DB104=1,INT(N(H104))&lt;=Config!$B$8),IF(COUNTIFS($AZ$2:$AZ$201,AZ104,$DB$2:$DB$201,1,$H$2:$H$201,"&gt;"&amp;H104,$H$2:$H$201,"&lt;"&amp;(Config!$B$8+1))+COUNTIFS($AZ$2:$AZ$201,AZ104,$DB$2:$DB$201,1,$H$2:$H$201,H104,$BA$2:$BA$201,"&gt;"&amp;BA104)=0,1,0),0)</f>
        <v>0</v>
      </c>
      <c r="DG104" s="23" t="n">
        <f aca="false">IF(AND(DB104=1,INT(N(H104))&lt;=Config!$B$5),IF(COUNTIFS($AZ$2:$AZ$201,AZ104,$DB$2:$DB$201,1,$H$2:$H$201,"&gt;"&amp;H104,$H$2:$H$201,"&lt;"&amp;(Config!$B$5+1))+COUNTIFS($AZ$2:$AZ$201,AZ104,$DB$2:$DB$201,1,$H$2:$H$201,H104,$BA$2:$BA$201,"&gt;"&amp;BA104)=0,1,0),0)</f>
        <v>0</v>
      </c>
      <c r="DH104" s="23" t="n">
        <f aca="false">IF(BB104=1,IF(COUNTIFS($AZ$2:$AZ$201,AZ104,$DD$2:$DD$201,1,$AR$2:$AR$201,"Y")&gt;0,1,0),0)</f>
        <v>0</v>
      </c>
      <c r="DI104" s="23" t="n">
        <f aca="false">IF(BB104=1,IF(COUNTIFS($AZ$2:$AZ$201,AZ104,$DE$2:$DE$201,1,$AR$2:$AR$201,"Y")&gt;0,1,0),0)</f>
        <v>0</v>
      </c>
      <c r="DJ104" s="23" t="n">
        <f aca="false">IF(BB104=1,IF(COUNTIFS($AZ$2:$AZ$201,AZ104,$DF$2:$DF$201,1,$AR$2:$AR$201,"Y")&gt;0,1,0),0)</f>
        <v>0</v>
      </c>
      <c r="DK104" s="23" t="n">
        <f aca="false">IF(BB104=1,IF(COUNTIFS($AZ$2:$AZ$201,AZ104,$DG$2:$DG$201,1,$AR$2:$AR$201,"Y")&gt;0,1,0),0)</f>
        <v>0</v>
      </c>
      <c r="DL104" s="23" t="n">
        <f aca="false">IF(AND(BF104=1,INT(N(H104))&lt;=Config!$B$6,DH104=1,EI104=0),1,0)</f>
        <v>0</v>
      </c>
      <c r="DM104" s="23" t="n">
        <f aca="false">IF(AND(BF104=1,INT(N(H104))&lt;=Config!$B$7,DI104=1,EI104=0),1,0)</f>
        <v>0</v>
      </c>
      <c r="DN104" s="23" t="n">
        <f aca="false">IF(AND(BF104=1,INT(N(H104))&lt;=Config!$B$8,DJ104=1,EI104=0),1,0)</f>
        <v>0</v>
      </c>
      <c r="DO104" s="23" t="n">
        <f aca="false">IF(AND(BF104=1,INT(N(H104))&lt;=Config!$B$5,DK104=1,EI104=0),1,0)</f>
        <v>0</v>
      </c>
      <c r="DP104" s="23" t="n">
        <f aca="false">IF(AND(CC104=1,INT(N(H104))&lt;=Config!$B$6,DH104=1,EI104=0),1,0)</f>
        <v>0</v>
      </c>
      <c r="DQ104" s="23" t="n">
        <f aca="false">IF(AND(CC104=1,INT(N(H104))&lt;=Config!$B$7,DI104=1,EI104=0),1,0)</f>
        <v>0</v>
      </c>
      <c r="DR104" s="23" t="n">
        <f aca="false">IF(AND(CC104=1,INT(N(H104))&lt;=Config!$B$8,DJ104=1,EI104=0),1,0)</f>
        <v>0</v>
      </c>
      <c r="DS104" s="23" t="n">
        <f aca="false">IF(AND(CC104=1,INT(N(H104))&lt;=Config!$B$5,DK104=1,EI104=0),1,0)</f>
        <v>0</v>
      </c>
      <c r="DT104" s="23" t="n">
        <f aca="false">IF(AND(CC104=1,INT(N(H104))&lt;=Config!$B$6,DH104=0),1,0)</f>
        <v>0</v>
      </c>
      <c r="DU104" s="23" t="n">
        <f aca="false">IF(AND(CC104=1,INT(N(H104))&lt;=Config!$B$7,DI104=0),1,0)</f>
        <v>0</v>
      </c>
      <c r="DV104" s="23" t="n">
        <f aca="false">IF(AND(CC104=1,INT(N(H104))&lt;=Config!$B$8,DJ104=0),1,0)</f>
        <v>0</v>
      </c>
      <c r="DW104" s="23" t="n">
        <f aca="false">IF(AND(CC104=1,INT(N(H104))&lt;=Config!$B$5,DK104=0),1,0)</f>
        <v>0</v>
      </c>
      <c r="DX104" s="23" t="n">
        <f aca="false">IF(TRIM($A104)="",0,ISTEXT(M104)+ISTEXT(O104)+ISTEXT(Y104)+ISTEXT(Z104)+ISTEXT(AA104)+ISTEXT(AV104))</f>
        <v>0</v>
      </c>
      <c r="DY104" s="23" t="n">
        <f aca="false">IF(BB104=1,IF(H104&lt;&gt;INT(H104),1,0),0)</f>
        <v>0</v>
      </c>
      <c r="DZ104" s="23" t="str">
        <f aca="false">IF(TRIM($A104)="","",IF(TRIM(B104)="",SUBSTITUTE(SUBSTITUTE(SUBSTITUTE(SUBSTITUTE(SUBSTITUTE(SUBSTITUTE(LOWER(TRIM($A104)),"~",""),"*",""),"?",""),"&lt;",""),"&gt;",""),"=",""),SUBSTITUTE(SUBSTITUTE(SUBSTITUTE(SUBSTITUTE(SUBSTITUTE(SUBSTITUTE(LOWER(TRIM(B104)),"~",""),"*",""),"?",""),"&lt;",""),"&gt;",""),"=","")))</f>
        <v/>
      </c>
      <c r="EA104" s="23" t="str">
        <f aca="false">IF(CW104="","",IFERROR(IF(LEFT(LOWER(TRIM(INDEX(Clay_Offices!$A$2:$FZ$601,CW104,Sync!$C$19)&amp;"")),4)="grp-",SUBSTITUTE(SUBSTITUTE(SUBSTITUTE(SUBSTITUTE(SUBSTITUTE(SUBSTITUTE(LOWER(TRIM(INDEX(Clay_Offices!$A$2:$FZ$601,CW104,Sync!$C$19)&amp;"")),"~",""),"*",""),"?",""),"&lt;",""),"&gt;",""),"=",""),""),""))</f>
        <v/>
      </c>
      <c r="EB104" s="23" t="str">
        <f aca="false">IF(EA104&lt;&gt;"",DZ104,"")</f>
        <v/>
      </c>
      <c r="EC104" s="23" t="str">
        <f aca="false">IF(BC104=1,AZ104,"")</f>
        <v/>
      </c>
      <c r="ED104" s="23" t="str">
        <f aca="false">IF(TRIM($A104)="","",IFERROR(INDEX($A$2:$A$201,MATCH(AZ104,$EC$2:$EC$201,0))&amp;"",$A104&amp;""))</f>
        <v/>
      </c>
      <c r="EE104" s="23" t="n">
        <f aca="false">IF(BB104=1,IF(COUNTIFS($A$2:$A$201,$A104,$BB$2:$BB$201,1,$H$2:$H$201,"&lt;"&amp;H104)+COUNTIFS($A$2:$A$201,$A104,$BB$2:$BB$201,1,$H$2:$H$201,H104,$BA$2:$BA$201,"&lt;"&amp;BA104)=0,1,0),0)</f>
        <v>0</v>
      </c>
      <c r="EF104" s="23" t="n">
        <f aca="false">IF(BC104=1,IF(COUNTIFS($AZ$2:$AZ$201,AZ104,$EE$2:$EE$201,1)&gt;1,1,0),0)</f>
        <v>0</v>
      </c>
      <c r="EG104" s="23" t="n">
        <f aca="false">IF(AND(CQ104=1),IF(COUNTIFS($AZ$2:$AZ$201,AZ104,$CQ$2:$CQ$201,1,$H$2:$H$201,"&gt;"&amp;H104)+COUNTIFS($AZ$2:$AZ$201,AZ104,$CQ$2:$CQ$201,1,$H$2:$H$201,H104,$BA$2:$BA$201,"&gt;"&amp;BA104)=0,1,0),0)</f>
        <v>0</v>
      </c>
      <c r="EH104" s="23" t="str">
        <f aca="false">IF(BB104=1,IF(COUNTIFS($AZ$2:$AZ$201,AZ104,$EG$2:$EG$201,1)=0,"",SUMIFS($O$2:$O$201,$AZ$2:$AZ$201,AZ104,$EG$2:$EG$201,1)),"")</f>
        <v/>
      </c>
      <c r="EI104" s="23" t="n">
        <f aca="false">IF(AND(ISNUMBER(EH104),OR(N(EH104)&lt;Config!$B$31,N(EH104)&gt;Config!$B$33)),1,0)</f>
        <v>0</v>
      </c>
      <c r="EJ104" s="23" t="n">
        <f aca="false">IF(AND(ISNUMBER(EH104),N(EH104)&gt;=Config!$B$31,N(EH104)&lt;Config!$B$32),1,0)</f>
        <v>0</v>
      </c>
      <c r="EK104" s="23" t="n">
        <f aca="false">IF(AND(BF104=1,INT(N(H104))&lt;=Config!$B$6,DH104=1,EI104=1),1,0)</f>
        <v>0</v>
      </c>
      <c r="EL104" s="23" t="n">
        <f aca="false">IF(AND(BF104=1,INT(N(H104))&lt;=Config!$B$7,DI104=1,EI104=1),1,0)</f>
        <v>0</v>
      </c>
      <c r="EM104" s="23" t="n">
        <f aca="false">IF(AND(BF104=1,INT(N(H104))&lt;=Config!$B$8,DJ104=1,EI104=1),1,0)</f>
        <v>0</v>
      </c>
      <c r="EN104" s="23" t="n">
        <f aca="false">IF(AND(BF104=1,INT(N(H104))&lt;=Config!$B$5,DK104=1,EI104=1),1,0)</f>
        <v>0</v>
      </c>
      <c r="EO104" s="23" t="n">
        <f aca="false">IF(AND(DL104=1,EJ104=1),1,0)</f>
        <v>0</v>
      </c>
      <c r="EP104" s="23" t="n">
        <f aca="false">IF(AND(DM104=1,EJ104=1),1,0)</f>
        <v>0</v>
      </c>
      <c r="EQ104" s="23" t="n">
        <f aca="false">IF(AND(DN104=1,EJ104=1),1,0)</f>
        <v>0</v>
      </c>
      <c r="ER104" s="23" t="n">
        <f aca="false">IF(AND(DO104=1,EJ104=1),1,0)</f>
        <v>0</v>
      </c>
    </row>
    <row r="105" customFormat="false" ht="15" hidden="false" customHeight="false" outlineLevel="0" collapsed="false">
      <c r="G105" s="32"/>
      <c r="H105" s="33"/>
      <c r="I105" s="32"/>
      <c r="L105" s="32"/>
      <c r="Q105" s="32"/>
      <c r="U105" s="32"/>
      <c r="W105" s="32"/>
      <c r="AC105" s="32"/>
      <c r="AF105" s="32"/>
      <c r="AI105" s="32"/>
      <c r="AJ105" s="32"/>
      <c r="AN105" s="32"/>
      <c r="AR105" s="32"/>
      <c r="AT105" s="32"/>
      <c r="AU105" s="32"/>
      <c r="AW105" s="32"/>
      <c r="AY105" s="34" t="str">
        <f aca="false">IF(TRIM($A105)="","",IF(AND(LEFT($A105,6)="SAMPLE",Config!$B$19&lt;&gt;"Y"),"",IF(NOT(ISNUMBER(H105)),"call_date is blank or not a date",IF(Sync!$C$5="","Clay paste is empty or has no row_id column: paste the Clay export on Clay_Offices",IF(CW105="","row_id not found in the Clay paste: add the Clay row or fix the row_id",IF(AND(ISNUMBER(CY105),CY105&gt;=1,CY105&lt;=5),"Clay status is "&amp;CX105&amp;": set call_done or later",IF(AND(BD105=1,CZ105&lt;&gt;BZ105),"Clay yes_in_principle should be "&amp;BZ105,IF(AND(BD105=1,DA105&lt;&gt;H105),"Clay call_date should be "&amp;TEXT(H105,"yyyy-mm-dd"),""))))))))</f>
        <v/>
      </c>
      <c r="AZ105" s="23" t="str">
        <f aca="false">IF(TRIM($A105)="","",IF(TRIM(C105)&lt;&gt;"",SUBSTITUTE(SUBSTITUTE(SUBSTITUTE(SUBSTITUTE(SUBSTITUTE(SUBSTITUTE(LOWER(TRIM(C105)),"~",""),"*",""),"?",""),"&lt;",""),"&gt;",""),"=",""),IF(EA105&lt;&gt;"",EA105,IFERROR(INDEX($EA$2:$EA$201,MATCH(DZ105,$EB$2:$EB$201,0)),DZ105))))</f>
        <v/>
      </c>
      <c r="BA105" s="23" t="n">
        <f aca="false">ROW()</f>
        <v>105</v>
      </c>
      <c r="BB105" s="23" t="n">
        <f aca="false">IF(AND(TRIM($A105)&lt;&gt;"",ISNUMBER(H105)),IF(AND(LEFT($A105,6)="SAMPLE",Config!$B$19&lt;&gt;"Y"),0,1),0)</f>
        <v>0</v>
      </c>
      <c r="BC105" s="23" t="n">
        <f aca="false">IF(BB105=1,IF(COUNTIFS($AZ$2:$AZ$201,AZ105,$BB$2:$BB$201,1,$H$2:$H$201,"&lt;"&amp;H105)+COUNTIFS($AZ$2:$AZ$201,AZ105,$BB$2:$BB$201,1,$H$2:$H$201,H105,$BA$2:$BA$201,"&lt;"&amp;BA105)=0,1,0),0)</f>
        <v>0</v>
      </c>
      <c r="BD105" s="23" t="n">
        <f aca="false">IF(BB105=1,IF(COUNTIFS($A$2:$A$201,$A105,$BB$2:$BB$201,1,$H$2:$H$201,"&gt;"&amp;H105)+COUNTIFS($A$2:$A$201,$A105,$BB$2:$BB$201,1,$H$2:$H$201,H105,$BA$2:$BA$201,"&gt;"&amp;BA105)=0,1,0),0)</f>
        <v>0</v>
      </c>
      <c r="BE105" s="23" t="n">
        <f aca="false">IF(AND(BB105=1,AR105="Y",AC105="Y",TRIM(AH105)&lt;&gt;""),1,0)</f>
        <v>0</v>
      </c>
      <c r="BF105" s="23" t="n">
        <f aca="false">IF(BE105=1,IF(COUNTIFS($AZ$2:$AZ$201,AZ105,$BE$2:$BE$201,1,$H$2:$H$201,"&lt;"&amp;H105)+COUNTIFS($AZ$2:$AZ$201,AZ105,$BE$2:$BE$201,1,$H$2:$H$201,H105,$BA$2:$BA$201,"&lt;"&amp;BA105)=0,1,0),0)</f>
        <v>0</v>
      </c>
      <c r="BG105" s="23" t="n">
        <f aca="false">IF(AND(BB105=1,AR105="Y",BE105=0),1,0)</f>
        <v>0</v>
      </c>
      <c r="BH105" s="23" t="n">
        <f aca="false">IF(AND(BB105=1,ISNUMBER(Y105)),1,0)</f>
        <v>0</v>
      </c>
      <c r="BI105" s="23" t="n">
        <f aca="false">IF(BH105=1,IF(COUNTIFS($AZ$2:$AZ$201,AZ105,$BH$2:$BH$201,1,$H$2:$H$201,"&lt;"&amp;H105)+COUNTIFS($AZ$2:$AZ$201,AZ105,$BH$2:$BH$201,1,$H$2:$H$201,H105,$BA$2:$BA$201,"&lt;"&amp;BA105)=0,1,0),0)</f>
        <v>0</v>
      </c>
      <c r="BJ105" s="23" t="str">
        <f aca="false">IF(AND(BI105=1,INT(N(H105))&lt;=Config!$B$6),Y105,"")</f>
        <v/>
      </c>
      <c r="BK105" s="23" t="str">
        <f aca="false">IF(AND(BI105=1,INT(N(H105))&lt;=Config!$B$7),Y105,"")</f>
        <v/>
      </c>
      <c r="BL105" s="23" t="str">
        <f aca="false">IF(AND(BI105=1,INT(N(H105))&lt;=Config!$B$8),Y105,"")</f>
        <v/>
      </c>
      <c r="BM105" s="23" t="str">
        <f aca="false">IF(AND(BI105=1,INT(N(H105))&lt;=Config!$B$5),Y105,"")</f>
        <v/>
      </c>
      <c r="BN105" s="23" t="n">
        <f aca="false">IF(CD105=1,IF(COUNTIFS($AZ$2:$AZ$201,AZ105,$CD$2:$CD$201,1,$H$2:$H$201,"&lt;"&amp;H105)+COUNTIFS($AZ$2:$AZ$201,AZ105,$CD$2:$CD$201,1,$H$2:$H$201,H105,$BA$2:$BA$201,"&lt;"&amp;BA105)=0,1,0),0)</f>
        <v>0</v>
      </c>
      <c r="BO105" s="23" t="n">
        <f aca="false">IF(AND(BB105=1,ISNUMBER(M105)),1,0)</f>
        <v>0</v>
      </c>
      <c r="BP105" s="23" t="n">
        <f aca="false">IF(BO105=1,IF(COUNTIFS($AZ$2:$AZ$201,AZ105,$BO$2:$BO$201,1,$H$2:$H$201,"&lt;"&amp;H105)+COUNTIFS($AZ$2:$AZ$201,AZ105,$BO$2:$BO$201,1,$H$2:$H$201,H105,$BA$2:$BA$201,"&lt;"&amp;BA105)=0,1,0),0)</f>
        <v>0</v>
      </c>
      <c r="BQ105" s="23" t="str">
        <f aca="false">IF(AND(BP105=1,INT(N(H105))&lt;=Config!$B$5),M105,"")</f>
        <v/>
      </c>
      <c r="BR105" s="23" t="n">
        <f aca="false">IF(AND(BB105=1,OR(TRIM(X105)&lt;&gt;"",ISNUMBER(Y105))),1,0)</f>
        <v>0</v>
      </c>
      <c r="BS105" s="23" t="n">
        <f aca="false">IF(BR105=1,IF(COUNTIFS($AZ$2:$AZ$201,AZ105,$BR$2:$BR$201,1,$H$2:$H$201,"&lt;"&amp;H105)+COUNTIFS($AZ$2:$AZ$201,AZ105,$BR$2:$BR$201,1,$H$2:$H$201,H105,$BA$2:$BA$201,"&lt;"&amp;BA105)=0,1,0),0)</f>
        <v>0</v>
      </c>
      <c r="BT105" s="23" t="str">
        <f aca="false">IF(BS105=1,AZ105,"")</f>
        <v/>
      </c>
      <c r="BU105" s="23" t="n">
        <f aca="false">IF(AND(BB105=1,W105="Y",TRIM(X105)=""),1,0)</f>
        <v>0</v>
      </c>
      <c r="BV105" s="23" t="str">
        <f aca="false">IF(BB105=1,AN105&amp;"","")</f>
        <v/>
      </c>
      <c r="BW105" s="23" t="str">
        <f aca="false">IF(BB105=1,AO105&amp;"","")</f>
        <v/>
      </c>
      <c r="BX105" s="23" t="str">
        <f aca="false">IF(BB105=1,AP105&amp;"","")</f>
        <v/>
      </c>
      <c r="BY105" s="23" t="str">
        <f aca="false">IF(AND(BB105=1,ISNUMBER(AV105),INT(N(H105))&lt;=Config!$B$5),AV105,"")</f>
        <v/>
      </c>
      <c r="BZ105" s="23" t="str">
        <f aca="false">IF(BB105=1,IF(COUNTIFS($A$2:$A$201,$A105,$DC$2:$DC$201,1,$AR$2:$AR$201,"Y")&gt;0,"Y","N"),"")</f>
        <v/>
      </c>
      <c r="CA105" s="23" t="n">
        <f aca="false">IF(AND(BB105=1,AR105="maybe"),1,0)</f>
        <v>0</v>
      </c>
      <c r="CB105" s="23" t="n">
        <f aca="false">IF(CA105=1,IF(COUNTIFS($AZ$2:$AZ$201,AZ105,$CA$2:$CA$201,1,$H$2:$H$201,"&lt;"&amp;H105)+COUNTIFS($AZ$2:$AZ$201,AZ105,$CA$2:$CA$201,1,$H$2:$H$201,H105,$BA$2:$BA$201,"&lt;"&amp;BA105)=0,1,0),0)</f>
        <v>0</v>
      </c>
      <c r="CC105" s="23" t="n">
        <f aca="false">IF(AND(BB105=1,AR105="Y"),IF(COUNTIFS($AZ$2:$AZ$201,AZ105,$AR$2:$AR$201,"Y",$BB$2:$BB$201,1,$H$2:$H$201,"&lt;"&amp;H105)+COUNTIFS($AZ$2:$AZ$201,AZ105,$AR$2:$AR$201,"Y",$BB$2:$BB$201,1,$H$2:$H$201,H105,$BA$2:$BA$201,"&lt;"&amp;BA105)=0,1,0),0)</f>
        <v>0</v>
      </c>
      <c r="CD105" s="23" t="n">
        <f aca="false">IF(AND(BH105=1,N(Y105)&gt;=Config!$B$15),1,0)</f>
        <v>0</v>
      </c>
      <c r="CE105" s="23" t="n">
        <f aca="false">IF(AND(BB105=1,AT105="Y"),1,0)</f>
        <v>0</v>
      </c>
      <c r="CF105" s="23" t="n">
        <f aca="false">IF(CE105=1,IF(COUNTIFS($AZ$2:$AZ$201,AZ105,$CE$2:$CE$201,1,$H$2:$H$201,"&lt;"&amp;H105)+COUNTIFS($AZ$2:$AZ$201,AZ105,$CE$2:$CE$201,1,$H$2:$H$201,H105,$BA$2:$BA$201,"&lt;"&amp;BA105)=0,1,0),0)</f>
        <v>0</v>
      </c>
      <c r="CG105" s="23" t="n">
        <f aca="false">IF(AND(BB105=1,G105="warm-intro"),1,0)</f>
        <v>0</v>
      </c>
      <c r="CH105" s="23" t="n">
        <f aca="false">IF(CG105=1,IF(COUNTIFS($AZ$2:$AZ$201,AZ105,$CG$2:$CG$201,1,$H$2:$H$201,"&lt;"&amp;H105)+COUNTIFS($AZ$2:$AZ$201,AZ105,$CG$2:$CG$201,1,$H$2:$H$201,H105,$BA$2:$BA$201,"&lt;"&amp;BA105)=0,1,0),0)</f>
        <v>0</v>
      </c>
      <c r="CI105" s="23" t="n">
        <f aca="false">IF(AND(BB105=1,Q105="Y"),1,0)</f>
        <v>0</v>
      </c>
      <c r="CJ105" s="23" t="n">
        <f aca="false">IF(CI105=1,IF(COUNTIFS($AZ$2:$AZ$201,AZ105,$CI$2:$CI$201,1,$H$2:$H$201,"&lt;"&amp;H105)+COUNTIFS($AZ$2:$AZ$201,AZ105,$CI$2:$CI$201,1,$H$2:$H$201,H105,$BA$2:$BA$201,"&lt;"&amp;BA105)=0,1,0),0)</f>
        <v>0</v>
      </c>
      <c r="CK105" s="23" t="n">
        <f aca="false">IF(AND(BB105=1,AF105="Y"),1,0)</f>
        <v>0</v>
      </c>
      <c r="CL105" s="23" t="n">
        <f aca="false">IF(CK105=1,IF(COUNTIFS($AZ$2:$AZ$201,AZ105,$CK$2:$CK$201,1,$H$2:$H$201,"&lt;"&amp;H105)+COUNTIFS($AZ$2:$AZ$201,AZ105,$CK$2:$CK$201,1,$H$2:$H$201,H105,$BA$2:$BA$201,"&lt;"&amp;BA105)=0,1,0),0)</f>
        <v>0</v>
      </c>
      <c r="CM105" s="23" t="n">
        <f aca="false">IF(AND(BB105=1,U105="Y"),1,0)</f>
        <v>0</v>
      </c>
      <c r="CN105" s="23" t="n">
        <f aca="false">IF(CM105=1,IF(COUNTIFS($AZ$2:$AZ$201,AZ105,$CM$2:$CM$201,1,$H$2:$H$201,"&lt;"&amp;H105)+COUNTIFS($AZ$2:$AZ$201,AZ105,$CM$2:$CM$201,1,$H$2:$H$201,H105,$BA$2:$BA$201,"&lt;"&amp;BA105)=0,1,0),0)</f>
        <v>0</v>
      </c>
      <c r="CO105" s="23" t="n">
        <f aca="false">IF(AND(BB105=1,L105="Y"),1,0)</f>
        <v>0</v>
      </c>
      <c r="CP105" s="23" t="n">
        <f aca="false">IF(CO105=1,IF(COUNTIFS($AZ$2:$AZ$201,AZ105,$CO$2:$CO$201,1,$H$2:$H$201,"&lt;"&amp;H105)+COUNTIFS($AZ$2:$AZ$201,AZ105,$CO$2:$CO$201,1,$H$2:$H$201,H105,$BA$2:$BA$201,"&lt;"&amp;BA105)=0,1,0),0)</f>
        <v>0</v>
      </c>
      <c r="CQ105" s="23" t="n">
        <f aca="false">IF(AND(BB105=1,ISNUMBER(O105)),1,0)</f>
        <v>0</v>
      </c>
      <c r="CR105" s="23" t="n">
        <f aca="false">IF(CQ105=1,IF(COUNTIFS($AZ$2:$AZ$201,AZ105,$CQ$2:$CQ$201,1,$H$2:$H$201,"&lt;"&amp;H105)+COUNTIFS($AZ$2:$AZ$201,AZ105,$CQ$2:$CQ$201,1,$H$2:$H$201,H105,$BA$2:$BA$201,"&lt;"&amp;BA105)=0,1,0),0)</f>
        <v>0</v>
      </c>
      <c r="CS105" s="23" t="str">
        <f aca="false">IF(AND(CR105=1,INT(N(H105))&lt;=Config!$B$5),O105,"")</f>
        <v/>
      </c>
      <c r="CT105" s="23" t="str">
        <f aca="false">IF(AND(BB105=1,INT(N(H105))&lt;=Config!$B$5),AG105&amp;"","")</f>
        <v/>
      </c>
      <c r="CU105" s="23" t="n">
        <f aca="false">IF(AND(BB105=1,AU105="Y"),1,0)</f>
        <v>0</v>
      </c>
      <c r="CV105" s="23" t="n">
        <f aca="false">IF(CU105=1,IF(COUNTIFS($AZ$2:$AZ$201,AZ105,$CU$2:$CU$201,1,$H$2:$H$201,"&lt;"&amp;H105)+COUNTIFS($AZ$2:$AZ$201,AZ105,$CU$2:$CU$201,1,$H$2:$H$201,H105,$BA$2:$BA$201,"&lt;"&amp;BA105)=0,1,0),0)</f>
        <v>0</v>
      </c>
      <c r="CW105" s="23" t="str">
        <f aca="false">IF(BB105=1,IFERROR(MATCH($A105,INDEX(Clay_Offices!$A$2:$FZ$601,0,Sync!$C$5),0),""),"")</f>
        <v/>
      </c>
      <c r="CX105" s="23" t="str">
        <f aca="false">IF(CW105="","",IFERROR(INDEX(Clay_Offices!$A$2:$FZ$601,CW105,Sync!$C$7)&amp;"",""))</f>
        <v/>
      </c>
      <c r="CY105" s="23" t="str">
        <f aca="false">IF(CX105="","",IFERROR(INDEX(Lists!$K$2:$K$15,MATCH(CX105,Lists!$J$2:$J$15,0)),""))</f>
        <v/>
      </c>
      <c r="CZ105" s="23" t="str">
        <f aca="false">IF(CW105="","",IFERROR(INDEX(Clay_Offices!$A$2:$FZ$601,CW105,Sync!$C$17)&amp;"",""))</f>
        <v/>
      </c>
      <c r="DA105" s="35" t="str">
        <f aca="false">IF(CW105="","",IFERROR(N(INDEX(Clay_Offices!$A$2:$FZ$601,CW105,Sync!$C$16)),0))</f>
        <v/>
      </c>
      <c r="DB105" s="23" t="n">
        <f aca="false">IF(AND(BB105=1,OR(AR105="Y",AR105="N",AR105="maybe")),1,0)</f>
        <v>0</v>
      </c>
      <c r="DC105" s="23" t="n">
        <f aca="false">IF(AND(DB105=1),IF(COUNTIFS($A$2:$A$201,$A105,$DB$2:$DB$201,1,$H$2:$H$201,"&gt;"&amp;H105)+COUNTIFS($A$2:$A$201,$A105,$DB$2:$DB$201,1,$H$2:$H$201,H105,$BA$2:$BA$201,"&gt;"&amp;BA105)=0,1,0),0)</f>
        <v>0</v>
      </c>
      <c r="DD105" s="23" t="n">
        <f aca="false">IF(AND(DB105=1,INT(N(H105))&lt;=Config!$B$6),IF(COUNTIFS($AZ$2:$AZ$201,AZ105,$DB$2:$DB$201,1,$H$2:$H$201,"&gt;"&amp;H105,$H$2:$H$201,"&lt;"&amp;(Config!$B$6+1))+COUNTIFS($AZ$2:$AZ$201,AZ105,$DB$2:$DB$201,1,$H$2:$H$201,H105,$BA$2:$BA$201,"&gt;"&amp;BA105)=0,1,0),0)</f>
        <v>0</v>
      </c>
      <c r="DE105" s="23" t="n">
        <f aca="false">IF(AND(DB105=1,INT(N(H105))&lt;=Config!$B$7),IF(COUNTIFS($AZ$2:$AZ$201,AZ105,$DB$2:$DB$201,1,$H$2:$H$201,"&gt;"&amp;H105,$H$2:$H$201,"&lt;"&amp;(Config!$B$7+1))+COUNTIFS($AZ$2:$AZ$201,AZ105,$DB$2:$DB$201,1,$H$2:$H$201,H105,$BA$2:$BA$201,"&gt;"&amp;BA105)=0,1,0),0)</f>
        <v>0</v>
      </c>
      <c r="DF105" s="23" t="n">
        <f aca="false">IF(AND(DB105=1,INT(N(H105))&lt;=Config!$B$8),IF(COUNTIFS($AZ$2:$AZ$201,AZ105,$DB$2:$DB$201,1,$H$2:$H$201,"&gt;"&amp;H105,$H$2:$H$201,"&lt;"&amp;(Config!$B$8+1))+COUNTIFS($AZ$2:$AZ$201,AZ105,$DB$2:$DB$201,1,$H$2:$H$201,H105,$BA$2:$BA$201,"&gt;"&amp;BA105)=0,1,0),0)</f>
        <v>0</v>
      </c>
      <c r="DG105" s="23" t="n">
        <f aca="false">IF(AND(DB105=1,INT(N(H105))&lt;=Config!$B$5),IF(COUNTIFS($AZ$2:$AZ$201,AZ105,$DB$2:$DB$201,1,$H$2:$H$201,"&gt;"&amp;H105,$H$2:$H$201,"&lt;"&amp;(Config!$B$5+1))+COUNTIFS($AZ$2:$AZ$201,AZ105,$DB$2:$DB$201,1,$H$2:$H$201,H105,$BA$2:$BA$201,"&gt;"&amp;BA105)=0,1,0),0)</f>
        <v>0</v>
      </c>
      <c r="DH105" s="23" t="n">
        <f aca="false">IF(BB105=1,IF(COUNTIFS($AZ$2:$AZ$201,AZ105,$DD$2:$DD$201,1,$AR$2:$AR$201,"Y")&gt;0,1,0),0)</f>
        <v>0</v>
      </c>
      <c r="DI105" s="23" t="n">
        <f aca="false">IF(BB105=1,IF(COUNTIFS($AZ$2:$AZ$201,AZ105,$DE$2:$DE$201,1,$AR$2:$AR$201,"Y")&gt;0,1,0),0)</f>
        <v>0</v>
      </c>
      <c r="DJ105" s="23" t="n">
        <f aca="false">IF(BB105=1,IF(COUNTIFS($AZ$2:$AZ$201,AZ105,$DF$2:$DF$201,1,$AR$2:$AR$201,"Y")&gt;0,1,0),0)</f>
        <v>0</v>
      </c>
      <c r="DK105" s="23" t="n">
        <f aca="false">IF(BB105=1,IF(COUNTIFS($AZ$2:$AZ$201,AZ105,$DG$2:$DG$201,1,$AR$2:$AR$201,"Y")&gt;0,1,0),0)</f>
        <v>0</v>
      </c>
      <c r="DL105" s="23" t="n">
        <f aca="false">IF(AND(BF105=1,INT(N(H105))&lt;=Config!$B$6,DH105=1,EI105=0),1,0)</f>
        <v>0</v>
      </c>
      <c r="DM105" s="23" t="n">
        <f aca="false">IF(AND(BF105=1,INT(N(H105))&lt;=Config!$B$7,DI105=1,EI105=0),1,0)</f>
        <v>0</v>
      </c>
      <c r="DN105" s="23" t="n">
        <f aca="false">IF(AND(BF105=1,INT(N(H105))&lt;=Config!$B$8,DJ105=1,EI105=0),1,0)</f>
        <v>0</v>
      </c>
      <c r="DO105" s="23" t="n">
        <f aca="false">IF(AND(BF105=1,INT(N(H105))&lt;=Config!$B$5,DK105=1,EI105=0),1,0)</f>
        <v>0</v>
      </c>
      <c r="DP105" s="23" t="n">
        <f aca="false">IF(AND(CC105=1,INT(N(H105))&lt;=Config!$B$6,DH105=1,EI105=0),1,0)</f>
        <v>0</v>
      </c>
      <c r="DQ105" s="23" t="n">
        <f aca="false">IF(AND(CC105=1,INT(N(H105))&lt;=Config!$B$7,DI105=1,EI105=0),1,0)</f>
        <v>0</v>
      </c>
      <c r="DR105" s="23" t="n">
        <f aca="false">IF(AND(CC105=1,INT(N(H105))&lt;=Config!$B$8,DJ105=1,EI105=0),1,0)</f>
        <v>0</v>
      </c>
      <c r="DS105" s="23" t="n">
        <f aca="false">IF(AND(CC105=1,INT(N(H105))&lt;=Config!$B$5,DK105=1,EI105=0),1,0)</f>
        <v>0</v>
      </c>
      <c r="DT105" s="23" t="n">
        <f aca="false">IF(AND(CC105=1,INT(N(H105))&lt;=Config!$B$6,DH105=0),1,0)</f>
        <v>0</v>
      </c>
      <c r="DU105" s="23" t="n">
        <f aca="false">IF(AND(CC105=1,INT(N(H105))&lt;=Config!$B$7,DI105=0),1,0)</f>
        <v>0</v>
      </c>
      <c r="DV105" s="23" t="n">
        <f aca="false">IF(AND(CC105=1,INT(N(H105))&lt;=Config!$B$8,DJ105=0),1,0)</f>
        <v>0</v>
      </c>
      <c r="DW105" s="23" t="n">
        <f aca="false">IF(AND(CC105=1,INT(N(H105))&lt;=Config!$B$5,DK105=0),1,0)</f>
        <v>0</v>
      </c>
      <c r="DX105" s="23" t="n">
        <f aca="false">IF(TRIM($A105)="",0,ISTEXT(M105)+ISTEXT(O105)+ISTEXT(Y105)+ISTEXT(Z105)+ISTEXT(AA105)+ISTEXT(AV105))</f>
        <v>0</v>
      </c>
      <c r="DY105" s="23" t="n">
        <f aca="false">IF(BB105=1,IF(H105&lt;&gt;INT(H105),1,0),0)</f>
        <v>0</v>
      </c>
      <c r="DZ105" s="23" t="str">
        <f aca="false">IF(TRIM($A105)="","",IF(TRIM(B105)="",SUBSTITUTE(SUBSTITUTE(SUBSTITUTE(SUBSTITUTE(SUBSTITUTE(SUBSTITUTE(LOWER(TRIM($A105)),"~",""),"*",""),"?",""),"&lt;",""),"&gt;",""),"=",""),SUBSTITUTE(SUBSTITUTE(SUBSTITUTE(SUBSTITUTE(SUBSTITUTE(SUBSTITUTE(LOWER(TRIM(B105)),"~",""),"*",""),"?",""),"&lt;",""),"&gt;",""),"=","")))</f>
        <v/>
      </c>
      <c r="EA105" s="23" t="str">
        <f aca="false">IF(CW105="","",IFERROR(IF(LEFT(LOWER(TRIM(INDEX(Clay_Offices!$A$2:$FZ$601,CW105,Sync!$C$19)&amp;"")),4)="grp-",SUBSTITUTE(SUBSTITUTE(SUBSTITUTE(SUBSTITUTE(SUBSTITUTE(SUBSTITUTE(LOWER(TRIM(INDEX(Clay_Offices!$A$2:$FZ$601,CW105,Sync!$C$19)&amp;"")),"~",""),"*",""),"?",""),"&lt;",""),"&gt;",""),"=",""),""),""))</f>
        <v/>
      </c>
      <c r="EB105" s="23" t="str">
        <f aca="false">IF(EA105&lt;&gt;"",DZ105,"")</f>
        <v/>
      </c>
      <c r="EC105" s="23" t="str">
        <f aca="false">IF(BC105=1,AZ105,"")</f>
        <v/>
      </c>
      <c r="ED105" s="23" t="str">
        <f aca="false">IF(TRIM($A105)="","",IFERROR(INDEX($A$2:$A$201,MATCH(AZ105,$EC$2:$EC$201,0))&amp;"",$A105&amp;""))</f>
        <v/>
      </c>
      <c r="EE105" s="23" t="n">
        <f aca="false">IF(BB105=1,IF(COUNTIFS($A$2:$A$201,$A105,$BB$2:$BB$201,1,$H$2:$H$201,"&lt;"&amp;H105)+COUNTIFS($A$2:$A$201,$A105,$BB$2:$BB$201,1,$H$2:$H$201,H105,$BA$2:$BA$201,"&lt;"&amp;BA105)=0,1,0),0)</f>
        <v>0</v>
      </c>
      <c r="EF105" s="23" t="n">
        <f aca="false">IF(BC105=1,IF(COUNTIFS($AZ$2:$AZ$201,AZ105,$EE$2:$EE$201,1)&gt;1,1,0),0)</f>
        <v>0</v>
      </c>
      <c r="EG105" s="23" t="n">
        <f aca="false">IF(AND(CQ105=1),IF(COUNTIFS($AZ$2:$AZ$201,AZ105,$CQ$2:$CQ$201,1,$H$2:$H$201,"&gt;"&amp;H105)+COUNTIFS($AZ$2:$AZ$201,AZ105,$CQ$2:$CQ$201,1,$H$2:$H$201,H105,$BA$2:$BA$201,"&gt;"&amp;BA105)=0,1,0),0)</f>
        <v>0</v>
      </c>
      <c r="EH105" s="23" t="str">
        <f aca="false">IF(BB105=1,IF(COUNTIFS($AZ$2:$AZ$201,AZ105,$EG$2:$EG$201,1)=0,"",SUMIFS($O$2:$O$201,$AZ$2:$AZ$201,AZ105,$EG$2:$EG$201,1)),"")</f>
        <v/>
      </c>
      <c r="EI105" s="23" t="n">
        <f aca="false">IF(AND(ISNUMBER(EH105),OR(N(EH105)&lt;Config!$B$31,N(EH105)&gt;Config!$B$33)),1,0)</f>
        <v>0</v>
      </c>
      <c r="EJ105" s="23" t="n">
        <f aca="false">IF(AND(ISNUMBER(EH105),N(EH105)&gt;=Config!$B$31,N(EH105)&lt;Config!$B$32),1,0)</f>
        <v>0</v>
      </c>
      <c r="EK105" s="23" t="n">
        <f aca="false">IF(AND(BF105=1,INT(N(H105))&lt;=Config!$B$6,DH105=1,EI105=1),1,0)</f>
        <v>0</v>
      </c>
      <c r="EL105" s="23" t="n">
        <f aca="false">IF(AND(BF105=1,INT(N(H105))&lt;=Config!$B$7,DI105=1,EI105=1),1,0)</f>
        <v>0</v>
      </c>
      <c r="EM105" s="23" t="n">
        <f aca="false">IF(AND(BF105=1,INT(N(H105))&lt;=Config!$B$8,DJ105=1,EI105=1),1,0)</f>
        <v>0</v>
      </c>
      <c r="EN105" s="23" t="n">
        <f aca="false">IF(AND(BF105=1,INT(N(H105))&lt;=Config!$B$5,DK105=1,EI105=1),1,0)</f>
        <v>0</v>
      </c>
      <c r="EO105" s="23" t="n">
        <f aca="false">IF(AND(DL105=1,EJ105=1),1,0)</f>
        <v>0</v>
      </c>
      <c r="EP105" s="23" t="n">
        <f aca="false">IF(AND(DM105=1,EJ105=1),1,0)</f>
        <v>0</v>
      </c>
      <c r="EQ105" s="23" t="n">
        <f aca="false">IF(AND(DN105=1,EJ105=1),1,0)</f>
        <v>0</v>
      </c>
      <c r="ER105" s="23" t="n">
        <f aca="false">IF(AND(DO105=1,EJ105=1),1,0)</f>
        <v>0</v>
      </c>
    </row>
    <row r="106" customFormat="false" ht="15" hidden="false" customHeight="false" outlineLevel="0" collapsed="false">
      <c r="G106" s="32"/>
      <c r="H106" s="33"/>
      <c r="I106" s="32"/>
      <c r="L106" s="32"/>
      <c r="Q106" s="32"/>
      <c r="U106" s="32"/>
      <c r="W106" s="32"/>
      <c r="AC106" s="32"/>
      <c r="AF106" s="32"/>
      <c r="AI106" s="32"/>
      <c r="AJ106" s="32"/>
      <c r="AN106" s="32"/>
      <c r="AR106" s="32"/>
      <c r="AT106" s="32"/>
      <c r="AU106" s="32"/>
      <c r="AW106" s="32"/>
      <c r="AY106" s="34" t="str">
        <f aca="false">IF(TRIM($A106)="","",IF(AND(LEFT($A106,6)="SAMPLE",Config!$B$19&lt;&gt;"Y"),"",IF(NOT(ISNUMBER(H106)),"call_date is blank or not a date",IF(Sync!$C$5="","Clay paste is empty or has no row_id column: paste the Clay export on Clay_Offices",IF(CW106="","row_id not found in the Clay paste: add the Clay row or fix the row_id",IF(AND(ISNUMBER(CY106),CY106&gt;=1,CY106&lt;=5),"Clay status is "&amp;CX106&amp;": set call_done or later",IF(AND(BD106=1,CZ106&lt;&gt;BZ106),"Clay yes_in_principle should be "&amp;BZ106,IF(AND(BD106=1,DA106&lt;&gt;H106),"Clay call_date should be "&amp;TEXT(H106,"yyyy-mm-dd"),""))))))))</f>
        <v/>
      </c>
      <c r="AZ106" s="23" t="str">
        <f aca="false">IF(TRIM($A106)="","",IF(TRIM(C106)&lt;&gt;"",SUBSTITUTE(SUBSTITUTE(SUBSTITUTE(SUBSTITUTE(SUBSTITUTE(SUBSTITUTE(LOWER(TRIM(C106)),"~",""),"*",""),"?",""),"&lt;",""),"&gt;",""),"=",""),IF(EA106&lt;&gt;"",EA106,IFERROR(INDEX($EA$2:$EA$201,MATCH(DZ106,$EB$2:$EB$201,0)),DZ106))))</f>
        <v/>
      </c>
      <c r="BA106" s="23" t="n">
        <f aca="false">ROW()</f>
        <v>106</v>
      </c>
      <c r="BB106" s="23" t="n">
        <f aca="false">IF(AND(TRIM($A106)&lt;&gt;"",ISNUMBER(H106)),IF(AND(LEFT($A106,6)="SAMPLE",Config!$B$19&lt;&gt;"Y"),0,1),0)</f>
        <v>0</v>
      </c>
      <c r="BC106" s="23" t="n">
        <f aca="false">IF(BB106=1,IF(COUNTIFS($AZ$2:$AZ$201,AZ106,$BB$2:$BB$201,1,$H$2:$H$201,"&lt;"&amp;H106)+COUNTIFS($AZ$2:$AZ$201,AZ106,$BB$2:$BB$201,1,$H$2:$H$201,H106,$BA$2:$BA$201,"&lt;"&amp;BA106)=0,1,0),0)</f>
        <v>0</v>
      </c>
      <c r="BD106" s="23" t="n">
        <f aca="false">IF(BB106=1,IF(COUNTIFS($A$2:$A$201,$A106,$BB$2:$BB$201,1,$H$2:$H$201,"&gt;"&amp;H106)+COUNTIFS($A$2:$A$201,$A106,$BB$2:$BB$201,1,$H$2:$H$201,H106,$BA$2:$BA$201,"&gt;"&amp;BA106)=0,1,0),0)</f>
        <v>0</v>
      </c>
      <c r="BE106" s="23" t="n">
        <f aca="false">IF(AND(BB106=1,AR106="Y",AC106="Y",TRIM(AH106)&lt;&gt;""),1,0)</f>
        <v>0</v>
      </c>
      <c r="BF106" s="23" t="n">
        <f aca="false">IF(BE106=1,IF(COUNTIFS($AZ$2:$AZ$201,AZ106,$BE$2:$BE$201,1,$H$2:$H$201,"&lt;"&amp;H106)+COUNTIFS($AZ$2:$AZ$201,AZ106,$BE$2:$BE$201,1,$H$2:$H$201,H106,$BA$2:$BA$201,"&lt;"&amp;BA106)=0,1,0),0)</f>
        <v>0</v>
      </c>
      <c r="BG106" s="23" t="n">
        <f aca="false">IF(AND(BB106=1,AR106="Y",BE106=0),1,0)</f>
        <v>0</v>
      </c>
      <c r="BH106" s="23" t="n">
        <f aca="false">IF(AND(BB106=1,ISNUMBER(Y106)),1,0)</f>
        <v>0</v>
      </c>
      <c r="BI106" s="23" t="n">
        <f aca="false">IF(BH106=1,IF(COUNTIFS($AZ$2:$AZ$201,AZ106,$BH$2:$BH$201,1,$H$2:$H$201,"&lt;"&amp;H106)+COUNTIFS($AZ$2:$AZ$201,AZ106,$BH$2:$BH$201,1,$H$2:$H$201,H106,$BA$2:$BA$201,"&lt;"&amp;BA106)=0,1,0),0)</f>
        <v>0</v>
      </c>
      <c r="BJ106" s="23" t="str">
        <f aca="false">IF(AND(BI106=1,INT(N(H106))&lt;=Config!$B$6),Y106,"")</f>
        <v/>
      </c>
      <c r="BK106" s="23" t="str">
        <f aca="false">IF(AND(BI106=1,INT(N(H106))&lt;=Config!$B$7),Y106,"")</f>
        <v/>
      </c>
      <c r="BL106" s="23" t="str">
        <f aca="false">IF(AND(BI106=1,INT(N(H106))&lt;=Config!$B$8),Y106,"")</f>
        <v/>
      </c>
      <c r="BM106" s="23" t="str">
        <f aca="false">IF(AND(BI106=1,INT(N(H106))&lt;=Config!$B$5),Y106,"")</f>
        <v/>
      </c>
      <c r="BN106" s="23" t="n">
        <f aca="false">IF(CD106=1,IF(COUNTIFS($AZ$2:$AZ$201,AZ106,$CD$2:$CD$201,1,$H$2:$H$201,"&lt;"&amp;H106)+COUNTIFS($AZ$2:$AZ$201,AZ106,$CD$2:$CD$201,1,$H$2:$H$201,H106,$BA$2:$BA$201,"&lt;"&amp;BA106)=0,1,0),0)</f>
        <v>0</v>
      </c>
      <c r="BO106" s="23" t="n">
        <f aca="false">IF(AND(BB106=1,ISNUMBER(M106)),1,0)</f>
        <v>0</v>
      </c>
      <c r="BP106" s="23" t="n">
        <f aca="false">IF(BO106=1,IF(COUNTIFS($AZ$2:$AZ$201,AZ106,$BO$2:$BO$201,1,$H$2:$H$201,"&lt;"&amp;H106)+COUNTIFS($AZ$2:$AZ$201,AZ106,$BO$2:$BO$201,1,$H$2:$H$201,H106,$BA$2:$BA$201,"&lt;"&amp;BA106)=0,1,0),0)</f>
        <v>0</v>
      </c>
      <c r="BQ106" s="23" t="str">
        <f aca="false">IF(AND(BP106=1,INT(N(H106))&lt;=Config!$B$5),M106,"")</f>
        <v/>
      </c>
      <c r="BR106" s="23" t="n">
        <f aca="false">IF(AND(BB106=1,OR(TRIM(X106)&lt;&gt;"",ISNUMBER(Y106))),1,0)</f>
        <v>0</v>
      </c>
      <c r="BS106" s="23" t="n">
        <f aca="false">IF(BR106=1,IF(COUNTIFS($AZ$2:$AZ$201,AZ106,$BR$2:$BR$201,1,$H$2:$H$201,"&lt;"&amp;H106)+COUNTIFS($AZ$2:$AZ$201,AZ106,$BR$2:$BR$201,1,$H$2:$H$201,H106,$BA$2:$BA$201,"&lt;"&amp;BA106)=0,1,0),0)</f>
        <v>0</v>
      </c>
      <c r="BT106" s="23" t="str">
        <f aca="false">IF(BS106=1,AZ106,"")</f>
        <v/>
      </c>
      <c r="BU106" s="23" t="n">
        <f aca="false">IF(AND(BB106=1,W106="Y",TRIM(X106)=""),1,0)</f>
        <v>0</v>
      </c>
      <c r="BV106" s="23" t="str">
        <f aca="false">IF(BB106=1,AN106&amp;"","")</f>
        <v/>
      </c>
      <c r="BW106" s="23" t="str">
        <f aca="false">IF(BB106=1,AO106&amp;"","")</f>
        <v/>
      </c>
      <c r="BX106" s="23" t="str">
        <f aca="false">IF(BB106=1,AP106&amp;"","")</f>
        <v/>
      </c>
      <c r="BY106" s="23" t="str">
        <f aca="false">IF(AND(BB106=1,ISNUMBER(AV106),INT(N(H106))&lt;=Config!$B$5),AV106,"")</f>
        <v/>
      </c>
      <c r="BZ106" s="23" t="str">
        <f aca="false">IF(BB106=1,IF(COUNTIFS($A$2:$A$201,$A106,$DC$2:$DC$201,1,$AR$2:$AR$201,"Y")&gt;0,"Y","N"),"")</f>
        <v/>
      </c>
      <c r="CA106" s="23" t="n">
        <f aca="false">IF(AND(BB106=1,AR106="maybe"),1,0)</f>
        <v>0</v>
      </c>
      <c r="CB106" s="23" t="n">
        <f aca="false">IF(CA106=1,IF(COUNTIFS($AZ$2:$AZ$201,AZ106,$CA$2:$CA$201,1,$H$2:$H$201,"&lt;"&amp;H106)+COUNTIFS($AZ$2:$AZ$201,AZ106,$CA$2:$CA$201,1,$H$2:$H$201,H106,$BA$2:$BA$201,"&lt;"&amp;BA106)=0,1,0),0)</f>
        <v>0</v>
      </c>
      <c r="CC106" s="23" t="n">
        <f aca="false">IF(AND(BB106=1,AR106="Y"),IF(COUNTIFS($AZ$2:$AZ$201,AZ106,$AR$2:$AR$201,"Y",$BB$2:$BB$201,1,$H$2:$H$201,"&lt;"&amp;H106)+COUNTIFS($AZ$2:$AZ$201,AZ106,$AR$2:$AR$201,"Y",$BB$2:$BB$201,1,$H$2:$H$201,H106,$BA$2:$BA$201,"&lt;"&amp;BA106)=0,1,0),0)</f>
        <v>0</v>
      </c>
      <c r="CD106" s="23" t="n">
        <f aca="false">IF(AND(BH106=1,N(Y106)&gt;=Config!$B$15),1,0)</f>
        <v>0</v>
      </c>
      <c r="CE106" s="23" t="n">
        <f aca="false">IF(AND(BB106=1,AT106="Y"),1,0)</f>
        <v>0</v>
      </c>
      <c r="CF106" s="23" t="n">
        <f aca="false">IF(CE106=1,IF(COUNTIFS($AZ$2:$AZ$201,AZ106,$CE$2:$CE$201,1,$H$2:$H$201,"&lt;"&amp;H106)+COUNTIFS($AZ$2:$AZ$201,AZ106,$CE$2:$CE$201,1,$H$2:$H$201,H106,$BA$2:$BA$201,"&lt;"&amp;BA106)=0,1,0),0)</f>
        <v>0</v>
      </c>
      <c r="CG106" s="23" t="n">
        <f aca="false">IF(AND(BB106=1,G106="warm-intro"),1,0)</f>
        <v>0</v>
      </c>
      <c r="CH106" s="23" t="n">
        <f aca="false">IF(CG106=1,IF(COUNTIFS($AZ$2:$AZ$201,AZ106,$CG$2:$CG$201,1,$H$2:$H$201,"&lt;"&amp;H106)+COUNTIFS($AZ$2:$AZ$201,AZ106,$CG$2:$CG$201,1,$H$2:$H$201,H106,$BA$2:$BA$201,"&lt;"&amp;BA106)=0,1,0),0)</f>
        <v>0</v>
      </c>
      <c r="CI106" s="23" t="n">
        <f aca="false">IF(AND(BB106=1,Q106="Y"),1,0)</f>
        <v>0</v>
      </c>
      <c r="CJ106" s="23" t="n">
        <f aca="false">IF(CI106=1,IF(COUNTIFS($AZ$2:$AZ$201,AZ106,$CI$2:$CI$201,1,$H$2:$H$201,"&lt;"&amp;H106)+COUNTIFS($AZ$2:$AZ$201,AZ106,$CI$2:$CI$201,1,$H$2:$H$201,H106,$BA$2:$BA$201,"&lt;"&amp;BA106)=0,1,0),0)</f>
        <v>0</v>
      </c>
      <c r="CK106" s="23" t="n">
        <f aca="false">IF(AND(BB106=1,AF106="Y"),1,0)</f>
        <v>0</v>
      </c>
      <c r="CL106" s="23" t="n">
        <f aca="false">IF(CK106=1,IF(COUNTIFS($AZ$2:$AZ$201,AZ106,$CK$2:$CK$201,1,$H$2:$H$201,"&lt;"&amp;H106)+COUNTIFS($AZ$2:$AZ$201,AZ106,$CK$2:$CK$201,1,$H$2:$H$201,H106,$BA$2:$BA$201,"&lt;"&amp;BA106)=0,1,0),0)</f>
        <v>0</v>
      </c>
      <c r="CM106" s="23" t="n">
        <f aca="false">IF(AND(BB106=1,U106="Y"),1,0)</f>
        <v>0</v>
      </c>
      <c r="CN106" s="23" t="n">
        <f aca="false">IF(CM106=1,IF(COUNTIFS($AZ$2:$AZ$201,AZ106,$CM$2:$CM$201,1,$H$2:$H$201,"&lt;"&amp;H106)+COUNTIFS($AZ$2:$AZ$201,AZ106,$CM$2:$CM$201,1,$H$2:$H$201,H106,$BA$2:$BA$201,"&lt;"&amp;BA106)=0,1,0),0)</f>
        <v>0</v>
      </c>
      <c r="CO106" s="23" t="n">
        <f aca="false">IF(AND(BB106=1,L106="Y"),1,0)</f>
        <v>0</v>
      </c>
      <c r="CP106" s="23" t="n">
        <f aca="false">IF(CO106=1,IF(COUNTIFS($AZ$2:$AZ$201,AZ106,$CO$2:$CO$201,1,$H$2:$H$201,"&lt;"&amp;H106)+COUNTIFS($AZ$2:$AZ$201,AZ106,$CO$2:$CO$201,1,$H$2:$H$201,H106,$BA$2:$BA$201,"&lt;"&amp;BA106)=0,1,0),0)</f>
        <v>0</v>
      </c>
      <c r="CQ106" s="23" t="n">
        <f aca="false">IF(AND(BB106=1,ISNUMBER(O106)),1,0)</f>
        <v>0</v>
      </c>
      <c r="CR106" s="23" t="n">
        <f aca="false">IF(CQ106=1,IF(COUNTIFS($AZ$2:$AZ$201,AZ106,$CQ$2:$CQ$201,1,$H$2:$H$201,"&lt;"&amp;H106)+COUNTIFS($AZ$2:$AZ$201,AZ106,$CQ$2:$CQ$201,1,$H$2:$H$201,H106,$BA$2:$BA$201,"&lt;"&amp;BA106)=0,1,0),0)</f>
        <v>0</v>
      </c>
      <c r="CS106" s="23" t="str">
        <f aca="false">IF(AND(CR106=1,INT(N(H106))&lt;=Config!$B$5),O106,"")</f>
        <v/>
      </c>
      <c r="CT106" s="23" t="str">
        <f aca="false">IF(AND(BB106=1,INT(N(H106))&lt;=Config!$B$5),AG106&amp;"","")</f>
        <v/>
      </c>
      <c r="CU106" s="23" t="n">
        <f aca="false">IF(AND(BB106=1,AU106="Y"),1,0)</f>
        <v>0</v>
      </c>
      <c r="CV106" s="23" t="n">
        <f aca="false">IF(CU106=1,IF(COUNTIFS($AZ$2:$AZ$201,AZ106,$CU$2:$CU$201,1,$H$2:$H$201,"&lt;"&amp;H106)+COUNTIFS($AZ$2:$AZ$201,AZ106,$CU$2:$CU$201,1,$H$2:$H$201,H106,$BA$2:$BA$201,"&lt;"&amp;BA106)=0,1,0),0)</f>
        <v>0</v>
      </c>
      <c r="CW106" s="23" t="str">
        <f aca="false">IF(BB106=1,IFERROR(MATCH($A106,INDEX(Clay_Offices!$A$2:$FZ$601,0,Sync!$C$5),0),""),"")</f>
        <v/>
      </c>
      <c r="CX106" s="23" t="str">
        <f aca="false">IF(CW106="","",IFERROR(INDEX(Clay_Offices!$A$2:$FZ$601,CW106,Sync!$C$7)&amp;"",""))</f>
        <v/>
      </c>
      <c r="CY106" s="23" t="str">
        <f aca="false">IF(CX106="","",IFERROR(INDEX(Lists!$K$2:$K$15,MATCH(CX106,Lists!$J$2:$J$15,0)),""))</f>
        <v/>
      </c>
      <c r="CZ106" s="23" t="str">
        <f aca="false">IF(CW106="","",IFERROR(INDEX(Clay_Offices!$A$2:$FZ$601,CW106,Sync!$C$17)&amp;"",""))</f>
        <v/>
      </c>
      <c r="DA106" s="35" t="str">
        <f aca="false">IF(CW106="","",IFERROR(N(INDEX(Clay_Offices!$A$2:$FZ$601,CW106,Sync!$C$16)),0))</f>
        <v/>
      </c>
      <c r="DB106" s="23" t="n">
        <f aca="false">IF(AND(BB106=1,OR(AR106="Y",AR106="N",AR106="maybe")),1,0)</f>
        <v>0</v>
      </c>
      <c r="DC106" s="23" t="n">
        <f aca="false">IF(AND(DB106=1),IF(COUNTIFS($A$2:$A$201,$A106,$DB$2:$DB$201,1,$H$2:$H$201,"&gt;"&amp;H106)+COUNTIFS($A$2:$A$201,$A106,$DB$2:$DB$201,1,$H$2:$H$201,H106,$BA$2:$BA$201,"&gt;"&amp;BA106)=0,1,0),0)</f>
        <v>0</v>
      </c>
      <c r="DD106" s="23" t="n">
        <f aca="false">IF(AND(DB106=1,INT(N(H106))&lt;=Config!$B$6),IF(COUNTIFS($AZ$2:$AZ$201,AZ106,$DB$2:$DB$201,1,$H$2:$H$201,"&gt;"&amp;H106,$H$2:$H$201,"&lt;"&amp;(Config!$B$6+1))+COUNTIFS($AZ$2:$AZ$201,AZ106,$DB$2:$DB$201,1,$H$2:$H$201,H106,$BA$2:$BA$201,"&gt;"&amp;BA106)=0,1,0),0)</f>
        <v>0</v>
      </c>
      <c r="DE106" s="23" t="n">
        <f aca="false">IF(AND(DB106=1,INT(N(H106))&lt;=Config!$B$7),IF(COUNTIFS($AZ$2:$AZ$201,AZ106,$DB$2:$DB$201,1,$H$2:$H$201,"&gt;"&amp;H106,$H$2:$H$201,"&lt;"&amp;(Config!$B$7+1))+COUNTIFS($AZ$2:$AZ$201,AZ106,$DB$2:$DB$201,1,$H$2:$H$201,H106,$BA$2:$BA$201,"&gt;"&amp;BA106)=0,1,0),0)</f>
        <v>0</v>
      </c>
      <c r="DF106" s="23" t="n">
        <f aca="false">IF(AND(DB106=1,INT(N(H106))&lt;=Config!$B$8),IF(COUNTIFS($AZ$2:$AZ$201,AZ106,$DB$2:$DB$201,1,$H$2:$H$201,"&gt;"&amp;H106,$H$2:$H$201,"&lt;"&amp;(Config!$B$8+1))+COUNTIFS($AZ$2:$AZ$201,AZ106,$DB$2:$DB$201,1,$H$2:$H$201,H106,$BA$2:$BA$201,"&gt;"&amp;BA106)=0,1,0),0)</f>
        <v>0</v>
      </c>
      <c r="DG106" s="23" t="n">
        <f aca="false">IF(AND(DB106=1,INT(N(H106))&lt;=Config!$B$5),IF(COUNTIFS($AZ$2:$AZ$201,AZ106,$DB$2:$DB$201,1,$H$2:$H$201,"&gt;"&amp;H106,$H$2:$H$201,"&lt;"&amp;(Config!$B$5+1))+COUNTIFS($AZ$2:$AZ$201,AZ106,$DB$2:$DB$201,1,$H$2:$H$201,H106,$BA$2:$BA$201,"&gt;"&amp;BA106)=0,1,0),0)</f>
        <v>0</v>
      </c>
      <c r="DH106" s="23" t="n">
        <f aca="false">IF(BB106=1,IF(COUNTIFS($AZ$2:$AZ$201,AZ106,$DD$2:$DD$201,1,$AR$2:$AR$201,"Y")&gt;0,1,0),0)</f>
        <v>0</v>
      </c>
      <c r="DI106" s="23" t="n">
        <f aca="false">IF(BB106=1,IF(COUNTIFS($AZ$2:$AZ$201,AZ106,$DE$2:$DE$201,1,$AR$2:$AR$201,"Y")&gt;0,1,0),0)</f>
        <v>0</v>
      </c>
      <c r="DJ106" s="23" t="n">
        <f aca="false">IF(BB106=1,IF(COUNTIFS($AZ$2:$AZ$201,AZ106,$DF$2:$DF$201,1,$AR$2:$AR$201,"Y")&gt;0,1,0),0)</f>
        <v>0</v>
      </c>
      <c r="DK106" s="23" t="n">
        <f aca="false">IF(BB106=1,IF(COUNTIFS($AZ$2:$AZ$201,AZ106,$DG$2:$DG$201,1,$AR$2:$AR$201,"Y")&gt;0,1,0),0)</f>
        <v>0</v>
      </c>
      <c r="DL106" s="23" t="n">
        <f aca="false">IF(AND(BF106=1,INT(N(H106))&lt;=Config!$B$6,DH106=1,EI106=0),1,0)</f>
        <v>0</v>
      </c>
      <c r="DM106" s="23" t="n">
        <f aca="false">IF(AND(BF106=1,INT(N(H106))&lt;=Config!$B$7,DI106=1,EI106=0),1,0)</f>
        <v>0</v>
      </c>
      <c r="DN106" s="23" t="n">
        <f aca="false">IF(AND(BF106=1,INT(N(H106))&lt;=Config!$B$8,DJ106=1,EI106=0),1,0)</f>
        <v>0</v>
      </c>
      <c r="DO106" s="23" t="n">
        <f aca="false">IF(AND(BF106=1,INT(N(H106))&lt;=Config!$B$5,DK106=1,EI106=0),1,0)</f>
        <v>0</v>
      </c>
      <c r="DP106" s="23" t="n">
        <f aca="false">IF(AND(CC106=1,INT(N(H106))&lt;=Config!$B$6,DH106=1,EI106=0),1,0)</f>
        <v>0</v>
      </c>
      <c r="DQ106" s="23" t="n">
        <f aca="false">IF(AND(CC106=1,INT(N(H106))&lt;=Config!$B$7,DI106=1,EI106=0),1,0)</f>
        <v>0</v>
      </c>
      <c r="DR106" s="23" t="n">
        <f aca="false">IF(AND(CC106=1,INT(N(H106))&lt;=Config!$B$8,DJ106=1,EI106=0),1,0)</f>
        <v>0</v>
      </c>
      <c r="DS106" s="23" t="n">
        <f aca="false">IF(AND(CC106=1,INT(N(H106))&lt;=Config!$B$5,DK106=1,EI106=0),1,0)</f>
        <v>0</v>
      </c>
      <c r="DT106" s="23" t="n">
        <f aca="false">IF(AND(CC106=1,INT(N(H106))&lt;=Config!$B$6,DH106=0),1,0)</f>
        <v>0</v>
      </c>
      <c r="DU106" s="23" t="n">
        <f aca="false">IF(AND(CC106=1,INT(N(H106))&lt;=Config!$B$7,DI106=0),1,0)</f>
        <v>0</v>
      </c>
      <c r="DV106" s="23" t="n">
        <f aca="false">IF(AND(CC106=1,INT(N(H106))&lt;=Config!$B$8,DJ106=0),1,0)</f>
        <v>0</v>
      </c>
      <c r="DW106" s="23" t="n">
        <f aca="false">IF(AND(CC106=1,INT(N(H106))&lt;=Config!$B$5,DK106=0),1,0)</f>
        <v>0</v>
      </c>
      <c r="DX106" s="23" t="n">
        <f aca="false">IF(TRIM($A106)="",0,ISTEXT(M106)+ISTEXT(O106)+ISTEXT(Y106)+ISTEXT(Z106)+ISTEXT(AA106)+ISTEXT(AV106))</f>
        <v>0</v>
      </c>
      <c r="DY106" s="23" t="n">
        <f aca="false">IF(BB106=1,IF(H106&lt;&gt;INT(H106),1,0),0)</f>
        <v>0</v>
      </c>
      <c r="DZ106" s="23" t="str">
        <f aca="false">IF(TRIM($A106)="","",IF(TRIM(B106)="",SUBSTITUTE(SUBSTITUTE(SUBSTITUTE(SUBSTITUTE(SUBSTITUTE(SUBSTITUTE(LOWER(TRIM($A106)),"~",""),"*",""),"?",""),"&lt;",""),"&gt;",""),"=",""),SUBSTITUTE(SUBSTITUTE(SUBSTITUTE(SUBSTITUTE(SUBSTITUTE(SUBSTITUTE(LOWER(TRIM(B106)),"~",""),"*",""),"?",""),"&lt;",""),"&gt;",""),"=","")))</f>
        <v/>
      </c>
      <c r="EA106" s="23" t="str">
        <f aca="false">IF(CW106="","",IFERROR(IF(LEFT(LOWER(TRIM(INDEX(Clay_Offices!$A$2:$FZ$601,CW106,Sync!$C$19)&amp;"")),4)="grp-",SUBSTITUTE(SUBSTITUTE(SUBSTITUTE(SUBSTITUTE(SUBSTITUTE(SUBSTITUTE(LOWER(TRIM(INDEX(Clay_Offices!$A$2:$FZ$601,CW106,Sync!$C$19)&amp;"")),"~",""),"*",""),"?",""),"&lt;",""),"&gt;",""),"=",""),""),""))</f>
        <v/>
      </c>
      <c r="EB106" s="23" t="str">
        <f aca="false">IF(EA106&lt;&gt;"",DZ106,"")</f>
        <v/>
      </c>
      <c r="EC106" s="23" t="str">
        <f aca="false">IF(BC106=1,AZ106,"")</f>
        <v/>
      </c>
      <c r="ED106" s="23" t="str">
        <f aca="false">IF(TRIM($A106)="","",IFERROR(INDEX($A$2:$A$201,MATCH(AZ106,$EC$2:$EC$201,0))&amp;"",$A106&amp;""))</f>
        <v/>
      </c>
      <c r="EE106" s="23" t="n">
        <f aca="false">IF(BB106=1,IF(COUNTIFS($A$2:$A$201,$A106,$BB$2:$BB$201,1,$H$2:$H$201,"&lt;"&amp;H106)+COUNTIFS($A$2:$A$201,$A106,$BB$2:$BB$201,1,$H$2:$H$201,H106,$BA$2:$BA$201,"&lt;"&amp;BA106)=0,1,0),0)</f>
        <v>0</v>
      </c>
      <c r="EF106" s="23" t="n">
        <f aca="false">IF(BC106=1,IF(COUNTIFS($AZ$2:$AZ$201,AZ106,$EE$2:$EE$201,1)&gt;1,1,0),0)</f>
        <v>0</v>
      </c>
      <c r="EG106" s="23" t="n">
        <f aca="false">IF(AND(CQ106=1),IF(COUNTIFS($AZ$2:$AZ$201,AZ106,$CQ$2:$CQ$201,1,$H$2:$H$201,"&gt;"&amp;H106)+COUNTIFS($AZ$2:$AZ$201,AZ106,$CQ$2:$CQ$201,1,$H$2:$H$201,H106,$BA$2:$BA$201,"&gt;"&amp;BA106)=0,1,0),0)</f>
        <v>0</v>
      </c>
      <c r="EH106" s="23" t="str">
        <f aca="false">IF(BB106=1,IF(COUNTIFS($AZ$2:$AZ$201,AZ106,$EG$2:$EG$201,1)=0,"",SUMIFS($O$2:$O$201,$AZ$2:$AZ$201,AZ106,$EG$2:$EG$201,1)),"")</f>
        <v/>
      </c>
      <c r="EI106" s="23" t="n">
        <f aca="false">IF(AND(ISNUMBER(EH106),OR(N(EH106)&lt;Config!$B$31,N(EH106)&gt;Config!$B$33)),1,0)</f>
        <v>0</v>
      </c>
      <c r="EJ106" s="23" t="n">
        <f aca="false">IF(AND(ISNUMBER(EH106),N(EH106)&gt;=Config!$B$31,N(EH106)&lt;Config!$B$32),1,0)</f>
        <v>0</v>
      </c>
      <c r="EK106" s="23" t="n">
        <f aca="false">IF(AND(BF106=1,INT(N(H106))&lt;=Config!$B$6,DH106=1,EI106=1),1,0)</f>
        <v>0</v>
      </c>
      <c r="EL106" s="23" t="n">
        <f aca="false">IF(AND(BF106=1,INT(N(H106))&lt;=Config!$B$7,DI106=1,EI106=1),1,0)</f>
        <v>0</v>
      </c>
      <c r="EM106" s="23" t="n">
        <f aca="false">IF(AND(BF106=1,INT(N(H106))&lt;=Config!$B$8,DJ106=1,EI106=1),1,0)</f>
        <v>0</v>
      </c>
      <c r="EN106" s="23" t="n">
        <f aca="false">IF(AND(BF106=1,INT(N(H106))&lt;=Config!$B$5,DK106=1,EI106=1),1,0)</f>
        <v>0</v>
      </c>
      <c r="EO106" s="23" t="n">
        <f aca="false">IF(AND(DL106=1,EJ106=1),1,0)</f>
        <v>0</v>
      </c>
      <c r="EP106" s="23" t="n">
        <f aca="false">IF(AND(DM106=1,EJ106=1),1,0)</f>
        <v>0</v>
      </c>
      <c r="EQ106" s="23" t="n">
        <f aca="false">IF(AND(DN106=1,EJ106=1),1,0)</f>
        <v>0</v>
      </c>
      <c r="ER106" s="23" t="n">
        <f aca="false">IF(AND(DO106=1,EJ106=1),1,0)</f>
        <v>0</v>
      </c>
    </row>
    <row r="107" customFormat="false" ht="15" hidden="false" customHeight="false" outlineLevel="0" collapsed="false">
      <c r="G107" s="32"/>
      <c r="H107" s="33"/>
      <c r="I107" s="32"/>
      <c r="L107" s="32"/>
      <c r="Q107" s="32"/>
      <c r="U107" s="32"/>
      <c r="W107" s="32"/>
      <c r="AC107" s="32"/>
      <c r="AF107" s="32"/>
      <c r="AI107" s="32"/>
      <c r="AJ107" s="32"/>
      <c r="AN107" s="32"/>
      <c r="AR107" s="32"/>
      <c r="AT107" s="32"/>
      <c r="AU107" s="32"/>
      <c r="AW107" s="32"/>
      <c r="AY107" s="34" t="str">
        <f aca="false">IF(TRIM($A107)="","",IF(AND(LEFT($A107,6)="SAMPLE",Config!$B$19&lt;&gt;"Y"),"",IF(NOT(ISNUMBER(H107)),"call_date is blank or not a date",IF(Sync!$C$5="","Clay paste is empty or has no row_id column: paste the Clay export on Clay_Offices",IF(CW107="","row_id not found in the Clay paste: add the Clay row or fix the row_id",IF(AND(ISNUMBER(CY107),CY107&gt;=1,CY107&lt;=5),"Clay status is "&amp;CX107&amp;": set call_done or later",IF(AND(BD107=1,CZ107&lt;&gt;BZ107),"Clay yes_in_principle should be "&amp;BZ107,IF(AND(BD107=1,DA107&lt;&gt;H107),"Clay call_date should be "&amp;TEXT(H107,"yyyy-mm-dd"),""))))))))</f>
        <v/>
      </c>
      <c r="AZ107" s="23" t="str">
        <f aca="false">IF(TRIM($A107)="","",IF(TRIM(C107)&lt;&gt;"",SUBSTITUTE(SUBSTITUTE(SUBSTITUTE(SUBSTITUTE(SUBSTITUTE(SUBSTITUTE(LOWER(TRIM(C107)),"~",""),"*",""),"?",""),"&lt;",""),"&gt;",""),"=",""),IF(EA107&lt;&gt;"",EA107,IFERROR(INDEX($EA$2:$EA$201,MATCH(DZ107,$EB$2:$EB$201,0)),DZ107))))</f>
        <v/>
      </c>
      <c r="BA107" s="23" t="n">
        <f aca="false">ROW()</f>
        <v>107</v>
      </c>
      <c r="BB107" s="23" t="n">
        <f aca="false">IF(AND(TRIM($A107)&lt;&gt;"",ISNUMBER(H107)),IF(AND(LEFT($A107,6)="SAMPLE",Config!$B$19&lt;&gt;"Y"),0,1),0)</f>
        <v>0</v>
      </c>
      <c r="BC107" s="23" t="n">
        <f aca="false">IF(BB107=1,IF(COUNTIFS($AZ$2:$AZ$201,AZ107,$BB$2:$BB$201,1,$H$2:$H$201,"&lt;"&amp;H107)+COUNTIFS($AZ$2:$AZ$201,AZ107,$BB$2:$BB$201,1,$H$2:$H$201,H107,$BA$2:$BA$201,"&lt;"&amp;BA107)=0,1,0),0)</f>
        <v>0</v>
      </c>
      <c r="BD107" s="23" t="n">
        <f aca="false">IF(BB107=1,IF(COUNTIFS($A$2:$A$201,$A107,$BB$2:$BB$201,1,$H$2:$H$201,"&gt;"&amp;H107)+COUNTIFS($A$2:$A$201,$A107,$BB$2:$BB$201,1,$H$2:$H$201,H107,$BA$2:$BA$201,"&gt;"&amp;BA107)=0,1,0),0)</f>
        <v>0</v>
      </c>
      <c r="BE107" s="23" t="n">
        <f aca="false">IF(AND(BB107=1,AR107="Y",AC107="Y",TRIM(AH107)&lt;&gt;""),1,0)</f>
        <v>0</v>
      </c>
      <c r="BF107" s="23" t="n">
        <f aca="false">IF(BE107=1,IF(COUNTIFS($AZ$2:$AZ$201,AZ107,$BE$2:$BE$201,1,$H$2:$H$201,"&lt;"&amp;H107)+COUNTIFS($AZ$2:$AZ$201,AZ107,$BE$2:$BE$201,1,$H$2:$H$201,H107,$BA$2:$BA$201,"&lt;"&amp;BA107)=0,1,0),0)</f>
        <v>0</v>
      </c>
      <c r="BG107" s="23" t="n">
        <f aca="false">IF(AND(BB107=1,AR107="Y",BE107=0),1,0)</f>
        <v>0</v>
      </c>
      <c r="BH107" s="23" t="n">
        <f aca="false">IF(AND(BB107=1,ISNUMBER(Y107)),1,0)</f>
        <v>0</v>
      </c>
      <c r="BI107" s="23" t="n">
        <f aca="false">IF(BH107=1,IF(COUNTIFS($AZ$2:$AZ$201,AZ107,$BH$2:$BH$201,1,$H$2:$H$201,"&lt;"&amp;H107)+COUNTIFS($AZ$2:$AZ$201,AZ107,$BH$2:$BH$201,1,$H$2:$H$201,H107,$BA$2:$BA$201,"&lt;"&amp;BA107)=0,1,0),0)</f>
        <v>0</v>
      </c>
      <c r="BJ107" s="23" t="str">
        <f aca="false">IF(AND(BI107=1,INT(N(H107))&lt;=Config!$B$6),Y107,"")</f>
        <v/>
      </c>
      <c r="BK107" s="23" t="str">
        <f aca="false">IF(AND(BI107=1,INT(N(H107))&lt;=Config!$B$7),Y107,"")</f>
        <v/>
      </c>
      <c r="BL107" s="23" t="str">
        <f aca="false">IF(AND(BI107=1,INT(N(H107))&lt;=Config!$B$8),Y107,"")</f>
        <v/>
      </c>
      <c r="BM107" s="23" t="str">
        <f aca="false">IF(AND(BI107=1,INT(N(H107))&lt;=Config!$B$5),Y107,"")</f>
        <v/>
      </c>
      <c r="BN107" s="23" t="n">
        <f aca="false">IF(CD107=1,IF(COUNTIFS($AZ$2:$AZ$201,AZ107,$CD$2:$CD$201,1,$H$2:$H$201,"&lt;"&amp;H107)+COUNTIFS($AZ$2:$AZ$201,AZ107,$CD$2:$CD$201,1,$H$2:$H$201,H107,$BA$2:$BA$201,"&lt;"&amp;BA107)=0,1,0),0)</f>
        <v>0</v>
      </c>
      <c r="BO107" s="23" t="n">
        <f aca="false">IF(AND(BB107=1,ISNUMBER(M107)),1,0)</f>
        <v>0</v>
      </c>
      <c r="BP107" s="23" t="n">
        <f aca="false">IF(BO107=1,IF(COUNTIFS($AZ$2:$AZ$201,AZ107,$BO$2:$BO$201,1,$H$2:$H$201,"&lt;"&amp;H107)+COUNTIFS($AZ$2:$AZ$201,AZ107,$BO$2:$BO$201,1,$H$2:$H$201,H107,$BA$2:$BA$201,"&lt;"&amp;BA107)=0,1,0),0)</f>
        <v>0</v>
      </c>
      <c r="BQ107" s="23" t="str">
        <f aca="false">IF(AND(BP107=1,INT(N(H107))&lt;=Config!$B$5),M107,"")</f>
        <v/>
      </c>
      <c r="BR107" s="23" t="n">
        <f aca="false">IF(AND(BB107=1,OR(TRIM(X107)&lt;&gt;"",ISNUMBER(Y107))),1,0)</f>
        <v>0</v>
      </c>
      <c r="BS107" s="23" t="n">
        <f aca="false">IF(BR107=1,IF(COUNTIFS($AZ$2:$AZ$201,AZ107,$BR$2:$BR$201,1,$H$2:$H$201,"&lt;"&amp;H107)+COUNTIFS($AZ$2:$AZ$201,AZ107,$BR$2:$BR$201,1,$H$2:$H$201,H107,$BA$2:$BA$201,"&lt;"&amp;BA107)=0,1,0),0)</f>
        <v>0</v>
      </c>
      <c r="BT107" s="23" t="str">
        <f aca="false">IF(BS107=1,AZ107,"")</f>
        <v/>
      </c>
      <c r="BU107" s="23" t="n">
        <f aca="false">IF(AND(BB107=1,W107="Y",TRIM(X107)=""),1,0)</f>
        <v>0</v>
      </c>
      <c r="BV107" s="23" t="str">
        <f aca="false">IF(BB107=1,AN107&amp;"","")</f>
        <v/>
      </c>
      <c r="BW107" s="23" t="str">
        <f aca="false">IF(BB107=1,AO107&amp;"","")</f>
        <v/>
      </c>
      <c r="BX107" s="23" t="str">
        <f aca="false">IF(BB107=1,AP107&amp;"","")</f>
        <v/>
      </c>
      <c r="BY107" s="23" t="str">
        <f aca="false">IF(AND(BB107=1,ISNUMBER(AV107),INT(N(H107))&lt;=Config!$B$5),AV107,"")</f>
        <v/>
      </c>
      <c r="BZ107" s="23" t="str">
        <f aca="false">IF(BB107=1,IF(COUNTIFS($A$2:$A$201,$A107,$DC$2:$DC$201,1,$AR$2:$AR$201,"Y")&gt;0,"Y","N"),"")</f>
        <v/>
      </c>
      <c r="CA107" s="23" t="n">
        <f aca="false">IF(AND(BB107=1,AR107="maybe"),1,0)</f>
        <v>0</v>
      </c>
      <c r="CB107" s="23" t="n">
        <f aca="false">IF(CA107=1,IF(COUNTIFS($AZ$2:$AZ$201,AZ107,$CA$2:$CA$201,1,$H$2:$H$201,"&lt;"&amp;H107)+COUNTIFS($AZ$2:$AZ$201,AZ107,$CA$2:$CA$201,1,$H$2:$H$201,H107,$BA$2:$BA$201,"&lt;"&amp;BA107)=0,1,0),0)</f>
        <v>0</v>
      </c>
      <c r="CC107" s="23" t="n">
        <f aca="false">IF(AND(BB107=1,AR107="Y"),IF(COUNTIFS($AZ$2:$AZ$201,AZ107,$AR$2:$AR$201,"Y",$BB$2:$BB$201,1,$H$2:$H$201,"&lt;"&amp;H107)+COUNTIFS($AZ$2:$AZ$201,AZ107,$AR$2:$AR$201,"Y",$BB$2:$BB$201,1,$H$2:$H$201,H107,$BA$2:$BA$201,"&lt;"&amp;BA107)=0,1,0),0)</f>
        <v>0</v>
      </c>
      <c r="CD107" s="23" t="n">
        <f aca="false">IF(AND(BH107=1,N(Y107)&gt;=Config!$B$15),1,0)</f>
        <v>0</v>
      </c>
      <c r="CE107" s="23" t="n">
        <f aca="false">IF(AND(BB107=1,AT107="Y"),1,0)</f>
        <v>0</v>
      </c>
      <c r="CF107" s="23" t="n">
        <f aca="false">IF(CE107=1,IF(COUNTIFS($AZ$2:$AZ$201,AZ107,$CE$2:$CE$201,1,$H$2:$H$201,"&lt;"&amp;H107)+COUNTIFS($AZ$2:$AZ$201,AZ107,$CE$2:$CE$201,1,$H$2:$H$201,H107,$BA$2:$BA$201,"&lt;"&amp;BA107)=0,1,0),0)</f>
        <v>0</v>
      </c>
      <c r="CG107" s="23" t="n">
        <f aca="false">IF(AND(BB107=1,G107="warm-intro"),1,0)</f>
        <v>0</v>
      </c>
      <c r="CH107" s="23" t="n">
        <f aca="false">IF(CG107=1,IF(COUNTIFS($AZ$2:$AZ$201,AZ107,$CG$2:$CG$201,1,$H$2:$H$201,"&lt;"&amp;H107)+COUNTIFS($AZ$2:$AZ$201,AZ107,$CG$2:$CG$201,1,$H$2:$H$201,H107,$BA$2:$BA$201,"&lt;"&amp;BA107)=0,1,0),0)</f>
        <v>0</v>
      </c>
      <c r="CI107" s="23" t="n">
        <f aca="false">IF(AND(BB107=1,Q107="Y"),1,0)</f>
        <v>0</v>
      </c>
      <c r="CJ107" s="23" t="n">
        <f aca="false">IF(CI107=1,IF(COUNTIFS($AZ$2:$AZ$201,AZ107,$CI$2:$CI$201,1,$H$2:$H$201,"&lt;"&amp;H107)+COUNTIFS($AZ$2:$AZ$201,AZ107,$CI$2:$CI$201,1,$H$2:$H$201,H107,$BA$2:$BA$201,"&lt;"&amp;BA107)=0,1,0),0)</f>
        <v>0</v>
      </c>
      <c r="CK107" s="23" t="n">
        <f aca="false">IF(AND(BB107=1,AF107="Y"),1,0)</f>
        <v>0</v>
      </c>
      <c r="CL107" s="23" t="n">
        <f aca="false">IF(CK107=1,IF(COUNTIFS($AZ$2:$AZ$201,AZ107,$CK$2:$CK$201,1,$H$2:$H$201,"&lt;"&amp;H107)+COUNTIFS($AZ$2:$AZ$201,AZ107,$CK$2:$CK$201,1,$H$2:$H$201,H107,$BA$2:$BA$201,"&lt;"&amp;BA107)=0,1,0),0)</f>
        <v>0</v>
      </c>
      <c r="CM107" s="23" t="n">
        <f aca="false">IF(AND(BB107=1,U107="Y"),1,0)</f>
        <v>0</v>
      </c>
      <c r="CN107" s="23" t="n">
        <f aca="false">IF(CM107=1,IF(COUNTIFS($AZ$2:$AZ$201,AZ107,$CM$2:$CM$201,1,$H$2:$H$201,"&lt;"&amp;H107)+COUNTIFS($AZ$2:$AZ$201,AZ107,$CM$2:$CM$201,1,$H$2:$H$201,H107,$BA$2:$BA$201,"&lt;"&amp;BA107)=0,1,0),0)</f>
        <v>0</v>
      </c>
      <c r="CO107" s="23" t="n">
        <f aca="false">IF(AND(BB107=1,L107="Y"),1,0)</f>
        <v>0</v>
      </c>
      <c r="CP107" s="23" t="n">
        <f aca="false">IF(CO107=1,IF(COUNTIFS($AZ$2:$AZ$201,AZ107,$CO$2:$CO$201,1,$H$2:$H$201,"&lt;"&amp;H107)+COUNTIFS($AZ$2:$AZ$201,AZ107,$CO$2:$CO$201,1,$H$2:$H$201,H107,$BA$2:$BA$201,"&lt;"&amp;BA107)=0,1,0),0)</f>
        <v>0</v>
      </c>
      <c r="CQ107" s="23" t="n">
        <f aca="false">IF(AND(BB107=1,ISNUMBER(O107)),1,0)</f>
        <v>0</v>
      </c>
      <c r="CR107" s="23" t="n">
        <f aca="false">IF(CQ107=1,IF(COUNTIFS($AZ$2:$AZ$201,AZ107,$CQ$2:$CQ$201,1,$H$2:$H$201,"&lt;"&amp;H107)+COUNTIFS($AZ$2:$AZ$201,AZ107,$CQ$2:$CQ$201,1,$H$2:$H$201,H107,$BA$2:$BA$201,"&lt;"&amp;BA107)=0,1,0),0)</f>
        <v>0</v>
      </c>
      <c r="CS107" s="23" t="str">
        <f aca="false">IF(AND(CR107=1,INT(N(H107))&lt;=Config!$B$5),O107,"")</f>
        <v/>
      </c>
      <c r="CT107" s="23" t="str">
        <f aca="false">IF(AND(BB107=1,INT(N(H107))&lt;=Config!$B$5),AG107&amp;"","")</f>
        <v/>
      </c>
      <c r="CU107" s="23" t="n">
        <f aca="false">IF(AND(BB107=1,AU107="Y"),1,0)</f>
        <v>0</v>
      </c>
      <c r="CV107" s="23" t="n">
        <f aca="false">IF(CU107=1,IF(COUNTIFS($AZ$2:$AZ$201,AZ107,$CU$2:$CU$201,1,$H$2:$H$201,"&lt;"&amp;H107)+COUNTIFS($AZ$2:$AZ$201,AZ107,$CU$2:$CU$201,1,$H$2:$H$201,H107,$BA$2:$BA$201,"&lt;"&amp;BA107)=0,1,0),0)</f>
        <v>0</v>
      </c>
      <c r="CW107" s="23" t="str">
        <f aca="false">IF(BB107=1,IFERROR(MATCH($A107,INDEX(Clay_Offices!$A$2:$FZ$601,0,Sync!$C$5),0),""),"")</f>
        <v/>
      </c>
      <c r="CX107" s="23" t="str">
        <f aca="false">IF(CW107="","",IFERROR(INDEX(Clay_Offices!$A$2:$FZ$601,CW107,Sync!$C$7)&amp;"",""))</f>
        <v/>
      </c>
      <c r="CY107" s="23" t="str">
        <f aca="false">IF(CX107="","",IFERROR(INDEX(Lists!$K$2:$K$15,MATCH(CX107,Lists!$J$2:$J$15,0)),""))</f>
        <v/>
      </c>
      <c r="CZ107" s="23" t="str">
        <f aca="false">IF(CW107="","",IFERROR(INDEX(Clay_Offices!$A$2:$FZ$601,CW107,Sync!$C$17)&amp;"",""))</f>
        <v/>
      </c>
      <c r="DA107" s="35" t="str">
        <f aca="false">IF(CW107="","",IFERROR(N(INDEX(Clay_Offices!$A$2:$FZ$601,CW107,Sync!$C$16)),0))</f>
        <v/>
      </c>
      <c r="DB107" s="23" t="n">
        <f aca="false">IF(AND(BB107=1,OR(AR107="Y",AR107="N",AR107="maybe")),1,0)</f>
        <v>0</v>
      </c>
      <c r="DC107" s="23" t="n">
        <f aca="false">IF(AND(DB107=1),IF(COUNTIFS($A$2:$A$201,$A107,$DB$2:$DB$201,1,$H$2:$H$201,"&gt;"&amp;H107)+COUNTIFS($A$2:$A$201,$A107,$DB$2:$DB$201,1,$H$2:$H$201,H107,$BA$2:$BA$201,"&gt;"&amp;BA107)=0,1,0),0)</f>
        <v>0</v>
      </c>
      <c r="DD107" s="23" t="n">
        <f aca="false">IF(AND(DB107=1,INT(N(H107))&lt;=Config!$B$6),IF(COUNTIFS($AZ$2:$AZ$201,AZ107,$DB$2:$DB$201,1,$H$2:$H$201,"&gt;"&amp;H107,$H$2:$H$201,"&lt;"&amp;(Config!$B$6+1))+COUNTIFS($AZ$2:$AZ$201,AZ107,$DB$2:$DB$201,1,$H$2:$H$201,H107,$BA$2:$BA$201,"&gt;"&amp;BA107)=0,1,0),0)</f>
        <v>0</v>
      </c>
      <c r="DE107" s="23" t="n">
        <f aca="false">IF(AND(DB107=1,INT(N(H107))&lt;=Config!$B$7),IF(COUNTIFS($AZ$2:$AZ$201,AZ107,$DB$2:$DB$201,1,$H$2:$H$201,"&gt;"&amp;H107,$H$2:$H$201,"&lt;"&amp;(Config!$B$7+1))+COUNTIFS($AZ$2:$AZ$201,AZ107,$DB$2:$DB$201,1,$H$2:$H$201,H107,$BA$2:$BA$201,"&gt;"&amp;BA107)=0,1,0),0)</f>
        <v>0</v>
      </c>
      <c r="DF107" s="23" t="n">
        <f aca="false">IF(AND(DB107=1,INT(N(H107))&lt;=Config!$B$8),IF(COUNTIFS($AZ$2:$AZ$201,AZ107,$DB$2:$DB$201,1,$H$2:$H$201,"&gt;"&amp;H107,$H$2:$H$201,"&lt;"&amp;(Config!$B$8+1))+COUNTIFS($AZ$2:$AZ$201,AZ107,$DB$2:$DB$201,1,$H$2:$H$201,H107,$BA$2:$BA$201,"&gt;"&amp;BA107)=0,1,0),0)</f>
        <v>0</v>
      </c>
      <c r="DG107" s="23" t="n">
        <f aca="false">IF(AND(DB107=1,INT(N(H107))&lt;=Config!$B$5),IF(COUNTIFS($AZ$2:$AZ$201,AZ107,$DB$2:$DB$201,1,$H$2:$H$201,"&gt;"&amp;H107,$H$2:$H$201,"&lt;"&amp;(Config!$B$5+1))+COUNTIFS($AZ$2:$AZ$201,AZ107,$DB$2:$DB$201,1,$H$2:$H$201,H107,$BA$2:$BA$201,"&gt;"&amp;BA107)=0,1,0),0)</f>
        <v>0</v>
      </c>
      <c r="DH107" s="23" t="n">
        <f aca="false">IF(BB107=1,IF(COUNTIFS($AZ$2:$AZ$201,AZ107,$DD$2:$DD$201,1,$AR$2:$AR$201,"Y")&gt;0,1,0),0)</f>
        <v>0</v>
      </c>
      <c r="DI107" s="23" t="n">
        <f aca="false">IF(BB107=1,IF(COUNTIFS($AZ$2:$AZ$201,AZ107,$DE$2:$DE$201,1,$AR$2:$AR$201,"Y")&gt;0,1,0),0)</f>
        <v>0</v>
      </c>
      <c r="DJ107" s="23" t="n">
        <f aca="false">IF(BB107=1,IF(COUNTIFS($AZ$2:$AZ$201,AZ107,$DF$2:$DF$201,1,$AR$2:$AR$201,"Y")&gt;0,1,0),0)</f>
        <v>0</v>
      </c>
      <c r="DK107" s="23" t="n">
        <f aca="false">IF(BB107=1,IF(COUNTIFS($AZ$2:$AZ$201,AZ107,$DG$2:$DG$201,1,$AR$2:$AR$201,"Y")&gt;0,1,0),0)</f>
        <v>0</v>
      </c>
      <c r="DL107" s="23" t="n">
        <f aca="false">IF(AND(BF107=1,INT(N(H107))&lt;=Config!$B$6,DH107=1,EI107=0),1,0)</f>
        <v>0</v>
      </c>
      <c r="DM107" s="23" t="n">
        <f aca="false">IF(AND(BF107=1,INT(N(H107))&lt;=Config!$B$7,DI107=1,EI107=0),1,0)</f>
        <v>0</v>
      </c>
      <c r="DN107" s="23" t="n">
        <f aca="false">IF(AND(BF107=1,INT(N(H107))&lt;=Config!$B$8,DJ107=1,EI107=0),1,0)</f>
        <v>0</v>
      </c>
      <c r="DO107" s="23" t="n">
        <f aca="false">IF(AND(BF107=1,INT(N(H107))&lt;=Config!$B$5,DK107=1,EI107=0),1,0)</f>
        <v>0</v>
      </c>
      <c r="DP107" s="23" t="n">
        <f aca="false">IF(AND(CC107=1,INT(N(H107))&lt;=Config!$B$6,DH107=1,EI107=0),1,0)</f>
        <v>0</v>
      </c>
      <c r="DQ107" s="23" t="n">
        <f aca="false">IF(AND(CC107=1,INT(N(H107))&lt;=Config!$B$7,DI107=1,EI107=0),1,0)</f>
        <v>0</v>
      </c>
      <c r="DR107" s="23" t="n">
        <f aca="false">IF(AND(CC107=1,INT(N(H107))&lt;=Config!$B$8,DJ107=1,EI107=0),1,0)</f>
        <v>0</v>
      </c>
      <c r="DS107" s="23" t="n">
        <f aca="false">IF(AND(CC107=1,INT(N(H107))&lt;=Config!$B$5,DK107=1,EI107=0),1,0)</f>
        <v>0</v>
      </c>
      <c r="DT107" s="23" t="n">
        <f aca="false">IF(AND(CC107=1,INT(N(H107))&lt;=Config!$B$6,DH107=0),1,0)</f>
        <v>0</v>
      </c>
      <c r="DU107" s="23" t="n">
        <f aca="false">IF(AND(CC107=1,INT(N(H107))&lt;=Config!$B$7,DI107=0),1,0)</f>
        <v>0</v>
      </c>
      <c r="DV107" s="23" t="n">
        <f aca="false">IF(AND(CC107=1,INT(N(H107))&lt;=Config!$B$8,DJ107=0),1,0)</f>
        <v>0</v>
      </c>
      <c r="DW107" s="23" t="n">
        <f aca="false">IF(AND(CC107=1,INT(N(H107))&lt;=Config!$B$5,DK107=0),1,0)</f>
        <v>0</v>
      </c>
      <c r="DX107" s="23" t="n">
        <f aca="false">IF(TRIM($A107)="",0,ISTEXT(M107)+ISTEXT(O107)+ISTEXT(Y107)+ISTEXT(Z107)+ISTEXT(AA107)+ISTEXT(AV107))</f>
        <v>0</v>
      </c>
      <c r="DY107" s="23" t="n">
        <f aca="false">IF(BB107=1,IF(H107&lt;&gt;INT(H107),1,0),0)</f>
        <v>0</v>
      </c>
      <c r="DZ107" s="23" t="str">
        <f aca="false">IF(TRIM($A107)="","",IF(TRIM(B107)="",SUBSTITUTE(SUBSTITUTE(SUBSTITUTE(SUBSTITUTE(SUBSTITUTE(SUBSTITUTE(LOWER(TRIM($A107)),"~",""),"*",""),"?",""),"&lt;",""),"&gt;",""),"=",""),SUBSTITUTE(SUBSTITUTE(SUBSTITUTE(SUBSTITUTE(SUBSTITUTE(SUBSTITUTE(LOWER(TRIM(B107)),"~",""),"*",""),"?",""),"&lt;",""),"&gt;",""),"=","")))</f>
        <v/>
      </c>
      <c r="EA107" s="23" t="str">
        <f aca="false">IF(CW107="","",IFERROR(IF(LEFT(LOWER(TRIM(INDEX(Clay_Offices!$A$2:$FZ$601,CW107,Sync!$C$19)&amp;"")),4)="grp-",SUBSTITUTE(SUBSTITUTE(SUBSTITUTE(SUBSTITUTE(SUBSTITUTE(SUBSTITUTE(LOWER(TRIM(INDEX(Clay_Offices!$A$2:$FZ$601,CW107,Sync!$C$19)&amp;"")),"~",""),"*",""),"?",""),"&lt;",""),"&gt;",""),"=",""),""),""))</f>
        <v/>
      </c>
      <c r="EB107" s="23" t="str">
        <f aca="false">IF(EA107&lt;&gt;"",DZ107,"")</f>
        <v/>
      </c>
      <c r="EC107" s="23" t="str">
        <f aca="false">IF(BC107=1,AZ107,"")</f>
        <v/>
      </c>
      <c r="ED107" s="23" t="str">
        <f aca="false">IF(TRIM($A107)="","",IFERROR(INDEX($A$2:$A$201,MATCH(AZ107,$EC$2:$EC$201,0))&amp;"",$A107&amp;""))</f>
        <v/>
      </c>
      <c r="EE107" s="23" t="n">
        <f aca="false">IF(BB107=1,IF(COUNTIFS($A$2:$A$201,$A107,$BB$2:$BB$201,1,$H$2:$H$201,"&lt;"&amp;H107)+COUNTIFS($A$2:$A$201,$A107,$BB$2:$BB$201,1,$H$2:$H$201,H107,$BA$2:$BA$201,"&lt;"&amp;BA107)=0,1,0),0)</f>
        <v>0</v>
      </c>
      <c r="EF107" s="23" t="n">
        <f aca="false">IF(BC107=1,IF(COUNTIFS($AZ$2:$AZ$201,AZ107,$EE$2:$EE$201,1)&gt;1,1,0),0)</f>
        <v>0</v>
      </c>
      <c r="EG107" s="23" t="n">
        <f aca="false">IF(AND(CQ107=1),IF(COUNTIFS($AZ$2:$AZ$201,AZ107,$CQ$2:$CQ$201,1,$H$2:$H$201,"&gt;"&amp;H107)+COUNTIFS($AZ$2:$AZ$201,AZ107,$CQ$2:$CQ$201,1,$H$2:$H$201,H107,$BA$2:$BA$201,"&gt;"&amp;BA107)=0,1,0),0)</f>
        <v>0</v>
      </c>
      <c r="EH107" s="23" t="str">
        <f aca="false">IF(BB107=1,IF(COUNTIFS($AZ$2:$AZ$201,AZ107,$EG$2:$EG$201,1)=0,"",SUMIFS($O$2:$O$201,$AZ$2:$AZ$201,AZ107,$EG$2:$EG$201,1)),"")</f>
        <v/>
      </c>
      <c r="EI107" s="23" t="n">
        <f aca="false">IF(AND(ISNUMBER(EH107),OR(N(EH107)&lt;Config!$B$31,N(EH107)&gt;Config!$B$33)),1,0)</f>
        <v>0</v>
      </c>
      <c r="EJ107" s="23" t="n">
        <f aca="false">IF(AND(ISNUMBER(EH107),N(EH107)&gt;=Config!$B$31,N(EH107)&lt;Config!$B$32),1,0)</f>
        <v>0</v>
      </c>
      <c r="EK107" s="23" t="n">
        <f aca="false">IF(AND(BF107=1,INT(N(H107))&lt;=Config!$B$6,DH107=1,EI107=1),1,0)</f>
        <v>0</v>
      </c>
      <c r="EL107" s="23" t="n">
        <f aca="false">IF(AND(BF107=1,INT(N(H107))&lt;=Config!$B$7,DI107=1,EI107=1),1,0)</f>
        <v>0</v>
      </c>
      <c r="EM107" s="23" t="n">
        <f aca="false">IF(AND(BF107=1,INT(N(H107))&lt;=Config!$B$8,DJ107=1,EI107=1),1,0)</f>
        <v>0</v>
      </c>
      <c r="EN107" s="23" t="n">
        <f aca="false">IF(AND(BF107=1,INT(N(H107))&lt;=Config!$B$5,DK107=1,EI107=1),1,0)</f>
        <v>0</v>
      </c>
      <c r="EO107" s="23" t="n">
        <f aca="false">IF(AND(DL107=1,EJ107=1),1,0)</f>
        <v>0</v>
      </c>
      <c r="EP107" s="23" t="n">
        <f aca="false">IF(AND(DM107=1,EJ107=1),1,0)</f>
        <v>0</v>
      </c>
      <c r="EQ107" s="23" t="n">
        <f aca="false">IF(AND(DN107=1,EJ107=1),1,0)</f>
        <v>0</v>
      </c>
      <c r="ER107" s="23" t="n">
        <f aca="false">IF(AND(DO107=1,EJ107=1),1,0)</f>
        <v>0</v>
      </c>
    </row>
    <row r="108" customFormat="false" ht="15" hidden="false" customHeight="false" outlineLevel="0" collapsed="false">
      <c r="G108" s="32"/>
      <c r="H108" s="33"/>
      <c r="I108" s="32"/>
      <c r="L108" s="32"/>
      <c r="Q108" s="32"/>
      <c r="U108" s="32"/>
      <c r="W108" s="32"/>
      <c r="AC108" s="32"/>
      <c r="AF108" s="32"/>
      <c r="AI108" s="32"/>
      <c r="AJ108" s="32"/>
      <c r="AN108" s="32"/>
      <c r="AR108" s="32"/>
      <c r="AT108" s="32"/>
      <c r="AU108" s="32"/>
      <c r="AW108" s="32"/>
      <c r="AY108" s="34" t="str">
        <f aca="false">IF(TRIM($A108)="","",IF(AND(LEFT($A108,6)="SAMPLE",Config!$B$19&lt;&gt;"Y"),"",IF(NOT(ISNUMBER(H108)),"call_date is blank or not a date",IF(Sync!$C$5="","Clay paste is empty or has no row_id column: paste the Clay export on Clay_Offices",IF(CW108="","row_id not found in the Clay paste: add the Clay row or fix the row_id",IF(AND(ISNUMBER(CY108),CY108&gt;=1,CY108&lt;=5),"Clay status is "&amp;CX108&amp;": set call_done or later",IF(AND(BD108=1,CZ108&lt;&gt;BZ108),"Clay yes_in_principle should be "&amp;BZ108,IF(AND(BD108=1,DA108&lt;&gt;H108),"Clay call_date should be "&amp;TEXT(H108,"yyyy-mm-dd"),""))))))))</f>
        <v/>
      </c>
      <c r="AZ108" s="23" t="str">
        <f aca="false">IF(TRIM($A108)="","",IF(TRIM(C108)&lt;&gt;"",SUBSTITUTE(SUBSTITUTE(SUBSTITUTE(SUBSTITUTE(SUBSTITUTE(SUBSTITUTE(LOWER(TRIM(C108)),"~",""),"*",""),"?",""),"&lt;",""),"&gt;",""),"=",""),IF(EA108&lt;&gt;"",EA108,IFERROR(INDEX($EA$2:$EA$201,MATCH(DZ108,$EB$2:$EB$201,0)),DZ108))))</f>
        <v/>
      </c>
      <c r="BA108" s="23" t="n">
        <f aca="false">ROW()</f>
        <v>108</v>
      </c>
      <c r="BB108" s="23" t="n">
        <f aca="false">IF(AND(TRIM($A108)&lt;&gt;"",ISNUMBER(H108)),IF(AND(LEFT($A108,6)="SAMPLE",Config!$B$19&lt;&gt;"Y"),0,1),0)</f>
        <v>0</v>
      </c>
      <c r="BC108" s="23" t="n">
        <f aca="false">IF(BB108=1,IF(COUNTIFS($AZ$2:$AZ$201,AZ108,$BB$2:$BB$201,1,$H$2:$H$201,"&lt;"&amp;H108)+COUNTIFS($AZ$2:$AZ$201,AZ108,$BB$2:$BB$201,1,$H$2:$H$201,H108,$BA$2:$BA$201,"&lt;"&amp;BA108)=0,1,0),0)</f>
        <v>0</v>
      </c>
      <c r="BD108" s="23" t="n">
        <f aca="false">IF(BB108=1,IF(COUNTIFS($A$2:$A$201,$A108,$BB$2:$BB$201,1,$H$2:$H$201,"&gt;"&amp;H108)+COUNTIFS($A$2:$A$201,$A108,$BB$2:$BB$201,1,$H$2:$H$201,H108,$BA$2:$BA$201,"&gt;"&amp;BA108)=0,1,0),0)</f>
        <v>0</v>
      </c>
      <c r="BE108" s="23" t="n">
        <f aca="false">IF(AND(BB108=1,AR108="Y",AC108="Y",TRIM(AH108)&lt;&gt;""),1,0)</f>
        <v>0</v>
      </c>
      <c r="BF108" s="23" t="n">
        <f aca="false">IF(BE108=1,IF(COUNTIFS($AZ$2:$AZ$201,AZ108,$BE$2:$BE$201,1,$H$2:$H$201,"&lt;"&amp;H108)+COUNTIFS($AZ$2:$AZ$201,AZ108,$BE$2:$BE$201,1,$H$2:$H$201,H108,$BA$2:$BA$201,"&lt;"&amp;BA108)=0,1,0),0)</f>
        <v>0</v>
      </c>
      <c r="BG108" s="23" t="n">
        <f aca="false">IF(AND(BB108=1,AR108="Y",BE108=0),1,0)</f>
        <v>0</v>
      </c>
      <c r="BH108" s="23" t="n">
        <f aca="false">IF(AND(BB108=1,ISNUMBER(Y108)),1,0)</f>
        <v>0</v>
      </c>
      <c r="BI108" s="23" t="n">
        <f aca="false">IF(BH108=1,IF(COUNTIFS($AZ$2:$AZ$201,AZ108,$BH$2:$BH$201,1,$H$2:$H$201,"&lt;"&amp;H108)+COUNTIFS($AZ$2:$AZ$201,AZ108,$BH$2:$BH$201,1,$H$2:$H$201,H108,$BA$2:$BA$201,"&lt;"&amp;BA108)=0,1,0),0)</f>
        <v>0</v>
      </c>
      <c r="BJ108" s="23" t="str">
        <f aca="false">IF(AND(BI108=1,INT(N(H108))&lt;=Config!$B$6),Y108,"")</f>
        <v/>
      </c>
      <c r="BK108" s="23" t="str">
        <f aca="false">IF(AND(BI108=1,INT(N(H108))&lt;=Config!$B$7),Y108,"")</f>
        <v/>
      </c>
      <c r="BL108" s="23" t="str">
        <f aca="false">IF(AND(BI108=1,INT(N(H108))&lt;=Config!$B$8),Y108,"")</f>
        <v/>
      </c>
      <c r="BM108" s="23" t="str">
        <f aca="false">IF(AND(BI108=1,INT(N(H108))&lt;=Config!$B$5),Y108,"")</f>
        <v/>
      </c>
      <c r="BN108" s="23" t="n">
        <f aca="false">IF(CD108=1,IF(COUNTIFS($AZ$2:$AZ$201,AZ108,$CD$2:$CD$201,1,$H$2:$H$201,"&lt;"&amp;H108)+COUNTIFS($AZ$2:$AZ$201,AZ108,$CD$2:$CD$201,1,$H$2:$H$201,H108,$BA$2:$BA$201,"&lt;"&amp;BA108)=0,1,0),0)</f>
        <v>0</v>
      </c>
      <c r="BO108" s="23" t="n">
        <f aca="false">IF(AND(BB108=1,ISNUMBER(M108)),1,0)</f>
        <v>0</v>
      </c>
      <c r="BP108" s="23" t="n">
        <f aca="false">IF(BO108=1,IF(COUNTIFS($AZ$2:$AZ$201,AZ108,$BO$2:$BO$201,1,$H$2:$H$201,"&lt;"&amp;H108)+COUNTIFS($AZ$2:$AZ$201,AZ108,$BO$2:$BO$201,1,$H$2:$H$201,H108,$BA$2:$BA$201,"&lt;"&amp;BA108)=0,1,0),0)</f>
        <v>0</v>
      </c>
      <c r="BQ108" s="23" t="str">
        <f aca="false">IF(AND(BP108=1,INT(N(H108))&lt;=Config!$B$5),M108,"")</f>
        <v/>
      </c>
      <c r="BR108" s="23" t="n">
        <f aca="false">IF(AND(BB108=1,OR(TRIM(X108)&lt;&gt;"",ISNUMBER(Y108))),1,0)</f>
        <v>0</v>
      </c>
      <c r="BS108" s="23" t="n">
        <f aca="false">IF(BR108=1,IF(COUNTIFS($AZ$2:$AZ$201,AZ108,$BR$2:$BR$201,1,$H$2:$H$201,"&lt;"&amp;H108)+COUNTIFS($AZ$2:$AZ$201,AZ108,$BR$2:$BR$201,1,$H$2:$H$201,H108,$BA$2:$BA$201,"&lt;"&amp;BA108)=0,1,0),0)</f>
        <v>0</v>
      </c>
      <c r="BT108" s="23" t="str">
        <f aca="false">IF(BS108=1,AZ108,"")</f>
        <v/>
      </c>
      <c r="BU108" s="23" t="n">
        <f aca="false">IF(AND(BB108=1,W108="Y",TRIM(X108)=""),1,0)</f>
        <v>0</v>
      </c>
      <c r="BV108" s="23" t="str">
        <f aca="false">IF(BB108=1,AN108&amp;"","")</f>
        <v/>
      </c>
      <c r="BW108" s="23" t="str">
        <f aca="false">IF(BB108=1,AO108&amp;"","")</f>
        <v/>
      </c>
      <c r="BX108" s="23" t="str">
        <f aca="false">IF(BB108=1,AP108&amp;"","")</f>
        <v/>
      </c>
      <c r="BY108" s="23" t="str">
        <f aca="false">IF(AND(BB108=1,ISNUMBER(AV108),INT(N(H108))&lt;=Config!$B$5),AV108,"")</f>
        <v/>
      </c>
      <c r="BZ108" s="23" t="str">
        <f aca="false">IF(BB108=1,IF(COUNTIFS($A$2:$A$201,$A108,$DC$2:$DC$201,1,$AR$2:$AR$201,"Y")&gt;0,"Y","N"),"")</f>
        <v/>
      </c>
      <c r="CA108" s="23" t="n">
        <f aca="false">IF(AND(BB108=1,AR108="maybe"),1,0)</f>
        <v>0</v>
      </c>
      <c r="CB108" s="23" t="n">
        <f aca="false">IF(CA108=1,IF(COUNTIFS($AZ$2:$AZ$201,AZ108,$CA$2:$CA$201,1,$H$2:$H$201,"&lt;"&amp;H108)+COUNTIFS($AZ$2:$AZ$201,AZ108,$CA$2:$CA$201,1,$H$2:$H$201,H108,$BA$2:$BA$201,"&lt;"&amp;BA108)=0,1,0),0)</f>
        <v>0</v>
      </c>
      <c r="CC108" s="23" t="n">
        <f aca="false">IF(AND(BB108=1,AR108="Y"),IF(COUNTIFS($AZ$2:$AZ$201,AZ108,$AR$2:$AR$201,"Y",$BB$2:$BB$201,1,$H$2:$H$201,"&lt;"&amp;H108)+COUNTIFS($AZ$2:$AZ$201,AZ108,$AR$2:$AR$201,"Y",$BB$2:$BB$201,1,$H$2:$H$201,H108,$BA$2:$BA$201,"&lt;"&amp;BA108)=0,1,0),0)</f>
        <v>0</v>
      </c>
      <c r="CD108" s="23" t="n">
        <f aca="false">IF(AND(BH108=1,N(Y108)&gt;=Config!$B$15),1,0)</f>
        <v>0</v>
      </c>
      <c r="CE108" s="23" t="n">
        <f aca="false">IF(AND(BB108=1,AT108="Y"),1,0)</f>
        <v>0</v>
      </c>
      <c r="CF108" s="23" t="n">
        <f aca="false">IF(CE108=1,IF(COUNTIFS($AZ$2:$AZ$201,AZ108,$CE$2:$CE$201,1,$H$2:$H$201,"&lt;"&amp;H108)+COUNTIFS($AZ$2:$AZ$201,AZ108,$CE$2:$CE$201,1,$H$2:$H$201,H108,$BA$2:$BA$201,"&lt;"&amp;BA108)=0,1,0),0)</f>
        <v>0</v>
      </c>
      <c r="CG108" s="23" t="n">
        <f aca="false">IF(AND(BB108=1,G108="warm-intro"),1,0)</f>
        <v>0</v>
      </c>
      <c r="CH108" s="23" t="n">
        <f aca="false">IF(CG108=1,IF(COUNTIFS($AZ$2:$AZ$201,AZ108,$CG$2:$CG$201,1,$H$2:$H$201,"&lt;"&amp;H108)+COUNTIFS($AZ$2:$AZ$201,AZ108,$CG$2:$CG$201,1,$H$2:$H$201,H108,$BA$2:$BA$201,"&lt;"&amp;BA108)=0,1,0),0)</f>
        <v>0</v>
      </c>
      <c r="CI108" s="23" t="n">
        <f aca="false">IF(AND(BB108=1,Q108="Y"),1,0)</f>
        <v>0</v>
      </c>
      <c r="CJ108" s="23" t="n">
        <f aca="false">IF(CI108=1,IF(COUNTIFS($AZ$2:$AZ$201,AZ108,$CI$2:$CI$201,1,$H$2:$H$201,"&lt;"&amp;H108)+COUNTIFS($AZ$2:$AZ$201,AZ108,$CI$2:$CI$201,1,$H$2:$H$201,H108,$BA$2:$BA$201,"&lt;"&amp;BA108)=0,1,0),0)</f>
        <v>0</v>
      </c>
      <c r="CK108" s="23" t="n">
        <f aca="false">IF(AND(BB108=1,AF108="Y"),1,0)</f>
        <v>0</v>
      </c>
      <c r="CL108" s="23" t="n">
        <f aca="false">IF(CK108=1,IF(COUNTIFS($AZ$2:$AZ$201,AZ108,$CK$2:$CK$201,1,$H$2:$H$201,"&lt;"&amp;H108)+COUNTIFS($AZ$2:$AZ$201,AZ108,$CK$2:$CK$201,1,$H$2:$H$201,H108,$BA$2:$BA$201,"&lt;"&amp;BA108)=0,1,0),0)</f>
        <v>0</v>
      </c>
      <c r="CM108" s="23" t="n">
        <f aca="false">IF(AND(BB108=1,U108="Y"),1,0)</f>
        <v>0</v>
      </c>
      <c r="CN108" s="23" t="n">
        <f aca="false">IF(CM108=1,IF(COUNTIFS($AZ$2:$AZ$201,AZ108,$CM$2:$CM$201,1,$H$2:$H$201,"&lt;"&amp;H108)+COUNTIFS($AZ$2:$AZ$201,AZ108,$CM$2:$CM$201,1,$H$2:$H$201,H108,$BA$2:$BA$201,"&lt;"&amp;BA108)=0,1,0),0)</f>
        <v>0</v>
      </c>
      <c r="CO108" s="23" t="n">
        <f aca="false">IF(AND(BB108=1,L108="Y"),1,0)</f>
        <v>0</v>
      </c>
      <c r="CP108" s="23" t="n">
        <f aca="false">IF(CO108=1,IF(COUNTIFS($AZ$2:$AZ$201,AZ108,$CO$2:$CO$201,1,$H$2:$H$201,"&lt;"&amp;H108)+COUNTIFS($AZ$2:$AZ$201,AZ108,$CO$2:$CO$201,1,$H$2:$H$201,H108,$BA$2:$BA$201,"&lt;"&amp;BA108)=0,1,0),0)</f>
        <v>0</v>
      </c>
      <c r="CQ108" s="23" t="n">
        <f aca="false">IF(AND(BB108=1,ISNUMBER(O108)),1,0)</f>
        <v>0</v>
      </c>
      <c r="CR108" s="23" t="n">
        <f aca="false">IF(CQ108=1,IF(COUNTIFS($AZ$2:$AZ$201,AZ108,$CQ$2:$CQ$201,1,$H$2:$H$201,"&lt;"&amp;H108)+COUNTIFS($AZ$2:$AZ$201,AZ108,$CQ$2:$CQ$201,1,$H$2:$H$201,H108,$BA$2:$BA$201,"&lt;"&amp;BA108)=0,1,0),0)</f>
        <v>0</v>
      </c>
      <c r="CS108" s="23" t="str">
        <f aca="false">IF(AND(CR108=1,INT(N(H108))&lt;=Config!$B$5),O108,"")</f>
        <v/>
      </c>
      <c r="CT108" s="23" t="str">
        <f aca="false">IF(AND(BB108=1,INT(N(H108))&lt;=Config!$B$5),AG108&amp;"","")</f>
        <v/>
      </c>
      <c r="CU108" s="23" t="n">
        <f aca="false">IF(AND(BB108=1,AU108="Y"),1,0)</f>
        <v>0</v>
      </c>
      <c r="CV108" s="23" t="n">
        <f aca="false">IF(CU108=1,IF(COUNTIFS($AZ$2:$AZ$201,AZ108,$CU$2:$CU$201,1,$H$2:$H$201,"&lt;"&amp;H108)+COUNTIFS($AZ$2:$AZ$201,AZ108,$CU$2:$CU$201,1,$H$2:$H$201,H108,$BA$2:$BA$201,"&lt;"&amp;BA108)=0,1,0),0)</f>
        <v>0</v>
      </c>
      <c r="CW108" s="23" t="str">
        <f aca="false">IF(BB108=1,IFERROR(MATCH($A108,INDEX(Clay_Offices!$A$2:$FZ$601,0,Sync!$C$5),0),""),"")</f>
        <v/>
      </c>
      <c r="CX108" s="23" t="str">
        <f aca="false">IF(CW108="","",IFERROR(INDEX(Clay_Offices!$A$2:$FZ$601,CW108,Sync!$C$7)&amp;"",""))</f>
        <v/>
      </c>
      <c r="CY108" s="23" t="str">
        <f aca="false">IF(CX108="","",IFERROR(INDEX(Lists!$K$2:$K$15,MATCH(CX108,Lists!$J$2:$J$15,0)),""))</f>
        <v/>
      </c>
      <c r="CZ108" s="23" t="str">
        <f aca="false">IF(CW108="","",IFERROR(INDEX(Clay_Offices!$A$2:$FZ$601,CW108,Sync!$C$17)&amp;"",""))</f>
        <v/>
      </c>
      <c r="DA108" s="35" t="str">
        <f aca="false">IF(CW108="","",IFERROR(N(INDEX(Clay_Offices!$A$2:$FZ$601,CW108,Sync!$C$16)),0))</f>
        <v/>
      </c>
      <c r="DB108" s="23" t="n">
        <f aca="false">IF(AND(BB108=1,OR(AR108="Y",AR108="N",AR108="maybe")),1,0)</f>
        <v>0</v>
      </c>
      <c r="DC108" s="23" t="n">
        <f aca="false">IF(AND(DB108=1),IF(COUNTIFS($A$2:$A$201,$A108,$DB$2:$DB$201,1,$H$2:$H$201,"&gt;"&amp;H108)+COUNTIFS($A$2:$A$201,$A108,$DB$2:$DB$201,1,$H$2:$H$201,H108,$BA$2:$BA$201,"&gt;"&amp;BA108)=0,1,0),0)</f>
        <v>0</v>
      </c>
      <c r="DD108" s="23" t="n">
        <f aca="false">IF(AND(DB108=1,INT(N(H108))&lt;=Config!$B$6),IF(COUNTIFS($AZ$2:$AZ$201,AZ108,$DB$2:$DB$201,1,$H$2:$H$201,"&gt;"&amp;H108,$H$2:$H$201,"&lt;"&amp;(Config!$B$6+1))+COUNTIFS($AZ$2:$AZ$201,AZ108,$DB$2:$DB$201,1,$H$2:$H$201,H108,$BA$2:$BA$201,"&gt;"&amp;BA108)=0,1,0),0)</f>
        <v>0</v>
      </c>
      <c r="DE108" s="23" t="n">
        <f aca="false">IF(AND(DB108=1,INT(N(H108))&lt;=Config!$B$7),IF(COUNTIFS($AZ$2:$AZ$201,AZ108,$DB$2:$DB$201,1,$H$2:$H$201,"&gt;"&amp;H108,$H$2:$H$201,"&lt;"&amp;(Config!$B$7+1))+COUNTIFS($AZ$2:$AZ$201,AZ108,$DB$2:$DB$201,1,$H$2:$H$201,H108,$BA$2:$BA$201,"&gt;"&amp;BA108)=0,1,0),0)</f>
        <v>0</v>
      </c>
      <c r="DF108" s="23" t="n">
        <f aca="false">IF(AND(DB108=1,INT(N(H108))&lt;=Config!$B$8),IF(COUNTIFS($AZ$2:$AZ$201,AZ108,$DB$2:$DB$201,1,$H$2:$H$201,"&gt;"&amp;H108,$H$2:$H$201,"&lt;"&amp;(Config!$B$8+1))+COUNTIFS($AZ$2:$AZ$201,AZ108,$DB$2:$DB$201,1,$H$2:$H$201,H108,$BA$2:$BA$201,"&gt;"&amp;BA108)=0,1,0),0)</f>
        <v>0</v>
      </c>
      <c r="DG108" s="23" t="n">
        <f aca="false">IF(AND(DB108=1,INT(N(H108))&lt;=Config!$B$5),IF(COUNTIFS($AZ$2:$AZ$201,AZ108,$DB$2:$DB$201,1,$H$2:$H$201,"&gt;"&amp;H108,$H$2:$H$201,"&lt;"&amp;(Config!$B$5+1))+COUNTIFS($AZ$2:$AZ$201,AZ108,$DB$2:$DB$201,1,$H$2:$H$201,H108,$BA$2:$BA$201,"&gt;"&amp;BA108)=0,1,0),0)</f>
        <v>0</v>
      </c>
      <c r="DH108" s="23" t="n">
        <f aca="false">IF(BB108=1,IF(COUNTIFS($AZ$2:$AZ$201,AZ108,$DD$2:$DD$201,1,$AR$2:$AR$201,"Y")&gt;0,1,0),0)</f>
        <v>0</v>
      </c>
      <c r="DI108" s="23" t="n">
        <f aca="false">IF(BB108=1,IF(COUNTIFS($AZ$2:$AZ$201,AZ108,$DE$2:$DE$201,1,$AR$2:$AR$201,"Y")&gt;0,1,0),0)</f>
        <v>0</v>
      </c>
      <c r="DJ108" s="23" t="n">
        <f aca="false">IF(BB108=1,IF(COUNTIFS($AZ$2:$AZ$201,AZ108,$DF$2:$DF$201,1,$AR$2:$AR$201,"Y")&gt;0,1,0),0)</f>
        <v>0</v>
      </c>
      <c r="DK108" s="23" t="n">
        <f aca="false">IF(BB108=1,IF(COUNTIFS($AZ$2:$AZ$201,AZ108,$DG$2:$DG$201,1,$AR$2:$AR$201,"Y")&gt;0,1,0),0)</f>
        <v>0</v>
      </c>
      <c r="DL108" s="23" t="n">
        <f aca="false">IF(AND(BF108=1,INT(N(H108))&lt;=Config!$B$6,DH108=1,EI108=0),1,0)</f>
        <v>0</v>
      </c>
      <c r="DM108" s="23" t="n">
        <f aca="false">IF(AND(BF108=1,INT(N(H108))&lt;=Config!$B$7,DI108=1,EI108=0),1,0)</f>
        <v>0</v>
      </c>
      <c r="DN108" s="23" t="n">
        <f aca="false">IF(AND(BF108=1,INT(N(H108))&lt;=Config!$B$8,DJ108=1,EI108=0),1,0)</f>
        <v>0</v>
      </c>
      <c r="DO108" s="23" t="n">
        <f aca="false">IF(AND(BF108=1,INT(N(H108))&lt;=Config!$B$5,DK108=1,EI108=0),1,0)</f>
        <v>0</v>
      </c>
      <c r="DP108" s="23" t="n">
        <f aca="false">IF(AND(CC108=1,INT(N(H108))&lt;=Config!$B$6,DH108=1,EI108=0),1,0)</f>
        <v>0</v>
      </c>
      <c r="DQ108" s="23" t="n">
        <f aca="false">IF(AND(CC108=1,INT(N(H108))&lt;=Config!$B$7,DI108=1,EI108=0),1,0)</f>
        <v>0</v>
      </c>
      <c r="DR108" s="23" t="n">
        <f aca="false">IF(AND(CC108=1,INT(N(H108))&lt;=Config!$B$8,DJ108=1,EI108=0),1,0)</f>
        <v>0</v>
      </c>
      <c r="DS108" s="23" t="n">
        <f aca="false">IF(AND(CC108=1,INT(N(H108))&lt;=Config!$B$5,DK108=1,EI108=0),1,0)</f>
        <v>0</v>
      </c>
      <c r="DT108" s="23" t="n">
        <f aca="false">IF(AND(CC108=1,INT(N(H108))&lt;=Config!$B$6,DH108=0),1,0)</f>
        <v>0</v>
      </c>
      <c r="DU108" s="23" t="n">
        <f aca="false">IF(AND(CC108=1,INT(N(H108))&lt;=Config!$B$7,DI108=0),1,0)</f>
        <v>0</v>
      </c>
      <c r="DV108" s="23" t="n">
        <f aca="false">IF(AND(CC108=1,INT(N(H108))&lt;=Config!$B$8,DJ108=0),1,0)</f>
        <v>0</v>
      </c>
      <c r="DW108" s="23" t="n">
        <f aca="false">IF(AND(CC108=1,INT(N(H108))&lt;=Config!$B$5,DK108=0),1,0)</f>
        <v>0</v>
      </c>
      <c r="DX108" s="23" t="n">
        <f aca="false">IF(TRIM($A108)="",0,ISTEXT(M108)+ISTEXT(O108)+ISTEXT(Y108)+ISTEXT(Z108)+ISTEXT(AA108)+ISTEXT(AV108))</f>
        <v>0</v>
      </c>
      <c r="DY108" s="23" t="n">
        <f aca="false">IF(BB108=1,IF(H108&lt;&gt;INT(H108),1,0),0)</f>
        <v>0</v>
      </c>
      <c r="DZ108" s="23" t="str">
        <f aca="false">IF(TRIM($A108)="","",IF(TRIM(B108)="",SUBSTITUTE(SUBSTITUTE(SUBSTITUTE(SUBSTITUTE(SUBSTITUTE(SUBSTITUTE(LOWER(TRIM($A108)),"~",""),"*",""),"?",""),"&lt;",""),"&gt;",""),"=",""),SUBSTITUTE(SUBSTITUTE(SUBSTITUTE(SUBSTITUTE(SUBSTITUTE(SUBSTITUTE(LOWER(TRIM(B108)),"~",""),"*",""),"?",""),"&lt;",""),"&gt;",""),"=","")))</f>
        <v/>
      </c>
      <c r="EA108" s="23" t="str">
        <f aca="false">IF(CW108="","",IFERROR(IF(LEFT(LOWER(TRIM(INDEX(Clay_Offices!$A$2:$FZ$601,CW108,Sync!$C$19)&amp;"")),4)="grp-",SUBSTITUTE(SUBSTITUTE(SUBSTITUTE(SUBSTITUTE(SUBSTITUTE(SUBSTITUTE(LOWER(TRIM(INDEX(Clay_Offices!$A$2:$FZ$601,CW108,Sync!$C$19)&amp;"")),"~",""),"*",""),"?",""),"&lt;",""),"&gt;",""),"=",""),""),""))</f>
        <v/>
      </c>
      <c r="EB108" s="23" t="str">
        <f aca="false">IF(EA108&lt;&gt;"",DZ108,"")</f>
        <v/>
      </c>
      <c r="EC108" s="23" t="str">
        <f aca="false">IF(BC108=1,AZ108,"")</f>
        <v/>
      </c>
      <c r="ED108" s="23" t="str">
        <f aca="false">IF(TRIM($A108)="","",IFERROR(INDEX($A$2:$A$201,MATCH(AZ108,$EC$2:$EC$201,0))&amp;"",$A108&amp;""))</f>
        <v/>
      </c>
      <c r="EE108" s="23" t="n">
        <f aca="false">IF(BB108=1,IF(COUNTIFS($A$2:$A$201,$A108,$BB$2:$BB$201,1,$H$2:$H$201,"&lt;"&amp;H108)+COUNTIFS($A$2:$A$201,$A108,$BB$2:$BB$201,1,$H$2:$H$201,H108,$BA$2:$BA$201,"&lt;"&amp;BA108)=0,1,0),0)</f>
        <v>0</v>
      </c>
      <c r="EF108" s="23" t="n">
        <f aca="false">IF(BC108=1,IF(COUNTIFS($AZ$2:$AZ$201,AZ108,$EE$2:$EE$201,1)&gt;1,1,0),0)</f>
        <v>0</v>
      </c>
      <c r="EG108" s="23" t="n">
        <f aca="false">IF(AND(CQ108=1),IF(COUNTIFS($AZ$2:$AZ$201,AZ108,$CQ$2:$CQ$201,1,$H$2:$H$201,"&gt;"&amp;H108)+COUNTIFS($AZ$2:$AZ$201,AZ108,$CQ$2:$CQ$201,1,$H$2:$H$201,H108,$BA$2:$BA$201,"&gt;"&amp;BA108)=0,1,0),0)</f>
        <v>0</v>
      </c>
      <c r="EH108" s="23" t="str">
        <f aca="false">IF(BB108=1,IF(COUNTIFS($AZ$2:$AZ$201,AZ108,$EG$2:$EG$201,1)=0,"",SUMIFS($O$2:$O$201,$AZ$2:$AZ$201,AZ108,$EG$2:$EG$201,1)),"")</f>
        <v/>
      </c>
      <c r="EI108" s="23" t="n">
        <f aca="false">IF(AND(ISNUMBER(EH108),OR(N(EH108)&lt;Config!$B$31,N(EH108)&gt;Config!$B$33)),1,0)</f>
        <v>0</v>
      </c>
      <c r="EJ108" s="23" t="n">
        <f aca="false">IF(AND(ISNUMBER(EH108),N(EH108)&gt;=Config!$B$31,N(EH108)&lt;Config!$B$32),1,0)</f>
        <v>0</v>
      </c>
      <c r="EK108" s="23" t="n">
        <f aca="false">IF(AND(BF108=1,INT(N(H108))&lt;=Config!$B$6,DH108=1,EI108=1),1,0)</f>
        <v>0</v>
      </c>
      <c r="EL108" s="23" t="n">
        <f aca="false">IF(AND(BF108=1,INT(N(H108))&lt;=Config!$B$7,DI108=1,EI108=1),1,0)</f>
        <v>0</v>
      </c>
      <c r="EM108" s="23" t="n">
        <f aca="false">IF(AND(BF108=1,INT(N(H108))&lt;=Config!$B$8,DJ108=1,EI108=1),1,0)</f>
        <v>0</v>
      </c>
      <c r="EN108" s="23" t="n">
        <f aca="false">IF(AND(BF108=1,INT(N(H108))&lt;=Config!$B$5,DK108=1,EI108=1),1,0)</f>
        <v>0</v>
      </c>
      <c r="EO108" s="23" t="n">
        <f aca="false">IF(AND(DL108=1,EJ108=1),1,0)</f>
        <v>0</v>
      </c>
      <c r="EP108" s="23" t="n">
        <f aca="false">IF(AND(DM108=1,EJ108=1),1,0)</f>
        <v>0</v>
      </c>
      <c r="EQ108" s="23" t="n">
        <f aca="false">IF(AND(DN108=1,EJ108=1),1,0)</f>
        <v>0</v>
      </c>
      <c r="ER108" s="23" t="n">
        <f aca="false">IF(AND(DO108=1,EJ108=1),1,0)</f>
        <v>0</v>
      </c>
    </row>
    <row r="109" customFormat="false" ht="15" hidden="false" customHeight="false" outlineLevel="0" collapsed="false">
      <c r="G109" s="32"/>
      <c r="H109" s="33"/>
      <c r="I109" s="32"/>
      <c r="L109" s="32"/>
      <c r="Q109" s="32"/>
      <c r="U109" s="32"/>
      <c r="W109" s="32"/>
      <c r="AC109" s="32"/>
      <c r="AF109" s="32"/>
      <c r="AI109" s="32"/>
      <c r="AJ109" s="32"/>
      <c r="AN109" s="32"/>
      <c r="AR109" s="32"/>
      <c r="AT109" s="32"/>
      <c r="AU109" s="32"/>
      <c r="AW109" s="32"/>
      <c r="AY109" s="34" t="str">
        <f aca="false">IF(TRIM($A109)="","",IF(AND(LEFT($A109,6)="SAMPLE",Config!$B$19&lt;&gt;"Y"),"",IF(NOT(ISNUMBER(H109)),"call_date is blank or not a date",IF(Sync!$C$5="","Clay paste is empty or has no row_id column: paste the Clay export on Clay_Offices",IF(CW109="","row_id not found in the Clay paste: add the Clay row or fix the row_id",IF(AND(ISNUMBER(CY109),CY109&gt;=1,CY109&lt;=5),"Clay status is "&amp;CX109&amp;": set call_done or later",IF(AND(BD109=1,CZ109&lt;&gt;BZ109),"Clay yes_in_principle should be "&amp;BZ109,IF(AND(BD109=1,DA109&lt;&gt;H109),"Clay call_date should be "&amp;TEXT(H109,"yyyy-mm-dd"),""))))))))</f>
        <v/>
      </c>
      <c r="AZ109" s="23" t="str">
        <f aca="false">IF(TRIM($A109)="","",IF(TRIM(C109)&lt;&gt;"",SUBSTITUTE(SUBSTITUTE(SUBSTITUTE(SUBSTITUTE(SUBSTITUTE(SUBSTITUTE(LOWER(TRIM(C109)),"~",""),"*",""),"?",""),"&lt;",""),"&gt;",""),"=",""),IF(EA109&lt;&gt;"",EA109,IFERROR(INDEX($EA$2:$EA$201,MATCH(DZ109,$EB$2:$EB$201,0)),DZ109))))</f>
        <v/>
      </c>
      <c r="BA109" s="23" t="n">
        <f aca="false">ROW()</f>
        <v>109</v>
      </c>
      <c r="BB109" s="23" t="n">
        <f aca="false">IF(AND(TRIM($A109)&lt;&gt;"",ISNUMBER(H109)),IF(AND(LEFT($A109,6)="SAMPLE",Config!$B$19&lt;&gt;"Y"),0,1),0)</f>
        <v>0</v>
      </c>
      <c r="BC109" s="23" t="n">
        <f aca="false">IF(BB109=1,IF(COUNTIFS($AZ$2:$AZ$201,AZ109,$BB$2:$BB$201,1,$H$2:$H$201,"&lt;"&amp;H109)+COUNTIFS($AZ$2:$AZ$201,AZ109,$BB$2:$BB$201,1,$H$2:$H$201,H109,$BA$2:$BA$201,"&lt;"&amp;BA109)=0,1,0),0)</f>
        <v>0</v>
      </c>
      <c r="BD109" s="23" t="n">
        <f aca="false">IF(BB109=1,IF(COUNTIFS($A$2:$A$201,$A109,$BB$2:$BB$201,1,$H$2:$H$201,"&gt;"&amp;H109)+COUNTIFS($A$2:$A$201,$A109,$BB$2:$BB$201,1,$H$2:$H$201,H109,$BA$2:$BA$201,"&gt;"&amp;BA109)=0,1,0),0)</f>
        <v>0</v>
      </c>
      <c r="BE109" s="23" t="n">
        <f aca="false">IF(AND(BB109=1,AR109="Y",AC109="Y",TRIM(AH109)&lt;&gt;""),1,0)</f>
        <v>0</v>
      </c>
      <c r="BF109" s="23" t="n">
        <f aca="false">IF(BE109=1,IF(COUNTIFS($AZ$2:$AZ$201,AZ109,$BE$2:$BE$201,1,$H$2:$H$201,"&lt;"&amp;H109)+COUNTIFS($AZ$2:$AZ$201,AZ109,$BE$2:$BE$201,1,$H$2:$H$201,H109,$BA$2:$BA$201,"&lt;"&amp;BA109)=0,1,0),0)</f>
        <v>0</v>
      </c>
      <c r="BG109" s="23" t="n">
        <f aca="false">IF(AND(BB109=1,AR109="Y",BE109=0),1,0)</f>
        <v>0</v>
      </c>
      <c r="BH109" s="23" t="n">
        <f aca="false">IF(AND(BB109=1,ISNUMBER(Y109)),1,0)</f>
        <v>0</v>
      </c>
      <c r="BI109" s="23" t="n">
        <f aca="false">IF(BH109=1,IF(COUNTIFS($AZ$2:$AZ$201,AZ109,$BH$2:$BH$201,1,$H$2:$H$201,"&lt;"&amp;H109)+COUNTIFS($AZ$2:$AZ$201,AZ109,$BH$2:$BH$201,1,$H$2:$H$201,H109,$BA$2:$BA$201,"&lt;"&amp;BA109)=0,1,0),0)</f>
        <v>0</v>
      </c>
      <c r="BJ109" s="23" t="str">
        <f aca="false">IF(AND(BI109=1,INT(N(H109))&lt;=Config!$B$6),Y109,"")</f>
        <v/>
      </c>
      <c r="BK109" s="23" t="str">
        <f aca="false">IF(AND(BI109=1,INT(N(H109))&lt;=Config!$B$7),Y109,"")</f>
        <v/>
      </c>
      <c r="BL109" s="23" t="str">
        <f aca="false">IF(AND(BI109=1,INT(N(H109))&lt;=Config!$B$8),Y109,"")</f>
        <v/>
      </c>
      <c r="BM109" s="23" t="str">
        <f aca="false">IF(AND(BI109=1,INT(N(H109))&lt;=Config!$B$5),Y109,"")</f>
        <v/>
      </c>
      <c r="BN109" s="23" t="n">
        <f aca="false">IF(CD109=1,IF(COUNTIFS($AZ$2:$AZ$201,AZ109,$CD$2:$CD$201,1,$H$2:$H$201,"&lt;"&amp;H109)+COUNTIFS($AZ$2:$AZ$201,AZ109,$CD$2:$CD$201,1,$H$2:$H$201,H109,$BA$2:$BA$201,"&lt;"&amp;BA109)=0,1,0),0)</f>
        <v>0</v>
      </c>
      <c r="BO109" s="23" t="n">
        <f aca="false">IF(AND(BB109=1,ISNUMBER(M109)),1,0)</f>
        <v>0</v>
      </c>
      <c r="BP109" s="23" t="n">
        <f aca="false">IF(BO109=1,IF(COUNTIFS($AZ$2:$AZ$201,AZ109,$BO$2:$BO$201,1,$H$2:$H$201,"&lt;"&amp;H109)+COUNTIFS($AZ$2:$AZ$201,AZ109,$BO$2:$BO$201,1,$H$2:$H$201,H109,$BA$2:$BA$201,"&lt;"&amp;BA109)=0,1,0),0)</f>
        <v>0</v>
      </c>
      <c r="BQ109" s="23" t="str">
        <f aca="false">IF(AND(BP109=1,INT(N(H109))&lt;=Config!$B$5),M109,"")</f>
        <v/>
      </c>
      <c r="BR109" s="23" t="n">
        <f aca="false">IF(AND(BB109=1,OR(TRIM(X109)&lt;&gt;"",ISNUMBER(Y109))),1,0)</f>
        <v>0</v>
      </c>
      <c r="BS109" s="23" t="n">
        <f aca="false">IF(BR109=1,IF(COUNTIFS($AZ$2:$AZ$201,AZ109,$BR$2:$BR$201,1,$H$2:$H$201,"&lt;"&amp;H109)+COUNTIFS($AZ$2:$AZ$201,AZ109,$BR$2:$BR$201,1,$H$2:$H$201,H109,$BA$2:$BA$201,"&lt;"&amp;BA109)=0,1,0),0)</f>
        <v>0</v>
      </c>
      <c r="BT109" s="23" t="str">
        <f aca="false">IF(BS109=1,AZ109,"")</f>
        <v/>
      </c>
      <c r="BU109" s="23" t="n">
        <f aca="false">IF(AND(BB109=1,W109="Y",TRIM(X109)=""),1,0)</f>
        <v>0</v>
      </c>
      <c r="BV109" s="23" t="str">
        <f aca="false">IF(BB109=1,AN109&amp;"","")</f>
        <v/>
      </c>
      <c r="BW109" s="23" t="str">
        <f aca="false">IF(BB109=1,AO109&amp;"","")</f>
        <v/>
      </c>
      <c r="BX109" s="23" t="str">
        <f aca="false">IF(BB109=1,AP109&amp;"","")</f>
        <v/>
      </c>
      <c r="BY109" s="23" t="str">
        <f aca="false">IF(AND(BB109=1,ISNUMBER(AV109),INT(N(H109))&lt;=Config!$B$5),AV109,"")</f>
        <v/>
      </c>
      <c r="BZ109" s="23" t="str">
        <f aca="false">IF(BB109=1,IF(COUNTIFS($A$2:$A$201,$A109,$DC$2:$DC$201,1,$AR$2:$AR$201,"Y")&gt;0,"Y","N"),"")</f>
        <v/>
      </c>
      <c r="CA109" s="23" t="n">
        <f aca="false">IF(AND(BB109=1,AR109="maybe"),1,0)</f>
        <v>0</v>
      </c>
      <c r="CB109" s="23" t="n">
        <f aca="false">IF(CA109=1,IF(COUNTIFS($AZ$2:$AZ$201,AZ109,$CA$2:$CA$201,1,$H$2:$H$201,"&lt;"&amp;H109)+COUNTIFS($AZ$2:$AZ$201,AZ109,$CA$2:$CA$201,1,$H$2:$H$201,H109,$BA$2:$BA$201,"&lt;"&amp;BA109)=0,1,0),0)</f>
        <v>0</v>
      </c>
      <c r="CC109" s="23" t="n">
        <f aca="false">IF(AND(BB109=1,AR109="Y"),IF(COUNTIFS($AZ$2:$AZ$201,AZ109,$AR$2:$AR$201,"Y",$BB$2:$BB$201,1,$H$2:$H$201,"&lt;"&amp;H109)+COUNTIFS($AZ$2:$AZ$201,AZ109,$AR$2:$AR$201,"Y",$BB$2:$BB$201,1,$H$2:$H$201,H109,$BA$2:$BA$201,"&lt;"&amp;BA109)=0,1,0),0)</f>
        <v>0</v>
      </c>
      <c r="CD109" s="23" t="n">
        <f aca="false">IF(AND(BH109=1,N(Y109)&gt;=Config!$B$15),1,0)</f>
        <v>0</v>
      </c>
      <c r="CE109" s="23" t="n">
        <f aca="false">IF(AND(BB109=1,AT109="Y"),1,0)</f>
        <v>0</v>
      </c>
      <c r="CF109" s="23" t="n">
        <f aca="false">IF(CE109=1,IF(COUNTIFS($AZ$2:$AZ$201,AZ109,$CE$2:$CE$201,1,$H$2:$H$201,"&lt;"&amp;H109)+COUNTIFS($AZ$2:$AZ$201,AZ109,$CE$2:$CE$201,1,$H$2:$H$201,H109,$BA$2:$BA$201,"&lt;"&amp;BA109)=0,1,0),0)</f>
        <v>0</v>
      </c>
      <c r="CG109" s="23" t="n">
        <f aca="false">IF(AND(BB109=1,G109="warm-intro"),1,0)</f>
        <v>0</v>
      </c>
      <c r="CH109" s="23" t="n">
        <f aca="false">IF(CG109=1,IF(COUNTIFS($AZ$2:$AZ$201,AZ109,$CG$2:$CG$201,1,$H$2:$H$201,"&lt;"&amp;H109)+COUNTIFS($AZ$2:$AZ$201,AZ109,$CG$2:$CG$201,1,$H$2:$H$201,H109,$BA$2:$BA$201,"&lt;"&amp;BA109)=0,1,0),0)</f>
        <v>0</v>
      </c>
      <c r="CI109" s="23" t="n">
        <f aca="false">IF(AND(BB109=1,Q109="Y"),1,0)</f>
        <v>0</v>
      </c>
      <c r="CJ109" s="23" t="n">
        <f aca="false">IF(CI109=1,IF(COUNTIFS($AZ$2:$AZ$201,AZ109,$CI$2:$CI$201,1,$H$2:$H$201,"&lt;"&amp;H109)+COUNTIFS($AZ$2:$AZ$201,AZ109,$CI$2:$CI$201,1,$H$2:$H$201,H109,$BA$2:$BA$201,"&lt;"&amp;BA109)=0,1,0),0)</f>
        <v>0</v>
      </c>
      <c r="CK109" s="23" t="n">
        <f aca="false">IF(AND(BB109=1,AF109="Y"),1,0)</f>
        <v>0</v>
      </c>
      <c r="CL109" s="23" t="n">
        <f aca="false">IF(CK109=1,IF(COUNTIFS($AZ$2:$AZ$201,AZ109,$CK$2:$CK$201,1,$H$2:$H$201,"&lt;"&amp;H109)+COUNTIFS($AZ$2:$AZ$201,AZ109,$CK$2:$CK$201,1,$H$2:$H$201,H109,$BA$2:$BA$201,"&lt;"&amp;BA109)=0,1,0),0)</f>
        <v>0</v>
      </c>
      <c r="CM109" s="23" t="n">
        <f aca="false">IF(AND(BB109=1,U109="Y"),1,0)</f>
        <v>0</v>
      </c>
      <c r="CN109" s="23" t="n">
        <f aca="false">IF(CM109=1,IF(COUNTIFS($AZ$2:$AZ$201,AZ109,$CM$2:$CM$201,1,$H$2:$H$201,"&lt;"&amp;H109)+COUNTIFS($AZ$2:$AZ$201,AZ109,$CM$2:$CM$201,1,$H$2:$H$201,H109,$BA$2:$BA$201,"&lt;"&amp;BA109)=0,1,0),0)</f>
        <v>0</v>
      </c>
      <c r="CO109" s="23" t="n">
        <f aca="false">IF(AND(BB109=1,L109="Y"),1,0)</f>
        <v>0</v>
      </c>
      <c r="CP109" s="23" t="n">
        <f aca="false">IF(CO109=1,IF(COUNTIFS($AZ$2:$AZ$201,AZ109,$CO$2:$CO$201,1,$H$2:$H$201,"&lt;"&amp;H109)+COUNTIFS($AZ$2:$AZ$201,AZ109,$CO$2:$CO$201,1,$H$2:$H$201,H109,$BA$2:$BA$201,"&lt;"&amp;BA109)=0,1,0),0)</f>
        <v>0</v>
      </c>
      <c r="CQ109" s="23" t="n">
        <f aca="false">IF(AND(BB109=1,ISNUMBER(O109)),1,0)</f>
        <v>0</v>
      </c>
      <c r="CR109" s="23" t="n">
        <f aca="false">IF(CQ109=1,IF(COUNTIFS($AZ$2:$AZ$201,AZ109,$CQ$2:$CQ$201,1,$H$2:$H$201,"&lt;"&amp;H109)+COUNTIFS($AZ$2:$AZ$201,AZ109,$CQ$2:$CQ$201,1,$H$2:$H$201,H109,$BA$2:$BA$201,"&lt;"&amp;BA109)=0,1,0),0)</f>
        <v>0</v>
      </c>
      <c r="CS109" s="23" t="str">
        <f aca="false">IF(AND(CR109=1,INT(N(H109))&lt;=Config!$B$5),O109,"")</f>
        <v/>
      </c>
      <c r="CT109" s="23" t="str">
        <f aca="false">IF(AND(BB109=1,INT(N(H109))&lt;=Config!$B$5),AG109&amp;"","")</f>
        <v/>
      </c>
      <c r="CU109" s="23" t="n">
        <f aca="false">IF(AND(BB109=1,AU109="Y"),1,0)</f>
        <v>0</v>
      </c>
      <c r="CV109" s="23" t="n">
        <f aca="false">IF(CU109=1,IF(COUNTIFS($AZ$2:$AZ$201,AZ109,$CU$2:$CU$201,1,$H$2:$H$201,"&lt;"&amp;H109)+COUNTIFS($AZ$2:$AZ$201,AZ109,$CU$2:$CU$201,1,$H$2:$H$201,H109,$BA$2:$BA$201,"&lt;"&amp;BA109)=0,1,0),0)</f>
        <v>0</v>
      </c>
      <c r="CW109" s="23" t="str">
        <f aca="false">IF(BB109=1,IFERROR(MATCH($A109,INDEX(Clay_Offices!$A$2:$FZ$601,0,Sync!$C$5),0),""),"")</f>
        <v/>
      </c>
      <c r="CX109" s="23" t="str">
        <f aca="false">IF(CW109="","",IFERROR(INDEX(Clay_Offices!$A$2:$FZ$601,CW109,Sync!$C$7)&amp;"",""))</f>
        <v/>
      </c>
      <c r="CY109" s="23" t="str">
        <f aca="false">IF(CX109="","",IFERROR(INDEX(Lists!$K$2:$K$15,MATCH(CX109,Lists!$J$2:$J$15,0)),""))</f>
        <v/>
      </c>
      <c r="CZ109" s="23" t="str">
        <f aca="false">IF(CW109="","",IFERROR(INDEX(Clay_Offices!$A$2:$FZ$601,CW109,Sync!$C$17)&amp;"",""))</f>
        <v/>
      </c>
      <c r="DA109" s="35" t="str">
        <f aca="false">IF(CW109="","",IFERROR(N(INDEX(Clay_Offices!$A$2:$FZ$601,CW109,Sync!$C$16)),0))</f>
        <v/>
      </c>
      <c r="DB109" s="23" t="n">
        <f aca="false">IF(AND(BB109=1,OR(AR109="Y",AR109="N",AR109="maybe")),1,0)</f>
        <v>0</v>
      </c>
      <c r="DC109" s="23" t="n">
        <f aca="false">IF(AND(DB109=1),IF(COUNTIFS($A$2:$A$201,$A109,$DB$2:$DB$201,1,$H$2:$H$201,"&gt;"&amp;H109)+COUNTIFS($A$2:$A$201,$A109,$DB$2:$DB$201,1,$H$2:$H$201,H109,$BA$2:$BA$201,"&gt;"&amp;BA109)=0,1,0),0)</f>
        <v>0</v>
      </c>
      <c r="DD109" s="23" t="n">
        <f aca="false">IF(AND(DB109=1,INT(N(H109))&lt;=Config!$B$6),IF(COUNTIFS($AZ$2:$AZ$201,AZ109,$DB$2:$DB$201,1,$H$2:$H$201,"&gt;"&amp;H109,$H$2:$H$201,"&lt;"&amp;(Config!$B$6+1))+COUNTIFS($AZ$2:$AZ$201,AZ109,$DB$2:$DB$201,1,$H$2:$H$201,H109,$BA$2:$BA$201,"&gt;"&amp;BA109)=0,1,0),0)</f>
        <v>0</v>
      </c>
      <c r="DE109" s="23" t="n">
        <f aca="false">IF(AND(DB109=1,INT(N(H109))&lt;=Config!$B$7),IF(COUNTIFS($AZ$2:$AZ$201,AZ109,$DB$2:$DB$201,1,$H$2:$H$201,"&gt;"&amp;H109,$H$2:$H$201,"&lt;"&amp;(Config!$B$7+1))+COUNTIFS($AZ$2:$AZ$201,AZ109,$DB$2:$DB$201,1,$H$2:$H$201,H109,$BA$2:$BA$201,"&gt;"&amp;BA109)=0,1,0),0)</f>
        <v>0</v>
      </c>
      <c r="DF109" s="23" t="n">
        <f aca="false">IF(AND(DB109=1,INT(N(H109))&lt;=Config!$B$8),IF(COUNTIFS($AZ$2:$AZ$201,AZ109,$DB$2:$DB$201,1,$H$2:$H$201,"&gt;"&amp;H109,$H$2:$H$201,"&lt;"&amp;(Config!$B$8+1))+COUNTIFS($AZ$2:$AZ$201,AZ109,$DB$2:$DB$201,1,$H$2:$H$201,H109,$BA$2:$BA$201,"&gt;"&amp;BA109)=0,1,0),0)</f>
        <v>0</v>
      </c>
      <c r="DG109" s="23" t="n">
        <f aca="false">IF(AND(DB109=1,INT(N(H109))&lt;=Config!$B$5),IF(COUNTIFS($AZ$2:$AZ$201,AZ109,$DB$2:$DB$201,1,$H$2:$H$201,"&gt;"&amp;H109,$H$2:$H$201,"&lt;"&amp;(Config!$B$5+1))+COUNTIFS($AZ$2:$AZ$201,AZ109,$DB$2:$DB$201,1,$H$2:$H$201,H109,$BA$2:$BA$201,"&gt;"&amp;BA109)=0,1,0),0)</f>
        <v>0</v>
      </c>
      <c r="DH109" s="23" t="n">
        <f aca="false">IF(BB109=1,IF(COUNTIFS($AZ$2:$AZ$201,AZ109,$DD$2:$DD$201,1,$AR$2:$AR$201,"Y")&gt;0,1,0),0)</f>
        <v>0</v>
      </c>
      <c r="DI109" s="23" t="n">
        <f aca="false">IF(BB109=1,IF(COUNTIFS($AZ$2:$AZ$201,AZ109,$DE$2:$DE$201,1,$AR$2:$AR$201,"Y")&gt;0,1,0),0)</f>
        <v>0</v>
      </c>
      <c r="DJ109" s="23" t="n">
        <f aca="false">IF(BB109=1,IF(COUNTIFS($AZ$2:$AZ$201,AZ109,$DF$2:$DF$201,1,$AR$2:$AR$201,"Y")&gt;0,1,0),0)</f>
        <v>0</v>
      </c>
      <c r="DK109" s="23" t="n">
        <f aca="false">IF(BB109=1,IF(COUNTIFS($AZ$2:$AZ$201,AZ109,$DG$2:$DG$201,1,$AR$2:$AR$201,"Y")&gt;0,1,0),0)</f>
        <v>0</v>
      </c>
      <c r="DL109" s="23" t="n">
        <f aca="false">IF(AND(BF109=1,INT(N(H109))&lt;=Config!$B$6,DH109=1,EI109=0),1,0)</f>
        <v>0</v>
      </c>
      <c r="DM109" s="23" t="n">
        <f aca="false">IF(AND(BF109=1,INT(N(H109))&lt;=Config!$B$7,DI109=1,EI109=0),1,0)</f>
        <v>0</v>
      </c>
      <c r="DN109" s="23" t="n">
        <f aca="false">IF(AND(BF109=1,INT(N(H109))&lt;=Config!$B$8,DJ109=1,EI109=0),1,0)</f>
        <v>0</v>
      </c>
      <c r="DO109" s="23" t="n">
        <f aca="false">IF(AND(BF109=1,INT(N(H109))&lt;=Config!$B$5,DK109=1,EI109=0),1,0)</f>
        <v>0</v>
      </c>
      <c r="DP109" s="23" t="n">
        <f aca="false">IF(AND(CC109=1,INT(N(H109))&lt;=Config!$B$6,DH109=1,EI109=0),1,0)</f>
        <v>0</v>
      </c>
      <c r="DQ109" s="23" t="n">
        <f aca="false">IF(AND(CC109=1,INT(N(H109))&lt;=Config!$B$7,DI109=1,EI109=0),1,0)</f>
        <v>0</v>
      </c>
      <c r="DR109" s="23" t="n">
        <f aca="false">IF(AND(CC109=1,INT(N(H109))&lt;=Config!$B$8,DJ109=1,EI109=0),1,0)</f>
        <v>0</v>
      </c>
      <c r="DS109" s="23" t="n">
        <f aca="false">IF(AND(CC109=1,INT(N(H109))&lt;=Config!$B$5,DK109=1,EI109=0),1,0)</f>
        <v>0</v>
      </c>
      <c r="DT109" s="23" t="n">
        <f aca="false">IF(AND(CC109=1,INT(N(H109))&lt;=Config!$B$6,DH109=0),1,0)</f>
        <v>0</v>
      </c>
      <c r="DU109" s="23" t="n">
        <f aca="false">IF(AND(CC109=1,INT(N(H109))&lt;=Config!$B$7,DI109=0),1,0)</f>
        <v>0</v>
      </c>
      <c r="DV109" s="23" t="n">
        <f aca="false">IF(AND(CC109=1,INT(N(H109))&lt;=Config!$B$8,DJ109=0),1,0)</f>
        <v>0</v>
      </c>
      <c r="DW109" s="23" t="n">
        <f aca="false">IF(AND(CC109=1,INT(N(H109))&lt;=Config!$B$5,DK109=0),1,0)</f>
        <v>0</v>
      </c>
      <c r="DX109" s="23" t="n">
        <f aca="false">IF(TRIM($A109)="",0,ISTEXT(M109)+ISTEXT(O109)+ISTEXT(Y109)+ISTEXT(Z109)+ISTEXT(AA109)+ISTEXT(AV109))</f>
        <v>0</v>
      </c>
      <c r="DY109" s="23" t="n">
        <f aca="false">IF(BB109=1,IF(H109&lt;&gt;INT(H109),1,0),0)</f>
        <v>0</v>
      </c>
      <c r="DZ109" s="23" t="str">
        <f aca="false">IF(TRIM($A109)="","",IF(TRIM(B109)="",SUBSTITUTE(SUBSTITUTE(SUBSTITUTE(SUBSTITUTE(SUBSTITUTE(SUBSTITUTE(LOWER(TRIM($A109)),"~",""),"*",""),"?",""),"&lt;",""),"&gt;",""),"=",""),SUBSTITUTE(SUBSTITUTE(SUBSTITUTE(SUBSTITUTE(SUBSTITUTE(SUBSTITUTE(LOWER(TRIM(B109)),"~",""),"*",""),"?",""),"&lt;",""),"&gt;",""),"=","")))</f>
        <v/>
      </c>
      <c r="EA109" s="23" t="str">
        <f aca="false">IF(CW109="","",IFERROR(IF(LEFT(LOWER(TRIM(INDEX(Clay_Offices!$A$2:$FZ$601,CW109,Sync!$C$19)&amp;"")),4)="grp-",SUBSTITUTE(SUBSTITUTE(SUBSTITUTE(SUBSTITUTE(SUBSTITUTE(SUBSTITUTE(LOWER(TRIM(INDEX(Clay_Offices!$A$2:$FZ$601,CW109,Sync!$C$19)&amp;"")),"~",""),"*",""),"?",""),"&lt;",""),"&gt;",""),"=",""),""),""))</f>
        <v/>
      </c>
      <c r="EB109" s="23" t="str">
        <f aca="false">IF(EA109&lt;&gt;"",DZ109,"")</f>
        <v/>
      </c>
      <c r="EC109" s="23" t="str">
        <f aca="false">IF(BC109=1,AZ109,"")</f>
        <v/>
      </c>
      <c r="ED109" s="23" t="str">
        <f aca="false">IF(TRIM($A109)="","",IFERROR(INDEX($A$2:$A$201,MATCH(AZ109,$EC$2:$EC$201,0))&amp;"",$A109&amp;""))</f>
        <v/>
      </c>
      <c r="EE109" s="23" t="n">
        <f aca="false">IF(BB109=1,IF(COUNTIFS($A$2:$A$201,$A109,$BB$2:$BB$201,1,$H$2:$H$201,"&lt;"&amp;H109)+COUNTIFS($A$2:$A$201,$A109,$BB$2:$BB$201,1,$H$2:$H$201,H109,$BA$2:$BA$201,"&lt;"&amp;BA109)=0,1,0),0)</f>
        <v>0</v>
      </c>
      <c r="EF109" s="23" t="n">
        <f aca="false">IF(BC109=1,IF(COUNTIFS($AZ$2:$AZ$201,AZ109,$EE$2:$EE$201,1)&gt;1,1,0),0)</f>
        <v>0</v>
      </c>
      <c r="EG109" s="23" t="n">
        <f aca="false">IF(AND(CQ109=1),IF(COUNTIFS($AZ$2:$AZ$201,AZ109,$CQ$2:$CQ$201,1,$H$2:$H$201,"&gt;"&amp;H109)+COUNTIFS($AZ$2:$AZ$201,AZ109,$CQ$2:$CQ$201,1,$H$2:$H$201,H109,$BA$2:$BA$201,"&gt;"&amp;BA109)=0,1,0),0)</f>
        <v>0</v>
      </c>
      <c r="EH109" s="23" t="str">
        <f aca="false">IF(BB109=1,IF(COUNTIFS($AZ$2:$AZ$201,AZ109,$EG$2:$EG$201,1)=0,"",SUMIFS($O$2:$O$201,$AZ$2:$AZ$201,AZ109,$EG$2:$EG$201,1)),"")</f>
        <v/>
      </c>
      <c r="EI109" s="23" t="n">
        <f aca="false">IF(AND(ISNUMBER(EH109),OR(N(EH109)&lt;Config!$B$31,N(EH109)&gt;Config!$B$33)),1,0)</f>
        <v>0</v>
      </c>
      <c r="EJ109" s="23" t="n">
        <f aca="false">IF(AND(ISNUMBER(EH109),N(EH109)&gt;=Config!$B$31,N(EH109)&lt;Config!$B$32),1,0)</f>
        <v>0</v>
      </c>
      <c r="EK109" s="23" t="n">
        <f aca="false">IF(AND(BF109=1,INT(N(H109))&lt;=Config!$B$6,DH109=1,EI109=1),1,0)</f>
        <v>0</v>
      </c>
      <c r="EL109" s="23" t="n">
        <f aca="false">IF(AND(BF109=1,INT(N(H109))&lt;=Config!$B$7,DI109=1,EI109=1),1,0)</f>
        <v>0</v>
      </c>
      <c r="EM109" s="23" t="n">
        <f aca="false">IF(AND(BF109=1,INT(N(H109))&lt;=Config!$B$8,DJ109=1,EI109=1),1,0)</f>
        <v>0</v>
      </c>
      <c r="EN109" s="23" t="n">
        <f aca="false">IF(AND(BF109=1,INT(N(H109))&lt;=Config!$B$5,DK109=1,EI109=1),1,0)</f>
        <v>0</v>
      </c>
      <c r="EO109" s="23" t="n">
        <f aca="false">IF(AND(DL109=1,EJ109=1),1,0)</f>
        <v>0</v>
      </c>
      <c r="EP109" s="23" t="n">
        <f aca="false">IF(AND(DM109=1,EJ109=1),1,0)</f>
        <v>0</v>
      </c>
      <c r="EQ109" s="23" t="n">
        <f aca="false">IF(AND(DN109=1,EJ109=1),1,0)</f>
        <v>0</v>
      </c>
      <c r="ER109" s="23" t="n">
        <f aca="false">IF(AND(DO109=1,EJ109=1),1,0)</f>
        <v>0</v>
      </c>
    </row>
    <row r="110" customFormat="false" ht="15" hidden="false" customHeight="false" outlineLevel="0" collapsed="false">
      <c r="G110" s="32"/>
      <c r="H110" s="33"/>
      <c r="I110" s="32"/>
      <c r="L110" s="32"/>
      <c r="Q110" s="32"/>
      <c r="U110" s="32"/>
      <c r="W110" s="32"/>
      <c r="AC110" s="32"/>
      <c r="AF110" s="32"/>
      <c r="AI110" s="32"/>
      <c r="AJ110" s="32"/>
      <c r="AN110" s="32"/>
      <c r="AR110" s="32"/>
      <c r="AT110" s="32"/>
      <c r="AU110" s="32"/>
      <c r="AW110" s="32"/>
      <c r="AY110" s="34" t="str">
        <f aca="false">IF(TRIM($A110)="","",IF(AND(LEFT($A110,6)="SAMPLE",Config!$B$19&lt;&gt;"Y"),"",IF(NOT(ISNUMBER(H110)),"call_date is blank or not a date",IF(Sync!$C$5="","Clay paste is empty or has no row_id column: paste the Clay export on Clay_Offices",IF(CW110="","row_id not found in the Clay paste: add the Clay row or fix the row_id",IF(AND(ISNUMBER(CY110),CY110&gt;=1,CY110&lt;=5),"Clay status is "&amp;CX110&amp;": set call_done or later",IF(AND(BD110=1,CZ110&lt;&gt;BZ110),"Clay yes_in_principle should be "&amp;BZ110,IF(AND(BD110=1,DA110&lt;&gt;H110),"Clay call_date should be "&amp;TEXT(H110,"yyyy-mm-dd"),""))))))))</f>
        <v/>
      </c>
      <c r="AZ110" s="23" t="str">
        <f aca="false">IF(TRIM($A110)="","",IF(TRIM(C110)&lt;&gt;"",SUBSTITUTE(SUBSTITUTE(SUBSTITUTE(SUBSTITUTE(SUBSTITUTE(SUBSTITUTE(LOWER(TRIM(C110)),"~",""),"*",""),"?",""),"&lt;",""),"&gt;",""),"=",""),IF(EA110&lt;&gt;"",EA110,IFERROR(INDEX($EA$2:$EA$201,MATCH(DZ110,$EB$2:$EB$201,0)),DZ110))))</f>
        <v/>
      </c>
      <c r="BA110" s="23" t="n">
        <f aca="false">ROW()</f>
        <v>110</v>
      </c>
      <c r="BB110" s="23" t="n">
        <f aca="false">IF(AND(TRIM($A110)&lt;&gt;"",ISNUMBER(H110)),IF(AND(LEFT($A110,6)="SAMPLE",Config!$B$19&lt;&gt;"Y"),0,1),0)</f>
        <v>0</v>
      </c>
      <c r="BC110" s="23" t="n">
        <f aca="false">IF(BB110=1,IF(COUNTIFS($AZ$2:$AZ$201,AZ110,$BB$2:$BB$201,1,$H$2:$H$201,"&lt;"&amp;H110)+COUNTIFS($AZ$2:$AZ$201,AZ110,$BB$2:$BB$201,1,$H$2:$H$201,H110,$BA$2:$BA$201,"&lt;"&amp;BA110)=0,1,0),0)</f>
        <v>0</v>
      </c>
      <c r="BD110" s="23" t="n">
        <f aca="false">IF(BB110=1,IF(COUNTIFS($A$2:$A$201,$A110,$BB$2:$BB$201,1,$H$2:$H$201,"&gt;"&amp;H110)+COUNTIFS($A$2:$A$201,$A110,$BB$2:$BB$201,1,$H$2:$H$201,H110,$BA$2:$BA$201,"&gt;"&amp;BA110)=0,1,0),0)</f>
        <v>0</v>
      </c>
      <c r="BE110" s="23" t="n">
        <f aca="false">IF(AND(BB110=1,AR110="Y",AC110="Y",TRIM(AH110)&lt;&gt;""),1,0)</f>
        <v>0</v>
      </c>
      <c r="BF110" s="23" t="n">
        <f aca="false">IF(BE110=1,IF(COUNTIFS($AZ$2:$AZ$201,AZ110,$BE$2:$BE$201,1,$H$2:$H$201,"&lt;"&amp;H110)+COUNTIFS($AZ$2:$AZ$201,AZ110,$BE$2:$BE$201,1,$H$2:$H$201,H110,$BA$2:$BA$201,"&lt;"&amp;BA110)=0,1,0),0)</f>
        <v>0</v>
      </c>
      <c r="BG110" s="23" t="n">
        <f aca="false">IF(AND(BB110=1,AR110="Y",BE110=0),1,0)</f>
        <v>0</v>
      </c>
      <c r="BH110" s="23" t="n">
        <f aca="false">IF(AND(BB110=1,ISNUMBER(Y110)),1,0)</f>
        <v>0</v>
      </c>
      <c r="BI110" s="23" t="n">
        <f aca="false">IF(BH110=1,IF(COUNTIFS($AZ$2:$AZ$201,AZ110,$BH$2:$BH$201,1,$H$2:$H$201,"&lt;"&amp;H110)+COUNTIFS($AZ$2:$AZ$201,AZ110,$BH$2:$BH$201,1,$H$2:$H$201,H110,$BA$2:$BA$201,"&lt;"&amp;BA110)=0,1,0),0)</f>
        <v>0</v>
      </c>
      <c r="BJ110" s="23" t="str">
        <f aca="false">IF(AND(BI110=1,INT(N(H110))&lt;=Config!$B$6),Y110,"")</f>
        <v/>
      </c>
      <c r="BK110" s="23" t="str">
        <f aca="false">IF(AND(BI110=1,INT(N(H110))&lt;=Config!$B$7),Y110,"")</f>
        <v/>
      </c>
      <c r="BL110" s="23" t="str">
        <f aca="false">IF(AND(BI110=1,INT(N(H110))&lt;=Config!$B$8),Y110,"")</f>
        <v/>
      </c>
      <c r="BM110" s="23" t="str">
        <f aca="false">IF(AND(BI110=1,INT(N(H110))&lt;=Config!$B$5),Y110,"")</f>
        <v/>
      </c>
      <c r="BN110" s="23" t="n">
        <f aca="false">IF(CD110=1,IF(COUNTIFS($AZ$2:$AZ$201,AZ110,$CD$2:$CD$201,1,$H$2:$H$201,"&lt;"&amp;H110)+COUNTIFS($AZ$2:$AZ$201,AZ110,$CD$2:$CD$201,1,$H$2:$H$201,H110,$BA$2:$BA$201,"&lt;"&amp;BA110)=0,1,0),0)</f>
        <v>0</v>
      </c>
      <c r="BO110" s="23" t="n">
        <f aca="false">IF(AND(BB110=1,ISNUMBER(M110)),1,0)</f>
        <v>0</v>
      </c>
      <c r="BP110" s="23" t="n">
        <f aca="false">IF(BO110=1,IF(COUNTIFS($AZ$2:$AZ$201,AZ110,$BO$2:$BO$201,1,$H$2:$H$201,"&lt;"&amp;H110)+COUNTIFS($AZ$2:$AZ$201,AZ110,$BO$2:$BO$201,1,$H$2:$H$201,H110,$BA$2:$BA$201,"&lt;"&amp;BA110)=0,1,0),0)</f>
        <v>0</v>
      </c>
      <c r="BQ110" s="23" t="str">
        <f aca="false">IF(AND(BP110=1,INT(N(H110))&lt;=Config!$B$5),M110,"")</f>
        <v/>
      </c>
      <c r="BR110" s="23" t="n">
        <f aca="false">IF(AND(BB110=1,OR(TRIM(X110)&lt;&gt;"",ISNUMBER(Y110))),1,0)</f>
        <v>0</v>
      </c>
      <c r="BS110" s="23" t="n">
        <f aca="false">IF(BR110=1,IF(COUNTIFS($AZ$2:$AZ$201,AZ110,$BR$2:$BR$201,1,$H$2:$H$201,"&lt;"&amp;H110)+COUNTIFS($AZ$2:$AZ$201,AZ110,$BR$2:$BR$201,1,$H$2:$H$201,H110,$BA$2:$BA$201,"&lt;"&amp;BA110)=0,1,0),0)</f>
        <v>0</v>
      </c>
      <c r="BT110" s="23" t="str">
        <f aca="false">IF(BS110=1,AZ110,"")</f>
        <v/>
      </c>
      <c r="BU110" s="23" t="n">
        <f aca="false">IF(AND(BB110=1,W110="Y",TRIM(X110)=""),1,0)</f>
        <v>0</v>
      </c>
      <c r="BV110" s="23" t="str">
        <f aca="false">IF(BB110=1,AN110&amp;"","")</f>
        <v/>
      </c>
      <c r="BW110" s="23" t="str">
        <f aca="false">IF(BB110=1,AO110&amp;"","")</f>
        <v/>
      </c>
      <c r="BX110" s="23" t="str">
        <f aca="false">IF(BB110=1,AP110&amp;"","")</f>
        <v/>
      </c>
      <c r="BY110" s="23" t="str">
        <f aca="false">IF(AND(BB110=1,ISNUMBER(AV110),INT(N(H110))&lt;=Config!$B$5),AV110,"")</f>
        <v/>
      </c>
      <c r="BZ110" s="23" t="str">
        <f aca="false">IF(BB110=1,IF(COUNTIFS($A$2:$A$201,$A110,$DC$2:$DC$201,1,$AR$2:$AR$201,"Y")&gt;0,"Y","N"),"")</f>
        <v/>
      </c>
      <c r="CA110" s="23" t="n">
        <f aca="false">IF(AND(BB110=1,AR110="maybe"),1,0)</f>
        <v>0</v>
      </c>
      <c r="CB110" s="23" t="n">
        <f aca="false">IF(CA110=1,IF(COUNTIFS($AZ$2:$AZ$201,AZ110,$CA$2:$CA$201,1,$H$2:$H$201,"&lt;"&amp;H110)+COUNTIFS($AZ$2:$AZ$201,AZ110,$CA$2:$CA$201,1,$H$2:$H$201,H110,$BA$2:$BA$201,"&lt;"&amp;BA110)=0,1,0),0)</f>
        <v>0</v>
      </c>
      <c r="CC110" s="23" t="n">
        <f aca="false">IF(AND(BB110=1,AR110="Y"),IF(COUNTIFS($AZ$2:$AZ$201,AZ110,$AR$2:$AR$201,"Y",$BB$2:$BB$201,1,$H$2:$H$201,"&lt;"&amp;H110)+COUNTIFS($AZ$2:$AZ$201,AZ110,$AR$2:$AR$201,"Y",$BB$2:$BB$201,1,$H$2:$H$201,H110,$BA$2:$BA$201,"&lt;"&amp;BA110)=0,1,0),0)</f>
        <v>0</v>
      </c>
      <c r="CD110" s="23" t="n">
        <f aca="false">IF(AND(BH110=1,N(Y110)&gt;=Config!$B$15),1,0)</f>
        <v>0</v>
      </c>
      <c r="CE110" s="23" t="n">
        <f aca="false">IF(AND(BB110=1,AT110="Y"),1,0)</f>
        <v>0</v>
      </c>
      <c r="CF110" s="23" t="n">
        <f aca="false">IF(CE110=1,IF(COUNTIFS($AZ$2:$AZ$201,AZ110,$CE$2:$CE$201,1,$H$2:$H$201,"&lt;"&amp;H110)+COUNTIFS($AZ$2:$AZ$201,AZ110,$CE$2:$CE$201,1,$H$2:$H$201,H110,$BA$2:$BA$201,"&lt;"&amp;BA110)=0,1,0),0)</f>
        <v>0</v>
      </c>
      <c r="CG110" s="23" t="n">
        <f aca="false">IF(AND(BB110=1,G110="warm-intro"),1,0)</f>
        <v>0</v>
      </c>
      <c r="CH110" s="23" t="n">
        <f aca="false">IF(CG110=1,IF(COUNTIFS($AZ$2:$AZ$201,AZ110,$CG$2:$CG$201,1,$H$2:$H$201,"&lt;"&amp;H110)+COUNTIFS($AZ$2:$AZ$201,AZ110,$CG$2:$CG$201,1,$H$2:$H$201,H110,$BA$2:$BA$201,"&lt;"&amp;BA110)=0,1,0),0)</f>
        <v>0</v>
      </c>
      <c r="CI110" s="23" t="n">
        <f aca="false">IF(AND(BB110=1,Q110="Y"),1,0)</f>
        <v>0</v>
      </c>
      <c r="CJ110" s="23" t="n">
        <f aca="false">IF(CI110=1,IF(COUNTIFS($AZ$2:$AZ$201,AZ110,$CI$2:$CI$201,1,$H$2:$H$201,"&lt;"&amp;H110)+COUNTIFS($AZ$2:$AZ$201,AZ110,$CI$2:$CI$201,1,$H$2:$H$201,H110,$BA$2:$BA$201,"&lt;"&amp;BA110)=0,1,0),0)</f>
        <v>0</v>
      </c>
      <c r="CK110" s="23" t="n">
        <f aca="false">IF(AND(BB110=1,AF110="Y"),1,0)</f>
        <v>0</v>
      </c>
      <c r="CL110" s="23" t="n">
        <f aca="false">IF(CK110=1,IF(COUNTIFS($AZ$2:$AZ$201,AZ110,$CK$2:$CK$201,1,$H$2:$H$201,"&lt;"&amp;H110)+COUNTIFS($AZ$2:$AZ$201,AZ110,$CK$2:$CK$201,1,$H$2:$H$201,H110,$BA$2:$BA$201,"&lt;"&amp;BA110)=0,1,0),0)</f>
        <v>0</v>
      </c>
      <c r="CM110" s="23" t="n">
        <f aca="false">IF(AND(BB110=1,U110="Y"),1,0)</f>
        <v>0</v>
      </c>
      <c r="CN110" s="23" t="n">
        <f aca="false">IF(CM110=1,IF(COUNTIFS($AZ$2:$AZ$201,AZ110,$CM$2:$CM$201,1,$H$2:$H$201,"&lt;"&amp;H110)+COUNTIFS($AZ$2:$AZ$201,AZ110,$CM$2:$CM$201,1,$H$2:$H$201,H110,$BA$2:$BA$201,"&lt;"&amp;BA110)=0,1,0),0)</f>
        <v>0</v>
      </c>
      <c r="CO110" s="23" t="n">
        <f aca="false">IF(AND(BB110=1,L110="Y"),1,0)</f>
        <v>0</v>
      </c>
      <c r="CP110" s="23" t="n">
        <f aca="false">IF(CO110=1,IF(COUNTIFS($AZ$2:$AZ$201,AZ110,$CO$2:$CO$201,1,$H$2:$H$201,"&lt;"&amp;H110)+COUNTIFS($AZ$2:$AZ$201,AZ110,$CO$2:$CO$201,1,$H$2:$H$201,H110,$BA$2:$BA$201,"&lt;"&amp;BA110)=0,1,0),0)</f>
        <v>0</v>
      </c>
      <c r="CQ110" s="23" t="n">
        <f aca="false">IF(AND(BB110=1,ISNUMBER(O110)),1,0)</f>
        <v>0</v>
      </c>
      <c r="CR110" s="23" t="n">
        <f aca="false">IF(CQ110=1,IF(COUNTIFS($AZ$2:$AZ$201,AZ110,$CQ$2:$CQ$201,1,$H$2:$H$201,"&lt;"&amp;H110)+COUNTIFS($AZ$2:$AZ$201,AZ110,$CQ$2:$CQ$201,1,$H$2:$H$201,H110,$BA$2:$BA$201,"&lt;"&amp;BA110)=0,1,0),0)</f>
        <v>0</v>
      </c>
      <c r="CS110" s="23" t="str">
        <f aca="false">IF(AND(CR110=1,INT(N(H110))&lt;=Config!$B$5),O110,"")</f>
        <v/>
      </c>
      <c r="CT110" s="23" t="str">
        <f aca="false">IF(AND(BB110=1,INT(N(H110))&lt;=Config!$B$5),AG110&amp;"","")</f>
        <v/>
      </c>
      <c r="CU110" s="23" t="n">
        <f aca="false">IF(AND(BB110=1,AU110="Y"),1,0)</f>
        <v>0</v>
      </c>
      <c r="CV110" s="23" t="n">
        <f aca="false">IF(CU110=1,IF(COUNTIFS($AZ$2:$AZ$201,AZ110,$CU$2:$CU$201,1,$H$2:$H$201,"&lt;"&amp;H110)+COUNTIFS($AZ$2:$AZ$201,AZ110,$CU$2:$CU$201,1,$H$2:$H$201,H110,$BA$2:$BA$201,"&lt;"&amp;BA110)=0,1,0),0)</f>
        <v>0</v>
      </c>
      <c r="CW110" s="23" t="str">
        <f aca="false">IF(BB110=1,IFERROR(MATCH($A110,INDEX(Clay_Offices!$A$2:$FZ$601,0,Sync!$C$5),0),""),"")</f>
        <v/>
      </c>
      <c r="CX110" s="23" t="str">
        <f aca="false">IF(CW110="","",IFERROR(INDEX(Clay_Offices!$A$2:$FZ$601,CW110,Sync!$C$7)&amp;"",""))</f>
        <v/>
      </c>
      <c r="CY110" s="23" t="str">
        <f aca="false">IF(CX110="","",IFERROR(INDEX(Lists!$K$2:$K$15,MATCH(CX110,Lists!$J$2:$J$15,0)),""))</f>
        <v/>
      </c>
      <c r="CZ110" s="23" t="str">
        <f aca="false">IF(CW110="","",IFERROR(INDEX(Clay_Offices!$A$2:$FZ$601,CW110,Sync!$C$17)&amp;"",""))</f>
        <v/>
      </c>
      <c r="DA110" s="35" t="str">
        <f aca="false">IF(CW110="","",IFERROR(N(INDEX(Clay_Offices!$A$2:$FZ$601,CW110,Sync!$C$16)),0))</f>
        <v/>
      </c>
      <c r="DB110" s="23" t="n">
        <f aca="false">IF(AND(BB110=1,OR(AR110="Y",AR110="N",AR110="maybe")),1,0)</f>
        <v>0</v>
      </c>
      <c r="DC110" s="23" t="n">
        <f aca="false">IF(AND(DB110=1),IF(COUNTIFS($A$2:$A$201,$A110,$DB$2:$DB$201,1,$H$2:$H$201,"&gt;"&amp;H110)+COUNTIFS($A$2:$A$201,$A110,$DB$2:$DB$201,1,$H$2:$H$201,H110,$BA$2:$BA$201,"&gt;"&amp;BA110)=0,1,0),0)</f>
        <v>0</v>
      </c>
      <c r="DD110" s="23" t="n">
        <f aca="false">IF(AND(DB110=1,INT(N(H110))&lt;=Config!$B$6),IF(COUNTIFS($AZ$2:$AZ$201,AZ110,$DB$2:$DB$201,1,$H$2:$H$201,"&gt;"&amp;H110,$H$2:$H$201,"&lt;"&amp;(Config!$B$6+1))+COUNTIFS($AZ$2:$AZ$201,AZ110,$DB$2:$DB$201,1,$H$2:$H$201,H110,$BA$2:$BA$201,"&gt;"&amp;BA110)=0,1,0),0)</f>
        <v>0</v>
      </c>
      <c r="DE110" s="23" t="n">
        <f aca="false">IF(AND(DB110=1,INT(N(H110))&lt;=Config!$B$7),IF(COUNTIFS($AZ$2:$AZ$201,AZ110,$DB$2:$DB$201,1,$H$2:$H$201,"&gt;"&amp;H110,$H$2:$H$201,"&lt;"&amp;(Config!$B$7+1))+COUNTIFS($AZ$2:$AZ$201,AZ110,$DB$2:$DB$201,1,$H$2:$H$201,H110,$BA$2:$BA$201,"&gt;"&amp;BA110)=0,1,0),0)</f>
        <v>0</v>
      </c>
      <c r="DF110" s="23" t="n">
        <f aca="false">IF(AND(DB110=1,INT(N(H110))&lt;=Config!$B$8),IF(COUNTIFS($AZ$2:$AZ$201,AZ110,$DB$2:$DB$201,1,$H$2:$H$201,"&gt;"&amp;H110,$H$2:$H$201,"&lt;"&amp;(Config!$B$8+1))+COUNTIFS($AZ$2:$AZ$201,AZ110,$DB$2:$DB$201,1,$H$2:$H$201,H110,$BA$2:$BA$201,"&gt;"&amp;BA110)=0,1,0),0)</f>
        <v>0</v>
      </c>
      <c r="DG110" s="23" t="n">
        <f aca="false">IF(AND(DB110=1,INT(N(H110))&lt;=Config!$B$5),IF(COUNTIFS($AZ$2:$AZ$201,AZ110,$DB$2:$DB$201,1,$H$2:$H$201,"&gt;"&amp;H110,$H$2:$H$201,"&lt;"&amp;(Config!$B$5+1))+COUNTIFS($AZ$2:$AZ$201,AZ110,$DB$2:$DB$201,1,$H$2:$H$201,H110,$BA$2:$BA$201,"&gt;"&amp;BA110)=0,1,0),0)</f>
        <v>0</v>
      </c>
      <c r="DH110" s="23" t="n">
        <f aca="false">IF(BB110=1,IF(COUNTIFS($AZ$2:$AZ$201,AZ110,$DD$2:$DD$201,1,$AR$2:$AR$201,"Y")&gt;0,1,0),0)</f>
        <v>0</v>
      </c>
      <c r="DI110" s="23" t="n">
        <f aca="false">IF(BB110=1,IF(COUNTIFS($AZ$2:$AZ$201,AZ110,$DE$2:$DE$201,1,$AR$2:$AR$201,"Y")&gt;0,1,0),0)</f>
        <v>0</v>
      </c>
      <c r="DJ110" s="23" t="n">
        <f aca="false">IF(BB110=1,IF(COUNTIFS($AZ$2:$AZ$201,AZ110,$DF$2:$DF$201,1,$AR$2:$AR$201,"Y")&gt;0,1,0),0)</f>
        <v>0</v>
      </c>
      <c r="DK110" s="23" t="n">
        <f aca="false">IF(BB110=1,IF(COUNTIFS($AZ$2:$AZ$201,AZ110,$DG$2:$DG$201,1,$AR$2:$AR$201,"Y")&gt;0,1,0),0)</f>
        <v>0</v>
      </c>
      <c r="DL110" s="23" t="n">
        <f aca="false">IF(AND(BF110=1,INT(N(H110))&lt;=Config!$B$6,DH110=1,EI110=0),1,0)</f>
        <v>0</v>
      </c>
      <c r="DM110" s="23" t="n">
        <f aca="false">IF(AND(BF110=1,INT(N(H110))&lt;=Config!$B$7,DI110=1,EI110=0),1,0)</f>
        <v>0</v>
      </c>
      <c r="DN110" s="23" t="n">
        <f aca="false">IF(AND(BF110=1,INT(N(H110))&lt;=Config!$B$8,DJ110=1,EI110=0),1,0)</f>
        <v>0</v>
      </c>
      <c r="DO110" s="23" t="n">
        <f aca="false">IF(AND(BF110=1,INT(N(H110))&lt;=Config!$B$5,DK110=1,EI110=0),1,0)</f>
        <v>0</v>
      </c>
      <c r="DP110" s="23" t="n">
        <f aca="false">IF(AND(CC110=1,INT(N(H110))&lt;=Config!$B$6,DH110=1,EI110=0),1,0)</f>
        <v>0</v>
      </c>
      <c r="DQ110" s="23" t="n">
        <f aca="false">IF(AND(CC110=1,INT(N(H110))&lt;=Config!$B$7,DI110=1,EI110=0),1,0)</f>
        <v>0</v>
      </c>
      <c r="DR110" s="23" t="n">
        <f aca="false">IF(AND(CC110=1,INT(N(H110))&lt;=Config!$B$8,DJ110=1,EI110=0),1,0)</f>
        <v>0</v>
      </c>
      <c r="DS110" s="23" t="n">
        <f aca="false">IF(AND(CC110=1,INT(N(H110))&lt;=Config!$B$5,DK110=1,EI110=0),1,0)</f>
        <v>0</v>
      </c>
      <c r="DT110" s="23" t="n">
        <f aca="false">IF(AND(CC110=1,INT(N(H110))&lt;=Config!$B$6,DH110=0),1,0)</f>
        <v>0</v>
      </c>
      <c r="DU110" s="23" t="n">
        <f aca="false">IF(AND(CC110=1,INT(N(H110))&lt;=Config!$B$7,DI110=0),1,0)</f>
        <v>0</v>
      </c>
      <c r="DV110" s="23" t="n">
        <f aca="false">IF(AND(CC110=1,INT(N(H110))&lt;=Config!$B$8,DJ110=0),1,0)</f>
        <v>0</v>
      </c>
      <c r="DW110" s="23" t="n">
        <f aca="false">IF(AND(CC110=1,INT(N(H110))&lt;=Config!$B$5,DK110=0),1,0)</f>
        <v>0</v>
      </c>
      <c r="DX110" s="23" t="n">
        <f aca="false">IF(TRIM($A110)="",0,ISTEXT(M110)+ISTEXT(O110)+ISTEXT(Y110)+ISTEXT(Z110)+ISTEXT(AA110)+ISTEXT(AV110))</f>
        <v>0</v>
      </c>
      <c r="DY110" s="23" t="n">
        <f aca="false">IF(BB110=1,IF(H110&lt;&gt;INT(H110),1,0),0)</f>
        <v>0</v>
      </c>
      <c r="DZ110" s="23" t="str">
        <f aca="false">IF(TRIM($A110)="","",IF(TRIM(B110)="",SUBSTITUTE(SUBSTITUTE(SUBSTITUTE(SUBSTITUTE(SUBSTITUTE(SUBSTITUTE(LOWER(TRIM($A110)),"~",""),"*",""),"?",""),"&lt;",""),"&gt;",""),"=",""),SUBSTITUTE(SUBSTITUTE(SUBSTITUTE(SUBSTITUTE(SUBSTITUTE(SUBSTITUTE(LOWER(TRIM(B110)),"~",""),"*",""),"?",""),"&lt;",""),"&gt;",""),"=","")))</f>
        <v/>
      </c>
      <c r="EA110" s="23" t="str">
        <f aca="false">IF(CW110="","",IFERROR(IF(LEFT(LOWER(TRIM(INDEX(Clay_Offices!$A$2:$FZ$601,CW110,Sync!$C$19)&amp;"")),4)="grp-",SUBSTITUTE(SUBSTITUTE(SUBSTITUTE(SUBSTITUTE(SUBSTITUTE(SUBSTITUTE(LOWER(TRIM(INDEX(Clay_Offices!$A$2:$FZ$601,CW110,Sync!$C$19)&amp;"")),"~",""),"*",""),"?",""),"&lt;",""),"&gt;",""),"=",""),""),""))</f>
        <v/>
      </c>
      <c r="EB110" s="23" t="str">
        <f aca="false">IF(EA110&lt;&gt;"",DZ110,"")</f>
        <v/>
      </c>
      <c r="EC110" s="23" t="str">
        <f aca="false">IF(BC110=1,AZ110,"")</f>
        <v/>
      </c>
      <c r="ED110" s="23" t="str">
        <f aca="false">IF(TRIM($A110)="","",IFERROR(INDEX($A$2:$A$201,MATCH(AZ110,$EC$2:$EC$201,0))&amp;"",$A110&amp;""))</f>
        <v/>
      </c>
      <c r="EE110" s="23" t="n">
        <f aca="false">IF(BB110=1,IF(COUNTIFS($A$2:$A$201,$A110,$BB$2:$BB$201,1,$H$2:$H$201,"&lt;"&amp;H110)+COUNTIFS($A$2:$A$201,$A110,$BB$2:$BB$201,1,$H$2:$H$201,H110,$BA$2:$BA$201,"&lt;"&amp;BA110)=0,1,0),0)</f>
        <v>0</v>
      </c>
      <c r="EF110" s="23" t="n">
        <f aca="false">IF(BC110=1,IF(COUNTIFS($AZ$2:$AZ$201,AZ110,$EE$2:$EE$201,1)&gt;1,1,0),0)</f>
        <v>0</v>
      </c>
      <c r="EG110" s="23" t="n">
        <f aca="false">IF(AND(CQ110=1),IF(COUNTIFS($AZ$2:$AZ$201,AZ110,$CQ$2:$CQ$201,1,$H$2:$H$201,"&gt;"&amp;H110)+COUNTIFS($AZ$2:$AZ$201,AZ110,$CQ$2:$CQ$201,1,$H$2:$H$201,H110,$BA$2:$BA$201,"&gt;"&amp;BA110)=0,1,0),0)</f>
        <v>0</v>
      </c>
      <c r="EH110" s="23" t="str">
        <f aca="false">IF(BB110=1,IF(COUNTIFS($AZ$2:$AZ$201,AZ110,$EG$2:$EG$201,1)=0,"",SUMIFS($O$2:$O$201,$AZ$2:$AZ$201,AZ110,$EG$2:$EG$201,1)),"")</f>
        <v/>
      </c>
      <c r="EI110" s="23" t="n">
        <f aca="false">IF(AND(ISNUMBER(EH110),OR(N(EH110)&lt;Config!$B$31,N(EH110)&gt;Config!$B$33)),1,0)</f>
        <v>0</v>
      </c>
      <c r="EJ110" s="23" t="n">
        <f aca="false">IF(AND(ISNUMBER(EH110),N(EH110)&gt;=Config!$B$31,N(EH110)&lt;Config!$B$32),1,0)</f>
        <v>0</v>
      </c>
      <c r="EK110" s="23" t="n">
        <f aca="false">IF(AND(BF110=1,INT(N(H110))&lt;=Config!$B$6,DH110=1,EI110=1),1,0)</f>
        <v>0</v>
      </c>
      <c r="EL110" s="23" t="n">
        <f aca="false">IF(AND(BF110=1,INT(N(H110))&lt;=Config!$B$7,DI110=1,EI110=1),1,0)</f>
        <v>0</v>
      </c>
      <c r="EM110" s="23" t="n">
        <f aca="false">IF(AND(BF110=1,INT(N(H110))&lt;=Config!$B$8,DJ110=1,EI110=1),1,0)</f>
        <v>0</v>
      </c>
      <c r="EN110" s="23" t="n">
        <f aca="false">IF(AND(BF110=1,INT(N(H110))&lt;=Config!$B$5,DK110=1,EI110=1),1,0)</f>
        <v>0</v>
      </c>
      <c r="EO110" s="23" t="n">
        <f aca="false">IF(AND(DL110=1,EJ110=1),1,0)</f>
        <v>0</v>
      </c>
      <c r="EP110" s="23" t="n">
        <f aca="false">IF(AND(DM110=1,EJ110=1),1,0)</f>
        <v>0</v>
      </c>
      <c r="EQ110" s="23" t="n">
        <f aca="false">IF(AND(DN110=1,EJ110=1),1,0)</f>
        <v>0</v>
      </c>
      <c r="ER110" s="23" t="n">
        <f aca="false">IF(AND(DO110=1,EJ110=1),1,0)</f>
        <v>0</v>
      </c>
    </row>
    <row r="111" customFormat="false" ht="15" hidden="false" customHeight="false" outlineLevel="0" collapsed="false">
      <c r="G111" s="32"/>
      <c r="H111" s="33"/>
      <c r="I111" s="32"/>
      <c r="L111" s="32"/>
      <c r="Q111" s="32"/>
      <c r="U111" s="32"/>
      <c r="W111" s="32"/>
      <c r="AC111" s="32"/>
      <c r="AF111" s="32"/>
      <c r="AI111" s="32"/>
      <c r="AJ111" s="32"/>
      <c r="AN111" s="32"/>
      <c r="AR111" s="32"/>
      <c r="AT111" s="32"/>
      <c r="AU111" s="32"/>
      <c r="AW111" s="32"/>
      <c r="AY111" s="34" t="str">
        <f aca="false">IF(TRIM($A111)="","",IF(AND(LEFT($A111,6)="SAMPLE",Config!$B$19&lt;&gt;"Y"),"",IF(NOT(ISNUMBER(H111)),"call_date is blank or not a date",IF(Sync!$C$5="","Clay paste is empty or has no row_id column: paste the Clay export on Clay_Offices",IF(CW111="","row_id not found in the Clay paste: add the Clay row or fix the row_id",IF(AND(ISNUMBER(CY111),CY111&gt;=1,CY111&lt;=5),"Clay status is "&amp;CX111&amp;": set call_done or later",IF(AND(BD111=1,CZ111&lt;&gt;BZ111),"Clay yes_in_principle should be "&amp;BZ111,IF(AND(BD111=1,DA111&lt;&gt;H111),"Clay call_date should be "&amp;TEXT(H111,"yyyy-mm-dd"),""))))))))</f>
        <v/>
      </c>
      <c r="AZ111" s="23" t="str">
        <f aca="false">IF(TRIM($A111)="","",IF(TRIM(C111)&lt;&gt;"",SUBSTITUTE(SUBSTITUTE(SUBSTITUTE(SUBSTITUTE(SUBSTITUTE(SUBSTITUTE(LOWER(TRIM(C111)),"~",""),"*",""),"?",""),"&lt;",""),"&gt;",""),"=",""),IF(EA111&lt;&gt;"",EA111,IFERROR(INDEX($EA$2:$EA$201,MATCH(DZ111,$EB$2:$EB$201,0)),DZ111))))</f>
        <v/>
      </c>
      <c r="BA111" s="23" t="n">
        <f aca="false">ROW()</f>
        <v>111</v>
      </c>
      <c r="BB111" s="23" t="n">
        <f aca="false">IF(AND(TRIM($A111)&lt;&gt;"",ISNUMBER(H111)),IF(AND(LEFT($A111,6)="SAMPLE",Config!$B$19&lt;&gt;"Y"),0,1),0)</f>
        <v>0</v>
      </c>
      <c r="BC111" s="23" t="n">
        <f aca="false">IF(BB111=1,IF(COUNTIFS($AZ$2:$AZ$201,AZ111,$BB$2:$BB$201,1,$H$2:$H$201,"&lt;"&amp;H111)+COUNTIFS($AZ$2:$AZ$201,AZ111,$BB$2:$BB$201,1,$H$2:$H$201,H111,$BA$2:$BA$201,"&lt;"&amp;BA111)=0,1,0),0)</f>
        <v>0</v>
      </c>
      <c r="BD111" s="23" t="n">
        <f aca="false">IF(BB111=1,IF(COUNTIFS($A$2:$A$201,$A111,$BB$2:$BB$201,1,$H$2:$H$201,"&gt;"&amp;H111)+COUNTIFS($A$2:$A$201,$A111,$BB$2:$BB$201,1,$H$2:$H$201,H111,$BA$2:$BA$201,"&gt;"&amp;BA111)=0,1,0),0)</f>
        <v>0</v>
      </c>
      <c r="BE111" s="23" t="n">
        <f aca="false">IF(AND(BB111=1,AR111="Y",AC111="Y",TRIM(AH111)&lt;&gt;""),1,0)</f>
        <v>0</v>
      </c>
      <c r="BF111" s="23" t="n">
        <f aca="false">IF(BE111=1,IF(COUNTIFS($AZ$2:$AZ$201,AZ111,$BE$2:$BE$201,1,$H$2:$H$201,"&lt;"&amp;H111)+COUNTIFS($AZ$2:$AZ$201,AZ111,$BE$2:$BE$201,1,$H$2:$H$201,H111,$BA$2:$BA$201,"&lt;"&amp;BA111)=0,1,0),0)</f>
        <v>0</v>
      </c>
      <c r="BG111" s="23" t="n">
        <f aca="false">IF(AND(BB111=1,AR111="Y",BE111=0),1,0)</f>
        <v>0</v>
      </c>
      <c r="BH111" s="23" t="n">
        <f aca="false">IF(AND(BB111=1,ISNUMBER(Y111)),1,0)</f>
        <v>0</v>
      </c>
      <c r="BI111" s="23" t="n">
        <f aca="false">IF(BH111=1,IF(COUNTIFS($AZ$2:$AZ$201,AZ111,$BH$2:$BH$201,1,$H$2:$H$201,"&lt;"&amp;H111)+COUNTIFS($AZ$2:$AZ$201,AZ111,$BH$2:$BH$201,1,$H$2:$H$201,H111,$BA$2:$BA$201,"&lt;"&amp;BA111)=0,1,0),0)</f>
        <v>0</v>
      </c>
      <c r="BJ111" s="23" t="str">
        <f aca="false">IF(AND(BI111=1,INT(N(H111))&lt;=Config!$B$6),Y111,"")</f>
        <v/>
      </c>
      <c r="BK111" s="23" t="str">
        <f aca="false">IF(AND(BI111=1,INT(N(H111))&lt;=Config!$B$7),Y111,"")</f>
        <v/>
      </c>
      <c r="BL111" s="23" t="str">
        <f aca="false">IF(AND(BI111=1,INT(N(H111))&lt;=Config!$B$8),Y111,"")</f>
        <v/>
      </c>
      <c r="BM111" s="23" t="str">
        <f aca="false">IF(AND(BI111=1,INT(N(H111))&lt;=Config!$B$5),Y111,"")</f>
        <v/>
      </c>
      <c r="BN111" s="23" t="n">
        <f aca="false">IF(CD111=1,IF(COUNTIFS($AZ$2:$AZ$201,AZ111,$CD$2:$CD$201,1,$H$2:$H$201,"&lt;"&amp;H111)+COUNTIFS($AZ$2:$AZ$201,AZ111,$CD$2:$CD$201,1,$H$2:$H$201,H111,$BA$2:$BA$201,"&lt;"&amp;BA111)=0,1,0),0)</f>
        <v>0</v>
      </c>
      <c r="BO111" s="23" t="n">
        <f aca="false">IF(AND(BB111=1,ISNUMBER(M111)),1,0)</f>
        <v>0</v>
      </c>
      <c r="BP111" s="23" t="n">
        <f aca="false">IF(BO111=1,IF(COUNTIFS($AZ$2:$AZ$201,AZ111,$BO$2:$BO$201,1,$H$2:$H$201,"&lt;"&amp;H111)+COUNTIFS($AZ$2:$AZ$201,AZ111,$BO$2:$BO$201,1,$H$2:$H$201,H111,$BA$2:$BA$201,"&lt;"&amp;BA111)=0,1,0),0)</f>
        <v>0</v>
      </c>
      <c r="BQ111" s="23" t="str">
        <f aca="false">IF(AND(BP111=1,INT(N(H111))&lt;=Config!$B$5),M111,"")</f>
        <v/>
      </c>
      <c r="BR111" s="23" t="n">
        <f aca="false">IF(AND(BB111=1,OR(TRIM(X111)&lt;&gt;"",ISNUMBER(Y111))),1,0)</f>
        <v>0</v>
      </c>
      <c r="BS111" s="23" t="n">
        <f aca="false">IF(BR111=1,IF(COUNTIFS($AZ$2:$AZ$201,AZ111,$BR$2:$BR$201,1,$H$2:$H$201,"&lt;"&amp;H111)+COUNTIFS($AZ$2:$AZ$201,AZ111,$BR$2:$BR$201,1,$H$2:$H$201,H111,$BA$2:$BA$201,"&lt;"&amp;BA111)=0,1,0),0)</f>
        <v>0</v>
      </c>
      <c r="BT111" s="23" t="str">
        <f aca="false">IF(BS111=1,AZ111,"")</f>
        <v/>
      </c>
      <c r="BU111" s="23" t="n">
        <f aca="false">IF(AND(BB111=1,W111="Y",TRIM(X111)=""),1,0)</f>
        <v>0</v>
      </c>
      <c r="BV111" s="23" t="str">
        <f aca="false">IF(BB111=1,AN111&amp;"","")</f>
        <v/>
      </c>
      <c r="BW111" s="23" t="str">
        <f aca="false">IF(BB111=1,AO111&amp;"","")</f>
        <v/>
      </c>
      <c r="BX111" s="23" t="str">
        <f aca="false">IF(BB111=1,AP111&amp;"","")</f>
        <v/>
      </c>
      <c r="BY111" s="23" t="str">
        <f aca="false">IF(AND(BB111=1,ISNUMBER(AV111),INT(N(H111))&lt;=Config!$B$5),AV111,"")</f>
        <v/>
      </c>
      <c r="BZ111" s="23" t="str">
        <f aca="false">IF(BB111=1,IF(COUNTIFS($A$2:$A$201,$A111,$DC$2:$DC$201,1,$AR$2:$AR$201,"Y")&gt;0,"Y","N"),"")</f>
        <v/>
      </c>
      <c r="CA111" s="23" t="n">
        <f aca="false">IF(AND(BB111=1,AR111="maybe"),1,0)</f>
        <v>0</v>
      </c>
      <c r="CB111" s="23" t="n">
        <f aca="false">IF(CA111=1,IF(COUNTIFS($AZ$2:$AZ$201,AZ111,$CA$2:$CA$201,1,$H$2:$H$201,"&lt;"&amp;H111)+COUNTIFS($AZ$2:$AZ$201,AZ111,$CA$2:$CA$201,1,$H$2:$H$201,H111,$BA$2:$BA$201,"&lt;"&amp;BA111)=0,1,0),0)</f>
        <v>0</v>
      </c>
      <c r="CC111" s="23" t="n">
        <f aca="false">IF(AND(BB111=1,AR111="Y"),IF(COUNTIFS($AZ$2:$AZ$201,AZ111,$AR$2:$AR$201,"Y",$BB$2:$BB$201,1,$H$2:$H$201,"&lt;"&amp;H111)+COUNTIFS($AZ$2:$AZ$201,AZ111,$AR$2:$AR$201,"Y",$BB$2:$BB$201,1,$H$2:$H$201,H111,$BA$2:$BA$201,"&lt;"&amp;BA111)=0,1,0),0)</f>
        <v>0</v>
      </c>
      <c r="CD111" s="23" t="n">
        <f aca="false">IF(AND(BH111=1,N(Y111)&gt;=Config!$B$15),1,0)</f>
        <v>0</v>
      </c>
      <c r="CE111" s="23" t="n">
        <f aca="false">IF(AND(BB111=1,AT111="Y"),1,0)</f>
        <v>0</v>
      </c>
      <c r="CF111" s="23" t="n">
        <f aca="false">IF(CE111=1,IF(COUNTIFS($AZ$2:$AZ$201,AZ111,$CE$2:$CE$201,1,$H$2:$H$201,"&lt;"&amp;H111)+COUNTIFS($AZ$2:$AZ$201,AZ111,$CE$2:$CE$201,1,$H$2:$H$201,H111,$BA$2:$BA$201,"&lt;"&amp;BA111)=0,1,0),0)</f>
        <v>0</v>
      </c>
      <c r="CG111" s="23" t="n">
        <f aca="false">IF(AND(BB111=1,G111="warm-intro"),1,0)</f>
        <v>0</v>
      </c>
      <c r="CH111" s="23" t="n">
        <f aca="false">IF(CG111=1,IF(COUNTIFS($AZ$2:$AZ$201,AZ111,$CG$2:$CG$201,1,$H$2:$H$201,"&lt;"&amp;H111)+COUNTIFS($AZ$2:$AZ$201,AZ111,$CG$2:$CG$201,1,$H$2:$H$201,H111,$BA$2:$BA$201,"&lt;"&amp;BA111)=0,1,0),0)</f>
        <v>0</v>
      </c>
      <c r="CI111" s="23" t="n">
        <f aca="false">IF(AND(BB111=1,Q111="Y"),1,0)</f>
        <v>0</v>
      </c>
      <c r="CJ111" s="23" t="n">
        <f aca="false">IF(CI111=1,IF(COUNTIFS($AZ$2:$AZ$201,AZ111,$CI$2:$CI$201,1,$H$2:$H$201,"&lt;"&amp;H111)+COUNTIFS($AZ$2:$AZ$201,AZ111,$CI$2:$CI$201,1,$H$2:$H$201,H111,$BA$2:$BA$201,"&lt;"&amp;BA111)=0,1,0),0)</f>
        <v>0</v>
      </c>
      <c r="CK111" s="23" t="n">
        <f aca="false">IF(AND(BB111=1,AF111="Y"),1,0)</f>
        <v>0</v>
      </c>
      <c r="CL111" s="23" t="n">
        <f aca="false">IF(CK111=1,IF(COUNTIFS($AZ$2:$AZ$201,AZ111,$CK$2:$CK$201,1,$H$2:$H$201,"&lt;"&amp;H111)+COUNTIFS($AZ$2:$AZ$201,AZ111,$CK$2:$CK$201,1,$H$2:$H$201,H111,$BA$2:$BA$201,"&lt;"&amp;BA111)=0,1,0),0)</f>
        <v>0</v>
      </c>
      <c r="CM111" s="23" t="n">
        <f aca="false">IF(AND(BB111=1,U111="Y"),1,0)</f>
        <v>0</v>
      </c>
      <c r="CN111" s="23" t="n">
        <f aca="false">IF(CM111=1,IF(COUNTIFS($AZ$2:$AZ$201,AZ111,$CM$2:$CM$201,1,$H$2:$H$201,"&lt;"&amp;H111)+COUNTIFS($AZ$2:$AZ$201,AZ111,$CM$2:$CM$201,1,$H$2:$H$201,H111,$BA$2:$BA$201,"&lt;"&amp;BA111)=0,1,0),0)</f>
        <v>0</v>
      </c>
      <c r="CO111" s="23" t="n">
        <f aca="false">IF(AND(BB111=1,L111="Y"),1,0)</f>
        <v>0</v>
      </c>
      <c r="CP111" s="23" t="n">
        <f aca="false">IF(CO111=1,IF(COUNTIFS($AZ$2:$AZ$201,AZ111,$CO$2:$CO$201,1,$H$2:$H$201,"&lt;"&amp;H111)+COUNTIFS($AZ$2:$AZ$201,AZ111,$CO$2:$CO$201,1,$H$2:$H$201,H111,$BA$2:$BA$201,"&lt;"&amp;BA111)=0,1,0),0)</f>
        <v>0</v>
      </c>
      <c r="CQ111" s="23" t="n">
        <f aca="false">IF(AND(BB111=1,ISNUMBER(O111)),1,0)</f>
        <v>0</v>
      </c>
      <c r="CR111" s="23" t="n">
        <f aca="false">IF(CQ111=1,IF(COUNTIFS($AZ$2:$AZ$201,AZ111,$CQ$2:$CQ$201,1,$H$2:$H$201,"&lt;"&amp;H111)+COUNTIFS($AZ$2:$AZ$201,AZ111,$CQ$2:$CQ$201,1,$H$2:$H$201,H111,$BA$2:$BA$201,"&lt;"&amp;BA111)=0,1,0),0)</f>
        <v>0</v>
      </c>
      <c r="CS111" s="23" t="str">
        <f aca="false">IF(AND(CR111=1,INT(N(H111))&lt;=Config!$B$5),O111,"")</f>
        <v/>
      </c>
      <c r="CT111" s="23" t="str">
        <f aca="false">IF(AND(BB111=1,INT(N(H111))&lt;=Config!$B$5),AG111&amp;"","")</f>
        <v/>
      </c>
      <c r="CU111" s="23" t="n">
        <f aca="false">IF(AND(BB111=1,AU111="Y"),1,0)</f>
        <v>0</v>
      </c>
      <c r="CV111" s="23" t="n">
        <f aca="false">IF(CU111=1,IF(COUNTIFS($AZ$2:$AZ$201,AZ111,$CU$2:$CU$201,1,$H$2:$H$201,"&lt;"&amp;H111)+COUNTIFS($AZ$2:$AZ$201,AZ111,$CU$2:$CU$201,1,$H$2:$H$201,H111,$BA$2:$BA$201,"&lt;"&amp;BA111)=0,1,0),0)</f>
        <v>0</v>
      </c>
      <c r="CW111" s="23" t="str">
        <f aca="false">IF(BB111=1,IFERROR(MATCH($A111,INDEX(Clay_Offices!$A$2:$FZ$601,0,Sync!$C$5),0),""),"")</f>
        <v/>
      </c>
      <c r="CX111" s="23" t="str">
        <f aca="false">IF(CW111="","",IFERROR(INDEX(Clay_Offices!$A$2:$FZ$601,CW111,Sync!$C$7)&amp;"",""))</f>
        <v/>
      </c>
      <c r="CY111" s="23" t="str">
        <f aca="false">IF(CX111="","",IFERROR(INDEX(Lists!$K$2:$K$15,MATCH(CX111,Lists!$J$2:$J$15,0)),""))</f>
        <v/>
      </c>
      <c r="CZ111" s="23" t="str">
        <f aca="false">IF(CW111="","",IFERROR(INDEX(Clay_Offices!$A$2:$FZ$601,CW111,Sync!$C$17)&amp;"",""))</f>
        <v/>
      </c>
      <c r="DA111" s="35" t="str">
        <f aca="false">IF(CW111="","",IFERROR(N(INDEX(Clay_Offices!$A$2:$FZ$601,CW111,Sync!$C$16)),0))</f>
        <v/>
      </c>
      <c r="DB111" s="23" t="n">
        <f aca="false">IF(AND(BB111=1,OR(AR111="Y",AR111="N",AR111="maybe")),1,0)</f>
        <v>0</v>
      </c>
      <c r="DC111" s="23" t="n">
        <f aca="false">IF(AND(DB111=1),IF(COUNTIFS($A$2:$A$201,$A111,$DB$2:$DB$201,1,$H$2:$H$201,"&gt;"&amp;H111)+COUNTIFS($A$2:$A$201,$A111,$DB$2:$DB$201,1,$H$2:$H$201,H111,$BA$2:$BA$201,"&gt;"&amp;BA111)=0,1,0),0)</f>
        <v>0</v>
      </c>
      <c r="DD111" s="23" t="n">
        <f aca="false">IF(AND(DB111=1,INT(N(H111))&lt;=Config!$B$6),IF(COUNTIFS($AZ$2:$AZ$201,AZ111,$DB$2:$DB$201,1,$H$2:$H$201,"&gt;"&amp;H111,$H$2:$H$201,"&lt;"&amp;(Config!$B$6+1))+COUNTIFS($AZ$2:$AZ$201,AZ111,$DB$2:$DB$201,1,$H$2:$H$201,H111,$BA$2:$BA$201,"&gt;"&amp;BA111)=0,1,0),0)</f>
        <v>0</v>
      </c>
      <c r="DE111" s="23" t="n">
        <f aca="false">IF(AND(DB111=1,INT(N(H111))&lt;=Config!$B$7),IF(COUNTIFS($AZ$2:$AZ$201,AZ111,$DB$2:$DB$201,1,$H$2:$H$201,"&gt;"&amp;H111,$H$2:$H$201,"&lt;"&amp;(Config!$B$7+1))+COUNTIFS($AZ$2:$AZ$201,AZ111,$DB$2:$DB$201,1,$H$2:$H$201,H111,$BA$2:$BA$201,"&gt;"&amp;BA111)=0,1,0),0)</f>
        <v>0</v>
      </c>
      <c r="DF111" s="23" t="n">
        <f aca="false">IF(AND(DB111=1,INT(N(H111))&lt;=Config!$B$8),IF(COUNTIFS($AZ$2:$AZ$201,AZ111,$DB$2:$DB$201,1,$H$2:$H$201,"&gt;"&amp;H111,$H$2:$H$201,"&lt;"&amp;(Config!$B$8+1))+COUNTIFS($AZ$2:$AZ$201,AZ111,$DB$2:$DB$201,1,$H$2:$H$201,H111,$BA$2:$BA$201,"&gt;"&amp;BA111)=0,1,0),0)</f>
        <v>0</v>
      </c>
      <c r="DG111" s="23" t="n">
        <f aca="false">IF(AND(DB111=1,INT(N(H111))&lt;=Config!$B$5),IF(COUNTIFS($AZ$2:$AZ$201,AZ111,$DB$2:$DB$201,1,$H$2:$H$201,"&gt;"&amp;H111,$H$2:$H$201,"&lt;"&amp;(Config!$B$5+1))+COUNTIFS($AZ$2:$AZ$201,AZ111,$DB$2:$DB$201,1,$H$2:$H$201,H111,$BA$2:$BA$201,"&gt;"&amp;BA111)=0,1,0),0)</f>
        <v>0</v>
      </c>
      <c r="DH111" s="23" t="n">
        <f aca="false">IF(BB111=1,IF(COUNTIFS($AZ$2:$AZ$201,AZ111,$DD$2:$DD$201,1,$AR$2:$AR$201,"Y")&gt;0,1,0),0)</f>
        <v>0</v>
      </c>
      <c r="DI111" s="23" t="n">
        <f aca="false">IF(BB111=1,IF(COUNTIFS($AZ$2:$AZ$201,AZ111,$DE$2:$DE$201,1,$AR$2:$AR$201,"Y")&gt;0,1,0),0)</f>
        <v>0</v>
      </c>
      <c r="DJ111" s="23" t="n">
        <f aca="false">IF(BB111=1,IF(COUNTIFS($AZ$2:$AZ$201,AZ111,$DF$2:$DF$201,1,$AR$2:$AR$201,"Y")&gt;0,1,0),0)</f>
        <v>0</v>
      </c>
      <c r="DK111" s="23" t="n">
        <f aca="false">IF(BB111=1,IF(COUNTIFS($AZ$2:$AZ$201,AZ111,$DG$2:$DG$201,1,$AR$2:$AR$201,"Y")&gt;0,1,0),0)</f>
        <v>0</v>
      </c>
      <c r="DL111" s="23" t="n">
        <f aca="false">IF(AND(BF111=1,INT(N(H111))&lt;=Config!$B$6,DH111=1,EI111=0),1,0)</f>
        <v>0</v>
      </c>
      <c r="DM111" s="23" t="n">
        <f aca="false">IF(AND(BF111=1,INT(N(H111))&lt;=Config!$B$7,DI111=1,EI111=0),1,0)</f>
        <v>0</v>
      </c>
      <c r="DN111" s="23" t="n">
        <f aca="false">IF(AND(BF111=1,INT(N(H111))&lt;=Config!$B$8,DJ111=1,EI111=0),1,0)</f>
        <v>0</v>
      </c>
      <c r="DO111" s="23" t="n">
        <f aca="false">IF(AND(BF111=1,INT(N(H111))&lt;=Config!$B$5,DK111=1,EI111=0),1,0)</f>
        <v>0</v>
      </c>
      <c r="DP111" s="23" t="n">
        <f aca="false">IF(AND(CC111=1,INT(N(H111))&lt;=Config!$B$6,DH111=1,EI111=0),1,0)</f>
        <v>0</v>
      </c>
      <c r="DQ111" s="23" t="n">
        <f aca="false">IF(AND(CC111=1,INT(N(H111))&lt;=Config!$B$7,DI111=1,EI111=0),1,0)</f>
        <v>0</v>
      </c>
      <c r="DR111" s="23" t="n">
        <f aca="false">IF(AND(CC111=1,INT(N(H111))&lt;=Config!$B$8,DJ111=1,EI111=0),1,0)</f>
        <v>0</v>
      </c>
      <c r="DS111" s="23" t="n">
        <f aca="false">IF(AND(CC111=1,INT(N(H111))&lt;=Config!$B$5,DK111=1,EI111=0),1,0)</f>
        <v>0</v>
      </c>
      <c r="DT111" s="23" t="n">
        <f aca="false">IF(AND(CC111=1,INT(N(H111))&lt;=Config!$B$6,DH111=0),1,0)</f>
        <v>0</v>
      </c>
      <c r="DU111" s="23" t="n">
        <f aca="false">IF(AND(CC111=1,INT(N(H111))&lt;=Config!$B$7,DI111=0),1,0)</f>
        <v>0</v>
      </c>
      <c r="DV111" s="23" t="n">
        <f aca="false">IF(AND(CC111=1,INT(N(H111))&lt;=Config!$B$8,DJ111=0),1,0)</f>
        <v>0</v>
      </c>
      <c r="DW111" s="23" t="n">
        <f aca="false">IF(AND(CC111=1,INT(N(H111))&lt;=Config!$B$5,DK111=0),1,0)</f>
        <v>0</v>
      </c>
      <c r="DX111" s="23" t="n">
        <f aca="false">IF(TRIM($A111)="",0,ISTEXT(M111)+ISTEXT(O111)+ISTEXT(Y111)+ISTEXT(Z111)+ISTEXT(AA111)+ISTEXT(AV111))</f>
        <v>0</v>
      </c>
      <c r="DY111" s="23" t="n">
        <f aca="false">IF(BB111=1,IF(H111&lt;&gt;INT(H111),1,0),0)</f>
        <v>0</v>
      </c>
      <c r="DZ111" s="23" t="str">
        <f aca="false">IF(TRIM($A111)="","",IF(TRIM(B111)="",SUBSTITUTE(SUBSTITUTE(SUBSTITUTE(SUBSTITUTE(SUBSTITUTE(SUBSTITUTE(LOWER(TRIM($A111)),"~",""),"*",""),"?",""),"&lt;",""),"&gt;",""),"=",""),SUBSTITUTE(SUBSTITUTE(SUBSTITUTE(SUBSTITUTE(SUBSTITUTE(SUBSTITUTE(LOWER(TRIM(B111)),"~",""),"*",""),"?",""),"&lt;",""),"&gt;",""),"=","")))</f>
        <v/>
      </c>
      <c r="EA111" s="23" t="str">
        <f aca="false">IF(CW111="","",IFERROR(IF(LEFT(LOWER(TRIM(INDEX(Clay_Offices!$A$2:$FZ$601,CW111,Sync!$C$19)&amp;"")),4)="grp-",SUBSTITUTE(SUBSTITUTE(SUBSTITUTE(SUBSTITUTE(SUBSTITUTE(SUBSTITUTE(LOWER(TRIM(INDEX(Clay_Offices!$A$2:$FZ$601,CW111,Sync!$C$19)&amp;"")),"~",""),"*",""),"?",""),"&lt;",""),"&gt;",""),"=",""),""),""))</f>
        <v/>
      </c>
      <c r="EB111" s="23" t="str">
        <f aca="false">IF(EA111&lt;&gt;"",DZ111,"")</f>
        <v/>
      </c>
      <c r="EC111" s="23" t="str">
        <f aca="false">IF(BC111=1,AZ111,"")</f>
        <v/>
      </c>
      <c r="ED111" s="23" t="str">
        <f aca="false">IF(TRIM($A111)="","",IFERROR(INDEX($A$2:$A$201,MATCH(AZ111,$EC$2:$EC$201,0))&amp;"",$A111&amp;""))</f>
        <v/>
      </c>
      <c r="EE111" s="23" t="n">
        <f aca="false">IF(BB111=1,IF(COUNTIFS($A$2:$A$201,$A111,$BB$2:$BB$201,1,$H$2:$H$201,"&lt;"&amp;H111)+COUNTIFS($A$2:$A$201,$A111,$BB$2:$BB$201,1,$H$2:$H$201,H111,$BA$2:$BA$201,"&lt;"&amp;BA111)=0,1,0),0)</f>
        <v>0</v>
      </c>
      <c r="EF111" s="23" t="n">
        <f aca="false">IF(BC111=1,IF(COUNTIFS($AZ$2:$AZ$201,AZ111,$EE$2:$EE$201,1)&gt;1,1,0),0)</f>
        <v>0</v>
      </c>
      <c r="EG111" s="23" t="n">
        <f aca="false">IF(AND(CQ111=1),IF(COUNTIFS($AZ$2:$AZ$201,AZ111,$CQ$2:$CQ$201,1,$H$2:$H$201,"&gt;"&amp;H111)+COUNTIFS($AZ$2:$AZ$201,AZ111,$CQ$2:$CQ$201,1,$H$2:$H$201,H111,$BA$2:$BA$201,"&gt;"&amp;BA111)=0,1,0),0)</f>
        <v>0</v>
      </c>
      <c r="EH111" s="23" t="str">
        <f aca="false">IF(BB111=1,IF(COUNTIFS($AZ$2:$AZ$201,AZ111,$EG$2:$EG$201,1)=0,"",SUMIFS($O$2:$O$201,$AZ$2:$AZ$201,AZ111,$EG$2:$EG$201,1)),"")</f>
        <v/>
      </c>
      <c r="EI111" s="23" t="n">
        <f aca="false">IF(AND(ISNUMBER(EH111),OR(N(EH111)&lt;Config!$B$31,N(EH111)&gt;Config!$B$33)),1,0)</f>
        <v>0</v>
      </c>
      <c r="EJ111" s="23" t="n">
        <f aca="false">IF(AND(ISNUMBER(EH111),N(EH111)&gt;=Config!$B$31,N(EH111)&lt;Config!$B$32),1,0)</f>
        <v>0</v>
      </c>
      <c r="EK111" s="23" t="n">
        <f aca="false">IF(AND(BF111=1,INT(N(H111))&lt;=Config!$B$6,DH111=1,EI111=1),1,0)</f>
        <v>0</v>
      </c>
      <c r="EL111" s="23" t="n">
        <f aca="false">IF(AND(BF111=1,INT(N(H111))&lt;=Config!$B$7,DI111=1,EI111=1),1,0)</f>
        <v>0</v>
      </c>
      <c r="EM111" s="23" t="n">
        <f aca="false">IF(AND(BF111=1,INT(N(H111))&lt;=Config!$B$8,DJ111=1,EI111=1),1,0)</f>
        <v>0</v>
      </c>
      <c r="EN111" s="23" t="n">
        <f aca="false">IF(AND(BF111=1,INT(N(H111))&lt;=Config!$B$5,DK111=1,EI111=1),1,0)</f>
        <v>0</v>
      </c>
      <c r="EO111" s="23" t="n">
        <f aca="false">IF(AND(DL111=1,EJ111=1),1,0)</f>
        <v>0</v>
      </c>
      <c r="EP111" s="23" t="n">
        <f aca="false">IF(AND(DM111=1,EJ111=1),1,0)</f>
        <v>0</v>
      </c>
      <c r="EQ111" s="23" t="n">
        <f aca="false">IF(AND(DN111=1,EJ111=1),1,0)</f>
        <v>0</v>
      </c>
      <c r="ER111" s="23" t="n">
        <f aca="false">IF(AND(DO111=1,EJ111=1),1,0)</f>
        <v>0</v>
      </c>
    </row>
    <row r="112" customFormat="false" ht="15" hidden="false" customHeight="false" outlineLevel="0" collapsed="false">
      <c r="G112" s="32"/>
      <c r="H112" s="33"/>
      <c r="I112" s="32"/>
      <c r="L112" s="32"/>
      <c r="Q112" s="32"/>
      <c r="U112" s="32"/>
      <c r="W112" s="32"/>
      <c r="AC112" s="32"/>
      <c r="AF112" s="32"/>
      <c r="AI112" s="32"/>
      <c r="AJ112" s="32"/>
      <c r="AN112" s="32"/>
      <c r="AR112" s="32"/>
      <c r="AT112" s="32"/>
      <c r="AU112" s="32"/>
      <c r="AW112" s="32"/>
      <c r="AY112" s="34" t="str">
        <f aca="false">IF(TRIM($A112)="","",IF(AND(LEFT($A112,6)="SAMPLE",Config!$B$19&lt;&gt;"Y"),"",IF(NOT(ISNUMBER(H112)),"call_date is blank or not a date",IF(Sync!$C$5="","Clay paste is empty or has no row_id column: paste the Clay export on Clay_Offices",IF(CW112="","row_id not found in the Clay paste: add the Clay row or fix the row_id",IF(AND(ISNUMBER(CY112),CY112&gt;=1,CY112&lt;=5),"Clay status is "&amp;CX112&amp;": set call_done or later",IF(AND(BD112=1,CZ112&lt;&gt;BZ112),"Clay yes_in_principle should be "&amp;BZ112,IF(AND(BD112=1,DA112&lt;&gt;H112),"Clay call_date should be "&amp;TEXT(H112,"yyyy-mm-dd"),""))))))))</f>
        <v/>
      </c>
      <c r="AZ112" s="23" t="str">
        <f aca="false">IF(TRIM($A112)="","",IF(TRIM(C112)&lt;&gt;"",SUBSTITUTE(SUBSTITUTE(SUBSTITUTE(SUBSTITUTE(SUBSTITUTE(SUBSTITUTE(LOWER(TRIM(C112)),"~",""),"*",""),"?",""),"&lt;",""),"&gt;",""),"=",""),IF(EA112&lt;&gt;"",EA112,IFERROR(INDEX($EA$2:$EA$201,MATCH(DZ112,$EB$2:$EB$201,0)),DZ112))))</f>
        <v/>
      </c>
      <c r="BA112" s="23" t="n">
        <f aca="false">ROW()</f>
        <v>112</v>
      </c>
      <c r="BB112" s="23" t="n">
        <f aca="false">IF(AND(TRIM($A112)&lt;&gt;"",ISNUMBER(H112)),IF(AND(LEFT($A112,6)="SAMPLE",Config!$B$19&lt;&gt;"Y"),0,1),0)</f>
        <v>0</v>
      </c>
      <c r="BC112" s="23" t="n">
        <f aca="false">IF(BB112=1,IF(COUNTIFS($AZ$2:$AZ$201,AZ112,$BB$2:$BB$201,1,$H$2:$H$201,"&lt;"&amp;H112)+COUNTIFS($AZ$2:$AZ$201,AZ112,$BB$2:$BB$201,1,$H$2:$H$201,H112,$BA$2:$BA$201,"&lt;"&amp;BA112)=0,1,0),0)</f>
        <v>0</v>
      </c>
      <c r="BD112" s="23" t="n">
        <f aca="false">IF(BB112=1,IF(COUNTIFS($A$2:$A$201,$A112,$BB$2:$BB$201,1,$H$2:$H$201,"&gt;"&amp;H112)+COUNTIFS($A$2:$A$201,$A112,$BB$2:$BB$201,1,$H$2:$H$201,H112,$BA$2:$BA$201,"&gt;"&amp;BA112)=0,1,0),0)</f>
        <v>0</v>
      </c>
      <c r="BE112" s="23" t="n">
        <f aca="false">IF(AND(BB112=1,AR112="Y",AC112="Y",TRIM(AH112)&lt;&gt;""),1,0)</f>
        <v>0</v>
      </c>
      <c r="BF112" s="23" t="n">
        <f aca="false">IF(BE112=1,IF(COUNTIFS($AZ$2:$AZ$201,AZ112,$BE$2:$BE$201,1,$H$2:$H$201,"&lt;"&amp;H112)+COUNTIFS($AZ$2:$AZ$201,AZ112,$BE$2:$BE$201,1,$H$2:$H$201,H112,$BA$2:$BA$201,"&lt;"&amp;BA112)=0,1,0),0)</f>
        <v>0</v>
      </c>
      <c r="BG112" s="23" t="n">
        <f aca="false">IF(AND(BB112=1,AR112="Y",BE112=0),1,0)</f>
        <v>0</v>
      </c>
      <c r="BH112" s="23" t="n">
        <f aca="false">IF(AND(BB112=1,ISNUMBER(Y112)),1,0)</f>
        <v>0</v>
      </c>
      <c r="BI112" s="23" t="n">
        <f aca="false">IF(BH112=1,IF(COUNTIFS($AZ$2:$AZ$201,AZ112,$BH$2:$BH$201,1,$H$2:$H$201,"&lt;"&amp;H112)+COUNTIFS($AZ$2:$AZ$201,AZ112,$BH$2:$BH$201,1,$H$2:$H$201,H112,$BA$2:$BA$201,"&lt;"&amp;BA112)=0,1,0),0)</f>
        <v>0</v>
      </c>
      <c r="BJ112" s="23" t="str">
        <f aca="false">IF(AND(BI112=1,INT(N(H112))&lt;=Config!$B$6),Y112,"")</f>
        <v/>
      </c>
      <c r="BK112" s="23" t="str">
        <f aca="false">IF(AND(BI112=1,INT(N(H112))&lt;=Config!$B$7),Y112,"")</f>
        <v/>
      </c>
      <c r="BL112" s="23" t="str">
        <f aca="false">IF(AND(BI112=1,INT(N(H112))&lt;=Config!$B$8),Y112,"")</f>
        <v/>
      </c>
      <c r="BM112" s="23" t="str">
        <f aca="false">IF(AND(BI112=1,INT(N(H112))&lt;=Config!$B$5),Y112,"")</f>
        <v/>
      </c>
      <c r="BN112" s="23" t="n">
        <f aca="false">IF(CD112=1,IF(COUNTIFS($AZ$2:$AZ$201,AZ112,$CD$2:$CD$201,1,$H$2:$H$201,"&lt;"&amp;H112)+COUNTIFS($AZ$2:$AZ$201,AZ112,$CD$2:$CD$201,1,$H$2:$H$201,H112,$BA$2:$BA$201,"&lt;"&amp;BA112)=0,1,0),0)</f>
        <v>0</v>
      </c>
      <c r="BO112" s="23" t="n">
        <f aca="false">IF(AND(BB112=1,ISNUMBER(M112)),1,0)</f>
        <v>0</v>
      </c>
      <c r="BP112" s="23" t="n">
        <f aca="false">IF(BO112=1,IF(COUNTIFS($AZ$2:$AZ$201,AZ112,$BO$2:$BO$201,1,$H$2:$H$201,"&lt;"&amp;H112)+COUNTIFS($AZ$2:$AZ$201,AZ112,$BO$2:$BO$201,1,$H$2:$H$201,H112,$BA$2:$BA$201,"&lt;"&amp;BA112)=0,1,0),0)</f>
        <v>0</v>
      </c>
      <c r="BQ112" s="23" t="str">
        <f aca="false">IF(AND(BP112=1,INT(N(H112))&lt;=Config!$B$5),M112,"")</f>
        <v/>
      </c>
      <c r="BR112" s="23" t="n">
        <f aca="false">IF(AND(BB112=1,OR(TRIM(X112)&lt;&gt;"",ISNUMBER(Y112))),1,0)</f>
        <v>0</v>
      </c>
      <c r="BS112" s="23" t="n">
        <f aca="false">IF(BR112=1,IF(COUNTIFS($AZ$2:$AZ$201,AZ112,$BR$2:$BR$201,1,$H$2:$H$201,"&lt;"&amp;H112)+COUNTIFS($AZ$2:$AZ$201,AZ112,$BR$2:$BR$201,1,$H$2:$H$201,H112,$BA$2:$BA$201,"&lt;"&amp;BA112)=0,1,0),0)</f>
        <v>0</v>
      </c>
      <c r="BT112" s="23" t="str">
        <f aca="false">IF(BS112=1,AZ112,"")</f>
        <v/>
      </c>
      <c r="BU112" s="23" t="n">
        <f aca="false">IF(AND(BB112=1,W112="Y",TRIM(X112)=""),1,0)</f>
        <v>0</v>
      </c>
      <c r="BV112" s="23" t="str">
        <f aca="false">IF(BB112=1,AN112&amp;"","")</f>
        <v/>
      </c>
      <c r="BW112" s="23" t="str">
        <f aca="false">IF(BB112=1,AO112&amp;"","")</f>
        <v/>
      </c>
      <c r="BX112" s="23" t="str">
        <f aca="false">IF(BB112=1,AP112&amp;"","")</f>
        <v/>
      </c>
      <c r="BY112" s="23" t="str">
        <f aca="false">IF(AND(BB112=1,ISNUMBER(AV112),INT(N(H112))&lt;=Config!$B$5),AV112,"")</f>
        <v/>
      </c>
      <c r="BZ112" s="23" t="str">
        <f aca="false">IF(BB112=1,IF(COUNTIFS($A$2:$A$201,$A112,$DC$2:$DC$201,1,$AR$2:$AR$201,"Y")&gt;0,"Y","N"),"")</f>
        <v/>
      </c>
      <c r="CA112" s="23" t="n">
        <f aca="false">IF(AND(BB112=1,AR112="maybe"),1,0)</f>
        <v>0</v>
      </c>
      <c r="CB112" s="23" t="n">
        <f aca="false">IF(CA112=1,IF(COUNTIFS($AZ$2:$AZ$201,AZ112,$CA$2:$CA$201,1,$H$2:$H$201,"&lt;"&amp;H112)+COUNTIFS($AZ$2:$AZ$201,AZ112,$CA$2:$CA$201,1,$H$2:$H$201,H112,$BA$2:$BA$201,"&lt;"&amp;BA112)=0,1,0),0)</f>
        <v>0</v>
      </c>
      <c r="CC112" s="23" t="n">
        <f aca="false">IF(AND(BB112=1,AR112="Y"),IF(COUNTIFS($AZ$2:$AZ$201,AZ112,$AR$2:$AR$201,"Y",$BB$2:$BB$201,1,$H$2:$H$201,"&lt;"&amp;H112)+COUNTIFS($AZ$2:$AZ$201,AZ112,$AR$2:$AR$201,"Y",$BB$2:$BB$201,1,$H$2:$H$201,H112,$BA$2:$BA$201,"&lt;"&amp;BA112)=0,1,0),0)</f>
        <v>0</v>
      </c>
      <c r="CD112" s="23" t="n">
        <f aca="false">IF(AND(BH112=1,N(Y112)&gt;=Config!$B$15),1,0)</f>
        <v>0</v>
      </c>
      <c r="CE112" s="23" t="n">
        <f aca="false">IF(AND(BB112=1,AT112="Y"),1,0)</f>
        <v>0</v>
      </c>
      <c r="CF112" s="23" t="n">
        <f aca="false">IF(CE112=1,IF(COUNTIFS($AZ$2:$AZ$201,AZ112,$CE$2:$CE$201,1,$H$2:$H$201,"&lt;"&amp;H112)+COUNTIFS($AZ$2:$AZ$201,AZ112,$CE$2:$CE$201,1,$H$2:$H$201,H112,$BA$2:$BA$201,"&lt;"&amp;BA112)=0,1,0),0)</f>
        <v>0</v>
      </c>
      <c r="CG112" s="23" t="n">
        <f aca="false">IF(AND(BB112=1,G112="warm-intro"),1,0)</f>
        <v>0</v>
      </c>
      <c r="CH112" s="23" t="n">
        <f aca="false">IF(CG112=1,IF(COUNTIFS($AZ$2:$AZ$201,AZ112,$CG$2:$CG$201,1,$H$2:$H$201,"&lt;"&amp;H112)+COUNTIFS($AZ$2:$AZ$201,AZ112,$CG$2:$CG$201,1,$H$2:$H$201,H112,$BA$2:$BA$201,"&lt;"&amp;BA112)=0,1,0),0)</f>
        <v>0</v>
      </c>
      <c r="CI112" s="23" t="n">
        <f aca="false">IF(AND(BB112=1,Q112="Y"),1,0)</f>
        <v>0</v>
      </c>
      <c r="CJ112" s="23" t="n">
        <f aca="false">IF(CI112=1,IF(COUNTIFS($AZ$2:$AZ$201,AZ112,$CI$2:$CI$201,1,$H$2:$H$201,"&lt;"&amp;H112)+COUNTIFS($AZ$2:$AZ$201,AZ112,$CI$2:$CI$201,1,$H$2:$H$201,H112,$BA$2:$BA$201,"&lt;"&amp;BA112)=0,1,0),0)</f>
        <v>0</v>
      </c>
      <c r="CK112" s="23" t="n">
        <f aca="false">IF(AND(BB112=1,AF112="Y"),1,0)</f>
        <v>0</v>
      </c>
      <c r="CL112" s="23" t="n">
        <f aca="false">IF(CK112=1,IF(COUNTIFS($AZ$2:$AZ$201,AZ112,$CK$2:$CK$201,1,$H$2:$H$201,"&lt;"&amp;H112)+COUNTIFS($AZ$2:$AZ$201,AZ112,$CK$2:$CK$201,1,$H$2:$H$201,H112,$BA$2:$BA$201,"&lt;"&amp;BA112)=0,1,0),0)</f>
        <v>0</v>
      </c>
      <c r="CM112" s="23" t="n">
        <f aca="false">IF(AND(BB112=1,U112="Y"),1,0)</f>
        <v>0</v>
      </c>
      <c r="CN112" s="23" t="n">
        <f aca="false">IF(CM112=1,IF(COUNTIFS($AZ$2:$AZ$201,AZ112,$CM$2:$CM$201,1,$H$2:$H$201,"&lt;"&amp;H112)+COUNTIFS($AZ$2:$AZ$201,AZ112,$CM$2:$CM$201,1,$H$2:$H$201,H112,$BA$2:$BA$201,"&lt;"&amp;BA112)=0,1,0),0)</f>
        <v>0</v>
      </c>
      <c r="CO112" s="23" t="n">
        <f aca="false">IF(AND(BB112=1,L112="Y"),1,0)</f>
        <v>0</v>
      </c>
      <c r="CP112" s="23" t="n">
        <f aca="false">IF(CO112=1,IF(COUNTIFS($AZ$2:$AZ$201,AZ112,$CO$2:$CO$201,1,$H$2:$H$201,"&lt;"&amp;H112)+COUNTIFS($AZ$2:$AZ$201,AZ112,$CO$2:$CO$201,1,$H$2:$H$201,H112,$BA$2:$BA$201,"&lt;"&amp;BA112)=0,1,0),0)</f>
        <v>0</v>
      </c>
      <c r="CQ112" s="23" t="n">
        <f aca="false">IF(AND(BB112=1,ISNUMBER(O112)),1,0)</f>
        <v>0</v>
      </c>
      <c r="CR112" s="23" t="n">
        <f aca="false">IF(CQ112=1,IF(COUNTIFS($AZ$2:$AZ$201,AZ112,$CQ$2:$CQ$201,1,$H$2:$H$201,"&lt;"&amp;H112)+COUNTIFS($AZ$2:$AZ$201,AZ112,$CQ$2:$CQ$201,1,$H$2:$H$201,H112,$BA$2:$BA$201,"&lt;"&amp;BA112)=0,1,0),0)</f>
        <v>0</v>
      </c>
      <c r="CS112" s="23" t="str">
        <f aca="false">IF(AND(CR112=1,INT(N(H112))&lt;=Config!$B$5),O112,"")</f>
        <v/>
      </c>
      <c r="CT112" s="23" t="str">
        <f aca="false">IF(AND(BB112=1,INT(N(H112))&lt;=Config!$B$5),AG112&amp;"","")</f>
        <v/>
      </c>
      <c r="CU112" s="23" t="n">
        <f aca="false">IF(AND(BB112=1,AU112="Y"),1,0)</f>
        <v>0</v>
      </c>
      <c r="CV112" s="23" t="n">
        <f aca="false">IF(CU112=1,IF(COUNTIFS($AZ$2:$AZ$201,AZ112,$CU$2:$CU$201,1,$H$2:$H$201,"&lt;"&amp;H112)+COUNTIFS($AZ$2:$AZ$201,AZ112,$CU$2:$CU$201,1,$H$2:$H$201,H112,$BA$2:$BA$201,"&lt;"&amp;BA112)=0,1,0),0)</f>
        <v>0</v>
      </c>
      <c r="CW112" s="23" t="str">
        <f aca="false">IF(BB112=1,IFERROR(MATCH($A112,INDEX(Clay_Offices!$A$2:$FZ$601,0,Sync!$C$5),0),""),"")</f>
        <v/>
      </c>
      <c r="CX112" s="23" t="str">
        <f aca="false">IF(CW112="","",IFERROR(INDEX(Clay_Offices!$A$2:$FZ$601,CW112,Sync!$C$7)&amp;"",""))</f>
        <v/>
      </c>
      <c r="CY112" s="23" t="str">
        <f aca="false">IF(CX112="","",IFERROR(INDEX(Lists!$K$2:$K$15,MATCH(CX112,Lists!$J$2:$J$15,0)),""))</f>
        <v/>
      </c>
      <c r="CZ112" s="23" t="str">
        <f aca="false">IF(CW112="","",IFERROR(INDEX(Clay_Offices!$A$2:$FZ$601,CW112,Sync!$C$17)&amp;"",""))</f>
        <v/>
      </c>
      <c r="DA112" s="35" t="str">
        <f aca="false">IF(CW112="","",IFERROR(N(INDEX(Clay_Offices!$A$2:$FZ$601,CW112,Sync!$C$16)),0))</f>
        <v/>
      </c>
      <c r="DB112" s="23" t="n">
        <f aca="false">IF(AND(BB112=1,OR(AR112="Y",AR112="N",AR112="maybe")),1,0)</f>
        <v>0</v>
      </c>
      <c r="DC112" s="23" t="n">
        <f aca="false">IF(AND(DB112=1),IF(COUNTIFS($A$2:$A$201,$A112,$DB$2:$DB$201,1,$H$2:$H$201,"&gt;"&amp;H112)+COUNTIFS($A$2:$A$201,$A112,$DB$2:$DB$201,1,$H$2:$H$201,H112,$BA$2:$BA$201,"&gt;"&amp;BA112)=0,1,0),0)</f>
        <v>0</v>
      </c>
      <c r="DD112" s="23" t="n">
        <f aca="false">IF(AND(DB112=1,INT(N(H112))&lt;=Config!$B$6),IF(COUNTIFS($AZ$2:$AZ$201,AZ112,$DB$2:$DB$201,1,$H$2:$H$201,"&gt;"&amp;H112,$H$2:$H$201,"&lt;"&amp;(Config!$B$6+1))+COUNTIFS($AZ$2:$AZ$201,AZ112,$DB$2:$DB$201,1,$H$2:$H$201,H112,$BA$2:$BA$201,"&gt;"&amp;BA112)=0,1,0),0)</f>
        <v>0</v>
      </c>
      <c r="DE112" s="23" t="n">
        <f aca="false">IF(AND(DB112=1,INT(N(H112))&lt;=Config!$B$7),IF(COUNTIFS($AZ$2:$AZ$201,AZ112,$DB$2:$DB$201,1,$H$2:$H$201,"&gt;"&amp;H112,$H$2:$H$201,"&lt;"&amp;(Config!$B$7+1))+COUNTIFS($AZ$2:$AZ$201,AZ112,$DB$2:$DB$201,1,$H$2:$H$201,H112,$BA$2:$BA$201,"&gt;"&amp;BA112)=0,1,0),0)</f>
        <v>0</v>
      </c>
      <c r="DF112" s="23" t="n">
        <f aca="false">IF(AND(DB112=1,INT(N(H112))&lt;=Config!$B$8),IF(COUNTIFS($AZ$2:$AZ$201,AZ112,$DB$2:$DB$201,1,$H$2:$H$201,"&gt;"&amp;H112,$H$2:$H$201,"&lt;"&amp;(Config!$B$8+1))+COUNTIFS($AZ$2:$AZ$201,AZ112,$DB$2:$DB$201,1,$H$2:$H$201,H112,$BA$2:$BA$201,"&gt;"&amp;BA112)=0,1,0),0)</f>
        <v>0</v>
      </c>
      <c r="DG112" s="23" t="n">
        <f aca="false">IF(AND(DB112=1,INT(N(H112))&lt;=Config!$B$5),IF(COUNTIFS($AZ$2:$AZ$201,AZ112,$DB$2:$DB$201,1,$H$2:$H$201,"&gt;"&amp;H112,$H$2:$H$201,"&lt;"&amp;(Config!$B$5+1))+COUNTIFS($AZ$2:$AZ$201,AZ112,$DB$2:$DB$201,1,$H$2:$H$201,H112,$BA$2:$BA$201,"&gt;"&amp;BA112)=0,1,0),0)</f>
        <v>0</v>
      </c>
      <c r="DH112" s="23" t="n">
        <f aca="false">IF(BB112=1,IF(COUNTIFS($AZ$2:$AZ$201,AZ112,$DD$2:$DD$201,1,$AR$2:$AR$201,"Y")&gt;0,1,0),0)</f>
        <v>0</v>
      </c>
      <c r="DI112" s="23" t="n">
        <f aca="false">IF(BB112=1,IF(COUNTIFS($AZ$2:$AZ$201,AZ112,$DE$2:$DE$201,1,$AR$2:$AR$201,"Y")&gt;0,1,0),0)</f>
        <v>0</v>
      </c>
      <c r="DJ112" s="23" t="n">
        <f aca="false">IF(BB112=1,IF(COUNTIFS($AZ$2:$AZ$201,AZ112,$DF$2:$DF$201,1,$AR$2:$AR$201,"Y")&gt;0,1,0),0)</f>
        <v>0</v>
      </c>
      <c r="DK112" s="23" t="n">
        <f aca="false">IF(BB112=1,IF(COUNTIFS($AZ$2:$AZ$201,AZ112,$DG$2:$DG$201,1,$AR$2:$AR$201,"Y")&gt;0,1,0),0)</f>
        <v>0</v>
      </c>
      <c r="DL112" s="23" t="n">
        <f aca="false">IF(AND(BF112=1,INT(N(H112))&lt;=Config!$B$6,DH112=1,EI112=0),1,0)</f>
        <v>0</v>
      </c>
      <c r="DM112" s="23" t="n">
        <f aca="false">IF(AND(BF112=1,INT(N(H112))&lt;=Config!$B$7,DI112=1,EI112=0),1,0)</f>
        <v>0</v>
      </c>
      <c r="DN112" s="23" t="n">
        <f aca="false">IF(AND(BF112=1,INT(N(H112))&lt;=Config!$B$8,DJ112=1,EI112=0),1,0)</f>
        <v>0</v>
      </c>
      <c r="DO112" s="23" t="n">
        <f aca="false">IF(AND(BF112=1,INT(N(H112))&lt;=Config!$B$5,DK112=1,EI112=0),1,0)</f>
        <v>0</v>
      </c>
      <c r="DP112" s="23" t="n">
        <f aca="false">IF(AND(CC112=1,INT(N(H112))&lt;=Config!$B$6,DH112=1,EI112=0),1,0)</f>
        <v>0</v>
      </c>
      <c r="DQ112" s="23" t="n">
        <f aca="false">IF(AND(CC112=1,INT(N(H112))&lt;=Config!$B$7,DI112=1,EI112=0),1,0)</f>
        <v>0</v>
      </c>
      <c r="DR112" s="23" t="n">
        <f aca="false">IF(AND(CC112=1,INT(N(H112))&lt;=Config!$B$8,DJ112=1,EI112=0),1,0)</f>
        <v>0</v>
      </c>
      <c r="DS112" s="23" t="n">
        <f aca="false">IF(AND(CC112=1,INT(N(H112))&lt;=Config!$B$5,DK112=1,EI112=0),1,0)</f>
        <v>0</v>
      </c>
      <c r="DT112" s="23" t="n">
        <f aca="false">IF(AND(CC112=1,INT(N(H112))&lt;=Config!$B$6,DH112=0),1,0)</f>
        <v>0</v>
      </c>
      <c r="DU112" s="23" t="n">
        <f aca="false">IF(AND(CC112=1,INT(N(H112))&lt;=Config!$B$7,DI112=0),1,0)</f>
        <v>0</v>
      </c>
      <c r="DV112" s="23" t="n">
        <f aca="false">IF(AND(CC112=1,INT(N(H112))&lt;=Config!$B$8,DJ112=0),1,0)</f>
        <v>0</v>
      </c>
      <c r="DW112" s="23" t="n">
        <f aca="false">IF(AND(CC112=1,INT(N(H112))&lt;=Config!$B$5,DK112=0),1,0)</f>
        <v>0</v>
      </c>
      <c r="DX112" s="23" t="n">
        <f aca="false">IF(TRIM($A112)="",0,ISTEXT(M112)+ISTEXT(O112)+ISTEXT(Y112)+ISTEXT(Z112)+ISTEXT(AA112)+ISTEXT(AV112))</f>
        <v>0</v>
      </c>
      <c r="DY112" s="23" t="n">
        <f aca="false">IF(BB112=1,IF(H112&lt;&gt;INT(H112),1,0),0)</f>
        <v>0</v>
      </c>
      <c r="DZ112" s="23" t="str">
        <f aca="false">IF(TRIM($A112)="","",IF(TRIM(B112)="",SUBSTITUTE(SUBSTITUTE(SUBSTITUTE(SUBSTITUTE(SUBSTITUTE(SUBSTITUTE(LOWER(TRIM($A112)),"~",""),"*",""),"?",""),"&lt;",""),"&gt;",""),"=",""),SUBSTITUTE(SUBSTITUTE(SUBSTITUTE(SUBSTITUTE(SUBSTITUTE(SUBSTITUTE(LOWER(TRIM(B112)),"~",""),"*",""),"?",""),"&lt;",""),"&gt;",""),"=","")))</f>
        <v/>
      </c>
      <c r="EA112" s="23" t="str">
        <f aca="false">IF(CW112="","",IFERROR(IF(LEFT(LOWER(TRIM(INDEX(Clay_Offices!$A$2:$FZ$601,CW112,Sync!$C$19)&amp;"")),4)="grp-",SUBSTITUTE(SUBSTITUTE(SUBSTITUTE(SUBSTITUTE(SUBSTITUTE(SUBSTITUTE(LOWER(TRIM(INDEX(Clay_Offices!$A$2:$FZ$601,CW112,Sync!$C$19)&amp;"")),"~",""),"*",""),"?",""),"&lt;",""),"&gt;",""),"=",""),""),""))</f>
        <v/>
      </c>
      <c r="EB112" s="23" t="str">
        <f aca="false">IF(EA112&lt;&gt;"",DZ112,"")</f>
        <v/>
      </c>
      <c r="EC112" s="23" t="str">
        <f aca="false">IF(BC112=1,AZ112,"")</f>
        <v/>
      </c>
      <c r="ED112" s="23" t="str">
        <f aca="false">IF(TRIM($A112)="","",IFERROR(INDEX($A$2:$A$201,MATCH(AZ112,$EC$2:$EC$201,0))&amp;"",$A112&amp;""))</f>
        <v/>
      </c>
      <c r="EE112" s="23" t="n">
        <f aca="false">IF(BB112=1,IF(COUNTIFS($A$2:$A$201,$A112,$BB$2:$BB$201,1,$H$2:$H$201,"&lt;"&amp;H112)+COUNTIFS($A$2:$A$201,$A112,$BB$2:$BB$201,1,$H$2:$H$201,H112,$BA$2:$BA$201,"&lt;"&amp;BA112)=0,1,0),0)</f>
        <v>0</v>
      </c>
      <c r="EF112" s="23" t="n">
        <f aca="false">IF(BC112=1,IF(COUNTIFS($AZ$2:$AZ$201,AZ112,$EE$2:$EE$201,1)&gt;1,1,0),0)</f>
        <v>0</v>
      </c>
      <c r="EG112" s="23" t="n">
        <f aca="false">IF(AND(CQ112=1),IF(COUNTIFS($AZ$2:$AZ$201,AZ112,$CQ$2:$CQ$201,1,$H$2:$H$201,"&gt;"&amp;H112)+COUNTIFS($AZ$2:$AZ$201,AZ112,$CQ$2:$CQ$201,1,$H$2:$H$201,H112,$BA$2:$BA$201,"&gt;"&amp;BA112)=0,1,0),0)</f>
        <v>0</v>
      </c>
      <c r="EH112" s="23" t="str">
        <f aca="false">IF(BB112=1,IF(COUNTIFS($AZ$2:$AZ$201,AZ112,$EG$2:$EG$201,1)=0,"",SUMIFS($O$2:$O$201,$AZ$2:$AZ$201,AZ112,$EG$2:$EG$201,1)),"")</f>
        <v/>
      </c>
      <c r="EI112" s="23" t="n">
        <f aca="false">IF(AND(ISNUMBER(EH112),OR(N(EH112)&lt;Config!$B$31,N(EH112)&gt;Config!$B$33)),1,0)</f>
        <v>0</v>
      </c>
      <c r="EJ112" s="23" t="n">
        <f aca="false">IF(AND(ISNUMBER(EH112),N(EH112)&gt;=Config!$B$31,N(EH112)&lt;Config!$B$32),1,0)</f>
        <v>0</v>
      </c>
      <c r="EK112" s="23" t="n">
        <f aca="false">IF(AND(BF112=1,INT(N(H112))&lt;=Config!$B$6,DH112=1,EI112=1),1,0)</f>
        <v>0</v>
      </c>
      <c r="EL112" s="23" t="n">
        <f aca="false">IF(AND(BF112=1,INT(N(H112))&lt;=Config!$B$7,DI112=1,EI112=1),1,0)</f>
        <v>0</v>
      </c>
      <c r="EM112" s="23" t="n">
        <f aca="false">IF(AND(BF112=1,INT(N(H112))&lt;=Config!$B$8,DJ112=1,EI112=1),1,0)</f>
        <v>0</v>
      </c>
      <c r="EN112" s="23" t="n">
        <f aca="false">IF(AND(BF112=1,INT(N(H112))&lt;=Config!$B$5,DK112=1,EI112=1),1,0)</f>
        <v>0</v>
      </c>
      <c r="EO112" s="23" t="n">
        <f aca="false">IF(AND(DL112=1,EJ112=1),1,0)</f>
        <v>0</v>
      </c>
      <c r="EP112" s="23" t="n">
        <f aca="false">IF(AND(DM112=1,EJ112=1),1,0)</f>
        <v>0</v>
      </c>
      <c r="EQ112" s="23" t="n">
        <f aca="false">IF(AND(DN112=1,EJ112=1),1,0)</f>
        <v>0</v>
      </c>
      <c r="ER112" s="23" t="n">
        <f aca="false">IF(AND(DO112=1,EJ112=1),1,0)</f>
        <v>0</v>
      </c>
    </row>
    <row r="113" customFormat="false" ht="15" hidden="false" customHeight="false" outlineLevel="0" collapsed="false">
      <c r="G113" s="32"/>
      <c r="H113" s="33"/>
      <c r="I113" s="32"/>
      <c r="L113" s="32"/>
      <c r="Q113" s="32"/>
      <c r="U113" s="32"/>
      <c r="W113" s="32"/>
      <c r="AC113" s="32"/>
      <c r="AF113" s="32"/>
      <c r="AI113" s="32"/>
      <c r="AJ113" s="32"/>
      <c r="AN113" s="32"/>
      <c r="AR113" s="32"/>
      <c r="AT113" s="32"/>
      <c r="AU113" s="32"/>
      <c r="AW113" s="32"/>
      <c r="AY113" s="34" t="str">
        <f aca="false">IF(TRIM($A113)="","",IF(AND(LEFT($A113,6)="SAMPLE",Config!$B$19&lt;&gt;"Y"),"",IF(NOT(ISNUMBER(H113)),"call_date is blank or not a date",IF(Sync!$C$5="","Clay paste is empty or has no row_id column: paste the Clay export on Clay_Offices",IF(CW113="","row_id not found in the Clay paste: add the Clay row or fix the row_id",IF(AND(ISNUMBER(CY113),CY113&gt;=1,CY113&lt;=5),"Clay status is "&amp;CX113&amp;": set call_done or later",IF(AND(BD113=1,CZ113&lt;&gt;BZ113),"Clay yes_in_principle should be "&amp;BZ113,IF(AND(BD113=1,DA113&lt;&gt;H113),"Clay call_date should be "&amp;TEXT(H113,"yyyy-mm-dd"),""))))))))</f>
        <v/>
      </c>
      <c r="AZ113" s="23" t="str">
        <f aca="false">IF(TRIM($A113)="","",IF(TRIM(C113)&lt;&gt;"",SUBSTITUTE(SUBSTITUTE(SUBSTITUTE(SUBSTITUTE(SUBSTITUTE(SUBSTITUTE(LOWER(TRIM(C113)),"~",""),"*",""),"?",""),"&lt;",""),"&gt;",""),"=",""),IF(EA113&lt;&gt;"",EA113,IFERROR(INDEX($EA$2:$EA$201,MATCH(DZ113,$EB$2:$EB$201,0)),DZ113))))</f>
        <v/>
      </c>
      <c r="BA113" s="23" t="n">
        <f aca="false">ROW()</f>
        <v>113</v>
      </c>
      <c r="BB113" s="23" t="n">
        <f aca="false">IF(AND(TRIM($A113)&lt;&gt;"",ISNUMBER(H113)),IF(AND(LEFT($A113,6)="SAMPLE",Config!$B$19&lt;&gt;"Y"),0,1),0)</f>
        <v>0</v>
      </c>
      <c r="BC113" s="23" t="n">
        <f aca="false">IF(BB113=1,IF(COUNTIFS($AZ$2:$AZ$201,AZ113,$BB$2:$BB$201,1,$H$2:$H$201,"&lt;"&amp;H113)+COUNTIFS($AZ$2:$AZ$201,AZ113,$BB$2:$BB$201,1,$H$2:$H$201,H113,$BA$2:$BA$201,"&lt;"&amp;BA113)=0,1,0),0)</f>
        <v>0</v>
      </c>
      <c r="BD113" s="23" t="n">
        <f aca="false">IF(BB113=1,IF(COUNTIFS($A$2:$A$201,$A113,$BB$2:$BB$201,1,$H$2:$H$201,"&gt;"&amp;H113)+COUNTIFS($A$2:$A$201,$A113,$BB$2:$BB$201,1,$H$2:$H$201,H113,$BA$2:$BA$201,"&gt;"&amp;BA113)=0,1,0),0)</f>
        <v>0</v>
      </c>
      <c r="BE113" s="23" t="n">
        <f aca="false">IF(AND(BB113=1,AR113="Y",AC113="Y",TRIM(AH113)&lt;&gt;""),1,0)</f>
        <v>0</v>
      </c>
      <c r="BF113" s="23" t="n">
        <f aca="false">IF(BE113=1,IF(COUNTIFS($AZ$2:$AZ$201,AZ113,$BE$2:$BE$201,1,$H$2:$H$201,"&lt;"&amp;H113)+COUNTIFS($AZ$2:$AZ$201,AZ113,$BE$2:$BE$201,1,$H$2:$H$201,H113,$BA$2:$BA$201,"&lt;"&amp;BA113)=0,1,0),0)</f>
        <v>0</v>
      </c>
      <c r="BG113" s="23" t="n">
        <f aca="false">IF(AND(BB113=1,AR113="Y",BE113=0),1,0)</f>
        <v>0</v>
      </c>
      <c r="BH113" s="23" t="n">
        <f aca="false">IF(AND(BB113=1,ISNUMBER(Y113)),1,0)</f>
        <v>0</v>
      </c>
      <c r="BI113" s="23" t="n">
        <f aca="false">IF(BH113=1,IF(COUNTIFS($AZ$2:$AZ$201,AZ113,$BH$2:$BH$201,1,$H$2:$H$201,"&lt;"&amp;H113)+COUNTIFS($AZ$2:$AZ$201,AZ113,$BH$2:$BH$201,1,$H$2:$H$201,H113,$BA$2:$BA$201,"&lt;"&amp;BA113)=0,1,0),0)</f>
        <v>0</v>
      </c>
      <c r="BJ113" s="23" t="str">
        <f aca="false">IF(AND(BI113=1,INT(N(H113))&lt;=Config!$B$6),Y113,"")</f>
        <v/>
      </c>
      <c r="BK113" s="23" t="str">
        <f aca="false">IF(AND(BI113=1,INT(N(H113))&lt;=Config!$B$7),Y113,"")</f>
        <v/>
      </c>
      <c r="BL113" s="23" t="str">
        <f aca="false">IF(AND(BI113=1,INT(N(H113))&lt;=Config!$B$8),Y113,"")</f>
        <v/>
      </c>
      <c r="BM113" s="23" t="str">
        <f aca="false">IF(AND(BI113=1,INT(N(H113))&lt;=Config!$B$5),Y113,"")</f>
        <v/>
      </c>
      <c r="BN113" s="23" t="n">
        <f aca="false">IF(CD113=1,IF(COUNTIFS($AZ$2:$AZ$201,AZ113,$CD$2:$CD$201,1,$H$2:$H$201,"&lt;"&amp;H113)+COUNTIFS($AZ$2:$AZ$201,AZ113,$CD$2:$CD$201,1,$H$2:$H$201,H113,$BA$2:$BA$201,"&lt;"&amp;BA113)=0,1,0),0)</f>
        <v>0</v>
      </c>
      <c r="BO113" s="23" t="n">
        <f aca="false">IF(AND(BB113=1,ISNUMBER(M113)),1,0)</f>
        <v>0</v>
      </c>
      <c r="BP113" s="23" t="n">
        <f aca="false">IF(BO113=1,IF(COUNTIFS($AZ$2:$AZ$201,AZ113,$BO$2:$BO$201,1,$H$2:$H$201,"&lt;"&amp;H113)+COUNTIFS($AZ$2:$AZ$201,AZ113,$BO$2:$BO$201,1,$H$2:$H$201,H113,$BA$2:$BA$201,"&lt;"&amp;BA113)=0,1,0),0)</f>
        <v>0</v>
      </c>
      <c r="BQ113" s="23" t="str">
        <f aca="false">IF(AND(BP113=1,INT(N(H113))&lt;=Config!$B$5),M113,"")</f>
        <v/>
      </c>
      <c r="BR113" s="23" t="n">
        <f aca="false">IF(AND(BB113=1,OR(TRIM(X113)&lt;&gt;"",ISNUMBER(Y113))),1,0)</f>
        <v>0</v>
      </c>
      <c r="BS113" s="23" t="n">
        <f aca="false">IF(BR113=1,IF(COUNTIFS($AZ$2:$AZ$201,AZ113,$BR$2:$BR$201,1,$H$2:$H$201,"&lt;"&amp;H113)+COUNTIFS($AZ$2:$AZ$201,AZ113,$BR$2:$BR$201,1,$H$2:$H$201,H113,$BA$2:$BA$201,"&lt;"&amp;BA113)=0,1,0),0)</f>
        <v>0</v>
      </c>
      <c r="BT113" s="23" t="str">
        <f aca="false">IF(BS113=1,AZ113,"")</f>
        <v/>
      </c>
      <c r="BU113" s="23" t="n">
        <f aca="false">IF(AND(BB113=1,W113="Y",TRIM(X113)=""),1,0)</f>
        <v>0</v>
      </c>
      <c r="BV113" s="23" t="str">
        <f aca="false">IF(BB113=1,AN113&amp;"","")</f>
        <v/>
      </c>
      <c r="BW113" s="23" t="str">
        <f aca="false">IF(BB113=1,AO113&amp;"","")</f>
        <v/>
      </c>
      <c r="BX113" s="23" t="str">
        <f aca="false">IF(BB113=1,AP113&amp;"","")</f>
        <v/>
      </c>
      <c r="BY113" s="23" t="str">
        <f aca="false">IF(AND(BB113=1,ISNUMBER(AV113),INT(N(H113))&lt;=Config!$B$5),AV113,"")</f>
        <v/>
      </c>
      <c r="BZ113" s="23" t="str">
        <f aca="false">IF(BB113=1,IF(COUNTIFS($A$2:$A$201,$A113,$DC$2:$DC$201,1,$AR$2:$AR$201,"Y")&gt;0,"Y","N"),"")</f>
        <v/>
      </c>
      <c r="CA113" s="23" t="n">
        <f aca="false">IF(AND(BB113=1,AR113="maybe"),1,0)</f>
        <v>0</v>
      </c>
      <c r="CB113" s="23" t="n">
        <f aca="false">IF(CA113=1,IF(COUNTIFS($AZ$2:$AZ$201,AZ113,$CA$2:$CA$201,1,$H$2:$H$201,"&lt;"&amp;H113)+COUNTIFS($AZ$2:$AZ$201,AZ113,$CA$2:$CA$201,1,$H$2:$H$201,H113,$BA$2:$BA$201,"&lt;"&amp;BA113)=0,1,0),0)</f>
        <v>0</v>
      </c>
      <c r="CC113" s="23" t="n">
        <f aca="false">IF(AND(BB113=1,AR113="Y"),IF(COUNTIFS($AZ$2:$AZ$201,AZ113,$AR$2:$AR$201,"Y",$BB$2:$BB$201,1,$H$2:$H$201,"&lt;"&amp;H113)+COUNTIFS($AZ$2:$AZ$201,AZ113,$AR$2:$AR$201,"Y",$BB$2:$BB$201,1,$H$2:$H$201,H113,$BA$2:$BA$201,"&lt;"&amp;BA113)=0,1,0),0)</f>
        <v>0</v>
      </c>
      <c r="CD113" s="23" t="n">
        <f aca="false">IF(AND(BH113=1,N(Y113)&gt;=Config!$B$15),1,0)</f>
        <v>0</v>
      </c>
      <c r="CE113" s="23" t="n">
        <f aca="false">IF(AND(BB113=1,AT113="Y"),1,0)</f>
        <v>0</v>
      </c>
      <c r="CF113" s="23" t="n">
        <f aca="false">IF(CE113=1,IF(COUNTIFS($AZ$2:$AZ$201,AZ113,$CE$2:$CE$201,1,$H$2:$H$201,"&lt;"&amp;H113)+COUNTIFS($AZ$2:$AZ$201,AZ113,$CE$2:$CE$201,1,$H$2:$H$201,H113,$BA$2:$BA$201,"&lt;"&amp;BA113)=0,1,0),0)</f>
        <v>0</v>
      </c>
      <c r="CG113" s="23" t="n">
        <f aca="false">IF(AND(BB113=1,G113="warm-intro"),1,0)</f>
        <v>0</v>
      </c>
      <c r="CH113" s="23" t="n">
        <f aca="false">IF(CG113=1,IF(COUNTIFS($AZ$2:$AZ$201,AZ113,$CG$2:$CG$201,1,$H$2:$H$201,"&lt;"&amp;H113)+COUNTIFS($AZ$2:$AZ$201,AZ113,$CG$2:$CG$201,1,$H$2:$H$201,H113,$BA$2:$BA$201,"&lt;"&amp;BA113)=0,1,0),0)</f>
        <v>0</v>
      </c>
      <c r="CI113" s="23" t="n">
        <f aca="false">IF(AND(BB113=1,Q113="Y"),1,0)</f>
        <v>0</v>
      </c>
      <c r="CJ113" s="23" t="n">
        <f aca="false">IF(CI113=1,IF(COUNTIFS($AZ$2:$AZ$201,AZ113,$CI$2:$CI$201,1,$H$2:$H$201,"&lt;"&amp;H113)+COUNTIFS($AZ$2:$AZ$201,AZ113,$CI$2:$CI$201,1,$H$2:$H$201,H113,$BA$2:$BA$201,"&lt;"&amp;BA113)=0,1,0),0)</f>
        <v>0</v>
      </c>
      <c r="CK113" s="23" t="n">
        <f aca="false">IF(AND(BB113=1,AF113="Y"),1,0)</f>
        <v>0</v>
      </c>
      <c r="CL113" s="23" t="n">
        <f aca="false">IF(CK113=1,IF(COUNTIFS($AZ$2:$AZ$201,AZ113,$CK$2:$CK$201,1,$H$2:$H$201,"&lt;"&amp;H113)+COUNTIFS($AZ$2:$AZ$201,AZ113,$CK$2:$CK$201,1,$H$2:$H$201,H113,$BA$2:$BA$201,"&lt;"&amp;BA113)=0,1,0),0)</f>
        <v>0</v>
      </c>
      <c r="CM113" s="23" t="n">
        <f aca="false">IF(AND(BB113=1,U113="Y"),1,0)</f>
        <v>0</v>
      </c>
      <c r="CN113" s="23" t="n">
        <f aca="false">IF(CM113=1,IF(COUNTIFS($AZ$2:$AZ$201,AZ113,$CM$2:$CM$201,1,$H$2:$H$201,"&lt;"&amp;H113)+COUNTIFS($AZ$2:$AZ$201,AZ113,$CM$2:$CM$201,1,$H$2:$H$201,H113,$BA$2:$BA$201,"&lt;"&amp;BA113)=0,1,0),0)</f>
        <v>0</v>
      </c>
      <c r="CO113" s="23" t="n">
        <f aca="false">IF(AND(BB113=1,L113="Y"),1,0)</f>
        <v>0</v>
      </c>
      <c r="CP113" s="23" t="n">
        <f aca="false">IF(CO113=1,IF(COUNTIFS($AZ$2:$AZ$201,AZ113,$CO$2:$CO$201,1,$H$2:$H$201,"&lt;"&amp;H113)+COUNTIFS($AZ$2:$AZ$201,AZ113,$CO$2:$CO$201,1,$H$2:$H$201,H113,$BA$2:$BA$201,"&lt;"&amp;BA113)=0,1,0),0)</f>
        <v>0</v>
      </c>
      <c r="CQ113" s="23" t="n">
        <f aca="false">IF(AND(BB113=1,ISNUMBER(O113)),1,0)</f>
        <v>0</v>
      </c>
      <c r="CR113" s="23" t="n">
        <f aca="false">IF(CQ113=1,IF(COUNTIFS($AZ$2:$AZ$201,AZ113,$CQ$2:$CQ$201,1,$H$2:$H$201,"&lt;"&amp;H113)+COUNTIFS($AZ$2:$AZ$201,AZ113,$CQ$2:$CQ$201,1,$H$2:$H$201,H113,$BA$2:$BA$201,"&lt;"&amp;BA113)=0,1,0),0)</f>
        <v>0</v>
      </c>
      <c r="CS113" s="23" t="str">
        <f aca="false">IF(AND(CR113=1,INT(N(H113))&lt;=Config!$B$5),O113,"")</f>
        <v/>
      </c>
      <c r="CT113" s="23" t="str">
        <f aca="false">IF(AND(BB113=1,INT(N(H113))&lt;=Config!$B$5),AG113&amp;"","")</f>
        <v/>
      </c>
      <c r="CU113" s="23" t="n">
        <f aca="false">IF(AND(BB113=1,AU113="Y"),1,0)</f>
        <v>0</v>
      </c>
      <c r="CV113" s="23" t="n">
        <f aca="false">IF(CU113=1,IF(COUNTIFS($AZ$2:$AZ$201,AZ113,$CU$2:$CU$201,1,$H$2:$H$201,"&lt;"&amp;H113)+COUNTIFS($AZ$2:$AZ$201,AZ113,$CU$2:$CU$201,1,$H$2:$H$201,H113,$BA$2:$BA$201,"&lt;"&amp;BA113)=0,1,0),0)</f>
        <v>0</v>
      </c>
      <c r="CW113" s="23" t="str">
        <f aca="false">IF(BB113=1,IFERROR(MATCH($A113,INDEX(Clay_Offices!$A$2:$FZ$601,0,Sync!$C$5),0),""),"")</f>
        <v/>
      </c>
      <c r="CX113" s="23" t="str">
        <f aca="false">IF(CW113="","",IFERROR(INDEX(Clay_Offices!$A$2:$FZ$601,CW113,Sync!$C$7)&amp;"",""))</f>
        <v/>
      </c>
      <c r="CY113" s="23" t="str">
        <f aca="false">IF(CX113="","",IFERROR(INDEX(Lists!$K$2:$K$15,MATCH(CX113,Lists!$J$2:$J$15,0)),""))</f>
        <v/>
      </c>
      <c r="CZ113" s="23" t="str">
        <f aca="false">IF(CW113="","",IFERROR(INDEX(Clay_Offices!$A$2:$FZ$601,CW113,Sync!$C$17)&amp;"",""))</f>
        <v/>
      </c>
      <c r="DA113" s="35" t="str">
        <f aca="false">IF(CW113="","",IFERROR(N(INDEX(Clay_Offices!$A$2:$FZ$601,CW113,Sync!$C$16)),0))</f>
        <v/>
      </c>
      <c r="DB113" s="23" t="n">
        <f aca="false">IF(AND(BB113=1,OR(AR113="Y",AR113="N",AR113="maybe")),1,0)</f>
        <v>0</v>
      </c>
      <c r="DC113" s="23" t="n">
        <f aca="false">IF(AND(DB113=1),IF(COUNTIFS($A$2:$A$201,$A113,$DB$2:$DB$201,1,$H$2:$H$201,"&gt;"&amp;H113)+COUNTIFS($A$2:$A$201,$A113,$DB$2:$DB$201,1,$H$2:$H$201,H113,$BA$2:$BA$201,"&gt;"&amp;BA113)=0,1,0),0)</f>
        <v>0</v>
      </c>
      <c r="DD113" s="23" t="n">
        <f aca="false">IF(AND(DB113=1,INT(N(H113))&lt;=Config!$B$6),IF(COUNTIFS($AZ$2:$AZ$201,AZ113,$DB$2:$DB$201,1,$H$2:$H$201,"&gt;"&amp;H113,$H$2:$H$201,"&lt;"&amp;(Config!$B$6+1))+COUNTIFS($AZ$2:$AZ$201,AZ113,$DB$2:$DB$201,1,$H$2:$H$201,H113,$BA$2:$BA$201,"&gt;"&amp;BA113)=0,1,0),0)</f>
        <v>0</v>
      </c>
      <c r="DE113" s="23" t="n">
        <f aca="false">IF(AND(DB113=1,INT(N(H113))&lt;=Config!$B$7),IF(COUNTIFS($AZ$2:$AZ$201,AZ113,$DB$2:$DB$201,1,$H$2:$H$201,"&gt;"&amp;H113,$H$2:$H$201,"&lt;"&amp;(Config!$B$7+1))+COUNTIFS($AZ$2:$AZ$201,AZ113,$DB$2:$DB$201,1,$H$2:$H$201,H113,$BA$2:$BA$201,"&gt;"&amp;BA113)=0,1,0),0)</f>
        <v>0</v>
      </c>
      <c r="DF113" s="23" t="n">
        <f aca="false">IF(AND(DB113=1,INT(N(H113))&lt;=Config!$B$8),IF(COUNTIFS($AZ$2:$AZ$201,AZ113,$DB$2:$DB$201,1,$H$2:$H$201,"&gt;"&amp;H113,$H$2:$H$201,"&lt;"&amp;(Config!$B$8+1))+COUNTIFS($AZ$2:$AZ$201,AZ113,$DB$2:$DB$201,1,$H$2:$H$201,H113,$BA$2:$BA$201,"&gt;"&amp;BA113)=0,1,0),0)</f>
        <v>0</v>
      </c>
      <c r="DG113" s="23" t="n">
        <f aca="false">IF(AND(DB113=1,INT(N(H113))&lt;=Config!$B$5),IF(COUNTIFS($AZ$2:$AZ$201,AZ113,$DB$2:$DB$201,1,$H$2:$H$201,"&gt;"&amp;H113,$H$2:$H$201,"&lt;"&amp;(Config!$B$5+1))+COUNTIFS($AZ$2:$AZ$201,AZ113,$DB$2:$DB$201,1,$H$2:$H$201,H113,$BA$2:$BA$201,"&gt;"&amp;BA113)=0,1,0),0)</f>
        <v>0</v>
      </c>
      <c r="DH113" s="23" t="n">
        <f aca="false">IF(BB113=1,IF(COUNTIFS($AZ$2:$AZ$201,AZ113,$DD$2:$DD$201,1,$AR$2:$AR$201,"Y")&gt;0,1,0),0)</f>
        <v>0</v>
      </c>
      <c r="DI113" s="23" t="n">
        <f aca="false">IF(BB113=1,IF(COUNTIFS($AZ$2:$AZ$201,AZ113,$DE$2:$DE$201,1,$AR$2:$AR$201,"Y")&gt;0,1,0),0)</f>
        <v>0</v>
      </c>
      <c r="DJ113" s="23" t="n">
        <f aca="false">IF(BB113=1,IF(COUNTIFS($AZ$2:$AZ$201,AZ113,$DF$2:$DF$201,1,$AR$2:$AR$201,"Y")&gt;0,1,0),0)</f>
        <v>0</v>
      </c>
      <c r="DK113" s="23" t="n">
        <f aca="false">IF(BB113=1,IF(COUNTIFS($AZ$2:$AZ$201,AZ113,$DG$2:$DG$201,1,$AR$2:$AR$201,"Y")&gt;0,1,0),0)</f>
        <v>0</v>
      </c>
      <c r="DL113" s="23" t="n">
        <f aca="false">IF(AND(BF113=1,INT(N(H113))&lt;=Config!$B$6,DH113=1,EI113=0),1,0)</f>
        <v>0</v>
      </c>
      <c r="DM113" s="23" t="n">
        <f aca="false">IF(AND(BF113=1,INT(N(H113))&lt;=Config!$B$7,DI113=1,EI113=0),1,0)</f>
        <v>0</v>
      </c>
      <c r="DN113" s="23" t="n">
        <f aca="false">IF(AND(BF113=1,INT(N(H113))&lt;=Config!$B$8,DJ113=1,EI113=0),1,0)</f>
        <v>0</v>
      </c>
      <c r="DO113" s="23" t="n">
        <f aca="false">IF(AND(BF113=1,INT(N(H113))&lt;=Config!$B$5,DK113=1,EI113=0),1,0)</f>
        <v>0</v>
      </c>
      <c r="DP113" s="23" t="n">
        <f aca="false">IF(AND(CC113=1,INT(N(H113))&lt;=Config!$B$6,DH113=1,EI113=0),1,0)</f>
        <v>0</v>
      </c>
      <c r="DQ113" s="23" t="n">
        <f aca="false">IF(AND(CC113=1,INT(N(H113))&lt;=Config!$B$7,DI113=1,EI113=0),1,0)</f>
        <v>0</v>
      </c>
      <c r="DR113" s="23" t="n">
        <f aca="false">IF(AND(CC113=1,INT(N(H113))&lt;=Config!$B$8,DJ113=1,EI113=0),1,0)</f>
        <v>0</v>
      </c>
      <c r="DS113" s="23" t="n">
        <f aca="false">IF(AND(CC113=1,INT(N(H113))&lt;=Config!$B$5,DK113=1,EI113=0),1,0)</f>
        <v>0</v>
      </c>
      <c r="DT113" s="23" t="n">
        <f aca="false">IF(AND(CC113=1,INT(N(H113))&lt;=Config!$B$6,DH113=0),1,0)</f>
        <v>0</v>
      </c>
      <c r="DU113" s="23" t="n">
        <f aca="false">IF(AND(CC113=1,INT(N(H113))&lt;=Config!$B$7,DI113=0),1,0)</f>
        <v>0</v>
      </c>
      <c r="DV113" s="23" t="n">
        <f aca="false">IF(AND(CC113=1,INT(N(H113))&lt;=Config!$B$8,DJ113=0),1,0)</f>
        <v>0</v>
      </c>
      <c r="DW113" s="23" t="n">
        <f aca="false">IF(AND(CC113=1,INT(N(H113))&lt;=Config!$B$5,DK113=0),1,0)</f>
        <v>0</v>
      </c>
      <c r="DX113" s="23" t="n">
        <f aca="false">IF(TRIM($A113)="",0,ISTEXT(M113)+ISTEXT(O113)+ISTEXT(Y113)+ISTEXT(Z113)+ISTEXT(AA113)+ISTEXT(AV113))</f>
        <v>0</v>
      </c>
      <c r="DY113" s="23" t="n">
        <f aca="false">IF(BB113=1,IF(H113&lt;&gt;INT(H113),1,0),0)</f>
        <v>0</v>
      </c>
      <c r="DZ113" s="23" t="str">
        <f aca="false">IF(TRIM($A113)="","",IF(TRIM(B113)="",SUBSTITUTE(SUBSTITUTE(SUBSTITUTE(SUBSTITUTE(SUBSTITUTE(SUBSTITUTE(LOWER(TRIM($A113)),"~",""),"*",""),"?",""),"&lt;",""),"&gt;",""),"=",""),SUBSTITUTE(SUBSTITUTE(SUBSTITUTE(SUBSTITUTE(SUBSTITUTE(SUBSTITUTE(LOWER(TRIM(B113)),"~",""),"*",""),"?",""),"&lt;",""),"&gt;",""),"=","")))</f>
        <v/>
      </c>
      <c r="EA113" s="23" t="str">
        <f aca="false">IF(CW113="","",IFERROR(IF(LEFT(LOWER(TRIM(INDEX(Clay_Offices!$A$2:$FZ$601,CW113,Sync!$C$19)&amp;"")),4)="grp-",SUBSTITUTE(SUBSTITUTE(SUBSTITUTE(SUBSTITUTE(SUBSTITUTE(SUBSTITUTE(LOWER(TRIM(INDEX(Clay_Offices!$A$2:$FZ$601,CW113,Sync!$C$19)&amp;"")),"~",""),"*",""),"?",""),"&lt;",""),"&gt;",""),"=",""),""),""))</f>
        <v/>
      </c>
      <c r="EB113" s="23" t="str">
        <f aca="false">IF(EA113&lt;&gt;"",DZ113,"")</f>
        <v/>
      </c>
      <c r="EC113" s="23" t="str">
        <f aca="false">IF(BC113=1,AZ113,"")</f>
        <v/>
      </c>
      <c r="ED113" s="23" t="str">
        <f aca="false">IF(TRIM($A113)="","",IFERROR(INDEX($A$2:$A$201,MATCH(AZ113,$EC$2:$EC$201,0))&amp;"",$A113&amp;""))</f>
        <v/>
      </c>
      <c r="EE113" s="23" t="n">
        <f aca="false">IF(BB113=1,IF(COUNTIFS($A$2:$A$201,$A113,$BB$2:$BB$201,1,$H$2:$H$201,"&lt;"&amp;H113)+COUNTIFS($A$2:$A$201,$A113,$BB$2:$BB$201,1,$H$2:$H$201,H113,$BA$2:$BA$201,"&lt;"&amp;BA113)=0,1,0),0)</f>
        <v>0</v>
      </c>
      <c r="EF113" s="23" t="n">
        <f aca="false">IF(BC113=1,IF(COUNTIFS($AZ$2:$AZ$201,AZ113,$EE$2:$EE$201,1)&gt;1,1,0),0)</f>
        <v>0</v>
      </c>
      <c r="EG113" s="23" t="n">
        <f aca="false">IF(AND(CQ113=1),IF(COUNTIFS($AZ$2:$AZ$201,AZ113,$CQ$2:$CQ$201,1,$H$2:$H$201,"&gt;"&amp;H113)+COUNTIFS($AZ$2:$AZ$201,AZ113,$CQ$2:$CQ$201,1,$H$2:$H$201,H113,$BA$2:$BA$201,"&gt;"&amp;BA113)=0,1,0),0)</f>
        <v>0</v>
      </c>
      <c r="EH113" s="23" t="str">
        <f aca="false">IF(BB113=1,IF(COUNTIFS($AZ$2:$AZ$201,AZ113,$EG$2:$EG$201,1)=0,"",SUMIFS($O$2:$O$201,$AZ$2:$AZ$201,AZ113,$EG$2:$EG$201,1)),"")</f>
        <v/>
      </c>
      <c r="EI113" s="23" t="n">
        <f aca="false">IF(AND(ISNUMBER(EH113),OR(N(EH113)&lt;Config!$B$31,N(EH113)&gt;Config!$B$33)),1,0)</f>
        <v>0</v>
      </c>
      <c r="EJ113" s="23" t="n">
        <f aca="false">IF(AND(ISNUMBER(EH113),N(EH113)&gt;=Config!$B$31,N(EH113)&lt;Config!$B$32),1,0)</f>
        <v>0</v>
      </c>
      <c r="EK113" s="23" t="n">
        <f aca="false">IF(AND(BF113=1,INT(N(H113))&lt;=Config!$B$6,DH113=1,EI113=1),1,0)</f>
        <v>0</v>
      </c>
      <c r="EL113" s="23" t="n">
        <f aca="false">IF(AND(BF113=1,INT(N(H113))&lt;=Config!$B$7,DI113=1,EI113=1),1,0)</f>
        <v>0</v>
      </c>
      <c r="EM113" s="23" t="n">
        <f aca="false">IF(AND(BF113=1,INT(N(H113))&lt;=Config!$B$8,DJ113=1,EI113=1),1,0)</f>
        <v>0</v>
      </c>
      <c r="EN113" s="23" t="n">
        <f aca="false">IF(AND(BF113=1,INT(N(H113))&lt;=Config!$B$5,DK113=1,EI113=1),1,0)</f>
        <v>0</v>
      </c>
      <c r="EO113" s="23" t="n">
        <f aca="false">IF(AND(DL113=1,EJ113=1),1,0)</f>
        <v>0</v>
      </c>
      <c r="EP113" s="23" t="n">
        <f aca="false">IF(AND(DM113=1,EJ113=1),1,0)</f>
        <v>0</v>
      </c>
      <c r="EQ113" s="23" t="n">
        <f aca="false">IF(AND(DN113=1,EJ113=1),1,0)</f>
        <v>0</v>
      </c>
      <c r="ER113" s="23" t="n">
        <f aca="false">IF(AND(DO113=1,EJ113=1),1,0)</f>
        <v>0</v>
      </c>
    </row>
    <row r="114" customFormat="false" ht="15" hidden="false" customHeight="false" outlineLevel="0" collapsed="false">
      <c r="G114" s="32"/>
      <c r="H114" s="33"/>
      <c r="I114" s="32"/>
      <c r="L114" s="32"/>
      <c r="Q114" s="32"/>
      <c r="U114" s="32"/>
      <c r="W114" s="32"/>
      <c r="AC114" s="32"/>
      <c r="AF114" s="32"/>
      <c r="AI114" s="32"/>
      <c r="AJ114" s="32"/>
      <c r="AN114" s="32"/>
      <c r="AR114" s="32"/>
      <c r="AT114" s="32"/>
      <c r="AU114" s="32"/>
      <c r="AW114" s="32"/>
      <c r="AY114" s="34" t="str">
        <f aca="false">IF(TRIM($A114)="","",IF(AND(LEFT($A114,6)="SAMPLE",Config!$B$19&lt;&gt;"Y"),"",IF(NOT(ISNUMBER(H114)),"call_date is blank or not a date",IF(Sync!$C$5="","Clay paste is empty or has no row_id column: paste the Clay export on Clay_Offices",IF(CW114="","row_id not found in the Clay paste: add the Clay row or fix the row_id",IF(AND(ISNUMBER(CY114),CY114&gt;=1,CY114&lt;=5),"Clay status is "&amp;CX114&amp;": set call_done or later",IF(AND(BD114=1,CZ114&lt;&gt;BZ114),"Clay yes_in_principle should be "&amp;BZ114,IF(AND(BD114=1,DA114&lt;&gt;H114),"Clay call_date should be "&amp;TEXT(H114,"yyyy-mm-dd"),""))))))))</f>
        <v/>
      </c>
      <c r="AZ114" s="23" t="str">
        <f aca="false">IF(TRIM($A114)="","",IF(TRIM(C114)&lt;&gt;"",SUBSTITUTE(SUBSTITUTE(SUBSTITUTE(SUBSTITUTE(SUBSTITUTE(SUBSTITUTE(LOWER(TRIM(C114)),"~",""),"*",""),"?",""),"&lt;",""),"&gt;",""),"=",""),IF(EA114&lt;&gt;"",EA114,IFERROR(INDEX($EA$2:$EA$201,MATCH(DZ114,$EB$2:$EB$201,0)),DZ114))))</f>
        <v/>
      </c>
      <c r="BA114" s="23" t="n">
        <f aca="false">ROW()</f>
        <v>114</v>
      </c>
      <c r="BB114" s="23" t="n">
        <f aca="false">IF(AND(TRIM($A114)&lt;&gt;"",ISNUMBER(H114)),IF(AND(LEFT($A114,6)="SAMPLE",Config!$B$19&lt;&gt;"Y"),0,1),0)</f>
        <v>0</v>
      </c>
      <c r="BC114" s="23" t="n">
        <f aca="false">IF(BB114=1,IF(COUNTIFS($AZ$2:$AZ$201,AZ114,$BB$2:$BB$201,1,$H$2:$H$201,"&lt;"&amp;H114)+COUNTIFS($AZ$2:$AZ$201,AZ114,$BB$2:$BB$201,1,$H$2:$H$201,H114,$BA$2:$BA$201,"&lt;"&amp;BA114)=0,1,0),0)</f>
        <v>0</v>
      </c>
      <c r="BD114" s="23" t="n">
        <f aca="false">IF(BB114=1,IF(COUNTIFS($A$2:$A$201,$A114,$BB$2:$BB$201,1,$H$2:$H$201,"&gt;"&amp;H114)+COUNTIFS($A$2:$A$201,$A114,$BB$2:$BB$201,1,$H$2:$H$201,H114,$BA$2:$BA$201,"&gt;"&amp;BA114)=0,1,0),0)</f>
        <v>0</v>
      </c>
      <c r="BE114" s="23" t="n">
        <f aca="false">IF(AND(BB114=1,AR114="Y",AC114="Y",TRIM(AH114)&lt;&gt;""),1,0)</f>
        <v>0</v>
      </c>
      <c r="BF114" s="23" t="n">
        <f aca="false">IF(BE114=1,IF(COUNTIFS($AZ$2:$AZ$201,AZ114,$BE$2:$BE$201,1,$H$2:$H$201,"&lt;"&amp;H114)+COUNTIFS($AZ$2:$AZ$201,AZ114,$BE$2:$BE$201,1,$H$2:$H$201,H114,$BA$2:$BA$201,"&lt;"&amp;BA114)=0,1,0),0)</f>
        <v>0</v>
      </c>
      <c r="BG114" s="23" t="n">
        <f aca="false">IF(AND(BB114=1,AR114="Y",BE114=0),1,0)</f>
        <v>0</v>
      </c>
      <c r="BH114" s="23" t="n">
        <f aca="false">IF(AND(BB114=1,ISNUMBER(Y114)),1,0)</f>
        <v>0</v>
      </c>
      <c r="BI114" s="23" t="n">
        <f aca="false">IF(BH114=1,IF(COUNTIFS($AZ$2:$AZ$201,AZ114,$BH$2:$BH$201,1,$H$2:$H$201,"&lt;"&amp;H114)+COUNTIFS($AZ$2:$AZ$201,AZ114,$BH$2:$BH$201,1,$H$2:$H$201,H114,$BA$2:$BA$201,"&lt;"&amp;BA114)=0,1,0),0)</f>
        <v>0</v>
      </c>
      <c r="BJ114" s="23" t="str">
        <f aca="false">IF(AND(BI114=1,INT(N(H114))&lt;=Config!$B$6),Y114,"")</f>
        <v/>
      </c>
      <c r="BK114" s="23" t="str">
        <f aca="false">IF(AND(BI114=1,INT(N(H114))&lt;=Config!$B$7),Y114,"")</f>
        <v/>
      </c>
      <c r="BL114" s="23" t="str">
        <f aca="false">IF(AND(BI114=1,INT(N(H114))&lt;=Config!$B$8),Y114,"")</f>
        <v/>
      </c>
      <c r="BM114" s="23" t="str">
        <f aca="false">IF(AND(BI114=1,INT(N(H114))&lt;=Config!$B$5),Y114,"")</f>
        <v/>
      </c>
      <c r="BN114" s="23" t="n">
        <f aca="false">IF(CD114=1,IF(COUNTIFS($AZ$2:$AZ$201,AZ114,$CD$2:$CD$201,1,$H$2:$H$201,"&lt;"&amp;H114)+COUNTIFS($AZ$2:$AZ$201,AZ114,$CD$2:$CD$201,1,$H$2:$H$201,H114,$BA$2:$BA$201,"&lt;"&amp;BA114)=0,1,0),0)</f>
        <v>0</v>
      </c>
      <c r="BO114" s="23" t="n">
        <f aca="false">IF(AND(BB114=1,ISNUMBER(M114)),1,0)</f>
        <v>0</v>
      </c>
      <c r="BP114" s="23" t="n">
        <f aca="false">IF(BO114=1,IF(COUNTIFS($AZ$2:$AZ$201,AZ114,$BO$2:$BO$201,1,$H$2:$H$201,"&lt;"&amp;H114)+COUNTIFS($AZ$2:$AZ$201,AZ114,$BO$2:$BO$201,1,$H$2:$H$201,H114,$BA$2:$BA$201,"&lt;"&amp;BA114)=0,1,0),0)</f>
        <v>0</v>
      </c>
      <c r="BQ114" s="23" t="str">
        <f aca="false">IF(AND(BP114=1,INT(N(H114))&lt;=Config!$B$5),M114,"")</f>
        <v/>
      </c>
      <c r="BR114" s="23" t="n">
        <f aca="false">IF(AND(BB114=1,OR(TRIM(X114)&lt;&gt;"",ISNUMBER(Y114))),1,0)</f>
        <v>0</v>
      </c>
      <c r="BS114" s="23" t="n">
        <f aca="false">IF(BR114=1,IF(COUNTIFS($AZ$2:$AZ$201,AZ114,$BR$2:$BR$201,1,$H$2:$H$201,"&lt;"&amp;H114)+COUNTIFS($AZ$2:$AZ$201,AZ114,$BR$2:$BR$201,1,$H$2:$H$201,H114,$BA$2:$BA$201,"&lt;"&amp;BA114)=0,1,0),0)</f>
        <v>0</v>
      </c>
      <c r="BT114" s="23" t="str">
        <f aca="false">IF(BS114=1,AZ114,"")</f>
        <v/>
      </c>
      <c r="BU114" s="23" t="n">
        <f aca="false">IF(AND(BB114=1,W114="Y",TRIM(X114)=""),1,0)</f>
        <v>0</v>
      </c>
      <c r="BV114" s="23" t="str">
        <f aca="false">IF(BB114=1,AN114&amp;"","")</f>
        <v/>
      </c>
      <c r="BW114" s="23" t="str">
        <f aca="false">IF(BB114=1,AO114&amp;"","")</f>
        <v/>
      </c>
      <c r="BX114" s="23" t="str">
        <f aca="false">IF(BB114=1,AP114&amp;"","")</f>
        <v/>
      </c>
      <c r="BY114" s="23" t="str">
        <f aca="false">IF(AND(BB114=1,ISNUMBER(AV114),INT(N(H114))&lt;=Config!$B$5),AV114,"")</f>
        <v/>
      </c>
      <c r="BZ114" s="23" t="str">
        <f aca="false">IF(BB114=1,IF(COUNTIFS($A$2:$A$201,$A114,$DC$2:$DC$201,1,$AR$2:$AR$201,"Y")&gt;0,"Y","N"),"")</f>
        <v/>
      </c>
      <c r="CA114" s="23" t="n">
        <f aca="false">IF(AND(BB114=1,AR114="maybe"),1,0)</f>
        <v>0</v>
      </c>
      <c r="CB114" s="23" t="n">
        <f aca="false">IF(CA114=1,IF(COUNTIFS($AZ$2:$AZ$201,AZ114,$CA$2:$CA$201,1,$H$2:$H$201,"&lt;"&amp;H114)+COUNTIFS($AZ$2:$AZ$201,AZ114,$CA$2:$CA$201,1,$H$2:$H$201,H114,$BA$2:$BA$201,"&lt;"&amp;BA114)=0,1,0),0)</f>
        <v>0</v>
      </c>
      <c r="CC114" s="23" t="n">
        <f aca="false">IF(AND(BB114=1,AR114="Y"),IF(COUNTIFS($AZ$2:$AZ$201,AZ114,$AR$2:$AR$201,"Y",$BB$2:$BB$201,1,$H$2:$H$201,"&lt;"&amp;H114)+COUNTIFS($AZ$2:$AZ$201,AZ114,$AR$2:$AR$201,"Y",$BB$2:$BB$201,1,$H$2:$H$201,H114,$BA$2:$BA$201,"&lt;"&amp;BA114)=0,1,0),0)</f>
        <v>0</v>
      </c>
      <c r="CD114" s="23" t="n">
        <f aca="false">IF(AND(BH114=1,N(Y114)&gt;=Config!$B$15),1,0)</f>
        <v>0</v>
      </c>
      <c r="CE114" s="23" t="n">
        <f aca="false">IF(AND(BB114=1,AT114="Y"),1,0)</f>
        <v>0</v>
      </c>
      <c r="CF114" s="23" t="n">
        <f aca="false">IF(CE114=1,IF(COUNTIFS($AZ$2:$AZ$201,AZ114,$CE$2:$CE$201,1,$H$2:$H$201,"&lt;"&amp;H114)+COUNTIFS($AZ$2:$AZ$201,AZ114,$CE$2:$CE$201,1,$H$2:$H$201,H114,$BA$2:$BA$201,"&lt;"&amp;BA114)=0,1,0),0)</f>
        <v>0</v>
      </c>
      <c r="CG114" s="23" t="n">
        <f aca="false">IF(AND(BB114=1,G114="warm-intro"),1,0)</f>
        <v>0</v>
      </c>
      <c r="CH114" s="23" t="n">
        <f aca="false">IF(CG114=1,IF(COUNTIFS($AZ$2:$AZ$201,AZ114,$CG$2:$CG$201,1,$H$2:$H$201,"&lt;"&amp;H114)+COUNTIFS($AZ$2:$AZ$201,AZ114,$CG$2:$CG$201,1,$H$2:$H$201,H114,$BA$2:$BA$201,"&lt;"&amp;BA114)=0,1,0),0)</f>
        <v>0</v>
      </c>
      <c r="CI114" s="23" t="n">
        <f aca="false">IF(AND(BB114=1,Q114="Y"),1,0)</f>
        <v>0</v>
      </c>
      <c r="CJ114" s="23" t="n">
        <f aca="false">IF(CI114=1,IF(COUNTIFS($AZ$2:$AZ$201,AZ114,$CI$2:$CI$201,1,$H$2:$H$201,"&lt;"&amp;H114)+COUNTIFS($AZ$2:$AZ$201,AZ114,$CI$2:$CI$201,1,$H$2:$H$201,H114,$BA$2:$BA$201,"&lt;"&amp;BA114)=0,1,0),0)</f>
        <v>0</v>
      </c>
      <c r="CK114" s="23" t="n">
        <f aca="false">IF(AND(BB114=1,AF114="Y"),1,0)</f>
        <v>0</v>
      </c>
      <c r="CL114" s="23" t="n">
        <f aca="false">IF(CK114=1,IF(COUNTIFS($AZ$2:$AZ$201,AZ114,$CK$2:$CK$201,1,$H$2:$H$201,"&lt;"&amp;H114)+COUNTIFS($AZ$2:$AZ$201,AZ114,$CK$2:$CK$201,1,$H$2:$H$201,H114,$BA$2:$BA$201,"&lt;"&amp;BA114)=0,1,0),0)</f>
        <v>0</v>
      </c>
      <c r="CM114" s="23" t="n">
        <f aca="false">IF(AND(BB114=1,U114="Y"),1,0)</f>
        <v>0</v>
      </c>
      <c r="CN114" s="23" t="n">
        <f aca="false">IF(CM114=1,IF(COUNTIFS($AZ$2:$AZ$201,AZ114,$CM$2:$CM$201,1,$H$2:$H$201,"&lt;"&amp;H114)+COUNTIFS($AZ$2:$AZ$201,AZ114,$CM$2:$CM$201,1,$H$2:$H$201,H114,$BA$2:$BA$201,"&lt;"&amp;BA114)=0,1,0),0)</f>
        <v>0</v>
      </c>
      <c r="CO114" s="23" t="n">
        <f aca="false">IF(AND(BB114=1,L114="Y"),1,0)</f>
        <v>0</v>
      </c>
      <c r="CP114" s="23" t="n">
        <f aca="false">IF(CO114=1,IF(COUNTIFS($AZ$2:$AZ$201,AZ114,$CO$2:$CO$201,1,$H$2:$H$201,"&lt;"&amp;H114)+COUNTIFS($AZ$2:$AZ$201,AZ114,$CO$2:$CO$201,1,$H$2:$H$201,H114,$BA$2:$BA$201,"&lt;"&amp;BA114)=0,1,0),0)</f>
        <v>0</v>
      </c>
      <c r="CQ114" s="23" t="n">
        <f aca="false">IF(AND(BB114=1,ISNUMBER(O114)),1,0)</f>
        <v>0</v>
      </c>
      <c r="CR114" s="23" t="n">
        <f aca="false">IF(CQ114=1,IF(COUNTIFS($AZ$2:$AZ$201,AZ114,$CQ$2:$CQ$201,1,$H$2:$H$201,"&lt;"&amp;H114)+COUNTIFS($AZ$2:$AZ$201,AZ114,$CQ$2:$CQ$201,1,$H$2:$H$201,H114,$BA$2:$BA$201,"&lt;"&amp;BA114)=0,1,0),0)</f>
        <v>0</v>
      </c>
      <c r="CS114" s="23" t="str">
        <f aca="false">IF(AND(CR114=1,INT(N(H114))&lt;=Config!$B$5),O114,"")</f>
        <v/>
      </c>
      <c r="CT114" s="23" t="str">
        <f aca="false">IF(AND(BB114=1,INT(N(H114))&lt;=Config!$B$5),AG114&amp;"","")</f>
        <v/>
      </c>
      <c r="CU114" s="23" t="n">
        <f aca="false">IF(AND(BB114=1,AU114="Y"),1,0)</f>
        <v>0</v>
      </c>
      <c r="CV114" s="23" t="n">
        <f aca="false">IF(CU114=1,IF(COUNTIFS($AZ$2:$AZ$201,AZ114,$CU$2:$CU$201,1,$H$2:$H$201,"&lt;"&amp;H114)+COUNTIFS($AZ$2:$AZ$201,AZ114,$CU$2:$CU$201,1,$H$2:$H$201,H114,$BA$2:$BA$201,"&lt;"&amp;BA114)=0,1,0),0)</f>
        <v>0</v>
      </c>
      <c r="CW114" s="23" t="str">
        <f aca="false">IF(BB114=1,IFERROR(MATCH($A114,INDEX(Clay_Offices!$A$2:$FZ$601,0,Sync!$C$5),0),""),"")</f>
        <v/>
      </c>
      <c r="CX114" s="23" t="str">
        <f aca="false">IF(CW114="","",IFERROR(INDEX(Clay_Offices!$A$2:$FZ$601,CW114,Sync!$C$7)&amp;"",""))</f>
        <v/>
      </c>
      <c r="CY114" s="23" t="str">
        <f aca="false">IF(CX114="","",IFERROR(INDEX(Lists!$K$2:$K$15,MATCH(CX114,Lists!$J$2:$J$15,0)),""))</f>
        <v/>
      </c>
      <c r="CZ114" s="23" t="str">
        <f aca="false">IF(CW114="","",IFERROR(INDEX(Clay_Offices!$A$2:$FZ$601,CW114,Sync!$C$17)&amp;"",""))</f>
        <v/>
      </c>
      <c r="DA114" s="35" t="str">
        <f aca="false">IF(CW114="","",IFERROR(N(INDEX(Clay_Offices!$A$2:$FZ$601,CW114,Sync!$C$16)),0))</f>
        <v/>
      </c>
      <c r="DB114" s="23" t="n">
        <f aca="false">IF(AND(BB114=1,OR(AR114="Y",AR114="N",AR114="maybe")),1,0)</f>
        <v>0</v>
      </c>
      <c r="DC114" s="23" t="n">
        <f aca="false">IF(AND(DB114=1),IF(COUNTIFS($A$2:$A$201,$A114,$DB$2:$DB$201,1,$H$2:$H$201,"&gt;"&amp;H114)+COUNTIFS($A$2:$A$201,$A114,$DB$2:$DB$201,1,$H$2:$H$201,H114,$BA$2:$BA$201,"&gt;"&amp;BA114)=0,1,0),0)</f>
        <v>0</v>
      </c>
      <c r="DD114" s="23" t="n">
        <f aca="false">IF(AND(DB114=1,INT(N(H114))&lt;=Config!$B$6),IF(COUNTIFS($AZ$2:$AZ$201,AZ114,$DB$2:$DB$201,1,$H$2:$H$201,"&gt;"&amp;H114,$H$2:$H$201,"&lt;"&amp;(Config!$B$6+1))+COUNTIFS($AZ$2:$AZ$201,AZ114,$DB$2:$DB$201,1,$H$2:$H$201,H114,$BA$2:$BA$201,"&gt;"&amp;BA114)=0,1,0),0)</f>
        <v>0</v>
      </c>
      <c r="DE114" s="23" t="n">
        <f aca="false">IF(AND(DB114=1,INT(N(H114))&lt;=Config!$B$7),IF(COUNTIFS($AZ$2:$AZ$201,AZ114,$DB$2:$DB$201,1,$H$2:$H$201,"&gt;"&amp;H114,$H$2:$H$201,"&lt;"&amp;(Config!$B$7+1))+COUNTIFS($AZ$2:$AZ$201,AZ114,$DB$2:$DB$201,1,$H$2:$H$201,H114,$BA$2:$BA$201,"&gt;"&amp;BA114)=0,1,0),0)</f>
        <v>0</v>
      </c>
      <c r="DF114" s="23" t="n">
        <f aca="false">IF(AND(DB114=1,INT(N(H114))&lt;=Config!$B$8),IF(COUNTIFS($AZ$2:$AZ$201,AZ114,$DB$2:$DB$201,1,$H$2:$H$201,"&gt;"&amp;H114,$H$2:$H$201,"&lt;"&amp;(Config!$B$8+1))+COUNTIFS($AZ$2:$AZ$201,AZ114,$DB$2:$DB$201,1,$H$2:$H$201,H114,$BA$2:$BA$201,"&gt;"&amp;BA114)=0,1,0),0)</f>
        <v>0</v>
      </c>
      <c r="DG114" s="23" t="n">
        <f aca="false">IF(AND(DB114=1,INT(N(H114))&lt;=Config!$B$5),IF(COUNTIFS($AZ$2:$AZ$201,AZ114,$DB$2:$DB$201,1,$H$2:$H$201,"&gt;"&amp;H114,$H$2:$H$201,"&lt;"&amp;(Config!$B$5+1))+COUNTIFS($AZ$2:$AZ$201,AZ114,$DB$2:$DB$201,1,$H$2:$H$201,H114,$BA$2:$BA$201,"&gt;"&amp;BA114)=0,1,0),0)</f>
        <v>0</v>
      </c>
      <c r="DH114" s="23" t="n">
        <f aca="false">IF(BB114=1,IF(COUNTIFS($AZ$2:$AZ$201,AZ114,$DD$2:$DD$201,1,$AR$2:$AR$201,"Y")&gt;0,1,0),0)</f>
        <v>0</v>
      </c>
      <c r="DI114" s="23" t="n">
        <f aca="false">IF(BB114=1,IF(COUNTIFS($AZ$2:$AZ$201,AZ114,$DE$2:$DE$201,1,$AR$2:$AR$201,"Y")&gt;0,1,0),0)</f>
        <v>0</v>
      </c>
      <c r="DJ114" s="23" t="n">
        <f aca="false">IF(BB114=1,IF(COUNTIFS($AZ$2:$AZ$201,AZ114,$DF$2:$DF$201,1,$AR$2:$AR$201,"Y")&gt;0,1,0),0)</f>
        <v>0</v>
      </c>
      <c r="DK114" s="23" t="n">
        <f aca="false">IF(BB114=1,IF(COUNTIFS($AZ$2:$AZ$201,AZ114,$DG$2:$DG$201,1,$AR$2:$AR$201,"Y")&gt;0,1,0),0)</f>
        <v>0</v>
      </c>
      <c r="DL114" s="23" t="n">
        <f aca="false">IF(AND(BF114=1,INT(N(H114))&lt;=Config!$B$6,DH114=1,EI114=0),1,0)</f>
        <v>0</v>
      </c>
      <c r="DM114" s="23" t="n">
        <f aca="false">IF(AND(BF114=1,INT(N(H114))&lt;=Config!$B$7,DI114=1,EI114=0),1,0)</f>
        <v>0</v>
      </c>
      <c r="DN114" s="23" t="n">
        <f aca="false">IF(AND(BF114=1,INT(N(H114))&lt;=Config!$B$8,DJ114=1,EI114=0),1,0)</f>
        <v>0</v>
      </c>
      <c r="DO114" s="23" t="n">
        <f aca="false">IF(AND(BF114=1,INT(N(H114))&lt;=Config!$B$5,DK114=1,EI114=0),1,0)</f>
        <v>0</v>
      </c>
      <c r="DP114" s="23" t="n">
        <f aca="false">IF(AND(CC114=1,INT(N(H114))&lt;=Config!$B$6,DH114=1,EI114=0),1,0)</f>
        <v>0</v>
      </c>
      <c r="DQ114" s="23" t="n">
        <f aca="false">IF(AND(CC114=1,INT(N(H114))&lt;=Config!$B$7,DI114=1,EI114=0),1,0)</f>
        <v>0</v>
      </c>
      <c r="DR114" s="23" t="n">
        <f aca="false">IF(AND(CC114=1,INT(N(H114))&lt;=Config!$B$8,DJ114=1,EI114=0),1,0)</f>
        <v>0</v>
      </c>
      <c r="DS114" s="23" t="n">
        <f aca="false">IF(AND(CC114=1,INT(N(H114))&lt;=Config!$B$5,DK114=1,EI114=0),1,0)</f>
        <v>0</v>
      </c>
      <c r="DT114" s="23" t="n">
        <f aca="false">IF(AND(CC114=1,INT(N(H114))&lt;=Config!$B$6,DH114=0),1,0)</f>
        <v>0</v>
      </c>
      <c r="DU114" s="23" t="n">
        <f aca="false">IF(AND(CC114=1,INT(N(H114))&lt;=Config!$B$7,DI114=0),1,0)</f>
        <v>0</v>
      </c>
      <c r="DV114" s="23" t="n">
        <f aca="false">IF(AND(CC114=1,INT(N(H114))&lt;=Config!$B$8,DJ114=0),1,0)</f>
        <v>0</v>
      </c>
      <c r="DW114" s="23" t="n">
        <f aca="false">IF(AND(CC114=1,INT(N(H114))&lt;=Config!$B$5,DK114=0),1,0)</f>
        <v>0</v>
      </c>
      <c r="DX114" s="23" t="n">
        <f aca="false">IF(TRIM($A114)="",0,ISTEXT(M114)+ISTEXT(O114)+ISTEXT(Y114)+ISTEXT(Z114)+ISTEXT(AA114)+ISTEXT(AV114))</f>
        <v>0</v>
      </c>
      <c r="DY114" s="23" t="n">
        <f aca="false">IF(BB114=1,IF(H114&lt;&gt;INT(H114),1,0),0)</f>
        <v>0</v>
      </c>
      <c r="DZ114" s="23" t="str">
        <f aca="false">IF(TRIM($A114)="","",IF(TRIM(B114)="",SUBSTITUTE(SUBSTITUTE(SUBSTITUTE(SUBSTITUTE(SUBSTITUTE(SUBSTITUTE(LOWER(TRIM($A114)),"~",""),"*",""),"?",""),"&lt;",""),"&gt;",""),"=",""),SUBSTITUTE(SUBSTITUTE(SUBSTITUTE(SUBSTITUTE(SUBSTITUTE(SUBSTITUTE(LOWER(TRIM(B114)),"~",""),"*",""),"?",""),"&lt;",""),"&gt;",""),"=","")))</f>
        <v/>
      </c>
      <c r="EA114" s="23" t="str">
        <f aca="false">IF(CW114="","",IFERROR(IF(LEFT(LOWER(TRIM(INDEX(Clay_Offices!$A$2:$FZ$601,CW114,Sync!$C$19)&amp;"")),4)="grp-",SUBSTITUTE(SUBSTITUTE(SUBSTITUTE(SUBSTITUTE(SUBSTITUTE(SUBSTITUTE(LOWER(TRIM(INDEX(Clay_Offices!$A$2:$FZ$601,CW114,Sync!$C$19)&amp;"")),"~",""),"*",""),"?",""),"&lt;",""),"&gt;",""),"=",""),""),""))</f>
        <v/>
      </c>
      <c r="EB114" s="23" t="str">
        <f aca="false">IF(EA114&lt;&gt;"",DZ114,"")</f>
        <v/>
      </c>
      <c r="EC114" s="23" t="str">
        <f aca="false">IF(BC114=1,AZ114,"")</f>
        <v/>
      </c>
      <c r="ED114" s="23" t="str">
        <f aca="false">IF(TRIM($A114)="","",IFERROR(INDEX($A$2:$A$201,MATCH(AZ114,$EC$2:$EC$201,0))&amp;"",$A114&amp;""))</f>
        <v/>
      </c>
      <c r="EE114" s="23" t="n">
        <f aca="false">IF(BB114=1,IF(COUNTIFS($A$2:$A$201,$A114,$BB$2:$BB$201,1,$H$2:$H$201,"&lt;"&amp;H114)+COUNTIFS($A$2:$A$201,$A114,$BB$2:$BB$201,1,$H$2:$H$201,H114,$BA$2:$BA$201,"&lt;"&amp;BA114)=0,1,0),0)</f>
        <v>0</v>
      </c>
      <c r="EF114" s="23" t="n">
        <f aca="false">IF(BC114=1,IF(COUNTIFS($AZ$2:$AZ$201,AZ114,$EE$2:$EE$201,1)&gt;1,1,0),0)</f>
        <v>0</v>
      </c>
      <c r="EG114" s="23" t="n">
        <f aca="false">IF(AND(CQ114=1),IF(COUNTIFS($AZ$2:$AZ$201,AZ114,$CQ$2:$CQ$201,1,$H$2:$H$201,"&gt;"&amp;H114)+COUNTIFS($AZ$2:$AZ$201,AZ114,$CQ$2:$CQ$201,1,$H$2:$H$201,H114,$BA$2:$BA$201,"&gt;"&amp;BA114)=0,1,0),0)</f>
        <v>0</v>
      </c>
      <c r="EH114" s="23" t="str">
        <f aca="false">IF(BB114=1,IF(COUNTIFS($AZ$2:$AZ$201,AZ114,$EG$2:$EG$201,1)=0,"",SUMIFS($O$2:$O$201,$AZ$2:$AZ$201,AZ114,$EG$2:$EG$201,1)),"")</f>
        <v/>
      </c>
      <c r="EI114" s="23" t="n">
        <f aca="false">IF(AND(ISNUMBER(EH114),OR(N(EH114)&lt;Config!$B$31,N(EH114)&gt;Config!$B$33)),1,0)</f>
        <v>0</v>
      </c>
      <c r="EJ114" s="23" t="n">
        <f aca="false">IF(AND(ISNUMBER(EH114),N(EH114)&gt;=Config!$B$31,N(EH114)&lt;Config!$B$32),1,0)</f>
        <v>0</v>
      </c>
      <c r="EK114" s="23" t="n">
        <f aca="false">IF(AND(BF114=1,INT(N(H114))&lt;=Config!$B$6,DH114=1,EI114=1),1,0)</f>
        <v>0</v>
      </c>
      <c r="EL114" s="23" t="n">
        <f aca="false">IF(AND(BF114=1,INT(N(H114))&lt;=Config!$B$7,DI114=1,EI114=1),1,0)</f>
        <v>0</v>
      </c>
      <c r="EM114" s="23" t="n">
        <f aca="false">IF(AND(BF114=1,INT(N(H114))&lt;=Config!$B$8,DJ114=1,EI114=1),1,0)</f>
        <v>0</v>
      </c>
      <c r="EN114" s="23" t="n">
        <f aca="false">IF(AND(BF114=1,INT(N(H114))&lt;=Config!$B$5,DK114=1,EI114=1),1,0)</f>
        <v>0</v>
      </c>
      <c r="EO114" s="23" t="n">
        <f aca="false">IF(AND(DL114=1,EJ114=1),1,0)</f>
        <v>0</v>
      </c>
      <c r="EP114" s="23" t="n">
        <f aca="false">IF(AND(DM114=1,EJ114=1),1,0)</f>
        <v>0</v>
      </c>
      <c r="EQ114" s="23" t="n">
        <f aca="false">IF(AND(DN114=1,EJ114=1),1,0)</f>
        <v>0</v>
      </c>
      <c r="ER114" s="23" t="n">
        <f aca="false">IF(AND(DO114=1,EJ114=1),1,0)</f>
        <v>0</v>
      </c>
    </row>
    <row r="115" customFormat="false" ht="15" hidden="false" customHeight="false" outlineLevel="0" collapsed="false">
      <c r="G115" s="32"/>
      <c r="H115" s="33"/>
      <c r="I115" s="32"/>
      <c r="L115" s="32"/>
      <c r="Q115" s="32"/>
      <c r="U115" s="32"/>
      <c r="W115" s="32"/>
      <c r="AC115" s="32"/>
      <c r="AF115" s="32"/>
      <c r="AI115" s="32"/>
      <c r="AJ115" s="32"/>
      <c r="AN115" s="32"/>
      <c r="AR115" s="32"/>
      <c r="AT115" s="32"/>
      <c r="AU115" s="32"/>
      <c r="AW115" s="32"/>
      <c r="AY115" s="34" t="str">
        <f aca="false">IF(TRIM($A115)="","",IF(AND(LEFT($A115,6)="SAMPLE",Config!$B$19&lt;&gt;"Y"),"",IF(NOT(ISNUMBER(H115)),"call_date is blank or not a date",IF(Sync!$C$5="","Clay paste is empty or has no row_id column: paste the Clay export on Clay_Offices",IF(CW115="","row_id not found in the Clay paste: add the Clay row or fix the row_id",IF(AND(ISNUMBER(CY115),CY115&gt;=1,CY115&lt;=5),"Clay status is "&amp;CX115&amp;": set call_done or later",IF(AND(BD115=1,CZ115&lt;&gt;BZ115),"Clay yes_in_principle should be "&amp;BZ115,IF(AND(BD115=1,DA115&lt;&gt;H115),"Clay call_date should be "&amp;TEXT(H115,"yyyy-mm-dd"),""))))))))</f>
        <v/>
      </c>
      <c r="AZ115" s="23" t="str">
        <f aca="false">IF(TRIM($A115)="","",IF(TRIM(C115)&lt;&gt;"",SUBSTITUTE(SUBSTITUTE(SUBSTITUTE(SUBSTITUTE(SUBSTITUTE(SUBSTITUTE(LOWER(TRIM(C115)),"~",""),"*",""),"?",""),"&lt;",""),"&gt;",""),"=",""),IF(EA115&lt;&gt;"",EA115,IFERROR(INDEX($EA$2:$EA$201,MATCH(DZ115,$EB$2:$EB$201,0)),DZ115))))</f>
        <v/>
      </c>
      <c r="BA115" s="23" t="n">
        <f aca="false">ROW()</f>
        <v>115</v>
      </c>
      <c r="BB115" s="23" t="n">
        <f aca="false">IF(AND(TRIM($A115)&lt;&gt;"",ISNUMBER(H115)),IF(AND(LEFT($A115,6)="SAMPLE",Config!$B$19&lt;&gt;"Y"),0,1),0)</f>
        <v>0</v>
      </c>
      <c r="BC115" s="23" t="n">
        <f aca="false">IF(BB115=1,IF(COUNTIFS($AZ$2:$AZ$201,AZ115,$BB$2:$BB$201,1,$H$2:$H$201,"&lt;"&amp;H115)+COUNTIFS($AZ$2:$AZ$201,AZ115,$BB$2:$BB$201,1,$H$2:$H$201,H115,$BA$2:$BA$201,"&lt;"&amp;BA115)=0,1,0),0)</f>
        <v>0</v>
      </c>
      <c r="BD115" s="23" t="n">
        <f aca="false">IF(BB115=1,IF(COUNTIFS($A$2:$A$201,$A115,$BB$2:$BB$201,1,$H$2:$H$201,"&gt;"&amp;H115)+COUNTIFS($A$2:$A$201,$A115,$BB$2:$BB$201,1,$H$2:$H$201,H115,$BA$2:$BA$201,"&gt;"&amp;BA115)=0,1,0),0)</f>
        <v>0</v>
      </c>
      <c r="BE115" s="23" t="n">
        <f aca="false">IF(AND(BB115=1,AR115="Y",AC115="Y",TRIM(AH115)&lt;&gt;""),1,0)</f>
        <v>0</v>
      </c>
      <c r="BF115" s="23" t="n">
        <f aca="false">IF(BE115=1,IF(COUNTIFS($AZ$2:$AZ$201,AZ115,$BE$2:$BE$201,1,$H$2:$H$201,"&lt;"&amp;H115)+COUNTIFS($AZ$2:$AZ$201,AZ115,$BE$2:$BE$201,1,$H$2:$H$201,H115,$BA$2:$BA$201,"&lt;"&amp;BA115)=0,1,0),0)</f>
        <v>0</v>
      </c>
      <c r="BG115" s="23" t="n">
        <f aca="false">IF(AND(BB115=1,AR115="Y",BE115=0),1,0)</f>
        <v>0</v>
      </c>
      <c r="BH115" s="23" t="n">
        <f aca="false">IF(AND(BB115=1,ISNUMBER(Y115)),1,0)</f>
        <v>0</v>
      </c>
      <c r="BI115" s="23" t="n">
        <f aca="false">IF(BH115=1,IF(COUNTIFS($AZ$2:$AZ$201,AZ115,$BH$2:$BH$201,1,$H$2:$H$201,"&lt;"&amp;H115)+COUNTIFS($AZ$2:$AZ$201,AZ115,$BH$2:$BH$201,1,$H$2:$H$201,H115,$BA$2:$BA$201,"&lt;"&amp;BA115)=0,1,0),0)</f>
        <v>0</v>
      </c>
      <c r="BJ115" s="23" t="str">
        <f aca="false">IF(AND(BI115=1,INT(N(H115))&lt;=Config!$B$6),Y115,"")</f>
        <v/>
      </c>
      <c r="BK115" s="23" t="str">
        <f aca="false">IF(AND(BI115=1,INT(N(H115))&lt;=Config!$B$7),Y115,"")</f>
        <v/>
      </c>
      <c r="BL115" s="23" t="str">
        <f aca="false">IF(AND(BI115=1,INT(N(H115))&lt;=Config!$B$8),Y115,"")</f>
        <v/>
      </c>
      <c r="BM115" s="23" t="str">
        <f aca="false">IF(AND(BI115=1,INT(N(H115))&lt;=Config!$B$5),Y115,"")</f>
        <v/>
      </c>
      <c r="BN115" s="23" t="n">
        <f aca="false">IF(CD115=1,IF(COUNTIFS($AZ$2:$AZ$201,AZ115,$CD$2:$CD$201,1,$H$2:$H$201,"&lt;"&amp;H115)+COUNTIFS($AZ$2:$AZ$201,AZ115,$CD$2:$CD$201,1,$H$2:$H$201,H115,$BA$2:$BA$201,"&lt;"&amp;BA115)=0,1,0),0)</f>
        <v>0</v>
      </c>
      <c r="BO115" s="23" t="n">
        <f aca="false">IF(AND(BB115=1,ISNUMBER(M115)),1,0)</f>
        <v>0</v>
      </c>
      <c r="BP115" s="23" t="n">
        <f aca="false">IF(BO115=1,IF(COUNTIFS($AZ$2:$AZ$201,AZ115,$BO$2:$BO$201,1,$H$2:$H$201,"&lt;"&amp;H115)+COUNTIFS($AZ$2:$AZ$201,AZ115,$BO$2:$BO$201,1,$H$2:$H$201,H115,$BA$2:$BA$201,"&lt;"&amp;BA115)=0,1,0),0)</f>
        <v>0</v>
      </c>
      <c r="BQ115" s="23" t="str">
        <f aca="false">IF(AND(BP115=1,INT(N(H115))&lt;=Config!$B$5),M115,"")</f>
        <v/>
      </c>
      <c r="BR115" s="23" t="n">
        <f aca="false">IF(AND(BB115=1,OR(TRIM(X115)&lt;&gt;"",ISNUMBER(Y115))),1,0)</f>
        <v>0</v>
      </c>
      <c r="BS115" s="23" t="n">
        <f aca="false">IF(BR115=1,IF(COUNTIFS($AZ$2:$AZ$201,AZ115,$BR$2:$BR$201,1,$H$2:$H$201,"&lt;"&amp;H115)+COUNTIFS($AZ$2:$AZ$201,AZ115,$BR$2:$BR$201,1,$H$2:$H$201,H115,$BA$2:$BA$201,"&lt;"&amp;BA115)=0,1,0),0)</f>
        <v>0</v>
      </c>
      <c r="BT115" s="23" t="str">
        <f aca="false">IF(BS115=1,AZ115,"")</f>
        <v/>
      </c>
      <c r="BU115" s="23" t="n">
        <f aca="false">IF(AND(BB115=1,W115="Y",TRIM(X115)=""),1,0)</f>
        <v>0</v>
      </c>
      <c r="BV115" s="23" t="str">
        <f aca="false">IF(BB115=1,AN115&amp;"","")</f>
        <v/>
      </c>
      <c r="BW115" s="23" t="str">
        <f aca="false">IF(BB115=1,AO115&amp;"","")</f>
        <v/>
      </c>
      <c r="BX115" s="23" t="str">
        <f aca="false">IF(BB115=1,AP115&amp;"","")</f>
        <v/>
      </c>
      <c r="BY115" s="23" t="str">
        <f aca="false">IF(AND(BB115=1,ISNUMBER(AV115),INT(N(H115))&lt;=Config!$B$5),AV115,"")</f>
        <v/>
      </c>
      <c r="BZ115" s="23" t="str">
        <f aca="false">IF(BB115=1,IF(COUNTIFS($A$2:$A$201,$A115,$DC$2:$DC$201,1,$AR$2:$AR$201,"Y")&gt;0,"Y","N"),"")</f>
        <v/>
      </c>
      <c r="CA115" s="23" t="n">
        <f aca="false">IF(AND(BB115=1,AR115="maybe"),1,0)</f>
        <v>0</v>
      </c>
      <c r="CB115" s="23" t="n">
        <f aca="false">IF(CA115=1,IF(COUNTIFS($AZ$2:$AZ$201,AZ115,$CA$2:$CA$201,1,$H$2:$H$201,"&lt;"&amp;H115)+COUNTIFS($AZ$2:$AZ$201,AZ115,$CA$2:$CA$201,1,$H$2:$H$201,H115,$BA$2:$BA$201,"&lt;"&amp;BA115)=0,1,0),0)</f>
        <v>0</v>
      </c>
      <c r="CC115" s="23" t="n">
        <f aca="false">IF(AND(BB115=1,AR115="Y"),IF(COUNTIFS($AZ$2:$AZ$201,AZ115,$AR$2:$AR$201,"Y",$BB$2:$BB$201,1,$H$2:$H$201,"&lt;"&amp;H115)+COUNTIFS($AZ$2:$AZ$201,AZ115,$AR$2:$AR$201,"Y",$BB$2:$BB$201,1,$H$2:$H$201,H115,$BA$2:$BA$201,"&lt;"&amp;BA115)=0,1,0),0)</f>
        <v>0</v>
      </c>
      <c r="CD115" s="23" t="n">
        <f aca="false">IF(AND(BH115=1,N(Y115)&gt;=Config!$B$15),1,0)</f>
        <v>0</v>
      </c>
      <c r="CE115" s="23" t="n">
        <f aca="false">IF(AND(BB115=1,AT115="Y"),1,0)</f>
        <v>0</v>
      </c>
      <c r="CF115" s="23" t="n">
        <f aca="false">IF(CE115=1,IF(COUNTIFS($AZ$2:$AZ$201,AZ115,$CE$2:$CE$201,1,$H$2:$H$201,"&lt;"&amp;H115)+COUNTIFS($AZ$2:$AZ$201,AZ115,$CE$2:$CE$201,1,$H$2:$H$201,H115,$BA$2:$BA$201,"&lt;"&amp;BA115)=0,1,0),0)</f>
        <v>0</v>
      </c>
      <c r="CG115" s="23" t="n">
        <f aca="false">IF(AND(BB115=1,G115="warm-intro"),1,0)</f>
        <v>0</v>
      </c>
      <c r="CH115" s="23" t="n">
        <f aca="false">IF(CG115=1,IF(COUNTIFS($AZ$2:$AZ$201,AZ115,$CG$2:$CG$201,1,$H$2:$H$201,"&lt;"&amp;H115)+COUNTIFS($AZ$2:$AZ$201,AZ115,$CG$2:$CG$201,1,$H$2:$H$201,H115,$BA$2:$BA$201,"&lt;"&amp;BA115)=0,1,0),0)</f>
        <v>0</v>
      </c>
      <c r="CI115" s="23" t="n">
        <f aca="false">IF(AND(BB115=1,Q115="Y"),1,0)</f>
        <v>0</v>
      </c>
      <c r="CJ115" s="23" t="n">
        <f aca="false">IF(CI115=1,IF(COUNTIFS($AZ$2:$AZ$201,AZ115,$CI$2:$CI$201,1,$H$2:$H$201,"&lt;"&amp;H115)+COUNTIFS($AZ$2:$AZ$201,AZ115,$CI$2:$CI$201,1,$H$2:$H$201,H115,$BA$2:$BA$201,"&lt;"&amp;BA115)=0,1,0),0)</f>
        <v>0</v>
      </c>
      <c r="CK115" s="23" t="n">
        <f aca="false">IF(AND(BB115=1,AF115="Y"),1,0)</f>
        <v>0</v>
      </c>
      <c r="CL115" s="23" t="n">
        <f aca="false">IF(CK115=1,IF(COUNTIFS($AZ$2:$AZ$201,AZ115,$CK$2:$CK$201,1,$H$2:$H$201,"&lt;"&amp;H115)+COUNTIFS($AZ$2:$AZ$201,AZ115,$CK$2:$CK$201,1,$H$2:$H$201,H115,$BA$2:$BA$201,"&lt;"&amp;BA115)=0,1,0),0)</f>
        <v>0</v>
      </c>
      <c r="CM115" s="23" t="n">
        <f aca="false">IF(AND(BB115=1,U115="Y"),1,0)</f>
        <v>0</v>
      </c>
      <c r="CN115" s="23" t="n">
        <f aca="false">IF(CM115=1,IF(COUNTIFS($AZ$2:$AZ$201,AZ115,$CM$2:$CM$201,1,$H$2:$H$201,"&lt;"&amp;H115)+COUNTIFS($AZ$2:$AZ$201,AZ115,$CM$2:$CM$201,1,$H$2:$H$201,H115,$BA$2:$BA$201,"&lt;"&amp;BA115)=0,1,0),0)</f>
        <v>0</v>
      </c>
      <c r="CO115" s="23" t="n">
        <f aca="false">IF(AND(BB115=1,L115="Y"),1,0)</f>
        <v>0</v>
      </c>
      <c r="CP115" s="23" t="n">
        <f aca="false">IF(CO115=1,IF(COUNTIFS($AZ$2:$AZ$201,AZ115,$CO$2:$CO$201,1,$H$2:$H$201,"&lt;"&amp;H115)+COUNTIFS($AZ$2:$AZ$201,AZ115,$CO$2:$CO$201,1,$H$2:$H$201,H115,$BA$2:$BA$201,"&lt;"&amp;BA115)=0,1,0),0)</f>
        <v>0</v>
      </c>
      <c r="CQ115" s="23" t="n">
        <f aca="false">IF(AND(BB115=1,ISNUMBER(O115)),1,0)</f>
        <v>0</v>
      </c>
      <c r="CR115" s="23" t="n">
        <f aca="false">IF(CQ115=1,IF(COUNTIFS($AZ$2:$AZ$201,AZ115,$CQ$2:$CQ$201,1,$H$2:$H$201,"&lt;"&amp;H115)+COUNTIFS($AZ$2:$AZ$201,AZ115,$CQ$2:$CQ$201,1,$H$2:$H$201,H115,$BA$2:$BA$201,"&lt;"&amp;BA115)=0,1,0),0)</f>
        <v>0</v>
      </c>
      <c r="CS115" s="23" t="str">
        <f aca="false">IF(AND(CR115=1,INT(N(H115))&lt;=Config!$B$5),O115,"")</f>
        <v/>
      </c>
      <c r="CT115" s="23" t="str">
        <f aca="false">IF(AND(BB115=1,INT(N(H115))&lt;=Config!$B$5),AG115&amp;"","")</f>
        <v/>
      </c>
      <c r="CU115" s="23" t="n">
        <f aca="false">IF(AND(BB115=1,AU115="Y"),1,0)</f>
        <v>0</v>
      </c>
      <c r="CV115" s="23" t="n">
        <f aca="false">IF(CU115=1,IF(COUNTIFS($AZ$2:$AZ$201,AZ115,$CU$2:$CU$201,1,$H$2:$H$201,"&lt;"&amp;H115)+COUNTIFS($AZ$2:$AZ$201,AZ115,$CU$2:$CU$201,1,$H$2:$H$201,H115,$BA$2:$BA$201,"&lt;"&amp;BA115)=0,1,0),0)</f>
        <v>0</v>
      </c>
      <c r="CW115" s="23" t="str">
        <f aca="false">IF(BB115=1,IFERROR(MATCH($A115,INDEX(Clay_Offices!$A$2:$FZ$601,0,Sync!$C$5),0),""),"")</f>
        <v/>
      </c>
      <c r="CX115" s="23" t="str">
        <f aca="false">IF(CW115="","",IFERROR(INDEX(Clay_Offices!$A$2:$FZ$601,CW115,Sync!$C$7)&amp;"",""))</f>
        <v/>
      </c>
      <c r="CY115" s="23" t="str">
        <f aca="false">IF(CX115="","",IFERROR(INDEX(Lists!$K$2:$K$15,MATCH(CX115,Lists!$J$2:$J$15,0)),""))</f>
        <v/>
      </c>
      <c r="CZ115" s="23" t="str">
        <f aca="false">IF(CW115="","",IFERROR(INDEX(Clay_Offices!$A$2:$FZ$601,CW115,Sync!$C$17)&amp;"",""))</f>
        <v/>
      </c>
      <c r="DA115" s="35" t="str">
        <f aca="false">IF(CW115="","",IFERROR(N(INDEX(Clay_Offices!$A$2:$FZ$601,CW115,Sync!$C$16)),0))</f>
        <v/>
      </c>
      <c r="DB115" s="23" t="n">
        <f aca="false">IF(AND(BB115=1,OR(AR115="Y",AR115="N",AR115="maybe")),1,0)</f>
        <v>0</v>
      </c>
      <c r="DC115" s="23" t="n">
        <f aca="false">IF(AND(DB115=1),IF(COUNTIFS($A$2:$A$201,$A115,$DB$2:$DB$201,1,$H$2:$H$201,"&gt;"&amp;H115)+COUNTIFS($A$2:$A$201,$A115,$DB$2:$DB$201,1,$H$2:$H$201,H115,$BA$2:$BA$201,"&gt;"&amp;BA115)=0,1,0),0)</f>
        <v>0</v>
      </c>
      <c r="DD115" s="23" t="n">
        <f aca="false">IF(AND(DB115=1,INT(N(H115))&lt;=Config!$B$6),IF(COUNTIFS($AZ$2:$AZ$201,AZ115,$DB$2:$DB$201,1,$H$2:$H$201,"&gt;"&amp;H115,$H$2:$H$201,"&lt;"&amp;(Config!$B$6+1))+COUNTIFS($AZ$2:$AZ$201,AZ115,$DB$2:$DB$201,1,$H$2:$H$201,H115,$BA$2:$BA$201,"&gt;"&amp;BA115)=0,1,0),0)</f>
        <v>0</v>
      </c>
      <c r="DE115" s="23" t="n">
        <f aca="false">IF(AND(DB115=1,INT(N(H115))&lt;=Config!$B$7),IF(COUNTIFS($AZ$2:$AZ$201,AZ115,$DB$2:$DB$201,1,$H$2:$H$201,"&gt;"&amp;H115,$H$2:$H$201,"&lt;"&amp;(Config!$B$7+1))+COUNTIFS($AZ$2:$AZ$201,AZ115,$DB$2:$DB$201,1,$H$2:$H$201,H115,$BA$2:$BA$201,"&gt;"&amp;BA115)=0,1,0),0)</f>
        <v>0</v>
      </c>
      <c r="DF115" s="23" t="n">
        <f aca="false">IF(AND(DB115=1,INT(N(H115))&lt;=Config!$B$8),IF(COUNTIFS($AZ$2:$AZ$201,AZ115,$DB$2:$DB$201,1,$H$2:$H$201,"&gt;"&amp;H115,$H$2:$H$201,"&lt;"&amp;(Config!$B$8+1))+COUNTIFS($AZ$2:$AZ$201,AZ115,$DB$2:$DB$201,1,$H$2:$H$201,H115,$BA$2:$BA$201,"&gt;"&amp;BA115)=0,1,0),0)</f>
        <v>0</v>
      </c>
      <c r="DG115" s="23" t="n">
        <f aca="false">IF(AND(DB115=1,INT(N(H115))&lt;=Config!$B$5),IF(COUNTIFS($AZ$2:$AZ$201,AZ115,$DB$2:$DB$201,1,$H$2:$H$201,"&gt;"&amp;H115,$H$2:$H$201,"&lt;"&amp;(Config!$B$5+1))+COUNTIFS($AZ$2:$AZ$201,AZ115,$DB$2:$DB$201,1,$H$2:$H$201,H115,$BA$2:$BA$201,"&gt;"&amp;BA115)=0,1,0),0)</f>
        <v>0</v>
      </c>
      <c r="DH115" s="23" t="n">
        <f aca="false">IF(BB115=1,IF(COUNTIFS($AZ$2:$AZ$201,AZ115,$DD$2:$DD$201,1,$AR$2:$AR$201,"Y")&gt;0,1,0),0)</f>
        <v>0</v>
      </c>
      <c r="DI115" s="23" t="n">
        <f aca="false">IF(BB115=1,IF(COUNTIFS($AZ$2:$AZ$201,AZ115,$DE$2:$DE$201,1,$AR$2:$AR$201,"Y")&gt;0,1,0),0)</f>
        <v>0</v>
      </c>
      <c r="DJ115" s="23" t="n">
        <f aca="false">IF(BB115=1,IF(COUNTIFS($AZ$2:$AZ$201,AZ115,$DF$2:$DF$201,1,$AR$2:$AR$201,"Y")&gt;0,1,0),0)</f>
        <v>0</v>
      </c>
      <c r="DK115" s="23" t="n">
        <f aca="false">IF(BB115=1,IF(COUNTIFS($AZ$2:$AZ$201,AZ115,$DG$2:$DG$201,1,$AR$2:$AR$201,"Y")&gt;0,1,0),0)</f>
        <v>0</v>
      </c>
      <c r="DL115" s="23" t="n">
        <f aca="false">IF(AND(BF115=1,INT(N(H115))&lt;=Config!$B$6,DH115=1,EI115=0),1,0)</f>
        <v>0</v>
      </c>
      <c r="DM115" s="23" t="n">
        <f aca="false">IF(AND(BF115=1,INT(N(H115))&lt;=Config!$B$7,DI115=1,EI115=0),1,0)</f>
        <v>0</v>
      </c>
      <c r="DN115" s="23" t="n">
        <f aca="false">IF(AND(BF115=1,INT(N(H115))&lt;=Config!$B$8,DJ115=1,EI115=0),1,0)</f>
        <v>0</v>
      </c>
      <c r="DO115" s="23" t="n">
        <f aca="false">IF(AND(BF115=1,INT(N(H115))&lt;=Config!$B$5,DK115=1,EI115=0),1,0)</f>
        <v>0</v>
      </c>
      <c r="DP115" s="23" t="n">
        <f aca="false">IF(AND(CC115=1,INT(N(H115))&lt;=Config!$B$6,DH115=1,EI115=0),1,0)</f>
        <v>0</v>
      </c>
      <c r="DQ115" s="23" t="n">
        <f aca="false">IF(AND(CC115=1,INT(N(H115))&lt;=Config!$B$7,DI115=1,EI115=0),1,0)</f>
        <v>0</v>
      </c>
      <c r="DR115" s="23" t="n">
        <f aca="false">IF(AND(CC115=1,INT(N(H115))&lt;=Config!$B$8,DJ115=1,EI115=0),1,0)</f>
        <v>0</v>
      </c>
      <c r="DS115" s="23" t="n">
        <f aca="false">IF(AND(CC115=1,INT(N(H115))&lt;=Config!$B$5,DK115=1,EI115=0),1,0)</f>
        <v>0</v>
      </c>
      <c r="DT115" s="23" t="n">
        <f aca="false">IF(AND(CC115=1,INT(N(H115))&lt;=Config!$B$6,DH115=0),1,0)</f>
        <v>0</v>
      </c>
      <c r="DU115" s="23" t="n">
        <f aca="false">IF(AND(CC115=1,INT(N(H115))&lt;=Config!$B$7,DI115=0),1,0)</f>
        <v>0</v>
      </c>
      <c r="DV115" s="23" t="n">
        <f aca="false">IF(AND(CC115=1,INT(N(H115))&lt;=Config!$B$8,DJ115=0),1,0)</f>
        <v>0</v>
      </c>
      <c r="DW115" s="23" t="n">
        <f aca="false">IF(AND(CC115=1,INT(N(H115))&lt;=Config!$B$5,DK115=0),1,0)</f>
        <v>0</v>
      </c>
      <c r="DX115" s="23" t="n">
        <f aca="false">IF(TRIM($A115)="",0,ISTEXT(M115)+ISTEXT(O115)+ISTEXT(Y115)+ISTEXT(Z115)+ISTEXT(AA115)+ISTEXT(AV115))</f>
        <v>0</v>
      </c>
      <c r="DY115" s="23" t="n">
        <f aca="false">IF(BB115=1,IF(H115&lt;&gt;INT(H115),1,0),0)</f>
        <v>0</v>
      </c>
      <c r="DZ115" s="23" t="str">
        <f aca="false">IF(TRIM($A115)="","",IF(TRIM(B115)="",SUBSTITUTE(SUBSTITUTE(SUBSTITUTE(SUBSTITUTE(SUBSTITUTE(SUBSTITUTE(LOWER(TRIM($A115)),"~",""),"*",""),"?",""),"&lt;",""),"&gt;",""),"=",""),SUBSTITUTE(SUBSTITUTE(SUBSTITUTE(SUBSTITUTE(SUBSTITUTE(SUBSTITUTE(LOWER(TRIM(B115)),"~",""),"*",""),"?",""),"&lt;",""),"&gt;",""),"=","")))</f>
        <v/>
      </c>
      <c r="EA115" s="23" t="str">
        <f aca="false">IF(CW115="","",IFERROR(IF(LEFT(LOWER(TRIM(INDEX(Clay_Offices!$A$2:$FZ$601,CW115,Sync!$C$19)&amp;"")),4)="grp-",SUBSTITUTE(SUBSTITUTE(SUBSTITUTE(SUBSTITUTE(SUBSTITUTE(SUBSTITUTE(LOWER(TRIM(INDEX(Clay_Offices!$A$2:$FZ$601,CW115,Sync!$C$19)&amp;"")),"~",""),"*",""),"?",""),"&lt;",""),"&gt;",""),"=",""),""),""))</f>
        <v/>
      </c>
      <c r="EB115" s="23" t="str">
        <f aca="false">IF(EA115&lt;&gt;"",DZ115,"")</f>
        <v/>
      </c>
      <c r="EC115" s="23" t="str">
        <f aca="false">IF(BC115=1,AZ115,"")</f>
        <v/>
      </c>
      <c r="ED115" s="23" t="str">
        <f aca="false">IF(TRIM($A115)="","",IFERROR(INDEX($A$2:$A$201,MATCH(AZ115,$EC$2:$EC$201,0))&amp;"",$A115&amp;""))</f>
        <v/>
      </c>
      <c r="EE115" s="23" t="n">
        <f aca="false">IF(BB115=1,IF(COUNTIFS($A$2:$A$201,$A115,$BB$2:$BB$201,1,$H$2:$H$201,"&lt;"&amp;H115)+COUNTIFS($A$2:$A$201,$A115,$BB$2:$BB$201,1,$H$2:$H$201,H115,$BA$2:$BA$201,"&lt;"&amp;BA115)=0,1,0),0)</f>
        <v>0</v>
      </c>
      <c r="EF115" s="23" t="n">
        <f aca="false">IF(BC115=1,IF(COUNTIFS($AZ$2:$AZ$201,AZ115,$EE$2:$EE$201,1)&gt;1,1,0),0)</f>
        <v>0</v>
      </c>
      <c r="EG115" s="23" t="n">
        <f aca="false">IF(AND(CQ115=1),IF(COUNTIFS($AZ$2:$AZ$201,AZ115,$CQ$2:$CQ$201,1,$H$2:$H$201,"&gt;"&amp;H115)+COUNTIFS($AZ$2:$AZ$201,AZ115,$CQ$2:$CQ$201,1,$H$2:$H$201,H115,$BA$2:$BA$201,"&gt;"&amp;BA115)=0,1,0),0)</f>
        <v>0</v>
      </c>
      <c r="EH115" s="23" t="str">
        <f aca="false">IF(BB115=1,IF(COUNTIFS($AZ$2:$AZ$201,AZ115,$EG$2:$EG$201,1)=0,"",SUMIFS($O$2:$O$201,$AZ$2:$AZ$201,AZ115,$EG$2:$EG$201,1)),"")</f>
        <v/>
      </c>
      <c r="EI115" s="23" t="n">
        <f aca="false">IF(AND(ISNUMBER(EH115),OR(N(EH115)&lt;Config!$B$31,N(EH115)&gt;Config!$B$33)),1,0)</f>
        <v>0</v>
      </c>
      <c r="EJ115" s="23" t="n">
        <f aca="false">IF(AND(ISNUMBER(EH115),N(EH115)&gt;=Config!$B$31,N(EH115)&lt;Config!$B$32),1,0)</f>
        <v>0</v>
      </c>
      <c r="EK115" s="23" t="n">
        <f aca="false">IF(AND(BF115=1,INT(N(H115))&lt;=Config!$B$6,DH115=1,EI115=1),1,0)</f>
        <v>0</v>
      </c>
      <c r="EL115" s="23" t="n">
        <f aca="false">IF(AND(BF115=1,INT(N(H115))&lt;=Config!$B$7,DI115=1,EI115=1),1,0)</f>
        <v>0</v>
      </c>
      <c r="EM115" s="23" t="n">
        <f aca="false">IF(AND(BF115=1,INT(N(H115))&lt;=Config!$B$8,DJ115=1,EI115=1),1,0)</f>
        <v>0</v>
      </c>
      <c r="EN115" s="23" t="n">
        <f aca="false">IF(AND(BF115=1,INT(N(H115))&lt;=Config!$B$5,DK115=1,EI115=1),1,0)</f>
        <v>0</v>
      </c>
      <c r="EO115" s="23" t="n">
        <f aca="false">IF(AND(DL115=1,EJ115=1),1,0)</f>
        <v>0</v>
      </c>
      <c r="EP115" s="23" t="n">
        <f aca="false">IF(AND(DM115=1,EJ115=1),1,0)</f>
        <v>0</v>
      </c>
      <c r="EQ115" s="23" t="n">
        <f aca="false">IF(AND(DN115=1,EJ115=1),1,0)</f>
        <v>0</v>
      </c>
      <c r="ER115" s="23" t="n">
        <f aca="false">IF(AND(DO115=1,EJ115=1),1,0)</f>
        <v>0</v>
      </c>
    </row>
    <row r="116" customFormat="false" ht="15" hidden="false" customHeight="false" outlineLevel="0" collapsed="false">
      <c r="G116" s="32"/>
      <c r="H116" s="33"/>
      <c r="I116" s="32"/>
      <c r="L116" s="32"/>
      <c r="Q116" s="32"/>
      <c r="U116" s="32"/>
      <c r="W116" s="32"/>
      <c r="AC116" s="32"/>
      <c r="AF116" s="32"/>
      <c r="AI116" s="32"/>
      <c r="AJ116" s="32"/>
      <c r="AN116" s="32"/>
      <c r="AR116" s="32"/>
      <c r="AT116" s="32"/>
      <c r="AU116" s="32"/>
      <c r="AW116" s="32"/>
      <c r="AY116" s="34" t="str">
        <f aca="false">IF(TRIM($A116)="","",IF(AND(LEFT($A116,6)="SAMPLE",Config!$B$19&lt;&gt;"Y"),"",IF(NOT(ISNUMBER(H116)),"call_date is blank or not a date",IF(Sync!$C$5="","Clay paste is empty or has no row_id column: paste the Clay export on Clay_Offices",IF(CW116="","row_id not found in the Clay paste: add the Clay row or fix the row_id",IF(AND(ISNUMBER(CY116),CY116&gt;=1,CY116&lt;=5),"Clay status is "&amp;CX116&amp;": set call_done or later",IF(AND(BD116=1,CZ116&lt;&gt;BZ116),"Clay yes_in_principle should be "&amp;BZ116,IF(AND(BD116=1,DA116&lt;&gt;H116),"Clay call_date should be "&amp;TEXT(H116,"yyyy-mm-dd"),""))))))))</f>
        <v/>
      </c>
      <c r="AZ116" s="23" t="str">
        <f aca="false">IF(TRIM($A116)="","",IF(TRIM(C116)&lt;&gt;"",SUBSTITUTE(SUBSTITUTE(SUBSTITUTE(SUBSTITUTE(SUBSTITUTE(SUBSTITUTE(LOWER(TRIM(C116)),"~",""),"*",""),"?",""),"&lt;",""),"&gt;",""),"=",""),IF(EA116&lt;&gt;"",EA116,IFERROR(INDEX($EA$2:$EA$201,MATCH(DZ116,$EB$2:$EB$201,0)),DZ116))))</f>
        <v/>
      </c>
      <c r="BA116" s="23" t="n">
        <f aca="false">ROW()</f>
        <v>116</v>
      </c>
      <c r="BB116" s="23" t="n">
        <f aca="false">IF(AND(TRIM($A116)&lt;&gt;"",ISNUMBER(H116)),IF(AND(LEFT($A116,6)="SAMPLE",Config!$B$19&lt;&gt;"Y"),0,1),0)</f>
        <v>0</v>
      </c>
      <c r="BC116" s="23" t="n">
        <f aca="false">IF(BB116=1,IF(COUNTIFS($AZ$2:$AZ$201,AZ116,$BB$2:$BB$201,1,$H$2:$H$201,"&lt;"&amp;H116)+COUNTIFS($AZ$2:$AZ$201,AZ116,$BB$2:$BB$201,1,$H$2:$H$201,H116,$BA$2:$BA$201,"&lt;"&amp;BA116)=0,1,0),0)</f>
        <v>0</v>
      </c>
      <c r="BD116" s="23" t="n">
        <f aca="false">IF(BB116=1,IF(COUNTIFS($A$2:$A$201,$A116,$BB$2:$BB$201,1,$H$2:$H$201,"&gt;"&amp;H116)+COUNTIFS($A$2:$A$201,$A116,$BB$2:$BB$201,1,$H$2:$H$201,H116,$BA$2:$BA$201,"&gt;"&amp;BA116)=0,1,0),0)</f>
        <v>0</v>
      </c>
      <c r="BE116" s="23" t="n">
        <f aca="false">IF(AND(BB116=1,AR116="Y",AC116="Y",TRIM(AH116)&lt;&gt;""),1,0)</f>
        <v>0</v>
      </c>
      <c r="BF116" s="23" t="n">
        <f aca="false">IF(BE116=1,IF(COUNTIFS($AZ$2:$AZ$201,AZ116,$BE$2:$BE$201,1,$H$2:$H$201,"&lt;"&amp;H116)+COUNTIFS($AZ$2:$AZ$201,AZ116,$BE$2:$BE$201,1,$H$2:$H$201,H116,$BA$2:$BA$201,"&lt;"&amp;BA116)=0,1,0),0)</f>
        <v>0</v>
      </c>
      <c r="BG116" s="23" t="n">
        <f aca="false">IF(AND(BB116=1,AR116="Y",BE116=0),1,0)</f>
        <v>0</v>
      </c>
      <c r="BH116" s="23" t="n">
        <f aca="false">IF(AND(BB116=1,ISNUMBER(Y116)),1,0)</f>
        <v>0</v>
      </c>
      <c r="BI116" s="23" t="n">
        <f aca="false">IF(BH116=1,IF(COUNTIFS($AZ$2:$AZ$201,AZ116,$BH$2:$BH$201,1,$H$2:$H$201,"&lt;"&amp;H116)+COUNTIFS($AZ$2:$AZ$201,AZ116,$BH$2:$BH$201,1,$H$2:$H$201,H116,$BA$2:$BA$201,"&lt;"&amp;BA116)=0,1,0),0)</f>
        <v>0</v>
      </c>
      <c r="BJ116" s="23" t="str">
        <f aca="false">IF(AND(BI116=1,INT(N(H116))&lt;=Config!$B$6),Y116,"")</f>
        <v/>
      </c>
      <c r="BK116" s="23" t="str">
        <f aca="false">IF(AND(BI116=1,INT(N(H116))&lt;=Config!$B$7),Y116,"")</f>
        <v/>
      </c>
      <c r="BL116" s="23" t="str">
        <f aca="false">IF(AND(BI116=1,INT(N(H116))&lt;=Config!$B$8),Y116,"")</f>
        <v/>
      </c>
      <c r="BM116" s="23" t="str">
        <f aca="false">IF(AND(BI116=1,INT(N(H116))&lt;=Config!$B$5),Y116,"")</f>
        <v/>
      </c>
      <c r="BN116" s="23" t="n">
        <f aca="false">IF(CD116=1,IF(COUNTIFS($AZ$2:$AZ$201,AZ116,$CD$2:$CD$201,1,$H$2:$H$201,"&lt;"&amp;H116)+COUNTIFS($AZ$2:$AZ$201,AZ116,$CD$2:$CD$201,1,$H$2:$H$201,H116,$BA$2:$BA$201,"&lt;"&amp;BA116)=0,1,0),0)</f>
        <v>0</v>
      </c>
      <c r="BO116" s="23" t="n">
        <f aca="false">IF(AND(BB116=1,ISNUMBER(M116)),1,0)</f>
        <v>0</v>
      </c>
      <c r="BP116" s="23" t="n">
        <f aca="false">IF(BO116=1,IF(COUNTIFS($AZ$2:$AZ$201,AZ116,$BO$2:$BO$201,1,$H$2:$H$201,"&lt;"&amp;H116)+COUNTIFS($AZ$2:$AZ$201,AZ116,$BO$2:$BO$201,1,$H$2:$H$201,H116,$BA$2:$BA$201,"&lt;"&amp;BA116)=0,1,0),0)</f>
        <v>0</v>
      </c>
      <c r="BQ116" s="23" t="str">
        <f aca="false">IF(AND(BP116=1,INT(N(H116))&lt;=Config!$B$5),M116,"")</f>
        <v/>
      </c>
      <c r="BR116" s="23" t="n">
        <f aca="false">IF(AND(BB116=1,OR(TRIM(X116)&lt;&gt;"",ISNUMBER(Y116))),1,0)</f>
        <v>0</v>
      </c>
      <c r="BS116" s="23" t="n">
        <f aca="false">IF(BR116=1,IF(COUNTIFS($AZ$2:$AZ$201,AZ116,$BR$2:$BR$201,1,$H$2:$H$201,"&lt;"&amp;H116)+COUNTIFS($AZ$2:$AZ$201,AZ116,$BR$2:$BR$201,1,$H$2:$H$201,H116,$BA$2:$BA$201,"&lt;"&amp;BA116)=0,1,0),0)</f>
        <v>0</v>
      </c>
      <c r="BT116" s="23" t="str">
        <f aca="false">IF(BS116=1,AZ116,"")</f>
        <v/>
      </c>
      <c r="BU116" s="23" t="n">
        <f aca="false">IF(AND(BB116=1,W116="Y",TRIM(X116)=""),1,0)</f>
        <v>0</v>
      </c>
      <c r="BV116" s="23" t="str">
        <f aca="false">IF(BB116=1,AN116&amp;"","")</f>
        <v/>
      </c>
      <c r="BW116" s="23" t="str">
        <f aca="false">IF(BB116=1,AO116&amp;"","")</f>
        <v/>
      </c>
      <c r="BX116" s="23" t="str">
        <f aca="false">IF(BB116=1,AP116&amp;"","")</f>
        <v/>
      </c>
      <c r="BY116" s="23" t="str">
        <f aca="false">IF(AND(BB116=1,ISNUMBER(AV116),INT(N(H116))&lt;=Config!$B$5),AV116,"")</f>
        <v/>
      </c>
      <c r="BZ116" s="23" t="str">
        <f aca="false">IF(BB116=1,IF(COUNTIFS($A$2:$A$201,$A116,$DC$2:$DC$201,1,$AR$2:$AR$201,"Y")&gt;0,"Y","N"),"")</f>
        <v/>
      </c>
      <c r="CA116" s="23" t="n">
        <f aca="false">IF(AND(BB116=1,AR116="maybe"),1,0)</f>
        <v>0</v>
      </c>
      <c r="CB116" s="23" t="n">
        <f aca="false">IF(CA116=1,IF(COUNTIFS($AZ$2:$AZ$201,AZ116,$CA$2:$CA$201,1,$H$2:$H$201,"&lt;"&amp;H116)+COUNTIFS($AZ$2:$AZ$201,AZ116,$CA$2:$CA$201,1,$H$2:$H$201,H116,$BA$2:$BA$201,"&lt;"&amp;BA116)=0,1,0),0)</f>
        <v>0</v>
      </c>
      <c r="CC116" s="23" t="n">
        <f aca="false">IF(AND(BB116=1,AR116="Y"),IF(COUNTIFS($AZ$2:$AZ$201,AZ116,$AR$2:$AR$201,"Y",$BB$2:$BB$201,1,$H$2:$H$201,"&lt;"&amp;H116)+COUNTIFS($AZ$2:$AZ$201,AZ116,$AR$2:$AR$201,"Y",$BB$2:$BB$201,1,$H$2:$H$201,H116,$BA$2:$BA$201,"&lt;"&amp;BA116)=0,1,0),0)</f>
        <v>0</v>
      </c>
      <c r="CD116" s="23" t="n">
        <f aca="false">IF(AND(BH116=1,N(Y116)&gt;=Config!$B$15),1,0)</f>
        <v>0</v>
      </c>
      <c r="CE116" s="23" t="n">
        <f aca="false">IF(AND(BB116=1,AT116="Y"),1,0)</f>
        <v>0</v>
      </c>
      <c r="CF116" s="23" t="n">
        <f aca="false">IF(CE116=1,IF(COUNTIFS($AZ$2:$AZ$201,AZ116,$CE$2:$CE$201,1,$H$2:$H$201,"&lt;"&amp;H116)+COUNTIFS($AZ$2:$AZ$201,AZ116,$CE$2:$CE$201,1,$H$2:$H$201,H116,$BA$2:$BA$201,"&lt;"&amp;BA116)=0,1,0),0)</f>
        <v>0</v>
      </c>
      <c r="CG116" s="23" t="n">
        <f aca="false">IF(AND(BB116=1,G116="warm-intro"),1,0)</f>
        <v>0</v>
      </c>
      <c r="CH116" s="23" t="n">
        <f aca="false">IF(CG116=1,IF(COUNTIFS($AZ$2:$AZ$201,AZ116,$CG$2:$CG$201,1,$H$2:$H$201,"&lt;"&amp;H116)+COUNTIFS($AZ$2:$AZ$201,AZ116,$CG$2:$CG$201,1,$H$2:$H$201,H116,$BA$2:$BA$201,"&lt;"&amp;BA116)=0,1,0),0)</f>
        <v>0</v>
      </c>
      <c r="CI116" s="23" t="n">
        <f aca="false">IF(AND(BB116=1,Q116="Y"),1,0)</f>
        <v>0</v>
      </c>
      <c r="CJ116" s="23" t="n">
        <f aca="false">IF(CI116=1,IF(COUNTIFS($AZ$2:$AZ$201,AZ116,$CI$2:$CI$201,1,$H$2:$H$201,"&lt;"&amp;H116)+COUNTIFS($AZ$2:$AZ$201,AZ116,$CI$2:$CI$201,1,$H$2:$H$201,H116,$BA$2:$BA$201,"&lt;"&amp;BA116)=0,1,0),0)</f>
        <v>0</v>
      </c>
      <c r="CK116" s="23" t="n">
        <f aca="false">IF(AND(BB116=1,AF116="Y"),1,0)</f>
        <v>0</v>
      </c>
      <c r="CL116" s="23" t="n">
        <f aca="false">IF(CK116=1,IF(COUNTIFS($AZ$2:$AZ$201,AZ116,$CK$2:$CK$201,1,$H$2:$H$201,"&lt;"&amp;H116)+COUNTIFS($AZ$2:$AZ$201,AZ116,$CK$2:$CK$201,1,$H$2:$H$201,H116,$BA$2:$BA$201,"&lt;"&amp;BA116)=0,1,0),0)</f>
        <v>0</v>
      </c>
      <c r="CM116" s="23" t="n">
        <f aca="false">IF(AND(BB116=1,U116="Y"),1,0)</f>
        <v>0</v>
      </c>
      <c r="CN116" s="23" t="n">
        <f aca="false">IF(CM116=1,IF(COUNTIFS($AZ$2:$AZ$201,AZ116,$CM$2:$CM$201,1,$H$2:$H$201,"&lt;"&amp;H116)+COUNTIFS($AZ$2:$AZ$201,AZ116,$CM$2:$CM$201,1,$H$2:$H$201,H116,$BA$2:$BA$201,"&lt;"&amp;BA116)=0,1,0),0)</f>
        <v>0</v>
      </c>
      <c r="CO116" s="23" t="n">
        <f aca="false">IF(AND(BB116=1,L116="Y"),1,0)</f>
        <v>0</v>
      </c>
      <c r="CP116" s="23" t="n">
        <f aca="false">IF(CO116=1,IF(COUNTIFS($AZ$2:$AZ$201,AZ116,$CO$2:$CO$201,1,$H$2:$H$201,"&lt;"&amp;H116)+COUNTIFS($AZ$2:$AZ$201,AZ116,$CO$2:$CO$201,1,$H$2:$H$201,H116,$BA$2:$BA$201,"&lt;"&amp;BA116)=0,1,0),0)</f>
        <v>0</v>
      </c>
      <c r="CQ116" s="23" t="n">
        <f aca="false">IF(AND(BB116=1,ISNUMBER(O116)),1,0)</f>
        <v>0</v>
      </c>
      <c r="CR116" s="23" t="n">
        <f aca="false">IF(CQ116=1,IF(COUNTIFS($AZ$2:$AZ$201,AZ116,$CQ$2:$CQ$201,1,$H$2:$H$201,"&lt;"&amp;H116)+COUNTIFS($AZ$2:$AZ$201,AZ116,$CQ$2:$CQ$201,1,$H$2:$H$201,H116,$BA$2:$BA$201,"&lt;"&amp;BA116)=0,1,0),0)</f>
        <v>0</v>
      </c>
      <c r="CS116" s="23" t="str">
        <f aca="false">IF(AND(CR116=1,INT(N(H116))&lt;=Config!$B$5),O116,"")</f>
        <v/>
      </c>
      <c r="CT116" s="23" t="str">
        <f aca="false">IF(AND(BB116=1,INT(N(H116))&lt;=Config!$B$5),AG116&amp;"","")</f>
        <v/>
      </c>
      <c r="CU116" s="23" t="n">
        <f aca="false">IF(AND(BB116=1,AU116="Y"),1,0)</f>
        <v>0</v>
      </c>
      <c r="CV116" s="23" t="n">
        <f aca="false">IF(CU116=1,IF(COUNTIFS($AZ$2:$AZ$201,AZ116,$CU$2:$CU$201,1,$H$2:$H$201,"&lt;"&amp;H116)+COUNTIFS($AZ$2:$AZ$201,AZ116,$CU$2:$CU$201,1,$H$2:$H$201,H116,$BA$2:$BA$201,"&lt;"&amp;BA116)=0,1,0),0)</f>
        <v>0</v>
      </c>
      <c r="CW116" s="23" t="str">
        <f aca="false">IF(BB116=1,IFERROR(MATCH($A116,INDEX(Clay_Offices!$A$2:$FZ$601,0,Sync!$C$5),0),""),"")</f>
        <v/>
      </c>
      <c r="CX116" s="23" t="str">
        <f aca="false">IF(CW116="","",IFERROR(INDEX(Clay_Offices!$A$2:$FZ$601,CW116,Sync!$C$7)&amp;"",""))</f>
        <v/>
      </c>
      <c r="CY116" s="23" t="str">
        <f aca="false">IF(CX116="","",IFERROR(INDEX(Lists!$K$2:$K$15,MATCH(CX116,Lists!$J$2:$J$15,0)),""))</f>
        <v/>
      </c>
      <c r="CZ116" s="23" t="str">
        <f aca="false">IF(CW116="","",IFERROR(INDEX(Clay_Offices!$A$2:$FZ$601,CW116,Sync!$C$17)&amp;"",""))</f>
        <v/>
      </c>
      <c r="DA116" s="35" t="str">
        <f aca="false">IF(CW116="","",IFERROR(N(INDEX(Clay_Offices!$A$2:$FZ$601,CW116,Sync!$C$16)),0))</f>
        <v/>
      </c>
      <c r="DB116" s="23" t="n">
        <f aca="false">IF(AND(BB116=1,OR(AR116="Y",AR116="N",AR116="maybe")),1,0)</f>
        <v>0</v>
      </c>
      <c r="DC116" s="23" t="n">
        <f aca="false">IF(AND(DB116=1),IF(COUNTIFS($A$2:$A$201,$A116,$DB$2:$DB$201,1,$H$2:$H$201,"&gt;"&amp;H116)+COUNTIFS($A$2:$A$201,$A116,$DB$2:$DB$201,1,$H$2:$H$201,H116,$BA$2:$BA$201,"&gt;"&amp;BA116)=0,1,0),0)</f>
        <v>0</v>
      </c>
      <c r="DD116" s="23" t="n">
        <f aca="false">IF(AND(DB116=1,INT(N(H116))&lt;=Config!$B$6),IF(COUNTIFS($AZ$2:$AZ$201,AZ116,$DB$2:$DB$201,1,$H$2:$H$201,"&gt;"&amp;H116,$H$2:$H$201,"&lt;"&amp;(Config!$B$6+1))+COUNTIFS($AZ$2:$AZ$201,AZ116,$DB$2:$DB$201,1,$H$2:$H$201,H116,$BA$2:$BA$201,"&gt;"&amp;BA116)=0,1,0),0)</f>
        <v>0</v>
      </c>
      <c r="DE116" s="23" t="n">
        <f aca="false">IF(AND(DB116=1,INT(N(H116))&lt;=Config!$B$7),IF(COUNTIFS($AZ$2:$AZ$201,AZ116,$DB$2:$DB$201,1,$H$2:$H$201,"&gt;"&amp;H116,$H$2:$H$201,"&lt;"&amp;(Config!$B$7+1))+COUNTIFS($AZ$2:$AZ$201,AZ116,$DB$2:$DB$201,1,$H$2:$H$201,H116,$BA$2:$BA$201,"&gt;"&amp;BA116)=0,1,0),0)</f>
        <v>0</v>
      </c>
      <c r="DF116" s="23" t="n">
        <f aca="false">IF(AND(DB116=1,INT(N(H116))&lt;=Config!$B$8),IF(COUNTIFS($AZ$2:$AZ$201,AZ116,$DB$2:$DB$201,1,$H$2:$H$201,"&gt;"&amp;H116,$H$2:$H$201,"&lt;"&amp;(Config!$B$8+1))+COUNTIFS($AZ$2:$AZ$201,AZ116,$DB$2:$DB$201,1,$H$2:$H$201,H116,$BA$2:$BA$201,"&gt;"&amp;BA116)=0,1,0),0)</f>
        <v>0</v>
      </c>
      <c r="DG116" s="23" t="n">
        <f aca="false">IF(AND(DB116=1,INT(N(H116))&lt;=Config!$B$5),IF(COUNTIFS($AZ$2:$AZ$201,AZ116,$DB$2:$DB$201,1,$H$2:$H$201,"&gt;"&amp;H116,$H$2:$H$201,"&lt;"&amp;(Config!$B$5+1))+COUNTIFS($AZ$2:$AZ$201,AZ116,$DB$2:$DB$201,1,$H$2:$H$201,H116,$BA$2:$BA$201,"&gt;"&amp;BA116)=0,1,0),0)</f>
        <v>0</v>
      </c>
      <c r="DH116" s="23" t="n">
        <f aca="false">IF(BB116=1,IF(COUNTIFS($AZ$2:$AZ$201,AZ116,$DD$2:$DD$201,1,$AR$2:$AR$201,"Y")&gt;0,1,0),0)</f>
        <v>0</v>
      </c>
      <c r="DI116" s="23" t="n">
        <f aca="false">IF(BB116=1,IF(COUNTIFS($AZ$2:$AZ$201,AZ116,$DE$2:$DE$201,1,$AR$2:$AR$201,"Y")&gt;0,1,0),0)</f>
        <v>0</v>
      </c>
      <c r="DJ116" s="23" t="n">
        <f aca="false">IF(BB116=1,IF(COUNTIFS($AZ$2:$AZ$201,AZ116,$DF$2:$DF$201,1,$AR$2:$AR$201,"Y")&gt;0,1,0),0)</f>
        <v>0</v>
      </c>
      <c r="DK116" s="23" t="n">
        <f aca="false">IF(BB116=1,IF(COUNTIFS($AZ$2:$AZ$201,AZ116,$DG$2:$DG$201,1,$AR$2:$AR$201,"Y")&gt;0,1,0),0)</f>
        <v>0</v>
      </c>
      <c r="DL116" s="23" t="n">
        <f aca="false">IF(AND(BF116=1,INT(N(H116))&lt;=Config!$B$6,DH116=1,EI116=0),1,0)</f>
        <v>0</v>
      </c>
      <c r="DM116" s="23" t="n">
        <f aca="false">IF(AND(BF116=1,INT(N(H116))&lt;=Config!$B$7,DI116=1,EI116=0),1,0)</f>
        <v>0</v>
      </c>
      <c r="DN116" s="23" t="n">
        <f aca="false">IF(AND(BF116=1,INT(N(H116))&lt;=Config!$B$8,DJ116=1,EI116=0),1,0)</f>
        <v>0</v>
      </c>
      <c r="DO116" s="23" t="n">
        <f aca="false">IF(AND(BF116=1,INT(N(H116))&lt;=Config!$B$5,DK116=1,EI116=0),1,0)</f>
        <v>0</v>
      </c>
      <c r="DP116" s="23" t="n">
        <f aca="false">IF(AND(CC116=1,INT(N(H116))&lt;=Config!$B$6,DH116=1,EI116=0),1,0)</f>
        <v>0</v>
      </c>
      <c r="DQ116" s="23" t="n">
        <f aca="false">IF(AND(CC116=1,INT(N(H116))&lt;=Config!$B$7,DI116=1,EI116=0),1,0)</f>
        <v>0</v>
      </c>
      <c r="DR116" s="23" t="n">
        <f aca="false">IF(AND(CC116=1,INT(N(H116))&lt;=Config!$B$8,DJ116=1,EI116=0),1,0)</f>
        <v>0</v>
      </c>
      <c r="DS116" s="23" t="n">
        <f aca="false">IF(AND(CC116=1,INT(N(H116))&lt;=Config!$B$5,DK116=1,EI116=0),1,0)</f>
        <v>0</v>
      </c>
      <c r="DT116" s="23" t="n">
        <f aca="false">IF(AND(CC116=1,INT(N(H116))&lt;=Config!$B$6,DH116=0),1,0)</f>
        <v>0</v>
      </c>
      <c r="DU116" s="23" t="n">
        <f aca="false">IF(AND(CC116=1,INT(N(H116))&lt;=Config!$B$7,DI116=0),1,0)</f>
        <v>0</v>
      </c>
      <c r="DV116" s="23" t="n">
        <f aca="false">IF(AND(CC116=1,INT(N(H116))&lt;=Config!$B$8,DJ116=0),1,0)</f>
        <v>0</v>
      </c>
      <c r="DW116" s="23" t="n">
        <f aca="false">IF(AND(CC116=1,INT(N(H116))&lt;=Config!$B$5,DK116=0),1,0)</f>
        <v>0</v>
      </c>
      <c r="DX116" s="23" t="n">
        <f aca="false">IF(TRIM($A116)="",0,ISTEXT(M116)+ISTEXT(O116)+ISTEXT(Y116)+ISTEXT(Z116)+ISTEXT(AA116)+ISTEXT(AV116))</f>
        <v>0</v>
      </c>
      <c r="DY116" s="23" t="n">
        <f aca="false">IF(BB116=1,IF(H116&lt;&gt;INT(H116),1,0),0)</f>
        <v>0</v>
      </c>
      <c r="DZ116" s="23" t="str">
        <f aca="false">IF(TRIM($A116)="","",IF(TRIM(B116)="",SUBSTITUTE(SUBSTITUTE(SUBSTITUTE(SUBSTITUTE(SUBSTITUTE(SUBSTITUTE(LOWER(TRIM($A116)),"~",""),"*",""),"?",""),"&lt;",""),"&gt;",""),"=",""),SUBSTITUTE(SUBSTITUTE(SUBSTITUTE(SUBSTITUTE(SUBSTITUTE(SUBSTITUTE(LOWER(TRIM(B116)),"~",""),"*",""),"?",""),"&lt;",""),"&gt;",""),"=","")))</f>
        <v/>
      </c>
      <c r="EA116" s="23" t="str">
        <f aca="false">IF(CW116="","",IFERROR(IF(LEFT(LOWER(TRIM(INDEX(Clay_Offices!$A$2:$FZ$601,CW116,Sync!$C$19)&amp;"")),4)="grp-",SUBSTITUTE(SUBSTITUTE(SUBSTITUTE(SUBSTITUTE(SUBSTITUTE(SUBSTITUTE(LOWER(TRIM(INDEX(Clay_Offices!$A$2:$FZ$601,CW116,Sync!$C$19)&amp;"")),"~",""),"*",""),"?",""),"&lt;",""),"&gt;",""),"=",""),""),""))</f>
        <v/>
      </c>
      <c r="EB116" s="23" t="str">
        <f aca="false">IF(EA116&lt;&gt;"",DZ116,"")</f>
        <v/>
      </c>
      <c r="EC116" s="23" t="str">
        <f aca="false">IF(BC116=1,AZ116,"")</f>
        <v/>
      </c>
      <c r="ED116" s="23" t="str">
        <f aca="false">IF(TRIM($A116)="","",IFERROR(INDEX($A$2:$A$201,MATCH(AZ116,$EC$2:$EC$201,0))&amp;"",$A116&amp;""))</f>
        <v/>
      </c>
      <c r="EE116" s="23" t="n">
        <f aca="false">IF(BB116=1,IF(COUNTIFS($A$2:$A$201,$A116,$BB$2:$BB$201,1,$H$2:$H$201,"&lt;"&amp;H116)+COUNTIFS($A$2:$A$201,$A116,$BB$2:$BB$201,1,$H$2:$H$201,H116,$BA$2:$BA$201,"&lt;"&amp;BA116)=0,1,0),0)</f>
        <v>0</v>
      </c>
      <c r="EF116" s="23" t="n">
        <f aca="false">IF(BC116=1,IF(COUNTIFS($AZ$2:$AZ$201,AZ116,$EE$2:$EE$201,1)&gt;1,1,0),0)</f>
        <v>0</v>
      </c>
      <c r="EG116" s="23" t="n">
        <f aca="false">IF(AND(CQ116=1),IF(COUNTIFS($AZ$2:$AZ$201,AZ116,$CQ$2:$CQ$201,1,$H$2:$H$201,"&gt;"&amp;H116)+COUNTIFS($AZ$2:$AZ$201,AZ116,$CQ$2:$CQ$201,1,$H$2:$H$201,H116,$BA$2:$BA$201,"&gt;"&amp;BA116)=0,1,0),0)</f>
        <v>0</v>
      </c>
      <c r="EH116" s="23" t="str">
        <f aca="false">IF(BB116=1,IF(COUNTIFS($AZ$2:$AZ$201,AZ116,$EG$2:$EG$201,1)=0,"",SUMIFS($O$2:$O$201,$AZ$2:$AZ$201,AZ116,$EG$2:$EG$201,1)),"")</f>
        <v/>
      </c>
      <c r="EI116" s="23" t="n">
        <f aca="false">IF(AND(ISNUMBER(EH116),OR(N(EH116)&lt;Config!$B$31,N(EH116)&gt;Config!$B$33)),1,0)</f>
        <v>0</v>
      </c>
      <c r="EJ116" s="23" t="n">
        <f aca="false">IF(AND(ISNUMBER(EH116),N(EH116)&gt;=Config!$B$31,N(EH116)&lt;Config!$B$32),1,0)</f>
        <v>0</v>
      </c>
      <c r="EK116" s="23" t="n">
        <f aca="false">IF(AND(BF116=1,INT(N(H116))&lt;=Config!$B$6,DH116=1,EI116=1),1,0)</f>
        <v>0</v>
      </c>
      <c r="EL116" s="23" t="n">
        <f aca="false">IF(AND(BF116=1,INT(N(H116))&lt;=Config!$B$7,DI116=1,EI116=1),1,0)</f>
        <v>0</v>
      </c>
      <c r="EM116" s="23" t="n">
        <f aca="false">IF(AND(BF116=1,INT(N(H116))&lt;=Config!$B$8,DJ116=1,EI116=1),1,0)</f>
        <v>0</v>
      </c>
      <c r="EN116" s="23" t="n">
        <f aca="false">IF(AND(BF116=1,INT(N(H116))&lt;=Config!$B$5,DK116=1,EI116=1),1,0)</f>
        <v>0</v>
      </c>
      <c r="EO116" s="23" t="n">
        <f aca="false">IF(AND(DL116=1,EJ116=1),1,0)</f>
        <v>0</v>
      </c>
      <c r="EP116" s="23" t="n">
        <f aca="false">IF(AND(DM116=1,EJ116=1),1,0)</f>
        <v>0</v>
      </c>
      <c r="EQ116" s="23" t="n">
        <f aca="false">IF(AND(DN116=1,EJ116=1),1,0)</f>
        <v>0</v>
      </c>
      <c r="ER116" s="23" t="n">
        <f aca="false">IF(AND(DO116=1,EJ116=1),1,0)</f>
        <v>0</v>
      </c>
    </row>
    <row r="117" customFormat="false" ht="15" hidden="false" customHeight="false" outlineLevel="0" collapsed="false">
      <c r="G117" s="32"/>
      <c r="H117" s="33"/>
      <c r="I117" s="32"/>
      <c r="L117" s="32"/>
      <c r="Q117" s="32"/>
      <c r="U117" s="32"/>
      <c r="W117" s="32"/>
      <c r="AC117" s="32"/>
      <c r="AF117" s="32"/>
      <c r="AI117" s="32"/>
      <c r="AJ117" s="32"/>
      <c r="AN117" s="32"/>
      <c r="AR117" s="32"/>
      <c r="AT117" s="32"/>
      <c r="AU117" s="32"/>
      <c r="AW117" s="32"/>
      <c r="AY117" s="34" t="str">
        <f aca="false">IF(TRIM($A117)="","",IF(AND(LEFT($A117,6)="SAMPLE",Config!$B$19&lt;&gt;"Y"),"",IF(NOT(ISNUMBER(H117)),"call_date is blank or not a date",IF(Sync!$C$5="","Clay paste is empty or has no row_id column: paste the Clay export on Clay_Offices",IF(CW117="","row_id not found in the Clay paste: add the Clay row or fix the row_id",IF(AND(ISNUMBER(CY117),CY117&gt;=1,CY117&lt;=5),"Clay status is "&amp;CX117&amp;": set call_done or later",IF(AND(BD117=1,CZ117&lt;&gt;BZ117),"Clay yes_in_principle should be "&amp;BZ117,IF(AND(BD117=1,DA117&lt;&gt;H117),"Clay call_date should be "&amp;TEXT(H117,"yyyy-mm-dd"),""))))))))</f>
        <v/>
      </c>
      <c r="AZ117" s="23" t="str">
        <f aca="false">IF(TRIM($A117)="","",IF(TRIM(C117)&lt;&gt;"",SUBSTITUTE(SUBSTITUTE(SUBSTITUTE(SUBSTITUTE(SUBSTITUTE(SUBSTITUTE(LOWER(TRIM(C117)),"~",""),"*",""),"?",""),"&lt;",""),"&gt;",""),"=",""),IF(EA117&lt;&gt;"",EA117,IFERROR(INDEX($EA$2:$EA$201,MATCH(DZ117,$EB$2:$EB$201,0)),DZ117))))</f>
        <v/>
      </c>
      <c r="BA117" s="23" t="n">
        <f aca="false">ROW()</f>
        <v>117</v>
      </c>
      <c r="BB117" s="23" t="n">
        <f aca="false">IF(AND(TRIM($A117)&lt;&gt;"",ISNUMBER(H117)),IF(AND(LEFT($A117,6)="SAMPLE",Config!$B$19&lt;&gt;"Y"),0,1),0)</f>
        <v>0</v>
      </c>
      <c r="BC117" s="23" t="n">
        <f aca="false">IF(BB117=1,IF(COUNTIFS($AZ$2:$AZ$201,AZ117,$BB$2:$BB$201,1,$H$2:$H$201,"&lt;"&amp;H117)+COUNTIFS($AZ$2:$AZ$201,AZ117,$BB$2:$BB$201,1,$H$2:$H$201,H117,$BA$2:$BA$201,"&lt;"&amp;BA117)=0,1,0),0)</f>
        <v>0</v>
      </c>
      <c r="BD117" s="23" t="n">
        <f aca="false">IF(BB117=1,IF(COUNTIFS($A$2:$A$201,$A117,$BB$2:$BB$201,1,$H$2:$H$201,"&gt;"&amp;H117)+COUNTIFS($A$2:$A$201,$A117,$BB$2:$BB$201,1,$H$2:$H$201,H117,$BA$2:$BA$201,"&gt;"&amp;BA117)=0,1,0),0)</f>
        <v>0</v>
      </c>
      <c r="BE117" s="23" t="n">
        <f aca="false">IF(AND(BB117=1,AR117="Y",AC117="Y",TRIM(AH117)&lt;&gt;""),1,0)</f>
        <v>0</v>
      </c>
      <c r="BF117" s="23" t="n">
        <f aca="false">IF(BE117=1,IF(COUNTIFS($AZ$2:$AZ$201,AZ117,$BE$2:$BE$201,1,$H$2:$H$201,"&lt;"&amp;H117)+COUNTIFS($AZ$2:$AZ$201,AZ117,$BE$2:$BE$201,1,$H$2:$H$201,H117,$BA$2:$BA$201,"&lt;"&amp;BA117)=0,1,0),0)</f>
        <v>0</v>
      </c>
      <c r="BG117" s="23" t="n">
        <f aca="false">IF(AND(BB117=1,AR117="Y",BE117=0),1,0)</f>
        <v>0</v>
      </c>
      <c r="BH117" s="23" t="n">
        <f aca="false">IF(AND(BB117=1,ISNUMBER(Y117)),1,0)</f>
        <v>0</v>
      </c>
      <c r="BI117" s="23" t="n">
        <f aca="false">IF(BH117=1,IF(COUNTIFS($AZ$2:$AZ$201,AZ117,$BH$2:$BH$201,1,$H$2:$H$201,"&lt;"&amp;H117)+COUNTIFS($AZ$2:$AZ$201,AZ117,$BH$2:$BH$201,1,$H$2:$H$201,H117,$BA$2:$BA$201,"&lt;"&amp;BA117)=0,1,0),0)</f>
        <v>0</v>
      </c>
      <c r="BJ117" s="23" t="str">
        <f aca="false">IF(AND(BI117=1,INT(N(H117))&lt;=Config!$B$6),Y117,"")</f>
        <v/>
      </c>
      <c r="BK117" s="23" t="str">
        <f aca="false">IF(AND(BI117=1,INT(N(H117))&lt;=Config!$B$7),Y117,"")</f>
        <v/>
      </c>
      <c r="BL117" s="23" t="str">
        <f aca="false">IF(AND(BI117=1,INT(N(H117))&lt;=Config!$B$8),Y117,"")</f>
        <v/>
      </c>
      <c r="BM117" s="23" t="str">
        <f aca="false">IF(AND(BI117=1,INT(N(H117))&lt;=Config!$B$5),Y117,"")</f>
        <v/>
      </c>
      <c r="BN117" s="23" t="n">
        <f aca="false">IF(CD117=1,IF(COUNTIFS($AZ$2:$AZ$201,AZ117,$CD$2:$CD$201,1,$H$2:$H$201,"&lt;"&amp;H117)+COUNTIFS($AZ$2:$AZ$201,AZ117,$CD$2:$CD$201,1,$H$2:$H$201,H117,$BA$2:$BA$201,"&lt;"&amp;BA117)=0,1,0),0)</f>
        <v>0</v>
      </c>
      <c r="BO117" s="23" t="n">
        <f aca="false">IF(AND(BB117=1,ISNUMBER(M117)),1,0)</f>
        <v>0</v>
      </c>
      <c r="BP117" s="23" t="n">
        <f aca="false">IF(BO117=1,IF(COUNTIFS($AZ$2:$AZ$201,AZ117,$BO$2:$BO$201,1,$H$2:$H$201,"&lt;"&amp;H117)+COUNTIFS($AZ$2:$AZ$201,AZ117,$BO$2:$BO$201,1,$H$2:$H$201,H117,$BA$2:$BA$201,"&lt;"&amp;BA117)=0,1,0),0)</f>
        <v>0</v>
      </c>
      <c r="BQ117" s="23" t="str">
        <f aca="false">IF(AND(BP117=1,INT(N(H117))&lt;=Config!$B$5),M117,"")</f>
        <v/>
      </c>
      <c r="BR117" s="23" t="n">
        <f aca="false">IF(AND(BB117=1,OR(TRIM(X117)&lt;&gt;"",ISNUMBER(Y117))),1,0)</f>
        <v>0</v>
      </c>
      <c r="BS117" s="23" t="n">
        <f aca="false">IF(BR117=1,IF(COUNTIFS($AZ$2:$AZ$201,AZ117,$BR$2:$BR$201,1,$H$2:$H$201,"&lt;"&amp;H117)+COUNTIFS($AZ$2:$AZ$201,AZ117,$BR$2:$BR$201,1,$H$2:$H$201,H117,$BA$2:$BA$201,"&lt;"&amp;BA117)=0,1,0),0)</f>
        <v>0</v>
      </c>
      <c r="BT117" s="23" t="str">
        <f aca="false">IF(BS117=1,AZ117,"")</f>
        <v/>
      </c>
      <c r="BU117" s="23" t="n">
        <f aca="false">IF(AND(BB117=1,W117="Y",TRIM(X117)=""),1,0)</f>
        <v>0</v>
      </c>
      <c r="BV117" s="23" t="str">
        <f aca="false">IF(BB117=1,AN117&amp;"","")</f>
        <v/>
      </c>
      <c r="BW117" s="23" t="str">
        <f aca="false">IF(BB117=1,AO117&amp;"","")</f>
        <v/>
      </c>
      <c r="BX117" s="23" t="str">
        <f aca="false">IF(BB117=1,AP117&amp;"","")</f>
        <v/>
      </c>
      <c r="BY117" s="23" t="str">
        <f aca="false">IF(AND(BB117=1,ISNUMBER(AV117),INT(N(H117))&lt;=Config!$B$5),AV117,"")</f>
        <v/>
      </c>
      <c r="BZ117" s="23" t="str">
        <f aca="false">IF(BB117=1,IF(COUNTIFS($A$2:$A$201,$A117,$DC$2:$DC$201,1,$AR$2:$AR$201,"Y")&gt;0,"Y","N"),"")</f>
        <v/>
      </c>
      <c r="CA117" s="23" t="n">
        <f aca="false">IF(AND(BB117=1,AR117="maybe"),1,0)</f>
        <v>0</v>
      </c>
      <c r="CB117" s="23" t="n">
        <f aca="false">IF(CA117=1,IF(COUNTIFS($AZ$2:$AZ$201,AZ117,$CA$2:$CA$201,1,$H$2:$H$201,"&lt;"&amp;H117)+COUNTIFS($AZ$2:$AZ$201,AZ117,$CA$2:$CA$201,1,$H$2:$H$201,H117,$BA$2:$BA$201,"&lt;"&amp;BA117)=0,1,0),0)</f>
        <v>0</v>
      </c>
      <c r="CC117" s="23" t="n">
        <f aca="false">IF(AND(BB117=1,AR117="Y"),IF(COUNTIFS($AZ$2:$AZ$201,AZ117,$AR$2:$AR$201,"Y",$BB$2:$BB$201,1,$H$2:$H$201,"&lt;"&amp;H117)+COUNTIFS($AZ$2:$AZ$201,AZ117,$AR$2:$AR$201,"Y",$BB$2:$BB$201,1,$H$2:$H$201,H117,$BA$2:$BA$201,"&lt;"&amp;BA117)=0,1,0),0)</f>
        <v>0</v>
      </c>
      <c r="CD117" s="23" t="n">
        <f aca="false">IF(AND(BH117=1,N(Y117)&gt;=Config!$B$15),1,0)</f>
        <v>0</v>
      </c>
      <c r="CE117" s="23" t="n">
        <f aca="false">IF(AND(BB117=1,AT117="Y"),1,0)</f>
        <v>0</v>
      </c>
      <c r="CF117" s="23" t="n">
        <f aca="false">IF(CE117=1,IF(COUNTIFS($AZ$2:$AZ$201,AZ117,$CE$2:$CE$201,1,$H$2:$H$201,"&lt;"&amp;H117)+COUNTIFS($AZ$2:$AZ$201,AZ117,$CE$2:$CE$201,1,$H$2:$H$201,H117,$BA$2:$BA$201,"&lt;"&amp;BA117)=0,1,0),0)</f>
        <v>0</v>
      </c>
      <c r="CG117" s="23" t="n">
        <f aca="false">IF(AND(BB117=1,G117="warm-intro"),1,0)</f>
        <v>0</v>
      </c>
      <c r="CH117" s="23" t="n">
        <f aca="false">IF(CG117=1,IF(COUNTIFS($AZ$2:$AZ$201,AZ117,$CG$2:$CG$201,1,$H$2:$H$201,"&lt;"&amp;H117)+COUNTIFS($AZ$2:$AZ$201,AZ117,$CG$2:$CG$201,1,$H$2:$H$201,H117,$BA$2:$BA$201,"&lt;"&amp;BA117)=0,1,0),0)</f>
        <v>0</v>
      </c>
      <c r="CI117" s="23" t="n">
        <f aca="false">IF(AND(BB117=1,Q117="Y"),1,0)</f>
        <v>0</v>
      </c>
      <c r="CJ117" s="23" t="n">
        <f aca="false">IF(CI117=1,IF(COUNTIFS($AZ$2:$AZ$201,AZ117,$CI$2:$CI$201,1,$H$2:$H$201,"&lt;"&amp;H117)+COUNTIFS($AZ$2:$AZ$201,AZ117,$CI$2:$CI$201,1,$H$2:$H$201,H117,$BA$2:$BA$201,"&lt;"&amp;BA117)=0,1,0),0)</f>
        <v>0</v>
      </c>
      <c r="CK117" s="23" t="n">
        <f aca="false">IF(AND(BB117=1,AF117="Y"),1,0)</f>
        <v>0</v>
      </c>
      <c r="CL117" s="23" t="n">
        <f aca="false">IF(CK117=1,IF(COUNTIFS($AZ$2:$AZ$201,AZ117,$CK$2:$CK$201,1,$H$2:$H$201,"&lt;"&amp;H117)+COUNTIFS($AZ$2:$AZ$201,AZ117,$CK$2:$CK$201,1,$H$2:$H$201,H117,$BA$2:$BA$201,"&lt;"&amp;BA117)=0,1,0),0)</f>
        <v>0</v>
      </c>
      <c r="CM117" s="23" t="n">
        <f aca="false">IF(AND(BB117=1,U117="Y"),1,0)</f>
        <v>0</v>
      </c>
      <c r="CN117" s="23" t="n">
        <f aca="false">IF(CM117=1,IF(COUNTIFS($AZ$2:$AZ$201,AZ117,$CM$2:$CM$201,1,$H$2:$H$201,"&lt;"&amp;H117)+COUNTIFS($AZ$2:$AZ$201,AZ117,$CM$2:$CM$201,1,$H$2:$H$201,H117,$BA$2:$BA$201,"&lt;"&amp;BA117)=0,1,0),0)</f>
        <v>0</v>
      </c>
      <c r="CO117" s="23" t="n">
        <f aca="false">IF(AND(BB117=1,L117="Y"),1,0)</f>
        <v>0</v>
      </c>
      <c r="CP117" s="23" t="n">
        <f aca="false">IF(CO117=1,IF(COUNTIFS($AZ$2:$AZ$201,AZ117,$CO$2:$CO$201,1,$H$2:$H$201,"&lt;"&amp;H117)+COUNTIFS($AZ$2:$AZ$201,AZ117,$CO$2:$CO$201,1,$H$2:$H$201,H117,$BA$2:$BA$201,"&lt;"&amp;BA117)=0,1,0),0)</f>
        <v>0</v>
      </c>
      <c r="CQ117" s="23" t="n">
        <f aca="false">IF(AND(BB117=1,ISNUMBER(O117)),1,0)</f>
        <v>0</v>
      </c>
      <c r="CR117" s="23" t="n">
        <f aca="false">IF(CQ117=1,IF(COUNTIFS($AZ$2:$AZ$201,AZ117,$CQ$2:$CQ$201,1,$H$2:$H$201,"&lt;"&amp;H117)+COUNTIFS($AZ$2:$AZ$201,AZ117,$CQ$2:$CQ$201,1,$H$2:$H$201,H117,$BA$2:$BA$201,"&lt;"&amp;BA117)=0,1,0),0)</f>
        <v>0</v>
      </c>
      <c r="CS117" s="23" t="str">
        <f aca="false">IF(AND(CR117=1,INT(N(H117))&lt;=Config!$B$5),O117,"")</f>
        <v/>
      </c>
      <c r="CT117" s="23" t="str">
        <f aca="false">IF(AND(BB117=1,INT(N(H117))&lt;=Config!$B$5),AG117&amp;"","")</f>
        <v/>
      </c>
      <c r="CU117" s="23" t="n">
        <f aca="false">IF(AND(BB117=1,AU117="Y"),1,0)</f>
        <v>0</v>
      </c>
      <c r="CV117" s="23" t="n">
        <f aca="false">IF(CU117=1,IF(COUNTIFS($AZ$2:$AZ$201,AZ117,$CU$2:$CU$201,1,$H$2:$H$201,"&lt;"&amp;H117)+COUNTIFS($AZ$2:$AZ$201,AZ117,$CU$2:$CU$201,1,$H$2:$H$201,H117,$BA$2:$BA$201,"&lt;"&amp;BA117)=0,1,0),0)</f>
        <v>0</v>
      </c>
      <c r="CW117" s="23" t="str">
        <f aca="false">IF(BB117=1,IFERROR(MATCH($A117,INDEX(Clay_Offices!$A$2:$FZ$601,0,Sync!$C$5),0),""),"")</f>
        <v/>
      </c>
      <c r="CX117" s="23" t="str">
        <f aca="false">IF(CW117="","",IFERROR(INDEX(Clay_Offices!$A$2:$FZ$601,CW117,Sync!$C$7)&amp;"",""))</f>
        <v/>
      </c>
      <c r="CY117" s="23" t="str">
        <f aca="false">IF(CX117="","",IFERROR(INDEX(Lists!$K$2:$K$15,MATCH(CX117,Lists!$J$2:$J$15,0)),""))</f>
        <v/>
      </c>
      <c r="CZ117" s="23" t="str">
        <f aca="false">IF(CW117="","",IFERROR(INDEX(Clay_Offices!$A$2:$FZ$601,CW117,Sync!$C$17)&amp;"",""))</f>
        <v/>
      </c>
      <c r="DA117" s="35" t="str">
        <f aca="false">IF(CW117="","",IFERROR(N(INDEX(Clay_Offices!$A$2:$FZ$601,CW117,Sync!$C$16)),0))</f>
        <v/>
      </c>
      <c r="DB117" s="23" t="n">
        <f aca="false">IF(AND(BB117=1,OR(AR117="Y",AR117="N",AR117="maybe")),1,0)</f>
        <v>0</v>
      </c>
      <c r="DC117" s="23" t="n">
        <f aca="false">IF(AND(DB117=1),IF(COUNTIFS($A$2:$A$201,$A117,$DB$2:$DB$201,1,$H$2:$H$201,"&gt;"&amp;H117)+COUNTIFS($A$2:$A$201,$A117,$DB$2:$DB$201,1,$H$2:$H$201,H117,$BA$2:$BA$201,"&gt;"&amp;BA117)=0,1,0),0)</f>
        <v>0</v>
      </c>
      <c r="DD117" s="23" t="n">
        <f aca="false">IF(AND(DB117=1,INT(N(H117))&lt;=Config!$B$6),IF(COUNTIFS($AZ$2:$AZ$201,AZ117,$DB$2:$DB$201,1,$H$2:$H$201,"&gt;"&amp;H117,$H$2:$H$201,"&lt;"&amp;(Config!$B$6+1))+COUNTIFS($AZ$2:$AZ$201,AZ117,$DB$2:$DB$201,1,$H$2:$H$201,H117,$BA$2:$BA$201,"&gt;"&amp;BA117)=0,1,0),0)</f>
        <v>0</v>
      </c>
      <c r="DE117" s="23" t="n">
        <f aca="false">IF(AND(DB117=1,INT(N(H117))&lt;=Config!$B$7),IF(COUNTIFS($AZ$2:$AZ$201,AZ117,$DB$2:$DB$201,1,$H$2:$H$201,"&gt;"&amp;H117,$H$2:$H$201,"&lt;"&amp;(Config!$B$7+1))+COUNTIFS($AZ$2:$AZ$201,AZ117,$DB$2:$DB$201,1,$H$2:$H$201,H117,$BA$2:$BA$201,"&gt;"&amp;BA117)=0,1,0),0)</f>
        <v>0</v>
      </c>
      <c r="DF117" s="23" t="n">
        <f aca="false">IF(AND(DB117=1,INT(N(H117))&lt;=Config!$B$8),IF(COUNTIFS($AZ$2:$AZ$201,AZ117,$DB$2:$DB$201,1,$H$2:$H$201,"&gt;"&amp;H117,$H$2:$H$201,"&lt;"&amp;(Config!$B$8+1))+COUNTIFS($AZ$2:$AZ$201,AZ117,$DB$2:$DB$201,1,$H$2:$H$201,H117,$BA$2:$BA$201,"&gt;"&amp;BA117)=0,1,0),0)</f>
        <v>0</v>
      </c>
      <c r="DG117" s="23" t="n">
        <f aca="false">IF(AND(DB117=1,INT(N(H117))&lt;=Config!$B$5),IF(COUNTIFS($AZ$2:$AZ$201,AZ117,$DB$2:$DB$201,1,$H$2:$H$201,"&gt;"&amp;H117,$H$2:$H$201,"&lt;"&amp;(Config!$B$5+1))+COUNTIFS($AZ$2:$AZ$201,AZ117,$DB$2:$DB$201,1,$H$2:$H$201,H117,$BA$2:$BA$201,"&gt;"&amp;BA117)=0,1,0),0)</f>
        <v>0</v>
      </c>
      <c r="DH117" s="23" t="n">
        <f aca="false">IF(BB117=1,IF(COUNTIFS($AZ$2:$AZ$201,AZ117,$DD$2:$DD$201,1,$AR$2:$AR$201,"Y")&gt;0,1,0),0)</f>
        <v>0</v>
      </c>
      <c r="DI117" s="23" t="n">
        <f aca="false">IF(BB117=1,IF(COUNTIFS($AZ$2:$AZ$201,AZ117,$DE$2:$DE$201,1,$AR$2:$AR$201,"Y")&gt;0,1,0),0)</f>
        <v>0</v>
      </c>
      <c r="DJ117" s="23" t="n">
        <f aca="false">IF(BB117=1,IF(COUNTIFS($AZ$2:$AZ$201,AZ117,$DF$2:$DF$201,1,$AR$2:$AR$201,"Y")&gt;0,1,0),0)</f>
        <v>0</v>
      </c>
      <c r="DK117" s="23" t="n">
        <f aca="false">IF(BB117=1,IF(COUNTIFS($AZ$2:$AZ$201,AZ117,$DG$2:$DG$201,1,$AR$2:$AR$201,"Y")&gt;0,1,0),0)</f>
        <v>0</v>
      </c>
      <c r="DL117" s="23" t="n">
        <f aca="false">IF(AND(BF117=1,INT(N(H117))&lt;=Config!$B$6,DH117=1,EI117=0),1,0)</f>
        <v>0</v>
      </c>
      <c r="DM117" s="23" t="n">
        <f aca="false">IF(AND(BF117=1,INT(N(H117))&lt;=Config!$B$7,DI117=1,EI117=0),1,0)</f>
        <v>0</v>
      </c>
      <c r="DN117" s="23" t="n">
        <f aca="false">IF(AND(BF117=1,INT(N(H117))&lt;=Config!$B$8,DJ117=1,EI117=0),1,0)</f>
        <v>0</v>
      </c>
      <c r="DO117" s="23" t="n">
        <f aca="false">IF(AND(BF117=1,INT(N(H117))&lt;=Config!$B$5,DK117=1,EI117=0),1,0)</f>
        <v>0</v>
      </c>
      <c r="DP117" s="23" t="n">
        <f aca="false">IF(AND(CC117=1,INT(N(H117))&lt;=Config!$B$6,DH117=1,EI117=0),1,0)</f>
        <v>0</v>
      </c>
      <c r="DQ117" s="23" t="n">
        <f aca="false">IF(AND(CC117=1,INT(N(H117))&lt;=Config!$B$7,DI117=1,EI117=0),1,0)</f>
        <v>0</v>
      </c>
      <c r="DR117" s="23" t="n">
        <f aca="false">IF(AND(CC117=1,INT(N(H117))&lt;=Config!$B$8,DJ117=1,EI117=0),1,0)</f>
        <v>0</v>
      </c>
      <c r="DS117" s="23" t="n">
        <f aca="false">IF(AND(CC117=1,INT(N(H117))&lt;=Config!$B$5,DK117=1,EI117=0),1,0)</f>
        <v>0</v>
      </c>
      <c r="DT117" s="23" t="n">
        <f aca="false">IF(AND(CC117=1,INT(N(H117))&lt;=Config!$B$6,DH117=0),1,0)</f>
        <v>0</v>
      </c>
      <c r="DU117" s="23" t="n">
        <f aca="false">IF(AND(CC117=1,INT(N(H117))&lt;=Config!$B$7,DI117=0),1,0)</f>
        <v>0</v>
      </c>
      <c r="DV117" s="23" t="n">
        <f aca="false">IF(AND(CC117=1,INT(N(H117))&lt;=Config!$B$8,DJ117=0),1,0)</f>
        <v>0</v>
      </c>
      <c r="DW117" s="23" t="n">
        <f aca="false">IF(AND(CC117=1,INT(N(H117))&lt;=Config!$B$5,DK117=0),1,0)</f>
        <v>0</v>
      </c>
      <c r="DX117" s="23" t="n">
        <f aca="false">IF(TRIM($A117)="",0,ISTEXT(M117)+ISTEXT(O117)+ISTEXT(Y117)+ISTEXT(Z117)+ISTEXT(AA117)+ISTEXT(AV117))</f>
        <v>0</v>
      </c>
      <c r="DY117" s="23" t="n">
        <f aca="false">IF(BB117=1,IF(H117&lt;&gt;INT(H117),1,0),0)</f>
        <v>0</v>
      </c>
      <c r="DZ117" s="23" t="str">
        <f aca="false">IF(TRIM($A117)="","",IF(TRIM(B117)="",SUBSTITUTE(SUBSTITUTE(SUBSTITUTE(SUBSTITUTE(SUBSTITUTE(SUBSTITUTE(LOWER(TRIM($A117)),"~",""),"*",""),"?",""),"&lt;",""),"&gt;",""),"=",""),SUBSTITUTE(SUBSTITUTE(SUBSTITUTE(SUBSTITUTE(SUBSTITUTE(SUBSTITUTE(LOWER(TRIM(B117)),"~",""),"*",""),"?",""),"&lt;",""),"&gt;",""),"=","")))</f>
        <v/>
      </c>
      <c r="EA117" s="23" t="str">
        <f aca="false">IF(CW117="","",IFERROR(IF(LEFT(LOWER(TRIM(INDEX(Clay_Offices!$A$2:$FZ$601,CW117,Sync!$C$19)&amp;"")),4)="grp-",SUBSTITUTE(SUBSTITUTE(SUBSTITUTE(SUBSTITUTE(SUBSTITUTE(SUBSTITUTE(LOWER(TRIM(INDEX(Clay_Offices!$A$2:$FZ$601,CW117,Sync!$C$19)&amp;"")),"~",""),"*",""),"?",""),"&lt;",""),"&gt;",""),"=",""),""),""))</f>
        <v/>
      </c>
      <c r="EB117" s="23" t="str">
        <f aca="false">IF(EA117&lt;&gt;"",DZ117,"")</f>
        <v/>
      </c>
      <c r="EC117" s="23" t="str">
        <f aca="false">IF(BC117=1,AZ117,"")</f>
        <v/>
      </c>
      <c r="ED117" s="23" t="str">
        <f aca="false">IF(TRIM($A117)="","",IFERROR(INDEX($A$2:$A$201,MATCH(AZ117,$EC$2:$EC$201,0))&amp;"",$A117&amp;""))</f>
        <v/>
      </c>
      <c r="EE117" s="23" t="n">
        <f aca="false">IF(BB117=1,IF(COUNTIFS($A$2:$A$201,$A117,$BB$2:$BB$201,1,$H$2:$H$201,"&lt;"&amp;H117)+COUNTIFS($A$2:$A$201,$A117,$BB$2:$BB$201,1,$H$2:$H$201,H117,$BA$2:$BA$201,"&lt;"&amp;BA117)=0,1,0),0)</f>
        <v>0</v>
      </c>
      <c r="EF117" s="23" t="n">
        <f aca="false">IF(BC117=1,IF(COUNTIFS($AZ$2:$AZ$201,AZ117,$EE$2:$EE$201,1)&gt;1,1,0),0)</f>
        <v>0</v>
      </c>
      <c r="EG117" s="23" t="n">
        <f aca="false">IF(AND(CQ117=1),IF(COUNTIFS($AZ$2:$AZ$201,AZ117,$CQ$2:$CQ$201,1,$H$2:$H$201,"&gt;"&amp;H117)+COUNTIFS($AZ$2:$AZ$201,AZ117,$CQ$2:$CQ$201,1,$H$2:$H$201,H117,$BA$2:$BA$201,"&gt;"&amp;BA117)=0,1,0),0)</f>
        <v>0</v>
      </c>
      <c r="EH117" s="23" t="str">
        <f aca="false">IF(BB117=1,IF(COUNTIFS($AZ$2:$AZ$201,AZ117,$EG$2:$EG$201,1)=0,"",SUMIFS($O$2:$O$201,$AZ$2:$AZ$201,AZ117,$EG$2:$EG$201,1)),"")</f>
        <v/>
      </c>
      <c r="EI117" s="23" t="n">
        <f aca="false">IF(AND(ISNUMBER(EH117),OR(N(EH117)&lt;Config!$B$31,N(EH117)&gt;Config!$B$33)),1,0)</f>
        <v>0</v>
      </c>
      <c r="EJ117" s="23" t="n">
        <f aca="false">IF(AND(ISNUMBER(EH117),N(EH117)&gt;=Config!$B$31,N(EH117)&lt;Config!$B$32),1,0)</f>
        <v>0</v>
      </c>
      <c r="EK117" s="23" t="n">
        <f aca="false">IF(AND(BF117=1,INT(N(H117))&lt;=Config!$B$6,DH117=1,EI117=1),1,0)</f>
        <v>0</v>
      </c>
      <c r="EL117" s="23" t="n">
        <f aca="false">IF(AND(BF117=1,INT(N(H117))&lt;=Config!$B$7,DI117=1,EI117=1),1,0)</f>
        <v>0</v>
      </c>
      <c r="EM117" s="23" t="n">
        <f aca="false">IF(AND(BF117=1,INT(N(H117))&lt;=Config!$B$8,DJ117=1,EI117=1),1,0)</f>
        <v>0</v>
      </c>
      <c r="EN117" s="23" t="n">
        <f aca="false">IF(AND(BF117=1,INT(N(H117))&lt;=Config!$B$5,DK117=1,EI117=1),1,0)</f>
        <v>0</v>
      </c>
      <c r="EO117" s="23" t="n">
        <f aca="false">IF(AND(DL117=1,EJ117=1),1,0)</f>
        <v>0</v>
      </c>
      <c r="EP117" s="23" t="n">
        <f aca="false">IF(AND(DM117=1,EJ117=1),1,0)</f>
        <v>0</v>
      </c>
      <c r="EQ117" s="23" t="n">
        <f aca="false">IF(AND(DN117=1,EJ117=1),1,0)</f>
        <v>0</v>
      </c>
      <c r="ER117" s="23" t="n">
        <f aca="false">IF(AND(DO117=1,EJ117=1),1,0)</f>
        <v>0</v>
      </c>
    </row>
    <row r="118" customFormat="false" ht="15" hidden="false" customHeight="false" outlineLevel="0" collapsed="false">
      <c r="G118" s="32"/>
      <c r="H118" s="33"/>
      <c r="I118" s="32"/>
      <c r="L118" s="32"/>
      <c r="Q118" s="32"/>
      <c r="U118" s="32"/>
      <c r="W118" s="32"/>
      <c r="AC118" s="32"/>
      <c r="AF118" s="32"/>
      <c r="AI118" s="32"/>
      <c r="AJ118" s="32"/>
      <c r="AN118" s="32"/>
      <c r="AR118" s="32"/>
      <c r="AT118" s="32"/>
      <c r="AU118" s="32"/>
      <c r="AW118" s="32"/>
      <c r="AY118" s="34" t="str">
        <f aca="false">IF(TRIM($A118)="","",IF(AND(LEFT($A118,6)="SAMPLE",Config!$B$19&lt;&gt;"Y"),"",IF(NOT(ISNUMBER(H118)),"call_date is blank or not a date",IF(Sync!$C$5="","Clay paste is empty or has no row_id column: paste the Clay export on Clay_Offices",IF(CW118="","row_id not found in the Clay paste: add the Clay row or fix the row_id",IF(AND(ISNUMBER(CY118),CY118&gt;=1,CY118&lt;=5),"Clay status is "&amp;CX118&amp;": set call_done or later",IF(AND(BD118=1,CZ118&lt;&gt;BZ118),"Clay yes_in_principle should be "&amp;BZ118,IF(AND(BD118=1,DA118&lt;&gt;H118),"Clay call_date should be "&amp;TEXT(H118,"yyyy-mm-dd"),""))))))))</f>
        <v/>
      </c>
      <c r="AZ118" s="23" t="str">
        <f aca="false">IF(TRIM($A118)="","",IF(TRIM(C118)&lt;&gt;"",SUBSTITUTE(SUBSTITUTE(SUBSTITUTE(SUBSTITUTE(SUBSTITUTE(SUBSTITUTE(LOWER(TRIM(C118)),"~",""),"*",""),"?",""),"&lt;",""),"&gt;",""),"=",""),IF(EA118&lt;&gt;"",EA118,IFERROR(INDEX($EA$2:$EA$201,MATCH(DZ118,$EB$2:$EB$201,0)),DZ118))))</f>
        <v/>
      </c>
      <c r="BA118" s="23" t="n">
        <f aca="false">ROW()</f>
        <v>118</v>
      </c>
      <c r="BB118" s="23" t="n">
        <f aca="false">IF(AND(TRIM($A118)&lt;&gt;"",ISNUMBER(H118)),IF(AND(LEFT($A118,6)="SAMPLE",Config!$B$19&lt;&gt;"Y"),0,1),0)</f>
        <v>0</v>
      </c>
      <c r="BC118" s="23" t="n">
        <f aca="false">IF(BB118=1,IF(COUNTIFS($AZ$2:$AZ$201,AZ118,$BB$2:$BB$201,1,$H$2:$H$201,"&lt;"&amp;H118)+COUNTIFS($AZ$2:$AZ$201,AZ118,$BB$2:$BB$201,1,$H$2:$H$201,H118,$BA$2:$BA$201,"&lt;"&amp;BA118)=0,1,0),0)</f>
        <v>0</v>
      </c>
      <c r="BD118" s="23" t="n">
        <f aca="false">IF(BB118=1,IF(COUNTIFS($A$2:$A$201,$A118,$BB$2:$BB$201,1,$H$2:$H$201,"&gt;"&amp;H118)+COUNTIFS($A$2:$A$201,$A118,$BB$2:$BB$201,1,$H$2:$H$201,H118,$BA$2:$BA$201,"&gt;"&amp;BA118)=0,1,0),0)</f>
        <v>0</v>
      </c>
      <c r="BE118" s="23" t="n">
        <f aca="false">IF(AND(BB118=1,AR118="Y",AC118="Y",TRIM(AH118)&lt;&gt;""),1,0)</f>
        <v>0</v>
      </c>
      <c r="BF118" s="23" t="n">
        <f aca="false">IF(BE118=1,IF(COUNTIFS($AZ$2:$AZ$201,AZ118,$BE$2:$BE$201,1,$H$2:$H$201,"&lt;"&amp;H118)+COUNTIFS($AZ$2:$AZ$201,AZ118,$BE$2:$BE$201,1,$H$2:$H$201,H118,$BA$2:$BA$201,"&lt;"&amp;BA118)=0,1,0),0)</f>
        <v>0</v>
      </c>
      <c r="BG118" s="23" t="n">
        <f aca="false">IF(AND(BB118=1,AR118="Y",BE118=0),1,0)</f>
        <v>0</v>
      </c>
      <c r="BH118" s="23" t="n">
        <f aca="false">IF(AND(BB118=1,ISNUMBER(Y118)),1,0)</f>
        <v>0</v>
      </c>
      <c r="BI118" s="23" t="n">
        <f aca="false">IF(BH118=1,IF(COUNTIFS($AZ$2:$AZ$201,AZ118,$BH$2:$BH$201,1,$H$2:$H$201,"&lt;"&amp;H118)+COUNTIFS($AZ$2:$AZ$201,AZ118,$BH$2:$BH$201,1,$H$2:$H$201,H118,$BA$2:$BA$201,"&lt;"&amp;BA118)=0,1,0),0)</f>
        <v>0</v>
      </c>
      <c r="BJ118" s="23" t="str">
        <f aca="false">IF(AND(BI118=1,INT(N(H118))&lt;=Config!$B$6),Y118,"")</f>
        <v/>
      </c>
      <c r="BK118" s="23" t="str">
        <f aca="false">IF(AND(BI118=1,INT(N(H118))&lt;=Config!$B$7),Y118,"")</f>
        <v/>
      </c>
      <c r="BL118" s="23" t="str">
        <f aca="false">IF(AND(BI118=1,INT(N(H118))&lt;=Config!$B$8),Y118,"")</f>
        <v/>
      </c>
      <c r="BM118" s="23" t="str">
        <f aca="false">IF(AND(BI118=1,INT(N(H118))&lt;=Config!$B$5),Y118,"")</f>
        <v/>
      </c>
      <c r="BN118" s="23" t="n">
        <f aca="false">IF(CD118=1,IF(COUNTIFS($AZ$2:$AZ$201,AZ118,$CD$2:$CD$201,1,$H$2:$H$201,"&lt;"&amp;H118)+COUNTIFS($AZ$2:$AZ$201,AZ118,$CD$2:$CD$201,1,$H$2:$H$201,H118,$BA$2:$BA$201,"&lt;"&amp;BA118)=0,1,0),0)</f>
        <v>0</v>
      </c>
      <c r="BO118" s="23" t="n">
        <f aca="false">IF(AND(BB118=1,ISNUMBER(M118)),1,0)</f>
        <v>0</v>
      </c>
      <c r="BP118" s="23" t="n">
        <f aca="false">IF(BO118=1,IF(COUNTIFS($AZ$2:$AZ$201,AZ118,$BO$2:$BO$201,1,$H$2:$H$201,"&lt;"&amp;H118)+COUNTIFS($AZ$2:$AZ$201,AZ118,$BO$2:$BO$201,1,$H$2:$H$201,H118,$BA$2:$BA$201,"&lt;"&amp;BA118)=0,1,0),0)</f>
        <v>0</v>
      </c>
      <c r="BQ118" s="23" t="str">
        <f aca="false">IF(AND(BP118=1,INT(N(H118))&lt;=Config!$B$5),M118,"")</f>
        <v/>
      </c>
      <c r="BR118" s="23" t="n">
        <f aca="false">IF(AND(BB118=1,OR(TRIM(X118)&lt;&gt;"",ISNUMBER(Y118))),1,0)</f>
        <v>0</v>
      </c>
      <c r="BS118" s="23" t="n">
        <f aca="false">IF(BR118=1,IF(COUNTIFS($AZ$2:$AZ$201,AZ118,$BR$2:$BR$201,1,$H$2:$H$201,"&lt;"&amp;H118)+COUNTIFS($AZ$2:$AZ$201,AZ118,$BR$2:$BR$201,1,$H$2:$H$201,H118,$BA$2:$BA$201,"&lt;"&amp;BA118)=0,1,0),0)</f>
        <v>0</v>
      </c>
      <c r="BT118" s="23" t="str">
        <f aca="false">IF(BS118=1,AZ118,"")</f>
        <v/>
      </c>
      <c r="BU118" s="23" t="n">
        <f aca="false">IF(AND(BB118=1,W118="Y",TRIM(X118)=""),1,0)</f>
        <v>0</v>
      </c>
      <c r="BV118" s="23" t="str">
        <f aca="false">IF(BB118=1,AN118&amp;"","")</f>
        <v/>
      </c>
      <c r="BW118" s="23" t="str">
        <f aca="false">IF(BB118=1,AO118&amp;"","")</f>
        <v/>
      </c>
      <c r="BX118" s="23" t="str">
        <f aca="false">IF(BB118=1,AP118&amp;"","")</f>
        <v/>
      </c>
      <c r="BY118" s="23" t="str">
        <f aca="false">IF(AND(BB118=1,ISNUMBER(AV118),INT(N(H118))&lt;=Config!$B$5),AV118,"")</f>
        <v/>
      </c>
      <c r="BZ118" s="23" t="str">
        <f aca="false">IF(BB118=1,IF(COUNTIFS($A$2:$A$201,$A118,$DC$2:$DC$201,1,$AR$2:$AR$201,"Y")&gt;0,"Y","N"),"")</f>
        <v/>
      </c>
      <c r="CA118" s="23" t="n">
        <f aca="false">IF(AND(BB118=1,AR118="maybe"),1,0)</f>
        <v>0</v>
      </c>
      <c r="CB118" s="23" t="n">
        <f aca="false">IF(CA118=1,IF(COUNTIFS($AZ$2:$AZ$201,AZ118,$CA$2:$CA$201,1,$H$2:$H$201,"&lt;"&amp;H118)+COUNTIFS($AZ$2:$AZ$201,AZ118,$CA$2:$CA$201,1,$H$2:$H$201,H118,$BA$2:$BA$201,"&lt;"&amp;BA118)=0,1,0),0)</f>
        <v>0</v>
      </c>
      <c r="CC118" s="23" t="n">
        <f aca="false">IF(AND(BB118=1,AR118="Y"),IF(COUNTIFS($AZ$2:$AZ$201,AZ118,$AR$2:$AR$201,"Y",$BB$2:$BB$201,1,$H$2:$H$201,"&lt;"&amp;H118)+COUNTIFS($AZ$2:$AZ$201,AZ118,$AR$2:$AR$201,"Y",$BB$2:$BB$201,1,$H$2:$H$201,H118,$BA$2:$BA$201,"&lt;"&amp;BA118)=0,1,0),0)</f>
        <v>0</v>
      </c>
      <c r="CD118" s="23" t="n">
        <f aca="false">IF(AND(BH118=1,N(Y118)&gt;=Config!$B$15),1,0)</f>
        <v>0</v>
      </c>
      <c r="CE118" s="23" t="n">
        <f aca="false">IF(AND(BB118=1,AT118="Y"),1,0)</f>
        <v>0</v>
      </c>
      <c r="CF118" s="23" t="n">
        <f aca="false">IF(CE118=1,IF(COUNTIFS($AZ$2:$AZ$201,AZ118,$CE$2:$CE$201,1,$H$2:$H$201,"&lt;"&amp;H118)+COUNTIFS($AZ$2:$AZ$201,AZ118,$CE$2:$CE$201,1,$H$2:$H$201,H118,$BA$2:$BA$201,"&lt;"&amp;BA118)=0,1,0),0)</f>
        <v>0</v>
      </c>
      <c r="CG118" s="23" t="n">
        <f aca="false">IF(AND(BB118=1,G118="warm-intro"),1,0)</f>
        <v>0</v>
      </c>
      <c r="CH118" s="23" t="n">
        <f aca="false">IF(CG118=1,IF(COUNTIFS($AZ$2:$AZ$201,AZ118,$CG$2:$CG$201,1,$H$2:$H$201,"&lt;"&amp;H118)+COUNTIFS($AZ$2:$AZ$201,AZ118,$CG$2:$CG$201,1,$H$2:$H$201,H118,$BA$2:$BA$201,"&lt;"&amp;BA118)=0,1,0),0)</f>
        <v>0</v>
      </c>
      <c r="CI118" s="23" t="n">
        <f aca="false">IF(AND(BB118=1,Q118="Y"),1,0)</f>
        <v>0</v>
      </c>
      <c r="CJ118" s="23" t="n">
        <f aca="false">IF(CI118=1,IF(COUNTIFS($AZ$2:$AZ$201,AZ118,$CI$2:$CI$201,1,$H$2:$H$201,"&lt;"&amp;H118)+COUNTIFS($AZ$2:$AZ$201,AZ118,$CI$2:$CI$201,1,$H$2:$H$201,H118,$BA$2:$BA$201,"&lt;"&amp;BA118)=0,1,0),0)</f>
        <v>0</v>
      </c>
      <c r="CK118" s="23" t="n">
        <f aca="false">IF(AND(BB118=1,AF118="Y"),1,0)</f>
        <v>0</v>
      </c>
      <c r="CL118" s="23" t="n">
        <f aca="false">IF(CK118=1,IF(COUNTIFS($AZ$2:$AZ$201,AZ118,$CK$2:$CK$201,1,$H$2:$H$201,"&lt;"&amp;H118)+COUNTIFS($AZ$2:$AZ$201,AZ118,$CK$2:$CK$201,1,$H$2:$H$201,H118,$BA$2:$BA$201,"&lt;"&amp;BA118)=0,1,0),0)</f>
        <v>0</v>
      </c>
      <c r="CM118" s="23" t="n">
        <f aca="false">IF(AND(BB118=1,U118="Y"),1,0)</f>
        <v>0</v>
      </c>
      <c r="CN118" s="23" t="n">
        <f aca="false">IF(CM118=1,IF(COUNTIFS($AZ$2:$AZ$201,AZ118,$CM$2:$CM$201,1,$H$2:$H$201,"&lt;"&amp;H118)+COUNTIFS($AZ$2:$AZ$201,AZ118,$CM$2:$CM$201,1,$H$2:$H$201,H118,$BA$2:$BA$201,"&lt;"&amp;BA118)=0,1,0),0)</f>
        <v>0</v>
      </c>
      <c r="CO118" s="23" t="n">
        <f aca="false">IF(AND(BB118=1,L118="Y"),1,0)</f>
        <v>0</v>
      </c>
      <c r="CP118" s="23" t="n">
        <f aca="false">IF(CO118=1,IF(COUNTIFS($AZ$2:$AZ$201,AZ118,$CO$2:$CO$201,1,$H$2:$H$201,"&lt;"&amp;H118)+COUNTIFS($AZ$2:$AZ$201,AZ118,$CO$2:$CO$201,1,$H$2:$H$201,H118,$BA$2:$BA$201,"&lt;"&amp;BA118)=0,1,0),0)</f>
        <v>0</v>
      </c>
      <c r="CQ118" s="23" t="n">
        <f aca="false">IF(AND(BB118=1,ISNUMBER(O118)),1,0)</f>
        <v>0</v>
      </c>
      <c r="CR118" s="23" t="n">
        <f aca="false">IF(CQ118=1,IF(COUNTIFS($AZ$2:$AZ$201,AZ118,$CQ$2:$CQ$201,1,$H$2:$H$201,"&lt;"&amp;H118)+COUNTIFS($AZ$2:$AZ$201,AZ118,$CQ$2:$CQ$201,1,$H$2:$H$201,H118,$BA$2:$BA$201,"&lt;"&amp;BA118)=0,1,0),0)</f>
        <v>0</v>
      </c>
      <c r="CS118" s="23" t="str">
        <f aca="false">IF(AND(CR118=1,INT(N(H118))&lt;=Config!$B$5),O118,"")</f>
        <v/>
      </c>
      <c r="CT118" s="23" t="str">
        <f aca="false">IF(AND(BB118=1,INT(N(H118))&lt;=Config!$B$5),AG118&amp;"","")</f>
        <v/>
      </c>
      <c r="CU118" s="23" t="n">
        <f aca="false">IF(AND(BB118=1,AU118="Y"),1,0)</f>
        <v>0</v>
      </c>
      <c r="CV118" s="23" t="n">
        <f aca="false">IF(CU118=1,IF(COUNTIFS($AZ$2:$AZ$201,AZ118,$CU$2:$CU$201,1,$H$2:$H$201,"&lt;"&amp;H118)+COUNTIFS($AZ$2:$AZ$201,AZ118,$CU$2:$CU$201,1,$H$2:$H$201,H118,$BA$2:$BA$201,"&lt;"&amp;BA118)=0,1,0),0)</f>
        <v>0</v>
      </c>
      <c r="CW118" s="23" t="str">
        <f aca="false">IF(BB118=1,IFERROR(MATCH($A118,INDEX(Clay_Offices!$A$2:$FZ$601,0,Sync!$C$5),0),""),"")</f>
        <v/>
      </c>
      <c r="CX118" s="23" t="str">
        <f aca="false">IF(CW118="","",IFERROR(INDEX(Clay_Offices!$A$2:$FZ$601,CW118,Sync!$C$7)&amp;"",""))</f>
        <v/>
      </c>
      <c r="CY118" s="23" t="str">
        <f aca="false">IF(CX118="","",IFERROR(INDEX(Lists!$K$2:$K$15,MATCH(CX118,Lists!$J$2:$J$15,0)),""))</f>
        <v/>
      </c>
      <c r="CZ118" s="23" t="str">
        <f aca="false">IF(CW118="","",IFERROR(INDEX(Clay_Offices!$A$2:$FZ$601,CW118,Sync!$C$17)&amp;"",""))</f>
        <v/>
      </c>
      <c r="DA118" s="35" t="str">
        <f aca="false">IF(CW118="","",IFERROR(N(INDEX(Clay_Offices!$A$2:$FZ$601,CW118,Sync!$C$16)),0))</f>
        <v/>
      </c>
      <c r="DB118" s="23" t="n">
        <f aca="false">IF(AND(BB118=1,OR(AR118="Y",AR118="N",AR118="maybe")),1,0)</f>
        <v>0</v>
      </c>
      <c r="DC118" s="23" t="n">
        <f aca="false">IF(AND(DB118=1),IF(COUNTIFS($A$2:$A$201,$A118,$DB$2:$DB$201,1,$H$2:$H$201,"&gt;"&amp;H118)+COUNTIFS($A$2:$A$201,$A118,$DB$2:$DB$201,1,$H$2:$H$201,H118,$BA$2:$BA$201,"&gt;"&amp;BA118)=0,1,0),0)</f>
        <v>0</v>
      </c>
      <c r="DD118" s="23" t="n">
        <f aca="false">IF(AND(DB118=1,INT(N(H118))&lt;=Config!$B$6),IF(COUNTIFS($AZ$2:$AZ$201,AZ118,$DB$2:$DB$201,1,$H$2:$H$201,"&gt;"&amp;H118,$H$2:$H$201,"&lt;"&amp;(Config!$B$6+1))+COUNTIFS($AZ$2:$AZ$201,AZ118,$DB$2:$DB$201,1,$H$2:$H$201,H118,$BA$2:$BA$201,"&gt;"&amp;BA118)=0,1,0),0)</f>
        <v>0</v>
      </c>
      <c r="DE118" s="23" t="n">
        <f aca="false">IF(AND(DB118=1,INT(N(H118))&lt;=Config!$B$7),IF(COUNTIFS($AZ$2:$AZ$201,AZ118,$DB$2:$DB$201,1,$H$2:$H$201,"&gt;"&amp;H118,$H$2:$H$201,"&lt;"&amp;(Config!$B$7+1))+COUNTIFS($AZ$2:$AZ$201,AZ118,$DB$2:$DB$201,1,$H$2:$H$201,H118,$BA$2:$BA$201,"&gt;"&amp;BA118)=0,1,0),0)</f>
        <v>0</v>
      </c>
      <c r="DF118" s="23" t="n">
        <f aca="false">IF(AND(DB118=1,INT(N(H118))&lt;=Config!$B$8),IF(COUNTIFS($AZ$2:$AZ$201,AZ118,$DB$2:$DB$201,1,$H$2:$H$201,"&gt;"&amp;H118,$H$2:$H$201,"&lt;"&amp;(Config!$B$8+1))+COUNTIFS($AZ$2:$AZ$201,AZ118,$DB$2:$DB$201,1,$H$2:$H$201,H118,$BA$2:$BA$201,"&gt;"&amp;BA118)=0,1,0),0)</f>
        <v>0</v>
      </c>
      <c r="DG118" s="23" t="n">
        <f aca="false">IF(AND(DB118=1,INT(N(H118))&lt;=Config!$B$5),IF(COUNTIFS($AZ$2:$AZ$201,AZ118,$DB$2:$DB$201,1,$H$2:$H$201,"&gt;"&amp;H118,$H$2:$H$201,"&lt;"&amp;(Config!$B$5+1))+COUNTIFS($AZ$2:$AZ$201,AZ118,$DB$2:$DB$201,1,$H$2:$H$201,H118,$BA$2:$BA$201,"&gt;"&amp;BA118)=0,1,0),0)</f>
        <v>0</v>
      </c>
      <c r="DH118" s="23" t="n">
        <f aca="false">IF(BB118=1,IF(COUNTIFS($AZ$2:$AZ$201,AZ118,$DD$2:$DD$201,1,$AR$2:$AR$201,"Y")&gt;0,1,0),0)</f>
        <v>0</v>
      </c>
      <c r="DI118" s="23" t="n">
        <f aca="false">IF(BB118=1,IF(COUNTIFS($AZ$2:$AZ$201,AZ118,$DE$2:$DE$201,1,$AR$2:$AR$201,"Y")&gt;0,1,0),0)</f>
        <v>0</v>
      </c>
      <c r="DJ118" s="23" t="n">
        <f aca="false">IF(BB118=1,IF(COUNTIFS($AZ$2:$AZ$201,AZ118,$DF$2:$DF$201,1,$AR$2:$AR$201,"Y")&gt;0,1,0),0)</f>
        <v>0</v>
      </c>
      <c r="DK118" s="23" t="n">
        <f aca="false">IF(BB118=1,IF(COUNTIFS($AZ$2:$AZ$201,AZ118,$DG$2:$DG$201,1,$AR$2:$AR$201,"Y")&gt;0,1,0),0)</f>
        <v>0</v>
      </c>
      <c r="DL118" s="23" t="n">
        <f aca="false">IF(AND(BF118=1,INT(N(H118))&lt;=Config!$B$6,DH118=1,EI118=0),1,0)</f>
        <v>0</v>
      </c>
      <c r="DM118" s="23" t="n">
        <f aca="false">IF(AND(BF118=1,INT(N(H118))&lt;=Config!$B$7,DI118=1,EI118=0),1,0)</f>
        <v>0</v>
      </c>
      <c r="DN118" s="23" t="n">
        <f aca="false">IF(AND(BF118=1,INT(N(H118))&lt;=Config!$B$8,DJ118=1,EI118=0),1,0)</f>
        <v>0</v>
      </c>
      <c r="DO118" s="23" t="n">
        <f aca="false">IF(AND(BF118=1,INT(N(H118))&lt;=Config!$B$5,DK118=1,EI118=0),1,0)</f>
        <v>0</v>
      </c>
      <c r="DP118" s="23" t="n">
        <f aca="false">IF(AND(CC118=1,INT(N(H118))&lt;=Config!$B$6,DH118=1,EI118=0),1,0)</f>
        <v>0</v>
      </c>
      <c r="DQ118" s="23" t="n">
        <f aca="false">IF(AND(CC118=1,INT(N(H118))&lt;=Config!$B$7,DI118=1,EI118=0),1,0)</f>
        <v>0</v>
      </c>
      <c r="DR118" s="23" t="n">
        <f aca="false">IF(AND(CC118=1,INT(N(H118))&lt;=Config!$B$8,DJ118=1,EI118=0),1,0)</f>
        <v>0</v>
      </c>
      <c r="DS118" s="23" t="n">
        <f aca="false">IF(AND(CC118=1,INT(N(H118))&lt;=Config!$B$5,DK118=1,EI118=0),1,0)</f>
        <v>0</v>
      </c>
      <c r="DT118" s="23" t="n">
        <f aca="false">IF(AND(CC118=1,INT(N(H118))&lt;=Config!$B$6,DH118=0),1,0)</f>
        <v>0</v>
      </c>
      <c r="DU118" s="23" t="n">
        <f aca="false">IF(AND(CC118=1,INT(N(H118))&lt;=Config!$B$7,DI118=0),1,0)</f>
        <v>0</v>
      </c>
      <c r="DV118" s="23" t="n">
        <f aca="false">IF(AND(CC118=1,INT(N(H118))&lt;=Config!$B$8,DJ118=0),1,0)</f>
        <v>0</v>
      </c>
      <c r="DW118" s="23" t="n">
        <f aca="false">IF(AND(CC118=1,INT(N(H118))&lt;=Config!$B$5,DK118=0),1,0)</f>
        <v>0</v>
      </c>
      <c r="DX118" s="23" t="n">
        <f aca="false">IF(TRIM($A118)="",0,ISTEXT(M118)+ISTEXT(O118)+ISTEXT(Y118)+ISTEXT(Z118)+ISTEXT(AA118)+ISTEXT(AV118))</f>
        <v>0</v>
      </c>
      <c r="DY118" s="23" t="n">
        <f aca="false">IF(BB118=1,IF(H118&lt;&gt;INT(H118),1,0),0)</f>
        <v>0</v>
      </c>
      <c r="DZ118" s="23" t="str">
        <f aca="false">IF(TRIM($A118)="","",IF(TRIM(B118)="",SUBSTITUTE(SUBSTITUTE(SUBSTITUTE(SUBSTITUTE(SUBSTITUTE(SUBSTITUTE(LOWER(TRIM($A118)),"~",""),"*",""),"?",""),"&lt;",""),"&gt;",""),"=",""),SUBSTITUTE(SUBSTITUTE(SUBSTITUTE(SUBSTITUTE(SUBSTITUTE(SUBSTITUTE(LOWER(TRIM(B118)),"~",""),"*",""),"?",""),"&lt;",""),"&gt;",""),"=","")))</f>
        <v/>
      </c>
      <c r="EA118" s="23" t="str">
        <f aca="false">IF(CW118="","",IFERROR(IF(LEFT(LOWER(TRIM(INDEX(Clay_Offices!$A$2:$FZ$601,CW118,Sync!$C$19)&amp;"")),4)="grp-",SUBSTITUTE(SUBSTITUTE(SUBSTITUTE(SUBSTITUTE(SUBSTITUTE(SUBSTITUTE(LOWER(TRIM(INDEX(Clay_Offices!$A$2:$FZ$601,CW118,Sync!$C$19)&amp;"")),"~",""),"*",""),"?",""),"&lt;",""),"&gt;",""),"=",""),""),""))</f>
        <v/>
      </c>
      <c r="EB118" s="23" t="str">
        <f aca="false">IF(EA118&lt;&gt;"",DZ118,"")</f>
        <v/>
      </c>
      <c r="EC118" s="23" t="str">
        <f aca="false">IF(BC118=1,AZ118,"")</f>
        <v/>
      </c>
      <c r="ED118" s="23" t="str">
        <f aca="false">IF(TRIM($A118)="","",IFERROR(INDEX($A$2:$A$201,MATCH(AZ118,$EC$2:$EC$201,0))&amp;"",$A118&amp;""))</f>
        <v/>
      </c>
      <c r="EE118" s="23" t="n">
        <f aca="false">IF(BB118=1,IF(COUNTIFS($A$2:$A$201,$A118,$BB$2:$BB$201,1,$H$2:$H$201,"&lt;"&amp;H118)+COUNTIFS($A$2:$A$201,$A118,$BB$2:$BB$201,1,$H$2:$H$201,H118,$BA$2:$BA$201,"&lt;"&amp;BA118)=0,1,0),0)</f>
        <v>0</v>
      </c>
      <c r="EF118" s="23" t="n">
        <f aca="false">IF(BC118=1,IF(COUNTIFS($AZ$2:$AZ$201,AZ118,$EE$2:$EE$201,1)&gt;1,1,0),0)</f>
        <v>0</v>
      </c>
      <c r="EG118" s="23" t="n">
        <f aca="false">IF(AND(CQ118=1),IF(COUNTIFS($AZ$2:$AZ$201,AZ118,$CQ$2:$CQ$201,1,$H$2:$H$201,"&gt;"&amp;H118)+COUNTIFS($AZ$2:$AZ$201,AZ118,$CQ$2:$CQ$201,1,$H$2:$H$201,H118,$BA$2:$BA$201,"&gt;"&amp;BA118)=0,1,0),0)</f>
        <v>0</v>
      </c>
      <c r="EH118" s="23" t="str">
        <f aca="false">IF(BB118=1,IF(COUNTIFS($AZ$2:$AZ$201,AZ118,$EG$2:$EG$201,1)=0,"",SUMIFS($O$2:$O$201,$AZ$2:$AZ$201,AZ118,$EG$2:$EG$201,1)),"")</f>
        <v/>
      </c>
      <c r="EI118" s="23" t="n">
        <f aca="false">IF(AND(ISNUMBER(EH118),OR(N(EH118)&lt;Config!$B$31,N(EH118)&gt;Config!$B$33)),1,0)</f>
        <v>0</v>
      </c>
      <c r="EJ118" s="23" t="n">
        <f aca="false">IF(AND(ISNUMBER(EH118),N(EH118)&gt;=Config!$B$31,N(EH118)&lt;Config!$B$32),1,0)</f>
        <v>0</v>
      </c>
      <c r="EK118" s="23" t="n">
        <f aca="false">IF(AND(BF118=1,INT(N(H118))&lt;=Config!$B$6,DH118=1,EI118=1),1,0)</f>
        <v>0</v>
      </c>
      <c r="EL118" s="23" t="n">
        <f aca="false">IF(AND(BF118=1,INT(N(H118))&lt;=Config!$B$7,DI118=1,EI118=1),1,0)</f>
        <v>0</v>
      </c>
      <c r="EM118" s="23" t="n">
        <f aca="false">IF(AND(BF118=1,INT(N(H118))&lt;=Config!$B$8,DJ118=1,EI118=1),1,0)</f>
        <v>0</v>
      </c>
      <c r="EN118" s="23" t="n">
        <f aca="false">IF(AND(BF118=1,INT(N(H118))&lt;=Config!$B$5,DK118=1,EI118=1),1,0)</f>
        <v>0</v>
      </c>
      <c r="EO118" s="23" t="n">
        <f aca="false">IF(AND(DL118=1,EJ118=1),1,0)</f>
        <v>0</v>
      </c>
      <c r="EP118" s="23" t="n">
        <f aca="false">IF(AND(DM118=1,EJ118=1),1,0)</f>
        <v>0</v>
      </c>
      <c r="EQ118" s="23" t="n">
        <f aca="false">IF(AND(DN118=1,EJ118=1),1,0)</f>
        <v>0</v>
      </c>
      <c r="ER118" s="23" t="n">
        <f aca="false">IF(AND(DO118=1,EJ118=1),1,0)</f>
        <v>0</v>
      </c>
    </row>
    <row r="119" customFormat="false" ht="15" hidden="false" customHeight="false" outlineLevel="0" collapsed="false">
      <c r="G119" s="32"/>
      <c r="H119" s="33"/>
      <c r="I119" s="32"/>
      <c r="L119" s="32"/>
      <c r="Q119" s="32"/>
      <c r="U119" s="32"/>
      <c r="W119" s="32"/>
      <c r="AC119" s="32"/>
      <c r="AF119" s="32"/>
      <c r="AI119" s="32"/>
      <c r="AJ119" s="32"/>
      <c r="AN119" s="32"/>
      <c r="AR119" s="32"/>
      <c r="AT119" s="32"/>
      <c r="AU119" s="32"/>
      <c r="AW119" s="32"/>
      <c r="AY119" s="34" t="str">
        <f aca="false">IF(TRIM($A119)="","",IF(AND(LEFT($A119,6)="SAMPLE",Config!$B$19&lt;&gt;"Y"),"",IF(NOT(ISNUMBER(H119)),"call_date is blank or not a date",IF(Sync!$C$5="","Clay paste is empty or has no row_id column: paste the Clay export on Clay_Offices",IF(CW119="","row_id not found in the Clay paste: add the Clay row or fix the row_id",IF(AND(ISNUMBER(CY119),CY119&gt;=1,CY119&lt;=5),"Clay status is "&amp;CX119&amp;": set call_done or later",IF(AND(BD119=1,CZ119&lt;&gt;BZ119),"Clay yes_in_principle should be "&amp;BZ119,IF(AND(BD119=1,DA119&lt;&gt;H119),"Clay call_date should be "&amp;TEXT(H119,"yyyy-mm-dd"),""))))))))</f>
        <v/>
      </c>
      <c r="AZ119" s="23" t="str">
        <f aca="false">IF(TRIM($A119)="","",IF(TRIM(C119)&lt;&gt;"",SUBSTITUTE(SUBSTITUTE(SUBSTITUTE(SUBSTITUTE(SUBSTITUTE(SUBSTITUTE(LOWER(TRIM(C119)),"~",""),"*",""),"?",""),"&lt;",""),"&gt;",""),"=",""),IF(EA119&lt;&gt;"",EA119,IFERROR(INDEX($EA$2:$EA$201,MATCH(DZ119,$EB$2:$EB$201,0)),DZ119))))</f>
        <v/>
      </c>
      <c r="BA119" s="23" t="n">
        <f aca="false">ROW()</f>
        <v>119</v>
      </c>
      <c r="BB119" s="23" t="n">
        <f aca="false">IF(AND(TRIM($A119)&lt;&gt;"",ISNUMBER(H119)),IF(AND(LEFT($A119,6)="SAMPLE",Config!$B$19&lt;&gt;"Y"),0,1),0)</f>
        <v>0</v>
      </c>
      <c r="BC119" s="23" t="n">
        <f aca="false">IF(BB119=1,IF(COUNTIFS($AZ$2:$AZ$201,AZ119,$BB$2:$BB$201,1,$H$2:$H$201,"&lt;"&amp;H119)+COUNTIFS($AZ$2:$AZ$201,AZ119,$BB$2:$BB$201,1,$H$2:$H$201,H119,$BA$2:$BA$201,"&lt;"&amp;BA119)=0,1,0),0)</f>
        <v>0</v>
      </c>
      <c r="BD119" s="23" t="n">
        <f aca="false">IF(BB119=1,IF(COUNTIFS($A$2:$A$201,$A119,$BB$2:$BB$201,1,$H$2:$H$201,"&gt;"&amp;H119)+COUNTIFS($A$2:$A$201,$A119,$BB$2:$BB$201,1,$H$2:$H$201,H119,$BA$2:$BA$201,"&gt;"&amp;BA119)=0,1,0),0)</f>
        <v>0</v>
      </c>
      <c r="BE119" s="23" t="n">
        <f aca="false">IF(AND(BB119=1,AR119="Y",AC119="Y",TRIM(AH119)&lt;&gt;""),1,0)</f>
        <v>0</v>
      </c>
      <c r="BF119" s="23" t="n">
        <f aca="false">IF(BE119=1,IF(COUNTIFS($AZ$2:$AZ$201,AZ119,$BE$2:$BE$201,1,$H$2:$H$201,"&lt;"&amp;H119)+COUNTIFS($AZ$2:$AZ$201,AZ119,$BE$2:$BE$201,1,$H$2:$H$201,H119,$BA$2:$BA$201,"&lt;"&amp;BA119)=0,1,0),0)</f>
        <v>0</v>
      </c>
      <c r="BG119" s="23" t="n">
        <f aca="false">IF(AND(BB119=1,AR119="Y",BE119=0),1,0)</f>
        <v>0</v>
      </c>
      <c r="BH119" s="23" t="n">
        <f aca="false">IF(AND(BB119=1,ISNUMBER(Y119)),1,0)</f>
        <v>0</v>
      </c>
      <c r="BI119" s="23" t="n">
        <f aca="false">IF(BH119=1,IF(COUNTIFS($AZ$2:$AZ$201,AZ119,$BH$2:$BH$201,1,$H$2:$H$201,"&lt;"&amp;H119)+COUNTIFS($AZ$2:$AZ$201,AZ119,$BH$2:$BH$201,1,$H$2:$H$201,H119,$BA$2:$BA$201,"&lt;"&amp;BA119)=0,1,0),0)</f>
        <v>0</v>
      </c>
      <c r="BJ119" s="23" t="str">
        <f aca="false">IF(AND(BI119=1,INT(N(H119))&lt;=Config!$B$6),Y119,"")</f>
        <v/>
      </c>
      <c r="BK119" s="23" t="str">
        <f aca="false">IF(AND(BI119=1,INT(N(H119))&lt;=Config!$B$7),Y119,"")</f>
        <v/>
      </c>
      <c r="BL119" s="23" t="str">
        <f aca="false">IF(AND(BI119=1,INT(N(H119))&lt;=Config!$B$8),Y119,"")</f>
        <v/>
      </c>
      <c r="BM119" s="23" t="str">
        <f aca="false">IF(AND(BI119=1,INT(N(H119))&lt;=Config!$B$5),Y119,"")</f>
        <v/>
      </c>
      <c r="BN119" s="23" t="n">
        <f aca="false">IF(CD119=1,IF(COUNTIFS($AZ$2:$AZ$201,AZ119,$CD$2:$CD$201,1,$H$2:$H$201,"&lt;"&amp;H119)+COUNTIFS($AZ$2:$AZ$201,AZ119,$CD$2:$CD$201,1,$H$2:$H$201,H119,$BA$2:$BA$201,"&lt;"&amp;BA119)=0,1,0),0)</f>
        <v>0</v>
      </c>
      <c r="BO119" s="23" t="n">
        <f aca="false">IF(AND(BB119=1,ISNUMBER(M119)),1,0)</f>
        <v>0</v>
      </c>
      <c r="BP119" s="23" t="n">
        <f aca="false">IF(BO119=1,IF(COUNTIFS($AZ$2:$AZ$201,AZ119,$BO$2:$BO$201,1,$H$2:$H$201,"&lt;"&amp;H119)+COUNTIFS($AZ$2:$AZ$201,AZ119,$BO$2:$BO$201,1,$H$2:$H$201,H119,$BA$2:$BA$201,"&lt;"&amp;BA119)=0,1,0),0)</f>
        <v>0</v>
      </c>
      <c r="BQ119" s="23" t="str">
        <f aca="false">IF(AND(BP119=1,INT(N(H119))&lt;=Config!$B$5),M119,"")</f>
        <v/>
      </c>
      <c r="BR119" s="23" t="n">
        <f aca="false">IF(AND(BB119=1,OR(TRIM(X119)&lt;&gt;"",ISNUMBER(Y119))),1,0)</f>
        <v>0</v>
      </c>
      <c r="BS119" s="23" t="n">
        <f aca="false">IF(BR119=1,IF(COUNTIFS($AZ$2:$AZ$201,AZ119,$BR$2:$BR$201,1,$H$2:$H$201,"&lt;"&amp;H119)+COUNTIFS($AZ$2:$AZ$201,AZ119,$BR$2:$BR$201,1,$H$2:$H$201,H119,$BA$2:$BA$201,"&lt;"&amp;BA119)=0,1,0),0)</f>
        <v>0</v>
      </c>
      <c r="BT119" s="23" t="str">
        <f aca="false">IF(BS119=1,AZ119,"")</f>
        <v/>
      </c>
      <c r="BU119" s="23" t="n">
        <f aca="false">IF(AND(BB119=1,W119="Y",TRIM(X119)=""),1,0)</f>
        <v>0</v>
      </c>
      <c r="BV119" s="23" t="str">
        <f aca="false">IF(BB119=1,AN119&amp;"","")</f>
        <v/>
      </c>
      <c r="BW119" s="23" t="str">
        <f aca="false">IF(BB119=1,AO119&amp;"","")</f>
        <v/>
      </c>
      <c r="BX119" s="23" t="str">
        <f aca="false">IF(BB119=1,AP119&amp;"","")</f>
        <v/>
      </c>
      <c r="BY119" s="23" t="str">
        <f aca="false">IF(AND(BB119=1,ISNUMBER(AV119),INT(N(H119))&lt;=Config!$B$5),AV119,"")</f>
        <v/>
      </c>
      <c r="BZ119" s="23" t="str">
        <f aca="false">IF(BB119=1,IF(COUNTIFS($A$2:$A$201,$A119,$DC$2:$DC$201,1,$AR$2:$AR$201,"Y")&gt;0,"Y","N"),"")</f>
        <v/>
      </c>
      <c r="CA119" s="23" t="n">
        <f aca="false">IF(AND(BB119=1,AR119="maybe"),1,0)</f>
        <v>0</v>
      </c>
      <c r="CB119" s="23" t="n">
        <f aca="false">IF(CA119=1,IF(COUNTIFS($AZ$2:$AZ$201,AZ119,$CA$2:$CA$201,1,$H$2:$H$201,"&lt;"&amp;H119)+COUNTIFS($AZ$2:$AZ$201,AZ119,$CA$2:$CA$201,1,$H$2:$H$201,H119,$BA$2:$BA$201,"&lt;"&amp;BA119)=0,1,0),0)</f>
        <v>0</v>
      </c>
      <c r="CC119" s="23" t="n">
        <f aca="false">IF(AND(BB119=1,AR119="Y"),IF(COUNTIFS($AZ$2:$AZ$201,AZ119,$AR$2:$AR$201,"Y",$BB$2:$BB$201,1,$H$2:$H$201,"&lt;"&amp;H119)+COUNTIFS($AZ$2:$AZ$201,AZ119,$AR$2:$AR$201,"Y",$BB$2:$BB$201,1,$H$2:$H$201,H119,$BA$2:$BA$201,"&lt;"&amp;BA119)=0,1,0),0)</f>
        <v>0</v>
      </c>
      <c r="CD119" s="23" t="n">
        <f aca="false">IF(AND(BH119=1,N(Y119)&gt;=Config!$B$15),1,0)</f>
        <v>0</v>
      </c>
      <c r="CE119" s="23" t="n">
        <f aca="false">IF(AND(BB119=1,AT119="Y"),1,0)</f>
        <v>0</v>
      </c>
      <c r="CF119" s="23" t="n">
        <f aca="false">IF(CE119=1,IF(COUNTIFS($AZ$2:$AZ$201,AZ119,$CE$2:$CE$201,1,$H$2:$H$201,"&lt;"&amp;H119)+COUNTIFS($AZ$2:$AZ$201,AZ119,$CE$2:$CE$201,1,$H$2:$H$201,H119,$BA$2:$BA$201,"&lt;"&amp;BA119)=0,1,0),0)</f>
        <v>0</v>
      </c>
      <c r="CG119" s="23" t="n">
        <f aca="false">IF(AND(BB119=1,G119="warm-intro"),1,0)</f>
        <v>0</v>
      </c>
      <c r="CH119" s="23" t="n">
        <f aca="false">IF(CG119=1,IF(COUNTIFS($AZ$2:$AZ$201,AZ119,$CG$2:$CG$201,1,$H$2:$H$201,"&lt;"&amp;H119)+COUNTIFS($AZ$2:$AZ$201,AZ119,$CG$2:$CG$201,1,$H$2:$H$201,H119,$BA$2:$BA$201,"&lt;"&amp;BA119)=0,1,0),0)</f>
        <v>0</v>
      </c>
      <c r="CI119" s="23" t="n">
        <f aca="false">IF(AND(BB119=1,Q119="Y"),1,0)</f>
        <v>0</v>
      </c>
      <c r="CJ119" s="23" t="n">
        <f aca="false">IF(CI119=1,IF(COUNTIFS($AZ$2:$AZ$201,AZ119,$CI$2:$CI$201,1,$H$2:$H$201,"&lt;"&amp;H119)+COUNTIFS($AZ$2:$AZ$201,AZ119,$CI$2:$CI$201,1,$H$2:$H$201,H119,$BA$2:$BA$201,"&lt;"&amp;BA119)=0,1,0),0)</f>
        <v>0</v>
      </c>
      <c r="CK119" s="23" t="n">
        <f aca="false">IF(AND(BB119=1,AF119="Y"),1,0)</f>
        <v>0</v>
      </c>
      <c r="CL119" s="23" t="n">
        <f aca="false">IF(CK119=1,IF(COUNTIFS($AZ$2:$AZ$201,AZ119,$CK$2:$CK$201,1,$H$2:$H$201,"&lt;"&amp;H119)+COUNTIFS($AZ$2:$AZ$201,AZ119,$CK$2:$CK$201,1,$H$2:$H$201,H119,$BA$2:$BA$201,"&lt;"&amp;BA119)=0,1,0),0)</f>
        <v>0</v>
      </c>
      <c r="CM119" s="23" t="n">
        <f aca="false">IF(AND(BB119=1,U119="Y"),1,0)</f>
        <v>0</v>
      </c>
      <c r="CN119" s="23" t="n">
        <f aca="false">IF(CM119=1,IF(COUNTIFS($AZ$2:$AZ$201,AZ119,$CM$2:$CM$201,1,$H$2:$H$201,"&lt;"&amp;H119)+COUNTIFS($AZ$2:$AZ$201,AZ119,$CM$2:$CM$201,1,$H$2:$H$201,H119,$BA$2:$BA$201,"&lt;"&amp;BA119)=0,1,0),0)</f>
        <v>0</v>
      </c>
      <c r="CO119" s="23" t="n">
        <f aca="false">IF(AND(BB119=1,L119="Y"),1,0)</f>
        <v>0</v>
      </c>
      <c r="CP119" s="23" t="n">
        <f aca="false">IF(CO119=1,IF(COUNTIFS($AZ$2:$AZ$201,AZ119,$CO$2:$CO$201,1,$H$2:$H$201,"&lt;"&amp;H119)+COUNTIFS($AZ$2:$AZ$201,AZ119,$CO$2:$CO$201,1,$H$2:$H$201,H119,$BA$2:$BA$201,"&lt;"&amp;BA119)=0,1,0),0)</f>
        <v>0</v>
      </c>
      <c r="CQ119" s="23" t="n">
        <f aca="false">IF(AND(BB119=1,ISNUMBER(O119)),1,0)</f>
        <v>0</v>
      </c>
      <c r="CR119" s="23" t="n">
        <f aca="false">IF(CQ119=1,IF(COUNTIFS($AZ$2:$AZ$201,AZ119,$CQ$2:$CQ$201,1,$H$2:$H$201,"&lt;"&amp;H119)+COUNTIFS($AZ$2:$AZ$201,AZ119,$CQ$2:$CQ$201,1,$H$2:$H$201,H119,$BA$2:$BA$201,"&lt;"&amp;BA119)=0,1,0),0)</f>
        <v>0</v>
      </c>
      <c r="CS119" s="23" t="str">
        <f aca="false">IF(AND(CR119=1,INT(N(H119))&lt;=Config!$B$5),O119,"")</f>
        <v/>
      </c>
      <c r="CT119" s="23" t="str">
        <f aca="false">IF(AND(BB119=1,INT(N(H119))&lt;=Config!$B$5),AG119&amp;"","")</f>
        <v/>
      </c>
      <c r="CU119" s="23" t="n">
        <f aca="false">IF(AND(BB119=1,AU119="Y"),1,0)</f>
        <v>0</v>
      </c>
      <c r="CV119" s="23" t="n">
        <f aca="false">IF(CU119=1,IF(COUNTIFS($AZ$2:$AZ$201,AZ119,$CU$2:$CU$201,1,$H$2:$H$201,"&lt;"&amp;H119)+COUNTIFS($AZ$2:$AZ$201,AZ119,$CU$2:$CU$201,1,$H$2:$H$201,H119,$BA$2:$BA$201,"&lt;"&amp;BA119)=0,1,0),0)</f>
        <v>0</v>
      </c>
      <c r="CW119" s="23" t="str">
        <f aca="false">IF(BB119=1,IFERROR(MATCH($A119,INDEX(Clay_Offices!$A$2:$FZ$601,0,Sync!$C$5),0),""),"")</f>
        <v/>
      </c>
      <c r="CX119" s="23" t="str">
        <f aca="false">IF(CW119="","",IFERROR(INDEX(Clay_Offices!$A$2:$FZ$601,CW119,Sync!$C$7)&amp;"",""))</f>
        <v/>
      </c>
      <c r="CY119" s="23" t="str">
        <f aca="false">IF(CX119="","",IFERROR(INDEX(Lists!$K$2:$K$15,MATCH(CX119,Lists!$J$2:$J$15,0)),""))</f>
        <v/>
      </c>
      <c r="CZ119" s="23" t="str">
        <f aca="false">IF(CW119="","",IFERROR(INDEX(Clay_Offices!$A$2:$FZ$601,CW119,Sync!$C$17)&amp;"",""))</f>
        <v/>
      </c>
      <c r="DA119" s="35" t="str">
        <f aca="false">IF(CW119="","",IFERROR(N(INDEX(Clay_Offices!$A$2:$FZ$601,CW119,Sync!$C$16)),0))</f>
        <v/>
      </c>
      <c r="DB119" s="23" t="n">
        <f aca="false">IF(AND(BB119=1,OR(AR119="Y",AR119="N",AR119="maybe")),1,0)</f>
        <v>0</v>
      </c>
      <c r="DC119" s="23" t="n">
        <f aca="false">IF(AND(DB119=1),IF(COUNTIFS($A$2:$A$201,$A119,$DB$2:$DB$201,1,$H$2:$H$201,"&gt;"&amp;H119)+COUNTIFS($A$2:$A$201,$A119,$DB$2:$DB$201,1,$H$2:$H$201,H119,$BA$2:$BA$201,"&gt;"&amp;BA119)=0,1,0),0)</f>
        <v>0</v>
      </c>
      <c r="DD119" s="23" t="n">
        <f aca="false">IF(AND(DB119=1,INT(N(H119))&lt;=Config!$B$6),IF(COUNTIFS($AZ$2:$AZ$201,AZ119,$DB$2:$DB$201,1,$H$2:$H$201,"&gt;"&amp;H119,$H$2:$H$201,"&lt;"&amp;(Config!$B$6+1))+COUNTIFS($AZ$2:$AZ$201,AZ119,$DB$2:$DB$201,1,$H$2:$H$201,H119,$BA$2:$BA$201,"&gt;"&amp;BA119)=0,1,0),0)</f>
        <v>0</v>
      </c>
      <c r="DE119" s="23" t="n">
        <f aca="false">IF(AND(DB119=1,INT(N(H119))&lt;=Config!$B$7),IF(COUNTIFS($AZ$2:$AZ$201,AZ119,$DB$2:$DB$201,1,$H$2:$H$201,"&gt;"&amp;H119,$H$2:$H$201,"&lt;"&amp;(Config!$B$7+1))+COUNTIFS($AZ$2:$AZ$201,AZ119,$DB$2:$DB$201,1,$H$2:$H$201,H119,$BA$2:$BA$201,"&gt;"&amp;BA119)=0,1,0),0)</f>
        <v>0</v>
      </c>
      <c r="DF119" s="23" t="n">
        <f aca="false">IF(AND(DB119=1,INT(N(H119))&lt;=Config!$B$8),IF(COUNTIFS($AZ$2:$AZ$201,AZ119,$DB$2:$DB$201,1,$H$2:$H$201,"&gt;"&amp;H119,$H$2:$H$201,"&lt;"&amp;(Config!$B$8+1))+COUNTIFS($AZ$2:$AZ$201,AZ119,$DB$2:$DB$201,1,$H$2:$H$201,H119,$BA$2:$BA$201,"&gt;"&amp;BA119)=0,1,0),0)</f>
        <v>0</v>
      </c>
      <c r="DG119" s="23" t="n">
        <f aca="false">IF(AND(DB119=1,INT(N(H119))&lt;=Config!$B$5),IF(COUNTIFS($AZ$2:$AZ$201,AZ119,$DB$2:$DB$201,1,$H$2:$H$201,"&gt;"&amp;H119,$H$2:$H$201,"&lt;"&amp;(Config!$B$5+1))+COUNTIFS($AZ$2:$AZ$201,AZ119,$DB$2:$DB$201,1,$H$2:$H$201,H119,$BA$2:$BA$201,"&gt;"&amp;BA119)=0,1,0),0)</f>
        <v>0</v>
      </c>
      <c r="DH119" s="23" t="n">
        <f aca="false">IF(BB119=1,IF(COUNTIFS($AZ$2:$AZ$201,AZ119,$DD$2:$DD$201,1,$AR$2:$AR$201,"Y")&gt;0,1,0),0)</f>
        <v>0</v>
      </c>
      <c r="DI119" s="23" t="n">
        <f aca="false">IF(BB119=1,IF(COUNTIFS($AZ$2:$AZ$201,AZ119,$DE$2:$DE$201,1,$AR$2:$AR$201,"Y")&gt;0,1,0),0)</f>
        <v>0</v>
      </c>
      <c r="DJ119" s="23" t="n">
        <f aca="false">IF(BB119=1,IF(COUNTIFS($AZ$2:$AZ$201,AZ119,$DF$2:$DF$201,1,$AR$2:$AR$201,"Y")&gt;0,1,0),0)</f>
        <v>0</v>
      </c>
      <c r="DK119" s="23" t="n">
        <f aca="false">IF(BB119=1,IF(COUNTIFS($AZ$2:$AZ$201,AZ119,$DG$2:$DG$201,1,$AR$2:$AR$201,"Y")&gt;0,1,0),0)</f>
        <v>0</v>
      </c>
      <c r="DL119" s="23" t="n">
        <f aca="false">IF(AND(BF119=1,INT(N(H119))&lt;=Config!$B$6,DH119=1,EI119=0),1,0)</f>
        <v>0</v>
      </c>
      <c r="DM119" s="23" t="n">
        <f aca="false">IF(AND(BF119=1,INT(N(H119))&lt;=Config!$B$7,DI119=1,EI119=0),1,0)</f>
        <v>0</v>
      </c>
      <c r="DN119" s="23" t="n">
        <f aca="false">IF(AND(BF119=1,INT(N(H119))&lt;=Config!$B$8,DJ119=1,EI119=0),1,0)</f>
        <v>0</v>
      </c>
      <c r="DO119" s="23" t="n">
        <f aca="false">IF(AND(BF119=1,INT(N(H119))&lt;=Config!$B$5,DK119=1,EI119=0),1,0)</f>
        <v>0</v>
      </c>
      <c r="DP119" s="23" t="n">
        <f aca="false">IF(AND(CC119=1,INT(N(H119))&lt;=Config!$B$6,DH119=1,EI119=0),1,0)</f>
        <v>0</v>
      </c>
      <c r="DQ119" s="23" t="n">
        <f aca="false">IF(AND(CC119=1,INT(N(H119))&lt;=Config!$B$7,DI119=1,EI119=0),1,0)</f>
        <v>0</v>
      </c>
      <c r="DR119" s="23" t="n">
        <f aca="false">IF(AND(CC119=1,INT(N(H119))&lt;=Config!$B$8,DJ119=1,EI119=0),1,0)</f>
        <v>0</v>
      </c>
      <c r="DS119" s="23" t="n">
        <f aca="false">IF(AND(CC119=1,INT(N(H119))&lt;=Config!$B$5,DK119=1,EI119=0),1,0)</f>
        <v>0</v>
      </c>
      <c r="DT119" s="23" t="n">
        <f aca="false">IF(AND(CC119=1,INT(N(H119))&lt;=Config!$B$6,DH119=0),1,0)</f>
        <v>0</v>
      </c>
      <c r="DU119" s="23" t="n">
        <f aca="false">IF(AND(CC119=1,INT(N(H119))&lt;=Config!$B$7,DI119=0),1,0)</f>
        <v>0</v>
      </c>
      <c r="DV119" s="23" t="n">
        <f aca="false">IF(AND(CC119=1,INT(N(H119))&lt;=Config!$B$8,DJ119=0),1,0)</f>
        <v>0</v>
      </c>
      <c r="DW119" s="23" t="n">
        <f aca="false">IF(AND(CC119=1,INT(N(H119))&lt;=Config!$B$5,DK119=0),1,0)</f>
        <v>0</v>
      </c>
      <c r="DX119" s="23" t="n">
        <f aca="false">IF(TRIM($A119)="",0,ISTEXT(M119)+ISTEXT(O119)+ISTEXT(Y119)+ISTEXT(Z119)+ISTEXT(AA119)+ISTEXT(AV119))</f>
        <v>0</v>
      </c>
      <c r="DY119" s="23" t="n">
        <f aca="false">IF(BB119=1,IF(H119&lt;&gt;INT(H119),1,0),0)</f>
        <v>0</v>
      </c>
      <c r="DZ119" s="23" t="str">
        <f aca="false">IF(TRIM($A119)="","",IF(TRIM(B119)="",SUBSTITUTE(SUBSTITUTE(SUBSTITUTE(SUBSTITUTE(SUBSTITUTE(SUBSTITUTE(LOWER(TRIM($A119)),"~",""),"*",""),"?",""),"&lt;",""),"&gt;",""),"=",""),SUBSTITUTE(SUBSTITUTE(SUBSTITUTE(SUBSTITUTE(SUBSTITUTE(SUBSTITUTE(LOWER(TRIM(B119)),"~",""),"*",""),"?",""),"&lt;",""),"&gt;",""),"=","")))</f>
        <v/>
      </c>
      <c r="EA119" s="23" t="str">
        <f aca="false">IF(CW119="","",IFERROR(IF(LEFT(LOWER(TRIM(INDEX(Clay_Offices!$A$2:$FZ$601,CW119,Sync!$C$19)&amp;"")),4)="grp-",SUBSTITUTE(SUBSTITUTE(SUBSTITUTE(SUBSTITUTE(SUBSTITUTE(SUBSTITUTE(LOWER(TRIM(INDEX(Clay_Offices!$A$2:$FZ$601,CW119,Sync!$C$19)&amp;"")),"~",""),"*",""),"?",""),"&lt;",""),"&gt;",""),"=",""),""),""))</f>
        <v/>
      </c>
      <c r="EB119" s="23" t="str">
        <f aca="false">IF(EA119&lt;&gt;"",DZ119,"")</f>
        <v/>
      </c>
      <c r="EC119" s="23" t="str">
        <f aca="false">IF(BC119=1,AZ119,"")</f>
        <v/>
      </c>
      <c r="ED119" s="23" t="str">
        <f aca="false">IF(TRIM($A119)="","",IFERROR(INDEX($A$2:$A$201,MATCH(AZ119,$EC$2:$EC$201,0))&amp;"",$A119&amp;""))</f>
        <v/>
      </c>
      <c r="EE119" s="23" t="n">
        <f aca="false">IF(BB119=1,IF(COUNTIFS($A$2:$A$201,$A119,$BB$2:$BB$201,1,$H$2:$H$201,"&lt;"&amp;H119)+COUNTIFS($A$2:$A$201,$A119,$BB$2:$BB$201,1,$H$2:$H$201,H119,$BA$2:$BA$201,"&lt;"&amp;BA119)=0,1,0),0)</f>
        <v>0</v>
      </c>
      <c r="EF119" s="23" t="n">
        <f aca="false">IF(BC119=1,IF(COUNTIFS($AZ$2:$AZ$201,AZ119,$EE$2:$EE$201,1)&gt;1,1,0),0)</f>
        <v>0</v>
      </c>
      <c r="EG119" s="23" t="n">
        <f aca="false">IF(AND(CQ119=1),IF(COUNTIFS($AZ$2:$AZ$201,AZ119,$CQ$2:$CQ$201,1,$H$2:$H$201,"&gt;"&amp;H119)+COUNTIFS($AZ$2:$AZ$201,AZ119,$CQ$2:$CQ$201,1,$H$2:$H$201,H119,$BA$2:$BA$201,"&gt;"&amp;BA119)=0,1,0),0)</f>
        <v>0</v>
      </c>
      <c r="EH119" s="23" t="str">
        <f aca="false">IF(BB119=1,IF(COUNTIFS($AZ$2:$AZ$201,AZ119,$EG$2:$EG$201,1)=0,"",SUMIFS($O$2:$O$201,$AZ$2:$AZ$201,AZ119,$EG$2:$EG$201,1)),"")</f>
        <v/>
      </c>
      <c r="EI119" s="23" t="n">
        <f aca="false">IF(AND(ISNUMBER(EH119),OR(N(EH119)&lt;Config!$B$31,N(EH119)&gt;Config!$B$33)),1,0)</f>
        <v>0</v>
      </c>
      <c r="EJ119" s="23" t="n">
        <f aca="false">IF(AND(ISNUMBER(EH119),N(EH119)&gt;=Config!$B$31,N(EH119)&lt;Config!$B$32),1,0)</f>
        <v>0</v>
      </c>
      <c r="EK119" s="23" t="n">
        <f aca="false">IF(AND(BF119=1,INT(N(H119))&lt;=Config!$B$6,DH119=1,EI119=1),1,0)</f>
        <v>0</v>
      </c>
      <c r="EL119" s="23" t="n">
        <f aca="false">IF(AND(BF119=1,INT(N(H119))&lt;=Config!$B$7,DI119=1,EI119=1),1,0)</f>
        <v>0</v>
      </c>
      <c r="EM119" s="23" t="n">
        <f aca="false">IF(AND(BF119=1,INT(N(H119))&lt;=Config!$B$8,DJ119=1,EI119=1),1,0)</f>
        <v>0</v>
      </c>
      <c r="EN119" s="23" t="n">
        <f aca="false">IF(AND(BF119=1,INT(N(H119))&lt;=Config!$B$5,DK119=1,EI119=1),1,0)</f>
        <v>0</v>
      </c>
      <c r="EO119" s="23" t="n">
        <f aca="false">IF(AND(DL119=1,EJ119=1),1,0)</f>
        <v>0</v>
      </c>
      <c r="EP119" s="23" t="n">
        <f aca="false">IF(AND(DM119=1,EJ119=1),1,0)</f>
        <v>0</v>
      </c>
      <c r="EQ119" s="23" t="n">
        <f aca="false">IF(AND(DN119=1,EJ119=1),1,0)</f>
        <v>0</v>
      </c>
      <c r="ER119" s="23" t="n">
        <f aca="false">IF(AND(DO119=1,EJ119=1),1,0)</f>
        <v>0</v>
      </c>
    </row>
    <row r="120" customFormat="false" ht="15" hidden="false" customHeight="false" outlineLevel="0" collapsed="false">
      <c r="G120" s="32"/>
      <c r="H120" s="33"/>
      <c r="I120" s="32"/>
      <c r="L120" s="32"/>
      <c r="Q120" s="32"/>
      <c r="U120" s="32"/>
      <c r="W120" s="32"/>
      <c r="AC120" s="32"/>
      <c r="AF120" s="32"/>
      <c r="AI120" s="32"/>
      <c r="AJ120" s="32"/>
      <c r="AN120" s="32"/>
      <c r="AR120" s="32"/>
      <c r="AT120" s="32"/>
      <c r="AU120" s="32"/>
      <c r="AW120" s="32"/>
      <c r="AY120" s="34" t="str">
        <f aca="false">IF(TRIM($A120)="","",IF(AND(LEFT($A120,6)="SAMPLE",Config!$B$19&lt;&gt;"Y"),"",IF(NOT(ISNUMBER(H120)),"call_date is blank or not a date",IF(Sync!$C$5="","Clay paste is empty or has no row_id column: paste the Clay export on Clay_Offices",IF(CW120="","row_id not found in the Clay paste: add the Clay row or fix the row_id",IF(AND(ISNUMBER(CY120),CY120&gt;=1,CY120&lt;=5),"Clay status is "&amp;CX120&amp;": set call_done or later",IF(AND(BD120=1,CZ120&lt;&gt;BZ120),"Clay yes_in_principle should be "&amp;BZ120,IF(AND(BD120=1,DA120&lt;&gt;H120),"Clay call_date should be "&amp;TEXT(H120,"yyyy-mm-dd"),""))))))))</f>
        <v/>
      </c>
      <c r="AZ120" s="23" t="str">
        <f aca="false">IF(TRIM($A120)="","",IF(TRIM(C120)&lt;&gt;"",SUBSTITUTE(SUBSTITUTE(SUBSTITUTE(SUBSTITUTE(SUBSTITUTE(SUBSTITUTE(LOWER(TRIM(C120)),"~",""),"*",""),"?",""),"&lt;",""),"&gt;",""),"=",""),IF(EA120&lt;&gt;"",EA120,IFERROR(INDEX($EA$2:$EA$201,MATCH(DZ120,$EB$2:$EB$201,0)),DZ120))))</f>
        <v/>
      </c>
      <c r="BA120" s="23" t="n">
        <f aca="false">ROW()</f>
        <v>120</v>
      </c>
      <c r="BB120" s="23" t="n">
        <f aca="false">IF(AND(TRIM($A120)&lt;&gt;"",ISNUMBER(H120)),IF(AND(LEFT($A120,6)="SAMPLE",Config!$B$19&lt;&gt;"Y"),0,1),0)</f>
        <v>0</v>
      </c>
      <c r="BC120" s="23" t="n">
        <f aca="false">IF(BB120=1,IF(COUNTIFS($AZ$2:$AZ$201,AZ120,$BB$2:$BB$201,1,$H$2:$H$201,"&lt;"&amp;H120)+COUNTIFS($AZ$2:$AZ$201,AZ120,$BB$2:$BB$201,1,$H$2:$H$201,H120,$BA$2:$BA$201,"&lt;"&amp;BA120)=0,1,0),0)</f>
        <v>0</v>
      </c>
      <c r="BD120" s="23" t="n">
        <f aca="false">IF(BB120=1,IF(COUNTIFS($A$2:$A$201,$A120,$BB$2:$BB$201,1,$H$2:$H$201,"&gt;"&amp;H120)+COUNTIFS($A$2:$A$201,$A120,$BB$2:$BB$201,1,$H$2:$H$201,H120,$BA$2:$BA$201,"&gt;"&amp;BA120)=0,1,0),0)</f>
        <v>0</v>
      </c>
      <c r="BE120" s="23" t="n">
        <f aca="false">IF(AND(BB120=1,AR120="Y",AC120="Y",TRIM(AH120)&lt;&gt;""),1,0)</f>
        <v>0</v>
      </c>
      <c r="BF120" s="23" t="n">
        <f aca="false">IF(BE120=1,IF(COUNTIFS($AZ$2:$AZ$201,AZ120,$BE$2:$BE$201,1,$H$2:$H$201,"&lt;"&amp;H120)+COUNTIFS($AZ$2:$AZ$201,AZ120,$BE$2:$BE$201,1,$H$2:$H$201,H120,$BA$2:$BA$201,"&lt;"&amp;BA120)=0,1,0),0)</f>
        <v>0</v>
      </c>
      <c r="BG120" s="23" t="n">
        <f aca="false">IF(AND(BB120=1,AR120="Y",BE120=0),1,0)</f>
        <v>0</v>
      </c>
      <c r="BH120" s="23" t="n">
        <f aca="false">IF(AND(BB120=1,ISNUMBER(Y120)),1,0)</f>
        <v>0</v>
      </c>
      <c r="BI120" s="23" t="n">
        <f aca="false">IF(BH120=1,IF(COUNTIFS($AZ$2:$AZ$201,AZ120,$BH$2:$BH$201,1,$H$2:$H$201,"&lt;"&amp;H120)+COUNTIFS($AZ$2:$AZ$201,AZ120,$BH$2:$BH$201,1,$H$2:$H$201,H120,$BA$2:$BA$201,"&lt;"&amp;BA120)=0,1,0),0)</f>
        <v>0</v>
      </c>
      <c r="BJ120" s="23" t="str">
        <f aca="false">IF(AND(BI120=1,INT(N(H120))&lt;=Config!$B$6),Y120,"")</f>
        <v/>
      </c>
      <c r="BK120" s="23" t="str">
        <f aca="false">IF(AND(BI120=1,INT(N(H120))&lt;=Config!$B$7),Y120,"")</f>
        <v/>
      </c>
      <c r="BL120" s="23" t="str">
        <f aca="false">IF(AND(BI120=1,INT(N(H120))&lt;=Config!$B$8),Y120,"")</f>
        <v/>
      </c>
      <c r="BM120" s="23" t="str">
        <f aca="false">IF(AND(BI120=1,INT(N(H120))&lt;=Config!$B$5),Y120,"")</f>
        <v/>
      </c>
      <c r="BN120" s="23" t="n">
        <f aca="false">IF(CD120=1,IF(COUNTIFS($AZ$2:$AZ$201,AZ120,$CD$2:$CD$201,1,$H$2:$H$201,"&lt;"&amp;H120)+COUNTIFS($AZ$2:$AZ$201,AZ120,$CD$2:$CD$201,1,$H$2:$H$201,H120,$BA$2:$BA$201,"&lt;"&amp;BA120)=0,1,0),0)</f>
        <v>0</v>
      </c>
      <c r="BO120" s="23" t="n">
        <f aca="false">IF(AND(BB120=1,ISNUMBER(M120)),1,0)</f>
        <v>0</v>
      </c>
      <c r="BP120" s="23" t="n">
        <f aca="false">IF(BO120=1,IF(COUNTIFS($AZ$2:$AZ$201,AZ120,$BO$2:$BO$201,1,$H$2:$H$201,"&lt;"&amp;H120)+COUNTIFS($AZ$2:$AZ$201,AZ120,$BO$2:$BO$201,1,$H$2:$H$201,H120,$BA$2:$BA$201,"&lt;"&amp;BA120)=0,1,0),0)</f>
        <v>0</v>
      </c>
      <c r="BQ120" s="23" t="str">
        <f aca="false">IF(AND(BP120=1,INT(N(H120))&lt;=Config!$B$5),M120,"")</f>
        <v/>
      </c>
      <c r="BR120" s="23" t="n">
        <f aca="false">IF(AND(BB120=1,OR(TRIM(X120)&lt;&gt;"",ISNUMBER(Y120))),1,0)</f>
        <v>0</v>
      </c>
      <c r="BS120" s="23" t="n">
        <f aca="false">IF(BR120=1,IF(COUNTIFS($AZ$2:$AZ$201,AZ120,$BR$2:$BR$201,1,$H$2:$H$201,"&lt;"&amp;H120)+COUNTIFS($AZ$2:$AZ$201,AZ120,$BR$2:$BR$201,1,$H$2:$H$201,H120,$BA$2:$BA$201,"&lt;"&amp;BA120)=0,1,0),0)</f>
        <v>0</v>
      </c>
      <c r="BT120" s="23" t="str">
        <f aca="false">IF(BS120=1,AZ120,"")</f>
        <v/>
      </c>
      <c r="BU120" s="23" t="n">
        <f aca="false">IF(AND(BB120=1,W120="Y",TRIM(X120)=""),1,0)</f>
        <v>0</v>
      </c>
      <c r="BV120" s="23" t="str">
        <f aca="false">IF(BB120=1,AN120&amp;"","")</f>
        <v/>
      </c>
      <c r="BW120" s="23" t="str">
        <f aca="false">IF(BB120=1,AO120&amp;"","")</f>
        <v/>
      </c>
      <c r="BX120" s="23" t="str">
        <f aca="false">IF(BB120=1,AP120&amp;"","")</f>
        <v/>
      </c>
      <c r="BY120" s="23" t="str">
        <f aca="false">IF(AND(BB120=1,ISNUMBER(AV120),INT(N(H120))&lt;=Config!$B$5),AV120,"")</f>
        <v/>
      </c>
      <c r="BZ120" s="23" t="str">
        <f aca="false">IF(BB120=1,IF(COUNTIFS($A$2:$A$201,$A120,$DC$2:$DC$201,1,$AR$2:$AR$201,"Y")&gt;0,"Y","N"),"")</f>
        <v/>
      </c>
      <c r="CA120" s="23" t="n">
        <f aca="false">IF(AND(BB120=1,AR120="maybe"),1,0)</f>
        <v>0</v>
      </c>
      <c r="CB120" s="23" t="n">
        <f aca="false">IF(CA120=1,IF(COUNTIFS($AZ$2:$AZ$201,AZ120,$CA$2:$CA$201,1,$H$2:$H$201,"&lt;"&amp;H120)+COUNTIFS($AZ$2:$AZ$201,AZ120,$CA$2:$CA$201,1,$H$2:$H$201,H120,$BA$2:$BA$201,"&lt;"&amp;BA120)=0,1,0),0)</f>
        <v>0</v>
      </c>
      <c r="CC120" s="23" t="n">
        <f aca="false">IF(AND(BB120=1,AR120="Y"),IF(COUNTIFS($AZ$2:$AZ$201,AZ120,$AR$2:$AR$201,"Y",$BB$2:$BB$201,1,$H$2:$H$201,"&lt;"&amp;H120)+COUNTIFS($AZ$2:$AZ$201,AZ120,$AR$2:$AR$201,"Y",$BB$2:$BB$201,1,$H$2:$H$201,H120,$BA$2:$BA$201,"&lt;"&amp;BA120)=0,1,0),0)</f>
        <v>0</v>
      </c>
      <c r="CD120" s="23" t="n">
        <f aca="false">IF(AND(BH120=1,N(Y120)&gt;=Config!$B$15),1,0)</f>
        <v>0</v>
      </c>
      <c r="CE120" s="23" t="n">
        <f aca="false">IF(AND(BB120=1,AT120="Y"),1,0)</f>
        <v>0</v>
      </c>
      <c r="CF120" s="23" t="n">
        <f aca="false">IF(CE120=1,IF(COUNTIFS($AZ$2:$AZ$201,AZ120,$CE$2:$CE$201,1,$H$2:$H$201,"&lt;"&amp;H120)+COUNTIFS($AZ$2:$AZ$201,AZ120,$CE$2:$CE$201,1,$H$2:$H$201,H120,$BA$2:$BA$201,"&lt;"&amp;BA120)=0,1,0),0)</f>
        <v>0</v>
      </c>
      <c r="CG120" s="23" t="n">
        <f aca="false">IF(AND(BB120=1,G120="warm-intro"),1,0)</f>
        <v>0</v>
      </c>
      <c r="CH120" s="23" t="n">
        <f aca="false">IF(CG120=1,IF(COUNTIFS($AZ$2:$AZ$201,AZ120,$CG$2:$CG$201,1,$H$2:$H$201,"&lt;"&amp;H120)+COUNTIFS($AZ$2:$AZ$201,AZ120,$CG$2:$CG$201,1,$H$2:$H$201,H120,$BA$2:$BA$201,"&lt;"&amp;BA120)=0,1,0),0)</f>
        <v>0</v>
      </c>
      <c r="CI120" s="23" t="n">
        <f aca="false">IF(AND(BB120=1,Q120="Y"),1,0)</f>
        <v>0</v>
      </c>
      <c r="CJ120" s="23" t="n">
        <f aca="false">IF(CI120=1,IF(COUNTIFS($AZ$2:$AZ$201,AZ120,$CI$2:$CI$201,1,$H$2:$H$201,"&lt;"&amp;H120)+COUNTIFS($AZ$2:$AZ$201,AZ120,$CI$2:$CI$201,1,$H$2:$H$201,H120,$BA$2:$BA$201,"&lt;"&amp;BA120)=0,1,0),0)</f>
        <v>0</v>
      </c>
      <c r="CK120" s="23" t="n">
        <f aca="false">IF(AND(BB120=1,AF120="Y"),1,0)</f>
        <v>0</v>
      </c>
      <c r="CL120" s="23" t="n">
        <f aca="false">IF(CK120=1,IF(COUNTIFS($AZ$2:$AZ$201,AZ120,$CK$2:$CK$201,1,$H$2:$H$201,"&lt;"&amp;H120)+COUNTIFS($AZ$2:$AZ$201,AZ120,$CK$2:$CK$201,1,$H$2:$H$201,H120,$BA$2:$BA$201,"&lt;"&amp;BA120)=0,1,0),0)</f>
        <v>0</v>
      </c>
      <c r="CM120" s="23" t="n">
        <f aca="false">IF(AND(BB120=1,U120="Y"),1,0)</f>
        <v>0</v>
      </c>
      <c r="CN120" s="23" t="n">
        <f aca="false">IF(CM120=1,IF(COUNTIFS($AZ$2:$AZ$201,AZ120,$CM$2:$CM$201,1,$H$2:$H$201,"&lt;"&amp;H120)+COUNTIFS($AZ$2:$AZ$201,AZ120,$CM$2:$CM$201,1,$H$2:$H$201,H120,$BA$2:$BA$201,"&lt;"&amp;BA120)=0,1,0),0)</f>
        <v>0</v>
      </c>
      <c r="CO120" s="23" t="n">
        <f aca="false">IF(AND(BB120=1,L120="Y"),1,0)</f>
        <v>0</v>
      </c>
      <c r="CP120" s="23" t="n">
        <f aca="false">IF(CO120=1,IF(COUNTIFS($AZ$2:$AZ$201,AZ120,$CO$2:$CO$201,1,$H$2:$H$201,"&lt;"&amp;H120)+COUNTIFS($AZ$2:$AZ$201,AZ120,$CO$2:$CO$201,1,$H$2:$H$201,H120,$BA$2:$BA$201,"&lt;"&amp;BA120)=0,1,0),0)</f>
        <v>0</v>
      </c>
      <c r="CQ120" s="23" t="n">
        <f aca="false">IF(AND(BB120=1,ISNUMBER(O120)),1,0)</f>
        <v>0</v>
      </c>
      <c r="CR120" s="23" t="n">
        <f aca="false">IF(CQ120=1,IF(COUNTIFS($AZ$2:$AZ$201,AZ120,$CQ$2:$CQ$201,1,$H$2:$H$201,"&lt;"&amp;H120)+COUNTIFS($AZ$2:$AZ$201,AZ120,$CQ$2:$CQ$201,1,$H$2:$H$201,H120,$BA$2:$BA$201,"&lt;"&amp;BA120)=0,1,0),0)</f>
        <v>0</v>
      </c>
      <c r="CS120" s="23" t="str">
        <f aca="false">IF(AND(CR120=1,INT(N(H120))&lt;=Config!$B$5),O120,"")</f>
        <v/>
      </c>
      <c r="CT120" s="23" t="str">
        <f aca="false">IF(AND(BB120=1,INT(N(H120))&lt;=Config!$B$5),AG120&amp;"","")</f>
        <v/>
      </c>
      <c r="CU120" s="23" t="n">
        <f aca="false">IF(AND(BB120=1,AU120="Y"),1,0)</f>
        <v>0</v>
      </c>
      <c r="CV120" s="23" t="n">
        <f aca="false">IF(CU120=1,IF(COUNTIFS($AZ$2:$AZ$201,AZ120,$CU$2:$CU$201,1,$H$2:$H$201,"&lt;"&amp;H120)+COUNTIFS($AZ$2:$AZ$201,AZ120,$CU$2:$CU$201,1,$H$2:$H$201,H120,$BA$2:$BA$201,"&lt;"&amp;BA120)=0,1,0),0)</f>
        <v>0</v>
      </c>
      <c r="CW120" s="23" t="str">
        <f aca="false">IF(BB120=1,IFERROR(MATCH($A120,INDEX(Clay_Offices!$A$2:$FZ$601,0,Sync!$C$5),0),""),"")</f>
        <v/>
      </c>
      <c r="CX120" s="23" t="str">
        <f aca="false">IF(CW120="","",IFERROR(INDEX(Clay_Offices!$A$2:$FZ$601,CW120,Sync!$C$7)&amp;"",""))</f>
        <v/>
      </c>
      <c r="CY120" s="23" t="str">
        <f aca="false">IF(CX120="","",IFERROR(INDEX(Lists!$K$2:$K$15,MATCH(CX120,Lists!$J$2:$J$15,0)),""))</f>
        <v/>
      </c>
      <c r="CZ120" s="23" t="str">
        <f aca="false">IF(CW120="","",IFERROR(INDEX(Clay_Offices!$A$2:$FZ$601,CW120,Sync!$C$17)&amp;"",""))</f>
        <v/>
      </c>
      <c r="DA120" s="35" t="str">
        <f aca="false">IF(CW120="","",IFERROR(N(INDEX(Clay_Offices!$A$2:$FZ$601,CW120,Sync!$C$16)),0))</f>
        <v/>
      </c>
      <c r="DB120" s="23" t="n">
        <f aca="false">IF(AND(BB120=1,OR(AR120="Y",AR120="N",AR120="maybe")),1,0)</f>
        <v>0</v>
      </c>
      <c r="DC120" s="23" t="n">
        <f aca="false">IF(AND(DB120=1),IF(COUNTIFS($A$2:$A$201,$A120,$DB$2:$DB$201,1,$H$2:$H$201,"&gt;"&amp;H120)+COUNTIFS($A$2:$A$201,$A120,$DB$2:$DB$201,1,$H$2:$H$201,H120,$BA$2:$BA$201,"&gt;"&amp;BA120)=0,1,0),0)</f>
        <v>0</v>
      </c>
      <c r="DD120" s="23" t="n">
        <f aca="false">IF(AND(DB120=1,INT(N(H120))&lt;=Config!$B$6),IF(COUNTIFS($AZ$2:$AZ$201,AZ120,$DB$2:$DB$201,1,$H$2:$H$201,"&gt;"&amp;H120,$H$2:$H$201,"&lt;"&amp;(Config!$B$6+1))+COUNTIFS($AZ$2:$AZ$201,AZ120,$DB$2:$DB$201,1,$H$2:$H$201,H120,$BA$2:$BA$201,"&gt;"&amp;BA120)=0,1,0),0)</f>
        <v>0</v>
      </c>
      <c r="DE120" s="23" t="n">
        <f aca="false">IF(AND(DB120=1,INT(N(H120))&lt;=Config!$B$7),IF(COUNTIFS($AZ$2:$AZ$201,AZ120,$DB$2:$DB$201,1,$H$2:$H$201,"&gt;"&amp;H120,$H$2:$H$201,"&lt;"&amp;(Config!$B$7+1))+COUNTIFS($AZ$2:$AZ$201,AZ120,$DB$2:$DB$201,1,$H$2:$H$201,H120,$BA$2:$BA$201,"&gt;"&amp;BA120)=0,1,0),0)</f>
        <v>0</v>
      </c>
      <c r="DF120" s="23" t="n">
        <f aca="false">IF(AND(DB120=1,INT(N(H120))&lt;=Config!$B$8),IF(COUNTIFS($AZ$2:$AZ$201,AZ120,$DB$2:$DB$201,1,$H$2:$H$201,"&gt;"&amp;H120,$H$2:$H$201,"&lt;"&amp;(Config!$B$8+1))+COUNTIFS($AZ$2:$AZ$201,AZ120,$DB$2:$DB$201,1,$H$2:$H$201,H120,$BA$2:$BA$201,"&gt;"&amp;BA120)=0,1,0),0)</f>
        <v>0</v>
      </c>
      <c r="DG120" s="23" t="n">
        <f aca="false">IF(AND(DB120=1,INT(N(H120))&lt;=Config!$B$5),IF(COUNTIFS($AZ$2:$AZ$201,AZ120,$DB$2:$DB$201,1,$H$2:$H$201,"&gt;"&amp;H120,$H$2:$H$201,"&lt;"&amp;(Config!$B$5+1))+COUNTIFS($AZ$2:$AZ$201,AZ120,$DB$2:$DB$201,1,$H$2:$H$201,H120,$BA$2:$BA$201,"&gt;"&amp;BA120)=0,1,0),0)</f>
        <v>0</v>
      </c>
      <c r="DH120" s="23" t="n">
        <f aca="false">IF(BB120=1,IF(COUNTIFS($AZ$2:$AZ$201,AZ120,$DD$2:$DD$201,1,$AR$2:$AR$201,"Y")&gt;0,1,0),0)</f>
        <v>0</v>
      </c>
      <c r="DI120" s="23" t="n">
        <f aca="false">IF(BB120=1,IF(COUNTIFS($AZ$2:$AZ$201,AZ120,$DE$2:$DE$201,1,$AR$2:$AR$201,"Y")&gt;0,1,0),0)</f>
        <v>0</v>
      </c>
      <c r="DJ120" s="23" t="n">
        <f aca="false">IF(BB120=1,IF(COUNTIFS($AZ$2:$AZ$201,AZ120,$DF$2:$DF$201,1,$AR$2:$AR$201,"Y")&gt;0,1,0),0)</f>
        <v>0</v>
      </c>
      <c r="DK120" s="23" t="n">
        <f aca="false">IF(BB120=1,IF(COUNTIFS($AZ$2:$AZ$201,AZ120,$DG$2:$DG$201,1,$AR$2:$AR$201,"Y")&gt;0,1,0),0)</f>
        <v>0</v>
      </c>
      <c r="DL120" s="23" t="n">
        <f aca="false">IF(AND(BF120=1,INT(N(H120))&lt;=Config!$B$6,DH120=1,EI120=0),1,0)</f>
        <v>0</v>
      </c>
      <c r="DM120" s="23" t="n">
        <f aca="false">IF(AND(BF120=1,INT(N(H120))&lt;=Config!$B$7,DI120=1,EI120=0),1,0)</f>
        <v>0</v>
      </c>
      <c r="DN120" s="23" t="n">
        <f aca="false">IF(AND(BF120=1,INT(N(H120))&lt;=Config!$B$8,DJ120=1,EI120=0),1,0)</f>
        <v>0</v>
      </c>
      <c r="DO120" s="23" t="n">
        <f aca="false">IF(AND(BF120=1,INT(N(H120))&lt;=Config!$B$5,DK120=1,EI120=0),1,0)</f>
        <v>0</v>
      </c>
      <c r="DP120" s="23" t="n">
        <f aca="false">IF(AND(CC120=1,INT(N(H120))&lt;=Config!$B$6,DH120=1,EI120=0),1,0)</f>
        <v>0</v>
      </c>
      <c r="DQ120" s="23" t="n">
        <f aca="false">IF(AND(CC120=1,INT(N(H120))&lt;=Config!$B$7,DI120=1,EI120=0),1,0)</f>
        <v>0</v>
      </c>
      <c r="DR120" s="23" t="n">
        <f aca="false">IF(AND(CC120=1,INT(N(H120))&lt;=Config!$B$8,DJ120=1,EI120=0),1,0)</f>
        <v>0</v>
      </c>
      <c r="DS120" s="23" t="n">
        <f aca="false">IF(AND(CC120=1,INT(N(H120))&lt;=Config!$B$5,DK120=1,EI120=0),1,0)</f>
        <v>0</v>
      </c>
      <c r="DT120" s="23" t="n">
        <f aca="false">IF(AND(CC120=1,INT(N(H120))&lt;=Config!$B$6,DH120=0),1,0)</f>
        <v>0</v>
      </c>
      <c r="DU120" s="23" t="n">
        <f aca="false">IF(AND(CC120=1,INT(N(H120))&lt;=Config!$B$7,DI120=0),1,0)</f>
        <v>0</v>
      </c>
      <c r="DV120" s="23" t="n">
        <f aca="false">IF(AND(CC120=1,INT(N(H120))&lt;=Config!$B$8,DJ120=0),1,0)</f>
        <v>0</v>
      </c>
      <c r="DW120" s="23" t="n">
        <f aca="false">IF(AND(CC120=1,INT(N(H120))&lt;=Config!$B$5,DK120=0),1,0)</f>
        <v>0</v>
      </c>
      <c r="DX120" s="23" t="n">
        <f aca="false">IF(TRIM($A120)="",0,ISTEXT(M120)+ISTEXT(O120)+ISTEXT(Y120)+ISTEXT(Z120)+ISTEXT(AA120)+ISTEXT(AV120))</f>
        <v>0</v>
      </c>
      <c r="DY120" s="23" t="n">
        <f aca="false">IF(BB120=1,IF(H120&lt;&gt;INT(H120),1,0),0)</f>
        <v>0</v>
      </c>
      <c r="DZ120" s="23" t="str">
        <f aca="false">IF(TRIM($A120)="","",IF(TRIM(B120)="",SUBSTITUTE(SUBSTITUTE(SUBSTITUTE(SUBSTITUTE(SUBSTITUTE(SUBSTITUTE(LOWER(TRIM($A120)),"~",""),"*",""),"?",""),"&lt;",""),"&gt;",""),"=",""),SUBSTITUTE(SUBSTITUTE(SUBSTITUTE(SUBSTITUTE(SUBSTITUTE(SUBSTITUTE(LOWER(TRIM(B120)),"~",""),"*",""),"?",""),"&lt;",""),"&gt;",""),"=","")))</f>
        <v/>
      </c>
      <c r="EA120" s="23" t="str">
        <f aca="false">IF(CW120="","",IFERROR(IF(LEFT(LOWER(TRIM(INDEX(Clay_Offices!$A$2:$FZ$601,CW120,Sync!$C$19)&amp;"")),4)="grp-",SUBSTITUTE(SUBSTITUTE(SUBSTITUTE(SUBSTITUTE(SUBSTITUTE(SUBSTITUTE(LOWER(TRIM(INDEX(Clay_Offices!$A$2:$FZ$601,CW120,Sync!$C$19)&amp;"")),"~",""),"*",""),"?",""),"&lt;",""),"&gt;",""),"=",""),""),""))</f>
        <v/>
      </c>
      <c r="EB120" s="23" t="str">
        <f aca="false">IF(EA120&lt;&gt;"",DZ120,"")</f>
        <v/>
      </c>
      <c r="EC120" s="23" t="str">
        <f aca="false">IF(BC120=1,AZ120,"")</f>
        <v/>
      </c>
      <c r="ED120" s="23" t="str">
        <f aca="false">IF(TRIM($A120)="","",IFERROR(INDEX($A$2:$A$201,MATCH(AZ120,$EC$2:$EC$201,0))&amp;"",$A120&amp;""))</f>
        <v/>
      </c>
      <c r="EE120" s="23" t="n">
        <f aca="false">IF(BB120=1,IF(COUNTIFS($A$2:$A$201,$A120,$BB$2:$BB$201,1,$H$2:$H$201,"&lt;"&amp;H120)+COUNTIFS($A$2:$A$201,$A120,$BB$2:$BB$201,1,$H$2:$H$201,H120,$BA$2:$BA$201,"&lt;"&amp;BA120)=0,1,0),0)</f>
        <v>0</v>
      </c>
      <c r="EF120" s="23" t="n">
        <f aca="false">IF(BC120=1,IF(COUNTIFS($AZ$2:$AZ$201,AZ120,$EE$2:$EE$201,1)&gt;1,1,0),0)</f>
        <v>0</v>
      </c>
      <c r="EG120" s="23" t="n">
        <f aca="false">IF(AND(CQ120=1),IF(COUNTIFS($AZ$2:$AZ$201,AZ120,$CQ$2:$CQ$201,1,$H$2:$H$201,"&gt;"&amp;H120)+COUNTIFS($AZ$2:$AZ$201,AZ120,$CQ$2:$CQ$201,1,$H$2:$H$201,H120,$BA$2:$BA$201,"&gt;"&amp;BA120)=0,1,0),0)</f>
        <v>0</v>
      </c>
      <c r="EH120" s="23" t="str">
        <f aca="false">IF(BB120=1,IF(COUNTIFS($AZ$2:$AZ$201,AZ120,$EG$2:$EG$201,1)=0,"",SUMIFS($O$2:$O$201,$AZ$2:$AZ$201,AZ120,$EG$2:$EG$201,1)),"")</f>
        <v/>
      </c>
      <c r="EI120" s="23" t="n">
        <f aca="false">IF(AND(ISNUMBER(EH120),OR(N(EH120)&lt;Config!$B$31,N(EH120)&gt;Config!$B$33)),1,0)</f>
        <v>0</v>
      </c>
      <c r="EJ120" s="23" t="n">
        <f aca="false">IF(AND(ISNUMBER(EH120),N(EH120)&gt;=Config!$B$31,N(EH120)&lt;Config!$B$32),1,0)</f>
        <v>0</v>
      </c>
      <c r="EK120" s="23" t="n">
        <f aca="false">IF(AND(BF120=1,INT(N(H120))&lt;=Config!$B$6,DH120=1,EI120=1),1,0)</f>
        <v>0</v>
      </c>
      <c r="EL120" s="23" t="n">
        <f aca="false">IF(AND(BF120=1,INT(N(H120))&lt;=Config!$B$7,DI120=1,EI120=1),1,0)</f>
        <v>0</v>
      </c>
      <c r="EM120" s="23" t="n">
        <f aca="false">IF(AND(BF120=1,INT(N(H120))&lt;=Config!$B$8,DJ120=1,EI120=1),1,0)</f>
        <v>0</v>
      </c>
      <c r="EN120" s="23" t="n">
        <f aca="false">IF(AND(BF120=1,INT(N(H120))&lt;=Config!$B$5,DK120=1,EI120=1),1,0)</f>
        <v>0</v>
      </c>
      <c r="EO120" s="23" t="n">
        <f aca="false">IF(AND(DL120=1,EJ120=1),1,0)</f>
        <v>0</v>
      </c>
      <c r="EP120" s="23" t="n">
        <f aca="false">IF(AND(DM120=1,EJ120=1),1,0)</f>
        <v>0</v>
      </c>
      <c r="EQ120" s="23" t="n">
        <f aca="false">IF(AND(DN120=1,EJ120=1),1,0)</f>
        <v>0</v>
      </c>
      <c r="ER120" s="23" t="n">
        <f aca="false">IF(AND(DO120=1,EJ120=1),1,0)</f>
        <v>0</v>
      </c>
    </row>
    <row r="121" customFormat="false" ht="15" hidden="false" customHeight="false" outlineLevel="0" collapsed="false">
      <c r="G121" s="32"/>
      <c r="H121" s="33"/>
      <c r="I121" s="32"/>
      <c r="L121" s="32"/>
      <c r="Q121" s="32"/>
      <c r="U121" s="32"/>
      <c r="W121" s="32"/>
      <c r="AC121" s="32"/>
      <c r="AF121" s="32"/>
      <c r="AI121" s="32"/>
      <c r="AJ121" s="32"/>
      <c r="AN121" s="32"/>
      <c r="AR121" s="32"/>
      <c r="AT121" s="32"/>
      <c r="AU121" s="32"/>
      <c r="AW121" s="32"/>
      <c r="AY121" s="34" t="str">
        <f aca="false">IF(TRIM($A121)="","",IF(AND(LEFT($A121,6)="SAMPLE",Config!$B$19&lt;&gt;"Y"),"",IF(NOT(ISNUMBER(H121)),"call_date is blank or not a date",IF(Sync!$C$5="","Clay paste is empty or has no row_id column: paste the Clay export on Clay_Offices",IF(CW121="","row_id not found in the Clay paste: add the Clay row or fix the row_id",IF(AND(ISNUMBER(CY121),CY121&gt;=1,CY121&lt;=5),"Clay status is "&amp;CX121&amp;": set call_done or later",IF(AND(BD121=1,CZ121&lt;&gt;BZ121),"Clay yes_in_principle should be "&amp;BZ121,IF(AND(BD121=1,DA121&lt;&gt;H121),"Clay call_date should be "&amp;TEXT(H121,"yyyy-mm-dd"),""))))))))</f>
        <v/>
      </c>
      <c r="AZ121" s="23" t="str">
        <f aca="false">IF(TRIM($A121)="","",IF(TRIM(C121)&lt;&gt;"",SUBSTITUTE(SUBSTITUTE(SUBSTITUTE(SUBSTITUTE(SUBSTITUTE(SUBSTITUTE(LOWER(TRIM(C121)),"~",""),"*",""),"?",""),"&lt;",""),"&gt;",""),"=",""),IF(EA121&lt;&gt;"",EA121,IFERROR(INDEX($EA$2:$EA$201,MATCH(DZ121,$EB$2:$EB$201,0)),DZ121))))</f>
        <v/>
      </c>
      <c r="BA121" s="23" t="n">
        <f aca="false">ROW()</f>
        <v>121</v>
      </c>
      <c r="BB121" s="23" t="n">
        <f aca="false">IF(AND(TRIM($A121)&lt;&gt;"",ISNUMBER(H121)),IF(AND(LEFT($A121,6)="SAMPLE",Config!$B$19&lt;&gt;"Y"),0,1),0)</f>
        <v>0</v>
      </c>
      <c r="BC121" s="23" t="n">
        <f aca="false">IF(BB121=1,IF(COUNTIFS($AZ$2:$AZ$201,AZ121,$BB$2:$BB$201,1,$H$2:$H$201,"&lt;"&amp;H121)+COUNTIFS($AZ$2:$AZ$201,AZ121,$BB$2:$BB$201,1,$H$2:$H$201,H121,$BA$2:$BA$201,"&lt;"&amp;BA121)=0,1,0),0)</f>
        <v>0</v>
      </c>
      <c r="BD121" s="23" t="n">
        <f aca="false">IF(BB121=1,IF(COUNTIFS($A$2:$A$201,$A121,$BB$2:$BB$201,1,$H$2:$H$201,"&gt;"&amp;H121)+COUNTIFS($A$2:$A$201,$A121,$BB$2:$BB$201,1,$H$2:$H$201,H121,$BA$2:$BA$201,"&gt;"&amp;BA121)=0,1,0),0)</f>
        <v>0</v>
      </c>
      <c r="BE121" s="23" t="n">
        <f aca="false">IF(AND(BB121=1,AR121="Y",AC121="Y",TRIM(AH121)&lt;&gt;""),1,0)</f>
        <v>0</v>
      </c>
      <c r="BF121" s="23" t="n">
        <f aca="false">IF(BE121=1,IF(COUNTIFS($AZ$2:$AZ$201,AZ121,$BE$2:$BE$201,1,$H$2:$H$201,"&lt;"&amp;H121)+COUNTIFS($AZ$2:$AZ$201,AZ121,$BE$2:$BE$201,1,$H$2:$H$201,H121,$BA$2:$BA$201,"&lt;"&amp;BA121)=0,1,0),0)</f>
        <v>0</v>
      </c>
      <c r="BG121" s="23" t="n">
        <f aca="false">IF(AND(BB121=1,AR121="Y",BE121=0),1,0)</f>
        <v>0</v>
      </c>
      <c r="BH121" s="23" t="n">
        <f aca="false">IF(AND(BB121=1,ISNUMBER(Y121)),1,0)</f>
        <v>0</v>
      </c>
      <c r="BI121" s="23" t="n">
        <f aca="false">IF(BH121=1,IF(COUNTIFS($AZ$2:$AZ$201,AZ121,$BH$2:$BH$201,1,$H$2:$H$201,"&lt;"&amp;H121)+COUNTIFS($AZ$2:$AZ$201,AZ121,$BH$2:$BH$201,1,$H$2:$H$201,H121,$BA$2:$BA$201,"&lt;"&amp;BA121)=0,1,0),0)</f>
        <v>0</v>
      </c>
      <c r="BJ121" s="23" t="str">
        <f aca="false">IF(AND(BI121=1,INT(N(H121))&lt;=Config!$B$6),Y121,"")</f>
        <v/>
      </c>
      <c r="BK121" s="23" t="str">
        <f aca="false">IF(AND(BI121=1,INT(N(H121))&lt;=Config!$B$7),Y121,"")</f>
        <v/>
      </c>
      <c r="BL121" s="23" t="str">
        <f aca="false">IF(AND(BI121=1,INT(N(H121))&lt;=Config!$B$8),Y121,"")</f>
        <v/>
      </c>
      <c r="BM121" s="23" t="str">
        <f aca="false">IF(AND(BI121=1,INT(N(H121))&lt;=Config!$B$5),Y121,"")</f>
        <v/>
      </c>
      <c r="BN121" s="23" t="n">
        <f aca="false">IF(CD121=1,IF(COUNTIFS($AZ$2:$AZ$201,AZ121,$CD$2:$CD$201,1,$H$2:$H$201,"&lt;"&amp;H121)+COUNTIFS($AZ$2:$AZ$201,AZ121,$CD$2:$CD$201,1,$H$2:$H$201,H121,$BA$2:$BA$201,"&lt;"&amp;BA121)=0,1,0),0)</f>
        <v>0</v>
      </c>
      <c r="BO121" s="23" t="n">
        <f aca="false">IF(AND(BB121=1,ISNUMBER(M121)),1,0)</f>
        <v>0</v>
      </c>
      <c r="BP121" s="23" t="n">
        <f aca="false">IF(BO121=1,IF(COUNTIFS($AZ$2:$AZ$201,AZ121,$BO$2:$BO$201,1,$H$2:$H$201,"&lt;"&amp;H121)+COUNTIFS($AZ$2:$AZ$201,AZ121,$BO$2:$BO$201,1,$H$2:$H$201,H121,$BA$2:$BA$201,"&lt;"&amp;BA121)=0,1,0),0)</f>
        <v>0</v>
      </c>
      <c r="BQ121" s="23" t="str">
        <f aca="false">IF(AND(BP121=1,INT(N(H121))&lt;=Config!$B$5),M121,"")</f>
        <v/>
      </c>
      <c r="BR121" s="23" t="n">
        <f aca="false">IF(AND(BB121=1,OR(TRIM(X121)&lt;&gt;"",ISNUMBER(Y121))),1,0)</f>
        <v>0</v>
      </c>
      <c r="BS121" s="23" t="n">
        <f aca="false">IF(BR121=1,IF(COUNTIFS($AZ$2:$AZ$201,AZ121,$BR$2:$BR$201,1,$H$2:$H$201,"&lt;"&amp;H121)+COUNTIFS($AZ$2:$AZ$201,AZ121,$BR$2:$BR$201,1,$H$2:$H$201,H121,$BA$2:$BA$201,"&lt;"&amp;BA121)=0,1,0),0)</f>
        <v>0</v>
      </c>
      <c r="BT121" s="23" t="str">
        <f aca="false">IF(BS121=1,AZ121,"")</f>
        <v/>
      </c>
      <c r="BU121" s="23" t="n">
        <f aca="false">IF(AND(BB121=1,W121="Y",TRIM(X121)=""),1,0)</f>
        <v>0</v>
      </c>
      <c r="BV121" s="23" t="str">
        <f aca="false">IF(BB121=1,AN121&amp;"","")</f>
        <v/>
      </c>
      <c r="BW121" s="23" t="str">
        <f aca="false">IF(BB121=1,AO121&amp;"","")</f>
        <v/>
      </c>
      <c r="BX121" s="23" t="str">
        <f aca="false">IF(BB121=1,AP121&amp;"","")</f>
        <v/>
      </c>
      <c r="BY121" s="23" t="str">
        <f aca="false">IF(AND(BB121=1,ISNUMBER(AV121),INT(N(H121))&lt;=Config!$B$5),AV121,"")</f>
        <v/>
      </c>
      <c r="BZ121" s="23" t="str">
        <f aca="false">IF(BB121=1,IF(COUNTIFS($A$2:$A$201,$A121,$DC$2:$DC$201,1,$AR$2:$AR$201,"Y")&gt;0,"Y","N"),"")</f>
        <v/>
      </c>
      <c r="CA121" s="23" t="n">
        <f aca="false">IF(AND(BB121=1,AR121="maybe"),1,0)</f>
        <v>0</v>
      </c>
      <c r="CB121" s="23" t="n">
        <f aca="false">IF(CA121=1,IF(COUNTIFS($AZ$2:$AZ$201,AZ121,$CA$2:$CA$201,1,$H$2:$H$201,"&lt;"&amp;H121)+COUNTIFS($AZ$2:$AZ$201,AZ121,$CA$2:$CA$201,1,$H$2:$H$201,H121,$BA$2:$BA$201,"&lt;"&amp;BA121)=0,1,0),0)</f>
        <v>0</v>
      </c>
      <c r="CC121" s="23" t="n">
        <f aca="false">IF(AND(BB121=1,AR121="Y"),IF(COUNTIFS($AZ$2:$AZ$201,AZ121,$AR$2:$AR$201,"Y",$BB$2:$BB$201,1,$H$2:$H$201,"&lt;"&amp;H121)+COUNTIFS($AZ$2:$AZ$201,AZ121,$AR$2:$AR$201,"Y",$BB$2:$BB$201,1,$H$2:$H$201,H121,$BA$2:$BA$201,"&lt;"&amp;BA121)=0,1,0),0)</f>
        <v>0</v>
      </c>
      <c r="CD121" s="23" t="n">
        <f aca="false">IF(AND(BH121=1,N(Y121)&gt;=Config!$B$15),1,0)</f>
        <v>0</v>
      </c>
      <c r="CE121" s="23" t="n">
        <f aca="false">IF(AND(BB121=1,AT121="Y"),1,0)</f>
        <v>0</v>
      </c>
      <c r="CF121" s="23" t="n">
        <f aca="false">IF(CE121=1,IF(COUNTIFS($AZ$2:$AZ$201,AZ121,$CE$2:$CE$201,1,$H$2:$H$201,"&lt;"&amp;H121)+COUNTIFS($AZ$2:$AZ$201,AZ121,$CE$2:$CE$201,1,$H$2:$H$201,H121,$BA$2:$BA$201,"&lt;"&amp;BA121)=0,1,0),0)</f>
        <v>0</v>
      </c>
      <c r="CG121" s="23" t="n">
        <f aca="false">IF(AND(BB121=1,G121="warm-intro"),1,0)</f>
        <v>0</v>
      </c>
      <c r="CH121" s="23" t="n">
        <f aca="false">IF(CG121=1,IF(COUNTIFS($AZ$2:$AZ$201,AZ121,$CG$2:$CG$201,1,$H$2:$H$201,"&lt;"&amp;H121)+COUNTIFS($AZ$2:$AZ$201,AZ121,$CG$2:$CG$201,1,$H$2:$H$201,H121,$BA$2:$BA$201,"&lt;"&amp;BA121)=0,1,0),0)</f>
        <v>0</v>
      </c>
      <c r="CI121" s="23" t="n">
        <f aca="false">IF(AND(BB121=1,Q121="Y"),1,0)</f>
        <v>0</v>
      </c>
      <c r="CJ121" s="23" t="n">
        <f aca="false">IF(CI121=1,IF(COUNTIFS($AZ$2:$AZ$201,AZ121,$CI$2:$CI$201,1,$H$2:$H$201,"&lt;"&amp;H121)+COUNTIFS($AZ$2:$AZ$201,AZ121,$CI$2:$CI$201,1,$H$2:$H$201,H121,$BA$2:$BA$201,"&lt;"&amp;BA121)=0,1,0),0)</f>
        <v>0</v>
      </c>
      <c r="CK121" s="23" t="n">
        <f aca="false">IF(AND(BB121=1,AF121="Y"),1,0)</f>
        <v>0</v>
      </c>
      <c r="CL121" s="23" t="n">
        <f aca="false">IF(CK121=1,IF(COUNTIFS($AZ$2:$AZ$201,AZ121,$CK$2:$CK$201,1,$H$2:$H$201,"&lt;"&amp;H121)+COUNTIFS($AZ$2:$AZ$201,AZ121,$CK$2:$CK$201,1,$H$2:$H$201,H121,$BA$2:$BA$201,"&lt;"&amp;BA121)=0,1,0),0)</f>
        <v>0</v>
      </c>
      <c r="CM121" s="23" t="n">
        <f aca="false">IF(AND(BB121=1,U121="Y"),1,0)</f>
        <v>0</v>
      </c>
      <c r="CN121" s="23" t="n">
        <f aca="false">IF(CM121=1,IF(COUNTIFS($AZ$2:$AZ$201,AZ121,$CM$2:$CM$201,1,$H$2:$H$201,"&lt;"&amp;H121)+COUNTIFS($AZ$2:$AZ$201,AZ121,$CM$2:$CM$201,1,$H$2:$H$201,H121,$BA$2:$BA$201,"&lt;"&amp;BA121)=0,1,0),0)</f>
        <v>0</v>
      </c>
      <c r="CO121" s="23" t="n">
        <f aca="false">IF(AND(BB121=1,L121="Y"),1,0)</f>
        <v>0</v>
      </c>
      <c r="CP121" s="23" t="n">
        <f aca="false">IF(CO121=1,IF(COUNTIFS($AZ$2:$AZ$201,AZ121,$CO$2:$CO$201,1,$H$2:$H$201,"&lt;"&amp;H121)+COUNTIFS($AZ$2:$AZ$201,AZ121,$CO$2:$CO$201,1,$H$2:$H$201,H121,$BA$2:$BA$201,"&lt;"&amp;BA121)=0,1,0),0)</f>
        <v>0</v>
      </c>
      <c r="CQ121" s="23" t="n">
        <f aca="false">IF(AND(BB121=1,ISNUMBER(O121)),1,0)</f>
        <v>0</v>
      </c>
      <c r="CR121" s="23" t="n">
        <f aca="false">IF(CQ121=1,IF(COUNTIFS($AZ$2:$AZ$201,AZ121,$CQ$2:$CQ$201,1,$H$2:$H$201,"&lt;"&amp;H121)+COUNTIFS($AZ$2:$AZ$201,AZ121,$CQ$2:$CQ$201,1,$H$2:$H$201,H121,$BA$2:$BA$201,"&lt;"&amp;BA121)=0,1,0),0)</f>
        <v>0</v>
      </c>
      <c r="CS121" s="23" t="str">
        <f aca="false">IF(AND(CR121=1,INT(N(H121))&lt;=Config!$B$5),O121,"")</f>
        <v/>
      </c>
      <c r="CT121" s="23" t="str">
        <f aca="false">IF(AND(BB121=1,INT(N(H121))&lt;=Config!$B$5),AG121&amp;"","")</f>
        <v/>
      </c>
      <c r="CU121" s="23" t="n">
        <f aca="false">IF(AND(BB121=1,AU121="Y"),1,0)</f>
        <v>0</v>
      </c>
      <c r="CV121" s="23" t="n">
        <f aca="false">IF(CU121=1,IF(COUNTIFS($AZ$2:$AZ$201,AZ121,$CU$2:$CU$201,1,$H$2:$H$201,"&lt;"&amp;H121)+COUNTIFS($AZ$2:$AZ$201,AZ121,$CU$2:$CU$201,1,$H$2:$H$201,H121,$BA$2:$BA$201,"&lt;"&amp;BA121)=0,1,0),0)</f>
        <v>0</v>
      </c>
      <c r="CW121" s="23" t="str">
        <f aca="false">IF(BB121=1,IFERROR(MATCH($A121,INDEX(Clay_Offices!$A$2:$FZ$601,0,Sync!$C$5),0),""),"")</f>
        <v/>
      </c>
      <c r="CX121" s="23" t="str">
        <f aca="false">IF(CW121="","",IFERROR(INDEX(Clay_Offices!$A$2:$FZ$601,CW121,Sync!$C$7)&amp;"",""))</f>
        <v/>
      </c>
      <c r="CY121" s="23" t="str">
        <f aca="false">IF(CX121="","",IFERROR(INDEX(Lists!$K$2:$K$15,MATCH(CX121,Lists!$J$2:$J$15,0)),""))</f>
        <v/>
      </c>
      <c r="CZ121" s="23" t="str">
        <f aca="false">IF(CW121="","",IFERROR(INDEX(Clay_Offices!$A$2:$FZ$601,CW121,Sync!$C$17)&amp;"",""))</f>
        <v/>
      </c>
      <c r="DA121" s="35" t="str">
        <f aca="false">IF(CW121="","",IFERROR(N(INDEX(Clay_Offices!$A$2:$FZ$601,CW121,Sync!$C$16)),0))</f>
        <v/>
      </c>
      <c r="DB121" s="23" t="n">
        <f aca="false">IF(AND(BB121=1,OR(AR121="Y",AR121="N",AR121="maybe")),1,0)</f>
        <v>0</v>
      </c>
      <c r="DC121" s="23" t="n">
        <f aca="false">IF(AND(DB121=1),IF(COUNTIFS($A$2:$A$201,$A121,$DB$2:$DB$201,1,$H$2:$H$201,"&gt;"&amp;H121)+COUNTIFS($A$2:$A$201,$A121,$DB$2:$DB$201,1,$H$2:$H$201,H121,$BA$2:$BA$201,"&gt;"&amp;BA121)=0,1,0),0)</f>
        <v>0</v>
      </c>
      <c r="DD121" s="23" t="n">
        <f aca="false">IF(AND(DB121=1,INT(N(H121))&lt;=Config!$B$6),IF(COUNTIFS($AZ$2:$AZ$201,AZ121,$DB$2:$DB$201,1,$H$2:$H$201,"&gt;"&amp;H121,$H$2:$H$201,"&lt;"&amp;(Config!$B$6+1))+COUNTIFS($AZ$2:$AZ$201,AZ121,$DB$2:$DB$201,1,$H$2:$H$201,H121,$BA$2:$BA$201,"&gt;"&amp;BA121)=0,1,0),0)</f>
        <v>0</v>
      </c>
      <c r="DE121" s="23" t="n">
        <f aca="false">IF(AND(DB121=1,INT(N(H121))&lt;=Config!$B$7),IF(COUNTIFS($AZ$2:$AZ$201,AZ121,$DB$2:$DB$201,1,$H$2:$H$201,"&gt;"&amp;H121,$H$2:$H$201,"&lt;"&amp;(Config!$B$7+1))+COUNTIFS($AZ$2:$AZ$201,AZ121,$DB$2:$DB$201,1,$H$2:$H$201,H121,$BA$2:$BA$201,"&gt;"&amp;BA121)=0,1,0),0)</f>
        <v>0</v>
      </c>
      <c r="DF121" s="23" t="n">
        <f aca="false">IF(AND(DB121=1,INT(N(H121))&lt;=Config!$B$8),IF(COUNTIFS($AZ$2:$AZ$201,AZ121,$DB$2:$DB$201,1,$H$2:$H$201,"&gt;"&amp;H121,$H$2:$H$201,"&lt;"&amp;(Config!$B$8+1))+COUNTIFS($AZ$2:$AZ$201,AZ121,$DB$2:$DB$201,1,$H$2:$H$201,H121,$BA$2:$BA$201,"&gt;"&amp;BA121)=0,1,0),0)</f>
        <v>0</v>
      </c>
      <c r="DG121" s="23" t="n">
        <f aca="false">IF(AND(DB121=1,INT(N(H121))&lt;=Config!$B$5),IF(COUNTIFS($AZ$2:$AZ$201,AZ121,$DB$2:$DB$201,1,$H$2:$H$201,"&gt;"&amp;H121,$H$2:$H$201,"&lt;"&amp;(Config!$B$5+1))+COUNTIFS($AZ$2:$AZ$201,AZ121,$DB$2:$DB$201,1,$H$2:$H$201,H121,$BA$2:$BA$201,"&gt;"&amp;BA121)=0,1,0),0)</f>
        <v>0</v>
      </c>
      <c r="DH121" s="23" t="n">
        <f aca="false">IF(BB121=1,IF(COUNTIFS($AZ$2:$AZ$201,AZ121,$DD$2:$DD$201,1,$AR$2:$AR$201,"Y")&gt;0,1,0),0)</f>
        <v>0</v>
      </c>
      <c r="DI121" s="23" t="n">
        <f aca="false">IF(BB121=1,IF(COUNTIFS($AZ$2:$AZ$201,AZ121,$DE$2:$DE$201,1,$AR$2:$AR$201,"Y")&gt;0,1,0),0)</f>
        <v>0</v>
      </c>
      <c r="DJ121" s="23" t="n">
        <f aca="false">IF(BB121=1,IF(COUNTIFS($AZ$2:$AZ$201,AZ121,$DF$2:$DF$201,1,$AR$2:$AR$201,"Y")&gt;0,1,0),0)</f>
        <v>0</v>
      </c>
      <c r="DK121" s="23" t="n">
        <f aca="false">IF(BB121=1,IF(COUNTIFS($AZ$2:$AZ$201,AZ121,$DG$2:$DG$201,1,$AR$2:$AR$201,"Y")&gt;0,1,0),0)</f>
        <v>0</v>
      </c>
      <c r="DL121" s="23" t="n">
        <f aca="false">IF(AND(BF121=1,INT(N(H121))&lt;=Config!$B$6,DH121=1,EI121=0),1,0)</f>
        <v>0</v>
      </c>
      <c r="DM121" s="23" t="n">
        <f aca="false">IF(AND(BF121=1,INT(N(H121))&lt;=Config!$B$7,DI121=1,EI121=0),1,0)</f>
        <v>0</v>
      </c>
      <c r="DN121" s="23" t="n">
        <f aca="false">IF(AND(BF121=1,INT(N(H121))&lt;=Config!$B$8,DJ121=1,EI121=0),1,0)</f>
        <v>0</v>
      </c>
      <c r="DO121" s="23" t="n">
        <f aca="false">IF(AND(BF121=1,INT(N(H121))&lt;=Config!$B$5,DK121=1,EI121=0),1,0)</f>
        <v>0</v>
      </c>
      <c r="DP121" s="23" t="n">
        <f aca="false">IF(AND(CC121=1,INT(N(H121))&lt;=Config!$B$6,DH121=1,EI121=0),1,0)</f>
        <v>0</v>
      </c>
      <c r="DQ121" s="23" t="n">
        <f aca="false">IF(AND(CC121=1,INT(N(H121))&lt;=Config!$B$7,DI121=1,EI121=0),1,0)</f>
        <v>0</v>
      </c>
      <c r="DR121" s="23" t="n">
        <f aca="false">IF(AND(CC121=1,INT(N(H121))&lt;=Config!$B$8,DJ121=1,EI121=0),1,0)</f>
        <v>0</v>
      </c>
      <c r="DS121" s="23" t="n">
        <f aca="false">IF(AND(CC121=1,INT(N(H121))&lt;=Config!$B$5,DK121=1,EI121=0),1,0)</f>
        <v>0</v>
      </c>
      <c r="DT121" s="23" t="n">
        <f aca="false">IF(AND(CC121=1,INT(N(H121))&lt;=Config!$B$6,DH121=0),1,0)</f>
        <v>0</v>
      </c>
      <c r="DU121" s="23" t="n">
        <f aca="false">IF(AND(CC121=1,INT(N(H121))&lt;=Config!$B$7,DI121=0),1,0)</f>
        <v>0</v>
      </c>
      <c r="DV121" s="23" t="n">
        <f aca="false">IF(AND(CC121=1,INT(N(H121))&lt;=Config!$B$8,DJ121=0),1,0)</f>
        <v>0</v>
      </c>
      <c r="DW121" s="23" t="n">
        <f aca="false">IF(AND(CC121=1,INT(N(H121))&lt;=Config!$B$5,DK121=0),1,0)</f>
        <v>0</v>
      </c>
      <c r="DX121" s="23" t="n">
        <f aca="false">IF(TRIM($A121)="",0,ISTEXT(M121)+ISTEXT(O121)+ISTEXT(Y121)+ISTEXT(Z121)+ISTEXT(AA121)+ISTEXT(AV121))</f>
        <v>0</v>
      </c>
      <c r="DY121" s="23" t="n">
        <f aca="false">IF(BB121=1,IF(H121&lt;&gt;INT(H121),1,0),0)</f>
        <v>0</v>
      </c>
      <c r="DZ121" s="23" t="str">
        <f aca="false">IF(TRIM($A121)="","",IF(TRIM(B121)="",SUBSTITUTE(SUBSTITUTE(SUBSTITUTE(SUBSTITUTE(SUBSTITUTE(SUBSTITUTE(LOWER(TRIM($A121)),"~",""),"*",""),"?",""),"&lt;",""),"&gt;",""),"=",""),SUBSTITUTE(SUBSTITUTE(SUBSTITUTE(SUBSTITUTE(SUBSTITUTE(SUBSTITUTE(LOWER(TRIM(B121)),"~",""),"*",""),"?",""),"&lt;",""),"&gt;",""),"=","")))</f>
        <v/>
      </c>
      <c r="EA121" s="23" t="str">
        <f aca="false">IF(CW121="","",IFERROR(IF(LEFT(LOWER(TRIM(INDEX(Clay_Offices!$A$2:$FZ$601,CW121,Sync!$C$19)&amp;"")),4)="grp-",SUBSTITUTE(SUBSTITUTE(SUBSTITUTE(SUBSTITUTE(SUBSTITUTE(SUBSTITUTE(LOWER(TRIM(INDEX(Clay_Offices!$A$2:$FZ$601,CW121,Sync!$C$19)&amp;"")),"~",""),"*",""),"?",""),"&lt;",""),"&gt;",""),"=",""),""),""))</f>
        <v/>
      </c>
      <c r="EB121" s="23" t="str">
        <f aca="false">IF(EA121&lt;&gt;"",DZ121,"")</f>
        <v/>
      </c>
      <c r="EC121" s="23" t="str">
        <f aca="false">IF(BC121=1,AZ121,"")</f>
        <v/>
      </c>
      <c r="ED121" s="23" t="str">
        <f aca="false">IF(TRIM($A121)="","",IFERROR(INDEX($A$2:$A$201,MATCH(AZ121,$EC$2:$EC$201,0))&amp;"",$A121&amp;""))</f>
        <v/>
      </c>
      <c r="EE121" s="23" t="n">
        <f aca="false">IF(BB121=1,IF(COUNTIFS($A$2:$A$201,$A121,$BB$2:$BB$201,1,$H$2:$H$201,"&lt;"&amp;H121)+COUNTIFS($A$2:$A$201,$A121,$BB$2:$BB$201,1,$H$2:$H$201,H121,$BA$2:$BA$201,"&lt;"&amp;BA121)=0,1,0),0)</f>
        <v>0</v>
      </c>
      <c r="EF121" s="23" t="n">
        <f aca="false">IF(BC121=1,IF(COUNTIFS($AZ$2:$AZ$201,AZ121,$EE$2:$EE$201,1)&gt;1,1,0),0)</f>
        <v>0</v>
      </c>
      <c r="EG121" s="23" t="n">
        <f aca="false">IF(AND(CQ121=1),IF(COUNTIFS($AZ$2:$AZ$201,AZ121,$CQ$2:$CQ$201,1,$H$2:$H$201,"&gt;"&amp;H121)+COUNTIFS($AZ$2:$AZ$201,AZ121,$CQ$2:$CQ$201,1,$H$2:$H$201,H121,$BA$2:$BA$201,"&gt;"&amp;BA121)=0,1,0),0)</f>
        <v>0</v>
      </c>
      <c r="EH121" s="23" t="str">
        <f aca="false">IF(BB121=1,IF(COUNTIFS($AZ$2:$AZ$201,AZ121,$EG$2:$EG$201,1)=0,"",SUMIFS($O$2:$O$201,$AZ$2:$AZ$201,AZ121,$EG$2:$EG$201,1)),"")</f>
        <v/>
      </c>
      <c r="EI121" s="23" t="n">
        <f aca="false">IF(AND(ISNUMBER(EH121),OR(N(EH121)&lt;Config!$B$31,N(EH121)&gt;Config!$B$33)),1,0)</f>
        <v>0</v>
      </c>
      <c r="EJ121" s="23" t="n">
        <f aca="false">IF(AND(ISNUMBER(EH121),N(EH121)&gt;=Config!$B$31,N(EH121)&lt;Config!$B$32),1,0)</f>
        <v>0</v>
      </c>
      <c r="EK121" s="23" t="n">
        <f aca="false">IF(AND(BF121=1,INT(N(H121))&lt;=Config!$B$6,DH121=1,EI121=1),1,0)</f>
        <v>0</v>
      </c>
      <c r="EL121" s="23" t="n">
        <f aca="false">IF(AND(BF121=1,INT(N(H121))&lt;=Config!$B$7,DI121=1,EI121=1),1,0)</f>
        <v>0</v>
      </c>
      <c r="EM121" s="23" t="n">
        <f aca="false">IF(AND(BF121=1,INT(N(H121))&lt;=Config!$B$8,DJ121=1,EI121=1),1,0)</f>
        <v>0</v>
      </c>
      <c r="EN121" s="23" t="n">
        <f aca="false">IF(AND(BF121=1,INT(N(H121))&lt;=Config!$B$5,DK121=1,EI121=1),1,0)</f>
        <v>0</v>
      </c>
      <c r="EO121" s="23" t="n">
        <f aca="false">IF(AND(DL121=1,EJ121=1),1,0)</f>
        <v>0</v>
      </c>
      <c r="EP121" s="23" t="n">
        <f aca="false">IF(AND(DM121=1,EJ121=1),1,0)</f>
        <v>0</v>
      </c>
      <c r="EQ121" s="23" t="n">
        <f aca="false">IF(AND(DN121=1,EJ121=1),1,0)</f>
        <v>0</v>
      </c>
      <c r="ER121" s="23" t="n">
        <f aca="false">IF(AND(DO121=1,EJ121=1),1,0)</f>
        <v>0</v>
      </c>
    </row>
    <row r="122" customFormat="false" ht="15" hidden="false" customHeight="false" outlineLevel="0" collapsed="false">
      <c r="G122" s="32"/>
      <c r="H122" s="33"/>
      <c r="I122" s="32"/>
      <c r="L122" s="32"/>
      <c r="Q122" s="32"/>
      <c r="U122" s="32"/>
      <c r="W122" s="32"/>
      <c r="AC122" s="32"/>
      <c r="AF122" s="32"/>
      <c r="AI122" s="32"/>
      <c r="AJ122" s="32"/>
      <c r="AN122" s="32"/>
      <c r="AR122" s="32"/>
      <c r="AT122" s="32"/>
      <c r="AU122" s="32"/>
      <c r="AW122" s="32"/>
      <c r="AY122" s="34" t="str">
        <f aca="false">IF(TRIM($A122)="","",IF(AND(LEFT($A122,6)="SAMPLE",Config!$B$19&lt;&gt;"Y"),"",IF(NOT(ISNUMBER(H122)),"call_date is blank or not a date",IF(Sync!$C$5="","Clay paste is empty or has no row_id column: paste the Clay export on Clay_Offices",IF(CW122="","row_id not found in the Clay paste: add the Clay row or fix the row_id",IF(AND(ISNUMBER(CY122),CY122&gt;=1,CY122&lt;=5),"Clay status is "&amp;CX122&amp;": set call_done or later",IF(AND(BD122=1,CZ122&lt;&gt;BZ122),"Clay yes_in_principle should be "&amp;BZ122,IF(AND(BD122=1,DA122&lt;&gt;H122),"Clay call_date should be "&amp;TEXT(H122,"yyyy-mm-dd"),""))))))))</f>
        <v/>
      </c>
      <c r="AZ122" s="23" t="str">
        <f aca="false">IF(TRIM($A122)="","",IF(TRIM(C122)&lt;&gt;"",SUBSTITUTE(SUBSTITUTE(SUBSTITUTE(SUBSTITUTE(SUBSTITUTE(SUBSTITUTE(LOWER(TRIM(C122)),"~",""),"*",""),"?",""),"&lt;",""),"&gt;",""),"=",""),IF(EA122&lt;&gt;"",EA122,IFERROR(INDEX($EA$2:$EA$201,MATCH(DZ122,$EB$2:$EB$201,0)),DZ122))))</f>
        <v/>
      </c>
      <c r="BA122" s="23" t="n">
        <f aca="false">ROW()</f>
        <v>122</v>
      </c>
      <c r="BB122" s="23" t="n">
        <f aca="false">IF(AND(TRIM($A122)&lt;&gt;"",ISNUMBER(H122)),IF(AND(LEFT($A122,6)="SAMPLE",Config!$B$19&lt;&gt;"Y"),0,1),0)</f>
        <v>0</v>
      </c>
      <c r="BC122" s="23" t="n">
        <f aca="false">IF(BB122=1,IF(COUNTIFS($AZ$2:$AZ$201,AZ122,$BB$2:$BB$201,1,$H$2:$H$201,"&lt;"&amp;H122)+COUNTIFS($AZ$2:$AZ$201,AZ122,$BB$2:$BB$201,1,$H$2:$H$201,H122,$BA$2:$BA$201,"&lt;"&amp;BA122)=0,1,0),0)</f>
        <v>0</v>
      </c>
      <c r="BD122" s="23" t="n">
        <f aca="false">IF(BB122=1,IF(COUNTIFS($A$2:$A$201,$A122,$BB$2:$BB$201,1,$H$2:$H$201,"&gt;"&amp;H122)+COUNTIFS($A$2:$A$201,$A122,$BB$2:$BB$201,1,$H$2:$H$201,H122,$BA$2:$BA$201,"&gt;"&amp;BA122)=0,1,0),0)</f>
        <v>0</v>
      </c>
      <c r="BE122" s="23" t="n">
        <f aca="false">IF(AND(BB122=1,AR122="Y",AC122="Y",TRIM(AH122)&lt;&gt;""),1,0)</f>
        <v>0</v>
      </c>
      <c r="BF122" s="23" t="n">
        <f aca="false">IF(BE122=1,IF(COUNTIFS($AZ$2:$AZ$201,AZ122,$BE$2:$BE$201,1,$H$2:$H$201,"&lt;"&amp;H122)+COUNTIFS($AZ$2:$AZ$201,AZ122,$BE$2:$BE$201,1,$H$2:$H$201,H122,$BA$2:$BA$201,"&lt;"&amp;BA122)=0,1,0),0)</f>
        <v>0</v>
      </c>
      <c r="BG122" s="23" t="n">
        <f aca="false">IF(AND(BB122=1,AR122="Y",BE122=0),1,0)</f>
        <v>0</v>
      </c>
      <c r="BH122" s="23" t="n">
        <f aca="false">IF(AND(BB122=1,ISNUMBER(Y122)),1,0)</f>
        <v>0</v>
      </c>
      <c r="BI122" s="23" t="n">
        <f aca="false">IF(BH122=1,IF(COUNTIFS($AZ$2:$AZ$201,AZ122,$BH$2:$BH$201,1,$H$2:$H$201,"&lt;"&amp;H122)+COUNTIFS($AZ$2:$AZ$201,AZ122,$BH$2:$BH$201,1,$H$2:$H$201,H122,$BA$2:$BA$201,"&lt;"&amp;BA122)=0,1,0),0)</f>
        <v>0</v>
      </c>
      <c r="BJ122" s="23" t="str">
        <f aca="false">IF(AND(BI122=1,INT(N(H122))&lt;=Config!$B$6),Y122,"")</f>
        <v/>
      </c>
      <c r="BK122" s="23" t="str">
        <f aca="false">IF(AND(BI122=1,INT(N(H122))&lt;=Config!$B$7),Y122,"")</f>
        <v/>
      </c>
      <c r="BL122" s="23" t="str">
        <f aca="false">IF(AND(BI122=1,INT(N(H122))&lt;=Config!$B$8),Y122,"")</f>
        <v/>
      </c>
      <c r="BM122" s="23" t="str">
        <f aca="false">IF(AND(BI122=1,INT(N(H122))&lt;=Config!$B$5),Y122,"")</f>
        <v/>
      </c>
      <c r="BN122" s="23" t="n">
        <f aca="false">IF(CD122=1,IF(COUNTIFS($AZ$2:$AZ$201,AZ122,$CD$2:$CD$201,1,$H$2:$H$201,"&lt;"&amp;H122)+COUNTIFS($AZ$2:$AZ$201,AZ122,$CD$2:$CD$201,1,$H$2:$H$201,H122,$BA$2:$BA$201,"&lt;"&amp;BA122)=0,1,0),0)</f>
        <v>0</v>
      </c>
      <c r="BO122" s="23" t="n">
        <f aca="false">IF(AND(BB122=1,ISNUMBER(M122)),1,0)</f>
        <v>0</v>
      </c>
      <c r="BP122" s="23" t="n">
        <f aca="false">IF(BO122=1,IF(COUNTIFS($AZ$2:$AZ$201,AZ122,$BO$2:$BO$201,1,$H$2:$H$201,"&lt;"&amp;H122)+COUNTIFS($AZ$2:$AZ$201,AZ122,$BO$2:$BO$201,1,$H$2:$H$201,H122,$BA$2:$BA$201,"&lt;"&amp;BA122)=0,1,0),0)</f>
        <v>0</v>
      </c>
      <c r="BQ122" s="23" t="str">
        <f aca="false">IF(AND(BP122=1,INT(N(H122))&lt;=Config!$B$5),M122,"")</f>
        <v/>
      </c>
      <c r="BR122" s="23" t="n">
        <f aca="false">IF(AND(BB122=1,OR(TRIM(X122)&lt;&gt;"",ISNUMBER(Y122))),1,0)</f>
        <v>0</v>
      </c>
      <c r="BS122" s="23" t="n">
        <f aca="false">IF(BR122=1,IF(COUNTIFS($AZ$2:$AZ$201,AZ122,$BR$2:$BR$201,1,$H$2:$H$201,"&lt;"&amp;H122)+COUNTIFS($AZ$2:$AZ$201,AZ122,$BR$2:$BR$201,1,$H$2:$H$201,H122,$BA$2:$BA$201,"&lt;"&amp;BA122)=0,1,0),0)</f>
        <v>0</v>
      </c>
      <c r="BT122" s="23" t="str">
        <f aca="false">IF(BS122=1,AZ122,"")</f>
        <v/>
      </c>
      <c r="BU122" s="23" t="n">
        <f aca="false">IF(AND(BB122=1,W122="Y",TRIM(X122)=""),1,0)</f>
        <v>0</v>
      </c>
      <c r="BV122" s="23" t="str">
        <f aca="false">IF(BB122=1,AN122&amp;"","")</f>
        <v/>
      </c>
      <c r="BW122" s="23" t="str">
        <f aca="false">IF(BB122=1,AO122&amp;"","")</f>
        <v/>
      </c>
      <c r="BX122" s="23" t="str">
        <f aca="false">IF(BB122=1,AP122&amp;"","")</f>
        <v/>
      </c>
      <c r="BY122" s="23" t="str">
        <f aca="false">IF(AND(BB122=1,ISNUMBER(AV122),INT(N(H122))&lt;=Config!$B$5),AV122,"")</f>
        <v/>
      </c>
      <c r="BZ122" s="23" t="str">
        <f aca="false">IF(BB122=1,IF(COUNTIFS($A$2:$A$201,$A122,$DC$2:$DC$201,1,$AR$2:$AR$201,"Y")&gt;0,"Y","N"),"")</f>
        <v/>
      </c>
      <c r="CA122" s="23" t="n">
        <f aca="false">IF(AND(BB122=1,AR122="maybe"),1,0)</f>
        <v>0</v>
      </c>
      <c r="CB122" s="23" t="n">
        <f aca="false">IF(CA122=1,IF(COUNTIFS($AZ$2:$AZ$201,AZ122,$CA$2:$CA$201,1,$H$2:$H$201,"&lt;"&amp;H122)+COUNTIFS($AZ$2:$AZ$201,AZ122,$CA$2:$CA$201,1,$H$2:$H$201,H122,$BA$2:$BA$201,"&lt;"&amp;BA122)=0,1,0),0)</f>
        <v>0</v>
      </c>
      <c r="CC122" s="23" t="n">
        <f aca="false">IF(AND(BB122=1,AR122="Y"),IF(COUNTIFS($AZ$2:$AZ$201,AZ122,$AR$2:$AR$201,"Y",$BB$2:$BB$201,1,$H$2:$H$201,"&lt;"&amp;H122)+COUNTIFS($AZ$2:$AZ$201,AZ122,$AR$2:$AR$201,"Y",$BB$2:$BB$201,1,$H$2:$H$201,H122,$BA$2:$BA$201,"&lt;"&amp;BA122)=0,1,0),0)</f>
        <v>0</v>
      </c>
      <c r="CD122" s="23" t="n">
        <f aca="false">IF(AND(BH122=1,N(Y122)&gt;=Config!$B$15),1,0)</f>
        <v>0</v>
      </c>
      <c r="CE122" s="23" t="n">
        <f aca="false">IF(AND(BB122=1,AT122="Y"),1,0)</f>
        <v>0</v>
      </c>
      <c r="CF122" s="23" t="n">
        <f aca="false">IF(CE122=1,IF(COUNTIFS($AZ$2:$AZ$201,AZ122,$CE$2:$CE$201,1,$H$2:$H$201,"&lt;"&amp;H122)+COUNTIFS($AZ$2:$AZ$201,AZ122,$CE$2:$CE$201,1,$H$2:$H$201,H122,$BA$2:$BA$201,"&lt;"&amp;BA122)=0,1,0),0)</f>
        <v>0</v>
      </c>
      <c r="CG122" s="23" t="n">
        <f aca="false">IF(AND(BB122=1,G122="warm-intro"),1,0)</f>
        <v>0</v>
      </c>
      <c r="CH122" s="23" t="n">
        <f aca="false">IF(CG122=1,IF(COUNTIFS($AZ$2:$AZ$201,AZ122,$CG$2:$CG$201,1,$H$2:$H$201,"&lt;"&amp;H122)+COUNTIFS($AZ$2:$AZ$201,AZ122,$CG$2:$CG$201,1,$H$2:$H$201,H122,$BA$2:$BA$201,"&lt;"&amp;BA122)=0,1,0),0)</f>
        <v>0</v>
      </c>
      <c r="CI122" s="23" t="n">
        <f aca="false">IF(AND(BB122=1,Q122="Y"),1,0)</f>
        <v>0</v>
      </c>
      <c r="CJ122" s="23" t="n">
        <f aca="false">IF(CI122=1,IF(COUNTIFS($AZ$2:$AZ$201,AZ122,$CI$2:$CI$201,1,$H$2:$H$201,"&lt;"&amp;H122)+COUNTIFS($AZ$2:$AZ$201,AZ122,$CI$2:$CI$201,1,$H$2:$H$201,H122,$BA$2:$BA$201,"&lt;"&amp;BA122)=0,1,0),0)</f>
        <v>0</v>
      </c>
      <c r="CK122" s="23" t="n">
        <f aca="false">IF(AND(BB122=1,AF122="Y"),1,0)</f>
        <v>0</v>
      </c>
      <c r="CL122" s="23" t="n">
        <f aca="false">IF(CK122=1,IF(COUNTIFS($AZ$2:$AZ$201,AZ122,$CK$2:$CK$201,1,$H$2:$H$201,"&lt;"&amp;H122)+COUNTIFS($AZ$2:$AZ$201,AZ122,$CK$2:$CK$201,1,$H$2:$H$201,H122,$BA$2:$BA$201,"&lt;"&amp;BA122)=0,1,0),0)</f>
        <v>0</v>
      </c>
      <c r="CM122" s="23" t="n">
        <f aca="false">IF(AND(BB122=1,U122="Y"),1,0)</f>
        <v>0</v>
      </c>
      <c r="CN122" s="23" t="n">
        <f aca="false">IF(CM122=1,IF(COUNTIFS($AZ$2:$AZ$201,AZ122,$CM$2:$CM$201,1,$H$2:$H$201,"&lt;"&amp;H122)+COUNTIFS($AZ$2:$AZ$201,AZ122,$CM$2:$CM$201,1,$H$2:$H$201,H122,$BA$2:$BA$201,"&lt;"&amp;BA122)=0,1,0),0)</f>
        <v>0</v>
      </c>
      <c r="CO122" s="23" t="n">
        <f aca="false">IF(AND(BB122=1,L122="Y"),1,0)</f>
        <v>0</v>
      </c>
      <c r="CP122" s="23" t="n">
        <f aca="false">IF(CO122=1,IF(COUNTIFS($AZ$2:$AZ$201,AZ122,$CO$2:$CO$201,1,$H$2:$H$201,"&lt;"&amp;H122)+COUNTIFS($AZ$2:$AZ$201,AZ122,$CO$2:$CO$201,1,$H$2:$H$201,H122,$BA$2:$BA$201,"&lt;"&amp;BA122)=0,1,0),0)</f>
        <v>0</v>
      </c>
      <c r="CQ122" s="23" t="n">
        <f aca="false">IF(AND(BB122=1,ISNUMBER(O122)),1,0)</f>
        <v>0</v>
      </c>
      <c r="CR122" s="23" t="n">
        <f aca="false">IF(CQ122=1,IF(COUNTIFS($AZ$2:$AZ$201,AZ122,$CQ$2:$CQ$201,1,$H$2:$H$201,"&lt;"&amp;H122)+COUNTIFS($AZ$2:$AZ$201,AZ122,$CQ$2:$CQ$201,1,$H$2:$H$201,H122,$BA$2:$BA$201,"&lt;"&amp;BA122)=0,1,0),0)</f>
        <v>0</v>
      </c>
      <c r="CS122" s="23" t="str">
        <f aca="false">IF(AND(CR122=1,INT(N(H122))&lt;=Config!$B$5),O122,"")</f>
        <v/>
      </c>
      <c r="CT122" s="23" t="str">
        <f aca="false">IF(AND(BB122=1,INT(N(H122))&lt;=Config!$B$5),AG122&amp;"","")</f>
        <v/>
      </c>
      <c r="CU122" s="23" t="n">
        <f aca="false">IF(AND(BB122=1,AU122="Y"),1,0)</f>
        <v>0</v>
      </c>
      <c r="CV122" s="23" t="n">
        <f aca="false">IF(CU122=1,IF(COUNTIFS($AZ$2:$AZ$201,AZ122,$CU$2:$CU$201,1,$H$2:$H$201,"&lt;"&amp;H122)+COUNTIFS($AZ$2:$AZ$201,AZ122,$CU$2:$CU$201,1,$H$2:$H$201,H122,$BA$2:$BA$201,"&lt;"&amp;BA122)=0,1,0),0)</f>
        <v>0</v>
      </c>
      <c r="CW122" s="23" t="str">
        <f aca="false">IF(BB122=1,IFERROR(MATCH($A122,INDEX(Clay_Offices!$A$2:$FZ$601,0,Sync!$C$5),0),""),"")</f>
        <v/>
      </c>
      <c r="CX122" s="23" t="str">
        <f aca="false">IF(CW122="","",IFERROR(INDEX(Clay_Offices!$A$2:$FZ$601,CW122,Sync!$C$7)&amp;"",""))</f>
        <v/>
      </c>
      <c r="CY122" s="23" t="str">
        <f aca="false">IF(CX122="","",IFERROR(INDEX(Lists!$K$2:$K$15,MATCH(CX122,Lists!$J$2:$J$15,0)),""))</f>
        <v/>
      </c>
      <c r="CZ122" s="23" t="str">
        <f aca="false">IF(CW122="","",IFERROR(INDEX(Clay_Offices!$A$2:$FZ$601,CW122,Sync!$C$17)&amp;"",""))</f>
        <v/>
      </c>
      <c r="DA122" s="35" t="str">
        <f aca="false">IF(CW122="","",IFERROR(N(INDEX(Clay_Offices!$A$2:$FZ$601,CW122,Sync!$C$16)),0))</f>
        <v/>
      </c>
      <c r="DB122" s="23" t="n">
        <f aca="false">IF(AND(BB122=1,OR(AR122="Y",AR122="N",AR122="maybe")),1,0)</f>
        <v>0</v>
      </c>
      <c r="DC122" s="23" t="n">
        <f aca="false">IF(AND(DB122=1),IF(COUNTIFS($A$2:$A$201,$A122,$DB$2:$DB$201,1,$H$2:$H$201,"&gt;"&amp;H122)+COUNTIFS($A$2:$A$201,$A122,$DB$2:$DB$201,1,$H$2:$H$201,H122,$BA$2:$BA$201,"&gt;"&amp;BA122)=0,1,0),0)</f>
        <v>0</v>
      </c>
      <c r="DD122" s="23" t="n">
        <f aca="false">IF(AND(DB122=1,INT(N(H122))&lt;=Config!$B$6),IF(COUNTIFS($AZ$2:$AZ$201,AZ122,$DB$2:$DB$201,1,$H$2:$H$201,"&gt;"&amp;H122,$H$2:$H$201,"&lt;"&amp;(Config!$B$6+1))+COUNTIFS($AZ$2:$AZ$201,AZ122,$DB$2:$DB$201,1,$H$2:$H$201,H122,$BA$2:$BA$201,"&gt;"&amp;BA122)=0,1,0),0)</f>
        <v>0</v>
      </c>
      <c r="DE122" s="23" t="n">
        <f aca="false">IF(AND(DB122=1,INT(N(H122))&lt;=Config!$B$7),IF(COUNTIFS($AZ$2:$AZ$201,AZ122,$DB$2:$DB$201,1,$H$2:$H$201,"&gt;"&amp;H122,$H$2:$H$201,"&lt;"&amp;(Config!$B$7+1))+COUNTIFS($AZ$2:$AZ$201,AZ122,$DB$2:$DB$201,1,$H$2:$H$201,H122,$BA$2:$BA$201,"&gt;"&amp;BA122)=0,1,0),0)</f>
        <v>0</v>
      </c>
      <c r="DF122" s="23" t="n">
        <f aca="false">IF(AND(DB122=1,INT(N(H122))&lt;=Config!$B$8),IF(COUNTIFS($AZ$2:$AZ$201,AZ122,$DB$2:$DB$201,1,$H$2:$H$201,"&gt;"&amp;H122,$H$2:$H$201,"&lt;"&amp;(Config!$B$8+1))+COUNTIFS($AZ$2:$AZ$201,AZ122,$DB$2:$DB$201,1,$H$2:$H$201,H122,$BA$2:$BA$201,"&gt;"&amp;BA122)=0,1,0),0)</f>
        <v>0</v>
      </c>
      <c r="DG122" s="23" t="n">
        <f aca="false">IF(AND(DB122=1,INT(N(H122))&lt;=Config!$B$5),IF(COUNTIFS($AZ$2:$AZ$201,AZ122,$DB$2:$DB$201,1,$H$2:$H$201,"&gt;"&amp;H122,$H$2:$H$201,"&lt;"&amp;(Config!$B$5+1))+COUNTIFS($AZ$2:$AZ$201,AZ122,$DB$2:$DB$201,1,$H$2:$H$201,H122,$BA$2:$BA$201,"&gt;"&amp;BA122)=0,1,0),0)</f>
        <v>0</v>
      </c>
      <c r="DH122" s="23" t="n">
        <f aca="false">IF(BB122=1,IF(COUNTIFS($AZ$2:$AZ$201,AZ122,$DD$2:$DD$201,1,$AR$2:$AR$201,"Y")&gt;0,1,0),0)</f>
        <v>0</v>
      </c>
      <c r="DI122" s="23" t="n">
        <f aca="false">IF(BB122=1,IF(COUNTIFS($AZ$2:$AZ$201,AZ122,$DE$2:$DE$201,1,$AR$2:$AR$201,"Y")&gt;0,1,0),0)</f>
        <v>0</v>
      </c>
      <c r="DJ122" s="23" t="n">
        <f aca="false">IF(BB122=1,IF(COUNTIFS($AZ$2:$AZ$201,AZ122,$DF$2:$DF$201,1,$AR$2:$AR$201,"Y")&gt;0,1,0),0)</f>
        <v>0</v>
      </c>
      <c r="DK122" s="23" t="n">
        <f aca="false">IF(BB122=1,IF(COUNTIFS($AZ$2:$AZ$201,AZ122,$DG$2:$DG$201,1,$AR$2:$AR$201,"Y")&gt;0,1,0),0)</f>
        <v>0</v>
      </c>
      <c r="DL122" s="23" t="n">
        <f aca="false">IF(AND(BF122=1,INT(N(H122))&lt;=Config!$B$6,DH122=1,EI122=0),1,0)</f>
        <v>0</v>
      </c>
      <c r="DM122" s="23" t="n">
        <f aca="false">IF(AND(BF122=1,INT(N(H122))&lt;=Config!$B$7,DI122=1,EI122=0),1,0)</f>
        <v>0</v>
      </c>
      <c r="DN122" s="23" t="n">
        <f aca="false">IF(AND(BF122=1,INT(N(H122))&lt;=Config!$B$8,DJ122=1,EI122=0),1,0)</f>
        <v>0</v>
      </c>
      <c r="DO122" s="23" t="n">
        <f aca="false">IF(AND(BF122=1,INT(N(H122))&lt;=Config!$B$5,DK122=1,EI122=0),1,0)</f>
        <v>0</v>
      </c>
      <c r="DP122" s="23" t="n">
        <f aca="false">IF(AND(CC122=1,INT(N(H122))&lt;=Config!$B$6,DH122=1,EI122=0),1,0)</f>
        <v>0</v>
      </c>
      <c r="DQ122" s="23" t="n">
        <f aca="false">IF(AND(CC122=1,INT(N(H122))&lt;=Config!$B$7,DI122=1,EI122=0),1,0)</f>
        <v>0</v>
      </c>
      <c r="DR122" s="23" t="n">
        <f aca="false">IF(AND(CC122=1,INT(N(H122))&lt;=Config!$B$8,DJ122=1,EI122=0),1,0)</f>
        <v>0</v>
      </c>
      <c r="DS122" s="23" t="n">
        <f aca="false">IF(AND(CC122=1,INT(N(H122))&lt;=Config!$B$5,DK122=1,EI122=0),1,0)</f>
        <v>0</v>
      </c>
      <c r="DT122" s="23" t="n">
        <f aca="false">IF(AND(CC122=1,INT(N(H122))&lt;=Config!$B$6,DH122=0),1,0)</f>
        <v>0</v>
      </c>
      <c r="DU122" s="23" t="n">
        <f aca="false">IF(AND(CC122=1,INT(N(H122))&lt;=Config!$B$7,DI122=0),1,0)</f>
        <v>0</v>
      </c>
      <c r="DV122" s="23" t="n">
        <f aca="false">IF(AND(CC122=1,INT(N(H122))&lt;=Config!$B$8,DJ122=0),1,0)</f>
        <v>0</v>
      </c>
      <c r="DW122" s="23" t="n">
        <f aca="false">IF(AND(CC122=1,INT(N(H122))&lt;=Config!$B$5,DK122=0),1,0)</f>
        <v>0</v>
      </c>
      <c r="DX122" s="23" t="n">
        <f aca="false">IF(TRIM($A122)="",0,ISTEXT(M122)+ISTEXT(O122)+ISTEXT(Y122)+ISTEXT(Z122)+ISTEXT(AA122)+ISTEXT(AV122))</f>
        <v>0</v>
      </c>
      <c r="DY122" s="23" t="n">
        <f aca="false">IF(BB122=1,IF(H122&lt;&gt;INT(H122),1,0),0)</f>
        <v>0</v>
      </c>
      <c r="DZ122" s="23" t="str">
        <f aca="false">IF(TRIM($A122)="","",IF(TRIM(B122)="",SUBSTITUTE(SUBSTITUTE(SUBSTITUTE(SUBSTITUTE(SUBSTITUTE(SUBSTITUTE(LOWER(TRIM($A122)),"~",""),"*",""),"?",""),"&lt;",""),"&gt;",""),"=",""),SUBSTITUTE(SUBSTITUTE(SUBSTITUTE(SUBSTITUTE(SUBSTITUTE(SUBSTITUTE(LOWER(TRIM(B122)),"~",""),"*",""),"?",""),"&lt;",""),"&gt;",""),"=","")))</f>
        <v/>
      </c>
      <c r="EA122" s="23" t="str">
        <f aca="false">IF(CW122="","",IFERROR(IF(LEFT(LOWER(TRIM(INDEX(Clay_Offices!$A$2:$FZ$601,CW122,Sync!$C$19)&amp;"")),4)="grp-",SUBSTITUTE(SUBSTITUTE(SUBSTITUTE(SUBSTITUTE(SUBSTITUTE(SUBSTITUTE(LOWER(TRIM(INDEX(Clay_Offices!$A$2:$FZ$601,CW122,Sync!$C$19)&amp;"")),"~",""),"*",""),"?",""),"&lt;",""),"&gt;",""),"=",""),""),""))</f>
        <v/>
      </c>
      <c r="EB122" s="23" t="str">
        <f aca="false">IF(EA122&lt;&gt;"",DZ122,"")</f>
        <v/>
      </c>
      <c r="EC122" s="23" t="str">
        <f aca="false">IF(BC122=1,AZ122,"")</f>
        <v/>
      </c>
      <c r="ED122" s="23" t="str">
        <f aca="false">IF(TRIM($A122)="","",IFERROR(INDEX($A$2:$A$201,MATCH(AZ122,$EC$2:$EC$201,0))&amp;"",$A122&amp;""))</f>
        <v/>
      </c>
      <c r="EE122" s="23" t="n">
        <f aca="false">IF(BB122=1,IF(COUNTIFS($A$2:$A$201,$A122,$BB$2:$BB$201,1,$H$2:$H$201,"&lt;"&amp;H122)+COUNTIFS($A$2:$A$201,$A122,$BB$2:$BB$201,1,$H$2:$H$201,H122,$BA$2:$BA$201,"&lt;"&amp;BA122)=0,1,0),0)</f>
        <v>0</v>
      </c>
      <c r="EF122" s="23" t="n">
        <f aca="false">IF(BC122=1,IF(COUNTIFS($AZ$2:$AZ$201,AZ122,$EE$2:$EE$201,1)&gt;1,1,0),0)</f>
        <v>0</v>
      </c>
      <c r="EG122" s="23" t="n">
        <f aca="false">IF(AND(CQ122=1),IF(COUNTIFS($AZ$2:$AZ$201,AZ122,$CQ$2:$CQ$201,1,$H$2:$H$201,"&gt;"&amp;H122)+COUNTIFS($AZ$2:$AZ$201,AZ122,$CQ$2:$CQ$201,1,$H$2:$H$201,H122,$BA$2:$BA$201,"&gt;"&amp;BA122)=0,1,0),0)</f>
        <v>0</v>
      </c>
      <c r="EH122" s="23" t="str">
        <f aca="false">IF(BB122=1,IF(COUNTIFS($AZ$2:$AZ$201,AZ122,$EG$2:$EG$201,1)=0,"",SUMIFS($O$2:$O$201,$AZ$2:$AZ$201,AZ122,$EG$2:$EG$201,1)),"")</f>
        <v/>
      </c>
      <c r="EI122" s="23" t="n">
        <f aca="false">IF(AND(ISNUMBER(EH122),OR(N(EH122)&lt;Config!$B$31,N(EH122)&gt;Config!$B$33)),1,0)</f>
        <v>0</v>
      </c>
      <c r="EJ122" s="23" t="n">
        <f aca="false">IF(AND(ISNUMBER(EH122),N(EH122)&gt;=Config!$B$31,N(EH122)&lt;Config!$B$32),1,0)</f>
        <v>0</v>
      </c>
      <c r="EK122" s="23" t="n">
        <f aca="false">IF(AND(BF122=1,INT(N(H122))&lt;=Config!$B$6,DH122=1,EI122=1),1,0)</f>
        <v>0</v>
      </c>
      <c r="EL122" s="23" t="n">
        <f aca="false">IF(AND(BF122=1,INT(N(H122))&lt;=Config!$B$7,DI122=1,EI122=1),1,0)</f>
        <v>0</v>
      </c>
      <c r="EM122" s="23" t="n">
        <f aca="false">IF(AND(BF122=1,INT(N(H122))&lt;=Config!$B$8,DJ122=1,EI122=1),1,0)</f>
        <v>0</v>
      </c>
      <c r="EN122" s="23" t="n">
        <f aca="false">IF(AND(BF122=1,INT(N(H122))&lt;=Config!$B$5,DK122=1,EI122=1),1,0)</f>
        <v>0</v>
      </c>
      <c r="EO122" s="23" t="n">
        <f aca="false">IF(AND(DL122=1,EJ122=1),1,0)</f>
        <v>0</v>
      </c>
      <c r="EP122" s="23" t="n">
        <f aca="false">IF(AND(DM122=1,EJ122=1),1,0)</f>
        <v>0</v>
      </c>
      <c r="EQ122" s="23" t="n">
        <f aca="false">IF(AND(DN122=1,EJ122=1),1,0)</f>
        <v>0</v>
      </c>
      <c r="ER122" s="23" t="n">
        <f aca="false">IF(AND(DO122=1,EJ122=1),1,0)</f>
        <v>0</v>
      </c>
    </row>
    <row r="123" customFormat="false" ht="15" hidden="false" customHeight="false" outlineLevel="0" collapsed="false">
      <c r="G123" s="32"/>
      <c r="H123" s="33"/>
      <c r="I123" s="32"/>
      <c r="L123" s="32"/>
      <c r="Q123" s="32"/>
      <c r="U123" s="32"/>
      <c r="W123" s="32"/>
      <c r="AC123" s="32"/>
      <c r="AF123" s="32"/>
      <c r="AI123" s="32"/>
      <c r="AJ123" s="32"/>
      <c r="AN123" s="32"/>
      <c r="AR123" s="32"/>
      <c r="AT123" s="32"/>
      <c r="AU123" s="32"/>
      <c r="AW123" s="32"/>
      <c r="AY123" s="34" t="str">
        <f aca="false">IF(TRIM($A123)="","",IF(AND(LEFT($A123,6)="SAMPLE",Config!$B$19&lt;&gt;"Y"),"",IF(NOT(ISNUMBER(H123)),"call_date is blank or not a date",IF(Sync!$C$5="","Clay paste is empty or has no row_id column: paste the Clay export on Clay_Offices",IF(CW123="","row_id not found in the Clay paste: add the Clay row or fix the row_id",IF(AND(ISNUMBER(CY123),CY123&gt;=1,CY123&lt;=5),"Clay status is "&amp;CX123&amp;": set call_done or later",IF(AND(BD123=1,CZ123&lt;&gt;BZ123),"Clay yes_in_principle should be "&amp;BZ123,IF(AND(BD123=1,DA123&lt;&gt;H123),"Clay call_date should be "&amp;TEXT(H123,"yyyy-mm-dd"),""))))))))</f>
        <v/>
      </c>
      <c r="AZ123" s="23" t="str">
        <f aca="false">IF(TRIM($A123)="","",IF(TRIM(C123)&lt;&gt;"",SUBSTITUTE(SUBSTITUTE(SUBSTITUTE(SUBSTITUTE(SUBSTITUTE(SUBSTITUTE(LOWER(TRIM(C123)),"~",""),"*",""),"?",""),"&lt;",""),"&gt;",""),"=",""),IF(EA123&lt;&gt;"",EA123,IFERROR(INDEX($EA$2:$EA$201,MATCH(DZ123,$EB$2:$EB$201,0)),DZ123))))</f>
        <v/>
      </c>
      <c r="BA123" s="23" t="n">
        <f aca="false">ROW()</f>
        <v>123</v>
      </c>
      <c r="BB123" s="23" t="n">
        <f aca="false">IF(AND(TRIM($A123)&lt;&gt;"",ISNUMBER(H123)),IF(AND(LEFT($A123,6)="SAMPLE",Config!$B$19&lt;&gt;"Y"),0,1),0)</f>
        <v>0</v>
      </c>
      <c r="BC123" s="23" t="n">
        <f aca="false">IF(BB123=1,IF(COUNTIFS($AZ$2:$AZ$201,AZ123,$BB$2:$BB$201,1,$H$2:$H$201,"&lt;"&amp;H123)+COUNTIFS($AZ$2:$AZ$201,AZ123,$BB$2:$BB$201,1,$H$2:$H$201,H123,$BA$2:$BA$201,"&lt;"&amp;BA123)=0,1,0),0)</f>
        <v>0</v>
      </c>
      <c r="BD123" s="23" t="n">
        <f aca="false">IF(BB123=1,IF(COUNTIFS($A$2:$A$201,$A123,$BB$2:$BB$201,1,$H$2:$H$201,"&gt;"&amp;H123)+COUNTIFS($A$2:$A$201,$A123,$BB$2:$BB$201,1,$H$2:$H$201,H123,$BA$2:$BA$201,"&gt;"&amp;BA123)=0,1,0),0)</f>
        <v>0</v>
      </c>
      <c r="BE123" s="23" t="n">
        <f aca="false">IF(AND(BB123=1,AR123="Y",AC123="Y",TRIM(AH123)&lt;&gt;""),1,0)</f>
        <v>0</v>
      </c>
      <c r="BF123" s="23" t="n">
        <f aca="false">IF(BE123=1,IF(COUNTIFS($AZ$2:$AZ$201,AZ123,$BE$2:$BE$201,1,$H$2:$H$201,"&lt;"&amp;H123)+COUNTIFS($AZ$2:$AZ$201,AZ123,$BE$2:$BE$201,1,$H$2:$H$201,H123,$BA$2:$BA$201,"&lt;"&amp;BA123)=0,1,0),0)</f>
        <v>0</v>
      </c>
      <c r="BG123" s="23" t="n">
        <f aca="false">IF(AND(BB123=1,AR123="Y",BE123=0),1,0)</f>
        <v>0</v>
      </c>
      <c r="BH123" s="23" t="n">
        <f aca="false">IF(AND(BB123=1,ISNUMBER(Y123)),1,0)</f>
        <v>0</v>
      </c>
      <c r="BI123" s="23" t="n">
        <f aca="false">IF(BH123=1,IF(COUNTIFS($AZ$2:$AZ$201,AZ123,$BH$2:$BH$201,1,$H$2:$H$201,"&lt;"&amp;H123)+COUNTIFS($AZ$2:$AZ$201,AZ123,$BH$2:$BH$201,1,$H$2:$H$201,H123,$BA$2:$BA$201,"&lt;"&amp;BA123)=0,1,0),0)</f>
        <v>0</v>
      </c>
      <c r="BJ123" s="23" t="str">
        <f aca="false">IF(AND(BI123=1,INT(N(H123))&lt;=Config!$B$6),Y123,"")</f>
        <v/>
      </c>
      <c r="BK123" s="23" t="str">
        <f aca="false">IF(AND(BI123=1,INT(N(H123))&lt;=Config!$B$7),Y123,"")</f>
        <v/>
      </c>
      <c r="BL123" s="23" t="str">
        <f aca="false">IF(AND(BI123=1,INT(N(H123))&lt;=Config!$B$8),Y123,"")</f>
        <v/>
      </c>
      <c r="BM123" s="23" t="str">
        <f aca="false">IF(AND(BI123=1,INT(N(H123))&lt;=Config!$B$5),Y123,"")</f>
        <v/>
      </c>
      <c r="BN123" s="23" t="n">
        <f aca="false">IF(CD123=1,IF(COUNTIFS($AZ$2:$AZ$201,AZ123,$CD$2:$CD$201,1,$H$2:$H$201,"&lt;"&amp;H123)+COUNTIFS($AZ$2:$AZ$201,AZ123,$CD$2:$CD$201,1,$H$2:$H$201,H123,$BA$2:$BA$201,"&lt;"&amp;BA123)=0,1,0),0)</f>
        <v>0</v>
      </c>
      <c r="BO123" s="23" t="n">
        <f aca="false">IF(AND(BB123=1,ISNUMBER(M123)),1,0)</f>
        <v>0</v>
      </c>
      <c r="BP123" s="23" t="n">
        <f aca="false">IF(BO123=1,IF(COUNTIFS($AZ$2:$AZ$201,AZ123,$BO$2:$BO$201,1,$H$2:$H$201,"&lt;"&amp;H123)+COUNTIFS($AZ$2:$AZ$201,AZ123,$BO$2:$BO$201,1,$H$2:$H$201,H123,$BA$2:$BA$201,"&lt;"&amp;BA123)=0,1,0),0)</f>
        <v>0</v>
      </c>
      <c r="BQ123" s="23" t="str">
        <f aca="false">IF(AND(BP123=1,INT(N(H123))&lt;=Config!$B$5),M123,"")</f>
        <v/>
      </c>
      <c r="BR123" s="23" t="n">
        <f aca="false">IF(AND(BB123=1,OR(TRIM(X123)&lt;&gt;"",ISNUMBER(Y123))),1,0)</f>
        <v>0</v>
      </c>
      <c r="BS123" s="23" t="n">
        <f aca="false">IF(BR123=1,IF(COUNTIFS($AZ$2:$AZ$201,AZ123,$BR$2:$BR$201,1,$H$2:$H$201,"&lt;"&amp;H123)+COUNTIFS($AZ$2:$AZ$201,AZ123,$BR$2:$BR$201,1,$H$2:$H$201,H123,$BA$2:$BA$201,"&lt;"&amp;BA123)=0,1,0),0)</f>
        <v>0</v>
      </c>
      <c r="BT123" s="23" t="str">
        <f aca="false">IF(BS123=1,AZ123,"")</f>
        <v/>
      </c>
      <c r="BU123" s="23" t="n">
        <f aca="false">IF(AND(BB123=1,W123="Y",TRIM(X123)=""),1,0)</f>
        <v>0</v>
      </c>
      <c r="BV123" s="23" t="str">
        <f aca="false">IF(BB123=1,AN123&amp;"","")</f>
        <v/>
      </c>
      <c r="BW123" s="23" t="str">
        <f aca="false">IF(BB123=1,AO123&amp;"","")</f>
        <v/>
      </c>
      <c r="BX123" s="23" t="str">
        <f aca="false">IF(BB123=1,AP123&amp;"","")</f>
        <v/>
      </c>
      <c r="BY123" s="23" t="str">
        <f aca="false">IF(AND(BB123=1,ISNUMBER(AV123),INT(N(H123))&lt;=Config!$B$5),AV123,"")</f>
        <v/>
      </c>
      <c r="BZ123" s="23" t="str">
        <f aca="false">IF(BB123=1,IF(COUNTIFS($A$2:$A$201,$A123,$DC$2:$DC$201,1,$AR$2:$AR$201,"Y")&gt;0,"Y","N"),"")</f>
        <v/>
      </c>
      <c r="CA123" s="23" t="n">
        <f aca="false">IF(AND(BB123=1,AR123="maybe"),1,0)</f>
        <v>0</v>
      </c>
      <c r="CB123" s="23" t="n">
        <f aca="false">IF(CA123=1,IF(COUNTIFS($AZ$2:$AZ$201,AZ123,$CA$2:$CA$201,1,$H$2:$H$201,"&lt;"&amp;H123)+COUNTIFS($AZ$2:$AZ$201,AZ123,$CA$2:$CA$201,1,$H$2:$H$201,H123,$BA$2:$BA$201,"&lt;"&amp;BA123)=0,1,0),0)</f>
        <v>0</v>
      </c>
      <c r="CC123" s="23" t="n">
        <f aca="false">IF(AND(BB123=1,AR123="Y"),IF(COUNTIFS($AZ$2:$AZ$201,AZ123,$AR$2:$AR$201,"Y",$BB$2:$BB$201,1,$H$2:$H$201,"&lt;"&amp;H123)+COUNTIFS($AZ$2:$AZ$201,AZ123,$AR$2:$AR$201,"Y",$BB$2:$BB$201,1,$H$2:$H$201,H123,$BA$2:$BA$201,"&lt;"&amp;BA123)=0,1,0),0)</f>
        <v>0</v>
      </c>
      <c r="CD123" s="23" t="n">
        <f aca="false">IF(AND(BH123=1,N(Y123)&gt;=Config!$B$15),1,0)</f>
        <v>0</v>
      </c>
      <c r="CE123" s="23" t="n">
        <f aca="false">IF(AND(BB123=1,AT123="Y"),1,0)</f>
        <v>0</v>
      </c>
      <c r="CF123" s="23" t="n">
        <f aca="false">IF(CE123=1,IF(COUNTIFS($AZ$2:$AZ$201,AZ123,$CE$2:$CE$201,1,$H$2:$H$201,"&lt;"&amp;H123)+COUNTIFS($AZ$2:$AZ$201,AZ123,$CE$2:$CE$201,1,$H$2:$H$201,H123,$BA$2:$BA$201,"&lt;"&amp;BA123)=0,1,0),0)</f>
        <v>0</v>
      </c>
      <c r="CG123" s="23" t="n">
        <f aca="false">IF(AND(BB123=1,G123="warm-intro"),1,0)</f>
        <v>0</v>
      </c>
      <c r="CH123" s="23" t="n">
        <f aca="false">IF(CG123=1,IF(COUNTIFS($AZ$2:$AZ$201,AZ123,$CG$2:$CG$201,1,$H$2:$H$201,"&lt;"&amp;H123)+COUNTIFS($AZ$2:$AZ$201,AZ123,$CG$2:$CG$201,1,$H$2:$H$201,H123,$BA$2:$BA$201,"&lt;"&amp;BA123)=0,1,0),0)</f>
        <v>0</v>
      </c>
      <c r="CI123" s="23" t="n">
        <f aca="false">IF(AND(BB123=1,Q123="Y"),1,0)</f>
        <v>0</v>
      </c>
      <c r="CJ123" s="23" t="n">
        <f aca="false">IF(CI123=1,IF(COUNTIFS($AZ$2:$AZ$201,AZ123,$CI$2:$CI$201,1,$H$2:$H$201,"&lt;"&amp;H123)+COUNTIFS($AZ$2:$AZ$201,AZ123,$CI$2:$CI$201,1,$H$2:$H$201,H123,$BA$2:$BA$201,"&lt;"&amp;BA123)=0,1,0),0)</f>
        <v>0</v>
      </c>
      <c r="CK123" s="23" t="n">
        <f aca="false">IF(AND(BB123=1,AF123="Y"),1,0)</f>
        <v>0</v>
      </c>
      <c r="CL123" s="23" t="n">
        <f aca="false">IF(CK123=1,IF(COUNTIFS($AZ$2:$AZ$201,AZ123,$CK$2:$CK$201,1,$H$2:$H$201,"&lt;"&amp;H123)+COUNTIFS($AZ$2:$AZ$201,AZ123,$CK$2:$CK$201,1,$H$2:$H$201,H123,$BA$2:$BA$201,"&lt;"&amp;BA123)=0,1,0),0)</f>
        <v>0</v>
      </c>
      <c r="CM123" s="23" t="n">
        <f aca="false">IF(AND(BB123=1,U123="Y"),1,0)</f>
        <v>0</v>
      </c>
      <c r="CN123" s="23" t="n">
        <f aca="false">IF(CM123=1,IF(COUNTIFS($AZ$2:$AZ$201,AZ123,$CM$2:$CM$201,1,$H$2:$H$201,"&lt;"&amp;H123)+COUNTIFS($AZ$2:$AZ$201,AZ123,$CM$2:$CM$201,1,$H$2:$H$201,H123,$BA$2:$BA$201,"&lt;"&amp;BA123)=0,1,0),0)</f>
        <v>0</v>
      </c>
      <c r="CO123" s="23" t="n">
        <f aca="false">IF(AND(BB123=1,L123="Y"),1,0)</f>
        <v>0</v>
      </c>
      <c r="CP123" s="23" t="n">
        <f aca="false">IF(CO123=1,IF(COUNTIFS($AZ$2:$AZ$201,AZ123,$CO$2:$CO$201,1,$H$2:$H$201,"&lt;"&amp;H123)+COUNTIFS($AZ$2:$AZ$201,AZ123,$CO$2:$CO$201,1,$H$2:$H$201,H123,$BA$2:$BA$201,"&lt;"&amp;BA123)=0,1,0),0)</f>
        <v>0</v>
      </c>
      <c r="CQ123" s="23" t="n">
        <f aca="false">IF(AND(BB123=1,ISNUMBER(O123)),1,0)</f>
        <v>0</v>
      </c>
      <c r="CR123" s="23" t="n">
        <f aca="false">IF(CQ123=1,IF(COUNTIFS($AZ$2:$AZ$201,AZ123,$CQ$2:$CQ$201,1,$H$2:$H$201,"&lt;"&amp;H123)+COUNTIFS($AZ$2:$AZ$201,AZ123,$CQ$2:$CQ$201,1,$H$2:$H$201,H123,$BA$2:$BA$201,"&lt;"&amp;BA123)=0,1,0),0)</f>
        <v>0</v>
      </c>
      <c r="CS123" s="23" t="str">
        <f aca="false">IF(AND(CR123=1,INT(N(H123))&lt;=Config!$B$5),O123,"")</f>
        <v/>
      </c>
      <c r="CT123" s="23" t="str">
        <f aca="false">IF(AND(BB123=1,INT(N(H123))&lt;=Config!$B$5),AG123&amp;"","")</f>
        <v/>
      </c>
      <c r="CU123" s="23" t="n">
        <f aca="false">IF(AND(BB123=1,AU123="Y"),1,0)</f>
        <v>0</v>
      </c>
      <c r="CV123" s="23" t="n">
        <f aca="false">IF(CU123=1,IF(COUNTIFS($AZ$2:$AZ$201,AZ123,$CU$2:$CU$201,1,$H$2:$H$201,"&lt;"&amp;H123)+COUNTIFS($AZ$2:$AZ$201,AZ123,$CU$2:$CU$201,1,$H$2:$H$201,H123,$BA$2:$BA$201,"&lt;"&amp;BA123)=0,1,0),0)</f>
        <v>0</v>
      </c>
      <c r="CW123" s="23" t="str">
        <f aca="false">IF(BB123=1,IFERROR(MATCH($A123,INDEX(Clay_Offices!$A$2:$FZ$601,0,Sync!$C$5),0),""),"")</f>
        <v/>
      </c>
      <c r="CX123" s="23" t="str">
        <f aca="false">IF(CW123="","",IFERROR(INDEX(Clay_Offices!$A$2:$FZ$601,CW123,Sync!$C$7)&amp;"",""))</f>
        <v/>
      </c>
      <c r="CY123" s="23" t="str">
        <f aca="false">IF(CX123="","",IFERROR(INDEX(Lists!$K$2:$K$15,MATCH(CX123,Lists!$J$2:$J$15,0)),""))</f>
        <v/>
      </c>
      <c r="CZ123" s="23" t="str">
        <f aca="false">IF(CW123="","",IFERROR(INDEX(Clay_Offices!$A$2:$FZ$601,CW123,Sync!$C$17)&amp;"",""))</f>
        <v/>
      </c>
      <c r="DA123" s="35" t="str">
        <f aca="false">IF(CW123="","",IFERROR(N(INDEX(Clay_Offices!$A$2:$FZ$601,CW123,Sync!$C$16)),0))</f>
        <v/>
      </c>
      <c r="DB123" s="23" t="n">
        <f aca="false">IF(AND(BB123=1,OR(AR123="Y",AR123="N",AR123="maybe")),1,0)</f>
        <v>0</v>
      </c>
      <c r="DC123" s="23" t="n">
        <f aca="false">IF(AND(DB123=1),IF(COUNTIFS($A$2:$A$201,$A123,$DB$2:$DB$201,1,$H$2:$H$201,"&gt;"&amp;H123)+COUNTIFS($A$2:$A$201,$A123,$DB$2:$DB$201,1,$H$2:$H$201,H123,$BA$2:$BA$201,"&gt;"&amp;BA123)=0,1,0),0)</f>
        <v>0</v>
      </c>
      <c r="DD123" s="23" t="n">
        <f aca="false">IF(AND(DB123=1,INT(N(H123))&lt;=Config!$B$6),IF(COUNTIFS($AZ$2:$AZ$201,AZ123,$DB$2:$DB$201,1,$H$2:$H$201,"&gt;"&amp;H123,$H$2:$H$201,"&lt;"&amp;(Config!$B$6+1))+COUNTIFS($AZ$2:$AZ$201,AZ123,$DB$2:$DB$201,1,$H$2:$H$201,H123,$BA$2:$BA$201,"&gt;"&amp;BA123)=0,1,0),0)</f>
        <v>0</v>
      </c>
      <c r="DE123" s="23" t="n">
        <f aca="false">IF(AND(DB123=1,INT(N(H123))&lt;=Config!$B$7),IF(COUNTIFS($AZ$2:$AZ$201,AZ123,$DB$2:$DB$201,1,$H$2:$H$201,"&gt;"&amp;H123,$H$2:$H$201,"&lt;"&amp;(Config!$B$7+1))+COUNTIFS($AZ$2:$AZ$201,AZ123,$DB$2:$DB$201,1,$H$2:$H$201,H123,$BA$2:$BA$201,"&gt;"&amp;BA123)=0,1,0),0)</f>
        <v>0</v>
      </c>
      <c r="DF123" s="23" t="n">
        <f aca="false">IF(AND(DB123=1,INT(N(H123))&lt;=Config!$B$8),IF(COUNTIFS($AZ$2:$AZ$201,AZ123,$DB$2:$DB$201,1,$H$2:$H$201,"&gt;"&amp;H123,$H$2:$H$201,"&lt;"&amp;(Config!$B$8+1))+COUNTIFS($AZ$2:$AZ$201,AZ123,$DB$2:$DB$201,1,$H$2:$H$201,H123,$BA$2:$BA$201,"&gt;"&amp;BA123)=0,1,0),0)</f>
        <v>0</v>
      </c>
      <c r="DG123" s="23" t="n">
        <f aca="false">IF(AND(DB123=1,INT(N(H123))&lt;=Config!$B$5),IF(COUNTIFS($AZ$2:$AZ$201,AZ123,$DB$2:$DB$201,1,$H$2:$H$201,"&gt;"&amp;H123,$H$2:$H$201,"&lt;"&amp;(Config!$B$5+1))+COUNTIFS($AZ$2:$AZ$201,AZ123,$DB$2:$DB$201,1,$H$2:$H$201,H123,$BA$2:$BA$201,"&gt;"&amp;BA123)=0,1,0),0)</f>
        <v>0</v>
      </c>
      <c r="DH123" s="23" t="n">
        <f aca="false">IF(BB123=1,IF(COUNTIFS($AZ$2:$AZ$201,AZ123,$DD$2:$DD$201,1,$AR$2:$AR$201,"Y")&gt;0,1,0),0)</f>
        <v>0</v>
      </c>
      <c r="DI123" s="23" t="n">
        <f aca="false">IF(BB123=1,IF(COUNTIFS($AZ$2:$AZ$201,AZ123,$DE$2:$DE$201,1,$AR$2:$AR$201,"Y")&gt;0,1,0),0)</f>
        <v>0</v>
      </c>
      <c r="DJ123" s="23" t="n">
        <f aca="false">IF(BB123=1,IF(COUNTIFS($AZ$2:$AZ$201,AZ123,$DF$2:$DF$201,1,$AR$2:$AR$201,"Y")&gt;0,1,0),0)</f>
        <v>0</v>
      </c>
      <c r="DK123" s="23" t="n">
        <f aca="false">IF(BB123=1,IF(COUNTIFS($AZ$2:$AZ$201,AZ123,$DG$2:$DG$201,1,$AR$2:$AR$201,"Y")&gt;0,1,0),0)</f>
        <v>0</v>
      </c>
      <c r="DL123" s="23" t="n">
        <f aca="false">IF(AND(BF123=1,INT(N(H123))&lt;=Config!$B$6,DH123=1,EI123=0),1,0)</f>
        <v>0</v>
      </c>
      <c r="DM123" s="23" t="n">
        <f aca="false">IF(AND(BF123=1,INT(N(H123))&lt;=Config!$B$7,DI123=1,EI123=0),1,0)</f>
        <v>0</v>
      </c>
      <c r="DN123" s="23" t="n">
        <f aca="false">IF(AND(BF123=1,INT(N(H123))&lt;=Config!$B$8,DJ123=1,EI123=0),1,0)</f>
        <v>0</v>
      </c>
      <c r="DO123" s="23" t="n">
        <f aca="false">IF(AND(BF123=1,INT(N(H123))&lt;=Config!$B$5,DK123=1,EI123=0),1,0)</f>
        <v>0</v>
      </c>
      <c r="DP123" s="23" t="n">
        <f aca="false">IF(AND(CC123=1,INT(N(H123))&lt;=Config!$B$6,DH123=1,EI123=0),1,0)</f>
        <v>0</v>
      </c>
      <c r="DQ123" s="23" t="n">
        <f aca="false">IF(AND(CC123=1,INT(N(H123))&lt;=Config!$B$7,DI123=1,EI123=0),1,0)</f>
        <v>0</v>
      </c>
      <c r="DR123" s="23" t="n">
        <f aca="false">IF(AND(CC123=1,INT(N(H123))&lt;=Config!$B$8,DJ123=1,EI123=0),1,0)</f>
        <v>0</v>
      </c>
      <c r="DS123" s="23" t="n">
        <f aca="false">IF(AND(CC123=1,INT(N(H123))&lt;=Config!$B$5,DK123=1,EI123=0),1,0)</f>
        <v>0</v>
      </c>
      <c r="DT123" s="23" t="n">
        <f aca="false">IF(AND(CC123=1,INT(N(H123))&lt;=Config!$B$6,DH123=0),1,0)</f>
        <v>0</v>
      </c>
      <c r="DU123" s="23" t="n">
        <f aca="false">IF(AND(CC123=1,INT(N(H123))&lt;=Config!$B$7,DI123=0),1,0)</f>
        <v>0</v>
      </c>
      <c r="DV123" s="23" t="n">
        <f aca="false">IF(AND(CC123=1,INT(N(H123))&lt;=Config!$B$8,DJ123=0),1,0)</f>
        <v>0</v>
      </c>
      <c r="DW123" s="23" t="n">
        <f aca="false">IF(AND(CC123=1,INT(N(H123))&lt;=Config!$B$5,DK123=0),1,0)</f>
        <v>0</v>
      </c>
      <c r="DX123" s="23" t="n">
        <f aca="false">IF(TRIM($A123)="",0,ISTEXT(M123)+ISTEXT(O123)+ISTEXT(Y123)+ISTEXT(Z123)+ISTEXT(AA123)+ISTEXT(AV123))</f>
        <v>0</v>
      </c>
      <c r="DY123" s="23" t="n">
        <f aca="false">IF(BB123=1,IF(H123&lt;&gt;INT(H123),1,0),0)</f>
        <v>0</v>
      </c>
      <c r="DZ123" s="23" t="str">
        <f aca="false">IF(TRIM($A123)="","",IF(TRIM(B123)="",SUBSTITUTE(SUBSTITUTE(SUBSTITUTE(SUBSTITUTE(SUBSTITUTE(SUBSTITUTE(LOWER(TRIM($A123)),"~",""),"*",""),"?",""),"&lt;",""),"&gt;",""),"=",""),SUBSTITUTE(SUBSTITUTE(SUBSTITUTE(SUBSTITUTE(SUBSTITUTE(SUBSTITUTE(LOWER(TRIM(B123)),"~",""),"*",""),"?",""),"&lt;",""),"&gt;",""),"=","")))</f>
        <v/>
      </c>
      <c r="EA123" s="23" t="str">
        <f aca="false">IF(CW123="","",IFERROR(IF(LEFT(LOWER(TRIM(INDEX(Clay_Offices!$A$2:$FZ$601,CW123,Sync!$C$19)&amp;"")),4)="grp-",SUBSTITUTE(SUBSTITUTE(SUBSTITUTE(SUBSTITUTE(SUBSTITUTE(SUBSTITUTE(LOWER(TRIM(INDEX(Clay_Offices!$A$2:$FZ$601,CW123,Sync!$C$19)&amp;"")),"~",""),"*",""),"?",""),"&lt;",""),"&gt;",""),"=",""),""),""))</f>
        <v/>
      </c>
      <c r="EB123" s="23" t="str">
        <f aca="false">IF(EA123&lt;&gt;"",DZ123,"")</f>
        <v/>
      </c>
      <c r="EC123" s="23" t="str">
        <f aca="false">IF(BC123=1,AZ123,"")</f>
        <v/>
      </c>
      <c r="ED123" s="23" t="str">
        <f aca="false">IF(TRIM($A123)="","",IFERROR(INDEX($A$2:$A$201,MATCH(AZ123,$EC$2:$EC$201,0))&amp;"",$A123&amp;""))</f>
        <v/>
      </c>
      <c r="EE123" s="23" t="n">
        <f aca="false">IF(BB123=1,IF(COUNTIFS($A$2:$A$201,$A123,$BB$2:$BB$201,1,$H$2:$H$201,"&lt;"&amp;H123)+COUNTIFS($A$2:$A$201,$A123,$BB$2:$BB$201,1,$H$2:$H$201,H123,$BA$2:$BA$201,"&lt;"&amp;BA123)=0,1,0),0)</f>
        <v>0</v>
      </c>
      <c r="EF123" s="23" t="n">
        <f aca="false">IF(BC123=1,IF(COUNTIFS($AZ$2:$AZ$201,AZ123,$EE$2:$EE$201,1)&gt;1,1,0),0)</f>
        <v>0</v>
      </c>
      <c r="EG123" s="23" t="n">
        <f aca="false">IF(AND(CQ123=1),IF(COUNTIFS($AZ$2:$AZ$201,AZ123,$CQ$2:$CQ$201,1,$H$2:$H$201,"&gt;"&amp;H123)+COUNTIFS($AZ$2:$AZ$201,AZ123,$CQ$2:$CQ$201,1,$H$2:$H$201,H123,$BA$2:$BA$201,"&gt;"&amp;BA123)=0,1,0),0)</f>
        <v>0</v>
      </c>
      <c r="EH123" s="23" t="str">
        <f aca="false">IF(BB123=1,IF(COUNTIFS($AZ$2:$AZ$201,AZ123,$EG$2:$EG$201,1)=0,"",SUMIFS($O$2:$O$201,$AZ$2:$AZ$201,AZ123,$EG$2:$EG$201,1)),"")</f>
        <v/>
      </c>
      <c r="EI123" s="23" t="n">
        <f aca="false">IF(AND(ISNUMBER(EH123),OR(N(EH123)&lt;Config!$B$31,N(EH123)&gt;Config!$B$33)),1,0)</f>
        <v>0</v>
      </c>
      <c r="EJ123" s="23" t="n">
        <f aca="false">IF(AND(ISNUMBER(EH123),N(EH123)&gt;=Config!$B$31,N(EH123)&lt;Config!$B$32),1,0)</f>
        <v>0</v>
      </c>
      <c r="EK123" s="23" t="n">
        <f aca="false">IF(AND(BF123=1,INT(N(H123))&lt;=Config!$B$6,DH123=1,EI123=1),1,0)</f>
        <v>0</v>
      </c>
      <c r="EL123" s="23" t="n">
        <f aca="false">IF(AND(BF123=1,INT(N(H123))&lt;=Config!$B$7,DI123=1,EI123=1),1,0)</f>
        <v>0</v>
      </c>
      <c r="EM123" s="23" t="n">
        <f aca="false">IF(AND(BF123=1,INT(N(H123))&lt;=Config!$B$8,DJ123=1,EI123=1),1,0)</f>
        <v>0</v>
      </c>
      <c r="EN123" s="23" t="n">
        <f aca="false">IF(AND(BF123=1,INT(N(H123))&lt;=Config!$B$5,DK123=1,EI123=1),1,0)</f>
        <v>0</v>
      </c>
      <c r="EO123" s="23" t="n">
        <f aca="false">IF(AND(DL123=1,EJ123=1),1,0)</f>
        <v>0</v>
      </c>
      <c r="EP123" s="23" t="n">
        <f aca="false">IF(AND(DM123=1,EJ123=1),1,0)</f>
        <v>0</v>
      </c>
      <c r="EQ123" s="23" t="n">
        <f aca="false">IF(AND(DN123=1,EJ123=1),1,0)</f>
        <v>0</v>
      </c>
      <c r="ER123" s="23" t="n">
        <f aca="false">IF(AND(DO123=1,EJ123=1),1,0)</f>
        <v>0</v>
      </c>
    </row>
    <row r="124" customFormat="false" ht="15" hidden="false" customHeight="false" outlineLevel="0" collapsed="false">
      <c r="G124" s="32"/>
      <c r="H124" s="33"/>
      <c r="I124" s="32"/>
      <c r="L124" s="32"/>
      <c r="Q124" s="32"/>
      <c r="U124" s="32"/>
      <c r="W124" s="32"/>
      <c r="AC124" s="32"/>
      <c r="AF124" s="32"/>
      <c r="AI124" s="32"/>
      <c r="AJ124" s="32"/>
      <c r="AN124" s="32"/>
      <c r="AR124" s="32"/>
      <c r="AT124" s="32"/>
      <c r="AU124" s="32"/>
      <c r="AW124" s="32"/>
      <c r="AY124" s="34" t="str">
        <f aca="false">IF(TRIM($A124)="","",IF(AND(LEFT($A124,6)="SAMPLE",Config!$B$19&lt;&gt;"Y"),"",IF(NOT(ISNUMBER(H124)),"call_date is blank or not a date",IF(Sync!$C$5="","Clay paste is empty or has no row_id column: paste the Clay export on Clay_Offices",IF(CW124="","row_id not found in the Clay paste: add the Clay row or fix the row_id",IF(AND(ISNUMBER(CY124),CY124&gt;=1,CY124&lt;=5),"Clay status is "&amp;CX124&amp;": set call_done or later",IF(AND(BD124=1,CZ124&lt;&gt;BZ124),"Clay yes_in_principle should be "&amp;BZ124,IF(AND(BD124=1,DA124&lt;&gt;H124),"Clay call_date should be "&amp;TEXT(H124,"yyyy-mm-dd"),""))))))))</f>
        <v/>
      </c>
      <c r="AZ124" s="23" t="str">
        <f aca="false">IF(TRIM($A124)="","",IF(TRIM(C124)&lt;&gt;"",SUBSTITUTE(SUBSTITUTE(SUBSTITUTE(SUBSTITUTE(SUBSTITUTE(SUBSTITUTE(LOWER(TRIM(C124)),"~",""),"*",""),"?",""),"&lt;",""),"&gt;",""),"=",""),IF(EA124&lt;&gt;"",EA124,IFERROR(INDEX($EA$2:$EA$201,MATCH(DZ124,$EB$2:$EB$201,0)),DZ124))))</f>
        <v/>
      </c>
      <c r="BA124" s="23" t="n">
        <f aca="false">ROW()</f>
        <v>124</v>
      </c>
      <c r="BB124" s="23" t="n">
        <f aca="false">IF(AND(TRIM($A124)&lt;&gt;"",ISNUMBER(H124)),IF(AND(LEFT($A124,6)="SAMPLE",Config!$B$19&lt;&gt;"Y"),0,1),0)</f>
        <v>0</v>
      </c>
      <c r="BC124" s="23" t="n">
        <f aca="false">IF(BB124=1,IF(COUNTIFS($AZ$2:$AZ$201,AZ124,$BB$2:$BB$201,1,$H$2:$H$201,"&lt;"&amp;H124)+COUNTIFS($AZ$2:$AZ$201,AZ124,$BB$2:$BB$201,1,$H$2:$H$201,H124,$BA$2:$BA$201,"&lt;"&amp;BA124)=0,1,0),0)</f>
        <v>0</v>
      </c>
      <c r="BD124" s="23" t="n">
        <f aca="false">IF(BB124=1,IF(COUNTIFS($A$2:$A$201,$A124,$BB$2:$BB$201,1,$H$2:$H$201,"&gt;"&amp;H124)+COUNTIFS($A$2:$A$201,$A124,$BB$2:$BB$201,1,$H$2:$H$201,H124,$BA$2:$BA$201,"&gt;"&amp;BA124)=0,1,0),0)</f>
        <v>0</v>
      </c>
      <c r="BE124" s="23" t="n">
        <f aca="false">IF(AND(BB124=1,AR124="Y",AC124="Y",TRIM(AH124)&lt;&gt;""),1,0)</f>
        <v>0</v>
      </c>
      <c r="BF124" s="23" t="n">
        <f aca="false">IF(BE124=1,IF(COUNTIFS($AZ$2:$AZ$201,AZ124,$BE$2:$BE$201,1,$H$2:$H$201,"&lt;"&amp;H124)+COUNTIFS($AZ$2:$AZ$201,AZ124,$BE$2:$BE$201,1,$H$2:$H$201,H124,$BA$2:$BA$201,"&lt;"&amp;BA124)=0,1,0),0)</f>
        <v>0</v>
      </c>
      <c r="BG124" s="23" t="n">
        <f aca="false">IF(AND(BB124=1,AR124="Y",BE124=0),1,0)</f>
        <v>0</v>
      </c>
      <c r="BH124" s="23" t="n">
        <f aca="false">IF(AND(BB124=1,ISNUMBER(Y124)),1,0)</f>
        <v>0</v>
      </c>
      <c r="BI124" s="23" t="n">
        <f aca="false">IF(BH124=1,IF(COUNTIFS($AZ$2:$AZ$201,AZ124,$BH$2:$BH$201,1,$H$2:$H$201,"&lt;"&amp;H124)+COUNTIFS($AZ$2:$AZ$201,AZ124,$BH$2:$BH$201,1,$H$2:$H$201,H124,$BA$2:$BA$201,"&lt;"&amp;BA124)=0,1,0),0)</f>
        <v>0</v>
      </c>
      <c r="BJ124" s="23" t="str">
        <f aca="false">IF(AND(BI124=1,INT(N(H124))&lt;=Config!$B$6),Y124,"")</f>
        <v/>
      </c>
      <c r="BK124" s="23" t="str">
        <f aca="false">IF(AND(BI124=1,INT(N(H124))&lt;=Config!$B$7),Y124,"")</f>
        <v/>
      </c>
      <c r="BL124" s="23" t="str">
        <f aca="false">IF(AND(BI124=1,INT(N(H124))&lt;=Config!$B$8),Y124,"")</f>
        <v/>
      </c>
      <c r="BM124" s="23" t="str">
        <f aca="false">IF(AND(BI124=1,INT(N(H124))&lt;=Config!$B$5),Y124,"")</f>
        <v/>
      </c>
      <c r="BN124" s="23" t="n">
        <f aca="false">IF(CD124=1,IF(COUNTIFS($AZ$2:$AZ$201,AZ124,$CD$2:$CD$201,1,$H$2:$H$201,"&lt;"&amp;H124)+COUNTIFS($AZ$2:$AZ$201,AZ124,$CD$2:$CD$201,1,$H$2:$H$201,H124,$BA$2:$BA$201,"&lt;"&amp;BA124)=0,1,0),0)</f>
        <v>0</v>
      </c>
      <c r="BO124" s="23" t="n">
        <f aca="false">IF(AND(BB124=1,ISNUMBER(M124)),1,0)</f>
        <v>0</v>
      </c>
      <c r="BP124" s="23" t="n">
        <f aca="false">IF(BO124=1,IF(COUNTIFS($AZ$2:$AZ$201,AZ124,$BO$2:$BO$201,1,$H$2:$H$201,"&lt;"&amp;H124)+COUNTIFS($AZ$2:$AZ$201,AZ124,$BO$2:$BO$201,1,$H$2:$H$201,H124,$BA$2:$BA$201,"&lt;"&amp;BA124)=0,1,0),0)</f>
        <v>0</v>
      </c>
      <c r="BQ124" s="23" t="str">
        <f aca="false">IF(AND(BP124=1,INT(N(H124))&lt;=Config!$B$5),M124,"")</f>
        <v/>
      </c>
      <c r="BR124" s="23" t="n">
        <f aca="false">IF(AND(BB124=1,OR(TRIM(X124)&lt;&gt;"",ISNUMBER(Y124))),1,0)</f>
        <v>0</v>
      </c>
      <c r="BS124" s="23" t="n">
        <f aca="false">IF(BR124=1,IF(COUNTIFS($AZ$2:$AZ$201,AZ124,$BR$2:$BR$201,1,$H$2:$H$201,"&lt;"&amp;H124)+COUNTIFS($AZ$2:$AZ$201,AZ124,$BR$2:$BR$201,1,$H$2:$H$201,H124,$BA$2:$BA$201,"&lt;"&amp;BA124)=0,1,0),0)</f>
        <v>0</v>
      </c>
      <c r="BT124" s="23" t="str">
        <f aca="false">IF(BS124=1,AZ124,"")</f>
        <v/>
      </c>
      <c r="BU124" s="23" t="n">
        <f aca="false">IF(AND(BB124=1,W124="Y",TRIM(X124)=""),1,0)</f>
        <v>0</v>
      </c>
      <c r="BV124" s="23" t="str">
        <f aca="false">IF(BB124=1,AN124&amp;"","")</f>
        <v/>
      </c>
      <c r="BW124" s="23" t="str">
        <f aca="false">IF(BB124=1,AO124&amp;"","")</f>
        <v/>
      </c>
      <c r="BX124" s="23" t="str">
        <f aca="false">IF(BB124=1,AP124&amp;"","")</f>
        <v/>
      </c>
      <c r="BY124" s="23" t="str">
        <f aca="false">IF(AND(BB124=1,ISNUMBER(AV124),INT(N(H124))&lt;=Config!$B$5),AV124,"")</f>
        <v/>
      </c>
      <c r="BZ124" s="23" t="str">
        <f aca="false">IF(BB124=1,IF(COUNTIFS($A$2:$A$201,$A124,$DC$2:$DC$201,1,$AR$2:$AR$201,"Y")&gt;0,"Y","N"),"")</f>
        <v/>
      </c>
      <c r="CA124" s="23" t="n">
        <f aca="false">IF(AND(BB124=1,AR124="maybe"),1,0)</f>
        <v>0</v>
      </c>
      <c r="CB124" s="23" t="n">
        <f aca="false">IF(CA124=1,IF(COUNTIFS($AZ$2:$AZ$201,AZ124,$CA$2:$CA$201,1,$H$2:$H$201,"&lt;"&amp;H124)+COUNTIFS($AZ$2:$AZ$201,AZ124,$CA$2:$CA$201,1,$H$2:$H$201,H124,$BA$2:$BA$201,"&lt;"&amp;BA124)=0,1,0),0)</f>
        <v>0</v>
      </c>
      <c r="CC124" s="23" t="n">
        <f aca="false">IF(AND(BB124=1,AR124="Y"),IF(COUNTIFS($AZ$2:$AZ$201,AZ124,$AR$2:$AR$201,"Y",$BB$2:$BB$201,1,$H$2:$H$201,"&lt;"&amp;H124)+COUNTIFS($AZ$2:$AZ$201,AZ124,$AR$2:$AR$201,"Y",$BB$2:$BB$201,1,$H$2:$H$201,H124,$BA$2:$BA$201,"&lt;"&amp;BA124)=0,1,0),0)</f>
        <v>0</v>
      </c>
      <c r="CD124" s="23" t="n">
        <f aca="false">IF(AND(BH124=1,N(Y124)&gt;=Config!$B$15),1,0)</f>
        <v>0</v>
      </c>
      <c r="CE124" s="23" t="n">
        <f aca="false">IF(AND(BB124=1,AT124="Y"),1,0)</f>
        <v>0</v>
      </c>
      <c r="CF124" s="23" t="n">
        <f aca="false">IF(CE124=1,IF(COUNTIFS($AZ$2:$AZ$201,AZ124,$CE$2:$CE$201,1,$H$2:$H$201,"&lt;"&amp;H124)+COUNTIFS($AZ$2:$AZ$201,AZ124,$CE$2:$CE$201,1,$H$2:$H$201,H124,$BA$2:$BA$201,"&lt;"&amp;BA124)=0,1,0),0)</f>
        <v>0</v>
      </c>
      <c r="CG124" s="23" t="n">
        <f aca="false">IF(AND(BB124=1,G124="warm-intro"),1,0)</f>
        <v>0</v>
      </c>
      <c r="CH124" s="23" t="n">
        <f aca="false">IF(CG124=1,IF(COUNTIFS($AZ$2:$AZ$201,AZ124,$CG$2:$CG$201,1,$H$2:$H$201,"&lt;"&amp;H124)+COUNTIFS($AZ$2:$AZ$201,AZ124,$CG$2:$CG$201,1,$H$2:$H$201,H124,$BA$2:$BA$201,"&lt;"&amp;BA124)=0,1,0),0)</f>
        <v>0</v>
      </c>
      <c r="CI124" s="23" t="n">
        <f aca="false">IF(AND(BB124=1,Q124="Y"),1,0)</f>
        <v>0</v>
      </c>
      <c r="CJ124" s="23" t="n">
        <f aca="false">IF(CI124=1,IF(COUNTIFS($AZ$2:$AZ$201,AZ124,$CI$2:$CI$201,1,$H$2:$H$201,"&lt;"&amp;H124)+COUNTIFS($AZ$2:$AZ$201,AZ124,$CI$2:$CI$201,1,$H$2:$H$201,H124,$BA$2:$BA$201,"&lt;"&amp;BA124)=0,1,0),0)</f>
        <v>0</v>
      </c>
      <c r="CK124" s="23" t="n">
        <f aca="false">IF(AND(BB124=1,AF124="Y"),1,0)</f>
        <v>0</v>
      </c>
      <c r="CL124" s="23" t="n">
        <f aca="false">IF(CK124=1,IF(COUNTIFS($AZ$2:$AZ$201,AZ124,$CK$2:$CK$201,1,$H$2:$H$201,"&lt;"&amp;H124)+COUNTIFS($AZ$2:$AZ$201,AZ124,$CK$2:$CK$201,1,$H$2:$H$201,H124,$BA$2:$BA$201,"&lt;"&amp;BA124)=0,1,0),0)</f>
        <v>0</v>
      </c>
      <c r="CM124" s="23" t="n">
        <f aca="false">IF(AND(BB124=1,U124="Y"),1,0)</f>
        <v>0</v>
      </c>
      <c r="CN124" s="23" t="n">
        <f aca="false">IF(CM124=1,IF(COUNTIFS($AZ$2:$AZ$201,AZ124,$CM$2:$CM$201,1,$H$2:$H$201,"&lt;"&amp;H124)+COUNTIFS($AZ$2:$AZ$201,AZ124,$CM$2:$CM$201,1,$H$2:$H$201,H124,$BA$2:$BA$201,"&lt;"&amp;BA124)=0,1,0),0)</f>
        <v>0</v>
      </c>
      <c r="CO124" s="23" t="n">
        <f aca="false">IF(AND(BB124=1,L124="Y"),1,0)</f>
        <v>0</v>
      </c>
      <c r="CP124" s="23" t="n">
        <f aca="false">IF(CO124=1,IF(COUNTIFS($AZ$2:$AZ$201,AZ124,$CO$2:$CO$201,1,$H$2:$H$201,"&lt;"&amp;H124)+COUNTIFS($AZ$2:$AZ$201,AZ124,$CO$2:$CO$201,1,$H$2:$H$201,H124,$BA$2:$BA$201,"&lt;"&amp;BA124)=0,1,0),0)</f>
        <v>0</v>
      </c>
      <c r="CQ124" s="23" t="n">
        <f aca="false">IF(AND(BB124=1,ISNUMBER(O124)),1,0)</f>
        <v>0</v>
      </c>
      <c r="CR124" s="23" t="n">
        <f aca="false">IF(CQ124=1,IF(COUNTIFS($AZ$2:$AZ$201,AZ124,$CQ$2:$CQ$201,1,$H$2:$H$201,"&lt;"&amp;H124)+COUNTIFS($AZ$2:$AZ$201,AZ124,$CQ$2:$CQ$201,1,$H$2:$H$201,H124,$BA$2:$BA$201,"&lt;"&amp;BA124)=0,1,0),0)</f>
        <v>0</v>
      </c>
      <c r="CS124" s="23" t="str">
        <f aca="false">IF(AND(CR124=1,INT(N(H124))&lt;=Config!$B$5),O124,"")</f>
        <v/>
      </c>
      <c r="CT124" s="23" t="str">
        <f aca="false">IF(AND(BB124=1,INT(N(H124))&lt;=Config!$B$5),AG124&amp;"","")</f>
        <v/>
      </c>
      <c r="CU124" s="23" t="n">
        <f aca="false">IF(AND(BB124=1,AU124="Y"),1,0)</f>
        <v>0</v>
      </c>
      <c r="CV124" s="23" t="n">
        <f aca="false">IF(CU124=1,IF(COUNTIFS($AZ$2:$AZ$201,AZ124,$CU$2:$CU$201,1,$H$2:$H$201,"&lt;"&amp;H124)+COUNTIFS($AZ$2:$AZ$201,AZ124,$CU$2:$CU$201,1,$H$2:$H$201,H124,$BA$2:$BA$201,"&lt;"&amp;BA124)=0,1,0),0)</f>
        <v>0</v>
      </c>
      <c r="CW124" s="23" t="str">
        <f aca="false">IF(BB124=1,IFERROR(MATCH($A124,INDEX(Clay_Offices!$A$2:$FZ$601,0,Sync!$C$5),0),""),"")</f>
        <v/>
      </c>
      <c r="CX124" s="23" t="str">
        <f aca="false">IF(CW124="","",IFERROR(INDEX(Clay_Offices!$A$2:$FZ$601,CW124,Sync!$C$7)&amp;"",""))</f>
        <v/>
      </c>
      <c r="CY124" s="23" t="str">
        <f aca="false">IF(CX124="","",IFERROR(INDEX(Lists!$K$2:$K$15,MATCH(CX124,Lists!$J$2:$J$15,0)),""))</f>
        <v/>
      </c>
      <c r="CZ124" s="23" t="str">
        <f aca="false">IF(CW124="","",IFERROR(INDEX(Clay_Offices!$A$2:$FZ$601,CW124,Sync!$C$17)&amp;"",""))</f>
        <v/>
      </c>
      <c r="DA124" s="35" t="str">
        <f aca="false">IF(CW124="","",IFERROR(N(INDEX(Clay_Offices!$A$2:$FZ$601,CW124,Sync!$C$16)),0))</f>
        <v/>
      </c>
      <c r="DB124" s="23" t="n">
        <f aca="false">IF(AND(BB124=1,OR(AR124="Y",AR124="N",AR124="maybe")),1,0)</f>
        <v>0</v>
      </c>
      <c r="DC124" s="23" t="n">
        <f aca="false">IF(AND(DB124=1),IF(COUNTIFS($A$2:$A$201,$A124,$DB$2:$DB$201,1,$H$2:$H$201,"&gt;"&amp;H124)+COUNTIFS($A$2:$A$201,$A124,$DB$2:$DB$201,1,$H$2:$H$201,H124,$BA$2:$BA$201,"&gt;"&amp;BA124)=0,1,0),0)</f>
        <v>0</v>
      </c>
      <c r="DD124" s="23" t="n">
        <f aca="false">IF(AND(DB124=1,INT(N(H124))&lt;=Config!$B$6),IF(COUNTIFS($AZ$2:$AZ$201,AZ124,$DB$2:$DB$201,1,$H$2:$H$201,"&gt;"&amp;H124,$H$2:$H$201,"&lt;"&amp;(Config!$B$6+1))+COUNTIFS($AZ$2:$AZ$201,AZ124,$DB$2:$DB$201,1,$H$2:$H$201,H124,$BA$2:$BA$201,"&gt;"&amp;BA124)=0,1,0),0)</f>
        <v>0</v>
      </c>
      <c r="DE124" s="23" t="n">
        <f aca="false">IF(AND(DB124=1,INT(N(H124))&lt;=Config!$B$7),IF(COUNTIFS($AZ$2:$AZ$201,AZ124,$DB$2:$DB$201,1,$H$2:$H$201,"&gt;"&amp;H124,$H$2:$H$201,"&lt;"&amp;(Config!$B$7+1))+COUNTIFS($AZ$2:$AZ$201,AZ124,$DB$2:$DB$201,1,$H$2:$H$201,H124,$BA$2:$BA$201,"&gt;"&amp;BA124)=0,1,0),0)</f>
        <v>0</v>
      </c>
      <c r="DF124" s="23" t="n">
        <f aca="false">IF(AND(DB124=1,INT(N(H124))&lt;=Config!$B$8),IF(COUNTIFS($AZ$2:$AZ$201,AZ124,$DB$2:$DB$201,1,$H$2:$H$201,"&gt;"&amp;H124,$H$2:$H$201,"&lt;"&amp;(Config!$B$8+1))+COUNTIFS($AZ$2:$AZ$201,AZ124,$DB$2:$DB$201,1,$H$2:$H$201,H124,$BA$2:$BA$201,"&gt;"&amp;BA124)=0,1,0),0)</f>
        <v>0</v>
      </c>
      <c r="DG124" s="23" t="n">
        <f aca="false">IF(AND(DB124=1,INT(N(H124))&lt;=Config!$B$5),IF(COUNTIFS($AZ$2:$AZ$201,AZ124,$DB$2:$DB$201,1,$H$2:$H$201,"&gt;"&amp;H124,$H$2:$H$201,"&lt;"&amp;(Config!$B$5+1))+COUNTIFS($AZ$2:$AZ$201,AZ124,$DB$2:$DB$201,1,$H$2:$H$201,H124,$BA$2:$BA$201,"&gt;"&amp;BA124)=0,1,0),0)</f>
        <v>0</v>
      </c>
      <c r="DH124" s="23" t="n">
        <f aca="false">IF(BB124=1,IF(COUNTIFS($AZ$2:$AZ$201,AZ124,$DD$2:$DD$201,1,$AR$2:$AR$201,"Y")&gt;0,1,0),0)</f>
        <v>0</v>
      </c>
      <c r="DI124" s="23" t="n">
        <f aca="false">IF(BB124=1,IF(COUNTIFS($AZ$2:$AZ$201,AZ124,$DE$2:$DE$201,1,$AR$2:$AR$201,"Y")&gt;0,1,0),0)</f>
        <v>0</v>
      </c>
      <c r="DJ124" s="23" t="n">
        <f aca="false">IF(BB124=1,IF(COUNTIFS($AZ$2:$AZ$201,AZ124,$DF$2:$DF$201,1,$AR$2:$AR$201,"Y")&gt;0,1,0),0)</f>
        <v>0</v>
      </c>
      <c r="DK124" s="23" t="n">
        <f aca="false">IF(BB124=1,IF(COUNTIFS($AZ$2:$AZ$201,AZ124,$DG$2:$DG$201,1,$AR$2:$AR$201,"Y")&gt;0,1,0),0)</f>
        <v>0</v>
      </c>
      <c r="DL124" s="23" t="n">
        <f aca="false">IF(AND(BF124=1,INT(N(H124))&lt;=Config!$B$6,DH124=1,EI124=0),1,0)</f>
        <v>0</v>
      </c>
      <c r="DM124" s="23" t="n">
        <f aca="false">IF(AND(BF124=1,INT(N(H124))&lt;=Config!$B$7,DI124=1,EI124=0),1,0)</f>
        <v>0</v>
      </c>
      <c r="DN124" s="23" t="n">
        <f aca="false">IF(AND(BF124=1,INT(N(H124))&lt;=Config!$B$8,DJ124=1,EI124=0),1,0)</f>
        <v>0</v>
      </c>
      <c r="DO124" s="23" t="n">
        <f aca="false">IF(AND(BF124=1,INT(N(H124))&lt;=Config!$B$5,DK124=1,EI124=0),1,0)</f>
        <v>0</v>
      </c>
      <c r="DP124" s="23" t="n">
        <f aca="false">IF(AND(CC124=1,INT(N(H124))&lt;=Config!$B$6,DH124=1,EI124=0),1,0)</f>
        <v>0</v>
      </c>
      <c r="DQ124" s="23" t="n">
        <f aca="false">IF(AND(CC124=1,INT(N(H124))&lt;=Config!$B$7,DI124=1,EI124=0),1,0)</f>
        <v>0</v>
      </c>
      <c r="DR124" s="23" t="n">
        <f aca="false">IF(AND(CC124=1,INT(N(H124))&lt;=Config!$B$8,DJ124=1,EI124=0),1,0)</f>
        <v>0</v>
      </c>
      <c r="DS124" s="23" t="n">
        <f aca="false">IF(AND(CC124=1,INT(N(H124))&lt;=Config!$B$5,DK124=1,EI124=0),1,0)</f>
        <v>0</v>
      </c>
      <c r="DT124" s="23" t="n">
        <f aca="false">IF(AND(CC124=1,INT(N(H124))&lt;=Config!$B$6,DH124=0),1,0)</f>
        <v>0</v>
      </c>
      <c r="DU124" s="23" t="n">
        <f aca="false">IF(AND(CC124=1,INT(N(H124))&lt;=Config!$B$7,DI124=0),1,0)</f>
        <v>0</v>
      </c>
      <c r="DV124" s="23" t="n">
        <f aca="false">IF(AND(CC124=1,INT(N(H124))&lt;=Config!$B$8,DJ124=0),1,0)</f>
        <v>0</v>
      </c>
      <c r="DW124" s="23" t="n">
        <f aca="false">IF(AND(CC124=1,INT(N(H124))&lt;=Config!$B$5,DK124=0),1,0)</f>
        <v>0</v>
      </c>
      <c r="DX124" s="23" t="n">
        <f aca="false">IF(TRIM($A124)="",0,ISTEXT(M124)+ISTEXT(O124)+ISTEXT(Y124)+ISTEXT(Z124)+ISTEXT(AA124)+ISTEXT(AV124))</f>
        <v>0</v>
      </c>
      <c r="DY124" s="23" t="n">
        <f aca="false">IF(BB124=1,IF(H124&lt;&gt;INT(H124),1,0),0)</f>
        <v>0</v>
      </c>
      <c r="DZ124" s="23" t="str">
        <f aca="false">IF(TRIM($A124)="","",IF(TRIM(B124)="",SUBSTITUTE(SUBSTITUTE(SUBSTITUTE(SUBSTITUTE(SUBSTITUTE(SUBSTITUTE(LOWER(TRIM($A124)),"~",""),"*",""),"?",""),"&lt;",""),"&gt;",""),"=",""),SUBSTITUTE(SUBSTITUTE(SUBSTITUTE(SUBSTITUTE(SUBSTITUTE(SUBSTITUTE(LOWER(TRIM(B124)),"~",""),"*",""),"?",""),"&lt;",""),"&gt;",""),"=","")))</f>
        <v/>
      </c>
      <c r="EA124" s="23" t="str">
        <f aca="false">IF(CW124="","",IFERROR(IF(LEFT(LOWER(TRIM(INDEX(Clay_Offices!$A$2:$FZ$601,CW124,Sync!$C$19)&amp;"")),4)="grp-",SUBSTITUTE(SUBSTITUTE(SUBSTITUTE(SUBSTITUTE(SUBSTITUTE(SUBSTITUTE(LOWER(TRIM(INDEX(Clay_Offices!$A$2:$FZ$601,CW124,Sync!$C$19)&amp;"")),"~",""),"*",""),"?",""),"&lt;",""),"&gt;",""),"=",""),""),""))</f>
        <v/>
      </c>
      <c r="EB124" s="23" t="str">
        <f aca="false">IF(EA124&lt;&gt;"",DZ124,"")</f>
        <v/>
      </c>
      <c r="EC124" s="23" t="str">
        <f aca="false">IF(BC124=1,AZ124,"")</f>
        <v/>
      </c>
      <c r="ED124" s="23" t="str">
        <f aca="false">IF(TRIM($A124)="","",IFERROR(INDEX($A$2:$A$201,MATCH(AZ124,$EC$2:$EC$201,0))&amp;"",$A124&amp;""))</f>
        <v/>
      </c>
      <c r="EE124" s="23" t="n">
        <f aca="false">IF(BB124=1,IF(COUNTIFS($A$2:$A$201,$A124,$BB$2:$BB$201,1,$H$2:$H$201,"&lt;"&amp;H124)+COUNTIFS($A$2:$A$201,$A124,$BB$2:$BB$201,1,$H$2:$H$201,H124,$BA$2:$BA$201,"&lt;"&amp;BA124)=0,1,0),0)</f>
        <v>0</v>
      </c>
      <c r="EF124" s="23" t="n">
        <f aca="false">IF(BC124=1,IF(COUNTIFS($AZ$2:$AZ$201,AZ124,$EE$2:$EE$201,1)&gt;1,1,0),0)</f>
        <v>0</v>
      </c>
      <c r="EG124" s="23" t="n">
        <f aca="false">IF(AND(CQ124=1),IF(COUNTIFS($AZ$2:$AZ$201,AZ124,$CQ$2:$CQ$201,1,$H$2:$H$201,"&gt;"&amp;H124)+COUNTIFS($AZ$2:$AZ$201,AZ124,$CQ$2:$CQ$201,1,$H$2:$H$201,H124,$BA$2:$BA$201,"&gt;"&amp;BA124)=0,1,0),0)</f>
        <v>0</v>
      </c>
      <c r="EH124" s="23" t="str">
        <f aca="false">IF(BB124=1,IF(COUNTIFS($AZ$2:$AZ$201,AZ124,$EG$2:$EG$201,1)=0,"",SUMIFS($O$2:$O$201,$AZ$2:$AZ$201,AZ124,$EG$2:$EG$201,1)),"")</f>
        <v/>
      </c>
      <c r="EI124" s="23" t="n">
        <f aca="false">IF(AND(ISNUMBER(EH124),OR(N(EH124)&lt;Config!$B$31,N(EH124)&gt;Config!$B$33)),1,0)</f>
        <v>0</v>
      </c>
      <c r="EJ124" s="23" t="n">
        <f aca="false">IF(AND(ISNUMBER(EH124),N(EH124)&gt;=Config!$B$31,N(EH124)&lt;Config!$B$32),1,0)</f>
        <v>0</v>
      </c>
      <c r="EK124" s="23" t="n">
        <f aca="false">IF(AND(BF124=1,INT(N(H124))&lt;=Config!$B$6,DH124=1,EI124=1),1,0)</f>
        <v>0</v>
      </c>
      <c r="EL124" s="23" t="n">
        <f aca="false">IF(AND(BF124=1,INT(N(H124))&lt;=Config!$B$7,DI124=1,EI124=1),1,0)</f>
        <v>0</v>
      </c>
      <c r="EM124" s="23" t="n">
        <f aca="false">IF(AND(BF124=1,INT(N(H124))&lt;=Config!$B$8,DJ124=1,EI124=1),1,0)</f>
        <v>0</v>
      </c>
      <c r="EN124" s="23" t="n">
        <f aca="false">IF(AND(BF124=1,INT(N(H124))&lt;=Config!$B$5,DK124=1,EI124=1),1,0)</f>
        <v>0</v>
      </c>
      <c r="EO124" s="23" t="n">
        <f aca="false">IF(AND(DL124=1,EJ124=1),1,0)</f>
        <v>0</v>
      </c>
      <c r="EP124" s="23" t="n">
        <f aca="false">IF(AND(DM124=1,EJ124=1),1,0)</f>
        <v>0</v>
      </c>
      <c r="EQ124" s="23" t="n">
        <f aca="false">IF(AND(DN124=1,EJ124=1),1,0)</f>
        <v>0</v>
      </c>
      <c r="ER124" s="23" t="n">
        <f aca="false">IF(AND(DO124=1,EJ124=1),1,0)</f>
        <v>0</v>
      </c>
    </row>
    <row r="125" customFormat="false" ht="15" hidden="false" customHeight="false" outlineLevel="0" collapsed="false">
      <c r="G125" s="32"/>
      <c r="H125" s="33"/>
      <c r="I125" s="32"/>
      <c r="L125" s="32"/>
      <c r="Q125" s="32"/>
      <c r="U125" s="32"/>
      <c r="W125" s="32"/>
      <c r="AC125" s="32"/>
      <c r="AF125" s="32"/>
      <c r="AI125" s="32"/>
      <c r="AJ125" s="32"/>
      <c r="AN125" s="32"/>
      <c r="AR125" s="32"/>
      <c r="AT125" s="32"/>
      <c r="AU125" s="32"/>
      <c r="AW125" s="32"/>
      <c r="AY125" s="34" t="str">
        <f aca="false">IF(TRIM($A125)="","",IF(AND(LEFT($A125,6)="SAMPLE",Config!$B$19&lt;&gt;"Y"),"",IF(NOT(ISNUMBER(H125)),"call_date is blank or not a date",IF(Sync!$C$5="","Clay paste is empty or has no row_id column: paste the Clay export on Clay_Offices",IF(CW125="","row_id not found in the Clay paste: add the Clay row or fix the row_id",IF(AND(ISNUMBER(CY125),CY125&gt;=1,CY125&lt;=5),"Clay status is "&amp;CX125&amp;": set call_done or later",IF(AND(BD125=1,CZ125&lt;&gt;BZ125),"Clay yes_in_principle should be "&amp;BZ125,IF(AND(BD125=1,DA125&lt;&gt;H125),"Clay call_date should be "&amp;TEXT(H125,"yyyy-mm-dd"),""))))))))</f>
        <v/>
      </c>
      <c r="AZ125" s="23" t="str">
        <f aca="false">IF(TRIM($A125)="","",IF(TRIM(C125)&lt;&gt;"",SUBSTITUTE(SUBSTITUTE(SUBSTITUTE(SUBSTITUTE(SUBSTITUTE(SUBSTITUTE(LOWER(TRIM(C125)),"~",""),"*",""),"?",""),"&lt;",""),"&gt;",""),"=",""),IF(EA125&lt;&gt;"",EA125,IFERROR(INDEX($EA$2:$EA$201,MATCH(DZ125,$EB$2:$EB$201,0)),DZ125))))</f>
        <v/>
      </c>
      <c r="BA125" s="23" t="n">
        <f aca="false">ROW()</f>
        <v>125</v>
      </c>
      <c r="BB125" s="23" t="n">
        <f aca="false">IF(AND(TRIM($A125)&lt;&gt;"",ISNUMBER(H125)),IF(AND(LEFT($A125,6)="SAMPLE",Config!$B$19&lt;&gt;"Y"),0,1),0)</f>
        <v>0</v>
      </c>
      <c r="BC125" s="23" t="n">
        <f aca="false">IF(BB125=1,IF(COUNTIFS($AZ$2:$AZ$201,AZ125,$BB$2:$BB$201,1,$H$2:$H$201,"&lt;"&amp;H125)+COUNTIFS($AZ$2:$AZ$201,AZ125,$BB$2:$BB$201,1,$H$2:$H$201,H125,$BA$2:$BA$201,"&lt;"&amp;BA125)=0,1,0),0)</f>
        <v>0</v>
      </c>
      <c r="BD125" s="23" t="n">
        <f aca="false">IF(BB125=1,IF(COUNTIFS($A$2:$A$201,$A125,$BB$2:$BB$201,1,$H$2:$H$201,"&gt;"&amp;H125)+COUNTIFS($A$2:$A$201,$A125,$BB$2:$BB$201,1,$H$2:$H$201,H125,$BA$2:$BA$201,"&gt;"&amp;BA125)=0,1,0),0)</f>
        <v>0</v>
      </c>
      <c r="BE125" s="23" t="n">
        <f aca="false">IF(AND(BB125=1,AR125="Y",AC125="Y",TRIM(AH125)&lt;&gt;""),1,0)</f>
        <v>0</v>
      </c>
      <c r="BF125" s="23" t="n">
        <f aca="false">IF(BE125=1,IF(COUNTIFS($AZ$2:$AZ$201,AZ125,$BE$2:$BE$201,1,$H$2:$H$201,"&lt;"&amp;H125)+COUNTIFS($AZ$2:$AZ$201,AZ125,$BE$2:$BE$201,1,$H$2:$H$201,H125,$BA$2:$BA$201,"&lt;"&amp;BA125)=0,1,0),0)</f>
        <v>0</v>
      </c>
      <c r="BG125" s="23" t="n">
        <f aca="false">IF(AND(BB125=1,AR125="Y",BE125=0),1,0)</f>
        <v>0</v>
      </c>
      <c r="BH125" s="23" t="n">
        <f aca="false">IF(AND(BB125=1,ISNUMBER(Y125)),1,0)</f>
        <v>0</v>
      </c>
      <c r="BI125" s="23" t="n">
        <f aca="false">IF(BH125=1,IF(COUNTIFS($AZ$2:$AZ$201,AZ125,$BH$2:$BH$201,1,$H$2:$H$201,"&lt;"&amp;H125)+COUNTIFS($AZ$2:$AZ$201,AZ125,$BH$2:$BH$201,1,$H$2:$H$201,H125,$BA$2:$BA$201,"&lt;"&amp;BA125)=0,1,0),0)</f>
        <v>0</v>
      </c>
      <c r="BJ125" s="23" t="str">
        <f aca="false">IF(AND(BI125=1,INT(N(H125))&lt;=Config!$B$6),Y125,"")</f>
        <v/>
      </c>
      <c r="BK125" s="23" t="str">
        <f aca="false">IF(AND(BI125=1,INT(N(H125))&lt;=Config!$B$7),Y125,"")</f>
        <v/>
      </c>
      <c r="BL125" s="23" t="str">
        <f aca="false">IF(AND(BI125=1,INT(N(H125))&lt;=Config!$B$8),Y125,"")</f>
        <v/>
      </c>
      <c r="BM125" s="23" t="str">
        <f aca="false">IF(AND(BI125=1,INT(N(H125))&lt;=Config!$B$5),Y125,"")</f>
        <v/>
      </c>
      <c r="BN125" s="23" t="n">
        <f aca="false">IF(CD125=1,IF(COUNTIFS($AZ$2:$AZ$201,AZ125,$CD$2:$CD$201,1,$H$2:$H$201,"&lt;"&amp;H125)+COUNTIFS($AZ$2:$AZ$201,AZ125,$CD$2:$CD$201,1,$H$2:$H$201,H125,$BA$2:$BA$201,"&lt;"&amp;BA125)=0,1,0),0)</f>
        <v>0</v>
      </c>
      <c r="BO125" s="23" t="n">
        <f aca="false">IF(AND(BB125=1,ISNUMBER(M125)),1,0)</f>
        <v>0</v>
      </c>
      <c r="BP125" s="23" t="n">
        <f aca="false">IF(BO125=1,IF(COUNTIFS($AZ$2:$AZ$201,AZ125,$BO$2:$BO$201,1,$H$2:$H$201,"&lt;"&amp;H125)+COUNTIFS($AZ$2:$AZ$201,AZ125,$BO$2:$BO$201,1,$H$2:$H$201,H125,$BA$2:$BA$201,"&lt;"&amp;BA125)=0,1,0),0)</f>
        <v>0</v>
      </c>
      <c r="BQ125" s="23" t="str">
        <f aca="false">IF(AND(BP125=1,INT(N(H125))&lt;=Config!$B$5),M125,"")</f>
        <v/>
      </c>
      <c r="BR125" s="23" t="n">
        <f aca="false">IF(AND(BB125=1,OR(TRIM(X125)&lt;&gt;"",ISNUMBER(Y125))),1,0)</f>
        <v>0</v>
      </c>
      <c r="BS125" s="23" t="n">
        <f aca="false">IF(BR125=1,IF(COUNTIFS($AZ$2:$AZ$201,AZ125,$BR$2:$BR$201,1,$H$2:$H$201,"&lt;"&amp;H125)+COUNTIFS($AZ$2:$AZ$201,AZ125,$BR$2:$BR$201,1,$H$2:$H$201,H125,$BA$2:$BA$201,"&lt;"&amp;BA125)=0,1,0),0)</f>
        <v>0</v>
      </c>
      <c r="BT125" s="23" t="str">
        <f aca="false">IF(BS125=1,AZ125,"")</f>
        <v/>
      </c>
      <c r="BU125" s="23" t="n">
        <f aca="false">IF(AND(BB125=1,W125="Y",TRIM(X125)=""),1,0)</f>
        <v>0</v>
      </c>
      <c r="BV125" s="23" t="str">
        <f aca="false">IF(BB125=1,AN125&amp;"","")</f>
        <v/>
      </c>
      <c r="BW125" s="23" t="str">
        <f aca="false">IF(BB125=1,AO125&amp;"","")</f>
        <v/>
      </c>
      <c r="BX125" s="23" t="str">
        <f aca="false">IF(BB125=1,AP125&amp;"","")</f>
        <v/>
      </c>
      <c r="BY125" s="23" t="str">
        <f aca="false">IF(AND(BB125=1,ISNUMBER(AV125),INT(N(H125))&lt;=Config!$B$5),AV125,"")</f>
        <v/>
      </c>
      <c r="BZ125" s="23" t="str">
        <f aca="false">IF(BB125=1,IF(COUNTIFS($A$2:$A$201,$A125,$DC$2:$DC$201,1,$AR$2:$AR$201,"Y")&gt;0,"Y","N"),"")</f>
        <v/>
      </c>
      <c r="CA125" s="23" t="n">
        <f aca="false">IF(AND(BB125=1,AR125="maybe"),1,0)</f>
        <v>0</v>
      </c>
      <c r="CB125" s="23" t="n">
        <f aca="false">IF(CA125=1,IF(COUNTIFS($AZ$2:$AZ$201,AZ125,$CA$2:$CA$201,1,$H$2:$H$201,"&lt;"&amp;H125)+COUNTIFS($AZ$2:$AZ$201,AZ125,$CA$2:$CA$201,1,$H$2:$H$201,H125,$BA$2:$BA$201,"&lt;"&amp;BA125)=0,1,0),0)</f>
        <v>0</v>
      </c>
      <c r="CC125" s="23" t="n">
        <f aca="false">IF(AND(BB125=1,AR125="Y"),IF(COUNTIFS($AZ$2:$AZ$201,AZ125,$AR$2:$AR$201,"Y",$BB$2:$BB$201,1,$H$2:$H$201,"&lt;"&amp;H125)+COUNTIFS($AZ$2:$AZ$201,AZ125,$AR$2:$AR$201,"Y",$BB$2:$BB$201,1,$H$2:$H$201,H125,$BA$2:$BA$201,"&lt;"&amp;BA125)=0,1,0),0)</f>
        <v>0</v>
      </c>
      <c r="CD125" s="23" t="n">
        <f aca="false">IF(AND(BH125=1,N(Y125)&gt;=Config!$B$15),1,0)</f>
        <v>0</v>
      </c>
      <c r="CE125" s="23" t="n">
        <f aca="false">IF(AND(BB125=1,AT125="Y"),1,0)</f>
        <v>0</v>
      </c>
      <c r="CF125" s="23" t="n">
        <f aca="false">IF(CE125=1,IF(COUNTIFS($AZ$2:$AZ$201,AZ125,$CE$2:$CE$201,1,$H$2:$H$201,"&lt;"&amp;H125)+COUNTIFS($AZ$2:$AZ$201,AZ125,$CE$2:$CE$201,1,$H$2:$H$201,H125,$BA$2:$BA$201,"&lt;"&amp;BA125)=0,1,0),0)</f>
        <v>0</v>
      </c>
      <c r="CG125" s="23" t="n">
        <f aca="false">IF(AND(BB125=1,G125="warm-intro"),1,0)</f>
        <v>0</v>
      </c>
      <c r="CH125" s="23" t="n">
        <f aca="false">IF(CG125=1,IF(COUNTIFS($AZ$2:$AZ$201,AZ125,$CG$2:$CG$201,1,$H$2:$H$201,"&lt;"&amp;H125)+COUNTIFS($AZ$2:$AZ$201,AZ125,$CG$2:$CG$201,1,$H$2:$H$201,H125,$BA$2:$BA$201,"&lt;"&amp;BA125)=0,1,0),0)</f>
        <v>0</v>
      </c>
      <c r="CI125" s="23" t="n">
        <f aca="false">IF(AND(BB125=1,Q125="Y"),1,0)</f>
        <v>0</v>
      </c>
      <c r="CJ125" s="23" t="n">
        <f aca="false">IF(CI125=1,IF(COUNTIFS($AZ$2:$AZ$201,AZ125,$CI$2:$CI$201,1,$H$2:$H$201,"&lt;"&amp;H125)+COUNTIFS($AZ$2:$AZ$201,AZ125,$CI$2:$CI$201,1,$H$2:$H$201,H125,$BA$2:$BA$201,"&lt;"&amp;BA125)=0,1,0),0)</f>
        <v>0</v>
      </c>
      <c r="CK125" s="23" t="n">
        <f aca="false">IF(AND(BB125=1,AF125="Y"),1,0)</f>
        <v>0</v>
      </c>
      <c r="CL125" s="23" t="n">
        <f aca="false">IF(CK125=1,IF(COUNTIFS($AZ$2:$AZ$201,AZ125,$CK$2:$CK$201,1,$H$2:$H$201,"&lt;"&amp;H125)+COUNTIFS($AZ$2:$AZ$201,AZ125,$CK$2:$CK$201,1,$H$2:$H$201,H125,$BA$2:$BA$201,"&lt;"&amp;BA125)=0,1,0),0)</f>
        <v>0</v>
      </c>
      <c r="CM125" s="23" t="n">
        <f aca="false">IF(AND(BB125=1,U125="Y"),1,0)</f>
        <v>0</v>
      </c>
      <c r="CN125" s="23" t="n">
        <f aca="false">IF(CM125=1,IF(COUNTIFS($AZ$2:$AZ$201,AZ125,$CM$2:$CM$201,1,$H$2:$H$201,"&lt;"&amp;H125)+COUNTIFS($AZ$2:$AZ$201,AZ125,$CM$2:$CM$201,1,$H$2:$H$201,H125,$BA$2:$BA$201,"&lt;"&amp;BA125)=0,1,0),0)</f>
        <v>0</v>
      </c>
      <c r="CO125" s="23" t="n">
        <f aca="false">IF(AND(BB125=1,L125="Y"),1,0)</f>
        <v>0</v>
      </c>
      <c r="CP125" s="23" t="n">
        <f aca="false">IF(CO125=1,IF(COUNTIFS($AZ$2:$AZ$201,AZ125,$CO$2:$CO$201,1,$H$2:$H$201,"&lt;"&amp;H125)+COUNTIFS($AZ$2:$AZ$201,AZ125,$CO$2:$CO$201,1,$H$2:$H$201,H125,$BA$2:$BA$201,"&lt;"&amp;BA125)=0,1,0),0)</f>
        <v>0</v>
      </c>
      <c r="CQ125" s="23" t="n">
        <f aca="false">IF(AND(BB125=1,ISNUMBER(O125)),1,0)</f>
        <v>0</v>
      </c>
      <c r="CR125" s="23" t="n">
        <f aca="false">IF(CQ125=1,IF(COUNTIFS($AZ$2:$AZ$201,AZ125,$CQ$2:$CQ$201,1,$H$2:$H$201,"&lt;"&amp;H125)+COUNTIFS($AZ$2:$AZ$201,AZ125,$CQ$2:$CQ$201,1,$H$2:$H$201,H125,$BA$2:$BA$201,"&lt;"&amp;BA125)=0,1,0),0)</f>
        <v>0</v>
      </c>
      <c r="CS125" s="23" t="str">
        <f aca="false">IF(AND(CR125=1,INT(N(H125))&lt;=Config!$B$5),O125,"")</f>
        <v/>
      </c>
      <c r="CT125" s="23" t="str">
        <f aca="false">IF(AND(BB125=1,INT(N(H125))&lt;=Config!$B$5),AG125&amp;"","")</f>
        <v/>
      </c>
      <c r="CU125" s="23" t="n">
        <f aca="false">IF(AND(BB125=1,AU125="Y"),1,0)</f>
        <v>0</v>
      </c>
      <c r="CV125" s="23" t="n">
        <f aca="false">IF(CU125=1,IF(COUNTIFS($AZ$2:$AZ$201,AZ125,$CU$2:$CU$201,1,$H$2:$H$201,"&lt;"&amp;H125)+COUNTIFS($AZ$2:$AZ$201,AZ125,$CU$2:$CU$201,1,$H$2:$H$201,H125,$BA$2:$BA$201,"&lt;"&amp;BA125)=0,1,0),0)</f>
        <v>0</v>
      </c>
      <c r="CW125" s="23" t="str">
        <f aca="false">IF(BB125=1,IFERROR(MATCH($A125,INDEX(Clay_Offices!$A$2:$FZ$601,0,Sync!$C$5),0),""),"")</f>
        <v/>
      </c>
      <c r="CX125" s="23" t="str">
        <f aca="false">IF(CW125="","",IFERROR(INDEX(Clay_Offices!$A$2:$FZ$601,CW125,Sync!$C$7)&amp;"",""))</f>
        <v/>
      </c>
      <c r="CY125" s="23" t="str">
        <f aca="false">IF(CX125="","",IFERROR(INDEX(Lists!$K$2:$K$15,MATCH(CX125,Lists!$J$2:$J$15,0)),""))</f>
        <v/>
      </c>
      <c r="CZ125" s="23" t="str">
        <f aca="false">IF(CW125="","",IFERROR(INDEX(Clay_Offices!$A$2:$FZ$601,CW125,Sync!$C$17)&amp;"",""))</f>
        <v/>
      </c>
      <c r="DA125" s="35" t="str">
        <f aca="false">IF(CW125="","",IFERROR(N(INDEX(Clay_Offices!$A$2:$FZ$601,CW125,Sync!$C$16)),0))</f>
        <v/>
      </c>
      <c r="DB125" s="23" t="n">
        <f aca="false">IF(AND(BB125=1,OR(AR125="Y",AR125="N",AR125="maybe")),1,0)</f>
        <v>0</v>
      </c>
      <c r="DC125" s="23" t="n">
        <f aca="false">IF(AND(DB125=1),IF(COUNTIFS($A$2:$A$201,$A125,$DB$2:$DB$201,1,$H$2:$H$201,"&gt;"&amp;H125)+COUNTIFS($A$2:$A$201,$A125,$DB$2:$DB$201,1,$H$2:$H$201,H125,$BA$2:$BA$201,"&gt;"&amp;BA125)=0,1,0),0)</f>
        <v>0</v>
      </c>
      <c r="DD125" s="23" t="n">
        <f aca="false">IF(AND(DB125=1,INT(N(H125))&lt;=Config!$B$6),IF(COUNTIFS($AZ$2:$AZ$201,AZ125,$DB$2:$DB$201,1,$H$2:$H$201,"&gt;"&amp;H125,$H$2:$H$201,"&lt;"&amp;(Config!$B$6+1))+COUNTIFS($AZ$2:$AZ$201,AZ125,$DB$2:$DB$201,1,$H$2:$H$201,H125,$BA$2:$BA$201,"&gt;"&amp;BA125)=0,1,0),0)</f>
        <v>0</v>
      </c>
      <c r="DE125" s="23" t="n">
        <f aca="false">IF(AND(DB125=1,INT(N(H125))&lt;=Config!$B$7),IF(COUNTIFS($AZ$2:$AZ$201,AZ125,$DB$2:$DB$201,1,$H$2:$H$201,"&gt;"&amp;H125,$H$2:$H$201,"&lt;"&amp;(Config!$B$7+1))+COUNTIFS($AZ$2:$AZ$201,AZ125,$DB$2:$DB$201,1,$H$2:$H$201,H125,$BA$2:$BA$201,"&gt;"&amp;BA125)=0,1,0),0)</f>
        <v>0</v>
      </c>
      <c r="DF125" s="23" t="n">
        <f aca="false">IF(AND(DB125=1,INT(N(H125))&lt;=Config!$B$8),IF(COUNTIFS($AZ$2:$AZ$201,AZ125,$DB$2:$DB$201,1,$H$2:$H$201,"&gt;"&amp;H125,$H$2:$H$201,"&lt;"&amp;(Config!$B$8+1))+COUNTIFS($AZ$2:$AZ$201,AZ125,$DB$2:$DB$201,1,$H$2:$H$201,H125,$BA$2:$BA$201,"&gt;"&amp;BA125)=0,1,0),0)</f>
        <v>0</v>
      </c>
      <c r="DG125" s="23" t="n">
        <f aca="false">IF(AND(DB125=1,INT(N(H125))&lt;=Config!$B$5),IF(COUNTIFS($AZ$2:$AZ$201,AZ125,$DB$2:$DB$201,1,$H$2:$H$201,"&gt;"&amp;H125,$H$2:$H$201,"&lt;"&amp;(Config!$B$5+1))+COUNTIFS($AZ$2:$AZ$201,AZ125,$DB$2:$DB$201,1,$H$2:$H$201,H125,$BA$2:$BA$201,"&gt;"&amp;BA125)=0,1,0),0)</f>
        <v>0</v>
      </c>
      <c r="DH125" s="23" t="n">
        <f aca="false">IF(BB125=1,IF(COUNTIFS($AZ$2:$AZ$201,AZ125,$DD$2:$DD$201,1,$AR$2:$AR$201,"Y")&gt;0,1,0),0)</f>
        <v>0</v>
      </c>
      <c r="DI125" s="23" t="n">
        <f aca="false">IF(BB125=1,IF(COUNTIFS($AZ$2:$AZ$201,AZ125,$DE$2:$DE$201,1,$AR$2:$AR$201,"Y")&gt;0,1,0),0)</f>
        <v>0</v>
      </c>
      <c r="DJ125" s="23" t="n">
        <f aca="false">IF(BB125=1,IF(COUNTIFS($AZ$2:$AZ$201,AZ125,$DF$2:$DF$201,1,$AR$2:$AR$201,"Y")&gt;0,1,0),0)</f>
        <v>0</v>
      </c>
      <c r="DK125" s="23" t="n">
        <f aca="false">IF(BB125=1,IF(COUNTIFS($AZ$2:$AZ$201,AZ125,$DG$2:$DG$201,1,$AR$2:$AR$201,"Y")&gt;0,1,0),0)</f>
        <v>0</v>
      </c>
      <c r="DL125" s="23" t="n">
        <f aca="false">IF(AND(BF125=1,INT(N(H125))&lt;=Config!$B$6,DH125=1,EI125=0),1,0)</f>
        <v>0</v>
      </c>
      <c r="DM125" s="23" t="n">
        <f aca="false">IF(AND(BF125=1,INT(N(H125))&lt;=Config!$B$7,DI125=1,EI125=0),1,0)</f>
        <v>0</v>
      </c>
      <c r="DN125" s="23" t="n">
        <f aca="false">IF(AND(BF125=1,INT(N(H125))&lt;=Config!$B$8,DJ125=1,EI125=0),1,0)</f>
        <v>0</v>
      </c>
      <c r="DO125" s="23" t="n">
        <f aca="false">IF(AND(BF125=1,INT(N(H125))&lt;=Config!$B$5,DK125=1,EI125=0),1,0)</f>
        <v>0</v>
      </c>
      <c r="DP125" s="23" t="n">
        <f aca="false">IF(AND(CC125=1,INT(N(H125))&lt;=Config!$B$6,DH125=1,EI125=0),1,0)</f>
        <v>0</v>
      </c>
      <c r="DQ125" s="23" t="n">
        <f aca="false">IF(AND(CC125=1,INT(N(H125))&lt;=Config!$B$7,DI125=1,EI125=0),1,0)</f>
        <v>0</v>
      </c>
      <c r="DR125" s="23" t="n">
        <f aca="false">IF(AND(CC125=1,INT(N(H125))&lt;=Config!$B$8,DJ125=1,EI125=0),1,0)</f>
        <v>0</v>
      </c>
      <c r="DS125" s="23" t="n">
        <f aca="false">IF(AND(CC125=1,INT(N(H125))&lt;=Config!$B$5,DK125=1,EI125=0),1,0)</f>
        <v>0</v>
      </c>
      <c r="DT125" s="23" t="n">
        <f aca="false">IF(AND(CC125=1,INT(N(H125))&lt;=Config!$B$6,DH125=0),1,0)</f>
        <v>0</v>
      </c>
      <c r="DU125" s="23" t="n">
        <f aca="false">IF(AND(CC125=1,INT(N(H125))&lt;=Config!$B$7,DI125=0),1,0)</f>
        <v>0</v>
      </c>
      <c r="DV125" s="23" t="n">
        <f aca="false">IF(AND(CC125=1,INT(N(H125))&lt;=Config!$B$8,DJ125=0),1,0)</f>
        <v>0</v>
      </c>
      <c r="DW125" s="23" t="n">
        <f aca="false">IF(AND(CC125=1,INT(N(H125))&lt;=Config!$B$5,DK125=0),1,0)</f>
        <v>0</v>
      </c>
      <c r="DX125" s="23" t="n">
        <f aca="false">IF(TRIM($A125)="",0,ISTEXT(M125)+ISTEXT(O125)+ISTEXT(Y125)+ISTEXT(Z125)+ISTEXT(AA125)+ISTEXT(AV125))</f>
        <v>0</v>
      </c>
      <c r="DY125" s="23" t="n">
        <f aca="false">IF(BB125=1,IF(H125&lt;&gt;INT(H125),1,0),0)</f>
        <v>0</v>
      </c>
      <c r="DZ125" s="23" t="str">
        <f aca="false">IF(TRIM($A125)="","",IF(TRIM(B125)="",SUBSTITUTE(SUBSTITUTE(SUBSTITUTE(SUBSTITUTE(SUBSTITUTE(SUBSTITUTE(LOWER(TRIM($A125)),"~",""),"*",""),"?",""),"&lt;",""),"&gt;",""),"=",""),SUBSTITUTE(SUBSTITUTE(SUBSTITUTE(SUBSTITUTE(SUBSTITUTE(SUBSTITUTE(LOWER(TRIM(B125)),"~",""),"*",""),"?",""),"&lt;",""),"&gt;",""),"=","")))</f>
        <v/>
      </c>
      <c r="EA125" s="23" t="str">
        <f aca="false">IF(CW125="","",IFERROR(IF(LEFT(LOWER(TRIM(INDEX(Clay_Offices!$A$2:$FZ$601,CW125,Sync!$C$19)&amp;"")),4)="grp-",SUBSTITUTE(SUBSTITUTE(SUBSTITUTE(SUBSTITUTE(SUBSTITUTE(SUBSTITUTE(LOWER(TRIM(INDEX(Clay_Offices!$A$2:$FZ$601,CW125,Sync!$C$19)&amp;"")),"~",""),"*",""),"?",""),"&lt;",""),"&gt;",""),"=",""),""),""))</f>
        <v/>
      </c>
      <c r="EB125" s="23" t="str">
        <f aca="false">IF(EA125&lt;&gt;"",DZ125,"")</f>
        <v/>
      </c>
      <c r="EC125" s="23" t="str">
        <f aca="false">IF(BC125=1,AZ125,"")</f>
        <v/>
      </c>
      <c r="ED125" s="23" t="str">
        <f aca="false">IF(TRIM($A125)="","",IFERROR(INDEX($A$2:$A$201,MATCH(AZ125,$EC$2:$EC$201,0))&amp;"",$A125&amp;""))</f>
        <v/>
      </c>
      <c r="EE125" s="23" t="n">
        <f aca="false">IF(BB125=1,IF(COUNTIFS($A$2:$A$201,$A125,$BB$2:$BB$201,1,$H$2:$H$201,"&lt;"&amp;H125)+COUNTIFS($A$2:$A$201,$A125,$BB$2:$BB$201,1,$H$2:$H$201,H125,$BA$2:$BA$201,"&lt;"&amp;BA125)=0,1,0),0)</f>
        <v>0</v>
      </c>
      <c r="EF125" s="23" t="n">
        <f aca="false">IF(BC125=1,IF(COUNTIFS($AZ$2:$AZ$201,AZ125,$EE$2:$EE$201,1)&gt;1,1,0),0)</f>
        <v>0</v>
      </c>
      <c r="EG125" s="23" t="n">
        <f aca="false">IF(AND(CQ125=1),IF(COUNTIFS($AZ$2:$AZ$201,AZ125,$CQ$2:$CQ$201,1,$H$2:$H$201,"&gt;"&amp;H125)+COUNTIFS($AZ$2:$AZ$201,AZ125,$CQ$2:$CQ$201,1,$H$2:$H$201,H125,$BA$2:$BA$201,"&gt;"&amp;BA125)=0,1,0),0)</f>
        <v>0</v>
      </c>
      <c r="EH125" s="23" t="str">
        <f aca="false">IF(BB125=1,IF(COUNTIFS($AZ$2:$AZ$201,AZ125,$EG$2:$EG$201,1)=0,"",SUMIFS($O$2:$O$201,$AZ$2:$AZ$201,AZ125,$EG$2:$EG$201,1)),"")</f>
        <v/>
      </c>
      <c r="EI125" s="23" t="n">
        <f aca="false">IF(AND(ISNUMBER(EH125),OR(N(EH125)&lt;Config!$B$31,N(EH125)&gt;Config!$B$33)),1,0)</f>
        <v>0</v>
      </c>
      <c r="EJ125" s="23" t="n">
        <f aca="false">IF(AND(ISNUMBER(EH125),N(EH125)&gt;=Config!$B$31,N(EH125)&lt;Config!$B$32),1,0)</f>
        <v>0</v>
      </c>
      <c r="EK125" s="23" t="n">
        <f aca="false">IF(AND(BF125=1,INT(N(H125))&lt;=Config!$B$6,DH125=1,EI125=1),1,0)</f>
        <v>0</v>
      </c>
      <c r="EL125" s="23" t="n">
        <f aca="false">IF(AND(BF125=1,INT(N(H125))&lt;=Config!$B$7,DI125=1,EI125=1),1,0)</f>
        <v>0</v>
      </c>
      <c r="EM125" s="23" t="n">
        <f aca="false">IF(AND(BF125=1,INT(N(H125))&lt;=Config!$B$8,DJ125=1,EI125=1),1,0)</f>
        <v>0</v>
      </c>
      <c r="EN125" s="23" t="n">
        <f aca="false">IF(AND(BF125=1,INT(N(H125))&lt;=Config!$B$5,DK125=1,EI125=1),1,0)</f>
        <v>0</v>
      </c>
      <c r="EO125" s="23" t="n">
        <f aca="false">IF(AND(DL125=1,EJ125=1),1,0)</f>
        <v>0</v>
      </c>
      <c r="EP125" s="23" t="n">
        <f aca="false">IF(AND(DM125=1,EJ125=1),1,0)</f>
        <v>0</v>
      </c>
      <c r="EQ125" s="23" t="n">
        <f aca="false">IF(AND(DN125=1,EJ125=1),1,0)</f>
        <v>0</v>
      </c>
      <c r="ER125" s="23" t="n">
        <f aca="false">IF(AND(DO125=1,EJ125=1),1,0)</f>
        <v>0</v>
      </c>
    </row>
    <row r="126" customFormat="false" ht="15" hidden="false" customHeight="false" outlineLevel="0" collapsed="false">
      <c r="G126" s="32"/>
      <c r="H126" s="33"/>
      <c r="I126" s="32"/>
      <c r="L126" s="32"/>
      <c r="Q126" s="32"/>
      <c r="U126" s="32"/>
      <c r="W126" s="32"/>
      <c r="AC126" s="32"/>
      <c r="AF126" s="32"/>
      <c r="AI126" s="32"/>
      <c r="AJ126" s="32"/>
      <c r="AN126" s="32"/>
      <c r="AR126" s="32"/>
      <c r="AT126" s="32"/>
      <c r="AU126" s="32"/>
      <c r="AW126" s="32"/>
      <c r="AY126" s="34" t="str">
        <f aca="false">IF(TRIM($A126)="","",IF(AND(LEFT($A126,6)="SAMPLE",Config!$B$19&lt;&gt;"Y"),"",IF(NOT(ISNUMBER(H126)),"call_date is blank or not a date",IF(Sync!$C$5="","Clay paste is empty or has no row_id column: paste the Clay export on Clay_Offices",IF(CW126="","row_id not found in the Clay paste: add the Clay row or fix the row_id",IF(AND(ISNUMBER(CY126),CY126&gt;=1,CY126&lt;=5),"Clay status is "&amp;CX126&amp;": set call_done or later",IF(AND(BD126=1,CZ126&lt;&gt;BZ126),"Clay yes_in_principle should be "&amp;BZ126,IF(AND(BD126=1,DA126&lt;&gt;H126),"Clay call_date should be "&amp;TEXT(H126,"yyyy-mm-dd"),""))))))))</f>
        <v/>
      </c>
      <c r="AZ126" s="23" t="str">
        <f aca="false">IF(TRIM($A126)="","",IF(TRIM(C126)&lt;&gt;"",SUBSTITUTE(SUBSTITUTE(SUBSTITUTE(SUBSTITUTE(SUBSTITUTE(SUBSTITUTE(LOWER(TRIM(C126)),"~",""),"*",""),"?",""),"&lt;",""),"&gt;",""),"=",""),IF(EA126&lt;&gt;"",EA126,IFERROR(INDEX($EA$2:$EA$201,MATCH(DZ126,$EB$2:$EB$201,0)),DZ126))))</f>
        <v/>
      </c>
      <c r="BA126" s="23" t="n">
        <f aca="false">ROW()</f>
        <v>126</v>
      </c>
      <c r="BB126" s="23" t="n">
        <f aca="false">IF(AND(TRIM($A126)&lt;&gt;"",ISNUMBER(H126)),IF(AND(LEFT($A126,6)="SAMPLE",Config!$B$19&lt;&gt;"Y"),0,1),0)</f>
        <v>0</v>
      </c>
      <c r="BC126" s="23" t="n">
        <f aca="false">IF(BB126=1,IF(COUNTIFS($AZ$2:$AZ$201,AZ126,$BB$2:$BB$201,1,$H$2:$H$201,"&lt;"&amp;H126)+COUNTIFS($AZ$2:$AZ$201,AZ126,$BB$2:$BB$201,1,$H$2:$H$201,H126,$BA$2:$BA$201,"&lt;"&amp;BA126)=0,1,0),0)</f>
        <v>0</v>
      </c>
      <c r="BD126" s="23" t="n">
        <f aca="false">IF(BB126=1,IF(COUNTIFS($A$2:$A$201,$A126,$BB$2:$BB$201,1,$H$2:$H$201,"&gt;"&amp;H126)+COUNTIFS($A$2:$A$201,$A126,$BB$2:$BB$201,1,$H$2:$H$201,H126,$BA$2:$BA$201,"&gt;"&amp;BA126)=0,1,0),0)</f>
        <v>0</v>
      </c>
      <c r="BE126" s="23" t="n">
        <f aca="false">IF(AND(BB126=1,AR126="Y",AC126="Y",TRIM(AH126)&lt;&gt;""),1,0)</f>
        <v>0</v>
      </c>
      <c r="BF126" s="23" t="n">
        <f aca="false">IF(BE126=1,IF(COUNTIFS($AZ$2:$AZ$201,AZ126,$BE$2:$BE$201,1,$H$2:$H$201,"&lt;"&amp;H126)+COUNTIFS($AZ$2:$AZ$201,AZ126,$BE$2:$BE$201,1,$H$2:$H$201,H126,$BA$2:$BA$201,"&lt;"&amp;BA126)=0,1,0),0)</f>
        <v>0</v>
      </c>
      <c r="BG126" s="23" t="n">
        <f aca="false">IF(AND(BB126=1,AR126="Y",BE126=0),1,0)</f>
        <v>0</v>
      </c>
      <c r="BH126" s="23" t="n">
        <f aca="false">IF(AND(BB126=1,ISNUMBER(Y126)),1,0)</f>
        <v>0</v>
      </c>
      <c r="BI126" s="23" t="n">
        <f aca="false">IF(BH126=1,IF(COUNTIFS($AZ$2:$AZ$201,AZ126,$BH$2:$BH$201,1,$H$2:$H$201,"&lt;"&amp;H126)+COUNTIFS($AZ$2:$AZ$201,AZ126,$BH$2:$BH$201,1,$H$2:$H$201,H126,$BA$2:$BA$201,"&lt;"&amp;BA126)=0,1,0),0)</f>
        <v>0</v>
      </c>
      <c r="BJ126" s="23" t="str">
        <f aca="false">IF(AND(BI126=1,INT(N(H126))&lt;=Config!$B$6),Y126,"")</f>
        <v/>
      </c>
      <c r="BK126" s="23" t="str">
        <f aca="false">IF(AND(BI126=1,INT(N(H126))&lt;=Config!$B$7),Y126,"")</f>
        <v/>
      </c>
      <c r="BL126" s="23" t="str">
        <f aca="false">IF(AND(BI126=1,INT(N(H126))&lt;=Config!$B$8),Y126,"")</f>
        <v/>
      </c>
      <c r="BM126" s="23" t="str">
        <f aca="false">IF(AND(BI126=1,INT(N(H126))&lt;=Config!$B$5),Y126,"")</f>
        <v/>
      </c>
      <c r="BN126" s="23" t="n">
        <f aca="false">IF(CD126=1,IF(COUNTIFS($AZ$2:$AZ$201,AZ126,$CD$2:$CD$201,1,$H$2:$H$201,"&lt;"&amp;H126)+COUNTIFS($AZ$2:$AZ$201,AZ126,$CD$2:$CD$201,1,$H$2:$H$201,H126,$BA$2:$BA$201,"&lt;"&amp;BA126)=0,1,0),0)</f>
        <v>0</v>
      </c>
      <c r="BO126" s="23" t="n">
        <f aca="false">IF(AND(BB126=1,ISNUMBER(M126)),1,0)</f>
        <v>0</v>
      </c>
      <c r="BP126" s="23" t="n">
        <f aca="false">IF(BO126=1,IF(COUNTIFS($AZ$2:$AZ$201,AZ126,$BO$2:$BO$201,1,$H$2:$H$201,"&lt;"&amp;H126)+COUNTIFS($AZ$2:$AZ$201,AZ126,$BO$2:$BO$201,1,$H$2:$H$201,H126,$BA$2:$BA$201,"&lt;"&amp;BA126)=0,1,0),0)</f>
        <v>0</v>
      </c>
      <c r="BQ126" s="23" t="str">
        <f aca="false">IF(AND(BP126=1,INT(N(H126))&lt;=Config!$B$5),M126,"")</f>
        <v/>
      </c>
      <c r="BR126" s="23" t="n">
        <f aca="false">IF(AND(BB126=1,OR(TRIM(X126)&lt;&gt;"",ISNUMBER(Y126))),1,0)</f>
        <v>0</v>
      </c>
      <c r="BS126" s="23" t="n">
        <f aca="false">IF(BR126=1,IF(COUNTIFS($AZ$2:$AZ$201,AZ126,$BR$2:$BR$201,1,$H$2:$H$201,"&lt;"&amp;H126)+COUNTIFS($AZ$2:$AZ$201,AZ126,$BR$2:$BR$201,1,$H$2:$H$201,H126,$BA$2:$BA$201,"&lt;"&amp;BA126)=0,1,0),0)</f>
        <v>0</v>
      </c>
      <c r="BT126" s="23" t="str">
        <f aca="false">IF(BS126=1,AZ126,"")</f>
        <v/>
      </c>
      <c r="BU126" s="23" t="n">
        <f aca="false">IF(AND(BB126=1,W126="Y",TRIM(X126)=""),1,0)</f>
        <v>0</v>
      </c>
      <c r="BV126" s="23" t="str">
        <f aca="false">IF(BB126=1,AN126&amp;"","")</f>
        <v/>
      </c>
      <c r="BW126" s="23" t="str">
        <f aca="false">IF(BB126=1,AO126&amp;"","")</f>
        <v/>
      </c>
      <c r="BX126" s="23" t="str">
        <f aca="false">IF(BB126=1,AP126&amp;"","")</f>
        <v/>
      </c>
      <c r="BY126" s="23" t="str">
        <f aca="false">IF(AND(BB126=1,ISNUMBER(AV126),INT(N(H126))&lt;=Config!$B$5),AV126,"")</f>
        <v/>
      </c>
      <c r="BZ126" s="23" t="str">
        <f aca="false">IF(BB126=1,IF(COUNTIFS($A$2:$A$201,$A126,$DC$2:$DC$201,1,$AR$2:$AR$201,"Y")&gt;0,"Y","N"),"")</f>
        <v/>
      </c>
      <c r="CA126" s="23" t="n">
        <f aca="false">IF(AND(BB126=1,AR126="maybe"),1,0)</f>
        <v>0</v>
      </c>
      <c r="CB126" s="23" t="n">
        <f aca="false">IF(CA126=1,IF(COUNTIFS($AZ$2:$AZ$201,AZ126,$CA$2:$CA$201,1,$H$2:$H$201,"&lt;"&amp;H126)+COUNTIFS($AZ$2:$AZ$201,AZ126,$CA$2:$CA$201,1,$H$2:$H$201,H126,$BA$2:$BA$201,"&lt;"&amp;BA126)=0,1,0),0)</f>
        <v>0</v>
      </c>
      <c r="CC126" s="23" t="n">
        <f aca="false">IF(AND(BB126=1,AR126="Y"),IF(COUNTIFS($AZ$2:$AZ$201,AZ126,$AR$2:$AR$201,"Y",$BB$2:$BB$201,1,$H$2:$H$201,"&lt;"&amp;H126)+COUNTIFS($AZ$2:$AZ$201,AZ126,$AR$2:$AR$201,"Y",$BB$2:$BB$201,1,$H$2:$H$201,H126,$BA$2:$BA$201,"&lt;"&amp;BA126)=0,1,0),0)</f>
        <v>0</v>
      </c>
      <c r="CD126" s="23" t="n">
        <f aca="false">IF(AND(BH126=1,N(Y126)&gt;=Config!$B$15),1,0)</f>
        <v>0</v>
      </c>
      <c r="CE126" s="23" t="n">
        <f aca="false">IF(AND(BB126=1,AT126="Y"),1,0)</f>
        <v>0</v>
      </c>
      <c r="CF126" s="23" t="n">
        <f aca="false">IF(CE126=1,IF(COUNTIFS($AZ$2:$AZ$201,AZ126,$CE$2:$CE$201,1,$H$2:$H$201,"&lt;"&amp;H126)+COUNTIFS($AZ$2:$AZ$201,AZ126,$CE$2:$CE$201,1,$H$2:$H$201,H126,$BA$2:$BA$201,"&lt;"&amp;BA126)=0,1,0),0)</f>
        <v>0</v>
      </c>
      <c r="CG126" s="23" t="n">
        <f aca="false">IF(AND(BB126=1,G126="warm-intro"),1,0)</f>
        <v>0</v>
      </c>
      <c r="CH126" s="23" t="n">
        <f aca="false">IF(CG126=1,IF(COUNTIFS($AZ$2:$AZ$201,AZ126,$CG$2:$CG$201,1,$H$2:$H$201,"&lt;"&amp;H126)+COUNTIFS($AZ$2:$AZ$201,AZ126,$CG$2:$CG$201,1,$H$2:$H$201,H126,$BA$2:$BA$201,"&lt;"&amp;BA126)=0,1,0),0)</f>
        <v>0</v>
      </c>
      <c r="CI126" s="23" t="n">
        <f aca="false">IF(AND(BB126=1,Q126="Y"),1,0)</f>
        <v>0</v>
      </c>
      <c r="CJ126" s="23" t="n">
        <f aca="false">IF(CI126=1,IF(COUNTIFS($AZ$2:$AZ$201,AZ126,$CI$2:$CI$201,1,$H$2:$H$201,"&lt;"&amp;H126)+COUNTIFS($AZ$2:$AZ$201,AZ126,$CI$2:$CI$201,1,$H$2:$H$201,H126,$BA$2:$BA$201,"&lt;"&amp;BA126)=0,1,0),0)</f>
        <v>0</v>
      </c>
      <c r="CK126" s="23" t="n">
        <f aca="false">IF(AND(BB126=1,AF126="Y"),1,0)</f>
        <v>0</v>
      </c>
      <c r="CL126" s="23" t="n">
        <f aca="false">IF(CK126=1,IF(COUNTIFS($AZ$2:$AZ$201,AZ126,$CK$2:$CK$201,1,$H$2:$H$201,"&lt;"&amp;H126)+COUNTIFS($AZ$2:$AZ$201,AZ126,$CK$2:$CK$201,1,$H$2:$H$201,H126,$BA$2:$BA$201,"&lt;"&amp;BA126)=0,1,0),0)</f>
        <v>0</v>
      </c>
      <c r="CM126" s="23" t="n">
        <f aca="false">IF(AND(BB126=1,U126="Y"),1,0)</f>
        <v>0</v>
      </c>
      <c r="CN126" s="23" t="n">
        <f aca="false">IF(CM126=1,IF(COUNTIFS($AZ$2:$AZ$201,AZ126,$CM$2:$CM$201,1,$H$2:$H$201,"&lt;"&amp;H126)+COUNTIFS($AZ$2:$AZ$201,AZ126,$CM$2:$CM$201,1,$H$2:$H$201,H126,$BA$2:$BA$201,"&lt;"&amp;BA126)=0,1,0),0)</f>
        <v>0</v>
      </c>
      <c r="CO126" s="23" t="n">
        <f aca="false">IF(AND(BB126=1,L126="Y"),1,0)</f>
        <v>0</v>
      </c>
      <c r="CP126" s="23" t="n">
        <f aca="false">IF(CO126=1,IF(COUNTIFS($AZ$2:$AZ$201,AZ126,$CO$2:$CO$201,1,$H$2:$H$201,"&lt;"&amp;H126)+COUNTIFS($AZ$2:$AZ$201,AZ126,$CO$2:$CO$201,1,$H$2:$H$201,H126,$BA$2:$BA$201,"&lt;"&amp;BA126)=0,1,0),0)</f>
        <v>0</v>
      </c>
      <c r="CQ126" s="23" t="n">
        <f aca="false">IF(AND(BB126=1,ISNUMBER(O126)),1,0)</f>
        <v>0</v>
      </c>
      <c r="CR126" s="23" t="n">
        <f aca="false">IF(CQ126=1,IF(COUNTIFS($AZ$2:$AZ$201,AZ126,$CQ$2:$CQ$201,1,$H$2:$H$201,"&lt;"&amp;H126)+COUNTIFS($AZ$2:$AZ$201,AZ126,$CQ$2:$CQ$201,1,$H$2:$H$201,H126,$BA$2:$BA$201,"&lt;"&amp;BA126)=0,1,0),0)</f>
        <v>0</v>
      </c>
      <c r="CS126" s="23" t="str">
        <f aca="false">IF(AND(CR126=1,INT(N(H126))&lt;=Config!$B$5),O126,"")</f>
        <v/>
      </c>
      <c r="CT126" s="23" t="str">
        <f aca="false">IF(AND(BB126=1,INT(N(H126))&lt;=Config!$B$5),AG126&amp;"","")</f>
        <v/>
      </c>
      <c r="CU126" s="23" t="n">
        <f aca="false">IF(AND(BB126=1,AU126="Y"),1,0)</f>
        <v>0</v>
      </c>
      <c r="CV126" s="23" t="n">
        <f aca="false">IF(CU126=1,IF(COUNTIFS($AZ$2:$AZ$201,AZ126,$CU$2:$CU$201,1,$H$2:$H$201,"&lt;"&amp;H126)+COUNTIFS($AZ$2:$AZ$201,AZ126,$CU$2:$CU$201,1,$H$2:$H$201,H126,$BA$2:$BA$201,"&lt;"&amp;BA126)=0,1,0),0)</f>
        <v>0</v>
      </c>
      <c r="CW126" s="23" t="str">
        <f aca="false">IF(BB126=1,IFERROR(MATCH($A126,INDEX(Clay_Offices!$A$2:$FZ$601,0,Sync!$C$5),0),""),"")</f>
        <v/>
      </c>
      <c r="CX126" s="23" t="str">
        <f aca="false">IF(CW126="","",IFERROR(INDEX(Clay_Offices!$A$2:$FZ$601,CW126,Sync!$C$7)&amp;"",""))</f>
        <v/>
      </c>
      <c r="CY126" s="23" t="str">
        <f aca="false">IF(CX126="","",IFERROR(INDEX(Lists!$K$2:$K$15,MATCH(CX126,Lists!$J$2:$J$15,0)),""))</f>
        <v/>
      </c>
      <c r="CZ126" s="23" t="str">
        <f aca="false">IF(CW126="","",IFERROR(INDEX(Clay_Offices!$A$2:$FZ$601,CW126,Sync!$C$17)&amp;"",""))</f>
        <v/>
      </c>
      <c r="DA126" s="35" t="str">
        <f aca="false">IF(CW126="","",IFERROR(N(INDEX(Clay_Offices!$A$2:$FZ$601,CW126,Sync!$C$16)),0))</f>
        <v/>
      </c>
      <c r="DB126" s="23" t="n">
        <f aca="false">IF(AND(BB126=1,OR(AR126="Y",AR126="N",AR126="maybe")),1,0)</f>
        <v>0</v>
      </c>
      <c r="DC126" s="23" t="n">
        <f aca="false">IF(AND(DB126=1),IF(COUNTIFS($A$2:$A$201,$A126,$DB$2:$DB$201,1,$H$2:$H$201,"&gt;"&amp;H126)+COUNTIFS($A$2:$A$201,$A126,$DB$2:$DB$201,1,$H$2:$H$201,H126,$BA$2:$BA$201,"&gt;"&amp;BA126)=0,1,0),0)</f>
        <v>0</v>
      </c>
      <c r="DD126" s="23" t="n">
        <f aca="false">IF(AND(DB126=1,INT(N(H126))&lt;=Config!$B$6),IF(COUNTIFS($AZ$2:$AZ$201,AZ126,$DB$2:$DB$201,1,$H$2:$H$201,"&gt;"&amp;H126,$H$2:$H$201,"&lt;"&amp;(Config!$B$6+1))+COUNTIFS($AZ$2:$AZ$201,AZ126,$DB$2:$DB$201,1,$H$2:$H$201,H126,$BA$2:$BA$201,"&gt;"&amp;BA126)=0,1,0),0)</f>
        <v>0</v>
      </c>
      <c r="DE126" s="23" t="n">
        <f aca="false">IF(AND(DB126=1,INT(N(H126))&lt;=Config!$B$7),IF(COUNTIFS($AZ$2:$AZ$201,AZ126,$DB$2:$DB$201,1,$H$2:$H$201,"&gt;"&amp;H126,$H$2:$H$201,"&lt;"&amp;(Config!$B$7+1))+COUNTIFS($AZ$2:$AZ$201,AZ126,$DB$2:$DB$201,1,$H$2:$H$201,H126,$BA$2:$BA$201,"&gt;"&amp;BA126)=0,1,0),0)</f>
        <v>0</v>
      </c>
      <c r="DF126" s="23" t="n">
        <f aca="false">IF(AND(DB126=1,INT(N(H126))&lt;=Config!$B$8),IF(COUNTIFS($AZ$2:$AZ$201,AZ126,$DB$2:$DB$201,1,$H$2:$H$201,"&gt;"&amp;H126,$H$2:$H$201,"&lt;"&amp;(Config!$B$8+1))+COUNTIFS($AZ$2:$AZ$201,AZ126,$DB$2:$DB$201,1,$H$2:$H$201,H126,$BA$2:$BA$201,"&gt;"&amp;BA126)=0,1,0),0)</f>
        <v>0</v>
      </c>
      <c r="DG126" s="23" t="n">
        <f aca="false">IF(AND(DB126=1,INT(N(H126))&lt;=Config!$B$5),IF(COUNTIFS($AZ$2:$AZ$201,AZ126,$DB$2:$DB$201,1,$H$2:$H$201,"&gt;"&amp;H126,$H$2:$H$201,"&lt;"&amp;(Config!$B$5+1))+COUNTIFS($AZ$2:$AZ$201,AZ126,$DB$2:$DB$201,1,$H$2:$H$201,H126,$BA$2:$BA$201,"&gt;"&amp;BA126)=0,1,0),0)</f>
        <v>0</v>
      </c>
      <c r="DH126" s="23" t="n">
        <f aca="false">IF(BB126=1,IF(COUNTIFS($AZ$2:$AZ$201,AZ126,$DD$2:$DD$201,1,$AR$2:$AR$201,"Y")&gt;0,1,0),0)</f>
        <v>0</v>
      </c>
      <c r="DI126" s="23" t="n">
        <f aca="false">IF(BB126=1,IF(COUNTIFS($AZ$2:$AZ$201,AZ126,$DE$2:$DE$201,1,$AR$2:$AR$201,"Y")&gt;0,1,0),0)</f>
        <v>0</v>
      </c>
      <c r="DJ126" s="23" t="n">
        <f aca="false">IF(BB126=1,IF(COUNTIFS($AZ$2:$AZ$201,AZ126,$DF$2:$DF$201,1,$AR$2:$AR$201,"Y")&gt;0,1,0),0)</f>
        <v>0</v>
      </c>
      <c r="DK126" s="23" t="n">
        <f aca="false">IF(BB126=1,IF(COUNTIFS($AZ$2:$AZ$201,AZ126,$DG$2:$DG$201,1,$AR$2:$AR$201,"Y")&gt;0,1,0),0)</f>
        <v>0</v>
      </c>
      <c r="DL126" s="23" t="n">
        <f aca="false">IF(AND(BF126=1,INT(N(H126))&lt;=Config!$B$6,DH126=1,EI126=0),1,0)</f>
        <v>0</v>
      </c>
      <c r="DM126" s="23" t="n">
        <f aca="false">IF(AND(BF126=1,INT(N(H126))&lt;=Config!$B$7,DI126=1,EI126=0),1,0)</f>
        <v>0</v>
      </c>
      <c r="DN126" s="23" t="n">
        <f aca="false">IF(AND(BF126=1,INT(N(H126))&lt;=Config!$B$8,DJ126=1,EI126=0),1,0)</f>
        <v>0</v>
      </c>
      <c r="DO126" s="23" t="n">
        <f aca="false">IF(AND(BF126=1,INT(N(H126))&lt;=Config!$B$5,DK126=1,EI126=0),1,0)</f>
        <v>0</v>
      </c>
      <c r="DP126" s="23" t="n">
        <f aca="false">IF(AND(CC126=1,INT(N(H126))&lt;=Config!$B$6,DH126=1,EI126=0),1,0)</f>
        <v>0</v>
      </c>
      <c r="DQ126" s="23" t="n">
        <f aca="false">IF(AND(CC126=1,INT(N(H126))&lt;=Config!$B$7,DI126=1,EI126=0),1,0)</f>
        <v>0</v>
      </c>
      <c r="DR126" s="23" t="n">
        <f aca="false">IF(AND(CC126=1,INT(N(H126))&lt;=Config!$B$8,DJ126=1,EI126=0),1,0)</f>
        <v>0</v>
      </c>
      <c r="DS126" s="23" t="n">
        <f aca="false">IF(AND(CC126=1,INT(N(H126))&lt;=Config!$B$5,DK126=1,EI126=0),1,0)</f>
        <v>0</v>
      </c>
      <c r="DT126" s="23" t="n">
        <f aca="false">IF(AND(CC126=1,INT(N(H126))&lt;=Config!$B$6,DH126=0),1,0)</f>
        <v>0</v>
      </c>
      <c r="DU126" s="23" t="n">
        <f aca="false">IF(AND(CC126=1,INT(N(H126))&lt;=Config!$B$7,DI126=0),1,0)</f>
        <v>0</v>
      </c>
      <c r="DV126" s="23" t="n">
        <f aca="false">IF(AND(CC126=1,INT(N(H126))&lt;=Config!$B$8,DJ126=0),1,0)</f>
        <v>0</v>
      </c>
      <c r="DW126" s="23" t="n">
        <f aca="false">IF(AND(CC126=1,INT(N(H126))&lt;=Config!$B$5,DK126=0),1,0)</f>
        <v>0</v>
      </c>
      <c r="DX126" s="23" t="n">
        <f aca="false">IF(TRIM($A126)="",0,ISTEXT(M126)+ISTEXT(O126)+ISTEXT(Y126)+ISTEXT(Z126)+ISTEXT(AA126)+ISTEXT(AV126))</f>
        <v>0</v>
      </c>
      <c r="DY126" s="23" t="n">
        <f aca="false">IF(BB126=1,IF(H126&lt;&gt;INT(H126),1,0),0)</f>
        <v>0</v>
      </c>
      <c r="DZ126" s="23" t="str">
        <f aca="false">IF(TRIM($A126)="","",IF(TRIM(B126)="",SUBSTITUTE(SUBSTITUTE(SUBSTITUTE(SUBSTITUTE(SUBSTITUTE(SUBSTITUTE(LOWER(TRIM($A126)),"~",""),"*",""),"?",""),"&lt;",""),"&gt;",""),"=",""),SUBSTITUTE(SUBSTITUTE(SUBSTITUTE(SUBSTITUTE(SUBSTITUTE(SUBSTITUTE(LOWER(TRIM(B126)),"~",""),"*",""),"?",""),"&lt;",""),"&gt;",""),"=","")))</f>
        <v/>
      </c>
      <c r="EA126" s="23" t="str">
        <f aca="false">IF(CW126="","",IFERROR(IF(LEFT(LOWER(TRIM(INDEX(Clay_Offices!$A$2:$FZ$601,CW126,Sync!$C$19)&amp;"")),4)="grp-",SUBSTITUTE(SUBSTITUTE(SUBSTITUTE(SUBSTITUTE(SUBSTITUTE(SUBSTITUTE(LOWER(TRIM(INDEX(Clay_Offices!$A$2:$FZ$601,CW126,Sync!$C$19)&amp;"")),"~",""),"*",""),"?",""),"&lt;",""),"&gt;",""),"=",""),""),""))</f>
        <v/>
      </c>
      <c r="EB126" s="23" t="str">
        <f aca="false">IF(EA126&lt;&gt;"",DZ126,"")</f>
        <v/>
      </c>
      <c r="EC126" s="23" t="str">
        <f aca="false">IF(BC126=1,AZ126,"")</f>
        <v/>
      </c>
      <c r="ED126" s="23" t="str">
        <f aca="false">IF(TRIM($A126)="","",IFERROR(INDEX($A$2:$A$201,MATCH(AZ126,$EC$2:$EC$201,0))&amp;"",$A126&amp;""))</f>
        <v/>
      </c>
      <c r="EE126" s="23" t="n">
        <f aca="false">IF(BB126=1,IF(COUNTIFS($A$2:$A$201,$A126,$BB$2:$BB$201,1,$H$2:$H$201,"&lt;"&amp;H126)+COUNTIFS($A$2:$A$201,$A126,$BB$2:$BB$201,1,$H$2:$H$201,H126,$BA$2:$BA$201,"&lt;"&amp;BA126)=0,1,0),0)</f>
        <v>0</v>
      </c>
      <c r="EF126" s="23" t="n">
        <f aca="false">IF(BC126=1,IF(COUNTIFS($AZ$2:$AZ$201,AZ126,$EE$2:$EE$201,1)&gt;1,1,0),0)</f>
        <v>0</v>
      </c>
      <c r="EG126" s="23" t="n">
        <f aca="false">IF(AND(CQ126=1),IF(COUNTIFS($AZ$2:$AZ$201,AZ126,$CQ$2:$CQ$201,1,$H$2:$H$201,"&gt;"&amp;H126)+COUNTIFS($AZ$2:$AZ$201,AZ126,$CQ$2:$CQ$201,1,$H$2:$H$201,H126,$BA$2:$BA$201,"&gt;"&amp;BA126)=0,1,0),0)</f>
        <v>0</v>
      </c>
      <c r="EH126" s="23" t="str">
        <f aca="false">IF(BB126=1,IF(COUNTIFS($AZ$2:$AZ$201,AZ126,$EG$2:$EG$201,1)=0,"",SUMIFS($O$2:$O$201,$AZ$2:$AZ$201,AZ126,$EG$2:$EG$201,1)),"")</f>
        <v/>
      </c>
      <c r="EI126" s="23" t="n">
        <f aca="false">IF(AND(ISNUMBER(EH126),OR(N(EH126)&lt;Config!$B$31,N(EH126)&gt;Config!$B$33)),1,0)</f>
        <v>0</v>
      </c>
      <c r="EJ126" s="23" t="n">
        <f aca="false">IF(AND(ISNUMBER(EH126),N(EH126)&gt;=Config!$B$31,N(EH126)&lt;Config!$B$32),1,0)</f>
        <v>0</v>
      </c>
      <c r="EK126" s="23" t="n">
        <f aca="false">IF(AND(BF126=1,INT(N(H126))&lt;=Config!$B$6,DH126=1,EI126=1),1,0)</f>
        <v>0</v>
      </c>
      <c r="EL126" s="23" t="n">
        <f aca="false">IF(AND(BF126=1,INT(N(H126))&lt;=Config!$B$7,DI126=1,EI126=1),1,0)</f>
        <v>0</v>
      </c>
      <c r="EM126" s="23" t="n">
        <f aca="false">IF(AND(BF126=1,INT(N(H126))&lt;=Config!$B$8,DJ126=1,EI126=1),1,0)</f>
        <v>0</v>
      </c>
      <c r="EN126" s="23" t="n">
        <f aca="false">IF(AND(BF126=1,INT(N(H126))&lt;=Config!$B$5,DK126=1,EI126=1),1,0)</f>
        <v>0</v>
      </c>
      <c r="EO126" s="23" t="n">
        <f aca="false">IF(AND(DL126=1,EJ126=1),1,0)</f>
        <v>0</v>
      </c>
      <c r="EP126" s="23" t="n">
        <f aca="false">IF(AND(DM126=1,EJ126=1),1,0)</f>
        <v>0</v>
      </c>
      <c r="EQ126" s="23" t="n">
        <f aca="false">IF(AND(DN126=1,EJ126=1),1,0)</f>
        <v>0</v>
      </c>
      <c r="ER126" s="23" t="n">
        <f aca="false">IF(AND(DO126=1,EJ126=1),1,0)</f>
        <v>0</v>
      </c>
    </row>
    <row r="127" customFormat="false" ht="15" hidden="false" customHeight="false" outlineLevel="0" collapsed="false">
      <c r="G127" s="32"/>
      <c r="H127" s="33"/>
      <c r="I127" s="32"/>
      <c r="L127" s="32"/>
      <c r="Q127" s="32"/>
      <c r="U127" s="32"/>
      <c r="W127" s="32"/>
      <c r="AC127" s="32"/>
      <c r="AF127" s="32"/>
      <c r="AI127" s="32"/>
      <c r="AJ127" s="32"/>
      <c r="AN127" s="32"/>
      <c r="AR127" s="32"/>
      <c r="AT127" s="32"/>
      <c r="AU127" s="32"/>
      <c r="AW127" s="32"/>
      <c r="AY127" s="34" t="str">
        <f aca="false">IF(TRIM($A127)="","",IF(AND(LEFT($A127,6)="SAMPLE",Config!$B$19&lt;&gt;"Y"),"",IF(NOT(ISNUMBER(H127)),"call_date is blank or not a date",IF(Sync!$C$5="","Clay paste is empty or has no row_id column: paste the Clay export on Clay_Offices",IF(CW127="","row_id not found in the Clay paste: add the Clay row or fix the row_id",IF(AND(ISNUMBER(CY127),CY127&gt;=1,CY127&lt;=5),"Clay status is "&amp;CX127&amp;": set call_done or later",IF(AND(BD127=1,CZ127&lt;&gt;BZ127),"Clay yes_in_principle should be "&amp;BZ127,IF(AND(BD127=1,DA127&lt;&gt;H127),"Clay call_date should be "&amp;TEXT(H127,"yyyy-mm-dd"),""))))))))</f>
        <v/>
      </c>
      <c r="AZ127" s="23" t="str">
        <f aca="false">IF(TRIM($A127)="","",IF(TRIM(C127)&lt;&gt;"",SUBSTITUTE(SUBSTITUTE(SUBSTITUTE(SUBSTITUTE(SUBSTITUTE(SUBSTITUTE(LOWER(TRIM(C127)),"~",""),"*",""),"?",""),"&lt;",""),"&gt;",""),"=",""),IF(EA127&lt;&gt;"",EA127,IFERROR(INDEX($EA$2:$EA$201,MATCH(DZ127,$EB$2:$EB$201,0)),DZ127))))</f>
        <v/>
      </c>
      <c r="BA127" s="23" t="n">
        <f aca="false">ROW()</f>
        <v>127</v>
      </c>
      <c r="BB127" s="23" t="n">
        <f aca="false">IF(AND(TRIM($A127)&lt;&gt;"",ISNUMBER(H127)),IF(AND(LEFT($A127,6)="SAMPLE",Config!$B$19&lt;&gt;"Y"),0,1),0)</f>
        <v>0</v>
      </c>
      <c r="BC127" s="23" t="n">
        <f aca="false">IF(BB127=1,IF(COUNTIFS($AZ$2:$AZ$201,AZ127,$BB$2:$BB$201,1,$H$2:$H$201,"&lt;"&amp;H127)+COUNTIFS($AZ$2:$AZ$201,AZ127,$BB$2:$BB$201,1,$H$2:$H$201,H127,$BA$2:$BA$201,"&lt;"&amp;BA127)=0,1,0),0)</f>
        <v>0</v>
      </c>
      <c r="BD127" s="23" t="n">
        <f aca="false">IF(BB127=1,IF(COUNTIFS($A$2:$A$201,$A127,$BB$2:$BB$201,1,$H$2:$H$201,"&gt;"&amp;H127)+COUNTIFS($A$2:$A$201,$A127,$BB$2:$BB$201,1,$H$2:$H$201,H127,$BA$2:$BA$201,"&gt;"&amp;BA127)=0,1,0),0)</f>
        <v>0</v>
      </c>
      <c r="BE127" s="23" t="n">
        <f aca="false">IF(AND(BB127=1,AR127="Y",AC127="Y",TRIM(AH127)&lt;&gt;""),1,0)</f>
        <v>0</v>
      </c>
      <c r="BF127" s="23" t="n">
        <f aca="false">IF(BE127=1,IF(COUNTIFS($AZ$2:$AZ$201,AZ127,$BE$2:$BE$201,1,$H$2:$H$201,"&lt;"&amp;H127)+COUNTIFS($AZ$2:$AZ$201,AZ127,$BE$2:$BE$201,1,$H$2:$H$201,H127,$BA$2:$BA$201,"&lt;"&amp;BA127)=0,1,0),0)</f>
        <v>0</v>
      </c>
      <c r="BG127" s="23" t="n">
        <f aca="false">IF(AND(BB127=1,AR127="Y",BE127=0),1,0)</f>
        <v>0</v>
      </c>
      <c r="BH127" s="23" t="n">
        <f aca="false">IF(AND(BB127=1,ISNUMBER(Y127)),1,0)</f>
        <v>0</v>
      </c>
      <c r="BI127" s="23" t="n">
        <f aca="false">IF(BH127=1,IF(COUNTIFS($AZ$2:$AZ$201,AZ127,$BH$2:$BH$201,1,$H$2:$H$201,"&lt;"&amp;H127)+COUNTIFS($AZ$2:$AZ$201,AZ127,$BH$2:$BH$201,1,$H$2:$H$201,H127,$BA$2:$BA$201,"&lt;"&amp;BA127)=0,1,0),0)</f>
        <v>0</v>
      </c>
      <c r="BJ127" s="23" t="str">
        <f aca="false">IF(AND(BI127=1,INT(N(H127))&lt;=Config!$B$6),Y127,"")</f>
        <v/>
      </c>
      <c r="BK127" s="23" t="str">
        <f aca="false">IF(AND(BI127=1,INT(N(H127))&lt;=Config!$B$7),Y127,"")</f>
        <v/>
      </c>
      <c r="BL127" s="23" t="str">
        <f aca="false">IF(AND(BI127=1,INT(N(H127))&lt;=Config!$B$8),Y127,"")</f>
        <v/>
      </c>
      <c r="BM127" s="23" t="str">
        <f aca="false">IF(AND(BI127=1,INT(N(H127))&lt;=Config!$B$5),Y127,"")</f>
        <v/>
      </c>
      <c r="BN127" s="23" t="n">
        <f aca="false">IF(CD127=1,IF(COUNTIFS($AZ$2:$AZ$201,AZ127,$CD$2:$CD$201,1,$H$2:$H$201,"&lt;"&amp;H127)+COUNTIFS($AZ$2:$AZ$201,AZ127,$CD$2:$CD$201,1,$H$2:$H$201,H127,$BA$2:$BA$201,"&lt;"&amp;BA127)=0,1,0),0)</f>
        <v>0</v>
      </c>
      <c r="BO127" s="23" t="n">
        <f aca="false">IF(AND(BB127=1,ISNUMBER(M127)),1,0)</f>
        <v>0</v>
      </c>
      <c r="BP127" s="23" t="n">
        <f aca="false">IF(BO127=1,IF(COUNTIFS($AZ$2:$AZ$201,AZ127,$BO$2:$BO$201,1,$H$2:$H$201,"&lt;"&amp;H127)+COUNTIFS($AZ$2:$AZ$201,AZ127,$BO$2:$BO$201,1,$H$2:$H$201,H127,$BA$2:$BA$201,"&lt;"&amp;BA127)=0,1,0),0)</f>
        <v>0</v>
      </c>
      <c r="BQ127" s="23" t="str">
        <f aca="false">IF(AND(BP127=1,INT(N(H127))&lt;=Config!$B$5),M127,"")</f>
        <v/>
      </c>
      <c r="BR127" s="23" t="n">
        <f aca="false">IF(AND(BB127=1,OR(TRIM(X127)&lt;&gt;"",ISNUMBER(Y127))),1,0)</f>
        <v>0</v>
      </c>
      <c r="BS127" s="23" t="n">
        <f aca="false">IF(BR127=1,IF(COUNTIFS($AZ$2:$AZ$201,AZ127,$BR$2:$BR$201,1,$H$2:$H$201,"&lt;"&amp;H127)+COUNTIFS($AZ$2:$AZ$201,AZ127,$BR$2:$BR$201,1,$H$2:$H$201,H127,$BA$2:$BA$201,"&lt;"&amp;BA127)=0,1,0),0)</f>
        <v>0</v>
      </c>
      <c r="BT127" s="23" t="str">
        <f aca="false">IF(BS127=1,AZ127,"")</f>
        <v/>
      </c>
      <c r="BU127" s="23" t="n">
        <f aca="false">IF(AND(BB127=1,W127="Y",TRIM(X127)=""),1,0)</f>
        <v>0</v>
      </c>
      <c r="BV127" s="23" t="str">
        <f aca="false">IF(BB127=1,AN127&amp;"","")</f>
        <v/>
      </c>
      <c r="BW127" s="23" t="str">
        <f aca="false">IF(BB127=1,AO127&amp;"","")</f>
        <v/>
      </c>
      <c r="BX127" s="23" t="str">
        <f aca="false">IF(BB127=1,AP127&amp;"","")</f>
        <v/>
      </c>
      <c r="BY127" s="23" t="str">
        <f aca="false">IF(AND(BB127=1,ISNUMBER(AV127),INT(N(H127))&lt;=Config!$B$5),AV127,"")</f>
        <v/>
      </c>
      <c r="BZ127" s="23" t="str">
        <f aca="false">IF(BB127=1,IF(COUNTIFS($A$2:$A$201,$A127,$DC$2:$DC$201,1,$AR$2:$AR$201,"Y")&gt;0,"Y","N"),"")</f>
        <v/>
      </c>
      <c r="CA127" s="23" t="n">
        <f aca="false">IF(AND(BB127=1,AR127="maybe"),1,0)</f>
        <v>0</v>
      </c>
      <c r="CB127" s="23" t="n">
        <f aca="false">IF(CA127=1,IF(COUNTIFS($AZ$2:$AZ$201,AZ127,$CA$2:$CA$201,1,$H$2:$H$201,"&lt;"&amp;H127)+COUNTIFS($AZ$2:$AZ$201,AZ127,$CA$2:$CA$201,1,$H$2:$H$201,H127,$BA$2:$BA$201,"&lt;"&amp;BA127)=0,1,0),0)</f>
        <v>0</v>
      </c>
      <c r="CC127" s="23" t="n">
        <f aca="false">IF(AND(BB127=1,AR127="Y"),IF(COUNTIFS($AZ$2:$AZ$201,AZ127,$AR$2:$AR$201,"Y",$BB$2:$BB$201,1,$H$2:$H$201,"&lt;"&amp;H127)+COUNTIFS($AZ$2:$AZ$201,AZ127,$AR$2:$AR$201,"Y",$BB$2:$BB$201,1,$H$2:$H$201,H127,$BA$2:$BA$201,"&lt;"&amp;BA127)=0,1,0),0)</f>
        <v>0</v>
      </c>
      <c r="CD127" s="23" t="n">
        <f aca="false">IF(AND(BH127=1,N(Y127)&gt;=Config!$B$15),1,0)</f>
        <v>0</v>
      </c>
      <c r="CE127" s="23" t="n">
        <f aca="false">IF(AND(BB127=1,AT127="Y"),1,0)</f>
        <v>0</v>
      </c>
      <c r="CF127" s="23" t="n">
        <f aca="false">IF(CE127=1,IF(COUNTIFS($AZ$2:$AZ$201,AZ127,$CE$2:$CE$201,1,$H$2:$H$201,"&lt;"&amp;H127)+COUNTIFS($AZ$2:$AZ$201,AZ127,$CE$2:$CE$201,1,$H$2:$H$201,H127,$BA$2:$BA$201,"&lt;"&amp;BA127)=0,1,0),0)</f>
        <v>0</v>
      </c>
      <c r="CG127" s="23" t="n">
        <f aca="false">IF(AND(BB127=1,G127="warm-intro"),1,0)</f>
        <v>0</v>
      </c>
      <c r="CH127" s="23" t="n">
        <f aca="false">IF(CG127=1,IF(COUNTIFS($AZ$2:$AZ$201,AZ127,$CG$2:$CG$201,1,$H$2:$H$201,"&lt;"&amp;H127)+COUNTIFS($AZ$2:$AZ$201,AZ127,$CG$2:$CG$201,1,$H$2:$H$201,H127,$BA$2:$BA$201,"&lt;"&amp;BA127)=0,1,0),0)</f>
        <v>0</v>
      </c>
      <c r="CI127" s="23" t="n">
        <f aca="false">IF(AND(BB127=1,Q127="Y"),1,0)</f>
        <v>0</v>
      </c>
      <c r="CJ127" s="23" t="n">
        <f aca="false">IF(CI127=1,IF(COUNTIFS($AZ$2:$AZ$201,AZ127,$CI$2:$CI$201,1,$H$2:$H$201,"&lt;"&amp;H127)+COUNTIFS($AZ$2:$AZ$201,AZ127,$CI$2:$CI$201,1,$H$2:$H$201,H127,$BA$2:$BA$201,"&lt;"&amp;BA127)=0,1,0),0)</f>
        <v>0</v>
      </c>
      <c r="CK127" s="23" t="n">
        <f aca="false">IF(AND(BB127=1,AF127="Y"),1,0)</f>
        <v>0</v>
      </c>
      <c r="CL127" s="23" t="n">
        <f aca="false">IF(CK127=1,IF(COUNTIFS($AZ$2:$AZ$201,AZ127,$CK$2:$CK$201,1,$H$2:$H$201,"&lt;"&amp;H127)+COUNTIFS($AZ$2:$AZ$201,AZ127,$CK$2:$CK$201,1,$H$2:$H$201,H127,$BA$2:$BA$201,"&lt;"&amp;BA127)=0,1,0),0)</f>
        <v>0</v>
      </c>
      <c r="CM127" s="23" t="n">
        <f aca="false">IF(AND(BB127=1,U127="Y"),1,0)</f>
        <v>0</v>
      </c>
      <c r="CN127" s="23" t="n">
        <f aca="false">IF(CM127=1,IF(COUNTIFS($AZ$2:$AZ$201,AZ127,$CM$2:$CM$201,1,$H$2:$H$201,"&lt;"&amp;H127)+COUNTIFS($AZ$2:$AZ$201,AZ127,$CM$2:$CM$201,1,$H$2:$H$201,H127,$BA$2:$BA$201,"&lt;"&amp;BA127)=0,1,0),0)</f>
        <v>0</v>
      </c>
      <c r="CO127" s="23" t="n">
        <f aca="false">IF(AND(BB127=1,L127="Y"),1,0)</f>
        <v>0</v>
      </c>
      <c r="CP127" s="23" t="n">
        <f aca="false">IF(CO127=1,IF(COUNTIFS($AZ$2:$AZ$201,AZ127,$CO$2:$CO$201,1,$H$2:$H$201,"&lt;"&amp;H127)+COUNTIFS($AZ$2:$AZ$201,AZ127,$CO$2:$CO$201,1,$H$2:$H$201,H127,$BA$2:$BA$201,"&lt;"&amp;BA127)=0,1,0),0)</f>
        <v>0</v>
      </c>
      <c r="CQ127" s="23" t="n">
        <f aca="false">IF(AND(BB127=1,ISNUMBER(O127)),1,0)</f>
        <v>0</v>
      </c>
      <c r="CR127" s="23" t="n">
        <f aca="false">IF(CQ127=1,IF(COUNTIFS($AZ$2:$AZ$201,AZ127,$CQ$2:$CQ$201,1,$H$2:$H$201,"&lt;"&amp;H127)+COUNTIFS($AZ$2:$AZ$201,AZ127,$CQ$2:$CQ$201,1,$H$2:$H$201,H127,$BA$2:$BA$201,"&lt;"&amp;BA127)=0,1,0),0)</f>
        <v>0</v>
      </c>
      <c r="CS127" s="23" t="str">
        <f aca="false">IF(AND(CR127=1,INT(N(H127))&lt;=Config!$B$5),O127,"")</f>
        <v/>
      </c>
      <c r="CT127" s="23" t="str">
        <f aca="false">IF(AND(BB127=1,INT(N(H127))&lt;=Config!$B$5),AG127&amp;"","")</f>
        <v/>
      </c>
      <c r="CU127" s="23" t="n">
        <f aca="false">IF(AND(BB127=1,AU127="Y"),1,0)</f>
        <v>0</v>
      </c>
      <c r="CV127" s="23" t="n">
        <f aca="false">IF(CU127=1,IF(COUNTIFS($AZ$2:$AZ$201,AZ127,$CU$2:$CU$201,1,$H$2:$H$201,"&lt;"&amp;H127)+COUNTIFS($AZ$2:$AZ$201,AZ127,$CU$2:$CU$201,1,$H$2:$H$201,H127,$BA$2:$BA$201,"&lt;"&amp;BA127)=0,1,0),0)</f>
        <v>0</v>
      </c>
      <c r="CW127" s="23" t="str">
        <f aca="false">IF(BB127=1,IFERROR(MATCH($A127,INDEX(Clay_Offices!$A$2:$FZ$601,0,Sync!$C$5),0),""),"")</f>
        <v/>
      </c>
      <c r="CX127" s="23" t="str">
        <f aca="false">IF(CW127="","",IFERROR(INDEX(Clay_Offices!$A$2:$FZ$601,CW127,Sync!$C$7)&amp;"",""))</f>
        <v/>
      </c>
      <c r="CY127" s="23" t="str">
        <f aca="false">IF(CX127="","",IFERROR(INDEX(Lists!$K$2:$K$15,MATCH(CX127,Lists!$J$2:$J$15,0)),""))</f>
        <v/>
      </c>
      <c r="CZ127" s="23" t="str">
        <f aca="false">IF(CW127="","",IFERROR(INDEX(Clay_Offices!$A$2:$FZ$601,CW127,Sync!$C$17)&amp;"",""))</f>
        <v/>
      </c>
      <c r="DA127" s="35" t="str">
        <f aca="false">IF(CW127="","",IFERROR(N(INDEX(Clay_Offices!$A$2:$FZ$601,CW127,Sync!$C$16)),0))</f>
        <v/>
      </c>
      <c r="DB127" s="23" t="n">
        <f aca="false">IF(AND(BB127=1,OR(AR127="Y",AR127="N",AR127="maybe")),1,0)</f>
        <v>0</v>
      </c>
      <c r="DC127" s="23" t="n">
        <f aca="false">IF(AND(DB127=1),IF(COUNTIFS($A$2:$A$201,$A127,$DB$2:$DB$201,1,$H$2:$H$201,"&gt;"&amp;H127)+COUNTIFS($A$2:$A$201,$A127,$DB$2:$DB$201,1,$H$2:$H$201,H127,$BA$2:$BA$201,"&gt;"&amp;BA127)=0,1,0),0)</f>
        <v>0</v>
      </c>
      <c r="DD127" s="23" t="n">
        <f aca="false">IF(AND(DB127=1,INT(N(H127))&lt;=Config!$B$6),IF(COUNTIFS($AZ$2:$AZ$201,AZ127,$DB$2:$DB$201,1,$H$2:$H$201,"&gt;"&amp;H127,$H$2:$H$201,"&lt;"&amp;(Config!$B$6+1))+COUNTIFS($AZ$2:$AZ$201,AZ127,$DB$2:$DB$201,1,$H$2:$H$201,H127,$BA$2:$BA$201,"&gt;"&amp;BA127)=0,1,0),0)</f>
        <v>0</v>
      </c>
      <c r="DE127" s="23" t="n">
        <f aca="false">IF(AND(DB127=1,INT(N(H127))&lt;=Config!$B$7),IF(COUNTIFS($AZ$2:$AZ$201,AZ127,$DB$2:$DB$201,1,$H$2:$H$201,"&gt;"&amp;H127,$H$2:$H$201,"&lt;"&amp;(Config!$B$7+1))+COUNTIFS($AZ$2:$AZ$201,AZ127,$DB$2:$DB$201,1,$H$2:$H$201,H127,$BA$2:$BA$201,"&gt;"&amp;BA127)=0,1,0),0)</f>
        <v>0</v>
      </c>
      <c r="DF127" s="23" t="n">
        <f aca="false">IF(AND(DB127=1,INT(N(H127))&lt;=Config!$B$8),IF(COUNTIFS($AZ$2:$AZ$201,AZ127,$DB$2:$DB$201,1,$H$2:$H$201,"&gt;"&amp;H127,$H$2:$H$201,"&lt;"&amp;(Config!$B$8+1))+COUNTIFS($AZ$2:$AZ$201,AZ127,$DB$2:$DB$201,1,$H$2:$H$201,H127,$BA$2:$BA$201,"&gt;"&amp;BA127)=0,1,0),0)</f>
        <v>0</v>
      </c>
      <c r="DG127" s="23" t="n">
        <f aca="false">IF(AND(DB127=1,INT(N(H127))&lt;=Config!$B$5),IF(COUNTIFS($AZ$2:$AZ$201,AZ127,$DB$2:$DB$201,1,$H$2:$H$201,"&gt;"&amp;H127,$H$2:$H$201,"&lt;"&amp;(Config!$B$5+1))+COUNTIFS($AZ$2:$AZ$201,AZ127,$DB$2:$DB$201,1,$H$2:$H$201,H127,$BA$2:$BA$201,"&gt;"&amp;BA127)=0,1,0),0)</f>
        <v>0</v>
      </c>
      <c r="DH127" s="23" t="n">
        <f aca="false">IF(BB127=1,IF(COUNTIFS($AZ$2:$AZ$201,AZ127,$DD$2:$DD$201,1,$AR$2:$AR$201,"Y")&gt;0,1,0),0)</f>
        <v>0</v>
      </c>
      <c r="DI127" s="23" t="n">
        <f aca="false">IF(BB127=1,IF(COUNTIFS($AZ$2:$AZ$201,AZ127,$DE$2:$DE$201,1,$AR$2:$AR$201,"Y")&gt;0,1,0),0)</f>
        <v>0</v>
      </c>
      <c r="DJ127" s="23" t="n">
        <f aca="false">IF(BB127=1,IF(COUNTIFS($AZ$2:$AZ$201,AZ127,$DF$2:$DF$201,1,$AR$2:$AR$201,"Y")&gt;0,1,0),0)</f>
        <v>0</v>
      </c>
      <c r="DK127" s="23" t="n">
        <f aca="false">IF(BB127=1,IF(COUNTIFS($AZ$2:$AZ$201,AZ127,$DG$2:$DG$201,1,$AR$2:$AR$201,"Y")&gt;0,1,0),0)</f>
        <v>0</v>
      </c>
      <c r="DL127" s="23" t="n">
        <f aca="false">IF(AND(BF127=1,INT(N(H127))&lt;=Config!$B$6,DH127=1,EI127=0),1,0)</f>
        <v>0</v>
      </c>
      <c r="DM127" s="23" t="n">
        <f aca="false">IF(AND(BF127=1,INT(N(H127))&lt;=Config!$B$7,DI127=1,EI127=0),1,0)</f>
        <v>0</v>
      </c>
      <c r="DN127" s="23" t="n">
        <f aca="false">IF(AND(BF127=1,INT(N(H127))&lt;=Config!$B$8,DJ127=1,EI127=0),1,0)</f>
        <v>0</v>
      </c>
      <c r="DO127" s="23" t="n">
        <f aca="false">IF(AND(BF127=1,INT(N(H127))&lt;=Config!$B$5,DK127=1,EI127=0),1,0)</f>
        <v>0</v>
      </c>
      <c r="DP127" s="23" t="n">
        <f aca="false">IF(AND(CC127=1,INT(N(H127))&lt;=Config!$B$6,DH127=1,EI127=0),1,0)</f>
        <v>0</v>
      </c>
      <c r="DQ127" s="23" t="n">
        <f aca="false">IF(AND(CC127=1,INT(N(H127))&lt;=Config!$B$7,DI127=1,EI127=0),1,0)</f>
        <v>0</v>
      </c>
      <c r="DR127" s="23" t="n">
        <f aca="false">IF(AND(CC127=1,INT(N(H127))&lt;=Config!$B$8,DJ127=1,EI127=0),1,0)</f>
        <v>0</v>
      </c>
      <c r="DS127" s="23" t="n">
        <f aca="false">IF(AND(CC127=1,INT(N(H127))&lt;=Config!$B$5,DK127=1,EI127=0),1,0)</f>
        <v>0</v>
      </c>
      <c r="DT127" s="23" t="n">
        <f aca="false">IF(AND(CC127=1,INT(N(H127))&lt;=Config!$B$6,DH127=0),1,0)</f>
        <v>0</v>
      </c>
      <c r="DU127" s="23" t="n">
        <f aca="false">IF(AND(CC127=1,INT(N(H127))&lt;=Config!$B$7,DI127=0),1,0)</f>
        <v>0</v>
      </c>
      <c r="DV127" s="23" t="n">
        <f aca="false">IF(AND(CC127=1,INT(N(H127))&lt;=Config!$B$8,DJ127=0),1,0)</f>
        <v>0</v>
      </c>
      <c r="DW127" s="23" t="n">
        <f aca="false">IF(AND(CC127=1,INT(N(H127))&lt;=Config!$B$5,DK127=0),1,0)</f>
        <v>0</v>
      </c>
      <c r="DX127" s="23" t="n">
        <f aca="false">IF(TRIM($A127)="",0,ISTEXT(M127)+ISTEXT(O127)+ISTEXT(Y127)+ISTEXT(Z127)+ISTEXT(AA127)+ISTEXT(AV127))</f>
        <v>0</v>
      </c>
      <c r="DY127" s="23" t="n">
        <f aca="false">IF(BB127=1,IF(H127&lt;&gt;INT(H127),1,0),0)</f>
        <v>0</v>
      </c>
      <c r="DZ127" s="23" t="str">
        <f aca="false">IF(TRIM($A127)="","",IF(TRIM(B127)="",SUBSTITUTE(SUBSTITUTE(SUBSTITUTE(SUBSTITUTE(SUBSTITUTE(SUBSTITUTE(LOWER(TRIM($A127)),"~",""),"*",""),"?",""),"&lt;",""),"&gt;",""),"=",""),SUBSTITUTE(SUBSTITUTE(SUBSTITUTE(SUBSTITUTE(SUBSTITUTE(SUBSTITUTE(LOWER(TRIM(B127)),"~",""),"*",""),"?",""),"&lt;",""),"&gt;",""),"=","")))</f>
        <v/>
      </c>
      <c r="EA127" s="23" t="str">
        <f aca="false">IF(CW127="","",IFERROR(IF(LEFT(LOWER(TRIM(INDEX(Clay_Offices!$A$2:$FZ$601,CW127,Sync!$C$19)&amp;"")),4)="grp-",SUBSTITUTE(SUBSTITUTE(SUBSTITUTE(SUBSTITUTE(SUBSTITUTE(SUBSTITUTE(LOWER(TRIM(INDEX(Clay_Offices!$A$2:$FZ$601,CW127,Sync!$C$19)&amp;"")),"~",""),"*",""),"?",""),"&lt;",""),"&gt;",""),"=",""),""),""))</f>
        <v/>
      </c>
      <c r="EB127" s="23" t="str">
        <f aca="false">IF(EA127&lt;&gt;"",DZ127,"")</f>
        <v/>
      </c>
      <c r="EC127" s="23" t="str">
        <f aca="false">IF(BC127=1,AZ127,"")</f>
        <v/>
      </c>
      <c r="ED127" s="23" t="str">
        <f aca="false">IF(TRIM($A127)="","",IFERROR(INDEX($A$2:$A$201,MATCH(AZ127,$EC$2:$EC$201,0))&amp;"",$A127&amp;""))</f>
        <v/>
      </c>
      <c r="EE127" s="23" t="n">
        <f aca="false">IF(BB127=1,IF(COUNTIFS($A$2:$A$201,$A127,$BB$2:$BB$201,1,$H$2:$H$201,"&lt;"&amp;H127)+COUNTIFS($A$2:$A$201,$A127,$BB$2:$BB$201,1,$H$2:$H$201,H127,$BA$2:$BA$201,"&lt;"&amp;BA127)=0,1,0),0)</f>
        <v>0</v>
      </c>
      <c r="EF127" s="23" t="n">
        <f aca="false">IF(BC127=1,IF(COUNTIFS($AZ$2:$AZ$201,AZ127,$EE$2:$EE$201,1)&gt;1,1,0),0)</f>
        <v>0</v>
      </c>
      <c r="EG127" s="23" t="n">
        <f aca="false">IF(AND(CQ127=1),IF(COUNTIFS($AZ$2:$AZ$201,AZ127,$CQ$2:$CQ$201,1,$H$2:$H$201,"&gt;"&amp;H127)+COUNTIFS($AZ$2:$AZ$201,AZ127,$CQ$2:$CQ$201,1,$H$2:$H$201,H127,$BA$2:$BA$201,"&gt;"&amp;BA127)=0,1,0),0)</f>
        <v>0</v>
      </c>
      <c r="EH127" s="23" t="str">
        <f aca="false">IF(BB127=1,IF(COUNTIFS($AZ$2:$AZ$201,AZ127,$EG$2:$EG$201,1)=0,"",SUMIFS($O$2:$O$201,$AZ$2:$AZ$201,AZ127,$EG$2:$EG$201,1)),"")</f>
        <v/>
      </c>
      <c r="EI127" s="23" t="n">
        <f aca="false">IF(AND(ISNUMBER(EH127),OR(N(EH127)&lt;Config!$B$31,N(EH127)&gt;Config!$B$33)),1,0)</f>
        <v>0</v>
      </c>
      <c r="EJ127" s="23" t="n">
        <f aca="false">IF(AND(ISNUMBER(EH127),N(EH127)&gt;=Config!$B$31,N(EH127)&lt;Config!$B$32),1,0)</f>
        <v>0</v>
      </c>
      <c r="EK127" s="23" t="n">
        <f aca="false">IF(AND(BF127=1,INT(N(H127))&lt;=Config!$B$6,DH127=1,EI127=1),1,0)</f>
        <v>0</v>
      </c>
      <c r="EL127" s="23" t="n">
        <f aca="false">IF(AND(BF127=1,INT(N(H127))&lt;=Config!$B$7,DI127=1,EI127=1),1,0)</f>
        <v>0</v>
      </c>
      <c r="EM127" s="23" t="n">
        <f aca="false">IF(AND(BF127=1,INT(N(H127))&lt;=Config!$B$8,DJ127=1,EI127=1),1,0)</f>
        <v>0</v>
      </c>
      <c r="EN127" s="23" t="n">
        <f aca="false">IF(AND(BF127=1,INT(N(H127))&lt;=Config!$B$5,DK127=1,EI127=1),1,0)</f>
        <v>0</v>
      </c>
      <c r="EO127" s="23" t="n">
        <f aca="false">IF(AND(DL127=1,EJ127=1),1,0)</f>
        <v>0</v>
      </c>
      <c r="EP127" s="23" t="n">
        <f aca="false">IF(AND(DM127=1,EJ127=1),1,0)</f>
        <v>0</v>
      </c>
      <c r="EQ127" s="23" t="n">
        <f aca="false">IF(AND(DN127=1,EJ127=1),1,0)</f>
        <v>0</v>
      </c>
      <c r="ER127" s="23" t="n">
        <f aca="false">IF(AND(DO127=1,EJ127=1),1,0)</f>
        <v>0</v>
      </c>
    </row>
    <row r="128" customFormat="false" ht="15" hidden="false" customHeight="false" outlineLevel="0" collapsed="false">
      <c r="G128" s="32"/>
      <c r="H128" s="33"/>
      <c r="I128" s="32"/>
      <c r="L128" s="32"/>
      <c r="Q128" s="32"/>
      <c r="U128" s="32"/>
      <c r="W128" s="32"/>
      <c r="AC128" s="32"/>
      <c r="AF128" s="32"/>
      <c r="AI128" s="32"/>
      <c r="AJ128" s="32"/>
      <c r="AN128" s="32"/>
      <c r="AR128" s="32"/>
      <c r="AT128" s="32"/>
      <c r="AU128" s="32"/>
      <c r="AW128" s="32"/>
      <c r="AY128" s="34" t="str">
        <f aca="false">IF(TRIM($A128)="","",IF(AND(LEFT($A128,6)="SAMPLE",Config!$B$19&lt;&gt;"Y"),"",IF(NOT(ISNUMBER(H128)),"call_date is blank or not a date",IF(Sync!$C$5="","Clay paste is empty or has no row_id column: paste the Clay export on Clay_Offices",IF(CW128="","row_id not found in the Clay paste: add the Clay row or fix the row_id",IF(AND(ISNUMBER(CY128),CY128&gt;=1,CY128&lt;=5),"Clay status is "&amp;CX128&amp;": set call_done or later",IF(AND(BD128=1,CZ128&lt;&gt;BZ128),"Clay yes_in_principle should be "&amp;BZ128,IF(AND(BD128=1,DA128&lt;&gt;H128),"Clay call_date should be "&amp;TEXT(H128,"yyyy-mm-dd"),""))))))))</f>
        <v/>
      </c>
      <c r="AZ128" s="23" t="str">
        <f aca="false">IF(TRIM($A128)="","",IF(TRIM(C128)&lt;&gt;"",SUBSTITUTE(SUBSTITUTE(SUBSTITUTE(SUBSTITUTE(SUBSTITUTE(SUBSTITUTE(LOWER(TRIM(C128)),"~",""),"*",""),"?",""),"&lt;",""),"&gt;",""),"=",""),IF(EA128&lt;&gt;"",EA128,IFERROR(INDEX($EA$2:$EA$201,MATCH(DZ128,$EB$2:$EB$201,0)),DZ128))))</f>
        <v/>
      </c>
      <c r="BA128" s="23" t="n">
        <f aca="false">ROW()</f>
        <v>128</v>
      </c>
      <c r="BB128" s="23" t="n">
        <f aca="false">IF(AND(TRIM($A128)&lt;&gt;"",ISNUMBER(H128)),IF(AND(LEFT($A128,6)="SAMPLE",Config!$B$19&lt;&gt;"Y"),0,1),0)</f>
        <v>0</v>
      </c>
      <c r="BC128" s="23" t="n">
        <f aca="false">IF(BB128=1,IF(COUNTIFS($AZ$2:$AZ$201,AZ128,$BB$2:$BB$201,1,$H$2:$H$201,"&lt;"&amp;H128)+COUNTIFS($AZ$2:$AZ$201,AZ128,$BB$2:$BB$201,1,$H$2:$H$201,H128,$BA$2:$BA$201,"&lt;"&amp;BA128)=0,1,0),0)</f>
        <v>0</v>
      </c>
      <c r="BD128" s="23" t="n">
        <f aca="false">IF(BB128=1,IF(COUNTIFS($A$2:$A$201,$A128,$BB$2:$BB$201,1,$H$2:$H$201,"&gt;"&amp;H128)+COUNTIFS($A$2:$A$201,$A128,$BB$2:$BB$201,1,$H$2:$H$201,H128,$BA$2:$BA$201,"&gt;"&amp;BA128)=0,1,0),0)</f>
        <v>0</v>
      </c>
      <c r="BE128" s="23" t="n">
        <f aca="false">IF(AND(BB128=1,AR128="Y",AC128="Y",TRIM(AH128)&lt;&gt;""),1,0)</f>
        <v>0</v>
      </c>
      <c r="BF128" s="23" t="n">
        <f aca="false">IF(BE128=1,IF(COUNTIFS($AZ$2:$AZ$201,AZ128,$BE$2:$BE$201,1,$H$2:$H$201,"&lt;"&amp;H128)+COUNTIFS($AZ$2:$AZ$201,AZ128,$BE$2:$BE$201,1,$H$2:$H$201,H128,$BA$2:$BA$201,"&lt;"&amp;BA128)=0,1,0),0)</f>
        <v>0</v>
      </c>
      <c r="BG128" s="23" t="n">
        <f aca="false">IF(AND(BB128=1,AR128="Y",BE128=0),1,0)</f>
        <v>0</v>
      </c>
      <c r="BH128" s="23" t="n">
        <f aca="false">IF(AND(BB128=1,ISNUMBER(Y128)),1,0)</f>
        <v>0</v>
      </c>
      <c r="BI128" s="23" t="n">
        <f aca="false">IF(BH128=1,IF(COUNTIFS($AZ$2:$AZ$201,AZ128,$BH$2:$BH$201,1,$H$2:$H$201,"&lt;"&amp;H128)+COUNTIFS($AZ$2:$AZ$201,AZ128,$BH$2:$BH$201,1,$H$2:$H$201,H128,$BA$2:$BA$201,"&lt;"&amp;BA128)=0,1,0),0)</f>
        <v>0</v>
      </c>
      <c r="BJ128" s="23" t="str">
        <f aca="false">IF(AND(BI128=1,INT(N(H128))&lt;=Config!$B$6),Y128,"")</f>
        <v/>
      </c>
      <c r="BK128" s="23" t="str">
        <f aca="false">IF(AND(BI128=1,INT(N(H128))&lt;=Config!$B$7),Y128,"")</f>
        <v/>
      </c>
      <c r="BL128" s="23" t="str">
        <f aca="false">IF(AND(BI128=1,INT(N(H128))&lt;=Config!$B$8),Y128,"")</f>
        <v/>
      </c>
      <c r="BM128" s="23" t="str">
        <f aca="false">IF(AND(BI128=1,INT(N(H128))&lt;=Config!$B$5),Y128,"")</f>
        <v/>
      </c>
      <c r="BN128" s="23" t="n">
        <f aca="false">IF(CD128=1,IF(COUNTIFS($AZ$2:$AZ$201,AZ128,$CD$2:$CD$201,1,$H$2:$H$201,"&lt;"&amp;H128)+COUNTIFS($AZ$2:$AZ$201,AZ128,$CD$2:$CD$201,1,$H$2:$H$201,H128,$BA$2:$BA$201,"&lt;"&amp;BA128)=0,1,0),0)</f>
        <v>0</v>
      </c>
      <c r="BO128" s="23" t="n">
        <f aca="false">IF(AND(BB128=1,ISNUMBER(M128)),1,0)</f>
        <v>0</v>
      </c>
      <c r="BP128" s="23" t="n">
        <f aca="false">IF(BO128=1,IF(COUNTIFS($AZ$2:$AZ$201,AZ128,$BO$2:$BO$201,1,$H$2:$H$201,"&lt;"&amp;H128)+COUNTIFS($AZ$2:$AZ$201,AZ128,$BO$2:$BO$201,1,$H$2:$H$201,H128,$BA$2:$BA$201,"&lt;"&amp;BA128)=0,1,0),0)</f>
        <v>0</v>
      </c>
      <c r="BQ128" s="23" t="str">
        <f aca="false">IF(AND(BP128=1,INT(N(H128))&lt;=Config!$B$5),M128,"")</f>
        <v/>
      </c>
      <c r="BR128" s="23" t="n">
        <f aca="false">IF(AND(BB128=1,OR(TRIM(X128)&lt;&gt;"",ISNUMBER(Y128))),1,0)</f>
        <v>0</v>
      </c>
      <c r="BS128" s="23" t="n">
        <f aca="false">IF(BR128=1,IF(COUNTIFS($AZ$2:$AZ$201,AZ128,$BR$2:$BR$201,1,$H$2:$H$201,"&lt;"&amp;H128)+COUNTIFS($AZ$2:$AZ$201,AZ128,$BR$2:$BR$201,1,$H$2:$H$201,H128,$BA$2:$BA$201,"&lt;"&amp;BA128)=0,1,0),0)</f>
        <v>0</v>
      </c>
      <c r="BT128" s="23" t="str">
        <f aca="false">IF(BS128=1,AZ128,"")</f>
        <v/>
      </c>
      <c r="BU128" s="23" t="n">
        <f aca="false">IF(AND(BB128=1,W128="Y",TRIM(X128)=""),1,0)</f>
        <v>0</v>
      </c>
      <c r="BV128" s="23" t="str">
        <f aca="false">IF(BB128=1,AN128&amp;"","")</f>
        <v/>
      </c>
      <c r="BW128" s="23" t="str">
        <f aca="false">IF(BB128=1,AO128&amp;"","")</f>
        <v/>
      </c>
      <c r="BX128" s="23" t="str">
        <f aca="false">IF(BB128=1,AP128&amp;"","")</f>
        <v/>
      </c>
      <c r="BY128" s="23" t="str">
        <f aca="false">IF(AND(BB128=1,ISNUMBER(AV128),INT(N(H128))&lt;=Config!$B$5),AV128,"")</f>
        <v/>
      </c>
      <c r="BZ128" s="23" t="str">
        <f aca="false">IF(BB128=1,IF(COUNTIFS($A$2:$A$201,$A128,$DC$2:$DC$201,1,$AR$2:$AR$201,"Y")&gt;0,"Y","N"),"")</f>
        <v/>
      </c>
      <c r="CA128" s="23" t="n">
        <f aca="false">IF(AND(BB128=1,AR128="maybe"),1,0)</f>
        <v>0</v>
      </c>
      <c r="CB128" s="23" t="n">
        <f aca="false">IF(CA128=1,IF(COUNTIFS($AZ$2:$AZ$201,AZ128,$CA$2:$CA$201,1,$H$2:$H$201,"&lt;"&amp;H128)+COUNTIFS($AZ$2:$AZ$201,AZ128,$CA$2:$CA$201,1,$H$2:$H$201,H128,$BA$2:$BA$201,"&lt;"&amp;BA128)=0,1,0),0)</f>
        <v>0</v>
      </c>
      <c r="CC128" s="23" t="n">
        <f aca="false">IF(AND(BB128=1,AR128="Y"),IF(COUNTIFS($AZ$2:$AZ$201,AZ128,$AR$2:$AR$201,"Y",$BB$2:$BB$201,1,$H$2:$H$201,"&lt;"&amp;H128)+COUNTIFS($AZ$2:$AZ$201,AZ128,$AR$2:$AR$201,"Y",$BB$2:$BB$201,1,$H$2:$H$201,H128,$BA$2:$BA$201,"&lt;"&amp;BA128)=0,1,0),0)</f>
        <v>0</v>
      </c>
      <c r="CD128" s="23" t="n">
        <f aca="false">IF(AND(BH128=1,N(Y128)&gt;=Config!$B$15),1,0)</f>
        <v>0</v>
      </c>
      <c r="CE128" s="23" t="n">
        <f aca="false">IF(AND(BB128=1,AT128="Y"),1,0)</f>
        <v>0</v>
      </c>
      <c r="CF128" s="23" t="n">
        <f aca="false">IF(CE128=1,IF(COUNTIFS($AZ$2:$AZ$201,AZ128,$CE$2:$CE$201,1,$H$2:$H$201,"&lt;"&amp;H128)+COUNTIFS($AZ$2:$AZ$201,AZ128,$CE$2:$CE$201,1,$H$2:$H$201,H128,$BA$2:$BA$201,"&lt;"&amp;BA128)=0,1,0),0)</f>
        <v>0</v>
      </c>
      <c r="CG128" s="23" t="n">
        <f aca="false">IF(AND(BB128=1,G128="warm-intro"),1,0)</f>
        <v>0</v>
      </c>
      <c r="CH128" s="23" t="n">
        <f aca="false">IF(CG128=1,IF(COUNTIFS($AZ$2:$AZ$201,AZ128,$CG$2:$CG$201,1,$H$2:$H$201,"&lt;"&amp;H128)+COUNTIFS($AZ$2:$AZ$201,AZ128,$CG$2:$CG$201,1,$H$2:$H$201,H128,$BA$2:$BA$201,"&lt;"&amp;BA128)=0,1,0),0)</f>
        <v>0</v>
      </c>
      <c r="CI128" s="23" t="n">
        <f aca="false">IF(AND(BB128=1,Q128="Y"),1,0)</f>
        <v>0</v>
      </c>
      <c r="CJ128" s="23" t="n">
        <f aca="false">IF(CI128=1,IF(COUNTIFS($AZ$2:$AZ$201,AZ128,$CI$2:$CI$201,1,$H$2:$H$201,"&lt;"&amp;H128)+COUNTIFS($AZ$2:$AZ$201,AZ128,$CI$2:$CI$201,1,$H$2:$H$201,H128,$BA$2:$BA$201,"&lt;"&amp;BA128)=0,1,0),0)</f>
        <v>0</v>
      </c>
      <c r="CK128" s="23" t="n">
        <f aca="false">IF(AND(BB128=1,AF128="Y"),1,0)</f>
        <v>0</v>
      </c>
      <c r="CL128" s="23" t="n">
        <f aca="false">IF(CK128=1,IF(COUNTIFS($AZ$2:$AZ$201,AZ128,$CK$2:$CK$201,1,$H$2:$H$201,"&lt;"&amp;H128)+COUNTIFS($AZ$2:$AZ$201,AZ128,$CK$2:$CK$201,1,$H$2:$H$201,H128,$BA$2:$BA$201,"&lt;"&amp;BA128)=0,1,0),0)</f>
        <v>0</v>
      </c>
      <c r="CM128" s="23" t="n">
        <f aca="false">IF(AND(BB128=1,U128="Y"),1,0)</f>
        <v>0</v>
      </c>
      <c r="CN128" s="23" t="n">
        <f aca="false">IF(CM128=1,IF(COUNTIFS($AZ$2:$AZ$201,AZ128,$CM$2:$CM$201,1,$H$2:$H$201,"&lt;"&amp;H128)+COUNTIFS($AZ$2:$AZ$201,AZ128,$CM$2:$CM$201,1,$H$2:$H$201,H128,$BA$2:$BA$201,"&lt;"&amp;BA128)=0,1,0),0)</f>
        <v>0</v>
      </c>
      <c r="CO128" s="23" t="n">
        <f aca="false">IF(AND(BB128=1,L128="Y"),1,0)</f>
        <v>0</v>
      </c>
      <c r="CP128" s="23" t="n">
        <f aca="false">IF(CO128=1,IF(COUNTIFS($AZ$2:$AZ$201,AZ128,$CO$2:$CO$201,1,$H$2:$H$201,"&lt;"&amp;H128)+COUNTIFS($AZ$2:$AZ$201,AZ128,$CO$2:$CO$201,1,$H$2:$H$201,H128,$BA$2:$BA$201,"&lt;"&amp;BA128)=0,1,0),0)</f>
        <v>0</v>
      </c>
      <c r="CQ128" s="23" t="n">
        <f aca="false">IF(AND(BB128=1,ISNUMBER(O128)),1,0)</f>
        <v>0</v>
      </c>
      <c r="CR128" s="23" t="n">
        <f aca="false">IF(CQ128=1,IF(COUNTIFS($AZ$2:$AZ$201,AZ128,$CQ$2:$CQ$201,1,$H$2:$H$201,"&lt;"&amp;H128)+COUNTIFS($AZ$2:$AZ$201,AZ128,$CQ$2:$CQ$201,1,$H$2:$H$201,H128,$BA$2:$BA$201,"&lt;"&amp;BA128)=0,1,0),0)</f>
        <v>0</v>
      </c>
      <c r="CS128" s="23" t="str">
        <f aca="false">IF(AND(CR128=1,INT(N(H128))&lt;=Config!$B$5),O128,"")</f>
        <v/>
      </c>
      <c r="CT128" s="23" t="str">
        <f aca="false">IF(AND(BB128=1,INT(N(H128))&lt;=Config!$B$5),AG128&amp;"","")</f>
        <v/>
      </c>
      <c r="CU128" s="23" t="n">
        <f aca="false">IF(AND(BB128=1,AU128="Y"),1,0)</f>
        <v>0</v>
      </c>
      <c r="CV128" s="23" t="n">
        <f aca="false">IF(CU128=1,IF(COUNTIFS($AZ$2:$AZ$201,AZ128,$CU$2:$CU$201,1,$H$2:$H$201,"&lt;"&amp;H128)+COUNTIFS($AZ$2:$AZ$201,AZ128,$CU$2:$CU$201,1,$H$2:$H$201,H128,$BA$2:$BA$201,"&lt;"&amp;BA128)=0,1,0),0)</f>
        <v>0</v>
      </c>
      <c r="CW128" s="23" t="str">
        <f aca="false">IF(BB128=1,IFERROR(MATCH($A128,INDEX(Clay_Offices!$A$2:$FZ$601,0,Sync!$C$5),0),""),"")</f>
        <v/>
      </c>
      <c r="CX128" s="23" t="str">
        <f aca="false">IF(CW128="","",IFERROR(INDEX(Clay_Offices!$A$2:$FZ$601,CW128,Sync!$C$7)&amp;"",""))</f>
        <v/>
      </c>
      <c r="CY128" s="23" t="str">
        <f aca="false">IF(CX128="","",IFERROR(INDEX(Lists!$K$2:$K$15,MATCH(CX128,Lists!$J$2:$J$15,0)),""))</f>
        <v/>
      </c>
      <c r="CZ128" s="23" t="str">
        <f aca="false">IF(CW128="","",IFERROR(INDEX(Clay_Offices!$A$2:$FZ$601,CW128,Sync!$C$17)&amp;"",""))</f>
        <v/>
      </c>
      <c r="DA128" s="35" t="str">
        <f aca="false">IF(CW128="","",IFERROR(N(INDEX(Clay_Offices!$A$2:$FZ$601,CW128,Sync!$C$16)),0))</f>
        <v/>
      </c>
      <c r="DB128" s="23" t="n">
        <f aca="false">IF(AND(BB128=1,OR(AR128="Y",AR128="N",AR128="maybe")),1,0)</f>
        <v>0</v>
      </c>
      <c r="DC128" s="23" t="n">
        <f aca="false">IF(AND(DB128=1),IF(COUNTIFS($A$2:$A$201,$A128,$DB$2:$DB$201,1,$H$2:$H$201,"&gt;"&amp;H128)+COUNTIFS($A$2:$A$201,$A128,$DB$2:$DB$201,1,$H$2:$H$201,H128,$BA$2:$BA$201,"&gt;"&amp;BA128)=0,1,0),0)</f>
        <v>0</v>
      </c>
      <c r="DD128" s="23" t="n">
        <f aca="false">IF(AND(DB128=1,INT(N(H128))&lt;=Config!$B$6),IF(COUNTIFS($AZ$2:$AZ$201,AZ128,$DB$2:$DB$201,1,$H$2:$H$201,"&gt;"&amp;H128,$H$2:$H$201,"&lt;"&amp;(Config!$B$6+1))+COUNTIFS($AZ$2:$AZ$201,AZ128,$DB$2:$DB$201,1,$H$2:$H$201,H128,$BA$2:$BA$201,"&gt;"&amp;BA128)=0,1,0),0)</f>
        <v>0</v>
      </c>
      <c r="DE128" s="23" t="n">
        <f aca="false">IF(AND(DB128=1,INT(N(H128))&lt;=Config!$B$7),IF(COUNTIFS($AZ$2:$AZ$201,AZ128,$DB$2:$DB$201,1,$H$2:$H$201,"&gt;"&amp;H128,$H$2:$H$201,"&lt;"&amp;(Config!$B$7+1))+COUNTIFS($AZ$2:$AZ$201,AZ128,$DB$2:$DB$201,1,$H$2:$H$201,H128,$BA$2:$BA$201,"&gt;"&amp;BA128)=0,1,0),0)</f>
        <v>0</v>
      </c>
      <c r="DF128" s="23" t="n">
        <f aca="false">IF(AND(DB128=1,INT(N(H128))&lt;=Config!$B$8),IF(COUNTIFS($AZ$2:$AZ$201,AZ128,$DB$2:$DB$201,1,$H$2:$H$201,"&gt;"&amp;H128,$H$2:$H$201,"&lt;"&amp;(Config!$B$8+1))+COUNTIFS($AZ$2:$AZ$201,AZ128,$DB$2:$DB$201,1,$H$2:$H$201,H128,$BA$2:$BA$201,"&gt;"&amp;BA128)=0,1,0),0)</f>
        <v>0</v>
      </c>
      <c r="DG128" s="23" t="n">
        <f aca="false">IF(AND(DB128=1,INT(N(H128))&lt;=Config!$B$5),IF(COUNTIFS($AZ$2:$AZ$201,AZ128,$DB$2:$DB$201,1,$H$2:$H$201,"&gt;"&amp;H128,$H$2:$H$201,"&lt;"&amp;(Config!$B$5+1))+COUNTIFS($AZ$2:$AZ$201,AZ128,$DB$2:$DB$201,1,$H$2:$H$201,H128,$BA$2:$BA$201,"&gt;"&amp;BA128)=0,1,0),0)</f>
        <v>0</v>
      </c>
      <c r="DH128" s="23" t="n">
        <f aca="false">IF(BB128=1,IF(COUNTIFS($AZ$2:$AZ$201,AZ128,$DD$2:$DD$201,1,$AR$2:$AR$201,"Y")&gt;0,1,0),0)</f>
        <v>0</v>
      </c>
      <c r="DI128" s="23" t="n">
        <f aca="false">IF(BB128=1,IF(COUNTIFS($AZ$2:$AZ$201,AZ128,$DE$2:$DE$201,1,$AR$2:$AR$201,"Y")&gt;0,1,0),0)</f>
        <v>0</v>
      </c>
      <c r="DJ128" s="23" t="n">
        <f aca="false">IF(BB128=1,IF(COUNTIFS($AZ$2:$AZ$201,AZ128,$DF$2:$DF$201,1,$AR$2:$AR$201,"Y")&gt;0,1,0),0)</f>
        <v>0</v>
      </c>
      <c r="DK128" s="23" t="n">
        <f aca="false">IF(BB128=1,IF(COUNTIFS($AZ$2:$AZ$201,AZ128,$DG$2:$DG$201,1,$AR$2:$AR$201,"Y")&gt;0,1,0),0)</f>
        <v>0</v>
      </c>
      <c r="DL128" s="23" t="n">
        <f aca="false">IF(AND(BF128=1,INT(N(H128))&lt;=Config!$B$6,DH128=1,EI128=0),1,0)</f>
        <v>0</v>
      </c>
      <c r="DM128" s="23" t="n">
        <f aca="false">IF(AND(BF128=1,INT(N(H128))&lt;=Config!$B$7,DI128=1,EI128=0),1,0)</f>
        <v>0</v>
      </c>
      <c r="DN128" s="23" t="n">
        <f aca="false">IF(AND(BF128=1,INT(N(H128))&lt;=Config!$B$8,DJ128=1,EI128=0),1,0)</f>
        <v>0</v>
      </c>
      <c r="DO128" s="23" t="n">
        <f aca="false">IF(AND(BF128=1,INT(N(H128))&lt;=Config!$B$5,DK128=1,EI128=0),1,0)</f>
        <v>0</v>
      </c>
      <c r="DP128" s="23" t="n">
        <f aca="false">IF(AND(CC128=1,INT(N(H128))&lt;=Config!$B$6,DH128=1,EI128=0),1,0)</f>
        <v>0</v>
      </c>
      <c r="DQ128" s="23" t="n">
        <f aca="false">IF(AND(CC128=1,INT(N(H128))&lt;=Config!$B$7,DI128=1,EI128=0),1,0)</f>
        <v>0</v>
      </c>
      <c r="DR128" s="23" t="n">
        <f aca="false">IF(AND(CC128=1,INT(N(H128))&lt;=Config!$B$8,DJ128=1,EI128=0),1,0)</f>
        <v>0</v>
      </c>
      <c r="DS128" s="23" t="n">
        <f aca="false">IF(AND(CC128=1,INT(N(H128))&lt;=Config!$B$5,DK128=1,EI128=0),1,0)</f>
        <v>0</v>
      </c>
      <c r="DT128" s="23" t="n">
        <f aca="false">IF(AND(CC128=1,INT(N(H128))&lt;=Config!$B$6,DH128=0),1,0)</f>
        <v>0</v>
      </c>
      <c r="DU128" s="23" t="n">
        <f aca="false">IF(AND(CC128=1,INT(N(H128))&lt;=Config!$B$7,DI128=0),1,0)</f>
        <v>0</v>
      </c>
      <c r="DV128" s="23" t="n">
        <f aca="false">IF(AND(CC128=1,INT(N(H128))&lt;=Config!$B$8,DJ128=0),1,0)</f>
        <v>0</v>
      </c>
      <c r="DW128" s="23" t="n">
        <f aca="false">IF(AND(CC128=1,INT(N(H128))&lt;=Config!$B$5,DK128=0),1,0)</f>
        <v>0</v>
      </c>
      <c r="DX128" s="23" t="n">
        <f aca="false">IF(TRIM($A128)="",0,ISTEXT(M128)+ISTEXT(O128)+ISTEXT(Y128)+ISTEXT(Z128)+ISTEXT(AA128)+ISTEXT(AV128))</f>
        <v>0</v>
      </c>
      <c r="DY128" s="23" t="n">
        <f aca="false">IF(BB128=1,IF(H128&lt;&gt;INT(H128),1,0),0)</f>
        <v>0</v>
      </c>
      <c r="DZ128" s="23" t="str">
        <f aca="false">IF(TRIM($A128)="","",IF(TRIM(B128)="",SUBSTITUTE(SUBSTITUTE(SUBSTITUTE(SUBSTITUTE(SUBSTITUTE(SUBSTITUTE(LOWER(TRIM($A128)),"~",""),"*",""),"?",""),"&lt;",""),"&gt;",""),"=",""),SUBSTITUTE(SUBSTITUTE(SUBSTITUTE(SUBSTITUTE(SUBSTITUTE(SUBSTITUTE(LOWER(TRIM(B128)),"~",""),"*",""),"?",""),"&lt;",""),"&gt;",""),"=","")))</f>
        <v/>
      </c>
      <c r="EA128" s="23" t="str">
        <f aca="false">IF(CW128="","",IFERROR(IF(LEFT(LOWER(TRIM(INDEX(Clay_Offices!$A$2:$FZ$601,CW128,Sync!$C$19)&amp;"")),4)="grp-",SUBSTITUTE(SUBSTITUTE(SUBSTITUTE(SUBSTITUTE(SUBSTITUTE(SUBSTITUTE(LOWER(TRIM(INDEX(Clay_Offices!$A$2:$FZ$601,CW128,Sync!$C$19)&amp;"")),"~",""),"*",""),"?",""),"&lt;",""),"&gt;",""),"=",""),""),""))</f>
        <v/>
      </c>
      <c r="EB128" s="23" t="str">
        <f aca="false">IF(EA128&lt;&gt;"",DZ128,"")</f>
        <v/>
      </c>
      <c r="EC128" s="23" t="str">
        <f aca="false">IF(BC128=1,AZ128,"")</f>
        <v/>
      </c>
      <c r="ED128" s="23" t="str">
        <f aca="false">IF(TRIM($A128)="","",IFERROR(INDEX($A$2:$A$201,MATCH(AZ128,$EC$2:$EC$201,0))&amp;"",$A128&amp;""))</f>
        <v/>
      </c>
      <c r="EE128" s="23" t="n">
        <f aca="false">IF(BB128=1,IF(COUNTIFS($A$2:$A$201,$A128,$BB$2:$BB$201,1,$H$2:$H$201,"&lt;"&amp;H128)+COUNTIFS($A$2:$A$201,$A128,$BB$2:$BB$201,1,$H$2:$H$201,H128,$BA$2:$BA$201,"&lt;"&amp;BA128)=0,1,0),0)</f>
        <v>0</v>
      </c>
      <c r="EF128" s="23" t="n">
        <f aca="false">IF(BC128=1,IF(COUNTIFS($AZ$2:$AZ$201,AZ128,$EE$2:$EE$201,1)&gt;1,1,0),0)</f>
        <v>0</v>
      </c>
      <c r="EG128" s="23" t="n">
        <f aca="false">IF(AND(CQ128=1),IF(COUNTIFS($AZ$2:$AZ$201,AZ128,$CQ$2:$CQ$201,1,$H$2:$H$201,"&gt;"&amp;H128)+COUNTIFS($AZ$2:$AZ$201,AZ128,$CQ$2:$CQ$201,1,$H$2:$H$201,H128,$BA$2:$BA$201,"&gt;"&amp;BA128)=0,1,0),0)</f>
        <v>0</v>
      </c>
      <c r="EH128" s="23" t="str">
        <f aca="false">IF(BB128=1,IF(COUNTIFS($AZ$2:$AZ$201,AZ128,$EG$2:$EG$201,1)=0,"",SUMIFS($O$2:$O$201,$AZ$2:$AZ$201,AZ128,$EG$2:$EG$201,1)),"")</f>
        <v/>
      </c>
      <c r="EI128" s="23" t="n">
        <f aca="false">IF(AND(ISNUMBER(EH128),OR(N(EH128)&lt;Config!$B$31,N(EH128)&gt;Config!$B$33)),1,0)</f>
        <v>0</v>
      </c>
      <c r="EJ128" s="23" t="n">
        <f aca="false">IF(AND(ISNUMBER(EH128),N(EH128)&gt;=Config!$B$31,N(EH128)&lt;Config!$B$32),1,0)</f>
        <v>0</v>
      </c>
      <c r="EK128" s="23" t="n">
        <f aca="false">IF(AND(BF128=1,INT(N(H128))&lt;=Config!$B$6,DH128=1,EI128=1),1,0)</f>
        <v>0</v>
      </c>
      <c r="EL128" s="23" t="n">
        <f aca="false">IF(AND(BF128=1,INT(N(H128))&lt;=Config!$B$7,DI128=1,EI128=1),1,0)</f>
        <v>0</v>
      </c>
      <c r="EM128" s="23" t="n">
        <f aca="false">IF(AND(BF128=1,INT(N(H128))&lt;=Config!$B$8,DJ128=1,EI128=1),1,0)</f>
        <v>0</v>
      </c>
      <c r="EN128" s="23" t="n">
        <f aca="false">IF(AND(BF128=1,INT(N(H128))&lt;=Config!$B$5,DK128=1,EI128=1),1,0)</f>
        <v>0</v>
      </c>
      <c r="EO128" s="23" t="n">
        <f aca="false">IF(AND(DL128=1,EJ128=1),1,0)</f>
        <v>0</v>
      </c>
      <c r="EP128" s="23" t="n">
        <f aca="false">IF(AND(DM128=1,EJ128=1),1,0)</f>
        <v>0</v>
      </c>
      <c r="EQ128" s="23" t="n">
        <f aca="false">IF(AND(DN128=1,EJ128=1),1,0)</f>
        <v>0</v>
      </c>
      <c r="ER128" s="23" t="n">
        <f aca="false">IF(AND(DO128=1,EJ128=1),1,0)</f>
        <v>0</v>
      </c>
    </row>
    <row r="129" customFormat="false" ht="15" hidden="false" customHeight="false" outlineLevel="0" collapsed="false">
      <c r="G129" s="32"/>
      <c r="H129" s="33"/>
      <c r="I129" s="32"/>
      <c r="L129" s="32"/>
      <c r="Q129" s="32"/>
      <c r="U129" s="32"/>
      <c r="W129" s="32"/>
      <c r="AC129" s="32"/>
      <c r="AF129" s="32"/>
      <c r="AI129" s="32"/>
      <c r="AJ129" s="32"/>
      <c r="AN129" s="32"/>
      <c r="AR129" s="32"/>
      <c r="AT129" s="32"/>
      <c r="AU129" s="32"/>
      <c r="AW129" s="32"/>
      <c r="AY129" s="34" t="str">
        <f aca="false">IF(TRIM($A129)="","",IF(AND(LEFT($A129,6)="SAMPLE",Config!$B$19&lt;&gt;"Y"),"",IF(NOT(ISNUMBER(H129)),"call_date is blank or not a date",IF(Sync!$C$5="","Clay paste is empty or has no row_id column: paste the Clay export on Clay_Offices",IF(CW129="","row_id not found in the Clay paste: add the Clay row or fix the row_id",IF(AND(ISNUMBER(CY129),CY129&gt;=1,CY129&lt;=5),"Clay status is "&amp;CX129&amp;": set call_done or later",IF(AND(BD129=1,CZ129&lt;&gt;BZ129),"Clay yes_in_principle should be "&amp;BZ129,IF(AND(BD129=1,DA129&lt;&gt;H129),"Clay call_date should be "&amp;TEXT(H129,"yyyy-mm-dd"),""))))))))</f>
        <v/>
      </c>
      <c r="AZ129" s="23" t="str">
        <f aca="false">IF(TRIM($A129)="","",IF(TRIM(C129)&lt;&gt;"",SUBSTITUTE(SUBSTITUTE(SUBSTITUTE(SUBSTITUTE(SUBSTITUTE(SUBSTITUTE(LOWER(TRIM(C129)),"~",""),"*",""),"?",""),"&lt;",""),"&gt;",""),"=",""),IF(EA129&lt;&gt;"",EA129,IFERROR(INDEX($EA$2:$EA$201,MATCH(DZ129,$EB$2:$EB$201,0)),DZ129))))</f>
        <v/>
      </c>
      <c r="BA129" s="23" t="n">
        <f aca="false">ROW()</f>
        <v>129</v>
      </c>
      <c r="BB129" s="23" t="n">
        <f aca="false">IF(AND(TRIM($A129)&lt;&gt;"",ISNUMBER(H129)),IF(AND(LEFT($A129,6)="SAMPLE",Config!$B$19&lt;&gt;"Y"),0,1),0)</f>
        <v>0</v>
      </c>
      <c r="BC129" s="23" t="n">
        <f aca="false">IF(BB129=1,IF(COUNTIFS($AZ$2:$AZ$201,AZ129,$BB$2:$BB$201,1,$H$2:$H$201,"&lt;"&amp;H129)+COUNTIFS($AZ$2:$AZ$201,AZ129,$BB$2:$BB$201,1,$H$2:$H$201,H129,$BA$2:$BA$201,"&lt;"&amp;BA129)=0,1,0),0)</f>
        <v>0</v>
      </c>
      <c r="BD129" s="23" t="n">
        <f aca="false">IF(BB129=1,IF(COUNTIFS($A$2:$A$201,$A129,$BB$2:$BB$201,1,$H$2:$H$201,"&gt;"&amp;H129)+COUNTIFS($A$2:$A$201,$A129,$BB$2:$BB$201,1,$H$2:$H$201,H129,$BA$2:$BA$201,"&gt;"&amp;BA129)=0,1,0),0)</f>
        <v>0</v>
      </c>
      <c r="BE129" s="23" t="n">
        <f aca="false">IF(AND(BB129=1,AR129="Y",AC129="Y",TRIM(AH129)&lt;&gt;""),1,0)</f>
        <v>0</v>
      </c>
      <c r="BF129" s="23" t="n">
        <f aca="false">IF(BE129=1,IF(COUNTIFS($AZ$2:$AZ$201,AZ129,$BE$2:$BE$201,1,$H$2:$H$201,"&lt;"&amp;H129)+COUNTIFS($AZ$2:$AZ$201,AZ129,$BE$2:$BE$201,1,$H$2:$H$201,H129,$BA$2:$BA$201,"&lt;"&amp;BA129)=0,1,0),0)</f>
        <v>0</v>
      </c>
      <c r="BG129" s="23" t="n">
        <f aca="false">IF(AND(BB129=1,AR129="Y",BE129=0),1,0)</f>
        <v>0</v>
      </c>
      <c r="BH129" s="23" t="n">
        <f aca="false">IF(AND(BB129=1,ISNUMBER(Y129)),1,0)</f>
        <v>0</v>
      </c>
      <c r="BI129" s="23" t="n">
        <f aca="false">IF(BH129=1,IF(COUNTIFS($AZ$2:$AZ$201,AZ129,$BH$2:$BH$201,1,$H$2:$H$201,"&lt;"&amp;H129)+COUNTIFS($AZ$2:$AZ$201,AZ129,$BH$2:$BH$201,1,$H$2:$H$201,H129,$BA$2:$BA$201,"&lt;"&amp;BA129)=0,1,0),0)</f>
        <v>0</v>
      </c>
      <c r="BJ129" s="23" t="str">
        <f aca="false">IF(AND(BI129=1,INT(N(H129))&lt;=Config!$B$6),Y129,"")</f>
        <v/>
      </c>
      <c r="BK129" s="23" t="str">
        <f aca="false">IF(AND(BI129=1,INT(N(H129))&lt;=Config!$B$7),Y129,"")</f>
        <v/>
      </c>
      <c r="BL129" s="23" t="str">
        <f aca="false">IF(AND(BI129=1,INT(N(H129))&lt;=Config!$B$8),Y129,"")</f>
        <v/>
      </c>
      <c r="BM129" s="23" t="str">
        <f aca="false">IF(AND(BI129=1,INT(N(H129))&lt;=Config!$B$5),Y129,"")</f>
        <v/>
      </c>
      <c r="BN129" s="23" t="n">
        <f aca="false">IF(CD129=1,IF(COUNTIFS($AZ$2:$AZ$201,AZ129,$CD$2:$CD$201,1,$H$2:$H$201,"&lt;"&amp;H129)+COUNTIFS($AZ$2:$AZ$201,AZ129,$CD$2:$CD$201,1,$H$2:$H$201,H129,$BA$2:$BA$201,"&lt;"&amp;BA129)=0,1,0),0)</f>
        <v>0</v>
      </c>
      <c r="BO129" s="23" t="n">
        <f aca="false">IF(AND(BB129=1,ISNUMBER(M129)),1,0)</f>
        <v>0</v>
      </c>
      <c r="BP129" s="23" t="n">
        <f aca="false">IF(BO129=1,IF(COUNTIFS($AZ$2:$AZ$201,AZ129,$BO$2:$BO$201,1,$H$2:$H$201,"&lt;"&amp;H129)+COUNTIFS($AZ$2:$AZ$201,AZ129,$BO$2:$BO$201,1,$H$2:$H$201,H129,$BA$2:$BA$201,"&lt;"&amp;BA129)=0,1,0),0)</f>
        <v>0</v>
      </c>
      <c r="BQ129" s="23" t="str">
        <f aca="false">IF(AND(BP129=1,INT(N(H129))&lt;=Config!$B$5),M129,"")</f>
        <v/>
      </c>
      <c r="BR129" s="23" t="n">
        <f aca="false">IF(AND(BB129=1,OR(TRIM(X129)&lt;&gt;"",ISNUMBER(Y129))),1,0)</f>
        <v>0</v>
      </c>
      <c r="BS129" s="23" t="n">
        <f aca="false">IF(BR129=1,IF(COUNTIFS($AZ$2:$AZ$201,AZ129,$BR$2:$BR$201,1,$H$2:$H$201,"&lt;"&amp;H129)+COUNTIFS($AZ$2:$AZ$201,AZ129,$BR$2:$BR$201,1,$H$2:$H$201,H129,$BA$2:$BA$201,"&lt;"&amp;BA129)=0,1,0),0)</f>
        <v>0</v>
      </c>
      <c r="BT129" s="23" t="str">
        <f aca="false">IF(BS129=1,AZ129,"")</f>
        <v/>
      </c>
      <c r="BU129" s="23" t="n">
        <f aca="false">IF(AND(BB129=1,W129="Y",TRIM(X129)=""),1,0)</f>
        <v>0</v>
      </c>
      <c r="BV129" s="23" t="str">
        <f aca="false">IF(BB129=1,AN129&amp;"","")</f>
        <v/>
      </c>
      <c r="BW129" s="23" t="str">
        <f aca="false">IF(BB129=1,AO129&amp;"","")</f>
        <v/>
      </c>
      <c r="BX129" s="23" t="str">
        <f aca="false">IF(BB129=1,AP129&amp;"","")</f>
        <v/>
      </c>
      <c r="BY129" s="23" t="str">
        <f aca="false">IF(AND(BB129=1,ISNUMBER(AV129),INT(N(H129))&lt;=Config!$B$5),AV129,"")</f>
        <v/>
      </c>
      <c r="BZ129" s="23" t="str">
        <f aca="false">IF(BB129=1,IF(COUNTIFS($A$2:$A$201,$A129,$DC$2:$DC$201,1,$AR$2:$AR$201,"Y")&gt;0,"Y","N"),"")</f>
        <v/>
      </c>
      <c r="CA129" s="23" t="n">
        <f aca="false">IF(AND(BB129=1,AR129="maybe"),1,0)</f>
        <v>0</v>
      </c>
      <c r="CB129" s="23" t="n">
        <f aca="false">IF(CA129=1,IF(COUNTIFS($AZ$2:$AZ$201,AZ129,$CA$2:$CA$201,1,$H$2:$H$201,"&lt;"&amp;H129)+COUNTIFS($AZ$2:$AZ$201,AZ129,$CA$2:$CA$201,1,$H$2:$H$201,H129,$BA$2:$BA$201,"&lt;"&amp;BA129)=0,1,0),0)</f>
        <v>0</v>
      </c>
      <c r="CC129" s="23" t="n">
        <f aca="false">IF(AND(BB129=1,AR129="Y"),IF(COUNTIFS($AZ$2:$AZ$201,AZ129,$AR$2:$AR$201,"Y",$BB$2:$BB$201,1,$H$2:$H$201,"&lt;"&amp;H129)+COUNTIFS($AZ$2:$AZ$201,AZ129,$AR$2:$AR$201,"Y",$BB$2:$BB$201,1,$H$2:$H$201,H129,$BA$2:$BA$201,"&lt;"&amp;BA129)=0,1,0),0)</f>
        <v>0</v>
      </c>
      <c r="CD129" s="23" t="n">
        <f aca="false">IF(AND(BH129=1,N(Y129)&gt;=Config!$B$15),1,0)</f>
        <v>0</v>
      </c>
      <c r="CE129" s="23" t="n">
        <f aca="false">IF(AND(BB129=1,AT129="Y"),1,0)</f>
        <v>0</v>
      </c>
      <c r="CF129" s="23" t="n">
        <f aca="false">IF(CE129=1,IF(COUNTIFS($AZ$2:$AZ$201,AZ129,$CE$2:$CE$201,1,$H$2:$H$201,"&lt;"&amp;H129)+COUNTIFS($AZ$2:$AZ$201,AZ129,$CE$2:$CE$201,1,$H$2:$H$201,H129,$BA$2:$BA$201,"&lt;"&amp;BA129)=0,1,0),0)</f>
        <v>0</v>
      </c>
      <c r="CG129" s="23" t="n">
        <f aca="false">IF(AND(BB129=1,G129="warm-intro"),1,0)</f>
        <v>0</v>
      </c>
      <c r="CH129" s="23" t="n">
        <f aca="false">IF(CG129=1,IF(COUNTIFS($AZ$2:$AZ$201,AZ129,$CG$2:$CG$201,1,$H$2:$H$201,"&lt;"&amp;H129)+COUNTIFS($AZ$2:$AZ$201,AZ129,$CG$2:$CG$201,1,$H$2:$H$201,H129,$BA$2:$BA$201,"&lt;"&amp;BA129)=0,1,0),0)</f>
        <v>0</v>
      </c>
      <c r="CI129" s="23" t="n">
        <f aca="false">IF(AND(BB129=1,Q129="Y"),1,0)</f>
        <v>0</v>
      </c>
      <c r="CJ129" s="23" t="n">
        <f aca="false">IF(CI129=1,IF(COUNTIFS($AZ$2:$AZ$201,AZ129,$CI$2:$CI$201,1,$H$2:$H$201,"&lt;"&amp;H129)+COUNTIFS($AZ$2:$AZ$201,AZ129,$CI$2:$CI$201,1,$H$2:$H$201,H129,$BA$2:$BA$201,"&lt;"&amp;BA129)=0,1,0),0)</f>
        <v>0</v>
      </c>
      <c r="CK129" s="23" t="n">
        <f aca="false">IF(AND(BB129=1,AF129="Y"),1,0)</f>
        <v>0</v>
      </c>
      <c r="CL129" s="23" t="n">
        <f aca="false">IF(CK129=1,IF(COUNTIFS($AZ$2:$AZ$201,AZ129,$CK$2:$CK$201,1,$H$2:$H$201,"&lt;"&amp;H129)+COUNTIFS($AZ$2:$AZ$201,AZ129,$CK$2:$CK$201,1,$H$2:$H$201,H129,$BA$2:$BA$201,"&lt;"&amp;BA129)=0,1,0),0)</f>
        <v>0</v>
      </c>
      <c r="CM129" s="23" t="n">
        <f aca="false">IF(AND(BB129=1,U129="Y"),1,0)</f>
        <v>0</v>
      </c>
      <c r="CN129" s="23" t="n">
        <f aca="false">IF(CM129=1,IF(COUNTIFS($AZ$2:$AZ$201,AZ129,$CM$2:$CM$201,1,$H$2:$H$201,"&lt;"&amp;H129)+COUNTIFS($AZ$2:$AZ$201,AZ129,$CM$2:$CM$201,1,$H$2:$H$201,H129,$BA$2:$BA$201,"&lt;"&amp;BA129)=0,1,0),0)</f>
        <v>0</v>
      </c>
      <c r="CO129" s="23" t="n">
        <f aca="false">IF(AND(BB129=1,L129="Y"),1,0)</f>
        <v>0</v>
      </c>
      <c r="CP129" s="23" t="n">
        <f aca="false">IF(CO129=1,IF(COUNTIFS($AZ$2:$AZ$201,AZ129,$CO$2:$CO$201,1,$H$2:$H$201,"&lt;"&amp;H129)+COUNTIFS($AZ$2:$AZ$201,AZ129,$CO$2:$CO$201,1,$H$2:$H$201,H129,$BA$2:$BA$201,"&lt;"&amp;BA129)=0,1,0),0)</f>
        <v>0</v>
      </c>
      <c r="CQ129" s="23" t="n">
        <f aca="false">IF(AND(BB129=1,ISNUMBER(O129)),1,0)</f>
        <v>0</v>
      </c>
      <c r="CR129" s="23" t="n">
        <f aca="false">IF(CQ129=1,IF(COUNTIFS($AZ$2:$AZ$201,AZ129,$CQ$2:$CQ$201,1,$H$2:$H$201,"&lt;"&amp;H129)+COUNTIFS($AZ$2:$AZ$201,AZ129,$CQ$2:$CQ$201,1,$H$2:$H$201,H129,$BA$2:$BA$201,"&lt;"&amp;BA129)=0,1,0),0)</f>
        <v>0</v>
      </c>
      <c r="CS129" s="23" t="str">
        <f aca="false">IF(AND(CR129=1,INT(N(H129))&lt;=Config!$B$5),O129,"")</f>
        <v/>
      </c>
      <c r="CT129" s="23" t="str">
        <f aca="false">IF(AND(BB129=1,INT(N(H129))&lt;=Config!$B$5),AG129&amp;"","")</f>
        <v/>
      </c>
      <c r="CU129" s="23" t="n">
        <f aca="false">IF(AND(BB129=1,AU129="Y"),1,0)</f>
        <v>0</v>
      </c>
      <c r="CV129" s="23" t="n">
        <f aca="false">IF(CU129=1,IF(COUNTIFS($AZ$2:$AZ$201,AZ129,$CU$2:$CU$201,1,$H$2:$H$201,"&lt;"&amp;H129)+COUNTIFS($AZ$2:$AZ$201,AZ129,$CU$2:$CU$201,1,$H$2:$H$201,H129,$BA$2:$BA$201,"&lt;"&amp;BA129)=0,1,0),0)</f>
        <v>0</v>
      </c>
      <c r="CW129" s="23" t="str">
        <f aca="false">IF(BB129=1,IFERROR(MATCH($A129,INDEX(Clay_Offices!$A$2:$FZ$601,0,Sync!$C$5),0),""),"")</f>
        <v/>
      </c>
      <c r="CX129" s="23" t="str">
        <f aca="false">IF(CW129="","",IFERROR(INDEX(Clay_Offices!$A$2:$FZ$601,CW129,Sync!$C$7)&amp;"",""))</f>
        <v/>
      </c>
      <c r="CY129" s="23" t="str">
        <f aca="false">IF(CX129="","",IFERROR(INDEX(Lists!$K$2:$K$15,MATCH(CX129,Lists!$J$2:$J$15,0)),""))</f>
        <v/>
      </c>
      <c r="CZ129" s="23" t="str">
        <f aca="false">IF(CW129="","",IFERROR(INDEX(Clay_Offices!$A$2:$FZ$601,CW129,Sync!$C$17)&amp;"",""))</f>
        <v/>
      </c>
      <c r="DA129" s="35" t="str">
        <f aca="false">IF(CW129="","",IFERROR(N(INDEX(Clay_Offices!$A$2:$FZ$601,CW129,Sync!$C$16)),0))</f>
        <v/>
      </c>
      <c r="DB129" s="23" t="n">
        <f aca="false">IF(AND(BB129=1,OR(AR129="Y",AR129="N",AR129="maybe")),1,0)</f>
        <v>0</v>
      </c>
      <c r="DC129" s="23" t="n">
        <f aca="false">IF(AND(DB129=1),IF(COUNTIFS($A$2:$A$201,$A129,$DB$2:$DB$201,1,$H$2:$H$201,"&gt;"&amp;H129)+COUNTIFS($A$2:$A$201,$A129,$DB$2:$DB$201,1,$H$2:$H$201,H129,$BA$2:$BA$201,"&gt;"&amp;BA129)=0,1,0),0)</f>
        <v>0</v>
      </c>
      <c r="DD129" s="23" t="n">
        <f aca="false">IF(AND(DB129=1,INT(N(H129))&lt;=Config!$B$6),IF(COUNTIFS($AZ$2:$AZ$201,AZ129,$DB$2:$DB$201,1,$H$2:$H$201,"&gt;"&amp;H129,$H$2:$H$201,"&lt;"&amp;(Config!$B$6+1))+COUNTIFS($AZ$2:$AZ$201,AZ129,$DB$2:$DB$201,1,$H$2:$H$201,H129,$BA$2:$BA$201,"&gt;"&amp;BA129)=0,1,0),0)</f>
        <v>0</v>
      </c>
      <c r="DE129" s="23" t="n">
        <f aca="false">IF(AND(DB129=1,INT(N(H129))&lt;=Config!$B$7),IF(COUNTIFS($AZ$2:$AZ$201,AZ129,$DB$2:$DB$201,1,$H$2:$H$201,"&gt;"&amp;H129,$H$2:$H$201,"&lt;"&amp;(Config!$B$7+1))+COUNTIFS($AZ$2:$AZ$201,AZ129,$DB$2:$DB$201,1,$H$2:$H$201,H129,$BA$2:$BA$201,"&gt;"&amp;BA129)=0,1,0),0)</f>
        <v>0</v>
      </c>
      <c r="DF129" s="23" t="n">
        <f aca="false">IF(AND(DB129=1,INT(N(H129))&lt;=Config!$B$8),IF(COUNTIFS($AZ$2:$AZ$201,AZ129,$DB$2:$DB$201,1,$H$2:$H$201,"&gt;"&amp;H129,$H$2:$H$201,"&lt;"&amp;(Config!$B$8+1))+COUNTIFS($AZ$2:$AZ$201,AZ129,$DB$2:$DB$201,1,$H$2:$H$201,H129,$BA$2:$BA$201,"&gt;"&amp;BA129)=0,1,0),0)</f>
        <v>0</v>
      </c>
      <c r="DG129" s="23" t="n">
        <f aca="false">IF(AND(DB129=1,INT(N(H129))&lt;=Config!$B$5),IF(COUNTIFS($AZ$2:$AZ$201,AZ129,$DB$2:$DB$201,1,$H$2:$H$201,"&gt;"&amp;H129,$H$2:$H$201,"&lt;"&amp;(Config!$B$5+1))+COUNTIFS($AZ$2:$AZ$201,AZ129,$DB$2:$DB$201,1,$H$2:$H$201,H129,$BA$2:$BA$201,"&gt;"&amp;BA129)=0,1,0),0)</f>
        <v>0</v>
      </c>
      <c r="DH129" s="23" t="n">
        <f aca="false">IF(BB129=1,IF(COUNTIFS($AZ$2:$AZ$201,AZ129,$DD$2:$DD$201,1,$AR$2:$AR$201,"Y")&gt;0,1,0),0)</f>
        <v>0</v>
      </c>
      <c r="DI129" s="23" t="n">
        <f aca="false">IF(BB129=1,IF(COUNTIFS($AZ$2:$AZ$201,AZ129,$DE$2:$DE$201,1,$AR$2:$AR$201,"Y")&gt;0,1,0),0)</f>
        <v>0</v>
      </c>
      <c r="DJ129" s="23" t="n">
        <f aca="false">IF(BB129=1,IF(COUNTIFS($AZ$2:$AZ$201,AZ129,$DF$2:$DF$201,1,$AR$2:$AR$201,"Y")&gt;0,1,0),0)</f>
        <v>0</v>
      </c>
      <c r="DK129" s="23" t="n">
        <f aca="false">IF(BB129=1,IF(COUNTIFS($AZ$2:$AZ$201,AZ129,$DG$2:$DG$201,1,$AR$2:$AR$201,"Y")&gt;0,1,0),0)</f>
        <v>0</v>
      </c>
      <c r="DL129" s="23" t="n">
        <f aca="false">IF(AND(BF129=1,INT(N(H129))&lt;=Config!$B$6,DH129=1,EI129=0),1,0)</f>
        <v>0</v>
      </c>
      <c r="DM129" s="23" t="n">
        <f aca="false">IF(AND(BF129=1,INT(N(H129))&lt;=Config!$B$7,DI129=1,EI129=0),1,0)</f>
        <v>0</v>
      </c>
      <c r="DN129" s="23" t="n">
        <f aca="false">IF(AND(BF129=1,INT(N(H129))&lt;=Config!$B$8,DJ129=1,EI129=0),1,0)</f>
        <v>0</v>
      </c>
      <c r="DO129" s="23" t="n">
        <f aca="false">IF(AND(BF129=1,INT(N(H129))&lt;=Config!$B$5,DK129=1,EI129=0),1,0)</f>
        <v>0</v>
      </c>
      <c r="DP129" s="23" t="n">
        <f aca="false">IF(AND(CC129=1,INT(N(H129))&lt;=Config!$B$6,DH129=1,EI129=0),1,0)</f>
        <v>0</v>
      </c>
      <c r="DQ129" s="23" t="n">
        <f aca="false">IF(AND(CC129=1,INT(N(H129))&lt;=Config!$B$7,DI129=1,EI129=0),1,0)</f>
        <v>0</v>
      </c>
      <c r="DR129" s="23" t="n">
        <f aca="false">IF(AND(CC129=1,INT(N(H129))&lt;=Config!$B$8,DJ129=1,EI129=0),1,0)</f>
        <v>0</v>
      </c>
      <c r="DS129" s="23" t="n">
        <f aca="false">IF(AND(CC129=1,INT(N(H129))&lt;=Config!$B$5,DK129=1,EI129=0),1,0)</f>
        <v>0</v>
      </c>
      <c r="DT129" s="23" t="n">
        <f aca="false">IF(AND(CC129=1,INT(N(H129))&lt;=Config!$B$6,DH129=0),1,0)</f>
        <v>0</v>
      </c>
      <c r="DU129" s="23" t="n">
        <f aca="false">IF(AND(CC129=1,INT(N(H129))&lt;=Config!$B$7,DI129=0),1,0)</f>
        <v>0</v>
      </c>
      <c r="DV129" s="23" t="n">
        <f aca="false">IF(AND(CC129=1,INT(N(H129))&lt;=Config!$B$8,DJ129=0),1,0)</f>
        <v>0</v>
      </c>
      <c r="DW129" s="23" t="n">
        <f aca="false">IF(AND(CC129=1,INT(N(H129))&lt;=Config!$B$5,DK129=0),1,0)</f>
        <v>0</v>
      </c>
      <c r="DX129" s="23" t="n">
        <f aca="false">IF(TRIM($A129)="",0,ISTEXT(M129)+ISTEXT(O129)+ISTEXT(Y129)+ISTEXT(Z129)+ISTEXT(AA129)+ISTEXT(AV129))</f>
        <v>0</v>
      </c>
      <c r="DY129" s="23" t="n">
        <f aca="false">IF(BB129=1,IF(H129&lt;&gt;INT(H129),1,0),0)</f>
        <v>0</v>
      </c>
      <c r="DZ129" s="23" t="str">
        <f aca="false">IF(TRIM($A129)="","",IF(TRIM(B129)="",SUBSTITUTE(SUBSTITUTE(SUBSTITUTE(SUBSTITUTE(SUBSTITUTE(SUBSTITUTE(LOWER(TRIM($A129)),"~",""),"*",""),"?",""),"&lt;",""),"&gt;",""),"=",""),SUBSTITUTE(SUBSTITUTE(SUBSTITUTE(SUBSTITUTE(SUBSTITUTE(SUBSTITUTE(LOWER(TRIM(B129)),"~",""),"*",""),"?",""),"&lt;",""),"&gt;",""),"=","")))</f>
        <v/>
      </c>
      <c r="EA129" s="23" t="str">
        <f aca="false">IF(CW129="","",IFERROR(IF(LEFT(LOWER(TRIM(INDEX(Clay_Offices!$A$2:$FZ$601,CW129,Sync!$C$19)&amp;"")),4)="grp-",SUBSTITUTE(SUBSTITUTE(SUBSTITUTE(SUBSTITUTE(SUBSTITUTE(SUBSTITUTE(LOWER(TRIM(INDEX(Clay_Offices!$A$2:$FZ$601,CW129,Sync!$C$19)&amp;"")),"~",""),"*",""),"?",""),"&lt;",""),"&gt;",""),"=",""),""),""))</f>
        <v/>
      </c>
      <c r="EB129" s="23" t="str">
        <f aca="false">IF(EA129&lt;&gt;"",DZ129,"")</f>
        <v/>
      </c>
      <c r="EC129" s="23" t="str">
        <f aca="false">IF(BC129=1,AZ129,"")</f>
        <v/>
      </c>
      <c r="ED129" s="23" t="str">
        <f aca="false">IF(TRIM($A129)="","",IFERROR(INDEX($A$2:$A$201,MATCH(AZ129,$EC$2:$EC$201,0))&amp;"",$A129&amp;""))</f>
        <v/>
      </c>
      <c r="EE129" s="23" t="n">
        <f aca="false">IF(BB129=1,IF(COUNTIFS($A$2:$A$201,$A129,$BB$2:$BB$201,1,$H$2:$H$201,"&lt;"&amp;H129)+COUNTIFS($A$2:$A$201,$A129,$BB$2:$BB$201,1,$H$2:$H$201,H129,$BA$2:$BA$201,"&lt;"&amp;BA129)=0,1,0),0)</f>
        <v>0</v>
      </c>
      <c r="EF129" s="23" t="n">
        <f aca="false">IF(BC129=1,IF(COUNTIFS($AZ$2:$AZ$201,AZ129,$EE$2:$EE$201,1)&gt;1,1,0),0)</f>
        <v>0</v>
      </c>
      <c r="EG129" s="23" t="n">
        <f aca="false">IF(AND(CQ129=1),IF(COUNTIFS($AZ$2:$AZ$201,AZ129,$CQ$2:$CQ$201,1,$H$2:$H$201,"&gt;"&amp;H129)+COUNTIFS($AZ$2:$AZ$201,AZ129,$CQ$2:$CQ$201,1,$H$2:$H$201,H129,$BA$2:$BA$201,"&gt;"&amp;BA129)=0,1,0),0)</f>
        <v>0</v>
      </c>
      <c r="EH129" s="23" t="str">
        <f aca="false">IF(BB129=1,IF(COUNTIFS($AZ$2:$AZ$201,AZ129,$EG$2:$EG$201,1)=0,"",SUMIFS($O$2:$O$201,$AZ$2:$AZ$201,AZ129,$EG$2:$EG$201,1)),"")</f>
        <v/>
      </c>
      <c r="EI129" s="23" t="n">
        <f aca="false">IF(AND(ISNUMBER(EH129),OR(N(EH129)&lt;Config!$B$31,N(EH129)&gt;Config!$B$33)),1,0)</f>
        <v>0</v>
      </c>
      <c r="EJ129" s="23" t="n">
        <f aca="false">IF(AND(ISNUMBER(EH129),N(EH129)&gt;=Config!$B$31,N(EH129)&lt;Config!$B$32),1,0)</f>
        <v>0</v>
      </c>
      <c r="EK129" s="23" t="n">
        <f aca="false">IF(AND(BF129=1,INT(N(H129))&lt;=Config!$B$6,DH129=1,EI129=1),1,0)</f>
        <v>0</v>
      </c>
      <c r="EL129" s="23" t="n">
        <f aca="false">IF(AND(BF129=1,INT(N(H129))&lt;=Config!$B$7,DI129=1,EI129=1),1,0)</f>
        <v>0</v>
      </c>
      <c r="EM129" s="23" t="n">
        <f aca="false">IF(AND(BF129=1,INT(N(H129))&lt;=Config!$B$8,DJ129=1,EI129=1),1,0)</f>
        <v>0</v>
      </c>
      <c r="EN129" s="23" t="n">
        <f aca="false">IF(AND(BF129=1,INT(N(H129))&lt;=Config!$B$5,DK129=1,EI129=1),1,0)</f>
        <v>0</v>
      </c>
      <c r="EO129" s="23" t="n">
        <f aca="false">IF(AND(DL129=1,EJ129=1),1,0)</f>
        <v>0</v>
      </c>
      <c r="EP129" s="23" t="n">
        <f aca="false">IF(AND(DM129=1,EJ129=1),1,0)</f>
        <v>0</v>
      </c>
      <c r="EQ129" s="23" t="n">
        <f aca="false">IF(AND(DN129=1,EJ129=1),1,0)</f>
        <v>0</v>
      </c>
      <c r="ER129" s="23" t="n">
        <f aca="false">IF(AND(DO129=1,EJ129=1),1,0)</f>
        <v>0</v>
      </c>
    </row>
    <row r="130" customFormat="false" ht="15" hidden="false" customHeight="false" outlineLevel="0" collapsed="false">
      <c r="G130" s="32"/>
      <c r="H130" s="33"/>
      <c r="I130" s="32"/>
      <c r="L130" s="32"/>
      <c r="Q130" s="32"/>
      <c r="U130" s="32"/>
      <c r="W130" s="32"/>
      <c r="AC130" s="32"/>
      <c r="AF130" s="32"/>
      <c r="AI130" s="32"/>
      <c r="AJ130" s="32"/>
      <c r="AN130" s="32"/>
      <c r="AR130" s="32"/>
      <c r="AT130" s="32"/>
      <c r="AU130" s="32"/>
      <c r="AW130" s="32"/>
      <c r="AY130" s="34" t="str">
        <f aca="false">IF(TRIM($A130)="","",IF(AND(LEFT($A130,6)="SAMPLE",Config!$B$19&lt;&gt;"Y"),"",IF(NOT(ISNUMBER(H130)),"call_date is blank or not a date",IF(Sync!$C$5="","Clay paste is empty or has no row_id column: paste the Clay export on Clay_Offices",IF(CW130="","row_id not found in the Clay paste: add the Clay row or fix the row_id",IF(AND(ISNUMBER(CY130),CY130&gt;=1,CY130&lt;=5),"Clay status is "&amp;CX130&amp;": set call_done or later",IF(AND(BD130=1,CZ130&lt;&gt;BZ130),"Clay yes_in_principle should be "&amp;BZ130,IF(AND(BD130=1,DA130&lt;&gt;H130),"Clay call_date should be "&amp;TEXT(H130,"yyyy-mm-dd"),""))))))))</f>
        <v/>
      </c>
      <c r="AZ130" s="23" t="str">
        <f aca="false">IF(TRIM($A130)="","",IF(TRIM(C130)&lt;&gt;"",SUBSTITUTE(SUBSTITUTE(SUBSTITUTE(SUBSTITUTE(SUBSTITUTE(SUBSTITUTE(LOWER(TRIM(C130)),"~",""),"*",""),"?",""),"&lt;",""),"&gt;",""),"=",""),IF(EA130&lt;&gt;"",EA130,IFERROR(INDEX($EA$2:$EA$201,MATCH(DZ130,$EB$2:$EB$201,0)),DZ130))))</f>
        <v/>
      </c>
      <c r="BA130" s="23" t="n">
        <f aca="false">ROW()</f>
        <v>130</v>
      </c>
      <c r="BB130" s="23" t="n">
        <f aca="false">IF(AND(TRIM($A130)&lt;&gt;"",ISNUMBER(H130)),IF(AND(LEFT($A130,6)="SAMPLE",Config!$B$19&lt;&gt;"Y"),0,1),0)</f>
        <v>0</v>
      </c>
      <c r="BC130" s="23" t="n">
        <f aca="false">IF(BB130=1,IF(COUNTIFS($AZ$2:$AZ$201,AZ130,$BB$2:$BB$201,1,$H$2:$H$201,"&lt;"&amp;H130)+COUNTIFS($AZ$2:$AZ$201,AZ130,$BB$2:$BB$201,1,$H$2:$H$201,H130,$BA$2:$BA$201,"&lt;"&amp;BA130)=0,1,0),0)</f>
        <v>0</v>
      </c>
      <c r="BD130" s="23" t="n">
        <f aca="false">IF(BB130=1,IF(COUNTIFS($A$2:$A$201,$A130,$BB$2:$BB$201,1,$H$2:$H$201,"&gt;"&amp;H130)+COUNTIFS($A$2:$A$201,$A130,$BB$2:$BB$201,1,$H$2:$H$201,H130,$BA$2:$BA$201,"&gt;"&amp;BA130)=0,1,0),0)</f>
        <v>0</v>
      </c>
      <c r="BE130" s="23" t="n">
        <f aca="false">IF(AND(BB130=1,AR130="Y",AC130="Y",TRIM(AH130)&lt;&gt;""),1,0)</f>
        <v>0</v>
      </c>
      <c r="BF130" s="23" t="n">
        <f aca="false">IF(BE130=1,IF(COUNTIFS($AZ$2:$AZ$201,AZ130,$BE$2:$BE$201,1,$H$2:$H$201,"&lt;"&amp;H130)+COUNTIFS($AZ$2:$AZ$201,AZ130,$BE$2:$BE$201,1,$H$2:$H$201,H130,$BA$2:$BA$201,"&lt;"&amp;BA130)=0,1,0),0)</f>
        <v>0</v>
      </c>
      <c r="BG130" s="23" t="n">
        <f aca="false">IF(AND(BB130=1,AR130="Y",BE130=0),1,0)</f>
        <v>0</v>
      </c>
      <c r="BH130" s="23" t="n">
        <f aca="false">IF(AND(BB130=1,ISNUMBER(Y130)),1,0)</f>
        <v>0</v>
      </c>
      <c r="BI130" s="23" t="n">
        <f aca="false">IF(BH130=1,IF(COUNTIFS($AZ$2:$AZ$201,AZ130,$BH$2:$BH$201,1,$H$2:$H$201,"&lt;"&amp;H130)+COUNTIFS($AZ$2:$AZ$201,AZ130,$BH$2:$BH$201,1,$H$2:$H$201,H130,$BA$2:$BA$201,"&lt;"&amp;BA130)=0,1,0),0)</f>
        <v>0</v>
      </c>
      <c r="BJ130" s="23" t="str">
        <f aca="false">IF(AND(BI130=1,INT(N(H130))&lt;=Config!$B$6),Y130,"")</f>
        <v/>
      </c>
      <c r="BK130" s="23" t="str">
        <f aca="false">IF(AND(BI130=1,INT(N(H130))&lt;=Config!$B$7),Y130,"")</f>
        <v/>
      </c>
      <c r="BL130" s="23" t="str">
        <f aca="false">IF(AND(BI130=1,INT(N(H130))&lt;=Config!$B$8),Y130,"")</f>
        <v/>
      </c>
      <c r="BM130" s="23" t="str">
        <f aca="false">IF(AND(BI130=1,INT(N(H130))&lt;=Config!$B$5),Y130,"")</f>
        <v/>
      </c>
      <c r="BN130" s="23" t="n">
        <f aca="false">IF(CD130=1,IF(COUNTIFS($AZ$2:$AZ$201,AZ130,$CD$2:$CD$201,1,$H$2:$H$201,"&lt;"&amp;H130)+COUNTIFS($AZ$2:$AZ$201,AZ130,$CD$2:$CD$201,1,$H$2:$H$201,H130,$BA$2:$BA$201,"&lt;"&amp;BA130)=0,1,0),0)</f>
        <v>0</v>
      </c>
      <c r="BO130" s="23" t="n">
        <f aca="false">IF(AND(BB130=1,ISNUMBER(M130)),1,0)</f>
        <v>0</v>
      </c>
      <c r="BP130" s="23" t="n">
        <f aca="false">IF(BO130=1,IF(COUNTIFS($AZ$2:$AZ$201,AZ130,$BO$2:$BO$201,1,$H$2:$H$201,"&lt;"&amp;H130)+COUNTIFS($AZ$2:$AZ$201,AZ130,$BO$2:$BO$201,1,$H$2:$H$201,H130,$BA$2:$BA$201,"&lt;"&amp;BA130)=0,1,0),0)</f>
        <v>0</v>
      </c>
      <c r="BQ130" s="23" t="str">
        <f aca="false">IF(AND(BP130=1,INT(N(H130))&lt;=Config!$B$5),M130,"")</f>
        <v/>
      </c>
      <c r="BR130" s="23" t="n">
        <f aca="false">IF(AND(BB130=1,OR(TRIM(X130)&lt;&gt;"",ISNUMBER(Y130))),1,0)</f>
        <v>0</v>
      </c>
      <c r="BS130" s="23" t="n">
        <f aca="false">IF(BR130=1,IF(COUNTIFS($AZ$2:$AZ$201,AZ130,$BR$2:$BR$201,1,$H$2:$H$201,"&lt;"&amp;H130)+COUNTIFS($AZ$2:$AZ$201,AZ130,$BR$2:$BR$201,1,$H$2:$H$201,H130,$BA$2:$BA$201,"&lt;"&amp;BA130)=0,1,0),0)</f>
        <v>0</v>
      </c>
      <c r="BT130" s="23" t="str">
        <f aca="false">IF(BS130=1,AZ130,"")</f>
        <v/>
      </c>
      <c r="BU130" s="23" t="n">
        <f aca="false">IF(AND(BB130=1,W130="Y",TRIM(X130)=""),1,0)</f>
        <v>0</v>
      </c>
      <c r="BV130" s="23" t="str">
        <f aca="false">IF(BB130=1,AN130&amp;"","")</f>
        <v/>
      </c>
      <c r="BW130" s="23" t="str">
        <f aca="false">IF(BB130=1,AO130&amp;"","")</f>
        <v/>
      </c>
      <c r="BX130" s="23" t="str">
        <f aca="false">IF(BB130=1,AP130&amp;"","")</f>
        <v/>
      </c>
      <c r="BY130" s="23" t="str">
        <f aca="false">IF(AND(BB130=1,ISNUMBER(AV130),INT(N(H130))&lt;=Config!$B$5),AV130,"")</f>
        <v/>
      </c>
      <c r="BZ130" s="23" t="str">
        <f aca="false">IF(BB130=1,IF(COUNTIFS($A$2:$A$201,$A130,$DC$2:$DC$201,1,$AR$2:$AR$201,"Y")&gt;0,"Y","N"),"")</f>
        <v/>
      </c>
      <c r="CA130" s="23" t="n">
        <f aca="false">IF(AND(BB130=1,AR130="maybe"),1,0)</f>
        <v>0</v>
      </c>
      <c r="CB130" s="23" t="n">
        <f aca="false">IF(CA130=1,IF(COUNTIFS($AZ$2:$AZ$201,AZ130,$CA$2:$CA$201,1,$H$2:$H$201,"&lt;"&amp;H130)+COUNTIFS($AZ$2:$AZ$201,AZ130,$CA$2:$CA$201,1,$H$2:$H$201,H130,$BA$2:$BA$201,"&lt;"&amp;BA130)=0,1,0),0)</f>
        <v>0</v>
      </c>
      <c r="CC130" s="23" t="n">
        <f aca="false">IF(AND(BB130=1,AR130="Y"),IF(COUNTIFS($AZ$2:$AZ$201,AZ130,$AR$2:$AR$201,"Y",$BB$2:$BB$201,1,$H$2:$H$201,"&lt;"&amp;H130)+COUNTIFS($AZ$2:$AZ$201,AZ130,$AR$2:$AR$201,"Y",$BB$2:$BB$201,1,$H$2:$H$201,H130,$BA$2:$BA$201,"&lt;"&amp;BA130)=0,1,0),0)</f>
        <v>0</v>
      </c>
      <c r="CD130" s="23" t="n">
        <f aca="false">IF(AND(BH130=1,N(Y130)&gt;=Config!$B$15),1,0)</f>
        <v>0</v>
      </c>
      <c r="CE130" s="23" t="n">
        <f aca="false">IF(AND(BB130=1,AT130="Y"),1,0)</f>
        <v>0</v>
      </c>
      <c r="CF130" s="23" t="n">
        <f aca="false">IF(CE130=1,IF(COUNTIFS($AZ$2:$AZ$201,AZ130,$CE$2:$CE$201,1,$H$2:$H$201,"&lt;"&amp;H130)+COUNTIFS($AZ$2:$AZ$201,AZ130,$CE$2:$CE$201,1,$H$2:$H$201,H130,$BA$2:$BA$201,"&lt;"&amp;BA130)=0,1,0),0)</f>
        <v>0</v>
      </c>
      <c r="CG130" s="23" t="n">
        <f aca="false">IF(AND(BB130=1,G130="warm-intro"),1,0)</f>
        <v>0</v>
      </c>
      <c r="CH130" s="23" t="n">
        <f aca="false">IF(CG130=1,IF(COUNTIFS($AZ$2:$AZ$201,AZ130,$CG$2:$CG$201,1,$H$2:$H$201,"&lt;"&amp;H130)+COUNTIFS($AZ$2:$AZ$201,AZ130,$CG$2:$CG$201,1,$H$2:$H$201,H130,$BA$2:$BA$201,"&lt;"&amp;BA130)=0,1,0),0)</f>
        <v>0</v>
      </c>
      <c r="CI130" s="23" t="n">
        <f aca="false">IF(AND(BB130=1,Q130="Y"),1,0)</f>
        <v>0</v>
      </c>
      <c r="CJ130" s="23" t="n">
        <f aca="false">IF(CI130=1,IF(COUNTIFS($AZ$2:$AZ$201,AZ130,$CI$2:$CI$201,1,$H$2:$H$201,"&lt;"&amp;H130)+COUNTIFS($AZ$2:$AZ$201,AZ130,$CI$2:$CI$201,1,$H$2:$H$201,H130,$BA$2:$BA$201,"&lt;"&amp;BA130)=0,1,0),0)</f>
        <v>0</v>
      </c>
      <c r="CK130" s="23" t="n">
        <f aca="false">IF(AND(BB130=1,AF130="Y"),1,0)</f>
        <v>0</v>
      </c>
      <c r="CL130" s="23" t="n">
        <f aca="false">IF(CK130=1,IF(COUNTIFS($AZ$2:$AZ$201,AZ130,$CK$2:$CK$201,1,$H$2:$H$201,"&lt;"&amp;H130)+COUNTIFS($AZ$2:$AZ$201,AZ130,$CK$2:$CK$201,1,$H$2:$H$201,H130,$BA$2:$BA$201,"&lt;"&amp;BA130)=0,1,0),0)</f>
        <v>0</v>
      </c>
      <c r="CM130" s="23" t="n">
        <f aca="false">IF(AND(BB130=1,U130="Y"),1,0)</f>
        <v>0</v>
      </c>
      <c r="CN130" s="23" t="n">
        <f aca="false">IF(CM130=1,IF(COUNTIFS($AZ$2:$AZ$201,AZ130,$CM$2:$CM$201,1,$H$2:$H$201,"&lt;"&amp;H130)+COUNTIFS($AZ$2:$AZ$201,AZ130,$CM$2:$CM$201,1,$H$2:$H$201,H130,$BA$2:$BA$201,"&lt;"&amp;BA130)=0,1,0),0)</f>
        <v>0</v>
      </c>
      <c r="CO130" s="23" t="n">
        <f aca="false">IF(AND(BB130=1,L130="Y"),1,0)</f>
        <v>0</v>
      </c>
      <c r="CP130" s="23" t="n">
        <f aca="false">IF(CO130=1,IF(COUNTIFS($AZ$2:$AZ$201,AZ130,$CO$2:$CO$201,1,$H$2:$H$201,"&lt;"&amp;H130)+COUNTIFS($AZ$2:$AZ$201,AZ130,$CO$2:$CO$201,1,$H$2:$H$201,H130,$BA$2:$BA$201,"&lt;"&amp;BA130)=0,1,0),0)</f>
        <v>0</v>
      </c>
      <c r="CQ130" s="23" t="n">
        <f aca="false">IF(AND(BB130=1,ISNUMBER(O130)),1,0)</f>
        <v>0</v>
      </c>
      <c r="CR130" s="23" t="n">
        <f aca="false">IF(CQ130=1,IF(COUNTIFS($AZ$2:$AZ$201,AZ130,$CQ$2:$CQ$201,1,$H$2:$H$201,"&lt;"&amp;H130)+COUNTIFS($AZ$2:$AZ$201,AZ130,$CQ$2:$CQ$201,1,$H$2:$H$201,H130,$BA$2:$BA$201,"&lt;"&amp;BA130)=0,1,0),0)</f>
        <v>0</v>
      </c>
      <c r="CS130" s="23" t="str">
        <f aca="false">IF(AND(CR130=1,INT(N(H130))&lt;=Config!$B$5),O130,"")</f>
        <v/>
      </c>
      <c r="CT130" s="23" t="str">
        <f aca="false">IF(AND(BB130=1,INT(N(H130))&lt;=Config!$B$5),AG130&amp;"","")</f>
        <v/>
      </c>
      <c r="CU130" s="23" t="n">
        <f aca="false">IF(AND(BB130=1,AU130="Y"),1,0)</f>
        <v>0</v>
      </c>
      <c r="CV130" s="23" t="n">
        <f aca="false">IF(CU130=1,IF(COUNTIFS($AZ$2:$AZ$201,AZ130,$CU$2:$CU$201,1,$H$2:$H$201,"&lt;"&amp;H130)+COUNTIFS($AZ$2:$AZ$201,AZ130,$CU$2:$CU$201,1,$H$2:$H$201,H130,$BA$2:$BA$201,"&lt;"&amp;BA130)=0,1,0),0)</f>
        <v>0</v>
      </c>
      <c r="CW130" s="23" t="str">
        <f aca="false">IF(BB130=1,IFERROR(MATCH($A130,INDEX(Clay_Offices!$A$2:$FZ$601,0,Sync!$C$5),0),""),"")</f>
        <v/>
      </c>
      <c r="CX130" s="23" t="str">
        <f aca="false">IF(CW130="","",IFERROR(INDEX(Clay_Offices!$A$2:$FZ$601,CW130,Sync!$C$7)&amp;"",""))</f>
        <v/>
      </c>
      <c r="CY130" s="23" t="str">
        <f aca="false">IF(CX130="","",IFERROR(INDEX(Lists!$K$2:$K$15,MATCH(CX130,Lists!$J$2:$J$15,0)),""))</f>
        <v/>
      </c>
      <c r="CZ130" s="23" t="str">
        <f aca="false">IF(CW130="","",IFERROR(INDEX(Clay_Offices!$A$2:$FZ$601,CW130,Sync!$C$17)&amp;"",""))</f>
        <v/>
      </c>
      <c r="DA130" s="35" t="str">
        <f aca="false">IF(CW130="","",IFERROR(N(INDEX(Clay_Offices!$A$2:$FZ$601,CW130,Sync!$C$16)),0))</f>
        <v/>
      </c>
      <c r="DB130" s="23" t="n">
        <f aca="false">IF(AND(BB130=1,OR(AR130="Y",AR130="N",AR130="maybe")),1,0)</f>
        <v>0</v>
      </c>
      <c r="DC130" s="23" t="n">
        <f aca="false">IF(AND(DB130=1),IF(COUNTIFS($A$2:$A$201,$A130,$DB$2:$DB$201,1,$H$2:$H$201,"&gt;"&amp;H130)+COUNTIFS($A$2:$A$201,$A130,$DB$2:$DB$201,1,$H$2:$H$201,H130,$BA$2:$BA$201,"&gt;"&amp;BA130)=0,1,0),0)</f>
        <v>0</v>
      </c>
      <c r="DD130" s="23" t="n">
        <f aca="false">IF(AND(DB130=1,INT(N(H130))&lt;=Config!$B$6),IF(COUNTIFS($AZ$2:$AZ$201,AZ130,$DB$2:$DB$201,1,$H$2:$H$201,"&gt;"&amp;H130,$H$2:$H$201,"&lt;"&amp;(Config!$B$6+1))+COUNTIFS($AZ$2:$AZ$201,AZ130,$DB$2:$DB$201,1,$H$2:$H$201,H130,$BA$2:$BA$201,"&gt;"&amp;BA130)=0,1,0),0)</f>
        <v>0</v>
      </c>
      <c r="DE130" s="23" t="n">
        <f aca="false">IF(AND(DB130=1,INT(N(H130))&lt;=Config!$B$7),IF(COUNTIFS($AZ$2:$AZ$201,AZ130,$DB$2:$DB$201,1,$H$2:$H$201,"&gt;"&amp;H130,$H$2:$H$201,"&lt;"&amp;(Config!$B$7+1))+COUNTIFS($AZ$2:$AZ$201,AZ130,$DB$2:$DB$201,1,$H$2:$H$201,H130,$BA$2:$BA$201,"&gt;"&amp;BA130)=0,1,0),0)</f>
        <v>0</v>
      </c>
      <c r="DF130" s="23" t="n">
        <f aca="false">IF(AND(DB130=1,INT(N(H130))&lt;=Config!$B$8),IF(COUNTIFS($AZ$2:$AZ$201,AZ130,$DB$2:$DB$201,1,$H$2:$H$201,"&gt;"&amp;H130,$H$2:$H$201,"&lt;"&amp;(Config!$B$8+1))+COUNTIFS($AZ$2:$AZ$201,AZ130,$DB$2:$DB$201,1,$H$2:$H$201,H130,$BA$2:$BA$201,"&gt;"&amp;BA130)=0,1,0),0)</f>
        <v>0</v>
      </c>
      <c r="DG130" s="23" t="n">
        <f aca="false">IF(AND(DB130=1,INT(N(H130))&lt;=Config!$B$5),IF(COUNTIFS($AZ$2:$AZ$201,AZ130,$DB$2:$DB$201,1,$H$2:$H$201,"&gt;"&amp;H130,$H$2:$H$201,"&lt;"&amp;(Config!$B$5+1))+COUNTIFS($AZ$2:$AZ$201,AZ130,$DB$2:$DB$201,1,$H$2:$H$201,H130,$BA$2:$BA$201,"&gt;"&amp;BA130)=0,1,0),0)</f>
        <v>0</v>
      </c>
      <c r="DH130" s="23" t="n">
        <f aca="false">IF(BB130=1,IF(COUNTIFS($AZ$2:$AZ$201,AZ130,$DD$2:$DD$201,1,$AR$2:$AR$201,"Y")&gt;0,1,0),0)</f>
        <v>0</v>
      </c>
      <c r="DI130" s="23" t="n">
        <f aca="false">IF(BB130=1,IF(COUNTIFS($AZ$2:$AZ$201,AZ130,$DE$2:$DE$201,1,$AR$2:$AR$201,"Y")&gt;0,1,0),0)</f>
        <v>0</v>
      </c>
      <c r="DJ130" s="23" t="n">
        <f aca="false">IF(BB130=1,IF(COUNTIFS($AZ$2:$AZ$201,AZ130,$DF$2:$DF$201,1,$AR$2:$AR$201,"Y")&gt;0,1,0),0)</f>
        <v>0</v>
      </c>
      <c r="DK130" s="23" t="n">
        <f aca="false">IF(BB130=1,IF(COUNTIFS($AZ$2:$AZ$201,AZ130,$DG$2:$DG$201,1,$AR$2:$AR$201,"Y")&gt;0,1,0),0)</f>
        <v>0</v>
      </c>
      <c r="DL130" s="23" t="n">
        <f aca="false">IF(AND(BF130=1,INT(N(H130))&lt;=Config!$B$6,DH130=1,EI130=0),1,0)</f>
        <v>0</v>
      </c>
      <c r="DM130" s="23" t="n">
        <f aca="false">IF(AND(BF130=1,INT(N(H130))&lt;=Config!$B$7,DI130=1,EI130=0),1,0)</f>
        <v>0</v>
      </c>
      <c r="DN130" s="23" t="n">
        <f aca="false">IF(AND(BF130=1,INT(N(H130))&lt;=Config!$B$8,DJ130=1,EI130=0),1,0)</f>
        <v>0</v>
      </c>
      <c r="DO130" s="23" t="n">
        <f aca="false">IF(AND(BF130=1,INT(N(H130))&lt;=Config!$B$5,DK130=1,EI130=0),1,0)</f>
        <v>0</v>
      </c>
      <c r="DP130" s="23" t="n">
        <f aca="false">IF(AND(CC130=1,INT(N(H130))&lt;=Config!$B$6,DH130=1,EI130=0),1,0)</f>
        <v>0</v>
      </c>
      <c r="DQ130" s="23" t="n">
        <f aca="false">IF(AND(CC130=1,INT(N(H130))&lt;=Config!$B$7,DI130=1,EI130=0),1,0)</f>
        <v>0</v>
      </c>
      <c r="DR130" s="23" t="n">
        <f aca="false">IF(AND(CC130=1,INT(N(H130))&lt;=Config!$B$8,DJ130=1,EI130=0),1,0)</f>
        <v>0</v>
      </c>
      <c r="DS130" s="23" t="n">
        <f aca="false">IF(AND(CC130=1,INT(N(H130))&lt;=Config!$B$5,DK130=1,EI130=0),1,0)</f>
        <v>0</v>
      </c>
      <c r="DT130" s="23" t="n">
        <f aca="false">IF(AND(CC130=1,INT(N(H130))&lt;=Config!$B$6,DH130=0),1,0)</f>
        <v>0</v>
      </c>
      <c r="DU130" s="23" t="n">
        <f aca="false">IF(AND(CC130=1,INT(N(H130))&lt;=Config!$B$7,DI130=0),1,0)</f>
        <v>0</v>
      </c>
      <c r="DV130" s="23" t="n">
        <f aca="false">IF(AND(CC130=1,INT(N(H130))&lt;=Config!$B$8,DJ130=0),1,0)</f>
        <v>0</v>
      </c>
      <c r="DW130" s="23" t="n">
        <f aca="false">IF(AND(CC130=1,INT(N(H130))&lt;=Config!$B$5,DK130=0),1,0)</f>
        <v>0</v>
      </c>
      <c r="DX130" s="23" t="n">
        <f aca="false">IF(TRIM($A130)="",0,ISTEXT(M130)+ISTEXT(O130)+ISTEXT(Y130)+ISTEXT(Z130)+ISTEXT(AA130)+ISTEXT(AV130))</f>
        <v>0</v>
      </c>
      <c r="DY130" s="23" t="n">
        <f aca="false">IF(BB130=1,IF(H130&lt;&gt;INT(H130),1,0),0)</f>
        <v>0</v>
      </c>
      <c r="DZ130" s="23" t="str">
        <f aca="false">IF(TRIM($A130)="","",IF(TRIM(B130)="",SUBSTITUTE(SUBSTITUTE(SUBSTITUTE(SUBSTITUTE(SUBSTITUTE(SUBSTITUTE(LOWER(TRIM($A130)),"~",""),"*",""),"?",""),"&lt;",""),"&gt;",""),"=",""),SUBSTITUTE(SUBSTITUTE(SUBSTITUTE(SUBSTITUTE(SUBSTITUTE(SUBSTITUTE(LOWER(TRIM(B130)),"~",""),"*",""),"?",""),"&lt;",""),"&gt;",""),"=","")))</f>
        <v/>
      </c>
      <c r="EA130" s="23" t="str">
        <f aca="false">IF(CW130="","",IFERROR(IF(LEFT(LOWER(TRIM(INDEX(Clay_Offices!$A$2:$FZ$601,CW130,Sync!$C$19)&amp;"")),4)="grp-",SUBSTITUTE(SUBSTITUTE(SUBSTITUTE(SUBSTITUTE(SUBSTITUTE(SUBSTITUTE(LOWER(TRIM(INDEX(Clay_Offices!$A$2:$FZ$601,CW130,Sync!$C$19)&amp;"")),"~",""),"*",""),"?",""),"&lt;",""),"&gt;",""),"=",""),""),""))</f>
        <v/>
      </c>
      <c r="EB130" s="23" t="str">
        <f aca="false">IF(EA130&lt;&gt;"",DZ130,"")</f>
        <v/>
      </c>
      <c r="EC130" s="23" t="str">
        <f aca="false">IF(BC130=1,AZ130,"")</f>
        <v/>
      </c>
      <c r="ED130" s="23" t="str">
        <f aca="false">IF(TRIM($A130)="","",IFERROR(INDEX($A$2:$A$201,MATCH(AZ130,$EC$2:$EC$201,0))&amp;"",$A130&amp;""))</f>
        <v/>
      </c>
      <c r="EE130" s="23" t="n">
        <f aca="false">IF(BB130=1,IF(COUNTIFS($A$2:$A$201,$A130,$BB$2:$BB$201,1,$H$2:$H$201,"&lt;"&amp;H130)+COUNTIFS($A$2:$A$201,$A130,$BB$2:$BB$201,1,$H$2:$H$201,H130,$BA$2:$BA$201,"&lt;"&amp;BA130)=0,1,0),0)</f>
        <v>0</v>
      </c>
      <c r="EF130" s="23" t="n">
        <f aca="false">IF(BC130=1,IF(COUNTIFS($AZ$2:$AZ$201,AZ130,$EE$2:$EE$201,1)&gt;1,1,0),0)</f>
        <v>0</v>
      </c>
      <c r="EG130" s="23" t="n">
        <f aca="false">IF(AND(CQ130=1),IF(COUNTIFS($AZ$2:$AZ$201,AZ130,$CQ$2:$CQ$201,1,$H$2:$H$201,"&gt;"&amp;H130)+COUNTIFS($AZ$2:$AZ$201,AZ130,$CQ$2:$CQ$201,1,$H$2:$H$201,H130,$BA$2:$BA$201,"&gt;"&amp;BA130)=0,1,0),0)</f>
        <v>0</v>
      </c>
      <c r="EH130" s="23" t="str">
        <f aca="false">IF(BB130=1,IF(COUNTIFS($AZ$2:$AZ$201,AZ130,$EG$2:$EG$201,1)=0,"",SUMIFS($O$2:$O$201,$AZ$2:$AZ$201,AZ130,$EG$2:$EG$201,1)),"")</f>
        <v/>
      </c>
      <c r="EI130" s="23" t="n">
        <f aca="false">IF(AND(ISNUMBER(EH130),OR(N(EH130)&lt;Config!$B$31,N(EH130)&gt;Config!$B$33)),1,0)</f>
        <v>0</v>
      </c>
      <c r="EJ130" s="23" t="n">
        <f aca="false">IF(AND(ISNUMBER(EH130),N(EH130)&gt;=Config!$B$31,N(EH130)&lt;Config!$B$32),1,0)</f>
        <v>0</v>
      </c>
      <c r="EK130" s="23" t="n">
        <f aca="false">IF(AND(BF130=1,INT(N(H130))&lt;=Config!$B$6,DH130=1,EI130=1),1,0)</f>
        <v>0</v>
      </c>
      <c r="EL130" s="23" t="n">
        <f aca="false">IF(AND(BF130=1,INT(N(H130))&lt;=Config!$B$7,DI130=1,EI130=1),1,0)</f>
        <v>0</v>
      </c>
      <c r="EM130" s="23" t="n">
        <f aca="false">IF(AND(BF130=1,INT(N(H130))&lt;=Config!$B$8,DJ130=1,EI130=1),1,0)</f>
        <v>0</v>
      </c>
      <c r="EN130" s="23" t="n">
        <f aca="false">IF(AND(BF130=1,INT(N(H130))&lt;=Config!$B$5,DK130=1,EI130=1),1,0)</f>
        <v>0</v>
      </c>
      <c r="EO130" s="23" t="n">
        <f aca="false">IF(AND(DL130=1,EJ130=1),1,0)</f>
        <v>0</v>
      </c>
      <c r="EP130" s="23" t="n">
        <f aca="false">IF(AND(DM130=1,EJ130=1),1,0)</f>
        <v>0</v>
      </c>
      <c r="EQ130" s="23" t="n">
        <f aca="false">IF(AND(DN130=1,EJ130=1),1,0)</f>
        <v>0</v>
      </c>
      <c r="ER130" s="23" t="n">
        <f aca="false">IF(AND(DO130=1,EJ130=1),1,0)</f>
        <v>0</v>
      </c>
    </row>
    <row r="131" customFormat="false" ht="15" hidden="false" customHeight="false" outlineLevel="0" collapsed="false">
      <c r="G131" s="32"/>
      <c r="H131" s="33"/>
      <c r="I131" s="32"/>
      <c r="L131" s="32"/>
      <c r="Q131" s="32"/>
      <c r="U131" s="32"/>
      <c r="W131" s="32"/>
      <c r="AC131" s="32"/>
      <c r="AF131" s="32"/>
      <c r="AI131" s="32"/>
      <c r="AJ131" s="32"/>
      <c r="AN131" s="32"/>
      <c r="AR131" s="32"/>
      <c r="AT131" s="32"/>
      <c r="AU131" s="32"/>
      <c r="AW131" s="32"/>
      <c r="AY131" s="34" t="str">
        <f aca="false">IF(TRIM($A131)="","",IF(AND(LEFT($A131,6)="SAMPLE",Config!$B$19&lt;&gt;"Y"),"",IF(NOT(ISNUMBER(H131)),"call_date is blank or not a date",IF(Sync!$C$5="","Clay paste is empty or has no row_id column: paste the Clay export on Clay_Offices",IF(CW131="","row_id not found in the Clay paste: add the Clay row or fix the row_id",IF(AND(ISNUMBER(CY131),CY131&gt;=1,CY131&lt;=5),"Clay status is "&amp;CX131&amp;": set call_done or later",IF(AND(BD131=1,CZ131&lt;&gt;BZ131),"Clay yes_in_principle should be "&amp;BZ131,IF(AND(BD131=1,DA131&lt;&gt;H131),"Clay call_date should be "&amp;TEXT(H131,"yyyy-mm-dd"),""))))))))</f>
        <v/>
      </c>
      <c r="AZ131" s="23" t="str">
        <f aca="false">IF(TRIM($A131)="","",IF(TRIM(C131)&lt;&gt;"",SUBSTITUTE(SUBSTITUTE(SUBSTITUTE(SUBSTITUTE(SUBSTITUTE(SUBSTITUTE(LOWER(TRIM(C131)),"~",""),"*",""),"?",""),"&lt;",""),"&gt;",""),"=",""),IF(EA131&lt;&gt;"",EA131,IFERROR(INDEX($EA$2:$EA$201,MATCH(DZ131,$EB$2:$EB$201,0)),DZ131))))</f>
        <v/>
      </c>
      <c r="BA131" s="23" t="n">
        <f aca="false">ROW()</f>
        <v>131</v>
      </c>
      <c r="BB131" s="23" t="n">
        <f aca="false">IF(AND(TRIM($A131)&lt;&gt;"",ISNUMBER(H131)),IF(AND(LEFT($A131,6)="SAMPLE",Config!$B$19&lt;&gt;"Y"),0,1),0)</f>
        <v>0</v>
      </c>
      <c r="BC131" s="23" t="n">
        <f aca="false">IF(BB131=1,IF(COUNTIFS($AZ$2:$AZ$201,AZ131,$BB$2:$BB$201,1,$H$2:$H$201,"&lt;"&amp;H131)+COUNTIFS($AZ$2:$AZ$201,AZ131,$BB$2:$BB$201,1,$H$2:$H$201,H131,$BA$2:$BA$201,"&lt;"&amp;BA131)=0,1,0),0)</f>
        <v>0</v>
      </c>
      <c r="BD131" s="23" t="n">
        <f aca="false">IF(BB131=1,IF(COUNTIFS($A$2:$A$201,$A131,$BB$2:$BB$201,1,$H$2:$H$201,"&gt;"&amp;H131)+COUNTIFS($A$2:$A$201,$A131,$BB$2:$BB$201,1,$H$2:$H$201,H131,$BA$2:$BA$201,"&gt;"&amp;BA131)=0,1,0),0)</f>
        <v>0</v>
      </c>
      <c r="BE131" s="23" t="n">
        <f aca="false">IF(AND(BB131=1,AR131="Y",AC131="Y",TRIM(AH131)&lt;&gt;""),1,0)</f>
        <v>0</v>
      </c>
      <c r="BF131" s="23" t="n">
        <f aca="false">IF(BE131=1,IF(COUNTIFS($AZ$2:$AZ$201,AZ131,$BE$2:$BE$201,1,$H$2:$H$201,"&lt;"&amp;H131)+COUNTIFS($AZ$2:$AZ$201,AZ131,$BE$2:$BE$201,1,$H$2:$H$201,H131,$BA$2:$BA$201,"&lt;"&amp;BA131)=0,1,0),0)</f>
        <v>0</v>
      </c>
      <c r="BG131" s="23" t="n">
        <f aca="false">IF(AND(BB131=1,AR131="Y",BE131=0),1,0)</f>
        <v>0</v>
      </c>
      <c r="BH131" s="23" t="n">
        <f aca="false">IF(AND(BB131=1,ISNUMBER(Y131)),1,0)</f>
        <v>0</v>
      </c>
      <c r="BI131" s="23" t="n">
        <f aca="false">IF(BH131=1,IF(COUNTIFS($AZ$2:$AZ$201,AZ131,$BH$2:$BH$201,1,$H$2:$H$201,"&lt;"&amp;H131)+COUNTIFS($AZ$2:$AZ$201,AZ131,$BH$2:$BH$201,1,$H$2:$H$201,H131,$BA$2:$BA$201,"&lt;"&amp;BA131)=0,1,0),0)</f>
        <v>0</v>
      </c>
      <c r="BJ131" s="23" t="str">
        <f aca="false">IF(AND(BI131=1,INT(N(H131))&lt;=Config!$B$6),Y131,"")</f>
        <v/>
      </c>
      <c r="BK131" s="23" t="str">
        <f aca="false">IF(AND(BI131=1,INT(N(H131))&lt;=Config!$B$7),Y131,"")</f>
        <v/>
      </c>
      <c r="BL131" s="23" t="str">
        <f aca="false">IF(AND(BI131=1,INT(N(H131))&lt;=Config!$B$8),Y131,"")</f>
        <v/>
      </c>
      <c r="BM131" s="23" t="str">
        <f aca="false">IF(AND(BI131=1,INT(N(H131))&lt;=Config!$B$5),Y131,"")</f>
        <v/>
      </c>
      <c r="BN131" s="23" t="n">
        <f aca="false">IF(CD131=1,IF(COUNTIFS($AZ$2:$AZ$201,AZ131,$CD$2:$CD$201,1,$H$2:$H$201,"&lt;"&amp;H131)+COUNTIFS($AZ$2:$AZ$201,AZ131,$CD$2:$CD$201,1,$H$2:$H$201,H131,$BA$2:$BA$201,"&lt;"&amp;BA131)=0,1,0),0)</f>
        <v>0</v>
      </c>
      <c r="BO131" s="23" t="n">
        <f aca="false">IF(AND(BB131=1,ISNUMBER(M131)),1,0)</f>
        <v>0</v>
      </c>
      <c r="BP131" s="23" t="n">
        <f aca="false">IF(BO131=1,IF(COUNTIFS($AZ$2:$AZ$201,AZ131,$BO$2:$BO$201,1,$H$2:$H$201,"&lt;"&amp;H131)+COUNTIFS($AZ$2:$AZ$201,AZ131,$BO$2:$BO$201,1,$H$2:$H$201,H131,$BA$2:$BA$201,"&lt;"&amp;BA131)=0,1,0),0)</f>
        <v>0</v>
      </c>
      <c r="BQ131" s="23" t="str">
        <f aca="false">IF(AND(BP131=1,INT(N(H131))&lt;=Config!$B$5),M131,"")</f>
        <v/>
      </c>
      <c r="BR131" s="23" t="n">
        <f aca="false">IF(AND(BB131=1,OR(TRIM(X131)&lt;&gt;"",ISNUMBER(Y131))),1,0)</f>
        <v>0</v>
      </c>
      <c r="BS131" s="23" t="n">
        <f aca="false">IF(BR131=1,IF(COUNTIFS($AZ$2:$AZ$201,AZ131,$BR$2:$BR$201,1,$H$2:$H$201,"&lt;"&amp;H131)+COUNTIFS($AZ$2:$AZ$201,AZ131,$BR$2:$BR$201,1,$H$2:$H$201,H131,$BA$2:$BA$201,"&lt;"&amp;BA131)=0,1,0),0)</f>
        <v>0</v>
      </c>
      <c r="BT131" s="23" t="str">
        <f aca="false">IF(BS131=1,AZ131,"")</f>
        <v/>
      </c>
      <c r="BU131" s="23" t="n">
        <f aca="false">IF(AND(BB131=1,W131="Y",TRIM(X131)=""),1,0)</f>
        <v>0</v>
      </c>
      <c r="BV131" s="23" t="str">
        <f aca="false">IF(BB131=1,AN131&amp;"","")</f>
        <v/>
      </c>
      <c r="BW131" s="23" t="str">
        <f aca="false">IF(BB131=1,AO131&amp;"","")</f>
        <v/>
      </c>
      <c r="BX131" s="23" t="str">
        <f aca="false">IF(BB131=1,AP131&amp;"","")</f>
        <v/>
      </c>
      <c r="BY131" s="23" t="str">
        <f aca="false">IF(AND(BB131=1,ISNUMBER(AV131),INT(N(H131))&lt;=Config!$B$5),AV131,"")</f>
        <v/>
      </c>
      <c r="BZ131" s="23" t="str">
        <f aca="false">IF(BB131=1,IF(COUNTIFS($A$2:$A$201,$A131,$DC$2:$DC$201,1,$AR$2:$AR$201,"Y")&gt;0,"Y","N"),"")</f>
        <v/>
      </c>
      <c r="CA131" s="23" t="n">
        <f aca="false">IF(AND(BB131=1,AR131="maybe"),1,0)</f>
        <v>0</v>
      </c>
      <c r="CB131" s="23" t="n">
        <f aca="false">IF(CA131=1,IF(COUNTIFS($AZ$2:$AZ$201,AZ131,$CA$2:$CA$201,1,$H$2:$H$201,"&lt;"&amp;H131)+COUNTIFS($AZ$2:$AZ$201,AZ131,$CA$2:$CA$201,1,$H$2:$H$201,H131,$BA$2:$BA$201,"&lt;"&amp;BA131)=0,1,0),0)</f>
        <v>0</v>
      </c>
      <c r="CC131" s="23" t="n">
        <f aca="false">IF(AND(BB131=1,AR131="Y"),IF(COUNTIFS($AZ$2:$AZ$201,AZ131,$AR$2:$AR$201,"Y",$BB$2:$BB$201,1,$H$2:$H$201,"&lt;"&amp;H131)+COUNTIFS($AZ$2:$AZ$201,AZ131,$AR$2:$AR$201,"Y",$BB$2:$BB$201,1,$H$2:$H$201,H131,$BA$2:$BA$201,"&lt;"&amp;BA131)=0,1,0),0)</f>
        <v>0</v>
      </c>
      <c r="CD131" s="23" t="n">
        <f aca="false">IF(AND(BH131=1,N(Y131)&gt;=Config!$B$15),1,0)</f>
        <v>0</v>
      </c>
      <c r="CE131" s="23" t="n">
        <f aca="false">IF(AND(BB131=1,AT131="Y"),1,0)</f>
        <v>0</v>
      </c>
      <c r="CF131" s="23" t="n">
        <f aca="false">IF(CE131=1,IF(COUNTIFS($AZ$2:$AZ$201,AZ131,$CE$2:$CE$201,1,$H$2:$H$201,"&lt;"&amp;H131)+COUNTIFS($AZ$2:$AZ$201,AZ131,$CE$2:$CE$201,1,$H$2:$H$201,H131,$BA$2:$BA$201,"&lt;"&amp;BA131)=0,1,0),0)</f>
        <v>0</v>
      </c>
      <c r="CG131" s="23" t="n">
        <f aca="false">IF(AND(BB131=1,G131="warm-intro"),1,0)</f>
        <v>0</v>
      </c>
      <c r="CH131" s="23" t="n">
        <f aca="false">IF(CG131=1,IF(COUNTIFS($AZ$2:$AZ$201,AZ131,$CG$2:$CG$201,1,$H$2:$H$201,"&lt;"&amp;H131)+COUNTIFS($AZ$2:$AZ$201,AZ131,$CG$2:$CG$201,1,$H$2:$H$201,H131,$BA$2:$BA$201,"&lt;"&amp;BA131)=0,1,0),0)</f>
        <v>0</v>
      </c>
      <c r="CI131" s="23" t="n">
        <f aca="false">IF(AND(BB131=1,Q131="Y"),1,0)</f>
        <v>0</v>
      </c>
      <c r="CJ131" s="23" t="n">
        <f aca="false">IF(CI131=1,IF(COUNTIFS($AZ$2:$AZ$201,AZ131,$CI$2:$CI$201,1,$H$2:$H$201,"&lt;"&amp;H131)+COUNTIFS($AZ$2:$AZ$201,AZ131,$CI$2:$CI$201,1,$H$2:$H$201,H131,$BA$2:$BA$201,"&lt;"&amp;BA131)=0,1,0),0)</f>
        <v>0</v>
      </c>
      <c r="CK131" s="23" t="n">
        <f aca="false">IF(AND(BB131=1,AF131="Y"),1,0)</f>
        <v>0</v>
      </c>
      <c r="CL131" s="23" t="n">
        <f aca="false">IF(CK131=1,IF(COUNTIFS($AZ$2:$AZ$201,AZ131,$CK$2:$CK$201,1,$H$2:$H$201,"&lt;"&amp;H131)+COUNTIFS($AZ$2:$AZ$201,AZ131,$CK$2:$CK$201,1,$H$2:$H$201,H131,$BA$2:$BA$201,"&lt;"&amp;BA131)=0,1,0),0)</f>
        <v>0</v>
      </c>
      <c r="CM131" s="23" t="n">
        <f aca="false">IF(AND(BB131=1,U131="Y"),1,0)</f>
        <v>0</v>
      </c>
      <c r="CN131" s="23" t="n">
        <f aca="false">IF(CM131=1,IF(COUNTIFS($AZ$2:$AZ$201,AZ131,$CM$2:$CM$201,1,$H$2:$H$201,"&lt;"&amp;H131)+COUNTIFS($AZ$2:$AZ$201,AZ131,$CM$2:$CM$201,1,$H$2:$H$201,H131,$BA$2:$BA$201,"&lt;"&amp;BA131)=0,1,0),0)</f>
        <v>0</v>
      </c>
      <c r="CO131" s="23" t="n">
        <f aca="false">IF(AND(BB131=1,L131="Y"),1,0)</f>
        <v>0</v>
      </c>
      <c r="CP131" s="23" t="n">
        <f aca="false">IF(CO131=1,IF(COUNTIFS($AZ$2:$AZ$201,AZ131,$CO$2:$CO$201,1,$H$2:$H$201,"&lt;"&amp;H131)+COUNTIFS($AZ$2:$AZ$201,AZ131,$CO$2:$CO$201,1,$H$2:$H$201,H131,$BA$2:$BA$201,"&lt;"&amp;BA131)=0,1,0),0)</f>
        <v>0</v>
      </c>
      <c r="CQ131" s="23" t="n">
        <f aca="false">IF(AND(BB131=1,ISNUMBER(O131)),1,0)</f>
        <v>0</v>
      </c>
      <c r="CR131" s="23" t="n">
        <f aca="false">IF(CQ131=1,IF(COUNTIFS($AZ$2:$AZ$201,AZ131,$CQ$2:$CQ$201,1,$H$2:$H$201,"&lt;"&amp;H131)+COUNTIFS($AZ$2:$AZ$201,AZ131,$CQ$2:$CQ$201,1,$H$2:$H$201,H131,$BA$2:$BA$201,"&lt;"&amp;BA131)=0,1,0),0)</f>
        <v>0</v>
      </c>
      <c r="CS131" s="23" t="str">
        <f aca="false">IF(AND(CR131=1,INT(N(H131))&lt;=Config!$B$5),O131,"")</f>
        <v/>
      </c>
      <c r="CT131" s="23" t="str">
        <f aca="false">IF(AND(BB131=1,INT(N(H131))&lt;=Config!$B$5),AG131&amp;"","")</f>
        <v/>
      </c>
      <c r="CU131" s="23" t="n">
        <f aca="false">IF(AND(BB131=1,AU131="Y"),1,0)</f>
        <v>0</v>
      </c>
      <c r="CV131" s="23" t="n">
        <f aca="false">IF(CU131=1,IF(COUNTIFS($AZ$2:$AZ$201,AZ131,$CU$2:$CU$201,1,$H$2:$H$201,"&lt;"&amp;H131)+COUNTIFS($AZ$2:$AZ$201,AZ131,$CU$2:$CU$201,1,$H$2:$H$201,H131,$BA$2:$BA$201,"&lt;"&amp;BA131)=0,1,0),0)</f>
        <v>0</v>
      </c>
      <c r="CW131" s="23" t="str">
        <f aca="false">IF(BB131=1,IFERROR(MATCH($A131,INDEX(Clay_Offices!$A$2:$FZ$601,0,Sync!$C$5),0),""),"")</f>
        <v/>
      </c>
      <c r="CX131" s="23" t="str">
        <f aca="false">IF(CW131="","",IFERROR(INDEX(Clay_Offices!$A$2:$FZ$601,CW131,Sync!$C$7)&amp;"",""))</f>
        <v/>
      </c>
      <c r="CY131" s="23" t="str">
        <f aca="false">IF(CX131="","",IFERROR(INDEX(Lists!$K$2:$K$15,MATCH(CX131,Lists!$J$2:$J$15,0)),""))</f>
        <v/>
      </c>
      <c r="CZ131" s="23" t="str">
        <f aca="false">IF(CW131="","",IFERROR(INDEX(Clay_Offices!$A$2:$FZ$601,CW131,Sync!$C$17)&amp;"",""))</f>
        <v/>
      </c>
      <c r="DA131" s="35" t="str">
        <f aca="false">IF(CW131="","",IFERROR(N(INDEX(Clay_Offices!$A$2:$FZ$601,CW131,Sync!$C$16)),0))</f>
        <v/>
      </c>
      <c r="DB131" s="23" t="n">
        <f aca="false">IF(AND(BB131=1,OR(AR131="Y",AR131="N",AR131="maybe")),1,0)</f>
        <v>0</v>
      </c>
      <c r="DC131" s="23" t="n">
        <f aca="false">IF(AND(DB131=1),IF(COUNTIFS($A$2:$A$201,$A131,$DB$2:$DB$201,1,$H$2:$H$201,"&gt;"&amp;H131)+COUNTIFS($A$2:$A$201,$A131,$DB$2:$DB$201,1,$H$2:$H$201,H131,$BA$2:$BA$201,"&gt;"&amp;BA131)=0,1,0),0)</f>
        <v>0</v>
      </c>
      <c r="DD131" s="23" t="n">
        <f aca="false">IF(AND(DB131=1,INT(N(H131))&lt;=Config!$B$6),IF(COUNTIFS($AZ$2:$AZ$201,AZ131,$DB$2:$DB$201,1,$H$2:$H$201,"&gt;"&amp;H131,$H$2:$H$201,"&lt;"&amp;(Config!$B$6+1))+COUNTIFS($AZ$2:$AZ$201,AZ131,$DB$2:$DB$201,1,$H$2:$H$201,H131,$BA$2:$BA$201,"&gt;"&amp;BA131)=0,1,0),0)</f>
        <v>0</v>
      </c>
      <c r="DE131" s="23" t="n">
        <f aca="false">IF(AND(DB131=1,INT(N(H131))&lt;=Config!$B$7),IF(COUNTIFS($AZ$2:$AZ$201,AZ131,$DB$2:$DB$201,1,$H$2:$H$201,"&gt;"&amp;H131,$H$2:$H$201,"&lt;"&amp;(Config!$B$7+1))+COUNTIFS($AZ$2:$AZ$201,AZ131,$DB$2:$DB$201,1,$H$2:$H$201,H131,$BA$2:$BA$201,"&gt;"&amp;BA131)=0,1,0),0)</f>
        <v>0</v>
      </c>
      <c r="DF131" s="23" t="n">
        <f aca="false">IF(AND(DB131=1,INT(N(H131))&lt;=Config!$B$8),IF(COUNTIFS($AZ$2:$AZ$201,AZ131,$DB$2:$DB$201,1,$H$2:$H$201,"&gt;"&amp;H131,$H$2:$H$201,"&lt;"&amp;(Config!$B$8+1))+COUNTIFS($AZ$2:$AZ$201,AZ131,$DB$2:$DB$201,1,$H$2:$H$201,H131,$BA$2:$BA$201,"&gt;"&amp;BA131)=0,1,0),0)</f>
        <v>0</v>
      </c>
      <c r="DG131" s="23" t="n">
        <f aca="false">IF(AND(DB131=1,INT(N(H131))&lt;=Config!$B$5),IF(COUNTIFS($AZ$2:$AZ$201,AZ131,$DB$2:$DB$201,1,$H$2:$H$201,"&gt;"&amp;H131,$H$2:$H$201,"&lt;"&amp;(Config!$B$5+1))+COUNTIFS($AZ$2:$AZ$201,AZ131,$DB$2:$DB$201,1,$H$2:$H$201,H131,$BA$2:$BA$201,"&gt;"&amp;BA131)=0,1,0),0)</f>
        <v>0</v>
      </c>
      <c r="DH131" s="23" t="n">
        <f aca="false">IF(BB131=1,IF(COUNTIFS($AZ$2:$AZ$201,AZ131,$DD$2:$DD$201,1,$AR$2:$AR$201,"Y")&gt;0,1,0),0)</f>
        <v>0</v>
      </c>
      <c r="DI131" s="23" t="n">
        <f aca="false">IF(BB131=1,IF(COUNTIFS($AZ$2:$AZ$201,AZ131,$DE$2:$DE$201,1,$AR$2:$AR$201,"Y")&gt;0,1,0),0)</f>
        <v>0</v>
      </c>
      <c r="DJ131" s="23" t="n">
        <f aca="false">IF(BB131=1,IF(COUNTIFS($AZ$2:$AZ$201,AZ131,$DF$2:$DF$201,1,$AR$2:$AR$201,"Y")&gt;0,1,0),0)</f>
        <v>0</v>
      </c>
      <c r="DK131" s="23" t="n">
        <f aca="false">IF(BB131=1,IF(COUNTIFS($AZ$2:$AZ$201,AZ131,$DG$2:$DG$201,1,$AR$2:$AR$201,"Y")&gt;0,1,0),0)</f>
        <v>0</v>
      </c>
      <c r="DL131" s="23" t="n">
        <f aca="false">IF(AND(BF131=1,INT(N(H131))&lt;=Config!$B$6,DH131=1,EI131=0),1,0)</f>
        <v>0</v>
      </c>
      <c r="DM131" s="23" t="n">
        <f aca="false">IF(AND(BF131=1,INT(N(H131))&lt;=Config!$B$7,DI131=1,EI131=0),1,0)</f>
        <v>0</v>
      </c>
      <c r="DN131" s="23" t="n">
        <f aca="false">IF(AND(BF131=1,INT(N(H131))&lt;=Config!$B$8,DJ131=1,EI131=0),1,0)</f>
        <v>0</v>
      </c>
      <c r="DO131" s="23" t="n">
        <f aca="false">IF(AND(BF131=1,INT(N(H131))&lt;=Config!$B$5,DK131=1,EI131=0),1,0)</f>
        <v>0</v>
      </c>
      <c r="DP131" s="23" t="n">
        <f aca="false">IF(AND(CC131=1,INT(N(H131))&lt;=Config!$B$6,DH131=1,EI131=0),1,0)</f>
        <v>0</v>
      </c>
      <c r="DQ131" s="23" t="n">
        <f aca="false">IF(AND(CC131=1,INT(N(H131))&lt;=Config!$B$7,DI131=1,EI131=0),1,0)</f>
        <v>0</v>
      </c>
      <c r="DR131" s="23" t="n">
        <f aca="false">IF(AND(CC131=1,INT(N(H131))&lt;=Config!$B$8,DJ131=1,EI131=0),1,0)</f>
        <v>0</v>
      </c>
      <c r="DS131" s="23" t="n">
        <f aca="false">IF(AND(CC131=1,INT(N(H131))&lt;=Config!$B$5,DK131=1,EI131=0),1,0)</f>
        <v>0</v>
      </c>
      <c r="DT131" s="23" t="n">
        <f aca="false">IF(AND(CC131=1,INT(N(H131))&lt;=Config!$B$6,DH131=0),1,0)</f>
        <v>0</v>
      </c>
      <c r="DU131" s="23" t="n">
        <f aca="false">IF(AND(CC131=1,INT(N(H131))&lt;=Config!$B$7,DI131=0),1,0)</f>
        <v>0</v>
      </c>
      <c r="DV131" s="23" t="n">
        <f aca="false">IF(AND(CC131=1,INT(N(H131))&lt;=Config!$B$8,DJ131=0),1,0)</f>
        <v>0</v>
      </c>
      <c r="DW131" s="23" t="n">
        <f aca="false">IF(AND(CC131=1,INT(N(H131))&lt;=Config!$B$5,DK131=0),1,0)</f>
        <v>0</v>
      </c>
      <c r="DX131" s="23" t="n">
        <f aca="false">IF(TRIM($A131)="",0,ISTEXT(M131)+ISTEXT(O131)+ISTEXT(Y131)+ISTEXT(Z131)+ISTEXT(AA131)+ISTEXT(AV131))</f>
        <v>0</v>
      </c>
      <c r="DY131" s="23" t="n">
        <f aca="false">IF(BB131=1,IF(H131&lt;&gt;INT(H131),1,0),0)</f>
        <v>0</v>
      </c>
      <c r="DZ131" s="23" t="str">
        <f aca="false">IF(TRIM($A131)="","",IF(TRIM(B131)="",SUBSTITUTE(SUBSTITUTE(SUBSTITUTE(SUBSTITUTE(SUBSTITUTE(SUBSTITUTE(LOWER(TRIM($A131)),"~",""),"*",""),"?",""),"&lt;",""),"&gt;",""),"=",""),SUBSTITUTE(SUBSTITUTE(SUBSTITUTE(SUBSTITUTE(SUBSTITUTE(SUBSTITUTE(LOWER(TRIM(B131)),"~",""),"*",""),"?",""),"&lt;",""),"&gt;",""),"=","")))</f>
        <v/>
      </c>
      <c r="EA131" s="23" t="str">
        <f aca="false">IF(CW131="","",IFERROR(IF(LEFT(LOWER(TRIM(INDEX(Clay_Offices!$A$2:$FZ$601,CW131,Sync!$C$19)&amp;"")),4)="grp-",SUBSTITUTE(SUBSTITUTE(SUBSTITUTE(SUBSTITUTE(SUBSTITUTE(SUBSTITUTE(LOWER(TRIM(INDEX(Clay_Offices!$A$2:$FZ$601,CW131,Sync!$C$19)&amp;"")),"~",""),"*",""),"?",""),"&lt;",""),"&gt;",""),"=",""),""),""))</f>
        <v/>
      </c>
      <c r="EB131" s="23" t="str">
        <f aca="false">IF(EA131&lt;&gt;"",DZ131,"")</f>
        <v/>
      </c>
      <c r="EC131" s="23" t="str">
        <f aca="false">IF(BC131=1,AZ131,"")</f>
        <v/>
      </c>
      <c r="ED131" s="23" t="str">
        <f aca="false">IF(TRIM($A131)="","",IFERROR(INDEX($A$2:$A$201,MATCH(AZ131,$EC$2:$EC$201,0))&amp;"",$A131&amp;""))</f>
        <v/>
      </c>
      <c r="EE131" s="23" t="n">
        <f aca="false">IF(BB131=1,IF(COUNTIFS($A$2:$A$201,$A131,$BB$2:$BB$201,1,$H$2:$H$201,"&lt;"&amp;H131)+COUNTIFS($A$2:$A$201,$A131,$BB$2:$BB$201,1,$H$2:$H$201,H131,$BA$2:$BA$201,"&lt;"&amp;BA131)=0,1,0),0)</f>
        <v>0</v>
      </c>
      <c r="EF131" s="23" t="n">
        <f aca="false">IF(BC131=1,IF(COUNTIFS($AZ$2:$AZ$201,AZ131,$EE$2:$EE$201,1)&gt;1,1,0),0)</f>
        <v>0</v>
      </c>
      <c r="EG131" s="23" t="n">
        <f aca="false">IF(AND(CQ131=1),IF(COUNTIFS($AZ$2:$AZ$201,AZ131,$CQ$2:$CQ$201,1,$H$2:$H$201,"&gt;"&amp;H131)+COUNTIFS($AZ$2:$AZ$201,AZ131,$CQ$2:$CQ$201,1,$H$2:$H$201,H131,$BA$2:$BA$201,"&gt;"&amp;BA131)=0,1,0),0)</f>
        <v>0</v>
      </c>
      <c r="EH131" s="23" t="str">
        <f aca="false">IF(BB131=1,IF(COUNTIFS($AZ$2:$AZ$201,AZ131,$EG$2:$EG$201,1)=0,"",SUMIFS($O$2:$O$201,$AZ$2:$AZ$201,AZ131,$EG$2:$EG$201,1)),"")</f>
        <v/>
      </c>
      <c r="EI131" s="23" t="n">
        <f aca="false">IF(AND(ISNUMBER(EH131),OR(N(EH131)&lt;Config!$B$31,N(EH131)&gt;Config!$B$33)),1,0)</f>
        <v>0</v>
      </c>
      <c r="EJ131" s="23" t="n">
        <f aca="false">IF(AND(ISNUMBER(EH131),N(EH131)&gt;=Config!$B$31,N(EH131)&lt;Config!$B$32),1,0)</f>
        <v>0</v>
      </c>
      <c r="EK131" s="23" t="n">
        <f aca="false">IF(AND(BF131=1,INT(N(H131))&lt;=Config!$B$6,DH131=1,EI131=1),1,0)</f>
        <v>0</v>
      </c>
      <c r="EL131" s="23" t="n">
        <f aca="false">IF(AND(BF131=1,INT(N(H131))&lt;=Config!$B$7,DI131=1,EI131=1),1,0)</f>
        <v>0</v>
      </c>
      <c r="EM131" s="23" t="n">
        <f aca="false">IF(AND(BF131=1,INT(N(H131))&lt;=Config!$B$8,DJ131=1,EI131=1),1,0)</f>
        <v>0</v>
      </c>
      <c r="EN131" s="23" t="n">
        <f aca="false">IF(AND(BF131=1,INT(N(H131))&lt;=Config!$B$5,DK131=1,EI131=1),1,0)</f>
        <v>0</v>
      </c>
      <c r="EO131" s="23" t="n">
        <f aca="false">IF(AND(DL131=1,EJ131=1),1,0)</f>
        <v>0</v>
      </c>
      <c r="EP131" s="23" t="n">
        <f aca="false">IF(AND(DM131=1,EJ131=1),1,0)</f>
        <v>0</v>
      </c>
      <c r="EQ131" s="23" t="n">
        <f aca="false">IF(AND(DN131=1,EJ131=1),1,0)</f>
        <v>0</v>
      </c>
      <c r="ER131" s="23" t="n">
        <f aca="false">IF(AND(DO131=1,EJ131=1),1,0)</f>
        <v>0</v>
      </c>
    </row>
    <row r="132" customFormat="false" ht="15" hidden="false" customHeight="false" outlineLevel="0" collapsed="false">
      <c r="G132" s="32"/>
      <c r="H132" s="33"/>
      <c r="I132" s="32"/>
      <c r="L132" s="32"/>
      <c r="Q132" s="32"/>
      <c r="U132" s="32"/>
      <c r="W132" s="32"/>
      <c r="AC132" s="32"/>
      <c r="AF132" s="32"/>
      <c r="AI132" s="32"/>
      <c r="AJ132" s="32"/>
      <c r="AN132" s="32"/>
      <c r="AR132" s="32"/>
      <c r="AT132" s="32"/>
      <c r="AU132" s="32"/>
      <c r="AW132" s="32"/>
      <c r="AY132" s="34" t="str">
        <f aca="false">IF(TRIM($A132)="","",IF(AND(LEFT($A132,6)="SAMPLE",Config!$B$19&lt;&gt;"Y"),"",IF(NOT(ISNUMBER(H132)),"call_date is blank or not a date",IF(Sync!$C$5="","Clay paste is empty or has no row_id column: paste the Clay export on Clay_Offices",IF(CW132="","row_id not found in the Clay paste: add the Clay row or fix the row_id",IF(AND(ISNUMBER(CY132),CY132&gt;=1,CY132&lt;=5),"Clay status is "&amp;CX132&amp;": set call_done or later",IF(AND(BD132=1,CZ132&lt;&gt;BZ132),"Clay yes_in_principle should be "&amp;BZ132,IF(AND(BD132=1,DA132&lt;&gt;H132),"Clay call_date should be "&amp;TEXT(H132,"yyyy-mm-dd"),""))))))))</f>
        <v/>
      </c>
      <c r="AZ132" s="23" t="str">
        <f aca="false">IF(TRIM($A132)="","",IF(TRIM(C132)&lt;&gt;"",SUBSTITUTE(SUBSTITUTE(SUBSTITUTE(SUBSTITUTE(SUBSTITUTE(SUBSTITUTE(LOWER(TRIM(C132)),"~",""),"*",""),"?",""),"&lt;",""),"&gt;",""),"=",""),IF(EA132&lt;&gt;"",EA132,IFERROR(INDEX($EA$2:$EA$201,MATCH(DZ132,$EB$2:$EB$201,0)),DZ132))))</f>
        <v/>
      </c>
      <c r="BA132" s="23" t="n">
        <f aca="false">ROW()</f>
        <v>132</v>
      </c>
      <c r="BB132" s="23" t="n">
        <f aca="false">IF(AND(TRIM($A132)&lt;&gt;"",ISNUMBER(H132)),IF(AND(LEFT($A132,6)="SAMPLE",Config!$B$19&lt;&gt;"Y"),0,1),0)</f>
        <v>0</v>
      </c>
      <c r="BC132" s="23" t="n">
        <f aca="false">IF(BB132=1,IF(COUNTIFS($AZ$2:$AZ$201,AZ132,$BB$2:$BB$201,1,$H$2:$H$201,"&lt;"&amp;H132)+COUNTIFS($AZ$2:$AZ$201,AZ132,$BB$2:$BB$201,1,$H$2:$H$201,H132,$BA$2:$BA$201,"&lt;"&amp;BA132)=0,1,0),0)</f>
        <v>0</v>
      </c>
      <c r="BD132" s="23" t="n">
        <f aca="false">IF(BB132=1,IF(COUNTIFS($A$2:$A$201,$A132,$BB$2:$BB$201,1,$H$2:$H$201,"&gt;"&amp;H132)+COUNTIFS($A$2:$A$201,$A132,$BB$2:$BB$201,1,$H$2:$H$201,H132,$BA$2:$BA$201,"&gt;"&amp;BA132)=0,1,0),0)</f>
        <v>0</v>
      </c>
      <c r="BE132" s="23" t="n">
        <f aca="false">IF(AND(BB132=1,AR132="Y",AC132="Y",TRIM(AH132)&lt;&gt;""),1,0)</f>
        <v>0</v>
      </c>
      <c r="BF132" s="23" t="n">
        <f aca="false">IF(BE132=1,IF(COUNTIFS($AZ$2:$AZ$201,AZ132,$BE$2:$BE$201,1,$H$2:$H$201,"&lt;"&amp;H132)+COUNTIFS($AZ$2:$AZ$201,AZ132,$BE$2:$BE$201,1,$H$2:$H$201,H132,$BA$2:$BA$201,"&lt;"&amp;BA132)=0,1,0),0)</f>
        <v>0</v>
      </c>
      <c r="BG132" s="23" t="n">
        <f aca="false">IF(AND(BB132=1,AR132="Y",BE132=0),1,0)</f>
        <v>0</v>
      </c>
      <c r="BH132" s="23" t="n">
        <f aca="false">IF(AND(BB132=1,ISNUMBER(Y132)),1,0)</f>
        <v>0</v>
      </c>
      <c r="BI132" s="23" t="n">
        <f aca="false">IF(BH132=1,IF(COUNTIFS($AZ$2:$AZ$201,AZ132,$BH$2:$BH$201,1,$H$2:$H$201,"&lt;"&amp;H132)+COUNTIFS($AZ$2:$AZ$201,AZ132,$BH$2:$BH$201,1,$H$2:$H$201,H132,$BA$2:$BA$201,"&lt;"&amp;BA132)=0,1,0),0)</f>
        <v>0</v>
      </c>
      <c r="BJ132" s="23" t="str">
        <f aca="false">IF(AND(BI132=1,INT(N(H132))&lt;=Config!$B$6),Y132,"")</f>
        <v/>
      </c>
      <c r="BK132" s="23" t="str">
        <f aca="false">IF(AND(BI132=1,INT(N(H132))&lt;=Config!$B$7),Y132,"")</f>
        <v/>
      </c>
      <c r="BL132" s="23" t="str">
        <f aca="false">IF(AND(BI132=1,INT(N(H132))&lt;=Config!$B$8),Y132,"")</f>
        <v/>
      </c>
      <c r="BM132" s="23" t="str">
        <f aca="false">IF(AND(BI132=1,INT(N(H132))&lt;=Config!$B$5),Y132,"")</f>
        <v/>
      </c>
      <c r="BN132" s="23" t="n">
        <f aca="false">IF(CD132=1,IF(COUNTIFS($AZ$2:$AZ$201,AZ132,$CD$2:$CD$201,1,$H$2:$H$201,"&lt;"&amp;H132)+COUNTIFS($AZ$2:$AZ$201,AZ132,$CD$2:$CD$201,1,$H$2:$H$201,H132,$BA$2:$BA$201,"&lt;"&amp;BA132)=0,1,0),0)</f>
        <v>0</v>
      </c>
      <c r="BO132" s="23" t="n">
        <f aca="false">IF(AND(BB132=1,ISNUMBER(M132)),1,0)</f>
        <v>0</v>
      </c>
      <c r="BP132" s="23" t="n">
        <f aca="false">IF(BO132=1,IF(COUNTIFS($AZ$2:$AZ$201,AZ132,$BO$2:$BO$201,1,$H$2:$H$201,"&lt;"&amp;H132)+COUNTIFS($AZ$2:$AZ$201,AZ132,$BO$2:$BO$201,1,$H$2:$H$201,H132,$BA$2:$BA$201,"&lt;"&amp;BA132)=0,1,0),0)</f>
        <v>0</v>
      </c>
      <c r="BQ132" s="23" t="str">
        <f aca="false">IF(AND(BP132=1,INT(N(H132))&lt;=Config!$B$5),M132,"")</f>
        <v/>
      </c>
      <c r="BR132" s="23" t="n">
        <f aca="false">IF(AND(BB132=1,OR(TRIM(X132)&lt;&gt;"",ISNUMBER(Y132))),1,0)</f>
        <v>0</v>
      </c>
      <c r="BS132" s="23" t="n">
        <f aca="false">IF(BR132=1,IF(COUNTIFS($AZ$2:$AZ$201,AZ132,$BR$2:$BR$201,1,$H$2:$H$201,"&lt;"&amp;H132)+COUNTIFS($AZ$2:$AZ$201,AZ132,$BR$2:$BR$201,1,$H$2:$H$201,H132,$BA$2:$BA$201,"&lt;"&amp;BA132)=0,1,0),0)</f>
        <v>0</v>
      </c>
      <c r="BT132" s="23" t="str">
        <f aca="false">IF(BS132=1,AZ132,"")</f>
        <v/>
      </c>
      <c r="BU132" s="23" t="n">
        <f aca="false">IF(AND(BB132=1,W132="Y",TRIM(X132)=""),1,0)</f>
        <v>0</v>
      </c>
      <c r="BV132" s="23" t="str">
        <f aca="false">IF(BB132=1,AN132&amp;"","")</f>
        <v/>
      </c>
      <c r="BW132" s="23" t="str">
        <f aca="false">IF(BB132=1,AO132&amp;"","")</f>
        <v/>
      </c>
      <c r="BX132" s="23" t="str">
        <f aca="false">IF(BB132=1,AP132&amp;"","")</f>
        <v/>
      </c>
      <c r="BY132" s="23" t="str">
        <f aca="false">IF(AND(BB132=1,ISNUMBER(AV132),INT(N(H132))&lt;=Config!$B$5),AV132,"")</f>
        <v/>
      </c>
      <c r="BZ132" s="23" t="str">
        <f aca="false">IF(BB132=1,IF(COUNTIFS($A$2:$A$201,$A132,$DC$2:$DC$201,1,$AR$2:$AR$201,"Y")&gt;0,"Y","N"),"")</f>
        <v/>
      </c>
      <c r="CA132" s="23" t="n">
        <f aca="false">IF(AND(BB132=1,AR132="maybe"),1,0)</f>
        <v>0</v>
      </c>
      <c r="CB132" s="23" t="n">
        <f aca="false">IF(CA132=1,IF(COUNTIFS($AZ$2:$AZ$201,AZ132,$CA$2:$CA$201,1,$H$2:$H$201,"&lt;"&amp;H132)+COUNTIFS($AZ$2:$AZ$201,AZ132,$CA$2:$CA$201,1,$H$2:$H$201,H132,$BA$2:$BA$201,"&lt;"&amp;BA132)=0,1,0),0)</f>
        <v>0</v>
      </c>
      <c r="CC132" s="23" t="n">
        <f aca="false">IF(AND(BB132=1,AR132="Y"),IF(COUNTIFS($AZ$2:$AZ$201,AZ132,$AR$2:$AR$201,"Y",$BB$2:$BB$201,1,$H$2:$H$201,"&lt;"&amp;H132)+COUNTIFS($AZ$2:$AZ$201,AZ132,$AR$2:$AR$201,"Y",$BB$2:$BB$201,1,$H$2:$H$201,H132,$BA$2:$BA$201,"&lt;"&amp;BA132)=0,1,0),0)</f>
        <v>0</v>
      </c>
      <c r="CD132" s="23" t="n">
        <f aca="false">IF(AND(BH132=1,N(Y132)&gt;=Config!$B$15),1,0)</f>
        <v>0</v>
      </c>
      <c r="CE132" s="23" t="n">
        <f aca="false">IF(AND(BB132=1,AT132="Y"),1,0)</f>
        <v>0</v>
      </c>
      <c r="CF132" s="23" t="n">
        <f aca="false">IF(CE132=1,IF(COUNTIFS($AZ$2:$AZ$201,AZ132,$CE$2:$CE$201,1,$H$2:$H$201,"&lt;"&amp;H132)+COUNTIFS($AZ$2:$AZ$201,AZ132,$CE$2:$CE$201,1,$H$2:$H$201,H132,$BA$2:$BA$201,"&lt;"&amp;BA132)=0,1,0),0)</f>
        <v>0</v>
      </c>
      <c r="CG132" s="23" t="n">
        <f aca="false">IF(AND(BB132=1,G132="warm-intro"),1,0)</f>
        <v>0</v>
      </c>
      <c r="CH132" s="23" t="n">
        <f aca="false">IF(CG132=1,IF(COUNTIFS($AZ$2:$AZ$201,AZ132,$CG$2:$CG$201,1,$H$2:$H$201,"&lt;"&amp;H132)+COUNTIFS($AZ$2:$AZ$201,AZ132,$CG$2:$CG$201,1,$H$2:$H$201,H132,$BA$2:$BA$201,"&lt;"&amp;BA132)=0,1,0),0)</f>
        <v>0</v>
      </c>
      <c r="CI132" s="23" t="n">
        <f aca="false">IF(AND(BB132=1,Q132="Y"),1,0)</f>
        <v>0</v>
      </c>
      <c r="CJ132" s="23" t="n">
        <f aca="false">IF(CI132=1,IF(COUNTIFS($AZ$2:$AZ$201,AZ132,$CI$2:$CI$201,1,$H$2:$H$201,"&lt;"&amp;H132)+COUNTIFS($AZ$2:$AZ$201,AZ132,$CI$2:$CI$201,1,$H$2:$H$201,H132,$BA$2:$BA$201,"&lt;"&amp;BA132)=0,1,0),0)</f>
        <v>0</v>
      </c>
      <c r="CK132" s="23" t="n">
        <f aca="false">IF(AND(BB132=1,AF132="Y"),1,0)</f>
        <v>0</v>
      </c>
      <c r="CL132" s="23" t="n">
        <f aca="false">IF(CK132=1,IF(COUNTIFS($AZ$2:$AZ$201,AZ132,$CK$2:$CK$201,1,$H$2:$H$201,"&lt;"&amp;H132)+COUNTIFS($AZ$2:$AZ$201,AZ132,$CK$2:$CK$201,1,$H$2:$H$201,H132,$BA$2:$BA$201,"&lt;"&amp;BA132)=0,1,0),0)</f>
        <v>0</v>
      </c>
      <c r="CM132" s="23" t="n">
        <f aca="false">IF(AND(BB132=1,U132="Y"),1,0)</f>
        <v>0</v>
      </c>
      <c r="CN132" s="23" t="n">
        <f aca="false">IF(CM132=1,IF(COUNTIFS($AZ$2:$AZ$201,AZ132,$CM$2:$CM$201,1,$H$2:$H$201,"&lt;"&amp;H132)+COUNTIFS($AZ$2:$AZ$201,AZ132,$CM$2:$CM$201,1,$H$2:$H$201,H132,$BA$2:$BA$201,"&lt;"&amp;BA132)=0,1,0),0)</f>
        <v>0</v>
      </c>
      <c r="CO132" s="23" t="n">
        <f aca="false">IF(AND(BB132=1,L132="Y"),1,0)</f>
        <v>0</v>
      </c>
      <c r="CP132" s="23" t="n">
        <f aca="false">IF(CO132=1,IF(COUNTIFS($AZ$2:$AZ$201,AZ132,$CO$2:$CO$201,1,$H$2:$H$201,"&lt;"&amp;H132)+COUNTIFS($AZ$2:$AZ$201,AZ132,$CO$2:$CO$201,1,$H$2:$H$201,H132,$BA$2:$BA$201,"&lt;"&amp;BA132)=0,1,0),0)</f>
        <v>0</v>
      </c>
      <c r="CQ132" s="23" t="n">
        <f aca="false">IF(AND(BB132=1,ISNUMBER(O132)),1,0)</f>
        <v>0</v>
      </c>
      <c r="CR132" s="23" t="n">
        <f aca="false">IF(CQ132=1,IF(COUNTIFS($AZ$2:$AZ$201,AZ132,$CQ$2:$CQ$201,1,$H$2:$H$201,"&lt;"&amp;H132)+COUNTIFS($AZ$2:$AZ$201,AZ132,$CQ$2:$CQ$201,1,$H$2:$H$201,H132,$BA$2:$BA$201,"&lt;"&amp;BA132)=0,1,0),0)</f>
        <v>0</v>
      </c>
      <c r="CS132" s="23" t="str">
        <f aca="false">IF(AND(CR132=1,INT(N(H132))&lt;=Config!$B$5),O132,"")</f>
        <v/>
      </c>
      <c r="CT132" s="23" t="str">
        <f aca="false">IF(AND(BB132=1,INT(N(H132))&lt;=Config!$B$5),AG132&amp;"","")</f>
        <v/>
      </c>
      <c r="CU132" s="23" t="n">
        <f aca="false">IF(AND(BB132=1,AU132="Y"),1,0)</f>
        <v>0</v>
      </c>
      <c r="CV132" s="23" t="n">
        <f aca="false">IF(CU132=1,IF(COUNTIFS($AZ$2:$AZ$201,AZ132,$CU$2:$CU$201,1,$H$2:$H$201,"&lt;"&amp;H132)+COUNTIFS($AZ$2:$AZ$201,AZ132,$CU$2:$CU$201,1,$H$2:$H$201,H132,$BA$2:$BA$201,"&lt;"&amp;BA132)=0,1,0),0)</f>
        <v>0</v>
      </c>
      <c r="CW132" s="23" t="str">
        <f aca="false">IF(BB132=1,IFERROR(MATCH($A132,INDEX(Clay_Offices!$A$2:$FZ$601,0,Sync!$C$5),0),""),"")</f>
        <v/>
      </c>
      <c r="CX132" s="23" t="str">
        <f aca="false">IF(CW132="","",IFERROR(INDEX(Clay_Offices!$A$2:$FZ$601,CW132,Sync!$C$7)&amp;"",""))</f>
        <v/>
      </c>
      <c r="CY132" s="23" t="str">
        <f aca="false">IF(CX132="","",IFERROR(INDEX(Lists!$K$2:$K$15,MATCH(CX132,Lists!$J$2:$J$15,0)),""))</f>
        <v/>
      </c>
      <c r="CZ132" s="23" t="str">
        <f aca="false">IF(CW132="","",IFERROR(INDEX(Clay_Offices!$A$2:$FZ$601,CW132,Sync!$C$17)&amp;"",""))</f>
        <v/>
      </c>
      <c r="DA132" s="35" t="str">
        <f aca="false">IF(CW132="","",IFERROR(N(INDEX(Clay_Offices!$A$2:$FZ$601,CW132,Sync!$C$16)),0))</f>
        <v/>
      </c>
      <c r="DB132" s="23" t="n">
        <f aca="false">IF(AND(BB132=1,OR(AR132="Y",AR132="N",AR132="maybe")),1,0)</f>
        <v>0</v>
      </c>
      <c r="DC132" s="23" t="n">
        <f aca="false">IF(AND(DB132=1),IF(COUNTIFS($A$2:$A$201,$A132,$DB$2:$DB$201,1,$H$2:$H$201,"&gt;"&amp;H132)+COUNTIFS($A$2:$A$201,$A132,$DB$2:$DB$201,1,$H$2:$H$201,H132,$BA$2:$BA$201,"&gt;"&amp;BA132)=0,1,0),0)</f>
        <v>0</v>
      </c>
      <c r="DD132" s="23" t="n">
        <f aca="false">IF(AND(DB132=1,INT(N(H132))&lt;=Config!$B$6),IF(COUNTIFS($AZ$2:$AZ$201,AZ132,$DB$2:$DB$201,1,$H$2:$H$201,"&gt;"&amp;H132,$H$2:$H$201,"&lt;"&amp;(Config!$B$6+1))+COUNTIFS($AZ$2:$AZ$201,AZ132,$DB$2:$DB$201,1,$H$2:$H$201,H132,$BA$2:$BA$201,"&gt;"&amp;BA132)=0,1,0),0)</f>
        <v>0</v>
      </c>
      <c r="DE132" s="23" t="n">
        <f aca="false">IF(AND(DB132=1,INT(N(H132))&lt;=Config!$B$7),IF(COUNTIFS($AZ$2:$AZ$201,AZ132,$DB$2:$DB$201,1,$H$2:$H$201,"&gt;"&amp;H132,$H$2:$H$201,"&lt;"&amp;(Config!$B$7+1))+COUNTIFS($AZ$2:$AZ$201,AZ132,$DB$2:$DB$201,1,$H$2:$H$201,H132,$BA$2:$BA$201,"&gt;"&amp;BA132)=0,1,0),0)</f>
        <v>0</v>
      </c>
      <c r="DF132" s="23" t="n">
        <f aca="false">IF(AND(DB132=1,INT(N(H132))&lt;=Config!$B$8),IF(COUNTIFS($AZ$2:$AZ$201,AZ132,$DB$2:$DB$201,1,$H$2:$H$201,"&gt;"&amp;H132,$H$2:$H$201,"&lt;"&amp;(Config!$B$8+1))+COUNTIFS($AZ$2:$AZ$201,AZ132,$DB$2:$DB$201,1,$H$2:$H$201,H132,$BA$2:$BA$201,"&gt;"&amp;BA132)=0,1,0),0)</f>
        <v>0</v>
      </c>
      <c r="DG132" s="23" t="n">
        <f aca="false">IF(AND(DB132=1,INT(N(H132))&lt;=Config!$B$5),IF(COUNTIFS($AZ$2:$AZ$201,AZ132,$DB$2:$DB$201,1,$H$2:$H$201,"&gt;"&amp;H132,$H$2:$H$201,"&lt;"&amp;(Config!$B$5+1))+COUNTIFS($AZ$2:$AZ$201,AZ132,$DB$2:$DB$201,1,$H$2:$H$201,H132,$BA$2:$BA$201,"&gt;"&amp;BA132)=0,1,0),0)</f>
        <v>0</v>
      </c>
      <c r="DH132" s="23" t="n">
        <f aca="false">IF(BB132=1,IF(COUNTIFS($AZ$2:$AZ$201,AZ132,$DD$2:$DD$201,1,$AR$2:$AR$201,"Y")&gt;0,1,0),0)</f>
        <v>0</v>
      </c>
      <c r="DI132" s="23" t="n">
        <f aca="false">IF(BB132=1,IF(COUNTIFS($AZ$2:$AZ$201,AZ132,$DE$2:$DE$201,1,$AR$2:$AR$201,"Y")&gt;0,1,0),0)</f>
        <v>0</v>
      </c>
      <c r="DJ132" s="23" t="n">
        <f aca="false">IF(BB132=1,IF(COUNTIFS($AZ$2:$AZ$201,AZ132,$DF$2:$DF$201,1,$AR$2:$AR$201,"Y")&gt;0,1,0),0)</f>
        <v>0</v>
      </c>
      <c r="DK132" s="23" t="n">
        <f aca="false">IF(BB132=1,IF(COUNTIFS($AZ$2:$AZ$201,AZ132,$DG$2:$DG$201,1,$AR$2:$AR$201,"Y")&gt;0,1,0),0)</f>
        <v>0</v>
      </c>
      <c r="DL132" s="23" t="n">
        <f aca="false">IF(AND(BF132=1,INT(N(H132))&lt;=Config!$B$6,DH132=1,EI132=0),1,0)</f>
        <v>0</v>
      </c>
      <c r="DM132" s="23" t="n">
        <f aca="false">IF(AND(BF132=1,INT(N(H132))&lt;=Config!$B$7,DI132=1,EI132=0),1,0)</f>
        <v>0</v>
      </c>
      <c r="DN132" s="23" t="n">
        <f aca="false">IF(AND(BF132=1,INT(N(H132))&lt;=Config!$B$8,DJ132=1,EI132=0),1,0)</f>
        <v>0</v>
      </c>
      <c r="DO132" s="23" t="n">
        <f aca="false">IF(AND(BF132=1,INT(N(H132))&lt;=Config!$B$5,DK132=1,EI132=0),1,0)</f>
        <v>0</v>
      </c>
      <c r="DP132" s="23" t="n">
        <f aca="false">IF(AND(CC132=1,INT(N(H132))&lt;=Config!$B$6,DH132=1,EI132=0),1,0)</f>
        <v>0</v>
      </c>
      <c r="DQ132" s="23" t="n">
        <f aca="false">IF(AND(CC132=1,INT(N(H132))&lt;=Config!$B$7,DI132=1,EI132=0),1,0)</f>
        <v>0</v>
      </c>
      <c r="DR132" s="23" t="n">
        <f aca="false">IF(AND(CC132=1,INT(N(H132))&lt;=Config!$B$8,DJ132=1,EI132=0),1,0)</f>
        <v>0</v>
      </c>
      <c r="DS132" s="23" t="n">
        <f aca="false">IF(AND(CC132=1,INT(N(H132))&lt;=Config!$B$5,DK132=1,EI132=0),1,0)</f>
        <v>0</v>
      </c>
      <c r="DT132" s="23" t="n">
        <f aca="false">IF(AND(CC132=1,INT(N(H132))&lt;=Config!$B$6,DH132=0),1,0)</f>
        <v>0</v>
      </c>
      <c r="DU132" s="23" t="n">
        <f aca="false">IF(AND(CC132=1,INT(N(H132))&lt;=Config!$B$7,DI132=0),1,0)</f>
        <v>0</v>
      </c>
      <c r="DV132" s="23" t="n">
        <f aca="false">IF(AND(CC132=1,INT(N(H132))&lt;=Config!$B$8,DJ132=0),1,0)</f>
        <v>0</v>
      </c>
      <c r="DW132" s="23" t="n">
        <f aca="false">IF(AND(CC132=1,INT(N(H132))&lt;=Config!$B$5,DK132=0),1,0)</f>
        <v>0</v>
      </c>
      <c r="DX132" s="23" t="n">
        <f aca="false">IF(TRIM($A132)="",0,ISTEXT(M132)+ISTEXT(O132)+ISTEXT(Y132)+ISTEXT(Z132)+ISTEXT(AA132)+ISTEXT(AV132))</f>
        <v>0</v>
      </c>
      <c r="DY132" s="23" t="n">
        <f aca="false">IF(BB132=1,IF(H132&lt;&gt;INT(H132),1,0),0)</f>
        <v>0</v>
      </c>
      <c r="DZ132" s="23" t="str">
        <f aca="false">IF(TRIM($A132)="","",IF(TRIM(B132)="",SUBSTITUTE(SUBSTITUTE(SUBSTITUTE(SUBSTITUTE(SUBSTITUTE(SUBSTITUTE(LOWER(TRIM($A132)),"~",""),"*",""),"?",""),"&lt;",""),"&gt;",""),"=",""),SUBSTITUTE(SUBSTITUTE(SUBSTITUTE(SUBSTITUTE(SUBSTITUTE(SUBSTITUTE(LOWER(TRIM(B132)),"~",""),"*",""),"?",""),"&lt;",""),"&gt;",""),"=","")))</f>
        <v/>
      </c>
      <c r="EA132" s="23" t="str">
        <f aca="false">IF(CW132="","",IFERROR(IF(LEFT(LOWER(TRIM(INDEX(Clay_Offices!$A$2:$FZ$601,CW132,Sync!$C$19)&amp;"")),4)="grp-",SUBSTITUTE(SUBSTITUTE(SUBSTITUTE(SUBSTITUTE(SUBSTITUTE(SUBSTITUTE(LOWER(TRIM(INDEX(Clay_Offices!$A$2:$FZ$601,CW132,Sync!$C$19)&amp;"")),"~",""),"*",""),"?",""),"&lt;",""),"&gt;",""),"=",""),""),""))</f>
        <v/>
      </c>
      <c r="EB132" s="23" t="str">
        <f aca="false">IF(EA132&lt;&gt;"",DZ132,"")</f>
        <v/>
      </c>
      <c r="EC132" s="23" t="str">
        <f aca="false">IF(BC132=1,AZ132,"")</f>
        <v/>
      </c>
      <c r="ED132" s="23" t="str">
        <f aca="false">IF(TRIM($A132)="","",IFERROR(INDEX($A$2:$A$201,MATCH(AZ132,$EC$2:$EC$201,0))&amp;"",$A132&amp;""))</f>
        <v/>
      </c>
      <c r="EE132" s="23" t="n">
        <f aca="false">IF(BB132=1,IF(COUNTIFS($A$2:$A$201,$A132,$BB$2:$BB$201,1,$H$2:$H$201,"&lt;"&amp;H132)+COUNTIFS($A$2:$A$201,$A132,$BB$2:$BB$201,1,$H$2:$H$201,H132,$BA$2:$BA$201,"&lt;"&amp;BA132)=0,1,0),0)</f>
        <v>0</v>
      </c>
      <c r="EF132" s="23" t="n">
        <f aca="false">IF(BC132=1,IF(COUNTIFS($AZ$2:$AZ$201,AZ132,$EE$2:$EE$201,1)&gt;1,1,0),0)</f>
        <v>0</v>
      </c>
      <c r="EG132" s="23" t="n">
        <f aca="false">IF(AND(CQ132=1),IF(COUNTIFS($AZ$2:$AZ$201,AZ132,$CQ$2:$CQ$201,1,$H$2:$H$201,"&gt;"&amp;H132)+COUNTIFS($AZ$2:$AZ$201,AZ132,$CQ$2:$CQ$201,1,$H$2:$H$201,H132,$BA$2:$BA$201,"&gt;"&amp;BA132)=0,1,0),0)</f>
        <v>0</v>
      </c>
      <c r="EH132" s="23" t="str">
        <f aca="false">IF(BB132=1,IF(COUNTIFS($AZ$2:$AZ$201,AZ132,$EG$2:$EG$201,1)=0,"",SUMIFS($O$2:$O$201,$AZ$2:$AZ$201,AZ132,$EG$2:$EG$201,1)),"")</f>
        <v/>
      </c>
      <c r="EI132" s="23" t="n">
        <f aca="false">IF(AND(ISNUMBER(EH132),OR(N(EH132)&lt;Config!$B$31,N(EH132)&gt;Config!$B$33)),1,0)</f>
        <v>0</v>
      </c>
      <c r="EJ132" s="23" t="n">
        <f aca="false">IF(AND(ISNUMBER(EH132),N(EH132)&gt;=Config!$B$31,N(EH132)&lt;Config!$B$32),1,0)</f>
        <v>0</v>
      </c>
      <c r="EK132" s="23" t="n">
        <f aca="false">IF(AND(BF132=1,INT(N(H132))&lt;=Config!$B$6,DH132=1,EI132=1),1,0)</f>
        <v>0</v>
      </c>
      <c r="EL132" s="23" t="n">
        <f aca="false">IF(AND(BF132=1,INT(N(H132))&lt;=Config!$B$7,DI132=1,EI132=1),1,0)</f>
        <v>0</v>
      </c>
      <c r="EM132" s="23" t="n">
        <f aca="false">IF(AND(BF132=1,INT(N(H132))&lt;=Config!$B$8,DJ132=1,EI132=1),1,0)</f>
        <v>0</v>
      </c>
      <c r="EN132" s="23" t="n">
        <f aca="false">IF(AND(BF132=1,INT(N(H132))&lt;=Config!$B$5,DK132=1,EI132=1),1,0)</f>
        <v>0</v>
      </c>
      <c r="EO132" s="23" t="n">
        <f aca="false">IF(AND(DL132=1,EJ132=1),1,0)</f>
        <v>0</v>
      </c>
      <c r="EP132" s="23" t="n">
        <f aca="false">IF(AND(DM132=1,EJ132=1),1,0)</f>
        <v>0</v>
      </c>
      <c r="EQ132" s="23" t="n">
        <f aca="false">IF(AND(DN132=1,EJ132=1),1,0)</f>
        <v>0</v>
      </c>
      <c r="ER132" s="23" t="n">
        <f aca="false">IF(AND(DO132=1,EJ132=1),1,0)</f>
        <v>0</v>
      </c>
    </row>
    <row r="133" customFormat="false" ht="15" hidden="false" customHeight="false" outlineLevel="0" collapsed="false">
      <c r="G133" s="32"/>
      <c r="H133" s="33"/>
      <c r="I133" s="32"/>
      <c r="L133" s="32"/>
      <c r="Q133" s="32"/>
      <c r="U133" s="32"/>
      <c r="W133" s="32"/>
      <c r="AC133" s="32"/>
      <c r="AF133" s="32"/>
      <c r="AI133" s="32"/>
      <c r="AJ133" s="32"/>
      <c r="AN133" s="32"/>
      <c r="AR133" s="32"/>
      <c r="AT133" s="32"/>
      <c r="AU133" s="32"/>
      <c r="AW133" s="32"/>
      <c r="AY133" s="34" t="str">
        <f aca="false">IF(TRIM($A133)="","",IF(AND(LEFT($A133,6)="SAMPLE",Config!$B$19&lt;&gt;"Y"),"",IF(NOT(ISNUMBER(H133)),"call_date is blank or not a date",IF(Sync!$C$5="","Clay paste is empty or has no row_id column: paste the Clay export on Clay_Offices",IF(CW133="","row_id not found in the Clay paste: add the Clay row or fix the row_id",IF(AND(ISNUMBER(CY133),CY133&gt;=1,CY133&lt;=5),"Clay status is "&amp;CX133&amp;": set call_done or later",IF(AND(BD133=1,CZ133&lt;&gt;BZ133),"Clay yes_in_principle should be "&amp;BZ133,IF(AND(BD133=1,DA133&lt;&gt;H133),"Clay call_date should be "&amp;TEXT(H133,"yyyy-mm-dd"),""))))))))</f>
        <v/>
      </c>
      <c r="AZ133" s="23" t="str">
        <f aca="false">IF(TRIM($A133)="","",IF(TRIM(C133)&lt;&gt;"",SUBSTITUTE(SUBSTITUTE(SUBSTITUTE(SUBSTITUTE(SUBSTITUTE(SUBSTITUTE(LOWER(TRIM(C133)),"~",""),"*",""),"?",""),"&lt;",""),"&gt;",""),"=",""),IF(EA133&lt;&gt;"",EA133,IFERROR(INDEX($EA$2:$EA$201,MATCH(DZ133,$EB$2:$EB$201,0)),DZ133))))</f>
        <v/>
      </c>
      <c r="BA133" s="23" t="n">
        <f aca="false">ROW()</f>
        <v>133</v>
      </c>
      <c r="BB133" s="23" t="n">
        <f aca="false">IF(AND(TRIM($A133)&lt;&gt;"",ISNUMBER(H133)),IF(AND(LEFT($A133,6)="SAMPLE",Config!$B$19&lt;&gt;"Y"),0,1),0)</f>
        <v>0</v>
      </c>
      <c r="BC133" s="23" t="n">
        <f aca="false">IF(BB133=1,IF(COUNTIFS($AZ$2:$AZ$201,AZ133,$BB$2:$BB$201,1,$H$2:$H$201,"&lt;"&amp;H133)+COUNTIFS($AZ$2:$AZ$201,AZ133,$BB$2:$BB$201,1,$H$2:$H$201,H133,$BA$2:$BA$201,"&lt;"&amp;BA133)=0,1,0),0)</f>
        <v>0</v>
      </c>
      <c r="BD133" s="23" t="n">
        <f aca="false">IF(BB133=1,IF(COUNTIFS($A$2:$A$201,$A133,$BB$2:$BB$201,1,$H$2:$H$201,"&gt;"&amp;H133)+COUNTIFS($A$2:$A$201,$A133,$BB$2:$BB$201,1,$H$2:$H$201,H133,$BA$2:$BA$201,"&gt;"&amp;BA133)=0,1,0),0)</f>
        <v>0</v>
      </c>
      <c r="BE133" s="23" t="n">
        <f aca="false">IF(AND(BB133=1,AR133="Y",AC133="Y",TRIM(AH133)&lt;&gt;""),1,0)</f>
        <v>0</v>
      </c>
      <c r="BF133" s="23" t="n">
        <f aca="false">IF(BE133=1,IF(COUNTIFS($AZ$2:$AZ$201,AZ133,$BE$2:$BE$201,1,$H$2:$H$201,"&lt;"&amp;H133)+COUNTIFS($AZ$2:$AZ$201,AZ133,$BE$2:$BE$201,1,$H$2:$H$201,H133,$BA$2:$BA$201,"&lt;"&amp;BA133)=0,1,0),0)</f>
        <v>0</v>
      </c>
      <c r="BG133" s="23" t="n">
        <f aca="false">IF(AND(BB133=1,AR133="Y",BE133=0),1,0)</f>
        <v>0</v>
      </c>
      <c r="BH133" s="23" t="n">
        <f aca="false">IF(AND(BB133=1,ISNUMBER(Y133)),1,0)</f>
        <v>0</v>
      </c>
      <c r="BI133" s="23" t="n">
        <f aca="false">IF(BH133=1,IF(COUNTIFS($AZ$2:$AZ$201,AZ133,$BH$2:$BH$201,1,$H$2:$H$201,"&lt;"&amp;H133)+COUNTIFS($AZ$2:$AZ$201,AZ133,$BH$2:$BH$201,1,$H$2:$H$201,H133,$BA$2:$BA$201,"&lt;"&amp;BA133)=0,1,0),0)</f>
        <v>0</v>
      </c>
      <c r="BJ133" s="23" t="str">
        <f aca="false">IF(AND(BI133=1,INT(N(H133))&lt;=Config!$B$6),Y133,"")</f>
        <v/>
      </c>
      <c r="BK133" s="23" t="str">
        <f aca="false">IF(AND(BI133=1,INT(N(H133))&lt;=Config!$B$7),Y133,"")</f>
        <v/>
      </c>
      <c r="BL133" s="23" t="str">
        <f aca="false">IF(AND(BI133=1,INT(N(H133))&lt;=Config!$B$8),Y133,"")</f>
        <v/>
      </c>
      <c r="BM133" s="23" t="str">
        <f aca="false">IF(AND(BI133=1,INT(N(H133))&lt;=Config!$B$5),Y133,"")</f>
        <v/>
      </c>
      <c r="BN133" s="23" t="n">
        <f aca="false">IF(CD133=1,IF(COUNTIFS($AZ$2:$AZ$201,AZ133,$CD$2:$CD$201,1,$H$2:$H$201,"&lt;"&amp;H133)+COUNTIFS($AZ$2:$AZ$201,AZ133,$CD$2:$CD$201,1,$H$2:$H$201,H133,$BA$2:$BA$201,"&lt;"&amp;BA133)=0,1,0),0)</f>
        <v>0</v>
      </c>
      <c r="BO133" s="23" t="n">
        <f aca="false">IF(AND(BB133=1,ISNUMBER(M133)),1,0)</f>
        <v>0</v>
      </c>
      <c r="BP133" s="23" t="n">
        <f aca="false">IF(BO133=1,IF(COUNTIFS($AZ$2:$AZ$201,AZ133,$BO$2:$BO$201,1,$H$2:$H$201,"&lt;"&amp;H133)+COUNTIFS($AZ$2:$AZ$201,AZ133,$BO$2:$BO$201,1,$H$2:$H$201,H133,$BA$2:$BA$201,"&lt;"&amp;BA133)=0,1,0),0)</f>
        <v>0</v>
      </c>
      <c r="BQ133" s="23" t="str">
        <f aca="false">IF(AND(BP133=1,INT(N(H133))&lt;=Config!$B$5),M133,"")</f>
        <v/>
      </c>
      <c r="BR133" s="23" t="n">
        <f aca="false">IF(AND(BB133=1,OR(TRIM(X133)&lt;&gt;"",ISNUMBER(Y133))),1,0)</f>
        <v>0</v>
      </c>
      <c r="BS133" s="23" t="n">
        <f aca="false">IF(BR133=1,IF(COUNTIFS($AZ$2:$AZ$201,AZ133,$BR$2:$BR$201,1,$H$2:$H$201,"&lt;"&amp;H133)+COUNTIFS($AZ$2:$AZ$201,AZ133,$BR$2:$BR$201,1,$H$2:$H$201,H133,$BA$2:$BA$201,"&lt;"&amp;BA133)=0,1,0),0)</f>
        <v>0</v>
      </c>
      <c r="BT133" s="23" t="str">
        <f aca="false">IF(BS133=1,AZ133,"")</f>
        <v/>
      </c>
      <c r="BU133" s="23" t="n">
        <f aca="false">IF(AND(BB133=1,W133="Y",TRIM(X133)=""),1,0)</f>
        <v>0</v>
      </c>
      <c r="BV133" s="23" t="str">
        <f aca="false">IF(BB133=1,AN133&amp;"","")</f>
        <v/>
      </c>
      <c r="BW133" s="23" t="str">
        <f aca="false">IF(BB133=1,AO133&amp;"","")</f>
        <v/>
      </c>
      <c r="BX133" s="23" t="str">
        <f aca="false">IF(BB133=1,AP133&amp;"","")</f>
        <v/>
      </c>
      <c r="BY133" s="23" t="str">
        <f aca="false">IF(AND(BB133=1,ISNUMBER(AV133),INT(N(H133))&lt;=Config!$B$5),AV133,"")</f>
        <v/>
      </c>
      <c r="BZ133" s="23" t="str">
        <f aca="false">IF(BB133=1,IF(COUNTIFS($A$2:$A$201,$A133,$DC$2:$DC$201,1,$AR$2:$AR$201,"Y")&gt;0,"Y","N"),"")</f>
        <v/>
      </c>
      <c r="CA133" s="23" t="n">
        <f aca="false">IF(AND(BB133=1,AR133="maybe"),1,0)</f>
        <v>0</v>
      </c>
      <c r="CB133" s="23" t="n">
        <f aca="false">IF(CA133=1,IF(COUNTIFS($AZ$2:$AZ$201,AZ133,$CA$2:$CA$201,1,$H$2:$H$201,"&lt;"&amp;H133)+COUNTIFS($AZ$2:$AZ$201,AZ133,$CA$2:$CA$201,1,$H$2:$H$201,H133,$BA$2:$BA$201,"&lt;"&amp;BA133)=0,1,0),0)</f>
        <v>0</v>
      </c>
      <c r="CC133" s="23" t="n">
        <f aca="false">IF(AND(BB133=1,AR133="Y"),IF(COUNTIFS($AZ$2:$AZ$201,AZ133,$AR$2:$AR$201,"Y",$BB$2:$BB$201,1,$H$2:$H$201,"&lt;"&amp;H133)+COUNTIFS($AZ$2:$AZ$201,AZ133,$AR$2:$AR$201,"Y",$BB$2:$BB$201,1,$H$2:$H$201,H133,$BA$2:$BA$201,"&lt;"&amp;BA133)=0,1,0),0)</f>
        <v>0</v>
      </c>
      <c r="CD133" s="23" t="n">
        <f aca="false">IF(AND(BH133=1,N(Y133)&gt;=Config!$B$15),1,0)</f>
        <v>0</v>
      </c>
      <c r="CE133" s="23" t="n">
        <f aca="false">IF(AND(BB133=1,AT133="Y"),1,0)</f>
        <v>0</v>
      </c>
      <c r="CF133" s="23" t="n">
        <f aca="false">IF(CE133=1,IF(COUNTIFS($AZ$2:$AZ$201,AZ133,$CE$2:$CE$201,1,$H$2:$H$201,"&lt;"&amp;H133)+COUNTIFS($AZ$2:$AZ$201,AZ133,$CE$2:$CE$201,1,$H$2:$H$201,H133,$BA$2:$BA$201,"&lt;"&amp;BA133)=0,1,0),0)</f>
        <v>0</v>
      </c>
      <c r="CG133" s="23" t="n">
        <f aca="false">IF(AND(BB133=1,G133="warm-intro"),1,0)</f>
        <v>0</v>
      </c>
      <c r="CH133" s="23" t="n">
        <f aca="false">IF(CG133=1,IF(COUNTIFS($AZ$2:$AZ$201,AZ133,$CG$2:$CG$201,1,$H$2:$H$201,"&lt;"&amp;H133)+COUNTIFS($AZ$2:$AZ$201,AZ133,$CG$2:$CG$201,1,$H$2:$H$201,H133,$BA$2:$BA$201,"&lt;"&amp;BA133)=0,1,0),0)</f>
        <v>0</v>
      </c>
      <c r="CI133" s="23" t="n">
        <f aca="false">IF(AND(BB133=1,Q133="Y"),1,0)</f>
        <v>0</v>
      </c>
      <c r="CJ133" s="23" t="n">
        <f aca="false">IF(CI133=1,IF(COUNTIFS($AZ$2:$AZ$201,AZ133,$CI$2:$CI$201,1,$H$2:$H$201,"&lt;"&amp;H133)+COUNTIFS($AZ$2:$AZ$201,AZ133,$CI$2:$CI$201,1,$H$2:$H$201,H133,$BA$2:$BA$201,"&lt;"&amp;BA133)=0,1,0),0)</f>
        <v>0</v>
      </c>
      <c r="CK133" s="23" t="n">
        <f aca="false">IF(AND(BB133=1,AF133="Y"),1,0)</f>
        <v>0</v>
      </c>
      <c r="CL133" s="23" t="n">
        <f aca="false">IF(CK133=1,IF(COUNTIFS($AZ$2:$AZ$201,AZ133,$CK$2:$CK$201,1,$H$2:$H$201,"&lt;"&amp;H133)+COUNTIFS($AZ$2:$AZ$201,AZ133,$CK$2:$CK$201,1,$H$2:$H$201,H133,$BA$2:$BA$201,"&lt;"&amp;BA133)=0,1,0),0)</f>
        <v>0</v>
      </c>
      <c r="CM133" s="23" t="n">
        <f aca="false">IF(AND(BB133=1,U133="Y"),1,0)</f>
        <v>0</v>
      </c>
      <c r="CN133" s="23" t="n">
        <f aca="false">IF(CM133=1,IF(COUNTIFS($AZ$2:$AZ$201,AZ133,$CM$2:$CM$201,1,$H$2:$H$201,"&lt;"&amp;H133)+COUNTIFS($AZ$2:$AZ$201,AZ133,$CM$2:$CM$201,1,$H$2:$H$201,H133,$BA$2:$BA$201,"&lt;"&amp;BA133)=0,1,0),0)</f>
        <v>0</v>
      </c>
      <c r="CO133" s="23" t="n">
        <f aca="false">IF(AND(BB133=1,L133="Y"),1,0)</f>
        <v>0</v>
      </c>
      <c r="CP133" s="23" t="n">
        <f aca="false">IF(CO133=1,IF(COUNTIFS($AZ$2:$AZ$201,AZ133,$CO$2:$CO$201,1,$H$2:$H$201,"&lt;"&amp;H133)+COUNTIFS($AZ$2:$AZ$201,AZ133,$CO$2:$CO$201,1,$H$2:$H$201,H133,$BA$2:$BA$201,"&lt;"&amp;BA133)=0,1,0),0)</f>
        <v>0</v>
      </c>
      <c r="CQ133" s="23" t="n">
        <f aca="false">IF(AND(BB133=1,ISNUMBER(O133)),1,0)</f>
        <v>0</v>
      </c>
      <c r="CR133" s="23" t="n">
        <f aca="false">IF(CQ133=1,IF(COUNTIFS($AZ$2:$AZ$201,AZ133,$CQ$2:$CQ$201,1,$H$2:$H$201,"&lt;"&amp;H133)+COUNTIFS($AZ$2:$AZ$201,AZ133,$CQ$2:$CQ$201,1,$H$2:$H$201,H133,$BA$2:$BA$201,"&lt;"&amp;BA133)=0,1,0),0)</f>
        <v>0</v>
      </c>
      <c r="CS133" s="23" t="str">
        <f aca="false">IF(AND(CR133=1,INT(N(H133))&lt;=Config!$B$5),O133,"")</f>
        <v/>
      </c>
      <c r="CT133" s="23" t="str">
        <f aca="false">IF(AND(BB133=1,INT(N(H133))&lt;=Config!$B$5),AG133&amp;"","")</f>
        <v/>
      </c>
      <c r="CU133" s="23" t="n">
        <f aca="false">IF(AND(BB133=1,AU133="Y"),1,0)</f>
        <v>0</v>
      </c>
      <c r="CV133" s="23" t="n">
        <f aca="false">IF(CU133=1,IF(COUNTIFS($AZ$2:$AZ$201,AZ133,$CU$2:$CU$201,1,$H$2:$H$201,"&lt;"&amp;H133)+COUNTIFS($AZ$2:$AZ$201,AZ133,$CU$2:$CU$201,1,$H$2:$H$201,H133,$BA$2:$BA$201,"&lt;"&amp;BA133)=0,1,0),0)</f>
        <v>0</v>
      </c>
      <c r="CW133" s="23" t="str">
        <f aca="false">IF(BB133=1,IFERROR(MATCH($A133,INDEX(Clay_Offices!$A$2:$FZ$601,0,Sync!$C$5),0),""),"")</f>
        <v/>
      </c>
      <c r="CX133" s="23" t="str">
        <f aca="false">IF(CW133="","",IFERROR(INDEX(Clay_Offices!$A$2:$FZ$601,CW133,Sync!$C$7)&amp;"",""))</f>
        <v/>
      </c>
      <c r="CY133" s="23" t="str">
        <f aca="false">IF(CX133="","",IFERROR(INDEX(Lists!$K$2:$K$15,MATCH(CX133,Lists!$J$2:$J$15,0)),""))</f>
        <v/>
      </c>
      <c r="CZ133" s="23" t="str">
        <f aca="false">IF(CW133="","",IFERROR(INDEX(Clay_Offices!$A$2:$FZ$601,CW133,Sync!$C$17)&amp;"",""))</f>
        <v/>
      </c>
      <c r="DA133" s="35" t="str">
        <f aca="false">IF(CW133="","",IFERROR(N(INDEX(Clay_Offices!$A$2:$FZ$601,CW133,Sync!$C$16)),0))</f>
        <v/>
      </c>
      <c r="DB133" s="23" t="n">
        <f aca="false">IF(AND(BB133=1,OR(AR133="Y",AR133="N",AR133="maybe")),1,0)</f>
        <v>0</v>
      </c>
      <c r="DC133" s="23" t="n">
        <f aca="false">IF(AND(DB133=1),IF(COUNTIFS($A$2:$A$201,$A133,$DB$2:$DB$201,1,$H$2:$H$201,"&gt;"&amp;H133)+COUNTIFS($A$2:$A$201,$A133,$DB$2:$DB$201,1,$H$2:$H$201,H133,$BA$2:$BA$201,"&gt;"&amp;BA133)=0,1,0),0)</f>
        <v>0</v>
      </c>
      <c r="DD133" s="23" t="n">
        <f aca="false">IF(AND(DB133=1,INT(N(H133))&lt;=Config!$B$6),IF(COUNTIFS($AZ$2:$AZ$201,AZ133,$DB$2:$DB$201,1,$H$2:$H$201,"&gt;"&amp;H133,$H$2:$H$201,"&lt;"&amp;(Config!$B$6+1))+COUNTIFS($AZ$2:$AZ$201,AZ133,$DB$2:$DB$201,1,$H$2:$H$201,H133,$BA$2:$BA$201,"&gt;"&amp;BA133)=0,1,0),0)</f>
        <v>0</v>
      </c>
      <c r="DE133" s="23" t="n">
        <f aca="false">IF(AND(DB133=1,INT(N(H133))&lt;=Config!$B$7),IF(COUNTIFS($AZ$2:$AZ$201,AZ133,$DB$2:$DB$201,1,$H$2:$H$201,"&gt;"&amp;H133,$H$2:$H$201,"&lt;"&amp;(Config!$B$7+1))+COUNTIFS($AZ$2:$AZ$201,AZ133,$DB$2:$DB$201,1,$H$2:$H$201,H133,$BA$2:$BA$201,"&gt;"&amp;BA133)=0,1,0),0)</f>
        <v>0</v>
      </c>
      <c r="DF133" s="23" t="n">
        <f aca="false">IF(AND(DB133=1,INT(N(H133))&lt;=Config!$B$8),IF(COUNTIFS($AZ$2:$AZ$201,AZ133,$DB$2:$DB$201,1,$H$2:$H$201,"&gt;"&amp;H133,$H$2:$H$201,"&lt;"&amp;(Config!$B$8+1))+COUNTIFS($AZ$2:$AZ$201,AZ133,$DB$2:$DB$201,1,$H$2:$H$201,H133,$BA$2:$BA$201,"&gt;"&amp;BA133)=0,1,0),0)</f>
        <v>0</v>
      </c>
      <c r="DG133" s="23" t="n">
        <f aca="false">IF(AND(DB133=1,INT(N(H133))&lt;=Config!$B$5),IF(COUNTIFS($AZ$2:$AZ$201,AZ133,$DB$2:$DB$201,1,$H$2:$H$201,"&gt;"&amp;H133,$H$2:$H$201,"&lt;"&amp;(Config!$B$5+1))+COUNTIFS($AZ$2:$AZ$201,AZ133,$DB$2:$DB$201,1,$H$2:$H$201,H133,$BA$2:$BA$201,"&gt;"&amp;BA133)=0,1,0),0)</f>
        <v>0</v>
      </c>
      <c r="DH133" s="23" t="n">
        <f aca="false">IF(BB133=1,IF(COUNTIFS($AZ$2:$AZ$201,AZ133,$DD$2:$DD$201,1,$AR$2:$AR$201,"Y")&gt;0,1,0),0)</f>
        <v>0</v>
      </c>
      <c r="DI133" s="23" t="n">
        <f aca="false">IF(BB133=1,IF(COUNTIFS($AZ$2:$AZ$201,AZ133,$DE$2:$DE$201,1,$AR$2:$AR$201,"Y")&gt;0,1,0),0)</f>
        <v>0</v>
      </c>
      <c r="DJ133" s="23" t="n">
        <f aca="false">IF(BB133=1,IF(COUNTIFS($AZ$2:$AZ$201,AZ133,$DF$2:$DF$201,1,$AR$2:$AR$201,"Y")&gt;0,1,0),0)</f>
        <v>0</v>
      </c>
      <c r="DK133" s="23" t="n">
        <f aca="false">IF(BB133=1,IF(COUNTIFS($AZ$2:$AZ$201,AZ133,$DG$2:$DG$201,1,$AR$2:$AR$201,"Y")&gt;0,1,0),0)</f>
        <v>0</v>
      </c>
      <c r="DL133" s="23" t="n">
        <f aca="false">IF(AND(BF133=1,INT(N(H133))&lt;=Config!$B$6,DH133=1,EI133=0),1,0)</f>
        <v>0</v>
      </c>
      <c r="DM133" s="23" t="n">
        <f aca="false">IF(AND(BF133=1,INT(N(H133))&lt;=Config!$B$7,DI133=1,EI133=0),1,0)</f>
        <v>0</v>
      </c>
      <c r="DN133" s="23" t="n">
        <f aca="false">IF(AND(BF133=1,INT(N(H133))&lt;=Config!$B$8,DJ133=1,EI133=0),1,0)</f>
        <v>0</v>
      </c>
      <c r="DO133" s="23" t="n">
        <f aca="false">IF(AND(BF133=1,INT(N(H133))&lt;=Config!$B$5,DK133=1,EI133=0),1,0)</f>
        <v>0</v>
      </c>
      <c r="DP133" s="23" t="n">
        <f aca="false">IF(AND(CC133=1,INT(N(H133))&lt;=Config!$B$6,DH133=1,EI133=0),1,0)</f>
        <v>0</v>
      </c>
      <c r="DQ133" s="23" t="n">
        <f aca="false">IF(AND(CC133=1,INT(N(H133))&lt;=Config!$B$7,DI133=1,EI133=0),1,0)</f>
        <v>0</v>
      </c>
      <c r="DR133" s="23" t="n">
        <f aca="false">IF(AND(CC133=1,INT(N(H133))&lt;=Config!$B$8,DJ133=1,EI133=0),1,0)</f>
        <v>0</v>
      </c>
      <c r="DS133" s="23" t="n">
        <f aca="false">IF(AND(CC133=1,INT(N(H133))&lt;=Config!$B$5,DK133=1,EI133=0),1,0)</f>
        <v>0</v>
      </c>
      <c r="DT133" s="23" t="n">
        <f aca="false">IF(AND(CC133=1,INT(N(H133))&lt;=Config!$B$6,DH133=0),1,0)</f>
        <v>0</v>
      </c>
      <c r="DU133" s="23" t="n">
        <f aca="false">IF(AND(CC133=1,INT(N(H133))&lt;=Config!$B$7,DI133=0),1,0)</f>
        <v>0</v>
      </c>
      <c r="DV133" s="23" t="n">
        <f aca="false">IF(AND(CC133=1,INT(N(H133))&lt;=Config!$B$8,DJ133=0),1,0)</f>
        <v>0</v>
      </c>
      <c r="DW133" s="23" t="n">
        <f aca="false">IF(AND(CC133=1,INT(N(H133))&lt;=Config!$B$5,DK133=0),1,0)</f>
        <v>0</v>
      </c>
      <c r="DX133" s="23" t="n">
        <f aca="false">IF(TRIM($A133)="",0,ISTEXT(M133)+ISTEXT(O133)+ISTEXT(Y133)+ISTEXT(Z133)+ISTEXT(AA133)+ISTEXT(AV133))</f>
        <v>0</v>
      </c>
      <c r="DY133" s="23" t="n">
        <f aca="false">IF(BB133=1,IF(H133&lt;&gt;INT(H133),1,0),0)</f>
        <v>0</v>
      </c>
      <c r="DZ133" s="23" t="str">
        <f aca="false">IF(TRIM($A133)="","",IF(TRIM(B133)="",SUBSTITUTE(SUBSTITUTE(SUBSTITUTE(SUBSTITUTE(SUBSTITUTE(SUBSTITUTE(LOWER(TRIM($A133)),"~",""),"*",""),"?",""),"&lt;",""),"&gt;",""),"=",""),SUBSTITUTE(SUBSTITUTE(SUBSTITUTE(SUBSTITUTE(SUBSTITUTE(SUBSTITUTE(LOWER(TRIM(B133)),"~",""),"*",""),"?",""),"&lt;",""),"&gt;",""),"=","")))</f>
        <v/>
      </c>
      <c r="EA133" s="23" t="str">
        <f aca="false">IF(CW133="","",IFERROR(IF(LEFT(LOWER(TRIM(INDEX(Clay_Offices!$A$2:$FZ$601,CW133,Sync!$C$19)&amp;"")),4)="grp-",SUBSTITUTE(SUBSTITUTE(SUBSTITUTE(SUBSTITUTE(SUBSTITUTE(SUBSTITUTE(LOWER(TRIM(INDEX(Clay_Offices!$A$2:$FZ$601,CW133,Sync!$C$19)&amp;"")),"~",""),"*",""),"?",""),"&lt;",""),"&gt;",""),"=",""),""),""))</f>
        <v/>
      </c>
      <c r="EB133" s="23" t="str">
        <f aca="false">IF(EA133&lt;&gt;"",DZ133,"")</f>
        <v/>
      </c>
      <c r="EC133" s="23" t="str">
        <f aca="false">IF(BC133=1,AZ133,"")</f>
        <v/>
      </c>
      <c r="ED133" s="23" t="str">
        <f aca="false">IF(TRIM($A133)="","",IFERROR(INDEX($A$2:$A$201,MATCH(AZ133,$EC$2:$EC$201,0))&amp;"",$A133&amp;""))</f>
        <v/>
      </c>
      <c r="EE133" s="23" t="n">
        <f aca="false">IF(BB133=1,IF(COUNTIFS($A$2:$A$201,$A133,$BB$2:$BB$201,1,$H$2:$H$201,"&lt;"&amp;H133)+COUNTIFS($A$2:$A$201,$A133,$BB$2:$BB$201,1,$H$2:$H$201,H133,$BA$2:$BA$201,"&lt;"&amp;BA133)=0,1,0),0)</f>
        <v>0</v>
      </c>
      <c r="EF133" s="23" t="n">
        <f aca="false">IF(BC133=1,IF(COUNTIFS($AZ$2:$AZ$201,AZ133,$EE$2:$EE$201,1)&gt;1,1,0),0)</f>
        <v>0</v>
      </c>
      <c r="EG133" s="23" t="n">
        <f aca="false">IF(AND(CQ133=1),IF(COUNTIFS($AZ$2:$AZ$201,AZ133,$CQ$2:$CQ$201,1,$H$2:$H$201,"&gt;"&amp;H133)+COUNTIFS($AZ$2:$AZ$201,AZ133,$CQ$2:$CQ$201,1,$H$2:$H$201,H133,$BA$2:$BA$201,"&gt;"&amp;BA133)=0,1,0),0)</f>
        <v>0</v>
      </c>
      <c r="EH133" s="23" t="str">
        <f aca="false">IF(BB133=1,IF(COUNTIFS($AZ$2:$AZ$201,AZ133,$EG$2:$EG$201,1)=0,"",SUMIFS($O$2:$O$201,$AZ$2:$AZ$201,AZ133,$EG$2:$EG$201,1)),"")</f>
        <v/>
      </c>
      <c r="EI133" s="23" t="n">
        <f aca="false">IF(AND(ISNUMBER(EH133),OR(N(EH133)&lt;Config!$B$31,N(EH133)&gt;Config!$B$33)),1,0)</f>
        <v>0</v>
      </c>
      <c r="EJ133" s="23" t="n">
        <f aca="false">IF(AND(ISNUMBER(EH133),N(EH133)&gt;=Config!$B$31,N(EH133)&lt;Config!$B$32),1,0)</f>
        <v>0</v>
      </c>
      <c r="EK133" s="23" t="n">
        <f aca="false">IF(AND(BF133=1,INT(N(H133))&lt;=Config!$B$6,DH133=1,EI133=1),1,0)</f>
        <v>0</v>
      </c>
      <c r="EL133" s="23" t="n">
        <f aca="false">IF(AND(BF133=1,INT(N(H133))&lt;=Config!$B$7,DI133=1,EI133=1),1,0)</f>
        <v>0</v>
      </c>
      <c r="EM133" s="23" t="n">
        <f aca="false">IF(AND(BF133=1,INT(N(H133))&lt;=Config!$B$8,DJ133=1,EI133=1),1,0)</f>
        <v>0</v>
      </c>
      <c r="EN133" s="23" t="n">
        <f aca="false">IF(AND(BF133=1,INT(N(H133))&lt;=Config!$B$5,DK133=1,EI133=1),1,0)</f>
        <v>0</v>
      </c>
      <c r="EO133" s="23" t="n">
        <f aca="false">IF(AND(DL133=1,EJ133=1),1,0)</f>
        <v>0</v>
      </c>
      <c r="EP133" s="23" t="n">
        <f aca="false">IF(AND(DM133=1,EJ133=1),1,0)</f>
        <v>0</v>
      </c>
      <c r="EQ133" s="23" t="n">
        <f aca="false">IF(AND(DN133=1,EJ133=1),1,0)</f>
        <v>0</v>
      </c>
      <c r="ER133" s="23" t="n">
        <f aca="false">IF(AND(DO133=1,EJ133=1),1,0)</f>
        <v>0</v>
      </c>
    </row>
    <row r="134" customFormat="false" ht="15" hidden="false" customHeight="false" outlineLevel="0" collapsed="false">
      <c r="G134" s="32"/>
      <c r="H134" s="33"/>
      <c r="I134" s="32"/>
      <c r="L134" s="32"/>
      <c r="Q134" s="32"/>
      <c r="U134" s="32"/>
      <c r="W134" s="32"/>
      <c r="AC134" s="32"/>
      <c r="AF134" s="32"/>
      <c r="AI134" s="32"/>
      <c r="AJ134" s="32"/>
      <c r="AN134" s="32"/>
      <c r="AR134" s="32"/>
      <c r="AT134" s="32"/>
      <c r="AU134" s="32"/>
      <c r="AW134" s="32"/>
      <c r="AY134" s="34" t="str">
        <f aca="false">IF(TRIM($A134)="","",IF(AND(LEFT($A134,6)="SAMPLE",Config!$B$19&lt;&gt;"Y"),"",IF(NOT(ISNUMBER(H134)),"call_date is blank or not a date",IF(Sync!$C$5="","Clay paste is empty or has no row_id column: paste the Clay export on Clay_Offices",IF(CW134="","row_id not found in the Clay paste: add the Clay row or fix the row_id",IF(AND(ISNUMBER(CY134),CY134&gt;=1,CY134&lt;=5),"Clay status is "&amp;CX134&amp;": set call_done or later",IF(AND(BD134=1,CZ134&lt;&gt;BZ134),"Clay yes_in_principle should be "&amp;BZ134,IF(AND(BD134=1,DA134&lt;&gt;H134),"Clay call_date should be "&amp;TEXT(H134,"yyyy-mm-dd"),""))))))))</f>
        <v/>
      </c>
      <c r="AZ134" s="23" t="str">
        <f aca="false">IF(TRIM($A134)="","",IF(TRIM(C134)&lt;&gt;"",SUBSTITUTE(SUBSTITUTE(SUBSTITUTE(SUBSTITUTE(SUBSTITUTE(SUBSTITUTE(LOWER(TRIM(C134)),"~",""),"*",""),"?",""),"&lt;",""),"&gt;",""),"=",""),IF(EA134&lt;&gt;"",EA134,IFERROR(INDEX($EA$2:$EA$201,MATCH(DZ134,$EB$2:$EB$201,0)),DZ134))))</f>
        <v/>
      </c>
      <c r="BA134" s="23" t="n">
        <f aca="false">ROW()</f>
        <v>134</v>
      </c>
      <c r="BB134" s="23" t="n">
        <f aca="false">IF(AND(TRIM($A134)&lt;&gt;"",ISNUMBER(H134)),IF(AND(LEFT($A134,6)="SAMPLE",Config!$B$19&lt;&gt;"Y"),0,1),0)</f>
        <v>0</v>
      </c>
      <c r="BC134" s="23" t="n">
        <f aca="false">IF(BB134=1,IF(COUNTIFS($AZ$2:$AZ$201,AZ134,$BB$2:$BB$201,1,$H$2:$H$201,"&lt;"&amp;H134)+COUNTIFS($AZ$2:$AZ$201,AZ134,$BB$2:$BB$201,1,$H$2:$H$201,H134,$BA$2:$BA$201,"&lt;"&amp;BA134)=0,1,0),0)</f>
        <v>0</v>
      </c>
      <c r="BD134" s="23" t="n">
        <f aca="false">IF(BB134=1,IF(COUNTIFS($A$2:$A$201,$A134,$BB$2:$BB$201,1,$H$2:$H$201,"&gt;"&amp;H134)+COUNTIFS($A$2:$A$201,$A134,$BB$2:$BB$201,1,$H$2:$H$201,H134,$BA$2:$BA$201,"&gt;"&amp;BA134)=0,1,0),0)</f>
        <v>0</v>
      </c>
      <c r="BE134" s="23" t="n">
        <f aca="false">IF(AND(BB134=1,AR134="Y",AC134="Y",TRIM(AH134)&lt;&gt;""),1,0)</f>
        <v>0</v>
      </c>
      <c r="BF134" s="23" t="n">
        <f aca="false">IF(BE134=1,IF(COUNTIFS($AZ$2:$AZ$201,AZ134,$BE$2:$BE$201,1,$H$2:$H$201,"&lt;"&amp;H134)+COUNTIFS($AZ$2:$AZ$201,AZ134,$BE$2:$BE$201,1,$H$2:$H$201,H134,$BA$2:$BA$201,"&lt;"&amp;BA134)=0,1,0),0)</f>
        <v>0</v>
      </c>
      <c r="BG134" s="23" t="n">
        <f aca="false">IF(AND(BB134=1,AR134="Y",BE134=0),1,0)</f>
        <v>0</v>
      </c>
      <c r="BH134" s="23" t="n">
        <f aca="false">IF(AND(BB134=1,ISNUMBER(Y134)),1,0)</f>
        <v>0</v>
      </c>
      <c r="BI134" s="23" t="n">
        <f aca="false">IF(BH134=1,IF(COUNTIFS($AZ$2:$AZ$201,AZ134,$BH$2:$BH$201,1,$H$2:$H$201,"&lt;"&amp;H134)+COUNTIFS($AZ$2:$AZ$201,AZ134,$BH$2:$BH$201,1,$H$2:$H$201,H134,$BA$2:$BA$201,"&lt;"&amp;BA134)=0,1,0),0)</f>
        <v>0</v>
      </c>
      <c r="BJ134" s="23" t="str">
        <f aca="false">IF(AND(BI134=1,INT(N(H134))&lt;=Config!$B$6),Y134,"")</f>
        <v/>
      </c>
      <c r="BK134" s="23" t="str">
        <f aca="false">IF(AND(BI134=1,INT(N(H134))&lt;=Config!$B$7),Y134,"")</f>
        <v/>
      </c>
      <c r="BL134" s="23" t="str">
        <f aca="false">IF(AND(BI134=1,INT(N(H134))&lt;=Config!$B$8),Y134,"")</f>
        <v/>
      </c>
      <c r="BM134" s="23" t="str">
        <f aca="false">IF(AND(BI134=1,INT(N(H134))&lt;=Config!$B$5),Y134,"")</f>
        <v/>
      </c>
      <c r="BN134" s="23" t="n">
        <f aca="false">IF(CD134=1,IF(COUNTIFS($AZ$2:$AZ$201,AZ134,$CD$2:$CD$201,1,$H$2:$H$201,"&lt;"&amp;H134)+COUNTIFS($AZ$2:$AZ$201,AZ134,$CD$2:$CD$201,1,$H$2:$H$201,H134,$BA$2:$BA$201,"&lt;"&amp;BA134)=0,1,0),0)</f>
        <v>0</v>
      </c>
      <c r="BO134" s="23" t="n">
        <f aca="false">IF(AND(BB134=1,ISNUMBER(M134)),1,0)</f>
        <v>0</v>
      </c>
      <c r="BP134" s="23" t="n">
        <f aca="false">IF(BO134=1,IF(COUNTIFS($AZ$2:$AZ$201,AZ134,$BO$2:$BO$201,1,$H$2:$H$201,"&lt;"&amp;H134)+COUNTIFS($AZ$2:$AZ$201,AZ134,$BO$2:$BO$201,1,$H$2:$H$201,H134,$BA$2:$BA$201,"&lt;"&amp;BA134)=0,1,0),0)</f>
        <v>0</v>
      </c>
      <c r="BQ134" s="23" t="str">
        <f aca="false">IF(AND(BP134=1,INT(N(H134))&lt;=Config!$B$5),M134,"")</f>
        <v/>
      </c>
      <c r="BR134" s="23" t="n">
        <f aca="false">IF(AND(BB134=1,OR(TRIM(X134)&lt;&gt;"",ISNUMBER(Y134))),1,0)</f>
        <v>0</v>
      </c>
      <c r="BS134" s="23" t="n">
        <f aca="false">IF(BR134=1,IF(COUNTIFS($AZ$2:$AZ$201,AZ134,$BR$2:$BR$201,1,$H$2:$H$201,"&lt;"&amp;H134)+COUNTIFS($AZ$2:$AZ$201,AZ134,$BR$2:$BR$201,1,$H$2:$H$201,H134,$BA$2:$BA$201,"&lt;"&amp;BA134)=0,1,0),0)</f>
        <v>0</v>
      </c>
      <c r="BT134" s="23" t="str">
        <f aca="false">IF(BS134=1,AZ134,"")</f>
        <v/>
      </c>
      <c r="BU134" s="23" t="n">
        <f aca="false">IF(AND(BB134=1,W134="Y",TRIM(X134)=""),1,0)</f>
        <v>0</v>
      </c>
      <c r="BV134" s="23" t="str">
        <f aca="false">IF(BB134=1,AN134&amp;"","")</f>
        <v/>
      </c>
      <c r="BW134" s="23" t="str">
        <f aca="false">IF(BB134=1,AO134&amp;"","")</f>
        <v/>
      </c>
      <c r="BX134" s="23" t="str">
        <f aca="false">IF(BB134=1,AP134&amp;"","")</f>
        <v/>
      </c>
      <c r="BY134" s="23" t="str">
        <f aca="false">IF(AND(BB134=1,ISNUMBER(AV134),INT(N(H134))&lt;=Config!$B$5),AV134,"")</f>
        <v/>
      </c>
      <c r="BZ134" s="23" t="str">
        <f aca="false">IF(BB134=1,IF(COUNTIFS($A$2:$A$201,$A134,$DC$2:$DC$201,1,$AR$2:$AR$201,"Y")&gt;0,"Y","N"),"")</f>
        <v/>
      </c>
      <c r="CA134" s="23" t="n">
        <f aca="false">IF(AND(BB134=1,AR134="maybe"),1,0)</f>
        <v>0</v>
      </c>
      <c r="CB134" s="23" t="n">
        <f aca="false">IF(CA134=1,IF(COUNTIFS($AZ$2:$AZ$201,AZ134,$CA$2:$CA$201,1,$H$2:$H$201,"&lt;"&amp;H134)+COUNTIFS($AZ$2:$AZ$201,AZ134,$CA$2:$CA$201,1,$H$2:$H$201,H134,$BA$2:$BA$201,"&lt;"&amp;BA134)=0,1,0),0)</f>
        <v>0</v>
      </c>
      <c r="CC134" s="23" t="n">
        <f aca="false">IF(AND(BB134=1,AR134="Y"),IF(COUNTIFS($AZ$2:$AZ$201,AZ134,$AR$2:$AR$201,"Y",$BB$2:$BB$201,1,$H$2:$H$201,"&lt;"&amp;H134)+COUNTIFS($AZ$2:$AZ$201,AZ134,$AR$2:$AR$201,"Y",$BB$2:$BB$201,1,$H$2:$H$201,H134,$BA$2:$BA$201,"&lt;"&amp;BA134)=0,1,0),0)</f>
        <v>0</v>
      </c>
      <c r="CD134" s="23" t="n">
        <f aca="false">IF(AND(BH134=1,N(Y134)&gt;=Config!$B$15),1,0)</f>
        <v>0</v>
      </c>
      <c r="CE134" s="23" t="n">
        <f aca="false">IF(AND(BB134=1,AT134="Y"),1,0)</f>
        <v>0</v>
      </c>
      <c r="CF134" s="23" t="n">
        <f aca="false">IF(CE134=1,IF(COUNTIFS($AZ$2:$AZ$201,AZ134,$CE$2:$CE$201,1,$H$2:$H$201,"&lt;"&amp;H134)+COUNTIFS($AZ$2:$AZ$201,AZ134,$CE$2:$CE$201,1,$H$2:$H$201,H134,$BA$2:$BA$201,"&lt;"&amp;BA134)=0,1,0),0)</f>
        <v>0</v>
      </c>
      <c r="CG134" s="23" t="n">
        <f aca="false">IF(AND(BB134=1,G134="warm-intro"),1,0)</f>
        <v>0</v>
      </c>
      <c r="CH134" s="23" t="n">
        <f aca="false">IF(CG134=1,IF(COUNTIFS($AZ$2:$AZ$201,AZ134,$CG$2:$CG$201,1,$H$2:$H$201,"&lt;"&amp;H134)+COUNTIFS($AZ$2:$AZ$201,AZ134,$CG$2:$CG$201,1,$H$2:$H$201,H134,$BA$2:$BA$201,"&lt;"&amp;BA134)=0,1,0),0)</f>
        <v>0</v>
      </c>
      <c r="CI134" s="23" t="n">
        <f aca="false">IF(AND(BB134=1,Q134="Y"),1,0)</f>
        <v>0</v>
      </c>
      <c r="CJ134" s="23" t="n">
        <f aca="false">IF(CI134=1,IF(COUNTIFS($AZ$2:$AZ$201,AZ134,$CI$2:$CI$201,1,$H$2:$H$201,"&lt;"&amp;H134)+COUNTIFS($AZ$2:$AZ$201,AZ134,$CI$2:$CI$201,1,$H$2:$H$201,H134,$BA$2:$BA$201,"&lt;"&amp;BA134)=0,1,0),0)</f>
        <v>0</v>
      </c>
      <c r="CK134" s="23" t="n">
        <f aca="false">IF(AND(BB134=1,AF134="Y"),1,0)</f>
        <v>0</v>
      </c>
      <c r="CL134" s="23" t="n">
        <f aca="false">IF(CK134=1,IF(COUNTIFS($AZ$2:$AZ$201,AZ134,$CK$2:$CK$201,1,$H$2:$H$201,"&lt;"&amp;H134)+COUNTIFS($AZ$2:$AZ$201,AZ134,$CK$2:$CK$201,1,$H$2:$H$201,H134,$BA$2:$BA$201,"&lt;"&amp;BA134)=0,1,0),0)</f>
        <v>0</v>
      </c>
      <c r="CM134" s="23" t="n">
        <f aca="false">IF(AND(BB134=1,U134="Y"),1,0)</f>
        <v>0</v>
      </c>
      <c r="CN134" s="23" t="n">
        <f aca="false">IF(CM134=1,IF(COUNTIFS($AZ$2:$AZ$201,AZ134,$CM$2:$CM$201,1,$H$2:$H$201,"&lt;"&amp;H134)+COUNTIFS($AZ$2:$AZ$201,AZ134,$CM$2:$CM$201,1,$H$2:$H$201,H134,$BA$2:$BA$201,"&lt;"&amp;BA134)=0,1,0),0)</f>
        <v>0</v>
      </c>
      <c r="CO134" s="23" t="n">
        <f aca="false">IF(AND(BB134=1,L134="Y"),1,0)</f>
        <v>0</v>
      </c>
      <c r="CP134" s="23" t="n">
        <f aca="false">IF(CO134=1,IF(COUNTIFS($AZ$2:$AZ$201,AZ134,$CO$2:$CO$201,1,$H$2:$H$201,"&lt;"&amp;H134)+COUNTIFS($AZ$2:$AZ$201,AZ134,$CO$2:$CO$201,1,$H$2:$H$201,H134,$BA$2:$BA$201,"&lt;"&amp;BA134)=0,1,0),0)</f>
        <v>0</v>
      </c>
      <c r="CQ134" s="23" t="n">
        <f aca="false">IF(AND(BB134=1,ISNUMBER(O134)),1,0)</f>
        <v>0</v>
      </c>
      <c r="CR134" s="23" t="n">
        <f aca="false">IF(CQ134=1,IF(COUNTIFS($AZ$2:$AZ$201,AZ134,$CQ$2:$CQ$201,1,$H$2:$H$201,"&lt;"&amp;H134)+COUNTIFS($AZ$2:$AZ$201,AZ134,$CQ$2:$CQ$201,1,$H$2:$H$201,H134,$BA$2:$BA$201,"&lt;"&amp;BA134)=0,1,0),0)</f>
        <v>0</v>
      </c>
      <c r="CS134" s="23" t="str">
        <f aca="false">IF(AND(CR134=1,INT(N(H134))&lt;=Config!$B$5),O134,"")</f>
        <v/>
      </c>
      <c r="CT134" s="23" t="str">
        <f aca="false">IF(AND(BB134=1,INT(N(H134))&lt;=Config!$B$5),AG134&amp;"","")</f>
        <v/>
      </c>
      <c r="CU134" s="23" t="n">
        <f aca="false">IF(AND(BB134=1,AU134="Y"),1,0)</f>
        <v>0</v>
      </c>
      <c r="CV134" s="23" t="n">
        <f aca="false">IF(CU134=1,IF(COUNTIFS($AZ$2:$AZ$201,AZ134,$CU$2:$CU$201,1,$H$2:$H$201,"&lt;"&amp;H134)+COUNTIFS($AZ$2:$AZ$201,AZ134,$CU$2:$CU$201,1,$H$2:$H$201,H134,$BA$2:$BA$201,"&lt;"&amp;BA134)=0,1,0),0)</f>
        <v>0</v>
      </c>
      <c r="CW134" s="23" t="str">
        <f aca="false">IF(BB134=1,IFERROR(MATCH($A134,INDEX(Clay_Offices!$A$2:$FZ$601,0,Sync!$C$5),0),""),"")</f>
        <v/>
      </c>
      <c r="CX134" s="23" t="str">
        <f aca="false">IF(CW134="","",IFERROR(INDEX(Clay_Offices!$A$2:$FZ$601,CW134,Sync!$C$7)&amp;"",""))</f>
        <v/>
      </c>
      <c r="CY134" s="23" t="str">
        <f aca="false">IF(CX134="","",IFERROR(INDEX(Lists!$K$2:$K$15,MATCH(CX134,Lists!$J$2:$J$15,0)),""))</f>
        <v/>
      </c>
      <c r="CZ134" s="23" t="str">
        <f aca="false">IF(CW134="","",IFERROR(INDEX(Clay_Offices!$A$2:$FZ$601,CW134,Sync!$C$17)&amp;"",""))</f>
        <v/>
      </c>
      <c r="DA134" s="35" t="str">
        <f aca="false">IF(CW134="","",IFERROR(N(INDEX(Clay_Offices!$A$2:$FZ$601,CW134,Sync!$C$16)),0))</f>
        <v/>
      </c>
      <c r="DB134" s="23" t="n">
        <f aca="false">IF(AND(BB134=1,OR(AR134="Y",AR134="N",AR134="maybe")),1,0)</f>
        <v>0</v>
      </c>
      <c r="DC134" s="23" t="n">
        <f aca="false">IF(AND(DB134=1),IF(COUNTIFS($A$2:$A$201,$A134,$DB$2:$DB$201,1,$H$2:$H$201,"&gt;"&amp;H134)+COUNTIFS($A$2:$A$201,$A134,$DB$2:$DB$201,1,$H$2:$H$201,H134,$BA$2:$BA$201,"&gt;"&amp;BA134)=0,1,0),0)</f>
        <v>0</v>
      </c>
      <c r="DD134" s="23" t="n">
        <f aca="false">IF(AND(DB134=1,INT(N(H134))&lt;=Config!$B$6),IF(COUNTIFS($AZ$2:$AZ$201,AZ134,$DB$2:$DB$201,1,$H$2:$H$201,"&gt;"&amp;H134,$H$2:$H$201,"&lt;"&amp;(Config!$B$6+1))+COUNTIFS($AZ$2:$AZ$201,AZ134,$DB$2:$DB$201,1,$H$2:$H$201,H134,$BA$2:$BA$201,"&gt;"&amp;BA134)=0,1,0),0)</f>
        <v>0</v>
      </c>
      <c r="DE134" s="23" t="n">
        <f aca="false">IF(AND(DB134=1,INT(N(H134))&lt;=Config!$B$7),IF(COUNTIFS($AZ$2:$AZ$201,AZ134,$DB$2:$DB$201,1,$H$2:$H$201,"&gt;"&amp;H134,$H$2:$H$201,"&lt;"&amp;(Config!$B$7+1))+COUNTIFS($AZ$2:$AZ$201,AZ134,$DB$2:$DB$201,1,$H$2:$H$201,H134,$BA$2:$BA$201,"&gt;"&amp;BA134)=0,1,0),0)</f>
        <v>0</v>
      </c>
      <c r="DF134" s="23" t="n">
        <f aca="false">IF(AND(DB134=1,INT(N(H134))&lt;=Config!$B$8),IF(COUNTIFS($AZ$2:$AZ$201,AZ134,$DB$2:$DB$201,1,$H$2:$H$201,"&gt;"&amp;H134,$H$2:$H$201,"&lt;"&amp;(Config!$B$8+1))+COUNTIFS($AZ$2:$AZ$201,AZ134,$DB$2:$DB$201,1,$H$2:$H$201,H134,$BA$2:$BA$201,"&gt;"&amp;BA134)=0,1,0),0)</f>
        <v>0</v>
      </c>
      <c r="DG134" s="23" t="n">
        <f aca="false">IF(AND(DB134=1,INT(N(H134))&lt;=Config!$B$5),IF(COUNTIFS($AZ$2:$AZ$201,AZ134,$DB$2:$DB$201,1,$H$2:$H$201,"&gt;"&amp;H134,$H$2:$H$201,"&lt;"&amp;(Config!$B$5+1))+COUNTIFS($AZ$2:$AZ$201,AZ134,$DB$2:$DB$201,1,$H$2:$H$201,H134,$BA$2:$BA$201,"&gt;"&amp;BA134)=0,1,0),0)</f>
        <v>0</v>
      </c>
      <c r="DH134" s="23" t="n">
        <f aca="false">IF(BB134=1,IF(COUNTIFS($AZ$2:$AZ$201,AZ134,$DD$2:$DD$201,1,$AR$2:$AR$201,"Y")&gt;0,1,0),0)</f>
        <v>0</v>
      </c>
      <c r="DI134" s="23" t="n">
        <f aca="false">IF(BB134=1,IF(COUNTIFS($AZ$2:$AZ$201,AZ134,$DE$2:$DE$201,1,$AR$2:$AR$201,"Y")&gt;0,1,0),0)</f>
        <v>0</v>
      </c>
      <c r="DJ134" s="23" t="n">
        <f aca="false">IF(BB134=1,IF(COUNTIFS($AZ$2:$AZ$201,AZ134,$DF$2:$DF$201,1,$AR$2:$AR$201,"Y")&gt;0,1,0),0)</f>
        <v>0</v>
      </c>
      <c r="DK134" s="23" t="n">
        <f aca="false">IF(BB134=1,IF(COUNTIFS($AZ$2:$AZ$201,AZ134,$DG$2:$DG$201,1,$AR$2:$AR$201,"Y")&gt;0,1,0),0)</f>
        <v>0</v>
      </c>
      <c r="DL134" s="23" t="n">
        <f aca="false">IF(AND(BF134=1,INT(N(H134))&lt;=Config!$B$6,DH134=1,EI134=0),1,0)</f>
        <v>0</v>
      </c>
      <c r="DM134" s="23" t="n">
        <f aca="false">IF(AND(BF134=1,INT(N(H134))&lt;=Config!$B$7,DI134=1,EI134=0),1,0)</f>
        <v>0</v>
      </c>
      <c r="DN134" s="23" t="n">
        <f aca="false">IF(AND(BF134=1,INT(N(H134))&lt;=Config!$B$8,DJ134=1,EI134=0),1,0)</f>
        <v>0</v>
      </c>
      <c r="DO134" s="23" t="n">
        <f aca="false">IF(AND(BF134=1,INT(N(H134))&lt;=Config!$B$5,DK134=1,EI134=0),1,0)</f>
        <v>0</v>
      </c>
      <c r="DP134" s="23" t="n">
        <f aca="false">IF(AND(CC134=1,INT(N(H134))&lt;=Config!$B$6,DH134=1,EI134=0),1,0)</f>
        <v>0</v>
      </c>
      <c r="DQ134" s="23" t="n">
        <f aca="false">IF(AND(CC134=1,INT(N(H134))&lt;=Config!$B$7,DI134=1,EI134=0),1,0)</f>
        <v>0</v>
      </c>
      <c r="DR134" s="23" t="n">
        <f aca="false">IF(AND(CC134=1,INT(N(H134))&lt;=Config!$B$8,DJ134=1,EI134=0),1,0)</f>
        <v>0</v>
      </c>
      <c r="DS134" s="23" t="n">
        <f aca="false">IF(AND(CC134=1,INT(N(H134))&lt;=Config!$B$5,DK134=1,EI134=0),1,0)</f>
        <v>0</v>
      </c>
      <c r="DT134" s="23" t="n">
        <f aca="false">IF(AND(CC134=1,INT(N(H134))&lt;=Config!$B$6,DH134=0),1,0)</f>
        <v>0</v>
      </c>
      <c r="DU134" s="23" t="n">
        <f aca="false">IF(AND(CC134=1,INT(N(H134))&lt;=Config!$B$7,DI134=0),1,0)</f>
        <v>0</v>
      </c>
      <c r="DV134" s="23" t="n">
        <f aca="false">IF(AND(CC134=1,INT(N(H134))&lt;=Config!$B$8,DJ134=0),1,0)</f>
        <v>0</v>
      </c>
      <c r="DW134" s="23" t="n">
        <f aca="false">IF(AND(CC134=1,INT(N(H134))&lt;=Config!$B$5,DK134=0),1,0)</f>
        <v>0</v>
      </c>
      <c r="DX134" s="23" t="n">
        <f aca="false">IF(TRIM($A134)="",0,ISTEXT(M134)+ISTEXT(O134)+ISTEXT(Y134)+ISTEXT(Z134)+ISTEXT(AA134)+ISTEXT(AV134))</f>
        <v>0</v>
      </c>
      <c r="DY134" s="23" t="n">
        <f aca="false">IF(BB134=1,IF(H134&lt;&gt;INT(H134),1,0),0)</f>
        <v>0</v>
      </c>
      <c r="DZ134" s="23" t="str">
        <f aca="false">IF(TRIM($A134)="","",IF(TRIM(B134)="",SUBSTITUTE(SUBSTITUTE(SUBSTITUTE(SUBSTITUTE(SUBSTITUTE(SUBSTITUTE(LOWER(TRIM($A134)),"~",""),"*",""),"?",""),"&lt;",""),"&gt;",""),"=",""),SUBSTITUTE(SUBSTITUTE(SUBSTITUTE(SUBSTITUTE(SUBSTITUTE(SUBSTITUTE(LOWER(TRIM(B134)),"~",""),"*",""),"?",""),"&lt;",""),"&gt;",""),"=","")))</f>
        <v/>
      </c>
      <c r="EA134" s="23" t="str">
        <f aca="false">IF(CW134="","",IFERROR(IF(LEFT(LOWER(TRIM(INDEX(Clay_Offices!$A$2:$FZ$601,CW134,Sync!$C$19)&amp;"")),4)="grp-",SUBSTITUTE(SUBSTITUTE(SUBSTITUTE(SUBSTITUTE(SUBSTITUTE(SUBSTITUTE(LOWER(TRIM(INDEX(Clay_Offices!$A$2:$FZ$601,CW134,Sync!$C$19)&amp;"")),"~",""),"*",""),"?",""),"&lt;",""),"&gt;",""),"=",""),""),""))</f>
        <v/>
      </c>
      <c r="EB134" s="23" t="str">
        <f aca="false">IF(EA134&lt;&gt;"",DZ134,"")</f>
        <v/>
      </c>
      <c r="EC134" s="23" t="str">
        <f aca="false">IF(BC134=1,AZ134,"")</f>
        <v/>
      </c>
      <c r="ED134" s="23" t="str">
        <f aca="false">IF(TRIM($A134)="","",IFERROR(INDEX($A$2:$A$201,MATCH(AZ134,$EC$2:$EC$201,0))&amp;"",$A134&amp;""))</f>
        <v/>
      </c>
      <c r="EE134" s="23" t="n">
        <f aca="false">IF(BB134=1,IF(COUNTIFS($A$2:$A$201,$A134,$BB$2:$BB$201,1,$H$2:$H$201,"&lt;"&amp;H134)+COUNTIFS($A$2:$A$201,$A134,$BB$2:$BB$201,1,$H$2:$H$201,H134,$BA$2:$BA$201,"&lt;"&amp;BA134)=0,1,0),0)</f>
        <v>0</v>
      </c>
      <c r="EF134" s="23" t="n">
        <f aca="false">IF(BC134=1,IF(COUNTIFS($AZ$2:$AZ$201,AZ134,$EE$2:$EE$201,1)&gt;1,1,0),0)</f>
        <v>0</v>
      </c>
      <c r="EG134" s="23" t="n">
        <f aca="false">IF(AND(CQ134=1),IF(COUNTIFS($AZ$2:$AZ$201,AZ134,$CQ$2:$CQ$201,1,$H$2:$H$201,"&gt;"&amp;H134)+COUNTIFS($AZ$2:$AZ$201,AZ134,$CQ$2:$CQ$201,1,$H$2:$H$201,H134,$BA$2:$BA$201,"&gt;"&amp;BA134)=0,1,0),0)</f>
        <v>0</v>
      </c>
      <c r="EH134" s="23" t="str">
        <f aca="false">IF(BB134=1,IF(COUNTIFS($AZ$2:$AZ$201,AZ134,$EG$2:$EG$201,1)=0,"",SUMIFS($O$2:$O$201,$AZ$2:$AZ$201,AZ134,$EG$2:$EG$201,1)),"")</f>
        <v/>
      </c>
      <c r="EI134" s="23" t="n">
        <f aca="false">IF(AND(ISNUMBER(EH134),OR(N(EH134)&lt;Config!$B$31,N(EH134)&gt;Config!$B$33)),1,0)</f>
        <v>0</v>
      </c>
      <c r="EJ134" s="23" t="n">
        <f aca="false">IF(AND(ISNUMBER(EH134),N(EH134)&gt;=Config!$B$31,N(EH134)&lt;Config!$B$32),1,0)</f>
        <v>0</v>
      </c>
      <c r="EK134" s="23" t="n">
        <f aca="false">IF(AND(BF134=1,INT(N(H134))&lt;=Config!$B$6,DH134=1,EI134=1),1,0)</f>
        <v>0</v>
      </c>
      <c r="EL134" s="23" t="n">
        <f aca="false">IF(AND(BF134=1,INT(N(H134))&lt;=Config!$B$7,DI134=1,EI134=1),1,0)</f>
        <v>0</v>
      </c>
      <c r="EM134" s="23" t="n">
        <f aca="false">IF(AND(BF134=1,INT(N(H134))&lt;=Config!$B$8,DJ134=1,EI134=1),1,0)</f>
        <v>0</v>
      </c>
      <c r="EN134" s="23" t="n">
        <f aca="false">IF(AND(BF134=1,INT(N(H134))&lt;=Config!$B$5,DK134=1,EI134=1),1,0)</f>
        <v>0</v>
      </c>
      <c r="EO134" s="23" t="n">
        <f aca="false">IF(AND(DL134=1,EJ134=1),1,0)</f>
        <v>0</v>
      </c>
      <c r="EP134" s="23" t="n">
        <f aca="false">IF(AND(DM134=1,EJ134=1),1,0)</f>
        <v>0</v>
      </c>
      <c r="EQ134" s="23" t="n">
        <f aca="false">IF(AND(DN134=1,EJ134=1),1,0)</f>
        <v>0</v>
      </c>
      <c r="ER134" s="23" t="n">
        <f aca="false">IF(AND(DO134=1,EJ134=1),1,0)</f>
        <v>0</v>
      </c>
    </row>
    <row r="135" customFormat="false" ht="15" hidden="false" customHeight="false" outlineLevel="0" collapsed="false">
      <c r="G135" s="32"/>
      <c r="H135" s="33"/>
      <c r="I135" s="32"/>
      <c r="L135" s="32"/>
      <c r="Q135" s="32"/>
      <c r="U135" s="32"/>
      <c r="W135" s="32"/>
      <c r="AC135" s="32"/>
      <c r="AF135" s="32"/>
      <c r="AI135" s="32"/>
      <c r="AJ135" s="32"/>
      <c r="AN135" s="32"/>
      <c r="AR135" s="32"/>
      <c r="AT135" s="32"/>
      <c r="AU135" s="32"/>
      <c r="AW135" s="32"/>
      <c r="AY135" s="34" t="str">
        <f aca="false">IF(TRIM($A135)="","",IF(AND(LEFT($A135,6)="SAMPLE",Config!$B$19&lt;&gt;"Y"),"",IF(NOT(ISNUMBER(H135)),"call_date is blank or not a date",IF(Sync!$C$5="","Clay paste is empty or has no row_id column: paste the Clay export on Clay_Offices",IF(CW135="","row_id not found in the Clay paste: add the Clay row or fix the row_id",IF(AND(ISNUMBER(CY135),CY135&gt;=1,CY135&lt;=5),"Clay status is "&amp;CX135&amp;": set call_done or later",IF(AND(BD135=1,CZ135&lt;&gt;BZ135),"Clay yes_in_principle should be "&amp;BZ135,IF(AND(BD135=1,DA135&lt;&gt;H135),"Clay call_date should be "&amp;TEXT(H135,"yyyy-mm-dd"),""))))))))</f>
        <v/>
      </c>
      <c r="AZ135" s="23" t="str">
        <f aca="false">IF(TRIM($A135)="","",IF(TRIM(C135)&lt;&gt;"",SUBSTITUTE(SUBSTITUTE(SUBSTITUTE(SUBSTITUTE(SUBSTITUTE(SUBSTITUTE(LOWER(TRIM(C135)),"~",""),"*",""),"?",""),"&lt;",""),"&gt;",""),"=",""),IF(EA135&lt;&gt;"",EA135,IFERROR(INDEX($EA$2:$EA$201,MATCH(DZ135,$EB$2:$EB$201,0)),DZ135))))</f>
        <v/>
      </c>
      <c r="BA135" s="23" t="n">
        <f aca="false">ROW()</f>
        <v>135</v>
      </c>
      <c r="BB135" s="23" t="n">
        <f aca="false">IF(AND(TRIM($A135)&lt;&gt;"",ISNUMBER(H135)),IF(AND(LEFT($A135,6)="SAMPLE",Config!$B$19&lt;&gt;"Y"),0,1),0)</f>
        <v>0</v>
      </c>
      <c r="BC135" s="23" t="n">
        <f aca="false">IF(BB135=1,IF(COUNTIFS($AZ$2:$AZ$201,AZ135,$BB$2:$BB$201,1,$H$2:$H$201,"&lt;"&amp;H135)+COUNTIFS($AZ$2:$AZ$201,AZ135,$BB$2:$BB$201,1,$H$2:$H$201,H135,$BA$2:$BA$201,"&lt;"&amp;BA135)=0,1,0),0)</f>
        <v>0</v>
      </c>
      <c r="BD135" s="23" t="n">
        <f aca="false">IF(BB135=1,IF(COUNTIFS($A$2:$A$201,$A135,$BB$2:$BB$201,1,$H$2:$H$201,"&gt;"&amp;H135)+COUNTIFS($A$2:$A$201,$A135,$BB$2:$BB$201,1,$H$2:$H$201,H135,$BA$2:$BA$201,"&gt;"&amp;BA135)=0,1,0),0)</f>
        <v>0</v>
      </c>
      <c r="BE135" s="23" t="n">
        <f aca="false">IF(AND(BB135=1,AR135="Y",AC135="Y",TRIM(AH135)&lt;&gt;""),1,0)</f>
        <v>0</v>
      </c>
      <c r="BF135" s="23" t="n">
        <f aca="false">IF(BE135=1,IF(COUNTIFS($AZ$2:$AZ$201,AZ135,$BE$2:$BE$201,1,$H$2:$H$201,"&lt;"&amp;H135)+COUNTIFS($AZ$2:$AZ$201,AZ135,$BE$2:$BE$201,1,$H$2:$H$201,H135,$BA$2:$BA$201,"&lt;"&amp;BA135)=0,1,0),0)</f>
        <v>0</v>
      </c>
      <c r="BG135" s="23" t="n">
        <f aca="false">IF(AND(BB135=1,AR135="Y",BE135=0),1,0)</f>
        <v>0</v>
      </c>
      <c r="BH135" s="23" t="n">
        <f aca="false">IF(AND(BB135=1,ISNUMBER(Y135)),1,0)</f>
        <v>0</v>
      </c>
      <c r="BI135" s="23" t="n">
        <f aca="false">IF(BH135=1,IF(COUNTIFS($AZ$2:$AZ$201,AZ135,$BH$2:$BH$201,1,$H$2:$H$201,"&lt;"&amp;H135)+COUNTIFS($AZ$2:$AZ$201,AZ135,$BH$2:$BH$201,1,$H$2:$H$201,H135,$BA$2:$BA$201,"&lt;"&amp;BA135)=0,1,0),0)</f>
        <v>0</v>
      </c>
      <c r="BJ135" s="23" t="str">
        <f aca="false">IF(AND(BI135=1,INT(N(H135))&lt;=Config!$B$6),Y135,"")</f>
        <v/>
      </c>
      <c r="BK135" s="23" t="str">
        <f aca="false">IF(AND(BI135=1,INT(N(H135))&lt;=Config!$B$7),Y135,"")</f>
        <v/>
      </c>
      <c r="BL135" s="23" t="str">
        <f aca="false">IF(AND(BI135=1,INT(N(H135))&lt;=Config!$B$8),Y135,"")</f>
        <v/>
      </c>
      <c r="BM135" s="23" t="str">
        <f aca="false">IF(AND(BI135=1,INT(N(H135))&lt;=Config!$B$5),Y135,"")</f>
        <v/>
      </c>
      <c r="BN135" s="23" t="n">
        <f aca="false">IF(CD135=1,IF(COUNTIFS($AZ$2:$AZ$201,AZ135,$CD$2:$CD$201,1,$H$2:$H$201,"&lt;"&amp;H135)+COUNTIFS($AZ$2:$AZ$201,AZ135,$CD$2:$CD$201,1,$H$2:$H$201,H135,$BA$2:$BA$201,"&lt;"&amp;BA135)=0,1,0),0)</f>
        <v>0</v>
      </c>
      <c r="BO135" s="23" t="n">
        <f aca="false">IF(AND(BB135=1,ISNUMBER(M135)),1,0)</f>
        <v>0</v>
      </c>
      <c r="BP135" s="23" t="n">
        <f aca="false">IF(BO135=1,IF(COUNTIFS($AZ$2:$AZ$201,AZ135,$BO$2:$BO$201,1,$H$2:$H$201,"&lt;"&amp;H135)+COUNTIFS($AZ$2:$AZ$201,AZ135,$BO$2:$BO$201,1,$H$2:$H$201,H135,$BA$2:$BA$201,"&lt;"&amp;BA135)=0,1,0),0)</f>
        <v>0</v>
      </c>
      <c r="BQ135" s="23" t="str">
        <f aca="false">IF(AND(BP135=1,INT(N(H135))&lt;=Config!$B$5),M135,"")</f>
        <v/>
      </c>
      <c r="BR135" s="23" t="n">
        <f aca="false">IF(AND(BB135=1,OR(TRIM(X135)&lt;&gt;"",ISNUMBER(Y135))),1,0)</f>
        <v>0</v>
      </c>
      <c r="BS135" s="23" t="n">
        <f aca="false">IF(BR135=1,IF(COUNTIFS($AZ$2:$AZ$201,AZ135,$BR$2:$BR$201,1,$H$2:$H$201,"&lt;"&amp;H135)+COUNTIFS($AZ$2:$AZ$201,AZ135,$BR$2:$BR$201,1,$H$2:$H$201,H135,$BA$2:$BA$201,"&lt;"&amp;BA135)=0,1,0),0)</f>
        <v>0</v>
      </c>
      <c r="BT135" s="23" t="str">
        <f aca="false">IF(BS135=1,AZ135,"")</f>
        <v/>
      </c>
      <c r="BU135" s="23" t="n">
        <f aca="false">IF(AND(BB135=1,W135="Y",TRIM(X135)=""),1,0)</f>
        <v>0</v>
      </c>
      <c r="BV135" s="23" t="str">
        <f aca="false">IF(BB135=1,AN135&amp;"","")</f>
        <v/>
      </c>
      <c r="BW135" s="23" t="str">
        <f aca="false">IF(BB135=1,AO135&amp;"","")</f>
        <v/>
      </c>
      <c r="BX135" s="23" t="str">
        <f aca="false">IF(BB135=1,AP135&amp;"","")</f>
        <v/>
      </c>
      <c r="BY135" s="23" t="str">
        <f aca="false">IF(AND(BB135=1,ISNUMBER(AV135),INT(N(H135))&lt;=Config!$B$5),AV135,"")</f>
        <v/>
      </c>
      <c r="BZ135" s="23" t="str">
        <f aca="false">IF(BB135=1,IF(COUNTIFS($A$2:$A$201,$A135,$DC$2:$DC$201,1,$AR$2:$AR$201,"Y")&gt;0,"Y","N"),"")</f>
        <v/>
      </c>
      <c r="CA135" s="23" t="n">
        <f aca="false">IF(AND(BB135=1,AR135="maybe"),1,0)</f>
        <v>0</v>
      </c>
      <c r="CB135" s="23" t="n">
        <f aca="false">IF(CA135=1,IF(COUNTIFS($AZ$2:$AZ$201,AZ135,$CA$2:$CA$201,1,$H$2:$H$201,"&lt;"&amp;H135)+COUNTIFS($AZ$2:$AZ$201,AZ135,$CA$2:$CA$201,1,$H$2:$H$201,H135,$BA$2:$BA$201,"&lt;"&amp;BA135)=0,1,0),0)</f>
        <v>0</v>
      </c>
      <c r="CC135" s="23" t="n">
        <f aca="false">IF(AND(BB135=1,AR135="Y"),IF(COUNTIFS($AZ$2:$AZ$201,AZ135,$AR$2:$AR$201,"Y",$BB$2:$BB$201,1,$H$2:$H$201,"&lt;"&amp;H135)+COUNTIFS($AZ$2:$AZ$201,AZ135,$AR$2:$AR$201,"Y",$BB$2:$BB$201,1,$H$2:$H$201,H135,$BA$2:$BA$201,"&lt;"&amp;BA135)=0,1,0),0)</f>
        <v>0</v>
      </c>
      <c r="CD135" s="23" t="n">
        <f aca="false">IF(AND(BH135=1,N(Y135)&gt;=Config!$B$15),1,0)</f>
        <v>0</v>
      </c>
      <c r="CE135" s="23" t="n">
        <f aca="false">IF(AND(BB135=1,AT135="Y"),1,0)</f>
        <v>0</v>
      </c>
      <c r="CF135" s="23" t="n">
        <f aca="false">IF(CE135=1,IF(COUNTIFS($AZ$2:$AZ$201,AZ135,$CE$2:$CE$201,1,$H$2:$H$201,"&lt;"&amp;H135)+COUNTIFS($AZ$2:$AZ$201,AZ135,$CE$2:$CE$201,1,$H$2:$H$201,H135,$BA$2:$BA$201,"&lt;"&amp;BA135)=0,1,0),0)</f>
        <v>0</v>
      </c>
      <c r="CG135" s="23" t="n">
        <f aca="false">IF(AND(BB135=1,G135="warm-intro"),1,0)</f>
        <v>0</v>
      </c>
      <c r="CH135" s="23" t="n">
        <f aca="false">IF(CG135=1,IF(COUNTIFS($AZ$2:$AZ$201,AZ135,$CG$2:$CG$201,1,$H$2:$H$201,"&lt;"&amp;H135)+COUNTIFS($AZ$2:$AZ$201,AZ135,$CG$2:$CG$201,1,$H$2:$H$201,H135,$BA$2:$BA$201,"&lt;"&amp;BA135)=0,1,0),0)</f>
        <v>0</v>
      </c>
      <c r="CI135" s="23" t="n">
        <f aca="false">IF(AND(BB135=1,Q135="Y"),1,0)</f>
        <v>0</v>
      </c>
      <c r="CJ135" s="23" t="n">
        <f aca="false">IF(CI135=1,IF(COUNTIFS($AZ$2:$AZ$201,AZ135,$CI$2:$CI$201,1,$H$2:$H$201,"&lt;"&amp;H135)+COUNTIFS($AZ$2:$AZ$201,AZ135,$CI$2:$CI$201,1,$H$2:$H$201,H135,$BA$2:$BA$201,"&lt;"&amp;BA135)=0,1,0),0)</f>
        <v>0</v>
      </c>
      <c r="CK135" s="23" t="n">
        <f aca="false">IF(AND(BB135=1,AF135="Y"),1,0)</f>
        <v>0</v>
      </c>
      <c r="CL135" s="23" t="n">
        <f aca="false">IF(CK135=1,IF(COUNTIFS($AZ$2:$AZ$201,AZ135,$CK$2:$CK$201,1,$H$2:$H$201,"&lt;"&amp;H135)+COUNTIFS($AZ$2:$AZ$201,AZ135,$CK$2:$CK$201,1,$H$2:$H$201,H135,$BA$2:$BA$201,"&lt;"&amp;BA135)=0,1,0),0)</f>
        <v>0</v>
      </c>
      <c r="CM135" s="23" t="n">
        <f aca="false">IF(AND(BB135=1,U135="Y"),1,0)</f>
        <v>0</v>
      </c>
      <c r="CN135" s="23" t="n">
        <f aca="false">IF(CM135=1,IF(COUNTIFS($AZ$2:$AZ$201,AZ135,$CM$2:$CM$201,1,$H$2:$H$201,"&lt;"&amp;H135)+COUNTIFS($AZ$2:$AZ$201,AZ135,$CM$2:$CM$201,1,$H$2:$H$201,H135,$BA$2:$BA$201,"&lt;"&amp;BA135)=0,1,0),0)</f>
        <v>0</v>
      </c>
      <c r="CO135" s="23" t="n">
        <f aca="false">IF(AND(BB135=1,L135="Y"),1,0)</f>
        <v>0</v>
      </c>
      <c r="CP135" s="23" t="n">
        <f aca="false">IF(CO135=1,IF(COUNTIFS($AZ$2:$AZ$201,AZ135,$CO$2:$CO$201,1,$H$2:$H$201,"&lt;"&amp;H135)+COUNTIFS($AZ$2:$AZ$201,AZ135,$CO$2:$CO$201,1,$H$2:$H$201,H135,$BA$2:$BA$201,"&lt;"&amp;BA135)=0,1,0),0)</f>
        <v>0</v>
      </c>
      <c r="CQ135" s="23" t="n">
        <f aca="false">IF(AND(BB135=1,ISNUMBER(O135)),1,0)</f>
        <v>0</v>
      </c>
      <c r="CR135" s="23" t="n">
        <f aca="false">IF(CQ135=1,IF(COUNTIFS($AZ$2:$AZ$201,AZ135,$CQ$2:$CQ$201,1,$H$2:$H$201,"&lt;"&amp;H135)+COUNTIFS($AZ$2:$AZ$201,AZ135,$CQ$2:$CQ$201,1,$H$2:$H$201,H135,$BA$2:$BA$201,"&lt;"&amp;BA135)=0,1,0),0)</f>
        <v>0</v>
      </c>
      <c r="CS135" s="23" t="str">
        <f aca="false">IF(AND(CR135=1,INT(N(H135))&lt;=Config!$B$5),O135,"")</f>
        <v/>
      </c>
      <c r="CT135" s="23" t="str">
        <f aca="false">IF(AND(BB135=1,INT(N(H135))&lt;=Config!$B$5),AG135&amp;"","")</f>
        <v/>
      </c>
      <c r="CU135" s="23" t="n">
        <f aca="false">IF(AND(BB135=1,AU135="Y"),1,0)</f>
        <v>0</v>
      </c>
      <c r="CV135" s="23" t="n">
        <f aca="false">IF(CU135=1,IF(COUNTIFS($AZ$2:$AZ$201,AZ135,$CU$2:$CU$201,1,$H$2:$H$201,"&lt;"&amp;H135)+COUNTIFS($AZ$2:$AZ$201,AZ135,$CU$2:$CU$201,1,$H$2:$H$201,H135,$BA$2:$BA$201,"&lt;"&amp;BA135)=0,1,0),0)</f>
        <v>0</v>
      </c>
      <c r="CW135" s="23" t="str">
        <f aca="false">IF(BB135=1,IFERROR(MATCH($A135,INDEX(Clay_Offices!$A$2:$FZ$601,0,Sync!$C$5),0),""),"")</f>
        <v/>
      </c>
      <c r="CX135" s="23" t="str">
        <f aca="false">IF(CW135="","",IFERROR(INDEX(Clay_Offices!$A$2:$FZ$601,CW135,Sync!$C$7)&amp;"",""))</f>
        <v/>
      </c>
      <c r="CY135" s="23" t="str">
        <f aca="false">IF(CX135="","",IFERROR(INDEX(Lists!$K$2:$K$15,MATCH(CX135,Lists!$J$2:$J$15,0)),""))</f>
        <v/>
      </c>
      <c r="CZ135" s="23" t="str">
        <f aca="false">IF(CW135="","",IFERROR(INDEX(Clay_Offices!$A$2:$FZ$601,CW135,Sync!$C$17)&amp;"",""))</f>
        <v/>
      </c>
      <c r="DA135" s="35" t="str">
        <f aca="false">IF(CW135="","",IFERROR(N(INDEX(Clay_Offices!$A$2:$FZ$601,CW135,Sync!$C$16)),0))</f>
        <v/>
      </c>
      <c r="DB135" s="23" t="n">
        <f aca="false">IF(AND(BB135=1,OR(AR135="Y",AR135="N",AR135="maybe")),1,0)</f>
        <v>0</v>
      </c>
      <c r="DC135" s="23" t="n">
        <f aca="false">IF(AND(DB135=1),IF(COUNTIFS($A$2:$A$201,$A135,$DB$2:$DB$201,1,$H$2:$H$201,"&gt;"&amp;H135)+COUNTIFS($A$2:$A$201,$A135,$DB$2:$DB$201,1,$H$2:$H$201,H135,$BA$2:$BA$201,"&gt;"&amp;BA135)=0,1,0),0)</f>
        <v>0</v>
      </c>
      <c r="DD135" s="23" t="n">
        <f aca="false">IF(AND(DB135=1,INT(N(H135))&lt;=Config!$B$6),IF(COUNTIFS($AZ$2:$AZ$201,AZ135,$DB$2:$DB$201,1,$H$2:$H$201,"&gt;"&amp;H135,$H$2:$H$201,"&lt;"&amp;(Config!$B$6+1))+COUNTIFS($AZ$2:$AZ$201,AZ135,$DB$2:$DB$201,1,$H$2:$H$201,H135,$BA$2:$BA$201,"&gt;"&amp;BA135)=0,1,0),0)</f>
        <v>0</v>
      </c>
      <c r="DE135" s="23" t="n">
        <f aca="false">IF(AND(DB135=1,INT(N(H135))&lt;=Config!$B$7),IF(COUNTIFS($AZ$2:$AZ$201,AZ135,$DB$2:$DB$201,1,$H$2:$H$201,"&gt;"&amp;H135,$H$2:$H$201,"&lt;"&amp;(Config!$B$7+1))+COUNTIFS($AZ$2:$AZ$201,AZ135,$DB$2:$DB$201,1,$H$2:$H$201,H135,$BA$2:$BA$201,"&gt;"&amp;BA135)=0,1,0),0)</f>
        <v>0</v>
      </c>
      <c r="DF135" s="23" t="n">
        <f aca="false">IF(AND(DB135=1,INT(N(H135))&lt;=Config!$B$8),IF(COUNTIFS($AZ$2:$AZ$201,AZ135,$DB$2:$DB$201,1,$H$2:$H$201,"&gt;"&amp;H135,$H$2:$H$201,"&lt;"&amp;(Config!$B$8+1))+COUNTIFS($AZ$2:$AZ$201,AZ135,$DB$2:$DB$201,1,$H$2:$H$201,H135,$BA$2:$BA$201,"&gt;"&amp;BA135)=0,1,0),0)</f>
        <v>0</v>
      </c>
      <c r="DG135" s="23" t="n">
        <f aca="false">IF(AND(DB135=1,INT(N(H135))&lt;=Config!$B$5),IF(COUNTIFS($AZ$2:$AZ$201,AZ135,$DB$2:$DB$201,1,$H$2:$H$201,"&gt;"&amp;H135,$H$2:$H$201,"&lt;"&amp;(Config!$B$5+1))+COUNTIFS($AZ$2:$AZ$201,AZ135,$DB$2:$DB$201,1,$H$2:$H$201,H135,$BA$2:$BA$201,"&gt;"&amp;BA135)=0,1,0),0)</f>
        <v>0</v>
      </c>
      <c r="DH135" s="23" t="n">
        <f aca="false">IF(BB135=1,IF(COUNTIFS($AZ$2:$AZ$201,AZ135,$DD$2:$DD$201,1,$AR$2:$AR$201,"Y")&gt;0,1,0),0)</f>
        <v>0</v>
      </c>
      <c r="DI135" s="23" t="n">
        <f aca="false">IF(BB135=1,IF(COUNTIFS($AZ$2:$AZ$201,AZ135,$DE$2:$DE$201,1,$AR$2:$AR$201,"Y")&gt;0,1,0),0)</f>
        <v>0</v>
      </c>
      <c r="DJ135" s="23" t="n">
        <f aca="false">IF(BB135=1,IF(COUNTIFS($AZ$2:$AZ$201,AZ135,$DF$2:$DF$201,1,$AR$2:$AR$201,"Y")&gt;0,1,0),0)</f>
        <v>0</v>
      </c>
      <c r="DK135" s="23" t="n">
        <f aca="false">IF(BB135=1,IF(COUNTIFS($AZ$2:$AZ$201,AZ135,$DG$2:$DG$201,1,$AR$2:$AR$201,"Y")&gt;0,1,0),0)</f>
        <v>0</v>
      </c>
      <c r="DL135" s="23" t="n">
        <f aca="false">IF(AND(BF135=1,INT(N(H135))&lt;=Config!$B$6,DH135=1,EI135=0),1,0)</f>
        <v>0</v>
      </c>
      <c r="DM135" s="23" t="n">
        <f aca="false">IF(AND(BF135=1,INT(N(H135))&lt;=Config!$B$7,DI135=1,EI135=0),1,0)</f>
        <v>0</v>
      </c>
      <c r="DN135" s="23" t="n">
        <f aca="false">IF(AND(BF135=1,INT(N(H135))&lt;=Config!$B$8,DJ135=1,EI135=0),1,0)</f>
        <v>0</v>
      </c>
      <c r="DO135" s="23" t="n">
        <f aca="false">IF(AND(BF135=1,INT(N(H135))&lt;=Config!$B$5,DK135=1,EI135=0),1,0)</f>
        <v>0</v>
      </c>
      <c r="DP135" s="23" t="n">
        <f aca="false">IF(AND(CC135=1,INT(N(H135))&lt;=Config!$B$6,DH135=1,EI135=0),1,0)</f>
        <v>0</v>
      </c>
      <c r="DQ135" s="23" t="n">
        <f aca="false">IF(AND(CC135=1,INT(N(H135))&lt;=Config!$B$7,DI135=1,EI135=0),1,0)</f>
        <v>0</v>
      </c>
      <c r="DR135" s="23" t="n">
        <f aca="false">IF(AND(CC135=1,INT(N(H135))&lt;=Config!$B$8,DJ135=1,EI135=0),1,0)</f>
        <v>0</v>
      </c>
      <c r="DS135" s="23" t="n">
        <f aca="false">IF(AND(CC135=1,INT(N(H135))&lt;=Config!$B$5,DK135=1,EI135=0),1,0)</f>
        <v>0</v>
      </c>
      <c r="DT135" s="23" t="n">
        <f aca="false">IF(AND(CC135=1,INT(N(H135))&lt;=Config!$B$6,DH135=0),1,0)</f>
        <v>0</v>
      </c>
      <c r="DU135" s="23" t="n">
        <f aca="false">IF(AND(CC135=1,INT(N(H135))&lt;=Config!$B$7,DI135=0),1,0)</f>
        <v>0</v>
      </c>
      <c r="DV135" s="23" t="n">
        <f aca="false">IF(AND(CC135=1,INT(N(H135))&lt;=Config!$B$8,DJ135=0),1,0)</f>
        <v>0</v>
      </c>
      <c r="DW135" s="23" t="n">
        <f aca="false">IF(AND(CC135=1,INT(N(H135))&lt;=Config!$B$5,DK135=0),1,0)</f>
        <v>0</v>
      </c>
      <c r="DX135" s="23" t="n">
        <f aca="false">IF(TRIM($A135)="",0,ISTEXT(M135)+ISTEXT(O135)+ISTEXT(Y135)+ISTEXT(Z135)+ISTEXT(AA135)+ISTEXT(AV135))</f>
        <v>0</v>
      </c>
      <c r="DY135" s="23" t="n">
        <f aca="false">IF(BB135=1,IF(H135&lt;&gt;INT(H135),1,0),0)</f>
        <v>0</v>
      </c>
      <c r="DZ135" s="23" t="str">
        <f aca="false">IF(TRIM($A135)="","",IF(TRIM(B135)="",SUBSTITUTE(SUBSTITUTE(SUBSTITUTE(SUBSTITUTE(SUBSTITUTE(SUBSTITUTE(LOWER(TRIM($A135)),"~",""),"*",""),"?",""),"&lt;",""),"&gt;",""),"=",""),SUBSTITUTE(SUBSTITUTE(SUBSTITUTE(SUBSTITUTE(SUBSTITUTE(SUBSTITUTE(LOWER(TRIM(B135)),"~",""),"*",""),"?",""),"&lt;",""),"&gt;",""),"=","")))</f>
        <v/>
      </c>
      <c r="EA135" s="23" t="str">
        <f aca="false">IF(CW135="","",IFERROR(IF(LEFT(LOWER(TRIM(INDEX(Clay_Offices!$A$2:$FZ$601,CW135,Sync!$C$19)&amp;"")),4)="grp-",SUBSTITUTE(SUBSTITUTE(SUBSTITUTE(SUBSTITUTE(SUBSTITUTE(SUBSTITUTE(LOWER(TRIM(INDEX(Clay_Offices!$A$2:$FZ$601,CW135,Sync!$C$19)&amp;"")),"~",""),"*",""),"?",""),"&lt;",""),"&gt;",""),"=",""),""),""))</f>
        <v/>
      </c>
      <c r="EB135" s="23" t="str">
        <f aca="false">IF(EA135&lt;&gt;"",DZ135,"")</f>
        <v/>
      </c>
      <c r="EC135" s="23" t="str">
        <f aca="false">IF(BC135=1,AZ135,"")</f>
        <v/>
      </c>
      <c r="ED135" s="23" t="str">
        <f aca="false">IF(TRIM($A135)="","",IFERROR(INDEX($A$2:$A$201,MATCH(AZ135,$EC$2:$EC$201,0))&amp;"",$A135&amp;""))</f>
        <v/>
      </c>
      <c r="EE135" s="23" t="n">
        <f aca="false">IF(BB135=1,IF(COUNTIFS($A$2:$A$201,$A135,$BB$2:$BB$201,1,$H$2:$H$201,"&lt;"&amp;H135)+COUNTIFS($A$2:$A$201,$A135,$BB$2:$BB$201,1,$H$2:$H$201,H135,$BA$2:$BA$201,"&lt;"&amp;BA135)=0,1,0),0)</f>
        <v>0</v>
      </c>
      <c r="EF135" s="23" t="n">
        <f aca="false">IF(BC135=1,IF(COUNTIFS($AZ$2:$AZ$201,AZ135,$EE$2:$EE$201,1)&gt;1,1,0),0)</f>
        <v>0</v>
      </c>
      <c r="EG135" s="23" t="n">
        <f aca="false">IF(AND(CQ135=1),IF(COUNTIFS($AZ$2:$AZ$201,AZ135,$CQ$2:$CQ$201,1,$H$2:$H$201,"&gt;"&amp;H135)+COUNTIFS($AZ$2:$AZ$201,AZ135,$CQ$2:$CQ$201,1,$H$2:$H$201,H135,$BA$2:$BA$201,"&gt;"&amp;BA135)=0,1,0),0)</f>
        <v>0</v>
      </c>
      <c r="EH135" s="23" t="str">
        <f aca="false">IF(BB135=1,IF(COUNTIFS($AZ$2:$AZ$201,AZ135,$EG$2:$EG$201,1)=0,"",SUMIFS($O$2:$O$201,$AZ$2:$AZ$201,AZ135,$EG$2:$EG$201,1)),"")</f>
        <v/>
      </c>
      <c r="EI135" s="23" t="n">
        <f aca="false">IF(AND(ISNUMBER(EH135),OR(N(EH135)&lt;Config!$B$31,N(EH135)&gt;Config!$B$33)),1,0)</f>
        <v>0</v>
      </c>
      <c r="EJ135" s="23" t="n">
        <f aca="false">IF(AND(ISNUMBER(EH135),N(EH135)&gt;=Config!$B$31,N(EH135)&lt;Config!$B$32),1,0)</f>
        <v>0</v>
      </c>
      <c r="EK135" s="23" t="n">
        <f aca="false">IF(AND(BF135=1,INT(N(H135))&lt;=Config!$B$6,DH135=1,EI135=1),1,0)</f>
        <v>0</v>
      </c>
      <c r="EL135" s="23" t="n">
        <f aca="false">IF(AND(BF135=1,INT(N(H135))&lt;=Config!$B$7,DI135=1,EI135=1),1,0)</f>
        <v>0</v>
      </c>
      <c r="EM135" s="23" t="n">
        <f aca="false">IF(AND(BF135=1,INT(N(H135))&lt;=Config!$B$8,DJ135=1,EI135=1),1,0)</f>
        <v>0</v>
      </c>
      <c r="EN135" s="23" t="n">
        <f aca="false">IF(AND(BF135=1,INT(N(H135))&lt;=Config!$B$5,DK135=1,EI135=1),1,0)</f>
        <v>0</v>
      </c>
      <c r="EO135" s="23" t="n">
        <f aca="false">IF(AND(DL135=1,EJ135=1),1,0)</f>
        <v>0</v>
      </c>
      <c r="EP135" s="23" t="n">
        <f aca="false">IF(AND(DM135=1,EJ135=1),1,0)</f>
        <v>0</v>
      </c>
      <c r="EQ135" s="23" t="n">
        <f aca="false">IF(AND(DN135=1,EJ135=1),1,0)</f>
        <v>0</v>
      </c>
      <c r="ER135" s="23" t="n">
        <f aca="false">IF(AND(DO135=1,EJ135=1),1,0)</f>
        <v>0</v>
      </c>
    </row>
    <row r="136" customFormat="false" ht="15" hidden="false" customHeight="false" outlineLevel="0" collapsed="false">
      <c r="G136" s="32"/>
      <c r="H136" s="33"/>
      <c r="I136" s="32"/>
      <c r="L136" s="32"/>
      <c r="Q136" s="32"/>
      <c r="U136" s="32"/>
      <c r="W136" s="32"/>
      <c r="AC136" s="32"/>
      <c r="AF136" s="32"/>
      <c r="AI136" s="32"/>
      <c r="AJ136" s="32"/>
      <c r="AN136" s="32"/>
      <c r="AR136" s="32"/>
      <c r="AT136" s="32"/>
      <c r="AU136" s="32"/>
      <c r="AW136" s="32"/>
      <c r="AY136" s="34" t="str">
        <f aca="false">IF(TRIM($A136)="","",IF(AND(LEFT($A136,6)="SAMPLE",Config!$B$19&lt;&gt;"Y"),"",IF(NOT(ISNUMBER(H136)),"call_date is blank or not a date",IF(Sync!$C$5="","Clay paste is empty or has no row_id column: paste the Clay export on Clay_Offices",IF(CW136="","row_id not found in the Clay paste: add the Clay row or fix the row_id",IF(AND(ISNUMBER(CY136),CY136&gt;=1,CY136&lt;=5),"Clay status is "&amp;CX136&amp;": set call_done or later",IF(AND(BD136=1,CZ136&lt;&gt;BZ136),"Clay yes_in_principle should be "&amp;BZ136,IF(AND(BD136=1,DA136&lt;&gt;H136),"Clay call_date should be "&amp;TEXT(H136,"yyyy-mm-dd"),""))))))))</f>
        <v/>
      </c>
      <c r="AZ136" s="23" t="str">
        <f aca="false">IF(TRIM($A136)="","",IF(TRIM(C136)&lt;&gt;"",SUBSTITUTE(SUBSTITUTE(SUBSTITUTE(SUBSTITUTE(SUBSTITUTE(SUBSTITUTE(LOWER(TRIM(C136)),"~",""),"*",""),"?",""),"&lt;",""),"&gt;",""),"=",""),IF(EA136&lt;&gt;"",EA136,IFERROR(INDEX($EA$2:$EA$201,MATCH(DZ136,$EB$2:$EB$201,0)),DZ136))))</f>
        <v/>
      </c>
      <c r="BA136" s="23" t="n">
        <f aca="false">ROW()</f>
        <v>136</v>
      </c>
      <c r="BB136" s="23" t="n">
        <f aca="false">IF(AND(TRIM($A136)&lt;&gt;"",ISNUMBER(H136)),IF(AND(LEFT($A136,6)="SAMPLE",Config!$B$19&lt;&gt;"Y"),0,1),0)</f>
        <v>0</v>
      </c>
      <c r="BC136" s="23" t="n">
        <f aca="false">IF(BB136=1,IF(COUNTIFS($AZ$2:$AZ$201,AZ136,$BB$2:$BB$201,1,$H$2:$H$201,"&lt;"&amp;H136)+COUNTIFS($AZ$2:$AZ$201,AZ136,$BB$2:$BB$201,1,$H$2:$H$201,H136,$BA$2:$BA$201,"&lt;"&amp;BA136)=0,1,0),0)</f>
        <v>0</v>
      </c>
      <c r="BD136" s="23" t="n">
        <f aca="false">IF(BB136=1,IF(COUNTIFS($A$2:$A$201,$A136,$BB$2:$BB$201,1,$H$2:$H$201,"&gt;"&amp;H136)+COUNTIFS($A$2:$A$201,$A136,$BB$2:$BB$201,1,$H$2:$H$201,H136,$BA$2:$BA$201,"&gt;"&amp;BA136)=0,1,0),0)</f>
        <v>0</v>
      </c>
      <c r="BE136" s="23" t="n">
        <f aca="false">IF(AND(BB136=1,AR136="Y",AC136="Y",TRIM(AH136)&lt;&gt;""),1,0)</f>
        <v>0</v>
      </c>
      <c r="BF136" s="23" t="n">
        <f aca="false">IF(BE136=1,IF(COUNTIFS($AZ$2:$AZ$201,AZ136,$BE$2:$BE$201,1,$H$2:$H$201,"&lt;"&amp;H136)+COUNTIFS($AZ$2:$AZ$201,AZ136,$BE$2:$BE$201,1,$H$2:$H$201,H136,$BA$2:$BA$201,"&lt;"&amp;BA136)=0,1,0),0)</f>
        <v>0</v>
      </c>
      <c r="BG136" s="23" t="n">
        <f aca="false">IF(AND(BB136=1,AR136="Y",BE136=0),1,0)</f>
        <v>0</v>
      </c>
      <c r="BH136" s="23" t="n">
        <f aca="false">IF(AND(BB136=1,ISNUMBER(Y136)),1,0)</f>
        <v>0</v>
      </c>
      <c r="BI136" s="23" t="n">
        <f aca="false">IF(BH136=1,IF(COUNTIFS($AZ$2:$AZ$201,AZ136,$BH$2:$BH$201,1,$H$2:$H$201,"&lt;"&amp;H136)+COUNTIFS($AZ$2:$AZ$201,AZ136,$BH$2:$BH$201,1,$H$2:$H$201,H136,$BA$2:$BA$201,"&lt;"&amp;BA136)=0,1,0),0)</f>
        <v>0</v>
      </c>
      <c r="BJ136" s="23" t="str">
        <f aca="false">IF(AND(BI136=1,INT(N(H136))&lt;=Config!$B$6),Y136,"")</f>
        <v/>
      </c>
      <c r="BK136" s="23" t="str">
        <f aca="false">IF(AND(BI136=1,INT(N(H136))&lt;=Config!$B$7),Y136,"")</f>
        <v/>
      </c>
      <c r="BL136" s="23" t="str">
        <f aca="false">IF(AND(BI136=1,INT(N(H136))&lt;=Config!$B$8),Y136,"")</f>
        <v/>
      </c>
      <c r="BM136" s="23" t="str">
        <f aca="false">IF(AND(BI136=1,INT(N(H136))&lt;=Config!$B$5),Y136,"")</f>
        <v/>
      </c>
      <c r="BN136" s="23" t="n">
        <f aca="false">IF(CD136=1,IF(COUNTIFS($AZ$2:$AZ$201,AZ136,$CD$2:$CD$201,1,$H$2:$H$201,"&lt;"&amp;H136)+COUNTIFS($AZ$2:$AZ$201,AZ136,$CD$2:$CD$201,1,$H$2:$H$201,H136,$BA$2:$BA$201,"&lt;"&amp;BA136)=0,1,0),0)</f>
        <v>0</v>
      </c>
      <c r="BO136" s="23" t="n">
        <f aca="false">IF(AND(BB136=1,ISNUMBER(M136)),1,0)</f>
        <v>0</v>
      </c>
      <c r="BP136" s="23" t="n">
        <f aca="false">IF(BO136=1,IF(COUNTIFS($AZ$2:$AZ$201,AZ136,$BO$2:$BO$201,1,$H$2:$H$201,"&lt;"&amp;H136)+COUNTIFS($AZ$2:$AZ$201,AZ136,$BO$2:$BO$201,1,$H$2:$H$201,H136,$BA$2:$BA$201,"&lt;"&amp;BA136)=0,1,0),0)</f>
        <v>0</v>
      </c>
      <c r="BQ136" s="23" t="str">
        <f aca="false">IF(AND(BP136=1,INT(N(H136))&lt;=Config!$B$5),M136,"")</f>
        <v/>
      </c>
      <c r="BR136" s="23" t="n">
        <f aca="false">IF(AND(BB136=1,OR(TRIM(X136)&lt;&gt;"",ISNUMBER(Y136))),1,0)</f>
        <v>0</v>
      </c>
      <c r="BS136" s="23" t="n">
        <f aca="false">IF(BR136=1,IF(COUNTIFS($AZ$2:$AZ$201,AZ136,$BR$2:$BR$201,1,$H$2:$H$201,"&lt;"&amp;H136)+COUNTIFS($AZ$2:$AZ$201,AZ136,$BR$2:$BR$201,1,$H$2:$H$201,H136,$BA$2:$BA$201,"&lt;"&amp;BA136)=0,1,0),0)</f>
        <v>0</v>
      </c>
      <c r="BT136" s="23" t="str">
        <f aca="false">IF(BS136=1,AZ136,"")</f>
        <v/>
      </c>
      <c r="BU136" s="23" t="n">
        <f aca="false">IF(AND(BB136=1,W136="Y",TRIM(X136)=""),1,0)</f>
        <v>0</v>
      </c>
      <c r="BV136" s="23" t="str">
        <f aca="false">IF(BB136=1,AN136&amp;"","")</f>
        <v/>
      </c>
      <c r="BW136" s="23" t="str">
        <f aca="false">IF(BB136=1,AO136&amp;"","")</f>
        <v/>
      </c>
      <c r="BX136" s="23" t="str">
        <f aca="false">IF(BB136=1,AP136&amp;"","")</f>
        <v/>
      </c>
      <c r="BY136" s="23" t="str">
        <f aca="false">IF(AND(BB136=1,ISNUMBER(AV136),INT(N(H136))&lt;=Config!$B$5),AV136,"")</f>
        <v/>
      </c>
      <c r="BZ136" s="23" t="str">
        <f aca="false">IF(BB136=1,IF(COUNTIFS($A$2:$A$201,$A136,$DC$2:$DC$201,1,$AR$2:$AR$201,"Y")&gt;0,"Y","N"),"")</f>
        <v/>
      </c>
      <c r="CA136" s="23" t="n">
        <f aca="false">IF(AND(BB136=1,AR136="maybe"),1,0)</f>
        <v>0</v>
      </c>
      <c r="CB136" s="23" t="n">
        <f aca="false">IF(CA136=1,IF(COUNTIFS($AZ$2:$AZ$201,AZ136,$CA$2:$CA$201,1,$H$2:$H$201,"&lt;"&amp;H136)+COUNTIFS($AZ$2:$AZ$201,AZ136,$CA$2:$CA$201,1,$H$2:$H$201,H136,$BA$2:$BA$201,"&lt;"&amp;BA136)=0,1,0),0)</f>
        <v>0</v>
      </c>
      <c r="CC136" s="23" t="n">
        <f aca="false">IF(AND(BB136=1,AR136="Y"),IF(COUNTIFS($AZ$2:$AZ$201,AZ136,$AR$2:$AR$201,"Y",$BB$2:$BB$201,1,$H$2:$H$201,"&lt;"&amp;H136)+COUNTIFS($AZ$2:$AZ$201,AZ136,$AR$2:$AR$201,"Y",$BB$2:$BB$201,1,$H$2:$H$201,H136,$BA$2:$BA$201,"&lt;"&amp;BA136)=0,1,0),0)</f>
        <v>0</v>
      </c>
      <c r="CD136" s="23" t="n">
        <f aca="false">IF(AND(BH136=1,N(Y136)&gt;=Config!$B$15),1,0)</f>
        <v>0</v>
      </c>
      <c r="CE136" s="23" t="n">
        <f aca="false">IF(AND(BB136=1,AT136="Y"),1,0)</f>
        <v>0</v>
      </c>
      <c r="CF136" s="23" t="n">
        <f aca="false">IF(CE136=1,IF(COUNTIFS($AZ$2:$AZ$201,AZ136,$CE$2:$CE$201,1,$H$2:$H$201,"&lt;"&amp;H136)+COUNTIFS($AZ$2:$AZ$201,AZ136,$CE$2:$CE$201,1,$H$2:$H$201,H136,$BA$2:$BA$201,"&lt;"&amp;BA136)=0,1,0),0)</f>
        <v>0</v>
      </c>
      <c r="CG136" s="23" t="n">
        <f aca="false">IF(AND(BB136=1,G136="warm-intro"),1,0)</f>
        <v>0</v>
      </c>
      <c r="CH136" s="23" t="n">
        <f aca="false">IF(CG136=1,IF(COUNTIFS($AZ$2:$AZ$201,AZ136,$CG$2:$CG$201,1,$H$2:$H$201,"&lt;"&amp;H136)+COUNTIFS($AZ$2:$AZ$201,AZ136,$CG$2:$CG$201,1,$H$2:$H$201,H136,$BA$2:$BA$201,"&lt;"&amp;BA136)=0,1,0),0)</f>
        <v>0</v>
      </c>
      <c r="CI136" s="23" t="n">
        <f aca="false">IF(AND(BB136=1,Q136="Y"),1,0)</f>
        <v>0</v>
      </c>
      <c r="CJ136" s="23" t="n">
        <f aca="false">IF(CI136=1,IF(COUNTIFS($AZ$2:$AZ$201,AZ136,$CI$2:$CI$201,1,$H$2:$H$201,"&lt;"&amp;H136)+COUNTIFS($AZ$2:$AZ$201,AZ136,$CI$2:$CI$201,1,$H$2:$H$201,H136,$BA$2:$BA$201,"&lt;"&amp;BA136)=0,1,0),0)</f>
        <v>0</v>
      </c>
      <c r="CK136" s="23" t="n">
        <f aca="false">IF(AND(BB136=1,AF136="Y"),1,0)</f>
        <v>0</v>
      </c>
      <c r="CL136" s="23" t="n">
        <f aca="false">IF(CK136=1,IF(COUNTIFS($AZ$2:$AZ$201,AZ136,$CK$2:$CK$201,1,$H$2:$H$201,"&lt;"&amp;H136)+COUNTIFS($AZ$2:$AZ$201,AZ136,$CK$2:$CK$201,1,$H$2:$H$201,H136,$BA$2:$BA$201,"&lt;"&amp;BA136)=0,1,0),0)</f>
        <v>0</v>
      </c>
      <c r="CM136" s="23" t="n">
        <f aca="false">IF(AND(BB136=1,U136="Y"),1,0)</f>
        <v>0</v>
      </c>
      <c r="CN136" s="23" t="n">
        <f aca="false">IF(CM136=1,IF(COUNTIFS($AZ$2:$AZ$201,AZ136,$CM$2:$CM$201,1,$H$2:$H$201,"&lt;"&amp;H136)+COUNTIFS($AZ$2:$AZ$201,AZ136,$CM$2:$CM$201,1,$H$2:$H$201,H136,$BA$2:$BA$201,"&lt;"&amp;BA136)=0,1,0),0)</f>
        <v>0</v>
      </c>
      <c r="CO136" s="23" t="n">
        <f aca="false">IF(AND(BB136=1,L136="Y"),1,0)</f>
        <v>0</v>
      </c>
      <c r="CP136" s="23" t="n">
        <f aca="false">IF(CO136=1,IF(COUNTIFS($AZ$2:$AZ$201,AZ136,$CO$2:$CO$201,1,$H$2:$H$201,"&lt;"&amp;H136)+COUNTIFS($AZ$2:$AZ$201,AZ136,$CO$2:$CO$201,1,$H$2:$H$201,H136,$BA$2:$BA$201,"&lt;"&amp;BA136)=0,1,0),0)</f>
        <v>0</v>
      </c>
      <c r="CQ136" s="23" t="n">
        <f aca="false">IF(AND(BB136=1,ISNUMBER(O136)),1,0)</f>
        <v>0</v>
      </c>
      <c r="CR136" s="23" t="n">
        <f aca="false">IF(CQ136=1,IF(COUNTIFS($AZ$2:$AZ$201,AZ136,$CQ$2:$CQ$201,1,$H$2:$H$201,"&lt;"&amp;H136)+COUNTIFS($AZ$2:$AZ$201,AZ136,$CQ$2:$CQ$201,1,$H$2:$H$201,H136,$BA$2:$BA$201,"&lt;"&amp;BA136)=0,1,0),0)</f>
        <v>0</v>
      </c>
      <c r="CS136" s="23" t="str">
        <f aca="false">IF(AND(CR136=1,INT(N(H136))&lt;=Config!$B$5),O136,"")</f>
        <v/>
      </c>
      <c r="CT136" s="23" t="str">
        <f aca="false">IF(AND(BB136=1,INT(N(H136))&lt;=Config!$B$5),AG136&amp;"","")</f>
        <v/>
      </c>
      <c r="CU136" s="23" t="n">
        <f aca="false">IF(AND(BB136=1,AU136="Y"),1,0)</f>
        <v>0</v>
      </c>
      <c r="CV136" s="23" t="n">
        <f aca="false">IF(CU136=1,IF(COUNTIFS($AZ$2:$AZ$201,AZ136,$CU$2:$CU$201,1,$H$2:$H$201,"&lt;"&amp;H136)+COUNTIFS($AZ$2:$AZ$201,AZ136,$CU$2:$CU$201,1,$H$2:$H$201,H136,$BA$2:$BA$201,"&lt;"&amp;BA136)=0,1,0),0)</f>
        <v>0</v>
      </c>
      <c r="CW136" s="23" t="str">
        <f aca="false">IF(BB136=1,IFERROR(MATCH($A136,INDEX(Clay_Offices!$A$2:$FZ$601,0,Sync!$C$5),0),""),"")</f>
        <v/>
      </c>
      <c r="CX136" s="23" t="str">
        <f aca="false">IF(CW136="","",IFERROR(INDEX(Clay_Offices!$A$2:$FZ$601,CW136,Sync!$C$7)&amp;"",""))</f>
        <v/>
      </c>
      <c r="CY136" s="23" t="str">
        <f aca="false">IF(CX136="","",IFERROR(INDEX(Lists!$K$2:$K$15,MATCH(CX136,Lists!$J$2:$J$15,0)),""))</f>
        <v/>
      </c>
      <c r="CZ136" s="23" t="str">
        <f aca="false">IF(CW136="","",IFERROR(INDEX(Clay_Offices!$A$2:$FZ$601,CW136,Sync!$C$17)&amp;"",""))</f>
        <v/>
      </c>
      <c r="DA136" s="35" t="str">
        <f aca="false">IF(CW136="","",IFERROR(N(INDEX(Clay_Offices!$A$2:$FZ$601,CW136,Sync!$C$16)),0))</f>
        <v/>
      </c>
      <c r="DB136" s="23" t="n">
        <f aca="false">IF(AND(BB136=1,OR(AR136="Y",AR136="N",AR136="maybe")),1,0)</f>
        <v>0</v>
      </c>
      <c r="DC136" s="23" t="n">
        <f aca="false">IF(AND(DB136=1),IF(COUNTIFS($A$2:$A$201,$A136,$DB$2:$DB$201,1,$H$2:$H$201,"&gt;"&amp;H136)+COUNTIFS($A$2:$A$201,$A136,$DB$2:$DB$201,1,$H$2:$H$201,H136,$BA$2:$BA$201,"&gt;"&amp;BA136)=0,1,0),0)</f>
        <v>0</v>
      </c>
      <c r="DD136" s="23" t="n">
        <f aca="false">IF(AND(DB136=1,INT(N(H136))&lt;=Config!$B$6),IF(COUNTIFS($AZ$2:$AZ$201,AZ136,$DB$2:$DB$201,1,$H$2:$H$201,"&gt;"&amp;H136,$H$2:$H$201,"&lt;"&amp;(Config!$B$6+1))+COUNTIFS($AZ$2:$AZ$201,AZ136,$DB$2:$DB$201,1,$H$2:$H$201,H136,$BA$2:$BA$201,"&gt;"&amp;BA136)=0,1,0),0)</f>
        <v>0</v>
      </c>
      <c r="DE136" s="23" t="n">
        <f aca="false">IF(AND(DB136=1,INT(N(H136))&lt;=Config!$B$7),IF(COUNTIFS($AZ$2:$AZ$201,AZ136,$DB$2:$DB$201,1,$H$2:$H$201,"&gt;"&amp;H136,$H$2:$H$201,"&lt;"&amp;(Config!$B$7+1))+COUNTIFS($AZ$2:$AZ$201,AZ136,$DB$2:$DB$201,1,$H$2:$H$201,H136,$BA$2:$BA$201,"&gt;"&amp;BA136)=0,1,0),0)</f>
        <v>0</v>
      </c>
      <c r="DF136" s="23" t="n">
        <f aca="false">IF(AND(DB136=1,INT(N(H136))&lt;=Config!$B$8),IF(COUNTIFS($AZ$2:$AZ$201,AZ136,$DB$2:$DB$201,1,$H$2:$H$201,"&gt;"&amp;H136,$H$2:$H$201,"&lt;"&amp;(Config!$B$8+1))+COUNTIFS($AZ$2:$AZ$201,AZ136,$DB$2:$DB$201,1,$H$2:$H$201,H136,$BA$2:$BA$201,"&gt;"&amp;BA136)=0,1,0),0)</f>
        <v>0</v>
      </c>
      <c r="DG136" s="23" t="n">
        <f aca="false">IF(AND(DB136=1,INT(N(H136))&lt;=Config!$B$5),IF(COUNTIFS($AZ$2:$AZ$201,AZ136,$DB$2:$DB$201,1,$H$2:$H$201,"&gt;"&amp;H136,$H$2:$H$201,"&lt;"&amp;(Config!$B$5+1))+COUNTIFS($AZ$2:$AZ$201,AZ136,$DB$2:$DB$201,1,$H$2:$H$201,H136,$BA$2:$BA$201,"&gt;"&amp;BA136)=0,1,0),0)</f>
        <v>0</v>
      </c>
      <c r="DH136" s="23" t="n">
        <f aca="false">IF(BB136=1,IF(COUNTIFS($AZ$2:$AZ$201,AZ136,$DD$2:$DD$201,1,$AR$2:$AR$201,"Y")&gt;0,1,0),0)</f>
        <v>0</v>
      </c>
      <c r="DI136" s="23" t="n">
        <f aca="false">IF(BB136=1,IF(COUNTIFS($AZ$2:$AZ$201,AZ136,$DE$2:$DE$201,1,$AR$2:$AR$201,"Y")&gt;0,1,0),0)</f>
        <v>0</v>
      </c>
      <c r="DJ136" s="23" t="n">
        <f aca="false">IF(BB136=1,IF(COUNTIFS($AZ$2:$AZ$201,AZ136,$DF$2:$DF$201,1,$AR$2:$AR$201,"Y")&gt;0,1,0),0)</f>
        <v>0</v>
      </c>
      <c r="DK136" s="23" t="n">
        <f aca="false">IF(BB136=1,IF(COUNTIFS($AZ$2:$AZ$201,AZ136,$DG$2:$DG$201,1,$AR$2:$AR$201,"Y")&gt;0,1,0),0)</f>
        <v>0</v>
      </c>
      <c r="DL136" s="23" t="n">
        <f aca="false">IF(AND(BF136=1,INT(N(H136))&lt;=Config!$B$6,DH136=1,EI136=0),1,0)</f>
        <v>0</v>
      </c>
      <c r="DM136" s="23" t="n">
        <f aca="false">IF(AND(BF136=1,INT(N(H136))&lt;=Config!$B$7,DI136=1,EI136=0),1,0)</f>
        <v>0</v>
      </c>
      <c r="DN136" s="23" t="n">
        <f aca="false">IF(AND(BF136=1,INT(N(H136))&lt;=Config!$B$8,DJ136=1,EI136=0),1,0)</f>
        <v>0</v>
      </c>
      <c r="DO136" s="23" t="n">
        <f aca="false">IF(AND(BF136=1,INT(N(H136))&lt;=Config!$B$5,DK136=1,EI136=0),1,0)</f>
        <v>0</v>
      </c>
      <c r="DP136" s="23" t="n">
        <f aca="false">IF(AND(CC136=1,INT(N(H136))&lt;=Config!$B$6,DH136=1,EI136=0),1,0)</f>
        <v>0</v>
      </c>
      <c r="DQ136" s="23" t="n">
        <f aca="false">IF(AND(CC136=1,INT(N(H136))&lt;=Config!$B$7,DI136=1,EI136=0),1,0)</f>
        <v>0</v>
      </c>
      <c r="DR136" s="23" t="n">
        <f aca="false">IF(AND(CC136=1,INT(N(H136))&lt;=Config!$B$8,DJ136=1,EI136=0),1,0)</f>
        <v>0</v>
      </c>
      <c r="DS136" s="23" t="n">
        <f aca="false">IF(AND(CC136=1,INT(N(H136))&lt;=Config!$B$5,DK136=1,EI136=0),1,0)</f>
        <v>0</v>
      </c>
      <c r="DT136" s="23" t="n">
        <f aca="false">IF(AND(CC136=1,INT(N(H136))&lt;=Config!$B$6,DH136=0),1,0)</f>
        <v>0</v>
      </c>
      <c r="DU136" s="23" t="n">
        <f aca="false">IF(AND(CC136=1,INT(N(H136))&lt;=Config!$B$7,DI136=0),1,0)</f>
        <v>0</v>
      </c>
      <c r="DV136" s="23" t="n">
        <f aca="false">IF(AND(CC136=1,INT(N(H136))&lt;=Config!$B$8,DJ136=0),1,0)</f>
        <v>0</v>
      </c>
      <c r="DW136" s="23" t="n">
        <f aca="false">IF(AND(CC136=1,INT(N(H136))&lt;=Config!$B$5,DK136=0),1,0)</f>
        <v>0</v>
      </c>
      <c r="DX136" s="23" t="n">
        <f aca="false">IF(TRIM($A136)="",0,ISTEXT(M136)+ISTEXT(O136)+ISTEXT(Y136)+ISTEXT(Z136)+ISTEXT(AA136)+ISTEXT(AV136))</f>
        <v>0</v>
      </c>
      <c r="DY136" s="23" t="n">
        <f aca="false">IF(BB136=1,IF(H136&lt;&gt;INT(H136),1,0),0)</f>
        <v>0</v>
      </c>
      <c r="DZ136" s="23" t="str">
        <f aca="false">IF(TRIM($A136)="","",IF(TRIM(B136)="",SUBSTITUTE(SUBSTITUTE(SUBSTITUTE(SUBSTITUTE(SUBSTITUTE(SUBSTITUTE(LOWER(TRIM($A136)),"~",""),"*",""),"?",""),"&lt;",""),"&gt;",""),"=",""),SUBSTITUTE(SUBSTITUTE(SUBSTITUTE(SUBSTITUTE(SUBSTITUTE(SUBSTITUTE(LOWER(TRIM(B136)),"~",""),"*",""),"?",""),"&lt;",""),"&gt;",""),"=","")))</f>
        <v/>
      </c>
      <c r="EA136" s="23" t="str">
        <f aca="false">IF(CW136="","",IFERROR(IF(LEFT(LOWER(TRIM(INDEX(Clay_Offices!$A$2:$FZ$601,CW136,Sync!$C$19)&amp;"")),4)="grp-",SUBSTITUTE(SUBSTITUTE(SUBSTITUTE(SUBSTITUTE(SUBSTITUTE(SUBSTITUTE(LOWER(TRIM(INDEX(Clay_Offices!$A$2:$FZ$601,CW136,Sync!$C$19)&amp;"")),"~",""),"*",""),"?",""),"&lt;",""),"&gt;",""),"=",""),""),""))</f>
        <v/>
      </c>
      <c r="EB136" s="23" t="str">
        <f aca="false">IF(EA136&lt;&gt;"",DZ136,"")</f>
        <v/>
      </c>
      <c r="EC136" s="23" t="str">
        <f aca="false">IF(BC136=1,AZ136,"")</f>
        <v/>
      </c>
      <c r="ED136" s="23" t="str">
        <f aca="false">IF(TRIM($A136)="","",IFERROR(INDEX($A$2:$A$201,MATCH(AZ136,$EC$2:$EC$201,0))&amp;"",$A136&amp;""))</f>
        <v/>
      </c>
      <c r="EE136" s="23" t="n">
        <f aca="false">IF(BB136=1,IF(COUNTIFS($A$2:$A$201,$A136,$BB$2:$BB$201,1,$H$2:$H$201,"&lt;"&amp;H136)+COUNTIFS($A$2:$A$201,$A136,$BB$2:$BB$201,1,$H$2:$H$201,H136,$BA$2:$BA$201,"&lt;"&amp;BA136)=0,1,0),0)</f>
        <v>0</v>
      </c>
      <c r="EF136" s="23" t="n">
        <f aca="false">IF(BC136=1,IF(COUNTIFS($AZ$2:$AZ$201,AZ136,$EE$2:$EE$201,1)&gt;1,1,0),0)</f>
        <v>0</v>
      </c>
      <c r="EG136" s="23" t="n">
        <f aca="false">IF(AND(CQ136=1),IF(COUNTIFS($AZ$2:$AZ$201,AZ136,$CQ$2:$CQ$201,1,$H$2:$H$201,"&gt;"&amp;H136)+COUNTIFS($AZ$2:$AZ$201,AZ136,$CQ$2:$CQ$201,1,$H$2:$H$201,H136,$BA$2:$BA$201,"&gt;"&amp;BA136)=0,1,0),0)</f>
        <v>0</v>
      </c>
      <c r="EH136" s="23" t="str">
        <f aca="false">IF(BB136=1,IF(COUNTIFS($AZ$2:$AZ$201,AZ136,$EG$2:$EG$201,1)=0,"",SUMIFS($O$2:$O$201,$AZ$2:$AZ$201,AZ136,$EG$2:$EG$201,1)),"")</f>
        <v/>
      </c>
      <c r="EI136" s="23" t="n">
        <f aca="false">IF(AND(ISNUMBER(EH136),OR(N(EH136)&lt;Config!$B$31,N(EH136)&gt;Config!$B$33)),1,0)</f>
        <v>0</v>
      </c>
      <c r="EJ136" s="23" t="n">
        <f aca="false">IF(AND(ISNUMBER(EH136),N(EH136)&gt;=Config!$B$31,N(EH136)&lt;Config!$B$32),1,0)</f>
        <v>0</v>
      </c>
      <c r="EK136" s="23" t="n">
        <f aca="false">IF(AND(BF136=1,INT(N(H136))&lt;=Config!$B$6,DH136=1,EI136=1),1,0)</f>
        <v>0</v>
      </c>
      <c r="EL136" s="23" t="n">
        <f aca="false">IF(AND(BF136=1,INT(N(H136))&lt;=Config!$B$7,DI136=1,EI136=1),1,0)</f>
        <v>0</v>
      </c>
      <c r="EM136" s="23" t="n">
        <f aca="false">IF(AND(BF136=1,INT(N(H136))&lt;=Config!$B$8,DJ136=1,EI136=1),1,0)</f>
        <v>0</v>
      </c>
      <c r="EN136" s="23" t="n">
        <f aca="false">IF(AND(BF136=1,INT(N(H136))&lt;=Config!$B$5,DK136=1,EI136=1),1,0)</f>
        <v>0</v>
      </c>
      <c r="EO136" s="23" t="n">
        <f aca="false">IF(AND(DL136=1,EJ136=1),1,0)</f>
        <v>0</v>
      </c>
      <c r="EP136" s="23" t="n">
        <f aca="false">IF(AND(DM136=1,EJ136=1),1,0)</f>
        <v>0</v>
      </c>
      <c r="EQ136" s="23" t="n">
        <f aca="false">IF(AND(DN136=1,EJ136=1),1,0)</f>
        <v>0</v>
      </c>
      <c r="ER136" s="23" t="n">
        <f aca="false">IF(AND(DO136=1,EJ136=1),1,0)</f>
        <v>0</v>
      </c>
    </row>
    <row r="137" customFormat="false" ht="15" hidden="false" customHeight="false" outlineLevel="0" collapsed="false">
      <c r="G137" s="32"/>
      <c r="H137" s="33"/>
      <c r="I137" s="32"/>
      <c r="L137" s="32"/>
      <c r="Q137" s="32"/>
      <c r="U137" s="32"/>
      <c r="W137" s="32"/>
      <c r="AC137" s="32"/>
      <c r="AF137" s="32"/>
      <c r="AI137" s="32"/>
      <c r="AJ137" s="32"/>
      <c r="AN137" s="32"/>
      <c r="AR137" s="32"/>
      <c r="AT137" s="32"/>
      <c r="AU137" s="32"/>
      <c r="AW137" s="32"/>
      <c r="AY137" s="34" t="str">
        <f aca="false">IF(TRIM($A137)="","",IF(AND(LEFT($A137,6)="SAMPLE",Config!$B$19&lt;&gt;"Y"),"",IF(NOT(ISNUMBER(H137)),"call_date is blank or not a date",IF(Sync!$C$5="","Clay paste is empty or has no row_id column: paste the Clay export on Clay_Offices",IF(CW137="","row_id not found in the Clay paste: add the Clay row or fix the row_id",IF(AND(ISNUMBER(CY137),CY137&gt;=1,CY137&lt;=5),"Clay status is "&amp;CX137&amp;": set call_done or later",IF(AND(BD137=1,CZ137&lt;&gt;BZ137),"Clay yes_in_principle should be "&amp;BZ137,IF(AND(BD137=1,DA137&lt;&gt;H137),"Clay call_date should be "&amp;TEXT(H137,"yyyy-mm-dd"),""))))))))</f>
        <v/>
      </c>
      <c r="AZ137" s="23" t="str">
        <f aca="false">IF(TRIM($A137)="","",IF(TRIM(C137)&lt;&gt;"",SUBSTITUTE(SUBSTITUTE(SUBSTITUTE(SUBSTITUTE(SUBSTITUTE(SUBSTITUTE(LOWER(TRIM(C137)),"~",""),"*",""),"?",""),"&lt;",""),"&gt;",""),"=",""),IF(EA137&lt;&gt;"",EA137,IFERROR(INDEX($EA$2:$EA$201,MATCH(DZ137,$EB$2:$EB$201,0)),DZ137))))</f>
        <v/>
      </c>
      <c r="BA137" s="23" t="n">
        <f aca="false">ROW()</f>
        <v>137</v>
      </c>
      <c r="BB137" s="23" t="n">
        <f aca="false">IF(AND(TRIM($A137)&lt;&gt;"",ISNUMBER(H137)),IF(AND(LEFT($A137,6)="SAMPLE",Config!$B$19&lt;&gt;"Y"),0,1),0)</f>
        <v>0</v>
      </c>
      <c r="BC137" s="23" t="n">
        <f aca="false">IF(BB137=1,IF(COUNTIFS($AZ$2:$AZ$201,AZ137,$BB$2:$BB$201,1,$H$2:$H$201,"&lt;"&amp;H137)+COUNTIFS($AZ$2:$AZ$201,AZ137,$BB$2:$BB$201,1,$H$2:$H$201,H137,$BA$2:$BA$201,"&lt;"&amp;BA137)=0,1,0),0)</f>
        <v>0</v>
      </c>
      <c r="BD137" s="23" t="n">
        <f aca="false">IF(BB137=1,IF(COUNTIFS($A$2:$A$201,$A137,$BB$2:$BB$201,1,$H$2:$H$201,"&gt;"&amp;H137)+COUNTIFS($A$2:$A$201,$A137,$BB$2:$BB$201,1,$H$2:$H$201,H137,$BA$2:$BA$201,"&gt;"&amp;BA137)=0,1,0),0)</f>
        <v>0</v>
      </c>
      <c r="BE137" s="23" t="n">
        <f aca="false">IF(AND(BB137=1,AR137="Y",AC137="Y",TRIM(AH137)&lt;&gt;""),1,0)</f>
        <v>0</v>
      </c>
      <c r="BF137" s="23" t="n">
        <f aca="false">IF(BE137=1,IF(COUNTIFS($AZ$2:$AZ$201,AZ137,$BE$2:$BE$201,1,$H$2:$H$201,"&lt;"&amp;H137)+COUNTIFS($AZ$2:$AZ$201,AZ137,$BE$2:$BE$201,1,$H$2:$H$201,H137,$BA$2:$BA$201,"&lt;"&amp;BA137)=0,1,0),0)</f>
        <v>0</v>
      </c>
      <c r="BG137" s="23" t="n">
        <f aca="false">IF(AND(BB137=1,AR137="Y",BE137=0),1,0)</f>
        <v>0</v>
      </c>
      <c r="BH137" s="23" t="n">
        <f aca="false">IF(AND(BB137=1,ISNUMBER(Y137)),1,0)</f>
        <v>0</v>
      </c>
      <c r="BI137" s="23" t="n">
        <f aca="false">IF(BH137=1,IF(COUNTIFS($AZ$2:$AZ$201,AZ137,$BH$2:$BH$201,1,$H$2:$H$201,"&lt;"&amp;H137)+COUNTIFS($AZ$2:$AZ$201,AZ137,$BH$2:$BH$201,1,$H$2:$H$201,H137,$BA$2:$BA$201,"&lt;"&amp;BA137)=0,1,0),0)</f>
        <v>0</v>
      </c>
      <c r="BJ137" s="23" t="str">
        <f aca="false">IF(AND(BI137=1,INT(N(H137))&lt;=Config!$B$6),Y137,"")</f>
        <v/>
      </c>
      <c r="BK137" s="23" t="str">
        <f aca="false">IF(AND(BI137=1,INT(N(H137))&lt;=Config!$B$7),Y137,"")</f>
        <v/>
      </c>
      <c r="BL137" s="23" t="str">
        <f aca="false">IF(AND(BI137=1,INT(N(H137))&lt;=Config!$B$8),Y137,"")</f>
        <v/>
      </c>
      <c r="BM137" s="23" t="str">
        <f aca="false">IF(AND(BI137=1,INT(N(H137))&lt;=Config!$B$5),Y137,"")</f>
        <v/>
      </c>
      <c r="BN137" s="23" t="n">
        <f aca="false">IF(CD137=1,IF(COUNTIFS($AZ$2:$AZ$201,AZ137,$CD$2:$CD$201,1,$H$2:$H$201,"&lt;"&amp;H137)+COUNTIFS($AZ$2:$AZ$201,AZ137,$CD$2:$CD$201,1,$H$2:$H$201,H137,$BA$2:$BA$201,"&lt;"&amp;BA137)=0,1,0),0)</f>
        <v>0</v>
      </c>
      <c r="BO137" s="23" t="n">
        <f aca="false">IF(AND(BB137=1,ISNUMBER(M137)),1,0)</f>
        <v>0</v>
      </c>
      <c r="BP137" s="23" t="n">
        <f aca="false">IF(BO137=1,IF(COUNTIFS($AZ$2:$AZ$201,AZ137,$BO$2:$BO$201,1,$H$2:$H$201,"&lt;"&amp;H137)+COUNTIFS($AZ$2:$AZ$201,AZ137,$BO$2:$BO$201,1,$H$2:$H$201,H137,$BA$2:$BA$201,"&lt;"&amp;BA137)=0,1,0),0)</f>
        <v>0</v>
      </c>
      <c r="BQ137" s="23" t="str">
        <f aca="false">IF(AND(BP137=1,INT(N(H137))&lt;=Config!$B$5),M137,"")</f>
        <v/>
      </c>
      <c r="BR137" s="23" t="n">
        <f aca="false">IF(AND(BB137=1,OR(TRIM(X137)&lt;&gt;"",ISNUMBER(Y137))),1,0)</f>
        <v>0</v>
      </c>
      <c r="BS137" s="23" t="n">
        <f aca="false">IF(BR137=1,IF(COUNTIFS($AZ$2:$AZ$201,AZ137,$BR$2:$BR$201,1,$H$2:$H$201,"&lt;"&amp;H137)+COUNTIFS($AZ$2:$AZ$201,AZ137,$BR$2:$BR$201,1,$H$2:$H$201,H137,$BA$2:$BA$201,"&lt;"&amp;BA137)=0,1,0),0)</f>
        <v>0</v>
      </c>
      <c r="BT137" s="23" t="str">
        <f aca="false">IF(BS137=1,AZ137,"")</f>
        <v/>
      </c>
      <c r="BU137" s="23" t="n">
        <f aca="false">IF(AND(BB137=1,W137="Y",TRIM(X137)=""),1,0)</f>
        <v>0</v>
      </c>
      <c r="BV137" s="23" t="str">
        <f aca="false">IF(BB137=1,AN137&amp;"","")</f>
        <v/>
      </c>
      <c r="BW137" s="23" t="str">
        <f aca="false">IF(BB137=1,AO137&amp;"","")</f>
        <v/>
      </c>
      <c r="BX137" s="23" t="str">
        <f aca="false">IF(BB137=1,AP137&amp;"","")</f>
        <v/>
      </c>
      <c r="BY137" s="23" t="str">
        <f aca="false">IF(AND(BB137=1,ISNUMBER(AV137),INT(N(H137))&lt;=Config!$B$5),AV137,"")</f>
        <v/>
      </c>
      <c r="BZ137" s="23" t="str">
        <f aca="false">IF(BB137=1,IF(COUNTIFS($A$2:$A$201,$A137,$DC$2:$DC$201,1,$AR$2:$AR$201,"Y")&gt;0,"Y","N"),"")</f>
        <v/>
      </c>
      <c r="CA137" s="23" t="n">
        <f aca="false">IF(AND(BB137=1,AR137="maybe"),1,0)</f>
        <v>0</v>
      </c>
      <c r="CB137" s="23" t="n">
        <f aca="false">IF(CA137=1,IF(COUNTIFS($AZ$2:$AZ$201,AZ137,$CA$2:$CA$201,1,$H$2:$H$201,"&lt;"&amp;H137)+COUNTIFS($AZ$2:$AZ$201,AZ137,$CA$2:$CA$201,1,$H$2:$H$201,H137,$BA$2:$BA$201,"&lt;"&amp;BA137)=0,1,0),0)</f>
        <v>0</v>
      </c>
      <c r="CC137" s="23" t="n">
        <f aca="false">IF(AND(BB137=1,AR137="Y"),IF(COUNTIFS($AZ$2:$AZ$201,AZ137,$AR$2:$AR$201,"Y",$BB$2:$BB$201,1,$H$2:$H$201,"&lt;"&amp;H137)+COUNTIFS($AZ$2:$AZ$201,AZ137,$AR$2:$AR$201,"Y",$BB$2:$BB$201,1,$H$2:$H$201,H137,$BA$2:$BA$201,"&lt;"&amp;BA137)=0,1,0),0)</f>
        <v>0</v>
      </c>
      <c r="CD137" s="23" t="n">
        <f aca="false">IF(AND(BH137=1,N(Y137)&gt;=Config!$B$15),1,0)</f>
        <v>0</v>
      </c>
      <c r="CE137" s="23" t="n">
        <f aca="false">IF(AND(BB137=1,AT137="Y"),1,0)</f>
        <v>0</v>
      </c>
      <c r="CF137" s="23" t="n">
        <f aca="false">IF(CE137=1,IF(COUNTIFS($AZ$2:$AZ$201,AZ137,$CE$2:$CE$201,1,$H$2:$H$201,"&lt;"&amp;H137)+COUNTIFS($AZ$2:$AZ$201,AZ137,$CE$2:$CE$201,1,$H$2:$H$201,H137,$BA$2:$BA$201,"&lt;"&amp;BA137)=0,1,0),0)</f>
        <v>0</v>
      </c>
      <c r="CG137" s="23" t="n">
        <f aca="false">IF(AND(BB137=1,G137="warm-intro"),1,0)</f>
        <v>0</v>
      </c>
      <c r="CH137" s="23" t="n">
        <f aca="false">IF(CG137=1,IF(COUNTIFS($AZ$2:$AZ$201,AZ137,$CG$2:$CG$201,1,$H$2:$H$201,"&lt;"&amp;H137)+COUNTIFS($AZ$2:$AZ$201,AZ137,$CG$2:$CG$201,1,$H$2:$H$201,H137,$BA$2:$BA$201,"&lt;"&amp;BA137)=0,1,0),0)</f>
        <v>0</v>
      </c>
      <c r="CI137" s="23" t="n">
        <f aca="false">IF(AND(BB137=1,Q137="Y"),1,0)</f>
        <v>0</v>
      </c>
      <c r="CJ137" s="23" t="n">
        <f aca="false">IF(CI137=1,IF(COUNTIFS($AZ$2:$AZ$201,AZ137,$CI$2:$CI$201,1,$H$2:$H$201,"&lt;"&amp;H137)+COUNTIFS($AZ$2:$AZ$201,AZ137,$CI$2:$CI$201,1,$H$2:$H$201,H137,$BA$2:$BA$201,"&lt;"&amp;BA137)=0,1,0),0)</f>
        <v>0</v>
      </c>
      <c r="CK137" s="23" t="n">
        <f aca="false">IF(AND(BB137=1,AF137="Y"),1,0)</f>
        <v>0</v>
      </c>
      <c r="CL137" s="23" t="n">
        <f aca="false">IF(CK137=1,IF(COUNTIFS($AZ$2:$AZ$201,AZ137,$CK$2:$CK$201,1,$H$2:$H$201,"&lt;"&amp;H137)+COUNTIFS($AZ$2:$AZ$201,AZ137,$CK$2:$CK$201,1,$H$2:$H$201,H137,$BA$2:$BA$201,"&lt;"&amp;BA137)=0,1,0),0)</f>
        <v>0</v>
      </c>
      <c r="CM137" s="23" t="n">
        <f aca="false">IF(AND(BB137=1,U137="Y"),1,0)</f>
        <v>0</v>
      </c>
      <c r="CN137" s="23" t="n">
        <f aca="false">IF(CM137=1,IF(COUNTIFS($AZ$2:$AZ$201,AZ137,$CM$2:$CM$201,1,$H$2:$H$201,"&lt;"&amp;H137)+COUNTIFS($AZ$2:$AZ$201,AZ137,$CM$2:$CM$201,1,$H$2:$H$201,H137,$BA$2:$BA$201,"&lt;"&amp;BA137)=0,1,0),0)</f>
        <v>0</v>
      </c>
      <c r="CO137" s="23" t="n">
        <f aca="false">IF(AND(BB137=1,L137="Y"),1,0)</f>
        <v>0</v>
      </c>
      <c r="CP137" s="23" t="n">
        <f aca="false">IF(CO137=1,IF(COUNTIFS($AZ$2:$AZ$201,AZ137,$CO$2:$CO$201,1,$H$2:$H$201,"&lt;"&amp;H137)+COUNTIFS($AZ$2:$AZ$201,AZ137,$CO$2:$CO$201,1,$H$2:$H$201,H137,$BA$2:$BA$201,"&lt;"&amp;BA137)=0,1,0),0)</f>
        <v>0</v>
      </c>
      <c r="CQ137" s="23" t="n">
        <f aca="false">IF(AND(BB137=1,ISNUMBER(O137)),1,0)</f>
        <v>0</v>
      </c>
      <c r="CR137" s="23" t="n">
        <f aca="false">IF(CQ137=1,IF(COUNTIFS($AZ$2:$AZ$201,AZ137,$CQ$2:$CQ$201,1,$H$2:$H$201,"&lt;"&amp;H137)+COUNTIFS($AZ$2:$AZ$201,AZ137,$CQ$2:$CQ$201,1,$H$2:$H$201,H137,$BA$2:$BA$201,"&lt;"&amp;BA137)=0,1,0),0)</f>
        <v>0</v>
      </c>
      <c r="CS137" s="23" t="str">
        <f aca="false">IF(AND(CR137=1,INT(N(H137))&lt;=Config!$B$5),O137,"")</f>
        <v/>
      </c>
      <c r="CT137" s="23" t="str">
        <f aca="false">IF(AND(BB137=1,INT(N(H137))&lt;=Config!$B$5),AG137&amp;"","")</f>
        <v/>
      </c>
      <c r="CU137" s="23" t="n">
        <f aca="false">IF(AND(BB137=1,AU137="Y"),1,0)</f>
        <v>0</v>
      </c>
      <c r="CV137" s="23" t="n">
        <f aca="false">IF(CU137=1,IF(COUNTIFS($AZ$2:$AZ$201,AZ137,$CU$2:$CU$201,1,$H$2:$H$201,"&lt;"&amp;H137)+COUNTIFS($AZ$2:$AZ$201,AZ137,$CU$2:$CU$201,1,$H$2:$H$201,H137,$BA$2:$BA$201,"&lt;"&amp;BA137)=0,1,0),0)</f>
        <v>0</v>
      </c>
      <c r="CW137" s="23" t="str">
        <f aca="false">IF(BB137=1,IFERROR(MATCH($A137,INDEX(Clay_Offices!$A$2:$FZ$601,0,Sync!$C$5),0),""),"")</f>
        <v/>
      </c>
      <c r="CX137" s="23" t="str">
        <f aca="false">IF(CW137="","",IFERROR(INDEX(Clay_Offices!$A$2:$FZ$601,CW137,Sync!$C$7)&amp;"",""))</f>
        <v/>
      </c>
      <c r="CY137" s="23" t="str">
        <f aca="false">IF(CX137="","",IFERROR(INDEX(Lists!$K$2:$K$15,MATCH(CX137,Lists!$J$2:$J$15,0)),""))</f>
        <v/>
      </c>
      <c r="CZ137" s="23" t="str">
        <f aca="false">IF(CW137="","",IFERROR(INDEX(Clay_Offices!$A$2:$FZ$601,CW137,Sync!$C$17)&amp;"",""))</f>
        <v/>
      </c>
      <c r="DA137" s="35" t="str">
        <f aca="false">IF(CW137="","",IFERROR(N(INDEX(Clay_Offices!$A$2:$FZ$601,CW137,Sync!$C$16)),0))</f>
        <v/>
      </c>
      <c r="DB137" s="23" t="n">
        <f aca="false">IF(AND(BB137=1,OR(AR137="Y",AR137="N",AR137="maybe")),1,0)</f>
        <v>0</v>
      </c>
      <c r="DC137" s="23" t="n">
        <f aca="false">IF(AND(DB137=1),IF(COUNTIFS($A$2:$A$201,$A137,$DB$2:$DB$201,1,$H$2:$H$201,"&gt;"&amp;H137)+COUNTIFS($A$2:$A$201,$A137,$DB$2:$DB$201,1,$H$2:$H$201,H137,$BA$2:$BA$201,"&gt;"&amp;BA137)=0,1,0),0)</f>
        <v>0</v>
      </c>
      <c r="DD137" s="23" t="n">
        <f aca="false">IF(AND(DB137=1,INT(N(H137))&lt;=Config!$B$6),IF(COUNTIFS($AZ$2:$AZ$201,AZ137,$DB$2:$DB$201,1,$H$2:$H$201,"&gt;"&amp;H137,$H$2:$H$201,"&lt;"&amp;(Config!$B$6+1))+COUNTIFS($AZ$2:$AZ$201,AZ137,$DB$2:$DB$201,1,$H$2:$H$201,H137,$BA$2:$BA$201,"&gt;"&amp;BA137)=0,1,0),0)</f>
        <v>0</v>
      </c>
      <c r="DE137" s="23" t="n">
        <f aca="false">IF(AND(DB137=1,INT(N(H137))&lt;=Config!$B$7),IF(COUNTIFS($AZ$2:$AZ$201,AZ137,$DB$2:$DB$201,1,$H$2:$H$201,"&gt;"&amp;H137,$H$2:$H$201,"&lt;"&amp;(Config!$B$7+1))+COUNTIFS($AZ$2:$AZ$201,AZ137,$DB$2:$DB$201,1,$H$2:$H$201,H137,$BA$2:$BA$201,"&gt;"&amp;BA137)=0,1,0),0)</f>
        <v>0</v>
      </c>
      <c r="DF137" s="23" t="n">
        <f aca="false">IF(AND(DB137=1,INT(N(H137))&lt;=Config!$B$8),IF(COUNTIFS($AZ$2:$AZ$201,AZ137,$DB$2:$DB$201,1,$H$2:$H$201,"&gt;"&amp;H137,$H$2:$H$201,"&lt;"&amp;(Config!$B$8+1))+COUNTIFS($AZ$2:$AZ$201,AZ137,$DB$2:$DB$201,1,$H$2:$H$201,H137,$BA$2:$BA$201,"&gt;"&amp;BA137)=0,1,0),0)</f>
        <v>0</v>
      </c>
      <c r="DG137" s="23" t="n">
        <f aca="false">IF(AND(DB137=1,INT(N(H137))&lt;=Config!$B$5),IF(COUNTIFS($AZ$2:$AZ$201,AZ137,$DB$2:$DB$201,1,$H$2:$H$201,"&gt;"&amp;H137,$H$2:$H$201,"&lt;"&amp;(Config!$B$5+1))+COUNTIFS($AZ$2:$AZ$201,AZ137,$DB$2:$DB$201,1,$H$2:$H$201,H137,$BA$2:$BA$201,"&gt;"&amp;BA137)=0,1,0),0)</f>
        <v>0</v>
      </c>
      <c r="DH137" s="23" t="n">
        <f aca="false">IF(BB137=1,IF(COUNTIFS($AZ$2:$AZ$201,AZ137,$DD$2:$DD$201,1,$AR$2:$AR$201,"Y")&gt;0,1,0),0)</f>
        <v>0</v>
      </c>
      <c r="DI137" s="23" t="n">
        <f aca="false">IF(BB137=1,IF(COUNTIFS($AZ$2:$AZ$201,AZ137,$DE$2:$DE$201,1,$AR$2:$AR$201,"Y")&gt;0,1,0),0)</f>
        <v>0</v>
      </c>
      <c r="DJ137" s="23" t="n">
        <f aca="false">IF(BB137=1,IF(COUNTIFS($AZ$2:$AZ$201,AZ137,$DF$2:$DF$201,1,$AR$2:$AR$201,"Y")&gt;0,1,0),0)</f>
        <v>0</v>
      </c>
      <c r="DK137" s="23" t="n">
        <f aca="false">IF(BB137=1,IF(COUNTIFS($AZ$2:$AZ$201,AZ137,$DG$2:$DG$201,1,$AR$2:$AR$201,"Y")&gt;0,1,0),0)</f>
        <v>0</v>
      </c>
      <c r="DL137" s="23" t="n">
        <f aca="false">IF(AND(BF137=1,INT(N(H137))&lt;=Config!$B$6,DH137=1,EI137=0),1,0)</f>
        <v>0</v>
      </c>
      <c r="DM137" s="23" t="n">
        <f aca="false">IF(AND(BF137=1,INT(N(H137))&lt;=Config!$B$7,DI137=1,EI137=0),1,0)</f>
        <v>0</v>
      </c>
      <c r="DN137" s="23" t="n">
        <f aca="false">IF(AND(BF137=1,INT(N(H137))&lt;=Config!$B$8,DJ137=1,EI137=0),1,0)</f>
        <v>0</v>
      </c>
      <c r="DO137" s="23" t="n">
        <f aca="false">IF(AND(BF137=1,INT(N(H137))&lt;=Config!$B$5,DK137=1,EI137=0),1,0)</f>
        <v>0</v>
      </c>
      <c r="DP137" s="23" t="n">
        <f aca="false">IF(AND(CC137=1,INT(N(H137))&lt;=Config!$B$6,DH137=1,EI137=0),1,0)</f>
        <v>0</v>
      </c>
      <c r="DQ137" s="23" t="n">
        <f aca="false">IF(AND(CC137=1,INT(N(H137))&lt;=Config!$B$7,DI137=1,EI137=0),1,0)</f>
        <v>0</v>
      </c>
      <c r="DR137" s="23" t="n">
        <f aca="false">IF(AND(CC137=1,INT(N(H137))&lt;=Config!$B$8,DJ137=1,EI137=0),1,0)</f>
        <v>0</v>
      </c>
      <c r="DS137" s="23" t="n">
        <f aca="false">IF(AND(CC137=1,INT(N(H137))&lt;=Config!$B$5,DK137=1,EI137=0),1,0)</f>
        <v>0</v>
      </c>
      <c r="DT137" s="23" t="n">
        <f aca="false">IF(AND(CC137=1,INT(N(H137))&lt;=Config!$B$6,DH137=0),1,0)</f>
        <v>0</v>
      </c>
      <c r="DU137" s="23" t="n">
        <f aca="false">IF(AND(CC137=1,INT(N(H137))&lt;=Config!$B$7,DI137=0),1,0)</f>
        <v>0</v>
      </c>
      <c r="DV137" s="23" t="n">
        <f aca="false">IF(AND(CC137=1,INT(N(H137))&lt;=Config!$B$8,DJ137=0),1,0)</f>
        <v>0</v>
      </c>
      <c r="DW137" s="23" t="n">
        <f aca="false">IF(AND(CC137=1,INT(N(H137))&lt;=Config!$B$5,DK137=0),1,0)</f>
        <v>0</v>
      </c>
      <c r="DX137" s="23" t="n">
        <f aca="false">IF(TRIM($A137)="",0,ISTEXT(M137)+ISTEXT(O137)+ISTEXT(Y137)+ISTEXT(Z137)+ISTEXT(AA137)+ISTEXT(AV137))</f>
        <v>0</v>
      </c>
      <c r="DY137" s="23" t="n">
        <f aca="false">IF(BB137=1,IF(H137&lt;&gt;INT(H137),1,0),0)</f>
        <v>0</v>
      </c>
      <c r="DZ137" s="23" t="str">
        <f aca="false">IF(TRIM($A137)="","",IF(TRIM(B137)="",SUBSTITUTE(SUBSTITUTE(SUBSTITUTE(SUBSTITUTE(SUBSTITUTE(SUBSTITUTE(LOWER(TRIM($A137)),"~",""),"*",""),"?",""),"&lt;",""),"&gt;",""),"=",""),SUBSTITUTE(SUBSTITUTE(SUBSTITUTE(SUBSTITUTE(SUBSTITUTE(SUBSTITUTE(LOWER(TRIM(B137)),"~",""),"*",""),"?",""),"&lt;",""),"&gt;",""),"=","")))</f>
        <v/>
      </c>
      <c r="EA137" s="23" t="str">
        <f aca="false">IF(CW137="","",IFERROR(IF(LEFT(LOWER(TRIM(INDEX(Clay_Offices!$A$2:$FZ$601,CW137,Sync!$C$19)&amp;"")),4)="grp-",SUBSTITUTE(SUBSTITUTE(SUBSTITUTE(SUBSTITUTE(SUBSTITUTE(SUBSTITUTE(LOWER(TRIM(INDEX(Clay_Offices!$A$2:$FZ$601,CW137,Sync!$C$19)&amp;"")),"~",""),"*",""),"?",""),"&lt;",""),"&gt;",""),"=",""),""),""))</f>
        <v/>
      </c>
      <c r="EB137" s="23" t="str">
        <f aca="false">IF(EA137&lt;&gt;"",DZ137,"")</f>
        <v/>
      </c>
      <c r="EC137" s="23" t="str">
        <f aca="false">IF(BC137=1,AZ137,"")</f>
        <v/>
      </c>
      <c r="ED137" s="23" t="str">
        <f aca="false">IF(TRIM($A137)="","",IFERROR(INDEX($A$2:$A$201,MATCH(AZ137,$EC$2:$EC$201,0))&amp;"",$A137&amp;""))</f>
        <v/>
      </c>
      <c r="EE137" s="23" t="n">
        <f aca="false">IF(BB137=1,IF(COUNTIFS($A$2:$A$201,$A137,$BB$2:$BB$201,1,$H$2:$H$201,"&lt;"&amp;H137)+COUNTIFS($A$2:$A$201,$A137,$BB$2:$BB$201,1,$H$2:$H$201,H137,$BA$2:$BA$201,"&lt;"&amp;BA137)=0,1,0),0)</f>
        <v>0</v>
      </c>
      <c r="EF137" s="23" t="n">
        <f aca="false">IF(BC137=1,IF(COUNTIFS($AZ$2:$AZ$201,AZ137,$EE$2:$EE$201,1)&gt;1,1,0),0)</f>
        <v>0</v>
      </c>
      <c r="EG137" s="23" t="n">
        <f aca="false">IF(AND(CQ137=1),IF(COUNTIFS($AZ$2:$AZ$201,AZ137,$CQ$2:$CQ$201,1,$H$2:$H$201,"&gt;"&amp;H137)+COUNTIFS($AZ$2:$AZ$201,AZ137,$CQ$2:$CQ$201,1,$H$2:$H$201,H137,$BA$2:$BA$201,"&gt;"&amp;BA137)=0,1,0),0)</f>
        <v>0</v>
      </c>
      <c r="EH137" s="23" t="str">
        <f aca="false">IF(BB137=1,IF(COUNTIFS($AZ$2:$AZ$201,AZ137,$EG$2:$EG$201,1)=0,"",SUMIFS($O$2:$O$201,$AZ$2:$AZ$201,AZ137,$EG$2:$EG$201,1)),"")</f>
        <v/>
      </c>
      <c r="EI137" s="23" t="n">
        <f aca="false">IF(AND(ISNUMBER(EH137),OR(N(EH137)&lt;Config!$B$31,N(EH137)&gt;Config!$B$33)),1,0)</f>
        <v>0</v>
      </c>
      <c r="EJ137" s="23" t="n">
        <f aca="false">IF(AND(ISNUMBER(EH137),N(EH137)&gt;=Config!$B$31,N(EH137)&lt;Config!$B$32),1,0)</f>
        <v>0</v>
      </c>
      <c r="EK137" s="23" t="n">
        <f aca="false">IF(AND(BF137=1,INT(N(H137))&lt;=Config!$B$6,DH137=1,EI137=1),1,0)</f>
        <v>0</v>
      </c>
      <c r="EL137" s="23" t="n">
        <f aca="false">IF(AND(BF137=1,INT(N(H137))&lt;=Config!$B$7,DI137=1,EI137=1),1,0)</f>
        <v>0</v>
      </c>
      <c r="EM137" s="23" t="n">
        <f aca="false">IF(AND(BF137=1,INT(N(H137))&lt;=Config!$B$8,DJ137=1,EI137=1),1,0)</f>
        <v>0</v>
      </c>
      <c r="EN137" s="23" t="n">
        <f aca="false">IF(AND(BF137=1,INT(N(H137))&lt;=Config!$B$5,DK137=1,EI137=1),1,0)</f>
        <v>0</v>
      </c>
      <c r="EO137" s="23" t="n">
        <f aca="false">IF(AND(DL137=1,EJ137=1),1,0)</f>
        <v>0</v>
      </c>
      <c r="EP137" s="23" t="n">
        <f aca="false">IF(AND(DM137=1,EJ137=1),1,0)</f>
        <v>0</v>
      </c>
      <c r="EQ137" s="23" t="n">
        <f aca="false">IF(AND(DN137=1,EJ137=1),1,0)</f>
        <v>0</v>
      </c>
      <c r="ER137" s="23" t="n">
        <f aca="false">IF(AND(DO137=1,EJ137=1),1,0)</f>
        <v>0</v>
      </c>
    </row>
    <row r="138" customFormat="false" ht="15" hidden="false" customHeight="false" outlineLevel="0" collapsed="false">
      <c r="G138" s="32"/>
      <c r="H138" s="33"/>
      <c r="I138" s="32"/>
      <c r="L138" s="32"/>
      <c r="Q138" s="32"/>
      <c r="U138" s="32"/>
      <c r="W138" s="32"/>
      <c r="AC138" s="32"/>
      <c r="AF138" s="32"/>
      <c r="AI138" s="32"/>
      <c r="AJ138" s="32"/>
      <c r="AN138" s="32"/>
      <c r="AR138" s="32"/>
      <c r="AT138" s="32"/>
      <c r="AU138" s="32"/>
      <c r="AW138" s="32"/>
      <c r="AY138" s="34" t="str">
        <f aca="false">IF(TRIM($A138)="","",IF(AND(LEFT($A138,6)="SAMPLE",Config!$B$19&lt;&gt;"Y"),"",IF(NOT(ISNUMBER(H138)),"call_date is blank or not a date",IF(Sync!$C$5="","Clay paste is empty or has no row_id column: paste the Clay export on Clay_Offices",IF(CW138="","row_id not found in the Clay paste: add the Clay row or fix the row_id",IF(AND(ISNUMBER(CY138),CY138&gt;=1,CY138&lt;=5),"Clay status is "&amp;CX138&amp;": set call_done or later",IF(AND(BD138=1,CZ138&lt;&gt;BZ138),"Clay yes_in_principle should be "&amp;BZ138,IF(AND(BD138=1,DA138&lt;&gt;H138),"Clay call_date should be "&amp;TEXT(H138,"yyyy-mm-dd"),""))))))))</f>
        <v/>
      </c>
      <c r="AZ138" s="23" t="str">
        <f aca="false">IF(TRIM($A138)="","",IF(TRIM(C138)&lt;&gt;"",SUBSTITUTE(SUBSTITUTE(SUBSTITUTE(SUBSTITUTE(SUBSTITUTE(SUBSTITUTE(LOWER(TRIM(C138)),"~",""),"*",""),"?",""),"&lt;",""),"&gt;",""),"=",""),IF(EA138&lt;&gt;"",EA138,IFERROR(INDEX($EA$2:$EA$201,MATCH(DZ138,$EB$2:$EB$201,0)),DZ138))))</f>
        <v/>
      </c>
      <c r="BA138" s="23" t="n">
        <f aca="false">ROW()</f>
        <v>138</v>
      </c>
      <c r="BB138" s="23" t="n">
        <f aca="false">IF(AND(TRIM($A138)&lt;&gt;"",ISNUMBER(H138)),IF(AND(LEFT($A138,6)="SAMPLE",Config!$B$19&lt;&gt;"Y"),0,1),0)</f>
        <v>0</v>
      </c>
      <c r="BC138" s="23" t="n">
        <f aca="false">IF(BB138=1,IF(COUNTIFS($AZ$2:$AZ$201,AZ138,$BB$2:$BB$201,1,$H$2:$H$201,"&lt;"&amp;H138)+COUNTIFS($AZ$2:$AZ$201,AZ138,$BB$2:$BB$201,1,$H$2:$H$201,H138,$BA$2:$BA$201,"&lt;"&amp;BA138)=0,1,0),0)</f>
        <v>0</v>
      </c>
      <c r="BD138" s="23" t="n">
        <f aca="false">IF(BB138=1,IF(COUNTIFS($A$2:$A$201,$A138,$BB$2:$BB$201,1,$H$2:$H$201,"&gt;"&amp;H138)+COUNTIFS($A$2:$A$201,$A138,$BB$2:$BB$201,1,$H$2:$H$201,H138,$BA$2:$BA$201,"&gt;"&amp;BA138)=0,1,0),0)</f>
        <v>0</v>
      </c>
      <c r="BE138" s="23" t="n">
        <f aca="false">IF(AND(BB138=1,AR138="Y",AC138="Y",TRIM(AH138)&lt;&gt;""),1,0)</f>
        <v>0</v>
      </c>
      <c r="BF138" s="23" t="n">
        <f aca="false">IF(BE138=1,IF(COUNTIFS($AZ$2:$AZ$201,AZ138,$BE$2:$BE$201,1,$H$2:$H$201,"&lt;"&amp;H138)+COUNTIFS($AZ$2:$AZ$201,AZ138,$BE$2:$BE$201,1,$H$2:$H$201,H138,$BA$2:$BA$201,"&lt;"&amp;BA138)=0,1,0),0)</f>
        <v>0</v>
      </c>
      <c r="BG138" s="23" t="n">
        <f aca="false">IF(AND(BB138=1,AR138="Y",BE138=0),1,0)</f>
        <v>0</v>
      </c>
      <c r="BH138" s="23" t="n">
        <f aca="false">IF(AND(BB138=1,ISNUMBER(Y138)),1,0)</f>
        <v>0</v>
      </c>
      <c r="BI138" s="23" t="n">
        <f aca="false">IF(BH138=1,IF(COUNTIFS($AZ$2:$AZ$201,AZ138,$BH$2:$BH$201,1,$H$2:$H$201,"&lt;"&amp;H138)+COUNTIFS($AZ$2:$AZ$201,AZ138,$BH$2:$BH$201,1,$H$2:$H$201,H138,$BA$2:$BA$201,"&lt;"&amp;BA138)=0,1,0),0)</f>
        <v>0</v>
      </c>
      <c r="BJ138" s="23" t="str">
        <f aca="false">IF(AND(BI138=1,INT(N(H138))&lt;=Config!$B$6),Y138,"")</f>
        <v/>
      </c>
      <c r="BK138" s="23" t="str">
        <f aca="false">IF(AND(BI138=1,INT(N(H138))&lt;=Config!$B$7),Y138,"")</f>
        <v/>
      </c>
      <c r="BL138" s="23" t="str">
        <f aca="false">IF(AND(BI138=1,INT(N(H138))&lt;=Config!$B$8),Y138,"")</f>
        <v/>
      </c>
      <c r="BM138" s="23" t="str">
        <f aca="false">IF(AND(BI138=1,INT(N(H138))&lt;=Config!$B$5),Y138,"")</f>
        <v/>
      </c>
      <c r="BN138" s="23" t="n">
        <f aca="false">IF(CD138=1,IF(COUNTIFS($AZ$2:$AZ$201,AZ138,$CD$2:$CD$201,1,$H$2:$H$201,"&lt;"&amp;H138)+COUNTIFS($AZ$2:$AZ$201,AZ138,$CD$2:$CD$201,1,$H$2:$H$201,H138,$BA$2:$BA$201,"&lt;"&amp;BA138)=0,1,0),0)</f>
        <v>0</v>
      </c>
      <c r="BO138" s="23" t="n">
        <f aca="false">IF(AND(BB138=1,ISNUMBER(M138)),1,0)</f>
        <v>0</v>
      </c>
      <c r="BP138" s="23" t="n">
        <f aca="false">IF(BO138=1,IF(COUNTIFS($AZ$2:$AZ$201,AZ138,$BO$2:$BO$201,1,$H$2:$H$201,"&lt;"&amp;H138)+COUNTIFS($AZ$2:$AZ$201,AZ138,$BO$2:$BO$201,1,$H$2:$H$201,H138,$BA$2:$BA$201,"&lt;"&amp;BA138)=0,1,0),0)</f>
        <v>0</v>
      </c>
      <c r="BQ138" s="23" t="str">
        <f aca="false">IF(AND(BP138=1,INT(N(H138))&lt;=Config!$B$5),M138,"")</f>
        <v/>
      </c>
      <c r="BR138" s="23" t="n">
        <f aca="false">IF(AND(BB138=1,OR(TRIM(X138)&lt;&gt;"",ISNUMBER(Y138))),1,0)</f>
        <v>0</v>
      </c>
      <c r="BS138" s="23" t="n">
        <f aca="false">IF(BR138=1,IF(COUNTIFS($AZ$2:$AZ$201,AZ138,$BR$2:$BR$201,1,$H$2:$H$201,"&lt;"&amp;H138)+COUNTIFS($AZ$2:$AZ$201,AZ138,$BR$2:$BR$201,1,$H$2:$H$201,H138,$BA$2:$BA$201,"&lt;"&amp;BA138)=0,1,0),0)</f>
        <v>0</v>
      </c>
      <c r="BT138" s="23" t="str">
        <f aca="false">IF(BS138=1,AZ138,"")</f>
        <v/>
      </c>
      <c r="BU138" s="23" t="n">
        <f aca="false">IF(AND(BB138=1,W138="Y",TRIM(X138)=""),1,0)</f>
        <v>0</v>
      </c>
      <c r="BV138" s="23" t="str">
        <f aca="false">IF(BB138=1,AN138&amp;"","")</f>
        <v/>
      </c>
      <c r="BW138" s="23" t="str">
        <f aca="false">IF(BB138=1,AO138&amp;"","")</f>
        <v/>
      </c>
      <c r="BX138" s="23" t="str">
        <f aca="false">IF(BB138=1,AP138&amp;"","")</f>
        <v/>
      </c>
      <c r="BY138" s="23" t="str">
        <f aca="false">IF(AND(BB138=1,ISNUMBER(AV138),INT(N(H138))&lt;=Config!$B$5),AV138,"")</f>
        <v/>
      </c>
      <c r="BZ138" s="23" t="str">
        <f aca="false">IF(BB138=1,IF(COUNTIFS($A$2:$A$201,$A138,$DC$2:$DC$201,1,$AR$2:$AR$201,"Y")&gt;0,"Y","N"),"")</f>
        <v/>
      </c>
      <c r="CA138" s="23" t="n">
        <f aca="false">IF(AND(BB138=1,AR138="maybe"),1,0)</f>
        <v>0</v>
      </c>
      <c r="CB138" s="23" t="n">
        <f aca="false">IF(CA138=1,IF(COUNTIFS($AZ$2:$AZ$201,AZ138,$CA$2:$CA$201,1,$H$2:$H$201,"&lt;"&amp;H138)+COUNTIFS($AZ$2:$AZ$201,AZ138,$CA$2:$CA$201,1,$H$2:$H$201,H138,$BA$2:$BA$201,"&lt;"&amp;BA138)=0,1,0),0)</f>
        <v>0</v>
      </c>
      <c r="CC138" s="23" t="n">
        <f aca="false">IF(AND(BB138=1,AR138="Y"),IF(COUNTIFS($AZ$2:$AZ$201,AZ138,$AR$2:$AR$201,"Y",$BB$2:$BB$201,1,$H$2:$H$201,"&lt;"&amp;H138)+COUNTIFS($AZ$2:$AZ$201,AZ138,$AR$2:$AR$201,"Y",$BB$2:$BB$201,1,$H$2:$H$201,H138,$BA$2:$BA$201,"&lt;"&amp;BA138)=0,1,0),0)</f>
        <v>0</v>
      </c>
      <c r="CD138" s="23" t="n">
        <f aca="false">IF(AND(BH138=1,N(Y138)&gt;=Config!$B$15),1,0)</f>
        <v>0</v>
      </c>
      <c r="CE138" s="23" t="n">
        <f aca="false">IF(AND(BB138=1,AT138="Y"),1,0)</f>
        <v>0</v>
      </c>
      <c r="CF138" s="23" t="n">
        <f aca="false">IF(CE138=1,IF(COUNTIFS($AZ$2:$AZ$201,AZ138,$CE$2:$CE$201,1,$H$2:$H$201,"&lt;"&amp;H138)+COUNTIFS($AZ$2:$AZ$201,AZ138,$CE$2:$CE$201,1,$H$2:$H$201,H138,$BA$2:$BA$201,"&lt;"&amp;BA138)=0,1,0),0)</f>
        <v>0</v>
      </c>
      <c r="CG138" s="23" t="n">
        <f aca="false">IF(AND(BB138=1,G138="warm-intro"),1,0)</f>
        <v>0</v>
      </c>
      <c r="CH138" s="23" t="n">
        <f aca="false">IF(CG138=1,IF(COUNTIFS($AZ$2:$AZ$201,AZ138,$CG$2:$CG$201,1,$H$2:$H$201,"&lt;"&amp;H138)+COUNTIFS($AZ$2:$AZ$201,AZ138,$CG$2:$CG$201,1,$H$2:$H$201,H138,$BA$2:$BA$201,"&lt;"&amp;BA138)=0,1,0),0)</f>
        <v>0</v>
      </c>
      <c r="CI138" s="23" t="n">
        <f aca="false">IF(AND(BB138=1,Q138="Y"),1,0)</f>
        <v>0</v>
      </c>
      <c r="CJ138" s="23" t="n">
        <f aca="false">IF(CI138=1,IF(COUNTIFS($AZ$2:$AZ$201,AZ138,$CI$2:$CI$201,1,$H$2:$H$201,"&lt;"&amp;H138)+COUNTIFS($AZ$2:$AZ$201,AZ138,$CI$2:$CI$201,1,$H$2:$H$201,H138,$BA$2:$BA$201,"&lt;"&amp;BA138)=0,1,0),0)</f>
        <v>0</v>
      </c>
      <c r="CK138" s="23" t="n">
        <f aca="false">IF(AND(BB138=1,AF138="Y"),1,0)</f>
        <v>0</v>
      </c>
      <c r="CL138" s="23" t="n">
        <f aca="false">IF(CK138=1,IF(COUNTIFS($AZ$2:$AZ$201,AZ138,$CK$2:$CK$201,1,$H$2:$H$201,"&lt;"&amp;H138)+COUNTIFS($AZ$2:$AZ$201,AZ138,$CK$2:$CK$201,1,$H$2:$H$201,H138,$BA$2:$BA$201,"&lt;"&amp;BA138)=0,1,0),0)</f>
        <v>0</v>
      </c>
      <c r="CM138" s="23" t="n">
        <f aca="false">IF(AND(BB138=1,U138="Y"),1,0)</f>
        <v>0</v>
      </c>
      <c r="CN138" s="23" t="n">
        <f aca="false">IF(CM138=1,IF(COUNTIFS($AZ$2:$AZ$201,AZ138,$CM$2:$CM$201,1,$H$2:$H$201,"&lt;"&amp;H138)+COUNTIFS($AZ$2:$AZ$201,AZ138,$CM$2:$CM$201,1,$H$2:$H$201,H138,$BA$2:$BA$201,"&lt;"&amp;BA138)=0,1,0),0)</f>
        <v>0</v>
      </c>
      <c r="CO138" s="23" t="n">
        <f aca="false">IF(AND(BB138=1,L138="Y"),1,0)</f>
        <v>0</v>
      </c>
      <c r="CP138" s="23" t="n">
        <f aca="false">IF(CO138=1,IF(COUNTIFS($AZ$2:$AZ$201,AZ138,$CO$2:$CO$201,1,$H$2:$H$201,"&lt;"&amp;H138)+COUNTIFS($AZ$2:$AZ$201,AZ138,$CO$2:$CO$201,1,$H$2:$H$201,H138,$BA$2:$BA$201,"&lt;"&amp;BA138)=0,1,0),0)</f>
        <v>0</v>
      </c>
      <c r="CQ138" s="23" t="n">
        <f aca="false">IF(AND(BB138=1,ISNUMBER(O138)),1,0)</f>
        <v>0</v>
      </c>
      <c r="CR138" s="23" t="n">
        <f aca="false">IF(CQ138=1,IF(COUNTIFS($AZ$2:$AZ$201,AZ138,$CQ$2:$CQ$201,1,$H$2:$H$201,"&lt;"&amp;H138)+COUNTIFS($AZ$2:$AZ$201,AZ138,$CQ$2:$CQ$201,1,$H$2:$H$201,H138,$BA$2:$BA$201,"&lt;"&amp;BA138)=0,1,0),0)</f>
        <v>0</v>
      </c>
      <c r="CS138" s="23" t="str">
        <f aca="false">IF(AND(CR138=1,INT(N(H138))&lt;=Config!$B$5),O138,"")</f>
        <v/>
      </c>
      <c r="CT138" s="23" t="str">
        <f aca="false">IF(AND(BB138=1,INT(N(H138))&lt;=Config!$B$5),AG138&amp;"","")</f>
        <v/>
      </c>
      <c r="CU138" s="23" t="n">
        <f aca="false">IF(AND(BB138=1,AU138="Y"),1,0)</f>
        <v>0</v>
      </c>
      <c r="CV138" s="23" t="n">
        <f aca="false">IF(CU138=1,IF(COUNTIFS($AZ$2:$AZ$201,AZ138,$CU$2:$CU$201,1,$H$2:$H$201,"&lt;"&amp;H138)+COUNTIFS($AZ$2:$AZ$201,AZ138,$CU$2:$CU$201,1,$H$2:$H$201,H138,$BA$2:$BA$201,"&lt;"&amp;BA138)=0,1,0),0)</f>
        <v>0</v>
      </c>
      <c r="CW138" s="23" t="str">
        <f aca="false">IF(BB138=1,IFERROR(MATCH($A138,INDEX(Clay_Offices!$A$2:$FZ$601,0,Sync!$C$5),0),""),"")</f>
        <v/>
      </c>
      <c r="CX138" s="23" t="str">
        <f aca="false">IF(CW138="","",IFERROR(INDEX(Clay_Offices!$A$2:$FZ$601,CW138,Sync!$C$7)&amp;"",""))</f>
        <v/>
      </c>
      <c r="CY138" s="23" t="str">
        <f aca="false">IF(CX138="","",IFERROR(INDEX(Lists!$K$2:$K$15,MATCH(CX138,Lists!$J$2:$J$15,0)),""))</f>
        <v/>
      </c>
      <c r="CZ138" s="23" t="str">
        <f aca="false">IF(CW138="","",IFERROR(INDEX(Clay_Offices!$A$2:$FZ$601,CW138,Sync!$C$17)&amp;"",""))</f>
        <v/>
      </c>
      <c r="DA138" s="35" t="str">
        <f aca="false">IF(CW138="","",IFERROR(N(INDEX(Clay_Offices!$A$2:$FZ$601,CW138,Sync!$C$16)),0))</f>
        <v/>
      </c>
      <c r="DB138" s="23" t="n">
        <f aca="false">IF(AND(BB138=1,OR(AR138="Y",AR138="N",AR138="maybe")),1,0)</f>
        <v>0</v>
      </c>
      <c r="DC138" s="23" t="n">
        <f aca="false">IF(AND(DB138=1),IF(COUNTIFS($A$2:$A$201,$A138,$DB$2:$DB$201,1,$H$2:$H$201,"&gt;"&amp;H138)+COUNTIFS($A$2:$A$201,$A138,$DB$2:$DB$201,1,$H$2:$H$201,H138,$BA$2:$BA$201,"&gt;"&amp;BA138)=0,1,0),0)</f>
        <v>0</v>
      </c>
      <c r="DD138" s="23" t="n">
        <f aca="false">IF(AND(DB138=1,INT(N(H138))&lt;=Config!$B$6),IF(COUNTIFS($AZ$2:$AZ$201,AZ138,$DB$2:$DB$201,1,$H$2:$H$201,"&gt;"&amp;H138,$H$2:$H$201,"&lt;"&amp;(Config!$B$6+1))+COUNTIFS($AZ$2:$AZ$201,AZ138,$DB$2:$DB$201,1,$H$2:$H$201,H138,$BA$2:$BA$201,"&gt;"&amp;BA138)=0,1,0),0)</f>
        <v>0</v>
      </c>
      <c r="DE138" s="23" t="n">
        <f aca="false">IF(AND(DB138=1,INT(N(H138))&lt;=Config!$B$7),IF(COUNTIFS($AZ$2:$AZ$201,AZ138,$DB$2:$DB$201,1,$H$2:$H$201,"&gt;"&amp;H138,$H$2:$H$201,"&lt;"&amp;(Config!$B$7+1))+COUNTIFS($AZ$2:$AZ$201,AZ138,$DB$2:$DB$201,1,$H$2:$H$201,H138,$BA$2:$BA$201,"&gt;"&amp;BA138)=0,1,0),0)</f>
        <v>0</v>
      </c>
      <c r="DF138" s="23" t="n">
        <f aca="false">IF(AND(DB138=1,INT(N(H138))&lt;=Config!$B$8),IF(COUNTIFS($AZ$2:$AZ$201,AZ138,$DB$2:$DB$201,1,$H$2:$H$201,"&gt;"&amp;H138,$H$2:$H$201,"&lt;"&amp;(Config!$B$8+1))+COUNTIFS($AZ$2:$AZ$201,AZ138,$DB$2:$DB$201,1,$H$2:$H$201,H138,$BA$2:$BA$201,"&gt;"&amp;BA138)=0,1,0),0)</f>
        <v>0</v>
      </c>
      <c r="DG138" s="23" t="n">
        <f aca="false">IF(AND(DB138=1,INT(N(H138))&lt;=Config!$B$5),IF(COUNTIFS($AZ$2:$AZ$201,AZ138,$DB$2:$DB$201,1,$H$2:$H$201,"&gt;"&amp;H138,$H$2:$H$201,"&lt;"&amp;(Config!$B$5+1))+COUNTIFS($AZ$2:$AZ$201,AZ138,$DB$2:$DB$201,1,$H$2:$H$201,H138,$BA$2:$BA$201,"&gt;"&amp;BA138)=0,1,0),0)</f>
        <v>0</v>
      </c>
      <c r="DH138" s="23" t="n">
        <f aca="false">IF(BB138=1,IF(COUNTIFS($AZ$2:$AZ$201,AZ138,$DD$2:$DD$201,1,$AR$2:$AR$201,"Y")&gt;0,1,0),0)</f>
        <v>0</v>
      </c>
      <c r="DI138" s="23" t="n">
        <f aca="false">IF(BB138=1,IF(COUNTIFS($AZ$2:$AZ$201,AZ138,$DE$2:$DE$201,1,$AR$2:$AR$201,"Y")&gt;0,1,0),0)</f>
        <v>0</v>
      </c>
      <c r="DJ138" s="23" t="n">
        <f aca="false">IF(BB138=1,IF(COUNTIFS($AZ$2:$AZ$201,AZ138,$DF$2:$DF$201,1,$AR$2:$AR$201,"Y")&gt;0,1,0),0)</f>
        <v>0</v>
      </c>
      <c r="DK138" s="23" t="n">
        <f aca="false">IF(BB138=1,IF(COUNTIFS($AZ$2:$AZ$201,AZ138,$DG$2:$DG$201,1,$AR$2:$AR$201,"Y")&gt;0,1,0),0)</f>
        <v>0</v>
      </c>
      <c r="DL138" s="23" t="n">
        <f aca="false">IF(AND(BF138=1,INT(N(H138))&lt;=Config!$B$6,DH138=1,EI138=0),1,0)</f>
        <v>0</v>
      </c>
      <c r="DM138" s="23" t="n">
        <f aca="false">IF(AND(BF138=1,INT(N(H138))&lt;=Config!$B$7,DI138=1,EI138=0),1,0)</f>
        <v>0</v>
      </c>
      <c r="DN138" s="23" t="n">
        <f aca="false">IF(AND(BF138=1,INT(N(H138))&lt;=Config!$B$8,DJ138=1,EI138=0),1,0)</f>
        <v>0</v>
      </c>
      <c r="DO138" s="23" t="n">
        <f aca="false">IF(AND(BF138=1,INT(N(H138))&lt;=Config!$B$5,DK138=1,EI138=0),1,0)</f>
        <v>0</v>
      </c>
      <c r="DP138" s="23" t="n">
        <f aca="false">IF(AND(CC138=1,INT(N(H138))&lt;=Config!$B$6,DH138=1,EI138=0),1,0)</f>
        <v>0</v>
      </c>
      <c r="DQ138" s="23" t="n">
        <f aca="false">IF(AND(CC138=1,INT(N(H138))&lt;=Config!$B$7,DI138=1,EI138=0),1,0)</f>
        <v>0</v>
      </c>
      <c r="DR138" s="23" t="n">
        <f aca="false">IF(AND(CC138=1,INT(N(H138))&lt;=Config!$B$8,DJ138=1,EI138=0),1,0)</f>
        <v>0</v>
      </c>
      <c r="DS138" s="23" t="n">
        <f aca="false">IF(AND(CC138=1,INT(N(H138))&lt;=Config!$B$5,DK138=1,EI138=0),1,0)</f>
        <v>0</v>
      </c>
      <c r="DT138" s="23" t="n">
        <f aca="false">IF(AND(CC138=1,INT(N(H138))&lt;=Config!$B$6,DH138=0),1,0)</f>
        <v>0</v>
      </c>
      <c r="DU138" s="23" t="n">
        <f aca="false">IF(AND(CC138=1,INT(N(H138))&lt;=Config!$B$7,DI138=0),1,0)</f>
        <v>0</v>
      </c>
      <c r="DV138" s="23" t="n">
        <f aca="false">IF(AND(CC138=1,INT(N(H138))&lt;=Config!$B$8,DJ138=0),1,0)</f>
        <v>0</v>
      </c>
      <c r="DW138" s="23" t="n">
        <f aca="false">IF(AND(CC138=1,INT(N(H138))&lt;=Config!$B$5,DK138=0),1,0)</f>
        <v>0</v>
      </c>
      <c r="DX138" s="23" t="n">
        <f aca="false">IF(TRIM($A138)="",0,ISTEXT(M138)+ISTEXT(O138)+ISTEXT(Y138)+ISTEXT(Z138)+ISTEXT(AA138)+ISTEXT(AV138))</f>
        <v>0</v>
      </c>
      <c r="DY138" s="23" t="n">
        <f aca="false">IF(BB138=1,IF(H138&lt;&gt;INT(H138),1,0),0)</f>
        <v>0</v>
      </c>
      <c r="DZ138" s="23" t="str">
        <f aca="false">IF(TRIM($A138)="","",IF(TRIM(B138)="",SUBSTITUTE(SUBSTITUTE(SUBSTITUTE(SUBSTITUTE(SUBSTITUTE(SUBSTITUTE(LOWER(TRIM($A138)),"~",""),"*",""),"?",""),"&lt;",""),"&gt;",""),"=",""),SUBSTITUTE(SUBSTITUTE(SUBSTITUTE(SUBSTITUTE(SUBSTITUTE(SUBSTITUTE(LOWER(TRIM(B138)),"~",""),"*",""),"?",""),"&lt;",""),"&gt;",""),"=","")))</f>
        <v/>
      </c>
      <c r="EA138" s="23" t="str">
        <f aca="false">IF(CW138="","",IFERROR(IF(LEFT(LOWER(TRIM(INDEX(Clay_Offices!$A$2:$FZ$601,CW138,Sync!$C$19)&amp;"")),4)="grp-",SUBSTITUTE(SUBSTITUTE(SUBSTITUTE(SUBSTITUTE(SUBSTITUTE(SUBSTITUTE(LOWER(TRIM(INDEX(Clay_Offices!$A$2:$FZ$601,CW138,Sync!$C$19)&amp;"")),"~",""),"*",""),"?",""),"&lt;",""),"&gt;",""),"=",""),""),""))</f>
        <v/>
      </c>
      <c r="EB138" s="23" t="str">
        <f aca="false">IF(EA138&lt;&gt;"",DZ138,"")</f>
        <v/>
      </c>
      <c r="EC138" s="23" t="str">
        <f aca="false">IF(BC138=1,AZ138,"")</f>
        <v/>
      </c>
      <c r="ED138" s="23" t="str">
        <f aca="false">IF(TRIM($A138)="","",IFERROR(INDEX($A$2:$A$201,MATCH(AZ138,$EC$2:$EC$201,0))&amp;"",$A138&amp;""))</f>
        <v/>
      </c>
      <c r="EE138" s="23" t="n">
        <f aca="false">IF(BB138=1,IF(COUNTIFS($A$2:$A$201,$A138,$BB$2:$BB$201,1,$H$2:$H$201,"&lt;"&amp;H138)+COUNTIFS($A$2:$A$201,$A138,$BB$2:$BB$201,1,$H$2:$H$201,H138,$BA$2:$BA$201,"&lt;"&amp;BA138)=0,1,0),0)</f>
        <v>0</v>
      </c>
      <c r="EF138" s="23" t="n">
        <f aca="false">IF(BC138=1,IF(COUNTIFS($AZ$2:$AZ$201,AZ138,$EE$2:$EE$201,1)&gt;1,1,0),0)</f>
        <v>0</v>
      </c>
      <c r="EG138" s="23" t="n">
        <f aca="false">IF(AND(CQ138=1),IF(COUNTIFS($AZ$2:$AZ$201,AZ138,$CQ$2:$CQ$201,1,$H$2:$H$201,"&gt;"&amp;H138)+COUNTIFS($AZ$2:$AZ$201,AZ138,$CQ$2:$CQ$201,1,$H$2:$H$201,H138,$BA$2:$BA$201,"&gt;"&amp;BA138)=0,1,0),0)</f>
        <v>0</v>
      </c>
      <c r="EH138" s="23" t="str">
        <f aca="false">IF(BB138=1,IF(COUNTIFS($AZ$2:$AZ$201,AZ138,$EG$2:$EG$201,1)=0,"",SUMIFS($O$2:$O$201,$AZ$2:$AZ$201,AZ138,$EG$2:$EG$201,1)),"")</f>
        <v/>
      </c>
      <c r="EI138" s="23" t="n">
        <f aca="false">IF(AND(ISNUMBER(EH138),OR(N(EH138)&lt;Config!$B$31,N(EH138)&gt;Config!$B$33)),1,0)</f>
        <v>0</v>
      </c>
      <c r="EJ138" s="23" t="n">
        <f aca="false">IF(AND(ISNUMBER(EH138),N(EH138)&gt;=Config!$B$31,N(EH138)&lt;Config!$B$32),1,0)</f>
        <v>0</v>
      </c>
      <c r="EK138" s="23" t="n">
        <f aca="false">IF(AND(BF138=1,INT(N(H138))&lt;=Config!$B$6,DH138=1,EI138=1),1,0)</f>
        <v>0</v>
      </c>
      <c r="EL138" s="23" t="n">
        <f aca="false">IF(AND(BF138=1,INT(N(H138))&lt;=Config!$B$7,DI138=1,EI138=1),1,0)</f>
        <v>0</v>
      </c>
      <c r="EM138" s="23" t="n">
        <f aca="false">IF(AND(BF138=1,INT(N(H138))&lt;=Config!$B$8,DJ138=1,EI138=1),1,0)</f>
        <v>0</v>
      </c>
      <c r="EN138" s="23" t="n">
        <f aca="false">IF(AND(BF138=1,INT(N(H138))&lt;=Config!$B$5,DK138=1,EI138=1),1,0)</f>
        <v>0</v>
      </c>
      <c r="EO138" s="23" t="n">
        <f aca="false">IF(AND(DL138=1,EJ138=1),1,0)</f>
        <v>0</v>
      </c>
      <c r="EP138" s="23" t="n">
        <f aca="false">IF(AND(DM138=1,EJ138=1),1,0)</f>
        <v>0</v>
      </c>
      <c r="EQ138" s="23" t="n">
        <f aca="false">IF(AND(DN138=1,EJ138=1),1,0)</f>
        <v>0</v>
      </c>
      <c r="ER138" s="23" t="n">
        <f aca="false">IF(AND(DO138=1,EJ138=1),1,0)</f>
        <v>0</v>
      </c>
    </row>
    <row r="139" customFormat="false" ht="15" hidden="false" customHeight="false" outlineLevel="0" collapsed="false">
      <c r="G139" s="32"/>
      <c r="H139" s="33"/>
      <c r="I139" s="32"/>
      <c r="L139" s="32"/>
      <c r="Q139" s="32"/>
      <c r="U139" s="32"/>
      <c r="W139" s="32"/>
      <c r="AC139" s="32"/>
      <c r="AF139" s="32"/>
      <c r="AI139" s="32"/>
      <c r="AJ139" s="32"/>
      <c r="AN139" s="32"/>
      <c r="AR139" s="32"/>
      <c r="AT139" s="32"/>
      <c r="AU139" s="32"/>
      <c r="AW139" s="32"/>
      <c r="AY139" s="34" t="str">
        <f aca="false">IF(TRIM($A139)="","",IF(AND(LEFT($A139,6)="SAMPLE",Config!$B$19&lt;&gt;"Y"),"",IF(NOT(ISNUMBER(H139)),"call_date is blank or not a date",IF(Sync!$C$5="","Clay paste is empty or has no row_id column: paste the Clay export on Clay_Offices",IF(CW139="","row_id not found in the Clay paste: add the Clay row or fix the row_id",IF(AND(ISNUMBER(CY139),CY139&gt;=1,CY139&lt;=5),"Clay status is "&amp;CX139&amp;": set call_done or later",IF(AND(BD139=1,CZ139&lt;&gt;BZ139),"Clay yes_in_principle should be "&amp;BZ139,IF(AND(BD139=1,DA139&lt;&gt;H139),"Clay call_date should be "&amp;TEXT(H139,"yyyy-mm-dd"),""))))))))</f>
        <v/>
      </c>
      <c r="AZ139" s="23" t="str">
        <f aca="false">IF(TRIM($A139)="","",IF(TRIM(C139)&lt;&gt;"",SUBSTITUTE(SUBSTITUTE(SUBSTITUTE(SUBSTITUTE(SUBSTITUTE(SUBSTITUTE(LOWER(TRIM(C139)),"~",""),"*",""),"?",""),"&lt;",""),"&gt;",""),"=",""),IF(EA139&lt;&gt;"",EA139,IFERROR(INDEX($EA$2:$EA$201,MATCH(DZ139,$EB$2:$EB$201,0)),DZ139))))</f>
        <v/>
      </c>
      <c r="BA139" s="23" t="n">
        <f aca="false">ROW()</f>
        <v>139</v>
      </c>
      <c r="BB139" s="23" t="n">
        <f aca="false">IF(AND(TRIM($A139)&lt;&gt;"",ISNUMBER(H139)),IF(AND(LEFT($A139,6)="SAMPLE",Config!$B$19&lt;&gt;"Y"),0,1),0)</f>
        <v>0</v>
      </c>
      <c r="BC139" s="23" t="n">
        <f aca="false">IF(BB139=1,IF(COUNTIFS($AZ$2:$AZ$201,AZ139,$BB$2:$BB$201,1,$H$2:$H$201,"&lt;"&amp;H139)+COUNTIFS($AZ$2:$AZ$201,AZ139,$BB$2:$BB$201,1,$H$2:$H$201,H139,$BA$2:$BA$201,"&lt;"&amp;BA139)=0,1,0),0)</f>
        <v>0</v>
      </c>
      <c r="BD139" s="23" t="n">
        <f aca="false">IF(BB139=1,IF(COUNTIFS($A$2:$A$201,$A139,$BB$2:$BB$201,1,$H$2:$H$201,"&gt;"&amp;H139)+COUNTIFS($A$2:$A$201,$A139,$BB$2:$BB$201,1,$H$2:$H$201,H139,$BA$2:$BA$201,"&gt;"&amp;BA139)=0,1,0),0)</f>
        <v>0</v>
      </c>
      <c r="BE139" s="23" t="n">
        <f aca="false">IF(AND(BB139=1,AR139="Y",AC139="Y",TRIM(AH139)&lt;&gt;""),1,0)</f>
        <v>0</v>
      </c>
      <c r="BF139" s="23" t="n">
        <f aca="false">IF(BE139=1,IF(COUNTIFS($AZ$2:$AZ$201,AZ139,$BE$2:$BE$201,1,$H$2:$H$201,"&lt;"&amp;H139)+COUNTIFS($AZ$2:$AZ$201,AZ139,$BE$2:$BE$201,1,$H$2:$H$201,H139,$BA$2:$BA$201,"&lt;"&amp;BA139)=0,1,0),0)</f>
        <v>0</v>
      </c>
      <c r="BG139" s="23" t="n">
        <f aca="false">IF(AND(BB139=1,AR139="Y",BE139=0),1,0)</f>
        <v>0</v>
      </c>
      <c r="BH139" s="23" t="n">
        <f aca="false">IF(AND(BB139=1,ISNUMBER(Y139)),1,0)</f>
        <v>0</v>
      </c>
      <c r="BI139" s="23" t="n">
        <f aca="false">IF(BH139=1,IF(COUNTIFS($AZ$2:$AZ$201,AZ139,$BH$2:$BH$201,1,$H$2:$H$201,"&lt;"&amp;H139)+COUNTIFS($AZ$2:$AZ$201,AZ139,$BH$2:$BH$201,1,$H$2:$H$201,H139,$BA$2:$BA$201,"&lt;"&amp;BA139)=0,1,0),0)</f>
        <v>0</v>
      </c>
      <c r="BJ139" s="23" t="str">
        <f aca="false">IF(AND(BI139=1,INT(N(H139))&lt;=Config!$B$6),Y139,"")</f>
        <v/>
      </c>
      <c r="BK139" s="23" t="str">
        <f aca="false">IF(AND(BI139=1,INT(N(H139))&lt;=Config!$B$7),Y139,"")</f>
        <v/>
      </c>
      <c r="BL139" s="23" t="str">
        <f aca="false">IF(AND(BI139=1,INT(N(H139))&lt;=Config!$B$8),Y139,"")</f>
        <v/>
      </c>
      <c r="BM139" s="23" t="str">
        <f aca="false">IF(AND(BI139=1,INT(N(H139))&lt;=Config!$B$5),Y139,"")</f>
        <v/>
      </c>
      <c r="BN139" s="23" t="n">
        <f aca="false">IF(CD139=1,IF(COUNTIFS($AZ$2:$AZ$201,AZ139,$CD$2:$CD$201,1,$H$2:$H$201,"&lt;"&amp;H139)+COUNTIFS($AZ$2:$AZ$201,AZ139,$CD$2:$CD$201,1,$H$2:$H$201,H139,$BA$2:$BA$201,"&lt;"&amp;BA139)=0,1,0),0)</f>
        <v>0</v>
      </c>
      <c r="BO139" s="23" t="n">
        <f aca="false">IF(AND(BB139=1,ISNUMBER(M139)),1,0)</f>
        <v>0</v>
      </c>
      <c r="BP139" s="23" t="n">
        <f aca="false">IF(BO139=1,IF(COUNTIFS($AZ$2:$AZ$201,AZ139,$BO$2:$BO$201,1,$H$2:$H$201,"&lt;"&amp;H139)+COUNTIFS($AZ$2:$AZ$201,AZ139,$BO$2:$BO$201,1,$H$2:$H$201,H139,$BA$2:$BA$201,"&lt;"&amp;BA139)=0,1,0),0)</f>
        <v>0</v>
      </c>
      <c r="BQ139" s="23" t="str">
        <f aca="false">IF(AND(BP139=1,INT(N(H139))&lt;=Config!$B$5),M139,"")</f>
        <v/>
      </c>
      <c r="BR139" s="23" t="n">
        <f aca="false">IF(AND(BB139=1,OR(TRIM(X139)&lt;&gt;"",ISNUMBER(Y139))),1,0)</f>
        <v>0</v>
      </c>
      <c r="BS139" s="23" t="n">
        <f aca="false">IF(BR139=1,IF(COUNTIFS($AZ$2:$AZ$201,AZ139,$BR$2:$BR$201,1,$H$2:$H$201,"&lt;"&amp;H139)+COUNTIFS($AZ$2:$AZ$201,AZ139,$BR$2:$BR$201,1,$H$2:$H$201,H139,$BA$2:$BA$201,"&lt;"&amp;BA139)=0,1,0),0)</f>
        <v>0</v>
      </c>
      <c r="BT139" s="23" t="str">
        <f aca="false">IF(BS139=1,AZ139,"")</f>
        <v/>
      </c>
      <c r="BU139" s="23" t="n">
        <f aca="false">IF(AND(BB139=1,W139="Y",TRIM(X139)=""),1,0)</f>
        <v>0</v>
      </c>
      <c r="BV139" s="23" t="str">
        <f aca="false">IF(BB139=1,AN139&amp;"","")</f>
        <v/>
      </c>
      <c r="BW139" s="23" t="str">
        <f aca="false">IF(BB139=1,AO139&amp;"","")</f>
        <v/>
      </c>
      <c r="BX139" s="23" t="str">
        <f aca="false">IF(BB139=1,AP139&amp;"","")</f>
        <v/>
      </c>
      <c r="BY139" s="23" t="str">
        <f aca="false">IF(AND(BB139=1,ISNUMBER(AV139),INT(N(H139))&lt;=Config!$B$5),AV139,"")</f>
        <v/>
      </c>
      <c r="BZ139" s="23" t="str">
        <f aca="false">IF(BB139=1,IF(COUNTIFS($A$2:$A$201,$A139,$DC$2:$DC$201,1,$AR$2:$AR$201,"Y")&gt;0,"Y","N"),"")</f>
        <v/>
      </c>
      <c r="CA139" s="23" t="n">
        <f aca="false">IF(AND(BB139=1,AR139="maybe"),1,0)</f>
        <v>0</v>
      </c>
      <c r="CB139" s="23" t="n">
        <f aca="false">IF(CA139=1,IF(COUNTIFS($AZ$2:$AZ$201,AZ139,$CA$2:$CA$201,1,$H$2:$H$201,"&lt;"&amp;H139)+COUNTIFS($AZ$2:$AZ$201,AZ139,$CA$2:$CA$201,1,$H$2:$H$201,H139,$BA$2:$BA$201,"&lt;"&amp;BA139)=0,1,0),0)</f>
        <v>0</v>
      </c>
      <c r="CC139" s="23" t="n">
        <f aca="false">IF(AND(BB139=1,AR139="Y"),IF(COUNTIFS($AZ$2:$AZ$201,AZ139,$AR$2:$AR$201,"Y",$BB$2:$BB$201,1,$H$2:$H$201,"&lt;"&amp;H139)+COUNTIFS($AZ$2:$AZ$201,AZ139,$AR$2:$AR$201,"Y",$BB$2:$BB$201,1,$H$2:$H$201,H139,$BA$2:$BA$201,"&lt;"&amp;BA139)=0,1,0),0)</f>
        <v>0</v>
      </c>
      <c r="CD139" s="23" t="n">
        <f aca="false">IF(AND(BH139=1,N(Y139)&gt;=Config!$B$15),1,0)</f>
        <v>0</v>
      </c>
      <c r="CE139" s="23" t="n">
        <f aca="false">IF(AND(BB139=1,AT139="Y"),1,0)</f>
        <v>0</v>
      </c>
      <c r="CF139" s="23" t="n">
        <f aca="false">IF(CE139=1,IF(COUNTIFS($AZ$2:$AZ$201,AZ139,$CE$2:$CE$201,1,$H$2:$H$201,"&lt;"&amp;H139)+COUNTIFS($AZ$2:$AZ$201,AZ139,$CE$2:$CE$201,1,$H$2:$H$201,H139,$BA$2:$BA$201,"&lt;"&amp;BA139)=0,1,0),0)</f>
        <v>0</v>
      </c>
      <c r="CG139" s="23" t="n">
        <f aca="false">IF(AND(BB139=1,G139="warm-intro"),1,0)</f>
        <v>0</v>
      </c>
      <c r="CH139" s="23" t="n">
        <f aca="false">IF(CG139=1,IF(COUNTIFS($AZ$2:$AZ$201,AZ139,$CG$2:$CG$201,1,$H$2:$H$201,"&lt;"&amp;H139)+COUNTIFS($AZ$2:$AZ$201,AZ139,$CG$2:$CG$201,1,$H$2:$H$201,H139,$BA$2:$BA$201,"&lt;"&amp;BA139)=0,1,0),0)</f>
        <v>0</v>
      </c>
      <c r="CI139" s="23" t="n">
        <f aca="false">IF(AND(BB139=1,Q139="Y"),1,0)</f>
        <v>0</v>
      </c>
      <c r="CJ139" s="23" t="n">
        <f aca="false">IF(CI139=1,IF(COUNTIFS($AZ$2:$AZ$201,AZ139,$CI$2:$CI$201,1,$H$2:$H$201,"&lt;"&amp;H139)+COUNTIFS($AZ$2:$AZ$201,AZ139,$CI$2:$CI$201,1,$H$2:$H$201,H139,$BA$2:$BA$201,"&lt;"&amp;BA139)=0,1,0),0)</f>
        <v>0</v>
      </c>
      <c r="CK139" s="23" t="n">
        <f aca="false">IF(AND(BB139=1,AF139="Y"),1,0)</f>
        <v>0</v>
      </c>
      <c r="CL139" s="23" t="n">
        <f aca="false">IF(CK139=1,IF(COUNTIFS($AZ$2:$AZ$201,AZ139,$CK$2:$CK$201,1,$H$2:$H$201,"&lt;"&amp;H139)+COUNTIFS($AZ$2:$AZ$201,AZ139,$CK$2:$CK$201,1,$H$2:$H$201,H139,$BA$2:$BA$201,"&lt;"&amp;BA139)=0,1,0),0)</f>
        <v>0</v>
      </c>
      <c r="CM139" s="23" t="n">
        <f aca="false">IF(AND(BB139=1,U139="Y"),1,0)</f>
        <v>0</v>
      </c>
      <c r="CN139" s="23" t="n">
        <f aca="false">IF(CM139=1,IF(COUNTIFS($AZ$2:$AZ$201,AZ139,$CM$2:$CM$201,1,$H$2:$H$201,"&lt;"&amp;H139)+COUNTIFS($AZ$2:$AZ$201,AZ139,$CM$2:$CM$201,1,$H$2:$H$201,H139,$BA$2:$BA$201,"&lt;"&amp;BA139)=0,1,0),0)</f>
        <v>0</v>
      </c>
      <c r="CO139" s="23" t="n">
        <f aca="false">IF(AND(BB139=1,L139="Y"),1,0)</f>
        <v>0</v>
      </c>
      <c r="CP139" s="23" t="n">
        <f aca="false">IF(CO139=1,IF(COUNTIFS($AZ$2:$AZ$201,AZ139,$CO$2:$CO$201,1,$H$2:$H$201,"&lt;"&amp;H139)+COUNTIFS($AZ$2:$AZ$201,AZ139,$CO$2:$CO$201,1,$H$2:$H$201,H139,$BA$2:$BA$201,"&lt;"&amp;BA139)=0,1,0),0)</f>
        <v>0</v>
      </c>
      <c r="CQ139" s="23" t="n">
        <f aca="false">IF(AND(BB139=1,ISNUMBER(O139)),1,0)</f>
        <v>0</v>
      </c>
      <c r="CR139" s="23" t="n">
        <f aca="false">IF(CQ139=1,IF(COUNTIFS($AZ$2:$AZ$201,AZ139,$CQ$2:$CQ$201,1,$H$2:$H$201,"&lt;"&amp;H139)+COUNTIFS($AZ$2:$AZ$201,AZ139,$CQ$2:$CQ$201,1,$H$2:$H$201,H139,$BA$2:$BA$201,"&lt;"&amp;BA139)=0,1,0),0)</f>
        <v>0</v>
      </c>
      <c r="CS139" s="23" t="str">
        <f aca="false">IF(AND(CR139=1,INT(N(H139))&lt;=Config!$B$5),O139,"")</f>
        <v/>
      </c>
      <c r="CT139" s="23" t="str">
        <f aca="false">IF(AND(BB139=1,INT(N(H139))&lt;=Config!$B$5),AG139&amp;"","")</f>
        <v/>
      </c>
      <c r="CU139" s="23" t="n">
        <f aca="false">IF(AND(BB139=1,AU139="Y"),1,0)</f>
        <v>0</v>
      </c>
      <c r="CV139" s="23" t="n">
        <f aca="false">IF(CU139=1,IF(COUNTIFS($AZ$2:$AZ$201,AZ139,$CU$2:$CU$201,1,$H$2:$H$201,"&lt;"&amp;H139)+COUNTIFS($AZ$2:$AZ$201,AZ139,$CU$2:$CU$201,1,$H$2:$H$201,H139,$BA$2:$BA$201,"&lt;"&amp;BA139)=0,1,0),0)</f>
        <v>0</v>
      </c>
      <c r="CW139" s="23" t="str">
        <f aca="false">IF(BB139=1,IFERROR(MATCH($A139,INDEX(Clay_Offices!$A$2:$FZ$601,0,Sync!$C$5),0),""),"")</f>
        <v/>
      </c>
      <c r="CX139" s="23" t="str">
        <f aca="false">IF(CW139="","",IFERROR(INDEX(Clay_Offices!$A$2:$FZ$601,CW139,Sync!$C$7)&amp;"",""))</f>
        <v/>
      </c>
      <c r="CY139" s="23" t="str">
        <f aca="false">IF(CX139="","",IFERROR(INDEX(Lists!$K$2:$K$15,MATCH(CX139,Lists!$J$2:$J$15,0)),""))</f>
        <v/>
      </c>
      <c r="CZ139" s="23" t="str">
        <f aca="false">IF(CW139="","",IFERROR(INDEX(Clay_Offices!$A$2:$FZ$601,CW139,Sync!$C$17)&amp;"",""))</f>
        <v/>
      </c>
      <c r="DA139" s="35" t="str">
        <f aca="false">IF(CW139="","",IFERROR(N(INDEX(Clay_Offices!$A$2:$FZ$601,CW139,Sync!$C$16)),0))</f>
        <v/>
      </c>
      <c r="DB139" s="23" t="n">
        <f aca="false">IF(AND(BB139=1,OR(AR139="Y",AR139="N",AR139="maybe")),1,0)</f>
        <v>0</v>
      </c>
      <c r="DC139" s="23" t="n">
        <f aca="false">IF(AND(DB139=1),IF(COUNTIFS($A$2:$A$201,$A139,$DB$2:$DB$201,1,$H$2:$H$201,"&gt;"&amp;H139)+COUNTIFS($A$2:$A$201,$A139,$DB$2:$DB$201,1,$H$2:$H$201,H139,$BA$2:$BA$201,"&gt;"&amp;BA139)=0,1,0),0)</f>
        <v>0</v>
      </c>
      <c r="DD139" s="23" t="n">
        <f aca="false">IF(AND(DB139=1,INT(N(H139))&lt;=Config!$B$6),IF(COUNTIFS($AZ$2:$AZ$201,AZ139,$DB$2:$DB$201,1,$H$2:$H$201,"&gt;"&amp;H139,$H$2:$H$201,"&lt;"&amp;(Config!$B$6+1))+COUNTIFS($AZ$2:$AZ$201,AZ139,$DB$2:$DB$201,1,$H$2:$H$201,H139,$BA$2:$BA$201,"&gt;"&amp;BA139)=0,1,0),0)</f>
        <v>0</v>
      </c>
      <c r="DE139" s="23" t="n">
        <f aca="false">IF(AND(DB139=1,INT(N(H139))&lt;=Config!$B$7),IF(COUNTIFS($AZ$2:$AZ$201,AZ139,$DB$2:$DB$201,1,$H$2:$H$201,"&gt;"&amp;H139,$H$2:$H$201,"&lt;"&amp;(Config!$B$7+1))+COUNTIFS($AZ$2:$AZ$201,AZ139,$DB$2:$DB$201,1,$H$2:$H$201,H139,$BA$2:$BA$201,"&gt;"&amp;BA139)=0,1,0),0)</f>
        <v>0</v>
      </c>
      <c r="DF139" s="23" t="n">
        <f aca="false">IF(AND(DB139=1,INT(N(H139))&lt;=Config!$B$8),IF(COUNTIFS($AZ$2:$AZ$201,AZ139,$DB$2:$DB$201,1,$H$2:$H$201,"&gt;"&amp;H139,$H$2:$H$201,"&lt;"&amp;(Config!$B$8+1))+COUNTIFS($AZ$2:$AZ$201,AZ139,$DB$2:$DB$201,1,$H$2:$H$201,H139,$BA$2:$BA$201,"&gt;"&amp;BA139)=0,1,0),0)</f>
        <v>0</v>
      </c>
      <c r="DG139" s="23" t="n">
        <f aca="false">IF(AND(DB139=1,INT(N(H139))&lt;=Config!$B$5),IF(COUNTIFS($AZ$2:$AZ$201,AZ139,$DB$2:$DB$201,1,$H$2:$H$201,"&gt;"&amp;H139,$H$2:$H$201,"&lt;"&amp;(Config!$B$5+1))+COUNTIFS($AZ$2:$AZ$201,AZ139,$DB$2:$DB$201,1,$H$2:$H$201,H139,$BA$2:$BA$201,"&gt;"&amp;BA139)=0,1,0),0)</f>
        <v>0</v>
      </c>
      <c r="DH139" s="23" t="n">
        <f aca="false">IF(BB139=1,IF(COUNTIFS($AZ$2:$AZ$201,AZ139,$DD$2:$DD$201,1,$AR$2:$AR$201,"Y")&gt;0,1,0),0)</f>
        <v>0</v>
      </c>
      <c r="DI139" s="23" t="n">
        <f aca="false">IF(BB139=1,IF(COUNTIFS($AZ$2:$AZ$201,AZ139,$DE$2:$DE$201,1,$AR$2:$AR$201,"Y")&gt;0,1,0),0)</f>
        <v>0</v>
      </c>
      <c r="DJ139" s="23" t="n">
        <f aca="false">IF(BB139=1,IF(COUNTIFS($AZ$2:$AZ$201,AZ139,$DF$2:$DF$201,1,$AR$2:$AR$201,"Y")&gt;0,1,0),0)</f>
        <v>0</v>
      </c>
      <c r="DK139" s="23" t="n">
        <f aca="false">IF(BB139=1,IF(COUNTIFS($AZ$2:$AZ$201,AZ139,$DG$2:$DG$201,1,$AR$2:$AR$201,"Y")&gt;0,1,0),0)</f>
        <v>0</v>
      </c>
      <c r="DL139" s="23" t="n">
        <f aca="false">IF(AND(BF139=1,INT(N(H139))&lt;=Config!$B$6,DH139=1,EI139=0),1,0)</f>
        <v>0</v>
      </c>
      <c r="DM139" s="23" t="n">
        <f aca="false">IF(AND(BF139=1,INT(N(H139))&lt;=Config!$B$7,DI139=1,EI139=0),1,0)</f>
        <v>0</v>
      </c>
      <c r="DN139" s="23" t="n">
        <f aca="false">IF(AND(BF139=1,INT(N(H139))&lt;=Config!$B$8,DJ139=1,EI139=0),1,0)</f>
        <v>0</v>
      </c>
      <c r="DO139" s="23" t="n">
        <f aca="false">IF(AND(BF139=1,INT(N(H139))&lt;=Config!$B$5,DK139=1,EI139=0),1,0)</f>
        <v>0</v>
      </c>
      <c r="DP139" s="23" t="n">
        <f aca="false">IF(AND(CC139=1,INT(N(H139))&lt;=Config!$B$6,DH139=1,EI139=0),1,0)</f>
        <v>0</v>
      </c>
      <c r="DQ139" s="23" t="n">
        <f aca="false">IF(AND(CC139=1,INT(N(H139))&lt;=Config!$B$7,DI139=1,EI139=0),1,0)</f>
        <v>0</v>
      </c>
      <c r="DR139" s="23" t="n">
        <f aca="false">IF(AND(CC139=1,INT(N(H139))&lt;=Config!$B$8,DJ139=1,EI139=0),1,0)</f>
        <v>0</v>
      </c>
      <c r="DS139" s="23" t="n">
        <f aca="false">IF(AND(CC139=1,INT(N(H139))&lt;=Config!$B$5,DK139=1,EI139=0),1,0)</f>
        <v>0</v>
      </c>
      <c r="DT139" s="23" t="n">
        <f aca="false">IF(AND(CC139=1,INT(N(H139))&lt;=Config!$B$6,DH139=0),1,0)</f>
        <v>0</v>
      </c>
      <c r="DU139" s="23" t="n">
        <f aca="false">IF(AND(CC139=1,INT(N(H139))&lt;=Config!$B$7,DI139=0),1,0)</f>
        <v>0</v>
      </c>
      <c r="DV139" s="23" t="n">
        <f aca="false">IF(AND(CC139=1,INT(N(H139))&lt;=Config!$B$8,DJ139=0),1,0)</f>
        <v>0</v>
      </c>
      <c r="DW139" s="23" t="n">
        <f aca="false">IF(AND(CC139=1,INT(N(H139))&lt;=Config!$B$5,DK139=0),1,0)</f>
        <v>0</v>
      </c>
      <c r="DX139" s="23" t="n">
        <f aca="false">IF(TRIM($A139)="",0,ISTEXT(M139)+ISTEXT(O139)+ISTEXT(Y139)+ISTEXT(Z139)+ISTEXT(AA139)+ISTEXT(AV139))</f>
        <v>0</v>
      </c>
      <c r="DY139" s="23" t="n">
        <f aca="false">IF(BB139=1,IF(H139&lt;&gt;INT(H139),1,0),0)</f>
        <v>0</v>
      </c>
      <c r="DZ139" s="23" t="str">
        <f aca="false">IF(TRIM($A139)="","",IF(TRIM(B139)="",SUBSTITUTE(SUBSTITUTE(SUBSTITUTE(SUBSTITUTE(SUBSTITUTE(SUBSTITUTE(LOWER(TRIM($A139)),"~",""),"*",""),"?",""),"&lt;",""),"&gt;",""),"=",""),SUBSTITUTE(SUBSTITUTE(SUBSTITUTE(SUBSTITUTE(SUBSTITUTE(SUBSTITUTE(LOWER(TRIM(B139)),"~",""),"*",""),"?",""),"&lt;",""),"&gt;",""),"=","")))</f>
        <v/>
      </c>
      <c r="EA139" s="23" t="str">
        <f aca="false">IF(CW139="","",IFERROR(IF(LEFT(LOWER(TRIM(INDEX(Clay_Offices!$A$2:$FZ$601,CW139,Sync!$C$19)&amp;"")),4)="grp-",SUBSTITUTE(SUBSTITUTE(SUBSTITUTE(SUBSTITUTE(SUBSTITUTE(SUBSTITUTE(LOWER(TRIM(INDEX(Clay_Offices!$A$2:$FZ$601,CW139,Sync!$C$19)&amp;"")),"~",""),"*",""),"?",""),"&lt;",""),"&gt;",""),"=",""),""),""))</f>
        <v/>
      </c>
      <c r="EB139" s="23" t="str">
        <f aca="false">IF(EA139&lt;&gt;"",DZ139,"")</f>
        <v/>
      </c>
      <c r="EC139" s="23" t="str">
        <f aca="false">IF(BC139=1,AZ139,"")</f>
        <v/>
      </c>
      <c r="ED139" s="23" t="str">
        <f aca="false">IF(TRIM($A139)="","",IFERROR(INDEX($A$2:$A$201,MATCH(AZ139,$EC$2:$EC$201,0))&amp;"",$A139&amp;""))</f>
        <v/>
      </c>
      <c r="EE139" s="23" t="n">
        <f aca="false">IF(BB139=1,IF(COUNTIFS($A$2:$A$201,$A139,$BB$2:$BB$201,1,$H$2:$H$201,"&lt;"&amp;H139)+COUNTIFS($A$2:$A$201,$A139,$BB$2:$BB$201,1,$H$2:$H$201,H139,$BA$2:$BA$201,"&lt;"&amp;BA139)=0,1,0),0)</f>
        <v>0</v>
      </c>
      <c r="EF139" s="23" t="n">
        <f aca="false">IF(BC139=1,IF(COUNTIFS($AZ$2:$AZ$201,AZ139,$EE$2:$EE$201,1)&gt;1,1,0),0)</f>
        <v>0</v>
      </c>
      <c r="EG139" s="23" t="n">
        <f aca="false">IF(AND(CQ139=1),IF(COUNTIFS($AZ$2:$AZ$201,AZ139,$CQ$2:$CQ$201,1,$H$2:$H$201,"&gt;"&amp;H139)+COUNTIFS($AZ$2:$AZ$201,AZ139,$CQ$2:$CQ$201,1,$H$2:$H$201,H139,$BA$2:$BA$201,"&gt;"&amp;BA139)=0,1,0),0)</f>
        <v>0</v>
      </c>
      <c r="EH139" s="23" t="str">
        <f aca="false">IF(BB139=1,IF(COUNTIFS($AZ$2:$AZ$201,AZ139,$EG$2:$EG$201,1)=0,"",SUMIFS($O$2:$O$201,$AZ$2:$AZ$201,AZ139,$EG$2:$EG$201,1)),"")</f>
        <v/>
      </c>
      <c r="EI139" s="23" t="n">
        <f aca="false">IF(AND(ISNUMBER(EH139),OR(N(EH139)&lt;Config!$B$31,N(EH139)&gt;Config!$B$33)),1,0)</f>
        <v>0</v>
      </c>
      <c r="EJ139" s="23" t="n">
        <f aca="false">IF(AND(ISNUMBER(EH139),N(EH139)&gt;=Config!$B$31,N(EH139)&lt;Config!$B$32),1,0)</f>
        <v>0</v>
      </c>
      <c r="EK139" s="23" t="n">
        <f aca="false">IF(AND(BF139=1,INT(N(H139))&lt;=Config!$B$6,DH139=1,EI139=1),1,0)</f>
        <v>0</v>
      </c>
      <c r="EL139" s="23" t="n">
        <f aca="false">IF(AND(BF139=1,INT(N(H139))&lt;=Config!$B$7,DI139=1,EI139=1),1,0)</f>
        <v>0</v>
      </c>
      <c r="EM139" s="23" t="n">
        <f aca="false">IF(AND(BF139=1,INT(N(H139))&lt;=Config!$B$8,DJ139=1,EI139=1),1,0)</f>
        <v>0</v>
      </c>
      <c r="EN139" s="23" t="n">
        <f aca="false">IF(AND(BF139=1,INT(N(H139))&lt;=Config!$B$5,DK139=1,EI139=1),1,0)</f>
        <v>0</v>
      </c>
      <c r="EO139" s="23" t="n">
        <f aca="false">IF(AND(DL139=1,EJ139=1),1,0)</f>
        <v>0</v>
      </c>
      <c r="EP139" s="23" t="n">
        <f aca="false">IF(AND(DM139=1,EJ139=1),1,0)</f>
        <v>0</v>
      </c>
      <c r="EQ139" s="23" t="n">
        <f aca="false">IF(AND(DN139=1,EJ139=1),1,0)</f>
        <v>0</v>
      </c>
      <c r="ER139" s="23" t="n">
        <f aca="false">IF(AND(DO139=1,EJ139=1),1,0)</f>
        <v>0</v>
      </c>
    </row>
    <row r="140" customFormat="false" ht="15" hidden="false" customHeight="false" outlineLevel="0" collapsed="false">
      <c r="G140" s="32"/>
      <c r="H140" s="33"/>
      <c r="I140" s="32"/>
      <c r="L140" s="32"/>
      <c r="Q140" s="32"/>
      <c r="U140" s="32"/>
      <c r="W140" s="32"/>
      <c r="AC140" s="32"/>
      <c r="AF140" s="32"/>
      <c r="AI140" s="32"/>
      <c r="AJ140" s="32"/>
      <c r="AN140" s="32"/>
      <c r="AR140" s="32"/>
      <c r="AT140" s="32"/>
      <c r="AU140" s="32"/>
      <c r="AW140" s="32"/>
      <c r="AY140" s="34" t="str">
        <f aca="false">IF(TRIM($A140)="","",IF(AND(LEFT($A140,6)="SAMPLE",Config!$B$19&lt;&gt;"Y"),"",IF(NOT(ISNUMBER(H140)),"call_date is blank or not a date",IF(Sync!$C$5="","Clay paste is empty or has no row_id column: paste the Clay export on Clay_Offices",IF(CW140="","row_id not found in the Clay paste: add the Clay row or fix the row_id",IF(AND(ISNUMBER(CY140),CY140&gt;=1,CY140&lt;=5),"Clay status is "&amp;CX140&amp;": set call_done or later",IF(AND(BD140=1,CZ140&lt;&gt;BZ140),"Clay yes_in_principle should be "&amp;BZ140,IF(AND(BD140=1,DA140&lt;&gt;H140),"Clay call_date should be "&amp;TEXT(H140,"yyyy-mm-dd"),""))))))))</f>
        <v/>
      </c>
      <c r="AZ140" s="23" t="str">
        <f aca="false">IF(TRIM($A140)="","",IF(TRIM(C140)&lt;&gt;"",SUBSTITUTE(SUBSTITUTE(SUBSTITUTE(SUBSTITUTE(SUBSTITUTE(SUBSTITUTE(LOWER(TRIM(C140)),"~",""),"*",""),"?",""),"&lt;",""),"&gt;",""),"=",""),IF(EA140&lt;&gt;"",EA140,IFERROR(INDEX($EA$2:$EA$201,MATCH(DZ140,$EB$2:$EB$201,0)),DZ140))))</f>
        <v/>
      </c>
      <c r="BA140" s="23" t="n">
        <f aca="false">ROW()</f>
        <v>140</v>
      </c>
      <c r="BB140" s="23" t="n">
        <f aca="false">IF(AND(TRIM($A140)&lt;&gt;"",ISNUMBER(H140)),IF(AND(LEFT($A140,6)="SAMPLE",Config!$B$19&lt;&gt;"Y"),0,1),0)</f>
        <v>0</v>
      </c>
      <c r="BC140" s="23" t="n">
        <f aca="false">IF(BB140=1,IF(COUNTIFS($AZ$2:$AZ$201,AZ140,$BB$2:$BB$201,1,$H$2:$H$201,"&lt;"&amp;H140)+COUNTIFS($AZ$2:$AZ$201,AZ140,$BB$2:$BB$201,1,$H$2:$H$201,H140,$BA$2:$BA$201,"&lt;"&amp;BA140)=0,1,0),0)</f>
        <v>0</v>
      </c>
      <c r="BD140" s="23" t="n">
        <f aca="false">IF(BB140=1,IF(COUNTIFS($A$2:$A$201,$A140,$BB$2:$BB$201,1,$H$2:$H$201,"&gt;"&amp;H140)+COUNTIFS($A$2:$A$201,$A140,$BB$2:$BB$201,1,$H$2:$H$201,H140,$BA$2:$BA$201,"&gt;"&amp;BA140)=0,1,0),0)</f>
        <v>0</v>
      </c>
      <c r="BE140" s="23" t="n">
        <f aca="false">IF(AND(BB140=1,AR140="Y",AC140="Y",TRIM(AH140)&lt;&gt;""),1,0)</f>
        <v>0</v>
      </c>
      <c r="BF140" s="23" t="n">
        <f aca="false">IF(BE140=1,IF(COUNTIFS($AZ$2:$AZ$201,AZ140,$BE$2:$BE$201,1,$H$2:$H$201,"&lt;"&amp;H140)+COUNTIFS($AZ$2:$AZ$201,AZ140,$BE$2:$BE$201,1,$H$2:$H$201,H140,$BA$2:$BA$201,"&lt;"&amp;BA140)=0,1,0),0)</f>
        <v>0</v>
      </c>
      <c r="BG140" s="23" t="n">
        <f aca="false">IF(AND(BB140=1,AR140="Y",BE140=0),1,0)</f>
        <v>0</v>
      </c>
      <c r="BH140" s="23" t="n">
        <f aca="false">IF(AND(BB140=1,ISNUMBER(Y140)),1,0)</f>
        <v>0</v>
      </c>
      <c r="BI140" s="23" t="n">
        <f aca="false">IF(BH140=1,IF(COUNTIFS($AZ$2:$AZ$201,AZ140,$BH$2:$BH$201,1,$H$2:$H$201,"&lt;"&amp;H140)+COUNTIFS($AZ$2:$AZ$201,AZ140,$BH$2:$BH$201,1,$H$2:$H$201,H140,$BA$2:$BA$201,"&lt;"&amp;BA140)=0,1,0),0)</f>
        <v>0</v>
      </c>
      <c r="BJ140" s="23" t="str">
        <f aca="false">IF(AND(BI140=1,INT(N(H140))&lt;=Config!$B$6),Y140,"")</f>
        <v/>
      </c>
      <c r="BK140" s="23" t="str">
        <f aca="false">IF(AND(BI140=1,INT(N(H140))&lt;=Config!$B$7),Y140,"")</f>
        <v/>
      </c>
      <c r="BL140" s="23" t="str">
        <f aca="false">IF(AND(BI140=1,INT(N(H140))&lt;=Config!$B$8),Y140,"")</f>
        <v/>
      </c>
      <c r="BM140" s="23" t="str">
        <f aca="false">IF(AND(BI140=1,INT(N(H140))&lt;=Config!$B$5),Y140,"")</f>
        <v/>
      </c>
      <c r="BN140" s="23" t="n">
        <f aca="false">IF(CD140=1,IF(COUNTIFS($AZ$2:$AZ$201,AZ140,$CD$2:$CD$201,1,$H$2:$H$201,"&lt;"&amp;H140)+COUNTIFS($AZ$2:$AZ$201,AZ140,$CD$2:$CD$201,1,$H$2:$H$201,H140,$BA$2:$BA$201,"&lt;"&amp;BA140)=0,1,0),0)</f>
        <v>0</v>
      </c>
      <c r="BO140" s="23" t="n">
        <f aca="false">IF(AND(BB140=1,ISNUMBER(M140)),1,0)</f>
        <v>0</v>
      </c>
      <c r="BP140" s="23" t="n">
        <f aca="false">IF(BO140=1,IF(COUNTIFS($AZ$2:$AZ$201,AZ140,$BO$2:$BO$201,1,$H$2:$H$201,"&lt;"&amp;H140)+COUNTIFS($AZ$2:$AZ$201,AZ140,$BO$2:$BO$201,1,$H$2:$H$201,H140,$BA$2:$BA$201,"&lt;"&amp;BA140)=0,1,0),0)</f>
        <v>0</v>
      </c>
      <c r="BQ140" s="23" t="str">
        <f aca="false">IF(AND(BP140=1,INT(N(H140))&lt;=Config!$B$5),M140,"")</f>
        <v/>
      </c>
      <c r="BR140" s="23" t="n">
        <f aca="false">IF(AND(BB140=1,OR(TRIM(X140)&lt;&gt;"",ISNUMBER(Y140))),1,0)</f>
        <v>0</v>
      </c>
      <c r="BS140" s="23" t="n">
        <f aca="false">IF(BR140=1,IF(COUNTIFS($AZ$2:$AZ$201,AZ140,$BR$2:$BR$201,1,$H$2:$H$201,"&lt;"&amp;H140)+COUNTIFS($AZ$2:$AZ$201,AZ140,$BR$2:$BR$201,1,$H$2:$H$201,H140,$BA$2:$BA$201,"&lt;"&amp;BA140)=0,1,0),0)</f>
        <v>0</v>
      </c>
      <c r="BT140" s="23" t="str">
        <f aca="false">IF(BS140=1,AZ140,"")</f>
        <v/>
      </c>
      <c r="BU140" s="23" t="n">
        <f aca="false">IF(AND(BB140=1,W140="Y",TRIM(X140)=""),1,0)</f>
        <v>0</v>
      </c>
      <c r="BV140" s="23" t="str">
        <f aca="false">IF(BB140=1,AN140&amp;"","")</f>
        <v/>
      </c>
      <c r="BW140" s="23" t="str">
        <f aca="false">IF(BB140=1,AO140&amp;"","")</f>
        <v/>
      </c>
      <c r="BX140" s="23" t="str">
        <f aca="false">IF(BB140=1,AP140&amp;"","")</f>
        <v/>
      </c>
      <c r="BY140" s="23" t="str">
        <f aca="false">IF(AND(BB140=1,ISNUMBER(AV140),INT(N(H140))&lt;=Config!$B$5),AV140,"")</f>
        <v/>
      </c>
      <c r="BZ140" s="23" t="str">
        <f aca="false">IF(BB140=1,IF(COUNTIFS($A$2:$A$201,$A140,$DC$2:$DC$201,1,$AR$2:$AR$201,"Y")&gt;0,"Y","N"),"")</f>
        <v/>
      </c>
      <c r="CA140" s="23" t="n">
        <f aca="false">IF(AND(BB140=1,AR140="maybe"),1,0)</f>
        <v>0</v>
      </c>
      <c r="CB140" s="23" t="n">
        <f aca="false">IF(CA140=1,IF(COUNTIFS($AZ$2:$AZ$201,AZ140,$CA$2:$CA$201,1,$H$2:$H$201,"&lt;"&amp;H140)+COUNTIFS($AZ$2:$AZ$201,AZ140,$CA$2:$CA$201,1,$H$2:$H$201,H140,$BA$2:$BA$201,"&lt;"&amp;BA140)=0,1,0),0)</f>
        <v>0</v>
      </c>
      <c r="CC140" s="23" t="n">
        <f aca="false">IF(AND(BB140=1,AR140="Y"),IF(COUNTIFS($AZ$2:$AZ$201,AZ140,$AR$2:$AR$201,"Y",$BB$2:$BB$201,1,$H$2:$H$201,"&lt;"&amp;H140)+COUNTIFS($AZ$2:$AZ$201,AZ140,$AR$2:$AR$201,"Y",$BB$2:$BB$201,1,$H$2:$H$201,H140,$BA$2:$BA$201,"&lt;"&amp;BA140)=0,1,0),0)</f>
        <v>0</v>
      </c>
      <c r="CD140" s="23" t="n">
        <f aca="false">IF(AND(BH140=1,N(Y140)&gt;=Config!$B$15),1,0)</f>
        <v>0</v>
      </c>
      <c r="CE140" s="23" t="n">
        <f aca="false">IF(AND(BB140=1,AT140="Y"),1,0)</f>
        <v>0</v>
      </c>
      <c r="CF140" s="23" t="n">
        <f aca="false">IF(CE140=1,IF(COUNTIFS($AZ$2:$AZ$201,AZ140,$CE$2:$CE$201,1,$H$2:$H$201,"&lt;"&amp;H140)+COUNTIFS($AZ$2:$AZ$201,AZ140,$CE$2:$CE$201,1,$H$2:$H$201,H140,$BA$2:$BA$201,"&lt;"&amp;BA140)=0,1,0),0)</f>
        <v>0</v>
      </c>
      <c r="CG140" s="23" t="n">
        <f aca="false">IF(AND(BB140=1,G140="warm-intro"),1,0)</f>
        <v>0</v>
      </c>
      <c r="CH140" s="23" t="n">
        <f aca="false">IF(CG140=1,IF(COUNTIFS($AZ$2:$AZ$201,AZ140,$CG$2:$CG$201,1,$H$2:$H$201,"&lt;"&amp;H140)+COUNTIFS($AZ$2:$AZ$201,AZ140,$CG$2:$CG$201,1,$H$2:$H$201,H140,$BA$2:$BA$201,"&lt;"&amp;BA140)=0,1,0),0)</f>
        <v>0</v>
      </c>
      <c r="CI140" s="23" t="n">
        <f aca="false">IF(AND(BB140=1,Q140="Y"),1,0)</f>
        <v>0</v>
      </c>
      <c r="CJ140" s="23" t="n">
        <f aca="false">IF(CI140=1,IF(COUNTIFS($AZ$2:$AZ$201,AZ140,$CI$2:$CI$201,1,$H$2:$H$201,"&lt;"&amp;H140)+COUNTIFS($AZ$2:$AZ$201,AZ140,$CI$2:$CI$201,1,$H$2:$H$201,H140,$BA$2:$BA$201,"&lt;"&amp;BA140)=0,1,0),0)</f>
        <v>0</v>
      </c>
      <c r="CK140" s="23" t="n">
        <f aca="false">IF(AND(BB140=1,AF140="Y"),1,0)</f>
        <v>0</v>
      </c>
      <c r="CL140" s="23" t="n">
        <f aca="false">IF(CK140=1,IF(COUNTIFS($AZ$2:$AZ$201,AZ140,$CK$2:$CK$201,1,$H$2:$H$201,"&lt;"&amp;H140)+COUNTIFS($AZ$2:$AZ$201,AZ140,$CK$2:$CK$201,1,$H$2:$H$201,H140,$BA$2:$BA$201,"&lt;"&amp;BA140)=0,1,0),0)</f>
        <v>0</v>
      </c>
      <c r="CM140" s="23" t="n">
        <f aca="false">IF(AND(BB140=1,U140="Y"),1,0)</f>
        <v>0</v>
      </c>
      <c r="CN140" s="23" t="n">
        <f aca="false">IF(CM140=1,IF(COUNTIFS($AZ$2:$AZ$201,AZ140,$CM$2:$CM$201,1,$H$2:$H$201,"&lt;"&amp;H140)+COUNTIFS($AZ$2:$AZ$201,AZ140,$CM$2:$CM$201,1,$H$2:$H$201,H140,$BA$2:$BA$201,"&lt;"&amp;BA140)=0,1,0),0)</f>
        <v>0</v>
      </c>
      <c r="CO140" s="23" t="n">
        <f aca="false">IF(AND(BB140=1,L140="Y"),1,0)</f>
        <v>0</v>
      </c>
      <c r="CP140" s="23" t="n">
        <f aca="false">IF(CO140=1,IF(COUNTIFS($AZ$2:$AZ$201,AZ140,$CO$2:$CO$201,1,$H$2:$H$201,"&lt;"&amp;H140)+COUNTIFS($AZ$2:$AZ$201,AZ140,$CO$2:$CO$201,1,$H$2:$H$201,H140,$BA$2:$BA$201,"&lt;"&amp;BA140)=0,1,0),0)</f>
        <v>0</v>
      </c>
      <c r="CQ140" s="23" t="n">
        <f aca="false">IF(AND(BB140=1,ISNUMBER(O140)),1,0)</f>
        <v>0</v>
      </c>
      <c r="CR140" s="23" t="n">
        <f aca="false">IF(CQ140=1,IF(COUNTIFS($AZ$2:$AZ$201,AZ140,$CQ$2:$CQ$201,1,$H$2:$H$201,"&lt;"&amp;H140)+COUNTIFS($AZ$2:$AZ$201,AZ140,$CQ$2:$CQ$201,1,$H$2:$H$201,H140,$BA$2:$BA$201,"&lt;"&amp;BA140)=0,1,0),0)</f>
        <v>0</v>
      </c>
      <c r="CS140" s="23" t="str">
        <f aca="false">IF(AND(CR140=1,INT(N(H140))&lt;=Config!$B$5),O140,"")</f>
        <v/>
      </c>
      <c r="CT140" s="23" t="str">
        <f aca="false">IF(AND(BB140=1,INT(N(H140))&lt;=Config!$B$5),AG140&amp;"","")</f>
        <v/>
      </c>
      <c r="CU140" s="23" t="n">
        <f aca="false">IF(AND(BB140=1,AU140="Y"),1,0)</f>
        <v>0</v>
      </c>
      <c r="CV140" s="23" t="n">
        <f aca="false">IF(CU140=1,IF(COUNTIFS($AZ$2:$AZ$201,AZ140,$CU$2:$CU$201,1,$H$2:$H$201,"&lt;"&amp;H140)+COUNTIFS($AZ$2:$AZ$201,AZ140,$CU$2:$CU$201,1,$H$2:$H$201,H140,$BA$2:$BA$201,"&lt;"&amp;BA140)=0,1,0),0)</f>
        <v>0</v>
      </c>
      <c r="CW140" s="23" t="str">
        <f aca="false">IF(BB140=1,IFERROR(MATCH($A140,INDEX(Clay_Offices!$A$2:$FZ$601,0,Sync!$C$5),0),""),"")</f>
        <v/>
      </c>
      <c r="CX140" s="23" t="str">
        <f aca="false">IF(CW140="","",IFERROR(INDEX(Clay_Offices!$A$2:$FZ$601,CW140,Sync!$C$7)&amp;"",""))</f>
        <v/>
      </c>
      <c r="CY140" s="23" t="str">
        <f aca="false">IF(CX140="","",IFERROR(INDEX(Lists!$K$2:$K$15,MATCH(CX140,Lists!$J$2:$J$15,0)),""))</f>
        <v/>
      </c>
      <c r="CZ140" s="23" t="str">
        <f aca="false">IF(CW140="","",IFERROR(INDEX(Clay_Offices!$A$2:$FZ$601,CW140,Sync!$C$17)&amp;"",""))</f>
        <v/>
      </c>
      <c r="DA140" s="35" t="str">
        <f aca="false">IF(CW140="","",IFERROR(N(INDEX(Clay_Offices!$A$2:$FZ$601,CW140,Sync!$C$16)),0))</f>
        <v/>
      </c>
      <c r="DB140" s="23" t="n">
        <f aca="false">IF(AND(BB140=1,OR(AR140="Y",AR140="N",AR140="maybe")),1,0)</f>
        <v>0</v>
      </c>
      <c r="DC140" s="23" t="n">
        <f aca="false">IF(AND(DB140=1),IF(COUNTIFS($A$2:$A$201,$A140,$DB$2:$DB$201,1,$H$2:$H$201,"&gt;"&amp;H140)+COUNTIFS($A$2:$A$201,$A140,$DB$2:$DB$201,1,$H$2:$H$201,H140,$BA$2:$BA$201,"&gt;"&amp;BA140)=0,1,0),0)</f>
        <v>0</v>
      </c>
      <c r="DD140" s="23" t="n">
        <f aca="false">IF(AND(DB140=1,INT(N(H140))&lt;=Config!$B$6),IF(COUNTIFS($AZ$2:$AZ$201,AZ140,$DB$2:$DB$201,1,$H$2:$H$201,"&gt;"&amp;H140,$H$2:$H$201,"&lt;"&amp;(Config!$B$6+1))+COUNTIFS($AZ$2:$AZ$201,AZ140,$DB$2:$DB$201,1,$H$2:$H$201,H140,$BA$2:$BA$201,"&gt;"&amp;BA140)=0,1,0),0)</f>
        <v>0</v>
      </c>
      <c r="DE140" s="23" t="n">
        <f aca="false">IF(AND(DB140=1,INT(N(H140))&lt;=Config!$B$7),IF(COUNTIFS($AZ$2:$AZ$201,AZ140,$DB$2:$DB$201,1,$H$2:$H$201,"&gt;"&amp;H140,$H$2:$H$201,"&lt;"&amp;(Config!$B$7+1))+COUNTIFS($AZ$2:$AZ$201,AZ140,$DB$2:$DB$201,1,$H$2:$H$201,H140,$BA$2:$BA$201,"&gt;"&amp;BA140)=0,1,0),0)</f>
        <v>0</v>
      </c>
      <c r="DF140" s="23" t="n">
        <f aca="false">IF(AND(DB140=1,INT(N(H140))&lt;=Config!$B$8),IF(COUNTIFS($AZ$2:$AZ$201,AZ140,$DB$2:$DB$201,1,$H$2:$H$201,"&gt;"&amp;H140,$H$2:$H$201,"&lt;"&amp;(Config!$B$8+1))+COUNTIFS($AZ$2:$AZ$201,AZ140,$DB$2:$DB$201,1,$H$2:$H$201,H140,$BA$2:$BA$201,"&gt;"&amp;BA140)=0,1,0),0)</f>
        <v>0</v>
      </c>
      <c r="DG140" s="23" t="n">
        <f aca="false">IF(AND(DB140=1,INT(N(H140))&lt;=Config!$B$5),IF(COUNTIFS($AZ$2:$AZ$201,AZ140,$DB$2:$DB$201,1,$H$2:$H$201,"&gt;"&amp;H140,$H$2:$H$201,"&lt;"&amp;(Config!$B$5+1))+COUNTIFS($AZ$2:$AZ$201,AZ140,$DB$2:$DB$201,1,$H$2:$H$201,H140,$BA$2:$BA$201,"&gt;"&amp;BA140)=0,1,0),0)</f>
        <v>0</v>
      </c>
      <c r="DH140" s="23" t="n">
        <f aca="false">IF(BB140=1,IF(COUNTIFS($AZ$2:$AZ$201,AZ140,$DD$2:$DD$201,1,$AR$2:$AR$201,"Y")&gt;0,1,0),0)</f>
        <v>0</v>
      </c>
      <c r="DI140" s="23" t="n">
        <f aca="false">IF(BB140=1,IF(COUNTIFS($AZ$2:$AZ$201,AZ140,$DE$2:$DE$201,1,$AR$2:$AR$201,"Y")&gt;0,1,0),0)</f>
        <v>0</v>
      </c>
      <c r="DJ140" s="23" t="n">
        <f aca="false">IF(BB140=1,IF(COUNTIFS($AZ$2:$AZ$201,AZ140,$DF$2:$DF$201,1,$AR$2:$AR$201,"Y")&gt;0,1,0),0)</f>
        <v>0</v>
      </c>
      <c r="DK140" s="23" t="n">
        <f aca="false">IF(BB140=1,IF(COUNTIFS($AZ$2:$AZ$201,AZ140,$DG$2:$DG$201,1,$AR$2:$AR$201,"Y")&gt;0,1,0),0)</f>
        <v>0</v>
      </c>
      <c r="DL140" s="23" t="n">
        <f aca="false">IF(AND(BF140=1,INT(N(H140))&lt;=Config!$B$6,DH140=1,EI140=0),1,0)</f>
        <v>0</v>
      </c>
      <c r="DM140" s="23" t="n">
        <f aca="false">IF(AND(BF140=1,INT(N(H140))&lt;=Config!$B$7,DI140=1,EI140=0),1,0)</f>
        <v>0</v>
      </c>
      <c r="DN140" s="23" t="n">
        <f aca="false">IF(AND(BF140=1,INT(N(H140))&lt;=Config!$B$8,DJ140=1,EI140=0),1,0)</f>
        <v>0</v>
      </c>
      <c r="DO140" s="23" t="n">
        <f aca="false">IF(AND(BF140=1,INT(N(H140))&lt;=Config!$B$5,DK140=1,EI140=0),1,0)</f>
        <v>0</v>
      </c>
      <c r="DP140" s="23" t="n">
        <f aca="false">IF(AND(CC140=1,INT(N(H140))&lt;=Config!$B$6,DH140=1,EI140=0),1,0)</f>
        <v>0</v>
      </c>
      <c r="DQ140" s="23" t="n">
        <f aca="false">IF(AND(CC140=1,INT(N(H140))&lt;=Config!$B$7,DI140=1,EI140=0),1,0)</f>
        <v>0</v>
      </c>
      <c r="DR140" s="23" t="n">
        <f aca="false">IF(AND(CC140=1,INT(N(H140))&lt;=Config!$B$8,DJ140=1,EI140=0),1,0)</f>
        <v>0</v>
      </c>
      <c r="DS140" s="23" t="n">
        <f aca="false">IF(AND(CC140=1,INT(N(H140))&lt;=Config!$B$5,DK140=1,EI140=0),1,0)</f>
        <v>0</v>
      </c>
      <c r="DT140" s="23" t="n">
        <f aca="false">IF(AND(CC140=1,INT(N(H140))&lt;=Config!$B$6,DH140=0),1,0)</f>
        <v>0</v>
      </c>
      <c r="DU140" s="23" t="n">
        <f aca="false">IF(AND(CC140=1,INT(N(H140))&lt;=Config!$B$7,DI140=0),1,0)</f>
        <v>0</v>
      </c>
      <c r="DV140" s="23" t="n">
        <f aca="false">IF(AND(CC140=1,INT(N(H140))&lt;=Config!$B$8,DJ140=0),1,0)</f>
        <v>0</v>
      </c>
      <c r="DW140" s="23" t="n">
        <f aca="false">IF(AND(CC140=1,INT(N(H140))&lt;=Config!$B$5,DK140=0),1,0)</f>
        <v>0</v>
      </c>
      <c r="DX140" s="23" t="n">
        <f aca="false">IF(TRIM($A140)="",0,ISTEXT(M140)+ISTEXT(O140)+ISTEXT(Y140)+ISTEXT(Z140)+ISTEXT(AA140)+ISTEXT(AV140))</f>
        <v>0</v>
      </c>
      <c r="DY140" s="23" t="n">
        <f aca="false">IF(BB140=1,IF(H140&lt;&gt;INT(H140),1,0),0)</f>
        <v>0</v>
      </c>
      <c r="DZ140" s="23" t="str">
        <f aca="false">IF(TRIM($A140)="","",IF(TRIM(B140)="",SUBSTITUTE(SUBSTITUTE(SUBSTITUTE(SUBSTITUTE(SUBSTITUTE(SUBSTITUTE(LOWER(TRIM($A140)),"~",""),"*",""),"?",""),"&lt;",""),"&gt;",""),"=",""),SUBSTITUTE(SUBSTITUTE(SUBSTITUTE(SUBSTITUTE(SUBSTITUTE(SUBSTITUTE(LOWER(TRIM(B140)),"~",""),"*",""),"?",""),"&lt;",""),"&gt;",""),"=","")))</f>
        <v/>
      </c>
      <c r="EA140" s="23" t="str">
        <f aca="false">IF(CW140="","",IFERROR(IF(LEFT(LOWER(TRIM(INDEX(Clay_Offices!$A$2:$FZ$601,CW140,Sync!$C$19)&amp;"")),4)="grp-",SUBSTITUTE(SUBSTITUTE(SUBSTITUTE(SUBSTITUTE(SUBSTITUTE(SUBSTITUTE(LOWER(TRIM(INDEX(Clay_Offices!$A$2:$FZ$601,CW140,Sync!$C$19)&amp;"")),"~",""),"*",""),"?",""),"&lt;",""),"&gt;",""),"=",""),""),""))</f>
        <v/>
      </c>
      <c r="EB140" s="23" t="str">
        <f aca="false">IF(EA140&lt;&gt;"",DZ140,"")</f>
        <v/>
      </c>
      <c r="EC140" s="23" t="str">
        <f aca="false">IF(BC140=1,AZ140,"")</f>
        <v/>
      </c>
      <c r="ED140" s="23" t="str">
        <f aca="false">IF(TRIM($A140)="","",IFERROR(INDEX($A$2:$A$201,MATCH(AZ140,$EC$2:$EC$201,0))&amp;"",$A140&amp;""))</f>
        <v/>
      </c>
      <c r="EE140" s="23" t="n">
        <f aca="false">IF(BB140=1,IF(COUNTIFS($A$2:$A$201,$A140,$BB$2:$BB$201,1,$H$2:$H$201,"&lt;"&amp;H140)+COUNTIFS($A$2:$A$201,$A140,$BB$2:$BB$201,1,$H$2:$H$201,H140,$BA$2:$BA$201,"&lt;"&amp;BA140)=0,1,0),0)</f>
        <v>0</v>
      </c>
      <c r="EF140" s="23" t="n">
        <f aca="false">IF(BC140=1,IF(COUNTIFS($AZ$2:$AZ$201,AZ140,$EE$2:$EE$201,1)&gt;1,1,0),0)</f>
        <v>0</v>
      </c>
      <c r="EG140" s="23" t="n">
        <f aca="false">IF(AND(CQ140=1),IF(COUNTIFS($AZ$2:$AZ$201,AZ140,$CQ$2:$CQ$201,1,$H$2:$H$201,"&gt;"&amp;H140)+COUNTIFS($AZ$2:$AZ$201,AZ140,$CQ$2:$CQ$201,1,$H$2:$H$201,H140,$BA$2:$BA$201,"&gt;"&amp;BA140)=0,1,0),0)</f>
        <v>0</v>
      </c>
      <c r="EH140" s="23" t="str">
        <f aca="false">IF(BB140=1,IF(COUNTIFS($AZ$2:$AZ$201,AZ140,$EG$2:$EG$201,1)=0,"",SUMIFS($O$2:$O$201,$AZ$2:$AZ$201,AZ140,$EG$2:$EG$201,1)),"")</f>
        <v/>
      </c>
      <c r="EI140" s="23" t="n">
        <f aca="false">IF(AND(ISNUMBER(EH140),OR(N(EH140)&lt;Config!$B$31,N(EH140)&gt;Config!$B$33)),1,0)</f>
        <v>0</v>
      </c>
      <c r="EJ140" s="23" t="n">
        <f aca="false">IF(AND(ISNUMBER(EH140),N(EH140)&gt;=Config!$B$31,N(EH140)&lt;Config!$B$32),1,0)</f>
        <v>0</v>
      </c>
      <c r="EK140" s="23" t="n">
        <f aca="false">IF(AND(BF140=1,INT(N(H140))&lt;=Config!$B$6,DH140=1,EI140=1),1,0)</f>
        <v>0</v>
      </c>
      <c r="EL140" s="23" t="n">
        <f aca="false">IF(AND(BF140=1,INT(N(H140))&lt;=Config!$B$7,DI140=1,EI140=1),1,0)</f>
        <v>0</v>
      </c>
      <c r="EM140" s="23" t="n">
        <f aca="false">IF(AND(BF140=1,INT(N(H140))&lt;=Config!$B$8,DJ140=1,EI140=1),1,0)</f>
        <v>0</v>
      </c>
      <c r="EN140" s="23" t="n">
        <f aca="false">IF(AND(BF140=1,INT(N(H140))&lt;=Config!$B$5,DK140=1,EI140=1),1,0)</f>
        <v>0</v>
      </c>
      <c r="EO140" s="23" t="n">
        <f aca="false">IF(AND(DL140=1,EJ140=1),1,0)</f>
        <v>0</v>
      </c>
      <c r="EP140" s="23" t="n">
        <f aca="false">IF(AND(DM140=1,EJ140=1),1,0)</f>
        <v>0</v>
      </c>
      <c r="EQ140" s="23" t="n">
        <f aca="false">IF(AND(DN140=1,EJ140=1),1,0)</f>
        <v>0</v>
      </c>
      <c r="ER140" s="23" t="n">
        <f aca="false">IF(AND(DO140=1,EJ140=1),1,0)</f>
        <v>0</v>
      </c>
    </row>
    <row r="141" customFormat="false" ht="15" hidden="false" customHeight="false" outlineLevel="0" collapsed="false">
      <c r="G141" s="32"/>
      <c r="H141" s="33"/>
      <c r="I141" s="32"/>
      <c r="L141" s="32"/>
      <c r="Q141" s="32"/>
      <c r="U141" s="32"/>
      <c r="W141" s="32"/>
      <c r="AC141" s="32"/>
      <c r="AF141" s="32"/>
      <c r="AI141" s="32"/>
      <c r="AJ141" s="32"/>
      <c r="AN141" s="32"/>
      <c r="AR141" s="32"/>
      <c r="AT141" s="32"/>
      <c r="AU141" s="32"/>
      <c r="AW141" s="32"/>
      <c r="AY141" s="34" t="str">
        <f aca="false">IF(TRIM($A141)="","",IF(AND(LEFT($A141,6)="SAMPLE",Config!$B$19&lt;&gt;"Y"),"",IF(NOT(ISNUMBER(H141)),"call_date is blank or not a date",IF(Sync!$C$5="","Clay paste is empty or has no row_id column: paste the Clay export on Clay_Offices",IF(CW141="","row_id not found in the Clay paste: add the Clay row or fix the row_id",IF(AND(ISNUMBER(CY141),CY141&gt;=1,CY141&lt;=5),"Clay status is "&amp;CX141&amp;": set call_done or later",IF(AND(BD141=1,CZ141&lt;&gt;BZ141),"Clay yes_in_principle should be "&amp;BZ141,IF(AND(BD141=1,DA141&lt;&gt;H141),"Clay call_date should be "&amp;TEXT(H141,"yyyy-mm-dd"),""))))))))</f>
        <v/>
      </c>
      <c r="AZ141" s="23" t="str">
        <f aca="false">IF(TRIM($A141)="","",IF(TRIM(C141)&lt;&gt;"",SUBSTITUTE(SUBSTITUTE(SUBSTITUTE(SUBSTITUTE(SUBSTITUTE(SUBSTITUTE(LOWER(TRIM(C141)),"~",""),"*",""),"?",""),"&lt;",""),"&gt;",""),"=",""),IF(EA141&lt;&gt;"",EA141,IFERROR(INDEX($EA$2:$EA$201,MATCH(DZ141,$EB$2:$EB$201,0)),DZ141))))</f>
        <v/>
      </c>
      <c r="BA141" s="23" t="n">
        <f aca="false">ROW()</f>
        <v>141</v>
      </c>
      <c r="BB141" s="23" t="n">
        <f aca="false">IF(AND(TRIM($A141)&lt;&gt;"",ISNUMBER(H141)),IF(AND(LEFT($A141,6)="SAMPLE",Config!$B$19&lt;&gt;"Y"),0,1),0)</f>
        <v>0</v>
      </c>
      <c r="BC141" s="23" t="n">
        <f aca="false">IF(BB141=1,IF(COUNTIFS($AZ$2:$AZ$201,AZ141,$BB$2:$BB$201,1,$H$2:$H$201,"&lt;"&amp;H141)+COUNTIFS($AZ$2:$AZ$201,AZ141,$BB$2:$BB$201,1,$H$2:$H$201,H141,$BA$2:$BA$201,"&lt;"&amp;BA141)=0,1,0),0)</f>
        <v>0</v>
      </c>
      <c r="BD141" s="23" t="n">
        <f aca="false">IF(BB141=1,IF(COUNTIFS($A$2:$A$201,$A141,$BB$2:$BB$201,1,$H$2:$H$201,"&gt;"&amp;H141)+COUNTIFS($A$2:$A$201,$A141,$BB$2:$BB$201,1,$H$2:$H$201,H141,$BA$2:$BA$201,"&gt;"&amp;BA141)=0,1,0),0)</f>
        <v>0</v>
      </c>
      <c r="BE141" s="23" t="n">
        <f aca="false">IF(AND(BB141=1,AR141="Y",AC141="Y",TRIM(AH141)&lt;&gt;""),1,0)</f>
        <v>0</v>
      </c>
      <c r="BF141" s="23" t="n">
        <f aca="false">IF(BE141=1,IF(COUNTIFS($AZ$2:$AZ$201,AZ141,$BE$2:$BE$201,1,$H$2:$H$201,"&lt;"&amp;H141)+COUNTIFS($AZ$2:$AZ$201,AZ141,$BE$2:$BE$201,1,$H$2:$H$201,H141,$BA$2:$BA$201,"&lt;"&amp;BA141)=0,1,0),0)</f>
        <v>0</v>
      </c>
      <c r="BG141" s="23" t="n">
        <f aca="false">IF(AND(BB141=1,AR141="Y",BE141=0),1,0)</f>
        <v>0</v>
      </c>
      <c r="BH141" s="23" t="n">
        <f aca="false">IF(AND(BB141=1,ISNUMBER(Y141)),1,0)</f>
        <v>0</v>
      </c>
      <c r="BI141" s="23" t="n">
        <f aca="false">IF(BH141=1,IF(COUNTIFS($AZ$2:$AZ$201,AZ141,$BH$2:$BH$201,1,$H$2:$H$201,"&lt;"&amp;H141)+COUNTIFS($AZ$2:$AZ$201,AZ141,$BH$2:$BH$201,1,$H$2:$H$201,H141,$BA$2:$BA$201,"&lt;"&amp;BA141)=0,1,0),0)</f>
        <v>0</v>
      </c>
      <c r="BJ141" s="23" t="str">
        <f aca="false">IF(AND(BI141=1,INT(N(H141))&lt;=Config!$B$6),Y141,"")</f>
        <v/>
      </c>
      <c r="BK141" s="23" t="str">
        <f aca="false">IF(AND(BI141=1,INT(N(H141))&lt;=Config!$B$7),Y141,"")</f>
        <v/>
      </c>
      <c r="BL141" s="23" t="str">
        <f aca="false">IF(AND(BI141=1,INT(N(H141))&lt;=Config!$B$8),Y141,"")</f>
        <v/>
      </c>
      <c r="BM141" s="23" t="str">
        <f aca="false">IF(AND(BI141=1,INT(N(H141))&lt;=Config!$B$5),Y141,"")</f>
        <v/>
      </c>
      <c r="BN141" s="23" t="n">
        <f aca="false">IF(CD141=1,IF(COUNTIFS($AZ$2:$AZ$201,AZ141,$CD$2:$CD$201,1,$H$2:$H$201,"&lt;"&amp;H141)+COUNTIFS($AZ$2:$AZ$201,AZ141,$CD$2:$CD$201,1,$H$2:$H$201,H141,$BA$2:$BA$201,"&lt;"&amp;BA141)=0,1,0),0)</f>
        <v>0</v>
      </c>
      <c r="BO141" s="23" t="n">
        <f aca="false">IF(AND(BB141=1,ISNUMBER(M141)),1,0)</f>
        <v>0</v>
      </c>
      <c r="BP141" s="23" t="n">
        <f aca="false">IF(BO141=1,IF(COUNTIFS($AZ$2:$AZ$201,AZ141,$BO$2:$BO$201,1,$H$2:$H$201,"&lt;"&amp;H141)+COUNTIFS($AZ$2:$AZ$201,AZ141,$BO$2:$BO$201,1,$H$2:$H$201,H141,$BA$2:$BA$201,"&lt;"&amp;BA141)=0,1,0),0)</f>
        <v>0</v>
      </c>
      <c r="BQ141" s="23" t="str">
        <f aca="false">IF(AND(BP141=1,INT(N(H141))&lt;=Config!$B$5),M141,"")</f>
        <v/>
      </c>
      <c r="BR141" s="23" t="n">
        <f aca="false">IF(AND(BB141=1,OR(TRIM(X141)&lt;&gt;"",ISNUMBER(Y141))),1,0)</f>
        <v>0</v>
      </c>
      <c r="BS141" s="23" t="n">
        <f aca="false">IF(BR141=1,IF(COUNTIFS($AZ$2:$AZ$201,AZ141,$BR$2:$BR$201,1,$H$2:$H$201,"&lt;"&amp;H141)+COUNTIFS($AZ$2:$AZ$201,AZ141,$BR$2:$BR$201,1,$H$2:$H$201,H141,$BA$2:$BA$201,"&lt;"&amp;BA141)=0,1,0),0)</f>
        <v>0</v>
      </c>
      <c r="BT141" s="23" t="str">
        <f aca="false">IF(BS141=1,AZ141,"")</f>
        <v/>
      </c>
      <c r="BU141" s="23" t="n">
        <f aca="false">IF(AND(BB141=1,W141="Y",TRIM(X141)=""),1,0)</f>
        <v>0</v>
      </c>
      <c r="BV141" s="23" t="str">
        <f aca="false">IF(BB141=1,AN141&amp;"","")</f>
        <v/>
      </c>
      <c r="BW141" s="23" t="str">
        <f aca="false">IF(BB141=1,AO141&amp;"","")</f>
        <v/>
      </c>
      <c r="BX141" s="23" t="str">
        <f aca="false">IF(BB141=1,AP141&amp;"","")</f>
        <v/>
      </c>
      <c r="BY141" s="23" t="str">
        <f aca="false">IF(AND(BB141=1,ISNUMBER(AV141),INT(N(H141))&lt;=Config!$B$5),AV141,"")</f>
        <v/>
      </c>
      <c r="BZ141" s="23" t="str">
        <f aca="false">IF(BB141=1,IF(COUNTIFS($A$2:$A$201,$A141,$DC$2:$DC$201,1,$AR$2:$AR$201,"Y")&gt;0,"Y","N"),"")</f>
        <v/>
      </c>
      <c r="CA141" s="23" t="n">
        <f aca="false">IF(AND(BB141=1,AR141="maybe"),1,0)</f>
        <v>0</v>
      </c>
      <c r="CB141" s="23" t="n">
        <f aca="false">IF(CA141=1,IF(COUNTIFS($AZ$2:$AZ$201,AZ141,$CA$2:$CA$201,1,$H$2:$H$201,"&lt;"&amp;H141)+COUNTIFS($AZ$2:$AZ$201,AZ141,$CA$2:$CA$201,1,$H$2:$H$201,H141,$BA$2:$BA$201,"&lt;"&amp;BA141)=0,1,0),0)</f>
        <v>0</v>
      </c>
      <c r="CC141" s="23" t="n">
        <f aca="false">IF(AND(BB141=1,AR141="Y"),IF(COUNTIFS($AZ$2:$AZ$201,AZ141,$AR$2:$AR$201,"Y",$BB$2:$BB$201,1,$H$2:$H$201,"&lt;"&amp;H141)+COUNTIFS($AZ$2:$AZ$201,AZ141,$AR$2:$AR$201,"Y",$BB$2:$BB$201,1,$H$2:$H$201,H141,$BA$2:$BA$201,"&lt;"&amp;BA141)=0,1,0),0)</f>
        <v>0</v>
      </c>
      <c r="CD141" s="23" t="n">
        <f aca="false">IF(AND(BH141=1,N(Y141)&gt;=Config!$B$15),1,0)</f>
        <v>0</v>
      </c>
      <c r="CE141" s="23" t="n">
        <f aca="false">IF(AND(BB141=1,AT141="Y"),1,0)</f>
        <v>0</v>
      </c>
      <c r="CF141" s="23" t="n">
        <f aca="false">IF(CE141=1,IF(COUNTIFS($AZ$2:$AZ$201,AZ141,$CE$2:$CE$201,1,$H$2:$H$201,"&lt;"&amp;H141)+COUNTIFS($AZ$2:$AZ$201,AZ141,$CE$2:$CE$201,1,$H$2:$H$201,H141,$BA$2:$BA$201,"&lt;"&amp;BA141)=0,1,0),0)</f>
        <v>0</v>
      </c>
      <c r="CG141" s="23" t="n">
        <f aca="false">IF(AND(BB141=1,G141="warm-intro"),1,0)</f>
        <v>0</v>
      </c>
      <c r="CH141" s="23" t="n">
        <f aca="false">IF(CG141=1,IF(COUNTIFS($AZ$2:$AZ$201,AZ141,$CG$2:$CG$201,1,$H$2:$H$201,"&lt;"&amp;H141)+COUNTIFS($AZ$2:$AZ$201,AZ141,$CG$2:$CG$201,1,$H$2:$H$201,H141,$BA$2:$BA$201,"&lt;"&amp;BA141)=0,1,0),0)</f>
        <v>0</v>
      </c>
      <c r="CI141" s="23" t="n">
        <f aca="false">IF(AND(BB141=1,Q141="Y"),1,0)</f>
        <v>0</v>
      </c>
      <c r="CJ141" s="23" t="n">
        <f aca="false">IF(CI141=1,IF(COUNTIFS($AZ$2:$AZ$201,AZ141,$CI$2:$CI$201,1,$H$2:$H$201,"&lt;"&amp;H141)+COUNTIFS($AZ$2:$AZ$201,AZ141,$CI$2:$CI$201,1,$H$2:$H$201,H141,$BA$2:$BA$201,"&lt;"&amp;BA141)=0,1,0),0)</f>
        <v>0</v>
      </c>
      <c r="CK141" s="23" t="n">
        <f aca="false">IF(AND(BB141=1,AF141="Y"),1,0)</f>
        <v>0</v>
      </c>
      <c r="CL141" s="23" t="n">
        <f aca="false">IF(CK141=1,IF(COUNTIFS($AZ$2:$AZ$201,AZ141,$CK$2:$CK$201,1,$H$2:$H$201,"&lt;"&amp;H141)+COUNTIFS($AZ$2:$AZ$201,AZ141,$CK$2:$CK$201,1,$H$2:$H$201,H141,$BA$2:$BA$201,"&lt;"&amp;BA141)=0,1,0),0)</f>
        <v>0</v>
      </c>
      <c r="CM141" s="23" t="n">
        <f aca="false">IF(AND(BB141=1,U141="Y"),1,0)</f>
        <v>0</v>
      </c>
      <c r="CN141" s="23" t="n">
        <f aca="false">IF(CM141=1,IF(COUNTIFS($AZ$2:$AZ$201,AZ141,$CM$2:$CM$201,1,$H$2:$H$201,"&lt;"&amp;H141)+COUNTIFS($AZ$2:$AZ$201,AZ141,$CM$2:$CM$201,1,$H$2:$H$201,H141,$BA$2:$BA$201,"&lt;"&amp;BA141)=0,1,0),0)</f>
        <v>0</v>
      </c>
      <c r="CO141" s="23" t="n">
        <f aca="false">IF(AND(BB141=1,L141="Y"),1,0)</f>
        <v>0</v>
      </c>
      <c r="CP141" s="23" t="n">
        <f aca="false">IF(CO141=1,IF(COUNTIFS($AZ$2:$AZ$201,AZ141,$CO$2:$CO$201,1,$H$2:$H$201,"&lt;"&amp;H141)+COUNTIFS($AZ$2:$AZ$201,AZ141,$CO$2:$CO$201,1,$H$2:$H$201,H141,$BA$2:$BA$201,"&lt;"&amp;BA141)=0,1,0),0)</f>
        <v>0</v>
      </c>
      <c r="CQ141" s="23" t="n">
        <f aca="false">IF(AND(BB141=1,ISNUMBER(O141)),1,0)</f>
        <v>0</v>
      </c>
      <c r="CR141" s="23" t="n">
        <f aca="false">IF(CQ141=1,IF(COUNTIFS($AZ$2:$AZ$201,AZ141,$CQ$2:$CQ$201,1,$H$2:$H$201,"&lt;"&amp;H141)+COUNTIFS($AZ$2:$AZ$201,AZ141,$CQ$2:$CQ$201,1,$H$2:$H$201,H141,$BA$2:$BA$201,"&lt;"&amp;BA141)=0,1,0),0)</f>
        <v>0</v>
      </c>
      <c r="CS141" s="23" t="str">
        <f aca="false">IF(AND(CR141=1,INT(N(H141))&lt;=Config!$B$5),O141,"")</f>
        <v/>
      </c>
      <c r="CT141" s="23" t="str">
        <f aca="false">IF(AND(BB141=1,INT(N(H141))&lt;=Config!$B$5),AG141&amp;"","")</f>
        <v/>
      </c>
      <c r="CU141" s="23" t="n">
        <f aca="false">IF(AND(BB141=1,AU141="Y"),1,0)</f>
        <v>0</v>
      </c>
      <c r="CV141" s="23" t="n">
        <f aca="false">IF(CU141=1,IF(COUNTIFS($AZ$2:$AZ$201,AZ141,$CU$2:$CU$201,1,$H$2:$H$201,"&lt;"&amp;H141)+COUNTIFS($AZ$2:$AZ$201,AZ141,$CU$2:$CU$201,1,$H$2:$H$201,H141,$BA$2:$BA$201,"&lt;"&amp;BA141)=0,1,0),0)</f>
        <v>0</v>
      </c>
      <c r="CW141" s="23" t="str">
        <f aca="false">IF(BB141=1,IFERROR(MATCH($A141,INDEX(Clay_Offices!$A$2:$FZ$601,0,Sync!$C$5),0),""),"")</f>
        <v/>
      </c>
      <c r="CX141" s="23" t="str">
        <f aca="false">IF(CW141="","",IFERROR(INDEX(Clay_Offices!$A$2:$FZ$601,CW141,Sync!$C$7)&amp;"",""))</f>
        <v/>
      </c>
      <c r="CY141" s="23" t="str">
        <f aca="false">IF(CX141="","",IFERROR(INDEX(Lists!$K$2:$K$15,MATCH(CX141,Lists!$J$2:$J$15,0)),""))</f>
        <v/>
      </c>
      <c r="CZ141" s="23" t="str">
        <f aca="false">IF(CW141="","",IFERROR(INDEX(Clay_Offices!$A$2:$FZ$601,CW141,Sync!$C$17)&amp;"",""))</f>
        <v/>
      </c>
      <c r="DA141" s="35" t="str">
        <f aca="false">IF(CW141="","",IFERROR(N(INDEX(Clay_Offices!$A$2:$FZ$601,CW141,Sync!$C$16)),0))</f>
        <v/>
      </c>
      <c r="DB141" s="23" t="n">
        <f aca="false">IF(AND(BB141=1,OR(AR141="Y",AR141="N",AR141="maybe")),1,0)</f>
        <v>0</v>
      </c>
      <c r="DC141" s="23" t="n">
        <f aca="false">IF(AND(DB141=1),IF(COUNTIFS($A$2:$A$201,$A141,$DB$2:$DB$201,1,$H$2:$H$201,"&gt;"&amp;H141)+COUNTIFS($A$2:$A$201,$A141,$DB$2:$DB$201,1,$H$2:$H$201,H141,$BA$2:$BA$201,"&gt;"&amp;BA141)=0,1,0),0)</f>
        <v>0</v>
      </c>
      <c r="DD141" s="23" t="n">
        <f aca="false">IF(AND(DB141=1,INT(N(H141))&lt;=Config!$B$6),IF(COUNTIFS($AZ$2:$AZ$201,AZ141,$DB$2:$DB$201,1,$H$2:$H$201,"&gt;"&amp;H141,$H$2:$H$201,"&lt;"&amp;(Config!$B$6+1))+COUNTIFS($AZ$2:$AZ$201,AZ141,$DB$2:$DB$201,1,$H$2:$H$201,H141,$BA$2:$BA$201,"&gt;"&amp;BA141)=0,1,0),0)</f>
        <v>0</v>
      </c>
      <c r="DE141" s="23" t="n">
        <f aca="false">IF(AND(DB141=1,INT(N(H141))&lt;=Config!$B$7),IF(COUNTIFS($AZ$2:$AZ$201,AZ141,$DB$2:$DB$201,1,$H$2:$H$201,"&gt;"&amp;H141,$H$2:$H$201,"&lt;"&amp;(Config!$B$7+1))+COUNTIFS($AZ$2:$AZ$201,AZ141,$DB$2:$DB$201,1,$H$2:$H$201,H141,$BA$2:$BA$201,"&gt;"&amp;BA141)=0,1,0),0)</f>
        <v>0</v>
      </c>
      <c r="DF141" s="23" t="n">
        <f aca="false">IF(AND(DB141=1,INT(N(H141))&lt;=Config!$B$8),IF(COUNTIFS($AZ$2:$AZ$201,AZ141,$DB$2:$DB$201,1,$H$2:$H$201,"&gt;"&amp;H141,$H$2:$H$201,"&lt;"&amp;(Config!$B$8+1))+COUNTIFS($AZ$2:$AZ$201,AZ141,$DB$2:$DB$201,1,$H$2:$H$201,H141,$BA$2:$BA$201,"&gt;"&amp;BA141)=0,1,0),0)</f>
        <v>0</v>
      </c>
      <c r="DG141" s="23" t="n">
        <f aca="false">IF(AND(DB141=1,INT(N(H141))&lt;=Config!$B$5),IF(COUNTIFS($AZ$2:$AZ$201,AZ141,$DB$2:$DB$201,1,$H$2:$H$201,"&gt;"&amp;H141,$H$2:$H$201,"&lt;"&amp;(Config!$B$5+1))+COUNTIFS($AZ$2:$AZ$201,AZ141,$DB$2:$DB$201,1,$H$2:$H$201,H141,$BA$2:$BA$201,"&gt;"&amp;BA141)=0,1,0),0)</f>
        <v>0</v>
      </c>
      <c r="DH141" s="23" t="n">
        <f aca="false">IF(BB141=1,IF(COUNTIFS($AZ$2:$AZ$201,AZ141,$DD$2:$DD$201,1,$AR$2:$AR$201,"Y")&gt;0,1,0),0)</f>
        <v>0</v>
      </c>
      <c r="DI141" s="23" t="n">
        <f aca="false">IF(BB141=1,IF(COUNTIFS($AZ$2:$AZ$201,AZ141,$DE$2:$DE$201,1,$AR$2:$AR$201,"Y")&gt;0,1,0),0)</f>
        <v>0</v>
      </c>
      <c r="DJ141" s="23" t="n">
        <f aca="false">IF(BB141=1,IF(COUNTIFS($AZ$2:$AZ$201,AZ141,$DF$2:$DF$201,1,$AR$2:$AR$201,"Y")&gt;0,1,0),0)</f>
        <v>0</v>
      </c>
      <c r="DK141" s="23" t="n">
        <f aca="false">IF(BB141=1,IF(COUNTIFS($AZ$2:$AZ$201,AZ141,$DG$2:$DG$201,1,$AR$2:$AR$201,"Y")&gt;0,1,0),0)</f>
        <v>0</v>
      </c>
      <c r="DL141" s="23" t="n">
        <f aca="false">IF(AND(BF141=1,INT(N(H141))&lt;=Config!$B$6,DH141=1,EI141=0),1,0)</f>
        <v>0</v>
      </c>
      <c r="DM141" s="23" t="n">
        <f aca="false">IF(AND(BF141=1,INT(N(H141))&lt;=Config!$B$7,DI141=1,EI141=0),1,0)</f>
        <v>0</v>
      </c>
      <c r="DN141" s="23" t="n">
        <f aca="false">IF(AND(BF141=1,INT(N(H141))&lt;=Config!$B$8,DJ141=1,EI141=0),1,0)</f>
        <v>0</v>
      </c>
      <c r="DO141" s="23" t="n">
        <f aca="false">IF(AND(BF141=1,INT(N(H141))&lt;=Config!$B$5,DK141=1,EI141=0),1,0)</f>
        <v>0</v>
      </c>
      <c r="DP141" s="23" t="n">
        <f aca="false">IF(AND(CC141=1,INT(N(H141))&lt;=Config!$B$6,DH141=1,EI141=0),1,0)</f>
        <v>0</v>
      </c>
      <c r="DQ141" s="23" t="n">
        <f aca="false">IF(AND(CC141=1,INT(N(H141))&lt;=Config!$B$7,DI141=1,EI141=0),1,0)</f>
        <v>0</v>
      </c>
      <c r="DR141" s="23" t="n">
        <f aca="false">IF(AND(CC141=1,INT(N(H141))&lt;=Config!$B$8,DJ141=1,EI141=0),1,0)</f>
        <v>0</v>
      </c>
      <c r="DS141" s="23" t="n">
        <f aca="false">IF(AND(CC141=1,INT(N(H141))&lt;=Config!$B$5,DK141=1,EI141=0),1,0)</f>
        <v>0</v>
      </c>
      <c r="DT141" s="23" t="n">
        <f aca="false">IF(AND(CC141=1,INT(N(H141))&lt;=Config!$B$6,DH141=0),1,0)</f>
        <v>0</v>
      </c>
      <c r="DU141" s="23" t="n">
        <f aca="false">IF(AND(CC141=1,INT(N(H141))&lt;=Config!$B$7,DI141=0),1,0)</f>
        <v>0</v>
      </c>
      <c r="DV141" s="23" t="n">
        <f aca="false">IF(AND(CC141=1,INT(N(H141))&lt;=Config!$B$8,DJ141=0),1,0)</f>
        <v>0</v>
      </c>
      <c r="DW141" s="23" t="n">
        <f aca="false">IF(AND(CC141=1,INT(N(H141))&lt;=Config!$B$5,DK141=0),1,0)</f>
        <v>0</v>
      </c>
      <c r="DX141" s="23" t="n">
        <f aca="false">IF(TRIM($A141)="",0,ISTEXT(M141)+ISTEXT(O141)+ISTEXT(Y141)+ISTEXT(Z141)+ISTEXT(AA141)+ISTEXT(AV141))</f>
        <v>0</v>
      </c>
      <c r="DY141" s="23" t="n">
        <f aca="false">IF(BB141=1,IF(H141&lt;&gt;INT(H141),1,0),0)</f>
        <v>0</v>
      </c>
      <c r="DZ141" s="23" t="str">
        <f aca="false">IF(TRIM($A141)="","",IF(TRIM(B141)="",SUBSTITUTE(SUBSTITUTE(SUBSTITUTE(SUBSTITUTE(SUBSTITUTE(SUBSTITUTE(LOWER(TRIM($A141)),"~",""),"*",""),"?",""),"&lt;",""),"&gt;",""),"=",""),SUBSTITUTE(SUBSTITUTE(SUBSTITUTE(SUBSTITUTE(SUBSTITUTE(SUBSTITUTE(LOWER(TRIM(B141)),"~",""),"*",""),"?",""),"&lt;",""),"&gt;",""),"=","")))</f>
        <v/>
      </c>
      <c r="EA141" s="23" t="str">
        <f aca="false">IF(CW141="","",IFERROR(IF(LEFT(LOWER(TRIM(INDEX(Clay_Offices!$A$2:$FZ$601,CW141,Sync!$C$19)&amp;"")),4)="grp-",SUBSTITUTE(SUBSTITUTE(SUBSTITUTE(SUBSTITUTE(SUBSTITUTE(SUBSTITUTE(LOWER(TRIM(INDEX(Clay_Offices!$A$2:$FZ$601,CW141,Sync!$C$19)&amp;"")),"~",""),"*",""),"?",""),"&lt;",""),"&gt;",""),"=",""),""),""))</f>
        <v/>
      </c>
      <c r="EB141" s="23" t="str">
        <f aca="false">IF(EA141&lt;&gt;"",DZ141,"")</f>
        <v/>
      </c>
      <c r="EC141" s="23" t="str">
        <f aca="false">IF(BC141=1,AZ141,"")</f>
        <v/>
      </c>
      <c r="ED141" s="23" t="str">
        <f aca="false">IF(TRIM($A141)="","",IFERROR(INDEX($A$2:$A$201,MATCH(AZ141,$EC$2:$EC$201,0))&amp;"",$A141&amp;""))</f>
        <v/>
      </c>
      <c r="EE141" s="23" t="n">
        <f aca="false">IF(BB141=1,IF(COUNTIFS($A$2:$A$201,$A141,$BB$2:$BB$201,1,$H$2:$H$201,"&lt;"&amp;H141)+COUNTIFS($A$2:$A$201,$A141,$BB$2:$BB$201,1,$H$2:$H$201,H141,$BA$2:$BA$201,"&lt;"&amp;BA141)=0,1,0),0)</f>
        <v>0</v>
      </c>
      <c r="EF141" s="23" t="n">
        <f aca="false">IF(BC141=1,IF(COUNTIFS($AZ$2:$AZ$201,AZ141,$EE$2:$EE$201,1)&gt;1,1,0),0)</f>
        <v>0</v>
      </c>
      <c r="EG141" s="23" t="n">
        <f aca="false">IF(AND(CQ141=1),IF(COUNTIFS($AZ$2:$AZ$201,AZ141,$CQ$2:$CQ$201,1,$H$2:$H$201,"&gt;"&amp;H141)+COUNTIFS($AZ$2:$AZ$201,AZ141,$CQ$2:$CQ$201,1,$H$2:$H$201,H141,$BA$2:$BA$201,"&gt;"&amp;BA141)=0,1,0),0)</f>
        <v>0</v>
      </c>
      <c r="EH141" s="23" t="str">
        <f aca="false">IF(BB141=1,IF(COUNTIFS($AZ$2:$AZ$201,AZ141,$EG$2:$EG$201,1)=0,"",SUMIFS($O$2:$O$201,$AZ$2:$AZ$201,AZ141,$EG$2:$EG$201,1)),"")</f>
        <v/>
      </c>
      <c r="EI141" s="23" t="n">
        <f aca="false">IF(AND(ISNUMBER(EH141),OR(N(EH141)&lt;Config!$B$31,N(EH141)&gt;Config!$B$33)),1,0)</f>
        <v>0</v>
      </c>
      <c r="EJ141" s="23" t="n">
        <f aca="false">IF(AND(ISNUMBER(EH141),N(EH141)&gt;=Config!$B$31,N(EH141)&lt;Config!$B$32),1,0)</f>
        <v>0</v>
      </c>
      <c r="EK141" s="23" t="n">
        <f aca="false">IF(AND(BF141=1,INT(N(H141))&lt;=Config!$B$6,DH141=1,EI141=1),1,0)</f>
        <v>0</v>
      </c>
      <c r="EL141" s="23" t="n">
        <f aca="false">IF(AND(BF141=1,INT(N(H141))&lt;=Config!$B$7,DI141=1,EI141=1),1,0)</f>
        <v>0</v>
      </c>
      <c r="EM141" s="23" t="n">
        <f aca="false">IF(AND(BF141=1,INT(N(H141))&lt;=Config!$B$8,DJ141=1,EI141=1),1,0)</f>
        <v>0</v>
      </c>
      <c r="EN141" s="23" t="n">
        <f aca="false">IF(AND(BF141=1,INT(N(H141))&lt;=Config!$B$5,DK141=1,EI141=1),1,0)</f>
        <v>0</v>
      </c>
      <c r="EO141" s="23" t="n">
        <f aca="false">IF(AND(DL141=1,EJ141=1),1,0)</f>
        <v>0</v>
      </c>
      <c r="EP141" s="23" t="n">
        <f aca="false">IF(AND(DM141=1,EJ141=1),1,0)</f>
        <v>0</v>
      </c>
      <c r="EQ141" s="23" t="n">
        <f aca="false">IF(AND(DN141=1,EJ141=1),1,0)</f>
        <v>0</v>
      </c>
      <c r="ER141" s="23" t="n">
        <f aca="false">IF(AND(DO141=1,EJ141=1),1,0)</f>
        <v>0</v>
      </c>
    </row>
    <row r="142" customFormat="false" ht="15" hidden="false" customHeight="false" outlineLevel="0" collapsed="false">
      <c r="G142" s="32"/>
      <c r="H142" s="33"/>
      <c r="I142" s="32"/>
      <c r="L142" s="32"/>
      <c r="Q142" s="32"/>
      <c r="U142" s="32"/>
      <c r="W142" s="32"/>
      <c r="AC142" s="32"/>
      <c r="AF142" s="32"/>
      <c r="AI142" s="32"/>
      <c r="AJ142" s="32"/>
      <c r="AN142" s="32"/>
      <c r="AR142" s="32"/>
      <c r="AT142" s="32"/>
      <c r="AU142" s="32"/>
      <c r="AW142" s="32"/>
      <c r="AY142" s="34" t="str">
        <f aca="false">IF(TRIM($A142)="","",IF(AND(LEFT($A142,6)="SAMPLE",Config!$B$19&lt;&gt;"Y"),"",IF(NOT(ISNUMBER(H142)),"call_date is blank or not a date",IF(Sync!$C$5="","Clay paste is empty or has no row_id column: paste the Clay export on Clay_Offices",IF(CW142="","row_id not found in the Clay paste: add the Clay row or fix the row_id",IF(AND(ISNUMBER(CY142),CY142&gt;=1,CY142&lt;=5),"Clay status is "&amp;CX142&amp;": set call_done or later",IF(AND(BD142=1,CZ142&lt;&gt;BZ142),"Clay yes_in_principle should be "&amp;BZ142,IF(AND(BD142=1,DA142&lt;&gt;H142),"Clay call_date should be "&amp;TEXT(H142,"yyyy-mm-dd"),""))))))))</f>
        <v/>
      </c>
      <c r="AZ142" s="23" t="str">
        <f aca="false">IF(TRIM($A142)="","",IF(TRIM(C142)&lt;&gt;"",SUBSTITUTE(SUBSTITUTE(SUBSTITUTE(SUBSTITUTE(SUBSTITUTE(SUBSTITUTE(LOWER(TRIM(C142)),"~",""),"*",""),"?",""),"&lt;",""),"&gt;",""),"=",""),IF(EA142&lt;&gt;"",EA142,IFERROR(INDEX($EA$2:$EA$201,MATCH(DZ142,$EB$2:$EB$201,0)),DZ142))))</f>
        <v/>
      </c>
      <c r="BA142" s="23" t="n">
        <f aca="false">ROW()</f>
        <v>142</v>
      </c>
      <c r="BB142" s="23" t="n">
        <f aca="false">IF(AND(TRIM($A142)&lt;&gt;"",ISNUMBER(H142)),IF(AND(LEFT($A142,6)="SAMPLE",Config!$B$19&lt;&gt;"Y"),0,1),0)</f>
        <v>0</v>
      </c>
      <c r="BC142" s="23" t="n">
        <f aca="false">IF(BB142=1,IF(COUNTIFS($AZ$2:$AZ$201,AZ142,$BB$2:$BB$201,1,$H$2:$H$201,"&lt;"&amp;H142)+COUNTIFS($AZ$2:$AZ$201,AZ142,$BB$2:$BB$201,1,$H$2:$H$201,H142,$BA$2:$BA$201,"&lt;"&amp;BA142)=0,1,0),0)</f>
        <v>0</v>
      </c>
      <c r="BD142" s="23" t="n">
        <f aca="false">IF(BB142=1,IF(COUNTIFS($A$2:$A$201,$A142,$BB$2:$BB$201,1,$H$2:$H$201,"&gt;"&amp;H142)+COUNTIFS($A$2:$A$201,$A142,$BB$2:$BB$201,1,$H$2:$H$201,H142,$BA$2:$BA$201,"&gt;"&amp;BA142)=0,1,0),0)</f>
        <v>0</v>
      </c>
      <c r="BE142" s="23" t="n">
        <f aca="false">IF(AND(BB142=1,AR142="Y",AC142="Y",TRIM(AH142)&lt;&gt;""),1,0)</f>
        <v>0</v>
      </c>
      <c r="BF142" s="23" t="n">
        <f aca="false">IF(BE142=1,IF(COUNTIFS($AZ$2:$AZ$201,AZ142,$BE$2:$BE$201,1,$H$2:$H$201,"&lt;"&amp;H142)+COUNTIFS($AZ$2:$AZ$201,AZ142,$BE$2:$BE$201,1,$H$2:$H$201,H142,$BA$2:$BA$201,"&lt;"&amp;BA142)=0,1,0),0)</f>
        <v>0</v>
      </c>
      <c r="BG142" s="23" t="n">
        <f aca="false">IF(AND(BB142=1,AR142="Y",BE142=0),1,0)</f>
        <v>0</v>
      </c>
      <c r="BH142" s="23" t="n">
        <f aca="false">IF(AND(BB142=1,ISNUMBER(Y142)),1,0)</f>
        <v>0</v>
      </c>
      <c r="BI142" s="23" t="n">
        <f aca="false">IF(BH142=1,IF(COUNTIFS($AZ$2:$AZ$201,AZ142,$BH$2:$BH$201,1,$H$2:$H$201,"&lt;"&amp;H142)+COUNTIFS($AZ$2:$AZ$201,AZ142,$BH$2:$BH$201,1,$H$2:$H$201,H142,$BA$2:$BA$201,"&lt;"&amp;BA142)=0,1,0),0)</f>
        <v>0</v>
      </c>
      <c r="BJ142" s="23" t="str">
        <f aca="false">IF(AND(BI142=1,INT(N(H142))&lt;=Config!$B$6),Y142,"")</f>
        <v/>
      </c>
      <c r="BK142" s="23" t="str">
        <f aca="false">IF(AND(BI142=1,INT(N(H142))&lt;=Config!$B$7),Y142,"")</f>
        <v/>
      </c>
      <c r="BL142" s="23" t="str">
        <f aca="false">IF(AND(BI142=1,INT(N(H142))&lt;=Config!$B$8),Y142,"")</f>
        <v/>
      </c>
      <c r="BM142" s="23" t="str">
        <f aca="false">IF(AND(BI142=1,INT(N(H142))&lt;=Config!$B$5),Y142,"")</f>
        <v/>
      </c>
      <c r="BN142" s="23" t="n">
        <f aca="false">IF(CD142=1,IF(COUNTIFS($AZ$2:$AZ$201,AZ142,$CD$2:$CD$201,1,$H$2:$H$201,"&lt;"&amp;H142)+COUNTIFS($AZ$2:$AZ$201,AZ142,$CD$2:$CD$201,1,$H$2:$H$201,H142,$BA$2:$BA$201,"&lt;"&amp;BA142)=0,1,0),0)</f>
        <v>0</v>
      </c>
      <c r="BO142" s="23" t="n">
        <f aca="false">IF(AND(BB142=1,ISNUMBER(M142)),1,0)</f>
        <v>0</v>
      </c>
      <c r="BP142" s="23" t="n">
        <f aca="false">IF(BO142=1,IF(COUNTIFS($AZ$2:$AZ$201,AZ142,$BO$2:$BO$201,1,$H$2:$H$201,"&lt;"&amp;H142)+COUNTIFS($AZ$2:$AZ$201,AZ142,$BO$2:$BO$201,1,$H$2:$H$201,H142,$BA$2:$BA$201,"&lt;"&amp;BA142)=0,1,0),0)</f>
        <v>0</v>
      </c>
      <c r="BQ142" s="23" t="str">
        <f aca="false">IF(AND(BP142=1,INT(N(H142))&lt;=Config!$B$5),M142,"")</f>
        <v/>
      </c>
      <c r="BR142" s="23" t="n">
        <f aca="false">IF(AND(BB142=1,OR(TRIM(X142)&lt;&gt;"",ISNUMBER(Y142))),1,0)</f>
        <v>0</v>
      </c>
      <c r="BS142" s="23" t="n">
        <f aca="false">IF(BR142=1,IF(COUNTIFS($AZ$2:$AZ$201,AZ142,$BR$2:$BR$201,1,$H$2:$H$201,"&lt;"&amp;H142)+COUNTIFS($AZ$2:$AZ$201,AZ142,$BR$2:$BR$201,1,$H$2:$H$201,H142,$BA$2:$BA$201,"&lt;"&amp;BA142)=0,1,0),0)</f>
        <v>0</v>
      </c>
      <c r="BT142" s="23" t="str">
        <f aca="false">IF(BS142=1,AZ142,"")</f>
        <v/>
      </c>
      <c r="BU142" s="23" t="n">
        <f aca="false">IF(AND(BB142=1,W142="Y",TRIM(X142)=""),1,0)</f>
        <v>0</v>
      </c>
      <c r="BV142" s="23" t="str">
        <f aca="false">IF(BB142=1,AN142&amp;"","")</f>
        <v/>
      </c>
      <c r="BW142" s="23" t="str">
        <f aca="false">IF(BB142=1,AO142&amp;"","")</f>
        <v/>
      </c>
      <c r="BX142" s="23" t="str">
        <f aca="false">IF(BB142=1,AP142&amp;"","")</f>
        <v/>
      </c>
      <c r="BY142" s="23" t="str">
        <f aca="false">IF(AND(BB142=1,ISNUMBER(AV142),INT(N(H142))&lt;=Config!$B$5),AV142,"")</f>
        <v/>
      </c>
      <c r="BZ142" s="23" t="str">
        <f aca="false">IF(BB142=1,IF(COUNTIFS($A$2:$A$201,$A142,$DC$2:$DC$201,1,$AR$2:$AR$201,"Y")&gt;0,"Y","N"),"")</f>
        <v/>
      </c>
      <c r="CA142" s="23" t="n">
        <f aca="false">IF(AND(BB142=1,AR142="maybe"),1,0)</f>
        <v>0</v>
      </c>
      <c r="CB142" s="23" t="n">
        <f aca="false">IF(CA142=1,IF(COUNTIFS($AZ$2:$AZ$201,AZ142,$CA$2:$CA$201,1,$H$2:$H$201,"&lt;"&amp;H142)+COUNTIFS($AZ$2:$AZ$201,AZ142,$CA$2:$CA$201,1,$H$2:$H$201,H142,$BA$2:$BA$201,"&lt;"&amp;BA142)=0,1,0),0)</f>
        <v>0</v>
      </c>
      <c r="CC142" s="23" t="n">
        <f aca="false">IF(AND(BB142=1,AR142="Y"),IF(COUNTIFS($AZ$2:$AZ$201,AZ142,$AR$2:$AR$201,"Y",$BB$2:$BB$201,1,$H$2:$H$201,"&lt;"&amp;H142)+COUNTIFS($AZ$2:$AZ$201,AZ142,$AR$2:$AR$201,"Y",$BB$2:$BB$201,1,$H$2:$H$201,H142,$BA$2:$BA$201,"&lt;"&amp;BA142)=0,1,0),0)</f>
        <v>0</v>
      </c>
      <c r="CD142" s="23" t="n">
        <f aca="false">IF(AND(BH142=1,N(Y142)&gt;=Config!$B$15),1,0)</f>
        <v>0</v>
      </c>
      <c r="CE142" s="23" t="n">
        <f aca="false">IF(AND(BB142=1,AT142="Y"),1,0)</f>
        <v>0</v>
      </c>
      <c r="CF142" s="23" t="n">
        <f aca="false">IF(CE142=1,IF(COUNTIFS($AZ$2:$AZ$201,AZ142,$CE$2:$CE$201,1,$H$2:$H$201,"&lt;"&amp;H142)+COUNTIFS($AZ$2:$AZ$201,AZ142,$CE$2:$CE$201,1,$H$2:$H$201,H142,$BA$2:$BA$201,"&lt;"&amp;BA142)=0,1,0),0)</f>
        <v>0</v>
      </c>
      <c r="CG142" s="23" t="n">
        <f aca="false">IF(AND(BB142=1,G142="warm-intro"),1,0)</f>
        <v>0</v>
      </c>
      <c r="CH142" s="23" t="n">
        <f aca="false">IF(CG142=1,IF(COUNTIFS($AZ$2:$AZ$201,AZ142,$CG$2:$CG$201,1,$H$2:$H$201,"&lt;"&amp;H142)+COUNTIFS($AZ$2:$AZ$201,AZ142,$CG$2:$CG$201,1,$H$2:$H$201,H142,$BA$2:$BA$201,"&lt;"&amp;BA142)=0,1,0),0)</f>
        <v>0</v>
      </c>
      <c r="CI142" s="23" t="n">
        <f aca="false">IF(AND(BB142=1,Q142="Y"),1,0)</f>
        <v>0</v>
      </c>
      <c r="CJ142" s="23" t="n">
        <f aca="false">IF(CI142=1,IF(COUNTIFS($AZ$2:$AZ$201,AZ142,$CI$2:$CI$201,1,$H$2:$H$201,"&lt;"&amp;H142)+COUNTIFS($AZ$2:$AZ$201,AZ142,$CI$2:$CI$201,1,$H$2:$H$201,H142,$BA$2:$BA$201,"&lt;"&amp;BA142)=0,1,0),0)</f>
        <v>0</v>
      </c>
      <c r="CK142" s="23" t="n">
        <f aca="false">IF(AND(BB142=1,AF142="Y"),1,0)</f>
        <v>0</v>
      </c>
      <c r="CL142" s="23" t="n">
        <f aca="false">IF(CK142=1,IF(COUNTIFS($AZ$2:$AZ$201,AZ142,$CK$2:$CK$201,1,$H$2:$H$201,"&lt;"&amp;H142)+COUNTIFS($AZ$2:$AZ$201,AZ142,$CK$2:$CK$201,1,$H$2:$H$201,H142,$BA$2:$BA$201,"&lt;"&amp;BA142)=0,1,0),0)</f>
        <v>0</v>
      </c>
      <c r="CM142" s="23" t="n">
        <f aca="false">IF(AND(BB142=1,U142="Y"),1,0)</f>
        <v>0</v>
      </c>
      <c r="CN142" s="23" t="n">
        <f aca="false">IF(CM142=1,IF(COUNTIFS($AZ$2:$AZ$201,AZ142,$CM$2:$CM$201,1,$H$2:$H$201,"&lt;"&amp;H142)+COUNTIFS($AZ$2:$AZ$201,AZ142,$CM$2:$CM$201,1,$H$2:$H$201,H142,$BA$2:$BA$201,"&lt;"&amp;BA142)=0,1,0),0)</f>
        <v>0</v>
      </c>
      <c r="CO142" s="23" t="n">
        <f aca="false">IF(AND(BB142=1,L142="Y"),1,0)</f>
        <v>0</v>
      </c>
      <c r="CP142" s="23" t="n">
        <f aca="false">IF(CO142=1,IF(COUNTIFS($AZ$2:$AZ$201,AZ142,$CO$2:$CO$201,1,$H$2:$H$201,"&lt;"&amp;H142)+COUNTIFS($AZ$2:$AZ$201,AZ142,$CO$2:$CO$201,1,$H$2:$H$201,H142,$BA$2:$BA$201,"&lt;"&amp;BA142)=0,1,0),0)</f>
        <v>0</v>
      </c>
      <c r="CQ142" s="23" t="n">
        <f aca="false">IF(AND(BB142=1,ISNUMBER(O142)),1,0)</f>
        <v>0</v>
      </c>
      <c r="CR142" s="23" t="n">
        <f aca="false">IF(CQ142=1,IF(COUNTIFS($AZ$2:$AZ$201,AZ142,$CQ$2:$CQ$201,1,$H$2:$H$201,"&lt;"&amp;H142)+COUNTIFS($AZ$2:$AZ$201,AZ142,$CQ$2:$CQ$201,1,$H$2:$H$201,H142,$BA$2:$BA$201,"&lt;"&amp;BA142)=0,1,0),0)</f>
        <v>0</v>
      </c>
      <c r="CS142" s="23" t="str">
        <f aca="false">IF(AND(CR142=1,INT(N(H142))&lt;=Config!$B$5),O142,"")</f>
        <v/>
      </c>
      <c r="CT142" s="23" t="str">
        <f aca="false">IF(AND(BB142=1,INT(N(H142))&lt;=Config!$B$5),AG142&amp;"","")</f>
        <v/>
      </c>
      <c r="CU142" s="23" t="n">
        <f aca="false">IF(AND(BB142=1,AU142="Y"),1,0)</f>
        <v>0</v>
      </c>
      <c r="CV142" s="23" t="n">
        <f aca="false">IF(CU142=1,IF(COUNTIFS($AZ$2:$AZ$201,AZ142,$CU$2:$CU$201,1,$H$2:$H$201,"&lt;"&amp;H142)+COUNTIFS($AZ$2:$AZ$201,AZ142,$CU$2:$CU$201,1,$H$2:$H$201,H142,$BA$2:$BA$201,"&lt;"&amp;BA142)=0,1,0),0)</f>
        <v>0</v>
      </c>
      <c r="CW142" s="23" t="str">
        <f aca="false">IF(BB142=1,IFERROR(MATCH($A142,INDEX(Clay_Offices!$A$2:$FZ$601,0,Sync!$C$5),0),""),"")</f>
        <v/>
      </c>
      <c r="CX142" s="23" t="str">
        <f aca="false">IF(CW142="","",IFERROR(INDEX(Clay_Offices!$A$2:$FZ$601,CW142,Sync!$C$7)&amp;"",""))</f>
        <v/>
      </c>
      <c r="CY142" s="23" t="str">
        <f aca="false">IF(CX142="","",IFERROR(INDEX(Lists!$K$2:$K$15,MATCH(CX142,Lists!$J$2:$J$15,0)),""))</f>
        <v/>
      </c>
      <c r="CZ142" s="23" t="str">
        <f aca="false">IF(CW142="","",IFERROR(INDEX(Clay_Offices!$A$2:$FZ$601,CW142,Sync!$C$17)&amp;"",""))</f>
        <v/>
      </c>
      <c r="DA142" s="35" t="str">
        <f aca="false">IF(CW142="","",IFERROR(N(INDEX(Clay_Offices!$A$2:$FZ$601,CW142,Sync!$C$16)),0))</f>
        <v/>
      </c>
      <c r="DB142" s="23" t="n">
        <f aca="false">IF(AND(BB142=1,OR(AR142="Y",AR142="N",AR142="maybe")),1,0)</f>
        <v>0</v>
      </c>
      <c r="DC142" s="23" t="n">
        <f aca="false">IF(AND(DB142=1),IF(COUNTIFS($A$2:$A$201,$A142,$DB$2:$DB$201,1,$H$2:$H$201,"&gt;"&amp;H142)+COUNTIFS($A$2:$A$201,$A142,$DB$2:$DB$201,1,$H$2:$H$201,H142,$BA$2:$BA$201,"&gt;"&amp;BA142)=0,1,0),0)</f>
        <v>0</v>
      </c>
      <c r="DD142" s="23" t="n">
        <f aca="false">IF(AND(DB142=1,INT(N(H142))&lt;=Config!$B$6),IF(COUNTIFS($AZ$2:$AZ$201,AZ142,$DB$2:$DB$201,1,$H$2:$H$201,"&gt;"&amp;H142,$H$2:$H$201,"&lt;"&amp;(Config!$B$6+1))+COUNTIFS($AZ$2:$AZ$201,AZ142,$DB$2:$DB$201,1,$H$2:$H$201,H142,$BA$2:$BA$201,"&gt;"&amp;BA142)=0,1,0),0)</f>
        <v>0</v>
      </c>
      <c r="DE142" s="23" t="n">
        <f aca="false">IF(AND(DB142=1,INT(N(H142))&lt;=Config!$B$7),IF(COUNTIFS($AZ$2:$AZ$201,AZ142,$DB$2:$DB$201,1,$H$2:$H$201,"&gt;"&amp;H142,$H$2:$H$201,"&lt;"&amp;(Config!$B$7+1))+COUNTIFS($AZ$2:$AZ$201,AZ142,$DB$2:$DB$201,1,$H$2:$H$201,H142,$BA$2:$BA$201,"&gt;"&amp;BA142)=0,1,0),0)</f>
        <v>0</v>
      </c>
      <c r="DF142" s="23" t="n">
        <f aca="false">IF(AND(DB142=1,INT(N(H142))&lt;=Config!$B$8),IF(COUNTIFS($AZ$2:$AZ$201,AZ142,$DB$2:$DB$201,1,$H$2:$H$201,"&gt;"&amp;H142,$H$2:$H$201,"&lt;"&amp;(Config!$B$8+1))+COUNTIFS($AZ$2:$AZ$201,AZ142,$DB$2:$DB$201,1,$H$2:$H$201,H142,$BA$2:$BA$201,"&gt;"&amp;BA142)=0,1,0),0)</f>
        <v>0</v>
      </c>
      <c r="DG142" s="23" t="n">
        <f aca="false">IF(AND(DB142=1,INT(N(H142))&lt;=Config!$B$5),IF(COUNTIFS($AZ$2:$AZ$201,AZ142,$DB$2:$DB$201,1,$H$2:$H$201,"&gt;"&amp;H142,$H$2:$H$201,"&lt;"&amp;(Config!$B$5+1))+COUNTIFS($AZ$2:$AZ$201,AZ142,$DB$2:$DB$201,1,$H$2:$H$201,H142,$BA$2:$BA$201,"&gt;"&amp;BA142)=0,1,0),0)</f>
        <v>0</v>
      </c>
      <c r="DH142" s="23" t="n">
        <f aca="false">IF(BB142=1,IF(COUNTIFS($AZ$2:$AZ$201,AZ142,$DD$2:$DD$201,1,$AR$2:$AR$201,"Y")&gt;0,1,0),0)</f>
        <v>0</v>
      </c>
      <c r="DI142" s="23" t="n">
        <f aca="false">IF(BB142=1,IF(COUNTIFS($AZ$2:$AZ$201,AZ142,$DE$2:$DE$201,1,$AR$2:$AR$201,"Y")&gt;0,1,0),0)</f>
        <v>0</v>
      </c>
      <c r="DJ142" s="23" t="n">
        <f aca="false">IF(BB142=1,IF(COUNTIFS($AZ$2:$AZ$201,AZ142,$DF$2:$DF$201,1,$AR$2:$AR$201,"Y")&gt;0,1,0),0)</f>
        <v>0</v>
      </c>
      <c r="DK142" s="23" t="n">
        <f aca="false">IF(BB142=1,IF(COUNTIFS($AZ$2:$AZ$201,AZ142,$DG$2:$DG$201,1,$AR$2:$AR$201,"Y")&gt;0,1,0),0)</f>
        <v>0</v>
      </c>
      <c r="DL142" s="23" t="n">
        <f aca="false">IF(AND(BF142=1,INT(N(H142))&lt;=Config!$B$6,DH142=1,EI142=0),1,0)</f>
        <v>0</v>
      </c>
      <c r="DM142" s="23" t="n">
        <f aca="false">IF(AND(BF142=1,INT(N(H142))&lt;=Config!$B$7,DI142=1,EI142=0),1,0)</f>
        <v>0</v>
      </c>
      <c r="DN142" s="23" t="n">
        <f aca="false">IF(AND(BF142=1,INT(N(H142))&lt;=Config!$B$8,DJ142=1,EI142=0),1,0)</f>
        <v>0</v>
      </c>
      <c r="DO142" s="23" t="n">
        <f aca="false">IF(AND(BF142=1,INT(N(H142))&lt;=Config!$B$5,DK142=1,EI142=0),1,0)</f>
        <v>0</v>
      </c>
      <c r="DP142" s="23" t="n">
        <f aca="false">IF(AND(CC142=1,INT(N(H142))&lt;=Config!$B$6,DH142=1,EI142=0),1,0)</f>
        <v>0</v>
      </c>
      <c r="DQ142" s="23" t="n">
        <f aca="false">IF(AND(CC142=1,INT(N(H142))&lt;=Config!$B$7,DI142=1,EI142=0),1,0)</f>
        <v>0</v>
      </c>
      <c r="DR142" s="23" t="n">
        <f aca="false">IF(AND(CC142=1,INT(N(H142))&lt;=Config!$B$8,DJ142=1,EI142=0),1,0)</f>
        <v>0</v>
      </c>
      <c r="DS142" s="23" t="n">
        <f aca="false">IF(AND(CC142=1,INT(N(H142))&lt;=Config!$B$5,DK142=1,EI142=0),1,0)</f>
        <v>0</v>
      </c>
      <c r="DT142" s="23" t="n">
        <f aca="false">IF(AND(CC142=1,INT(N(H142))&lt;=Config!$B$6,DH142=0),1,0)</f>
        <v>0</v>
      </c>
      <c r="DU142" s="23" t="n">
        <f aca="false">IF(AND(CC142=1,INT(N(H142))&lt;=Config!$B$7,DI142=0),1,0)</f>
        <v>0</v>
      </c>
      <c r="DV142" s="23" t="n">
        <f aca="false">IF(AND(CC142=1,INT(N(H142))&lt;=Config!$B$8,DJ142=0),1,0)</f>
        <v>0</v>
      </c>
      <c r="DW142" s="23" t="n">
        <f aca="false">IF(AND(CC142=1,INT(N(H142))&lt;=Config!$B$5,DK142=0),1,0)</f>
        <v>0</v>
      </c>
      <c r="DX142" s="23" t="n">
        <f aca="false">IF(TRIM($A142)="",0,ISTEXT(M142)+ISTEXT(O142)+ISTEXT(Y142)+ISTEXT(Z142)+ISTEXT(AA142)+ISTEXT(AV142))</f>
        <v>0</v>
      </c>
      <c r="DY142" s="23" t="n">
        <f aca="false">IF(BB142=1,IF(H142&lt;&gt;INT(H142),1,0),0)</f>
        <v>0</v>
      </c>
      <c r="DZ142" s="23" t="str">
        <f aca="false">IF(TRIM($A142)="","",IF(TRIM(B142)="",SUBSTITUTE(SUBSTITUTE(SUBSTITUTE(SUBSTITUTE(SUBSTITUTE(SUBSTITUTE(LOWER(TRIM($A142)),"~",""),"*",""),"?",""),"&lt;",""),"&gt;",""),"=",""),SUBSTITUTE(SUBSTITUTE(SUBSTITUTE(SUBSTITUTE(SUBSTITUTE(SUBSTITUTE(LOWER(TRIM(B142)),"~",""),"*",""),"?",""),"&lt;",""),"&gt;",""),"=","")))</f>
        <v/>
      </c>
      <c r="EA142" s="23" t="str">
        <f aca="false">IF(CW142="","",IFERROR(IF(LEFT(LOWER(TRIM(INDEX(Clay_Offices!$A$2:$FZ$601,CW142,Sync!$C$19)&amp;"")),4)="grp-",SUBSTITUTE(SUBSTITUTE(SUBSTITUTE(SUBSTITUTE(SUBSTITUTE(SUBSTITUTE(LOWER(TRIM(INDEX(Clay_Offices!$A$2:$FZ$601,CW142,Sync!$C$19)&amp;"")),"~",""),"*",""),"?",""),"&lt;",""),"&gt;",""),"=",""),""),""))</f>
        <v/>
      </c>
      <c r="EB142" s="23" t="str">
        <f aca="false">IF(EA142&lt;&gt;"",DZ142,"")</f>
        <v/>
      </c>
      <c r="EC142" s="23" t="str">
        <f aca="false">IF(BC142=1,AZ142,"")</f>
        <v/>
      </c>
      <c r="ED142" s="23" t="str">
        <f aca="false">IF(TRIM($A142)="","",IFERROR(INDEX($A$2:$A$201,MATCH(AZ142,$EC$2:$EC$201,0))&amp;"",$A142&amp;""))</f>
        <v/>
      </c>
      <c r="EE142" s="23" t="n">
        <f aca="false">IF(BB142=1,IF(COUNTIFS($A$2:$A$201,$A142,$BB$2:$BB$201,1,$H$2:$H$201,"&lt;"&amp;H142)+COUNTIFS($A$2:$A$201,$A142,$BB$2:$BB$201,1,$H$2:$H$201,H142,$BA$2:$BA$201,"&lt;"&amp;BA142)=0,1,0),0)</f>
        <v>0</v>
      </c>
      <c r="EF142" s="23" t="n">
        <f aca="false">IF(BC142=1,IF(COUNTIFS($AZ$2:$AZ$201,AZ142,$EE$2:$EE$201,1)&gt;1,1,0),0)</f>
        <v>0</v>
      </c>
      <c r="EG142" s="23" t="n">
        <f aca="false">IF(AND(CQ142=1),IF(COUNTIFS($AZ$2:$AZ$201,AZ142,$CQ$2:$CQ$201,1,$H$2:$H$201,"&gt;"&amp;H142)+COUNTIFS($AZ$2:$AZ$201,AZ142,$CQ$2:$CQ$201,1,$H$2:$H$201,H142,$BA$2:$BA$201,"&gt;"&amp;BA142)=0,1,0),0)</f>
        <v>0</v>
      </c>
      <c r="EH142" s="23" t="str">
        <f aca="false">IF(BB142=1,IF(COUNTIFS($AZ$2:$AZ$201,AZ142,$EG$2:$EG$201,1)=0,"",SUMIFS($O$2:$O$201,$AZ$2:$AZ$201,AZ142,$EG$2:$EG$201,1)),"")</f>
        <v/>
      </c>
      <c r="EI142" s="23" t="n">
        <f aca="false">IF(AND(ISNUMBER(EH142),OR(N(EH142)&lt;Config!$B$31,N(EH142)&gt;Config!$B$33)),1,0)</f>
        <v>0</v>
      </c>
      <c r="EJ142" s="23" t="n">
        <f aca="false">IF(AND(ISNUMBER(EH142),N(EH142)&gt;=Config!$B$31,N(EH142)&lt;Config!$B$32),1,0)</f>
        <v>0</v>
      </c>
      <c r="EK142" s="23" t="n">
        <f aca="false">IF(AND(BF142=1,INT(N(H142))&lt;=Config!$B$6,DH142=1,EI142=1),1,0)</f>
        <v>0</v>
      </c>
      <c r="EL142" s="23" t="n">
        <f aca="false">IF(AND(BF142=1,INT(N(H142))&lt;=Config!$B$7,DI142=1,EI142=1),1,0)</f>
        <v>0</v>
      </c>
      <c r="EM142" s="23" t="n">
        <f aca="false">IF(AND(BF142=1,INT(N(H142))&lt;=Config!$B$8,DJ142=1,EI142=1),1,0)</f>
        <v>0</v>
      </c>
      <c r="EN142" s="23" t="n">
        <f aca="false">IF(AND(BF142=1,INT(N(H142))&lt;=Config!$B$5,DK142=1,EI142=1),1,0)</f>
        <v>0</v>
      </c>
      <c r="EO142" s="23" t="n">
        <f aca="false">IF(AND(DL142=1,EJ142=1),1,0)</f>
        <v>0</v>
      </c>
      <c r="EP142" s="23" t="n">
        <f aca="false">IF(AND(DM142=1,EJ142=1),1,0)</f>
        <v>0</v>
      </c>
      <c r="EQ142" s="23" t="n">
        <f aca="false">IF(AND(DN142=1,EJ142=1),1,0)</f>
        <v>0</v>
      </c>
      <c r="ER142" s="23" t="n">
        <f aca="false">IF(AND(DO142=1,EJ142=1),1,0)</f>
        <v>0</v>
      </c>
    </row>
    <row r="143" customFormat="false" ht="15" hidden="false" customHeight="false" outlineLevel="0" collapsed="false">
      <c r="G143" s="32"/>
      <c r="H143" s="33"/>
      <c r="I143" s="32"/>
      <c r="L143" s="32"/>
      <c r="Q143" s="32"/>
      <c r="U143" s="32"/>
      <c r="W143" s="32"/>
      <c r="AC143" s="32"/>
      <c r="AF143" s="32"/>
      <c r="AI143" s="32"/>
      <c r="AJ143" s="32"/>
      <c r="AN143" s="32"/>
      <c r="AR143" s="32"/>
      <c r="AT143" s="32"/>
      <c r="AU143" s="32"/>
      <c r="AW143" s="32"/>
      <c r="AY143" s="34" t="str">
        <f aca="false">IF(TRIM($A143)="","",IF(AND(LEFT($A143,6)="SAMPLE",Config!$B$19&lt;&gt;"Y"),"",IF(NOT(ISNUMBER(H143)),"call_date is blank or not a date",IF(Sync!$C$5="","Clay paste is empty or has no row_id column: paste the Clay export on Clay_Offices",IF(CW143="","row_id not found in the Clay paste: add the Clay row or fix the row_id",IF(AND(ISNUMBER(CY143),CY143&gt;=1,CY143&lt;=5),"Clay status is "&amp;CX143&amp;": set call_done or later",IF(AND(BD143=1,CZ143&lt;&gt;BZ143),"Clay yes_in_principle should be "&amp;BZ143,IF(AND(BD143=1,DA143&lt;&gt;H143),"Clay call_date should be "&amp;TEXT(H143,"yyyy-mm-dd"),""))))))))</f>
        <v/>
      </c>
      <c r="AZ143" s="23" t="str">
        <f aca="false">IF(TRIM($A143)="","",IF(TRIM(C143)&lt;&gt;"",SUBSTITUTE(SUBSTITUTE(SUBSTITUTE(SUBSTITUTE(SUBSTITUTE(SUBSTITUTE(LOWER(TRIM(C143)),"~",""),"*",""),"?",""),"&lt;",""),"&gt;",""),"=",""),IF(EA143&lt;&gt;"",EA143,IFERROR(INDEX($EA$2:$EA$201,MATCH(DZ143,$EB$2:$EB$201,0)),DZ143))))</f>
        <v/>
      </c>
      <c r="BA143" s="23" t="n">
        <f aca="false">ROW()</f>
        <v>143</v>
      </c>
      <c r="BB143" s="23" t="n">
        <f aca="false">IF(AND(TRIM($A143)&lt;&gt;"",ISNUMBER(H143)),IF(AND(LEFT($A143,6)="SAMPLE",Config!$B$19&lt;&gt;"Y"),0,1),0)</f>
        <v>0</v>
      </c>
      <c r="BC143" s="23" t="n">
        <f aca="false">IF(BB143=1,IF(COUNTIFS($AZ$2:$AZ$201,AZ143,$BB$2:$BB$201,1,$H$2:$H$201,"&lt;"&amp;H143)+COUNTIFS($AZ$2:$AZ$201,AZ143,$BB$2:$BB$201,1,$H$2:$H$201,H143,$BA$2:$BA$201,"&lt;"&amp;BA143)=0,1,0),0)</f>
        <v>0</v>
      </c>
      <c r="BD143" s="23" t="n">
        <f aca="false">IF(BB143=1,IF(COUNTIFS($A$2:$A$201,$A143,$BB$2:$BB$201,1,$H$2:$H$201,"&gt;"&amp;H143)+COUNTIFS($A$2:$A$201,$A143,$BB$2:$BB$201,1,$H$2:$H$201,H143,$BA$2:$BA$201,"&gt;"&amp;BA143)=0,1,0),0)</f>
        <v>0</v>
      </c>
      <c r="BE143" s="23" t="n">
        <f aca="false">IF(AND(BB143=1,AR143="Y",AC143="Y",TRIM(AH143)&lt;&gt;""),1,0)</f>
        <v>0</v>
      </c>
      <c r="BF143" s="23" t="n">
        <f aca="false">IF(BE143=1,IF(COUNTIFS($AZ$2:$AZ$201,AZ143,$BE$2:$BE$201,1,$H$2:$H$201,"&lt;"&amp;H143)+COUNTIFS($AZ$2:$AZ$201,AZ143,$BE$2:$BE$201,1,$H$2:$H$201,H143,$BA$2:$BA$201,"&lt;"&amp;BA143)=0,1,0),0)</f>
        <v>0</v>
      </c>
      <c r="BG143" s="23" t="n">
        <f aca="false">IF(AND(BB143=1,AR143="Y",BE143=0),1,0)</f>
        <v>0</v>
      </c>
      <c r="BH143" s="23" t="n">
        <f aca="false">IF(AND(BB143=1,ISNUMBER(Y143)),1,0)</f>
        <v>0</v>
      </c>
      <c r="BI143" s="23" t="n">
        <f aca="false">IF(BH143=1,IF(COUNTIFS($AZ$2:$AZ$201,AZ143,$BH$2:$BH$201,1,$H$2:$H$201,"&lt;"&amp;H143)+COUNTIFS($AZ$2:$AZ$201,AZ143,$BH$2:$BH$201,1,$H$2:$H$201,H143,$BA$2:$BA$201,"&lt;"&amp;BA143)=0,1,0),0)</f>
        <v>0</v>
      </c>
      <c r="BJ143" s="23" t="str">
        <f aca="false">IF(AND(BI143=1,INT(N(H143))&lt;=Config!$B$6),Y143,"")</f>
        <v/>
      </c>
      <c r="BK143" s="23" t="str">
        <f aca="false">IF(AND(BI143=1,INT(N(H143))&lt;=Config!$B$7),Y143,"")</f>
        <v/>
      </c>
      <c r="BL143" s="23" t="str">
        <f aca="false">IF(AND(BI143=1,INT(N(H143))&lt;=Config!$B$8),Y143,"")</f>
        <v/>
      </c>
      <c r="BM143" s="23" t="str">
        <f aca="false">IF(AND(BI143=1,INT(N(H143))&lt;=Config!$B$5),Y143,"")</f>
        <v/>
      </c>
      <c r="BN143" s="23" t="n">
        <f aca="false">IF(CD143=1,IF(COUNTIFS($AZ$2:$AZ$201,AZ143,$CD$2:$CD$201,1,$H$2:$H$201,"&lt;"&amp;H143)+COUNTIFS($AZ$2:$AZ$201,AZ143,$CD$2:$CD$201,1,$H$2:$H$201,H143,$BA$2:$BA$201,"&lt;"&amp;BA143)=0,1,0),0)</f>
        <v>0</v>
      </c>
      <c r="BO143" s="23" t="n">
        <f aca="false">IF(AND(BB143=1,ISNUMBER(M143)),1,0)</f>
        <v>0</v>
      </c>
      <c r="BP143" s="23" t="n">
        <f aca="false">IF(BO143=1,IF(COUNTIFS($AZ$2:$AZ$201,AZ143,$BO$2:$BO$201,1,$H$2:$H$201,"&lt;"&amp;H143)+COUNTIFS($AZ$2:$AZ$201,AZ143,$BO$2:$BO$201,1,$H$2:$H$201,H143,$BA$2:$BA$201,"&lt;"&amp;BA143)=0,1,0),0)</f>
        <v>0</v>
      </c>
      <c r="BQ143" s="23" t="str">
        <f aca="false">IF(AND(BP143=1,INT(N(H143))&lt;=Config!$B$5),M143,"")</f>
        <v/>
      </c>
      <c r="BR143" s="23" t="n">
        <f aca="false">IF(AND(BB143=1,OR(TRIM(X143)&lt;&gt;"",ISNUMBER(Y143))),1,0)</f>
        <v>0</v>
      </c>
      <c r="BS143" s="23" t="n">
        <f aca="false">IF(BR143=1,IF(COUNTIFS($AZ$2:$AZ$201,AZ143,$BR$2:$BR$201,1,$H$2:$H$201,"&lt;"&amp;H143)+COUNTIFS($AZ$2:$AZ$201,AZ143,$BR$2:$BR$201,1,$H$2:$H$201,H143,$BA$2:$BA$201,"&lt;"&amp;BA143)=0,1,0),0)</f>
        <v>0</v>
      </c>
      <c r="BT143" s="23" t="str">
        <f aca="false">IF(BS143=1,AZ143,"")</f>
        <v/>
      </c>
      <c r="BU143" s="23" t="n">
        <f aca="false">IF(AND(BB143=1,W143="Y",TRIM(X143)=""),1,0)</f>
        <v>0</v>
      </c>
      <c r="BV143" s="23" t="str">
        <f aca="false">IF(BB143=1,AN143&amp;"","")</f>
        <v/>
      </c>
      <c r="BW143" s="23" t="str">
        <f aca="false">IF(BB143=1,AO143&amp;"","")</f>
        <v/>
      </c>
      <c r="BX143" s="23" t="str">
        <f aca="false">IF(BB143=1,AP143&amp;"","")</f>
        <v/>
      </c>
      <c r="BY143" s="23" t="str">
        <f aca="false">IF(AND(BB143=1,ISNUMBER(AV143),INT(N(H143))&lt;=Config!$B$5),AV143,"")</f>
        <v/>
      </c>
      <c r="BZ143" s="23" t="str">
        <f aca="false">IF(BB143=1,IF(COUNTIFS($A$2:$A$201,$A143,$DC$2:$DC$201,1,$AR$2:$AR$201,"Y")&gt;0,"Y","N"),"")</f>
        <v/>
      </c>
      <c r="CA143" s="23" t="n">
        <f aca="false">IF(AND(BB143=1,AR143="maybe"),1,0)</f>
        <v>0</v>
      </c>
      <c r="CB143" s="23" t="n">
        <f aca="false">IF(CA143=1,IF(COUNTIFS($AZ$2:$AZ$201,AZ143,$CA$2:$CA$201,1,$H$2:$H$201,"&lt;"&amp;H143)+COUNTIFS($AZ$2:$AZ$201,AZ143,$CA$2:$CA$201,1,$H$2:$H$201,H143,$BA$2:$BA$201,"&lt;"&amp;BA143)=0,1,0),0)</f>
        <v>0</v>
      </c>
      <c r="CC143" s="23" t="n">
        <f aca="false">IF(AND(BB143=1,AR143="Y"),IF(COUNTIFS($AZ$2:$AZ$201,AZ143,$AR$2:$AR$201,"Y",$BB$2:$BB$201,1,$H$2:$H$201,"&lt;"&amp;H143)+COUNTIFS($AZ$2:$AZ$201,AZ143,$AR$2:$AR$201,"Y",$BB$2:$BB$201,1,$H$2:$H$201,H143,$BA$2:$BA$201,"&lt;"&amp;BA143)=0,1,0),0)</f>
        <v>0</v>
      </c>
      <c r="CD143" s="23" t="n">
        <f aca="false">IF(AND(BH143=1,N(Y143)&gt;=Config!$B$15),1,0)</f>
        <v>0</v>
      </c>
      <c r="CE143" s="23" t="n">
        <f aca="false">IF(AND(BB143=1,AT143="Y"),1,0)</f>
        <v>0</v>
      </c>
      <c r="CF143" s="23" t="n">
        <f aca="false">IF(CE143=1,IF(COUNTIFS($AZ$2:$AZ$201,AZ143,$CE$2:$CE$201,1,$H$2:$H$201,"&lt;"&amp;H143)+COUNTIFS($AZ$2:$AZ$201,AZ143,$CE$2:$CE$201,1,$H$2:$H$201,H143,$BA$2:$BA$201,"&lt;"&amp;BA143)=0,1,0),0)</f>
        <v>0</v>
      </c>
      <c r="CG143" s="23" t="n">
        <f aca="false">IF(AND(BB143=1,G143="warm-intro"),1,0)</f>
        <v>0</v>
      </c>
      <c r="CH143" s="23" t="n">
        <f aca="false">IF(CG143=1,IF(COUNTIFS($AZ$2:$AZ$201,AZ143,$CG$2:$CG$201,1,$H$2:$H$201,"&lt;"&amp;H143)+COUNTIFS($AZ$2:$AZ$201,AZ143,$CG$2:$CG$201,1,$H$2:$H$201,H143,$BA$2:$BA$201,"&lt;"&amp;BA143)=0,1,0),0)</f>
        <v>0</v>
      </c>
      <c r="CI143" s="23" t="n">
        <f aca="false">IF(AND(BB143=1,Q143="Y"),1,0)</f>
        <v>0</v>
      </c>
      <c r="CJ143" s="23" t="n">
        <f aca="false">IF(CI143=1,IF(COUNTIFS($AZ$2:$AZ$201,AZ143,$CI$2:$CI$201,1,$H$2:$H$201,"&lt;"&amp;H143)+COUNTIFS($AZ$2:$AZ$201,AZ143,$CI$2:$CI$201,1,$H$2:$H$201,H143,$BA$2:$BA$201,"&lt;"&amp;BA143)=0,1,0),0)</f>
        <v>0</v>
      </c>
      <c r="CK143" s="23" t="n">
        <f aca="false">IF(AND(BB143=1,AF143="Y"),1,0)</f>
        <v>0</v>
      </c>
      <c r="CL143" s="23" t="n">
        <f aca="false">IF(CK143=1,IF(COUNTIFS($AZ$2:$AZ$201,AZ143,$CK$2:$CK$201,1,$H$2:$H$201,"&lt;"&amp;H143)+COUNTIFS($AZ$2:$AZ$201,AZ143,$CK$2:$CK$201,1,$H$2:$H$201,H143,$BA$2:$BA$201,"&lt;"&amp;BA143)=0,1,0),0)</f>
        <v>0</v>
      </c>
      <c r="CM143" s="23" t="n">
        <f aca="false">IF(AND(BB143=1,U143="Y"),1,0)</f>
        <v>0</v>
      </c>
      <c r="CN143" s="23" t="n">
        <f aca="false">IF(CM143=1,IF(COUNTIFS($AZ$2:$AZ$201,AZ143,$CM$2:$CM$201,1,$H$2:$H$201,"&lt;"&amp;H143)+COUNTIFS($AZ$2:$AZ$201,AZ143,$CM$2:$CM$201,1,$H$2:$H$201,H143,$BA$2:$BA$201,"&lt;"&amp;BA143)=0,1,0),0)</f>
        <v>0</v>
      </c>
      <c r="CO143" s="23" t="n">
        <f aca="false">IF(AND(BB143=1,L143="Y"),1,0)</f>
        <v>0</v>
      </c>
      <c r="CP143" s="23" t="n">
        <f aca="false">IF(CO143=1,IF(COUNTIFS($AZ$2:$AZ$201,AZ143,$CO$2:$CO$201,1,$H$2:$H$201,"&lt;"&amp;H143)+COUNTIFS($AZ$2:$AZ$201,AZ143,$CO$2:$CO$201,1,$H$2:$H$201,H143,$BA$2:$BA$201,"&lt;"&amp;BA143)=0,1,0),0)</f>
        <v>0</v>
      </c>
      <c r="CQ143" s="23" t="n">
        <f aca="false">IF(AND(BB143=1,ISNUMBER(O143)),1,0)</f>
        <v>0</v>
      </c>
      <c r="CR143" s="23" t="n">
        <f aca="false">IF(CQ143=1,IF(COUNTIFS($AZ$2:$AZ$201,AZ143,$CQ$2:$CQ$201,1,$H$2:$H$201,"&lt;"&amp;H143)+COUNTIFS($AZ$2:$AZ$201,AZ143,$CQ$2:$CQ$201,1,$H$2:$H$201,H143,$BA$2:$BA$201,"&lt;"&amp;BA143)=0,1,0),0)</f>
        <v>0</v>
      </c>
      <c r="CS143" s="23" t="str">
        <f aca="false">IF(AND(CR143=1,INT(N(H143))&lt;=Config!$B$5),O143,"")</f>
        <v/>
      </c>
      <c r="CT143" s="23" t="str">
        <f aca="false">IF(AND(BB143=1,INT(N(H143))&lt;=Config!$B$5),AG143&amp;"","")</f>
        <v/>
      </c>
      <c r="CU143" s="23" t="n">
        <f aca="false">IF(AND(BB143=1,AU143="Y"),1,0)</f>
        <v>0</v>
      </c>
      <c r="CV143" s="23" t="n">
        <f aca="false">IF(CU143=1,IF(COUNTIFS($AZ$2:$AZ$201,AZ143,$CU$2:$CU$201,1,$H$2:$H$201,"&lt;"&amp;H143)+COUNTIFS($AZ$2:$AZ$201,AZ143,$CU$2:$CU$201,1,$H$2:$H$201,H143,$BA$2:$BA$201,"&lt;"&amp;BA143)=0,1,0),0)</f>
        <v>0</v>
      </c>
      <c r="CW143" s="23" t="str">
        <f aca="false">IF(BB143=1,IFERROR(MATCH($A143,INDEX(Clay_Offices!$A$2:$FZ$601,0,Sync!$C$5),0),""),"")</f>
        <v/>
      </c>
      <c r="CX143" s="23" t="str">
        <f aca="false">IF(CW143="","",IFERROR(INDEX(Clay_Offices!$A$2:$FZ$601,CW143,Sync!$C$7)&amp;"",""))</f>
        <v/>
      </c>
      <c r="CY143" s="23" t="str">
        <f aca="false">IF(CX143="","",IFERROR(INDEX(Lists!$K$2:$K$15,MATCH(CX143,Lists!$J$2:$J$15,0)),""))</f>
        <v/>
      </c>
      <c r="CZ143" s="23" t="str">
        <f aca="false">IF(CW143="","",IFERROR(INDEX(Clay_Offices!$A$2:$FZ$601,CW143,Sync!$C$17)&amp;"",""))</f>
        <v/>
      </c>
      <c r="DA143" s="35" t="str">
        <f aca="false">IF(CW143="","",IFERROR(N(INDEX(Clay_Offices!$A$2:$FZ$601,CW143,Sync!$C$16)),0))</f>
        <v/>
      </c>
      <c r="DB143" s="23" t="n">
        <f aca="false">IF(AND(BB143=1,OR(AR143="Y",AR143="N",AR143="maybe")),1,0)</f>
        <v>0</v>
      </c>
      <c r="DC143" s="23" t="n">
        <f aca="false">IF(AND(DB143=1),IF(COUNTIFS($A$2:$A$201,$A143,$DB$2:$DB$201,1,$H$2:$H$201,"&gt;"&amp;H143)+COUNTIFS($A$2:$A$201,$A143,$DB$2:$DB$201,1,$H$2:$H$201,H143,$BA$2:$BA$201,"&gt;"&amp;BA143)=0,1,0),0)</f>
        <v>0</v>
      </c>
      <c r="DD143" s="23" t="n">
        <f aca="false">IF(AND(DB143=1,INT(N(H143))&lt;=Config!$B$6),IF(COUNTIFS($AZ$2:$AZ$201,AZ143,$DB$2:$DB$201,1,$H$2:$H$201,"&gt;"&amp;H143,$H$2:$H$201,"&lt;"&amp;(Config!$B$6+1))+COUNTIFS($AZ$2:$AZ$201,AZ143,$DB$2:$DB$201,1,$H$2:$H$201,H143,$BA$2:$BA$201,"&gt;"&amp;BA143)=0,1,0),0)</f>
        <v>0</v>
      </c>
      <c r="DE143" s="23" t="n">
        <f aca="false">IF(AND(DB143=1,INT(N(H143))&lt;=Config!$B$7),IF(COUNTIFS($AZ$2:$AZ$201,AZ143,$DB$2:$DB$201,1,$H$2:$H$201,"&gt;"&amp;H143,$H$2:$H$201,"&lt;"&amp;(Config!$B$7+1))+COUNTIFS($AZ$2:$AZ$201,AZ143,$DB$2:$DB$201,1,$H$2:$H$201,H143,$BA$2:$BA$201,"&gt;"&amp;BA143)=0,1,0),0)</f>
        <v>0</v>
      </c>
      <c r="DF143" s="23" t="n">
        <f aca="false">IF(AND(DB143=1,INT(N(H143))&lt;=Config!$B$8),IF(COUNTIFS($AZ$2:$AZ$201,AZ143,$DB$2:$DB$201,1,$H$2:$H$201,"&gt;"&amp;H143,$H$2:$H$201,"&lt;"&amp;(Config!$B$8+1))+COUNTIFS($AZ$2:$AZ$201,AZ143,$DB$2:$DB$201,1,$H$2:$H$201,H143,$BA$2:$BA$201,"&gt;"&amp;BA143)=0,1,0),0)</f>
        <v>0</v>
      </c>
      <c r="DG143" s="23" t="n">
        <f aca="false">IF(AND(DB143=1,INT(N(H143))&lt;=Config!$B$5),IF(COUNTIFS($AZ$2:$AZ$201,AZ143,$DB$2:$DB$201,1,$H$2:$H$201,"&gt;"&amp;H143,$H$2:$H$201,"&lt;"&amp;(Config!$B$5+1))+COUNTIFS($AZ$2:$AZ$201,AZ143,$DB$2:$DB$201,1,$H$2:$H$201,H143,$BA$2:$BA$201,"&gt;"&amp;BA143)=0,1,0),0)</f>
        <v>0</v>
      </c>
      <c r="DH143" s="23" t="n">
        <f aca="false">IF(BB143=1,IF(COUNTIFS($AZ$2:$AZ$201,AZ143,$DD$2:$DD$201,1,$AR$2:$AR$201,"Y")&gt;0,1,0),0)</f>
        <v>0</v>
      </c>
      <c r="DI143" s="23" t="n">
        <f aca="false">IF(BB143=1,IF(COUNTIFS($AZ$2:$AZ$201,AZ143,$DE$2:$DE$201,1,$AR$2:$AR$201,"Y")&gt;0,1,0),0)</f>
        <v>0</v>
      </c>
      <c r="DJ143" s="23" t="n">
        <f aca="false">IF(BB143=1,IF(COUNTIFS($AZ$2:$AZ$201,AZ143,$DF$2:$DF$201,1,$AR$2:$AR$201,"Y")&gt;0,1,0),0)</f>
        <v>0</v>
      </c>
      <c r="DK143" s="23" t="n">
        <f aca="false">IF(BB143=1,IF(COUNTIFS($AZ$2:$AZ$201,AZ143,$DG$2:$DG$201,1,$AR$2:$AR$201,"Y")&gt;0,1,0),0)</f>
        <v>0</v>
      </c>
      <c r="DL143" s="23" t="n">
        <f aca="false">IF(AND(BF143=1,INT(N(H143))&lt;=Config!$B$6,DH143=1,EI143=0),1,0)</f>
        <v>0</v>
      </c>
      <c r="DM143" s="23" t="n">
        <f aca="false">IF(AND(BF143=1,INT(N(H143))&lt;=Config!$B$7,DI143=1,EI143=0),1,0)</f>
        <v>0</v>
      </c>
      <c r="DN143" s="23" t="n">
        <f aca="false">IF(AND(BF143=1,INT(N(H143))&lt;=Config!$B$8,DJ143=1,EI143=0),1,0)</f>
        <v>0</v>
      </c>
      <c r="DO143" s="23" t="n">
        <f aca="false">IF(AND(BF143=1,INT(N(H143))&lt;=Config!$B$5,DK143=1,EI143=0),1,0)</f>
        <v>0</v>
      </c>
      <c r="DP143" s="23" t="n">
        <f aca="false">IF(AND(CC143=1,INT(N(H143))&lt;=Config!$B$6,DH143=1,EI143=0),1,0)</f>
        <v>0</v>
      </c>
      <c r="DQ143" s="23" t="n">
        <f aca="false">IF(AND(CC143=1,INT(N(H143))&lt;=Config!$B$7,DI143=1,EI143=0),1,0)</f>
        <v>0</v>
      </c>
      <c r="DR143" s="23" t="n">
        <f aca="false">IF(AND(CC143=1,INT(N(H143))&lt;=Config!$B$8,DJ143=1,EI143=0),1,0)</f>
        <v>0</v>
      </c>
      <c r="DS143" s="23" t="n">
        <f aca="false">IF(AND(CC143=1,INT(N(H143))&lt;=Config!$B$5,DK143=1,EI143=0),1,0)</f>
        <v>0</v>
      </c>
      <c r="DT143" s="23" t="n">
        <f aca="false">IF(AND(CC143=1,INT(N(H143))&lt;=Config!$B$6,DH143=0),1,0)</f>
        <v>0</v>
      </c>
      <c r="DU143" s="23" t="n">
        <f aca="false">IF(AND(CC143=1,INT(N(H143))&lt;=Config!$B$7,DI143=0),1,0)</f>
        <v>0</v>
      </c>
      <c r="DV143" s="23" t="n">
        <f aca="false">IF(AND(CC143=1,INT(N(H143))&lt;=Config!$B$8,DJ143=0),1,0)</f>
        <v>0</v>
      </c>
      <c r="DW143" s="23" t="n">
        <f aca="false">IF(AND(CC143=1,INT(N(H143))&lt;=Config!$B$5,DK143=0),1,0)</f>
        <v>0</v>
      </c>
      <c r="DX143" s="23" t="n">
        <f aca="false">IF(TRIM($A143)="",0,ISTEXT(M143)+ISTEXT(O143)+ISTEXT(Y143)+ISTEXT(Z143)+ISTEXT(AA143)+ISTEXT(AV143))</f>
        <v>0</v>
      </c>
      <c r="DY143" s="23" t="n">
        <f aca="false">IF(BB143=1,IF(H143&lt;&gt;INT(H143),1,0),0)</f>
        <v>0</v>
      </c>
      <c r="DZ143" s="23" t="str">
        <f aca="false">IF(TRIM($A143)="","",IF(TRIM(B143)="",SUBSTITUTE(SUBSTITUTE(SUBSTITUTE(SUBSTITUTE(SUBSTITUTE(SUBSTITUTE(LOWER(TRIM($A143)),"~",""),"*",""),"?",""),"&lt;",""),"&gt;",""),"=",""),SUBSTITUTE(SUBSTITUTE(SUBSTITUTE(SUBSTITUTE(SUBSTITUTE(SUBSTITUTE(LOWER(TRIM(B143)),"~",""),"*",""),"?",""),"&lt;",""),"&gt;",""),"=","")))</f>
        <v/>
      </c>
      <c r="EA143" s="23" t="str">
        <f aca="false">IF(CW143="","",IFERROR(IF(LEFT(LOWER(TRIM(INDEX(Clay_Offices!$A$2:$FZ$601,CW143,Sync!$C$19)&amp;"")),4)="grp-",SUBSTITUTE(SUBSTITUTE(SUBSTITUTE(SUBSTITUTE(SUBSTITUTE(SUBSTITUTE(LOWER(TRIM(INDEX(Clay_Offices!$A$2:$FZ$601,CW143,Sync!$C$19)&amp;"")),"~",""),"*",""),"?",""),"&lt;",""),"&gt;",""),"=",""),""),""))</f>
        <v/>
      </c>
      <c r="EB143" s="23" t="str">
        <f aca="false">IF(EA143&lt;&gt;"",DZ143,"")</f>
        <v/>
      </c>
      <c r="EC143" s="23" t="str">
        <f aca="false">IF(BC143=1,AZ143,"")</f>
        <v/>
      </c>
      <c r="ED143" s="23" t="str">
        <f aca="false">IF(TRIM($A143)="","",IFERROR(INDEX($A$2:$A$201,MATCH(AZ143,$EC$2:$EC$201,0))&amp;"",$A143&amp;""))</f>
        <v/>
      </c>
      <c r="EE143" s="23" t="n">
        <f aca="false">IF(BB143=1,IF(COUNTIFS($A$2:$A$201,$A143,$BB$2:$BB$201,1,$H$2:$H$201,"&lt;"&amp;H143)+COUNTIFS($A$2:$A$201,$A143,$BB$2:$BB$201,1,$H$2:$H$201,H143,$BA$2:$BA$201,"&lt;"&amp;BA143)=0,1,0),0)</f>
        <v>0</v>
      </c>
      <c r="EF143" s="23" t="n">
        <f aca="false">IF(BC143=1,IF(COUNTIFS($AZ$2:$AZ$201,AZ143,$EE$2:$EE$201,1)&gt;1,1,0),0)</f>
        <v>0</v>
      </c>
      <c r="EG143" s="23" t="n">
        <f aca="false">IF(AND(CQ143=1),IF(COUNTIFS($AZ$2:$AZ$201,AZ143,$CQ$2:$CQ$201,1,$H$2:$H$201,"&gt;"&amp;H143)+COUNTIFS($AZ$2:$AZ$201,AZ143,$CQ$2:$CQ$201,1,$H$2:$H$201,H143,$BA$2:$BA$201,"&gt;"&amp;BA143)=0,1,0),0)</f>
        <v>0</v>
      </c>
      <c r="EH143" s="23" t="str">
        <f aca="false">IF(BB143=1,IF(COUNTIFS($AZ$2:$AZ$201,AZ143,$EG$2:$EG$201,1)=0,"",SUMIFS($O$2:$O$201,$AZ$2:$AZ$201,AZ143,$EG$2:$EG$201,1)),"")</f>
        <v/>
      </c>
      <c r="EI143" s="23" t="n">
        <f aca="false">IF(AND(ISNUMBER(EH143),OR(N(EH143)&lt;Config!$B$31,N(EH143)&gt;Config!$B$33)),1,0)</f>
        <v>0</v>
      </c>
      <c r="EJ143" s="23" t="n">
        <f aca="false">IF(AND(ISNUMBER(EH143),N(EH143)&gt;=Config!$B$31,N(EH143)&lt;Config!$B$32),1,0)</f>
        <v>0</v>
      </c>
      <c r="EK143" s="23" t="n">
        <f aca="false">IF(AND(BF143=1,INT(N(H143))&lt;=Config!$B$6,DH143=1,EI143=1),1,0)</f>
        <v>0</v>
      </c>
      <c r="EL143" s="23" t="n">
        <f aca="false">IF(AND(BF143=1,INT(N(H143))&lt;=Config!$B$7,DI143=1,EI143=1),1,0)</f>
        <v>0</v>
      </c>
      <c r="EM143" s="23" t="n">
        <f aca="false">IF(AND(BF143=1,INT(N(H143))&lt;=Config!$B$8,DJ143=1,EI143=1),1,0)</f>
        <v>0</v>
      </c>
      <c r="EN143" s="23" t="n">
        <f aca="false">IF(AND(BF143=1,INT(N(H143))&lt;=Config!$B$5,DK143=1,EI143=1),1,0)</f>
        <v>0</v>
      </c>
      <c r="EO143" s="23" t="n">
        <f aca="false">IF(AND(DL143=1,EJ143=1),1,0)</f>
        <v>0</v>
      </c>
      <c r="EP143" s="23" t="n">
        <f aca="false">IF(AND(DM143=1,EJ143=1),1,0)</f>
        <v>0</v>
      </c>
      <c r="EQ143" s="23" t="n">
        <f aca="false">IF(AND(DN143=1,EJ143=1),1,0)</f>
        <v>0</v>
      </c>
      <c r="ER143" s="23" t="n">
        <f aca="false">IF(AND(DO143=1,EJ143=1),1,0)</f>
        <v>0</v>
      </c>
    </row>
    <row r="144" customFormat="false" ht="15" hidden="false" customHeight="false" outlineLevel="0" collapsed="false">
      <c r="G144" s="32"/>
      <c r="H144" s="33"/>
      <c r="I144" s="32"/>
      <c r="L144" s="32"/>
      <c r="Q144" s="32"/>
      <c r="U144" s="32"/>
      <c r="W144" s="32"/>
      <c r="AC144" s="32"/>
      <c r="AF144" s="32"/>
      <c r="AI144" s="32"/>
      <c r="AJ144" s="32"/>
      <c r="AN144" s="32"/>
      <c r="AR144" s="32"/>
      <c r="AT144" s="32"/>
      <c r="AU144" s="32"/>
      <c r="AW144" s="32"/>
      <c r="AY144" s="34" t="str">
        <f aca="false">IF(TRIM($A144)="","",IF(AND(LEFT($A144,6)="SAMPLE",Config!$B$19&lt;&gt;"Y"),"",IF(NOT(ISNUMBER(H144)),"call_date is blank or not a date",IF(Sync!$C$5="","Clay paste is empty or has no row_id column: paste the Clay export on Clay_Offices",IF(CW144="","row_id not found in the Clay paste: add the Clay row or fix the row_id",IF(AND(ISNUMBER(CY144),CY144&gt;=1,CY144&lt;=5),"Clay status is "&amp;CX144&amp;": set call_done or later",IF(AND(BD144=1,CZ144&lt;&gt;BZ144),"Clay yes_in_principle should be "&amp;BZ144,IF(AND(BD144=1,DA144&lt;&gt;H144),"Clay call_date should be "&amp;TEXT(H144,"yyyy-mm-dd"),""))))))))</f>
        <v/>
      </c>
      <c r="AZ144" s="23" t="str">
        <f aca="false">IF(TRIM($A144)="","",IF(TRIM(C144)&lt;&gt;"",SUBSTITUTE(SUBSTITUTE(SUBSTITUTE(SUBSTITUTE(SUBSTITUTE(SUBSTITUTE(LOWER(TRIM(C144)),"~",""),"*",""),"?",""),"&lt;",""),"&gt;",""),"=",""),IF(EA144&lt;&gt;"",EA144,IFERROR(INDEX($EA$2:$EA$201,MATCH(DZ144,$EB$2:$EB$201,0)),DZ144))))</f>
        <v/>
      </c>
      <c r="BA144" s="23" t="n">
        <f aca="false">ROW()</f>
        <v>144</v>
      </c>
      <c r="BB144" s="23" t="n">
        <f aca="false">IF(AND(TRIM($A144)&lt;&gt;"",ISNUMBER(H144)),IF(AND(LEFT($A144,6)="SAMPLE",Config!$B$19&lt;&gt;"Y"),0,1),0)</f>
        <v>0</v>
      </c>
      <c r="BC144" s="23" t="n">
        <f aca="false">IF(BB144=1,IF(COUNTIFS($AZ$2:$AZ$201,AZ144,$BB$2:$BB$201,1,$H$2:$H$201,"&lt;"&amp;H144)+COUNTIFS($AZ$2:$AZ$201,AZ144,$BB$2:$BB$201,1,$H$2:$H$201,H144,$BA$2:$BA$201,"&lt;"&amp;BA144)=0,1,0),0)</f>
        <v>0</v>
      </c>
      <c r="BD144" s="23" t="n">
        <f aca="false">IF(BB144=1,IF(COUNTIFS($A$2:$A$201,$A144,$BB$2:$BB$201,1,$H$2:$H$201,"&gt;"&amp;H144)+COUNTIFS($A$2:$A$201,$A144,$BB$2:$BB$201,1,$H$2:$H$201,H144,$BA$2:$BA$201,"&gt;"&amp;BA144)=0,1,0),0)</f>
        <v>0</v>
      </c>
      <c r="BE144" s="23" t="n">
        <f aca="false">IF(AND(BB144=1,AR144="Y",AC144="Y",TRIM(AH144)&lt;&gt;""),1,0)</f>
        <v>0</v>
      </c>
      <c r="BF144" s="23" t="n">
        <f aca="false">IF(BE144=1,IF(COUNTIFS($AZ$2:$AZ$201,AZ144,$BE$2:$BE$201,1,$H$2:$H$201,"&lt;"&amp;H144)+COUNTIFS($AZ$2:$AZ$201,AZ144,$BE$2:$BE$201,1,$H$2:$H$201,H144,$BA$2:$BA$201,"&lt;"&amp;BA144)=0,1,0),0)</f>
        <v>0</v>
      </c>
      <c r="BG144" s="23" t="n">
        <f aca="false">IF(AND(BB144=1,AR144="Y",BE144=0),1,0)</f>
        <v>0</v>
      </c>
      <c r="BH144" s="23" t="n">
        <f aca="false">IF(AND(BB144=1,ISNUMBER(Y144)),1,0)</f>
        <v>0</v>
      </c>
      <c r="BI144" s="23" t="n">
        <f aca="false">IF(BH144=1,IF(COUNTIFS($AZ$2:$AZ$201,AZ144,$BH$2:$BH$201,1,$H$2:$H$201,"&lt;"&amp;H144)+COUNTIFS($AZ$2:$AZ$201,AZ144,$BH$2:$BH$201,1,$H$2:$H$201,H144,$BA$2:$BA$201,"&lt;"&amp;BA144)=0,1,0),0)</f>
        <v>0</v>
      </c>
      <c r="BJ144" s="23" t="str">
        <f aca="false">IF(AND(BI144=1,INT(N(H144))&lt;=Config!$B$6),Y144,"")</f>
        <v/>
      </c>
      <c r="BK144" s="23" t="str">
        <f aca="false">IF(AND(BI144=1,INT(N(H144))&lt;=Config!$B$7),Y144,"")</f>
        <v/>
      </c>
      <c r="BL144" s="23" t="str">
        <f aca="false">IF(AND(BI144=1,INT(N(H144))&lt;=Config!$B$8),Y144,"")</f>
        <v/>
      </c>
      <c r="BM144" s="23" t="str">
        <f aca="false">IF(AND(BI144=1,INT(N(H144))&lt;=Config!$B$5),Y144,"")</f>
        <v/>
      </c>
      <c r="BN144" s="23" t="n">
        <f aca="false">IF(CD144=1,IF(COUNTIFS($AZ$2:$AZ$201,AZ144,$CD$2:$CD$201,1,$H$2:$H$201,"&lt;"&amp;H144)+COUNTIFS($AZ$2:$AZ$201,AZ144,$CD$2:$CD$201,1,$H$2:$H$201,H144,$BA$2:$BA$201,"&lt;"&amp;BA144)=0,1,0),0)</f>
        <v>0</v>
      </c>
      <c r="BO144" s="23" t="n">
        <f aca="false">IF(AND(BB144=1,ISNUMBER(M144)),1,0)</f>
        <v>0</v>
      </c>
      <c r="BP144" s="23" t="n">
        <f aca="false">IF(BO144=1,IF(COUNTIFS($AZ$2:$AZ$201,AZ144,$BO$2:$BO$201,1,$H$2:$H$201,"&lt;"&amp;H144)+COUNTIFS($AZ$2:$AZ$201,AZ144,$BO$2:$BO$201,1,$H$2:$H$201,H144,$BA$2:$BA$201,"&lt;"&amp;BA144)=0,1,0),0)</f>
        <v>0</v>
      </c>
      <c r="BQ144" s="23" t="str">
        <f aca="false">IF(AND(BP144=1,INT(N(H144))&lt;=Config!$B$5),M144,"")</f>
        <v/>
      </c>
      <c r="BR144" s="23" t="n">
        <f aca="false">IF(AND(BB144=1,OR(TRIM(X144)&lt;&gt;"",ISNUMBER(Y144))),1,0)</f>
        <v>0</v>
      </c>
      <c r="BS144" s="23" t="n">
        <f aca="false">IF(BR144=1,IF(COUNTIFS($AZ$2:$AZ$201,AZ144,$BR$2:$BR$201,1,$H$2:$H$201,"&lt;"&amp;H144)+COUNTIFS($AZ$2:$AZ$201,AZ144,$BR$2:$BR$201,1,$H$2:$H$201,H144,$BA$2:$BA$201,"&lt;"&amp;BA144)=0,1,0),0)</f>
        <v>0</v>
      </c>
      <c r="BT144" s="23" t="str">
        <f aca="false">IF(BS144=1,AZ144,"")</f>
        <v/>
      </c>
      <c r="BU144" s="23" t="n">
        <f aca="false">IF(AND(BB144=1,W144="Y",TRIM(X144)=""),1,0)</f>
        <v>0</v>
      </c>
      <c r="BV144" s="23" t="str">
        <f aca="false">IF(BB144=1,AN144&amp;"","")</f>
        <v/>
      </c>
      <c r="BW144" s="23" t="str">
        <f aca="false">IF(BB144=1,AO144&amp;"","")</f>
        <v/>
      </c>
      <c r="BX144" s="23" t="str">
        <f aca="false">IF(BB144=1,AP144&amp;"","")</f>
        <v/>
      </c>
      <c r="BY144" s="23" t="str">
        <f aca="false">IF(AND(BB144=1,ISNUMBER(AV144),INT(N(H144))&lt;=Config!$B$5),AV144,"")</f>
        <v/>
      </c>
      <c r="BZ144" s="23" t="str">
        <f aca="false">IF(BB144=1,IF(COUNTIFS($A$2:$A$201,$A144,$DC$2:$DC$201,1,$AR$2:$AR$201,"Y")&gt;0,"Y","N"),"")</f>
        <v/>
      </c>
      <c r="CA144" s="23" t="n">
        <f aca="false">IF(AND(BB144=1,AR144="maybe"),1,0)</f>
        <v>0</v>
      </c>
      <c r="CB144" s="23" t="n">
        <f aca="false">IF(CA144=1,IF(COUNTIFS($AZ$2:$AZ$201,AZ144,$CA$2:$CA$201,1,$H$2:$H$201,"&lt;"&amp;H144)+COUNTIFS($AZ$2:$AZ$201,AZ144,$CA$2:$CA$201,1,$H$2:$H$201,H144,$BA$2:$BA$201,"&lt;"&amp;BA144)=0,1,0),0)</f>
        <v>0</v>
      </c>
      <c r="CC144" s="23" t="n">
        <f aca="false">IF(AND(BB144=1,AR144="Y"),IF(COUNTIFS($AZ$2:$AZ$201,AZ144,$AR$2:$AR$201,"Y",$BB$2:$BB$201,1,$H$2:$H$201,"&lt;"&amp;H144)+COUNTIFS($AZ$2:$AZ$201,AZ144,$AR$2:$AR$201,"Y",$BB$2:$BB$201,1,$H$2:$H$201,H144,$BA$2:$BA$201,"&lt;"&amp;BA144)=0,1,0),0)</f>
        <v>0</v>
      </c>
      <c r="CD144" s="23" t="n">
        <f aca="false">IF(AND(BH144=1,N(Y144)&gt;=Config!$B$15),1,0)</f>
        <v>0</v>
      </c>
      <c r="CE144" s="23" t="n">
        <f aca="false">IF(AND(BB144=1,AT144="Y"),1,0)</f>
        <v>0</v>
      </c>
      <c r="CF144" s="23" t="n">
        <f aca="false">IF(CE144=1,IF(COUNTIFS($AZ$2:$AZ$201,AZ144,$CE$2:$CE$201,1,$H$2:$H$201,"&lt;"&amp;H144)+COUNTIFS($AZ$2:$AZ$201,AZ144,$CE$2:$CE$201,1,$H$2:$H$201,H144,$BA$2:$BA$201,"&lt;"&amp;BA144)=0,1,0),0)</f>
        <v>0</v>
      </c>
      <c r="CG144" s="23" t="n">
        <f aca="false">IF(AND(BB144=1,G144="warm-intro"),1,0)</f>
        <v>0</v>
      </c>
      <c r="CH144" s="23" t="n">
        <f aca="false">IF(CG144=1,IF(COUNTIFS($AZ$2:$AZ$201,AZ144,$CG$2:$CG$201,1,$H$2:$H$201,"&lt;"&amp;H144)+COUNTIFS($AZ$2:$AZ$201,AZ144,$CG$2:$CG$201,1,$H$2:$H$201,H144,$BA$2:$BA$201,"&lt;"&amp;BA144)=0,1,0),0)</f>
        <v>0</v>
      </c>
      <c r="CI144" s="23" t="n">
        <f aca="false">IF(AND(BB144=1,Q144="Y"),1,0)</f>
        <v>0</v>
      </c>
      <c r="CJ144" s="23" t="n">
        <f aca="false">IF(CI144=1,IF(COUNTIFS($AZ$2:$AZ$201,AZ144,$CI$2:$CI$201,1,$H$2:$H$201,"&lt;"&amp;H144)+COUNTIFS($AZ$2:$AZ$201,AZ144,$CI$2:$CI$201,1,$H$2:$H$201,H144,$BA$2:$BA$201,"&lt;"&amp;BA144)=0,1,0),0)</f>
        <v>0</v>
      </c>
      <c r="CK144" s="23" t="n">
        <f aca="false">IF(AND(BB144=1,AF144="Y"),1,0)</f>
        <v>0</v>
      </c>
      <c r="CL144" s="23" t="n">
        <f aca="false">IF(CK144=1,IF(COUNTIFS($AZ$2:$AZ$201,AZ144,$CK$2:$CK$201,1,$H$2:$H$201,"&lt;"&amp;H144)+COUNTIFS($AZ$2:$AZ$201,AZ144,$CK$2:$CK$201,1,$H$2:$H$201,H144,$BA$2:$BA$201,"&lt;"&amp;BA144)=0,1,0),0)</f>
        <v>0</v>
      </c>
      <c r="CM144" s="23" t="n">
        <f aca="false">IF(AND(BB144=1,U144="Y"),1,0)</f>
        <v>0</v>
      </c>
      <c r="CN144" s="23" t="n">
        <f aca="false">IF(CM144=1,IF(COUNTIFS($AZ$2:$AZ$201,AZ144,$CM$2:$CM$201,1,$H$2:$H$201,"&lt;"&amp;H144)+COUNTIFS($AZ$2:$AZ$201,AZ144,$CM$2:$CM$201,1,$H$2:$H$201,H144,$BA$2:$BA$201,"&lt;"&amp;BA144)=0,1,0),0)</f>
        <v>0</v>
      </c>
      <c r="CO144" s="23" t="n">
        <f aca="false">IF(AND(BB144=1,L144="Y"),1,0)</f>
        <v>0</v>
      </c>
      <c r="CP144" s="23" t="n">
        <f aca="false">IF(CO144=1,IF(COUNTIFS($AZ$2:$AZ$201,AZ144,$CO$2:$CO$201,1,$H$2:$H$201,"&lt;"&amp;H144)+COUNTIFS($AZ$2:$AZ$201,AZ144,$CO$2:$CO$201,1,$H$2:$H$201,H144,$BA$2:$BA$201,"&lt;"&amp;BA144)=0,1,0),0)</f>
        <v>0</v>
      </c>
      <c r="CQ144" s="23" t="n">
        <f aca="false">IF(AND(BB144=1,ISNUMBER(O144)),1,0)</f>
        <v>0</v>
      </c>
      <c r="CR144" s="23" t="n">
        <f aca="false">IF(CQ144=1,IF(COUNTIFS($AZ$2:$AZ$201,AZ144,$CQ$2:$CQ$201,1,$H$2:$H$201,"&lt;"&amp;H144)+COUNTIFS($AZ$2:$AZ$201,AZ144,$CQ$2:$CQ$201,1,$H$2:$H$201,H144,$BA$2:$BA$201,"&lt;"&amp;BA144)=0,1,0),0)</f>
        <v>0</v>
      </c>
      <c r="CS144" s="23" t="str">
        <f aca="false">IF(AND(CR144=1,INT(N(H144))&lt;=Config!$B$5),O144,"")</f>
        <v/>
      </c>
      <c r="CT144" s="23" t="str">
        <f aca="false">IF(AND(BB144=1,INT(N(H144))&lt;=Config!$B$5),AG144&amp;"","")</f>
        <v/>
      </c>
      <c r="CU144" s="23" t="n">
        <f aca="false">IF(AND(BB144=1,AU144="Y"),1,0)</f>
        <v>0</v>
      </c>
      <c r="CV144" s="23" t="n">
        <f aca="false">IF(CU144=1,IF(COUNTIFS($AZ$2:$AZ$201,AZ144,$CU$2:$CU$201,1,$H$2:$H$201,"&lt;"&amp;H144)+COUNTIFS($AZ$2:$AZ$201,AZ144,$CU$2:$CU$201,1,$H$2:$H$201,H144,$BA$2:$BA$201,"&lt;"&amp;BA144)=0,1,0),0)</f>
        <v>0</v>
      </c>
      <c r="CW144" s="23" t="str">
        <f aca="false">IF(BB144=1,IFERROR(MATCH($A144,INDEX(Clay_Offices!$A$2:$FZ$601,0,Sync!$C$5),0),""),"")</f>
        <v/>
      </c>
      <c r="CX144" s="23" t="str">
        <f aca="false">IF(CW144="","",IFERROR(INDEX(Clay_Offices!$A$2:$FZ$601,CW144,Sync!$C$7)&amp;"",""))</f>
        <v/>
      </c>
      <c r="CY144" s="23" t="str">
        <f aca="false">IF(CX144="","",IFERROR(INDEX(Lists!$K$2:$K$15,MATCH(CX144,Lists!$J$2:$J$15,0)),""))</f>
        <v/>
      </c>
      <c r="CZ144" s="23" t="str">
        <f aca="false">IF(CW144="","",IFERROR(INDEX(Clay_Offices!$A$2:$FZ$601,CW144,Sync!$C$17)&amp;"",""))</f>
        <v/>
      </c>
      <c r="DA144" s="35" t="str">
        <f aca="false">IF(CW144="","",IFERROR(N(INDEX(Clay_Offices!$A$2:$FZ$601,CW144,Sync!$C$16)),0))</f>
        <v/>
      </c>
      <c r="DB144" s="23" t="n">
        <f aca="false">IF(AND(BB144=1,OR(AR144="Y",AR144="N",AR144="maybe")),1,0)</f>
        <v>0</v>
      </c>
      <c r="DC144" s="23" t="n">
        <f aca="false">IF(AND(DB144=1),IF(COUNTIFS($A$2:$A$201,$A144,$DB$2:$DB$201,1,$H$2:$H$201,"&gt;"&amp;H144)+COUNTIFS($A$2:$A$201,$A144,$DB$2:$DB$201,1,$H$2:$H$201,H144,$BA$2:$BA$201,"&gt;"&amp;BA144)=0,1,0),0)</f>
        <v>0</v>
      </c>
      <c r="DD144" s="23" t="n">
        <f aca="false">IF(AND(DB144=1,INT(N(H144))&lt;=Config!$B$6),IF(COUNTIFS($AZ$2:$AZ$201,AZ144,$DB$2:$DB$201,1,$H$2:$H$201,"&gt;"&amp;H144,$H$2:$H$201,"&lt;"&amp;(Config!$B$6+1))+COUNTIFS($AZ$2:$AZ$201,AZ144,$DB$2:$DB$201,1,$H$2:$H$201,H144,$BA$2:$BA$201,"&gt;"&amp;BA144)=0,1,0),0)</f>
        <v>0</v>
      </c>
      <c r="DE144" s="23" t="n">
        <f aca="false">IF(AND(DB144=1,INT(N(H144))&lt;=Config!$B$7),IF(COUNTIFS($AZ$2:$AZ$201,AZ144,$DB$2:$DB$201,1,$H$2:$H$201,"&gt;"&amp;H144,$H$2:$H$201,"&lt;"&amp;(Config!$B$7+1))+COUNTIFS($AZ$2:$AZ$201,AZ144,$DB$2:$DB$201,1,$H$2:$H$201,H144,$BA$2:$BA$201,"&gt;"&amp;BA144)=0,1,0),0)</f>
        <v>0</v>
      </c>
      <c r="DF144" s="23" t="n">
        <f aca="false">IF(AND(DB144=1,INT(N(H144))&lt;=Config!$B$8),IF(COUNTIFS($AZ$2:$AZ$201,AZ144,$DB$2:$DB$201,1,$H$2:$H$201,"&gt;"&amp;H144,$H$2:$H$201,"&lt;"&amp;(Config!$B$8+1))+COUNTIFS($AZ$2:$AZ$201,AZ144,$DB$2:$DB$201,1,$H$2:$H$201,H144,$BA$2:$BA$201,"&gt;"&amp;BA144)=0,1,0),0)</f>
        <v>0</v>
      </c>
      <c r="DG144" s="23" t="n">
        <f aca="false">IF(AND(DB144=1,INT(N(H144))&lt;=Config!$B$5),IF(COUNTIFS($AZ$2:$AZ$201,AZ144,$DB$2:$DB$201,1,$H$2:$H$201,"&gt;"&amp;H144,$H$2:$H$201,"&lt;"&amp;(Config!$B$5+1))+COUNTIFS($AZ$2:$AZ$201,AZ144,$DB$2:$DB$201,1,$H$2:$H$201,H144,$BA$2:$BA$201,"&gt;"&amp;BA144)=0,1,0),0)</f>
        <v>0</v>
      </c>
      <c r="DH144" s="23" t="n">
        <f aca="false">IF(BB144=1,IF(COUNTIFS($AZ$2:$AZ$201,AZ144,$DD$2:$DD$201,1,$AR$2:$AR$201,"Y")&gt;0,1,0),0)</f>
        <v>0</v>
      </c>
      <c r="DI144" s="23" t="n">
        <f aca="false">IF(BB144=1,IF(COUNTIFS($AZ$2:$AZ$201,AZ144,$DE$2:$DE$201,1,$AR$2:$AR$201,"Y")&gt;0,1,0),0)</f>
        <v>0</v>
      </c>
      <c r="DJ144" s="23" t="n">
        <f aca="false">IF(BB144=1,IF(COUNTIFS($AZ$2:$AZ$201,AZ144,$DF$2:$DF$201,1,$AR$2:$AR$201,"Y")&gt;0,1,0),0)</f>
        <v>0</v>
      </c>
      <c r="DK144" s="23" t="n">
        <f aca="false">IF(BB144=1,IF(COUNTIFS($AZ$2:$AZ$201,AZ144,$DG$2:$DG$201,1,$AR$2:$AR$201,"Y")&gt;0,1,0),0)</f>
        <v>0</v>
      </c>
      <c r="DL144" s="23" t="n">
        <f aca="false">IF(AND(BF144=1,INT(N(H144))&lt;=Config!$B$6,DH144=1,EI144=0),1,0)</f>
        <v>0</v>
      </c>
      <c r="DM144" s="23" t="n">
        <f aca="false">IF(AND(BF144=1,INT(N(H144))&lt;=Config!$B$7,DI144=1,EI144=0),1,0)</f>
        <v>0</v>
      </c>
      <c r="DN144" s="23" t="n">
        <f aca="false">IF(AND(BF144=1,INT(N(H144))&lt;=Config!$B$8,DJ144=1,EI144=0),1,0)</f>
        <v>0</v>
      </c>
      <c r="DO144" s="23" t="n">
        <f aca="false">IF(AND(BF144=1,INT(N(H144))&lt;=Config!$B$5,DK144=1,EI144=0),1,0)</f>
        <v>0</v>
      </c>
      <c r="DP144" s="23" t="n">
        <f aca="false">IF(AND(CC144=1,INT(N(H144))&lt;=Config!$B$6,DH144=1,EI144=0),1,0)</f>
        <v>0</v>
      </c>
      <c r="DQ144" s="23" t="n">
        <f aca="false">IF(AND(CC144=1,INT(N(H144))&lt;=Config!$B$7,DI144=1,EI144=0),1,0)</f>
        <v>0</v>
      </c>
      <c r="DR144" s="23" t="n">
        <f aca="false">IF(AND(CC144=1,INT(N(H144))&lt;=Config!$B$8,DJ144=1,EI144=0),1,0)</f>
        <v>0</v>
      </c>
      <c r="DS144" s="23" t="n">
        <f aca="false">IF(AND(CC144=1,INT(N(H144))&lt;=Config!$B$5,DK144=1,EI144=0),1,0)</f>
        <v>0</v>
      </c>
      <c r="DT144" s="23" t="n">
        <f aca="false">IF(AND(CC144=1,INT(N(H144))&lt;=Config!$B$6,DH144=0),1,0)</f>
        <v>0</v>
      </c>
      <c r="DU144" s="23" t="n">
        <f aca="false">IF(AND(CC144=1,INT(N(H144))&lt;=Config!$B$7,DI144=0),1,0)</f>
        <v>0</v>
      </c>
      <c r="DV144" s="23" t="n">
        <f aca="false">IF(AND(CC144=1,INT(N(H144))&lt;=Config!$B$8,DJ144=0),1,0)</f>
        <v>0</v>
      </c>
      <c r="DW144" s="23" t="n">
        <f aca="false">IF(AND(CC144=1,INT(N(H144))&lt;=Config!$B$5,DK144=0),1,0)</f>
        <v>0</v>
      </c>
      <c r="DX144" s="23" t="n">
        <f aca="false">IF(TRIM($A144)="",0,ISTEXT(M144)+ISTEXT(O144)+ISTEXT(Y144)+ISTEXT(Z144)+ISTEXT(AA144)+ISTEXT(AV144))</f>
        <v>0</v>
      </c>
      <c r="DY144" s="23" t="n">
        <f aca="false">IF(BB144=1,IF(H144&lt;&gt;INT(H144),1,0),0)</f>
        <v>0</v>
      </c>
      <c r="DZ144" s="23" t="str">
        <f aca="false">IF(TRIM($A144)="","",IF(TRIM(B144)="",SUBSTITUTE(SUBSTITUTE(SUBSTITUTE(SUBSTITUTE(SUBSTITUTE(SUBSTITUTE(LOWER(TRIM($A144)),"~",""),"*",""),"?",""),"&lt;",""),"&gt;",""),"=",""),SUBSTITUTE(SUBSTITUTE(SUBSTITUTE(SUBSTITUTE(SUBSTITUTE(SUBSTITUTE(LOWER(TRIM(B144)),"~",""),"*",""),"?",""),"&lt;",""),"&gt;",""),"=","")))</f>
        <v/>
      </c>
      <c r="EA144" s="23" t="str">
        <f aca="false">IF(CW144="","",IFERROR(IF(LEFT(LOWER(TRIM(INDEX(Clay_Offices!$A$2:$FZ$601,CW144,Sync!$C$19)&amp;"")),4)="grp-",SUBSTITUTE(SUBSTITUTE(SUBSTITUTE(SUBSTITUTE(SUBSTITUTE(SUBSTITUTE(LOWER(TRIM(INDEX(Clay_Offices!$A$2:$FZ$601,CW144,Sync!$C$19)&amp;"")),"~",""),"*",""),"?",""),"&lt;",""),"&gt;",""),"=",""),""),""))</f>
        <v/>
      </c>
      <c r="EB144" s="23" t="str">
        <f aca="false">IF(EA144&lt;&gt;"",DZ144,"")</f>
        <v/>
      </c>
      <c r="EC144" s="23" t="str">
        <f aca="false">IF(BC144=1,AZ144,"")</f>
        <v/>
      </c>
      <c r="ED144" s="23" t="str">
        <f aca="false">IF(TRIM($A144)="","",IFERROR(INDEX($A$2:$A$201,MATCH(AZ144,$EC$2:$EC$201,0))&amp;"",$A144&amp;""))</f>
        <v/>
      </c>
      <c r="EE144" s="23" t="n">
        <f aca="false">IF(BB144=1,IF(COUNTIFS($A$2:$A$201,$A144,$BB$2:$BB$201,1,$H$2:$H$201,"&lt;"&amp;H144)+COUNTIFS($A$2:$A$201,$A144,$BB$2:$BB$201,1,$H$2:$H$201,H144,$BA$2:$BA$201,"&lt;"&amp;BA144)=0,1,0),0)</f>
        <v>0</v>
      </c>
      <c r="EF144" s="23" t="n">
        <f aca="false">IF(BC144=1,IF(COUNTIFS($AZ$2:$AZ$201,AZ144,$EE$2:$EE$201,1)&gt;1,1,0),0)</f>
        <v>0</v>
      </c>
      <c r="EG144" s="23" t="n">
        <f aca="false">IF(AND(CQ144=1),IF(COUNTIFS($AZ$2:$AZ$201,AZ144,$CQ$2:$CQ$201,1,$H$2:$H$201,"&gt;"&amp;H144)+COUNTIFS($AZ$2:$AZ$201,AZ144,$CQ$2:$CQ$201,1,$H$2:$H$201,H144,$BA$2:$BA$201,"&gt;"&amp;BA144)=0,1,0),0)</f>
        <v>0</v>
      </c>
      <c r="EH144" s="23" t="str">
        <f aca="false">IF(BB144=1,IF(COUNTIFS($AZ$2:$AZ$201,AZ144,$EG$2:$EG$201,1)=0,"",SUMIFS($O$2:$O$201,$AZ$2:$AZ$201,AZ144,$EG$2:$EG$201,1)),"")</f>
        <v/>
      </c>
      <c r="EI144" s="23" t="n">
        <f aca="false">IF(AND(ISNUMBER(EH144),OR(N(EH144)&lt;Config!$B$31,N(EH144)&gt;Config!$B$33)),1,0)</f>
        <v>0</v>
      </c>
      <c r="EJ144" s="23" t="n">
        <f aca="false">IF(AND(ISNUMBER(EH144),N(EH144)&gt;=Config!$B$31,N(EH144)&lt;Config!$B$32),1,0)</f>
        <v>0</v>
      </c>
      <c r="EK144" s="23" t="n">
        <f aca="false">IF(AND(BF144=1,INT(N(H144))&lt;=Config!$B$6,DH144=1,EI144=1),1,0)</f>
        <v>0</v>
      </c>
      <c r="EL144" s="23" t="n">
        <f aca="false">IF(AND(BF144=1,INT(N(H144))&lt;=Config!$B$7,DI144=1,EI144=1),1,0)</f>
        <v>0</v>
      </c>
      <c r="EM144" s="23" t="n">
        <f aca="false">IF(AND(BF144=1,INT(N(H144))&lt;=Config!$B$8,DJ144=1,EI144=1),1,0)</f>
        <v>0</v>
      </c>
      <c r="EN144" s="23" t="n">
        <f aca="false">IF(AND(BF144=1,INT(N(H144))&lt;=Config!$B$5,DK144=1,EI144=1),1,0)</f>
        <v>0</v>
      </c>
      <c r="EO144" s="23" t="n">
        <f aca="false">IF(AND(DL144=1,EJ144=1),1,0)</f>
        <v>0</v>
      </c>
      <c r="EP144" s="23" t="n">
        <f aca="false">IF(AND(DM144=1,EJ144=1),1,0)</f>
        <v>0</v>
      </c>
      <c r="EQ144" s="23" t="n">
        <f aca="false">IF(AND(DN144=1,EJ144=1),1,0)</f>
        <v>0</v>
      </c>
      <c r="ER144" s="23" t="n">
        <f aca="false">IF(AND(DO144=1,EJ144=1),1,0)</f>
        <v>0</v>
      </c>
    </row>
    <row r="145" customFormat="false" ht="15" hidden="false" customHeight="false" outlineLevel="0" collapsed="false">
      <c r="G145" s="32"/>
      <c r="H145" s="33"/>
      <c r="I145" s="32"/>
      <c r="L145" s="32"/>
      <c r="Q145" s="32"/>
      <c r="U145" s="32"/>
      <c r="W145" s="32"/>
      <c r="AC145" s="32"/>
      <c r="AF145" s="32"/>
      <c r="AI145" s="32"/>
      <c r="AJ145" s="32"/>
      <c r="AN145" s="32"/>
      <c r="AR145" s="32"/>
      <c r="AT145" s="32"/>
      <c r="AU145" s="32"/>
      <c r="AW145" s="32"/>
      <c r="AY145" s="34" t="str">
        <f aca="false">IF(TRIM($A145)="","",IF(AND(LEFT($A145,6)="SAMPLE",Config!$B$19&lt;&gt;"Y"),"",IF(NOT(ISNUMBER(H145)),"call_date is blank or not a date",IF(Sync!$C$5="","Clay paste is empty or has no row_id column: paste the Clay export on Clay_Offices",IF(CW145="","row_id not found in the Clay paste: add the Clay row or fix the row_id",IF(AND(ISNUMBER(CY145),CY145&gt;=1,CY145&lt;=5),"Clay status is "&amp;CX145&amp;": set call_done or later",IF(AND(BD145=1,CZ145&lt;&gt;BZ145),"Clay yes_in_principle should be "&amp;BZ145,IF(AND(BD145=1,DA145&lt;&gt;H145),"Clay call_date should be "&amp;TEXT(H145,"yyyy-mm-dd"),""))))))))</f>
        <v/>
      </c>
      <c r="AZ145" s="23" t="str">
        <f aca="false">IF(TRIM($A145)="","",IF(TRIM(C145)&lt;&gt;"",SUBSTITUTE(SUBSTITUTE(SUBSTITUTE(SUBSTITUTE(SUBSTITUTE(SUBSTITUTE(LOWER(TRIM(C145)),"~",""),"*",""),"?",""),"&lt;",""),"&gt;",""),"=",""),IF(EA145&lt;&gt;"",EA145,IFERROR(INDEX($EA$2:$EA$201,MATCH(DZ145,$EB$2:$EB$201,0)),DZ145))))</f>
        <v/>
      </c>
      <c r="BA145" s="23" t="n">
        <f aca="false">ROW()</f>
        <v>145</v>
      </c>
      <c r="BB145" s="23" t="n">
        <f aca="false">IF(AND(TRIM($A145)&lt;&gt;"",ISNUMBER(H145)),IF(AND(LEFT($A145,6)="SAMPLE",Config!$B$19&lt;&gt;"Y"),0,1),0)</f>
        <v>0</v>
      </c>
      <c r="BC145" s="23" t="n">
        <f aca="false">IF(BB145=1,IF(COUNTIFS($AZ$2:$AZ$201,AZ145,$BB$2:$BB$201,1,$H$2:$H$201,"&lt;"&amp;H145)+COUNTIFS($AZ$2:$AZ$201,AZ145,$BB$2:$BB$201,1,$H$2:$H$201,H145,$BA$2:$BA$201,"&lt;"&amp;BA145)=0,1,0),0)</f>
        <v>0</v>
      </c>
      <c r="BD145" s="23" t="n">
        <f aca="false">IF(BB145=1,IF(COUNTIFS($A$2:$A$201,$A145,$BB$2:$BB$201,1,$H$2:$H$201,"&gt;"&amp;H145)+COUNTIFS($A$2:$A$201,$A145,$BB$2:$BB$201,1,$H$2:$H$201,H145,$BA$2:$BA$201,"&gt;"&amp;BA145)=0,1,0),0)</f>
        <v>0</v>
      </c>
      <c r="BE145" s="23" t="n">
        <f aca="false">IF(AND(BB145=1,AR145="Y",AC145="Y",TRIM(AH145)&lt;&gt;""),1,0)</f>
        <v>0</v>
      </c>
      <c r="BF145" s="23" t="n">
        <f aca="false">IF(BE145=1,IF(COUNTIFS($AZ$2:$AZ$201,AZ145,$BE$2:$BE$201,1,$H$2:$H$201,"&lt;"&amp;H145)+COUNTIFS($AZ$2:$AZ$201,AZ145,$BE$2:$BE$201,1,$H$2:$H$201,H145,$BA$2:$BA$201,"&lt;"&amp;BA145)=0,1,0),0)</f>
        <v>0</v>
      </c>
      <c r="BG145" s="23" t="n">
        <f aca="false">IF(AND(BB145=1,AR145="Y",BE145=0),1,0)</f>
        <v>0</v>
      </c>
      <c r="BH145" s="23" t="n">
        <f aca="false">IF(AND(BB145=1,ISNUMBER(Y145)),1,0)</f>
        <v>0</v>
      </c>
      <c r="BI145" s="23" t="n">
        <f aca="false">IF(BH145=1,IF(COUNTIFS($AZ$2:$AZ$201,AZ145,$BH$2:$BH$201,1,$H$2:$H$201,"&lt;"&amp;H145)+COUNTIFS($AZ$2:$AZ$201,AZ145,$BH$2:$BH$201,1,$H$2:$H$201,H145,$BA$2:$BA$201,"&lt;"&amp;BA145)=0,1,0),0)</f>
        <v>0</v>
      </c>
      <c r="BJ145" s="23" t="str">
        <f aca="false">IF(AND(BI145=1,INT(N(H145))&lt;=Config!$B$6),Y145,"")</f>
        <v/>
      </c>
      <c r="BK145" s="23" t="str">
        <f aca="false">IF(AND(BI145=1,INT(N(H145))&lt;=Config!$B$7),Y145,"")</f>
        <v/>
      </c>
      <c r="BL145" s="23" t="str">
        <f aca="false">IF(AND(BI145=1,INT(N(H145))&lt;=Config!$B$8),Y145,"")</f>
        <v/>
      </c>
      <c r="BM145" s="23" t="str">
        <f aca="false">IF(AND(BI145=1,INT(N(H145))&lt;=Config!$B$5),Y145,"")</f>
        <v/>
      </c>
      <c r="BN145" s="23" t="n">
        <f aca="false">IF(CD145=1,IF(COUNTIFS($AZ$2:$AZ$201,AZ145,$CD$2:$CD$201,1,$H$2:$H$201,"&lt;"&amp;H145)+COUNTIFS($AZ$2:$AZ$201,AZ145,$CD$2:$CD$201,1,$H$2:$H$201,H145,$BA$2:$BA$201,"&lt;"&amp;BA145)=0,1,0),0)</f>
        <v>0</v>
      </c>
      <c r="BO145" s="23" t="n">
        <f aca="false">IF(AND(BB145=1,ISNUMBER(M145)),1,0)</f>
        <v>0</v>
      </c>
      <c r="BP145" s="23" t="n">
        <f aca="false">IF(BO145=1,IF(COUNTIFS($AZ$2:$AZ$201,AZ145,$BO$2:$BO$201,1,$H$2:$H$201,"&lt;"&amp;H145)+COUNTIFS($AZ$2:$AZ$201,AZ145,$BO$2:$BO$201,1,$H$2:$H$201,H145,$BA$2:$BA$201,"&lt;"&amp;BA145)=0,1,0),0)</f>
        <v>0</v>
      </c>
      <c r="BQ145" s="23" t="str">
        <f aca="false">IF(AND(BP145=1,INT(N(H145))&lt;=Config!$B$5),M145,"")</f>
        <v/>
      </c>
      <c r="BR145" s="23" t="n">
        <f aca="false">IF(AND(BB145=1,OR(TRIM(X145)&lt;&gt;"",ISNUMBER(Y145))),1,0)</f>
        <v>0</v>
      </c>
      <c r="BS145" s="23" t="n">
        <f aca="false">IF(BR145=1,IF(COUNTIFS($AZ$2:$AZ$201,AZ145,$BR$2:$BR$201,1,$H$2:$H$201,"&lt;"&amp;H145)+COUNTIFS($AZ$2:$AZ$201,AZ145,$BR$2:$BR$201,1,$H$2:$H$201,H145,$BA$2:$BA$201,"&lt;"&amp;BA145)=0,1,0),0)</f>
        <v>0</v>
      </c>
      <c r="BT145" s="23" t="str">
        <f aca="false">IF(BS145=1,AZ145,"")</f>
        <v/>
      </c>
      <c r="BU145" s="23" t="n">
        <f aca="false">IF(AND(BB145=1,W145="Y",TRIM(X145)=""),1,0)</f>
        <v>0</v>
      </c>
      <c r="BV145" s="23" t="str">
        <f aca="false">IF(BB145=1,AN145&amp;"","")</f>
        <v/>
      </c>
      <c r="BW145" s="23" t="str">
        <f aca="false">IF(BB145=1,AO145&amp;"","")</f>
        <v/>
      </c>
      <c r="BX145" s="23" t="str">
        <f aca="false">IF(BB145=1,AP145&amp;"","")</f>
        <v/>
      </c>
      <c r="BY145" s="23" t="str">
        <f aca="false">IF(AND(BB145=1,ISNUMBER(AV145),INT(N(H145))&lt;=Config!$B$5),AV145,"")</f>
        <v/>
      </c>
      <c r="BZ145" s="23" t="str">
        <f aca="false">IF(BB145=1,IF(COUNTIFS($A$2:$A$201,$A145,$DC$2:$DC$201,1,$AR$2:$AR$201,"Y")&gt;0,"Y","N"),"")</f>
        <v/>
      </c>
      <c r="CA145" s="23" t="n">
        <f aca="false">IF(AND(BB145=1,AR145="maybe"),1,0)</f>
        <v>0</v>
      </c>
      <c r="CB145" s="23" t="n">
        <f aca="false">IF(CA145=1,IF(COUNTIFS($AZ$2:$AZ$201,AZ145,$CA$2:$CA$201,1,$H$2:$H$201,"&lt;"&amp;H145)+COUNTIFS($AZ$2:$AZ$201,AZ145,$CA$2:$CA$201,1,$H$2:$H$201,H145,$BA$2:$BA$201,"&lt;"&amp;BA145)=0,1,0),0)</f>
        <v>0</v>
      </c>
      <c r="CC145" s="23" t="n">
        <f aca="false">IF(AND(BB145=1,AR145="Y"),IF(COUNTIFS($AZ$2:$AZ$201,AZ145,$AR$2:$AR$201,"Y",$BB$2:$BB$201,1,$H$2:$H$201,"&lt;"&amp;H145)+COUNTIFS($AZ$2:$AZ$201,AZ145,$AR$2:$AR$201,"Y",$BB$2:$BB$201,1,$H$2:$H$201,H145,$BA$2:$BA$201,"&lt;"&amp;BA145)=0,1,0),0)</f>
        <v>0</v>
      </c>
      <c r="CD145" s="23" t="n">
        <f aca="false">IF(AND(BH145=1,N(Y145)&gt;=Config!$B$15),1,0)</f>
        <v>0</v>
      </c>
      <c r="CE145" s="23" t="n">
        <f aca="false">IF(AND(BB145=1,AT145="Y"),1,0)</f>
        <v>0</v>
      </c>
      <c r="CF145" s="23" t="n">
        <f aca="false">IF(CE145=1,IF(COUNTIFS($AZ$2:$AZ$201,AZ145,$CE$2:$CE$201,1,$H$2:$H$201,"&lt;"&amp;H145)+COUNTIFS($AZ$2:$AZ$201,AZ145,$CE$2:$CE$201,1,$H$2:$H$201,H145,$BA$2:$BA$201,"&lt;"&amp;BA145)=0,1,0),0)</f>
        <v>0</v>
      </c>
      <c r="CG145" s="23" t="n">
        <f aca="false">IF(AND(BB145=1,G145="warm-intro"),1,0)</f>
        <v>0</v>
      </c>
      <c r="CH145" s="23" t="n">
        <f aca="false">IF(CG145=1,IF(COUNTIFS($AZ$2:$AZ$201,AZ145,$CG$2:$CG$201,1,$H$2:$H$201,"&lt;"&amp;H145)+COUNTIFS($AZ$2:$AZ$201,AZ145,$CG$2:$CG$201,1,$H$2:$H$201,H145,$BA$2:$BA$201,"&lt;"&amp;BA145)=0,1,0),0)</f>
        <v>0</v>
      </c>
      <c r="CI145" s="23" t="n">
        <f aca="false">IF(AND(BB145=1,Q145="Y"),1,0)</f>
        <v>0</v>
      </c>
      <c r="CJ145" s="23" t="n">
        <f aca="false">IF(CI145=1,IF(COUNTIFS($AZ$2:$AZ$201,AZ145,$CI$2:$CI$201,1,$H$2:$H$201,"&lt;"&amp;H145)+COUNTIFS($AZ$2:$AZ$201,AZ145,$CI$2:$CI$201,1,$H$2:$H$201,H145,$BA$2:$BA$201,"&lt;"&amp;BA145)=0,1,0),0)</f>
        <v>0</v>
      </c>
      <c r="CK145" s="23" t="n">
        <f aca="false">IF(AND(BB145=1,AF145="Y"),1,0)</f>
        <v>0</v>
      </c>
      <c r="CL145" s="23" t="n">
        <f aca="false">IF(CK145=1,IF(COUNTIFS($AZ$2:$AZ$201,AZ145,$CK$2:$CK$201,1,$H$2:$H$201,"&lt;"&amp;H145)+COUNTIFS($AZ$2:$AZ$201,AZ145,$CK$2:$CK$201,1,$H$2:$H$201,H145,$BA$2:$BA$201,"&lt;"&amp;BA145)=0,1,0),0)</f>
        <v>0</v>
      </c>
      <c r="CM145" s="23" t="n">
        <f aca="false">IF(AND(BB145=1,U145="Y"),1,0)</f>
        <v>0</v>
      </c>
      <c r="CN145" s="23" t="n">
        <f aca="false">IF(CM145=1,IF(COUNTIFS($AZ$2:$AZ$201,AZ145,$CM$2:$CM$201,1,$H$2:$H$201,"&lt;"&amp;H145)+COUNTIFS($AZ$2:$AZ$201,AZ145,$CM$2:$CM$201,1,$H$2:$H$201,H145,$BA$2:$BA$201,"&lt;"&amp;BA145)=0,1,0),0)</f>
        <v>0</v>
      </c>
      <c r="CO145" s="23" t="n">
        <f aca="false">IF(AND(BB145=1,L145="Y"),1,0)</f>
        <v>0</v>
      </c>
      <c r="CP145" s="23" t="n">
        <f aca="false">IF(CO145=1,IF(COUNTIFS($AZ$2:$AZ$201,AZ145,$CO$2:$CO$201,1,$H$2:$H$201,"&lt;"&amp;H145)+COUNTIFS($AZ$2:$AZ$201,AZ145,$CO$2:$CO$201,1,$H$2:$H$201,H145,$BA$2:$BA$201,"&lt;"&amp;BA145)=0,1,0),0)</f>
        <v>0</v>
      </c>
      <c r="CQ145" s="23" t="n">
        <f aca="false">IF(AND(BB145=1,ISNUMBER(O145)),1,0)</f>
        <v>0</v>
      </c>
      <c r="CR145" s="23" t="n">
        <f aca="false">IF(CQ145=1,IF(COUNTIFS($AZ$2:$AZ$201,AZ145,$CQ$2:$CQ$201,1,$H$2:$H$201,"&lt;"&amp;H145)+COUNTIFS($AZ$2:$AZ$201,AZ145,$CQ$2:$CQ$201,1,$H$2:$H$201,H145,$BA$2:$BA$201,"&lt;"&amp;BA145)=0,1,0),0)</f>
        <v>0</v>
      </c>
      <c r="CS145" s="23" t="str">
        <f aca="false">IF(AND(CR145=1,INT(N(H145))&lt;=Config!$B$5),O145,"")</f>
        <v/>
      </c>
      <c r="CT145" s="23" t="str">
        <f aca="false">IF(AND(BB145=1,INT(N(H145))&lt;=Config!$B$5),AG145&amp;"","")</f>
        <v/>
      </c>
      <c r="CU145" s="23" t="n">
        <f aca="false">IF(AND(BB145=1,AU145="Y"),1,0)</f>
        <v>0</v>
      </c>
      <c r="CV145" s="23" t="n">
        <f aca="false">IF(CU145=1,IF(COUNTIFS($AZ$2:$AZ$201,AZ145,$CU$2:$CU$201,1,$H$2:$H$201,"&lt;"&amp;H145)+COUNTIFS($AZ$2:$AZ$201,AZ145,$CU$2:$CU$201,1,$H$2:$H$201,H145,$BA$2:$BA$201,"&lt;"&amp;BA145)=0,1,0),0)</f>
        <v>0</v>
      </c>
      <c r="CW145" s="23" t="str">
        <f aca="false">IF(BB145=1,IFERROR(MATCH($A145,INDEX(Clay_Offices!$A$2:$FZ$601,0,Sync!$C$5),0),""),"")</f>
        <v/>
      </c>
      <c r="CX145" s="23" t="str">
        <f aca="false">IF(CW145="","",IFERROR(INDEX(Clay_Offices!$A$2:$FZ$601,CW145,Sync!$C$7)&amp;"",""))</f>
        <v/>
      </c>
      <c r="CY145" s="23" t="str">
        <f aca="false">IF(CX145="","",IFERROR(INDEX(Lists!$K$2:$K$15,MATCH(CX145,Lists!$J$2:$J$15,0)),""))</f>
        <v/>
      </c>
      <c r="CZ145" s="23" t="str">
        <f aca="false">IF(CW145="","",IFERROR(INDEX(Clay_Offices!$A$2:$FZ$601,CW145,Sync!$C$17)&amp;"",""))</f>
        <v/>
      </c>
      <c r="DA145" s="35" t="str">
        <f aca="false">IF(CW145="","",IFERROR(N(INDEX(Clay_Offices!$A$2:$FZ$601,CW145,Sync!$C$16)),0))</f>
        <v/>
      </c>
      <c r="DB145" s="23" t="n">
        <f aca="false">IF(AND(BB145=1,OR(AR145="Y",AR145="N",AR145="maybe")),1,0)</f>
        <v>0</v>
      </c>
      <c r="DC145" s="23" t="n">
        <f aca="false">IF(AND(DB145=1),IF(COUNTIFS($A$2:$A$201,$A145,$DB$2:$DB$201,1,$H$2:$H$201,"&gt;"&amp;H145)+COUNTIFS($A$2:$A$201,$A145,$DB$2:$DB$201,1,$H$2:$H$201,H145,$BA$2:$BA$201,"&gt;"&amp;BA145)=0,1,0),0)</f>
        <v>0</v>
      </c>
      <c r="DD145" s="23" t="n">
        <f aca="false">IF(AND(DB145=1,INT(N(H145))&lt;=Config!$B$6),IF(COUNTIFS($AZ$2:$AZ$201,AZ145,$DB$2:$DB$201,1,$H$2:$H$201,"&gt;"&amp;H145,$H$2:$H$201,"&lt;"&amp;(Config!$B$6+1))+COUNTIFS($AZ$2:$AZ$201,AZ145,$DB$2:$DB$201,1,$H$2:$H$201,H145,$BA$2:$BA$201,"&gt;"&amp;BA145)=0,1,0),0)</f>
        <v>0</v>
      </c>
      <c r="DE145" s="23" t="n">
        <f aca="false">IF(AND(DB145=1,INT(N(H145))&lt;=Config!$B$7),IF(COUNTIFS($AZ$2:$AZ$201,AZ145,$DB$2:$DB$201,1,$H$2:$H$201,"&gt;"&amp;H145,$H$2:$H$201,"&lt;"&amp;(Config!$B$7+1))+COUNTIFS($AZ$2:$AZ$201,AZ145,$DB$2:$DB$201,1,$H$2:$H$201,H145,$BA$2:$BA$201,"&gt;"&amp;BA145)=0,1,0),0)</f>
        <v>0</v>
      </c>
      <c r="DF145" s="23" t="n">
        <f aca="false">IF(AND(DB145=1,INT(N(H145))&lt;=Config!$B$8),IF(COUNTIFS($AZ$2:$AZ$201,AZ145,$DB$2:$DB$201,1,$H$2:$H$201,"&gt;"&amp;H145,$H$2:$H$201,"&lt;"&amp;(Config!$B$8+1))+COUNTIFS($AZ$2:$AZ$201,AZ145,$DB$2:$DB$201,1,$H$2:$H$201,H145,$BA$2:$BA$201,"&gt;"&amp;BA145)=0,1,0),0)</f>
        <v>0</v>
      </c>
      <c r="DG145" s="23" t="n">
        <f aca="false">IF(AND(DB145=1,INT(N(H145))&lt;=Config!$B$5),IF(COUNTIFS($AZ$2:$AZ$201,AZ145,$DB$2:$DB$201,1,$H$2:$H$201,"&gt;"&amp;H145,$H$2:$H$201,"&lt;"&amp;(Config!$B$5+1))+COUNTIFS($AZ$2:$AZ$201,AZ145,$DB$2:$DB$201,1,$H$2:$H$201,H145,$BA$2:$BA$201,"&gt;"&amp;BA145)=0,1,0),0)</f>
        <v>0</v>
      </c>
      <c r="DH145" s="23" t="n">
        <f aca="false">IF(BB145=1,IF(COUNTIFS($AZ$2:$AZ$201,AZ145,$DD$2:$DD$201,1,$AR$2:$AR$201,"Y")&gt;0,1,0),0)</f>
        <v>0</v>
      </c>
      <c r="DI145" s="23" t="n">
        <f aca="false">IF(BB145=1,IF(COUNTIFS($AZ$2:$AZ$201,AZ145,$DE$2:$DE$201,1,$AR$2:$AR$201,"Y")&gt;0,1,0),0)</f>
        <v>0</v>
      </c>
      <c r="DJ145" s="23" t="n">
        <f aca="false">IF(BB145=1,IF(COUNTIFS($AZ$2:$AZ$201,AZ145,$DF$2:$DF$201,1,$AR$2:$AR$201,"Y")&gt;0,1,0),0)</f>
        <v>0</v>
      </c>
      <c r="DK145" s="23" t="n">
        <f aca="false">IF(BB145=1,IF(COUNTIFS($AZ$2:$AZ$201,AZ145,$DG$2:$DG$201,1,$AR$2:$AR$201,"Y")&gt;0,1,0),0)</f>
        <v>0</v>
      </c>
      <c r="DL145" s="23" t="n">
        <f aca="false">IF(AND(BF145=1,INT(N(H145))&lt;=Config!$B$6,DH145=1,EI145=0),1,0)</f>
        <v>0</v>
      </c>
      <c r="DM145" s="23" t="n">
        <f aca="false">IF(AND(BF145=1,INT(N(H145))&lt;=Config!$B$7,DI145=1,EI145=0),1,0)</f>
        <v>0</v>
      </c>
      <c r="DN145" s="23" t="n">
        <f aca="false">IF(AND(BF145=1,INT(N(H145))&lt;=Config!$B$8,DJ145=1,EI145=0),1,0)</f>
        <v>0</v>
      </c>
      <c r="DO145" s="23" t="n">
        <f aca="false">IF(AND(BF145=1,INT(N(H145))&lt;=Config!$B$5,DK145=1,EI145=0),1,0)</f>
        <v>0</v>
      </c>
      <c r="DP145" s="23" t="n">
        <f aca="false">IF(AND(CC145=1,INT(N(H145))&lt;=Config!$B$6,DH145=1,EI145=0),1,0)</f>
        <v>0</v>
      </c>
      <c r="DQ145" s="23" t="n">
        <f aca="false">IF(AND(CC145=1,INT(N(H145))&lt;=Config!$B$7,DI145=1,EI145=0),1,0)</f>
        <v>0</v>
      </c>
      <c r="DR145" s="23" t="n">
        <f aca="false">IF(AND(CC145=1,INT(N(H145))&lt;=Config!$B$8,DJ145=1,EI145=0),1,0)</f>
        <v>0</v>
      </c>
      <c r="DS145" s="23" t="n">
        <f aca="false">IF(AND(CC145=1,INT(N(H145))&lt;=Config!$B$5,DK145=1,EI145=0),1,0)</f>
        <v>0</v>
      </c>
      <c r="DT145" s="23" t="n">
        <f aca="false">IF(AND(CC145=1,INT(N(H145))&lt;=Config!$B$6,DH145=0),1,0)</f>
        <v>0</v>
      </c>
      <c r="DU145" s="23" t="n">
        <f aca="false">IF(AND(CC145=1,INT(N(H145))&lt;=Config!$B$7,DI145=0),1,0)</f>
        <v>0</v>
      </c>
      <c r="DV145" s="23" t="n">
        <f aca="false">IF(AND(CC145=1,INT(N(H145))&lt;=Config!$B$8,DJ145=0),1,0)</f>
        <v>0</v>
      </c>
      <c r="DW145" s="23" t="n">
        <f aca="false">IF(AND(CC145=1,INT(N(H145))&lt;=Config!$B$5,DK145=0),1,0)</f>
        <v>0</v>
      </c>
      <c r="DX145" s="23" t="n">
        <f aca="false">IF(TRIM($A145)="",0,ISTEXT(M145)+ISTEXT(O145)+ISTEXT(Y145)+ISTEXT(Z145)+ISTEXT(AA145)+ISTEXT(AV145))</f>
        <v>0</v>
      </c>
      <c r="DY145" s="23" t="n">
        <f aca="false">IF(BB145=1,IF(H145&lt;&gt;INT(H145),1,0),0)</f>
        <v>0</v>
      </c>
      <c r="DZ145" s="23" t="str">
        <f aca="false">IF(TRIM($A145)="","",IF(TRIM(B145)="",SUBSTITUTE(SUBSTITUTE(SUBSTITUTE(SUBSTITUTE(SUBSTITUTE(SUBSTITUTE(LOWER(TRIM($A145)),"~",""),"*",""),"?",""),"&lt;",""),"&gt;",""),"=",""),SUBSTITUTE(SUBSTITUTE(SUBSTITUTE(SUBSTITUTE(SUBSTITUTE(SUBSTITUTE(LOWER(TRIM(B145)),"~",""),"*",""),"?",""),"&lt;",""),"&gt;",""),"=","")))</f>
        <v/>
      </c>
      <c r="EA145" s="23" t="str">
        <f aca="false">IF(CW145="","",IFERROR(IF(LEFT(LOWER(TRIM(INDEX(Clay_Offices!$A$2:$FZ$601,CW145,Sync!$C$19)&amp;"")),4)="grp-",SUBSTITUTE(SUBSTITUTE(SUBSTITUTE(SUBSTITUTE(SUBSTITUTE(SUBSTITUTE(LOWER(TRIM(INDEX(Clay_Offices!$A$2:$FZ$601,CW145,Sync!$C$19)&amp;"")),"~",""),"*",""),"?",""),"&lt;",""),"&gt;",""),"=",""),""),""))</f>
        <v/>
      </c>
      <c r="EB145" s="23" t="str">
        <f aca="false">IF(EA145&lt;&gt;"",DZ145,"")</f>
        <v/>
      </c>
      <c r="EC145" s="23" t="str">
        <f aca="false">IF(BC145=1,AZ145,"")</f>
        <v/>
      </c>
      <c r="ED145" s="23" t="str">
        <f aca="false">IF(TRIM($A145)="","",IFERROR(INDEX($A$2:$A$201,MATCH(AZ145,$EC$2:$EC$201,0))&amp;"",$A145&amp;""))</f>
        <v/>
      </c>
      <c r="EE145" s="23" t="n">
        <f aca="false">IF(BB145=1,IF(COUNTIFS($A$2:$A$201,$A145,$BB$2:$BB$201,1,$H$2:$H$201,"&lt;"&amp;H145)+COUNTIFS($A$2:$A$201,$A145,$BB$2:$BB$201,1,$H$2:$H$201,H145,$BA$2:$BA$201,"&lt;"&amp;BA145)=0,1,0),0)</f>
        <v>0</v>
      </c>
      <c r="EF145" s="23" t="n">
        <f aca="false">IF(BC145=1,IF(COUNTIFS($AZ$2:$AZ$201,AZ145,$EE$2:$EE$201,1)&gt;1,1,0),0)</f>
        <v>0</v>
      </c>
      <c r="EG145" s="23" t="n">
        <f aca="false">IF(AND(CQ145=1),IF(COUNTIFS($AZ$2:$AZ$201,AZ145,$CQ$2:$CQ$201,1,$H$2:$H$201,"&gt;"&amp;H145)+COUNTIFS($AZ$2:$AZ$201,AZ145,$CQ$2:$CQ$201,1,$H$2:$H$201,H145,$BA$2:$BA$201,"&gt;"&amp;BA145)=0,1,0),0)</f>
        <v>0</v>
      </c>
      <c r="EH145" s="23" t="str">
        <f aca="false">IF(BB145=1,IF(COUNTIFS($AZ$2:$AZ$201,AZ145,$EG$2:$EG$201,1)=0,"",SUMIFS($O$2:$O$201,$AZ$2:$AZ$201,AZ145,$EG$2:$EG$201,1)),"")</f>
        <v/>
      </c>
      <c r="EI145" s="23" t="n">
        <f aca="false">IF(AND(ISNUMBER(EH145),OR(N(EH145)&lt;Config!$B$31,N(EH145)&gt;Config!$B$33)),1,0)</f>
        <v>0</v>
      </c>
      <c r="EJ145" s="23" t="n">
        <f aca="false">IF(AND(ISNUMBER(EH145),N(EH145)&gt;=Config!$B$31,N(EH145)&lt;Config!$B$32),1,0)</f>
        <v>0</v>
      </c>
      <c r="EK145" s="23" t="n">
        <f aca="false">IF(AND(BF145=1,INT(N(H145))&lt;=Config!$B$6,DH145=1,EI145=1),1,0)</f>
        <v>0</v>
      </c>
      <c r="EL145" s="23" t="n">
        <f aca="false">IF(AND(BF145=1,INT(N(H145))&lt;=Config!$B$7,DI145=1,EI145=1),1,0)</f>
        <v>0</v>
      </c>
      <c r="EM145" s="23" t="n">
        <f aca="false">IF(AND(BF145=1,INT(N(H145))&lt;=Config!$B$8,DJ145=1,EI145=1),1,0)</f>
        <v>0</v>
      </c>
      <c r="EN145" s="23" t="n">
        <f aca="false">IF(AND(BF145=1,INT(N(H145))&lt;=Config!$B$5,DK145=1,EI145=1),1,0)</f>
        <v>0</v>
      </c>
      <c r="EO145" s="23" t="n">
        <f aca="false">IF(AND(DL145=1,EJ145=1),1,0)</f>
        <v>0</v>
      </c>
      <c r="EP145" s="23" t="n">
        <f aca="false">IF(AND(DM145=1,EJ145=1),1,0)</f>
        <v>0</v>
      </c>
      <c r="EQ145" s="23" t="n">
        <f aca="false">IF(AND(DN145=1,EJ145=1),1,0)</f>
        <v>0</v>
      </c>
      <c r="ER145" s="23" t="n">
        <f aca="false">IF(AND(DO145=1,EJ145=1),1,0)</f>
        <v>0</v>
      </c>
    </row>
    <row r="146" customFormat="false" ht="15" hidden="false" customHeight="false" outlineLevel="0" collapsed="false">
      <c r="G146" s="32"/>
      <c r="H146" s="33"/>
      <c r="I146" s="32"/>
      <c r="L146" s="32"/>
      <c r="Q146" s="32"/>
      <c r="U146" s="32"/>
      <c r="W146" s="32"/>
      <c r="AC146" s="32"/>
      <c r="AF146" s="32"/>
      <c r="AI146" s="32"/>
      <c r="AJ146" s="32"/>
      <c r="AN146" s="32"/>
      <c r="AR146" s="32"/>
      <c r="AT146" s="32"/>
      <c r="AU146" s="32"/>
      <c r="AW146" s="32"/>
      <c r="AY146" s="34" t="str">
        <f aca="false">IF(TRIM($A146)="","",IF(AND(LEFT($A146,6)="SAMPLE",Config!$B$19&lt;&gt;"Y"),"",IF(NOT(ISNUMBER(H146)),"call_date is blank or not a date",IF(Sync!$C$5="","Clay paste is empty or has no row_id column: paste the Clay export on Clay_Offices",IF(CW146="","row_id not found in the Clay paste: add the Clay row or fix the row_id",IF(AND(ISNUMBER(CY146),CY146&gt;=1,CY146&lt;=5),"Clay status is "&amp;CX146&amp;": set call_done or later",IF(AND(BD146=1,CZ146&lt;&gt;BZ146),"Clay yes_in_principle should be "&amp;BZ146,IF(AND(BD146=1,DA146&lt;&gt;H146),"Clay call_date should be "&amp;TEXT(H146,"yyyy-mm-dd"),""))))))))</f>
        <v/>
      </c>
      <c r="AZ146" s="23" t="str">
        <f aca="false">IF(TRIM($A146)="","",IF(TRIM(C146)&lt;&gt;"",SUBSTITUTE(SUBSTITUTE(SUBSTITUTE(SUBSTITUTE(SUBSTITUTE(SUBSTITUTE(LOWER(TRIM(C146)),"~",""),"*",""),"?",""),"&lt;",""),"&gt;",""),"=",""),IF(EA146&lt;&gt;"",EA146,IFERROR(INDEX($EA$2:$EA$201,MATCH(DZ146,$EB$2:$EB$201,0)),DZ146))))</f>
        <v/>
      </c>
      <c r="BA146" s="23" t="n">
        <f aca="false">ROW()</f>
        <v>146</v>
      </c>
      <c r="BB146" s="23" t="n">
        <f aca="false">IF(AND(TRIM($A146)&lt;&gt;"",ISNUMBER(H146)),IF(AND(LEFT($A146,6)="SAMPLE",Config!$B$19&lt;&gt;"Y"),0,1),0)</f>
        <v>0</v>
      </c>
      <c r="BC146" s="23" t="n">
        <f aca="false">IF(BB146=1,IF(COUNTIFS($AZ$2:$AZ$201,AZ146,$BB$2:$BB$201,1,$H$2:$H$201,"&lt;"&amp;H146)+COUNTIFS($AZ$2:$AZ$201,AZ146,$BB$2:$BB$201,1,$H$2:$H$201,H146,$BA$2:$BA$201,"&lt;"&amp;BA146)=0,1,0),0)</f>
        <v>0</v>
      </c>
      <c r="BD146" s="23" t="n">
        <f aca="false">IF(BB146=1,IF(COUNTIFS($A$2:$A$201,$A146,$BB$2:$BB$201,1,$H$2:$H$201,"&gt;"&amp;H146)+COUNTIFS($A$2:$A$201,$A146,$BB$2:$BB$201,1,$H$2:$H$201,H146,$BA$2:$BA$201,"&gt;"&amp;BA146)=0,1,0),0)</f>
        <v>0</v>
      </c>
      <c r="BE146" s="23" t="n">
        <f aca="false">IF(AND(BB146=1,AR146="Y",AC146="Y",TRIM(AH146)&lt;&gt;""),1,0)</f>
        <v>0</v>
      </c>
      <c r="BF146" s="23" t="n">
        <f aca="false">IF(BE146=1,IF(COUNTIFS($AZ$2:$AZ$201,AZ146,$BE$2:$BE$201,1,$H$2:$H$201,"&lt;"&amp;H146)+COUNTIFS($AZ$2:$AZ$201,AZ146,$BE$2:$BE$201,1,$H$2:$H$201,H146,$BA$2:$BA$201,"&lt;"&amp;BA146)=0,1,0),0)</f>
        <v>0</v>
      </c>
      <c r="BG146" s="23" t="n">
        <f aca="false">IF(AND(BB146=1,AR146="Y",BE146=0),1,0)</f>
        <v>0</v>
      </c>
      <c r="BH146" s="23" t="n">
        <f aca="false">IF(AND(BB146=1,ISNUMBER(Y146)),1,0)</f>
        <v>0</v>
      </c>
      <c r="BI146" s="23" t="n">
        <f aca="false">IF(BH146=1,IF(COUNTIFS($AZ$2:$AZ$201,AZ146,$BH$2:$BH$201,1,$H$2:$H$201,"&lt;"&amp;H146)+COUNTIFS($AZ$2:$AZ$201,AZ146,$BH$2:$BH$201,1,$H$2:$H$201,H146,$BA$2:$BA$201,"&lt;"&amp;BA146)=0,1,0),0)</f>
        <v>0</v>
      </c>
      <c r="BJ146" s="23" t="str">
        <f aca="false">IF(AND(BI146=1,INT(N(H146))&lt;=Config!$B$6),Y146,"")</f>
        <v/>
      </c>
      <c r="BK146" s="23" t="str">
        <f aca="false">IF(AND(BI146=1,INT(N(H146))&lt;=Config!$B$7),Y146,"")</f>
        <v/>
      </c>
      <c r="BL146" s="23" t="str">
        <f aca="false">IF(AND(BI146=1,INT(N(H146))&lt;=Config!$B$8),Y146,"")</f>
        <v/>
      </c>
      <c r="BM146" s="23" t="str">
        <f aca="false">IF(AND(BI146=1,INT(N(H146))&lt;=Config!$B$5),Y146,"")</f>
        <v/>
      </c>
      <c r="BN146" s="23" t="n">
        <f aca="false">IF(CD146=1,IF(COUNTIFS($AZ$2:$AZ$201,AZ146,$CD$2:$CD$201,1,$H$2:$H$201,"&lt;"&amp;H146)+COUNTIFS($AZ$2:$AZ$201,AZ146,$CD$2:$CD$201,1,$H$2:$H$201,H146,$BA$2:$BA$201,"&lt;"&amp;BA146)=0,1,0),0)</f>
        <v>0</v>
      </c>
      <c r="BO146" s="23" t="n">
        <f aca="false">IF(AND(BB146=1,ISNUMBER(M146)),1,0)</f>
        <v>0</v>
      </c>
      <c r="BP146" s="23" t="n">
        <f aca="false">IF(BO146=1,IF(COUNTIFS($AZ$2:$AZ$201,AZ146,$BO$2:$BO$201,1,$H$2:$H$201,"&lt;"&amp;H146)+COUNTIFS($AZ$2:$AZ$201,AZ146,$BO$2:$BO$201,1,$H$2:$H$201,H146,$BA$2:$BA$201,"&lt;"&amp;BA146)=0,1,0),0)</f>
        <v>0</v>
      </c>
      <c r="BQ146" s="23" t="str">
        <f aca="false">IF(AND(BP146=1,INT(N(H146))&lt;=Config!$B$5),M146,"")</f>
        <v/>
      </c>
      <c r="BR146" s="23" t="n">
        <f aca="false">IF(AND(BB146=1,OR(TRIM(X146)&lt;&gt;"",ISNUMBER(Y146))),1,0)</f>
        <v>0</v>
      </c>
      <c r="BS146" s="23" t="n">
        <f aca="false">IF(BR146=1,IF(COUNTIFS($AZ$2:$AZ$201,AZ146,$BR$2:$BR$201,1,$H$2:$H$201,"&lt;"&amp;H146)+COUNTIFS($AZ$2:$AZ$201,AZ146,$BR$2:$BR$201,1,$H$2:$H$201,H146,$BA$2:$BA$201,"&lt;"&amp;BA146)=0,1,0),0)</f>
        <v>0</v>
      </c>
      <c r="BT146" s="23" t="str">
        <f aca="false">IF(BS146=1,AZ146,"")</f>
        <v/>
      </c>
      <c r="BU146" s="23" t="n">
        <f aca="false">IF(AND(BB146=1,W146="Y",TRIM(X146)=""),1,0)</f>
        <v>0</v>
      </c>
      <c r="BV146" s="23" t="str">
        <f aca="false">IF(BB146=1,AN146&amp;"","")</f>
        <v/>
      </c>
      <c r="BW146" s="23" t="str">
        <f aca="false">IF(BB146=1,AO146&amp;"","")</f>
        <v/>
      </c>
      <c r="BX146" s="23" t="str">
        <f aca="false">IF(BB146=1,AP146&amp;"","")</f>
        <v/>
      </c>
      <c r="BY146" s="23" t="str">
        <f aca="false">IF(AND(BB146=1,ISNUMBER(AV146),INT(N(H146))&lt;=Config!$B$5),AV146,"")</f>
        <v/>
      </c>
      <c r="BZ146" s="23" t="str">
        <f aca="false">IF(BB146=1,IF(COUNTIFS($A$2:$A$201,$A146,$DC$2:$DC$201,1,$AR$2:$AR$201,"Y")&gt;0,"Y","N"),"")</f>
        <v/>
      </c>
      <c r="CA146" s="23" t="n">
        <f aca="false">IF(AND(BB146=1,AR146="maybe"),1,0)</f>
        <v>0</v>
      </c>
      <c r="CB146" s="23" t="n">
        <f aca="false">IF(CA146=1,IF(COUNTIFS($AZ$2:$AZ$201,AZ146,$CA$2:$CA$201,1,$H$2:$H$201,"&lt;"&amp;H146)+COUNTIFS($AZ$2:$AZ$201,AZ146,$CA$2:$CA$201,1,$H$2:$H$201,H146,$BA$2:$BA$201,"&lt;"&amp;BA146)=0,1,0),0)</f>
        <v>0</v>
      </c>
      <c r="CC146" s="23" t="n">
        <f aca="false">IF(AND(BB146=1,AR146="Y"),IF(COUNTIFS($AZ$2:$AZ$201,AZ146,$AR$2:$AR$201,"Y",$BB$2:$BB$201,1,$H$2:$H$201,"&lt;"&amp;H146)+COUNTIFS($AZ$2:$AZ$201,AZ146,$AR$2:$AR$201,"Y",$BB$2:$BB$201,1,$H$2:$H$201,H146,$BA$2:$BA$201,"&lt;"&amp;BA146)=0,1,0),0)</f>
        <v>0</v>
      </c>
      <c r="CD146" s="23" t="n">
        <f aca="false">IF(AND(BH146=1,N(Y146)&gt;=Config!$B$15),1,0)</f>
        <v>0</v>
      </c>
      <c r="CE146" s="23" t="n">
        <f aca="false">IF(AND(BB146=1,AT146="Y"),1,0)</f>
        <v>0</v>
      </c>
      <c r="CF146" s="23" t="n">
        <f aca="false">IF(CE146=1,IF(COUNTIFS($AZ$2:$AZ$201,AZ146,$CE$2:$CE$201,1,$H$2:$H$201,"&lt;"&amp;H146)+COUNTIFS($AZ$2:$AZ$201,AZ146,$CE$2:$CE$201,1,$H$2:$H$201,H146,$BA$2:$BA$201,"&lt;"&amp;BA146)=0,1,0),0)</f>
        <v>0</v>
      </c>
      <c r="CG146" s="23" t="n">
        <f aca="false">IF(AND(BB146=1,G146="warm-intro"),1,0)</f>
        <v>0</v>
      </c>
      <c r="CH146" s="23" t="n">
        <f aca="false">IF(CG146=1,IF(COUNTIFS($AZ$2:$AZ$201,AZ146,$CG$2:$CG$201,1,$H$2:$H$201,"&lt;"&amp;H146)+COUNTIFS($AZ$2:$AZ$201,AZ146,$CG$2:$CG$201,1,$H$2:$H$201,H146,$BA$2:$BA$201,"&lt;"&amp;BA146)=0,1,0),0)</f>
        <v>0</v>
      </c>
      <c r="CI146" s="23" t="n">
        <f aca="false">IF(AND(BB146=1,Q146="Y"),1,0)</f>
        <v>0</v>
      </c>
      <c r="CJ146" s="23" t="n">
        <f aca="false">IF(CI146=1,IF(COUNTIFS($AZ$2:$AZ$201,AZ146,$CI$2:$CI$201,1,$H$2:$H$201,"&lt;"&amp;H146)+COUNTIFS($AZ$2:$AZ$201,AZ146,$CI$2:$CI$201,1,$H$2:$H$201,H146,$BA$2:$BA$201,"&lt;"&amp;BA146)=0,1,0),0)</f>
        <v>0</v>
      </c>
      <c r="CK146" s="23" t="n">
        <f aca="false">IF(AND(BB146=1,AF146="Y"),1,0)</f>
        <v>0</v>
      </c>
      <c r="CL146" s="23" t="n">
        <f aca="false">IF(CK146=1,IF(COUNTIFS($AZ$2:$AZ$201,AZ146,$CK$2:$CK$201,1,$H$2:$H$201,"&lt;"&amp;H146)+COUNTIFS($AZ$2:$AZ$201,AZ146,$CK$2:$CK$201,1,$H$2:$H$201,H146,$BA$2:$BA$201,"&lt;"&amp;BA146)=0,1,0),0)</f>
        <v>0</v>
      </c>
      <c r="CM146" s="23" t="n">
        <f aca="false">IF(AND(BB146=1,U146="Y"),1,0)</f>
        <v>0</v>
      </c>
      <c r="CN146" s="23" t="n">
        <f aca="false">IF(CM146=1,IF(COUNTIFS($AZ$2:$AZ$201,AZ146,$CM$2:$CM$201,1,$H$2:$H$201,"&lt;"&amp;H146)+COUNTIFS($AZ$2:$AZ$201,AZ146,$CM$2:$CM$201,1,$H$2:$H$201,H146,$BA$2:$BA$201,"&lt;"&amp;BA146)=0,1,0),0)</f>
        <v>0</v>
      </c>
      <c r="CO146" s="23" t="n">
        <f aca="false">IF(AND(BB146=1,L146="Y"),1,0)</f>
        <v>0</v>
      </c>
      <c r="CP146" s="23" t="n">
        <f aca="false">IF(CO146=1,IF(COUNTIFS($AZ$2:$AZ$201,AZ146,$CO$2:$CO$201,1,$H$2:$H$201,"&lt;"&amp;H146)+COUNTIFS($AZ$2:$AZ$201,AZ146,$CO$2:$CO$201,1,$H$2:$H$201,H146,$BA$2:$BA$201,"&lt;"&amp;BA146)=0,1,0),0)</f>
        <v>0</v>
      </c>
      <c r="CQ146" s="23" t="n">
        <f aca="false">IF(AND(BB146=1,ISNUMBER(O146)),1,0)</f>
        <v>0</v>
      </c>
      <c r="CR146" s="23" t="n">
        <f aca="false">IF(CQ146=1,IF(COUNTIFS($AZ$2:$AZ$201,AZ146,$CQ$2:$CQ$201,1,$H$2:$H$201,"&lt;"&amp;H146)+COUNTIFS($AZ$2:$AZ$201,AZ146,$CQ$2:$CQ$201,1,$H$2:$H$201,H146,$BA$2:$BA$201,"&lt;"&amp;BA146)=0,1,0),0)</f>
        <v>0</v>
      </c>
      <c r="CS146" s="23" t="str">
        <f aca="false">IF(AND(CR146=1,INT(N(H146))&lt;=Config!$B$5),O146,"")</f>
        <v/>
      </c>
      <c r="CT146" s="23" t="str">
        <f aca="false">IF(AND(BB146=1,INT(N(H146))&lt;=Config!$B$5),AG146&amp;"","")</f>
        <v/>
      </c>
      <c r="CU146" s="23" t="n">
        <f aca="false">IF(AND(BB146=1,AU146="Y"),1,0)</f>
        <v>0</v>
      </c>
      <c r="CV146" s="23" t="n">
        <f aca="false">IF(CU146=1,IF(COUNTIFS($AZ$2:$AZ$201,AZ146,$CU$2:$CU$201,1,$H$2:$H$201,"&lt;"&amp;H146)+COUNTIFS($AZ$2:$AZ$201,AZ146,$CU$2:$CU$201,1,$H$2:$H$201,H146,$BA$2:$BA$201,"&lt;"&amp;BA146)=0,1,0),0)</f>
        <v>0</v>
      </c>
      <c r="CW146" s="23" t="str">
        <f aca="false">IF(BB146=1,IFERROR(MATCH($A146,INDEX(Clay_Offices!$A$2:$FZ$601,0,Sync!$C$5),0),""),"")</f>
        <v/>
      </c>
      <c r="CX146" s="23" t="str">
        <f aca="false">IF(CW146="","",IFERROR(INDEX(Clay_Offices!$A$2:$FZ$601,CW146,Sync!$C$7)&amp;"",""))</f>
        <v/>
      </c>
      <c r="CY146" s="23" t="str">
        <f aca="false">IF(CX146="","",IFERROR(INDEX(Lists!$K$2:$K$15,MATCH(CX146,Lists!$J$2:$J$15,0)),""))</f>
        <v/>
      </c>
      <c r="CZ146" s="23" t="str">
        <f aca="false">IF(CW146="","",IFERROR(INDEX(Clay_Offices!$A$2:$FZ$601,CW146,Sync!$C$17)&amp;"",""))</f>
        <v/>
      </c>
      <c r="DA146" s="35" t="str">
        <f aca="false">IF(CW146="","",IFERROR(N(INDEX(Clay_Offices!$A$2:$FZ$601,CW146,Sync!$C$16)),0))</f>
        <v/>
      </c>
      <c r="DB146" s="23" t="n">
        <f aca="false">IF(AND(BB146=1,OR(AR146="Y",AR146="N",AR146="maybe")),1,0)</f>
        <v>0</v>
      </c>
      <c r="DC146" s="23" t="n">
        <f aca="false">IF(AND(DB146=1),IF(COUNTIFS($A$2:$A$201,$A146,$DB$2:$DB$201,1,$H$2:$H$201,"&gt;"&amp;H146)+COUNTIFS($A$2:$A$201,$A146,$DB$2:$DB$201,1,$H$2:$H$201,H146,$BA$2:$BA$201,"&gt;"&amp;BA146)=0,1,0),0)</f>
        <v>0</v>
      </c>
      <c r="DD146" s="23" t="n">
        <f aca="false">IF(AND(DB146=1,INT(N(H146))&lt;=Config!$B$6),IF(COUNTIFS($AZ$2:$AZ$201,AZ146,$DB$2:$DB$201,1,$H$2:$H$201,"&gt;"&amp;H146,$H$2:$H$201,"&lt;"&amp;(Config!$B$6+1))+COUNTIFS($AZ$2:$AZ$201,AZ146,$DB$2:$DB$201,1,$H$2:$H$201,H146,$BA$2:$BA$201,"&gt;"&amp;BA146)=0,1,0),0)</f>
        <v>0</v>
      </c>
      <c r="DE146" s="23" t="n">
        <f aca="false">IF(AND(DB146=1,INT(N(H146))&lt;=Config!$B$7),IF(COUNTIFS($AZ$2:$AZ$201,AZ146,$DB$2:$DB$201,1,$H$2:$H$201,"&gt;"&amp;H146,$H$2:$H$201,"&lt;"&amp;(Config!$B$7+1))+COUNTIFS($AZ$2:$AZ$201,AZ146,$DB$2:$DB$201,1,$H$2:$H$201,H146,$BA$2:$BA$201,"&gt;"&amp;BA146)=0,1,0),0)</f>
        <v>0</v>
      </c>
      <c r="DF146" s="23" t="n">
        <f aca="false">IF(AND(DB146=1,INT(N(H146))&lt;=Config!$B$8),IF(COUNTIFS($AZ$2:$AZ$201,AZ146,$DB$2:$DB$201,1,$H$2:$H$201,"&gt;"&amp;H146,$H$2:$H$201,"&lt;"&amp;(Config!$B$8+1))+COUNTIFS($AZ$2:$AZ$201,AZ146,$DB$2:$DB$201,1,$H$2:$H$201,H146,$BA$2:$BA$201,"&gt;"&amp;BA146)=0,1,0),0)</f>
        <v>0</v>
      </c>
      <c r="DG146" s="23" t="n">
        <f aca="false">IF(AND(DB146=1,INT(N(H146))&lt;=Config!$B$5),IF(COUNTIFS($AZ$2:$AZ$201,AZ146,$DB$2:$DB$201,1,$H$2:$H$201,"&gt;"&amp;H146,$H$2:$H$201,"&lt;"&amp;(Config!$B$5+1))+COUNTIFS($AZ$2:$AZ$201,AZ146,$DB$2:$DB$201,1,$H$2:$H$201,H146,$BA$2:$BA$201,"&gt;"&amp;BA146)=0,1,0),0)</f>
        <v>0</v>
      </c>
      <c r="DH146" s="23" t="n">
        <f aca="false">IF(BB146=1,IF(COUNTIFS($AZ$2:$AZ$201,AZ146,$DD$2:$DD$201,1,$AR$2:$AR$201,"Y")&gt;0,1,0),0)</f>
        <v>0</v>
      </c>
      <c r="DI146" s="23" t="n">
        <f aca="false">IF(BB146=1,IF(COUNTIFS($AZ$2:$AZ$201,AZ146,$DE$2:$DE$201,1,$AR$2:$AR$201,"Y")&gt;0,1,0),0)</f>
        <v>0</v>
      </c>
      <c r="DJ146" s="23" t="n">
        <f aca="false">IF(BB146=1,IF(COUNTIFS($AZ$2:$AZ$201,AZ146,$DF$2:$DF$201,1,$AR$2:$AR$201,"Y")&gt;0,1,0),0)</f>
        <v>0</v>
      </c>
      <c r="DK146" s="23" t="n">
        <f aca="false">IF(BB146=1,IF(COUNTIFS($AZ$2:$AZ$201,AZ146,$DG$2:$DG$201,1,$AR$2:$AR$201,"Y")&gt;0,1,0),0)</f>
        <v>0</v>
      </c>
      <c r="DL146" s="23" t="n">
        <f aca="false">IF(AND(BF146=1,INT(N(H146))&lt;=Config!$B$6,DH146=1,EI146=0),1,0)</f>
        <v>0</v>
      </c>
      <c r="DM146" s="23" t="n">
        <f aca="false">IF(AND(BF146=1,INT(N(H146))&lt;=Config!$B$7,DI146=1,EI146=0),1,0)</f>
        <v>0</v>
      </c>
      <c r="DN146" s="23" t="n">
        <f aca="false">IF(AND(BF146=1,INT(N(H146))&lt;=Config!$B$8,DJ146=1,EI146=0),1,0)</f>
        <v>0</v>
      </c>
      <c r="DO146" s="23" t="n">
        <f aca="false">IF(AND(BF146=1,INT(N(H146))&lt;=Config!$B$5,DK146=1,EI146=0),1,0)</f>
        <v>0</v>
      </c>
      <c r="DP146" s="23" t="n">
        <f aca="false">IF(AND(CC146=1,INT(N(H146))&lt;=Config!$B$6,DH146=1,EI146=0),1,0)</f>
        <v>0</v>
      </c>
      <c r="DQ146" s="23" t="n">
        <f aca="false">IF(AND(CC146=1,INT(N(H146))&lt;=Config!$B$7,DI146=1,EI146=0),1,0)</f>
        <v>0</v>
      </c>
      <c r="DR146" s="23" t="n">
        <f aca="false">IF(AND(CC146=1,INT(N(H146))&lt;=Config!$B$8,DJ146=1,EI146=0),1,0)</f>
        <v>0</v>
      </c>
      <c r="DS146" s="23" t="n">
        <f aca="false">IF(AND(CC146=1,INT(N(H146))&lt;=Config!$B$5,DK146=1,EI146=0),1,0)</f>
        <v>0</v>
      </c>
      <c r="DT146" s="23" t="n">
        <f aca="false">IF(AND(CC146=1,INT(N(H146))&lt;=Config!$B$6,DH146=0),1,0)</f>
        <v>0</v>
      </c>
      <c r="DU146" s="23" t="n">
        <f aca="false">IF(AND(CC146=1,INT(N(H146))&lt;=Config!$B$7,DI146=0),1,0)</f>
        <v>0</v>
      </c>
      <c r="DV146" s="23" t="n">
        <f aca="false">IF(AND(CC146=1,INT(N(H146))&lt;=Config!$B$8,DJ146=0),1,0)</f>
        <v>0</v>
      </c>
      <c r="DW146" s="23" t="n">
        <f aca="false">IF(AND(CC146=1,INT(N(H146))&lt;=Config!$B$5,DK146=0),1,0)</f>
        <v>0</v>
      </c>
      <c r="DX146" s="23" t="n">
        <f aca="false">IF(TRIM($A146)="",0,ISTEXT(M146)+ISTEXT(O146)+ISTEXT(Y146)+ISTEXT(Z146)+ISTEXT(AA146)+ISTEXT(AV146))</f>
        <v>0</v>
      </c>
      <c r="DY146" s="23" t="n">
        <f aca="false">IF(BB146=1,IF(H146&lt;&gt;INT(H146),1,0),0)</f>
        <v>0</v>
      </c>
      <c r="DZ146" s="23" t="str">
        <f aca="false">IF(TRIM($A146)="","",IF(TRIM(B146)="",SUBSTITUTE(SUBSTITUTE(SUBSTITUTE(SUBSTITUTE(SUBSTITUTE(SUBSTITUTE(LOWER(TRIM($A146)),"~",""),"*",""),"?",""),"&lt;",""),"&gt;",""),"=",""),SUBSTITUTE(SUBSTITUTE(SUBSTITUTE(SUBSTITUTE(SUBSTITUTE(SUBSTITUTE(LOWER(TRIM(B146)),"~",""),"*",""),"?",""),"&lt;",""),"&gt;",""),"=","")))</f>
        <v/>
      </c>
      <c r="EA146" s="23" t="str">
        <f aca="false">IF(CW146="","",IFERROR(IF(LEFT(LOWER(TRIM(INDEX(Clay_Offices!$A$2:$FZ$601,CW146,Sync!$C$19)&amp;"")),4)="grp-",SUBSTITUTE(SUBSTITUTE(SUBSTITUTE(SUBSTITUTE(SUBSTITUTE(SUBSTITUTE(LOWER(TRIM(INDEX(Clay_Offices!$A$2:$FZ$601,CW146,Sync!$C$19)&amp;"")),"~",""),"*",""),"?",""),"&lt;",""),"&gt;",""),"=",""),""),""))</f>
        <v/>
      </c>
      <c r="EB146" s="23" t="str">
        <f aca="false">IF(EA146&lt;&gt;"",DZ146,"")</f>
        <v/>
      </c>
      <c r="EC146" s="23" t="str">
        <f aca="false">IF(BC146=1,AZ146,"")</f>
        <v/>
      </c>
      <c r="ED146" s="23" t="str">
        <f aca="false">IF(TRIM($A146)="","",IFERROR(INDEX($A$2:$A$201,MATCH(AZ146,$EC$2:$EC$201,0))&amp;"",$A146&amp;""))</f>
        <v/>
      </c>
      <c r="EE146" s="23" t="n">
        <f aca="false">IF(BB146=1,IF(COUNTIFS($A$2:$A$201,$A146,$BB$2:$BB$201,1,$H$2:$H$201,"&lt;"&amp;H146)+COUNTIFS($A$2:$A$201,$A146,$BB$2:$BB$201,1,$H$2:$H$201,H146,$BA$2:$BA$201,"&lt;"&amp;BA146)=0,1,0),0)</f>
        <v>0</v>
      </c>
      <c r="EF146" s="23" t="n">
        <f aca="false">IF(BC146=1,IF(COUNTIFS($AZ$2:$AZ$201,AZ146,$EE$2:$EE$201,1)&gt;1,1,0),0)</f>
        <v>0</v>
      </c>
      <c r="EG146" s="23" t="n">
        <f aca="false">IF(AND(CQ146=1),IF(COUNTIFS($AZ$2:$AZ$201,AZ146,$CQ$2:$CQ$201,1,$H$2:$H$201,"&gt;"&amp;H146)+COUNTIFS($AZ$2:$AZ$201,AZ146,$CQ$2:$CQ$201,1,$H$2:$H$201,H146,$BA$2:$BA$201,"&gt;"&amp;BA146)=0,1,0),0)</f>
        <v>0</v>
      </c>
      <c r="EH146" s="23" t="str">
        <f aca="false">IF(BB146=1,IF(COUNTIFS($AZ$2:$AZ$201,AZ146,$EG$2:$EG$201,1)=0,"",SUMIFS($O$2:$O$201,$AZ$2:$AZ$201,AZ146,$EG$2:$EG$201,1)),"")</f>
        <v/>
      </c>
      <c r="EI146" s="23" t="n">
        <f aca="false">IF(AND(ISNUMBER(EH146),OR(N(EH146)&lt;Config!$B$31,N(EH146)&gt;Config!$B$33)),1,0)</f>
        <v>0</v>
      </c>
      <c r="EJ146" s="23" t="n">
        <f aca="false">IF(AND(ISNUMBER(EH146),N(EH146)&gt;=Config!$B$31,N(EH146)&lt;Config!$B$32),1,0)</f>
        <v>0</v>
      </c>
      <c r="EK146" s="23" t="n">
        <f aca="false">IF(AND(BF146=1,INT(N(H146))&lt;=Config!$B$6,DH146=1,EI146=1),1,0)</f>
        <v>0</v>
      </c>
      <c r="EL146" s="23" t="n">
        <f aca="false">IF(AND(BF146=1,INT(N(H146))&lt;=Config!$B$7,DI146=1,EI146=1),1,0)</f>
        <v>0</v>
      </c>
      <c r="EM146" s="23" t="n">
        <f aca="false">IF(AND(BF146=1,INT(N(H146))&lt;=Config!$B$8,DJ146=1,EI146=1),1,0)</f>
        <v>0</v>
      </c>
      <c r="EN146" s="23" t="n">
        <f aca="false">IF(AND(BF146=1,INT(N(H146))&lt;=Config!$B$5,DK146=1,EI146=1),1,0)</f>
        <v>0</v>
      </c>
      <c r="EO146" s="23" t="n">
        <f aca="false">IF(AND(DL146=1,EJ146=1),1,0)</f>
        <v>0</v>
      </c>
      <c r="EP146" s="23" t="n">
        <f aca="false">IF(AND(DM146=1,EJ146=1),1,0)</f>
        <v>0</v>
      </c>
      <c r="EQ146" s="23" t="n">
        <f aca="false">IF(AND(DN146=1,EJ146=1),1,0)</f>
        <v>0</v>
      </c>
      <c r="ER146" s="23" t="n">
        <f aca="false">IF(AND(DO146=1,EJ146=1),1,0)</f>
        <v>0</v>
      </c>
    </row>
    <row r="147" customFormat="false" ht="15" hidden="false" customHeight="false" outlineLevel="0" collapsed="false">
      <c r="G147" s="32"/>
      <c r="H147" s="33"/>
      <c r="I147" s="32"/>
      <c r="L147" s="32"/>
      <c r="Q147" s="32"/>
      <c r="U147" s="32"/>
      <c r="W147" s="32"/>
      <c r="AC147" s="32"/>
      <c r="AF147" s="32"/>
      <c r="AI147" s="32"/>
      <c r="AJ147" s="32"/>
      <c r="AN147" s="32"/>
      <c r="AR147" s="32"/>
      <c r="AT147" s="32"/>
      <c r="AU147" s="32"/>
      <c r="AW147" s="32"/>
      <c r="AY147" s="34" t="str">
        <f aca="false">IF(TRIM($A147)="","",IF(AND(LEFT($A147,6)="SAMPLE",Config!$B$19&lt;&gt;"Y"),"",IF(NOT(ISNUMBER(H147)),"call_date is blank or not a date",IF(Sync!$C$5="","Clay paste is empty or has no row_id column: paste the Clay export on Clay_Offices",IF(CW147="","row_id not found in the Clay paste: add the Clay row or fix the row_id",IF(AND(ISNUMBER(CY147),CY147&gt;=1,CY147&lt;=5),"Clay status is "&amp;CX147&amp;": set call_done or later",IF(AND(BD147=1,CZ147&lt;&gt;BZ147),"Clay yes_in_principle should be "&amp;BZ147,IF(AND(BD147=1,DA147&lt;&gt;H147),"Clay call_date should be "&amp;TEXT(H147,"yyyy-mm-dd"),""))))))))</f>
        <v/>
      </c>
      <c r="AZ147" s="23" t="str">
        <f aca="false">IF(TRIM($A147)="","",IF(TRIM(C147)&lt;&gt;"",SUBSTITUTE(SUBSTITUTE(SUBSTITUTE(SUBSTITUTE(SUBSTITUTE(SUBSTITUTE(LOWER(TRIM(C147)),"~",""),"*",""),"?",""),"&lt;",""),"&gt;",""),"=",""),IF(EA147&lt;&gt;"",EA147,IFERROR(INDEX($EA$2:$EA$201,MATCH(DZ147,$EB$2:$EB$201,0)),DZ147))))</f>
        <v/>
      </c>
      <c r="BA147" s="23" t="n">
        <f aca="false">ROW()</f>
        <v>147</v>
      </c>
      <c r="BB147" s="23" t="n">
        <f aca="false">IF(AND(TRIM($A147)&lt;&gt;"",ISNUMBER(H147)),IF(AND(LEFT($A147,6)="SAMPLE",Config!$B$19&lt;&gt;"Y"),0,1),0)</f>
        <v>0</v>
      </c>
      <c r="BC147" s="23" t="n">
        <f aca="false">IF(BB147=1,IF(COUNTIFS($AZ$2:$AZ$201,AZ147,$BB$2:$BB$201,1,$H$2:$H$201,"&lt;"&amp;H147)+COUNTIFS($AZ$2:$AZ$201,AZ147,$BB$2:$BB$201,1,$H$2:$H$201,H147,$BA$2:$BA$201,"&lt;"&amp;BA147)=0,1,0),0)</f>
        <v>0</v>
      </c>
      <c r="BD147" s="23" t="n">
        <f aca="false">IF(BB147=1,IF(COUNTIFS($A$2:$A$201,$A147,$BB$2:$BB$201,1,$H$2:$H$201,"&gt;"&amp;H147)+COUNTIFS($A$2:$A$201,$A147,$BB$2:$BB$201,1,$H$2:$H$201,H147,$BA$2:$BA$201,"&gt;"&amp;BA147)=0,1,0),0)</f>
        <v>0</v>
      </c>
      <c r="BE147" s="23" t="n">
        <f aca="false">IF(AND(BB147=1,AR147="Y",AC147="Y",TRIM(AH147)&lt;&gt;""),1,0)</f>
        <v>0</v>
      </c>
      <c r="BF147" s="23" t="n">
        <f aca="false">IF(BE147=1,IF(COUNTIFS($AZ$2:$AZ$201,AZ147,$BE$2:$BE$201,1,$H$2:$H$201,"&lt;"&amp;H147)+COUNTIFS($AZ$2:$AZ$201,AZ147,$BE$2:$BE$201,1,$H$2:$H$201,H147,$BA$2:$BA$201,"&lt;"&amp;BA147)=0,1,0),0)</f>
        <v>0</v>
      </c>
      <c r="BG147" s="23" t="n">
        <f aca="false">IF(AND(BB147=1,AR147="Y",BE147=0),1,0)</f>
        <v>0</v>
      </c>
      <c r="BH147" s="23" t="n">
        <f aca="false">IF(AND(BB147=1,ISNUMBER(Y147)),1,0)</f>
        <v>0</v>
      </c>
      <c r="BI147" s="23" t="n">
        <f aca="false">IF(BH147=1,IF(COUNTIFS($AZ$2:$AZ$201,AZ147,$BH$2:$BH$201,1,$H$2:$H$201,"&lt;"&amp;H147)+COUNTIFS($AZ$2:$AZ$201,AZ147,$BH$2:$BH$201,1,$H$2:$H$201,H147,$BA$2:$BA$201,"&lt;"&amp;BA147)=0,1,0),0)</f>
        <v>0</v>
      </c>
      <c r="BJ147" s="23" t="str">
        <f aca="false">IF(AND(BI147=1,INT(N(H147))&lt;=Config!$B$6),Y147,"")</f>
        <v/>
      </c>
      <c r="BK147" s="23" t="str">
        <f aca="false">IF(AND(BI147=1,INT(N(H147))&lt;=Config!$B$7),Y147,"")</f>
        <v/>
      </c>
      <c r="BL147" s="23" t="str">
        <f aca="false">IF(AND(BI147=1,INT(N(H147))&lt;=Config!$B$8),Y147,"")</f>
        <v/>
      </c>
      <c r="BM147" s="23" t="str">
        <f aca="false">IF(AND(BI147=1,INT(N(H147))&lt;=Config!$B$5),Y147,"")</f>
        <v/>
      </c>
      <c r="BN147" s="23" t="n">
        <f aca="false">IF(CD147=1,IF(COUNTIFS($AZ$2:$AZ$201,AZ147,$CD$2:$CD$201,1,$H$2:$H$201,"&lt;"&amp;H147)+COUNTIFS($AZ$2:$AZ$201,AZ147,$CD$2:$CD$201,1,$H$2:$H$201,H147,$BA$2:$BA$201,"&lt;"&amp;BA147)=0,1,0),0)</f>
        <v>0</v>
      </c>
      <c r="BO147" s="23" t="n">
        <f aca="false">IF(AND(BB147=1,ISNUMBER(M147)),1,0)</f>
        <v>0</v>
      </c>
      <c r="BP147" s="23" t="n">
        <f aca="false">IF(BO147=1,IF(COUNTIFS($AZ$2:$AZ$201,AZ147,$BO$2:$BO$201,1,$H$2:$H$201,"&lt;"&amp;H147)+COUNTIFS($AZ$2:$AZ$201,AZ147,$BO$2:$BO$201,1,$H$2:$H$201,H147,$BA$2:$BA$201,"&lt;"&amp;BA147)=0,1,0),0)</f>
        <v>0</v>
      </c>
      <c r="BQ147" s="23" t="str">
        <f aca="false">IF(AND(BP147=1,INT(N(H147))&lt;=Config!$B$5),M147,"")</f>
        <v/>
      </c>
      <c r="BR147" s="23" t="n">
        <f aca="false">IF(AND(BB147=1,OR(TRIM(X147)&lt;&gt;"",ISNUMBER(Y147))),1,0)</f>
        <v>0</v>
      </c>
      <c r="BS147" s="23" t="n">
        <f aca="false">IF(BR147=1,IF(COUNTIFS($AZ$2:$AZ$201,AZ147,$BR$2:$BR$201,1,$H$2:$H$201,"&lt;"&amp;H147)+COUNTIFS($AZ$2:$AZ$201,AZ147,$BR$2:$BR$201,1,$H$2:$H$201,H147,$BA$2:$BA$201,"&lt;"&amp;BA147)=0,1,0),0)</f>
        <v>0</v>
      </c>
      <c r="BT147" s="23" t="str">
        <f aca="false">IF(BS147=1,AZ147,"")</f>
        <v/>
      </c>
      <c r="BU147" s="23" t="n">
        <f aca="false">IF(AND(BB147=1,W147="Y",TRIM(X147)=""),1,0)</f>
        <v>0</v>
      </c>
      <c r="BV147" s="23" t="str">
        <f aca="false">IF(BB147=1,AN147&amp;"","")</f>
        <v/>
      </c>
      <c r="BW147" s="23" t="str">
        <f aca="false">IF(BB147=1,AO147&amp;"","")</f>
        <v/>
      </c>
      <c r="BX147" s="23" t="str">
        <f aca="false">IF(BB147=1,AP147&amp;"","")</f>
        <v/>
      </c>
      <c r="BY147" s="23" t="str">
        <f aca="false">IF(AND(BB147=1,ISNUMBER(AV147),INT(N(H147))&lt;=Config!$B$5),AV147,"")</f>
        <v/>
      </c>
      <c r="BZ147" s="23" t="str">
        <f aca="false">IF(BB147=1,IF(COUNTIFS($A$2:$A$201,$A147,$DC$2:$DC$201,1,$AR$2:$AR$201,"Y")&gt;0,"Y","N"),"")</f>
        <v/>
      </c>
      <c r="CA147" s="23" t="n">
        <f aca="false">IF(AND(BB147=1,AR147="maybe"),1,0)</f>
        <v>0</v>
      </c>
      <c r="CB147" s="23" t="n">
        <f aca="false">IF(CA147=1,IF(COUNTIFS($AZ$2:$AZ$201,AZ147,$CA$2:$CA$201,1,$H$2:$H$201,"&lt;"&amp;H147)+COUNTIFS($AZ$2:$AZ$201,AZ147,$CA$2:$CA$201,1,$H$2:$H$201,H147,$BA$2:$BA$201,"&lt;"&amp;BA147)=0,1,0),0)</f>
        <v>0</v>
      </c>
      <c r="CC147" s="23" t="n">
        <f aca="false">IF(AND(BB147=1,AR147="Y"),IF(COUNTIFS($AZ$2:$AZ$201,AZ147,$AR$2:$AR$201,"Y",$BB$2:$BB$201,1,$H$2:$H$201,"&lt;"&amp;H147)+COUNTIFS($AZ$2:$AZ$201,AZ147,$AR$2:$AR$201,"Y",$BB$2:$BB$201,1,$H$2:$H$201,H147,$BA$2:$BA$201,"&lt;"&amp;BA147)=0,1,0),0)</f>
        <v>0</v>
      </c>
      <c r="CD147" s="23" t="n">
        <f aca="false">IF(AND(BH147=1,N(Y147)&gt;=Config!$B$15),1,0)</f>
        <v>0</v>
      </c>
      <c r="CE147" s="23" t="n">
        <f aca="false">IF(AND(BB147=1,AT147="Y"),1,0)</f>
        <v>0</v>
      </c>
      <c r="CF147" s="23" t="n">
        <f aca="false">IF(CE147=1,IF(COUNTIFS($AZ$2:$AZ$201,AZ147,$CE$2:$CE$201,1,$H$2:$H$201,"&lt;"&amp;H147)+COUNTIFS($AZ$2:$AZ$201,AZ147,$CE$2:$CE$201,1,$H$2:$H$201,H147,$BA$2:$BA$201,"&lt;"&amp;BA147)=0,1,0),0)</f>
        <v>0</v>
      </c>
      <c r="CG147" s="23" t="n">
        <f aca="false">IF(AND(BB147=1,G147="warm-intro"),1,0)</f>
        <v>0</v>
      </c>
      <c r="CH147" s="23" t="n">
        <f aca="false">IF(CG147=1,IF(COUNTIFS($AZ$2:$AZ$201,AZ147,$CG$2:$CG$201,1,$H$2:$H$201,"&lt;"&amp;H147)+COUNTIFS($AZ$2:$AZ$201,AZ147,$CG$2:$CG$201,1,$H$2:$H$201,H147,$BA$2:$BA$201,"&lt;"&amp;BA147)=0,1,0),0)</f>
        <v>0</v>
      </c>
      <c r="CI147" s="23" t="n">
        <f aca="false">IF(AND(BB147=1,Q147="Y"),1,0)</f>
        <v>0</v>
      </c>
      <c r="CJ147" s="23" t="n">
        <f aca="false">IF(CI147=1,IF(COUNTIFS($AZ$2:$AZ$201,AZ147,$CI$2:$CI$201,1,$H$2:$H$201,"&lt;"&amp;H147)+COUNTIFS($AZ$2:$AZ$201,AZ147,$CI$2:$CI$201,1,$H$2:$H$201,H147,$BA$2:$BA$201,"&lt;"&amp;BA147)=0,1,0),0)</f>
        <v>0</v>
      </c>
      <c r="CK147" s="23" t="n">
        <f aca="false">IF(AND(BB147=1,AF147="Y"),1,0)</f>
        <v>0</v>
      </c>
      <c r="CL147" s="23" t="n">
        <f aca="false">IF(CK147=1,IF(COUNTIFS($AZ$2:$AZ$201,AZ147,$CK$2:$CK$201,1,$H$2:$H$201,"&lt;"&amp;H147)+COUNTIFS($AZ$2:$AZ$201,AZ147,$CK$2:$CK$201,1,$H$2:$H$201,H147,$BA$2:$BA$201,"&lt;"&amp;BA147)=0,1,0),0)</f>
        <v>0</v>
      </c>
      <c r="CM147" s="23" t="n">
        <f aca="false">IF(AND(BB147=1,U147="Y"),1,0)</f>
        <v>0</v>
      </c>
      <c r="CN147" s="23" t="n">
        <f aca="false">IF(CM147=1,IF(COUNTIFS($AZ$2:$AZ$201,AZ147,$CM$2:$CM$201,1,$H$2:$H$201,"&lt;"&amp;H147)+COUNTIFS($AZ$2:$AZ$201,AZ147,$CM$2:$CM$201,1,$H$2:$H$201,H147,$BA$2:$BA$201,"&lt;"&amp;BA147)=0,1,0),0)</f>
        <v>0</v>
      </c>
      <c r="CO147" s="23" t="n">
        <f aca="false">IF(AND(BB147=1,L147="Y"),1,0)</f>
        <v>0</v>
      </c>
      <c r="CP147" s="23" t="n">
        <f aca="false">IF(CO147=1,IF(COUNTIFS($AZ$2:$AZ$201,AZ147,$CO$2:$CO$201,1,$H$2:$H$201,"&lt;"&amp;H147)+COUNTIFS($AZ$2:$AZ$201,AZ147,$CO$2:$CO$201,1,$H$2:$H$201,H147,$BA$2:$BA$201,"&lt;"&amp;BA147)=0,1,0),0)</f>
        <v>0</v>
      </c>
      <c r="CQ147" s="23" t="n">
        <f aca="false">IF(AND(BB147=1,ISNUMBER(O147)),1,0)</f>
        <v>0</v>
      </c>
      <c r="CR147" s="23" t="n">
        <f aca="false">IF(CQ147=1,IF(COUNTIFS($AZ$2:$AZ$201,AZ147,$CQ$2:$CQ$201,1,$H$2:$H$201,"&lt;"&amp;H147)+COUNTIFS($AZ$2:$AZ$201,AZ147,$CQ$2:$CQ$201,1,$H$2:$H$201,H147,$BA$2:$BA$201,"&lt;"&amp;BA147)=0,1,0),0)</f>
        <v>0</v>
      </c>
      <c r="CS147" s="23" t="str">
        <f aca="false">IF(AND(CR147=1,INT(N(H147))&lt;=Config!$B$5),O147,"")</f>
        <v/>
      </c>
      <c r="CT147" s="23" t="str">
        <f aca="false">IF(AND(BB147=1,INT(N(H147))&lt;=Config!$B$5),AG147&amp;"","")</f>
        <v/>
      </c>
      <c r="CU147" s="23" t="n">
        <f aca="false">IF(AND(BB147=1,AU147="Y"),1,0)</f>
        <v>0</v>
      </c>
      <c r="CV147" s="23" t="n">
        <f aca="false">IF(CU147=1,IF(COUNTIFS($AZ$2:$AZ$201,AZ147,$CU$2:$CU$201,1,$H$2:$H$201,"&lt;"&amp;H147)+COUNTIFS($AZ$2:$AZ$201,AZ147,$CU$2:$CU$201,1,$H$2:$H$201,H147,$BA$2:$BA$201,"&lt;"&amp;BA147)=0,1,0),0)</f>
        <v>0</v>
      </c>
      <c r="CW147" s="23" t="str">
        <f aca="false">IF(BB147=1,IFERROR(MATCH($A147,INDEX(Clay_Offices!$A$2:$FZ$601,0,Sync!$C$5),0),""),"")</f>
        <v/>
      </c>
      <c r="CX147" s="23" t="str">
        <f aca="false">IF(CW147="","",IFERROR(INDEX(Clay_Offices!$A$2:$FZ$601,CW147,Sync!$C$7)&amp;"",""))</f>
        <v/>
      </c>
      <c r="CY147" s="23" t="str">
        <f aca="false">IF(CX147="","",IFERROR(INDEX(Lists!$K$2:$K$15,MATCH(CX147,Lists!$J$2:$J$15,0)),""))</f>
        <v/>
      </c>
      <c r="CZ147" s="23" t="str">
        <f aca="false">IF(CW147="","",IFERROR(INDEX(Clay_Offices!$A$2:$FZ$601,CW147,Sync!$C$17)&amp;"",""))</f>
        <v/>
      </c>
      <c r="DA147" s="35" t="str">
        <f aca="false">IF(CW147="","",IFERROR(N(INDEX(Clay_Offices!$A$2:$FZ$601,CW147,Sync!$C$16)),0))</f>
        <v/>
      </c>
      <c r="DB147" s="23" t="n">
        <f aca="false">IF(AND(BB147=1,OR(AR147="Y",AR147="N",AR147="maybe")),1,0)</f>
        <v>0</v>
      </c>
      <c r="DC147" s="23" t="n">
        <f aca="false">IF(AND(DB147=1),IF(COUNTIFS($A$2:$A$201,$A147,$DB$2:$DB$201,1,$H$2:$H$201,"&gt;"&amp;H147)+COUNTIFS($A$2:$A$201,$A147,$DB$2:$DB$201,1,$H$2:$H$201,H147,$BA$2:$BA$201,"&gt;"&amp;BA147)=0,1,0),0)</f>
        <v>0</v>
      </c>
      <c r="DD147" s="23" t="n">
        <f aca="false">IF(AND(DB147=1,INT(N(H147))&lt;=Config!$B$6),IF(COUNTIFS($AZ$2:$AZ$201,AZ147,$DB$2:$DB$201,1,$H$2:$H$201,"&gt;"&amp;H147,$H$2:$H$201,"&lt;"&amp;(Config!$B$6+1))+COUNTIFS($AZ$2:$AZ$201,AZ147,$DB$2:$DB$201,1,$H$2:$H$201,H147,$BA$2:$BA$201,"&gt;"&amp;BA147)=0,1,0),0)</f>
        <v>0</v>
      </c>
      <c r="DE147" s="23" t="n">
        <f aca="false">IF(AND(DB147=1,INT(N(H147))&lt;=Config!$B$7),IF(COUNTIFS($AZ$2:$AZ$201,AZ147,$DB$2:$DB$201,1,$H$2:$H$201,"&gt;"&amp;H147,$H$2:$H$201,"&lt;"&amp;(Config!$B$7+1))+COUNTIFS($AZ$2:$AZ$201,AZ147,$DB$2:$DB$201,1,$H$2:$H$201,H147,$BA$2:$BA$201,"&gt;"&amp;BA147)=0,1,0),0)</f>
        <v>0</v>
      </c>
      <c r="DF147" s="23" t="n">
        <f aca="false">IF(AND(DB147=1,INT(N(H147))&lt;=Config!$B$8),IF(COUNTIFS($AZ$2:$AZ$201,AZ147,$DB$2:$DB$201,1,$H$2:$H$201,"&gt;"&amp;H147,$H$2:$H$201,"&lt;"&amp;(Config!$B$8+1))+COUNTIFS($AZ$2:$AZ$201,AZ147,$DB$2:$DB$201,1,$H$2:$H$201,H147,$BA$2:$BA$201,"&gt;"&amp;BA147)=0,1,0),0)</f>
        <v>0</v>
      </c>
      <c r="DG147" s="23" t="n">
        <f aca="false">IF(AND(DB147=1,INT(N(H147))&lt;=Config!$B$5),IF(COUNTIFS($AZ$2:$AZ$201,AZ147,$DB$2:$DB$201,1,$H$2:$H$201,"&gt;"&amp;H147,$H$2:$H$201,"&lt;"&amp;(Config!$B$5+1))+COUNTIFS($AZ$2:$AZ$201,AZ147,$DB$2:$DB$201,1,$H$2:$H$201,H147,$BA$2:$BA$201,"&gt;"&amp;BA147)=0,1,0),0)</f>
        <v>0</v>
      </c>
      <c r="DH147" s="23" t="n">
        <f aca="false">IF(BB147=1,IF(COUNTIFS($AZ$2:$AZ$201,AZ147,$DD$2:$DD$201,1,$AR$2:$AR$201,"Y")&gt;0,1,0),0)</f>
        <v>0</v>
      </c>
      <c r="DI147" s="23" t="n">
        <f aca="false">IF(BB147=1,IF(COUNTIFS($AZ$2:$AZ$201,AZ147,$DE$2:$DE$201,1,$AR$2:$AR$201,"Y")&gt;0,1,0),0)</f>
        <v>0</v>
      </c>
      <c r="DJ147" s="23" t="n">
        <f aca="false">IF(BB147=1,IF(COUNTIFS($AZ$2:$AZ$201,AZ147,$DF$2:$DF$201,1,$AR$2:$AR$201,"Y")&gt;0,1,0),0)</f>
        <v>0</v>
      </c>
      <c r="DK147" s="23" t="n">
        <f aca="false">IF(BB147=1,IF(COUNTIFS($AZ$2:$AZ$201,AZ147,$DG$2:$DG$201,1,$AR$2:$AR$201,"Y")&gt;0,1,0),0)</f>
        <v>0</v>
      </c>
      <c r="DL147" s="23" t="n">
        <f aca="false">IF(AND(BF147=1,INT(N(H147))&lt;=Config!$B$6,DH147=1,EI147=0),1,0)</f>
        <v>0</v>
      </c>
      <c r="DM147" s="23" t="n">
        <f aca="false">IF(AND(BF147=1,INT(N(H147))&lt;=Config!$B$7,DI147=1,EI147=0),1,0)</f>
        <v>0</v>
      </c>
      <c r="DN147" s="23" t="n">
        <f aca="false">IF(AND(BF147=1,INT(N(H147))&lt;=Config!$B$8,DJ147=1,EI147=0),1,0)</f>
        <v>0</v>
      </c>
      <c r="DO147" s="23" t="n">
        <f aca="false">IF(AND(BF147=1,INT(N(H147))&lt;=Config!$B$5,DK147=1,EI147=0),1,0)</f>
        <v>0</v>
      </c>
      <c r="DP147" s="23" t="n">
        <f aca="false">IF(AND(CC147=1,INT(N(H147))&lt;=Config!$B$6,DH147=1,EI147=0),1,0)</f>
        <v>0</v>
      </c>
      <c r="DQ147" s="23" t="n">
        <f aca="false">IF(AND(CC147=1,INT(N(H147))&lt;=Config!$B$7,DI147=1,EI147=0),1,0)</f>
        <v>0</v>
      </c>
      <c r="DR147" s="23" t="n">
        <f aca="false">IF(AND(CC147=1,INT(N(H147))&lt;=Config!$B$8,DJ147=1,EI147=0),1,0)</f>
        <v>0</v>
      </c>
      <c r="DS147" s="23" t="n">
        <f aca="false">IF(AND(CC147=1,INT(N(H147))&lt;=Config!$B$5,DK147=1,EI147=0),1,0)</f>
        <v>0</v>
      </c>
      <c r="DT147" s="23" t="n">
        <f aca="false">IF(AND(CC147=1,INT(N(H147))&lt;=Config!$B$6,DH147=0),1,0)</f>
        <v>0</v>
      </c>
      <c r="DU147" s="23" t="n">
        <f aca="false">IF(AND(CC147=1,INT(N(H147))&lt;=Config!$B$7,DI147=0),1,0)</f>
        <v>0</v>
      </c>
      <c r="DV147" s="23" t="n">
        <f aca="false">IF(AND(CC147=1,INT(N(H147))&lt;=Config!$B$8,DJ147=0),1,0)</f>
        <v>0</v>
      </c>
      <c r="DW147" s="23" t="n">
        <f aca="false">IF(AND(CC147=1,INT(N(H147))&lt;=Config!$B$5,DK147=0),1,0)</f>
        <v>0</v>
      </c>
      <c r="DX147" s="23" t="n">
        <f aca="false">IF(TRIM($A147)="",0,ISTEXT(M147)+ISTEXT(O147)+ISTEXT(Y147)+ISTEXT(Z147)+ISTEXT(AA147)+ISTEXT(AV147))</f>
        <v>0</v>
      </c>
      <c r="DY147" s="23" t="n">
        <f aca="false">IF(BB147=1,IF(H147&lt;&gt;INT(H147),1,0),0)</f>
        <v>0</v>
      </c>
      <c r="DZ147" s="23" t="str">
        <f aca="false">IF(TRIM($A147)="","",IF(TRIM(B147)="",SUBSTITUTE(SUBSTITUTE(SUBSTITUTE(SUBSTITUTE(SUBSTITUTE(SUBSTITUTE(LOWER(TRIM($A147)),"~",""),"*",""),"?",""),"&lt;",""),"&gt;",""),"=",""),SUBSTITUTE(SUBSTITUTE(SUBSTITUTE(SUBSTITUTE(SUBSTITUTE(SUBSTITUTE(LOWER(TRIM(B147)),"~",""),"*",""),"?",""),"&lt;",""),"&gt;",""),"=","")))</f>
        <v/>
      </c>
      <c r="EA147" s="23" t="str">
        <f aca="false">IF(CW147="","",IFERROR(IF(LEFT(LOWER(TRIM(INDEX(Clay_Offices!$A$2:$FZ$601,CW147,Sync!$C$19)&amp;"")),4)="grp-",SUBSTITUTE(SUBSTITUTE(SUBSTITUTE(SUBSTITUTE(SUBSTITUTE(SUBSTITUTE(LOWER(TRIM(INDEX(Clay_Offices!$A$2:$FZ$601,CW147,Sync!$C$19)&amp;"")),"~",""),"*",""),"?",""),"&lt;",""),"&gt;",""),"=",""),""),""))</f>
        <v/>
      </c>
      <c r="EB147" s="23" t="str">
        <f aca="false">IF(EA147&lt;&gt;"",DZ147,"")</f>
        <v/>
      </c>
      <c r="EC147" s="23" t="str">
        <f aca="false">IF(BC147=1,AZ147,"")</f>
        <v/>
      </c>
      <c r="ED147" s="23" t="str">
        <f aca="false">IF(TRIM($A147)="","",IFERROR(INDEX($A$2:$A$201,MATCH(AZ147,$EC$2:$EC$201,0))&amp;"",$A147&amp;""))</f>
        <v/>
      </c>
      <c r="EE147" s="23" t="n">
        <f aca="false">IF(BB147=1,IF(COUNTIFS($A$2:$A$201,$A147,$BB$2:$BB$201,1,$H$2:$H$201,"&lt;"&amp;H147)+COUNTIFS($A$2:$A$201,$A147,$BB$2:$BB$201,1,$H$2:$H$201,H147,$BA$2:$BA$201,"&lt;"&amp;BA147)=0,1,0),0)</f>
        <v>0</v>
      </c>
      <c r="EF147" s="23" t="n">
        <f aca="false">IF(BC147=1,IF(COUNTIFS($AZ$2:$AZ$201,AZ147,$EE$2:$EE$201,1)&gt;1,1,0),0)</f>
        <v>0</v>
      </c>
      <c r="EG147" s="23" t="n">
        <f aca="false">IF(AND(CQ147=1),IF(COUNTIFS($AZ$2:$AZ$201,AZ147,$CQ$2:$CQ$201,1,$H$2:$H$201,"&gt;"&amp;H147)+COUNTIFS($AZ$2:$AZ$201,AZ147,$CQ$2:$CQ$201,1,$H$2:$H$201,H147,$BA$2:$BA$201,"&gt;"&amp;BA147)=0,1,0),0)</f>
        <v>0</v>
      </c>
      <c r="EH147" s="23" t="str">
        <f aca="false">IF(BB147=1,IF(COUNTIFS($AZ$2:$AZ$201,AZ147,$EG$2:$EG$201,1)=0,"",SUMIFS($O$2:$O$201,$AZ$2:$AZ$201,AZ147,$EG$2:$EG$201,1)),"")</f>
        <v/>
      </c>
      <c r="EI147" s="23" t="n">
        <f aca="false">IF(AND(ISNUMBER(EH147),OR(N(EH147)&lt;Config!$B$31,N(EH147)&gt;Config!$B$33)),1,0)</f>
        <v>0</v>
      </c>
      <c r="EJ147" s="23" t="n">
        <f aca="false">IF(AND(ISNUMBER(EH147),N(EH147)&gt;=Config!$B$31,N(EH147)&lt;Config!$B$32),1,0)</f>
        <v>0</v>
      </c>
      <c r="EK147" s="23" t="n">
        <f aca="false">IF(AND(BF147=1,INT(N(H147))&lt;=Config!$B$6,DH147=1,EI147=1),1,0)</f>
        <v>0</v>
      </c>
      <c r="EL147" s="23" t="n">
        <f aca="false">IF(AND(BF147=1,INT(N(H147))&lt;=Config!$B$7,DI147=1,EI147=1),1,0)</f>
        <v>0</v>
      </c>
      <c r="EM147" s="23" t="n">
        <f aca="false">IF(AND(BF147=1,INT(N(H147))&lt;=Config!$B$8,DJ147=1,EI147=1),1,0)</f>
        <v>0</v>
      </c>
      <c r="EN147" s="23" t="n">
        <f aca="false">IF(AND(BF147=1,INT(N(H147))&lt;=Config!$B$5,DK147=1,EI147=1),1,0)</f>
        <v>0</v>
      </c>
      <c r="EO147" s="23" t="n">
        <f aca="false">IF(AND(DL147=1,EJ147=1),1,0)</f>
        <v>0</v>
      </c>
      <c r="EP147" s="23" t="n">
        <f aca="false">IF(AND(DM147=1,EJ147=1),1,0)</f>
        <v>0</v>
      </c>
      <c r="EQ147" s="23" t="n">
        <f aca="false">IF(AND(DN147=1,EJ147=1),1,0)</f>
        <v>0</v>
      </c>
      <c r="ER147" s="23" t="n">
        <f aca="false">IF(AND(DO147=1,EJ147=1),1,0)</f>
        <v>0</v>
      </c>
    </row>
    <row r="148" customFormat="false" ht="15" hidden="false" customHeight="false" outlineLevel="0" collapsed="false">
      <c r="G148" s="32"/>
      <c r="H148" s="33"/>
      <c r="I148" s="32"/>
      <c r="L148" s="32"/>
      <c r="Q148" s="32"/>
      <c r="U148" s="32"/>
      <c r="W148" s="32"/>
      <c r="AC148" s="32"/>
      <c r="AF148" s="32"/>
      <c r="AI148" s="32"/>
      <c r="AJ148" s="32"/>
      <c r="AN148" s="32"/>
      <c r="AR148" s="32"/>
      <c r="AT148" s="32"/>
      <c r="AU148" s="32"/>
      <c r="AW148" s="32"/>
      <c r="AY148" s="34" t="str">
        <f aca="false">IF(TRIM($A148)="","",IF(AND(LEFT($A148,6)="SAMPLE",Config!$B$19&lt;&gt;"Y"),"",IF(NOT(ISNUMBER(H148)),"call_date is blank or not a date",IF(Sync!$C$5="","Clay paste is empty or has no row_id column: paste the Clay export on Clay_Offices",IF(CW148="","row_id not found in the Clay paste: add the Clay row or fix the row_id",IF(AND(ISNUMBER(CY148),CY148&gt;=1,CY148&lt;=5),"Clay status is "&amp;CX148&amp;": set call_done or later",IF(AND(BD148=1,CZ148&lt;&gt;BZ148),"Clay yes_in_principle should be "&amp;BZ148,IF(AND(BD148=1,DA148&lt;&gt;H148),"Clay call_date should be "&amp;TEXT(H148,"yyyy-mm-dd"),""))))))))</f>
        <v/>
      </c>
      <c r="AZ148" s="23" t="str">
        <f aca="false">IF(TRIM($A148)="","",IF(TRIM(C148)&lt;&gt;"",SUBSTITUTE(SUBSTITUTE(SUBSTITUTE(SUBSTITUTE(SUBSTITUTE(SUBSTITUTE(LOWER(TRIM(C148)),"~",""),"*",""),"?",""),"&lt;",""),"&gt;",""),"=",""),IF(EA148&lt;&gt;"",EA148,IFERROR(INDEX($EA$2:$EA$201,MATCH(DZ148,$EB$2:$EB$201,0)),DZ148))))</f>
        <v/>
      </c>
      <c r="BA148" s="23" t="n">
        <f aca="false">ROW()</f>
        <v>148</v>
      </c>
      <c r="BB148" s="23" t="n">
        <f aca="false">IF(AND(TRIM($A148)&lt;&gt;"",ISNUMBER(H148)),IF(AND(LEFT($A148,6)="SAMPLE",Config!$B$19&lt;&gt;"Y"),0,1),0)</f>
        <v>0</v>
      </c>
      <c r="BC148" s="23" t="n">
        <f aca="false">IF(BB148=1,IF(COUNTIFS($AZ$2:$AZ$201,AZ148,$BB$2:$BB$201,1,$H$2:$H$201,"&lt;"&amp;H148)+COUNTIFS($AZ$2:$AZ$201,AZ148,$BB$2:$BB$201,1,$H$2:$H$201,H148,$BA$2:$BA$201,"&lt;"&amp;BA148)=0,1,0),0)</f>
        <v>0</v>
      </c>
      <c r="BD148" s="23" t="n">
        <f aca="false">IF(BB148=1,IF(COUNTIFS($A$2:$A$201,$A148,$BB$2:$BB$201,1,$H$2:$H$201,"&gt;"&amp;H148)+COUNTIFS($A$2:$A$201,$A148,$BB$2:$BB$201,1,$H$2:$H$201,H148,$BA$2:$BA$201,"&gt;"&amp;BA148)=0,1,0),0)</f>
        <v>0</v>
      </c>
      <c r="BE148" s="23" t="n">
        <f aca="false">IF(AND(BB148=1,AR148="Y",AC148="Y",TRIM(AH148)&lt;&gt;""),1,0)</f>
        <v>0</v>
      </c>
      <c r="BF148" s="23" t="n">
        <f aca="false">IF(BE148=1,IF(COUNTIFS($AZ$2:$AZ$201,AZ148,$BE$2:$BE$201,1,$H$2:$H$201,"&lt;"&amp;H148)+COUNTIFS($AZ$2:$AZ$201,AZ148,$BE$2:$BE$201,1,$H$2:$H$201,H148,$BA$2:$BA$201,"&lt;"&amp;BA148)=0,1,0),0)</f>
        <v>0</v>
      </c>
      <c r="BG148" s="23" t="n">
        <f aca="false">IF(AND(BB148=1,AR148="Y",BE148=0),1,0)</f>
        <v>0</v>
      </c>
      <c r="BH148" s="23" t="n">
        <f aca="false">IF(AND(BB148=1,ISNUMBER(Y148)),1,0)</f>
        <v>0</v>
      </c>
      <c r="BI148" s="23" t="n">
        <f aca="false">IF(BH148=1,IF(COUNTIFS($AZ$2:$AZ$201,AZ148,$BH$2:$BH$201,1,$H$2:$H$201,"&lt;"&amp;H148)+COUNTIFS($AZ$2:$AZ$201,AZ148,$BH$2:$BH$201,1,$H$2:$H$201,H148,$BA$2:$BA$201,"&lt;"&amp;BA148)=0,1,0),0)</f>
        <v>0</v>
      </c>
      <c r="BJ148" s="23" t="str">
        <f aca="false">IF(AND(BI148=1,INT(N(H148))&lt;=Config!$B$6),Y148,"")</f>
        <v/>
      </c>
      <c r="BK148" s="23" t="str">
        <f aca="false">IF(AND(BI148=1,INT(N(H148))&lt;=Config!$B$7),Y148,"")</f>
        <v/>
      </c>
      <c r="BL148" s="23" t="str">
        <f aca="false">IF(AND(BI148=1,INT(N(H148))&lt;=Config!$B$8),Y148,"")</f>
        <v/>
      </c>
      <c r="BM148" s="23" t="str">
        <f aca="false">IF(AND(BI148=1,INT(N(H148))&lt;=Config!$B$5),Y148,"")</f>
        <v/>
      </c>
      <c r="BN148" s="23" t="n">
        <f aca="false">IF(CD148=1,IF(COUNTIFS($AZ$2:$AZ$201,AZ148,$CD$2:$CD$201,1,$H$2:$H$201,"&lt;"&amp;H148)+COUNTIFS($AZ$2:$AZ$201,AZ148,$CD$2:$CD$201,1,$H$2:$H$201,H148,$BA$2:$BA$201,"&lt;"&amp;BA148)=0,1,0),0)</f>
        <v>0</v>
      </c>
      <c r="BO148" s="23" t="n">
        <f aca="false">IF(AND(BB148=1,ISNUMBER(M148)),1,0)</f>
        <v>0</v>
      </c>
      <c r="BP148" s="23" t="n">
        <f aca="false">IF(BO148=1,IF(COUNTIFS($AZ$2:$AZ$201,AZ148,$BO$2:$BO$201,1,$H$2:$H$201,"&lt;"&amp;H148)+COUNTIFS($AZ$2:$AZ$201,AZ148,$BO$2:$BO$201,1,$H$2:$H$201,H148,$BA$2:$BA$201,"&lt;"&amp;BA148)=0,1,0),0)</f>
        <v>0</v>
      </c>
      <c r="BQ148" s="23" t="str">
        <f aca="false">IF(AND(BP148=1,INT(N(H148))&lt;=Config!$B$5),M148,"")</f>
        <v/>
      </c>
      <c r="BR148" s="23" t="n">
        <f aca="false">IF(AND(BB148=1,OR(TRIM(X148)&lt;&gt;"",ISNUMBER(Y148))),1,0)</f>
        <v>0</v>
      </c>
      <c r="BS148" s="23" t="n">
        <f aca="false">IF(BR148=1,IF(COUNTIFS($AZ$2:$AZ$201,AZ148,$BR$2:$BR$201,1,$H$2:$H$201,"&lt;"&amp;H148)+COUNTIFS($AZ$2:$AZ$201,AZ148,$BR$2:$BR$201,1,$H$2:$H$201,H148,$BA$2:$BA$201,"&lt;"&amp;BA148)=0,1,0),0)</f>
        <v>0</v>
      </c>
      <c r="BT148" s="23" t="str">
        <f aca="false">IF(BS148=1,AZ148,"")</f>
        <v/>
      </c>
      <c r="BU148" s="23" t="n">
        <f aca="false">IF(AND(BB148=1,W148="Y",TRIM(X148)=""),1,0)</f>
        <v>0</v>
      </c>
      <c r="BV148" s="23" t="str">
        <f aca="false">IF(BB148=1,AN148&amp;"","")</f>
        <v/>
      </c>
      <c r="BW148" s="23" t="str">
        <f aca="false">IF(BB148=1,AO148&amp;"","")</f>
        <v/>
      </c>
      <c r="BX148" s="23" t="str">
        <f aca="false">IF(BB148=1,AP148&amp;"","")</f>
        <v/>
      </c>
      <c r="BY148" s="23" t="str">
        <f aca="false">IF(AND(BB148=1,ISNUMBER(AV148),INT(N(H148))&lt;=Config!$B$5),AV148,"")</f>
        <v/>
      </c>
      <c r="BZ148" s="23" t="str">
        <f aca="false">IF(BB148=1,IF(COUNTIFS($A$2:$A$201,$A148,$DC$2:$DC$201,1,$AR$2:$AR$201,"Y")&gt;0,"Y","N"),"")</f>
        <v/>
      </c>
      <c r="CA148" s="23" t="n">
        <f aca="false">IF(AND(BB148=1,AR148="maybe"),1,0)</f>
        <v>0</v>
      </c>
      <c r="CB148" s="23" t="n">
        <f aca="false">IF(CA148=1,IF(COUNTIFS($AZ$2:$AZ$201,AZ148,$CA$2:$CA$201,1,$H$2:$H$201,"&lt;"&amp;H148)+COUNTIFS($AZ$2:$AZ$201,AZ148,$CA$2:$CA$201,1,$H$2:$H$201,H148,$BA$2:$BA$201,"&lt;"&amp;BA148)=0,1,0),0)</f>
        <v>0</v>
      </c>
      <c r="CC148" s="23" t="n">
        <f aca="false">IF(AND(BB148=1,AR148="Y"),IF(COUNTIFS($AZ$2:$AZ$201,AZ148,$AR$2:$AR$201,"Y",$BB$2:$BB$201,1,$H$2:$H$201,"&lt;"&amp;H148)+COUNTIFS($AZ$2:$AZ$201,AZ148,$AR$2:$AR$201,"Y",$BB$2:$BB$201,1,$H$2:$H$201,H148,$BA$2:$BA$201,"&lt;"&amp;BA148)=0,1,0),0)</f>
        <v>0</v>
      </c>
      <c r="CD148" s="23" t="n">
        <f aca="false">IF(AND(BH148=1,N(Y148)&gt;=Config!$B$15),1,0)</f>
        <v>0</v>
      </c>
      <c r="CE148" s="23" t="n">
        <f aca="false">IF(AND(BB148=1,AT148="Y"),1,0)</f>
        <v>0</v>
      </c>
      <c r="CF148" s="23" t="n">
        <f aca="false">IF(CE148=1,IF(COUNTIFS($AZ$2:$AZ$201,AZ148,$CE$2:$CE$201,1,$H$2:$H$201,"&lt;"&amp;H148)+COUNTIFS($AZ$2:$AZ$201,AZ148,$CE$2:$CE$201,1,$H$2:$H$201,H148,$BA$2:$BA$201,"&lt;"&amp;BA148)=0,1,0),0)</f>
        <v>0</v>
      </c>
      <c r="CG148" s="23" t="n">
        <f aca="false">IF(AND(BB148=1,G148="warm-intro"),1,0)</f>
        <v>0</v>
      </c>
      <c r="CH148" s="23" t="n">
        <f aca="false">IF(CG148=1,IF(COUNTIFS($AZ$2:$AZ$201,AZ148,$CG$2:$CG$201,1,$H$2:$H$201,"&lt;"&amp;H148)+COUNTIFS($AZ$2:$AZ$201,AZ148,$CG$2:$CG$201,1,$H$2:$H$201,H148,$BA$2:$BA$201,"&lt;"&amp;BA148)=0,1,0),0)</f>
        <v>0</v>
      </c>
      <c r="CI148" s="23" t="n">
        <f aca="false">IF(AND(BB148=1,Q148="Y"),1,0)</f>
        <v>0</v>
      </c>
      <c r="CJ148" s="23" t="n">
        <f aca="false">IF(CI148=1,IF(COUNTIFS($AZ$2:$AZ$201,AZ148,$CI$2:$CI$201,1,$H$2:$H$201,"&lt;"&amp;H148)+COUNTIFS($AZ$2:$AZ$201,AZ148,$CI$2:$CI$201,1,$H$2:$H$201,H148,$BA$2:$BA$201,"&lt;"&amp;BA148)=0,1,0),0)</f>
        <v>0</v>
      </c>
      <c r="CK148" s="23" t="n">
        <f aca="false">IF(AND(BB148=1,AF148="Y"),1,0)</f>
        <v>0</v>
      </c>
      <c r="CL148" s="23" t="n">
        <f aca="false">IF(CK148=1,IF(COUNTIFS($AZ$2:$AZ$201,AZ148,$CK$2:$CK$201,1,$H$2:$H$201,"&lt;"&amp;H148)+COUNTIFS($AZ$2:$AZ$201,AZ148,$CK$2:$CK$201,1,$H$2:$H$201,H148,$BA$2:$BA$201,"&lt;"&amp;BA148)=0,1,0),0)</f>
        <v>0</v>
      </c>
      <c r="CM148" s="23" t="n">
        <f aca="false">IF(AND(BB148=1,U148="Y"),1,0)</f>
        <v>0</v>
      </c>
      <c r="CN148" s="23" t="n">
        <f aca="false">IF(CM148=1,IF(COUNTIFS($AZ$2:$AZ$201,AZ148,$CM$2:$CM$201,1,$H$2:$H$201,"&lt;"&amp;H148)+COUNTIFS($AZ$2:$AZ$201,AZ148,$CM$2:$CM$201,1,$H$2:$H$201,H148,$BA$2:$BA$201,"&lt;"&amp;BA148)=0,1,0),0)</f>
        <v>0</v>
      </c>
      <c r="CO148" s="23" t="n">
        <f aca="false">IF(AND(BB148=1,L148="Y"),1,0)</f>
        <v>0</v>
      </c>
      <c r="CP148" s="23" t="n">
        <f aca="false">IF(CO148=1,IF(COUNTIFS($AZ$2:$AZ$201,AZ148,$CO$2:$CO$201,1,$H$2:$H$201,"&lt;"&amp;H148)+COUNTIFS($AZ$2:$AZ$201,AZ148,$CO$2:$CO$201,1,$H$2:$H$201,H148,$BA$2:$BA$201,"&lt;"&amp;BA148)=0,1,0),0)</f>
        <v>0</v>
      </c>
      <c r="CQ148" s="23" t="n">
        <f aca="false">IF(AND(BB148=1,ISNUMBER(O148)),1,0)</f>
        <v>0</v>
      </c>
      <c r="CR148" s="23" t="n">
        <f aca="false">IF(CQ148=1,IF(COUNTIFS($AZ$2:$AZ$201,AZ148,$CQ$2:$CQ$201,1,$H$2:$H$201,"&lt;"&amp;H148)+COUNTIFS($AZ$2:$AZ$201,AZ148,$CQ$2:$CQ$201,1,$H$2:$H$201,H148,$BA$2:$BA$201,"&lt;"&amp;BA148)=0,1,0),0)</f>
        <v>0</v>
      </c>
      <c r="CS148" s="23" t="str">
        <f aca="false">IF(AND(CR148=1,INT(N(H148))&lt;=Config!$B$5),O148,"")</f>
        <v/>
      </c>
      <c r="CT148" s="23" t="str">
        <f aca="false">IF(AND(BB148=1,INT(N(H148))&lt;=Config!$B$5),AG148&amp;"","")</f>
        <v/>
      </c>
      <c r="CU148" s="23" t="n">
        <f aca="false">IF(AND(BB148=1,AU148="Y"),1,0)</f>
        <v>0</v>
      </c>
      <c r="CV148" s="23" t="n">
        <f aca="false">IF(CU148=1,IF(COUNTIFS($AZ$2:$AZ$201,AZ148,$CU$2:$CU$201,1,$H$2:$H$201,"&lt;"&amp;H148)+COUNTIFS($AZ$2:$AZ$201,AZ148,$CU$2:$CU$201,1,$H$2:$H$201,H148,$BA$2:$BA$201,"&lt;"&amp;BA148)=0,1,0),0)</f>
        <v>0</v>
      </c>
      <c r="CW148" s="23" t="str">
        <f aca="false">IF(BB148=1,IFERROR(MATCH($A148,INDEX(Clay_Offices!$A$2:$FZ$601,0,Sync!$C$5),0),""),"")</f>
        <v/>
      </c>
      <c r="CX148" s="23" t="str">
        <f aca="false">IF(CW148="","",IFERROR(INDEX(Clay_Offices!$A$2:$FZ$601,CW148,Sync!$C$7)&amp;"",""))</f>
        <v/>
      </c>
      <c r="CY148" s="23" t="str">
        <f aca="false">IF(CX148="","",IFERROR(INDEX(Lists!$K$2:$K$15,MATCH(CX148,Lists!$J$2:$J$15,0)),""))</f>
        <v/>
      </c>
      <c r="CZ148" s="23" t="str">
        <f aca="false">IF(CW148="","",IFERROR(INDEX(Clay_Offices!$A$2:$FZ$601,CW148,Sync!$C$17)&amp;"",""))</f>
        <v/>
      </c>
      <c r="DA148" s="35" t="str">
        <f aca="false">IF(CW148="","",IFERROR(N(INDEX(Clay_Offices!$A$2:$FZ$601,CW148,Sync!$C$16)),0))</f>
        <v/>
      </c>
      <c r="DB148" s="23" t="n">
        <f aca="false">IF(AND(BB148=1,OR(AR148="Y",AR148="N",AR148="maybe")),1,0)</f>
        <v>0</v>
      </c>
      <c r="DC148" s="23" t="n">
        <f aca="false">IF(AND(DB148=1),IF(COUNTIFS($A$2:$A$201,$A148,$DB$2:$DB$201,1,$H$2:$H$201,"&gt;"&amp;H148)+COUNTIFS($A$2:$A$201,$A148,$DB$2:$DB$201,1,$H$2:$H$201,H148,$BA$2:$BA$201,"&gt;"&amp;BA148)=0,1,0),0)</f>
        <v>0</v>
      </c>
      <c r="DD148" s="23" t="n">
        <f aca="false">IF(AND(DB148=1,INT(N(H148))&lt;=Config!$B$6),IF(COUNTIFS($AZ$2:$AZ$201,AZ148,$DB$2:$DB$201,1,$H$2:$H$201,"&gt;"&amp;H148,$H$2:$H$201,"&lt;"&amp;(Config!$B$6+1))+COUNTIFS($AZ$2:$AZ$201,AZ148,$DB$2:$DB$201,1,$H$2:$H$201,H148,$BA$2:$BA$201,"&gt;"&amp;BA148)=0,1,0),0)</f>
        <v>0</v>
      </c>
      <c r="DE148" s="23" t="n">
        <f aca="false">IF(AND(DB148=1,INT(N(H148))&lt;=Config!$B$7),IF(COUNTIFS($AZ$2:$AZ$201,AZ148,$DB$2:$DB$201,1,$H$2:$H$201,"&gt;"&amp;H148,$H$2:$H$201,"&lt;"&amp;(Config!$B$7+1))+COUNTIFS($AZ$2:$AZ$201,AZ148,$DB$2:$DB$201,1,$H$2:$H$201,H148,$BA$2:$BA$201,"&gt;"&amp;BA148)=0,1,0),0)</f>
        <v>0</v>
      </c>
      <c r="DF148" s="23" t="n">
        <f aca="false">IF(AND(DB148=1,INT(N(H148))&lt;=Config!$B$8),IF(COUNTIFS($AZ$2:$AZ$201,AZ148,$DB$2:$DB$201,1,$H$2:$H$201,"&gt;"&amp;H148,$H$2:$H$201,"&lt;"&amp;(Config!$B$8+1))+COUNTIFS($AZ$2:$AZ$201,AZ148,$DB$2:$DB$201,1,$H$2:$H$201,H148,$BA$2:$BA$201,"&gt;"&amp;BA148)=0,1,0),0)</f>
        <v>0</v>
      </c>
      <c r="DG148" s="23" t="n">
        <f aca="false">IF(AND(DB148=1,INT(N(H148))&lt;=Config!$B$5),IF(COUNTIFS($AZ$2:$AZ$201,AZ148,$DB$2:$DB$201,1,$H$2:$H$201,"&gt;"&amp;H148,$H$2:$H$201,"&lt;"&amp;(Config!$B$5+1))+COUNTIFS($AZ$2:$AZ$201,AZ148,$DB$2:$DB$201,1,$H$2:$H$201,H148,$BA$2:$BA$201,"&gt;"&amp;BA148)=0,1,0),0)</f>
        <v>0</v>
      </c>
      <c r="DH148" s="23" t="n">
        <f aca="false">IF(BB148=1,IF(COUNTIFS($AZ$2:$AZ$201,AZ148,$DD$2:$DD$201,1,$AR$2:$AR$201,"Y")&gt;0,1,0),0)</f>
        <v>0</v>
      </c>
      <c r="DI148" s="23" t="n">
        <f aca="false">IF(BB148=1,IF(COUNTIFS($AZ$2:$AZ$201,AZ148,$DE$2:$DE$201,1,$AR$2:$AR$201,"Y")&gt;0,1,0),0)</f>
        <v>0</v>
      </c>
      <c r="DJ148" s="23" t="n">
        <f aca="false">IF(BB148=1,IF(COUNTIFS($AZ$2:$AZ$201,AZ148,$DF$2:$DF$201,1,$AR$2:$AR$201,"Y")&gt;0,1,0),0)</f>
        <v>0</v>
      </c>
      <c r="DK148" s="23" t="n">
        <f aca="false">IF(BB148=1,IF(COUNTIFS($AZ$2:$AZ$201,AZ148,$DG$2:$DG$201,1,$AR$2:$AR$201,"Y")&gt;0,1,0),0)</f>
        <v>0</v>
      </c>
      <c r="DL148" s="23" t="n">
        <f aca="false">IF(AND(BF148=1,INT(N(H148))&lt;=Config!$B$6,DH148=1,EI148=0),1,0)</f>
        <v>0</v>
      </c>
      <c r="DM148" s="23" t="n">
        <f aca="false">IF(AND(BF148=1,INT(N(H148))&lt;=Config!$B$7,DI148=1,EI148=0),1,0)</f>
        <v>0</v>
      </c>
      <c r="DN148" s="23" t="n">
        <f aca="false">IF(AND(BF148=1,INT(N(H148))&lt;=Config!$B$8,DJ148=1,EI148=0),1,0)</f>
        <v>0</v>
      </c>
      <c r="DO148" s="23" t="n">
        <f aca="false">IF(AND(BF148=1,INT(N(H148))&lt;=Config!$B$5,DK148=1,EI148=0),1,0)</f>
        <v>0</v>
      </c>
      <c r="DP148" s="23" t="n">
        <f aca="false">IF(AND(CC148=1,INT(N(H148))&lt;=Config!$B$6,DH148=1,EI148=0),1,0)</f>
        <v>0</v>
      </c>
      <c r="DQ148" s="23" t="n">
        <f aca="false">IF(AND(CC148=1,INT(N(H148))&lt;=Config!$B$7,DI148=1,EI148=0),1,0)</f>
        <v>0</v>
      </c>
      <c r="DR148" s="23" t="n">
        <f aca="false">IF(AND(CC148=1,INT(N(H148))&lt;=Config!$B$8,DJ148=1,EI148=0),1,0)</f>
        <v>0</v>
      </c>
      <c r="DS148" s="23" t="n">
        <f aca="false">IF(AND(CC148=1,INT(N(H148))&lt;=Config!$B$5,DK148=1,EI148=0),1,0)</f>
        <v>0</v>
      </c>
      <c r="DT148" s="23" t="n">
        <f aca="false">IF(AND(CC148=1,INT(N(H148))&lt;=Config!$B$6,DH148=0),1,0)</f>
        <v>0</v>
      </c>
      <c r="DU148" s="23" t="n">
        <f aca="false">IF(AND(CC148=1,INT(N(H148))&lt;=Config!$B$7,DI148=0),1,0)</f>
        <v>0</v>
      </c>
      <c r="DV148" s="23" t="n">
        <f aca="false">IF(AND(CC148=1,INT(N(H148))&lt;=Config!$B$8,DJ148=0),1,0)</f>
        <v>0</v>
      </c>
      <c r="DW148" s="23" t="n">
        <f aca="false">IF(AND(CC148=1,INT(N(H148))&lt;=Config!$B$5,DK148=0),1,0)</f>
        <v>0</v>
      </c>
      <c r="DX148" s="23" t="n">
        <f aca="false">IF(TRIM($A148)="",0,ISTEXT(M148)+ISTEXT(O148)+ISTEXT(Y148)+ISTEXT(Z148)+ISTEXT(AA148)+ISTEXT(AV148))</f>
        <v>0</v>
      </c>
      <c r="DY148" s="23" t="n">
        <f aca="false">IF(BB148=1,IF(H148&lt;&gt;INT(H148),1,0),0)</f>
        <v>0</v>
      </c>
      <c r="DZ148" s="23" t="str">
        <f aca="false">IF(TRIM($A148)="","",IF(TRIM(B148)="",SUBSTITUTE(SUBSTITUTE(SUBSTITUTE(SUBSTITUTE(SUBSTITUTE(SUBSTITUTE(LOWER(TRIM($A148)),"~",""),"*",""),"?",""),"&lt;",""),"&gt;",""),"=",""),SUBSTITUTE(SUBSTITUTE(SUBSTITUTE(SUBSTITUTE(SUBSTITUTE(SUBSTITUTE(LOWER(TRIM(B148)),"~",""),"*",""),"?",""),"&lt;",""),"&gt;",""),"=","")))</f>
        <v/>
      </c>
      <c r="EA148" s="23" t="str">
        <f aca="false">IF(CW148="","",IFERROR(IF(LEFT(LOWER(TRIM(INDEX(Clay_Offices!$A$2:$FZ$601,CW148,Sync!$C$19)&amp;"")),4)="grp-",SUBSTITUTE(SUBSTITUTE(SUBSTITUTE(SUBSTITUTE(SUBSTITUTE(SUBSTITUTE(LOWER(TRIM(INDEX(Clay_Offices!$A$2:$FZ$601,CW148,Sync!$C$19)&amp;"")),"~",""),"*",""),"?",""),"&lt;",""),"&gt;",""),"=",""),""),""))</f>
        <v/>
      </c>
      <c r="EB148" s="23" t="str">
        <f aca="false">IF(EA148&lt;&gt;"",DZ148,"")</f>
        <v/>
      </c>
      <c r="EC148" s="23" t="str">
        <f aca="false">IF(BC148=1,AZ148,"")</f>
        <v/>
      </c>
      <c r="ED148" s="23" t="str">
        <f aca="false">IF(TRIM($A148)="","",IFERROR(INDEX($A$2:$A$201,MATCH(AZ148,$EC$2:$EC$201,0))&amp;"",$A148&amp;""))</f>
        <v/>
      </c>
      <c r="EE148" s="23" t="n">
        <f aca="false">IF(BB148=1,IF(COUNTIFS($A$2:$A$201,$A148,$BB$2:$BB$201,1,$H$2:$H$201,"&lt;"&amp;H148)+COUNTIFS($A$2:$A$201,$A148,$BB$2:$BB$201,1,$H$2:$H$201,H148,$BA$2:$BA$201,"&lt;"&amp;BA148)=0,1,0),0)</f>
        <v>0</v>
      </c>
      <c r="EF148" s="23" t="n">
        <f aca="false">IF(BC148=1,IF(COUNTIFS($AZ$2:$AZ$201,AZ148,$EE$2:$EE$201,1)&gt;1,1,0),0)</f>
        <v>0</v>
      </c>
      <c r="EG148" s="23" t="n">
        <f aca="false">IF(AND(CQ148=1),IF(COUNTIFS($AZ$2:$AZ$201,AZ148,$CQ$2:$CQ$201,1,$H$2:$H$201,"&gt;"&amp;H148)+COUNTIFS($AZ$2:$AZ$201,AZ148,$CQ$2:$CQ$201,1,$H$2:$H$201,H148,$BA$2:$BA$201,"&gt;"&amp;BA148)=0,1,0),0)</f>
        <v>0</v>
      </c>
      <c r="EH148" s="23" t="str">
        <f aca="false">IF(BB148=1,IF(COUNTIFS($AZ$2:$AZ$201,AZ148,$EG$2:$EG$201,1)=0,"",SUMIFS($O$2:$O$201,$AZ$2:$AZ$201,AZ148,$EG$2:$EG$201,1)),"")</f>
        <v/>
      </c>
      <c r="EI148" s="23" t="n">
        <f aca="false">IF(AND(ISNUMBER(EH148),OR(N(EH148)&lt;Config!$B$31,N(EH148)&gt;Config!$B$33)),1,0)</f>
        <v>0</v>
      </c>
      <c r="EJ148" s="23" t="n">
        <f aca="false">IF(AND(ISNUMBER(EH148),N(EH148)&gt;=Config!$B$31,N(EH148)&lt;Config!$B$32),1,0)</f>
        <v>0</v>
      </c>
      <c r="EK148" s="23" t="n">
        <f aca="false">IF(AND(BF148=1,INT(N(H148))&lt;=Config!$B$6,DH148=1,EI148=1),1,0)</f>
        <v>0</v>
      </c>
      <c r="EL148" s="23" t="n">
        <f aca="false">IF(AND(BF148=1,INT(N(H148))&lt;=Config!$B$7,DI148=1,EI148=1),1,0)</f>
        <v>0</v>
      </c>
      <c r="EM148" s="23" t="n">
        <f aca="false">IF(AND(BF148=1,INT(N(H148))&lt;=Config!$B$8,DJ148=1,EI148=1),1,0)</f>
        <v>0</v>
      </c>
      <c r="EN148" s="23" t="n">
        <f aca="false">IF(AND(BF148=1,INT(N(H148))&lt;=Config!$B$5,DK148=1,EI148=1),1,0)</f>
        <v>0</v>
      </c>
      <c r="EO148" s="23" t="n">
        <f aca="false">IF(AND(DL148=1,EJ148=1),1,0)</f>
        <v>0</v>
      </c>
      <c r="EP148" s="23" t="n">
        <f aca="false">IF(AND(DM148=1,EJ148=1),1,0)</f>
        <v>0</v>
      </c>
      <c r="EQ148" s="23" t="n">
        <f aca="false">IF(AND(DN148=1,EJ148=1),1,0)</f>
        <v>0</v>
      </c>
      <c r="ER148" s="23" t="n">
        <f aca="false">IF(AND(DO148=1,EJ148=1),1,0)</f>
        <v>0</v>
      </c>
    </row>
    <row r="149" customFormat="false" ht="15" hidden="false" customHeight="false" outlineLevel="0" collapsed="false">
      <c r="G149" s="32"/>
      <c r="H149" s="33"/>
      <c r="I149" s="32"/>
      <c r="L149" s="32"/>
      <c r="Q149" s="32"/>
      <c r="U149" s="32"/>
      <c r="W149" s="32"/>
      <c r="AC149" s="32"/>
      <c r="AF149" s="32"/>
      <c r="AI149" s="32"/>
      <c r="AJ149" s="32"/>
      <c r="AN149" s="32"/>
      <c r="AR149" s="32"/>
      <c r="AT149" s="32"/>
      <c r="AU149" s="32"/>
      <c r="AW149" s="32"/>
      <c r="AY149" s="34" t="str">
        <f aca="false">IF(TRIM($A149)="","",IF(AND(LEFT($A149,6)="SAMPLE",Config!$B$19&lt;&gt;"Y"),"",IF(NOT(ISNUMBER(H149)),"call_date is blank or not a date",IF(Sync!$C$5="","Clay paste is empty or has no row_id column: paste the Clay export on Clay_Offices",IF(CW149="","row_id not found in the Clay paste: add the Clay row or fix the row_id",IF(AND(ISNUMBER(CY149),CY149&gt;=1,CY149&lt;=5),"Clay status is "&amp;CX149&amp;": set call_done or later",IF(AND(BD149=1,CZ149&lt;&gt;BZ149),"Clay yes_in_principle should be "&amp;BZ149,IF(AND(BD149=1,DA149&lt;&gt;H149),"Clay call_date should be "&amp;TEXT(H149,"yyyy-mm-dd"),""))))))))</f>
        <v/>
      </c>
      <c r="AZ149" s="23" t="str">
        <f aca="false">IF(TRIM($A149)="","",IF(TRIM(C149)&lt;&gt;"",SUBSTITUTE(SUBSTITUTE(SUBSTITUTE(SUBSTITUTE(SUBSTITUTE(SUBSTITUTE(LOWER(TRIM(C149)),"~",""),"*",""),"?",""),"&lt;",""),"&gt;",""),"=",""),IF(EA149&lt;&gt;"",EA149,IFERROR(INDEX($EA$2:$EA$201,MATCH(DZ149,$EB$2:$EB$201,0)),DZ149))))</f>
        <v/>
      </c>
      <c r="BA149" s="23" t="n">
        <f aca="false">ROW()</f>
        <v>149</v>
      </c>
      <c r="BB149" s="23" t="n">
        <f aca="false">IF(AND(TRIM($A149)&lt;&gt;"",ISNUMBER(H149)),IF(AND(LEFT($A149,6)="SAMPLE",Config!$B$19&lt;&gt;"Y"),0,1),0)</f>
        <v>0</v>
      </c>
      <c r="BC149" s="23" t="n">
        <f aca="false">IF(BB149=1,IF(COUNTIFS($AZ$2:$AZ$201,AZ149,$BB$2:$BB$201,1,$H$2:$H$201,"&lt;"&amp;H149)+COUNTIFS($AZ$2:$AZ$201,AZ149,$BB$2:$BB$201,1,$H$2:$H$201,H149,$BA$2:$BA$201,"&lt;"&amp;BA149)=0,1,0),0)</f>
        <v>0</v>
      </c>
      <c r="BD149" s="23" t="n">
        <f aca="false">IF(BB149=1,IF(COUNTIFS($A$2:$A$201,$A149,$BB$2:$BB$201,1,$H$2:$H$201,"&gt;"&amp;H149)+COUNTIFS($A$2:$A$201,$A149,$BB$2:$BB$201,1,$H$2:$H$201,H149,$BA$2:$BA$201,"&gt;"&amp;BA149)=0,1,0),0)</f>
        <v>0</v>
      </c>
      <c r="BE149" s="23" t="n">
        <f aca="false">IF(AND(BB149=1,AR149="Y",AC149="Y",TRIM(AH149)&lt;&gt;""),1,0)</f>
        <v>0</v>
      </c>
      <c r="BF149" s="23" t="n">
        <f aca="false">IF(BE149=1,IF(COUNTIFS($AZ$2:$AZ$201,AZ149,$BE$2:$BE$201,1,$H$2:$H$201,"&lt;"&amp;H149)+COUNTIFS($AZ$2:$AZ$201,AZ149,$BE$2:$BE$201,1,$H$2:$H$201,H149,$BA$2:$BA$201,"&lt;"&amp;BA149)=0,1,0),0)</f>
        <v>0</v>
      </c>
      <c r="BG149" s="23" t="n">
        <f aca="false">IF(AND(BB149=1,AR149="Y",BE149=0),1,0)</f>
        <v>0</v>
      </c>
      <c r="BH149" s="23" t="n">
        <f aca="false">IF(AND(BB149=1,ISNUMBER(Y149)),1,0)</f>
        <v>0</v>
      </c>
      <c r="BI149" s="23" t="n">
        <f aca="false">IF(BH149=1,IF(COUNTIFS($AZ$2:$AZ$201,AZ149,$BH$2:$BH$201,1,$H$2:$H$201,"&lt;"&amp;H149)+COUNTIFS($AZ$2:$AZ$201,AZ149,$BH$2:$BH$201,1,$H$2:$H$201,H149,$BA$2:$BA$201,"&lt;"&amp;BA149)=0,1,0),0)</f>
        <v>0</v>
      </c>
      <c r="BJ149" s="23" t="str">
        <f aca="false">IF(AND(BI149=1,INT(N(H149))&lt;=Config!$B$6),Y149,"")</f>
        <v/>
      </c>
      <c r="BK149" s="23" t="str">
        <f aca="false">IF(AND(BI149=1,INT(N(H149))&lt;=Config!$B$7),Y149,"")</f>
        <v/>
      </c>
      <c r="BL149" s="23" t="str">
        <f aca="false">IF(AND(BI149=1,INT(N(H149))&lt;=Config!$B$8),Y149,"")</f>
        <v/>
      </c>
      <c r="BM149" s="23" t="str">
        <f aca="false">IF(AND(BI149=1,INT(N(H149))&lt;=Config!$B$5),Y149,"")</f>
        <v/>
      </c>
      <c r="BN149" s="23" t="n">
        <f aca="false">IF(CD149=1,IF(COUNTIFS($AZ$2:$AZ$201,AZ149,$CD$2:$CD$201,1,$H$2:$H$201,"&lt;"&amp;H149)+COUNTIFS($AZ$2:$AZ$201,AZ149,$CD$2:$CD$201,1,$H$2:$H$201,H149,$BA$2:$BA$201,"&lt;"&amp;BA149)=0,1,0),0)</f>
        <v>0</v>
      </c>
      <c r="BO149" s="23" t="n">
        <f aca="false">IF(AND(BB149=1,ISNUMBER(M149)),1,0)</f>
        <v>0</v>
      </c>
      <c r="BP149" s="23" t="n">
        <f aca="false">IF(BO149=1,IF(COUNTIFS($AZ$2:$AZ$201,AZ149,$BO$2:$BO$201,1,$H$2:$H$201,"&lt;"&amp;H149)+COUNTIFS($AZ$2:$AZ$201,AZ149,$BO$2:$BO$201,1,$H$2:$H$201,H149,$BA$2:$BA$201,"&lt;"&amp;BA149)=0,1,0),0)</f>
        <v>0</v>
      </c>
      <c r="BQ149" s="23" t="str">
        <f aca="false">IF(AND(BP149=1,INT(N(H149))&lt;=Config!$B$5),M149,"")</f>
        <v/>
      </c>
      <c r="BR149" s="23" t="n">
        <f aca="false">IF(AND(BB149=1,OR(TRIM(X149)&lt;&gt;"",ISNUMBER(Y149))),1,0)</f>
        <v>0</v>
      </c>
      <c r="BS149" s="23" t="n">
        <f aca="false">IF(BR149=1,IF(COUNTIFS($AZ$2:$AZ$201,AZ149,$BR$2:$BR$201,1,$H$2:$H$201,"&lt;"&amp;H149)+COUNTIFS($AZ$2:$AZ$201,AZ149,$BR$2:$BR$201,1,$H$2:$H$201,H149,$BA$2:$BA$201,"&lt;"&amp;BA149)=0,1,0),0)</f>
        <v>0</v>
      </c>
      <c r="BT149" s="23" t="str">
        <f aca="false">IF(BS149=1,AZ149,"")</f>
        <v/>
      </c>
      <c r="BU149" s="23" t="n">
        <f aca="false">IF(AND(BB149=1,W149="Y",TRIM(X149)=""),1,0)</f>
        <v>0</v>
      </c>
      <c r="BV149" s="23" t="str">
        <f aca="false">IF(BB149=1,AN149&amp;"","")</f>
        <v/>
      </c>
      <c r="BW149" s="23" t="str">
        <f aca="false">IF(BB149=1,AO149&amp;"","")</f>
        <v/>
      </c>
      <c r="BX149" s="23" t="str">
        <f aca="false">IF(BB149=1,AP149&amp;"","")</f>
        <v/>
      </c>
      <c r="BY149" s="23" t="str">
        <f aca="false">IF(AND(BB149=1,ISNUMBER(AV149),INT(N(H149))&lt;=Config!$B$5),AV149,"")</f>
        <v/>
      </c>
      <c r="BZ149" s="23" t="str">
        <f aca="false">IF(BB149=1,IF(COUNTIFS($A$2:$A$201,$A149,$DC$2:$DC$201,1,$AR$2:$AR$201,"Y")&gt;0,"Y","N"),"")</f>
        <v/>
      </c>
      <c r="CA149" s="23" t="n">
        <f aca="false">IF(AND(BB149=1,AR149="maybe"),1,0)</f>
        <v>0</v>
      </c>
      <c r="CB149" s="23" t="n">
        <f aca="false">IF(CA149=1,IF(COUNTIFS($AZ$2:$AZ$201,AZ149,$CA$2:$CA$201,1,$H$2:$H$201,"&lt;"&amp;H149)+COUNTIFS($AZ$2:$AZ$201,AZ149,$CA$2:$CA$201,1,$H$2:$H$201,H149,$BA$2:$BA$201,"&lt;"&amp;BA149)=0,1,0),0)</f>
        <v>0</v>
      </c>
      <c r="CC149" s="23" t="n">
        <f aca="false">IF(AND(BB149=1,AR149="Y"),IF(COUNTIFS($AZ$2:$AZ$201,AZ149,$AR$2:$AR$201,"Y",$BB$2:$BB$201,1,$H$2:$H$201,"&lt;"&amp;H149)+COUNTIFS($AZ$2:$AZ$201,AZ149,$AR$2:$AR$201,"Y",$BB$2:$BB$201,1,$H$2:$H$201,H149,$BA$2:$BA$201,"&lt;"&amp;BA149)=0,1,0),0)</f>
        <v>0</v>
      </c>
      <c r="CD149" s="23" t="n">
        <f aca="false">IF(AND(BH149=1,N(Y149)&gt;=Config!$B$15),1,0)</f>
        <v>0</v>
      </c>
      <c r="CE149" s="23" t="n">
        <f aca="false">IF(AND(BB149=1,AT149="Y"),1,0)</f>
        <v>0</v>
      </c>
      <c r="CF149" s="23" t="n">
        <f aca="false">IF(CE149=1,IF(COUNTIFS($AZ$2:$AZ$201,AZ149,$CE$2:$CE$201,1,$H$2:$H$201,"&lt;"&amp;H149)+COUNTIFS($AZ$2:$AZ$201,AZ149,$CE$2:$CE$201,1,$H$2:$H$201,H149,$BA$2:$BA$201,"&lt;"&amp;BA149)=0,1,0),0)</f>
        <v>0</v>
      </c>
      <c r="CG149" s="23" t="n">
        <f aca="false">IF(AND(BB149=1,G149="warm-intro"),1,0)</f>
        <v>0</v>
      </c>
      <c r="CH149" s="23" t="n">
        <f aca="false">IF(CG149=1,IF(COUNTIFS($AZ$2:$AZ$201,AZ149,$CG$2:$CG$201,1,$H$2:$H$201,"&lt;"&amp;H149)+COUNTIFS($AZ$2:$AZ$201,AZ149,$CG$2:$CG$201,1,$H$2:$H$201,H149,$BA$2:$BA$201,"&lt;"&amp;BA149)=0,1,0),0)</f>
        <v>0</v>
      </c>
      <c r="CI149" s="23" t="n">
        <f aca="false">IF(AND(BB149=1,Q149="Y"),1,0)</f>
        <v>0</v>
      </c>
      <c r="CJ149" s="23" t="n">
        <f aca="false">IF(CI149=1,IF(COUNTIFS($AZ$2:$AZ$201,AZ149,$CI$2:$CI$201,1,$H$2:$H$201,"&lt;"&amp;H149)+COUNTIFS($AZ$2:$AZ$201,AZ149,$CI$2:$CI$201,1,$H$2:$H$201,H149,$BA$2:$BA$201,"&lt;"&amp;BA149)=0,1,0),0)</f>
        <v>0</v>
      </c>
      <c r="CK149" s="23" t="n">
        <f aca="false">IF(AND(BB149=1,AF149="Y"),1,0)</f>
        <v>0</v>
      </c>
      <c r="CL149" s="23" t="n">
        <f aca="false">IF(CK149=1,IF(COUNTIFS($AZ$2:$AZ$201,AZ149,$CK$2:$CK$201,1,$H$2:$H$201,"&lt;"&amp;H149)+COUNTIFS($AZ$2:$AZ$201,AZ149,$CK$2:$CK$201,1,$H$2:$H$201,H149,$BA$2:$BA$201,"&lt;"&amp;BA149)=0,1,0),0)</f>
        <v>0</v>
      </c>
      <c r="CM149" s="23" t="n">
        <f aca="false">IF(AND(BB149=1,U149="Y"),1,0)</f>
        <v>0</v>
      </c>
      <c r="CN149" s="23" t="n">
        <f aca="false">IF(CM149=1,IF(COUNTIFS($AZ$2:$AZ$201,AZ149,$CM$2:$CM$201,1,$H$2:$H$201,"&lt;"&amp;H149)+COUNTIFS($AZ$2:$AZ$201,AZ149,$CM$2:$CM$201,1,$H$2:$H$201,H149,$BA$2:$BA$201,"&lt;"&amp;BA149)=0,1,0),0)</f>
        <v>0</v>
      </c>
      <c r="CO149" s="23" t="n">
        <f aca="false">IF(AND(BB149=1,L149="Y"),1,0)</f>
        <v>0</v>
      </c>
      <c r="CP149" s="23" t="n">
        <f aca="false">IF(CO149=1,IF(COUNTIFS($AZ$2:$AZ$201,AZ149,$CO$2:$CO$201,1,$H$2:$H$201,"&lt;"&amp;H149)+COUNTIFS($AZ$2:$AZ$201,AZ149,$CO$2:$CO$201,1,$H$2:$H$201,H149,$BA$2:$BA$201,"&lt;"&amp;BA149)=0,1,0),0)</f>
        <v>0</v>
      </c>
      <c r="CQ149" s="23" t="n">
        <f aca="false">IF(AND(BB149=1,ISNUMBER(O149)),1,0)</f>
        <v>0</v>
      </c>
      <c r="CR149" s="23" t="n">
        <f aca="false">IF(CQ149=1,IF(COUNTIFS($AZ$2:$AZ$201,AZ149,$CQ$2:$CQ$201,1,$H$2:$H$201,"&lt;"&amp;H149)+COUNTIFS($AZ$2:$AZ$201,AZ149,$CQ$2:$CQ$201,1,$H$2:$H$201,H149,$BA$2:$BA$201,"&lt;"&amp;BA149)=0,1,0),0)</f>
        <v>0</v>
      </c>
      <c r="CS149" s="23" t="str">
        <f aca="false">IF(AND(CR149=1,INT(N(H149))&lt;=Config!$B$5),O149,"")</f>
        <v/>
      </c>
      <c r="CT149" s="23" t="str">
        <f aca="false">IF(AND(BB149=1,INT(N(H149))&lt;=Config!$B$5),AG149&amp;"","")</f>
        <v/>
      </c>
      <c r="CU149" s="23" t="n">
        <f aca="false">IF(AND(BB149=1,AU149="Y"),1,0)</f>
        <v>0</v>
      </c>
      <c r="CV149" s="23" t="n">
        <f aca="false">IF(CU149=1,IF(COUNTIFS($AZ$2:$AZ$201,AZ149,$CU$2:$CU$201,1,$H$2:$H$201,"&lt;"&amp;H149)+COUNTIFS($AZ$2:$AZ$201,AZ149,$CU$2:$CU$201,1,$H$2:$H$201,H149,$BA$2:$BA$201,"&lt;"&amp;BA149)=0,1,0),0)</f>
        <v>0</v>
      </c>
      <c r="CW149" s="23" t="str">
        <f aca="false">IF(BB149=1,IFERROR(MATCH($A149,INDEX(Clay_Offices!$A$2:$FZ$601,0,Sync!$C$5),0),""),"")</f>
        <v/>
      </c>
      <c r="CX149" s="23" t="str">
        <f aca="false">IF(CW149="","",IFERROR(INDEX(Clay_Offices!$A$2:$FZ$601,CW149,Sync!$C$7)&amp;"",""))</f>
        <v/>
      </c>
      <c r="CY149" s="23" t="str">
        <f aca="false">IF(CX149="","",IFERROR(INDEX(Lists!$K$2:$K$15,MATCH(CX149,Lists!$J$2:$J$15,0)),""))</f>
        <v/>
      </c>
      <c r="CZ149" s="23" t="str">
        <f aca="false">IF(CW149="","",IFERROR(INDEX(Clay_Offices!$A$2:$FZ$601,CW149,Sync!$C$17)&amp;"",""))</f>
        <v/>
      </c>
      <c r="DA149" s="35" t="str">
        <f aca="false">IF(CW149="","",IFERROR(N(INDEX(Clay_Offices!$A$2:$FZ$601,CW149,Sync!$C$16)),0))</f>
        <v/>
      </c>
      <c r="DB149" s="23" t="n">
        <f aca="false">IF(AND(BB149=1,OR(AR149="Y",AR149="N",AR149="maybe")),1,0)</f>
        <v>0</v>
      </c>
      <c r="DC149" s="23" t="n">
        <f aca="false">IF(AND(DB149=1),IF(COUNTIFS($A$2:$A$201,$A149,$DB$2:$DB$201,1,$H$2:$H$201,"&gt;"&amp;H149)+COUNTIFS($A$2:$A$201,$A149,$DB$2:$DB$201,1,$H$2:$H$201,H149,$BA$2:$BA$201,"&gt;"&amp;BA149)=0,1,0),0)</f>
        <v>0</v>
      </c>
      <c r="DD149" s="23" t="n">
        <f aca="false">IF(AND(DB149=1,INT(N(H149))&lt;=Config!$B$6),IF(COUNTIFS($AZ$2:$AZ$201,AZ149,$DB$2:$DB$201,1,$H$2:$H$201,"&gt;"&amp;H149,$H$2:$H$201,"&lt;"&amp;(Config!$B$6+1))+COUNTIFS($AZ$2:$AZ$201,AZ149,$DB$2:$DB$201,1,$H$2:$H$201,H149,$BA$2:$BA$201,"&gt;"&amp;BA149)=0,1,0),0)</f>
        <v>0</v>
      </c>
      <c r="DE149" s="23" t="n">
        <f aca="false">IF(AND(DB149=1,INT(N(H149))&lt;=Config!$B$7),IF(COUNTIFS($AZ$2:$AZ$201,AZ149,$DB$2:$DB$201,1,$H$2:$H$201,"&gt;"&amp;H149,$H$2:$H$201,"&lt;"&amp;(Config!$B$7+1))+COUNTIFS($AZ$2:$AZ$201,AZ149,$DB$2:$DB$201,1,$H$2:$H$201,H149,$BA$2:$BA$201,"&gt;"&amp;BA149)=0,1,0),0)</f>
        <v>0</v>
      </c>
      <c r="DF149" s="23" t="n">
        <f aca="false">IF(AND(DB149=1,INT(N(H149))&lt;=Config!$B$8),IF(COUNTIFS($AZ$2:$AZ$201,AZ149,$DB$2:$DB$201,1,$H$2:$H$201,"&gt;"&amp;H149,$H$2:$H$201,"&lt;"&amp;(Config!$B$8+1))+COUNTIFS($AZ$2:$AZ$201,AZ149,$DB$2:$DB$201,1,$H$2:$H$201,H149,$BA$2:$BA$201,"&gt;"&amp;BA149)=0,1,0),0)</f>
        <v>0</v>
      </c>
      <c r="DG149" s="23" t="n">
        <f aca="false">IF(AND(DB149=1,INT(N(H149))&lt;=Config!$B$5),IF(COUNTIFS($AZ$2:$AZ$201,AZ149,$DB$2:$DB$201,1,$H$2:$H$201,"&gt;"&amp;H149,$H$2:$H$201,"&lt;"&amp;(Config!$B$5+1))+COUNTIFS($AZ$2:$AZ$201,AZ149,$DB$2:$DB$201,1,$H$2:$H$201,H149,$BA$2:$BA$201,"&gt;"&amp;BA149)=0,1,0),0)</f>
        <v>0</v>
      </c>
      <c r="DH149" s="23" t="n">
        <f aca="false">IF(BB149=1,IF(COUNTIFS($AZ$2:$AZ$201,AZ149,$DD$2:$DD$201,1,$AR$2:$AR$201,"Y")&gt;0,1,0),0)</f>
        <v>0</v>
      </c>
      <c r="DI149" s="23" t="n">
        <f aca="false">IF(BB149=1,IF(COUNTIFS($AZ$2:$AZ$201,AZ149,$DE$2:$DE$201,1,$AR$2:$AR$201,"Y")&gt;0,1,0),0)</f>
        <v>0</v>
      </c>
      <c r="DJ149" s="23" t="n">
        <f aca="false">IF(BB149=1,IF(COUNTIFS($AZ$2:$AZ$201,AZ149,$DF$2:$DF$201,1,$AR$2:$AR$201,"Y")&gt;0,1,0),0)</f>
        <v>0</v>
      </c>
      <c r="DK149" s="23" t="n">
        <f aca="false">IF(BB149=1,IF(COUNTIFS($AZ$2:$AZ$201,AZ149,$DG$2:$DG$201,1,$AR$2:$AR$201,"Y")&gt;0,1,0),0)</f>
        <v>0</v>
      </c>
      <c r="DL149" s="23" t="n">
        <f aca="false">IF(AND(BF149=1,INT(N(H149))&lt;=Config!$B$6,DH149=1,EI149=0),1,0)</f>
        <v>0</v>
      </c>
      <c r="DM149" s="23" t="n">
        <f aca="false">IF(AND(BF149=1,INT(N(H149))&lt;=Config!$B$7,DI149=1,EI149=0),1,0)</f>
        <v>0</v>
      </c>
      <c r="DN149" s="23" t="n">
        <f aca="false">IF(AND(BF149=1,INT(N(H149))&lt;=Config!$B$8,DJ149=1,EI149=0),1,0)</f>
        <v>0</v>
      </c>
      <c r="DO149" s="23" t="n">
        <f aca="false">IF(AND(BF149=1,INT(N(H149))&lt;=Config!$B$5,DK149=1,EI149=0),1,0)</f>
        <v>0</v>
      </c>
      <c r="DP149" s="23" t="n">
        <f aca="false">IF(AND(CC149=1,INT(N(H149))&lt;=Config!$B$6,DH149=1,EI149=0),1,0)</f>
        <v>0</v>
      </c>
      <c r="DQ149" s="23" t="n">
        <f aca="false">IF(AND(CC149=1,INT(N(H149))&lt;=Config!$B$7,DI149=1,EI149=0),1,0)</f>
        <v>0</v>
      </c>
      <c r="DR149" s="23" t="n">
        <f aca="false">IF(AND(CC149=1,INT(N(H149))&lt;=Config!$B$8,DJ149=1,EI149=0),1,0)</f>
        <v>0</v>
      </c>
      <c r="DS149" s="23" t="n">
        <f aca="false">IF(AND(CC149=1,INT(N(H149))&lt;=Config!$B$5,DK149=1,EI149=0),1,0)</f>
        <v>0</v>
      </c>
      <c r="DT149" s="23" t="n">
        <f aca="false">IF(AND(CC149=1,INT(N(H149))&lt;=Config!$B$6,DH149=0),1,0)</f>
        <v>0</v>
      </c>
      <c r="DU149" s="23" t="n">
        <f aca="false">IF(AND(CC149=1,INT(N(H149))&lt;=Config!$B$7,DI149=0),1,0)</f>
        <v>0</v>
      </c>
      <c r="DV149" s="23" t="n">
        <f aca="false">IF(AND(CC149=1,INT(N(H149))&lt;=Config!$B$8,DJ149=0),1,0)</f>
        <v>0</v>
      </c>
      <c r="DW149" s="23" t="n">
        <f aca="false">IF(AND(CC149=1,INT(N(H149))&lt;=Config!$B$5,DK149=0),1,0)</f>
        <v>0</v>
      </c>
      <c r="DX149" s="23" t="n">
        <f aca="false">IF(TRIM($A149)="",0,ISTEXT(M149)+ISTEXT(O149)+ISTEXT(Y149)+ISTEXT(Z149)+ISTEXT(AA149)+ISTEXT(AV149))</f>
        <v>0</v>
      </c>
      <c r="DY149" s="23" t="n">
        <f aca="false">IF(BB149=1,IF(H149&lt;&gt;INT(H149),1,0),0)</f>
        <v>0</v>
      </c>
      <c r="DZ149" s="23" t="str">
        <f aca="false">IF(TRIM($A149)="","",IF(TRIM(B149)="",SUBSTITUTE(SUBSTITUTE(SUBSTITUTE(SUBSTITUTE(SUBSTITUTE(SUBSTITUTE(LOWER(TRIM($A149)),"~",""),"*",""),"?",""),"&lt;",""),"&gt;",""),"=",""),SUBSTITUTE(SUBSTITUTE(SUBSTITUTE(SUBSTITUTE(SUBSTITUTE(SUBSTITUTE(LOWER(TRIM(B149)),"~",""),"*",""),"?",""),"&lt;",""),"&gt;",""),"=","")))</f>
        <v/>
      </c>
      <c r="EA149" s="23" t="str">
        <f aca="false">IF(CW149="","",IFERROR(IF(LEFT(LOWER(TRIM(INDEX(Clay_Offices!$A$2:$FZ$601,CW149,Sync!$C$19)&amp;"")),4)="grp-",SUBSTITUTE(SUBSTITUTE(SUBSTITUTE(SUBSTITUTE(SUBSTITUTE(SUBSTITUTE(LOWER(TRIM(INDEX(Clay_Offices!$A$2:$FZ$601,CW149,Sync!$C$19)&amp;"")),"~",""),"*",""),"?",""),"&lt;",""),"&gt;",""),"=",""),""),""))</f>
        <v/>
      </c>
      <c r="EB149" s="23" t="str">
        <f aca="false">IF(EA149&lt;&gt;"",DZ149,"")</f>
        <v/>
      </c>
      <c r="EC149" s="23" t="str">
        <f aca="false">IF(BC149=1,AZ149,"")</f>
        <v/>
      </c>
      <c r="ED149" s="23" t="str">
        <f aca="false">IF(TRIM($A149)="","",IFERROR(INDEX($A$2:$A$201,MATCH(AZ149,$EC$2:$EC$201,0))&amp;"",$A149&amp;""))</f>
        <v/>
      </c>
      <c r="EE149" s="23" t="n">
        <f aca="false">IF(BB149=1,IF(COUNTIFS($A$2:$A$201,$A149,$BB$2:$BB$201,1,$H$2:$H$201,"&lt;"&amp;H149)+COUNTIFS($A$2:$A$201,$A149,$BB$2:$BB$201,1,$H$2:$H$201,H149,$BA$2:$BA$201,"&lt;"&amp;BA149)=0,1,0),0)</f>
        <v>0</v>
      </c>
      <c r="EF149" s="23" t="n">
        <f aca="false">IF(BC149=1,IF(COUNTIFS($AZ$2:$AZ$201,AZ149,$EE$2:$EE$201,1)&gt;1,1,0),0)</f>
        <v>0</v>
      </c>
      <c r="EG149" s="23" t="n">
        <f aca="false">IF(AND(CQ149=1),IF(COUNTIFS($AZ$2:$AZ$201,AZ149,$CQ$2:$CQ$201,1,$H$2:$H$201,"&gt;"&amp;H149)+COUNTIFS($AZ$2:$AZ$201,AZ149,$CQ$2:$CQ$201,1,$H$2:$H$201,H149,$BA$2:$BA$201,"&gt;"&amp;BA149)=0,1,0),0)</f>
        <v>0</v>
      </c>
      <c r="EH149" s="23" t="str">
        <f aca="false">IF(BB149=1,IF(COUNTIFS($AZ$2:$AZ$201,AZ149,$EG$2:$EG$201,1)=0,"",SUMIFS($O$2:$O$201,$AZ$2:$AZ$201,AZ149,$EG$2:$EG$201,1)),"")</f>
        <v/>
      </c>
      <c r="EI149" s="23" t="n">
        <f aca="false">IF(AND(ISNUMBER(EH149),OR(N(EH149)&lt;Config!$B$31,N(EH149)&gt;Config!$B$33)),1,0)</f>
        <v>0</v>
      </c>
      <c r="EJ149" s="23" t="n">
        <f aca="false">IF(AND(ISNUMBER(EH149),N(EH149)&gt;=Config!$B$31,N(EH149)&lt;Config!$B$32),1,0)</f>
        <v>0</v>
      </c>
      <c r="EK149" s="23" t="n">
        <f aca="false">IF(AND(BF149=1,INT(N(H149))&lt;=Config!$B$6,DH149=1,EI149=1),1,0)</f>
        <v>0</v>
      </c>
      <c r="EL149" s="23" t="n">
        <f aca="false">IF(AND(BF149=1,INT(N(H149))&lt;=Config!$B$7,DI149=1,EI149=1),1,0)</f>
        <v>0</v>
      </c>
      <c r="EM149" s="23" t="n">
        <f aca="false">IF(AND(BF149=1,INT(N(H149))&lt;=Config!$B$8,DJ149=1,EI149=1),1,0)</f>
        <v>0</v>
      </c>
      <c r="EN149" s="23" t="n">
        <f aca="false">IF(AND(BF149=1,INT(N(H149))&lt;=Config!$B$5,DK149=1,EI149=1),1,0)</f>
        <v>0</v>
      </c>
      <c r="EO149" s="23" t="n">
        <f aca="false">IF(AND(DL149=1,EJ149=1),1,0)</f>
        <v>0</v>
      </c>
      <c r="EP149" s="23" t="n">
        <f aca="false">IF(AND(DM149=1,EJ149=1),1,0)</f>
        <v>0</v>
      </c>
      <c r="EQ149" s="23" t="n">
        <f aca="false">IF(AND(DN149=1,EJ149=1),1,0)</f>
        <v>0</v>
      </c>
      <c r="ER149" s="23" t="n">
        <f aca="false">IF(AND(DO149=1,EJ149=1),1,0)</f>
        <v>0</v>
      </c>
    </row>
    <row r="150" customFormat="false" ht="15" hidden="false" customHeight="false" outlineLevel="0" collapsed="false">
      <c r="G150" s="32"/>
      <c r="H150" s="33"/>
      <c r="I150" s="32"/>
      <c r="L150" s="32"/>
      <c r="Q150" s="32"/>
      <c r="U150" s="32"/>
      <c r="W150" s="32"/>
      <c r="AC150" s="32"/>
      <c r="AF150" s="32"/>
      <c r="AI150" s="32"/>
      <c r="AJ150" s="32"/>
      <c r="AN150" s="32"/>
      <c r="AR150" s="32"/>
      <c r="AT150" s="32"/>
      <c r="AU150" s="32"/>
      <c r="AW150" s="32"/>
      <c r="AY150" s="34" t="str">
        <f aca="false">IF(TRIM($A150)="","",IF(AND(LEFT($A150,6)="SAMPLE",Config!$B$19&lt;&gt;"Y"),"",IF(NOT(ISNUMBER(H150)),"call_date is blank or not a date",IF(Sync!$C$5="","Clay paste is empty or has no row_id column: paste the Clay export on Clay_Offices",IF(CW150="","row_id not found in the Clay paste: add the Clay row or fix the row_id",IF(AND(ISNUMBER(CY150),CY150&gt;=1,CY150&lt;=5),"Clay status is "&amp;CX150&amp;": set call_done or later",IF(AND(BD150=1,CZ150&lt;&gt;BZ150),"Clay yes_in_principle should be "&amp;BZ150,IF(AND(BD150=1,DA150&lt;&gt;H150),"Clay call_date should be "&amp;TEXT(H150,"yyyy-mm-dd"),""))))))))</f>
        <v/>
      </c>
      <c r="AZ150" s="23" t="str">
        <f aca="false">IF(TRIM($A150)="","",IF(TRIM(C150)&lt;&gt;"",SUBSTITUTE(SUBSTITUTE(SUBSTITUTE(SUBSTITUTE(SUBSTITUTE(SUBSTITUTE(LOWER(TRIM(C150)),"~",""),"*",""),"?",""),"&lt;",""),"&gt;",""),"=",""),IF(EA150&lt;&gt;"",EA150,IFERROR(INDEX($EA$2:$EA$201,MATCH(DZ150,$EB$2:$EB$201,0)),DZ150))))</f>
        <v/>
      </c>
      <c r="BA150" s="23" t="n">
        <f aca="false">ROW()</f>
        <v>150</v>
      </c>
      <c r="BB150" s="23" t="n">
        <f aca="false">IF(AND(TRIM($A150)&lt;&gt;"",ISNUMBER(H150)),IF(AND(LEFT($A150,6)="SAMPLE",Config!$B$19&lt;&gt;"Y"),0,1),0)</f>
        <v>0</v>
      </c>
      <c r="BC150" s="23" t="n">
        <f aca="false">IF(BB150=1,IF(COUNTIFS($AZ$2:$AZ$201,AZ150,$BB$2:$BB$201,1,$H$2:$H$201,"&lt;"&amp;H150)+COUNTIFS($AZ$2:$AZ$201,AZ150,$BB$2:$BB$201,1,$H$2:$H$201,H150,$BA$2:$BA$201,"&lt;"&amp;BA150)=0,1,0),0)</f>
        <v>0</v>
      </c>
      <c r="BD150" s="23" t="n">
        <f aca="false">IF(BB150=1,IF(COUNTIFS($A$2:$A$201,$A150,$BB$2:$BB$201,1,$H$2:$H$201,"&gt;"&amp;H150)+COUNTIFS($A$2:$A$201,$A150,$BB$2:$BB$201,1,$H$2:$H$201,H150,$BA$2:$BA$201,"&gt;"&amp;BA150)=0,1,0),0)</f>
        <v>0</v>
      </c>
      <c r="BE150" s="23" t="n">
        <f aca="false">IF(AND(BB150=1,AR150="Y",AC150="Y",TRIM(AH150)&lt;&gt;""),1,0)</f>
        <v>0</v>
      </c>
      <c r="BF150" s="23" t="n">
        <f aca="false">IF(BE150=1,IF(COUNTIFS($AZ$2:$AZ$201,AZ150,$BE$2:$BE$201,1,$H$2:$H$201,"&lt;"&amp;H150)+COUNTIFS($AZ$2:$AZ$201,AZ150,$BE$2:$BE$201,1,$H$2:$H$201,H150,$BA$2:$BA$201,"&lt;"&amp;BA150)=0,1,0),0)</f>
        <v>0</v>
      </c>
      <c r="BG150" s="23" t="n">
        <f aca="false">IF(AND(BB150=1,AR150="Y",BE150=0),1,0)</f>
        <v>0</v>
      </c>
      <c r="BH150" s="23" t="n">
        <f aca="false">IF(AND(BB150=1,ISNUMBER(Y150)),1,0)</f>
        <v>0</v>
      </c>
      <c r="BI150" s="23" t="n">
        <f aca="false">IF(BH150=1,IF(COUNTIFS($AZ$2:$AZ$201,AZ150,$BH$2:$BH$201,1,$H$2:$H$201,"&lt;"&amp;H150)+COUNTIFS($AZ$2:$AZ$201,AZ150,$BH$2:$BH$201,1,$H$2:$H$201,H150,$BA$2:$BA$201,"&lt;"&amp;BA150)=0,1,0),0)</f>
        <v>0</v>
      </c>
      <c r="BJ150" s="23" t="str">
        <f aca="false">IF(AND(BI150=1,INT(N(H150))&lt;=Config!$B$6),Y150,"")</f>
        <v/>
      </c>
      <c r="BK150" s="23" t="str">
        <f aca="false">IF(AND(BI150=1,INT(N(H150))&lt;=Config!$B$7),Y150,"")</f>
        <v/>
      </c>
      <c r="BL150" s="23" t="str">
        <f aca="false">IF(AND(BI150=1,INT(N(H150))&lt;=Config!$B$8),Y150,"")</f>
        <v/>
      </c>
      <c r="BM150" s="23" t="str">
        <f aca="false">IF(AND(BI150=1,INT(N(H150))&lt;=Config!$B$5),Y150,"")</f>
        <v/>
      </c>
      <c r="BN150" s="23" t="n">
        <f aca="false">IF(CD150=1,IF(COUNTIFS($AZ$2:$AZ$201,AZ150,$CD$2:$CD$201,1,$H$2:$H$201,"&lt;"&amp;H150)+COUNTIFS($AZ$2:$AZ$201,AZ150,$CD$2:$CD$201,1,$H$2:$H$201,H150,$BA$2:$BA$201,"&lt;"&amp;BA150)=0,1,0),0)</f>
        <v>0</v>
      </c>
      <c r="BO150" s="23" t="n">
        <f aca="false">IF(AND(BB150=1,ISNUMBER(M150)),1,0)</f>
        <v>0</v>
      </c>
      <c r="BP150" s="23" t="n">
        <f aca="false">IF(BO150=1,IF(COUNTIFS($AZ$2:$AZ$201,AZ150,$BO$2:$BO$201,1,$H$2:$H$201,"&lt;"&amp;H150)+COUNTIFS($AZ$2:$AZ$201,AZ150,$BO$2:$BO$201,1,$H$2:$H$201,H150,$BA$2:$BA$201,"&lt;"&amp;BA150)=0,1,0),0)</f>
        <v>0</v>
      </c>
      <c r="BQ150" s="23" t="str">
        <f aca="false">IF(AND(BP150=1,INT(N(H150))&lt;=Config!$B$5),M150,"")</f>
        <v/>
      </c>
      <c r="BR150" s="23" t="n">
        <f aca="false">IF(AND(BB150=1,OR(TRIM(X150)&lt;&gt;"",ISNUMBER(Y150))),1,0)</f>
        <v>0</v>
      </c>
      <c r="BS150" s="23" t="n">
        <f aca="false">IF(BR150=1,IF(COUNTIFS($AZ$2:$AZ$201,AZ150,$BR$2:$BR$201,1,$H$2:$H$201,"&lt;"&amp;H150)+COUNTIFS($AZ$2:$AZ$201,AZ150,$BR$2:$BR$201,1,$H$2:$H$201,H150,$BA$2:$BA$201,"&lt;"&amp;BA150)=0,1,0),0)</f>
        <v>0</v>
      </c>
      <c r="BT150" s="23" t="str">
        <f aca="false">IF(BS150=1,AZ150,"")</f>
        <v/>
      </c>
      <c r="BU150" s="23" t="n">
        <f aca="false">IF(AND(BB150=1,W150="Y",TRIM(X150)=""),1,0)</f>
        <v>0</v>
      </c>
      <c r="BV150" s="23" t="str">
        <f aca="false">IF(BB150=1,AN150&amp;"","")</f>
        <v/>
      </c>
      <c r="BW150" s="23" t="str">
        <f aca="false">IF(BB150=1,AO150&amp;"","")</f>
        <v/>
      </c>
      <c r="BX150" s="23" t="str">
        <f aca="false">IF(BB150=1,AP150&amp;"","")</f>
        <v/>
      </c>
      <c r="BY150" s="23" t="str">
        <f aca="false">IF(AND(BB150=1,ISNUMBER(AV150),INT(N(H150))&lt;=Config!$B$5),AV150,"")</f>
        <v/>
      </c>
      <c r="BZ150" s="23" t="str">
        <f aca="false">IF(BB150=1,IF(COUNTIFS($A$2:$A$201,$A150,$DC$2:$DC$201,1,$AR$2:$AR$201,"Y")&gt;0,"Y","N"),"")</f>
        <v/>
      </c>
      <c r="CA150" s="23" t="n">
        <f aca="false">IF(AND(BB150=1,AR150="maybe"),1,0)</f>
        <v>0</v>
      </c>
      <c r="CB150" s="23" t="n">
        <f aca="false">IF(CA150=1,IF(COUNTIFS($AZ$2:$AZ$201,AZ150,$CA$2:$CA$201,1,$H$2:$H$201,"&lt;"&amp;H150)+COUNTIFS($AZ$2:$AZ$201,AZ150,$CA$2:$CA$201,1,$H$2:$H$201,H150,$BA$2:$BA$201,"&lt;"&amp;BA150)=0,1,0),0)</f>
        <v>0</v>
      </c>
      <c r="CC150" s="23" t="n">
        <f aca="false">IF(AND(BB150=1,AR150="Y"),IF(COUNTIFS($AZ$2:$AZ$201,AZ150,$AR$2:$AR$201,"Y",$BB$2:$BB$201,1,$H$2:$H$201,"&lt;"&amp;H150)+COUNTIFS($AZ$2:$AZ$201,AZ150,$AR$2:$AR$201,"Y",$BB$2:$BB$201,1,$H$2:$H$201,H150,$BA$2:$BA$201,"&lt;"&amp;BA150)=0,1,0),0)</f>
        <v>0</v>
      </c>
      <c r="CD150" s="23" t="n">
        <f aca="false">IF(AND(BH150=1,N(Y150)&gt;=Config!$B$15),1,0)</f>
        <v>0</v>
      </c>
      <c r="CE150" s="23" t="n">
        <f aca="false">IF(AND(BB150=1,AT150="Y"),1,0)</f>
        <v>0</v>
      </c>
      <c r="CF150" s="23" t="n">
        <f aca="false">IF(CE150=1,IF(COUNTIFS($AZ$2:$AZ$201,AZ150,$CE$2:$CE$201,1,$H$2:$H$201,"&lt;"&amp;H150)+COUNTIFS($AZ$2:$AZ$201,AZ150,$CE$2:$CE$201,1,$H$2:$H$201,H150,$BA$2:$BA$201,"&lt;"&amp;BA150)=0,1,0),0)</f>
        <v>0</v>
      </c>
      <c r="CG150" s="23" t="n">
        <f aca="false">IF(AND(BB150=1,G150="warm-intro"),1,0)</f>
        <v>0</v>
      </c>
      <c r="CH150" s="23" t="n">
        <f aca="false">IF(CG150=1,IF(COUNTIFS($AZ$2:$AZ$201,AZ150,$CG$2:$CG$201,1,$H$2:$H$201,"&lt;"&amp;H150)+COUNTIFS($AZ$2:$AZ$201,AZ150,$CG$2:$CG$201,1,$H$2:$H$201,H150,$BA$2:$BA$201,"&lt;"&amp;BA150)=0,1,0),0)</f>
        <v>0</v>
      </c>
      <c r="CI150" s="23" t="n">
        <f aca="false">IF(AND(BB150=1,Q150="Y"),1,0)</f>
        <v>0</v>
      </c>
      <c r="CJ150" s="23" t="n">
        <f aca="false">IF(CI150=1,IF(COUNTIFS($AZ$2:$AZ$201,AZ150,$CI$2:$CI$201,1,$H$2:$H$201,"&lt;"&amp;H150)+COUNTIFS($AZ$2:$AZ$201,AZ150,$CI$2:$CI$201,1,$H$2:$H$201,H150,$BA$2:$BA$201,"&lt;"&amp;BA150)=0,1,0),0)</f>
        <v>0</v>
      </c>
      <c r="CK150" s="23" t="n">
        <f aca="false">IF(AND(BB150=1,AF150="Y"),1,0)</f>
        <v>0</v>
      </c>
      <c r="CL150" s="23" t="n">
        <f aca="false">IF(CK150=1,IF(COUNTIFS($AZ$2:$AZ$201,AZ150,$CK$2:$CK$201,1,$H$2:$H$201,"&lt;"&amp;H150)+COUNTIFS($AZ$2:$AZ$201,AZ150,$CK$2:$CK$201,1,$H$2:$H$201,H150,$BA$2:$BA$201,"&lt;"&amp;BA150)=0,1,0),0)</f>
        <v>0</v>
      </c>
      <c r="CM150" s="23" t="n">
        <f aca="false">IF(AND(BB150=1,U150="Y"),1,0)</f>
        <v>0</v>
      </c>
      <c r="CN150" s="23" t="n">
        <f aca="false">IF(CM150=1,IF(COUNTIFS($AZ$2:$AZ$201,AZ150,$CM$2:$CM$201,1,$H$2:$H$201,"&lt;"&amp;H150)+COUNTIFS($AZ$2:$AZ$201,AZ150,$CM$2:$CM$201,1,$H$2:$H$201,H150,$BA$2:$BA$201,"&lt;"&amp;BA150)=0,1,0),0)</f>
        <v>0</v>
      </c>
      <c r="CO150" s="23" t="n">
        <f aca="false">IF(AND(BB150=1,L150="Y"),1,0)</f>
        <v>0</v>
      </c>
      <c r="CP150" s="23" t="n">
        <f aca="false">IF(CO150=1,IF(COUNTIFS($AZ$2:$AZ$201,AZ150,$CO$2:$CO$201,1,$H$2:$H$201,"&lt;"&amp;H150)+COUNTIFS($AZ$2:$AZ$201,AZ150,$CO$2:$CO$201,1,$H$2:$H$201,H150,$BA$2:$BA$201,"&lt;"&amp;BA150)=0,1,0),0)</f>
        <v>0</v>
      </c>
      <c r="CQ150" s="23" t="n">
        <f aca="false">IF(AND(BB150=1,ISNUMBER(O150)),1,0)</f>
        <v>0</v>
      </c>
      <c r="CR150" s="23" t="n">
        <f aca="false">IF(CQ150=1,IF(COUNTIFS($AZ$2:$AZ$201,AZ150,$CQ$2:$CQ$201,1,$H$2:$H$201,"&lt;"&amp;H150)+COUNTIFS($AZ$2:$AZ$201,AZ150,$CQ$2:$CQ$201,1,$H$2:$H$201,H150,$BA$2:$BA$201,"&lt;"&amp;BA150)=0,1,0),0)</f>
        <v>0</v>
      </c>
      <c r="CS150" s="23" t="str">
        <f aca="false">IF(AND(CR150=1,INT(N(H150))&lt;=Config!$B$5),O150,"")</f>
        <v/>
      </c>
      <c r="CT150" s="23" t="str">
        <f aca="false">IF(AND(BB150=1,INT(N(H150))&lt;=Config!$B$5),AG150&amp;"","")</f>
        <v/>
      </c>
      <c r="CU150" s="23" t="n">
        <f aca="false">IF(AND(BB150=1,AU150="Y"),1,0)</f>
        <v>0</v>
      </c>
      <c r="CV150" s="23" t="n">
        <f aca="false">IF(CU150=1,IF(COUNTIFS($AZ$2:$AZ$201,AZ150,$CU$2:$CU$201,1,$H$2:$H$201,"&lt;"&amp;H150)+COUNTIFS($AZ$2:$AZ$201,AZ150,$CU$2:$CU$201,1,$H$2:$H$201,H150,$BA$2:$BA$201,"&lt;"&amp;BA150)=0,1,0),0)</f>
        <v>0</v>
      </c>
      <c r="CW150" s="23" t="str">
        <f aca="false">IF(BB150=1,IFERROR(MATCH($A150,INDEX(Clay_Offices!$A$2:$FZ$601,0,Sync!$C$5),0),""),"")</f>
        <v/>
      </c>
      <c r="CX150" s="23" t="str">
        <f aca="false">IF(CW150="","",IFERROR(INDEX(Clay_Offices!$A$2:$FZ$601,CW150,Sync!$C$7)&amp;"",""))</f>
        <v/>
      </c>
      <c r="CY150" s="23" t="str">
        <f aca="false">IF(CX150="","",IFERROR(INDEX(Lists!$K$2:$K$15,MATCH(CX150,Lists!$J$2:$J$15,0)),""))</f>
        <v/>
      </c>
      <c r="CZ150" s="23" t="str">
        <f aca="false">IF(CW150="","",IFERROR(INDEX(Clay_Offices!$A$2:$FZ$601,CW150,Sync!$C$17)&amp;"",""))</f>
        <v/>
      </c>
      <c r="DA150" s="35" t="str">
        <f aca="false">IF(CW150="","",IFERROR(N(INDEX(Clay_Offices!$A$2:$FZ$601,CW150,Sync!$C$16)),0))</f>
        <v/>
      </c>
      <c r="DB150" s="23" t="n">
        <f aca="false">IF(AND(BB150=1,OR(AR150="Y",AR150="N",AR150="maybe")),1,0)</f>
        <v>0</v>
      </c>
      <c r="DC150" s="23" t="n">
        <f aca="false">IF(AND(DB150=1),IF(COUNTIFS($A$2:$A$201,$A150,$DB$2:$DB$201,1,$H$2:$H$201,"&gt;"&amp;H150)+COUNTIFS($A$2:$A$201,$A150,$DB$2:$DB$201,1,$H$2:$H$201,H150,$BA$2:$BA$201,"&gt;"&amp;BA150)=0,1,0),0)</f>
        <v>0</v>
      </c>
      <c r="DD150" s="23" t="n">
        <f aca="false">IF(AND(DB150=1,INT(N(H150))&lt;=Config!$B$6),IF(COUNTIFS($AZ$2:$AZ$201,AZ150,$DB$2:$DB$201,1,$H$2:$H$201,"&gt;"&amp;H150,$H$2:$H$201,"&lt;"&amp;(Config!$B$6+1))+COUNTIFS($AZ$2:$AZ$201,AZ150,$DB$2:$DB$201,1,$H$2:$H$201,H150,$BA$2:$BA$201,"&gt;"&amp;BA150)=0,1,0),0)</f>
        <v>0</v>
      </c>
      <c r="DE150" s="23" t="n">
        <f aca="false">IF(AND(DB150=1,INT(N(H150))&lt;=Config!$B$7),IF(COUNTIFS($AZ$2:$AZ$201,AZ150,$DB$2:$DB$201,1,$H$2:$H$201,"&gt;"&amp;H150,$H$2:$H$201,"&lt;"&amp;(Config!$B$7+1))+COUNTIFS($AZ$2:$AZ$201,AZ150,$DB$2:$DB$201,1,$H$2:$H$201,H150,$BA$2:$BA$201,"&gt;"&amp;BA150)=0,1,0),0)</f>
        <v>0</v>
      </c>
      <c r="DF150" s="23" t="n">
        <f aca="false">IF(AND(DB150=1,INT(N(H150))&lt;=Config!$B$8),IF(COUNTIFS($AZ$2:$AZ$201,AZ150,$DB$2:$DB$201,1,$H$2:$H$201,"&gt;"&amp;H150,$H$2:$H$201,"&lt;"&amp;(Config!$B$8+1))+COUNTIFS($AZ$2:$AZ$201,AZ150,$DB$2:$DB$201,1,$H$2:$H$201,H150,$BA$2:$BA$201,"&gt;"&amp;BA150)=0,1,0),0)</f>
        <v>0</v>
      </c>
      <c r="DG150" s="23" t="n">
        <f aca="false">IF(AND(DB150=1,INT(N(H150))&lt;=Config!$B$5),IF(COUNTIFS($AZ$2:$AZ$201,AZ150,$DB$2:$DB$201,1,$H$2:$H$201,"&gt;"&amp;H150,$H$2:$H$201,"&lt;"&amp;(Config!$B$5+1))+COUNTIFS($AZ$2:$AZ$201,AZ150,$DB$2:$DB$201,1,$H$2:$H$201,H150,$BA$2:$BA$201,"&gt;"&amp;BA150)=0,1,0),0)</f>
        <v>0</v>
      </c>
      <c r="DH150" s="23" t="n">
        <f aca="false">IF(BB150=1,IF(COUNTIFS($AZ$2:$AZ$201,AZ150,$DD$2:$DD$201,1,$AR$2:$AR$201,"Y")&gt;0,1,0),0)</f>
        <v>0</v>
      </c>
      <c r="DI150" s="23" t="n">
        <f aca="false">IF(BB150=1,IF(COUNTIFS($AZ$2:$AZ$201,AZ150,$DE$2:$DE$201,1,$AR$2:$AR$201,"Y")&gt;0,1,0),0)</f>
        <v>0</v>
      </c>
      <c r="DJ150" s="23" t="n">
        <f aca="false">IF(BB150=1,IF(COUNTIFS($AZ$2:$AZ$201,AZ150,$DF$2:$DF$201,1,$AR$2:$AR$201,"Y")&gt;0,1,0),0)</f>
        <v>0</v>
      </c>
      <c r="DK150" s="23" t="n">
        <f aca="false">IF(BB150=1,IF(COUNTIFS($AZ$2:$AZ$201,AZ150,$DG$2:$DG$201,1,$AR$2:$AR$201,"Y")&gt;0,1,0),0)</f>
        <v>0</v>
      </c>
      <c r="DL150" s="23" t="n">
        <f aca="false">IF(AND(BF150=1,INT(N(H150))&lt;=Config!$B$6,DH150=1,EI150=0),1,0)</f>
        <v>0</v>
      </c>
      <c r="DM150" s="23" t="n">
        <f aca="false">IF(AND(BF150=1,INT(N(H150))&lt;=Config!$B$7,DI150=1,EI150=0),1,0)</f>
        <v>0</v>
      </c>
      <c r="DN150" s="23" t="n">
        <f aca="false">IF(AND(BF150=1,INT(N(H150))&lt;=Config!$B$8,DJ150=1,EI150=0),1,0)</f>
        <v>0</v>
      </c>
      <c r="DO150" s="23" t="n">
        <f aca="false">IF(AND(BF150=1,INT(N(H150))&lt;=Config!$B$5,DK150=1,EI150=0),1,0)</f>
        <v>0</v>
      </c>
      <c r="DP150" s="23" t="n">
        <f aca="false">IF(AND(CC150=1,INT(N(H150))&lt;=Config!$B$6,DH150=1,EI150=0),1,0)</f>
        <v>0</v>
      </c>
      <c r="DQ150" s="23" t="n">
        <f aca="false">IF(AND(CC150=1,INT(N(H150))&lt;=Config!$B$7,DI150=1,EI150=0),1,0)</f>
        <v>0</v>
      </c>
      <c r="DR150" s="23" t="n">
        <f aca="false">IF(AND(CC150=1,INT(N(H150))&lt;=Config!$B$8,DJ150=1,EI150=0),1,0)</f>
        <v>0</v>
      </c>
      <c r="DS150" s="23" t="n">
        <f aca="false">IF(AND(CC150=1,INT(N(H150))&lt;=Config!$B$5,DK150=1,EI150=0),1,0)</f>
        <v>0</v>
      </c>
      <c r="DT150" s="23" t="n">
        <f aca="false">IF(AND(CC150=1,INT(N(H150))&lt;=Config!$B$6,DH150=0),1,0)</f>
        <v>0</v>
      </c>
      <c r="DU150" s="23" t="n">
        <f aca="false">IF(AND(CC150=1,INT(N(H150))&lt;=Config!$B$7,DI150=0),1,0)</f>
        <v>0</v>
      </c>
      <c r="DV150" s="23" t="n">
        <f aca="false">IF(AND(CC150=1,INT(N(H150))&lt;=Config!$B$8,DJ150=0),1,0)</f>
        <v>0</v>
      </c>
      <c r="DW150" s="23" t="n">
        <f aca="false">IF(AND(CC150=1,INT(N(H150))&lt;=Config!$B$5,DK150=0),1,0)</f>
        <v>0</v>
      </c>
      <c r="DX150" s="23" t="n">
        <f aca="false">IF(TRIM($A150)="",0,ISTEXT(M150)+ISTEXT(O150)+ISTEXT(Y150)+ISTEXT(Z150)+ISTEXT(AA150)+ISTEXT(AV150))</f>
        <v>0</v>
      </c>
      <c r="DY150" s="23" t="n">
        <f aca="false">IF(BB150=1,IF(H150&lt;&gt;INT(H150),1,0),0)</f>
        <v>0</v>
      </c>
      <c r="DZ150" s="23" t="str">
        <f aca="false">IF(TRIM($A150)="","",IF(TRIM(B150)="",SUBSTITUTE(SUBSTITUTE(SUBSTITUTE(SUBSTITUTE(SUBSTITUTE(SUBSTITUTE(LOWER(TRIM($A150)),"~",""),"*",""),"?",""),"&lt;",""),"&gt;",""),"=",""),SUBSTITUTE(SUBSTITUTE(SUBSTITUTE(SUBSTITUTE(SUBSTITUTE(SUBSTITUTE(LOWER(TRIM(B150)),"~",""),"*",""),"?",""),"&lt;",""),"&gt;",""),"=","")))</f>
        <v/>
      </c>
      <c r="EA150" s="23" t="str">
        <f aca="false">IF(CW150="","",IFERROR(IF(LEFT(LOWER(TRIM(INDEX(Clay_Offices!$A$2:$FZ$601,CW150,Sync!$C$19)&amp;"")),4)="grp-",SUBSTITUTE(SUBSTITUTE(SUBSTITUTE(SUBSTITUTE(SUBSTITUTE(SUBSTITUTE(LOWER(TRIM(INDEX(Clay_Offices!$A$2:$FZ$601,CW150,Sync!$C$19)&amp;"")),"~",""),"*",""),"?",""),"&lt;",""),"&gt;",""),"=",""),""),""))</f>
        <v/>
      </c>
      <c r="EB150" s="23" t="str">
        <f aca="false">IF(EA150&lt;&gt;"",DZ150,"")</f>
        <v/>
      </c>
      <c r="EC150" s="23" t="str">
        <f aca="false">IF(BC150=1,AZ150,"")</f>
        <v/>
      </c>
      <c r="ED150" s="23" t="str">
        <f aca="false">IF(TRIM($A150)="","",IFERROR(INDEX($A$2:$A$201,MATCH(AZ150,$EC$2:$EC$201,0))&amp;"",$A150&amp;""))</f>
        <v/>
      </c>
      <c r="EE150" s="23" t="n">
        <f aca="false">IF(BB150=1,IF(COUNTIFS($A$2:$A$201,$A150,$BB$2:$BB$201,1,$H$2:$H$201,"&lt;"&amp;H150)+COUNTIFS($A$2:$A$201,$A150,$BB$2:$BB$201,1,$H$2:$H$201,H150,$BA$2:$BA$201,"&lt;"&amp;BA150)=0,1,0),0)</f>
        <v>0</v>
      </c>
      <c r="EF150" s="23" t="n">
        <f aca="false">IF(BC150=1,IF(COUNTIFS($AZ$2:$AZ$201,AZ150,$EE$2:$EE$201,1)&gt;1,1,0),0)</f>
        <v>0</v>
      </c>
      <c r="EG150" s="23" t="n">
        <f aca="false">IF(AND(CQ150=1),IF(COUNTIFS($AZ$2:$AZ$201,AZ150,$CQ$2:$CQ$201,1,$H$2:$H$201,"&gt;"&amp;H150)+COUNTIFS($AZ$2:$AZ$201,AZ150,$CQ$2:$CQ$201,1,$H$2:$H$201,H150,$BA$2:$BA$201,"&gt;"&amp;BA150)=0,1,0),0)</f>
        <v>0</v>
      </c>
      <c r="EH150" s="23" t="str">
        <f aca="false">IF(BB150=1,IF(COUNTIFS($AZ$2:$AZ$201,AZ150,$EG$2:$EG$201,1)=0,"",SUMIFS($O$2:$O$201,$AZ$2:$AZ$201,AZ150,$EG$2:$EG$201,1)),"")</f>
        <v/>
      </c>
      <c r="EI150" s="23" t="n">
        <f aca="false">IF(AND(ISNUMBER(EH150),OR(N(EH150)&lt;Config!$B$31,N(EH150)&gt;Config!$B$33)),1,0)</f>
        <v>0</v>
      </c>
      <c r="EJ150" s="23" t="n">
        <f aca="false">IF(AND(ISNUMBER(EH150),N(EH150)&gt;=Config!$B$31,N(EH150)&lt;Config!$B$32),1,0)</f>
        <v>0</v>
      </c>
      <c r="EK150" s="23" t="n">
        <f aca="false">IF(AND(BF150=1,INT(N(H150))&lt;=Config!$B$6,DH150=1,EI150=1),1,0)</f>
        <v>0</v>
      </c>
      <c r="EL150" s="23" t="n">
        <f aca="false">IF(AND(BF150=1,INT(N(H150))&lt;=Config!$B$7,DI150=1,EI150=1),1,0)</f>
        <v>0</v>
      </c>
      <c r="EM150" s="23" t="n">
        <f aca="false">IF(AND(BF150=1,INT(N(H150))&lt;=Config!$B$8,DJ150=1,EI150=1),1,0)</f>
        <v>0</v>
      </c>
      <c r="EN150" s="23" t="n">
        <f aca="false">IF(AND(BF150=1,INT(N(H150))&lt;=Config!$B$5,DK150=1,EI150=1),1,0)</f>
        <v>0</v>
      </c>
      <c r="EO150" s="23" t="n">
        <f aca="false">IF(AND(DL150=1,EJ150=1),1,0)</f>
        <v>0</v>
      </c>
      <c r="EP150" s="23" t="n">
        <f aca="false">IF(AND(DM150=1,EJ150=1),1,0)</f>
        <v>0</v>
      </c>
      <c r="EQ150" s="23" t="n">
        <f aca="false">IF(AND(DN150=1,EJ150=1),1,0)</f>
        <v>0</v>
      </c>
      <c r="ER150" s="23" t="n">
        <f aca="false">IF(AND(DO150=1,EJ150=1),1,0)</f>
        <v>0</v>
      </c>
    </row>
    <row r="151" customFormat="false" ht="15" hidden="false" customHeight="false" outlineLevel="0" collapsed="false">
      <c r="G151" s="32"/>
      <c r="H151" s="33"/>
      <c r="I151" s="32"/>
      <c r="L151" s="32"/>
      <c r="Q151" s="32"/>
      <c r="U151" s="32"/>
      <c r="W151" s="32"/>
      <c r="AC151" s="32"/>
      <c r="AF151" s="32"/>
      <c r="AI151" s="32"/>
      <c r="AJ151" s="32"/>
      <c r="AN151" s="32"/>
      <c r="AR151" s="32"/>
      <c r="AT151" s="32"/>
      <c r="AU151" s="32"/>
      <c r="AW151" s="32"/>
      <c r="AY151" s="34" t="str">
        <f aca="false">IF(TRIM($A151)="","",IF(AND(LEFT($A151,6)="SAMPLE",Config!$B$19&lt;&gt;"Y"),"",IF(NOT(ISNUMBER(H151)),"call_date is blank or not a date",IF(Sync!$C$5="","Clay paste is empty or has no row_id column: paste the Clay export on Clay_Offices",IF(CW151="","row_id not found in the Clay paste: add the Clay row or fix the row_id",IF(AND(ISNUMBER(CY151),CY151&gt;=1,CY151&lt;=5),"Clay status is "&amp;CX151&amp;": set call_done or later",IF(AND(BD151=1,CZ151&lt;&gt;BZ151),"Clay yes_in_principle should be "&amp;BZ151,IF(AND(BD151=1,DA151&lt;&gt;H151),"Clay call_date should be "&amp;TEXT(H151,"yyyy-mm-dd"),""))))))))</f>
        <v/>
      </c>
      <c r="AZ151" s="23" t="str">
        <f aca="false">IF(TRIM($A151)="","",IF(TRIM(C151)&lt;&gt;"",SUBSTITUTE(SUBSTITUTE(SUBSTITUTE(SUBSTITUTE(SUBSTITUTE(SUBSTITUTE(LOWER(TRIM(C151)),"~",""),"*",""),"?",""),"&lt;",""),"&gt;",""),"=",""),IF(EA151&lt;&gt;"",EA151,IFERROR(INDEX($EA$2:$EA$201,MATCH(DZ151,$EB$2:$EB$201,0)),DZ151))))</f>
        <v/>
      </c>
      <c r="BA151" s="23" t="n">
        <f aca="false">ROW()</f>
        <v>151</v>
      </c>
      <c r="BB151" s="23" t="n">
        <f aca="false">IF(AND(TRIM($A151)&lt;&gt;"",ISNUMBER(H151)),IF(AND(LEFT($A151,6)="SAMPLE",Config!$B$19&lt;&gt;"Y"),0,1),0)</f>
        <v>0</v>
      </c>
      <c r="BC151" s="23" t="n">
        <f aca="false">IF(BB151=1,IF(COUNTIFS($AZ$2:$AZ$201,AZ151,$BB$2:$BB$201,1,$H$2:$H$201,"&lt;"&amp;H151)+COUNTIFS($AZ$2:$AZ$201,AZ151,$BB$2:$BB$201,1,$H$2:$H$201,H151,$BA$2:$BA$201,"&lt;"&amp;BA151)=0,1,0),0)</f>
        <v>0</v>
      </c>
      <c r="BD151" s="23" t="n">
        <f aca="false">IF(BB151=1,IF(COUNTIFS($A$2:$A$201,$A151,$BB$2:$BB$201,1,$H$2:$H$201,"&gt;"&amp;H151)+COUNTIFS($A$2:$A$201,$A151,$BB$2:$BB$201,1,$H$2:$H$201,H151,$BA$2:$BA$201,"&gt;"&amp;BA151)=0,1,0),0)</f>
        <v>0</v>
      </c>
      <c r="BE151" s="23" t="n">
        <f aca="false">IF(AND(BB151=1,AR151="Y",AC151="Y",TRIM(AH151)&lt;&gt;""),1,0)</f>
        <v>0</v>
      </c>
      <c r="BF151" s="23" t="n">
        <f aca="false">IF(BE151=1,IF(COUNTIFS($AZ$2:$AZ$201,AZ151,$BE$2:$BE$201,1,$H$2:$H$201,"&lt;"&amp;H151)+COUNTIFS($AZ$2:$AZ$201,AZ151,$BE$2:$BE$201,1,$H$2:$H$201,H151,$BA$2:$BA$201,"&lt;"&amp;BA151)=0,1,0),0)</f>
        <v>0</v>
      </c>
      <c r="BG151" s="23" t="n">
        <f aca="false">IF(AND(BB151=1,AR151="Y",BE151=0),1,0)</f>
        <v>0</v>
      </c>
      <c r="BH151" s="23" t="n">
        <f aca="false">IF(AND(BB151=1,ISNUMBER(Y151)),1,0)</f>
        <v>0</v>
      </c>
      <c r="BI151" s="23" t="n">
        <f aca="false">IF(BH151=1,IF(COUNTIFS($AZ$2:$AZ$201,AZ151,$BH$2:$BH$201,1,$H$2:$H$201,"&lt;"&amp;H151)+COUNTIFS($AZ$2:$AZ$201,AZ151,$BH$2:$BH$201,1,$H$2:$H$201,H151,$BA$2:$BA$201,"&lt;"&amp;BA151)=0,1,0),0)</f>
        <v>0</v>
      </c>
      <c r="BJ151" s="23" t="str">
        <f aca="false">IF(AND(BI151=1,INT(N(H151))&lt;=Config!$B$6),Y151,"")</f>
        <v/>
      </c>
      <c r="BK151" s="23" t="str">
        <f aca="false">IF(AND(BI151=1,INT(N(H151))&lt;=Config!$B$7),Y151,"")</f>
        <v/>
      </c>
      <c r="BL151" s="23" t="str">
        <f aca="false">IF(AND(BI151=1,INT(N(H151))&lt;=Config!$B$8),Y151,"")</f>
        <v/>
      </c>
      <c r="BM151" s="23" t="str">
        <f aca="false">IF(AND(BI151=1,INT(N(H151))&lt;=Config!$B$5),Y151,"")</f>
        <v/>
      </c>
      <c r="BN151" s="23" t="n">
        <f aca="false">IF(CD151=1,IF(COUNTIFS($AZ$2:$AZ$201,AZ151,$CD$2:$CD$201,1,$H$2:$H$201,"&lt;"&amp;H151)+COUNTIFS($AZ$2:$AZ$201,AZ151,$CD$2:$CD$201,1,$H$2:$H$201,H151,$BA$2:$BA$201,"&lt;"&amp;BA151)=0,1,0),0)</f>
        <v>0</v>
      </c>
      <c r="BO151" s="23" t="n">
        <f aca="false">IF(AND(BB151=1,ISNUMBER(M151)),1,0)</f>
        <v>0</v>
      </c>
      <c r="BP151" s="23" t="n">
        <f aca="false">IF(BO151=1,IF(COUNTIFS($AZ$2:$AZ$201,AZ151,$BO$2:$BO$201,1,$H$2:$H$201,"&lt;"&amp;H151)+COUNTIFS($AZ$2:$AZ$201,AZ151,$BO$2:$BO$201,1,$H$2:$H$201,H151,$BA$2:$BA$201,"&lt;"&amp;BA151)=0,1,0),0)</f>
        <v>0</v>
      </c>
      <c r="BQ151" s="23" t="str">
        <f aca="false">IF(AND(BP151=1,INT(N(H151))&lt;=Config!$B$5),M151,"")</f>
        <v/>
      </c>
      <c r="BR151" s="23" t="n">
        <f aca="false">IF(AND(BB151=1,OR(TRIM(X151)&lt;&gt;"",ISNUMBER(Y151))),1,0)</f>
        <v>0</v>
      </c>
      <c r="BS151" s="23" t="n">
        <f aca="false">IF(BR151=1,IF(COUNTIFS($AZ$2:$AZ$201,AZ151,$BR$2:$BR$201,1,$H$2:$H$201,"&lt;"&amp;H151)+COUNTIFS($AZ$2:$AZ$201,AZ151,$BR$2:$BR$201,1,$H$2:$H$201,H151,$BA$2:$BA$201,"&lt;"&amp;BA151)=0,1,0),0)</f>
        <v>0</v>
      </c>
      <c r="BT151" s="23" t="str">
        <f aca="false">IF(BS151=1,AZ151,"")</f>
        <v/>
      </c>
      <c r="BU151" s="23" t="n">
        <f aca="false">IF(AND(BB151=1,W151="Y",TRIM(X151)=""),1,0)</f>
        <v>0</v>
      </c>
      <c r="BV151" s="23" t="str">
        <f aca="false">IF(BB151=1,AN151&amp;"","")</f>
        <v/>
      </c>
      <c r="BW151" s="23" t="str">
        <f aca="false">IF(BB151=1,AO151&amp;"","")</f>
        <v/>
      </c>
      <c r="BX151" s="23" t="str">
        <f aca="false">IF(BB151=1,AP151&amp;"","")</f>
        <v/>
      </c>
      <c r="BY151" s="23" t="str">
        <f aca="false">IF(AND(BB151=1,ISNUMBER(AV151),INT(N(H151))&lt;=Config!$B$5),AV151,"")</f>
        <v/>
      </c>
      <c r="BZ151" s="23" t="str">
        <f aca="false">IF(BB151=1,IF(COUNTIFS($A$2:$A$201,$A151,$DC$2:$DC$201,1,$AR$2:$AR$201,"Y")&gt;0,"Y","N"),"")</f>
        <v/>
      </c>
      <c r="CA151" s="23" t="n">
        <f aca="false">IF(AND(BB151=1,AR151="maybe"),1,0)</f>
        <v>0</v>
      </c>
      <c r="CB151" s="23" t="n">
        <f aca="false">IF(CA151=1,IF(COUNTIFS($AZ$2:$AZ$201,AZ151,$CA$2:$CA$201,1,$H$2:$H$201,"&lt;"&amp;H151)+COUNTIFS($AZ$2:$AZ$201,AZ151,$CA$2:$CA$201,1,$H$2:$H$201,H151,$BA$2:$BA$201,"&lt;"&amp;BA151)=0,1,0),0)</f>
        <v>0</v>
      </c>
      <c r="CC151" s="23" t="n">
        <f aca="false">IF(AND(BB151=1,AR151="Y"),IF(COUNTIFS($AZ$2:$AZ$201,AZ151,$AR$2:$AR$201,"Y",$BB$2:$BB$201,1,$H$2:$H$201,"&lt;"&amp;H151)+COUNTIFS($AZ$2:$AZ$201,AZ151,$AR$2:$AR$201,"Y",$BB$2:$BB$201,1,$H$2:$H$201,H151,$BA$2:$BA$201,"&lt;"&amp;BA151)=0,1,0),0)</f>
        <v>0</v>
      </c>
      <c r="CD151" s="23" t="n">
        <f aca="false">IF(AND(BH151=1,N(Y151)&gt;=Config!$B$15),1,0)</f>
        <v>0</v>
      </c>
      <c r="CE151" s="23" t="n">
        <f aca="false">IF(AND(BB151=1,AT151="Y"),1,0)</f>
        <v>0</v>
      </c>
      <c r="CF151" s="23" t="n">
        <f aca="false">IF(CE151=1,IF(COUNTIFS($AZ$2:$AZ$201,AZ151,$CE$2:$CE$201,1,$H$2:$H$201,"&lt;"&amp;H151)+COUNTIFS($AZ$2:$AZ$201,AZ151,$CE$2:$CE$201,1,$H$2:$H$201,H151,$BA$2:$BA$201,"&lt;"&amp;BA151)=0,1,0),0)</f>
        <v>0</v>
      </c>
      <c r="CG151" s="23" t="n">
        <f aca="false">IF(AND(BB151=1,G151="warm-intro"),1,0)</f>
        <v>0</v>
      </c>
      <c r="CH151" s="23" t="n">
        <f aca="false">IF(CG151=1,IF(COUNTIFS($AZ$2:$AZ$201,AZ151,$CG$2:$CG$201,1,$H$2:$H$201,"&lt;"&amp;H151)+COUNTIFS($AZ$2:$AZ$201,AZ151,$CG$2:$CG$201,1,$H$2:$H$201,H151,$BA$2:$BA$201,"&lt;"&amp;BA151)=0,1,0),0)</f>
        <v>0</v>
      </c>
      <c r="CI151" s="23" t="n">
        <f aca="false">IF(AND(BB151=1,Q151="Y"),1,0)</f>
        <v>0</v>
      </c>
      <c r="CJ151" s="23" t="n">
        <f aca="false">IF(CI151=1,IF(COUNTIFS($AZ$2:$AZ$201,AZ151,$CI$2:$CI$201,1,$H$2:$H$201,"&lt;"&amp;H151)+COUNTIFS($AZ$2:$AZ$201,AZ151,$CI$2:$CI$201,1,$H$2:$H$201,H151,$BA$2:$BA$201,"&lt;"&amp;BA151)=0,1,0),0)</f>
        <v>0</v>
      </c>
      <c r="CK151" s="23" t="n">
        <f aca="false">IF(AND(BB151=1,AF151="Y"),1,0)</f>
        <v>0</v>
      </c>
      <c r="CL151" s="23" t="n">
        <f aca="false">IF(CK151=1,IF(COUNTIFS($AZ$2:$AZ$201,AZ151,$CK$2:$CK$201,1,$H$2:$H$201,"&lt;"&amp;H151)+COUNTIFS($AZ$2:$AZ$201,AZ151,$CK$2:$CK$201,1,$H$2:$H$201,H151,$BA$2:$BA$201,"&lt;"&amp;BA151)=0,1,0),0)</f>
        <v>0</v>
      </c>
      <c r="CM151" s="23" t="n">
        <f aca="false">IF(AND(BB151=1,U151="Y"),1,0)</f>
        <v>0</v>
      </c>
      <c r="CN151" s="23" t="n">
        <f aca="false">IF(CM151=1,IF(COUNTIFS($AZ$2:$AZ$201,AZ151,$CM$2:$CM$201,1,$H$2:$H$201,"&lt;"&amp;H151)+COUNTIFS($AZ$2:$AZ$201,AZ151,$CM$2:$CM$201,1,$H$2:$H$201,H151,$BA$2:$BA$201,"&lt;"&amp;BA151)=0,1,0),0)</f>
        <v>0</v>
      </c>
      <c r="CO151" s="23" t="n">
        <f aca="false">IF(AND(BB151=1,L151="Y"),1,0)</f>
        <v>0</v>
      </c>
      <c r="CP151" s="23" t="n">
        <f aca="false">IF(CO151=1,IF(COUNTIFS($AZ$2:$AZ$201,AZ151,$CO$2:$CO$201,1,$H$2:$H$201,"&lt;"&amp;H151)+COUNTIFS($AZ$2:$AZ$201,AZ151,$CO$2:$CO$201,1,$H$2:$H$201,H151,$BA$2:$BA$201,"&lt;"&amp;BA151)=0,1,0),0)</f>
        <v>0</v>
      </c>
      <c r="CQ151" s="23" t="n">
        <f aca="false">IF(AND(BB151=1,ISNUMBER(O151)),1,0)</f>
        <v>0</v>
      </c>
      <c r="CR151" s="23" t="n">
        <f aca="false">IF(CQ151=1,IF(COUNTIFS($AZ$2:$AZ$201,AZ151,$CQ$2:$CQ$201,1,$H$2:$H$201,"&lt;"&amp;H151)+COUNTIFS($AZ$2:$AZ$201,AZ151,$CQ$2:$CQ$201,1,$H$2:$H$201,H151,$BA$2:$BA$201,"&lt;"&amp;BA151)=0,1,0),0)</f>
        <v>0</v>
      </c>
      <c r="CS151" s="23" t="str">
        <f aca="false">IF(AND(CR151=1,INT(N(H151))&lt;=Config!$B$5),O151,"")</f>
        <v/>
      </c>
      <c r="CT151" s="23" t="str">
        <f aca="false">IF(AND(BB151=1,INT(N(H151))&lt;=Config!$B$5),AG151&amp;"","")</f>
        <v/>
      </c>
      <c r="CU151" s="23" t="n">
        <f aca="false">IF(AND(BB151=1,AU151="Y"),1,0)</f>
        <v>0</v>
      </c>
      <c r="CV151" s="23" t="n">
        <f aca="false">IF(CU151=1,IF(COUNTIFS($AZ$2:$AZ$201,AZ151,$CU$2:$CU$201,1,$H$2:$H$201,"&lt;"&amp;H151)+COUNTIFS($AZ$2:$AZ$201,AZ151,$CU$2:$CU$201,1,$H$2:$H$201,H151,$BA$2:$BA$201,"&lt;"&amp;BA151)=0,1,0),0)</f>
        <v>0</v>
      </c>
      <c r="CW151" s="23" t="str">
        <f aca="false">IF(BB151=1,IFERROR(MATCH($A151,INDEX(Clay_Offices!$A$2:$FZ$601,0,Sync!$C$5),0),""),"")</f>
        <v/>
      </c>
      <c r="CX151" s="23" t="str">
        <f aca="false">IF(CW151="","",IFERROR(INDEX(Clay_Offices!$A$2:$FZ$601,CW151,Sync!$C$7)&amp;"",""))</f>
        <v/>
      </c>
      <c r="CY151" s="23" t="str">
        <f aca="false">IF(CX151="","",IFERROR(INDEX(Lists!$K$2:$K$15,MATCH(CX151,Lists!$J$2:$J$15,0)),""))</f>
        <v/>
      </c>
      <c r="CZ151" s="23" t="str">
        <f aca="false">IF(CW151="","",IFERROR(INDEX(Clay_Offices!$A$2:$FZ$601,CW151,Sync!$C$17)&amp;"",""))</f>
        <v/>
      </c>
      <c r="DA151" s="35" t="str">
        <f aca="false">IF(CW151="","",IFERROR(N(INDEX(Clay_Offices!$A$2:$FZ$601,CW151,Sync!$C$16)),0))</f>
        <v/>
      </c>
      <c r="DB151" s="23" t="n">
        <f aca="false">IF(AND(BB151=1,OR(AR151="Y",AR151="N",AR151="maybe")),1,0)</f>
        <v>0</v>
      </c>
      <c r="DC151" s="23" t="n">
        <f aca="false">IF(AND(DB151=1),IF(COUNTIFS($A$2:$A$201,$A151,$DB$2:$DB$201,1,$H$2:$H$201,"&gt;"&amp;H151)+COUNTIFS($A$2:$A$201,$A151,$DB$2:$DB$201,1,$H$2:$H$201,H151,$BA$2:$BA$201,"&gt;"&amp;BA151)=0,1,0),0)</f>
        <v>0</v>
      </c>
      <c r="DD151" s="23" t="n">
        <f aca="false">IF(AND(DB151=1,INT(N(H151))&lt;=Config!$B$6),IF(COUNTIFS($AZ$2:$AZ$201,AZ151,$DB$2:$DB$201,1,$H$2:$H$201,"&gt;"&amp;H151,$H$2:$H$201,"&lt;"&amp;(Config!$B$6+1))+COUNTIFS($AZ$2:$AZ$201,AZ151,$DB$2:$DB$201,1,$H$2:$H$201,H151,$BA$2:$BA$201,"&gt;"&amp;BA151)=0,1,0),0)</f>
        <v>0</v>
      </c>
      <c r="DE151" s="23" t="n">
        <f aca="false">IF(AND(DB151=1,INT(N(H151))&lt;=Config!$B$7),IF(COUNTIFS($AZ$2:$AZ$201,AZ151,$DB$2:$DB$201,1,$H$2:$H$201,"&gt;"&amp;H151,$H$2:$H$201,"&lt;"&amp;(Config!$B$7+1))+COUNTIFS($AZ$2:$AZ$201,AZ151,$DB$2:$DB$201,1,$H$2:$H$201,H151,$BA$2:$BA$201,"&gt;"&amp;BA151)=0,1,0),0)</f>
        <v>0</v>
      </c>
      <c r="DF151" s="23" t="n">
        <f aca="false">IF(AND(DB151=1,INT(N(H151))&lt;=Config!$B$8),IF(COUNTIFS($AZ$2:$AZ$201,AZ151,$DB$2:$DB$201,1,$H$2:$H$201,"&gt;"&amp;H151,$H$2:$H$201,"&lt;"&amp;(Config!$B$8+1))+COUNTIFS($AZ$2:$AZ$201,AZ151,$DB$2:$DB$201,1,$H$2:$H$201,H151,$BA$2:$BA$201,"&gt;"&amp;BA151)=0,1,0),0)</f>
        <v>0</v>
      </c>
      <c r="DG151" s="23" t="n">
        <f aca="false">IF(AND(DB151=1,INT(N(H151))&lt;=Config!$B$5),IF(COUNTIFS($AZ$2:$AZ$201,AZ151,$DB$2:$DB$201,1,$H$2:$H$201,"&gt;"&amp;H151,$H$2:$H$201,"&lt;"&amp;(Config!$B$5+1))+COUNTIFS($AZ$2:$AZ$201,AZ151,$DB$2:$DB$201,1,$H$2:$H$201,H151,$BA$2:$BA$201,"&gt;"&amp;BA151)=0,1,0),0)</f>
        <v>0</v>
      </c>
      <c r="DH151" s="23" t="n">
        <f aca="false">IF(BB151=1,IF(COUNTIFS($AZ$2:$AZ$201,AZ151,$DD$2:$DD$201,1,$AR$2:$AR$201,"Y")&gt;0,1,0),0)</f>
        <v>0</v>
      </c>
      <c r="DI151" s="23" t="n">
        <f aca="false">IF(BB151=1,IF(COUNTIFS($AZ$2:$AZ$201,AZ151,$DE$2:$DE$201,1,$AR$2:$AR$201,"Y")&gt;0,1,0),0)</f>
        <v>0</v>
      </c>
      <c r="DJ151" s="23" t="n">
        <f aca="false">IF(BB151=1,IF(COUNTIFS($AZ$2:$AZ$201,AZ151,$DF$2:$DF$201,1,$AR$2:$AR$201,"Y")&gt;0,1,0),0)</f>
        <v>0</v>
      </c>
      <c r="DK151" s="23" t="n">
        <f aca="false">IF(BB151=1,IF(COUNTIFS($AZ$2:$AZ$201,AZ151,$DG$2:$DG$201,1,$AR$2:$AR$201,"Y")&gt;0,1,0),0)</f>
        <v>0</v>
      </c>
      <c r="DL151" s="23" t="n">
        <f aca="false">IF(AND(BF151=1,INT(N(H151))&lt;=Config!$B$6,DH151=1,EI151=0),1,0)</f>
        <v>0</v>
      </c>
      <c r="DM151" s="23" t="n">
        <f aca="false">IF(AND(BF151=1,INT(N(H151))&lt;=Config!$B$7,DI151=1,EI151=0),1,0)</f>
        <v>0</v>
      </c>
      <c r="DN151" s="23" t="n">
        <f aca="false">IF(AND(BF151=1,INT(N(H151))&lt;=Config!$B$8,DJ151=1,EI151=0),1,0)</f>
        <v>0</v>
      </c>
      <c r="DO151" s="23" t="n">
        <f aca="false">IF(AND(BF151=1,INT(N(H151))&lt;=Config!$B$5,DK151=1,EI151=0),1,0)</f>
        <v>0</v>
      </c>
      <c r="DP151" s="23" t="n">
        <f aca="false">IF(AND(CC151=1,INT(N(H151))&lt;=Config!$B$6,DH151=1,EI151=0),1,0)</f>
        <v>0</v>
      </c>
      <c r="DQ151" s="23" t="n">
        <f aca="false">IF(AND(CC151=1,INT(N(H151))&lt;=Config!$B$7,DI151=1,EI151=0),1,0)</f>
        <v>0</v>
      </c>
      <c r="DR151" s="23" t="n">
        <f aca="false">IF(AND(CC151=1,INT(N(H151))&lt;=Config!$B$8,DJ151=1,EI151=0),1,0)</f>
        <v>0</v>
      </c>
      <c r="DS151" s="23" t="n">
        <f aca="false">IF(AND(CC151=1,INT(N(H151))&lt;=Config!$B$5,DK151=1,EI151=0),1,0)</f>
        <v>0</v>
      </c>
      <c r="DT151" s="23" t="n">
        <f aca="false">IF(AND(CC151=1,INT(N(H151))&lt;=Config!$B$6,DH151=0),1,0)</f>
        <v>0</v>
      </c>
      <c r="DU151" s="23" t="n">
        <f aca="false">IF(AND(CC151=1,INT(N(H151))&lt;=Config!$B$7,DI151=0),1,0)</f>
        <v>0</v>
      </c>
      <c r="DV151" s="23" t="n">
        <f aca="false">IF(AND(CC151=1,INT(N(H151))&lt;=Config!$B$8,DJ151=0),1,0)</f>
        <v>0</v>
      </c>
      <c r="DW151" s="23" t="n">
        <f aca="false">IF(AND(CC151=1,INT(N(H151))&lt;=Config!$B$5,DK151=0),1,0)</f>
        <v>0</v>
      </c>
      <c r="DX151" s="23" t="n">
        <f aca="false">IF(TRIM($A151)="",0,ISTEXT(M151)+ISTEXT(O151)+ISTEXT(Y151)+ISTEXT(Z151)+ISTEXT(AA151)+ISTEXT(AV151))</f>
        <v>0</v>
      </c>
      <c r="DY151" s="23" t="n">
        <f aca="false">IF(BB151=1,IF(H151&lt;&gt;INT(H151),1,0),0)</f>
        <v>0</v>
      </c>
      <c r="DZ151" s="23" t="str">
        <f aca="false">IF(TRIM($A151)="","",IF(TRIM(B151)="",SUBSTITUTE(SUBSTITUTE(SUBSTITUTE(SUBSTITUTE(SUBSTITUTE(SUBSTITUTE(LOWER(TRIM($A151)),"~",""),"*",""),"?",""),"&lt;",""),"&gt;",""),"=",""),SUBSTITUTE(SUBSTITUTE(SUBSTITUTE(SUBSTITUTE(SUBSTITUTE(SUBSTITUTE(LOWER(TRIM(B151)),"~",""),"*",""),"?",""),"&lt;",""),"&gt;",""),"=","")))</f>
        <v/>
      </c>
      <c r="EA151" s="23" t="str">
        <f aca="false">IF(CW151="","",IFERROR(IF(LEFT(LOWER(TRIM(INDEX(Clay_Offices!$A$2:$FZ$601,CW151,Sync!$C$19)&amp;"")),4)="grp-",SUBSTITUTE(SUBSTITUTE(SUBSTITUTE(SUBSTITUTE(SUBSTITUTE(SUBSTITUTE(LOWER(TRIM(INDEX(Clay_Offices!$A$2:$FZ$601,CW151,Sync!$C$19)&amp;"")),"~",""),"*",""),"?",""),"&lt;",""),"&gt;",""),"=",""),""),""))</f>
        <v/>
      </c>
      <c r="EB151" s="23" t="str">
        <f aca="false">IF(EA151&lt;&gt;"",DZ151,"")</f>
        <v/>
      </c>
      <c r="EC151" s="23" t="str">
        <f aca="false">IF(BC151=1,AZ151,"")</f>
        <v/>
      </c>
      <c r="ED151" s="23" t="str">
        <f aca="false">IF(TRIM($A151)="","",IFERROR(INDEX($A$2:$A$201,MATCH(AZ151,$EC$2:$EC$201,0))&amp;"",$A151&amp;""))</f>
        <v/>
      </c>
      <c r="EE151" s="23" t="n">
        <f aca="false">IF(BB151=1,IF(COUNTIFS($A$2:$A$201,$A151,$BB$2:$BB$201,1,$H$2:$H$201,"&lt;"&amp;H151)+COUNTIFS($A$2:$A$201,$A151,$BB$2:$BB$201,1,$H$2:$H$201,H151,$BA$2:$BA$201,"&lt;"&amp;BA151)=0,1,0),0)</f>
        <v>0</v>
      </c>
      <c r="EF151" s="23" t="n">
        <f aca="false">IF(BC151=1,IF(COUNTIFS($AZ$2:$AZ$201,AZ151,$EE$2:$EE$201,1)&gt;1,1,0),0)</f>
        <v>0</v>
      </c>
      <c r="EG151" s="23" t="n">
        <f aca="false">IF(AND(CQ151=1),IF(COUNTIFS($AZ$2:$AZ$201,AZ151,$CQ$2:$CQ$201,1,$H$2:$H$201,"&gt;"&amp;H151)+COUNTIFS($AZ$2:$AZ$201,AZ151,$CQ$2:$CQ$201,1,$H$2:$H$201,H151,$BA$2:$BA$201,"&gt;"&amp;BA151)=0,1,0),0)</f>
        <v>0</v>
      </c>
      <c r="EH151" s="23" t="str">
        <f aca="false">IF(BB151=1,IF(COUNTIFS($AZ$2:$AZ$201,AZ151,$EG$2:$EG$201,1)=0,"",SUMIFS($O$2:$O$201,$AZ$2:$AZ$201,AZ151,$EG$2:$EG$201,1)),"")</f>
        <v/>
      </c>
      <c r="EI151" s="23" t="n">
        <f aca="false">IF(AND(ISNUMBER(EH151),OR(N(EH151)&lt;Config!$B$31,N(EH151)&gt;Config!$B$33)),1,0)</f>
        <v>0</v>
      </c>
      <c r="EJ151" s="23" t="n">
        <f aca="false">IF(AND(ISNUMBER(EH151),N(EH151)&gt;=Config!$B$31,N(EH151)&lt;Config!$B$32),1,0)</f>
        <v>0</v>
      </c>
      <c r="EK151" s="23" t="n">
        <f aca="false">IF(AND(BF151=1,INT(N(H151))&lt;=Config!$B$6,DH151=1,EI151=1),1,0)</f>
        <v>0</v>
      </c>
      <c r="EL151" s="23" t="n">
        <f aca="false">IF(AND(BF151=1,INT(N(H151))&lt;=Config!$B$7,DI151=1,EI151=1),1,0)</f>
        <v>0</v>
      </c>
      <c r="EM151" s="23" t="n">
        <f aca="false">IF(AND(BF151=1,INT(N(H151))&lt;=Config!$B$8,DJ151=1,EI151=1),1,0)</f>
        <v>0</v>
      </c>
      <c r="EN151" s="23" t="n">
        <f aca="false">IF(AND(BF151=1,INT(N(H151))&lt;=Config!$B$5,DK151=1,EI151=1),1,0)</f>
        <v>0</v>
      </c>
      <c r="EO151" s="23" t="n">
        <f aca="false">IF(AND(DL151=1,EJ151=1),1,0)</f>
        <v>0</v>
      </c>
      <c r="EP151" s="23" t="n">
        <f aca="false">IF(AND(DM151=1,EJ151=1),1,0)</f>
        <v>0</v>
      </c>
      <c r="EQ151" s="23" t="n">
        <f aca="false">IF(AND(DN151=1,EJ151=1),1,0)</f>
        <v>0</v>
      </c>
      <c r="ER151" s="23" t="n">
        <f aca="false">IF(AND(DO151=1,EJ151=1),1,0)</f>
        <v>0</v>
      </c>
    </row>
    <row r="152" customFormat="false" ht="15" hidden="false" customHeight="false" outlineLevel="0" collapsed="false">
      <c r="G152" s="32"/>
      <c r="H152" s="33"/>
      <c r="I152" s="32"/>
      <c r="L152" s="32"/>
      <c r="Q152" s="32"/>
      <c r="U152" s="32"/>
      <c r="W152" s="32"/>
      <c r="AC152" s="32"/>
      <c r="AF152" s="32"/>
      <c r="AI152" s="32"/>
      <c r="AJ152" s="32"/>
      <c r="AN152" s="32"/>
      <c r="AR152" s="32"/>
      <c r="AT152" s="32"/>
      <c r="AU152" s="32"/>
      <c r="AW152" s="32"/>
      <c r="AY152" s="34" t="str">
        <f aca="false">IF(TRIM($A152)="","",IF(AND(LEFT($A152,6)="SAMPLE",Config!$B$19&lt;&gt;"Y"),"",IF(NOT(ISNUMBER(H152)),"call_date is blank or not a date",IF(Sync!$C$5="","Clay paste is empty or has no row_id column: paste the Clay export on Clay_Offices",IF(CW152="","row_id not found in the Clay paste: add the Clay row or fix the row_id",IF(AND(ISNUMBER(CY152),CY152&gt;=1,CY152&lt;=5),"Clay status is "&amp;CX152&amp;": set call_done or later",IF(AND(BD152=1,CZ152&lt;&gt;BZ152),"Clay yes_in_principle should be "&amp;BZ152,IF(AND(BD152=1,DA152&lt;&gt;H152),"Clay call_date should be "&amp;TEXT(H152,"yyyy-mm-dd"),""))))))))</f>
        <v/>
      </c>
      <c r="AZ152" s="23" t="str">
        <f aca="false">IF(TRIM($A152)="","",IF(TRIM(C152)&lt;&gt;"",SUBSTITUTE(SUBSTITUTE(SUBSTITUTE(SUBSTITUTE(SUBSTITUTE(SUBSTITUTE(LOWER(TRIM(C152)),"~",""),"*",""),"?",""),"&lt;",""),"&gt;",""),"=",""),IF(EA152&lt;&gt;"",EA152,IFERROR(INDEX($EA$2:$EA$201,MATCH(DZ152,$EB$2:$EB$201,0)),DZ152))))</f>
        <v/>
      </c>
      <c r="BA152" s="23" t="n">
        <f aca="false">ROW()</f>
        <v>152</v>
      </c>
      <c r="BB152" s="23" t="n">
        <f aca="false">IF(AND(TRIM($A152)&lt;&gt;"",ISNUMBER(H152)),IF(AND(LEFT($A152,6)="SAMPLE",Config!$B$19&lt;&gt;"Y"),0,1),0)</f>
        <v>0</v>
      </c>
      <c r="BC152" s="23" t="n">
        <f aca="false">IF(BB152=1,IF(COUNTIFS($AZ$2:$AZ$201,AZ152,$BB$2:$BB$201,1,$H$2:$H$201,"&lt;"&amp;H152)+COUNTIFS($AZ$2:$AZ$201,AZ152,$BB$2:$BB$201,1,$H$2:$H$201,H152,$BA$2:$BA$201,"&lt;"&amp;BA152)=0,1,0),0)</f>
        <v>0</v>
      </c>
      <c r="BD152" s="23" t="n">
        <f aca="false">IF(BB152=1,IF(COUNTIFS($A$2:$A$201,$A152,$BB$2:$BB$201,1,$H$2:$H$201,"&gt;"&amp;H152)+COUNTIFS($A$2:$A$201,$A152,$BB$2:$BB$201,1,$H$2:$H$201,H152,$BA$2:$BA$201,"&gt;"&amp;BA152)=0,1,0),0)</f>
        <v>0</v>
      </c>
      <c r="BE152" s="23" t="n">
        <f aca="false">IF(AND(BB152=1,AR152="Y",AC152="Y",TRIM(AH152)&lt;&gt;""),1,0)</f>
        <v>0</v>
      </c>
      <c r="BF152" s="23" t="n">
        <f aca="false">IF(BE152=1,IF(COUNTIFS($AZ$2:$AZ$201,AZ152,$BE$2:$BE$201,1,$H$2:$H$201,"&lt;"&amp;H152)+COUNTIFS($AZ$2:$AZ$201,AZ152,$BE$2:$BE$201,1,$H$2:$H$201,H152,$BA$2:$BA$201,"&lt;"&amp;BA152)=0,1,0),0)</f>
        <v>0</v>
      </c>
      <c r="BG152" s="23" t="n">
        <f aca="false">IF(AND(BB152=1,AR152="Y",BE152=0),1,0)</f>
        <v>0</v>
      </c>
      <c r="BH152" s="23" t="n">
        <f aca="false">IF(AND(BB152=1,ISNUMBER(Y152)),1,0)</f>
        <v>0</v>
      </c>
      <c r="BI152" s="23" t="n">
        <f aca="false">IF(BH152=1,IF(COUNTIFS($AZ$2:$AZ$201,AZ152,$BH$2:$BH$201,1,$H$2:$H$201,"&lt;"&amp;H152)+COUNTIFS($AZ$2:$AZ$201,AZ152,$BH$2:$BH$201,1,$H$2:$H$201,H152,$BA$2:$BA$201,"&lt;"&amp;BA152)=0,1,0),0)</f>
        <v>0</v>
      </c>
      <c r="BJ152" s="23" t="str">
        <f aca="false">IF(AND(BI152=1,INT(N(H152))&lt;=Config!$B$6),Y152,"")</f>
        <v/>
      </c>
      <c r="BK152" s="23" t="str">
        <f aca="false">IF(AND(BI152=1,INT(N(H152))&lt;=Config!$B$7),Y152,"")</f>
        <v/>
      </c>
      <c r="BL152" s="23" t="str">
        <f aca="false">IF(AND(BI152=1,INT(N(H152))&lt;=Config!$B$8),Y152,"")</f>
        <v/>
      </c>
      <c r="BM152" s="23" t="str">
        <f aca="false">IF(AND(BI152=1,INT(N(H152))&lt;=Config!$B$5),Y152,"")</f>
        <v/>
      </c>
      <c r="BN152" s="23" t="n">
        <f aca="false">IF(CD152=1,IF(COUNTIFS($AZ$2:$AZ$201,AZ152,$CD$2:$CD$201,1,$H$2:$H$201,"&lt;"&amp;H152)+COUNTIFS($AZ$2:$AZ$201,AZ152,$CD$2:$CD$201,1,$H$2:$H$201,H152,$BA$2:$BA$201,"&lt;"&amp;BA152)=0,1,0),0)</f>
        <v>0</v>
      </c>
      <c r="BO152" s="23" t="n">
        <f aca="false">IF(AND(BB152=1,ISNUMBER(M152)),1,0)</f>
        <v>0</v>
      </c>
      <c r="BP152" s="23" t="n">
        <f aca="false">IF(BO152=1,IF(COUNTIFS($AZ$2:$AZ$201,AZ152,$BO$2:$BO$201,1,$H$2:$H$201,"&lt;"&amp;H152)+COUNTIFS($AZ$2:$AZ$201,AZ152,$BO$2:$BO$201,1,$H$2:$H$201,H152,$BA$2:$BA$201,"&lt;"&amp;BA152)=0,1,0),0)</f>
        <v>0</v>
      </c>
      <c r="BQ152" s="23" t="str">
        <f aca="false">IF(AND(BP152=1,INT(N(H152))&lt;=Config!$B$5),M152,"")</f>
        <v/>
      </c>
      <c r="BR152" s="23" t="n">
        <f aca="false">IF(AND(BB152=1,OR(TRIM(X152)&lt;&gt;"",ISNUMBER(Y152))),1,0)</f>
        <v>0</v>
      </c>
      <c r="BS152" s="23" t="n">
        <f aca="false">IF(BR152=1,IF(COUNTIFS($AZ$2:$AZ$201,AZ152,$BR$2:$BR$201,1,$H$2:$H$201,"&lt;"&amp;H152)+COUNTIFS($AZ$2:$AZ$201,AZ152,$BR$2:$BR$201,1,$H$2:$H$201,H152,$BA$2:$BA$201,"&lt;"&amp;BA152)=0,1,0),0)</f>
        <v>0</v>
      </c>
      <c r="BT152" s="23" t="str">
        <f aca="false">IF(BS152=1,AZ152,"")</f>
        <v/>
      </c>
      <c r="BU152" s="23" t="n">
        <f aca="false">IF(AND(BB152=1,W152="Y",TRIM(X152)=""),1,0)</f>
        <v>0</v>
      </c>
      <c r="BV152" s="23" t="str">
        <f aca="false">IF(BB152=1,AN152&amp;"","")</f>
        <v/>
      </c>
      <c r="BW152" s="23" t="str">
        <f aca="false">IF(BB152=1,AO152&amp;"","")</f>
        <v/>
      </c>
      <c r="BX152" s="23" t="str">
        <f aca="false">IF(BB152=1,AP152&amp;"","")</f>
        <v/>
      </c>
      <c r="BY152" s="23" t="str">
        <f aca="false">IF(AND(BB152=1,ISNUMBER(AV152),INT(N(H152))&lt;=Config!$B$5),AV152,"")</f>
        <v/>
      </c>
      <c r="BZ152" s="23" t="str">
        <f aca="false">IF(BB152=1,IF(COUNTIFS($A$2:$A$201,$A152,$DC$2:$DC$201,1,$AR$2:$AR$201,"Y")&gt;0,"Y","N"),"")</f>
        <v/>
      </c>
      <c r="CA152" s="23" t="n">
        <f aca="false">IF(AND(BB152=1,AR152="maybe"),1,0)</f>
        <v>0</v>
      </c>
      <c r="CB152" s="23" t="n">
        <f aca="false">IF(CA152=1,IF(COUNTIFS($AZ$2:$AZ$201,AZ152,$CA$2:$CA$201,1,$H$2:$H$201,"&lt;"&amp;H152)+COUNTIFS($AZ$2:$AZ$201,AZ152,$CA$2:$CA$201,1,$H$2:$H$201,H152,$BA$2:$BA$201,"&lt;"&amp;BA152)=0,1,0),0)</f>
        <v>0</v>
      </c>
      <c r="CC152" s="23" t="n">
        <f aca="false">IF(AND(BB152=1,AR152="Y"),IF(COUNTIFS($AZ$2:$AZ$201,AZ152,$AR$2:$AR$201,"Y",$BB$2:$BB$201,1,$H$2:$H$201,"&lt;"&amp;H152)+COUNTIFS($AZ$2:$AZ$201,AZ152,$AR$2:$AR$201,"Y",$BB$2:$BB$201,1,$H$2:$H$201,H152,$BA$2:$BA$201,"&lt;"&amp;BA152)=0,1,0),0)</f>
        <v>0</v>
      </c>
      <c r="CD152" s="23" t="n">
        <f aca="false">IF(AND(BH152=1,N(Y152)&gt;=Config!$B$15),1,0)</f>
        <v>0</v>
      </c>
      <c r="CE152" s="23" t="n">
        <f aca="false">IF(AND(BB152=1,AT152="Y"),1,0)</f>
        <v>0</v>
      </c>
      <c r="CF152" s="23" t="n">
        <f aca="false">IF(CE152=1,IF(COUNTIFS($AZ$2:$AZ$201,AZ152,$CE$2:$CE$201,1,$H$2:$H$201,"&lt;"&amp;H152)+COUNTIFS($AZ$2:$AZ$201,AZ152,$CE$2:$CE$201,1,$H$2:$H$201,H152,$BA$2:$BA$201,"&lt;"&amp;BA152)=0,1,0),0)</f>
        <v>0</v>
      </c>
      <c r="CG152" s="23" t="n">
        <f aca="false">IF(AND(BB152=1,G152="warm-intro"),1,0)</f>
        <v>0</v>
      </c>
      <c r="CH152" s="23" t="n">
        <f aca="false">IF(CG152=1,IF(COUNTIFS($AZ$2:$AZ$201,AZ152,$CG$2:$CG$201,1,$H$2:$H$201,"&lt;"&amp;H152)+COUNTIFS($AZ$2:$AZ$201,AZ152,$CG$2:$CG$201,1,$H$2:$H$201,H152,$BA$2:$BA$201,"&lt;"&amp;BA152)=0,1,0),0)</f>
        <v>0</v>
      </c>
      <c r="CI152" s="23" t="n">
        <f aca="false">IF(AND(BB152=1,Q152="Y"),1,0)</f>
        <v>0</v>
      </c>
      <c r="CJ152" s="23" t="n">
        <f aca="false">IF(CI152=1,IF(COUNTIFS($AZ$2:$AZ$201,AZ152,$CI$2:$CI$201,1,$H$2:$H$201,"&lt;"&amp;H152)+COUNTIFS($AZ$2:$AZ$201,AZ152,$CI$2:$CI$201,1,$H$2:$H$201,H152,$BA$2:$BA$201,"&lt;"&amp;BA152)=0,1,0),0)</f>
        <v>0</v>
      </c>
      <c r="CK152" s="23" t="n">
        <f aca="false">IF(AND(BB152=1,AF152="Y"),1,0)</f>
        <v>0</v>
      </c>
      <c r="CL152" s="23" t="n">
        <f aca="false">IF(CK152=1,IF(COUNTIFS($AZ$2:$AZ$201,AZ152,$CK$2:$CK$201,1,$H$2:$H$201,"&lt;"&amp;H152)+COUNTIFS($AZ$2:$AZ$201,AZ152,$CK$2:$CK$201,1,$H$2:$H$201,H152,$BA$2:$BA$201,"&lt;"&amp;BA152)=0,1,0),0)</f>
        <v>0</v>
      </c>
      <c r="CM152" s="23" t="n">
        <f aca="false">IF(AND(BB152=1,U152="Y"),1,0)</f>
        <v>0</v>
      </c>
      <c r="CN152" s="23" t="n">
        <f aca="false">IF(CM152=1,IF(COUNTIFS($AZ$2:$AZ$201,AZ152,$CM$2:$CM$201,1,$H$2:$H$201,"&lt;"&amp;H152)+COUNTIFS($AZ$2:$AZ$201,AZ152,$CM$2:$CM$201,1,$H$2:$H$201,H152,$BA$2:$BA$201,"&lt;"&amp;BA152)=0,1,0),0)</f>
        <v>0</v>
      </c>
      <c r="CO152" s="23" t="n">
        <f aca="false">IF(AND(BB152=1,L152="Y"),1,0)</f>
        <v>0</v>
      </c>
      <c r="CP152" s="23" t="n">
        <f aca="false">IF(CO152=1,IF(COUNTIFS($AZ$2:$AZ$201,AZ152,$CO$2:$CO$201,1,$H$2:$H$201,"&lt;"&amp;H152)+COUNTIFS($AZ$2:$AZ$201,AZ152,$CO$2:$CO$201,1,$H$2:$H$201,H152,$BA$2:$BA$201,"&lt;"&amp;BA152)=0,1,0),0)</f>
        <v>0</v>
      </c>
      <c r="CQ152" s="23" t="n">
        <f aca="false">IF(AND(BB152=1,ISNUMBER(O152)),1,0)</f>
        <v>0</v>
      </c>
      <c r="CR152" s="23" t="n">
        <f aca="false">IF(CQ152=1,IF(COUNTIFS($AZ$2:$AZ$201,AZ152,$CQ$2:$CQ$201,1,$H$2:$H$201,"&lt;"&amp;H152)+COUNTIFS($AZ$2:$AZ$201,AZ152,$CQ$2:$CQ$201,1,$H$2:$H$201,H152,$BA$2:$BA$201,"&lt;"&amp;BA152)=0,1,0),0)</f>
        <v>0</v>
      </c>
      <c r="CS152" s="23" t="str">
        <f aca="false">IF(AND(CR152=1,INT(N(H152))&lt;=Config!$B$5),O152,"")</f>
        <v/>
      </c>
      <c r="CT152" s="23" t="str">
        <f aca="false">IF(AND(BB152=1,INT(N(H152))&lt;=Config!$B$5),AG152&amp;"","")</f>
        <v/>
      </c>
      <c r="CU152" s="23" t="n">
        <f aca="false">IF(AND(BB152=1,AU152="Y"),1,0)</f>
        <v>0</v>
      </c>
      <c r="CV152" s="23" t="n">
        <f aca="false">IF(CU152=1,IF(COUNTIFS($AZ$2:$AZ$201,AZ152,$CU$2:$CU$201,1,$H$2:$H$201,"&lt;"&amp;H152)+COUNTIFS($AZ$2:$AZ$201,AZ152,$CU$2:$CU$201,1,$H$2:$H$201,H152,$BA$2:$BA$201,"&lt;"&amp;BA152)=0,1,0),0)</f>
        <v>0</v>
      </c>
      <c r="CW152" s="23" t="str">
        <f aca="false">IF(BB152=1,IFERROR(MATCH($A152,INDEX(Clay_Offices!$A$2:$FZ$601,0,Sync!$C$5),0),""),"")</f>
        <v/>
      </c>
      <c r="CX152" s="23" t="str">
        <f aca="false">IF(CW152="","",IFERROR(INDEX(Clay_Offices!$A$2:$FZ$601,CW152,Sync!$C$7)&amp;"",""))</f>
        <v/>
      </c>
      <c r="CY152" s="23" t="str">
        <f aca="false">IF(CX152="","",IFERROR(INDEX(Lists!$K$2:$K$15,MATCH(CX152,Lists!$J$2:$J$15,0)),""))</f>
        <v/>
      </c>
      <c r="CZ152" s="23" t="str">
        <f aca="false">IF(CW152="","",IFERROR(INDEX(Clay_Offices!$A$2:$FZ$601,CW152,Sync!$C$17)&amp;"",""))</f>
        <v/>
      </c>
      <c r="DA152" s="35" t="str">
        <f aca="false">IF(CW152="","",IFERROR(N(INDEX(Clay_Offices!$A$2:$FZ$601,CW152,Sync!$C$16)),0))</f>
        <v/>
      </c>
      <c r="DB152" s="23" t="n">
        <f aca="false">IF(AND(BB152=1,OR(AR152="Y",AR152="N",AR152="maybe")),1,0)</f>
        <v>0</v>
      </c>
      <c r="DC152" s="23" t="n">
        <f aca="false">IF(AND(DB152=1),IF(COUNTIFS($A$2:$A$201,$A152,$DB$2:$DB$201,1,$H$2:$H$201,"&gt;"&amp;H152)+COUNTIFS($A$2:$A$201,$A152,$DB$2:$DB$201,1,$H$2:$H$201,H152,$BA$2:$BA$201,"&gt;"&amp;BA152)=0,1,0),0)</f>
        <v>0</v>
      </c>
      <c r="DD152" s="23" t="n">
        <f aca="false">IF(AND(DB152=1,INT(N(H152))&lt;=Config!$B$6),IF(COUNTIFS($AZ$2:$AZ$201,AZ152,$DB$2:$DB$201,1,$H$2:$H$201,"&gt;"&amp;H152,$H$2:$H$201,"&lt;"&amp;(Config!$B$6+1))+COUNTIFS($AZ$2:$AZ$201,AZ152,$DB$2:$DB$201,1,$H$2:$H$201,H152,$BA$2:$BA$201,"&gt;"&amp;BA152)=0,1,0),0)</f>
        <v>0</v>
      </c>
      <c r="DE152" s="23" t="n">
        <f aca="false">IF(AND(DB152=1,INT(N(H152))&lt;=Config!$B$7),IF(COUNTIFS($AZ$2:$AZ$201,AZ152,$DB$2:$DB$201,1,$H$2:$H$201,"&gt;"&amp;H152,$H$2:$H$201,"&lt;"&amp;(Config!$B$7+1))+COUNTIFS($AZ$2:$AZ$201,AZ152,$DB$2:$DB$201,1,$H$2:$H$201,H152,$BA$2:$BA$201,"&gt;"&amp;BA152)=0,1,0),0)</f>
        <v>0</v>
      </c>
      <c r="DF152" s="23" t="n">
        <f aca="false">IF(AND(DB152=1,INT(N(H152))&lt;=Config!$B$8),IF(COUNTIFS($AZ$2:$AZ$201,AZ152,$DB$2:$DB$201,1,$H$2:$H$201,"&gt;"&amp;H152,$H$2:$H$201,"&lt;"&amp;(Config!$B$8+1))+COUNTIFS($AZ$2:$AZ$201,AZ152,$DB$2:$DB$201,1,$H$2:$H$201,H152,$BA$2:$BA$201,"&gt;"&amp;BA152)=0,1,0),0)</f>
        <v>0</v>
      </c>
      <c r="DG152" s="23" t="n">
        <f aca="false">IF(AND(DB152=1,INT(N(H152))&lt;=Config!$B$5),IF(COUNTIFS($AZ$2:$AZ$201,AZ152,$DB$2:$DB$201,1,$H$2:$H$201,"&gt;"&amp;H152,$H$2:$H$201,"&lt;"&amp;(Config!$B$5+1))+COUNTIFS($AZ$2:$AZ$201,AZ152,$DB$2:$DB$201,1,$H$2:$H$201,H152,$BA$2:$BA$201,"&gt;"&amp;BA152)=0,1,0),0)</f>
        <v>0</v>
      </c>
      <c r="DH152" s="23" t="n">
        <f aca="false">IF(BB152=1,IF(COUNTIFS($AZ$2:$AZ$201,AZ152,$DD$2:$DD$201,1,$AR$2:$AR$201,"Y")&gt;0,1,0),0)</f>
        <v>0</v>
      </c>
      <c r="DI152" s="23" t="n">
        <f aca="false">IF(BB152=1,IF(COUNTIFS($AZ$2:$AZ$201,AZ152,$DE$2:$DE$201,1,$AR$2:$AR$201,"Y")&gt;0,1,0),0)</f>
        <v>0</v>
      </c>
      <c r="DJ152" s="23" t="n">
        <f aca="false">IF(BB152=1,IF(COUNTIFS($AZ$2:$AZ$201,AZ152,$DF$2:$DF$201,1,$AR$2:$AR$201,"Y")&gt;0,1,0),0)</f>
        <v>0</v>
      </c>
      <c r="DK152" s="23" t="n">
        <f aca="false">IF(BB152=1,IF(COUNTIFS($AZ$2:$AZ$201,AZ152,$DG$2:$DG$201,1,$AR$2:$AR$201,"Y")&gt;0,1,0),0)</f>
        <v>0</v>
      </c>
      <c r="DL152" s="23" t="n">
        <f aca="false">IF(AND(BF152=1,INT(N(H152))&lt;=Config!$B$6,DH152=1,EI152=0),1,0)</f>
        <v>0</v>
      </c>
      <c r="DM152" s="23" t="n">
        <f aca="false">IF(AND(BF152=1,INT(N(H152))&lt;=Config!$B$7,DI152=1,EI152=0),1,0)</f>
        <v>0</v>
      </c>
      <c r="DN152" s="23" t="n">
        <f aca="false">IF(AND(BF152=1,INT(N(H152))&lt;=Config!$B$8,DJ152=1,EI152=0),1,0)</f>
        <v>0</v>
      </c>
      <c r="DO152" s="23" t="n">
        <f aca="false">IF(AND(BF152=1,INT(N(H152))&lt;=Config!$B$5,DK152=1,EI152=0),1,0)</f>
        <v>0</v>
      </c>
      <c r="DP152" s="23" t="n">
        <f aca="false">IF(AND(CC152=1,INT(N(H152))&lt;=Config!$B$6,DH152=1,EI152=0),1,0)</f>
        <v>0</v>
      </c>
      <c r="DQ152" s="23" t="n">
        <f aca="false">IF(AND(CC152=1,INT(N(H152))&lt;=Config!$B$7,DI152=1,EI152=0),1,0)</f>
        <v>0</v>
      </c>
      <c r="DR152" s="23" t="n">
        <f aca="false">IF(AND(CC152=1,INT(N(H152))&lt;=Config!$B$8,DJ152=1,EI152=0),1,0)</f>
        <v>0</v>
      </c>
      <c r="DS152" s="23" t="n">
        <f aca="false">IF(AND(CC152=1,INT(N(H152))&lt;=Config!$B$5,DK152=1,EI152=0),1,0)</f>
        <v>0</v>
      </c>
      <c r="DT152" s="23" t="n">
        <f aca="false">IF(AND(CC152=1,INT(N(H152))&lt;=Config!$B$6,DH152=0),1,0)</f>
        <v>0</v>
      </c>
      <c r="DU152" s="23" t="n">
        <f aca="false">IF(AND(CC152=1,INT(N(H152))&lt;=Config!$B$7,DI152=0),1,0)</f>
        <v>0</v>
      </c>
      <c r="DV152" s="23" t="n">
        <f aca="false">IF(AND(CC152=1,INT(N(H152))&lt;=Config!$B$8,DJ152=0),1,0)</f>
        <v>0</v>
      </c>
      <c r="DW152" s="23" t="n">
        <f aca="false">IF(AND(CC152=1,INT(N(H152))&lt;=Config!$B$5,DK152=0),1,0)</f>
        <v>0</v>
      </c>
      <c r="DX152" s="23" t="n">
        <f aca="false">IF(TRIM($A152)="",0,ISTEXT(M152)+ISTEXT(O152)+ISTEXT(Y152)+ISTEXT(Z152)+ISTEXT(AA152)+ISTEXT(AV152))</f>
        <v>0</v>
      </c>
      <c r="DY152" s="23" t="n">
        <f aca="false">IF(BB152=1,IF(H152&lt;&gt;INT(H152),1,0),0)</f>
        <v>0</v>
      </c>
      <c r="DZ152" s="23" t="str">
        <f aca="false">IF(TRIM($A152)="","",IF(TRIM(B152)="",SUBSTITUTE(SUBSTITUTE(SUBSTITUTE(SUBSTITUTE(SUBSTITUTE(SUBSTITUTE(LOWER(TRIM($A152)),"~",""),"*",""),"?",""),"&lt;",""),"&gt;",""),"=",""),SUBSTITUTE(SUBSTITUTE(SUBSTITUTE(SUBSTITUTE(SUBSTITUTE(SUBSTITUTE(LOWER(TRIM(B152)),"~",""),"*",""),"?",""),"&lt;",""),"&gt;",""),"=","")))</f>
        <v/>
      </c>
      <c r="EA152" s="23" t="str">
        <f aca="false">IF(CW152="","",IFERROR(IF(LEFT(LOWER(TRIM(INDEX(Clay_Offices!$A$2:$FZ$601,CW152,Sync!$C$19)&amp;"")),4)="grp-",SUBSTITUTE(SUBSTITUTE(SUBSTITUTE(SUBSTITUTE(SUBSTITUTE(SUBSTITUTE(LOWER(TRIM(INDEX(Clay_Offices!$A$2:$FZ$601,CW152,Sync!$C$19)&amp;"")),"~",""),"*",""),"?",""),"&lt;",""),"&gt;",""),"=",""),""),""))</f>
        <v/>
      </c>
      <c r="EB152" s="23" t="str">
        <f aca="false">IF(EA152&lt;&gt;"",DZ152,"")</f>
        <v/>
      </c>
      <c r="EC152" s="23" t="str">
        <f aca="false">IF(BC152=1,AZ152,"")</f>
        <v/>
      </c>
      <c r="ED152" s="23" t="str">
        <f aca="false">IF(TRIM($A152)="","",IFERROR(INDEX($A$2:$A$201,MATCH(AZ152,$EC$2:$EC$201,0))&amp;"",$A152&amp;""))</f>
        <v/>
      </c>
      <c r="EE152" s="23" t="n">
        <f aca="false">IF(BB152=1,IF(COUNTIFS($A$2:$A$201,$A152,$BB$2:$BB$201,1,$H$2:$H$201,"&lt;"&amp;H152)+COUNTIFS($A$2:$A$201,$A152,$BB$2:$BB$201,1,$H$2:$H$201,H152,$BA$2:$BA$201,"&lt;"&amp;BA152)=0,1,0),0)</f>
        <v>0</v>
      </c>
      <c r="EF152" s="23" t="n">
        <f aca="false">IF(BC152=1,IF(COUNTIFS($AZ$2:$AZ$201,AZ152,$EE$2:$EE$201,1)&gt;1,1,0),0)</f>
        <v>0</v>
      </c>
      <c r="EG152" s="23" t="n">
        <f aca="false">IF(AND(CQ152=1),IF(COUNTIFS($AZ$2:$AZ$201,AZ152,$CQ$2:$CQ$201,1,$H$2:$H$201,"&gt;"&amp;H152)+COUNTIFS($AZ$2:$AZ$201,AZ152,$CQ$2:$CQ$201,1,$H$2:$H$201,H152,$BA$2:$BA$201,"&gt;"&amp;BA152)=0,1,0),0)</f>
        <v>0</v>
      </c>
      <c r="EH152" s="23" t="str">
        <f aca="false">IF(BB152=1,IF(COUNTIFS($AZ$2:$AZ$201,AZ152,$EG$2:$EG$201,1)=0,"",SUMIFS($O$2:$O$201,$AZ$2:$AZ$201,AZ152,$EG$2:$EG$201,1)),"")</f>
        <v/>
      </c>
      <c r="EI152" s="23" t="n">
        <f aca="false">IF(AND(ISNUMBER(EH152),OR(N(EH152)&lt;Config!$B$31,N(EH152)&gt;Config!$B$33)),1,0)</f>
        <v>0</v>
      </c>
      <c r="EJ152" s="23" t="n">
        <f aca="false">IF(AND(ISNUMBER(EH152),N(EH152)&gt;=Config!$B$31,N(EH152)&lt;Config!$B$32),1,0)</f>
        <v>0</v>
      </c>
      <c r="EK152" s="23" t="n">
        <f aca="false">IF(AND(BF152=1,INT(N(H152))&lt;=Config!$B$6,DH152=1,EI152=1),1,0)</f>
        <v>0</v>
      </c>
      <c r="EL152" s="23" t="n">
        <f aca="false">IF(AND(BF152=1,INT(N(H152))&lt;=Config!$B$7,DI152=1,EI152=1),1,0)</f>
        <v>0</v>
      </c>
      <c r="EM152" s="23" t="n">
        <f aca="false">IF(AND(BF152=1,INT(N(H152))&lt;=Config!$B$8,DJ152=1,EI152=1),1,0)</f>
        <v>0</v>
      </c>
      <c r="EN152" s="23" t="n">
        <f aca="false">IF(AND(BF152=1,INT(N(H152))&lt;=Config!$B$5,DK152=1,EI152=1),1,0)</f>
        <v>0</v>
      </c>
      <c r="EO152" s="23" t="n">
        <f aca="false">IF(AND(DL152=1,EJ152=1),1,0)</f>
        <v>0</v>
      </c>
      <c r="EP152" s="23" t="n">
        <f aca="false">IF(AND(DM152=1,EJ152=1),1,0)</f>
        <v>0</v>
      </c>
      <c r="EQ152" s="23" t="n">
        <f aca="false">IF(AND(DN152=1,EJ152=1),1,0)</f>
        <v>0</v>
      </c>
      <c r="ER152" s="23" t="n">
        <f aca="false">IF(AND(DO152=1,EJ152=1),1,0)</f>
        <v>0</v>
      </c>
    </row>
    <row r="153" customFormat="false" ht="15" hidden="false" customHeight="false" outlineLevel="0" collapsed="false">
      <c r="G153" s="32"/>
      <c r="H153" s="33"/>
      <c r="I153" s="32"/>
      <c r="L153" s="32"/>
      <c r="Q153" s="32"/>
      <c r="U153" s="32"/>
      <c r="W153" s="32"/>
      <c r="AC153" s="32"/>
      <c r="AF153" s="32"/>
      <c r="AI153" s="32"/>
      <c r="AJ153" s="32"/>
      <c r="AN153" s="32"/>
      <c r="AR153" s="32"/>
      <c r="AT153" s="32"/>
      <c r="AU153" s="32"/>
      <c r="AW153" s="32"/>
      <c r="AY153" s="34" t="str">
        <f aca="false">IF(TRIM($A153)="","",IF(AND(LEFT($A153,6)="SAMPLE",Config!$B$19&lt;&gt;"Y"),"",IF(NOT(ISNUMBER(H153)),"call_date is blank or not a date",IF(Sync!$C$5="","Clay paste is empty or has no row_id column: paste the Clay export on Clay_Offices",IF(CW153="","row_id not found in the Clay paste: add the Clay row or fix the row_id",IF(AND(ISNUMBER(CY153),CY153&gt;=1,CY153&lt;=5),"Clay status is "&amp;CX153&amp;": set call_done or later",IF(AND(BD153=1,CZ153&lt;&gt;BZ153),"Clay yes_in_principle should be "&amp;BZ153,IF(AND(BD153=1,DA153&lt;&gt;H153),"Clay call_date should be "&amp;TEXT(H153,"yyyy-mm-dd"),""))))))))</f>
        <v/>
      </c>
      <c r="AZ153" s="23" t="str">
        <f aca="false">IF(TRIM($A153)="","",IF(TRIM(C153)&lt;&gt;"",SUBSTITUTE(SUBSTITUTE(SUBSTITUTE(SUBSTITUTE(SUBSTITUTE(SUBSTITUTE(LOWER(TRIM(C153)),"~",""),"*",""),"?",""),"&lt;",""),"&gt;",""),"=",""),IF(EA153&lt;&gt;"",EA153,IFERROR(INDEX($EA$2:$EA$201,MATCH(DZ153,$EB$2:$EB$201,0)),DZ153))))</f>
        <v/>
      </c>
      <c r="BA153" s="23" t="n">
        <f aca="false">ROW()</f>
        <v>153</v>
      </c>
      <c r="BB153" s="23" t="n">
        <f aca="false">IF(AND(TRIM($A153)&lt;&gt;"",ISNUMBER(H153)),IF(AND(LEFT($A153,6)="SAMPLE",Config!$B$19&lt;&gt;"Y"),0,1),0)</f>
        <v>0</v>
      </c>
      <c r="BC153" s="23" t="n">
        <f aca="false">IF(BB153=1,IF(COUNTIFS($AZ$2:$AZ$201,AZ153,$BB$2:$BB$201,1,$H$2:$H$201,"&lt;"&amp;H153)+COUNTIFS($AZ$2:$AZ$201,AZ153,$BB$2:$BB$201,1,$H$2:$H$201,H153,$BA$2:$BA$201,"&lt;"&amp;BA153)=0,1,0),0)</f>
        <v>0</v>
      </c>
      <c r="BD153" s="23" t="n">
        <f aca="false">IF(BB153=1,IF(COUNTIFS($A$2:$A$201,$A153,$BB$2:$BB$201,1,$H$2:$H$201,"&gt;"&amp;H153)+COUNTIFS($A$2:$A$201,$A153,$BB$2:$BB$201,1,$H$2:$H$201,H153,$BA$2:$BA$201,"&gt;"&amp;BA153)=0,1,0),0)</f>
        <v>0</v>
      </c>
      <c r="BE153" s="23" t="n">
        <f aca="false">IF(AND(BB153=1,AR153="Y",AC153="Y",TRIM(AH153)&lt;&gt;""),1,0)</f>
        <v>0</v>
      </c>
      <c r="BF153" s="23" t="n">
        <f aca="false">IF(BE153=1,IF(COUNTIFS($AZ$2:$AZ$201,AZ153,$BE$2:$BE$201,1,$H$2:$H$201,"&lt;"&amp;H153)+COUNTIFS($AZ$2:$AZ$201,AZ153,$BE$2:$BE$201,1,$H$2:$H$201,H153,$BA$2:$BA$201,"&lt;"&amp;BA153)=0,1,0),0)</f>
        <v>0</v>
      </c>
      <c r="BG153" s="23" t="n">
        <f aca="false">IF(AND(BB153=1,AR153="Y",BE153=0),1,0)</f>
        <v>0</v>
      </c>
      <c r="BH153" s="23" t="n">
        <f aca="false">IF(AND(BB153=1,ISNUMBER(Y153)),1,0)</f>
        <v>0</v>
      </c>
      <c r="BI153" s="23" t="n">
        <f aca="false">IF(BH153=1,IF(COUNTIFS($AZ$2:$AZ$201,AZ153,$BH$2:$BH$201,1,$H$2:$H$201,"&lt;"&amp;H153)+COUNTIFS($AZ$2:$AZ$201,AZ153,$BH$2:$BH$201,1,$H$2:$H$201,H153,$BA$2:$BA$201,"&lt;"&amp;BA153)=0,1,0),0)</f>
        <v>0</v>
      </c>
      <c r="BJ153" s="23" t="str">
        <f aca="false">IF(AND(BI153=1,INT(N(H153))&lt;=Config!$B$6),Y153,"")</f>
        <v/>
      </c>
      <c r="BK153" s="23" t="str">
        <f aca="false">IF(AND(BI153=1,INT(N(H153))&lt;=Config!$B$7),Y153,"")</f>
        <v/>
      </c>
      <c r="BL153" s="23" t="str">
        <f aca="false">IF(AND(BI153=1,INT(N(H153))&lt;=Config!$B$8),Y153,"")</f>
        <v/>
      </c>
      <c r="BM153" s="23" t="str">
        <f aca="false">IF(AND(BI153=1,INT(N(H153))&lt;=Config!$B$5),Y153,"")</f>
        <v/>
      </c>
      <c r="BN153" s="23" t="n">
        <f aca="false">IF(CD153=1,IF(COUNTIFS($AZ$2:$AZ$201,AZ153,$CD$2:$CD$201,1,$H$2:$H$201,"&lt;"&amp;H153)+COUNTIFS($AZ$2:$AZ$201,AZ153,$CD$2:$CD$201,1,$H$2:$H$201,H153,$BA$2:$BA$201,"&lt;"&amp;BA153)=0,1,0),0)</f>
        <v>0</v>
      </c>
      <c r="BO153" s="23" t="n">
        <f aca="false">IF(AND(BB153=1,ISNUMBER(M153)),1,0)</f>
        <v>0</v>
      </c>
      <c r="BP153" s="23" t="n">
        <f aca="false">IF(BO153=1,IF(COUNTIFS($AZ$2:$AZ$201,AZ153,$BO$2:$BO$201,1,$H$2:$H$201,"&lt;"&amp;H153)+COUNTIFS($AZ$2:$AZ$201,AZ153,$BO$2:$BO$201,1,$H$2:$H$201,H153,$BA$2:$BA$201,"&lt;"&amp;BA153)=0,1,0),0)</f>
        <v>0</v>
      </c>
      <c r="BQ153" s="23" t="str">
        <f aca="false">IF(AND(BP153=1,INT(N(H153))&lt;=Config!$B$5),M153,"")</f>
        <v/>
      </c>
      <c r="BR153" s="23" t="n">
        <f aca="false">IF(AND(BB153=1,OR(TRIM(X153)&lt;&gt;"",ISNUMBER(Y153))),1,0)</f>
        <v>0</v>
      </c>
      <c r="BS153" s="23" t="n">
        <f aca="false">IF(BR153=1,IF(COUNTIFS($AZ$2:$AZ$201,AZ153,$BR$2:$BR$201,1,$H$2:$H$201,"&lt;"&amp;H153)+COUNTIFS($AZ$2:$AZ$201,AZ153,$BR$2:$BR$201,1,$H$2:$H$201,H153,$BA$2:$BA$201,"&lt;"&amp;BA153)=0,1,0),0)</f>
        <v>0</v>
      </c>
      <c r="BT153" s="23" t="str">
        <f aca="false">IF(BS153=1,AZ153,"")</f>
        <v/>
      </c>
      <c r="BU153" s="23" t="n">
        <f aca="false">IF(AND(BB153=1,W153="Y",TRIM(X153)=""),1,0)</f>
        <v>0</v>
      </c>
      <c r="BV153" s="23" t="str">
        <f aca="false">IF(BB153=1,AN153&amp;"","")</f>
        <v/>
      </c>
      <c r="BW153" s="23" t="str">
        <f aca="false">IF(BB153=1,AO153&amp;"","")</f>
        <v/>
      </c>
      <c r="BX153" s="23" t="str">
        <f aca="false">IF(BB153=1,AP153&amp;"","")</f>
        <v/>
      </c>
      <c r="BY153" s="23" t="str">
        <f aca="false">IF(AND(BB153=1,ISNUMBER(AV153),INT(N(H153))&lt;=Config!$B$5),AV153,"")</f>
        <v/>
      </c>
      <c r="BZ153" s="23" t="str">
        <f aca="false">IF(BB153=1,IF(COUNTIFS($A$2:$A$201,$A153,$DC$2:$DC$201,1,$AR$2:$AR$201,"Y")&gt;0,"Y","N"),"")</f>
        <v/>
      </c>
      <c r="CA153" s="23" t="n">
        <f aca="false">IF(AND(BB153=1,AR153="maybe"),1,0)</f>
        <v>0</v>
      </c>
      <c r="CB153" s="23" t="n">
        <f aca="false">IF(CA153=1,IF(COUNTIFS($AZ$2:$AZ$201,AZ153,$CA$2:$CA$201,1,$H$2:$H$201,"&lt;"&amp;H153)+COUNTIFS($AZ$2:$AZ$201,AZ153,$CA$2:$CA$201,1,$H$2:$H$201,H153,$BA$2:$BA$201,"&lt;"&amp;BA153)=0,1,0),0)</f>
        <v>0</v>
      </c>
      <c r="CC153" s="23" t="n">
        <f aca="false">IF(AND(BB153=1,AR153="Y"),IF(COUNTIFS($AZ$2:$AZ$201,AZ153,$AR$2:$AR$201,"Y",$BB$2:$BB$201,1,$H$2:$H$201,"&lt;"&amp;H153)+COUNTIFS($AZ$2:$AZ$201,AZ153,$AR$2:$AR$201,"Y",$BB$2:$BB$201,1,$H$2:$H$201,H153,$BA$2:$BA$201,"&lt;"&amp;BA153)=0,1,0),0)</f>
        <v>0</v>
      </c>
      <c r="CD153" s="23" t="n">
        <f aca="false">IF(AND(BH153=1,N(Y153)&gt;=Config!$B$15),1,0)</f>
        <v>0</v>
      </c>
      <c r="CE153" s="23" t="n">
        <f aca="false">IF(AND(BB153=1,AT153="Y"),1,0)</f>
        <v>0</v>
      </c>
      <c r="CF153" s="23" t="n">
        <f aca="false">IF(CE153=1,IF(COUNTIFS($AZ$2:$AZ$201,AZ153,$CE$2:$CE$201,1,$H$2:$H$201,"&lt;"&amp;H153)+COUNTIFS($AZ$2:$AZ$201,AZ153,$CE$2:$CE$201,1,$H$2:$H$201,H153,$BA$2:$BA$201,"&lt;"&amp;BA153)=0,1,0),0)</f>
        <v>0</v>
      </c>
      <c r="CG153" s="23" t="n">
        <f aca="false">IF(AND(BB153=1,G153="warm-intro"),1,0)</f>
        <v>0</v>
      </c>
      <c r="CH153" s="23" t="n">
        <f aca="false">IF(CG153=1,IF(COUNTIFS($AZ$2:$AZ$201,AZ153,$CG$2:$CG$201,1,$H$2:$H$201,"&lt;"&amp;H153)+COUNTIFS($AZ$2:$AZ$201,AZ153,$CG$2:$CG$201,1,$H$2:$H$201,H153,$BA$2:$BA$201,"&lt;"&amp;BA153)=0,1,0),0)</f>
        <v>0</v>
      </c>
      <c r="CI153" s="23" t="n">
        <f aca="false">IF(AND(BB153=1,Q153="Y"),1,0)</f>
        <v>0</v>
      </c>
      <c r="CJ153" s="23" t="n">
        <f aca="false">IF(CI153=1,IF(COUNTIFS($AZ$2:$AZ$201,AZ153,$CI$2:$CI$201,1,$H$2:$H$201,"&lt;"&amp;H153)+COUNTIFS($AZ$2:$AZ$201,AZ153,$CI$2:$CI$201,1,$H$2:$H$201,H153,$BA$2:$BA$201,"&lt;"&amp;BA153)=0,1,0),0)</f>
        <v>0</v>
      </c>
      <c r="CK153" s="23" t="n">
        <f aca="false">IF(AND(BB153=1,AF153="Y"),1,0)</f>
        <v>0</v>
      </c>
      <c r="CL153" s="23" t="n">
        <f aca="false">IF(CK153=1,IF(COUNTIFS($AZ$2:$AZ$201,AZ153,$CK$2:$CK$201,1,$H$2:$H$201,"&lt;"&amp;H153)+COUNTIFS($AZ$2:$AZ$201,AZ153,$CK$2:$CK$201,1,$H$2:$H$201,H153,$BA$2:$BA$201,"&lt;"&amp;BA153)=0,1,0),0)</f>
        <v>0</v>
      </c>
      <c r="CM153" s="23" t="n">
        <f aca="false">IF(AND(BB153=1,U153="Y"),1,0)</f>
        <v>0</v>
      </c>
      <c r="CN153" s="23" t="n">
        <f aca="false">IF(CM153=1,IF(COUNTIFS($AZ$2:$AZ$201,AZ153,$CM$2:$CM$201,1,$H$2:$H$201,"&lt;"&amp;H153)+COUNTIFS($AZ$2:$AZ$201,AZ153,$CM$2:$CM$201,1,$H$2:$H$201,H153,$BA$2:$BA$201,"&lt;"&amp;BA153)=0,1,0),0)</f>
        <v>0</v>
      </c>
      <c r="CO153" s="23" t="n">
        <f aca="false">IF(AND(BB153=1,L153="Y"),1,0)</f>
        <v>0</v>
      </c>
      <c r="CP153" s="23" t="n">
        <f aca="false">IF(CO153=1,IF(COUNTIFS($AZ$2:$AZ$201,AZ153,$CO$2:$CO$201,1,$H$2:$H$201,"&lt;"&amp;H153)+COUNTIFS($AZ$2:$AZ$201,AZ153,$CO$2:$CO$201,1,$H$2:$H$201,H153,$BA$2:$BA$201,"&lt;"&amp;BA153)=0,1,0),0)</f>
        <v>0</v>
      </c>
      <c r="CQ153" s="23" t="n">
        <f aca="false">IF(AND(BB153=1,ISNUMBER(O153)),1,0)</f>
        <v>0</v>
      </c>
      <c r="CR153" s="23" t="n">
        <f aca="false">IF(CQ153=1,IF(COUNTIFS($AZ$2:$AZ$201,AZ153,$CQ$2:$CQ$201,1,$H$2:$H$201,"&lt;"&amp;H153)+COUNTIFS($AZ$2:$AZ$201,AZ153,$CQ$2:$CQ$201,1,$H$2:$H$201,H153,$BA$2:$BA$201,"&lt;"&amp;BA153)=0,1,0),0)</f>
        <v>0</v>
      </c>
      <c r="CS153" s="23" t="str">
        <f aca="false">IF(AND(CR153=1,INT(N(H153))&lt;=Config!$B$5),O153,"")</f>
        <v/>
      </c>
      <c r="CT153" s="23" t="str">
        <f aca="false">IF(AND(BB153=1,INT(N(H153))&lt;=Config!$B$5),AG153&amp;"","")</f>
        <v/>
      </c>
      <c r="CU153" s="23" t="n">
        <f aca="false">IF(AND(BB153=1,AU153="Y"),1,0)</f>
        <v>0</v>
      </c>
      <c r="CV153" s="23" t="n">
        <f aca="false">IF(CU153=1,IF(COUNTIFS($AZ$2:$AZ$201,AZ153,$CU$2:$CU$201,1,$H$2:$H$201,"&lt;"&amp;H153)+COUNTIFS($AZ$2:$AZ$201,AZ153,$CU$2:$CU$201,1,$H$2:$H$201,H153,$BA$2:$BA$201,"&lt;"&amp;BA153)=0,1,0),0)</f>
        <v>0</v>
      </c>
      <c r="CW153" s="23" t="str">
        <f aca="false">IF(BB153=1,IFERROR(MATCH($A153,INDEX(Clay_Offices!$A$2:$FZ$601,0,Sync!$C$5),0),""),"")</f>
        <v/>
      </c>
      <c r="CX153" s="23" t="str">
        <f aca="false">IF(CW153="","",IFERROR(INDEX(Clay_Offices!$A$2:$FZ$601,CW153,Sync!$C$7)&amp;"",""))</f>
        <v/>
      </c>
      <c r="CY153" s="23" t="str">
        <f aca="false">IF(CX153="","",IFERROR(INDEX(Lists!$K$2:$K$15,MATCH(CX153,Lists!$J$2:$J$15,0)),""))</f>
        <v/>
      </c>
      <c r="CZ153" s="23" t="str">
        <f aca="false">IF(CW153="","",IFERROR(INDEX(Clay_Offices!$A$2:$FZ$601,CW153,Sync!$C$17)&amp;"",""))</f>
        <v/>
      </c>
      <c r="DA153" s="35" t="str">
        <f aca="false">IF(CW153="","",IFERROR(N(INDEX(Clay_Offices!$A$2:$FZ$601,CW153,Sync!$C$16)),0))</f>
        <v/>
      </c>
      <c r="DB153" s="23" t="n">
        <f aca="false">IF(AND(BB153=1,OR(AR153="Y",AR153="N",AR153="maybe")),1,0)</f>
        <v>0</v>
      </c>
      <c r="DC153" s="23" t="n">
        <f aca="false">IF(AND(DB153=1),IF(COUNTIFS($A$2:$A$201,$A153,$DB$2:$DB$201,1,$H$2:$H$201,"&gt;"&amp;H153)+COUNTIFS($A$2:$A$201,$A153,$DB$2:$DB$201,1,$H$2:$H$201,H153,$BA$2:$BA$201,"&gt;"&amp;BA153)=0,1,0),0)</f>
        <v>0</v>
      </c>
      <c r="DD153" s="23" t="n">
        <f aca="false">IF(AND(DB153=1,INT(N(H153))&lt;=Config!$B$6),IF(COUNTIFS($AZ$2:$AZ$201,AZ153,$DB$2:$DB$201,1,$H$2:$H$201,"&gt;"&amp;H153,$H$2:$H$201,"&lt;"&amp;(Config!$B$6+1))+COUNTIFS($AZ$2:$AZ$201,AZ153,$DB$2:$DB$201,1,$H$2:$H$201,H153,$BA$2:$BA$201,"&gt;"&amp;BA153)=0,1,0),0)</f>
        <v>0</v>
      </c>
      <c r="DE153" s="23" t="n">
        <f aca="false">IF(AND(DB153=1,INT(N(H153))&lt;=Config!$B$7),IF(COUNTIFS($AZ$2:$AZ$201,AZ153,$DB$2:$DB$201,1,$H$2:$H$201,"&gt;"&amp;H153,$H$2:$H$201,"&lt;"&amp;(Config!$B$7+1))+COUNTIFS($AZ$2:$AZ$201,AZ153,$DB$2:$DB$201,1,$H$2:$H$201,H153,$BA$2:$BA$201,"&gt;"&amp;BA153)=0,1,0),0)</f>
        <v>0</v>
      </c>
      <c r="DF153" s="23" t="n">
        <f aca="false">IF(AND(DB153=1,INT(N(H153))&lt;=Config!$B$8),IF(COUNTIFS($AZ$2:$AZ$201,AZ153,$DB$2:$DB$201,1,$H$2:$H$201,"&gt;"&amp;H153,$H$2:$H$201,"&lt;"&amp;(Config!$B$8+1))+COUNTIFS($AZ$2:$AZ$201,AZ153,$DB$2:$DB$201,1,$H$2:$H$201,H153,$BA$2:$BA$201,"&gt;"&amp;BA153)=0,1,0),0)</f>
        <v>0</v>
      </c>
      <c r="DG153" s="23" t="n">
        <f aca="false">IF(AND(DB153=1,INT(N(H153))&lt;=Config!$B$5),IF(COUNTIFS($AZ$2:$AZ$201,AZ153,$DB$2:$DB$201,1,$H$2:$H$201,"&gt;"&amp;H153,$H$2:$H$201,"&lt;"&amp;(Config!$B$5+1))+COUNTIFS($AZ$2:$AZ$201,AZ153,$DB$2:$DB$201,1,$H$2:$H$201,H153,$BA$2:$BA$201,"&gt;"&amp;BA153)=0,1,0),0)</f>
        <v>0</v>
      </c>
      <c r="DH153" s="23" t="n">
        <f aca="false">IF(BB153=1,IF(COUNTIFS($AZ$2:$AZ$201,AZ153,$DD$2:$DD$201,1,$AR$2:$AR$201,"Y")&gt;0,1,0),0)</f>
        <v>0</v>
      </c>
      <c r="DI153" s="23" t="n">
        <f aca="false">IF(BB153=1,IF(COUNTIFS($AZ$2:$AZ$201,AZ153,$DE$2:$DE$201,1,$AR$2:$AR$201,"Y")&gt;0,1,0),0)</f>
        <v>0</v>
      </c>
      <c r="DJ153" s="23" t="n">
        <f aca="false">IF(BB153=1,IF(COUNTIFS($AZ$2:$AZ$201,AZ153,$DF$2:$DF$201,1,$AR$2:$AR$201,"Y")&gt;0,1,0),0)</f>
        <v>0</v>
      </c>
      <c r="DK153" s="23" t="n">
        <f aca="false">IF(BB153=1,IF(COUNTIFS($AZ$2:$AZ$201,AZ153,$DG$2:$DG$201,1,$AR$2:$AR$201,"Y")&gt;0,1,0),0)</f>
        <v>0</v>
      </c>
      <c r="DL153" s="23" t="n">
        <f aca="false">IF(AND(BF153=1,INT(N(H153))&lt;=Config!$B$6,DH153=1,EI153=0),1,0)</f>
        <v>0</v>
      </c>
      <c r="DM153" s="23" t="n">
        <f aca="false">IF(AND(BF153=1,INT(N(H153))&lt;=Config!$B$7,DI153=1,EI153=0),1,0)</f>
        <v>0</v>
      </c>
      <c r="DN153" s="23" t="n">
        <f aca="false">IF(AND(BF153=1,INT(N(H153))&lt;=Config!$B$8,DJ153=1,EI153=0),1,0)</f>
        <v>0</v>
      </c>
      <c r="DO153" s="23" t="n">
        <f aca="false">IF(AND(BF153=1,INT(N(H153))&lt;=Config!$B$5,DK153=1,EI153=0),1,0)</f>
        <v>0</v>
      </c>
      <c r="DP153" s="23" t="n">
        <f aca="false">IF(AND(CC153=1,INT(N(H153))&lt;=Config!$B$6,DH153=1,EI153=0),1,0)</f>
        <v>0</v>
      </c>
      <c r="DQ153" s="23" t="n">
        <f aca="false">IF(AND(CC153=1,INT(N(H153))&lt;=Config!$B$7,DI153=1,EI153=0),1,0)</f>
        <v>0</v>
      </c>
      <c r="DR153" s="23" t="n">
        <f aca="false">IF(AND(CC153=1,INT(N(H153))&lt;=Config!$B$8,DJ153=1,EI153=0),1,0)</f>
        <v>0</v>
      </c>
      <c r="DS153" s="23" t="n">
        <f aca="false">IF(AND(CC153=1,INT(N(H153))&lt;=Config!$B$5,DK153=1,EI153=0),1,0)</f>
        <v>0</v>
      </c>
      <c r="DT153" s="23" t="n">
        <f aca="false">IF(AND(CC153=1,INT(N(H153))&lt;=Config!$B$6,DH153=0),1,0)</f>
        <v>0</v>
      </c>
      <c r="DU153" s="23" t="n">
        <f aca="false">IF(AND(CC153=1,INT(N(H153))&lt;=Config!$B$7,DI153=0),1,0)</f>
        <v>0</v>
      </c>
      <c r="DV153" s="23" t="n">
        <f aca="false">IF(AND(CC153=1,INT(N(H153))&lt;=Config!$B$8,DJ153=0),1,0)</f>
        <v>0</v>
      </c>
      <c r="DW153" s="23" t="n">
        <f aca="false">IF(AND(CC153=1,INT(N(H153))&lt;=Config!$B$5,DK153=0),1,0)</f>
        <v>0</v>
      </c>
      <c r="DX153" s="23" t="n">
        <f aca="false">IF(TRIM($A153)="",0,ISTEXT(M153)+ISTEXT(O153)+ISTEXT(Y153)+ISTEXT(Z153)+ISTEXT(AA153)+ISTEXT(AV153))</f>
        <v>0</v>
      </c>
      <c r="DY153" s="23" t="n">
        <f aca="false">IF(BB153=1,IF(H153&lt;&gt;INT(H153),1,0),0)</f>
        <v>0</v>
      </c>
      <c r="DZ153" s="23" t="str">
        <f aca="false">IF(TRIM($A153)="","",IF(TRIM(B153)="",SUBSTITUTE(SUBSTITUTE(SUBSTITUTE(SUBSTITUTE(SUBSTITUTE(SUBSTITUTE(LOWER(TRIM($A153)),"~",""),"*",""),"?",""),"&lt;",""),"&gt;",""),"=",""),SUBSTITUTE(SUBSTITUTE(SUBSTITUTE(SUBSTITUTE(SUBSTITUTE(SUBSTITUTE(LOWER(TRIM(B153)),"~",""),"*",""),"?",""),"&lt;",""),"&gt;",""),"=","")))</f>
        <v/>
      </c>
      <c r="EA153" s="23" t="str">
        <f aca="false">IF(CW153="","",IFERROR(IF(LEFT(LOWER(TRIM(INDEX(Clay_Offices!$A$2:$FZ$601,CW153,Sync!$C$19)&amp;"")),4)="grp-",SUBSTITUTE(SUBSTITUTE(SUBSTITUTE(SUBSTITUTE(SUBSTITUTE(SUBSTITUTE(LOWER(TRIM(INDEX(Clay_Offices!$A$2:$FZ$601,CW153,Sync!$C$19)&amp;"")),"~",""),"*",""),"?",""),"&lt;",""),"&gt;",""),"=",""),""),""))</f>
        <v/>
      </c>
      <c r="EB153" s="23" t="str">
        <f aca="false">IF(EA153&lt;&gt;"",DZ153,"")</f>
        <v/>
      </c>
      <c r="EC153" s="23" t="str">
        <f aca="false">IF(BC153=1,AZ153,"")</f>
        <v/>
      </c>
      <c r="ED153" s="23" t="str">
        <f aca="false">IF(TRIM($A153)="","",IFERROR(INDEX($A$2:$A$201,MATCH(AZ153,$EC$2:$EC$201,0))&amp;"",$A153&amp;""))</f>
        <v/>
      </c>
      <c r="EE153" s="23" t="n">
        <f aca="false">IF(BB153=1,IF(COUNTIFS($A$2:$A$201,$A153,$BB$2:$BB$201,1,$H$2:$H$201,"&lt;"&amp;H153)+COUNTIFS($A$2:$A$201,$A153,$BB$2:$BB$201,1,$H$2:$H$201,H153,$BA$2:$BA$201,"&lt;"&amp;BA153)=0,1,0),0)</f>
        <v>0</v>
      </c>
      <c r="EF153" s="23" t="n">
        <f aca="false">IF(BC153=1,IF(COUNTIFS($AZ$2:$AZ$201,AZ153,$EE$2:$EE$201,1)&gt;1,1,0),0)</f>
        <v>0</v>
      </c>
      <c r="EG153" s="23" t="n">
        <f aca="false">IF(AND(CQ153=1),IF(COUNTIFS($AZ$2:$AZ$201,AZ153,$CQ$2:$CQ$201,1,$H$2:$H$201,"&gt;"&amp;H153)+COUNTIFS($AZ$2:$AZ$201,AZ153,$CQ$2:$CQ$201,1,$H$2:$H$201,H153,$BA$2:$BA$201,"&gt;"&amp;BA153)=0,1,0),0)</f>
        <v>0</v>
      </c>
      <c r="EH153" s="23" t="str">
        <f aca="false">IF(BB153=1,IF(COUNTIFS($AZ$2:$AZ$201,AZ153,$EG$2:$EG$201,1)=0,"",SUMIFS($O$2:$O$201,$AZ$2:$AZ$201,AZ153,$EG$2:$EG$201,1)),"")</f>
        <v/>
      </c>
      <c r="EI153" s="23" t="n">
        <f aca="false">IF(AND(ISNUMBER(EH153),OR(N(EH153)&lt;Config!$B$31,N(EH153)&gt;Config!$B$33)),1,0)</f>
        <v>0</v>
      </c>
      <c r="EJ153" s="23" t="n">
        <f aca="false">IF(AND(ISNUMBER(EH153),N(EH153)&gt;=Config!$B$31,N(EH153)&lt;Config!$B$32),1,0)</f>
        <v>0</v>
      </c>
      <c r="EK153" s="23" t="n">
        <f aca="false">IF(AND(BF153=1,INT(N(H153))&lt;=Config!$B$6,DH153=1,EI153=1),1,0)</f>
        <v>0</v>
      </c>
      <c r="EL153" s="23" t="n">
        <f aca="false">IF(AND(BF153=1,INT(N(H153))&lt;=Config!$B$7,DI153=1,EI153=1),1,0)</f>
        <v>0</v>
      </c>
      <c r="EM153" s="23" t="n">
        <f aca="false">IF(AND(BF153=1,INT(N(H153))&lt;=Config!$B$8,DJ153=1,EI153=1),1,0)</f>
        <v>0</v>
      </c>
      <c r="EN153" s="23" t="n">
        <f aca="false">IF(AND(BF153=1,INT(N(H153))&lt;=Config!$B$5,DK153=1,EI153=1),1,0)</f>
        <v>0</v>
      </c>
      <c r="EO153" s="23" t="n">
        <f aca="false">IF(AND(DL153=1,EJ153=1),1,0)</f>
        <v>0</v>
      </c>
      <c r="EP153" s="23" t="n">
        <f aca="false">IF(AND(DM153=1,EJ153=1),1,0)</f>
        <v>0</v>
      </c>
      <c r="EQ153" s="23" t="n">
        <f aca="false">IF(AND(DN153=1,EJ153=1),1,0)</f>
        <v>0</v>
      </c>
      <c r="ER153" s="23" t="n">
        <f aca="false">IF(AND(DO153=1,EJ153=1),1,0)</f>
        <v>0</v>
      </c>
    </row>
    <row r="154" customFormat="false" ht="15" hidden="false" customHeight="false" outlineLevel="0" collapsed="false">
      <c r="G154" s="32"/>
      <c r="H154" s="33"/>
      <c r="I154" s="32"/>
      <c r="L154" s="32"/>
      <c r="Q154" s="32"/>
      <c r="U154" s="32"/>
      <c r="W154" s="32"/>
      <c r="AC154" s="32"/>
      <c r="AF154" s="32"/>
      <c r="AI154" s="32"/>
      <c r="AJ154" s="32"/>
      <c r="AN154" s="32"/>
      <c r="AR154" s="32"/>
      <c r="AT154" s="32"/>
      <c r="AU154" s="32"/>
      <c r="AW154" s="32"/>
      <c r="AY154" s="34" t="str">
        <f aca="false">IF(TRIM($A154)="","",IF(AND(LEFT($A154,6)="SAMPLE",Config!$B$19&lt;&gt;"Y"),"",IF(NOT(ISNUMBER(H154)),"call_date is blank or not a date",IF(Sync!$C$5="","Clay paste is empty or has no row_id column: paste the Clay export on Clay_Offices",IF(CW154="","row_id not found in the Clay paste: add the Clay row or fix the row_id",IF(AND(ISNUMBER(CY154),CY154&gt;=1,CY154&lt;=5),"Clay status is "&amp;CX154&amp;": set call_done or later",IF(AND(BD154=1,CZ154&lt;&gt;BZ154),"Clay yes_in_principle should be "&amp;BZ154,IF(AND(BD154=1,DA154&lt;&gt;H154),"Clay call_date should be "&amp;TEXT(H154,"yyyy-mm-dd"),""))))))))</f>
        <v/>
      </c>
      <c r="AZ154" s="23" t="str">
        <f aca="false">IF(TRIM($A154)="","",IF(TRIM(C154)&lt;&gt;"",SUBSTITUTE(SUBSTITUTE(SUBSTITUTE(SUBSTITUTE(SUBSTITUTE(SUBSTITUTE(LOWER(TRIM(C154)),"~",""),"*",""),"?",""),"&lt;",""),"&gt;",""),"=",""),IF(EA154&lt;&gt;"",EA154,IFERROR(INDEX($EA$2:$EA$201,MATCH(DZ154,$EB$2:$EB$201,0)),DZ154))))</f>
        <v/>
      </c>
      <c r="BA154" s="23" t="n">
        <f aca="false">ROW()</f>
        <v>154</v>
      </c>
      <c r="BB154" s="23" t="n">
        <f aca="false">IF(AND(TRIM($A154)&lt;&gt;"",ISNUMBER(H154)),IF(AND(LEFT($A154,6)="SAMPLE",Config!$B$19&lt;&gt;"Y"),0,1),0)</f>
        <v>0</v>
      </c>
      <c r="BC154" s="23" t="n">
        <f aca="false">IF(BB154=1,IF(COUNTIFS($AZ$2:$AZ$201,AZ154,$BB$2:$BB$201,1,$H$2:$H$201,"&lt;"&amp;H154)+COUNTIFS($AZ$2:$AZ$201,AZ154,$BB$2:$BB$201,1,$H$2:$H$201,H154,$BA$2:$BA$201,"&lt;"&amp;BA154)=0,1,0),0)</f>
        <v>0</v>
      </c>
      <c r="BD154" s="23" t="n">
        <f aca="false">IF(BB154=1,IF(COUNTIFS($A$2:$A$201,$A154,$BB$2:$BB$201,1,$H$2:$H$201,"&gt;"&amp;H154)+COUNTIFS($A$2:$A$201,$A154,$BB$2:$BB$201,1,$H$2:$H$201,H154,$BA$2:$BA$201,"&gt;"&amp;BA154)=0,1,0),0)</f>
        <v>0</v>
      </c>
      <c r="BE154" s="23" t="n">
        <f aca="false">IF(AND(BB154=1,AR154="Y",AC154="Y",TRIM(AH154)&lt;&gt;""),1,0)</f>
        <v>0</v>
      </c>
      <c r="BF154" s="23" t="n">
        <f aca="false">IF(BE154=1,IF(COUNTIFS($AZ$2:$AZ$201,AZ154,$BE$2:$BE$201,1,$H$2:$H$201,"&lt;"&amp;H154)+COUNTIFS($AZ$2:$AZ$201,AZ154,$BE$2:$BE$201,1,$H$2:$H$201,H154,$BA$2:$BA$201,"&lt;"&amp;BA154)=0,1,0),0)</f>
        <v>0</v>
      </c>
      <c r="BG154" s="23" t="n">
        <f aca="false">IF(AND(BB154=1,AR154="Y",BE154=0),1,0)</f>
        <v>0</v>
      </c>
      <c r="BH154" s="23" t="n">
        <f aca="false">IF(AND(BB154=1,ISNUMBER(Y154)),1,0)</f>
        <v>0</v>
      </c>
      <c r="BI154" s="23" t="n">
        <f aca="false">IF(BH154=1,IF(COUNTIFS($AZ$2:$AZ$201,AZ154,$BH$2:$BH$201,1,$H$2:$H$201,"&lt;"&amp;H154)+COUNTIFS($AZ$2:$AZ$201,AZ154,$BH$2:$BH$201,1,$H$2:$H$201,H154,$BA$2:$BA$201,"&lt;"&amp;BA154)=0,1,0),0)</f>
        <v>0</v>
      </c>
      <c r="BJ154" s="23" t="str">
        <f aca="false">IF(AND(BI154=1,INT(N(H154))&lt;=Config!$B$6),Y154,"")</f>
        <v/>
      </c>
      <c r="BK154" s="23" t="str">
        <f aca="false">IF(AND(BI154=1,INT(N(H154))&lt;=Config!$B$7),Y154,"")</f>
        <v/>
      </c>
      <c r="BL154" s="23" t="str">
        <f aca="false">IF(AND(BI154=1,INT(N(H154))&lt;=Config!$B$8),Y154,"")</f>
        <v/>
      </c>
      <c r="BM154" s="23" t="str">
        <f aca="false">IF(AND(BI154=1,INT(N(H154))&lt;=Config!$B$5),Y154,"")</f>
        <v/>
      </c>
      <c r="BN154" s="23" t="n">
        <f aca="false">IF(CD154=1,IF(COUNTIFS($AZ$2:$AZ$201,AZ154,$CD$2:$CD$201,1,$H$2:$H$201,"&lt;"&amp;H154)+COUNTIFS($AZ$2:$AZ$201,AZ154,$CD$2:$CD$201,1,$H$2:$H$201,H154,$BA$2:$BA$201,"&lt;"&amp;BA154)=0,1,0),0)</f>
        <v>0</v>
      </c>
      <c r="BO154" s="23" t="n">
        <f aca="false">IF(AND(BB154=1,ISNUMBER(M154)),1,0)</f>
        <v>0</v>
      </c>
      <c r="BP154" s="23" t="n">
        <f aca="false">IF(BO154=1,IF(COUNTIFS($AZ$2:$AZ$201,AZ154,$BO$2:$BO$201,1,$H$2:$H$201,"&lt;"&amp;H154)+COUNTIFS($AZ$2:$AZ$201,AZ154,$BO$2:$BO$201,1,$H$2:$H$201,H154,$BA$2:$BA$201,"&lt;"&amp;BA154)=0,1,0),0)</f>
        <v>0</v>
      </c>
      <c r="BQ154" s="23" t="str">
        <f aca="false">IF(AND(BP154=1,INT(N(H154))&lt;=Config!$B$5),M154,"")</f>
        <v/>
      </c>
      <c r="BR154" s="23" t="n">
        <f aca="false">IF(AND(BB154=1,OR(TRIM(X154)&lt;&gt;"",ISNUMBER(Y154))),1,0)</f>
        <v>0</v>
      </c>
      <c r="BS154" s="23" t="n">
        <f aca="false">IF(BR154=1,IF(COUNTIFS($AZ$2:$AZ$201,AZ154,$BR$2:$BR$201,1,$H$2:$H$201,"&lt;"&amp;H154)+COUNTIFS($AZ$2:$AZ$201,AZ154,$BR$2:$BR$201,1,$H$2:$H$201,H154,$BA$2:$BA$201,"&lt;"&amp;BA154)=0,1,0),0)</f>
        <v>0</v>
      </c>
      <c r="BT154" s="23" t="str">
        <f aca="false">IF(BS154=1,AZ154,"")</f>
        <v/>
      </c>
      <c r="BU154" s="23" t="n">
        <f aca="false">IF(AND(BB154=1,W154="Y",TRIM(X154)=""),1,0)</f>
        <v>0</v>
      </c>
      <c r="BV154" s="23" t="str">
        <f aca="false">IF(BB154=1,AN154&amp;"","")</f>
        <v/>
      </c>
      <c r="BW154" s="23" t="str">
        <f aca="false">IF(BB154=1,AO154&amp;"","")</f>
        <v/>
      </c>
      <c r="BX154" s="23" t="str">
        <f aca="false">IF(BB154=1,AP154&amp;"","")</f>
        <v/>
      </c>
      <c r="BY154" s="23" t="str">
        <f aca="false">IF(AND(BB154=1,ISNUMBER(AV154),INT(N(H154))&lt;=Config!$B$5),AV154,"")</f>
        <v/>
      </c>
      <c r="BZ154" s="23" t="str">
        <f aca="false">IF(BB154=1,IF(COUNTIFS($A$2:$A$201,$A154,$DC$2:$DC$201,1,$AR$2:$AR$201,"Y")&gt;0,"Y","N"),"")</f>
        <v/>
      </c>
      <c r="CA154" s="23" t="n">
        <f aca="false">IF(AND(BB154=1,AR154="maybe"),1,0)</f>
        <v>0</v>
      </c>
      <c r="CB154" s="23" t="n">
        <f aca="false">IF(CA154=1,IF(COUNTIFS($AZ$2:$AZ$201,AZ154,$CA$2:$CA$201,1,$H$2:$H$201,"&lt;"&amp;H154)+COUNTIFS($AZ$2:$AZ$201,AZ154,$CA$2:$CA$201,1,$H$2:$H$201,H154,$BA$2:$BA$201,"&lt;"&amp;BA154)=0,1,0),0)</f>
        <v>0</v>
      </c>
      <c r="CC154" s="23" t="n">
        <f aca="false">IF(AND(BB154=1,AR154="Y"),IF(COUNTIFS($AZ$2:$AZ$201,AZ154,$AR$2:$AR$201,"Y",$BB$2:$BB$201,1,$H$2:$H$201,"&lt;"&amp;H154)+COUNTIFS($AZ$2:$AZ$201,AZ154,$AR$2:$AR$201,"Y",$BB$2:$BB$201,1,$H$2:$H$201,H154,$BA$2:$BA$201,"&lt;"&amp;BA154)=0,1,0),0)</f>
        <v>0</v>
      </c>
      <c r="CD154" s="23" t="n">
        <f aca="false">IF(AND(BH154=1,N(Y154)&gt;=Config!$B$15),1,0)</f>
        <v>0</v>
      </c>
      <c r="CE154" s="23" t="n">
        <f aca="false">IF(AND(BB154=1,AT154="Y"),1,0)</f>
        <v>0</v>
      </c>
      <c r="CF154" s="23" t="n">
        <f aca="false">IF(CE154=1,IF(COUNTIFS($AZ$2:$AZ$201,AZ154,$CE$2:$CE$201,1,$H$2:$H$201,"&lt;"&amp;H154)+COUNTIFS($AZ$2:$AZ$201,AZ154,$CE$2:$CE$201,1,$H$2:$H$201,H154,$BA$2:$BA$201,"&lt;"&amp;BA154)=0,1,0),0)</f>
        <v>0</v>
      </c>
      <c r="CG154" s="23" t="n">
        <f aca="false">IF(AND(BB154=1,G154="warm-intro"),1,0)</f>
        <v>0</v>
      </c>
      <c r="CH154" s="23" t="n">
        <f aca="false">IF(CG154=1,IF(COUNTIFS($AZ$2:$AZ$201,AZ154,$CG$2:$CG$201,1,$H$2:$H$201,"&lt;"&amp;H154)+COUNTIFS($AZ$2:$AZ$201,AZ154,$CG$2:$CG$201,1,$H$2:$H$201,H154,$BA$2:$BA$201,"&lt;"&amp;BA154)=0,1,0),0)</f>
        <v>0</v>
      </c>
      <c r="CI154" s="23" t="n">
        <f aca="false">IF(AND(BB154=1,Q154="Y"),1,0)</f>
        <v>0</v>
      </c>
      <c r="CJ154" s="23" t="n">
        <f aca="false">IF(CI154=1,IF(COUNTIFS($AZ$2:$AZ$201,AZ154,$CI$2:$CI$201,1,$H$2:$H$201,"&lt;"&amp;H154)+COUNTIFS($AZ$2:$AZ$201,AZ154,$CI$2:$CI$201,1,$H$2:$H$201,H154,$BA$2:$BA$201,"&lt;"&amp;BA154)=0,1,0),0)</f>
        <v>0</v>
      </c>
      <c r="CK154" s="23" t="n">
        <f aca="false">IF(AND(BB154=1,AF154="Y"),1,0)</f>
        <v>0</v>
      </c>
      <c r="CL154" s="23" t="n">
        <f aca="false">IF(CK154=1,IF(COUNTIFS($AZ$2:$AZ$201,AZ154,$CK$2:$CK$201,1,$H$2:$H$201,"&lt;"&amp;H154)+COUNTIFS($AZ$2:$AZ$201,AZ154,$CK$2:$CK$201,1,$H$2:$H$201,H154,$BA$2:$BA$201,"&lt;"&amp;BA154)=0,1,0),0)</f>
        <v>0</v>
      </c>
      <c r="CM154" s="23" t="n">
        <f aca="false">IF(AND(BB154=1,U154="Y"),1,0)</f>
        <v>0</v>
      </c>
      <c r="CN154" s="23" t="n">
        <f aca="false">IF(CM154=1,IF(COUNTIFS($AZ$2:$AZ$201,AZ154,$CM$2:$CM$201,1,$H$2:$H$201,"&lt;"&amp;H154)+COUNTIFS($AZ$2:$AZ$201,AZ154,$CM$2:$CM$201,1,$H$2:$H$201,H154,$BA$2:$BA$201,"&lt;"&amp;BA154)=0,1,0),0)</f>
        <v>0</v>
      </c>
      <c r="CO154" s="23" t="n">
        <f aca="false">IF(AND(BB154=1,L154="Y"),1,0)</f>
        <v>0</v>
      </c>
      <c r="CP154" s="23" t="n">
        <f aca="false">IF(CO154=1,IF(COUNTIFS($AZ$2:$AZ$201,AZ154,$CO$2:$CO$201,1,$H$2:$H$201,"&lt;"&amp;H154)+COUNTIFS($AZ$2:$AZ$201,AZ154,$CO$2:$CO$201,1,$H$2:$H$201,H154,$BA$2:$BA$201,"&lt;"&amp;BA154)=0,1,0),0)</f>
        <v>0</v>
      </c>
      <c r="CQ154" s="23" t="n">
        <f aca="false">IF(AND(BB154=1,ISNUMBER(O154)),1,0)</f>
        <v>0</v>
      </c>
      <c r="CR154" s="23" t="n">
        <f aca="false">IF(CQ154=1,IF(COUNTIFS($AZ$2:$AZ$201,AZ154,$CQ$2:$CQ$201,1,$H$2:$H$201,"&lt;"&amp;H154)+COUNTIFS($AZ$2:$AZ$201,AZ154,$CQ$2:$CQ$201,1,$H$2:$H$201,H154,$BA$2:$BA$201,"&lt;"&amp;BA154)=0,1,0),0)</f>
        <v>0</v>
      </c>
      <c r="CS154" s="23" t="str">
        <f aca="false">IF(AND(CR154=1,INT(N(H154))&lt;=Config!$B$5),O154,"")</f>
        <v/>
      </c>
      <c r="CT154" s="23" t="str">
        <f aca="false">IF(AND(BB154=1,INT(N(H154))&lt;=Config!$B$5),AG154&amp;"","")</f>
        <v/>
      </c>
      <c r="CU154" s="23" t="n">
        <f aca="false">IF(AND(BB154=1,AU154="Y"),1,0)</f>
        <v>0</v>
      </c>
      <c r="CV154" s="23" t="n">
        <f aca="false">IF(CU154=1,IF(COUNTIFS($AZ$2:$AZ$201,AZ154,$CU$2:$CU$201,1,$H$2:$H$201,"&lt;"&amp;H154)+COUNTIFS($AZ$2:$AZ$201,AZ154,$CU$2:$CU$201,1,$H$2:$H$201,H154,$BA$2:$BA$201,"&lt;"&amp;BA154)=0,1,0),0)</f>
        <v>0</v>
      </c>
      <c r="CW154" s="23" t="str">
        <f aca="false">IF(BB154=1,IFERROR(MATCH($A154,INDEX(Clay_Offices!$A$2:$FZ$601,0,Sync!$C$5),0),""),"")</f>
        <v/>
      </c>
      <c r="CX154" s="23" t="str">
        <f aca="false">IF(CW154="","",IFERROR(INDEX(Clay_Offices!$A$2:$FZ$601,CW154,Sync!$C$7)&amp;"",""))</f>
        <v/>
      </c>
      <c r="CY154" s="23" t="str">
        <f aca="false">IF(CX154="","",IFERROR(INDEX(Lists!$K$2:$K$15,MATCH(CX154,Lists!$J$2:$J$15,0)),""))</f>
        <v/>
      </c>
      <c r="CZ154" s="23" t="str">
        <f aca="false">IF(CW154="","",IFERROR(INDEX(Clay_Offices!$A$2:$FZ$601,CW154,Sync!$C$17)&amp;"",""))</f>
        <v/>
      </c>
      <c r="DA154" s="35" t="str">
        <f aca="false">IF(CW154="","",IFERROR(N(INDEX(Clay_Offices!$A$2:$FZ$601,CW154,Sync!$C$16)),0))</f>
        <v/>
      </c>
      <c r="DB154" s="23" t="n">
        <f aca="false">IF(AND(BB154=1,OR(AR154="Y",AR154="N",AR154="maybe")),1,0)</f>
        <v>0</v>
      </c>
      <c r="DC154" s="23" t="n">
        <f aca="false">IF(AND(DB154=1),IF(COUNTIFS($A$2:$A$201,$A154,$DB$2:$DB$201,1,$H$2:$H$201,"&gt;"&amp;H154)+COUNTIFS($A$2:$A$201,$A154,$DB$2:$DB$201,1,$H$2:$H$201,H154,$BA$2:$BA$201,"&gt;"&amp;BA154)=0,1,0),0)</f>
        <v>0</v>
      </c>
      <c r="DD154" s="23" t="n">
        <f aca="false">IF(AND(DB154=1,INT(N(H154))&lt;=Config!$B$6),IF(COUNTIFS($AZ$2:$AZ$201,AZ154,$DB$2:$DB$201,1,$H$2:$H$201,"&gt;"&amp;H154,$H$2:$H$201,"&lt;"&amp;(Config!$B$6+1))+COUNTIFS($AZ$2:$AZ$201,AZ154,$DB$2:$DB$201,1,$H$2:$H$201,H154,$BA$2:$BA$201,"&gt;"&amp;BA154)=0,1,0),0)</f>
        <v>0</v>
      </c>
      <c r="DE154" s="23" t="n">
        <f aca="false">IF(AND(DB154=1,INT(N(H154))&lt;=Config!$B$7),IF(COUNTIFS($AZ$2:$AZ$201,AZ154,$DB$2:$DB$201,1,$H$2:$H$201,"&gt;"&amp;H154,$H$2:$H$201,"&lt;"&amp;(Config!$B$7+1))+COUNTIFS($AZ$2:$AZ$201,AZ154,$DB$2:$DB$201,1,$H$2:$H$201,H154,$BA$2:$BA$201,"&gt;"&amp;BA154)=0,1,0),0)</f>
        <v>0</v>
      </c>
      <c r="DF154" s="23" t="n">
        <f aca="false">IF(AND(DB154=1,INT(N(H154))&lt;=Config!$B$8),IF(COUNTIFS($AZ$2:$AZ$201,AZ154,$DB$2:$DB$201,1,$H$2:$H$201,"&gt;"&amp;H154,$H$2:$H$201,"&lt;"&amp;(Config!$B$8+1))+COUNTIFS($AZ$2:$AZ$201,AZ154,$DB$2:$DB$201,1,$H$2:$H$201,H154,$BA$2:$BA$201,"&gt;"&amp;BA154)=0,1,0),0)</f>
        <v>0</v>
      </c>
      <c r="DG154" s="23" t="n">
        <f aca="false">IF(AND(DB154=1,INT(N(H154))&lt;=Config!$B$5),IF(COUNTIFS($AZ$2:$AZ$201,AZ154,$DB$2:$DB$201,1,$H$2:$H$201,"&gt;"&amp;H154,$H$2:$H$201,"&lt;"&amp;(Config!$B$5+1))+COUNTIFS($AZ$2:$AZ$201,AZ154,$DB$2:$DB$201,1,$H$2:$H$201,H154,$BA$2:$BA$201,"&gt;"&amp;BA154)=0,1,0),0)</f>
        <v>0</v>
      </c>
      <c r="DH154" s="23" t="n">
        <f aca="false">IF(BB154=1,IF(COUNTIFS($AZ$2:$AZ$201,AZ154,$DD$2:$DD$201,1,$AR$2:$AR$201,"Y")&gt;0,1,0),0)</f>
        <v>0</v>
      </c>
      <c r="DI154" s="23" t="n">
        <f aca="false">IF(BB154=1,IF(COUNTIFS($AZ$2:$AZ$201,AZ154,$DE$2:$DE$201,1,$AR$2:$AR$201,"Y")&gt;0,1,0),0)</f>
        <v>0</v>
      </c>
      <c r="DJ154" s="23" t="n">
        <f aca="false">IF(BB154=1,IF(COUNTIFS($AZ$2:$AZ$201,AZ154,$DF$2:$DF$201,1,$AR$2:$AR$201,"Y")&gt;0,1,0),0)</f>
        <v>0</v>
      </c>
      <c r="DK154" s="23" t="n">
        <f aca="false">IF(BB154=1,IF(COUNTIFS($AZ$2:$AZ$201,AZ154,$DG$2:$DG$201,1,$AR$2:$AR$201,"Y")&gt;0,1,0),0)</f>
        <v>0</v>
      </c>
      <c r="DL154" s="23" t="n">
        <f aca="false">IF(AND(BF154=1,INT(N(H154))&lt;=Config!$B$6,DH154=1,EI154=0),1,0)</f>
        <v>0</v>
      </c>
      <c r="DM154" s="23" t="n">
        <f aca="false">IF(AND(BF154=1,INT(N(H154))&lt;=Config!$B$7,DI154=1,EI154=0),1,0)</f>
        <v>0</v>
      </c>
      <c r="DN154" s="23" t="n">
        <f aca="false">IF(AND(BF154=1,INT(N(H154))&lt;=Config!$B$8,DJ154=1,EI154=0),1,0)</f>
        <v>0</v>
      </c>
      <c r="DO154" s="23" t="n">
        <f aca="false">IF(AND(BF154=1,INT(N(H154))&lt;=Config!$B$5,DK154=1,EI154=0),1,0)</f>
        <v>0</v>
      </c>
      <c r="DP154" s="23" t="n">
        <f aca="false">IF(AND(CC154=1,INT(N(H154))&lt;=Config!$B$6,DH154=1,EI154=0),1,0)</f>
        <v>0</v>
      </c>
      <c r="DQ154" s="23" t="n">
        <f aca="false">IF(AND(CC154=1,INT(N(H154))&lt;=Config!$B$7,DI154=1,EI154=0),1,0)</f>
        <v>0</v>
      </c>
      <c r="DR154" s="23" t="n">
        <f aca="false">IF(AND(CC154=1,INT(N(H154))&lt;=Config!$B$8,DJ154=1,EI154=0),1,0)</f>
        <v>0</v>
      </c>
      <c r="DS154" s="23" t="n">
        <f aca="false">IF(AND(CC154=1,INT(N(H154))&lt;=Config!$B$5,DK154=1,EI154=0),1,0)</f>
        <v>0</v>
      </c>
      <c r="DT154" s="23" t="n">
        <f aca="false">IF(AND(CC154=1,INT(N(H154))&lt;=Config!$B$6,DH154=0),1,0)</f>
        <v>0</v>
      </c>
      <c r="DU154" s="23" t="n">
        <f aca="false">IF(AND(CC154=1,INT(N(H154))&lt;=Config!$B$7,DI154=0),1,0)</f>
        <v>0</v>
      </c>
      <c r="DV154" s="23" t="n">
        <f aca="false">IF(AND(CC154=1,INT(N(H154))&lt;=Config!$B$8,DJ154=0),1,0)</f>
        <v>0</v>
      </c>
      <c r="DW154" s="23" t="n">
        <f aca="false">IF(AND(CC154=1,INT(N(H154))&lt;=Config!$B$5,DK154=0),1,0)</f>
        <v>0</v>
      </c>
      <c r="DX154" s="23" t="n">
        <f aca="false">IF(TRIM($A154)="",0,ISTEXT(M154)+ISTEXT(O154)+ISTEXT(Y154)+ISTEXT(Z154)+ISTEXT(AA154)+ISTEXT(AV154))</f>
        <v>0</v>
      </c>
      <c r="DY154" s="23" t="n">
        <f aca="false">IF(BB154=1,IF(H154&lt;&gt;INT(H154),1,0),0)</f>
        <v>0</v>
      </c>
      <c r="DZ154" s="23" t="str">
        <f aca="false">IF(TRIM($A154)="","",IF(TRIM(B154)="",SUBSTITUTE(SUBSTITUTE(SUBSTITUTE(SUBSTITUTE(SUBSTITUTE(SUBSTITUTE(LOWER(TRIM($A154)),"~",""),"*",""),"?",""),"&lt;",""),"&gt;",""),"=",""),SUBSTITUTE(SUBSTITUTE(SUBSTITUTE(SUBSTITUTE(SUBSTITUTE(SUBSTITUTE(LOWER(TRIM(B154)),"~",""),"*",""),"?",""),"&lt;",""),"&gt;",""),"=","")))</f>
        <v/>
      </c>
      <c r="EA154" s="23" t="str">
        <f aca="false">IF(CW154="","",IFERROR(IF(LEFT(LOWER(TRIM(INDEX(Clay_Offices!$A$2:$FZ$601,CW154,Sync!$C$19)&amp;"")),4)="grp-",SUBSTITUTE(SUBSTITUTE(SUBSTITUTE(SUBSTITUTE(SUBSTITUTE(SUBSTITUTE(LOWER(TRIM(INDEX(Clay_Offices!$A$2:$FZ$601,CW154,Sync!$C$19)&amp;"")),"~",""),"*",""),"?",""),"&lt;",""),"&gt;",""),"=",""),""),""))</f>
        <v/>
      </c>
      <c r="EB154" s="23" t="str">
        <f aca="false">IF(EA154&lt;&gt;"",DZ154,"")</f>
        <v/>
      </c>
      <c r="EC154" s="23" t="str">
        <f aca="false">IF(BC154=1,AZ154,"")</f>
        <v/>
      </c>
      <c r="ED154" s="23" t="str">
        <f aca="false">IF(TRIM($A154)="","",IFERROR(INDEX($A$2:$A$201,MATCH(AZ154,$EC$2:$EC$201,0))&amp;"",$A154&amp;""))</f>
        <v/>
      </c>
      <c r="EE154" s="23" t="n">
        <f aca="false">IF(BB154=1,IF(COUNTIFS($A$2:$A$201,$A154,$BB$2:$BB$201,1,$H$2:$H$201,"&lt;"&amp;H154)+COUNTIFS($A$2:$A$201,$A154,$BB$2:$BB$201,1,$H$2:$H$201,H154,$BA$2:$BA$201,"&lt;"&amp;BA154)=0,1,0),0)</f>
        <v>0</v>
      </c>
      <c r="EF154" s="23" t="n">
        <f aca="false">IF(BC154=1,IF(COUNTIFS($AZ$2:$AZ$201,AZ154,$EE$2:$EE$201,1)&gt;1,1,0),0)</f>
        <v>0</v>
      </c>
      <c r="EG154" s="23" t="n">
        <f aca="false">IF(AND(CQ154=1),IF(COUNTIFS($AZ$2:$AZ$201,AZ154,$CQ$2:$CQ$201,1,$H$2:$H$201,"&gt;"&amp;H154)+COUNTIFS($AZ$2:$AZ$201,AZ154,$CQ$2:$CQ$201,1,$H$2:$H$201,H154,$BA$2:$BA$201,"&gt;"&amp;BA154)=0,1,0),0)</f>
        <v>0</v>
      </c>
      <c r="EH154" s="23" t="str">
        <f aca="false">IF(BB154=1,IF(COUNTIFS($AZ$2:$AZ$201,AZ154,$EG$2:$EG$201,1)=0,"",SUMIFS($O$2:$O$201,$AZ$2:$AZ$201,AZ154,$EG$2:$EG$201,1)),"")</f>
        <v/>
      </c>
      <c r="EI154" s="23" t="n">
        <f aca="false">IF(AND(ISNUMBER(EH154),OR(N(EH154)&lt;Config!$B$31,N(EH154)&gt;Config!$B$33)),1,0)</f>
        <v>0</v>
      </c>
      <c r="EJ154" s="23" t="n">
        <f aca="false">IF(AND(ISNUMBER(EH154),N(EH154)&gt;=Config!$B$31,N(EH154)&lt;Config!$B$32),1,0)</f>
        <v>0</v>
      </c>
      <c r="EK154" s="23" t="n">
        <f aca="false">IF(AND(BF154=1,INT(N(H154))&lt;=Config!$B$6,DH154=1,EI154=1),1,0)</f>
        <v>0</v>
      </c>
      <c r="EL154" s="23" t="n">
        <f aca="false">IF(AND(BF154=1,INT(N(H154))&lt;=Config!$B$7,DI154=1,EI154=1),1,0)</f>
        <v>0</v>
      </c>
      <c r="EM154" s="23" t="n">
        <f aca="false">IF(AND(BF154=1,INT(N(H154))&lt;=Config!$B$8,DJ154=1,EI154=1),1,0)</f>
        <v>0</v>
      </c>
      <c r="EN154" s="23" t="n">
        <f aca="false">IF(AND(BF154=1,INT(N(H154))&lt;=Config!$B$5,DK154=1,EI154=1),1,0)</f>
        <v>0</v>
      </c>
      <c r="EO154" s="23" t="n">
        <f aca="false">IF(AND(DL154=1,EJ154=1),1,0)</f>
        <v>0</v>
      </c>
      <c r="EP154" s="23" t="n">
        <f aca="false">IF(AND(DM154=1,EJ154=1),1,0)</f>
        <v>0</v>
      </c>
      <c r="EQ154" s="23" t="n">
        <f aca="false">IF(AND(DN154=1,EJ154=1),1,0)</f>
        <v>0</v>
      </c>
      <c r="ER154" s="23" t="n">
        <f aca="false">IF(AND(DO154=1,EJ154=1),1,0)</f>
        <v>0</v>
      </c>
    </row>
    <row r="155" customFormat="false" ht="15" hidden="false" customHeight="false" outlineLevel="0" collapsed="false">
      <c r="G155" s="32"/>
      <c r="H155" s="33"/>
      <c r="I155" s="32"/>
      <c r="L155" s="32"/>
      <c r="Q155" s="32"/>
      <c r="U155" s="32"/>
      <c r="W155" s="32"/>
      <c r="AC155" s="32"/>
      <c r="AF155" s="32"/>
      <c r="AI155" s="32"/>
      <c r="AJ155" s="32"/>
      <c r="AN155" s="32"/>
      <c r="AR155" s="32"/>
      <c r="AT155" s="32"/>
      <c r="AU155" s="32"/>
      <c r="AW155" s="32"/>
      <c r="AY155" s="34" t="str">
        <f aca="false">IF(TRIM($A155)="","",IF(AND(LEFT($A155,6)="SAMPLE",Config!$B$19&lt;&gt;"Y"),"",IF(NOT(ISNUMBER(H155)),"call_date is blank or not a date",IF(Sync!$C$5="","Clay paste is empty or has no row_id column: paste the Clay export on Clay_Offices",IF(CW155="","row_id not found in the Clay paste: add the Clay row or fix the row_id",IF(AND(ISNUMBER(CY155),CY155&gt;=1,CY155&lt;=5),"Clay status is "&amp;CX155&amp;": set call_done or later",IF(AND(BD155=1,CZ155&lt;&gt;BZ155),"Clay yes_in_principle should be "&amp;BZ155,IF(AND(BD155=1,DA155&lt;&gt;H155),"Clay call_date should be "&amp;TEXT(H155,"yyyy-mm-dd"),""))))))))</f>
        <v/>
      </c>
      <c r="AZ155" s="23" t="str">
        <f aca="false">IF(TRIM($A155)="","",IF(TRIM(C155)&lt;&gt;"",SUBSTITUTE(SUBSTITUTE(SUBSTITUTE(SUBSTITUTE(SUBSTITUTE(SUBSTITUTE(LOWER(TRIM(C155)),"~",""),"*",""),"?",""),"&lt;",""),"&gt;",""),"=",""),IF(EA155&lt;&gt;"",EA155,IFERROR(INDEX($EA$2:$EA$201,MATCH(DZ155,$EB$2:$EB$201,0)),DZ155))))</f>
        <v/>
      </c>
      <c r="BA155" s="23" t="n">
        <f aca="false">ROW()</f>
        <v>155</v>
      </c>
      <c r="BB155" s="23" t="n">
        <f aca="false">IF(AND(TRIM($A155)&lt;&gt;"",ISNUMBER(H155)),IF(AND(LEFT($A155,6)="SAMPLE",Config!$B$19&lt;&gt;"Y"),0,1),0)</f>
        <v>0</v>
      </c>
      <c r="BC155" s="23" t="n">
        <f aca="false">IF(BB155=1,IF(COUNTIFS($AZ$2:$AZ$201,AZ155,$BB$2:$BB$201,1,$H$2:$H$201,"&lt;"&amp;H155)+COUNTIFS($AZ$2:$AZ$201,AZ155,$BB$2:$BB$201,1,$H$2:$H$201,H155,$BA$2:$BA$201,"&lt;"&amp;BA155)=0,1,0),0)</f>
        <v>0</v>
      </c>
      <c r="BD155" s="23" t="n">
        <f aca="false">IF(BB155=1,IF(COUNTIFS($A$2:$A$201,$A155,$BB$2:$BB$201,1,$H$2:$H$201,"&gt;"&amp;H155)+COUNTIFS($A$2:$A$201,$A155,$BB$2:$BB$201,1,$H$2:$H$201,H155,$BA$2:$BA$201,"&gt;"&amp;BA155)=0,1,0),0)</f>
        <v>0</v>
      </c>
      <c r="BE155" s="23" t="n">
        <f aca="false">IF(AND(BB155=1,AR155="Y",AC155="Y",TRIM(AH155)&lt;&gt;""),1,0)</f>
        <v>0</v>
      </c>
      <c r="BF155" s="23" t="n">
        <f aca="false">IF(BE155=1,IF(COUNTIFS($AZ$2:$AZ$201,AZ155,$BE$2:$BE$201,1,$H$2:$H$201,"&lt;"&amp;H155)+COUNTIFS($AZ$2:$AZ$201,AZ155,$BE$2:$BE$201,1,$H$2:$H$201,H155,$BA$2:$BA$201,"&lt;"&amp;BA155)=0,1,0),0)</f>
        <v>0</v>
      </c>
      <c r="BG155" s="23" t="n">
        <f aca="false">IF(AND(BB155=1,AR155="Y",BE155=0),1,0)</f>
        <v>0</v>
      </c>
      <c r="BH155" s="23" t="n">
        <f aca="false">IF(AND(BB155=1,ISNUMBER(Y155)),1,0)</f>
        <v>0</v>
      </c>
      <c r="BI155" s="23" t="n">
        <f aca="false">IF(BH155=1,IF(COUNTIFS($AZ$2:$AZ$201,AZ155,$BH$2:$BH$201,1,$H$2:$H$201,"&lt;"&amp;H155)+COUNTIFS($AZ$2:$AZ$201,AZ155,$BH$2:$BH$201,1,$H$2:$H$201,H155,$BA$2:$BA$201,"&lt;"&amp;BA155)=0,1,0),0)</f>
        <v>0</v>
      </c>
      <c r="BJ155" s="23" t="str">
        <f aca="false">IF(AND(BI155=1,INT(N(H155))&lt;=Config!$B$6),Y155,"")</f>
        <v/>
      </c>
      <c r="BK155" s="23" t="str">
        <f aca="false">IF(AND(BI155=1,INT(N(H155))&lt;=Config!$B$7),Y155,"")</f>
        <v/>
      </c>
      <c r="BL155" s="23" t="str">
        <f aca="false">IF(AND(BI155=1,INT(N(H155))&lt;=Config!$B$8),Y155,"")</f>
        <v/>
      </c>
      <c r="BM155" s="23" t="str">
        <f aca="false">IF(AND(BI155=1,INT(N(H155))&lt;=Config!$B$5),Y155,"")</f>
        <v/>
      </c>
      <c r="BN155" s="23" t="n">
        <f aca="false">IF(CD155=1,IF(COUNTIFS($AZ$2:$AZ$201,AZ155,$CD$2:$CD$201,1,$H$2:$H$201,"&lt;"&amp;H155)+COUNTIFS($AZ$2:$AZ$201,AZ155,$CD$2:$CD$201,1,$H$2:$H$201,H155,$BA$2:$BA$201,"&lt;"&amp;BA155)=0,1,0),0)</f>
        <v>0</v>
      </c>
      <c r="BO155" s="23" t="n">
        <f aca="false">IF(AND(BB155=1,ISNUMBER(M155)),1,0)</f>
        <v>0</v>
      </c>
      <c r="BP155" s="23" t="n">
        <f aca="false">IF(BO155=1,IF(COUNTIFS($AZ$2:$AZ$201,AZ155,$BO$2:$BO$201,1,$H$2:$H$201,"&lt;"&amp;H155)+COUNTIFS($AZ$2:$AZ$201,AZ155,$BO$2:$BO$201,1,$H$2:$H$201,H155,$BA$2:$BA$201,"&lt;"&amp;BA155)=0,1,0),0)</f>
        <v>0</v>
      </c>
      <c r="BQ155" s="23" t="str">
        <f aca="false">IF(AND(BP155=1,INT(N(H155))&lt;=Config!$B$5),M155,"")</f>
        <v/>
      </c>
      <c r="BR155" s="23" t="n">
        <f aca="false">IF(AND(BB155=1,OR(TRIM(X155)&lt;&gt;"",ISNUMBER(Y155))),1,0)</f>
        <v>0</v>
      </c>
      <c r="BS155" s="23" t="n">
        <f aca="false">IF(BR155=1,IF(COUNTIFS($AZ$2:$AZ$201,AZ155,$BR$2:$BR$201,1,$H$2:$H$201,"&lt;"&amp;H155)+COUNTIFS($AZ$2:$AZ$201,AZ155,$BR$2:$BR$201,1,$H$2:$H$201,H155,$BA$2:$BA$201,"&lt;"&amp;BA155)=0,1,0),0)</f>
        <v>0</v>
      </c>
      <c r="BT155" s="23" t="str">
        <f aca="false">IF(BS155=1,AZ155,"")</f>
        <v/>
      </c>
      <c r="BU155" s="23" t="n">
        <f aca="false">IF(AND(BB155=1,W155="Y",TRIM(X155)=""),1,0)</f>
        <v>0</v>
      </c>
      <c r="BV155" s="23" t="str">
        <f aca="false">IF(BB155=1,AN155&amp;"","")</f>
        <v/>
      </c>
      <c r="BW155" s="23" t="str">
        <f aca="false">IF(BB155=1,AO155&amp;"","")</f>
        <v/>
      </c>
      <c r="BX155" s="23" t="str">
        <f aca="false">IF(BB155=1,AP155&amp;"","")</f>
        <v/>
      </c>
      <c r="BY155" s="23" t="str">
        <f aca="false">IF(AND(BB155=1,ISNUMBER(AV155),INT(N(H155))&lt;=Config!$B$5),AV155,"")</f>
        <v/>
      </c>
      <c r="BZ155" s="23" t="str">
        <f aca="false">IF(BB155=1,IF(COUNTIFS($A$2:$A$201,$A155,$DC$2:$DC$201,1,$AR$2:$AR$201,"Y")&gt;0,"Y","N"),"")</f>
        <v/>
      </c>
      <c r="CA155" s="23" t="n">
        <f aca="false">IF(AND(BB155=1,AR155="maybe"),1,0)</f>
        <v>0</v>
      </c>
      <c r="CB155" s="23" t="n">
        <f aca="false">IF(CA155=1,IF(COUNTIFS($AZ$2:$AZ$201,AZ155,$CA$2:$CA$201,1,$H$2:$H$201,"&lt;"&amp;H155)+COUNTIFS($AZ$2:$AZ$201,AZ155,$CA$2:$CA$201,1,$H$2:$H$201,H155,$BA$2:$BA$201,"&lt;"&amp;BA155)=0,1,0),0)</f>
        <v>0</v>
      </c>
      <c r="CC155" s="23" t="n">
        <f aca="false">IF(AND(BB155=1,AR155="Y"),IF(COUNTIFS($AZ$2:$AZ$201,AZ155,$AR$2:$AR$201,"Y",$BB$2:$BB$201,1,$H$2:$H$201,"&lt;"&amp;H155)+COUNTIFS($AZ$2:$AZ$201,AZ155,$AR$2:$AR$201,"Y",$BB$2:$BB$201,1,$H$2:$H$201,H155,$BA$2:$BA$201,"&lt;"&amp;BA155)=0,1,0),0)</f>
        <v>0</v>
      </c>
      <c r="CD155" s="23" t="n">
        <f aca="false">IF(AND(BH155=1,N(Y155)&gt;=Config!$B$15),1,0)</f>
        <v>0</v>
      </c>
      <c r="CE155" s="23" t="n">
        <f aca="false">IF(AND(BB155=1,AT155="Y"),1,0)</f>
        <v>0</v>
      </c>
      <c r="CF155" s="23" t="n">
        <f aca="false">IF(CE155=1,IF(COUNTIFS($AZ$2:$AZ$201,AZ155,$CE$2:$CE$201,1,$H$2:$H$201,"&lt;"&amp;H155)+COUNTIFS($AZ$2:$AZ$201,AZ155,$CE$2:$CE$201,1,$H$2:$H$201,H155,$BA$2:$BA$201,"&lt;"&amp;BA155)=0,1,0),0)</f>
        <v>0</v>
      </c>
      <c r="CG155" s="23" t="n">
        <f aca="false">IF(AND(BB155=1,G155="warm-intro"),1,0)</f>
        <v>0</v>
      </c>
      <c r="CH155" s="23" t="n">
        <f aca="false">IF(CG155=1,IF(COUNTIFS($AZ$2:$AZ$201,AZ155,$CG$2:$CG$201,1,$H$2:$H$201,"&lt;"&amp;H155)+COUNTIFS($AZ$2:$AZ$201,AZ155,$CG$2:$CG$201,1,$H$2:$H$201,H155,$BA$2:$BA$201,"&lt;"&amp;BA155)=0,1,0),0)</f>
        <v>0</v>
      </c>
      <c r="CI155" s="23" t="n">
        <f aca="false">IF(AND(BB155=1,Q155="Y"),1,0)</f>
        <v>0</v>
      </c>
      <c r="CJ155" s="23" t="n">
        <f aca="false">IF(CI155=1,IF(COUNTIFS($AZ$2:$AZ$201,AZ155,$CI$2:$CI$201,1,$H$2:$H$201,"&lt;"&amp;H155)+COUNTIFS($AZ$2:$AZ$201,AZ155,$CI$2:$CI$201,1,$H$2:$H$201,H155,$BA$2:$BA$201,"&lt;"&amp;BA155)=0,1,0),0)</f>
        <v>0</v>
      </c>
      <c r="CK155" s="23" t="n">
        <f aca="false">IF(AND(BB155=1,AF155="Y"),1,0)</f>
        <v>0</v>
      </c>
      <c r="CL155" s="23" t="n">
        <f aca="false">IF(CK155=1,IF(COUNTIFS($AZ$2:$AZ$201,AZ155,$CK$2:$CK$201,1,$H$2:$H$201,"&lt;"&amp;H155)+COUNTIFS($AZ$2:$AZ$201,AZ155,$CK$2:$CK$201,1,$H$2:$H$201,H155,$BA$2:$BA$201,"&lt;"&amp;BA155)=0,1,0),0)</f>
        <v>0</v>
      </c>
      <c r="CM155" s="23" t="n">
        <f aca="false">IF(AND(BB155=1,U155="Y"),1,0)</f>
        <v>0</v>
      </c>
      <c r="CN155" s="23" t="n">
        <f aca="false">IF(CM155=1,IF(COUNTIFS($AZ$2:$AZ$201,AZ155,$CM$2:$CM$201,1,$H$2:$H$201,"&lt;"&amp;H155)+COUNTIFS($AZ$2:$AZ$201,AZ155,$CM$2:$CM$201,1,$H$2:$H$201,H155,$BA$2:$BA$201,"&lt;"&amp;BA155)=0,1,0),0)</f>
        <v>0</v>
      </c>
      <c r="CO155" s="23" t="n">
        <f aca="false">IF(AND(BB155=1,L155="Y"),1,0)</f>
        <v>0</v>
      </c>
      <c r="CP155" s="23" t="n">
        <f aca="false">IF(CO155=1,IF(COUNTIFS($AZ$2:$AZ$201,AZ155,$CO$2:$CO$201,1,$H$2:$H$201,"&lt;"&amp;H155)+COUNTIFS($AZ$2:$AZ$201,AZ155,$CO$2:$CO$201,1,$H$2:$H$201,H155,$BA$2:$BA$201,"&lt;"&amp;BA155)=0,1,0),0)</f>
        <v>0</v>
      </c>
      <c r="CQ155" s="23" t="n">
        <f aca="false">IF(AND(BB155=1,ISNUMBER(O155)),1,0)</f>
        <v>0</v>
      </c>
      <c r="CR155" s="23" t="n">
        <f aca="false">IF(CQ155=1,IF(COUNTIFS($AZ$2:$AZ$201,AZ155,$CQ$2:$CQ$201,1,$H$2:$H$201,"&lt;"&amp;H155)+COUNTIFS($AZ$2:$AZ$201,AZ155,$CQ$2:$CQ$201,1,$H$2:$H$201,H155,$BA$2:$BA$201,"&lt;"&amp;BA155)=0,1,0),0)</f>
        <v>0</v>
      </c>
      <c r="CS155" s="23" t="str">
        <f aca="false">IF(AND(CR155=1,INT(N(H155))&lt;=Config!$B$5),O155,"")</f>
        <v/>
      </c>
      <c r="CT155" s="23" t="str">
        <f aca="false">IF(AND(BB155=1,INT(N(H155))&lt;=Config!$B$5),AG155&amp;"","")</f>
        <v/>
      </c>
      <c r="CU155" s="23" t="n">
        <f aca="false">IF(AND(BB155=1,AU155="Y"),1,0)</f>
        <v>0</v>
      </c>
      <c r="CV155" s="23" t="n">
        <f aca="false">IF(CU155=1,IF(COUNTIFS($AZ$2:$AZ$201,AZ155,$CU$2:$CU$201,1,$H$2:$H$201,"&lt;"&amp;H155)+COUNTIFS($AZ$2:$AZ$201,AZ155,$CU$2:$CU$201,1,$H$2:$H$201,H155,$BA$2:$BA$201,"&lt;"&amp;BA155)=0,1,0),0)</f>
        <v>0</v>
      </c>
      <c r="CW155" s="23" t="str">
        <f aca="false">IF(BB155=1,IFERROR(MATCH($A155,INDEX(Clay_Offices!$A$2:$FZ$601,0,Sync!$C$5),0),""),"")</f>
        <v/>
      </c>
      <c r="CX155" s="23" t="str">
        <f aca="false">IF(CW155="","",IFERROR(INDEX(Clay_Offices!$A$2:$FZ$601,CW155,Sync!$C$7)&amp;"",""))</f>
        <v/>
      </c>
      <c r="CY155" s="23" t="str">
        <f aca="false">IF(CX155="","",IFERROR(INDEX(Lists!$K$2:$K$15,MATCH(CX155,Lists!$J$2:$J$15,0)),""))</f>
        <v/>
      </c>
      <c r="CZ155" s="23" t="str">
        <f aca="false">IF(CW155="","",IFERROR(INDEX(Clay_Offices!$A$2:$FZ$601,CW155,Sync!$C$17)&amp;"",""))</f>
        <v/>
      </c>
      <c r="DA155" s="35" t="str">
        <f aca="false">IF(CW155="","",IFERROR(N(INDEX(Clay_Offices!$A$2:$FZ$601,CW155,Sync!$C$16)),0))</f>
        <v/>
      </c>
      <c r="DB155" s="23" t="n">
        <f aca="false">IF(AND(BB155=1,OR(AR155="Y",AR155="N",AR155="maybe")),1,0)</f>
        <v>0</v>
      </c>
      <c r="DC155" s="23" t="n">
        <f aca="false">IF(AND(DB155=1),IF(COUNTIFS($A$2:$A$201,$A155,$DB$2:$DB$201,1,$H$2:$H$201,"&gt;"&amp;H155)+COUNTIFS($A$2:$A$201,$A155,$DB$2:$DB$201,1,$H$2:$H$201,H155,$BA$2:$BA$201,"&gt;"&amp;BA155)=0,1,0),0)</f>
        <v>0</v>
      </c>
      <c r="DD155" s="23" t="n">
        <f aca="false">IF(AND(DB155=1,INT(N(H155))&lt;=Config!$B$6),IF(COUNTIFS($AZ$2:$AZ$201,AZ155,$DB$2:$DB$201,1,$H$2:$H$201,"&gt;"&amp;H155,$H$2:$H$201,"&lt;"&amp;(Config!$B$6+1))+COUNTIFS($AZ$2:$AZ$201,AZ155,$DB$2:$DB$201,1,$H$2:$H$201,H155,$BA$2:$BA$201,"&gt;"&amp;BA155)=0,1,0),0)</f>
        <v>0</v>
      </c>
      <c r="DE155" s="23" t="n">
        <f aca="false">IF(AND(DB155=1,INT(N(H155))&lt;=Config!$B$7),IF(COUNTIFS($AZ$2:$AZ$201,AZ155,$DB$2:$DB$201,1,$H$2:$H$201,"&gt;"&amp;H155,$H$2:$H$201,"&lt;"&amp;(Config!$B$7+1))+COUNTIFS($AZ$2:$AZ$201,AZ155,$DB$2:$DB$201,1,$H$2:$H$201,H155,$BA$2:$BA$201,"&gt;"&amp;BA155)=0,1,0),0)</f>
        <v>0</v>
      </c>
      <c r="DF155" s="23" t="n">
        <f aca="false">IF(AND(DB155=1,INT(N(H155))&lt;=Config!$B$8),IF(COUNTIFS($AZ$2:$AZ$201,AZ155,$DB$2:$DB$201,1,$H$2:$H$201,"&gt;"&amp;H155,$H$2:$H$201,"&lt;"&amp;(Config!$B$8+1))+COUNTIFS($AZ$2:$AZ$201,AZ155,$DB$2:$DB$201,1,$H$2:$H$201,H155,$BA$2:$BA$201,"&gt;"&amp;BA155)=0,1,0),0)</f>
        <v>0</v>
      </c>
      <c r="DG155" s="23" t="n">
        <f aca="false">IF(AND(DB155=1,INT(N(H155))&lt;=Config!$B$5),IF(COUNTIFS($AZ$2:$AZ$201,AZ155,$DB$2:$DB$201,1,$H$2:$H$201,"&gt;"&amp;H155,$H$2:$H$201,"&lt;"&amp;(Config!$B$5+1))+COUNTIFS($AZ$2:$AZ$201,AZ155,$DB$2:$DB$201,1,$H$2:$H$201,H155,$BA$2:$BA$201,"&gt;"&amp;BA155)=0,1,0),0)</f>
        <v>0</v>
      </c>
      <c r="DH155" s="23" t="n">
        <f aca="false">IF(BB155=1,IF(COUNTIFS($AZ$2:$AZ$201,AZ155,$DD$2:$DD$201,1,$AR$2:$AR$201,"Y")&gt;0,1,0),0)</f>
        <v>0</v>
      </c>
      <c r="DI155" s="23" t="n">
        <f aca="false">IF(BB155=1,IF(COUNTIFS($AZ$2:$AZ$201,AZ155,$DE$2:$DE$201,1,$AR$2:$AR$201,"Y")&gt;0,1,0),0)</f>
        <v>0</v>
      </c>
      <c r="DJ155" s="23" t="n">
        <f aca="false">IF(BB155=1,IF(COUNTIFS($AZ$2:$AZ$201,AZ155,$DF$2:$DF$201,1,$AR$2:$AR$201,"Y")&gt;0,1,0),0)</f>
        <v>0</v>
      </c>
      <c r="DK155" s="23" t="n">
        <f aca="false">IF(BB155=1,IF(COUNTIFS($AZ$2:$AZ$201,AZ155,$DG$2:$DG$201,1,$AR$2:$AR$201,"Y")&gt;0,1,0),0)</f>
        <v>0</v>
      </c>
      <c r="DL155" s="23" t="n">
        <f aca="false">IF(AND(BF155=1,INT(N(H155))&lt;=Config!$B$6,DH155=1,EI155=0),1,0)</f>
        <v>0</v>
      </c>
      <c r="DM155" s="23" t="n">
        <f aca="false">IF(AND(BF155=1,INT(N(H155))&lt;=Config!$B$7,DI155=1,EI155=0),1,0)</f>
        <v>0</v>
      </c>
      <c r="DN155" s="23" t="n">
        <f aca="false">IF(AND(BF155=1,INT(N(H155))&lt;=Config!$B$8,DJ155=1,EI155=0),1,0)</f>
        <v>0</v>
      </c>
      <c r="DO155" s="23" t="n">
        <f aca="false">IF(AND(BF155=1,INT(N(H155))&lt;=Config!$B$5,DK155=1,EI155=0),1,0)</f>
        <v>0</v>
      </c>
      <c r="DP155" s="23" t="n">
        <f aca="false">IF(AND(CC155=1,INT(N(H155))&lt;=Config!$B$6,DH155=1,EI155=0),1,0)</f>
        <v>0</v>
      </c>
      <c r="DQ155" s="23" t="n">
        <f aca="false">IF(AND(CC155=1,INT(N(H155))&lt;=Config!$B$7,DI155=1,EI155=0),1,0)</f>
        <v>0</v>
      </c>
      <c r="DR155" s="23" t="n">
        <f aca="false">IF(AND(CC155=1,INT(N(H155))&lt;=Config!$B$8,DJ155=1,EI155=0),1,0)</f>
        <v>0</v>
      </c>
      <c r="DS155" s="23" t="n">
        <f aca="false">IF(AND(CC155=1,INT(N(H155))&lt;=Config!$B$5,DK155=1,EI155=0),1,0)</f>
        <v>0</v>
      </c>
      <c r="DT155" s="23" t="n">
        <f aca="false">IF(AND(CC155=1,INT(N(H155))&lt;=Config!$B$6,DH155=0),1,0)</f>
        <v>0</v>
      </c>
      <c r="DU155" s="23" t="n">
        <f aca="false">IF(AND(CC155=1,INT(N(H155))&lt;=Config!$B$7,DI155=0),1,0)</f>
        <v>0</v>
      </c>
      <c r="DV155" s="23" t="n">
        <f aca="false">IF(AND(CC155=1,INT(N(H155))&lt;=Config!$B$8,DJ155=0),1,0)</f>
        <v>0</v>
      </c>
      <c r="DW155" s="23" t="n">
        <f aca="false">IF(AND(CC155=1,INT(N(H155))&lt;=Config!$B$5,DK155=0),1,0)</f>
        <v>0</v>
      </c>
      <c r="DX155" s="23" t="n">
        <f aca="false">IF(TRIM($A155)="",0,ISTEXT(M155)+ISTEXT(O155)+ISTEXT(Y155)+ISTEXT(Z155)+ISTEXT(AA155)+ISTEXT(AV155))</f>
        <v>0</v>
      </c>
      <c r="DY155" s="23" t="n">
        <f aca="false">IF(BB155=1,IF(H155&lt;&gt;INT(H155),1,0),0)</f>
        <v>0</v>
      </c>
      <c r="DZ155" s="23" t="str">
        <f aca="false">IF(TRIM($A155)="","",IF(TRIM(B155)="",SUBSTITUTE(SUBSTITUTE(SUBSTITUTE(SUBSTITUTE(SUBSTITUTE(SUBSTITUTE(LOWER(TRIM($A155)),"~",""),"*",""),"?",""),"&lt;",""),"&gt;",""),"=",""),SUBSTITUTE(SUBSTITUTE(SUBSTITUTE(SUBSTITUTE(SUBSTITUTE(SUBSTITUTE(LOWER(TRIM(B155)),"~",""),"*",""),"?",""),"&lt;",""),"&gt;",""),"=","")))</f>
        <v/>
      </c>
      <c r="EA155" s="23" t="str">
        <f aca="false">IF(CW155="","",IFERROR(IF(LEFT(LOWER(TRIM(INDEX(Clay_Offices!$A$2:$FZ$601,CW155,Sync!$C$19)&amp;"")),4)="grp-",SUBSTITUTE(SUBSTITUTE(SUBSTITUTE(SUBSTITUTE(SUBSTITUTE(SUBSTITUTE(LOWER(TRIM(INDEX(Clay_Offices!$A$2:$FZ$601,CW155,Sync!$C$19)&amp;"")),"~",""),"*",""),"?",""),"&lt;",""),"&gt;",""),"=",""),""),""))</f>
        <v/>
      </c>
      <c r="EB155" s="23" t="str">
        <f aca="false">IF(EA155&lt;&gt;"",DZ155,"")</f>
        <v/>
      </c>
      <c r="EC155" s="23" t="str">
        <f aca="false">IF(BC155=1,AZ155,"")</f>
        <v/>
      </c>
      <c r="ED155" s="23" t="str">
        <f aca="false">IF(TRIM($A155)="","",IFERROR(INDEX($A$2:$A$201,MATCH(AZ155,$EC$2:$EC$201,0))&amp;"",$A155&amp;""))</f>
        <v/>
      </c>
      <c r="EE155" s="23" t="n">
        <f aca="false">IF(BB155=1,IF(COUNTIFS($A$2:$A$201,$A155,$BB$2:$BB$201,1,$H$2:$H$201,"&lt;"&amp;H155)+COUNTIFS($A$2:$A$201,$A155,$BB$2:$BB$201,1,$H$2:$H$201,H155,$BA$2:$BA$201,"&lt;"&amp;BA155)=0,1,0),0)</f>
        <v>0</v>
      </c>
      <c r="EF155" s="23" t="n">
        <f aca="false">IF(BC155=1,IF(COUNTIFS($AZ$2:$AZ$201,AZ155,$EE$2:$EE$201,1)&gt;1,1,0),0)</f>
        <v>0</v>
      </c>
      <c r="EG155" s="23" t="n">
        <f aca="false">IF(AND(CQ155=1),IF(COUNTIFS($AZ$2:$AZ$201,AZ155,$CQ$2:$CQ$201,1,$H$2:$H$201,"&gt;"&amp;H155)+COUNTIFS($AZ$2:$AZ$201,AZ155,$CQ$2:$CQ$201,1,$H$2:$H$201,H155,$BA$2:$BA$201,"&gt;"&amp;BA155)=0,1,0),0)</f>
        <v>0</v>
      </c>
      <c r="EH155" s="23" t="str">
        <f aca="false">IF(BB155=1,IF(COUNTIFS($AZ$2:$AZ$201,AZ155,$EG$2:$EG$201,1)=0,"",SUMIFS($O$2:$O$201,$AZ$2:$AZ$201,AZ155,$EG$2:$EG$201,1)),"")</f>
        <v/>
      </c>
      <c r="EI155" s="23" t="n">
        <f aca="false">IF(AND(ISNUMBER(EH155),OR(N(EH155)&lt;Config!$B$31,N(EH155)&gt;Config!$B$33)),1,0)</f>
        <v>0</v>
      </c>
      <c r="EJ155" s="23" t="n">
        <f aca="false">IF(AND(ISNUMBER(EH155),N(EH155)&gt;=Config!$B$31,N(EH155)&lt;Config!$B$32),1,0)</f>
        <v>0</v>
      </c>
      <c r="EK155" s="23" t="n">
        <f aca="false">IF(AND(BF155=1,INT(N(H155))&lt;=Config!$B$6,DH155=1,EI155=1),1,0)</f>
        <v>0</v>
      </c>
      <c r="EL155" s="23" t="n">
        <f aca="false">IF(AND(BF155=1,INT(N(H155))&lt;=Config!$B$7,DI155=1,EI155=1),1,0)</f>
        <v>0</v>
      </c>
      <c r="EM155" s="23" t="n">
        <f aca="false">IF(AND(BF155=1,INT(N(H155))&lt;=Config!$B$8,DJ155=1,EI155=1),1,0)</f>
        <v>0</v>
      </c>
      <c r="EN155" s="23" t="n">
        <f aca="false">IF(AND(BF155=1,INT(N(H155))&lt;=Config!$B$5,DK155=1,EI155=1),1,0)</f>
        <v>0</v>
      </c>
      <c r="EO155" s="23" t="n">
        <f aca="false">IF(AND(DL155=1,EJ155=1),1,0)</f>
        <v>0</v>
      </c>
      <c r="EP155" s="23" t="n">
        <f aca="false">IF(AND(DM155=1,EJ155=1),1,0)</f>
        <v>0</v>
      </c>
      <c r="EQ155" s="23" t="n">
        <f aca="false">IF(AND(DN155=1,EJ155=1),1,0)</f>
        <v>0</v>
      </c>
      <c r="ER155" s="23" t="n">
        <f aca="false">IF(AND(DO155=1,EJ155=1),1,0)</f>
        <v>0</v>
      </c>
    </row>
    <row r="156" customFormat="false" ht="15" hidden="false" customHeight="false" outlineLevel="0" collapsed="false">
      <c r="G156" s="32"/>
      <c r="H156" s="33"/>
      <c r="I156" s="32"/>
      <c r="L156" s="32"/>
      <c r="Q156" s="32"/>
      <c r="U156" s="32"/>
      <c r="W156" s="32"/>
      <c r="AC156" s="32"/>
      <c r="AF156" s="32"/>
      <c r="AI156" s="32"/>
      <c r="AJ156" s="32"/>
      <c r="AN156" s="32"/>
      <c r="AR156" s="32"/>
      <c r="AT156" s="32"/>
      <c r="AU156" s="32"/>
      <c r="AW156" s="32"/>
      <c r="AY156" s="34" t="str">
        <f aca="false">IF(TRIM($A156)="","",IF(AND(LEFT($A156,6)="SAMPLE",Config!$B$19&lt;&gt;"Y"),"",IF(NOT(ISNUMBER(H156)),"call_date is blank or not a date",IF(Sync!$C$5="","Clay paste is empty or has no row_id column: paste the Clay export on Clay_Offices",IF(CW156="","row_id not found in the Clay paste: add the Clay row or fix the row_id",IF(AND(ISNUMBER(CY156),CY156&gt;=1,CY156&lt;=5),"Clay status is "&amp;CX156&amp;": set call_done or later",IF(AND(BD156=1,CZ156&lt;&gt;BZ156),"Clay yes_in_principle should be "&amp;BZ156,IF(AND(BD156=1,DA156&lt;&gt;H156),"Clay call_date should be "&amp;TEXT(H156,"yyyy-mm-dd"),""))))))))</f>
        <v/>
      </c>
      <c r="AZ156" s="23" t="str">
        <f aca="false">IF(TRIM($A156)="","",IF(TRIM(C156)&lt;&gt;"",SUBSTITUTE(SUBSTITUTE(SUBSTITUTE(SUBSTITUTE(SUBSTITUTE(SUBSTITUTE(LOWER(TRIM(C156)),"~",""),"*",""),"?",""),"&lt;",""),"&gt;",""),"=",""),IF(EA156&lt;&gt;"",EA156,IFERROR(INDEX($EA$2:$EA$201,MATCH(DZ156,$EB$2:$EB$201,0)),DZ156))))</f>
        <v/>
      </c>
      <c r="BA156" s="23" t="n">
        <f aca="false">ROW()</f>
        <v>156</v>
      </c>
      <c r="BB156" s="23" t="n">
        <f aca="false">IF(AND(TRIM($A156)&lt;&gt;"",ISNUMBER(H156)),IF(AND(LEFT($A156,6)="SAMPLE",Config!$B$19&lt;&gt;"Y"),0,1),0)</f>
        <v>0</v>
      </c>
      <c r="BC156" s="23" t="n">
        <f aca="false">IF(BB156=1,IF(COUNTIFS($AZ$2:$AZ$201,AZ156,$BB$2:$BB$201,1,$H$2:$H$201,"&lt;"&amp;H156)+COUNTIFS($AZ$2:$AZ$201,AZ156,$BB$2:$BB$201,1,$H$2:$H$201,H156,$BA$2:$BA$201,"&lt;"&amp;BA156)=0,1,0),0)</f>
        <v>0</v>
      </c>
      <c r="BD156" s="23" t="n">
        <f aca="false">IF(BB156=1,IF(COUNTIFS($A$2:$A$201,$A156,$BB$2:$BB$201,1,$H$2:$H$201,"&gt;"&amp;H156)+COUNTIFS($A$2:$A$201,$A156,$BB$2:$BB$201,1,$H$2:$H$201,H156,$BA$2:$BA$201,"&gt;"&amp;BA156)=0,1,0),0)</f>
        <v>0</v>
      </c>
      <c r="BE156" s="23" t="n">
        <f aca="false">IF(AND(BB156=1,AR156="Y",AC156="Y",TRIM(AH156)&lt;&gt;""),1,0)</f>
        <v>0</v>
      </c>
      <c r="BF156" s="23" t="n">
        <f aca="false">IF(BE156=1,IF(COUNTIFS($AZ$2:$AZ$201,AZ156,$BE$2:$BE$201,1,$H$2:$H$201,"&lt;"&amp;H156)+COUNTIFS($AZ$2:$AZ$201,AZ156,$BE$2:$BE$201,1,$H$2:$H$201,H156,$BA$2:$BA$201,"&lt;"&amp;BA156)=0,1,0),0)</f>
        <v>0</v>
      </c>
      <c r="BG156" s="23" t="n">
        <f aca="false">IF(AND(BB156=1,AR156="Y",BE156=0),1,0)</f>
        <v>0</v>
      </c>
      <c r="BH156" s="23" t="n">
        <f aca="false">IF(AND(BB156=1,ISNUMBER(Y156)),1,0)</f>
        <v>0</v>
      </c>
      <c r="BI156" s="23" t="n">
        <f aca="false">IF(BH156=1,IF(COUNTIFS($AZ$2:$AZ$201,AZ156,$BH$2:$BH$201,1,$H$2:$H$201,"&lt;"&amp;H156)+COUNTIFS($AZ$2:$AZ$201,AZ156,$BH$2:$BH$201,1,$H$2:$H$201,H156,$BA$2:$BA$201,"&lt;"&amp;BA156)=0,1,0),0)</f>
        <v>0</v>
      </c>
      <c r="BJ156" s="23" t="str">
        <f aca="false">IF(AND(BI156=1,INT(N(H156))&lt;=Config!$B$6),Y156,"")</f>
        <v/>
      </c>
      <c r="BK156" s="23" t="str">
        <f aca="false">IF(AND(BI156=1,INT(N(H156))&lt;=Config!$B$7),Y156,"")</f>
        <v/>
      </c>
      <c r="BL156" s="23" t="str">
        <f aca="false">IF(AND(BI156=1,INT(N(H156))&lt;=Config!$B$8),Y156,"")</f>
        <v/>
      </c>
      <c r="BM156" s="23" t="str">
        <f aca="false">IF(AND(BI156=1,INT(N(H156))&lt;=Config!$B$5),Y156,"")</f>
        <v/>
      </c>
      <c r="BN156" s="23" t="n">
        <f aca="false">IF(CD156=1,IF(COUNTIFS($AZ$2:$AZ$201,AZ156,$CD$2:$CD$201,1,$H$2:$H$201,"&lt;"&amp;H156)+COUNTIFS($AZ$2:$AZ$201,AZ156,$CD$2:$CD$201,1,$H$2:$H$201,H156,$BA$2:$BA$201,"&lt;"&amp;BA156)=0,1,0),0)</f>
        <v>0</v>
      </c>
      <c r="BO156" s="23" t="n">
        <f aca="false">IF(AND(BB156=1,ISNUMBER(M156)),1,0)</f>
        <v>0</v>
      </c>
      <c r="BP156" s="23" t="n">
        <f aca="false">IF(BO156=1,IF(COUNTIFS($AZ$2:$AZ$201,AZ156,$BO$2:$BO$201,1,$H$2:$H$201,"&lt;"&amp;H156)+COUNTIFS($AZ$2:$AZ$201,AZ156,$BO$2:$BO$201,1,$H$2:$H$201,H156,$BA$2:$BA$201,"&lt;"&amp;BA156)=0,1,0),0)</f>
        <v>0</v>
      </c>
      <c r="BQ156" s="23" t="str">
        <f aca="false">IF(AND(BP156=1,INT(N(H156))&lt;=Config!$B$5),M156,"")</f>
        <v/>
      </c>
      <c r="BR156" s="23" t="n">
        <f aca="false">IF(AND(BB156=1,OR(TRIM(X156)&lt;&gt;"",ISNUMBER(Y156))),1,0)</f>
        <v>0</v>
      </c>
      <c r="BS156" s="23" t="n">
        <f aca="false">IF(BR156=1,IF(COUNTIFS($AZ$2:$AZ$201,AZ156,$BR$2:$BR$201,1,$H$2:$H$201,"&lt;"&amp;H156)+COUNTIFS($AZ$2:$AZ$201,AZ156,$BR$2:$BR$201,1,$H$2:$H$201,H156,$BA$2:$BA$201,"&lt;"&amp;BA156)=0,1,0),0)</f>
        <v>0</v>
      </c>
      <c r="BT156" s="23" t="str">
        <f aca="false">IF(BS156=1,AZ156,"")</f>
        <v/>
      </c>
      <c r="BU156" s="23" t="n">
        <f aca="false">IF(AND(BB156=1,W156="Y",TRIM(X156)=""),1,0)</f>
        <v>0</v>
      </c>
      <c r="BV156" s="23" t="str">
        <f aca="false">IF(BB156=1,AN156&amp;"","")</f>
        <v/>
      </c>
      <c r="BW156" s="23" t="str">
        <f aca="false">IF(BB156=1,AO156&amp;"","")</f>
        <v/>
      </c>
      <c r="BX156" s="23" t="str">
        <f aca="false">IF(BB156=1,AP156&amp;"","")</f>
        <v/>
      </c>
      <c r="BY156" s="23" t="str">
        <f aca="false">IF(AND(BB156=1,ISNUMBER(AV156),INT(N(H156))&lt;=Config!$B$5),AV156,"")</f>
        <v/>
      </c>
      <c r="BZ156" s="23" t="str">
        <f aca="false">IF(BB156=1,IF(COUNTIFS($A$2:$A$201,$A156,$DC$2:$DC$201,1,$AR$2:$AR$201,"Y")&gt;0,"Y","N"),"")</f>
        <v/>
      </c>
      <c r="CA156" s="23" t="n">
        <f aca="false">IF(AND(BB156=1,AR156="maybe"),1,0)</f>
        <v>0</v>
      </c>
      <c r="CB156" s="23" t="n">
        <f aca="false">IF(CA156=1,IF(COUNTIFS($AZ$2:$AZ$201,AZ156,$CA$2:$CA$201,1,$H$2:$H$201,"&lt;"&amp;H156)+COUNTIFS($AZ$2:$AZ$201,AZ156,$CA$2:$CA$201,1,$H$2:$H$201,H156,$BA$2:$BA$201,"&lt;"&amp;BA156)=0,1,0),0)</f>
        <v>0</v>
      </c>
      <c r="CC156" s="23" t="n">
        <f aca="false">IF(AND(BB156=1,AR156="Y"),IF(COUNTIFS($AZ$2:$AZ$201,AZ156,$AR$2:$AR$201,"Y",$BB$2:$BB$201,1,$H$2:$H$201,"&lt;"&amp;H156)+COUNTIFS($AZ$2:$AZ$201,AZ156,$AR$2:$AR$201,"Y",$BB$2:$BB$201,1,$H$2:$H$201,H156,$BA$2:$BA$201,"&lt;"&amp;BA156)=0,1,0),0)</f>
        <v>0</v>
      </c>
      <c r="CD156" s="23" t="n">
        <f aca="false">IF(AND(BH156=1,N(Y156)&gt;=Config!$B$15),1,0)</f>
        <v>0</v>
      </c>
      <c r="CE156" s="23" t="n">
        <f aca="false">IF(AND(BB156=1,AT156="Y"),1,0)</f>
        <v>0</v>
      </c>
      <c r="CF156" s="23" t="n">
        <f aca="false">IF(CE156=1,IF(COUNTIFS($AZ$2:$AZ$201,AZ156,$CE$2:$CE$201,1,$H$2:$H$201,"&lt;"&amp;H156)+COUNTIFS($AZ$2:$AZ$201,AZ156,$CE$2:$CE$201,1,$H$2:$H$201,H156,$BA$2:$BA$201,"&lt;"&amp;BA156)=0,1,0),0)</f>
        <v>0</v>
      </c>
      <c r="CG156" s="23" t="n">
        <f aca="false">IF(AND(BB156=1,G156="warm-intro"),1,0)</f>
        <v>0</v>
      </c>
      <c r="CH156" s="23" t="n">
        <f aca="false">IF(CG156=1,IF(COUNTIFS($AZ$2:$AZ$201,AZ156,$CG$2:$CG$201,1,$H$2:$H$201,"&lt;"&amp;H156)+COUNTIFS($AZ$2:$AZ$201,AZ156,$CG$2:$CG$201,1,$H$2:$H$201,H156,$BA$2:$BA$201,"&lt;"&amp;BA156)=0,1,0),0)</f>
        <v>0</v>
      </c>
      <c r="CI156" s="23" t="n">
        <f aca="false">IF(AND(BB156=1,Q156="Y"),1,0)</f>
        <v>0</v>
      </c>
      <c r="CJ156" s="23" t="n">
        <f aca="false">IF(CI156=1,IF(COUNTIFS($AZ$2:$AZ$201,AZ156,$CI$2:$CI$201,1,$H$2:$H$201,"&lt;"&amp;H156)+COUNTIFS($AZ$2:$AZ$201,AZ156,$CI$2:$CI$201,1,$H$2:$H$201,H156,$BA$2:$BA$201,"&lt;"&amp;BA156)=0,1,0),0)</f>
        <v>0</v>
      </c>
      <c r="CK156" s="23" t="n">
        <f aca="false">IF(AND(BB156=1,AF156="Y"),1,0)</f>
        <v>0</v>
      </c>
      <c r="CL156" s="23" t="n">
        <f aca="false">IF(CK156=1,IF(COUNTIFS($AZ$2:$AZ$201,AZ156,$CK$2:$CK$201,1,$H$2:$H$201,"&lt;"&amp;H156)+COUNTIFS($AZ$2:$AZ$201,AZ156,$CK$2:$CK$201,1,$H$2:$H$201,H156,$BA$2:$BA$201,"&lt;"&amp;BA156)=0,1,0),0)</f>
        <v>0</v>
      </c>
      <c r="CM156" s="23" t="n">
        <f aca="false">IF(AND(BB156=1,U156="Y"),1,0)</f>
        <v>0</v>
      </c>
      <c r="CN156" s="23" t="n">
        <f aca="false">IF(CM156=1,IF(COUNTIFS($AZ$2:$AZ$201,AZ156,$CM$2:$CM$201,1,$H$2:$H$201,"&lt;"&amp;H156)+COUNTIFS($AZ$2:$AZ$201,AZ156,$CM$2:$CM$201,1,$H$2:$H$201,H156,$BA$2:$BA$201,"&lt;"&amp;BA156)=0,1,0),0)</f>
        <v>0</v>
      </c>
      <c r="CO156" s="23" t="n">
        <f aca="false">IF(AND(BB156=1,L156="Y"),1,0)</f>
        <v>0</v>
      </c>
      <c r="CP156" s="23" t="n">
        <f aca="false">IF(CO156=1,IF(COUNTIFS($AZ$2:$AZ$201,AZ156,$CO$2:$CO$201,1,$H$2:$H$201,"&lt;"&amp;H156)+COUNTIFS($AZ$2:$AZ$201,AZ156,$CO$2:$CO$201,1,$H$2:$H$201,H156,$BA$2:$BA$201,"&lt;"&amp;BA156)=0,1,0),0)</f>
        <v>0</v>
      </c>
      <c r="CQ156" s="23" t="n">
        <f aca="false">IF(AND(BB156=1,ISNUMBER(O156)),1,0)</f>
        <v>0</v>
      </c>
      <c r="CR156" s="23" t="n">
        <f aca="false">IF(CQ156=1,IF(COUNTIFS($AZ$2:$AZ$201,AZ156,$CQ$2:$CQ$201,1,$H$2:$H$201,"&lt;"&amp;H156)+COUNTIFS($AZ$2:$AZ$201,AZ156,$CQ$2:$CQ$201,1,$H$2:$H$201,H156,$BA$2:$BA$201,"&lt;"&amp;BA156)=0,1,0),0)</f>
        <v>0</v>
      </c>
      <c r="CS156" s="23" t="str">
        <f aca="false">IF(AND(CR156=1,INT(N(H156))&lt;=Config!$B$5),O156,"")</f>
        <v/>
      </c>
      <c r="CT156" s="23" t="str">
        <f aca="false">IF(AND(BB156=1,INT(N(H156))&lt;=Config!$B$5),AG156&amp;"","")</f>
        <v/>
      </c>
      <c r="CU156" s="23" t="n">
        <f aca="false">IF(AND(BB156=1,AU156="Y"),1,0)</f>
        <v>0</v>
      </c>
      <c r="CV156" s="23" t="n">
        <f aca="false">IF(CU156=1,IF(COUNTIFS($AZ$2:$AZ$201,AZ156,$CU$2:$CU$201,1,$H$2:$H$201,"&lt;"&amp;H156)+COUNTIFS($AZ$2:$AZ$201,AZ156,$CU$2:$CU$201,1,$H$2:$H$201,H156,$BA$2:$BA$201,"&lt;"&amp;BA156)=0,1,0),0)</f>
        <v>0</v>
      </c>
      <c r="CW156" s="23" t="str">
        <f aca="false">IF(BB156=1,IFERROR(MATCH($A156,INDEX(Clay_Offices!$A$2:$FZ$601,0,Sync!$C$5),0),""),"")</f>
        <v/>
      </c>
      <c r="CX156" s="23" t="str">
        <f aca="false">IF(CW156="","",IFERROR(INDEX(Clay_Offices!$A$2:$FZ$601,CW156,Sync!$C$7)&amp;"",""))</f>
        <v/>
      </c>
      <c r="CY156" s="23" t="str">
        <f aca="false">IF(CX156="","",IFERROR(INDEX(Lists!$K$2:$K$15,MATCH(CX156,Lists!$J$2:$J$15,0)),""))</f>
        <v/>
      </c>
      <c r="CZ156" s="23" t="str">
        <f aca="false">IF(CW156="","",IFERROR(INDEX(Clay_Offices!$A$2:$FZ$601,CW156,Sync!$C$17)&amp;"",""))</f>
        <v/>
      </c>
      <c r="DA156" s="35" t="str">
        <f aca="false">IF(CW156="","",IFERROR(N(INDEX(Clay_Offices!$A$2:$FZ$601,CW156,Sync!$C$16)),0))</f>
        <v/>
      </c>
      <c r="DB156" s="23" t="n">
        <f aca="false">IF(AND(BB156=1,OR(AR156="Y",AR156="N",AR156="maybe")),1,0)</f>
        <v>0</v>
      </c>
      <c r="DC156" s="23" t="n">
        <f aca="false">IF(AND(DB156=1),IF(COUNTIFS($A$2:$A$201,$A156,$DB$2:$DB$201,1,$H$2:$H$201,"&gt;"&amp;H156)+COUNTIFS($A$2:$A$201,$A156,$DB$2:$DB$201,1,$H$2:$H$201,H156,$BA$2:$BA$201,"&gt;"&amp;BA156)=0,1,0),0)</f>
        <v>0</v>
      </c>
      <c r="DD156" s="23" t="n">
        <f aca="false">IF(AND(DB156=1,INT(N(H156))&lt;=Config!$B$6),IF(COUNTIFS($AZ$2:$AZ$201,AZ156,$DB$2:$DB$201,1,$H$2:$H$201,"&gt;"&amp;H156,$H$2:$H$201,"&lt;"&amp;(Config!$B$6+1))+COUNTIFS($AZ$2:$AZ$201,AZ156,$DB$2:$DB$201,1,$H$2:$H$201,H156,$BA$2:$BA$201,"&gt;"&amp;BA156)=0,1,0),0)</f>
        <v>0</v>
      </c>
      <c r="DE156" s="23" t="n">
        <f aca="false">IF(AND(DB156=1,INT(N(H156))&lt;=Config!$B$7),IF(COUNTIFS($AZ$2:$AZ$201,AZ156,$DB$2:$DB$201,1,$H$2:$H$201,"&gt;"&amp;H156,$H$2:$H$201,"&lt;"&amp;(Config!$B$7+1))+COUNTIFS($AZ$2:$AZ$201,AZ156,$DB$2:$DB$201,1,$H$2:$H$201,H156,$BA$2:$BA$201,"&gt;"&amp;BA156)=0,1,0),0)</f>
        <v>0</v>
      </c>
      <c r="DF156" s="23" t="n">
        <f aca="false">IF(AND(DB156=1,INT(N(H156))&lt;=Config!$B$8),IF(COUNTIFS($AZ$2:$AZ$201,AZ156,$DB$2:$DB$201,1,$H$2:$H$201,"&gt;"&amp;H156,$H$2:$H$201,"&lt;"&amp;(Config!$B$8+1))+COUNTIFS($AZ$2:$AZ$201,AZ156,$DB$2:$DB$201,1,$H$2:$H$201,H156,$BA$2:$BA$201,"&gt;"&amp;BA156)=0,1,0),0)</f>
        <v>0</v>
      </c>
      <c r="DG156" s="23" t="n">
        <f aca="false">IF(AND(DB156=1,INT(N(H156))&lt;=Config!$B$5),IF(COUNTIFS($AZ$2:$AZ$201,AZ156,$DB$2:$DB$201,1,$H$2:$H$201,"&gt;"&amp;H156,$H$2:$H$201,"&lt;"&amp;(Config!$B$5+1))+COUNTIFS($AZ$2:$AZ$201,AZ156,$DB$2:$DB$201,1,$H$2:$H$201,H156,$BA$2:$BA$201,"&gt;"&amp;BA156)=0,1,0),0)</f>
        <v>0</v>
      </c>
      <c r="DH156" s="23" t="n">
        <f aca="false">IF(BB156=1,IF(COUNTIFS($AZ$2:$AZ$201,AZ156,$DD$2:$DD$201,1,$AR$2:$AR$201,"Y")&gt;0,1,0),0)</f>
        <v>0</v>
      </c>
      <c r="DI156" s="23" t="n">
        <f aca="false">IF(BB156=1,IF(COUNTIFS($AZ$2:$AZ$201,AZ156,$DE$2:$DE$201,1,$AR$2:$AR$201,"Y")&gt;0,1,0),0)</f>
        <v>0</v>
      </c>
      <c r="DJ156" s="23" t="n">
        <f aca="false">IF(BB156=1,IF(COUNTIFS($AZ$2:$AZ$201,AZ156,$DF$2:$DF$201,1,$AR$2:$AR$201,"Y")&gt;0,1,0),0)</f>
        <v>0</v>
      </c>
      <c r="DK156" s="23" t="n">
        <f aca="false">IF(BB156=1,IF(COUNTIFS($AZ$2:$AZ$201,AZ156,$DG$2:$DG$201,1,$AR$2:$AR$201,"Y")&gt;0,1,0),0)</f>
        <v>0</v>
      </c>
      <c r="DL156" s="23" t="n">
        <f aca="false">IF(AND(BF156=1,INT(N(H156))&lt;=Config!$B$6,DH156=1,EI156=0),1,0)</f>
        <v>0</v>
      </c>
      <c r="DM156" s="23" t="n">
        <f aca="false">IF(AND(BF156=1,INT(N(H156))&lt;=Config!$B$7,DI156=1,EI156=0),1,0)</f>
        <v>0</v>
      </c>
      <c r="DN156" s="23" t="n">
        <f aca="false">IF(AND(BF156=1,INT(N(H156))&lt;=Config!$B$8,DJ156=1,EI156=0),1,0)</f>
        <v>0</v>
      </c>
      <c r="DO156" s="23" t="n">
        <f aca="false">IF(AND(BF156=1,INT(N(H156))&lt;=Config!$B$5,DK156=1,EI156=0),1,0)</f>
        <v>0</v>
      </c>
      <c r="DP156" s="23" t="n">
        <f aca="false">IF(AND(CC156=1,INT(N(H156))&lt;=Config!$B$6,DH156=1,EI156=0),1,0)</f>
        <v>0</v>
      </c>
      <c r="DQ156" s="23" t="n">
        <f aca="false">IF(AND(CC156=1,INT(N(H156))&lt;=Config!$B$7,DI156=1,EI156=0),1,0)</f>
        <v>0</v>
      </c>
      <c r="DR156" s="23" t="n">
        <f aca="false">IF(AND(CC156=1,INT(N(H156))&lt;=Config!$B$8,DJ156=1,EI156=0),1,0)</f>
        <v>0</v>
      </c>
      <c r="DS156" s="23" t="n">
        <f aca="false">IF(AND(CC156=1,INT(N(H156))&lt;=Config!$B$5,DK156=1,EI156=0),1,0)</f>
        <v>0</v>
      </c>
      <c r="DT156" s="23" t="n">
        <f aca="false">IF(AND(CC156=1,INT(N(H156))&lt;=Config!$B$6,DH156=0),1,0)</f>
        <v>0</v>
      </c>
      <c r="DU156" s="23" t="n">
        <f aca="false">IF(AND(CC156=1,INT(N(H156))&lt;=Config!$B$7,DI156=0),1,0)</f>
        <v>0</v>
      </c>
      <c r="DV156" s="23" t="n">
        <f aca="false">IF(AND(CC156=1,INT(N(H156))&lt;=Config!$B$8,DJ156=0),1,0)</f>
        <v>0</v>
      </c>
      <c r="DW156" s="23" t="n">
        <f aca="false">IF(AND(CC156=1,INT(N(H156))&lt;=Config!$B$5,DK156=0),1,0)</f>
        <v>0</v>
      </c>
      <c r="DX156" s="23" t="n">
        <f aca="false">IF(TRIM($A156)="",0,ISTEXT(M156)+ISTEXT(O156)+ISTEXT(Y156)+ISTEXT(Z156)+ISTEXT(AA156)+ISTEXT(AV156))</f>
        <v>0</v>
      </c>
      <c r="DY156" s="23" t="n">
        <f aca="false">IF(BB156=1,IF(H156&lt;&gt;INT(H156),1,0),0)</f>
        <v>0</v>
      </c>
      <c r="DZ156" s="23" t="str">
        <f aca="false">IF(TRIM($A156)="","",IF(TRIM(B156)="",SUBSTITUTE(SUBSTITUTE(SUBSTITUTE(SUBSTITUTE(SUBSTITUTE(SUBSTITUTE(LOWER(TRIM($A156)),"~",""),"*",""),"?",""),"&lt;",""),"&gt;",""),"=",""),SUBSTITUTE(SUBSTITUTE(SUBSTITUTE(SUBSTITUTE(SUBSTITUTE(SUBSTITUTE(LOWER(TRIM(B156)),"~",""),"*",""),"?",""),"&lt;",""),"&gt;",""),"=","")))</f>
        <v/>
      </c>
      <c r="EA156" s="23" t="str">
        <f aca="false">IF(CW156="","",IFERROR(IF(LEFT(LOWER(TRIM(INDEX(Clay_Offices!$A$2:$FZ$601,CW156,Sync!$C$19)&amp;"")),4)="grp-",SUBSTITUTE(SUBSTITUTE(SUBSTITUTE(SUBSTITUTE(SUBSTITUTE(SUBSTITUTE(LOWER(TRIM(INDEX(Clay_Offices!$A$2:$FZ$601,CW156,Sync!$C$19)&amp;"")),"~",""),"*",""),"?",""),"&lt;",""),"&gt;",""),"=",""),""),""))</f>
        <v/>
      </c>
      <c r="EB156" s="23" t="str">
        <f aca="false">IF(EA156&lt;&gt;"",DZ156,"")</f>
        <v/>
      </c>
      <c r="EC156" s="23" t="str">
        <f aca="false">IF(BC156=1,AZ156,"")</f>
        <v/>
      </c>
      <c r="ED156" s="23" t="str">
        <f aca="false">IF(TRIM($A156)="","",IFERROR(INDEX($A$2:$A$201,MATCH(AZ156,$EC$2:$EC$201,0))&amp;"",$A156&amp;""))</f>
        <v/>
      </c>
      <c r="EE156" s="23" t="n">
        <f aca="false">IF(BB156=1,IF(COUNTIFS($A$2:$A$201,$A156,$BB$2:$BB$201,1,$H$2:$H$201,"&lt;"&amp;H156)+COUNTIFS($A$2:$A$201,$A156,$BB$2:$BB$201,1,$H$2:$H$201,H156,$BA$2:$BA$201,"&lt;"&amp;BA156)=0,1,0),0)</f>
        <v>0</v>
      </c>
      <c r="EF156" s="23" t="n">
        <f aca="false">IF(BC156=1,IF(COUNTIFS($AZ$2:$AZ$201,AZ156,$EE$2:$EE$201,1)&gt;1,1,0),0)</f>
        <v>0</v>
      </c>
      <c r="EG156" s="23" t="n">
        <f aca="false">IF(AND(CQ156=1),IF(COUNTIFS($AZ$2:$AZ$201,AZ156,$CQ$2:$CQ$201,1,$H$2:$H$201,"&gt;"&amp;H156)+COUNTIFS($AZ$2:$AZ$201,AZ156,$CQ$2:$CQ$201,1,$H$2:$H$201,H156,$BA$2:$BA$201,"&gt;"&amp;BA156)=0,1,0),0)</f>
        <v>0</v>
      </c>
      <c r="EH156" s="23" t="str">
        <f aca="false">IF(BB156=1,IF(COUNTIFS($AZ$2:$AZ$201,AZ156,$EG$2:$EG$201,1)=0,"",SUMIFS($O$2:$O$201,$AZ$2:$AZ$201,AZ156,$EG$2:$EG$201,1)),"")</f>
        <v/>
      </c>
      <c r="EI156" s="23" t="n">
        <f aca="false">IF(AND(ISNUMBER(EH156),OR(N(EH156)&lt;Config!$B$31,N(EH156)&gt;Config!$B$33)),1,0)</f>
        <v>0</v>
      </c>
      <c r="EJ156" s="23" t="n">
        <f aca="false">IF(AND(ISNUMBER(EH156),N(EH156)&gt;=Config!$B$31,N(EH156)&lt;Config!$B$32),1,0)</f>
        <v>0</v>
      </c>
      <c r="EK156" s="23" t="n">
        <f aca="false">IF(AND(BF156=1,INT(N(H156))&lt;=Config!$B$6,DH156=1,EI156=1),1,0)</f>
        <v>0</v>
      </c>
      <c r="EL156" s="23" t="n">
        <f aca="false">IF(AND(BF156=1,INT(N(H156))&lt;=Config!$B$7,DI156=1,EI156=1),1,0)</f>
        <v>0</v>
      </c>
      <c r="EM156" s="23" t="n">
        <f aca="false">IF(AND(BF156=1,INT(N(H156))&lt;=Config!$B$8,DJ156=1,EI156=1),1,0)</f>
        <v>0</v>
      </c>
      <c r="EN156" s="23" t="n">
        <f aca="false">IF(AND(BF156=1,INT(N(H156))&lt;=Config!$B$5,DK156=1,EI156=1),1,0)</f>
        <v>0</v>
      </c>
      <c r="EO156" s="23" t="n">
        <f aca="false">IF(AND(DL156=1,EJ156=1),1,0)</f>
        <v>0</v>
      </c>
      <c r="EP156" s="23" t="n">
        <f aca="false">IF(AND(DM156=1,EJ156=1),1,0)</f>
        <v>0</v>
      </c>
      <c r="EQ156" s="23" t="n">
        <f aca="false">IF(AND(DN156=1,EJ156=1),1,0)</f>
        <v>0</v>
      </c>
      <c r="ER156" s="23" t="n">
        <f aca="false">IF(AND(DO156=1,EJ156=1),1,0)</f>
        <v>0</v>
      </c>
    </row>
    <row r="157" customFormat="false" ht="15" hidden="false" customHeight="false" outlineLevel="0" collapsed="false">
      <c r="G157" s="32"/>
      <c r="H157" s="33"/>
      <c r="I157" s="32"/>
      <c r="L157" s="32"/>
      <c r="Q157" s="32"/>
      <c r="U157" s="32"/>
      <c r="W157" s="32"/>
      <c r="AC157" s="32"/>
      <c r="AF157" s="32"/>
      <c r="AI157" s="32"/>
      <c r="AJ157" s="32"/>
      <c r="AN157" s="32"/>
      <c r="AR157" s="32"/>
      <c r="AT157" s="32"/>
      <c r="AU157" s="32"/>
      <c r="AW157" s="32"/>
      <c r="AY157" s="34" t="str">
        <f aca="false">IF(TRIM($A157)="","",IF(AND(LEFT($A157,6)="SAMPLE",Config!$B$19&lt;&gt;"Y"),"",IF(NOT(ISNUMBER(H157)),"call_date is blank or not a date",IF(Sync!$C$5="","Clay paste is empty or has no row_id column: paste the Clay export on Clay_Offices",IF(CW157="","row_id not found in the Clay paste: add the Clay row or fix the row_id",IF(AND(ISNUMBER(CY157),CY157&gt;=1,CY157&lt;=5),"Clay status is "&amp;CX157&amp;": set call_done or later",IF(AND(BD157=1,CZ157&lt;&gt;BZ157),"Clay yes_in_principle should be "&amp;BZ157,IF(AND(BD157=1,DA157&lt;&gt;H157),"Clay call_date should be "&amp;TEXT(H157,"yyyy-mm-dd"),""))))))))</f>
        <v/>
      </c>
      <c r="AZ157" s="23" t="str">
        <f aca="false">IF(TRIM($A157)="","",IF(TRIM(C157)&lt;&gt;"",SUBSTITUTE(SUBSTITUTE(SUBSTITUTE(SUBSTITUTE(SUBSTITUTE(SUBSTITUTE(LOWER(TRIM(C157)),"~",""),"*",""),"?",""),"&lt;",""),"&gt;",""),"=",""),IF(EA157&lt;&gt;"",EA157,IFERROR(INDEX($EA$2:$EA$201,MATCH(DZ157,$EB$2:$EB$201,0)),DZ157))))</f>
        <v/>
      </c>
      <c r="BA157" s="23" t="n">
        <f aca="false">ROW()</f>
        <v>157</v>
      </c>
      <c r="BB157" s="23" t="n">
        <f aca="false">IF(AND(TRIM($A157)&lt;&gt;"",ISNUMBER(H157)),IF(AND(LEFT($A157,6)="SAMPLE",Config!$B$19&lt;&gt;"Y"),0,1),0)</f>
        <v>0</v>
      </c>
      <c r="BC157" s="23" t="n">
        <f aca="false">IF(BB157=1,IF(COUNTIFS($AZ$2:$AZ$201,AZ157,$BB$2:$BB$201,1,$H$2:$H$201,"&lt;"&amp;H157)+COUNTIFS($AZ$2:$AZ$201,AZ157,$BB$2:$BB$201,1,$H$2:$H$201,H157,$BA$2:$BA$201,"&lt;"&amp;BA157)=0,1,0),0)</f>
        <v>0</v>
      </c>
      <c r="BD157" s="23" t="n">
        <f aca="false">IF(BB157=1,IF(COUNTIFS($A$2:$A$201,$A157,$BB$2:$BB$201,1,$H$2:$H$201,"&gt;"&amp;H157)+COUNTIFS($A$2:$A$201,$A157,$BB$2:$BB$201,1,$H$2:$H$201,H157,$BA$2:$BA$201,"&gt;"&amp;BA157)=0,1,0),0)</f>
        <v>0</v>
      </c>
      <c r="BE157" s="23" t="n">
        <f aca="false">IF(AND(BB157=1,AR157="Y",AC157="Y",TRIM(AH157)&lt;&gt;""),1,0)</f>
        <v>0</v>
      </c>
      <c r="BF157" s="23" t="n">
        <f aca="false">IF(BE157=1,IF(COUNTIFS($AZ$2:$AZ$201,AZ157,$BE$2:$BE$201,1,$H$2:$H$201,"&lt;"&amp;H157)+COUNTIFS($AZ$2:$AZ$201,AZ157,$BE$2:$BE$201,1,$H$2:$H$201,H157,$BA$2:$BA$201,"&lt;"&amp;BA157)=0,1,0),0)</f>
        <v>0</v>
      </c>
      <c r="BG157" s="23" t="n">
        <f aca="false">IF(AND(BB157=1,AR157="Y",BE157=0),1,0)</f>
        <v>0</v>
      </c>
      <c r="BH157" s="23" t="n">
        <f aca="false">IF(AND(BB157=1,ISNUMBER(Y157)),1,0)</f>
        <v>0</v>
      </c>
      <c r="BI157" s="23" t="n">
        <f aca="false">IF(BH157=1,IF(COUNTIFS($AZ$2:$AZ$201,AZ157,$BH$2:$BH$201,1,$H$2:$H$201,"&lt;"&amp;H157)+COUNTIFS($AZ$2:$AZ$201,AZ157,$BH$2:$BH$201,1,$H$2:$H$201,H157,$BA$2:$BA$201,"&lt;"&amp;BA157)=0,1,0),0)</f>
        <v>0</v>
      </c>
      <c r="BJ157" s="23" t="str">
        <f aca="false">IF(AND(BI157=1,INT(N(H157))&lt;=Config!$B$6),Y157,"")</f>
        <v/>
      </c>
      <c r="BK157" s="23" t="str">
        <f aca="false">IF(AND(BI157=1,INT(N(H157))&lt;=Config!$B$7),Y157,"")</f>
        <v/>
      </c>
      <c r="BL157" s="23" t="str">
        <f aca="false">IF(AND(BI157=1,INT(N(H157))&lt;=Config!$B$8),Y157,"")</f>
        <v/>
      </c>
      <c r="BM157" s="23" t="str">
        <f aca="false">IF(AND(BI157=1,INT(N(H157))&lt;=Config!$B$5),Y157,"")</f>
        <v/>
      </c>
      <c r="BN157" s="23" t="n">
        <f aca="false">IF(CD157=1,IF(COUNTIFS($AZ$2:$AZ$201,AZ157,$CD$2:$CD$201,1,$H$2:$H$201,"&lt;"&amp;H157)+COUNTIFS($AZ$2:$AZ$201,AZ157,$CD$2:$CD$201,1,$H$2:$H$201,H157,$BA$2:$BA$201,"&lt;"&amp;BA157)=0,1,0),0)</f>
        <v>0</v>
      </c>
      <c r="BO157" s="23" t="n">
        <f aca="false">IF(AND(BB157=1,ISNUMBER(M157)),1,0)</f>
        <v>0</v>
      </c>
      <c r="BP157" s="23" t="n">
        <f aca="false">IF(BO157=1,IF(COUNTIFS($AZ$2:$AZ$201,AZ157,$BO$2:$BO$201,1,$H$2:$H$201,"&lt;"&amp;H157)+COUNTIFS($AZ$2:$AZ$201,AZ157,$BO$2:$BO$201,1,$H$2:$H$201,H157,$BA$2:$BA$201,"&lt;"&amp;BA157)=0,1,0),0)</f>
        <v>0</v>
      </c>
      <c r="BQ157" s="23" t="str">
        <f aca="false">IF(AND(BP157=1,INT(N(H157))&lt;=Config!$B$5),M157,"")</f>
        <v/>
      </c>
      <c r="BR157" s="23" t="n">
        <f aca="false">IF(AND(BB157=1,OR(TRIM(X157)&lt;&gt;"",ISNUMBER(Y157))),1,0)</f>
        <v>0</v>
      </c>
      <c r="BS157" s="23" t="n">
        <f aca="false">IF(BR157=1,IF(COUNTIFS($AZ$2:$AZ$201,AZ157,$BR$2:$BR$201,1,$H$2:$H$201,"&lt;"&amp;H157)+COUNTIFS($AZ$2:$AZ$201,AZ157,$BR$2:$BR$201,1,$H$2:$H$201,H157,$BA$2:$BA$201,"&lt;"&amp;BA157)=0,1,0),0)</f>
        <v>0</v>
      </c>
      <c r="BT157" s="23" t="str">
        <f aca="false">IF(BS157=1,AZ157,"")</f>
        <v/>
      </c>
      <c r="BU157" s="23" t="n">
        <f aca="false">IF(AND(BB157=1,W157="Y",TRIM(X157)=""),1,0)</f>
        <v>0</v>
      </c>
      <c r="BV157" s="23" t="str">
        <f aca="false">IF(BB157=1,AN157&amp;"","")</f>
        <v/>
      </c>
      <c r="BW157" s="23" t="str">
        <f aca="false">IF(BB157=1,AO157&amp;"","")</f>
        <v/>
      </c>
      <c r="BX157" s="23" t="str">
        <f aca="false">IF(BB157=1,AP157&amp;"","")</f>
        <v/>
      </c>
      <c r="BY157" s="23" t="str">
        <f aca="false">IF(AND(BB157=1,ISNUMBER(AV157),INT(N(H157))&lt;=Config!$B$5),AV157,"")</f>
        <v/>
      </c>
      <c r="BZ157" s="23" t="str">
        <f aca="false">IF(BB157=1,IF(COUNTIFS($A$2:$A$201,$A157,$DC$2:$DC$201,1,$AR$2:$AR$201,"Y")&gt;0,"Y","N"),"")</f>
        <v/>
      </c>
      <c r="CA157" s="23" t="n">
        <f aca="false">IF(AND(BB157=1,AR157="maybe"),1,0)</f>
        <v>0</v>
      </c>
      <c r="CB157" s="23" t="n">
        <f aca="false">IF(CA157=1,IF(COUNTIFS($AZ$2:$AZ$201,AZ157,$CA$2:$CA$201,1,$H$2:$H$201,"&lt;"&amp;H157)+COUNTIFS($AZ$2:$AZ$201,AZ157,$CA$2:$CA$201,1,$H$2:$H$201,H157,$BA$2:$BA$201,"&lt;"&amp;BA157)=0,1,0),0)</f>
        <v>0</v>
      </c>
      <c r="CC157" s="23" t="n">
        <f aca="false">IF(AND(BB157=1,AR157="Y"),IF(COUNTIFS($AZ$2:$AZ$201,AZ157,$AR$2:$AR$201,"Y",$BB$2:$BB$201,1,$H$2:$H$201,"&lt;"&amp;H157)+COUNTIFS($AZ$2:$AZ$201,AZ157,$AR$2:$AR$201,"Y",$BB$2:$BB$201,1,$H$2:$H$201,H157,$BA$2:$BA$201,"&lt;"&amp;BA157)=0,1,0),0)</f>
        <v>0</v>
      </c>
      <c r="CD157" s="23" t="n">
        <f aca="false">IF(AND(BH157=1,N(Y157)&gt;=Config!$B$15),1,0)</f>
        <v>0</v>
      </c>
      <c r="CE157" s="23" t="n">
        <f aca="false">IF(AND(BB157=1,AT157="Y"),1,0)</f>
        <v>0</v>
      </c>
      <c r="CF157" s="23" t="n">
        <f aca="false">IF(CE157=1,IF(COUNTIFS($AZ$2:$AZ$201,AZ157,$CE$2:$CE$201,1,$H$2:$H$201,"&lt;"&amp;H157)+COUNTIFS($AZ$2:$AZ$201,AZ157,$CE$2:$CE$201,1,$H$2:$H$201,H157,$BA$2:$BA$201,"&lt;"&amp;BA157)=0,1,0),0)</f>
        <v>0</v>
      </c>
      <c r="CG157" s="23" t="n">
        <f aca="false">IF(AND(BB157=1,G157="warm-intro"),1,0)</f>
        <v>0</v>
      </c>
      <c r="CH157" s="23" t="n">
        <f aca="false">IF(CG157=1,IF(COUNTIFS($AZ$2:$AZ$201,AZ157,$CG$2:$CG$201,1,$H$2:$H$201,"&lt;"&amp;H157)+COUNTIFS($AZ$2:$AZ$201,AZ157,$CG$2:$CG$201,1,$H$2:$H$201,H157,$BA$2:$BA$201,"&lt;"&amp;BA157)=0,1,0),0)</f>
        <v>0</v>
      </c>
      <c r="CI157" s="23" t="n">
        <f aca="false">IF(AND(BB157=1,Q157="Y"),1,0)</f>
        <v>0</v>
      </c>
      <c r="CJ157" s="23" t="n">
        <f aca="false">IF(CI157=1,IF(COUNTIFS($AZ$2:$AZ$201,AZ157,$CI$2:$CI$201,1,$H$2:$H$201,"&lt;"&amp;H157)+COUNTIFS($AZ$2:$AZ$201,AZ157,$CI$2:$CI$201,1,$H$2:$H$201,H157,$BA$2:$BA$201,"&lt;"&amp;BA157)=0,1,0),0)</f>
        <v>0</v>
      </c>
      <c r="CK157" s="23" t="n">
        <f aca="false">IF(AND(BB157=1,AF157="Y"),1,0)</f>
        <v>0</v>
      </c>
      <c r="CL157" s="23" t="n">
        <f aca="false">IF(CK157=1,IF(COUNTIFS($AZ$2:$AZ$201,AZ157,$CK$2:$CK$201,1,$H$2:$H$201,"&lt;"&amp;H157)+COUNTIFS($AZ$2:$AZ$201,AZ157,$CK$2:$CK$201,1,$H$2:$H$201,H157,$BA$2:$BA$201,"&lt;"&amp;BA157)=0,1,0),0)</f>
        <v>0</v>
      </c>
      <c r="CM157" s="23" t="n">
        <f aca="false">IF(AND(BB157=1,U157="Y"),1,0)</f>
        <v>0</v>
      </c>
      <c r="CN157" s="23" t="n">
        <f aca="false">IF(CM157=1,IF(COUNTIFS($AZ$2:$AZ$201,AZ157,$CM$2:$CM$201,1,$H$2:$H$201,"&lt;"&amp;H157)+COUNTIFS($AZ$2:$AZ$201,AZ157,$CM$2:$CM$201,1,$H$2:$H$201,H157,$BA$2:$BA$201,"&lt;"&amp;BA157)=0,1,0),0)</f>
        <v>0</v>
      </c>
      <c r="CO157" s="23" t="n">
        <f aca="false">IF(AND(BB157=1,L157="Y"),1,0)</f>
        <v>0</v>
      </c>
      <c r="CP157" s="23" t="n">
        <f aca="false">IF(CO157=1,IF(COUNTIFS($AZ$2:$AZ$201,AZ157,$CO$2:$CO$201,1,$H$2:$H$201,"&lt;"&amp;H157)+COUNTIFS($AZ$2:$AZ$201,AZ157,$CO$2:$CO$201,1,$H$2:$H$201,H157,$BA$2:$BA$201,"&lt;"&amp;BA157)=0,1,0),0)</f>
        <v>0</v>
      </c>
      <c r="CQ157" s="23" t="n">
        <f aca="false">IF(AND(BB157=1,ISNUMBER(O157)),1,0)</f>
        <v>0</v>
      </c>
      <c r="CR157" s="23" t="n">
        <f aca="false">IF(CQ157=1,IF(COUNTIFS($AZ$2:$AZ$201,AZ157,$CQ$2:$CQ$201,1,$H$2:$H$201,"&lt;"&amp;H157)+COUNTIFS($AZ$2:$AZ$201,AZ157,$CQ$2:$CQ$201,1,$H$2:$H$201,H157,$BA$2:$BA$201,"&lt;"&amp;BA157)=0,1,0),0)</f>
        <v>0</v>
      </c>
      <c r="CS157" s="23" t="str">
        <f aca="false">IF(AND(CR157=1,INT(N(H157))&lt;=Config!$B$5),O157,"")</f>
        <v/>
      </c>
      <c r="CT157" s="23" t="str">
        <f aca="false">IF(AND(BB157=1,INT(N(H157))&lt;=Config!$B$5),AG157&amp;"","")</f>
        <v/>
      </c>
      <c r="CU157" s="23" t="n">
        <f aca="false">IF(AND(BB157=1,AU157="Y"),1,0)</f>
        <v>0</v>
      </c>
      <c r="CV157" s="23" t="n">
        <f aca="false">IF(CU157=1,IF(COUNTIFS($AZ$2:$AZ$201,AZ157,$CU$2:$CU$201,1,$H$2:$H$201,"&lt;"&amp;H157)+COUNTIFS($AZ$2:$AZ$201,AZ157,$CU$2:$CU$201,1,$H$2:$H$201,H157,$BA$2:$BA$201,"&lt;"&amp;BA157)=0,1,0),0)</f>
        <v>0</v>
      </c>
      <c r="CW157" s="23" t="str">
        <f aca="false">IF(BB157=1,IFERROR(MATCH($A157,INDEX(Clay_Offices!$A$2:$FZ$601,0,Sync!$C$5),0),""),"")</f>
        <v/>
      </c>
      <c r="CX157" s="23" t="str">
        <f aca="false">IF(CW157="","",IFERROR(INDEX(Clay_Offices!$A$2:$FZ$601,CW157,Sync!$C$7)&amp;"",""))</f>
        <v/>
      </c>
      <c r="CY157" s="23" t="str">
        <f aca="false">IF(CX157="","",IFERROR(INDEX(Lists!$K$2:$K$15,MATCH(CX157,Lists!$J$2:$J$15,0)),""))</f>
        <v/>
      </c>
      <c r="CZ157" s="23" t="str">
        <f aca="false">IF(CW157="","",IFERROR(INDEX(Clay_Offices!$A$2:$FZ$601,CW157,Sync!$C$17)&amp;"",""))</f>
        <v/>
      </c>
      <c r="DA157" s="35" t="str">
        <f aca="false">IF(CW157="","",IFERROR(N(INDEX(Clay_Offices!$A$2:$FZ$601,CW157,Sync!$C$16)),0))</f>
        <v/>
      </c>
      <c r="DB157" s="23" t="n">
        <f aca="false">IF(AND(BB157=1,OR(AR157="Y",AR157="N",AR157="maybe")),1,0)</f>
        <v>0</v>
      </c>
      <c r="DC157" s="23" t="n">
        <f aca="false">IF(AND(DB157=1),IF(COUNTIFS($A$2:$A$201,$A157,$DB$2:$DB$201,1,$H$2:$H$201,"&gt;"&amp;H157)+COUNTIFS($A$2:$A$201,$A157,$DB$2:$DB$201,1,$H$2:$H$201,H157,$BA$2:$BA$201,"&gt;"&amp;BA157)=0,1,0),0)</f>
        <v>0</v>
      </c>
      <c r="DD157" s="23" t="n">
        <f aca="false">IF(AND(DB157=1,INT(N(H157))&lt;=Config!$B$6),IF(COUNTIFS($AZ$2:$AZ$201,AZ157,$DB$2:$DB$201,1,$H$2:$H$201,"&gt;"&amp;H157,$H$2:$H$201,"&lt;"&amp;(Config!$B$6+1))+COUNTIFS($AZ$2:$AZ$201,AZ157,$DB$2:$DB$201,1,$H$2:$H$201,H157,$BA$2:$BA$201,"&gt;"&amp;BA157)=0,1,0),0)</f>
        <v>0</v>
      </c>
      <c r="DE157" s="23" t="n">
        <f aca="false">IF(AND(DB157=1,INT(N(H157))&lt;=Config!$B$7),IF(COUNTIFS($AZ$2:$AZ$201,AZ157,$DB$2:$DB$201,1,$H$2:$H$201,"&gt;"&amp;H157,$H$2:$H$201,"&lt;"&amp;(Config!$B$7+1))+COUNTIFS($AZ$2:$AZ$201,AZ157,$DB$2:$DB$201,1,$H$2:$H$201,H157,$BA$2:$BA$201,"&gt;"&amp;BA157)=0,1,0),0)</f>
        <v>0</v>
      </c>
      <c r="DF157" s="23" t="n">
        <f aca="false">IF(AND(DB157=1,INT(N(H157))&lt;=Config!$B$8),IF(COUNTIFS($AZ$2:$AZ$201,AZ157,$DB$2:$DB$201,1,$H$2:$H$201,"&gt;"&amp;H157,$H$2:$H$201,"&lt;"&amp;(Config!$B$8+1))+COUNTIFS($AZ$2:$AZ$201,AZ157,$DB$2:$DB$201,1,$H$2:$H$201,H157,$BA$2:$BA$201,"&gt;"&amp;BA157)=0,1,0),0)</f>
        <v>0</v>
      </c>
      <c r="DG157" s="23" t="n">
        <f aca="false">IF(AND(DB157=1,INT(N(H157))&lt;=Config!$B$5),IF(COUNTIFS($AZ$2:$AZ$201,AZ157,$DB$2:$DB$201,1,$H$2:$H$201,"&gt;"&amp;H157,$H$2:$H$201,"&lt;"&amp;(Config!$B$5+1))+COUNTIFS($AZ$2:$AZ$201,AZ157,$DB$2:$DB$201,1,$H$2:$H$201,H157,$BA$2:$BA$201,"&gt;"&amp;BA157)=0,1,0),0)</f>
        <v>0</v>
      </c>
      <c r="DH157" s="23" t="n">
        <f aca="false">IF(BB157=1,IF(COUNTIFS($AZ$2:$AZ$201,AZ157,$DD$2:$DD$201,1,$AR$2:$AR$201,"Y")&gt;0,1,0),0)</f>
        <v>0</v>
      </c>
      <c r="DI157" s="23" t="n">
        <f aca="false">IF(BB157=1,IF(COUNTIFS($AZ$2:$AZ$201,AZ157,$DE$2:$DE$201,1,$AR$2:$AR$201,"Y")&gt;0,1,0),0)</f>
        <v>0</v>
      </c>
      <c r="DJ157" s="23" t="n">
        <f aca="false">IF(BB157=1,IF(COUNTIFS($AZ$2:$AZ$201,AZ157,$DF$2:$DF$201,1,$AR$2:$AR$201,"Y")&gt;0,1,0),0)</f>
        <v>0</v>
      </c>
      <c r="DK157" s="23" t="n">
        <f aca="false">IF(BB157=1,IF(COUNTIFS($AZ$2:$AZ$201,AZ157,$DG$2:$DG$201,1,$AR$2:$AR$201,"Y")&gt;0,1,0),0)</f>
        <v>0</v>
      </c>
      <c r="DL157" s="23" t="n">
        <f aca="false">IF(AND(BF157=1,INT(N(H157))&lt;=Config!$B$6,DH157=1,EI157=0),1,0)</f>
        <v>0</v>
      </c>
      <c r="DM157" s="23" t="n">
        <f aca="false">IF(AND(BF157=1,INT(N(H157))&lt;=Config!$B$7,DI157=1,EI157=0),1,0)</f>
        <v>0</v>
      </c>
      <c r="DN157" s="23" t="n">
        <f aca="false">IF(AND(BF157=1,INT(N(H157))&lt;=Config!$B$8,DJ157=1,EI157=0),1,0)</f>
        <v>0</v>
      </c>
      <c r="DO157" s="23" t="n">
        <f aca="false">IF(AND(BF157=1,INT(N(H157))&lt;=Config!$B$5,DK157=1,EI157=0),1,0)</f>
        <v>0</v>
      </c>
      <c r="DP157" s="23" t="n">
        <f aca="false">IF(AND(CC157=1,INT(N(H157))&lt;=Config!$B$6,DH157=1,EI157=0),1,0)</f>
        <v>0</v>
      </c>
      <c r="DQ157" s="23" t="n">
        <f aca="false">IF(AND(CC157=1,INT(N(H157))&lt;=Config!$B$7,DI157=1,EI157=0),1,0)</f>
        <v>0</v>
      </c>
      <c r="DR157" s="23" t="n">
        <f aca="false">IF(AND(CC157=1,INT(N(H157))&lt;=Config!$B$8,DJ157=1,EI157=0),1,0)</f>
        <v>0</v>
      </c>
      <c r="DS157" s="23" t="n">
        <f aca="false">IF(AND(CC157=1,INT(N(H157))&lt;=Config!$B$5,DK157=1,EI157=0),1,0)</f>
        <v>0</v>
      </c>
      <c r="DT157" s="23" t="n">
        <f aca="false">IF(AND(CC157=1,INT(N(H157))&lt;=Config!$B$6,DH157=0),1,0)</f>
        <v>0</v>
      </c>
      <c r="DU157" s="23" t="n">
        <f aca="false">IF(AND(CC157=1,INT(N(H157))&lt;=Config!$B$7,DI157=0),1,0)</f>
        <v>0</v>
      </c>
      <c r="DV157" s="23" t="n">
        <f aca="false">IF(AND(CC157=1,INT(N(H157))&lt;=Config!$B$8,DJ157=0),1,0)</f>
        <v>0</v>
      </c>
      <c r="DW157" s="23" t="n">
        <f aca="false">IF(AND(CC157=1,INT(N(H157))&lt;=Config!$B$5,DK157=0),1,0)</f>
        <v>0</v>
      </c>
      <c r="DX157" s="23" t="n">
        <f aca="false">IF(TRIM($A157)="",0,ISTEXT(M157)+ISTEXT(O157)+ISTEXT(Y157)+ISTEXT(Z157)+ISTEXT(AA157)+ISTEXT(AV157))</f>
        <v>0</v>
      </c>
      <c r="DY157" s="23" t="n">
        <f aca="false">IF(BB157=1,IF(H157&lt;&gt;INT(H157),1,0),0)</f>
        <v>0</v>
      </c>
      <c r="DZ157" s="23" t="str">
        <f aca="false">IF(TRIM($A157)="","",IF(TRIM(B157)="",SUBSTITUTE(SUBSTITUTE(SUBSTITUTE(SUBSTITUTE(SUBSTITUTE(SUBSTITUTE(LOWER(TRIM($A157)),"~",""),"*",""),"?",""),"&lt;",""),"&gt;",""),"=",""),SUBSTITUTE(SUBSTITUTE(SUBSTITUTE(SUBSTITUTE(SUBSTITUTE(SUBSTITUTE(LOWER(TRIM(B157)),"~",""),"*",""),"?",""),"&lt;",""),"&gt;",""),"=","")))</f>
        <v/>
      </c>
      <c r="EA157" s="23" t="str">
        <f aca="false">IF(CW157="","",IFERROR(IF(LEFT(LOWER(TRIM(INDEX(Clay_Offices!$A$2:$FZ$601,CW157,Sync!$C$19)&amp;"")),4)="grp-",SUBSTITUTE(SUBSTITUTE(SUBSTITUTE(SUBSTITUTE(SUBSTITUTE(SUBSTITUTE(LOWER(TRIM(INDEX(Clay_Offices!$A$2:$FZ$601,CW157,Sync!$C$19)&amp;"")),"~",""),"*",""),"?",""),"&lt;",""),"&gt;",""),"=",""),""),""))</f>
        <v/>
      </c>
      <c r="EB157" s="23" t="str">
        <f aca="false">IF(EA157&lt;&gt;"",DZ157,"")</f>
        <v/>
      </c>
      <c r="EC157" s="23" t="str">
        <f aca="false">IF(BC157=1,AZ157,"")</f>
        <v/>
      </c>
      <c r="ED157" s="23" t="str">
        <f aca="false">IF(TRIM($A157)="","",IFERROR(INDEX($A$2:$A$201,MATCH(AZ157,$EC$2:$EC$201,0))&amp;"",$A157&amp;""))</f>
        <v/>
      </c>
      <c r="EE157" s="23" t="n">
        <f aca="false">IF(BB157=1,IF(COUNTIFS($A$2:$A$201,$A157,$BB$2:$BB$201,1,$H$2:$H$201,"&lt;"&amp;H157)+COUNTIFS($A$2:$A$201,$A157,$BB$2:$BB$201,1,$H$2:$H$201,H157,$BA$2:$BA$201,"&lt;"&amp;BA157)=0,1,0),0)</f>
        <v>0</v>
      </c>
      <c r="EF157" s="23" t="n">
        <f aca="false">IF(BC157=1,IF(COUNTIFS($AZ$2:$AZ$201,AZ157,$EE$2:$EE$201,1)&gt;1,1,0),0)</f>
        <v>0</v>
      </c>
      <c r="EG157" s="23" t="n">
        <f aca="false">IF(AND(CQ157=1),IF(COUNTIFS($AZ$2:$AZ$201,AZ157,$CQ$2:$CQ$201,1,$H$2:$H$201,"&gt;"&amp;H157)+COUNTIFS($AZ$2:$AZ$201,AZ157,$CQ$2:$CQ$201,1,$H$2:$H$201,H157,$BA$2:$BA$201,"&gt;"&amp;BA157)=0,1,0),0)</f>
        <v>0</v>
      </c>
      <c r="EH157" s="23" t="str">
        <f aca="false">IF(BB157=1,IF(COUNTIFS($AZ$2:$AZ$201,AZ157,$EG$2:$EG$201,1)=0,"",SUMIFS($O$2:$O$201,$AZ$2:$AZ$201,AZ157,$EG$2:$EG$201,1)),"")</f>
        <v/>
      </c>
      <c r="EI157" s="23" t="n">
        <f aca="false">IF(AND(ISNUMBER(EH157),OR(N(EH157)&lt;Config!$B$31,N(EH157)&gt;Config!$B$33)),1,0)</f>
        <v>0</v>
      </c>
      <c r="EJ157" s="23" t="n">
        <f aca="false">IF(AND(ISNUMBER(EH157),N(EH157)&gt;=Config!$B$31,N(EH157)&lt;Config!$B$32),1,0)</f>
        <v>0</v>
      </c>
      <c r="EK157" s="23" t="n">
        <f aca="false">IF(AND(BF157=1,INT(N(H157))&lt;=Config!$B$6,DH157=1,EI157=1),1,0)</f>
        <v>0</v>
      </c>
      <c r="EL157" s="23" t="n">
        <f aca="false">IF(AND(BF157=1,INT(N(H157))&lt;=Config!$B$7,DI157=1,EI157=1),1,0)</f>
        <v>0</v>
      </c>
      <c r="EM157" s="23" t="n">
        <f aca="false">IF(AND(BF157=1,INT(N(H157))&lt;=Config!$B$8,DJ157=1,EI157=1),1,0)</f>
        <v>0</v>
      </c>
      <c r="EN157" s="23" t="n">
        <f aca="false">IF(AND(BF157=1,INT(N(H157))&lt;=Config!$B$5,DK157=1,EI157=1),1,0)</f>
        <v>0</v>
      </c>
      <c r="EO157" s="23" t="n">
        <f aca="false">IF(AND(DL157=1,EJ157=1),1,0)</f>
        <v>0</v>
      </c>
      <c r="EP157" s="23" t="n">
        <f aca="false">IF(AND(DM157=1,EJ157=1),1,0)</f>
        <v>0</v>
      </c>
      <c r="EQ157" s="23" t="n">
        <f aca="false">IF(AND(DN157=1,EJ157=1),1,0)</f>
        <v>0</v>
      </c>
      <c r="ER157" s="23" t="n">
        <f aca="false">IF(AND(DO157=1,EJ157=1),1,0)</f>
        <v>0</v>
      </c>
    </row>
    <row r="158" customFormat="false" ht="15" hidden="false" customHeight="false" outlineLevel="0" collapsed="false">
      <c r="G158" s="32"/>
      <c r="H158" s="33"/>
      <c r="I158" s="32"/>
      <c r="L158" s="32"/>
      <c r="Q158" s="32"/>
      <c r="U158" s="32"/>
      <c r="W158" s="32"/>
      <c r="AC158" s="32"/>
      <c r="AF158" s="32"/>
      <c r="AI158" s="32"/>
      <c r="AJ158" s="32"/>
      <c r="AN158" s="32"/>
      <c r="AR158" s="32"/>
      <c r="AT158" s="32"/>
      <c r="AU158" s="32"/>
      <c r="AW158" s="32"/>
      <c r="AY158" s="34" t="str">
        <f aca="false">IF(TRIM($A158)="","",IF(AND(LEFT($A158,6)="SAMPLE",Config!$B$19&lt;&gt;"Y"),"",IF(NOT(ISNUMBER(H158)),"call_date is blank or not a date",IF(Sync!$C$5="","Clay paste is empty or has no row_id column: paste the Clay export on Clay_Offices",IF(CW158="","row_id not found in the Clay paste: add the Clay row or fix the row_id",IF(AND(ISNUMBER(CY158),CY158&gt;=1,CY158&lt;=5),"Clay status is "&amp;CX158&amp;": set call_done or later",IF(AND(BD158=1,CZ158&lt;&gt;BZ158),"Clay yes_in_principle should be "&amp;BZ158,IF(AND(BD158=1,DA158&lt;&gt;H158),"Clay call_date should be "&amp;TEXT(H158,"yyyy-mm-dd"),""))))))))</f>
        <v/>
      </c>
      <c r="AZ158" s="23" t="str">
        <f aca="false">IF(TRIM($A158)="","",IF(TRIM(C158)&lt;&gt;"",SUBSTITUTE(SUBSTITUTE(SUBSTITUTE(SUBSTITUTE(SUBSTITUTE(SUBSTITUTE(LOWER(TRIM(C158)),"~",""),"*",""),"?",""),"&lt;",""),"&gt;",""),"=",""),IF(EA158&lt;&gt;"",EA158,IFERROR(INDEX($EA$2:$EA$201,MATCH(DZ158,$EB$2:$EB$201,0)),DZ158))))</f>
        <v/>
      </c>
      <c r="BA158" s="23" t="n">
        <f aca="false">ROW()</f>
        <v>158</v>
      </c>
      <c r="BB158" s="23" t="n">
        <f aca="false">IF(AND(TRIM($A158)&lt;&gt;"",ISNUMBER(H158)),IF(AND(LEFT($A158,6)="SAMPLE",Config!$B$19&lt;&gt;"Y"),0,1),0)</f>
        <v>0</v>
      </c>
      <c r="BC158" s="23" t="n">
        <f aca="false">IF(BB158=1,IF(COUNTIFS($AZ$2:$AZ$201,AZ158,$BB$2:$BB$201,1,$H$2:$H$201,"&lt;"&amp;H158)+COUNTIFS($AZ$2:$AZ$201,AZ158,$BB$2:$BB$201,1,$H$2:$H$201,H158,$BA$2:$BA$201,"&lt;"&amp;BA158)=0,1,0),0)</f>
        <v>0</v>
      </c>
      <c r="BD158" s="23" t="n">
        <f aca="false">IF(BB158=1,IF(COUNTIFS($A$2:$A$201,$A158,$BB$2:$BB$201,1,$H$2:$H$201,"&gt;"&amp;H158)+COUNTIFS($A$2:$A$201,$A158,$BB$2:$BB$201,1,$H$2:$H$201,H158,$BA$2:$BA$201,"&gt;"&amp;BA158)=0,1,0),0)</f>
        <v>0</v>
      </c>
      <c r="BE158" s="23" t="n">
        <f aca="false">IF(AND(BB158=1,AR158="Y",AC158="Y",TRIM(AH158)&lt;&gt;""),1,0)</f>
        <v>0</v>
      </c>
      <c r="BF158" s="23" t="n">
        <f aca="false">IF(BE158=1,IF(COUNTIFS($AZ$2:$AZ$201,AZ158,$BE$2:$BE$201,1,$H$2:$H$201,"&lt;"&amp;H158)+COUNTIFS($AZ$2:$AZ$201,AZ158,$BE$2:$BE$201,1,$H$2:$H$201,H158,$BA$2:$BA$201,"&lt;"&amp;BA158)=0,1,0),0)</f>
        <v>0</v>
      </c>
      <c r="BG158" s="23" t="n">
        <f aca="false">IF(AND(BB158=1,AR158="Y",BE158=0),1,0)</f>
        <v>0</v>
      </c>
      <c r="BH158" s="23" t="n">
        <f aca="false">IF(AND(BB158=1,ISNUMBER(Y158)),1,0)</f>
        <v>0</v>
      </c>
      <c r="BI158" s="23" t="n">
        <f aca="false">IF(BH158=1,IF(COUNTIFS($AZ$2:$AZ$201,AZ158,$BH$2:$BH$201,1,$H$2:$H$201,"&lt;"&amp;H158)+COUNTIFS($AZ$2:$AZ$201,AZ158,$BH$2:$BH$201,1,$H$2:$H$201,H158,$BA$2:$BA$201,"&lt;"&amp;BA158)=0,1,0),0)</f>
        <v>0</v>
      </c>
      <c r="BJ158" s="23" t="str">
        <f aca="false">IF(AND(BI158=1,INT(N(H158))&lt;=Config!$B$6),Y158,"")</f>
        <v/>
      </c>
      <c r="BK158" s="23" t="str">
        <f aca="false">IF(AND(BI158=1,INT(N(H158))&lt;=Config!$B$7),Y158,"")</f>
        <v/>
      </c>
      <c r="BL158" s="23" t="str">
        <f aca="false">IF(AND(BI158=1,INT(N(H158))&lt;=Config!$B$8),Y158,"")</f>
        <v/>
      </c>
      <c r="BM158" s="23" t="str">
        <f aca="false">IF(AND(BI158=1,INT(N(H158))&lt;=Config!$B$5),Y158,"")</f>
        <v/>
      </c>
      <c r="BN158" s="23" t="n">
        <f aca="false">IF(CD158=1,IF(COUNTIFS($AZ$2:$AZ$201,AZ158,$CD$2:$CD$201,1,$H$2:$H$201,"&lt;"&amp;H158)+COUNTIFS($AZ$2:$AZ$201,AZ158,$CD$2:$CD$201,1,$H$2:$H$201,H158,$BA$2:$BA$201,"&lt;"&amp;BA158)=0,1,0),0)</f>
        <v>0</v>
      </c>
      <c r="BO158" s="23" t="n">
        <f aca="false">IF(AND(BB158=1,ISNUMBER(M158)),1,0)</f>
        <v>0</v>
      </c>
      <c r="BP158" s="23" t="n">
        <f aca="false">IF(BO158=1,IF(COUNTIFS($AZ$2:$AZ$201,AZ158,$BO$2:$BO$201,1,$H$2:$H$201,"&lt;"&amp;H158)+COUNTIFS($AZ$2:$AZ$201,AZ158,$BO$2:$BO$201,1,$H$2:$H$201,H158,$BA$2:$BA$201,"&lt;"&amp;BA158)=0,1,0),0)</f>
        <v>0</v>
      </c>
      <c r="BQ158" s="23" t="str">
        <f aca="false">IF(AND(BP158=1,INT(N(H158))&lt;=Config!$B$5),M158,"")</f>
        <v/>
      </c>
      <c r="BR158" s="23" t="n">
        <f aca="false">IF(AND(BB158=1,OR(TRIM(X158)&lt;&gt;"",ISNUMBER(Y158))),1,0)</f>
        <v>0</v>
      </c>
      <c r="BS158" s="23" t="n">
        <f aca="false">IF(BR158=1,IF(COUNTIFS($AZ$2:$AZ$201,AZ158,$BR$2:$BR$201,1,$H$2:$H$201,"&lt;"&amp;H158)+COUNTIFS($AZ$2:$AZ$201,AZ158,$BR$2:$BR$201,1,$H$2:$H$201,H158,$BA$2:$BA$201,"&lt;"&amp;BA158)=0,1,0),0)</f>
        <v>0</v>
      </c>
      <c r="BT158" s="23" t="str">
        <f aca="false">IF(BS158=1,AZ158,"")</f>
        <v/>
      </c>
      <c r="BU158" s="23" t="n">
        <f aca="false">IF(AND(BB158=1,W158="Y",TRIM(X158)=""),1,0)</f>
        <v>0</v>
      </c>
      <c r="BV158" s="23" t="str">
        <f aca="false">IF(BB158=1,AN158&amp;"","")</f>
        <v/>
      </c>
      <c r="BW158" s="23" t="str">
        <f aca="false">IF(BB158=1,AO158&amp;"","")</f>
        <v/>
      </c>
      <c r="BX158" s="23" t="str">
        <f aca="false">IF(BB158=1,AP158&amp;"","")</f>
        <v/>
      </c>
      <c r="BY158" s="23" t="str">
        <f aca="false">IF(AND(BB158=1,ISNUMBER(AV158),INT(N(H158))&lt;=Config!$B$5),AV158,"")</f>
        <v/>
      </c>
      <c r="BZ158" s="23" t="str">
        <f aca="false">IF(BB158=1,IF(COUNTIFS($A$2:$A$201,$A158,$DC$2:$DC$201,1,$AR$2:$AR$201,"Y")&gt;0,"Y","N"),"")</f>
        <v/>
      </c>
      <c r="CA158" s="23" t="n">
        <f aca="false">IF(AND(BB158=1,AR158="maybe"),1,0)</f>
        <v>0</v>
      </c>
      <c r="CB158" s="23" t="n">
        <f aca="false">IF(CA158=1,IF(COUNTIFS($AZ$2:$AZ$201,AZ158,$CA$2:$CA$201,1,$H$2:$H$201,"&lt;"&amp;H158)+COUNTIFS($AZ$2:$AZ$201,AZ158,$CA$2:$CA$201,1,$H$2:$H$201,H158,$BA$2:$BA$201,"&lt;"&amp;BA158)=0,1,0),0)</f>
        <v>0</v>
      </c>
      <c r="CC158" s="23" t="n">
        <f aca="false">IF(AND(BB158=1,AR158="Y"),IF(COUNTIFS($AZ$2:$AZ$201,AZ158,$AR$2:$AR$201,"Y",$BB$2:$BB$201,1,$H$2:$H$201,"&lt;"&amp;H158)+COUNTIFS($AZ$2:$AZ$201,AZ158,$AR$2:$AR$201,"Y",$BB$2:$BB$201,1,$H$2:$H$201,H158,$BA$2:$BA$201,"&lt;"&amp;BA158)=0,1,0),0)</f>
        <v>0</v>
      </c>
      <c r="CD158" s="23" t="n">
        <f aca="false">IF(AND(BH158=1,N(Y158)&gt;=Config!$B$15),1,0)</f>
        <v>0</v>
      </c>
      <c r="CE158" s="23" t="n">
        <f aca="false">IF(AND(BB158=1,AT158="Y"),1,0)</f>
        <v>0</v>
      </c>
      <c r="CF158" s="23" t="n">
        <f aca="false">IF(CE158=1,IF(COUNTIFS($AZ$2:$AZ$201,AZ158,$CE$2:$CE$201,1,$H$2:$H$201,"&lt;"&amp;H158)+COUNTIFS($AZ$2:$AZ$201,AZ158,$CE$2:$CE$201,1,$H$2:$H$201,H158,$BA$2:$BA$201,"&lt;"&amp;BA158)=0,1,0),0)</f>
        <v>0</v>
      </c>
      <c r="CG158" s="23" t="n">
        <f aca="false">IF(AND(BB158=1,G158="warm-intro"),1,0)</f>
        <v>0</v>
      </c>
      <c r="CH158" s="23" t="n">
        <f aca="false">IF(CG158=1,IF(COUNTIFS($AZ$2:$AZ$201,AZ158,$CG$2:$CG$201,1,$H$2:$H$201,"&lt;"&amp;H158)+COUNTIFS($AZ$2:$AZ$201,AZ158,$CG$2:$CG$201,1,$H$2:$H$201,H158,$BA$2:$BA$201,"&lt;"&amp;BA158)=0,1,0),0)</f>
        <v>0</v>
      </c>
      <c r="CI158" s="23" t="n">
        <f aca="false">IF(AND(BB158=1,Q158="Y"),1,0)</f>
        <v>0</v>
      </c>
      <c r="CJ158" s="23" t="n">
        <f aca="false">IF(CI158=1,IF(COUNTIFS($AZ$2:$AZ$201,AZ158,$CI$2:$CI$201,1,$H$2:$H$201,"&lt;"&amp;H158)+COUNTIFS($AZ$2:$AZ$201,AZ158,$CI$2:$CI$201,1,$H$2:$H$201,H158,$BA$2:$BA$201,"&lt;"&amp;BA158)=0,1,0),0)</f>
        <v>0</v>
      </c>
      <c r="CK158" s="23" t="n">
        <f aca="false">IF(AND(BB158=1,AF158="Y"),1,0)</f>
        <v>0</v>
      </c>
      <c r="CL158" s="23" t="n">
        <f aca="false">IF(CK158=1,IF(COUNTIFS($AZ$2:$AZ$201,AZ158,$CK$2:$CK$201,1,$H$2:$H$201,"&lt;"&amp;H158)+COUNTIFS($AZ$2:$AZ$201,AZ158,$CK$2:$CK$201,1,$H$2:$H$201,H158,$BA$2:$BA$201,"&lt;"&amp;BA158)=0,1,0),0)</f>
        <v>0</v>
      </c>
      <c r="CM158" s="23" t="n">
        <f aca="false">IF(AND(BB158=1,U158="Y"),1,0)</f>
        <v>0</v>
      </c>
      <c r="CN158" s="23" t="n">
        <f aca="false">IF(CM158=1,IF(COUNTIFS($AZ$2:$AZ$201,AZ158,$CM$2:$CM$201,1,$H$2:$H$201,"&lt;"&amp;H158)+COUNTIFS($AZ$2:$AZ$201,AZ158,$CM$2:$CM$201,1,$H$2:$H$201,H158,$BA$2:$BA$201,"&lt;"&amp;BA158)=0,1,0),0)</f>
        <v>0</v>
      </c>
      <c r="CO158" s="23" t="n">
        <f aca="false">IF(AND(BB158=1,L158="Y"),1,0)</f>
        <v>0</v>
      </c>
      <c r="CP158" s="23" t="n">
        <f aca="false">IF(CO158=1,IF(COUNTIFS($AZ$2:$AZ$201,AZ158,$CO$2:$CO$201,1,$H$2:$H$201,"&lt;"&amp;H158)+COUNTIFS($AZ$2:$AZ$201,AZ158,$CO$2:$CO$201,1,$H$2:$H$201,H158,$BA$2:$BA$201,"&lt;"&amp;BA158)=0,1,0),0)</f>
        <v>0</v>
      </c>
      <c r="CQ158" s="23" t="n">
        <f aca="false">IF(AND(BB158=1,ISNUMBER(O158)),1,0)</f>
        <v>0</v>
      </c>
      <c r="CR158" s="23" t="n">
        <f aca="false">IF(CQ158=1,IF(COUNTIFS($AZ$2:$AZ$201,AZ158,$CQ$2:$CQ$201,1,$H$2:$H$201,"&lt;"&amp;H158)+COUNTIFS($AZ$2:$AZ$201,AZ158,$CQ$2:$CQ$201,1,$H$2:$H$201,H158,$BA$2:$BA$201,"&lt;"&amp;BA158)=0,1,0),0)</f>
        <v>0</v>
      </c>
      <c r="CS158" s="23" t="str">
        <f aca="false">IF(AND(CR158=1,INT(N(H158))&lt;=Config!$B$5),O158,"")</f>
        <v/>
      </c>
      <c r="CT158" s="23" t="str">
        <f aca="false">IF(AND(BB158=1,INT(N(H158))&lt;=Config!$B$5),AG158&amp;"","")</f>
        <v/>
      </c>
      <c r="CU158" s="23" t="n">
        <f aca="false">IF(AND(BB158=1,AU158="Y"),1,0)</f>
        <v>0</v>
      </c>
      <c r="CV158" s="23" t="n">
        <f aca="false">IF(CU158=1,IF(COUNTIFS($AZ$2:$AZ$201,AZ158,$CU$2:$CU$201,1,$H$2:$H$201,"&lt;"&amp;H158)+COUNTIFS($AZ$2:$AZ$201,AZ158,$CU$2:$CU$201,1,$H$2:$H$201,H158,$BA$2:$BA$201,"&lt;"&amp;BA158)=0,1,0),0)</f>
        <v>0</v>
      </c>
      <c r="CW158" s="23" t="str">
        <f aca="false">IF(BB158=1,IFERROR(MATCH($A158,INDEX(Clay_Offices!$A$2:$FZ$601,0,Sync!$C$5),0),""),"")</f>
        <v/>
      </c>
      <c r="CX158" s="23" t="str">
        <f aca="false">IF(CW158="","",IFERROR(INDEX(Clay_Offices!$A$2:$FZ$601,CW158,Sync!$C$7)&amp;"",""))</f>
        <v/>
      </c>
      <c r="CY158" s="23" t="str">
        <f aca="false">IF(CX158="","",IFERROR(INDEX(Lists!$K$2:$K$15,MATCH(CX158,Lists!$J$2:$J$15,0)),""))</f>
        <v/>
      </c>
      <c r="CZ158" s="23" t="str">
        <f aca="false">IF(CW158="","",IFERROR(INDEX(Clay_Offices!$A$2:$FZ$601,CW158,Sync!$C$17)&amp;"",""))</f>
        <v/>
      </c>
      <c r="DA158" s="35" t="str">
        <f aca="false">IF(CW158="","",IFERROR(N(INDEX(Clay_Offices!$A$2:$FZ$601,CW158,Sync!$C$16)),0))</f>
        <v/>
      </c>
      <c r="DB158" s="23" t="n">
        <f aca="false">IF(AND(BB158=1,OR(AR158="Y",AR158="N",AR158="maybe")),1,0)</f>
        <v>0</v>
      </c>
      <c r="DC158" s="23" t="n">
        <f aca="false">IF(AND(DB158=1),IF(COUNTIFS($A$2:$A$201,$A158,$DB$2:$DB$201,1,$H$2:$H$201,"&gt;"&amp;H158)+COUNTIFS($A$2:$A$201,$A158,$DB$2:$DB$201,1,$H$2:$H$201,H158,$BA$2:$BA$201,"&gt;"&amp;BA158)=0,1,0),0)</f>
        <v>0</v>
      </c>
      <c r="DD158" s="23" t="n">
        <f aca="false">IF(AND(DB158=1,INT(N(H158))&lt;=Config!$B$6),IF(COUNTIFS($AZ$2:$AZ$201,AZ158,$DB$2:$DB$201,1,$H$2:$H$201,"&gt;"&amp;H158,$H$2:$H$201,"&lt;"&amp;(Config!$B$6+1))+COUNTIFS($AZ$2:$AZ$201,AZ158,$DB$2:$DB$201,1,$H$2:$H$201,H158,$BA$2:$BA$201,"&gt;"&amp;BA158)=0,1,0),0)</f>
        <v>0</v>
      </c>
      <c r="DE158" s="23" t="n">
        <f aca="false">IF(AND(DB158=1,INT(N(H158))&lt;=Config!$B$7),IF(COUNTIFS($AZ$2:$AZ$201,AZ158,$DB$2:$DB$201,1,$H$2:$H$201,"&gt;"&amp;H158,$H$2:$H$201,"&lt;"&amp;(Config!$B$7+1))+COUNTIFS($AZ$2:$AZ$201,AZ158,$DB$2:$DB$201,1,$H$2:$H$201,H158,$BA$2:$BA$201,"&gt;"&amp;BA158)=0,1,0),0)</f>
        <v>0</v>
      </c>
      <c r="DF158" s="23" t="n">
        <f aca="false">IF(AND(DB158=1,INT(N(H158))&lt;=Config!$B$8),IF(COUNTIFS($AZ$2:$AZ$201,AZ158,$DB$2:$DB$201,1,$H$2:$H$201,"&gt;"&amp;H158,$H$2:$H$201,"&lt;"&amp;(Config!$B$8+1))+COUNTIFS($AZ$2:$AZ$201,AZ158,$DB$2:$DB$201,1,$H$2:$H$201,H158,$BA$2:$BA$201,"&gt;"&amp;BA158)=0,1,0),0)</f>
        <v>0</v>
      </c>
      <c r="DG158" s="23" t="n">
        <f aca="false">IF(AND(DB158=1,INT(N(H158))&lt;=Config!$B$5),IF(COUNTIFS($AZ$2:$AZ$201,AZ158,$DB$2:$DB$201,1,$H$2:$H$201,"&gt;"&amp;H158,$H$2:$H$201,"&lt;"&amp;(Config!$B$5+1))+COUNTIFS($AZ$2:$AZ$201,AZ158,$DB$2:$DB$201,1,$H$2:$H$201,H158,$BA$2:$BA$201,"&gt;"&amp;BA158)=0,1,0),0)</f>
        <v>0</v>
      </c>
      <c r="DH158" s="23" t="n">
        <f aca="false">IF(BB158=1,IF(COUNTIFS($AZ$2:$AZ$201,AZ158,$DD$2:$DD$201,1,$AR$2:$AR$201,"Y")&gt;0,1,0),0)</f>
        <v>0</v>
      </c>
      <c r="DI158" s="23" t="n">
        <f aca="false">IF(BB158=1,IF(COUNTIFS($AZ$2:$AZ$201,AZ158,$DE$2:$DE$201,1,$AR$2:$AR$201,"Y")&gt;0,1,0),0)</f>
        <v>0</v>
      </c>
      <c r="DJ158" s="23" t="n">
        <f aca="false">IF(BB158=1,IF(COUNTIFS($AZ$2:$AZ$201,AZ158,$DF$2:$DF$201,1,$AR$2:$AR$201,"Y")&gt;0,1,0),0)</f>
        <v>0</v>
      </c>
      <c r="DK158" s="23" t="n">
        <f aca="false">IF(BB158=1,IF(COUNTIFS($AZ$2:$AZ$201,AZ158,$DG$2:$DG$201,1,$AR$2:$AR$201,"Y")&gt;0,1,0),0)</f>
        <v>0</v>
      </c>
      <c r="DL158" s="23" t="n">
        <f aca="false">IF(AND(BF158=1,INT(N(H158))&lt;=Config!$B$6,DH158=1,EI158=0),1,0)</f>
        <v>0</v>
      </c>
      <c r="DM158" s="23" t="n">
        <f aca="false">IF(AND(BF158=1,INT(N(H158))&lt;=Config!$B$7,DI158=1,EI158=0),1,0)</f>
        <v>0</v>
      </c>
      <c r="DN158" s="23" t="n">
        <f aca="false">IF(AND(BF158=1,INT(N(H158))&lt;=Config!$B$8,DJ158=1,EI158=0),1,0)</f>
        <v>0</v>
      </c>
      <c r="DO158" s="23" t="n">
        <f aca="false">IF(AND(BF158=1,INT(N(H158))&lt;=Config!$B$5,DK158=1,EI158=0),1,0)</f>
        <v>0</v>
      </c>
      <c r="DP158" s="23" t="n">
        <f aca="false">IF(AND(CC158=1,INT(N(H158))&lt;=Config!$B$6,DH158=1,EI158=0),1,0)</f>
        <v>0</v>
      </c>
      <c r="DQ158" s="23" t="n">
        <f aca="false">IF(AND(CC158=1,INT(N(H158))&lt;=Config!$B$7,DI158=1,EI158=0),1,0)</f>
        <v>0</v>
      </c>
      <c r="DR158" s="23" t="n">
        <f aca="false">IF(AND(CC158=1,INT(N(H158))&lt;=Config!$B$8,DJ158=1,EI158=0),1,0)</f>
        <v>0</v>
      </c>
      <c r="DS158" s="23" t="n">
        <f aca="false">IF(AND(CC158=1,INT(N(H158))&lt;=Config!$B$5,DK158=1,EI158=0),1,0)</f>
        <v>0</v>
      </c>
      <c r="DT158" s="23" t="n">
        <f aca="false">IF(AND(CC158=1,INT(N(H158))&lt;=Config!$B$6,DH158=0),1,0)</f>
        <v>0</v>
      </c>
      <c r="DU158" s="23" t="n">
        <f aca="false">IF(AND(CC158=1,INT(N(H158))&lt;=Config!$B$7,DI158=0),1,0)</f>
        <v>0</v>
      </c>
      <c r="DV158" s="23" t="n">
        <f aca="false">IF(AND(CC158=1,INT(N(H158))&lt;=Config!$B$8,DJ158=0),1,0)</f>
        <v>0</v>
      </c>
      <c r="DW158" s="23" t="n">
        <f aca="false">IF(AND(CC158=1,INT(N(H158))&lt;=Config!$B$5,DK158=0),1,0)</f>
        <v>0</v>
      </c>
      <c r="DX158" s="23" t="n">
        <f aca="false">IF(TRIM($A158)="",0,ISTEXT(M158)+ISTEXT(O158)+ISTEXT(Y158)+ISTEXT(Z158)+ISTEXT(AA158)+ISTEXT(AV158))</f>
        <v>0</v>
      </c>
      <c r="DY158" s="23" t="n">
        <f aca="false">IF(BB158=1,IF(H158&lt;&gt;INT(H158),1,0),0)</f>
        <v>0</v>
      </c>
      <c r="DZ158" s="23" t="str">
        <f aca="false">IF(TRIM($A158)="","",IF(TRIM(B158)="",SUBSTITUTE(SUBSTITUTE(SUBSTITUTE(SUBSTITUTE(SUBSTITUTE(SUBSTITUTE(LOWER(TRIM($A158)),"~",""),"*",""),"?",""),"&lt;",""),"&gt;",""),"=",""),SUBSTITUTE(SUBSTITUTE(SUBSTITUTE(SUBSTITUTE(SUBSTITUTE(SUBSTITUTE(LOWER(TRIM(B158)),"~",""),"*",""),"?",""),"&lt;",""),"&gt;",""),"=","")))</f>
        <v/>
      </c>
      <c r="EA158" s="23" t="str">
        <f aca="false">IF(CW158="","",IFERROR(IF(LEFT(LOWER(TRIM(INDEX(Clay_Offices!$A$2:$FZ$601,CW158,Sync!$C$19)&amp;"")),4)="grp-",SUBSTITUTE(SUBSTITUTE(SUBSTITUTE(SUBSTITUTE(SUBSTITUTE(SUBSTITUTE(LOWER(TRIM(INDEX(Clay_Offices!$A$2:$FZ$601,CW158,Sync!$C$19)&amp;"")),"~",""),"*",""),"?",""),"&lt;",""),"&gt;",""),"=",""),""),""))</f>
        <v/>
      </c>
      <c r="EB158" s="23" t="str">
        <f aca="false">IF(EA158&lt;&gt;"",DZ158,"")</f>
        <v/>
      </c>
      <c r="EC158" s="23" t="str">
        <f aca="false">IF(BC158=1,AZ158,"")</f>
        <v/>
      </c>
      <c r="ED158" s="23" t="str">
        <f aca="false">IF(TRIM($A158)="","",IFERROR(INDEX($A$2:$A$201,MATCH(AZ158,$EC$2:$EC$201,0))&amp;"",$A158&amp;""))</f>
        <v/>
      </c>
      <c r="EE158" s="23" t="n">
        <f aca="false">IF(BB158=1,IF(COUNTIFS($A$2:$A$201,$A158,$BB$2:$BB$201,1,$H$2:$H$201,"&lt;"&amp;H158)+COUNTIFS($A$2:$A$201,$A158,$BB$2:$BB$201,1,$H$2:$H$201,H158,$BA$2:$BA$201,"&lt;"&amp;BA158)=0,1,0),0)</f>
        <v>0</v>
      </c>
      <c r="EF158" s="23" t="n">
        <f aca="false">IF(BC158=1,IF(COUNTIFS($AZ$2:$AZ$201,AZ158,$EE$2:$EE$201,1)&gt;1,1,0),0)</f>
        <v>0</v>
      </c>
      <c r="EG158" s="23" t="n">
        <f aca="false">IF(AND(CQ158=1),IF(COUNTIFS($AZ$2:$AZ$201,AZ158,$CQ$2:$CQ$201,1,$H$2:$H$201,"&gt;"&amp;H158)+COUNTIFS($AZ$2:$AZ$201,AZ158,$CQ$2:$CQ$201,1,$H$2:$H$201,H158,$BA$2:$BA$201,"&gt;"&amp;BA158)=0,1,0),0)</f>
        <v>0</v>
      </c>
      <c r="EH158" s="23" t="str">
        <f aca="false">IF(BB158=1,IF(COUNTIFS($AZ$2:$AZ$201,AZ158,$EG$2:$EG$201,1)=0,"",SUMIFS($O$2:$O$201,$AZ$2:$AZ$201,AZ158,$EG$2:$EG$201,1)),"")</f>
        <v/>
      </c>
      <c r="EI158" s="23" t="n">
        <f aca="false">IF(AND(ISNUMBER(EH158),OR(N(EH158)&lt;Config!$B$31,N(EH158)&gt;Config!$B$33)),1,0)</f>
        <v>0</v>
      </c>
      <c r="EJ158" s="23" t="n">
        <f aca="false">IF(AND(ISNUMBER(EH158),N(EH158)&gt;=Config!$B$31,N(EH158)&lt;Config!$B$32),1,0)</f>
        <v>0</v>
      </c>
      <c r="EK158" s="23" t="n">
        <f aca="false">IF(AND(BF158=1,INT(N(H158))&lt;=Config!$B$6,DH158=1,EI158=1),1,0)</f>
        <v>0</v>
      </c>
      <c r="EL158" s="23" t="n">
        <f aca="false">IF(AND(BF158=1,INT(N(H158))&lt;=Config!$B$7,DI158=1,EI158=1),1,0)</f>
        <v>0</v>
      </c>
      <c r="EM158" s="23" t="n">
        <f aca="false">IF(AND(BF158=1,INT(N(H158))&lt;=Config!$B$8,DJ158=1,EI158=1),1,0)</f>
        <v>0</v>
      </c>
      <c r="EN158" s="23" t="n">
        <f aca="false">IF(AND(BF158=1,INT(N(H158))&lt;=Config!$B$5,DK158=1,EI158=1),1,0)</f>
        <v>0</v>
      </c>
      <c r="EO158" s="23" t="n">
        <f aca="false">IF(AND(DL158=1,EJ158=1),1,0)</f>
        <v>0</v>
      </c>
      <c r="EP158" s="23" t="n">
        <f aca="false">IF(AND(DM158=1,EJ158=1),1,0)</f>
        <v>0</v>
      </c>
      <c r="EQ158" s="23" t="n">
        <f aca="false">IF(AND(DN158=1,EJ158=1),1,0)</f>
        <v>0</v>
      </c>
      <c r="ER158" s="23" t="n">
        <f aca="false">IF(AND(DO158=1,EJ158=1),1,0)</f>
        <v>0</v>
      </c>
    </row>
    <row r="159" customFormat="false" ht="15" hidden="false" customHeight="false" outlineLevel="0" collapsed="false">
      <c r="G159" s="32"/>
      <c r="H159" s="33"/>
      <c r="I159" s="32"/>
      <c r="L159" s="32"/>
      <c r="Q159" s="32"/>
      <c r="U159" s="32"/>
      <c r="W159" s="32"/>
      <c r="AC159" s="32"/>
      <c r="AF159" s="32"/>
      <c r="AI159" s="32"/>
      <c r="AJ159" s="32"/>
      <c r="AN159" s="32"/>
      <c r="AR159" s="32"/>
      <c r="AT159" s="32"/>
      <c r="AU159" s="32"/>
      <c r="AW159" s="32"/>
      <c r="AY159" s="34" t="str">
        <f aca="false">IF(TRIM($A159)="","",IF(AND(LEFT($A159,6)="SAMPLE",Config!$B$19&lt;&gt;"Y"),"",IF(NOT(ISNUMBER(H159)),"call_date is blank or not a date",IF(Sync!$C$5="","Clay paste is empty or has no row_id column: paste the Clay export on Clay_Offices",IF(CW159="","row_id not found in the Clay paste: add the Clay row or fix the row_id",IF(AND(ISNUMBER(CY159),CY159&gt;=1,CY159&lt;=5),"Clay status is "&amp;CX159&amp;": set call_done or later",IF(AND(BD159=1,CZ159&lt;&gt;BZ159),"Clay yes_in_principle should be "&amp;BZ159,IF(AND(BD159=1,DA159&lt;&gt;H159),"Clay call_date should be "&amp;TEXT(H159,"yyyy-mm-dd"),""))))))))</f>
        <v/>
      </c>
      <c r="AZ159" s="23" t="str">
        <f aca="false">IF(TRIM($A159)="","",IF(TRIM(C159)&lt;&gt;"",SUBSTITUTE(SUBSTITUTE(SUBSTITUTE(SUBSTITUTE(SUBSTITUTE(SUBSTITUTE(LOWER(TRIM(C159)),"~",""),"*",""),"?",""),"&lt;",""),"&gt;",""),"=",""),IF(EA159&lt;&gt;"",EA159,IFERROR(INDEX($EA$2:$EA$201,MATCH(DZ159,$EB$2:$EB$201,0)),DZ159))))</f>
        <v/>
      </c>
      <c r="BA159" s="23" t="n">
        <f aca="false">ROW()</f>
        <v>159</v>
      </c>
      <c r="BB159" s="23" t="n">
        <f aca="false">IF(AND(TRIM($A159)&lt;&gt;"",ISNUMBER(H159)),IF(AND(LEFT($A159,6)="SAMPLE",Config!$B$19&lt;&gt;"Y"),0,1),0)</f>
        <v>0</v>
      </c>
      <c r="BC159" s="23" t="n">
        <f aca="false">IF(BB159=1,IF(COUNTIFS($AZ$2:$AZ$201,AZ159,$BB$2:$BB$201,1,$H$2:$H$201,"&lt;"&amp;H159)+COUNTIFS($AZ$2:$AZ$201,AZ159,$BB$2:$BB$201,1,$H$2:$H$201,H159,$BA$2:$BA$201,"&lt;"&amp;BA159)=0,1,0),0)</f>
        <v>0</v>
      </c>
      <c r="BD159" s="23" t="n">
        <f aca="false">IF(BB159=1,IF(COUNTIFS($A$2:$A$201,$A159,$BB$2:$BB$201,1,$H$2:$H$201,"&gt;"&amp;H159)+COUNTIFS($A$2:$A$201,$A159,$BB$2:$BB$201,1,$H$2:$H$201,H159,$BA$2:$BA$201,"&gt;"&amp;BA159)=0,1,0),0)</f>
        <v>0</v>
      </c>
      <c r="BE159" s="23" t="n">
        <f aca="false">IF(AND(BB159=1,AR159="Y",AC159="Y",TRIM(AH159)&lt;&gt;""),1,0)</f>
        <v>0</v>
      </c>
      <c r="BF159" s="23" t="n">
        <f aca="false">IF(BE159=1,IF(COUNTIFS($AZ$2:$AZ$201,AZ159,$BE$2:$BE$201,1,$H$2:$H$201,"&lt;"&amp;H159)+COUNTIFS($AZ$2:$AZ$201,AZ159,$BE$2:$BE$201,1,$H$2:$H$201,H159,$BA$2:$BA$201,"&lt;"&amp;BA159)=0,1,0),0)</f>
        <v>0</v>
      </c>
      <c r="BG159" s="23" t="n">
        <f aca="false">IF(AND(BB159=1,AR159="Y",BE159=0),1,0)</f>
        <v>0</v>
      </c>
      <c r="BH159" s="23" t="n">
        <f aca="false">IF(AND(BB159=1,ISNUMBER(Y159)),1,0)</f>
        <v>0</v>
      </c>
      <c r="BI159" s="23" t="n">
        <f aca="false">IF(BH159=1,IF(COUNTIFS($AZ$2:$AZ$201,AZ159,$BH$2:$BH$201,1,$H$2:$H$201,"&lt;"&amp;H159)+COUNTIFS($AZ$2:$AZ$201,AZ159,$BH$2:$BH$201,1,$H$2:$H$201,H159,$BA$2:$BA$201,"&lt;"&amp;BA159)=0,1,0),0)</f>
        <v>0</v>
      </c>
      <c r="BJ159" s="23" t="str">
        <f aca="false">IF(AND(BI159=1,INT(N(H159))&lt;=Config!$B$6),Y159,"")</f>
        <v/>
      </c>
      <c r="BK159" s="23" t="str">
        <f aca="false">IF(AND(BI159=1,INT(N(H159))&lt;=Config!$B$7),Y159,"")</f>
        <v/>
      </c>
      <c r="BL159" s="23" t="str">
        <f aca="false">IF(AND(BI159=1,INT(N(H159))&lt;=Config!$B$8),Y159,"")</f>
        <v/>
      </c>
      <c r="BM159" s="23" t="str">
        <f aca="false">IF(AND(BI159=1,INT(N(H159))&lt;=Config!$B$5),Y159,"")</f>
        <v/>
      </c>
      <c r="BN159" s="23" t="n">
        <f aca="false">IF(CD159=1,IF(COUNTIFS($AZ$2:$AZ$201,AZ159,$CD$2:$CD$201,1,$H$2:$H$201,"&lt;"&amp;H159)+COUNTIFS($AZ$2:$AZ$201,AZ159,$CD$2:$CD$201,1,$H$2:$H$201,H159,$BA$2:$BA$201,"&lt;"&amp;BA159)=0,1,0),0)</f>
        <v>0</v>
      </c>
      <c r="BO159" s="23" t="n">
        <f aca="false">IF(AND(BB159=1,ISNUMBER(M159)),1,0)</f>
        <v>0</v>
      </c>
      <c r="BP159" s="23" t="n">
        <f aca="false">IF(BO159=1,IF(COUNTIFS($AZ$2:$AZ$201,AZ159,$BO$2:$BO$201,1,$H$2:$H$201,"&lt;"&amp;H159)+COUNTIFS($AZ$2:$AZ$201,AZ159,$BO$2:$BO$201,1,$H$2:$H$201,H159,$BA$2:$BA$201,"&lt;"&amp;BA159)=0,1,0),0)</f>
        <v>0</v>
      </c>
      <c r="BQ159" s="23" t="str">
        <f aca="false">IF(AND(BP159=1,INT(N(H159))&lt;=Config!$B$5),M159,"")</f>
        <v/>
      </c>
      <c r="BR159" s="23" t="n">
        <f aca="false">IF(AND(BB159=1,OR(TRIM(X159)&lt;&gt;"",ISNUMBER(Y159))),1,0)</f>
        <v>0</v>
      </c>
      <c r="BS159" s="23" t="n">
        <f aca="false">IF(BR159=1,IF(COUNTIFS($AZ$2:$AZ$201,AZ159,$BR$2:$BR$201,1,$H$2:$H$201,"&lt;"&amp;H159)+COUNTIFS($AZ$2:$AZ$201,AZ159,$BR$2:$BR$201,1,$H$2:$H$201,H159,$BA$2:$BA$201,"&lt;"&amp;BA159)=0,1,0),0)</f>
        <v>0</v>
      </c>
      <c r="BT159" s="23" t="str">
        <f aca="false">IF(BS159=1,AZ159,"")</f>
        <v/>
      </c>
      <c r="BU159" s="23" t="n">
        <f aca="false">IF(AND(BB159=1,W159="Y",TRIM(X159)=""),1,0)</f>
        <v>0</v>
      </c>
      <c r="BV159" s="23" t="str">
        <f aca="false">IF(BB159=1,AN159&amp;"","")</f>
        <v/>
      </c>
      <c r="BW159" s="23" t="str">
        <f aca="false">IF(BB159=1,AO159&amp;"","")</f>
        <v/>
      </c>
      <c r="BX159" s="23" t="str">
        <f aca="false">IF(BB159=1,AP159&amp;"","")</f>
        <v/>
      </c>
      <c r="BY159" s="23" t="str">
        <f aca="false">IF(AND(BB159=1,ISNUMBER(AV159),INT(N(H159))&lt;=Config!$B$5),AV159,"")</f>
        <v/>
      </c>
      <c r="BZ159" s="23" t="str">
        <f aca="false">IF(BB159=1,IF(COUNTIFS($A$2:$A$201,$A159,$DC$2:$DC$201,1,$AR$2:$AR$201,"Y")&gt;0,"Y","N"),"")</f>
        <v/>
      </c>
      <c r="CA159" s="23" t="n">
        <f aca="false">IF(AND(BB159=1,AR159="maybe"),1,0)</f>
        <v>0</v>
      </c>
      <c r="CB159" s="23" t="n">
        <f aca="false">IF(CA159=1,IF(COUNTIFS($AZ$2:$AZ$201,AZ159,$CA$2:$CA$201,1,$H$2:$H$201,"&lt;"&amp;H159)+COUNTIFS($AZ$2:$AZ$201,AZ159,$CA$2:$CA$201,1,$H$2:$H$201,H159,$BA$2:$BA$201,"&lt;"&amp;BA159)=0,1,0),0)</f>
        <v>0</v>
      </c>
      <c r="CC159" s="23" t="n">
        <f aca="false">IF(AND(BB159=1,AR159="Y"),IF(COUNTIFS($AZ$2:$AZ$201,AZ159,$AR$2:$AR$201,"Y",$BB$2:$BB$201,1,$H$2:$H$201,"&lt;"&amp;H159)+COUNTIFS($AZ$2:$AZ$201,AZ159,$AR$2:$AR$201,"Y",$BB$2:$BB$201,1,$H$2:$H$201,H159,$BA$2:$BA$201,"&lt;"&amp;BA159)=0,1,0),0)</f>
        <v>0</v>
      </c>
      <c r="CD159" s="23" t="n">
        <f aca="false">IF(AND(BH159=1,N(Y159)&gt;=Config!$B$15),1,0)</f>
        <v>0</v>
      </c>
      <c r="CE159" s="23" t="n">
        <f aca="false">IF(AND(BB159=1,AT159="Y"),1,0)</f>
        <v>0</v>
      </c>
      <c r="CF159" s="23" t="n">
        <f aca="false">IF(CE159=1,IF(COUNTIFS($AZ$2:$AZ$201,AZ159,$CE$2:$CE$201,1,$H$2:$H$201,"&lt;"&amp;H159)+COUNTIFS($AZ$2:$AZ$201,AZ159,$CE$2:$CE$201,1,$H$2:$H$201,H159,$BA$2:$BA$201,"&lt;"&amp;BA159)=0,1,0),0)</f>
        <v>0</v>
      </c>
      <c r="CG159" s="23" t="n">
        <f aca="false">IF(AND(BB159=1,G159="warm-intro"),1,0)</f>
        <v>0</v>
      </c>
      <c r="CH159" s="23" t="n">
        <f aca="false">IF(CG159=1,IF(COUNTIFS($AZ$2:$AZ$201,AZ159,$CG$2:$CG$201,1,$H$2:$H$201,"&lt;"&amp;H159)+COUNTIFS($AZ$2:$AZ$201,AZ159,$CG$2:$CG$201,1,$H$2:$H$201,H159,$BA$2:$BA$201,"&lt;"&amp;BA159)=0,1,0),0)</f>
        <v>0</v>
      </c>
      <c r="CI159" s="23" t="n">
        <f aca="false">IF(AND(BB159=1,Q159="Y"),1,0)</f>
        <v>0</v>
      </c>
      <c r="CJ159" s="23" t="n">
        <f aca="false">IF(CI159=1,IF(COUNTIFS($AZ$2:$AZ$201,AZ159,$CI$2:$CI$201,1,$H$2:$H$201,"&lt;"&amp;H159)+COUNTIFS($AZ$2:$AZ$201,AZ159,$CI$2:$CI$201,1,$H$2:$H$201,H159,$BA$2:$BA$201,"&lt;"&amp;BA159)=0,1,0),0)</f>
        <v>0</v>
      </c>
      <c r="CK159" s="23" t="n">
        <f aca="false">IF(AND(BB159=1,AF159="Y"),1,0)</f>
        <v>0</v>
      </c>
      <c r="CL159" s="23" t="n">
        <f aca="false">IF(CK159=1,IF(COUNTIFS($AZ$2:$AZ$201,AZ159,$CK$2:$CK$201,1,$H$2:$H$201,"&lt;"&amp;H159)+COUNTIFS($AZ$2:$AZ$201,AZ159,$CK$2:$CK$201,1,$H$2:$H$201,H159,$BA$2:$BA$201,"&lt;"&amp;BA159)=0,1,0),0)</f>
        <v>0</v>
      </c>
      <c r="CM159" s="23" t="n">
        <f aca="false">IF(AND(BB159=1,U159="Y"),1,0)</f>
        <v>0</v>
      </c>
      <c r="CN159" s="23" t="n">
        <f aca="false">IF(CM159=1,IF(COUNTIFS($AZ$2:$AZ$201,AZ159,$CM$2:$CM$201,1,$H$2:$H$201,"&lt;"&amp;H159)+COUNTIFS($AZ$2:$AZ$201,AZ159,$CM$2:$CM$201,1,$H$2:$H$201,H159,$BA$2:$BA$201,"&lt;"&amp;BA159)=0,1,0),0)</f>
        <v>0</v>
      </c>
      <c r="CO159" s="23" t="n">
        <f aca="false">IF(AND(BB159=1,L159="Y"),1,0)</f>
        <v>0</v>
      </c>
      <c r="CP159" s="23" t="n">
        <f aca="false">IF(CO159=1,IF(COUNTIFS($AZ$2:$AZ$201,AZ159,$CO$2:$CO$201,1,$H$2:$H$201,"&lt;"&amp;H159)+COUNTIFS($AZ$2:$AZ$201,AZ159,$CO$2:$CO$201,1,$H$2:$H$201,H159,$BA$2:$BA$201,"&lt;"&amp;BA159)=0,1,0),0)</f>
        <v>0</v>
      </c>
      <c r="CQ159" s="23" t="n">
        <f aca="false">IF(AND(BB159=1,ISNUMBER(O159)),1,0)</f>
        <v>0</v>
      </c>
      <c r="CR159" s="23" t="n">
        <f aca="false">IF(CQ159=1,IF(COUNTIFS($AZ$2:$AZ$201,AZ159,$CQ$2:$CQ$201,1,$H$2:$H$201,"&lt;"&amp;H159)+COUNTIFS($AZ$2:$AZ$201,AZ159,$CQ$2:$CQ$201,1,$H$2:$H$201,H159,$BA$2:$BA$201,"&lt;"&amp;BA159)=0,1,0),0)</f>
        <v>0</v>
      </c>
      <c r="CS159" s="23" t="str">
        <f aca="false">IF(AND(CR159=1,INT(N(H159))&lt;=Config!$B$5),O159,"")</f>
        <v/>
      </c>
      <c r="CT159" s="23" t="str">
        <f aca="false">IF(AND(BB159=1,INT(N(H159))&lt;=Config!$B$5),AG159&amp;"","")</f>
        <v/>
      </c>
      <c r="CU159" s="23" t="n">
        <f aca="false">IF(AND(BB159=1,AU159="Y"),1,0)</f>
        <v>0</v>
      </c>
      <c r="CV159" s="23" t="n">
        <f aca="false">IF(CU159=1,IF(COUNTIFS($AZ$2:$AZ$201,AZ159,$CU$2:$CU$201,1,$H$2:$H$201,"&lt;"&amp;H159)+COUNTIFS($AZ$2:$AZ$201,AZ159,$CU$2:$CU$201,1,$H$2:$H$201,H159,$BA$2:$BA$201,"&lt;"&amp;BA159)=0,1,0),0)</f>
        <v>0</v>
      </c>
      <c r="CW159" s="23" t="str">
        <f aca="false">IF(BB159=1,IFERROR(MATCH($A159,INDEX(Clay_Offices!$A$2:$FZ$601,0,Sync!$C$5),0),""),"")</f>
        <v/>
      </c>
      <c r="CX159" s="23" t="str">
        <f aca="false">IF(CW159="","",IFERROR(INDEX(Clay_Offices!$A$2:$FZ$601,CW159,Sync!$C$7)&amp;"",""))</f>
        <v/>
      </c>
      <c r="CY159" s="23" t="str">
        <f aca="false">IF(CX159="","",IFERROR(INDEX(Lists!$K$2:$K$15,MATCH(CX159,Lists!$J$2:$J$15,0)),""))</f>
        <v/>
      </c>
      <c r="CZ159" s="23" t="str">
        <f aca="false">IF(CW159="","",IFERROR(INDEX(Clay_Offices!$A$2:$FZ$601,CW159,Sync!$C$17)&amp;"",""))</f>
        <v/>
      </c>
      <c r="DA159" s="35" t="str">
        <f aca="false">IF(CW159="","",IFERROR(N(INDEX(Clay_Offices!$A$2:$FZ$601,CW159,Sync!$C$16)),0))</f>
        <v/>
      </c>
      <c r="DB159" s="23" t="n">
        <f aca="false">IF(AND(BB159=1,OR(AR159="Y",AR159="N",AR159="maybe")),1,0)</f>
        <v>0</v>
      </c>
      <c r="DC159" s="23" t="n">
        <f aca="false">IF(AND(DB159=1),IF(COUNTIFS($A$2:$A$201,$A159,$DB$2:$DB$201,1,$H$2:$H$201,"&gt;"&amp;H159)+COUNTIFS($A$2:$A$201,$A159,$DB$2:$DB$201,1,$H$2:$H$201,H159,$BA$2:$BA$201,"&gt;"&amp;BA159)=0,1,0),0)</f>
        <v>0</v>
      </c>
      <c r="DD159" s="23" t="n">
        <f aca="false">IF(AND(DB159=1,INT(N(H159))&lt;=Config!$B$6),IF(COUNTIFS($AZ$2:$AZ$201,AZ159,$DB$2:$DB$201,1,$H$2:$H$201,"&gt;"&amp;H159,$H$2:$H$201,"&lt;"&amp;(Config!$B$6+1))+COUNTIFS($AZ$2:$AZ$201,AZ159,$DB$2:$DB$201,1,$H$2:$H$201,H159,$BA$2:$BA$201,"&gt;"&amp;BA159)=0,1,0),0)</f>
        <v>0</v>
      </c>
      <c r="DE159" s="23" t="n">
        <f aca="false">IF(AND(DB159=1,INT(N(H159))&lt;=Config!$B$7),IF(COUNTIFS($AZ$2:$AZ$201,AZ159,$DB$2:$DB$201,1,$H$2:$H$201,"&gt;"&amp;H159,$H$2:$H$201,"&lt;"&amp;(Config!$B$7+1))+COUNTIFS($AZ$2:$AZ$201,AZ159,$DB$2:$DB$201,1,$H$2:$H$201,H159,$BA$2:$BA$201,"&gt;"&amp;BA159)=0,1,0),0)</f>
        <v>0</v>
      </c>
      <c r="DF159" s="23" t="n">
        <f aca="false">IF(AND(DB159=1,INT(N(H159))&lt;=Config!$B$8),IF(COUNTIFS($AZ$2:$AZ$201,AZ159,$DB$2:$DB$201,1,$H$2:$H$201,"&gt;"&amp;H159,$H$2:$H$201,"&lt;"&amp;(Config!$B$8+1))+COUNTIFS($AZ$2:$AZ$201,AZ159,$DB$2:$DB$201,1,$H$2:$H$201,H159,$BA$2:$BA$201,"&gt;"&amp;BA159)=0,1,0),0)</f>
        <v>0</v>
      </c>
      <c r="DG159" s="23" t="n">
        <f aca="false">IF(AND(DB159=1,INT(N(H159))&lt;=Config!$B$5),IF(COUNTIFS($AZ$2:$AZ$201,AZ159,$DB$2:$DB$201,1,$H$2:$H$201,"&gt;"&amp;H159,$H$2:$H$201,"&lt;"&amp;(Config!$B$5+1))+COUNTIFS($AZ$2:$AZ$201,AZ159,$DB$2:$DB$201,1,$H$2:$H$201,H159,$BA$2:$BA$201,"&gt;"&amp;BA159)=0,1,0),0)</f>
        <v>0</v>
      </c>
      <c r="DH159" s="23" t="n">
        <f aca="false">IF(BB159=1,IF(COUNTIFS($AZ$2:$AZ$201,AZ159,$DD$2:$DD$201,1,$AR$2:$AR$201,"Y")&gt;0,1,0),0)</f>
        <v>0</v>
      </c>
      <c r="DI159" s="23" t="n">
        <f aca="false">IF(BB159=1,IF(COUNTIFS($AZ$2:$AZ$201,AZ159,$DE$2:$DE$201,1,$AR$2:$AR$201,"Y")&gt;0,1,0),0)</f>
        <v>0</v>
      </c>
      <c r="DJ159" s="23" t="n">
        <f aca="false">IF(BB159=1,IF(COUNTIFS($AZ$2:$AZ$201,AZ159,$DF$2:$DF$201,1,$AR$2:$AR$201,"Y")&gt;0,1,0),0)</f>
        <v>0</v>
      </c>
      <c r="DK159" s="23" t="n">
        <f aca="false">IF(BB159=1,IF(COUNTIFS($AZ$2:$AZ$201,AZ159,$DG$2:$DG$201,1,$AR$2:$AR$201,"Y")&gt;0,1,0),0)</f>
        <v>0</v>
      </c>
      <c r="DL159" s="23" t="n">
        <f aca="false">IF(AND(BF159=1,INT(N(H159))&lt;=Config!$B$6,DH159=1,EI159=0),1,0)</f>
        <v>0</v>
      </c>
      <c r="DM159" s="23" t="n">
        <f aca="false">IF(AND(BF159=1,INT(N(H159))&lt;=Config!$B$7,DI159=1,EI159=0),1,0)</f>
        <v>0</v>
      </c>
      <c r="DN159" s="23" t="n">
        <f aca="false">IF(AND(BF159=1,INT(N(H159))&lt;=Config!$B$8,DJ159=1,EI159=0),1,0)</f>
        <v>0</v>
      </c>
      <c r="DO159" s="23" t="n">
        <f aca="false">IF(AND(BF159=1,INT(N(H159))&lt;=Config!$B$5,DK159=1,EI159=0),1,0)</f>
        <v>0</v>
      </c>
      <c r="DP159" s="23" t="n">
        <f aca="false">IF(AND(CC159=1,INT(N(H159))&lt;=Config!$B$6,DH159=1,EI159=0),1,0)</f>
        <v>0</v>
      </c>
      <c r="DQ159" s="23" t="n">
        <f aca="false">IF(AND(CC159=1,INT(N(H159))&lt;=Config!$B$7,DI159=1,EI159=0),1,0)</f>
        <v>0</v>
      </c>
      <c r="DR159" s="23" t="n">
        <f aca="false">IF(AND(CC159=1,INT(N(H159))&lt;=Config!$B$8,DJ159=1,EI159=0),1,0)</f>
        <v>0</v>
      </c>
      <c r="DS159" s="23" t="n">
        <f aca="false">IF(AND(CC159=1,INT(N(H159))&lt;=Config!$B$5,DK159=1,EI159=0),1,0)</f>
        <v>0</v>
      </c>
      <c r="DT159" s="23" t="n">
        <f aca="false">IF(AND(CC159=1,INT(N(H159))&lt;=Config!$B$6,DH159=0),1,0)</f>
        <v>0</v>
      </c>
      <c r="DU159" s="23" t="n">
        <f aca="false">IF(AND(CC159=1,INT(N(H159))&lt;=Config!$B$7,DI159=0),1,0)</f>
        <v>0</v>
      </c>
      <c r="DV159" s="23" t="n">
        <f aca="false">IF(AND(CC159=1,INT(N(H159))&lt;=Config!$B$8,DJ159=0),1,0)</f>
        <v>0</v>
      </c>
      <c r="DW159" s="23" t="n">
        <f aca="false">IF(AND(CC159=1,INT(N(H159))&lt;=Config!$B$5,DK159=0),1,0)</f>
        <v>0</v>
      </c>
      <c r="DX159" s="23" t="n">
        <f aca="false">IF(TRIM($A159)="",0,ISTEXT(M159)+ISTEXT(O159)+ISTEXT(Y159)+ISTEXT(Z159)+ISTEXT(AA159)+ISTEXT(AV159))</f>
        <v>0</v>
      </c>
      <c r="DY159" s="23" t="n">
        <f aca="false">IF(BB159=1,IF(H159&lt;&gt;INT(H159),1,0),0)</f>
        <v>0</v>
      </c>
      <c r="DZ159" s="23" t="str">
        <f aca="false">IF(TRIM($A159)="","",IF(TRIM(B159)="",SUBSTITUTE(SUBSTITUTE(SUBSTITUTE(SUBSTITUTE(SUBSTITUTE(SUBSTITUTE(LOWER(TRIM($A159)),"~",""),"*",""),"?",""),"&lt;",""),"&gt;",""),"=",""),SUBSTITUTE(SUBSTITUTE(SUBSTITUTE(SUBSTITUTE(SUBSTITUTE(SUBSTITUTE(LOWER(TRIM(B159)),"~",""),"*",""),"?",""),"&lt;",""),"&gt;",""),"=","")))</f>
        <v/>
      </c>
      <c r="EA159" s="23" t="str">
        <f aca="false">IF(CW159="","",IFERROR(IF(LEFT(LOWER(TRIM(INDEX(Clay_Offices!$A$2:$FZ$601,CW159,Sync!$C$19)&amp;"")),4)="grp-",SUBSTITUTE(SUBSTITUTE(SUBSTITUTE(SUBSTITUTE(SUBSTITUTE(SUBSTITUTE(LOWER(TRIM(INDEX(Clay_Offices!$A$2:$FZ$601,CW159,Sync!$C$19)&amp;"")),"~",""),"*",""),"?",""),"&lt;",""),"&gt;",""),"=",""),""),""))</f>
        <v/>
      </c>
      <c r="EB159" s="23" t="str">
        <f aca="false">IF(EA159&lt;&gt;"",DZ159,"")</f>
        <v/>
      </c>
      <c r="EC159" s="23" t="str">
        <f aca="false">IF(BC159=1,AZ159,"")</f>
        <v/>
      </c>
      <c r="ED159" s="23" t="str">
        <f aca="false">IF(TRIM($A159)="","",IFERROR(INDEX($A$2:$A$201,MATCH(AZ159,$EC$2:$EC$201,0))&amp;"",$A159&amp;""))</f>
        <v/>
      </c>
      <c r="EE159" s="23" t="n">
        <f aca="false">IF(BB159=1,IF(COUNTIFS($A$2:$A$201,$A159,$BB$2:$BB$201,1,$H$2:$H$201,"&lt;"&amp;H159)+COUNTIFS($A$2:$A$201,$A159,$BB$2:$BB$201,1,$H$2:$H$201,H159,$BA$2:$BA$201,"&lt;"&amp;BA159)=0,1,0),0)</f>
        <v>0</v>
      </c>
      <c r="EF159" s="23" t="n">
        <f aca="false">IF(BC159=1,IF(COUNTIFS($AZ$2:$AZ$201,AZ159,$EE$2:$EE$201,1)&gt;1,1,0),0)</f>
        <v>0</v>
      </c>
      <c r="EG159" s="23" t="n">
        <f aca="false">IF(AND(CQ159=1),IF(COUNTIFS($AZ$2:$AZ$201,AZ159,$CQ$2:$CQ$201,1,$H$2:$H$201,"&gt;"&amp;H159)+COUNTIFS($AZ$2:$AZ$201,AZ159,$CQ$2:$CQ$201,1,$H$2:$H$201,H159,$BA$2:$BA$201,"&gt;"&amp;BA159)=0,1,0),0)</f>
        <v>0</v>
      </c>
      <c r="EH159" s="23" t="str">
        <f aca="false">IF(BB159=1,IF(COUNTIFS($AZ$2:$AZ$201,AZ159,$EG$2:$EG$201,1)=0,"",SUMIFS($O$2:$O$201,$AZ$2:$AZ$201,AZ159,$EG$2:$EG$201,1)),"")</f>
        <v/>
      </c>
      <c r="EI159" s="23" t="n">
        <f aca="false">IF(AND(ISNUMBER(EH159),OR(N(EH159)&lt;Config!$B$31,N(EH159)&gt;Config!$B$33)),1,0)</f>
        <v>0</v>
      </c>
      <c r="EJ159" s="23" t="n">
        <f aca="false">IF(AND(ISNUMBER(EH159),N(EH159)&gt;=Config!$B$31,N(EH159)&lt;Config!$B$32),1,0)</f>
        <v>0</v>
      </c>
      <c r="EK159" s="23" t="n">
        <f aca="false">IF(AND(BF159=1,INT(N(H159))&lt;=Config!$B$6,DH159=1,EI159=1),1,0)</f>
        <v>0</v>
      </c>
      <c r="EL159" s="23" t="n">
        <f aca="false">IF(AND(BF159=1,INT(N(H159))&lt;=Config!$B$7,DI159=1,EI159=1),1,0)</f>
        <v>0</v>
      </c>
      <c r="EM159" s="23" t="n">
        <f aca="false">IF(AND(BF159=1,INT(N(H159))&lt;=Config!$B$8,DJ159=1,EI159=1),1,0)</f>
        <v>0</v>
      </c>
      <c r="EN159" s="23" t="n">
        <f aca="false">IF(AND(BF159=1,INT(N(H159))&lt;=Config!$B$5,DK159=1,EI159=1),1,0)</f>
        <v>0</v>
      </c>
      <c r="EO159" s="23" t="n">
        <f aca="false">IF(AND(DL159=1,EJ159=1),1,0)</f>
        <v>0</v>
      </c>
      <c r="EP159" s="23" t="n">
        <f aca="false">IF(AND(DM159=1,EJ159=1),1,0)</f>
        <v>0</v>
      </c>
      <c r="EQ159" s="23" t="n">
        <f aca="false">IF(AND(DN159=1,EJ159=1),1,0)</f>
        <v>0</v>
      </c>
      <c r="ER159" s="23" t="n">
        <f aca="false">IF(AND(DO159=1,EJ159=1),1,0)</f>
        <v>0</v>
      </c>
    </row>
    <row r="160" customFormat="false" ht="15" hidden="false" customHeight="false" outlineLevel="0" collapsed="false">
      <c r="G160" s="32"/>
      <c r="H160" s="33"/>
      <c r="I160" s="32"/>
      <c r="L160" s="32"/>
      <c r="Q160" s="32"/>
      <c r="U160" s="32"/>
      <c r="W160" s="32"/>
      <c r="AC160" s="32"/>
      <c r="AF160" s="32"/>
      <c r="AI160" s="32"/>
      <c r="AJ160" s="32"/>
      <c r="AN160" s="32"/>
      <c r="AR160" s="32"/>
      <c r="AT160" s="32"/>
      <c r="AU160" s="32"/>
      <c r="AW160" s="32"/>
      <c r="AY160" s="34" t="str">
        <f aca="false">IF(TRIM($A160)="","",IF(AND(LEFT($A160,6)="SAMPLE",Config!$B$19&lt;&gt;"Y"),"",IF(NOT(ISNUMBER(H160)),"call_date is blank or not a date",IF(Sync!$C$5="","Clay paste is empty or has no row_id column: paste the Clay export on Clay_Offices",IF(CW160="","row_id not found in the Clay paste: add the Clay row or fix the row_id",IF(AND(ISNUMBER(CY160),CY160&gt;=1,CY160&lt;=5),"Clay status is "&amp;CX160&amp;": set call_done or later",IF(AND(BD160=1,CZ160&lt;&gt;BZ160),"Clay yes_in_principle should be "&amp;BZ160,IF(AND(BD160=1,DA160&lt;&gt;H160),"Clay call_date should be "&amp;TEXT(H160,"yyyy-mm-dd"),""))))))))</f>
        <v/>
      </c>
      <c r="AZ160" s="23" t="str">
        <f aca="false">IF(TRIM($A160)="","",IF(TRIM(C160)&lt;&gt;"",SUBSTITUTE(SUBSTITUTE(SUBSTITUTE(SUBSTITUTE(SUBSTITUTE(SUBSTITUTE(LOWER(TRIM(C160)),"~",""),"*",""),"?",""),"&lt;",""),"&gt;",""),"=",""),IF(EA160&lt;&gt;"",EA160,IFERROR(INDEX($EA$2:$EA$201,MATCH(DZ160,$EB$2:$EB$201,0)),DZ160))))</f>
        <v/>
      </c>
      <c r="BA160" s="23" t="n">
        <f aca="false">ROW()</f>
        <v>160</v>
      </c>
      <c r="BB160" s="23" t="n">
        <f aca="false">IF(AND(TRIM($A160)&lt;&gt;"",ISNUMBER(H160)),IF(AND(LEFT($A160,6)="SAMPLE",Config!$B$19&lt;&gt;"Y"),0,1),0)</f>
        <v>0</v>
      </c>
      <c r="BC160" s="23" t="n">
        <f aca="false">IF(BB160=1,IF(COUNTIFS($AZ$2:$AZ$201,AZ160,$BB$2:$BB$201,1,$H$2:$H$201,"&lt;"&amp;H160)+COUNTIFS($AZ$2:$AZ$201,AZ160,$BB$2:$BB$201,1,$H$2:$H$201,H160,$BA$2:$BA$201,"&lt;"&amp;BA160)=0,1,0),0)</f>
        <v>0</v>
      </c>
      <c r="BD160" s="23" t="n">
        <f aca="false">IF(BB160=1,IF(COUNTIFS($A$2:$A$201,$A160,$BB$2:$BB$201,1,$H$2:$H$201,"&gt;"&amp;H160)+COUNTIFS($A$2:$A$201,$A160,$BB$2:$BB$201,1,$H$2:$H$201,H160,$BA$2:$BA$201,"&gt;"&amp;BA160)=0,1,0),0)</f>
        <v>0</v>
      </c>
      <c r="BE160" s="23" t="n">
        <f aca="false">IF(AND(BB160=1,AR160="Y",AC160="Y",TRIM(AH160)&lt;&gt;""),1,0)</f>
        <v>0</v>
      </c>
      <c r="BF160" s="23" t="n">
        <f aca="false">IF(BE160=1,IF(COUNTIFS($AZ$2:$AZ$201,AZ160,$BE$2:$BE$201,1,$H$2:$H$201,"&lt;"&amp;H160)+COUNTIFS($AZ$2:$AZ$201,AZ160,$BE$2:$BE$201,1,$H$2:$H$201,H160,$BA$2:$BA$201,"&lt;"&amp;BA160)=0,1,0),0)</f>
        <v>0</v>
      </c>
      <c r="BG160" s="23" t="n">
        <f aca="false">IF(AND(BB160=1,AR160="Y",BE160=0),1,0)</f>
        <v>0</v>
      </c>
      <c r="BH160" s="23" t="n">
        <f aca="false">IF(AND(BB160=1,ISNUMBER(Y160)),1,0)</f>
        <v>0</v>
      </c>
      <c r="BI160" s="23" t="n">
        <f aca="false">IF(BH160=1,IF(COUNTIFS($AZ$2:$AZ$201,AZ160,$BH$2:$BH$201,1,$H$2:$H$201,"&lt;"&amp;H160)+COUNTIFS($AZ$2:$AZ$201,AZ160,$BH$2:$BH$201,1,$H$2:$H$201,H160,$BA$2:$BA$201,"&lt;"&amp;BA160)=0,1,0),0)</f>
        <v>0</v>
      </c>
      <c r="BJ160" s="23" t="str">
        <f aca="false">IF(AND(BI160=1,INT(N(H160))&lt;=Config!$B$6),Y160,"")</f>
        <v/>
      </c>
      <c r="BK160" s="23" t="str">
        <f aca="false">IF(AND(BI160=1,INT(N(H160))&lt;=Config!$B$7),Y160,"")</f>
        <v/>
      </c>
      <c r="BL160" s="23" t="str">
        <f aca="false">IF(AND(BI160=1,INT(N(H160))&lt;=Config!$B$8),Y160,"")</f>
        <v/>
      </c>
      <c r="BM160" s="23" t="str">
        <f aca="false">IF(AND(BI160=1,INT(N(H160))&lt;=Config!$B$5),Y160,"")</f>
        <v/>
      </c>
      <c r="BN160" s="23" t="n">
        <f aca="false">IF(CD160=1,IF(COUNTIFS($AZ$2:$AZ$201,AZ160,$CD$2:$CD$201,1,$H$2:$H$201,"&lt;"&amp;H160)+COUNTIFS($AZ$2:$AZ$201,AZ160,$CD$2:$CD$201,1,$H$2:$H$201,H160,$BA$2:$BA$201,"&lt;"&amp;BA160)=0,1,0),0)</f>
        <v>0</v>
      </c>
      <c r="BO160" s="23" t="n">
        <f aca="false">IF(AND(BB160=1,ISNUMBER(M160)),1,0)</f>
        <v>0</v>
      </c>
      <c r="BP160" s="23" t="n">
        <f aca="false">IF(BO160=1,IF(COUNTIFS($AZ$2:$AZ$201,AZ160,$BO$2:$BO$201,1,$H$2:$H$201,"&lt;"&amp;H160)+COUNTIFS($AZ$2:$AZ$201,AZ160,$BO$2:$BO$201,1,$H$2:$H$201,H160,$BA$2:$BA$201,"&lt;"&amp;BA160)=0,1,0),0)</f>
        <v>0</v>
      </c>
      <c r="BQ160" s="23" t="str">
        <f aca="false">IF(AND(BP160=1,INT(N(H160))&lt;=Config!$B$5),M160,"")</f>
        <v/>
      </c>
      <c r="BR160" s="23" t="n">
        <f aca="false">IF(AND(BB160=1,OR(TRIM(X160)&lt;&gt;"",ISNUMBER(Y160))),1,0)</f>
        <v>0</v>
      </c>
      <c r="BS160" s="23" t="n">
        <f aca="false">IF(BR160=1,IF(COUNTIFS($AZ$2:$AZ$201,AZ160,$BR$2:$BR$201,1,$H$2:$H$201,"&lt;"&amp;H160)+COUNTIFS($AZ$2:$AZ$201,AZ160,$BR$2:$BR$201,1,$H$2:$H$201,H160,$BA$2:$BA$201,"&lt;"&amp;BA160)=0,1,0),0)</f>
        <v>0</v>
      </c>
      <c r="BT160" s="23" t="str">
        <f aca="false">IF(BS160=1,AZ160,"")</f>
        <v/>
      </c>
      <c r="BU160" s="23" t="n">
        <f aca="false">IF(AND(BB160=1,W160="Y",TRIM(X160)=""),1,0)</f>
        <v>0</v>
      </c>
      <c r="BV160" s="23" t="str">
        <f aca="false">IF(BB160=1,AN160&amp;"","")</f>
        <v/>
      </c>
      <c r="BW160" s="23" t="str">
        <f aca="false">IF(BB160=1,AO160&amp;"","")</f>
        <v/>
      </c>
      <c r="BX160" s="23" t="str">
        <f aca="false">IF(BB160=1,AP160&amp;"","")</f>
        <v/>
      </c>
      <c r="BY160" s="23" t="str">
        <f aca="false">IF(AND(BB160=1,ISNUMBER(AV160),INT(N(H160))&lt;=Config!$B$5),AV160,"")</f>
        <v/>
      </c>
      <c r="BZ160" s="23" t="str">
        <f aca="false">IF(BB160=1,IF(COUNTIFS($A$2:$A$201,$A160,$DC$2:$DC$201,1,$AR$2:$AR$201,"Y")&gt;0,"Y","N"),"")</f>
        <v/>
      </c>
      <c r="CA160" s="23" t="n">
        <f aca="false">IF(AND(BB160=1,AR160="maybe"),1,0)</f>
        <v>0</v>
      </c>
      <c r="CB160" s="23" t="n">
        <f aca="false">IF(CA160=1,IF(COUNTIFS($AZ$2:$AZ$201,AZ160,$CA$2:$CA$201,1,$H$2:$H$201,"&lt;"&amp;H160)+COUNTIFS($AZ$2:$AZ$201,AZ160,$CA$2:$CA$201,1,$H$2:$H$201,H160,$BA$2:$BA$201,"&lt;"&amp;BA160)=0,1,0),0)</f>
        <v>0</v>
      </c>
      <c r="CC160" s="23" t="n">
        <f aca="false">IF(AND(BB160=1,AR160="Y"),IF(COUNTIFS($AZ$2:$AZ$201,AZ160,$AR$2:$AR$201,"Y",$BB$2:$BB$201,1,$H$2:$H$201,"&lt;"&amp;H160)+COUNTIFS($AZ$2:$AZ$201,AZ160,$AR$2:$AR$201,"Y",$BB$2:$BB$201,1,$H$2:$H$201,H160,$BA$2:$BA$201,"&lt;"&amp;BA160)=0,1,0),0)</f>
        <v>0</v>
      </c>
      <c r="CD160" s="23" t="n">
        <f aca="false">IF(AND(BH160=1,N(Y160)&gt;=Config!$B$15),1,0)</f>
        <v>0</v>
      </c>
      <c r="CE160" s="23" t="n">
        <f aca="false">IF(AND(BB160=1,AT160="Y"),1,0)</f>
        <v>0</v>
      </c>
      <c r="CF160" s="23" t="n">
        <f aca="false">IF(CE160=1,IF(COUNTIFS($AZ$2:$AZ$201,AZ160,$CE$2:$CE$201,1,$H$2:$H$201,"&lt;"&amp;H160)+COUNTIFS($AZ$2:$AZ$201,AZ160,$CE$2:$CE$201,1,$H$2:$H$201,H160,$BA$2:$BA$201,"&lt;"&amp;BA160)=0,1,0),0)</f>
        <v>0</v>
      </c>
      <c r="CG160" s="23" t="n">
        <f aca="false">IF(AND(BB160=1,G160="warm-intro"),1,0)</f>
        <v>0</v>
      </c>
      <c r="CH160" s="23" t="n">
        <f aca="false">IF(CG160=1,IF(COUNTIFS($AZ$2:$AZ$201,AZ160,$CG$2:$CG$201,1,$H$2:$H$201,"&lt;"&amp;H160)+COUNTIFS($AZ$2:$AZ$201,AZ160,$CG$2:$CG$201,1,$H$2:$H$201,H160,$BA$2:$BA$201,"&lt;"&amp;BA160)=0,1,0),0)</f>
        <v>0</v>
      </c>
      <c r="CI160" s="23" t="n">
        <f aca="false">IF(AND(BB160=1,Q160="Y"),1,0)</f>
        <v>0</v>
      </c>
      <c r="CJ160" s="23" t="n">
        <f aca="false">IF(CI160=1,IF(COUNTIFS($AZ$2:$AZ$201,AZ160,$CI$2:$CI$201,1,$H$2:$H$201,"&lt;"&amp;H160)+COUNTIFS($AZ$2:$AZ$201,AZ160,$CI$2:$CI$201,1,$H$2:$H$201,H160,$BA$2:$BA$201,"&lt;"&amp;BA160)=0,1,0),0)</f>
        <v>0</v>
      </c>
      <c r="CK160" s="23" t="n">
        <f aca="false">IF(AND(BB160=1,AF160="Y"),1,0)</f>
        <v>0</v>
      </c>
      <c r="CL160" s="23" t="n">
        <f aca="false">IF(CK160=1,IF(COUNTIFS($AZ$2:$AZ$201,AZ160,$CK$2:$CK$201,1,$H$2:$H$201,"&lt;"&amp;H160)+COUNTIFS($AZ$2:$AZ$201,AZ160,$CK$2:$CK$201,1,$H$2:$H$201,H160,$BA$2:$BA$201,"&lt;"&amp;BA160)=0,1,0),0)</f>
        <v>0</v>
      </c>
      <c r="CM160" s="23" t="n">
        <f aca="false">IF(AND(BB160=1,U160="Y"),1,0)</f>
        <v>0</v>
      </c>
      <c r="CN160" s="23" t="n">
        <f aca="false">IF(CM160=1,IF(COUNTIFS($AZ$2:$AZ$201,AZ160,$CM$2:$CM$201,1,$H$2:$H$201,"&lt;"&amp;H160)+COUNTIFS($AZ$2:$AZ$201,AZ160,$CM$2:$CM$201,1,$H$2:$H$201,H160,$BA$2:$BA$201,"&lt;"&amp;BA160)=0,1,0),0)</f>
        <v>0</v>
      </c>
      <c r="CO160" s="23" t="n">
        <f aca="false">IF(AND(BB160=1,L160="Y"),1,0)</f>
        <v>0</v>
      </c>
      <c r="CP160" s="23" t="n">
        <f aca="false">IF(CO160=1,IF(COUNTIFS($AZ$2:$AZ$201,AZ160,$CO$2:$CO$201,1,$H$2:$H$201,"&lt;"&amp;H160)+COUNTIFS($AZ$2:$AZ$201,AZ160,$CO$2:$CO$201,1,$H$2:$H$201,H160,$BA$2:$BA$201,"&lt;"&amp;BA160)=0,1,0),0)</f>
        <v>0</v>
      </c>
      <c r="CQ160" s="23" t="n">
        <f aca="false">IF(AND(BB160=1,ISNUMBER(O160)),1,0)</f>
        <v>0</v>
      </c>
      <c r="CR160" s="23" t="n">
        <f aca="false">IF(CQ160=1,IF(COUNTIFS($AZ$2:$AZ$201,AZ160,$CQ$2:$CQ$201,1,$H$2:$H$201,"&lt;"&amp;H160)+COUNTIFS($AZ$2:$AZ$201,AZ160,$CQ$2:$CQ$201,1,$H$2:$H$201,H160,$BA$2:$BA$201,"&lt;"&amp;BA160)=0,1,0),0)</f>
        <v>0</v>
      </c>
      <c r="CS160" s="23" t="str">
        <f aca="false">IF(AND(CR160=1,INT(N(H160))&lt;=Config!$B$5),O160,"")</f>
        <v/>
      </c>
      <c r="CT160" s="23" t="str">
        <f aca="false">IF(AND(BB160=1,INT(N(H160))&lt;=Config!$B$5),AG160&amp;"","")</f>
        <v/>
      </c>
      <c r="CU160" s="23" t="n">
        <f aca="false">IF(AND(BB160=1,AU160="Y"),1,0)</f>
        <v>0</v>
      </c>
      <c r="CV160" s="23" t="n">
        <f aca="false">IF(CU160=1,IF(COUNTIFS($AZ$2:$AZ$201,AZ160,$CU$2:$CU$201,1,$H$2:$H$201,"&lt;"&amp;H160)+COUNTIFS($AZ$2:$AZ$201,AZ160,$CU$2:$CU$201,1,$H$2:$H$201,H160,$BA$2:$BA$201,"&lt;"&amp;BA160)=0,1,0),0)</f>
        <v>0</v>
      </c>
      <c r="CW160" s="23" t="str">
        <f aca="false">IF(BB160=1,IFERROR(MATCH($A160,INDEX(Clay_Offices!$A$2:$FZ$601,0,Sync!$C$5),0),""),"")</f>
        <v/>
      </c>
      <c r="CX160" s="23" t="str">
        <f aca="false">IF(CW160="","",IFERROR(INDEX(Clay_Offices!$A$2:$FZ$601,CW160,Sync!$C$7)&amp;"",""))</f>
        <v/>
      </c>
      <c r="CY160" s="23" t="str">
        <f aca="false">IF(CX160="","",IFERROR(INDEX(Lists!$K$2:$K$15,MATCH(CX160,Lists!$J$2:$J$15,0)),""))</f>
        <v/>
      </c>
      <c r="CZ160" s="23" t="str">
        <f aca="false">IF(CW160="","",IFERROR(INDEX(Clay_Offices!$A$2:$FZ$601,CW160,Sync!$C$17)&amp;"",""))</f>
        <v/>
      </c>
      <c r="DA160" s="35" t="str">
        <f aca="false">IF(CW160="","",IFERROR(N(INDEX(Clay_Offices!$A$2:$FZ$601,CW160,Sync!$C$16)),0))</f>
        <v/>
      </c>
      <c r="DB160" s="23" t="n">
        <f aca="false">IF(AND(BB160=1,OR(AR160="Y",AR160="N",AR160="maybe")),1,0)</f>
        <v>0</v>
      </c>
      <c r="DC160" s="23" t="n">
        <f aca="false">IF(AND(DB160=1),IF(COUNTIFS($A$2:$A$201,$A160,$DB$2:$DB$201,1,$H$2:$H$201,"&gt;"&amp;H160)+COUNTIFS($A$2:$A$201,$A160,$DB$2:$DB$201,1,$H$2:$H$201,H160,$BA$2:$BA$201,"&gt;"&amp;BA160)=0,1,0),0)</f>
        <v>0</v>
      </c>
      <c r="DD160" s="23" t="n">
        <f aca="false">IF(AND(DB160=1,INT(N(H160))&lt;=Config!$B$6),IF(COUNTIFS($AZ$2:$AZ$201,AZ160,$DB$2:$DB$201,1,$H$2:$H$201,"&gt;"&amp;H160,$H$2:$H$201,"&lt;"&amp;(Config!$B$6+1))+COUNTIFS($AZ$2:$AZ$201,AZ160,$DB$2:$DB$201,1,$H$2:$H$201,H160,$BA$2:$BA$201,"&gt;"&amp;BA160)=0,1,0),0)</f>
        <v>0</v>
      </c>
      <c r="DE160" s="23" t="n">
        <f aca="false">IF(AND(DB160=1,INT(N(H160))&lt;=Config!$B$7),IF(COUNTIFS($AZ$2:$AZ$201,AZ160,$DB$2:$DB$201,1,$H$2:$H$201,"&gt;"&amp;H160,$H$2:$H$201,"&lt;"&amp;(Config!$B$7+1))+COUNTIFS($AZ$2:$AZ$201,AZ160,$DB$2:$DB$201,1,$H$2:$H$201,H160,$BA$2:$BA$201,"&gt;"&amp;BA160)=0,1,0),0)</f>
        <v>0</v>
      </c>
      <c r="DF160" s="23" t="n">
        <f aca="false">IF(AND(DB160=1,INT(N(H160))&lt;=Config!$B$8),IF(COUNTIFS($AZ$2:$AZ$201,AZ160,$DB$2:$DB$201,1,$H$2:$H$201,"&gt;"&amp;H160,$H$2:$H$201,"&lt;"&amp;(Config!$B$8+1))+COUNTIFS($AZ$2:$AZ$201,AZ160,$DB$2:$DB$201,1,$H$2:$H$201,H160,$BA$2:$BA$201,"&gt;"&amp;BA160)=0,1,0),0)</f>
        <v>0</v>
      </c>
      <c r="DG160" s="23" t="n">
        <f aca="false">IF(AND(DB160=1,INT(N(H160))&lt;=Config!$B$5),IF(COUNTIFS($AZ$2:$AZ$201,AZ160,$DB$2:$DB$201,1,$H$2:$H$201,"&gt;"&amp;H160,$H$2:$H$201,"&lt;"&amp;(Config!$B$5+1))+COUNTIFS($AZ$2:$AZ$201,AZ160,$DB$2:$DB$201,1,$H$2:$H$201,H160,$BA$2:$BA$201,"&gt;"&amp;BA160)=0,1,0),0)</f>
        <v>0</v>
      </c>
      <c r="DH160" s="23" t="n">
        <f aca="false">IF(BB160=1,IF(COUNTIFS($AZ$2:$AZ$201,AZ160,$DD$2:$DD$201,1,$AR$2:$AR$201,"Y")&gt;0,1,0),0)</f>
        <v>0</v>
      </c>
      <c r="DI160" s="23" t="n">
        <f aca="false">IF(BB160=1,IF(COUNTIFS($AZ$2:$AZ$201,AZ160,$DE$2:$DE$201,1,$AR$2:$AR$201,"Y")&gt;0,1,0),0)</f>
        <v>0</v>
      </c>
      <c r="DJ160" s="23" t="n">
        <f aca="false">IF(BB160=1,IF(COUNTIFS($AZ$2:$AZ$201,AZ160,$DF$2:$DF$201,1,$AR$2:$AR$201,"Y")&gt;0,1,0),0)</f>
        <v>0</v>
      </c>
      <c r="DK160" s="23" t="n">
        <f aca="false">IF(BB160=1,IF(COUNTIFS($AZ$2:$AZ$201,AZ160,$DG$2:$DG$201,1,$AR$2:$AR$201,"Y")&gt;0,1,0),0)</f>
        <v>0</v>
      </c>
      <c r="DL160" s="23" t="n">
        <f aca="false">IF(AND(BF160=1,INT(N(H160))&lt;=Config!$B$6,DH160=1,EI160=0),1,0)</f>
        <v>0</v>
      </c>
      <c r="DM160" s="23" t="n">
        <f aca="false">IF(AND(BF160=1,INT(N(H160))&lt;=Config!$B$7,DI160=1,EI160=0),1,0)</f>
        <v>0</v>
      </c>
      <c r="DN160" s="23" t="n">
        <f aca="false">IF(AND(BF160=1,INT(N(H160))&lt;=Config!$B$8,DJ160=1,EI160=0),1,0)</f>
        <v>0</v>
      </c>
      <c r="DO160" s="23" t="n">
        <f aca="false">IF(AND(BF160=1,INT(N(H160))&lt;=Config!$B$5,DK160=1,EI160=0),1,0)</f>
        <v>0</v>
      </c>
      <c r="DP160" s="23" t="n">
        <f aca="false">IF(AND(CC160=1,INT(N(H160))&lt;=Config!$B$6,DH160=1,EI160=0),1,0)</f>
        <v>0</v>
      </c>
      <c r="DQ160" s="23" t="n">
        <f aca="false">IF(AND(CC160=1,INT(N(H160))&lt;=Config!$B$7,DI160=1,EI160=0),1,0)</f>
        <v>0</v>
      </c>
      <c r="DR160" s="23" t="n">
        <f aca="false">IF(AND(CC160=1,INT(N(H160))&lt;=Config!$B$8,DJ160=1,EI160=0),1,0)</f>
        <v>0</v>
      </c>
      <c r="DS160" s="23" t="n">
        <f aca="false">IF(AND(CC160=1,INT(N(H160))&lt;=Config!$B$5,DK160=1,EI160=0),1,0)</f>
        <v>0</v>
      </c>
      <c r="DT160" s="23" t="n">
        <f aca="false">IF(AND(CC160=1,INT(N(H160))&lt;=Config!$B$6,DH160=0),1,0)</f>
        <v>0</v>
      </c>
      <c r="DU160" s="23" t="n">
        <f aca="false">IF(AND(CC160=1,INT(N(H160))&lt;=Config!$B$7,DI160=0),1,0)</f>
        <v>0</v>
      </c>
      <c r="DV160" s="23" t="n">
        <f aca="false">IF(AND(CC160=1,INT(N(H160))&lt;=Config!$B$8,DJ160=0),1,0)</f>
        <v>0</v>
      </c>
      <c r="DW160" s="23" t="n">
        <f aca="false">IF(AND(CC160=1,INT(N(H160))&lt;=Config!$B$5,DK160=0),1,0)</f>
        <v>0</v>
      </c>
      <c r="DX160" s="23" t="n">
        <f aca="false">IF(TRIM($A160)="",0,ISTEXT(M160)+ISTEXT(O160)+ISTEXT(Y160)+ISTEXT(Z160)+ISTEXT(AA160)+ISTEXT(AV160))</f>
        <v>0</v>
      </c>
      <c r="DY160" s="23" t="n">
        <f aca="false">IF(BB160=1,IF(H160&lt;&gt;INT(H160),1,0),0)</f>
        <v>0</v>
      </c>
      <c r="DZ160" s="23" t="str">
        <f aca="false">IF(TRIM($A160)="","",IF(TRIM(B160)="",SUBSTITUTE(SUBSTITUTE(SUBSTITUTE(SUBSTITUTE(SUBSTITUTE(SUBSTITUTE(LOWER(TRIM($A160)),"~",""),"*",""),"?",""),"&lt;",""),"&gt;",""),"=",""),SUBSTITUTE(SUBSTITUTE(SUBSTITUTE(SUBSTITUTE(SUBSTITUTE(SUBSTITUTE(LOWER(TRIM(B160)),"~",""),"*",""),"?",""),"&lt;",""),"&gt;",""),"=","")))</f>
        <v/>
      </c>
      <c r="EA160" s="23" t="str">
        <f aca="false">IF(CW160="","",IFERROR(IF(LEFT(LOWER(TRIM(INDEX(Clay_Offices!$A$2:$FZ$601,CW160,Sync!$C$19)&amp;"")),4)="grp-",SUBSTITUTE(SUBSTITUTE(SUBSTITUTE(SUBSTITUTE(SUBSTITUTE(SUBSTITUTE(LOWER(TRIM(INDEX(Clay_Offices!$A$2:$FZ$601,CW160,Sync!$C$19)&amp;"")),"~",""),"*",""),"?",""),"&lt;",""),"&gt;",""),"=",""),""),""))</f>
        <v/>
      </c>
      <c r="EB160" s="23" t="str">
        <f aca="false">IF(EA160&lt;&gt;"",DZ160,"")</f>
        <v/>
      </c>
      <c r="EC160" s="23" t="str">
        <f aca="false">IF(BC160=1,AZ160,"")</f>
        <v/>
      </c>
      <c r="ED160" s="23" t="str">
        <f aca="false">IF(TRIM($A160)="","",IFERROR(INDEX($A$2:$A$201,MATCH(AZ160,$EC$2:$EC$201,0))&amp;"",$A160&amp;""))</f>
        <v/>
      </c>
      <c r="EE160" s="23" t="n">
        <f aca="false">IF(BB160=1,IF(COUNTIFS($A$2:$A$201,$A160,$BB$2:$BB$201,1,$H$2:$H$201,"&lt;"&amp;H160)+COUNTIFS($A$2:$A$201,$A160,$BB$2:$BB$201,1,$H$2:$H$201,H160,$BA$2:$BA$201,"&lt;"&amp;BA160)=0,1,0),0)</f>
        <v>0</v>
      </c>
      <c r="EF160" s="23" t="n">
        <f aca="false">IF(BC160=1,IF(COUNTIFS($AZ$2:$AZ$201,AZ160,$EE$2:$EE$201,1)&gt;1,1,0),0)</f>
        <v>0</v>
      </c>
      <c r="EG160" s="23" t="n">
        <f aca="false">IF(AND(CQ160=1),IF(COUNTIFS($AZ$2:$AZ$201,AZ160,$CQ$2:$CQ$201,1,$H$2:$H$201,"&gt;"&amp;H160)+COUNTIFS($AZ$2:$AZ$201,AZ160,$CQ$2:$CQ$201,1,$H$2:$H$201,H160,$BA$2:$BA$201,"&gt;"&amp;BA160)=0,1,0),0)</f>
        <v>0</v>
      </c>
      <c r="EH160" s="23" t="str">
        <f aca="false">IF(BB160=1,IF(COUNTIFS($AZ$2:$AZ$201,AZ160,$EG$2:$EG$201,1)=0,"",SUMIFS($O$2:$O$201,$AZ$2:$AZ$201,AZ160,$EG$2:$EG$201,1)),"")</f>
        <v/>
      </c>
      <c r="EI160" s="23" t="n">
        <f aca="false">IF(AND(ISNUMBER(EH160),OR(N(EH160)&lt;Config!$B$31,N(EH160)&gt;Config!$B$33)),1,0)</f>
        <v>0</v>
      </c>
      <c r="EJ160" s="23" t="n">
        <f aca="false">IF(AND(ISNUMBER(EH160),N(EH160)&gt;=Config!$B$31,N(EH160)&lt;Config!$B$32),1,0)</f>
        <v>0</v>
      </c>
      <c r="EK160" s="23" t="n">
        <f aca="false">IF(AND(BF160=1,INT(N(H160))&lt;=Config!$B$6,DH160=1,EI160=1),1,0)</f>
        <v>0</v>
      </c>
      <c r="EL160" s="23" t="n">
        <f aca="false">IF(AND(BF160=1,INT(N(H160))&lt;=Config!$B$7,DI160=1,EI160=1),1,0)</f>
        <v>0</v>
      </c>
      <c r="EM160" s="23" t="n">
        <f aca="false">IF(AND(BF160=1,INT(N(H160))&lt;=Config!$B$8,DJ160=1,EI160=1),1,0)</f>
        <v>0</v>
      </c>
      <c r="EN160" s="23" t="n">
        <f aca="false">IF(AND(BF160=1,INT(N(H160))&lt;=Config!$B$5,DK160=1,EI160=1),1,0)</f>
        <v>0</v>
      </c>
      <c r="EO160" s="23" t="n">
        <f aca="false">IF(AND(DL160=1,EJ160=1),1,0)</f>
        <v>0</v>
      </c>
      <c r="EP160" s="23" t="n">
        <f aca="false">IF(AND(DM160=1,EJ160=1),1,0)</f>
        <v>0</v>
      </c>
      <c r="EQ160" s="23" t="n">
        <f aca="false">IF(AND(DN160=1,EJ160=1),1,0)</f>
        <v>0</v>
      </c>
      <c r="ER160" s="23" t="n">
        <f aca="false">IF(AND(DO160=1,EJ160=1),1,0)</f>
        <v>0</v>
      </c>
    </row>
    <row r="161" customFormat="false" ht="15" hidden="false" customHeight="false" outlineLevel="0" collapsed="false">
      <c r="G161" s="32"/>
      <c r="H161" s="33"/>
      <c r="I161" s="32"/>
      <c r="L161" s="32"/>
      <c r="Q161" s="32"/>
      <c r="U161" s="32"/>
      <c r="W161" s="32"/>
      <c r="AC161" s="32"/>
      <c r="AF161" s="32"/>
      <c r="AI161" s="32"/>
      <c r="AJ161" s="32"/>
      <c r="AN161" s="32"/>
      <c r="AR161" s="32"/>
      <c r="AT161" s="32"/>
      <c r="AU161" s="32"/>
      <c r="AW161" s="32"/>
      <c r="AY161" s="34" t="str">
        <f aca="false">IF(TRIM($A161)="","",IF(AND(LEFT($A161,6)="SAMPLE",Config!$B$19&lt;&gt;"Y"),"",IF(NOT(ISNUMBER(H161)),"call_date is blank or not a date",IF(Sync!$C$5="","Clay paste is empty or has no row_id column: paste the Clay export on Clay_Offices",IF(CW161="","row_id not found in the Clay paste: add the Clay row or fix the row_id",IF(AND(ISNUMBER(CY161),CY161&gt;=1,CY161&lt;=5),"Clay status is "&amp;CX161&amp;": set call_done or later",IF(AND(BD161=1,CZ161&lt;&gt;BZ161),"Clay yes_in_principle should be "&amp;BZ161,IF(AND(BD161=1,DA161&lt;&gt;H161),"Clay call_date should be "&amp;TEXT(H161,"yyyy-mm-dd"),""))))))))</f>
        <v/>
      </c>
      <c r="AZ161" s="23" t="str">
        <f aca="false">IF(TRIM($A161)="","",IF(TRIM(C161)&lt;&gt;"",SUBSTITUTE(SUBSTITUTE(SUBSTITUTE(SUBSTITUTE(SUBSTITUTE(SUBSTITUTE(LOWER(TRIM(C161)),"~",""),"*",""),"?",""),"&lt;",""),"&gt;",""),"=",""),IF(EA161&lt;&gt;"",EA161,IFERROR(INDEX($EA$2:$EA$201,MATCH(DZ161,$EB$2:$EB$201,0)),DZ161))))</f>
        <v/>
      </c>
      <c r="BA161" s="23" t="n">
        <f aca="false">ROW()</f>
        <v>161</v>
      </c>
      <c r="BB161" s="23" t="n">
        <f aca="false">IF(AND(TRIM($A161)&lt;&gt;"",ISNUMBER(H161)),IF(AND(LEFT($A161,6)="SAMPLE",Config!$B$19&lt;&gt;"Y"),0,1),0)</f>
        <v>0</v>
      </c>
      <c r="BC161" s="23" t="n">
        <f aca="false">IF(BB161=1,IF(COUNTIFS($AZ$2:$AZ$201,AZ161,$BB$2:$BB$201,1,$H$2:$H$201,"&lt;"&amp;H161)+COUNTIFS($AZ$2:$AZ$201,AZ161,$BB$2:$BB$201,1,$H$2:$H$201,H161,$BA$2:$BA$201,"&lt;"&amp;BA161)=0,1,0),0)</f>
        <v>0</v>
      </c>
      <c r="BD161" s="23" t="n">
        <f aca="false">IF(BB161=1,IF(COUNTIFS($A$2:$A$201,$A161,$BB$2:$BB$201,1,$H$2:$H$201,"&gt;"&amp;H161)+COUNTIFS($A$2:$A$201,$A161,$BB$2:$BB$201,1,$H$2:$H$201,H161,$BA$2:$BA$201,"&gt;"&amp;BA161)=0,1,0),0)</f>
        <v>0</v>
      </c>
      <c r="BE161" s="23" t="n">
        <f aca="false">IF(AND(BB161=1,AR161="Y",AC161="Y",TRIM(AH161)&lt;&gt;""),1,0)</f>
        <v>0</v>
      </c>
      <c r="BF161" s="23" t="n">
        <f aca="false">IF(BE161=1,IF(COUNTIFS($AZ$2:$AZ$201,AZ161,$BE$2:$BE$201,1,$H$2:$H$201,"&lt;"&amp;H161)+COUNTIFS($AZ$2:$AZ$201,AZ161,$BE$2:$BE$201,1,$H$2:$H$201,H161,$BA$2:$BA$201,"&lt;"&amp;BA161)=0,1,0),0)</f>
        <v>0</v>
      </c>
      <c r="BG161" s="23" t="n">
        <f aca="false">IF(AND(BB161=1,AR161="Y",BE161=0),1,0)</f>
        <v>0</v>
      </c>
      <c r="BH161" s="23" t="n">
        <f aca="false">IF(AND(BB161=1,ISNUMBER(Y161)),1,0)</f>
        <v>0</v>
      </c>
      <c r="BI161" s="23" t="n">
        <f aca="false">IF(BH161=1,IF(COUNTIFS($AZ$2:$AZ$201,AZ161,$BH$2:$BH$201,1,$H$2:$H$201,"&lt;"&amp;H161)+COUNTIFS($AZ$2:$AZ$201,AZ161,$BH$2:$BH$201,1,$H$2:$H$201,H161,$BA$2:$BA$201,"&lt;"&amp;BA161)=0,1,0),0)</f>
        <v>0</v>
      </c>
      <c r="BJ161" s="23" t="str">
        <f aca="false">IF(AND(BI161=1,INT(N(H161))&lt;=Config!$B$6),Y161,"")</f>
        <v/>
      </c>
      <c r="BK161" s="23" t="str">
        <f aca="false">IF(AND(BI161=1,INT(N(H161))&lt;=Config!$B$7),Y161,"")</f>
        <v/>
      </c>
      <c r="BL161" s="23" t="str">
        <f aca="false">IF(AND(BI161=1,INT(N(H161))&lt;=Config!$B$8),Y161,"")</f>
        <v/>
      </c>
      <c r="BM161" s="23" t="str">
        <f aca="false">IF(AND(BI161=1,INT(N(H161))&lt;=Config!$B$5),Y161,"")</f>
        <v/>
      </c>
      <c r="BN161" s="23" t="n">
        <f aca="false">IF(CD161=1,IF(COUNTIFS($AZ$2:$AZ$201,AZ161,$CD$2:$CD$201,1,$H$2:$H$201,"&lt;"&amp;H161)+COUNTIFS($AZ$2:$AZ$201,AZ161,$CD$2:$CD$201,1,$H$2:$H$201,H161,$BA$2:$BA$201,"&lt;"&amp;BA161)=0,1,0),0)</f>
        <v>0</v>
      </c>
      <c r="BO161" s="23" t="n">
        <f aca="false">IF(AND(BB161=1,ISNUMBER(M161)),1,0)</f>
        <v>0</v>
      </c>
      <c r="BP161" s="23" t="n">
        <f aca="false">IF(BO161=1,IF(COUNTIFS($AZ$2:$AZ$201,AZ161,$BO$2:$BO$201,1,$H$2:$H$201,"&lt;"&amp;H161)+COUNTIFS($AZ$2:$AZ$201,AZ161,$BO$2:$BO$201,1,$H$2:$H$201,H161,$BA$2:$BA$201,"&lt;"&amp;BA161)=0,1,0),0)</f>
        <v>0</v>
      </c>
      <c r="BQ161" s="23" t="str">
        <f aca="false">IF(AND(BP161=1,INT(N(H161))&lt;=Config!$B$5),M161,"")</f>
        <v/>
      </c>
      <c r="BR161" s="23" t="n">
        <f aca="false">IF(AND(BB161=1,OR(TRIM(X161)&lt;&gt;"",ISNUMBER(Y161))),1,0)</f>
        <v>0</v>
      </c>
      <c r="BS161" s="23" t="n">
        <f aca="false">IF(BR161=1,IF(COUNTIFS($AZ$2:$AZ$201,AZ161,$BR$2:$BR$201,1,$H$2:$H$201,"&lt;"&amp;H161)+COUNTIFS($AZ$2:$AZ$201,AZ161,$BR$2:$BR$201,1,$H$2:$H$201,H161,$BA$2:$BA$201,"&lt;"&amp;BA161)=0,1,0),0)</f>
        <v>0</v>
      </c>
      <c r="BT161" s="23" t="str">
        <f aca="false">IF(BS161=1,AZ161,"")</f>
        <v/>
      </c>
      <c r="BU161" s="23" t="n">
        <f aca="false">IF(AND(BB161=1,W161="Y",TRIM(X161)=""),1,0)</f>
        <v>0</v>
      </c>
      <c r="BV161" s="23" t="str">
        <f aca="false">IF(BB161=1,AN161&amp;"","")</f>
        <v/>
      </c>
      <c r="BW161" s="23" t="str">
        <f aca="false">IF(BB161=1,AO161&amp;"","")</f>
        <v/>
      </c>
      <c r="BX161" s="23" t="str">
        <f aca="false">IF(BB161=1,AP161&amp;"","")</f>
        <v/>
      </c>
      <c r="BY161" s="23" t="str">
        <f aca="false">IF(AND(BB161=1,ISNUMBER(AV161),INT(N(H161))&lt;=Config!$B$5),AV161,"")</f>
        <v/>
      </c>
      <c r="BZ161" s="23" t="str">
        <f aca="false">IF(BB161=1,IF(COUNTIFS($A$2:$A$201,$A161,$DC$2:$DC$201,1,$AR$2:$AR$201,"Y")&gt;0,"Y","N"),"")</f>
        <v/>
      </c>
      <c r="CA161" s="23" t="n">
        <f aca="false">IF(AND(BB161=1,AR161="maybe"),1,0)</f>
        <v>0</v>
      </c>
      <c r="CB161" s="23" t="n">
        <f aca="false">IF(CA161=1,IF(COUNTIFS($AZ$2:$AZ$201,AZ161,$CA$2:$CA$201,1,$H$2:$H$201,"&lt;"&amp;H161)+COUNTIFS($AZ$2:$AZ$201,AZ161,$CA$2:$CA$201,1,$H$2:$H$201,H161,$BA$2:$BA$201,"&lt;"&amp;BA161)=0,1,0),0)</f>
        <v>0</v>
      </c>
      <c r="CC161" s="23" t="n">
        <f aca="false">IF(AND(BB161=1,AR161="Y"),IF(COUNTIFS($AZ$2:$AZ$201,AZ161,$AR$2:$AR$201,"Y",$BB$2:$BB$201,1,$H$2:$H$201,"&lt;"&amp;H161)+COUNTIFS($AZ$2:$AZ$201,AZ161,$AR$2:$AR$201,"Y",$BB$2:$BB$201,1,$H$2:$H$201,H161,$BA$2:$BA$201,"&lt;"&amp;BA161)=0,1,0),0)</f>
        <v>0</v>
      </c>
      <c r="CD161" s="23" t="n">
        <f aca="false">IF(AND(BH161=1,N(Y161)&gt;=Config!$B$15),1,0)</f>
        <v>0</v>
      </c>
      <c r="CE161" s="23" t="n">
        <f aca="false">IF(AND(BB161=1,AT161="Y"),1,0)</f>
        <v>0</v>
      </c>
      <c r="CF161" s="23" t="n">
        <f aca="false">IF(CE161=1,IF(COUNTIFS($AZ$2:$AZ$201,AZ161,$CE$2:$CE$201,1,$H$2:$H$201,"&lt;"&amp;H161)+COUNTIFS($AZ$2:$AZ$201,AZ161,$CE$2:$CE$201,1,$H$2:$H$201,H161,$BA$2:$BA$201,"&lt;"&amp;BA161)=0,1,0),0)</f>
        <v>0</v>
      </c>
      <c r="CG161" s="23" t="n">
        <f aca="false">IF(AND(BB161=1,G161="warm-intro"),1,0)</f>
        <v>0</v>
      </c>
      <c r="CH161" s="23" t="n">
        <f aca="false">IF(CG161=1,IF(COUNTIFS($AZ$2:$AZ$201,AZ161,$CG$2:$CG$201,1,$H$2:$H$201,"&lt;"&amp;H161)+COUNTIFS($AZ$2:$AZ$201,AZ161,$CG$2:$CG$201,1,$H$2:$H$201,H161,$BA$2:$BA$201,"&lt;"&amp;BA161)=0,1,0),0)</f>
        <v>0</v>
      </c>
      <c r="CI161" s="23" t="n">
        <f aca="false">IF(AND(BB161=1,Q161="Y"),1,0)</f>
        <v>0</v>
      </c>
      <c r="CJ161" s="23" t="n">
        <f aca="false">IF(CI161=1,IF(COUNTIFS($AZ$2:$AZ$201,AZ161,$CI$2:$CI$201,1,$H$2:$H$201,"&lt;"&amp;H161)+COUNTIFS($AZ$2:$AZ$201,AZ161,$CI$2:$CI$201,1,$H$2:$H$201,H161,$BA$2:$BA$201,"&lt;"&amp;BA161)=0,1,0),0)</f>
        <v>0</v>
      </c>
      <c r="CK161" s="23" t="n">
        <f aca="false">IF(AND(BB161=1,AF161="Y"),1,0)</f>
        <v>0</v>
      </c>
      <c r="CL161" s="23" t="n">
        <f aca="false">IF(CK161=1,IF(COUNTIFS($AZ$2:$AZ$201,AZ161,$CK$2:$CK$201,1,$H$2:$H$201,"&lt;"&amp;H161)+COUNTIFS($AZ$2:$AZ$201,AZ161,$CK$2:$CK$201,1,$H$2:$H$201,H161,$BA$2:$BA$201,"&lt;"&amp;BA161)=0,1,0),0)</f>
        <v>0</v>
      </c>
      <c r="CM161" s="23" t="n">
        <f aca="false">IF(AND(BB161=1,U161="Y"),1,0)</f>
        <v>0</v>
      </c>
      <c r="CN161" s="23" t="n">
        <f aca="false">IF(CM161=1,IF(COUNTIFS($AZ$2:$AZ$201,AZ161,$CM$2:$CM$201,1,$H$2:$H$201,"&lt;"&amp;H161)+COUNTIFS($AZ$2:$AZ$201,AZ161,$CM$2:$CM$201,1,$H$2:$H$201,H161,$BA$2:$BA$201,"&lt;"&amp;BA161)=0,1,0),0)</f>
        <v>0</v>
      </c>
      <c r="CO161" s="23" t="n">
        <f aca="false">IF(AND(BB161=1,L161="Y"),1,0)</f>
        <v>0</v>
      </c>
      <c r="CP161" s="23" t="n">
        <f aca="false">IF(CO161=1,IF(COUNTIFS($AZ$2:$AZ$201,AZ161,$CO$2:$CO$201,1,$H$2:$H$201,"&lt;"&amp;H161)+COUNTIFS($AZ$2:$AZ$201,AZ161,$CO$2:$CO$201,1,$H$2:$H$201,H161,$BA$2:$BA$201,"&lt;"&amp;BA161)=0,1,0),0)</f>
        <v>0</v>
      </c>
      <c r="CQ161" s="23" t="n">
        <f aca="false">IF(AND(BB161=1,ISNUMBER(O161)),1,0)</f>
        <v>0</v>
      </c>
      <c r="CR161" s="23" t="n">
        <f aca="false">IF(CQ161=1,IF(COUNTIFS($AZ$2:$AZ$201,AZ161,$CQ$2:$CQ$201,1,$H$2:$H$201,"&lt;"&amp;H161)+COUNTIFS($AZ$2:$AZ$201,AZ161,$CQ$2:$CQ$201,1,$H$2:$H$201,H161,$BA$2:$BA$201,"&lt;"&amp;BA161)=0,1,0),0)</f>
        <v>0</v>
      </c>
      <c r="CS161" s="23" t="str">
        <f aca="false">IF(AND(CR161=1,INT(N(H161))&lt;=Config!$B$5),O161,"")</f>
        <v/>
      </c>
      <c r="CT161" s="23" t="str">
        <f aca="false">IF(AND(BB161=1,INT(N(H161))&lt;=Config!$B$5),AG161&amp;"","")</f>
        <v/>
      </c>
      <c r="CU161" s="23" t="n">
        <f aca="false">IF(AND(BB161=1,AU161="Y"),1,0)</f>
        <v>0</v>
      </c>
      <c r="CV161" s="23" t="n">
        <f aca="false">IF(CU161=1,IF(COUNTIFS($AZ$2:$AZ$201,AZ161,$CU$2:$CU$201,1,$H$2:$H$201,"&lt;"&amp;H161)+COUNTIFS($AZ$2:$AZ$201,AZ161,$CU$2:$CU$201,1,$H$2:$H$201,H161,$BA$2:$BA$201,"&lt;"&amp;BA161)=0,1,0),0)</f>
        <v>0</v>
      </c>
      <c r="CW161" s="23" t="str">
        <f aca="false">IF(BB161=1,IFERROR(MATCH($A161,INDEX(Clay_Offices!$A$2:$FZ$601,0,Sync!$C$5),0),""),"")</f>
        <v/>
      </c>
      <c r="CX161" s="23" t="str">
        <f aca="false">IF(CW161="","",IFERROR(INDEX(Clay_Offices!$A$2:$FZ$601,CW161,Sync!$C$7)&amp;"",""))</f>
        <v/>
      </c>
      <c r="CY161" s="23" t="str">
        <f aca="false">IF(CX161="","",IFERROR(INDEX(Lists!$K$2:$K$15,MATCH(CX161,Lists!$J$2:$J$15,0)),""))</f>
        <v/>
      </c>
      <c r="CZ161" s="23" t="str">
        <f aca="false">IF(CW161="","",IFERROR(INDEX(Clay_Offices!$A$2:$FZ$601,CW161,Sync!$C$17)&amp;"",""))</f>
        <v/>
      </c>
      <c r="DA161" s="35" t="str">
        <f aca="false">IF(CW161="","",IFERROR(N(INDEX(Clay_Offices!$A$2:$FZ$601,CW161,Sync!$C$16)),0))</f>
        <v/>
      </c>
      <c r="DB161" s="23" t="n">
        <f aca="false">IF(AND(BB161=1,OR(AR161="Y",AR161="N",AR161="maybe")),1,0)</f>
        <v>0</v>
      </c>
      <c r="DC161" s="23" t="n">
        <f aca="false">IF(AND(DB161=1),IF(COUNTIFS($A$2:$A$201,$A161,$DB$2:$DB$201,1,$H$2:$H$201,"&gt;"&amp;H161)+COUNTIFS($A$2:$A$201,$A161,$DB$2:$DB$201,1,$H$2:$H$201,H161,$BA$2:$BA$201,"&gt;"&amp;BA161)=0,1,0),0)</f>
        <v>0</v>
      </c>
      <c r="DD161" s="23" t="n">
        <f aca="false">IF(AND(DB161=1,INT(N(H161))&lt;=Config!$B$6),IF(COUNTIFS($AZ$2:$AZ$201,AZ161,$DB$2:$DB$201,1,$H$2:$H$201,"&gt;"&amp;H161,$H$2:$H$201,"&lt;"&amp;(Config!$B$6+1))+COUNTIFS($AZ$2:$AZ$201,AZ161,$DB$2:$DB$201,1,$H$2:$H$201,H161,$BA$2:$BA$201,"&gt;"&amp;BA161)=0,1,0),0)</f>
        <v>0</v>
      </c>
      <c r="DE161" s="23" t="n">
        <f aca="false">IF(AND(DB161=1,INT(N(H161))&lt;=Config!$B$7),IF(COUNTIFS($AZ$2:$AZ$201,AZ161,$DB$2:$DB$201,1,$H$2:$H$201,"&gt;"&amp;H161,$H$2:$H$201,"&lt;"&amp;(Config!$B$7+1))+COUNTIFS($AZ$2:$AZ$201,AZ161,$DB$2:$DB$201,1,$H$2:$H$201,H161,$BA$2:$BA$201,"&gt;"&amp;BA161)=0,1,0),0)</f>
        <v>0</v>
      </c>
      <c r="DF161" s="23" t="n">
        <f aca="false">IF(AND(DB161=1,INT(N(H161))&lt;=Config!$B$8),IF(COUNTIFS($AZ$2:$AZ$201,AZ161,$DB$2:$DB$201,1,$H$2:$H$201,"&gt;"&amp;H161,$H$2:$H$201,"&lt;"&amp;(Config!$B$8+1))+COUNTIFS($AZ$2:$AZ$201,AZ161,$DB$2:$DB$201,1,$H$2:$H$201,H161,$BA$2:$BA$201,"&gt;"&amp;BA161)=0,1,0),0)</f>
        <v>0</v>
      </c>
      <c r="DG161" s="23" t="n">
        <f aca="false">IF(AND(DB161=1,INT(N(H161))&lt;=Config!$B$5),IF(COUNTIFS($AZ$2:$AZ$201,AZ161,$DB$2:$DB$201,1,$H$2:$H$201,"&gt;"&amp;H161,$H$2:$H$201,"&lt;"&amp;(Config!$B$5+1))+COUNTIFS($AZ$2:$AZ$201,AZ161,$DB$2:$DB$201,1,$H$2:$H$201,H161,$BA$2:$BA$201,"&gt;"&amp;BA161)=0,1,0),0)</f>
        <v>0</v>
      </c>
      <c r="DH161" s="23" t="n">
        <f aca="false">IF(BB161=1,IF(COUNTIFS($AZ$2:$AZ$201,AZ161,$DD$2:$DD$201,1,$AR$2:$AR$201,"Y")&gt;0,1,0),0)</f>
        <v>0</v>
      </c>
      <c r="DI161" s="23" t="n">
        <f aca="false">IF(BB161=1,IF(COUNTIFS($AZ$2:$AZ$201,AZ161,$DE$2:$DE$201,1,$AR$2:$AR$201,"Y")&gt;0,1,0),0)</f>
        <v>0</v>
      </c>
      <c r="DJ161" s="23" t="n">
        <f aca="false">IF(BB161=1,IF(COUNTIFS($AZ$2:$AZ$201,AZ161,$DF$2:$DF$201,1,$AR$2:$AR$201,"Y")&gt;0,1,0),0)</f>
        <v>0</v>
      </c>
      <c r="DK161" s="23" t="n">
        <f aca="false">IF(BB161=1,IF(COUNTIFS($AZ$2:$AZ$201,AZ161,$DG$2:$DG$201,1,$AR$2:$AR$201,"Y")&gt;0,1,0),0)</f>
        <v>0</v>
      </c>
      <c r="DL161" s="23" t="n">
        <f aca="false">IF(AND(BF161=1,INT(N(H161))&lt;=Config!$B$6,DH161=1,EI161=0),1,0)</f>
        <v>0</v>
      </c>
      <c r="DM161" s="23" t="n">
        <f aca="false">IF(AND(BF161=1,INT(N(H161))&lt;=Config!$B$7,DI161=1,EI161=0),1,0)</f>
        <v>0</v>
      </c>
      <c r="DN161" s="23" t="n">
        <f aca="false">IF(AND(BF161=1,INT(N(H161))&lt;=Config!$B$8,DJ161=1,EI161=0),1,0)</f>
        <v>0</v>
      </c>
      <c r="DO161" s="23" t="n">
        <f aca="false">IF(AND(BF161=1,INT(N(H161))&lt;=Config!$B$5,DK161=1,EI161=0),1,0)</f>
        <v>0</v>
      </c>
      <c r="DP161" s="23" t="n">
        <f aca="false">IF(AND(CC161=1,INT(N(H161))&lt;=Config!$B$6,DH161=1,EI161=0),1,0)</f>
        <v>0</v>
      </c>
      <c r="DQ161" s="23" t="n">
        <f aca="false">IF(AND(CC161=1,INT(N(H161))&lt;=Config!$B$7,DI161=1,EI161=0),1,0)</f>
        <v>0</v>
      </c>
      <c r="DR161" s="23" t="n">
        <f aca="false">IF(AND(CC161=1,INT(N(H161))&lt;=Config!$B$8,DJ161=1,EI161=0),1,0)</f>
        <v>0</v>
      </c>
      <c r="DS161" s="23" t="n">
        <f aca="false">IF(AND(CC161=1,INT(N(H161))&lt;=Config!$B$5,DK161=1,EI161=0),1,0)</f>
        <v>0</v>
      </c>
      <c r="DT161" s="23" t="n">
        <f aca="false">IF(AND(CC161=1,INT(N(H161))&lt;=Config!$B$6,DH161=0),1,0)</f>
        <v>0</v>
      </c>
      <c r="DU161" s="23" t="n">
        <f aca="false">IF(AND(CC161=1,INT(N(H161))&lt;=Config!$B$7,DI161=0),1,0)</f>
        <v>0</v>
      </c>
      <c r="DV161" s="23" t="n">
        <f aca="false">IF(AND(CC161=1,INT(N(H161))&lt;=Config!$B$8,DJ161=0),1,0)</f>
        <v>0</v>
      </c>
      <c r="DW161" s="23" t="n">
        <f aca="false">IF(AND(CC161=1,INT(N(H161))&lt;=Config!$B$5,DK161=0),1,0)</f>
        <v>0</v>
      </c>
      <c r="DX161" s="23" t="n">
        <f aca="false">IF(TRIM($A161)="",0,ISTEXT(M161)+ISTEXT(O161)+ISTEXT(Y161)+ISTEXT(Z161)+ISTEXT(AA161)+ISTEXT(AV161))</f>
        <v>0</v>
      </c>
      <c r="DY161" s="23" t="n">
        <f aca="false">IF(BB161=1,IF(H161&lt;&gt;INT(H161),1,0),0)</f>
        <v>0</v>
      </c>
      <c r="DZ161" s="23" t="str">
        <f aca="false">IF(TRIM($A161)="","",IF(TRIM(B161)="",SUBSTITUTE(SUBSTITUTE(SUBSTITUTE(SUBSTITUTE(SUBSTITUTE(SUBSTITUTE(LOWER(TRIM($A161)),"~",""),"*",""),"?",""),"&lt;",""),"&gt;",""),"=",""),SUBSTITUTE(SUBSTITUTE(SUBSTITUTE(SUBSTITUTE(SUBSTITUTE(SUBSTITUTE(LOWER(TRIM(B161)),"~",""),"*",""),"?",""),"&lt;",""),"&gt;",""),"=","")))</f>
        <v/>
      </c>
      <c r="EA161" s="23" t="str">
        <f aca="false">IF(CW161="","",IFERROR(IF(LEFT(LOWER(TRIM(INDEX(Clay_Offices!$A$2:$FZ$601,CW161,Sync!$C$19)&amp;"")),4)="grp-",SUBSTITUTE(SUBSTITUTE(SUBSTITUTE(SUBSTITUTE(SUBSTITUTE(SUBSTITUTE(LOWER(TRIM(INDEX(Clay_Offices!$A$2:$FZ$601,CW161,Sync!$C$19)&amp;"")),"~",""),"*",""),"?",""),"&lt;",""),"&gt;",""),"=",""),""),""))</f>
        <v/>
      </c>
      <c r="EB161" s="23" t="str">
        <f aca="false">IF(EA161&lt;&gt;"",DZ161,"")</f>
        <v/>
      </c>
      <c r="EC161" s="23" t="str">
        <f aca="false">IF(BC161=1,AZ161,"")</f>
        <v/>
      </c>
      <c r="ED161" s="23" t="str">
        <f aca="false">IF(TRIM($A161)="","",IFERROR(INDEX($A$2:$A$201,MATCH(AZ161,$EC$2:$EC$201,0))&amp;"",$A161&amp;""))</f>
        <v/>
      </c>
      <c r="EE161" s="23" t="n">
        <f aca="false">IF(BB161=1,IF(COUNTIFS($A$2:$A$201,$A161,$BB$2:$BB$201,1,$H$2:$H$201,"&lt;"&amp;H161)+COUNTIFS($A$2:$A$201,$A161,$BB$2:$BB$201,1,$H$2:$H$201,H161,$BA$2:$BA$201,"&lt;"&amp;BA161)=0,1,0),0)</f>
        <v>0</v>
      </c>
      <c r="EF161" s="23" t="n">
        <f aca="false">IF(BC161=1,IF(COUNTIFS($AZ$2:$AZ$201,AZ161,$EE$2:$EE$201,1)&gt;1,1,0),0)</f>
        <v>0</v>
      </c>
      <c r="EG161" s="23" t="n">
        <f aca="false">IF(AND(CQ161=1),IF(COUNTIFS($AZ$2:$AZ$201,AZ161,$CQ$2:$CQ$201,1,$H$2:$H$201,"&gt;"&amp;H161)+COUNTIFS($AZ$2:$AZ$201,AZ161,$CQ$2:$CQ$201,1,$H$2:$H$201,H161,$BA$2:$BA$201,"&gt;"&amp;BA161)=0,1,0),0)</f>
        <v>0</v>
      </c>
      <c r="EH161" s="23" t="str">
        <f aca="false">IF(BB161=1,IF(COUNTIFS($AZ$2:$AZ$201,AZ161,$EG$2:$EG$201,1)=0,"",SUMIFS($O$2:$O$201,$AZ$2:$AZ$201,AZ161,$EG$2:$EG$201,1)),"")</f>
        <v/>
      </c>
      <c r="EI161" s="23" t="n">
        <f aca="false">IF(AND(ISNUMBER(EH161),OR(N(EH161)&lt;Config!$B$31,N(EH161)&gt;Config!$B$33)),1,0)</f>
        <v>0</v>
      </c>
      <c r="EJ161" s="23" t="n">
        <f aca="false">IF(AND(ISNUMBER(EH161),N(EH161)&gt;=Config!$B$31,N(EH161)&lt;Config!$B$32),1,0)</f>
        <v>0</v>
      </c>
      <c r="EK161" s="23" t="n">
        <f aca="false">IF(AND(BF161=1,INT(N(H161))&lt;=Config!$B$6,DH161=1,EI161=1),1,0)</f>
        <v>0</v>
      </c>
      <c r="EL161" s="23" t="n">
        <f aca="false">IF(AND(BF161=1,INT(N(H161))&lt;=Config!$B$7,DI161=1,EI161=1),1,0)</f>
        <v>0</v>
      </c>
      <c r="EM161" s="23" t="n">
        <f aca="false">IF(AND(BF161=1,INT(N(H161))&lt;=Config!$B$8,DJ161=1,EI161=1),1,0)</f>
        <v>0</v>
      </c>
      <c r="EN161" s="23" t="n">
        <f aca="false">IF(AND(BF161=1,INT(N(H161))&lt;=Config!$B$5,DK161=1,EI161=1),1,0)</f>
        <v>0</v>
      </c>
      <c r="EO161" s="23" t="n">
        <f aca="false">IF(AND(DL161=1,EJ161=1),1,0)</f>
        <v>0</v>
      </c>
      <c r="EP161" s="23" t="n">
        <f aca="false">IF(AND(DM161=1,EJ161=1),1,0)</f>
        <v>0</v>
      </c>
      <c r="EQ161" s="23" t="n">
        <f aca="false">IF(AND(DN161=1,EJ161=1),1,0)</f>
        <v>0</v>
      </c>
      <c r="ER161" s="23" t="n">
        <f aca="false">IF(AND(DO161=1,EJ161=1),1,0)</f>
        <v>0</v>
      </c>
    </row>
    <row r="162" customFormat="false" ht="15" hidden="false" customHeight="false" outlineLevel="0" collapsed="false">
      <c r="G162" s="32"/>
      <c r="H162" s="33"/>
      <c r="I162" s="32"/>
      <c r="L162" s="32"/>
      <c r="Q162" s="32"/>
      <c r="U162" s="32"/>
      <c r="W162" s="32"/>
      <c r="AC162" s="32"/>
      <c r="AF162" s="32"/>
      <c r="AI162" s="32"/>
      <c r="AJ162" s="32"/>
      <c r="AN162" s="32"/>
      <c r="AR162" s="32"/>
      <c r="AT162" s="32"/>
      <c r="AU162" s="32"/>
      <c r="AW162" s="32"/>
      <c r="AY162" s="34" t="str">
        <f aca="false">IF(TRIM($A162)="","",IF(AND(LEFT($A162,6)="SAMPLE",Config!$B$19&lt;&gt;"Y"),"",IF(NOT(ISNUMBER(H162)),"call_date is blank or not a date",IF(Sync!$C$5="","Clay paste is empty or has no row_id column: paste the Clay export on Clay_Offices",IF(CW162="","row_id not found in the Clay paste: add the Clay row or fix the row_id",IF(AND(ISNUMBER(CY162),CY162&gt;=1,CY162&lt;=5),"Clay status is "&amp;CX162&amp;": set call_done or later",IF(AND(BD162=1,CZ162&lt;&gt;BZ162),"Clay yes_in_principle should be "&amp;BZ162,IF(AND(BD162=1,DA162&lt;&gt;H162),"Clay call_date should be "&amp;TEXT(H162,"yyyy-mm-dd"),""))))))))</f>
        <v/>
      </c>
      <c r="AZ162" s="23" t="str">
        <f aca="false">IF(TRIM($A162)="","",IF(TRIM(C162)&lt;&gt;"",SUBSTITUTE(SUBSTITUTE(SUBSTITUTE(SUBSTITUTE(SUBSTITUTE(SUBSTITUTE(LOWER(TRIM(C162)),"~",""),"*",""),"?",""),"&lt;",""),"&gt;",""),"=",""),IF(EA162&lt;&gt;"",EA162,IFERROR(INDEX($EA$2:$EA$201,MATCH(DZ162,$EB$2:$EB$201,0)),DZ162))))</f>
        <v/>
      </c>
      <c r="BA162" s="23" t="n">
        <f aca="false">ROW()</f>
        <v>162</v>
      </c>
      <c r="BB162" s="23" t="n">
        <f aca="false">IF(AND(TRIM($A162)&lt;&gt;"",ISNUMBER(H162)),IF(AND(LEFT($A162,6)="SAMPLE",Config!$B$19&lt;&gt;"Y"),0,1),0)</f>
        <v>0</v>
      </c>
      <c r="BC162" s="23" t="n">
        <f aca="false">IF(BB162=1,IF(COUNTIFS($AZ$2:$AZ$201,AZ162,$BB$2:$BB$201,1,$H$2:$H$201,"&lt;"&amp;H162)+COUNTIFS($AZ$2:$AZ$201,AZ162,$BB$2:$BB$201,1,$H$2:$H$201,H162,$BA$2:$BA$201,"&lt;"&amp;BA162)=0,1,0),0)</f>
        <v>0</v>
      </c>
      <c r="BD162" s="23" t="n">
        <f aca="false">IF(BB162=1,IF(COUNTIFS($A$2:$A$201,$A162,$BB$2:$BB$201,1,$H$2:$H$201,"&gt;"&amp;H162)+COUNTIFS($A$2:$A$201,$A162,$BB$2:$BB$201,1,$H$2:$H$201,H162,$BA$2:$BA$201,"&gt;"&amp;BA162)=0,1,0),0)</f>
        <v>0</v>
      </c>
      <c r="BE162" s="23" t="n">
        <f aca="false">IF(AND(BB162=1,AR162="Y",AC162="Y",TRIM(AH162)&lt;&gt;""),1,0)</f>
        <v>0</v>
      </c>
      <c r="BF162" s="23" t="n">
        <f aca="false">IF(BE162=1,IF(COUNTIFS($AZ$2:$AZ$201,AZ162,$BE$2:$BE$201,1,$H$2:$H$201,"&lt;"&amp;H162)+COUNTIFS($AZ$2:$AZ$201,AZ162,$BE$2:$BE$201,1,$H$2:$H$201,H162,$BA$2:$BA$201,"&lt;"&amp;BA162)=0,1,0),0)</f>
        <v>0</v>
      </c>
      <c r="BG162" s="23" t="n">
        <f aca="false">IF(AND(BB162=1,AR162="Y",BE162=0),1,0)</f>
        <v>0</v>
      </c>
      <c r="BH162" s="23" t="n">
        <f aca="false">IF(AND(BB162=1,ISNUMBER(Y162)),1,0)</f>
        <v>0</v>
      </c>
      <c r="BI162" s="23" t="n">
        <f aca="false">IF(BH162=1,IF(COUNTIFS($AZ$2:$AZ$201,AZ162,$BH$2:$BH$201,1,$H$2:$H$201,"&lt;"&amp;H162)+COUNTIFS($AZ$2:$AZ$201,AZ162,$BH$2:$BH$201,1,$H$2:$H$201,H162,$BA$2:$BA$201,"&lt;"&amp;BA162)=0,1,0),0)</f>
        <v>0</v>
      </c>
      <c r="BJ162" s="23" t="str">
        <f aca="false">IF(AND(BI162=1,INT(N(H162))&lt;=Config!$B$6),Y162,"")</f>
        <v/>
      </c>
      <c r="BK162" s="23" t="str">
        <f aca="false">IF(AND(BI162=1,INT(N(H162))&lt;=Config!$B$7),Y162,"")</f>
        <v/>
      </c>
      <c r="BL162" s="23" t="str">
        <f aca="false">IF(AND(BI162=1,INT(N(H162))&lt;=Config!$B$8),Y162,"")</f>
        <v/>
      </c>
      <c r="BM162" s="23" t="str">
        <f aca="false">IF(AND(BI162=1,INT(N(H162))&lt;=Config!$B$5),Y162,"")</f>
        <v/>
      </c>
      <c r="BN162" s="23" t="n">
        <f aca="false">IF(CD162=1,IF(COUNTIFS($AZ$2:$AZ$201,AZ162,$CD$2:$CD$201,1,$H$2:$H$201,"&lt;"&amp;H162)+COUNTIFS($AZ$2:$AZ$201,AZ162,$CD$2:$CD$201,1,$H$2:$H$201,H162,$BA$2:$BA$201,"&lt;"&amp;BA162)=0,1,0),0)</f>
        <v>0</v>
      </c>
      <c r="BO162" s="23" t="n">
        <f aca="false">IF(AND(BB162=1,ISNUMBER(M162)),1,0)</f>
        <v>0</v>
      </c>
      <c r="BP162" s="23" t="n">
        <f aca="false">IF(BO162=1,IF(COUNTIFS($AZ$2:$AZ$201,AZ162,$BO$2:$BO$201,1,$H$2:$H$201,"&lt;"&amp;H162)+COUNTIFS($AZ$2:$AZ$201,AZ162,$BO$2:$BO$201,1,$H$2:$H$201,H162,$BA$2:$BA$201,"&lt;"&amp;BA162)=0,1,0),0)</f>
        <v>0</v>
      </c>
      <c r="BQ162" s="23" t="str">
        <f aca="false">IF(AND(BP162=1,INT(N(H162))&lt;=Config!$B$5),M162,"")</f>
        <v/>
      </c>
      <c r="BR162" s="23" t="n">
        <f aca="false">IF(AND(BB162=1,OR(TRIM(X162)&lt;&gt;"",ISNUMBER(Y162))),1,0)</f>
        <v>0</v>
      </c>
      <c r="BS162" s="23" t="n">
        <f aca="false">IF(BR162=1,IF(COUNTIFS($AZ$2:$AZ$201,AZ162,$BR$2:$BR$201,1,$H$2:$H$201,"&lt;"&amp;H162)+COUNTIFS($AZ$2:$AZ$201,AZ162,$BR$2:$BR$201,1,$H$2:$H$201,H162,$BA$2:$BA$201,"&lt;"&amp;BA162)=0,1,0),0)</f>
        <v>0</v>
      </c>
      <c r="BT162" s="23" t="str">
        <f aca="false">IF(BS162=1,AZ162,"")</f>
        <v/>
      </c>
      <c r="BU162" s="23" t="n">
        <f aca="false">IF(AND(BB162=1,W162="Y",TRIM(X162)=""),1,0)</f>
        <v>0</v>
      </c>
      <c r="BV162" s="23" t="str">
        <f aca="false">IF(BB162=1,AN162&amp;"","")</f>
        <v/>
      </c>
      <c r="BW162" s="23" t="str">
        <f aca="false">IF(BB162=1,AO162&amp;"","")</f>
        <v/>
      </c>
      <c r="BX162" s="23" t="str">
        <f aca="false">IF(BB162=1,AP162&amp;"","")</f>
        <v/>
      </c>
      <c r="BY162" s="23" t="str">
        <f aca="false">IF(AND(BB162=1,ISNUMBER(AV162),INT(N(H162))&lt;=Config!$B$5),AV162,"")</f>
        <v/>
      </c>
      <c r="BZ162" s="23" t="str">
        <f aca="false">IF(BB162=1,IF(COUNTIFS($A$2:$A$201,$A162,$DC$2:$DC$201,1,$AR$2:$AR$201,"Y")&gt;0,"Y","N"),"")</f>
        <v/>
      </c>
      <c r="CA162" s="23" t="n">
        <f aca="false">IF(AND(BB162=1,AR162="maybe"),1,0)</f>
        <v>0</v>
      </c>
      <c r="CB162" s="23" t="n">
        <f aca="false">IF(CA162=1,IF(COUNTIFS($AZ$2:$AZ$201,AZ162,$CA$2:$CA$201,1,$H$2:$H$201,"&lt;"&amp;H162)+COUNTIFS($AZ$2:$AZ$201,AZ162,$CA$2:$CA$201,1,$H$2:$H$201,H162,$BA$2:$BA$201,"&lt;"&amp;BA162)=0,1,0),0)</f>
        <v>0</v>
      </c>
      <c r="CC162" s="23" t="n">
        <f aca="false">IF(AND(BB162=1,AR162="Y"),IF(COUNTIFS($AZ$2:$AZ$201,AZ162,$AR$2:$AR$201,"Y",$BB$2:$BB$201,1,$H$2:$H$201,"&lt;"&amp;H162)+COUNTIFS($AZ$2:$AZ$201,AZ162,$AR$2:$AR$201,"Y",$BB$2:$BB$201,1,$H$2:$H$201,H162,$BA$2:$BA$201,"&lt;"&amp;BA162)=0,1,0),0)</f>
        <v>0</v>
      </c>
      <c r="CD162" s="23" t="n">
        <f aca="false">IF(AND(BH162=1,N(Y162)&gt;=Config!$B$15),1,0)</f>
        <v>0</v>
      </c>
      <c r="CE162" s="23" t="n">
        <f aca="false">IF(AND(BB162=1,AT162="Y"),1,0)</f>
        <v>0</v>
      </c>
      <c r="CF162" s="23" t="n">
        <f aca="false">IF(CE162=1,IF(COUNTIFS($AZ$2:$AZ$201,AZ162,$CE$2:$CE$201,1,$H$2:$H$201,"&lt;"&amp;H162)+COUNTIFS($AZ$2:$AZ$201,AZ162,$CE$2:$CE$201,1,$H$2:$H$201,H162,$BA$2:$BA$201,"&lt;"&amp;BA162)=0,1,0),0)</f>
        <v>0</v>
      </c>
      <c r="CG162" s="23" t="n">
        <f aca="false">IF(AND(BB162=1,G162="warm-intro"),1,0)</f>
        <v>0</v>
      </c>
      <c r="CH162" s="23" t="n">
        <f aca="false">IF(CG162=1,IF(COUNTIFS($AZ$2:$AZ$201,AZ162,$CG$2:$CG$201,1,$H$2:$H$201,"&lt;"&amp;H162)+COUNTIFS($AZ$2:$AZ$201,AZ162,$CG$2:$CG$201,1,$H$2:$H$201,H162,$BA$2:$BA$201,"&lt;"&amp;BA162)=0,1,0),0)</f>
        <v>0</v>
      </c>
      <c r="CI162" s="23" t="n">
        <f aca="false">IF(AND(BB162=1,Q162="Y"),1,0)</f>
        <v>0</v>
      </c>
      <c r="CJ162" s="23" t="n">
        <f aca="false">IF(CI162=1,IF(COUNTIFS($AZ$2:$AZ$201,AZ162,$CI$2:$CI$201,1,$H$2:$H$201,"&lt;"&amp;H162)+COUNTIFS($AZ$2:$AZ$201,AZ162,$CI$2:$CI$201,1,$H$2:$H$201,H162,$BA$2:$BA$201,"&lt;"&amp;BA162)=0,1,0),0)</f>
        <v>0</v>
      </c>
      <c r="CK162" s="23" t="n">
        <f aca="false">IF(AND(BB162=1,AF162="Y"),1,0)</f>
        <v>0</v>
      </c>
      <c r="CL162" s="23" t="n">
        <f aca="false">IF(CK162=1,IF(COUNTIFS($AZ$2:$AZ$201,AZ162,$CK$2:$CK$201,1,$H$2:$H$201,"&lt;"&amp;H162)+COUNTIFS($AZ$2:$AZ$201,AZ162,$CK$2:$CK$201,1,$H$2:$H$201,H162,$BA$2:$BA$201,"&lt;"&amp;BA162)=0,1,0),0)</f>
        <v>0</v>
      </c>
      <c r="CM162" s="23" t="n">
        <f aca="false">IF(AND(BB162=1,U162="Y"),1,0)</f>
        <v>0</v>
      </c>
      <c r="CN162" s="23" t="n">
        <f aca="false">IF(CM162=1,IF(COUNTIFS($AZ$2:$AZ$201,AZ162,$CM$2:$CM$201,1,$H$2:$H$201,"&lt;"&amp;H162)+COUNTIFS($AZ$2:$AZ$201,AZ162,$CM$2:$CM$201,1,$H$2:$H$201,H162,$BA$2:$BA$201,"&lt;"&amp;BA162)=0,1,0),0)</f>
        <v>0</v>
      </c>
      <c r="CO162" s="23" t="n">
        <f aca="false">IF(AND(BB162=1,L162="Y"),1,0)</f>
        <v>0</v>
      </c>
      <c r="CP162" s="23" t="n">
        <f aca="false">IF(CO162=1,IF(COUNTIFS($AZ$2:$AZ$201,AZ162,$CO$2:$CO$201,1,$H$2:$H$201,"&lt;"&amp;H162)+COUNTIFS($AZ$2:$AZ$201,AZ162,$CO$2:$CO$201,1,$H$2:$H$201,H162,$BA$2:$BA$201,"&lt;"&amp;BA162)=0,1,0),0)</f>
        <v>0</v>
      </c>
      <c r="CQ162" s="23" t="n">
        <f aca="false">IF(AND(BB162=1,ISNUMBER(O162)),1,0)</f>
        <v>0</v>
      </c>
      <c r="CR162" s="23" t="n">
        <f aca="false">IF(CQ162=1,IF(COUNTIFS($AZ$2:$AZ$201,AZ162,$CQ$2:$CQ$201,1,$H$2:$H$201,"&lt;"&amp;H162)+COUNTIFS($AZ$2:$AZ$201,AZ162,$CQ$2:$CQ$201,1,$H$2:$H$201,H162,$BA$2:$BA$201,"&lt;"&amp;BA162)=0,1,0),0)</f>
        <v>0</v>
      </c>
      <c r="CS162" s="23" t="str">
        <f aca="false">IF(AND(CR162=1,INT(N(H162))&lt;=Config!$B$5),O162,"")</f>
        <v/>
      </c>
      <c r="CT162" s="23" t="str">
        <f aca="false">IF(AND(BB162=1,INT(N(H162))&lt;=Config!$B$5),AG162&amp;"","")</f>
        <v/>
      </c>
      <c r="CU162" s="23" t="n">
        <f aca="false">IF(AND(BB162=1,AU162="Y"),1,0)</f>
        <v>0</v>
      </c>
      <c r="CV162" s="23" t="n">
        <f aca="false">IF(CU162=1,IF(COUNTIFS($AZ$2:$AZ$201,AZ162,$CU$2:$CU$201,1,$H$2:$H$201,"&lt;"&amp;H162)+COUNTIFS($AZ$2:$AZ$201,AZ162,$CU$2:$CU$201,1,$H$2:$H$201,H162,$BA$2:$BA$201,"&lt;"&amp;BA162)=0,1,0),0)</f>
        <v>0</v>
      </c>
      <c r="CW162" s="23" t="str">
        <f aca="false">IF(BB162=1,IFERROR(MATCH($A162,INDEX(Clay_Offices!$A$2:$FZ$601,0,Sync!$C$5),0),""),"")</f>
        <v/>
      </c>
      <c r="CX162" s="23" t="str">
        <f aca="false">IF(CW162="","",IFERROR(INDEX(Clay_Offices!$A$2:$FZ$601,CW162,Sync!$C$7)&amp;"",""))</f>
        <v/>
      </c>
      <c r="CY162" s="23" t="str">
        <f aca="false">IF(CX162="","",IFERROR(INDEX(Lists!$K$2:$K$15,MATCH(CX162,Lists!$J$2:$J$15,0)),""))</f>
        <v/>
      </c>
      <c r="CZ162" s="23" t="str">
        <f aca="false">IF(CW162="","",IFERROR(INDEX(Clay_Offices!$A$2:$FZ$601,CW162,Sync!$C$17)&amp;"",""))</f>
        <v/>
      </c>
      <c r="DA162" s="35" t="str">
        <f aca="false">IF(CW162="","",IFERROR(N(INDEX(Clay_Offices!$A$2:$FZ$601,CW162,Sync!$C$16)),0))</f>
        <v/>
      </c>
      <c r="DB162" s="23" t="n">
        <f aca="false">IF(AND(BB162=1,OR(AR162="Y",AR162="N",AR162="maybe")),1,0)</f>
        <v>0</v>
      </c>
      <c r="DC162" s="23" t="n">
        <f aca="false">IF(AND(DB162=1),IF(COUNTIFS($A$2:$A$201,$A162,$DB$2:$DB$201,1,$H$2:$H$201,"&gt;"&amp;H162)+COUNTIFS($A$2:$A$201,$A162,$DB$2:$DB$201,1,$H$2:$H$201,H162,$BA$2:$BA$201,"&gt;"&amp;BA162)=0,1,0),0)</f>
        <v>0</v>
      </c>
      <c r="DD162" s="23" t="n">
        <f aca="false">IF(AND(DB162=1,INT(N(H162))&lt;=Config!$B$6),IF(COUNTIFS($AZ$2:$AZ$201,AZ162,$DB$2:$DB$201,1,$H$2:$H$201,"&gt;"&amp;H162,$H$2:$H$201,"&lt;"&amp;(Config!$B$6+1))+COUNTIFS($AZ$2:$AZ$201,AZ162,$DB$2:$DB$201,1,$H$2:$H$201,H162,$BA$2:$BA$201,"&gt;"&amp;BA162)=0,1,0),0)</f>
        <v>0</v>
      </c>
      <c r="DE162" s="23" t="n">
        <f aca="false">IF(AND(DB162=1,INT(N(H162))&lt;=Config!$B$7),IF(COUNTIFS($AZ$2:$AZ$201,AZ162,$DB$2:$DB$201,1,$H$2:$H$201,"&gt;"&amp;H162,$H$2:$H$201,"&lt;"&amp;(Config!$B$7+1))+COUNTIFS($AZ$2:$AZ$201,AZ162,$DB$2:$DB$201,1,$H$2:$H$201,H162,$BA$2:$BA$201,"&gt;"&amp;BA162)=0,1,0),0)</f>
        <v>0</v>
      </c>
      <c r="DF162" s="23" t="n">
        <f aca="false">IF(AND(DB162=1,INT(N(H162))&lt;=Config!$B$8),IF(COUNTIFS($AZ$2:$AZ$201,AZ162,$DB$2:$DB$201,1,$H$2:$H$201,"&gt;"&amp;H162,$H$2:$H$201,"&lt;"&amp;(Config!$B$8+1))+COUNTIFS($AZ$2:$AZ$201,AZ162,$DB$2:$DB$201,1,$H$2:$H$201,H162,$BA$2:$BA$201,"&gt;"&amp;BA162)=0,1,0),0)</f>
        <v>0</v>
      </c>
      <c r="DG162" s="23" t="n">
        <f aca="false">IF(AND(DB162=1,INT(N(H162))&lt;=Config!$B$5),IF(COUNTIFS($AZ$2:$AZ$201,AZ162,$DB$2:$DB$201,1,$H$2:$H$201,"&gt;"&amp;H162,$H$2:$H$201,"&lt;"&amp;(Config!$B$5+1))+COUNTIFS($AZ$2:$AZ$201,AZ162,$DB$2:$DB$201,1,$H$2:$H$201,H162,$BA$2:$BA$201,"&gt;"&amp;BA162)=0,1,0),0)</f>
        <v>0</v>
      </c>
      <c r="DH162" s="23" t="n">
        <f aca="false">IF(BB162=1,IF(COUNTIFS($AZ$2:$AZ$201,AZ162,$DD$2:$DD$201,1,$AR$2:$AR$201,"Y")&gt;0,1,0),0)</f>
        <v>0</v>
      </c>
      <c r="DI162" s="23" t="n">
        <f aca="false">IF(BB162=1,IF(COUNTIFS($AZ$2:$AZ$201,AZ162,$DE$2:$DE$201,1,$AR$2:$AR$201,"Y")&gt;0,1,0),0)</f>
        <v>0</v>
      </c>
      <c r="DJ162" s="23" t="n">
        <f aca="false">IF(BB162=1,IF(COUNTIFS($AZ$2:$AZ$201,AZ162,$DF$2:$DF$201,1,$AR$2:$AR$201,"Y")&gt;0,1,0),0)</f>
        <v>0</v>
      </c>
      <c r="DK162" s="23" t="n">
        <f aca="false">IF(BB162=1,IF(COUNTIFS($AZ$2:$AZ$201,AZ162,$DG$2:$DG$201,1,$AR$2:$AR$201,"Y")&gt;0,1,0),0)</f>
        <v>0</v>
      </c>
      <c r="DL162" s="23" t="n">
        <f aca="false">IF(AND(BF162=1,INT(N(H162))&lt;=Config!$B$6,DH162=1,EI162=0),1,0)</f>
        <v>0</v>
      </c>
      <c r="DM162" s="23" t="n">
        <f aca="false">IF(AND(BF162=1,INT(N(H162))&lt;=Config!$B$7,DI162=1,EI162=0),1,0)</f>
        <v>0</v>
      </c>
      <c r="DN162" s="23" t="n">
        <f aca="false">IF(AND(BF162=1,INT(N(H162))&lt;=Config!$B$8,DJ162=1,EI162=0),1,0)</f>
        <v>0</v>
      </c>
      <c r="DO162" s="23" t="n">
        <f aca="false">IF(AND(BF162=1,INT(N(H162))&lt;=Config!$B$5,DK162=1,EI162=0),1,0)</f>
        <v>0</v>
      </c>
      <c r="DP162" s="23" t="n">
        <f aca="false">IF(AND(CC162=1,INT(N(H162))&lt;=Config!$B$6,DH162=1,EI162=0),1,0)</f>
        <v>0</v>
      </c>
      <c r="DQ162" s="23" t="n">
        <f aca="false">IF(AND(CC162=1,INT(N(H162))&lt;=Config!$B$7,DI162=1,EI162=0),1,0)</f>
        <v>0</v>
      </c>
      <c r="DR162" s="23" t="n">
        <f aca="false">IF(AND(CC162=1,INT(N(H162))&lt;=Config!$B$8,DJ162=1,EI162=0),1,0)</f>
        <v>0</v>
      </c>
      <c r="DS162" s="23" t="n">
        <f aca="false">IF(AND(CC162=1,INT(N(H162))&lt;=Config!$B$5,DK162=1,EI162=0),1,0)</f>
        <v>0</v>
      </c>
      <c r="DT162" s="23" t="n">
        <f aca="false">IF(AND(CC162=1,INT(N(H162))&lt;=Config!$B$6,DH162=0),1,0)</f>
        <v>0</v>
      </c>
      <c r="DU162" s="23" t="n">
        <f aca="false">IF(AND(CC162=1,INT(N(H162))&lt;=Config!$B$7,DI162=0),1,0)</f>
        <v>0</v>
      </c>
      <c r="DV162" s="23" t="n">
        <f aca="false">IF(AND(CC162=1,INT(N(H162))&lt;=Config!$B$8,DJ162=0),1,0)</f>
        <v>0</v>
      </c>
      <c r="DW162" s="23" t="n">
        <f aca="false">IF(AND(CC162=1,INT(N(H162))&lt;=Config!$B$5,DK162=0),1,0)</f>
        <v>0</v>
      </c>
      <c r="DX162" s="23" t="n">
        <f aca="false">IF(TRIM($A162)="",0,ISTEXT(M162)+ISTEXT(O162)+ISTEXT(Y162)+ISTEXT(Z162)+ISTEXT(AA162)+ISTEXT(AV162))</f>
        <v>0</v>
      </c>
      <c r="DY162" s="23" t="n">
        <f aca="false">IF(BB162=1,IF(H162&lt;&gt;INT(H162),1,0),0)</f>
        <v>0</v>
      </c>
      <c r="DZ162" s="23" t="str">
        <f aca="false">IF(TRIM($A162)="","",IF(TRIM(B162)="",SUBSTITUTE(SUBSTITUTE(SUBSTITUTE(SUBSTITUTE(SUBSTITUTE(SUBSTITUTE(LOWER(TRIM($A162)),"~",""),"*",""),"?",""),"&lt;",""),"&gt;",""),"=",""),SUBSTITUTE(SUBSTITUTE(SUBSTITUTE(SUBSTITUTE(SUBSTITUTE(SUBSTITUTE(LOWER(TRIM(B162)),"~",""),"*",""),"?",""),"&lt;",""),"&gt;",""),"=","")))</f>
        <v/>
      </c>
      <c r="EA162" s="23" t="str">
        <f aca="false">IF(CW162="","",IFERROR(IF(LEFT(LOWER(TRIM(INDEX(Clay_Offices!$A$2:$FZ$601,CW162,Sync!$C$19)&amp;"")),4)="grp-",SUBSTITUTE(SUBSTITUTE(SUBSTITUTE(SUBSTITUTE(SUBSTITUTE(SUBSTITUTE(LOWER(TRIM(INDEX(Clay_Offices!$A$2:$FZ$601,CW162,Sync!$C$19)&amp;"")),"~",""),"*",""),"?",""),"&lt;",""),"&gt;",""),"=",""),""),""))</f>
        <v/>
      </c>
      <c r="EB162" s="23" t="str">
        <f aca="false">IF(EA162&lt;&gt;"",DZ162,"")</f>
        <v/>
      </c>
      <c r="EC162" s="23" t="str">
        <f aca="false">IF(BC162=1,AZ162,"")</f>
        <v/>
      </c>
      <c r="ED162" s="23" t="str">
        <f aca="false">IF(TRIM($A162)="","",IFERROR(INDEX($A$2:$A$201,MATCH(AZ162,$EC$2:$EC$201,0))&amp;"",$A162&amp;""))</f>
        <v/>
      </c>
      <c r="EE162" s="23" t="n">
        <f aca="false">IF(BB162=1,IF(COUNTIFS($A$2:$A$201,$A162,$BB$2:$BB$201,1,$H$2:$H$201,"&lt;"&amp;H162)+COUNTIFS($A$2:$A$201,$A162,$BB$2:$BB$201,1,$H$2:$H$201,H162,$BA$2:$BA$201,"&lt;"&amp;BA162)=0,1,0),0)</f>
        <v>0</v>
      </c>
      <c r="EF162" s="23" t="n">
        <f aca="false">IF(BC162=1,IF(COUNTIFS($AZ$2:$AZ$201,AZ162,$EE$2:$EE$201,1)&gt;1,1,0),0)</f>
        <v>0</v>
      </c>
      <c r="EG162" s="23" t="n">
        <f aca="false">IF(AND(CQ162=1),IF(COUNTIFS($AZ$2:$AZ$201,AZ162,$CQ$2:$CQ$201,1,$H$2:$H$201,"&gt;"&amp;H162)+COUNTIFS($AZ$2:$AZ$201,AZ162,$CQ$2:$CQ$201,1,$H$2:$H$201,H162,$BA$2:$BA$201,"&gt;"&amp;BA162)=0,1,0),0)</f>
        <v>0</v>
      </c>
      <c r="EH162" s="23" t="str">
        <f aca="false">IF(BB162=1,IF(COUNTIFS($AZ$2:$AZ$201,AZ162,$EG$2:$EG$201,1)=0,"",SUMIFS($O$2:$O$201,$AZ$2:$AZ$201,AZ162,$EG$2:$EG$201,1)),"")</f>
        <v/>
      </c>
      <c r="EI162" s="23" t="n">
        <f aca="false">IF(AND(ISNUMBER(EH162),OR(N(EH162)&lt;Config!$B$31,N(EH162)&gt;Config!$B$33)),1,0)</f>
        <v>0</v>
      </c>
      <c r="EJ162" s="23" t="n">
        <f aca="false">IF(AND(ISNUMBER(EH162),N(EH162)&gt;=Config!$B$31,N(EH162)&lt;Config!$B$32),1,0)</f>
        <v>0</v>
      </c>
      <c r="EK162" s="23" t="n">
        <f aca="false">IF(AND(BF162=1,INT(N(H162))&lt;=Config!$B$6,DH162=1,EI162=1),1,0)</f>
        <v>0</v>
      </c>
      <c r="EL162" s="23" t="n">
        <f aca="false">IF(AND(BF162=1,INT(N(H162))&lt;=Config!$B$7,DI162=1,EI162=1),1,0)</f>
        <v>0</v>
      </c>
      <c r="EM162" s="23" t="n">
        <f aca="false">IF(AND(BF162=1,INT(N(H162))&lt;=Config!$B$8,DJ162=1,EI162=1),1,0)</f>
        <v>0</v>
      </c>
      <c r="EN162" s="23" t="n">
        <f aca="false">IF(AND(BF162=1,INT(N(H162))&lt;=Config!$B$5,DK162=1,EI162=1),1,0)</f>
        <v>0</v>
      </c>
      <c r="EO162" s="23" t="n">
        <f aca="false">IF(AND(DL162=1,EJ162=1),1,0)</f>
        <v>0</v>
      </c>
      <c r="EP162" s="23" t="n">
        <f aca="false">IF(AND(DM162=1,EJ162=1),1,0)</f>
        <v>0</v>
      </c>
      <c r="EQ162" s="23" t="n">
        <f aca="false">IF(AND(DN162=1,EJ162=1),1,0)</f>
        <v>0</v>
      </c>
      <c r="ER162" s="23" t="n">
        <f aca="false">IF(AND(DO162=1,EJ162=1),1,0)</f>
        <v>0</v>
      </c>
    </row>
    <row r="163" customFormat="false" ht="15" hidden="false" customHeight="false" outlineLevel="0" collapsed="false">
      <c r="G163" s="32"/>
      <c r="H163" s="33"/>
      <c r="I163" s="32"/>
      <c r="L163" s="32"/>
      <c r="Q163" s="32"/>
      <c r="U163" s="32"/>
      <c r="W163" s="32"/>
      <c r="AC163" s="32"/>
      <c r="AF163" s="32"/>
      <c r="AI163" s="32"/>
      <c r="AJ163" s="32"/>
      <c r="AN163" s="32"/>
      <c r="AR163" s="32"/>
      <c r="AT163" s="32"/>
      <c r="AU163" s="32"/>
      <c r="AW163" s="32"/>
      <c r="AY163" s="34" t="str">
        <f aca="false">IF(TRIM($A163)="","",IF(AND(LEFT($A163,6)="SAMPLE",Config!$B$19&lt;&gt;"Y"),"",IF(NOT(ISNUMBER(H163)),"call_date is blank or not a date",IF(Sync!$C$5="","Clay paste is empty or has no row_id column: paste the Clay export on Clay_Offices",IF(CW163="","row_id not found in the Clay paste: add the Clay row or fix the row_id",IF(AND(ISNUMBER(CY163),CY163&gt;=1,CY163&lt;=5),"Clay status is "&amp;CX163&amp;": set call_done or later",IF(AND(BD163=1,CZ163&lt;&gt;BZ163),"Clay yes_in_principle should be "&amp;BZ163,IF(AND(BD163=1,DA163&lt;&gt;H163),"Clay call_date should be "&amp;TEXT(H163,"yyyy-mm-dd"),""))))))))</f>
        <v/>
      </c>
      <c r="AZ163" s="23" t="str">
        <f aca="false">IF(TRIM($A163)="","",IF(TRIM(C163)&lt;&gt;"",SUBSTITUTE(SUBSTITUTE(SUBSTITUTE(SUBSTITUTE(SUBSTITUTE(SUBSTITUTE(LOWER(TRIM(C163)),"~",""),"*",""),"?",""),"&lt;",""),"&gt;",""),"=",""),IF(EA163&lt;&gt;"",EA163,IFERROR(INDEX($EA$2:$EA$201,MATCH(DZ163,$EB$2:$EB$201,0)),DZ163))))</f>
        <v/>
      </c>
      <c r="BA163" s="23" t="n">
        <f aca="false">ROW()</f>
        <v>163</v>
      </c>
      <c r="BB163" s="23" t="n">
        <f aca="false">IF(AND(TRIM($A163)&lt;&gt;"",ISNUMBER(H163)),IF(AND(LEFT($A163,6)="SAMPLE",Config!$B$19&lt;&gt;"Y"),0,1),0)</f>
        <v>0</v>
      </c>
      <c r="BC163" s="23" t="n">
        <f aca="false">IF(BB163=1,IF(COUNTIFS($AZ$2:$AZ$201,AZ163,$BB$2:$BB$201,1,$H$2:$H$201,"&lt;"&amp;H163)+COUNTIFS($AZ$2:$AZ$201,AZ163,$BB$2:$BB$201,1,$H$2:$H$201,H163,$BA$2:$BA$201,"&lt;"&amp;BA163)=0,1,0),0)</f>
        <v>0</v>
      </c>
      <c r="BD163" s="23" t="n">
        <f aca="false">IF(BB163=1,IF(COUNTIFS($A$2:$A$201,$A163,$BB$2:$BB$201,1,$H$2:$H$201,"&gt;"&amp;H163)+COUNTIFS($A$2:$A$201,$A163,$BB$2:$BB$201,1,$H$2:$H$201,H163,$BA$2:$BA$201,"&gt;"&amp;BA163)=0,1,0),0)</f>
        <v>0</v>
      </c>
      <c r="BE163" s="23" t="n">
        <f aca="false">IF(AND(BB163=1,AR163="Y",AC163="Y",TRIM(AH163)&lt;&gt;""),1,0)</f>
        <v>0</v>
      </c>
      <c r="BF163" s="23" t="n">
        <f aca="false">IF(BE163=1,IF(COUNTIFS($AZ$2:$AZ$201,AZ163,$BE$2:$BE$201,1,$H$2:$H$201,"&lt;"&amp;H163)+COUNTIFS($AZ$2:$AZ$201,AZ163,$BE$2:$BE$201,1,$H$2:$H$201,H163,$BA$2:$BA$201,"&lt;"&amp;BA163)=0,1,0),0)</f>
        <v>0</v>
      </c>
      <c r="BG163" s="23" t="n">
        <f aca="false">IF(AND(BB163=1,AR163="Y",BE163=0),1,0)</f>
        <v>0</v>
      </c>
      <c r="BH163" s="23" t="n">
        <f aca="false">IF(AND(BB163=1,ISNUMBER(Y163)),1,0)</f>
        <v>0</v>
      </c>
      <c r="BI163" s="23" t="n">
        <f aca="false">IF(BH163=1,IF(COUNTIFS($AZ$2:$AZ$201,AZ163,$BH$2:$BH$201,1,$H$2:$H$201,"&lt;"&amp;H163)+COUNTIFS($AZ$2:$AZ$201,AZ163,$BH$2:$BH$201,1,$H$2:$H$201,H163,$BA$2:$BA$201,"&lt;"&amp;BA163)=0,1,0),0)</f>
        <v>0</v>
      </c>
      <c r="BJ163" s="23" t="str">
        <f aca="false">IF(AND(BI163=1,INT(N(H163))&lt;=Config!$B$6),Y163,"")</f>
        <v/>
      </c>
      <c r="BK163" s="23" t="str">
        <f aca="false">IF(AND(BI163=1,INT(N(H163))&lt;=Config!$B$7),Y163,"")</f>
        <v/>
      </c>
      <c r="BL163" s="23" t="str">
        <f aca="false">IF(AND(BI163=1,INT(N(H163))&lt;=Config!$B$8),Y163,"")</f>
        <v/>
      </c>
      <c r="BM163" s="23" t="str">
        <f aca="false">IF(AND(BI163=1,INT(N(H163))&lt;=Config!$B$5),Y163,"")</f>
        <v/>
      </c>
      <c r="BN163" s="23" t="n">
        <f aca="false">IF(CD163=1,IF(COUNTIFS($AZ$2:$AZ$201,AZ163,$CD$2:$CD$201,1,$H$2:$H$201,"&lt;"&amp;H163)+COUNTIFS($AZ$2:$AZ$201,AZ163,$CD$2:$CD$201,1,$H$2:$H$201,H163,$BA$2:$BA$201,"&lt;"&amp;BA163)=0,1,0),0)</f>
        <v>0</v>
      </c>
      <c r="BO163" s="23" t="n">
        <f aca="false">IF(AND(BB163=1,ISNUMBER(M163)),1,0)</f>
        <v>0</v>
      </c>
      <c r="BP163" s="23" t="n">
        <f aca="false">IF(BO163=1,IF(COUNTIFS($AZ$2:$AZ$201,AZ163,$BO$2:$BO$201,1,$H$2:$H$201,"&lt;"&amp;H163)+COUNTIFS($AZ$2:$AZ$201,AZ163,$BO$2:$BO$201,1,$H$2:$H$201,H163,$BA$2:$BA$201,"&lt;"&amp;BA163)=0,1,0),0)</f>
        <v>0</v>
      </c>
      <c r="BQ163" s="23" t="str">
        <f aca="false">IF(AND(BP163=1,INT(N(H163))&lt;=Config!$B$5),M163,"")</f>
        <v/>
      </c>
      <c r="BR163" s="23" t="n">
        <f aca="false">IF(AND(BB163=1,OR(TRIM(X163)&lt;&gt;"",ISNUMBER(Y163))),1,0)</f>
        <v>0</v>
      </c>
      <c r="BS163" s="23" t="n">
        <f aca="false">IF(BR163=1,IF(COUNTIFS($AZ$2:$AZ$201,AZ163,$BR$2:$BR$201,1,$H$2:$H$201,"&lt;"&amp;H163)+COUNTIFS($AZ$2:$AZ$201,AZ163,$BR$2:$BR$201,1,$H$2:$H$201,H163,$BA$2:$BA$201,"&lt;"&amp;BA163)=0,1,0),0)</f>
        <v>0</v>
      </c>
      <c r="BT163" s="23" t="str">
        <f aca="false">IF(BS163=1,AZ163,"")</f>
        <v/>
      </c>
      <c r="BU163" s="23" t="n">
        <f aca="false">IF(AND(BB163=1,W163="Y",TRIM(X163)=""),1,0)</f>
        <v>0</v>
      </c>
      <c r="BV163" s="23" t="str">
        <f aca="false">IF(BB163=1,AN163&amp;"","")</f>
        <v/>
      </c>
      <c r="BW163" s="23" t="str">
        <f aca="false">IF(BB163=1,AO163&amp;"","")</f>
        <v/>
      </c>
      <c r="BX163" s="23" t="str">
        <f aca="false">IF(BB163=1,AP163&amp;"","")</f>
        <v/>
      </c>
      <c r="BY163" s="23" t="str">
        <f aca="false">IF(AND(BB163=1,ISNUMBER(AV163),INT(N(H163))&lt;=Config!$B$5),AV163,"")</f>
        <v/>
      </c>
      <c r="BZ163" s="23" t="str">
        <f aca="false">IF(BB163=1,IF(COUNTIFS($A$2:$A$201,$A163,$DC$2:$DC$201,1,$AR$2:$AR$201,"Y")&gt;0,"Y","N"),"")</f>
        <v/>
      </c>
      <c r="CA163" s="23" t="n">
        <f aca="false">IF(AND(BB163=1,AR163="maybe"),1,0)</f>
        <v>0</v>
      </c>
      <c r="CB163" s="23" t="n">
        <f aca="false">IF(CA163=1,IF(COUNTIFS($AZ$2:$AZ$201,AZ163,$CA$2:$CA$201,1,$H$2:$H$201,"&lt;"&amp;H163)+COUNTIFS($AZ$2:$AZ$201,AZ163,$CA$2:$CA$201,1,$H$2:$H$201,H163,$BA$2:$BA$201,"&lt;"&amp;BA163)=0,1,0),0)</f>
        <v>0</v>
      </c>
      <c r="CC163" s="23" t="n">
        <f aca="false">IF(AND(BB163=1,AR163="Y"),IF(COUNTIFS($AZ$2:$AZ$201,AZ163,$AR$2:$AR$201,"Y",$BB$2:$BB$201,1,$H$2:$H$201,"&lt;"&amp;H163)+COUNTIFS($AZ$2:$AZ$201,AZ163,$AR$2:$AR$201,"Y",$BB$2:$BB$201,1,$H$2:$H$201,H163,$BA$2:$BA$201,"&lt;"&amp;BA163)=0,1,0),0)</f>
        <v>0</v>
      </c>
      <c r="CD163" s="23" t="n">
        <f aca="false">IF(AND(BH163=1,N(Y163)&gt;=Config!$B$15),1,0)</f>
        <v>0</v>
      </c>
      <c r="CE163" s="23" t="n">
        <f aca="false">IF(AND(BB163=1,AT163="Y"),1,0)</f>
        <v>0</v>
      </c>
      <c r="CF163" s="23" t="n">
        <f aca="false">IF(CE163=1,IF(COUNTIFS($AZ$2:$AZ$201,AZ163,$CE$2:$CE$201,1,$H$2:$H$201,"&lt;"&amp;H163)+COUNTIFS($AZ$2:$AZ$201,AZ163,$CE$2:$CE$201,1,$H$2:$H$201,H163,$BA$2:$BA$201,"&lt;"&amp;BA163)=0,1,0),0)</f>
        <v>0</v>
      </c>
      <c r="CG163" s="23" t="n">
        <f aca="false">IF(AND(BB163=1,G163="warm-intro"),1,0)</f>
        <v>0</v>
      </c>
      <c r="CH163" s="23" t="n">
        <f aca="false">IF(CG163=1,IF(COUNTIFS($AZ$2:$AZ$201,AZ163,$CG$2:$CG$201,1,$H$2:$H$201,"&lt;"&amp;H163)+COUNTIFS($AZ$2:$AZ$201,AZ163,$CG$2:$CG$201,1,$H$2:$H$201,H163,$BA$2:$BA$201,"&lt;"&amp;BA163)=0,1,0),0)</f>
        <v>0</v>
      </c>
      <c r="CI163" s="23" t="n">
        <f aca="false">IF(AND(BB163=1,Q163="Y"),1,0)</f>
        <v>0</v>
      </c>
      <c r="CJ163" s="23" t="n">
        <f aca="false">IF(CI163=1,IF(COUNTIFS($AZ$2:$AZ$201,AZ163,$CI$2:$CI$201,1,$H$2:$H$201,"&lt;"&amp;H163)+COUNTIFS($AZ$2:$AZ$201,AZ163,$CI$2:$CI$201,1,$H$2:$H$201,H163,$BA$2:$BA$201,"&lt;"&amp;BA163)=0,1,0),0)</f>
        <v>0</v>
      </c>
      <c r="CK163" s="23" t="n">
        <f aca="false">IF(AND(BB163=1,AF163="Y"),1,0)</f>
        <v>0</v>
      </c>
      <c r="CL163" s="23" t="n">
        <f aca="false">IF(CK163=1,IF(COUNTIFS($AZ$2:$AZ$201,AZ163,$CK$2:$CK$201,1,$H$2:$H$201,"&lt;"&amp;H163)+COUNTIFS($AZ$2:$AZ$201,AZ163,$CK$2:$CK$201,1,$H$2:$H$201,H163,$BA$2:$BA$201,"&lt;"&amp;BA163)=0,1,0),0)</f>
        <v>0</v>
      </c>
      <c r="CM163" s="23" t="n">
        <f aca="false">IF(AND(BB163=1,U163="Y"),1,0)</f>
        <v>0</v>
      </c>
      <c r="CN163" s="23" t="n">
        <f aca="false">IF(CM163=1,IF(COUNTIFS($AZ$2:$AZ$201,AZ163,$CM$2:$CM$201,1,$H$2:$H$201,"&lt;"&amp;H163)+COUNTIFS($AZ$2:$AZ$201,AZ163,$CM$2:$CM$201,1,$H$2:$H$201,H163,$BA$2:$BA$201,"&lt;"&amp;BA163)=0,1,0),0)</f>
        <v>0</v>
      </c>
      <c r="CO163" s="23" t="n">
        <f aca="false">IF(AND(BB163=1,L163="Y"),1,0)</f>
        <v>0</v>
      </c>
      <c r="CP163" s="23" t="n">
        <f aca="false">IF(CO163=1,IF(COUNTIFS($AZ$2:$AZ$201,AZ163,$CO$2:$CO$201,1,$H$2:$H$201,"&lt;"&amp;H163)+COUNTIFS($AZ$2:$AZ$201,AZ163,$CO$2:$CO$201,1,$H$2:$H$201,H163,$BA$2:$BA$201,"&lt;"&amp;BA163)=0,1,0),0)</f>
        <v>0</v>
      </c>
      <c r="CQ163" s="23" t="n">
        <f aca="false">IF(AND(BB163=1,ISNUMBER(O163)),1,0)</f>
        <v>0</v>
      </c>
      <c r="CR163" s="23" t="n">
        <f aca="false">IF(CQ163=1,IF(COUNTIFS($AZ$2:$AZ$201,AZ163,$CQ$2:$CQ$201,1,$H$2:$H$201,"&lt;"&amp;H163)+COUNTIFS($AZ$2:$AZ$201,AZ163,$CQ$2:$CQ$201,1,$H$2:$H$201,H163,$BA$2:$BA$201,"&lt;"&amp;BA163)=0,1,0),0)</f>
        <v>0</v>
      </c>
      <c r="CS163" s="23" t="str">
        <f aca="false">IF(AND(CR163=1,INT(N(H163))&lt;=Config!$B$5),O163,"")</f>
        <v/>
      </c>
      <c r="CT163" s="23" t="str">
        <f aca="false">IF(AND(BB163=1,INT(N(H163))&lt;=Config!$B$5),AG163&amp;"","")</f>
        <v/>
      </c>
      <c r="CU163" s="23" t="n">
        <f aca="false">IF(AND(BB163=1,AU163="Y"),1,0)</f>
        <v>0</v>
      </c>
      <c r="CV163" s="23" t="n">
        <f aca="false">IF(CU163=1,IF(COUNTIFS($AZ$2:$AZ$201,AZ163,$CU$2:$CU$201,1,$H$2:$H$201,"&lt;"&amp;H163)+COUNTIFS($AZ$2:$AZ$201,AZ163,$CU$2:$CU$201,1,$H$2:$H$201,H163,$BA$2:$BA$201,"&lt;"&amp;BA163)=0,1,0),0)</f>
        <v>0</v>
      </c>
      <c r="CW163" s="23" t="str">
        <f aca="false">IF(BB163=1,IFERROR(MATCH($A163,INDEX(Clay_Offices!$A$2:$FZ$601,0,Sync!$C$5),0),""),"")</f>
        <v/>
      </c>
      <c r="CX163" s="23" t="str">
        <f aca="false">IF(CW163="","",IFERROR(INDEX(Clay_Offices!$A$2:$FZ$601,CW163,Sync!$C$7)&amp;"",""))</f>
        <v/>
      </c>
      <c r="CY163" s="23" t="str">
        <f aca="false">IF(CX163="","",IFERROR(INDEX(Lists!$K$2:$K$15,MATCH(CX163,Lists!$J$2:$J$15,0)),""))</f>
        <v/>
      </c>
      <c r="CZ163" s="23" t="str">
        <f aca="false">IF(CW163="","",IFERROR(INDEX(Clay_Offices!$A$2:$FZ$601,CW163,Sync!$C$17)&amp;"",""))</f>
        <v/>
      </c>
      <c r="DA163" s="35" t="str">
        <f aca="false">IF(CW163="","",IFERROR(N(INDEX(Clay_Offices!$A$2:$FZ$601,CW163,Sync!$C$16)),0))</f>
        <v/>
      </c>
      <c r="DB163" s="23" t="n">
        <f aca="false">IF(AND(BB163=1,OR(AR163="Y",AR163="N",AR163="maybe")),1,0)</f>
        <v>0</v>
      </c>
      <c r="DC163" s="23" t="n">
        <f aca="false">IF(AND(DB163=1),IF(COUNTIFS($A$2:$A$201,$A163,$DB$2:$DB$201,1,$H$2:$H$201,"&gt;"&amp;H163)+COUNTIFS($A$2:$A$201,$A163,$DB$2:$DB$201,1,$H$2:$H$201,H163,$BA$2:$BA$201,"&gt;"&amp;BA163)=0,1,0),0)</f>
        <v>0</v>
      </c>
      <c r="DD163" s="23" t="n">
        <f aca="false">IF(AND(DB163=1,INT(N(H163))&lt;=Config!$B$6),IF(COUNTIFS($AZ$2:$AZ$201,AZ163,$DB$2:$DB$201,1,$H$2:$H$201,"&gt;"&amp;H163,$H$2:$H$201,"&lt;"&amp;(Config!$B$6+1))+COUNTIFS($AZ$2:$AZ$201,AZ163,$DB$2:$DB$201,1,$H$2:$H$201,H163,$BA$2:$BA$201,"&gt;"&amp;BA163)=0,1,0),0)</f>
        <v>0</v>
      </c>
      <c r="DE163" s="23" t="n">
        <f aca="false">IF(AND(DB163=1,INT(N(H163))&lt;=Config!$B$7),IF(COUNTIFS($AZ$2:$AZ$201,AZ163,$DB$2:$DB$201,1,$H$2:$H$201,"&gt;"&amp;H163,$H$2:$H$201,"&lt;"&amp;(Config!$B$7+1))+COUNTIFS($AZ$2:$AZ$201,AZ163,$DB$2:$DB$201,1,$H$2:$H$201,H163,$BA$2:$BA$201,"&gt;"&amp;BA163)=0,1,0),0)</f>
        <v>0</v>
      </c>
      <c r="DF163" s="23" t="n">
        <f aca="false">IF(AND(DB163=1,INT(N(H163))&lt;=Config!$B$8),IF(COUNTIFS($AZ$2:$AZ$201,AZ163,$DB$2:$DB$201,1,$H$2:$H$201,"&gt;"&amp;H163,$H$2:$H$201,"&lt;"&amp;(Config!$B$8+1))+COUNTIFS($AZ$2:$AZ$201,AZ163,$DB$2:$DB$201,1,$H$2:$H$201,H163,$BA$2:$BA$201,"&gt;"&amp;BA163)=0,1,0),0)</f>
        <v>0</v>
      </c>
      <c r="DG163" s="23" t="n">
        <f aca="false">IF(AND(DB163=1,INT(N(H163))&lt;=Config!$B$5),IF(COUNTIFS($AZ$2:$AZ$201,AZ163,$DB$2:$DB$201,1,$H$2:$H$201,"&gt;"&amp;H163,$H$2:$H$201,"&lt;"&amp;(Config!$B$5+1))+COUNTIFS($AZ$2:$AZ$201,AZ163,$DB$2:$DB$201,1,$H$2:$H$201,H163,$BA$2:$BA$201,"&gt;"&amp;BA163)=0,1,0),0)</f>
        <v>0</v>
      </c>
      <c r="DH163" s="23" t="n">
        <f aca="false">IF(BB163=1,IF(COUNTIFS($AZ$2:$AZ$201,AZ163,$DD$2:$DD$201,1,$AR$2:$AR$201,"Y")&gt;0,1,0),0)</f>
        <v>0</v>
      </c>
      <c r="DI163" s="23" t="n">
        <f aca="false">IF(BB163=1,IF(COUNTIFS($AZ$2:$AZ$201,AZ163,$DE$2:$DE$201,1,$AR$2:$AR$201,"Y")&gt;0,1,0),0)</f>
        <v>0</v>
      </c>
      <c r="DJ163" s="23" t="n">
        <f aca="false">IF(BB163=1,IF(COUNTIFS($AZ$2:$AZ$201,AZ163,$DF$2:$DF$201,1,$AR$2:$AR$201,"Y")&gt;0,1,0),0)</f>
        <v>0</v>
      </c>
      <c r="DK163" s="23" t="n">
        <f aca="false">IF(BB163=1,IF(COUNTIFS($AZ$2:$AZ$201,AZ163,$DG$2:$DG$201,1,$AR$2:$AR$201,"Y")&gt;0,1,0),0)</f>
        <v>0</v>
      </c>
      <c r="DL163" s="23" t="n">
        <f aca="false">IF(AND(BF163=1,INT(N(H163))&lt;=Config!$B$6,DH163=1,EI163=0),1,0)</f>
        <v>0</v>
      </c>
      <c r="DM163" s="23" t="n">
        <f aca="false">IF(AND(BF163=1,INT(N(H163))&lt;=Config!$B$7,DI163=1,EI163=0),1,0)</f>
        <v>0</v>
      </c>
      <c r="DN163" s="23" t="n">
        <f aca="false">IF(AND(BF163=1,INT(N(H163))&lt;=Config!$B$8,DJ163=1,EI163=0),1,0)</f>
        <v>0</v>
      </c>
      <c r="DO163" s="23" t="n">
        <f aca="false">IF(AND(BF163=1,INT(N(H163))&lt;=Config!$B$5,DK163=1,EI163=0),1,0)</f>
        <v>0</v>
      </c>
      <c r="DP163" s="23" t="n">
        <f aca="false">IF(AND(CC163=1,INT(N(H163))&lt;=Config!$B$6,DH163=1,EI163=0),1,0)</f>
        <v>0</v>
      </c>
      <c r="DQ163" s="23" t="n">
        <f aca="false">IF(AND(CC163=1,INT(N(H163))&lt;=Config!$B$7,DI163=1,EI163=0),1,0)</f>
        <v>0</v>
      </c>
      <c r="DR163" s="23" t="n">
        <f aca="false">IF(AND(CC163=1,INT(N(H163))&lt;=Config!$B$8,DJ163=1,EI163=0),1,0)</f>
        <v>0</v>
      </c>
      <c r="DS163" s="23" t="n">
        <f aca="false">IF(AND(CC163=1,INT(N(H163))&lt;=Config!$B$5,DK163=1,EI163=0),1,0)</f>
        <v>0</v>
      </c>
      <c r="DT163" s="23" t="n">
        <f aca="false">IF(AND(CC163=1,INT(N(H163))&lt;=Config!$B$6,DH163=0),1,0)</f>
        <v>0</v>
      </c>
      <c r="DU163" s="23" t="n">
        <f aca="false">IF(AND(CC163=1,INT(N(H163))&lt;=Config!$B$7,DI163=0),1,0)</f>
        <v>0</v>
      </c>
      <c r="DV163" s="23" t="n">
        <f aca="false">IF(AND(CC163=1,INT(N(H163))&lt;=Config!$B$8,DJ163=0),1,0)</f>
        <v>0</v>
      </c>
      <c r="DW163" s="23" t="n">
        <f aca="false">IF(AND(CC163=1,INT(N(H163))&lt;=Config!$B$5,DK163=0),1,0)</f>
        <v>0</v>
      </c>
      <c r="DX163" s="23" t="n">
        <f aca="false">IF(TRIM($A163)="",0,ISTEXT(M163)+ISTEXT(O163)+ISTEXT(Y163)+ISTEXT(Z163)+ISTEXT(AA163)+ISTEXT(AV163))</f>
        <v>0</v>
      </c>
      <c r="DY163" s="23" t="n">
        <f aca="false">IF(BB163=1,IF(H163&lt;&gt;INT(H163),1,0),0)</f>
        <v>0</v>
      </c>
      <c r="DZ163" s="23" t="str">
        <f aca="false">IF(TRIM($A163)="","",IF(TRIM(B163)="",SUBSTITUTE(SUBSTITUTE(SUBSTITUTE(SUBSTITUTE(SUBSTITUTE(SUBSTITUTE(LOWER(TRIM($A163)),"~",""),"*",""),"?",""),"&lt;",""),"&gt;",""),"=",""),SUBSTITUTE(SUBSTITUTE(SUBSTITUTE(SUBSTITUTE(SUBSTITUTE(SUBSTITUTE(LOWER(TRIM(B163)),"~",""),"*",""),"?",""),"&lt;",""),"&gt;",""),"=","")))</f>
        <v/>
      </c>
      <c r="EA163" s="23" t="str">
        <f aca="false">IF(CW163="","",IFERROR(IF(LEFT(LOWER(TRIM(INDEX(Clay_Offices!$A$2:$FZ$601,CW163,Sync!$C$19)&amp;"")),4)="grp-",SUBSTITUTE(SUBSTITUTE(SUBSTITUTE(SUBSTITUTE(SUBSTITUTE(SUBSTITUTE(LOWER(TRIM(INDEX(Clay_Offices!$A$2:$FZ$601,CW163,Sync!$C$19)&amp;"")),"~",""),"*",""),"?",""),"&lt;",""),"&gt;",""),"=",""),""),""))</f>
        <v/>
      </c>
      <c r="EB163" s="23" t="str">
        <f aca="false">IF(EA163&lt;&gt;"",DZ163,"")</f>
        <v/>
      </c>
      <c r="EC163" s="23" t="str">
        <f aca="false">IF(BC163=1,AZ163,"")</f>
        <v/>
      </c>
      <c r="ED163" s="23" t="str">
        <f aca="false">IF(TRIM($A163)="","",IFERROR(INDEX($A$2:$A$201,MATCH(AZ163,$EC$2:$EC$201,0))&amp;"",$A163&amp;""))</f>
        <v/>
      </c>
      <c r="EE163" s="23" t="n">
        <f aca="false">IF(BB163=1,IF(COUNTIFS($A$2:$A$201,$A163,$BB$2:$BB$201,1,$H$2:$H$201,"&lt;"&amp;H163)+COUNTIFS($A$2:$A$201,$A163,$BB$2:$BB$201,1,$H$2:$H$201,H163,$BA$2:$BA$201,"&lt;"&amp;BA163)=0,1,0),0)</f>
        <v>0</v>
      </c>
      <c r="EF163" s="23" t="n">
        <f aca="false">IF(BC163=1,IF(COUNTIFS($AZ$2:$AZ$201,AZ163,$EE$2:$EE$201,1)&gt;1,1,0),0)</f>
        <v>0</v>
      </c>
      <c r="EG163" s="23" t="n">
        <f aca="false">IF(AND(CQ163=1),IF(COUNTIFS($AZ$2:$AZ$201,AZ163,$CQ$2:$CQ$201,1,$H$2:$H$201,"&gt;"&amp;H163)+COUNTIFS($AZ$2:$AZ$201,AZ163,$CQ$2:$CQ$201,1,$H$2:$H$201,H163,$BA$2:$BA$201,"&gt;"&amp;BA163)=0,1,0),0)</f>
        <v>0</v>
      </c>
      <c r="EH163" s="23" t="str">
        <f aca="false">IF(BB163=1,IF(COUNTIFS($AZ$2:$AZ$201,AZ163,$EG$2:$EG$201,1)=0,"",SUMIFS($O$2:$O$201,$AZ$2:$AZ$201,AZ163,$EG$2:$EG$201,1)),"")</f>
        <v/>
      </c>
      <c r="EI163" s="23" t="n">
        <f aca="false">IF(AND(ISNUMBER(EH163),OR(N(EH163)&lt;Config!$B$31,N(EH163)&gt;Config!$B$33)),1,0)</f>
        <v>0</v>
      </c>
      <c r="EJ163" s="23" t="n">
        <f aca="false">IF(AND(ISNUMBER(EH163),N(EH163)&gt;=Config!$B$31,N(EH163)&lt;Config!$B$32),1,0)</f>
        <v>0</v>
      </c>
      <c r="EK163" s="23" t="n">
        <f aca="false">IF(AND(BF163=1,INT(N(H163))&lt;=Config!$B$6,DH163=1,EI163=1),1,0)</f>
        <v>0</v>
      </c>
      <c r="EL163" s="23" t="n">
        <f aca="false">IF(AND(BF163=1,INT(N(H163))&lt;=Config!$B$7,DI163=1,EI163=1),1,0)</f>
        <v>0</v>
      </c>
      <c r="EM163" s="23" t="n">
        <f aca="false">IF(AND(BF163=1,INT(N(H163))&lt;=Config!$B$8,DJ163=1,EI163=1),1,0)</f>
        <v>0</v>
      </c>
      <c r="EN163" s="23" t="n">
        <f aca="false">IF(AND(BF163=1,INT(N(H163))&lt;=Config!$B$5,DK163=1,EI163=1),1,0)</f>
        <v>0</v>
      </c>
      <c r="EO163" s="23" t="n">
        <f aca="false">IF(AND(DL163=1,EJ163=1),1,0)</f>
        <v>0</v>
      </c>
      <c r="EP163" s="23" t="n">
        <f aca="false">IF(AND(DM163=1,EJ163=1),1,0)</f>
        <v>0</v>
      </c>
      <c r="EQ163" s="23" t="n">
        <f aca="false">IF(AND(DN163=1,EJ163=1),1,0)</f>
        <v>0</v>
      </c>
      <c r="ER163" s="23" t="n">
        <f aca="false">IF(AND(DO163=1,EJ163=1),1,0)</f>
        <v>0</v>
      </c>
    </row>
    <row r="164" customFormat="false" ht="15" hidden="false" customHeight="false" outlineLevel="0" collapsed="false">
      <c r="G164" s="32"/>
      <c r="H164" s="33"/>
      <c r="I164" s="32"/>
      <c r="L164" s="32"/>
      <c r="Q164" s="32"/>
      <c r="U164" s="32"/>
      <c r="W164" s="32"/>
      <c r="AC164" s="32"/>
      <c r="AF164" s="32"/>
      <c r="AI164" s="32"/>
      <c r="AJ164" s="32"/>
      <c r="AN164" s="32"/>
      <c r="AR164" s="32"/>
      <c r="AT164" s="32"/>
      <c r="AU164" s="32"/>
      <c r="AW164" s="32"/>
      <c r="AY164" s="34" t="str">
        <f aca="false">IF(TRIM($A164)="","",IF(AND(LEFT($A164,6)="SAMPLE",Config!$B$19&lt;&gt;"Y"),"",IF(NOT(ISNUMBER(H164)),"call_date is blank or not a date",IF(Sync!$C$5="","Clay paste is empty or has no row_id column: paste the Clay export on Clay_Offices",IF(CW164="","row_id not found in the Clay paste: add the Clay row or fix the row_id",IF(AND(ISNUMBER(CY164),CY164&gt;=1,CY164&lt;=5),"Clay status is "&amp;CX164&amp;": set call_done or later",IF(AND(BD164=1,CZ164&lt;&gt;BZ164),"Clay yes_in_principle should be "&amp;BZ164,IF(AND(BD164=1,DA164&lt;&gt;H164),"Clay call_date should be "&amp;TEXT(H164,"yyyy-mm-dd"),""))))))))</f>
        <v/>
      </c>
      <c r="AZ164" s="23" t="str">
        <f aca="false">IF(TRIM($A164)="","",IF(TRIM(C164)&lt;&gt;"",SUBSTITUTE(SUBSTITUTE(SUBSTITUTE(SUBSTITUTE(SUBSTITUTE(SUBSTITUTE(LOWER(TRIM(C164)),"~",""),"*",""),"?",""),"&lt;",""),"&gt;",""),"=",""),IF(EA164&lt;&gt;"",EA164,IFERROR(INDEX($EA$2:$EA$201,MATCH(DZ164,$EB$2:$EB$201,0)),DZ164))))</f>
        <v/>
      </c>
      <c r="BA164" s="23" t="n">
        <f aca="false">ROW()</f>
        <v>164</v>
      </c>
      <c r="BB164" s="23" t="n">
        <f aca="false">IF(AND(TRIM($A164)&lt;&gt;"",ISNUMBER(H164)),IF(AND(LEFT($A164,6)="SAMPLE",Config!$B$19&lt;&gt;"Y"),0,1),0)</f>
        <v>0</v>
      </c>
      <c r="BC164" s="23" t="n">
        <f aca="false">IF(BB164=1,IF(COUNTIFS($AZ$2:$AZ$201,AZ164,$BB$2:$BB$201,1,$H$2:$H$201,"&lt;"&amp;H164)+COUNTIFS($AZ$2:$AZ$201,AZ164,$BB$2:$BB$201,1,$H$2:$H$201,H164,$BA$2:$BA$201,"&lt;"&amp;BA164)=0,1,0),0)</f>
        <v>0</v>
      </c>
      <c r="BD164" s="23" t="n">
        <f aca="false">IF(BB164=1,IF(COUNTIFS($A$2:$A$201,$A164,$BB$2:$BB$201,1,$H$2:$H$201,"&gt;"&amp;H164)+COUNTIFS($A$2:$A$201,$A164,$BB$2:$BB$201,1,$H$2:$H$201,H164,$BA$2:$BA$201,"&gt;"&amp;BA164)=0,1,0),0)</f>
        <v>0</v>
      </c>
      <c r="BE164" s="23" t="n">
        <f aca="false">IF(AND(BB164=1,AR164="Y",AC164="Y",TRIM(AH164)&lt;&gt;""),1,0)</f>
        <v>0</v>
      </c>
      <c r="BF164" s="23" t="n">
        <f aca="false">IF(BE164=1,IF(COUNTIFS($AZ$2:$AZ$201,AZ164,$BE$2:$BE$201,1,$H$2:$H$201,"&lt;"&amp;H164)+COUNTIFS($AZ$2:$AZ$201,AZ164,$BE$2:$BE$201,1,$H$2:$H$201,H164,$BA$2:$BA$201,"&lt;"&amp;BA164)=0,1,0),0)</f>
        <v>0</v>
      </c>
      <c r="BG164" s="23" t="n">
        <f aca="false">IF(AND(BB164=1,AR164="Y",BE164=0),1,0)</f>
        <v>0</v>
      </c>
      <c r="BH164" s="23" t="n">
        <f aca="false">IF(AND(BB164=1,ISNUMBER(Y164)),1,0)</f>
        <v>0</v>
      </c>
      <c r="BI164" s="23" t="n">
        <f aca="false">IF(BH164=1,IF(COUNTIFS($AZ$2:$AZ$201,AZ164,$BH$2:$BH$201,1,$H$2:$H$201,"&lt;"&amp;H164)+COUNTIFS($AZ$2:$AZ$201,AZ164,$BH$2:$BH$201,1,$H$2:$H$201,H164,$BA$2:$BA$201,"&lt;"&amp;BA164)=0,1,0),0)</f>
        <v>0</v>
      </c>
      <c r="BJ164" s="23" t="str">
        <f aca="false">IF(AND(BI164=1,INT(N(H164))&lt;=Config!$B$6),Y164,"")</f>
        <v/>
      </c>
      <c r="BK164" s="23" t="str">
        <f aca="false">IF(AND(BI164=1,INT(N(H164))&lt;=Config!$B$7),Y164,"")</f>
        <v/>
      </c>
      <c r="BL164" s="23" t="str">
        <f aca="false">IF(AND(BI164=1,INT(N(H164))&lt;=Config!$B$8),Y164,"")</f>
        <v/>
      </c>
      <c r="BM164" s="23" t="str">
        <f aca="false">IF(AND(BI164=1,INT(N(H164))&lt;=Config!$B$5),Y164,"")</f>
        <v/>
      </c>
      <c r="BN164" s="23" t="n">
        <f aca="false">IF(CD164=1,IF(COUNTIFS($AZ$2:$AZ$201,AZ164,$CD$2:$CD$201,1,$H$2:$H$201,"&lt;"&amp;H164)+COUNTIFS($AZ$2:$AZ$201,AZ164,$CD$2:$CD$201,1,$H$2:$H$201,H164,$BA$2:$BA$201,"&lt;"&amp;BA164)=0,1,0),0)</f>
        <v>0</v>
      </c>
      <c r="BO164" s="23" t="n">
        <f aca="false">IF(AND(BB164=1,ISNUMBER(M164)),1,0)</f>
        <v>0</v>
      </c>
      <c r="BP164" s="23" t="n">
        <f aca="false">IF(BO164=1,IF(COUNTIFS($AZ$2:$AZ$201,AZ164,$BO$2:$BO$201,1,$H$2:$H$201,"&lt;"&amp;H164)+COUNTIFS($AZ$2:$AZ$201,AZ164,$BO$2:$BO$201,1,$H$2:$H$201,H164,$BA$2:$BA$201,"&lt;"&amp;BA164)=0,1,0),0)</f>
        <v>0</v>
      </c>
      <c r="BQ164" s="23" t="str">
        <f aca="false">IF(AND(BP164=1,INT(N(H164))&lt;=Config!$B$5),M164,"")</f>
        <v/>
      </c>
      <c r="BR164" s="23" t="n">
        <f aca="false">IF(AND(BB164=1,OR(TRIM(X164)&lt;&gt;"",ISNUMBER(Y164))),1,0)</f>
        <v>0</v>
      </c>
      <c r="BS164" s="23" t="n">
        <f aca="false">IF(BR164=1,IF(COUNTIFS($AZ$2:$AZ$201,AZ164,$BR$2:$BR$201,1,$H$2:$H$201,"&lt;"&amp;H164)+COUNTIFS($AZ$2:$AZ$201,AZ164,$BR$2:$BR$201,1,$H$2:$H$201,H164,$BA$2:$BA$201,"&lt;"&amp;BA164)=0,1,0),0)</f>
        <v>0</v>
      </c>
      <c r="BT164" s="23" t="str">
        <f aca="false">IF(BS164=1,AZ164,"")</f>
        <v/>
      </c>
      <c r="BU164" s="23" t="n">
        <f aca="false">IF(AND(BB164=1,W164="Y",TRIM(X164)=""),1,0)</f>
        <v>0</v>
      </c>
      <c r="BV164" s="23" t="str">
        <f aca="false">IF(BB164=1,AN164&amp;"","")</f>
        <v/>
      </c>
      <c r="BW164" s="23" t="str">
        <f aca="false">IF(BB164=1,AO164&amp;"","")</f>
        <v/>
      </c>
      <c r="BX164" s="23" t="str">
        <f aca="false">IF(BB164=1,AP164&amp;"","")</f>
        <v/>
      </c>
      <c r="BY164" s="23" t="str">
        <f aca="false">IF(AND(BB164=1,ISNUMBER(AV164),INT(N(H164))&lt;=Config!$B$5),AV164,"")</f>
        <v/>
      </c>
      <c r="BZ164" s="23" t="str">
        <f aca="false">IF(BB164=1,IF(COUNTIFS($A$2:$A$201,$A164,$DC$2:$DC$201,1,$AR$2:$AR$201,"Y")&gt;0,"Y","N"),"")</f>
        <v/>
      </c>
      <c r="CA164" s="23" t="n">
        <f aca="false">IF(AND(BB164=1,AR164="maybe"),1,0)</f>
        <v>0</v>
      </c>
      <c r="CB164" s="23" t="n">
        <f aca="false">IF(CA164=1,IF(COUNTIFS($AZ$2:$AZ$201,AZ164,$CA$2:$CA$201,1,$H$2:$H$201,"&lt;"&amp;H164)+COUNTIFS($AZ$2:$AZ$201,AZ164,$CA$2:$CA$201,1,$H$2:$H$201,H164,$BA$2:$BA$201,"&lt;"&amp;BA164)=0,1,0),0)</f>
        <v>0</v>
      </c>
      <c r="CC164" s="23" t="n">
        <f aca="false">IF(AND(BB164=1,AR164="Y"),IF(COUNTIFS($AZ$2:$AZ$201,AZ164,$AR$2:$AR$201,"Y",$BB$2:$BB$201,1,$H$2:$H$201,"&lt;"&amp;H164)+COUNTIFS($AZ$2:$AZ$201,AZ164,$AR$2:$AR$201,"Y",$BB$2:$BB$201,1,$H$2:$H$201,H164,$BA$2:$BA$201,"&lt;"&amp;BA164)=0,1,0),0)</f>
        <v>0</v>
      </c>
      <c r="CD164" s="23" t="n">
        <f aca="false">IF(AND(BH164=1,N(Y164)&gt;=Config!$B$15),1,0)</f>
        <v>0</v>
      </c>
      <c r="CE164" s="23" t="n">
        <f aca="false">IF(AND(BB164=1,AT164="Y"),1,0)</f>
        <v>0</v>
      </c>
      <c r="CF164" s="23" t="n">
        <f aca="false">IF(CE164=1,IF(COUNTIFS($AZ$2:$AZ$201,AZ164,$CE$2:$CE$201,1,$H$2:$H$201,"&lt;"&amp;H164)+COUNTIFS($AZ$2:$AZ$201,AZ164,$CE$2:$CE$201,1,$H$2:$H$201,H164,$BA$2:$BA$201,"&lt;"&amp;BA164)=0,1,0),0)</f>
        <v>0</v>
      </c>
      <c r="CG164" s="23" t="n">
        <f aca="false">IF(AND(BB164=1,G164="warm-intro"),1,0)</f>
        <v>0</v>
      </c>
      <c r="CH164" s="23" t="n">
        <f aca="false">IF(CG164=1,IF(COUNTIFS($AZ$2:$AZ$201,AZ164,$CG$2:$CG$201,1,$H$2:$H$201,"&lt;"&amp;H164)+COUNTIFS($AZ$2:$AZ$201,AZ164,$CG$2:$CG$201,1,$H$2:$H$201,H164,$BA$2:$BA$201,"&lt;"&amp;BA164)=0,1,0),0)</f>
        <v>0</v>
      </c>
      <c r="CI164" s="23" t="n">
        <f aca="false">IF(AND(BB164=1,Q164="Y"),1,0)</f>
        <v>0</v>
      </c>
      <c r="CJ164" s="23" t="n">
        <f aca="false">IF(CI164=1,IF(COUNTIFS($AZ$2:$AZ$201,AZ164,$CI$2:$CI$201,1,$H$2:$H$201,"&lt;"&amp;H164)+COUNTIFS($AZ$2:$AZ$201,AZ164,$CI$2:$CI$201,1,$H$2:$H$201,H164,$BA$2:$BA$201,"&lt;"&amp;BA164)=0,1,0),0)</f>
        <v>0</v>
      </c>
      <c r="CK164" s="23" t="n">
        <f aca="false">IF(AND(BB164=1,AF164="Y"),1,0)</f>
        <v>0</v>
      </c>
      <c r="CL164" s="23" t="n">
        <f aca="false">IF(CK164=1,IF(COUNTIFS($AZ$2:$AZ$201,AZ164,$CK$2:$CK$201,1,$H$2:$H$201,"&lt;"&amp;H164)+COUNTIFS($AZ$2:$AZ$201,AZ164,$CK$2:$CK$201,1,$H$2:$H$201,H164,$BA$2:$BA$201,"&lt;"&amp;BA164)=0,1,0),0)</f>
        <v>0</v>
      </c>
      <c r="CM164" s="23" t="n">
        <f aca="false">IF(AND(BB164=1,U164="Y"),1,0)</f>
        <v>0</v>
      </c>
      <c r="CN164" s="23" t="n">
        <f aca="false">IF(CM164=1,IF(COUNTIFS($AZ$2:$AZ$201,AZ164,$CM$2:$CM$201,1,$H$2:$H$201,"&lt;"&amp;H164)+COUNTIFS($AZ$2:$AZ$201,AZ164,$CM$2:$CM$201,1,$H$2:$H$201,H164,$BA$2:$BA$201,"&lt;"&amp;BA164)=0,1,0),0)</f>
        <v>0</v>
      </c>
      <c r="CO164" s="23" t="n">
        <f aca="false">IF(AND(BB164=1,L164="Y"),1,0)</f>
        <v>0</v>
      </c>
      <c r="CP164" s="23" t="n">
        <f aca="false">IF(CO164=1,IF(COUNTIFS($AZ$2:$AZ$201,AZ164,$CO$2:$CO$201,1,$H$2:$H$201,"&lt;"&amp;H164)+COUNTIFS($AZ$2:$AZ$201,AZ164,$CO$2:$CO$201,1,$H$2:$H$201,H164,$BA$2:$BA$201,"&lt;"&amp;BA164)=0,1,0),0)</f>
        <v>0</v>
      </c>
      <c r="CQ164" s="23" t="n">
        <f aca="false">IF(AND(BB164=1,ISNUMBER(O164)),1,0)</f>
        <v>0</v>
      </c>
      <c r="CR164" s="23" t="n">
        <f aca="false">IF(CQ164=1,IF(COUNTIFS($AZ$2:$AZ$201,AZ164,$CQ$2:$CQ$201,1,$H$2:$H$201,"&lt;"&amp;H164)+COUNTIFS($AZ$2:$AZ$201,AZ164,$CQ$2:$CQ$201,1,$H$2:$H$201,H164,$BA$2:$BA$201,"&lt;"&amp;BA164)=0,1,0),0)</f>
        <v>0</v>
      </c>
      <c r="CS164" s="23" t="str">
        <f aca="false">IF(AND(CR164=1,INT(N(H164))&lt;=Config!$B$5),O164,"")</f>
        <v/>
      </c>
      <c r="CT164" s="23" t="str">
        <f aca="false">IF(AND(BB164=1,INT(N(H164))&lt;=Config!$B$5),AG164&amp;"","")</f>
        <v/>
      </c>
      <c r="CU164" s="23" t="n">
        <f aca="false">IF(AND(BB164=1,AU164="Y"),1,0)</f>
        <v>0</v>
      </c>
      <c r="CV164" s="23" t="n">
        <f aca="false">IF(CU164=1,IF(COUNTIFS($AZ$2:$AZ$201,AZ164,$CU$2:$CU$201,1,$H$2:$H$201,"&lt;"&amp;H164)+COUNTIFS($AZ$2:$AZ$201,AZ164,$CU$2:$CU$201,1,$H$2:$H$201,H164,$BA$2:$BA$201,"&lt;"&amp;BA164)=0,1,0),0)</f>
        <v>0</v>
      </c>
      <c r="CW164" s="23" t="str">
        <f aca="false">IF(BB164=1,IFERROR(MATCH($A164,INDEX(Clay_Offices!$A$2:$FZ$601,0,Sync!$C$5),0),""),"")</f>
        <v/>
      </c>
      <c r="CX164" s="23" t="str">
        <f aca="false">IF(CW164="","",IFERROR(INDEX(Clay_Offices!$A$2:$FZ$601,CW164,Sync!$C$7)&amp;"",""))</f>
        <v/>
      </c>
      <c r="CY164" s="23" t="str">
        <f aca="false">IF(CX164="","",IFERROR(INDEX(Lists!$K$2:$K$15,MATCH(CX164,Lists!$J$2:$J$15,0)),""))</f>
        <v/>
      </c>
      <c r="CZ164" s="23" t="str">
        <f aca="false">IF(CW164="","",IFERROR(INDEX(Clay_Offices!$A$2:$FZ$601,CW164,Sync!$C$17)&amp;"",""))</f>
        <v/>
      </c>
      <c r="DA164" s="35" t="str">
        <f aca="false">IF(CW164="","",IFERROR(N(INDEX(Clay_Offices!$A$2:$FZ$601,CW164,Sync!$C$16)),0))</f>
        <v/>
      </c>
      <c r="DB164" s="23" t="n">
        <f aca="false">IF(AND(BB164=1,OR(AR164="Y",AR164="N",AR164="maybe")),1,0)</f>
        <v>0</v>
      </c>
      <c r="DC164" s="23" t="n">
        <f aca="false">IF(AND(DB164=1),IF(COUNTIFS($A$2:$A$201,$A164,$DB$2:$DB$201,1,$H$2:$H$201,"&gt;"&amp;H164)+COUNTIFS($A$2:$A$201,$A164,$DB$2:$DB$201,1,$H$2:$H$201,H164,$BA$2:$BA$201,"&gt;"&amp;BA164)=0,1,0),0)</f>
        <v>0</v>
      </c>
      <c r="DD164" s="23" t="n">
        <f aca="false">IF(AND(DB164=1,INT(N(H164))&lt;=Config!$B$6),IF(COUNTIFS($AZ$2:$AZ$201,AZ164,$DB$2:$DB$201,1,$H$2:$H$201,"&gt;"&amp;H164,$H$2:$H$201,"&lt;"&amp;(Config!$B$6+1))+COUNTIFS($AZ$2:$AZ$201,AZ164,$DB$2:$DB$201,1,$H$2:$H$201,H164,$BA$2:$BA$201,"&gt;"&amp;BA164)=0,1,0),0)</f>
        <v>0</v>
      </c>
      <c r="DE164" s="23" t="n">
        <f aca="false">IF(AND(DB164=1,INT(N(H164))&lt;=Config!$B$7),IF(COUNTIFS($AZ$2:$AZ$201,AZ164,$DB$2:$DB$201,1,$H$2:$H$201,"&gt;"&amp;H164,$H$2:$H$201,"&lt;"&amp;(Config!$B$7+1))+COUNTIFS($AZ$2:$AZ$201,AZ164,$DB$2:$DB$201,1,$H$2:$H$201,H164,$BA$2:$BA$201,"&gt;"&amp;BA164)=0,1,0),0)</f>
        <v>0</v>
      </c>
      <c r="DF164" s="23" t="n">
        <f aca="false">IF(AND(DB164=1,INT(N(H164))&lt;=Config!$B$8),IF(COUNTIFS($AZ$2:$AZ$201,AZ164,$DB$2:$DB$201,1,$H$2:$H$201,"&gt;"&amp;H164,$H$2:$H$201,"&lt;"&amp;(Config!$B$8+1))+COUNTIFS($AZ$2:$AZ$201,AZ164,$DB$2:$DB$201,1,$H$2:$H$201,H164,$BA$2:$BA$201,"&gt;"&amp;BA164)=0,1,0),0)</f>
        <v>0</v>
      </c>
      <c r="DG164" s="23" t="n">
        <f aca="false">IF(AND(DB164=1,INT(N(H164))&lt;=Config!$B$5),IF(COUNTIFS($AZ$2:$AZ$201,AZ164,$DB$2:$DB$201,1,$H$2:$H$201,"&gt;"&amp;H164,$H$2:$H$201,"&lt;"&amp;(Config!$B$5+1))+COUNTIFS($AZ$2:$AZ$201,AZ164,$DB$2:$DB$201,1,$H$2:$H$201,H164,$BA$2:$BA$201,"&gt;"&amp;BA164)=0,1,0),0)</f>
        <v>0</v>
      </c>
      <c r="DH164" s="23" t="n">
        <f aca="false">IF(BB164=1,IF(COUNTIFS($AZ$2:$AZ$201,AZ164,$DD$2:$DD$201,1,$AR$2:$AR$201,"Y")&gt;0,1,0),0)</f>
        <v>0</v>
      </c>
      <c r="DI164" s="23" t="n">
        <f aca="false">IF(BB164=1,IF(COUNTIFS($AZ$2:$AZ$201,AZ164,$DE$2:$DE$201,1,$AR$2:$AR$201,"Y")&gt;0,1,0),0)</f>
        <v>0</v>
      </c>
      <c r="DJ164" s="23" t="n">
        <f aca="false">IF(BB164=1,IF(COUNTIFS($AZ$2:$AZ$201,AZ164,$DF$2:$DF$201,1,$AR$2:$AR$201,"Y")&gt;0,1,0),0)</f>
        <v>0</v>
      </c>
      <c r="DK164" s="23" t="n">
        <f aca="false">IF(BB164=1,IF(COUNTIFS($AZ$2:$AZ$201,AZ164,$DG$2:$DG$201,1,$AR$2:$AR$201,"Y")&gt;0,1,0),0)</f>
        <v>0</v>
      </c>
      <c r="DL164" s="23" t="n">
        <f aca="false">IF(AND(BF164=1,INT(N(H164))&lt;=Config!$B$6,DH164=1,EI164=0),1,0)</f>
        <v>0</v>
      </c>
      <c r="DM164" s="23" t="n">
        <f aca="false">IF(AND(BF164=1,INT(N(H164))&lt;=Config!$B$7,DI164=1,EI164=0),1,0)</f>
        <v>0</v>
      </c>
      <c r="DN164" s="23" t="n">
        <f aca="false">IF(AND(BF164=1,INT(N(H164))&lt;=Config!$B$8,DJ164=1,EI164=0),1,0)</f>
        <v>0</v>
      </c>
      <c r="DO164" s="23" t="n">
        <f aca="false">IF(AND(BF164=1,INT(N(H164))&lt;=Config!$B$5,DK164=1,EI164=0),1,0)</f>
        <v>0</v>
      </c>
      <c r="DP164" s="23" t="n">
        <f aca="false">IF(AND(CC164=1,INT(N(H164))&lt;=Config!$B$6,DH164=1,EI164=0),1,0)</f>
        <v>0</v>
      </c>
      <c r="DQ164" s="23" t="n">
        <f aca="false">IF(AND(CC164=1,INT(N(H164))&lt;=Config!$B$7,DI164=1,EI164=0),1,0)</f>
        <v>0</v>
      </c>
      <c r="DR164" s="23" t="n">
        <f aca="false">IF(AND(CC164=1,INT(N(H164))&lt;=Config!$B$8,DJ164=1,EI164=0),1,0)</f>
        <v>0</v>
      </c>
      <c r="DS164" s="23" t="n">
        <f aca="false">IF(AND(CC164=1,INT(N(H164))&lt;=Config!$B$5,DK164=1,EI164=0),1,0)</f>
        <v>0</v>
      </c>
      <c r="DT164" s="23" t="n">
        <f aca="false">IF(AND(CC164=1,INT(N(H164))&lt;=Config!$B$6,DH164=0),1,0)</f>
        <v>0</v>
      </c>
      <c r="DU164" s="23" t="n">
        <f aca="false">IF(AND(CC164=1,INT(N(H164))&lt;=Config!$B$7,DI164=0),1,0)</f>
        <v>0</v>
      </c>
      <c r="DV164" s="23" t="n">
        <f aca="false">IF(AND(CC164=1,INT(N(H164))&lt;=Config!$B$8,DJ164=0),1,0)</f>
        <v>0</v>
      </c>
      <c r="DW164" s="23" t="n">
        <f aca="false">IF(AND(CC164=1,INT(N(H164))&lt;=Config!$B$5,DK164=0),1,0)</f>
        <v>0</v>
      </c>
      <c r="DX164" s="23" t="n">
        <f aca="false">IF(TRIM($A164)="",0,ISTEXT(M164)+ISTEXT(O164)+ISTEXT(Y164)+ISTEXT(Z164)+ISTEXT(AA164)+ISTEXT(AV164))</f>
        <v>0</v>
      </c>
      <c r="DY164" s="23" t="n">
        <f aca="false">IF(BB164=1,IF(H164&lt;&gt;INT(H164),1,0),0)</f>
        <v>0</v>
      </c>
      <c r="DZ164" s="23" t="str">
        <f aca="false">IF(TRIM($A164)="","",IF(TRIM(B164)="",SUBSTITUTE(SUBSTITUTE(SUBSTITUTE(SUBSTITUTE(SUBSTITUTE(SUBSTITUTE(LOWER(TRIM($A164)),"~",""),"*",""),"?",""),"&lt;",""),"&gt;",""),"=",""),SUBSTITUTE(SUBSTITUTE(SUBSTITUTE(SUBSTITUTE(SUBSTITUTE(SUBSTITUTE(LOWER(TRIM(B164)),"~",""),"*",""),"?",""),"&lt;",""),"&gt;",""),"=","")))</f>
        <v/>
      </c>
      <c r="EA164" s="23" t="str">
        <f aca="false">IF(CW164="","",IFERROR(IF(LEFT(LOWER(TRIM(INDEX(Clay_Offices!$A$2:$FZ$601,CW164,Sync!$C$19)&amp;"")),4)="grp-",SUBSTITUTE(SUBSTITUTE(SUBSTITUTE(SUBSTITUTE(SUBSTITUTE(SUBSTITUTE(LOWER(TRIM(INDEX(Clay_Offices!$A$2:$FZ$601,CW164,Sync!$C$19)&amp;"")),"~",""),"*",""),"?",""),"&lt;",""),"&gt;",""),"=",""),""),""))</f>
        <v/>
      </c>
      <c r="EB164" s="23" t="str">
        <f aca="false">IF(EA164&lt;&gt;"",DZ164,"")</f>
        <v/>
      </c>
      <c r="EC164" s="23" t="str">
        <f aca="false">IF(BC164=1,AZ164,"")</f>
        <v/>
      </c>
      <c r="ED164" s="23" t="str">
        <f aca="false">IF(TRIM($A164)="","",IFERROR(INDEX($A$2:$A$201,MATCH(AZ164,$EC$2:$EC$201,0))&amp;"",$A164&amp;""))</f>
        <v/>
      </c>
      <c r="EE164" s="23" t="n">
        <f aca="false">IF(BB164=1,IF(COUNTIFS($A$2:$A$201,$A164,$BB$2:$BB$201,1,$H$2:$H$201,"&lt;"&amp;H164)+COUNTIFS($A$2:$A$201,$A164,$BB$2:$BB$201,1,$H$2:$H$201,H164,$BA$2:$BA$201,"&lt;"&amp;BA164)=0,1,0),0)</f>
        <v>0</v>
      </c>
      <c r="EF164" s="23" t="n">
        <f aca="false">IF(BC164=1,IF(COUNTIFS($AZ$2:$AZ$201,AZ164,$EE$2:$EE$201,1)&gt;1,1,0),0)</f>
        <v>0</v>
      </c>
      <c r="EG164" s="23" t="n">
        <f aca="false">IF(AND(CQ164=1),IF(COUNTIFS($AZ$2:$AZ$201,AZ164,$CQ$2:$CQ$201,1,$H$2:$H$201,"&gt;"&amp;H164)+COUNTIFS($AZ$2:$AZ$201,AZ164,$CQ$2:$CQ$201,1,$H$2:$H$201,H164,$BA$2:$BA$201,"&gt;"&amp;BA164)=0,1,0),0)</f>
        <v>0</v>
      </c>
      <c r="EH164" s="23" t="str">
        <f aca="false">IF(BB164=1,IF(COUNTIFS($AZ$2:$AZ$201,AZ164,$EG$2:$EG$201,1)=0,"",SUMIFS($O$2:$O$201,$AZ$2:$AZ$201,AZ164,$EG$2:$EG$201,1)),"")</f>
        <v/>
      </c>
      <c r="EI164" s="23" t="n">
        <f aca="false">IF(AND(ISNUMBER(EH164),OR(N(EH164)&lt;Config!$B$31,N(EH164)&gt;Config!$B$33)),1,0)</f>
        <v>0</v>
      </c>
      <c r="EJ164" s="23" t="n">
        <f aca="false">IF(AND(ISNUMBER(EH164),N(EH164)&gt;=Config!$B$31,N(EH164)&lt;Config!$B$32),1,0)</f>
        <v>0</v>
      </c>
      <c r="EK164" s="23" t="n">
        <f aca="false">IF(AND(BF164=1,INT(N(H164))&lt;=Config!$B$6,DH164=1,EI164=1),1,0)</f>
        <v>0</v>
      </c>
      <c r="EL164" s="23" t="n">
        <f aca="false">IF(AND(BF164=1,INT(N(H164))&lt;=Config!$B$7,DI164=1,EI164=1),1,0)</f>
        <v>0</v>
      </c>
      <c r="EM164" s="23" t="n">
        <f aca="false">IF(AND(BF164=1,INT(N(H164))&lt;=Config!$B$8,DJ164=1,EI164=1),1,0)</f>
        <v>0</v>
      </c>
      <c r="EN164" s="23" t="n">
        <f aca="false">IF(AND(BF164=1,INT(N(H164))&lt;=Config!$B$5,DK164=1,EI164=1),1,0)</f>
        <v>0</v>
      </c>
      <c r="EO164" s="23" t="n">
        <f aca="false">IF(AND(DL164=1,EJ164=1),1,0)</f>
        <v>0</v>
      </c>
      <c r="EP164" s="23" t="n">
        <f aca="false">IF(AND(DM164=1,EJ164=1),1,0)</f>
        <v>0</v>
      </c>
      <c r="EQ164" s="23" t="n">
        <f aca="false">IF(AND(DN164=1,EJ164=1),1,0)</f>
        <v>0</v>
      </c>
      <c r="ER164" s="23" t="n">
        <f aca="false">IF(AND(DO164=1,EJ164=1),1,0)</f>
        <v>0</v>
      </c>
    </row>
    <row r="165" customFormat="false" ht="15" hidden="false" customHeight="false" outlineLevel="0" collapsed="false">
      <c r="G165" s="32"/>
      <c r="H165" s="33"/>
      <c r="I165" s="32"/>
      <c r="L165" s="32"/>
      <c r="Q165" s="32"/>
      <c r="U165" s="32"/>
      <c r="W165" s="32"/>
      <c r="AC165" s="32"/>
      <c r="AF165" s="32"/>
      <c r="AI165" s="32"/>
      <c r="AJ165" s="32"/>
      <c r="AN165" s="32"/>
      <c r="AR165" s="32"/>
      <c r="AT165" s="32"/>
      <c r="AU165" s="32"/>
      <c r="AW165" s="32"/>
      <c r="AY165" s="34" t="str">
        <f aca="false">IF(TRIM($A165)="","",IF(AND(LEFT($A165,6)="SAMPLE",Config!$B$19&lt;&gt;"Y"),"",IF(NOT(ISNUMBER(H165)),"call_date is blank or not a date",IF(Sync!$C$5="","Clay paste is empty or has no row_id column: paste the Clay export on Clay_Offices",IF(CW165="","row_id not found in the Clay paste: add the Clay row or fix the row_id",IF(AND(ISNUMBER(CY165),CY165&gt;=1,CY165&lt;=5),"Clay status is "&amp;CX165&amp;": set call_done or later",IF(AND(BD165=1,CZ165&lt;&gt;BZ165),"Clay yes_in_principle should be "&amp;BZ165,IF(AND(BD165=1,DA165&lt;&gt;H165),"Clay call_date should be "&amp;TEXT(H165,"yyyy-mm-dd"),""))))))))</f>
        <v/>
      </c>
      <c r="AZ165" s="23" t="str">
        <f aca="false">IF(TRIM($A165)="","",IF(TRIM(C165)&lt;&gt;"",SUBSTITUTE(SUBSTITUTE(SUBSTITUTE(SUBSTITUTE(SUBSTITUTE(SUBSTITUTE(LOWER(TRIM(C165)),"~",""),"*",""),"?",""),"&lt;",""),"&gt;",""),"=",""),IF(EA165&lt;&gt;"",EA165,IFERROR(INDEX($EA$2:$EA$201,MATCH(DZ165,$EB$2:$EB$201,0)),DZ165))))</f>
        <v/>
      </c>
      <c r="BA165" s="23" t="n">
        <f aca="false">ROW()</f>
        <v>165</v>
      </c>
      <c r="BB165" s="23" t="n">
        <f aca="false">IF(AND(TRIM($A165)&lt;&gt;"",ISNUMBER(H165)),IF(AND(LEFT($A165,6)="SAMPLE",Config!$B$19&lt;&gt;"Y"),0,1),0)</f>
        <v>0</v>
      </c>
      <c r="BC165" s="23" t="n">
        <f aca="false">IF(BB165=1,IF(COUNTIFS($AZ$2:$AZ$201,AZ165,$BB$2:$BB$201,1,$H$2:$H$201,"&lt;"&amp;H165)+COUNTIFS($AZ$2:$AZ$201,AZ165,$BB$2:$BB$201,1,$H$2:$H$201,H165,$BA$2:$BA$201,"&lt;"&amp;BA165)=0,1,0),0)</f>
        <v>0</v>
      </c>
      <c r="BD165" s="23" t="n">
        <f aca="false">IF(BB165=1,IF(COUNTIFS($A$2:$A$201,$A165,$BB$2:$BB$201,1,$H$2:$H$201,"&gt;"&amp;H165)+COUNTIFS($A$2:$A$201,$A165,$BB$2:$BB$201,1,$H$2:$H$201,H165,$BA$2:$BA$201,"&gt;"&amp;BA165)=0,1,0),0)</f>
        <v>0</v>
      </c>
      <c r="BE165" s="23" t="n">
        <f aca="false">IF(AND(BB165=1,AR165="Y",AC165="Y",TRIM(AH165)&lt;&gt;""),1,0)</f>
        <v>0</v>
      </c>
      <c r="BF165" s="23" t="n">
        <f aca="false">IF(BE165=1,IF(COUNTIFS($AZ$2:$AZ$201,AZ165,$BE$2:$BE$201,1,$H$2:$H$201,"&lt;"&amp;H165)+COUNTIFS($AZ$2:$AZ$201,AZ165,$BE$2:$BE$201,1,$H$2:$H$201,H165,$BA$2:$BA$201,"&lt;"&amp;BA165)=0,1,0),0)</f>
        <v>0</v>
      </c>
      <c r="BG165" s="23" t="n">
        <f aca="false">IF(AND(BB165=1,AR165="Y",BE165=0),1,0)</f>
        <v>0</v>
      </c>
      <c r="BH165" s="23" t="n">
        <f aca="false">IF(AND(BB165=1,ISNUMBER(Y165)),1,0)</f>
        <v>0</v>
      </c>
      <c r="BI165" s="23" t="n">
        <f aca="false">IF(BH165=1,IF(COUNTIFS($AZ$2:$AZ$201,AZ165,$BH$2:$BH$201,1,$H$2:$H$201,"&lt;"&amp;H165)+COUNTIFS($AZ$2:$AZ$201,AZ165,$BH$2:$BH$201,1,$H$2:$H$201,H165,$BA$2:$BA$201,"&lt;"&amp;BA165)=0,1,0),0)</f>
        <v>0</v>
      </c>
      <c r="BJ165" s="23" t="str">
        <f aca="false">IF(AND(BI165=1,INT(N(H165))&lt;=Config!$B$6),Y165,"")</f>
        <v/>
      </c>
      <c r="BK165" s="23" t="str">
        <f aca="false">IF(AND(BI165=1,INT(N(H165))&lt;=Config!$B$7),Y165,"")</f>
        <v/>
      </c>
      <c r="BL165" s="23" t="str">
        <f aca="false">IF(AND(BI165=1,INT(N(H165))&lt;=Config!$B$8),Y165,"")</f>
        <v/>
      </c>
      <c r="BM165" s="23" t="str">
        <f aca="false">IF(AND(BI165=1,INT(N(H165))&lt;=Config!$B$5),Y165,"")</f>
        <v/>
      </c>
      <c r="BN165" s="23" t="n">
        <f aca="false">IF(CD165=1,IF(COUNTIFS($AZ$2:$AZ$201,AZ165,$CD$2:$CD$201,1,$H$2:$H$201,"&lt;"&amp;H165)+COUNTIFS($AZ$2:$AZ$201,AZ165,$CD$2:$CD$201,1,$H$2:$H$201,H165,$BA$2:$BA$201,"&lt;"&amp;BA165)=0,1,0),0)</f>
        <v>0</v>
      </c>
      <c r="BO165" s="23" t="n">
        <f aca="false">IF(AND(BB165=1,ISNUMBER(M165)),1,0)</f>
        <v>0</v>
      </c>
      <c r="BP165" s="23" t="n">
        <f aca="false">IF(BO165=1,IF(COUNTIFS($AZ$2:$AZ$201,AZ165,$BO$2:$BO$201,1,$H$2:$H$201,"&lt;"&amp;H165)+COUNTIFS($AZ$2:$AZ$201,AZ165,$BO$2:$BO$201,1,$H$2:$H$201,H165,$BA$2:$BA$201,"&lt;"&amp;BA165)=0,1,0),0)</f>
        <v>0</v>
      </c>
      <c r="BQ165" s="23" t="str">
        <f aca="false">IF(AND(BP165=1,INT(N(H165))&lt;=Config!$B$5),M165,"")</f>
        <v/>
      </c>
      <c r="BR165" s="23" t="n">
        <f aca="false">IF(AND(BB165=1,OR(TRIM(X165)&lt;&gt;"",ISNUMBER(Y165))),1,0)</f>
        <v>0</v>
      </c>
      <c r="BS165" s="23" t="n">
        <f aca="false">IF(BR165=1,IF(COUNTIFS($AZ$2:$AZ$201,AZ165,$BR$2:$BR$201,1,$H$2:$H$201,"&lt;"&amp;H165)+COUNTIFS($AZ$2:$AZ$201,AZ165,$BR$2:$BR$201,1,$H$2:$H$201,H165,$BA$2:$BA$201,"&lt;"&amp;BA165)=0,1,0),0)</f>
        <v>0</v>
      </c>
      <c r="BT165" s="23" t="str">
        <f aca="false">IF(BS165=1,AZ165,"")</f>
        <v/>
      </c>
      <c r="BU165" s="23" t="n">
        <f aca="false">IF(AND(BB165=1,W165="Y",TRIM(X165)=""),1,0)</f>
        <v>0</v>
      </c>
      <c r="BV165" s="23" t="str">
        <f aca="false">IF(BB165=1,AN165&amp;"","")</f>
        <v/>
      </c>
      <c r="BW165" s="23" t="str">
        <f aca="false">IF(BB165=1,AO165&amp;"","")</f>
        <v/>
      </c>
      <c r="BX165" s="23" t="str">
        <f aca="false">IF(BB165=1,AP165&amp;"","")</f>
        <v/>
      </c>
      <c r="BY165" s="23" t="str">
        <f aca="false">IF(AND(BB165=1,ISNUMBER(AV165),INT(N(H165))&lt;=Config!$B$5),AV165,"")</f>
        <v/>
      </c>
      <c r="BZ165" s="23" t="str">
        <f aca="false">IF(BB165=1,IF(COUNTIFS($A$2:$A$201,$A165,$DC$2:$DC$201,1,$AR$2:$AR$201,"Y")&gt;0,"Y","N"),"")</f>
        <v/>
      </c>
      <c r="CA165" s="23" t="n">
        <f aca="false">IF(AND(BB165=1,AR165="maybe"),1,0)</f>
        <v>0</v>
      </c>
      <c r="CB165" s="23" t="n">
        <f aca="false">IF(CA165=1,IF(COUNTIFS($AZ$2:$AZ$201,AZ165,$CA$2:$CA$201,1,$H$2:$H$201,"&lt;"&amp;H165)+COUNTIFS($AZ$2:$AZ$201,AZ165,$CA$2:$CA$201,1,$H$2:$H$201,H165,$BA$2:$BA$201,"&lt;"&amp;BA165)=0,1,0),0)</f>
        <v>0</v>
      </c>
      <c r="CC165" s="23" t="n">
        <f aca="false">IF(AND(BB165=1,AR165="Y"),IF(COUNTIFS($AZ$2:$AZ$201,AZ165,$AR$2:$AR$201,"Y",$BB$2:$BB$201,1,$H$2:$H$201,"&lt;"&amp;H165)+COUNTIFS($AZ$2:$AZ$201,AZ165,$AR$2:$AR$201,"Y",$BB$2:$BB$201,1,$H$2:$H$201,H165,$BA$2:$BA$201,"&lt;"&amp;BA165)=0,1,0),0)</f>
        <v>0</v>
      </c>
      <c r="CD165" s="23" t="n">
        <f aca="false">IF(AND(BH165=1,N(Y165)&gt;=Config!$B$15),1,0)</f>
        <v>0</v>
      </c>
      <c r="CE165" s="23" t="n">
        <f aca="false">IF(AND(BB165=1,AT165="Y"),1,0)</f>
        <v>0</v>
      </c>
      <c r="CF165" s="23" t="n">
        <f aca="false">IF(CE165=1,IF(COUNTIFS($AZ$2:$AZ$201,AZ165,$CE$2:$CE$201,1,$H$2:$H$201,"&lt;"&amp;H165)+COUNTIFS($AZ$2:$AZ$201,AZ165,$CE$2:$CE$201,1,$H$2:$H$201,H165,$BA$2:$BA$201,"&lt;"&amp;BA165)=0,1,0),0)</f>
        <v>0</v>
      </c>
      <c r="CG165" s="23" t="n">
        <f aca="false">IF(AND(BB165=1,G165="warm-intro"),1,0)</f>
        <v>0</v>
      </c>
      <c r="CH165" s="23" t="n">
        <f aca="false">IF(CG165=1,IF(COUNTIFS($AZ$2:$AZ$201,AZ165,$CG$2:$CG$201,1,$H$2:$H$201,"&lt;"&amp;H165)+COUNTIFS($AZ$2:$AZ$201,AZ165,$CG$2:$CG$201,1,$H$2:$H$201,H165,$BA$2:$BA$201,"&lt;"&amp;BA165)=0,1,0),0)</f>
        <v>0</v>
      </c>
      <c r="CI165" s="23" t="n">
        <f aca="false">IF(AND(BB165=1,Q165="Y"),1,0)</f>
        <v>0</v>
      </c>
      <c r="CJ165" s="23" t="n">
        <f aca="false">IF(CI165=1,IF(COUNTIFS($AZ$2:$AZ$201,AZ165,$CI$2:$CI$201,1,$H$2:$H$201,"&lt;"&amp;H165)+COUNTIFS($AZ$2:$AZ$201,AZ165,$CI$2:$CI$201,1,$H$2:$H$201,H165,$BA$2:$BA$201,"&lt;"&amp;BA165)=0,1,0),0)</f>
        <v>0</v>
      </c>
      <c r="CK165" s="23" t="n">
        <f aca="false">IF(AND(BB165=1,AF165="Y"),1,0)</f>
        <v>0</v>
      </c>
      <c r="CL165" s="23" t="n">
        <f aca="false">IF(CK165=1,IF(COUNTIFS($AZ$2:$AZ$201,AZ165,$CK$2:$CK$201,1,$H$2:$H$201,"&lt;"&amp;H165)+COUNTIFS($AZ$2:$AZ$201,AZ165,$CK$2:$CK$201,1,$H$2:$H$201,H165,$BA$2:$BA$201,"&lt;"&amp;BA165)=0,1,0),0)</f>
        <v>0</v>
      </c>
      <c r="CM165" s="23" t="n">
        <f aca="false">IF(AND(BB165=1,U165="Y"),1,0)</f>
        <v>0</v>
      </c>
      <c r="CN165" s="23" t="n">
        <f aca="false">IF(CM165=1,IF(COUNTIFS($AZ$2:$AZ$201,AZ165,$CM$2:$CM$201,1,$H$2:$H$201,"&lt;"&amp;H165)+COUNTIFS($AZ$2:$AZ$201,AZ165,$CM$2:$CM$201,1,$H$2:$H$201,H165,$BA$2:$BA$201,"&lt;"&amp;BA165)=0,1,0),0)</f>
        <v>0</v>
      </c>
      <c r="CO165" s="23" t="n">
        <f aca="false">IF(AND(BB165=1,L165="Y"),1,0)</f>
        <v>0</v>
      </c>
      <c r="CP165" s="23" t="n">
        <f aca="false">IF(CO165=1,IF(COUNTIFS($AZ$2:$AZ$201,AZ165,$CO$2:$CO$201,1,$H$2:$H$201,"&lt;"&amp;H165)+COUNTIFS($AZ$2:$AZ$201,AZ165,$CO$2:$CO$201,1,$H$2:$H$201,H165,$BA$2:$BA$201,"&lt;"&amp;BA165)=0,1,0),0)</f>
        <v>0</v>
      </c>
      <c r="CQ165" s="23" t="n">
        <f aca="false">IF(AND(BB165=1,ISNUMBER(O165)),1,0)</f>
        <v>0</v>
      </c>
      <c r="CR165" s="23" t="n">
        <f aca="false">IF(CQ165=1,IF(COUNTIFS($AZ$2:$AZ$201,AZ165,$CQ$2:$CQ$201,1,$H$2:$H$201,"&lt;"&amp;H165)+COUNTIFS($AZ$2:$AZ$201,AZ165,$CQ$2:$CQ$201,1,$H$2:$H$201,H165,$BA$2:$BA$201,"&lt;"&amp;BA165)=0,1,0),0)</f>
        <v>0</v>
      </c>
      <c r="CS165" s="23" t="str">
        <f aca="false">IF(AND(CR165=1,INT(N(H165))&lt;=Config!$B$5),O165,"")</f>
        <v/>
      </c>
      <c r="CT165" s="23" t="str">
        <f aca="false">IF(AND(BB165=1,INT(N(H165))&lt;=Config!$B$5),AG165&amp;"","")</f>
        <v/>
      </c>
      <c r="CU165" s="23" t="n">
        <f aca="false">IF(AND(BB165=1,AU165="Y"),1,0)</f>
        <v>0</v>
      </c>
      <c r="CV165" s="23" t="n">
        <f aca="false">IF(CU165=1,IF(COUNTIFS($AZ$2:$AZ$201,AZ165,$CU$2:$CU$201,1,$H$2:$H$201,"&lt;"&amp;H165)+COUNTIFS($AZ$2:$AZ$201,AZ165,$CU$2:$CU$201,1,$H$2:$H$201,H165,$BA$2:$BA$201,"&lt;"&amp;BA165)=0,1,0),0)</f>
        <v>0</v>
      </c>
      <c r="CW165" s="23" t="str">
        <f aca="false">IF(BB165=1,IFERROR(MATCH($A165,INDEX(Clay_Offices!$A$2:$FZ$601,0,Sync!$C$5),0),""),"")</f>
        <v/>
      </c>
      <c r="CX165" s="23" t="str">
        <f aca="false">IF(CW165="","",IFERROR(INDEX(Clay_Offices!$A$2:$FZ$601,CW165,Sync!$C$7)&amp;"",""))</f>
        <v/>
      </c>
      <c r="CY165" s="23" t="str">
        <f aca="false">IF(CX165="","",IFERROR(INDEX(Lists!$K$2:$K$15,MATCH(CX165,Lists!$J$2:$J$15,0)),""))</f>
        <v/>
      </c>
      <c r="CZ165" s="23" t="str">
        <f aca="false">IF(CW165="","",IFERROR(INDEX(Clay_Offices!$A$2:$FZ$601,CW165,Sync!$C$17)&amp;"",""))</f>
        <v/>
      </c>
      <c r="DA165" s="35" t="str">
        <f aca="false">IF(CW165="","",IFERROR(N(INDEX(Clay_Offices!$A$2:$FZ$601,CW165,Sync!$C$16)),0))</f>
        <v/>
      </c>
      <c r="DB165" s="23" t="n">
        <f aca="false">IF(AND(BB165=1,OR(AR165="Y",AR165="N",AR165="maybe")),1,0)</f>
        <v>0</v>
      </c>
      <c r="DC165" s="23" t="n">
        <f aca="false">IF(AND(DB165=1),IF(COUNTIFS($A$2:$A$201,$A165,$DB$2:$DB$201,1,$H$2:$H$201,"&gt;"&amp;H165)+COUNTIFS($A$2:$A$201,$A165,$DB$2:$DB$201,1,$H$2:$H$201,H165,$BA$2:$BA$201,"&gt;"&amp;BA165)=0,1,0),0)</f>
        <v>0</v>
      </c>
      <c r="DD165" s="23" t="n">
        <f aca="false">IF(AND(DB165=1,INT(N(H165))&lt;=Config!$B$6),IF(COUNTIFS($AZ$2:$AZ$201,AZ165,$DB$2:$DB$201,1,$H$2:$H$201,"&gt;"&amp;H165,$H$2:$H$201,"&lt;"&amp;(Config!$B$6+1))+COUNTIFS($AZ$2:$AZ$201,AZ165,$DB$2:$DB$201,1,$H$2:$H$201,H165,$BA$2:$BA$201,"&gt;"&amp;BA165)=0,1,0),0)</f>
        <v>0</v>
      </c>
      <c r="DE165" s="23" t="n">
        <f aca="false">IF(AND(DB165=1,INT(N(H165))&lt;=Config!$B$7),IF(COUNTIFS($AZ$2:$AZ$201,AZ165,$DB$2:$DB$201,1,$H$2:$H$201,"&gt;"&amp;H165,$H$2:$H$201,"&lt;"&amp;(Config!$B$7+1))+COUNTIFS($AZ$2:$AZ$201,AZ165,$DB$2:$DB$201,1,$H$2:$H$201,H165,$BA$2:$BA$201,"&gt;"&amp;BA165)=0,1,0),0)</f>
        <v>0</v>
      </c>
      <c r="DF165" s="23" t="n">
        <f aca="false">IF(AND(DB165=1,INT(N(H165))&lt;=Config!$B$8),IF(COUNTIFS($AZ$2:$AZ$201,AZ165,$DB$2:$DB$201,1,$H$2:$H$201,"&gt;"&amp;H165,$H$2:$H$201,"&lt;"&amp;(Config!$B$8+1))+COUNTIFS($AZ$2:$AZ$201,AZ165,$DB$2:$DB$201,1,$H$2:$H$201,H165,$BA$2:$BA$201,"&gt;"&amp;BA165)=0,1,0),0)</f>
        <v>0</v>
      </c>
      <c r="DG165" s="23" t="n">
        <f aca="false">IF(AND(DB165=1,INT(N(H165))&lt;=Config!$B$5),IF(COUNTIFS($AZ$2:$AZ$201,AZ165,$DB$2:$DB$201,1,$H$2:$H$201,"&gt;"&amp;H165,$H$2:$H$201,"&lt;"&amp;(Config!$B$5+1))+COUNTIFS($AZ$2:$AZ$201,AZ165,$DB$2:$DB$201,1,$H$2:$H$201,H165,$BA$2:$BA$201,"&gt;"&amp;BA165)=0,1,0),0)</f>
        <v>0</v>
      </c>
      <c r="DH165" s="23" t="n">
        <f aca="false">IF(BB165=1,IF(COUNTIFS($AZ$2:$AZ$201,AZ165,$DD$2:$DD$201,1,$AR$2:$AR$201,"Y")&gt;0,1,0),0)</f>
        <v>0</v>
      </c>
      <c r="DI165" s="23" t="n">
        <f aca="false">IF(BB165=1,IF(COUNTIFS($AZ$2:$AZ$201,AZ165,$DE$2:$DE$201,1,$AR$2:$AR$201,"Y")&gt;0,1,0),0)</f>
        <v>0</v>
      </c>
      <c r="DJ165" s="23" t="n">
        <f aca="false">IF(BB165=1,IF(COUNTIFS($AZ$2:$AZ$201,AZ165,$DF$2:$DF$201,1,$AR$2:$AR$201,"Y")&gt;0,1,0),0)</f>
        <v>0</v>
      </c>
      <c r="DK165" s="23" t="n">
        <f aca="false">IF(BB165=1,IF(COUNTIFS($AZ$2:$AZ$201,AZ165,$DG$2:$DG$201,1,$AR$2:$AR$201,"Y")&gt;0,1,0),0)</f>
        <v>0</v>
      </c>
      <c r="DL165" s="23" t="n">
        <f aca="false">IF(AND(BF165=1,INT(N(H165))&lt;=Config!$B$6,DH165=1,EI165=0),1,0)</f>
        <v>0</v>
      </c>
      <c r="DM165" s="23" t="n">
        <f aca="false">IF(AND(BF165=1,INT(N(H165))&lt;=Config!$B$7,DI165=1,EI165=0),1,0)</f>
        <v>0</v>
      </c>
      <c r="DN165" s="23" t="n">
        <f aca="false">IF(AND(BF165=1,INT(N(H165))&lt;=Config!$B$8,DJ165=1,EI165=0),1,0)</f>
        <v>0</v>
      </c>
      <c r="DO165" s="23" t="n">
        <f aca="false">IF(AND(BF165=1,INT(N(H165))&lt;=Config!$B$5,DK165=1,EI165=0),1,0)</f>
        <v>0</v>
      </c>
      <c r="DP165" s="23" t="n">
        <f aca="false">IF(AND(CC165=1,INT(N(H165))&lt;=Config!$B$6,DH165=1,EI165=0),1,0)</f>
        <v>0</v>
      </c>
      <c r="DQ165" s="23" t="n">
        <f aca="false">IF(AND(CC165=1,INT(N(H165))&lt;=Config!$B$7,DI165=1,EI165=0),1,0)</f>
        <v>0</v>
      </c>
      <c r="DR165" s="23" t="n">
        <f aca="false">IF(AND(CC165=1,INT(N(H165))&lt;=Config!$B$8,DJ165=1,EI165=0),1,0)</f>
        <v>0</v>
      </c>
      <c r="DS165" s="23" t="n">
        <f aca="false">IF(AND(CC165=1,INT(N(H165))&lt;=Config!$B$5,DK165=1,EI165=0),1,0)</f>
        <v>0</v>
      </c>
      <c r="DT165" s="23" t="n">
        <f aca="false">IF(AND(CC165=1,INT(N(H165))&lt;=Config!$B$6,DH165=0),1,0)</f>
        <v>0</v>
      </c>
      <c r="DU165" s="23" t="n">
        <f aca="false">IF(AND(CC165=1,INT(N(H165))&lt;=Config!$B$7,DI165=0),1,0)</f>
        <v>0</v>
      </c>
      <c r="DV165" s="23" t="n">
        <f aca="false">IF(AND(CC165=1,INT(N(H165))&lt;=Config!$B$8,DJ165=0),1,0)</f>
        <v>0</v>
      </c>
      <c r="DW165" s="23" t="n">
        <f aca="false">IF(AND(CC165=1,INT(N(H165))&lt;=Config!$B$5,DK165=0),1,0)</f>
        <v>0</v>
      </c>
      <c r="DX165" s="23" t="n">
        <f aca="false">IF(TRIM($A165)="",0,ISTEXT(M165)+ISTEXT(O165)+ISTEXT(Y165)+ISTEXT(Z165)+ISTEXT(AA165)+ISTEXT(AV165))</f>
        <v>0</v>
      </c>
      <c r="DY165" s="23" t="n">
        <f aca="false">IF(BB165=1,IF(H165&lt;&gt;INT(H165),1,0),0)</f>
        <v>0</v>
      </c>
      <c r="DZ165" s="23" t="str">
        <f aca="false">IF(TRIM($A165)="","",IF(TRIM(B165)="",SUBSTITUTE(SUBSTITUTE(SUBSTITUTE(SUBSTITUTE(SUBSTITUTE(SUBSTITUTE(LOWER(TRIM($A165)),"~",""),"*",""),"?",""),"&lt;",""),"&gt;",""),"=",""),SUBSTITUTE(SUBSTITUTE(SUBSTITUTE(SUBSTITUTE(SUBSTITUTE(SUBSTITUTE(LOWER(TRIM(B165)),"~",""),"*",""),"?",""),"&lt;",""),"&gt;",""),"=","")))</f>
        <v/>
      </c>
      <c r="EA165" s="23" t="str">
        <f aca="false">IF(CW165="","",IFERROR(IF(LEFT(LOWER(TRIM(INDEX(Clay_Offices!$A$2:$FZ$601,CW165,Sync!$C$19)&amp;"")),4)="grp-",SUBSTITUTE(SUBSTITUTE(SUBSTITUTE(SUBSTITUTE(SUBSTITUTE(SUBSTITUTE(LOWER(TRIM(INDEX(Clay_Offices!$A$2:$FZ$601,CW165,Sync!$C$19)&amp;"")),"~",""),"*",""),"?",""),"&lt;",""),"&gt;",""),"=",""),""),""))</f>
        <v/>
      </c>
      <c r="EB165" s="23" t="str">
        <f aca="false">IF(EA165&lt;&gt;"",DZ165,"")</f>
        <v/>
      </c>
      <c r="EC165" s="23" t="str">
        <f aca="false">IF(BC165=1,AZ165,"")</f>
        <v/>
      </c>
      <c r="ED165" s="23" t="str">
        <f aca="false">IF(TRIM($A165)="","",IFERROR(INDEX($A$2:$A$201,MATCH(AZ165,$EC$2:$EC$201,0))&amp;"",$A165&amp;""))</f>
        <v/>
      </c>
      <c r="EE165" s="23" t="n">
        <f aca="false">IF(BB165=1,IF(COUNTIFS($A$2:$A$201,$A165,$BB$2:$BB$201,1,$H$2:$H$201,"&lt;"&amp;H165)+COUNTIFS($A$2:$A$201,$A165,$BB$2:$BB$201,1,$H$2:$H$201,H165,$BA$2:$BA$201,"&lt;"&amp;BA165)=0,1,0),0)</f>
        <v>0</v>
      </c>
      <c r="EF165" s="23" t="n">
        <f aca="false">IF(BC165=1,IF(COUNTIFS($AZ$2:$AZ$201,AZ165,$EE$2:$EE$201,1)&gt;1,1,0),0)</f>
        <v>0</v>
      </c>
      <c r="EG165" s="23" t="n">
        <f aca="false">IF(AND(CQ165=1),IF(COUNTIFS($AZ$2:$AZ$201,AZ165,$CQ$2:$CQ$201,1,$H$2:$H$201,"&gt;"&amp;H165)+COUNTIFS($AZ$2:$AZ$201,AZ165,$CQ$2:$CQ$201,1,$H$2:$H$201,H165,$BA$2:$BA$201,"&gt;"&amp;BA165)=0,1,0),0)</f>
        <v>0</v>
      </c>
      <c r="EH165" s="23" t="str">
        <f aca="false">IF(BB165=1,IF(COUNTIFS($AZ$2:$AZ$201,AZ165,$EG$2:$EG$201,1)=0,"",SUMIFS($O$2:$O$201,$AZ$2:$AZ$201,AZ165,$EG$2:$EG$201,1)),"")</f>
        <v/>
      </c>
      <c r="EI165" s="23" t="n">
        <f aca="false">IF(AND(ISNUMBER(EH165),OR(N(EH165)&lt;Config!$B$31,N(EH165)&gt;Config!$B$33)),1,0)</f>
        <v>0</v>
      </c>
      <c r="EJ165" s="23" t="n">
        <f aca="false">IF(AND(ISNUMBER(EH165),N(EH165)&gt;=Config!$B$31,N(EH165)&lt;Config!$B$32),1,0)</f>
        <v>0</v>
      </c>
      <c r="EK165" s="23" t="n">
        <f aca="false">IF(AND(BF165=1,INT(N(H165))&lt;=Config!$B$6,DH165=1,EI165=1),1,0)</f>
        <v>0</v>
      </c>
      <c r="EL165" s="23" t="n">
        <f aca="false">IF(AND(BF165=1,INT(N(H165))&lt;=Config!$B$7,DI165=1,EI165=1),1,0)</f>
        <v>0</v>
      </c>
      <c r="EM165" s="23" t="n">
        <f aca="false">IF(AND(BF165=1,INT(N(H165))&lt;=Config!$B$8,DJ165=1,EI165=1),1,0)</f>
        <v>0</v>
      </c>
      <c r="EN165" s="23" t="n">
        <f aca="false">IF(AND(BF165=1,INT(N(H165))&lt;=Config!$B$5,DK165=1,EI165=1),1,0)</f>
        <v>0</v>
      </c>
      <c r="EO165" s="23" t="n">
        <f aca="false">IF(AND(DL165=1,EJ165=1),1,0)</f>
        <v>0</v>
      </c>
      <c r="EP165" s="23" t="n">
        <f aca="false">IF(AND(DM165=1,EJ165=1),1,0)</f>
        <v>0</v>
      </c>
      <c r="EQ165" s="23" t="n">
        <f aca="false">IF(AND(DN165=1,EJ165=1),1,0)</f>
        <v>0</v>
      </c>
      <c r="ER165" s="23" t="n">
        <f aca="false">IF(AND(DO165=1,EJ165=1),1,0)</f>
        <v>0</v>
      </c>
    </row>
    <row r="166" customFormat="false" ht="15" hidden="false" customHeight="false" outlineLevel="0" collapsed="false">
      <c r="G166" s="32"/>
      <c r="H166" s="33"/>
      <c r="I166" s="32"/>
      <c r="L166" s="32"/>
      <c r="Q166" s="32"/>
      <c r="U166" s="32"/>
      <c r="W166" s="32"/>
      <c r="AC166" s="32"/>
      <c r="AF166" s="32"/>
      <c r="AI166" s="32"/>
      <c r="AJ166" s="32"/>
      <c r="AN166" s="32"/>
      <c r="AR166" s="32"/>
      <c r="AT166" s="32"/>
      <c r="AU166" s="32"/>
      <c r="AW166" s="32"/>
      <c r="AY166" s="34" t="str">
        <f aca="false">IF(TRIM($A166)="","",IF(AND(LEFT($A166,6)="SAMPLE",Config!$B$19&lt;&gt;"Y"),"",IF(NOT(ISNUMBER(H166)),"call_date is blank or not a date",IF(Sync!$C$5="","Clay paste is empty or has no row_id column: paste the Clay export on Clay_Offices",IF(CW166="","row_id not found in the Clay paste: add the Clay row or fix the row_id",IF(AND(ISNUMBER(CY166),CY166&gt;=1,CY166&lt;=5),"Clay status is "&amp;CX166&amp;": set call_done or later",IF(AND(BD166=1,CZ166&lt;&gt;BZ166),"Clay yes_in_principle should be "&amp;BZ166,IF(AND(BD166=1,DA166&lt;&gt;H166),"Clay call_date should be "&amp;TEXT(H166,"yyyy-mm-dd"),""))))))))</f>
        <v/>
      </c>
      <c r="AZ166" s="23" t="str">
        <f aca="false">IF(TRIM($A166)="","",IF(TRIM(C166)&lt;&gt;"",SUBSTITUTE(SUBSTITUTE(SUBSTITUTE(SUBSTITUTE(SUBSTITUTE(SUBSTITUTE(LOWER(TRIM(C166)),"~",""),"*",""),"?",""),"&lt;",""),"&gt;",""),"=",""),IF(EA166&lt;&gt;"",EA166,IFERROR(INDEX($EA$2:$EA$201,MATCH(DZ166,$EB$2:$EB$201,0)),DZ166))))</f>
        <v/>
      </c>
      <c r="BA166" s="23" t="n">
        <f aca="false">ROW()</f>
        <v>166</v>
      </c>
      <c r="BB166" s="23" t="n">
        <f aca="false">IF(AND(TRIM($A166)&lt;&gt;"",ISNUMBER(H166)),IF(AND(LEFT($A166,6)="SAMPLE",Config!$B$19&lt;&gt;"Y"),0,1),0)</f>
        <v>0</v>
      </c>
      <c r="BC166" s="23" t="n">
        <f aca="false">IF(BB166=1,IF(COUNTIFS($AZ$2:$AZ$201,AZ166,$BB$2:$BB$201,1,$H$2:$H$201,"&lt;"&amp;H166)+COUNTIFS($AZ$2:$AZ$201,AZ166,$BB$2:$BB$201,1,$H$2:$H$201,H166,$BA$2:$BA$201,"&lt;"&amp;BA166)=0,1,0),0)</f>
        <v>0</v>
      </c>
      <c r="BD166" s="23" t="n">
        <f aca="false">IF(BB166=1,IF(COUNTIFS($A$2:$A$201,$A166,$BB$2:$BB$201,1,$H$2:$H$201,"&gt;"&amp;H166)+COUNTIFS($A$2:$A$201,$A166,$BB$2:$BB$201,1,$H$2:$H$201,H166,$BA$2:$BA$201,"&gt;"&amp;BA166)=0,1,0),0)</f>
        <v>0</v>
      </c>
      <c r="BE166" s="23" t="n">
        <f aca="false">IF(AND(BB166=1,AR166="Y",AC166="Y",TRIM(AH166)&lt;&gt;""),1,0)</f>
        <v>0</v>
      </c>
      <c r="BF166" s="23" t="n">
        <f aca="false">IF(BE166=1,IF(COUNTIFS($AZ$2:$AZ$201,AZ166,$BE$2:$BE$201,1,$H$2:$H$201,"&lt;"&amp;H166)+COUNTIFS($AZ$2:$AZ$201,AZ166,$BE$2:$BE$201,1,$H$2:$H$201,H166,$BA$2:$BA$201,"&lt;"&amp;BA166)=0,1,0),0)</f>
        <v>0</v>
      </c>
      <c r="BG166" s="23" t="n">
        <f aca="false">IF(AND(BB166=1,AR166="Y",BE166=0),1,0)</f>
        <v>0</v>
      </c>
      <c r="BH166" s="23" t="n">
        <f aca="false">IF(AND(BB166=1,ISNUMBER(Y166)),1,0)</f>
        <v>0</v>
      </c>
      <c r="BI166" s="23" t="n">
        <f aca="false">IF(BH166=1,IF(COUNTIFS($AZ$2:$AZ$201,AZ166,$BH$2:$BH$201,1,$H$2:$H$201,"&lt;"&amp;H166)+COUNTIFS($AZ$2:$AZ$201,AZ166,$BH$2:$BH$201,1,$H$2:$H$201,H166,$BA$2:$BA$201,"&lt;"&amp;BA166)=0,1,0),0)</f>
        <v>0</v>
      </c>
      <c r="BJ166" s="23" t="str">
        <f aca="false">IF(AND(BI166=1,INT(N(H166))&lt;=Config!$B$6),Y166,"")</f>
        <v/>
      </c>
      <c r="BK166" s="23" t="str">
        <f aca="false">IF(AND(BI166=1,INT(N(H166))&lt;=Config!$B$7),Y166,"")</f>
        <v/>
      </c>
      <c r="BL166" s="23" t="str">
        <f aca="false">IF(AND(BI166=1,INT(N(H166))&lt;=Config!$B$8),Y166,"")</f>
        <v/>
      </c>
      <c r="BM166" s="23" t="str">
        <f aca="false">IF(AND(BI166=1,INT(N(H166))&lt;=Config!$B$5),Y166,"")</f>
        <v/>
      </c>
      <c r="BN166" s="23" t="n">
        <f aca="false">IF(CD166=1,IF(COUNTIFS($AZ$2:$AZ$201,AZ166,$CD$2:$CD$201,1,$H$2:$H$201,"&lt;"&amp;H166)+COUNTIFS($AZ$2:$AZ$201,AZ166,$CD$2:$CD$201,1,$H$2:$H$201,H166,$BA$2:$BA$201,"&lt;"&amp;BA166)=0,1,0),0)</f>
        <v>0</v>
      </c>
      <c r="BO166" s="23" t="n">
        <f aca="false">IF(AND(BB166=1,ISNUMBER(M166)),1,0)</f>
        <v>0</v>
      </c>
      <c r="BP166" s="23" t="n">
        <f aca="false">IF(BO166=1,IF(COUNTIFS($AZ$2:$AZ$201,AZ166,$BO$2:$BO$201,1,$H$2:$H$201,"&lt;"&amp;H166)+COUNTIFS($AZ$2:$AZ$201,AZ166,$BO$2:$BO$201,1,$H$2:$H$201,H166,$BA$2:$BA$201,"&lt;"&amp;BA166)=0,1,0),0)</f>
        <v>0</v>
      </c>
      <c r="BQ166" s="23" t="str">
        <f aca="false">IF(AND(BP166=1,INT(N(H166))&lt;=Config!$B$5),M166,"")</f>
        <v/>
      </c>
      <c r="BR166" s="23" t="n">
        <f aca="false">IF(AND(BB166=1,OR(TRIM(X166)&lt;&gt;"",ISNUMBER(Y166))),1,0)</f>
        <v>0</v>
      </c>
      <c r="BS166" s="23" t="n">
        <f aca="false">IF(BR166=1,IF(COUNTIFS($AZ$2:$AZ$201,AZ166,$BR$2:$BR$201,1,$H$2:$H$201,"&lt;"&amp;H166)+COUNTIFS($AZ$2:$AZ$201,AZ166,$BR$2:$BR$201,1,$H$2:$H$201,H166,$BA$2:$BA$201,"&lt;"&amp;BA166)=0,1,0),0)</f>
        <v>0</v>
      </c>
      <c r="BT166" s="23" t="str">
        <f aca="false">IF(BS166=1,AZ166,"")</f>
        <v/>
      </c>
      <c r="BU166" s="23" t="n">
        <f aca="false">IF(AND(BB166=1,W166="Y",TRIM(X166)=""),1,0)</f>
        <v>0</v>
      </c>
      <c r="BV166" s="23" t="str">
        <f aca="false">IF(BB166=1,AN166&amp;"","")</f>
        <v/>
      </c>
      <c r="BW166" s="23" t="str">
        <f aca="false">IF(BB166=1,AO166&amp;"","")</f>
        <v/>
      </c>
      <c r="BX166" s="23" t="str">
        <f aca="false">IF(BB166=1,AP166&amp;"","")</f>
        <v/>
      </c>
      <c r="BY166" s="23" t="str">
        <f aca="false">IF(AND(BB166=1,ISNUMBER(AV166),INT(N(H166))&lt;=Config!$B$5),AV166,"")</f>
        <v/>
      </c>
      <c r="BZ166" s="23" t="str">
        <f aca="false">IF(BB166=1,IF(COUNTIFS($A$2:$A$201,$A166,$DC$2:$DC$201,1,$AR$2:$AR$201,"Y")&gt;0,"Y","N"),"")</f>
        <v/>
      </c>
      <c r="CA166" s="23" t="n">
        <f aca="false">IF(AND(BB166=1,AR166="maybe"),1,0)</f>
        <v>0</v>
      </c>
      <c r="CB166" s="23" t="n">
        <f aca="false">IF(CA166=1,IF(COUNTIFS($AZ$2:$AZ$201,AZ166,$CA$2:$CA$201,1,$H$2:$H$201,"&lt;"&amp;H166)+COUNTIFS($AZ$2:$AZ$201,AZ166,$CA$2:$CA$201,1,$H$2:$H$201,H166,$BA$2:$BA$201,"&lt;"&amp;BA166)=0,1,0),0)</f>
        <v>0</v>
      </c>
      <c r="CC166" s="23" t="n">
        <f aca="false">IF(AND(BB166=1,AR166="Y"),IF(COUNTIFS($AZ$2:$AZ$201,AZ166,$AR$2:$AR$201,"Y",$BB$2:$BB$201,1,$H$2:$H$201,"&lt;"&amp;H166)+COUNTIFS($AZ$2:$AZ$201,AZ166,$AR$2:$AR$201,"Y",$BB$2:$BB$201,1,$H$2:$H$201,H166,$BA$2:$BA$201,"&lt;"&amp;BA166)=0,1,0),0)</f>
        <v>0</v>
      </c>
      <c r="CD166" s="23" t="n">
        <f aca="false">IF(AND(BH166=1,N(Y166)&gt;=Config!$B$15),1,0)</f>
        <v>0</v>
      </c>
      <c r="CE166" s="23" t="n">
        <f aca="false">IF(AND(BB166=1,AT166="Y"),1,0)</f>
        <v>0</v>
      </c>
      <c r="CF166" s="23" t="n">
        <f aca="false">IF(CE166=1,IF(COUNTIFS($AZ$2:$AZ$201,AZ166,$CE$2:$CE$201,1,$H$2:$H$201,"&lt;"&amp;H166)+COUNTIFS($AZ$2:$AZ$201,AZ166,$CE$2:$CE$201,1,$H$2:$H$201,H166,$BA$2:$BA$201,"&lt;"&amp;BA166)=0,1,0),0)</f>
        <v>0</v>
      </c>
      <c r="CG166" s="23" t="n">
        <f aca="false">IF(AND(BB166=1,G166="warm-intro"),1,0)</f>
        <v>0</v>
      </c>
      <c r="CH166" s="23" t="n">
        <f aca="false">IF(CG166=1,IF(COUNTIFS($AZ$2:$AZ$201,AZ166,$CG$2:$CG$201,1,$H$2:$H$201,"&lt;"&amp;H166)+COUNTIFS($AZ$2:$AZ$201,AZ166,$CG$2:$CG$201,1,$H$2:$H$201,H166,$BA$2:$BA$201,"&lt;"&amp;BA166)=0,1,0),0)</f>
        <v>0</v>
      </c>
      <c r="CI166" s="23" t="n">
        <f aca="false">IF(AND(BB166=1,Q166="Y"),1,0)</f>
        <v>0</v>
      </c>
      <c r="CJ166" s="23" t="n">
        <f aca="false">IF(CI166=1,IF(COUNTIFS($AZ$2:$AZ$201,AZ166,$CI$2:$CI$201,1,$H$2:$H$201,"&lt;"&amp;H166)+COUNTIFS($AZ$2:$AZ$201,AZ166,$CI$2:$CI$201,1,$H$2:$H$201,H166,$BA$2:$BA$201,"&lt;"&amp;BA166)=0,1,0),0)</f>
        <v>0</v>
      </c>
      <c r="CK166" s="23" t="n">
        <f aca="false">IF(AND(BB166=1,AF166="Y"),1,0)</f>
        <v>0</v>
      </c>
      <c r="CL166" s="23" t="n">
        <f aca="false">IF(CK166=1,IF(COUNTIFS($AZ$2:$AZ$201,AZ166,$CK$2:$CK$201,1,$H$2:$H$201,"&lt;"&amp;H166)+COUNTIFS($AZ$2:$AZ$201,AZ166,$CK$2:$CK$201,1,$H$2:$H$201,H166,$BA$2:$BA$201,"&lt;"&amp;BA166)=0,1,0),0)</f>
        <v>0</v>
      </c>
      <c r="CM166" s="23" t="n">
        <f aca="false">IF(AND(BB166=1,U166="Y"),1,0)</f>
        <v>0</v>
      </c>
      <c r="CN166" s="23" t="n">
        <f aca="false">IF(CM166=1,IF(COUNTIFS($AZ$2:$AZ$201,AZ166,$CM$2:$CM$201,1,$H$2:$H$201,"&lt;"&amp;H166)+COUNTIFS($AZ$2:$AZ$201,AZ166,$CM$2:$CM$201,1,$H$2:$H$201,H166,$BA$2:$BA$201,"&lt;"&amp;BA166)=0,1,0),0)</f>
        <v>0</v>
      </c>
      <c r="CO166" s="23" t="n">
        <f aca="false">IF(AND(BB166=1,L166="Y"),1,0)</f>
        <v>0</v>
      </c>
      <c r="CP166" s="23" t="n">
        <f aca="false">IF(CO166=1,IF(COUNTIFS($AZ$2:$AZ$201,AZ166,$CO$2:$CO$201,1,$H$2:$H$201,"&lt;"&amp;H166)+COUNTIFS($AZ$2:$AZ$201,AZ166,$CO$2:$CO$201,1,$H$2:$H$201,H166,$BA$2:$BA$201,"&lt;"&amp;BA166)=0,1,0),0)</f>
        <v>0</v>
      </c>
      <c r="CQ166" s="23" t="n">
        <f aca="false">IF(AND(BB166=1,ISNUMBER(O166)),1,0)</f>
        <v>0</v>
      </c>
      <c r="CR166" s="23" t="n">
        <f aca="false">IF(CQ166=1,IF(COUNTIFS($AZ$2:$AZ$201,AZ166,$CQ$2:$CQ$201,1,$H$2:$H$201,"&lt;"&amp;H166)+COUNTIFS($AZ$2:$AZ$201,AZ166,$CQ$2:$CQ$201,1,$H$2:$H$201,H166,$BA$2:$BA$201,"&lt;"&amp;BA166)=0,1,0),0)</f>
        <v>0</v>
      </c>
      <c r="CS166" s="23" t="str">
        <f aca="false">IF(AND(CR166=1,INT(N(H166))&lt;=Config!$B$5),O166,"")</f>
        <v/>
      </c>
      <c r="CT166" s="23" t="str">
        <f aca="false">IF(AND(BB166=1,INT(N(H166))&lt;=Config!$B$5),AG166&amp;"","")</f>
        <v/>
      </c>
      <c r="CU166" s="23" t="n">
        <f aca="false">IF(AND(BB166=1,AU166="Y"),1,0)</f>
        <v>0</v>
      </c>
      <c r="CV166" s="23" t="n">
        <f aca="false">IF(CU166=1,IF(COUNTIFS($AZ$2:$AZ$201,AZ166,$CU$2:$CU$201,1,$H$2:$H$201,"&lt;"&amp;H166)+COUNTIFS($AZ$2:$AZ$201,AZ166,$CU$2:$CU$201,1,$H$2:$H$201,H166,$BA$2:$BA$201,"&lt;"&amp;BA166)=0,1,0),0)</f>
        <v>0</v>
      </c>
      <c r="CW166" s="23" t="str">
        <f aca="false">IF(BB166=1,IFERROR(MATCH($A166,INDEX(Clay_Offices!$A$2:$FZ$601,0,Sync!$C$5),0),""),"")</f>
        <v/>
      </c>
      <c r="CX166" s="23" t="str">
        <f aca="false">IF(CW166="","",IFERROR(INDEX(Clay_Offices!$A$2:$FZ$601,CW166,Sync!$C$7)&amp;"",""))</f>
        <v/>
      </c>
      <c r="CY166" s="23" t="str">
        <f aca="false">IF(CX166="","",IFERROR(INDEX(Lists!$K$2:$K$15,MATCH(CX166,Lists!$J$2:$J$15,0)),""))</f>
        <v/>
      </c>
      <c r="CZ166" s="23" t="str">
        <f aca="false">IF(CW166="","",IFERROR(INDEX(Clay_Offices!$A$2:$FZ$601,CW166,Sync!$C$17)&amp;"",""))</f>
        <v/>
      </c>
      <c r="DA166" s="35" t="str">
        <f aca="false">IF(CW166="","",IFERROR(N(INDEX(Clay_Offices!$A$2:$FZ$601,CW166,Sync!$C$16)),0))</f>
        <v/>
      </c>
      <c r="DB166" s="23" t="n">
        <f aca="false">IF(AND(BB166=1,OR(AR166="Y",AR166="N",AR166="maybe")),1,0)</f>
        <v>0</v>
      </c>
      <c r="DC166" s="23" t="n">
        <f aca="false">IF(AND(DB166=1),IF(COUNTIFS($A$2:$A$201,$A166,$DB$2:$DB$201,1,$H$2:$H$201,"&gt;"&amp;H166)+COUNTIFS($A$2:$A$201,$A166,$DB$2:$DB$201,1,$H$2:$H$201,H166,$BA$2:$BA$201,"&gt;"&amp;BA166)=0,1,0),0)</f>
        <v>0</v>
      </c>
      <c r="DD166" s="23" t="n">
        <f aca="false">IF(AND(DB166=1,INT(N(H166))&lt;=Config!$B$6),IF(COUNTIFS($AZ$2:$AZ$201,AZ166,$DB$2:$DB$201,1,$H$2:$H$201,"&gt;"&amp;H166,$H$2:$H$201,"&lt;"&amp;(Config!$B$6+1))+COUNTIFS($AZ$2:$AZ$201,AZ166,$DB$2:$DB$201,1,$H$2:$H$201,H166,$BA$2:$BA$201,"&gt;"&amp;BA166)=0,1,0),0)</f>
        <v>0</v>
      </c>
      <c r="DE166" s="23" t="n">
        <f aca="false">IF(AND(DB166=1,INT(N(H166))&lt;=Config!$B$7),IF(COUNTIFS($AZ$2:$AZ$201,AZ166,$DB$2:$DB$201,1,$H$2:$H$201,"&gt;"&amp;H166,$H$2:$H$201,"&lt;"&amp;(Config!$B$7+1))+COUNTIFS($AZ$2:$AZ$201,AZ166,$DB$2:$DB$201,1,$H$2:$H$201,H166,$BA$2:$BA$201,"&gt;"&amp;BA166)=0,1,0),0)</f>
        <v>0</v>
      </c>
      <c r="DF166" s="23" t="n">
        <f aca="false">IF(AND(DB166=1,INT(N(H166))&lt;=Config!$B$8),IF(COUNTIFS($AZ$2:$AZ$201,AZ166,$DB$2:$DB$201,1,$H$2:$H$201,"&gt;"&amp;H166,$H$2:$H$201,"&lt;"&amp;(Config!$B$8+1))+COUNTIFS($AZ$2:$AZ$201,AZ166,$DB$2:$DB$201,1,$H$2:$H$201,H166,$BA$2:$BA$201,"&gt;"&amp;BA166)=0,1,0),0)</f>
        <v>0</v>
      </c>
      <c r="DG166" s="23" t="n">
        <f aca="false">IF(AND(DB166=1,INT(N(H166))&lt;=Config!$B$5),IF(COUNTIFS($AZ$2:$AZ$201,AZ166,$DB$2:$DB$201,1,$H$2:$H$201,"&gt;"&amp;H166,$H$2:$H$201,"&lt;"&amp;(Config!$B$5+1))+COUNTIFS($AZ$2:$AZ$201,AZ166,$DB$2:$DB$201,1,$H$2:$H$201,H166,$BA$2:$BA$201,"&gt;"&amp;BA166)=0,1,0),0)</f>
        <v>0</v>
      </c>
      <c r="DH166" s="23" t="n">
        <f aca="false">IF(BB166=1,IF(COUNTIFS($AZ$2:$AZ$201,AZ166,$DD$2:$DD$201,1,$AR$2:$AR$201,"Y")&gt;0,1,0),0)</f>
        <v>0</v>
      </c>
      <c r="DI166" s="23" t="n">
        <f aca="false">IF(BB166=1,IF(COUNTIFS($AZ$2:$AZ$201,AZ166,$DE$2:$DE$201,1,$AR$2:$AR$201,"Y")&gt;0,1,0),0)</f>
        <v>0</v>
      </c>
      <c r="DJ166" s="23" t="n">
        <f aca="false">IF(BB166=1,IF(COUNTIFS($AZ$2:$AZ$201,AZ166,$DF$2:$DF$201,1,$AR$2:$AR$201,"Y")&gt;0,1,0),0)</f>
        <v>0</v>
      </c>
      <c r="DK166" s="23" t="n">
        <f aca="false">IF(BB166=1,IF(COUNTIFS($AZ$2:$AZ$201,AZ166,$DG$2:$DG$201,1,$AR$2:$AR$201,"Y")&gt;0,1,0),0)</f>
        <v>0</v>
      </c>
      <c r="DL166" s="23" t="n">
        <f aca="false">IF(AND(BF166=1,INT(N(H166))&lt;=Config!$B$6,DH166=1,EI166=0),1,0)</f>
        <v>0</v>
      </c>
      <c r="DM166" s="23" t="n">
        <f aca="false">IF(AND(BF166=1,INT(N(H166))&lt;=Config!$B$7,DI166=1,EI166=0),1,0)</f>
        <v>0</v>
      </c>
      <c r="DN166" s="23" t="n">
        <f aca="false">IF(AND(BF166=1,INT(N(H166))&lt;=Config!$B$8,DJ166=1,EI166=0),1,0)</f>
        <v>0</v>
      </c>
      <c r="DO166" s="23" t="n">
        <f aca="false">IF(AND(BF166=1,INT(N(H166))&lt;=Config!$B$5,DK166=1,EI166=0),1,0)</f>
        <v>0</v>
      </c>
      <c r="DP166" s="23" t="n">
        <f aca="false">IF(AND(CC166=1,INT(N(H166))&lt;=Config!$B$6,DH166=1,EI166=0),1,0)</f>
        <v>0</v>
      </c>
      <c r="DQ166" s="23" t="n">
        <f aca="false">IF(AND(CC166=1,INT(N(H166))&lt;=Config!$B$7,DI166=1,EI166=0),1,0)</f>
        <v>0</v>
      </c>
      <c r="DR166" s="23" t="n">
        <f aca="false">IF(AND(CC166=1,INT(N(H166))&lt;=Config!$B$8,DJ166=1,EI166=0),1,0)</f>
        <v>0</v>
      </c>
      <c r="DS166" s="23" t="n">
        <f aca="false">IF(AND(CC166=1,INT(N(H166))&lt;=Config!$B$5,DK166=1,EI166=0),1,0)</f>
        <v>0</v>
      </c>
      <c r="DT166" s="23" t="n">
        <f aca="false">IF(AND(CC166=1,INT(N(H166))&lt;=Config!$B$6,DH166=0),1,0)</f>
        <v>0</v>
      </c>
      <c r="DU166" s="23" t="n">
        <f aca="false">IF(AND(CC166=1,INT(N(H166))&lt;=Config!$B$7,DI166=0),1,0)</f>
        <v>0</v>
      </c>
      <c r="DV166" s="23" t="n">
        <f aca="false">IF(AND(CC166=1,INT(N(H166))&lt;=Config!$B$8,DJ166=0),1,0)</f>
        <v>0</v>
      </c>
      <c r="DW166" s="23" t="n">
        <f aca="false">IF(AND(CC166=1,INT(N(H166))&lt;=Config!$B$5,DK166=0),1,0)</f>
        <v>0</v>
      </c>
      <c r="DX166" s="23" t="n">
        <f aca="false">IF(TRIM($A166)="",0,ISTEXT(M166)+ISTEXT(O166)+ISTEXT(Y166)+ISTEXT(Z166)+ISTEXT(AA166)+ISTEXT(AV166))</f>
        <v>0</v>
      </c>
      <c r="DY166" s="23" t="n">
        <f aca="false">IF(BB166=1,IF(H166&lt;&gt;INT(H166),1,0),0)</f>
        <v>0</v>
      </c>
      <c r="DZ166" s="23" t="str">
        <f aca="false">IF(TRIM($A166)="","",IF(TRIM(B166)="",SUBSTITUTE(SUBSTITUTE(SUBSTITUTE(SUBSTITUTE(SUBSTITUTE(SUBSTITUTE(LOWER(TRIM($A166)),"~",""),"*",""),"?",""),"&lt;",""),"&gt;",""),"=",""),SUBSTITUTE(SUBSTITUTE(SUBSTITUTE(SUBSTITUTE(SUBSTITUTE(SUBSTITUTE(LOWER(TRIM(B166)),"~",""),"*",""),"?",""),"&lt;",""),"&gt;",""),"=","")))</f>
        <v/>
      </c>
      <c r="EA166" s="23" t="str">
        <f aca="false">IF(CW166="","",IFERROR(IF(LEFT(LOWER(TRIM(INDEX(Clay_Offices!$A$2:$FZ$601,CW166,Sync!$C$19)&amp;"")),4)="grp-",SUBSTITUTE(SUBSTITUTE(SUBSTITUTE(SUBSTITUTE(SUBSTITUTE(SUBSTITUTE(LOWER(TRIM(INDEX(Clay_Offices!$A$2:$FZ$601,CW166,Sync!$C$19)&amp;"")),"~",""),"*",""),"?",""),"&lt;",""),"&gt;",""),"=",""),""),""))</f>
        <v/>
      </c>
      <c r="EB166" s="23" t="str">
        <f aca="false">IF(EA166&lt;&gt;"",DZ166,"")</f>
        <v/>
      </c>
      <c r="EC166" s="23" t="str">
        <f aca="false">IF(BC166=1,AZ166,"")</f>
        <v/>
      </c>
      <c r="ED166" s="23" t="str">
        <f aca="false">IF(TRIM($A166)="","",IFERROR(INDEX($A$2:$A$201,MATCH(AZ166,$EC$2:$EC$201,0))&amp;"",$A166&amp;""))</f>
        <v/>
      </c>
      <c r="EE166" s="23" t="n">
        <f aca="false">IF(BB166=1,IF(COUNTIFS($A$2:$A$201,$A166,$BB$2:$BB$201,1,$H$2:$H$201,"&lt;"&amp;H166)+COUNTIFS($A$2:$A$201,$A166,$BB$2:$BB$201,1,$H$2:$H$201,H166,$BA$2:$BA$201,"&lt;"&amp;BA166)=0,1,0),0)</f>
        <v>0</v>
      </c>
      <c r="EF166" s="23" t="n">
        <f aca="false">IF(BC166=1,IF(COUNTIFS($AZ$2:$AZ$201,AZ166,$EE$2:$EE$201,1)&gt;1,1,0),0)</f>
        <v>0</v>
      </c>
      <c r="EG166" s="23" t="n">
        <f aca="false">IF(AND(CQ166=1),IF(COUNTIFS($AZ$2:$AZ$201,AZ166,$CQ$2:$CQ$201,1,$H$2:$H$201,"&gt;"&amp;H166)+COUNTIFS($AZ$2:$AZ$201,AZ166,$CQ$2:$CQ$201,1,$H$2:$H$201,H166,$BA$2:$BA$201,"&gt;"&amp;BA166)=0,1,0),0)</f>
        <v>0</v>
      </c>
      <c r="EH166" s="23" t="str">
        <f aca="false">IF(BB166=1,IF(COUNTIFS($AZ$2:$AZ$201,AZ166,$EG$2:$EG$201,1)=0,"",SUMIFS($O$2:$O$201,$AZ$2:$AZ$201,AZ166,$EG$2:$EG$201,1)),"")</f>
        <v/>
      </c>
      <c r="EI166" s="23" t="n">
        <f aca="false">IF(AND(ISNUMBER(EH166),OR(N(EH166)&lt;Config!$B$31,N(EH166)&gt;Config!$B$33)),1,0)</f>
        <v>0</v>
      </c>
      <c r="EJ166" s="23" t="n">
        <f aca="false">IF(AND(ISNUMBER(EH166),N(EH166)&gt;=Config!$B$31,N(EH166)&lt;Config!$B$32),1,0)</f>
        <v>0</v>
      </c>
      <c r="EK166" s="23" t="n">
        <f aca="false">IF(AND(BF166=1,INT(N(H166))&lt;=Config!$B$6,DH166=1,EI166=1),1,0)</f>
        <v>0</v>
      </c>
      <c r="EL166" s="23" t="n">
        <f aca="false">IF(AND(BF166=1,INT(N(H166))&lt;=Config!$B$7,DI166=1,EI166=1),1,0)</f>
        <v>0</v>
      </c>
      <c r="EM166" s="23" t="n">
        <f aca="false">IF(AND(BF166=1,INT(N(H166))&lt;=Config!$B$8,DJ166=1,EI166=1),1,0)</f>
        <v>0</v>
      </c>
      <c r="EN166" s="23" t="n">
        <f aca="false">IF(AND(BF166=1,INT(N(H166))&lt;=Config!$B$5,DK166=1,EI166=1),1,0)</f>
        <v>0</v>
      </c>
      <c r="EO166" s="23" t="n">
        <f aca="false">IF(AND(DL166=1,EJ166=1),1,0)</f>
        <v>0</v>
      </c>
      <c r="EP166" s="23" t="n">
        <f aca="false">IF(AND(DM166=1,EJ166=1),1,0)</f>
        <v>0</v>
      </c>
      <c r="EQ166" s="23" t="n">
        <f aca="false">IF(AND(DN166=1,EJ166=1),1,0)</f>
        <v>0</v>
      </c>
      <c r="ER166" s="23" t="n">
        <f aca="false">IF(AND(DO166=1,EJ166=1),1,0)</f>
        <v>0</v>
      </c>
    </row>
    <row r="167" customFormat="false" ht="15" hidden="false" customHeight="false" outlineLevel="0" collapsed="false">
      <c r="G167" s="32"/>
      <c r="H167" s="33"/>
      <c r="I167" s="32"/>
      <c r="L167" s="32"/>
      <c r="Q167" s="32"/>
      <c r="U167" s="32"/>
      <c r="W167" s="32"/>
      <c r="AC167" s="32"/>
      <c r="AF167" s="32"/>
      <c r="AI167" s="32"/>
      <c r="AJ167" s="32"/>
      <c r="AN167" s="32"/>
      <c r="AR167" s="32"/>
      <c r="AT167" s="32"/>
      <c r="AU167" s="32"/>
      <c r="AW167" s="32"/>
      <c r="AY167" s="34" t="str">
        <f aca="false">IF(TRIM($A167)="","",IF(AND(LEFT($A167,6)="SAMPLE",Config!$B$19&lt;&gt;"Y"),"",IF(NOT(ISNUMBER(H167)),"call_date is blank or not a date",IF(Sync!$C$5="","Clay paste is empty or has no row_id column: paste the Clay export on Clay_Offices",IF(CW167="","row_id not found in the Clay paste: add the Clay row or fix the row_id",IF(AND(ISNUMBER(CY167),CY167&gt;=1,CY167&lt;=5),"Clay status is "&amp;CX167&amp;": set call_done or later",IF(AND(BD167=1,CZ167&lt;&gt;BZ167),"Clay yes_in_principle should be "&amp;BZ167,IF(AND(BD167=1,DA167&lt;&gt;H167),"Clay call_date should be "&amp;TEXT(H167,"yyyy-mm-dd"),""))))))))</f>
        <v/>
      </c>
      <c r="AZ167" s="23" t="str">
        <f aca="false">IF(TRIM($A167)="","",IF(TRIM(C167)&lt;&gt;"",SUBSTITUTE(SUBSTITUTE(SUBSTITUTE(SUBSTITUTE(SUBSTITUTE(SUBSTITUTE(LOWER(TRIM(C167)),"~",""),"*",""),"?",""),"&lt;",""),"&gt;",""),"=",""),IF(EA167&lt;&gt;"",EA167,IFERROR(INDEX($EA$2:$EA$201,MATCH(DZ167,$EB$2:$EB$201,0)),DZ167))))</f>
        <v/>
      </c>
      <c r="BA167" s="23" t="n">
        <f aca="false">ROW()</f>
        <v>167</v>
      </c>
      <c r="BB167" s="23" t="n">
        <f aca="false">IF(AND(TRIM($A167)&lt;&gt;"",ISNUMBER(H167)),IF(AND(LEFT($A167,6)="SAMPLE",Config!$B$19&lt;&gt;"Y"),0,1),0)</f>
        <v>0</v>
      </c>
      <c r="BC167" s="23" t="n">
        <f aca="false">IF(BB167=1,IF(COUNTIFS($AZ$2:$AZ$201,AZ167,$BB$2:$BB$201,1,$H$2:$H$201,"&lt;"&amp;H167)+COUNTIFS($AZ$2:$AZ$201,AZ167,$BB$2:$BB$201,1,$H$2:$H$201,H167,$BA$2:$BA$201,"&lt;"&amp;BA167)=0,1,0),0)</f>
        <v>0</v>
      </c>
      <c r="BD167" s="23" t="n">
        <f aca="false">IF(BB167=1,IF(COUNTIFS($A$2:$A$201,$A167,$BB$2:$BB$201,1,$H$2:$H$201,"&gt;"&amp;H167)+COUNTIFS($A$2:$A$201,$A167,$BB$2:$BB$201,1,$H$2:$H$201,H167,$BA$2:$BA$201,"&gt;"&amp;BA167)=0,1,0),0)</f>
        <v>0</v>
      </c>
      <c r="BE167" s="23" t="n">
        <f aca="false">IF(AND(BB167=1,AR167="Y",AC167="Y",TRIM(AH167)&lt;&gt;""),1,0)</f>
        <v>0</v>
      </c>
      <c r="BF167" s="23" t="n">
        <f aca="false">IF(BE167=1,IF(COUNTIFS($AZ$2:$AZ$201,AZ167,$BE$2:$BE$201,1,$H$2:$H$201,"&lt;"&amp;H167)+COUNTIFS($AZ$2:$AZ$201,AZ167,$BE$2:$BE$201,1,$H$2:$H$201,H167,$BA$2:$BA$201,"&lt;"&amp;BA167)=0,1,0),0)</f>
        <v>0</v>
      </c>
      <c r="BG167" s="23" t="n">
        <f aca="false">IF(AND(BB167=1,AR167="Y",BE167=0),1,0)</f>
        <v>0</v>
      </c>
      <c r="BH167" s="23" t="n">
        <f aca="false">IF(AND(BB167=1,ISNUMBER(Y167)),1,0)</f>
        <v>0</v>
      </c>
      <c r="BI167" s="23" t="n">
        <f aca="false">IF(BH167=1,IF(COUNTIFS($AZ$2:$AZ$201,AZ167,$BH$2:$BH$201,1,$H$2:$H$201,"&lt;"&amp;H167)+COUNTIFS($AZ$2:$AZ$201,AZ167,$BH$2:$BH$201,1,$H$2:$H$201,H167,$BA$2:$BA$201,"&lt;"&amp;BA167)=0,1,0),0)</f>
        <v>0</v>
      </c>
      <c r="BJ167" s="23" t="str">
        <f aca="false">IF(AND(BI167=1,INT(N(H167))&lt;=Config!$B$6),Y167,"")</f>
        <v/>
      </c>
      <c r="BK167" s="23" t="str">
        <f aca="false">IF(AND(BI167=1,INT(N(H167))&lt;=Config!$B$7),Y167,"")</f>
        <v/>
      </c>
      <c r="BL167" s="23" t="str">
        <f aca="false">IF(AND(BI167=1,INT(N(H167))&lt;=Config!$B$8),Y167,"")</f>
        <v/>
      </c>
      <c r="BM167" s="23" t="str">
        <f aca="false">IF(AND(BI167=1,INT(N(H167))&lt;=Config!$B$5),Y167,"")</f>
        <v/>
      </c>
      <c r="BN167" s="23" t="n">
        <f aca="false">IF(CD167=1,IF(COUNTIFS($AZ$2:$AZ$201,AZ167,$CD$2:$CD$201,1,$H$2:$H$201,"&lt;"&amp;H167)+COUNTIFS($AZ$2:$AZ$201,AZ167,$CD$2:$CD$201,1,$H$2:$H$201,H167,$BA$2:$BA$201,"&lt;"&amp;BA167)=0,1,0),0)</f>
        <v>0</v>
      </c>
      <c r="BO167" s="23" t="n">
        <f aca="false">IF(AND(BB167=1,ISNUMBER(M167)),1,0)</f>
        <v>0</v>
      </c>
      <c r="BP167" s="23" t="n">
        <f aca="false">IF(BO167=1,IF(COUNTIFS($AZ$2:$AZ$201,AZ167,$BO$2:$BO$201,1,$H$2:$H$201,"&lt;"&amp;H167)+COUNTIFS($AZ$2:$AZ$201,AZ167,$BO$2:$BO$201,1,$H$2:$H$201,H167,$BA$2:$BA$201,"&lt;"&amp;BA167)=0,1,0),0)</f>
        <v>0</v>
      </c>
      <c r="BQ167" s="23" t="str">
        <f aca="false">IF(AND(BP167=1,INT(N(H167))&lt;=Config!$B$5),M167,"")</f>
        <v/>
      </c>
      <c r="BR167" s="23" t="n">
        <f aca="false">IF(AND(BB167=1,OR(TRIM(X167)&lt;&gt;"",ISNUMBER(Y167))),1,0)</f>
        <v>0</v>
      </c>
      <c r="BS167" s="23" t="n">
        <f aca="false">IF(BR167=1,IF(COUNTIFS($AZ$2:$AZ$201,AZ167,$BR$2:$BR$201,1,$H$2:$H$201,"&lt;"&amp;H167)+COUNTIFS($AZ$2:$AZ$201,AZ167,$BR$2:$BR$201,1,$H$2:$H$201,H167,$BA$2:$BA$201,"&lt;"&amp;BA167)=0,1,0),0)</f>
        <v>0</v>
      </c>
      <c r="BT167" s="23" t="str">
        <f aca="false">IF(BS167=1,AZ167,"")</f>
        <v/>
      </c>
      <c r="BU167" s="23" t="n">
        <f aca="false">IF(AND(BB167=1,W167="Y",TRIM(X167)=""),1,0)</f>
        <v>0</v>
      </c>
      <c r="BV167" s="23" t="str">
        <f aca="false">IF(BB167=1,AN167&amp;"","")</f>
        <v/>
      </c>
      <c r="BW167" s="23" t="str">
        <f aca="false">IF(BB167=1,AO167&amp;"","")</f>
        <v/>
      </c>
      <c r="BX167" s="23" t="str">
        <f aca="false">IF(BB167=1,AP167&amp;"","")</f>
        <v/>
      </c>
      <c r="BY167" s="23" t="str">
        <f aca="false">IF(AND(BB167=1,ISNUMBER(AV167),INT(N(H167))&lt;=Config!$B$5),AV167,"")</f>
        <v/>
      </c>
      <c r="BZ167" s="23" t="str">
        <f aca="false">IF(BB167=1,IF(COUNTIFS($A$2:$A$201,$A167,$DC$2:$DC$201,1,$AR$2:$AR$201,"Y")&gt;0,"Y","N"),"")</f>
        <v/>
      </c>
      <c r="CA167" s="23" t="n">
        <f aca="false">IF(AND(BB167=1,AR167="maybe"),1,0)</f>
        <v>0</v>
      </c>
      <c r="CB167" s="23" t="n">
        <f aca="false">IF(CA167=1,IF(COUNTIFS($AZ$2:$AZ$201,AZ167,$CA$2:$CA$201,1,$H$2:$H$201,"&lt;"&amp;H167)+COUNTIFS($AZ$2:$AZ$201,AZ167,$CA$2:$CA$201,1,$H$2:$H$201,H167,$BA$2:$BA$201,"&lt;"&amp;BA167)=0,1,0),0)</f>
        <v>0</v>
      </c>
      <c r="CC167" s="23" t="n">
        <f aca="false">IF(AND(BB167=1,AR167="Y"),IF(COUNTIFS($AZ$2:$AZ$201,AZ167,$AR$2:$AR$201,"Y",$BB$2:$BB$201,1,$H$2:$H$201,"&lt;"&amp;H167)+COUNTIFS($AZ$2:$AZ$201,AZ167,$AR$2:$AR$201,"Y",$BB$2:$BB$201,1,$H$2:$H$201,H167,$BA$2:$BA$201,"&lt;"&amp;BA167)=0,1,0),0)</f>
        <v>0</v>
      </c>
      <c r="CD167" s="23" t="n">
        <f aca="false">IF(AND(BH167=1,N(Y167)&gt;=Config!$B$15),1,0)</f>
        <v>0</v>
      </c>
      <c r="CE167" s="23" t="n">
        <f aca="false">IF(AND(BB167=1,AT167="Y"),1,0)</f>
        <v>0</v>
      </c>
      <c r="CF167" s="23" t="n">
        <f aca="false">IF(CE167=1,IF(COUNTIFS($AZ$2:$AZ$201,AZ167,$CE$2:$CE$201,1,$H$2:$H$201,"&lt;"&amp;H167)+COUNTIFS($AZ$2:$AZ$201,AZ167,$CE$2:$CE$201,1,$H$2:$H$201,H167,$BA$2:$BA$201,"&lt;"&amp;BA167)=0,1,0),0)</f>
        <v>0</v>
      </c>
      <c r="CG167" s="23" t="n">
        <f aca="false">IF(AND(BB167=1,G167="warm-intro"),1,0)</f>
        <v>0</v>
      </c>
      <c r="CH167" s="23" t="n">
        <f aca="false">IF(CG167=1,IF(COUNTIFS($AZ$2:$AZ$201,AZ167,$CG$2:$CG$201,1,$H$2:$H$201,"&lt;"&amp;H167)+COUNTIFS($AZ$2:$AZ$201,AZ167,$CG$2:$CG$201,1,$H$2:$H$201,H167,$BA$2:$BA$201,"&lt;"&amp;BA167)=0,1,0),0)</f>
        <v>0</v>
      </c>
      <c r="CI167" s="23" t="n">
        <f aca="false">IF(AND(BB167=1,Q167="Y"),1,0)</f>
        <v>0</v>
      </c>
      <c r="CJ167" s="23" t="n">
        <f aca="false">IF(CI167=1,IF(COUNTIFS($AZ$2:$AZ$201,AZ167,$CI$2:$CI$201,1,$H$2:$H$201,"&lt;"&amp;H167)+COUNTIFS($AZ$2:$AZ$201,AZ167,$CI$2:$CI$201,1,$H$2:$H$201,H167,$BA$2:$BA$201,"&lt;"&amp;BA167)=0,1,0),0)</f>
        <v>0</v>
      </c>
      <c r="CK167" s="23" t="n">
        <f aca="false">IF(AND(BB167=1,AF167="Y"),1,0)</f>
        <v>0</v>
      </c>
      <c r="CL167" s="23" t="n">
        <f aca="false">IF(CK167=1,IF(COUNTIFS($AZ$2:$AZ$201,AZ167,$CK$2:$CK$201,1,$H$2:$H$201,"&lt;"&amp;H167)+COUNTIFS($AZ$2:$AZ$201,AZ167,$CK$2:$CK$201,1,$H$2:$H$201,H167,$BA$2:$BA$201,"&lt;"&amp;BA167)=0,1,0),0)</f>
        <v>0</v>
      </c>
      <c r="CM167" s="23" t="n">
        <f aca="false">IF(AND(BB167=1,U167="Y"),1,0)</f>
        <v>0</v>
      </c>
      <c r="CN167" s="23" t="n">
        <f aca="false">IF(CM167=1,IF(COUNTIFS($AZ$2:$AZ$201,AZ167,$CM$2:$CM$201,1,$H$2:$H$201,"&lt;"&amp;H167)+COUNTIFS($AZ$2:$AZ$201,AZ167,$CM$2:$CM$201,1,$H$2:$H$201,H167,$BA$2:$BA$201,"&lt;"&amp;BA167)=0,1,0),0)</f>
        <v>0</v>
      </c>
      <c r="CO167" s="23" t="n">
        <f aca="false">IF(AND(BB167=1,L167="Y"),1,0)</f>
        <v>0</v>
      </c>
      <c r="CP167" s="23" t="n">
        <f aca="false">IF(CO167=1,IF(COUNTIFS($AZ$2:$AZ$201,AZ167,$CO$2:$CO$201,1,$H$2:$H$201,"&lt;"&amp;H167)+COUNTIFS($AZ$2:$AZ$201,AZ167,$CO$2:$CO$201,1,$H$2:$H$201,H167,$BA$2:$BA$201,"&lt;"&amp;BA167)=0,1,0),0)</f>
        <v>0</v>
      </c>
      <c r="CQ167" s="23" t="n">
        <f aca="false">IF(AND(BB167=1,ISNUMBER(O167)),1,0)</f>
        <v>0</v>
      </c>
      <c r="CR167" s="23" t="n">
        <f aca="false">IF(CQ167=1,IF(COUNTIFS($AZ$2:$AZ$201,AZ167,$CQ$2:$CQ$201,1,$H$2:$H$201,"&lt;"&amp;H167)+COUNTIFS($AZ$2:$AZ$201,AZ167,$CQ$2:$CQ$201,1,$H$2:$H$201,H167,$BA$2:$BA$201,"&lt;"&amp;BA167)=0,1,0),0)</f>
        <v>0</v>
      </c>
      <c r="CS167" s="23" t="str">
        <f aca="false">IF(AND(CR167=1,INT(N(H167))&lt;=Config!$B$5),O167,"")</f>
        <v/>
      </c>
      <c r="CT167" s="23" t="str">
        <f aca="false">IF(AND(BB167=1,INT(N(H167))&lt;=Config!$B$5),AG167&amp;"","")</f>
        <v/>
      </c>
      <c r="CU167" s="23" t="n">
        <f aca="false">IF(AND(BB167=1,AU167="Y"),1,0)</f>
        <v>0</v>
      </c>
      <c r="CV167" s="23" t="n">
        <f aca="false">IF(CU167=1,IF(COUNTIFS($AZ$2:$AZ$201,AZ167,$CU$2:$CU$201,1,$H$2:$H$201,"&lt;"&amp;H167)+COUNTIFS($AZ$2:$AZ$201,AZ167,$CU$2:$CU$201,1,$H$2:$H$201,H167,$BA$2:$BA$201,"&lt;"&amp;BA167)=0,1,0),0)</f>
        <v>0</v>
      </c>
      <c r="CW167" s="23" t="str">
        <f aca="false">IF(BB167=1,IFERROR(MATCH($A167,INDEX(Clay_Offices!$A$2:$FZ$601,0,Sync!$C$5),0),""),"")</f>
        <v/>
      </c>
      <c r="CX167" s="23" t="str">
        <f aca="false">IF(CW167="","",IFERROR(INDEX(Clay_Offices!$A$2:$FZ$601,CW167,Sync!$C$7)&amp;"",""))</f>
        <v/>
      </c>
      <c r="CY167" s="23" t="str">
        <f aca="false">IF(CX167="","",IFERROR(INDEX(Lists!$K$2:$K$15,MATCH(CX167,Lists!$J$2:$J$15,0)),""))</f>
        <v/>
      </c>
      <c r="CZ167" s="23" t="str">
        <f aca="false">IF(CW167="","",IFERROR(INDEX(Clay_Offices!$A$2:$FZ$601,CW167,Sync!$C$17)&amp;"",""))</f>
        <v/>
      </c>
      <c r="DA167" s="35" t="str">
        <f aca="false">IF(CW167="","",IFERROR(N(INDEX(Clay_Offices!$A$2:$FZ$601,CW167,Sync!$C$16)),0))</f>
        <v/>
      </c>
      <c r="DB167" s="23" t="n">
        <f aca="false">IF(AND(BB167=1,OR(AR167="Y",AR167="N",AR167="maybe")),1,0)</f>
        <v>0</v>
      </c>
      <c r="DC167" s="23" t="n">
        <f aca="false">IF(AND(DB167=1),IF(COUNTIFS($A$2:$A$201,$A167,$DB$2:$DB$201,1,$H$2:$H$201,"&gt;"&amp;H167)+COUNTIFS($A$2:$A$201,$A167,$DB$2:$DB$201,1,$H$2:$H$201,H167,$BA$2:$BA$201,"&gt;"&amp;BA167)=0,1,0),0)</f>
        <v>0</v>
      </c>
      <c r="DD167" s="23" t="n">
        <f aca="false">IF(AND(DB167=1,INT(N(H167))&lt;=Config!$B$6),IF(COUNTIFS($AZ$2:$AZ$201,AZ167,$DB$2:$DB$201,1,$H$2:$H$201,"&gt;"&amp;H167,$H$2:$H$201,"&lt;"&amp;(Config!$B$6+1))+COUNTIFS($AZ$2:$AZ$201,AZ167,$DB$2:$DB$201,1,$H$2:$H$201,H167,$BA$2:$BA$201,"&gt;"&amp;BA167)=0,1,0),0)</f>
        <v>0</v>
      </c>
      <c r="DE167" s="23" t="n">
        <f aca="false">IF(AND(DB167=1,INT(N(H167))&lt;=Config!$B$7),IF(COUNTIFS($AZ$2:$AZ$201,AZ167,$DB$2:$DB$201,1,$H$2:$H$201,"&gt;"&amp;H167,$H$2:$H$201,"&lt;"&amp;(Config!$B$7+1))+COUNTIFS($AZ$2:$AZ$201,AZ167,$DB$2:$DB$201,1,$H$2:$H$201,H167,$BA$2:$BA$201,"&gt;"&amp;BA167)=0,1,0),0)</f>
        <v>0</v>
      </c>
      <c r="DF167" s="23" t="n">
        <f aca="false">IF(AND(DB167=1,INT(N(H167))&lt;=Config!$B$8),IF(COUNTIFS($AZ$2:$AZ$201,AZ167,$DB$2:$DB$201,1,$H$2:$H$201,"&gt;"&amp;H167,$H$2:$H$201,"&lt;"&amp;(Config!$B$8+1))+COUNTIFS($AZ$2:$AZ$201,AZ167,$DB$2:$DB$201,1,$H$2:$H$201,H167,$BA$2:$BA$201,"&gt;"&amp;BA167)=0,1,0),0)</f>
        <v>0</v>
      </c>
      <c r="DG167" s="23" t="n">
        <f aca="false">IF(AND(DB167=1,INT(N(H167))&lt;=Config!$B$5),IF(COUNTIFS($AZ$2:$AZ$201,AZ167,$DB$2:$DB$201,1,$H$2:$H$201,"&gt;"&amp;H167,$H$2:$H$201,"&lt;"&amp;(Config!$B$5+1))+COUNTIFS($AZ$2:$AZ$201,AZ167,$DB$2:$DB$201,1,$H$2:$H$201,H167,$BA$2:$BA$201,"&gt;"&amp;BA167)=0,1,0),0)</f>
        <v>0</v>
      </c>
      <c r="DH167" s="23" t="n">
        <f aca="false">IF(BB167=1,IF(COUNTIFS($AZ$2:$AZ$201,AZ167,$DD$2:$DD$201,1,$AR$2:$AR$201,"Y")&gt;0,1,0),0)</f>
        <v>0</v>
      </c>
      <c r="DI167" s="23" t="n">
        <f aca="false">IF(BB167=1,IF(COUNTIFS($AZ$2:$AZ$201,AZ167,$DE$2:$DE$201,1,$AR$2:$AR$201,"Y")&gt;0,1,0),0)</f>
        <v>0</v>
      </c>
      <c r="DJ167" s="23" t="n">
        <f aca="false">IF(BB167=1,IF(COUNTIFS($AZ$2:$AZ$201,AZ167,$DF$2:$DF$201,1,$AR$2:$AR$201,"Y")&gt;0,1,0),0)</f>
        <v>0</v>
      </c>
      <c r="DK167" s="23" t="n">
        <f aca="false">IF(BB167=1,IF(COUNTIFS($AZ$2:$AZ$201,AZ167,$DG$2:$DG$201,1,$AR$2:$AR$201,"Y")&gt;0,1,0),0)</f>
        <v>0</v>
      </c>
      <c r="DL167" s="23" t="n">
        <f aca="false">IF(AND(BF167=1,INT(N(H167))&lt;=Config!$B$6,DH167=1,EI167=0),1,0)</f>
        <v>0</v>
      </c>
      <c r="DM167" s="23" t="n">
        <f aca="false">IF(AND(BF167=1,INT(N(H167))&lt;=Config!$B$7,DI167=1,EI167=0),1,0)</f>
        <v>0</v>
      </c>
      <c r="DN167" s="23" t="n">
        <f aca="false">IF(AND(BF167=1,INT(N(H167))&lt;=Config!$B$8,DJ167=1,EI167=0),1,0)</f>
        <v>0</v>
      </c>
      <c r="DO167" s="23" t="n">
        <f aca="false">IF(AND(BF167=1,INT(N(H167))&lt;=Config!$B$5,DK167=1,EI167=0),1,0)</f>
        <v>0</v>
      </c>
      <c r="DP167" s="23" t="n">
        <f aca="false">IF(AND(CC167=1,INT(N(H167))&lt;=Config!$B$6,DH167=1,EI167=0),1,0)</f>
        <v>0</v>
      </c>
      <c r="DQ167" s="23" t="n">
        <f aca="false">IF(AND(CC167=1,INT(N(H167))&lt;=Config!$B$7,DI167=1,EI167=0),1,0)</f>
        <v>0</v>
      </c>
      <c r="DR167" s="23" t="n">
        <f aca="false">IF(AND(CC167=1,INT(N(H167))&lt;=Config!$B$8,DJ167=1,EI167=0),1,0)</f>
        <v>0</v>
      </c>
      <c r="DS167" s="23" t="n">
        <f aca="false">IF(AND(CC167=1,INT(N(H167))&lt;=Config!$B$5,DK167=1,EI167=0),1,0)</f>
        <v>0</v>
      </c>
      <c r="DT167" s="23" t="n">
        <f aca="false">IF(AND(CC167=1,INT(N(H167))&lt;=Config!$B$6,DH167=0),1,0)</f>
        <v>0</v>
      </c>
      <c r="DU167" s="23" t="n">
        <f aca="false">IF(AND(CC167=1,INT(N(H167))&lt;=Config!$B$7,DI167=0),1,0)</f>
        <v>0</v>
      </c>
      <c r="DV167" s="23" t="n">
        <f aca="false">IF(AND(CC167=1,INT(N(H167))&lt;=Config!$B$8,DJ167=0),1,0)</f>
        <v>0</v>
      </c>
      <c r="DW167" s="23" t="n">
        <f aca="false">IF(AND(CC167=1,INT(N(H167))&lt;=Config!$B$5,DK167=0),1,0)</f>
        <v>0</v>
      </c>
      <c r="DX167" s="23" t="n">
        <f aca="false">IF(TRIM($A167)="",0,ISTEXT(M167)+ISTEXT(O167)+ISTEXT(Y167)+ISTEXT(Z167)+ISTEXT(AA167)+ISTEXT(AV167))</f>
        <v>0</v>
      </c>
      <c r="DY167" s="23" t="n">
        <f aca="false">IF(BB167=1,IF(H167&lt;&gt;INT(H167),1,0),0)</f>
        <v>0</v>
      </c>
      <c r="DZ167" s="23" t="str">
        <f aca="false">IF(TRIM($A167)="","",IF(TRIM(B167)="",SUBSTITUTE(SUBSTITUTE(SUBSTITUTE(SUBSTITUTE(SUBSTITUTE(SUBSTITUTE(LOWER(TRIM($A167)),"~",""),"*",""),"?",""),"&lt;",""),"&gt;",""),"=",""),SUBSTITUTE(SUBSTITUTE(SUBSTITUTE(SUBSTITUTE(SUBSTITUTE(SUBSTITUTE(LOWER(TRIM(B167)),"~",""),"*",""),"?",""),"&lt;",""),"&gt;",""),"=","")))</f>
        <v/>
      </c>
      <c r="EA167" s="23" t="str">
        <f aca="false">IF(CW167="","",IFERROR(IF(LEFT(LOWER(TRIM(INDEX(Clay_Offices!$A$2:$FZ$601,CW167,Sync!$C$19)&amp;"")),4)="grp-",SUBSTITUTE(SUBSTITUTE(SUBSTITUTE(SUBSTITUTE(SUBSTITUTE(SUBSTITUTE(LOWER(TRIM(INDEX(Clay_Offices!$A$2:$FZ$601,CW167,Sync!$C$19)&amp;"")),"~",""),"*",""),"?",""),"&lt;",""),"&gt;",""),"=",""),""),""))</f>
        <v/>
      </c>
      <c r="EB167" s="23" t="str">
        <f aca="false">IF(EA167&lt;&gt;"",DZ167,"")</f>
        <v/>
      </c>
      <c r="EC167" s="23" t="str">
        <f aca="false">IF(BC167=1,AZ167,"")</f>
        <v/>
      </c>
      <c r="ED167" s="23" t="str">
        <f aca="false">IF(TRIM($A167)="","",IFERROR(INDEX($A$2:$A$201,MATCH(AZ167,$EC$2:$EC$201,0))&amp;"",$A167&amp;""))</f>
        <v/>
      </c>
      <c r="EE167" s="23" t="n">
        <f aca="false">IF(BB167=1,IF(COUNTIFS($A$2:$A$201,$A167,$BB$2:$BB$201,1,$H$2:$H$201,"&lt;"&amp;H167)+COUNTIFS($A$2:$A$201,$A167,$BB$2:$BB$201,1,$H$2:$H$201,H167,$BA$2:$BA$201,"&lt;"&amp;BA167)=0,1,0),0)</f>
        <v>0</v>
      </c>
      <c r="EF167" s="23" t="n">
        <f aca="false">IF(BC167=1,IF(COUNTIFS($AZ$2:$AZ$201,AZ167,$EE$2:$EE$201,1)&gt;1,1,0),0)</f>
        <v>0</v>
      </c>
      <c r="EG167" s="23" t="n">
        <f aca="false">IF(AND(CQ167=1),IF(COUNTIFS($AZ$2:$AZ$201,AZ167,$CQ$2:$CQ$201,1,$H$2:$H$201,"&gt;"&amp;H167)+COUNTIFS($AZ$2:$AZ$201,AZ167,$CQ$2:$CQ$201,1,$H$2:$H$201,H167,$BA$2:$BA$201,"&gt;"&amp;BA167)=0,1,0),0)</f>
        <v>0</v>
      </c>
      <c r="EH167" s="23" t="str">
        <f aca="false">IF(BB167=1,IF(COUNTIFS($AZ$2:$AZ$201,AZ167,$EG$2:$EG$201,1)=0,"",SUMIFS($O$2:$O$201,$AZ$2:$AZ$201,AZ167,$EG$2:$EG$201,1)),"")</f>
        <v/>
      </c>
      <c r="EI167" s="23" t="n">
        <f aca="false">IF(AND(ISNUMBER(EH167),OR(N(EH167)&lt;Config!$B$31,N(EH167)&gt;Config!$B$33)),1,0)</f>
        <v>0</v>
      </c>
      <c r="EJ167" s="23" t="n">
        <f aca="false">IF(AND(ISNUMBER(EH167),N(EH167)&gt;=Config!$B$31,N(EH167)&lt;Config!$B$32),1,0)</f>
        <v>0</v>
      </c>
      <c r="EK167" s="23" t="n">
        <f aca="false">IF(AND(BF167=1,INT(N(H167))&lt;=Config!$B$6,DH167=1,EI167=1),1,0)</f>
        <v>0</v>
      </c>
      <c r="EL167" s="23" t="n">
        <f aca="false">IF(AND(BF167=1,INT(N(H167))&lt;=Config!$B$7,DI167=1,EI167=1),1,0)</f>
        <v>0</v>
      </c>
      <c r="EM167" s="23" t="n">
        <f aca="false">IF(AND(BF167=1,INT(N(H167))&lt;=Config!$B$8,DJ167=1,EI167=1),1,0)</f>
        <v>0</v>
      </c>
      <c r="EN167" s="23" t="n">
        <f aca="false">IF(AND(BF167=1,INT(N(H167))&lt;=Config!$B$5,DK167=1,EI167=1),1,0)</f>
        <v>0</v>
      </c>
      <c r="EO167" s="23" t="n">
        <f aca="false">IF(AND(DL167=1,EJ167=1),1,0)</f>
        <v>0</v>
      </c>
      <c r="EP167" s="23" t="n">
        <f aca="false">IF(AND(DM167=1,EJ167=1),1,0)</f>
        <v>0</v>
      </c>
      <c r="EQ167" s="23" t="n">
        <f aca="false">IF(AND(DN167=1,EJ167=1),1,0)</f>
        <v>0</v>
      </c>
      <c r="ER167" s="23" t="n">
        <f aca="false">IF(AND(DO167=1,EJ167=1),1,0)</f>
        <v>0</v>
      </c>
    </row>
    <row r="168" customFormat="false" ht="15" hidden="false" customHeight="false" outlineLevel="0" collapsed="false">
      <c r="G168" s="32"/>
      <c r="H168" s="33"/>
      <c r="I168" s="32"/>
      <c r="L168" s="32"/>
      <c r="Q168" s="32"/>
      <c r="U168" s="32"/>
      <c r="W168" s="32"/>
      <c r="AC168" s="32"/>
      <c r="AF168" s="32"/>
      <c r="AI168" s="32"/>
      <c r="AJ168" s="32"/>
      <c r="AN168" s="32"/>
      <c r="AR168" s="32"/>
      <c r="AT168" s="32"/>
      <c r="AU168" s="32"/>
      <c r="AW168" s="32"/>
      <c r="AY168" s="34" t="str">
        <f aca="false">IF(TRIM($A168)="","",IF(AND(LEFT($A168,6)="SAMPLE",Config!$B$19&lt;&gt;"Y"),"",IF(NOT(ISNUMBER(H168)),"call_date is blank or not a date",IF(Sync!$C$5="","Clay paste is empty or has no row_id column: paste the Clay export on Clay_Offices",IF(CW168="","row_id not found in the Clay paste: add the Clay row or fix the row_id",IF(AND(ISNUMBER(CY168),CY168&gt;=1,CY168&lt;=5),"Clay status is "&amp;CX168&amp;": set call_done or later",IF(AND(BD168=1,CZ168&lt;&gt;BZ168),"Clay yes_in_principle should be "&amp;BZ168,IF(AND(BD168=1,DA168&lt;&gt;H168),"Clay call_date should be "&amp;TEXT(H168,"yyyy-mm-dd"),""))))))))</f>
        <v/>
      </c>
      <c r="AZ168" s="23" t="str">
        <f aca="false">IF(TRIM($A168)="","",IF(TRIM(C168)&lt;&gt;"",SUBSTITUTE(SUBSTITUTE(SUBSTITUTE(SUBSTITUTE(SUBSTITUTE(SUBSTITUTE(LOWER(TRIM(C168)),"~",""),"*",""),"?",""),"&lt;",""),"&gt;",""),"=",""),IF(EA168&lt;&gt;"",EA168,IFERROR(INDEX($EA$2:$EA$201,MATCH(DZ168,$EB$2:$EB$201,0)),DZ168))))</f>
        <v/>
      </c>
      <c r="BA168" s="23" t="n">
        <f aca="false">ROW()</f>
        <v>168</v>
      </c>
      <c r="BB168" s="23" t="n">
        <f aca="false">IF(AND(TRIM($A168)&lt;&gt;"",ISNUMBER(H168)),IF(AND(LEFT($A168,6)="SAMPLE",Config!$B$19&lt;&gt;"Y"),0,1),0)</f>
        <v>0</v>
      </c>
      <c r="BC168" s="23" t="n">
        <f aca="false">IF(BB168=1,IF(COUNTIFS($AZ$2:$AZ$201,AZ168,$BB$2:$BB$201,1,$H$2:$H$201,"&lt;"&amp;H168)+COUNTIFS($AZ$2:$AZ$201,AZ168,$BB$2:$BB$201,1,$H$2:$H$201,H168,$BA$2:$BA$201,"&lt;"&amp;BA168)=0,1,0),0)</f>
        <v>0</v>
      </c>
      <c r="BD168" s="23" t="n">
        <f aca="false">IF(BB168=1,IF(COUNTIFS($A$2:$A$201,$A168,$BB$2:$BB$201,1,$H$2:$H$201,"&gt;"&amp;H168)+COUNTIFS($A$2:$A$201,$A168,$BB$2:$BB$201,1,$H$2:$H$201,H168,$BA$2:$BA$201,"&gt;"&amp;BA168)=0,1,0),0)</f>
        <v>0</v>
      </c>
      <c r="BE168" s="23" t="n">
        <f aca="false">IF(AND(BB168=1,AR168="Y",AC168="Y",TRIM(AH168)&lt;&gt;""),1,0)</f>
        <v>0</v>
      </c>
      <c r="BF168" s="23" t="n">
        <f aca="false">IF(BE168=1,IF(COUNTIFS($AZ$2:$AZ$201,AZ168,$BE$2:$BE$201,1,$H$2:$H$201,"&lt;"&amp;H168)+COUNTIFS($AZ$2:$AZ$201,AZ168,$BE$2:$BE$201,1,$H$2:$H$201,H168,$BA$2:$BA$201,"&lt;"&amp;BA168)=0,1,0),0)</f>
        <v>0</v>
      </c>
      <c r="BG168" s="23" t="n">
        <f aca="false">IF(AND(BB168=1,AR168="Y",BE168=0),1,0)</f>
        <v>0</v>
      </c>
      <c r="BH168" s="23" t="n">
        <f aca="false">IF(AND(BB168=1,ISNUMBER(Y168)),1,0)</f>
        <v>0</v>
      </c>
      <c r="BI168" s="23" t="n">
        <f aca="false">IF(BH168=1,IF(COUNTIFS($AZ$2:$AZ$201,AZ168,$BH$2:$BH$201,1,$H$2:$H$201,"&lt;"&amp;H168)+COUNTIFS($AZ$2:$AZ$201,AZ168,$BH$2:$BH$201,1,$H$2:$H$201,H168,$BA$2:$BA$201,"&lt;"&amp;BA168)=0,1,0),0)</f>
        <v>0</v>
      </c>
      <c r="BJ168" s="23" t="str">
        <f aca="false">IF(AND(BI168=1,INT(N(H168))&lt;=Config!$B$6),Y168,"")</f>
        <v/>
      </c>
      <c r="BK168" s="23" t="str">
        <f aca="false">IF(AND(BI168=1,INT(N(H168))&lt;=Config!$B$7),Y168,"")</f>
        <v/>
      </c>
      <c r="BL168" s="23" t="str">
        <f aca="false">IF(AND(BI168=1,INT(N(H168))&lt;=Config!$B$8),Y168,"")</f>
        <v/>
      </c>
      <c r="BM168" s="23" t="str">
        <f aca="false">IF(AND(BI168=1,INT(N(H168))&lt;=Config!$B$5),Y168,"")</f>
        <v/>
      </c>
      <c r="BN168" s="23" t="n">
        <f aca="false">IF(CD168=1,IF(COUNTIFS($AZ$2:$AZ$201,AZ168,$CD$2:$CD$201,1,$H$2:$H$201,"&lt;"&amp;H168)+COUNTIFS($AZ$2:$AZ$201,AZ168,$CD$2:$CD$201,1,$H$2:$H$201,H168,$BA$2:$BA$201,"&lt;"&amp;BA168)=0,1,0),0)</f>
        <v>0</v>
      </c>
      <c r="BO168" s="23" t="n">
        <f aca="false">IF(AND(BB168=1,ISNUMBER(M168)),1,0)</f>
        <v>0</v>
      </c>
      <c r="BP168" s="23" t="n">
        <f aca="false">IF(BO168=1,IF(COUNTIFS($AZ$2:$AZ$201,AZ168,$BO$2:$BO$201,1,$H$2:$H$201,"&lt;"&amp;H168)+COUNTIFS($AZ$2:$AZ$201,AZ168,$BO$2:$BO$201,1,$H$2:$H$201,H168,$BA$2:$BA$201,"&lt;"&amp;BA168)=0,1,0),0)</f>
        <v>0</v>
      </c>
      <c r="BQ168" s="23" t="str">
        <f aca="false">IF(AND(BP168=1,INT(N(H168))&lt;=Config!$B$5),M168,"")</f>
        <v/>
      </c>
      <c r="BR168" s="23" t="n">
        <f aca="false">IF(AND(BB168=1,OR(TRIM(X168)&lt;&gt;"",ISNUMBER(Y168))),1,0)</f>
        <v>0</v>
      </c>
      <c r="BS168" s="23" t="n">
        <f aca="false">IF(BR168=1,IF(COUNTIFS($AZ$2:$AZ$201,AZ168,$BR$2:$BR$201,1,$H$2:$H$201,"&lt;"&amp;H168)+COUNTIFS($AZ$2:$AZ$201,AZ168,$BR$2:$BR$201,1,$H$2:$H$201,H168,$BA$2:$BA$201,"&lt;"&amp;BA168)=0,1,0),0)</f>
        <v>0</v>
      </c>
      <c r="BT168" s="23" t="str">
        <f aca="false">IF(BS168=1,AZ168,"")</f>
        <v/>
      </c>
      <c r="BU168" s="23" t="n">
        <f aca="false">IF(AND(BB168=1,W168="Y",TRIM(X168)=""),1,0)</f>
        <v>0</v>
      </c>
      <c r="BV168" s="23" t="str">
        <f aca="false">IF(BB168=1,AN168&amp;"","")</f>
        <v/>
      </c>
      <c r="BW168" s="23" t="str">
        <f aca="false">IF(BB168=1,AO168&amp;"","")</f>
        <v/>
      </c>
      <c r="BX168" s="23" t="str">
        <f aca="false">IF(BB168=1,AP168&amp;"","")</f>
        <v/>
      </c>
      <c r="BY168" s="23" t="str">
        <f aca="false">IF(AND(BB168=1,ISNUMBER(AV168),INT(N(H168))&lt;=Config!$B$5),AV168,"")</f>
        <v/>
      </c>
      <c r="BZ168" s="23" t="str">
        <f aca="false">IF(BB168=1,IF(COUNTIFS($A$2:$A$201,$A168,$DC$2:$DC$201,1,$AR$2:$AR$201,"Y")&gt;0,"Y","N"),"")</f>
        <v/>
      </c>
      <c r="CA168" s="23" t="n">
        <f aca="false">IF(AND(BB168=1,AR168="maybe"),1,0)</f>
        <v>0</v>
      </c>
      <c r="CB168" s="23" t="n">
        <f aca="false">IF(CA168=1,IF(COUNTIFS($AZ$2:$AZ$201,AZ168,$CA$2:$CA$201,1,$H$2:$H$201,"&lt;"&amp;H168)+COUNTIFS($AZ$2:$AZ$201,AZ168,$CA$2:$CA$201,1,$H$2:$H$201,H168,$BA$2:$BA$201,"&lt;"&amp;BA168)=0,1,0),0)</f>
        <v>0</v>
      </c>
      <c r="CC168" s="23" t="n">
        <f aca="false">IF(AND(BB168=1,AR168="Y"),IF(COUNTIFS($AZ$2:$AZ$201,AZ168,$AR$2:$AR$201,"Y",$BB$2:$BB$201,1,$H$2:$H$201,"&lt;"&amp;H168)+COUNTIFS($AZ$2:$AZ$201,AZ168,$AR$2:$AR$201,"Y",$BB$2:$BB$201,1,$H$2:$H$201,H168,$BA$2:$BA$201,"&lt;"&amp;BA168)=0,1,0),0)</f>
        <v>0</v>
      </c>
      <c r="CD168" s="23" t="n">
        <f aca="false">IF(AND(BH168=1,N(Y168)&gt;=Config!$B$15),1,0)</f>
        <v>0</v>
      </c>
      <c r="CE168" s="23" t="n">
        <f aca="false">IF(AND(BB168=1,AT168="Y"),1,0)</f>
        <v>0</v>
      </c>
      <c r="CF168" s="23" t="n">
        <f aca="false">IF(CE168=1,IF(COUNTIFS($AZ$2:$AZ$201,AZ168,$CE$2:$CE$201,1,$H$2:$H$201,"&lt;"&amp;H168)+COUNTIFS($AZ$2:$AZ$201,AZ168,$CE$2:$CE$201,1,$H$2:$H$201,H168,$BA$2:$BA$201,"&lt;"&amp;BA168)=0,1,0),0)</f>
        <v>0</v>
      </c>
      <c r="CG168" s="23" t="n">
        <f aca="false">IF(AND(BB168=1,G168="warm-intro"),1,0)</f>
        <v>0</v>
      </c>
      <c r="CH168" s="23" t="n">
        <f aca="false">IF(CG168=1,IF(COUNTIFS($AZ$2:$AZ$201,AZ168,$CG$2:$CG$201,1,$H$2:$H$201,"&lt;"&amp;H168)+COUNTIFS($AZ$2:$AZ$201,AZ168,$CG$2:$CG$201,1,$H$2:$H$201,H168,$BA$2:$BA$201,"&lt;"&amp;BA168)=0,1,0),0)</f>
        <v>0</v>
      </c>
      <c r="CI168" s="23" t="n">
        <f aca="false">IF(AND(BB168=1,Q168="Y"),1,0)</f>
        <v>0</v>
      </c>
      <c r="CJ168" s="23" t="n">
        <f aca="false">IF(CI168=1,IF(COUNTIFS($AZ$2:$AZ$201,AZ168,$CI$2:$CI$201,1,$H$2:$H$201,"&lt;"&amp;H168)+COUNTIFS($AZ$2:$AZ$201,AZ168,$CI$2:$CI$201,1,$H$2:$H$201,H168,$BA$2:$BA$201,"&lt;"&amp;BA168)=0,1,0),0)</f>
        <v>0</v>
      </c>
      <c r="CK168" s="23" t="n">
        <f aca="false">IF(AND(BB168=1,AF168="Y"),1,0)</f>
        <v>0</v>
      </c>
      <c r="CL168" s="23" t="n">
        <f aca="false">IF(CK168=1,IF(COUNTIFS($AZ$2:$AZ$201,AZ168,$CK$2:$CK$201,1,$H$2:$H$201,"&lt;"&amp;H168)+COUNTIFS($AZ$2:$AZ$201,AZ168,$CK$2:$CK$201,1,$H$2:$H$201,H168,$BA$2:$BA$201,"&lt;"&amp;BA168)=0,1,0),0)</f>
        <v>0</v>
      </c>
      <c r="CM168" s="23" t="n">
        <f aca="false">IF(AND(BB168=1,U168="Y"),1,0)</f>
        <v>0</v>
      </c>
      <c r="CN168" s="23" t="n">
        <f aca="false">IF(CM168=1,IF(COUNTIFS($AZ$2:$AZ$201,AZ168,$CM$2:$CM$201,1,$H$2:$H$201,"&lt;"&amp;H168)+COUNTIFS($AZ$2:$AZ$201,AZ168,$CM$2:$CM$201,1,$H$2:$H$201,H168,$BA$2:$BA$201,"&lt;"&amp;BA168)=0,1,0),0)</f>
        <v>0</v>
      </c>
      <c r="CO168" s="23" t="n">
        <f aca="false">IF(AND(BB168=1,L168="Y"),1,0)</f>
        <v>0</v>
      </c>
      <c r="CP168" s="23" t="n">
        <f aca="false">IF(CO168=1,IF(COUNTIFS($AZ$2:$AZ$201,AZ168,$CO$2:$CO$201,1,$H$2:$H$201,"&lt;"&amp;H168)+COUNTIFS($AZ$2:$AZ$201,AZ168,$CO$2:$CO$201,1,$H$2:$H$201,H168,$BA$2:$BA$201,"&lt;"&amp;BA168)=0,1,0),0)</f>
        <v>0</v>
      </c>
      <c r="CQ168" s="23" t="n">
        <f aca="false">IF(AND(BB168=1,ISNUMBER(O168)),1,0)</f>
        <v>0</v>
      </c>
      <c r="CR168" s="23" t="n">
        <f aca="false">IF(CQ168=1,IF(COUNTIFS($AZ$2:$AZ$201,AZ168,$CQ$2:$CQ$201,1,$H$2:$H$201,"&lt;"&amp;H168)+COUNTIFS($AZ$2:$AZ$201,AZ168,$CQ$2:$CQ$201,1,$H$2:$H$201,H168,$BA$2:$BA$201,"&lt;"&amp;BA168)=0,1,0),0)</f>
        <v>0</v>
      </c>
      <c r="CS168" s="23" t="str">
        <f aca="false">IF(AND(CR168=1,INT(N(H168))&lt;=Config!$B$5),O168,"")</f>
        <v/>
      </c>
      <c r="CT168" s="23" t="str">
        <f aca="false">IF(AND(BB168=1,INT(N(H168))&lt;=Config!$B$5),AG168&amp;"","")</f>
        <v/>
      </c>
      <c r="CU168" s="23" t="n">
        <f aca="false">IF(AND(BB168=1,AU168="Y"),1,0)</f>
        <v>0</v>
      </c>
      <c r="CV168" s="23" t="n">
        <f aca="false">IF(CU168=1,IF(COUNTIFS($AZ$2:$AZ$201,AZ168,$CU$2:$CU$201,1,$H$2:$H$201,"&lt;"&amp;H168)+COUNTIFS($AZ$2:$AZ$201,AZ168,$CU$2:$CU$201,1,$H$2:$H$201,H168,$BA$2:$BA$201,"&lt;"&amp;BA168)=0,1,0),0)</f>
        <v>0</v>
      </c>
      <c r="CW168" s="23" t="str">
        <f aca="false">IF(BB168=1,IFERROR(MATCH($A168,INDEX(Clay_Offices!$A$2:$FZ$601,0,Sync!$C$5),0),""),"")</f>
        <v/>
      </c>
      <c r="CX168" s="23" t="str">
        <f aca="false">IF(CW168="","",IFERROR(INDEX(Clay_Offices!$A$2:$FZ$601,CW168,Sync!$C$7)&amp;"",""))</f>
        <v/>
      </c>
      <c r="CY168" s="23" t="str">
        <f aca="false">IF(CX168="","",IFERROR(INDEX(Lists!$K$2:$K$15,MATCH(CX168,Lists!$J$2:$J$15,0)),""))</f>
        <v/>
      </c>
      <c r="CZ168" s="23" t="str">
        <f aca="false">IF(CW168="","",IFERROR(INDEX(Clay_Offices!$A$2:$FZ$601,CW168,Sync!$C$17)&amp;"",""))</f>
        <v/>
      </c>
      <c r="DA168" s="35" t="str">
        <f aca="false">IF(CW168="","",IFERROR(N(INDEX(Clay_Offices!$A$2:$FZ$601,CW168,Sync!$C$16)),0))</f>
        <v/>
      </c>
      <c r="DB168" s="23" t="n">
        <f aca="false">IF(AND(BB168=1,OR(AR168="Y",AR168="N",AR168="maybe")),1,0)</f>
        <v>0</v>
      </c>
      <c r="DC168" s="23" t="n">
        <f aca="false">IF(AND(DB168=1),IF(COUNTIFS($A$2:$A$201,$A168,$DB$2:$DB$201,1,$H$2:$H$201,"&gt;"&amp;H168)+COUNTIFS($A$2:$A$201,$A168,$DB$2:$DB$201,1,$H$2:$H$201,H168,$BA$2:$BA$201,"&gt;"&amp;BA168)=0,1,0),0)</f>
        <v>0</v>
      </c>
      <c r="DD168" s="23" t="n">
        <f aca="false">IF(AND(DB168=1,INT(N(H168))&lt;=Config!$B$6),IF(COUNTIFS($AZ$2:$AZ$201,AZ168,$DB$2:$DB$201,1,$H$2:$H$201,"&gt;"&amp;H168,$H$2:$H$201,"&lt;"&amp;(Config!$B$6+1))+COUNTIFS($AZ$2:$AZ$201,AZ168,$DB$2:$DB$201,1,$H$2:$H$201,H168,$BA$2:$BA$201,"&gt;"&amp;BA168)=0,1,0),0)</f>
        <v>0</v>
      </c>
      <c r="DE168" s="23" t="n">
        <f aca="false">IF(AND(DB168=1,INT(N(H168))&lt;=Config!$B$7),IF(COUNTIFS($AZ$2:$AZ$201,AZ168,$DB$2:$DB$201,1,$H$2:$H$201,"&gt;"&amp;H168,$H$2:$H$201,"&lt;"&amp;(Config!$B$7+1))+COUNTIFS($AZ$2:$AZ$201,AZ168,$DB$2:$DB$201,1,$H$2:$H$201,H168,$BA$2:$BA$201,"&gt;"&amp;BA168)=0,1,0),0)</f>
        <v>0</v>
      </c>
      <c r="DF168" s="23" t="n">
        <f aca="false">IF(AND(DB168=1,INT(N(H168))&lt;=Config!$B$8),IF(COUNTIFS($AZ$2:$AZ$201,AZ168,$DB$2:$DB$201,1,$H$2:$H$201,"&gt;"&amp;H168,$H$2:$H$201,"&lt;"&amp;(Config!$B$8+1))+COUNTIFS($AZ$2:$AZ$201,AZ168,$DB$2:$DB$201,1,$H$2:$H$201,H168,$BA$2:$BA$201,"&gt;"&amp;BA168)=0,1,0),0)</f>
        <v>0</v>
      </c>
      <c r="DG168" s="23" t="n">
        <f aca="false">IF(AND(DB168=1,INT(N(H168))&lt;=Config!$B$5),IF(COUNTIFS($AZ$2:$AZ$201,AZ168,$DB$2:$DB$201,1,$H$2:$H$201,"&gt;"&amp;H168,$H$2:$H$201,"&lt;"&amp;(Config!$B$5+1))+COUNTIFS($AZ$2:$AZ$201,AZ168,$DB$2:$DB$201,1,$H$2:$H$201,H168,$BA$2:$BA$201,"&gt;"&amp;BA168)=0,1,0),0)</f>
        <v>0</v>
      </c>
      <c r="DH168" s="23" t="n">
        <f aca="false">IF(BB168=1,IF(COUNTIFS($AZ$2:$AZ$201,AZ168,$DD$2:$DD$201,1,$AR$2:$AR$201,"Y")&gt;0,1,0),0)</f>
        <v>0</v>
      </c>
      <c r="DI168" s="23" t="n">
        <f aca="false">IF(BB168=1,IF(COUNTIFS($AZ$2:$AZ$201,AZ168,$DE$2:$DE$201,1,$AR$2:$AR$201,"Y")&gt;0,1,0),0)</f>
        <v>0</v>
      </c>
      <c r="DJ168" s="23" t="n">
        <f aca="false">IF(BB168=1,IF(COUNTIFS($AZ$2:$AZ$201,AZ168,$DF$2:$DF$201,1,$AR$2:$AR$201,"Y")&gt;0,1,0),0)</f>
        <v>0</v>
      </c>
      <c r="DK168" s="23" t="n">
        <f aca="false">IF(BB168=1,IF(COUNTIFS($AZ$2:$AZ$201,AZ168,$DG$2:$DG$201,1,$AR$2:$AR$201,"Y")&gt;0,1,0),0)</f>
        <v>0</v>
      </c>
      <c r="DL168" s="23" t="n">
        <f aca="false">IF(AND(BF168=1,INT(N(H168))&lt;=Config!$B$6,DH168=1,EI168=0),1,0)</f>
        <v>0</v>
      </c>
      <c r="DM168" s="23" t="n">
        <f aca="false">IF(AND(BF168=1,INT(N(H168))&lt;=Config!$B$7,DI168=1,EI168=0),1,0)</f>
        <v>0</v>
      </c>
      <c r="DN168" s="23" t="n">
        <f aca="false">IF(AND(BF168=1,INT(N(H168))&lt;=Config!$B$8,DJ168=1,EI168=0),1,0)</f>
        <v>0</v>
      </c>
      <c r="DO168" s="23" t="n">
        <f aca="false">IF(AND(BF168=1,INT(N(H168))&lt;=Config!$B$5,DK168=1,EI168=0),1,0)</f>
        <v>0</v>
      </c>
      <c r="DP168" s="23" t="n">
        <f aca="false">IF(AND(CC168=1,INT(N(H168))&lt;=Config!$B$6,DH168=1,EI168=0),1,0)</f>
        <v>0</v>
      </c>
      <c r="DQ168" s="23" t="n">
        <f aca="false">IF(AND(CC168=1,INT(N(H168))&lt;=Config!$B$7,DI168=1,EI168=0),1,0)</f>
        <v>0</v>
      </c>
      <c r="DR168" s="23" t="n">
        <f aca="false">IF(AND(CC168=1,INT(N(H168))&lt;=Config!$B$8,DJ168=1,EI168=0),1,0)</f>
        <v>0</v>
      </c>
      <c r="DS168" s="23" t="n">
        <f aca="false">IF(AND(CC168=1,INT(N(H168))&lt;=Config!$B$5,DK168=1,EI168=0),1,0)</f>
        <v>0</v>
      </c>
      <c r="DT168" s="23" t="n">
        <f aca="false">IF(AND(CC168=1,INT(N(H168))&lt;=Config!$B$6,DH168=0),1,0)</f>
        <v>0</v>
      </c>
      <c r="DU168" s="23" t="n">
        <f aca="false">IF(AND(CC168=1,INT(N(H168))&lt;=Config!$B$7,DI168=0),1,0)</f>
        <v>0</v>
      </c>
      <c r="DV168" s="23" t="n">
        <f aca="false">IF(AND(CC168=1,INT(N(H168))&lt;=Config!$B$8,DJ168=0),1,0)</f>
        <v>0</v>
      </c>
      <c r="DW168" s="23" t="n">
        <f aca="false">IF(AND(CC168=1,INT(N(H168))&lt;=Config!$B$5,DK168=0),1,0)</f>
        <v>0</v>
      </c>
      <c r="DX168" s="23" t="n">
        <f aca="false">IF(TRIM($A168)="",0,ISTEXT(M168)+ISTEXT(O168)+ISTEXT(Y168)+ISTEXT(Z168)+ISTEXT(AA168)+ISTEXT(AV168))</f>
        <v>0</v>
      </c>
      <c r="DY168" s="23" t="n">
        <f aca="false">IF(BB168=1,IF(H168&lt;&gt;INT(H168),1,0),0)</f>
        <v>0</v>
      </c>
      <c r="DZ168" s="23" t="str">
        <f aca="false">IF(TRIM($A168)="","",IF(TRIM(B168)="",SUBSTITUTE(SUBSTITUTE(SUBSTITUTE(SUBSTITUTE(SUBSTITUTE(SUBSTITUTE(LOWER(TRIM($A168)),"~",""),"*",""),"?",""),"&lt;",""),"&gt;",""),"=",""),SUBSTITUTE(SUBSTITUTE(SUBSTITUTE(SUBSTITUTE(SUBSTITUTE(SUBSTITUTE(LOWER(TRIM(B168)),"~",""),"*",""),"?",""),"&lt;",""),"&gt;",""),"=","")))</f>
        <v/>
      </c>
      <c r="EA168" s="23" t="str">
        <f aca="false">IF(CW168="","",IFERROR(IF(LEFT(LOWER(TRIM(INDEX(Clay_Offices!$A$2:$FZ$601,CW168,Sync!$C$19)&amp;"")),4)="grp-",SUBSTITUTE(SUBSTITUTE(SUBSTITUTE(SUBSTITUTE(SUBSTITUTE(SUBSTITUTE(LOWER(TRIM(INDEX(Clay_Offices!$A$2:$FZ$601,CW168,Sync!$C$19)&amp;"")),"~",""),"*",""),"?",""),"&lt;",""),"&gt;",""),"=",""),""),""))</f>
        <v/>
      </c>
      <c r="EB168" s="23" t="str">
        <f aca="false">IF(EA168&lt;&gt;"",DZ168,"")</f>
        <v/>
      </c>
      <c r="EC168" s="23" t="str">
        <f aca="false">IF(BC168=1,AZ168,"")</f>
        <v/>
      </c>
      <c r="ED168" s="23" t="str">
        <f aca="false">IF(TRIM($A168)="","",IFERROR(INDEX($A$2:$A$201,MATCH(AZ168,$EC$2:$EC$201,0))&amp;"",$A168&amp;""))</f>
        <v/>
      </c>
      <c r="EE168" s="23" t="n">
        <f aca="false">IF(BB168=1,IF(COUNTIFS($A$2:$A$201,$A168,$BB$2:$BB$201,1,$H$2:$H$201,"&lt;"&amp;H168)+COUNTIFS($A$2:$A$201,$A168,$BB$2:$BB$201,1,$H$2:$H$201,H168,$BA$2:$BA$201,"&lt;"&amp;BA168)=0,1,0),0)</f>
        <v>0</v>
      </c>
      <c r="EF168" s="23" t="n">
        <f aca="false">IF(BC168=1,IF(COUNTIFS($AZ$2:$AZ$201,AZ168,$EE$2:$EE$201,1)&gt;1,1,0),0)</f>
        <v>0</v>
      </c>
      <c r="EG168" s="23" t="n">
        <f aca="false">IF(AND(CQ168=1),IF(COUNTIFS($AZ$2:$AZ$201,AZ168,$CQ$2:$CQ$201,1,$H$2:$H$201,"&gt;"&amp;H168)+COUNTIFS($AZ$2:$AZ$201,AZ168,$CQ$2:$CQ$201,1,$H$2:$H$201,H168,$BA$2:$BA$201,"&gt;"&amp;BA168)=0,1,0),0)</f>
        <v>0</v>
      </c>
      <c r="EH168" s="23" t="str">
        <f aca="false">IF(BB168=1,IF(COUNTIFS($AZ$2:$AZ$201,AZ168,$EG$2:$EG$201,1)=0,"",SUMIFS($O$2:$O$201,$AZ$2:$AZ$201,AZ168,$EG$2:$EG$201,1)),"")</f>
        <v/>
      </c>
      <c r="EI168" s="23" t="n">
        <f aca="false">IF(AND(ISNUMBER(EH168),OR(N(EH168)&lt;Config!$B$31,N(EH168)&gt;Config!$B$33)),1,0)</f>
        <v>0</v>
      </c>
      <c r="EJ168" s="23" t="n">
        <f aca="false">IF(AND(ISNUMBER(EH168),N(EH168)&gt;=Config!$B$31,N(EH168)&lt;Config!$B$32),1,0)</f>
        <v>0</v>
      </c>
      <c r="EK168" s="23" t="n">
        <f aca="false">IF(AND(BF168=1,INT(N(H168))&lt;=Config!$B$6,DH168=1,EI168=1),1,0)</f>
        <v>0</v>
      </c>
      <c r="EL168" s="23" t="n">
        <f aca="false">IF(AND(BF168=1,INT(N(H168))&lt;=Config!$B$7,DI168=1,EI168=1),1,0)</f>
        <v>0</v>
      </c>
      <c r="EM168" s="23" t="n">
        <f aca="false">IF(AND(BF168=1,INT(N(H168))&lt;=Config!$B$8,DJ168=1,EI168=1),1,0)</f>
        <v>0</v>
      </c>
      <c r="EN168" s="23" t="n">
        <f aca="false">IF(AND(BF168=1,INT(N(H168))&lt;=Config!$B$5,DK168=1,EI168=1),1,0)</f>
        <v>0</v>
      </c>
      <c r="EO168" s="23" t="n">
        <f aca="false">IF(AND(DL168=1,EJ168=1),1,0)</f>
        <v>0</v>
      </c>
      <c r="EP168" s="23" t="n">
        <f aca="false">IF(AND(DM168=1,EJ168=1),1,0)</f>
        <v>0</v>
      </c>
      <c r="EQ168" s="23" t="n">
        <f aca="false">IF(AND(DN168=1,EJ168=1),1,0)</f>
        <v>0</v>
      </c>
      <c r="ER168" s="23" t="n">
        <f aca="false">IF(AND(DO168=1,EJ168=1),1,0)</f>
        <v>0</v>
      </c>
    </row>
    <row r="169" customFormat="false" ht="15" hidden="false" customHeight="false" outlineLevel="0" collapsed="false">
      <c r="G169" s="32"/>
      <c r="H169" s="33"/>
      <c r="I169" s="32"/>
      <c r="L169" s="32"/>
      <c r="Q169" s="32"/>
      <c r="U169" s="32"/>
      <c r="W169" s="32"/>
      <c r="AC169" s="32"/>
      <c r="AF169" s="32"/>
      <c r="AI169" s="32"/>
      <c r="AJ169" s="32"/>
      <c r="AN169" s="32"/>
      <c r="AR169" s="32"/>
      <c r="AT169" s="32"/>
      <c r="AU169" s="32"/>
      <c r="AW169" s="32"/>
      <c r="AY169" s="34" t="str">
        <f aca="false">IF(TRIM($A169)="","",IF(AND(LEFT($A169,6)="SAMPLE",Config!$B$19&lt;&gt;"Y"),"",IF(NOT(ISNUMBER(H169)),"call_date is blank or not a date",IF(Sync!$C$5="","Clay paste is empty or has no row_id column: paste the Clay export on Clay_Offices",IF(CW169="","row_id not found in the Clay paste: add the Clay row or fix the row_id",IF(AND(ISNUMBER(CY169),CY169&gt;=1,CY169&lt;=5),"Clay status is "&amp;CX169&amp;": set call_done or later",IF(AND(BD169=1,CZ169&lt;&gt;BZ169),"Clay yes_in_principle should be "&amp;BZ169,IF(AND(BD169=1,DA169&lt;&gt;H169),"Clay call_date should be "&amp;TEXT(H169,"yyyy-mm-dd"),""))))))))</f>
        <v/>
      </c>
      <c r="AZ169" s="23" t="str">
        <f aca="false">IF(TRIM($A169)="","",IF(TRIM(C169)&lt;&gt;"",SUBSTITUTE(SUBSTITUTE(SUBSTITUTE(SUBSTITUTE(SUBSTITUTE(SUBSTITUTE(LOWER(TRIM(C169)),"~",""),"*",""),"?",""),"&lt;",""),"&gt;",""),"=",""),IF(EA169&lt;&gt;"",EA169,IFERROR(INDEX($EA$2:$EA$201,MATCH(DZ169,$EB$2:$EB$201,0)),DZ169))))</f>
        <v/>
      </c>
      <c r="BA169" s="23" t="n">
        <f aca="false">ROW()</f>
        <v>169</v>
      </c>
      <c r="BB169" s="23" t="n">
        <f aca="false">IF(AND(TRIM($A169)&lt;&gt;"",ISNUMBER(H169)),IF(AND(LEFT($A169,6)="SAMPLE",Config!$B$19&lt;&gt;"Y"),0,1),0)</f>
        <v>0</v>
      </c>
      <c r="BC169" s="23" t="n">
        <f aca="false">IF(BB169=1,IF(COUNTIFS($AZ$2:$AZ$201,AZ169,$BB$2:$BB$201,1,$H$2:$H$201,"&lt;"&amp;H169)+COUNTIFS($AZ$2:$AZ$201,AZ169,$BB$2:$BB$201,1,$H$2:$H$201,H169,$BA$2:$BA$201,"&lt;"&amp;BA169)=0,1,0),0)</f>
        <v>0</v>
      </c>
      <c r="BD169" s="23" t="n">
        <f aca="false">IF(BB169=1,IF(COUNTIFS($A$2:$A$201,$A169,$BB$2:$BB$201,1,$H$2:$H$201,"&gt;"&amp;H169)+COUNTIFS($A$2:$A$201,$A169,$BB$2:$BB$201,1,$H$2:$H$201,H169,$BA$2:$BA$201,"&gt;"&amp;BA169)=0,1,0),0)</f>
        <v>0</v>
      </c>
      <c r="BE169" s="23" t="n">
        <f aca="false">IF(AND(BB169=1,AR169="Y",AC169="Y",TRIM(AH169)&lt;&gt;""),1,0)</f>
        <v>0</v>
      </c>
      <c r="BF169" s="23" t="n">
        <f aca="false">IF(BE169=1,IF(COUNTIFS($AZ$2:$AZ$201,AZ169,$BE$2:$BE$201,1,$H$2:$H$201,"&lt;"&amp;H169)+COUNTIFS($AZ$2:$AZ$201,AZ169,$BE$2:$BE$201,1,$H$2:$H$201,H169,$BA$2:$BA$201,"&lt;"&amp;BA169)=0,1,0),0)</f>
        <v>0</v>
      </c>
      <c r="BG169" s="23" t="n">
        <f aca="false">IF(AND(BB169=1,AR169="Y",BE169=0),1,0)</f>
        <v>0</v>
      </c>
      <c r="BH169" s="23" t="n">
        <f aca="false">IF(AND(BB169=1,ISNUMBER(Y169)),1,0)</f>
        <v>0</v>
      </c>
      <c r="BI169" s="23" t="n">
        <f aca="false">IF(BH169=1,IF(COUNTIFS($AZ$2:$AZ$201,AZ169,$BH$2:$BH$201,1,$H$2:$H$201,"&lt;"&amp;H169)+COUNTIFS($AZ$2:$AZ$201,AZ169,$BH$2:$BH$201,1,$H$2:$H$201,H169,$BA$2:$BA$201,"&lt;"&amp;BA169)=0,1,0),0)</f>
        <v>0</v>
      </c>
      <c r="BJ169" s="23" t="str">
        <f aca="false">IF(AND(BI169=1,INT(N(H169))&lt;=Config!$B$6),Y169,"")</f>
        <v/>
      </c>
      <c r="BK169" s="23" t="str">
        <f aca="false">IF(AND(BI169=1,INT(N(H169))&lt;=Config!$B$7),Y169,"")</f>
        <v/>
      </c>
      <c r="BL169" s="23" t="str">
        <f aca="false">IF(AND(BI169=1,INT(N(H169))&lt;=Config!$B$8),Y169,"")</f>
        <v/>
      </c>
      <c r="BM169" s="23" t="str">
        <f aca="false">IF(AND(BI169=1,INT(N(H169))&lt;=Config!$B$5),Y169,"")</f>
        <v/>
      </c>
      <c r="BN169" s="23" t="n">
        <f aca="false">IF(CD169=1,IF(COUNTIFS($AZ$2:$AZ$201,AZ169,$CD$2:$CD$201,1,$H$2:$H$201,"&lt;"&amp;H169)+COUNTIFS($AZ$2:$AZ$201,AZ169,$CD$2:$CD$201,1,$H$2:$H$201,H169,$BA$2:$BA$201,"&lt;"&amp;BA169)=0,1,0),0)</f>
        <v>0</v>
      </c>
      <c r="BO169" s="23" t="n">
        <f aca="false">IF(AND(BB169=1,ISNUMBER(M169)),1,0)</f>
        <v>0</v>
      </c>
      <c r="BP169" s="23" t="n">
        <f aca="false">IF(BO169=1,IF(COUNTIFS($AZ$2:$AZ$201,AZ169,$BO$2:$BO$201,1,$H$2:$H$201,"&lt;"&amp;H169)+COUNTIFS($AZ$2:$AZ$201,AZ169,$BO$2:$BO$201,1,$H$2:$H$201,H169,$BA$2:$BA$201,"&lt;"&amp;BA169)=0,1,0),0)</f>
        <v>0</v>
      </c>
      <c r="BQ169" s="23" t="str">
        <f aca="false">IF(AND(BP169=1,INT(N(H169))&lt;=Config!$B$5),M169,"")</f>
        <v/>
      </c>
      <c r="BR169" s="23" t="n">
        <f aca="false">IF(AND(BB169=1,OR(TRIM(X169)&lt;&gt;"",ISNUMBER(Y169))),1,0)</f>
        <v>0</v>
      </c>
      <c r="BS169" s="23" t="n">
        <f aca="false">IF(BR169=1,IF(COUNTIFS($AZ$2:$AZ$201,AZ169,$BR$2:$BR$201,1,$H$2:$H$201,"&lt;"&amp;H169)+COUNTIFS($AZ$2:$AZ$201,AZ169,$BR$2:$BR$201,1,$H$2:$H$201,H169,$BA$2:$BA$201,"&lt;"&amp;BA169)=0,1,0),0)</f>
        <v>0</v>
      </c>
      <c r="BT169" s="23" t="str">
        <f aca="false">IF(BS169=1,AZ169,"")</f>
        <v/>
      </c>
      <c r="BU169" s="23" t="n">
        <f aca="false">IF(AND(BB169=1,W169="Y",TRIM(X169)=""),1,0)</f>
        <v>0</v>
      </c>
      <c r="BV169" s="23" t="str">
        <f aca="false">IF(BB169=1,AN169&amp;"","")</f>
        <v/>
      </c>
      <c r="BW169" s="23" t="str">
        <f aca="false">IF(BB169=1,AO169&amp;"","")</f>
        <v/>
      </c>
      <c r="BX169" s="23" t="str">
        <f aca="false">IF(BB169=1,AP169&amp;"","")</f>
        <v/>
      </c>
      <c r="BY169" s="23" t="str">
        <f aca="false">IF(AND(BB169=1,ISNUMBER(AV169),INT(N(H169))&lt;=Config!$B$5),AV169,"")</f>
        <v/>
      </c>
      <c r="BZ169" s="23" t="str">
        <f aca="false">IF(BB169=1,IF(COUNTIFS($A$2:$A$201,$A169,$DC$2:$DC$201,1,$AR$2:$AR$201,"Y")&gt;0,"Y","N"),"")</f>
        <v/>
      </c>
      <c r="CA169" s="23" t="n">
        <f aca="false">IF(AND(BB169=1,AR169="maybe"),1,0)</f>
        <v>0</v>
      </c>
      <c r="CB169" s="23" t="n">
        <f aca="false">IF(CA169=1,IF(COUNTIFS($AZ$2:$AZ$201,AZ169,$CA$2:$CA$201,1,$H$2:$H$201,"&lt;"&amp;H169)+COUNTIFS($AZ$2:$AZ$201,AZ169,$CA$2:$CA$201,1,$H$2:$H$201,H169,$BA$2:$BA$201,"&lt;"&amp;BA169)=0,1,0),0)</f>
        <v>0</v>
      </c>
      <c r="CC169" s="23" t="n">
        <f aca="false">IF(AND(BB169=1,AR169="Y"),IF(COUNTIFS($AZ$2:$AZ$201,AZ169,$AR$2:$AR$201,"Y",$BB$2:$BB$201,1,$H$2:$H$201,"&lt;"&amp;H169)+COUNTIFS($AZ$2:$AZ$201,AZ169,$AR$2:$AR$201,"Y",$BB$2:$BB$201,1,$H$2:$H$201,H169,$BA$2:$BA$201,"&lt;"&amp;BA169)=0,1,0),0)</f>
        <v>0</v>
      </c>
      <c r="CD169" s="23" t="n">
        <f aca="false">IF(AND(BH169=1,N(Y169)&gt;=Config!$B$15),1,0)</f>
        <v>0</v>
      </c>
      <c r="CE169" s="23" t="n">
        <f aca="false">IF(AND(BB169=1,AT169="Y"),1,0)</f>
        <v>0</v>
      </c>
      <c r="CF169" s="23" t="n">
        <f aca="false">IF(CE169=1,IF(COUNTIFS($AZ$2:$AZ$201,AZ169,$CE$2:$CE$201,1,$H$2:$H$201,"&lt;"&amp;H169)+COUNTIFS($AZ$2:$AZ$201,AZ169,$CE$2:$CE$201,1,$H$2:$H$201,H169,$BA$2:$BA$201,"&lt;"&amp;BA169)=0,1,0),0)</f>
        <v>0</v>
      </c>
      <c r="CG169" s="23" t="n">
        <f aca="false">IF(AND(BB169=1,G169="warm-intro"),1,0)</f>
        <v>0</v>
      </c>
      <c r="CH169" s="23" t="n">
        <f aca="false">IF(CG169=1,IF(COUNTIFS($AZ$2:$AZ$201,AZ169,$CG$2:$CG$201,1,$H$2:$H$201,"&lt;"&amp;H169)+COUNTIFS($AZ$2:$AZ$201,AZ169,$CG$2:$CG$201,1,$H$2:$H$201,H169,$BA$2:$BA$201,"&lt;"&amp;BA169)=0,1,0),0)</f>
        <v>0</v>
      </c>
      <c r="CI169" s="23" t="n">
        <f aca="false">IF(AND(BB169=1,Q169="Y"),1,0)</f>
        <v>0</v>
      </c>
      <c r="CJ169" s="23" t="n">
        <f aca="false">IF(CI169=1,IF(COUNTIFS($AZ$2:$AZ$201,AZ169,$CI$2:$CI$201,1,$H$2:$H$201,"&lt;"&amp;H169)+COUNTIFS($AZ$2:$AZ$201,AZ169,$CI$2:$CI$201,1,$H$2:$H$201,H169,$BA$2:$BA$201,"&lt;"&amp;BA169)=0,1,0),0)</f>
        <v>0</v>
      </c>
      <c r="CK169" s="23" t="n">
        <f aca="false">IF(AND(BB169=1,AF169="Y"),1,0)</f>
        <v>0</v>
      </c>
      <c r="CL169" s="23" t="n">
        <f aca="false">IF(CK169=1,IF(COUNTIFS($AZ$2:$AZ$201,AZ169,$CK$2:$CK$201,1,$H$2:$H$201,"&lt;"&amp;H169)+COUNTIFS($AZ$2:$AZ$201,AZ169,$CK$2:$CK$201,1,$H$2:$H$201,H169,$BA$2:$BA$201,"&lt;"&amp;BA169)=0,1,0),0)</f>
        <v>0</v>
      </c>
      <c r="CM169" s="23" t="n">
        <f aca="false">IF(AND(BB169=1,U169="Y"),1,0)</f>
        <v>0</v>
      </c>
      <c r="CN169" s="23" t="n">
        <f aca="false">IF(CM169=1,IF(COUNTIFS($AZ$2:$AZ$201,AZ169,$CM$2:$CM$201,1,$H$2:$H$201,"&lt;"&amp;H169)+COUNTIFS($AZ$2:$AZ$201,AZ169,$CM$2:$CM$201,1,$H$2:$H$201,H169,$BA$2:$BA$201,"&lt;"&amp;BA169)=0,1,0),0)</f>
        <v>0</v>
      </c>
      <c r="CO169" s="23" t="n">
        <f aca="false">IF(AND(BB169=1,L169="Y"),1,0)</f>
        <v>0</v>
      </c>
      <c r="CP169" s="23" t="n">
        <f aca="false">IF(CO169=1,IF(COUNTIFS($AZ$2:$AZ$201,AZ169,$CO$2:$CO$201,1,$H$2:$H$201,"&lt;"&amp;H169)+COUNTIFS($AZ$2:$AZ$201,AZ169,$CO$2:$CO$201,1,$H$2:$H$201,H169,$BA$2:$BA$201,"&lt;"&amp;BA169)=0,1,0),0)</f>
        <v>0</v>
      </c>
      <c r="CQ169" s="23" t="n">
        <f aca="false">IF(AND(BB169=1,ISNUMBER(O169)),1,0)</f>
        <v>0</v>
      </c>
      <c r="CR169" s="23" t="n">
        <f aca="false">IF(CQ169=1,IF(COUNTIFS($AZ$2:$AZ$201,AZ169,$CQ$2:$CQ$201,1,$H$2:$H$201,"&lt;"&amp;H169)+COUNTIFS($AZ$2:$AZ$201,AZ169,$CQ$2:$CQ$201,1,$H$2:$H$201,H169,$BA$2:$BA$201,"&lt;"&amp;BA169)=0,1,0),0)</f>
        <v>0</v>
      </c>
      <c r="CS169" s="23" t="str">
        <f aca="false">IF(AND(CR169=1,INT(N(H169))&lt;=Config!$B$5),O169,"")</f>
        <v/>
      </c>
      <c r="CT169" s="23" t="str">
        <f aca="false">IF(AND(BB169=1,INT(N(H169))&lt;=Config!$B$5),AG169&amp;"","")</f>
        <v/>
      </c>
      <c r="CU169" s="23" t="n">
        <f aca="false">IF(AND(BB169=1,AU169="Y"),1,0)</f>
        <v>0</v>
      </c>
      <c r="CV169" s="23" t="n">
        <f aca="false">IF(CU169=1,IF(COUNTIFS($AZ$2:$AZ$201,AZ169,$CU$2:$CU$201,1,$H$2:$H$201,"&lt;"&amp;H169)+COUNTIFS($AZ$2:$AZ$201,AZ169,$CU$2:$CU$201,1,$H$2:$H$201,H169,$BA$2:$BA$201,"&lt;"&amp;BA169)=0,1,0),0)</f>
        <v>0</v>
      </c>
      <c r="CW169" s="23" t="str">
        <f aca="false">IF(BB169=1,IFERROR(MATCH($A169,INDEX(Clay_Offices!$A$2:$FZ$601,0,Sync!$C$5),0),""),"")</f>
        <v/>
      </c>
      <c r="CX169" s="23" t="str">
        <f aca="false">IF(CW169="","",IFERROR(INDEX(Clay_Offices!$A$2:$FZ$601,CW169,Sync!$C$7)&amp;"",""))</f>
        <v/>
      </c>
      <c r="CY169" s="23" t="str">
        <f aca="false">IF(CX169="","",IFERROR(INDEX(Lists!$K$2:$K$15,MATCH(CX169,Lists!$J$2:$J$15,0)),""))</f>
        <v/>
      </c>
      <c r="CZ169" s="23" t="str">
        <f aca="false">IF(CW169="","",IFERROR(INDEX(Clay_Offices!$A$2:$FZ$601,CW169,Sync!$C$17)&amp;"",""))</f>
        <v/>
      </c>
      <c r="DA169" s="35" t="str">
        <f aca="false">IF(CW169="","",IFERROR(N(INDEX(Clay_Offices!$A$2:$FZ$601,CW169,Sync!$C$16)),0))</f>
        <v/>
      </c>
      <c r="DB169" s="23" t="n">
        <f aca="false">IF(AND(BB169=1,OR(AR169="Y",AR169="N",AR169="maybe")),1,0)</f>
        <v>0</v>
      </c>
      <c r="DC169" s="23" t="n">
        <f aca="false">IF(AND(DB169=1),IF(COUNTIFS($A$2:$A$201,$A169,$DB$2:$DB$201,1,$H$2:$H$201,"&gt;"&amp;H169)+COUNTIFS($A$2:$A$201,$A169,$DB$2:$DB$201,1,$H$2:$H$201,H169,$BA$2:$BA$201,"&gt;"&amp;BA169)=0,1,0),0)</f>
        <v>0</v>
      </c>
      <c r="DD169" s="23" t="n">
        <f aca="false">IF(AND(DB169=1,INT(N(H169))&lt;=Config!$B$6),IF(COUNTIFS($AZ$2:$AZ$201,AZ169,$DB$2:$DB$201,1,$H$2:$H$201,"&gt;"&amp;H169,$H$2:$H$201,"&lt;"&amp;(Config!$B$6+1))+COUNTIFS($AZ$2:$AZ$201,AZ169,$DB$2:$DB$201,1,$H$2:$H$201,H169,$BA$2:$BA$201,"&gt;"&amp;BA169)=0,1,0),0)</f>
        <v>0</v>
      </c>
      <c r="DE169" s="23" t="n">
        <f aca="false">IF(AND(DB169=1,INT(N(H169))&lt;=Config!$B$7),IF(COUNTIFS($AZ$2:$AZ$201,AZ169,$DB$2:$DB$201,1,$H$2:$H$201,"&gt;"&amp;H169,$H$2:$H$201,"&lt;"&amp;(Config!$B$7+1))+COUNTIFS($AZ$2:$AZ$201,AZ169,$DB$2:$DB$201,1,$H$2:$H$201,H169,$BA$2:$BA$201,"&gt;"&amp;BA169)=0,1,0),0)</f>
        <v>0</v>
      </c>
      <c r="DF169" s="23" t="n">
        <f aca="false">IF(AND(DB169=1,INT(N(H169))&lt;=Config!$B$8),IF(COUNTIFS($AZ$2:$AZ$201,AZ169,$DB$2:$DB$201,1,$H$2:$H$201,"&gt;"&amp;H169,$H$2:$H$201,"&lt;"&amp;(Config!$B$8+1))+COUNTIFS($AZ$2:$AZ$201,AZ169,$DB$2:$DB$201,1,$H$2:$H$201,H169,$BA$2:$BA$201,"&gt;"&amp;BA169)=0,1,0),0)</f>
        <v>0</v>
      </c>
      <c r="DG169" s="23" t="n">
        <f aca="false">IF(AND(DB169=1,INT(N(H169))&lt;=Config!$B$5),IF(COUNTIFS($AZ$2:$AZ$201,AZ169,$DB$2:$DB$201,1,$H$2:$H$201,"&gt;"&amp;H169,$H$2:$H$201,"&lt;"&amp;(Config!$B$5+1))+COUNTIFS($AZ$2:$AZ$201,AZ169,$DB$2:$DB$201,1,$H$2:$H$201,H169,$BA$2:$BA$201,"&gt;"&amp;BA169)=0,1,0),0)</f>
        <v>0</v>
      </c>
      <c r="DH169" s="23" t="n">
        <f aca="false">IF(BB169=1,IF(COUNTIFS($AZ$2:$AZ$201,AZ169,$DD$2:$DD$201,1,$AR$2:$AR$201,"Y")&gt;0,1,0),0)</f>
        <v>0</v>
      </c>
      <c r="DI169" s="23" t="n">
        <f aca="false">IF(BB169=1,IF(COUNTIFS($AZ$2:$AZ$201,AZ169,$DE$2:$DE$201,1,$AR$2:$AR$201,"Y")&gt;0,1,0),0)</f>
        <v>0</v>
      </c>
      <c r="DJ169" s="23" t="n">
        <f aca="false">IF(BB169=1,IF(COUNTIFS($AZ$2:$AZ$201,AZ169,$DF$2:$DF$201,1,$AR$2:$AR$201,"Y")&gt;0,1,0),0)</f>
        <v>0</v>
      </c>
      <c r="DK169" s="23" t="n">
        <f aca="false">IF(BB169=1,IF(COUNTIFS($AZ$2:$AZ$201,AZ169,$DG$2:$DG$201,1,$AR$2:$AR$201,"Y")&gt;0,1,0),0)</f>
        <v>0</v>
      </c>
      <c r="DL169" s="23" t="n">
        <f aca="false">IF(AND(BF169=1,INT(N(H169))&lt;=Config!$B$6,DH169=1,EI169=0),1,0)</f>
        <v>0</v>
      </c>
      <c r="DM169" s="23" t="n">
        <f aca="false">IF(AND(BF169=1,INT(N(H169))&lt;=Config!$B$7,DI169=1,EI169=0),1,0)</f>
        <v>0</v>
      </c>
      <c r="DN169" s="23" t="n">
        <f aca="false">IF(AND(BF169=1,INT(N(H169))&lt;=Config!$B$8,DJ169=1,EI169=0),1,0)</f>
        <v>0</v>
      </c>
      <c r="DO169" s="23" t="n">
        <f aca="false">IF(AND(BF169=1,INT(N(H169))&lt;=Config!$B$5,DK169=1,EI169=0),1,0)</f>
        <v>0</v>
      </c>
      <c r="DP169" s="23" t="n">
        <f aca="false">IF(AND(CC169=1,INT(N(H169))&lt;=Config!$B$6,DH169=1,EI169=0),1,0)</f>
        <v>0</v>
      </c>
      <c r="DQ169" s="23" t="n">
        <f aca="false">IF(AND(CC169=1,INT(N(H169))&lt;=Config!$B$7,DI169=1,EI169=0),1,0)</f>
        <v>0</v>
      </c>
      <c r="DR169" s="23" t="n">
        <f aca="false">IF(AND(CC169=1,INT(N(H169))&lt;=Config!$B$8,DJ169=1,EI169=0),1,0)</f>
        <v>0</v>
      </c>
      <c r="DS169" s="23" t="n">
        <f aca="false">IF(AND(CC169=1,INT(N(H169))&lt;=Config!$B$5,DK169=1,EI169=0),1,0)</f>
        <v>0</v>
      </c>
      <c r="DT169" s="23" t="n">
        <f aca="false">IF(AND(CC169=1,INT(N(H169))&lt;=Config!$B$6,DH169=0),1,0)</f>
        <v>0</v>
      </c>
      <c r="DU169" s="23" t="n">
        <f aca="false">IF(AND(CC169=1,INT(N(H169))&lt;=Config!$B$7,DI169=0),1,0)</f>
        <v>0</v>
      </c>
      <c r="DV169" s="23" t="n">
        <f aca="false">IF(AND(CC169=1,INT(N(H169))&lt;=Config!$B$8,DJ169=0),1,0)</f>
        <v>0</v>
      </c>
      <c r="DW169" s="23" t="n">
        <f aca="false">IF(AND(CC169=1,INT(N(H169))&lt;=Config!$B$5,DK169=0),1,0)</f>
        <v>0</v>
      </c>
      <c r="DX169" s="23" t="n">
        <f aca="false">IF(TRIM($A169)="",0,ISTEXT(M169)+ISTEXT(O169)+ISTEXT(Y169)+ISTEXT(Z169)+ISTEXT(AA169)+ISTEXT(AV169))</f>
        <v>0</v>
      </c>
      <c r="DY169" s="23" t="n">
        <f aca="false">IF(BB169=1,IF(H169&lt;&gt;INT(H169),1,0),0)</f>
        <v>0</v>
      </c>
      <c r="DZ169" s="23" t="str">
        <f aca="false">IF(TRIM($A169)="","",IF(TRIM(B169)="",SUBSTITUTE(SUBSTITUTE(SUBSTITUTE(SUBSTITUTE(SUBSTITUTE(SUBSTITUTE(LOWER(TRIM($A169)),"~",""),"*",""),"?",""),"&lt;",""),"&gt;",""),"=",""),SUBSTITUTE(SUBSTITUTE(SUBSTITUTE(SUBSTITUTE(SUBSTITUTE(SUBSTITUTE(LOWER(TRIM(B169)),"~",""),"*",""),"?",""),"&lt;",""),"&gt;",""),"=","")))</f>
        <v/>
      </c>
      <c r="EA169" s="23" t="str">
        <f aca="false">IF(CW169="","",IFERROR(IF(LEFT(LOWER(TRIM(INDEX(Clay_Offices!$A$2:$FZ$601,CW169,Sync!$C$19)&amp;"")),4)="grp-",SUBSTITUTE(SUBSTITUTE(SUBSTITUTE(SUBSTITUTE(SUBSTITUTE(SUBSTITUTE(LOWER(TRIM(INDEX(Clay_Offices!$A$2:$FZ$601,CW169,Sync!$C$19)&amp;"")),"~",""),"*",""),"?",""),"&lt;",""),"&gt;",""),"=",""),""),""))</f>
        <v/>
      </c>
      <c r="EB169" s="23" t="str">
        <f aca="false">IF(EA169&lt;&gt;"",DZ169,"")</f>
        <v/>
      </c>
      <c r="EC169" s="23" t="str">
        <f aca="false">IF(BC169=1,AZ169,"")</f>
        <v/>
      </c>
      <c r="ED169" s="23" t="str">
        <f aca="false">IF(TRIM($A169)="","",IFERROR(INDEX($A$2:$A$201,MATCH(AZ169,$EC$2:$EC$201,0))&amp;"",$A169&amp;""))</f>
        <v/>
      </c>
      <c r="EE169" s="23" t="n">
        <f aca="false">IF(BB169=1,IF(COUNTIFS($A$2:$A$201,$A169,$BB$2:$BB$201,1,$H$2:$H$201,"&lt;"&amp;H169)+COUNTIFS($A$2:$A$201,$A169,$BB$2:$BB$201,1,$H$2:$H$201,H169,$BA$2:$BA$201,"&lt;"&amp;BA169)=0,1,0),0)</f>
        <v>0</v>
      </c>
      <c r="EF169" s="23" t="n">
        <f aca="false">IF(BC169=1,IF(COUNTIFS($AZ$2:$AZ$201,AZ169,$EE$2:$EE$201,1)&gt;1,1,0),0)</f>
        <v>0</v>
      </c>
      <c r="EG169" s="23" t="n">
        <f aca="false">IF(AND(CQ169=1),IF(COUNTIFS($AZ$2:$AZ$201,AZ169,$CQ$2:$CQ$201,1,$H$2:$H$201,"&gt;"&amp;H169)+COUNTIFS($AZ$2:$AZ$201,AZ169,$CQ$2:$CQ$201,1,$H$2:$H$201,H169,$BA$2:$BA$201,"&gt;"&amp;BA169)=0,1,0),0)</f>
        <v>0</v>
      </c>
      <c r="EH169" s="23" t="str">
        <f aca="false">IF(BB169=1,IF(COUNTIFS($AZ$2:$AZ$201,AZ169,$EG$2:$EG$201,1)=0,"",SUMIFS($O$2:$O$201,$AZ$2:$AZ$201,AZ169,$EG$2:$EG$201,1)),"")</f>
        <v/>
      </c>
      <c r="EI169" s="23" t="n">
        <f aca="false">IF(AND(ISNUMBER(EH169),OR(N(EH169)&lt;Config!$B$31,N(EH169)&gt;Config!$B$33)),1,0)</f>
        <v>0</v>
      </c>
      <c r="EJ169" s="23" t="n">
        <f aca="false">IF(AND(ISNUMBER(EH169),N(EH169)&gt;=Config!$B$31,N(EH169)&lt;Config!$B$32),1,0)</f>
        <v>0</v>
      </c>
      <c r="EK169" s="23" t="n">
        <f aca="false">IF(AND(BF169=1,INT(N(H169))&lt;=Config!$B$6,DH169=1,EI169=1),1,0)</f>
        <v>0</v>
      </c>
      <c r="EL169" s="23" t="n">
        <f aca="false">IF(AND(BF169=1,INT(N(H169))&lt;=Config!$B$7,DI169=1,EI169=1),1,0)</f>
        <v>0</v>
      </c>
      <c r="EM169" s="23" t="n">
        <f aca="false">IF(AND(BF169=1,INT(N(H169))&lt;=Config!$B$8,DJ169=1,EI169=1),1,0)</f>
        <v>0</v>
      </c>
      <c r="EN169" s="23" t="n">
        <f aca="false">IF(AND(BF169=1,INT(N(H169))&lt;=Config!$B$5,DK169=1,EI169=1),1,0)</f>
        <v>0</v>
      </c>
      <c r="EO169" s="23" t="n">
        <f aca="false">IF(AND(DL169=1,EJ169=1),1,0)</f>
        <v>0</v>
      </c>
      <c r="EP169" s="23" t="n">
        <f aca="false">IF(AND(DM169=1,EJ169=1),1,0)</f>
        <v>0</v>
      </c>
      <c r="EQ169" s="23" t="n">
        <f aca="false">IF(AND(DN169=1,EJ169=1),1,0)</f>
        <v>0</v>
      </c>
      <c r="ER169" s="23" t="n">
        <f aca="false">IF(AND(DO169=1,EJ169=1),1,0)</f>
        <v>0</v>
      </c>
    </row>
    <row r="170" customFormat="false" ht="15" hidden="false" customHeight="false" outlineLevel="0" collapsed="false">
      <c r="G170" s="32"/>
      <c r="H170" s="33"/>
      <c r="I170" s="32"/>
      <c r="L170" s="32"/>
      <c r="Q170" s="32"/>
      <c r="U170" s="32"/>
      <c r="W170" s="32"/>
      <c r="AC170" s="32"/>
      <c r="AF170" s="32"/>
      <c r="AI170" s="32"/>
      <c r="AJ170" s="32"/>
      <c r="AN170" s="32"/>
      <c r="AR170" s="32"/>
      <c r="AT170" s="32"/>
      <c r="AU170" s="32"/>
      <c r="AW170" s="32"/>
      <c r="AY170" s="34" t="str">
        <f aca="false">IF(TRIM($A170)="","",IF(AND(LEFT($A170,6)="SAMPLE",Config!$B$19&lt;&gt;"Y"),"",IF(NOT(ISNUMBER(H170)),"call_date is blank or not a date",IF(Sync!$C$5="","Clay paste is empty or has no row_id column: paste the Clay export on Clay_Offices",IF(CW170="","row_id not found in the Clay paste: add the Clay row or fix the row_id",IF(AND(ISNUMBER(CY170),CY170&gt;=1,CY170&lt;=5),"Clay status is "&amp;CX170&amp;": set call_done or later",IF(AND(BD170=1,CZ170&lt;&gt;BZ170),"Clay yes_in_principle should be "&amp;BZ170,IF(AND(BD170=1,DA170&lt;&gt;H170),"Clay call_date should be "&amp;TEXT(H170,"yyyy-mm-dd"),""))))))))</f>
        <v/>
      </c>
      <c r="AZ170" s="23" t="str">
        <f aca="false">IF(TRIM($A170)="","",IF(TRIM(C170)&lt;&gt;"",SUBSTITUTE(SUBSTITUTE(SUBSTITUTE(SUBSTITUTE(SUBSTITUTE(SUBSTITUTE(LOWER(TRIM(C170)),"~",""),"*",""),"?",""),"&lt;",""),"&gt;",""),"=",""),IF(EA170&lt;&gt;"",EA170,IFERROR(INDEX($EA$2:$EA$201,MATCH(DZ170,$EB$2:$EB$201,0)),DZ170))))</f>
        <v/>
      </c>
      <c r="BA170" s="23" t="n">
        <f aca="false">ROW()</f>
        <v>170</v>
      </c>
      <c r="BB170" s="23" t="n">
        <f aca="false">IF(AND(TRIM($A170)&lt;&gt;"",ISNUMBER(H170)),IF(AND(LEFT($A170,6)="SAMPLE",Config!$B$19&lt;&gt;"Y"),0,1),0)</f>
        <v>0</v>
      </c>
      <c r="BC170" s="23" t="n">
        <f aca="false">IF(BB170=1,IF(COUNTIFS($AZ$2:$AZ$201,AZ170,$BB$2:$BB$201,1,$H$2:$H$201,"&lt;"&amp;H170)+COUNTIFS($AZ$2:$AZ$201,AZ170,$BB$2:$BB$201,1,$H$2:$H$201,H170,$BA$2:$BA$201,"&lt;"&amp;BA170)=0,1,0),0)</f>
        <v>0</v>
      </c>
      <c r="BD170" s="23" t="n">
        <f aca="false">IF(BB170=1,IF(COUNTIFS($A$2:$A$201,$A170,$BB$2:$BB$201,1,$H$2:$H$201,"&gt;"&amp;H170)+COUNTIFS($A$2:$A$201,$A170,$BB$2:$BB$201,1,$H$2:$H$201,H170,$BA$2:$BA$201,"&gt;"&amp;BA170)=0,1,0),0)</f>
        <v>0</v>
      </c>
      <c r="BE170" s="23" t="n">
        <f aca="false">IF(AND(BB170=1,AR170="Y",AC170="Y",TRIM(AH170)&lt;&gt;""),1,0)</f>
        <v>0</v>
      </c>
      <c r="BF170" s="23" t="n">
        <f aca="false">IF(BE170=1,IF(COUNTIFS($AZ$2:$AZ$201,AZ170,$BE$2:$BE$201,1,$H$2:$H$201,"&lt;"&amp;H170)+COUNTIFS($AZ$2:$AZ$201,AZ170,$BE$2:$BE$201,1,$H$2:$H$201,H170,$BA$2:$BA$201,"&lt;"&amp;BA170)=0,1,0),0)</f>
        <v>0</v>
      </c>
      <c r="BG170" s="23" t="n">
        <f aca="false">IF(AND(BB170=1,AR170="Y",BE170=0),1,0)</f>
        <v>0</v>
      </c>
      <c r="BH170" s="23" t="n">
        <f aca="false">IF(AND(BB170=1,ISNUMBER(Y170)),1,0)</f>
        <v>0</v>
      </c>
      <c r="BI170" s="23" t="n">
        <f aca="false">IF(BH170=1,IF(COUNTIFS($AZ$2:$AZ$201,AZ170,$BH$2:$BH$201,1,$H$2:$H$201,"&lt;"&amp;H170)+COUNTIFS($AZ$2:$AZ$201,AZ170,$BH$2:$BH$201,1,$H$2:$H$201,H170,$BA$2:$BA$201,"&lt;"&amp;BA170)=0,1,0),0)</f>
        <v>0</v>
      </c>
      <c r="BJ170" s="23" t="str">
        <f aca="false">IF(AND(BI170=1,INT(N(H170))&lt;=Config!$B$6),Y170,"")</f>
        <v/>
      </c>
      <c r="BK170" s="23" t="str">
        <f aca="false">IF(AND(BI170=1,INT(N(H170))&lt;=Config!$B$7),Y170,"")</f>
        <v/>
      </c>
      <c r="BL170" s="23" t="str">
        <f aca="false">IF(AND(BI170=1,INT(N(H170))&lt;=Config!$B$8),Y170,"")</f>
        <v/>
      </c>
      <c r="BM170" s="23" t="str">
        <f aca="false">IF(AND(BI170=1,INT(N(H170))&lt;=Config!$B$5),Y170,"")</f>
        <v/>
      </c>
      <c r="BN170" s="23" t="n">
        <f aca="false">IF(CD170=1,IF(COUNTIFS($AZ$2:$AZ$201,AZ170,$CD$2:$CD$201,1,$H$2:$H$201,"&lt;"&amp;H170)+COUNTIFS($AZ$2:$AZ$201,AZ170,$CD$2:$CD$201,1,$H$2:$H$201,H170,$BA$2:$BA$201,"&lt;"&amp;BA170)=0,1,0),0)</f>
        <v>0</v>
      </c>
      <c r="BO170" s="23" t="n">
        <f aca="false">IF(AND(BB170=1,ISNUMBER(M170)),1,0)</f>
        <v>0</v>
      </c>
      <c r="BP170" s="23" t="n">
        <f aca="false">IF(BO170=1,IF(COUNTIFS($AZ$2:$AZ$201,AZ170,$BO$2:$BO$201,1,$H$2:$H$201,"&lt;"&amp;H170)+COUNTIFS($AZ$2:$AZ$201,AZ170,$BO$2:$BO$201,1,$H$2:$H$201,H170,$BA$2:$BA$201,"&lt;"&amp;BA170)=0,1,0),0)</f>
        <v>0</v>
      </c>
      <c r="BQ170" s="23" t="str">
        <f aca="false">IF(AND(BP170=1,INT(N(H170))&lt;=Config!$B$5),M170,"")</f>
        <v/>
      </c>
      <c r="BR170" s="23" t="n">
        <f aca="false">IF(AND(BB170=1,OR(TRIM(X170)&lt;&gt;"",ISNUMBER(Y170))),1,0)</f>
        <v>0</v>
      </c>
      <c r="BS170" s="23" t="n">
        <f aca="false">IF(BR170=1,IF(COUNTIFS($AZ$2:$AZ$201,AZ170,$BR$2:$BR$201,1,$H$2:$H$201,"&lt;"&amp;H170)+COUNTIFS($AZ$2:$AZ$201,AZ170,$BR$2:$BR$201,1,$H$2:$H$201,H170,$BA$2:$BA$201,"&lt;"&amp;BA170)=0,1,0),0)</f>
        <v>0</v>
      </c>
      <c r="BT170" s="23" t="str">
        <f aca="false">IF(BS170=1,AZ170,"")</f>
        <v/>
      </c>
      <c r="BU170" s="23" t="n">
        <f aca="false">IF(AND(BB170=1,W170="Y",TRIM(X170)=""),1,0)</f>
        <v>0</v>
      </c>
      <c r="BV170" s="23" t="str">
        <f aca="false">IF(BB170=1,AN170&amp;"","")</f>
        <v/>
      </c>
      <c r="BW170" s="23" t="str">
        <f aca="false">IF(BB170=1,AO170&amp;"","")</f>
        <v/>
      </c>
      <c r="BX170" s="23" t="str">
        <f aca="false">IF(BB170=1,AP170&amp;"","")</f>
        <v/>
      </c>
      <c r="BY170" s="23" t="str">
        <f aca="false">IF(AND(BB170=1,ISNUMBER(AV170),INT(N(H170))&lt;=Config!$B$5),AV170,"")</f>
        <v/>
      </c>
      <c r="BZ170" s="23" t="str">
        <f aca="false">IF(BB170=1,IF(COUNTIFS($A$2:$A$201,$A170,$DC$2:$DC$201,1,$AR$2:$AR$201,"Y")&gt;0,"Y","N"),"")</f>
        <v/>
      </c>
      <c r="CA170" s="23" t="n">
        <f aca="false">IF(AND(BB170=1,AR170="maybe"),1,0)</f>
        <v>0</v>
      </c>
      <c r="CB170" s="23" t="n">
        <f aca="false">IF(CA170=1,IF(COUNTIFS($AZ$2:$AZ$201,AZ170,$CA$2:$CA$201,1,$H$2:$H$201,"&lt;"&amp;H170)+COUNTIFS($AZ$2:$AZ$201,AZ170,$CA$2:$CA$201,1,$H$2:$H$201,H170,$BA$2:$BA$201,"&lt;"&amp;BA170)=0,1,0),0)</f>
        <v>0</v>
      </c>
      <c r="CC170" s="23" t="n">
        <f aca="false">IF(AND(BB170=1,AR170="Y"),IF(COUNTIFS($AZ$2:$AZ$201,AZ170,$AR$2:$AR$201,"Y",$BB$2:$BB$201,1,$H$2:$H$201,"&lt;"&amp;H170)+COUNTIFS($AZ$2:$AZ$201,AZ170,$AR$2:$AR$201,"Y",$BB$2:$BB$201,1,$H$2:$H$201,H170,$BA$2:$BA$201,"&lt;"&amp;BA170)=0,1,0),0)</f>
        <v>0</v>
      </c>
      <c r="CD170" s="23" t="n">
        <f aca="false">IF(AND(BH170=1,N(Y170)&gt;=Config!$B$15),1,0)</f>
        <v>0</v>
      </c>
      <c r="CE170" s="23" t="n">
        <f aca="false">IF(AND(BB170=1,AT170="Y"),1,0)</f>
        <v>0</v>
      </c>
      <c r="CF170" s="23" t="n">
        <f aca="false">IF(CE170=1,IF(COUNTIFS($AZ$2:$AZ$201,AZ170,$CE$2:$CE$201,1,$H$2:$H$201,"&lt;"&amp;H170)+COUNTIFS($AZ$2:$AZ$201,AZ170,$CE$2:$CE$201,1,$H$2:$H$201,H170,$BA$2:$BA$201,"&lt;"&amp;BA170)=0,1,0),0)</f>
        <v>0</v>
      </c>
      <c r="CG170" s="23" t="n">
        <f aca="false">IF(AND(BB170=1,G170="warm-intro"),1,0)</f>
        <v>0</v>
      </c>
      <c r="CH170" s="23" t="n">
        <f aca="false">IF(CG170=1,IF(COUNTIFS($AZ$2:$AZ$201,AZ170,$CG$2:$CG$201,1,$H$2:$H$201,"&lt;"&amp;H170)+COUNTIFS($AZ$2:$AZ$201,AZ170,$CG$2:$CG$201,1,$H$2:$H$201,H170,$BA$2:$BA$201,"&lt;"&amp;BA170)=0,1,0),0)</f>
        <v>0</v>
      </c>
      <c r="CI170" s="23" t="n">
        <f aca="false">IF(AND(BB170=1,Q170="Y"),1,0)</f>
        <v>0</v>
      </c>
      <c r="CJ170" s="23" t="n">
        <f aca="false">IF(CI170=1,IF(COUNTIFS($AZ$2:$AZ$201,AZ170,$CI$2:$CI$201,1,$H$2:$H$201,"&lt;"&amp;H170)+COUNTIFS($AZ$2:$AZ$201,AZ170,$CI$2:$CI$201,1,$H$2:$H$201,H170,$BA$2:$BA$201,"&lt;"&amp;BA170)=0,1,0),0)</f>
        <v>0</v>
      </c>
      <c r="CK170" s="23" t="n">
        <f aca="false">IF(AND(BB170=1,AF170="Y"),1,0)</f>
        <v>0</v>
      </c>
      <c r="CL170" s="23" t="n">
        <f aca="false">IF(CK170=1,IF(COUNTIFS($AZ$2:$AZ$201,AZ170,$CK$2:$CK$201,1,$H$2:$H$201,"&lt;"&amp;H170)+COUNTIFS($AZ$2:$AZ$201,AZ170,$CK$2:$CK$201,1,$H$2:$H$201,H170,$BA$2:$BA$201,"&lt;"&amp;BA170)=0,1,0),0)</f>
        <v>0</v>
      </c>
      <c r="CM170" s="23" t="n">
        <f aca="false">IF(AND(BB170=1,U170="Y"),1,0)</f>
        <v>0</v>
      </c>
      <c r="CN170" s="23" t="n">
        <f aca="false">IF(CM170=1,IF(COUNTIFS($AZ$2:$AZ$201,AZ170,$CM$2:$CM$201,1,$H$2:$H$201,"&lt;"&amp;H170)+COUNTIFS($AZ$2:$AZ$201,AZ170,$CM$2:$CM$201,1,$H$2:$H$201,H170,$BA$2:$BA$201,"&lt;"&amp;BA170)=0,1,0),0)</f>
        <v>0</v>
      </c>
      <c r="CO170" s="23" t="n">
        <f aca="false">IF(AND(BB170=1,L170="Y"),1,0)</f>
        <v>0</v>
      </c>
      <c r="CP170" s="23" t="n">
        <f aca="false">IF(CO170=1,IF(COUNTIFS($AZ$2:$AZ$201,AZ170,$CO$2:$CO$201,1,$H$2:$H$201,"&lt;"&amp;H170)+COUNTIFS($AZ$2:$AZ$201,AZ170,$CO$2:$CO$201,1,$H$2:$H$201,H170,$BA$2:$BA$201,"&lt;"&amp;BA170)=0,1,0),0)</f>
        <v>0</v>
      </c>
      <c r="CQ170" s="23" t="n">
        <f aca="false">IF(AND(BB170=1,ISNUMBER(O170)),1,0)</f>
        <v>0</v>
      </c>
      <c r="CR170" s="23" t="n">
        <f aca="false">IF(CQ170=1,IF(COUNTIFS($AZ$2:$AZ$201,AZ170,$CQ$2:$CQ$201,1,$H$2:$H$201,"&lt;"&amp;H170)+COUNTIFS($AZ$2:$AZ$201,AZ170,$CQ$2:$CQ$201,1,$H$2:$H$201,H170,$BA$2:$BA$201,"&lt;"&amp;BA170)=0,1,0),0)</f>
        <v>0</v>
      </c>
      <c r="CS170" s="23" t="str">
        <f aca="false">IF(AND(CR170=1,INT(N(H170))&lt;=Config!$B$5),O170,"")</f>
        <v/>
      </c>
      <c r="CT170" s="23" t="str">
        <f aca="false">IF(AND(BB170=1,INT(N(H170))&lt;=Config!$B$5),AG170&amp;"","")</f>
        <v/>
      </c>
      <c r="CU170" s="23" t="n">
        <f aca="false">IF(AND(BB170=1,AU170="Y"),1,0)</f>
        <v>0</v>
      </c>
      <c r="CV170" s="23" t="n">
        <f aca="false">IF(CU170=1,IF(COUNTIFS($AZ$2:$AZ$201,AZ170,$CU$2:$CU$201,1,$H$2:$H$201,"&lt;"&amp;H170)+COUNTIFS($AZ$2:$AZ$201,AZ170,$CU$2:$CU$201,1,$H$2:$H$201,H170,$BA$2:$BA$201,"&lt;"&amp;BA170)=0,1,0),0)</f>
        <v>0</v>
      </c>
      <c r="CW170" s="23" t="str">
        <f aca="false">IF(BB170=1,IFERROR(MATCH($A170,INDEX(Clay_Offices!$A$2:$FZ$601,0,Sync!$C$5),0),""),"")</f>
        <v/>
      </c>
      <c r="CX170" s="23" t="str">
        <f aca="false">IF(CW170="","",IFERROR(INDEX(Clay_Offices!$A$2:$FZ$601,CW170,Sync!$C$7)&amp;"",""))</f>
        <v/>
      </c>
      <c r="CY170" s="23" t="str">
        <f aca="false">IF(CX170="","",IFERROR(INDEX(Lists!$K$2:$K$15,MATCH(CX170,Lists!$J$2:$J$15,0)),""))</f>
        <v/>
      </c>
      <c r="CZ170" s="23" t="str">
        <f aca="false">IF(CW170="","",IFERROR(INDEX(Clay_Offices!$A$2:$FZ$601,CW170,Sync!$C$17)&amp;"",""))</f>
        <v/>
      </c>
      <c r="DA170" s="35" t="str">
        <f aca="false">IF(CW170="","",IFERROR(N(INDEX(Clay_Offices!$A$2:$FZ$601,CW170,Sync!$C$16)),0))</f>
        <v/>
      </c>
      <c r="DB170" s="23" t="n">
        <f aca="false">IF(AND(BB170=1,OR(AR170="Y",AR170="N",AR170="maybe")),1,0)</f>
        <v>0</v>
      </c>
      <c r="DC170" s="23" t="n">
        <f aca="false">IF(AND(DB170=1),IF(COUNTIFS($A$2:$A$201,$A170,$DB$2:$DB$201,1,$H$2:$H$201,"&gt;"&amp;H170)+COUNTIFS($A$2:$A$201,$A170,$DB$2:$DB$201,1,$H$2:$H$201,H170,$BA$2:$BA$201,"&gt;"&amp;BA170)=0,1,0),0)</f>
        <v>0</v>
      </c>
      <c r="DD170" s="23" t="n">
        <f aca="false">IF(AND(DB170=1,INT(N(H170))&lt;=Config!$B$6),IF(COUNTIFS($AZ$2:$AZ$201,AZ170,$DB$2:$DB$201,1,$H$2:$H$201,"&gt;"&amp;H170,$H$2:$H$201,"&lt;"&amp;(Config!$B$6+1))+COUNTIFS($AZ$2:$AZ$201,AZ170,$DB$2:$DB$201,1,$H$2:$H$201,H170,$BA$2:$BA$201,"&gt;"&amp;BA170)=0,1,0),0)</f>
        <v>0</v>
      </c>
      <c r="DE170" s="23" t="n">
        <f aca="false">IF(AND(DB170=1,INT(N(H170))&lt;=Config!$B$7),IF(COUNTIFS($AZ$2:$AZ$201,AZ170,$DB$2:$DB$201,1,$H$2:$H$201,"&gt;"&amp;H170,$H$2:$H$201,"&lt;"&amp;(Config!$B$7+1))+COUNTIFS($AZ$2:$AZ$201,AZ170,$DB$2:$DB$201,1,$H$2:$H$201,H170,$BA$2:$BA$201,"&gt;"&amp;BA170)=0,1,0),0)</f>
        <v>0</v>
      </c>
      <c r="DF170" s="23" t="n">
        <f aca="false">IF(AND(DB170=1,INT(N(H170))&lt;=Config!$B$8),IF(COUNTIFS($AZ$2:$AZ$201,AZ170,$DB$2:$DB$201,1,$H$2:$H$201,"&gt;"&amp;H170,$H$2:$H$201,"&lt;"&amp;(Config!$B$8+1))+COUNTIFS($AZ$2:$AZ$201,AZ170,$DB$2:$DB$201,1,$H$2:$H$201,H170,$BA$2:$BA$201,"&gt;"&amp;BA170)=0,1,0),0)</f>
        <v>0</v>
      </c>
      <c r="DG170" s="23" t="n">
        <f aca="false">IF(AND(DB170=1,INT(N(H170))&lt;=Config!$B$5),IF(COUNTIFS($AZ$2:$AZ$201,AZ170,$DB$2:$DB$201,1,$H$2:$H$201,"&gt;"&amp;H170,$H$2:$H$201,"&lt;"&amp;(Config!$B$5+1))+COUNTIFS($AZ$2:$AZ$201,AZ170,$DB$2:$DB$201,1,$H$2:$H$201,H170,$BA$2:$BA$201,"&gt;"&amp;BA170)=0,1,0),0)</f>
        <v>0</v>
      </c>
      <c r="DH170" s="23" t="n">
        <f aca="false">IF(BB170=1,IF(COUNTIFS($AZ$2:$AZ$201,AZ170,$DD$2:$DD$201,1,$AR$2:$AR$201,"Y")&gt;0,1,0),0)</f>
        <v>0</v>
      </c>
      <c r="DI170" s="23" t="n">
        <f aca="false">IF(BB170=1,IF(COUNTIFS($AZ$2:$AZ$201,AZ170,$DE$2:$DE$201,1,$AR$2:$AR$201,"Y")&gt;0,1,0),0)</f>
        <v>0</v>
      </c>
      <c r="DJ170" s="23" t="n">
        <f aca="false">IF(BB170=1,IF(COUNTIFS($AZ$2:$AZ$201,AZ170,$DF$2:$DF$201,1,$AR$2:$AR$201,"Y")&gt;0,1,0),0)</f>
        <v>0</v>
      </c>
      <c r="DK170" s="23" t="n">
        <f aca="false">IF(BB170=1,IF(COUNTIFS($AZ$2:$AZ$201,AZ170,$DG$2:$DG$201,1,$AR$2:$AR$201,"Y")&gt;0,1,0),0)</f>
        <v>0</v>
      </c>
      <c r="DL170" s="23" t="n">
        <f aca="false">IF(AND(BF170=1,INT(N(H170))&lt;=Config!$B$6,DH170=1,EI170=0),1,0)</f>
        <v>0</v>
      </c>
      <c r="DM170" s="23" t="n">
        <f aca="false">IF(AND(BF170=1,INT(N(H170))&lt;=Config!$B$7,DI170=1,EI170=0),1,0)</f>
        <v>0</v>
      </c>
      <c r="DN170" s="23" t="n">
        <f aca="false">IF(AND(BF170=1,INT(N(H170))&lt;=Config!$B$8,DJ170=1,EI170=0),1,0)</f>
        <v>0</v>
      </c>
      <c r="DO170" s="23" t="n">
        <f aca="false">IF(AND(BF170=1,INT(N(H170))&lt;=Config!$B$5,DK170=1,EI170=0),1,0)</f>
        <v>0</v>
      </c>
      <c r="DP170" s="23" t="n">
        <f aca="false">IF(AND(CC170=1,INT(N(H170))&lt;=Config!$B$6,DH170=1,EI170=0),1,0)</f>
        <v>0</v>
      </c>
      <c r="DQ170" s="23" t="n">
        <f aca="false">IF(AND(CC170=1,INT(N(H170))&lt;=Config!$B$7,DI170=1,EI170=0),1,0)</f>
        <v>0</v>
      </c>
      <c r="DR170" s="23" t="n">
        <f aca="false">IF(AND(CC170=1,INT(N(H170))&lt;=Config!$B$8,DJ170=1,EI170=0),1,0)</f>
        <v>0</v>
      </c>
      <c r="DS170" s="23" t="n">
        <f aca="false">IF(AND(CC170=1,INT(N(H170))&lt;=Config!$B$5,DK170=1,EI170=0),1,0)</f>
        <v>0</v>
      </c>
      <c r="DT170" s="23" t="n">
        <f aca="false">IF(AND(CC170=1,INT(N(H170))&lt;=Config!$B$6,DH170=0),1,0)</f>
        <v>0</v>
      </c>
      <c r="DU170" s="23" t="n">
        <f aca="false">IF(AND(CC170=1,INT(N(H170))&lt;=Config!$B$7,DI170=0),1,0)</f>
        <v>0</v>
      </c>
      <c r="DV170" s="23" t="n">
        <f aca="false">IF(AND(CC170=1,INT(N(H170))&lt;=Config!$B$8,DJ170=0),1,0)</f>
        <v>0</v>
      </c>
      <c r="DW170" s="23" t="n">
        <f aca="false">IF(AND(CC170=1,INT(N(H170))&lt;=Config!$B$5,DK170=0),1,0)</f>
        <v>0</v>
      </c>
      <c r="DX170" s="23" t="n">
        <f aca="false">IF(TRIM($A170)="",0,ISTEXT(M170)+ISTEXT(O170)+ISTEXT(Y170)+ISTEXT(Z170)+ISTEXT(AA170)+ISTEXT(AV170))</f>
        <v>0</v>
      </c>
      <c r="DY170" s="23" t="n">
        <f aca="false">IF(BB170=1,IF(H170&lt;&gt;INT(H170),1,0),0)</f>
        <v>0</v>
      </c>
      <c r="DZ170" s="23" t="str">
        <f aca="false">IF(TRIM($A170)="","",IF(TRIM(B170)="",SUBSTITUTE(SUBSTITUTE(SUBSTITUTE(SUBSTITUTE(SUBSTITUTE(SUBSTITUTE(LOWER(TRIM($A170)),"~",""),"*",""),"?",""),"&lt;",""),"&gt;",""),"=",""),SUBSTITUTE(SUBSTITUTE(SUBSTITUTE(SUBSTITUTE(SUBSTITUTE(SUBSTITUTE(LOWER(TRIM(B170)),"~",""),"*",""),"?",""),"&lt;",""),"&gt;",""),"=","")))</f>
        <v/>
      </c>
      <c r="EA170" s="23" t="str">
        <f aca="false">IF(CW170="","",IFERROR(IF(LEFT(LOWER(TRIM(INDEX(Clay_Offices!$A$2:$FZ$601,CW170,Sync!$C$19)&amp;"")),4)="grp-",SUBSTITUTE(SUBSTITUTE(SUBSTITUTE(SUBSTITUTE(SUBSTITUTE(SUBSTITUTE(LOWER(TRIM(INDEX(Clay_Offices!$A$2:$FZ$601,CW170,Sync!$C$19)&amp;"")),"~",""),"*",""),"?",""),"&lt;",""),"&gt;",""),"=",""),""),""))</f>
        <v/>
      </c>
      <c r="EB170" s="23" t="str">
        <f aca="false">IF(EA170&lt;&gt;"",DZ170,"")</f>
        <v/>
      </c>
      <c r="EC170" s="23" t="str">
        <f aca="false">IF(BC170=1,AZ170,"")</f>
        <v/>
      </c>
      <c r="ED170" s="23" t="str">
        <f aca="false">IF(TRIM($A170)="","",IFERROR(INDEX($A$2:$A$201,MATCH(AZ170,$EC$2:$EC$201,0))&amp;"",$A170&amp;""))</f>
        <v/>
      </c>
      <c r="EE170" s="23" t="n">
        <f aca="false">IF(BB170=1,IF(COUNTIFS($A$2:$A$201,$A170,$BB$2:$BB$201,1,$H$2:$H$201,"&lt;"&amp;H170)+COUNTIFS($A$2:$A$201,$A170,$BB$2:$BB$201,1,$H$2:$H$201,H170,$BA$2:$BA$201,"&lt;"&amp;BA170)=0,1,0),0)</f>
        <v>0</v>
      </c>
      <c r="EF170" s="23" t="n">
        <f aca="false">IF(BC170=1,IF(COUNTIFS($AZ$2:$AZ$201,AZ170,$EE$2:$EE$201,1)&gt;1,1,0),0)</f>
        <v>0</v>
      </c>
      <c r="EG170" s="23" t="n">
        <f aca="false">IF(AND(CQ170=1),IF(COUNTIFS($AZ$2:$AZ$201,AZ170,$CQ$2:$CQ$201,1,$H$2:$H$201,"&gt;"&amp;H170)+COUNTIFS($AZ$2:$AZ$201,AZ170,$CQ$2:$CQ$201,1,$H$2:$H$201,H170,$BA$2:$BA$201,"&gt;"&amp;BA170)=0,1,0),0)</f>
        <v>0</v>
      </c>
      <c r="EH170" s="23" t="str">
        <f aca="false">IF(BB170=1,IF(COUNTIFS($AZ$2:$AZ$201,AZ170,$EG$2:$EG$201,1)=0,"",SUMIFS($O$2:$O$201,$AZ$2:$AZ$201,AZ170,$EG$2:$EG$201,1)),"")</f>
        <v/>
      </c>
      <c r="EI170" s="23" t="n">
        <f aca="false">IF(AND(ISNUMBER(EH170),OR(N(EH170)&lt;Config!$B$31,N(EH170)&gt;Config!$B$33)),1,0)</f>
        <v>0</v>
      </c>
      <c r="EJ170" s="23" t="n">
        <f aca="false">IF(AND(ISNUMBER(EH170),N(EH170)&gt;=Config!$B$31,N(EH170)&lt;Config!$B$32),1,0)</f>
        <v>0</v>
      </c>
      <c r="EK170" s="23" t="n">
        <f aca="false">IF(AND(BF170=1,INT(N(H170))&lt;=Config!$B$6,DH170=1,EI170=1),1,0)</f>
        <v>0</v>
      </c>
      <c r="EL170" s="23" t="n">
        <f aca="false">IF(AND(BF170=1,INT(N(H170))&lt;=Config!$B$7,DI170=1,EI170=1),1,0)</f>
        <v>0</v>
      </c>
      <c r="EM170" s="23" t="n">
        <f aca="false">IF(AND(BF170=1,INT(N(H170))&lt;=Config!$B$8,DJ170=1,EI170=1),1,0)</f>
        <v>0</v>
      </c>
      <c r="EN170" s="23" t="n">
        <f aca="false">IF(AND(BF170=1,INT(N(H170))&lt;=Config!$B$5,DK170=1,EI170=1),1,0)</f>
        <v>0</v>
      </c>
      <c r="EO170" s="23" t="n">
        <f aca="false">IF(AND(DL170=1,EJ170=1),1,0)</f>
        <v>0</v>
      </c>
      <c r="EP170" s="23" t="n">
        <f aca="false">IF(AND(DM170=1,EJ170=1),1,0)</f>
        <v>0</v>
      </c>
      <c r="EQ170" s="23" t="n">
        <f aca="false">IF(AND(DN170=1,EJ170=1),1,0)</f>
        <v>0</v>
      </c>
      <c r="ER170" s="23" t="n">
        <f aca="false">IF(AND(DO170=1,EJ170=1),1,0)</f>
        <v>0</v>
      </c>
    </row>
    <row r="171" customFormat="false" ht="15" hidden="false" customHeight="false" outlineLevel="0" collapsed="false">
      <c r="G171" s="32"/>
      <c r="H171" s="33"/>
      <c r="I171" s="32"/>
      <c r="L171" s="32"/>
      <c r="Q171" s="32"/>
      <c r="U171" s="32"/>
      <c r="W171" s="32"/>
      <c r="AC171" s="32"/>
      <c r="AF171" s="32"/>
      <c r="AI171" s="32"/>
      <c r="AJ171" s="32"/>
      <c r="AN171" s="32"/>
      <c r="AR171" s="32"/>
      <c r="AT171" s="32"/>
      <c r="AU171" s="32"/>
      <c r="AW171" s="32"/>
      <c r="AY171" s="34" t="str">
        <f aca="false">IF(TRIM($A171)="","",IF(AND(LEFT($A171,6)="SAMPLE",Config!$B$19&lt;&gt;"Y"),"",IF(NOT(ISNUMBER(H171)),"call_date is blank or not a date",IF(Sync!$C$5="","Clay paste is empty or has no row_id column: paste the Clay export on Clay_Offices",IF(CW171="","row_id not found in the Clay paste: add the Clay row or fix the row_id",IF(AND(ISNUMBER(CY171),CY171&gt;=1,CY171&lt;=5),"Clay status is "&amp;CX171&amp;": set call_done or later",IF(AND(BD171=1,CZ171&lt;&gt;BZ171),"Clay yes_in_principle should be "&amp;BZ171,IF(AND(BD171=1,DA171&lt;&gt;H171),"Clay call_date should be "&amp;TEXT(H171,"yyyy-mm-dd"),""))))))))</f>
        <v/>
      </c>
      <c r="AZ171" s="23" t="str">
        <f aca="false">IF(TRIM($A171)="","",IF(TRIM(C171)&lt;&gt;"",SUBSTITUTE(SUBSTITUTE(SUBSTITUTE(SUBSTITUTE(SUBSTITUTE(SUBSTITUTE(LOWER(TRIM(C171)),"~",""),"*",""),"?",""),"&lt;",""),"&gt;",""),"=",""),IF(EA171&lt;&gt;"",EA171,IFERROR(INDEX($EA$2:$EA$201,MATCH(DZ171,$EB$2:$EB$201,0)),DZ171))))</f>
        <v/>
      </c>
      <c r="BA171" s="23" t="n">
        <f aca="false">ROW()</f>
        <v>171</v>
      </c>
      <c r="BB171" s="23" t="n">
        <f aca="false">IF(AND(TRIM($A171)&lt;&gt;"",ISNUMBER(H171)),IF(AND(LEFT($A171,6)="SAMPLE",Config!$B$19&lt;&gt;"Y"),0,1),0)</f>
        <v>0</v>
      </c>
      <c r="BC171" s="23" t="n">
        <f aca="false">IF(BB171=1,IF(COUNTIFS($AZ$2:$AZ$201,AZ171,$BB$2:$BB$201,1,$H$2:$H$201,"&lt;"&amp;H171)+COUNTIFS($AZ$2:$AZ$201,AZ171,$BB$2:$BB$201,1,$H$2:$H$201,H171,$BA$2:$BA$201,"&lt;"&amp;BA171)=0,1,0),0)</f>
        <v>0</v>
      </c>
      <c r="BD171" s="23" t="n">
        <f aca="false">IF(BB171=1,IF(COUNTIFS($A$2:$A$201,$A171,$BB$2:$BB$201,1,$H$2:$H$201,"&gt;"&amp;H171)+COUNTIFS($A$2:$A$201,$A171,$BB$2:$BB$201,1,$H$2:$H$201,H171,$BA$2:$BA$201,"&gt;"&amp;BA171)=0,1,0),0)</f>
        <v>0</v>
      </c>
      <c r="BE171" s="23" t="n">
        <f aca="false">IF(AND(BB171=1,AR171="Y",AC171="Y",TRIM(AH171)&lt;&gt;""),1,0)</f>
        <v>0</v>
      </c>
      <c r="BF171" s="23" t="n">
        <f aca="false">IF(BE171=1,IF(COUNTIFS($AZ$2:$AZ$201,AZ171,$BE$2:$BE$201,1,$H$2:$H$201,"&lt;"&amp;H171)+COUNTIFS($AZ$2:$AZ$201,AZ171,$BE$2:$BE$201,1,$H$2:$H$201,H171,$BA$2:$BA$201,"&lt;"&amp;BA171)=0,1,0),0)</f>
        <v>0</v>
      </c>
      <c r="BG171" s="23" t="n">
        <f aca="false">IF(AND(BB171=1,AR171="Y",BE171=0),1,0)</f>
        <v>0</v>
      </c>
      <c r="BH171" s="23" t="n">
        <f aca="false">IF(AND(BB171=1,ISNUMBER(Y171)),1,0)</f>
        <v>0</v>
      </c>
      <c r="BI171" s="23" t="n">
        <f aca="false">IF(BH171=1,IF(COUNTIFS($AZ$2:$AZ$201,AZ171,$BH$2:$BH$201,1,$H$2:$H$201,"&lt;"&amp;H171)+COUNTIFS($AZ$2:$AZ$201,AZ171,$BH$2:$BH$201,1,$H$2:$H$201,H171,$BA$2:$BA$201,"&lt;"&amp;BA171)=0,1,0),0)</f>
        <v>0</v>
      </c>
      <c r="BJ171" s="23" t="str">
        <f aca="false">IF(AND(BI171=1,INT(N(H171))&lt;=Config!$B$6),Y171,"")</f>
        <v/>
      </c>
      <c r="BK171" s="23" t="str">
        <f aca="false">IF(AND(BI171=1,INT(N(H171))&lt;=Config!$B$7),Y171,"")</f>
        <v/>
      </c>
      <c r="BL171" s="23" t="str">
        <f aca="false">IF(AND(BI171=1,INT(N(H171))&lt;=Config!$B$8),Y171,"")</f>
        <v/>
      </c>
      <c r="BM171" s="23" t="str">
        <f aca="false">IF(AND(BI171=1,INT(N(H171))&lt;=Config!$B$5),Y171,"")</f>
        <v/>
      </c>
      <c r="BN171" s="23" t="n">
        <f aca="false">IF(CD171=1,IF(COUNTIFS($AZ$2:$AZ$201,AZ171,$CD$2:$CD$201,1,$H$2:$H$201,"&lt;"&amp;H171)+COUNTIFS($AZ$2:$AZ$201,AZ171,$CD$2:$CD$201,1,$H$2:$H$201,H171,$BA$2:$BA$201,"&lt;"&amp;BA171)=0,1,0),0)</f>
        <v>0</v>
      </c>
      <c r="BO171" s="23" t="n">
        <f aca="false">IF(AND(BB171=1,ISNUMBER(M171)),1,0)</f>
        <v>0</v>
      </c>
      <c r="BP171" s="23" t="n">
        <f aca="false">IF(BO171=1,IF(COUNTIFS($AZ$2:$AZ$201,AZ171,$BO$2:$BO$201,1,$H$2:$H$201,"&lt;"&amp;H171)+COUNTIFS($AZ$2:$AZ$201,AZ171,$BO$2:$BO$201,1,$H$2:$H$201,H171,$BA$2:$BA$201,"&lt;"&amp;BA171)=0,1,0),0)</f>
        <v>0</v>
      </c>
      <c r="BQ171" s="23" t="str">
        <f aca="false">IF(AND(BP171=1,INT(N(H171))&lt;=Config!$B$5),M171,"")</f>
        <v/>
      </c>
      <c r="BR171" s="23" t="n">
        <f aca="false">IF(AND(BB171=1,OR(TRIM(X171)&lt;&gt;"",ISNUMBER(Y171))),1,0)</f>
        <v>0</v>
      </c>
      <c r="BS171" s="23" t="n">
        <f aca="false">IF(BR171=1,IF(COUNTIFS($AZ$2:$AZ$201,AZ171,$BR$2:$BR$201,1,$H$2:$H$201,"&lt;"&amp;H171)+COUNTIFS($AZ$2:$AZ$201,AZ171,$BR$2:$BR$201,1,$H$2:$H$201,H171,$BA$2:$BA$201,"&lt;"&amp;BA171)=0,1,0),0)</f>
        <v>0</v>
      </c>
      <c r="BT171" s="23" t="str">
        <f aca="false">IF(BS171=1,AZ171,"")</f>
        <v/>
      </c>
      <c r="BU171" s="23" t="n">
        <f aca="false">IF(AND(BB171=1,W171="Y",TRIM(X171)=""),1,0)</f>
        <v>0</v>
      </c>
      <c r="BV171" s="23" t="str">
        <f aca="false">IF(BB171=1,AN171&amp;"","")</f>
        <v/>
      </c>
      <c r="BW171" s="23" t="str">
        <f aca="false">IF(BB171=1,AO171&amp;"","")</f>
        <v/>
      </c>
      <c r="BX171" s="23" t="str">
        <f aca="false">IF(BB171=1,AP171&amp;"","")</f>
        <v/>
      </c>
      <c r="BY171" s="23" t="str">
        <f aca="false">IF(AND(BB171=1,ISNUMBER(AV171),INT(N(H171))&lt;=Config!$B$5),AV171,"")</f>
        <v/>
      </c>
      <c r="BZ171" s="23" t="str">
        <f aca="false">IF(BB171=1,IF(COUNTIFS($A$2:$A$201,$A171,$DC$2:$DC$201,1,$AR$2:$AR$201,"Y")&gt;0,"Y","N"),"")</f>
        <v/>
      </c>
      <c r="CA171" s="23" t="n">
        <f aca="false">IF(AND(BB171=1,AR171="maybe"),1,0)</f>
        <v>0</v>
      </c>
      <c r="CB171" s="23" t="n">
        <f aca="false">IF(CA171=1,IF(COUNTIFS($AZ$2:$AZ$201,AZ171,$CA$2:$CA$201,1,$H$2:$H$201,"&lt;"&amp;H171)+COUNTIFS($AZ$2:$AZ$201,AZ171,$CA$2:$CA$201,1,$H$2:$H$201,H171,$BA$2:$BA$201,"&lt;"&amp;BA171)=0,1,0),0)</f>
        <v>0</v>
      </c>
      <c r="CC171" s="23" t="n">
        <f aca="false">IF(AND(BB171=1,AR171="Y"),IF(COUNTIFS($AZ$2:$AZ$201,AZ171,$AR$2:$AR$201,"Y",$BB$2:$BB$201,1,$H$2:$H$201,"&lt;"&amp;H171)+COUNTIFS($AZ$2:$AZ$201,AZ171,$AR$2:$AR$201,"Y",$BB$2:$BB$201,1,$H$2:$H$201,H171,$BA$2:$BA$201,"&lt;"&amp;BA171)=0,1,0),0)</f>
        <v>0</v>
      </c>
      <c r="CD171" s="23" t="n">
        <f aca="false">IF(AND(BH171=1,N(Y171)&gt;=Config!$B$15),1,0)</f>
        <v>0</v>
      </c>
      <c r="CE171" s="23" t="n">
        <f aca="false">IF(AND(BB171=1,AT171="Y"),1,0)</f>
        <v>0</v>
      </c>
      <c r="CF171" s="23" t="n">
        <f aca="false">IF(CE171=1,IF(COUNTIFS($AZ$2:$AZ$201,AZ171,$CE$2:$CE$201,1,$H$2:$H$201,"&lt;"&amp;H171)+COUNTIFS($AZ$2:$AZ$201,AZ171,$CE$2:$CE$201,1,$H$2:$H$201,H171,$BA$2:$BA$201,"&lt;"&amp;BA171)=0,1,0),0)</f>
        <v>0</v>
      </c>
      <c r="CG171" s="23" t="n">
        <f aca="false">IF(AND(BB171=1,G171="warm-intro"),1,0)</f>
        <v>0</v>
      </c>
      <c r="CH171" s="23" t="n">
        <f aca="false">IF(CG171=1,IF(COUNTIFS($AZ$2:$AZ$201,AZ171,$CG$2:$CG$201,1,$H$2:$H$201,"&lt;"&amp;H171)+COUNTIFS($AZ$2:$AZ$201,AZ171,$CG$2:$CG$201,1,$H$2:$H$201,H171,$BA$2:$BA$201,"&lt;"&amp;BA171)=0,1,0),0)</f>
        <v>0</v>
      </c>
      <c r="CI171" s="23" t="n">
        <f aca="false">IF(AND(BB171=1,Q171="Y"),1,0)</f>
        <v>0</v>
      </c>
      <c r="CJ171" s="23" t="n">
        <f aca="false">IF(CI171=1,IF(COUNTIFS($AZ$2:$AZ$201,AZ171,$CI$2:$CI$201,1,$H$2:$H$201,"&lt;"&amp;H171)+COUNTIFS($AZ$2:$AZ$201,AZ171,$CI$2:$CI$201,1,$H$2:$H$201,H171,$BA$2:$BA$201,"&lt;"&amp;BA171)=0,1,0),0)</f>
        <v>0</v>
      </c>
      <c r="CK171" s="23" t="n">
        <f aca="false">IF(AND(BB171=1,AF171="Y"),1,0)</f>
        <v>0</v>
      </c>
      <c r="CL171" s="23" t="n">
        <f aca="false">IF(CK171=1,IF(COUNTIFS($AZ$2:$AZ$201,AZ171,$CK$2:$CK$201,1,$H$2:$H$201,"&lt;"&amp;H171)+COUNTIFS($AZ$2:$AZ$201,AZ171,$CK$2:$CK$201,1,$H$2:$H$201,H171,$BA$2:$BA$201,"&lt;"&amp;BA171)=0,1,0),0)</f>
        <v>0</v>
      </c>
      <c r="CM171" s="23" t="n">
        <f aca="false">IF(AND(BB171=1,U171="Y"),1,0)</f>
        <v>0</v>
      </c>
      <c r="CN171" s="23" t="n">
        <f aca="false">IF(CM171=1,IF(COUNTIFS($AZ$2:$AZ$201,AZ171,$CM$2:$CM$201,1,$H$2:$H$201,"&lt;"&amp;H171)+COUNTIFS($AZ$2:$AZ$201,AZ171,$CM$2:$CM$201,1,$H$2:$H$201,H171,$BA$2:$BA$201,"&lt;"&amp;BA171)=0,1,0),0)</f>
        <v>0</v>
      </c>
      <c r="CO171" s="23" t="n">
        <f aca="false">IF(AND(BB171=1,L171="Y"),1,0)</f>
        <v>0</v>
      </c>
      <c r="CP171" s="23" t="n">
        <f aca="false">IF(CO171=1,IF(COUNTIFS($AZ$2:$AZ$201,AZ171,$CO$2:$CO$201,1,$H$2:$H$201,"&lt;"&amp;H171)+COUNTIFS($AZ$2:$AZ$201,AZ171,$CO$2:$CO$201,1,$H$2:$H$201,H171,$BA$2:$BA$201,"&lt;"&amp;BA171)=0,1,0),0)</f>
        <v>0</v>
      </c>
      <c r="CQ171" s="23" t="n">
        <f aca="false">IF(AND(BB171=1,ISNUMBER(O171)),1,0)</f>
        <v>0</v>
      </c>
      <c r="CR171" s="23" t="n">
        <f aca="false">IF(CQ171=1,IF(COUNTIFS($AZ$2:$AZ$201,AZ171,$CQ$2:$CQ$201,1,$H$2:$H$201,"&lt;"&amp;H171)+COUNTIFS($AZ$2:$AZ$201,AZ171,$CQ$2:$CQ$201,1,$H$2:$H$201,H171,$BA$2:$BA$201,"&lt;"&amp;BA171)=0,1,0),0)</f>
        <v>0</v>
      </c>
      <c r="CS171" s="23" t="str">
        <f aca="false">IF(AND(CR171=1,INT(N(H171))&lt;=Config!$B$5),O171,"")</f>
        <v/>
      </c>
      <c r="CT171" s="23" t="str">
        <f aca="false">IF(AND(BB171=1,INT(N(H171))&lt;=Config!$B$5),AG171&amp;"","")</f>
        <v/>
      </c>
      <c r="CU171" s="23" t="n">
        <f aca="false">IF(AND(BB171=1,AU171="Y"),1,0)</f>
        <v>0</v>
      </c>
      <c r="CV171" s="23" t="n">
        <f aca="false">IF(CU171=1,IF(COUNTIFS($AZ$2:$AZ$201,AZ171,$CU$2:$CU$201,1,$H$2:$H$201,"&lt;"&amp;H171)+COUNTIFS($AZ$2:$AZ$201,AZ171,$CU$2:$CU$201,1,$H$2:$H$201,H171,$BA$2:$BA$201,"&lt;"&amp;BA171)=0,1,0),0)</f>
        <v>0</v>
      </c>
      <c r="CW171" s="23" t="str">
        <f aca="false">IF(BB171=1,IFERROR(MATCH($A171,INDEX(Clay_Offices!$A$2:$FZ$601,0,Sync!$C$5),0),""),"")</f>
        <v/>
      </c>
      <c r="CX171" s="23" t="str">
        <f aca="false">IF(CW171="","",IFERROR(INDEX(Clay_Offices!$A$2:$FZ$601,CW171,Sync!$C$7)&amp;"",""))</f>
        <v/>
      </c>
      <c r="CY171" s="23" t="str">
        <f aca="false">IF(CX171="","",IFERROR(INDEX(Lists!$K$2:$K$15,MATCH(CX171,Lists!$J$2:$J$15,0)),""))</f>
        <v/>
      </c>
      <c r="CZ171" s="23" t="str">
        <f aca="false">IF(CW171="","",IFERROR(INDEX(Clay_Offices!$A$2:$FZ$601,CW171,Sync!$C$17)&amp;"",""))</f>
        <v/>
      </c>
      <c r="DA171" s="35" t="str">
        <f aca="false">IF(CW171="","",IFERROR(N(INDEX(Clay_Offices!$A$2:$FZ$601,CW171,Sync!$C$16)),0))</f>
        <v/>
      </c>
      <c r="DB171" s="23" t="n">
        <f aca="false">IF(AND(BB171=1,OR(AR171="Y",AR171="N",AR171="maybe")),1,0)</f>
        <v>0</v>
      </c>
      <c r="DC171" s="23" t="n">
        <f aca="false">IF(AND(DB171=1),IF(COUNTIFS($A$2:$A$201,$A171,$DB$2:$DB$201,1,$H$2:$H$201,"&gt;"&amp;H171)+COUNTIFS($A$2:$A$201,$A171,$DB$2:$DB$201,1,$H$2:$H$201,H171,$BA$2:$BA$201,"&gt;"&amp;BA171)=0,1,0),0)</f>
        <v>0</v>
      </c>
      <c r="DD171" s="23" t="n">
        <f aca="false">IF(AND(DB171=1,INT(N(H171))&lt;=Config!$B$6),IF(COUNTIFS($AZ$2:$AZ$201,AZ171,$DB$2:$DB$201,1,$H$2:$H$201,"&gt;"&amp;H171,$H$2:$H$201,"&lt;"&amp;(Config!$B$6+1))+COUNTIFS($AZ$2:$AZ$201,AZ171,$DB$2:$DB$201,1,$H$2:$H$201,H171,$BA$2:$BA$201,"&gt;"&amp;BA171)=0,1,0),0)</f>
        <v>0</v>
      </c>
      <c r="DE171" s="23" t="n">
        <f aca="false">IF(AND(DB171=1,INT(N(H171))&lt;=Config!$B$7),IF(COUNTIFS($AZ$2:$AZ$201,AZ171,$DB$2:$DB$201,1,$H$2:$H$201,"&gt;"&amp;H171,$H$2:$H$201,"&lt;"&amp;(Config!$B$7+1))+COUNTIFS($AZ$2:$AZ$201,AZ171,$DB$2:$DB$201,1,$H$2:$H$201,H171,$BA$2:$BA$201,"&gt;"&amp;BA171)=0,1,0),0)</f>
        <v>0</v>
      </c>
      <c r="DF171" s="23" t="n">
        <f aca="false">IF(AND(DB171=1,INT(N(H171))&lt;=Config!$B$8),IF(COUNTIFS($AZ$2:$AZ$201,AZ171,$DB$2:$DB$201,1,$H$2:$H$201,"&gt;"&amp;H171,$H$2:$H$201,"&lt;"&amp;(Config!$B$8+1))+COUNTIFS($AZ$2:$AZ$201,AZ171,$DB$2:$DB$201,1,$H$2:$H$201,H171,$BA$2:$BA$201,"&gt;"&amp;BA171)=0,1,0),0)</f>
        <v>0</v>
      </c>
      <c r="DG171" s="23" t="n">
        <f aca="false">IF(AND(DB171=1,INT(N(H171))&lt;=Config!$B$5),IF(COUNTIFS($AZ$2:$AZ$201,AZ171,$DB$2:$DB$201,1,$H$2:$H$201,"&gt;"&amp;H171,$H$2:$H$201,"&lt;"&amp;(Config!$B$5+1))+COUNTIFS($AZ$2:$AZ$201,AZ171,$DB$2:$DB$201,1,$H$2:$H$201,H171,$BA$2:$BA$201,"&gt;"&amp;BA171)=0,1,0),0)</f>
        <v>0</v>
      </c>
      <c r="DH171" s="23" t="n">
        <f aca="false">IF(BB171=1,IF(COUNTIFS($AZ$2:$AZ$201,AZ171,$DD$2:$DD$201,1,$AR$2:$AR$201,"Y")&gt;0,1,0),0)</f>
        <v>0</v>
      </c>
      <c r="DI171" s="23" t="n">
        <f aca="false">IF(BB171=1,IF(COUNTIFS($AZ$2:$AZ$201,AZ171,$DE$2:$DE$201,1,$AR$2:$AR$201,"Y")&gt;0,1,0),0)</f>
        <v>0</v>
      </c>
      <c r="DJ171" s="23" t="n">
        <f aca="false">IF(BB171=1,IF(COUNTIFS($AZ$2:$AZ$201,AZ171,$DF$2:$DF$201,1,$AR$2:$AR$201,"Y")&gt;0,1,0),0)</f>
        <v>0</v>
      </c>
      <c r="DK171" s="23" t="n">
        <f aca="false">IF(BB171=1,IF(COUNTIFS($AZ$2:$AZ$201,AZ171,$DG$2:$DG$201,1,$AR$2:$AR$201,"Y")&gt;0,1,0),0)</f>
        <v>0</v>
      </c>
      <c r="DL171" s="23" t="n">
        <f aca="false">IF(AND(BF171=1,INT(N(H171))&lt;=Config!$B$6,DH171=1,EI171=0),1,0)</f>
        <v>0</v>
      </c>
      <c r="DM171" s="23" t="n">
        <f aca="false">IF(AND(BF171=1,INT(N(H171))&lt;=Config!$B$7,DI171=1,EI171=0),1,0)</f>
        <v>0</v>
      </c>
      <c r="DN171" s="23" t="n">
        <f aca="false">IF(AND(BF171=1,INT(N(H171))&lt;=Config!$B$8,DJ171=1,EI171=0),1,0)</f>
        <v>0</v>
      </c>
      <c r="DO171" s="23" t="n">
        <f aca="false">IF(AND(BF171=1,INT(N(H171))&lt;=Config!$B$5,DK171=1,EI171=0),1,0)</f>
        <v>0</v>
      </c>
      <c r="DP171" s="23" t="n">
        <f aca="false">IF(AND(CC171=1,INT(N(H171))&lt;=Config!$B$6,DH171=1,EI171=0),1,0)</f>
        <v>0</v>
      </c>
      <c r="DQ171" s="23" t="n">
        <f aca="false">IF(AND(CC171=1,INT(N(H171))&lt;=Config!$B$7,DI171=1,EI171=0),1,0)</f>
        <v>0</v>
      </c>
      <c r="DR171" s="23" t="n">
        <f aca="false">IF(AND(CC171=1,INT(N(H171))&lt;=Config!$B$8,DJ171=1,EI171=0),1,0)</f>
        <v>0</v>
      </c>
      <c r="DS171" s="23" t="n">
        <f aca="false">IF(AND(CC171=1,INT(N(H171))&lt;=Config!$B$5,DK171=1,EI171=0),1,0)</f>
        <v>0</v>
      </c>
      <c r="DT171" s="23" t="n">
        <f aca="false">IF(AND(CC171=1,INT(N(H171))&lt;=Config!$B$6,DH171=0),1,0)</f>
        <v>0</v>
      </c>
      <c r="DU171" s="23" t="n">
        <f aca="false">IF(AND(CC171=1,INT(N(H171))&lt;=Config!$B$7,DI171=0),1,0)</f>
        <v>0</v>
      </c>
      <c r="DV171" s="23" t="n">
        <f aca="false">IF(AND(CC171=1,INT(N(H171))&lt;=Config!$B$8,DJ171=0),1,0)</f>
        <v>0</v>
      </c>
      <c r="DW171" s="23" t="n">
        <f aca="false">IF(AND(CC171=1,INT(N(H171))&lt;=Config!$B$5,DK171=0),1,0)</f>
        <v>0</v>
      </c>
      <c r="DX171" s="23" t="n">
        <f aca="false">IF(TRIM($A171)="",0,ISTEXT(M171)+ISTEXT(O171)+ISTEXT(Y171)+ISTEXT(Z171)+ISTEXT(AA171)+ISTEXT(AV171))</f>
        <v>0</v>
      </c>
      <c r="DY171" s="23" t="n">
        <f aca="false">IF(BB171=1,IF(H171&lt;&gt;INT(H171),1,0),0)</f>
        <v>0</v>
      </c>
      <c r="DZ171" s="23" t="str">
        <f aca="false">IF(TRIM($A171)="","",IF(TRIM(B171)="",SUBSTITUTE(SUBSTITUTE(SUBSTITUTE(SUBSTITUTE(SUBSTITUTE(SUBSTITUTE(LOWER(TRIM($A171)),"~",""),"*",""),"?",""),"&lt;",""),"&gt;",""),"=",""),SUBSTITUTE(SUBSTITUTE(SUBSTITUTE(SUBSTITUTE(SUBSTITUTE(SUBSTITUTE(LOWER(TRIM(B171)),"~",""),"*",""),"?",""),"&lt;",""),"&gt;",""),"=","")))</f>
        <v/>
      </c>
      <c r="EA171" s="23" t="str">
        <f aca="false">IF(CW171="","",IFERROR(IF(LEFT(LOWER(TRIM(INDEX(Clay_Offices!$A$2:$FZ$601,CW171,Sync!$C$19)&amp;"")),4)="grp-",SUBSTITUTE(SUBSTITUTE(SUBSTITUTE(SUBSTITUTE(SUBSTITUTE(SUBSTITUTE(LOWER(TRIM(INDEX(Clay_Offices!$A$2:$FZ$601,CW171,Sync!$C$19)&amp;"")),"~",""),"*",""),"?",""),"&lt;",""),"&gt;",""),"=",""),""),""))</f>
        <v/>
      </c>
      <c r="EB171" s="23" t="str">
        <f aca="false">IF(EA171&lt;&gt;"",DZ171,"")</f>
        <v/>
      </c>
      <c r="EC171" s="23" t="str">
        <f aca="false">IF(BC171=1,AZ171,"")</f>
        <v/>
      </c>
      <c r="ED171" s="23" t="str">
        <f aca="false">IF(TRIM($A171)="","",IFERROR(INDEX($A$2:$A$201,MATCH(AZ171,$EC$2:$EC$201,0))&amp;"",$A171&amp;""))</f>
        <v/>
      </c>
      <c r="EE171" s="23" t="n">
        <f aca="false">IF(BB171=1,IF(COUNTIFS($A$2:$A$201,$A171,$BB$2:$BB$201,1,$H$2:$H$201,"&lt;"&amp;H171)+COUNTIFS($A$2:$A$201,$A171,$BB$2:$BB$201,1,$H$2:$H$201,H171,$BA$2:$BA$201,"&lt;"&amp;BA171)=0,1,0),0)</f>
        <v>0</v>
      </c>
      <c r="EF171" s="23" t="n">
        <f aca="false">IF(BC171=1,IF(COUNTIFS($AZ$2:$AZ$201,AZ171,$EE$2:$EE$201,1)&gt;1,1,0),0)</f>
        <v>0</v>
      </c>
      <c r="EG171" s="23" t="n">
        <f aca="false">IF(AND(CQ171=1),IF(COUNTIFS($AZ$2:$AZ$201,AZ171,$CQ$2:$CQ$201,1,$H$2:$H$201,"&gt;"&amp;H171)+COUNTIFS($AZ$2:$AZ$201,AZ171,$CQ$2:$CQ$201,1,$H$2:$H$201,H171,$BA$2:$BA$201,"&gt;"&amp;BA171)=0,1,0),0)</f>
        <v>0</v>
      </c>
      <c r="EH171" s="23" t="str">
        <f aca="false">IF(BB171=1,IF(COUNTIFS($AZ$2:$AZ$201,AZ171,$EG$2:$EG$201,1)=0,"",SUMIFS($O$2:$O$201,$AZ$2:$AZ$201,AZ171,$EG$2:$EG$201,1)),"")</f>
        <v/>
      </c>
      <c r="EI171" s="23" t="n">
        <f aca="false">IF(AND(ISNUMBER(EH171),OR(N(EH171)&lt;Config!$B$31,N(EH171)&gt;Config!$B$33)),1,0)</f>
        <v>0</v>
      </c>
      <c r="EJ171" s="23" t="n">
        <f aca="false">IF(AND(ISNUMBER(EH171),N(EH171)&gt;=Config!$B$31,N(EH171)&lt;Config!$B$32),1,0)</f>
        <v>0</v>
      </c>
      <c r="EK171" s="23" t="n">
        <f aca="false">IF(AND(BF171=1,INT(N(H171))&lt;=Config!$B$6,DH171=1,EI171=1),1,0)</f>
        <v>0</v>
      </c>
      <c r="EL171" s="23" t="n">
        <f aca="false">IF(AND(BF171=1,INT(N(H171))&lt;=Config!$B$7,DI171=1,EI171=1),1,0)</f>
        <v>0</v>
      </c>
      <c r="EM171" s="23" t="n">
        <f aca="false">IF(AND(BF171=1,INT(N(H171))&lt;=Config!$B$8,DJ171=1,EI171=1),1,0)</f>
        <v>0</v>
      </c>
      <c r="EN171" s="23" t="n">
        <f aca="false">IF(AND(BF171=1,INT(N(H171))&lt;=Config!$B$5,DK171=1,EI171=1),1,0)</f>
        <v>0</v>
      </c>
      <c r="EO171" s="23" t="n">
        <f aca="false">IF(AND(DL171=1,EJ171=1),1,0)</f>
        <v>0</v>
      </c>
      <c r="EP171" s="23" t="n">
        <f aca="false">IF(AND(DM171=1,EJ171=1),1,0)</f>
        <v>0</v>
      </c>
      <c r="EQ171" s="23" t="n">
        <f aca="false">IF(AND(DN171=1,EJ171=1),1,0)</f>
        <v>0</v>
      </c>
      <c r="ER171" s="23" t="n">
        <f aca="false">IF(AND(DO171=1,EJ171=1),1,0)</f>
        <v>0</v>
      </c>
    </row>
    <row r="172" customFormat="false" ht="15" hidden="false" customHeight="false" outlineLevel="0" collapsed="false">
      <c r="G172" s="32"/>
      <c r="H172" s="33"/>
      <c r="I172" s="32"/>
      <c r="L172" s="32"/>
      <c r="Q172" s="32"/>
      <c r="U172" s="32"/>
      <c r="W172" s="32"/>
      <c r="AC172" s="32"/>
      <c r="AF172" s="32"/>
      <c r="AI172" s="32"/>
      <c r="AJ172" s="32"/>
      <c r="AN172" s="32"/>
      <c r="AR172" s="32"/>
      <c r="AT172" s="32"/>
      <c r="AU172" s="32"/>
      <c r="AW172" s="32"/>
      <c r="AY172" s="34" t="str">
        <f aca="false">IF(TRIM($A172)="","",IF(AND(LEFT($A172,6)="SAMPLE",Config!$B$19&lt;&gt;"Y"),"",IF(NOT(ISNUMBER(H172)),"call_date is blank or not a date",IF(Sync!$C$5="","Clay paste is empty or has no row_id column: paste the Clay export on Clay_Offices",IF(CW172="","row_id not found in the Clay paste: add the Clay row or fix the row_id",IF(AND(ISNUMBER(CY172),CY172&gt;=1,CY172&lt;=5),"Clay status is "&amp;CX172&amp;": set call_done or later",IF(AND(BD172=1,CZ172&lt;&gt;BZ172),"Clay yes_in_principle should be "&amp;BZ172,IF(AND(BD172=1,DA172&lt;&gt;H172),"Clay call_date should be "&amp;TEXT(H172,"yyyy-mm-dd"),""))))))))</f>
        <v/>
      </c>
      <c r="AZ172" s="23" t="str">
        <f aca="false">IF(TRIM($A172)="","",IF(TRIM(C172)&lt;&gt;"",SUBSTITUTE(SUBSTITUTE(SUBSTITUTE(SUBSTITUTE(SUBSTITUTE(SUBSTITUTE(LOWER(TRIM(C172)),"~",""),"*",""),"?",""),"&lt;",""),"&gt;",""),"=",""),IF(EA172&lt;&gt;"",EA172,IFERROR(INDEX($EA$2:$EA$201,MATCH(DZ172,$EB$2:$EB$201,0)),DZ172))))</f>
        <v/>
      </c>
      <c r="BA172" s="23" t="n">
        <f aca="false">ROW()</f>
        <v>172</v>
      </c>
      <c r="BB172" s="23" t="n">
        <f aca="false">IF(AND(TRIM($A172)&lt;&gt;"",ISNUMBER(H172)),IF(AND(LEFT($A172,6)="SAMPLE",Config!$B$19&lt;&gt;"Y"),0,1),0)</f>
        <v>0</v>
      </c>
      <c r="BC172" s="23" t="n">
        <f aca="false">IF(BB172=1,IF(COUNTIFS($AZ$2:$AZ$201,AZ172,$BB$2:$BB$201,1,$H$2:$H$201,"&lt;"&amp;H172)+COUNTIFS($AZ$2:$AZ$201,AZ172,$BB$2:$BB$201,1,$H$2:$H$201,H172,$BA$2:$BA$201,"&lt;"&amp;BA172)=0,1,0),0)</f>
        <v>0</v>
      </c>
      <c r="BD172" s="23" t="n">
        <f aca="false">IF(BB172=1,IF(COUNTIFS($A$2:$A$201,$A172,$BB$2:$BB$201,1,$H$2:$H$201,"&gt;"&amp;H172)+COUNTIFS($A$2:$A$201,$A172,$BB$2:$BB$201,1,$H$2:$H$201,H172,$BA$2:$BA$201,"&gt;"&amp;BA172)=0,1,0),0)</f>
        <v>0</v>
      </c>
      <c r="BE172" s="23" t="n">
        <f aca="false">IF(AND(BB172=1,AR172="Y",AC172="Y",TRIM(AH172)&lt;&gt;""),1,0)</f>
        <v>0</v>
      </c>
      <c r="BF172" s="23" t="n">
        <f aca="false">IF(BE172=1,IF(COUNTIFS($AZ$2:$AZ$201,AZ172,$BE$2:$BE$201,1,$H$2:$H$201,"&lt;"&amp;H172)+COUNTIFS($AZ$2:$AZ$201,AZ172,$BE$2:$BE$201,1,$H$2:$H$201,H172,$BA$2:$BA$201,"&lt;"&amp;BA172)=0,1,0),0)</f>
        <v>0</v>
      </c>
      <c r="BG172" s="23" t="n">
        <f aca="false">IF(AND(BB172=1,AR172="Y",BE172=0),1,0)</f>
        <v>0</v>
      </c>
      <c r="BH172" s="23" t="n">
        <f aca="false">IF(AND(BB172=1,ISNUMBER(Y172)),1,0)</f>
        <v>0</v>
      </c>
      <c r="BI172" s="23" t="n">
        <f aca="false">IF(BH172=1,IF(COUNTIFS($AZ$2:$AZ$201,AZ172,$BH$2:$BH$201,1,$H$2:$H$201,"&lt;"&amp;H172)+COUNTIFS($AZ$2:$AZ$201,AZ172,$BH$2:$BH$201,1,$H$2:$H$201,H172,$BA$2:$BA$201,"&lt;"&amp;BA172)=0,1,0),0)</f>
        <v>0</v>
      </c>
      <c r="BJ172" s="23" t="str">
        <f aca="false">IF(AND(BI172=1,INT(N(H172))&lt;=Config!$B$6),Y172,"")</f>
        <v/>
      </c>
      <c r="BK172" s="23" t="str">
        <f aca="false">IF(AND(BI172=1,INT(N(H172))&lt;=Config!$B$7),Y172,"")</f>
        <v/>
      </c>
      <c r="BL172" s="23" t="str">
        <f aca="false">IF(AND(BI172=1,INT(N(H172))&lt;=Config!$B$8),Y172,"")</f>
        <v/>
      </c>
      <c r="BM172" s="23" t="str">
        <f aca="false">IF(AND(BI172=1,INT(N(H172))&lt;=Config!$B$5),Y172,"")</f>
        <v/>
      </c>
      <c r="BN172" s="23" t="n">
        <f aca="false">IF(CD172=1,IF(COUNTIFS($AZ$2:$AZ$201,AZ172,$CD$2:$CD$201,1,$H$2:$H$201,"&lt;"&amp;H172)+COUNTIFS($AZ$2:$AZ$201,AZ172,$CD$2:$CD$201,1,$H$2:$H$201,H172,$BA$2:$BA$201,"&lt;"&amp;BA172)=0,1,0),0)</f>
        <v>0</v>
      </c>
      <c r="BO172" s="23" t="n">
        <f aca="false">IF(AND(BB172=1,ISNUMBER(M172)),1,0)</f>
        <v>0</v>
      </c>
      <c r="BP172" s="23" t="n">
        <f aca="false">IF(BO172=1,IF(COUNTIFS($AZ$2:$AZ$201,AZ172,$BO$2:$BO$201,1,$H$2:$H$201,"&lt;"&amp;H172)+COUNTIFS($AZ$2:$AZ$201,AZ172,$BO$2:$BO$201,1,$H$2:$H$201,H172,$BA$2:$BA$201,"&lt;"&amp;BA172)=0,1,0),0)</f>
        <v>0</v>
      </c>
      <c r="BQ172" s="23" t="str">
        <f aca="false">IF(AND(BP172=1,INT(N(H172))&lt;=Config!$B$5),M172,"")</f>
        <v/>
      </c>
      <c r="BR172" s="23" t="n">
        <f aca="false">IF(AND(BB172=1,OR(TRIM(X172)&lt;&gt;"",ISNUMBER(Y172))),1,0)</f>
        <v>0</v>
      </c>
      <c r="BS172" s="23" t="n">
        <f aca="false">IF(BR172=1,IF(COUNTIFS($AZ$2:$AZ$201,AZ172,$BR$2:$BR$201,1,$H$2:$H$201,"&lt;"&amp;H172)+COUNTIFS($AZ$2:$AZ$201,AZ172,$BR$2:$BR$201,1,$H$2:$H$201,H172,$BA$2:$BA$201,"&lt;"&amp;BA172)=0,1,0),0)</f>
        <v>0</v>
      </c>
      <c r="BT172" s="23" t="str">
        <f aca="false">IF(BS172=1,AZ172,"")</f>
        <v/>
      </c>
      <c r="BU172" s="23" t="n">
        <f aca="false">IF(AND(BB172=1,W172="Y",TRIM(X172)=""),1,0)</f>
        <v>0</v>
      </c>
      <c r="BV172" s="23" t="str">
        <f aca="false">IF(BB172=1,AN172&amp;"","")</f>
        <v/>
      </c>
      <c r="BW172" s="23" t="str">
        <f aca="false">IF(BB172=1,AO172&amp;"","")</f>
        <v/>
      </c>
      <c r="BX172" s="23" t="str">
        <f aca="false">IF(BB172=1,AP172&amp;"","")</f>
        <v/>
      </c>
      <c r="BY172" s="23" t="str">
        <f aca="false">IF(AND(BB172=1,ISNUMBER(AV172),INT(N(H172))&lt;=Config!$B$5),AV172,"")</f>
        <v/>
      </c>
      <c r="BZ172" s="23" t="str">
        <f aca="false">IF(BB172=1,IF(COUNTIFS($A$2:$A$201,$A172,$DC$2:$DC$201,1,$AR$2:$AR$201,"Y")&gt;0,"Y","N"),"")</f>
        <v/>
      </c>
      <c r="CA172" s="23" t="n">
        <f aca="false">IF(AND(BB172=1,AR172="maybe"),1,0)</f>
        <v>0</v>
      </c>
      <c r="CB172" s="23" t="n">
        <f aca="false">IF(CA172=1,IF(COUNTIFS($AZ$2:$AZ$201,AZ172,$CA$2:$CA$201,1,$H$2:$H$201,"&lt;"&amp;H172)+COUNTIFS($AZ$2:$AZ$201,AZ172,$CA$2:$CA$201,1,$H$2:$H$201,H172,$BA$2:$BA$201,"&lt;"&amp;BA172)=0,1,0),0)</f>
        <v>0</v>
      </c>
      <c r="CC172" s="23" t="n">
        <f aca="false">IF(AND(BB172=1,AR172="Y"),IF(COUNTIFS($AZ$2:$AZ$201,AZ172,$AR$2:$AR$201,"Y",$BB$2:$BB$201,1,$H$2:$H$201,"&lt;"&amp;H172)+COUNTIFS($AZ$2:$AZ$201,AZ172,$AR$2:$AR$201,"Y",$BB$2:$BB$201,1,$H$2:$H$201,H172,$BA$2:$BA$201,"&lt;"&amp;BA172)=0,1,0),0)</f>
        <v>0</v>
      </c>
      <c r="CD172" s="23" t="n">
        <f aca="false">IF(AND(BH172=1,N(Y172)&gt;=Config!$B$15),1,0)</f>
        <v>0</v>
      </c>
      <c r="CE172" s="23" t="n">
        <f aca="false">IF(AND(BB172=1,AT172="Y"),1,0)</f>
        <v>0</v>
      </c>
      <c r="CF172" s="23" t="n">
        <f aca="false">IF(CE172=1,IF(COUNTIFS($AZ$2:$AZ$201,AZ172,$CE$2:$CE$201,1,$H$2:$H$201,"&lt;"&amp;H172)+COUNTIFS($AZ$2:$AZ$201,AZ172,$CE$2:$CE$201,1,$H$2:$H$201,H172,$BA$2:$BA$201,"&lt;"&amp;BA172)=0,1,0),0)</f>
        <v>0</v>
      </c>
      <c r="CG172" s="23" t="n">
        <f aca="false">IF(AND(BB172=1,G172="warm-intro"),1,0)</f>
        <v>0</v>
      </c>
      <c r="CH172" s="23" t="n">
        <f aca="false">IF(CG172=1,IF(COUNTIFS($AZ$2:$AZ$201,AZ172,$CG$2:$CG$201,1,$H$2:$H$201,"&lt;"&amp;H172)+COUNTIFS($AZ$2:$AZ$201,AZ172,$CG$2:$CG$201,1,$H$2:$H$201,H172,$BA$2:$BA$201,"&lt;"&amp;BA172)=0,1,0),0)</f>
        <v>0</v>
      </c>
      <c r="CI172" s="23" t="n">
        <f aca="false">IF(AND(BB172=1,Q172="Y"),1,0)</f>
        <v>0</v>
      </c>
      <c r="CJ172" s="23" t="n">
        <f aca="false">IF(CI172=1,IF(COUNTIFS($AZ$2:$AZ$201,AZ172,$CI$2:$CI$201,1,$H$2:$H$201,"&lt;"&amp;H172)+COUNTIFS($AZ$2:$AZ$201,AZ172,$CI$2:$CI$201,1,$H$2:$H$201,H172,$BA$2:$BA$201,"&lt;"&amp;BA172)=0,1,0),0)</f>
        <v>0</v>
      </c>
      <c r="CK172" s="23" t="n">
        <f aca="false">IF(AND(BB172=1,AF172="Y"),1,0)</f>
        <v>0</v>
      </c>
      <c r="CL172" s="23" t="n">
        <f aca="false">IF(CK172=1,IF(COUNTIFS($AZ$2:$AZ$201,AZ172,$CK$2:$CK$201,1,$H$2:$H$201,"&lt;"&amp;H172)+COUNTIFS($AZ$2:$AZ$201,AZ172,$CK$2:$CK$201,1,$H$2:$H$201,H172,$BA$2:$BA$201,"&lt;"&amp;BA172)=0,1,0),0)</f>
        <v>0</v>
      </c>
      <c r="CM172" s="23" t="n">
        <f aca="false">IF(AND(BB172=1,U172="Y"),1,0)</f>
        <v>0</v>
      </c>
      <c r="CN172" s="23" t="n">
        <f aca="false">IF(CM172=1,IF(COUNTIFS($AZ$2:$AZ$201,AZ172,$CM$2:$CM$201,1,$H$2:$H$201,"&lt;"&amp;H172)+COUNTIFS($AZ$2:$AZ$201,AZ172,$CM$2:$CM$201,1,$H$2:$H$201,H172,$BA$2:$BA$201,"&lt;"&amp;BA172)=0,1,0),0)</f>
        <v>0</v>
      </c>
      <c r="CO172" s="23" t="n">
        <f aca="false">IF(AND(BB172=1,L172="Y"),1,0)</f>
        <v>0</v>
      </c>
      <c r="CP172" s="23" t="n">
        <f aca="false">IF(CO172=1,IF(COUNTIFS($AZ$2:$AZ$201,AZ172,$CO$2:$CO$201,1,$H$2:$H$201,"&lt;"&amp;H172)+COUNTIFS($AZ$2:$AZ$201,AZ172,$CO$2:$CO$201,1,$H$2:$H$201,H172,$BA$2:$BA$201,"&lt;"&amp;BA172)=0,1,0),0)</f>
        <v>0</v>
      </c>
      <c r="CQ172" s="23" t="n">
        <f aca="false">IF(AND(BB172=1,ISNUMBER(O172)),1,0)</f>
        <v>0</v>
      </c>
      <c r="CR172" s="23" t="n">
        <f aca="false">IF(CQ172=1,IF(COUNTIFS($AZ$2:$AZ$201,AZ172,$CQ$2:$CQ$201,1,$H$2:$H$201,"&lt;"&amp;H172)+COUNTIFS($AZ$2:$AZ$201,AZ172,$CQ$2:$CQ$201,1,$H$2:$H$201,H172,$BA$2:$BA$201,"&lt;"&amp;BA172)=0,1,0),0)</f>
        <v>0</v>
      </c>
      <c r="CS172" s="23" t="str">
        <f aca="false">IF(AND(CR172=1,INT(N(H172))&lt;=Config!$B$5),O172,"")</f>
        <v/>
      </c>
      <c r="CT172" s="23" t="str">
        <f aca="false">IF(AND(BB172=1,INT(N(H172))&lt;=Config!$B$5),AG172&amp;"","")</f>
        <v/>
      </c>
      <c r="CU172" s="23" t="n">
        <f aca="false">IF(AND(BB172=1,AU172="Y"),1,0)</f>
        <v>0</v>
      </c>
      <c r="CV172" s="23" t="n">
        <f aca="false">IF(CU172=1,IF(COUNTIFS($AZ$2:$AZ$201,AZ172,$CU$2:$CU$201,1,$H$2:$H$201,"&lt;"&amp;H172)+COUNTIFS($AZ$2:$AZ$201,AZ172,$CU$2:$CU$201,1,$H$2:$H$201,H172,$BA$2:$BA$201,"&lt;"&amp;BA172)=0,1,0),0)</f>
        <v>0</v>
      </c>
      <c r="CW172" s="23" t="str">
        <f aca="false">IF(BB172=1,IFERROR(MATCH($A172,INDEX(Clay_Offices!$A$2:$FZ$601,0,Sync!$C$5),0),""),"")</f>
        <v/>
      </c>
      <c r="CX172" s="23" t="str">
        <f aca="false">IF(CW172="","",IFERROR(INDEX(Clay_Offices!$A$2:$FZ$601,CW172,Sync!$C$7)&amp;"",""))</f>
        <v/>
      </c>
      <c r="CY172" s="23" t="str">
        <f aca="false">IF(CX172="","",IFERROR(INDEX(Lists!$K$2:$K$15,MATCH(CX172,Lists!$J$2:$J$15,0)),""))</f>
        <v/>
      </c>
      <c r="CZ172" s="23" t="str">
        <f aca="false">IF(CW172="","",IFERROR(INDEX(Clay_Offices!$A$2:$FZ$601,CW172,Sync!$C$17)&amp;"",""))</f>
        <v/>
      </c>
      <c r="DA172" s="35" t="str">
        <f aca="false">IF(CW172="","",IFERROR(N(INDEX(Clay_Offices!$A$2:$FZ$601,CW172,Sync!$C$16)),0))</f>
        <v/>
      </c>
      <c r="DB172" s="23" t="n">
        <f aca="false">IF(AND(BB172=1,OR(AR172="Y",AR172="N",AR172="maybe")),1,0)</f>
        <v>0</v>
      </c>
      <c r="DC172" s="23" t="n">
        <f aca="false">IF(AND(DB172=1),IF(COUNTIFS($A$2:$A$201,$A172,$DB$2:$DB$201,1,$H$2:$H$201,"&gt;"&amp;H172)+COUNTIFS($A$2:$A$201,$A172,$DB$2:$DB$201,1,$H$2:$H$201,H172,$BA$2:$BA$201,"&gt;"&amp;BA172)=0,1,0),0)</f>
        <v>0</v>
      </c>
      <c r="DD172" s="23" t="n">
        <f aca="false">IF(AND(DB172=1,INT(N(H172))&lt;=Config!$B$6),IF(COUNTIFS($AZ$2:$AZ$201,AZ172,$DB$2:$DB$201,1,$H$2:$H$201,"&gt;"&amp;H172,$H$2:$H$201,"&lt;"&amp;(Config!$B$6+1))+COUNTIFS($AZ$2:$AZ$201,AZ172,$DB$2:$DB$201,1,$H$2:$H$201,H172,$BA$2:$BA$201,"&gt;"&amp;BA172)=0,1,0),0)</f>
        <v>0</v>
      </c>
      <c r="DE172" s="23" t="n">
        <f aca="false">IF(AND(DB172=1,INT(N(H172))&lt;=Config!$B$7),IF(COUNTIFS($AZ$2:$AZ$201,AZ172,$DB$2:$DB$201,1,$H$2:$H$201,"&gt;"&amp;H172,$H$2:$H$201,"&lt;"&amp;(Config!$B$7+1))+COUNTIFS($AZ$2:$AZ$201,AZ172,$DB$2:$DB$201,1,$H$2:$H$201,H172,$BA$2:$BA$201,"&gt;"&amp;BA172)=0,1,0),0)</f>
        <v>0</v>
      </c>
      <c r="DF172" s="23" t="n">
        <f aca="false">IF(AND(DB172=1,INT(N(H172))&lt;=Config!$B$8),IF(COUNTIFS($AZ$2:$AZ$201,AZ172,$DB$2:$DB$201,1,$H$2:$H$201,"&gt;"&amp;H172,$H$2:$H$201,"&lt;"&amp;(Config!$B$8+1))+COUNTIFS($AZ$2:$AZ$201,AZ172,$DB$2:$DB$201,1,$H$2:$H$201,H172,$BA$2:$BA$201,"&gt;"&amp;BA172)=0,1,0),0)</f>
        <v>0</v>
      </c>
      <c r="DG172" s="23" t="n">
        <f aca="false">IF(AND(DB172=1,INT(N(H172))&lt;=Config!$B$5),IF(COUNTIFS($AZ$2:$AZ$201,AZ172,$DB$2:$DB$201,1,$H$2:$H$201,"&gt;"&amp;H172,$H$2:$H$201,"&lt;"&amp;(Config!$B$5+1))+COUNTIFS($AZ$2:$AZ$201,AZ172,$DB$2:$DB$201,1,$H$2:$H$201,H172,$BA$2:$BA$201,"&gt;"&amp;BA172)=0,1,0),0)</f>
        <v>0</v>
      </c>
      <c r="DH172" s="23" t="n">
        <f aca="false">IF(BB172=1,IF(COUNTIFS($AZ$2:$AZ$201,AZ172,$DD$2:$DD$201,1,$AR$2:$AR$201,"Y")&gt;0,1,0),0)</f>
        <v>0</v>
      </c>
      <c r="DI172" s="23" t="n">
        <f aca="false">IF(BB172=1,IF(COUNTIFS($AZ$2:$AZ$201,AZ172,$DE$2:$DE$201,1,$AR$2:$AR$201,"Y")&gt;0,1,0),0)</f>
        <v>0</v>
      </c>
      <c r="DJ172" s="23" t="n">
        <f aca="false">IF(BB172=1,IF(COUNTIFS($AZ$2:$AZ$201,AZ172,$DF$2:$DF$201,1,$AR$2:$AR$201,"Y")&gt;0,1,0),0)</f>
        <v>0</v>
      </c>
      <c r="DK172" s="23" t="n">
        <f aca="false">IF(BB172=1,IF(COUNTIFS($AZ$2:$AZ$201,AZ172,$DG$2:$DG$201,1,$AR$2:$AR$201,"Y")&gt;0,1,0),0)</f>
        <v>0</v>
      </c>
      <c r="DL172" s="23" t="n">
        <f aca="false">IF(AND(BF172=1,INT(N(H172))&lt;=Config!$B$6,DH172=1,EI172=0),1,0)</f>
        <v>0</v>
      </c>
      <c r="DM172" s="23" t="n">
        <f aca="false">IF(AND(BF172=1,INT(N(H172))&lt;=Config!$B$7,DI172=1,EI172=0),1,0)</f>
        <v>0</v>
      </c>
      <c r="DN172" s="23" t="n">
        <f aca="false">IF(AND(BF172=1,INT(N(H172))&lt;=Config!$B$8,DJ172=1,EI172=0),1,0)</f>
        <v>0</v>
      </c>
      <c r="DO172" s="23" t="n">
        <f aca="false">IF(AND(BF172=1,INT(N(H172))&lt;=Config!$B$5,DK172=1,EI172=0),1,0)</f>
        <v>0</v>
      </c>
      <c r="DP172" s="23" t="n">
        <f aca="false">IF(AND(CC172=1,INT(N(H172))&lt;=Config!$B$6,DH172=1,EI172=0),1,0)</f>
        <v>0</v>
      </c>
      <c r="DQ172" s="23" t="n">
        <f aca="false">IF(AND(CC172=1,INT(N(H172))&lt;=Config!$B$7,DI172=1,EI172=0),1,0)</f>
        <v>0</v>
      </c>
      <c r="DR172" s="23" t="n">
        <f aca="false">IF(AND(CC172=1,INT(N(H172))&lt;=Config!$B$8,DJ172=1,EI172=0),1,0)</f>
        <v>0</v>
      </c>
      <c r="DS172" s="23" t="n">
        <f aca="false">IF(AND(CC172=1,INT(N(H172))&lt;=Config!$B$5,DK172=1,EI172=0),1,0)</f>
        <v>0</v>
      </c>
      <c r="DT172" s="23" t="n">
        <f aca="false">IF(AND(CC172=1,INT(N(H172))&lt;=Config!$B$6,DH172=0),1,0)</f>
        <v>0</v>
      </c>
      <c r="DU172" s="23" t="n">
        <f aca="false">IF(AND(CC172=1,INT(N(H172))&lt;=Config!$B$7,DI172=0),1,0)</f>
        <v>0</v>
      </c>
      <c r="DV172" s="23" t="n">
        <f aca="false">IF(AND(CC172=1,INT(N(H172))&lt;=Config!$B$8,DJ172=0),1,0)</f>
        <v>0</v>
      </c>
      <c r="DW172" s="23" t="n">
        <f aca="false">IF(AND(CC172=1,INT(N(H172))&lt;=Config!$B$5,DK172=0),1,0)</f>
        <v>0</v>
      </c>
      <c r="DX172" s="23" t="n">
        <f aca="false">IF(TRIM($A172)="",0,ISTEXT(M172)+ISTEXT(O172)+ISTEXT(Y172)+ISTEXT(Z172)+ISTEXT(AA172)+ISTEXT(AV172))</f>
        <v>0</v>
      </c>
      <c r="DY172" s="23" t="n">
        <f aca="false">IF(BB172=1,IF(H172&lt;&gt;INT(H172),1,0),0)</f>
        <v>0</v>
      </c>
      <c r="DZ172" s="23" t="str">
        <f aca="false">IF(TRIM($A172)="","",IF(TRIM(B172)="",SUBSTITUTE(SUBSTITUTE(SUBSTITUTE(SUBSTITUTE(SUBSTITUTE(SUBSTITUTE(LOWER(TRIM($A172)),"~",""),"*",""),"?",""),"&lt;",""),"&gt;",""),"=",""),SUBSTITUTE(SUBSTITUTE(SUBSTITUTE(SUBSTITUTE(SUBSTITUTE(SUBSTITUTE(LOWER(TRIM(B172)),"~",""),"*",""),"?",""),"&lt;",""),"&gt;",""),"=","")))</f>
        <v/>
      </c>
      <c r="EA172" s="23" t="str">
        <f aca="false">IF(CW172="","",IFERROR(IF(LEFT(LOWER(TRIM(INDEX(Clay_Offices!$A$2:$FZ$601,CW172,Sync!$C$19)&amp;"")),4)="grp-",SUBSTITUTE(SUBSTITUTE(SUBSTITUTE(SUBSTITUTE(SUBSTITUTE(SUBSTITUTE(LOWER(TRIM(INDEX(Clay_Offices!$A$2:$FZ$601,CW172,Sync!$C$19)&amp;"")),"~",""),"*",""),"?",""),"&lt;",""),"&gt;",""),"=",""),""),""))</f>
        <v/>
      </c>
      <c r="EB172" s="23" t="str">
        <f aca="false">IF(EA172&lt;&gt;"",DZ172,"")</f>
        <v/>
      </c>
      <c r="EC172" s="23" t="str">
        <f aca="false">IF(BC172=1,AZ172,"")</f>
        <v/>
      </c>
      <c r="ED172" s="23" t="str">
        <f aca="false">IF(TRIM($A172)="","",IFERROR(INDEX($A$2:$A$201,MATCH(AZ172,$EC$2:$EC$201,0))&amp;"",$A172&amp;""))</f>
        <v/>
      </c>
      <c r="EE172" s="23" t="n">
        <f aca="false">IF(BB172=1,IF(COUNTIFS($A$2:$A$201,$A172,$BB$2:$BB$201,1,$H$2:$H$201,"&lt;"&amp;H172)+COUNTIFS($A$2:$A$201,$A172,$BB$2:$BB$201,1,$H$2:$H$201,H172,$BA$2:$BA$201,"&lt;"&amp;BA172)=0,1,0),0)</f>
        <v>0</v>
      </c>
      <c r="EF172" s="23" t="n">
        <f aca="false">IF(BC172=1,IF(COUNTIFS($AZ$2:$AZ$201,AZ172,$EE$2:$EE$201,1)&gt;1,1,0),0)</f>
        <v>0</v>
      </c>
      <c r="EG172" s="23" t="n">
        <f aca="false">IF(AND(CQ172=1),IF(COUNTIFS($AZ$2:$AZ$201,AZ172,$CQ$2:$CQ$201,1,$H$2:$H$201,"&gt;"&amp;H172)+COUNTIFS($AZ$2:$AZ$201,AZ172,$CQ$2:$CQ$201,1,$H$2:$H$201,H172,$BA$2:$BA$201,"&gt;"&amp;BA172)=0,1,0),0)</f>
        <v>0</v>
      </c>
      <c r="EH172" s="23" t="str">
        <f aca="false">IF(BB172=1,IF(COUNTIFS($AZ$2:$AZ$201,AZ172,$EG$2:$EG$201,1)=0,"",SUMIFS($O$2:$O$201,$AZ$2:$AZ$201,AZ172,$EG$2:$EG$201,1)),"")</f>
        <v/>
      </c>
      <c r="EI172" s="23" t="n">
        <f aca="false">IF(AND(ISNUMBER(EH172),OR(N(EH172)&lt;Config!$B$31,N(EH172)&gt;Config!$B$33)),1,0)</f>
        <v>0</v>
      </c>
      <c r="EJ172" s="23" t="n">
        <f aca="false">IF(AND(ISNUMBER(EH172),N(EH172)&gt;=Config!$B$31,N(EH172)&lt;Config!$B$32),1,0)</f>
        <v>0</v>
      </c>
      <c r="EK172" s="23" t="n">
        <f aca="false">IF(AND(BF172=1,INT(N(H172))&lt;=Config!$B$6,DH172=1,EI172=1),1,0)</f>
        <v>0</v>
      </c>
      <c r="EL172" s="23" t="n">
        <f aca="false">IF(AND(BF172=1,INT(N(H172))&lt;=Config!$B$7,DI172=1,EI172=1),1,0)</f>
        <v>0</v>
      </c>
      <c r="EM172" s="23" t="n">
        <f aca="false">IF(AND(BF172=1,INT(N(H172))&lt;=Config!$B$8,DJ172=1,EI172=1),1,0)</f>
        <v>0</v>
      </c>
      <c r="EN172" s="23" t="n">
        <f aca="false">IF(AND(BF172=1,INT(N(H172))&lt;=Config!$B$5,DK172=1,EI172=1),1,0)</f>
        <v>0</v>
      </c>
      <c r="EO172" s="23" t="n">
        <f aca="false">IF(AND(DL172=1,EJ172=1),1,0)</f>
        <v>0</v>
      </c>
      <c r="EP172" s="23" t="n">
        <f aca="false">IF(AND(DM172=1,EJ172=1),1,0)</f>
        <v>0</v>
      </c>
      <c r="EQ172" s="23" t="n">
        <f aca="false">IF(AND(DN172=1,EJ172=1),1,0)</f>
        <v>0</v>
      </c>
      <c r="ER172" s="23" t="n">
        <f aca="false">IF(AND(DO172=1,EJ172=1),1,0)</f>
        <v>0</v>
      </c>
    </row>
    <row r="173" customFormat="false" ht="15" hidden="false" customHeight="false" outlineLevel="0" collapsed="false">
      <c r="G173" s="32"/>
      <c r="H173" s="33"/>
      <c r="I173" s="32"/>
      <c r="L173" s="32"/>
      <c r="Q173" s="32"/>
      <c r="U173" s="32"/>
      <c r="W173" s="32"/>
      <c r="AC173" s="32"/>
      <c r="AF173" s="32"/>
      <c r="AI173" s="32"/>
      <c r="AJ173" s="32"/>
      <c r="AN173" s="32"/>
      <c r="AR173" s="32"/>
      <c r="AT173" s="32"/>
      <c r="AU173" s="32"/>
      <c r="AW173" s="32"/>
      <c r="AY173" s="34" t="str">
        <f aca="false">IF(TRIM($A173)="","",IF(AND(LEFT($A173,6)="SAMPLE",Config!$B$19&lt;&gt;"Y"),"",IF(NOT(ISNUMBER(H173)),"call_date is blank or not a date",IF(Sync!$C$5="","Clay paste is empty or has no row_id column: paste the Clay export on Clay_Offices",IF(CW173="","row_id not found in the Clay paste: add the Clay row or fix the row_id",IF(AND(ISNUMBER(CY173),CY173&gt;=1,CY173&lt;=5),"Clay status is "&amp;CX173&amp;": set call_done or later",IF(AND(BD173=1,CZ173&lt;&gt;BZ173),"Clay yes_in_principle should be "&amp;BZ173,IF(AND(BD173=1,DA173&lt;&gt;H173),"Clay call_date should be "&amp;TEXT(H173,"yyyy-mm-dd"),""))))))))</f>
        <v/>
      </c>
      <c r="AZ173" s="23" t="str">
        <f aca="false">IF(TRIM($A173)="","",IF(TRIM(C173)&lt;&gt;"",SUBSTITUTE(SUBSTITUTE(SUBSTITUTE(SUBSTITUTE(SUBSTITUTE(SUBSTITUTE(LOWER(TRIM(C173)),"~",""),"*",""),"?",""),"&lt;",""),"&gt;",""),"=",""),IF(EA173&lt;&gt;"",EA173,IFERROR(INDEX($EA$2:$EA$201,MATCH(DZ173,$EB$2:$EB$201,0)),DZ173))))</f>
        <v/>
      </c>
      <c r="BA173" s="23" t="n">
        <f aca="false">ROW()</f>
        <v>173</v>
      </c>
      <c r="BB173" s="23" t="n">
        <f aca="false">IF(AND(TRIM($A173)&lt;&gt;"",ISNUMBER(H173)),IF(AND(LEFT($A173,6)="SAMPLE",Config!$B$19&lt;&gt;"Y"),0,1),0)</f>
        <v>0</v>
      </c>
      <c r="BC173" s="23" t="n">
        <f aca="false">IF(BB173=1,IF(COUNTIFS($AZ$2:$AZ$201,AZ173,$BB$2:$BB$201,1,$H$2:$H$201,"&lt;"&amp;H173)+COUNTIFS($AZ$2:$AZ$201,AZ173,$BB$2:$BB$201,1,$H$2:$H$201,H173,$BA$2:$BA$201,"&lt;"&amp;BA173)=0,1,0),0)</f>
        <v>0</v>
      </c>
      <c r="BD173" s="23" t="n">
        <f aca="false">IF(BB173=1,IF(COUNTIFS($A$2:$A$201,$A173,$BB$2:$BB$201,1,$H$2:$H$201,"&gt;"&amp;H173)+COUNTIFS($A$2:$A$201,$A173,$BB$2:$BB$201,1,$H$2:$H$201,H173,$BA$2:$BA$201,"&gt;"&amp;BA173)=0,1,0),0)</f>
        <v>0</v>
      </c>
      <c r="BE173" s="23" t="n">
        <f aca="false">IF(AND(BB173=1,AR173="Y",AC173="Y",TRIM(AH173)&lt;&gt;""),1,0)</f>
        <v>0</v>
      </c>
      <c r="BF173" s="23" t="n">
        <f aca="false">IF(BE173=1,IF(COUNTIFS($AZ$2:$AZ$201,AZ173,$BE$2:$BE$201,1,$H$2:$H$201,"&lt;"&amp;H173)+COUNTIFS($AZ$2:$AZ$201,AZ173,$BE$2:$BE$201,1,$H$2:$H$201,H173,$BA$2:$BA$201,"&lt;"&amp;BA173)=0,1,0),0)</f>
        <v>0</v>
      </c>
      <c r="BG173" s="23" t="n">
        <f aca="false">IF(AND(BB173=1,AR173="Y",BE173=0),1,0)</f>
        <v>0</v>
      </c>
      <c r="BH173" s="23" t="n">
        <f aca="false">IF(AND(BB173=1,ISNUMBER(Y173)),1,0)</f>
        <v>0</v>
      </c>
      <c r="BI173" s="23" t="n">
        <f aca="false">IF(BH173=1,IF(COUNTIFS($AZ$2:$AZ$201,AZ173,$BH$2:$BH$201,1,$H$2:$H$201,"&lt;"&amp;H173)+COUNTIFS($AZ$2:$AZ$201,AZ173,$BH$2:$BH$201,1,$H$2:$H$201,H173,$BA$2:$BA$201,"&lt;"&amp;BA173)=0,1,0),0)</f>
        <v>0</v>
      </c>
      <c r="BJ173" s="23" t="str">
        <f aca="false">IF(AND(BI173=1,INT(N(H173))&lt;=Config!$B$6),Y173,"")</f>
        <v/>
      </c>
      <c r="BK173" s="23" t="str">
        <f aca="false">IF(AND(BI173=1,INT(N(H173))&lt;=Config!$B$7),Y173,"")</f>
        <v/>
      </c>
      <c r="BL173" s="23" t="str">
        <f aca="false">IF(AND(BI173=1,INT(N(H173))&lt;=Config!$B$8),Y173,"")</f>
        <v/>
      </c>
      <c r="BM173" s="23" t="str">
        <f aca="false">IF(AND(BI173=1,INT(N(H173))&lt;=Config!$B$5),Y173,"")</f>
        <v/>
      </c>
      <c r="BN173" s="23" t="n">
        <f aca="false">IF(CD173=1,IF(COUNTIFS($AZ$2:$AZ$201,AZ173,$CD$2:$CD$201,1,$H$2:$H$201,"&lt;"&amp;H173)+COUNTIFS($AZ$2:$AZ$201,AZ173,$CD$2:$CD$201,1,$H$2:$H$201,H173,$BA$2:$BA$201,"&lt;"&amp;BA173)=0,1,0),0)</f>
        <v>0</v>
      </c>
      <c r="BO173" s="23" t="n">
        <f aca="false">IF(AND(BB173=1,ISNUMBER(M173)),1,0)</f>
        <v>0</v>
      </c>
      <c r="BP173" s="23" t="n">
        <f aca="false">IF(BO173=1,IF(COUNTIFS($AZ$2:$AZ$201,AZ173,$BO$2:$BO$201,1,$H$2:$H$201,"&lt;"&amp;H173)+COUNTIFS($AZ$2:$AZ$201,AZ173,$BO$2:$BO$201,1,$H$2:$H$201,H173,$BA$2:$BA$201,"&lt;"&amp;BA173)=0,1,0),0)</f>
        <v>0</v>
      </c>
      <c r="BQ173" s="23" t="str">
        <f aca="false">IF(AND(BP173=1,INT(N(H173))&lt;=Config!$B$5),M173,"")</f>
        <v/>
      </c>
      <c r="BR173" s="23" t="n">
        <f aca="false">IF(AND(BB173=1,OR(TRIM(X173)&lt;&gt;"",ISNUMBER(Y173))),1,0)</f>
        <v>0</v>
      </c>
      <c r="BS173" s="23" t="n">
        <f aca="false">IF(BR173=1,IF(COUNTIFS($AZ$2:$AZ$201,AZ173,$BR$2:$BR$201,1,$H$2:$H$201,"&lt;"&amp;H173)+COUNTIFS($AZ$2:$AZ$201,AZ173,$BR$2:$BR$201,1,$H$2:$H$201,H173,$BA$2:$BA$201,"&lt;"&amp;BA173)=0,1,0),0)</f>
        <v>0</v>
      </c>
      <c r="BT173" s="23" t="str">
        <f aca="false">IF(BS173=1,AZ173,"")</f>
        <v/>
      </c>
      <c r="BU173" s="23" t="n">
        <f aca="false">IF(AND(BB173=1,W173="Y",TRIM(X173)=""),1,0)</f>
        <v>0</v>
      </c>
      <c r="BV173" s="23" t="str">
        <f aca="false">IF(BB173=1,AN173&amp;"","")</f>
        <v/>
      </c>
      <c r="BW173" s="23" t="str">
        <f aca="false">IF(BB173=1,AO173&amp;"","")</f>
        <v/>
      </c>
      <c r="BX173" s="23" t="str">
        <f aca="false">IF(BB173=1,AP173&amp;"","")</f>
        <v/>
      </c>
      <c r="BY173" s="23" t="str">
        <f aca="false">IF(AND(BB173=1,ISNUMBER(AV173),INT(N(H173))&lt;=Config!$B$5),AV173,"")</f>
        <v/>
      </c>
      <c r="BZ173" s="23" t="str">
        <f aca="false">IF(BB173=1,IF(COUNTIFS($A$2:$A$201,$A173,$DC$2:$DC$201,1,$AR$2:$AR$201,"Y")&gt;0,"Y","N"),"")</f>
        <v/>
      </c>
      <c r="CA173" s="23" t="n">
        <f aca="false">IF(AND(BB173=1,AR173="maybe"),1,0)</f>
        <v>0</v>
      </c>
      <c r="CB173" s="23" t="n">
        <f aca="false">IF(CA173=1,IF(COUNTIFS($AZ$2:$AZ$201,AZ173,$CA$2:$CA$201,1,$H$2:$H$201,"&lt;"&amp;H173)+COUNTIFS($AZ$2:$AZ$201,AZ173,$CA$2:$CA$201,1,$H$2:$H$201,H173,$BA$2:$BA$201,"&lt;"&amp;BA173)=0,1,0),0)</f>
        <v>0</v>
      </c>
      <c r="CC173" s="23" t="n">
        <f aca="false">IF(AND(BB173=1,AR173="Y"),IF(COUNTIFS($AZ$2:$AZ$201,AZ173,$AR$2:$AR$201,"Y",$BB$2:$BB$201,1,$H$2:$H$201,"&lt;"&amp;H173)+COUNTIFS($AZ$2:$AZ$201,AZ173,$AR$2:$AR$201,"Y",$BB$2:$BB$201,1,$H$2:$H$201,H173,$BA$2:$BA$201,"&lt;"&amp;BA173)=0,1,0),0)</f>
        <v>0</v>
      </c>
      <c r="CD173" s="23" t="n">
        <f aca="false">IF(AND(BH173=1,N(Y173)&gt;=Config!$B$15),1,0)</f>
        <v>0</v>
      </c>
      <c r="CE173" s="23" t="n">
        <f aca="false">IF(AND(BB173=1,AT173="Y"),1,0)</f>
        <v>0</v>
      </c>
      <c r="CF173" s="23" t="n">
        <f aca="false">IF(CE173=1,IF(COUNTIFS($AZ$2:$AZ$201,AZ173,$CE$2:$CE$201,1,$H$2:$H$201,"&lt;"&amp;H173)+COUNTIFS($AZ$2:$AZ$201,AZ173,$CE$2:$CE$201,1,$H$2:$H$201,H173,$BA$2:$BA$201,"&lt;"&amp;BA173)=0,1,0),0)</f>
        <v>0</v>
      </c>
      <c r="CG173" s="23" t="n">
        <f aca="false">IF(AND(BB173=1,G173="warm-intro"),1,0)</f>
        <v>0</v>
      </c>
      <c r="CH173" s="23" t="n">
        <f aca="false">IF(CG173=1,IF(COUNTIFS($AZ$2:$AZ$201,AZ173,$CG$2:$CG$201,1,$H$2:$H$201,"&lt;"&amp;H173)+COUNTIFS($AZ$2:$AZ$201,AZ173,$CG$2:$CG$201,1,$H$2:$H$201,H173,$BA$2:$BA$201,"&lt;"&amp;BA173)=0,1,0),0)</f>
        <v>0</v>
      </c>
      <c r="CI173" s="23" t="n">
        <f aca="false">IF(AND(BB173=1,Q173="Y"),1,0)</f>
        <v>0</v>
      </c>
      <c r="CJ173" s="23" t="n">
        <f aca="false">IF(CI173=1,IF(COUNTIFS($AZ$2:$AZ$201,AZ173,$CI$2:$CI$201,1,$H$2:$H$201,"&lt;"&amp;H173)+COUNTIFS($AZ$2:$AZ$201,AZ173,$CI$2:$CI$201,1,$H$2:$H$201,H173,$BA$2:$BA$201,"&lt;"&amp;BA173)=0,1,0),0)</f>
        <v>0</v>
      </c>
      <c r="CK173" s="23" t="n">
        <f aca="false">IF(AND(BB173=1,AF173="Y"),1,0)</f>
        <v>0</v>
      </c>
      <c r="CL173" s="23" t="n">
        <f aca="false">IF(CK173=1,IF(COUNTIFS($AZ$2:$AZ$201,AZ173,$CK$2:$CK$201,1,$H$2:$H$201,"&lt;"&amp;H173)+COUNTIFS($AZ$2:$AZ$201,AZ173,$CK$2:$CK$201,1,$H$2:$H$201,H173,$BA$2:$BA$201,"&lt;"&amp;BA173)=0,1,0),0)</f>
        <v>0</v>
      </c>
      <c r="CM173" s="23" t="n">
        <f aca="false">IF(AND(BB173=1,U173="Y"),1,0)</f>
        <v>0</v>
      </c>
      <c r="CN173" s="23" t="n">
        <f aca="false">IF(CM173=1,IF(COUNTIFS($AZ$2:$AZ$201,AZ173,$CM$2:$CM$201,1,$H$2:$H$201,"&lt;"&amp;H173)+COUNTIFS($AZ$2:$AZ$201,AZ173,$CM$2:$CM$201,1,$H$2:$H$201,H173,$BA$2:$BA$201,"&lt;"&amp;BA173)=0,1,0),0)</f>
        <v>0</v>
      </c>
      <c r="CO173" s="23" t="n">
        <f aca="false">IF(AND(BB173=1,L173="Y"),1,0)</f>
        <v>0</v>
      </c>
      <c r="CP173" s="23" t="n">
        <f aca="false">IF(CO173=1,IF(COUNTIFS($AZ$2:$AZ$201,AZ173,$CO$2:$CO$201,1,$H$2:$H$201,"&lt;"&amp;H173)+COUNTIFS($AZ$2:$AZ$201,AZ173,$CO$2:$CO$201,1,$H$2:$H$201,H173,$BA$2:$BA$201,"&lt;"&amp;BA173)=0,1,0),0)</f>
        <v>0</v>
      </c>
      <c r="CQ173" s="23" t="n">
        <f aca="false">IF(AND(BB173=1,ISNUMBER(O173)),1,0)</f>
        <v>0</v>
      </c>
      <c r="CR173" s="23" t="n">
        <f aca="false">IF(CQ173=1,IF(COUNTIFS($AZ$2:$AZ$201,AZ173,$CQ$2:$CQ$201,1,$H$2:$H$201,"&lt;"&amp;H173)+COUNTIFS($AZ$2:$AZ$201,AZ173,$CQ$2:$CQ$201,1,$H$2:$H$201,H173,$BA$2:$BA$201,"&lt;"&amp;BA173)=0,1,0),0)</f>
        <v>0</v>
      </c>
      <c r="CS173" s="23" t="str">
        <f aca="false">IF(AND(CR173=1,INT(N(H173))&lt;=Config!$B$5),O173,"")</f>
        <v/>
      </c>
      <c r="CT173" s="23" t="str">
        <f aca="false">IF(AND(BB173=1,INT(N(H173))&lt;=Config!$B$5),AG173&amp;"","")</f>
        <v/>
      </c>
      <c r="CU173" s="23" t="n">
        <f aca="false">IF(AND(BB173=1,AU173="Y"),1,0)</f>
        <v>0</v>
      </c>
      <c r="CV173" s="23" t="n">
        <f aca="false">IF(CU173=1,IF(COUNTIFS($AZ$2:$AZ$201,AZ173,$CU$2:$CU$201,1,$H$2:$H$201,"&lt;"&amp;H173)+COUNTIFS($AZ$2:$AZ$201,AZ173,$CU$2:$CU$201,1,$H$2:$H$201,H173,$BA$2:$BA$201,"&lt;"&amp;BA173)=0,1,0),0)</f>
        <v>0</v>
      </c>
      <c r="CW173" s="23" t="str">
        <f aca="false">IF(BB173=1,IFERROR(MATCH($A173,INDEX(Clay_Offices!$A$2:$FZ$601,0,Sync!$C$5),0),""),"")</f>
        <v/>
      </c>
      <c r="CX173" s="23" t="str">
        <f aca="false">IF(CW173="","",IFERROR(INDEX(Clay_Offices!$A$2:$FZ$601,CW173,Sync!$C$7)&amp;"",""))</f>
        <v/>
      </c>
      <c r="CY173" s="23" t="str">
        <f aca="false">IF(CX173="","",IFERROR(INDEX(Lists!$K$2:$K$15,MATCH(CX173,Lists!$J$2:$J$15,0)),""))</f>
        <v/>
      </c>
      <c r="CZ173" s="23" t="str">
        <f aca="false">IF(CW173="","",IFERROR(INDEX(Clay_Offices!$A$2:$FZ$601,CW173,Sync!$C$17)&amp;"",""))</f>
        <v/>
      </c>
      <c r="DA173" s="35" t="str">
        <f aca="false">IF(CW173="","",IFERROR(N(INDEX(Clay_Offices!$A$2:$FZ$601,CW173,Sync!$C$16)),0))</f>
        <v/>
      </c>
      <c r="DB173" s="23" t="n">
        <f aca="false">IF(AND(BB173=1,OR(AR173="Y",AR173="N",AR173="maybe")),1,0)</f>
        <v>0</v>
      </c>
      <c r="DC173" s="23" t="n">
        <f aca="false">IF(AND(DB173=1),IF(COUNTIFS($A$2:$A$201,$A173,$DB$2:$DB$201,1,$H$2:$H$201,"&gt;"&amp;H173)+COUNTIFS($A$2:$A$201,$A173,$DB$2:$DB$201,1,$H$2:$H$201,H173,$BA$2:$BA$201,"&gt;"&amp;BA173)=0,1,0),0)</f>
        <v>0</v>
      </c>
      <c r="DD173" s="23" t="n">
        <f aca="false">IF(AND(DB173=1,INT(N(H173))&lt;=Config!$B$6),IF(COUNTIFS($AZ$2:$AZ$201,AZ173,$DB$2:$DB$201,1,$H$2:$H$201,"&gt;"&amp;H173,$H$2:$H$201,"&lt;"&amp;(Config!$B$6+1))+COUNTIFS($AZ$2:$AZ$201,AZ173,$DB$2:$DB$201,1,$H$2:$H$201,H173,$BA$2:$BA$201,"&gt;"&amp;BA173)=0,1,0),0)</f>
        <v>0</v>
      </c>
      <c r="DE173" s="23" t="n">
        <f aca="false">IF(AND(DB173=1,INT(N(H173))&lt;=Config!$B$7),IF(COUNTIFS($AZ$2:$AZ$201,AZ173,$DB$2:$DB$201,1,$H$2:$H$201,"&gt;"&amp;H173,$H$2:$H$201,"&lt;"&amp;(Config!$B$7+1))+COUNTIFS($AZ$2:$AZ$201,AZ173,$DB$2:$DB$201,1,$H$2:$H$201,H173,$BA$2:$BA$201,"&gt;"&amp;BA173)=0,1,0),0)</f>
        <v>0</v>
      </c>
      <c r="DF173" s="23" t="n">
        <f aca="false">IF(AND(DB173=1,INT(N(H173))&lt;=Config!$B$8),IF(COUNTIFS($AZ$2:$AZ$201,AZ173,$DB$2:$DB$201,1,$H$2:$H$201,"&gt;"&amp;H173,$H$2:$H$201,"&lt;"&amp;(Config!$B$8+1))+COUNTIFS($AZ$2:$AZ$201,AZ173,$DB$2:$DB$201,1,$H$2:$H$201,H173,$BA$2:$BA$201,"&gt;"&amp;BA173)=0,1,0),0)</f>
        <v>0</v>
      </c>
      <c r="DG173" s="23" t="n">
        <f aca="false">IF(AND(DB173=1,INT(N(H173))&lt;=Config!$B$5),IF(COUNTIFS($AZ$2:$AZ$201,AZ173,$DB$2:$DB$201,1,$H$2:$H$201,"&gt;"&amp;H173,$H$2:$H$201,"&lt;"&amp;(Config!$B$5+1))+COUNTIFS($AZ$2:$AZ$201,AZ173,$DB$2:$DB$201,1,$H$2:$H$201,H173,$BA$2:$BA$201,"&gt;"&amp;BA173)=0,1,0),0)</f>
        <v>0</v>
      </c>
      <c r="DH173" s="23" t="n">
        <f aca="false">IF(BB173=1,IF(COUNTIFS($AZ$2:$AZ$201,AZ173,$DD$2:$DD$201,1,$AR$2:$AR$201,"Y")&gt;0,1,0),0)</f>
        <v>0</v>
      </c>
      <c r="DI173" s="23" t="n">
        <f aca="false">IF(BB173=1,IF(COUNTIFS($AZ$2:$AZ$201,AZ173,$DE$2:$DE$201,1,$AR$2:$AR$201,"Y")&gt;0,1,0),0)</f>
        <v>0</v>
      </c>
      <c r="DJ173" s="23" t="n">
        <f aca="false">IF(BB173=1,IF(COUNTIFS($AZ$2:$AZ$201,AZ173,$DF$2:$DF$201,1,$AR$2:$AR$201,"Y")&gt;0,1,0),0)</f>
        <v>0</v>
      </c>
      <c r="DK173" s="23" t="n">
        <f aca="false">IF(BB173=1,IF(COUNTIFS($AZ$2:$AZ$201,AZ173,$DG$2:$DG$201,1,$AR$2:$AR$201,"Y")&gt;0,1,0),0)</f>
        <v>0</v>
      </c>
      <c r="DL173" s="23" t="n">
        <f aca="false">IF(AND(BF173=1,INT(N(H173))&lt;=Config!$B$6,DH173=1,EI173=0),1,0)</f>
        <v>0</v>
      </c>
      <c r="DM173" s="23" t="n">
        <f aca="false">IF(AND(BF173=1,INT(N(H173))&lt;=Config!$B$7,DI173=1,EI173=0),1,0)</f>
        <v>0</v>
      </c>
      <c r="DN173" s="23" t="n">
        <f aca="false">IF(AND(BF173=1,INT(N(H173))&lt;=Config!$B$8,DJ173=1,EI173=0),1,0)</f>
        <v>0</v>
      </c>
      <c r="DO173" s="23" t="n">
        <f aca="false">IF(AND(BF173=1,INT(N(H173))&lt;=Config!$B$5,DK173=1,EI173=0),1,0)</f>
        <v>0</v>
      </c>
      <c r="DP173" s="23" t="n">
        <f aca="false">IF(AND(CC173=1,INT(N(H173))&lt;=Config!$B$6,DH173=1,EI173=0),1,0)</f>
        <v>0</v>
      </c>
      <c r="DQ173" s="23" t="n">
        <f aca="false">IF(AND(CC173=1,INT(N(H173))&lt;=Config!$B$7,DI173=1,EI173=0),1,0)</f>
        <v>0</v>
      </c>
      <c r="DR173" s="23" t="n">
        <f aca="false">IF(AND(CC173=1,INT(N(H173))&lt;=Config!$B$8,DJ173=1,EI173=0),1,0)</f>
        <v>0</v>
      </c>
      <c r="DS173" s="23" t="n">
        <f aca="false">IF(AND(CC173=1,INT(N(H173))&lt;=Config!$B$5,DK173=1,EI173=0),1,0)</f>
        <v>0</v>
      </c>
      <c r="DT173" s="23" t="n">
        <f aca="false">IF(AND(CC173=1,INT(N(H173))&lt;=Config!$B$6,DH173=0),1,0)</f>
        <v>0</v>
      </c>
      <c r="DU173" s="23" t="n">
        <f aca="false">IF(AND(CC173=1,INT(N(H173))&lt;=Config!$B$7,DI173=0),1,0)</f>
        <v>0</v>
      </c>
      <c r="DV173" s="23" t="n">
        <f aca="false">IF(AND(CC173=1,INT(N(H173))&lt;=Config!$B$8,DJ173=0),1,0)</f>
        <v>0</v>
      </c>
      <c r="DW173" s="23" t="n">
        <f aca="false">IF(AND(CC173=1,INT(N(H173))&lt;=Config!$B$5,DK173=0),1,0)</f>
        <v>0</v>
      </c>
      <c r="DX173" s="23" t="n">
        <f aca="false">IF(TRIM($A173)="",0,ISTEXT(M173)+ISTEXT(O173)+ISTEXT(Y173)+ISTEXT(Z173)+ISTEXT(AA173)+ISTEXT(AV173))</f>
        <v>0</v>
      </c>
      <c r="DY173" s="23" t="n">
        <f aca="false">IF(BB173=1,IF(H173&lt;&gt;INT(H173),1,0),0)</f>
        <v>0</v>
      </c>
      <c r="DZ173" s="23" t="str">
        <f aca="false">IF(TRIM($A173)="","",IF(TRIM(B173)="",SUBSTITUTE(SUBSTITUTE(SUBSTITUTE(SUBSTITUTE(SUBSTITUTE(SUBSTITUTE(LOWER(TRIM($A173)),"~",""),"*",""),"?",""),"&lt;",""),"&gt;",""),"=",""),SUBSTITUTE(SUBSTITUTE(SUBSTITUTE(SUBSTITUTE(SUBSTITUTE(SUBSTITUTE(LOWER(TRIM(B173)),"~",""),"*",""),"?",""),"&lt;",""),"&gt;",""),"=","")))</f>
        <v/>
      </c>
      <c r="EA173" s="23" t="str">
        <f aca="false">IF(CW173="","",IFERROR(IF(LEFT(LOWER(TRIM(INDEX(Clay_Offices!$A$2:$FZ$601,CW173,Sync!$C$19)&amp;"")),4)="grp-",SUBSTITUTE(SUBSTITUTE(SUBSTITUTE(SUBSTITUTE(SUBSTITUTE(SUBSTITUTE(LOWER(TRIM(INDEX(Clay_Offices!$A$2:$FZ$601,CW173,Sync!$C$19)&amp;"")),"~",""),"*",""),"?",""),"&lt;",""),"&gt;",""),"=",""),""),""))</f>
        <v/>
      </c>
      <c r="EB173" s="23" t="str">
        <f aca="false">IF(EA173&lt;&gt;"",DZ173,"")</f>
        <v/>
      </c>
      <c r="EC173" s="23" t="str">
        <f aca="false">IF(BC173=1,AZ173,"")</f>
        <v/>
      </c>
      <c r="ED173" s="23" t="str">
        <f aca="false">IF(TRIM($A173)="","",IFERROR(INDEX($A$2:$A$201,MATCH(AZ173,$EC$2:$EC$201,0))&amp;"",$A173&amp;""))</f>
        <v/>
      </c>
      <c r="EE173" s="23" t="n">
        <f aca="false">IF(BB173=1,IF(COUNTIFS($A$2:$A$201,$A173,$BB$2:$BB$201,1,$H$2:$H$201,"&lt;"&amp;H173)+COUNTIFS($A$2:$A$201,$A173,$BB$2:$BB$201,1,$H$2:$H$201,H173,$BA$2:$BA$201,"&lt;"&amp;BA173)=0,1,0),0)</f>
        <v>0</v>
      </c>
      <c r="EF173" s="23" t="n">
        <f aca="false">IF(BC173=1,IF(COUNTIFS($AZ$2:$AZ$201,AZ173,$EE$2:$EE$201,1)&gt;1,1,0),0)</f>
        <v>0</v>
      </c>
      <c r="EG173" s="23" t="n">
        <f aca="false">IF(AND(CQ173=1),IF(COUNTIFS($AZ$2:$AZ$201,AZ173,$CQ$2:$CQ$201,1,$H$2:$H$201,"&gt;"&amp;H173)+COUNTIFS($AZ$2:$AZ$201,AZ173,$CQ$2:$CQ$201,1,$H$2:$H$201,H173,$BA$2:$BA$201,"&gt;"&amp;BA173)=0,1,0),0)</f>
        <v>0</v>
      </c>
      <c r="EH173" s="23" t="str">
        <f aca="false">IF(BB173=1,IF(COUNTIFS($AZ$2:$AZ$201,AZ173,$EG$2:$EG$201,1)=0,"",SUMIFS($O$2:$O$201,$AZ$2:$AZ$201,AZ173,$EG$2:$EG$201,1)),"")</f>
        <v/>
      </c>
      <c r="EI173" s="23" t="n">
        <f aca="false">IF(AND(ISNUMBER(EH173),OR(N(EH173)&lt;Config!$B$31,N(EH173)&gt;Config!$B$33)),1,0)</f>
        <v>0</v>
      </c>
      <c r="EJ173" s="23" t="n">
        <f aca="false">IF(AND(ISNUMBER(EH173),N(EH173)&gt;=Config!$B$31,N(EH173)&lt;Config!$B$32),1,0)</f>
        <v>0</v>
      </c>
      <c r="EK173" s="23" t="n">
        <f aca="false">IF(AND(BF173=1,INT(N(H173))&lt;=Config!$B$6,DH173=1,EI173=1),1,0)</f>
        <v>0</v>
      </c>
      <c r="EL173" s="23" t="n">
        <f aca="false">IF(AND(BF173=1,INT(N(H173))&lt;=Config!$B$7,DI173=1,EI173=1),1,0)</f>
        <v>0</v>
      </c>
      <c r="EM173" s="23" t="n">
        <f aca="false">IF(AND(BF173=1,INT(N(H173))&lt;=Config!$B$8,DJ173=1,EI173=1),1,0)</f>
        <v>0</v>
      </c>
      <c r="EN173" s="23" t="n">
        <f aca="false">IF(AND(BF173=1,INT(N(H173))&lt;=Config!$B$5,DK173=1,EI173=1),1,0)</f>
        <v>0</v>
      </c>
      <c r="EO173" s="23" t="n">
        <f aca="false">IF(AND(DL173=1,EJ173=1),1,0)</f>
        <v>0</v>
      </c>
      <c r="EP173" s="23" t="n">
        <f aca="false">IF(AND(DM173=1,EJ173=1),1,0)</f>
        <v>0</v>
      </c>
      <c r="EQ173" s="23" t="n">
        <f aca="false">IF(AND(DN173=1,EJ173=1),1,0)</f>
        <v>0</v>
      </c>
      <c r="ER173" s="23" t="n">
        <f aca="false">IF(AND(DO173=1,EJ173=1),1,0)</f>
        <v>0</v>
      </c>
    </row>
    <row r="174" customFormat="false" ht="15" hidden="false" customHeight="false" outlineLevel="0" collapsed="false">
      <c r="G174" s="32"/>
      <c r="H174" s="33"/>
      <c r="I174" s="32"/>
      <c r="L174" s="32"/>
      <c r="Q174" s="32"/>
      <c r="U174" s="32"/>
      <c r="W174" s="32"/>
      <c r="AC174" s="32"/>
      <c r="AF174" s="32"/>
      <c r="AI174" s="32"/>
      <c r="AJ174" s="32"/>
      <c r="AN174" s="32"/>
      <c r="AR174" s="32"/>
      <c r="AT174" s="32"/>
      <c r="AU174" s="32"/>
      <c r="AW174" s="32"/>
      <c r="AY174" s="34" t="str">
        <f aca="false">IF(TRIM($A174)="","",IF(AND(LEFT($A174,6)="SAMPLE",Config!$B$19&lt;&gt;"Y"),"",IF(NOT(ISNUMBER(H174)),"call_date is blank or not a date",IF(Sync!$C$5="","Clay paste is empty or has no row_id column: paste the Clay export on Clay_Offices",IF(CW174="","row_id not found in the Clay paste: add the Clay row or fix the row_id",IF(AND(ISNUMBER(CY174),CY174&gt;=1,CY174&lt;=5),"Clay status is "&amp;CX174&amp;": set call_done or later",IF(AND(BD174=1,CZ174&lt;&gt;BZ174),"Clay yes_in_principle should be "&amp;BZ174,IF(AND(BD174=1,DA174&lt;&gt;H174),"Clay call_date should be "&amp;TEXT(H174,"yyyy-mm-dd"),""))))))))</f>
        <v/>
      </c>
      <c r="AZ174" s="23" t="str">
        <f aca="false">IF(TRIM($A174)="","",IF(TRIM(C174)&lt;&gt;"",SUBSTITUTE(SUBSTITUTE(SUBSTITUTE(SUBSTITUTE(SUBSTITUTE(SUBSTITUTE(LOWER(TRIM(C174)),"~",""),"*",""),"?",""),"&lt;",""),"&gt;",""),"=",""),IF(EA174&lt;&gt;"",EA174,IFERROR(INDEX($EA$2:$EA$201,MATCH(DZ174,$EB$2:$EB$201,0)),DZ174))))</f>
        <v/>
      </c>
      <c r="BA174" s="23" t="n">
        <f aca="false">ROW()</f>
        <v>174</v>
      </c>
      <c r="BB174" s="23" t="n">
        <f aca="false">IF(AND(TRIM($A174)&lt;&gt;"",ISNUMBER(H174)),IF(AND(LEFT($A174,6)="SAMPLE",Config!$B$19&lt;&gt;"Y"),0,1),0)</f>
        <v>0</v>
      </c>
      <c r="BC174" s="23" t="n">
        <f aca="false">IF(BB174=1,IF(COUNTIFS($AZ$2:$AZ$201,AZ174,$BB$2:$BB$201,1,$H$2:$H$201,"&lt;"&amp;H174)+COUNTIFS($AZ$2:$AZ$201,AZ174,$BB$2:$BB$201,1,$H$2:$H$201,H174,$BA$2:$BA$201,"&lt;"&amp;BA174)=0,1,0),0)</f>
        <v>0</v>
      </c>
      <c r="BD174" s="23" t="n">
        <f aca="false">IF(BB174=1,IF(COUNTIFS($A$2:$A$201,$A174,$BB$2:$BB$201,1,$H$2:$H$201,"&gt;"&amp;H174)+COUNTIFS($A$2:$A$201,$A174,$BB$2:$BB$201,1,$H$2:$H$201,H174,$BA$2:$BA$201,"&gt;"&amp;BA174)=0,1,0),0)</f>
        <v>0</v>
      </c>
      <c r="BE174" s="23" t="n">
        <f aca="false">IF(AND(BB174=1,AR174="Y",AC174="Y",TRIM(AH174)&lt;&gt;""),1,0)</f>
        <v>0</v>
      </c>
      <c r="BF174" s="23" t="n">
        <f aca="false">IF(BE174=1,IF(COUNTIFS($AZ$2:$AZ$201,AZ174,$BE$2:$BE$201,1,$H$2:$H$201,"&lt;"&amp;H174)+COUNTIFS($AZ$2:$AZ$201,AZ174,$BE$2:$BE$201,1,$H$2:$H$201,H174,$BA$2:$BA$201,"&lt;"&amp;BA174)=0,1,0),0)</f>
        <v>0</v>
      </c>
      <c r="BG174" s="23" t="n">
        <f aca="false">IF(AND(BB174=1,AR174="Y",BE174=0),1,0)</f>
        <v>0</v>
      </c>
      <c r="BH174" s="23" t="n">
        <f aca="false">IF(AND(BB174=1,ISNUMBER(Y174)),1,0)</f>
        <v>0</v>
      </c>
      <c r="BI174" s="23" t="n">
        <f aca="false">IF(BH174=1,IF(COUNTIFS($AZ$2:$AZ$201,AZ174,$BH$2:$BH$201,1,$H$2:$H$201,"&lt;"&amp;H174)+COUNTIFS($AZ$2:$AZ$201,AZ174,$BH$2:$BH$201,1,$H$2:$H$201,H174,$BA$2:$BA$201,"&lt;"&amp;BA174)=0,1,0),0)</f>
        <v>0</v>
      </c>
      <c r="BJ174" s="23" t="str">
        <f aca="false">IF(AND(BI174=1,INT(N(H174))&lt;=Config!$B$6),Y174,"")</f>
        <v/>
      </c>
      <c r="BK174" s="23" t="str">
        <f aca="false">IF(AND(BI174=1,INT(N(H174))&lt;=Config!$B$7),Y174,"")</f>
        <v/>
      </c>
      <c r="BL174" s="23" t="str">
        <f aca="false">IF(AND(BI174=1,INT(N(H174))&lt;=Config!$B$8),Y174,"")</f>
        <v/>
      </c>
      <c r="BM174" s="23" t="str">
        <f aca="false">IF(AND(BI174=1,INT(N(H174))&lt;=Config!$B$5),Y174,"")</f>
        <v/>
      </c>
      <c r="BN174" s="23" t="n">
        <f aca="false">IF(CD174=1,IF(COUNTIFS($AZ$2:$AZ$201,AZ174,$CD$2:$CD$201,1,$H$2:$H$201,"&lt;"&amp;H174)+COUNTIFS($AZ$2:$AZ$201,AZ174,$CD$2:$CD$201,1,$H$2:$H$201,H174,$BA$2:$BA$201,"&lt;"&amp;BA174)=0,1,0),0)</f>
        <v>0</v>
      </c>
      <c r="BO174" s="23" t="n">
        <f aca="false">IF(AND(BB174=1,ISNUMBER(M174)),1,0)</f>
        <v>0</v>
      </c>
      <c r="BP174" s="23" t="n">
        <f aca="false">IF(BO174=1,IF(COUNTIFS($AZ$2:$AZ$201,AZ174,$BO$2:$BO$201,1,$H$2:$H$201,"&lt;"&amp;H174)+COUNTIFS($AZ$2:$AZ$201,AZ174,$BO$2:$BO$201,1,$H$2:$H$201,H174,$BA$2:$BA$201,"&lt;"&amp;BA174)=0,1,0),0)</f>
        <v>0</v>
      </c>
      <c r="BQ174" s="23" t="str">
        <f aca="false">IF(AND(BP174=1,INT(N(H174))&lt;=Config!$B$5),M174,"")</f>
        <v/>
      </c>
      <c r="BR174" s="23" t="n">
        <f aca="false">IF(AND(BB174=1,OR(TRIM(X174)&lt;&gt;"",ISNUMBER(Y174))),1,0)</f>
        <v>0</v>
      </c>
      <c r="BS174" s="23" t="n">
        <f aca="false">IF(BR174=1,IF(COUNTIFS($AZ$2:$AZ$201,AZ174,$BR$2:$BR$201,1,$H$2:$H$201,"&lt;"&amp;H174)+COUNTIFS($AZ$2:$AZ$201,AZ174,$BR$2:$BR$201,1,$H$2:$H$201,H174,$BA$2:$BA$201,"&lt;"&amp;BA174)=0,1,0),0)</f>
        <v>0</v>
      </c>
      <c r="BT174" s="23" t="str">
        <f aca="false">IF(BS174=1,AZ174,"")</f>
        <v/>
      </c>
      <c r="BU174" s="23" t="n">
        <f aca="false">IF(AND(BB174=1,W174="Y",TRIM(X174)=""),1,0)</f>
        <v>0</v>
      </c>
      <c r="BV174" s="23" t="str">
        <f aca="false">IF(BB174=1,AN174&amp;"","")</f>
        <v/>
      </c>
      <c r="BW174" s="23" t="str">
        <f aca="false">IF(BB174=1,AO174&amp;"","")</f>
        <v/>
      </c>
      <c r="BX174" s="23" t="str">
        <f aca="false">IF(BB174=1,AP174&amp;"","")</f>
        <v/>
      </c>
      <c r="BY174" s="23" t="str">
        <f aca="false">IF(AND(BB174=1,ISNUMBER(AV174),INT(N(H174))&lt;=Config!$B$5),AV174,"")</f>
        <v/>
      </c>
      <c r="BZ174" s="23" t="str">
        <f aca="false">IF(BB174=1,IF(COUNTIFS($A$2:$A$201,$A174,$DC$2:$DC$201,1,$AR$2:$AR$201,"Y")&gt;0,"Y","N"),"")</f>
        <v/>
      </c>
      <c r="CA174" s="23" t="n">
        <f aca="false">IF(AND(BB174=1,AR174="maybe"),1,0)</f>
        <v>0</v>
      </c>
      <c r="CB174" s="23" t="n">
        <f aca="false">IF(CA174=1,IF(COUNTIFS($AZ$2:$AZ$201,AZ174,$CA$2:$CA$201,1,$H$2:$H$201,"&lt;"&amp;H174)+COUNTIFS($AZ$2:$AZ$201,AZ174,$CA$2:$CA$201,1,$H$2:$H$201,H174,$BA$2:$BA$201,"&lt;"&amp;BA174)=0,1,0),0)</f>
        <v>0</v>
      </c>
      <c r="CC174" s="23" t="n">
        <f aca="false">IF(AND(BB174=1,AR174="Y"),IF(COUNTIFS($AZ$2:$AZ$201,AZ174,$AR$2:$AR$201,"Y",$BB$2:$BB$201,1,$H$2:$H$201,"&lt;"&amp;H174)+COUNTIFS($AZ$2:$AZ$201,AZ174,$AR$2:$AR$201,"Y",$BB$2:$BB$201,1,$H$2:$H$201,H174,$BA$2:$BA$201,"&lt;"&amp;BA174)=0,1,0),0)</f>
        <v>0</v>
      </c>
      <c r="CD174" s="23" t="n">
        <f aca="false">IF(AND(BH174=1,N(Y174)&gt;=Config!$B$15),1,0)</f>
        <v>0</v>
      </c>
      <c r="CE174" s="23" t="n">
        <f aca="false">IF(AND(BB174=1,AT174="Y"),1,0)</f>
        <v>0</v>
      </c>
      <c r="CF174" s="23" t="n">
        <f aca="false">IF(CE174=1,IF(COUNTIFS($AZ$2:$AZ$201,AZ174,$CE$2:$CE$201,1,$H$2:$H$201,"&lt;"&amp;H174)+COUNTIFS($AZ$2:$AZ$201,AZ174,$CE$2:$CE$201,1,$H$2:$H$201,H174,$BA$2:$BA$201,"&lt;"&amp;BA174)=0,1,0),0)</f>
        <v>0</v>
      </c>
      <c r="CG174" s="23" t="n">
        <f aca="false">IF(AND(BB174=1,G174="warm-intro"),1,0)</f>
        <v>0</v>
      </c>
      <c r="CH174" s="23" t="n">
        <f aca="false">IF(CG174=1,IF(COUNTIFS($AZ$2:$AZ$201,AZ174,$CG$2:$CG$201,1,$H$2:$H$201,"&lt;"&amp;H174)+COUNTIFS($AZ$2:$AZ$201,AZ174,$CG$2:$CG$201,1,$H$2:$H$201,H174,$BA$2:$BA$201,"&lt;"&amp;BA174)=0,1,0),0)</f>
        <v>0</v>
      </c>
      <c r="CI174" s="23" t="n">
        <f aca="false">IF(AND(BB174=1,Q174="Y"),1,0)</f>
        <v>0</v>
      </c>
      <c r="CJ174" s="23" t="n">
        <f aca="false">IF(CI174=1,IF(COUNTIFS($AZ$2:$AZ$201,AZ174,$CI$2:$CI$201,1,$H$2:$H$201,"&lt;"&amp;H174)+COUNTIFS($AZ$2:$AZ$201,AZ174,$CI$2:$CI$201,1,$H$2:$H$201,H174,$BA$2:$BA$201,"&lt;"&amp;BA174)=0,1,0),0)</f>
        <v>0</v>
      </c>
      <c r="CK174" s="23" t="n">
        <f aca="false">IF(AND(BB174=1,AF174="Y"),1,0)</f>
        <v>0</v>
      </c>
      <c r="CL174" s="23" t="n">
        <f aca="false">IF(CK174=1,IF(COUNTIFS($AZ$2:$AZ$201,AZ174,$CK$2:$CK$201,1,$H$2:$H$201,"&lt;"&amp;H174)+COUNTIFS($AZ$2:$AZ$201,AZ174,$CK$2:$CK$201,1,$H$2:$H$201,H174,$BA$2:$BA$201,"&lt;"&amp;BA174)=0,1,0),0)</f>
        <v>0</v>
      </c>
      <c r="CM174" s="23" t="n">
        <f aca="false">IF(AND(BB174=1,U174="Y"),1,0)</f>
        <v>0</v>
      </c>
      <c r="CN174" s="23" t="n">
        <f aca="false">IF(CM174=1,IF(COUNTIFS($AZ$2:$AZ$201,AZ174,$CM$2:$CM$201,1,$H$2:$H$201,"&lt;"&amp;H174)+COUNTIFS($AZ$2:$AZ$201,AZ174,$CM$2:$CM$201,1,$H$2:$H$201,H174,$BA$2:$BA$201,"&lt;"&amp;BA174)=0,1,0),0)</f>
        <v>0</v>
      </c>
      <c r="CO174" s="23" t="n">
        <f aca="false">IF(AND(BB174=1,L174="Y"),1,0)</f>
        <v>0</v>
      </c>
      <c r="CP174" s="23" t="n">
        <f aca="false">IF(CO174=1,IF(COUNTIFS($AZ$2:$AZ$201,AZ174,$CO$2:$CO$201,1,$H$2:$H$201,"&lt;"&amp;H174)+COUNTIFS($AZ$2:$AZ$201,AZ174,$CO$2:$CO$201,1,$H$2:$H$201,H174,$BA$2:$BA$201,"&lt;"&amp;BA174)=0,1,0),0)</f>
        <v>0</v>
      </c>
      <c r="CQ174" s="23" t="n">
        <f aca="false">IF(AND(BB174=1,ISNUMBER(O174)),1,0)</f>
        <v>0</v>
      </c>
      <c r="CR174" s="23" t="n">
        <f aca="false">IF(CQ174=1,IF(COUNTIFS($AZ$2:$AZ$201,AZ174,$CQ$2:$CQ$201,1,$H$2:$H$201,"&lt;"&amp;H174)+COUNTIFS($AZ$2:$AZ$201,AZ174,$CQ$2:$CQ$201,1,$H$2:$H$201,H174,$BA$2:$BA$201,"&lt;"&amp;BA174)=0,1,0),0)</f>
        <v>0</v>
      </c>
      <c r="CS174" s="23" t="str">
        <f aca="false">IF(AND(CR174=1,INT(N(H174))&lt;=Config!$B$5),O174,"")</f>
        <v/>
      </c>
      <c r="CT174" s="23" t="str">
        <f aca="false">IF(AND(BB174=1,INT(N(H174))&lt;=Config!$B$5),AG174&amp;"","")</f>
        <v/>
      </c>
      <c r="CU174" s="23" t="n">
        <f aca="false">IF(AND(BB174=1,AU174="Y"),1,0)</f>
        <v>0</v>
      </c>
      <c r="CV174" s="23" t="n">
        <f aca="false">IF(CU174=1,IF(COUNTIFS($AZ$2:$AZ$201,AZ174,$CU$2:$CU$201,1,$H$2:$H$201,"&lt;"&amp;H174)+COUNTIFS($AZ$2:$AZ$201,AZ174,$CU$2:$CU$201,1,$H$2:$H$201,H174,$BA$2:$BA$201,"&lt;"&amp;BA174)=0,1,0),0)</f>
        <v>0</v>
      </c>
      <c r="CW174" s="23" t="str">
        <f aca="false">IF(BB174=1,IFERROR(MATCH($A174,INDEX(Clay_Offices!$A$2:$FZ$601,0,Sync!$C$5),0),""),"")</f>
        <v/>
      </c>
      <c r="CX174" s="23" t="str">
        <f aca="false">IF(CW174="","",IFERROR(INDEX(Clay_Offices!$A$2:$FZ$601,CW174,Sync!$C$7)&amp;"",""))</f>
        <v/>
      </c>
      <c r="CY174" s="23" t="str">
        <f aca="false">IF(CX174="","",IFERROR(INDEX(Lists!$K$2:$K$15,MATCH(CX174,Lists!$J$2:$J$15,0)),""))</f>
        <v/>
      </c>
      <c r="CZ174" s="23" t="str">
        <f aca="false">IF(CW174="","",IFERROR(INDEX(Clay_Offices!$A$2:$FZ$601,CW174,Sync!$C$17)&amp;"",""))</f>
        <v/>
      </c>
      <c r="DA174" s="35" t="str">
        <f aca="false">IF(CW174="","",IFERROR(N(INDEX(Clay_Offices!$A$2:$FZ$601,CW174,Sync!$C$16)),0))</f>
        <v/>
      </c>
      <c r="DB174" s="23" t="n">
        <f aca="false">IF(AND(BB174=1,OR(AR174="Y",AR174="N",AR174="maybe")),1,0)</f>
        <v>0</v>
      </c>
      <c r="DC174" s="23" t="n">
        <f aca="false">IF(AND(DB174=1),IF(COUNTIFS($A$2:$A$201,$A174,$DB$2:$DB$201,1,$H$2:$H$201,"&gt;"&amp;H174)+COUNTIFS($A$2:$A$201,$A174,$DB$2:$DB$201,1,$H$2:$H$201,H174,$BA$2:$BA$201,"&gt;"&amp;BA174)=0,1,0),0)</f>
        <v>0</v>
      </c>
      <c r="DD174" s="23" t="n">
        <f aca="false">IF(AND(DB174=1,INT(N(H174))&lt;=Config!$B$6),IF(COUNTIFS($AZ$2:$AZ$201,AZ174,$DB$2:$DB$201,1,$H$2:$H$201,"&gt;"&amp;H174,$H$2:$H$201,"&lt;"&amp;(Config!$B$6+1))+COUNTIFS($AZ$2:$AZ$201,AZ174,$DB$2:$DB$201,1,$H$2:$H$201,H174,$BA$2:$BA$201,"&gt;"&amp;BA174)=0,1,0),0)</f>
        <v>0</v>
      </c>
      <c r="DE174" s="23" t="n">
        <f aca="false">IF(AND(DB174=1,INT(N(H174))&lt;=Config!$B$7),IF(COUNTIFS($AZ$2:$AZ$201,AZ174,$DB$2:$DB$201,1,$H$2:$H$201,"&gt;"&amp;H174,$H$2:$H$201,"&lt;"&amp;(Config!$B$7+1))+COUNTIFS($AZ$2:$AZ$201,AZ174,$DB$2:$DB$201,1,$H$2:$H$201,H174,$BA$2:$BA$201,"&gt;"&amp;BA174)=0,1,0),0)</f>
        <v>0</v>
      </c>
      <c r="DF174" s="23" t="n">
        <f aca="false">IF(AND(DB174=1,INT(N(H174))&lt;=Config!$B$8),IF(COUNTIFS($AZ$2:$AZ$201,AZ174,$DB$2:$DB$201,1,$H$2:$H$201,"&gt;"&amp;H174,$H$2:$H$201,"&lt;"&amp;(Config!$B$8+1))+COUNTIFS($AZ$2:$AZ$201,AZ174,$DB$2:$DB$201,1,$H$2:$H$201,H174,$BA$2:$BA$201,"&gt;"&amp;BA174)=0,1,0),0)</f>
        <v>0</v>
      </c>
      <c r="DG174" s="23" t="n">
        <f aca="false">IF(AND(DB174=1,INT(N(H174))&lt;=Config!$B$5),IF(COUNTIFS($AZ$2:$AZ$201,AZ174,$DB$2:$DB$201,1,$H$2:$H$201,"&gt;"&amp;H174,$H$2:$H$201,"&lt;"&amp;(Config!$B$5+1))+COUNTIFS($AZ$2:$AZ$201,AZ174,$DB$2:$DB$201,1,$H$2:$H$201,H174,$BA$2:$BA$201,"&gt;"&amp;BA174)=0,1,0),0)</f>
        <v>0</v>
      </c>
      <c r="DH174" s="23" t="n">
        <f aca="false">IF(BB174=1,IF(COUNTIFS($AZ$2:$AZ$201,AZ174,$DD$2:$DD$201,1,$AR$2:$AR$201,"Y")&gt;0,1,0),0)</f>
        <v>0</v>
      </c>
      <c r="DI174" s="23" t="n">
        <f aca="false">IF(BB174=1,IF(COUNTIFS($AZ$2:$AZ$201,AZ174,$DE$2:$DE$201,1,$AR$2:$AR$201,"Y")&gt;0,1,0),0)</f>
        <v>0</v>
      </c>
      <c r="DJ174" s="23" t="n">
        <f aca="false">IF(BB174=1,IF(COUNTIFS($AZ$2:$AZ$201,AZ174,$DF$2:$DF$201,1,$AR$2:$AR$201,"Y")&gt;0,1,0),0)</f>
        <v>0</v>
      </c>
      <c r="DK174" s="23" t="n">
        <f aca="false">IF(BB174=1,IF(COUNTIFS($AZ$2:$AZ$201,AZ174,$DG$2:$DG$201,1,$AR$2:$AR$201,"Y")&gt;0,1,0),0)</f>
        <v>0</v>
      </c>
      <c r="DL174" s="23" t="n">
        <f aca="false">IF(AND(BF174=1,INT(N(H174))&lt;=Config!$B$6,DH174=1,EI174=0),1,0)</f>
        <v>0</v>
      </c>
      <c r="DM174" s="23" t="n">
        <f aca="false">IF(AND(BF174=1,INT(N(H174))&lt;=Config!$B$7,DI174=1,EI174=0),1,0)</f>
        <v>0</v>
      </c>
      <c r="DN174" s="23" t="n">
        <f aca="false">IF(AND(BF174=1,INT(N(H174))&lt;=Config!$B$8,DJ174=1,EI174=0),1,0)</f>
        <v>0</v>
      </c>
      <c r="DO174" s="23" t="n">
        <f aca="false">IF(AND(BF174=1,INT(N(H174))&lt;=Config!$B$5,DK174=1,EI174=0),1,0)</f>
        <v>0</v>
      </c>
      <c r="DP174" s="23" t="n">
        <f aca="false">IF(AND(CC174=1,INT(N(H174))&lt;=Config!$B$6,DH174=1,EI174=0),1,0)</f>
        <v>0</v>
      </c>
      <c r="DQ174" s="23" t="n">
        <f aca="false">IF(AND(CC174=1,INT(N(H174))&lt;=Config!$B$7,DI174=1,EI174=0),1,0)</f>
        <v>0</v>
      </c>
      <c r="DR174" s="23" t="n">
        <f aca="false">IF(AND(CC174=1,INT(N(H174))&lt;=Config!$B$8,DJ174=1,EI174=0),1,0)</f>
        <v>0</v>
      </c>
      <c r="DS174" s="23" t="n">
        <f aca="false">IF(AND(CC174=1,INT(N(H174))&lt;=Config!$B$5,DK174=1,EI174=0),1,0)</f>
        <v>0</v>
      </c>
      <c r="DT174" s="23" t="n">
        <f aca="false">IF(AND(CC174=1,INT(N(H174))&lt;=Config!$B$6,DH174=0),1,0)</f>
        <v>0</v>
      </c>
      <c r="DU174" s="23" t="n">
        <f aca="false">IF(AND(CC174=1,INT(N(H174))&lt;=Config!$B$7,DI174=0),1,0)</f>
        <v>0</v>
      </c>
      <c r="DV174" s="23" t="n">
        <f aca="false">IF(AND(CC174=1,INT(N(H174))&lt;=Config!$B$8,DJ174=0),1,0)</f>
        <v>0</v>
      </c>
      <c r="DW174" s="23" t="n">
        <f aca="false">IF(AND(CC174=1,INT(N(H174))&lt;=Config!$B$5,DK174=0),1,0)</f>
        <v>0</v>
      </c>
      <c r="DX174" s="23" t="n">
        <f aca="false">IF(TRIM($A174)="",0,ISTEXT(M174)+ISTEXT(O174)+ISTEXT(Y174)+ISTEXT(Z174)+ISTEXT(AA174)+ISTEXT(AV174))</f>
        <v>0</v>
      </c>
      <c r="DY174" s="23" t="n">
        <f aca="false">IF(BB174=1,IF(H174&lt;&gt;INT(H174),1,0),0)</f>
        <v>0</v>
      </c>
      <c r="DZ174" s="23" t="str">
        <f aca="false">IF(TRIM($A174)="","",IF(TRIM(B174)="",SUBSTITUTE(SUBSTITUTE(SUBSTITUTE(SUBSTITUTE(SUBSTITUTE(SUBSTITUTE(LOWER(TRIM($A174)),"~",""),"*",""),"?",""),"&lt;",""),"&gt;",""),"=",""),SUBSTITUTE(SUBSTITUTE(SUBSTITUTE(SUBSTITUTE(SUBSTITUTE(SUBSTITUTE(LOWER(TRIM(B174)),"~",""),"*",""),"?",""),"&lt;",""),"&gt;",""),"=","")))</f>
        <v/>
      </c>
      <c r="EA174" s="23" t="str">
        <f aca="false">IF(CW174="","",IFERROR(IF(LEFT(LOWER(TRIM(INDEX(Clay_Offices!$A$2:$FZ$601,CW174,Sync!$C$19)&amp;"")),4)="grp-",SUBSTITUTE(SUBSTITUTE(SUBSTITUTE(SUBSTITUTE(SUBSTITUTE(SUBSTITUTE(LOWER(TRIM(INDEX(Clay_Offices!$A$2:$FZ$601,CW174,Sync!$C$19)&amp;"")),"~",""),"*",""),"?",""),"&lt;",""),"&gt;",""),"=",""),""),""))</f>
        <v/>
      </c>
      <c r="EB174" s="23" t="str">
        <f aca="false">IF(EA174&lt;&gt;"",DZ174,"")</f>
        <v/>
      </c>
      <c r="EC174" s="23" t="str">
        <f aca="false">IF(BC174=1,AZ174,"")</f>
        <v/>
      </c>
      <c r="ED174" s="23" t="str">
        <f aca="false">IF(TRIM($A174)="","",IFERROR(INDEX($A$2:$A$201,MATCH(AZ174,$EC$2:$EC$201,0))&amp;"",$A174&amp;""))</f>
        <v/>
      </c>
      <c r="EE174" s="23" t="n">
        <f aca="false">IF(BB174=1,IF(COUNTIFS($A$2:$A$201,$A174,$BB$2:$BB$201,1,$H$2:$H$201,"&lt;"&amp;H174)+COUNTIFS($A$2:$A$201,$A174,$BB$2:$BB$201,1,$H$2:$H$201,H174,$BA$2:$BA$201,"&lt;"&amp;BA174)=0,1,0),0)</f>
        <v>0</v>
      </c>
      <c r="EF174" s="23" t="n">
        <f aca="false">IF(BC174=1,IF(COUNTIFS($AZ$2:$AZ$201,AZ174,$EE$2:$EE$201,1)&gt;1,1,0),0)</f>
        <v>0</v>
      </c>
      <c r="EG174" s="23" t="n">
        <f aca="false">IF(AND(CQ174=1),IF(COUNTIFS($AZ$2:$AZ$201,AZ174,$CQ$2:$CQ$201,1,$H$2:$H$201,"&gt;"&amp;H174)+COUNTIFS($AZ$2:$AZ$201,AZ174,$CQ$2:$CQ$201,1,$H$2:$H$201,H174,$BA$2:$BA$201,"&gt;"&amp;BA174)=0,1,0),0)</f>
        <v>0</v>
      </c>
      <c r="EH174" s="23" t="str">
        <f aca="false">IF(BB174=1,IF(COUNTIFS($AZ$2:$AZ$201,AZ174,$EG$2:$EG$201,1)=0,"",SUMIFS($O$2:$O$201,$AZ$2:$AZ$201,AZ174,$EG$2:$EG$201,1)),"")</f>
        <v/>
      </c>
      <c r="EI174" s="23" t="n">
        <f aca="false">IF(AND(ISNUMBER(EH174),OR(N(EH174)&lt;Config!$B$31,N(EH174)&gt;Config!$B$33)),1,0)</f>
        <v>0</v>
      </c>
      <c r="EJ174" s="23" t="n">
        <f aca="false">IF(AND(ISNUMBER(EH174),N(EH174)&gt;=Config!$B$31,N(EH174)&lt;Config!$B$32),1,0)</f>
        <v>0</v>
      </c>
      <c r="EK174" s="23" t="n">
        <f aca="false">IF(AND(BF174=1,INT(N(H174))&lt;=Config!$B$6,DH174=1,EI174=1),1,0)</f>
        <v>0</v>
      </c>
      <c r="EL174" s="23" t="n">
        <f aca="false">IF(AND(BF174=1,INT(N(H174))&lt;=Config!$B$7,DI174=1,EI174=1),1,0)</f>
        <v>0</v>
      </c>
      <c r="EM174" s="23" t="n">
        <f aca="false">IF(AND(BF174=1,INT(N(H174))&lt;=Config!$B$8,DJ174=1,EI174=1),1,0)</f>
        <v>0</v>
      </c>
      <c r="EN174" s="23" t="n">
        <f aca="false">IF(AND(BF174=1,INT(N(H174))&lt;=Config!$B$5,DK174=1,EI174=1),1,0)</f>
        <v>0</v>
      </c>
      <c r="EO174" s="23" t="n">
        <f aca="false">IF(AND(DL174=1,EJ174=1),1,0)</f>
        <v>0</v>
      </c>
      <c r="EP174" s="23" t="n">
        <f aca="false">IF(AND(DM174=1,EJ174=1),1,0)</f>
        <v>0</v>
      </c>
      <c r="EQ174" s="23" t="n">
        <f aca="false">IF(AND(DN174=1,EJ174=1),1,0)</f>
        <v>0</v>
      </c>
      <c r="ER174" s="23" t="n">
        <f aca="false">IF(AND(DO174=1,EJ174=1),1,0)</f>
        <v>0</v>
      </c>
    </row>
    <row r="175" customFormat="false" ht="15" hidden="false" customHeight="false" outlineLevel="0" collapsed="false">
      <c r="G175" s="32"/>
      <c r="H175" s="33"/>
      <c r="I175" s="32"/>
      <c r="L175" s="32"/>
      <c r="Q175" s="32"/>
      <c r="U175" s="32"/>
      <c r="W175" s="32"/>
      <c r="AC175" s="32"/>
      <c r="AF175" s="32"/>
      <c r="AI175" s="32"/>
      <c r="AJ175" s="32"/>
      <c r="AN175" s="32"/>
      <c r="AR175" s="32"/>
      <c r="AT175" s="32"/>
      <c r="AU175" s="32"/>
      <c r="AW175" s="32"/>
      <c r="AY175" s="34" t="str">
        <f aca="false">IF(TRIM($A175)="","",IF(AND(LEFT($A175,6)="SAMPLE",Config!$B$19&lt;&gt;"Y"),"",IF(NOT(ISNUMBER(H175)),"call_date is blank or not a date",IF(Sync!$C$5="","Clay paste is empty or has no row_id column: paste the Clay export on Clay_Offices",IF(CW175="","row_id not found in the Clay paste: add the Clay row or fix the row_id",IF(AND(ISNUMBER(CY175),CY175&gt;=1,CY175&lt;=5),"Clay status is "&amp;CX175&amp;": set call_done or later",IF(AND(BD175=1,CZ175&lt;&gt;BZ175),"Clay yes_in_principle should be "&amp;BZ175,IF(AND(BD175=1,DA175&lt;&gt;H175),"Clay call_date should be "&amp;TEXT(H175,"yyyy-mm-dd"),""))))))))</f>
        <v/>
      </c>
      <c r="AZ175" s="23" t="str">
        <f aca="false">IF(TRIM($A175)="","",IF(TRIM(C175)&lt;&gt;"",SUBSTITUTE(SUBSTITUTE(SUBSTITUTE(SUBSTITUTE(SUBSTITUTE(SUBSTITUTE(LOWER(TRIM(C175)),"~",""),"*",""),"?",""),"&lt;",""),"&gt;",""),"=",""),IF(EA175&lt;&gt;"",EA175,IFERROR(INDEX($EA$2:$EA$201,MATCH(DZ175,$EB$2:$EB$201,0)),DZ175))))</f>
        <v/>
      </c>
      <c r="BA175" s="23" t="n">
        <f aca="false">ROW()</f>
        <v>175</v>
      </c>
      <c r="BB175" s="23" t="n">
        <f aca="false">IF(AND(TRIM($A175)&lt;&gt;"",ISNUMBER(H175)),IF(AND(LEFT($A175,6)="SAMPLE",Config!$B$19&lt;&gt;"Y"),0,1),0)</f>
        <v>0</v>
      </c>
      <c r="BC175" s="23" t="n">
        <f aca="false">IF(BB175=1,IF(COUNTIFS($AZ$2:$AZ$201,AZ175,$BB$2:$BB$201,1,$H$2:$H$201,"&lt;"&amp;H175)+COUNTIFS($AZ$2:$AZ$201,AZ175,$BB$2:$BB$201,1,$H$2:$H$201,H175,$BA$2:$BA$201,"&lt;"&amp;BA175)=0,1,0),0)</f>
        <v>0</v>
      </c>
      <c r="BD175" s="23" t="n">
        <f aca="false">IF(BB175=1,IF(COUNTIFS($A$2:$A$201,$A175,$BB$2:$BB$201,1,$H$2:$H$201,"&gt;"&amp;H175)+COUNTIFS($A$2:$A$201,$A175,$BB$2:$BB$201,1,$H$2:$H$201,H175,$BA$2:$BA$201,"&gt;"&amp;BA175)=0,1,0),0)</f>
        <v>0</v>
      </c>
      <c r="BE175" s="23" t="n">
        <f aca="false">IF(AND(BB175=1,AR175="Y",AC175="Y",TRIM(AH175)&lt;&gt;""),1,0)</f>
        <v>0</v>
      </c>
      <c r="BF175" s="23" t="n">
        <f aca="false">IF(BE175=1,IF(COUNTIFS($AZ$2:$AZ$201,AZ175,$BE$2:$BE$201,1,$H$2:$H$201,"&lt;"&amp;H175)+COUNTIFS($AZ$2:$AZ$201,AZ175,$BE$2:$BE$201,1,$H$2:$H$201,H175,$BA$2:$BA$201,"&lt;"&amp;BA175)=0,1,0),0)</f>
        <v>0</v>
      </c>
      <c r="BG175" s="23" t="n">
        <f aca="false">IF(AND(BB175=1,AR175="Y",BE175=0),1,0)</f>
        <v>0</v>
      </c>
      <c r="BH175" s="23" t="n">
        <f aca="false">IF(AND(BB175=1,ISNUMBER(Y175)),1,0)</f>
        <v>0</v>
      </c>
      <c r="BI175" s="23" t="n">
        <f aca="false">IF(BH175=1,IF(COUNTIFS($AZ$2:$AZ$201,AZ175,$BH$2:$BH$201,1,$H$2:$H$201,"&lt;"&amp;H175)+COUNTIFS($AZ$2:$AZ$201,AZ175,$BH$2:$BH$201,1,$H$2:$H$201,H175,$BA$2:$BA$201,"&lt;"&amp;BA175)=0,1,0),0)</f>
        <v>0</v>
      </c>
      <c r="BJ175" s="23" t="str">
        <f aca="false">IF(AND(BI175=1,INT(N(H175))&lt;=Config!$B$6),Y175,"")</f>
        <v/>
      </c>
      <c r="BK175" s="23" t="str">
        <f aca="false">IF(AND(BI175=1,INT(N(H175))&lt;=Config!$B$7),Y175,"")</f>
        <v/>
      </c>
      <c r="BL175" s="23" t="str">
        <f aca="false">IF(AND(BI175=1,INT(N(H175))&lt;=Config!$B$8),Y175,"")</f>
        <v/>
      </c>
      <c r="BM175" s="23" t="str">
        <f aca="false">IF(AND(BI175=1,INT(N(H175))&lt;=Config!$B$5),Y175,"")</f>
        <v/>
      </c>
      <c r="BN175" s="23" t="n">
        <f aca="false">IF(CD175=1,IF(COUNTIFS($AZ$2:$AZ$201,AZ175,$CD$2:$CD$201,1,$H$2:$H$201,"&lt;"&amp;H175)+COUNTIFS($AZ$2:$AZ$201,AZ175,$CD$2:$CD$201,1,$H$2:$H$201,H175,$BA$2:$BA$201,"&lt;"&amp;BA175)=0,1,0),0)</f>
        <v>0</v>
      </c>
      <c r="BO175" s="23" t="n">
        <f aca="false">IF(AND(BB175=1,ISNUMBER(M175)),1,0)</f>
        <v>0</v>
      </c>
      <c r="BP175" s="23" t="n">
        <f aca="false">IF(BO175=1,IF(COUNTIFS($AZ$2:$AZ$201,AZ175,$BO$2:$BO$201,1,$H$2:$H$201,"&lt;"&amp;H175)+COUNTIFS($AZ$2:$AZ$201,AZ175,$BO$2:$BO$201,1,$H$2:$H$201,H175,$BA$2:$BA$201,"&lt;"&amp;BA175)=0,1,0),0)</f>
        <v>0</v>
      </c>
      <c r="BQ175" s="23" t="str">
        <f aca="false">IF(AND(BP175=1,INT(N(H175))&lt;=Config!$B$5),M175,"")</f>
        <v/>
      </c>
      <c r="BR175" s="23" t="n">
        <f aca="false">IF(AND(BB175=1,OR(TRIM(X175)&lt;&gt;"",ISNUMBER(Y175))),1,0)</f>
        <v>0</v>
      </c>
      <c r="BS175" s="23" t="n">
        <f aca="false">IF(BR175=1,IF(COUNTIFS($AZ$2:$AZ$201,AZ175,$BR$2:$BR$201,1,$H$2:$H$201,"&lt;"&amp;H175)+COUNTIFS($AZ$2:$AZ$201,AZ175,$BR$2:$BR$201,1,$H$2:$H$201,H175,$BA$2:$BA$201,"&lt;"&amp;BA175)=0,1,0),0)</f>
        <v>0</v>
      </c>
      <c r="BT175" s="23" t="str">
        <f aca="false">IF(BS175=1,AZ175,"")</f>
        <v/>
      </c>
      <c r="BU175" s="23" t="n">
        <f aca="false">IF(AND(BB175=1,W175="Y",TRIM(X175)=""),1,0)</f>
        <v>0</v>
      </c>
      <c r="BV175" s="23" t="str">
        <f aca="false">IF(BB175=1,AN175&amp;"","")</f>
        <v/>
      </c>
      <c r="BW175" s="23" t="str">
        <f aca="false">IF(BB175=1,AO175&amp;"","")</f>
        <v/>
      </c>
      <c r="BX175" s="23" t="str">
        <f aca="false">IF(BB175=1,AP175&amp;"","")</f>
        <v/>
      </c>
      <c r="BY175" s="23" t="str">
        <f aca="false">IF(AND(BB175=1,ISNUMBER(AV175),INT(N(H175))&lt;=Config!$B$5),AV175,"")</f>
        <v/>
      </c>
      <c r="BZ175" s="23" t="str">
        <f aca="false">IF(BB175=1,IF(COUNTIFS($A$2:$A$201,$A175,$DC$2:$DC$201,1,$AR$2:$AR$201,"Y")&gt;0,"Y","N"),"")</f>
        <v/>
      </c>
      <c r="CA175" s="23" t="n">
        <f aca="false">IF(AND(BB175=1,AR175="maybe"),1,0)</f>
        <v>0</v>
      </c>
      <c r="CB175" s="23" t="n">
        <f aca="false">IF(CA175=1,IF(COUNTIFS($AZ$2:$AZ$201,AZ175,$CA$2:$CA$201,1,$H$2:$H$201,"&lt;"&amp;H175)+COUNTIFS($AZ$2:$AZ$201,AZ175,$CA$2:$CA$201,1,$H$2:$H$201,H175,$BA$2:$BA$201,"&lt;"&amp;BA175)=0,1,0),0)</f>
        <v>0</v>
      </c>
      <c r="CC175" s="23" t="n">
        <f aca="false">IF(AND(BB175=1,AR175="Y"),IF(COUNTIFS($AZ$2:$AZ$201,AZ175,$AR$2:$AR$201,"Y",$BB$2:$BB$201,1,$H$2:$H$201,"&lt;"&amp;H175)+COUNTIFS($AZ$2:$AZ$201,AZ175,$AR$2:$AR$201,"Y",$BB$2:$BB$201,1,$H$2:$H$201,H175,$BA$2:$BA$201,"&lt;"&amp;BA175)=0,1,0),0)</f>
        <v>0</v>
      </c>
      <c r="CD175" s="23" t="n">
        <f aca="false">IF(AND(BH175=1,N(Y175)&gt;=Config!$B$15),1,0)</f>
        <v>0</v>
      </c>
      <c r="CE175" s="23" t="n">
        <f aca="false">IF(AND(BB175=1,AT175="Y"),1,0)</f>
        <v>0</v>
      </c>
      <c r="CF175" s="23" t="n">
        <f aca="false">IF(CE175=1,IF(COUNTIFS($AZ$2:$AZ$201,AZ175,$CE$2:$CE$201,1,$H$2:$H$201,"&lt;"&amp;H175)+COUNTIFS($AZ$2:$AZ$201,AZ175,$CE$2:$CE$201,1,$H$2:$H$201,H175,$BA$2:$BA$201,"&lt;"&amp;BA175)=0,1,0),0)</f>
        <v>0</v>
      </c>
      <c r="CG175" s="23" t="n">
        <f aca="false">IF(AND(BB175=1,G175="warm-intro"),1,0)</f>
        <v>0</v>
      </c>
      <c r="CH175" s="23" t="n">
        <f aca="false">IF(CG175=1,IF(COUNTIFS($AZ$2:$AZ$201,AZ175,$CG$2:$CG$201,1,$H$2:$H$201,"&lt;"&amp;H175)+COUNTIFS($AZ$2:$AZ$201,AZ175,$CG$2:$CG$201,1,$H$2:$H$201,H175,$BA$2:$BA$201,"&lt;"&amp;BA175)=0,1,0),0)</f>
        <v>0</v>
      </c>
      <c r="CI175" s="23" t="n">
        <f aca="false">IF(AND(BB175=1,Q175="Y"),1,0)</f>
        <v>0</v>
      </c>
      <c r="CJ175" s="23" t="n">
        <f aca="false">IF(CI175=1,IF(COUNTIFS($AZ$2:$AZ$201,AZ175,$CI$2:$CI$201,1,$H$2:$H$201,"&lt;"&amp;H175)+COUNTIFS($AZ$2:$AZ$201,AZ175,$CI$2:$CI$201,1,$H$2:$H$201,H175,$BA$2:$BA$201,"&lt;"&amp;BA175)=0,1,0),0)</f>
        <v>0</v>
      </c>
      <c r="CK175" s="23" t="n">
        <f aca="false">IF(AND(BB175=1,AF175="Y"),1,0)</f>
        <v>0</v>
      </c>
      <c r="CL175" s="23" t="n">
        <f aca="false">IF(CK175=1,IF(COUNTIFS($AZ$2:$AZ$201,AZ175,$CK$2:$CK$201,1,$H$2:$H$201,"&lt;"&amp;H175)+COUNTIFS($AZ$2:$AZ$201,AZ175,$CK$2:$CK$201,1,$H$2:$H$201,H175,$BA$2:$BA$201,"&lt;"&amp;BA175)=0,1,0),0)</f>
        <v>0</v>
      </c>
      <c r="CM175" s="23" t="n">
        <f aca="false">IF(AND(BB175=1,U175="Y"),1,0)</f>
        <v>0</v>
      </c>
      <c r="CN175" s="23" t="n">
        <f aca="false">IF(CM175=1,IF(COUNTIFS($AZ$2:$AZ$201,AZ175,$CM$2:$CM$201,1,$H$2:$H$201,"&lt;"&amp;H175)+COUNTIFS($AZ$2:$AZ$201,AZ175,$CM$2:$CM$201,1,$H$2:$H$201,H175,$BA$2:$BA$201,"&lt;"&amp;BA175)=0,1,0),0)</f>
        <v>0</v>
      </c>
      <c r="CO175" s="23" t="n">
        <f aca="false">IF(AND(BB175=1,L175="Y"),1,0)</f>
        <v>0</v>
      </c>
      <c r="CP175" s="23" t="n">
        <f aca="false">IF(CO175=1,IF(COUNTIFS($AZ$2:$AZ$201,AZ175,$CO$2:$CO$201,1,$H$2:$H$201,"&lt;"&amp;H175)+COUNTIFS($AZ$2:$AZ$201,AZ175,$CO$2:$CO$201,1,$H$2:$H$201,H175,$BA$2:$BA$201,"&lt;"&amp;BA175)=0,1,0),0)</f>
        <v>0</v>
      </c>
      <c r="CQ175" s="23" t="n">
        <f aca="false">IF(AND(BB175=1,ISNUMBER(O175)),1,0)</f>
        <v>0</v>
      </c>
      <c r="CR175" s="23" t="n">
        <f aca="false">IF(CQ175=1,IF(COUNTIFS($AZ$2:$AZ$201,AZ175,$CQ$2:$CQ$201,1,$H$2:$H$201,"&lt;"&amp;H175)+COUNTIFS($AZ$2:$AZ$201,AZ175,$CQ$2:$CQ$201,1,$H$2:$H$201,H175,$BA$2:$BA$201,"&lt;"&amp;BA175)=0,1,0),0)</f>
        <v>0</v>
      </c>
      <c r="CS175" s="23" t="str">
        <f aca="false">IF(AND(CR175=1,INT(N(H175))&lt;=Config!$B$5),O175,"")</f>
        <v/>
      </c>
      <c r="CT175" s="23" t="str">
        <f aca="false">IF(AND(BB175=1,INT(N(H175))&lt;=Config!$B$5),AG175&amp;"","")</f>
        <v/>
      </c>
      <c r="CU175" s="23" t="n">
        <f aca="false">IF(AND(BB175=1,AU175="Y"),1,0)</f>
        <v>0</v>
      </c>
      <c r="CV175" s="23" t="n">
        <f aca="false">IF(CU175=1,IF(COUNTIFS($AZ$2:$AZ$201,AZ175,$CU$2:$CU$201,1,$H$2:$H$201,"&lt;"&amp;H175)+COUNTIFS($AZ$2:$AZ$201,AZ175,$CU$2:$CU$201,1,$H$2:$H$201,H175,$BA$2:$BA$201,"&lt;"&amp;BA175)=0,1,0),0)</f>
        <v>0</v>
      </c>
      <c r="CW175" s="23" t="str">
        <f aca="false">IF(BB175=1,IFERROR(MATCH($A175,INDEX(Clay_Offices!$A$2:$FZ$601,0,Sync!$C$5),0),""),"")</f>
        <v/>
      </c>
      <c r="CX175" s="23" t="str">
        <f aca="false">IF(CW175="","",IFERROR(INDEX(Clay_Offices!$A$2:$FZ$601,CW175,Sync!$C$7)&amp;"",""))</f>
        <v/>
      </c>
      <c r="CY175" s="23" t="str">
        <f aca="false">IF(CX175="","",IFERROR(INDEX(Lists!$K$2:$K$15,MATCH(CX175,Lists!$J$2:$J$15,0)),""))</f>
        <v/>
      </c>
      <c r="CZ175" s="23" t="str">
        <f aca="false">IF(CW175="","",IFERROR(INDEX(Clay_Offices!$A$2:$FZ$601,CW175,Sync!$C$17)&amp;"",""))</f>
        <v/>
      </c>
      <c r="DA175" s="35" t="str">
        <f aca="false">IF(CW175="","",IFERROR(N(INDEX(Clay_Offices!$A$2:$FZ$601,CW175,Sync!$C$16)),0))</f>
        <v/>
      </c>
      <c r="DB175" s="23" t="n">
        <f aca="false">IF(AND(BB175=1,OR(AR175="Y",AR175="N",AR175="maybe")),1,0)</f>
        <v>0</v>
      </c>
      <c r="DC175" s="23" t="n">
        <f aca="false">IF(AND(DB175=1),IF(COUNTIFS($A$2:$A$201,$A175,$DB$2:$DB$201,1,$H$2:$H$201,"&gt;"&amp;H175)+COUNTIFS($A$2:$A$201,$A175,$DB$2:$DB$201,1,$H$2:$H$201,H175,$BA$2:$BA$201,"&gt;"&amp;BA175)=0,1,0),0)</f>
        <v>0</v>
      </c>
      <c r="DD175" s="23" t="n">
        <f aca="false">IF(AND(DB175=1,INT(N(H175))&lt;=Config!$B$6),IF(COUNTIFS($AZ$2:$AZ$201,AZ175,$DB$2:$DB$201,1,$H$2:$H$201,"&gt;"&amp;H175,$H$2:$H$201,"&lt;"&amp;(Config!$B$6+1))+COUNTIFS($AZ$2:$AZ$201,AZ175,$DB$2:$DB$201,1,$H$2:$H$201,H175,$BA$2:$BA$201,"&gt;"&amp;BA175)=0,1,0),0)</f>
        <v>0</v>
      </c>
      <c r="DE175" s="23" t="n">
        <f aca="false">IF(AND(DB175=1,INT(N(H175))&lt;=Config!$B$7),IF(COUNTIFS($AZ$2:$AZ$201,AZ175,$DB$2:$DB$201,1,$H$2:$H$201,"&gt;"&amp;H175,$H$2:$H$201,"&lt;"&amp;(Config!$B$7+1))+COUNTIFS($AZ$2:$AZ$201,AZ175,$DB$2:$DB$201,1,$H$2:$H$201,H175,$BA$2:$BA$201,"&gt;"&amp;BA175)=0,1,0),0)</f>
        <v>0</v>
      </c>
      <c r="DF175" s="23" t="n">
        <f aca="false">IF(AND(DB175=1,INT(N(H175))&lt;=Config!$B$8),IF(COUNTIFS($AZ$2:$AZ$201,AZ175,$DB$2:$DB$201,1,$H$2:$H$201,"&gt;"&amp;H175,$H$2:$H$201,"&lt;"&amp;(Config!$B$8+1))+COUNTIFS($AZ$2:$AZ$201,AZ175,$DB$2:$DB$201,1,$H$2:$H$201,H175,$BA$2:$BA$201,"&gt;"&amp;BA175)=0,1,0),0)</f>
        <v>0</v>
      </c>
      <c r="DG175" s="23" t="n">
        <f aca="false">IF(AND(DB175=1,INT(N(H175))&lt;=Config!$B$5),IF(COUNTIFS($AZ$2:$AZ$201,AZ175,$DB$2:$DB$201,1,$H$2:$H$201,"&gt;"&amp;H175,$H$2:$H$201,"&lt;"&amp;(Config!$B$5+1))+COUNTIFS($AZ$2:$AZ$201,AZ175,$DB$2:$DB$201,1,$H$2:$H$201,H175,$BA$2:$BA$201,"&gt;"&amp;BA175)=0,1,0),0)</f>
        <v>0</v>
      </c>
      <c r="DH175" s="23" t="n">
        <f aca="false">IF(BB175=1,IF(COUNTIFS($AZ$2:$AZ$201,AZ175,$DD$2:$DD$201,1,$AR$2:$AR$201,"Y")&gt;0,1,0),0)</f>
        <v>0</v>
      </c>
      <c r="DI175" s="23" t="n">
        <f aca="false">IF(BB175=1,IF(COUNTIFS($AZ$2:$AZ$201,AZ175,$DE$2:$DE$201,1,$AR$2:$AR$201,"Y")&gt;0,1,0),0)</f>
        <v>0</v>
      </c>
      <c r="DJ175" s="23" t="n">
        <f aca="false">IF(BB175=1,IF(COUNTIFS($AZ$2:$AZ$201,AZ175,$DF$2:$DF$201,1,$AR$2:$AR$201,"Y")&gt;0,1,0),0)</f>
        <v>0</v>
      </c>
      <c r="DK175" s="23" t="n">
        <f aca="false">IF(BB175=1,IF(COUNTIFS($AZ$2:$AZ$201,AZ175,$DG$2:$DG$201,1,$AR$2:$AR$201,"Y")&gt;0,1,0),0)</f>
        <v>0</v>
      </c>
      <c r="DL175" s="23" t="n">
        <f aca="false">IF(AND(BF175=1,INT(N(H175))&lt;=Config!$B$6,DH175=1,EI175=0),1,0)</f>
        <v>0</v>
      </c>
      <c r="DM175" s="23" t="n">
        <f aca="false">IF(AND(BF175=1,INT(N(H175))&lt;=Config!$B$7,DI175=1,EI175=0),1,0)</f>
        <v>0</v>
      </c>
      <c r="DN175" s="23" t="n">
        <f aca="false">IF(AND(BF175=1,INT(N(H175))&lt;=Config!$B$8,DJ175=1,EI175=0),1,0)</f>
        <v>0</v>
      </c>
      <c r="DO175" s="23" t="n">
        <f aca="false">IF(AND(BF175=1,INT(N(H175))&lt;=Config!$B$5,DK175=1,EI175=0),1,0)</f>
        <v>0</v>
      </c>
      <c r="DP175" s="23" t="n">
        <f aca="false">IF(AND(CC175=1,INT(N(H175))&lt;=Config!$B$6,DH175=1,EI175=0),1,0)</f>
        <v>0</v>
      </c>
      <c r="DQ175" s="23" t="n">
        <f aca="false">IF(AND(CC175=1,INT(N(H175))&lt;=Config!$B$7,DI175=1,EI175=0),1,0)</f>
        <v>0</v>
      </c>
      <c r="DR175" s="23" t="n">
        <f aca="false">IF(AND(CC175=1,INT(N(H175))&lt;=Config!$B$8,DJ175=1,EI175=0),1,0)</f>
        <v>0</v>
      </c>
      <c r="DS175" s="23" t="n">
        <f aca="false">IF(AND(CC175=1,INT(N(H175))&lt;=Config!$B$5,DK175=1,EI175=0),1,0)</f>
        <v>0</v>
      </c>
      <c r="DT175" s="23" t="n">
        <f aca="false">IF(AND(CC175=1,INT(N(H175))&lt;=Config!$B$6,DH175=0),1,0)</f>
        <v>0</v>
      </c>
      <c r="DU175" s="23" t="n">
        <f aca="false">IF(AND(CC175=1,INT(N(H175))&lt;=Config!$B$7,DI175=0),1,0)</f>
        <v>0</v>
      </c>
      <c r="DV175" s="23" t="n">
        <f aca="false">IF(AND(CC175=1,INT(N(H175))&lt;=Config!$B$8,DJ175=0),1,0)</f>
        <v>0</v>
      </c>
      <c r="DW175" s="23" t="n">
        <f aca="false">IF(AND(CC175=1,INT(N(H175))&lt;=Config!$B$5,DK175=0),1,0)</f>
        <v>0</v>
      </c>
      <c r="DX175" s="23" t="n">
        <f aca="false">IF(TRIM($A175)="",0,ISTEXT(M175)+ISTEXT(O175)+ISTEXT(Y175)+ISTEXT(Z175)+ISTEXT(AA175)+ISTEXT(AV175))</f>
        <v>0</v>
      </c>
      <c r="DY175" s="23" t="n">
        <f aca="false">IF(BB175=1,IF(H175&lt;&gt;INT(H175),1,0),0)</f>
        <v>0</v>
      </c>
      <c r="DZ175" s="23" t="str">
        <f aca="false">IF(TRIM($A175)="","",IF(TRIM(B175)="",SUBSTITUTE(SUBSTITUTE(SUBSTITUTE(SUBSTITUTE(SUBSTITUTE(SUBSTITUTE(LOWER(TRIM($A175)),"~",""),"*",""),"?",""),"&lt;",""),"&gt;",""),"=",""),SUBSTITUTE(SUBSTITUTE(SUBSTITUTE(SUBSTITUTE(SUBSTITUTE(SUBSTITUTE(LOWER(TRIM(B175)),"~",""),"*",""),"?",""),"&lt;",""),"&gt;",""),"=","")))</f>
        <v/>
      </c>
      <c r="EA175" s="23" t="str">
        <f aca="false">IF(CW175="","",IFERROR(IF(LEFT(LOWER(TRIM(INDEX(Clay_Offices!$A$2:$FZ$601,CW175,Sync!$C$19)&amp;"")),4)="grp-",SUBSTITUTE(SUBSTITUTE(SUBSTITUTE(SUBSTITUTE(SUBSTITUTE(SUBSTITUTE(LOWER(TRIM(INDEX(Clay_Offices!$A$2:$FZ$601,CW175,Sync!$C$19)&amp;"")),"~",""),"*",""),"?",""),"&lt;",""),"&gt;",""),"=",""),""),""))</f>
        <v/>
      </c>
      <c r="EB175" s="23" t="str">
        <f aca="false">IF(EA175&lt;&gt;"",DZ175,"")</f>
        <v/>
      </c>
      <c r="EC175" s="23" t="str">
        <f aca="false">IF(BC175=1,AZ175,"")</f>
        <v/>
      </c>
      <c r="ED175" s="23" t="str">
        <f aca="false">IF(TRIM($A175)="","",IFERROR(INDEX($A$2:$A$201,MATCH(AZ175,$EC$2:$EC$201,0))&amp;"",$A175&amp;""))</f>
        <v/>
      </c>
      <c r="EE175" s="23" t="n">
        <f aca="false">IF(BB175=1,IF(COUNTIFS($A$2:$A$201,$A175,$BB$2:$BB$201,1,$H$2:$H$201,"&lt;"&amp;H175)+COUNTIFS($A$2:$A$201,$A175,$BB$2:$BB$201,1,$H$2:$H$201,H175,$BA$2:$BA$201,"&lt;"&amp;BA175)=0,1,0),0)</f>
        <v>0</v>
      </c>
      <c r="EF175" s="23" t="n">
        <f aca="false">IF(BC175=1,IF(COUNTIFS($AZ$2:$AZ$201,AZ175,$EE$2:$EE$201,1)&gt;1,1,0),0)</f>
        <v>0</v>
      </c>
      <c r="EG175" s="23" t="n">
        <f aca="false">IF(AND(CQ175=1),IF(COUNTIFS($AZ$2:$AZ$201,AZ175,$CQ$2:$CQ$201,1,$H$2:$H$201,"&gt;"&amp;H175)+COUNTIFS($AZ$2:$AZ$201,AZ175,$CQ$2:$CQ$201,1,$H$2:$H$201,H175,$BA$2:$BA$201,"&gt;"&amp;BA175)=0,1,0),0)</f>
        <v>0</v>
      </c>
      <c r="EH175" s="23" t="str">
        <f aca="false">IF(BB175=1,IF(COUNTIFS($AZ$2:$AZ$201,AZ175,$EG$2:$EG$201,1)=0,"",SUMIFS($O$2:$O$201,$AZ$2:$AZ$201,AZ175,$EG$2:$EG$201,1)),"")</f>
        <v/>
      </c>
      <c r="EI175" s="23" t="n">
        <f aca="false">IF(AND(ISNUMBER(EH175),OR(N(EH175)&lt;Config!$B$31,N(EH175)&gt;Config!$B$33)),1,0)</f>
        <v>0</v>
      </c>
      <c r="EJ175" s="23" t="n">
        <f aca="false">IF(AND(ISNUMBER(EH175),N(EH175)&gt;=Config!$B$31,N(EH175)&lt;Config!$B$32),1,0)</f>
        <v>0</v>
      </c>
      <c r="EK175" s="23" t="n">
        <f aca="false">IF(AND(BF175=1,INT(N(H175))&lt;=Config!$B$6,DH175=1,EI175=1),1,0)</f>
        <v>0</v>
      </c>
      <c r="EL175" s="23" t="n">
        <f aca="false">IF(AND(BF175=1,INT(N(H175))&lt;=Config!$B$7,DI175=1,EI175=1),1,0)</f>
        <v>0</v>
      </c>
      <c r="EM175" s="23" t="n">
        <f aca="false">IF(AND(BF175=1,INT(N(H175))&lt;=Config!$B$8,DJ175=1,EI175=1),1,0)</f>
        <v>0</v>
      </c>
      <c r="EN175" s="23" t="n">
        <f aca="false">IF(AND(BF175=1,INT(N(H175))&lt;=Config!$B$5,DK175=1,EI175=1),1,0)</f>
        <v>0</v>
      </c>
      <c r="EO175" s="23" t="n">
        <f aca="false">IF(AND(DL175=1,EJ175=1),1,0)</f>
        <v>0</v>
      </c>
      <c r="EP175" s="23" t="n">
        <f aca="false">IF(AND(DM175=1,EJ175=1),1,0)</f>
        <v>0</v>
      </c>
      <c r="EQ175" s="23" t="n">
        <f aca="false">IF(AND(DN175=1,EJ175=1),1,0)</f>
        <v>0</v>
      </c>
      <c r="ER175" s="23" t="n">
        <f aca="false">IF(AND(DO175=1,EJ175=1),1,0)</f>
        <v>0</v>
      </c>
    </row>
    <row r="176" customFormat="false" ht="15" hidden="false" customHeight="false" outlineLevel="0" collapsed="false">
      <c r="G176" s="32"/>
      <c r="H176" s="33"/>
      <c r="I176" s="32"/>
      <c r="L176" s="32"/>
      <c r="Q176" s="32"/>
      <c r="U176" s="32"/>
      <c r="W176" s="32"/>
      <c r="AC176" s="32"/>
      <c r="AF176" s="32"/>
      <c r="AI176" s="32"/>
      <c r="AJ176" s="32"/>
      <c r="AN176" s="32"/>
      <c r="AR176" s="32"/>
      <c r="AT176" s="32"/>
      <c r="AU176" s="32"/>
      <c r="AW176" s="32"/>
      <c r="AY176" s="34" t="str">
        <f aca="false">IF(TRIM($A176)="","",IF(AND(LEFT($A176,6)="SAMPLE",Config!$B$19&lt;&gt;"Y"),"",IF(NOT(ISNUMBER(H176)),"call_date is blank or not a date",IF(Sync!$C$5="","Clay paste is empty or has no row_id column: paste the Clay export on Clay_Offices",IF(CW176="","row_id not found in the Clay paste: add the Clay row or fix the row_id",IF(AND(ISNUMBER(CY176),CY176&gt;=1,CY176&lt;=5),"Clay status is "&amp;CX176&amp;": set call_done or later",IF(AND(BD176=1,CZ176&lt;&gt;BZ176),"Clay yes_in_principle should be "&amp;BZ176,IF(AND(BD176=1,DA176&lt;&gt;H176),"Clay call_date should be "&amp;TEXT(H176,"yyyy-mm-dd"),""))))))))</f>
        <v/>
      </c>
      <c r="AZ176" s="23" t="str">
        <f aca="false">IF(TRIM($A176)="","",IF(TRIM(C176)&lt;&gt;"",SUBSTITUTE(SUBSTITUTE(SUBSTITUTE(SUBSTITUTE(SUBSTITUTE(SUBSTITUTE(LOWER(TRIM(C176)),"~",""),"*",""),"?",""),"&lt;",""),"&gt;",""),"=",""),IF(EA176&lt;&gt;"",EA176,IFERROR(INDEX($EA$2:$EA$201,MATCH(DZ176,$EB$2:$EB$201,0)),DZ176))))</f>
        <v/>
      </c>
      <c r="BA176" s="23" t="n">
        <f aca="false">ROW()</f>
        <v>176</v>
      </c>
      <c r="BB176" s="23" t="n">
        <f aca="false">IF(AND(TRIM($A176)&lt;&gt;"",ISNUMBER(H176)),IF(AND(LEFT($A176,6)="SAMPLE",Config!$B$19&lt;&gt;"Y"),0,1),0)</f>
        <v>0</v>
      </c>
      <c r="BC176" s="23" t="n">
        <f aca="false">IF(BB176=1,IF(COUNTIFS($AZ$2:$AZ$201,AZ176,$BB$2:$BB$201,1,$H$2:$H$201,"&lt;"&amp;H176)+COUNTIFS($AZ$2:$AZ$201,AZ176,$BB$2:$BB$201,1,$H$2:$H$201,H176,$BA$2:$BA$201,"&lt;"&amp;BA176)=0,1,0),0)</f>
        <v>0</v>
      </c>
      <c r="BD176" s="23" t="n">
        <f aca="false">IF(BB176=1,IF(COUNTIFS($A$2:$A$201,$A176,$BB$2:$BB$201,1,$H$2:$H$201,"&gt;"&amp;H176)+COUNTIFS($A$2:$A$201,$A176,$BB$2:$BB$201,1,$H$2:$H$201,H176,$BA$2:$BA$201,"&gt;"&amp;BA176)=0,1,0),0)</f>
        <v>0</v>
      </c>
      <c r="BE176" s="23" t="n">
        <f aca="false">IF(AND(BB176=1,AR176="Y",AC176="Y",TRIM(AH176)&lt;&gt;""),1,0)</f>
        <v>0</v>
      </c>
      <c r="BF176" s="23" t="n">
        <f aca="false">IF(BE176=1,IF(COUNTIFS($AZ$2:$AZ$201,AZ176,$BE$2:$BE$201,1,$H$2:$H$201,"&lt;"&amp;H176)+COUNTIFS($AZ$2:$AZ$201,AZ176,$BE$2:$BE$201,1,$H$2:$H$201,H176,$BA$2:$BA$201,"&lt;"&amp;BA176)=0,1,0),0)</f>
        <v>0</v>
      </c>
      <c r="BG176" s="23" t="n">
        <f aca="false">IF(AND(BB176=1,AR176="Y",BE176=0),1,0)</f>
        <v>0</v>
      </c>
      <c r="BH176" s="23" t="n">
        <f aca="false">IF(AND(BB176=1,ISNUMBER(Y176)),1,0)</f>
        <v>0</v>
      </c>
      <c r="BI176" s="23" t="n">
        <f aca="false">IF(BH176=1,IF(COUNTIFS($AZ$2:$AZ$201,AZ176,$BH$2:$BH$201,1,$H$2:$H$201,"&lt;"&amp;H176)+COUNTIFS($AZ$2:$AZ$201,AZ176,$BH$2:$BH$201,1,$H$2:$H$201,H176,$BA$2:$BA$201,"&lt;"&amp;BA176)=0,1,0),0)</f>
        <v>0</v>
      </c>
      <c r="BJ176" s="23" t="str">
        <f aca="false">IF(AND(BI176=1,INT(N(H176))&lt;=Config!$B$6),Y176,"")</f>
        <v/>
      </c>
      <c r="BK176" s="23" t="str">
        <f aca="false">IF(AND(BI176=1,INT(N(H176))&lt;=Config!$B$7),Y176,"")</f>
        <v/>
      </c>
      <c r="BL176" s="23" t="str">
        <f aca="false">IF(AND(BI176=1,INT(N(H176))&lt;=Config!$B$8),Y176,"")</f>
        <v/>
      </c>
      <c r="BM176" s="23" t="str">
        <f aca="false">IF(AND(BI176=1,INT(N(H176))&lt;=Config!$B$5),Y176,"")</f>
        <v/>
      </c>
      <c r="BN176" s="23" t="n">
        <f aca="false">IF(CD176=1,IF(COUNTIFS($AZ$2:$AZ$201,AZ176,$CD$2:$CD$201,1,$H$2:$H$201,"&lt;"&amp;H176)+COUNTIFS($AZ$2:$AZ$201,AZ176,$CD$2:$CD$201,1,$H$2:$H$201,H176,$BA$2:$BA$201,"&lt;"&amp;BA176)=0,1,0),0)</f>
        <v>0</v>
      </c>
      <c r="BO176" s="23" t="n">
        <f aca="false">IF(AND(BB176=1,ISNUMBER(M176)),1,0)</f>
        <v>0</v>
      </c>
      <c r="BP176" s="23" t="n">
        <f aca="false">IF(BO176=1,IF(COUNTIFS($AZ$2:$AZ$201,AZ176,$BO$2:$BO$201,1,$H$2:$H$201,"&lt;"&amp;H176)+COUNTIFS($AZ$2:$AZ$201,AZ176,$BO$2:$BO$201,1,$H$2:$H$201,H176,$BA$2:$BA$201,"&lt;"&amp;BA176)=0,1,0),0)</f>
        <v>0</v>
      </c>
      <c r="BQ176" s="23" t="str">
        <f aca="false">IF(AND(BP176=1,INT(N(H176))&lt;=Config!$B$5),M176,"")</f>
        <v/>
      </c>
      <c r="BR176" s="23" t="n">
        <f aca="false">IF(AND(BB176=1,OR(TRIM(X176)&lt;&gt;"",ISNUMBER(Y176))),1,0)</f>
        <v>0</v>
      </c>
      <c r="BS176" s="23" t="n">
        <f aca="false">IF(BR176=1,IF(COUNTIFS($AZ$2:$AZ$201,AZ176,$BR$2:$BR$201,1,$H$2:$H$201,"&lt;"&amp;H176)+COUNTIFS($AZ$2:$AZ$201,AZ176,$BR$2:$BR$201,1,$H$2:$H$201,H176,$BA$2:$BA$201,"&lt;"&amp;BA176)=0,1,0),0)</f>
        <v>0</v>
      </c>
      <c r="BT176" s="23" t="str">
        <f aca="false">IF(BS176=1,AZ176,"")</f>
        <v/>
      </c>
      <c r="BU176" s="23" t="n">
        <f aca="false">IF(AND(BB176=1,W176="Y",TRIM(X176)=""),1,0)</f>
        <v>0</v>
      </c>
      <c r="BV176" s="23" t="str">
        <f aca="false">IF(BB176=1,AN176&amp;"","")</f>
        <v/>
      </c>
      <c r="BW176" s="23" t="str">
        <f aca="false">IF(BB176=1,AO176&amp;"","")</f>
        <v/>
      </c>
      <c r="BX176" s="23" t="str">
        <f aca="false">IF(BB176=1,AP176&amp;"","")</f>
        <v/>
      </c>
      <c r="BY176" s="23" t="str">
        <f aca="false">IF(AND(BB176=1,ISNUMBER(AV176),INT(N(H176))&lt;=Config!$B$5),AV176,"")</f>
        <v/>
      </c>
      <c r="BZ176" s="23" t="str">
        <f aca="false">IF(BB176=1,IF(COUNTIFS($A$2:$A$201,$A176,$DC$2:$DC$201,1,$AR$2:$AR$201,"Y")&gt;0,"Y","N"),"")</f>
        <v/>
      </c>
      <c r="CA176" s="23" t="n">
        <f aca="false">IF(AND(BB176=1,AR176="maybe"),1,0)</f>
        <v>0</v>
      </c>
      <c r="CB176" s="23" t="n">
        <f aca="false">IF(CA176=1,IF(COUNTIFS($AZ$2:$AZ$201,AZ176,$CA$2:$CA$201,1,$H$2:$H$201,"&lt;"&amp;H176)+COUNTIFS($AZ$2:$AZ$201,AZ176,$CA$2:$CA$201,1,$H$2:$H$201,H176,$BA$2:$BA$201,"&lt;"&amp;BA176)=0,1,0),0)</f>
        <v>0</v>
      </c>
      <c r="CC176" s="23" t="n">
        <f aca="false">IF(AND(BB176=1,AR176="Y"),IF(COUNTIFS($AZ$2:$AZ$201,AZ176,$AR$2:$AR$201,"Y",$BB$2:$BB$201,1,$H$2:$H$201,"&lt;"&amp;H176)+COUNTIFS($AZ$2:$AZ$201,AZ176,$AR$2:$AR$201,"Y",$BB$2:$BB$201,1,$H$2:$H$201,H176,$BA$2:$BA$201,"&lt;"&amp;BA176)=0,1,0),0)</f>
        <v>0</v>
      </c>
      <c r="CD176" s="23" t="n">
        <f aca="false">IF(AND(BH176=1,N(Y176)&gt;=Config!$B$15),1,0)</f>
        <v>0</v>
      </c>
      <c r="CE176" s="23" t="n">
        <f aca="false">IF(AND(BB176=1,AT176="Y"),1,0)</f>
        <v>0</v>
      </c>
      <c r="CF176" s="23" t="n">
        <f aca="false">IF(CE176=1,IF(COUNTIFS($AZ$2:$AZ$201,AZ176,$CE$2:$CE$201,1,$H$2:$H$201,"&lt;"&amp;H176)+COUNTIFS($AZ$2:$AZ$201,AZ176,$CE$2:$CE$201,1,$H$2:$H$201,H176,$BA$2:$BA$201,"&lt;"&amp;BA176)=0,1,0),0)</f>
        <v>0</v>
      </c>
      <c r="CG176" s="23" t="n">
        <f aca="false">IF(AND(BB176=1,G176="warm-intro"),1,0)</f>
        <v>0</v>
      </c>
      <c r="CH176" s="23" t="n">
        <f aca="false">IF(CG176=1,IF(COUNTIFS($AZ$2:$AZ$201,AZ176,$CG$2:$CG$201,1,$H$2:$H$201,"&lt;"&amp;H176)+COUNTIFS($AZ$2:$AZ$201,AZ176,$CG$2:$CG$201,1,$H$2:$H$201,H176,$BA$2:$BA$201,"&lt;"&amp;BA176)=0,1,0),0)</f>
        <v>0</v>
      </c>
      <c r="CI176" s="23" t="n">
        <f aca="false">IF(AND(BB176=1,Q176="Y"),1,0)</f>
        <v>0</v>
      </c>
      <c r="CJ176" s="23" t="n">
        <f aca="false">IF(CI176=1,IF(COUNTIFS($AZ$2:$AZ$201,AZ176,$CI$2:$CI$201,1,$H$2:$H$201,"&lt;"&amp;H176)+COUNTIFS($AZ$2:$AZ$201,AZ176,$CI$2:$CI$201,1,$H$2:$H$201,H176,$BA$2:$BA$201,"&lt;"&amp;BA176)=0,1,0),0)</f>
        <v>0</v>
      </c>
      <c r="CK176" s="23" t="n">
        <f aca="false">IF(AND(BB176=1,AF176="Y"),1,0)</f>
        <v>0</v>
      </c>
      <c r="CL176" s="23" t="n">
        <f aca="false">IF(CK176=1,IF(COUNTIFS($AZ$2:$AZ$201,AZ176,$CK$2:$CK$201,1,$H$2:$H$201,"&lt;"&amp;H176)+COUNTIFS($AZ$2:$AZ$201,AZ176,$CK$2:$CK$201,1,$H$2:$H$201,H176,$BA$2:$BA$201,"&lt;"&amp;BA176)=0,1,0),0)</f>
        <v>0</v>
      </c>
      <c r="CM176" s="23" t="n">
        <f aca="false">IF(AND(BB176=1,U176="Y"),1,0)</f>
        <v>0</v>
      </c>
      <c r="CN176" s="23" t="n">
        <f aca="false">IF(CM176=1,IF(COUNTIFS($AZ$2:$AZ$201,AZ176,$CM$2:$CM$201,1,$H$2:$H$201,"&lt;"&amp;H176)+COUNTIFS($AZ$2:$AZ$201,AZ176,$CM$2:$CM$201,1,$H$2:$H$201,H176,$BA$2:$BA$201,"&lt;"&amp;BA176)=0,1,0),0)</f>
        <v>0</v>
      </c>
      <c r="CO176" s="23" t="n">
        <f aca="false">IF(AND(BB176=1,L176="Y"),1,0)</f>
        <v>0</v>
      </c>
      <c r="CP176" s="23" t="n">
        <f aca="false">IF(CO176=1,IF(COUNTIFS($AZ$2:$AZ$201,AZ176,$CO$2:$CO$201,1,$H$2:$H$201,"&lt;"&amp;H176)+COUNTIFS($AZ$2:$AZ$201,AZ176,$CO$2:$CO$201,1,$H$2:$H$201,H176,$BA$2:$BA$201,"&lt;"&amp;BA176)=0,1,0),0)</f>
        <v>0</v>
      </c>
      <c r="CQ176" s="23" t="n">
        <f aca="false">IF(AND(BB176=1,ISNUMBER(O176)),1,0)</f>
        <v>0</v>
      </c>
      <c r="CR176" s="23" t="n">
        <f aca="false">IF(CQ176=1,IF(COUNTIFS($AZ$2:$AZ$201,AZ176,$CQ$2:$CQ$201,1,$H$2:$H$201,"&lt;"&amp;H176)+COUNTIFS($AZ$2:$AZ$201,AZ176,$CQ$2:$CQ$201,1,$H$2:$H$201,H176,$BA$2:$BA$201,"&lt;"&amp;BA176)=0,1,0),0)</f>
        <v>0</v>
      </c>
      <c r="CS176" s="23" t="str">
        <f aca="false">IF(AND(CR176=1,INT(N(H176))&lt;=Config!$B$5),O176,"")</f>
        <v/>
      </c>
      <c r="CT176" s="23" t="str">
        <f aca="false">IF(AND(BB176=1,INT(N(H176))&lt;=Config!$B$5),AG176&amp;"","")</f>
        <v/>
      </c>
      <c r="CU176" s="23" t="n">
        <f aca="false">IF(AND(BB176=1,AU176="Y"),1,0)</f>
        <v>0</v>
      </c>
      <c r="CV176" s="23" t="n">
        <f aca="false">IF(CU176=1,IF(COUNTIFS($AZ$2:$AZ$201,AZ176,$CU$2:$CU$201,1,$H$2:$H$201,"&lt;"&amp;H176)+COUNTIFS($AZ$2:$AZ$201,AZ176,$CU$2:$CU$201,1,$H$2:$H$201,H176,$BA$2:$BA$201,"&lt;"&amp;BA176)=0,1,0),0)</f>
        <v>0</v>
      </c>
      <c r="CW176" s="23" t="str">
        <f aca="false">IF(BB176=1,IFERROR(MATCH($A176,INDEX(Clay_Offices!$A$2:$FZ$601,0,Sync!$C$5),0),""),"")</f>
        <v/>
      </c>
      <c r="CX176" s="23" t="str">
        <f aca="false">IF(CW176="","",IFERROR(INDEX(Clay_Offices!$A$2:$FZ$601,CW176,Sync!$C$7)&amp;"",""))</f>
        <v/>
      </c>
      <c r="CY176" s="23" t="str">
        <f aca="false">IF(CX176="","",IFERROR(INDEX(Lists!$K$2:$K$15,MATCH(CX176,Lists!$J$2:$J$15,0)),""))</f>
        <v/>
      </c>
      <c r="CZ176" s="23" t="str">
        <f aca="false">IF(CW176="","",IFERROR(INDEX(Clay_Offices!$A$2:$FZ$601,CW176,Sync!$C$17)&amp;"",""))</f>
        <v/>
      </c>
      <c r="DA176" s="35" t="str">
        <f aca="false">IF(CW176="","",IFERROR(N(INDEX(Clay_Offices!$A$2:$FZ$601,CW176,Sync!$C$16)),0))</f>
        <v/>
      </c>
      <c r="DB176" s="23" t="n">
        <f aca="false">IF(AND(BB176=1,OR(AR176="Y",AR176="N",AR176="maybe")),1,0)</f>
        <v>0</v>
      </c>
      <c r="DC176" s="23" t="n">
        <f aca="false">IF(AND(DB176=1),IF(COUNTIFS($A$2:$A$201,$A176,$DB$2:$DB$201,1,$H$2:$H$201,"&gt;"&amp;H176)+COUNTIFS($A$2:$A$201,$A176,$DB$2:$DB$201,1,$H$2:$H$201,H176,$BA$2:$BA$201,"&gt;"&amp;BA176)=0,1,0),0)</f>
        <v>0</v>
      </c>
      <c r="DD176" s="23" t="n">
        <f aca="false">IF(AND(DB176=1,INT(N(H176))&lt;=Config!$B$6),IF(COUNTIFS($AZ$2:$AZ$201,AZ176,$DB$2:$DB$201,1,$H$2:$H$201,"&gt;"&amp;H176,$H$2:$H$201,"&lt;"&amp;(Config!$B$6+1))+COUNTIFS($AZ$2:$AZ$201,AZ176,$DB$2:$DB$201,1,$H$2:$H$201,H176,$BA$2:$BA$201,"&gt;"&amp;BA176)=0,1,0),0)</f>
        <v>0</v>
      </c>
      <c r="DE176" s="23" t="n">
        <f aca="false">IF(AND(DB176=1,INT(N(H176))&lt;=Config!$B$7),IF(COUNTIFS($AZ$2:$AZ$201,AZ176,$DB$2:$DB$201,1,$H$2:$H$201,"&gt;"&amp;H176,$H$2:$H$201,"&lt;"&amp;(Config!$B$7+1))+COUNTIFS($AZ$2:$AZ$201,AZ176,$DB$2:$DB$201,1,$H$2:$H$201,H176,$BA$2:$BA$201,"&gt;"&amp;BA176)=0,1,0),0)</f>
        <v>0</v>
      </c>
      <c r="DF176" s="23" t="n">
        <f aca="false">IF(AND(DB176=1,INT(N(H176))&lt;=Config!$B$8),IF(COUNTIFS($AZ$2:$AZ$201,AZ176,$DB$2:$DB$201,1,$H$2:$H$201,"&gt;"&amp;H176,$H$2:$H$201,"&lt;"&amp;(Config!$B$8+1))+COUNTIFS($AZ$2:$AZ$201,AZ176,$DB$2:$DB$201,1,$H$2:$H$201,H176,$BA$2:$BA$201,"&gt;"&amp;BA176)=0,1,0),0)</f>
        <v>0</v>
      </c>
      <c r="DG176" s="23" t="n">
        <f aca="false">IF(AND(DB176=1,INT(N(H176))&lt;=Config!$B$5),IF(COUNTIFS($AZ$2:$AZ$201,AZ176,$DB$2:$DB$201,1,$H$2:$H$201,"&gt;"&amp;H176,$H$2:$H$201,"&lt;"&amp;(Config!$B$5+1))+COUNTIFS($AZ$2:$AZ$201,AZ176,$DB$2:$DB$201,1,$H$2:$H$201,H176,$BA$2:$BA$201,"&gt;"&amp;BA176)=0,1,0),0)</f>
        <v>0</v>
      </c>
      <c r="DH176" s="23" t="n">
        <f aca="false">IF(BB176=1,IF(COUNTIFS($AZ$2:$AZ$201,AZ176,$DD$2:$DD$201,1,$AR$2:$AR$201,"Y")&gt;0,1,0),0)</f>
        <v>0</v>
      </c>
      <c r="DI176" s="23" t="n">
        <f aca="false">IF(BB176=1,IF(COUNTIFS($AZ$2:$AZ$201,AZ176,$DE$2:$DE$201,1,$AR$2:$AR$201,"Y")&gt;0,1,0),0)</f>
        <v>0</v>
      </c>
      <c r="DJ176" s="23" t="n">
        <f aca="false">IF(BB176=1,IF(COUNTIFS($AZ$2:$AZ$201,AZ176,$DF$2:$DF$201,1,$AR$2:$AR$201,"Y")&gt;0,1,0),0)</f>
        <v>0</v>
      </c>
      <c r="DK176" s="23" t="n">
        <f aca="false">IF(BB176=1,IF(COUNTIFS($AZ$2:$AZ$201,AZ176,$DG$2:$DG$201,1,$AR$2:$AR$201,"Y")&gt;0,1,0),0)</f>
        <v>0</v>
      </c>
      <c r="DL176" s="23" t="n">
        <f aca="false">IF(AND(BF176=1,INT(N(H176))&lt;=Config!$B$6,DH176=1,EI176=0),1,0)</f>
        <v>0</v>
      </c>
      <c r="DM176" s="23" t="n">
        <f aca="false">IF(AND(BF176=1,INT(N(H176))&lt;=Config!$B$7,DI176=1,EI176=0),1,0)</f>
        <v>0</v>
      </c>
      <c r="DN176" s="23" t="n">
        <f aca="false">IF(AND(BF176=1,INT(N(H176))&lt;=Config!$B$8,DJ176=1,EI176=0),1,0)</f>
        <v>0</v>
      </c>
      <c r="DO176" s="23" t="n">
        <f aca="false">IF(AND(BF176=1,INT(N(H176))&lt;=Config!$B$5,DK176=1,EI176=0),1,0)</f>
        <v>0</v>
      </c>
      <c r="DP176" s="23" t="n">
        <f aca="false">IF(AND(CC176=1,INT(N(H176))&lt;=Config!$B$6,DH176=1,EI176=0),1,0)</f>
        <v>0</v>
      </c>
      <c r="DQ176" s="23" t="n">
        <f aca="false">IF(AND(CC176=1,INT(N(H176))&lt;=Config!$B$7,DI176=1,EI176=0),1,0)</f>
        <v>0</v>
      </c>
      <c r="DR176" s="23" t="n">
        <f aca="false">IF(AND(CC176=1,INT(N(H176))&lt;=Config!$B$8,DJ176=1,EI176=0),1,0)</f>
        <v>0</v>
      </c>
      <c r="DS176" s="23" t="n">
        <f aca="false">IF(AND(CC176=1,INT(N(H176))&lt;=Config!$B$5,DK176=1,EI176=0),1,0)</f>
        <v>0</v>
      </c>
      <c r="DT176" s="23" t="n">
        <f aca="false">IF(AND(CC176=1,INT(N(H176))&lt;=Config!$B$6,DH176=0),1,0)</f>
        <v>0</v>
      </c>
      <c r="DU176" s="23" t="n">
        <f aca="false">IF(AND(CC176=1,INT(N(H176))&lt;=Config!$B$7,DI176=0),1,0)</f>
        <v>0</v>
      </c>
      <c r="DV176" s="23" t="n">
        <f aca="false">IF(AND(CC176=1,INT(N(H176))&lt;=Config!$B$8,DJ176=0),1,0)</f>
        <v>0</v>
      </c>
      <c r="DW176" s="23" t="n">
        <f aca="false">IF(AND(CC176=1,INT(N(H176))&lt;=Config!$B$5,DK176=0),1,0)</f>
        <v>0</v>
      </c>
      <c r="DX176" s="23" t="n">
        <f aca="false">IF(TRIM($A176)="",0,ISTEXT(M176)+ISTEXT(O176)+ISTEXT(Y176)+ISTEXT(Z176)+ISTEXT(AA176)+ISTEXT(AV176))</f>
        <v>0</v>
      </c>
      <c r="DY176" s="23" t="n">
        <f aca="false">IF(BB176=1,IF(H176&lt;&gt;INT(H176),1,0),0)</f>
        <v>0</v>
      </c>
      <c r="DZ176" s="23" t="str">
        <f aca="false">IF(TRIM($A176)="","",IF(TRIM(B176)="",SUBSTITUTE(SUBSTITUTE(SUBSTITUTE(SUBSTITUTE(SUBSTITUTE(SUBSTITUTE(LOWER(TRIM($A176)),"~",""),"*",""),"?",""),"&lt;",""),"&gt;",""),"=",""),SUBSTITUTE(SUBSTITUTE(SUBSTITUTE(SUBSTITUTE(SUBSTITUTE(SUBSTITUTE(LOWER(TRIM(B176)),"~",""),"*",""),"?",""),"&lt;",""),"&gt;",""),"=","")))</f>
        <v/>
      </c>
      <c r="EA176" s="23" t="str">
        <f aca="false">IF(CW176="","",IFERROR(IF(LEFT(LOWER(TRIM(INDEX(Clay_Offices!$A$2:$FZ$601,CW176,Sync!$C$19)&amp;"")),4)="grp-",SUBSTITUTE(SUBSTITUTE(SUBSTITUTE(SUBSTITUTE(SUBSTITUTE(SUBSTITUTE(LOWER(TRIM(INDEX(Clay_Offices!$A$2:$FZ$601,CW176,Sync!$C$19)&amp;"")),"~",""),"*",""),"?",""),"&lt;",""),"&gt;",""),"=",""),""),""))</f>
        <v/>
      </c>
      <c r="EB176" s="23" t="str">
        <f aca="false">IF(EA176&lt;&gt;"",DZ176,"")</f>
        <v/>
      </c>
      <c r="EC176" s="23" t="str">
        <f aca="false">IF(BC176=1,AZ176,"")</f>
        <v/>
      </c>
      <c r="ED176" s="23" t="str">
        <f aca="false">IF(TRIM($A176)="","",IFERROR(INDEX($A$2:$A$201,MATCH(AZ176,$EC$2:$EC$201,0))&amp;"",$A176&amp;""))</f>
        <v/>
      </c>
      <c r="EE176" s="23" t="n">
        <f aca="false">IF(BB176=1,IF(COUNTIFS($A$2:$A$201,$A176,$BB$2:$BB$201,1,$H$2:$H$201,"&lt;"&amp;H176)+COUNTIFS($A$2:$A$201,$A176,$BB$2:$BB$201,1,$H$2:$H$201,H176,$BA$2:$BA$201,"&lt;"&amp;BA176)=0,1,0),0)</f>
        <v>0</v>
      </c>
      <c r="EF176" s="23" t="n">
        <f aca="false">IF(BC176=1,IF(COUNTIFS($AZ$2:$AZ$201,AZ176,$EE$2:$EE$201,1)&gt;1,1,0),0)</f>
        <v>0</v>
      </c>
      <c r="EG176" s="23" t="n">
        <f aca="false">IF(AND(CQ176=1),IF(COUNTIFS($AZ$2:$AZ$201,AZ176,$CQ$2:$CQ$201,1,$H$2:$H$201,"&gt;"&amp;H176)+COUNTIFS($AZ$2:$AZ$201,AZ176,$CQ$2:$CQ$201,1,$H$2:$H$201,H176,$BA$2:$BA$201,"&gt;"&amp;BA176)=0,1,0),0)</f>
        <v>0</v>
      </c>
      <c r="EH176" s="23" t="str">
        <f aca="false">IF(BB176=1,IF(COUNTIFS($AZ$2:$AZ$201,AZ176,$EG$2:$EG$201,1)=0,"",SUMIFS($O$2:$O$201,$AZ$2:$AZ$201,AZ176,$EG$2:$EG$201,1)),"")</f>
        <v/>
      </c>
      <c r="EI176" s="23" t="n">
        <f aca="false">IF(AND(ISNUMBER(EH176),OR(N(EH176)&lt;Config!$B$31,N(EH176)&gt;Config!$B$33)),1,0)</f>
        <v>0</v>
      </c>
      <c r="EJ176" s="23" t="n">
        <f aca="false">IF(AND(ISNUMBER(EH176),N(EH176)&gt;=Config!$B$31,N(EH176)&lt;Config!$B$32),1,0)</f>
        <v>0</v>
      </c>
      <c r="EK176" s="23" t="n">
        <f aca="false">IF(AND(BF176=1,INT(N(H176))&lt;=Config!$B$6,DH176=1,EI176=1),1,0)</f>
        <v>0</v>
      </c>
      <c r="EL176" s="23" t="n">
        <f aca="false">IF(AND(BF176=1,INT(N(H176))&lt;=Config!$B$7,DI176=1,EI176=1),1,0)</f>
        <v>0</v>
      </c>
      <c r="EM176" s="23" t="n">
        <f aca="false">IF(AND(BF176=1,INT(N(H176))&lt;=Config!$B$8,DJ176=1,EI176=1),1,0)</f>
        <v>0</v>
      </c>
      <c r="EN176" s="23" t="n">
        <f aca="false">IF(AND(BF176=1,INT(N(H176))&lt;=Config!$B$5,DK176=1,EI176=1),1,0)</f>
        <v>0</v>
      </c>
      <c r="EO176" s="23" t="n">
        <f aca="false">IF(AND(DL176=1,EJ176=1),1,0)</f>
        <v>0</v>
      </c>
      <c r="EP176" s="23" t="n">
        <f aca="false">IF(AND(DM176=1,EJ176=1),1,0)</f>
        <v>0</v>
      </c>
      <c r="EQ176" s="23" t="n">
        <f aca="false">IF(AND(DN176=1,EJ176=1),1,0)</f>
        <v>0</v>
      </c>
      <c r="ER176" s="23" t="n">
        <f aca="false">IF(AND(DO176=1,EJ176=1),1,0)</f>
        <v>0</v>
      </c>
    </row>
    <row r="177" customFormat="false" ht="15" hidden="false" customHeight="false" outlineLevel="0" collapsed="false">
      <c r="G177" s="32"/>
      <c r="H177" s="33"/>
      <c r="I177" s="32"/>
      <c r="L177" s="32"/>
      <c r="Q177" s="32"/>
      <c r="U177" s="32"/>
      <c r="W177" s="32"/>
      <c r="AC177" s="32"/>
      <c r="AF177" s="32"/>
      <c r="AI177" s="32"/>
      <c r="AJ177" s="32"/>
      <c r="AN177" s="32"/>
      <c r="AR177" s="32"/>
      <c r="AT177" s="32"/>
      <c r="AU177" s="32"/>
      <c r="AW177" s="32"/>
      <c r="AY177" s="34" t="str">
        <f aca="false">IF(TRIM($A177)="","",IF(AND(LEFT($A177,6)="SAMPLE",Config!$B$19&lt;&gt;"Y"),"",IF(NOT(ISNUMBER(H177)),"call_date is blank or not a date",IF(Sync!$C$5="","Clay paste is empty or has no row_id column: paste the Clay export on Clay_Offices",IF(CW177="","row_id not found in the Clay paste: add the Clay row or fix the row_id",IF(AND(ISNUMBER(CY177),CY177&gt;=1,CY177&lt;=5),"Clay status is "&amp;CX177&amp;": set call_done or later",IF(AND(BD177=1,CZ177&lt;&gt;BZ177),"Clay yes_in_principle should be "&amp;BZ177,IF(AND(BD177=1,DA177&lt;&gt;H177),"Clay call_date should be "&amp;TEXT(H177,"yyyy-mm-dd"),""))))))))</f>
        <v/>
      </c>
      <c r="AZ177" s="23" t="str">
        <f aca="false">IF(TRIM($A177)="","",IF(TRIM(C177)&lt;&gt;"",SUBSTITUTE(SUBSTITUTE(SUBSTITUTE(SUBSTITUTE(SUBSTITUTE(SUBSTITUTE(LOWER(TRIM(C177)),"~",""),"*",""),"?",""),"&lt;",""),"&gt;",""),"=",""),IF(EA177&lt;&gt;"",EA177,IFERROR(INDEX($EA$2:$EA$201,MATCH(DZ177,$EB$2:$EB$201,0)),DZ177))))</f>
        <v/>
      </c>
      <c r="BA177" s="23" t="n">
        <f aca="false">ROW()</f>
        <v>177</v>
      </c>
      <c r="BB177" s="23" t="n">
        <f aca="false">IF(AND(TRIM($A177)&lt;&gt;"",ISNUMBER(H177)),IF(AND(LEFT($A177,6)="SAMPLE",Config!$B$19&lt;&gt;"Y"),0,1),0)</f>
        <v>0</v>
      </c>
      <c r="BC177" s="23" t="n">
        <f aca="false">IF(BB177=1,IF(COUNTIFS($AZ$2:$AZ$201,AZ177,$BB$2:$BB$201,1,$H$2:$H$201,"&lt;"&amp;H177)+COUNTIFS($AZ$2:$AZ$201,AZ177,$BB$2:$BB$201,1,$H$2:$H$201,H177,$BA$2:$BA$201,"&lt;"&amp;BA177)=0,1,0),0)</f>
        <v>0</v>
      </c>
      <c r="BD177" s="23" t="n">
        <f aca="false">IF(BB177=1,IF(COUNTIFS($A$2:$A$201,$A177,$BB$2:$BB$201,1,$H$2:$H$201,"&gt;"&amp;H177)+COUNTIFS($A$2:$A$201,$A177,$BB$2:$BB$201,1,$H$2:$H$201,H177,$BA$2:$BA$201,"&gt;"&amp;BA177)=0,1,0),0)</f>
        <v>0</v>
      </c>
      <c r="BE177" s="23" t="n">
        <f aca="false">IF(AND(BB177=1,AR177="Y",AC177="Y",TRIM(AH177)&lt;&gt;""),1,0)</f>
        <v>0</v>
      </c>
      <c r="BF177" s="23" t="n">
        <f aca="false">IF(BE177=1,IF(COUNTIFS($AZ$2:$AZ$201,AZ177,$BE$2:$BE$201,1,$H$2:$H$201,"&lt;"&amp;H177)+COUNTIFS($AZ$2:$AZ$201,AZ177,$BE$2:$BE$201,1,$H$2:$H$201,H177,$BA$2:$BA$201,"&lt;"&amp;BA177)=0,1,0),0)</f>
        <v>0</v>
      </c>
      <c r="BG177" s="23" t="n">
        <f aca="false">IF(AND(BB177=1,AR177="Y",BE177=0),1,0)</f>
        <v>0</v>
      </c>
      <c r="BH177" s="23" t="n">
        <f aca="false">IF(AND(BB177=1,ISNUMBER(Y177)),1,0)</f>
        <v>0</v>
      </c>
      <c r="BI177" s="23" t="n">
        <f aca="false">IF(BH177=1,IF(COUNTIFS($AZ$2:$AZ$201,AZ177,$BH$2:$BH$201,1,$H$2:$H$201,"&lt;"&amp;H177)+COUNTIFS($AZ$2:$AZ$201,AZ177,$BH$2:$BH$201,1,$H$2:$H$201,H177,$BA$2:$BA$201,"&lt;"&amp;BA177)=0,1,0),0)</f>
        <v>0</v>
      </c>
      <c r="BJ177" s="23" t="str">
        <f aca="false">IF(AND(BI177=1,INT(N(H177))&lt;=Config!$B$6),Y177,"")</f>
        <v/>
      </c>
      <c r="BK177" s="23" t="str">
        <f aca="false">IF(AND(BI177=1,INT(N(H177))&lt;=Config!$B$7),Y177,"")</f>
        <v/>
      </c>
      <c r="BL177" s="23" t="str">
        <f aca="false">IF(AND(BI177=1,INT(N(H177))&lt;=Config!$B$8),Y177,"")</f>
        <v/>
      </c>
      <c r="BM177" s="23" t="str">
        <f aca="false">IF(AND(BI177=1,INT(N(H177))&lt;=Config!$B$5),Y177,"")</f>
        <v/>
      </c>
      <c r="BN177" s="23" t="n">
        <f aca="false">IF(CD177=1,IF(COUNTIFS($AZ$2:$AZ$201,AZ177,$CD$2:$CD$201,1,$H$2:$H$201,"&lt;"&amp;H177)+COUNTIFS($AZ$2:$AZ$201,AZ177,$CD$2:$CD$201,1,$H$2:$H$201,H177,$BA$2:$BA$201,"&lt;"&amp;BA177)=0,1,0),0)</f>
        <v>0</v>
      </c>
      <c r="BO177" s="23" t="n">
        <f aca="false">IF(AND(BB177=1,ISNUMBER(M177)),1,0)</f>
        <v>0</v>
      </c>
      <c r="BP177" s="23" t="n">
        <f aca="false">IF(BO177=1,IF(COUNTIFS($AZ$2:$AZ$201,AZ177,$BO$2:$BO$201,1,$H$2:$H$201,"&lt;"&amp;H177)+COUNTIFS($AZ$2:$AZ$201,AZ177,$BO$2:$BO$201,1,$H$2:$H$201,H177,$BA$2:$BA$201,"&lt;"&amp;BA177)=0,1,0),0)</f>
        <v>0</v>
      </c>
      <c r="BQ177" s="23" t="str">
        <f aca="false">IF(AND(BP177=1,INT(N(H177))&lt;=Config!$B$5),M177,"")</f>
        <v/>
      </c>
      <c r="BR177" s="23" t="n">
        <f aca="false">IF(AND(BB177=1,OR(TRIM(X177)&lt;&gt;"",ISNUMBER(Y177))),1,0)</f>
        <v>0</v>
      </c>
      <c r="BS177" s="23" t="n">
        <f aca="false">IF(BR177=1,IF(COUNTIFS($AZ$2:$AZ$201,AZ177,$BR$2:$BR$201,1,$H$2:$H$201,"&lt;"&amp;H177)+COUNTIFS($AZ$2:$AZ$201,AZ177,$BR$2:$BR$201,1,$H$2:$H$201,H177,$BA$2:$BA$201,"&lt;"&amp;BA177)=0,1,0),0)</f>
        <v>0</v>
      </c>
      <c r="BT177" s="23" t="str">
        <f aca="false">IF(BS177=1,AZ177,"")</f>
        <v/>
      </c>
      <c r="BU177" s="23" t="n">
        <f aca="false">IF(AND(BB177=1,W177="Y",TRIM(X177)=""),1,0)</f>
        <v>0</v>
      </c>
      <c r="BV177" s="23" t="str">
        <f aca="false">IF(BB177=1,AN177&amp;"","")</f>
        <v/>
      </c>
      <c r="BW177" s="23" t="str">
        <f aca="false">IF(BB177=1,AO177&amp;"","")</f>
        <v/>
      </c>
      <c r="BX177" s="23" t="str">
        <f aca="false">IF(BB177=1,AP177&amp;"","")</f>
        <v/>
      </c>
      <c r="BY177" s="23" t="str">
        <f aca="false">IF(AND(BB177=1,ISNUMBER(AV177),INT(N(H177))&lt;=Config!$B$5),AV177,"")</f>
        <v/>
      </c>
      <c r="BZ177" s="23" t="str">
        <f aca="false">IF(BB177=1,IF(COUNTIFS($A$2:$A$201,$A177,$DC$2:$DC$201,1,$AR$2:$AR$201,"Y")&gt;0,"Y","N"),"")</f>
        <v/>
      </c>
      <c r="CA177" s="23" t="n">
        <f aca="false">IF(AND(BB177=1,AR177="maybe"),1,0)</f>
        <v>0</v>
      </c>
      <c r="CB177" s="23" t="n">
        <f aca="false">IF(CA177=1,IF(COUNTIFS($AZ$2:$AZ$201,AZ177,$CA$2:$CA$201,1,$H$2:$H$201,"&lt;"&amp;H177)+COUNTIFS($AZ$2:$AZ$201,AZ177,$CA$2:$CA$201,1,$H$2:$H$201,H177,$BA$2:$BA$201,"&lt;"&amp;BA177)=0,1,0),0)</f>
        <v>0</v>
      </c>
      <c r="CC177" s="23" t="n">
        <f aca="false">IF(AND(BB177=1,AR177="Y"),IF(COUNTIFS($AZ$2:$AZ$201,AZ177,$AR$2:$AR$201,"Y",$BB$2:$BB$201,1,$H$2:$H$201,"&lt;"&amp;H177)+COUNTIFS($AZ$2:$AZ$201,AZ177,$AR$2:$AR$201,"Y",$BB$2:$BB$201,1,$H$2:$H$201,H177,$BA$2:$BA$201,"&lt;"&amp;BA177)=0,1,0),0)</f>
        <v>0</v>
      </c>
      <c r="CD177" s="23" t="n">
        <f aca="false">IF(AND(BH177=1,N(Y177)&gt;=Config!$B$15),1,0)</f>
        <v>0</v>
      </c>
      <c r="CE177" s="23" t="n">
        <f aca="false">IF(AND(BB177=1,AT177="Y"),1,0)</f>
        <v>0</v>
      </c>
      <c r="CF177" s="23" t="n">
        <f aca="false">IF(CE177=1,IF(COUNTIFS($AZ$2:$AZ$201,AZ177,$CE$2:$CE$201,1,$H$2:$H$201,"&lt;"&amp;H177)+COUNTIFS($AZ$2:$AZ$201,AZ177,$CE$2:$CE$201,1,$H$2:$H$201,H177,$BA$2:$BA$201,"&lt;"&amp;BA177)=0,1,0),0)</f>
        <v>0</v>
      </c>
      <c r="CG177" s="23" t="n">
        <f aca="false">IF(AND(BB177=1,G177="warm-intro"),1,0)</f>
        <v>0</v>
      </c>
      <c r="CH177" s="23" t="n">
        <f aca="false">IF(CG177=1,IF(COUNTIFS($AZ$2:$AZ$201,AZ177,$CG$2:$CG$201,1,$H$2:$H$201,"&lt;"&amp;H177)+COUNTIFS($AZ$2:$AZ$201,AZ177,$CG$2:$CG$201,1,$H$2:$H$201,H177,$BA$2:$BA$201,"&lt;"&amp;BA177)=0,1,0),0)</f>
        <v>0</v>
      </c>
      <c r="CI177" s="23" t="n">
        <f aca="false">IF(AND(BB177=1,Q177="Y"),1,0)</f>
        <v>0</v>
      </c>
      <c r="CJ177" s="23" t="n">
        <f aca="false">IF(CI177=1,IF(COUNTIFS($AZ$2:$AZ$201,AZ177,$CI$2:$CI$201,1,$H$2:$H$201,"&lt;"&amp;H177)+COUNTIFS($AZ$2:$AZ$201,AZ177,$CI$2:$CI$201,1,$H$2:$H$201,H177,$BA$2:$BA$201,"&lt;"&amp;BA177)=0,1,0),0)</f>
        <v>0</v>
      </c>
      <c r="CK177" s="23" t="n">
        <f aca="false">IF(AND(BB177=1,AF177="Y"),1,0)</f>
        <v>0</v>
      </c>
      <c r="CL177" s="23" t="n">
        <f aca="false">IF(CK177=1,IF(COUNTIFS($AZ$2:$AZ$201,AZ177,$CK$2:$CK$201,1,$H$2:$H$201,"&lt;"&amp;H177)+COUNTIFS($AZ$2:$AZ$201,AZ177,$CK$2:$CK$201,1,$H$2:$H$201,H177,$BA$2:$BA$201,"&lt;"&amp;BA177)=0,1,0),0)</f>
        <v>0</v>
      </c>
      <c r="CM177" s="23" t="n">
        <f aca="false">IF(AND(BB177=1,U177="Y"),1,0)</f>
        <v>0</v>
      </c>
      <c r="CN177" s="23" t="n">
        <f aca="false">IF(CM177=1,IF(COUNTIFS($AZ$2:$AZ$201,AZ177,$CM$2:$CM$201,1,$H$2:$H$201,"&lt;"&amp;H177)+COUNTIFS($AZ$2:$AZ$201,AZ177,$CM$2:$CM$201,1,$H$2:$H$201,H177,$BA$2:$BA$201,"&lt;"&amp;BA177)=0,1,0),0)</f>
        <v>0</v>
      </c>
      <c r="CO177" s="23" t="n">
        <f aca="false">IF(AND(BB177=1,L177="Y"),1,0)</f>
        <v>0</v>
      </c>
      <c r="CP177" s="23" t="n">
        <f aca="false">IF(CO177=1,IF(COUNTIFS($AZ$2:$AZ$201,AZ177,$CO$2:$CO$201,1,$H$2:$H$201,"&lt;"&amp;H177)+COUNTIFS($AZ$2:$AZ$201,AZ177,$CO$2:$CO$201,1,$H$2:$H$201,H177,$BA$2:$BA$201,"&lt;"&amp;BA177)=0,1,0),0)</f>
        <v>0</v>
      </c>
      <c r="CQ177" s="23" t="n">
        <f aca="false">IF(AND(BB177=1,ISNUMBER(O177)),1,0)</f>
        <v>0</v>
      </c>
      <c r="CR177" s="23" t="n">
        <f aca="false">IF(CQ177=1,IF(COUNTIFS($AZ$2:$AZ$201,AZ177,$CQ$2:$CQ$201,1,$H$2:$H$201,"&lt;"&amp;H177)+COUNTIFS($AZ$2:$AZ$201,AZ177,$CQ$2:$CQ$201,1,$H$2:$H$201,H177,$BA$2:$BA$201,"&lt;"&amp;BA177)=0,1,0),0)</f>
        <v>0</v>
      </c>
      <c r="CS177" s="23" t="str">
        <f aca="false">IF(AND(CR177=1,INT(N(H177))&lt;=Config!$B$5),O177,"")</f>
        <v/>
      </c>
      <c r="CT177" s="23" t="str">
        <f aca="false">IF(AND(BB177=1,INT(N(H177))&lt;=Config!$B$5),AG177&amp;"","")</f>
        <v/>
      </c>
      <c r="CU177" s="23" t="n">
        <f aca="false">IF(AND(BB177=1,AU177="Y"),1,0)</f>
        <v>0</v>
      </c>
      <c r="CV177" s="23" t="n">
        <f aca="false">IF(CU177=1,IF(COUNTIFS($AZ$2:$AZ$201,AZ177,$CU$2:$CU$201,1,$H$2:$H$201,"&lt;"&amp;H177)+COUNTIFS($AZ$2:$AZ$201,AZ177,$CU$2:$CU$201,1,$H$2:$H$201,H177,$BA$2:$BA$201,"&lt;"&amp;BA177)=0,1,0),0)</f>
        <v>0</v>
      </c>
      <c r="CW177" s="23" t="str">
        <f aca="false">IF(BB177=1,IFERROR(MATCH($A177,INDEX(Clay_Offices!$A$2:$FZ$601,0,Sync!$C$5),0),""),"")</f>
        <v/>
      </c>
      <c r="CX177" s="23" t="str">
        <f aca="false">IF(CW177="","",IFERROR(INDEX(Clay_Offices!$A$2:$FZ$601,CW177,Sync!$C$7)&amp;"",""))</f>
        <v/>
      </c>
      <c r="CY177" s="23" t="str">
        <f aca="false">IF(CX177="","",IFERROR(INDEX(Lists!$K$2:$K$15,MATCH(CX177,Lists!$J$2:$J$15,0)),""))</f>
        <v/>
      </c>
      <c r="CZ177" s="23" t="str">
        <f aca="false">IF(CW177="","",IFERROR(INDEX(Clay_Offices!$A$2:$FZ$601,CW177,Sync!$C$17)&amp;"",""))</f>
        <v/>
      </c>
      <c r="DA177" s="35" t="str">
        <f aca="false">IF(CW177="","",IFERROR(N(INDEX(Clay_Offices!$A$2:$FZ$601,CW177,Sync!$C$16)),0))</f>
        <v/>
      </c>
      <c r="DB177" s="23" t="n">
        <f aca="false">IF(AND(BB177=1,OR(AR177="Y",AR177="N",AR177="maybe")),1,0)</f>
        <v>0</v>
      </c>
      <c r="DC177" s="23" t="n">
        <f aca="false">IF(AND(DB177=1),IF(COUNTIFS($A$2:$A$201,$A177,$DB$2:$DB$201,1,$H$2:$H$201,"&gt;"&amp;H177)+COUNTIFS($A$2:$A$201,$A177,$DB$2:$DB$201,1,$H$2:$H$201,H177,$BA$2:$BA$201,"&gt;"&amp;BA177)=0,1,0),0)</f>
        <v>0</v>
      </c>
      <c r="DD177" s="23" t="n">
        <f aca="false">IF(AND(DB177=1,INT(N(H177))&lt;=Config!$B$6),IF(COUNTIFS($AZ$2:$AZ$201,AZ177,$DB$2:$DB$201,1,$H$2:$H$201,"&gt;"&amp;H177,$H$2:$H$201,"&lt;"&amp;(Config!$B$6+1))+COUNTIFS($AZ$2:$AZ$201,AZ177,$DB$2:$DB$201,1,$H$2:$H$201,H177,$BA$2:$BA$201,"&gt;"&amp;BA177)=0,1,0),0)</f>
        <v>0</v>
      </c>
      <c r="DE177" s="23" t="n">
        <f aca="false">IF(AND(DB177=1,INT(N(H177))&lt;=Config!$B$7),IF(COUNTIFS($AZ$2:$AZ$201,AZ177,$DB$2:$DB$201,1,$H$2:$H$201,"&gt;"&amp;H177,$H$2:$H$201,"&lt;"&amp;(Config!$B$7+1))+COUNTIFS($AZ$2:$AZ$201,AZ177,$DB$2:$DB$201,1,$H$2:$H$201,H177,$BA$2:$BA$201,"&gt;"&amp;BA177)=0,1,0),0)</f>
        <v>0</v>
      </c>
      <c r="DF177" s="23" t="n">
        <f aca="false">IF(AND(DB177=1,INT(N(H177))&lt;=Config!$B$8),IF(COUNTIFS($AZ$2:$AZ$201,AZ177,$DB$2:$DB$201,1,$H$2:$H$201,"&gt;"&amp;H177,$H$2:$H$201,"&lt;"&amp;(Config!$B$8+1))+COUNTIFS($AZ$2:$AZ$201,AZ177,$DB$2:$DB$201,1,$H$2:$H$201,H177,$BA$2:$BA$201,"&gt;"&amp;BA177)=0,1,0),0)</f>
        <v>0</v>
      </c>
      <c r="DG177" s="23" t="n">
        <f aca="false">IF(AND(DB177=1,INT(N(H177))&lt;=Config!$B$5),IF(COUNTIFS($AZ$2:$AZ$201,AZ177,$DB$2:$DB$201,1,$H$2:$H$201,"&gt;"&amp;H177,$H$2:$H$201,"&lt;"&amp;(Config!$B$5+1))+COUNTIFS($AZ$2:$AZ$201,AZ177,$DB$2:$DB$201,1,$H$2:$H$201,H177,$BA$2:$BA$201,"&gt;"&amp;BA177)=0,1,0),0)</f>
        <v>0</v>
      </c>
      <c r="DH177" s="23" t="n">
        <f aca="false">IF(BB177=1,IF(COUNTIFS($AZ$2:$AZ$201,AZ177,$DD$2:$DD$201,1,$AR$2:$AR$201,"Y")&gt;0,1,0),0)</f>
        <v>0</v>
      </c>
      <c r="DI177" s="23" t="n">
        <f aca="false">IF(BB177=1,IF(COUNTIFS($AZ$2:$AZ$201,AZ177,$DE$2:$DE$201,1,$AR$2:$AR$201,"Y")&gt;0,1,0),0)</f>
        <v>0</v>
      </c>
      <c r="DJ177" s="23" t="n">
        <f aca="false">IF(BB177=1,IF(COUNTIFS($AZ$2:$AZ$201,AZ177,$DF$2:$DF$201,1,$AR$2:$AR$201,"Y")&gt;0,1,0),0)</f>
        <v>0</v>
      </c>
      <c r="DK177" s="23" t="n">
        <f aca="false">IF(BB177=1,IF(COUNTIFS($AZ$2:$AZ$201,AZ177,$DG$2:$DG$201,1,$AR$2:$AR$201,"Y")&gt;0,1,0),0)</f>
        <v>0</v>
      </c>
      <c r="DL177" s="23" t="n">
        <f aca="false">IF(AND(BF177=1,INT(N(H177))&lt;=Config!$B$6,DH177=1,EI177=0),1,0)</f>
        <v>0</v>
      </c>
      <c r="DM177" s="23" t="n">
        <f aca="false">IF(AND(BF177=1,INT(N(H177))&lt;=Config!$B$7,DI177=1,EI177=0),1,0)</f>
        <v>0</v>
      </c>
      <c r="DN177" s="23" t="n">
        <f aca="false">IF(AND(BF177=1,INT(N(H177))&lt;=Config!$B$8,DJ177=1,EI177=0),1,0)</f>
        <v>0</v>
      </c>
      <c r="DO177" s="23" t="n">
        <f aca="false">IF(AND(BF177=1,INT(N(H177))&lt;=Config!$B$5,DK177=1,EI177=0),1,0)</f>
        <v>0</v>
      </c>
      <c r="DP177" s="23" t="n">
        <f aca="false">IF(AND(CC177=1,INT(N(H177))&lt;=Config!$B$6,DH177=1,EI177=0),1,0)</f>
        <v>0</v>
      </c>
      <c r="DQ177" s="23" t="n">
        <f aca="false">IF(AND(CC177=1,INT(N(H177))&lt;=Config!$B$7,DI177=1,EI177=0),1,0)</f>
        <v>0</v>
      </c>
      <c r="DR177" s="23" t="n">
        <f aca="false">IF(AND(CC177=1,INT(N(H177))&lt;=Config!$B$8,DJ177=1,EI177=0),1,0)</f>
        <v>0</v>
      </c>
      <c r="DS177" s="23" t="n">
        <f aca="false">IF(AND(CC177=1,INT(N(H177))&lt;=Config!$B$5,DK177=1,EI177=0),1,0)</f>
        <v>0</v>
      </c>
      <c r="DT177" s="23" t="n">
        <f aca="false">IF(AND(CC177=1,INT(N(H177))&lt;=Config!$B$6,DH177=0),1,0)</f>
        <v>0</v>
      </c>
      <c r="DU177" s="23" t="n">
        <f aca="false">IF(AND(CC177=1,INT(N(H177))&lt;=Config!$B$7,DI177=0),1,0)</f>
        <v>0</v>
      </c>
      <c r="DV177" s="23" t="n">
        <f aca="false">IF(AND(CC177=1,INT(N(H177))&lt;=Config!$B$8,DJ177=0),1,0)</f>
        <v>0</v>
      </c>
      <c r="DW177" s="23" t="n">
        <f aca="false">IF(AND(CC177=1,INT(N(H177))&lt;=Config!$B$5,DK177=0),1,0)</f>
        <v>0</v>
      </c>
      <c r="DX177" s="23" t="n">
        <f aca="false">IF(TRIM($A177)="",0,ISTEXT(M177)+ISTEXT(O177)+ISTEXT(Y177)+ISTEXT(Z177)+ISTEXT(AA177)+ISTEXT(AV177))</f>
        <v>0</v>
      </c>
      <c r="DY177" s="23" t="n">
        <f aca="false">IF(BB177=1,IF(H177&lt;&gt;INT(H177),1,0),0)</f>
        <v>0</v>
      </c>
      <c r="DZ177" s="23" t="str">
        <f aca="false">IF(TRIM($A177)="","",IF(TRIM(B177)="",SUBSTITUTE(SUBSTITUTE(SUBSTITUTE(SUBSTITUTE(SUBSTITUTE(SUBSTITUTE(LOWER(TRIM($A177)),"~",""),"*",""),"?",""),"&lt;",""),"&gt;",""),"=",""),SUBSTITUTE(SUBSTITUTE(SUBSTITUTE(SUBSTITUTE(SUBSTITUTE(SUBSTITUTE(LOWER(TRIM(B177)),"~",""),"*",""),"?",""),"&lt;",""),"&gt;",""),"=","")))</f>
        <v/>
      </c>
      <c r="EA177" s="23" t="str">
        <f aca="false">IF(CW177="","",IFERROR(IF(LEFT(LOWER(TRIM(INDEX(Clay_Offices!$A$2:$FZ$601,CW177,Sync!$C$19)&amp;"")),4)="grp-",SUBSTITUTE(SUBSTITUTE(SUBSTITUTE(SUBSTITUTE(SUBSTITUTE(SUBSTITUTE(LOWER(TRIM(INDEX(Clay_Offices!$A$2:$FZ$601,CW177,Sync!$C$19)&amp;"")),"~",""),"*",""),"?",""),"&lt;",""),"&gt;",""),"=",""),""),""))</f>
        <v/>
      </c>
      <c r="EB177" s="23" t="str">
        <f aca="false">IF(EA177&lt;&gt;"",DZ177,"")</f>
        <v/>
      </c>
      <c r="EC177" s="23" t="str">
        <f aca="false">IF(BC177=1,AZ177,"")</f>
        <v/>
      </c>
      <c r="ED177" s="23" t="str">
        <f aca="false">IF(TRIM($A177)="","",IFERROR(INDEX($A$2:$A$201,MATCH(AZ177,$EC$2:$EC$201,0))&amp;"",$A177&amp;""))</f>
        <v/>
      </c>
      <c r="EE177" s="23" t="n">
        <f aca="false">IF(BB177=1,IF(COUNTIFS($A$2:$A$201,$A177,$BB$2:$BB$201,1,$H$2:$H$201,"&lt;"&amp;H177)+COUNTIFS($A$2:$A$201,$A177,$BB$2:$BB$201,1,$H$2:$H$201,H177,$BA$2:$BA$201,"&lt;"&amp;BA177)=0,1,0),0)</f>
        <v>0</v>
      </c>
      <c r="EF177" s="23" t="n">
        <f aca="false">IF(BC177=1,IF(COUNTIFS($AZ$2:$AZ$201,AZ177,$EE$2:$EE$201,1)&gt;1,1,0),0)</f>
        <v>0</v>
      </c>
      <c r="EG177" s="23" t="n">
        <f aca="false">IF(AND(CQ177=1),IF(COUNTIFS($AZ$2:$AZ$201,AZ177,$CQ$2:$CQ$201,1,$H$2:$H$201,"&gt;"&amp;H177)+COUNTIFS($AZ$2:$AZ$201,AZ177,$CQ$2:$CQ$201,1,$H$2:$H$201,H177,$BA$2:$BA$201,"&gt;"&amp;BA177)=0,1,0),0)</f>
        <v>0</v>
      </c>
      <c r="EH177" s="23" t="str">
        <f aca="false">IF(BB177=1,IF(COUNTIFS($AZ$2:$AZ$201,AZ177,$EG$2:$EG$201,1)=0,"",SUMIFS($O$2:$O$201,$AZ$2:$AZ$201,AZ177,$EG$2:$EG$201,1)),"")</f>
        <v/>
      </c>
      <c r="EI177" s="23" t="n">
        <f aca="false">IF(AND(ISNUMBER(EH177),OR(N(EH177)&lt;Config!$B$31,N(EH177)&gt;Config!$B$33)),1,0)</f>
        <v>0</v>
      </c>
      <c r="EJ177" s="23" t="n">
        <f aca="false">IF(AND(ISNUMBER(EH177),N(EH177)&gt;=Config!$B$31,N(EH177)&lt;Config!$B$32),1,0)</f>
        <v>0</v>
      </c>
      <c r="EK177" s="23" t="n">
        <f aca="false">IF(AND(BF177=1,INT(N(H177))&lt;=Config!$B$6,DH177=1,EI177=1),1,0)</f>
        <v>0</v>
      </c>
      <c r="EL177" s="23" t="n">
        <f aca="false">IF(AND(BF177=1,INT(N(H177))&lt;=Config!$B$7,DI177=1,EI177=1),1,0)</f>
        <v>0</v>
      </c>
      <c r="EM177" s="23" t="n">
        <f aca="false">IF(AND(BF177=1,INT(N(H177))&lt;=Config!$B$8,DJ177=1,EI177=1),1,0)</f>
        <v>0</v>
      </c>
      <c r="EN177" s="23" t="n">
        <f aca="false">IF(AND(BF177=1,INT(N(H177))&lt;=Config!$B$5,DK177=1,EI177=1),1,0)</f>
        <v>0</v>
      </c>
      <c r="EO177" s="23" t="n">
        <f aca="false">IF(AND(DL177=1,EJ177=1),1,0)</f>
        <v>0</v>
      </c>
      <c r="EP177" s="23" t="n">
        <f aca="false">IF(AND(DM177=1,EJ177=1),1,0)</f>
        <v>0</v>
      </c>
      <c r="EQ177" s="23" t="n">
        <f aca="false">IF(AND(DN177=1,EJ177=1),1,0)</f>
        <v>0</v>
      </c>
      <c r="ER177" s="23" t="n">
        <f aca="false">IF(AND(DO177=1,EJ177=1),1,0)</f>
        <v>0</v>
      </c>
    </row>
    <row r="178" customFormat="false" ht="15" hidden="false" customHeight="false" outlineLevel="0" collapsed="false">
      <c r="G178" s="32"/>
      <c r="H178" s="33"/>
      <c r="I178" s="32"/>
      <c r="L178" s="32"/>
      <c r="Q178" s="32"/>
      <c r="U178" s="32"/>
      <c r="W178" s="32"/>
      <c r="AC178" s="32"/>
      <c r="AF178" s="32"/>
      <c r="AI178" s="32"/>
      <c r="AJ178" s="32"/>
      <c r="AN178" s="32"/>
      <c r="AR178" s="32"/>
      <c r="AT178" s="32"/>
      <c r="AU178" s="32"/>
      <c r="AW178" s="32"/>
      <c r="AY178" s="34" t="str">
        <f aca="false">IF(TRIM($A178)="","",IF(AND(LEFT($A178,6)="SAMPLE",Config!$B$19&lt;&gt;"Y"),"",IF(NOT(ISNUMBER(H178)),"call_date is blank or not a date",IF(Sync!$C$5="","Clay paste is empty or has no row_id column: paste the Clay export on Clay_Offices",IF(CW178="","row_id not found in the Clay paste: add the Clay row or fix the row_id",IF(AND(ISNUMBER(CY178),CY178&gt;=1,CY178&lt;=5),"Clay status is "&amp;CX178&amp;": set call_done or later",IF(AND(BD178=1,CZ178&lt;&gt;BZ178),"Clay yes_in_principle should be "&amp;BZ178,IF(AND(BD178=1,DA178&lt;&gt;H178),"Clay call_date should be "&amp;TEXT(H178,"yyyy-mm-dd"),""))))))))</f>
        <v/>
      </c>
      <c r="AZ178" s="23" t="str">
        <f aca="false">IF(TRIM($A178)="","",IF(TRIM(C178)&lt;&gt;"",SUBSTITUTE(SUBSTITUTE(SUBSTITUTE(SUBSTITUTE(SUBSTITUTE(SUBSTITUTE(LOWER(TRIM(C178)),"~",""),"*",""),"?",""),"&lt;",""),"&gt;",""),"=",""),IF(EA178&lt;&gt;"",EA178,IFERROR(INDEX($EA$2:$EA$201,MATCH(DZ178,$EB$2:$EB$201,0)),DZ178))))</f>
        <v/>
      </c>
      <c r="BA178" s="23" t="n">
        <f aca="false">ROW()</f>
        <v>178</v>
      </c>
      <c r="BB178" s="23" t="n">
        <f aca="false">IF(AND(TRIM($A178)&lt;&gt;"",ISNUMBER(H178)),IF(AND(LEFT($A178,6)="SAMPLE",Config!$B$19&lt;&gt;"Y"),0,1),0)</f>
        <v>0</v>
      </c>
      <c r="BC178" s="23" t="n">
        <f aca="false">IF(BB178=1,IF(COUNTIFS($AZ$2:$AZ$201,AZ178,$BB$2:$BB$201,1,$H$2:$H$201,"&lt;"&amp;H178)+COUNTIFS($AZ$2:$AZ$201,AZ178,$BB$2:$BB$201,1,$H$2:$H$201,H178,$BA$2:$BA$201,"&lt;"&amp;BA178)=0,1,0),0)</f>
        <v>0</v>
      </c>
      <c r="BD178" s="23" t="n">
        <f aca="false">IF(BB178=1,IF(COUNTIFS($A$2:$A$201,$A178,$BB$2:$BB$201,1,$H$2:$H$201,"&gt;"&amp;H178)+COUNTIFS($A$2:$A$201,$A178,$BB$2:$BB$201,1,$H$2:$H$201,H178,$BA$2:$BA$201,"&gt;"&amp;BA178)=0,1,0),0)</f>
        <v>0</v>
      </c>
      <c r="BE178" s="23" t="n">
        <f aca="false">IF(AND(BB178=1,AR178="Y",AC178="Y",TRIM(AH178)&lt;&gt;""),1,0)</f>
        <v>0</v>
      </c>
      <c r="BF178" s="23" t="n">
        <f aca="false">IF(BE178=1,IF(COUNTIFS($AZ$2:$AZ$201,AZ178,$BE$2:$BE$201,1,$H$2:$H$201,"&lt;"&amp;H178)+COUNTIFS($AZ$2:$AZ$201,AZ178,$BE$2:$BE$201,1,$H$2:$H$201,H178,$BA$2:$BA$201,"&lt;"&amp;BA178)=0,1,0),0)</f>
        <v>0</v>
      </c>
      <c r="BG178" s="23" t="n">
        <f aca="false">IF(AND(BB178=1,AR178="Y",BE178=0),1,0)</f>
        <v>0</v>
      </c>
      <c r="BH178" s="23" t="n">
        <f aca="false">IF(AND(BB178=1,ISNUMBER(Y178)),1,0)</f>
        <v>0</v>
      </c>
      <c r="BI178" s="23" t="n">
        <f aca="false">IF(BH178=1,IF(COUNTIFS($AZ$2:$AZ$201,AZ178,$BH$2:$BH$201,1,$H$2:$H$201,"&lt;"&amp;H178)+COUNTIFS($AZ$2:$AZ$201,AZ178,$BH$2:$BH$201,1,$H$2:$H$201,H178,$BA$2:$BA$201,"&lt;"&amp;BA178)=0,1,0),0)</f>
        <v>0</v>
      </c>
      <c r="BJ178" s="23" t="str">
        <f aca="false">IF(AND(BI178=1,INT(N(H178))&lt;=Config!$B$6),Y178,"")</f>
        <v/>
      </c>
      <c r="BK178" s="23" t="str">
        <f aca="false">IF(AND(BI178=1,INT(N(H178))&lt;=Config!$B$7),Y178,"")</f>
        <v/>
      </c>
      <c r="BL178" s="23" t="str">
        <f aca="false">IF(AND(BI178=1,INT(N(H178))&lt;=Config!$B$8),Y178,"")</f>
        <v/>
      </c>
      <c r="BM178" s="23" t="str">
        <f aca="false">IF(AND(BI178=1,INT(N(H178))&lt;=Config!$B$5),Y178,"")</f>
        <v/>
      </c>
      <c r="BN178" s="23" t="n">
        <f aca="false">IF(CD178=1,IF(COUNTIFS($AZ$2:$AZ$201,AZ178,$CD$2:$CD$201,1,$H$2:$H$201,"&lt;"&amp;H178)+COUNTIFS($AZ$2:$AZ$201,AZ178,$CD$2:$CD$201,1,$H$2:$H$201,H178,$BA$2:$BA$201,"&lt;"&amp;BA178)=0,1,0),0)</f>
        <v>0</v>
      </c>
      <c r="BO178" s="23" t="n">
        <f aca="false">IF(AND(BB178=1,ISNUMBER(M178)),1,0)</f>
        <v>0</v>
      </c>
      <c r="BP178" s="23" t="n">
        <f aca="false">IF(BO178=1,IF(COUNTIFS($AZ$2:$AZ$201,AZ178,$BO$2:$BO$201,1,$H$2:$H$201,"&lt;"&amp;H178)+COUNTIFS($AZ$2:$AZ$201,AZ178,$BO$2:$BO$201,1,$H$2:$H$201,H178,$BA$2:$BA$201,"&lt;"&amp;BA178)=0,1,0),0)</f>
        <v>0</v>
      </c>
      <c r="BQ178" s="23" t="str">
        <f aca="false">IF(AND(BP178=1,INT(N(H178))&lt;=Config!$B$5),M178,"")</f>
        <v/>
      </c>
      <c r="BR178" s="23" t="n">
        <f aca="false">IF(AND(BB178=1,OR(TRIM(X178)&lt;&gt;"",ISNUMBER(Y178))),1,0)</f>
        <v>0</v>
      </c>
      <c r="BS178" s="23" t="n">
        <f aca="false">IF(BR178=1,IF(COUNTIFS($AZ$2:$AZ$201,AZ178,$BR$2:$BR$201,1,$H$2:$H$201,"&lt;"&amp;H178)+COUNTIFS($AZ$2:$AZ$201,AZ178,$BR$2:$BR$201,1,$H$2:$H$201,H178,$BA$2:$BA$201,"&lt;"&amp;BA178)=0,1,0),0)</f>
        <v>0</v>
      </c>
      <c r="BT178" s="23" t="str">
        <f aca="false">IF(BS178=1,AZ178,"")</f>
        <v/>
      </c>
      <c r="BU178" s="23" t="n">
        <f aca="false">IF(AND(BB178=1,W178="Y",TRIM(X178)=""),1,0)</f>
        <v>0</v>
      </c>
      <c r="BV178" s="23" t="str">
        <f aca="false">IF(BB178=1,AN178&amp;"","")</f>
        <v/>
      </c>
      <c r="BW178" s="23" t="str">
        <f aca="false">IF(BB178=1,AO178&amp;"","")</f>
        <v/>
      </c>
      <c r="BX178" s="23" t="str">
        <f aca="false">IF(BB178=1,AP178&amp;"","")</f>
        <v/>
      </c>
      <c r="BY178" s="23" t="str">
        <f aca="false">IF(AND(BB178=1,ISNUMBER(AV178),INT(N(H178))&lt;=Config!$B$5),AV178,"")</f>
        <v/>
      </c>
      <c r="BZ178" s="23" t="str">
        <f aca="false">IF(BB178=1,IF(COUNTIFS($A$2:$A$201,$A178,$DC$2:$DC$201,1,$AR$2:$AR$201,"Y")&gt;0,"Y","N"),"")</f>
        <v/>
      </c>
      <c r="CA178" s="23" t="n">
        <f aca="false">IF(AND(BB178=1,AR178="maybe"),1,0)</f>
        <v>0</v>
      </c>
      <c r="CB178" s="23" t="n">
        <f aca="false">IF(CA178=1,IF(COUNTIFS($AZ$2:$AZ$201,AZ178,$CA$2:$CA$201,1,$H$2:$H$201,"&lt;"&amp;H178)+COUNTIFS($AZ$2:$AZ$201,AZ178,$CA$2:$CA$201,1,$H$2:$H$201,H178,$BA$2:$BA$201,"&lt;"&amp;BA178)=0,1,0),0)</f>
        <v>0</v>
      </c>
      <c r="CC178" s="23" t="n">
        <f aca="false">IF(AND(BB178=1,AR178="Y"),IF(COUNTIFS($AZ$2:$AZ$201,AZ178,$AR$2:$AR$201,"Y",$BB$2:$BB$201,1,$H$2:$H$201,"&lt;"&amp;H178)+COUNTIFS($AZ$2:$AZ$201,AZ178,$AR$2:$AR$201,"Y",$BB$2:$BB$201,1,$H$2:$H$201,H178,$BA$2:$BA$201,"&lt;"&amp;BA178)=0,1,0),0)</f>
        <v>0</v>
      </c>
      <c r="CD178" s="23" t="n">
        <f aca="false">IF(AND(BH178=1,N(Y178)&gt;=Config!$B$15),1,0)</f>
        <v>0</v>
      </c>
      <c r="CE178" s="23" t="n">
        <f aca="false">IF(AND(BB178=1,AT178="Y"),1,0)</f>
        <v>0</v>
      </c>
      <c r="CF178" s="23" t="n">
        <f aca="false">IF(CE178=1,IF(COUNTIFS($AZ$2:$AZ$201,AZ178,$CE$2:$CE$201,1,$H$2:$H$201,"&lt;"&amp;H178)+COUNTIFS($AZ$2:$AZ$201,AZ178,$CE$2:$CE$201,1,$H$2:$H$201,H178,$BA$2:$BA$201,"&lt;"&amp;BA178)=0,1,0),0)</f>
        <v>0</v>
      </c>
      <c r="CG178" s="23" t="n">
        <f aca="false">IF(AND(BB178=1,G178="warm-intro"),1,0)</f>
        <v>0</v>
      </c>
      <c r="CH178" s="23" t="n">
        <f aca="false">IF(CG178=1,IF(COUNTIFS($AZ$2:$AZ$201,AZ178,$CG$2:$CG$201,1,$H$2:$H$201,"&lt;"&amp;H178)+COUNTIFS($AZ$2:$AZ$201,AZ178,$CG$2:$CG$201,1,$H$2:$H$201,H178,$BA$2:$BA$201,"&lt;"&amp;BA178)=0,1,0),0)</f>
        <v>0</v>
      </c>
      <c r="CI178" s="23" t="n">
        <f aca="false">IF(AND(BB178=1,Q178="Y"),1,0)</f>
        <v>0</v>
      </c>
      <c r="CJ178" s="23" t="n">
        <f aca="false">IF(CI178=1,IF(COUNTIFS($AZ$2:$AZ$201,AZ178,$CI$2:$CI$201,1,$H$2:$H$201,"&lt;"&amp;H178)+COUNTIFS($AZ$2:$AZ$201,AZ178,$CI$2:$CI$201,1,$H$2:$H$201,H178,$BA$2:$BA$201,"&lt;"&amp;BA178)=0,1,0),0)</f>
        <v>0</v>
      </c>
      <c r="CK178" s="23" t="n">
        <f aca="false">IF(AND(BB178=1,AF178="Y"),1,0)</f>
        <v>0</v>
      </c>
      <c r="CL178" s="23" t="n">
        <f aca="false">IF(CK178=1,IF(COUNTIFS($AZ$2:$AZ$201,AZ178,$CK$2:$CK$201,1,$H$2:$H$201,"&lt;"&amp;H178)+COUNTIFS($AZ$2:$AZ$201,AZ178,$CK$2:$CK$201,1,$H$2:$H$201,H178,$BA$2:$BA$201,"&lt;"&amp;BA178)=0,1,0),0)</f>
        <v>0</v>
      </c>
      <c r="CM178" s="23" t="n">
        <f aca="false">IF(AND(BB178=1,U178="Y"),1,0)</f>
        <v>0</v>
      </c>
      <c r="CN178" s="23" t="n">
        <f aca="false">IF(CM178=1,IF(COUNTIFS($AZ$2:$AZ$201,AZ178,$CM$2:$CM$201,1,$H$2:$H$201,"&lt;"&amp;H178)+COUNTIFS($AZ$2:$AZ$201,AZ178,$CM$2:$CM$201,1,$H$2:$H$201,H178,$BA$2:$BA$201,"&lt;"&amp;BA178)=0,1,0),0)</f>
        <v>0</v>
      </c>
      <c r="CO178" s="23" t="n">
        <f aca="false">IF(AND(BB178=1,L178="Y"),1,0)</f>
        <v>0</v>
      </c>
      <c r="CP178" s="23" t="n">
        <f aca="false">IF(CO178=1,IF(COUNTIFS($AZ$2:$AZ$201,AZ178,$CO$2:$CO$201,1,$H$2:$H$201,"&lt;"&amp;H178)+COUNTIFS($AZ$2:$AZ$201,AZ178,$CO$2:$CO$201,1,$H$2:$H$201,H178,$BA$2:$BA$201,"&lt;"&amp;BA178)=0,1,0),0)</f>
        <v>0</v>
      </c>
      <c r="CQ178" s="23" t="n">
        <f aca="false">IF(AND(BB178=1,ISNUMBER(O178)),1,0)</f>
        <v>0</v>
      </c>
      <c r="CR178" s="23" t="n">
        <f aca="false">IF(CQ178=1,IF(COUNTIFS($AZ$2:$AZ$201,AZ178,$CQ$2:$CQ$201,1,$H$2:$H$201,"&lt;"&amp;H178)+COUNTIFS($AZ$2:$AZ$201,AZ178,$CQ$2:$CQ$201,1,$H$2:$H$201,H178,$BA$2:$BA$201,"&lt;"&amp;BA178)=0,1,0),0)</f>
        <v>0</v>
      </c>
      <c r="CS178" s="23" t="str">
        <f aca="false">IF(AND(CR178=1,INT(N(H178))&lt;=Config!$B$5),O178,"")</f>
        <v/>
      </c>
      <c r="CT178" s="23" t="str">
        <f aca="false">IF(AND(BB178=1,INT(N(H178))&lt;=Config!$B$5),AG178&amp;"","")</f>
        <v/>
      </c>
      <c r="CU178" s="23" t="n">
        <f aca="false">IF(AND(BB178=1,AU178="Y"),1,0)</f>
        <v>0</v>
      </c>
      <c r="CV178" s="23" t="n">
        <f aca="false">IF(CU178=1,IF(COUNTIFS($AZ$2:$AZ$201,AZ178,$CU$2:$CU$201,1,$H$2:$H$201,"&lt;"&amp;H178)+COUNTIFS($AZ$2:$AZ$201,AZ178,$CU$2:$CU$201,1,$H$2:$H$201,H178,$BA$2:$BA$201,"&lt;"&amp;BA178)=0,1,0),0)</f>
        <v>0</v>
      </c>
      <c r="CW178" s="23" t="str">
        <f aca="false">IF(BB178=1,IFERROR(MATCH($A178,INDEX(Clay_Offices!$A$2:$FZ$601,0,Sync!$C$5),0),""),"")</f>
        <v/>
      </c>
      <c r="CX178" s="23" t="str">
        <f aca="false">IF(CW178="","",IFERROR(INDEX(Clay_Offices!$A$2:$FZ$601,CW178,Sync!$C$7)&amp;"",""))</f>
        <v/>
      </c>
      <c r="CY178" s="23" t="str">
        <f aca="false">IF(CX178="","",IFERROR(INDEX(Lists!$K$2:$K$15,MATCH(CX178,Lists!$J$2:$J$15,0)),""))</f>
        <v/>
      </c>
      <c r="CZ178" s="23" t="str">
        <f aca="false">IF(CW178="","",IFERROR(INDEX(Clay_Offices!$A$2:$FZ$601,CW178,Sync!$C$17)&amp;"",""))</f>
        <v/>
      </c>
      <c r="DA178" s="35" t="str">
        <f aca="false">IF(CW178="","",IFERROR(N(INDEX(Clay_Offices!$A$2:$FZ$601,CW178,Sync!$C$16)),0))</f>
        <v/>
      </c>
      <c r="DB178" s="23" t="n">
        <f aca="false">IF(AND(BB178=1,OR(AR178="Y",AR178="N",AR178="maybe")),1,0)</f>
        <v>0</v>
      </c>
      <c r="DC178" s="23" t="n">
        <f aca="false">IF(AND(DB178=1),IF(COUNTIFS($A$2:$A$201,$A178,$DB$2:$DB$201,1,$H$2:$H$201,"&gt;"&amp;H178)+COUNTIFS($A$2:$A$201,$A178,$DB$2:$DB$201,1,$H$2:$H$201,H178,$BA$2:$BA$201,"&gt;"&amp;BA178)=0,1,0),0)</f>
        <v>0</v>
      </c>
      <c r="DD178" s="23" t="n">
        <f aca="false">IF(AND(DB178=1,INT(N(H178))&lt;=Config!$B$6),IF(COUNTIFS($AZ$2:$AZ$201,AZ178,$DB$2:$DB$201,1,$H$2:$H$201,"&gt;"&amp;H178,$H$2:$H$201,"&lt;"&amp;(Config!$B$6+1))+COUNTIFS($AZ$2:$AZ$201,AZ178,$DB$2:$DB$201,1,$H$2:$H$201,H178,$BA$2:$BA$201,"&gt;"&amp;BA178)=0,1,0),0)</f>
        <v>0</v>
      </c>
      <c r="DE178" s="23" t="n">
        <f aca="false">IF(AND(DB178=1,INT(N(H178))&lt;=Config!$B$7),IF(COUNTIFS($AZ$2:$AZ$201,AZ178,$DB$2:$DB$201,1,$H$2:$H$201,"&gt;"&amp;H178,$H$2:$H$201,"&lt;"&amp;(Config!$B$7+1))+COUNTIFS($AZ$2:$AZ$201,AZ178,$DB$2:$DB$201,1,$H$2:$H$201,H178,$BA$2:$BA$201,"&gt;"&amp;BA178)=0,1,0),0)</f>
        <v>0</v>
      </c>
      <c r="DF178" s="23" t="n">
        <f aca="false">IF(AND(DB178=1,INT(N(H178))&lt;=Config!$B$8),IF(COUNTIFS($AZ$2:$AZ$201,AZ178,$DB$2:$DB$201,1,$H$2:$H$201,"&gt;"&amp;H178,$H$2:$H$201,"&lt;"&amp;(Config!$B$8+1))+COUNTIFS($AZ$2:$AZ$201,AZ178,$DB$2:$DB$201,1,$H$2:$H$201,H178,$BA$2:$BA$201,"&gt;"&amp;BA178)=0,1,0),0)</f>
        <v>0</v>
      </c>
      <c r="DG178" s="23" t="n">
        <f aca="false">IF(AND(DB178=1,INT(N(H178))&lt;=Config!$B$5),IF(COUNTIFS($AZ$2:$AZ$201,AZ178,$DB$2:$DB$201,1,$H$2:$H$201,"&gt;"&amp;H178,$H$2:$H$201,"&lt;"&amp;(Config!$B$5+1))+COUNTIFS($AZ$2:$AZ$201,AZ178,$DB$2:$DB$201,1,$H$2:$H$201,H178,$BA$2:$BA$201,"&gt;"&amp;BA178)=0,1,0),0)</f>
        <v>0</v>
      </c>
      <c r="DH178" s="23" t="n">
        <f aca="false">IF(BB178=1,IF(COUNTIFS($AZ$2:$AZ$201,AZ178,$DD$2:$DD$201,1,$AR$2:$AR$201,"Y")&gt;0,1,0),0)</f>
        <v>0</v>
      </c>
      <c r="DI178" s="23" t="n">
        <f aca="false">IF(BB178=1,IF(COUNTIFS($AZ$2:$AZ$201,AZ178,$DE$2:$DE$201,1,$AR$2:$AR$201,"Y")&gt;0,1,0),0)</f>
        <v>0</v>
      </c>
      <c r="DJ178" s="23" t="n">
        <f aca="false">IF(BB178=1,IF(COUNTIFS($AZ$2:$AZ$201,AZ178,$DF$2:$DF$201,1,$AR$2:$AR$201,"Y")&gt;0,1,0),0)</f>
        <v>0</v>
      </c>
      <c r="DK178" s="23" t="n">
        <f aca="false">IF(BB178=1,IF(COUNTIFS($AZ$2:$AZ$201,AZ178,$DG$2:$DG$201,1,$AR$2:$AR$201,"Y")&gt;0,1,0),0)</f>
        <v>0</v>
      </c>
      <c r="DL178" s="23" t="n">
        <f aca="false">IF(AND(BF178=1,INT(N(H178))&lt;=Config!$B$6,DH178=1,EI178=0),1,0)</f>
        <v>0</v>
      </c>
      <c r="DM178" s="23" t="n">
        <f aca="false">IF(AND(BF178=1,INT(N(H178))&lt;=Config!$B$7,DI178=1,EI178=0),1,0)</f>
        <v>0</v>
      </c>
      <c r="DN178" s="23" t="n">
        <f aca="false">IF(AND(BF178=1,INT(N(H178))&lt;=Config!$B$8,DJ178=1,EI178=0),1,0)</f>
        <v>0</v>
      </c>
      <c r="DO178" s="23" t="n">
        <f aca="false">IF(AND(BF178=1,INT(N(H178))&lt;=Config!$B$5,DK178=1,EI178=0),1,0)</f>
        <v>0</v>
      </c>
      <c r="DP178" s="23" t="n">
        <f aca="false">IF(AND(CC178=1,INT(N(H178))&lt;=Config!$B$6,DH178=1,EI178=0),1,0)</f>
        <v>0</v>
      </c>
      <c r="DQ178" s="23" t="n">
        <f aca="false">IF(AND(CC178=1,INT(N(H178))&lt;=Config!$B$7,DI178=1,EI178=0),1,0)</f>
        <v>0</v>
      </c>
      <c r="DR178" s="23" t="n">
        <f aca="false">IF(AND(CC178=1,INT(N(H178))&lt;=Config!$B$8,DJ178=1,EI178=0),1,0)</f>
        <v>0</v>
      </c>
      <c r="DS178" s="23" t="n">
        <f aca="false">IF(AND(CC178=1,INT(N(H178))&lt;=Config!$B$5,DK178=1,EI178=0),1,0)</f>
        <v>0</v>
      </c>
      <c r="DT178" s="23" t="n">
        <f aca="false">IF(AND(CC178=1,INT(N(H178))&lt;=Config!$B$6,DH178=0),1,0)</f>
        <v>0</v>
      </c>
      <c r="DU178" s="23" t="n">
        <f aca="false">IF(AND(CC178=1,INT(N(H178))&lt;=Config!$B$7,DI178=0),1,0)</f>
        <v>0</v>
      </c>
      <c r="DV178" s="23" t="n">
        <f aca="false">IF(AND(CC178=1,INT(N(H178))&lt;=Config!$B$8,DJ178=0),1,0)</f>
        <v>0</v>
      </c>
      <c r="DW178" s="23" t="n">
        <f aca="false">IF(AND(CC178=1,INT(N(H178))&lt;=Config!$B$5,DK178=0),1,0)</f>
        <v>0</v>
      </c>
      <c r="DX178" s="23" t="n">
        <f aca="false">IF(TRIM($A178)="",0,ISTEXT(M178)+ISTEXT(O178)+ISTEXT(Y178)+ISTEXT(Z178)+ISTEXT(AA178)+ISTEXT(AV178))</f>
        <v>0</v>
      </c>
      <c r="DY178" s="23" t="n">
        <f aca="false">IF(BB178=1,IF(H178&lt;&gt;INT(H178),1,0),0)</f>
        <v>0</v>
      </c>
      <c r="DZ178" s="23" t="str">
        <f aca="false">IF(TRIM($A178)="","",IF(TRIM(B178)="",SUBSTITUTE(SUBSTITUTE(SUBSTITUTE(SUBSTITUTE(SUBSTITUTE(SUBSTITUTE(LOWER(TRIM($A178)),"~",""),"*",""),"?",""),"&lt;",""),"&gt;",""),"=",""),SUBSTITUTE(SUBSTITUTE(SUBSTITUTE(SUBSTITUTE(SUBSTITUTE(SUBSTITUTE(LOWER(TRIM(B178)),"~",""),"*",""),"?",""),"&lt;",""),"&gt;",""),"=","")))</f>
        <v/>
      </c>
      <c r="EA178" s="23" t="str">
        <f aca="false">IF(CW178="","",IFERROR(IF(LEFT(LOWER(TRIM(INDEX(Clay_Offices!$A$2:$FZ$601,CW178,Sync!$C$19)&amp;"")),4)="grp-",SUBSTITUTE(SUBSTITUTE(SUBSTITUTE(SUBSTITUTE(SUBSTITUTE(SUBSTITUTE(LOWER(TRIM(INDEX(Clay_Offices!$A$2:$FZ$601,CW178,Sync!$C$19)&amp;"")),"~",""),"*",""),"?",""),"&lt;",""),"&gt;",""),"=",""),""),""))</f>
        <v/>
      </c>
      <c r="EB178" s="23" t="str">
        <f aca="false">IF(EA178&lt;&gt;"",DZ178,"")</f>
        <v/>
      </c>
      <c r="EC178" s="23" t="str">
        <f aca="false">IF(BC178=1,AZ178,"")</f>
        <v/>
      </c>
      <c r="ED178" s="23" t="str">
        <f aca="false">IF(TRIM($A178)="","",IFERROR(INDEX($A$2:$A$201,MATCH(AZ178,$EC$2:$EC$201,0))&amp;"",$A178&amp;""))</f>
        <v/>
      </c>
      <c r="EE178" s="23" t="n">
        <f aca="false">IF(BB178=1,IF(COUNTIFS($A$2:$A$201,$A178,$BB$2:$BB$201,1,$H$2:$H$201,"&lt;"&amp;H178)+COUNTIFS($A$2:$A$201,$A178,$BB$2:$BB$201,1,$H$2:$H$201,H178,$BA$2:$BA$201,"&lt;"&amp;BA178)=0,1,0),0)</f>
        <v>0</v>
      </c>
      <c r="EF178" s="23" t="n">
        <f aca="false">IF(BC178=1,IF(COUNTIFS($AZ$2:$AZ$201,AZ178,$EE$2:$EE$201,1)&gt;1,1,0),0)</f>
        <v>0</v>
      </c>
      <c r="EG178" s="23" t="n">
        <f aca="false">IF(AND(CQ178=1),IF(COUNTIFS($AZ$2:$AZ$201,AZ178,$CQ$2:$CQ$201,1,$H$2:$H$201,"&gt;"&amp;H178)+COUNTIFS($AZ$2:$AZ$201,AZ178,$CQ$2:$CQ$201,1,$H$2:$H$201,H178,$BA$2:$BA$201,"&gt;"&amp;BA178)=0,1,0),0)</f>
        <v>0</v>
      </c>
      <c r="EH178" s="23" t="str">
        <f aca="false">IF(BB178=1,IF(COUNTIFS($AZ$2:$AZ$201,AZ178,$EG$2:$EG$201,1)=0,"",SUMIFS($O$2:$O$201,$AZ$2:$AZ$201,AZ178,$EG$2:$EG$201,1)),"")</f>
        <v/>
      </c>
      <c r="EI178" s="23" t="n">
        <f aca="false">IF(AND(ISNUMBER(EH178),OR(N(EH178)&lt;Config!$B$31,N(EH178)&gt;Config!$B$33)),1,0)</f>
        <v>0</v>
      </c>
      <c r="EJ178" s="23" t="n">
        <f aca="false">IF(AND(ISNUMBER(EH178),N(EH178)&gt;=Config!$B$31,N(EH178)&lt;Config!$B$32),1,0)</f>
        <v>0</v>
      </c>
      <c r="EK178" s="23" t="n">
        <f aca="false">IF(AND(BF178=1,INT(N(H178))&lt;=Config!$B$6,DH178=1,EI178=1),1,0)</f>
        <v>0</v>
      </c>
      <c r="EL178" s="23" t="n">
        <f aca="false">IF(AND(BF178=1,INT(N(H178))&lt;=Config!$B$7,DI178=1,EI178=1),1,0)</f>
        <v>0</v>
      </c>
      <c r="EM178" s="23" t="n">
        <f aca="false">IF(AND(BF178=1,INT(N(H178))&lt;=Config!$B$8,DJ178=1,EI178=1),1,0)</f>
        <v>0</v>
      </c>
      <c r="EN178" s="23" t="n">
        <f aca="false">IF(AND(BF178=1,INT(N(H178))&lt;=Config!$B$5,DK178=1,EI178=1),1,0)</f>
        <v>0</v>
      </c>
      <c r="EO178" s="23" t="n">
        <f aca="false">IF(AND(DL178=1,EJ178=1),1,0)</f>
        <v>0</v>
      </c>
      <c r="EP178" s="23" t="n">
        <f aca="false">IF(AND(DM178=1,EJ178=1),1,0)</f>
        <v>0</v>
      </c>
      <c r="EQ178" s="23" t="n">
        <f aca="false">IF(AND(DN178=1,EJ178=1),1,0)</f>
        <v>0</v>
      </c>
      <c r="ER178" s="23" t="n">
        <f aca="false">IF(AND(DO178=1,EJ178=1),1,0)</f>
        <v>0</v>
      </c>
    </row>
    <row r="179" customFormat="false" ht="15" hidden="false" customHeight="false" outlineLevel="0" collapsed="false">
      <c r="G179" s="32"/>
      <c r="H179" s="33"/>
      <c r="I179" s="32"/>
      <c r="L179" s="32"/>
      <c r="Q179" s="32"/>
      <c r="U179" s="32"/>
      <c r="W179" s="32"/>
      <c r="AC179" s="32"/>
      <c r="AF179" s="32"/>
      <c r="AI179" s="32"/>
      <c r="AJ179" s="32"/>
      <c r="AN179" s="32"/>
      <c r="AR179" s="32"/>
      <c r="AT179" s="32"/>
      <c r="AU179" s="32"/>
      <c r="AW179" s="32"/>
      <c r="AY179" s="34" t="str">
        <f aca="false">IF(TRIM($A179)="","",IF(AND(LEFT($A179,6)="SAMPLE",Config!$B$19&lt;&gt;"Y"),"",IF(NOT(ISNUMBER(H179)),"call_date is blank or not a date",IF(Sync!$C$5="","Clay paste is empty or has no row_id column: paste the Clay export on Clay_Offices",IF(CW179="","row_id not found in the Clay paste: add the Clay row or fix the row_id",IF(AND(ISNUMBER(CY179),CY179&gt;=1,CY179&lt;=5),"Clay status is "&amp;CX179&amp;": set call_done or later",IF(AND(BD179=1,CZ179&lt;&gt;BZ179),"Clay yes_in_principle should be "&amp;BZ179,IF(AND(BD179=1,DA179&lt;&gt;H179),"Clay call_date should be "&amp;TEXT(H179,"yyyy-mm-dd"),""))))))))</f>
        <v/>
      </c>
      <c r="AZ179" s="23" t="str">
        <f aca="false">IF(TRIM($A179)="","",IF(TRIM(C179)&lt;&gt;"",SUBSTITUTE(SUBSTITUTE(SUBSTITUTE(SUBSTITUTE(SUBSTITUTE(SUBSTITUTE(LOWER(TRIM(C179)),"~",""),"*",""),"?",""),"&lt;",""),"&gt;",""),"=",""),IF(EA179&lt;&gt;"",EA179,IFERROR(INDEX($EA$2:$EA$201,MATCH(DZ179,$EB$2:$EB$201,0)),DZ179))))</f>
        <v/>
      </c>
      <c r="BA179" s="23" t="n">
        <f aca="false">ROW()</f>
        <v>179</v>
      </c>
      <c r="BB179" s="23" t="n">
        <f aca="false">IF(AND(TRIM($A179)&lt;&gt;"",ISNUMBER(H179)),IF(AND(LEFT($A179,6)="SAMPLE",Config!$B$19&lt;&gt;"Y"),0,1),0)</f>
        <v>0</v>
      </c>
      <c r="BC179" s="23" t="n">
        <f aca="false">IF(BB179=1,IF(COUNTIFS($AZ$2:$AZ$201,AZ179,$BB$2:$BB$201,1,$H$2:$H$201,"&lt;"&amp;H179)+COUNTIFS($AZ$2:$AZ$201,AZ179,$BB$2:$BB$201,1,$H$2:$H$201,H179,$BA$2:$BA$201,"&lt;"&amp;BA179)=0,1,0),0)</f>
        <v>0</v>
      </c>
      <c r="BD179" s="23" t="n">
        <f aca="false">IF(BB179=1,IF(COUNTIFS($A$2:$A$201,$A179,$BB$2:$BB$201,1,$H$2:$H$201,"&gt;"&amp;H179)+COUNTIFS($A$2:$A$201,$A179,$BB$2:$BB$201,1,$H$2:$H$201,H179,$BA$2:$BA$201,"&gt;"&amp;BA179)=0,1,0),0)</f>
        <v>0</v>
      </c>
      <c r="BE179" s="23" t="n">
        <f aca="false">IF(AND(BB179=1,AR179="Y",AC179="Y",TRIM(AH179)&lt;&gt;""),1,0)</f>
        <v>0</v>
      </c>
      <c r="BF179" s="23" t="n">
        <f aca="false">IF(BE179=1,IF(COUNTIFS($AZ$2:$AZ$201,AZ179,$BE$2:$BE$201,1,$H$2:$H$201,"&lt;"&amp;H179)+COUNTIFS($AZ$2:$AZ$201,AZ179,$BE$2:$BE$201,1,$H$2:$H$201,H179,$BA$2:$BA$201,"&lt;"&amp;BA179)=0,1,0),0)</f>
        <v>0</v>
      </c>
      <c r="BG179" s="23" t="n">
        <f aca="false">IF(AND(BB179=1,AR179="Y",BE179=0),1,0)</f>
        <v>0</v>
      </c>
      <c r="BH179" s="23" t="n">
        <f aca="false">IF(AND(BB179=1,ISNUMBER(Y179)),1,0)</f>
        <v>0</v>
      </c>
      <c r="BI179" s="23" t="n">
        <f aca="false">IF(BH179=1,IF(COUNTIFS($AZ$2:$AZ$201,AZ179,$BH$2:$BH$201,1,$H$2:$H$201,"&lt;"&amp;H179)+COUNTIFS($AZ$2:$AZ$201,AZ179,$BH$2:$BH$201,1,$H$2:$H$201,H179,$BA$2:$BA$201,"&lt;"&amp;BA179)=0,1,0),0)</f>
        <v>0</v>
      </c>
      <c r="BJ179" s="23" t="str">
        <f aca="false">IF(AND(BI179=1,INT(N(H179))&lt;=Config!$B$6),Y179,"")</f>
        <v/>
      </c>
      <c r="BK179" s="23" t="str">
        <f aca="false">IF(AND(BI179=1,INT(N(H179))&lt;=Config!$B$7),Y179,"")</f>
        <v/>
      </c>
      <c r="BL179" s="23" t="str">
        <f aca="false">IF(AND(BI179=1,INT(N(H179))&lt;=Config!$B$8),Y179,"")</f>
        <v/>
      </c>
      <c r="BM179" s="23" t="str">
        <f aca="false">IF(AND(BI179=1,INT(N(H179))&lt;=Config!$B$5),Y179,"")</f>
        <v/>
      </c>
      <c r="BN179" s="23" t="n">
        <f aca="false">IF(CD179=1,IF(COUNTIFS($AZ$2:$AZ$201,AZ179,$CD$2:$CD$201,1,$H$2:$H$201,"&lt;"&amp;H179)+COUNTIFS($AZ$2:$AZ$201,AZ179,$CD$2:$CD$201,1,$H$2:$H$201,H179,$BA$2:$BA$201,"&lt;"&amp;BA179)=0,1,0),0)</f>
        <v>0</v>
      </c>
      <c r="BO179" s="23" t="n">
        <f aca="false">IF(AND(BB179=1,ISNUMBER(M179)),1,0)</f>
        <v>0</v>
      </c>
      <c r="BP179" s="23" t="n">
        <f aca="false">IF(BO179=1,IF(COUNTIFS($AZ$2:$AZ$201,AZ179,$BO$2:$BO$201,1,$H$2:$H$201,"&lt;"&amp;H179)+COUNTIFS($AZ$2:$AZ$201,AZ179,$BO$2:$BO$201,1,$H$2:$H$201,H179,$BA$2:$BA$201,"&lt;"&amp;BA179)=0,1,0),0)</f>
        <v>0</v>
      </c>
      <c r="BQ179" s="23" t="str">
        <f aca="false">IF(AND(BP179=1,INT(N(H179))&lt;=Config!$B$5),M179,"")</f>
        <v/>
      </c>
      <c r="BR179" s="23" t="n">
        <f aca="false">IF(AND(BB179=1,OR(TRIM(X179)&lt;&gt;"",ISNUMBER(Y179))),1,0)</f>
        <v>0</v>
      </c>
      <c r="BS179" s="23" t="n">
        <f aca="false">IF(BR179=1,IF(COUNTIFS($AZ$2:$AZ$201,AZ179,$BR$2:$BR$201,1,$H$2:$H$201,"&lt;"&amp;H179)+COUNTIFS($AZ$2:$AZ$201,AZ179,$BR$2:$BR$201,1,$H$2:$H$201,H179,$BA$2:$BA$201,"&lt;"&amp;BA179)=0,1,0),0)</f>
        <v>0</v>
      </c>
      <c r="BT179" s="23" t="str">
        <f aca="false">IF(BS179=1,AZ179,"")</f>
        <v/>
      </c>
      <c r="BU179" s="23" t="n">
        <f aca="false">IF(AND(BB179=1,W179="Y",TRIM(X179)=""),1,0)</f>
        <v>0</v>
      </c>
      <c r="BV179" s="23" t="str">
        <f aca="false">IF(BB179=1,AN179&amp;"","")</f>
        <v/>
      </c>
      <c r="BW179" s="23" t="str">
        <f aca="false">IF(BB179=1,AO179&amp;"","")</f>
        <v/>
      </c>
      <c r="BX179" s="23" t="str">
        <f aca="false">IF(BB179=1,AP179&amp;"","")</f>
        <v/>
      </c>
      <c r="BY179" s="23" t="str">
        <f aca="false">IF(AND(BB179=1,ISNUMBER(AV179),INT(N(H179))&lt;=Config!$B$5),AV179,"")</f>
        <v/>
      </c>
      <c r="BZ179" s="23" t="str">
        <f aca="false">IF(BB179=1,IF(COUNTIFS($A$2:$A$201,$A179,$DC$2:$DC$201,1,$AR$2:$AR$201,"Y")&gt;0,"Y","N"),"")</f>
        <v/>
      </c>
      <c r="CA179" s="23" t="n">
        <f aca="false">IF(AND(BB179=1,AR179="maybe"),1,0)</f>
        <v>0</v>
      </c>
      <c r="CB179" s="23" t="n">
        <f aca="false">IF(CA179=1,IF(COUNTIFS($AZ$2:$AZ$201,AZ179,$CA$2:$CA$201,1,$H$2:$H$201,"&lt;"&amp;H179)+COUNTIFS($AZ$2:$AZ$201,AZ179,$CA$2:$CA$201,1,$H$2:$H$201,H179,$BA$2:$BA$201,"&lt;"&amp;BA179)=0,1,0),0)</f>
        <v>0</v>
      </c>
      <c r="CC179" s="23" t="n">
        <f aca="false">IF(AND(BB179=1,AR179="Y"),IF(COUNTIFS($AZ$2:$AZ$201,AZ179,$AR$2:$AR$201,"Y",$BB$2:$BB$201,1,$H$2:$H$201,"&lt;"&amp;H179)+COUNTIFS($AZ$2:$AZ$201,AZ179,$AR$2:$AR$201,"Y",$BB$2:$BB$201,1,$H$2:$H$201,H179,$BA$2:$BA$201,"&lt;"&amp;BA179)=0,1,0),0)</f>
        <v>0</v>
      </c>
      <c r="CD179" s="23" t="n">
        <f aca="false">IF(AND(BH179=1,N(Y179)&gt;=Config!$B$15),1,0)</f>
        <v>0</v>
      </c>
      <c r="CE179" s="23" t="n">
        <f aca="false">IF(AND(BB179=1,AT179="Y"),1,0)</f>
        <v>0</v>
      </c>
      <c r="CF179" s="23" t="n">
        <f aca="false">IF(CE179=1,IF(COUNTIFS($AZ$2:$AZ$201,AZ179,$CE$2:$CE$201,1,$H$2:$H$201,"&lt;"&amp;H179)+COUNTIFS($AZ$2:$AZ$201,AZ179,$CE$2:$CE$201,1,$H$2:$H$201,H179,$BA$2:$BA$201,"&lt;"&amp;BA179)=0,1,0),0)</f>
        <v>0</v>
      </c>
      <c r="CG179" s="23" t="n">
        <f aca="false">IF(AND(BB179=1,G179="warm-intro"),1,0)</f>
        <v>0</v>
      </c>
      <c r="CH179" s="23" t="n">
        <f aca="false">IF(CG179=1,IF(COUNTIFS($AZ$2:$AZ$201,AZ179,$CG$2:$CG$201,1,$H$2:$H$201,"&lt;"&amp;H179)+COUNTIFS($AZ$2:$AZ$201,AZ179,$CG$2:$CG$201,1,$H$2:$H$201,H179,$BA$2:$BA$201,"&lt;"&amp;BA179)=0,1,0),0)</f>
        <v>0</v>
      </c>
      <c r="CI179" s="23" t="n">
        <f aca="false">IF(AND(BB179=1,Q179="Y"),1,0)</f>
        <v>0</v>
      </c>
      <c r="CJ179" s="23" t="n">
        <f aca="false">IF(CI179=1,IF(COUNTIFS($AZ$2:$AZ$201,AZ179,$CI$2:$CI$201,1,$H$2:$H$201,"&lt;"&amp;H179)+COUNTIFS($AZ$2:$AZ$201,AZ179,$CI$2:$CI$201,1,$H$2:$H$201,H179,$BA$2:$BA$201,"&lt;"&amp;BA179)=0,1,0),0)</f>
        <v>0</v>
      </c>
      <c r="CK179" s="23" t="n">
        <f aca="false">IF(AND(BB179=1,AF179="Y"),1,0)</f>
        <v>0</v>
      </c>
      <c r="CL179" s="23" t="n">
        <f aca="false">IF(CK179=1,IF(COUNTIFS($AZ$2:$AZ$201,AZ179,$CK$2:$CK$201,1,$H$2:$H$201,"&lt;"&amp;H179)+COUNTIFS($AZ$2:$AZ$201,AZ179,$CK$2:$CK$201,1,$H$2:$H$201,H179,$BA$2:$BA$201,"&lt;"&amp;BA179)=0,1,0),0)</f>
        <v>0</v>
      </c>
      <c r="CM179" s="23" t="n">
        <f aca="false">IF(AND(BB179=1,U179="Y"),1,0)</f>
        <v>0</v>
      </c>
      <c r="CN179" s="23" t="n">
        <f aca="false">IF(CM179=1,IF(COUNTIFS($AZ$2:$AZ$201,AZ179,$CM$2:$CM$201,1,$H$2:$H$201,"&lt;"&amp;H179)+COUNTIFS($AZ$2:$AZ$201,AZ179,$CM$2:$CM$201,1,$H$2:$H$201,H179,$BA$2:$BA$201,"&lt;"&amp;BA179)=0,1,0),0)</f>
        <v>0</v>
      </c>
      <c r="CO179" s="23" t="n">
        <f aca="false">IF(AND(BB179=1,L179="Y"),1,0)</f>
        <v>0</v>
      </c>
      <c r="CP179" s="23" t="n">
        <f aca="false">IF(CO179=1,IF(COUNTIFS($AZ$2:$AZ$201,AZ179,$CO$2:$CO$201,1,$H$2:$H$201,"&lt;"&amp;H179)+COUNTIFS($AZ$2:$AZ$201,AZ179,$CO$2:$CO$201,1,$H$2:$H$201,H179,$BA$2:$BA$201,"&lt;"&amp;BA179)=0,1,0),0)</f>
        <v>0</v>
      </c>
      <c r="CQ179" s="23" t="n">
        <f aca="false">IF(AND(BB179=1,ISNUMBER(O179)),1,0)</f>
        <v>0</v>
      </c>
      <c r="CR179" s="23" t="n">
        <f aca="false">IF(CQ179=1,IF(COUNTIFS($AZ$2:$AZ$201,AZ179,$CQ$2:$CQ$201,1,$H$2:$H$201,"&lt;"&amp;H179)+COUNTIFS($AZ$2:$AZ$201,AZ179,$CQ$2:$CQ$201,1,$H$2:$H$201,H179,$BA$2:$BA$201,"&lt;"&amp;BA179)=0,1,0),0)</f>
        <v>0</v>
      </c>
      <c r="CS179" s="23" t="str">
        <f aca="false">IF(AND(CR179=1,INT(N(H179))&lt;=Config!$B$5),O179,"")</f>
        <v/>
      </c>
      <c r="CT179" s="23" t="str">
        <f aca="false">IF(AND(BB179=1,INT(N(H179))&lt;=Config!$B$5),AG179&amp;"","")</f>
        <v/>
      </c>
      <c r="CU179" s="23" t="n">
        <f aca="false">IF(AND(BB179=1,AU179="Y"),1,0)</f>
        <v>0</v>
      </c>
      <c r="CV179" s="23" t="n">
        <f aca="false">IF(CU179=1,IF(COUNTIFS($AZ$2:$AZ$201,AZ179,$CU$2:$CU$201,1,$H$2:$H$201,"&lt;"&amp;H179)+COUNTIFS($AZ$2:$AZ$201,AZ179,$CU$2:$CU$201,1,$H$2:$H$201,H179,$BA$2:$BA$201,"&lt;"&amp;BA179)=0,1,0),0)</f>
        <v>0</v>
      </c>
      <c r="CW179" s="23" t="str">
        <f aca="false">IF(BB179=1,IFERROR(MATCH($A179,INDEX(Clay_Offices!$A$2:$FZ$601,0,Sync!$C$5),0),""),"")</f>
        <v/>
      </c>
      <c r="CX179" s="23" t="str">
        <f aca="false">IF(CW179="","",IFERROR(INDEX(Clay_Offices!$A$2:$FZ$601,CW179,Sync!$C$7)&amp;"",""))</f>
        <v/>
      </c>
      <c r="CY179" s="23" t="str">
        <f aca="false">IF(CX179="","",IFERROR(INDEX(Lists!$K$2:$K$15,MATCH(CX179,Lists!$J$2:$J$15,0)),""))</f>
        <v/>
      </c>
      <c r="CZ179" s="23" t="str">
        <f aca="false">IF(CW179="","",IFERROR(INDEX(Clay_Offices!$A$2:$FZ$601,CW179,Sync!$C$17)&amp;"",""))</f>
        <v/>
      </c>
      <c r="DA179" s="35" t="str">
        <f aca="false">IF(CW179="","",IFERROR(N(INDEX(Clay_Offices!$A$2:$FZ$601,CW179,Sync!$C$16)),0))</f>
        <v/>
      </c>
      <c r="DB179" s="23" t="n">
        <f aca="false">IF(AND(BB179=1,OR(AR179="Y",AR179="N",AR179="maybe")),1,0)</f>
        <v>0</v>
      </c>
      <c r="DC179" s="23" t="n">
        <f aca="false">IF(AND(DB179=1),IF(COUNTIFS($A$2:$A$201,$A179,$DB$2:$DB$201,1,$H$2:$H$201,"&gt;"&amp;H179)+COUNTIFS($A$2:$A$201,$A179,$DB$2:$DB$201,1,$H$2:$H$201,H179,$BA$2:$BA$201,"&gt;"&amp;BA179)=0,1,0),0)</f>
        <v>0</v>
      </c>
      <c r="DD179" s="23" t="n">
        <f aca="false">IF(AND(DB179=1,INT(N(H179))&lt;=Config!$B$6),IF(COUNTIFS($AZ$2:$AZ$201,AZ179,$DB$2:$DB$201,1,$H$2:$H$201,"&gt;"&amp;H179,$H$2:$H$201,"&lt;"&amp;(Config!$B$6+1))+COUNTIFS($AZ$2:$AZ$201,AZ179,$DB$2:$DB$201,1,$H$2:$H$201,H179,$BA$2:$BA$201,"&gt;"&amp;BA179)=0,1,0),0)</f>
        <v>0</v>
      </c>
      <c r="DE179" s="23" t="n">
        <f aca="false">IF(AND(DB179=1,INT(N(H179))&lt;=Config!$B$7),IF(COUNTIFS($AZ$2:$AZ$201,AZ179,$DB$2:$DB$201,1,$H$2:$H$201,"&gt;"&amp;H179,$H$2:$H$201,"&lt;"&amp;(Config!$B$7+1))+COUNTIFS($AZ$2:$AZ$201,AZ179,$DB$2:$DB$201,1,$H$2:$H$201,H179,$BA$2:$BA$201,"&gt;"&amp;BA179)=0,1,0),0)</f>
        <v>0</v>
      </c>
      <c r="DF179" s="23" t="n">
        <f aca="false">IF(AND(DB179=1,INT(N(H179))&lt;=Config!$B$8),IF(COUNTIFS($AZ$2:$AZ$201,AZ179,$DB$2:$DB$201,1,$H$2:$H$201,"&gt;"&amp;H179,$H$2:$H$201,"&lt;"&amp;(Config!$B$8+1))+COUNTIFS($AZ$2:$AZ$201,AZ179,$DB$2:$DB$201,1,$H$2:$H$201,H179,$BA$2:$BA$201,"&gt;"&amp;BA179)=0,1,0),0)</f>
        <v>0</v>
      </c>
      <c r="DG179" s="23" t="n">
        <f aca="false">IF(AND(DB179=1,INT(N(H179))&lt;=Config!$B$5),IF(COUNTIFS($AZ$2:$AZ$201,AZ179,$DB$2:$DB$201,1,$H$2:$H$201,"&gt;"&amp;H179,$H$2:$H$201,"&lt;"&amp;(Config!$B$5+1))+COUNTIFS($AZ$2:$AZ$201,AZ179,$DB$2:$DB$201,1,$H$2:$H$201,H179,$BA$2:$BA$201,"&gt;"&amp;BA179)=0,1,0),0)</f>
        <v>0</v>
      </c>
      <c r="DH179" s="23" t="n">
        <f aca="false">IF(BB179=1,IF(COUNTIFS($AZ$2:$AZ$201,AZ179,$DD$2:$DD$201,1,$AR$2:$AR$201,"Y")&gt;0,1,0),0)</f>
        <v>0</v>
      </c>
      <c r="DI179" s="23" t="n">
        <f aca="false">IF(BB179=1,IF(COUNTIFS($AZ$2:$AZ$201,AZ179,$DE$2:$DE$201,1,$AR$2:$AR$201,"Y")&gt;0,1,0),0)</f>
        <v>0</v>
      </c>
      <c r="DJ179" s="23" t="n">
        <f aca="false">IF(BB179=1,IF(COUNTIFS($AZ$2:$AZ$201,AZ179,$DF$2:$DF$201,1,$AR$2:$AR$201,"Y")&gt;0,1,0),0)</f>
        <v>0</v>
      </c>
      <c r="DK179" s="23" t="n">
        <f aca="false">IF(BB179=1,IF(COUNTIFS($AZ$2:$AZ$201,AZ179,$DG$2:$DG$201,1,$AR$2:$AR$201,"Y")&gt;0,1,0),0)</f>
        <v>0</v>
      </c>
      <c r="DL179" s="23" t="n">
        <f aca="false">IF(AND(BF179=1,INT(N(H179))&lt;=Config!$B$6,DH179=1,EI179=0),1,0)</f>
        <v>0</v>
      </c>
      <c r="DM179" s="23" t="n">
        <f aca="false">IF(AND(BF179=1,INT(N(H179))&lt;=Config!$B$7,DI179=1,EI179=0),1,0)</f>
        <v>0</v>
      </c>
      <c r="DN179" s="23" t="n">
        <f aca="false">IF(AND(BF179=1,INT(N(H179))&lt;=Config!$B$8,DJ179=1,EI179=0),1,0)</f>
        <v>0</v>
      </c>
      <c r="DO179" s="23" t="n">
        <f aca="false">IF(AND(BF179=1,INT(N(H179))&lt;=Config!$B$5,DK179=1,EI179=0),1,0)</f>
        <v>0</v>
      </c>
      <c r="DP179" s="23" t="n">
        <f aca="false">IF(AND(CC179=1,INT(N(H179))&lt;=Config!$B$6,DH179=1,EI179=0),1,0)</f>
        <v>0</v>
      </c>
      <c r="DQ179" s="23" t="n">
        <f aca="false">IF(AND(CC179=1,INT(N(H179))&lt;=Config!$B$7,DI179=1,EI179=0),1,0)</f>
        <v>0</v>
      </c>
      <c r="DR179" s="23" t="n">
        <f aca="false">IF(AND(CC179=1,INT(N(H179))&lt;=Config!$B$8,DJ179=1,EI179=0),1,0)</f>
        <v>0</v>
      </c>
      <c r="DS179" s="23" t="n">
        <f aca="false">IF(AND(CC179=1,INT(N(H179))&lt;=Config!$B$5,DK179=1,EI179=0),1,0)</f>
        <v>0</v>
      </c>
      <c r="DT179" s="23" t="n">
        <f aca="false">IF(AND(CC179=1,INT(N(H179))&lt;=Config!$B$6,DH179=0),1,0)</f>
        <v>0</v>
      </c>
      <c r="DU179" s="23" t="n">
        <f aca="false">IF(AND(CC179=1,INT(N(H179))&lt;=Config!$B$7,DI179=0),1,0)</f>
        <v>0</v>
      </c>
      <c r="DV179" s="23" t="n">
        <f aca="false">IF(AND(CC179=1,INT(N(H179))&lt;=Config!$B$8,DJ179=0),1,0)</f>
        <v>0</v>
      </c>
      <c r="DW179" s="23" t="n">
        <f aca="false">IF(AND(CC179=1,INT(N(H179))&lt;=Config!$B$5,DK179=0),1,0)</f>
        <v>0</v>
      </c>
      <c r="DX179" s="23" t="n">
        <f aca="false">IF(TRIM($A179)="",0,ISTEXT(M179)+ISTEXT(O179)+ISTEXT(Y179)+ISTEXT(Z179)+ISTEXT(AA179)+ISTEXT(AV179))</f>
        <v>0</v>
      </c>
      <c r="DY179" s="23" t="n">
        <f aca="false">IF(BB179=1,IF(H179&lt;&gt;INT(H179),1,0),0)</f>
        <v>0</v>
      </c>
      <c r="DZ179" s="23" t="str">
        <f aca="false">IF(TRIM($A179)="","",IF(TRIM(B179)="",SUBSTITUTE(SUBSTITUTE(SUBSTITUTE(SUBSTITUTE(SUBSTITUTE(SUBSTITUTE(LOWER(TRIM($A179)),"~",""),"*",""),"?",""),"&lt;",""),"&gt;",""),"=",""),SUBSTITUTE(SUBSTITUTE(SUBSTITUTE(SUBSTITUTE(SUBSTITUTE(SUBSTITUTE(LOWER(TRIM(B179)),"~",""),"*",""),"?",""),"&lt;",""),"&gt;",""),"=","")))</f>
        <v/>
      </c>
      <c r="EA179" s="23" t="str">
        <f aca="false">IF(CW179="","",IFERROR(IF(LEFT(LOWER(TRIM(INDEX(Clay_Offices!$A$2:$FZ$601,CW179,Sync!$C$19)&amp;"")),4)="grp-",SUBSTITUTE(SUBSTITUTE(SUBSTITUTE(SUBSTITUTE(SUBSTITUTE(SUBSTITUTE(LOWER(TRIM(INDEX(Clay_Offices!$A$2:$FZ$601,CW179,Sync!$C$19)&amp;"")),"~",""),"*",""),"?",""),"&lt;",""),"&gt;",""),"=",""),""),""))</f>
        <v/>
      </c>
      <c r="EB179" s="23" t="str">
        <f aca="false">IF(EA179&lt;&gt;"",DZ179,"")</f>
        <v/>
      </c>
      <c r="EC179" s="23" t="str">
        <f aca="false">IF(BC179=1,AZ179,"")</f>
        <v/>
      </c>
      <c r="ED179" s="23" t="str">
        <f aca="false">IF(TRIM($A179)="","",IFERROR(INDEX($A$2:$A$201,MATCH(AZ179,$EC$2:$EC$201,0))&amp;"",$A179&amp;""))</f>
        <v/>
      </c>
      <c r="EE179" s="23" t="n">
        <f aca="false">IF(BB179=1,IF(COUNTIFS($A$2:$A$201,$A179,$BB$2:$BB$201,1,$H$2:$H$201,"&lt;"&amp;H179)+COUNTIFS($A$2:$A$201,$A179,$BB$2:$BB$201,1,$H$2:$H$201,H179,$BA$2:$BA$201,"&lt;"&amp;BA179)=0,1,0),0)</f>
        <v>0</v>
      </c>
      <c r="EF179" s="23" t="n">
        <f aca="false">IF(BC179=1,IF(COUNTIFS($AZ$2:$AZ$201,AZ179,$EE$2:$EE$201,1)&gt;1,1,0),0)</f>
        <v>0</v>
      </c>
      <c r="EG179" s="23" t="n">
        <f aca="false">IF(AND(CQ179=1),IF(COUNTIFS($AZ$2:$AZ$201,AZ179,$CQ$2:$CQ$201,1,$H$2:$H$201,"&gt;"&amp;H179)+COUNTIFS($AZ$2:$AZ$201,AZ179,$CQ$2:$CQ$201,1,$H$2:$H$201,H179,$BA$2:$BA$201,"&gt;"&amp;BA179)=0,1,0),0)</f>
        <v>0</v>
      </c>
      <c r="EH179" s="23" t="str">
        <f aca="false">IF(BB179=1,IF(COUNTIFS($AZ$2:$AZ$201,AZ179,$EG$2:$EG$201,1)=0,"",SUMIFS($O$2:$O$201,$AZ$2:$AZ$201,AZ179,$EG$2:$EG$201,1)),"")</f>
        <v/>
      </c>
      <c r="EI179" s="23" t="n">
        <f aca="false">IF(AND(ISNUMBER(EH179),OR(N(EH179)&lt;Config!$B$31,N(EH179)&gt;Config!$B$33)),1,0)</f>
        <v>0</v>
      </c>
      <c r="EJ179" s="23" t="n">
        <f aca="false">IF(AND(ISNUMBER(EH179),N(EH179)&gt;=Config!$B$31,N(EH179)&lt;Config!$B$32),1,0)</f>
        <v>0</v>
      </c>
      <c r="EK179" s="23" t="n">
        <f aca="false">IF(AND(BF179=1,INT(N(H179))&lt;=Config!$B$6,DH179=1,EI179=1),1,0)</f>
        <v>0</v>
      </c>
      <c r="EL179" s="23" t="n">
        <f aca="false">IF(AND(BF179=1,INT(N(H179))&lt;=Config!$B$7,DI179=1,EI179=1),1,0)</f>
        <v>0</v>
      </c>
      <c r="EM179" s="23" t="n">
        <f aca="false">IF(AND(BF179=1,INT(N(H179))&lt;=Config!$B$8,DJ179=1,EI179=1),1,0)</f>
        <v>0</v>
      </c>
      <c r="EN179" s="23" t="n">
        <f aca="false">IF(AND(BF179=1,INT(N(H179))&lt;=Config!$B$5,DK179=1,EI179=1),1,0)</f>
        <v>0</v>
      </c>
      <c r="EO179" s="23" t="n">
        <f aca="false">IF(AND(DL179=1,EJ179=1),1,0)</f>
        <v>0</v>
      </c>
      <c r="EP179" s="23" t="n">
        <f aca="false">IF(AND(DM179=1,EJ179=1),1,0)</f>
        <v>0</v>
      </c>
      <c r="EQ179" s="23" t="n">
        <f aca="false">IF(AND(DN179=1,EJ179=1),1,0)</f>
        <v>0</v>
      </c>
      <c r="ER179" s="23" t="n">
        <f aca="false">IF(AND(DO179=1,EJ179=1),1,0)</f>
        <v>0</v>
      </c>
    </row>
    <row r="180" customFormat="false" ht="15" hidden="false" customHeight="false" outlineLevel="0" collapsed="false">
      <c r="G180" s="32"/>
      <c r="H180" s="33"/>
      <c r="I180" s="32"/>
      <c r="L180" s="32"/>
      <c r="Q180" s="32"/>
      <c r="U180" s="32"/>
      <c r="W180" s="32"/>
      <c r="AC180" s="32"/>
      <c r="AF180" s="32"/>
      <c r="AI180" s="32"/>
      <c r="AJ180" s="32"/>
      <c r="AN180" s="32"/>
      <c r="AR180" s="32"/>
      <c r="AT180" s="32"/>
      <c r="AU180" s="32"/>
      <c r="AW180" s="32"/>
      <c r="AY180" s="34" t="str">
        <f aca="false">IF(TRIM($A180)="","",IF(AND(LEFT($A180,6)="SAMPLE",Config!$B$19&lt;&gt;"Y"),"",IF(NOT(ISNUMBER(H180)),"call_date is blank or not a date",IF(Sync!$C$5="","Clay paste is empty or has no row_id column: paste the Clay export on Clay_Offices",IF(CW180="","row_id not found in the Clay paste: add the Clay row or fix the row_id",IF(AND(ISNUMBER(CY180),CY180&gt;=1,CY180&lt;=5),"Clay status is "&amp;CX180&amp;": set call_done or later",IF(AND(BD180=1,CZ180&lt;&gt;BZ180),"Clay yes_in_principle should be "&amp;BZ180,IF(AND(BD180=1,DA180&lt;&gt;H180),"Clay call_date should be "&amp;TEXT(H180,"yyyy-mm-dd"),""))))))))</f>
        <v/>
      </c>
      <c r="AZ180" s="23" t="str">
        <f aca="false">IF(TRIM($A180)="","",IF(TRIM(C180)&lt;&gt;"",SUBSTITUTE(SUBSTITUTE(SUBSTITUTE(SUBSTITUTE(SUBSTITUTE(SUBSTITUTE(LOWER(TRIM(C180)),"~",""),"*",""),"?",""),"&lt;",""),"&gt;",""),"=",""),IF(EA180&lt;&gt;"",EA180,IFERROR(INDEX($EA$2:$EA$201,MATCH(DZ180,$EB$2:$EB$201,0)),DZ180))))</f>
        <v/>
      </c>
      <c r="BA180" s="23" t="n">
        <f aca="false">ROW()</f>
        <v>180</v>
      </c>
      <c r="BB180" s="23" t="n">
        <f aca="false">IF(AND(TRIM($A180)&lt;&gt;"",ISNUMBER(H180)),IF(AND(LEFT($A180,6)="SAMPLE",Config!$B$19&lt;&gt;"Y"),0,1),0)</f>
        <v>0</v>
      </c>
      <c r="BC180" s="23" t="n">
        <f aca="false">IF(BB180=1,IF(COUNTIFS($AZ$2:$AZ$201,AZ180,$BB$2:$BB$201,1,$H$2:$H$201,"&lt;"&amp;H180)+COUNTIFS($AZ$2:$AZ$201,AZ180,$BB$2:$BB$201,1,$H$2:$H$201,H180,$BA$2:$BA$201,"&lt;"&amp;BA180)=0,1,0),0)</f>
        <v>0</v>
      </c>
      <c r="BD180" s="23" t="n">
        <f aca="false">IF(BB180=1,IF(COUNTIFS($A$2:$A$201,$A180,$BB$2:$BB$201,1,$H$2:$H$201,"&gt;"&amp;H180)+COUNTIFS($A$2:$A$201,$A180,$BB$2:$BB$201,1,$H$2:$H$201,H180,$BA$2:$BA$201,"&gt;"&amp;BA180)=0,1,0),0)</f>
        <v>0</v>
      </c>
      <c r="BE180" s="23" t="n">
        <f aca="false">IF(AND(BB180=1,AR180="Y",AC180="Y",TRIM(AH180)&lt;&gt;""),1,0)</f>
        <v>0</v>
      </c>
      <c r="BF180" s="23" t="n">
        <f aca="false">IF(BE180=1,IF(COUNTIFS($AZ$2:$AZ$201,AZ180,$BE$2:$BE$201,1,$H$2:$H$201,"&lt;"&amp;H180)+COUNTIFS($AZ$2:$AZ$201,AZ180,$BE$2:$BE$201,1,$H$2:$H$201,H180,$BA$2:$BA$201,"&lt;"&amp;BA180)=0,1,0),0)</f>
        <v>0</v>
      </c>
      <c r="BG180" s="23" t="n">
        <f aca="false">IF(AND(BB180=1,AR180="Y",BE180=0),1,0)</f>
        <v>0</v>
      </c>
      <c r="BH180" s="23" t="n">
        <f aca="false">IF(AND(BB180=1,ISNUMBER(Y180)),1,0)</f>
        <v>0</v>
      </c>
      <c r="BI180" s="23" t="n">
        <f aca="false">IF(BH180=1,IF(COUNTIFS($AZ$2:$AZ$201,AZ180,$BH$2:$BH$201,1,$H$2:$H$201,"&lt;"&amp;H180)+COUNTIFS($AZ$2:$AZ$201,AZ180,$BH$2:$BH$201,1,$H$2:$H$201,H180,$BA$2:$BA$201,"&lt;"&amp;BA180)=0,1,0),0)</f>
        <v>0</v>
      </c>
      <c r="BJ180" s="23" t="str">
        <f aca="false">IF(AND(BI180=1,INT(N(H180))&lt;=Config!$B$6),Y180,"")</f>
        <v/>
      </c>
      <c r="BK180" s="23" t="str">
        <f aca="false">IF(AND(BI180=1,INT(N(H180))&lt;=Config!$B$7),Y180,"")</f>
        <v/>
      </c>
      <c r="BL180" s="23" t="str">
        <f aca="false">IF(AND(BI180=1,INT(N(H180))&lt;=Config!$B$8),Y180,"")</f>
        <v/>
      </c>
      <c r="BM180" s="23" t="str">
        <f aca="false">IF(AND(BI180=1,INT(N(H180))&lt;=Config!$B$5),Y180,"")</f>
        <v/>
      </c>
      <c r="BN180" s="23" t="n">
        <f aca="false">IF(CD180=1,IF(COUNTIFS($AZ$2:$AZ$201,AZ180,$CD$2:$CD$201,1,$H$2:$H$201,"&lt;"&amp;H180)+COUNTIFS($AZ$2:$AZ$201,AZ180,$CD$2:$CD$201,1,$H$2:$H$201,H180,$BA$2:$BA$201,"&lt;"&amp;BA180)=0,1,0),0)</f>
        <v>0</v>
      </c>
      <c r="BO180" s="23" t="n">
        <f aca="false">IF(AND(BB180=1,ISNUMBER(M180)),1,0)</f>
        <v>0</v>
      </c>
      <c r="BP180" s="23" t="n">
        <f aca="false">IF(BO180=1,IF(COUNTIFS($AZ$2:$AZ$201,AZ180,$BO$2:$BO$201,1,$H$2:$H$201,"&lt;"&amp;H180)+COUNTIFS($AZ$2:$AZ$201,AZ180,$BO$2:$BO$201,1,$H$2:$H$201,H180,$BA$2:$BA$201,"&lt;"&amp;BA180)=0,1,0),0)</f>
        <v>0</v>
      </c>
      <c r="BQ180" s="23" t="str">
        <f aca="false">IF(AND(BP180=1,INT(N(H180))&lt;=Config!$B$5),M180,"")</f>
        <v/>
      </c>
      <c r="BR180" s="23" t="n">
        <f aca="false">IF(AND(BB180=1,OR(TRIM(X180)&lt;&gt;"",ISNUMBER(Y180))),1,0)</f>
        <v>0</v>
      </c>
      <c r="BS180" s="23" t="n">
        <f aca="false">IF(BR180=1,IF(COUNTIFS($AZ$2:$AZ$201,AZ180,$BR$2:$BR$201,1,$H$2:$H$201,"&lt;"&amp;H180)+COUNTIFS($AZ$2:$AZ$201,AZ180,$BR$2:$BR$201,1,$H$2:$H$201,H180,$BA$2:$BA$201,"&lt;"&amp;BA180)=0,1,0),0)</f>
        <v>0</v>
      </c>
      <c r="BT180" s="23" t="str">
        <f aca="false">IF(BS180=1,AZ180,"")</f>
        <v/>
      </c>
      <c r="BU180" s="23" t="n">
        <f aca="false">IF(AND(BB180=1,W180="Y",TRIM(X180)=""),1,0)</f>
        <v>0</v>
      </c>
      <c r="BV180" s="23" t="str">
        <f aca="false">IF(BB180=1,AN180&amp;"","")</f>
        <v/>
      </c>
      <c r="BW180" s="23" t="str">
        <f aca="false">IF(BB180=1,AO180&amp;"","")</f>
        <v/>
      </c>
      <c r="BX180" s="23" t="str">
        <f aca="false">IF(BB180=1,AP180&amp;"","")</f>
        <v/>
      </c>
      <c r="BY180" s="23" t="str">
        <f aca="false">IF(AND(BB180=1,ISNUMBER(AV180),INT(N(H180))&lt;=Config!$B$5),AV180,"")</f>
        <v/>
      </c>
      <c r="BZ180" s="23" t="str">
        <f aca="false">IF(BB180=1,IF(COUNTIFS($A$2:$A$201,$A180,$DC$2:$DC$201,1,$AR$2:$AR$201,"Y")&gt;0,"Y","N"),"")</f>
        <v/>
      </c>
      <c r="CA180" s="23" t="n">
        <f aca="false">IF(AND(BB180=1,AR180="maybe"),1,0)</f>
        <v>0</v>
      </c>
      <c r="CB180" s="23" t="n">
        <f aca="false">IF(CA180=1,IF(COUNTIFS($AZ$2:$AZ$201,AZ180,$CA$2:$CA$201,1,$H$2:$H$201,"&lt;"&amp;H180)+COUNTIFS($AZ$2:$AZ$201,AZ180,$CA$2:$CA$201,1,$H$2:$H$201,H180,$BA$2:$BA$201,"&lt;"&amp;BA180)=0,1,0),0)</f>
        <v>0</v>
      </c>
      <c r="CC180" s="23" t="n">
        <f aca="false">IF(AND(BB180=1,AR180="Y"),IF(COUNTIFS($AZ$2:$AZ$201,AZ180,$AR$2:$AR$201,"Y",$BB$2:$BB$201,1,$H$2:$H$201,"&lt;"&amp;H180)+COUNTIFS($AZ$2:$AZ$201,AZ180,$AR$2:$AR$201,"Y",$BB$2:$BB$201,1,$H$2:$H$201,H180,$BA$2:$BA$201,"&lt;"&amp;BA180)=0,1,0),0)</f>
        <v>0</v>
      </c>
      <c r="CD180" s="23" t="n">
        <f aca="false">IF(AND(BH180=1,N(Y180)&gt;=Config!$B$15),1,0)</f>
        <v>0</v>
      </c>
      <c r="CE180" s="23" t="n">
        <f aca="false">IF(AND(BB180=1,AT180="Y"),1,0)</f>
        <v>0</v>
      </c>
      <c r="CF180" s="23" t="n">
        <f aca="false">IF(CE180=1,IF(COUNTIFS($AZ$2:$AZ$201,AZ180,$CE$2:$CE$201,1,$H$2:$H$201,"&lt;"&amp;H180)+COUNTIFS($AZ$2:$AZ$201,AZ180,$CE$2:$CE$201,1,$H$2:$H$201,H180,$BA$2:$BA$201,"&lt;"&amp;BA180)=0,1,0),0)</f>
        <v>0</v>
      </c>
      <c r="CG180" s="23" t="n">
        <f aca="false">IF(AND(BB180=1,G180="warm-intro"),1,0)</f>
        <v>0</v>
      </c>
      <c r="CH180" s="23" t="n">
        <f aca="false">IF(CG180=1,IF(COUNTIFS($AZ$2:$AZ$201,AZ180,$CG$2:$CG$201,1,$H$2:$H$201,"&lt;"&amp;H180)+COUNTIFS($AZ$2:$AZ$201,AZ180,$CG$2:$CG$201,1,$H$2:$H$201,H180,$BA$2:$BA$201,"&lt;"&amp;BA180)=0,1,0),0)</f>
        <v>0</v>
      </c>
      <c r="CI180" s="23" t="n">
        <f aca="false">IF(AND(BB180=1,Q180="Y"),1,0)</f>
        <v>0</v>
      </c>
      <c r="CJ180" s="23" t="n">
        <f aca="false">IF(CI180=1,IF(COUNTIFS($AZ$2:$AZ$201,AZ180,$CI$2:$CI$201,1,$H$2:$H$201,"&lt;"&amp;H180)+COUNTIFS($AZ$2:$AZ$201,AZ180,$CI$2:$CI$201,1,$H$2:$H$201,H180,$BA$2:$BA$201,"&lt;"&amp;BA180)=0,1,0),0)</f>
        <v>0</v>
      </c>
      <c r="CK180" s="23" t="n">
        <f aca="false">IF(AND(BB180=1,AF180="Y"),1,0)</f>
        <v>0</v>
      </c>
      <c r="CL180" s="23" t="n">
        <f aca="false">IF(CK180=1,IF(COUNTIFS($AZ$2:$AZ$201,AZ180,$CK$2:$CK$201,1,$H$2:$H$201,"&lt;"&amp;H180)+COUNTIFS($AZ$2:$AZ$201,AZ180,$CK$2:$CK$201,1,$H$2:$H$201,H180,$BA$2:$BA$201,"&lt;"&amp;BA180)=0,1,0),0)</f>
        <v>0</v>
      </c>
      <c r="CM180" s="23" t="n">
        <f aca="false">IF(AND(BB180=1,U180="Y"),1,0)</f>
        <v>0</v>
      </c>
      <c r="CN180" s="23" t="n">
        <f aca="false">IF(CM180=1,IF(COUNTIFS($AZ$2:$AZ$201,AZ180,$CM$2:$CM$201,1,$H$2:$H$201,"&lt;"&amp;H180)+COUNTIFS($AZ$2:$AZ$201,AZ180,$CM$2:$CM$201,1,$H$2:$H$201,H180,$BA$2:$BA$201,"&lt;"&amp;BA180)=0,1,0),0)</f>
        <v>0</v>
      </c>
      <c r="CO180" s="23" t="n">
        <f aca="false">IF(AND(BB180=1,L180="Y"),1,0)</f>
        <v>0</v>
      </c>
      <c r="CP180" s="23" t="n">
        <f aca="false">IF(CO180=1,IF(COUNTIFS($AZ$2:$AZ$201,AZ180,$CO$2:$CO$201,1,$H$2:$H$201,"&lt;"&amp;H180)+COUNTIFS($AZ$2:$AZ$201,AZ180,$CO$2:$CO$201,1,$H$2:$H$201,H180,$BA$2:$BA$201,"&lt;"&amp;BA180)=0,1,0),0)</f>
        <v>0</v>
      </c>
      <c r="CQ180" s="23" t="n">
        <f aca="false">IF(AND(BB180=1,ISNUMBER(O180)),1,0)</f>
        <v>0</v>
      </c>
      <c r="CR180" s="23" t="n">
        <f aca="false">IF(CQ180=1,IF(COUNTIFS($AZ$2:$AZ$201,AZ180,$CQ$2:$CQ$201,1,$H$2:$H$201,"&lt;"&amp;H180)+COUNTIFS($AZ$2:$AZ$201,AZ180,$CQ$2:$CQ$201,1,$H$2:$H$201,H180,$BA$2:$BA$201,"&lt;"&amp;BA180)=0,1,0),0)</f>
        <v>0</v>
      </c>
      <c r="CS180" s="23" t="str">
        <f aca="false">IF(AND(CR180=1,INT(N(H180))&lt;=Config!$B$5),O180,"")</f>
        <v/>
      </c>
      <c r="CT180" s="23" t="str">
        <f aca="false">IF(AND(BB180=1,INT(N(H180))&lt;=Config!$B$5),AG180&amp;"","")</f>
        <v/>
      </c>
      <c r="CU180" s="23" t="n">
        <f aca="false">IF(AND(BB180=1,AU180="Y"),1,0)</f>
        <v>0</v>
      </c>
      <c r="CV180" s="23" t="n">
        <f aca="false">IF(CU180=1,IF(COUNTIFS($AZ$2:$AZ$201,AZ180,$CU$2:$CU$201,1,$H$2:$H$201,"&lt;"&amp;H180)+COUNTIFS($AZ$2:$AZ$201,AZ180,$CU$2:$CU$201,1,$H$2:$H$201,H180,$BA$2:$BA$201,"&lt;"&amp;BA180)=0,1,0),0)</f>
        <v>0</v>
      </c>
      <c r="CW180" s="23" t="str">
        <f aca="false">IF(BB180=1,IFERROR(MATCH($A180,INDEX(Clay_Offices!$A$2:$FZ$601,0,Sync!$C$5),0),""),"")</f>
        <v/>
      </c>
      <c r="CX180" s="23" t="str">
        <f aca="false">IF(CW180="","",IFERROR(INDEX(Clay_Offices!$A$2:$FZ$601,CW180,Sync!$C$7)&amp;"",""))</f>
        <v/>
      </c>
      <c r="CY180" s="23" t="str">
        <f aca="false">IF(CX180="","",IFERROR(INDEX(Lists!$K$2:$K$15,MATCH(CX180,Lists!$J$2:$J$15,0)),""))</f>
        <v/>
      </c>
      <c r="CZ180" s="23" t="str">
        <f aca="false">IF(CW180="","",IFERROR(INDEX(Clay_Offices!$A$2:$FZ$601,CW180,Sync!$C$17)&amp;"",""))</f>
        <v/>
      </c>
      <c r="DA180" s="35" t="str">
        <f aca="false">IF(CW180="","",IFERROR(N(INDEX(Clay_Offices!$A$2:$FZ$601,CW180,Sync!$C$16)),0))</f>
        <v/>
      </c>
      <c r="DB180" s="23" t="n">
        <f aca="false">IF(AND(BB180=1,OR(AR180="Y",AR180="N",AR180="maybe")),1,0)</f>
        <v>0</v>
      </c>
      <c r="DC180" s="23" t="n">
        <f aca="false">IF(AND(DB180=1),IF(COUNTIFS($A$2:$A$201,$A180,$DB$2:$DB$201,1,$H$2:$H$201,"&gt;"&amp;H180)+COUNTIFS($A$2:$A$201,$A180,$DB$2:$DB$201,1,$H$2:$H$201,H180,$BA$2:$BA$201,"&gt;"&amp;BA180)=0,1,0),0)</f>
        <v>0</v>
      </c>
      <c r="DD180" s="23" t="n">
        <f aca="false">IF(AND(DB180=1,INT(N(H180))&lt;=Config!$B$6),IF(COUNTIFS($AZ$2:$AZ$201,AZ180,$DB$2:$DB$201,1,$H$2:$H$201,"&gt;"&amp;H180,$H$2:$H$201,"&lt;"&amp;(Config!$B$6+1))+COUNTIFS($AZ$2:$AZ$201,AZ180,$DB$2:$DB$201,1,$H$2:$H$201,H180,$BA$2:$BA$201,"&gt;"&amp;BA180)=0,1,0),0)</f>
        <v>0</v>
      </c>
      <c r="DE180" s="23" t="n">
        <f aca="false">IF(AND(DB180=1,INT(N(H180))&lt;=Config!$B$7),IF(COUNTIFS($AZ$2:$AZ$201,AZ180,$DB$2:$DB$201,1,$H$2:$H$201,"&gt;"&amp;H180,$H$2:$H$201,"&lt;"&amp;(Config!$B$7+1))+COUNTIFS($AZ$2:$AZ$201,AZ180,$DB$2:$DB$201,1,$H$2:$H$201,H180,$BA$2:$BA$201,"&gt;"&amp;BA180)=0,1,0),0)</f>
        <v>0</v>
      </c>
      <c r="DF180" s="23" t="n">
        <f aca="false">IF(AND(DB180=1,INT(N(H180))&lt;=Config!$B$8),IF(COUNTIFS($AZ$2:$AZ$201,AZ180,$DB$2:$DB$201,1,$H$2:$H$201,"&gt;"&amp;H180,$H$2:$H$201,"&lt;"&amp;(Config!$B$8+1))+COUNTIFS($AZ$2:$AZ$201,AZ180,$DB$2:$DB$201,1,$H$2:$H$201,H180,$BA$2:$BA$201,"&gt;"&amp;BA180)=0,1,0),0)</f>
        <v>0</v>
      </c>
      <c r="DG180" s="23" t="n">
        <f aca="false">IF(AND(DB180=1,INT(N(H180))&lt;=Config!$B$5),IF(COUNTIFS($AZ$2:$AZ$201,AZ180,$DB$2:$DB$201,1,$H$2:$H$201,"&gt;"&amp;H180,$H$2:$H$201,"&lt;"&amp;(Config!$B$5+1))+COUNTIFS($AZ$2:$AZ$201,AZ180,$DB$2:$DB$201,1,$H$2:$H$201,H180,$BA$2:$BA$201,"&gt;"&amp;BA180)=0,1,0),0)</f>
        <v>0</v>
      </c>
      <c r="DH180" s="23" t="n">
        <f aca="false">IF(BB180=1,IF(COUNTIFS($AZ$2:$AZ$201,AZ180,$DD$2:$DD$201,1,$AR$2:$AR$201,"Y")&gt;0,1,0),0)</f>
        <v>0</v>
      </c>
      <c r="DI180" s="23" t="n">
        <f aca="false">IF(BB180=1,IF(COUNTIFS($AZ$2:$AZ$201,AZ180,$DE$2:$DE$201,1,$AR$2:$AR$201,"Y")&gt;0,1,0),0)</f>
        <v>0</v>
      </c>
      <c r="DJ180" s="23" t="n">
        <f aca="false">IF(BB180=1,IF(COUNTIFS($AZ$2:$AZ$201,AZ180,$DF$2:$DF$201,1,$AR$2:$AR$201,"Y")&gt;0,1,0),0)</f>
        <v>0</v>
      </c>
      <c r="DK180" s="23" t="n">
        <f aca="false">IF(BB180=1,IF(COUNTIFS($AZ$2:$AZ$201,AZ180,$DG$2:$DG$201,1,$AR$2:$AR$201,"Y")&gt;0,1,0),0)</f>
        <v>0</v>
      </c>
      <c r="DL180" s="23" t="n">
        <f aca="false">IF(AND(BF180=1,INT(N(H180))&lt;=Config!$B$6,DH180=1,EI180=0),1,0)</f>
        <v>0</v>
      </c>
      <c r="DM180" s="23" t="n">
        <f aca="false">IF(AND(BF180=1,INT(N(H180))&lt;=Config!$B$7,DI180=1,EI180=0),1,0)</f>
        <v>0</v>
      </c>
      <c r="DN180" s="23" t="n">
        <f aca="false">IF(AND(BF180=1,INT(N(H180))&lt;=Config!$B$8,DJ180=1,EI180=0),1,0)</f>
        <v>0</v>
      </c>
      <c r="DO180" s="23" t="n">
        <f aca="false">IF(AND(BF180=1,INT(N(H180))&lt;=Config!$B$5,DK180=1,EI180=0),1,0)</f>
        <v>0</v>
      </c>
      <c r="DP180" s="23" t="n">
        <f aca="false">IF(AND(CC180=1,INT(N(H180))&lt;=Config!$B$6,DH180=1,EI180=0),1,0)</f>
        <v>0</v>
      </c>
      <c r="DQ180" s="23" t="n">
        <f aca="false">IF(AND(CC180=1,INT(N(H180))&lt;=Config!$B$7,DI180=1,EI180=0),1,0)</f>
        <v>0</v>
      </c>
      <c r="DR180" s="23" t="n">
        <f aca="false">IF(AND(CC180=1,INT(N(H180))&lt;=Config!$B$8,DJ180=1,EI180=0),1,0)</f>
        <v>0</v>
      </c>
      <c r="DS180" s="23" t="n">
        <f aca="false">IF(AND(CC180=1,INT(N(H180))&lt;=Config!$B$5,DK180=1,EI180=0),1,0)</f>
        <v>0</v>
      </c>
      <c r="DT180" s="23" t="n">
        <f aca="false">IF(AND(CC180=1,INT(N(H180))&lt;=Config!$B$6,DH180=0),1,0)</f>
        <v>0</v>
      </c>
      <c r="DU180" s="23" t="n">
        <f aca="false">IF(AND(CC180=1,INT(N(H180))&lt;=Config!$B$7,DI180=0),1,0)</f>
        <v>0</v>
      </c>
      <c r="DV180" s="23" t="n">
        <f aca="false">IF(AND(CC180=1,INT(N(H180))&lt;=Config!$B$8,DJ180=0),1,0)</f>
        <v>0</v>
      </c>
      <c r="DW180" s="23" t="n">
        <f aca="false">IF(AND(CC180=1,INT(N(H180))&lt;=Config!$B$5,DK180=0),1,0)</f>
        <v>0</v>
      </c>
      <c r="DX180" s="23" t="n">
        <f aca="false">IF(TRIM($A180)="",0,ISTEXT(M180)+ISTEXT(O180)+ISTEXT(Y180)+ISTEXT(Z180)+ISTEXT(AA180)+ISTEXT(AV180))</f>
        <v>0</v>
      </c>
      <c r="DY180" s="23" t="n">
        <f aca="false">IF(BB180=1,IF(H180&lt;&gt;INT(H180),1,0),0)</f>
        <v>0</v>
      </c>
      <c r="DZ180" s="23" t="str">
        <f aca="false">IF(TRIM($A180)="","",IF(TRIM(B180)="",SUBSTITUTE(SUBSTITUTE(SUBSTITUTE(SUBSTITUTE(SUBSTITUTE(SUBSTITUTE(LOWER(TRIM($A180)),"~",""),"*",""),"?",""),"&lt;",""),"&gt;",""),"=",""),SUBSTITUTE(SUBSTITUTE(SUBSTITUTE(SUBSTITUTE(SUBSTITUTE(SUBSTITUTE(LOWER(TRIM(B180)),"~",""),"*",""),"?",""),"&lt;",""),"&gt;",""),"=","")))</f>
        <v/>
      </c>
      <c r="EA180" s="23" t="str">
        <f aca="false">IF(CW180="","",IFERROR(IF(LEFT(LOWER(TRIM(INDEX(Clay_Offices!$A$2:$FZ$601,CW180,Sync!$C$19)&amp;"")),4)="grp-",SUBSTITUTE(SUBSTITUTE(SUBSTITUTE(SUBSTITUTE(SUBSTITUTE(SUBSTITUTE(LOWER(TRIM(INDEX(Clay_Offices!$A$2:$FZ$601,CW180,Sync!$C$19)&amp;"")),"~",""),"*",""),"?",""),"&lt;",""),"&gt;",""),"=",""),""),""))</f>
        <v/>
      </c>
      <c r="EB180" s="23" t="str">
        <f aca="false">IF(EA180&lt;&gt;"",DZ180,"")</f>
        <v/>
      </c>
      <c r="EC180" s="23" t="str">
        <f aca="false">IF(BC180=1,AZ180,"")</f>
        <v/>
      </c>
      <c r="ED180" s="23" t="str">
        <f aca="false">IF(TRIM($A180)="","",IFERROR(INDEX($A$2:$A$201,MATCH(AZ180,$EC$2:$EC$201,0))&amp;"",$A180&amp;""))</f>
        <v/>
      </c>
      <c r="EE180" s="23" t="n">
        <f aca="false">IF(BB180=1,IF(COUNTIFS($A$2:$A$201,$A180,$BB$2:$BB$201,1,$H$2:$H$201,"&lt;"&amp;H180)+COUNTIFS($A$2:$A$201,$A180,$BB$2:$BB$201,1,$H$2:$H$201,H180,$BA$2:$BA$201,"&lt;"&amp;BA180)=0,1,0),0)</f>
        <v>0</v>
      </c>
      <c r="EF180" s="23" t="n">
        <f aca="false">IF(BC180=1,IF(COUNTIFS($AZ$2:$AZ$201,AZ180,$EE$2:$EE$201,1)&gt;1,1,0),0)</f>
        <v>0</v>
      </c>
      <c r="EG180" s="23" t="n">
        <f aca="false">IF(AND(CQ180=1),IF(COUNTIFS($AZ$2:$AZ$201,AZ180,$CQ$2:$CQ$201,1,$H$2:$H$201,"&gt;"&amp;H180)+COUNTIFS($AZ$2:$AZ$201,AZ180,$CQ$2:$CQ$201,1,$H$2:$H$201,H180,$BA$2:$BA$201,"&gt;"&amp;BA180)=0,1,0),0)</f>
        <v>0</v>
      </c>
      <c r="EH180" s="23" t="str">
        <f aca="false">IF(BB180=1,IF(COUNTIFS($AZ$2:$AZ$201,AZ180,$EG$2:$EG$201,1)=0,"",SUMIFS($O$2:$O$201,$AZ$2:$AZ$201,AZ180,$EG$2:$EG$201,1)),"")</f>
        <v/>
      </c>
      <c r="EI180" s="23" t="n">
        <f aca="false">IF(AND(ISNUMBER(EH180),OR(N(EH180)&lt;Config!$B$31,N(EH180)&gt;Config!$B$33)),1,0)</f>
        <v>0</v>
      </c>
      <c r="EJ180" s="23" t="n">
        <f aca="false">IF(AND(ISNUMBER(EH180),N(EH180)&gt;=Config!$B$31,N(EH180)&lt;Config!$B$32),1,0)</f>
        <v>0</v>
      </c>
      <c r="EK180" s="23" t="n">
        <f aca="false">IF(AND(BF180=1,INT(N(H180))&lt;=Config!$B$6,DH180=1,EI180=1),1,0)</f>
        <v>0</v>
      </c>
      <c r="EL180" s="23" t="n">
        <f aca="false">IF(AND(BF180=1,INT(N(H180))&lt;=Config!$B$7,DI180=1,EI180=1),1,0)</f>
        <v>0</v>
      </c>
      <c r="EM180" s="23" t="n">
        <f aca="false">IF(AND(BF180=1,INT(N(H180))&lt;=Config!$B$8,DJ180=1,EI180=1),1,0)</f>
        <v>0</v>
      </c>
      <c r="EN180" s="23" t="n">
        <f aca="false">IF(AND(BF180=1,INT(N(H180))&lt;=Config!$B$5,DK180=1,EI180=1),1,0)</f>
        <v>0</v>
      </c>
      <c r="EO180" s="23" t="n">
        <f aca="false">IF(AND(DL180=1,EJ180=1),1,0)</f>
        <v>0</v>
      </c>
      <c r="EP180" s="23" t="n">
        <f aca="false">IF(AND(DM180=1,EJ180=1),1,0)</f>
        <v>0</v>
      </c>
      <c r="EQ180" s="23" t="n">
        <f aca="false">IF(AND(DN180=1,EJ180=1),1,0)</f>
        <v>0</v>
      </c>
      <c r="ER180" s="23" t="n">
        <f aca="false">IF(AND(DO180=1,EJ180=1),1,0)</f>
        <v>0</v>
      </c>
    </row>
    <row r="181" customFormat="false" ht="15" hidden="false" customHeight="false" outlineLevel="0" collapsed="false">
      <c r="G181" s="32"/>
      <c r="H181" s="33"/>
      <c r="I181" s="32"/>
      <c r="L181" s="32"/>
      <c r="Q181" s="32"/>
      <c r="U181" s="32"/>
      <c r="W181" s="32"/>
      <c r="AC181" s="32"/>
      <c r="AF181" s="32"/>
      <c r="AI181" s="32"/>
      <c r="AJ181" s="32"/>
      <c r="AN181" s="32"/>
      <c r="AR181" s="32"/>
      <c r="AT181" s="32"/>
      <c r="AU181" s="32"/>
      <c r="AW181" s="32"/>
      <c r="AY181" s="34" t="str">
        <f aca="false">IF(TRIM($A181)="","",IF(AND(LEFT($A181,6)="SAMPLE",Config!$B$19&lt;&gt;"Y"),"",IF(NOT(ISNUMBER(H181)),"call_date is blank or not a date",IF(Sync!$C$5="","Clay paste is empty or has no row_id column: paste the Clay export on Clay_Offices",IF(CW181="","row_id not found in the Clay paste: add the Clay row or fix the row_id",IF(AND(ISNUMBER(CY181),CY181&gt;=1,CY181&lt;=5),"Clay status is "&amp;CX181&amp;": set call_done or later",IF(AND(BD181=1,CZ181&lt;&gt;BZ181),"Clay yes_in_principle should be "&amp;BZ181,IF(AND(BD181=1,DA181&lt;&gt;H181),"Clay call_date should be "&amp;TEXT(H181,"yyyy-mm-dd"),""))))))))</f>
        <v/>
      </c>
      <c r="AZ181" s="23" t="str">
        <f aca="false">IF(TRIM($A181)="","",IF(TRIM(C181)&lt;&gt;"",SUBSTITUTE(SUBSTITUTE(SUBSTITUTE(SUBSTITUTE(SUBSTITUTE(SUBSTITUTE(LOWER(TRIM(C181)),"~",""),"*",""),"?",""),"&lt;",""),"&gt;",""),"=",""),IF(EA181&lt;&gt;"",EA181,IFERROR(INDEX($EA$2:$EA$201,MATCH(DZ181,$EB$2:$EB$201,0)),DZ181))))</f>
        <v/>
      </c>
      <c r="BA181" s="23" t="n">
        <f aca="false">ROW()</f>
        <v>181</v>
      </c>
      <c r="BB181" s="23" t="n">
        <f aca="false">IF(AND(TRIM($A181)&lt;&gt;"",ISNUMBER(H181)),IF(AND(LEFT($A181,6)="SAMPLE",Config!$B$19&lt;&gt;"Y"),0,1),0)</f>
        <v>0</v>
      </c>
      <c r="BC181" s="23" t="n">
        <f aca="false">IF(BB181=1,IF(COUNTIFS($AZ$2:$AZ$201,AZ181,$BB$2:$BB$201,1,$H$2:$H$201,"&lt;"&amp;H181)+COUNTIFS($AZ$2:$AZ$201,AZ181,$BB$2:$BB$201,1,$H$2:$H$201,H181,$BA$2:$BA$201,"&lt;"&amp;BA181)=0,1,0),0)</f>
        <v>0</v>
      </c>
      <c r="BD181" s="23" t="n">
        <f aca="false">IF(BB181=1,IF(COUNTIFS($A$2:$A$201,$A181,$BB$2:$BB$201,1,$H$2:$H$201,"&gt;"&amp;H181)+COUNTIFS($A$2:$A$201,$A181,$BB$2:$BB$201,1,$H$2:$H$201,H181,$BA$2:$BA$201,"&gt;"&amp;BA181)=0,1,0),0)</f>
        <v>0</v>
      </c>
      <c r="BE181" s="23" t="n">
        <f aca="false">IF(AND(BB181=1,AR181="Y",AC181="Y",TRIM(AH181)&lt;&gt;""),1,0)</f>
        <v>0</v>
      </c>
      <c r="BF181" s="23" t="n">
        <f aca="false">IF(BE181=1,IF(COUNTIFS($AZ$2:$AZ$201,AZ181,$BE$2:$BE$201,1,$H$2:$H$201,"&lt;"&amp;H181)+COUNTIFS($AZ$2:$AZ$201,AZ181,$BE$2:$BE$201,1,$H$2:$H$201,H181,$BA$2:$BA$201,"&lt;"&amp;BA181)=0,1,0),0)</f>
        <v>0</v>
      </c>
      <c r="BG181" s="23" t="n">
        <f aca="false">IF(AND(BB181=1,AR181="Y",BE181=0),1,0)</f>
        <v>0</v>
      </c>
      <c r="BH181" s="23" t="n">
        <f aca="false">IF(AND(BB181=1,ISNUMBER(Y181)),1,0)</f>
        <v>0</v>
      </c>
      <c r="BI181" s="23" t="n">
        <f aca="false">IF(BH181=1,IF(COUNTIFS($AZ$2:$AZ$201,AZ181,$BH$2:$BH$201,1,$H$2:$H$201,"&lt;"&amp;H181)+COUNTIFS($AZ$2:$AZ$201,AZ181,$BH$2:$BH$201,1,$H$2:$H$201,H181,$BA$2:$BA$201,"&lt;"&amp;BA181)=0,1,0),0)</f>
        <v>0</v>
      </c>
      <c r="BJ181" s="23" t="str">
        <f aca="false">IF(AND(BI181=1,INT(N(H181))&lt;=Config!$B$6),Y181,"")</f>
        <v/>
      </c>
      <c r="BK181" s="23" t="str">
        <f aca="false">IF(AND(BI181=1,INT(N(H181))&lt;=Config!$B$7),Y181,"")</f>
        <v/>
      </c>
      <c r="BL181" s="23" t="str">
        <f aca="false">IF(AND(BI181=1,INT(N(H181))&lt;=Config!$B$8),Y181,"")</f>
        <v/>
      </c>
      <c r="BM181" s="23" t="str">
        <f aca="false">IF(AND(BI181=1,INT(N(H181))&lt;=Config!$B$5),Y181,"")</f>
        <v/>
      </c>
      <c r="BN181" s="23" t="n">
        <f aca="false">IF(CD181=1,IF(COUNTIFS($AZ$2:$AZ$201,AZ181,$CD$2:$CD$201,1,$H$2:$H$201,"&lt;"&amp;H181)+COUNTIFS($AZ$2:$AZ$201,AZ181,$CD$2:$CD$201,1,$H$2:$H$201,H181,$BA$2:$BA$201,"&lt;"&amp;BA181)=0,1,0),0)</f>
        <v>0</v>
      </c>
      <c r="BO181" s="23" t="n">
        <f aca="false">IF(AND(BB181=1,ISNUMBER(M181)),1,0)</f>
        <v>0</v>
      </c>
      <c r="BP181" s="23" t="n">
        <f aca="false">IF(BO181=1,IF(COUNTIFS($AZ$2:$AZ$201,AZ181,$BO$2:$BO$201,1,$H$2:$H$201,"&lt;"&amp;H181)+COUNTIFS($AZ$2:$AZ$201,AZ181,$BO$2:$BO$201,1,$H$2:$H$201,H181,$BA$2:$BA$201,"&lt;"&amp;BA181)=0,1,0),0)</f>
        <v>0</v>
      </c>
      <c r="BQ181" s="23" t="str">
        <f aca="false">IF(AND(BP181=1,INT(N(H181))&lt;=Config!$B$5),M181,"")</f>
        <v/>
      </c>
      <c r="BR181" s="23" t="n">
        <f aca="false">IF(AND(BB181=1,OR(TRIM(X181)&lt;&gt;"",ISNUMBER(Y181))),1,0)</f>
        <v>0</v>
      </c>
      <c r="BS181" s="23" t="n">
        <f aca="false">IF(BR181=1,IF(COUNTIFS($AZ$2:$AZ$201,AZ181,$BR$2:$BR$201,1,$H$2:$H$201,"&lt;"&amp;H181)+COUNTIFS($AZ$2:$AZ$201,AZ181,$BR$2:$BR$201,1,$H$2:$H$201,H181,$BA$2:$BA$201,"&lt;"&amp;BA181)=0,1,0),0)</f>
        <v>0</v>
      </c>
      <c r="BT181" s="23" t="str">
        <f aca="false">IF(BS181=1,AZ181,"")</f>
        <v/>
      </c>
      <c r="BU181" s="23" t="n">
        <f aca="false">IF(AND(BB181=1,W181="Y",TRIM(X181)=""),1,0)</f>
        <v>0</v>
      </c>
      <c r="BV181" s="23" t="str">
        <f aca="false">IF(BB181=1,AN181&amp;"","")</f>
        <v/>
      </c>
      <c r="BW181" s="23" t="str">
        <f aca="false">IF(BB181=1,AO181&amp;"","")</f>
        <v/>
      </c>
      <c r="BX181" s="23" t="str">
        <f aca="false">IF(BB181=1,AP181&amp;"","")</f>
        <v/>
      </c>
      <c r="BY181" s="23" t="str">
        <f aca="false">IF(AND(BB181=1,ISNUMBER(AV181),INT(N(H181))&lt;=Config!$B$5),AV181,"")</f>
        <v/>
      </c>
      <c r="BZ181" s="23" t="str">
        <f aca="false">IF(BB181=1,IF(COUNTIFS($A$2:$A$201,$A181,$DC$2:$DC$201,1,$AR$2:$AR$201,"Y")&gt;0,"Y","N"),"")</f>
        <v/>
      </c>
      <c r="CA181" s="23" t="n">
        <f aca="false">IF(AND(BB181=1,AR181="maybe"),1,0)</f>
        <v>0</v>
      </c>
      <c r="CB181" s="23" t="n">
        <f aca="false">IF(CA181=1,IF(COUNTIFS($AZ$2:$AZ$201,AZ181,$CA$2:$CA$201,1,$H$2:$H$201,"&lt;"&amp;H181)+COUNTIFS($AZ$2:$AZ$201,AZ181,$CA$2:$CA$201,1,$H$2:$H$201,H181,$BA$2:$BA$201,"&lt;"&amp;BA181)=0,1,0),0)</f>
        <v>0</v>
      </c>
      <c r="CC181" s="23" t="n">
        <f aca="false">IF(AND(BB181=1,AR181="Y"),IF(COUNTIFS($AZ$2:$AZ$201,AZ181,$AR$2:$AR$201,"Y",$BB$2:$BB$201,1,$H$2:$H$201,"&lt;"&amp;H181)+COUNTIFS($AZ$2:$AZ$201,AZ181,$AR$2:$AR$201,"Y",$BB$2:$BB$201,1,$H$2:$H$201,H181,$BA$2:$BA$201,"&lt;"&amp;BA181)=0,1,0),0)</f>
        <v>0</v>
      </c>
      <c r="CD181" s="23" t="n">
        <f aca="false">IF(AND(BH181=1,N(Y181)&gt;=Config!$B$15),1,0)</f>
        <v>0</v>
      </c>
      <c r="CE181" s="23" t="n">
        <f aca="false">IF(AND(BB181=1,AT181="Y"),1,0)</f>
        <v>0</v>
      </c>
      <c r="CF181" s="23" t="n">
        <f aca="false">IF(CE181=1,IF(COUNTIFS($AZ$2:$AZ$201,AZ181,$CE$2:$CE$201,1,$H$2:$H$201,"&lt;"&amp;H181)+COUNTIFS($AZ$2:$AZ$201,AZ181,$CE$2:$CE$201,1,$H$2:$H$201,H181,$BA$2:$BA$201,"&lt;"&amp;BA181)=0,1,0),0)</f>
        <v>0</v>
      </c>
      <c r="CG181" s="23" t="n">
        <f aca="false">IF(AND(BB181=1,G181="warm-intro"),1,0)</f>
        <v>0</v>
      </c>
      <c r="CH181" s="23" t="n">
        <f aca="false">IF(CG181=1,IF(COUNTIFS($AZ$2:$AZ$201,AZ181,$CG$2:$CG$201,1,$H$2:$H$201,"&lt;"&amp;H181)+COUNTIFS($AZ$2:$AZ$201,AZ181,$CG$2:$CG$201,1,$H$2:$H$201,H181,$BA$2:$BA$201,"&lt;"&amp;BA181)=0,1,0),0)</f>
        <v>0</v>
      </c>
      <c r="CI181" s="23" t="n">
        <f aca="false">IF(AND(BB181=1,Q181="Y"),1,0)</f>
        <v>0</v>
      </c>
      <c r="CJ181" s="23" t="n">
        <f aca="false">IF(CI181=1,IF(COUNTIFS($AZ$2:$AZ$201,AZ181,$CI$2:$CI$201,1,$H$2:$H$201,"&lt;"&amp;H181)+COUNTIFS($AZ$2:$AZ$201,AZ181,$CI$2:$CI$201,1,$H$2:$H$201,H181,$BA$2:$BA$201,"&lt;"&amp;BA181)=0,1,0),0)</f>
        <v>0</v>
      </c>
      <c r="CK181" s="23" t="n">
        <f aca="false">IF(AND(BB181=1,AF181="Y"),1,0)</f>
        <v>0</v>
      </c>
      <c r="CL181" s="23" t="n">
        <f aca="false">IF(CK181=1,IF(COUNTIFS($AZ$2:$AZ$201,AZ181,$CK$2:$CK$201,1,$H$2:$H$201,"&lt;"&amp;H181)+COUNTIFS($AZ$2:$AZ$201,AZ181,$CK$2:$CK$201,1,$H$2:$H$201,H181,$BA$2:$BA$201,"&lt;"&amp;BA181)=0,1,0),0)</f>
        <v>0</v>
      </c>
      <c r="CM181" s="23" t="n">
        <f aca="false">IF(AND(BB181=1,U181="Y"),1,0)</f>
        <v>0</v>
      </c>
      <c r="CN181" s="23" t="n">
        <f aca="false">IF(CM181=1,IF(COUNTIFS($AZ$2:$AZ$201,AZ181,$CM$2:$CM$201,1,$H$2:$H$201,"&lt;"&amp;H181)+COUNTIFS($AZ$2:$AZ$201,AZ181,$CM$2:$CM$201,1,$H$2:$H$201,H181,$BA$2:$BA$201,"&lt;"&amp;BA181)=0,1,0),0)</f>
        <v>0</v>
      </c>
      <c r="CO181" s="23" t="n">
        <f aca="false">IF(AND(BB181=1,L181="Y"),1,0)</f>
        <v>0</v>
      </c>
      <c r="CP181" s="23" t="n">
        <f aca="false">IF(CO181=1,IF(COUNTIFS($AZ$2:$AZ$201,AZ181,$CO$2:$CO$201,1,$H$2:$H$201,"&lt;"&amp;H181)+COUNTIFS($AZ$2:$AZ$201,AZ181,$CO$2:$CO$201,1,$H$2:$H$201,H181,$BA$2:$BA$201,"&lt;"&amp;BA181)=0,1,0),0)</f>
        <v>0</v>
      </c>
      <c r="CQ181" s="23" t="n">
        <f aca="false">IF(AND(BB181=1,ISNUMBER(O181)),1,0)</f>
        <v>0</v>
      </c>
      <c r="CR181" s="23" t="n">
        <f aca="false">IF(CQ181=1,IF(COUNTIFS($AZ$2:$AZ$201,AZ181,$CQ$2:$CQ$201,1,$H$2:$H$201,"&lt;"&amp;H181)+COUNTIFS($AZ$2:$AZ$201,AZ181,$CQ$2:$CQ$201,1,$H$2:$H$201,H181,$BA$2:$BA$201,"&lt;"&amp;BA181)=0,1,0),0)</f>
        <v>0</v>
      </c>
      <c r="CS181" s="23" t="str">
        <f aca="false">IF(AND(CR181=1,INT(N(H181))&lt;=Config!$B$5),O181,"")</f>
        <v/>
      </c>
      <c r="CT181" s="23" t="str">
        <f aca="false">IF(AND(BB181=1,INT(N(H181))&lt;=Config!$B$5),AG181&amp;"","")</f>
        <v/>
      </c>
      <c r="CU181" s="23" t="n">
        <f aca="false">IF(AND(BB181=1,AU181="Y"),1,0)</f>
        <v>0</v>
      </c>
      <c r="CV181" s="23" t="n">
        <f aca="false">IF(CU181=1,IF(COUNTIFS($AZ$2:$AZ$201,AZ181,$CU$2:$CU$201,1,$H$2:$H$201,"&lt;"&amp;H181)+COUNTIFS($AZ$2:$AZ$201,AZ181,$CU$2:$CU$201,1,$H$2:$H$201,H181,$BA$2:$BA$201,"&lt;"&amp;BA181)=0,1,0),0)</f>
        <v>0</v>
      </c>
      <c r="CW181" s="23" t="str">
        <f aca="false">IF(BB181=1,IFERROR(MATCH($A181,INDEX(Clay_Offices!$A$2:$FZ$601,0,Sync!$C$5),0),""),"")</f>
        <v/>
      </c>
      <c r="CX181" s="23" t="str">
        <f aca="false">IF(CW181="","",IFERROR(INDEX(Clay_Offices!$A$2:$FZ$601,CW181,Sync!$C$7)&amp;"",""))</f>
        <v/>
      </c>
      <c r="CY181" s="23" t="str">
        <f aca="false">IF(CX181="","",IFERROR(INDEX(Lists!$K$2:$K$15,MATCH(CX181,Lists!$J$2:$J$15,0)),""))</f>
        <v/>
      </c>
      <c r="CZ181" s="23" t="str">
        <f aca="false">IF(CW181="","",IFERROR(INDEX(Clay_Offices!$A$2:$FZ$601,CW181,Sync!$C$17)&amp;"",""))</f>
        <v/>
      </c>
      <c r="DA181" s="35" t="str">
        <f aca="false">IF(CW181="","",IFERROR(N(INDEX(Clay_Offices!$A$2:$FZ$601,CW181,Sync!$C$16)),0))</f>
        <v/>
      </c>
      <c r="DB181" s="23" t="n">
        <f aca="false">IF(AND(BB181=1,OR(AR181="Y",AR181="N",AR181="maybe")),1,0)</f>
        <v>0</v>
      </c>
      <c r="DC181" s="23" t="n">
        <f aca="false">IF(AND(DB181=1),IF(COUNTIFS($A$2:$A$201,$A181,$DB$2:$DB$201,1,$H$2:$H$201,"&gt;"&amp;H181)+COUNTIFS($A$2:$A$201,$A181,$DB$2:$DB$201,1,$H$2:$H$201,H181,$BA$2:$BA$201,"&gt;"&amp;BA181)=0,1,0),0)</f>
        <v>0</v>
      </c>
      <c r="DD181" s="23" t="n">
        <f aca="false">IF(AND(DB181=1,INT(N(H181))&lt;=Config!$B$6),IF(COUNTIFS($AZ$2:$AZ$201,AZ181,$DB$2:$DB$201,1,$H$2:$H$201,"&gt;"&amp;H181,$H$2:$H$201,"&lt;"&amp;(Config!$B$6+1))+COUNTIFS($AZ$2:$AZ$201,AZ181,$DB$2:$DB$201,1,$H$2:$H$201,H181,$BA$2:$BA$201,"&gt;"&amp;BA181)=0,1,0),0)</f>
        <v>0</v>
      </c>
      <c r="DE181" s="23" t="n">
        <f aca="false">IF(AND(DB181=1,INT(N(H181))&lt;=Config!$B$7),IF(COUNTIFS($AZ$2:$AZ$201,AZ181,$DB$2:$DB$201,1,$H$2:$H$201,"&gt;"&amp;H181,$H$2:$H$201,"&lt;"&amp;(Config!$B$7+1))+COUNTIFS($AZ$2:$AZ$201,AZ181,$DB$2:$DB$201,1,$H$2:$H$201,H181,$BA$2:$BA$201,"&gt;"&amp;BA181)=0,1,0),0)</f>
        <v>0</v>
      </c>
      <c r="DF181" s="23" t="n">
        <f aca="false">IF(AND(DB181=1,INT(N(H181))&lt;=Config!$B$8),IF(COUNTIFS($AZ$2:$AZ$201,AZ181,$DB$2:$DB$201,1,$H$2:$H$201,"&gt;"&amp;H181,$H$2:$H$201,"&lt;"&amp;(Config!$B$8+1))+COUNTIFS($AZ$2:$AZ$201,AZ181,$DB$2:$DB$201,1,$H$2:$H$201,H181,$BA$2:$BA$201,"&gt;"&amp;BA181)=0,1,0),0)</f>
        <v>0</v>
      </c>
      <c r="DG181" s="23" t="n">
        <f aca="false">IF(AND(DB181=1,INT(N(H181))&lt;=Config!$B$5),IF(COUNTIFS($AZ$2:$AZ$201,AZ181,$DB$2:$DB$201,1,$H$2:$H$201,"&gt;"&amp;H181,$H$2:$H$201,"&lt;"&amp;(Config!$B$5+1))+COUNTIFS($AZ$2:$AZ$201,AZ181,$DB$2:$DB$201,1,$H$2:$H$201,H181,$BA$2:$BA$201,"&gt;"&amp;BA181)=0,1,0),0)</f>
        <v>0</v>
      </c>
      <c r="DH181" s="23" t="n">
        <f aca="false">IF(BB181=1,IF(COUNTIFS($AZ$2:$AZ$201,AZ181,$DD$2:$DD$201,1,$AR$2:$AR$201,"Y")&gt;0,1,0),0)</f>
        <v>0</v>
      </c>
      <c r="DI181" s="23" t="n">
        <f aca="false">IF(BB181=1,IF(COUNTIFS($AZ$2:$AZ$201,AZ181,$DE$2:$DE$201,1,$AR$2:$AR$201,"Y")&gt;0,1,0),0)</f>
        <v>0</v>
      </c>
      <c r="DJ181" s="23" t="n">
        <f aca="false">IF(BB181=1,IF(COUNTIFS($AZ$2:$AZ$201,AZ181,$DF$2:$DF$201,1,$AR$2:$AR$201,"Y")&gt;0,1,0),0)</f>
        <v>0</v>
      </c>
      <c r="DK181" s="23" t="n">
        <f aca="false">IF(BB181=1,IF(COUNTIFS($AZ$2:$AZ$201,AZ181,$DG$2:$DG$201,1,$AR$2:$AR$201,"Y")&gt;0,1,0),0)</f>
        <v>0</v>
      </c>
      <c r="DL181" s="23" t="n">
        <f aca="false">IF(AND(BF181=1,INT(N(H181))&lt;=Config!$B$6,DH181=1,EI181=0),1,0)</f>
        <v>0</v>
      </c>
      <c r="DM181" s="23" t="n">
        <f aca="false">IF(AND(BF181=1,INT(N(H181))&lt;=Config!$B$7,DI181=1,EI181=0),1,0)</f>
        <v>0</v>
      </c>
      <c r="DN181" s="23" t="n">
        <f aca="false">IF(AND(BF181=1,INT(N(H181))&lt;=Config!$B$8,DJ181=1,EI181=0),1,0)</f>
        <v>0</v>
      </c>
      <c r="DO181" s="23" t="n">
        <f aca="false">IF(AND(BF181=1,INT(N(H181))&lt;=Config!$B$5,DK181=1,EI181=0),1,0)</f>
        <v>0</v>
      </c>
      <c r="DP181" s="23" t="n">
        <f aca="false">IF(AND(CC181=1,INT(N(H181))&lt;=Config!$B$6,DH181=1,EI181=0),1,0)</f>
        <v>0</v>
      </c>
      <c r="DQ181" s="23" t="n">
        <f aca="false">IF(AND(CC181=1,INT(N(H181))&lt;=Config!$B$7,DI181=1,EI181=0),1,0)</f>
        <v>0</v>
      </c>
      <c r="DR181" s="23" t="n">
        <f aca="false">IF(AND(CC181=1,INT(N(H181))&lt;=Config!$B$8,DJ181=1,EI181=0),1,0)</f>
        <v>0</v>
      </c>
      <c r="DS181" s="23" t="n">
        <f aca="false">IF(AND(CC181=1,INT(N(H181))&lt;=Config!$B$5,DK181=1,EI181=0),1,0)</f>
        <v>0</v>
      </c>
      <c r="DT181" s="23" t="n">
        <f aca="false">IF(AND(CC181=1,INT(N(H181))&lt;=Config!$B$6,DH181=0),1,0)</f>
        <v>0</v>
      </c>
      <c r="DU181" s="23" t="n">
        <f aca="false">IF(AND(CC181=1,INT(N(H181))&lt;=Config!$B$7,DI181=0),1,0)</f>
        <v>0</v>
      </c>
      <c r="DV181" s="23" t="n">
        <f aca="false">IF(AND(CC181=1,INT(N(H181))&lt;=Config!$B$8,DJ181=0),1,0)</f>
        <v>0</v>
      </c>
      <c r="DW181" s="23" t="n">
        <f aca="false">IF(AND(CC181=1,INT(N(H181))&lt;=Config!$B$5,DK181=0),1,0)</f>
        <v>0</v>
      </c>
      <c r="DX181" s="23" t="n">
        <f aca="false">IF(TRIM($A181)="",0,ISTEXT(M181)+ISTEXT(O181)+ISTEXT(Y181)+ISTEXT(Z181)+ISTEXT(AA181)+ISTEXT(AV181))</f>
        <v>0</v>
      </c>
      <c r="DY181" s="23" t="n">
        <f aca="false">IF(BB181=1,IF(H181&lt;&gt;INT(H181),1,0),0)</f>
        <v>0</v>
      </c>
      <c r="DZ181" s="23" t="str">
        <f aca="false">IF(TRIM($A181)="","",IF(TRIM(B181)="",SUBSTITUTE(SUBSTITUTE(SUBSTITUTE(SUBSTITUTE(SUBSTITUTE(SUBSTITUTE(LOWER(TRIM($A181)),"~",""),"*",""),"?",""),"&lt;",""),"&gt;",""),"=",""),SUBSTITUTE(SUBSTITUTE(SUBSTITUTE(SUBSTITUTE(SUBSTITUTE(SUBSTITUTE(LOWER(TRIM(B181)),"~",""),"*",""),"?",""),"&lt;",""),"&gt;",""),"=","")))</f>
        <v/>
      </c>
      <c r="EA181" s="23" t="str">
        <f aca="false">IF(CW181="","",IFERROR(IF(LEFT(LOWER(TRIM(INDEX(Clay_Offices!$A$2:$FZ$601,CW181,Sync!$C$19)&amp;"")),4)="grp-",SUBSTITUTE(SUBSTITUTE(SUBSTITUTE(SUBSTITUTE(SUBSTITUTE(SUBSTITUTE(LOWER(TRIM(INDEX(Clay_Offices!$A$2:$FZ$601,CW181,Sync!$C$19)&amp;"")),"~",""),"*",""),"?",""),"&lt;",""),"&gt;",""),"=",""),""),""))</f>
        <v/>
      </c>
      <c r="EB181" s="23" t="str">
        <f aca="false">IF(EA181&lt;&gt;"",DZ181,"")</f>
        <v/>
      </c>
      <c r="EC181" s="23" t="str">
        <f aca="false">IF(BC181=1,AZ181,"")</f>
        <v/>
      </c>
      <c r="ED181" s="23" t="str">
        <f aca="false">IF(TRIM($A181)="","",IFERROR(INDEX($A$2:$A$201,MATCH(AZ181,$EC$2:$EC$201,0))&amp;"",$A181&amp;""))</f>
        <v/>
      </c>
      <c r="EE181" s="23" t="n">
        <f aca="false">IF(BB181=1,IF(COUNTIFS($A$2:$A$201,$A181,$BB$2:$BB$201,1,$H$2:$H$201,"&lt;"&amp;H181)+COUNTIFS($A$2:$A$201,$A181,$BB$2:$BB$201,1,$H$2:$H$201,H181,$BA$2:$BA$201,"&lt;"&amp;BA181)=0,1,0),0)</f>
        <v>0</v>
      </c>
      <c r="EF181" s="23" t="n">
        <f aca="false">IF(BC181=1,IF(COUNTIFS($AZ$2:$AZ$201,AZ181,$EE$2:$EE$201,1)&gt;1,1,0),0)</f>
        <v>0</v>
      </c>
      <c r="EG181" s="23" t="n">
        <f aca="false">IF(AND(CQ181=1),IF(COUNTIFS($AZ$2:$AZ$201,AZ181,$CQ$2:$CQ$201,1,$H$2:$H$201,"&gt;"&amp;H181)+COUNTIFS($AZ$2:$AZ$201,AZ181,$CQ$2:$CQ$201,1,$H$2:$H$201,H181,$BA$2:$BA$201,"&gt;"&amp;BA181)=0,1,0),0)</f>
        <v>0</v>
      </c>
      <c r="EH181" s="23" t="str">
        <f aca="false">IF(BB181=1,IF(COUNTIFS($AZ$2:$AZ$201,AZ181,$EG$2:$EG$201,1)=0,"",SUMIFS($O$2:$O$201,$AZ$2:$AZ$201,AZ181,$EG$2:$EG$201,1)),"")</f>
        <v/>
      </c>
      <c r="EI181" s="23" t="n">
        <f aca="false">IF(AND(ISNUMBER(EH181),OR(N(EH181)&lt;Config!$B$31,N(EH181)&gt;Config!$B$33)),1,0)</f>
        <v>0</v>
      </c>
      <c r="EJ181" s="23" t="n">
        <f aca="false">IF(AND(ISNUMBER(EH181),N(EH181)&gt;=Config!$B$31,N(EH181)&lt;Config!$B$32),1,0)</f>
        <v>0</v>
      </c>
      <c r="EK181" s="23" t="n">
        <f aca="false">IF(AND(BF181=1,INT(N(H181))&lt;=Config!$B$6,DH181=1,EI181=1),1,0)</f>
        <v>0</v>
      </c>
      <c r="EL181" s="23" t="n">
        <f aca="false">IF(AND(BF181=1,INT(N(H181))&lt;=Config!$B$7,DI181=1,EI181=1),1,0)</f>
        <v>0</v>
      </c>
      <c r="EM181" s="23" t="n">
        <f aca="false">IF(AND(BF181=1,INT(N(H181))&lt;=Config!$B$8,DJ181=1,EI181=1),1,0)</f>
        <v>0</v>
      </c>
      <c r="EN181" s="23" t="n">
        <f aca="false">IF(AND(BF181=1,INT(N(H181))&lt;=Config!$B$5,DK181=1,EI181=1),1,0)</f>
        <v>0</v>
      </c>
      <c r="EO181" s="23" t="n">
        <f aca="false">IF(AND(DL181=1,EJ181=1),1,0)</f>
        <v>0</v>
      </c>
      <c r="EP181" s="23" t="n">
        <f aca="false">IF(AND(DM181=1,EJ181=1),1,0)</f>
        <v>0</v>
      </c>
      <c r="EQ181" s="23" t="n">
        <f aca="false">IF(AND(DN181=1,EJ181=1),1,0)</f>
        <v>0</v>
      </c>
      <c r="ER181" s="23" t="n">
        <f aca="false">IF(AND(DO181=1,EJ181=1),1,0)</f>
        <v>0</v>
      </c>
    </row>
    <row r="182" customFormat="false" ht="15" hidden="false" customHeight="false" outlineLevel="0" collapsed="false">
      <c r="G182" s="32"/>
      <c r="H182" s="33"/>
      <c r="I182" s="32"/>
      <c r="L182" s="32"/>
      <c r="Q182" s="32"/>
      <c r="U182" s="32"/>
      <c r="W182" s="32"/>
      <c r="AC182" s="32"/>
      <c r="AF182" s="32"/>
      <c r="AI182" s="32"/>
      <c r="AJ182" s="32"/>
      <c r="AN182" s="32"/>
      <c r="AR182" s="32"/>
      <c r="AT182" s="32"/>
      <c r="AU182" s="32"/>
      <c r="AW182" s="32"/>
      <c r="AY182" s="34" t="str">
        <f aca="false">IF(TRIM($A182)="","",IF(AND(LEFT($A182,6)="SAMPLE",Config!$B$19&lt;&gt;"Y"),"",IF(NOT(ISNUMBER(H182)),"call_date is blank or not a date",IF(Sync!$C$5="","Clay paste is empty or has no row_id column: paste the Clay export on Clay_Offices",IF(CW182="","row_id not found in the Clay paste: add the Clay row or fix the row_id",IF(AND(ISNUMBER(CY182),CY182&gt;=1,CY182&lt;=5),"Clay status is "&amp;CX182&amp;": set call_done or later",IF(AND(BD182=1,CZ182&lt;&gt;BZ182),"Clay yes_in_principle should be "&amp;BZ182,IF(AND(BD182=1,DA182&lt;&gt;H182),"Clay call_date should be "&amp;TEXT(H182,"yyyy-mm-dd"),""))))))))</f>
        <v/>
      </c>
      <c r="AZ182" s="23" t="str">
        <f aca="false">IF(TRIM($A182)="","",IF(TRIM(C182)&lt;&gt;"",SUBSTITUTE(SUBSTITUTE(SUBSTITUTE(SUBSTITUTE(SUBSTITUTE(SUBSTITUTE(LOWER(TRIM(C182)),"~",""),"*",""),"?",""),"&lt;",""),"&gt;",""),"=",""),IF(EA182&lt;&gt;"",EA182,IFERROR(INDEX($EA$2:$EA$201,MATCH(DZ182,$EB$2:$EB$201,0)),DZ182))))</f>
        <v/>
      </c>
      <c r="BA182" s="23" t="n">
        <f aca="false">ROW()</f>
        <v>182</v>
      </c>
      <c r="BB182" s="23" t="n">
        <f aca="false">IF(AND(TRIM($A182)&lt;&gt;"",ISNUMBER(H182)),IF(AND(LEFT($A182,6)="SAMPLE",Config!$B$19&lt;&gt;"Y"),0,1),0)</f>
        <v>0</v>
      </c>
      <c r="BC182" s="23" t="n">
        <f aca="false">IF(BB182=1,IF(COUNTIFS($AZ$2:$AZ$201,AZ182,$BB$2:$BB$201,1,$H$2:$H$201,"&lt;"&amp;H182)+COUNTIFS($AZ$2:$AZ$201,AZ182,$BB$2:$BB$201,1,$H$2:$H$201,H182,$BA$2:$BA$201,"&lt;"&amp;BA182)=0,1,0),0)</f>
        <v>0</v>
      </c>
      <c r="BD182" s="23" t="n">
        <f aca="false">IF(BB182=1,IF(COUNTIFS($A$2:$A$201,$A182,$BB$2:$BB$201,1,$H$2:$H$201,"&gt;"&amp;H182)+COUNTIFS($A$2:$A$201,$A182,$BB$2:$BB$201,1,$H$2:$H$201,H182,$BA$2:$BA$201,"&gt;"&amp;BA182)=0,1,0),0)</f>
        <v>0</v>
      </c>
      <c r="BE182" s="23" t="n">
        <f aca="false">IF(AND(BB182=1,AR182="Y",AC182="Y",TRIM(AH182)&lt;&gt;""),1,0)</f>
        <v>0</v>
      </c>
      <c r="BF182" s="23" t="n">
        <f aca="false">IF(BE182=1,IF(COUNTIFS($AZ$2:$AZ$201,AZ182,$BE$2:$BE$201,1,$H$2:$H$201,"&lt;"&amp;H182)+COUNTIFS($AZ$2:$AZ$201,AZ182,$BE$2:$BE$201,1,$H$2:$H$201,H182,$BA$2:$BA$201,"&lt;"&amp;BA182)=0,1,0),0)</f>
        <v>0</v>
      </c>
      <c r="BG182" s="23" t="n">
        <f aca="false">IF(AND(BB182=1,AR182="Y",BE182=0),1,0)</f>
        <v>0</v>
      </c>
      <c r="BH182" s="23" t="n">
        <f aca="false">IF(AND(BB182=1,ISNUMBER(Y182)),1,0)</f>
        <v>0</v>
      </c>
      <c r="BI182" s="23" t="n">
        <f aca="false">IF(BH182=1,IF(COUNTIFS($AZ$2:$AZ$201,AZ182,$BH$2:$BH$201,1,$H$2:$H$201,"&lt;"&amp;H182)+COUNTIFS($AZ$2:$AZ$201,AZ182,$BH$2:$BH$201,1,$H$2:$H$201,H182,$BA$2:$BA$201,"&lt;"&amp;BA182)=0,1,0),0)</f>
        <v>0</v>
      </c>
      <c r="BJ182" s="23" t="str">
        <f aca="false">IF(AND(BI182=1,INT(N(H182))&lt;=Config!$B$6),Y182,"")</f>
        <v/>
      </c>
      <c r="BK182" s="23" t="str">
        <f aca="false">IF(AND(BI182=1,INT(N(H182))&lt;=Config!$B$7),Y182,"")</f>
        <v/>
      </c>
      <c r="BL182" s="23" t="str">
        <f aca="false">IF(AND(BI182=1,INT(N(H182))&lt;=Config!$B$8),Y182,"")</f>
        <v/>
      </c>
      <c r="BM182" s="23" t="str">
        <f aca="false">IF(AND(BI182=1,INT(N(H182))&lt;=Config!$B$5),Y182,"")</f>
        <v/>
      </c>
      <c r="BN182" s="23" t="n">
        <f aca="false">IF(CD182=1,IF(COUNTIFS($AZ$2:$AZ$201,AZ182,$CD$2:$CD$201,1,$H$2:$H$201,"&lt;"&amp;H182)+COUNTIFS($AZ$2:$AZ$201,AZ182,$CD$2:$CD$201,1,$H$2:$H$201,H182,$BA$2:$BA$201,"&lt;"&amp;BA182)=0,1,0),0)</f>
        <v>0</v>
      </c>
      <c r="BO182" s="23" t="n">
        <f aca="false">IF(AND(BB182=1,ISNUMBER(M182)),1,0)</f>
        <v>0</v>
      </c>
      <c r="BP182" s="23" t="n">
        <f aca="false">IF(BO182=1,IF(COUNTIFS($AZ$2:$AZ$201,AZ182,$BO$2:$BO$201,1,$H$2:$H$201,"&lt;"&amp;H182)+COUNTIFS($AZ$2:$AZ$201,AZ182,$BO$2:$BO$201,1,$H$2:$H$201,H182,$BA$2:$BA$201,"&lt;"&amp;BA182)=0,1,0),0)</f>
        <v>0</v>
      </c>
      <c r="BQ182" s="23" t="str">
        <f aca="false">IF(AND(BP182=1,INT(N(H182))&lt;=Config!$B$5),M182,"")</f>
        <v/>
      </c>
      <c r="BR182" s="23" t="n">
        <f aca="false">IF(AND(BB182=1,OR(TRIM(X182)&lt;&gt;"",ISNUMBER(Y182))),1,0)</f>
        <v>0</v>
      </c>
      <c r="BS182" s="23" t="n">
        <f aca="false">IF(BR182=1,IF(COUNTIFS($AZ$2:$AZ$201,AZ182,$BR$2:$BR$201,1,$H$2:$H$201,"&lt;"&amp;H182)+COUNTIFS($AZ$2:$AZ$201,AZ182,$BR$2:$BR$201,1,$H$2:$H$201,H182,$BA$2:$BA$201,"&lt;"&amp;BA182)=0,1,0),0)</f>
        <v>0</v>
      </c>
      <c r="BT182" s="23" t="str">
        <f aca="false">IF(BS182=1,AZ182,"")</f>
        <v/>
      </c>
      <c r="BU182" s="23" t="n">
        <f aca="false">IF(AND(BB182=1,W182="Y",TRIM(X182)=""),1,0)</f>
        <v>0</v>
      </c>
      <c r="BV182" s="23" t="str">
        <f aca="false">IF(BB182=1,AN182&amp;"","")</f>
        <v/>
      </c>
      <c r="BW182" s="23" t="str">
        <f aca="false">IF(BB182=1,AO182&amp;"","")</f>
        <v/>
      </c>
      <c r="BX182" s="23" t="str">
        <f aca="false">IF(BB182=1,AP182&amp;"","")</f>
        <v/>
      </c>
      <c r="BY182" s="23" t="str">
        <f aca="false">IF(AND(BB182=1,ISNUMBER(AV182),INT(N(H182))&lt;=Config!$B$5),AV182,"")</f>
        <v/>
      </c>
      <c r="BZ182" s="23" t="str">
        <f aca="false">IF(BB182=1,IF(COUNTIFS($A$2:$A$201,$A182,$DC$2:$DC$201,1,$AR$2:$AR$201,"Y")&gt;0,"Y","N"),"")</f>
        <v/>
      </c>
      <c r="CA182" s="23" t="n">
        <f aca="false">IF(AND(BB182=1,AR182="maybe"),1,0)</f>
        <v>0</v>
      </c>
      <c r="CB182" s="23" t="n">
        <f aca="false">IF(CA182=1,IF(COUNTIFS($AZ$2:$AZ$201,AZ182,$CA$2:$CA$201,1,$H$2:$H$201,"&lt;"&amp;H182)+COUNTIFS($AZ$2:$AZ$201,AZ182,$CA$2:$CA$201,1,$H$2:$H$201,H182,$BA$2:$BA$201,"&lt;"&amp;BA182)=0,1,0),0)</f>
        <v>0</v>
      </c>
      <c r="CC182" s="23" t="n">
        <f aca="false">IF(AND(BB182=1,AR182="Y"),IF(COUNTIFS($AZ$2:$AZ$201,AZ182,$AR$2:$AR$201,"Y",$BB$2:$BB$201,1,$H$2:$H$201,"&lt;"&amp;H182)+COUNTIFS($AZ$2:$AZ$201,AZ182,$AR$2:$AR$201,"Y",$BB$2:$BB$201,1,$H$2:$H$201,H182,$BA$2:$BA$201,"&lt;"&amp;BA182)=0,1,0),0)</f>
        <v>0</v>
      </c>
      <c r="CD182" s="23" t="n">
        <f aca="false">IF(AND(BH182=1,N(Y182)&gt;=Config!$B$15),1,0)</f>
        <v>0</v>
      </c>
      <c r="CE182" s="23" t="n">
        <f aca="false">IF(AND(BB182=1,AT182="Y"),1,0)</f>
        <v>0</v>
      </c>
      <c r="CF182" s="23" t="n">
        <f aca="false">IF(CE182=1,IF(COUNTIFS($AZ$2:$AZ$201,AZ182,$CE$2:$CE$201,1,$H$2:$H$201,"&lt;"&amp;H182)+COUNTIFS($AZ$2:$AZ$201,AZ182,$CE$2:$CE$201,1,$H$2:$H$201,H182,$BA$2:$BA$201,"&lt;"&amp;BA182)=0,1,0),0)</f>
        <v>0</v>
      </c>
      <c r="CG182" s="23" t="n">
        <f aca="false">IF(AND(BB182=1,G182="warm-intro"),1,0)</f>
        <v>0</v>
      </c>
      <c r="CH182" s="23" t="n">
        <f aca="false">IF(CG182=1,IF(COUNTIFS($AZ$2:$AZ$201,AZ182,$CG$2:$CG$201,1,$H$2:$H$201,"&lt;"&amp;H182)+COUNTIFS($AZ$2:$AZ$201,AZ182,$CG$2:$CG$201,1,$H$2:$H$201,H182,$BA$2:$BA$201,"&lt;"&amp;BA182)=0,1,0),0)</f>
        <v>0</v>
      </c>
      <c r="CI182" s="23" t="n">
        <f aca="false">IF(AND(BB182=1,Q182="Y"),1,0)</f>
        <v>0</v>
      </c>
      <c r="CJ182" s="23" t="n">
        <f aca="false">IF(CI182=1,IF(COUNTIFS($AZ$2:$AZ$201,AZ182,$CI$2:$CI$201,1,$H$2:$H$201,"&lt;"&amp;H182)+COUNTIFS($AZ$2:$AZ$201,AZ182,$CI$2:$CI$201,1,$H$2:$H$201,H182,$BA$2:$BA$201,"&lt;"&amp;BA182)=0,1,0),0)</f>
        <v>0</v>
      </c>
      <c r="CK182" s="23" t="n">
        <f aca="false">IF(AND(BB182=1,AF182="Y"),1,0)</f>
        <v>0</v>
      </c>
      <c r="CL182" s="23" t="n">
        <f aca="false">IF(CK182=1,IF(COUNTIFS($AZ$2:$AZ$201,AZ182,$CK$2:$CK$201,1,$H$2:$H$201,"&lt;"&amp;H182)+COUNTIFS($AZ$2:$AZ$201,AZ182,$CK$2:$CK$201,1,$H$2:$H$201,H182,$BA$2:$BA$201,"&lt;"&amp;BA182)=0,1,0),0)</f>
        <v>0</v>
      </c>
      <c r="CM182" s="23" t="n">
        <f aca="false">IF(AND(BB182=1,U182="Y"),1,0)</f>
        <v>0</v>
      </c>
      <c r="CN182" s="23" t="n">
        <f aca="false">IF(CM182=1,IF(COUNTIFS($AZ$2:$AZ$201,AZ182,$CM$2:$CM$201,1,$H$2:$H$201,"&lt;"&amp;H182)+COUNTIFS($AZ$2:$AZ$201,AZ182,$CM$2:$CM$201,1,$H$2:$H$201,H182,$BA$2:$BA$201,"&lt;"&amp;BA182)=0,1,0),0)</f>
        <v>0</v>
      </c>
      <c r="CO182" s="23" t="n">
        <f aca="false">IF(AND(BB182=1,L182="Y"),1,0)</f>
        <v>0</v>
      </c>
      <c r="CP182" s="23" t="n">
        <f aca="false">IF(CO182=1,IF(COUNTIFS($AZ$2:$AZ$201,AZ182,$CO$2:$CO$201,1,$H$2:$H$201,"&lt;"&amp;H182)+COUNTIFS($AZ$2:$AZ$201,AZ182,$CO$2:$CO$201,1,$H$2:$H$201,H182,$BA$2:$BA$201,"&lt;"&amp;BA182)=0,1,0),0)</f>
        <v>0</v>
      </c>
      <c r="CQ182" s="23" t="n">
        <f aca="false">IF(AND(BB182=1,ISNUMBER(O182)),1,0)</f>
        <v>0</v>
      </c>
      <c r="CR182" s="23" t="n">
        <f aca="false">IF(CQ182=1,IF(COUNTIFS($AZ$2:$AZ$201,AZ182,$CQ$2:$CQ$201,1,$H$2:$H$201,"&lt;"&amp;H182)+COUNTIFS($AZ$2:$AZ$201,AZ182,$CQ$2:$CQ$201,1,$H$2:$H$201,H182,$BA$2:$BA$201,"&lt;"&amp;BA182)=0,1,0),0)</f>
        <v>0</v>
      </c>
      <c r="CS182" s="23" t="str">
        <f aca="false">IF(AND(CR182=1,INT(N(H182))&lt;=Config!$B$5),O182,"")</f>
        <v/>
      </c>
      <c r="CT182" s="23" t="str">
        <f aca="false">IF(AND(BB182=1,INT(N(H182))&lt;=Config!$B$5),AG182&amp;"","")</f>
        <v/>
      </c>
      <c r="CU182" s="23" t="n">
        <f aca="false">IF(AND(BB182=1,AU182="Y"),1,0)</f>
        <v>0</v>
      </c>
      <c r="CV182" s="23" t="n">
        <f aca="false">IF(CU182=1,IF(COUNTIFS($AZ$2:$AZ$201,AZ182,$CU$2:$CU$201,1,$H$2:$H$201,"&lt;"&amp;H182)+COUNTIFS($AZ$2:$AZ$201,AZ182,$CU$2:$CU$201,1,$H$2:$H$201,H182,$BA$2:$BA$201,"&lt;"&amp;BA182)=0,1,0),0)</f>
        <v>0</v>
      </c>
      <c r="CW182" s="23" t="str">
        <f aca="false">IF(BB182=1,IFERROR(MATCH($A182,INDEX(Clay_Offices!$A$2:$FZ$601,0,Sync!$C$5),0),""),"")</f>
        <v/>
      </c>
      <c r="CX182" s="23" t="str">
        <f aca="false">IF(CW182="","",IFERROR(INDEX(Clay_Offices!$A$2:$FZ$601,CW182,Sync!$C$7)&amp;"",""))</f>
        <v/>
      </c>
      <c r="CY182" s="23" t="str">
        <f aca="false">IF(CX182="","",IFERROR(INDEX(Lists!$K$2:$K$15,MATCH(CX182,Lists!$J$2:$J$15,0)),""))</f>
        <v/>
      </c>
      <c r="CZ182" s="23" t="str">
        <f aca="false">IF(CW182="","",IFERROR(INDEX(Clay_Offices!$A$2:$FZ$601,CW182,Sync!$C$17)&amp;"",""))</f>
        <v/>
      </c>
      <c r="DA182" s="35" t="str">
        <f aca="false">IF(CW182="","",IFERROR(N(INDEX(Clay_Offices!$A$2:$FZ$601,CW182,Sync!$C$16)),0))</f>
        <v/>
      </c>
      <c r="DB182" s="23" t="n">
        <f aca="false">IF(AND(BB182=1,OR(AR182="Y",AR182="N",AR182="maybe")),1,0)</f>
        <v>0</v>
      </c>
      <c r="DC182" s="23" t="n">
        <f aca="false">IF(AND(DB182=1),IF(COUNTIFS($A$2:$A$201,$A182,$DB$2:$DB$201,1,$H$2:$H$201,"&gt;"&amp;H182)+COUNTIFS($A$2:$A$201,$A182,$DB$2:$DB$201,1,$H$2:$H$201,H182,$BA$2:$BA$201,"&gt;"&amp;BA182)=0,1,0),0)</f>
        <v>0</v>
      </c>
      <c r="DD182" s="23" t="n">
        <f aca="false">IF(AND(DB182=1,INT(N(H182))&lt;=Config!$B$6),IF(COUNTIFS($AZ$2:$AZ$201,AZ182,$DB$2:$DB$201,1,$H$2:$H$201,"&gt;"&amp;H182,$H$2:$H$201,"&lt;"&amp;(Config!$B$6+1))+COUNTIFS($AZ$2:$AZ$201,AZ182,$DB$2:$DB$201,1,$H$2:$H$201,H182,$BA$2:$BA$201,"&gt;"&amp;BA182)=0,1,0),0)</f>
        <v>0</v>
      </c>
      <c r="DE182" s="23" t="n">
        <f aca="false">IF(AND(DB182=1,INT(N(H182))&lt;=Config!$B$7),IF(COUNTIFS($AZ$2:$AZ$201,AZ182,$DB$2:$DB$201,1,$H$2:$H$201,"&gt;"&amp;H182,$H$2:$H$201,"&lt;"&amp;(Config!$B$7+1))+COUNTIFS($AZ$2:$AZ$201,AZ182,$DB$2:$DB$201,1,$H$2:$H$201,H182,$BA$2:$BA$201,"&gt;"&amp;BA182)=0,1,0),0)</f>
        <v>0</v>
      </c>
      <c r="DF182" s="23" t="n">
        <f aca="false">IF(AND(DB182=1,INT(N(H182))&lt;=Config!$B$8),IF(COUNTIFS($AZ$2:$AZ$201,AZ182,$DB$2:$DB$201,1,$H$2:$H$201,"&gt;"&amp;H182,$H$2:$H$201,"&lt;"&amp;(Config!$B$8+1))+COUNTIFS($AZ$2:$AZ$201,AZ182,$DB$2:$DB$201,1,$H$2:$H$201,H182,$BA$2:$BA$201,"&gt;"&amp;BA182)=0,1,0),0)</f>
        <v>0</v>
      </c>
      <c r="DG182" s="23" t="n">
        <f aca="false">IF(AND(DB182=1,INT(N(H182))&lt;=Config!$B$5),IF(COUNTIFS($AZ$2:$AZ$201,AZ182,$DB$2:$DB$201,1,$H$2:$H$201,"&gt;"&amp;H182,$H$2:$H$201,"&lt;"&amp;(Config!$B$5+1))+COUNTIFS($AZ$2:$AZ$201,AZ182,$DB$2:$DB$201,1,$H$2:$H$201,H182,$BA$2:$BA$201,"&gt;"&amp;BA182)=0,1,0),0)</f>
        <v>0</v>
      </c>
      <c r="DH182" s="23" t="n">
        <f aca="false">IF(BB182=1,IF(COUNTIFS($AZ$2:$AZ$201,AZ182,$DD$2:$DD$201,1,$AR$2:$AR$201,"Y")&gt;0,1,0),0)</f>
        <v>0</v>
      </c>
      <c r="DI182" s="23" t="n">
        <f aca="false">IF(BB182=1,IF(COUNTIFS($AZ$2:$AZ$201,AZ182,$DE$2:$DE$201,1,$AR$2:$AR$201,"Y")&gt;0,1,0),0)</f>
        <v>0</v>
      </c>
      <c r="DJ182" s="23" t="n">
        <f aca="false">IF(BB182=1,IF(COUNTIFS($AZ$2:$AZ$201,AZ182,$DF$2:$DF$201,1,$AR$2:$AR$201,"Y")&gt;0,1,0),0)</f>
        <v>0</v>
      </c>
      <c r="DK182" s="23" t="n">
        <f aca="false">IF(BB182=1,IF(COUNTIFS($AZ$2:$AZ$201,AZ182,$DG$2:$DG$201,1,$AR$2:$AR$201,"Y")&gt;0,1,0),0)</f>
        <v>0</v>
      </c>
      <c r="DL182" s="23" t="n">
        <f aca="false">IF(AND(BF182=1,INT(N(H182))&lt;=Config!$B$6,DH182=1,EI182=0),1,0)</f>
        <v>0</v>
      </c>
      <c r="DM182" s="23" t="n">
        <f aca="false">IF(AND(BF182=1,INT(N(H182))&lt;=Config!$B$7,DI182=1,EI182=0),1,0)</f>
        <v>0</v>
      </c>
      <c r="DN182" s="23" t="n">
        <f aca="false">IF(AND(BF182=1,INT(N(H182))&lt;=Config!$B$8,DJ182=1,EI182=0),1,0)</f>
        <v>0</v>
      </c>
      <c r="DO182" s="23" t="n">
        <f aca="false">IF(AND(BF182=1,INT(N(H182))&lt;=Config!$B$5,DK182=1,EI182=0),1,0)</f>
        <v>0</v>
      </c>
      <c r="DP182" s="23" t="n">
        <f aca="false">IF(AND(CC182=1,INT(N(H182))&lt;=Config!$B$6,DH182=1,EI182=0),1,0)</f>
        <v>0</v>
      </c>
      <c r="DQ182" s="23" t="n">
        <f aca="false">IF(AND(CC182=1,INT(N(H182))&lt;=Config!$B$7,DI182=1,EI182=0),1,0)</f>
        <v>0</v>
      </c>
      <c r="DR182" s="23" t="n">
        <f aca="false">IF(AND(CC182=1,INT(N(H182))&lt;=Config!$B$8,DJ182=1,EI182=0),1,0)</f>
        <v>0</v>
      </c>
      <c r="DS182" s="23" t="n">
        <f aca="false">IF(AND(CC182=1,INT(N(H182))&lt;=Config!$B$5,DK182=1,EI182=0),1,0)</f>
        <v>0</v>
      </c>
      <c r="DT182" s="23" t="n">
        <f aca="false">IF(AND(CC182=1,INT(N(H182))&lt;=Config!$B$6,DH182=0),1,0)</f>
        <v>0</v>
      </c>
      <c r="DU182" s="23" t="n">
        <f aca="false">IF(AND(CC182=1,INT(N(H182))&lt;=Config!$B$7,DI182=0),1,0)</f>
        <v>0</v>
      </c>
      <c r="DV182" s="23" t="n">
        <f aca="false">IF(AND(CC182=1,INT(N(H182))&lt;=Config!$B$8,DJ182=0),1,0)</f>
        <v>0</v>
      </c>
      <c r="DW182" s="23" t="n">
        <f aca="false">IF(AND(CC182=1,INT(N(H182))&lt;=Config!$B$5,DK182=0),1,0)</f>
        <v>0</v>
      </c>
      <c r="DX182" s="23" t="n">
        <f aca="false">IF(TRIM($A182)="",0,ISTEXT(M182)+ISTEXT(O182)+ISTEXT(Y182)+ISTEXT(Z182)+ISTEXT(AA182)+ISTEXT(AV182))</f>
        <v>0</v>
      </c>
      <c r="DY182" s="23" t="n">
        <f aca="false">IF(BB182=1,IF(H182&lt;&gt;INT(H182),1,0),0)</f>
        <v>0</v>
      </c>
      <c r="DZ182" s="23" t="str">
        <f aca="false">IF(TRIM($A182)="","",IF(TRIM(B182)="",SUBSTITUTE(SUBSTITUTE(SUBSTITUTE(SUBSTITUTE(SUBSTITUTE(SUBSTITUTE(LOWER(TRIM($A182)),"~",""),"*",""),"?",""),"&lt;",""),"&gt;",""),"=",""),SUBSTITUTE(SUBSTITUTE(SUBSTITUTE(SUBSTITUTE(SUBSTITUTE(SUBSTITUTE(LOWER(TRIM(B182)),"~",""),"*",""),"?",""),"&lt;",""),"&gt;",""),"=","")))</f>
        <v/>
      </c>
      <c r="EA182" s="23" t="str">
        <f aca="false">IF(CW182="","",IFERROR(IF(LEFT(LOWER(TRIM(INDEX(Clay_Offices!$A$2:$FZ$601,CW182,Sync!$C$19)&amp;"")),4)="grp-",SUBSTITUTE(SUBSTITUTE(SUBSTITUTE(SUBSTITUTE(SUBSTITUTE(SUBSTITUTE(LOWER(TRIM(INDEX(Clay_Offices!$A$2:$FZ$601,CW182,Sync!$C$19)&amp;"")),"~",""),"*",""),"?",""),"&lt;",""),"&gt;",""),"=",""),""),""))</f>
        <v/>
      </c>
      <c r="EB182" s="23" t="str">
        <f aca="false">IF(EA182&lt;&gt;"",DZ182,"")</f>
        <v/>
      </c>
      <c r="EC182" s="23" t="str">
        <f aca="false">IF(BC182=1,AZ182,"")</f>
        <v/>
      </c>
      <c r="ED182" s="23" t="str">
        <f aca="false">IF(TRIM($A182)="","",IFERROR(INDEX($A$2:$A$201,MATCH(AZ182,$EC$2:$EC$201,0))&amp;"",$A182&amp;""))</f>
        <v/>
      </c>
      <c r="EE182" s="23" t="n">
        <f aca="false">IF(BB182=1,IF(COUNTIFS($A$2:$A$201,$A182,$BB$2:$BB$201,1,$H$2:$H$201,"&lt;"&amp;H182)+COUNTIFS($A$2:$A$201,$A182,$BB$2:$BB$201,1,$H$2:$H$201,H182,$BA$2:$BA$201,"&lt;"&amp;BA182)=0,1,0),0)</f>
        <v>0</v>
      </c>
      <c r="EF182" s="23" t="n">
        <f aca="false">IF(BC182=1,IF(COUNTIFS($AZ$2:$AZ$201,AZ182,$EE$2:$EE$201,1)&gt;1,1,0),0)</f>
        <v>0</v>
      </c>
      <c r="EG182" s="23" t="n">
        <f aca="false">IF(AND(CQ182=1),IF(COUNTIFS($AZ$2:$AZ$201,AZ182,$CQ$2:$CQ$201,1,$H$2:$H$201,"&gt;"&amp;H182)+COUNTIFS($AZ$2:$AZ$201,AZ182,$CQ$2:$CQ$201,1,$H$2:$H$201,H182,$BA$2:$BA$201,"&gt;"&amp;BA182)=0,1,0),0)</f>
        <v>0</v>
      </c>
      <c r="EH182" s="23" t="str">
        <f aca="false">IF(BB182=1,IF(COUNTIFS($AZ$2:$AZ$201,AZ182,$EG$2:$EG$201,1)=0,"",SUMIFS($O$2:$O$201,$AZ$2:$AZ$201,AZ182,$EG$2:$EG$201,1)),"")</f>
        <v/>
      </c>
      <c r="EI182" s="23" t="n">
        <f aca="false">IF(AND(ISNUMBER(EH182),OR(N(EH182)&lt;Config!$B$31,N(EH182)&gt;Config!$B$33)),1,0)</f>
        <v>0</v>
      </c>
      <c r="EJ182" s="23" t="n">
        <f aca="false">IF(AND(ISNUMBER(EH182),N(EH182)&gt;=Config!$B$31,N(EH182)&lt;Config!$B$32),1,0)</f>
        <v>0</v>
      </c>
      <c r="EK182" s="23" t="n">
        <f aca="false">IF(AND(BF182=1,INT(N(H182))&lt;=Config!$B$6,DH182=1,EI182=1),1,0)</f>
        <v>0</v>
      </c>
      <c r="EL182" s="23" t="n">
        <f aca="false">IF(AND(BF182=1,INT(N(H182))&lt;=Config!$B$7,DI182=1,EI182=1),1,0)</f>
        <v>0</v>
      </c>
      <c r="EM182" s="23" t="n">
        <f aca="false">IF(AND(BF182=1,INT(N(H182))&lt;=Config!$B$8,DJ182=1,EI182=1),1,0)</f>
        <v>0</v>
      </c>
      <c r="EN182" s="23" t="n">
        <f aca="false">IF(AND(BF182=1,INT(N(H182))&lt;=Config!$B$5,DK182=1,EI182=1),1,0)</f>
        <v>0</v>
      </c>
      <c r="EO182" s="23" t="n">
        <f aca="false">IF(AND(DL182=1,EJ182=1),1,0)</f>
        <v>0</v>
      </c>
      <c r="EP182" s="23" t="n">
        <f aca="false">IF(AND(DM182=1,EJ182=1),1,0)</f>
        <v>0</v>
      </c>
      <c r="EQ182" s="23" t="n">
        <f aca="false">IF(AND(DN182=1,EJ182=1),1,0)</f>
        <v>0</v>
      </c>
      <c r="ER182" s="23" t="n">
        <f aca="false">IF(AND(DO182=1,EJ182=1),1,0)</f>
        <v>0</v>
      </c>
    </row>
    <row r="183" customFormat="false" ht="15" hidden="false" customHeight="false" outlineLevel="0" collapsed="false">
      <c r="G183" s="32"/>
      <c r="H183" s="33"/>
      <c r="I183" s="32"/>
      <c r="L183" s="32"/>
      <c r="Q183" s="32"/>
      <c r="U183" s="32"/>
      <c r="W183" s="32"/>
      <c r="AC183" s="32"/>
      <c r="AF183" s="32"/>
      <c r="AI183" s="32"/>
      <c r="AJ183" s="32"/>
      <c r="AN183" s="32"/>
      <c r="AR183" s="32"/>
      <c r="AT183" s="32"/>
      <c r="AU183" s="32"/>
      <c r="AW183" s="32"/>
      <c r="AY183" s="34" t="str">
        <f aca="false">IF(TRIM($A183)="","",IF(AND(LEFT($A183,6)="SAMPLE",Config!$B$19&lt;&gt;"Y"),"",IF(NOT(ISNUMBER(H183)),"call_date is blank or not a date",IF(Sync!$C$5="","Clay paste is empty or has no row_id column: paste the Clay export on Clay_Offices",IF(CW183="","row_id not found in the Clay paste: add the Clay row or fix the row_id",IF(AND(ISNUMBER(CY183),CY183&gt;=1,CY183&lt;=5),"Clay status is "&amp;CX183&amp;": set call_done or later",IF(AND(BD183=1,CZ183&lt;&gt;BZ183),"Clay yes_in_principle should be "&amp;BZ183,IF(AND(BD183=1,DA183&lt;&gt;H183),"Clay call_date should be "&amp;TEXT(H183,"yyyy-mm-dd"),""))))))))</f>
        <v/>
      </c>
      <c r="AZ183" s="23" t="str">
        <f aca="false">IF(TRIM($A183)="","",IF(TRIM(C183)&lt;&gt;"",SUBSTITUTE(SUBSTITUTE(SUBSTITUTE(SUBSTITUTE(SUBSTITUTE(SUBSTITUTE(LOWER(TRIM(C183)),"~",""),"*",""),"?",""),"&lt;",""),"&gt;",""),"=",""),IF(EA183&lt;&gt;"",EA183,IFERROR(INDEX($EA$2:$EA$201,MATCH(DZ183,$EB$2:$EB$201,0)),DZ183))))</f>
        <v/>
      </c>
      <c r="BA183" s="23" t="n">
        <f aca="false">ROW()</f>
        <v>183</v>
      </c>
      <c r="BB183" s="23" t="n">
        <f aca="false">IF(AND(TRIM($A183)&lt;&gt;"",ISNUMBER(H183)),IF(AND(LEFT($A183,6)="SAMPLE",Config!$B$19&lt;&gt;"Y"),0,1),0)</f>
        <v>0</v>
      </c>
      <c r="BC183" s="23" t="n">
        <f aca="false">IF(BB183=1,IF(COUNTIFS($AZ$2:$AZ$201,AZ183,$BB$2:$BB$201,1,$H$2:$H$201,"&lt;"&amp;H183)+COUNTIFS($AZ$2:$AZ$201,AZ183,$BB$2:$BB$201,1,$H$2:$H$201,H183,$BA$2:$BA$201,"&lt;"&amp;BA183)=0,1,0),0)</f>
        <v>0</v>
      </c>
      <c r="BD183" s="23" t="n">
        <f aca="false">IF(BB183=1,IF(COUNTIFS($A$2:$A$201,$A183,$BB$2:$BB$201,1,$H$2:$H$201,"&gt;"&amp;H183)+COUNTIFS($A$2:$A$201,$A183,$BB$2:$BB$201,1,$H$2:$H$201,H183,$BA$2:$BA$201,"&gt;"&amp;BA183)=0,1,0),0)</f>
        <v>0</v>
      </c>
      <c r="BE183" s="23" t="n">
        <f aca="false">IF(AND(BB183=1,AR183="Y",AC183="Y",TRIM(AH183)&lt;&gt;""),1,0)</f>
        <v>0</v>
      </c>
      <c r="BF183" s="23" t="n">
        <f aca="false">IF(BE183=1,IF(COUNTIFS($AZ$2:$AZ$201,AZ183,$BE$2:$BE$201,1,$H$2:$H$201,"&lt;"&amp;H183)+COUNTIFS($AZ$2:$AZ$201,AZ183,$BE$2:$BE$201,1,$H$2:$H$201,H183,$BA$2:$BA$201,"&lt;"&amp;BA183)=0,1,0),0)</f>
        <v>0</v>
      </c>
      <c r="BG183" s="23" t="n">
        <f aca="false">IF(AND(BB183=1,AR183="Y",BE183=0),1,0)</f>
        <v>0</v>
      </c>
      <c r="BH183" s="23" t="n">
        <f aca="false">IF(AND(BB183=1,ISNUMBER(Y183)),1,0)</f>
        <v>0</v>
      </c>
      <c r="BI183" s="23" t="n">
        <f aca="false">IF(BH183=1,IF(COUNTIFS($AZ$2:$AZ$201,AZ183,$BH$2:$BH$201,1,$H$2:$H$201,"&lt;"&amp;H183)+COUNTIFS($AZ$2:$AZ$201,AZ183,$BH$2:$BH$201,1,$H$2:$H$201,H183,$BA$2:$BA$201,"&lt;"&amp;BA183)=0,1,0),0)</f>
        <v>0</v>
      </c>
      <c r="BJ183" s="23" t="str">
        <f aca="false">IF(AND(BI183=1,INT(N(H183))&lt;=Config!$B$6),Y183,"")</f>
        <v/>
      </c>
      <c r="BK183" s="23" t="str">
        <f aca="false">IF(AND(BI183=1,INT(N(H183))&lt;=Config!$B$7),Y183,"")</f>
        <v/>
      </c>
      <c r="BL183" s="23" t="str">
        <f aca="false">IF(AND(BI183=1,INT(N(H183))&lt;=Config!$B$8),Y183,"")</f>
        <v/>
      </c>
      <c r="BM183" s="23" t="str">
        <f aca="false">IF(AND(BI183=1,INT(N(H183))&lt;=Config!$B$5),Y183,"")</f>
        <v/>
      </c>
      <c r="BN183" s="23" t="n">
        <f aca="false">IF(CD183=1,IF(COUNTIFS($AZ$2:$AZ$201,AZ183,$CD$2:$CD$201,1,$H$2:$H$201,"&lt;"&amp;H183)+COUNTIFS($AZ$2:$AZ$201,AZ183,$CD$2:$CD$201,1,$H$2:$H$201,H183,$BA$2:$BA$201,"&lt;"&amp;BA183)=0,1,0),0)</f>
        <v>0</v>
      </c>
      <c r="BO183" s="23" t="n">
        <f aca="false">IF(AND(BB183=1,ISNUMBER(M183)),1,0)</f>
        <v>0</v>
      </c>
      <c r="BP183" s="23" t="n">
        <f aca="false">IF(BO183=1,IF(COUNTIFS($AZ$2:$AZ$201,AZ183,$BO$2:$BO$201,1,$H$2:$H$201,"&lt;"&amp;H183)+COUNTIFS($AZ$2:$AZ$201,AZ183,$BO$2:$BO$201,1,$H$2:$H$201,H183,$BA$2:$BA$201,"&lt;"&amp;BA183)=0,1,0),0)</f>
        <v>0</v>
      </c>
      <c r="BQ183" s="23" t="str">
        <f aca="false">IF(AND(BP183=1,INT(N(H183))&lt;=Config!$B$5),M183,"")</f>
        <v/>
      </c>
      <c r="BR183" s="23" t="n">
        <f aca="false">IF(AND(BB183=1,OR(TRIM(X183)&lt;&gt;"",ISNUMBER(Y183))),1,0)</f>
        <v>0</v>
      </c>
      <c r="BS183" s="23" t="n">
        <f aca="false">IF(BR183=1,IF(COUNTIFS($AZ$2:$AZ$201,AZ183,$BR$2:$BR$201,1,$H$2:$H$201,"&lt;"&amp;H183)+COUNTIFS($AZ$2:$AZ$201,AZ183,$BR$2:$BR$201,1,$H$2:$H$201,H183,$BA$2:$BA$201,"&lt;"&amp;BA183)=0,1,0),0)</f>
        <v>0</v>
      </c>
      <c r="BT183" s="23" t="str">
        <f aca="false">IF(BS183=1,AZ183,"")</f>
        <v/>
      </c>
      <c r="BU183" s="23" t="n">
        <f aca="false">IF(AND(BB183=1,W183="Y",TRIM(X183)=""),1,0)</f>
        <v>0</v>
      </c>
      <c r="BV183" s="23" t="str">
        <f aca="false">IF(BB183=1,AN183&amp;"","")</f>
        <v/>
      </c>
      <c r="BW183" s="23" t="str">
        <f aca="false">IF(BB183=1,AO183&amp;"","")</f>
        <v/>
      </c>
      <c r="BX183" s="23" t="str">
        <f aca="false">IF(BB183=1,AP183&amp;"","")</f>
        <v/>
      </c>
      <c r="BY183" s="23" t="str">
        <f aca="false">IF(AND(BB183=1,ISNUMBER(AV183),INT(N(H183))&lt;=Config!$B$5),AV183,"")</f>
        <v/>
      </c>
      <c r="BZ183" s="23" t="str">
        <f aca="false">IF(BB183=1,IF(COUNTIFS($A$2:$A$201,$A183,$DC$2:$DC$201,1,$AR$2:$AR$201,"Y")&gt;0,"Y","N"),"")</f>
        <v/>
      </c>
      <c r="CA183" s="23" t="n">
        <f aca="false">IF(AND(BB183=1,AR183="maybe"),1,0)</f>
        <v>0</v>
      </c>
      <c r="CB183" s="23" t="n">
        <f aca="false">IF(CA183=1,IF(COUNTIFS($AZ$2:$AZ$201,AZ183,$CA$2:$CA$201,1,$H$2:$H$201,"&lt;"&amp;H183)+COUNTIFS($AZ$2:$AZ$201,AZ183,$CA$2:$CA$201,1,$H$2:$H$201,H183,$BA$2:$BA$201,"&lt;"&amp;BA183)=0,1,0),0)</f>
        <v>0</v>
      </c>
      <c r="CC183" s="23" t="n">
        <f aca="false">IF(AND(BB183=1,AR183="Y"),IF(COUNTIFS($AZ$2:$AZ$201,AZ183,$AR$2:$AR$201,"Y",$BB$2:$BB$201,1,$H$2:$H$201,"&lt;"&amp;H183)+COUNTIFS($AZ$2:$AZ$201,AZ183,$AR$2:$AR$201,"Y",$BB$2:$BB$201,1,$H$2:$H$201,H183,$BA$2:$BA$201,"&lt;"&amp;BA183)=0,1,0),0)</f>
        <v>0</v>
      </c>
      <c r="CD183" s="23" t="n">
        <f aca="false">IF(AND(BH183=1,N(Y183)&gt;=Config!$B$15),1,0)</f>
        <v>0</v>
      </c>
      <c r="CE183" s="23" t="n">
        <f aca="false">IF(AND(BB183=1,AT183="Y"),1,0)</f>
        <v>0</v>
      </c>
      <c r="CF183" s="23" t="n">
        <f aca="false">IF(CE183=1,IF(COUNTIFS($AZ$2:$AZ$201,AZ183,$CE$2:$CE$201,1,$H$2:$H$201,"&lt;"&amp;H183)+COUNTIFS($AZ$2:$AZ$201,AZ183,$CE$2:$CE$201,1,$H$2:$H$201,H183,$BA$2:$BA$201,"&lt;"&amp;BA183)=0,1,0),0)</f>
        <v>0</v>
      </c>
      <c r="CG183" s="23" t="n">
        <f aca="false">IF(AND(BB183=1,G183="warm-intro"),1,0)</f>
        <v>0</v>
      </c>
      <c r="CH183" s="23" t="n">
        <f aca="false">IF(CG183=1,IF(COUNTIFS($AZ$2:$AZ$201,AZ183,$CG$2:$CG$201,1,$H$2:$H$201,"&lt;"&amp;H183)+COUNTIFS($AZ$2:$AZ$201,AZ183,$CG$2:$CG$201,1,$H$2:$H$201,H183,$BA$2:$BA$201,"&lt;"&amp;BA183)=0,1,0),0)</f>
        <v>0</v>
      </c>
      <c r="CI183" s="23" t="n">
        <f aca="false">IF(AND(BB183=1,Q183="Y"),1,0)</f>
        <v>0</v>
      </c>
      <c r="CJ183" s="23" t="n">
        <f aca="false">IF(CI183=1,IF(COUNTIFS($AZ$2:$AZ$201,AZ183,$CI$2:$CI$201,1,$H$2:$H$201,"&lt;"&amp;H183)+COUNTIFS($AZ$2:$AZ$201,AZ183,$CI$2:$CI$201,1,$H$2:$H$201,H183,$BA$2:$BA$201,"&lt;"&amp;BA183)=0,1,0),0)</f>
        <v>0</v>
      </c>
      <c r="CK183" s="23" t="n">
        <f aca="false">IF(AND(BB183=1,AF183="Y"),1,0)</f>
        <v>0</v>
      </c>
      <c r="CL183" s="23" t="n">
        <f aca="false">IF(CK183=1,IF(COUNTIFS($AZ$2:$AZ$201,AZ183,$CK$2:$CK$201,1,$H$2:$H$201,"&lt;"&amp;H183)+COUNTIFS($AZ$2:$AZ$201,AZ183,$CK$2:$CK$201,1,$H$2:$H$201,H183,$BA$2:$BA$201,"&lt;"&amp;BA183)=0,1,0),0)</f>
        <v>0</v>
      </c>
      <c r="CM183" s="23" t="n">
        <f aca="false">IF(AND(BB183=1,U183="Y"),1,0)</f>
        <v>0</v>
      </c>
      <c r="CN183" s="23" t="n">
        <f aca="false">IF(CM183=1,IF(COUNTIFS($AZ$2:$AZ$201,AZ183,$CM$2:$CM$201,1,$H$2:$H$201,"&lt;"&amp;H183)+COUNTIFS($AZ$2:$AZ$201,AZ183,$CM$2:$CM$201,1,$H$2:$H$201,H183,$BA$2:$BA$201,"&lt;"&amp;BA183)=0,1,0),0)</f>
        <v>0</v>
      </c>
      <c r="CO183" s="23" t="n">
        <f aca="false">IF(AND(BB183=1,L183="Y"),1,0)</f>
        <v>0</v>
      </c>
      <c r="CP183" s="23" t="n">
        <f aca="false">IF(CO183=1,IF(COUNTIFS($AZ$2:$AZ$201,AZ183,$CO$2:$CO$201,1,$H$2:$H$201,"&lt;"&amp;H183)+COUNTIFS($AZ$2:$AZ$201,AZ183,$CO$2:$CO$201,1,$H$2:$H$201,H183,$BA$2:$BA$201,"&lt;"&amp;BA183)=0,1,0),0)</f>
        <v>0</v>
      </c>
      <c r="CQ183" s="23" t="n">
        <f aca="false">IF(AND(BB183=1,ISNUMBER(O183)),1,0)</f>
        <v>0</v>
      </c>
      <c r="CR183" s="23" t="n">
        <f aca="false">IF(CQ183=1,IF(COUNTIFS($AZ$2:$AZ$201,AZ183,$CQ$2:$CQ$201,1,$H$2:$H$201,"&lt;"&amp;H183)+COUNTIFS($AZ$2:$AZ$201,AZ183,$CQ$2:$CQ$201,1,$H$2:$H$201,H183,$BA$2:$BA$201,"&lt;"&amp;BA183)=0,1,0),0)</f>
        <v>0</v>
      </c>
      <c r="CS183" s="23" t="str">
        <f aca="false">IF(AND(CR183=1,INT(N(H183))&lt;=Config!$B$5),O183,"")</f>
        <v/>
      </c>
      <c r="CT183" s="23" t="str">
        <f aca="false">IF(AND(BB183=1,INT(N(H183))&lt;=Config!$B$5),AG183&amp;"","")</f>
        <v/>
      </c>
      <c r="CU183" s="23" t="n">
        <f aca="false">IF(AND(BB183=1,AU183="Y"),1,0)</f>
        <v>0</v>
      </c>
      <c r="CV183" s="23" t="n">
        <f aca="false">IF(CU183=1,IF(COUNTIFS($AZ$2:$AZ$201,AZ183,$CU$2:$CU$201,1,$H$2:$H$201,"&lt;"&amp;H183)+COUNTIFS($AZ$2:$AZ$201,AZ183,$CU$2:$CU$201,1,$H$2:$H$201,H183,$BA$2:$BA$201,"&lt;"&amp;BA183)=0,1,0),0)</f>
        <v>0</v>
      </c>
      <c r="CW183" s="23" t="str">
        <f aca="false">IF(BB183=1,IFERROR(MATCH($A183,INDEX(Clay_Offices!$A$2:$FZ$601,0,Sync!$C$5),0),""),"")</f>
        <v/>
      </c>
      <c r="CX183" s="23" t="str">
        <f aca="false">IF(CW183="","",IFERROR(INDEX(Clay_Offices!$A$2:$FZ$601,CW183,Sync!$C$7)&amp;"",""))</f>
        <v/>
      </c>
      <c r="CY183" s="23" t="str">
        <f aca="false">IF(CX183="","",IFERROR(INDEX(Lists!$K$2:$K$15,MATCH(CX183,Lists!$J$2:$J$15,0)),""))</f>
        <v/>
      </c>
      <c r="CZ183" s="23" t="str">
        <f aca="false">IF(CW183="","",IFERROR(INDEX(Clay_Offices!$A$2:$FZ$601,CW183,Sync!$C$17)&amp;"",""))</f>
        <v/>
      </c>
      <c r="DA183" s="35" t="str">
        <f aca="false">IF(CW183="","",IFERROR(N(INDEX(Clay_Offices!$A$2:$FZ$601,CW183,Sync!$C$16)),0))</f>
        <v/>
      </c>
      <c r="DB183" s="23" t="n">
        <f aca="false">IF(AND(BB183=1,OR(AR183="Y",AR183="N",AR183="maybe")),1,0)</f>
        <v>0</v>
      </c>
      <c r="DC183" s="23" t="n">
        <f aca="false">IF(AND(DB183=1),IF(COUNTIFS($A$2:$A$201,$A183,$DB$2:$DB$201,1,$H$2:$H$201,"&gt;"&amp;H183)+COUNTIFS($A$2:$A$201,$A183,$DB$2:$DB$201,1,$H$2:$H$201,H183,$BA$2:$BA$201,"&gt;"&amp;BA183)=0,1,0),0)</f>
        <v>0</v>
      </c>
      <c r="DD183" s="23" t="n">
        <f aca="false">IF(AND(DB183=1,INT(N(H183))&lt;=Config!$B$6),IF(COUNTIFS($AZ$2:$AZ$201,AZ183,$DB$2:$DB$201,1,$H$2:$H$201,"&gt;"&amp;H183,$H$2:$H$201,"&lt;"&amp;(Config!$B$6+1))+COUNTIFS($AZ$2:$AZ$201,AZ183,$DB$2:$DB$201,1,$H$2:$H$201,H183,$BA$2:$BA$201,"&gt;"&amp;BA183)=0,1,0),0)</f>
        <v>0</v>
      </c>
      <c r="DE183" s="23" t="n">
        <f aca="false">IF(AND(DB183=1,INT(N(H183))&lt;=Config!$B$7),IF(COUNTIFS($AZ$2:$AZ$201,AZ183,$DB$2:$DB$201,1,$H$2:$H$201,"&gt;"&amp;H183,$H$2:$H$201,"&lt;"&amp;(Config!$B$7+1))+COUNTIFS($AZ$2:$AZ$201,AZ183,$DB$2:$DB$201,1,$H$2:$H$201,H183,$BA$2:$BA$201,"&gt;"&amp;BA183)=0,1,0),0)</f>
        <v>0</v>
      </c>
      <c r="DF183" s="23" t="n">
        <f aca="false">IF(AND(DB183=1,INT(N(H183))&lt;=Config!$B$8),IF(COUNTIFS($AZ$2:$AZ$201,AZ183,$DB$2:$DB$201,1,$H$2:$H$201,"&gt;"&amp;H183,$H$2:$H$201,"&lt;"&amp;(Config!$B$8+1))+COUNTIFS($AZ$2:$AZ$201,AZ183,$DB$2:$DB$201,1,$H$2:$H$201,H183,$BA$2:$BA$201,"&gt;"&amp;BA183)=0,1,0),0)</f>
        <v>0</v>
      </c>
      <c r="DG183" s="23" t="n">
        <f aca="false">IF(AND(DB183=1,INT(N(H183))&lt;=Config!$B$5),IF(COUNTIFS($AZ$2:$AZ$201,AZ183,$DB$2:$DB$201,1,$H$2:$H$201,"&gt;"&amp;H183,$H$2:$H$201,"&lt;"&amp;(Config!$B$5+1))+COUNTIFS($AZ$2:$AZ$201,AZ183,$DB$2:$DB$201,1,$H$2:$H$201,H183,$BA$2:$BA$201,"&gt;"&amp;BA183)=0,1,0),0)</f>
        <v>0</v>
      </c>
      <c r="DH183" s="23" t="n">
        <f aca="false">IF(BB183=1,IF(COUNTIFS($AZ$2:$AZ$201,AZ183,$DD$2:$DD$201,1,$AR$2:$AR$201,"Y")&gt;0,1,0),0)</f>
        <v>0</v>
      </c>
      <c r="DI183" s="23" t="n">
        <f aca="false">IF(BB183=1,IF(COUNTIFS($AZ$2:$AZ$201,AZ183,$DE$2:$DE$201,1,$AR$2:$AR$201,"Y")&gt;0,1,0),0)</f>
        <v>0</v>
      </c>
      <c r="DJ183" s="23" t="n">
        <f aca="false">IF(BB183=1,IF(COUNTIFS($AZ$2:$AZ$201,AZ183,$DF$2:$DF$201,1,$AR$2:$AR$201,"Y")&gt;0,1,0),0)</f>
        <v>0</v>
      </c>
      <c r="DK183" s="23" t="n">
        <f aca="false">IF(BB183=1,IF(COUNTIFS($AZ$2:$AZ$201,AZ183,$DG$2:$DG$201,1,$AR$2:$AR$201,"Y")&gt;0,1,0),0)</f>
        <v>0</v>
      </c>
      <c r="DL183" s="23" t="n">
        <f aca="false">IF(AND(BF183=1,INT(N(H183))&lt;=Config!$B$6,DH183=1,EI183=0),1,0)</f>
        <v>0</v>
      </c>
      <c r="DM183" s="23" t="n">
        <f aca="false">IF(AND(BF183=1,INT(N(H183))&lt;=Config!$B$7,DI183=1,EI183=0),1,0)</f>
        <v>0</v>
      </c>
      <c r="DN183" s="23" t="n">
        <f aca="false">IF(AND(BF183=1,INT(N(H183))&lt;=Config!$B$8,DJ183=1,EI183=0),1,0)</f>
        <v>0</v>
      </c>
      <c r="DO183" s="23" t="n">
        <f aca="false">IF(AND(BF183=1,INT(N(H183))&lt;=Config!$B$5,DK183=1,EI183=0),1,0)</f>
        <v>0</v>
      </c>
      <c r="DP183" s="23" t="n">
        <f aca="false">IF(AND(CC183=1,INT(N(H183))&lt;=Config!$B$6,DH183=1,EI183=0),1,0)</f>
        <v>0</v>
      </c>
      <c r="DQ183" s="23" t="n">
        <f aca="false">IF(AND(CC183=1,INT(N(H183))&lt;=Config!$B$7,DI183=1,EI183=0),1,0)</f>
        <v>0</v>
      </c>
      <c r="DR183" s="23" t="n">
        <f aca="false">IF(AND(CC183=1,INT(N(H183))&lt;=Config!$B$8,DJ183=1,EI183=0),1,0)</f>
        <v>0</v>
      </c>
      <c r="DS183" s="23" t="n">
        <f aca="false">IF(AND(CC183=1,INT(N(H183))&lt;=Config!$B$5,DK183=1,EI183=0),1,0)</f>
        <v>0</v>
      </c>
      <c r="DT183" s="23" t="n">
        <f aca="false">IF(AND(CC183=1,INT(N(H183))&lt;=Config!$B$6,DH183=0),1,0)</f>
        <v>0</v>
      </c>
      <c r="DU183" s="23" t="n">
        <f aca="false">IF(AND(CC183=1,INT(N(H183))&lt;=Config!$B$7,DI183=0),1,0)</f>
        <v>0</v>
      </c>
      <c r="DV183" s="23" t="n">
        <f aca="false">IF(AND(CC183=1,INT(N(H183))&lt;=Config!$B$8,DJ183=0),1,0)</f>
        <v>0</v>
      </c>
      <c r="DW183" s="23" t="n">
        <f aca="false">IF(AND(CC183=1,INT(N(H183))&lt;=Config!$B$5,DK183=0),1,0)</f>
        <v>0</v>
      </c>
      <c r="DX183" s="23" t="n">
        <f aca="false">IF(TRIM($A183)="",0,ISTEXT(M183)+ISTEXT(O183)+ISTEXT(Y183)+ISTEXT(Z183)+ISTEXT(AA183)+ISTEXT(AV183))</f>
        <v>0</v>
      </c>
      <c r="DY183" s="23" t="n">
        <f aca="false">IF(BB183=1,IF(H183&lt;&gt;INT(H183),1,0),0)</f>
        <v>0</v>
      </c>
      <c r="DZ183" s="23" t="str">
        <f aca="false">IF(TRIM($A183)="","",IF(TRIM(B183)="",SUBSTITUTE(SUBSTITUTE(SUBSTITUTE(SUBSTITUTE(SUBSTITUTE(SUBSTITUTE(LOWER(TRIM($A183)),"~",""),"*",""),"?",""),"&lt;",""),"&gt;",""),"=",""),SUBSTITUTE(SUBSTITUTE(SUBSTITUTE(SUBSTITUTE(SUBSTITUTE(SUBSTITUTE(LOWER(TRIM(B183)),"~",""),"*",""),"?",""),"&lt;",""),"&gt;",""),"=","")))</f>
        <v/>
      </c>
      <c r="EA183" s="23" t="str">
        <f aca="false">IF(CW183="","",IFERROR(IF(LEFT(LOWER(TRIM(INDEX(Clay_Offices!$A$2:$FZ$601,CW183,Sync!$C$19)&amp;"")),4)="grp-",SUBSTITUTE(SUBSTITUTE(SUBSTITUTE(SUBSTITUTE(SUBSTITUTE(SUBSTITUTE(LOWER(TRIM(INDEX(Clay_Offices!$A$2:$FZ$601,CW183,Sync!$C$19)&amp;"")),"~",""),"*",""),"?",""),"&lt;",""),"&gt;",""),"=",""),""),""))</f>
        <v/>
      </c>
      <c r="EB183" s="23" t="str">
        <f aca="false">IF(EA183&lt;&gt;"",DZ183,"")</f>
        <v/>
      </c>
      <c r="EC183" s="23" t="str">
        <f aca="false">IF(BC183=1,AZ183,"")</f>
        <v/>
      </c>
      <c r="ED183" s="23" t="str">
        <f aca="false">IF(TRIM($A183)="","",IFERROR(INDEX($A$2:$A$201,MATCH(AZ183,$EC$2:$EC$201,0))&amp;"",$A183&amp;""))</f>
        <v/>
      </c>
      <c r="EE183" s="23" t="n">
        <f aca="false">IF(BB183=1,IF(COUNTIFS($A$2:$A$201,$A183,$BB$2:$BB$201,1,$H$2:$H$201,"&lt;"&amp;H183)+COUNTIFS($A$2:$A$201,$A183,$BB$2:$BB$201,1,$H$2:$H$201,H183,$BA$2:$BA$201,"&lt;"&amp;BA183)=0,1,0),0)</f>
        <v>0</v>
      </c>
      <c r="EF183" s="23" t="n">
        <f aca="false">IF(BC183=1,IF(COUNTIFS($AZ$2:$AZ$201,AZ183,$EE$2:$EE$201,1)&gt;1,1,0),0)</f>
        <v>0</v>
      </c>
      <c r="EG183" s="23" t="n">
        <f aca="false">IF(AND(CQ183=1),IF(COUNTIFS($AZ$2:$AZ$201,AZ183,$CQ$2:$CQ$201,1,$H$2:$H$201,"&gt;"&amp;H183)+COUNTIFS($AZ$2:$AZ$201,AZ183,$CQ$2:$CQ$201,1,$H$2:$H$201,H183,$BA$2:$BA$201,"&gt;"&amp;BA183)=0,1,0),0)</f>
        <v>0</v>
      </c>
      <c r="EH183" s="23" t="str">
        <f aca="false">IF(BB183=1,IF(COUNTIFS($AZ$2:$AZ$201,AZ183,$EG$2:$EG$201,1)=0,"",SUMIFS($O$2:$O$201,$AZ$2:$AZ$201,AZ183,$EG$2:$EG$201,1)),"")</f>
        <v/>
      </c>
      <c r="EI183" s="23" t="n">
        <f aca="false">IF(AND(ISNUMBER(EH183),OR(N(EH183)&lt;Config!$B$31,N(EH183)&gt;Config!$B$33)),1,0)</f>
        <v>0</v>
      </c>
      <c r="EJ183" s="23" t="n">
        <f aca="false">IF(AND(ISNUMBER(EH183),N(EH183)&gt;=Config!$B$31,N(EH183)&lt;Config!$B$32),1,0)</f>
        <v>0</v>
      </c>
      <c r="EK183" s="23" t="n">
        <f aca="false">IF(AND(BF183=1,INT(N(H183))&lt;=Config!$B$6,DH183=1,EI183=1),1,0)</f>
        <v>0</v>
      </c>
      <c r="EL183" s="23" t="n">
        <f aca="false">IF(AND(BF183=1,INT(N(H183))&lt;=Config!$B$7,DI183=1,EI183=1),1,0)</f>
        <v>0</v>
      </c>
      <c r="EM183" s="23" t="n">
        <f aca="false">IF(AND(BF183=1,INT(N(H183))&lt;=Config!$B$8,DJ183=1,EI183=1),1,0)</f>
        <v>0</v>
      </c>
      <c r="EN183" s="23" t="n">
        <f aca="false">IF(AND(BF183=1,INT(N(H183))&lt;=Config!$B$5,DK183=1,EI183=1),1,0)</f>
        <v>0</v>
      </c>
      <c r="EO183" s="23" t="n">
        <f aca="false">IF(AND(DL183=1,EJ183=1),1,0)</f>
        <v>0</v>
      </c>
      <c r="EP183" s="23" t="n">
        <f aca="false">IF(AND(DM183=1,EJ183=1),1,0)</f>
        <v>0</v>
      </c>
      <c r="EQ183" s="23" t="n">
        <f aca="false">IF(AND(DN183=1,EJ183=1),1,0)</f>
        <v>0</v>
      </c>
      <c r="ER183" s="23" t="n">
        <f aca="false">IF(AND(DO183=1,EJ183=1),1,0)</f>
        <v>0</v>
      </c>
    </row>
    <row r="184" customFormat="false" ht="15" hidden="false" customHeight="false" outlineLevel="0" collapsed="false">
      <c r="G184" s="32"/>
      <c r="H184" s="33"/>
      <c r="I184" s="32"/>
      <c r="L184" s="32"/>
      <c r="Q184" s="32"/>
      <c r="U184" s="32"/>
      <c r="W184" s="32"/>
      <c r="AC184" s="32"/>
      <c r="AF184" s="32"/>
      <c r="AI184" s="32"/>
      <c r="AJ184" s="32"/>
      <c r="AN184" s="32"/>
      <c r="AR184" s="32"/>
      <c r="AT184" s="32"/>
      <c r="AU184" s="32"/>
      <c r="AW184" s="32"/>
      <c r="AY184" s="34" t="str">
        <f aca="false">IF(TRIM($A184)="","",IF(AND(LEFT($A184,6)="SAMPLE",Config!$B$19&lt;&gt;"Y"),"",IF(NOT(ISNUMBER(H184)),"call_date is blank or not a date",IF(Sync!$C$5="","Clay paste is empty or has no row_id column: paste the Clay export on Clay_Offices",IF(CW184="","row_id not found in the Clay paste: add the Clay row or fix the row_id",IF(AND(ISNUMBER(CY184),CY184&gt;=1,CY184&lt;=5),"Clay status is "&amp;CX184&amp;": set call_done or later",IF(AND(BD184=1,CZ184&lt;&gt;BZ184),"Clay yes_in_principle should be "&amp;BZ184,IF(AND(BD184=1,DA184&lt;&gt;H184),"Clay call_date should be "&amp;TEXT(H184,"yyyy-mm-dd"),""))))))))</f>
        <v/>
      </c>
      <c r="AZ184" s="23" t="str">
        <f aca="false">IF(TRIM($A184)="","",IF(TRIM(C184)&lt;&gt;"",SUBSTITUTE(SUBSTITUTE(SUBSTITUTE(SUBSTITUTE(SUBSTITUTE(SUBSTITUTE(LOWER(TRIM(C184)),"~",""),"*",""),"?",""),"&lt;",""),"&gt;",""),"=",""),IF(EA184&lt;&gt;"",EA184,IFERROR(INDEX($EA$2:$EA$201,MATCH(DZ184,$EB$2:$EB$201,0)),DZ184))))</f>
        <v/>
      </c>
      <c r="BA184" s="23" t="n">
        <f aca="false">ROW()</f>
        <v>184</v>
      </c>
      <c r="BB184" s="23" t="n">
        <f aca="false">IF(AND(TRIM($A184)&lt;&gt;"",ISNUMBER(H184)),IF(AND(LEFT($A184,6)="SAMPLE",Config!$B$19&lt;&gt;"Y"),0,1),0)</f>
        <v>0</v>
      </c>
      <c r="BC184" s="23" t="n">
        <f aca="false">IF(BB184=1,IF(COUNTIFS($AZ$2:$AZ$201,AZ184,$BB$2:$BB$201,1,$H$2:$H$201,"&lt;"&amp;H184)+COUNTIFS($AZ$2:$AZ$201,AZ184,$BB$2:$BB$201,1,$H$2:$H$201,H184,$BA$2:$BA$201,"&lt;"&amp;BA184)=0,1,0),0)</f>
        <v>0</v>
      </c>
      <c r="BD184" s="23" t="n">
        <f aca="false">IF(BB184=1,IF(COUNTIFS($A$2:$A$201,$A184,$BB$2:$BB$201,1,$H$2:$H$201,"&gt;"&amp;H184)+COUNTIFS($A$2:$A$201,$A184,$BB$2:$BB$201,1,$H$2:$H$201,H184,$BA$2:$BA$201,"&gt;"&amp;BA184)=0,1,0),0)</f>
        <v>0</v>
      </c>
      <c r="BE184" s="23" t="n">
        <f aca="false">IF(AND(BB184=1,AR184="Y",AC184="Y",TRIM(AH184)&lt;&gt;""),1,0)</f>
        <v>0</v>
      </c>
      <c r="BF184" s="23" t="n">
        <f aca="false">IF(BE184=1,IF(COUNTIFS($AZ$2:$AZ$201,AZ184,$BE$2:$BE$201,1,$H$2:$H$201,"&lt;"&amp;H184)+COUNTIFS($AZ$2:$AZ$201,AZ184,$BE$2:$BE$201,1,$H$2:$H$201,H184,$BA$2:$BA$201,"&lt;"&amp;BA184)=0,1,0),0)</f>
        <v>0</v>
      </c>
      <c r="BG184" s="23" t="n">
        <f aca="false">IF(AND(BB184=1,AR184="Y",BE184=0),1,0)</f>
        <v>0</v>
      </c>
      <c r="BH184" s="23" t="n">
        <f aca="false">IF(AND(BB184=1,ISNUMBER(Y184)),1,0)</f>
        <v>0</v>
      </c>
      <c r="BI184" s="23" t="n">
        <f aca="false">IF(BH184=1,IF(COUNTIFS($AZ$2:$AZ$201,AZ184,$BH$2:$BH$201,1,$H$2:$H$201,"&lt;"&amp;H184)+COUNTIFS($AZ$2:$AZ$201,AZ184,$BH$2:$BH$201,1,$H$2:$H$201,H184,$BA$2:$BA$201,"&lt;"&amp;BA184)=0,1,0),0)</f>
        <v>0</v>
      </c>
      <c r="BJ184" s="23" t="str">
        <f aca="false">IF(AND(BI184=1,INT(N(H184))&lt;=Config!$B$6),Y184,"")</f>
        <v/>
      </c>
      <c r="BK184" s="23" t="str">
        <f aca="false">IF(AND(BI184=1,INT(N(H184))&lt;=Config!$B$7),Y184,"")</f>
        <v/>
      </c>
      <c r="BL184" s="23" t="str">
        <f aca="false">IF(AND(BI184=1,INT(N(H184))&lt;=Config!$B$8),Y184,"")</f>
        <v/>
      </c>
      <c r="BM184" s="23" t="str">
        <f aca="false">IF(AND(BI184=1,INT(N(H184))&lt;=Config!$B$5),Y184,"")</f>
        <v/>
      </c>
      <c r="BN184" s="23" t="n">
        <f aca="false">IF(CD184=1,IF(COUNTIFS($AZ$2:$AZ$201,AZ184,$CD$2:$CD$201,1,$H$2:$H$201,"&lt;"&amp;H184)+COUNTIFS($AZ$2:$AZ$201,AZ184,$CD$2:$CD$201,1,$H$2:$H$201,H184,$BA$2:$BA$201,"&lt;"&amp;BA184)=0,1,0),0)</f>
        <v>0</v>
      </c>
      <c r="BO184" s="23" t="n">
        <f aca="false">IF(AND(BB184=1,ISNUMBER(M184)),1,0)</f>
        <v>0</v>
      </c>
      <c r="BP184" s="23" t="n">
        <f aca="false">IF(BO184=1,IF(COUNTIFS($AZ$2:$AZ$201,AZ184,$BO$2:$BO$201,1,$H$2:$H$201,"&lt;"&amp;H184)+COUNTIFS($AZ$2:$AZ$201,AZ184,$BO$2:$BO$201,1,$H$2:$H$201,H184,$BA$2:$BA$201,"&lt;"&amp;BA184)=0,1,0),0)</f>
        <v>0</v>
      </c>
      <c r="BQ184" s="23" t="str">
        <f aca="false">IF(AND(BP184=1,INT(N(H184))&lt;=Config!$B$5),M184,"")</f>
        <v/>
      </c>
      <c r="BR184" s="23" t="n">
        <f aca="false">IF(AND(BB184=1,OR(TRIM(X184)&lt;&gt;"",ISNUMBER(Y184))),1,0)</f>
        <v>0</v>
      </c>
      <c r="BS184" s="23" t="n">
        <f aca="false">IF(BR184=1,IF(COUNTIFS($AZ$2:$AZ$201,AZ184,$BR$2:$BR$201,1,$H$2:$H$201,"&lt;"&amp;H184)+COUNTIFS($AZ$2:$AZ$201,AZ184,$BR$2:$BR$201,1,$H$2:$H$201,H184,$BA$2:$BA$201,"&lt;"&amp;BA184)=0,1,0),0)</f>
        <v>0</v>
      </c>
      <c r="BT184" s="23" t="str">
        <f aca="false">IF(BS184=1,AZ184,"")</f>
        <v/>
      </c>
      <c r="BU184" s="23" t="n">
        <f aca="false">IF(AND(BB184=1,W184="Y",TRIM(X184)=""),1,0)</f>
        <v>0</v>
      </c>
      <c r="BV184" s="23" t="str">
        <f aca="false">IF(BB184=1,AN184&amp;"","")</f>
        <v/>
      </c>
      <c r="BW184" s="23" t="str">
        <f aca="false">IF(BB184=1,AO184&amp;"","")</f>
        <v/>
      </c>
      <c r="BX184" s="23" t="str">
        <f aca="false">IF(BB184=1,AP184&amp;"","")</f>
        <v/>
      </c>
      <c r="BY184" s="23" t="str">
        <f aca="false">IF(AND(BB184=1,ISNUMBER(AV184),INT(N(H184))&lt;=Config!$B$5),AV184,"")</f>
        <v/>
      </c>
      <c r="BZ184" s="23" t="str">
        <f aca="false">IF(BB184=1,IF(COUNTIFS($A$2:$A$201,$A184,$DC$2:$DC$201,1,$AR$2:$AR$201,"Y")&gt;0,"Y","N"),"")</f>
        <v/>
      </c>
      <c r="CA184" s="23" t="n">
        <f aca="false">IF(AND(BB184=1,AR184="maybe"),1,0)</f>
        <v>0</v>
      </c>
      <c r="CB184" s="23" t="n">
        <f aca="false">IF(CA184=1,IF(COUNTIFS($AZ$2:$AZ$201,AZ184,$CA$2:$CA$201,1,$H$2:$H$201,"&lt;"&amp;H184)+COUNTIFS($AZ$2:$AZ$201,AZ184,$CA$2:$CA$201,1,$H$2:$H$201,H184,$BA$2:$BA$201,"&lt;"&amp;BA184)=0,1,0),0)</f>
        <v>0</v>
      </c>
      <c r="CC184" s="23" t="n">
        <f aca="false">IF(AND(BB184=1,AR184="Y"),IF(COUNTIFS($AZ$2:$AZ$201,AZ184,$AR$2:$AR$201,"Y",$BB$2:$BB$201,1,$H$2:$H$201,"&lt;"&amp;H184)+COUNTIFS($AZ$2:$AZ$201,AZ184,$AR$2:$AR$201,"Y",$BB$2:$BB$201,1,$H$2:$H$201,H184,$BA$2:$BA$201,"&lt;"&amp;BA184)=0,1,0),0)</f>
        <v>0</v>
      </c>
      <c r="CD184" s="23" t="n">
        <f aca="false">IF(AND(BH184=1,N(Y184)&gt;=Config!$B$15),1,0)</f>
        <v>0</v>
      </c>
      <c r="CE184" s="23" t="n">
        <f aca="false">IF(AND(BB184=1,AT184="Y"),1,0)</f>
        <v>0</v>
      </c>
      <c r="CF184" s="23" t="n">
        <f aca="false">IF(CE184=1,IF(COUNTIFS($AZ$2:$AZ$201,AZ184,$CE$2:$CE$201,1,$H$2:$H$201,"&lt;"&amp;H184)+COUNTIFS($AZ$2:$AZ$201,AZ184,$CE$2:$CE$201,1,$H$2:$H$201,H184,$BA$2:$BA$201,"&lt;"&amp;BA184)=0,1,0),0)</f>
        <v>0</v>
      </c>
      <c r="CG184" s="23" t="n">
        <f aca="false">IF(AND(BB184=1,G184="warm-intro"),1,0)</f>
        <v>0</v>
      </c>
      <c r="CH184" s="23" t="n">
        <f aca="false">IF(CG184=1,IF(COUNTIFS($AZ$2:$AZ$201,AZ184,$CG$2:$CG$201,1,$H$2:$H$201,"&lt;"&amp;H184)+COUNTIFS($AZ$2:$AZ$201,AZ184,$CG$2:$CG$201,1,$H$2:$H$201,H184,$BA$2:$BA$201,"&lt;"&amp;BA184)=0,1,0),0)</f>
        <v>0</v>
      </c>
      <c r="CI184" s="23" t="n">
        <f aca="false">IF(AND(BB184=1,Q184="Y"),1,0)</f>
        <v>0</v>
      </c>
      <c r="CJ184" s="23" t="n">
        <f aca="false">IF(CI184=1,IF(COUNTIFS($AZ$2:$AZ$201,AZ184,$CI$2:$CI$201,1,$H$2:$H$201,"&lt;"&amp;H184)+COUNTIFS($AZ$2:$AZ$201,AZ184,$CI$2:$CI$201,1,$H$2:$H$201,H184,$BA$2:$BA$201,"&lt;"&amp;BA184)=0,1,0),0)</f>
        <v>0</v>
      </c>
      <c r="CK184" s="23" t="n">
        <f aca="false">IF(AND(BB184=1,AF184="Y"),1,0)</f>
        <v>0</v>
      </c>
      <c r="CL184" s="23" t="n">
        <f aca="false">IF(CK184=1,IF(COUNTIFS($AZ$2:$AZ$201,AZ184,$CK$2:$CK$201,1,$H$2:$H$201,"&lt;"&amp;H184)+COUNTIFS($AZ$2:$AZ$201,AZ184,$CK$2:$CK$201,1,$H$2:$H$201,H184,$BA$2:$BA$201,"&lt;"&amp;BA184)=0,1,0),0)</f>
        <v>0</v>
      </c>
      <c r="CM184" s="23" t="n">
        <f aca="false">IF(AND(BB184=1,U184="Y"),1,0)</f>
        <v>0</v>
      </c>
      <c r="CN184" s="23" t="n">
        <f aca="false">IF(CM184=1,IF(COUNTIFS($AZ$2:$AZ$201,AZ184,$CM$2:$CM$201,1,$H$2:$H$201,"&lt;"&amp;H184)+COUNTIFS($AZ$2:$AZ$201,AZ184,$CM$2:$CM$201,1,$H$2:$H$201,H184,$BA$2:$BA$201,"&lt;"&amp;BA184)=0,1,0),0)</f>
        <v>0</v>
      </c>
      <c r="CO184" s="23" t="n">
        <f aca="false">IF(AND(BB184=1,L184="Y"),1,0)</f>
        <v>0</v>
      </c>
      <c r="CP184" s="23" t="n">
        <f aca="false">IF(CO184=1,IF(COUNTIFS($AZ$2:$AZ$201,AZ184,$CO$2:$CO$201,1,$H$2:$H$201,"&lt;"&amp;H184)+COUNTIFS($AZ$2:$AZ$201,AZ184,$CO$2:$CO$201,1,$H$2:$H$201,H184,$BA$2:$BA$201,"&lt;"&amp;BA184)=0,1,0),0)</f>
        <v>0</v>
      </c>
      <c r="CQ184" s="23" t="n">
        <f aca="false">IF(AND(BB184=1,ISNUMBER(O184)),1,0)</f>
        <v>0</v>
      </c>
      <c r="CR184" s="23" t="n">
        <f aca="false">IF(CQ184=1,IF(COUNTIFS($AZ$2:$AZ$201,AZ184,$CQ$2:$CQ$201,1,$H$2:$H$201,"&lt;"&amp;H184)+COUNTIFS($AZ$2:$AZ$201,AZ184,$CQ$2:$CQ$201,1,$H$2:$H$201,H184,$BA$2:$BA$201,"&lt;"&amp;BA184)=0,1,0),0)</f>
        <v>0</v>
      </c>
      <c r="CS184" s="23" t="str">
        <f aca="false">IF(AND(CR184=1,INT(N(H184))&lt;=Config!$B$5),O184,"")</f>
        <v/>
      </c>
      <c r="CT184" s="23" t="str">
        <f aca="false">IF(AND(BB184=1,INT(N(H184))&lt;=Config!$B$5),AG184&amp;"","")</f>
        <v/>
      </c>
      <c r="CU184" s="23" t="n">
        <f aca="false">IF(AND(BB184=1,AU184="Y"),1,0)</f>
        <v>0</v>
      </c>
      <c r="CV184" s="23" t="n">
        <f aca="false">IF(CU184=1,IF(COUNTIFS($AZ$2:$AZ$201,AZ184,$CU$2:$CU$201,1,$H$2:$H$201,"&lt;"&amp;H184)+COUNTIFS($AZ$2:$AZ$201,AZ184,$CU$2:$CU$201,1,$H$2:$H$201,H184,$BA$2:$BA$201,"&lt;"&amp;BA184)=0,1,0),0)</f>
        <v>0</v>
      </c>
      <c r="CW184" s="23" t="str">
        <f aca="false">IF(BB184=1,IFERROR(MATCH($A184,INDEX(Clay_Offices!$A$2:$FZ$601,0,Sync!$C$5),0),""),"")</f>
        <v/>
      </c>
      <c r="CX184" s="23" t="str">
        <f aca="false">IF(CW184="","",IFERROR(INDEX(Clay_Offices!$A$2:$FZ$601,CW184,Sync!$C$7)&amp;"",""))</f>
        <v/>
      </c>
      <c r="CY184" s="23" t="str">
        <f aca="false">IF(CX184="","",IFERROR(INDEX(Lists!$K$2:$K$15,MATCH(CX184,Lists!$J$2:$J$15,0)),""))</f>
        <v/>
      </c>
      <c r="CZ184" s="23" t="str">
        <f aca="false">IF(CW184="","",IFERROR(INDEX(Clay_Offices!$A$2:$FZ$601,CW184,Sync!$C$17)&amp;"",""))</f>
        <v/>
      </c>
      <c r="DA184" s="35" t="str">
        <f aca="false">IF(CW184="","",IFERROR(N(INDEX(Clay_Offices!$A$2:$FZ$601,CW184,Sync!$C$16)),0))</f>
        <v/>
      </c>
      <c r="DB184" s="23" t="n">
        <f aca="false">IF(AND(BB184=1,OR(AR184="Y",AR184="N",AR184="maybe")),1,0)</f>
        <v>0</v>
      </c>
      <c r="DC184" s="23" t="n">
        <f aca="false">IF(AND(DB184=1),IF(COUNTIFS($A$2:$A$201,$A184,$DB$2:$DB$201,1,$H$2:$H$201,"&gt;"&amp;H184)+COUNTIFS($A$2:$A$201,$A184,$DB$2:$DB$201,1,$H$2:$H$201,H184,$BA$2:$BA$201,"&gt;"&amp;BA184)=0,1,0),0)</f>
        <v>0</v>
      </c>
      <c r="DD184" s="23" t="n">
        <f aca="false">IF(AND(DB184=1,INT(N(H184))&lt;=Config!$B$6),IF(COUNTIFS($AZ$2:$AZ$201,AZ184,$DB$2:$DB$201,1,$H$2:$H$201,"&gt;"&amp;H184,$H$2:$H$201,"&lt;"&amp;(Config!$B$6+1))+COUNTIFS($AZ$2:$AZ$201,AZ184,$DB$2:$DB$201,1,$H$2:$H$201,H184,$BA$2:$BA$201,"&gt;"&amp;BA184)=0,1,0),0)</f>
        <v>0</v>
      </c>
      <c r="DE184" s="23" t="n">
        <f aca="false">IF(AND(DB184=1,INT(N(H184))&lt;=Config!$B$7),IF(COUNTIFS($AZ$2:$AZ$201,AZ184,$DB$2:$DB$201,1,$H$2:$H$201,"&gt;"&amp;H184,$H$2:$H$201,"&lt;"&amp;(Config!$B$7+1))+COUNTIFS($AZ$2:$AZ$201,AZ184,$DB$2:$DB$201,1,$H$2:$H$201,H184,$BA$2:$BA$201,"&gt;"&amp;BA184)=0,1,0),0)</f>
        <v>0</v>
      </c>
      <c r="DF184" s="23" t="n">
        <f aca="false">IF(AND(DB184=1,INT(N(H184))&lt;=Config!$B$8),IF(COUNTIFS($AZ$2:$AZ$201,AZ184,$DB$2:$DB$201,1,$H$2:$H$201,"&gt;"&amp;H184,$H$2:$H$201,"&lt;"&amp;(Config!$B$8+1))+COUNTIFS($AZ$2:$AZ$201,AZ184,$DB$2:$DB$201,1,$H$2:$H$201,H184,$BA$2:$BA$201,"&gt;"&amp;BA184)=0,1,0),0)</f>
        <v>0</v>
      </c>
      <c r="DG184" s="23" t="n">
        <f aca="false">IF(AND(DB184=1,INT(N(H184))&lt;=Config!$B$5),IF(COUNTIFS($AZ$2:$AZ$201,AZ184,$DB$2:$DB$201,1,$H$2:$H$201,"&gt;"&amp;H184,$H$2:$H$201,"&lt;"&amp;(Config!$B$5+1))+COUNTIFS($AZ$2:$AZ$201,AZ184,$DB$2:$DB$201,1,$H$2:$H$201,H184,$BA$2:$BA$201,"&gt;"&amp;BA184)=0,1,0),0)</f>
        <v>0</v>
      </c>
      <c r="DH184" s="23" t="n">
        <f aca="false">IF(BB184=1,IF(COUNTIFS($AZ$2:$AZ$201,AZ184,$DD$2:$DD$201,1,$AR$2:$AR$201,"Y")&gt;0,1,0),0)</f>
        <v>0</v>
      </c>
      <c r="DI184" s="23" t="n">
        <f aca="false">IF(BB184=1,IF(COUNTIFS($AZ$2:$AZ$201,AZ184,$DE$2:$DE$201,1,$AR$2:$AR$201,"Y")&gt;0,1,0),0)</f>
        <v>0</v>
      </c>
      <c r="DJ184" s="23" t="n">
        <f aca="false">IF(BB184=1,IF(COUNTIFS($AZ$2:$AZ$201,AZ184,$DF$2:$DF$201,1,$AR$2:$AR$201,"Y")&gt;0,1,0),0)</f>
        <v>0</v>
      </c>
      <c r="DK184" s="23" t="n">
        <f aca="false">IF(BB184=1,IF(COUNTIFS($AZ$2:$AZ$201,AZ184,$DG$2:$DG$201,1,$AR$2:$AR$201,"Y")&gt;0,1,0),0)</f>
        <v>0</v>
      </c>
      <c r="DL184" s="23" t="n">
        <f aca="false">IF(AND(BF184=1,INT(N(H184))&lt;=Config!$B$6,DH184=1,EI184=0),1,0)</f>
        <v>0</v>
      </c>
      <c r="DM184" s="23" t="n">
        <f aca="false">IF(AND(BF184=1,INT(N(H184))&lt;=Config!$B$7,DI184=1,EI184=0),1,0)</f>
        <v>0</v>
      </c>
      <c r="DN184" s="23" t="n">
        <f aca="false">IF(AND(BF184=1,INT(N(H184))&lt;=Config!$B$8,DJ184=1,EI184=0),1,0)</f>
        <v>0</v>
      </c>
      <c r="DO184" s="23" t="n">
        <f aca="false">IF(AND(BF184=1,INT(N(H184))&lt;=Config!$B$5,DK184=1,EI184=0),1,0)</f>
        <v>0</v>
      </c>
      <c r="DP184" s="23" t="n">
        <f aca="false">IF(AND(CC184=1,INT(N(H184))&lt;=Config!$B$6,DH184=1,EI184=0),1,0)</f>
        <v>0</v>
      </c>
      <c r="DQ184" s="23" t="n">
        <f aca="false">IF(AND(CC184=1,INT(N(H184))&lt;=Config!$B$7,DI184=1,EI184=0),1,0)</f>
        <v>0</v>
      </c>
      <c r="DR184" s="23" t="n">
        <f aca="false">IF(AND(CC184=1,INT(N(H184))&lt;=Config!$B$8,DJ184=1,EI184=0),1,0)</f>
        <v>0</v>
      </c>
      <c r="DS184" s="23" t="n">
        <f aca="false">IF(AND(CC184=1,INT(N(H184))&lt;=Config!$B$5,DK184=1,EI184=0),1,0)</f>
        <v>0</v>
      </c>
      <c r="DT184" s="23" t="n">
        <f aca="false">IF(AND(CC184=1,INT(N(H184))&lt;=Config!$B$6,DH184=0),1,0)</f>
        <v>0</v>
      </c>
      <c r="DU184" s="23" t="n">
        <f aca="false">IF(AND(CC184=1,INT(N(H184))&lt;=Config!$B$7,DI184=0),1,0)</f>
        <v>0</v>
      </c>
      <c r="DV184" s="23" t="n">
        <f aca="false">IF(AND(CC184=1,INT(N(H184))&lt;=Config!$B$8,DJ184=0),1,0)</f>
        <v>0</v>
      </c>
      <c r="DW184" s="23" t="n">
        <f aca="false">IF(AND(CC184=1,INT(N(H184))&lt;=Config!$B$5,DK184=0),1,0)</f>
        <v>0</v>
      </c>
      <c r="DX184" s="23" t="n">
        <f aca="false">IF(TRIM($A184)="",0,ISTEXT(M184)+ISTEXT(O184)+ISTEXT(Y184)+ISTEXT(Z184)+ISTEXT(AA184)+ISTEXT(AV184))</f>
        <v>0</v>
      </c>
      <c r="DY184" s="23" t="n">
        <f aca="false">IF(BB184=1,IF(H184&lt;&gt;INT(H184),1,0),0)</f>
        <v>0</v>
      </c>
      <c r="DZ184" s="23" t="str">
        <f aca="false">IF(TRIM($A184)="","",IF(TRIM(B184)="",SUBSTITUTE(SUBSTITUTE(SUBSTITUTE(SUBSTITUTE(SUBSTITUTE(SUBSTITUTE(LOWER(TRIM($A184)),"~",""),"*",""),"?",""),"&lt;",""),"&gt;",""),"=",""),SUBSTITUTE(SUBSTITUTE(SUBSTITUTE(SUBSTITUTE(SUBSTITUTE(SUBSTITUTE(LOWER(TRIM(B184)),"~",""),"*",""),"?",""),"&lt;",""),"&gt;",""),"=","")))</f>
        <v/>
      </c>
      <c r="EA184" s="23" t="str">
        <f aca="false">IF(CW184="","",IFERROR(IF(LEFT(LOWER(TRIM(INDEX(Clay_Offices!$A$2:$FZ$601,CW184,Sync!$C$19)&amp;"")),4)="grp-",SUBSTITUTE(SUBSTITUTE(SUBSTITUTE(SUBSTITUTE(SUBSTITUTE(SUBSTITUTE(LOWER(TRIM(INDEX(Clay_Offices!$A$2:$FZ$601,CW184,Sync!$C$19)&amp;"")),"~",""),"*",""),"?",""),"&lt;",""),"&gt;",""),"=",""),""),""))</f>
        <v/>
      </c>
      <c r="EB184" s="23" t="str">
        <f aca="false">IF(EA184&lt;&gt;"",DZ184,"")</f>
        <v/>
      </c>
      <c r="EC184" s="23" t="str">
        <f aca="false">IF(BC184=1,AZ184,"")</f>
        <v/>
      </c>
      <c r="ED184" s="23" t="str">
        <f aca="false">IF(TRIM($A184)="","",IFERROR(INDEX($A$2:$A$201,MATCH(AZ184,$EC$2:$EC$201,0))&amp;"",$A184&amp;""))</f>
        <v/>
      </c>
      <c r="EE184" s="23" t="n">
        <f aca="false">IF(BB184=1,IF(COUNTIFS($A$2:$A$201,$A184,$BB$2:$BB$201,1,$H$2:$H$201,"&lt;"&amp;H184)+COUNTIFS($A$2:$A$201,$A184,$BB$2:$BB$201,1,$H$2:$H$201,H184,$BA$2:$BA$201,"&lt;"&amp;BA184)=0,1,0),0)</f>
        <v>0</v>
      </c>
      <c r="EF184" s="23" t="n">
        <f aca="false">IF(BC184=1,IF(COUNTIFS($AZ$2:$AZ$201,AZ184,$EE$2:$EE$201,1)&gt;1,1,0),0)</f>
        <v>0</v>
      </c>
      <c r="EG184" s="23" t="n">
        <f aca="false">IF(AND(CQ184=1),IF(COUNTIFS($AZ$2:$AZ$201,AZ184,$CQ$2:$CQ$201,1,$H$2:$H$201,"&gt;"&amp;H184)+COUNTIFS($AZ$2:$AZ$201,AZ184,$CQ$2:$CQ$201,1,$H$2:$H$201,H184,$BA$2:$BA$201,"&gt;"&amp;BA184)=0,1,0),0)</f>
        <v>0</v>
      </c>
      <c r="EH184" s="23" t="str">
        <f aca="false">IF(BB184=1,IF(COUNTIFS($AZ$2:$AZ$201,AZ184,$EG$2:$EG$201,1)=0,"",SUMIFS($O$2:$O$201,$AZ$2:$AZ$201,AZ184,$EG$2:$EG$201,1)),"")</f>
        <v/>
      </c>
      <c r="EI184" s="23" t="n">
        <f aca="false">IF(AND(ISNUMBER(EH184),OR(N(EH184)&lt;Config!$B$31,N(EH184)&gt;Config!$B$33)),1,0)</f>
        <v>0</v>
      </c>
      <c r="EJ184" s="23" t="n">
        <f aca="false">IF(AND(ISNUMBER(EH184),N(EH184)&gt;=Config!$B$31,N(EH184)&lt;Config!$B$32),1,0)</f>
        <v>0</v>
      </c>
      <c r="EK184" s="23" t="n">
        <f aca="false">IF(AND(BF184=1,INT(N(H184))&lt;=Config!$B$6,DH184=1,EI184=1),1,0)</f>
        <v>0</v>
      </c>
      <c r="EL184" s="23" t="n">
        <f aca="false">IF(AND(BF184=1,INT(N(H184))&lt;=Config!$B$7,DI184=1,EI184=1),1,0)</f>
        <v>0</v>
      </c>
      <c r="EM184" s="23" t="n">
        <f aca="false">IF(AND(BF184=1,INT(N(H184))&lt;=Config!$B$8,DJ184=1,EI184=1),1,0)</f>
        <v>0</v>
      </c>
      <c r="EN184" s="23" t="n">
        <f aca="false">IF(AND(BF184=1,INT(N(H184))&lt;=Config!$B$5,DK184=1,EI184=1),1,0)</f>
        <v>0</v>
      </c>
      <c r="EO184" s="23" t="n">
        <f aca="false">IF(AND(DL184=1,EJ184=1),1,0)</f>
        <v>0</v>
      </c>
      <c r="EP184" s="23" t="n">
        <f aca="false">IF(AND(DM184=1,EJ184=1),1,0)</f>
        <v>0</v>
      </c>
      <c r="EQ184" s="23" t="n">
        <f aca="false">IF(AND(DN184=1,EJ184=1),1,0)</f>
        <v>0</v>
      </c>
      <c r="ER184" s="23" t="n">
        <f aca="false">IF(AND(DO184=1,EJ184=1),1,0)</f>
        <v>0</v>
      </c>
    </row>
    <row r="185" customFormat="false" ht="15" hidden="false" customHeight="false" outlineLevel="0" collapsed="false">
      <c r="G185" s="32"/>
      <c r="H185" s="33"/>
      <c r="I185" s="32"/>
      <c r="L185" s="32"/>
      <c r="Q185" s="32"/>
      <c r="U185" s="32"/>
      <c r="W185" s="32"/>
      <c r="AC185" s="32"/>
      <c r="AF185" s="32"/>
      <c r="AI185" s="32"/>
      <c r="AJ185" s="32"/>
      <c r="AN185" s="32"/>
      <c r="AR185" s="32"/>
      <c r="AT185" s="32"/>
      <c r="AU185" s="32"/>
      <c r="AW185" s="32"/>
      <c r="AY185" s="34" t="str">
        <f aca="false">IF(TRIM($A185)="","",IF(AND(LEFT($A185,6)="SAMPLE",Config!$B$19&lt;&gt;"Y"),"",IF(NOT(ISNUMBER(H185)),"call_date is blank or not a date",IF(Sync!$C$5="","Clay paste is empty or has no row_id column: paste the Clay export on Clay_Offices",IF(CW185="","row_id not found in the Clay paste: add the Clay row or fix the row_id",IF(AND(ISNUMBER(CY185),CY185&gt;=1,CY185&lt;=5),"Clay status is "&amp;CX185&amp;": set call_done or later",IF(AND(BD185=1,CZ185&lt;&gt;BZ185),"Clay yes_in_principle should be "&amp;BZ185,IF(AND(BD185=1,DA185&lt;&gt;H185),"Clay call_date should be "&amp;TEXT(H185,"yyyy-mm-dd"),""))))))))</f>
        <v/>
      </c>
      <c r="AZ185" s="23" t="str">
        <f aca="false">IF(TRIM($A185)="","",IF(TRIM(C185)&lt;&gt;"",SUBSTITUTE(SUBSTITUTE(SUBSTITUTE(SUBSTITUTE(SUBSTITUTE(SUBSTITUTE(LOWER(TRIM(C185)),"~",""),"*",""),"?",""),"&lt;",""),"&gt;",""),"=",""),IF(EA185&lt;&gt;"",EA185,IFERROR(INDEX($EA$2:$EA$201,MATCH(DZ185,$EB$2:$EB$201,0)),DZ185))))</f>
        <v/>
      </c>
      <c r="BA185" s="23" t="n">
        <f aca="false">ROW()</f>
        <v>185</v>
      </c>
      <c r="BB185" s="23" t="n">
        <f aca="false">IF(AND(TRIM($A185)&lt;&gt;"",ISNUMBER(H185)),IF(AND(LEFT($A185,6)="SAMPLE",Config!$B$19&lt;&gt;"Y"),0,1),0)</f>
        <v>0</v>
      </c>
      <c r="BC185" s="23" t="n">
        <f aca="false">IF(BB185=1,IF(COUNTIFS($AZ$2:$AZ$201,AZ185,$BB$2:$BB$201,1,$H$2:$H$201,"&lt;"&amp;H185)+COUNTIFS($AZ$2:$AZ$201,AZ185,$BB$2:$BB$201,1,$H$2:$H$201,H185,$BA$2:$BA$201,"&lt;"&amp;BA185)=0,1,0),0)</f>
        <v>0</v>
      </c>
      <c r="BD185" s="23" t="n">
        <f aca="false">IF(BB185=1,IF(COUNTIFS($A$2:$A$201,$A185,$BB$2:$BB$201,1,$H$2:$H$201,"&gt;"&amp;H185)+COUNTIFS($A$2:$A$201,$A185,$BB$2:$BB$201,1,$H$2:$H$201,H185,$BA$2:$BA$201,"&gt;"&amp;BA185)=0,1,0),0)</f>
        <v>0</v>
      </c>
      <c r="BE185" s="23" t="n">
        <f aca="false">IF(AND(BB185=1,AR185="Y",AC185="Y",TRIM(AH185)&lt;&gt;""),1,0)</f>
        <v>0</v>
      </c>
      <c r="BF185" s="23" t="n">
        <f aca="false">IF(BE185=1,IF(COUNTIFS($AZ$2:$AZ$201,AZ185,$BE$2:$BE$201,1,$H$2:$H$201,"&lt;"&amp;H185)+COUNTIFS($AZ$2:$AZ$201,AZ185,$BE$2:$BE$201,1,$H$2:$H$201,H185,$BA$2:$BA$201,"&lt;"&amp;BA185)=0,1,0),0)</f>
        <v>0</v>
      </c>
      <c r="BG185" s="23" t="n">
        <f aca="false">IF(AND(BB185=1,AR185="Y",BE185=0),1,0)</f>
        <v>0</v>
      </c>
      <c r="BH185" s="23" t="n">
        <f aca="false">IF(AND(BB185=1,ISNUMBER(Y185)),1,0)</f>
        <v>0</v>
      </c>
      <c r="BI185" s="23" t="n">
        <f aca="false">IF(BH185=1,IF(COUNTIFS($AZ$2:$AZ$201,AZ185,$BH$2:$BH$201,1,$H$2:$H$201,"&lt;"&amp;H185)+COUNTIFS($AZ$2:$AZ$201,AZ185,$BH$2:$BH$201,1,$H$2:$H$201,H185,$BA$2:$BA$201,"&lt;"&amp;BA185)=0,1,0),0)</f>
        <v>0</v>
      </c>
      <c r="BJ185" s="23" t="str">
        <f aca="false">IF(AND(BI185=1,INT(N(H185))&lt;=Config!$B$6),Y185,"")</f>
        <v/>
      </c>
      <c r="BK185" s="23" t="str">
        <f aca="false">IF(AND(BI185=1,INT(N(H185))&lt;=Config!$B$7),Y185,"")</f>
        <v/>
      </c>
      <c r="BL185" s="23" t="str">
        <f aca="false">IF(AND(BI185=1,INT(N(H185))&lt;=Config!$B$8),Y185,"")</f>
        <v/>
      </c>
      <c r="BM185" s="23" t="str">
        <f aca="false">IF(AND(BI185=1,INT(N(H185))&lt;=Config!$B$5),Y185,"")</f>
        <v/>
      </c>
      <c r="BN185" s="23" t="n">
        <f aca="false">IF(CD185=1,IF(COUNTIFS($AZ$2:$AZ$201,AZ185,$CD$2:$CD$201,1,$H$2:$H$201,"&lt;"&amp;H185)+COUNTIFS($AZ$2:$AZ$201,AZ185,$CD$2:$CD$201,1,$H$2:$H$201,H185,$BA$2:$BA$201,"&lt;"&amp;BA185)=0,1,0),0)</f>
        <v>0</v>
      </c>
      <c r="BO185" s="23" t="n">
        <f aca="false">IF(AND(BB185=1,ISNUMBER(M185)),1,0)</f>
        <v>0</v>
      </c>
      <c r="BP185" s="23" t="n">
        <f aca="false">IF(BO185=1,IF(COUNTIFS($AZ$2:$AZ$201,AZ185,$BO$2:$BO$201,1,$H$2:$H$201,"&lt;"&amp;H185)+COUNTIFS($AZ$2:$AZ$201,AZ185,$BO$2:$BO$201,1,$H$2:$H$201,H185,$BA$2:$BA$201,"&lt;"&amp;BA185)=0,1,0),0)</f>
        <v>0</v>
      </c>
      <c r="BQ185" s="23" t="str">
        <f aca="false">IF(AND(BP185=1,INT(N(H185))&lt;=Config!$B$5),M185,"")</f>
        <v/>
      </c>
      <c r="BR185" s="23" t="n">
        <f aca="false">IF(AND(BB185=1,OR(TRIM(X185)&lt;&gt;"",ISNUMBER(Y185))),1,0)</f>
        <v>0</v>
      </c>
      <c r="BS185" s="23" t="n">
        <f aca="false">IF(BR185=1,IF(COUNTIFS($AZ$2:$AZ$201,AZ185,$BR$2:$BR$201,1,$H$2:$H$201,"&lt;"&amp;H185)+COUNTIFS($AZ$2:$AZ$201,AZ185,$BR$2:$BR$201,1,$H$2:$H$201,H185,$BA$2:$BA$201,"&lt;"&amp;BA185)=0,1,0),0)</f>
        <v>0</v>
      </c>
      <c r="BT185" s="23" t="str">
        <f aca="false">IF(BS185=1,AZ185,"")</f>
        <v/>
      </c>
      <c r="BU185" s="23" t="n">
        <f aca="false">IF(AND(BB185=1,W185="Y",TRIM(X185)=""),1,0)</f>
        <v>0</v>
      </c>
      <c r="BV185" s="23" t="str">
        <f aca="false">IF(BB185=1,AN185&amp;"","")</f>
        <v/>
      </c>
      <c r="BW185" s="23" t="str">
        <f aca="false">IF(BB185=1,AO185&amp;"","")</f>
        <v/>
      </c>
      <c r="BX185" s="23" t="str">
        <f aca="false">IF(BB185=1,AP185&amp;"","")</f>
        <v/>
      </c>
      <c r="BY185" s="23" t="str">
        <f aca="false">IF(AND(BB185=1,ISNUMBER(AV185),INT(N(H185))&lt;=Config!$B$5),AV185,"")</f>
        <v/>
      </c>
      <c r="BZ185" s="23" t="str">
        <f aca="false">IF(BB185=1,IF(COUNTIFS($A$2:$A$201,$A185,$DC$2:$DC$201,1,$AR$2:$AR$201,"Y")&gt;0,"Y","N"),"")</f>
        <v/>
      </c>
      <c r="CA185" s="23" t="n">
        <f aca="false">IF(AND(BB185=1,AR185="maybe"),1,0)</f>
        <v>0</v>
      </c>
      <c r="CB185" s="23" t="n">
        <f aca="false">IF(CA185=1,IF(COUNTIFS($AZ$2:$AZ$201,AZ185,$CA$2:$CA$201,1,$H$2:$H$201,"&lt;"&amp;H185)+COUNTIFS($AZ$2:$AZ$201,AZ185,$CA$2:$CA$201,1,$H$2:$H$201,H185,$BA$2:$BA$201,"&lt;"&amp;BA185)=0,1,0),0)</f>
        <v>0</v>
      </c>
      <c r="CC185" s="23" t="n">
        <f aca="false">IF(AND(BB185=1,AR185="Y"),IF(COUNTIFS($AZ$2:$AZ$201,AZ185,$AR$2:$AR$201,"Y",$BB$2:$BB$201,1,$H$2:$H$201,"&lt;"&amp;H185)+COUNTIFS($AZ$2:$AZ$201,AZ185,$AR$2:$AR$201,"Y",$BB$2:$BB$201,1,$H$2:$H$201,H185,$BA$2:$BA$201,"&lt;"&amp;BA185)=0,1,0),0)</f>
        <v>0</v>
      </c>
      <c r="CD185" s="23" t="n">
        <f aca="false">IF(AND(BH185=1,N(Y185)&gt;=Config!$B$15),1,0)</f>
        <v>0</v>
      </c>
      <c r="CE185" s="23" t="n">
        <f aca="false">IF(AND(BB185=1,AT185="Y"),1,0)</f>
        <v>0</v>
      </c>
      <c r="CF185" s="23" t="n">
        <f aca="false">IF(CE185=1,IF(COUNTIFS($AZ$2:$AZ$201,AZ185,$CE$2:$CE$201,1,$H$2:$H$201,"&lt;"&amp;H185)+COUNTIFS($AZ$2:$AZ$201,AZ185,$CE$2:$CE$201,1,$H$2:$H$201,H185,$BA$2:$BA$201,"&lt;"&amp;BA185)=0,1,0),0)</f>
        <v>0</v>
      </c>
      <c r="CG185" s="23" t="n">
        <f aca="false">IF(AND(BB185=1,G185="warm-intro"),1,0)</f>
        <v>0</v>
      </c>
      <c r="CH185" s="23" t="n">
        <f aca="false">IF(CG185=1,IF(COUNTIFS($AZ$2:$AZ$201,AZ185,$CG$2:$CG$201,1,$H$2:$H$201,"&lt;"&amp;H185)+COUNTIFS($AZ$2:$AZ$201,AZ185,$CG$2:$CG$201,1,$H$2:$H$201,H185,$BA$2:$BA$201,"&lt;"&amp;BA185)=0,1,0),0)</f>
        <v>0</v>
      </c>
      <c r="CI185" s="23" t="n">
        <f aca="false">IF(AND(BB185=1,Q185="Y"),1,0)</f>
        <v>0</v>
      </c>
      <c r="CJ185" s="23" t="n">
        <f aca="false">IF(CI185=1,IF(COUNTIFS($AZ$2:$AZ$201,AZ185,$CI$2:$CI$201,1,$H$2:$H$201,"&lt;"&amp;H185)+COUNTIFS($AZ$2:$AZ$201,AZ185,$CI$2:$CI$201,1,$H$2:$H$201,H185,$BA$2:$BA$201,"&lt;"&amp;BA185)=0,1,0),0)</f>
        <v>0</v>
      </c>
      <c r="CK185" s="23" t="n">
        <f aca="false">IF(AND(BB185=1,AF185="Y"),1,0)</f>
        <v>0</v>
      </c>
      <c r="CL185" s="23" t="n">
        <f aca="false">IF(CK185=1,IF(COUNTIFS($AZ$2:$AZ$201,AZ185,$CK$2:$CK$201,1,$H$2:$H$201,"&lt;"&amp;H185)+COUNTIFS($AZ$2:$AZ$201,AZ185,$CK$2:$CK$201,1,$H$2:$H$201,H185,$BA$2:$BA$201,"&lt;"&amp;BA185)=0,1,0),0)</f>
        <v>0</v>
      </c>
      <c r="CM185" s="23" t="n">
        <f aca="false">IF(AND(BB185=1,U185="Y"),1,0)</f>
        <v>0</v>
      </c>
      <c r="CN185" s="23" t="n">
        <f aca="false">IF(CM185=1,IF(COUNTIFS($AZ$2:$AZ$201,AZ185,$CM$2:$CM$201,1,$H$2:$H$201,"&lt;"&amp;H185)+COUNTIFS($AZ$2:$AZ$201,AZ185,$CM$2:$CM$201,1,$H$2:$H$201,H185,$BA$2:$BA$201,"&lt;"&amp;BA185)=0,1,0),0)</f>
        <v>0</v>
      </c>
      <c r="CO185" s="23" t="n">
        <f aca="false">IF(AND(BB185=1,L185="Y"),1,0)</f>
        <v>0</v>
      </c>
      <c r="CP185" s="23" t="n">
        <f aca="false">IF(CO185=1,IF(COUNTIFS($AZ$2:$AZ$201,AZ185,$CO$2:$CO$201,1,$H$2:$H$201,"&lt;"&amp;H185)+COUNTIFS($AZ$2:$AZ$201,AZ185,$CO$2:$CO$201,1,$H$2:$H$201,H185,$BA$2:$BA$201,"&lt;"&amp;BA185)=0,1,0),0)</f>
        <v>0</v>
      </c>
      <c r="CQ185" s="23" t="n">
        <f aca="false">IF(AND(BB185=1,ISNUMBER(O185)),1,0)</f>
        <v>0</v>
      </c>
      <c r="CR185" s="23" t="n">
        <f aca="false">IF(CQ185=1,IF(COUNTIFS($AZ$2:$AZ$201,AZ185,$CQ$2:$CQ$201,1,$H$2:$H$201,"&lt;"&amp;H185)+COUNTIFS($AZ$2:$AZ$201,AZ185,$CQ$2:$CQ$201,1,$H$2:$H$201,H185,$BA$2:$BA$201,"&lt;"&amp;BA185)=0,1,0),0)</f>
        <v>0</v>
      </c>
      <c r="CS185" s="23" t="str">
        <f aca="false">IF(AND(CR185=1,INT(N(H185))&lt;=Config!$B$5),O185,"")</f>
        <v/>
      </c>
      <c r="CT185" s="23" t="str">
        <f aca="false">IF(AND(BB185=1,INT(N(H185))&lt;=Config!$B$5),AG185&amp;"","")</f>
        <v/>
      </c>
      <c r="CU185" s="23" t="n">
        <f aca="false">IF(AND(BB185=1,AU185="Y"),1,0)</f>
        <v>0</v>
      </c>
      <c r="CV185" s="23" t="n">
        <f aca="false">IF(CU185=1,IF(COUNTIFS($AZ$2:$AZ$201,AZ185,$CU$2:$CU$201,1,$H$2:$H$201,"&lt;"&amp;H185)+COUNTIFS($AZ$2:$AZ$201,AZ185,$CU$2:$CU$201,1,$H$2:$H$201,H185,$BA$2:$BA$201,"&lt;"&amp;BA185)=0,1,0),0)</f>
        <v>0</v>
      </c>
      <c r="CW185" s="23" t="str">
        <f aca="false">IF(BB185=1,IFERROR(MATCH($A185,INDEX(Clay_Offices!$A$2:$FZ$601,0,Sync!$C$5),0),""),"")</f>
        <v/>
      </c>
      <c r="CX185" s="23" t="str">
        <f aca="false">IF(CW185="","",IFERROR(INDEX(Clay_Offices!$A$2:$FZ$601,CW185,Sync!$C$7)&amp;"",""))</f>
        <v/>
      </c>
      <c r="CY185" s="23" t="str">
        <f aca="false">IF(CX185="","",IFERROR(INDEX(Lists!$K$2:$K$15,MATCH(CX185,Lists!$J$2:$J$15,0)),""))</f>
        <v/>
      </c>
      <c r="CZ185" s="23" t="str">
        <f aca="false">IF(CW185="","",IFERROR(INDEX(Clay_Offices!$A$2:$FZ$601,CW185,Sync!$C$17)&amp;"",""))</f>
        <v/>
      </c>
      <c r="DA185" s="35" t="str">
        <f aca="false">IF(CW185="","",IFERROR(N(INDEX(Clay_Offices!$A$2:$FZ$601,CW185,Sync!$C$16)),0))</f>
        <v/>
      </c>
      <c r="DB185" s="23" t="n">
        <f aca="false">IF(AND(BB185=1,OR(AR185="Y",AR185="N",AR185="maybe")),1,0)</f>
        <v>0</v>
      </c>
      <c r="DC185" s="23" t="n">
        <f aca="false">IF(AND(DB185=1),IF(COUNTIFS($A$2:$A$201,$A185,$DB$2:$DB$201,1,$H$2:$H$201,"&gt;"&amp;H185)+COUNTIFS($A$2:$A$201,$A185,$DB$2:$DB$201,1,$H$2:$H$201,H185,$BA$2:$BA$201,"&gt;"&amp;BA185)=0,1,0),0)</f>
        <v>0</v>
      </c>
      <c r="DD185" s="23" t="n">
        <f aca="false">IF(AND(DB185=1,INT(N(H185))&lt;=Config!$B$6),IF(COUNTIFS($AZ$2:$AZ$201,AZ185,$DB$2:$DB$201,1,$H$2:$H$201,"&gt;"&amp;H185,$H$2:$H$201,"&lt;"&amp;(Config!$B$6+1))+COUNTIFS($AZ$2:$AZ$201,AZ185,$DB$2:$DB$201,1,$H$2:$H$201,H185,$BA$2:$BA$201,"&gt;"&amp;BA185)=0,1,0),0)</f>
        <v>0</v>
      </c>
      <c r="DE185" s="23" t="n">
        <f aca="false">IF(AND(DB185=1,INT(N(H185))&lt;=Config!$B$7),IF(COUNTIFS($AZ$2:$AZ$201,AZ185,$DB$2:$DB$201,1,$H$2:$H$201,"&gt;"&amp;H185,$H$2:$H$201,"&lt;"&amp;(Config!$B$7+1))+COUNTIFS($AZ$2:$AZ$201,AZ185,$DB$2:$DB$201,1,$H$2:$H$201,H185,$BA$2:$BA$201,"&gt;"&amp;BA185)=0,1,0),0)</f>
        <v>0</v>
      </c>
      <c r="DF185" s="23" t="n">
        <f aca="false">IF(AND(DB185=1,INT(N(H185))&lt;=Config!$B$8),IF(COUNTIFS($AZ$2:$AZ$201,AZ185,$DB$2:$DB$201,1,$H$2:$H$201,"&gt;"&amp;H185,$H$2:$H$201,"&lt;"&amp;(Config!$B$8+1))+COUNTIFS($AZ$2:$AZ$201,AZ185,$DB$2:$DB$201,1,$H$2:$H$201,H185,$BA$2:$BA$201,"&gt;"&amp;BA185)=0,1,0),0)</f>
        <v>0</v>
      </c>
      <c r="DG185" s="23" t="n">
        <f aca="false">IF(AND(DB185=1,INT(N(H185))&lt;=Config!$B$5),IF(COUNTIFS($AZ$2:$AZ$201,AZ185,$DB$2:$DB$201,1,$H$2:$H$201,"&gt;"&amp;H185,$H$2:$H$201,"&lt;"&amp;(Config!$B$5+1))+COUNTIFS($AZ$2:$AZ$201,AZ185,$DB$2:$DB$201,1,$H$2:$H$201,H185,$BA$2:$BA$201,"&gt;"&amp;BA185)=0,1,0),0)</f>
        <v>0</v>
      </c>
      <c r="DH185" s="23" t="n">
        <f aca="false">IF(BB185=1,IF(COUNTIFS($AZ$2:$AZ$201,AZ185,$DD$2:$DD$201,1,$AR$2:$AR$201,"Y")&gt;0,1,0),0)</f>
        <v>0</v>
      </c>
      <c r="DI185" s="23" t="n">
        <f aca="false">IF(BB185=1,IF(COUNTIFS($AZ$2:$AZ$201,AZ185,$DE$2:$DE$201,1,$AR$2:$AR$201,"Y")&gt;0,1,0),0)</f>
        <v>0</v>
      </c>
      <c r="DJ185" s="23" t="n">
        <f aca="false">IF(BB185=1,IF(COUNTIFS($AZ$2:$AZ$201,AZ185,$DF$2:$DF$201,1,$AR$2:$AR$201,"Y")&gt;0,1,0),0)</f>
        <v>0</v>
      </c>
      <c r="DK185" s="23" t="n">
        <f aca="false">IF(BB185=1,IF(COUNTIFS($AZ$2:$AZ$201,AZ185,$DG$2:$DG$201,1,$AR$2:$AR$201,"Y")&gt;0,1,0),0)</f>
        <v>0</v>
      </c>
      <c r="DL185" s="23" t="n">
        <f aca="false">IF(AND(BF185=1,INT(N(H185))&lt;=Config!$B$6,DH185=1,EI185=0),1,0)</f>
        <v>0</v>
      </c>
      <c r="DM185" s="23" t="n">
        <f aca="false">IF(AND(BF185=1,INT(N(H185))&lt;=Config!$B$7,DI185=1,EI185=0),1,0)</f>
        <v>0</v>
      </c>
      <c r="DN185" s="23" t="n">
        <f aca="false">IF(AND(BF185=1,INT(N(H185))&lt;=Config!$B$8,DJ185=1,EI185=0),1,0)</f>
        <v>0</v>
      </c>
      <c r="DO185" s="23" t="n">
        <f aca="false">IF(AND(BF185=1,INT(N(H185))&lt;=Config!$B$5,DK185=1,EI185=0),1,0)</f>
        <v>0</v>
      </c>
      <c r="DP185" s="23" t="n">
        <f aca="false">IF(AND(CC185=1,INT(N(H185))&lt;=Config!$B$6,DH185=1,EI185=0),1,0)</f>
        <v>0</v>
      </c>
      <c r="DQ185" s="23" t="n">
        <f aca="false">IF(AND(CC185=1,INT(N(H185))&lt;=Config!$B$7,DI185=1,EI185=0),1,0)</f>
        <v>0</v>
      </c>
      <c r="DR185" s="23" t="n">
        <f aca="false">IF(AND(CC185=1,INT(N(H185))&lt;=Config!$B$8,DJ185=1,EI185=0),1,0)</f>
        <v>0</v>
      </c>
      <c r="DS185" s="23" t="n">
        <f aca="false">IF(AND(CC185=1,INT(N(H185))&lt;=Config!$B$5,DK185=1,EI185=0),1,0)</f>
        <v>0</v>
      </c>
      <c r="DT185" s="23" t="n">
        <f aca="false">IF(AND(CC185=1,INT(N(H185))&lt;=Config!$B$6,DH185=0),1,0)</f>
        <v>0</v>
      </c>
      <c r="DU185" s="23" t="n">
        <f aca="false">IF(AND(CC185=1,INT(N(H185))&lt;=Config!$B$7,DI185=0),1,0)</f>
        <v>0</v>
      </c>
      <c r="DV185" s="23" t="n">
        <f aca="false">IF(AND(CC185=1,INT(N(H185))&lt;=Config!$B$8,DJ185=0),1,0)</f>
        <v>0</v>
      </c>
      <c r="DW185" s="23" t="n">
        <f aca="false">IF(AND(CC185=1,INT(N(H185))&lt;=Config!$B$5,DK185=0),1,0)</f>
        <v>0</v>
      </c>
      <c r="DX185" s="23" t="n">
        <f aca="false">IF(TRIM($A185)="",0,ISTEXT(M185)+ISTEXT(O185)+ISTEXT(Y185)+ISTEXT(Z185)+ISTEXT(AA185)+ISTEXT(AV185))</f>
        <v>0</v>
      </c>
      <c r="DY185" s="23" t="n">
        <f aca="false">IF(BB185=1,IF(H185&lt;&gt;INT(H185),1,0),0)</f>
        <v>0</v>
      </c>
      <c r="DZ185" s="23" t="str">
        <f aca="false">IF(TRIM($A185)="","",IF(TRIM(B185)="",SUBSTITUTE(SUBSTITUTE(SUBSTITUTE(SUBSTITUTE(SUBSTITUTE(SUBSTITUTE(LOWER(TRIM($A185)),"~",""),"*",""),"?",""),"&lt;",""),"&gt;",""),"=",""),SUBSTITUTE(SUBSTITUTE(SUBSTITUTE(SUBSTITUTE(SUBSTITUTE(SUBSTITUTE(LOWER(TRIM(B185)),"~",""),"*",""),"?",""),"&lt;",""),"&gt;",""),"=","")))</f>
        <v/>
      </c>
      <c r="EA185" s="23" t="str">
        <f aca="false">IF(CW185="","",IFERROR(IF(LEFT(LOWER(TRIM(INDEX(Clay_Offices!$A$2:$FZ$601,CW185,Sync!$C$19)&amp;"")),4)="grp-",SUBSTITUTE(SUBSTITUTE(SUBSTITUTE(SUBSTITUTE(SUBSTITUTE(SUBSTITUTE(LOWER(TRIM(INDEX(Clay_Offices!$A$2:$FZ$601,CW185,Sync!$C$19)&amp;"")),"~",""),"*",""),"?",""),"&lt;",""),"&gt;",""),"=",""),""),""))</f>
        <v/>
      </c>
      <c r="EB185" s="23" t="str">
        <f aca="false">IF(EA185&lt;&gt;"",DZ185,"")</f>
        <v/>
      </c>
      <c r="EC185" s="23" t="str">
        <f aca="false">IF(BC185=1,AZ185,"")</f>
        <v/>
      </c>
      <c r="ED185" s="23" t="str">
        <f aca="false">IF(TRIM($A185)="","",IFERROR(INDEX($A$2:$A$201,MATCH(AZ185,$EC$2:$EC$201,0))&amp;"",$A185&amp;""))</f>
        <v/>
      </c>
      <c r="EE185" s="23" t="n">
        <f aca="false">IF(BB185=1,IF(COUNTIFS($A$2:$A$201,$A185,$BB$2:$BB$201,1,$H$2:$H$201,"&lt;"&amp;H185)+COUNTIFS($A$2:$A$201,$A185,$BB$2:$BB$201,1,$H$2:$H$201,H185,$BA$2:$BA$201,"&lt;"&amp;BA185)=0,1,0),0)</f>
        <v>0</v>
      </c>
      <c r="EF185" s="23" t="n">
        <f aca="false">IF(BC185=1,IF(COUNTIFS($AZ$2:$AZ$201,AZ185,$EE$2:$EE$201,1)&gt;1,1,0),0)</f>
        <v>0</v>
      </c>
      <c r="EG185" s="23" t="n">
        <f aca="false">IF(AND(CQ185=1),IF(COUNTIFS($AZ$2:$AZ$201,AZ185,$CQ$2:$CQ$201,1,$H$2:$H$201,"&gt;"&amp;H185)+COUNTIFS($AZ$2:$AZ$201,AZ185,$CQ$2:$CQ$201,1,$H$2:$H$201,H185,$BA$2:$BA$201,"&gt;"&amp;BA185)=0,1,0),0)</f>
        <v>0</v>
      </c>
      <c r="EH185" s="23" t="str">
        <f aca="false">IF(BB185=1,IF(COUNTIFS($AZ$2:$AZ$201,AZ185,$EG$2:$EG$201,1)=0,"",SUMIFS($O$2:$O$201,$AZ$2:$AZ$201,AZ185,$EG$2:$EG$201,1)),"")</f>
        <v/>
      </c>
      <c r="EI185" s="23" t="n">
        <f aca="false">IF(AND(ISNUMBER(EH185),OR(N(EH185)&lt;Config!$B$31,N(EH185)&gt;Config!$B$33)),1,0)</f>
        <v>0</v>
      </c>
      <c r="EJ185" s="23" t="n">
        <f aca="false">IF(AND(ISNUMBER(EH185),N(EH185)&gt;=Config!$B$31,N(EH185)&lt;Config!$B$32),1,0)</f>
        <v>0</v>
      </c>
      <c r="EK185" s="23" t="n">
        <f aca="false">IF(AND(BF185=1,INT(N(H185))&lt;=Config!$B$6,DH185=1,EI185=1),1,0)</f>
        <v>0</v>
      </c>
      <c r="EL185" s="23" t="n">
        <f aca="false">IF(AND(BF185=1,INT(N(H185))&lt;=Config!$B$7,DI185=1,EI185=1),1,0)</f>
        <v>0</v>
      </c>
      <c r="EM185" s="23" t="n">
        <f aca="false">IF(AND(BF185=1,INT(N(H185))&lt;=Config!$B$8,DJ185=1,EI185=1),1,0)</f>
        <v>0</v>
      </c>
      <c r="EN185" s="23" t="n">
        <f aca="false">IF(AND(BF185=1,INT(N(H185))&lt;=Config!$B$5,DK185=1,EI185=1),1,0)</f>
        <v>0</v>
      </c>
      <c r="EO185" s="23" t="n">
        <f aca="false">IF(AND(DL185=1,EJ185=1),1,0)</f>
        <v>0</v>
      </c>
      <c r="EP185" s="23" t="n">
        <f aca="false">IF(AND(DM185=1,EJ185=1),1,0)</f>
        <v>0</v>
      </c>
      <c r="EQ185" s="23" t="n">
        <f aca="false">IF(AND(DN185=1,EJ185=1),1,0)</f>
        <v>0</v>
      </c>
      <c r="ER185" s="23" t="n">
        <f aca="false">IF(AND(DO185=1,EJ185=1),1,0)</f>
        <v>0</v>
      </c>
    </row>
    <row r="186" customFormat="false" ht="15" hidden="false" customHeight="false" outlineLevel="0" collapsed="false">
      <c r="G186" s="32"/>
      <c r="H186" s="33"/>
      <c r="I186" s="32"/>
      <c r="L186" s="32"/>
      <c r="Q186" s="32"/>
      <c r="U186" s="32"/>
      <c r="W186" s="32"/>
      <c r="AC186" s="32"/>
      <c r="AF186" s="32"/>
      <c r="AI186" s="32"/>
      <c r="AJ186" s="32"/>
      <c r="AN186" s="32"/>
      <c r="AR186" s="32"/>
      <c r="AT186" s="32"/>
      <c r="AU186" s="32"/>
      <c r="AW186" s="32"/>
      <c r="AY186" s="34" t="str">
        <f aca="false">IF(TRIM($A186)="","",IF(AND(LEFT($A186,6)="SAMPLE",Config!$B$19&lt;&gt;"Y"),"",IF(NOT(ISNUMBER(H186)),"call_date is blank or not a date",IF(Sync!$C$5="","Clay paste is empty or has no row_id column: paste the Clay export on Clay_Offices",IF(CW186="","row_id not found in the Clay paste: add the Clay row or fix the row_id",IF(AND(ISNUMBER(CY186),CY186&gt;=1,CY186&lt;=5),"Clay status is "&amp;CX186&amp;": set call_done or later",IF(AND(BD186=1,CZ186&lt;&gt;BZ186),"Clay yes_in_principle should be "&amp;BZ186,IF(AND(BD186=1,DA186&lt;&gt;H186),"Clay call_date should be "&amp;TEXT(H186,"yyyy-mm-dd"),""))))))))</f>
        <v/>
      </c>
      <c r="AZ186" s="23" t="str">
        <f aca="false">IF(TRIM($A186)="","",IF(TRIM(C186)&lt;&gt;"",SUBSTITUTE(SUBSTITUTE(SUBSTITUTE(SUBSTITUTE(SUBSTITUTE(SUBSTITUTE(LOWER(TRIM(C186)),"~",""),"*",""),"?",""),"&lt;",""),"&gt;",""),"=",""),IF(EA186&lt;&gt;"",EA186,IFERROR(INDEX($EA$2:$EA$201,MATCH(DZ186,$EB$2:$EB$201,0)),DZ186))))</f>
        <v/>
      </c>
      <c r="BA186" s="23" t="n">
        <f aca="false">ROW()</f>
        <v>186</v>
      </c>
      <c r="BB186" s="23" t="n">
        <f aca="false">IF(AND(TRIM($A186)&lt;&gt;"",ISNUMBER(H186)),IF(AND(LEFT($A186,6)="SAMPLE",Config!$B$19&lt;&gt;"Y"),0,1),0)</f>
        <v>0</v>
      </c>
      <c r="BC186" s="23" t="n">
        <f aca="false">IF(BB186=1,IF(COUNTIFS($AZ$2:$AZ$201,AZ186,$BB$2:$BB$201,1,$H$2:$H$201,"&lt;"&amp;H186)+COUNTIFS($AZ$2:$AZ$201,AZ186,$BB$2:$BB$201,1,$H$2:$H$201,H186,$BA$2:$BA$201,"&lt;"&amp;BA186)=0,1,0),0)</f>
        <v>0</v>
      </c>
      <c r="BD186" s="23" t="n">
        <f aca="false">IF(BB186=1,IF(COUNTIFS($A$2:$A$201,$A186,$BB$2:$BB$201,1,$H$2:$H$201,"&gt;"&amp;H186)+COUNTIFS($A$2:$A$201,$A186,$BB$2:$BB$201,1,$H$2:$H$201,H186,$BA$2:$BA$201,"&gt;"&amp;BA186)=0,1,0),0)</f>
        <v>0</v>
      </c>
      <c r="BE186" s="23" t="n">
        <f aca="false">IF(AND(BB186=1,AR186="Y",AC186="Y",TRIM(AH186)&lt;&gt;""),1,0)</f>
        <v>0</v>
      </c>
      <c r="BF186" s="23" t="n">
        <f aca="false">IF(BE186=1,IF(COUNTIFS($AZ$2:$AZ$201,AZ186,$BE$2:$BE$201,1,$H$2:$H$201,"&lt;"&amp;H186)+COUNTIFS($AZ$2:$AZ$201,AZ186,$BE$2:$BE$201,1,$H$2:$H$201,H186,$BA$2:$BA$201,"&lt;"&amp;BA186)=0,1,0),0)</f>
        <v>0</v>
      </c>
      <c r="BG186" s="23" t="n">
        <f aca="false">IF(AND(BB186=1,AR186="Y",BE186=0),1,0)</f>
        <v>0</v>
      </c>
      <c r="BH186" s="23" t="n">
        <f aca="false">IF(AND(BB186=1,ISNUMBER(Y186)),1,0)</f>
        <v>0</v>
      </c>
      <c r="BI186" s="23" t="n">
        <f aca="false">IF(BH186=1,IF(COUNTIFS($AZ$2:$AZ$201,AZ186,$BH$2:$BH$201,1,$H$2:$H$201,"&lt;"&amp;H186)+COUNTIFS($AZ$2:$AZ$201,AZ186,$BH$2:$BH$201,1,$H$2:$H$201,H186,$BA$2:$BA$201,"&lt;"&amp;BA186)=0,1,0),0)</f>
        <v>0</v>
      </c>
      <c r="BJ186" s="23" t="str">
        <f aca="false">IF(AND(BI186=1,INT(N(H186))&lt;=Config!$B$6),Y186,"")</f>
        <v/>
      </c>
      <c r="BK186" s="23" t="str">
        <f aca="false">IF(AND(BI186=1,INT(N(H186))&lt;=Config!$B$7),Y186,"")</f>
        <v/>
      </c>
      <c r="BL186" s="23" t="str">
        <f aca="false">IF(AND(BI186=1,INT(N(H186))&lt;=Config!$B$8),Y186,"")</f>
        <v/>
      </c>
      <c r="BM186" s="23" t="str">
        <f aca="false">IF(AND(BI186=1,INT(N(H186))&lt;=Config!$B$5),Y186,"")</f>
        <v/>
      </c>
      <c r="BN186" s="23" t="n">
        <f aca="false">IF(CD186=1,IF(COUNTIFS($AZ$2:$AZ$201,AZ186,$CD$2:$CD$201,1,$H$2:$H$201,"&lt;"&amp;H186)+COUNTIFS($AZ$2:$AZ$201,AZ186,$CD$2:$CD$201,1,$H$2:$H$201,H186,$BA$2:$BA$201,"&lt;"&amp;BA186)=0,1,0),0)</f>
        <v>0</v>
      </c>
      <c r="BO186" s="23" t="n">
        <f aca="false">IF(AND(BB186=1,ISNUMBER(M186)),1,0)</f>
        <v>0</v>
      </c>
      <c r="BP186" s="23" t="n">
        <f aca="false">IF(BO186=1,IF(COUNTIFS($AZ$2:$AZ$201,AZ186,$BO$2:$BO$201,1,$H$2:$H$201,"&lt;"&amp;H186)+COUNTIFS($AZ$2:$AZ$201,AZ186,$BO$2:$BO$201,1,$H$2:$H$201,H186,$BA$2:$BA$201,"&lt;"&amp;BA186)=0,1,0),0)</f>
        <v>0</v>
      </c>
      <c r="BQ186" s="23" t="str">
        <f aca="false">IF(AND(BP186=1,INT(N(H186))&lt;=Config!$B$5),M186,"")</f>
        <v/>
      </c>
      <c r="BR186" s="23" t="n">
        <f aca="false">IF(AND(BB186=1,OR(TRIM(X186)&lt;&gt;"",ISNUMBER(Y186))),1,0)</f>
        <v>0</v>
      </c>
      <c r="BS186" s="23" t="n">
        <f aca="false">IF(BR186=1,IF(COUNTIFS($AZ$2:$AZ$201,AZ186,$BR$2:$BR$201,1,$H$2:$H$201,"&lt;"&amp;H186)+COUNTIFS($AZ$2:$AZ$201,AZ186,$BR$2:$BR$201,1,$H$2:$H$201,H186,$BA$2:$BA$201,"&lt;"&amp;BA186)=0,1,0),0)</f>
        <v>0</v>
      </c>
      <c r="BT186" s="23" t="str">
        <f aca="false">IF(BS186=1,AZ186,"")</f>
        <v/>
      </c>
      <c r="BU186" s="23" t="n">
        <f aca="false">IF(AND(BB186=1,W186="Y",TRIM(X186)=""),1,0)</f>
        <v>0</v>
      </c>
      <c r="BV186" s="23" t="str">
        <f aca="false">IF(BB186=1,AN186&amp;"","")</f>
        <v/>
      </c>
      <c r="BW186" s="23" t="str">
        <f aca="false">IF(BB186=1,AO186&amp;"","")</f>
        <v/>
      </c>
      <c r="BX186" s="23" t="str">
        <f aca="false">IF(BB186=1,AP186&amp;"","")</f>
        <v/>
      </c>
      <c r="BY186" s="23" t="str">
        <f aca="false">IF(AND(BB186=1,ISNUMBER(AV186),INT(N(H186))&lt;=Config!$B$5),AV186,"")</f>
        <v/>
      </c>
      <c r="BZ186" s="23" t="str">
        <f aca="false">IF(BB186=1,IF(COUNTIFS($A$2:$A$201,$A186,$DC$2:$DC$201,1,$AR$2:$AR$201,"Y")&gt;0,"Y","N"),"")</f>
        <v/>
      </c>
      <c r="CA186" s="23" t="n">
        <f aca="false">IF(AND(BB186=1,AR186="maybe"),1,0)</f>
        <v>0</v>
      </c>
      <c r="CB186" s="23" t="n">
        <f aca="false">IF(CA186=1,IF(COUNTIFS($AZ$2:$AZ$201,AZ186,$CA$2:$CA$201,1,$H$2:$H$201,"&lt;"&amp;H186)+COUNTIFS($AZ$2:$AZ$201,AZ186,$CA$2:$CA$201,1,$H$2:$H$201,H186,$BA$2:$BA$201,"&lt;"&amp;BA186)=0,1,0),0)</f>
        <v>0</v>
      </c>
      <c r="CC186" s="23" t="n">
        <f aca="false">IF(AND(BB186=1,AR186="Y"),IF(COUNTIFS($AZ$2:$AZ$201,AZ186,$AR$2:$AR$201,"Y",$BB$2:$BB$201,1,$H$2:$H$201,"&lt;"&amp;H186)+COUNTIFS($AZ$2:$AZ$201,AZ186,$AR$2:$AR$201,"Y",$BB$2:$BB$201,1,$H$2:$H$201,H186,$BA$2:$BA$201,"&lt;"&amp;BA186)=0,1,0),0)</f>
        <v>0</v>
      </c>
      <c r="CD186" s="23" t="n">
        <f aca="false">IF(AND(BH186=1,N(Y186)&gt;=Config!$B$15),1,0)</f>
        <v>0</v>
      </c>
      <c r="CE186" s="23" t="n">
        <f aca="false">IF(AND(BB186=1,AT186="Y"),1,0)</f>
        <v>0</v>
      </c>
      <c r="CF186" s="23" t="n">
        <f aca="false">IF(CE186=1,IF(COUNTIFS($AZ$2:$AZ$201,AZ186,$CE$2:$CE$201,1,$H$2:$H$201,"&lt;"&amp;H186)+COUNTIFS($AZ$2:$AZ$201,AZ186,$CE$2:$CE$201,1,$H$2:$H$201,H186,$BA$2:$BA$201,"&lt;"&amp;BA186)=0,1,0),0)</f>
        <v>0</v>
      </c>
      <c r="CG186" s="23" t="n">
        <f aca="false">IF(AND(BB186=1,G186="warm-intro"),1,0)</f>
        <v>0</v>
      </c>
      <c r="CH186" s="23" t="n">
        <f aca="false">IF(CG186=1,IF(COUNTIFS($AZ$2:$AZ$201,AZ186,$CG$2:$CG$201,1,$H$2:$H$201,"&lt;"&amp;H186)+COUNTIFS($AZ$2:$AZ$201,AZ186,$CG$2:$CG$201,1,$H$2:$H$201,H186,$BA$2:$BA$201,"&lt;"&amp;BA186)=0,1,0),0)</f>
        <v>0</v>
      </c>
      <c r="CI186" s="23" t="n">
        <f aca="false">IF(AND(BB186=1,Q186="Y"),1,0)</f>
        <v>0</v>
      </c>
      <c r="CJ186" s="23" t="n">
        <f aca="false">IF(CI186=1,IF(COUNTIFS($AZ$2:$AZ$201,AZ186,$CI$2:$CI$201,1,$H$2:$H$201,"&lt;"&amp;H186)+COUNTIFS($AZ$2:$AZ$201,AZ186,$CI$2:$CI$201,1,$H$2:$H$201,H186,$BA$2:$BA$201,"&lt;"&amp;BA186)=0,1,0),0)</f>
        <v>0</v>
      </c>
      <c r="CK186" s="23" t="n">
        <f aca="false">IF(AND(BB186=1,AF186="Y"),1,0)</f>
        <v>0</v>
      </c>
      <c r="CL186" s="23" t="n">
        <f aca="false">IF(CK186=1,IF(COUNTIFS($AZ$2:$AZ$201,AZ186,$CK$2:$CK$201,1,$H$2:$H$201,"&lt;"&amp;H186)+COUNTIFS($AZ$2:$AZ$201,AZ186,$CK$2:$CK$201,1,$H$2:$H$201,H186,$BA$2:$BA$201,"&lt;"&amp;BA186)=0,1,0),0)</f>
        <v>0</v>
      </c>
      <c r="CM186" s="23" t="n">
        <f aca="false">IF(AND(BB186=1,U186="Y"),1,0)</f>
        <v>0</v>
      </c>
      <c r="CN186" s="23" t="n">
        <f aca="false">IF(CM186=1,IF(COUNTIFS($AZ$2:$AZ$201,AZ186,$CM$2:$CM$201,1,$H$2:$H$201,"&lt;"&amp;H186)+COUNTIFS($AZ$2:$AZ$201,AZ186,$CM$2:$CM$201,1,$H$2:$H$201,H186,$BA$2:$BA$201,"&lt;"&amp;BA186)=0,1,0),0)</f>
        <v>0</v>
      </c>
      <c r="CO186" s="23" t="n">
        <f aca="false">IF(AND(BB186=1,L186="Y"),1,0)</f>
        <v>0</v>
      </c>
      <c r="CP186" s="23" t="n">
        <f aca="false">IF(CO186=1,IF(COUNTIFS($AZ$2:$AZ$201,AZ186,$CO$2:$CO$201,1,$H$2:$H$201,"&lt;"&amp;H186)+COUNTIFS($AZ$2:$AZ$201,AZ186,$CO$2:$CO$201,1,$H$2:$H$201,H186,$BA$2:$BA$201,"&lt;"&amp;BA186)=0,1,0),0)</f>
        <v>0</v>
      </c>
      <c r="CQ186" s="23" t="n">
        <f aca="false">IF(AND(BB186=1,ISNUMBER(O186)),1,0)</f>
        <v>0</v>
      </c>
      <c r="CR186" s="23" t="n">
        <f aca="false">IF(CQ186=1,IF(COUNTIFS($AZ$2:$AZ$201,AZ186,$CQ$2:$CQ$201,1,$H$2:$H$201,"&lt;"&amp;H186)+COUNTIFS($AZ$2:$AZ$201,AZ186,$CQ$2:$CQ$201,1,$H$2:$H$201,H186,$BA$2:$BA$201,"&lt;"&amp;BA186)=0,1,0),0)</f>
        <v>0</v>
      </c>
      <c r="CS186" s="23" t="str">
        <f aca="false">IF(AND(CR186=1,INT(N(H186))&lt;=Config!$B$5),O186,"")</f>
        <v/>
      </c>
      <c r="CT186" s="23" t="str">
        <f aca="false">IF(AND(BB186=1,INT(N(H186))&lt;=Config!$B$5),AG186&amp;"","")</f>
        <v/>
      </c>
      <c r="CU186" s="23" t="n">
        <f aca="false">IF(AND(BB186=1,AU186="Y"),1,0)</f>
        <v>0</v>
      </c>
      <c r="CV186" s="23" t="n">
        <f aca="false">IF(CU186=1,IF(COUNTIFS($AZ$2:$AZ$201,AZ186,$CU$2:$CU$201,1,$H$2:$H$201,"&lt;"&amp;H186)+COUNTIFS($AZ$2:$AZ$201,AZ186,$CU$2:$CU$201,1,$H$2:$H$201,H186,$BA$2:$BA$201,"&lt;"&amp;BA186)=0,1,0),0)</f>
        <v>0</v>
      </c>
      <c r="CW186" s="23" t="str">
        <f aca="false">IF(BB186=1,IFERROR(MATCH($A186,INDEX(Clay_Offices!$A$2:$FZ$601,0,Sync!$C$5),0),""),"")</f>
        <v/>
      </c>
      <c r="CX186" s="23" t="str">
        <f aca="false">IF(CW186="","",IFERROR(INDEX(Clay_Offices!$A$2:$FZ$601,CW186,Sync!$C$7)&amp;"",""))</f>
        <v/>
      </c>
      <c r="CY186" s="23" t="str">
        <f aca="false">IF(CX186="","",IFERROR(INDEX(Lists!$K$2:$K$15,MATCH(CX186,Lists!$J$2:$J$15,0)),""))</f>
        <v/>
      </c>
      <c r="CZ186" s="23" t="str">
        <f aca="false">IF(CW186="","",IFERROR(INDEX(Clay_Offices!$A$2:$FZ$601,CW186,Sync!$C$17)&amp;"",""))</f>
        <v/>
      </c>
      <c r="DA186" s="35" t="str">
        <f aca="false">IF(CW186="","",IFERROR(N(INDEX(Clay_Offices!$A$2:$FZ$601,CW186,Sync!$C$16)),0))</f>
        <v/>
      </c>
      <c r="DB186" s="23" t="n">
        <f aca="false">IF(AND(BB186=1,OR(AR186="Y",AR186="N",AR186="maybe")),1,0)</f>
        <v>0</v>
      </c>
      <c r="DC186" s="23" t="n">
        <f aca="false">IF(AND(DB186=1),IF(COUNTIFS($A$2:$A$201,$A186,$DB$2:$DB$201,1,$H$2:$H$201,"&gt;"&amp;H186)+COUNTIFS($A$2:$A$201,$A186,$DB$2:$DB$201,1,$H$2:$H$201,H186,$BA$2:$BA$201,"&gt;"&amp;BA186)=0,1,0),0)</f>
        <v>0</v>
      </c>
      <c r="DD186" s="23" t="n">
        <f aca="false">IF(AND(DB186=1,INT(N(H186))&lt;=Config!$B$6),IF(COUNTIFS($AZ$2:$AZ$201,AZ186,$DB$2:$DB$201,1,$H$2:$H$201,"&gt;"&amp;H186,$H$2:$H$201,"&lt;"&amp;(Config!$B$6+1))+COUNTIFS($AZ$2:$AZ$201,AZ186,$DB$2:$DB$201,1,$H$2:$H$201,H186,$BA$2:$BA$201,"&gt;"&amp;BA186)=0,1,0),0)</f>
        <v>0</v>
      </c>
      <c r="DE186" s="23" t="n">
        <f aca="false">IF(AND(DB186=1,INT(N(H186))&lt;=Config!$B$7),IF(COUNTIFS($AZ$2:$AZ$201,AZ186,$DB$2:$DB$201,1,$H$2:$H$201,"&gt;"&amp;H186,$H$2:$H$201,"&lt;"&amp;(Config!$B$7+1))+COUNTIFS($AZ$2:$AZ$201,AZ186,$DB$2:$DB$201,1,$H$2:$H$201,H186,$BA$2:$BA$201,"&gt;"&amp;BA186)=0,1,0),0)</f>
        <v>0</v>
      </c>
      <c r="DF186" s="23" t="n">
        <f aca="false">IF(AND(DB186=1,INT(N(H186))&lt;=Config!$B$8),IF(COUNTIFS($AZ$2:$AZ$201,AZ186,$DB$2:$DB$201,1,$H$2:$H$201,"&gt;"&amp;H186,$H$2:$H$201,"&lt;"&amp;(Config!$B$8+1))+COUNTIFS($AZ$2:$AZ$201,AZ186,$DB$2:$DB$201,1,$H$2:$H$201,H186,$BA$2:$BA$201,"&gt;"&amp;BA186)=0,1,0),0)</f>
        <v>0</v>
      </c>
      <c r="DG186" s="23" t="n">
        <f aca="false">IF(AND(DB186=1,INT(N(H186))&lt;=Config!$B$5),IF(COUNTIFS($AZ$2:$AZ$201,AZ186,$DB$2:$DB$201,1,$H$2:$H$201,"&gt;"&amp;H186,$H$2:$H$201,"&lt;"&amp;(Config!$B$5+1))+COUNTIFS($AZ$2:$AZ$201,AZ186,$DB$2:$DB$201,1,$H$2:$H$201,H186,$BA$2:$BA$201,"&gt;"&amp;BA186)=0,1,0),0)</f>
        <v>0</v>
      </c>
      <c r="DH186" s="23" t="n">
        <f aca="false">IF(BB186=1,IF(COUNTIFS($AZ$2:$AZ$201,AZ186,$DD$2:$DD$201,1,$AR$2:$AR$201,"Y")&gt;0,1,0),0)</f>
        <v>0</v>
      </c>
      <c r="DI186" s="23" t="n">
        <f aca="false">IF(BB186=1,IF(COUNTIFS($AZ$2:$AZ$201,AZ186,$DE$2:$DE$201,1,$AR$2:$AR$201,"Y")&gt;0,1,0),0)</f>
        <v>0</v>
      </c>
      <c r="DJ186" s="23" t="n">
        <f aca="false">IF(BB186=1,IF(COUNTIFS($AZ$2:$AZ$201,AZ186,$DF$2:$DF$201,1,$AR$2:$AR$201,"Y")&gt;0,1,0),0)</f>
        <v>0</v>
      </c>
      <c r="DK186" s="23" t="n">
        <f aca="false">IF(BB186=1,IF(COUNTIFS($AZ$2:$AZ$201,AZ186,$DG$2:$DG$201,1,$AR$2:$AR$201,"Y")&gt;0,1,0),0)</f>
        <v>0</v>
      </c>
      <c r="DL186" s="23" t="n">
        <f aca="false">IF(AND(BF186=1,INT(N(H186))&lt;=Config!$B$6,DH186=1,EI186=0),1,0)</f>
        <v>0</v>
      </c>
      <c r="DM186" s="23" t="n">
        <f aca="false">IF(AND(BF186=1,INT(N(H186))&lt;=Config!$B$7,DI186=1,EI186=0),1,0)</f>
        <v>0</v>
      </c>
      <c r="DN186" s="23" t="n">
        <f aca="false">IF(AND(BF186=1,INT(N(H186))&lt;=Config!$B$8,DJ186=1,EI186=0),1,0)</f>
        <v>0</v>
      </c>
      <c r="DO186" s="23" t="n">
        <f aca="false">IF(AND(BF186=1,INT(N(H186))&lt;=Config!$B$5,DK186=1,EI186=0),1,0)</f>
        <v>0</v>
      </c>
      <c r="DP186" s="23" t="n">
        <f aca="false">IF(AND(CC186=1,INT(N(H186))&lt;=Config!$B$6,DH186=1,EI186=0),1,0)</f>
        <v>0</v>
      </c>
      <c r="DQ186" s="23" t="n">
        <f aca="false">IF(AND(CC186=1,INT(N(H186))&lt;=Config!$B$7,DI186=1,EI186=0),1,0)</f>
        <v>0</v>
      </c>
      <c r="DR186" s="23" t="n">
        <f aca="false">IF(AND(CC186=1,INT(N(H186))&lt;=Config!$B$8,DJ186=1,EI186=0),1,0)</f>
        <v>0</v>
      </c>
      <c r="DS186" s="23" t="n">
        <f aca="false">IF(AND(CC186=1,INT(N(H186))&lt;=Config!$B$5,DK186=1,EI186=0),1,0)</f>
        <v>0</v>
      </c>
      <c r="DT186" s="23" t="n">
        <f aca="false">IF(AND(CC186=1,INT(N(H186))&lt;=Config!$B$6,DH186=0),1,0)</f>
        <v>0</v>
      </c>
      <c r="DU186" s="23" t="n">
        <f aca="false">IF(AND(CC186=1,INT(N(H186))&lt;=Config!$B$7,DI186=0),1,0)</f>
        <v>0</v>
      </c>
      <c r="DV186" s="23" t="n">
        <f aca="false">IF(AND(CC186=1,INT(N(H186))&lt;=Config!$B$8,DJ186=0),1,0)</f>
        <v>0</v>
      </c>
      <c r="DW186" s="23" t="n">
        <f aca="false">IF(AND(CC186=1,INT(N(H186))&lt;=Config!$B$5,DK186=0),1,0)</f>
        <v>0</v>
      </c>
      <c r="DX186" s="23" t="n">
        <f aca="false">IF(TRIM($A186)="",0,ISTEXT(M186)+ISTEXT(O186)+ISTEXT(Y186)+ISTEXT(Z186)+ISTEXT(AA186)+ISTEXT(AV186))</f>
        <v>0</v>
      </c>
      <c r="DY186" s="23" t="n">
        <f aca="false">IF(BB186=1,IF(H186&lt;&gt;INT(H186),1,0),0)</f>
        <v>0</v>
      </c>
      <c r="DZ186" s="23" t="str">
        <f aca="false">IF(TRIM($A186)="","",IF(TRIM(B186)="",SUBSTITUTE(SUBSTITUTE(SUBSTITUTE(SUBSTITUTE(SUBSTITUTE(SUBSTITUTE(LOWER(TRIM($A186)),"~",""),"*",""),"?",""),"&lt;",""),"&gt;",""),"=",""),SUBSTITUTE(SUBSTITUTE(SUBSTITUTE(SUBSTITUTE(SUBSTITUTE(SUBSTITUTE(LOWER(TRIM(B186)),"~",""),"*",""),"?",""),"&lt;",""),"&gt;",""),"=","")))</f>
        <v/>
      </c>
      <c r="EA186" s="23" t="str">
        <f aca="false">IF(CW186="","",IFERROR(IF(LEFT(LOWER(TRIM(INDEX(Clay_Offices!$A$2:$FZ$601,CW186,Sync!$C$19)&amp;"")),4)="grp-",SUBSTITUTE(SUBSTITUTE(SUBSTITUTE(SUBSTITUTE(SUBSTITUTE(SUBSTITUTE(LOWER(TRIM(INDEX(Clay_Offices!$A$2:$FZ$601,CW186,Sync!$C$19)&amp;"")),"~",""),"*",""),"?",""),"&lt;",""),"&gt;",""),"=",""),""),""))</f>
        <v/>
      </c>
      <c r="EB186" s="23" t="str">
        <f aca="false">IF(EA186&lt;&gt;"",DZ186,"")</f>
        <v/>
      </c>
      <c r="EC186" s="23" t="str">
        <f aca="false">IF(BC186=1,AZ186,"")</f>
        <v/>
      </c>
      <c r="ED186" s="23" t="str">
        <f aca="false">IF(TRIM($A186)="","",IFERROR(INDEX($A$2:$A$201,MATCH(AZ186,$EC$2:$EC$201,0))&amp;"",$A186&amp;""))</f>
        <v/>
      </c>
      <c r="EE186" s="23" t="n">
        <f aca="false">IF(BB186=1,IF(COUNTIFS($A$2:$A$201,$A186,$BB$2:$BB$201,1,$H$2:$H$201,"&lt;"&amp;H186)+COUNTIFS($A$2:$A$201,$A186,$BB$2:$BB$201,1,$H$2:$H$201,H186,$BA$2:$BA$201,"&lt;"&amp;BA186)=0,1,0),0)</f>
        <v>0</v>
      </c>
      <c r="EF186" s="23" t="n">
        <f aca="false">IF(BC186=1,IF(COUNTIFS($AZ$2:$AZ$201,AZ186,$EE$2:$EE$201,1)&gt;1,1,0),0)</f>
        <v>0</v>
      </c>
      <c r="EG186" s="23" t="n">
        <f aca="false">IF(AND(CQ186=1),IF(COUNTIFS($AZ$2:$AZ$201,AZ186,$CQ$2:$CQ$201,1,$H$2:$H$201,"&gt;"&amp;H186)+COUNTIFS($AZ$2:$AZ$201,AZ186,$CQ$2:$CQ$201,1,$H$2:$H$201,H186,$BA$2:$BA$201,"&gt;"&amp;BA186)=0,1,0),0)</f>
        <v>0</v>
      </c>
      <c r="EH186" s="23" t="str">
        <f aca="false">IF(BB186=1,IF(COUNTIFS($AZ$2:$AZ$201,AZ186,$EG$2:$EG$201,1)=0,"",SUMIFS($O$2:$O$201,$AZ$2:$AZ$201,AZ186,$EG$2:$EG$201,1)),"")</f>
        <v/>
      </c>
      <c r="EI186" s="23" t="n">
        <f aca="false">IF(AND(ISNUMBER(EH186),OR(N(EH186)&lt;Config!$B$31,N(EH186)&gt;Config!$B$33)),1,0)</f>
        <v>0</v>
      </c>
      <c r="EJ186" s="23" t="n">
        <f aca="false">IF(AND(ISNUMBER(EH186),N(EH186)&gt;=Config!$B$31,N(EH186)&lt;Config!$B$32),1,0)</f>
        <v>0</v>
      </c>
      <c r="EK186" s="23" t="n">
        <f aca="false">IF(AND(BF186=1,INT(N(H186))&lt;=Config!$B$6,DH186=1,EI186=1),1,0)</f>
        <v>0</v>
      </c>
      <c r="EL186" s="23" t="n">
        <f aca="false">IF(AND(BF186=1,INT(N(H186))&lt;=Config!$B$7,DI186=1,EI186=1),1,0)</f>
        <v>0</v>
      </c>
      <c r="EM186" s="23" t="n">
        <f aca="false">IF(AND(BF186=1,INT(N(H186))&lt;=Config!$B$8,DJ186=1,EI186=1),1,0)</f>
        <v>0</v>
      </c>
      <c r="EN186" s="23" t="n">
        <f aca="false">IF(AND(BF186=1,INT(N(H186))&lt;=Config!$B$5,DK186=1,EI186=1),1,0)</f>
        <v>0</v>
      </c>
      <c r="EO186" s="23" t="n">
        <f aca="false">IF(AND(DL186=1,EJ186=1),1,0)</f>
        <v>0</v>
      </c>
      <c r="EP186" s="23" t="n">
        <f aca="false">IF(AND(DM186=1,EJ186=1),1,0)</f>
        <v>0</v>
      </c>
      <c r="EQ186" s="23" t="n">
        <f aca="false">IF(AND(DN186=1,EJ186=1),1,0)</f>
        <v>0</v>
      </c>
      <c r="ER186" s="23" t="n">
        <f aca="false">IF(AND(DO186=1,EJ186=1),1,0)</f>
        <v>0</v>
      </c>
    </row>
    <row r="187" customFormat="false" ht="15" hidden="false" customHeight="false" outlineLevel="0" collapsed="false">
      <c r="G187" s="32"/>
      <c r="H187" s="33"/>
      <c r="I187" s="32"/>
      <c r="L187" s="32"/>
      <c r="Q187" s="32"/>
      <c r="U187" s="32"/>
      <c r="W187" s="32"/>
      <c r="AC187" s="32"/>
      <c r="AF187" s="32"/>
      <c r="AI187" s="32"/>
      <c r="AJ187" s="32"/>
      <c r="AN187" s="32"/>
      <c r="AR187" s="32"/>
      <c r="AT187" s="32"/>
      <c r="AU187" s="32"/>
      <c r="AW187" s="32"/>
      <c r="AY187" s="34" t="str">
        <f aca="false">IF(TRIM($A187)="","",IF(AND(LEFT($A187,6)="SAMPLE",Config!$B$19&lt;&gt;"Y"),"",IF(NOT(ISNUMBER(H187)),"call_date is blank or not a date",IF(Sync!$C$5="","Clay paste is empty or has no row_id column: paste the Clay export on Clay_Offices",IF(CW187="","row_id not found in the Clay paste: add the Clay row or fix the row_id",IF(AND(ISNUMBER(CY187),CY187&gt;=1,CY187&lt;=5),"Clay status is "&amp;CX187&amp;": set call_done or later",IF(AND(BD187=1,CZ187&lt;&gt;BZ187),"Clay yes_in_principle should be "&amp;BZ187,IF(AND(BD187=1,DA187&lt;&gt;H187),"Clay call_date should be "&amp;TEXT(H187,"yyyy-mm-dd"),""))))))))</f>
        <v/>
      </c>
      <c r="AZ187" s="23" t="str">
        <f aca="false">IF(TRIM($A187)="","",IF(TRIM(C187)&lt;&gt;"",SUBSTITUTE(SUBSTITUTE(SUBSTITUTE(SUBSTITUTE(SUBSTITUTE(SUBSTITUTE(LOWER(TRIM(C187)),"~",""),"*",""),"?",""),"&lt;",""),"&gt;",""),"=",""),IF(EA187&lt;&gt;"",EA187,IFERROR(INDEX($EA$2:$EA$201,MATCH(DZ187,$EB$2:$EB$201,0)),DZ187))))</f>
        <v/>
      </c>
      <c r="BA187" s="23" t="n">
        <f aca="false">ROW()</f>
        <v>187</v>
      </c>
      <c r="BB187" s="23" t="n">
        <f aca="false">IF(AND(TRIM($A187)&lt;&gt;"",ISNUMBER(H187)),IF(AND(LEFT($A187,6)="SAMPLE",Config!$B$19&lt;&gt;"Y"),0,1),0)</f>
        <v>0</v>
      </c>
      <c r="BC187" s="23" t="n">
        <f aca="false">IF(BB187=1,IF(COUNTIFS($AZ$2:$AZ$201,AZ187,$BB$2:$BB$201,1,$H$2:$H$201,"&lt;"&amp;H187)+COUNTIFS($AZ$2:$AZ$201,AZ187,$BB$2:$BB$201,1,$H$2:$H$201,H187,$BA$2:$BA$201,"&lt;"&amp;BA187)=0,1,0),0)</f>
        <v>0</v>
      </c>
      <c r="BD187" s="23" t="n">
        <f aca="false">IF(BB187=1,IF(COUNTIFS($A$2:$A$201,$A187,$BB$2:$BB$201,1,$H$2:$H$201,"&gt;"&amp;H187)+COUNTIFS($A$2:$A$201,$A187,$BB$2:$BB$201,1,$H$2:$H$201,H187,$BA$2:$BA$201,"&gt;"&amp;BA187)=0,1,0),0)</f>
        <v>0</v>
      </c>
      <c r="BE187" s="23" t="n">
        <f aca="false">IF(AND(BB187=1,AR187="Y",AC187="Y",TRIM(AH187)&lt;&gt;""),1,0)</f>
        <v>0</v>
      </c>
      <c r="BF187" s="23" t="n">
        <f aca="false">IF(BE187=1,IF(COUNTIFS($AZ$2:$AZ$201,AZ187,$BE$2:$BE$201,1,$H$2:$H$201,"&lt;"&amp;H187)+COUNTIFS($AZ$2:$AZ$201,AZ187,$BE$2:$BE$201,1,$H$2:$H$201,H187,$BA$2:$BA$201,"&lt;"&amp;BA187)=0,1,0),0)</f>
        <v>0</v>
      </c>
      <c r="BG187" s="23" t="n">
        <f aca="false">IF(AND(BB187=1,AR187="Y",BE187=0),1,0)</f>
        <v>0</v>
      </c>
      <c r="BH187" s="23" t="n">
        <f aca="false">IF(AND(BB187=1,ISNUMBER(Y187)),1,0)</f>
        <v>0</v>
      </c>
      <c r="BI187" s="23" t="n">
        <f aca="false">IF(BH187=1,IF(COUNTIFS($AZ$2:$AZ$201,AZ187,$BH$2:$BH$201,1,$H$2:$H$201,"&lt;"&amp;H187)+COUNTIFS($AZ$2:$AZ$201,AZ187,$BH$2:$BH$201,1,$H$2:$H$201,H187,$BA$2:$BA$201,"&lt;"&amp;BA187)=0,1,0),0)</f>
        <v>0</v>
      </c>
      <c r="BJ187" s="23" t="str">
        <f aca="false">IF(AND(BI187=1,INT(N(H187))&lt;=Config!$B$6),Y187,"")</f>
        <v/>
      </c>
      <c r="BK187" s="23" t="str">
        <f aca="false">IF(AND(BI187=1,INT(N(H187))&lt;=Config!$B$7),Y187,"")</f>
        <v/>
      </c>
      <c r="BL187" s="23" t="str">
        <f aca="false">IF(AND(BI187=1,INT(N(H187))&lt;=Config!$B$8),Y187,"")</f>
        <v/>
      </c>
      <c r="BM187" s="23" t="str">
        <f aca="false">IF(AND(BI187=1,INT(N(H187))&lt;=Config!$B$5),Y187,"")</f>
        <v/>
      </c>
      <c r="BN187" s="23" t="n">
        <f aca="false">IF(CD187=1,IF(COUNTIFS($AZ$2:$AZ$201,AZ187,$CD$2:$CD$201,1,$H$2:$H$201,"&lt;"&amp;H187)+COUNTIFS($AZ$2:$AZ$201,AZ187,$CD$2:$CD$201,1,$H$2:$H$201,H187,$BA$2:$BA$201,"&lt;"&amp;BA187)=0,1,0),0)</f>
        <v>0</v>
      </c>
      <c r="BO187" s="23" t="n">
        <f aca="false">IF(AND(BB187=1,ISNUMBER(M187)),1,0)</f>
        <v>0</v>
      </c>
      <c r="BP187" s="23" t="n">
        <f aca="false">IF(BO187=1,IF(COUNTIFS($AZ$2:$AZ$201,AZ187,$BO$2:$BO$201,1,$H$2:$H$201,"&lt;"&amp;H187)+COUNTIFS($AZ$2:$AZ$201,AZ187,$BO$2:$BO$201,1,$H$2:$H$201,H187,$BA$2:$BA$201,"&lt;"&amp;BA187)=0,1,0),0)</f>
        <v>0</v>
      </c>
      <c r="BQ187" s="23" t="str">
        <f aca="false">IF(AND(BP187=1,INT(N(H187))&lt;=Config!$B$5),M187,"")</f>
        <v/>
      </c>
      <c r="BR187" s="23" t="n">
        <f aca="false">IF(AND(BB187=1,OR(TRIM(X187)&lt;&gt;"",ISNUMBER(Y187))),1,0)</f>
        <v>0</v>
      </c>
      <c r="BS187" s="23" t="n">
        <f aca="false">IF(BR187=1,IF(COUNTIFS($AZ$2:$AZ$201,AZ187,$BR$2:$BR$201,1,$H$2:$H$201,"&lt;"&amp;H187)+COUNTIFS($AZ$2:$AZ$201,AZ187,$BR$2:$BR$201,1,$H$2:$H$201,H187,$BA$2:$BA$201,"&lt;"&amp;BA187)=0,1,0),0)</f>
        <v>0</v>
      </c>
      <c r="BT187" s="23" t="str">
        <f aca="false">IF(BS187=1,AZ187,"")</f>
        <v/>
      </c>
      <c r="BU187" s="23" t="n">
        <f aca="false">IF(AND(BB187=1,W187="Y",TRIM(X187)=""),1,0)</f>
        <v>0</v>
      </c>
      <c r="BV187" s="23" t="str">
        <f aca="false">IF(BB187=1,AN187&amp;"","")</f>
        <v/>
      </c>
      <c r="BW187" s="23" t="str">
        <f aca="false">IF(BB187=1,AO187&amp;"","")</f>
        <v/>
      </c>
      <c r="BX187" s="23" t="str">
        <f aca="false">IF(BB187=1,AP187&amp;"","")</f>
        <v/>
      </c>
      <c r="BY187" s="23" t="str">
        <f aca="false">IF(AND(BB187=1,ISNUMBER(AV187),INT(N(H187))&lt;=Config!$B$5),AV187,"")</f>
        <v/>
      </c>
      <c r="BZ187" s="23" t="str">
        <f aca="false">IF(BB187=1,IF(COUNTIFS($A$2:$A$201,$A187,$DC$2:$DC$201,1,$AR$2:$AR$201,"Y")&gt;0,"Y","N"),"")</f>
        <v/>
      </c>
      <c r="CA187" s="23" t="n">
        <f aca="false">IF(AND(BB187=1,AR187="maybe"),1,0)</f>
        <v>0</v>
      </c>
      <c r="CB187" s="23" t="n">
        <f aca="false">IF(CA187=1,IF(COUNTIFS($AZ$2:$AZ$201,AZ187,$CA$2:$CA$201,1,$H$2:$H$201,"&lt;"&amp;H187)+COUNTIFS($AZ$2:$AZ$201,AZ187,$CA$2:$CA$201,1,$H$2:$H$201,H187,$BA$2:$BA$201,"&lt;"&amp;BA187)=0,1,0),0)</f>
        <v>0</v>
      </c>
      <c r="CC187" s="23" t="n">
        <f aca="false">IF(AND(BB187=1,AR187="Y"),IF(COUNTIFS($AZ$2:$AZ$201,AZ187,$AR$2:$AR$201,"Y",$BB$2:$BB$201,1,$H$2:$H$201,"&lt;"&amp;H187)+COUNTIFS($AZ$2:$AZ$201,AZ187,$AR$2:$AR$201,"Y",$BB$2:$BB$201,1,$H$2:$H$201,H187,$BA$2:$BA$201,"&lt;"&amp;BA187)=0,1,0),0)</f>
        <v>0</v>
      </c>
      <c r="CD187" s="23" t="n">
        <f aca="false">IF(AND(BH187=1,N(Y187)&gt;=Config!$B$15),1,0)</f>
        <v>0</v>
      </c>
      <c r="CE187" s="23" t="n">
        <f aca="false">IF(AND(BB187=1,AT187="Y"),1,0)</f>
        <v>0</v>
      </c>
      <c r="CF187" s="23" t="n">
        <f aca="false">IF(CE187=1,IF(COUNTIFS($AZ$2:$AZ$201,AZ187,$CE$2:$CE$201,1,$H$2:$H$201,"&lt;"&amp;H187)+COUNTIFS($AZ$2:$AZ$201,AZ187,$CE$2:$CE$201,1,$H$2:$H$201,H187,$BA$2:$BA$201,"&lt;"&amp;BA187)=0,1,0),0)</f>
        <v>0</v>
      </c>
      <c r="CG187" s="23" t="n">
        <f aca="false">IF(AND(BB187=1,G187="warm-intro"),1,0)</f>
        <v>0</v>
      </c>
      <c r="CH187" s="23" t="n">
        <f aca="false">IF(CG187=1,IF(COUNTIFS($AZ$2:$AZ$201,AZ187,$CG$2:$CG$201,1,$H$2:$H$201,"&lt;"&amp;H187)+COUNTIFS($AZ$2:$AZ$201,AZ187,$CG$2:$CG$201,1,$H$2:$H$201,H187,$BA$2:$BA$201,"&lt;"&amp;BA187)=0,1,0),0)</f>
        <v>0</v>
      </c>
      <c r="CI187" s="23" t="n">
        <f aca="false">IF(AND(BB187=1,Q187="Y"),1,0)</f>
        <v>0</v>
      </c>
      <c r="CJ187" s="23" t="n">
        <f aca="false">IF(CI187=1,IF(COUNTIFS($AZ$2:$AZ$201,AZ187,$CI$2:$CI$201,1,$H$2:$H$201,"&lt;"&amp;H187)+COUNTIFS($AZ$2:$AZ$201,AZ187,$CI$2:$CI$201,1,$H$2:$H$201,H187,$BA$2:$BA$201,"&lt;"&amp;BA187)=0,1,0),0)</f>
        <v>0</v>
      </c>
      <c r="CK187" s="23" t="n">
        <f aca="false">IF(AND(BB187=1,AF187="Y"),1,0)</f>
        <v>0</v>
      </c>
      <c r="CL187" s="23" t="n">
        <f aca="false">IF(CK187=1,IF(COUNTIFS($AZ$2:$AZ$201,AZ187,$CK$2:$CK$201,1,$H$2:$H$201,"&lt;"&amp;H187)+COUNTIFS($AZ$2:$AZ$201,AZ187,$CK$2:$CK$201,1,$H$2:$H$201,H187,$BA$2:$BA$201,"&lt;"&amp;BA187)=0,1,0),0)</f>
        <v>0</v>
      </c>
      <c r="CM187" s="23" t="n">
        <f aca="false">IF(AND(BB187=1,U187="Y"),1,0)</f>
        <v>0</v>
      </c>
      <c r="CN187" s="23" t="n">
        <f aca="false">IF(CM187=1,IF(COUNTIFS($AZ$2:$AZ$201,AZ187,$CM$2:$CM$201,1,$H$2:$H$201,"&lt;"&amp;H187)+COUNTIFS($AZ$2:$AZ$201,AZ187,$CM$2:$CM$201,1,$H$2:$H$201,H187,$BA$2:$BA$201,"&lt;"&amp;BA187)=0,1,0),0)</f>
        <v>0</v>
      </c>
      <c r="CO187" s="23" t="n">
        <f aca="false">IF(AND(BB187=1,L187="Y"),1,0)</f>
        <v>0</v>
      </c>
      <c r="CP187" s="23" t="n">
        <f aca="false">IF(CO187=1,IF(COUNTIFS($AZ$2:$AZ$201,AZ187,$CO$2:$CO$201,1,$H$2:$H$201,"&lt;"&amp;H187)+COUNTIFS($AZ$2:$AZ$201,AZ187,$CO$2:$CO$201,1,$H$2:$H$201,H187,$BA$2:$BA$201,"&lt;"&amp;BA187)=0,1,0),0)</f>
        <v>0</v>
      </c>
      <c r="CQ187" s="23" t="n">
        <f aca="false">IF(AND(BB187=1,ISNUMBER(O187)),1,0)</f>
        <v>0</v>
      </c>
      <c r="CR187" s="23" t="n">
        <f aca="false">IF(CQ187=1,IF(COUNTIFS($AZ$2:$AZ$201,AZ187,$CQ$2:$CQ$201,1,$H$2:$H$201,"&lt;"&amp;H187)+COUNTIFS($AZ$2:$AZ$201,AZ187,$CQ$2:$CQ$201,1,$H$2:$H$201,H187,$BA$2:$BA$201,"&lt;"&amp;BA187)=0,1,0),0)</f>
        <v>0</v>
      </c>
      <c r="CS187" s="23" t="str">
        <f aca="false">IF(AND(CR187=1,INT(N(H187))&lt;=Config!$B$5),O187,"")</f>
        <v/>
      </c>
      <c r="CT187" s="23" t="str">
        <f aca="false">IF(AND(BB187=1,INT(N(H187))&lt;=Config!$B$5),AG187&amp;"","")</f>
        <v/>
      </c>
      <c r="CU187" s="23" t="n">
        <f aca="false">IF(AND(BB187=1,AU187="Y"),1,0)</f>
        <v>0</v>
      </c>
      <c r="CV187" s="23" t="n">
        <f aca="false">IF(CU187=1,IF(COUNTIFS($AZ$2:$AZ$201,AZ187,$CU$2:$CU$201,1,$H$2:$H$201,"&lt;"&amp;H187)+COUNTIFS($AZ$2:$AZ$201,AZ187,$CU$2:$CU$201,1,$H$2:$H$201,H187,$BA$2:$BA$201,"&lt;"&amp;BA187)=0,1,0),0)</f>
        <v>0</v>
      </c>
      <c r="CW187" s="23" t="str">
        <f aca="false">IF(BB187=1,IFERROR(MATCH($A187,INDEX(Clay_Offices!$A$2:$FZ$601,0,Sync!$C$5),0),""),"")</f>
        <v/>
      </c>
      <c r="CX187" s="23" t="str">
        <f aca="false">IF(CW187="","",IFERROR(INDEX(Clay_Offices!$A$2:$FZ$601,CW187,Sync!$C$7)&amp;"",""))</f>
        <v/>
      </c>
      <c r="CY187" s="23" t="str">
        <f aca="false">IF(CX187="","",IFERROR(INDEX(Lists!$K$2:$K$15,MATCH(CX187,Lists!$J$2:$J$15,0)),""))</f>
        <v/>
      </c>
      <c r="CZ187" s="23" t="str">
        <f aca="false">IF(CW187="","",IFERROR(INDEX(Clay_Offices!$A$2:$FZ$601,CW187,Sync!$C$17)&amp;"",""))</f>
        <v/>
      </c>
      <c r="DA187" s="35" t="str">
        <f aca="false">IF(CW187="","",IFERROR(N(INDEX(Clay_Offices!$A$2:$FZ$601,CW187,Sync!$C$16)),0))</f>
        <v/>
      </c>
      <c r="DB187" s="23" t="n">
        <f aca="false">IF(AND(BB187=1,OR(AR187="Y",AR187="N",AR187="maybe")),1,0)</f>
        <v>0</v>
      </c>
      <c r="DC187" s="23" t="n">
        <f aca="false">IF(AND(DB187=1),IF(COUNTIFS($A$2:$A$201,$A187,$DB$2:$DB$201,1,$H$2:$H$201,"&gt;"&amp;H187)+COUNTIFS($A$2:$A$201,$A187,$DB$2:$DB$201,1,$H$2:$H$201,H187,$BA$2:$BA$201,"&gt;"&amp;BA187)=0,1,0),0)</f>
        <v>0</v>
      </c>
      <c r="DD187" s="23" t="n">
        <f aca="false">IF(AND(DB187=1,INT(N(H187))&lt;=Config!$B$6),IF(COUNTIFS($AZ$2:$AZ$201,AZ187,$DB$2:$DB$201,1,$H$2:$H$201,"&gt;"&amp;H187,$H$2:$H$201,"&lt;"&amp;(Config!$B$6+1))+COUNTIFS($AZ$2:$AZ$201,AZ187,$DB$2:$DB$201,1,$H$2:$H$201,H187,$BA$2:$BA$201,"&gt;"&amp;BA187)=0,1,0),0)</f>
        <v>0</v>
      </c>
      <c r="DE187" s="23" t="n">
        <f aca="false">IF(AND(DB187=1,INT(N(H187))&lt;=Config!$B$7),IF(COUNTIFS($AZ$2:$AZ$201,AZ187,$DB$2:$DB$201,1,$H$2:$H$201,"&gt;"&amp;H187,$H$2:$H$201,"&lt;"&amp;(Config!$B$7+1))+COUNTIFS($AZ$2:$AZ$201,AZ187,$DB$2:$DB$201,1,$H$2:$H$201,H187,$BA$2:$BA$201,"&gt;"&amp;BA187)=0,1,0),0)</f>
        <v>0</v>
      </c>
      <c r="DF187" s="23" t="n">
        <f aca="false">IF(AND(DB187=1,INT(N(H187))&lt;=Config!$B$8),IF(COUNTIFS($AZ$2:$AZ$201,AZ187,$DB$2:$DB$201,1,$H$2:$H$201,"&gt;"&amp;H187,$H$2:$H$201,"&lt;"&amp;(Config!$B$8+1))+COUNTIFS($AZ$2:$AZ$201,AZ187,$DB$2:$DB$201,1,$H$2:$H$201,H187,$BA$2:$BA$201,"&gt;"&amp;BA187)=0,1,0),0)</f>
        <v>0</v>
      </c>
      <c r="DG187" s="23" t="n">
        <f aca="false">IF(AND(DB187=1,INT(N(H187))&lt;=Config!$B$5),IF(COUNTIFS($AZ$2:$AZ$201,AZ187,$DB$2:$DB$201,1,$H$2:$H$201,"&gt;"&amp;H187,$H$2:$H$201,"&lt;"&amp;(Config!$B$5+1))+COUNTIFS($AZ$2:$AZ$201,AZ187,$DB$2:$DB$201,1,$H$2:$H$201,H187,$BA$2:$BA$201,"&gt;"&amp;BA187)=0,1,0),0)</f>
        <v>0</v>
      </c>
      <c r="DH187" s="23" t="n">
        <f aca="false">IF(BB187=1,IF(COUNTIFS($AZ$2:$AZ$201,AZ187,$DD$2:$DD$201,1,$AR$2:$AR$201,"Y")&gt;0,1,0),0)</f>
        <v>0</v>
      </c>
      <c r="DI187" s="23" t="n">
        <f aca="false">IF(BB187=1,IF(COUNTIFS($AZ$2:$AZ$201,AZ187,$DE$2:$DE$201,1,$AR$2:$AR$201,"Y")&gt;0,1,0),0)</f>
        <v>0</v>
      </c>
      <c r="DJ187" s="23" t="n">
        <f aca="false">IF(BB187=1,IF(COUNTIFS($AZ$2:$AZ$201,AZ187,$DF$2:$DF$201,1,$AR$2:$AR$201,"Y")&gt;0,1,0),0)</f>
        <v>0</v>
      </c>
      <c r="DK187" s="23" t="n">
        <f aca="false">IF(BB187=1,IF(COUNTIFS($AZ$2:$AZ$201,AZ187,$DG$2:$DG$201,1,$AR$2:$AR$201,"Y")&gt;0,1,0),0)</f>
        <v>0</v>
      </c>
      <c r="DL187" s="23" t="n">
        <f aca="false">IF(AND(BF187=1,INT(N(H187))&lt;=Config!$B$6,DH187=1,EI187=0),1,0)</f>
        <v>0</v>
      </c>
      <c r="DM187" s="23" t="n">
        <f aca="false">IF(AND(BF187=1,INT(N(H187))&lt;=Config!$B$7,DI187=1,EI187=0),1,0)</f>
        <v>0</v>
      </c>
      <c r="DN187" s="23" t="n">
        <f aca="false">IF(AND(BF187=1,INT(N(H187))&lt;=Config!$B$8,DJ187=1,EI187=0),1,0)</f>
        <v>0</v>
      </c>
      <c r="DO187" s="23" t="n">
        <f aca="false">IF(AND(BF187=1,INT(N(H187))&lt;=Config!$B$5,DK187=1,EI187=0),1,0)</f>
        <v>0</v>
      </c>
      <c r="DP187" s="23" t="n">
        <f aca="false">IF(AND(CC187=1,INT(N(H187))&lt;=Config!$B$6,DH187=1,EI187=0),1,0)</f>
        <v>0</v>
      </c>
      <c r="DQ187" s="23" t="n">
        <f aca="false">IF(AND(CC187=1,INT(N(H187))&lt;=Config!$B$7,DI187=1,EI187=0),1,0)</f>
        <v>0</v>
      </c>
      <c r="DR187" s="23" t="n">
        <f aca="false">IF(AND(CC187=1,INT(N(H187))&lt;=Config!$B$8,DJ187=1,EI187=0),1,0)</f>
        <v>0</v>
      </c>
      <c r="DS187" s="23" t="n">
        <f aca="false">IF(AND(CC187=1,INT(N(H187))&lt;=Config!$B$5,DK187=1,EI187=0),1,0)</f>
        <v>0</v>
      </c>
      <c r="DT187" s="23" t="n">
        <f aca="false">IF(AND(CC187=1,INT(N(H187))&lt;=Config!$B$6,DH187=0),1,0)</f>
        <v>0</v>
      </c>
      <c r="DU187" s="23" t="n">
        <f aca="false">IF(AND(CC187=1,INT(N(H187))&lt;=Config!$B$7,DI187=0),1,0)</f>
        <v>0</v>
      </c>
      <c r="DV187" s="23" t="n">
        <f aca="false">IF(AND(CC187=1,INT(N(H187))&lt;=Config!$B$8,DJ187=0),1,0)</f>
        <v>0</v>
      </c>
      <c r="DW187" s="23" t="n">
        <f aca="false">IF(AND(CC187=1,INT(N(H187))&lt;=Config!$B$5,DK187=0),1,0)</f>
        <v>0</v>
      </c>
      <c r="DX187" s="23" t="n">
        <f aca="false">IF(TRIM($A187)="",0,ISTEXT(M187)+ISTEXT(O187)+ISTEXT(Y187)+ISTEXT(Z187)+ISTEXT(AA187)+ISTEXT(AV187))</f>
        <v>0</v>
      </c>
      <c r="DY187" s="23" t="n">
        <f aca="false">IF(BB187=1,IF(H187&lt;&gt;INT(H187),1,0),0)</f>
        <v>0</v>
      </c>
      <c r="DZ187" s="23" t="str">
        <f aca="false">IF(TRIM($A187)="","",IF(TRIM(B187)="",SUBSTITUTE(SUBSTITUTE(SUBSTITUTE(SUBSTITUTE(SUBSTITUTE(SUBSTITUTE(LOWER(TRIM($A187)),"~",""),"*",""),"?",""),"&lt;",""),"&gt;",""),"=",""),SUBSTITUTE(SUBSTITUTE(SUBSTITUTE(SUBSTITUTE(SUBSTITUTE(SUBSTITUTE(LOWER(TRIM(B187)),"~",""),"*",""),"?",""),"&lt;",""),"&gt;",""),"=","")))</f>
        <v/>
      </c>
      <c r="EA187" s="23" t="str">
        <f aca="false">IF(CW187="","",IFERROR(IF(LEFT(LOWER(TRIM(INDEX(Clay_Offices!$A$2:$FZ$601,CW187,Sync!$C$19)&amp;"")),4)="grp-",SUBSTITUTE(SUBSTITUTE(SUBSTITUTE(SUBSTITUTE(SUBSTITUTE(SUBSTITUTE(LOWER(TRIM(INDEX(Clay_Offices!$A$2:$FZ$601,CW187,Sync!$C$19)&amp;"")),"~",""),"*",""),"?",""),"&lt;",""),"&gt;",""),"=",""),""),""))</f>
        <v/>
      </c>
      <c r="EB187" s="23" t="str">
        <f aca="false">IF(EA187&lt;&gt;"",DZ187,"")</f>
        <v/>
      </c>
      <c r="EC187" s="23" t="str">
        <f aca="false">IF(BC187=1,AZ187,"")</f>
        <v/>
      </c>
      <c r="ED187" s="23" t="str">
        <f aca="false">IF(TRIM($A187)="","",IFERROR(INDEX($A$2:$A$201,MATCH(AZ187,$EC$2:$EC$201,0))&amp;"",$A187&amp;""))</f>
        <v/>
      </c>
      <c r="EE187" s="23" t="n">
        <f aca="false">IF(BB187=1,IF(COUNTIFS($A$2:$A$201,$A187,$BB$2:$BB$201,1,$H$2:$H$201,"&lt;"&amp;H187)+COUNTIFS($A$2:$A$201,$A187,$BB$2:$BB$201,1,$H$2:$H$201,H187,$BA$2:$BA$201,"&lt;"&amp;BA187)=0,1,0),0)</f>
        <v>0</v>
      </c>
      <c r="EF187" s="23" t="n">
        <f aca="false">IF(BC187=1,IF(COUNTIFS($AZ$2:$AZ$201,AZ187,$EE$2:$EE$201,1)&gt;1,1,0),0)</f>
        <v>0</v>
      </c>
      <c r="EG187" s="23" t="n">
        <f aca="false">IF(AND(CQ187=1),IF(COUNTIFS($AZ$2:$AZ$201,AZ187,$CQ$2:$CQ$201,1,$H$2:$H$201,"&gt;"&amp;H187)+COUNTIFS($AZ$2:$AZ$201,AZ187,$CQ$2:$CQ$201,1,$H$2:$H$201,H187,$BA$2:$BA$201,"&gt;"&amp;BA187)=0,1,0),0)</f>
        <v>0</v>
      </c>
      <c r="EH187" s="23" t="str">
        <f aca="false">IF(BB187=1,IF(COUNTIFS($AZ$2:$AZ$201,AZ187,$EG$2:$EG$201,1)=0,"",SUMIFS($O$2:$O$201,$AZ$2:$AZ$201,AZ187,$EG$2:$EG$201,1)),"")</f>
        <v/>
      </c>
      <c r="EI187" s="23" t="n">
        <f aca="false">IF(AND(ISNUMBER(EH187),OR(N(EH187)&lt;Config!$B$31,N(EH187)&gt;Config!$B$33)),1,0)</f>
        <v>0</v>
      </c>
      <c r="EJ187" s="23" t="n">
        <f aca="false">IF(AND(ISNUMBER(EH187),N(EH187)&gt;=Config!$B$31,N(EH187)&lt;Config!$B$32),1,0)</f>
        <v>0</v>
      </c>
      <c r="EK187" s="23" t="n">
        <f aca="false">IF(AND(BF187=1,INT(N(H187))&lt;=Config!$B$6,DH187=1,EI187=1),1,0)</f>
        <v>0</v>
      </c>
      <c r="EL187" s="23" t="n">
        <f aca="false">IF(AND(BF187=1,INT(N(H187))&lt;=Config!$B$7,DI187=1,EI187=1),1,0)</f>
        <v>0</v>
      </c>
      <c r="EM187" s="23" t="n">
        <f aca="false">IF(AND(BF187=1,INT(N(H187))&lt;=Config!$B$8,DJ187=1,EI187=1),1,0)</f>
        <v>0</v>
      </c>
      <c r="EN187" s="23" t="n">
        <f aca="false">IF(AND(BF187=1,INT(N(H187))&lt;=Config!$B$5,DK187=1,EI187=1),1,0)</f>
        <v>0</v>
      </c>
      <c r="EO187" s="23" t="n">
        <f aca="false">IF(AND(DL187=1,EJ187=1),1,0)</f>
        <v>0</v>
      </c>
      <c r="EP187" s="23" t="n">
        <f aca="false">IF(AND(DM187=1,EJ187=1),1,0)</f>
        <v>0</v>
      </c>
      <c r="EQ187" s="23" t="n">
        <f aca="false">IF(AND(DN187=1,EJ187=1),1,0)</f>
        <v>0</v>
      </c>
      <c r="ER187" s="23" t="n">
        <f aca="false">IF(AND(DO187=1,EJ187=1),1,0)</f>
        <v>0</v>
      </c>
    </row>
    <row r="188" customFormat="false" ht="15" hidden="false" customHeight="false" outlineLevel="0" collapsed="false">
      <c r="G188" s="32"/>
      <c r="H188" s="33"/>
      <c r="I188" s="32"/>
      <c r="L188" s="32"/>
      <c r="Q188" s="32"/>
      <c r="U188" s="32"/>
      <c r="W188" s="32"/>
      <c r="AC188" s="32"/>
      <c r="AF188" s="32"/>
      <c r="AI188" s="32"/>
      <c r="AJ188" s="32"/>
      <c r="AN188" s="32"/>
      <c r="AR188" s="32"/>
      <c r="AT188" s="32"/>
      <c r="AU188" s="32"/>
      <c r="AW188" s="32"/>
      <c r="AY188" s="34" t="str">
        <f aca="false">IF(TRIM($A188)="","",IF(AND(LEFT($A188,6)="SAMPLE",Config!$B$19&lt;&gt;"Y"),"",IF(NOT(ISNUMBER(H188)),"call_date is blank or not a date",IF(Sync!$C$5="","Clay paste is empty or has no row_id column: paste the Clay export on Clay_Offices",IF(CW188="","row_id not found in the Clay paste: add the Clay row or fix the row_id",IF(AND(ISNUMBER(CY188),CY188&gt;=1,CY188&lt;=5),"Clay status is "&amp;CX188&amp;": set call_done or later",IF(AND(BD188=1,CZ188&lt;&gt;BZ188),"Clay yes_in_principle should be "&amp;BZ188,IF(AND(BD188=1,DA188&lt;&gt;H188),"Clay call_date should be "&amp;TEXT(H188,"yyyy-mm-dd"),""))))))))</f>
        <v/>
      </c>
      <c r="AZ188" s="23" t="str">
        <f aca="false">IF(TRIM($A188)="","",IF(TRIM(C188)&lt;&gt;"",SUBSTITUTE(SUBSTITUTE(SUBSTITUTE(SUBSTITUTE(SUBSTITUTE(SUBSTITUTE(LOWER(TRIM(C188)),"~",""),"*",""),"?",""),"&lt;",""),"&gt;",""),"=",""),IF(EA188&lt;&gt;"",EA188,IFERROR(INDEX($EA$2:$EA$201,MATCH(DZ188,$EB$2:$EB$201,0)),DZ188))))</f>
        <v/>
      </c>
      <c r="BA188" s="23" t="n">
        <f aca="false">ROW()</f>
        <v>188</v>
      </c>
      <c r="BB188" s="23" t="n">
        <f aca="false">IF(AND(TRIM($A188)&lt;&gt;"",ISNUMBER(H188)),IF(AND(LEFT($A188,6)="SAMPLE",Config!$B$19&lt;&gt;"Y"),0,1),0)</f>
        <v>0</v>
      </c>
      <c r="BC188" s="23" t="n">
        <f aca="false">IF(BB188=1,IF(COUNTIFS($AZ$2:$AZ$201,AZ188,$BB$2:$BB$201,1,$H$2:$H$201,"&lt;"&amp;H188)+COUNTIFS($AZ$2:$AZ$201,AZ188,$BB$2:$BB$201,1,$H$2:$H$201,H188,$BA$2:$BA$201,"&lt;"&amp;BA188)=0,1,0),0)</f>
        <v>0</v>
      </c>
      <c r="BD188" s="23" t="n">
        <f aca="false">IF(BB188=1,IF(COUNTIFS($A$2:$A$201,$A188,$BB$2:$BB$201,1,$H$2:$H$201,"&gt;"&amp;H188)+COUNTIFS($A$2:$A$201,$A188,$BB$2:$BB$201,1,$H$2:$H$201,H188,$BA$2:$BA$201,"&gt;"&amp;BA188)=0,1,0),0)</f>
        <v>0</v>
      </c>
      <c r="BE188" s="23" t="n">
        <f aca="false">IF(AND(BB188=1,AR188="Y",AC188="Y",TRIM(AH188)&lt;&gt;""),1,0)</f>
        <v>0</v>
      </c>
      <c r="BF188" s="23" t="n">
        <f aca="false">IF(BE188=1,IF(COUNTIFS($AZ$2:$AZ$201,AZ188,$BE$2:$BE$201,1,$H$2:$H$201,"&lt;"&amp;H188)+COUNTIFS($AZ$2:$AZ$201,AZ188,$BE$2:$BE$201,1,$H$2:$H$201,H188,$BA$2:$BA$201,"&lt;"&amp;BA188)=0,1,0),0)</f>
        <v>0</v>
      </c>
      <c r="BG188" s="23" t="n">
        <f aca="false">IF(AND(BB188=1,AR188="Y",BE188=0),1,0)</f>
        <v>0</v>
      </c>
      <c r="BH188" s="23" t="n">
        <f aca="false">IF(AND(BB188=1,ISNUMBER(Y188)),1,0)</f>
        <v>0</v>
      </c>
      <c r="BI188" s="23" t="n">
        <f aca="false">IF(BH188=1,IF(COUNTIFS($AZ$2:$AZ$201,AZ188,$BH$2:$BH$201,1,$H$2:$H$201,"&lt;"&amp;H188)+COUNTIFS($AZ$2:$AZ$201,AZ188,$BH$2:$BH$201,1,$H$2:$H$201,H188,$BA$2:$BA$201,"&lt;"&amp;BA188)=0,1,0),0)</f>
        <v>0</v>
      </c>
      <c r="BJ188" s="23" t="str">
        <f aca="false">IF(AND(BI188=1,INT(N(H188))&lt;=Config!$B$6),Y188,"")</f>
        <v/>
      </c>
      <c r="BK188" s="23" t="str">
        <f aca="false">IF(AND(BI188=1,INT(N(H188))&lt;=Config!$B$7),Y188,"")</f>
        <v/>
      </c>
      <c r="BL188" s="23" t="str">
        <f aca="false">IF(AND(BI188=1,INT(N(H188))&lt;=Config!$B$8),Y188,"")</f>
        <v/>
      </c>
      <c r="BM188" s="23" t="str">
        <f aca="false">IF(AND(BI188=1,INT(N(H188))&lt;=Config!$B$5),Y188,"")</f>
        <v/>
      </c>
      <c r="BN188" s="23" t="n">
        <f aca="false">IF(CD188=1,IF(COUNTIFS($AZ$2:$AZ$201,AZ188,$CD$2:$CD$201,1,$H$2:$H$201,"&lt;"&amp;H188)+COUNTIFS($AZ$2:$AZ$201,AZ188,$CD$2:$CD$201,1,$H$2:$H$201,H188,$BA$2:$BA$201,"&lt;"&amp;BA188)=0,1,0),0)</f>
        <v>0</v>
      </c>
      <c r="BO188" s="23" t="n">
        <f aca="false">IF(AND(BB188=1,ISNUMBER(M188)),1,0)</f>
        <v>0</v>
      </c>
      <c r="BP188" s="23" t="n">
        <f aca="false">IF(BO188=1,IF(COUNTIFS($AZ$2:$AZ$201,AZ188,$BO$2:$BO$201,1,$H$2:$H$201,"&lt;"&amp;H188)+COUNTIFS($AZ$2:$AZ$201,AZ188,$BO$2:$BO$201,1,$H$2:$H$201,H188,$BA$2:$BA$201,"&lt;"&amp;BA188)=0,1,0),0)</f>
        <v>0</v>
      </c>
      <c r="BQ188" s="23" t="str">
        <f aca="false">IF(AND(BP188=1,INT(N(H188))&lt;=Config!$B$5),M188,"")</f>
        <v/>
      </c>
      <c r="BR188" s="23" t="n">
        <f aca="false">IF(AND(BB188=1,OR(TRIM(X188)&lt;&gt;"",ISNUMBER(Y188))),1,0)</f>
        <v>0</v>
      </c>
      <c r="BS188" s="23" t="n">
        <f aca="false">IF(BR188=1,IF(COUNTIFS($AZ$2:$AZ$201,AZ188,$BR$2:$BR$201,1,$H$2:$H$201,"&lt;"&amp;H188)+COUNTIFS($AZ$2:$AZ$201,AZ188,$BR$2:$BR$201,1,$H$2:$H$201,H188,$BA$2:$BA$201,"&lt;"&amp;BA188)=0,1,0),0)</f>
        <v>0</v>
      </c>
      <c r="BT188" s="23" t="str">
        <f aca="false">IF(BS188=1,AZ188,"")</f>
        <v/>
      </c>
      <c r="BU188" s="23" t="n">
        <f aca="false">IF(AND(BB188=1,W188="Y",TRIM(X188)=""),1,0)</f>
        <v>0</v>
      </c>
      <c r="BV188" s="23" t="str">
        <f aca="false">IF(BB188=1,AN188&amp;"","")</f>
        <v/>
      </c>
      <c r="BW188" s="23" t="str">
        <f aca="false">IF(BB188=1,AO188&amp;"","")</f>
        <v/>
      </c>
      <c r="BX188" s="23" t="str">
        <f aca="false">IF(BB188=1,AP188&amp;"","")</f>
        <v/>
      </c>
      <c r="BY188" s="23" t="str">
        <f aca="false">IF(AND(BB188=1,ISNUMBER(AV188),INT(N(H188))&lt;=Config!$B$5),AV188,"")</f>
        <v/>
      </c>
      <c r="BZ188" s="23" t="str">
        <f aca="false">IF(BB188=1,IF(COUNTIFS($A$2:$A$201,$A188,$DC$2:$DC$201,1,$AR$2:$AR$201,"Y")&gt;0,"Y","N"),"")</f>
        <v/>
      </c>
      <c r="CA188" s="23" t="n">
        <f aca="false">IF(AND(BB188=1,AR188="maybe"),1,0)</f>
        <v>0</v>
      </c>
      <c r="CB188" s="23" t="n">
        <f aca="false">IF(CA188=1,IF(COUNTIFS($AZ$2:$AZ$201,AZ188,$CA$2:$CA$201,1,$H$2:$H$201,"&lt;"&amp;H188)+COUNTIFS($AZ$2:$AZ$201,AZ188,$CA$2:$CA$201,1,$H$2:$H$201,H188,$BA$2:$BA$201,"&lt;"&amp;BA188)=0,1,0),0)</f>
        <v>0</v>
      </c>
      <c r="CC188" s="23" t="n">
        <f aca="false">IF(AND(BB188=1,AR188="Y"),IF(COUNTIFS($AZ$2:$AZ$201,AZ188,$AR$2:$AR$201,"Y",$BB$2:$BB$201,1,$H$2:$H$201,"&lt;"&amp;H188)+COUNTIFS($AZ$2:$AZ$201,AZ188,$AR$2:$AR$201,"Y",$BB$2:$BB$201,1,$H$2:$H$201,H188,$BA$2:$BA$201,"&lt;"&amp;BA188)=0,1,0),0)</f>
        <v>0</v>
      </c>
      <c r="CD188" s="23" t="n">
        <f aca="false">IF(AND(BH188=1,N(Y188)&gt;=Config!$B$15),1,0)</f>
        <v>0</v>
      </c>
      <c r="CE188" s="23" t="n">
        <f aca="false">IF(AND(BB188=1,AT188="Y"),1,0)</f>
        <v>0</v>
      </c>
      <c r="CF188" s="23" t="n">
        <f aca="false">IF(CE188=1,IF(COUNTIFS($AZ$2:$AZ$201,AZ188,$CE$2:$CE$201,1,$H$2:$H$201,"&lt;"&amp;H188)+COUNTIFS($AZ$2:$AZ$201,AZ188,$CE$2:$CE$201,1,$H$2:$H$201,H188,$BA$2:$BA$201,"&lt;"&amp;BA188)=0,1,0),0)</f>
        <v>0</v>
      </c>
      <c r="CG188" s="23" t="n">
        <f aca="false">IF(AND(BB188=1,G188="warm-intro"),1,0)</f>
        <v>0</v>
      </c>
      <c r="CH188" s="23" t="n">
        <f aca="false">IF(CG188=1,IF(COUNTIFS($AZ$2:$AZ$201,AZ188,$CG$2:$CG$201,1,$H$2:$H$201,"&lt;"&amp;H188)+COUNTIFS($AZ$2:$AZ$201,AZ188,$CG$2:$CG$201,1,$H$2:$H$201,H188,$BA$2:$BA$201,"&lt;"&amp;BA188)=0,1,0),0)</f>
        <v>0</v>
      </c>
      <c r="CI188" s="23" t="n">
        <f aca="false">IF(AND(BB188=1,Q188="Y"),1,0)</f>
        <v>0</v>
      </c>
      <c r="CJ188" s="23" t="n">
        <f aca="false">IF(CI188=1,IF(COUNTIFS($AZ$2:$AZ$201,AZ188,$CI$2:$CI$201,1,$H$2:$H$201,"&lt;"&amp;H188)+COUNTIFS($AZ$2:$AZ$201,AZ188,$CI$2:$CI$201,1,$H$2:$H$201,H188,$BA$2:$BA$201,"&lt;"&amp;BA188)=0,1,0),0)</f>
        <v>0</v>
      </c>
      <c r="CK188" s="23" t="n">
        <f aca="false">IF(AND(BB188=1,AF188="Y"),1,0)</f>
        <v>0</v>
      </c>
      <c r="CL188" s="23" t="n">
        <f aca="false">IF(CK188=1,IF(COUNTIFS($AZ$2:$AZ$201,AZ188,$CK$2:$CK$201,1,$H$2:$H$201,"&lt;"&amp;H188)+COUNTIFS($AZ$2:$AZ$201,AZ188,$CK$2:$CK$201,1,$H$2:$H$201,H188,$BA$2:$BA$201,"&lt;"&amp;BA188)=0,1,0),0)</f>
        <v>0</v>
      </c>
      <c r="CM188" s="23" t="n">
        <f aca="false">IF(AND(BB188=1,U188="Y"),1,0)</f>
        <v>0</v>
      </c>
      <c r="CN188" s="23" t="n">
        <f aca="false">IF(CM188=1,IF(COUNTIFS($AZ$2:$AZ$201,AZ188,$CM$2:$CM$201,1,$H$2:$H$201,"&lt;"&amp;H188)+COUNTIFS($AZ$2:$AZ$201,AZ188,$CM$2:$CM$201,1,$H$2:$H$201,H188,$BA$2:$BA$201,"&lt;"&amp;BA188)=0,1,0),0)</f>
        <v>0</v>
      </c>
      <c r="CO188" s="23" t="n">
        <f aca="false">IF(AND(BB188=1,L188="Y"),1,0)</f>
        <v>0</v>
      </c>
      <c r="CP188" s="23" t="n">
        <f aca="false">IF(CO188=1,IF(COUNTIFS($AZ$2:$AZ$201,AZ188,$CO$2:$CO$201,1,$H$2:$H$201,"&lt;"&amp;H188)+COUNTIFS($AZ$2:$AZ$201,AZ188,$CO$2:$CO$201,1,$H$2:$H$201,H188,$BA$2:$BA$201,"&lt;"&amp;BA188)=0,1,0),0)</f>
        <v>0</v>
      </c>
      <c r="CQ188" s="23" t="n">
        <f aca="false">IF(AND(BB188=1,ISNUMBER(O188)),1,0)</f>
        <v>0</v>
      </c>
      <c r="CR188" s="23" t="n">
        <f aca="false">IF(CQ188=1,IF(COUNTIFS($AZ$2:$AZ$201,AZ188,$CQ$2:$CQ$201,1,$H$2:$H$201,"&lt;"&amp;H188)+COUNTIFS($AZ$2:$AZ$201,AZ188,$CQ$2:$CQ$201,1,$H$2:$H$201,H188,$BA$2:$BA$201,"&lt;"&amp;BA188)=0,1,0),0)</f>
        <v>0</v>
      </c>
      <c r="CS188" s="23" t="str">
        <f aca="false">IF(AND(CR188=1,INT(N(H188))&lt;=Config!$B$5),O188,"")</f>
        <v/>
      </c>
      <c r="CT188" s="23" t="str">
        <f aca="false">IF(AND(BB188=1,INT(N(H188))&lt;=Config!$B$5),AG188&amp;"","")</f>
        <v/>
      </c>
      <c r="CU188" s="23" t="n">
        <f aca="false">IF(AND(BB188=1,AU188="Y"),1,0)</f>
        <v>0</v>
      </c>
      <c r="CV188" s="23" t="n">
        <f aca="false">IF(CU188=1,IF(COUNTIFS($AZ$2:$AZ$201,AZ188,$CU$2:$CU$201,1,$H$2:$H$201,"&lt;"&amp;H188)+COUNTIFS($AZ$2:$AZ$201,AZ188,$CU$2:$CU$201,1,$H$2:$H$201,H188,$BA$2:$BA$201,"&lt;"&amp;BA188)=0,1,0),0)</f>
        <v>0</v>
      </c>
      <c r="CW188" s="23" t="str">
        <f aca="false">IF(BB188=1,IFERROR(MATCH($A188,INDEX(Clay_Offices!$A$2:$FZ$601,0,Sync!$C$5),0),""),"")</f>
        <v/>
      </c>
      <c r="CX188" s="23" t="str">
        <f aca="false">IF(CW188="","",IFERROR(INDEX(Clay_Offices!$A$2:$FZ$601,CW188,Sync!$C$7)&amp;"",""))</f>
        <v/>
      </c>
      <c r="CY188" s="23" t="str">
        <f aca="false">IF(CX188="","",IFERROR(INDEX(Lists!$K$2:$K$15,MATCH(CX188,Lists!$J$2:$J$15,0)),""))</f>
        <v/>
      </c>
      <c r="CZ188" s="23" t="str">
        <f aca="false">IF(CW188="","",IFERROR(INDEX(Clay_Offices!$A$2:$FZ$601,CW188,Sync!$C$17)&amp;"",""))</f>
        <v/>
      </c>
      <c r="DA188" s="35" t="str">
        <f aca="false">IF(CW188="","",IFERROR(N(INDEX(Clay_Offices!$A$2:$FZ$601,CW188,Sync!$C$16)),0))</f>
        <v/>
      </c>
      <c r="DB188" s="23" t="n">
        <f aca="false">IF(AND(BB188=1,OR(AR188="Y",AR188="N",AR188="maybe")),1,0)</f>
        <v>0</v>
      </c>
      <c r="DC188" s="23" t="n">
        <f aca="false">IF(AND(DB188=1),IF(COUNTIFS($A$2:$A$201,$A188,$DB$2:$DB$201,1,$H$2:$H$201,"&gt;"&amp;H188)+COUNTIFS($A$2:$A$201,$A188,$DB$2:$DB$201,1,$H$2:$H$201,H188,$BA$2:$BA$201,"&gt;"&amp;BA188)=0,1,0),0)</f>
        <v>0</v>
      </c>
      <c r="DD188" s="23" t="n">
        <f aca="false">IF(AND(DB188=1,INT(N(H188))&lt;=Config!$B$6),IF(COUNTIFS($AZ$2:$AZ$201,AZ188,$DB$2:$DB$201,1,$H$2:$H$201,"&gt;"&amp;H188,$H$2:$H$201,"&lt;"&amp;(Config!$B$6+1))+COUNTIFS($AZ$2:$AZ$201,AZ188,$DB$2:$DB$201,1,$H$2:$H$201,H188,$BA$2:$BA$201,"&gt;"&amp;BA188)=0,1,0),0)</f>
        <v>0</v>
      </c>
      <c r="DE188" s="23" t="n">
        <f aca="false">IF(AND(DB188=1,INT(N(H188))&lt;=Config!$B$7),IF(COUNTIFS($AZ$2:$AZ$201,AZ188,$DB$2:$DB$201,1,$H$2:$H$201,"&gt;"&amp;H188,$H$2:$H$201,"&lt;"&amp;(Config!$B$7+1))+COUNTIFS($AZ$2:$AZ$201,AZ188,$DB$2:$DB$201,1,$H$2:$H$201,H188,$BA$2:$BA$201,"&gt;"&amp;BA188)=0,1,0),0)</f>
        <v>0</v>
      </c>
      <c r="DF188" s="23" t="n">
        <f aca="false">IF(AND(DB188=1,INT(N(H188))&lt;=Config!$B$8),IF(COUNTIFS($AZ$2:$AZ$201,AZ188,$DB$2:$DB$201,1,$H$2:$H$201,"&gt;"&amp;H188,$H$2:$H$201,"&lt;"&amp;(Config!$B$8+1))+COUNTIFS($AZ$2:$AZ$201,AZ188,$DB$2:$DB$201,1,$H$2:$H$201,H188,$BA$2:$BA$201,"&gt;"&amp;BA188)=0,1,0),0)</f>
        <v>0</v>
      </c>
      <c r="DG188" s="23" t="n">
        <f aca="false">IF(AND(DB188=1,INT(N(H188))&lt;=Config!$B$5),IF(COUNTIFS($AZ$2:$AZ$201,AZ188,$DB$2:$DB$201,1,$H$2:$H$201,"&gt;"&amp;H188,$H$2:$H$201,"&lt;"&amp;(Config!$B$5+1))+COUNTIFS($AZ$2:$AZ$201,AZ188,$DB$2:$DB$201,1,$H$2:$H$201,H188,$BA$2:$BA$201,"&gt;"&amp;BA188)=0,1,0),0)</f>
        <v>0</v>
      </c>
      <c r="DH188" s="23" t="n">
        <f aca="false">IF(BB188=1,IF(COUNTIFS($AZ$2:$AZ$201,AZ188,$DD$2:$DD$201,1,$AR$2:$AR$201,"Y")&gt;0,1,0),0)</f>
        <v>0</v>
      </c>
      <c r="DI188" s="23" t="n">
        <f aca="false">IF(BB188=1,IF(COUNTIFS($AZ$2:$AZ$201,AZ188,$DE$2:$DE$201,1,$AR$2:$AR$201,"Y")&gt;0,1,0),0)</f>
        <v>0</v>
      </c>
      <c r="DJ188" s="23" t="n">
        <f aca="false">IF(BB188=1,IF(COUNTIFS($AZ$2:$AZ$201,AZ188,$DF$2:$DF$201,1,$AR$2:$AR$201,"Y")&gt;0,1,0),0)</f>
        <v>0</v>
      </c>
      <c r="DK188" s="23" t="n">
        <f aca="false">IF(BB188=1,IF(COUNTIFS($AZ$2:$AZ$201,AZ188,$DG$2:$DG$201,1,$AR$2:$AR$201,"Y")&gt;0,1,0),0)</f>
        <v>0</v>
      </c>
      <c r="DL188" s="23" t="n">
        <f aca="false">IF(AND(BF188=1,INT(N(H188))&lt;=Config!$B$6,DH188=1,EI188=0),1,0)</f>
        <v>0</v>
      </c>
      <c r="DM188" s="23" t="n">
        <f aca="false">IF(AND(BF188=1,INT(N(H188))&lt;=Config!$B$7,DI188=1,EI188=0),1,0)</f>
        <v>0</v>
      </c>
      <c r="DN188" s="23" t="n">
        <f aca="false">IF(AND(BF188=1,INT(N(H188))&lt;=Config!$B$8,DJ188=1,EI188=0),1,0)</f>
        <v>0</v>
      </c>
      <c r="DO188" s="23" t="n">
        <f aca="false">IF(AND(BF188=1,INT(N(H188))&lt;=Config!$B$5,DK188=1,EI188=0),1,0)</f>
        <v>0</v>
      </c>
      <c r="DP188" s="23" t="n">
        <f aca="false">IF(AND(CC188=1,INT(N(H188))&lt;=Config!$B$6,DH188=1,EI188=0),1,0)</f>
        <v>0</v>
      </c>
      <c r="DQ188" s="23" t="n">
        <f aca="false">IF(AND(CC188=1,INT(N(H188))&lt;=Config!$B$7,DI188=1,EI188=0),1,0)</f>
        <v>0</v>
      </c>
      <c r="DR188" s="23" t="n">
        <f aca="false">IF(AND(CC188=1,INT(N(H188))&lt;=Config!$B$8,DJ188=1,EI188=0),1,0)</f>
        <v>0</v>
      </c>
      <c r="DS188" s="23" t="n">
        <f aca="false">IF(AND(CC188=1,INT(N(H188))&lt;=Config!$B$5,DK188=1,EI188=0),1,0)</f>
        <v>0</v>
      </c>
      <c r="DT188" s="23" t="n">
        <f aca="false">IF(AND(CC188=1,INT(N(H188))&lt;=Config!$B$6,DH188=0),1,0)</f>
        <v>0</v>
      </c>
      <c r="DU188" s="23" t="n">
        <f aca="false">IF(AND(CC188=1,INT(N(H188))&lt;=Config!$B$7,DI188=0),1,0)</f>
        <v>0</v>
      </c>
      <c r="DV188" s="23" t="n">
        <f aca="false">IF(AND(CC188=1,INT(N(H188))&lt;=Config!$B$8,DJ188=0),1,0)</f>
        <v>0</v>
      </c>
      <c r="DW188" s="23" t="n">
        <f aca="false">IF(AND(CC188=1,INT(N(H188))&lt;=Config!$B$5,DK188=0),1,0)</f>
        <v>0</v>
      </c>
      <c r="DX188" s="23" t="n">
        <f aca="false">IF(TRIM($A188)="",0,ISTEXT(M188)+ISTEXT(O188)+ISTEXT(Y188)+ISTEXT(Z188)+ISTEXT(AA188)+ISTEXT(AV188))</f>
        <v>0</v>
      </c>
      <c r="DY188" s="23" t="n">
        <f aca="false">IF(BB188=1,IF(H188&lt;&gt;INT(H188),1,0),0)</f>
        <v>0</v>
      </c>
      <c r="DZ188" s="23" t="str">
        <f aca="false">IF(TRIM($A188)="","",IF(TRIM(B188)="",SUBSTITUTE(SUBSTITUTE(SUBSTITUTE(SUBSTITUTE(SUBSTITUTE(SUBSTITUTE(LOWER(TRIM($A188)),"~",""),"*",""),"?",""),"&lt;",""),"&gt;",""),"=",""),SUBSTITUTE(SUBSTITUTE(SUBSTITUTE(SUBSTITUTE(SUBSTITUTE(SUBSTITUTE(LOWER(TRIM(B188)),"~",""),"*",""),"?",""),"&lt;",""),"&gt;",""),"=","")))</f>
        <v/>
      </c>
      <c r="EA188" s="23" t="str">
        <f aca="false">IF(CW188="","",IFERROR(IF(LEFT(LOWER(TRIM(INDEX(Clay_Offices!$A$2:$FZ$601,CW188,Sync!$C$19)&amp;"")),4)="grp-",SUBSTITUTE(SUBSTITUTE(SUBSTITUTE(SUBSTITUTE(SUBSTITUTE(SUBSTITUTE(LOWER(TRIM(INDEX(Clay_Offices!$A$2:$FZ$601,CW188,Sync!$C$19)&amp;"")),"~",""),"*",""),"?",""),"&lt;",""),"&gt;",""),"=",""),""),""))</f>
        <v/>
      </c>
      <c r="EB188" s="23" t="str">
        <f aca="false">IF(EA188&lt;&gt;"",DZ188,"")</f>
        <v/>
      </c>
      <c r="EC188" s="23" t="str">
        <f aca="false">IF(BC188=1,AZ188,"")</f>
        <v/>
      </c>
      <c r="ED188" s="23" t="str">
        <f aca="false">IF(TRIM($A188)="","",IFERROR(INDEX($A$2:$A$201,MATCH(AZ188,$EC$2:$EC$201,0))&amp;"",$A188&amp;""))</f>
        <v/>
      </c>
      <c r="EE188" s="23" t="n">
        <f aca="false">IF(BB188=1,IF(COUNTIFS($A$2:$A$201,$A188,$BB$2:$BB$201,1,$H$2:$H$201,"&lt;"&amp;H188)+COUNTIFS($A$2:$A$201,$A188,$BB$2:$BB$201,1,$H$2:$H$201,H188,$BA$2:$BA$201,"&lt;"&amp;BA188)=0,1,0),0)</f>
        <v>0</v>
      </c>
      <c r="EF188" s="23" t="n">
        <f aca="false">IF(BC188=1,IF(COUNTIFS($AZ$2:$AZ$201,AZ188,$EE$2:$EE$201,1)&gt;1,1,0),0)</f>
        <v>0</v>
      </c>
      <c r="EG188" s="23" t="n">
        <f aca="false">IF(AND(CQ188=1),IF(COUNTIFS($AZ$2:$AZ$201,AZ188,$CQ$2:$CQ$201,1,$H$2:$H$201,"&gt;"&amp;H188)+COUNTIFS($AZ$2:$AZ$201,AZ188,$CQ$2:$CQ$201,1,$H$2:$H$201,H188,$BA$2:$BA$201,"&gt;"&amp;BA188)=0,1,0),0)</f>
        <v>0</v>
      </c>
      <c r="EH188" s="23" t="str">
        <f aca="false">IF(BB188=1,IF(COUNTIFS($AZ$2:$AZ$201,AZ188,$EG$2:$EG$201,1)=0,"",SUMIFS($O$2:$O$201,$AZ$2:$AZ$201,AZ188,$EG$2:$EG$201,1)),"")</f>
        <v/>
      </c>
      <c r="EI188" s="23" t="n">
        <f aca="false">IF(AND(ISNUMBER(EH188),OR(N(EH188)&lt;Config!$B$31,N(EH188)&gt;Config!$B$33)),1,0)</f>
        <v>0</v>
      </c>
      <c r="EJ188" s="23" t="n">
        <f aca="false">IF(AND(ISNUMBER(EH188),N(EH188)&gt;=Config!$B$31,N(EH188)&lt;Config!$B$32),1,0)</f>
        <v>0</v>
      </c>
      <c r="EK188" s="23" t="n">
        <f aca="false">IF(AND(BF188=1,INT(N(H188))&lt;=Config!$B$6,DH188=1,EI188=1),1,0)</f>
        <v>0</v>
      </c>
      <c r="EL188" s="23" t="n">
        <f aca="false">IF(AND(BF188=1,INT(N(H188))&lt;=Config!$B$7,DI188=1,EI188=1),1,0)</f>
        <v>0</v>
      </c>
      <c r="EM188" s="23" t="n">
        <f aca="false">IF(AND(BF188=1,INT(N(H188))&lt;=Config!$B$8,DJ188=1,EI188=1),1,0)</f>
        <v>0</v>
      </c>
      <c r="EN188" s="23" t="n">
        <f aca="false">IF(AND(BF188=1,INT(N(H188))&lt;=Config!$B$5,DK188=1,EI188=1),1,0)</f>
        <v>0</v>
      </c>
      <c r="EO188" s="23" t="n">
        <f aca="false">IF(AND(DL188=1,EJ188=1),1,0)</f>
        <v>0</v>
      </c>
      <c r="EP188" s="23" t="n">
        <f aca="false">IF(AND(DM188=1,EJ188=1),1,0)</f>
        <v>0</v>
      </c>
      <c r="EQ188" s="23" t="n">
        <f aca="false">IF(AND(DN188=1,EJ188=1),1,0)</f>
        <v>0</v>
      </c>
      <c r="ER188" s="23" t="n">
        <f aca="false">IF(AND(DO188=1,EJ188=1),1,0)</f>
        <v>0</v>
      </c>
    </row>
    <row r="189" customFormat="false" ht="15" hidden="false" customHeight="false" outlineLevel="0" collapsed="false">
      <c r="G189" s="32"/>
      <c r="H189" s="33"/>
      <c r="I189" s="32"/>
      <c r="L189" s="32"/>
      <c r="Q189" s="32"/>
      <c r="U189" s="32"/>
      <c r="W189" s="32"/>
      <c r="AC189" s="32"/>
      <c r="AF189" s="32"/>
      <c r="AI189" s="32"/>
      <c r="AJ189" s="32"/>
      <c r="AN189" s="32"/>
      <c r="AR189" s="32"/>
      <c r="AT189" s="32"/>
      <c r="AU189" s="32"/>
      <c r="AW189" s="32"/>
      <c r="AY189" s="34" t="str">
        <f aca="false">IF(TRIM($A189)="","",IF(AND(LEFT($A189,6)="SAMPLE",Config!$B$19&lt;&gt;"Y"),"",IF(NOT(ISNUMBER(H189)),"call_date is blank or not a date",IF(Sync!$C$5="","Clay paste is empty or has no row_id column: paste the Clay export on Clay_Offices",IF(CW189="","row_id not found in the Clay paste: add the Clay row or fix the row_id",IF(AND(ISNUMBER(CY189),CY189&gt;=1,CY189&lt;=5),"Clay status is "&amp;CX189&amp;": set call_done or later",IF(AND(BD189=1,CZ189&lt;&gt;BZ189),"Clay yes_in_principle should be "&amp;BZ189,IF(AND(BD189=1,DA189&lt;&gt;H189),"Clay call_date should be "&amp;TEXT(H189,"yyyy-mm-dd"),""))))))))</f>
        <v/>
      </c>
      <c r="AZ189" s="23" t="str">
        <f aca="false">IF(TRIM($A189)="","",IF(TRIM(C189)&lt;&gt;"",SUBSTITUTE(SUBSTITUTE(SUBSTITUTE(SUBSTITUTE(SUBSTITUTE(SUBSTITUTE(LOWER(TRIM(C189)),"~",""),"*",""),"?",""),"&lt;",""),"&gt;",""),"=",""),IF(EA189&lt;&gt;"",EA189,IFERROR(INDEX($EA$2:$EA$201,MATCH(DZ189,$EB$2:$EB$201,0)),DZ189))))</f>
        <v/>
      </c>
      <c r="BA189" s="23" t="n">
        <f aca="false">ROW()</f>
        <v>189</v>
      </c>
      <c r="BB189" s="23" t="n">
        <f aca="false">IF(AND(TRIM($A189)&lt;&gt;"",ISNUMBER(H189)),IF(AND(LEFT($A189,6)="SAMPLE",Config!$B$19&lt;&gt;"Y"),0,1),0)</f>
        <v>0</v>
      </c>
      <c r="BC189" s="23" t="n">
        <f aca="false">IF(BB189=1,IF(COUNTIFS($AZ$2:$AZ$201,AZ189,$BB$2:$BB$201,1,$H$2:$H$201,"&lt;"&amp;H189)+COUNTIFS($AZ$2:$AZ$201,AZ189,$BB$2:$BB$201,1,$H$2:$H$201,H189,$BA$2:$BA$201,"&lt;"&amp;BA189)=0,1,0),0)</f>
        <v>0</v>
      </c>
      <c r="BD189" s="23" t="n">
        <f aca="false">IF(BB189=1,IF(COUNTIFS($A$2:$A$201,$A189,$BB$2:$BB$201,1,$H$2:$H$201,"&gt;"&amp;H189)+COUNTIFS($A$2:$A$201,$A189,$BB$2:$BB$201,1,$H$2:$H$201,H189,$BA$2:$BA$201,"&gt;"&amp;BA189)=0,1,0),0)</f>
        <v>0</v>
      </c>
      <c r="BE189" s="23" t="n">
        <f aca="false">IF(AND(BB189=1,AR189="Y",AC189="Y",TRIM(AH189)&lt;&gt;""),1,0)</f>
        <v>0</v>
      </c>
      <c r="BF189" s="23" t="n">
        <f aca="false">IF(BE189=1,IF(COUNTIFS($AZ$2:$AZ$201,AZ189,$BE$2:$BE$201,1,$H$2:$H$201,"&lt;"&amp;H189)+COUNTIFS($AZ$2:$AZ$201,AZ189,$BE$2:$BE$201,1,$H$2:$H$201,H189,$BA$2:$BA$201,"&lt;"&amp;BA189)=0,1,0),0)</f>
        <v>0</v>
      </c>
      <c r="BG189" s="23" t="n">
        <f aca="false">IF(AND(BB189=1,AR189="Y",BE189=0),1,0)</f>
        <v>0</v>
      </c>
      <c r="BH189" s="23" t="n">
        <f aca="false">IF(AND(BB189=1,ISNUMBER(Y189)),1,0)</f>
        <v>0</v>
      </c>
      <c r="BI189" s="23" t="n">
        <f aca="false">IF(BH189=1,IF(COUNTIFS($AZ$2:$AZ$201,AZ189,$BH$2:$BH$201,1,$H$2:$H$201,"&lt;"&amp;H189)+COUNTIFS($AZ$2:$AZ$201,AZ189,$BH$2:$BH$201,1,$H$2:$H$201,H189,$BA$2:$BA$201,"&lt;"&amp;BA189)=0,1,0),0)</f>
        <v>0</v>
      </c>
      <c r="BJ189" s="23" t="str">
        <f aca="false">IF(AND(BI189=1,INT(N(H189))&lt;=Config!$B$6),Y189,"")</f>
        <v/>
      </c>
      <c r="BK189" s="23" t="str">
        <f aca="false">IF(AND(BI189=1,INT(N(H189))&lt;=Config!$B$7),Y189,"")</f>
        <v/>
      </c>
      <c r="BL189" s="23" t="str">
        <f aca="false">IF(AND(BI189=1,INT(N(H189))&lt;=Config!$B$8),Y189,"")</f>
        <v/>
      </c>
      <c r="BM189" s="23" t="str">
        <f aca="false">IF(AND(BI189=1,INT(N(H189))&lt;=Config!$B$5),Y189,"")</f>
        <v/>
      </c>
      <c r="BN189" s="23" t="n">
        <f aca="false">IF(CD189=1,IF(COUNTIFS($AZ$2:$AZ$201,AZ189,$CD$2:$CD$201,1,$H$2:$H$201,"&lt;"&amp;H189)+COUNTIFS($AZ$2:$AZ$201,AZ189,$CD$2:$CD$201,1,$H$2:$H$201,H189,$BA$2:$BA$201,"&lt;"&amp;BA189)=0,1,0),0)</f>
        <v>0</v>
      </c>
      <c r="BO189" s="23" t="n">
        <f aca="false">IF(AND(BB189=1,ISNUMBER(M189)),1,0)</f>
        <v>0</v>
      </c>
      <c r="BP189" s="23" t="n">
        <f aca="false">IF(BO189=1,IF(COUNTIFS($AZ$2:$AZ$201,AZ189,$BO$2:$BO$201,1,$H$2:$H$201,"&lt;"&amp;H189)+COUNTIFS($AZ$2:$AZ$201,AZ189,$BO$2:$BO$201,1,$H$2:$H$201,H189,$BA$2:$BA$201,"&lt;"&amp;BA189)=0,1,0),0)</f>
        <v>0</v>
      </c>
      <c r="BQ189" s="23" t="str">
        <f aca="false">IF(AND(BP189=1,INT(N(H189))&lt;=Config!$B$5),M189,"")</f>
        <v/>
      </c>
      <c r="BR189" s="23" t="n">
        <f aca="false">IF(AND(BB189=1,OR(TRIM(X189)&lt;&gt;"",ISNUMBER(Y189))),1,0)</f>
        <v>0</v>
      </c>
      <c r="BS189" s="23" t="n">
        <f aca="false">IF(BR189=1,IF(COUNTIFS($AZ$2:$AZ$201,AZ189,$BR$2:$BR$201,1,$H$2:$H$201,"&lt;"&amp;H189)+COUNTIFS($AZ$2:$AZ$201,AZ189,$BR$2:$BR$201,1,$H$2:$H$201,H189,$BA$2:$BA$201,"&lt;"&amp;BA189)=0,1,0),0)</f>
        <v>0</v>
      </c>
      <c r="BT189" s="23" t="str">
        <f aca="false">IF(BS189=1,AZ189,"")</f>
        <v/>
      </c>
      <c r="BU189" s="23" t="n">
        <f aca="false">IF(AND(BB189=1,W189="Y",TRIM(X189)=""),1,0)</f>
        <v>0</v>
      </c>
      <c r="BV189" s="23" t="str">
        <f aca="false">IF(BB189=1,AN189&amp;"","")</f>
        <v/>
      </c>
      <c r="BW189" s="23" t="str">
        <f aca="false">IF(BB189=1,AO189&amp;"","")</f>
        <v/>
      </c>
      <c r="BX189" s="23" t="str">
        <f aca="false">IF(BB189=1,AP189&amp;"","")</f>
        <v/>
      </c>
      <c r="BY189" s="23" t="str">
        <f aca="false">IF(AND(BB189=1,ISNUMBER(AV189),INT(N(H189))&lt;=Config!$B$5),AV189,"")</f>
        <v/>
      </c>
      <c r="BZ189" s="23" t="str">
        <f aca="false">IF(BB189=1,IF(COUNTIFS($A$2:$A$201,$A189,$DC$2:$DC$201,1,$AR$2:$AR$201,"Y")&gt;0,"Y","N"),"")</f>
        <v/>
      </c>
      <c r="CA189" s="23" t="n">
        <f aca="false">IF(AND(BB189=1,AR189="maybe"),1,0)</f>
        <v>0</v>
      </c>
      <c r="CB189" s="23" t="n">
        <f aca="false">IF(CA189=1,IF(COUNTIFS($AZ$2:$AZ$201,AZ189,$CA$2:$CA$201,1,$H$2:$H$201,"&lt;"&amp;H189)+COUNTIFS($AZ$2:$AZ$201,AZ189,$CA$2:$CA$201,1,$H$2:$H$201,H189,$BA$2:$BA$201,"&lt;"&amp;BA189)=0,1,0),0)</f>
        <v>0</v>
      </c>
      <c r="CC189" s="23" t="n">
        <f aca="false">IF(AND(BB189=1,AR189="Y"),IF(COUNTIFS($AZ$2:$AZ$201,AZ189,$AR$2:$AR$201,"Y",$BB$2:$BB$201,1,$H$2:$H$201,"&lt;"&amp;H189)+COUNTIFS($AZ$2:$AZ$201,AZ189,$AR$2:$AR$201,"Y",$BB$2:$BB$201,1,$H$2:$H$201,H189,$BA$2:$BA$201,"&lt;"&amp;BA189)=0,1,0),0)</f>
        <v>0</v>
      </c>
      <c r="CD189" s="23" t="n">
        <f aca="false">IF(AND(BH189=1,N(Y189)&gt;=Config!$B$15),1,0)</f>
        <v>0</v>
      </c>
      <c r="CE189" s="23" t="n">
        <f aca="false">IF(AND(BB189=1,AT189="Y"),1,0)</f>
        <v>0</v>
      </c>
      <c r="CF189" s="23" t="n">
        <f aca="false">IF(CE189=1,IF(COUNTIFS($AZ$2:$AZ$201,AZ189,$CE$2:$CE$201,1,$H$2:$H$201,"&lt;"&amp;H189)+COUNTIFS($AZ$2:$AZ$201,AZ189,$CE$2:$CE$201,1,$H$2:$H$201,H189,$BA$2:$BA$201,"&lt;"&amp;BA189)=0,1,0),0)</f>
        <v>0</v>
      </c>
      <c r="CG189" s="23" t="n">
        <f aca="false">IF(AND(BB189=1,G189="warm-intro"),1,0)</f>
        <v>0</v>
      </c>
      <c r="CH189" s="23" t="n">
        <f aca="false">IF(CG189=1,IF(COUNTIFS($AZ$2:$AZ$201,AZ189,$CG$2:$CG$201,1,$H$2:$H$201,"&lt;"&amp;H189)+COUNTIFS($AZ$2:$AZ$201,AZ189,$CG$2:$CG$201,1,$H$2:$H$201,H189,$BA$2:$BA$201,"&lt;"&amp;BA189)=0,1,0),0)</f>
        <v>0</v>
      </c>
      <c r="CI189" s="23" t="n">
        <f aca="false">IF(AND(BB189=1,Q189="Y"),1,0)</f>
        <v>0</v>
      </c>
      <c r="CJ189" s="23" t="n">
        <f aca="false">IF(CI189=1,IF(COUNTIFS($AZ$2:$AZ$201,AZ189,$CI$2:$CI$201,1,$H$2:$H$201,"&lt;"&amp;H189)+COUNTIFS($AZ$2:$AZ$201,AZ189,$CI$2:$CI$201,1,$H$2:$H$201,H189,$BA$2:$BA$201,"&lt;"&amp;BA189)=0,1,0),0)</f>
        <v>0</v>
      </c>
      <c r="CK189" s="23" t="n">
        <f aca="false">IF(AND(BB189=1,AF189="Y"),1,0)</f>
        <v>0</v>
      </c>
      <c r="CL189" s="23" t="n">
        <f aca="false">IF(CK189=1,IF(COUNTIFS($AZ$2:$AZ$201,AZ189,$CK$2:$CK$201,1,$H$2:$H$201,"&lt;"&amp;H189)+COUNTIFS($AZ$2:$AZ$201,AZ189,$CK$2:$CK$201,1,$H$2:$H$201,H189,$BA$2:$BA$201,"&lt;"&amp;BA189)=0,1,0),0)</f>
        <v>0</v>
      </c>
      <c r="CM189" s="23" t="n">
        <f aca="false">IF(AND(BB189=1,U189="Y"),1,0)</f>
        <v>0</v>
      </c>
      <c r="CN189" s="23" t="n">
        <f aca="false">IF(CM189=1,IF(COUNTIFS($AZ$2:$AZ$201,AZ189,$CM$2:$CM$201,1,$H$2:$H$201,"&lt;"&amp;H189)+COUNTIFS($AZ$2:$AZ$201,AZ189,$CM$2:$CM$201,1,$H$2:$H$201,H189,$BA$2:$BA$201,"&lt;"&amp;BA189)=0,1,0),0)</f>
        <v>0</v>
      </c>
      <c r="CO189" s="23" t="n">
        <f aca="false">IF(AND(BB189=1,L189="Y"),1,0)</f>
        <v>0</v>
      </c>
      <c r="CP189" s="23" t="n">
        <f aca="false">IF(CO189=1,IF(COUNTIFS($AZ$2:$AZ$201,AZ189,$CO$2:$CO$201,1,$H$2:$H$201,"&lt;"&amp;H189)+COUNTIFS($AZ$2:$AZ$201,AZ189,$CO$2:$CO$201,1,$H$2:$H$201,H189,$BA$2:$BA$201,"&lt;"&amp;BA189)=0,1,0),0)</f>
        <v>0</v>
      </c>
      <c r="CQ189" s="23" t="n">
        <f aca="false">IF(AND(BB189=1,ISNUMBER(O189)),1,0)</f>
        <v>0</v>
      </c>
      <c r="CR189" s="23" t="n">
        <f aca="false">IF(CQ189=1,IF(COUNTIFS($AZ$2:$AZ$201,AZ189,$CQ$2:$CQ$201,1,$H$2:$H$201,"&lt;"&amp;H189)+COUNTIFS($AZ$2:$AZ$201,AZ189,$CQ$2:$CQ$201,1,$H$2:$H$201,H189,$BA$2:$BA$201,"&lt;"&amp;BA189)=0,1,0),0)</f>
        <v>0</v>
      </c>
      <c r="CS189" s="23" t="str">
        <f aca="false">IF(AND(CR189=1,INT(N(H189))&lt;=Config!$B$5),O189,"")</f>
        <v/>
      </c>
      <c r="CT189" s="23" t="str">
        <f aca="false">IF(AND(BB189=1,INT(N(H189))&lt;=Config!$B$5),AG189&amp;"","")</f>
        <v/>
      </c>
      <c r="CU189" s="23" t="n">
        <f aca="false">IF(AND(BB189=1,AU189="Y"),1,0)</f>
        <v>0</v>
      </c>
      <c r="CV189" s="23" t="n">
        <f aca="false">IF(CU189=1,IF(COUNTIFS($AZ$2:$AZ$201,AZ189,$CU$2:$CU$201,1,$H$2:$H$201,"&lt;"&amp;H189)+COUNTIFS($AZ$2:$AZ$201,AZ189,$CU$2:$CU$201,1,$H$2:$H$201,H189,$BA$2:$BA$201,"&lt;"&amp;BA189)=0,1,0),0)</f>
        <v>0</v>
      </c>
      <c r="CW189" s="23" t="str">
        <f aca="false">IF(BB189=1,IFERROR(MATCH($A189,INDEX(Clay_Offices!$A$2:$FZ$601,0,Sync!$C$5),0),""),"")</f>
        <v/>
      </c>
      <c r="CX189" s="23" t="str">
        <f aca="false">IF(CW189="","",IFERROR(INDEX(Clay_Offices!$A$2:$FZ$601,CW189,Sync!$C$7)&amp;"",""))</f>
        <v/>
      </c>
      <c r="CY189" s="23" t="str">
        <f aca="false">IF(CX189="","",IFERROR(INDEX(Lists!$K$2:$K$15,MATCH(CX189,Lists!$J$2:$J$15,0)),""))</f>
        <v/>
      </c>
      <c r="CZ189" s="23" t="str">
        <f aca="false">IF(CW189="","",IFERROR(INDEX(Clay_Offices!$A$2:$FZ$601,CW189,Sync!$C$17)&amp;"",""))</f>
        <v/>
      </c>
      <c r="DA189" s="35" t="str">
        <f aca="false">IF(CW189="","",IFERROR(N(INDEX(Clay_Offices!$A$2:$FZ$601,CW189,Sync!$C$16)),0))</f>
        <v/>
      </c>
      <c r="DB189" s="23" t="n">
        <f aca="false">IF(AND(BB189=1,OR(AR189="Y",AR189="N",AR189="maybe")),1,0)</f>
        <v>0</v>
      </c>
      <c r="DC189" s="23" t="n">
        <f aca="false">IF(AND(DB189=1),IF(COUNTIFS($A$2:$A$201,$A189,$DB$2:$DB$201,1,$H$2:$H$201,"&gt;"&amp;H189)+COUNTIFS($A$2:$A$201,$A189,$DB$2:$DB$201,1,$H$2:$H$201,H189,$BA$2:$BA$201,"&gt;"&amp;BA189)=0,1,0),0)</f>
        <v>0</v>
      </c>
      <c r="DD189" s="23" t="n">
        <f aca="false">IF(AND(DB189=1,INT(N(H189))&lt;=Config!$B$6),IF(COUNTIFS($AZ$2:$AZ$201,AZ189,$DB$2:$DB$201,1,$H$2:$H$201,"&gt;"&amp;H189,$H$2:$H$201,"&lt;"&amp;(Config!$B$6+1))+COUNTIFS($AZ$2:$AZ$201,AZ189,$DB$2:$DB$201,1,$H$2:$H$201,H189,$BA$2:$BA$201,"&gt;"&amp;BA189)=0,1,0),0)</f>
        <v>0</v>
      </c>
      <c r="DE189" s="23" t="n">
        <f aca="false">IF(AND(DB189=1,INT(N(H189))&lt;=Config!$B$7),IF(COUNTIFS($AZ$2:$AZ$201,AZ189,$DB$2:$DB$201,1,$H$2:$H$201,"&gt;"&amp;H189,$H$2:$H$201,"&lt;"&amp;(Config!$B$7+1))+COUNTIFS($AZ$2:$AZ$201,AZ189,$DB$2:$DB$201,1,$H$2:$H$201,H189,$BA$2:$BA$201,"&gt;"&amp;BA189)=0,1,0),0)</f>
        <v>0</v>
      </c>
      <c r="DF189" s="23" t="n">
        <f aca="false">IF(AND(DB189=1,INT(N(H189))&lt;=Config!$B$8),IF(COUNTIFS($AZ$2:$AZ$201,AZ189,$DB$2:$DB$201,1,$H$2:$H$201,"&gt;"&amp;H189,$H$2:$H$201,"&lt;"&amp;(Config!$B$8+1))+COUNTIFS($AZ$2:$AZ$201,AZ189,$DB$2:$DB$201,1,$H$2:$H$201,H189,$BA$2:$BA$201,"&gt;"&amp;BA189)=0,1,0),0)</f>
        <v>0</v>
      </c>
      <c r="DG189" s="23" t="n">
        <f aca="false">IF(AND(DB189=1,INT(N(H189))&lt;=Config!$B$5),IF(COUNTIFS($AZ$2:$AZ$201,AZ189,$DB$2:$DB$201,1,$H$2:$H$201,"&gt;"&amp;H189,$H$2:$H$201,"&lt;"&amp;(Config!$B$5+1))+COUNTIFS($AZ$2:$AZ$201,AZ189,$DB$2:$DB$201,1,$H$2:$H$201,H189,$BA$2:$BA$201,"&gt;"&amp;BA189)=0,1,0),0)</f>
        <v>0</v>
      </c>
      <c r="DH189" s="23" t="n">
        <f aca="false">IF(BB189=1,IF(COUNTIFS($AZ$2:$AZ$201,AZ189,$DD$2:$DD$201,1,$AR$2:$AR$201,"Y")&gt;0,1,0),0)</f>
        <v>0</v>
      </c>
      <c r="DI189" s="23" t="n">
        <f aca="false">IF(BB189=1,IF(COUNTIFS($AZ$2:$AZ$201,AZ189,$DE$2:$DE$201,1,$AR$2:$AR$201,"Y")&gt;0,1,0),0)</f>
        <v>0</v>
      </c>
      <c r="DJ189" s="23" t="n">
        <f aca="false">IF(BB189=1,IF(COUNTIFS($AZ$2:$AZ$201,AZ189,$DF$2:$DF$201,1,$AR$2:$AR$201,"Y")&gt;0,1,0),0)</f>
        <v>0</v>
      </c>
      <c r="DK189" s="23" t="n">
        <f aca="false">IF(BB189=1,IF(COUNTIFS($AZ$2:$AZ$201,AZ189,$DG$2:$DG$201,1,$AR$2:$AR$201,"Y")&gt;0,1,0),0)</f>
        <v>0</v>
      </c>
      <c r="DL189" s="23" t="n">
        <f aca="false">IF(AND(BF189=1,INT(N(H189))&lt;=Config!$B$6,DH189=1,EI189=0),1,0)</f>
        <v>0</v>
      </c>
      <c r="DM189" s="23" t="n">
        <f aca="false">IF(AND(BF189=1,INT(N(H189))&lt;=Config!$B$7,DI189=1,EI189=0),1,0)</f>
        <v>0</v>
      </c>
      <c r="DN189" s="23" t="n">
        <f aca="false">IF(AND(BF189=1,INT(N(H189))&lt;=Config!$B$8,DJ189=1,EI189=0),1,0)</f>
        <v>0</v>
      </c>
      <c r="DO189" s="23" t="n">
        <f aca="false">IF(AND(BF189=1,INT(N(H189))&lt;=Config!$B$5,DK189=1,EI189=0),1,0)</f>
        <v>0</v>
      </c>
      <c r="DP189" s="23" t="n">
        <f aca="false">IF(AND(CC189=1,INT(N(H189))&lt;=Config!$B$6,DH189=1,EI189=0),1,0)</f>
        <v>0</v>
      </c>
      <c r="DQ189" s="23" t="n">
        <f aca="false">IF(AND(CC189=1,INT(N(H189))&lt;=Config!$B$7,DI189=1,EI189=0),1,0)</f>
        <v>0</v>
      </c>
      <c r="DR189" s="23" t="n">
        <f aca="false">IF(AND(CC189=1,INT(N(H189))&lt;=Config!$B$8,DJ189=1,EI189=0),1,0)</f>
        <v>0</v>
      </c>
      <c r="DS189" s="23" t="n">
        <f aca="false">IF(AND(CC189=1,INT(N(H189))&lt;=Config!$B$5,DK189=1,EI189=0),1,0)</f>
        <v>0</v>
      </c>
      <c r="DT189" s="23" t="n">
        <f aca="false">IF(AND(CC189=1,INT(N(H189))&lt;=Config!$B$6,DH189=0),1,0)</f>
        <v>0</v>
      </c>
      <c r="DU189" s="23" t="n">
        <f aca="false">IF(AND(CC189=1,INT(N(H189))&lt;=Config!$B$7,DI189=0),1,0)</f>
        <v>0</v>
      </c>
      <c r="DV189" s="23" t="n">
        <f aca="false">IF(AND(CC189=1,INT(N(H189))&lt;=Config!$B$8,DJ189=0),1,0)</f>
        <v>0</v>
      </c>
      <c r="DW189" s="23" t="n">
        <f aca="false">IF(AND(CC189=1,INT(N(H189))&lt;=Config!$B$5,DK189=0),1,0)</f>
        <v>0</v>
      </c>
      <c r="DX189" s="23" t="n">
        <f aca="false">IF(TRIM($A189)="",0,ISTEXT(M189)+ISTEXT(O189)+ISTEXT(Y189)+ISTEXT(Z189)+ISTEXT(AA189)+ISTEXT(AV189))</f>
        <v>0</v>
      </c>
      <c r="DY189" s="23" t="n">
        <f aca="false">IF(BB189=1,IF(H189&lt;&gt;INT(H189),1,0),0)</f>
        <v>0</v>
      </c>
      <c r="DZ189" s="23" t="str">
        <f aca="false">IF(TRIM($A189)="","",IF(TRIM(B189)="",SUBSTITUTE(SUBSTITUTE(SUBSTITUTE(SUBSTITUTE(SUBSTITUTE(SUBSTITUTE(LOWER(TRIM($A189)),"~",""),"*",""),"?",""),"&lt;",""),"&gt;",""),"=",""),SUBSTITUTE(SUBSTITUTE(SUBSTITUTE(SUBSTITUTE(SUBSTITUTE(SUBSTITUTE(LOWER(TRIM(B189)),"~",""),"*",""),"?",""),"&lt;",""),"&gt;",""),"=","")))</f>
        <v/>
      </c>
      <c r="EA189" s="23" t="str">
        <f aca="false">IF(CW189="","",IFERROR(IF(LEFT(LOWER(TRIM(INDEX(Clay_Offices!$A$2:$FZ$601,CW189,Sync!$C$19)&amp;"")),4)="grp-",SUBSTITUTE(SUBSTITUTE(SUBSTITUTE(SUBSTITUTE(SUBSTITUTE(SUBSTITUTE(LOWER(TRIM(INDEX(Clay_Offices!$A$2:$FZ$601,CW189,Sync!$C$19)&amp;"")),"~",""),"*",""),"?",""),"&lt;",""),"&gt;",""),"=",""),""),""))</f>
        <v/>
      </c>
      <c r="EB189" s="23" t="str">
        <f aca="false">IF(EA189&lt;&gt;"",DZ189,"")</f>
        <v/>
      </c>
      <c r="EC189" s="23" t="str">
        <f aca="false">IF(BC189=1,AZ189,"")</f>
        <v/>
      </c>
      <c r="ED189" s="23" t="str">
        <f aca="false">IF(TRIM($A189)="","",IFERROR(INDEX($A$2:$A$201,MATCH(AZ189,$EC$2:$EC$201,0))&amp;"",$A189&amp;""))</f>
        <v/>
      </c>
      <c r="EE189" s="23" t="n">
        <f aca="false">IF(BB189=1,IF(COUNTIFS($A$2:$A$201,$A189,$BB$2:$BB$201,1,$H$2:$H$201,"&lt;"&amp;H189)+COUNTIFS($A$2:$A$201,$A189,$BB$2:$BB$201,1,$H$2:$H$201,H189,$BA$2:$BA$201,"&lt;"&amp;BA189)=0,1,0),0)</f>
        <v>0</v>
      </c>
      <c r="EF189" s="23" t="n">
        <f aca="false">IF(BC189=1,IF(COUNTIFS($AZ$2:$AZ$201,AZ189,$EE$2:$EE$201,1)&gt;1,1,0),0)</f>
        <v>0</v>
      </c>
      <c r="EG189" s="23" t="n">
        <f aca="false">IF(AND(CQ189=1),IF(COUNTIFS($AZ$2:$AZ$201,AZ189,$CQ$2:$CQ$201,1,$H$2:$H$201,"&gt;"&amp;H189)+COUNTIFS($AZ$2:$AZ$201,AZ189,$CQ$2:$CQ$201,1,$H$2:$H$201,H189,$BA$2:$BA$201,"&gt;"&amp;BA189)=0,1,0),0)</f>
        <v>0</v>
      </c>
      <c r="EH189" s="23" t="str">
        <f aca="false">IF(BB189=1,IF(COUNTIFS($AZ$2:$AZ$201,AZ189,$EG$2:$EG$201,1)=0,"",SUMIFS($O$2:$O$201,$AZ$2:$AZ$201,AZ189,$EG$2:$EG$201,1)),"")</f>
        <v/>
      </c>
      <c r="EI189" s="23" t="n">
        <f aca="false">IF(AND(ISNUMBER(EH189),OR(N(EH189)&lt;Config!$B$31,N(EH189)&gt;Config!$B$33)),1,0)</f>
        <v>0</v>
      </c>
      <c r="EJ189" s="23" t="n">
        <f aca="false">IF(AND(ISNUMBER(EH189),N(EH189)&gt;=Config!$B$31,N(EH189)&lt;Config!$B$32),1,0)</f>
        <v>0</v>
      </c>
      <c r="EK189" s="23" t="n">
        <f aca="false">IF(AND(BF189=1,INT(N(H189))&lt;=Config!$B$6,DH189=1,EI189=1),1,0)</f>
        <v>0</v>
      </c>
      <c r="EL189" s="23" t="n">
        <f aca="false">IF(AND(BF189=1,INT(N(H189))&lt;=Config!$B$7,DI189=1,EI189=1),1,0)</f>
        <v>0</v>
      </c>
      <c r="EM189" s="23" t="n">
        <f aca="false">IF(AND(BF189=1,INT(N(H189))&lt;=Config!$B$8,DJ189=1,EI189=1),1,0)</f>
        <v>0</v>
      </c>
      <c r="EN189" s="23" t="n">
        <f aca="false">IF(AND(BF189=1,INT(N(H189))&lt;=Config!$B$5,DK189=1,EI189=1),1,0)</f>
        <v>0</v>
      </c>
      <c r="EO189" s="23" t="n">
        <f aca="false">IF(AND(DL189=1,EJ189=1),1,0)</f>
        <v>0</v>
      </c>
      <c r="EP189" s="23" t="n">
        <f aca="false">IF(AND(DM189=1,EJ189=1),1,0)</f>
        <v>0</v>
      </c>
      <c r="EQ189" s="23" t="n">
        <f aca="false">IF(AND(DN189=1,EJ189=1),1,0)</f>
        <v>0</v>
      </c>
      <c r="ER189" s="23" t="n">
        <f aca="false">IF(AND(DO189=1,EJ189=1),1,0)</f>
        <v>0</v>
      </c>
    </row>
    <row r="190" customFormat="false" ht="15" hidden="false" customHeight="false" outlineLevel="0" collapsed="false">
      <c r="G190" s="32"/>
      <c r="H190" s="33"/>
      <c r="I190" s="32"/>
      <c r="L190" s="32"/>
      <c r="Q190" s="32"/>
      <c r="U190" s="32"/>
      <c r="W190" s="32"/>
      <c r="AC190" s="32"/>
      <c r="AF190" s="32"/>
      <c r="AI190" s="32"/>
      <c r="AJ190" s="32"/>
      <c r="AN190" s="32"/>
      <c r="AR190" s="32"/>
      <c r="AT190" s="32"/>
      <c r="AU190" s="32"/>
      <c r="AW190" s="32"/>
      <c r="AY190" s="34" t="str">
        <f aca="false">IF(TRIM($A190)="","",IF(AND(LEFT($A190,6)="SAMPLE",Config!$B$19&lt;&gt;"Y"),"",IF(NOT(ISNUMBER(H190)),"call_date is blank or not a date",IF(Sync!$C$5="","Clay paste is empty or has no row_id column: paste the Clay export on Clay_Offices",IF(CW190="","row_id not found in the Clay paste: add the Clay row or fix the row_id",IF(AND(ISNUMBER(CY190),CY190&gt;=1,CY190&lt;=5),"Clay status is "&amp;CX190&amp;": set call_done or later",IF(AND(BD190=1,CZ190&lt;&gt;BZ190),"Clay yes_in_principle should be "&amp;BZ190,IF(AND(BD190=1,DA190&lt;&gt;H190),"Clay call_date should be "&amp;TEXT(H190,"yyyy-mm-dd"),""))))))))</f>
        <v/>
      </c>
      <c r="AZ190" s="23" t="str">
        <f aca="false">IF(TRIM($A190)="","",IF(TRIM(C190)&lt;&gt;"",SUBSTITUTE(SUBSTITUTE(SUBSTITUTE(SUBSTITUTE(SUBSTITUTE(SUBSTITUTE(LOWER(TRIM(C190)),"~",""),"*",""),"?",""),"&lt;",""),"&gt;",""),"=",""),IF(EA190&lt;&gt;"",EA190,IFERROR(INDEX($EA$2:$EA$201,MATCH(DZ190,$EB$2:$EB$201,0)),DZ190))))</f>
        <v/>
      </c>
      <c r="BA190" s="23" t="n">
        <f aca="false">ROW()</f>
        <v>190</v>
      </c>
      <c r="BB190" s="23" t="n">
        <f aca="false">IF(AND(TRIM($A190)&lt;&gt;"",ISNUMBER(H190)),IF(AND(LEFT($A190,6)="SAMPLE",Config!$B$19&lt;&gt;"Y"),0,1),0)</f>
        <v>0</v>
      </c>
      <c r="BC190" s="23" t="n">
        <f aca="false">IF(BB190=1,IF(COUNTIFS($AZ$2:$AZ$201,AZ190,$BB$2:$BB$201,1,$H$2:$H$201,"&lt;"&amp;H190)+COUNTIFS($AZ$2:$AZ$201,AZ190,$BB$2:$BB$201,1,$H$2:$H$201,H190,$BA$2:$BA$201,"&lt;"&amp;BA190)=0,1,0),0)</f>
        <v>0</v>
      </c>
      <c r="BD190" s="23" t="n">
        <f aca="false">IF(BB190=1,IF(COUNTIFS($A$2:$A$201,$A190,$BB$2:$BB$201,1,$H$2:$H$201,"&gt;"&amp;H190)+COUNTIFS($A$2:$A$201,$A190,$BB$2:$BB$201,1,$H$2:$H$201,H190,$BA$2:$BA$201,"&gt;"&amp;BA190)=0,1,0),0)</f>
        <v>0</v>
      </c>
      <c r="BE190" s="23" t="n">
        <f aca="false">IF(AND(BB190=1,AR190="Y",AC190="Y",TRIM(AH190)&lt;&gt;""),1,0)</f>
        <v>0</v>
      </c>
      <c r="BF190" s="23" t="n">
        <f aca="false">IF(BE190=1,IF(COUNTIFS($AZ$2:$AZ$201,AZ190,$BE$2:$BE$201,1,$H$2:$H$201,"&lt;"&amp;H190)+COUNTIFS($AZ$2:$AZ$201,AZ190,$BE$2:$BE$201,1,$H$2:$H$201,H190,$BA$2:$BA$201,"&lt;"&amp;BA190)=0,1,0),0)</f>
        <v>0</v>
      </c>
      <c r="BG190" s="23" t="n">
        <f aca="false">IF(AND(BB190=1,AR190="Y",BE190=0),1,0)</f>
        <v>0</v>
      </c>
      <c r="BH190" s="23" t="n">
        <f aca="false">IF(AND(BB190=1,ISNUMBER(Y190)),1,0)</f>
        <v>0</v>
      </c>
      <c r="BI190" s="23" t="n">
        <f aca="false">IF(BH190=1,IF(COUNTIFS($AZ$2:$AZ$201,AZ190,$BH$2:$BH$201,1,$H$2:$H$201,"&lt;"&amp;H190)+COUNTIFS($AZ$2:$AZ$201,AZ190,$BH$2:$BH$201,1,$H$2:$H$201,H190,$BA$2:$BA$201,"&lt;"&amp;BA190)=0,1,0),0)</f>
        <v>0</v>
      </c>
      <c r="BJ190" s="23" t="str">
        <f aca="false">IF(AND(BI190=1,INT(N(H190))&lt;=Config!$B$6),Y190,"")</f>
        <v/>
      </c>
      <c r="BK190" s="23" t="str">
        <f aca="false">IF(AND(BI190=1,INT(N(H190))&lt;=Config!$B$7),Y190,"")</f>
        <v/>
      </c>
      <c r="BL190" s="23" t="str">
        <f aca="false">IF(AND(BI190=1,INT(N(H190))&lt;=Config!$B$8),Y190,"")</f>
        <v/>
      </c>
      <c r="BM190" s="23" t="str">
        <f aca="false">IF(AND(BI190=1,INT(N(H190))&lt;=Config!$B$5),Y190,"")</f>
        <v/>
      </c>
      <c r="BN190" s="23" t="n">
        <f aca="false">IF(CD190=1,IF(COUNTIFS($AZ$2:$AZ$201,AZ190,$CD$2:$CD$201,1,$H$2:$H$201,"&lt;"&amp;H190)+COUNTIFS($AZ$2:$AZ$201,AZ190,$CD$2:$CD$201,1,$H$2:$H$201,H190,$BA$2:$BA$201,"&lt;"&amp;BA190)=0,1,0),0)</f>
        <v>0</v>
      </c>
      <c r="BO190" s="23" t="n">
        <f aca="false">IF(AND(BB190=1,ISNUMBER(M190)),1,0)</f>
        <v>0</v>
      </c>
      <c r="BP190" s="23" t="n">
        <f aca="false">IF(BO190=1,IF(COUNTIFS($AZ$2:$AZ$201,AZ190,$BO$2:$BO$201,1,$H$2:$H$201,"&lt;"&amp;H190)+COUNTIFS($AZ$2:$AZ$201,AZ190,$BO$2:$BO$201,1,$H$2:$H$201,H190,$BA$2:$BA$201,"&lt;"&amp;BA190)=0,1,0),0)</f>
        <v>0</v>
      </c>
      <c r="BQ190" s="23" t="str">
        <f aca="false">IF(AND(BP190=1,INT(N(H190))&lt;=Config!$B$5),M190,"")</f>
        <v/>
      </c>
      <c r="BR190" s="23" t="n">
        <f aca="false">IF(AND(BB190=1,OR(TRIM(X190)&lt;&gt;"",ISNUMBER(Y190))),1,0)</f>
        <v>0</v>
      </c>
      <c r="BS190" s="23" t="n">
        <f aca="false">IF(BR190=1,IF(COUNTIFS($AZ$2:$AZ$201,AZ190,$BR$2:$BR$201,1,$H$2:$H$201,"&lt;"&amp;H190)+COUNTIFS($AZ$2:$AZ$201,AZ190,$BR$2:$BR$201,1,$H$2:$H$201,H190,$BA$2:$BA$201,"&lt;"&amp;BA190)=0,1,0),0)</f>
        <v>0</v>
      </c>
      <c r="BT190" s="23" t="str">
        <f aca="false">IF(BS190=1,AZ190,"")</f>
        <v/>
      </c>
      <c r="BU190" s="23" t="n">
        <f aca="false">IF(AND(BB190=1,W190="Y",TRIM(X190)=""),1,0)</f>
        <v>0</v>
      </c>
      <c r="BV190" s="23" t="str">
        <f aca="false">IF(BB190=1,AN190&amp;"","")</f>
        <v/>
      </c>
      <c r="BW190" s="23" t="str">
        <f aca="false">IF(BB190=1,AO190&amp;"","")</f>
        <v/>
      </c>
      <c r="BX190" s="23" t="str">
        <f aca="false">IF(BB190=1,AP190&amp;"","")</f>
        <v/>
      </c>
      <c r="BY190" s="23" t="str">
        <f aca="false">IF(AND(BB190=1,ISNUMBER(AV190),INT(N(H190))&lt;=Config!$B$5),AV190,"")</f>
        <v/>
      </c>
      <c r="BZ190" s="23" t="str">
        <f aca="false">IF(BB190=1,IF(COUNTIFS($A$2:$A$201,$A190,$DC$2:$DC$201,1,$AR$2:$AR$201,"Y")&gt;0,"Y","N"),"")</f>
        <v/>
      </c>
      <c r="CA190" s="23" t="n">
        <f aca="false">IF(AND(BB190=1,AR190="maybe"),1,0)</f>
        <v>0</v>
      </c>
      <c r="CB190" s="23" t="n">
        <f aca="false">IF(CA190=1,IF(COUNTIFS($AZ$2:$AZ$201,AZ190,$CA$2:$CA$201,1,$H$2:$H$201,"&lt;"&amp;H190)+COUNTIFS($AZ$2:$AZ$201,AZ190,$CA$2:$CA$201,1,$H$2:$H$201,H190,$BA$2:$BA$201,"&lt;"&amp;BA190)=0,1,0),0)</f>
        <v>0</v>
      </c>
      <c r="CC190" s="23" t="n">
        <f aca="false">IF(AND(BB190=1,AR190="Y"),IF(COUNTIFS($AZ$2:$AZ$201,AZ190,$AR$2:$AR$201,"Y",$BB$2:$BB$201,1,$H$2:$H$201,"&lt;"&amp;H190)+COUNTIFS($AZ$2:$AZ$201,AZ190,$AR$2:$AR$201,"Y",$BB$2:$BB$201,1,$H$2:$H$201,H190,$BA$2:$BA$201,"&lt;"&amp;BA190)=0,1,0),0)</f>
        <v>0</v>
      </c>
      <c r="CD190" s="23" t="n">
        <f aca="false">IF(AND(BH190=1,N(Y190)&gt;=Config!$B$15),1,0)</f>
        <v>0</v>
      </c>
      <c r="CE190" s="23" t="n">
        <f aca="false">IF(AND(BB190=1,AT190="Y"),1,0)</f>
        <v>0</v>
      </c>
      <c r="CF190" s="23" t="n">
        <f aca="false">IF(CE190=1,IF(COUNTIFS($AZ$2:$AZ$201,AZ190,$CE$2:$CE$201,1,$H$2:$H$201,"&lt;"&amp;H190)+COUNTIFS($AZ$2:$AZ$201,AZ190,$CE$2:$CE$201,1,$H$2:$H$201,H190,$BA$2:$BA$201,"&lt;"&amp;BA190)=0,1,0),0)</f>
        <v>0</v>
      </c>
      <c r="CG190" s="23" t="n">
        <f aca="false">IF(AND(BB190=1,G190="warm-intro"),1,0)</f>
        <v>0</v>
      </c>
      <c r="CH190" s="23" t="n">
        <f aca="false">IF(CG190=1,IF(COUNTIFS($AZ$2:$AZ$201,AZ190,$CG$2:$CG$201,1,$H$2:$H$201,"&lt;"&amp;H190)+COUNTIFS($AZ$2:$AZ$201,AZ190,$CG$2:$CG$201,1,$H$2:$H$201,H190,$BA$2:$BA$201,"&lt;"&amp;BA190)=0,1,0),0)</f>
        <v>0</v>
      </c>
      <c r="CI190" s="23" t="n">
        <f aca="false">IF(AND(BB190=1,Q190="Y"),1,0)</f>
        <v>0</v>
      </c>
      <c r="CJ190" s="23" t="n">
        <f aca="false">IF(CI190=1,IF(COUNTIFS($AZ$2:$AZ$201,AZ190,$CI$2:$CI$201,1,$H$2:$H$201,"&lt;"&amp;H190)+COUNTIFS($AZ$2:$AZ$201,AZ190,$CI$2:$CI$201,1,$H$2:$H$201,H190,$BA$2:$BA$201,"&lt;"&amp;BA190)=0,1,0),0)</f>
        <v>0</v>
      </c>
      <c r="CK190" s="23" t="n">
        <f aca="false">IF(AND(BB190=1,AF190="Y"),1,0)</f>
        <v>0</v>
      </c>
      <c r="CL190" s="23" t="n">
        <f aca="false">IF(CK190=1,IF(COUNTIFS($AZ$2:$AZ$201,AZ190,$CK$2:$CK$201,1,$H$2:$H$201,"&lt;"&amp;H190)+COUNTIFS($AZ$2:$AZ$201,AZ190,$CK$2:$CK$201,1,$H$2:$H$201,H190,$BA$2:$BA$201,"&lt;"&amp;BA190)=0,1,0),0)</f>
        <v>0</v>
      </c>
      <c r="CM190" s="23" t="n">
        <f aca="false">IF(AND(BB190=1,U190="Y"),1,0)</f>
        <v>0</v>
      </c>
      <c r="CN190" s="23" t="n">
        <f aca="false">IF(CM190=1,IF(COUNTIFS($AZ$2:$AZ$201,AZ190,$CM$2:$CM$201,1,$H$2:$H$201,"&lt;"&amp;H190)+COUNTIFS($AZ$2:$AZ$201,AZ190,$CM$2:$CM$201,1,$H$2:$H$201,H190,$BA$2:$BA$201,"&lt;"&amp;BA190)=0,1,0),0)</f>
        <v>0</v>
      </c>
      <c r="CO190" s="23" t="n">
        <f aca="false">IF(AND(BB190=1,L190="Y"),1,0)</f>
        <v>0</v>
      </c>
      <c r="CP190" s="23" t="n">
        <f aca="false">IF(CO190=1,IF(COUNTIFS($AZ$2:$AZ$201,AZ190,$CO$2:$CO$201,1,$H$2:$H$201,"&lt;"&amp;H190)+COUNTIFS($AZ$2:$AZ$201,AZ190,$CO$2:$CO$201,1,$H$2:$H$201,H190,$BA$2:$BA$201,"&lt;"&amp;BA190)=0,1,0),0)</f>
        <v>0</v>
      </c>
      <c r="CQ190" s="23" t="n">
        <f aca="false">IF(AND(BB190=1,ISNUMBER(O190)),1,0)</f>
        <v>0</v>
      </c>
      <c r="CR190" s="23" t="n">
        <f aca="false">IF(CQ190=1,IF(COUNTIFS($AZ$2:$AZ$201,AZ190,$CQ$2:$CQ$201,1,$H$2:$H$201,"&lt;"&amp;H190)+COUNTIFS($AZ$2:$AZ$201,AZ190,$CQ$2:$CQ$201,1,$H$2:$H$201,H190,$BA$2:$BA$201,"&lt;"&amp;BA190)=0,1,0),0)</f>
        <v>0</v>
      </c>
      <c r="CS190" s="23" t="str">
        <f aca="false">IF(AND(CR190=1,INT(N(H190))&lt;=Config!$B$5),O190,"")</f>
        <v/>
      </c>
      <c r="CT190" s="23" t="str">
        <f aca="false">IF(AND(BB190=1,INT(N(H190))&lt;=Config!$B$5),AG190&amp;"","")</f>
        <v/>
      </c>
      <c r="CU190" s="23" t="n">
        <f aca="false">IF(AND(BB190=1,AU190="Y"),1,0)</f>
        <v>0</v>
      </c>
      <c r="CV190" s="23" t="n">
        <f aca="false">IF(CU190=1,IF(COUNTIFS($AZ$2:$AZ$201,AZ190,$CU$2:$CU$201,1,$H$2:$H$201,"&lt;"&amp;H190)+COUNTIFS($AZ$2:$AZ$201,AZ190,$CU$2:$CU$201,1,$H$2:$H$201,H190,$BA$2:$BA$201,"&lt;"&amp;BA190)=0,1,0),0)</f>
        <v>0</v>
      </c>
      <c r="CW190" s="23" t="str">
        <f aca="false">IF(BB190=1,IFERROR(MATCH($A190,INDEX(Clay_Offices!$A$2:$FZ$601,0,Sync!$C$5),0),""),"")</f>
        <v/>
      </c>
      <c r="CX190" s="23" t="str">
        <f aca="false">IF(CW190="","",IFERROR(INDEX(Clay_Offices!$A$2:$FZ$601,CW190,Sync!$C$7)&amp;"",""))</f>
        <v/>
      </c>
      <c r="CY190" s="23" t="str">
        <f aca="false">IF(CX190="","",IFERROR(INDEX(Lists!$K$2:$K$15,MATCH(CX190,Lists!$J$2:$J$15,0)),""))</f>
        <v/>
      </c>
      <c r="CZ190" s="23" t="str">
        <f aca="false">IF(CW190="","",IFERROR(INDEX(Clay_Offices!$A$2:$FZ$601,CW190,Sync!$C$17)&amp;"",""))</f>
        <v/>
      </c>
      <c r="DA190" s="35" t="str">
        <f aca="false">IF(CW190="","",IFERROR(N(INDEX(Clay_Offices!$A$2:$FZ$601,CW190,Sync!$C$16)),0))</f>
        <v/>
      </c>
      <c r="DB190" s="23" t="n">
        <f aca="false">IF(AND(BB190=1,OR(AR190="Y",AR190="N",AR190="maybe")),1,0)</f>
        <v>0</v>
      </c>
      <c r="DC190" s="23" t="n">
        <f aca="false">IF(AND(DB190=1),IF(COUNTIFS($A$2:$A$201,$A190,$DB$2:$DB$201,1,$H$2:$H$201,"&gt;"&amp;H190)+COUNTIFS($A$2:$A$201,$A190,$DB$2:$DB$201,1,$H$2:$H$201,H190,$BA$2:$BA$201,"&gt;"&amp;BA190)=0,1,0),0)</f>
        <v>0</v>
      </c>
      <c r="DD190" s="23" t="n">
        <f aca="false">IF(AND(DB190=1,INT(N(H190))&lt;=Config!$B$6),IF(COUNTIFS($AZ$2:$AZ$201,AZ190,$DB$2:$DB$201,1,$H$2:$H$201,"&gt;"&amp;H190,$H$2:$H$201,"&lt;"&amp;(Config!$B$6+1))+COUNTIFS($AZ$2:$AZ$201,AZ190,$DB$2:$DB$201,1,$H$2:$H$201,H190,$BA$2:$BA$201,"&gt;"&amp;BA190)=0,1,0),0)</f>
        <v>0</v>
      </c>
      <c r="DE190" s="23" t="n">
        <f aca="false">IF(AND(DB190=1,INT(N(H190))&lt;=Config!$B$7),IF(COUNTIFS($AZ$2:$AZ$201,AZ190,$DB$2:$DB$201,1,$H$2:$H$201,"&gt;"&amp;H190,$H$2:$H$201,"&lt;"&amp;(Config!$B$7+1))+COUNTIFS($AZ$2:$AZ$201,AZ190,$DB$2:$DB$201,1,$H$2:$H$201,H190,$BA$2:$BA$201,"&gt;"&amp;BA190)=0,1,0),0)</f>
        <v>0</v>
      </c>
      <c r="DF190" s="23" t="n">
        <f aca="false">IF(AND(DB190=1,INT(N(H190))&lt;=Config!$B$8),IF(COUNTIFS($AZ$2:$AZ$201,AZ190,$DB$2:$DB$201,1,$H$2:$H$201,"&gt;"&amp;H190,$H$2:$H$201,"&lt;"&amp;(Config!$B$8+1))+COUNTIFS($AZ$2:$AZ$201,AZ190,$DB$2:$DB$201,1,$H$2:$H$201,H190,$BA$2:$BA$201,"&gt;"&amp;BA190)=0,1,0),0)</f>
        <v>0</v>
      </c>
      <c r="DG190" s="23" t="n">
        <f aca="false">IF(AND(DB190=1,INT(N(H190))&lt;=Config!$B$5),IF(COUNTIFS($AZ$2:$AZ$201,AZ190,$DB$2:$DB$201,1,$H$2:$H$201,"&gt;"&amp;H190,$H$2:$H$201,"&lt;"&amp;(Config!$B$5+1))+COUNTIFS($AZ$2:$AZ$201,AZ190,$DB$2:$DB$201,1,$H$2:$H$201,H190,$BA$2:$BA$201,"&gt;"&amp;BA190)=0,1,0),0)</f>
        <v>0</v>
      </c>
      <c r="DH190" s="23" t="n">
        <f aca="false">IF(BB190=1,IF(COUNTIFS($AZ$2:$AZ$201,AZ190,$DD$2:$DD$201,1,$AR$2:$AR$201,"Y")&gt;0,1,0),0)</f>
        <v>0</v>
      </c>
      <c r="DI190" s="23" t="n">
        <f aca="false">IF(BB190=1,IF(COUNTIFS($AZ$2:$AZ$201,AZ190,$DE$2:$DE$201,1,$AR$2:$AR$201,"Y")&gt;0,1,0),0)</f>
        <v>0</v>
      </c>
      <c r="DJ190" s="23" t="n">
        <f aca="false">IF(BB190=1,IF(COUNTIFS($AZ$2:$AZ$201,AZ190,$DF$2:$DF$201,1,$AR$2:$AR$201,"Y")&gt;0,1,0),0)</f>
        <v>0</v>
      </c>
      <c r="DK190" s="23" t="n">
        <f aca="false">IF(BB190=1,IF(COUNTIFS($AZ$2:$AZ$201,AZ190,$DG$2:$DG$201,1,$AR$2:$AR$201,"Y")&gt;0,1,0),0)</f>
        <v>0</v>
      </c>
      <c r="DL190" s="23" t="n">
        <f aca="false">IF(AND(BF190=1,INT(N(H190))&lt;=Config!$B$6,DH190=1,EI190=0),1,0)</f>
        <v>0</v>
      </c>
      <c r="DM190" s="23" t="n">
        <f aca="false">IF(AND(BF190=1,INT(N(H190))&lt;=Config!$B$7,DI190=1,EI190=0),1,0)</f>
        <v>0</v>
      </c>
      <c r="DN190" s="23" t="n">
        <f aca="false">IF(AND(BF190=1,INT(N(H190))&lt;=Config!$B$8,DJ190=1,EI190=0),1,0)</f>
        <v>0</v>
      </c>
      <c r="DO190" s="23" t="n">
        <f aca="false">IF(AND(BF190=1,INT(N(H190))&lt;=Config!$B$5,DK190=1,EI190=0),1,0)</f>
        <v>0</v>
      </c>
      <c r="DP190" s="23" t="n">
        <f aca="false">IF(AND(CC190=1,INT(N(H190))&lt;=Config!$B$6,DH190=1,EI190=0),1,0)</f>
        <v>0</v>
      </c>
      <c r="DQ190" s="23" t="n">
        <f aca="false">IF(AND(CC190=1,INT(N(H190))&lt;=Config!$B$7,DI190=1,EI190=0),1,0)</f>
        <v>0</v>
      </c>
      <c r="DR190" s="23" t="n">
        <f aca="false">IF(AND(CC190=1,INT(N(H190))&lt;=Config!$B$8,DJ190=1,EI190=0),1,0)</f>
        <v>0</v>
      </c>
      <c r="DS190" s="23" t="n">
        <f aca="false">IF(AND(CC190=1,INT(N(H190))&lt;=Config!$B$5,DK190=1,EI190=0),1,0)</f>
        <v>0</v>
      </c>
      <c r="DT190" s="23" t="n">
        <f aca="false">IF(AND(CC190=1,INT(N(H190))&lt;=Config!$B$6,DH190=0),1,0)</f>
        <v>0</v>
      </c>
      <c r="DU190" s="23" t="n">
        <f aca="false">IF(AND(CC190=1,INT(N(H190))&lt;=Config!$B$7,DI190=0),1,0)</f>
        <v>0</v>
      </c>
      <c r="DV190" s="23" t="n">
        <f aca="false">IF(AND(CC190=1,INT(N(H190))&lt;=Config!$B$8,DJ190=0),1,0)</f>
        <v>0</v>
      </c>
      <c r="DW190" s="23" t="n">
        <f aca="false">IF(AND(CC190=1,INT(N(H190))&lt;=Config!$B$5,DK190=0),1,0)</f>
        <v>0</v>
      </c>
      <c r="DX190" s="23" t="n">
        <f aca="false">IF(TRIM($A190)="",0,ISTEXT(M190)+ISTEXT(O190)+ISTEXT(Y190)+ISTEXT(Z190)+ISTEXT(AA190)+ISTEXT(AV190))</f>
        <v>0</v>
      </c>
      <c r="DY190" s="23" t="n">
        <f aca="false">IF(BB190=1,IF(H190&lt;&gt;INT(H190),1,0),0)</f>
        <v>0</v>
      </c>
      <c r="DZ190" s="23" t="str">
        <f aca="false">IF(TRIM($A190)="","",IF(TRIM(B190)="",SUBSTITUTE(SUBSTITUTE(SUBSTITUTE(SUBSTITUTE(SUBSTITUTE(SUBSTITUTE(LOWER(TRIM($A190)),"~",""),"*",""),"?",""),"&lt;",""),"&gt;",""),"=",""),SUBSTITUTE(SUBSTITUTE(SUBSTITUTE(SUBSTITUTE(SUBSTITUTE(SUBSTITUTE(LOWER(TRIM(B190)),"~",""),"*",""),"?",""),"&lt;",""),"&gt;",""),"=","")))</f>
        <v/>
      </c>
      <c r="EA190" s="23" t="str">
        <f aca="false">IF(CW190="","",IFERROR(IF(LEFT(LOWER(TRIM(INDEX(Clay_Offices!$A$2:$FZ$601,CW190,Sync!$C$19)&amp;"")),4)="grp-",SUBSTITUTE(SUBSTITUTE(SUBSTITUTE(SUBSTITUTE(SUBSTITUTE(SUBSTITUTE(LOWER(TRIM(INDEX(Clay_Offices!$A$2:$FZ$601,CW190,Sync!$C$19)&amp;"")),"~",""),"*",""),"?",""),"&lt;",""),"&gt;",""),"=",""),""),""))</f>
        <v/>
      </c>
      <c r="EB190" s="23" t="str">
        <f aca="false">IF(EA190&lt;&gt;"",DZ190,"")</f>
        <v/>
      </c>
      <c r="EC190" s="23" t="str">
        <f aca="false">IF(BC190=1,AZ190,"")</f>
        <v/>
      </c>
      <c r="ED190" s="23" t="str">
        <f aca="false">IF(TRIM($A190)="","",IFERROR(INDEX($A$2:$A$201,MATCH(AZ190,$EC$2:$EC$201,0))&amp;"",$A190&amp;""))</f>
        <v/>
      </c>
      <c r="EE190" s="23" t="n">
        <f aca="false">IF(BB190=1,IF(COUNTIFS($A$2:$A$201,$A190,$BB$2:$BB$201,1,$H$2:$H$201,"&lt;"&amp;H190)+COUNTIFS($A$2:$A$201,$A190,$BB$2:$BB$201,1,$H$2:$H$201,H190,$BA$2:$BA$201,"&lt;"&amp;BA190)=0,1,0),0)</f>
        <v>0</v>
      </c>
      <c r="EF190" s="23" t="n">
        <f aca="false">IF(BC190=1,IF(COUNTIFS($AZ$2:$AZ$201,AZ190,$EE$2:$EE$201,1)&gt;1,1,0),0)</f>
        <v>0</v>
      </c>
      <c r="EG190" s="23" t="n">
        <f aca="false">IF(AND(CQ190=1),IF(COUNTIFS($AZ$2:$AZ$201,AZ190,$CQ$2:$CQ$201,1,$H$2:$H$201,"&gt;"&amp;H190)+COUNTIFS($AZ$2:$AZ$201,AZ190,$CQ$2:$CQ$201,1,$H$2:$H$201,H190,$BA$2:$BA$201,"&gt;"&amp;BA190)=0,1,0),0)</f>
        <v>0</v>
      </c>
      <c r="EH190" s="23" t="str">
        <f aca="false">IF(BB190=1,IF(COUNTIFS($AZ$2:$AZ$201,AZ190,$EG$2:$EG$201,1)=0,"",SUMIFS($O$2:$O$201,$AZ$2:$AZ$201,AZ190,$EG$2:$EG$201,1)),"")</f>
        <v/>
      </c>
      <c r="EI190" s="23" t="n">
        <f aca="false">IF(AND(ISNUMBER(EH190),OR(N(EH190)&lt;Config!$B$31,N(EH190)&gt;Config!$B$33)),1,0)</f>
        <v>0</v>
      </c>
      <c r="EJ190" s="23" t="n">
        <f aca="false">IF(AND(ISNUMBER(EH190),N(EH190)&gt;=Config!$B$31,N(EH190)&lt;Config!$B$32),1,0)</f>
        <v>0</v>
      </c>
      <c r="EK190" s="23" t="n">
        <f aca="false">IF(AND(BF190=1,INT(N(H190))&lt;=Config!$B$6,DH190=1,EI190=1),1,0)</f>
        <v>0</v>
      </c>
      <c r="EL190" s="23" t="n">
        <f aca="false">IF(AND(BF190=1,INT(N(H190))&lt;=Config!$B$7,DI190=1,EI190=1),1,0)</f>
        <v>0</v>
      </c>
      <c r="EM190" s="23" t="n">
        <f aca="false">IF(AND(BF190=1,INT(N(H190))&lt;=Config!$B$8,DJ190=1,EI190=1),1,0)</f>
        <v>0</v>
      </c>
      <c r="EN190" s="23" t="n">
        <f aca="false">IF(AND(BF190=1,INT(N(H190))&lt;=Config!$B$5,DK190=1,EI190=1),1,0)</f>
        <v>0</v>
      </c>
      <c r="EO190" s="23" t="n">
        <f aca="false">IF(AND(DL190=1,EJ190=1),1,0)</f>
        <v>0</v>
      </c>
      <c r="EP190" s="23" t="n">
        <f aca="false">IF(AND(DM190=1,EJ190=1),1,0)</f>
        <v>0</v>
      </c>
      <c r="EQ190" s="23" t="n">
        <f aca="false">IF(AND(DN190=1,EJ190=1),1,0)</f>
        <v>0</v>
      </c>
      <c r="ER190" s="23" t="n">
        <f aca="false">IF(AND(DO190=1,EJ190=1),1,0)</f>
        <v>0</v>
      </c>
    </row>
    <row r="191" customFormat="false" ht="15" hidden="false" customHeight="false" outlineLevel="0" collapsed="false">
      <c r="G191" s="32"/>
      <c r="H191" s="33"/>
      <c r="I191" s="32"/>
      <c r="L191" s="32"/>
      <c r="Q191" s="32"/>
      <c r="U191" s="32"/>
      <c r="W191" s="32"/>
      <c r="AC191" s="32"/>
      <c r="AF191" s="32"/>
      <c r="AI191" s="32"/>
      <c r="AJ191" s="32"/>
      <c r="AN191" s="32"/>
      <c r="AR191" s="32"/>
      <c r="AT191" s="32"/>
      <c r="AU191" s="32"/>
      <c r="AW191" s="32"/>
      <c r="AY191" s="34" t="str">
        <f aca="false">IF(TRIM($A191)="","",IF(AND(LEFT($A191,6)="SAMPLE",Config!$B$19&lt;&gt;"Y"),"",IF(NOT(ISNUMBER(H191)),"call_date is blank or not a date",IF(Sync!$C$5="","Clay paste is empty or has no row_id column: paste the Clay export on Clay_Offices",IF(CW191="","row_id not found in the Clay paste: add the Clay row or fix the row_id",IF(AND(ISNUMBER(CY191),CY191&gt;=1,CY191&lt;=5),"Clay status is "&amp;CX191&amp;": set call_done or later",IF(AND(BD191=1,CZ191&lt;&gt;BZ191),"Clay yes_in_principle should be "&amp;BZ191,IF(AND(BD191=1,DA191&lt;&gt;H191),"Clay call_date should be "&amp;TEXT(H191,"yyyy-mm-dd"),""))))))))</f>
        <v/>
      </c>
      <c r="AZ191" s="23" t="str">
        <f aca="false">IF(TRIM($A191)="","",IF(TRIM(C191)&lt;&gt;"",SUBSTITUTE(SUBSTITUTE(SUBSTITUTE(SUBSTITUTE(SUBSTITUTE(SUBSTITUTE(LOWER(TRIM(C191)),"~",""),"*",""),"?",""),"&lt;",""),"&gt;",""),"=",""),IF(EA191&lt;&gt;"",EA191,IFERROR(INDEX($EA$2:$EA$201,MATCH(DZ191,$EB$2:$EB$201,0)),DZ191))))</f>
        <v/>
      </c>
      <c r="BA191" s="23" t="n">
        <f aca="false">ROW()</f>
        <v>191</v>
      </c>
      <c r="BB191" s="23" t="n">
        <f aca="false">IF(AND(TRIM($A191)&lt;&gt;"",ISNUMBER(H191)),IF(AND(LEFT($A191,6)="SAMPLE",Config!$B$19&lt;&gt;"Y"),0,1),0)</f>
        <v>0</v>
      </c>
      <c r="BC191" s="23" t="n">
        <f aca="false">IF(BB191=1,IF(COUNTIFS($AZ$2:$AZ$201,AZ191,$BB$2:$BB$201,1,$H$2:$H$201,"&lt;"&amp;H191)+COUNTIFS($AZ$2:$AZ$201,AZ191,$BB$2:$BB$201,1,$H$2:$H$201,H191,$BA$2:$BA$201,"&lt;"&amp;BA191)=0,1,0),0)</f>
        <v>0</v>
      </c>
      <c r="BD191" s="23" t="n">
        <f aca="false">IF(BB191=1,IF(COUNTIFS($A$2:$A$201,$A191,$BB$2:$BB$201,1,$H$2:$H$201,"&gt;"&amp;H191)+COUNTIFS($A$2:$A$201,$A191,$BB$2:$BB$201,1,$H$2:$H$201,H191,$BA$2:$BA$201,"&gt;"&amp;BA191)=0,1,0),0)</f>
        <v>0</v>
      </c>
      <c r="BE191" s="23" t="n">
        <f aca="false">IF(AND(BB191=1,AR191="Y",AC191="Y",TRIM(AH191)&lt;&gt;""),1,0)</f>
        <v>0</v>
      </c>
      <c r="BF191" s="23" t="n">
        <f aca="false">IF(BE191=1,IF(COUNTIFS($AZ$2:$AZ$201,AZ191,$BE$2:$BE$201,1,$H$2:$H$201,"&lt;"&amp;H191)+COUNTIFS($AZ$2:$AZ$201,AZ191,$BE$2:$BE$201,1,$H$2:$H$201,H191,$BA$2:$BA$201,"&lt;"&amp;BA191)=0,1,0),0)</f>
        <v>0</v>
      </c>
      <c r="BG191" s="23" t="n">
        <f aca="false">IF(AND(BB191=1,AR191="Y",BE191=0),1,0)</f>
        <v>0</v>
      </c>
      <c r="BH191" s="23" t="n">
        <f aca="false">IF(AND(BB191=1,ISNUMBER(Y191)),1,0)</f>
        <v>0</v>
      </c>
      <c r="BI191" s="23" t="n">
        <f aca="false">IF(BH191=1,IF(COUNTIFS($AZ$2:$AZ$201,AZ191,$BH$2:$BH$201,1,$H$2:$H$201,"&lt;"&amp;H191)+COUNTIFS($AZ$2:$AZ$201,AZ191,$BH$2:$BH$201,1,$H$2:$H$201,H191,$BA$2:$BA$201,"&lt;"&amp;BA191)=0,1,0),0)</f>
        <v>0</v>
      </c>
      <c r="BJ191" s="23" t="str">
        <f aca="false">IF(AND(BI191=1,INT(N(H191))&lt;=Config!$B$6),Y191,"")</f>
        <v/>
      </c>
      <c r="BK191" s="23" t="str">
        <f aca="false">IF(AND(BI191=1,INT(N(H191))&lt;=Config!$B$7),Y191,"")</f>
        <v/>
      </c>
      <c r="BL191" s="23" t="str">
        <f aca="false">IF(AND(BI191=1,INT(N(H191))&lt;=Config!$B$8),Y191,"")</f>
        <v/>
      </c>
      <c r="BM191" s="23" t="str">
        <f aca="false">IF(AND(BI191=1,INT(N(H191))&lt;=Config!$B$5),Y191,"")</f>
        <v/>
      </c>
      <c r="BN191" s="23" t="n">
        <f aca="false">IF(CD191=1,IF(COUNTIFS($AZ$2:$AZ$201,AZ191,$CD$2:$CD$201,1,$H$2:$H$201,"&lt;"&amp;H191)+COUNTIFS($AZ$2:$AZ$201,AZ191,$CD$2:$CD$201,1,$H$2:$H$201,H191,$BA$2:$BA$201,"&lt;"&amp;BA191)=0,1,0),0)</f>
        <v>0</v>
      </c>
      <c r="BO191" s="23" t="n">
        <f aca="false">IF(AND(BB191=1,ISNUMBER(M191)),1,0)</f>
        <v>0</v>
      </c>
      <c r="BP191" s="23" t="n">
        <f aca="false">IF(BO191=1,IF(COUNTIFS($AZ$2:$AZ$201,AZ191,$BO$2:$BO$201,1,$H$2:$H$201,"&lt;"&amp;H191)+COUNTIFS($AZ$2:$AZ$201,AZ191,$BO$2:$BO$201,1,$H$2:$H$201,H191,$BA$2:$BA$201,"&lt;"&amp;BA191)=0,1,0),0)</f>
        <v>0</v>
      </c>
      <c r="BQ191" s="23" t="str">
        <f aca="false">IF(AND(BP191=1,INT(N(H191))&lt;=Config!$B$5),M191,"")</f>
        <v/>
      </c>
      <c r="BR191" s="23" t="n">
        <f aca="false">IF(AND(BB191=1,OR(TRIM(X191)&lt;&gt;"",ISNUMBER(Y191))),1,0)</f>
        <v>0</v>
      </c>
      <c r="BS191" s="23" t="n">
        <f aca="false">IF(BR191=1,IF(COUNTIFS($AZ$2:$AZ$201,AZ191,$BR$2:$BR$201,1,$H$2:$H$201,"&lt;"&amp;H191)+COUNTIFS($AZ$2:$AZ$201,AZ191,$BR$2:$BR$201,1,$H$2:$H$201,H191,$BA$2:$BA$201,"&lt;"&amp;BA191)=0,1,0),0)</f>
        <v>0</v>
      </c>
      <c r="BT191" s="23" t="str">
        <f aca="false">IF(BS191=1,AZ191,"")</f>
        <v/>
      </c>
      <c r="BU191" s="23" t="n">
        <f aca="false">IF(AND(BB191=1,W191="Y",TRIM(X191)=""),1,0)</f>
        <v>0</v>
      </c>
      <c r="BV191" s="23" t="str">
        <f aca="false">IF(BB191=1,AN191&amp;"","")</f>
        <v/>
      </c>
      <c r="BW191" s="23" t="str">
        <f aca="false">IF(BB191=1,AO191&amp;"","")</f>
        <v/>
      </c>
      <c r="BX191" s="23" t="str">
        <f aca="false">IF(BB191=1,AP191&amp;"","")</f>
        <v/>
      </c>
      <c r="BY191" s="23" t="str">
        <f aca="false">IF(AND(BB191=1,ISNUMBER(AV191),INT(N(H191))&lt;=Config!$B$5),AV191,"")</f>
        <v/>
      </c>
      <c r="BZ191" s="23" t="str">
        <f aca="false">IF(BB191=1,IF(COUNTIFS($A$2:$A$201,$A191,$DC$2:$DC$201,1,$AR$2:$AR$201,"Y")&gt;0,"Y","N"),"")</f>
        <v/>
      </c>
      <c r="CA191" s="23" t="n">
        <f aca="false">IF(AND(BB191=1,AR191="maybe"),1,0)</f>
        <v>0</v>
      </c>
      <c r="CB191" s="23" t="n">
        <f aca="false">IF(CA191=1,IF(COUNTIFS($AZ$2:$AZ$201,AZ191,$CA$2:$CA$201,1,$H$2:$H$201,"&lt;"&amp;H191)+COUNTIFS($AZ$2:$AZ$201,AZ191,$CA$2:$CA$201,1,$H$2:$H$201,H191,$BA$2:$BA$201,"&lt;"&amp;BA191)=0,1,0),0)</f>
        <v>0</v>
      </c>
      <c r="CC191" s="23" t="n">
        <f aca="false">IF(AND(BB191=1,AR191="Y"),IF(COUNTIFS($AZ$2:$AZ$201,AZ191,$AR$2:$AR$201,"Y",$BB$2:$BB$201,1,$H$2:$H$201,"&lt;"&amp;H191)+COUNTIFS($AZ$2:$AZ$201,AZ191,$AR$2:$AR$201,"Y",$BB$2:$BB$201,1,$H$2:$H$201,H191,$BA$2:$BA$201,"&lt;"&amp;BA191)=0,1,0),0)</f>
        <v>0</v>
      </c>
      <c r="CD191" s="23" t="n">
        <f aca="false">IF(AND(BH191=1,N(Y191)&gt;=Config!$B$15),1,0)</f>
        <v>0</v>
      </c>
      <c r="CE191" s="23" t="n">
        <f aca="false">IF(AND(BB191=1,AT191="Y"),1,0)</f>
        <v>0</v>
      </c>
      <c r="CF191" s="23" t="n">
        <f aca="false">IF(CE191=1,IF(COUNTIFS($AZ$2:$AZ$201,AZ191,$CE$2:$CE$201,1,$H$2:$H$201,"&lt;"&amp;H191)+COUNTIFS($AZ$2:$AZ$201,AZ191,$CE$2:$CE$201,1,$H$2:$H$201,H191,$BA$2:$BA$201,"&lt;"&amp;BA191)=0,1,0),0)</f>
        <v>0</v>
      </c>
      <c r="CG191" s="23" t="n">
        <f aca="false">IF(AND(BB191=1,G191="warm-intro"),1,0)</f>
        <v>0</v>
      </c>
      <c r="CH191" s="23" t="n">
        <f aca="false">IF(CG191=1,IF(COUNTIFS($AZ$2:$AZ$201,AZ191,$CG$2:$CG$201,1,$H$2:$H$201,"&lt;"&amp;H191)+COUNTIFS($AZ$2:$AZ$201,AZ191,$CG$2:$CG$201,1,$H$2:$H$201,H191,$BA$2:$BA$201,"&lt;"&amp;BA191)=0,1,0),0)</f>
        <v>0</v>
      </c>
      <c r="CI191" s="23" t="n">
        <f aca="false">IF(AND(BB191=1,Q191="Y"),1,0)</f>
        <v>0</v>
      </c>
      <c r="CJ191" s="23" t="n">
        <f aca="false">IF(CI191=1,IF(COUNTIFS($AZ$2:$AZ$201,AZ191,$CI$2:$CI$201,1,$H$2:$H$201,"&lt;"&amp;H191)+COUNTIFS($AZ$2:$AZ$201,AZ191,$CI$2:$CI$201,1,$H$2:$H$201,H191,$BA$2:$BA$201,"&lt;"&amp;BA191)=0,1,0),0)</f>
        <v>0</v>
      </c>
      <c r="CK191" s="23" t="n">
        <f aca="false">IF(AND(BB191=1,AF191="Y"),1,0)</f>
        <v>0</v>
      </c>
      <c r="CL191" s="23" t="n">
        <f aca="false">IF(CK191=1,IF(COUNTIFS($AZ$2:$AZ$201,AZ191,$CK$2:$CK$201,1,$H$2:$H$201,"&lt;"&amp;H191)+COUNTIFS($AZ$2:$AZ$201,AZ191,$CK$2:$CK$201,1,$H$2:$H$201,H191,$BA$2:$BA$201,"&lt;"&amp;BA191)=0,1,0),0)</f>
        <v>0</v>
      </c>
      <c r="CM191" s="23" t="n">
        <f aca="false">IF(AND(BB191=1,U191="Y"),1,0)</f>
        <v>0</v>
      </c>
      <c r="CN191" s="23" t="n">
        <f aca="false">IF(CM191=1,IF(COUNTIFS($AZ$2:$AZ$201,AZ191,$CM$2:$CM$201,1,$H$2:$H$201,"&lt;"&amp;H191)+COUNTIFS($AZ$2:$AZ$201,AZ191,$CM$2:$CM$201,1,$H$2:$H$201,H191,$BA$2:$BA$201,"&lt;"&amp;BA191)=0,1,0),0)</f>
        <v>0</v>
      </c>
      <c r="CO191" s="23" t="n">
        <f aca="false">IF(AND(BB191=1,L191="Y"),1,0)</f>
        <v>0</v>
      </c>
      <c r="CP191" s="23" t="n">
        <f aca="false">IF(CO191=1,IF(COUNTIFS($AZ$2:$AZ$201,AZ191,$CO$2:$CO$201,1,$H$2:$H$201,"&lt;"&amp;H191)+COUNTIFS($AZ$2:$AZ$201,AZ191,$CO$2:$CO$201,1,$H$2:$H$201,H191,$BA$2:$BA$201,"&lt;"&amp;BA191)=0,1,0),0)</f>
        <v>0</v>
      </c>
      <c r="CQ191" s="23" t="n">
        <f aca="false">IF(AND(BB191=1,ISNUMBER(O191)),1,0)</f>
        <v>0</v>
      </c>
      <c r="CR191" s="23" t="n">
        <f aca="false">IF(CQ191=1,IF(COUNTIFS($AZ$2:$AZ$201,AZ191,$CQ$2:$CQ$201,1,$H$2:$H$201,"&lt;"&amp;H191)+COUNTIFS($AZ$2:$AZ$201,AZ191,$CQ$2:$CQ$201,1,$H$2:$H$201,H191,$BA$2:$BA$201,"&lt;"&amp;BA191)=0,1,0),0)</f>
        <v>0</v>
      </c>
      <c r="CS191" s="23" t="str">
        <f aca="false">IF(AND(CR191=1,INT(N(H191))&lt;=Config!$B$5),O191,"")</f>
        <v/>
      </c>
      <c r="CT191" s="23" t="str">
        <f aca="false">IF(AND(BB191=1,INT(N(H191))&lt;=Config!$B$5),AG191&amp;"","")</f>
        <v/>
      </c>
      <c r="CU191" s="23" t="n">
        <f aca="false">IF(AND(BB191=1,AU191="Y"),1,0)</f>
        <v>0</v>
      </c>
      <c r="CV191" s="23" t="n">
        <f aca="false">IF(CU191=1,IF(COUNTIFS($AZ$2:$AZ$201,AZ191,$CU$2:$CU$201,1,$H$2:$H$201,"&lt;"&amp;H191)+COUNTIFS($AZ$2:$AZ$201,AZ191,$CU$2:$CU$201,1,$H$2:$H$201,H191,$BA$2:$BA$201,"&lt;"&amp;BA191)=0,1,0),0)</f>
        <v>0</v>
      </c>
      <c r="CW191" s="23" t="str">
        <f aca="false">IF(BB191=1,IFERROR(MATCH($A191,INDEX(Clay_Offices!$A$2:$FZ$601,0,Sync!$C$5),0),""),"")</f>
        <v/>
      </c>
      <c r="CX191" s="23" t="str">
        <f aca="false">IF(CW191="","",IFERROR(INDEX(Clay_Offices!$A$2:$FZ$601,CW191,Sync!$C$7)&amp;"",""))</f>
        <v/>
      </c>
      <c r="CY191" s="23" t="str">
        <f aca="false">IF(CX191="","",IFERROR(INDEX(Lists!$K$2:$K$15,MATCH(CX191,Lists!$J$2:$J$15,0)),""))</f>
        <v/>
      </c>
      <c r="CZ191" s="23" t="str">
        <f aca="false">IF(CW191="","",IFERROR(INDEX(Clay_Offices!$A$2:$FZ$601,CW191,Sync!$C$17)&amp;"",""))</f>
        <v/>
      </c>
      <c r="DA191" s="35" t="str">
        <f aca="false">IF(CW191="","",IFERROR(N(INDEX(Clay_Offices!$A$2:$FZ$601,CW191,Sync!$C$16)),0))</f>
        <v/>
      </c>
      <c r="DB191" s="23" t="n">
        <f aca="false">IF(AND(BB191=1,OR(AR191="Y",AR191="N",AR191="maybe")),1,0)</f>
        <v>0</v>
      </c>
      <c r="DC191" s="23" t="n">
        <f aca="false">IF(AND(DB191=1),IF(COUNTIFS($A$2:$A$201,$A191,$DB$2:$DB$201,1,$H$2:$H$201,"&gt;"&amp;H191)+COUNTIFS($A$2:$A$201,$A191,$DB$2:$DB$201,1,$H$2:$H$201,H191,$BA$2:$BA$201,"&gt;"&amp;BA191)=0,1,0),0)</f>
        <v>0</v>
      </c>
      <c r="DD191" s="23" t="n">
        <f aca="false">IF(AND(DB191=1,INT(N(H191))&lt;=Config!$B$6),IF(COUNTIFS($AZ$2:$AZ$201,AZ191,$DB$2:$DB$201,1,$H$2:$H$201,"&gt;"&amp;H191,$H$2:$H$201,"&lt;"&amp;(Config!$B$6+1))+COUNTIFS($AZ$2:$AZ$201,AZ191,$DB$2:$DB$201,1,$H$2:$H$201,H191,$BA$2:$BA$201,"&gt;"&amp;BA191)=0,1,0),0)</f>
        <v>0</v>
      </c>
      <c r="DE191" s="23" t="n">
        <f aca="false">IF(AND(DB191=1,INT(N(H191))&lt;=Config!$B$7),IF(COUNTIFS($AZ$2:$AZ$201,AZ191,$DB$2:$DB$201,1,$H$2:$H$201,"&gt;"&amp;H191,$H$2:$H$201,"&lt;"&amp;(Config!$B$7+1))+COUNTIFS($AZ$2:$AZ$201,AZ191,$DB$2:$DB$201,1,$H$2:$H$201,H191,$BA$2:$BA$201,"&gt;"&amp;BA191)=0,1,0),0)</f>
        <v>0</v>
      </c>
      <c r="DF191" s="23" t="n">
        <f aca="false">IF(AND(DB191=1,INT(N(H191))&lt;=Config!$B$8),IF(COUNTIFS($AZ$2:$AZ$201,AZ191,$DB$2:$DB$201,1,$H$2:$H$201,"&gt;"&amp;H191,$H$2:$H$201,"&lt;"&amp;(Config!$B$8+1))+COUNTIFS($AZ$2:$AZ$201,AZ191,$DB$2:$DB$201,1,$H$2:$H$201,H191,$BA$2:$BA$201,"&gt;"&amp;BA191)=0,1,0),0)</f>
        <v>0</v>
      </c>
      <c r="DG191" s="23" t="n">
        <f aca="false">IF(AND(DB191=1,INT(N(H191))&lt;=Config!$B$5),IF(COUNTIFS($AZ$2:$AZ$201,AZ191,$DB$2:$DB$201,1,$H$2:$H$201,"&gt;"&amp;H191,$H$2:$H$201,"&lt;"&amp;(Config!$B$5+1))+COUNTIFS($AZ$2:$AZ$201,AZ191,$DB$2:$DB$201,1,$H$2:$H$201,H191,$BA$2:$BA$201,"&gt;"&amp;BA191)=0,1,0),0)</f>
        <v>0</v>
      </c>
      <c r="DH191" s="23" t="n">
        <f aca="false">IF(BB191=1,IF(COUNTIFS($AZ$2:$AZ$201,AZ191,$DD$2:$DD$201,1,$AR$2:$AR$201,"Y")&gt;0,1,0),0)</f>
        <v>0</v>
      </c>
      <c r="DI191" s="23" t="n">
        <f aca="false">IF(BB191=1,IF(COUNTIFS($AZ$2:$AZ$201,AZ191,$DE$2:$DE$201,1,$AR$2:$AR$201,"Y")&gt;0,1,0),0)</f>
        <v>0</v>
      </c>
      <c r="DJ191" s="23" t="n">
        <f aca="false">IF(BB191=1,IF(COUNTIFS($AZ$2:$AZ$201,AZ191,$DF$2:$DF$201,1,$AR$2:$AR$201,"Y")&gt;0,1,0),0)</f>
        <v>0</v>
      </c>
      <c r="DK191" s="23" t="n">
        <f aca="false">IF(BB191=1,IF(COUNTIFS($AZ$2:$AZ$201,AZ191,$DG$2:$DG$201,1,$AR$2:$AR$201,"Y")&gt;0,1,0),0)</f>
        <v>0</v>
      </c>
      <c r="DL191" s="23" t="n">
        <f aca="false">IF(AND(BF191=1,INT(N(H191))&lt;=Config!$B$6,DH191=1,EI191=0),1,0)</f>
        <v>0</v>
      </c>
      <c r="DM191" s="23" t="n">
        <f aca="false">IF(AND(BF191=1,INT(N(H191))&lt;=Config!$B$7,DI191=1,EI191=0),1,0)</f>
        <v>0</v>
      </c>
      <c r="DN191" s="23" t="n">
        <f aca="false">IF(AND(BF191=1,INT(N(H191))&lt;=Config!$B$8,DJ191=1,EI191=0),1,0)</f>
        <v>0</v>
      </c>
      <c r="DO191" s="23" t="n">
        <f aca="false">IF(AND(BF191=1,INT(N(H191))&lt;=Config!$B$5,DK191=1,EI191=0),1,0)</f>
        <v>0</v>
      </c>
      <c r="DP191" s="23" t="n">
        <f aca="false">IF(AND(CC191=1,INT(N(H191))&lt;=Config!$B$6,DH191=1,EI191=0),1,0)</f>
        <v>0</v>
      </c>
      <c r="DQ191" s="23" t="n">
        <f aca="false">IF(AND(CC191=1,INT(N(H191))&lt;=Config!$B$7,DI191=1,EI191=0),1,0)</f>
        <v>0</v>
      </c>
      <c r="DR191" s="23" t="n">
        <f aca="false">IF(AND(CC191=1,INT(N(H191))&lt;=Config!$B$8,DJ191=1,EI191=0),1,0)</f>
        <v>0</v>
      </c>
      <c r="DS191" s="23" t="n">
        <f aca="false">IF(AND(CC191=1,INT(N(H191))&lt;=Config!$B$5,DK191=1,EI191=0),1,0)</f>
        <v>0</v>
      </c>
      <c r="DT191" s="23" t="n">
        <f aca="false">IF(AND(CC191=1,INT(N(H191))&lt;=Config!$B$6,DH191=0),1,0)</f>
        <v>0</v>
      </c>
      <c r="DU191" s="23" t="n">
        <f aca="false">IF(AND(CC191=1,INT(N(H191))&lt;=Config!$B$7,DI191=0),1,0)</f>
        <v>0</v>
      </c>
      <c r="DV191" s="23" t="n">
        <f aca="false">IF(AND(CC191=1,INT(N(H191))&lt;=Config!$B$8,DJ191=0),1,0)</f>
        <v>0</v>
      </c>
      <c r="DW191" s="23" t="n">
        <f aca="false">IF(AND(CC191=1,INT(N(H191))&lt;=Config!$B$5,DK191=0),1,0)</f>
        <v>0</v>
      </c>
      <c r="DX191" s="23" t="n">
        <f aca="false">IF(TRIM($A191)="",0,ISTEXT(M191)+ISTEXT(O191)+ISTEXT(Y191)+ISTEXT(Z191)+ISTEXT(AA191)+ISTEXT(AV191))</f>
        <v>0</v>
      </c>
      <c r="DY191" s="23" t="n">
        <f aca="false">IF(BB191=1,IF(H191&lt;&gt;INT(H191),1,0),0)</f>
        <v>0</v>
      </c>
      <c r="DZ191" s="23" t="str">
        <f aca="false">IF(TRIM($A191)="","",IF(TRIM(B191)="",SUBSTITUTE(SUBSTITUTE(SUBSTITUTE(SUBSTITUTE(SUBSTITUTE(SUBSTITUTE(LOWER(TRIM($A191)),"~",""),"*",""),"?",""),"&lt;",""),"&gt;",""),"=",""),SUBSTITUTE(SUBSTITUTE(SUBSTITUTE(SUBSTITUTE(SUBSTITUTE(SUBSTITUTE(LOWER(TRIM(B191)),"~",""),"*",""),"?",""),"&lt;",""),"&gt;",""),"=","")))</f>
        <v/>
      </c>
      <c r="EA191" s="23" t="str">
        <f aca="false">IF(CW191="","",IFERROR(IF(LEFT(LOWER(TRIM(INDEX(Clay_Offices!$A$2:$FZ$601,CW191,Sync!$C$19)&amp;"")),4)="grp-",SUBSTITUTE(SUBSTITUTE(SUBSTITUTE(SUBSTITUTE(SUBSTITUTE(SUBSTITUTE(LOWER(TRIM(INDEX(Clay_Offices!$A$2:$FZ$601,CW191,Sync!$C$19)&amp;"")),"~",""),"*",""),"?",""),"&lt;",""),"&gt;",""),"=",""),""),""))</f>
        <v/>
      </c>
      <c r="EB191" s="23" t="str">
        <f aca="false">IF(EA191&lt;&gt;"",DZ191,"")</f>
        <v/>
      </c>
      <c r="EC191" s="23" t="str">
        <f aca="false">IF(BC191=1,AZ191,"")</f>
        <v/>
      </c>
      <c r="ED191" s="23" t="str">
        <f aca="false">IF(TRIM($A191)="","",IFERROR(INDEX($A$2:$A$201,MATCH(AZ191,$EC$2:$EC$201,0))&amp;"",$A191&amp;""))</f>
        <v/>
      </c>
      <c r="EE191" s="23" t="n">
        <f aca="false">IF(BB191=1,IF(COUNTIFS($A$2:$A$201,$A191,$BB$2:$BB$201,1,$H$2:$H$201,"&lt;"&amp;H191)+COUNTIFS($A$2:$A$201,$A191,$BB$2:$BB$201,1,$H$2:$H$201,H191,$BA$2:$BA$201,"&lt;"&amp;BA191)=0,1,0),0)</f>
        <v>0</v>
      </c>
      <c r="EF191" s="23" t="n">
        <f aca="false">IF(BC191=1,IF(COUNTIFS($AZ$2:$AZ$201,AZ191,$EE$2:$EE$201,1)&gt;1,1,0),0)</f>
        <v>0</v>
      </c>
      <c r="EG191" s="23" t="n">
        <f aca="false">IF(AND(CQ191=1),IF(COUNTIFS($AZ$2:$AZ$201,AZ191,$CQ$2:$CQ$201,1,$H$2:$H$201,"&gt;"&amp;H191)+COUNTIFS($AZ$2:$AZ$201,AZ191,$CQ$2:$CQ$201,1,$H$2:$H$201,H191,$BA$2:$BA$201,"&gt;"&amp;BA191)=0,1,0),0)</f>
        <v>0</v>
      </c>
      <c r="EH191" s="23" t="str">
        <f aca="false">IF(BB191=1,IF(COUNTIFS($AZ$2:$AZ$201,AZ191,$EG$2:$EG$201,1)=0,"",SUMIFS($O$2:$O$201,$AZ$2:$AZ$201,AZ191,$EG$2:$EG$201,1)),"")</f>
        <v/>
      </c>
      <c r="EI191" s="23" t="n">
        <f aca="false">IF(AND(ISNUMBER(EH191),OR(N(EH191)&lt;Config!$B$31,N(EH191)&gt;Config!$B$33)),1,0)</f>
        <v>0</v>
      </c>
      <c r="EJ191" s="23" t="n">
        <f aca="false">IF(AND(ISNUMBER(EH191),N(EH191)&gt;=Config!$B$31,N(EH191)&lt;Config!$B$32),1,0)</f>
        <v>0</v>
      </c>
      <c r="EK191" s="23" t="n">
        <f aca="false">IF(AND(BF191=1,INT(N(H191))&lt;=Config!$B$6,DH191=1,EI191=1),1,0)</f>
        <v>0</v>
      </c>
      <c r="EL191" s="23" t="n">
        <f aca="false">IF(AND(BF191=1,INT(N(H191))&lt;=Config!$B$7,DI191=1,EI191=1),1,0)</f>
        <v>0</v>
      </c>
      <c r="EM191" s="23" t="n">
        <f aca="false">IF(AND(BF191=1,INT(N(H191))&lt;=Config!$B$8,DJ191=1,EI191=1),1,0)</f>
        <v>0</v>
      </c>
      <c r="EN191" s="23" t="n">
        <f aca="false">IF(AND(BF191=1,INT(N(H191))&lt;=Config!$B$5,DK191=1,EI191=1),1,0)</f>
        <v>0</v>
      </c>
      <c r="EO191" s="23" t="n">
        <f aca="false">IF(AND(DL191=1,EJ191=1),1,0)</f>
        <v>0</v>
      </c>
      <c r="EP191" s="23" t="n">
        <f aca="false">IF(AND(DM191=1,EJ191=1),1,0)</f>
        <v>0</v>
      </c>
      <c r="EQ191" s="23" t="n">
        <f aca="false">IF(AND(DN191=1,EJ191=1),1,0)</f>
        <v>0</v>
      </c>
      <c r="ER191" s="23" t="n">
        <f aca="false">IF(AND(DO191=1,EJ191=1),1,0)</f>
        <v>0</v>
      </c>
    </row>
    <row r="192" customFormat="false" ht="15" hidden="false" customHeight="false" outlineLevel="0" collapsed="false">
      <c r="G192" s="32"/>
      <c r="H192" s="33"/>
      <c r="I192" s="32"/>
      <c r="L192" s="32"/>
      <c r="Q192" s="32"/>
      <c r="U192" s="32"/>
      <c r="W192" s="32"/>
      <c r="AC192" s="32"/>
      <c r="AF192" s="32"/>
      <c r="AI192" s="32"/>
      <c r="AJ192" s="32"/>
      <c r="AN192" s="32"/>
      <c r="AR192" s="32"/>
      <c r="AT192" s="32"/>
      <c r="AU192" s="32"/>
      <c r="AW192" s="32"/>
      <c r="AY192" s="34" t="str">
        <f aca="false">IF(TRIM($A192)="","",IF(AND(LEFT($A192,6)="SAMPLE",Config!$B$19&lt;&gt;"Y"),"",IF(NOT(ISNUMBER(H192)),"call_date is blank or not a date",IF(Sync!$C$5="","Clay paste is empty or has no row_id column: paste the Clay export on Clay_Offices",IF(CW192="","row_id not found in the Clay paste: add the Clay row or fix the row_id",IF(AND(ISNUMBER(CY192),CY192&gt;=1,CY192&lt;=5),"Clay status is "&amp;CX192&amp;": set call_done or later",IF(AND(BD192=1,CZ192&lt;&gt;BZ192),"Clay yes_in_principle should be "&amp;BZ192,IF(AND(BD192=1,DA192&lt;&gt;H192),"Clay call_date should be "&amp;TEXT(H192,"yyyy-mm-dd"),""))))))))</f>
        <v/>
      </c>
      <c r="AZ192" s="23" t="str">
        <f aca="false">IF(TRIM($A192)="","",IF(TRIM(C192)&lt;&gt;"",SUBSTITUTE(SUBSTITUTE(SUBSTITUTE(SUBSTITUTE(SUBSTITUTE(SUBSTITUTE(LOWER(TRIM(C192)),"~",""),"*",""),"?",""),"&lt;",""),"&gt;",""),"=",""),IF(EA192&lt;&gt;"",EA192,IFERROR(INDEX($EA$2:$EA$201,MATCH(DZ192,$EB$2:$EB$201,0)),DZ192))))</f>
        <v/>
      </c>
      <c r="BA192" s="23" t="n">
        <f aca="false">ROW()</f>
        <v>192</v>
      </c>
      <c r="BB192" s="23" t="n">
        <f aca="false">IF(AND(TRIM($A192)&lt;&gt;"",ISNUMBER(H192)),IF(AND(LEFT($A192,6)="SAMPLE",Config!$B$19&lt;&gt;"Y"),0,1),0)</f>
        <v>0</v>
      </c>
      <c r="BC192" s="23" t="n">
        <f aca="false">IF(BB192=1,IF(COUNTIFS($AZ$2:$AZ$201,AZ192,$BB$2:$BB$201,1,$H$2:$H$201,"&lt;"&amp;H192)+COUNTIFS($AZ$2:$AZ$201,AZ192,$BB$2:$BB$201,1,$H$2:$H$201,H192,$BA$2:$BA$201,"&lt;"&amp;BA192)=0,1,0),0)</f>
        <v>0</v>
      </c>
      <c r="BD192" s="23" t="n">
        <f aca="false">IF(BB192=1,IF(COUNTIFS($A$2:$A$201,$A192,$BB$2:$BB$201,1,$H$2:$H$201,"&gt;"&amp;H192)+COUNTIFS($A$2:$A$201,$A192,$BB$2:$BB$201,1,$H$2:$H$201,H192,$BA$2:$BA$201,"&gt;"&amp;BA192)=0,1,0),0)</f>
        <v>0</v>
      </c>
      <c r="BE192" s="23" t="n">
        <f aca="false">IF(AND(BB192=1,AR192="Y",AC192="Y",TRIM(AH192)&lt;&gt;""),1,0)</f>
        <v>0</v>
      </c>
      <c r="BF192" s="23" t="n">
        <f aca="false">IF(BE192=1,IF(COUNTIFS($AZ$2:$AZ$201,AZ192,$BE$2:$BE$201,1,$H$2:$H$201,"&lt;"&amp;H192)+COUNTIFS($AZ$2:$AZ$201,AZ192,$BE$2:$BE$201,1,$H$2:$H$201,H192,$BA$2:$BA$201,"&lt;"&amp;BA192)=0,1,0),0)</f>
        <v>0</v>
      </c>
      <c r="BG192" s="23" t="n">
        <f aca="false">IF(AND(BB192=1,AR192="Y",BE192=0),1,0)</f>
        <v>0</v>
      </c>
      <c r="BH192" s="23" t="n">
        <f aca="false">IF(AND(BB192=1,ISNUMBER(Y192)),1,0)</f>
        <v>0</v>
      </c>
      <c r="BI192" s="23" t="n">
        <f aca="false">IF(BH192=1,IF(COUNTIFS($AZ$2:$AZ$201,AZ192,$BH$2:$BH$201,1,$H$2:$H$201,"&lt;"&amp;H192)+COUNTIFS($AZ$2:$AZ$201,AZ192,$BH$2:$BH$201,1,$H$2:$H$201,H192,$BA$2:$BA$201,"&lt;"&amp;BA192)=0,1,0),0)</f>
        <v>0</v>
      </c>
      <c r="BJ192" s="23" t="str">
        <f aca="false">IF(AND(BI192=1,INT(N(H192))&lt;=Config!$B$6),Y192,"")</f>
        <v/>
      </c>
      <c r="BK192" s="23" t="str">
        <f aca="false">IF(AND(BI192=1,INT(N(H192))&lt;=Config!$B$7),Y192,"")</f>
        <v/>
      </c>
      <c r="BL192" s="23" t="str">
        <f aca="false">IF(AND(BI192=1,INT(N(H192))&lt;=Config!$B$8),Y192,"")</f>
        <v/>
      </c>
      <c r="BM192" s="23" t="str">
        <f aca="false">IF(AND(BI192=1,INT(N(H192))&lt;=Config!$B$5),Y192,"")</f>
        <v/>
      </c>
      <c r="BN192" s="23" t="n">
        <f aca="false">IF(CD192=1,IF(COUNTIFS($AZ$2:$AZ$201,AZ192,$CD$2:$CD$201,1,$H$2:$H$201,"&lt;"&amp;H192)+COUNTIFS($AZ$2:$AZ$201,AZ192,$CD$2:$CD$201,1,$H$2:$H$201,H192,$BA$2:$BA$201,"&lt;"&amp;BA192)=0,1,0),0)</f>
        <v>0</v>
      </c>
      <c r="BO192" s="23" t="n">
        <f aca="false">IF(AND(BB192=1,ISNUMBER(M192)),1,0)</f>
        <v>0</v>
      </c>
      <c r="BP192" s="23" t="n">
        <f aca="false">IF(BO192=1,IF(COUNTIFS($AZ$2:$AZ$201,AZ192,$BO$2:$BO$201,1,$H$2:$H$201,"&lt;"&amp;H192)+COUNTIFS($AZ$2:$AZ$201,AZ192,$BO$2:$BO$201,1,$H$2:$H$201,H192,$BA$2:$BA$201,"&lt;"&amp;BA192)=0,1,0),0)</f>
        <v>0</v>
      </c>
      <c r="BQ192" s="23" t="str">
        <f aca="false">IF(AND(BP192=1,INT(N(H192))&lt;=Config!$B$5),M192,"")</f>
        <v/>
      </c>
      <c r="BR192" s="23" t="n">
        <f aca="false">IF(AND(BB192=1,OR(TRIM(X192)&lt;&gt;"",ISNUMBER(Y192))),1,0)</f>
        <v>0</v>
      </c>
      <c r="BS192" s="23" t="n">
        <f aca="false">IF(BR192=1,IF(COUNTIFS($AZ$2:$AZ$201,AZ192,$BR$2:$BR$201,1,$H$2:$H$201,"&lt;"&amp;H192)+COUNTIFS($AZ$2:$AZ$201,AZ192,$BR$2:$BR$201,1,$H$2:$H$201,H192,$BA$2:$BA$201,"&lt;"&amp;BA192)=0,1,0),0)</f>
        <v>0</v>
      </c>
      <c r="BT192" s="23" t="str">
        <f aca="false">IF(BS192=1,AZ192,"")</f>
        <v/>
      </c>
      <c r="BU192" s="23" t="n">
        <f aca="false">IF(AND(BB192=1,W192="Y",TRIM(X192)=""),1,0)</f>
        <v>0</v>
      </c>
      <c r="BV192" s="23" t="str">
        <f aca="false">IF(BB192=1,AN192&amp;"","")</f>
        <v/>
      </c>
      <c r="BW192" s="23" t="str">
        <f aca="false">IF(BB192=1,AO192&amp;"","")</f>
        <v/>
      </c>
      <c r="BX192" s="23" t="str">
        <f aca="false">IF(BB192=1,AP192&amp;"","")</f>
        <v/>
      </c>
      <c r="BY192" s="23" t="str">
        <f aca="false">IF(AND(BB192=1,ISNUMBER(AV192),INT(N(H192))&lt;=Config!$B$5),AV192,"")</f>
        <v/>
      </c>
      <c r="BZ192" s="23" t="str">
        <f aca="false">IF(BB192=1,IF(COUNTIFS($A$2:$A$201,$A192,$DC$2:$DC$201,1,$AR$2:$AR$201,"Y")&gt;0,"Y","N"),"")</f>
        <v/>
      </c>
      <c r="CA192" s="23" t="n">
        <f aca="false">IF(AND(BB192=1,AR192="maybe"),1,0)</f>
        <v>0</v>
      </c>
      <c r="CB192" s="23" t="n">
        <f aca="false">IF(CA192=1,IF(COUNTIFS($AZ$2:$AZ$201,AZ192,$CA$2:$CA$201,1,$H$2:$H$201,"&lt;"&amp;H192)+COUNTIFS($AZ$2:$AZ$201,AZ192,$CA$2:$CA$201,1,$H$2:$H$201,H192,$BA$2:$BA$201,"&lt;"&amp;BA192)=0,1,0),0)</f>
        <v>0</v>
      </c>
      <c r="CC192" s="23" t="n">
        <f aca="false">IF(AND(BB192=1,AR192="Y"),IF(COUNTIFS($AZ$2:$AZ$201,AZ192,$AR$2:$AR$201,"Y",$BB$2:$BB$201,1,$H$2:$H$201,"&lt;"&amp;H192)+COUNTIFS($AZ$2:$AZ$201,AZ192,$AR$2:$AR$201,"Y",$BB$2:$BB$201,1,$H$2:$H$201,H192,$BA$2:$BA$201,"&lt;"&amp;BA192)=0,1,0),0)</f>
        <v>0</v>
      </c>
      <c r="CD192" s="23" t="n">
        <f aca="false">IF(AND(BH192=1,N(Y192)&gt;=Config!$B$15),1,0)</f>
        <v>0</v>
      </c>
      <c r="CE192" s="23" t="n">
        <f aca="false">IF(AND(BB192=1,AT192="Y"),1,0)</f>
        <v>0</v>
      </c>
      <c r="CF192" s="23" t="n">
        <f aca="false">IF(CE192=1,IF(COUNTIFS($AZ$2:$AZ$201,AZ192,$CE$2:$CE$201,1,$H$2:$H$201,"&lt;"&amp;H192)+COUNTIFS($AZ$2:$AZ$201,AZ192,$CE$2:$CE$201,1,$H$2:$H$201,H192,$BA$2:$BA$201,"&lt;"&amp;BA192)=0,1,0),0)</f>
        <v>0</v>
      </c>
      <c r="CG192" s="23" t="n">
        <f aca="false">IF(AND(BB192=1,G192="warm-intro"),1,0)</f>
        <v>0</v>
      </c>
      <c r="CH192" s="23" t="n">
        <f aca="false">IF(CG192=1,IF(COUNTIFS($AZ$2:$AZ$201,AZ192,$CG$2:$CG$201,1,$H$2:$H$201,"&lt;"&amp;H192)+COUNTIFS($AZ$2:$AZ$201,AZ192,$CG$2:$CG$201,1,$H$2:$H$201,H192,$BA$2:$BA$201,"&lt;"&amp;BA192)=0,1,0),0)</f>
        <v>0</v>
      </c>
      <c r="CI192" s="23" t="n">
        <f aca="false">IF(AND(BB192=1,Q192="Y"),1,0)</f>
        <v>0</v>
      </c>
      <c r="CJ192" s="23" t="n">
        <f aca="false">IF(CI192=1,IF(COUNTIFS($AZ$2:$AZ$201,AZ192,$CI$2:$CI$201,1,$H$2:$H$201,"&lt;"&amp;H192)+COUNTIFS($AZ$2:$AZ$201,AZ192,$CI$2:$CI$201,1,$H$2:$H$201,H192,$BA$2:$BA$201,"&lt;"&amp;BA192)=0,1,0),0)</f>
        <v>0</v>
      </c>
      <c r="CK192" s="23" t="n">
        <f aca="false">IF(AND(BB192=1,AF192="Y"),1,0)</f>
        <v>0</v>
      </c>
      <c r="CL192" s="23" t="n">
        <f aca="false">IF(CK192=1,IF(COUNTIFS($AZ$2:$AZ$201,AZ192,$CK$2:$CK$201,1,$H$2:$H$201,"&lt;"&amp;H192)+COUNTIFS($AZ$2:$AZ$201,AZ192,$CK$2:$CK$201,1,$H$2:$H$201,H192,$BA$2:$BA$201,"&lt;"&amp;BA192)=0,1,0),0)</f>
        <v>0</v>
      </c>
      <c r="CM192" s="23" t="n">
        <f aca="false">IF(AND(BB192=1,U192="Y"),1,0)</f>
        <v>0</v>
      </c>
      <c r="CN192" s="23" t="n">
        <f aca="false">IF(CM192=1,IF(COUNTIFS($AZ$2:$AZ$201,AZ192,$CM$2:$CM$201,1,$H$2:$H$201,"&lt;"&amp;H192)+COUNTIFS($AZ$2:$AZ$201,AZ192,$CM$2:$CM$201,1,$H$2:$H$201,H192,$BA$2:$BA$201,"&lt;"&amp;BA192)=0,1,0),0)</f>
        <v>0</v>
      </c>
      <c r="CO192" s="23" t="n">
        <f aca="false">IF(AND(BB192=1,L192="Y"),1,0)</f>
        <v>0</v>
      </c>
      <c r="CP192" s="23" t="n">
        <f aca="false">IF(CO192=1,IF(COUNTIFS($AZ$2:$AZ$201,AZ192,$CO$2:$CO$201,1,$H$2:$H$201,"&lt;"&amp;H192)+COUNTIFS($AZ$2:$AZ$201,AZ192,$CO$2:$CO$201,1,$H$2:$H$201,H192,$BA$2:$BA$201,"&lt;"&amp;BA192)=0,1,0),0)</f>
        <v>0</v>
      </c>
      <c r="CQ192" s="23" t="n">
        <f aca="false">IF(AND(BB192=1,ISNUMBER(O192)),1,0)</f>
        <v>0</v>
      </c>
      <c r="CR192" s="23" t="n">
        <f aca="false">IF(CQ192=1,IF(COUNTIFS($AZ$2:$AZ$201,AZ192,$CQ$2:$CQ$201,1,$H$2:$H$201,"&lt;"&amp;H192)+COUNTIFS($AZ$2:$AZ$201,AZ192,$CQ$2:$CQ$201,1,$H$2:$H$201,H192,$BA$2:$BA$201,"&lt;"&amp;BA192)=0,1,0),0)</f>
        <v>0</v>
      </c>
      <c r="CS192" s="23" t="str">
        <f aca="false">IF(AND(CR192=1,INT(N(H192))&lt;=Config!$B$5),O192,"")</f>
        <v/>
      </c>
      <c r="CT192" s="23" t="str">
        <f aca="false">IF(AND(BB192=1,INT(N(H192))&lt;=Config!$B$5),AG192&amp;"","")</f>
        <v/>
      </c>
      <c r="CU192" s="23" t="n">
        <f aca="false">IF(AND(BB192=1,AU192="Y"),1,0)</f>
        <v>0</v>
      </c>
      <c r="CV192" s="23" t="n">
        <f aca="false">IF(CU192=1,IF(COUNTIFS($AZ$2:$AZ$201,AZ192,$CU$2:$CU$201,1,$H$2:$H$201,"&lt;"&amp;H192)+COUNTIFS($AZ$2:$AZ$201,AZ192,$CU$2:$CU$201,1,$H$2:$H$201,H192,$BA$2:$BA$201,"&lt;"&amp;BA192)=0,1,0),0)</f>
        <v>0</v>
      </c>
      <c r="CW192" s="23" t="str">
        <f aca="false">IF(BB192=1,IFERROR(MATCH($A192,INDEX(Clay_Offices!$A$2:$FZ$601,0,Sync!$C$5),0),""),"")</f>
        <v/>
      </c>
      <c r="CX192" s="23" t="str">
        <f aca="false">IF(CW192="","",IFERROR(INDEX(Clay_Offices!$A$2:$FZ$601,CW192,Sync!$C$7)&amp;"",""))</f>
        <v/>
      </c>
      <c r="CY192" s="23" t="str">
        <f aca="false">IF(CX192="","",IFERROR(INDEX(Lists!$K$2:$K$15,MATCH(CX192,Lists!$J$2:$J$15,0)),""))</f>
        <v/>
      </c>
      <c r="CZ192" s="23" t="str">
        <f aca="false">IF(CW192="","",IFERROR(INDEX(Clay_Offices!$A$2:$FZ$601,CW192,Sync!$C$17)&amp;"",""))</f>
        <v/>
      </c>
      <c r="DA192" s="35" t="str">
        <f aca="false">IF(CW192="","",IFERROR(N(INDEX(Clay_Offices!$A$2:$FZ$601,CW192,Sync!$C$16)),0))</f>
        <v/>
      </c>
      <c r="DB192" s="23" t="n">
        <f aca="false">IF(AND(BB192=1,OR(AR192="Y",AR192="N",AR192="maybe")),1,0)</f>
        <v>0</v>
      </c>
      <c r="DC192" s="23" t="n">
        <f aca="false">IF(AND(DB192=1),IF(COUNTIFS($A$2:$A$201,$A192,$DB$2:$DB$201,1,$H$2:$H$201,"&gt;"&amp;H192)+COUNTIFS($A$2:$A$201,$A192,$DB$2:$DB$201,1,$H$2:$H$201,H192,$BA$2:$BA$201,"&gt;"&amp;BA192)=0,1,0),0)</f>
        <v>0</v>
      </c>
      <c r="DD192" s="23" t="n">
        <f aca="false">IF(AND(DB192=1,INT(N(H192))&lt;=Config!$B$6),IF(COUNTIFS($AZ$2:$AZ$201,AZ192,$DB$2:$DB$201,1,$H$2:$H$201,"&gt;"&amp;H192,$H$2:$H$201,"&lt;"&amp;(Config!$B$6+1))+COUNTIFS($AZ$2:$AZ$201,AZ192,$DB$2:$DB$201,1,$H$2:$H$201,H192,$BA$2:$BA$201,"&gt;"&amp;BA192)=0,1,0),0)</f>
        <v>0</v>
      </c>
      <c r="DE192" s="23" t="n">
        <f aca="false">IF(AND(DB192=1,INT(N(H192))&lt;=Config!$B$7),IF(COUNTIFS($AZ$2:$AZ$201,AZ192,$DB$2:$DB$201,1,$H$2:$H$201,"&gt;"&amp;H192,$H$2:$H$201,"&lt;"&amp;(Config!$B$7+1))+COUNTIFS($AZ$2:$AZ$201,AZ192,$DB$2:$DB$201,1,$H$2:$H$201,H192,$BA$2:$BA$201,"&gt;"&amp;BA192)=0,1,0),0)</f>
        <v>0</v>
      </c>
      <c r="DF192" s="23" t="n">
        <f aca="false">IF(AND(DB192=1,INT(N(H192))&lt;=Config!$B$8),IF(COUNTIFS($AZ$2:$AZ$201,AZ192,$DB$2:$DB$201,1,$H$2:$H$201,"&gt;"&amp;H192,$H$2:$H$201,"&lt;"&amp;(Config!$B$8+1))+COUNTIFS($AZ$2:$AZ$201,AZ192,$DB$2:$DB$201,1,$H$2:$H$201,H192,$BA$2:$BA$201,"&gt;"&amp;BA192)=0,1,0),0)</f>
        <v>0</v>
      </c>
      <c r="DG192" s="23" t="n">
        <f aca="false">IF(AND(DB192=1,INT(N(H192))&lt;=Config!$B$5),IF(COUNTIFS($AZ$2:$AZ$201,AZ192,$DB$2:$DB$201,1,$H$2:$H$201,"&gt;"&amp;H192,$H$2:$H$201,"&lt;"&amp;(Config!$B$5+1))+COUNTIFS($AZ$2:$AZ$201,AZ192,$DB$2:$DB$201,1,$H$2:$H$201,H192,$BA$2:$BA$201,"&gt;"&amp;BA192)=0,1,0),0)</f>
        <v>0</v>
      </c>
      <c r="DH192" s="23" t="n">
        <f aca="false">IF(BB192=1,IF(COUNTIFS($AZ$2:$AZ$201,AZ192,$DD$2:$DD$201,1,$AR$2:$AR$201,"Y")&gt;0,1,0),0)</f>
        <v>0</v>
      </c>
      <c r="DI192" s="23" t="n">
        <f aca="false">IF(BB192=1,IF(COUNTIFS($AZ$2:$AZ$201,AZ192,$DE$2:$DE$201,1,$AR$2:$AR$201,"Y")&gt;0,1,0),0)</f>
        <v>0</v>
      </c>
      <c r="DJ192" s="23" t="n">
        <f aca="false">IF(BB192=1,IF(COUNTIFS($AZ$2:$AZ$201,AZ192,$DF$2:$DF$201,1,$AR$2:$AR$201,"Y")&gt;0,1,0),0)</f>
        <v>0</v>
      </c>
      <c r="DK192" s="23" t="n">
        <f aca="false">IF(BB192=1,IF(COUNTIFS($AZ$2:$AZ$201,AZ192,$DG$2:$DG$201,1,$AR$2:$AR$201,"Y")&gt;0,1,0),0)</f>
        <v>0</v>
      </c>
      <c r="DL192" s="23" t="n">
        <f aca="false">IF(AND(BF192=1,INT(N(H192))&lt;=Config!$B$6,DH192=1,EI192=0),1,0)</f>
        <v>0</v>
      </c>
      <c r="DM192" s="23" t="n">
        <f aca="false">IF(AND(BF192=1,INT(N(H192))&lt;=Config!$B$7,DI192=1,EI192=0),1,0)</f>
        <v>0</v>
      </c>
      <c r="DN192" s="23" t="n">
        <f aca="false">IF(AND(BF192=1,INT(N(H192))&lt;=Config!$B$8,DJ192=1,EI192=0),1,0)</f>
        <v>0</v>
      </c>
      <c r="DO192" s="23" t="n">
        <f aca="false">IF(AND(BF192=1,INT(N(H192))&lt;=Config!$B$5,DK192=1,EI192=0),1,0)</f>
        <v>0</v>
      </c>
      <c r="DP192" s="23" t="n">
        <f aca="false">IF(AND(CC192=1,INT(N(H192))&lt;=Config!$B$6,DH192=1,EI192=0),1,0)</f>
        <v>0</v>
      </c>
      <c r="DQ192" s="23" t="n">
        <f aca="false">IF(AND(CC192=1,INT(N(H192))&lt;=Config!$B$7,DI192=1,EI192=0),1,0)</f>
        <v>0</v>
      </c>
      <c r="DR192" s="23" t="n">
        <f aca="false">IF(AND(CC192=1,INT(N(H192))&lt;=Config!$B$8,DJ192=1,EI192=0),1,0)</f>
        <v>0</v>
      </c>
      <c r="DS192" s="23" t="n">
        <f aca="false">IF(AND(CC192=1,INT(N(H192))&lt;=Config!$B$5,DK192=1,EI192=0),1,0)</f>
        <v>0</v>
      </c>
      <c r="DT192" s="23" t="n">
        <f aca="false">IF(AND(CC192=1,INT(N(H192))&lt;=Config!$B$6,DH192=0),1,0)</f>
        <v>0</v>
      </c>
      <c r="DU192" s="23" t="n">
        <f aca="false">IF(AND(CC192=1,INT(N(H192))&lt;=Config!$B$7,DI192=0),1,0)</f>
        <v>0</v>
      </c>
      <c r="DV192" s="23" t="n">
        <f aca="false">IF(AND(CC192=1,INT(N(H192))&lt;=Config!$B$8,DJ192=0),1,0)</f>
        <v>0</v>
      </c>
      <c r="DW192" s="23" t="n">
        <f aca="false">IF(AND(CC192=1,INT(N(H192))&lt;=Config!$B$5,DK192=0),1,0)</f>
        <v>0</v>
      </c>
      <c r="DX192" s="23" t="n">
        <f aca="false">IF(TRIM($A192)="",0,ISTEXT(M192)+ISTEXT(O192)+ISTEXT(Y192)+ISTEXT(Z192)+ISTEXT(AA192)+ISTEXT(AV192))</f>
        <v>0</v>
      </c>
      <c r="DY192" s="23" t="n">
        <f aca="false">IF(BB192=1,IF(H192&lt;&gt;INT(H192),1,0),0)</f>
        <v>0</v>
      </c>
      <c r="DZ192" s="23" t="str">
        <f aca="false">IF(TRIM($A192)="","",IF(TRIM(B192)="",SUBSTITUTE(SUBSTITUTE(SUBSTITUTE(SUBSTITUTE(SUBSTITUTE(SUBSTITUTE(LOWER(TRIM($A192)),"~",""),"*",""),"?",""),"&lt;",""),"&gt;",""),"=",""),SUBSTITUTE(SUBSTITUTE(SUBSTITUTE(SUBSTITUTE(SUBSTITUTE(SUBSTITUTE(LOWER(TRIM(B192)),"~",""),"*",""),"?",""),"&lt;",""),"&gt;",""),"=","")))</f>
        <v/>
      </c>
      <c r="EA192" s="23" t="str">
        <f aca="false">IF(CW192="","",IFERROR(IF(LEFT(LOWER(TRIM(INDEX(Clay_Offices!$A$2:$FZ$601,CW192,Sync!$C$19)&amp;"")),4)="grp-",SUBSTITUTE(SUBSTITUTE(SUBSTITUTE(SUBSTITUTE(SUBSTITUTE(SUBSTITUTE(LOWER(TRIM(INDEX(Clay_Offices!$A$2:$FZ$601,CW192,Sync!$C$19)&amp;"")),"~",""),"*",""),"?",""),"&lt;",""),"&gt;",""),"=",""),""),""))</f>
        <v/>
      </c>
      <c r="EB192" s="23" t="str">
        <f aca="false">IF(EA192&lt;&gt;"",DZ192,"")</f>
        <v/>
      </c>
      <c r="EC192" s="23" t="str">
        <f aca="false">IF(BC192=1,AZ192,"")</f>
        <v/>
      </c>
      <c r="ED192" s="23" t="str">
        <f aca="false">IF(TRIM($A192)="","",IFERROR(INDEX($A$2:$A$201,MATCH(AZ192,$EC$2:$EC$201,0))&amp;"",$A192&amp;""))</f>
        <v/>
      </c>
      <c r="EE192" s="23" t="n">
        <f aca="false">IF(BB192=1,IF(COUNTIFS($A$2:$A$201,$A192,$BB$2:$BB$201,1,$H$2:$H$201,"&lt;"&amp;H192)+COUNTIFS($A$2:$A$201,$A192,$BB$2:$BB$201,1,$H$2:$H$201,H192,$BA$2:$BA$201,"&lt;"&amp;BA192)=0,1,0),0)</f>
        <v>0</v>
      </c>
      <c r="EF192" s="23" t="n">
        <f aca="false">IF(BC192=1,IF(COUNTIFS($AZ$2:$AZ$201,AZ192,$EE$2:$EE$201,1)&gt;1,1,0),0)</f>
        <v>0</v>
      </c>
      <c r="EG192" s="23" t="n">
        <f aca="false">IF(AND(CQ192=1),IF(COUNTIFS($AZ$2:$AZ$201,AZ192,$CQ$2:$CQ$201,1,$H$2:$H$201,"&gt;"&amp;H192)+COUNTIFS($AZ$2:$AZ$201,AZ192,$CQ$2:$CQ$201,1,$H$2:$H$201,H192,$BA$2:$BA$201,"&gt;"&amp;BA192)=0,1,0),0)</f>
        <v>0</v>
      </c>
      <c r="EH192" s="23" t="str">
        <f aca="false">IF(BB192=1,IF(COUNTIFS($AZ$2:$AZ$201,AZ192,$EG$2:$EG$201,1)=0,"",SUMIFS($O$2:$O$201,$AZ$2:$AZ$201,AZ192,$EG$2:$EG$201,1)),"")</f>
        <v/>
      </c>
      <c r="EI192" s="23" t="n">
        <f aca="false">IF(AND(ISNUMBER(EH192),OR(N(EH192)&lt;Config!$B$31,N(EH192)&gt;Config!$B$33)),1,0)</f>
        <v>0</v>
      </c>
      <c r="EJ192" s="23" t="n">
        <f aca="false">IF(AND(ISNUMBER(EH192),N(EH192)&gt;=Config!$B$31,N(EH192)&lt;Config!$B$32),1,0)</f>
        <v>0</v>
      </c>
      <c r="EK192" s="23" t="n">
        <f aca="false">IF(AND(BF192=1,INT(N(H192))&lt;=Config!$B$6,DH192=1,EI192=1),1,0)</f>
        <v>0</v>
      </c>
      <c r="EL192" s="23" t="n">
        <f aca="false">IF(AND(BF192=1,INT(N(H192))&lt;=Config!$B$7,DI192=1,EI192=1),1,0)</f>
        <v>0</v>
      </c>
      <c r="EM192" s="23" t="n">
        <f aca="false">IF(AND(BF192=1,INT(N(H192))&lt;=Config!$B$8,DJ192=1,EI192=1),1,0)</f>
        <v>0</v>
      </c>
      <c r="EN192" s="23" t="n">
        <f aca="false">IF(AND(BF192=1,INT(N(H192))&lt;=Config!$B$5,DK192=1,EI192=1),1,0)</f>
        <v>0</v>
      </c>
      <c r="EO192" s="23" t="n">
        <f aca="false">IF(AND(DL192=1,EJ192=1),1,0)</f>
        <v>0</v>
      </c>
      <c r="EP192" s="23" t="n">
        <f aca="false">IF(AND(DM192=1,EJ192=1),1,0)</f>
        <v>0</v>
      </c>
      <c r="EQ192" s="23" t="n">
        <f aca="false">IF(AND(DN192=1,EJ192=1),1,0)</f>
        <v>0</v>
      </c>
      <c r="ER192" s="23" t="n">
        <f aca="false">IF(AND(DO192=1,EJ192=1),1,0)</f>
        <v>0</v>
      </c>
    </row>
    <row r="193" customFormat="false" ht="15" hidden="false" customHeight="false" outlineLevel="0" collapsed="false">
      <c r="G193" s="32"/>
      <c r="H193" s="33"/>
      <c r="I193" s="32"/>
      <c r="L193" s="32"/>
      <c r="Q193" s="32"/>
      <c r="U193" s="32"/>
      <c r="W193" s="32"/>
      <c r="AC193" s="32"/>
      <c r="AF193" s="32"/>
      <c r="AI193" s="32"/>
      <c r="AJ193" s="32"/>
      <c r="AN193" s="32"/>
      <c r="AR193" s="32"/>
      <c r="AT193" s="32"/>
      <c r="AU193" s="32"/>
      <c r="AW193" s="32"/>
      <c r="AY193" s="34" t="str">
        <f aca="false">IF(TRIM($A193)="","",IF(AND(LEFT($A193,6)="SAMPLE",Config!$B$19&lt;&gt;"Y"),"",IF(NOT(ISNUMBER(H193)),"call_date is blank or not a date",IF(Sync!$C$5="","Clay paste is empty or has no row_id column: paste the Clay export on Clay_Offices",IF(CW193="","row_id not found in the Clay paste: add the Clay row or fix the row_id",IF(AND(ISNUMBER(CY193),CY193&gt;=1,CY193&lt;=5),"Clay status is "&amp;CX193&amp;": set call_done or later",IF(AND(BD193=1,CZ193&lt;&gt;BZ193),"Clay yes_in_principle should be "&amp;BZ193,IF(AND(BD193=1,DA193&lt;&gt;H193),"Clay call_date should be "&amp;TEXT(H193,"yyyy-mm-dd"),""))))))))</f>
        <v/>
      </c>
      <c r="AZ193" s="23" t="str">
        <f aca="false">IF(TRIM($A193)="","",IF(TRIM(C193)&lt;&gt;"",SUBSTITUTE(SUBSTITUTE(SUBSTITUTE(SUBSTITUTE(SUBSTITUTE(SUBSTITUTE(LOWER(TRIM(C193)),"~",""),"*",""),"?",""),"&lt;",""),"&gt;",""),"=",""),IF(EA193&lt;&gt;"",EA193,IFERROR(INDEX($EA$2:$EA$201,MATCH(DZ193,$EB$2:$EB$201,0)),DZ193))))</f>
        <v/>
      </c>
      <c r="BA193" s="23" t="n">
        <f aca="false">ROW()</f>
        <v>193</v>
      </c>
      <c r="BB193" s="23" t="n">
        <f aca="false">IF(AND(TRIM($A193)&lt;&gt;"",ISNUMBER(H193)),IF(AND(LEFT($A193,6)="SAMPLE",Config!$B$19&lt;&gt;"Y"),0,1),0)</f>
        <v>0</v>
      </c>
      <c r="BC193" s="23" t="n">
        <f aca="false">IF(BB193=1,IF(COUNTIFS($AZ$2:$AZ$201,AZ193,$BB$2:$BB$201,1,$H$2:$H$201,"&lt;"&amp;H193)+COUNTIFS($AZ$2:$AZ$201,AZ193,$BB$2:$BB$201,1,$H$2:$H$201,H193,$BA$2:$BA$201,"&lt;"&amp;BA193)=0,1,0),0)</f>
        <v>0</v>
      </c>
      <c r="BD193" s="23" t="n">
        <f aca="false">IF(BB193=1,IF(COUNTIFS($A$2:$A$201,$A193,$BB$2:$BB$201,1,$H$2:$H$201,"&gt;"&amp;H193)+COUNTIFS($A$2:$A$201,$A193,$BB$2:$BB$201,1,$H$2:$H$201,H193,$BA$2:$BA$201,"&gt;"&amp;BA193)=0,1,0),0)</f>
        <v>0</v>
      </c>
      <c r="BE193" s="23" t="n">
        <f aca="false">IF(AND(BB193=1,AR193="Y",AC193="Y",TRIM(AH193)&lt;&gt;""),1,0)</f>
        <v>0</v>
      </c>
      <c r="BF193" s="23" t="n">
        <f aca="false">IF(BE193=1,IF(COUNTIFS($AZ$2:$AZ$201,AZ193,$BE$2:$BE$201,1,$H$2:$H$201,"&lt;"&amp;H193)+COUNTIFS($AZ$2:$AZ$201,AZ193,$BE$2:$BE$201,1,$H$2:$H$201,H193,$BA$2:$BA$201,"&lt;"&amp;BA193)=0,1,0),0)</f>
        <v>0</v>
      </c>
      <c r="BG193" s="23" t="n">
        <f aca="false">IF(AND(BB193=1,AR193="Y",BE193=0),1,0)</f>
        <v>0</v>
      </c>
      <c r="BH193" s="23" t="n">
        <f aca="false">IF(AND(BB193=1,ISNUMBER(Y193)),1,0)</f>
        <v>0</v>
      </c>
      <c r="BI193" s="23" t="n">
        <f aca="false">IF(BH193=1,IF(COUNTIFS($AZ$2:$AZ$201,AZ193,$BH$2:$BH$201,1,$H$2:$H$201,"&lt;"&amp;H193)+COUNTIFS($AZ$2:$AZ$201,AZ193,$BH$2:$BH$201,1,$H$2:$H$201,H193,$BA$2:$BA$201,"&lt;"&amp;BA193)=0,1,0),0)</f>
        <v>0</v>
      </c>
      <c r="BJ193" s="23" t="str">
        <f aca="false">IF(AND(BI193=1,INT(N(H193))&lt;=Config!$B$6),Y193,"")</f>
        <v/>
      </c>
      <c r="BK193" s="23" t="str">
        <f aca="false">IF(AND(BI193=1,INT(N(H193))&lt;=Config!$B$7),Y193,"")</f>
        <v/>
      </c>
      <c r="BL193" s="23" t="str">
        <f aca="false">IF(AND(BI193=1,INT(N(H193))&lt;=Config!$B$8),Y193,"")</f>
        <v/>
      </c>
      <c r="BM193" s="23" t="str">
        <f aca="false">IF(AND(BI193=1,INT(N(H193))&lt;=Config!$B$5),Y193,"")</f>
        <v/>
      </c>
      <c r="BN193" s="23" t="n">
        <f aca="false">IF(CD193=1,IF(COUNTIFS($AZ$2:$AZ$201,AZ193,$CD$2:$CD$201,1,$H$2:$H$201,"&lt;"&amp;H193)+COUNTIFS($AZ$2:$AZ$201,AZ193,$CD$2:$CD$201,1,$H$2:$H$201,H193,$BA$2:$BA$201,"&lt;"&amp;BA193)=0,1,0),0)</f>
        <v>0</v>
      </c>
      <c r="BO193" s="23" t="n">
        <f aca="false">IF(AND(BB193=1,ISNUMBER(M193)),1,0)</f>
        <v>0</v>
      </c>
      <c r="BP193" s="23" t="n">
        <f aca="false">IF(BO193=1,IF(COUNTIFS($AZ$2:$AZ$201,AZ193,$BO$2:$BO$201,1,$H$2:$H$201,"&lt;"&amp;H193)+COUNTIFS($AZ$2:$AZ$201,AZ193,$BO$2:$BO$201,1,$H$2:$H$201,H193,$BA$2:$BA$201,"&lt;"&amp;BA193)=0,1,0),0)</f>
        <v>0</v>
      </c>
      <c r="BQ193" s="23" t="str">
        <f aca="false">IF(AND(BP193=1,INT(N(H193))&lt;=Config!$B$5),M193,"")</f>
        <v/>
      </c>
      <c r="BR193" s="23" t="n">
        <f aca="false">IF(AND(BB193=1,OR(TRIM(X193)&lt;&gt;"",ISNUMBER(Y193))),1,0)</f>
        <v>0</v>
      </c>
      <c r="BS193" s="23" t="n">
        <f aca="false">IF(BR193=1,IF(COUNTIFS($AZ$2:$AZ$201,AZ193,$BR$2:$BR$201,1,$H$2:$H$201,"&lt;"&amp;H193)+COUNTIFS($AZ$2:$AZ$201,AZ193,$BR$2:$BR$201,1,$H$2:$H$201,H193,$BA$2:$BA$201,"&lt;"&amp;BA193)=0,1,0),0)</f>
        <v>0</v>
      </c>
      <c r="BT193" s="23" t="str">
        <f aca="false">IF(BS193=1,AZ193,"")</f>
        <v/>
      </c>
      <c r="BU193" s="23" t="n">
        <f aca="false">IF(AND(BB193=1,W193="Y",TRIM(X193)=""),1,0)</f>
        <v>0</v>
      </c>
      <c r="BV193" s="23" t="str">
        <f aca="false">IF(BB193=1,AN193&amp;"","")</f>
        <v/>
      </c>
      <c r="BW193" s="23" t="str">
        <f aca="false">IF(BB193=1,AO193&amp;"","")</f>
        <v/>
      </c>
      <c r="BX193" s="23" t="str">
        <f aca="false">IF(BB193=1,AP193&amp;"","")</f>
        <v/>
      </c>
      <c r="BY193" s="23" t="str">
        <f aca="false">IF(AND(BB193=1,ISNUMBER(AV193),INT(N(H193))&lt;=Config!$B$5),AV193,"")</f>
        <v/>
      </c>
      <c r="BZ193" s="23" t="str">
        <f aca="false">IF(BB193=1,IF(COUNTIFS($A$2:$A$201,$A193,$DC$2:$DC$201,1,$AR$2:$AR$201,"Y")&gt;0,"Y","N"),"")</f>
        <v/>
      </c>
      <c r="CA193" s="23" t="n">
        <f aca="false">IF(AND(BB193=1,AR193="maybe"),1,0)</f>
        <v>0</v>
      </c>
      <c r="CB193" s="23" t="n">
        <f aca="false">IF(CA193=1,IF(COUNTIFS($AZ$2:$AZ$201,AZ193,$CA$2:$CA$201,1,$H$2:$H$201,"&lt;"&amp;H193)+COUNTIFS($AZ$2:$AZ$201,AZ193,$CA$2:$CA$201,1,$H$2:$H$201,H193,$BA$2:$BA$201,"&lt;"&amp;BA193)=0,1,0),0)</f>
        <v>0</v>
      </c>
      <c r="CC193" s="23" t="n">
        <f aca="false">IF(AND(BB193=1,AR193="Y"),IF(COUNTIFS($AZ$2:$AZ$201,AZ193,$AR$2:$AR$201,"Y",$BB$2:$BB$201,1,$H$2:$H$201,"&lt;"&amp;H193)+COUNTIFS($AZ$2:$AZ$201,AZ193,$AR$2:$AR$201,"Y",$BB$2:$BB$201,1,$H$2:$H$201,H193,$BA$2:$BA$201,"&lt;"&amp;BA193)=0,1,0),0)</f>
        <v>0</v>
      </c>
      <c r="CD193" s="23" t="n">
        <f aca="false">IF(AND(BH193=1,N(Y193)&gt;=Config!$B$15),1,0)</f>
        <v>0</v>
      </c>
      <c r="CE193" s="23" t="n">
        <f aca="false">IF(AND(BB193=1,AT193="Y"),1,0)</f>
        <v>0</v>
      </c>
      <c r="CF193" s="23" t="n">
        <f aca="false">IF(CE193=1,IF(COUNTIFS($AZ$2:$AZ$201,AZ193,$CE$2:$CE$201,1,$H$2:$H$201,"&lt;"&amp;H193)+COUNTIFS($AZ$2:$AZ$201,AZ193,$CE$2:$CE$201,1,$H$2:$H$201,H193,$BA$2:$BA$201,"&lt;"&amp;BA193)=0,1,0),0)</f>
        <v>0</v>
      </c>
      <c r="CG193" s="23" t="n">
        <f aca="false">IF(AND(BB193=1,G193="warm-intro"),1,0)</f>
        <v>0</v>
      </c>
      <c r="CH193" s="23" t="n">
        <f aca="false">IF(CG193=1,IF(COUNTIFS($AZ$2:$AZ$201,AZ193,$CG$2:$CG$201,1,$H$2:$H$201,"&lt;"&amp;H193)+COUNTIFS($AZ$2:$AZ$201,AZ193,$CG$2:$CG$201,1,$H$2:$H$201,H193,$BA$2:$BA$201,"&lt;"&amp;BA193)=0,1,0),0)</f>
        <v>0</v>
      </c>
      <c r="CI193" s="23" t="n">
        <f aca="false">IF(AND(BB193=1,Q193="Y"),1,0)</f>
        <v>0</v>
      </c>
      <c r="CJ193" s="23" t="n">
        <f aca="false">IF(CI193=1,IF(COUNTIFS($AZ$2:$AZ$201,AZ193,$CI$2:$CI$201,1,$H$2:$H$201,"&lt;"&amp;H193)+COUNTIFS($AZ$2:$AZ$201,AZ193,$CI$2:$CI$201,1,$H$2:$H$201,H193,$BA$2:$BA$201,"&lt;"&amp;BA193)=0,1,0),0)</f>
        <v>0</v>
      </c>
      <c r="CK193" s="23" t="n">
        <f aca="false">IF(AND(BB193=1,AF193="Y"),1,0)</f>
        <v>0</v>
      </c>
      <c r="CL193" s="23" t="n">
        <f aca="false">IF(CK193=1,IF(COUNTIFS($AZ$2:$AZ$201,AZ193,$CK$2:$CK$201,1,$H$2:$H$201,"&lt;"&amp;H193)+COUNTIFS($AZ$2:$AZ$201,AZ193,$CK$2:$CK$201,1,$H$2:$H$201,H193,$BA$2:$BA$201,"&lt;"&amp;BA193)=0,1,0),0)</f>
        <v>0</v>
      </c>
      <c r="CM193" s="23" t="n">
        <f aca="false">IF(AND(BB193=1,U193="Y"),1,0)</f>
        <v>0</v>
      </c>
      <c r="CN193" s="23" t="n">
        <f aca="false">IF(CM193=1,IF(COUNTIFS($AZ$2:$AZ$201,AZ193,$CM$2:$CM$201,1,$H$2:$H$201,"&lt;"&amp;H193)+COUNTIFS($AZ$2:$AZ$201,AZ193,$CM$2:$CM$201,1,$H$2:$H$201,H193,$BA$2:$BA$201,"&lt;"&amp;BA193)=0,1,0),0)</f>
        <v>0</v>
      </c>
      <c r="CO193" s="23" t="n">
        <f aca="false">IF(AND(BB193=1,L193="Y"),1,0)</f>
        <v>0</v>
      </c>
      <c r="CP193" s="23" t="n">
        <f aca="false">IF(CO193=1,IF(COUNTIFS($AZ$2:$AZ$201,AZ193,$CO$2:$CO$201,1,$H$2:$H$201,"&lt;"&amp;H193)+COUNTIFS($AZ$2:$AZ$201,AZ193,$CO$2:$CO$201,1,$H$2:$H$201,H193,$BA$2:$BA$201,"&lt;"&amp;BA193)=0,1,0),0)</f>
        <v>0</v>
      </c>
      <c r="CQ193" s="23" t="n">
        <f aca="false">IF(AND(BB193=1,ISNUMBER(O193)),1,0)</f>
        <v>0</v>
      </c>
      <c r="CR193" s="23" t="n">
        <f aca="false">IF(CQ193=1,IF(COUNTIFS($AZ$2:$AZ$201,AZ193,$CQ$2:$CQ$201,1,$H$2:$H$201,"&lt;"&amp;H193)+COUNTIFS($AZ$2:$AZ$201,AZ193,$CQ$2:$CQ$201,1,$H$2:$H$201,H193,$BA$2:$BA$201,"&lt;"&amp;BA193)=0,1,0),0)</f>
        <v>0</v>
      </c>
      <c r="CS193" s="23" t="str">
        <f aca="false">IF(AND(CR193=1,INT(N(H193))&lt;=Config!$B$5),O193,"")</f>
        <v/>
      </c>
      <c r="CT193" s="23" t="str">
        <f aca="false">IF(AND(BB193=1,INT(N(H193))&lt;=Config!$B$5),AG193&amp;"","")</f>
        <v/>
      </c>
      <c r="CU193" s="23" t="n">
        <f aca="false">IF(AND(BB193=1,AU193="Y"),1,0)</f>
        <v>0</v>
      </c>
      <c r="CV193" s="23" t="n">
        <f aca="false">IF(CU193=1,IF(COUNTIFS($AZ$2:$AZ$201,AZ193,$CU$2:$CU$201,1,$H$2:$H$201,"&lt;"&amp;H193)+COUNTIFS($AZ$2:$AZ$201,AZ193,$CU$2:$CU$201,1,$H$2:$H$201,H193,$BA$2:$BA$201,"&lt;"&amp;BA193)=0,1,0),0)</f>
        <v>0</v>
      </c>
      <c r="CW193" s="23" t="str">
        <f aca="false">IF(BB193=1,IFERROR(MATCH($A193,INDEX(Clay_Offices!$A$2:$FZ$601,0,Sync!$C$5),0),""),"")</f>
        <v/>
      </c>
      <c r="CX193" s="23" t="str">
        <f aca="false">IF(CW193="","",IFERROR(INDEX(Clay_Offices!$A$2:$FZ$601,CW193,Sync!$C$7)&amp;"",""))</f>
        <v/>
      </c>
      <c r="CY193" s="23" t="str">
        <f aca="false">IF(CX193="","",IFERROR(INDEX(Lists!$K$2:$K$15,MATCH(CX193,Lists!$J$2:$J$15,0)),""))</f>
        <v/>
      </c>
      <c r="CZ193" s="23" t="str">
        <f aca="false">IF(CW193="","",IFERROR(INDEX(Clay_Offices!$A$2:$FZ$601,CW193,Sync!$C$17)&amp;"",""))</f>
        <v/>
      </c>
      <c r="DA193" s="35" t="str">
        <f aca="false">IF(CW193="","",IFERROR(N(INDEX(Clay_Offices!$A$2:$FZ$601,CW193,Sync!$C$16)),0))</f>
        <v/>
      </c>
      <c r="DB193" s="23" t="n">
        <f aca="false">IF(AND(BB193=1,OR(AR193="Y",AR193="N",AR193="maybe")),1,0)</f>
        <v>0</v>
      </c>
      <c r="DC193" s="23" t="n">
        <f aca="false">IF(AND(DB193=1),IF(COUNTIFS($A$2:$A$201,$A193,$DB$2:$DB$201,1,$H$2:$H$201,"&gt;"&amp;H193)+COUNTIFS($A$2:$A$201,$A193,$DB$2:$DB$201,1,$H$2:$H$201,H193,$BA$2:$BA$201,"&gt;"&amp;BA193)=0,1,0),0)</f>
        <v>0</v>
      </c>
      <c r="DD193" s="23" t="n">
        <f aca="false">IF(AND(DB193=1,INT(N(H193))&lt;=Config!$B$6),IF(COUNTIFS($AZ$2:$AZ$201,AZ193,$DB$2:$DB$201,1,$H$2:$H$201,"&gt;"&amp;H193,$H$2:$H$201,"&lt;"&amp;(Config!$B$6+1))+COUNTIFS($AZ$2:$AZ$201,AZ193,$DB$2:$DB$201,1,$H$2:$H$201,H193,$BA$2:$BA$201,"&gt;"&amp;BA193)=0,1,0),0)</f>
        <v>0</v>
      </c>
      <c r="DE193" s="23" t="n">
        <f aca="false">IF(AND(DB193=1,INT(N(H193))&lt;=Config!$B$7),IF(COUNTIFS($AZ$2:$AZ$201,AZ193,$DB$2:$DB$201,1,$H$2:$H$201,"&gt;"&amp;H193,$H$2:$H$201,"&lt;"&amp;(Config!$B$7+1))+COUNTIFS($AZ$2:$AZ$201,AZ193,$DB$2:$DB$201,1,$H$2:$H$201,H193,$BA$2:$BA$201,"&gt;"&amp;BA193)=0,1,0),0)</f>
        <v>0</v>
      </c>
      <c r="DF193" s="23" t="n">
        <f aca="false">IF(AND(DB193=1,INT(N(H193))&lt;=Config!$B$8),IF(COUNTIFS($AZ$2:$AZ$201,AZ193,$DB$2:$DB$201,1,$H$2:$H$201,"&gt;"&amp;H193,$H$2:$H$201,"&lt;"&amp;(Config!$B$8+1))+COUNTIFS($AZ$2:$AZ$201,AZ193,$DB$2:$DB$201,1,$H$2:$H$201,H193,$BA$2:$BA$201,"&gt;"&amp;BA193)=0,1,0),0)</f>
        <v>0</v>
      </c>
      <c r="DG193" s="23" t="n">
        <f aca="false">IF(AND(DB193=1,INT(N(H193))&lt;=Config!$B$5),IF(COUNTIFS($AZ$2:$AZ$201,AZ193,$DB$2:$DB$201,1,$H$2:$H$201,"&gt;"&amp;H193,$H$2:$H$201,"&lt;"&amp;(Config!$B$5+1))+COUNTIFS($AZ$2:$AZ$201,AZ193,$DB$2:$DB$201,1,$H$2:$H$201,H193,$BA$2:$BA$201,"&gt;"&amp;BA193)=0,1,0),0)</f>
        <v>0</v>
      </c>
      <c r="DH193" s="23" t="n">
        <f aca="false">IF(BB193=1,IF(COUNTIFS($AZ$2:$AZ$201,AZ193,$DD$2:$DD$201,1,$AR$2:$AR$201,"Y")&gt;0,1,0),0)</f>
        <v>0</v>
      </c>
      <c r="DI193" s="23" t="n">
        <f aca="false">IF(BB193=1,IF(COUNTIFS($AZ$2:$AZ$201,AZ193,$DE$2:$DE$201,1,$AR$2:$AR$201,"Y")&gt;0,1,0),0)</f>
        <v>0</v>
      </c>
      <c r="DJ193" s="23" t="n">
        <f aca="false">IF(BB193=1,IF(COUNTIFS($AZ$2:$AZ$201,AZ193,$DF$2:$DF$201,1,$AR$2:$AR$201,"Y")&gt;0,1,0),0)</f>
        <v>0</v>
      </c>
      <c r="DK193" s="23" t="n">
        <f aca="false">IF(BB193=1,IF(COUNTIFS($AZ$2:$AZ$201,AZ193,$DG$2:$DG$201,1,$AR$2:$AR$201,"Y")&gt;0,1,0),0)</f>
        <v>0</v>
      </c>
      <c r="DL193" s="23" t="n">
        <f aca="false">IF(AND(BF193=1,INT(N(H193))&lt;=Config!$B$6,DH193=1,EI193=0),1,0)</f>
        <v>0</v>
      </c>
      <c r="DM193" s="23" t="n">
        <f aca="false">IF(AND(BF193=1,INT(N(H193))&lt;=Config!$B$7,DI193=1,EI193=0),1,0)</f>
        <v>0</v>
      </c>
      <c r="DN193" s="23" t="n">
        <f aca="false">IF(AND(BF193=1,INT(N(H193))&lt;=Config!$B$8,DJ193=1,EI193=0),1,0)</f>
        <v>0</v>
      </c>
      <c r="DO193" s="23" t="n">
        <f aca="false">IF(AND(BF193=1,INT(N(H193))&lt;=Config!$B$5,DK193=1,EI193=0),1,0)</f>
        <v>0</v>
      </c>
      <c r="DP193" s="23" t="n">
        <f aca="false">IF(AND(CC193=1,INT(N(H193))&lt;=Config!$B$6,DH193=1,EI193=0),1,0)</f>
        <v>0</v>
      </c>
      <c r="DQ193" s="23" t="n">
        <f aca="false">IF(AND(CC193=1,INT(N(H193))&lt;=Config!$B$7,DI193=1,EI193=0),1,0)</f>
        <v>0</v>
      </c>
      <c r="DR193" s="23" t="n">
        <f aca="false">IF(AND(CC193=1,INT(N(H193))&lt;=Config!$B$8,DJ193=1,EI193=0),1,0)</f>
        <v>0</v>
      </c>
      <c r="DS193" s="23" t="n">
        <f aca="false">IF(AND(CC193=1,INT(N(H193))&lt;=Config!$B$5,DK193=1,EI193=0),1,0)</f>
        <v>0</v>
      </c>
      <c r="DT193" s="23" t="n">
        <f aca="false">IF(AND(CC193=1,INT(N(H193))&lt;=Config!$B$6,DH193=0),1,0)</f>
        <v>0</v>
      </c>
      <c r="DU193" s="23" t="n">
        <f aca="false">IF(AND(CC193=1,INT(N(H193))&lt;=Config!$B$7,DI193=0),1,0)</f>
        <v>0</v>
      </c>
      <c r="DV193" s="23" t="n">
        <f aca="false">IF(AND(CC193=1,INT(N(H193))&lt;=Config!$B$8,DJ193=0),1,0)</f>
        <v>0</v>
      </c>
      <c r="DW193" s="23" t="n">
        <f aca="false">IF(AND(CC193=1,INT(N(H193))&lt;=Config!$B$5,DK193=0),1,0)</f>
        <v>0</v>
      </c>
      <c r="DX193" s="23" t="n">
        <f aca="false">IF(TRIM($A193)="",0,ISTEXT(M193)+ISTEXT(O193)+ISTEXT(Y193)+ISTEXT(Z193)+ISTEXT(AA193)+ISTEXT(AV193))</f>
        <v>0</v>
      </c>
      <c r="DY193" s="23" t="n">
        <f aca="false">IF(BB193=1,IF(H193&lt;&gt;INT(H193),1,0),0)</f>
        <v>0</v>
      </c>
      <c r="DZ193" s="23" t="str">
        <f aca="false">IF(TRIM($A193)="","",IF(TRIM(B193)="",SUBSTITUTE(SUBSTITUTE(SUBSTITUTE(SUBSTITUTE(SUBSTITUTE(SUBSTITUTE(LOWER(TRIM($A193)),"~",""),"*",""),"?",""),"&lt;",""),"&gt;",""),"=",""),SUBSTITUTE(SUBSTITUTE(SUBSTITUTE(SUBSTITUTE(SUBSTITUTE(SUBSTITUTE(LOWER(TRIM(B193)),"~",""),"*",""),"?",""),"&lt;",""),"&gt;",""),"=","")))</f>
        <v/>
      </c>
      <c r="EA193" s="23" t="str">
        <f aca="false">IF(CW193="","",IFERROR(IF(LEFT(LOWER(TRIM(INDEX(Clay_Offices!$A$2:$FZ$601,CW193,Sync!$C$19)&amp;"")),4)="grp-",SUBSTITUTE(SUBSTITUTE(SUBSTITUTE(SUBSTITUTE(SUBSTITUTE(SUBSTITUTE(LOWER(TRIM(INDEX(Clay_Offices!$A$2:$FZ$601,CW193,Sync!$C$19)&amp;"")),"~",""),"*",""),"?",""),"&lt;",""),"&gt;",""),"=",""),""),""))</f>
        <v/>
      </c>
      <c r="EB193" s="23" t="str">
        <f aca="false">IF(EA193&lt;&gt;"",DZ193,"")</f>
        <v/>
      </c>
      <c r="EC193" s="23" t="str">
        <f aca="false">IF(BC193=1,AZ193,"")</f>
        <v/>
      </c>
      <c r="ED193" s="23" t="str">
        <f aca="false">IF(TRIM($A193)="","",IFERROR(INDEX($A$2:$A$201,MATCH(AZ193,$EC$2:$EC$201,0))&amp;"",$A193&amp;""))</f>
        <v/>
      </c>
      <c r="EE193" s="23" t="n">
        <f aca="false">IF(BB193=1,IF(COUNTIFS($A$2:$A$201,$A193,$BB$2:$BB$201,1,$H$2:$H$201,"&lt;"&amp;H193)+COUNTIFS($A$2:$A$201,$A193,$BB$2:$BB$201,1,$H$2:$H$201,H193,$BA$2:$BA$201,"&lt;"&amp;BA193)=0,1,0),0)</f>
        <v>0</v>
      </c>
      <c r="EF193" s="23" t="n">
        <f aca="false">IF(BC193=1,IF(COUNTIFS($AZ$2:$AZ$201,AZ193,$EE$2:$EE$201,1)&gt;1,1,0),0)</f>
        <v>0</v>
      </c>
      <c r="EG193" s="23" t="n">
        <f aca="false">IF(AND(CQ193=1),IF(COUNTIFS($AZ$2:$AZ$201,AZ193,$CQ$2:$CQ$201,1,$H$2:$H$201,"&gt;"&amp;H193)+COUNTIFS($AZ$2:$AZ$201,AZ193,$CQ$2:$CQ$201,1,$H$2:$H$201,H193,$BA$2:$BA$201,"&gt;"&amp;BA193)=0,1,0),0)</f>
        <v>0</v>
      </c>
      <c r="EH193" s="23" t="str">
        <f aca="false">IF(BB193=1,IF(COUNTIFS($AZ$2:$AZ$201,AZ193,$EG$2:$EG$201,1)=0,"",SUMIFS($O$2:$O$201,$AZ$2:$AZ$201,AZ193,$EG$2:$EG$201,1)),"")</f>
        <v/>
      </c>
      <c r="EI193" s="23" t="n">
        <f aca="false">IF(AND(ISNUMBER(EH193),OR(N(EH193)&lt;Config!$B$31,N(EH193)&gt;Config!$B$33)),1,0)</f>
        <v>0</v>
      </c>
      <c r="EJ193" s="23" t="n">
        <f aca="false">IF(AND(ISNUMBER(EH193),N(EH193)&gt;=Config!$B$31,N(EH193)&lt;Config!$B$32),1,0)</f>
        <v>0</v>
      </c>
      <c r="EK193" s="23" t="n">
        <f aca="false">IF(AND(BF193=1,INT(N(H193))&lt;=Config!$B$6,DH193=1,EI193=1),1,0)</f>
        <v>0</v>
      </c>
      <c r="EL193" s="23" t="n">
        <f aca="false">IF(AND(BF193=1,INT(N(H193))&lt;=Config!$B$7,DI193=1,EI193=1),1,0)</f>
        <v>0</v>
      </c>
      <c r="EM193" s="23" t="n">
        <f aca="false">IF(AND(BF193=1,INT(N(H193))&lt;=Config!$B$8,DJ193=1,EI193=1),1,0)</f>
        <v>0</v>
      </c>
      <c r="EN193" s="23" t="n">
        <f aca="false">IF(AND(BF193=1,INT(N(H193))&lt;=Config!$B$5,DK193=1,EI193=1),1,0)</f>
        <v>0</v>
      </c>
      <c r="EO193" s="23" t="n">
        <f aca="false">IF(AND(DL193=1,EJ193=1),1,0)</f>
        <v>0</v>
      </c>
      <c r="EP193" s="23" t="n">
        <f aca="false">IF(AND(DM193=1,EJ193=1),1,0)</f>
        <v>0</v>
      </c>
      <c r="EQ193" s="23" t="n">
        <f aca="false">IF(AND(DN193=1,EJ193=1),1,0)</f>
        <v>0</v>
      </c>
      <c r="ER193" s="23" t="n">
        <f aca="false">IF(AND(DO193=1,EJ193=1),1,0)</f>
        <v>0</v>
      </c>
    </row>
    <row r="194" customFormat="false" ht="15" hidden="false" customHeight="false" outlineLevel="0" collapsed="false">
      <c r="G194" s="32"/>
      <c r="H194" s="33"/>
      <c r="I194" s="32"/>
      <c r="L194" s="32"/>
      <c r="Q194" s="32"/>
      <c r="U194" s="32"/>
      <c r="W194" s="32"/>
      <c r="AC194" s="32"/>
      <c r="AF194" s="32"/>
      <c r="AI194" s="32"/>
      <c r="AJ194" s="32"/>
      <c r="AN194" s="32"/>
      <c r="AR194" s="32"/>
      <c r="AT194" s="32"/>
      <c r="AU194" s="32"/>
      <c r="AW194" s="32"/>
      <c r="AY194" s="34" t="str">
        <f aca="false">IF(TRIM($A194)="","",IF(AND(LEFT($A194,6)="SAMPLE",Config!$B$19&lt;&gt;"Y"),"",IF(NOT(ISNUMBER(H194)),"call_date is blank or not a date",IF(Sync!$C$5="","Clay paste is empty or has no row_id column: paste the Clay export on Clay_Offices",IF(CW194="","row_id not found in the Clay paste: add the Clay row or fix the row_id",IF(AND(ISNUMBER(CY194),CY194&gt;=1,CY194&lt;=5),"Clay status is "&amp;CX194&amp;": set call_done or later",IF(AND(BD194=1,CZ194&lt;&gt;BZ194),"Clay yes_in_principle should be "&amp;BZ194,IF(AND(BD194=1,DA194&lt;&gt;H194),"Clay call_date should be "&amp;TEXT(H194,"yyyy-mm-dd"),""))))))))</f>
        <v/>
      </c>
      <c r="AZ194" s="23" t="str">
        <f aca="false">IF(TRIM($A194)="","",IF(TRIM(C194)&lt;&gt;"",SUBSTITUTE(SUBSTITUTE(SUBSTITUTE(SUBSTITUTE(SUBSTITUTE(SUBSTITUTE(LOWER(TRIM(C194)),"~",""),"*",""),"?",""),"&lt;",""),"&gt;",""),"=",""),IF(EA194&lt;&gt;"",EA194,IFERROR(INDEX($EA$2:$EA$201,MATCH(DZ194,$EB$2:$EB$201,0)),DZ194))))</f>
        <v/>
      </c>
      <c r="BA194" s="23" t="n">
        <f aca="false">ROW()</f>
        <v>194</v>
      </c>
      <c r="BB194" s="23" t="n">
        <f aca="false">IF(AND(TRIM($A194)&lt;&gt;"",ISNUMBER(H194)),IF(AND(LEFT($A194,6)="SAMPLE",Config!$B$19&lt;&gt;"Y"),0,1),0)</f>
        <v>0</v>
      </c>
      <c r="BC194" s="23" t="n">
        <f aca="false">IF(BB194=1,IF(COUNTIFS($AZ$2:$AZ$201,AZ194,$BB$2:$BB$201,1,$H$2:$H$201,"&lt;"&amp;H194)+COUNTIFS($AZ$2:$AZ$201,AZ194,$BB$2:$BB$201,1,$H$2:$H$201,H194,$BA$2:$BA$201,"&lt;"&amp;BA194)=0,1,0),0)</f>
        <v>0</v>
      </c>
      <c r="BD194" s="23" t="n">
        <f aca="false">IF(BB194=1,IF(COUNTIFS($A$2:$A$201,$A194,$BB$2:$BB$201,1,$H$2:$H$201,"&gt;"&amp;H194)+COUNTIFS($A$2:$A$201,$A194,$BB$2:$BB$201,1,$H$2:$H$201,H194,$BA$2:$BA$201,"&gt;"&amp;BA194)=0,1,0),0)</f>
        <v>0</v>
      </c>
      <c r="BE194" s="23" t="n">
        <f aca="false">IF(AND(BB194=1,AR194="Y",AC194="Y",TRIM(AH194)&lt;&gt;""),1,0)</f>
        <v>0</v>
      </c>
      <c r="BF194" s="23" t="n">
        <f aca="false">IF(BE194=1,IF(COUNTIFS($AZ$2:$AZ$201,AZ194,$BE$2:$BE$201,1,$H$2:$H$201,"&lt;"&amp;H194)+COUNTIFS($AZ$2:$AZ$201,AZ194,$BE$2:$BE$201,1,$H$2:$H$201,H194,$BA$2:$BA$201,"&lt;"&amp;BA194)=0,1,0),0)</f>
        <v>0</v>
      </c>
      <c r="BG194" s="23" t="n">
        <f aca="false">IF(AND(BB194=1,AR194="Y",BE194=0),1,0)</f>
        <v>0</v>
      </c>
      <c r="BH194" s="23" t="n">
        <f aca="false">IF(AND(BB194=1,ISNUMBER(Y194)),1,0)</f>
        <v>0</v>
      </c>
      <c r="BI194" s="23" t="n">
        <f aca="false">IF(BH194=1,IF(COUNTIFS($AZ$2:$AZ$201,AZ194,$BH$2:$BH$201,1,$H$2:$H$201,"&lt;"&amp;H194)+COUNTIFS($AZ$2:$AZ$201,AZ194,$BH$2:$BH$201,1,$H$2:$H$201,H194,$BA$2:$BA$201,"&lt;"&amp;BA194)=0,1,0),0)</f>
        <v>0</v>
      </c>
      <c r="BJ194" s="23" t="str">
        <f aca="false">IF(AND(BI194=1,INT(N(H194))&lt;=Config!$B$6),Y194,"")</f>
        <v/>
      </c>
      <c r="BK194" s="23" t="str">
        <f aca="false">IF(AND(BI194=1,INT(N(H194))&lt;=Config!$B$7),Y194,"")</f>
        <v/>
      </c>
      <c r="BL194" s="23" t="str">
        <f aca="false">IF(AND(BI194=1,INT(N(H194))&lt;=Config!$B$8),Y194,"")</f>
        <v/>
      </c>
      <c r="BM194" s="23" t="str">
        <f aca="false">IF(AND(BI194=1,INT(N(H194))&lt;=Config!$B$5),Y194,"")</f>
        <v/>
      </c>
      <c r="BN194" s="23" t="n">
        <f aca="false">IF(CD194=1,IF(COUNTIFS($AZ$2:$AZ$201,AZ194,$CD$2:$CD$201,1,$H$2:$H$201,"&lt;"&amp;H194)+COUNTIFS($AZ$2:$AZ$201,AZ194,$CD$2:$CD$201,1,$H$2:$H$201,H194,$BA$2:$BA$201,"&lt;"&amp;BA194)=0,1,0),0)</f>
        <v>0</v>
      </c>
      <c r="BO194" s="23" t="n">
        <f aca="false">IF(AND(BB194=1,ISNUMBER(M194)),1,0)</f>
        <v>0</v>
      </c>
      <c r="BP194" s="23" t="n">
        <f aca="false">IF(BO194=1,IF(COUNTIFS($AZ$2:$AZ$201,AZ194,$BO$2:$BO$201,1,$H$2:$H$201,"&lt;"&amp;H194)+COUNTIFS($AZ$2:$AZ$201,AZ194,$BO$2:$BO$201,1,$H$2:$H$201,H194,$BA$2:$BA$201,"&lt;"&amp;BA194)=0,1,0),0)</f>
        <v>0</v>
      </c>
      <c r="BQ194" s="23" t="str">
        <f aca="false">IF(AND(BP194=1,INT(N(H194))&lt;=Config!$B$5),M194,"")</f>
        <v/>
      </c>
      <c r="BR194" s="23" t="n">
        <f aca="false">IF(AND(BB194=1,OR(TRIM(X194)&lt;&gt;"",ISNUMBER(Y194))),1,0)</f>
        <v>0</v>
      </c>
      <c r="BS194" s="23" t="n">
        <f aca="false">IF(BR194=1,IF(COUNTIFS($AZ$2:$AZ$201,AZ194,$BR$2:$BR$201,1,$H$2:$H$201,"&lt;"&amp;H194)+COUNTIFS($AZ$2:$AZ$201,AZ194,$BR$2:$BR$201,1,$H$2:$H$201,H194,$BA$2:$BA$201,"&lt;"&amp;BA194)=0,1,0),0)</f>
        <v>0</v>
      </c>
      <c r="BT194" s="23" t="str">
        <f aca="false">IF(BS194=1,AZ194,"")</f>
        <v/>
      </c>
      <c r="BU194" s="23" t="n">
        <f aca="false">IF(AND(BB194=1,W194="Y",TRIM(X194)=""),1,0)</f>
        <v>0</v>
      </c>
      <c r="BV194" s="23" t="str">
        <f aca="false">IF(BB194=1,AN194&amp;"","")</f>
        <v/>
      </c>
      <c r="BW194" s="23" t="str">
        <f aca="false">IF(BB194=1,AO194&amp;"","")</f>
        <v/>
      </c>
      <c r="BX194" s="23" t="str">
        <f aca="false">IF(BB194=1,AP194&amp;"","")</f>
        <v/>
      </c>
      <c r="BY194" s="23" t="str">
        <f aca="false">IF(AND(BB194=1,ISNUMBER(AV194),INT(N(H194))&lt;=Config!$B$5),AV194,"")</f>
        <v/>
      </c>
      <c r="BZ194" s="23" t="str">
        <f aca="false">IF(BB194=1,IF(COUNTIFS($A$2:$A$201,$A194,$DC$2:$DC$201,1,$AR$2:$AR$201,"Y")&gt;0,"Y","N"),"")</f>
        <v/>
      </c>
      <c r="CA194" s="23" t="n">
        <f aca="false">IF(AND(BB194=1,AR194="maybe"),1,0)</f>
        <v>0</v>
      </c>
      <c r="CB194" s="23" t="n">
        <f aca="false">IF(CA194=1,IF(COUNTIFS($AZ$2:$AZ$201,AZ194,$CA$2:$CA$201,1,$H$2:$H$201,"&lt;"&amp;H194)+COUNTIFS($AZ$2:$AZ$201,AZ194,$CA$2:$CA$201,1,$H$2:$H$201,H194,$BA$2:$BA$201,"&lt;"&amp;BA194)=0,1,0),0)</f>
        <v>0</v>
      </c>
      <c r="CC194" s="23" t="n">
        <f aca="false">IF(AND(BB194=1,AR194="Y"),IF(COUNTIFS($AZ$2:$AZ$201,AZ194,$AR$2:$AR$201,"Y",$BB$2:$BB$201,1,$H$2:$H$201,"&lt;"&amp;H194)+COUNTIFS($AZ$2:$AZ$201,AZ194,$AR$2:$AR$201,"Y",$BB$2:$BB$201,1,$H$2:$H$201,H194,$BA$2:$BA$201,"&lt;"&amp;BA194)=0,1,0),0)</f>
        <v>0</v>
      </c>
      <c r="CD194" s="23" t="n">
        <f aca="false">IF(AND(BH194=1,N(Y194)&gt;=Config!$B$15),1,0)</f>
        <v>0</v>
      </c>
      <c r="CE194" s="23" t="n">
        <f aca="false">IF(AND(BB194=1,AT194="Y"),1,0)</f>
        <v>0</v>
      </c>
      <c r="CF194" s="23" t="n">
        <f aca="false">IF(CE194=1,IF(COUNTIFS($AZ$2:$AZ$201,AZ194,$CE$2:$CE$201,1,$H$2:$H$201,"&lt;"&amp;H194)+COUNTIFS($AZ$2:$AZ$201,AZ194,$CE$2:$CE$201,1,$H$2:$H$201,H194,$BA$2:$BA$201,"&lt;"&amp;BA194)=0,1,0),0)</f>
        <v>0</v>
      </c>
      <c r="CG194" s="23" t="n">
        <f aca="false">IF(AND(BB194=1,G194="warm-intro"),1,0)</f>
        <v>0</v>
      </c>
      <c r="CH194" s="23" t="n">
        <f aca="false">IF(CG194=1,IF(COUNTIFS($AZ$2:$AZ$201,AZ194,$CG$2:$CG$201,1,$H$2:$H$201,"&lt;"&amp;H194)+COUNTIFS($AZ$2:$AZ$201,AZ194,$CG$2:$CG$201,1,$H$2:$H$201,H194,$BA$2:$BA$201,"&lt;"&amp;BA194)=0,1,0),0)</f>
        <v>0</v>
      </c>
      <c r="CI194" s="23" t="n">
        <f aca="false">IF(AND(BB194=1,Q194="Y"),1,0)</f>
        <v>0</v>
      </c>
      <c r="CJ194" s="23" t="n">
        <f aca="false">IF(CI194=1,IF(COUNTIFS($AZ$2:$AZ$201,AZ194,$CI$2:$CI$201,1,$H$2:$H$201,"&lt;"&amp;H194)+COUNTIFS($AZ$2:$AZ$201,AZ194,$CI$2:$CI$201,1,$H$2:$H$201,H194,$BA$2:$BA$201,"&lt;"&amp;BA194)=0,1,0),0)</f>
        <v>0</v>
      </c>
      <c r="CK194" s="23" t="n">
        <f aca="false">IF(AND(BB194=1,AF194="Y"),1,0)</f>
        <v>0</v>
      </c>
      <c r="CL194" s="23" t="n">
        <f aca="false">IF(CK194=1,IF(COUNTIFS($AZ$2:$AZ$201,AZ194,$CK$2:$CK$201,1,$H$2:$H$201,"&lt;"&amp;H194)+COUNTIFS($AZ$2:$AZ$201,AZ194,$CK$2:$CK$201,1,$H$2:$H$201,H194,$BA$2:$BA$201,"&lt;"&amp;BA194)=0,1,0),0)</f>
        <v>0</v>
      </c>
      <c r="CM194" s="23" t="n">
        <f aca="false">IF(AND(BB194=1,U194="Y"),1,0)</f>
        <v>0</v>
      </c>
      <c r="CN194" s="23" t="n">
        <f aca="false">IF(CM194=1,IF(COUNTIFS($AZ$2:$AZ$201,AZ194,$CM$2:$CM$201,1,$H$2:$H$201,"&lt;"&amp;H194)+COUNTIFS($AZ$2:$AZ$201,AZ194,$CM$2:$CM$201,1,$H$2:$H$201,H194,$BA$2:$BA$201,"&lt;"&amp;BA194)=0,1,0),0)</f>
        <v>0</v>
      </c>
      <c r="CO194" s="23" t="n">
        <f aca="false">IF(AND(BB194=1,L194="Y"),1,0)</f>
        <v>0</v>
      </c>
      <c r="CP194" s="23" t="n">
        <f aca="false">IF(CO194=1,IF(COUNTIFS($AZ$2:$AZ$201,AZ194,$CO$2:$CO$201,1,$H$2:$H$201,"&lt;"&amp;H194)+COUNTIFS($AZ$2:$AZ$201,AZ194,$CO$2:$CO$201,1,$H$2:$H$201,H194,$BA$2:$BA$201,"&lt;"&amp;BA194)=0,1,0),0)</f>
        <v>0</v>
      </c>
      <c r="CQ194" s="23" t="n">
        <f aca="false">IF(AND(BB194=1,ISNUMBER(O194)),1,0)</f>
        <v>0</v>
      </c>
      <c r="CR194" s="23" t="n">
        <f aca="false">IF(CQ194=1,IF(COUNTIFS($AZ$2:$AZ$201,AZ194,$CQ$2:$CQ$201,1,$H$2:$H$201,"&lt;"&amp;H194)+COUNTIFS($AZ$2:$AZ$201,AZ194,$CQ$2:$CQ$201,1,$H$2:$H$201,H194,$BA$2:$BA$201,"&lt;"&amp;BA194)=0,1,0),0)</f>
        <v>0</v>
      </c>
      <c r="CS194" s="23" t="str">
        <f aca="false">IF(AND(CR194=1,INT(N(H194))&lt;=Config!$B$5),O194,"")</f>
        <v/>
      </c>
      <c r="CT194" s="23" t="str">
        <f aca="false">IF(AND(BB194=1,INT(N(H194))&lt;=Config!$B$5),AG194&amp;"","")</f>
        <v/>
      </c>
      <c r="CU194" s="23" t="n">
        <f aca="false">IF(AND(BB194=1,AU194="Y"),1,0)</f>
        <v>0</v>
      </c>
      <c r="CV194" s="23" t="n">
        <f aca="false">IF(CU194=1,IF(COUNTIFS($AZ$2:$AZ$201,AZ194,$CU$2:$CU$201,1,$H$2:$H$201,"&lt;"&amp;H194)+COUNTIFS($AZ$2:$AZ$201,AZ194,$CU$2:$CU$201,1,$H$2:$H$201,H194,$BA$2:$BA$201,"&lt;"&amp;BA194)=0,1,0),0)</f>
        <v>0</v>
      </c>
      <c r="CW194" s="23" t="str">
        <f aca="false">IF(BB194=1,IFERROR(MATCH($A194,INDEX(Clay_Offices!$A$2:$FZ$601,0,Sync!$C$5),0),""),"")</f>
        <v/>
      </c>
      <c r="CX194" s="23" t="str">
        <f aca="false">IF(CW194="","",IFERROR(INDEX(Clay_Offices!$A$2:$FZ$601,CW194,Sync!$C$7)&amp;"",""))</f>
        <v/>
      </c>
      <c r="CY194" s="23" t="str">
        <f aca="false">IF(CX194="","",IFERROR(INDEX(Lists!$K$2:$K$15,MATCH(CX194,Lists!$J$2:$J$15,0)),""))</f>
        <v/>
      </c>
      <c r="CZ194" s="23" t="str">
        <f aca="false">IF(CW194="","",IFERROR(INDEX(Clay_Offices!$A$2:$FZ$601,CW194,Sync!$C$17)&amp;"",""))</f>
        <v/>
      </c>
      <c r="DA194" s="35" t="str">
        <f aca="false">IF(CW194="","",IFERROR(N(INDEX(Clay_Offices!$A$2:$FZ$601,CW194,Sync!$C$16)),0))</f>
        <v/>
      </c>
      <c r="DB194" s="23" t="n">
        <f aca="false">IF(AND(BB194=1,OR(AR194="Y",AR194="N",AR194="maybe")),1,0)</f>
        <v>0</v>
      </c>
      <c r="DC194" s="23" t="n">
        <f aca="false">IF(AND(DB194=1),IF(COUNTIFS($A$2:$A$201,$A194,$DB$2:$DB$201,1,$H$2:$H$201,"&gt;"&amp;H194)+COUNTIFS($A$2:$A$201,$A194,$DB$2:$DB$201,1,$H$2:$H$201,H194,$BA$2:$BA$201,"&gt;"&amp;BA194)=0,1,0),0)</f>
        <v>0</v>
      </c>
      <c r="DD194" s="23" t="n">
        <f aca="false">IF(AND(DB194=1,INT(N(H194))&lt;=Config!$B$6),IF(COUNTIFS($AZ$2:$AZ$201,AZ194,$DB$2:$DB$201,1,$H$2:$H$201,"&gt;"&amp;H194,$H$2:$H$201,"&lt;"&amp;(Config!$B$6+1))+COUNTIFS($AZ$2:$AZ$201,AZ194,$DB$2:$DB$201,1,$H$2:$H$201,H194,$BA$2:$BA$201,"&gt;"&amp;BA194)=0,1,0),0)</f>
        <v>0</v>
      </c>
      <c r="DE194" s="23" t="n">
        <f aca="false">IF(AND(DB194=1,INT(N(H194))&lt;=Config!$B$7),IF(COUNTIFS($AZ$2:$AZ$201,AZ194,$DB$2:$DB$201,1,$H$2:$H$201,"&gt;"&amp;H194,$H$2:$H$201,"&lt;"&amp;(Config!$B$7+1))+COUNTIFS($AZ$2:$AZ$201,AZ194,$DB$2:$DB$201,1,$H$2:$H$201,H194,$BA$2:$BA$201,"&gt;"&amp;BA194)=0,1,0),0)</f>
        <v>0</v>
      </c>
      <c r="DF194" s="23" t="n">
        <f aca="false">IF(AND(DB194=1,INT(N(H194))&lt;=Config!$B$8),IF(COUNTIFS($AZ$2:$AZ$201,AZ194,$DB$2:$DB$201,1,$H$2:$H$201,"&gt;"&amp;H194,$H$2:$H$201,"&lt;"&amp;(Config!$B$8+1))+COUNTIFS($AZ$2:$AZ$201,AZ194,$DB$2:$DB$201,1,$H$2:$H$201,H194,$BA$2:$BA$201,"&gt;"&amp;BA194)=0,1,0),0)</f>
        <v>0</v>
      </c>
      <c r="DG194" s="23" t="n">
        <f aca="false">IF(AND(DB194=1,INT(N(H194))&lt;=Config!$B$5),IF(COUNTIFS($AZ$2:$AZ$201,AZ194,$DB$2:$DB$201,1,$H$2:$H$201,"&gt;"&amp;H194,$H$2:$H$201,"&lt;"&amp;(Config!$B$5+1))+COUNTIFS($AZ$2:$AZ$201,AZ194,$DB$2:$DB$201,1,$H$2:$H$201,H194,$BA$2:$BA$201,"&gt;"&amp;BA194)=0,1,0),0)</f>
        <v>0</v>
      </c>
      <c r="DH194" s="23" t="n">
        <f aca="false">IF(BB194=1,IF(COUNTIFS($AZ$2:$AZ$201,AZ194,$DD$2:$DD$201,1,$AR$2:$AR$201,"Y")&gt;0,1,0),0)</f>
        <v>0</v>
      </c>
      <c r="DI194" s="23" t="n">
        <f aca="false">IF(BB194=1,IF(COUNTIFS($AZ$2:$AZ$201,AZ194,$DE$2:$DE$201,1,$AR$2:$AR$201,"Y")&gt;0,1,0),0)</f>
        <v>0</v>
      </c>
      <c r="DJ194" s="23" t="n">
        <f aca="false">IF(BB194=1,IF(COUNTIFS($AZ$2:$AZ$201,AZ194,$DF$2:$DF$201,1,$AR$2:$AR$201,"Y")&gt;0,1,0),0)</f>
        <v>0</v>
      </c>
      <c r="DK194" s="23" t="n">
        <f aca="false">IF(BB194=1,IF(COUNTIFS($AZ$2:$AZ$201,AZ194,$DG$2:$DG$201,1,$AR$2:$AR$201,"Y")&gt;0,1,0),0)</f>
        <v>0</v>
      </c>
      <c r="DL194" s="23" t="n">
        <f aca="false">IF(AND(BF194=1,INT(N(H194))&lt;=Config!$B$6,DH194=1,EI194=0),1,0)</f>
        <v>0</v>
      </c>
      <c r="DM194" s="23" t="n">
        <f aca="false">IF(AND(BF194=1,INT(N(H194))&lt;=Config!$B$7,DI194=1,EI194=0),1,0)</f>
        <v>0</v>
      </c>
      <c r="DN194" s="23" t="n">
        <f aca="false">IF(AND(BF194=1,INT(N(H194))&lt;=Config!$B$8,DJ194=1,EI194=0),1,0)</f>
        <v>0</v>
      </c>
      <c r="DO194" s="23" t="n">
        <f aca="false">IF(AND(BF194=1,INT(N(H194))&lt;=Config!$B$5,DK194=1,EI194=0),1,0)</f>
        <v>0</v>
      </c>
      <c r="DP194" s="23" t="n">
        <f aca="false">IF(AND(CC194=1,INT(N(H194))&lt;=Config!$B$6,DH194=1,EI194=0),1,0)</f>
        <v>0</v>
      </c>
      <c r="DQ194" s="23" t="n">
        <f aca="false">IF(AND(CC194=1,INT(N(H194))&lt;=Config!$B$7,DI194=1,EI194=0),1,0)</f>
        <v>0</v>
      </c>
      <c r="DR194" s="23" t="n">
        <f aca="false">IF(AND(CC194=1,INT(N(H194))&lt;=Config!$B$8,DJ194=1,EI194=0),1,0)</f>
        <v>0</v>
      </c>
      <c r="DS194" s="23" t="n">
        <f aca="false">IF(AND(CC194=1,INT(N(H194))&lt;=Config!$B$5,DK194=1,EI194=0),1,0)</f>
        <v>0</v>
      </c>
      <c r="DT194" s="23" t="n">
        <f aca="false">IF(AND(CC194=1,INT(N(H194))&lt;=Config!$B$6,DH194=0),1,0)</f>
        <v>0</v>
      </c>
      <c r="DU194" s="23" t="n">
        <f aca="false">IF(AND(CC194=1,INT(N(H194))&lt;=Config!$B$7,DI194=0),1,0)</f>
        <v>0</v>
      </c>
      <c r="DV194" s="23" t="n">
        <f aca="false">IF(AND(CC194=1,INT(N(H194))&lt;=Config!$B$8,DJ194=0),1,0)</f>
        <v>0</v>
      </c>
      <c r="DW194" s="23" t="n">
        <f aca="false">IF(AND(CC194=1,INT(N(H194))&lt;=Config!$B$5,DK194=0),1,0)</f>
        <v>0</v>
      </c>
      <c r="DX194" s="23" t="n">
        <f aca="false">IF(TRIM($A194)="",0,ISTEXT(M194)+ISTEXT(O194)+ISTEXT(Y194)+ISTEXT(Z194)+ISTEXT(AA194)+ISTEXT(AV194))</f>
        <v>0</v>
      </c>
      <c r="DY194" s="23" t="n">
        <f aca="false">IF(BB194=1,IF(H194&lt;&gt;INT(H194),1,0),0)</f>
        <v>0</v>
      </c>
      <c r="DZ194" s="23" t="str">
        <f aca="false">IF(TRIM($A194)="","",IF(TRIM(B194)="",SUBSTITUTE(SUBSTITUTE(SUBSTITUTE(SUBSTITUTE(SUBSTITUTE(SUBSTITUTE(LOWER(TRIM($A194)),"~",""),"*",""),"?",""),"&lt;",""),"&gt;",""),"=",""),SUBSTITUTE(SUBSTITUTE(SUBSTITUTE(SUBSTITUTE(SUBSTITUTE(SUBSTITUTE(LOWER(TRIM(B194)),"~",""),"*",""),"?",""),"&lt;",""),"&gt;",""),"=","")))</f>
        <v/>
      </c>
      <c r="EA194" s="23" t="str">
        <f aca="false">IF(CW194="","",IFERROR(IF(LEFT(LOWER(TRIM(INDEX(Clay_Offices!$A$2:$FZ$601,CW194,Sync!$C$19)&amp;"")),4)="grp-",SUBSTITUTE(SUBSTITUTE(SUBSTITUTE(SUBSTITUTE(SUBSTITUTE(SUBSTITUTE(LOWER(TRIM(INDEX(Clay_Offices!$A$2:$FZ$601,CW194,Sync!$C$19)&amp;"")),"~",""),"*",""),"?",""),"&lt;",""),"&gt;",""),"=",""),""),""))</f>
        <v/>
      </c>
      <c r="EB194" s="23" t="str">
        <f aca="false">IF(EA194&lt;&gt;"",DZ194,"")</f>
        <v/>
      </c>
      <c r="EC194" s="23" t="str">
        <f aca="false">IF(BC194=1,AZ194,"")</f>
        <v/>
      </c>
      <c r="ED194" s="23" t="str">
        <f aca="false">IF(TRIM($A194)="","",IFERROR(INDEX($A$2:$A$201,MATCH(AZ194,$EC$2:$EC$201,0))&amp;"",$A194&amp;""))</f>
        <v/>
      </c>
      <c r="EE194" s="23" t="n">
        <f aca="false">IF(BB194=1,IF(COUNTIFS($A$2:$A$201,$A194,$BB$2:$BB$201,1,$H$2:$H$201,"&lt;"&amp;H194)+COUNTIFS($A$2:$A$201,$A194,$BB$2:$BB$201,1,$H$2:$H$201,H194,$BA$2:$BA$201,"&lt;"&amp;BA194)=0,1,0),0)</f>
        <v>0</v>
      </c>
      <c r="EF194" s="23" t="n">
        <f aca="false">IF(BC194=1,IF(COUNTIFS($AZ$2:$AZ$201,AZ194,$EE$2:$EE$201,1)&gt;1,1,0),0)</f>
        <v>0</v>
      </c>
      <c r="EG194" s="23" t="n">
        <f aca="false">IF(AND(CQ194=1),IF(COUNTIFS($AZ$2:$AZ$201,AZ194,$CQ$2:$CQ$201,1,$H$2:$H$201,"&gt;"&amp;H194)+COUNTIFS($AZ$2:$AZ$201,AZ194,$CQ$2:$CQ$201,1,$H$2:$H$201,H194,$BA$2:$BA$201,"&gt;"&amp;BA194)=0,1,0),0)</f>
        <v>0</v>
      </c>
      <c r="EH194" s="23" t="str">
        <f aca="false">IF(BB194=1,IF(COUNTIFS($AZ$2:$AZ$201,AZ194,$EG$2:$EG$201,1)=0,"",SUMIFS($O$2:$O$201,$AZ$2:$AZ$201,AZ194,$EG$2:$EG$201,1)),"")</f>
        <v/>
      </c>
      <c r="EI194" s="23" t="n">
        <f aca="false">IF(AND(ISNUMBER(EH194),OR(N(EH194)&lt;Config!$B$31,N(EH194)&gt;Config!$B$33)),1,0)</f>
        <v>0</v>
      </c>
      <c r="EJ194" s="23" t="n">
        <f aca="false">IF(AND(ISNUMBER(EH194),N(EH194)&gt;=Config!$B$31,N(EH194)&lt;Config!$B$32),1,0)</f>
        <v>0</v>
      </c>
      <c r="EK194" s="23" t="n">
        <f aca="false">IF(AND(BF194=1,INT(N(H194))&lt;=Config!$B$6,DH194=1,EI194=1),1,0)</f>
        <v>0</v>
      </c>
      <c r="EL194" s="23" t="n">
        <f aca="false">IF(AND(BF194=1,INT(N(H194))&lt;=Config!$B$7,DI194=1,EI194=1),1,0)</f>
        <v>0</v>
      </c>
      <c r="EM194" s="23" t="n">
        <f aca="false">IF(AND(BF194=1,INT(N(H194))&lt;=Config!$B$8,DJ194=1,EI194=1),1,0)</f>
        <v>0</v>
      </c>
      <c r="EN194" s="23" t="n">
        <f aca="false">IF(AND(BF194=1,INT(N(H194))&lt;=Config!$B$5,DK194=1,EI194=1),1,0)</f>
        <v>0</v>
      </c>
      <c r="EO194" s="23" t="n">
        <f aca="false">IF(AND(DL194=1,EJ194=1),1,0)</f>
        <v>0</v>
      </c>
      <c r="EP194" s="23" t="n">
        <f aca="false">IF(AND(DM194=1,EJ194=1),1,0)</f>
        <v>0</v>
      </c>
      <c r="EQ194" s="23" t="n">
        <f aca="false">IF(AND(DN194=1,EJ194=1),1,0)</f>
        <v>0</v>
      </c>
      <c r="ER194" s="23" t="n">
        <f aca="false">IF(AND(DO194=1,EJ194=1),1,0)</f>
        <v>0</v>
      </c>
    </row>
    <row r="195" customFormat="false" ht="15" hidden="false" customHeight="false" outlineLevel="0" collapsed="false">
      <c r="G195" s="32"/>
      <c r="H195" s="33"/>
      <c r="I195" s="32"/>
      <c r="L195" s="32"/>
      <c r="Q195" s="32"/>
      <c r="U195" s="32"/>
      <c r="W195" s="32"/>
      <c r="AC195" s="32"/>
      <c r="AF195" s="32"/>
      <c r="AI195" s="32"/>
      <c r="AJ195" s="32"/>
      <c r="AN195" s="32"/>
      <c r="AR195" s="32"/>
      <c r="AT195" s="32"/>
      <c r="AU195" s="32"/>
      <c r="AW195" s="32"/>
      <c r="AY195" s="34" t="str">
        <f aca="false">IF(TRIM($A195)="","",IF(AND(LEFT($A195,6)="SAMPLE",Config!$B$19&lt;&gt;"Y"),"",IF(NOT(ISNUMBER(H195)),"call_date is blank or not a date",IF(Sync!$C$5="","Clay paste is empty or has no row_id column: paste the Clay export on Clay_Offices",IF(CW195="","row_id not found in the Clay paste: add the Clay row or fix the row_id",IF(AND(ISNUMBER(CY195),CY195&gt;=1,CY195&lt;=5),"Clay status is "&amp;CX195&amp;": set call_done or later",IF(AND(BD195=1,CZ195&lt;&gt;BZ195),"Clay yes_in_principle should be "&amp;BZ195,IF(AND(BD195=1,DA195&lt;&gt;H195),"Clay call_date should be "&amp;TEXT(H195,"yyyy-mm-dd"),""))))))))</f>
        <v/>
      </c>
      <c r="AZ195" s="23" t="str">
        <f aca="false">IF(TRIM($A195)="","",IF(TRIM(C195)&lt;&gt;"",SUBSTITUTE(SUBSTITUTE(SUBSTITUTE(SUBSTITUTE(SUBSTITUTE(SUBSTITUTE(LOWER(TRIM(C195)),"~",""),"*",""),"?",""),"&lt;",""),"&gt;",""),"=",""),IF(EA195&lt;&gt;"",EA195,IFERROR(INDEX($EA$2:$EA$201,MATCH(DZ195,$EB$2:$EB$201,0)),DZ195))))</f>
        <v/>
      </c>
      <c r="BA195" s="23" t="n">
        <f aca="false">ROW()</f>
        <v>195</v>
      </c>
      <c r="BB195" s="23" t="n">
        <f aca="false">IF(AND(TRIM($A195)&lt;&gt;"",ISNUMBER(H195)),IF(AND(LEFT($A195,6)="SAMPLE",Config!$B$19&lt;&gt;"Y"),0,1),0)</f>
        <v>0</v>
      </c>
      <c r="BC195" s="23" t="n">
        <f aca="false">IF(BB195=1,IF(COUNTIFS($AZ$2:$AZ$201,AZ195,$BB$2:$BB$201,1,$H$2:$H$201,"&lt;"&amp;H195)+COUNTIFS($AZ$2:$AZ$201,AZ195,$BB$2:$BB$201,1,$H$2:$H$201,H195,$BA$2:$BA$201,"&lt;"&amp;BA195)=0,1,0),0)</f>
        <v>0</v>
      </c>
      <c r="BD195" s="23" t="n">
        <f aca="false">IF(BB195=1,IF(COUNTIFS($A$2:$A$201,$A195,$BB$2:$BB$201,1,$H$2:$H$201,"&gt;"&amp;H195)+COUNTIFS($A$2:$A$201,$A195,$BB$2:$BB$201,1,$H$2:$H$201,H195,$BA$2:$BA$201,"&gt;"&amp;BA195)=0,1,0),0)</f>
        <v>0</v>
      </c>
      <c r="BE195" s="23" t="n">
        <f aca="false">IF(AND(BB195=1,AR195="Y",AC195="Y",TRIM(AH195)&lt;&gt;""),1,0)</f>
        <v>0</v>
      </c>
      <c r="BF195" s="23" t="n">
        <f aca="false">IF(BE195=1,IF(COUNTIFS($AZ$2:$AZ$201,AZ195,$BE$2:$BE$201,1,$H$2:$H$201,"&lt;"&amp;H195)+COUNTIFS($AZ$2:$AZ$201,AZ195,$BE$2:$BE$201,1,$H$2:$H$201,H195,$BA$2:$BA$201,"&lt;"&amp;BA195)=0,1,0),0)</f>
        <v>0</v>
      </c>
      <c r="BG195" s="23" t="n">
        <f aca="false">IF(AND(BB195=1,AR195="Y",BE195=0),1,0)</f>
        <v>0</v>
      </c>
      <c r="BH195" s="23" t="n">
        <f aca="false">IF(AND(BB195=1,ISNUMBER(Y195)),1,0)</f>
        <v>0</v>
      </c>
      <c r="BI195" s="23" t="n">
        <f aca="false">IF(BH195=1,IF(COUNTIFS($AZ$2:$AZ$201,AZ195,$BH$2:$BH$201,1,$H$2:$H$201,"&lt;"&amp;H195)+COUNTIFS($AZ$2:$AZ$201,AZ195,$BH$2:$BH$201,1,$H$2:$H$201,H195,$BA$2:$BA$201,"&lt;"&amp;BA195)=0,1,0),0)</f>
        <v>0</v>
      </c>
      <c r="BJ195" s="23" t="str">
        <f aca="false">IF(AND(BI195=1,INT(N(H195))&lt;=Config!$B$6),Y195,"")</f>
        <v/>
      </c>
      <c r="BK195" s="23" t="str">
        <f aca="false">IF(AND(BI195=1,INT(N(H195))&lt;=Config!$B$7),Y195,"")</f>
        <v/>
      </c>
      <c r="BL195" s="23" t="str">
        <f aca="false">IF(AND(BI195=1,INT(N(H195))&lt;=Config!$B$8),Y195,"")</f>
        <v/>
      </c>
      <c r="BM195" s="23" t="str">
        <f aca="false">IF(AND(BI195=1,INT(N(H195))&lt;=Config!$B$5),Y195,"")</f>
        <v/>
      </c>
      <c r="BN195" s="23" t="n">
        <f aca="false">IF(CD195=1,IF(COUNTIFS($AZ$2:$AZ$201,AZ195,$CD$2:$CD$201,1,$H$2:$H$201,"&lt;"&amp;H195)+COUNTIFS($AZ$2:$AZ$201,AZ195,$CD$2:$CD$201,1,$H$2:$H$201,H195,$BA$2:$BA$201,"&lt;"&amp;BA195)=0,1,0),0)</f>
        <v>0</v>
      </c>
      <c r="BO195" s="23" t="n">
        <f aca="false">IF(AND(BB195=1,ISNUMBER(M195)),1,0)</f>
        <v>0</v>
      </c>
      <c r="BP195" s="23" t="n">
        <f aca="false">IF(BO195=1,IF(COUNTIFS($AZ$2:$AZ$201,AZ195,$BO$2:$BO$201,1,$H$2:$H$201,"&lt;"&amp;H195)+COUNTIFS($AZ$2:$AZ$201,AZ195,$BO$2:$BO$201,1,$H$2:$H$201,H195,$BA$2:$BA$201,"&lt;"&amp;BA195)=0,1,0),0)</f>
        <v>0</v>
      </c>
      <c r="BQ195" s="23" t="str">
        <f aca="false">IF(AND(BP195=1,INT(N(H195))&lt;=Config!$B$5),M195,"")</f>
        <v/>
      </c>
      <c r="BR195" s="23" t="n">
        <f aca="false">IF(AND(BB195=1,OR(TRIM(X195)&lt;&gt;"",ISNUMBER(Y195))),1,0)</f>
        <v>0</v>
      </c>
      <c r="BS195" s="23" t="n">
        <f aca="false">IF(BR195=1,IF(COUNTIFS($AZ$2:$AZ$201,AZ195,$BR$2:$BR$201,1,$H$2:$H$201,"&lt;"&amp;H195)+COUNTIFS($AZ$2:$AZ$201,AZ195,$BR$2:$BR$201,1,$H$2:$H$201,H195,$BA$2:$BA$201,"&lt;"&amp;BA195)=0,1,0),0)</f>
        <v>0</v>
      </c>
      <c r="BT195" s="23" t="str">
        <f aca="false">IF(BS195=1,AZ195,"")</f>
        <v/>
      </c>
      <c r="BU195" s="23" t="n">
        <f aca="false">IF(AND(BB195=1,W195="Y",TRIM(X195)=""),1,0)</f>
        <v>0</v>
      </c>
      <c r="BV195" s="23" t="str">
        <f aca="false">IF(BB195=1,AN195&amp;"","")</f>
        <v/>
      </c>
      <c r="BW195" s="23" t="str">
        <f aca="false">IF(BB195=1,AO195&amp;"","")</f>
        <v/>
      </c>
      <c r="BX195" s="23" t="str">
        <f aca="false">IF(BB195=1,AP195&amp;"","")</f>
        <v/>
      </c>
      <c r="BY195" s="23" t="str">
        <f aca="false">IF(AND(BB195=1,ISNUMBER(AV195),INT(N(H195))&lt;=Config!$B$5),AV195,"")</f>
        <v/>
      </c>
      <c r="BZ195" s="23" t="str">
        <f aca="false">IF(BB195=1,IF(COUNTIFS($A$2:$A$201,$A195,$DC$2:$DC$201,1,$AR$2:$AR$201,"Y")&gt;0,"Y","N"),"")</f>
        <v/>
      </c>
      <c r="CA195" s="23" t="n">
        <f aca="false">IF(AND(BB195=1,AR195="maybe"),1,0)</f>
        <v>0</v>
      </c>
      <c r="CB195" s="23" t="n">
        <f aca="false">IF(CA195=1,IF(COUNTIFS($AZ$2:$AZ$201,AZ195,$CA$2:$CA$201,1,$H$2:$H$201,"&lt;"&amp;H195)+COUNTIFS($AZ$2:$AZ$201,AZ195,$CA$2:$CA$201,1,$H$2:$H$201,H195,$BA$2:$BA$201,"&lt;"&amp;BA195)=0,1,0),0)</f>
        <v>0</v>
      </c>
      <c r="CC195" s="23" t="n">
        <f aca="false">IF(AND(BB195=1,AR195="Y"),IF(COUNTIFS($AZ$2:$AZ$201,AZ195,$AR$2:$AR$201,"Y",$BB$2:$BB$201,1,$H$2:$H$201,"&lt;"&amp;H195)+COUNTIFS($AZ$2:$AZ$201,AZ195,$AR$2:$AR$201,"Y",$BB$2:$BB$201,1,$H$2:$H$201,H195,$BA$2:$BA$201,"&lt;"&amp;BA195)=0,1,0),0)</f>
        <v>0</v>
      </c>
      <c r="CD195" s="23" t="n">
        <f aca="false">IF(AND(BH195=1,N(Y195)&gt;=Config!$B$15),1,0)</f>
        <v>0</v>
      </c>
      <c r="CE195" s="23" t="n">
        <f aca="false">IF(AND(BB195=1,AT195="Y"),1,0)</f>
        <v>0</v>
      </c>
      <c r="CF195" s="23" t="n">
        <f aca="false">IF(CE195=1,IF(COUNTIFS($AZ$2:$AZ$201,AZ195,$CE$2:$CE$201,1,$H$2:$H$201,"&lt;"&amp;H195)+COUNTIFS($AZ$2:$AZ$201,AZ195,$CE$2:$CE$201,1,$H$2:$H$201,H195,$BA$2:$BA$201,"&lt;"&amp;BA195)=0,1,0),0)</f>
        <v>0</v>
      </c>
      <c r="CG195" s="23" t="n">
        <f aca="false">IF(AND(BB195=1,G195="warm-intro"),1,0)</f>
        <v>0</v>
      </c>
      <c r="CH195" s="23" t="n">
        <f aca="false">IF(CG195=1,IF(COUNTIFS($AZ$2:$AZ$201,AZ195,$CG$2:$CG$201,1,$H$2:$H$201,"&lt;"&amp;H195)+COUNTIFS($AZ$2:$AZ$201,AZ195,$CG$2:$CG$201,1,$H$2:$H$201,H195,$BA$2:$BA$201,"&lt;"&amp;BA195)=0,1,0),0)</f>
        <v>0</v>
      </c>
      <c r="CI195" s="23" t="n">
        <f aca="false">IF(AND(BB195=1,Q195="Y"),1,0)</f>
        <v>0</v>
      </c>
      <c r="CJ195" s="23" t="n">
        <f aca="false">IF(CI195=1,IF(COUNTIFS($AZ$2:$AZ$201,AZ195,$CI$2:$CI$201,1,$H$2:$H$201,"&lt;"&amp;H195)+COUNTIFS($AZ$2:$AZ$201,AZ195,$CI$2:$CI$201,1,$H$2:$H$201,H195,$BA$2:$BA$201,"&lt;"&amp;BA195)=0,1,0),0)</f>
        <v>0</v>
      </c>
      <c r="CK195" s="23" t="n">
        <f aca="false">IF(AND(BB195=1,AF195="Y"),1,0)</f>
        <v>0</v>
      </c>
      <c r="CL195" s="23" t="n">
        <f aca="false">IF(CK195=1,IF(COUNTIFS($AZ$2:$AZ$201,AZ195,$CK$2:$CK$201,1,$H$2:$H$201,"&lt;"&amp;H195)+COUNTIFS($AZ$2:$AZ$201,AZ195,$CK$2:$CK$201,1,$H$2:$H$201,H195,$BA$2:$BA$201,"&lt;"&amp;BA195)=0,1,0),0)</f>
        <v>0</v>
      </c>
      <c r="CM195" s="23" t="n">
        <f aca="false">IF(AND(BB195=1,U195="Y"),1,0)</f>
        <v>0</v>
      </c>
      <c r="CN195" s="23" t="n">
        <f aca="false">IF(CM195=1,IF(COUNTIFS($AZ$2:$AZ$201,AZ195,$CM$2:$CM$201,1,$H$2:$H$201,"&lt;"&amp;H195)+COUNTIFS($AZ$2:$AZ$201,AZ195,$CM$2:$CM$201,1,$H$2:$H$201,H195,$BA$2:$BA$201,"&lt;"&amp;BA195)=0,1,0),0)</f>
        <v>0</v>
      </c>
      <c r="CO195" s="23" t="n">
        <f aca="false">IF(AND(BB195=1,L195="Y"),1,0)</f>
        <v>0</v>
      </c>
      <c r="CP195" s="23" t="n">
        <f aca="false">IF(CO195=1,IF(COUNTIFS($AZ$2:$AZ$201,AZ195,$CO$2:$CO$201,1,$H$2:$H$201,"&lt;"&amp;H195)+COUNTIFS($AZ$2:$AZ$201,AZ195,$CO$2:$CO$201,1,$H$2:$H$201,H195,$BA$2:$BA$201,"&lt;"&amp;BA195)=0,1,0),0)</f>
        <v>0</v>
      </c>
      <c r="CQ195" s="23" t="n">
        <f aca="false">IF(AND(BB195=1,ISNUMBER(O195)),1,0)</f>
        <v>0</v>
      </c>
      <c r="CR195" s="23" t="n">
        <f aca="false">IF(CQ195=1,IF(COUNTIFS($AZ$2:$AZ$201,AZ195,$CQ$2:$CQ$201,1,$H$2:$H$201,"&lt;"&amp;H195)+COUNTIFS($AZ$2:$AZ$201,AZ195,$CQ$2:$CQ$201,1,$H$2:$H$201,H195,$BA$2:$BA$201,"&lt;"&amp;BA195)=0,1,0),0)</f>
        <v>0</v>
      </c>
      <c r="CS195" s="23" t="str">
        <f aca="false">IF(AND(CR195=1,INT(N(H195))&lt;=Config!$B$5),O195,"")</f>
        <v/>
      </c>
      <c r="CT195" s="23" t="str">
        <f aca="false">IF(AND(BB195=1,INT(N(H195))&lt;=Config!$B$5),AG195&amp;"","")</f>
        <v/>
      </c>
      <c r="CU195" s="23" t="n">
        <f aca="false">IF(AND(BB195=1,AU195="Y"),1,0)</f>
        <v>0</v>
      </c>
      <c r="CV195" s="23" t="n">
        <f aca="false">IF(CU195=1,IF(COUNTIFS($AZ$2:$AZ$201,AZ195,$CU$2:$CU$201,1,$H$2:$H$201,"&lt;"&amp;H195)+COUNTIFS($AZ$2:$AZ$201,AZ195,$CU$2:$CU$201,1,$H$2:$H$201,H195,$BA$2:$BA$201,"&lt;"&amp;BA195)=0,1,0),0)</f>
        <v>0</v>
      </c>
      <c r="CW195" s="23" t="str">
        <f aca="false">IF(BB195=1,IFERROR(MATCH($A195,INDEX(Clay_Offices!$A$2:$FZ$601,0,Sync!$C$5),0),""),"")</f>
        <v/>
      </c>
      <c r="CX195" s="23" t="str">
        <f aca="false">IF(CW195="","",IFERROR(INDEX(Clay_Offices!$A$2:$FZ$601,CW195,Sync!$C$7)&amp;"",""))</f>
        <v/>
      </c>
      <c r="CY195" s="23" t="str">
        <f aca="false">IF(CX195="","",IFERROR(INDEX(Lists!$K$2:$K$15,MATCH(CX195,Lists!$J$2:$J$15,0)),""))</f>
        <v/>
      </c>
      <c r="CZ195" s="23" t="str">
        <f aca="false">IF(CW195="","",IFERROR(INDEX(Clay_Offices!$A$2:$FZ$601,CW195,Sync!$C$17)&amp;"",""))</f>
        <v/>
      </c>
      <c r="DA195" s="35" t="str">
        <f aca="false">IF(CW195="","",IFERROR(N(INDEX(Clay_Offices!$A$2:$FZ$601,CW195,Sync!$C$16)),0))</f>
        <v/>
      </c>
      <c r="DB195" s="23" t="n">
        <f aca="false">IF(AND(BB195=1,OR(AR195="Y",AR195="N",AR195="maybe")),1,0)</f>
        <v>0</v>
      </c>
      <c r="DC195" s="23" t="n">
        <f aca="false">IF(AND(DB195=1),IF(COUNTIFS($A$2:$A$201,$A195,$DB$2:$DB$201,1,$H$2:$H$201,"&gt;"&amp;H195)+COUNTIFS($A$2:$A$201,$A195,$DB$2:$DB$201,1,$H$2:$H$201,H195,$BA$2:$BA$201,"&gt;"&amp;BA195)=0,1,0),0)</f>
        <v>0</v>
      </c>
      <c r="DD195" s="23" t="n">
        <f aca="false">IF(AND(DB195=1,INT(N(H195))&lt;=Config!$B$6),IF(COUNTIFS($AZ$2:$AZ$201,AZ195,$DB$2:$DB$201,1,$H$2:$H$201,"&gt;"&amp;H195,$H$2:$H$201,"&lt;"&amp;(Config!$B$6+1))+COUNTIFS($AZ$2:$AZ$201,AZ195,$DB$2:$DB$201,1,$H$2:$H$201,H195,$BA$2:$BA$201,"&gt;"&amp;BA195)=0,1,0),0)</f>
        <v>0</v>
      </c>
      <c r="DE195" s="23" t="n">
        <f aca="false">IF(AND(DB195=1,INT(N(H195))&lt;=Config!$B$7),IF(COUNTIFS($AZ$2:$AZ$201,AZ195,$DB$2:$DB$201,1,$H$2:$H$201,"&gt;"&amp;H195,$H$2:$H$201,"&lt;"&amp;(Config!$B$7+1))+COUNTIFS($AZ$2:$AZ$201,AZ195,$DB$2:$DB$201,1,$H$2:$H$201,H195,$BA$2:$BA$201,"&gt;"&amp;BA195)=0,1,0),0)</f>
        <v>0</v>
      </c>
      <c r="DF195" s="23" t="n">
        <f aca="false">IF(AND(DB195=1,INT(N(H195))&lt;=Config!$B$8),IF(COUNTIFS($AZ$2:$AZ$201,AZ195,$DB$2:$DB$201,1,$H$2:$H$201,"&gt;"&amp;H195,$H$2:$H$201,"&lt;"&amp;(Config!$B$8+1))+COUNTIFS($AZ$2:$AZ$201,AZ195,$DB$2:$DB$201,1,$H$2:$H$201,H195,$BA$2:$BA$201,"&gt;"&amp;BA195)=0,1,0),0)</f>
        <v>0</v>
      </c>
      <c r="DG195" s="23" t="n">
        <f aca="false">IF(AND(DB195=1,INT(N(H195))&lt;=Config!$B$5),IF(COUNTIFS($AZ$2:$AZ$201,AZ195,$DB$2:$DB$201,1,$H$2:$H$201,"&gt;"&amp;H195,$H$2:$H$201,"&lt;"&amp;(Config!$B$5+1))+COUNTIFS($AZ$2:$AZ$201,AZ195,$DB$2:$DB$201,1,$H$2:$H$201,H195,$BA$2:$BA$201,"&gt;"&amp;BA195)=0,1,0),0)</f>
        <v>0</v>
      </c>
      <c r="DH195" s="23" t="n">
        <f aca="false">IF(BB195=1,IF(COUNTIFS($AZ$2:$AZ$201,AZ195,$DD$2:$DD$201,1,$AR$2:$AR$201,"Y")&gt;0,1,0),0)</f>
        <v>0</v>
      </c>
      <c r="DI195" s="23" t="n">
        <f aca="false">IF(BB195=1,IF(COUNTIFS($AZ$2:$AZ$201,AZ195,$DE$2:$DE$201,1,$AR$2:$AR$201,"Y")&gt;0,1,0),0)</f>
        <v>0</v>
      </c>
      <c r="DJ195" s="23" t="n">
        <f aca="false">IF(BB195=1,IF(COUNTIFS($AZ$2:$AZ$201,AZ195,$DF$2:$DF$201,1,$AR$2:$AR$201,"Y")&gt;0,1,0),0)</f>
        <v>0</v>
      </c>
      <c r="DK195" s="23" t="n">
        <f aca="false">IF(BB195=1,IF(COUNTIFS($AZ$2:$AZ$201,AZ195,$DG$2:$DG$201,1,$AR$2:$AR$201,"Y")&gt;0,1,0),0)</f>
        <v>0</v>
      </c>
      <c r="DL195" s="23" t="n">
        <f aca="false">IF(AND(BF195=1,INT(N(H195))&lt;=Config!$B$6,DH195=1,EI195=0),1,0)</f>
        <v>0</v>
      </c>
      <c r="DM195" s="23" t="n">
        <f aca="false">IF(AND(BF195=1,INT(N(H195))&lt;=Config!$B$7,DI195=1,EI195=0),1,0)</f>
        <v>0</v>
      </c>
      <c r="DN195" s="23" t="n">
        <f aca="false">IF(AND(BF195=1,INT(N(H195))&lt;=Config!$B$8,DJ195=1,EI195=0),1,0)</f>
        <v>0</v>
      </c>
      <c r="DO195" s="23" t="n">
        <f aca="false">IF(AND(BF195=1,INT(N(H195))&lt;=Config!$B$5,DK195=1,EI195=0),1,0)</f>
        <v>0</v>
      </c>
      <c r="DP195" s="23" t="n">
        <f aca="false">IF(AND(CC195=1,INT(N(H195))&lt;=Config!$B$6,DH195=1,EI195=0),1,0)</f>
        <v>0</v>
      </c>
      <c r="DQ195" s="23" t="n">
        <f aca="false">IF(AND(CC195=1,INT(N(H195))&lt;=Config!$B$7,DI195=1,EI195=0),1,0)</f>
        <v>0</v>
      </c>
      <c r="DR195" s="23" t="n">
        <f aca="false">IF(AND(CC195=1,INT(N(H195))&lt;=Config!$B$8,DJ195=1,EI195=0),1,0)</f>
        <v>0</v>
      </c>
      <c r="DS195" s="23" t="n">
        <f aca="false">IF(AND(CC195=1,INT(N(H195))&lt;=Config!$B$5,DK195=1,EI195=0),1,0)</f>
        <v>0</v>
      </c>
      <c r="DT195" s="23" t="n">
        <f aca="false">IF(AND(CC195=1,INT(N(H195))&lt;=Config!$B$6,DH195=0),1,0)</f>
        <v>0</v>
      </c>
      <c r="DU195" s="23" t="n">
        <f aca="false">IF(AND(CC195=1,INT(N(H195))&lt;=Config!$B$7,DI195=0),1,0)</f>
        <v>0</v>
      </c>
      <c r="DV195" s="23" t="n">
        <f aca="false">IF(AND(CC195=1,INT(N(H195))&lt;=Config!$B$8,DJ195=0),1,0)</f>
        <v>0</v>
      </c>
      <c r="DW195" s="23" t="n">
        <f aca="false">IF(AND(CC195=1,INT(N(H195))&lt;=Config!$B$5,DK195=0),1,0)</f>
        <v>0</v>
      </c>
      <c r="DX195" s="23" t="n">
        <f aca="false">IF(TRIM($A195)="",0,ISTEXT(M195)+ISTEXT(O195)+ISTEXT(Y195)+ISTEXT(Z195)+ISTEXT(AA195)+ISTEXT(AV195))</f>
        <v>0</v>
      </c>
      <c r="DY195" s="23" t="n">
        <f aca="false">IF(BB195=1,IF(H195&lt;&gt;INT(H195),1,0),0)</f>
        <v>0</v>
      </c>
      <c r="DZ195" s="23" t="str">
        <f aca="false">IF(TRIM($A195)="","",IF(TRIM(B195)="",SUBSTITUTE(SUBSTITUTE(SUBSTITUTE(SUBSTITUTE(SUBSTITUTE(SUBSTITUTE(LOWER(TRIM($A195)),"~",""),"*",""),"?",""),"&lt;",""),"&gt;",""),"=",""),SUBSTITUTE(SUBSTITUTE(SUBSTITUTE(SUBSTITUTE(SUBSTITUTE(SUBSTITUTE(LOWER(TRIM(B195)),"~",""),"*",""),"?",""),"&lt;",""),"&gt;",""),"=","")))</f>
        <v/>
      </c>
      <c r="EA195" s="23" t="str">
        <f aca="false">IF(CW195="","",IFERROR(IF(LEFT(LOWER(TRIM(INDEX(Clay_Offices!$A$2:$FZ$601,CW195,Sync!$C$19)&amp;"")),4)="grp-",SUBSTITUTE(SUBSTITUTE(SUBSTITUTE(SUBSTITUTE(SUBSTITUTE(SUBSTITUTE(LOWER(TRIM(INDEX(Clay_Offices!$A$2:$FZ$601,CW195,Sync!$C$19)&amp;"")),"~",""),"*",""),"?",""),"&lt;",""),"&gt;",""),"=",""),""),""))</f>
        <v/>
      </c>
      <c r="EB195" s="23" t="str">
        <f aca="false">IF(EA195&lt;&gt;"",DZ195,"")</f>
        <v/>
      </c>
      <c r="EC195" s="23" t="str">
        <f aca="false">IF(BC195=1,AZ195,"")</f>
        <v/>
      </c>
      <c r="ED195" s="23" t="str">
        <f aca="false">IF(TRIM($A195)="","",IFERROR(INDEX($A$2:$A$201,MATCH(AZ195,$EC$2:$EC$201,0))&amp;"",$A195&amp;""))</f>
        <v/>
      </c>
      <c r="EE195" s="23" t="n">
        <f aca="false">IF(BB195=1,IF(COUNTIFS($A$2:$A$201,$A195,$BB$2:$BB$201,1,$H$2:$H$201,"&lt;"&amp;H195)+COUNTIFS($A$2:$A$201,$A195,$BB$2:$BB$201,1,$H$2:$H$201,H195,$BA$2:$BA$201,"&lt;"&amp;BA195)=0,1,0),0)</f>
        <v>0</v>
      </c>
      <c r="EF195" s="23" t="n">
        <f aca="false">IF(BC195=1,IF(COUNTIFS($AZ$2:$AZ$201,AZ195,$EE$2:$EE$201,1)&gt;1,1,0),0)</f>
        <v>0</v>
      </c>
      <c r="EG195" s="23" t="n">
        <f aca="false">IF(AND(CQ195=1),IF(COUNTIFS($AZ$2:$AZ$201,AZ195,$CQ$2:$CQ$201,1,$H$2:$H$201,"&gt;"&amp;H195)+COUNTIFS($AZ$2:$AZ$201,AZ195,$CQ$2:$CQ$201,1,$H$2:$H$201,H195,$BA$2:$BA$201,"&gt;"&amp;BA195)=0,1,0),0)</f>
        <v>0</v>
      </c>
      <c r="EH195" s="23" t="str">
        <f aca="false">IF(BB195=1,IF(COUNTIFS($AZ$2:$AZ$201,AZ195,$EG$2:$EG$201,1)=0,"",SUMIFS($O$2:$O$201,$AZ$2:$AZ$201,AZ195,$EG$2:$EG$201,1)),"")</f>
        <v/>
      </c>
      <c r="EI195" s="23" t="n">
        <f aca="false">IF(AND(ISNUMBER(EH195),OR(N(EH195)&lt;Config!$B$31,N(EH195)&gt;Config!$B$33)),1,0)</f>
        <v>0</v>
      </c>
      <c r="EJ195" s="23" t="n">
        <f aca="false">IF(AND(ISNUMBER(EH195),N(EH195)&gt;=Config!$B$31,N(EH195)&lt;Config!$B$32),1,0)</f>
        <v>0</v>
      </c>
      <c r="EK195" s="23" t="n">
        <f aca="false">IF(AND(BF195=1,INT(N(H195))&lt;=Config!$B$6,DH195=1,EI195=1),1,0)</f>
        <v>0</v>
      </c>
      <c r="EL195" s="23" t="n">
        <f aca="false">IF(AND(BF195=1,INT(N(H195))&lt;=Config!$B$7,DI195=1,EI195=1),1,0)</f>
        <v>0</v>
      </c>
      <c r="EM195" s="23" t="n">
        <f aca="false">IF(AND(BF195=1,INT(N(H195))&lt;=Config!$B$8,DJ195=1,EI195=1),1,0)</f>
        <v>0</v>
      </c>
      <c r="EN195" s="23" t="n">
        <f aca="false">IF(AND(BF195=1,INT(N(H195))&lt;=Config!$B$5,DK195=1,EI195=1),1,0)</f>
        <v>0</v>
      </c>
      <c r="EO195" s="23" t="n">
        <f aca="false">IF(AND(DL195=1,EJ195=1),1,0)</f>
        <v>0</v>
      </c>
      <c r="EP195" s="23" t="n">
        <f aca="false">IF(AND(DM195=1,EJ195=1),1,0)</f>
        <v>0</v>
      </c>
      <c r="EQ195" s="23" t="n">
        <f aca="false">IF(AND(DN195=1,EJ195=1),1,0)</f>
        <v>0</v>
      </c>
      <c r="ER195" s="23" t="n">
        <f aca="false">IF(AND(DO195=1,EJ195=1),1,0)</f>
        <v>0</v>
      </c>
    </row>
    <row r="196" customFormat="false" ht="15" hidden="false" customHeight="false" outlineLevel="0" collapsed="false">
      <c r="G196" s="32"/>
      <c r="H196" s="33"/>
      <c r="I196" s="32"/>
      <c r="L196" s="32"/>
      <c r="Q196" s="32"/>
      <c r="U196" s="32"/>
      <c r="W196" s="32"/>
      <c r="AC196" s="32"/>
      <c r="AF196" s="32"/>
      <c r="AI196" s="32"/>
      <c r="AJ196" s="32"/>
      <c r="AN196" s="32"/>
      <c r="AR196" s="32"/>
      <c r="AT196" s="32"/>
      <c r="AU196" s="32"/>
      <c r="AW196" s="32"/>
      <c r="AY196" s="34" t="str">
        <f aca="false">IF(TRIM($A196)="","",IF(AND(LEFT($A196,6)="SAMPLE",Config!$B$19&lt;&gt;"Y"),"",IF(NOT(ISNUMBER(H196)),"call_date is blank or not a date",IF(Sync!$C$5="","Clay paste is empty or has no row_id column: paste the Clay export on Clay_Offices",IF(CW196="","row_id not found in the Clay paste: add the Clay row or fix the row_id",IF(AND(ISNUMBER(CY196),CY196&gt;=1,CY196&lt;=5),"Clay status is "&amp;CX196&amp;": set call_done or later",IF(AND(BD196=1,CZ196&lt;&gt;BZ196),"Clay yes_in_principle should be "&amp;BZ196,IF(AND(BD196=1,DA196&lt;&gt;H196),"Clay call_date should be "&amp;TEXT(H196,"yyyy-mm-dd"),""))))))))</f>
        <v/>
      </c>
      <c r="AZ196" s="23" t="str">
        <f aca="false">IF(TRIM($A196)="","",IF(TRIM(C196)&lt;&gt;"",SUBSTITUTE(SUBSTITUTE(SUBSTITUTE(SUBSTITUTE(SUBSTITUTE(SUBSTITUTE(LOWER(TRIM(C196)),"~",""),"*",""),"?",""),"&lt;",""),"&gt;",""),"=",""),IF(EA196&lt;&gt;"",EA196,IFERROR(INDEX($EA$2:$EA$201,MATCH(DZ196,$EB$2:$EB$201,0)),DZ196))))</f>
        <v/>
      </c>
      <c r="BA196" s="23" t="n">
        <f aca="false">ROW()</f>
        <v>196</v>
      </c>
      <c r="BB196" s="23" t="n">
        <f aca="false">IF(AND(TRIM($A196)&lt;&gt;"",ISNUMBER(H196)),IF(AND(LEFT($A196,6)="SAMPLE",Config!$B$19&lt;&gt;"Y"),0,1),0)</f>
        <v>0</v>
      </c>
      <c r="BC196" s="23" t="n">
        <f aca="false">IF(BB196=1,IF(COUNTIFS($AZ$2:$AZ$201,AZ196,$BB$2:$BB$201,1,$H$2:$H$201,"&lt;"&amp;H196)+COUNTIFS($AZ$2:$AZ$201,AZ196,$BB$2:$BB$201,1,$H$2:$H$201,H196,$BA$2:$BA$201,"&lt;"&amp;BA196)=0,1,0),0)</f>
        <v>0</v>
      </c>
      <c r="BD196" s="23" t="n">
        <f aca="false">IF(BB196=1,IF(COUNTIFS($A$2:$A$201,$A196,$BB$2:$BB$201,1,$H$2:$H$201,"&gt;"&amp;H196)+COUNTIFS($A$2:$A$201,$A196,$BB$2:$BB$201,1,$H$2:$H$201,H196,$BA$2:$BA$201,"&gt;"&amp;BA196)=0,1,0),0)</f>
        <v>0</v>
      </c>
      <c r="BE196" s="23" t="n">
        <f aca="false">IF(AND(BB196=1,AR196="Y",AC196="Y",TRIM(AH196)&lt;&gt;""),1,0)</f>
        <v>0</v>
      </c>
      <c r="BF196" s="23" t="n">
        <f aca="false">IF(BE196=1,IF(COUNTIFS($AZ$2:$AZ$201,AZ196,$BE$2:$BE$201,1,$H$2:$H$201,"&lt;"&amp;H196)+COUNTIFS($AZ$2:$AZ$201,AZ196,$BE$2:$BE$201,1,$H$2:$H$201,H196,$BA$2:$BA$201,"&lt;"&amp;BA196)=0,1,0),0)</f>
        <v>0</v>
      </c>
      <c r="BG196" s="23" t="n">
        <f aca="false">IF(AND(BB196=1,AR196="Y",BE196=0),1,0)</f>
        <v>0</v>
      </c>
      <c r="BH196" s="23" t="n">
        <f aca="false">IF(AND(BB196=1,ISNUMBER(Y196)),1,0)</f>
        <v>0</v>
      </c>
      <c r="BI196" s="23" t="n">
        <f aca="false">IF(BH196=1,IF(COUNTIFS($AZ$2:$AZ$201,AZ196,$BH$2:$BH$201,1,$H$2:$H$201,"&lt;"&amp;H196)+COUNTIFS($AZ$2:$AZ$201,AZ196,$BH$2:$BH$201,1,$H$2:$H$201,H196,$BA$2:$BA$201,"&lt;"&amp;BA196)=0,1,0),0)</f>
        <v>0</v>
      </c>
      <c r="BJ196" s="23" t="str">
        <f aca="false">IF(AND(BI196=1,INT(N(H196))&lt;=Config!$B$6),Y196,"")</f>
        <v/>
      </c>
      <c r="BK196" s="23" t="str">
        <f aca="false">IF(AND(BI196=1,INT(N(H196))&lt;=Config!$B$7),Y196,"")</f>
        <v/>
      </c>
      <c r="BL196" s="23" t="str">
        <f aca="false">IF(AND(BI196=1,INT(N(H196))&lt;=Config!$B$8),Y196,"")</f>
        <v/>
      </c>
      <c r="BM196" s="23" t="str">
        <f aca="false">IF(AND(BI196=1,INT(N(H196))&lt;=Config!$B$5),Y196,"")</f>
        <v/>
      </c>
      <c r="BN196" s="23" t="n">
        <f aca="false">IF(CD196=1,IF(COUNTIFS($AZ$2:$AZ$201,AZ196,$CD$2:$CD$201,1,$H$2:$H$201,"&lt;"&amp;H196)+COUNTIFS($AZ$2:$AZ$201,AZ196,$CD$2:$CD$201,1,$H$2:$H$201,H196,$BA$2:$BA$201,"&lt;"&amp;BA196)=0,1,0),0)</f>
        <v>0</v>
      </c>
      <c r="BO196" s="23" t="n">
        <f aca="false">IF(AND(BB196=1,ISNUMBER(M196)),1,0)</f>
        <v>0</v>
      </c>
      <c r="BP196" s="23" t="n">
        <f aca="false">IF(BO196=1,IF(COUNTIFS($AZ$2:$AZ$201,AZ196,$BO$2:$BO$201,1,$H$2:$H$201,"&lt;"&amp;H196)+COUNTIFS($AZ$2:$AZ$201,AZ196,$BO$2:$BO$201,1,$H$2:$H$201,H196,$BA$2:$BA$201,"&lt;"&amp;BA196)=0,1,0),0)</f>
        <v>0</v>
      </c>
      <c r="BQ196" s="23" t="str">
        <f aca="false">IF(AND(BP196=1,INT(N(H196))&lt;=Config!$B$5),M196,"")</f>
        <v/>
      </c>
      <c r="BR196" s="23" t="n">
        <f aca="false">IF(AND(BB196=1,OR(TRIM(X196)&lt;&gt;"",ISNUMBER(Y196))),1,0)</f>
        <v>0</v>
      </c>
      <c r="BS196" s="23" t="n">
        <f aca="false">IF(BR196=1,IF(COUNTIFS($AZ$2:$AZ$201,AZ196,$BR$2:$BR$201,1,$H$2:$H$201,"&lt;"&amp;H196)+COUNTIFS($AZ$2:$AZ$201,AZ196,$BR$2:$BR$201,1,$H$2:$H$201,H196,$BA$2:$BA$201,"&lt;"&amp;BA196)=0,1,0),0)</f>
        <v>0</v>
      </c>
      <c r="BT196" s="23" t="str">
        <f aca="false">IF(BS196=1,AZ196,"")</f>
        <v/>
      </c>
      <c r="BU196" s="23" t="n">
        <f aca="false">IF(AND(BB196=1,W196="Y",TRIM(X196)=""),1,0)</f>
        <v>0</v>
      </c>
      <c r="BV196" s="23" t="str">
        <f aca="false">IF(BB196=1,AN196&amp;"","")</f>
        <v/>
      </c>
      <c r="BW196" s="23" t="str">
        <f aca="false">IF(BB196=1,AO196&amp;"","")</f>
        <v/>
      </c>
      <c r="BX196" s="23" t="str">
        <f aca="false">IF(BB196=1,AP196&amp;"","")</f>
        <v/>
      </c>
      <c r="BY196" s="23" t="str">
        <f aca="false">IF(AND(BB196=1,ISNUMBER(AV196),INT(N(H196))&lt;=Config!$B$5),AV196,"")</f>
        <v/>
      </c>
      <c r="BZ196" s="23" t="str">
        <f aca="false">IF(BB196=1,IF(COUNTIFS($A$2:$A$201,$A196,$DC$2:$DC$201,1,$AR$2:$AR$201,"Y")&gt;0,"Y","N"),"")</f>
        <v/>
      </c>
      <c r="CA196" s="23" t="n">
        <f aca="false">IF(AND(BB196=1,AR196="maybe"),1,0)</f>
        <v>0</v>
      </c>
      <c r="CB196" s="23" t="n">
        <f aca="false">IF(CA196=1,IF(COUNTIFS($AZ$2:$AZ$201,AZ196,$CA$2:$CA$201,1,$H$2:$H$201,"&lt;"&amp;H196)+COUNTIFS($AZ$2:$AZ$201,AZ196,$CA$2:$CA$201,1,$H$2:$H$201,H196,$BA$2:$BA$201,"&lt;"&amp;BA196)=0,1,0),0)</f>
        <v>0</v>
      </c>
      <c r="CC196" s="23" t="n">
        <f aca="false">IF(AND(BB196=1,AR196="Y"),IF(COUNTIFS($AZ$2:$AZ$201,AZ196,$AR$2:$AR$201,"Y",$BB$2:$BB$201,1,$H$2:$H$201,"&lt;"&amp;H196)+COUNTIFS($AZ$2:$AZ$201,AZ196,$AR$2:$AR$201,"Y",$BB$2:$BB$201,1,$H$2:$H$201,H196,$BA$2:$BA$201,"&lt;"&amp;BA196)=0,1,0),0)</f>
        <v>0</v>
      </c>
      <c r="CD196" s="23" t="n">
        <f aca="false">IF(AND(BH196=1,N(Y196)&gt;=Config!$B$15),1,0)</f>
        <v>0</v>
      </c>
      <c r="CE196" s="23" t="n">
        <f aca="false">IF(AND(BB196=1,AT196="Y"),1,0)</f>
        <v>0</v>
      </c>
      <c r="CF196" s="23" t="n">
        <f aca="false">IF(CE196=1,IF(COUNTIFS($AZ$2:$AZ$201,AZ196,$CE$2:$CE$201,1,$H$2:$H$201,"&lt;"&amp;H196)+COUNTIFS($AZ$2:$AZ$201,AZ196,$CE$2:$CE$201,1,$H$2:$H$201,H196,$BA$2:$BA$201,"&lt;"&amp;BA196)=0,1,0),0)</f>
        <v>0</v>
      </c>
      <c r="CG196" s="23" t="n">
        <f aca="false">IF(AND(BB196=1,G196="warm-intro"),1,0)</f>
        <v>0</v>
      </c>
      <c r="CH196" s="23" t="n">
        <f aca="false">IF(CG196=1,IF(COUNTIFS($AZ$2:$AZ$201,AZ196,$CG$2:$CG$201,1,$H$2:$H$201,"&lt;"&amp;H196)+COUNTIFS($AZ$2:$AZ$201,AZ196,$CG$2:$CG$201,1,$H$2:$H$201,H196,$BA$2:$BA$201,"&lt;"&amp;BA196)=0,1,0),0)</f>
        <v>0</v>
      </c>
      <c r="CI196" s="23" t="n">
        <f aca="false">IF(AND(BB196=1,Q196="Y"),1,0)</f>
        <v>0</v>
      </c>
      <c r="CJ196" s="23" t="n">
        <f aca="false">IF(CI196=1,IF(COUNTIFS($AZ$2:$AZ$201,AZ196,$CI$2:$CI$201,1,$H$2:$H$201,"&lt;"&amp;H196)+COUNTIFS($AZ$2:$AZ$201,AZ196,$CI$2:$CI$201,1,$H$2:$H$201,H196,$BA$2:$BA$201,"&lt;"&amp;BA196)=0,1,0),0)</f>
        <v>0</v>
      </c>
      <c r="CK196" s="23" t="n">
        <f aca="false">IF(AND(BB196=1,AF196="Y"),1,0)</f>
        <v>0</v>
      </c>
      <c r="CL196" s="23" t="n">
        <f aca="false">IF(CK196=1,IF(COUNTIFS($AZ$2:$AZ$201,AZ196,$CK$2:$CK$201,1,$H$2:$H$201,"&lt;"&amp;H196)+COUNTIFS($AZ$2:$AZ$201,AZ196,$CK$2:$CK$201,1,$H$2:$H$201,H196,$BA$2:$BA$201,"&lt;"&amp;BA196)=0,1,0),0)</f>
        <v>0</v>
      </c>
      <c r="CM196" s="23" t="n">
        <f aca="false">IF(AND(BB196=1,U196="Y"),1,0)</f>
        <v>0</v>
      </c>
      <c r="CN196" s="23" t="n">
        <f aca="false">IF(CM196=1,IF(COUNTIFS($AZ$2:$AZ$201,AZ196,$CM$2:$CM$201,1,$H$2:$H$201,"&lt;"&amp;H196)+COUNTIFS($AZ$2:$AZ$201,AZ196,$CM$2:$CM$201,1,$H$2:$H$201,H196,$BA$2:$BA$201,"&lt;"&amp;BA196)=0,1,0),0)</f>
        <v>0</v>
      </c>
      <c r="CO196" s="23" t="n">
        <f aca="false">IF(AND(BB196=1,L196="Y"),1,0)</f>
        <v>0</v>
      </c>
      <c r="CP196" s="23" t="n">
        <f aca="false">IF(CO196=1,IF(COUNTIFS($AZ$2:$AZ$201,AZ196,$CO$2:$CO$201,1,$H$2:$H$201,"&lt;"&amp;H196)+COUNTIFS($AZ$2:$AZ$201,AZ196,$CO$2:$CO$201,1,$H$2:$H$201,H196,$BA$2:$BA$201,"&lt;"&amp;BA196)=0,1,0),0)</f>
        <v>0</v>
      </c>
      <c r="CQ196" s="23" t="n">
        <f aca="false">IF(AND(BB196=1,ISNUMBER(O196)),1,0)</f>
        <v>0</v>
      </c>
      <c r="CR196" s="23" t="n">
        <f aca="false">IF(CQ196=1,IF(COUNTIFS($AZ$2:$AZ$201,AZ196,$CQ$2:$CQ$201,1,$H$2:$H$201,"&lt;"&amp;H196)+COUNTIFS($AZ$2:$AZ$201,AZ196,$CQ$2:$CQ$201,1,$H$2:$H$201,H196,$BA$2:$BA$201,"&lt;"&amp;BA196)=0,1,0),0)</f>
        <v>0</v>
      </c>
      <c r="CS196" s="23" t="str">
        <f aca="false">IF(AND(CR196=1,INT(N(H196))&lt;=Config!$B$5),O196,"")</f>
        <v/>
      </c>
      <c r="CT196" s="23" t="str">
        <f aca="false">IF(AND(BB196=1,INT(N(H196))&lt;=Config!$B$5),AG196&amp;"","")</f>
        <v/>
      </c>
      <c r="CU196" s="23" t="n">
        <f aca="false">IF(AND(BB196=1,AU196="Y"),1,0)</f>
        <v>0</v>
      </c>
      <c r="CV196" s="23" t="n">
        <f aca="false">IF(CU196=1,IF(COUNTIFS($AZ$2:$AZ$201,AZ196,$CU$2:$CU$201,1,$H$2:$H$201,"&lt;"&amp;H196)+COUNTIFS($AZ$2:$AZ$201,AZ196,$CU$2:$CU$201,1,$H$2:$H$201,H196,$BA$2:$BA$201,"&lt;"&amp;BA196)=0,1,0),0)</f>
        <v>0</v>
      </c>
      <c r="CW196" s="23" t="str">
        <f aca="false">IF(BB196=1,IFERROR(MATCH($A196,INDEX(Clay_Offices!$A$2:$FZ$601,0,Sync!$C$5),0),""),"")</f>
        <v/>
      </c>
      <c r="CX196" s="23" t="str">
        <f aca="false">IF(CW196="","",IFERROR(INDEX(Clay_Offices!$A$2:$FZ$601,CW196,Sync!$C$7)&amp;"",""))</f>
        <v/>
      </c>
      <c r="CY196" s="23" t="str">
        <f aca="false">IF(CX196="","",IFERROR(INDEX(Lists!$K$2:$K$15,MATCH(CX196,Lists!$J$2:$J$15,0)),""))</f>
        <v/>
      </c>
      <c r="CZ196" s="23" t="str">
        <f aca="false">IF(CW196="","",IFERROR(INDEX(Clay_Offices!$A$2:$FZ$601,CW196,Sync!$C$17)&amp;"",""))</f>
        <v/>
      </c>
      <c r="DA196" s="35" t="str">
        <f aca="false">IF(CW196="","",IFERROR(N(INDEX(Clay_Offices!$A$2:$FZ$601,CW196,Sync!$C$16)),0))</f>
        <v/>
      </c>
      <c r="DB196" s="23" t="n">
        <f aca="false">IF(AND(BB196=1,OR(AR196="Y",AR196="N",AR196="maybe")),1,0)</f>
        <v>0</v>
      </c>
      <c r="DC196" s="23" t="n">
        <f aca="false">IF(AND(DB196=1),IF(COUNTIFS($A$2:$A$201,$A196,$DB$2:$DB$201,1,$H$2:$H$201,"&gt;"&amp;H196)+COUNTIFS($A$2:$A$201,$A196,$DB$2:$DB$201,1,$H$2:$H$201,H196,$BA$2:$BA$201,"&gt;"&amp;BA196)=0,1,0),0)</f>
        <v>0</v>
      </c>
      <c r="DD196" s="23" t="n">
        <f aca="false">IF(AND(DB196=1,INT(N(H196))&lt;=Config!$B$6),IF(COUNTIFS($AZ$2:$AZ$201,AZ196,$DB$2:$DB$201,1,$H$2:$H$201,"&gt;"&amp;H196,$H$2:$H$201,"&lt;"&amp;(Config!$B$6+1))+COUNTIFS($AZ$2:$AZ$201,AZ196,$DB$2:$DB$201,1,$H$2:$H$201,H196,$BA$2:$BA$201,"&gt;"&amp;BA196)=0,1,0),0)</f>
        <v>0</v>
      </c>
      <c r="DE196" s="23" t="n">
        <f aca="false">IF(AND(DB196=1,INT(N(H196))&lt;=Config!$B$7),IF(COUNTIFS($AZ$2:$AZ$201,AZ196,$DB$2:$DB$201,1,$H$2:$H$201,"&gt;"&amp;H196,$H$2:$H$201,"&lt;"&amp;(Config!$B$7+1))+COUNTIFS($AZ$2:$AZ$201,AZ196,$DB$2:$DB$201,1,$H$2:$H$201,H196,$BA$2:$BA$201,"&gt;"&amp;BA196)=0,1,0),0)</f>
        <v>0</v>
      </c>
      <c r="DF196" s="23" t="n">
        <f aca="false">IF(AND(DB196=1,INT(N(H196))&lt;=Config!$B$8),IF(COUNTIFS($AZ$2:$AZ$201,AZ196,$DB$2:$DB$201,1,$H$2:$H$201,"&gt;"&amp;H196,$H$2:$H$201,"&lt;"&amp;(Config!$B$8+1))+COUNTIFS($AZ$2:$AZ$201,AZ196,$DB$2:$DB$201,1,$H$2:$H$201,H196,$BA$2:$BA$201,"&gt;"&amp;BA196)=0,1,0),0)</f>
        <v>0</v>
      </c>
      <c r="DG196" s="23" t="n">
        <f aca="false">IF(AND(DB196=1,INT(N(H196))&lt;=Config!$B$5),IF(COUNTIFS($AZ$2:$AZ$201,AZ196,$DB$2:$DB$201,1,$H$2:$H$201,"&gt;"&amp;H196,$H$2:$H$201,"&lt;"&amp;(Config!$B$5+1))+COUNTIFS($AZ$2:$AZ$201,AZ196,$DB$2:$DB$201,1,$H$2:$H$201,H196,$BA$2:$BA$201,"&gt;"&amp;BA196)=0,1,0),0)</f>
        <v>0</v>
      </c>
      <c r="DH196" s="23" t="n">
        <f aca="false">IF(BB196=1,IF(COUNTIFS($AZ$2:$AZ$201,AZ196,$DD$2:$DD$201,1,$AR$2:$AR$201,"Y")&gt;0,1,0),0)</f>
        <v>0</v>
      </c>
      <c r="DI196" s="23" t="n">
        <f aca="false">IF(BB196=1,IF(COUNTIFS($AZ$2:$AZ$201,AZ196,$DE$2:$DE$201,1,$AR$2:$AR$201,"Y")&gt;0,1,0),0)</f>
        <v>0</v>
      </c>
      <c r="DJ196" s="23" t="n">
        <f aca="false">IF(BB196=1,IF(COUNTIFS($AZ$2:$AZ$201,AZ196,$DF$2:$DF$201,1,$AR$2:$AR$201,"Y")&gt;0,1,0),0)</f>
        <v>0</v>
      </c>
      <c r="DK196" s="23" t="n">
        <f aca="false">IF(BB196=1,IF(COUNTIFS($AZ$2:$AZ$201,AZ196,$DG$2:$DG$201,1,$AR$2:$AR$201,"Y")&gt;0,1,0),0)</f>
        <v>0</v>
      </c>
      <c r="DL196" s="23" t="n">
        <f aca="false">IF(AND(BF196=1,INT(N(H196))&lt;=Config!$B$6,DH196=1,EI196=0),1,0)</f>
        <v>0</v>
      </c>
      <c r="DM196" s="23" t="n">
        <f aca="false">IF(AND(BF196=1,INT(N(H196))&lt;=Config!$B$7,DI196=1,EI196=0),1,0)</f>
        <v>0</v>
      </c>
      <c r="DN196" s="23" t="n">
        <f aca="false">IF(AND(BF196=1,INT(N(H196))&lt;=Config!$B$8,DJ196=1,EI196=0),1,0)</f>
        <v>0</v>
      </c>
      <c r="DO196" s="23" t="n">
        <f aca="false">IF(AND(BF196=1,INT(N(H196))&lt;=Config!$B$5,DK196=1,EI196=0),1,0)</f>
        <v>0</v>
      </c>
      <c r="DP196" s="23" t="n">
        <f aca="false">IF(AND(CC196=1,INT(N(H196))&lt;=Config!$B$6,DH196=1,EI196=0),1,0)</f>
        <v>0</v>
      </c>
      <c r="DQ196" s="23" t="n">
        <f aca="false">IF(AND(CC196=1,INT(N(H196))&lt;=Config!$B$7,DI196=1,EI196=0),1,0)</f>
        <v>0</v>
      </c>
      <c r="DR196" s="23" t="n">
        <f aca="false">IF(AND(CC196=1,INT(N(H196))&lt;=Config!$B$8,DJ196=1,EI196=0),1,0)</f>
        <v>0</v>
      </c>
      <c r="DS196" s="23" t="n">
        <f aca="false">IF(AND(CC196=1,INT(N(H196))&lt;=Config!$B$5,DK196=1,EI196=0),1,0)</f>
        <v>0</v>
      </c>
      <c r="DT196" s="23" t="n">
        <f aca="false">IF(AND(CC196=1,INT(N(H196))&lt;=Config!$B$6,DH196=0),1,0)</f>
        <v>0</v>
      </c>
      <c r="DU196" s="23" t="n">
        <f aca="false">IF(AND(CC196=1,INT(N(H196))&lt;=Config!$B$7,DI196=0),1,0)</f>
        <v>0</v>
      </c>
      <c r="DV196" s="23" t="n">
        <f aca="false">IF(AND(CC196=1,INT(N(H196))&lt;=Config!$B$8,DJ196=0),1,0)</f>
        <v>0</v>
      </c>
      <c r="DW196" s="23" t="n">
        <f aca="false">IF(AND(CC196=1,INT(N(H196))&lt;=Config!$B$5,DK196=0),1,0)</f>
        <v>0</v>
      </c>
      <c r="DX196" s="23" t="n">
        <f aca="false">IF(TRIM($A196)="",0,ISTEXT(M196)+ISTEXT(O196)+ISTEXT(Y196)+ISTEXT(Z196)+ISTEXT(AA196)+ISTEXT(AV196))</f>
        <v>0</v>
      </c>
      <c r="DY196" s="23" t="n">
        <f aca="false">IF(BB196=1,IF(H196&lt;&gt;INT(H196),1,0),0)</f>
        <v>0</v>
      </c>
      <c r="DZ196" s="23" t="str">
        <f aca="false">IF(TRIM($A196)="","",IF(TRIM(B196)="",SUBSTITUTE(SUBSTITUTE(SUBSTITUTE(SUBSTITUTE(SUBSTITUTE(SUBSTITUTE(LOWER(TRIM($A196)),"~",""),"*",""),"?",""),"&lt;",""),"&gt;",""),"=",""),SUBSTITUTE(SUBSTITUTE(SUBSTITUTE(SUBSTITUTE(SUBSTITUTE(SUBSTITUTE(LOWER(TRIM(B196)),"~",""),"*",""),"?",""),"&lt;",""),"&gt;",""),"=","")))</f>
        <v/>
      </c>
      <c r="EA196" s="23" t="str">
        <f aca="false">IF(CW196="","",IFERROR(IF(LEFT(LOWER(TRIM(INDEX(Clay_Offices!$A$2:$FZ$601,CW196,Sync!$C$19)&amp;"")),4)="grp-",SUBSTITUTE(SUBSTITUTE(SUBSTITUTE(SUBSTITUTE(SUBSTITUTE(SUBSTITUTE(LOWER(TRIM(INDEX(Clay_Offices!$A$2:$FZ$601,CW196,Sync!$C$19)&amp;"")),"~",""),"*",""),"?",""),"&lt;",""),"&gt;",""),"=",""),""),""))</f>
        <v/>
      </c>
      <c r="EB196" s="23" t="str">
        <f aca="false">IF(EA196&lt;&gt;"",DZ196,"")</f>
        <v/>
      </c>
      <c r="EC196" s="23" t="str">
        <f aca="false">IF(BC196=1,AZ196,"")</f>
        <v/>
      </c>
      <c r="ED196" s="23" t="str">
        <f aca="false">IF(TRIM($A196)="","",IFERROR(INDEX($A$2:$A$201,MATCH(AZ196,$EC$2:$EC$201,0))&amp;"",$A196&amp;""))</f>
        <v/>
      </c>
      <c r="EE196" s="23" t="n">
        <f aca="false">IF(BB196=1,IF(COUNTIFS($A$2:$A$201,$A196,$BB$2:$BB$201,1,$H$2:$H$201,"&lt;"&amp;H196)+COUNTIFS($A$2:$A$201,$A196,$BB$2:$BB$201,1,$H$2:$H$201,H196,$BA$2:$BA$201,"&lt;"&amp;BA196)=0,1,0),0)</f>
        <v>0</v>
      </c>
      <c r="EF196" s="23" t="n">
        <f aca="false">IF(BC196=1,IF(COUNTIFS($AZ$2:$AZ$201,AZ196,$EE$2:$EE$201,1)&gt;1,1,0),0)</f>
        <v>0</v>
      </c>
      <c r="EG196" s="23" t="n">
        <f aca="false">IF(AND(CQ196=1),IF(COUNTIFS($AZ$2:$AZ$201,AZ196,$CQ$2:$CQ$201,1,$H$2:$H$201,"&gt;"&amp;H196)+COUNTIFS($AZ$2:$AZ$201,AZ196,$CQ$2:$CQ$201,1,$H$2:$H$201,H196,$BA$2:$BA$201,"&gt;"&amp;BA196)=0,1,0),0)</f>
        <v>0</v>
      </c>
      <c r="EH196" s="23" t="str">
        <f aca="false">IF(BB196=1,IF(COUNTIFS($AZ$2:$AZ$201,AZ196,$EG$2:$EG$201,1)=0,"",SUMIFS($O$2:$O$201,$AZ$2:$AZ$201,AZ196,$EG$2:$EG$201,1)),"")</f>
        <v/>
      </c>
      <c r="EI196" s="23" t="n">
        <f aca="false">IF(AND(ISNUMBER(EH196),OR(N(EH196)&lt;Config!$B$31,N(EH196)&gt;Config!$B$33)),1,0)</f>
        <v>0</v>
      </c>
      <c r="EJ196" s="23" t="n">
        <f aca="false">IF(AND(ISNUMBER(EH196),N(EH196)&gt;=Config!$B$31,N(EH196)&lt;Config!$B$32),1,0)</f>
        <v>0</v>
      </c>
      <c r="EK196" s="23" t="n">
        <f aca="false">IF(AND(BF196=1,INT(N(H196))&lt;=Config!$B$6,DH196=1,EI196=1),1,0)</f>
        <v>0</v>
      </c>
      <c r="EL196" s="23" t="n">
        <f aca="false">IF(AND(BF196=1,INT(N(H196))&lt;=Config!$B$7,DI196=1,EI196=1),1,0)</f>
        <v>0</v>
      </c>
      <c r="EM196" s="23" t="n">
        <f aca="false">IF(AND(BF196=1,INT(N(H196))&lt;=Config!$B$8,DJ196=1,EI196=1),1,0)</f>
        <v>0</v>
      </c>
      <c r="EN196" s="23" t="n">
        <f aca="false">IF(AND(BF196=1,INT(N(H196))&lt;=Config!$B$5,DK196=1,EI196=1),1,0)</f>
        <v>0</v>
      </c>
      <c r="EO196" s="23" t="n">
        <f aca="false">IF(AND(DL196=1,EJ196=1),1,0)</f>
        <v>0</v>
      </c>
      <c r="EP196" s="23" t="n">
        <f aca="false">IF(AND(DM196=1,EJ196=1),1,0)</f>
        <v>0</v>
      </c>
      <c r="EQ196" s="23" t="n">
        <f aca="false">IF(AND(DN196=1,EJ196=1),1,0)</f>
        <v>0</v>
      </c>
      <c r="ER196" s="23" t="n">
        <f aca="false">IF(AND(DO196=1,EJ196=1),1,0)</f>
        <v>0</v>
      </c>
    </row>
    <row r="197" customFormat="false" ht="15" hidden="false" customHeight="false" outlineLevel="0" collapsed="false">
      <c r="G197" s="32"/>
      <c r="H197" s="33"/>
      <c r="I197" s="32"/>
      <c r="L197" s="32"/>
      <c r="Q197" s="32"/>
      <c r="U197" s="32"/>
      <c r="W197" s="32"/>
      <c r="AC197" s="32"/>
      <c r="AF197" s="32"/>
      <c r="AI197" s="32"/>
      <c r="AJ197" s="32"/>
      <c r="AN197" s="32"/>
      <c r="AR197" s="32"/>
      <c r="AT197" s="32"/>
      <c r="AU197" s="32"/>
      <c r="AW197" s="32"/>
      <c r="AY197" s="34" t="str">
        <f aca="false">IF(TRIM($A197)="","",IF(AND(LEFT($A197,6)="SAMPLE",Config!$B$19&lt;&gt;"Y"),"",IF(NOT(ISNUMBER(H197)),"call_date is blank or not a date",IF(Sync!$C$5="","Clay paste is empty or has no row_id column: paste the Clay export on Clay_Offices",IF(CW197="","row_id not found in the Clay paste: add the Clay row or fix the row_id",IF(AND(ISNUMBER(CY197),CY197&gt;=1,CY197&lt;=5),"Clay status is "&amp;CX197&amp;": set call_done or later",IF(AND(BD197=1,CZ197&lt;&gt;BZ197),"Clay yes_in_principle should be "&amp;BZ197,IF(AND(BD197=1,DA197&lt;&gt;H197),"Clay call_date should be "&amp;TEXT(H197,"yyyy-mm-dd"),""))))))))</f>
        <v/>
      </c>
      <c r="AZ197" s="23" t="str">
        <f aca="false">IF(TRIM($A197)="","",IF(TRIM(C197)&lt;&gt;"",SUBSTITUTE(SUBSTITUTE(SUBSTITUTE(SUBSTITUTE(SUBSTITUTE(SUBSTITUTE(LOWER(TRIM(C197)),"~",""),"*",""),"?",""),"&lt;",""),"&gt;",""),"=",""),IF(EA197&lt;&gt;"",EA197,IFERROR(INDEX($EA$2:$EA$201,MATCH(DZ197,$EB$2:$EB$201,0)),DZ197))))</f>
        <v/>
      </c>
      <c r="BA197" s="23" t="n">
        <f aca="false">ROW()</f>
        <v>197</v>
      </c>
      <c r="BB197" s="23" t="n">
        <f aca="false">IF(AND(TRIM($A197)&lt;&gt;"",ISNUMBER(H197)),IF(AND(LEFT($A197,6)="SAMPLE",Config!$B$19&lt;&gt;"Y"),0,1),0)</f>
        <v>0</v>
      </c>
      <c r="BC197" s="23" t="n">
        <f aca="false">IF(BB197=1,IF(COUNTIFS($AZ$2:$AZ$201,AZ197,$BB$2:$BB$201,1,$H$2:$H$201,"&lt;"&amp;H197)+COUNTIFS($AZ$2:$AZ$201,AZ197,$BB$2:$BB$201,1,$H$2:$H$201,H197,$BA$2:$BA$201,"&lt;"&amp;BA197)=0,1,0),0)</f>
        <v>0</v>
      </c>
      <c r="BD197" s="23" t="n">
        <f aca="false">IF(BB197=1,IF(COUNTIFS($A$2:$A$201,$A197,$BB$2:$BB$201,1,$H$2:$H$201,"&gt;"&amp;H197)+COUNTIFS($A$2:$A$201,$A197,$BB$2:$BB$201,1,$H$2:$H$201,H197,$BA$2:$BA$201,"&gt;"&amp;BA197)=0,1,0),0)</f>
        <v>0</v>
      </c>
      <c r="BE197" s="23" t="n">
        <f aca="false">IF(AND(BB197=1,AR197="Y",AC197="Y",TRIM(AH197)&lt;&gt;""),1,0)</f>
        <v>0</v>
      </c>
      <c r="BF197" s="23" t="n">
        <f aca="false">IF(BE197=1,IF(COUNTIFS($AZ$2:$AZ$201,AZ197,$BE$2:$BE$201,1,$H$2:$H$201,"&lt;"&amp;H197)+COUNTIFS($AZ$2:$AZ$201,AZ197,$BE$2:$BE$201,1,$H$2:$H$201,H197,$BA$2:$BA$201,"&lt;"&amp;BA197)=0,1,0),0)</f>
        <v>0</v>
      </c>
      <c r="BG197" s="23" t="n">
        <f aca="false">IF(AND(BB197=1,AR197="Y",BE197=0),1,0)</f>
        <v>0</v>
      </c>
      <c r="BH197" s="23" t="n">
        <f aca="false">IF(AND(BB197=1,ISNUMBER(Y197)),1,0)</f>
        <v>0</v>
      </c>
      <c r="BI197" s="23" t="n">
        <f aca="false">IF(BH197=1,IF(COUNTIFS($AZ$2:$AZ$201,AZ197,$BH$2:$BH$201,1,$H$2:$H$201,"&lt;"&amp;H197)+COUNTIFS($AZ$2:$AZ$201,AZ197,$BH$2:$BH$201,1,$H$2:$H$201,H197,$BA$2:$BA$201,"&lt;"&amp;BA197)=0,1,0),0)</f>
        <v>0</v>
      </c>
      <c r="BJ197" s="23" t="str">
        <f aca="false">IF(AND(BI197=1,INT(N(H197))&lt;=Config!$B$6),Y197,"")</f>
        <v/>
      </c>
      <c r="BK197" s="23" t="str">
        <f aca="false">IF(AND(BI197=1,INT(N(H197))&lt;=Config!$B$7),Y197,"")</f>
        <v/>
      </c>
      <c r="BL197" s="23" t="str">
        <f aca="false">IF(AND(BI197=1,INT(N(H197))&lt;=Config!$B$8),Y197,"")</f>
        <v/>
      </c>
      <c r="BM197" s="23" t="str">
        <f aca="false">IF(AND(BI197=1,INT(N(H197))&lt;=Config!$B$5),Y197,"")</f>
        <v/>
      </c>
      <c r="BN197" s="23" t="n">
        <f aca="false">IF(CD197=1,IF(COUNTIFS($AZ$2:$AZ$201,AZ197,$CD$2:$CD$201,1,$H$2:$H$201,"&lt;"&amp;H197)+COUNTIFS($AZ$2:$AZ$201,AZ197,$CD$2:$CD$201,1,$H$2:$H$201,H197,$BA$2:$BA$201,"&lt;"&amp;BA197)=0,1,0),0)</f>
        <v>0</v>
      </c>
      <c r="BO197" s="23" t="n">
        <f aca="false">IF(AND(BB197=1,ISNUMBER(M197)),1,0)</f>
        <v>0</v>
      </c>
      <c r="BP197" s="23" t="n">
        <f aca="false">IF(BO197=1,IF(COUNTIFS($AZ$2:$AZ$201,AZ197,$BO$2:$BO$201,1,$H$2:$H$201,"&lt;"&amp;H197)+COUNTIFS($AZ$2:$AZ$201,AZ197,$BO$2:$BO$201,1,$H$2:$H$201,H197,$BA$2:$BA$201,"&lt;"&amp;BA197)=0,1,0),0)</f>
        <v>0</v>
      </c>
      <c r="BQ197" s="23" t="str">
        <f aca="false">IF(AND(BP197=1,INT(N(H197))&lt;=Config!$B$5),M197,"")</f>
        <v/>
      </c>
      <c r="BR197" s="23" t="n">
        <f aca="false">IF(AND(BB197=1,OR(TRIM(X197)&lt;&gt;"",ISNUMBER(Y197))),1,0)</f>
        <v>0</v>
      </c>
      <c r="BS197" s="23" t="n">
        <f aca="false">IF(BR197=1,IF(COUNTIFS($AZ$2:$AZ$201,AZ197,$BR$2:$BR$201,1,$H$2:$H$201,"&lt;"&amp;H197)+COUNTIFS($AZ$2:$AZ$201,AZ197,$BR$2:$BR$201,1,$H$2:$H$201,H197,$BA$2:$BA$201,"&lt;"&amp;BA197)=0,1,0),0)</f>
        <v>0</v>
      </c>
      <c r="BT197" s="23" t="str">
        <f aca="false">IF(BS197=1,AZ197,"")</f>
        <v/>
      </c>
      <c r="BU197" s="23" t="n">
        <f aca="false">IF(AND(BB197=1,W197="Y",TRIM(X197)=""),1,0)</f>
        <v>0</v>
      </c>
      <c r="BV197" s="23" t="str">
        <f aca="false">IF(BB197=1,AN197&amp;"","")</f>
        <v/>
      </c>
      <c r="BW197" s="23" t="str">
        <f aca="false">IF(BB197=1,AO197&amp;"","")</f>
        <v/>
      </c>
      <c r="BX197" s="23" t="str">
        <f aca="false">IF(BB197=1,AP197&amp;"","")</f>
        <v/>
      </c>
      <c r="BY197" s="23" t="str">
        <f aca="false">IF(AND(BB197=1,ISNUMBER(AV197),INT(N(H197))&lt;=Config!$B$5),AV197,"")</f>
        <v/>
      </c>
      <c r="BZ197" s="23" t="str">
        <f aca="false">IF(BB197=1,IF(COUNTIFS($A$2:$A$201,$A197,$DC$2:$DC$201,1,$AR$2:$AR$201,"Y")&gt;0,"Y","N"),"")</f>
        <v/>
      </c>
      <c r="CA197" s="23" t="n">
        <f aca="false">IF(AND(BB197=1,AR197="maybe"),1,0)</f>
        <v>0</v>
      </c>
      <c r="CB197" s="23" t="n">
        <f aca="false">IF(CA197=1,IF(COUNTIFS($AZ$2:$AZ$201,AZ197,$CA$2:$CA$201,1,$H$2:$H$201,"&lt;"&amp;H197)+COUNTIFS($AZ$2:$AZ$201,AZ197,$CA$2:$CA$201,1,$H$2:$H$201,H197,$BA$2:$BA$201,"&lt;"&amp;BA197)=0,1,0),0)</f>
        <v>0</v>
      </c>
      <c r="CC197" s="23" t="n">
        <f aca="false">IF(AND(BB197=1,AR197="Y"),IF(COUNTIFS($AZ$2:$AZ$201,AZ197,$AR$2:$AR$201,"Y",$BB$2:$BB$201,1,$H$2:$H$201,"&lt;"&amp;H197)+COUNTIFS($AZ$2:$AZ$201,AZ197,$AR$2:$AR$201,"Y",$BB$2:$BB$201,1,$H$2:$H$201,H197,$BA$2:$BA$201,"&lt;"&amp;BA197)=0,1,0),0)</f>
        <v>0</v>
      </c>
      <c r="CD197" s="23" t="n">
        <f aca="false">IF(AND(BH197=1,N(Y197)&gt;=Config!$B$15),1,0)</f>
        <v>0</v>
      </c>
      <c r="CE197" s="23" t="n">
        <f aca="false">IF(AND(BB197=1,AT197="Y"),1,0)</f>
        <v>0</v>
      </c>
      <c r="CF197" s="23" t="n">
        <f aca="false">IF(CE197=1,IF(COUNTIFS($AZ$2:$AZ$201,AZ197,$CE$2:$CE$201,1,$H$2:$H$201,"&lt;"&amp;H197)+COUNTIFS($AZ$2:$AZ$201,AZ197,$CE$2:$CE$201,1,$H$2:$H$201,H197,$BA$2:$BA$201,"&lt;"&amp;BA197)=0,1,0),0)</f>
        <v>0</v>
      </c>
      <c r="CG197" s="23" t="n">
        <f aca="false">IF(AND(BB197=1,G197="warm-intro"),1,0)</f>
        <v>0</v>
      </c>
      <c r="CH197" s="23" t="n">
        <f aca="false">IF(CG197=1,IF(COUNTIFS($AZ$2:$AZ$201,AZ197,$CG$2:$CG$201,1,$H$2:$H$201,"&lt;"&amp;H197)+COUNTIFS($AZ$2:$AZ$201,AZ197,$CG$2:$CG$201,1,$H$2:$H$201,H197,$BA$2:$BA$201,"&lt;"&amp;BA197)=0,1,0),0)</f>
        <v>0</v>
      </c>
      <c r="CI197" s="23" t="n">
        <f aca="false">IF(AND(BB197=1,Q197="Y"),1,0)</f>
        <v>0</v>
      </c>
      <c r="CJ197" s="23" t="n">
        <f aca="false">IF(CI197=1,IF(COUNTIFS($AZ$2:$AZ$201,AZ197,$CI$2:$CI$201,1,$H$2:$H$201,"&lt;"&amp;H197)+COUNTIFS($AZ$2:$AZ$201,AZ197,$CI$2:$CI$201,1,$H$2:$H$201,H197,$BA$2:$BA$201,"&lt;"&amp;BA197)=0,1,0),0)</f>
        <v>0</v>
      </c>
      <c r="CK197" s="23" t="n">
        <f aca="false">IF(AND(BB197=1,AF197="Y"),1,0)</f>
        <v>0</v>
      </c>
      <c r="CL197" s="23" t="n">
        <f aca="false">IF(CK197=1,IF(COUNTIFS($AZ$2:$AZ$201,AZ197,$CK$2:$CK$201,1,$H$2:$H$201,"&lt;"&amp;H197)+COUNTIFS($AZ$2:$AZ$201,AZ197,$CK$2:$CK$201,1,$H$2:$H$201,H197,$BA$2:$BA$201,"&lt;"&amp;BA197)=0,1,0),0)</f>
        <v>0</v>
      </c>
      <c r="CM197" s="23" t="n">
        <f aca="false">IF(AND(BB197=1,U197="Y"),1,0)</f>
        <v>0</v>
      </c>
      <c r="CN197" s="23" t="n">
        <f aca="false">IF(CM197=1,IF(COUNTIFS($AZ$2:$AZ$201,AZ197,$CM$2:$CM$201,1,$H$2:$H$201,"&lt;"&amp;H197)+COUNTIFS($AZ$2:$AZ$201,AZ197,$CM$2:$CM$201,1,$H$2:$H$201,H197,$BA$2:$BA$201,"&lt;"&amp;BA197)=0,1,0),0)</f>
        <v>0</v>
      </c>
      <c r="CO197" s="23" t="n">
        <f aca="false">IF(AND(BB197=1,L197="Y"),1,0)</f>
        <v>0</v>
      </c>
      <c r="CP197" s="23" t="n">
        <f aca="false">IF(CO197=1,IF(COUNTIFS($AZ$2:$AZ$201,AZ197,$CO$2:$CO$201,1,$H$2:$H$201,"&lt;"&amp;H197)+COUNTIFS($AZ$2:$AZ$201,AZ197,$CO$2:$CO$201,1,$H$2:$H$201,H197,$BA$2:$BA$201,"&lt;"&amp;BA197)=0,1,0),0)</f>
        <v>0</v>
      </c>
      <c r="CQ197" s="23" t="n">
        <f aca="false">IF(AND(BB197=1,ISNUMBER(O197)),1,0)</f>
        <v>0</v>
      </c>
      <c r="CR197" s="23" t="n">
        <f aca="false">IF(CQ197=1,IF(COUNTIFS($AZ$2:$AZ$201,AZ197,$CQ$2:$CQ$201,1,$H$2:$H$201,"&lt;"&amp;H197)+COUNTIFS($AZ$2:$AZ$201,AZ197,$CQ$2:$CQ$201,1,$H$2:$H$201,H197,$BA$2:$BA$201,"&lt;"&amp;BA197)=0,1,0),0)</f>
        <v>0</v>
      </c>
      <c r="CS197" s="23" t="str">
        <f aca="false">IF(AND(CR197=1,INT(N(H197))&lt;=Config!$B$5),O197,"")</f>
        <v/>
      </c>
      <c r="CT197" s="23" t="str">
        <f aca="false">IF(AND(BB197=1,INT(N(H197))&lt;=Config!$B$5),AG197&amp;"","")</f>
        <v/>
      </c>
      <c r="CU197" s="23" t="n">
        <f aca="false">IF(AND(BB197=1,AU197="Y"),1,0)</f>
        <v>0</v>
      </c>
      <c r="CV197" s="23" t="n">
        <f aca="false">IF(CU197=1,IF(COUNTIFS($AZ$2:$AZ$201,AZ197,$CU$2:$CU$201,1,$H$2:$H$201,"&lt;"&amp;H197)+COUNTIFS($AZ$2:$AZ$201,AZ197,$CU$2:$CU$201,1,$H$2:$H$201,H197,$BA$2:$BA$201,"&lt;"&amp;BA197)=0,1,0),0)</f>
        <v>0</v>
      </c>
      <c r="CW197" s="23" t="str">
        <f aca="false">IF(BB197=1,IFERROR(MATCH($A197,INDEX(Clay_Offices!$A$2:$FZ$601,0,Sync!$C$5),0),""),"")</f>
        <v/>
      </c>
      <c r="CX197" s="23" t="str">
        <f aca="false">IF(CW197="","",IFERROR(INDEX(Clay_Offices!$A$2:$FZ$601,CW197,Sync!$C$7)&amp;"",""))</f>
        <v/>
      </c>
      <c r="CY197" s="23" t="str">
        <f aca="false">IF(CX197="","",IFERROR(INDEX(Lists!$K$2:$K$15,MATCH(CX197,Lists!$J$2:$J$15,0)),""))</f>
        <v/>
      </c>
      <c r="CZ197" s="23" t="str">
        <f aca="false">IF(CW197="","",IFERROR(INDEX(Clay_Offices!$A$2:$FZ$601,CW197,Sync!$C$17)&amp;"",""))</f>
        <v/>
      </c>
      <c r="DA197" s="35" t="str">
        <f aca="false">IF(CW197="","",IFERROR(N(INDEX(Clay_Offices!$A$2:$FZ$601,CW197,Sync!$C$16)),0))</f>
        <v/>
      </c>
      <c r="DB197" s="23" t="n">
        <f aca="false">IF(AND(BB197=1,OR(AR197="Y",AR197="N",AR197="maybe")),1,0)</f>
        <v>0</v>
      </c>
      <c r="DC197" s="23" t="n">
        <f aca="false">IF(AND(DB197=1),IF(COUNTIFS($A$2:$A$201,$A197,$DB$2:$DB$201,1,$H$2:$H$201,"&gt;"&amp;H197)+COUNTIFS($A$2:$A$201,$A197,$DB$2:$DB$201,1,$H$2:$H$201,H197,$BA$2:$BA$201,"&gt;"&amp;BA197)=0,1,0),0)</f>
        <v>0</v>
      </c>
      <c r="DD197" s="23" t="n">
        <f aca="false">IF(AND(DB197=1,INT(N(H197))&lt;=Config!$B$6),IF(COUNTIFS($AZ$2:$AZ$201,AZ197,$DB$2:$DB$201,1,$H$2:$H$201,"&gt;"&amp;H197,$H$2:$H$201,"&lt;"&amp;(Config!$B$6+1))+COUNTIFS($AZ$2:$AZ$201,AZ197,$DB$2:$DB$201,1,$H$2:$H$201,H197,$BA$2:$BA$201,"&gt;"&amp;BA197)=0,1,0),0)</f>
        <v>0</v>
      </c>
      <c r="DE197" s="23" t="n">
        <f aca="false">IF(AND(DB197=1,INT(N(H197))&lt;=Config!$B$7),IF(COUNTIFS($AZ$2:$AZ$201,AZ197,$DB$2:$DB$201,1,$H$2:$H$201,"&gt;"&amp;H197,$H$2:$H$201,"&lt;"&amp;(Config!$B$7+1))+COUNTIFS($AZ$2:$AZ$201,AZ197,$DB$2:$DB$201,1,$H$2:$H$201,H197,$BA$2:$BA$201,"&gt;"&amp;BA197)=0,1,0),0)</f>
        <v>0</v>
      </c>
      <c r="DF197" s="23" t="n">
        <f aca="false">IF(AND(DB197=1,INT(N(H197))&lt;=Config!$B$8),IF(COUNTIFS($AZ$2:$AZ$201,AZ197,$DB$2:$DB$201,1,$H$2:$H$201,"&gt;"&amp;H197,$H$2:$H$201,"&lt;"&amp;(Config!$B$8+1))+COUNTIFS($AZ$2:$AZ$201,AZ197,$DB$2:$DB$201,1,$H$2:$H$201,H197,$BA$2:$BA$201,"&gt;"&amp;BA197)=0,1,0),0)</f>
        <v>0</v>
      </c>
      <c r="DG197" s="23" t="n">
        <f aca="false">IF(AND(DB197=1,INT(N(H197))&lt;=Config!$B$5),IF(COUNTIFS($AZ$2:$AZ$201,AZ197,$DB$2:$DB$201,1,$H$2:$H$201,"&gt;"&amp;H197,$H$2:$H$201,"&lt;"&amp;(Config!$B$5+1))+COUNTIFS($AZ$2:$AZ$201,AZ197,$DB$2:$DB$201,1,$H$2:$H$201,H197,$BA$2:$BA$201,"&gt;"&amp;BA197)=0,1,0),0)</f>
        <v>0</v>
      </c>
      <c r="DH197" s="23" t="n">
        <f aca="false">IF(BB197=1,IF(COUNTIFS($AZ$2:$AZ$201,AZ197,$DD$2:$DD$201,1,$AR$2:$AR$201,"Y")&gt;0,1,0),0)</f>
        <v>0</v>
      </c>
      <c r="DI197" s="23" t="n">
        <f aca="false">IF(BB197=1,IF(COUNTIFS($AZ$2:$AZ$201,AZ197,$DE$2:$DE$201,1,$AR$2:$AR$201,"Y")&gt;0,1,0),0)</f>
        <v>0</v>
      </c>
      <c r="DJ197" s="23" t="n">
        <f aca="false">IF(BB197=1,IF(COUNTIFS($AZ$2:$AZ$201,AZ197,$DF$2:$DF$201,1,$AR$2:$AR$201,"Y")&gt;0,1,0),0)</f>
        <v>0</v>
      </c>
      <c r="DK197" s="23" t="n">
        <f aca="false">IF(BB197=1,IF(COUNTIFS($AZ$2:$AZ$201,AZ197,$DG$2:$DG$201,1,$AR$2:$AR$201,"Y")&gt;0,1,0),0)</f>
        <v>0</v>
      </c>
      <c r="DL197" s="23" t="n">
        <f aca="false">IF(AND(BF197=1,INT(N(H197))&lt;=Config!$B$6,DH197=1,EI197=0),1,0)</f>
        <v>0</v>
      </c>
      <c r="DM197" s="23" t="n">
        <f aca="false">IF(AND(BF197=1,INT(N(H197))&lt;=Config!$B$7,DI197=1,EI197=0),1,0)</f>
        <v>0</v>
      </c>
      <c r="DN197" s="23" t="n">
        <f aca="false">IF(AND(BF197=1,INT(N(H197))&lt;=Config!$B$8,DJ197=1,EI197=0),1,0)</f>
        <v>0</v>
      </c>
      <c r="DO197" s="23" t="n">
        <f aca="false">IF(AND(BF197=1,INT(N(H197))&lt;=Config!$B$5,DK197=1,EI197=0),1,0)</f>
        <v>0</v>
      </c>
      <c r="DP197" s="23" t="n">
        <f aca="false">IF(AND(CC197=1,INT(N(H197))&lt;=Config!$B$6,DH197=1,EI197=0),1,0)</f>
        <v>0</v>
      </c>
      <c r="DQ197" s="23" t="n">
        <f aca="false">IF(AND(CC197=1,INT(N(H197))&lt;=Config!$B$7,DI197=1,EI197=0),1,0)</f>
        <v>0</v>
      </c>
      <c r="DR197" s="23" t="n">
        <f aca="false">IF(AND(CC197=1,INT(N(H197))&lt;=Config!$B$8,DJ197=1,EI197=0),1,0)</f>
        <v>0</v>
      </c>
      <c r="DS197" s="23" t="n">
        <f aca="false">IF(AND(CC197=1,INT(N(H197))&lt;=Config!$B$5,DK197=1,EI197=0),1,0)</f>
        <v>0</v>
      </c>
      <c r="DT197" s="23" t="n">
        <f aca="false">IF(AND(CC197=1,INT(N(H197))&lt;=Config!$B$6,DH197=0),1,0)</f>
        <v>0</v>
      </c>
      <c r="DU197" s="23" t="n">
        <f aca="false">IF(AND(CC197=1,INT(N(H197))&lt;=Config!$B$7,DI197=0),1,0)</f>
        <v>0</v>
      </c>
      <c r="DV197" s="23" t="n">
        <f aca="false">IF(AND(CC197=1,INT(N(H197))&lt;=Config!$B$8,DJ197=0),1,0)</f>
        <v>0</v>
      </c>
      <c r="DW197" s="23" t="n">
        <f aca="false">IF(AND(CC197=1,INT(N(H197))&lt;=Config!$B$5,DK197=0),1,0)</f>
        <v>0</v>
      </c>
      <c r="DX197" s="23" t="n">
        <f aca="false">IF(TRIM($A197)="",0,ISTEXT(M197)+ISTEXT(O197)+ISTEXT(Y197)+ISTEXT(Z197)+ISTEXT(AA197)+ISTEXT(AV197))</f>
        <v>0</v>
      </c>
      <c r="DY197" s="23" t="n">
        <f aca="false">IF(BB197=1,IF(H197&lt;&gt;INT(H197),1,0),0)</f>
        <v>0</v>
      </c>
      <c r="DZ197" s="23" t="str">
        <f aca="false">IF(TRIM($A197)="","",IF(TRIM(B197)="",SUBSTITUTE(SUBSTITUTE(SUBSTITUTE(SUBSTITUTE(SUBSTITUTE(SUBSTITUTE(LOWER(TRIM($A197)),"~",""),"*",""),"?",""),"&lt;",""),"&gt;",""),"=",""),SUBSTITUTE(SUBSTITUTE(SUBSTITUTE(SUBSTITUTE(SUBSTITUTE(SUBSTITUTE(LOWER(TRIM(B197)),"~",""),"*",""),"?",""),"&lt;",""),"&gt;",""),"=","")))</f>
        <v/>
      </c>
      <c r="EA197" s="23" t="str">
        <f aca="false">IF(CW197="","",IFERROR(IF(LEFT(LOWER(TRIM(INDEX(Clay_Offices!$A$2:$FZ$601,CW197,Sync!$C$19)&amp;"")),4)="grp-",SUBSTITUTE(SUBSTITUTE(SUBSTITUTE(SUBSTITUTE(SUBSTITUTE(SUBSTITUTE(LOWER(TRIM(INDEX(Clay_Offices!$A$2:$FZ$601,CW197,Sync!$C$19)&amp;"")),"~",""),"*",""),"?",""),"&lt;",""),"&gt;",""),"=",""),""),""))</f>
        <v/>
      </c>
      <c r="EB197" s="23" t="str">
        <f aca="false">IF(EA197&lt;&gt;"",DZ197,"")</f>
        <v/>
      </c>
      <c r="EC197" s="23" t="str">
        <f aca="false">IF(BC197=1,AZ197,"")</f>
        <v/>
      </c>
      <c r="ED197" s="23" t="str">
        <f aca="false">IF(TRIM($A197)="","",IFERROR(INDEX($A$2:$A$201,MATCH(AZ197,$EC$2:$EC$201,0))&amp;"",$A197&amp;""))</f>
        <v/>
      </c>
      <c r="EE197" s="23" t="n">
        <f aca="false">IF(BB197=1,IF(COUNTIFS($A$2:$A$201,$A197,$BB$2:$BB$201,1,$H$2:$H$201,"&lt;"&amp;H197)+COUNTIFS($A$2:$A$201,$A197,$BB$2:$BB$201,1,$H$2:$H$201,H197,$BA$2:$BA$201,"&lt;"&amp;BA197)=0,1,0),0)</f>
        <v>0</v>
      </c>
      <c r="EF197" s="23" t="n">
        <f aca="false">IF(BC197=1,IF(COUNTIFS($AZ$2:$AZ$201,AZ197,$EE$2:$EE$201,1)&gt;1,1,0),0)</f>
        <v>0</v>
      </c>
      <c r="EG197" s="23" t="n">
        <f aca="false">IF(AND(CQ197=1),IF(COUNTIFS($AZ$2:$AZ$201,AZ197,$CQ$2:$CQ$201,1,$H$2:$H$201,"&gt;"&amp;H197)+COUNTIFS($AZ$2:$AZ$201,AZ197,$CQ$2:$CQ$201,1,$H$2:$H$201,H197,$BA$2:$BA$201,"&gt;"&amp;BA197)=0,1,0),0)</f>
        <v>0</v>
      </c>
      <c r="EH197" s="23" t="str">
        <f aca="false">IF(BB197=1,IF(COUNTIFS($AZ$2:$AZ$201,AZ197,$EG$2:$EG$201,1)=0,"",SUMIFS($O$2:$O$201,$AZ$2:$AZ$201,AZ197,$EG$2:$EG$201,1)),"")</f>
        <v/>
      </c>
      <c r="EI197" s="23" t="n">
        <f aca="false">IF(AND(ISNUMBER(EH197),OR(N(EH197)&lt;Config!$B$31,N(EH197)&gt;Config!$B$33)),1,0)</f>
        <v>0</v>
      </c>
      <c r="EJ197" s="23" t="n">
        <f aca="false">IF(AND(ISNUMBER(EH197),N(EH197)&gt;=Config!$B$31,N(EH197)&lt;Config!$B$32),1,0)</f>
        <v>0</v>
      </c>
      <c r="EK197" s="23" t="n">
        <f aca="false">IF(AND(BF197=1,INT(N(H197))&lt;=Config!$B$6,DH197=1,EI197=1),1,0)</f>
        <v>0</v>
      </c>
      <c r="EL197" s="23" t="n">
        <f aca="false">IF(AND(BF197=1,INT(N(H197))&lt;=Config!$B$7,DI197=1,EI197=1),1,0)</f>
        <v>0</v>
      </c>
      <c r="EM197" s="23" t="n">
        <f aca="false">IF(AND(BF197=1,INT(N(H197))&lt;=Config!$B$8,DJ197=1,EI197=1),1,0)</f>
        <v>0</v>
      </c>
      <c r="EN197" s="23" t="n">
        <f aca="false">IF(AND(BF197=1,INT(N(H197))&lt;=Config!$B$5,DK197=1,EI197=1),1,0)</f>
        <v>0</v>
      </c>
      <c r="EO197" s="23" t="n">
        <f aca="false">IF(AND(DL197=1,EJ197=1),1,0)</f>
        <v>0</v>
      </c>
      <c r="EP197" s="23" t="n">
        <f aca="false">IF(AND(DM197=1,EJ197=1),1,0)</f>
        <v>0</v>
      </c>
      <c r="EQ197" s="23" t="n">
        <f aca="false">IF(AND(DN197=1,EJ197=1),1,0)</f>
        <v>0</v>
      </c>
      <c r="ER197" s="23" t="n">
        <f aca="false">IF(AND(DO197=1,EJ197=1),1,0)</f>
        <v>0</v>
      </c>
    </row>
    <row r="198" customFormat="false" ht="15" hidden="false" customHeight="false" outlineLevel="0" collapsed="false">
      <c r="G198" s="32"/>
      <c r="H198" s="33"/>
      <c r="I198" s="32"/>
      <c r="L198" s="32"/>
      <c r="Q198" s="32"/>
      <c r="U198" s="32"/>
      <c r="W198" s="32"/>
      <c r="AC198" s="32"/>
      <c r="AF198" s="32"/>
      <c r="AI198" s="32"/>
      <c r="AJ198" s="32"/>
      <c r="AN198" s="32"/>
      <c r="AR198" s="32"/>
      <c r="AT198" s="32"/>
      <c r="AU198" s="32"/>
      <c r="AW198" s="32"/>
      <c r="AY198" s="34" t="str">
        <f aca="false">IF(TRIM($A198)="","",IF(AND(LEFT($A198,6)="SAMPLE",Config!$B$19&lt;&gt;"Y"),"",IF(NOT(ISNUMBER(H198)),"call_date is blank or not a date",IF(Sync!$C$5="","Clay paste is empty or has no row_id column: paste the Clay export on Clay_Offices",IF(CW198="","row_id not found in the Clay paste: add the Clay row or fix the row_id",IF(AND(ISNUMBER(CY198),CY198&gt;=1,CY198&lt;=5),"Clay status is "&amp;CX198&amp;": set call_done or later",IF(AND(BD198=1,CZ198&lt;&gt;BZ198),"Clay yes_in_principle should be "&amp;BZ198,IF(AND(BD198=1,DA198&lt;&gt;H198),"Clay call_date should be "&amp;TEXT(H198,"yyyy-mm-dd"),""))))))))</f>
        <v/>
      </c>
      <c r="AZ198" s="23" t="str">
        <f aca="false">IF(TRIM($A198)="","",IF(TRIM(C198)&lt;&gt;"",SUBSTITUTE(SUBSTITUTE(SUBSTITUTE(SUBSTITUTE(SUBSTITUTE(SUBSTITUTE(LOWER(TRIM(C198)),"~",""),"*",""),"?",""),"&lt;",""),"&gt;",""),"=",""),IF(EA198&lt;&gt;"",EA198,IFERROR(INDEX($EA$2:$EA$201,MATCH(DZ198,$EB$2:$EB$201,0)),DZ198))))</f>
        <v/>
      </c>
      <c r="BA198" s="23" t="n">
        <f aca="false">ROW()</f>
        <v>198</v>
      </c>
      <c r="BB198" s="23" t="n">
        <f aca="false">IF(AND(TRIM($A198)&lt;&gt;"",ISNUMBER(H198)),IF(AND(LEFT($A198,6)="SAMPLE",Config!$B$19&lt;&gt;"Y"),0,1),0)</f>
        <v>0</v>
      </c>
      <c r="BC198" s="23" t="n">
        <f aca="false">IF(BB198=1,IF(COUNTIFS($AZ$2:$AZ$201,AZ198,$BB$2:$BB$201,1,$H$2:$H$201,"&lt;"&amp;H198)+COUNTIFS($AZ$2:$AZ$201,AZ198,$BB$2:$BB$201,1,$H$2:$H$201,H198,$BA$2:$BA$201,"&lt;"&amp;BA198)=0,1,0),0)</f>
        <v>0</v>
      </c>
      <c r="BD198" s="23" t="n">
        <f aca="false">IF(BB198=1,IF(COUNTIFS($A$2:$A$201,$A198,$BB$2:$BB$201,1,$H$2:$H$201,"&gt;"&amp;H198)+COUNTIFS($A$2:$A$201,$A198,$BB$2:$BB$201,1,$H$2:$H$201,H198,$BA$2:$BA$201,"&gt;"&amp;BA198)=0,1,0),0)</f>
        <v>0</v>
      </c>
      <c r="BE198" s="23" t="n">
        <f aca="false">IF(AND(BB198=1,AR198="Y",AC198="Y",TRIM(AH198)&lt;&gt;""),1,0)</f>
        <v>0</v>
      </c>
      <c r="BF198" s="23" t="n">
        <f aca="false">IF(BE198=1,IF(COUNTIFS($AZ$2:$AZ$201,AZ198,$BE$2:$BE$201,1,$H$2:$H$201,"&lt;"&amp;H198)+COUNTIFS($AZ$2:$AZ$201,AZ198,$BE$2:$BE$201,1,$H$2:$H$201,H198,$BA$2:$BA$201,"&lt;"&amp;BA198)=0,1,0),0)</f>
        <v>0</v>
      </c>
      <c r="BG198" s="23" t="n">
        <f aca="false">IF(AND(BB198=1,AR198="Y",BE198=0),1,0)</f>
        <v>0</v>
      </c>
      <c r="BH198" s="23" t="n">
        <f aca="false">IF(AND(BB198=1,ISNUMBER(Y198)),1,0)</f>
        <v>0</v>
      </c>
      <c r="BI198" s="23" t="n">
        <f aca="false">IF(BH198=1,IF(COUNTIFS($AZ$2:$AZ$201,AZ198,$BH$2:$BH$201,1,$H$2:$H$201,"&lt;"&amp;H198)+COUNTIFS($AZ$2:$AZ$201,AZ198,$BH$2:$BH$201,1,$H$2:$H$201,H198,$BA$2:$BA$201,"&lt;"&amp;BA198)=0,1,0),0)</f>
        <v>0</v>
      </c>
      <c r="BJ198" s="23" t="str">
        <f aca="false">IF(AND(BI198=1,INT(N(H198))&lt;=Config!$B$6),Y198,"")</f>
        <v/>
      </c>
      <c r="BK198" s="23" t="str">
        <f aca="false">IF(AND(BI198=1,INT(N(H198))&lt;=Config!$B$7),Y198,"")</f>
        <v/>
      </c>
      <c r="BL198" s="23" t="str">
        <f aca="false">IF(AND(BI198=1,INT(N(H198))&lt;=Config!$B$8),Y198,"")</f>
        <v/>
      </c>
      <c r="BM198" s="23" t="str">
        <f aca="false">IF(AND(BI198=1,INT(N(H198))&lt;=Config!$B$5),Y198,"")</f>
        <v/>
      </c>
      <c r="BN198" s="23" t="n">
        <f aca="false">IF(CD198=1,IF(COUNTIFS($AZ$2:$AZ$201,AZ198,$CD$2:$CD$201,1,$H$2:$H$201,"&lt;"&amp;H198)+COUNTIFS($AZ$2:$AZ$201,AZ198,$CD$2:$CD$201,1,$H$2:$H$201,H198,$BA$2:$BA$201,"&lt;"&amp;BA198)=0,1,0),0)</f>
        <v>0</v>
      </c>
      <c r="BO198" s="23" t="n">
        <f aca="false">IF(AND(BB198=1,ISNUMBER(M198)),1,0)</f>
        <v>0</v>
      </c>
      <c r="BP198" s="23" t="n">
        <f aca="false">IF(BO198=1,IF(COUNTIFS($AZ$2:$AZ$201,AZ198,$BO$2:$BO$201,1,$H$2:$H$201,"&lt;"&amp;H198)+COUNTIFS($AZ$2:$AZ$201,AZ198,$BO$2:$BO$201,1,$H$2:$H$201,H198,$BA$2:$BA$201,"&lt;"&amp;BA198)=0,1,0),0)</f>
        <v>0</v>
      </c>
      <c r="BQ198" s="23" t="str">
        <f aca="false">IF(AND(BP198=1,INT(N(H198))&lt;=Config!$B$5),M198,"")</f>
        <v/>
      </c>
      <c r="BR198" s="23" t="n">
        <f aca="false">IF(AND(BB198=1,OR(TRIM(X198)&lt;&gt;"",ISNUMBER(Y198))),1,0)</f>
        <v>0</v>
      </c>
      <c r="BS198" s="23" t="n">
        <f aca="false">IF(BR198=1,IF(COUNTIFS($AZ$2:$AZ$201,AZ198,$BR$2:$BR$201,1,$H$2:$H$201,"&lt;"&amp;H198)+COUNTIFS($AZ$2:$AZ$201,AZ198,$BR$2:$BR$201,1,$H$2:$H$201,H198,$BA$2:$BA$201,"&lt;"&amp;BA198)=0,1,0),0)</f>
        <v>0</v>
      </c>
      <c r="BT198" s="23" t="str">
        <f aca="false">IF(BS198=1,AZ198,"")</f>
        <v/>
      </c>
      <c r="BU198" s="23" t="n">
        <f aca="false">IF(AND(BB198=1,W198="Y",TRIM(X198)=""),1,0)</f>
        <v>0</v>
      </c>
      <c r="BV198" s="23" t="str">
        <f aca="false">IF(BB198=1,AN198&amp;"","")</f>
        <v/>
      </c>
      <c r="BW198" s="23" t="str">
        <f aca="false">IF(BB198=1,AO198&amp;"","")</f>
        <v/>
      </c>
      <c r="BX198" s="23" t="str">
        <f aca="false">IF(BB198=1,AP198&amp;"","")</f>
        <v/>
      </c>
      <c r="BY198" s="23" t="str">
        <f aca="false">IF(AND(BB198=1,ISNUMBER(AV198),INT(N(H198))&lt;=Config!$B$5),AV198,"")</f>
        <v/>
      </c>
      <c r="BZ198" s="23" t="str">
        <f aca="false">IF(BB198=1,IF(COUNTIFS($A$2:$A$201,$A198,$DC$2:$DC$201,1,$AR$2:$AR$201,"Y")&gt;0,"Y","N"),"")</f>
        <v/>
      </c>
      <c r="CA198" s="23" t="n">
        <f aca="false">IF(AND(BB198=1,AR198="maybe"),1,0)</f>
        <v>0</v>
      </c>
      <c r="CB198" s="23" t="n">
        <f aca="false">IF(CA198=1,IF(COUNTIFS($AZ$2:$AZ$201,AZ198,$CA$2:$CA$201,1,$H$2:$H$201,"&lt;"&amp;H198)+COUNTIFS($AZ$2:$AZ$201,AZ198,$CA$2:$CA$201,1,$H$2:$H$201,H198,$BA$2:$BA$201,"&lt;"&amp;BA198)=0,1,0),0)</f>
        <v>0</v>
      </c>
      <c r="CC198" s="23" t="n">
        <f aca="false">IF(AND(BB198=1,AR198="Y"),IF(COUNTIFS($AZ$2:$AZ$201,AZ198,$AR$2:$AR$201,"Y",$BB$2:$BB$201,1,$H$2:$H$201,"&lt;"&amp;H198)+COUNTIFS($AZ$2:$AZ$201,AZ198,$AR$2:$AR$201,"Y",$BB$2:$BB$201,1,$H$2:$H$201,H198,$BA$2:$BA$201,"&lt;"&amp;BA198)=0,1,0),0)</f>
        <v>0</v>
      </c>
      <c r="CD198" s="23" t="n">
        <f aca="false">IF(AND(BH198=1,N(Y198)&gt;=Config!$B$15),1,0)</f>
        <v>0</v>
      </c>
      <c r="CE198" s="23" t="n">
        <f aca="false">IF(AND(BB198=1,AT198="Y"),1,0)</f>
        <v>0</v>
      </c>
      <c r="CF198" s="23" t="n">
        <f aca="false">IF(CE198=1,IF(COUNTIFS($AZ$2:$AZ$201,AZ198,$CE$2:$CE$201,1,$H$2:$H$201,"&lt;"&amp;H198)+COUNTIFS($AZ$2:$AZ$201,AZ198,$CE$2:$CE$201,1,$H$2:$H$201,H198,$BA$2:$BA$201,"&lt;"&amp;BA198)=0,1,0),0)</f>
        <v>0</v>
      </c>
      <c r="CG198" s="23" t="n">
        <f aca="false">IF(AND(BB198=1,G198="warm-intro"),1,0)</f>
        <v>0</v>
      </c>
      <c r="CH198" s="23" t="n">
        <f aca="false">IF(CG198=1,IF(COUNTIFS($AZ$2:$AZ$201,AZ198,$CG$2:$CG$201,1,$H$2:$H$201,"&lt;"&amp;H198)+COUNTIFS($AZ$2:$AZ$201,AZ198,$CG$2:$CG$201,1,$H$2:$H$201,H198,$BA$2:$BA$201,"&lt;"&amp;BA198)=0,1,0),0)</f>
        <v>0</v>
      </c>
      <c r="CI198" s="23" t="n">
        <f aca="false">IF(AND(BB198=1,Q198="Y"),1,0)</f>
        <v>0</v>
      </c>
      <c r="CJ198" s="23" t="n">
        <f aca="false">IF(CI198=1,IF(COUNTIFS($AZ$2:$AZ$201,AZ198,$CI$2:$CI$201,1,$H$2:$H$201,"&lt;"&amp;H198)+COUNTIFS($AZ$2:$AZ$201,AZ198,$CI$2:$CI$201,1,$H$2:$H$201,H198,$BA$2:$BA$201,"&lt;"&amp;BA198)=0,1,0),0)</f>
        <v>0</v>
      </c>
      <c r="CK198" s="23" t="n">
        <f aca="false">IF(AND(BB198=1,AF198="Y"),1,0)</f>
        <v>0</v>
      </c>
      <c r="CL198" s="23" t="n">
        <f aca="false">IF(CK198=1,IF(COUNTIFS($AZ$2:$AZ$201,AZ198,$CK$2:$CK$201,1,$H$2:$H$201,"&lt;"&amp;H198)+COUNTIFS($AZ$2:$AZ$201,AZ198,$CK$2:$CK$201,1,$H$2:$H$201,H198,$BA$2:$BA$201,"&lt;"&amp;BA198)=0,1,0),0)</f>
        <v>0</v>
      </c>
      <c r="CM198" s="23" t="n">
        <f aca="false">IF(AND(BB198=1,U198="Y"),1,0)</f>
        <v>0</v>
      </c>
      <c r="CN198" s="23" t="n">
        <f aca="false">IF(CM198=1,IF(COUNTIFS($AZ$2:$AZ$201,AZ198,$CM$2:$CM$201,1,$H$2:$H$201,"&lt;"&amp;H198)+COUNTIFS($AZ$2:$AZ$201,AZ198,$CM$2:$CM$201,1,$H$2:$H$201,H198,$BA$2:$BA$201,"&lt;"&amp;BA198)=0,1,0),0)</f>
        <v>0</v>
      </c>
      <c r="CO198" s="23" t="n">
        <f aca="false">IF(AND(BB198=1,L198="Y"),1,0)</f>
        <v>0</v>
      </c>
      <c r="CP198" s="23" t="n">
        <f aca="false">IF(CO198=1,IF(COUNTIFS($AZ$2:$AZ$201,AZ198,$CO$2:$CO$201,1,$H$2:$H$201,"&lt;"&amp;H198)+COUNTIFS($AZ$2:$AZ$201,AZ198,$CO$2:$CO$201,1,$H$2:$H$201,H198,$BA$2:$BA$201,"&lt;"&amp;BA198)=0,1,0),0)</f>
        <v>0</v>
      </c>
      <c r="CQ198" s="23" t="n">
        <f aca="false">IF(AND(BB198=1,ISNUMBER(O198)),1,0)</f>
        <v>0</v>
      </c>
      <c r="CR198" s="23" t="n">
        <f aca="false">IF(CQ198=1,IF(COUNTIFS($AZ$2:$AZ$201,AZ198,$CQ$2:$CQ$201,1,$H$2:$H$201,"&lt;"&amp;H198)+COUNTIFS($AZ$2:$AZ$201,AZ198,$CQ$2:$CQ$201,1,$H$2:$H$201,H198,$BA$2:$BA$201,"&lt;"&amp;BA198)=0,1,0),0)</f>
        <v>0</v>
      </c>
      <c r="CS198" s="23" t="str">
        <f aca="false">IF(AND(CR198=1,INT(N(H198))&lt;=Config!$B$5),O198,"")</f>
        <v/>
      </c>
      <c r="CT198" s="23" t="str">
        <f aca="false">IF(AND(BB198=1,INT(N(H198))&lt;=Config!$B$5),AG198&amp;"","")</f>
        <v/>
      </c>
      <c r="CU198" s="23" t="n">
        <f aca="false">IF(AND(BB198=1,AU198="Y"),1,0)</f>
        <v>0</v>
      </c>
      <c r="CV198" s="23" t="n">
        <f aca="false">IF(CU198=1,IF(COUNTIFS($AZ$2:$AZ$201,AZ198,$CU$2:$CU$201,1,$H$2:$H$201,"&lt;"&amp;H198)+COUNTIFS($AZ$2:$AZ$201,AZ198,$CU$2:$CU$201,1,$H$2:$H$201,H198,$BA$2:$BA$201,"&lt;"&amp;BA198)=0,1,0),0)</f>
        <v>0</v>
      </c>
      <c r="CW198" s="23" t="str">
        <f aca="false">IF(BB198=1,IFERROR(MATCH($A198,INDEX(Clay_Offices!$A$2:$FZ$601,0,Sync!$C$5),0),""),"")</f>
        <v/>
      </c>
      <c r="CX198" s="23" t="str">
        <f aca="false">IF(CW198="","",IFERROR(INDEX(Clay_Offices!$A$2:$FZ$601,CW198,Sync!$C$7)&amp;"",""))</f>
        <v/>
      </c>
      <c r="CY198" s="23" t="str">
        <f aca="false">IF(CX198="","",IFERROR(INDEX(Lists!$K$2:$K$15,MATCH(CX198,Lists!$J$2:$J$15,0)),""))</f>
        <v/>
      </c>
      <c r="CZ198" s="23" t="str">
        <f aca="false">IF(CW198="","",IFERROR(INDEX(Clay_Offices!$A$2:$FZ$601,CW198,Sync!$C$17)&amp;"",""))</f>
        <v/>
      </c>
      <c r="DA198" s="35" t="str">
        <f aca="false">IF(CW198="","",IFERROR(N(INDEX(Clay_Offices!$A$2:$FZ$601,CW198,Sync!$C$16)),0))</f>
        <v/>
      </c>
      <c r="DB198" s="23" t="n">
        <f aca="false">IF(AND(BB198=1,OR(AR198="Y",AR198="N",AR198="maybe")),1,0)</f>
        <v>0</v>
      </c>
      <c r="DC198" s="23" t="n">
        <f aca="false">IF(AND(DB198=1),IF(COUNTIFS($A$2:$A$201,$A198,$DB$2:$DB$201,1,$H$2:$H$201,"&gt;"&amp;H198)+COUNTIFS($A$2:$A$201,$A198,$DB$2:$DB$201,1,$H$2:$H$201,H198,$BA$2:$BA$201,"&gt;"&amp;BA198)=0,1,0),0)</f>
        <v>0</v>
      </c>
      <c r="DD198" s="23" t="n">
        <f aca="false">IF(AND(DB198=1,INT(N(H198))&lt;=Config!$B$6),IF(COUNTIFS($AZ$2:$AZ$201,AZ198,$DB$2:$DB$201,1,$H$2:$H$201,"&gt;"&amp;H198,$H$2:$H$201,"&lt;"&amp;(Config!$B$6+1))+COUNTIFS($AZ$2:$AZ$201,AZ198,$DB$2:$DB$201,1,$H$2:$H$201,H198,$BA$2:$BA$201,"&gt;"&amp;BA198)=0,1,0),0)</f>
        <v>0</v>
      </c>
      <c r="DE198" s="23" t="n">
        <f aca="false">IF(AND(DB198=1,INT(N(H198))&lt;=Config!$B$7),IF(COUNTIFS($AZ$2:$AZ$201,AZ198,$DB$2:$DB$201,1,$H$2:$H$201,"&gt;"&amp;H198,$H$2:$H$201,"&lt;"&amp;(Config!$B$7+1))+COUNTIFS($AZ$2:$AZ$201,AZ198,$DB$2:$DB$201,1,$H$2:$H$201,H198,$BA$2:$BA$201,"&gt;"&amp;BA198)=0,1,0),0)</f>
        <v>0</v>
      </c>
      <c r="DF198" s="23" t="n">
        <f aca="false">IF(AND(DB198=1,INT(N(H198))&lt;=Config!$B$8),IF(COUNTIFS($AZ$2:$AZ$201,AZ198,$DB$2:$DB$201,1,$H$2:$H$201,"&gt;"&amp;H198,$H$2:$H$201,"&lt;"&amp;(Config!$B$8+1))+COUNTIFS($AZ$2:$AZ$201,AZ198,$DB$2:$DB$201,1,$H$2:$H$201,H198,$BA$2:$BA$201,"&gt;"&amp;BA198)=0,1,0),0)</f>
        <v>0</v>
      </c>
      <c r="DG198" s="23" t="n">
        <f aca="false">IF(AND(DB198=1,INT(N(H198))&lt;=Config!$B$5),IF(COUNTIFS($AZ$2:$AZ$201,AZ198,$DB$2:$DB$201,1,$H$2:$H$201,"&gt;"&amp;H198,$H$2:$H$201,"&lt;"&amp;(Config!$B$5+1))+COUNTIFS($AZ$2:$AZ$201,AZ198,$DB$2:$DB$201,1,$H$2:$H$201,H198,$BA$2:$BA$201,"&gt;"&amp;BA198)=0,1,0),0)</f>
        <v>0</v>
      </c>
      <c r="DH198" s="23" t="n">
        <f aca="false">IF(BB198=1,IF(COUNTIFS($AZ$2:$AZ$201,AZ198,$DD$2:$DD$201,1,$AR$2:$AR$201,"Y")&gt;0,1,0),0)</f>
        <v>0</v>
      </c>
      <c r="DI198" s="23" t="n">
        <f aca="false">IF(BB198=1,IF(COUNTIFS($AZ$2:$AZ$201,AZ198,$DE$2:$DE$201,1,$AR$2:$AR$201,"Y")&gt;0,1,0),0)</f>
        <v>0</v>
      </c>
      <c r="DJ198" s="23" t="n">
        <f aca="false">IF(BB198=1,IF(COUNTIFS($AZ$2:$AZ$201,AZ198,$DF$2:$DF$201,1,$AR$2:$AR$201,"Y")&gt;0,1,0),0)</f>
        <v>0</v>
      </c>
      <c r="DK198" s="23" t="n">
        <f aca="false">IF(BB198=1,IF(COUNTIFS($AZ$2:$AZ$201,AZ198,$DG$2:$DG$201,1,$AR$2:$AR$201,"Y")&gt;0,1,0),0)</f>
        <v>0</v>
      </c>
      <c r="DL198" s="23" t="n">
        <f aca="false">IF(AND(BF198=1,INT(N(H198))&lt;=Config!$B$6,DH198=1,EI198=0),1,0)</f>
        <v>0</v>
      </c>
      <c r="DM198" s="23" t="n">
        <f aca="false">IF(AND(BF198=1,INT(N(H198))&lt;=Config!$B$7,DI198=1,EI198=0),1,0)</f>
        <v>0</v>
      </c>
      <c r="DN198" s="23" t="n">
        <f aca="false">IF(AND(BF198=1,INT(N(H198))&lt;=Config!$B$8,DJ198=1,EI198=0),1,0)</f>
        <v>0</v>
      </c>
      <c r="DO198" s="23" t="n">
        <f aca="false">IF(AND(BF198=1,INT(N(H198))&lt;=Config!$B$5,DK198=1,EI198=0),1,0)</f>
        <v>0</v>
      </c>
      <c r="DP198" s="23" t="n">
        <f aca="false">IF(AND(CC198=1,INT(N(H198))&lt;=Config!$B$6,DH198=1,EI198=0),1,0)</f>
        <v>0</v>
      </c>
      <c r="DQ198" s="23" t="n">
        <f aca="false">IF(AND(CC198=1,INT(N(H198))&lt;=Config!$B$7,DI198=1,EI198=0),1,0)</f>
        <v>0</v>
      </c>
      <c r="DR198" s="23" t="n">
        <f aca="false">IF(AND(CC198=1,INT(N(H198))&lt;=Config!$B$8,DJ198=1,EI198=0),1,0)</f>
        <v>0</v>
      </c>
      <c r="DS198" s="23" t="n">
        <f aca="false">IF(AND(CC198=1,INT(N(H198))&lt;=Config!$B$5,DK198=1,EI198=0),1,0)</f>
        <v>0</v>
      </c>
      <c r="DT198" s="23" t="n">
        <f aca="false">IF(AND(CC198=1,INT(N(H198))&lt;=Config!$B$6,DH198=0),1,0)</f>
        <v>0</v>
      </c>
      <c r="DU198" s="23" t="n">
        <f aca="false">IF(AND(CC198=1,INT(N(H198))&lt;=Config!$B$7,DI198=0),1,0)</f>
        <v>0</v>
      </c>
      <c r="DV198" s="23" t="n">
        <f aca="false">IF(AND(CC198=1,INT(N(H198))&lt;=Config!$B$8,DJ198=0),1,0)</f>
        <v>0</v>
      </c>
      <c r="DW198" s="23" t="n">
        <f aca="false">IF(AND(CC198=1,INT(N(H198))&lt;=Config!$B$5,DK198=0),1,0)</f>
        <v>0</v>
      </c>
      <c r="DX198" s="23" t="n">
        <f aca="false">IF(TRIM($A198)="",0,ISTEXT(M198)+ISTEXT(O198)+ISTEXT(Y198)+ISTEXT(Z198)+ISTEXT(AA198)+ISTEXT(AV198))</f>
        <v>0</v>
      </c>
      <c r="DY198" s="23" t="n">
        <f aca="false">IF(BB198=1,IF(H198&lt;&gt;INT(H198),1,0),0)</f>
        <v>0</v>
      </c>
      <c r="DZ198" s="23" t="str">
        <f aca="false">IF(TRIM($A198)="","",IF(TRIM(B198)="",SUBSTITUTE(SUBSTITUTE(SUBSTITUTE(SUBSTITUTE(SUBSTITUTE(SUBSTITUTE(LOWER(TRIM($A198)),"~",""),"*",""),"?",""),"&lt;",""),"&gt;",""),"=",""),SUBSTITUTE(SUBSTITUTE(SUBSTITUTE(SUBSTITUTE(SUBSTITUTE(SUBSTITUTE(LOWER(TRIM(B198)),"~",""),"*",""),"?",""),"&lt;",""),"&gt;",""),"=","")))</f>
        <v/>
      </c>
      <c r="EA198" s="23" t="str">
        <f aca="false">IF(CW198="","",IFERROR(IF(LEFT(LOWER(TRIM(INDEX(Clay_Offices!$A$2:$FZ$601,CW198,Sync!$C$19)&amp;"")),4)="grp-",SUBSTITUTE(SUBSTITUTE(SUBSTITUTE(SUBSTITUTE(SUBSTITUTE(SUBSTITUTE(LOWER(TRIM(INDEX(Clay_Offices!$A$2:$FZ$601,CW198,Sync!$C$19)&amp;"")),"~",""),"*",""),"?",""),"&lt;",""),"&gt;",""),"=",""),""),""))</f>
        <v/>
      </c>
      <c r="EB198" s="23" t="str">
        <f aca="false">IF(EA198&lt;&gt;"",DZ198,"")</f>
        <v/>
      </c>
      <c r="EC198" s="23" t="str">
        <f aca="false">IF(BC198=1,AZ198,"")</f>
        <v/>
      </c>
      <c r="ED198" s="23" t="str">
        <f aca="false">IF(TRIM($A198)="","",IFERROR(INDEX($A$2:$A$201,MATCH(AZ198,$EC$2:$EC$201,0))&amp;"",$A198&amp;""))</f>
        <v/>
      </c>
      <c r="EE198" s="23" t="n">
        <f aca="false">IF(BB198=1,IF(COUNTIFS($A$2:$A$201,$A198,$BB$2:$BB$201,1,$H$2:$H$201,"&lt;"&amp;H198)+COUNTIFS($A$2:$A$201,$A198,$BB$2:$BB$201,1,$H$2:$H$201,H198,$BA$2:$BA$201,"&lt;"&amp;BA198)=0,1,0),0)</f>
        <v>0</v>
      </c>
      <c r="EF198" s="23" t="n">
        <f aca="false">IF(BC198=1,IF(COUNTIFS($AZ$2:$AZ$201,AZ198,$EE$2:$EE$201,1)&gt;1,1,0),0)</f>
        <v>0</v>
      </c>
      <c r="EG198" s="23" t="n">
        <f aca="false">IF(AND(CQ198=1),IF(COUNTIFS($AZ$2:$AZ$201,AZ198,$CQ$2:$CQ$201,1,$H$2:$H$201,"&gt;"&amp;H198)+COUNTIFS($AZ$2:$AZ$201,AZ198,$CQ$2:$CQ$201,1,$H$2:$H$201,H198,$BA$2:$BA$201,"&gt;"&amp;BA198)=0,1,0),0)</f>
        <v>0</v>
      </c>
      <c r="EH198" s="23" t="str">
        <f aca="false">IF(BB198=1,IF(COUNTIFS($AZ$2:$AZ$201,AZ198,$EG$2:$EG$201,1)=0,"",SUMIFS($O$2:$O$201,$AZ$2:$AZ$201,AZ198,$EG$2:$EG$201,1)),"")</f>
        <v/>
      </c>
      <c r="EI198" s="23" t="n">
        <f aca="false">IF(AND(ISNUMBER(EH198),OR(N(EH198)&lt;Config!$B$31,N(EH198)&gt;Config!$B$33)),1,0)</f>
        <v>0</v>
      </c>
      <c r="EJ198" s="23" t="n">
        <f aca="false">IF(AND(ISNUMBER(EH198),N(EH198)&gt;=Config!$B$31,N(EH198)&lt;Config!$B$32),1,0)</f>
        <v>0</v>
      </c>
      <c r="EK198" s="23" t="n">
        <f aca="false">IF(AND(BF198=1,INT(N(H198))&lt;=Config!$B$6,DH198=1,EI198=1),1,0)</f>
        <v>0</v>
      </c>
      <c r="EL198" s="23" t="n">
        <f aca="false">IF(AND(BF198=1,INT(N(H198))&lt;=Config!$B$7,DI198=1,EI198=1),1,0)</f>
        <v>0</v>
      </c>
      <c r="EM198" s="23" t="n">
        <f aca="false">IF(AND(BF198=1,INT(N(H198))&lt;=Config!$B$8,DJ198=1,EI198=1),1,0)</f>
        <v>0</v>
      </c>
      <c r="EN198" s="23" t="n">
        <f aca="false">IF(AND(BF198=1,INT(N(H198))&lt;=Config!$B$5,DK198=1,EI198=1),1,0)</f>
        <v>0</v>
      </c>
      <c r="EO198" s="23" t="n">
        <f aca="false">IF(AND(DL198=1,EJ198=1),1,0)</f>
        <v>0</v>
      </c>
      <c r="EP198" s="23" t="n">
        <f aca="false">IF(AND(DM198=1,EJ198=1),1,0)</f>
        <v>0</v>
      </c>
      <c r="EQ198" s="23" t="n">
        <f aca="false">IF(AND(DN198=1,EJ198=1),1,0)</f>
        <v>0</v>
      </c>
      <c r="ER198" s="23" t="n">
        <f aca="false">IF(AND(DO198=1,EJ198=1),1,0)</f>
        <v>0</v>
      </c>
    </row>
    <row r="199" customFormat="false" ht="15" hidden="false" customHeight="false" outlineLevel="0" collapsed="false">
      <c r="G199" s="32"/>
      <c r="H199" s="33"/>
      <c r="I199" s="32"/>
      <c r="L199" s="32"/>
      <c r="Q199" s="32"/>
      <c r="U199" s="32"/>
      <c r="W199" s="32"/>
      <c r="AC199" s="32"/>
      <c r="AF199" s="32"/>
      <c r="AI199" s="32"/>
      <c r="AJ199" s="32"/>
      <c r="AN199" s="32"/>
      <c r="AR199" s="32"/>
      <c r="AT199" s="32"/>
      <c r="AU199" s="32"/>
      <c r="AW199" s="32"/>
      <c r="AY199" s="34" t="str">
        <f aca="false">IF(TRIM($A199)="","",IF(AND(LEFT($A199,6)="SAMPLE",Config!$B$19&lt;&gt;"Y"),"",IF(NOT(ISNUMBER(H199)),"call_date is blank or not a date",IF(Sync!$C$5="","Clay paste is empty or has no row_id column: paste the Clay export on Clay_Offices",IF(CW199="","row_id not found in the Clay paste: add the Clay row or fix the row_id",IF(AND(ISNUMBER(CY199),CY199&gt;=1,CY199&lt;=5),"Clay status is "&amp;CX199&amp;": set call_done or later",IF(AND(BD199=1,CZ199&lt;&gt;BZ199),"Clay yes_in_principle should be "&amp;BZ199,IF(AND(BD199=1,DA199&lt;&gt;H199),"Clay call_date should be "&amp;TEXT(H199,"yyyy-mm-dd"),""))))))))</f>
        <v/>
      </c>
      <c r="AZ199" s="23" t="str">
        <f aca="false">IF(TRIM($A199)="","",IF(TRIM(C199)&lt;&gt;"",SUBSTITUTE(SUBSTITUTE(SUBSTITUTE(SUBSTITUTE(SUBSTITUTE(SUBSTITUTE(LOWER(TRIM(C199)),"~",""),"*",""),"?",""),"&lt;",""),"&gt;",""),"=",""),IF(EA199&lt;&gt;"",EA199,IFERROR(INDEX($EA$2:$EA$201,MATCH(DZ199,$EB$2:$EB$201,0)),DZ199))))</f>
        <v/>
      </c>
      <c r="BA199" s="23" t="n">
        <f aca="false">ROW()</f>
        <v>199</v>
      </c>
      <c r="BB199" s="23" t="n">
        <f aca="false">IF(AND(TRIM($A199)&lt;&gt;"",ISNUMBER(H199)),IF(AND(LEFT($A199,6)="SAMPLE",Config!$B$19&lt;&gt;"Y"),0,1),0)</f>
        <v>0</v>
      </c>
      <c r="BC199" s="23" t="n">
        <f aca="false">IF(BB199=1,IF(COUNTIFS($AZ$2:$AZ$201,AZ199,$BB$2:$BB$201,1,$H$2:$H$201,"&lt;"&amp;H199)+COUNTIFS($AZ$2:$AZ$201,AZ199,$BB$2:$BB$201,1,$H$2:$H$201,H199,$BA$2:$BA$201,"&lt;"&amp;BA199)=0,1,0),0)</f>
        <v>0</v>
      </c>
      <c r="BD199" s="23" t="n">
        <f aca="false">IF(BB199=1,IF(COUNTIFS($A$2:$A$201,$A199,$BB$2:$BB$201,1,$H$2:$H$201,"&gt;"&amp;H199)+COUNTIFS($A$2:$A$201,$A199,$BB$2:$BB$201,1,$H$2:$H$201,H199,$BA$2:$BA$201,"&gt;"&amp;BA199)=0,1,0),0)</f>
        <v>0</v>
      </c>
      <c r="BE199" s="23" t="n">
        <f aca="false">IF(AND(BB199=1,AR199="Y",AC199="Y",TRIM(AH199)&lt;&gt;""),1,0)</f>
        <v>0</v>
      </c>
      <c r="BF199" s="23" t="n">
        <f aca="false">IF(BE199=1,IF(COUNTIFS($AZ$2:$AZ$201,AZ199,$BE$2:$BE$201,1,$H$2:$H$201,"&lt;"&amp;H199)+COUNTIFS($AZ$2:$AZ$201,AZ199,$BE$2:$BE$201,1,$H$2:$H$201,H199,$BA$2:$BA$201,"&lt;"&amp;BA199)=0,1,0),0)</f>
        <v>0</v>
      </c>
      <c r="BG199" s="23" t="n">
        <f aca="false">IF(AND(BB199=1,AR199="Y",BE199=0),1,0)</f>
        <v>0</v>
      </c>
      <c r="BH199" s="23" t="n">
        <f aca="false">IF(AND(BB199=1,ISNUMBER(Y199)),1,0)</f>
        <v>0</v>
      </c>
      <c r="BI199" s="23" t="n">
        <f aca="false">IF(BH199=1,IF(COUNTIFS($AZ$2:$AZ$201,AZ199,$BH$2:$BH$201,1,$H$2:$H$201,"&lt;"&amp;H199)+COUNTIFS($AZ$2:$AZ$201,AZ199,$BH$2:$BH$201,1,$H$2:$H$201,H199,$BA$2:$BA$201,"&lt;"&amp;BA199)=0,1,0),0)</f>
        <v>0</v>
      </c>
      <c r="BJ199" s="23" t="str">
        <f aca="false">IF(AND(BI199=1,INT(N(H199))&lt;=Config!$B$6),Y199,"")</f>
        <v/>
      </c>
      <c r="BK199" s="23" t="str">
        <f aca="false">IF(AND(BI199=1,INT(N(H199))&lt;=Config!$B$7),Y199,"")</f>
        <v/>
      </c>
      <c r="BL199" s="23" t="str">
        <f aca="false">IF(AND(BI199=1,INT(N(H199))&lt;=Config!$B$8),Y199,"")</f>
        <v/>
      </c>
      <c r="BM199" s="23" t="str">
        <f aca="false">IF(AND(BI199=1,INT(N(H199))&lt;=Config!$B$5),Y199,"")</f>
        <v/>
      </c>
      <c r="BN199" s="23" t="n">
        <f aca="false">IF(CD199=1,IF(COUNTIFS($AZ$2:$AZ$201,AZ199,$CD$2:$CD$201,1,$H$2:$H$201,"&lt;"&amp;H199)+COUNTIFS($AZ$2:$AZ$201,AZ199,$CD$2:$CD$201,1,$H$2:$H$201,H199,$BA$2:$BA$201,"&lt;"&amp;BA199)=0,1,0),0)</f>
        <v>0</v>
      </c>
      <c r="BO199" s="23" t="n">
        <f aca="false">IF(AND(BB199=1,ISNUMBER(M199)),1,0)</f>
        <v>0</v>
      </c>
      <c r="BP199" s="23" t="n">
        <f aca="false">IF(BO199=1,IF(COUNTIFS($AZ$2:$AZ$201,AZ199,$BO$2:$BO$201,1,$H$2:$H$201,"&lt;"&amp;H199)+COUNTIFS($AZ$2:$AZ$201,AZ199,$BO$2:$BO$201,1,$H$2:$H$201,H199,$BA$2:$BA$201,"&lt;"&amp;BA199)=0,1,0),0)</f>
        <v>0</v>
      </c>
      <c r="BQ199" s="23" t="str">
        <f aca="false">IF(AND(BP199=1,INT(N(H199))&lt;=Config!$B$5),M199,"")</f>
        <v/>
      </c>
      <c r="BR199" s="23" t="n">
        <f aca="false">IF(AND(BB199=1,OR(TRIM(X199)&lt;&gt;"",ISNUMBER(Y199))),1,0)</f>
        <v>0</v>
      </c>
      <c r="BS199" s="23" t="n">
        <f aca="false">IF(BR199=1,IF(COUNTIFS($AZ$2:$AZ$201,AZ199,$BR$2:$BR$201,1,$H$2:$H$201,"&lt;"&amp;H199)+COUNTIFS($AZ$2:$AZ$201,AZ199,$BR$2:$BR$201,1,$H$2:$H$201,H199,$BA$2:$BA$201,"&lt;"&amp;BA199)=0,1,0),0)</f>
        <v>0</v>
      </c>
      <c r="BT199" s="23" t="str">
        <f aca="false">IF(BS199=1,AZ199,"")</f>
        <v/>
      </c>
      <c r="BU199" s="23" t="n">
        <f aca="false">IF(AND(BB199=1,W199="Y",TRIM(X199)=""),1,0)</f>
        <v>0</v>
      </c>
      <c r="BV199" s="23" t="str">
        <f aca="false">IF(BB199=1,AN199&amp;"","")</f>
        <v/>
      </c>
      <c r="BW199" s="23" t="str">
        <f aca="false">IF(BB199=1,AO199&amp;"","")</f>
        <v/>
      </c>
      <c r="BX199" s="23" t="str">
        <f aca="false">IF(BB199=1,AP199&amp;"","")</f>
        <v/>
      </c>
      <c r="BY199" s="23" t="str">
        <f aca="false">IF(AND(BB199=1,ISNUMBER(AV199),INT(N(H199))&lt;=Config!$B$5),AV199,"")</f>
        <v/>
      </c>
      <c r="BZ199" s="23" t="str">
        <f aca="false">IF(BB199=1,IF(COUNTIFS($A$2:$A$201,$A199,$DC$2:$DC$201,1,$AR$2:$AR$201,"Y")&gt;0,"Y","N"),"")</f>
        <v/>
      </c>
      <c r="CA199" s="23" t="n">
        <f aca="false">IF(AND(BB199=1,AR199="maybe"),1,0)</f>
        <v>0</v>
      </c>
      <c r="CB199" s="23" t="n">
        <f aca="false">IF(CA199=1,IF(COUNTIFS($AZ$2:$AZ$201,AZ199,$CA$2:$CA$201,1,$H$2:$H$201,"&lt;"&amp;H199)+COUNTIFS($AZ$2:$AZ$201,AZ199,$CA$2:$CA$201,1,$H$2:$H$201,H199,$BA$2:$BA$201,"&lt;"&amp;BA199)=0,1,0),0)</f>
        <v>0</v>
      </c>
      <c r="CC199" s="23" t="n">
        <f aca="false">IF(AND(BB199=1,AR199="Y"),IF(COUNTIFS($AZ$2:$AZ$201,AZ199,$AR$2:$AR$201,"Y",$BB$2:$BB$201,1,$H$2:$H$201,"&lt;"&amp;H199)+COUNTIFS($AZ$2:$AZ$201,AZ199,$AR$2:$AR$201,"Y",$BB$2:$BB$201,1,$H$2:$H$201,H199,$BA$2:$BA$201,"&lt;"&amp;BA199)=0,1,0),0)</f>
        <v>0</v>
      </c>
      <c r="CD199" s="23" t="n">
        <f aca="false">IF(AND(BH199=1,N(Y199)&gt;=Config!$B$15),1,0)</f>
        <v>0</v>
      </c>
      <c r="CE199" s="23" t="n">
        <f aca="false">IF(AND(BB199=1,AT199="Y"),1,0)</f>
        <v>0</v>
      </c>
      <c r="CF199" s="23" t="n">
        <f aca="false">IF(CE199=1,IF(COUNTIFS($AZ$2:$AZ$201,AZ199,$CE$2:$CE$201,1,$H$2:$H$201,"&lt;"&amp;H199)+COUNTIFS($AZ$2:$AZ$201,AZ199,$CE$2:$CE$201,1,$H$2:$H$201,H199,$BA$2:$BA$201,"&lt;"&amp;BA199)=0,1,0),0)</f>
        <v>0</v>
      </c>
      <c r="CG199" s="23" t="n">
        <f aca="false">IF(AND(BB199=1,G199="warm-intro"),1,0)</f>
        <v>0</v>
      </c>
      <c r="CH199" s="23" t="n">
        <f aca="false">IF(CG199=1,IF(COUNTIFS($AZ$2:$AZ$201,AZ199,$CG$2:$CG$201,1,$H$2:$H$201,"&lt;"&amp;H199)+COUNTIFS($AZ$2:$AZ$201,AZ199,$CG$2:$CG$201,1,$H$2:$H$201,H199,$BA$2:$BA$201,"&lt;"&amp;BA199)=0,1,0),0)</f>
        <v>0</v>
      </c>
      <c r="CI199" s="23" t="n">
        <f aca="false">IF(AND(BB199=1,Q199="Y"),1,0)</f>
        <v>0</v>
      </c>
      <c r="CJ199" s="23" t="n">
        <f aca="false">IF(CI199=1,IF(COUNTIFS($AZ$2:$AZ$201,AZ199,$CI$2:$CI$201,1,$H$2:$H$201,"&lt;"&amp;H199)+COUNTIFS($AZ$2:$AZ$201,AZ199,$CI$2:$CI$201,1,$H$2:$H$201,H199,$BA$2:$BA$201,"&lt;"&amp;BA199)=0,1,0),0)</f>
        <v>0</v>
      </c>
      <c r="CK199" s="23" t="n">
        <f aca="false">IF(AND(BB199=1,AF199="Y"),1,0)</f>
        <v>0</v>
      </c>
      <c r="CL199" s="23" t="n">
        <f aca="false">IF(CK199=1,IF(COUNTIFS($AZ$2:$AZ$201,AZ199,$CK$2:$CK$201,1,$H$2:$H$201,"&lt;"&amp;H199)+COUNTIFS($AZ$2:$AZ$201,AZ199,$CK$2:$CK$201,1,$H$2:$H$201,H199,$BA$2:$BA$201,"&lt;"&amp;BA199)=0,1,0),0)</f>
        <v>0</v>
      </c>
      <c r="CM199" s="23" t="n">
        <f aca="false">IF(AND(BB199=1,U199="Y"),1,0)</f>
        <v>0</v>
      </c>
      <c r="CN199" s="23" t="n">
        <f aca="false">IF(CM199=1,IF(COUNTIFS($AZ$2:$AZ$201,AZ199,$CM$2:$CM$201,1,$H$2:$H$201,"&lt;"&amp;H199)+COUNTIFS($AZ$2:$AZ$201,AZ199,$CM$2:$CM$201,1,$H$2:$H$201,H199,$BA$2:$BA$201,"&lt;"&amp;BA199)=0,1,0),0)</f>
        <v>0</v>
      </c>
      <c r="CO199" s="23" t="n">
        <f aca="false">IF(AND(BB199=1,L199="Y"),1,0)</f>
        <v>0</v>
      </c>
      <c r="CP199" s="23" t="n">
        <f aca="false">IF(CO199=1,IF(COUNTIFS($AZ$2:$AZ$201,AZ199,$CO$2:$CO$201,1,$H$2:$H$201,"&lt;"&amp;H199)+COUNTIFS($AZ$2:$AZ$201,AZ199,$CO$2:$CO$201,1,$H$2:$H$201,H199,$BA$2:$BA$201,"&lt;"&amp;BA199)=0,1,0),0)</f>
        <v>0</v>
      </c>
      <c r="CQ199" s="23" t="n">
        <f aca="false">IF(AND(BB199=1,ISNUMBER(O199)),1,0)</f>
        <v>0</v>
      </c>
      <c r="CR199" s="23" t="n">
        <f aca="false">IF(CQ199=1,IF(COUNTIFS($AZ$2:$AZ$201,AZ199,$CQ$2:$CQ$201,1,$H$2:$H$201,"&lt;"&amp;H199)+COUNTIFS($AZ$2:$AZ$201,AZ199,$CQ$2:$CQ$201,1,$H$2:$H$201,H199,$BA$2:$BA$201,"&lt;"&amp;BA199)=0,1,0),0)</f>
        <v>0</v>
      </c>
      <c r="CS199" s="23" t="str">
        <f aca="false">IF(AND(CR199=1,INT(N(H199))&lt;=Config!$B$5),O199,"")</f>
        <v/>
      </c>
      <c r="CT199" s="23" t="str">
        <f aca="false">IF(AND(BB199=1,INT(N(H199))&lt;=Config!$B$5),AG199&amp;"","")</f>
        <v/>
      </c>
      <c r="CU199" s="23" t="n">
        <f aca="false">IF(AND(BB199=1,AU199="Y"),1,0)</f>
        <v>0</v>
      </c>
      <c r="CV199" s="23" t="n">
        <f aca="false">IF(CU199=1,IF(COUNTIFS($AZ$2:$AZ$201,AZ199,$CU$2:$CU$201,1,$H$2:$H$201,"&lt;"&amp;H199)+COUNTIFS($AZ$2:$AZ$201,AZ199,$CU$2:$CU$201,1,$H$2:$H$201,H199,$BA$2:$BA$201,"&lt;"&amp;BA199)=0,1,0),0)</f>
        <v>0</v>
      </c>
      <c r="CW199" s="23" t="str">
        <f aca="false">IF(BB199=1,IFERROR(MATCH($A199,INDEX(Clay_Offices!$A$2:$FZ$601,0,Sync!$C$5),0),""),"")</f>
        <v/>
      </c>
      <c r="CX199" s="23" t="str">
        <f aca="false">IF(CW199="","",IFERROR(INDEX(Clay_Offices!$A$2:$FZ$601,CW199,Sync!$C$7)&amp;"",""))</f>
        <v/>
      </c>
      <c r="CY199" s="23" t="str">
        <f aca="false">IF(CX199="","",IFERROR(INDEX(Lists!$K$2:$K$15,MATCH(CX199,Lists!$J$2:$J$15,0)),""))</f>
        <v/>
      </c>
      <c r="CZ199" s="23" t="str">
        <f aca="false">IF(CW199="","",IFERROR(INDEX(Clay_Offices!$A$2:$FZ$601,CW199,Sync!$C$17)&amp;"",""))</f>
        <v/>
      </c>
      <c r="DA199" s="35" t="str">
        <f aca="false">IF(CW199="","",IFERROR(N(INDEX(Clay_Offices!$A$2:$FZ$601,CW199,Sync!$C$16)),0))</f>
        <v/>
      </c>
      <c r="DB199" s="23" t="n">
        <f aca="false">IF(AND(BB199=1,OR(AR199="Y",AR199="N",AR199="maybe")),1,0)</f>
        <v>0</v>
      </c>
      <c r="DC199" s="23" t="n">
        <f aca="false">IF(AND(DB199=1),IF(COUNTIFS($A$2:$A$201,$A199,$DB$2:$DB$201,1,$H$2:$H$201,"&gt;"&amp;H199)+COUNTIFS($A$2:$A$201,$A199,$DB$2:$DB$201,1,$H$2:$H$201,H199,$BA$2:$BA$201,"&gt;"&amp;BA199)=0,1,0),0)</f>
        <v>0</v>
      </c>
      <c r="DD199" s="23" t="n">
        <f aca="false">IF(AND(DB199=1,INT(N(H199))&lt;=Config!$B$6),IF(COUNTIFS($AZ$2:$AZ$201,AZ199,$DB$2:$DB$201,1,$H$2:$H$201,"&gt;"&amp;H199,$H$2:$H$201,"&lt;"&amp;(Config!$B$6+1))+COUNTIFS($AZ$2:$AZ$201,AZ199,$DB$2:$DB$201,1,$H$2:$H$201,H199,$BA$2:$BA$201,"&gt;"&amp;BA199)=0,1,0),0)</f>
        <v>0</v>
      </c>
      <c r="DE199" s="23" t="n">
        <f aca="false">IF(AND(DB199=1,INT(N(H199))&lt;=Config!$B$7),IF(COUNTIFS($AZ$2:$AZ$201,AZ199,$DB$2:$DB$201,1,$H$2:$H$201,"&gt;"&amp;H199,$H$2:$H$201,"&lt;"&amp;(Config!$B$7+1))+COUNTIFS($AZ$2:$AZ$201,AZ199,$DB$2:$DB$201,1,$H$2:$H$201,H199,$BA$2:$BA$201,"&gt;"&amp;BA199)=0,1,0),0)</f>
        <v>0</v>
      </c>
      <c r="DF199" s="23" t="n">
        <f aca="false">IF(AND(DB199=1,INT(N(H199))&lt;=Config!$B$8),IF(COUNTIFS($AZ$2:$AZ$201,AZ199,$DB$2:$DB$201,1,$H$2:$H$201,"&gt;"&amp;H199,$H$2:$H$201,"&lt;"&amp;(Config!$B$8+1))+COUNTIFS($AZ$2:$AZ$201,AZ199,$DB$2:$DB$201,1,$H$2:$H$201,H199,$BA$2:$BA$201,"&gt;"&amp;BA199)=0,1,0),0)</f>
        <v>0</v>
      </c>
      <c r="DG199" s="23" t="n">
        <f aca="false">IF(AND(DB199=1,INT(N(H199))&lt;=Config!$B$5),IF(COUNTIFS($AZ$2:$AZ$201,AZ199,$DB$2:$DB$201,1,$H$2:$H$201,"&gt;"&amp;H199,$H$2:$H$201,"&lt;"&amp;(Config!$B$5+1))+COUNTIFS($AZ$2:$AZ$201,AZ199,$DB$2:$DB$201,1,$H$2:$H$201,H199,$BA$2:$BA$201,"&gt;"&amp;BA199)=0,1,0),0)</f>
        <v>0</v>
      </c>
      <c r="DH199" s="23" t="n">
        <f aca="false">IF(BB199=1,IF(COUNTIFS($AZ$2:$AZ$201,AZ199,$DD$2:$DD$201,1,$AR$2:$AR$201,"Y")&gt;0,1,0),0)</f>
        <v>0</v>
      </c>
      <c r="DI199" s="23" t="n">
        <f aca="false">IF(BB199=1,IF(COUNTIFS($AZ$2:$AZ$201,AZ199,$DE$2:$DE$201,1,$AR$2:$AR$201,"Y")&gt;0,1,0),0)</f>
        <v>0</v>
      </c>
      <c r="DJ199" s="23" t="n">
        <f aca="false">IF(BB199=1,IF(COUNTIFS($AZ$2:$AZ$201,AZ199,$DF$2:$DF$201,1,$AR$2:$AR$201,"Y")&gt;0,1,0),0)</f>
        <v>0</v>
      </c>
      <c r="DK199" s="23" t="n">
        <f aca="false">IF(BB199=1,IF(COUNTIFS($AZ$2:$AZ$201,AZ199,$DG$2:$DG$201,1,$AR$2:$AR$201,"Y")&gt;0,1,0),0)</f>
        <v>0</v>
      </c>
      <c r="DL199" s="23" t="n">
        <f aca="false">IF(AND(BF199=1,INT(N(H199))&lt;=Config!$B$6,DH199=1,EI199=0),1,0)</f>
        <v>0</v>
      </c>
      <c r="DM199" s="23" t="n">
        <f aca="false">IF(AND(BF199=1,INT(N(H199))&lt;=Config!$B$7,DI199=1,EI199=0),1,0)</f>
        <v>0</v>
      </c>
      <c r="DN199" s="23" t="n">
        <f aca="false">IF(AND(BF199=1,INT(N(H199))&lt;=Config!$B$8,DJ199=1,EI199=0),1,0)</f>
        <v>0</v>
      </c>
      <c r="DO199" s="23" t="n">
        <f aca="false">IF(AND(BF199=1,INT(N(H199))&lt;=Config!$B$5,DK199=1,EI199=0),1,0)</f>
        <v>0</v>
      </c>
      <c r="DP199" s="23" t="n">
        <f aca="false">IF(AND(CC199=1,INT(N(H199))&lt;=Config!$B$6,DH199=1,EI199=0),1,0)</f>
        <v>0</v>
      </c>
      <c r="DQ199" s="23" t="n">
        <f aca="false">IF(AND(CC199=1,INT(N(H199))&lt;=Config!$B$7,DI199=1,EI199=0),1,0)</f>
        <v>0</v>
      </c>
      <c r="DR199" s="23" t="n">
        <f aca="false">IF(AND(CC199=1,INT(N(H199))&lt;=Config!$B$8,DJ199=1,EI199=0),1,0)</f>
        <v>0</v>
      </c>
      <c r="DS199" s="23" t="n">
        <f aca="false">IF(AND(CC199=1,INT(N(H199))&lt;=Config!$B$5,DK199=1,EI199=0),1,0)</f>
        <v>0</v>
      </c>
      <c r="DT199" s="23" t="n">
        <f aca="false">IF(AND(CC199=1,INT(N(H199))&lt;=Config!$B$6,DH199=0),1,0)</f>
        <v>0</v>
      </c>
      <c r="DU199" s="23" t="n">
        <f aca="false">IF(AND(CC199=1,INT(N(H199))&lt;=Config!$B$7,DI199=0),1,0)</f>
        <v>0</v>
      </c>
      <c r="DV199" s="23" t="n">
        <f aca="false">IF(AND(CC199=1,INT(N(H199))&lt;=Config!$B$8,DJ199=0),1,0)</f>
        <v>0</v>
      </c>
      <c r="DW199" s="23" t="n">
        <f aca="false">IF(AND(CC199=1,INT(N(H199))&lt;=Config!$B$5,DK199=0),1,0)</f>
        <v>0</v>
      </c>
      <c r="DX199" s="23" t="n">
        <f aca="false">IF(TRIM($A199)="",0,ISTEXT(M199)+ISTEXT(O199)+ISTEXT(Y199)+ISTEXT(Z199)+ISTEXT(AA199)+ISTEXT(AV199))</f>
        <v>0</v>
      </c>
      <c r="DY199" s="23" t="n">
        <f aca="false">IF(BB199=1,IF(H199&lt;&gt;INT(H199),1,0),0)</f>
        <v>0</v>
      </c>
      <c r="DZ199" s="23" t="str">
        <f aca="false">IF(TRIM($A199)="","",IF(TRIM(B199)="",SUBSTITUTE(SUBSTITUTE(SUBSTITUTE(SUBSTITUTE(SUBSTITUTE(SUBSTITUTE(LOWER(TRIM($A199)),"~",""),"*",""),"?",""),"&lt;",""),"&gt;",""),"=",""),SUBSTITUTE(SUBSTITUTE(SUBSTITUTE(SUBSTITUTE(SUBSTITUTE(SUBSTITUTE(LOWER(TRIM(B199)),"~",""),"*",""),"?",""),"&lt;",""),"&gt;",""),"=","")))</f>
        <v/>
      </c>
      <c r="EA199" s="23" t="str">
        <f aca="false">IF(CW199="","",IFERROR(IF(LEFT(LOWER(TRIM(INDEX(Clay_Offices!$A$2:$FZ$601,CW199,Sync!$C$19)&amp;"")),4)="grp-",SUBSTITUTE(SUBSTITUTE(SUBSTITUTE(SUBSTITUTE(SUBSTITUTE(SUBSTITUTE(LOWER(TRIM(INDEX(Clay_Offices!$A$2:$FZ$601,CW199,Sync!$C$19)&amp;"")),"~",""),"*",""),"?",""),"&lt;",""),"&gt;",""),"=",""),""),""))</f>
        <v/>
      </c>
      <c r="EB199" s="23" t="str">
        <f aca="false">IF(EA199&lt;&gt;"",DZ199,"")</f>
        <v/>
      </c>
      <c r="EC199" s="23" t="str">
        <f aca="false">IF(BC199=1,AZ199,"")</f>
        <v/>
      </c>
      <c r="ED199" s="23" t="str">
        <f aca="false">IF(TRIM($A199)="","",IFERROR(INDEX($A$2:$A$201,MATCH(AZ199,$EC$2:$EC$201,0))&amp;"",$A199&amp;""))</f>
        <v/>
      </c>
      <c r="EE199" s="23" t="n">
        <f aca="false">IF(BB199=1,IF(COUNTIFS($A$2:$A$201,$A199,$BB$2:$BB$201,1,$H$2:$H$201,"&lt;"&amp;H199)+COUNTIFS($A$2:$A$201,$A199,$BB$2:$BB$201,1,$H$2:$H$201,H199,$BA$2:$BA$201,"&lt;"&amp;BA199)=0,1,0),0)</f>
        <v>0</v>
      </c>
      <c r="EF199" s="23" t="n">
        <f aca="false">IF(BC199=1,IF(COUNTIFS($AZ$2:$AZ$201,AZ199,$EE$2:$EE$201,1)&gt;1,1,0),0)</f>
        <v>0</v>
      </c>
      <c r="EG199" s="23" t="n">
        <f aca="false">IF(AND(CQ199=1),IF(COUNTIFS($AZ$2:$AZ$201,AZ199,$CQ$2:$CQ$201,1,$H$2:$H$201,"&gt;"&amp;H199)+COUNTIFS($AZ$2:$AZ$201,AZ199,$CQ$2:$CQ$201,1,$H$2:$H$201,H199,$BA$2:$BA$201,"&gt;"&amp;BA199)=0,1,0),0)</f>
        <v>0</v>
      </c>
      <c r="EH199" s="23" t="str">
        <f aca="false">IF(BB199=1,IF(COUNTIFS($AZ$2:$AZ$201,AZ199,$EG$2:$EG$201,1)=0,"",SUMIFS($O$2:$O$201,$AZ$2:$AZ$201,AZ199,$EG$2:$EG$201,1)),"")</f>
        <v/>
      </c>
      <c r="EI199" s="23" t="n">
        <f aca="false">IF(AND(ISNUMBER(EH199),OR(N(EH199)&lt;Config!$B$31,N(EH199)&gt;Config!$B$33)),1,0)</f>
        <v>0</v>
      </c>
      <c r="EJ199" s="23" t="n">
        <f aca="false">IF(AND(ISNUMBER(EH199),N(EH199)&gt;=Config!$B$31,N(EH199)&lt;Config!$B$32),1,0)</f>
        <v>0</v>
      </c>
      <c r="EK199" s="23" t="n">
        <f aca="false">IF(AND(BF199=1,INT(N(H199))&lt;=Config!$B$6,DH199=1,EI199=1),1,0)</f>
        <v>0</v>
      </c>
      <c r="EL199" s="23" t="n">
        <f aca="false">IF(AND(BF199=1,INT(N(H199))&lt;=Config!$B$7,DI199=1,EI199=1),1,0)</f>
        <v>0</v>
      </c>
      <c r="EM199" s="23" t="n">
        <f aca="false">IF(AND(BF199=1,INT(N(H199))&lt;=Config!$B$8,DJ199=1,EI199=1),1,0)</f>
        <v>0</v>
      </c>
      <c r="EN199" s="23" t="n">
        <f aca="false">IF(AND(BF199=1,INT(N(H199))&lt;=Config!$B$5,DK199=1,EI199=1),1,0)</f>
        <v>0</v>
      </c>
      <c r="EO199" s="23" t="n">
        <f aca="false">IF(AND(DL199=1,EJ199=1),1,0)</f>
        <v>0</v>
      </c>
      <c r="EP199" s="23" t="n">
        <f aca="false">IF(AND(DM199=1,EJ199=1),1,0)</f>
        <v>0</v>
      </c>
      <c r="EQ199" s="23" t="n">
        <f aca="false">IF(AND(DN199=1,EJ199=1),1,0)</f>
        <v>0</v>
      </c>
      <c r="ER199" s="23" t="n">
        <f aca="false">IF(AND(DO199=1,EJ199=1),1,0)</f>
        <v>0</v>
      </c>
    </row>
    <row r="200" customFormat="false" ht="15" hidden="false" customHeight="false" outlineLevel="0" collapsed="false">
      <c r="G200" s="32"/>
      <c r="H200" s="33"/>
      <c r="I200" s="32"/>
      <c r="L200" s="32"/>
      <c r="Q200" s="32"/>
      <c r="U200" s="32"/>
      <c r="W200" s="32"/>
      <c r="AC200" s="32"/>
      <c r="AF200" s="32"/>
      <c r="AI200" s="32"/>
      <c r="AJ200" s="32"/>
      <c r="AN200" s="32"/>
      <c r="AR200" s="32"/>
      <c r="AT200" s="32"/>
      <c r="AU200" s="32"/>
      <c r="AW200" s="32"/>
      <c r="AY200" s="34" t="str">
        <f aca="false">IF(TRIM($A200)="","",IF(AND(LEFT($A200,6)="SAMPLE",Config!$B$19&lt;&gt;"Y"),"",IF(NOT(ISNUMBER(H200)),"call_date is blank or not a date",IF(Sync!$C$5="","Clay paste is empty or has no row_id column: paste the Clay export on Clay_Offices",IF(CW200="","row_id not found in the Clay paste: add the Clay row or fix the row_id",IF(AND(ISNUMBER(CY200),CY200&gt;=1,CY200&lt;=5),"Clay status is "&amp;CX200&amp;": set call_done or later",IF(AND(BD200=1,CZ200&lt;&gt;BZ200),"Clay yes_in_principle should be "&amp;BZ200,IF(AND(BD200=1,DA200&lt;&gt;H200),"Clay call_date should be "&amp;TEXT(H200,"yyyy-mm-dd"),""))))))))</f>
        <v/>
      </c>
      <c r="AZ200" s="23" t="str">
        <f aca="false">IF(TRIM($A200)="","",IF(TRIM(C200)&lt;&gt;"",SUBSTITUTE(SUBSTITUTE(SUBSTITUTE(SUBSTITUTE(SUBSTITUTE(SUBSTITUTE(LOWER(TRIM(C200)),"~",""),"*",""),"?",""),"&lt;",""),"&gt;",""),"=",""),IF(EA200&lt;&gt;"",EA200,IFERROR(INDEX($EA$2:$EA$201,MATCH(DZ200,$EB$2:$EB$201,0)),DZ200))))</f>
        <v/>
      </c>
      <c r="BA200" s="23" t="n">
        <f aca="false">ROW()</f>
        <v>200</v>
      </c>
      <c r="BB200" s="23" t="n">
        <f aca="false">IF(AND(TRIM($A200)&lt;&gt;"",ISNUMBER(H200)),IF(AND(LEFT($A200,6)="SAMPLE",Config!$B$19&lt;&gt;"Y"),0,1),0)</f>
        <v>0</v>
      </c>
      <c r="BC200" s="23" t="n">
        <f aca="false">IF(BB200=1,IF(COUNTIFS($AZ$2:$AZ$201,AZ200,$BB$2:$BB$201,1,$H$2:$H$201,"&lt;"&amp;H200)+COUNTIFS($AZ$2:$AZ$201,AZ200,$BB$2:$BB$201,1,$H$2:$H$201,H200,$BA$2:$BA$201,"&lt;"&amp;BA200)=0,1,0),0)</f>
        <v>0</v>
      </c>
      <c r="BD200" s="23" t="n">
        <f aca="false">IF(BB200=1,IF(COUNTIFS($A$2:$A$201,$A200,$BB$2:$BB$201,1,$H$2:$H$201,"&gt;"&amp;H200)+COUNTIFS($A$2:$A$201,$A200,$BB$2:$BB$201,1,$H$2:$H$201,H200,$BA$2:$BA$201,"&gt;"&amp;BA200)=0,1,0),0)</f>
        <v>0</v>
      </c>
      <c r="BE200" s="23" t="n">
        <f aca="false">IF(AND(BB200=1,AR200="Y",AC200="Y",TRIM(AH200)&lt;&gt;""),1,0)</f>
        <v>0</v>
      </c>
      <c r="BF200" s="23" t="n">
        <f aca="false">IF(BE200=1,IF(COUNTIFS($AZ$2:$AZ$201,AZ200,$BE$2:$BE$201,1,$H$2:$H$201,"&lt;"&amp;H200)+COUNTIFS($AZ$2:$AZ$201,AZ200,$BE$2:$BE$201,1,$H$2:$H$201,H200,$BA$2:$BA$201,"&lt;"&amp;BA200)=0,1,0),0)</f>
        <v>0</v>
      </c>
      <c r="BG200" s="23" t="n">
        <f aca="false">IF(AND(BB200=1,AR200="Y",BE200=0),1,0)</f>
        <v>0</v>
      </c>
      <c r="BH200" s="23" t="n">
        <f aca="false">IF(AND(BB200=1,ISNUMBER(Y200)),1,0)</f>
        <v>0</v>
      </c>
      <c r="BI200" s="23" t="n">
        <f aca="false">IF(BH200=1,IF(COUNTIFS($AZ$2:$AZ$201,AZ200,$BH$2:$BH$201,1,$H$2:$H$201,"&lt;"&amp;H200)+COUNTIFS($AZ$2:$AZ$201,AZ200,$BH$2:$BH$201,1,$H$2:$H$201,H200,$BA$2:$BA$201,"&lt;"&amp;BA200)=0,1,0),0)</f>
        <v>0</v>
      </c>
      <c r="BJ200" s="23" t="str">
        <f aca="false">IF(AND(BI200=1,INT(N(H200))&lt;=Config!$B$6),Y200,"")</f>
        <v/>
      </c>
      <c r="BK200" s="23" t="str">
        <f aca="false">IF(AND(BI200=1,INT(N(H200))&lt;=Config!$B$7),Y200,"")</f>
        <v/>
      </c>
      <c r="BL200" s="23" t="str">
        <f aca="false">IF(AND(BI200=1,INT(N(H200))&lt;=Config!$B$8),Y200,"")</f>
        <v/>
      </c>
      <c r="BM200" s="23" t="str">
        <f aca="false">IF(AND(BI200=1,INT(N(H200))&lt;=Config!$B$5),Y200,"")</f>
        <v/>
      </c>
      <c r="BN200" s="23" t="n">
        <f aca="false">IF(CD200=1,IF(COUNTIFS($AZ$2:$AZ$201,AZ200,$CD$2:$CD$201,1,$H$2:$H$201,"&lt;"&amp;H200)+COUNTIFS($AZ$2:$AZ$201,AZ200,$CD$2:$CD$201,1,$H$2:$H$201,H200,$BA$2:$BA$201,"&lt;"&amp;BA200)=0,1,0),0)</f>
        <v>0</v>
      </c>
      <c r="BO200" s="23" t="n">
        <f aca="false">IF(AND(BB200=1,ISNUMBER(M200)),1,0)</f>
        <v>0</v>
      </c>
      <c r="BP200" s="23" t="n">
        <f aca="false">IF(BO200=1,IF(COUNTIFS($AZ$2:$AZ$201,AZ200,$BO$2:$BO$201,1,$H$2:$H$201,"&lt;"&amp;H200)+COUNTIFS($AZ$2:$AZ$201,AZ200,$BO$2:$BO$201,1,$H$2:$H$201,H200,$BA$2:$BA$201,"&lt;"&amp;BA200)=0,1,0),0)</f>
        <v>0</v>
      </c>
      <c r="BQ200" s="23" t="str">
        <f aca="false">IF(AND(BP200=1,INT(N(H200))&lt;=Config!$B$5),M200,"")</f>
        <v/>
      </c>
      <c r="BR200" s="23" t="n">
        <f aca="false">IF(AND(BB200=1,OR(TRIM(X200)&lt;&gt;"",ISNUMBER(Y200))),1,0)</f>
        <v>0</v>
      </c>
      <c r="BS200" s="23" t="n">
        <f aca="false">IF(BR200=1,IF(COUNTIFS($AZ$2:$AZ$201,AZ200,$BR$2:$BR$201,1,$H$2:$H$201,"&lt;"&amp;H200)+COUNTIFS($AZ$2:$AZ$201,AZ200,$BR$2:$BR$201,1,$H$2:$H$201,H200,$BA$2:$BA$201,"&lt;"&amp;BA200)=0,1,0),0)</f>
        <v>0</v>
      </c>
      <c r="BT200" s="23" t="str">
        <f aca="false">IF(BS200=1,AZ200,"")</f>
        <v/>
      </c>
      <c r="BU200" s="23" t="n">
        <f aca="false">IF(AND(BB200=1,W200="Y",TRIM(X200)=""),1,0)</f>
        <v>0</v>
      </c>
      <c r="BV200" s="23" t="str">
        <f aca="false">IF(BB200=1,AN200&amp;"","")</f>
        <v/>
      </c>
      <c r="BW200" s="23" t="str">
        <f aca="false">IF(BB200=1,AO200&amp;"","")</f>
        <v/>
      </c>
      <c r="BX200" s="23" t="str">
        <f aca="false">IF(BB200=1,AP200&amp;"","")</f>
        <v/>
      </c>
      <c r="BY200" s="23" t="str">
        <f aca="false">IF(AND(BB200=1,ISNUMBER(AV200),INT(N(H200))&lt;=Config!$B$5),AV200,"")</f>
        <v/>
      </c>
      <c r="BZ200" s="23" t="str">
        <f aca="false">IF(BB200=1,IF(COUNTIFS($A$2:$A$201,$A200,$DC$2:$DC$201,1,$AR$2:$AR$201,"Y")&gt;0,"Y","N"),"")</f>
        <v/>
      </c>
      <c r="CA200" s="23" t="n">
        <f aca="false">IF(AND(BB200=1,AR200="maybe"),1,0)</f>
        <v>0</v>
      </c>
      <c r="CB200" s="23" t="n">
        <f aca="false">IF(CA200=1,IF(COUNTIFS($AZ$2:$AZ$201,AZ200,$CA$2:$CA$201,1,$H$2:$H$201,"&lt;"&amp;H200)+COUNTIFS($AZ$2:$AZ$201,AZ200,$CA$2:$CA$201,1,$H$2:$H$201,H200,$BA$2:$BA$201,"&lt;"&amp;BA200)=0,1,0),0)</f>
        <v>0</v>
      </c>
      <c r="CC200" s="23" t="n">
        <f aca="false">IF(AND(BB200=1,AR200="Y"),IF(COUNTIFS($AZ$2:$AZ$201,AZ200,$AR$2:$AR$201,"Y",$BB$2:$BB$201,1,$H$2:$H$201,"&lt;"&amp;H200)+COUNTIFS($AZ$2:$AZ$201,AZ200,$AR$2:$AR$201,"Y",$BB$2:$BB$201,1,$H$2:$H$201,H200,$BA$2:$BA$201,"&lt;"&amp;BA200)=0,1,0),0)</f>
        <v>0</v>
      </c>
      <c r="CD200" s="23" t="n">
        <f aca="false">IF(AND(BH200=1,N(Y200)&gt;=Config!$B$15),1,0)</f>
        <v>0</v>
      </c>
      <c r="CE200" s="23" t="n">
        <f aca="false">IF(AND(BB200=1,AT200="Y"),1,0)</f>
        <v>0</v>
      </c>
      <c r="CF200" s="23" t="n">
        <f aca="false">IF(CE200=1,IF(COUNTIFS($AZ$2:$AZ$201,AZ200,$CE$2:$CE$201,1,$H$2:$H$201,"&lt;"&amp;H200)+COUNTIFS($AZ$2:$AZ$201,AZ200,$CE$2:$CE$201,1,$H$2:$H$201,H200,$BA$2:$BA$201,"&lt;"&amp;BA200)=0,1,0),0)</f>
        <v>0</v>
      </c>
      <c r="CG200" s="23" t="n">
        <f aca="false">IF(AND(BB200=1,G200="warm-intro"),1,0)</f>
        <v>0</v>
      </c>
      <c r="CH200" s="23" t="n">
        <f aca="false">IF(CG200=1,IF(COUNTIFS($AZ$2:$AZ$201,AZ200,$CG$2:$CG$201,1,$H$2:$H$201,"&lt;"&amp;H200)+COUNTIFS($AZ$2:$AZ$201,AZ200,$CG$2:$CG$201,1,$H$2:$H$201,H200,$BA$2:$BA$201,"&lt;"&amp;BA200)=0,1,0),0)</f>
        <v>0</v>
      </c>
      <c r="CI200" s="23" t="n">
        <f aca="false">IF(AND(BB200=1,Q200="Y"),1,0)</f>
        <v>0</v>
      </c>
      <c r="CJ200" s="23" t="n">
        <f aca="false">IF(CI200=1,IF(COUNTIFS($AZ$2:$AZ$201,AZ200,$CI$2:$CI$201,1,$H$2:$H$201,"&lt;"&amp;H200)+COUNTIFS($AZ$2:$AZ$201,AZ200,$CI$2:$CI$201,1,$H$2:$H$201,H200,$BA$2:$BA$201,"&lt;"&amp;BA200)=0,1,0),0)</f>
        <v>0</v>
      </c>
      <c r="CK200" s="23" t="n">
        <f aca="false">IF(AND(BB200=1,AF200="Y"),1,0)</f>
        <v>0</v>
      </c>
      <c r="CL200" s="23" t="n">
        <f aca="false">IF(CK200=1,IF(COUNTIFS($AZ$2:$AZ$201,AZ200,$CK$2:$CK$201,1,$H$2:$H$201,"&lt;"&amp;H200)+COUNTIFS($AZ$2:$AZ$201,AZ200,$CK$2:$CK$201,1,$H$2:$H$201,H200,$BA$2:$BA$201,"&lt;"&amp;BA200)=0,1,0),0)</f>
        <v>0</v>
      </c>
      <c r="CM200" s="23" t="n">
        <f aca="false">IF(AND(BB200=1,U200="Y"),1,0)</f>
        <v>0</v>
      </c>
      <c r="CN200" s="23" t="n">
        <f aca="false">IF(CM200=1,IF(COUNTIFS($AZ$2:$AZ$201,AZ200,$CM$2:$CM$201,1,$H$2:$H$201,"&lt;"&amp;H200)+COUNTIFS($AZ$2:$AZ$201,AZ200,$CM$2:$CM$201,1,$H$2:$H$201,H200,$BA$2:$BA$201,"&lt;"&amp;BA200)=0,1,0),0)</f>
        <v>0</v>
      </c>
      <c r="CO200" s="23" t="n">
        <f aca="false">IF(AND(BB200=1,L200="Y"),1,0)</f>
        <v>0</v>
      </c>
      <c r="CP200" s="23" t="n">
        <f aca="false">IF(CO200=1,IF(COUNTIFS($AZ$2:$AZ$201,AZ200,$CO$2:$CO$201,1,$H$2:$H$201,"&lt;"&amp;H200)+COUNTIFS($AZ$2:$AZ$201,AZ200,$CO$2:$CO$201,1,$H$2:$H$201,H200,$BA$2:$BA$201,"&lt;"&amp;BA200)=0,1,0),0)</f>
        <v>0</v>
      </c>
      <c r="CQ200" s="23" t="n">
        <f aca="false">IF(AND(BB200=1,ISNUMBER(O200)),1,0)</f>
        <v>0</v>
      </c>
      <c r="CR200" s="23" t="n">
        <f aca="false">IF(CQ200=1,IF(COUNTIFS($AZ$2:$AZ$201,AZ200,$CQ$2:$CQ$201,1,$H$2:$H$201,"&lt;"&amp;H200)+COUNTIFS($AZ$2:$AZ$201,AZ200,$CQ$2:$CQ$201,1,$H$2:$H$201,H200,$BA$2:$BA$201,"&lt;"&amp;BA200)=0,1,0),0)</f>
        <v>0</v>
      </c>
      <c r="CS200" s="23" t="str">
        <f aca="false">IF(AND(CR200=1,INT(N(H200))&lt;=Config!$B$5),O200,"")</f>
        <v/>
      </c>
      <c r="CT200" s="23" t="str">
        <f aca="false">IF(AND(BB200=1,INT(N(H200))&lt;=Config!$B$5),AG200&amp;"","")</f>
        <v/>
      </c>
      <c r="CU200" s="23" t="n">
        <f aca="false">IF(AND(BB200=1,AU200="Y"),1,0)</f>
        <v>0</v>
      </c>
      <c r="CV200" s="23" t="n">
        <f aca="false">IF(CU200=1,IF(COUNTIFS($AZ$2:$AZ$201,AZ200,$CU$2:$CU$201,1,$H$2:$H$201,"&lt;"&amp;H200)+COUNTIFS($AZ$2:$AZ$201,AZ200,$CU$2:$CU$201,1,$H$2:$H$201,H200,$BA$2:$BA$201,"&lt;"&amp;BA200)=0,1,0),0)</f>
        <v>0</v>
      </c>
      <c r="CW200" s="23" t="str">
        <f aca="false">IF(BB200=1,IFERROR(MATCH($A200,INDEX(Clay_Offices!$A$2:$FZ$601,0,Sync!$C$5),0),""),"")</f>
        <v/>
      </c>
      <c r="CX200" s="23" t="str">
        <f aca="false">IF(CW200="","",IFERROR(INDEX(Clay_Offices!$A$2:$FZ$601,CW200,Sync!$C$7)&amp;"",""))</f>
        <v/>
      </c>
      <c r="CY200" s="23" t="str">
        <f aca="false">IF(CX200="","",IFERROR(INDEX(Lists!$K$2:$K$15,MATCH(CX200,Lists!$J$2:$J$15,0)),""))</f>
        <v/>
      </c>
      <c r="CZ200" s="23" t="str">
        <f aca="false">IF(CW200="","",IFERROR(INDEX(Clay_Offices!$A$2:$FZ$601,CW200,Sync!$C$17)&amp;"",""))</f>
        <v/>
      </c>
      <c r="DA200" s="35" t="str">
        <f aca="false">IF(CW200="","",IFERROR(N(INDEX(Clay_Offices!$A$2:$FZ$601,CW200,Sync!$C$16)),0))</f>
        <v/>
      </c>
      <c r="DB200" s="23" t="n">
        <f aca="false">IF(AND(BB200=1,OR(AR200="Y",AR200="N",AR200="maybe")),1,0)</f>
        <v>0</v>
      </c>
      <c r="DC200" s="23" t="n">
        <f aca="false">IF(AND(DB200=1),IF(COUNTIFS($A$2:$A$201,$A200,$DB$2:$DB$201,1,$H$2:$H$201,"&gt;"&amp;H200)+COUNTIFS($A$2:$A$201,$A200,$DB$2:$DB$201,1,$H$2:$H$201,H200,$BA$2:$BA$201,"&gt;"&amp;BA200)=0,1,0),0)</f>
        <v>0</v>
      </c>
      <c r="DD200" s="23" t="n">
        <f aca="false">IF(AND(DB200=1,INT(N(H200))&lt;=Config!$B$6),IF(COUNTIFS($AZ$2:$AZ$201,AZ200,$DB$2:$DB$201,1,$H$2:$H$201,"&gt;"&amp;H200,$H$2:$H$201,"&lt;"&amp;(Config!$B$6+1))+COUNTIFS($AZ$2:$AZ$201,AZ200,$DB$2:$DB$201,1,$H$2:$H$201,H200,$BA$2:$BA$201,"&gt;"&amp;BA200)=0,1,0),0)</f>
        <v>0</v>
      </c>
      <c r="DE200" s="23" t="n">
        <f aca="false">IF(AND(DB200=1,INT(N(H200))&lt;=Config!$B$7),IF(COUNTIFS($AZ$2:$AZ$201,AZ200,$DB$2:$DB$201,1,$H$2:$H$201,"&gt;"&amp;H200,$H$2:$H$201,"&lt;"&amp;(Config!$B$7+1))+COUNTIFS($AZ$2:$AZ$201,AZ200,$DB$2:$DB$201,1,$H$2:$H$201,H200,$BA$2:$BA$201,"&gt;"&amp;BA200)=0,1,0),0)</f>
        <v>0</v>
      </c>
      <c r="DF200" s="23" t="n">
        <f aca="false">IF(AND(DB200=1,INT(N(H200))&lt;=Config!$B$8),IF(COUNTIFS($AZ$2:$AZ$201,AZ200,$DB$2:$DB$201,1,$H$2:$H$201,"&gt;"&amp;H200,$H$2:$H$201,"&lt;"&amp;(Config!$B$8+1))+COUNTIFS($AZ$2:$AZ$201,AZ200,$DB$2:$DB$201,1,$H$2:$H$201,H200,$BA$2:$BA$201,"&gt;"&amp;BA200)=0,1,0),0)</f>
        <v>0</v>
      </c>
      <c r="DG200" s="23" t="n">
        <f aca="false">IF(AND(DB200=1,INT(N(H200))&lt;=Config!$B$5),IF(COUNTIFS($AZ$2:$AZ$201,AZ200,$DB$2:$DB$201,1,$H$2:$H$201,"&gt;"&amp;H200,$H$2:$H$201,"&lt;"&amp;(Config!$B$5+1))+COUNTIFS($AZ$2:$AZ$201,AZ200,$DB$2:$DB$201,1,$H$2:$H$201,H200,$BA$2:$BA$201,"&gt;"&amp;BA200)=0,1,0),0)</f>
        <v>0</v>
      </c>
      <c r="DH200" s="23" t="n">
        <f aca="false">IF(BB200=1,IF(COUNTIFS($AZ$2:$AZ$201,AZ200,$DD$2:$DD$201,1,$AR$2:$AR$201,"Y")&gt;0,1,0),0)</f>
        <v>0</v>
      </c>
      <c r="DI200" s="23" t="n">
        <f aca="false">IF(BB200=1,IF(COUNTIFS($AZ$2:$AZ$201,AZ200,$DE$2:$DE$201,1,$AR$2:$AR$201,"Y")&gt;0,1,0),0)</f>
        <v>0</v>
      </c>
      <c r="DJ200" s="23" t="n">
        <f aca="false">IF(BB200=1,IF(COUNTIFS($AZ$2:$AZ$201,AZ200,$DF$2:$DF$201,1,$AR$2:$AR$201,"Y")&gt;0,1,0),0)</f>
        <v>0</v>
      </c>
      <c r="DK200" s="23" t="n">
        <f aca="false">IF(BB200=1,IF(COUNTIFS($AZ$2:$AZ$201,AZ200,$DG$2:$DG$201,1,$AR$2:$AR$201,"Y")&gt;0,1,0),0)</f>
        <v>0</v>
      </c>
      <c r="DL200" s="23" t="n">
        <f aca="false">IF(AND(BF200=1,INT(N(H200))&lt;=Config!$B$6,DH200=1,EI200=0),1,0)</f>
        <v>0</v>
      </c>
      <c r="DM200" s="23" t="n">
        <f aca="false">IF(AND(BF200=1,INT(N(H200))&lt;=Config!$B$7,DI200=1,EI200=0),1,0)</f>
        <v>0</v>
      </c>
      <c r="DN200" s="23" t="n">
        <f aca="false">IF(AND(BF200=1,INT(N(H200))&lt;=Config!$B$8,DJ200=1,EI200=0),1,0)</f>
        <v>0</v>
      </c>
      <c r="DO200" s="23" t="n">
        <f aca="false">IF(AND(BF200=1,INT(N(H200))&lt;=Config!$B$5,DK200=1,EI200=0),1,0)</f>
        <v>0</v>
      </c>
      <c r="DP200" s="23" t="n">
        <f aca="false">IF(AND(CC200=1,INT(N(H200))&lt;=Config!$B$6,DH200=1,EI200=0),1,0)</f>
        <v>0</v>
      </c>
      <c r="DQ200" s="23" t="n">
        <f aca="false">IF(AND(CC200=1,INT(N(H200))&lt;=Config!$B$7,DI200=1,EI200=0),1,0)</f>
        <v>0</v>
      </c>
      <c r="DR200" s="23" t="n">
        <f aca="false">IF(AND(CC200=1,INT(N(H200))&lt;=Config!$B$8,DJ200=1,EI200=0),1,0)</f>
        <v>0</v>
      </c>
      <c r="DS200" s="23" t="n">
        <f aca="false">IF(AND(CC200=1,INT(N(H200))&lt;=Config!$B$5,DK200=1,EI200=0),1,0)</f>
        <v>0</v>
      </c>
      <c r="DT200" s="23" t="n">
        <f aca="false">IF(AND(CC200=1,INT(N(H200))&lt;=Config!$B$6,DH200=0),1,0)</f>
        <v>0</v>
      </c>
      <c r="DU200" s="23" t="n">
        <f aca="false">IF(AND(CC200=1,INT(N(H200))&lt;=Config!$B$7,DI200=0),1,0)</f>
        <v>0</v>
      </c>
      <c r="DV200" s="23" t="n">
        <f aca="false">IF(AND(CC200=1,INT(N(H200))&lt;=Config!$B$8,DJ200=0),1,0)</f>
        <v>0</v>
      </c>
      <c r="DW200" s="23" t="n">
        <f aca="false">IF(AND(CC200=1,INT(N(H200))&lt;=Config!$B$5,DK200=0),1,0)</f>
        <v>0</v>
      </c>
      <c r="DX200" s="23" t="n">
        <f aca="false">IF(TRIM($A200)="",0,ISTEXT(M200)+ISTEXT(O200)+ISTEXT(Y200)+ISTEXT(Z200)+ISTEXT(AA200)+ISTEXT(AV200))</f>
        <v>0</v>
      </c>
      <c r="DY200" s="23" t="n">
        <f aca="false">IF(BB200=1,IF(H200&lt;&gt;INT(H200),1,0),0)</f>
        <v>0</v>
      </c>
      <c r="DZ200" s="23" t="str">
        <f aca="false">IF(TRIM($A200)="","",IF(TRIM(B200)="",SUBSTITUTE(SUBSTITUTE(SUBSTITUTE(SUBSTITUTE(SUBSTITUTE(SUBSTITUTE(LOWER(TRIM($A200)),"~",""),"*",""),"?",""),"&lt;",""),"&gt;",""),"=",""),SUBSTITUTE(SUBSTITUTE(SUBSTITUTE(SUBSTITUTE(SUBSTITUTE(SUBSTITUTE(LOWER(TRIM(B200)),"~",""),"*",""),"?",""),"&lt;",""),"&gt;",""),"=","")))</f>
        <v/>
      </c>
      <c r="EA200" s="23" t="str">
        <f aca="false">IF(CW200="","",IFERROR(IF(LEFT(LOWER(TRIM(INDEX(Clay_Offices!$A$2:$FZ$601,CW200,Sync!$C$19)&amp;"")),4)="grp-",SUBSTITUTE(SUBSTITUTE(SUBSTITUTE(SUBSTITUTE(SUBSTITUTE(SUBSTITUTE(LOWER(TRIM(INDEX(Clay_Offices!$A$2:$FZ$601,CW200,Sync!$C$19)&amp;"")),"~",""),"*",""),"?",""),"&lt;",""),"&gt;",""),"=",""),""),""))</f>
        <v/>
      </c>
      <c r="EB200" s="23" t="str">
        <f aca="false">IF(EA200&lt;&gt;"",DZ200,"")</f>
        <v/>
      </c>
      <c r="EC200" s="23" t="str">
        <f aca="false">IF(BC200=1,AZ200,"")</f>
        <v/>
      </c>
      <c r="ED200" s="23" t="str">
        <f aca="false">IF(TRIM($A200)="","",IFERROR(INDEX($A$2:$A$201,MATCH(AZ200,$EC$2:$EC$201,0))&amp;"",$A200&amp;""))</f>
        <v/>
      </c>
      <c r="EE200" s="23" t="n">
        <f aca="false">IF(BB200=1,IF(COUNTIFS($A$2:$A$201,$A200,$BB$2:$BB$201,1,$H$2:$H$201,"&lt;"&amp;H200)+COUNTIFS($A$2:$A$201,$A200,$BB$2:$BB$201,1,$H$2:$H$201,H200,$BA$2:$BA$201,"&lt;"&amp;BA200)=0,1,0),0)</f>
        <v>0</v>
      </c>
      <c r="EF200" s="23" t="n">
        <f aca="false">IF(BC200=1,IF(COUNTIFS($AZ$2:$AZ$201,AZ200,$EE$2:$EE$201,1)&gt;1,1,0),0)</f>
        <v>0</v>
      </c>
      <c r="EG200" s="23" t="n">
        <f aca="false">IF(AND(CQ200=1),IF(COUNTIFS($AZ$2:$AZ$201,AZ200,$CQ$2:$CQ$201,1,$H$2:$H$201,"&gt;"&amp;H200)+COUNTIFS($AZ$2:$AZ$201,AZ200,$CQ$2:$CQ$201,1,$H$2:$H$201,H200,$BA$2:$BA$201,"&gt;"&amp;BA200)=0,1,0),0)</f>
        <v>0</v>
      </c>
      <c r="EH200" s="23" t="str">
        <f aca="false">IF(BB200=1,IF(COUNTIFS($AZ$2:$AZ$201,AZ200,$EG$2:$EG$201,1)=0,"",SUMIFS($O$2:$O$201,$AZ$2:$AZ$201,AZ200,$EG$2:$EG$201,1)),"")</f>
        <v/>
      </c>
      <c r="EI200" s="23" t="n">
        <f aca="false">IF(AND(ISNUMBER(EH200),OR(N(EH200)&lt;Config!$B$31,N(EH200)&gt;Config!$B$33)),1,0)</f>
        <v>0</v>
      </c>
      <c r="EJ200" s="23" t="n">
        <f aca="false">IF(AND(ISNUMBER(EH200),N(EH200)&gt;=Config!$B$31,N(EH200)&lt;Config!$B$32),1,0)</f>
        <v>0</v>
      </c>
      <c r="EK200" s="23" t="n">
        <f aca="false">IF(AND(BF200=1,INT(N(H200))&lt;=Config!$B$6,DH200=1,EI200=1),1,0)</f>
        <v>0</v>
      </c>
      <c r="EL200" s="23" t="n">
        <f aca="false">IF(AND(BF200=1,INT(N(H200))&lt;=Config!$B$7,DI200=1,EI200=1),1,0)</f>
        <v>0</v>
      </c>
      <c r="EM200" s="23" t="n">
        <f aca="false">IF(AND(BF200=1,INT(N(H200))&lt;=Config!$B$8,DJ200=1,EI200=1),1,0)</f>
        <v>0</v>
      </c>
      <c r="EN200" s="23" t="n">
        <f aca="false">IF(AND(BF200=1,INT(N(H200))&lt;=Config!$B$5,DK200=1,EI200=1),1,0)</f>
        <v>0</v>
      </c>
      <c r="EO200" s="23" t="n">
        <f aca="false">IF(AND(DL200=1,EJ200=1),1,0)</f>
        <v>0</v>
      </c>
      <c r="EP200" s="23" t="n">
        <f aca="false">IF(AND(DM200=1,EJ200=1),1,0)</f>
        <v>0</v>
      </c>
      <c r="EQ200" s="23" t="n">
        <f aca="false">IF(AND(DN200=1,EJ200=1),1,0)</f>
        <v>0</v>
      </c>
      <c r="ER200" s="23" t="n">
        <f aca="false">IF(AND(DO200=1,EJ200=1),1,0)</f>
        <v>0</v>
      </c>
    </row>
    <row r="201" customFormat="false" ht="15" hidden="false" customHeight="false" outlineLevel="0" collapsed="false">
      <c r="G201" s="32"/>
      <c r="H201" s="33"/>
      <c r="I201" s="32"/>
      <c r="L201" s="32"/>
      <c r="Q201" s="32"/>
      <c r="U201" s="32"/>
      <c r="W201" s="32"/>
      <c r="AC201" s="32"/>
      <c r="AF201" s="32"/>
      <c r="AI201" s="32"/>
      <c r="AJ201" s="32"/>
      <c r="AN201" s="32"/>
      <c r="AR201" s="32"/>
      <c r="AT201" s="32"/>
      <c r="AU201" s="32"/>
      <c r="AW201" s="32"/>
      <c r="AY201" s="34" t="str">
        <f aca="false">IF(TRIM($A201)="","",IF(AND(LEFT($A201,6)="SAMPLE",Config!$B$19&lt;&gt;"Y"),"",IF(NOT(ISNUMBER(H201)),"call_date is blank or not a date",IF(Sync!$C$5="","Clay paste is empty or has no row_id column: paste the Clay export on Clay_Offices",IF(CW201="","row_id not found in the Clay paste: add the Clay row or fix the row_id",IF(AND(ISNUMBER(CY201),CY201&gt;=1,CY201&lt;=5),"Clay status is "&amp;CX201&amp;": set call_done or later",IF(AND(BD201=1,CZ201&lt;&gt;BZ201),"Clay yes_in_principle should be "&amp;BZ201,IF(AND(BD201=1,DA201&lt;&gt;H201),"Clay call_date should be "&amp;TEXT(H201,"yyyy-mm-dd"),""))))))))</f>
        <v/>
      </c>
      <c r="AZ201" s="23" t="str">
        <f aca="false">IF(TRIM($A201)="","",IF(TRIM(C201)&lt;&gt;"",SUBSTITUTE(SUBSTITUTE(SUBSTITUTE(SUBSTITUTE(SUBSTITUTE(SUBSTITUTE(LOWER(TRIM(C201)),"~",""),"*",""),"?",""),"&lt;",""),"&gt;",""),"=",""),IF(EA201&lt;&gt;"",EA201,IFERROR(INDEX($EA$2:$EA$201,MATCH(DZ201,$EB$2:$EB$201,0)),DZ201))))</f>
        <v/>
      </c>
      <c r="BA201" s="23" t="n">
        <f aca="false">ROW()</f>
        <v>201</v>
      </c>
      <c r="BB201" s="23" t="n">
        <f aca="false">IF(AND(TRIM($A201)&lt;&gt;"",ISNUMBER(H201)),IF(AND(LEFT($A201,6)="SAMPLE",Config!$B$19&lt;&gt;"Y"),0,1),0)</f>
        <v>0</v>
      </c>
      <c r="BC201" s="23" t="n">
        <f aca="false">IF(BB201=1,IF(COUNTIFS($AZ$2:$AZ$201,AZ201,$BB$2:$BB$201,1,$H$2:$H$201,"&lt;"&amp;H201)+COUNTIFS($AZ$2:$AZ$201,AZ201,$BB$2:$BB$201,1,$H$2:$H$201,H201,$BA$2:$BA$201,"&lt;"&amp;BA201)=0,1,0),0)</f>
        <v>0</v>
      </c>
      <c r="BD201" s="23" t="n">
        <f aca="false">IF(BB201=1,IF(COUNTIFS($A$2:$A$201,$A201,$BB$2:$BB$201,1,$H$2:$H$201,"&gt;"&amp;H201)+COUNTIFS($A$2:$A$201,$A201,$BB$2:$BB$201,1,$H$2:$H$201,H201,$BA$2:$BA$201,"&gt;"&amp;BA201)=0,1,0),0)</f>
        <v>0</v>
      </c>
      <c r="BE201" s="23" t="n">
        <f aca="false">IF(AND(BB201=1,AR201="Y",AC201="Y",TRIM(AH201)&lt;&gt;""),1,0)</f>
        <v>0</v>
      </c>
      <c r="BF201" s="23" t="n">
        <f aca="false">IF(BE201=1,IF(COUNTIFS($AZ$2:$AZ$201,AZ201,$BE$2:$BE$201,1,$H$2:$H$201,"&lt;"&amp;H201)+COUNTIFS($AZ$2:$AZ$201,AZ201,$BE$2:$BE$201,1,$H$2:$H$201,H201,$BA$2:$BA$201,"&lt;"&amp;BA201)=0,1,0),0)</f>
        <v>0</v>
      </c>
      <c r="BG201" s="23" t="n">
        <f aca="false">IF(AND(BB201=1,AR201="Y",BE201=0),1,0)</f>
        <v>0</v>
      </c>
      <c r="BH201" s="23" t="n">
        <f aca="false">IF(AND(BB201=1,ISNUMBER(Y201)),1,0)</f>
        <v>0</v>
      </c>
      <c r="BI201" s="23" t="n">
        <f aca="false">IF(BH201=1,IF(COUNTIFS($AZ$2:$AZ$201,AZ201,$BH$2:$BH$201,1,$H$2:$H$201,"&lt;"&amp;H201)+COUNTIFS($AZ$2:$AZ$201,AZ201,$BH$2:$BH$201,1,$H$2:$H$201,H201,$BA$2:$BA$201,"&lt;"&amp;BA201)=0,1,0),0)</f>
        <v>0</v>
      </c>
      <c r="BJ201" s="23" t="str">
        <f aca="false">IF(AND(BI201=1,INT(N(H201))&lt;=Config!$B$6),Y201,"")</f>
        <v/>
      </c>
      <c r="BK201" s="23" t="str">
        <f aca="false">IF(AND(BI201=1,INT(N(H201))&lt;=Config!$B$7),Y201,"")</f>
        <v/>
      </c>
      <c r="BL201" s="23" t="str">
        <f aca="false">IF(AND(BI201=1,INT(N(H201))&lt;=Config!$B$8),Y201,"")</f>
        <v/>
      </c>
      <c r="BM201" s="23" t="str">
        <f aca="false">IF(AND(BI201=1,INT(N(H201))&lt;=Config!$B$5),Y201,"")</f>
        <v/>
      </c>
      <c r="BN201" s="23" t="n">
        <f aca="false">IF(CD201=1,IF(COUNTIFS($AZ$2:$AZ$201,AZ201,$CD$2:$CD$201,1,$H$2:$H$201,"&lt;"&amp;H201)+COUNTIFS($AZ$2:$AZ$201,AZ201,$CD$2:$CD$201,1,$H$2:$H$201,H201,$BA$2:$BA$201,"&lt;"&amp;BA201)=0,1,0),0)</f>
        <v>0</v>
      </c>
      <c r="BO201" s="23" t="n">
        <f aca="false">IF(AND(BB201=1,ISNUMBER(M201)),1,0)</f>
        <v>0</v>
      </c>
      <c r="BP201" s="23" t="n">
        <f aca="false">IF(BO201=1,IF(COUNTIFS($AZ$2:$AZ$201,AZ201,$BO$2:$BO$201,1,$H$2:$H$201,"&lt;"&amp;H201)+COUNTIFS($AZ$2:$AZ$201,AZ201,$BO$2:$BO$201,1,$H$2:$H$201,H201,$BA$2:$BA$201,"&lt;"&amp;BA201)=0,1,0),0)</f>
        <v>0</v>
      </c>
      <c r="BQ201" s="23" t="str">
        <f aca="false">IF(AND(BP201=1,INT(N(H201))&lt;=Config!$B$5),M201,"")</f>
        <v/>
      </c>
      <c r="BR201" s="23" t="n">
        <f aca="false">IF(AND(BB201=1,OR(TRIM(X201)&lt;&gt;"",ISNUMBER(Y201))),1,0)</f>
        <v>0</v>
      </c>
      <c r="BS201" s="23" t="n">
        <f aca="false">IF(BR201=1,IF(COUNTIFS($AZ$2:$AZ$201,AZ201,$BR$2:$BR$201,1,$H$2:$H$201,"&lt;"&amp;H201)+COUNTIFS($AZ$2:$AZ$201,AZ201,$BR$2:$BR$201,1,$H$2:$H$201,H201,$BA$2:$BA$201,"&lt;"&amp;BA201)=0,1,0),0)</f>
        <v>0</v>
      </c>
      <c r="BT201" s="23" t="str">
        <f aca="false">IF(BS201=1,AZ201,"")</f>
        <v/>
      </c>
      <c r="BU201" s="23" t="n">
        <f aca="false">IF(AND(BB201=1,W201="Y",TRIM(X201)=""),1,0)</f>
        <v>0</v>
      </c>
      <c r="BV201" s="23" t="str">
        <f aca="false">IF(BB201=1,AN201&amp;"","")</f>
        <v/>
      </c>
      <c r="BW201" s="23" t="str">
        <f aca="false">IF(BB201=1,AO201&amp;"","")</f>
        <v/>
      </c>
      <c r="BX201" s="23" t="str">
        <f aca="false">IF(BB201=1,AP201&amp;"","")</f>
        <v/>
      </c>
      <c r="BY201" s="23" t="str">
        <f aca="false">IF(AND(BB201=1,ISNUMBER(AV201),INT(N(H201))&lt;=Config!$B$5),AV201,"")</f>
        <v/>
      </c>
      <c r="BZ201" s="23" t="str">
        <f aca="false">IF(BB201=1,IF(COUNTIFS($A$2:$A$201,$A201,$DC$2:$DC$201,1,$AR$2:$AR$201,"Y")&gt;0,"Y","N"),"")</f>
        <v/>
      </c>
      <c r="CA201" s="23" t="n">
        <f aca="false">IF(AND(BB201=1,AR201="maybe"),1,0)</f>
        <v>0</v>
      </c>
      <c r="CB201" s="23" t="n">
        <f aca="false">IF(CA201=1,IF(COUNTIFS($AZ$2:$AZ$201,AZ201,$CA$2:$CA$201,1,$H$2:$H$201,"&lt;"&amp;H201)+COUNTIFS($AZ$2:$AZ$201,AZ201,$CA$2:$CA$201,1,$H$2:$H$201,H201,$BA$2:$BA$201,"&lt;"&amp;BA201)=0,1,0),0)</f>
        <v>0</v>
      </c>
      <c r="CC201" s="23" t="n">
        <f aca="false">IF(AND(BB201=1,AR201="Y"),IF(COUNTIFS($AZ$2:$AZ$201,AZ201,$AR$2:$AR$201,"Y",$BB$2:$BB$201,1,$H$2:$H$201,"&lt;"&amp;H201)+COUNTIFS($AZ$2:$AZ$201,AZ201,$AR$2:$AR$201,"Y",$BB$2:$BB$201,1,$H$2:$H$201,H201,$BA$2:$BA$201,"&lt;"&amp;BA201)=0,1,0),0)</f>
        <v>0</v>
      </c>
      <c r="CD201" s="23" t="n">
        <f aca="false">IF(AND(BH201=1,N(Y201)&gt;=Config!$B$15),1,0)</f>
        <v>0</v>
      </c>
      <c r="CE201" s="23" t="n">
        <f aca="false">IF(AND(BB201=1,AT201="Y"),1,0)</f>
        <v>0</v>
      </c>
      <c r="CF201" s="23" t="n">
        <f aca="false">IF(CE201=1,IF(COUNTIFS($AZ$2:$AZ$201,AZ201,$CE$2:$CE$201,1,$H$2:$H$201,"&lt;"&amp;H201)+COUNTIFS($AZ$2:$AZ$201,AZ201,$CE$2:$CE$201,1,$H$2:$H$201,H201,$BA$2:$BA$201,"&lt;"&amp;BA201)=0,1,0),0)</f>
        <v>0</v>
      </c>
      <c r="CG201" s="23" t="n">
        <f aca="false">IF(AND(BB201=1,G201="warm-intro"),1,0)</f>
        <v>0</v>
      </c>
      <c r="CH201" s="23" t="n">
        <f aca="false">IF(CG201=1,IF(COUNTIFS($AZ$2:$AZ$201,AZ201,$CG$2:$CG$201,1,$H$2:$H$201,"&lt;"&amp;H201)+COUNTIFS($AZ$2:$AZ$201,AZ201,$CG$2:$CG$201,1,$H$2:$H$201,H201,$BA$2:$BA$201,"&lt;"&amp;BA201)=0,1,0),0)</f>
        <v>0</v>
      </c>
      <c r="CI201" s="23" t="n">
        <f aca="false">IF(AND(BB201=1,Q201="Y"),1,0)</f>
        <v>0</v>
      </c>
      <c r="CJ201" s="23" t="n">
        <f aca="false">IF(CI201=1,IF(COUNTIFS($AZ$2:$AZ$201,AZ201,$CI$2:$CI$201,1,$H$2:$H$201,"&lt;"&amp;H201)+COUNTIFS($AZ$2:$AZ$201,AZ201,$CI$2:$CI$201,1,$H$2:$H$201,H201,$BA$2:$BA$201,"&lt;"&amp;BA201)=0,1,0),0)</f>
        <v>0</v>
      </c>
      <c r="CK201" s="23" t="n">
        <f aca="false">IF(AND(BB201=1,AF201="Y"),1,0)</f>
        <v>0</v>
      </c>
      <c r="CL201" s="23" t="n">
        <f aca="false">IF(CK201=1,IF(COUNTIFS($AZ$2:$AZ$201,AZ201,$CK$2:$CK$201,1,$H$2:$H$201,"&lt;"&amp;H201)+COUNTIFS($AZ$2:$AZ$201,AZ201,$CK$2:$CK$201,1,$H$2:$H$201,H201,$BA$2:$BA$201,"&lt;"&amp;BA201)=0,1,0),0)</f>
        <v>0</v>
      </c>
      <c r="CM201" s="23" t="n">
        <f aca="false">IF(AND(BB201=1,U201="Y"),1,0)</f>
        <v>0</v>
      </c>
      <c r="CN201" s="23" t="n">
        <f aca="false">IF(CM201=1,IF(COUNTIFS($AZ$2:$AZ$201,AZ201,$CM$2:$CM$201,1,$H$2:$H$201,"&lt;"&amp;H201)+COUNTIFS($AZ$2:$AZ$201,AZ201,$CM$2:$CM$201,1,$H$2:$H$201,H201,$BA$2:$BA$201,"&lt;"&amp;BA201)=0,1,0),0)</f>
        <v>0</v>
      </c>
      <c r="CO201" s="23" t="n">
        <f aca="false">IF(AND(BB201=1,L201="Y"),1,0)</f>
        <v>0</v>
      </c>
      <c r="CP201" s="23" t="n">
        <f aca="false">IF(CO201=1,IF(COUNTIFS($AZ$2:$AZ$201,AZ201,$CO$2:$CO$201,1,$H$2:$H$201,"&lt;"&amp;H201)+COUNTIFS($AZ$2:$AZ$201,AZ201,$CO$2:$CO$201,1,$H$2:$H$201,H201,$BA$2:$BA$201,"&lt;"&amp;BA201)=0,1,0),0)</f>
        <v>0</v>
      </c>
      <c r="CQ201" s="23" t="n">
        <f aca="false">IF(AND(BB201=1,ISNUMBER(O201)),1,0)</f>
        <v>0</v>
      </c>
      <c r="CR201" s="23" t="n">
        <f aca="false">IF(CQ201=1,IF(COUNTIFS($AZ$2:$AZ$201,AZ201,$CQ$2:$CQ$201,1,$H$2:$H$201,"&lt;"&amp;H201)+COUNTIFS($AZ$2:$AZ$201,AZ201,$CQ$2:$CQ$201,1,$H$2:$H$201,H201,$BA$2:$BA$201,"&lt;"&amp;BA201)=0,1,0),0)</f>
        <v>0</v>
      </c>
      <c r="CS201" s="23" t="str">
        <f aca="false">IF(AND(CR201=1,INT(N(H201))&lt;=Config!$B$5),O201,"")</f>
        <v/>
      </c>
      <c r="CT201" s="23" t="str">
        <f aca="false">IF(AND(BB201=1,INT(N(H201))&lt;=Config!$B$5),AG201&amp;"","")</f>
        <v/>
      </c>
      <c r="CU201" s="23" t="n">
        <f aca="false">IF(AND(BB201=1,AU201="Y"),1,0)</f>
        <v>0</v>
      </c>
      <c r="CV201" s="23" t="n">
        <f aca="false">IF(CU201=1,IF(COUNTIFS($AZ$2:$AZ$201,AZ201,$CU$2:$CU$201,1,$H$2:$H$201,"&lt;"&amp;H201)+COUNTIFS($AZ$2:$AZ$201,AZ201,$CU$2:$CU$201,1,$H$2:$H$201,H201,$BA$2:$BA$201,"&lt;"&amp;BA201)=0,1,0),0)</f>
        <v>0</v>
      </c>
      <c r="CW201" s="23" t="str">
        <f aca="false">IF(BB201=1,IFERROR(MATCH($A201,INDEX(Clay_Offices!$A$2:$FZ$601,0,Sync!$C$5),0),""),"")</f>
        <v/>
      </c>
      <c r="CX201" s="23" t="str">
        <f aca="false">IF(CW201="","",IFERROR(INDEX(Clay_Offices!$A$2:$FZ$601,CW201,Sync!$C$7)&amp;"",""))</f>
        <v/>
      </c>
      <c r="CY201" s="23" t="str">
        <f aca="false">IF(CX201="","",IFERROR(INDEX(Lists!$K$2:$K$15,MATCH(CX201,Lists!$J$2:$J$15,0)),""))</f>
        <v/>
      </c>
      <c r="CZ201" s="23" t="str">
        <f aca="false">IF(CW201="","",IFERROR(INDEX(Clay_Offices!$A$2:$FZ$601,CW201,Sync!$C$17)&amp;"",""))</f>
        <v/>
      </c>
      <c r="DA201" s="35" t="str">
        <f aca="false">IF(CW201="","",IFERROR(N(INDEX(Clay_Offices!$A$2:$FZ$601,CW201,Sync!$C$16)),0))</f>
        <v/>
      </c>
      <c r="DB201" s="23" t="n">
        <f aca="false">IF(AND(BB201=1,OR(AR201="Y",AR201="N",AR201="maybe")),1,0)</f>
        <v>0</v>
      </c>
      <c r="DC201" s="23" t="n">
        <f aca="false">IF(AND(DB201=1),IF(COUNTIFS($A$2:$A$201,$A201,$DB$2:$DB$201,1,$H$2:$H$201,"&gt;"&amp;H201)+COUNTIFS($A$2:$A$201,$A201,$DB$2:$DB$201,1,$H$2:$H$201,H201,$BA$2:$BA$201,"&gt;"&amp;BA201)=0,1,0),0)</f>
        <v>0</v>
      </c>
      <c r="DD201" s="23" t="n">
        <f aca="false">IF(AND(DB201=1,INT(N(H201))&lt;=Config!$B$6),IF(COUNTIFS($AZ$2:$AZ$201,AZ201,$DB$2:$DB$201,1,$H$2:$H$201,"&gt;"&amp;H201,$H$2:$H$201,"&lt;"&amp;(Config!$B$6+1))+COUNTIFS($AZ$2:$AZ$201,AZ201,$DB$2:$DB$201,1,$H$2:$H$201,H201,$BA$2:$BA$201,"&gt;"&amp;BA201)=0,1,0),0)</f>
        <v>0</v>
      </c>
      <c r="DE201" s="23" t="n">
        <f aca="false">IF(AND(DB201=1,INT(N(H201))&lt;=Config!$B$7),IF(COUNTIFS($AZ$2:$AZ$201,AZ201,$DB$2:$DB$201,1,$H$2:$H$201,"&gt;"&amp;H201,$H$2:$H$201,"&lt;"&amp;(Config!$B$7+1))+COUNTIFS($AZ$2:$AZ$201,AZ201,$DB$2:$DB$201,1,$H$2:$H$201,H201,$BA$2:$BA$201,"&gt;"&amp;BA201)=0,1,0),0)</f>
        <v>0</v>
      </c>
      <c r="DF201" s="23" t="n">
        <f aca="false">IF(AND(DB201=1,INT(N(H201))&lt;=Config!$B$8),IF(COUNTIFS($AZ$2:$AZ$201,AZ201,$DB$2:$DB$201,1,$H$2:$H$201,"&gt;"&amp;H201,$H$2:$H$201,"&lt;"&amp;(Config!$B$8+1))+COUNTIFS($AZ$2:$AZ$201,AZ201,$DB$2:$DB$201,1,$H$2:$H$201,H201,$BA$2:$BA$201,"&gt;"&amp;BA201)=0,1,0),0)</f>
        <v>0</v>
      </c>
      <c r="DG201" s="23" t="n">
        <f aca="false">IF(AND(DB201=1,INT(N(H201))&lt;=Config!$B$5),IF(COUNTIFS($AZ$2:$AZ$201,AZ201,$DB$2:$DB$201,1,$H$2:$H$201,"&gt;"&amp;H201,$H$2:$H$201,"&lt;"&amp;(Config!$B$5+1))+COUNTIFS($AZ$2:$AZ$201,AZ201,$DB$2:$DB$201,1,$H$2:$H$201,H201,$BA$2:$BA$201,"&gt;"&amp;BA201)=0,1,0),0)</f>
        <v>0</v>
      </c>
      <c r="DH201" s="23" t="n">
        <f aca="false">IF(BB201=1,IF(COUNTIFS($AZ$2:$AZ$201,AZ201,$DD$2:$DD$201,1,$AR$2:$AR$201,"Y")&gt;0,1,0),0)</f>
        <v>0</v>
      </c>
      <c r="DI201" s="23" t="n">
        <f aca="false">IF(BB201=1,IF(COUNTIFS($AZ$2:$AZ$201,AZ201,$DE$2:$DE$201,1,$AR$2:$AR$201,"Y")&gt;0,1,0),0)</f>
        <v>0</v>
      </c>
      <c r="DJ201" s="23" t="n">
        <f aca="false">IF(BB201=1,IF(COUNTIFS($AZ$2:$AZ$201,AZ201,$DF$2:$DF$201,1,$AR$2:$AR$201,"Y")&gt;0,1,0),0)</f>
        <v>0</v>
      </c>
      <c r="DK201" s="23" t="n">
        <f aca="false">IF(BB201=1,IF(COUNTIFS($AZ$2:$AZ$201,AZ201,$DG$2:$DG$201,1,$AR$2:$AR$201,"Y")&gt;0,1,0),0)</f>
        <v>0</v>
      </c>
      <c r="DL201" s="23" t="n">
        <f aca="false">IF(AND(BF201=1,INT(N(H201))&lt;=Config!$B$6,DH201=1,EI201=0),1,0)</f>
        <v>0</v>
      </c>
      <c r="DM201" s="23" t="n">
        <f aca="false">IF(AND(BF201=1,INT(N(H201))&lt;=Config!$B$7,DI201=1,EI201=0),1,0)</f>
        <v>0</v>
      </c>
      <c r="DN201" s="23" t="n">
        <f aca="false">IF(AND(BF201=1,INT(N(H201))&lt;=Config!$B$8,DJ201=1,EI201=0),1,0)</f>
        <v>0</v>
      </c>
      <c r="DO201" s="23" t="n">
        <f aca="false">IF(AND(BF201=1,INT(N(H201))&lt;=Config!$B$5,DK201=1,EI201=0),1,0)</f>
        <v>0</v>
      </c>
      <c r="DP201" s="23" t="n">
        <f aca="false">IF(AND(CC201=1,INT(N(H201))&lt;=Config!$B$6,DH201=1,EI201=0),1,0)</f>
        <v>0</v>
      </c>
      <c r="DQ201" s="23" t="n">
        <f aca="false">IF(AND(CC201=1,INT(N(H201))&lt;=Config!$B$7,DI201=1,EI201=0),1,0)</f>
        <v>0</v>
      </c>
      <c r="DR201" s="23" t="n">
        <f aca="false">IF(AND(CC201=1,INT(N(H201))&lt;=Config!$B$8,DJ201=1,EI201=0),1,0)</f>
        <v>0</v>
      </c>
      <c r="DS201" s="23" t="n">
        <f aca="false">IF(AND(CC201=1,INT(N(H201))&lt;=Config!$B$5,DK201=1,EI201=0),1,0)</f>
        <v>0</v>
      </c>
      <c r="DT201" s="23" t="n">
        <f aca="false">IF(AND(CC201=1,INT(N(H201))&lt;=Config!$B$6,DH201=0),1,0)</f>
        <v>0</v>
      </c>
      <c r="DU201" s="23" t="n">
        <f aca="false">IF(AND(CC201=1,INT(N(H201))&lt;=Config!$B$7,DI201=0),1,0)</f>
        <v>0</v>
      </c>
      <c r="DV201" s="23" t="n">
        <f aca="false">IF(AND(CC201=1,INT(N(H201))&lt;=Config!$B$8,DJ201=0),1,0)</f>
        <v>0</v>
      </c>
      <c r="DW201" s="23" t="n">
        <f aca="false">IF(AND(CC201=1,INT(N(H201))&lt;=Config!$B$5,DK201=0),1,0)</f>
        <v>0</v>
      </c>
      <c r="DX201" s="23" t="n">
        <f aca="false">IF(TRIM($A201)="",0,ISTEXT(M201)+ISTEXT(O201)+ISTEXT(Y201)+ISTEXT(Z201)+ISTEXT(AA201)+ISTEXT(AV201))</f>
        <v>0</v>
      </c>
      <c r="DY201" s="23" t="n">
        <f aca="false">IF(BB201=1,IF(H201&lt;&gt;INT(H201),1,0),0)</f>
        <v>0</v>
      </c>
      <c r="DZ201" s="23" t="str">
        <f aca="false">IF(TRIM($A201)="","",IF(TRIM(B201)="",SUBSTITUTE(SUBSTITUTE(SUBSTITUTE(SUBSTITUTE(SUBSTITUTE(SUBSTITUTE(LOWER(TRIM($A201)),"~",""),"*",""),"?",""),"&lt;",""),"&gt;",""),"=",""),SUBSTITUTE(SUBSTITUTE(SUBSTITUTE(SUBSTITUTE(SUBSTITUTE(SUBSTITUTE(LOWER(TRIM(B201)),"~",""),"*",""),"?",""),"&lt;",""),"&gt;",""),"=","")))</f>
        <v/>
      </c>
      <c r="EA201" s="23" t="str">
        <f aca="false">IF(CW201="","",IFERROR(IF(LEFT(LOWER(TRIM(INDEX(Clay_Offices!$A$2:$FZ$601,CW201,Sync!$C$19)&amp;"")),4)="grp-",SUBSTITUTE(SUBSTITUTE(SUBSTITUTE(SUBSTITUTE(SUBSTITUTE(SUBSTITUTE(LOWER(TRIM(INDEX(Clay_Offices!$A$2:$FZ$601,CW201,Sync!$C$19)&amp;"")),"~",""),"*",""),"?",""),"&lt;",""),"&gt;",""),"=",""),""),""))</f>
        <v/>
      </c>
      <c r="EB201" s="23" t="str">
        <f aca="false">IF(EA201&lt;&gt;"",DZ201,"")</f>
        <v/>
      </c>
      <c r="EC201" s="23" t="str">
        <f aca="false">IF(BC201=1,AZ201,"")</f>
        <v/>
      </c>
      <c r="ED201" s="23" t="str">
        <f aca="false">IF(TRIM($A201)="","",IFERROR(INDEX($A$2:$A$201,MATCH(AZ201,$EC$2:$EC$201,0))&amp;"",$A201&amp;""))</f>
        <v/>
      </c>
      <c r="EE201" s="23" t="n">
        <f aca="false">IF(BB201=1,IF(COUNTIFS($A$2:$A$201,$A201,$BB$2:$BB$201,1,$H$2:$H$201,"&lt;"&amp;H201)+COUNTIFS($A$2:$A$201,$A201,$BB$2:$BB$201,1,$H$2:$H$201,H201,$BA$2:$BA$201,"&lt;"&amp;BA201)=0,1,0),0)</f>
        <v>0</v>
      </c>
      <c r="EF201" s="23" t="n">
        <f aca="false">IF(BC201=1,IF(COUNTIFS($AZ$2:$AZ$201,AZ201,$EE$2:$EE$201,1)&gt;1,1,0),0)</f>
        <v>0</v>
      </c>
      <c r="EG201" s="23" t="n">
        <f aca="false">IF(AND(CQ201=1),IF(COUNTIFS($AZ$2:$AZ$201,AZ201,$CQ$2:$CQ$201,1,$H$2:$H$201,"&gt;"&amp;H201)+COUNTIFS($AZ$2:$AZ$201,AZ201,$CQ$2:$CQ$201,1,$H$2:$H$201,H201,$BA$2:$BA$201,"&gt;"&amp;BA201)=0,1,0),0)</f>
        <v>0</v>
      </c>
      <c r="EH201" s="23" t="str">
        <f aca="false">IF(BB201=1,IF(COUNTIFS($AZ$2:$AZ$201,AZ201,$EG$2:$EG$201,1)=0,"",SUMIFS($O$2:$O$201,$AZ$2:$AZ$201,AZ201,$EG$2:$EG$201,1)),"")</f>
        <v/>
      </c>
      <c r="EI201" s="23" t="n">
        <f aca="false">IF(AND(ISNUMBER(EH201),OR(N(EH201)&lt;Config!$B$31,N(EH201)&gt;Config!$B$33)),1,0)</f>
        <v>0</v>
      </c>
      <c r="EJ201" s="23" t="n">
        <f aca="false">IF(AND(ISNUMBER(EH201),N(EH201)&gt;=Config!$B$31,N(EH201)&lt;Config!$B$32),1,0)</f>
        <v>0</v>
      </c>
      <c r="EK201" s="23" t="n">
        <f aca="false">IF(AND(BF201=1,INT(N(H201))&lt;=Config!$B$6,DH201=1,EI201=1),1,0)</f>
        <v>0</v>
      </c>
      <c r="EL201" s="23" t="n">
        <f aca="false">IF(AND(BF201=1,INT(N(H201))&lt;=Config!$B$7,DI201=1,EI201=1),1,0)</f>
        <v>0</v>
      </c>
      <c r="EM201" s="23" t="n">
        <f aca="false">IF(AND(BF201=1,INT(N(H201))&lt;=Config!$B$8,DJ201=1,EI201=1),1,0)</f>
        <v>0</v>
      </c>
      <c r="EN201" s="23" t="n">
        <f aca="false">IF(AND(BF201=1,INT(N(H201))&lt;=Config!$B$5,DK201=1,EI201=1),1,0)</f>
        <v>0</v>
      </c>
      <c r="EO201" s="23" t="n">
        <f aca="false">IF(AND(DL201=1,EJ201=1),1,0)</f>
        <v>0</v>
      </c>
      <c r="EP201" s="23" t="n">
        <f aca="false">IF(AND(DM201=1,EJ201=1),1,0)</f>
        <v>0</v>
      </c>
      <c r="EQ201" s="23" t="n">
        <f aca="false">IF(AND(DN201=1,EJ201=1),1,0)</f>
        <v>0</v>
      </c>
      <c r="ER201" s="23" t="n">
        <f aca="false">IF(AND(DO201=1,EJ201=1),1,0)</f>
        <v>0</v>
      </c>
    </row>
  </sheetData>
  <conditionalFormatting sqref="AY2:AY201">
    <cfRule type="expression" priority="2" aboveAverage="0" equalAverage="0" bottom="0" percent="0" rank="0" text="" dxfId="2">
      <formula>LEN(AY2)&gt;0</formula>
    </cfRule>
  </conditionalFormatting>
  <dataValidations count="18">
    <dataValidation allowBlank="true" errorStyle="stop" operator="between" showDropDown="false" showErrorMessage="false" showInputMessage="false" sqref="G2:G201" type="list">
      <formula1>Lists!$E$2:$E$5</formula1>
      <formula2>0</formula2>
    </dataValidation>
    <dataValidation allowBlank="true" errorStyle="stop" operator="between" showDropDown="false" showErrorMessage="false" showInputMessage="false" sqref="I2:I201" type="list">
      <formula1>Lists!$F$2:$F$5</formula1>
      <formula2>0</formula2>
    </dataValidation>
    <dataValidation allowBlank="true" errorStyle="stop" operator="between" showDropDown="false" showErrorMessage="false" showInputMessage="false" sqref="L2:L201" type="list">
      <formula1>Lists!$A$2:$A$3</formula1>
      <formula2>0</formula2>
    </dataValidation>
    <dataValidation allowBlank="true" errorStyle="stop" operator="between" showDropDown="false" showErrorMessage="false" showInputMessage="false" sqref="Q2:Q201" type="list">
      <formula1>Lists!$A$2:$A$3</formula1>
      <formula2>0</formula2>
    </dataValidation>
    <dataValidation allowBlank="true" errorStyle="stop" operator="between" showDropDown="false" showErrorMessage="false" showInputMessage="false" sqref="U2:U201" type="list">
      <formula1>Lists!$B$2:$B$4</formula1>
      <formula2>0</formula2>
    </dataValidation>
    <dataValidation allowBlank="true" errorStyle="stop" operator="between" showDropDown="false" showErrorMessage="false" showInputMessage="false" sqref="W2:W201" type="list">
      <formula1>Lists!$A$2:$A$3</formula1>
      <formula2>0</formula2>
    </dataValidation>
    <dataValidation allowBlank="true" errorStyle="stop" operator="between" showDropDown="false" showErrorMessage="false" showInputMessage="false" sqref="AC2:AC201" type="list">
      <formula1>Lists!$A$2:$A$3</formula1>
      <formula2>0</formula2>
    </dataValidation>
    <dataValidation allowBlank="true" errorStyle="stop" operator="between" showDropDown="false" showErrorMessage="false" showInputMessage="false" sqref="AF2:AF201" type="list">
      <formula1>Lists!$B$2:$B$4</formula1>
      <formula2>0</formula2>
    </dataValidation>
    <dataValidation allowBlank="true" errorStyle="stop" operator="between" showDropDown="false" showErrorMessage="false" showInputMessage="false" sqref="AG2:AG201" type="list">
      <formula1>Lists!$AB$2:$AB$7</formula1>
      <formula2>0</formula2>
    </dataValidation>
    <dataValidation allowBlank="true" errorStyle="stop" operator="between" showDropDown="false" showErrorMessage="false" showInputMessage="false" sqref="AI2:AI201" type="list">
      <formula1>Lists!$G$2:$G$7</formula1>
      <formula2>0</formula2>
    </dataValidation>
    <dataValidation allowBlank="true" errorStyle="stop" operator="between" showDropDown="false" showErrorMessage="false" showInputMessage="false" sqref="AJ2:AJ201" type="list">
      <formula1>Lists!$C$2:$C$4</formula1>
      <formula2>0</formula2>
    </dataValidation>
    <dataValidation allowBlank="true" errorStyle="stop" operator="between" showDropDown="false" showErrorMessage="false" showInputMessage="false" sqref="AN2:AN201" type="list">
      <formula1>Lists!$N$2:$N$14</formula1>
      <formula2>0</formula2>
    </dataValidation>
    <dataValidation allowBlank="true" errorStyle="stop" operator="between" showDropDown="false" showErrorMessage="false" showInputMessage="false" sqref="AO2:AO201" type="list">
      <formula1>Lists!$N$2:$N$14</formula1>
      <formula2>0</formula2>
    </dataValidation>
    <dataValidation allowBlank="true" errorStyle="stop" operator="between" showDropDown="false" showErrorMessage="false" showInputMessage="false" sqref="AP2:AP201" type="list">
      <formula1>Lists!$N$2:$N$14</formula1>
      <formula2>0</formula2>
    </dataValidation>
    <dataValidation allowBlank="true" errorStyle="stop" operator="between" showDropDown="false" showErrorMessage="false" showInputMessage="false" sqref="AR2:AR201" type="list">
      <formula1>Lists!$B$2:$B$4</formula1>
      <formula2>0</formula2>
    </dataValidation>
    <dataValidation allowBlank="true" errorStyle="stop" operator="between" showDropDown="false" showErrorMessage="false" showInputMessage="false" sqref="AT2:AT201" type="list">
      <formula1>Lists!$A$2:$A$3</formula1>
      <formula2>0</formula2>
    </dataValidation>
    <dataValidation allowBlank="true" errorStyle="stop" operator="between" showDropDown="false" showErrorMessage="false" showInputMessage="false" sqref="AU2:AU201" type="list">
      <formula1>Lists!$A$2:$A$3</formula1>
      <formula2>0</formula2>
    </dataValidation>
    <dataValidation allowBlank="true" errorStyle="stop" operator="between" showDropDown="false" showErrorMessage="false" showInputMessage="false" sqref="AW2:AW201"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X2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1"/>
  <cols>
    <col collapsed="false" customWidth="true" hidden="false" outlineLevel="0" max="1" min="1" style="0" width="15"/>
    <col collapsed="false" customWidth="true" hidden="false" outlineLevel="0" max="2" min="2" style="0" width="20"/>
    <col collapsed="false" customWidth="true" hidden="false" outlineLevel="0" max="3" min="3" style="0" width="12"/>
    <col collapsed="false" customWidth="true" hidden="false" outlineLevel="0" max="4" min="4" style="0" width="17"/>
    <col collapsed="false" customWidth="true" hidden="false" outlineLevel="0" max="5" min="5" style="0" width="18"/>
    <col collapsed="false" customWidth="true" hidden="false" outlineLevel="0" max="6" min="6" style="0" width="16"/>
    <col collapsed="false" customWidth="true" hidden="false" outlineLevel="0" max="7" min="7" style="0" width="10"/>
    <col collapsed="false" customWidth="true" hidden="false" outlineLevel="0" max="8" min="8" style="0" width="11"/>
    <col collapsed="false" customWidth="true" hidden="false" outlineLevel="0" max="9" min="9" style="0" width="9"/>
    <col collapsed="false" customWidth="true" hidden="false" outlineLevel="0" max="10" min="10" style="0" width="30"/>
    <col collapsed="false" customWidth="true" hidden="false" outlineLevel="0" max="12" min="11" style="0" width="10"/>
    <col collapsed="false" customWidth="true" hidden="false" outlineLevel="0" max="13" min="13" style="0" width="24"/>
    <col collapsed="false" customWidth="true" hidden="false" outlineLevel="0" max="14" min="14" style="0" width="16"/>
    <col collapsed="false" customWidth="true" hidden="false" outlineLevel="0" max="16" min="15" style="0" width="7"/>
    <col collapsed="false" customWidth="true" hidden="false" outlineLevel="0" max="17" min="17" style="0" width="22"/>
    <col collapsed="false" customWidth="true" hidden="false" outlineLevel="0" max="18" min="18" style="0" width="9"/>
    <col collapsed="false" customWidth="true" hidden="false" outlineLevel="0" max="19" min="19" style="0" width="28"/>
    <col collapsed="false" customWidth="true" hidden="false" outlineLevel="0" max="20" min="20" style="0" width="18"/>
    <col collapsed="false" customWidth="true" hidden="false" outlineLevel="0" max="21" min="21" style="0" width="7"/>
    <col collapsed="false" customWidth="true" hidden="false" outlineLevel="0" max="22" min="22" style="0" width="9"/>
    <col collapsed="false" customWidth="true" hidden="false" outlineLevel="0" max="23" min="23" style="0" width="28"/>
    <col collapsed="false" customWidth="true" hidden="false" outlineLevel="0" max="24" min="24" style="0" width="26"/>
    <col collapsed="false" customWidth="true" hidden="false" outlineLevel="0" max="25" min="25" style="0" width="14"/>
    <col collapsed="false" customWidth="true" hidden="false" outlineLevel="0" max="26" min="26" style="0" width="22"/>
    <col collapsed="false" customWidth="true" hidden="false" outlineLevel="0" max="27" min="27" style="0" width="24"/>
    <col collapsed="false" customWidth="true" hidden="false" outlineLevel="0" max="33" min="28" style="0" width="7"/>
    <col collapsed="false" customWidth="true" hidden="false" outlineLevel="0" max="34" min="34" style="0" width="20"/>
    <col collapsed="false" customWidth="true" hidden="false" outlineLevel="0" max="35" min="35" style="0" width="7"/>
    <col collapsed="false" customWidth="true" hidden="false" outlineLevel="0" max="38" min="36" style="0" width="14"/>
    <col collapsed="false" customWidth="true" hidden="false" outlineLevel="0" max="39" min="39" style="0" width="30"/>
    <col collapsed="false" customWidth="true" hidden="false" outlineLevel="0" max="42" min="40" style="0" width="7"/>
    <col collapsed="false" customWidth="true" hidden="false" outlineLevel="0" max="43" min="43" style="0" width="20"/>
    <col collapsed="false" customWidth="true" hidden="false" outlineLevel="0" max="46" min="44" style="0" width="7"/>
    <col collapsed="false" customWidth="true" hidden="false" outlineLevel="0" max="47" min="47" style="0" width="24"/>
    <col collapsed="false" customWidth="true" hidden="false" outlineLevel="0" max="48" min="48" style="0" width="34"/>
    <col collapsed="false" customWidth="true" hidden="false" outlineLevel="0" max="49" min="49" style="0" width="18"/>
    <col collapsed="false" customWidth="true" hidden="true" outlineLevel="1" max="128" min="50" style="0" width="11"/>
  </cols>
  <sheetData>
    <row r="1" customFormat="false" ht="42" hidden="false" customHeight="true" outlineLevel="0" collapsed="false">
      <c r="A1" s="8" t="s">
        <v>300</v>
      </c>
      <c r="B1" s="8" t="s">
        <v>301</v>
      </c>
      <c r="C1" s="8" t="s">
        <v>302</v>
      </c>
      <c r="D1" s="8" t="s">
        <v>303</v>
      </c>
      <c r="E1" s="8" t="s">
        <v>304</v>
      </c>
      <c r="F1" s="8" t="s">
        <v>305</v>
      </c>
      <c r="G1" s="8" t="s">
        <v>306</v>
      </c>
      <c r="H1" s="8" t="s">
        <v>307</v>
      </c>
      <c r="I1" s="8" t="s">
        <v>308</v>
      </c>
      <c r="J1" s="8" t="s">
        <v>600</v>
      </c>
      <c r="K1" s="8" t="s">
        <v>601</v>
      </c>
      <c r="L1" s="8" t="s">
        <v>602</v>
      </c>
      <c r="M1" s="8" t="s">
        <v>603</v>
      </c>
      <c r="N1" s="8" t="s">
        <v>604</v>
      </c>
      <c r="O1" s="8" t="s">
        <v>605</v>
      </c>
      <c r="P1" s="8" t="s">
        <v>606</v>
      </c>
      <c r="Q1" s="8" t="s">
        <v>607</v>
      </c>
      <c r="R1" s="8" t="s">
        <v>608</v>
      </c>
      <c r="S1" s="8" t="s">
        <v>609</v>
      </c>
      <c r="T1" s="8" t="s">
        <v>610</v>
      </c>
      <c r="U1" s="8" t="s">
        <v>611</v>
      </c>
      <c r="V1" s="8" t="s">
        <v>612</v>
      </c>
      <c r="W1" s="8" t="s">
        <v>613</v>
      </c>
      <c r="X1" s="8" t="s">
        <v>614</v>
      </c>
      <c r="Y1" s="8" t="s">
        <v>615</v>
      </c>
      <c r="Z1" s="8" t="s">
        <v>616</v>
      </c>
      <c r="AA1" s="8" t="s">
        <v>617</v>
      </c>
      <c r="AB1" s="8" t="s">
        <v>618</v>
      </c>
      <c r="AC1" s="8" t="s">
        <v>619</v>
      </c>
      <c r="AD1" s="8" t="s">
        <v>620</v>
      </c>
      <c r="AE1" s="8" t="s">
        <v>621</v>
      </c>
      <c r="AF1" s="8" t="s">
        <v>622</v>
      </c>
      <c r="AG1" s="8" t="s">
        <v>623</v>
      </c>
      <c r="AH1" s="8" t="s">
        <v>624</v>
      </c>
      <c r="AI1" s="8" t="s">
        <v>625</v>
      </c>
      <c r="AJ1" s="8" t="s">
        <v>339</v>
      </c>
      <c r="AK1" s="8" t="s">
        <v>340</v>
      </c>
      <c r="AL1" s="8" t="s">
        <v>341</v>
      </c>
      <c r="AM1" s="8" t="s">
        <v>342</v>
      </c>
      <c r="AN1" s="8" t="s">
        <v>343</v>
      </c>
      <c r="AO1" s="8" t="s">
        <v>345</v>
      </c>
      <c r="AP1" s="8" t="s">
        <v>326</v>
      </c>
      <c r="AQ1" s="8" t="s">
        <v>327</v>
      </c>
      <c r="AR1" s="8" t="s">
        <v>346</v>
      </c>
      <c r="AS1" s="8" t="s">
        <v>347</v>
      </c>
      <c r="AT1" s="8" t="s">
        <v>348</v>
      </c>
      <c r="AU1" s="8" t="s">
        <v>349</v>
      </c>
      <c r="AV1" s="21" t="s">
        <v>350</v>
      </c>
      <c r="AW1" s="21" t="s">
        <v>351</v>
      </c>
      <c r="AX1" s="21" t="s">
        <v>352</v>
      </c>
      <c r="AY1" s="21" t="s">
        <v>353</v>
      </c>
      <c r="AZ1" s="21" t="s">
        <v>354</v>
      </c>
      <c r="BA1" s="21" t="s">
        <v>355</v>
      </c>
      <c r="BB1" s="21" t="s">
        <v>626</v>
      </c>
      <c r="BC1" s="21" t="s">
        <v>627</v>
      </c>
      <c r="BD1" s="21" t="s">
        <v>628</v>
      </c>
      <c r="BE1" s="21" t="s">
        <v>629</v>
      </c>
      <c r="BF1" s="21" t="s">
        <v>630</v>
      </c>
      <c r="BG1" s="21" t="s">
        <v>631</v>
      </c>
      <c r="BH1" s="21" t="s">
        <v>632</v>
      </c>
      <c r="BI1" s="21" t="s">
        <v>633</v>
      </c>
      <c r="BJ1" s="21" t="s">
        <v>634</v>
      </c>
      <c r="BK1" s="21" t="s">
        <v>635</v>
      </c>
      <c r="BL1" s="21" t="s">
        <v>636</v>
      </c>
      <c r="BM1" s="21" t="s">
        <v>637</v>
      </c>
      <c r="BN1" s="21" t="s">
        <v>638</v>
      </c>
      <c r="BO1" s="21" t="s">
        <v>639</v>
      </c>
      <c r="BP1" s="21" t="s">
        <v>640</v>
      </c>
      <c r="BQ1" s="21" t="s">
        <v>641</v>
      </c>
      <c r="BR1" s="21" t="s">
        <v>642</v>
      </c>
      <c r="BS1" s="21" t="s">
        <v>643</v>
      </c>
      <c r="BT1" s="21" t="s">
        <v>644</v>
      </c>
      <c r="BU1" s="21" t="s">
        <v>645</v>
      </c>
      <c r="BV1" s="21" t="s">
        <v>646</v>
      </c>
      <c r="BW1" s="21" t="s">
        <v>647</v>
      </c>
      <c r="BX1" s="21" t="s">
        <v>373</v>
      </c>
      <c r="BY1" s="21" t="s">
        <v>374</v>
      </c>
      <c r="BZ1" s="21" t="s">
        <v>375</v>
      </c>
      <c r="CA1" s="21" t="s">
        <v>376</v>
      </c>
      <c r="CB1" s="21" t="s">
        <v>377</v>
      </c>
      <c r="CC1" s="21" t="s">
        <v>380</v>
      </c>
      <c r="CD1" s="21" t="s">
        <v>648</v>
      </c>
      <c r="CE1" s="21" t="s">
        <v>649</v>
      </c>
      <c r="CF1" s="21" t="s">
        <v>382</v>
      </c>
      <c r="CG1" s="21" t="s">
        <v>383</v>
      </c>
      <c r="CH1" s="21" t="s">
        <v>650</v>
      </c>
      <c r="CI1" s="21" t="s">
        <v>651</v>
      </c>
      <c r="CJ1" s="21" t="s">
        <v>652</v>
      </c>
      <c r="CK1" s="21" t="s">
        <v>398</v>
      </c>
      <c r="CL1" s="21" t="s">
        <v>399</v>
      </c>
      <c r="CM1" s="21" t="s">
        <v>400</v>
      </c>
      <c r="CN1" s="21" t="s">
        <v>401</v>
      </c>
      <c r="CO1" s="21" t="s">
        <v>402</v>
      </c>
      <c r="CP1" s="21" t="s">
        <v>403</v>
      </c>
      <c r="CQ1" s="21" t="s">
        <v>404</v>
      </c>
      <c r="CR1" s="21" t="s">
        <v>653</v>
      </c>
      <c r="CS1" s="21" t="s">
        <v>654</v>
      </c>
      <c r="CT1" s="21" t="s">
        <v>405</v>
      </c>
      <c r="CU1" s="21" t="s">
        <v>406</v>
      </c>
      <c r="CV1" s="21" t="s">
        <v>655</v>
      </c>
      <c r="CW1" s="21" t="s">
        <v>656</v>
      </c>
      <c r="CX1" s="21" t="s">
        <v>657</v>
      </c>
      <c r="CY1" s="21" t="s">
        <v>658</v>
      </c>
      <c r="CZ1" s="21" t="s">
        <v>659</v>
      </c>
      <c r="DA1" s="21" t="s">
        <v>660</v>
      </c>
      <c r="DB1" s="21" t="s">
        <v>661</v>
      </c>
      <c r="DC1" s="21" t="s">
        <v>662</v>
      </c>
      <c r="DD1" s="21" t="s">
        <v>663</v>
      </c>
      <c r="DE1" s="21" t="s">
        <v>664</v>
      </c>
      <c r="DF1" s="21" t="s">
        <v>665</v>
      </c>
      <c r="DG1" s="21" t="s">
        <v>666</v>
      </c>
      <c r="DH1" s="21" t="s">
        <v>667</v>
      </c>
      <c r="DI1" s="21" t="s">
        <v>668</v>
      </c>
      <c r="DJ1" s="21" t="s">
        <v>669</v>
      </c>
      <c r="DK1" s="21" t="s">
        <v>670</v>
      </c>
      <c r="DL1" s="21" t="s">
        <v>671</v>
      </c>
      <c r="DM1" s="21" t="s">
        <v>672</v>
      </c>
      <c r="DN1" s="21" t="s">
        <v>673</v>
      </c>
      <c r="DO1" s="21" t="s">
        <v>674</v>
      </c>
      <c r="DP1" s="21" t="s">
        <v>427</v>
      </c>
      <c r="DQ1" s="21" t="s">
        <v>428</v>
      </c>
      <c r="DR1" s="21" t="s">
        <v>429</v>
      </c>
      <c r="DS1" s="21" t="s">
        <v>430</v>
      </c>
      <c r="DT1" s="21" t="s">
        <v>431</v>
      </c>
      <c r="DU1" s="21" t="s">
        <v>432</v>
      </c>
      <c r="DV1" s="21" t="s">
        <v>433</v>
      </c>
      <c r="DW1" s="21" t="s">
        <v>434</v>
      </c>
      <c r="DX1" s="21" t="s">
        <v>435</v>
      </c>
    </row>
    <row r="2" customFormat="false" ht="15" hidden="false" customHeight="false" outlineLevel="0" collapsed="false">
      <c r="A2" s="0" t="s">
        <v>675</v>
      </c>
      <c r="B2" s="0" t="s">
        <v>676</v>
      </c>
      <c r="D2" s="0" t="s">
        <v>677</v>
      </c>
      <c r="E2" s="0" t="s">
        <v>678</v>
      </c>
      <c r="F2" s="0" t="s">
        <v>679</v>
      </c>
      <c r="G2" s="32" t="s">
        <v>453</v>
      </c>
      <c r="H2" s="33" t="n">
        <v>46322</v>
      </c>
      <c r="I2" s="32" t="s">
        <v>454</v>
      </c>
      <c r="J2" s="32" t="s">
        <v>680</v>
      </c>
      <c r="K2" s="0" t="n">
        <v>1000</v>
      </c>
      <c r="L2" s="0" t="n">
        <v>1500</v>
      </c>
      <c r="M2" s="32" t="s">
        <v>681</v>
      </c>
      <c r="N2" s="32" t="s">
        <v>682</v>
      </c>
      <c r="O2" s="32" t="s">
        <v>460</v>
      </c>
      <c r="P2" s="32" t="s">
        <v>457</v>
      </c>
      <c r="Q2" s="32" t="s">
        <v>683</v>
      </c>
      <c r="R2" s="0" t="n">
        <v>500</v>
      </c>
      <c r="S2" s="32" t="s">
        <v>684</v>
      </c>
      <c r="U2" s="32" t="s">
        <v>460</v>
      </c>
      <c r="V2" s="0" t="n">
        <v>800</v>
      </c>
      <c r="W2" s="32" t="s">
        <v>685</v>
      </c>
      <c r="X2" s="32" t="s">
        <v>686</v>
      </c>
      <c r="Y2" s="32" t="s">
        <v>687</v>
      </c>
      <c r="Z2" s="32" t="s">
        <v>688</v>
      </c>
      <c r="AA2" s="32" t="s">
        <v>689</v>
      </c>
      <c r="AB2" s="32" t="s">
        <v>460</v>
      </c>
      <c r="AC2" s="32" t="s">
        <v>460</v>
      </c>
      <c r="AD2" s="32" t="s">
        <v>460</v>
      </c>
      <c r="AE2" s="32" t="s">
        <v>460</v>
      </c>
      <c r="AF2" s="32" t="s">
        <v>460</v>
      </c>
      <c r="AG2" s="32" t="s">
        <v>460</v>
      </c>
      <c r="AH2" s="32" t="s">
        <v>690</v>
      </c>
      <c r="AI2" s="32" t="s">
        <v>460</v>
      </c>
      <c r="AJ2" s="32" t="s">
        <v>106</v>
      </c>
      <c r="AK2" s="32" t="s">
        <v>116</v>
      </c>
      <c r="AM2" s="32" t="s">
        <v>691</v>
      </c>
      <c r="AN2" s="32" t="s">
        <v>460</v>
      </c>
      <c r="AO2" s="32" t="s">
        <v>460</v>
      </c>
      <c r="AP2" s="0" t="n">
        <v>0</v>
      </c>
      <c r="AR2" s="32" t="s">
        <v>460</v>
      </c>
      <c r="AS2" s="0" t="n">
        <v>10</v>
      </c>
      <c r="AT2" s="32" t="s">
        <v>460</v>
      </c>
      <c r="AV2" s="34" t="str">
        <f aca="false">IF(TRIM($A2)="","",IF(AND(LEFT($A2,6)="SAMPLE",Config!$B$19&lt;&gt;"Y"),"",IF(NOT(ISNUMBER(H2)),"call_date is blank or not a date",IF(Sync!$D$5="","Clay paste is empty or has no row_id column: paste the Clay export on Clay_Brands",IF(CM2="","row_id not found in the Clay paste: add the Clay row or fix the row_id",IF(AND(ISNUMBER(CO2),CO2&gt;=1,CO2&lt;=5),"Clay status is "&amp;CN2&amp;": set call_done or later",IF(AND(BA2=1,CP2&lt;&gt;CB2),"Clay yes_in_principle should be "&amp;CB2,IF(AND(BA2=1,CQ2&lt;&gt;H2),"Clay call_date should be "&amp;TEXT(H2,"yyyy-mm-dd"),""))))))))</f>
        <v/>
      </c>
      <c r="AW2" s="23" t="str">
        <f aca="false">IF(TRIM($A2)="","",IF(TRIM(C2)&lt;&gt;"",SUBSTITUTE(SUBSTITUTE(SUBSTITUTE(SUBSTITUTE(SUBSTITUTE(SUBSTITUTE(LOWER(TRIM(C2)),"~",""),"*",""),"?",""),"&lt;",""),"&gt;",""),"=",""),IF(DS2&lt;&gt;"",DS2,IFERROR(INDEX($DS$2:$DS$201,MATCH(DR2,$DT$2:$DT$201,0)),DR2))))</f>
        <v>sample brand 01</v>
      </c>
      <c r="AX2" s="23" t="n">
        <f aca="false">ROW()</f>
        <v>2</v>
      </c>
      <c r="AY2" s="23" t="n">
        <f aca="false">IF(AND(TRIM($A2)&lt;&gt;"",ISNUMBER(H2)),IF(AND(LEFT($A2,6)="SAMPLE",Config!$B$19&lt;&gt;"Y"),0,1),0)</f>
        <v>1</v>
      </c>
      <c r="AZ2" s="23" t="n">
        <f aca="false">IF(AY2=1,IF(COUNTIFS($AW$2:$AW$201,AW2,$AY$2:$AY$201,1,$H$2:$H$201,"&lt;"&amp;H2)+COUNTIFS($AW$2:$AW$201,AW2,$AY$2:$AY$201,1,$H$2:$H$201,H2,$AX$2:$AX$201,"&lt;"&amp;AX2)=0,1,0),0)</f>
        <v>1</v>
      </c>
      <c r="BA2" s="23" t="n">
        <f aca="false">IF(AY2=1,IF(COUNTIFS($A$2:$A$201,$A2,$AY$2:$AY$201,1,$H$2:$H$201,"&gt;"&amp;H2)+COUNTIFS($A$2:$A$201,$A2,$AY$2:$AY$201,1,$H$2:$H$201,H2,$AX$2:$AX$201,"&gt;"&amp;AX2)=0,1,0),0)</f>
        <v>1</v>
      </c>
      <c r="BB2" s="23" t="n">
        <f aca="false">IF(AND(AY2=1,O2="Y",MAX(N(R2),N(V2))&gt;=Config!$B$14),1,0)</f>
        <v>1</v>
      </c>
      <c r="BC2" s="23" t="n">
        <f aca="false">IF(BB2=1,IF(COUNTIFS($AW$2:$AW$201,AW2,$BB$2:$BB$201,1,$H$2:$H$201,"&lt;"&amp;H2)+COUNTIFS($AW$2:$AW$201,AW2,$BB$2:$BB$201,1,$H$2:$H$201,H2,$AX$2:$AX$201,"&lt;"&amp;AX2)=0,1,0),0)</f>
        <v>1</v>
      </c>
      <c r="BD2" s="23" t="n">
        <f aca="false">IF(AND(AY2=1,O2="Y",ISNUMBER(R2)),IF(R2&gt;=Config!$B$14,1,0),0)</f>
        <v>1</v>
      </c>
      <c r="BE2" s="23" t="n">
        <f aca="false">IF(BD2=1,IF(COUNTIFS($AW$2:$AW$201,AW2,$BD$2:$BD$201,1,$H$2:$H$201,"&lt;"&amp;H2)+COUNTIFS($AW$2:$AW$201,AW2,$BD$2:$BD$201,1,$H$2:$H$201,H2,$AX$2:$AX$201,"&lt;"&amp;AX2)=0,1,0),0)</f>
        <v>1</v>
      </c>
      <c r="BF2" s="23" t="n">
        <f aca="false">IF(AND(AY2=1,O2&lt;&gt;"Y",MAX(N(R2),N(V2))&gt;=Config!$B$14),1,0)</f>
        <v>0</v>
      </c>
      <c r="BG2" s="23" t="n">
        <f aca="false">IF(BF2=1,IF(COUNTIFS($AW$2:$AW$201,AW2,$BF$2:$BF$201,1,$H$2:$H$201,"&lt;"&amp;H2)+COUNTIFS($AW$2:$AW$201,AW2,$BF$2:$BF$201,1,$H$2:$H$201,H2,$AX$2:$AX$201,"&lt;"&amp;AX2)=0,1,0),0)</f>
        <v>0</v>
      </c>
      <c r="BH2" s="23" t="n">
        <f aca="false">IF(AND(AY2=1,ISNUMBER(R2)),1,0)</f>
        <v>1</v>
      </c>
      <c r="BI2" s="23" t="n">
        <f aca="false">IF(BH2=1,IF(COUNTIFS($AW$2:$AW$201,AW2,$BH$2:$BH$201,1,$H$2:$H$201,"&lt;"&amp;H2)+COUNTIFS($AW$2:$AW$201,AW2,$BH$2:$BH$201,1,$H$2:$H$201,H2,$AX$2:$AX$201,"&lt;"&amp;AX2)=0,1,0),0)</f>
        <v>1</v>
      </c>
      <c r="BJ2" s="23" t="n">
        <f aca="false">IF(AND(BI2=1,INT(N(H2))&lt;=Config!$B$6),R2,"")</f>
        <v>500</v>
      </c>
      <c r="BK2" s="23" t="n">
        <f aca="false">IF(AND(BI2=1,INT(N(H2))&lt;=Config!$B$7),R2,"")</f>
        <v>500</v>
      </c>
      <c r="BL2" s="23" t="n">
        <f aca="false">IF(AND(BI2=1,INT(N(H2))&lt;=Config!$B$8),R2,"")</f>
        <v>500</v>
      </c>
      <c r="BM2" s="23" t="n">
        <f aca="false">IF(AND(BI2=1,INT(N(H2))&lt;=Config!$B$5),R2,"")</f>
        <v>500</v>
      </c>
      <c r="BN2" s="23" t="n">
        <f aca="false">IF(AND(AY2=1,ISNUMBER(V2)),1,0)</f>
        <v>1</v>
      </c>
      <c r="BO2" s="23" t="n">
        <f aca="false">IF(BN2=1,IF(COUNTIFS($AW$2:$AW$201,AW2,$BN$2:$BN$201,1,$H$2:$H$201,"&lt;"&amp;H2)+COUNTIFS($AW$2:$AW$201,AW2,$BN$2:$BN$201,1,$H$2:$H$201,H2,$AX$2:$AX$201,"&lt;"&amp;AX2)=0,1,0),0)</f>
        <v>1</v>
      </c>
      <c r="BP2" s="23" t="n">
        <f aca="false">IF(AND(BO2=1,INT(N(H2))&lt;=Config!$B$6),V2,"")</f>
        <v>800</v>
      </c>
      <c r="BQ2" s="23" t="n">
        <f aca="false">IF(AND(BO2=1,INT(N(H2))&lt;=Config!$B$7),V2,"")</f>
        <v>800</v>
      </c>
      <c r="BR2" s="23" t="n">
        <f aca="false">IF(AND(BO2=1,INT(N(H2))&lt;=Config!$B$8),V2,"")</f>
        <v>800</v>
      </c>
      <c r="BS2" s="23" t="n">
        <f aca="false">IF(AND(BO2=1,INT(N(H2))&lt;=Config!$B$5),V2,"")</f>
        <v>800</v>
      </c>
      <c r="BT2" s="23" t="n">
        <f aca="false">IF(AND(AY2=1,ISNUMBER(K2)),1,0)</f>
        <v>1</v>
      </c>
      <c r="BU2" s="23" t="n">
        <f aca="false">IF(BT2=1,IF(COUNTIFS($AW$2:$AW$201,AW2,$BT$2:$BT$201,1,$H$2:$H$201,"&lt;"&amp;H2)+COUNTIFS($AW$2:$AW$201,AW2,$BT$2:$BT$201,1,$H$2:$H$201,H2,$AX$2:$AX$201,"&lt;"&amp;AX2)=0,1,0),0)</f>
        <v>1</v>
      </c>
      <c r="BV2" s="23" t="n">
        <f aca="false">IF(AND(BU2=1,INT(N(H2))&lt;=Config!$B$5),K2,"")</f>
        <v>1000</v>
      </c>
      <c r="BW2" s="23" t="n">
        <f aca="false">IF(AND(AY2=1,OR(AND(ISNUMBER(R2),TRIM(S2)=""),AND(ISNUMBER(V2),TRIM(W2)=""))),1,0)</f>
        <v>0</v>
      </c>
      <c r="BX2" s="23" t="str">
        <f aca="false">IF(AY2=1,AJ2&amp;"","")</f>
        <v>price_per_sample</v>
      </c>
      <c r="BY2" s="23" t="str">
        <f aca="false">IF(AY2=1,AK2&amp;"","")</f>
        <v>what_we_get</v>
      </c>
      <c r="BZ2" s="23" t="str">
        <f aca="false">IF(AY2=1,AL2&amp;"","")</f>
        <v/>
      </c>
      <c r="CA2" s="23" t="n">
        <f aca="false">IF(AND(AY2=1,ISNUMBER(AS2),INT(N(H2))&lt;=Config!$B$5),AS2,"")</f>
        <v>10</v>
      </c>
      <c r="CB2" s="23" t="str">
        <f aca="false">IF(AY2=1,IF(COUNTIFS($A$2:$A$201,$A2,$CU$2:$CU$201,1,$AN$2:$AN$201,"Y")&gt;0,"Y","N"),"")</f>
        <v>Y</v>
      </c>
      <c r="CC2" s="23" t="n">
        <f aca="false">IF(AND(AY2=1,AN2="Y"),IF(COUNTIFS($AW$2:$AW$201,AW2,$AN$2:$AN$201,"Y",$AY$2:$AY$201,1,$H$2:$H$201,"&lt;"&amp;H2)+COUNTIFS($AW$2:$AW$201,AW2,$AN$2:$AN$201,"Y",$AY$2:$AY$201,1,$H$2:$H$201,H2,$AX$2:$AX$201,"&lt;"&amp;AX2)=0,1,0),0)</f>
        <v>1</v>
      </c>
      <c r="CD2" s="23" t="n">
        <f aca="false">IF(AND(AY2=1,AB2="Y",AC2="Y",AD2="Y",AE2="Y",AF2="Y",AG2="Y",AI2="Y",TRIM(AH2)&lt;&gt;""),1,0)</f>
        <v>1</v>
      </c>
      <c r="CE2" s="23" t="n">
        <f aca="false">IF(CD2=1,IF(COUNTIFS($AW$2:$AW$201,AW2,$CD$2:$CD$201,1,$H$2:$H$201,"&lt;"&amp;H2)+COUNTIFS($AW$2:$AW$201,AW2,$CD$2:$CD$201,1,$H$2:$H$201,H2,$AX$2:$AX$201,"&lt;"&amp;AX2)=0,1,0),0)</f>
        <v>1</v>
      </c>
      <c r="CF2" s="23" t="n">
        <f aca="false">IF(AND(AY2=1,AO2="Y"),1,0)</f>
        <v>1</v>
      </c>
      <c r="CG2" s="23" t="n">
        <f aca="false">IF(CF2=1,IF(COUNTIFS($AW$2:$AW$201,AW2,$CF$2:$CF$201,1,$H$2:$H$201,"&lt;"&amp;H2)+COUNTIFS($AW$2:$AW$201,AW2,$CF$2:$CF$201,1,$H$2:$H$201,H2,$AX$2:$AX$201,"&lt;"&amp;AX2)=0,1,0),0)</f>
        <v>1</v>
      </c>
      <c r="CH2" s="23" t="n">
        <f aca="false">IF(AND(AY2=1,P2="Y"),1,0)</f>
        <v>0</v>
      </c>
      <c r="CI2" s="23" t="n">
        <f aca="false">IF(CH2=1,IF(COUNTIFS($AW$2:$AW$201,AW2,$CH$2:$CH$201,1,$H$2:$H$201,"&lt;"&amp;H2)+COUNTIFS($AW$2:$AW$201,AW2,$CH$2:$CH$201,1,$H$2:$H$201,H2,$AX$2:$AX$201,"&lt;"&amp;AX2)=0,1,0),0)</f>
        <v>0</v>
      </c>
      <c r="CJ2" s="23" t="n">
        <f aca="false">IF(AND(BU2=1,INT(N(H2))&lt;=Config!$B$5),L2,"")</f>
        <v>1500</v>
      </c>
      <c r="CK2" s="23" t="n">
        <f aca="false">IF(AND(AY2=1,AR2="Y"),1,0)</f>
        <v>1</v>
      </c>
      <c r="CL2" s="23" t="n">
        <f aca="false">IF(CK2=1,IF(COUNTIFS($AW$2:$AW$201,AW2,$CK$2:$CK$201,1,$H$2:$H$201,"&lt;"&amp;H2)+COUNTIFS($AW$2:$AW$201,AW2,$CK$2:$CK$201,1,$H$2:$H$201,H2,$AX$2:$AX$201,"&lt;"&amp;AX2)=0,1,0),0)</f>
        <v>1</v>
      </c>
      <c r="CM2" s="23" t="n">
        <f aca="false">IF(AY2=1,IFERROR(MATCH($A2,INDEX(Clay_Brands!$A$2:$FZ$601,0,Sync!$D$5),0),""),"")</f>
        <v>1</v>
      </c>
      <c r="CN2" s="23" t="str">
        <f aca="false">IF(CM2="","",IFERROR(INDEX(Clay_Brands!$A$2:$FZ$601,CM2,Sync!$D$7)&amp;"",""))</f>
        <v>paid</v>
      </c>
      <c r="CO2" s="23" t="n">
        <f aca="false">IF(CN2="","",IFERROR(INDEX(Lists!$K$2:$K$15,MATCH(CN2,Lists!$J$2:$J$15,0)),""))</f>
        <v>9</v>
      </c>
      <c r="CP2" s="23" t="str">
        <f aca="false">IF(CM2="","",IFERROR(INDEX(Clay_Brands!$A$2:$FZ$601,CM2,Sync!$D$17)&amp;"",""))</f>
        <v>Y</v>
      </c>
      <c r="CQ2" s="35" t="n">
        <f aca="false">IF(CM2="","",IFERROR(N(INDEX(Clay_Brands!$A$2:$FZ$601,CM2,Sync!$D$16)),0))</f>
        <v>46322</v>
      </c>
      <c r="CR2" s="23" t="n">
        <f aca="false">IF(AND(AY2=1,OR(O2="N",AND(OR(ISNUMBER(R2),ISNUMBER(V2)),MAX(N(R2),N(V2))&lt;Config!$B$14))),1,0)</f>
        <v>0</v>
      </c>
      <c r="CS2" s="23" t="n">
        <f aca="false">IF(OR(BB2=1,CR2=1),1,0)</f>
        <v>1</v>
      </c>
      <c r="CT2" s="23" t="n">
        <f aca="false">IF(AND(AY2=1,OR(AN2="Y",AN2="N",AN2="maybe")),1,0)</f>
        <v>1</v>
      </c>
      <c r="CU2" s="23" t="n">
        <f aca="false">IF(AND(CT2=1),IF(COUNTIFS($A$2:$A$201,$A2,$CT$2:$CT$201,1,$H$2:$H$201,"&gt;"&amp;H2)+COUNTIFS($A$2:$A$201,$A2,$CT$2:$CT$201,1,$H$2:$H$201,H2,$AX$2:$AX$201,"&gt;"&amp;AX2)=0,1,0),0)</f>
        <v>1</v>
      </c>
      <c r="CV2" s="23" t="n">
        <f aca="false">IF(AND(CS2=1,INT(N(H2))&lt;=Config!$B$6),IF(COUNTIFS($AW$2:$AW$201,AW2,$CS$2:$CS$201,1,$H$2:$H$201,"&gt;"&amp;H2,$H$2:$H$201,"&lt;"&amp;(Config!$B$6+1))+COUNTIFS($AW$2:$AW$201,AW2,$CS$2:$CS$201,1,$H$2:$H$201,H2,$AX$2:$AX$201,"&gt;"&amp;AX2)=0,1,0),0)</f>
        <v>1</v>
      </c>
      <c r="CW2" s="23" t="n">
        <f aca="false">IF(AND(CS2=1,INT(N(H2))&lt;=Config!$B$7),IF(COUNTIFS($AW$2:$AW$201,AW2,$CS$2:$CS$201,1,$H$2:$H$201,"&gt;"&amp;H2,$H$2:$H$201,"&lt;"&amp;(Config!$B$7+1))+COUNTIFS($AW$2:$AW$201,AW2,$CS$2:$CS$201,1,$H$2:$H$201,H2,$AX$2:$AX$201,"&gt;"&amp;AX2)=0,1,0),0)</f>
        <v>1</v>
      </c>
      <c r="CX2" s="23" t="n">
        <f aca="false">IF(AND(CS2=1,INT(N(H2))&lt;=Config!$B$8),IF(COUNTIFS($AW$2:$AW$201,AW2,$CS$2:$CS$201,1,$H$2:$H$201,"&gt;"&amp;H2,$H$2:$H$201,"&lt;"&amp;(Config!$B$8+1))+COUNTIFS($AW$2:$AW$201,AW2,$CS$2:$CS$201,1,$H$2:$H$201,H2,$AX$2:$AX$201,"&gt;"&amp;AX2)=0,1,0),0)</f>
        <v>1</v>
      </c>
      <c r="CY2" s="23" t="n">
        <f aca="false">IF(AND(CS2=1,INT(N(H2))&lt;=Config!$B$5),IF(COUNTIFS($AW$2:$AW$201,AW2,$CS$2:$CS$201,1,$H$2:$H$201,"&gt;"&amp;H2,$H$2:$H$201,"&lt;"&amp;(Config!$B$5+1))+COUNTIFS($AW$2:$AW$201,AW2,$CS$2:$CS$201,1,$H$2:$H$201,H2,$AX$2:$AX$201,"&gt;"&amp;AX2)=0,1,0),0)</f>
        <v>1</v>
      </c>
      <c r="CZ2" s="23" t="n">
        <f aca="false">IF(AY2=1,IF(COUNTIFS($AW$2:$AW$201,AW2,$CV$2:$CV$201,1,$BB$2:$BB$201,1)&gt;0,1,0),0)</f>
        <v>1</v>
      </c>
      <c r="DA2" s="23" t="n">
        <f aca="false">IF(AY2=1,IF(COUNTIFS($AW$2:$AW$201,AW2,$CW$2:$CW$201,1,$BB$2:$BB$201,1)&gt;0,1,0),0)</f>
        <v>1</v>
      </c>
      <c r="DB2" s="23" t="n">
        <f aca="false">IF(AY2=1,IF(COUNTIFS($AW$2:$AW$201,AW2,$CX$2:$CX$201,1,$BB$2:$BB$201,1)&gt;0,1,0),0)</f>
        <v>1</v>
      </c>
      <c r="DC2" s="23" t="n">
        <f aca="false">IF(AY2=1,IF(COUNTIFS($AW$2:$AW$201,AW2,$CY$2:$CY$201,1,$BB$2:$BB$201,1)&gt;0,1,0),0)</f>
        <v>1</v>
      </c>
      <c r="DD2" s="23" t="n">
        <f aca="false">IF(AND(BC2=1,INT(N(H2))&lt;=Config!$B$6,CZ2=1),1,0)</f>
        <v>1</v>
      </c>
      <c r="DE2" s="23" t="n">
        <f aca="false">IF(AND(BC2=1,INT(N(H2))&lt;=Config!$B$7,DA2=1),1,0)</f>
        <v>1</v>
      </c>
      <c r="DF2" s="23" t="n">
        <f aca="false">IF(AND(BC2=1,INT(N(H2))&lt;=Config!$B$8,DB2=1),1,0)</f>
        <v>1</v>
      </c>
      <c r="DG2" s="23" t="n">
        <f aca="false">IF(AND(BC2=1,INT(N(H2))&lt;=Config!$B$5,DC2=1),1,0)</f>
        <v>1</v>
      </c>
      <c r="DH2" s="23" t="n">
        <f aca="false">IF(AND(BE2=1,INT(N(H2))&lt;=Config!$B$6,CZ2=1),1,0)</f>
        <v>1</v>
      </c>
      <c r="DI2" s="23" t="n">
        <f aca="false">IF(AND(BE2=1,INT(N(H2))&lt;=Config!$B$7,DA2=1),1,0)</f>
        <v>1</v>
      </c>
      <c r="DJ2" s="23" t="n">
        <f aca="false">IF(AND(BE2=1,INT(N(H2))&lt;=Config!$B$8,DB2=1),1,0)</f>
        <v>1</v>
      </c>
      <c r="DK2" s="23" t="n">
        <f aca="false">IF(AND(BE2=1,INT(N(H2))&lt;=Config!$B$5,DC2=1),1,0)</f>
        <v>1</v>
      </c>
      <c r="DL2" s="23" t="n">
        <f aca="false">IF(AND(BC2=1,INT(N(H2))&lt;=Config!$B$6,CZ2=0),1,0)</f>
        <v>0</v>
      </c>
      <c r="DM2" s="23" t="n">
        <f aca="false">IF(AND(BC2=1,INT(N(H2))&lt;=Config!$B$7,DA2=0),1,0)</f>
        <v>0</v>
      </c>
      <c r="DN2" s="23" t="n">
        <f aca="false">IF(AND(BC2=1,INT(N(H2))&lt;=Config!$B$8,DB2=0),1,0)</f>
        <v>0</v>
      </c>
      <c r="DO2" s="23" t="n">
        <f aca="false">IF(AND(BC2=1,INT(N(H2))&lt;=Config!$B$5,DC2=0),1,0)</f>
        <v>0</v>
      </c>
      <c r="DP2" s="23" t="n">
        <f aca="false">IF(TRIM($A2)="",0,ISTEXT(K2)+ISTEXT(L2)+ISTEXT(R2)+ISTEXT(V2)+ISTEXT(AP2)+ISTEXT(AS2))</f>
        <v>0</v>
      </c>
      <c r="DQ2" s="23" t="n">
        <f aca="false">IF(AY2=1,IF(H2&lt;&gt;INT(H2),1,0),0)</f>
        <v>0</v>
      </c>
      <c r="DR2" s="23" t="str">
        <f aca="false">IF(TRIM($A2)="","",IF(TRIM(B2)="",SUBSTITUTE(SUBSTITUTE(SUBSTITUTE(SUBSTITUTE(SUBSTITUTE(SUBSTITUTE(LOWER(TRIM($A2)),"~",""),"*",""),"?",""),"&lt;",""),"&gt;",""),"=",""),SUBSTITUTE(SUBSTITUTE(SUBSTITUTE(SUBSTITUTE(SUBSTITUTE(SUBSTITUTE(LOWER(TRIM(B2)),"~",""),"*",""),"?",""),"&lt;",""),"&gt;",""),"=","")))</f>
        <v>sample brand 01</v>
      </c>
      <c r="DS2" s="23" t="str">
        <f aca="false">IF(CM2="","",IFERROR(IF(LEFT(LOWER(TRIM(INDEX(Clay_Brands!$A$2:$FZ$601,CM2,Sync!$D$19)&amp;"")),4)="grp-",SUBSTITUTE(SUBSTITUTE(SUBSTITUTE(SUBSTITUTE(SUBSTITUTE(SUBSTITUTE(LOWER(TRIM(INDEX(Clay_Brands!$A$2:$FZ$601,CM2,Sync!$D$19)&amp;"")),"~",""),"*",""),"?",""),"&lt;",""),"&gt;",""),"=",""),""),""))</f>
        <v/>
      </c>
      <c r="DT2" s="23" t="str">
        <f aca="false">IF(DS2&lt;&gt;"",DR2,"")</f>
        <v/>
      </c>
      <c r="DU2" s="23" t="str">
        <f aca="false">IF(AZ2=1,AW2,"")</f>
        <v>sample brand 01</v>
      </c>
      <c r="DV2" s="23" t="str">
        <f aca="false">IF(TRIM($A2)="","",IFERROR(INDEX($A$2:$A$201,MATCH(AW2,$DU$2:$DU$201,0))&amp;"",$A2&amp;""))</f>
        <v>SAMPLE-B-001</v>
      </c>
      <c r="DW2" s="23" t="n">
        <f aca="false">IF(AY2=1,IF(COUNTIFS($A$2:$A$201,$A2,$AY$2:$AY$201,1,$H$2:$H$201,"&lt;"&amp;H2)+COUNTIFS($A$2:$A$201,$A2,$AY$2:$AY$201,1,$H$2:$H$201,H2,$AX$2:$AX$201,"&lt;"&amp;AX2)=0,1,0),0)</f>
        <v>1</v>
      </c>
      <c r="DX2" s="23" t="n">
        <f aca="false">IF(AZ2=1,IF(COUNTIFS($AW$2:$AW$201,AW2,$DW$2:$DW$201,1)&gt;1,1,0),0)</f>
        <v>0</v>
      </c>
    </row>
    <row r="3" customFormat="false" ht="15" hidden="false" customHeight="false" outlineLevel="0" collapsed="false">
      <c r="A3" s="0" t="s">
        <v>692</v>
      </c>
      <c r="B3" s="0" t="s">
        <v>693</v>
      </c>
      <c r="D3" s="0" t="s">
        <v>694</v>
      </c>
      <c r="E3" s="0" t="s">
        <v>695</v>
      </c>
      <c r="F3" s="0" t="s">
        <v>679</v>
      </c>
      <c r="G3" s="32" t="s">
        <v>453</v>
      </c>
      <c r="H3" s="33" t="n">
        <v>46323</v>
      </c>
      <c r="I3" s="32" t="s">
        <v>454</v>
      </c>
      <c r="J3" s="32" t="s">
        <v>680</v>
      </c>
      <c r="K3" s="0" t="n">
        <v>2000</v>
      </c>
      <c r="L3" s="0" t="n">
        <v>2500</v>
      </c>
      <c r="M3" s="32" t="s">
        <v>681</v>
      </c>
      <c r="N3" s="32" t="s">
        <v>682</v>
      </c>
      <c r="O3" s="32" t="s">
        <v>460</v>
      </c>
      <c r="P3" s="32" t="s">
        <v>457</v>
      </c>
      <c r="Q3" s="32" t="s">
        <v>683</v>
      </c>
      <c r="R3" s="0" t="n">
        <v>250</v>
      </c>
      <c r="S3" s="32" t="s">
        <v>696</v>
      </c>
      <c r="U3" s="32" t="s">
        <v>460</v>
      </c>
      <c r="V3" s="0" t="n">
        <v>600</v>
      </c>
      <c r="W3" s="32" t="s">
        <v>697</v>
      </c>
      <c r="X3" s="32" t="s">
        <v>686</v>
      </c>
      <c r="Y3" s="32" t="s">
        <v>698</v>
      </c>
      <c r="Z3" s="32" t="s">
        <v>688</v>
      </c>
      <c r="AA3" s="32" t="s">
        <v>689</v>
      </c>
      <c r="AB3" s="32" t="s">
        <v>460</v>
      </c>
      <c r="AC3" s="32" t="s">
        <v>460</v>
      </c>
      <c r="AD3" s="32" t="s">
        <v>460</v>
      </c>
      <c r="AE3" s="32" t="s">
        <v>460</v>
      </c>
      <c r="AF3" s="32" t="s">
        <v>460</v>
      </c>
      <c r="AG3" s="32" t="s">
        <v>460</v>
      </c>
      <c r="AI3" s="32" t="s">
        <v>460</v>
      </c>
      <c r="AJ3" s="32" t="s">
        <v>106</v>
      </c>
      <c r="AK3" s="32"/>
      <c r="AM3" s="32" t="s">
        <v>699</v>
      </c>
      <c r="AN3" s="32" t="s">
        <v>460</v>
      </c>
      <c r="AO3" s="32" t="s">
        <v>460</v>
      </c>
      <c r="AP3" s="0" t="n">
        <v>0</v>
      </c>
      <c r="AR3" s="32"/>
      <c r="AS3" s="0" t="n">
        <v>9</v>
      </c>
      <c r="AT3" s="32" t="s">
        <v>460</v>
      </c>
      <c r="AV3" s="34" t="str">
        <f aca="false">IF(TRIM($A3)="","",IF(AND(LEFT($A3,6)="SAMPLE",Config!$B$19&lt;&gt;"Y"),"",IF(NOT(ISNUMBER(H3)),"call_date is blank or not a date",IF(Sync!$D$5="","Clay paste is empty or has no row_id column: paste the Clay export on Clay_Brands",IF(CM3="","row_id not found in the Clay paste: add the Clay row or fix the row_id",IF(AND(ISNUMBER(CO3),CO3&gt;=1,CO3&lt;=5),"Clay status is "&amp;CN3&amp;": set call_done or later",IF(AND(BA3=1,CP3&lt;&gt;CB3),"Clay yes_in_principle should be "&amp;CB3,IF(AND(BA3=1,CQ3&lt;&gt;H3),"Clay call_date should be "&amp;TEXT(H3,"yyyy-mm-dd"),""))))))))</f>
        <v/>
      </c>
      <c r="AW3" s="23" t="str">
        <f aca="false">IF(TRIM($A3)="","",IF(TRIM(C3)&lt;&gt;"",SUBSTITUTE(SUBSTITUTE(SUBSTITUTE(SUBSTITUTE(SUBSTITUTE(SUBSTITUTE(LOWER(TRIM(C3)),"~",""),"*",""),"?",""),"&lt;",""),"&gt;",""),"=",""),IF(DS3&lt;&gt;"",DS3,IFERROR(INDEX($DS$2:$DS$201,MATCH(DR3,$DT$2:$DT$201,0)),DR3))))</f>
        <v>sample brand 02</v>
      </c>
      <c r="AX3" s="23" t="n">
        <f aca="false">ROW()</f>
        <v>3</v>
      </c>
      <c r="AY3" s="23" t="n">
        <f aca="false">IF(AND(TRIM($A3)&lt;&gt;"",ISNUMBER(H3)),IF(AND(LEFT($A3,6)="SAMPLE",Config!$B$19&lt;&gt;"Y"),0,1),0)</f>
        <v>1</v>
      </c>
      <c r="AZ3" s="23" t="n">
        <f aca="false">IF(AY3=1,IF(COUNTIFS($AW$2:$AW$201,AW3,$AY$2:$AY$201,1,$H$2:$H$201,"&lt;"&amp;H3)+COUNTIFS($AW$2:$AW$201,AW3,$AY$2:$AY$201,1,$H$2:$H$201,H3,$AX$2:$AX$201,"&lt;"&amp;AX3)=0,1,0),0)</f>
        <v>1</v>
      </c>
      <c r="BA3" s="23" t="n">
        <f aca="false">IF(AY3=1,IF(COUNTIFS($A$2:$A$201,$A3,$AY$2:$AY$201,1,$H$2:$H$201,"&gt;"&amp;H3)+COUNTIFS($A$2:$A$201,$A3,$AY$2:$AY$201,1,$H$2:$H$201,H3,$AX$2:$AX$201,"&gt;"&amp;AX3)=0,1,0),0)</f>
        <v>0</v>
      </c>
      <c r="BB3" s="23" t="n">
        <f aca="false">IF(AND(AY3=1,O3="Y",MAX(N(R3),N(V3))&gt;=Config!$B$14),1,0)</f>
        <v>1</v>
      </c>
      <c r="BC3" s="23" t="n">
        <f aca="false">IF(BB3=1,IF(COUNTIFS($AW$2:$AW$201,AW3,$BB$2:$BB$201,1,$H$2:$H$201,"&lt;"&amp;H3)+COUNTIFS($AW$2:$AW$201,AW3,$BB$2:$BB$201,1,$H$2:$H$201,H3,$AX$2:$AX$201,"&lt;"&amp;AX3)=0,1,0),0)</f>
        <v>1</v>
      </c>
      <c r="BD3" s="23" t="n">
        <f aca="false">IF(AND(AY3=1,O3="Y",ISNUMBER(R3)),IF(R3&gt;=Config!$B$14,1,0),0)</f>
        <v>0</v>
      </c>
      <c r="BE3" s="23" t="n">
        <f aca="false">IF(BD3=1,IF(COUNTIFS($AW$2:$AW$201,AW3,$BD$2:$BD$201,1,$H$2:$H$201,"&lt;"&amp;H3)+COUNTIFS($AW$2:$AW$201,AW3,$BD$2:$BD$201,1,$H$2:$H$201,H3,$AX$2:$AX$201,"&lt;"&amp;AX3)=0,1,0),0)</f>
        <v>0</v>
      </c>
      <c r="BF3" s="23" t="n">
        <f aca="false">IF(AND(AY3=1,O3&lt;&gt;"Y",MAX(N(R3),N(V3))&gt;=Config!$B$14),1,0)</f>
        <v>0</v>
      </c>
      <c r="BG3" s="23" t="n">
        <f aca="false">IF(BF3=1,IF(COUNTIFS($AW$2:$AW$201,AW3,$BF$2:$BF$201,1,$H$2:$H$201,"&lt;"&amp;H3)+COUNTIFS($AW$2:$AW$201,AW3,$BF$2:$BF$201,1,$H$2:$H$201,H3,$AX$2:$AX$201,"&lt;"&amp;AX3)=0,1,0),0)</f>
        <v>0</v>
      </c>
      <c r="BH3" s="23" t="n">
        <f aca="false">IF(AND(AY3=1,ISNUMBER(R3)),1,0)</f>
        <v>1</v>
      </c>
      <c r="BI3" s="23" t="n">
        <f aca="false">IF(BH3=1,IF(COUNTIFS($AW$2:$AW$201,AW3,$BH$2:$BH$201,1,$H$2:$H$201,"&lt;"&amp;H3)+COUNTIFS($AW$2:$AW$201,AW3,$BH$2:$BH$201,1,$H$2:$H$201,H3,$AX$2:$AX$201,"&lt;"&amp;AX3)=0,1,0),0)</f>
        <v>1</v>
      </c>
      <c r="BJ3" s="23" t="n">
        <f aca="false">IF(AND(BI3=1,INT(N(H3))&lt;=Config!$B$6),R3,"")</f>
        <v>250</v>
      </c>
      <c r="BK3" s="23" t="n">
        <f aca="false">IF(AND(BI3=1,INT(N(H3))&lt;=Config!$B$7),R3,"")</f>
        <v>250</v>
      </c>
      <c r="BL3" s="23" t="n">
        <f aca="false">IF(AND(BI3=1,INT(N(H3))&lt;=Config!$B$8),R3,"")</f>
        <v>250</v>
      </c>
      <c r="BM3" s="23" t="n">
        <f aca="false">IF(AND(BI3=1,INT(N(H3))&lt;=Config!$B$5),R3,"")</f>
        <v>250</v>
      </c>
      <c r="BN3" s="23" t="n">
        <f aca="false">IF(AND(AY3=1,ISNUMBER(V3)),1,0)</f>
        <v>1</v>
      </c>
      <c r="BO3" s="23" t="n">
        <f aca="false">IF(BN3=1,IF(COUNTIFS($AW$2:$AW$201,AW3,$BN$2:$BN$201,1,$H$2:$H$201,"&lt;"&amp;H3)+COUNTIFS($AW$2:$AW$201,AW3,$BN$2:$BN$201,1,$H$2:$H$201,H3,$AX$2:$AX$201,"&lt;"&amp;AX3)=0,1,0),0)</f>
        <v>1</v>
      </c>
      <c r="BP3" s="23" t="n">
        <f aca="false">IF(AND(BO3=1,INT(N(H3))&lt;=Config!$B$6),V3,"")</f>
        <v>600</v>
      </c>
      <c r="BQ3" s="23" t="n">
        <f aca="false">IF(AND(BO3=1,INT(N(H3))&lt;=Config!$B$7),V3,"")</f>
        <v>600</v>
      </c>
      <c r="BR3" s="23" t="n">
        <f aca="false">IF(AND(BO3=1,INT(N(H3))&lt;=Config!$B$8),V3,"")</f>
        <v>600</v>
      </c>
      <c r="BS3" s="23" t="n">
        <f aca="false">IF(AND(BO3=1,INT(N(H3))&lt;=Config!$B$5),V3,"")</f>
        <v>600</v>
      </c>
      <c r="BT3" s="23" t="n">
        <f aca="false">IF(AND(AY3=1,ISNUMBER(K3)),1,0)</f>
        <v>1</v>
      </c>
      <c r="BU3" s="23" t="n">
        <f aca="false">IF(BT3=1,IF(COUNTIFS($AW$2:$AW$201,AW3,$BT$2:$BT$201,1,$H$2:$H$201,"&lt;"&amp;H3)+COUNTIFS($AW$2:$AW$201,AW3,$BT$2:$BT$201,1,$H$2:$H$201,H3,$AX$2:$AX$201,"&lt;"&amp;AX3)=0,1,0),0)</f>
        <v>1</v>
      </c>
      <c r="BV3" s="23" t="n">
        <f aca="false">IF(AND(BU3=1,INT(N(H3))&lt;=Config!$B$5),K3,"")</f>
        <v>2000</v>
      </c>
      <c r="BW3" s="23" t="n">
        <f aca="false">IF(AND(AY3=1,OR(AND(ISNUMBER(R3),TRIM(S3)=""),AND(ISNUMBER(V3),TRIM(W3)=""))),1,0)</f>
        <v>0</v>
      </c>
      <c r="BX3" s="23" t="str">
        <f aca="false">IF(AY3=1,AJ3&amp;"","")</f>
        <v>price_per_sample</v>
      </c>
      <c r="BY3" s="23" t="str">
        <f aca="false">IF(AY3=1,AK3&amp;"","")</f>
        <v/>
      </c>
      <c r="BZ3" s="23" t="str">
        <f aca="false">IF(AY3=1,AL3&amp;"","")</f>
        <v/>
      </c>
      <c r="CA3" s="23" t="n">
        <f aca="false">IF(AND(AY3=1,ISNUMBER(AS3),INT(N(H3))&lt;=Config!$B$5),AS3,"")</f>
        <v>9</v>
      </c>
      <c r="CB3" s="23" t="str">
        <f aca="false">IF(AY3=1,IF(COUNTIFS($A$2:$A$201,$A3,$CU$2:$CU$201,1,$AN$2:$AN$201,"Y")&gt;0,"Y","N"),"")</f>
        <v>Y</v>
      </c>
      <c r="CC3" s="23" t="n">
        <f aca="false">IF(AND(AY3=1,AN3="Y"),IF(COUNTIFS($AW$2:$AW$201,AW3,$AN$2:$AN$201,"Y",$AY$2:$AY$201,1,$H$2:$H$201,"&lt;"&amp;H3)+COUNTIFS($AW$2:$AW$201,AW3,$AN$2:$AN$201,"Y",$AY$2:$AY$201,1,$H$2:$H$201,H3,$AX$2:$AX$201,"&lt;"&amp;AX3)=0,1,0),0)</f>
        <v>1</v>
      </c>
      <c r="CD3" s="23" t="n">
        <f aca="false">IF(AND(AY3=1,AB3="Y",AC3="Y",AD3="Y",AE3="Y",AF3="Y",AG3="Y",AI3="Y",TRIM(AH3)&lt;&gt;""),1,0)</f>
        <v>0</v>
      </c>
      <c r="CE3" s="23" t="n">
        <f aca="false">IF(CD3=1,IF(COUNTIFS($AW$2:$AW$201,AW3,$CD$2:$CD$201,1,$H$2:$H$201,"&lt;"&amp;H3)+COUNTIFS($AW$2:$AW$201,AW3,$CD$2:$CD$201,1,$H$2:$H$201,H3,$AX$2:$AX$201,"&lt;"&amp;AX3)=0,1,0),0)</f>
        <v>0</v>
      </c>
      <c r="CF3" s="23" t="n">
        <f aca="false">IF(AND(AY3=1,AO3="Y"),1,0)</f>
        <v>1</v>
      </c>
      <c r="CG3" s="23" t="n">
        <f aca="false">IF(CF3=1,IF(COUNTIFS($AW$2:$AW$201,AW3,$CF$2:$CF$201,1,$H$2:$H$201,"&lt;"&amp;H3)+COUNTIFS($AW$2:$AW$201,AW3,$CF$2:$CF$201,1,$H$2:$H$201,H3,$AX$2:$AX$201,"&lt;"&amp;AX3)=0,1,0),0)</f>
        <v>1</v>
      </c>
      <c r="CH3" s="23" t="n">
        <f aca="false">IF(AND(AY3=1,P3="Y"),1,0)</f>
        <v>0</v>
      </c>
      <c r="CI3" s="23" t="n">
        <f aca="false">IF(CH3=1,IF(COUNTIFS($AW$2:$AW$201,AW3,$CH$2:$CH$201,1,$H$2:$H$201,"&lt;"&amp;H3)+COUNTIFS($AW$2:$AW$201,AW3,$CH$2:$CH$201,1,$H$2:$H$201,H3,$AX$2:$AX$201,"&lt;"&amp;AX3)=0,1,0),0)</f>
        <v>0</v>
      </c>
      <c r="CJ3" s="23" t="n">
        <f aca="false">IF(AND(BU3=1,INT(N(H3))&lt;=Config!$B$5),L3,"")</f>
        <v>2500</v>
      </c>
      <c r="CK3" s="23" t="n">
        <f aca="false">IF(AND(AY3=1,AR3="Y"),1,0)</f>
        <v>0</v>
      </c>
      <c r="CL3" s="23" t="n">
        <f aca="false">IF(CK3=1,IF(COUNTIFS($AW$2:$AW$201,AW3,$CK$2:$CK$201,1,$H$2:$H$201,"&lt;"&amp;H3)+COUNTIFS($AW$2:$AW$201,AW3,$CK$2:$CK$201,1,$H$2:$H$201,H3,$AX$2:$AX$201,"&lt;"&amp;AX3)=0,1,0),0)</f>
        <v>0</v>
      </c>
      <c r="CM3" s="23" t="n">
        <f aca="false">IF(AY3=1,IFERROR(MATCH($A3,INDEX(Clay_Brands!$A$2:$FZ$601,0,Sync!$D$5),0),""),"")</f>
        <v>2</v>
      </c>
      <c r="CN3" s="23" t="str">
        <f aca="false">IF(CM3="","",IFERROR(INDEX(Clay_Brands!$A$2:$FZ$601,CM3,Sync!$D$7)&amp;"",""))</f>
        <v>yes_in_principle</v>
      </c>
      <c r="CO3" s="23" t="n">
        <f aca="false">IF(CN3="","",IFERROR(INDEX(Lists!$K$2:$K$15,MATCH(CN3,Lists!$J$2:$J$15,0)),""))</f>
        <v>7</v>
      </c>
      <c r="CP3" s="23" t="str">
        <f aca="false">IF(CM3="","",IFERROR(INDEX(Clay_Brands!$A$2:$FZ$601,CM3,Sync!$D$17)&amp;"",""))</f>
        <v>Y</v>
      </c>
      <c r="CQ3" s="35" t="n">
        <f aca="false">IF(CM3="","",IFERROR(N(INDEX(Clay_Brands!$A$2:$FZ$601,CM3,Sync!$D$16)),0))</f>
        <v>46338</v>
      </c>
      <c r="CR3" s="23" t="n">
        <f aca="false">IF(AND(AY3=1,OR(O3="N",AND(OR(ISNUMBER(R3),ISNUMBER(V3)),MAX(N(R3),N(V3))&lt;Config!$B$14))),1,0)</f>
        <v>0</v>
      </c>
      <c r="CS3" s="23" t="n">
        <f aca="false">IF(OR(BB3=1,CR3=1),1,0)</f>
        <v>1</v>
      </c>
      <c r="CT3" s="23" t="n">
        <f aca="false">IF(AND(AY3=1,OR(AN3="Y",AN3="N",AN3="maybe")),1,0)</f>
        <v>1</v>
      </c>
      <c r="CU3" s="23" t="n">
        <f aca="false">IF(AND(CT3=1),IF(COUNTIFS($A$2:$A$201,$A3,$CT$2:$CT$201,1,$H$2:$H$201,"&gt;"&amp;H3)+COUNTIFS($A$2:$A$201,$A3,$CT$2:$CT$201,1,$H$2:$H$201,H3,$AX$2:$AX$201,"&gt;"&amp;AX3)=0,1,0),0)</f>
        <v>0</v>
      </c>
      <c r="CV3" s="23" t="n">
        <f aca="false">IF(AND(CS3=1,INT(N(H3))&lt;=Config!$B$6),IF(COUNTIFS($AW$2:$AW$201,AW3,$CS$2:$CS$201,1,$H$2:$H$201,"&gt;"&amp;H3,$H$2:$H$201,"&lt;"&amp;(Config!$B$6+1))+COUNTIFS($AW$2:$AW$201,AW3,$CS$2:$CS$201,1,$H$2:$H$201,H3,$AX$2:$AX$201,"&gt;"&amp;AX3)=0,1,0),0)</f>
        <v>1</v>
      </c>
      <c r="CW3" s="23" t="n">
        <f aca="false">IF(AND(CS3=1,INT(N(H3))&lt;=Config!$B$7),IF(COUNTIFS($AW$2:$AW$201,AW3,$CS$2:$CS$201,1,$H$2:$H$201,"&gt;"&amp;H3,$H$2:$H$201,"&lt;"&amp;(Config!$B$7+1))+COUNTIFS($AW$2:$AW$201,AW3,$CS$2:$CS$201,1,$H$2:$H$201,H3,$AX$2:$AX$201,"&gt;"&amp;AX3)=0,1,0),0)</f>
        <v>1</v>
      </c>
      <c r="CX3" s="23" t="n">
        <f aca="false">IF(AND(CS3=1,INT(N(H3))&lt;=Config!$B$8),IF(COUNTIFS($AW$2:$AW$201,AW3,$CS$2:$CS$201,1,$H$2:$H$201,"&gt;"&amp;H3,$H$2:$H$201,"&lt;"&amp;(Config!$B$8+1))+COUNTIFS($AW$2:$AW$201,AW3,$CS$2:$CS$201,1,$H$2:$H$201,H3,$AX$2:$AX$201,"&gt;"&amp;AX3)=0,1,0),0)</f>
        <v>0</v>
      </c>
      <c r="CY3" s="23" t="n">
        <f aca="false">IF(AND(CS3=1,INT(N(H3))&lt;=Config!$B$5),IF(COUNTIFS($AW$2:$AW$201,AW3,$CS$2:$CS$201,1,$H$2:$H$201,"&gt;"&amp;H3,$H$2:$H$201,"&lt;"&amp;(Config!$B$5+1))+COUNTIFS($AW$2:$AW$201,AW3,$CS$2:$CS$201,1,$H$2:$H$201,H3,$AX$2:$AX$201,"&gt;"&amp;AX3)=0,1,0),0)</f>
        <v>0</v>
      </c>
      <c r="CZ3" s="23" t="n">
        <f aca="false">IF(AY3=1,IF(COUNTIFS($AW$2:$AW$201,AW3,$CV$2:$CV$201,1,$BB$2:$BB$201,1)&gt;0,1,0),0)</f>
        <v>1</v>
      </c>
      <c r="DA3" s="23" t="n">
        <f aca="false">IF(AY3=1,IF(COUNTIFS($AW$2:$AW$201,AW3,$CW$2:$CW$201,1,$BB$2:$BB$201,1)&gt;0,1,0),0)</f>
        <v>1</v>
      </c>
      <c r="DB3" s="23" t="n">
        <f aca="false">IF(AY3=1,IF(COUNTIFS($AW$2:$AW$201,AW3,$CX$2:$CX$201,1,$BB$2:$BB$201,1)&gt;0,1,0),0)</f>
        <v>1</v>
      </c>
      <c r="DC3" s="23" t="n">
        <f aca="false">IF(AY3=1,IF(COUNTIFS($AW$2:$AW$201,AW3,$CY$2:$CY$201,1,$BB$2:$BB$201,1)&gt;0,1,0),0)</f>
        <v>1</v>
      </c>
      <c r="DD3" s="23" t="n">
        <f aca="false">IF(AND(BC3=1,INT(N(H3))&lt;=Config!$B$6,CZ3=1),1,0)</f>
        <v>1</v>
      </c>
      <c r="DE3" s="23" t="n">
        <f aca="false">IF(AND(BC3=1,INT(N(H3))&lt;=Config!$B$7,DA3=1),1,0)</f>
        <v>1</v>
      </c>
      <c r="DF3" s="23" t="n">
        <f aca="false">IF(AND(BC3=1,INT(N(H3))&lt;=Config!$B$8,DB3=1),1,0)</f>
        <v>1</v>
      </c>
      <c r="DG3" s="23" t="n">
        <f aca="false">IF(AND(BC3=1,INT(N(H3))&lt;=Config!$B$5,DC3=1),1,0)</f>
        <v>1</v>
      </c>
      <c r="DH3" s="23" t="n">
        <f aca="false">IF(AND(BE3=1,INT(N(H3))&lt;=Config!$B$6,CZ3=1),1,0)</f>
        <v>0</v>
      </c>
      <c r="DI3" s="23" t="n">
        <f aca="false">IF(AND(BE3=1,INT(N(H3))&lt;=Config!$B$7,DA3=1),1,0)</f>
        <v>0</v>
      </c>
      <c r="DJ3" s="23" t="n">
        <f aca="false">IF(AND(BE3=1,INT(N(H3))&lt;=Config!$B$8,DB3=1),1,0)</f>
        <v>0</v>
      </c>
      <c r="DK3" s="23" t="n">
        <f aca="false">IF(AND(BE3=1,INT(N(H3))&lt;=Config!$B$5,DC3=1),1,0)</f>
        <v>0</v>
      </c>
      <c r="DL3" s="23" t="n">
        <f aca="false">IF(AND(BC3=1,INT(N(H3))&lt;=Config!$B$6,CZ3=0),1,0)</f>
        <v>0</v>
      </c>
      <c r="DM3" s="23" t="n">
        <f aca="false">IF(AND(BC3=1,INT(N(H3))&lt;=Config!$B$7,DA3=0),1,0)</f>
        <v>0</v>
      </c>
      <c r="DN3" s="23" t="n">
        <f aca="false">IF(AND(BC3=1,INT(N(H3))&lt;=Config!$B$8,DB3=0),1,0)</f>
        <v>0</v>
      </c>
      <c r="DO3" s="23" t="n">
        <f aca="false">IF(AND(BC3=1,INT(N(H3))&lt;=Config!$B$5,DC3=0),1,0)</f>
        <v>0</v>
      </c>
      <c r="DP3" s="23" t="n">
        <f aca="false">IF(TRIM($A3)="",0,ISTEXT(K3)+ISTEXT(L3)+ISTEXT(R3)+ISTEXT(V3)+ISTEXT(AP3)+ISTEXT(AS3))</f>
        <v>0</v>
      </c>
      <c r="DQ3" s="23" t="n">
        <f aca="false">IF(AY3=1,IF(H3&lt;&gt;INT(H3),1,0),0)</f>
        <v>0</v>
      </c>
      <c r="DR3" s="23" t="str">
        <f aca="false">IF(TRIM($A3)="","",IF(TRIM(B3)="",SUBSTITUTE(SUBSTITUTE(SUBSTITUTE(SUBSTITUTE(SUBSTITUTE(SUBSTITUTE(LOWER(TRIM($A3)),"~",""),"*",""),"?",""),"&lt;",""),"&gt;",""),"=",""),SUBSTITUTE(SUBSTITUTE(SUBSTITUTE(SUBSTITUTE(SUBSTITUTE(SUBSTITUTE(LOWER(TRIM(B3)),"~",""),"*",""),"?",""),"&lt;",""),"&gt;",""),"=","")))</f>
        <v>sample brand 02</v>
      </c>
      <c r="DS3" s="23" t="str">
        <f aca="false">IF(CM3="","",IFERROR(IF(LEFT(LOWER(TRIM(INDEX(Clay_Brands!$A$2:$FZ$601,CM3,Sync!$D$19)&amp;"")),4)="grp-",SUBSTITUTE(SUBSTITUTE(SUBSTITUTE(SUBSTITUTE(SUBSTITUTE(SUBSTITUTE(LOWER(TRIM(INDEX(Clay_Brands!$A$2:$FZ$601,CM3,Sync!$D$19)&amp;"")),"~",""),"*",""),"?",""),"&lt;",""),"&gt;",""),"=",""),""),""))</f>
        <v/>
      </c>
      <c r="DT3" s="23" t="str">
        <f aca="false">IF(DS3&lt;&gt;"",DR3,"")</f>
        <v/>
      </c>
      <c r="DU3" s="23" t="str">
        <f aca="false">IF(AZ3=1,AW3,"")</f>
        <v>sample brand 02</v>
      </c>
      <c r="DV3" s="23" t="str">
        <f aca="false">IF(TRIM($A3)="","",IFERROR(INDEX($A$2:$A$201,MATCH(AW3,$DU$2:$DU$201,0))&amp;"",$A3&amp;""))</f>
        <v>SAMPLE-B-002</v>
      </c>
      <c r="DW3" s="23" t="n">
        <f aca="false">IF(AY3=1,IF(COUNTIFS($A$2:$A$201,$A3,$AY$2:$AY$201,1,$H$2:$H$201,"&lt;"&amp;H3)+COUNTIFS($A$2:$A$201,$A3,$AY$2:$AY$201,1,$H$2:$H$201,H3,$AX$2:$AX$201,"&lt;"&amp;AX3)=0,1,0),0)</f>
        <v>1</v>
      </c>
      <c r="DX3" s="23" t="n">
        <f aca="false">IF(AZ3=1,IF(COUNTIFS($AW$2:$AW$201,AW3,$DW$2:$DW$201,1)&gt;1,1,0),0)</f>
        <v>0</v>
      </c>
    </row>
    <row r="4" customFormat="false" ht="15" hidden="false" customHeight="false" outlineLevel="0" collapsed="false">
      <c r="A4" s="0" t="s">
        <v>700</v>
      </c>
      <c r="B4" s="0" t="s">
        <v>701</v>
      </c>
      <c r="D4" s="0" t="s">
        <v>702</v>
      </c>
      <c r="E4" s="0" t="s">
        <v>678</v>
      </c>
      <c r="F4" s="0" t="s">
        <v>679</v>
      </c>
      <c r="G4" s="32" t="s">
        <v>481</v>
      </c>
      <c r="H4" s="33" t="n">
        <v>46324</v>
      </c>
      <c r="I4" s="32" t="s">
        <v>454</v>
      </c>
      <c r="J4" s="32" t="s">
        <v>680</v>
      </c>
      <c r="K4" s="0" t="n">
        <v>3000</v>
      </c>
      <c r="L4" s="0" t="n">
        <v>3500</v>
      </c>
      <c r="M4" s="32" t="s">
        <v>681</v>
      </c>
      <c r="N4" s="32" t="s">
        <v>682</v>
      </c>
      <c r="O4" s="32" t="s">
        <v>460</v>
      </c>
      <c r="P4" s="32" t="s">
        <v>457</v>
      </c>
      <c r="Q4" s="32" t="s">
        <v>683</v>
      </c>
      <c r="S4" s="32" t="s">
        <v>703</v>
      </c>
      <c r="U4" s="32" t="s">
        <v>460</v>
      </c>
      <c r="V4" s="0" t="n">
        <v>0</v>
      </c>
      <c r="W4" s="32" t="s">
        <v>704</v>
      </c>
      <c r="X4" s="32" t="s">
        <v>686</v>
      </c>
      <c r="Y4" s="32" t="s">
        <v>687</v>
      </c>
      <c r="Z4" s="32" t="s">
        <v>688</v>
      </c>
      <c r="AA4" s="32" t="s">
        <v>689</v>
      </c>
      <c r="AB4" s="32" t="s">
        <v>460</v>
      </c>
      <c r="AC4" s="32" t="s">
        <v>460</v>
      </c>
      <c r="AD4" s="32" t="s">
        <v>460</v>
      </c>
      <c r="AE4" s="32" t="s">
        <v>460</v>
      </c>
      <c r="AF4" s="32" t="s">
        <v>460</v>
      </c>
      <c r="AG4" s="32" t="s">
        <v>460</v>
      </c>
      <c r="AH4" s="32" t="s">
        <v>690</v>
      </c>
      <c r="AI4" s="32" t="s">
        <v>460</v>
      </c>
      <c r="AJ4" s="32" t="s">
        <v>100</v>
      </c>
      <c r="AK4" s="32" t="s">
        <v>106</v>
      </c>
      <c r="AM4" s="32" t="s">
        <v>705</v>
      </c>
      <c r="AN4" s="32" t="s">
        <v>457</v>
      </c>
      <c r="AO4" s="32"/>
      <c r="AP4" s="0" t="n">
        <v>0</v>
      </c>
      <c r="AR4" s="32"/>
      <c r="AS4" s="0" t="n">
        <v>8</v>
      </c>
      <c r="AT4" s="32" t="s">
        <v>460</v>
      </c>
      <c r="AV4" s="34" t="str">
        <f aca="false">IF(TRIM($A4)="","",IF(AND(LEFT($A4,6)="SAMPLE",Config!$B$19&lt;&gt;"Y"),"",IF(NOT(ISNUMBER(H4)),"call_date is blank or not a date",IF(Sync!$D$5="","Clay paste is empty or has no row_id column: paste the Clay export on Clay_Brands",IF(CM4="","row_id not found in the Clay paste: add the Clay row or fix the row_id",IF(AND(ISNUMBER(CO4),CO4&gt;=1,CO4&lt;=5),"Clay status is "&amp;CN4&amp;": set call_done or later",IF(AND(BA4=1,CP4&lt;&gt;CB4),"Clay yes_in_principle should be "&amp;CB4,IF(AND(BA4=1,CQ4&lt;&gt;H4),"Clay call_date should be "&amp;TEXT(H4,"yyyy-mm-dd"),""))))))))</f>
        <v/>
      </c>
      <c r="AW4" s="23" t="str">
        <f aca="false">IF(TRIM($A4)="","",IF(TRIM(C4)&lt;&gt;"",SUBSTITUTE(SUBSTITUTE(SUBSTITUTE(SUBSTITUTE(SUBSTITUTE(SUBSTITUTE(LOWER(TRIM(C4)),"~",""),"*",""),"?",""),"&lt;",""),"&gt;",""),"=",""),IF(DS4&lt;&gt;"",DS4,IFERROR(INDEX($DS$2:$DS$201,MATCH(DR4,$DT$2:$DT$201,0)),DR4))))</f>
        <v>sample brand 03</v>
      </c>
      <c r="AX4" s="23" t="n">
        <f aca="false">ROW()</f>
        <v>4</v>
      </c>
      <c r="AY4" s="23" t="n">
        <f aca="false">IF(AND(TRIM($A4)&lt;&gt;"",ISNUMBER(H4)),IF(AND(LEFT($A4,6)="SAMPLE",Config!$B$19&lt;&gt;"Y"),0,1),0)</f>
        <v>1</v>
      </c>
      <c r="AZ4" s="23" t="n">
        <f aca="false">IF(AY4=1,IF(COUNTIFS($AW$2:$AW$201,AW4,$AY$2:$AY$201,1,$H$2:$H$201,"&lt;"&amp;H4)+COUNTIFS($AW$2:$AW$201,AW4,$AY$2:$AY$201,1,$H$2:$H$201,H4,$AX$2:$AX$201,"&lt;"&amp;AX4)=0,1,0),0)</f>
        <v>1</v>
      </c>
      <c r="BA4" s="23" t="n">
        <f aca="false">IF(AY4=1,IF(COUNTIFS($A$2:$A$201,$A4,$AY$2:$AY$201,1,$H$2:$H$201,"&gt;"&amp;H4)+COUNTIFS($A$2:$A$201,$A4,$AY$2:$AY$201,1,$H$2:$H$201,H4,$AX$2:$AX$201,"&gt;"&amp;AX4)=0,1,0),0)</f>
        <v>1</v>
      </c>
      <c r="BB4" s="23" t="n">
        <f aca="false">IF(AND(AY4=1,O4="Y",MAX(N(R4),N(V4))&gt;=Config!$B$14),1,0)</f>
        <v>0</v>
      </c>
      <c r="BC4" s="23" t="n">
        <f aca="false">IF(BB4=1,IF(COUNTIFS($AW$2:$AW$201,AW4,$BB$2:$BB$201,1,$H$2:$H$201,"&lt;"&amp;H4)+COUNTIFS($AW$2:$AW$201,AW4,$BB$2:$BB$201,1,$H$2:$H$201,H4,$AX$2:$AX$201,"&lt;"&amp;AX4)=0,1,0),0)</f>
        <v>0</v>
      </c>
      <c r="BD4" s="23" t="n">
        <f aca="false">IF(AND(AY4=1,O4="Y",ISNUMBER(R4)),IF(R4&gt;=Config!$B$14,1,0),0)</f>
        <v>0</v>
      </c>
      <c r="BE4" s="23" t="n">
        <f aca="false">IF(BD4=1,IF(COUNTIFS($AW$2:$AW$201,AW4,$BD$2:$BD$201,1,$H$2:$H$201,"&lt;"&amp;H4)+COUNTIFS($AW$2:$AW$201,AW4,$BD$2:$BD$201,1,$H$2:$H$201,H4,$AX$2:$AX$201,"&lt;"&amp;AX4)=0,1,0),0)</f>
        <v>0</v>
      </c>
      <c r="BF4" s="23" t="n">
        <f aca="false">IF(AND(AY4=1,O4&lt;&gt;"Y",MAX(N(R4),N(V4))&gt;=Config!$B$14),1,0)</f>
        <v>0</v>
      </c>
      <c r="BG4" s="23" t="n">
        <f aca="false">IF(BF4=1,IF(COUNTIFS($AW$2:$AW$201,AW4,$BF$2:$BF$201,1,$H$2:$H$201,"&lt;"&amp;H4)+COUNTIFS($AW$2:$AW$201,AW4,$BF$2:$BF$201,1,$H$2:$H$201,H4,$AX$2:$AX$201,"&lt;"&amp;AX4)=0,1,0),0)</f>
        <v>0</v>
      </c>
      <c r="BH4" s="23" t="n">
        <f aca="false">IF(AND(AY4=1,ISNUMBER(R4)),1,0)</f>
        <v>0</v>
      </c>
      <c r="BI4" s="23" t="n">
        <f aca="false">IF(BH4=1,IF(COUNTIFS($AW$2:$AW$201,AW4,$BH$2:$BH$201,1,$H$2:$H$201,"&lt;"&amp;H4)+COUNTIFS($AW$2:$AW$201,AW4,$BH$2:$BH$201,1,$H$2:$H$201,H4,$AX$2:$AX$201,"&lt;"&amp;AX4)=0,1,0),0)</f>
        <v>0</v>
      </c>
      <c r="BJ4" s="23" t="str">
        <f aca="false">IF(AND(BI4=1,INT(N(H4))&lt;=Config!$B$6),R4,"")</f>
        <v/>
      </c>
      <c r="BK4" s="23" t="str">
        <f aca="false">IF(AND(BI4=1,INT(N(H4))&lt;=Config!$B$7),R4,"")</f>
        <v/>
      </c>
      <c r="BL4" s="23" t="str">
        <f aca="false">IF(AND(BI4=1,INT(N(H4))&lt;=Config!$B$8),R4,"")</f>
        <v/>
      </c>
      <c r="BM4" s="23" t="str">
        <f aca="false">IF(AND(BI4=1,INT(N(H4))&lt;=Config!$B$5),R4,"")</f>
        <v/>
      </c>
      <c r="BN4" s="23" t="n">
        <f aca="false">IF(AND(AY4=1,ISNUMBER(V4)),1,0)</f>
        <v>1</v>
      </c>
      <c r="BO4" s="23" t="n">
        <f aca="false">IF(BN4=1,IF(COUNTIFS($AW$2:$AW$201,AW4,$BN$2:$BN$201,1,$H$2:$H$201,"&lt;"&amp;H4)+COUNTIFS($AW$2:$AW$201,AW4,$BN$2:$BN$201,1,$H$2:$H$201,H4,$AX$2:$AX$201,"&lt;"&amp;AX4)=0,1,0),0)</f>
        <v>1</v>
      </c>
      <c r="BP4" s="23" t="n">
        <f aca="false">IF(AND(BO4=1,INT(N(H4))&lt;=Config!$B$6),V4,"")</f>
        <v>0</v>
      </c>
      <c r="BQ4" s="23" t="n">
        <f aca="false">IF(AND(BO4=1,INT(N(H4))&lt;=Config!$B$7),V4,"")</f>
        <v>0</v>
      </c>
      <c r="BR4" s="23" t="n">
        <f aca="false">IF(AND(BO4=1,INT(N(H4))&lt;=Config!$B$8),V4,"")</f>
        <v>0</v>
      </c>
      <c r="BS4" s="23" t="n">
        <f aca="false">IF(AND(BO4=1,INT(N(H4))&lt;=Config!$B$5),V4,"")</f>
        <v>0</v>
      </c>
      <c r="BT4" s="23" t="n">
        <f aca="false">IF(AND(AY4=1,ISNUMBER(K4)),1,0)</f>
        <v>1</v>
      </c>
      <c r="BU4" s="23" t="n">
        <f aca="false">IF(BT4=1,IF(COUNTIFS($AW$2:$AW$201,AW4,$BT$2:$BT$201,1,$H$2:$H$201,"&lt;"&amp;H4)+COUNTIFS($AW$2:$AW$201,AW4,$BT$2:$BT$201,1,$H$2:$H$201,H4,$AX$2:$AX$201,"&lt;"&amp;AX4)=0,1,0),0)</f>
        <v>1</v>
      </c>
      <c r="BV4" s="23" t="n">
        <f aca="false">IF(AND(BU4=1,INT(N(H4))&lt;=Config!$B$5),K4,"")</f>
        <v>3000</v>
      </c>
      <c r="BW4" s="23" t="n">
        <f aca="false">IF(AND(AY4=1,OR(AND(ISNUMBER(R4),TRIM(S4)=""),AND(ISNUMBER(V4),TRIM(W4)=""))),1,0)</f>
        <v>0</v>
      </c>
      <c r="BX4" s="23" t="str">
        <f aca="false">IF(AY4=1,AJ4&amp;"","")</f>
        <v>seed_ourselves</v>
      </c>
      <c r="BY4" s="23" t="str">
        <f aca="false">IF(AY4=1,AK4&amp;"","")</f>
        <v>price_per_sample</v>
      </c>
      <c r="BZ4" s="23" t="str">
        <f aca="false">IF(AY4=1,AL4&amp;"","")</f>
        <v/>
      </c>
      <c r="CA4" s="23" t="n">
        <f aca="false">IF(AND(AY4=1,ISNUMBER(AS4),INT(N(H4))&lt;=Config!$B$5),AS4,"")</f>
        <v>8</v>
      </c>
      <c r="CB4" s="23" t="str">
        <f aca="false">IF(AY4=1,IF(COUNTIFS($A$2:$A$201,$A4,$CU$2:$CU$201,1,$AN$2:$AN$201,"Y")&gt;0,"Y","N"),"")</f>
        <v>N</v>
      </c>
      <c r="CC4" s="23" t="n">
        <f aca="false">IF(AND(AY4=1,AN4="Y"),IF(COUNTIFS($AW$2:$AW$201,AW4,$AN$2:$AN$201,"Y",$AY$2:$AY$201,1,$H$2:$H$201,"&lt;"&amp;H4)+COUNTIFS($AW$2:$AW$201,AW4,$AN$2:$AN$201,"Y",$AY$2:$AY$201,1,$H$2:$H$201,H4,$AX$2:$AX$201,"&lt;"&amp;AX4)=0,1,0),0)</f>
        <v>0</v>
      </c>
      <c r="CD4" s="23" t="n">
        <f aca="false">IF(AND(AY4=1,AB4="Y",AC4="Y",AD4="Y",AE4="Y",AF4="Y",AG4="Y",AI4="Y",TRIM(AH4)&lt;&gt;""),1,0)</f>
        <v>1</v>
      </c>
      <c r="CE4" s="23" t="n">
        <f aca="false">IF(CD4=1,IF(COUNTIFS($AW$2:$AW$201,AW4,$CD$2:$CD$201,1,$H$2:$H$201,"&lt;"&amp;H4)+COUNTIFS($AW$2:$AW$201,AW4,$CD$2:$CD$201,1,$H$2:$H$201,H4,$AX$2:$AX$201,"&lt;"&amp;AX4)=0,1,0),0)</f>
        <v>1</v>
      </c>
      <c r="CF4" s="23" t="n">
        <f aca="false">IF(AND(AY4=1,AO4="Y"),1,0)</f>
        <v>0</v>
      </c>
      <c r="CG4" s="23" t="n">
        <f aca="false">IF(CF4=1,IF(COUNTIFS($AW$2:$AW$201,AW4,$CF$2:$CF$201,1,$H$2:$H$201,"&lt;"&amp;H4)+COUNTIFS($AW$2:$AW$201,AW4,$CF$2:$CF$201,1,$H$2:$H$201,H4,$AX$2:$AX$201,"&lt;"&amp;AX4)=0,1,0),0)</f>
        <v>0</v>
      </c>
      <c r="CH4" s="23" t="n">
        <f aca="false">IF(AND(AY4=1,P4="Y"),1,0)</f>
        <v>0</v>
      </c>
      <c r="CI4" s="23" t="n">
        <f aca="false">IF(CH4=1,IF(COUNTIFS($AW$2:$AW$201,AW4,$CH$2:$CH$201,1,$H$2:$H$201,"&lt;"&amp;H4)+COUNTIFS($AW$2:$AW$201,AW4,$CH$2:$CH$201,1,$H$2:$H$201,H4,$AX$2:$AX$201,"&lt;"&amp;AX4)=0,1,0),0)</f>
        <v>0</v>
      </c>
      <c r="CJ4" s="23" t="n">
        <f aca="false">IF(AND(BU4=1,INT(N(H4))&lt;=Config!$B$5),L4,"")</f>
        <v>3500</v>
      </c>
      <c r="CK4" s="23" t="n">
        <f aca="false">IF(AND(AY4=1,AR4="Y"),1,0)</f>
        <v>0</v>
      </c>
      <c r="CL4" s="23" t="n">
        <f aca="false">IF(CK4=1,IF(COUNTIFS($AW$2:$AW$201,AW4,$CK$2:$CK$201,1,$H$2:$H$201,"&lt;"&amp;H4)+COUNTIFS($AW$2:$AW$201,AW4,$CK$2:$CK$201,1,$H$2:$H$201,H4,$AX$2:$AX$201,"&lt;"&amp;AX4)=0,1,0),0)</f>
        <v>0</v>
      </c>
      <c r="CM4" s="23" t="n">
        <f aca="false">IF(AY4=1,IFERROR(MATCH($A4,INDEX(Clay_Brands!$A$2:$FZ$601,0,Sync!$D$5),0),""),"")</f>
        <v>3</v>
      </c>
      <c r="CN4" s="23" t="str">
        <f aca="false">IF(CM4="","",IFERROR(INDEX(Clay_Brands!$A$2:$FZ$601,CM4,Sync!$D$7)&amp;"",""))</f>
        <v>call_done</v>
      </c>
      <c r="CO4" s="23" t="n">
        <f aca="false">IF(CN4="","",IFERROR(INDEX(Lists!$K$2:$K$15,MATCH(CN4,Lists!$J$2:$J$15,0)),""))</f>
        <v>6</v>
      </c>
      <c r="CP4" s="23" t="str">
        <f aca="false">IF(CM4="","",IFERROR(INDEX(Clay_Brands!$A$2:$FZ$601,CM4,Sync!$D$17)&amp;"",""))</f>
        <v>N</v>
      </c>
      <c r="CQ4" s="35" t="n">
        <f aca="false">IF(CM4="","",IFERROR(N(INDEX(Clay_Brands!$A$2:$FZ$601,CM4,Sync!$D$16)),0))</f>
        <v>46324</v>
      </c>
      <c r="CR4" s="23" t="n">
        <f aca="false">IF(AND(AY4=1,OR(O4="N",AND(OR(ISNUMBER(R4),ISNUMBER(V4)),MAX(N(R4),N(V4))&lt;Config!$B$14))),1,0)</f>
        <v>1</v>
      </c>
      <c r="CS4" s="23" t="n">
        <f aca="false">IF(OR(BB4=1,CR4=1),1,0)</f>
        <v>1</v>
      </c>
      <c r="CT4" s="23" t="n">
        <f aca="false">IF(AND(AY4=1,OR(AN4="Y",AN4="N",AN4="maybe")),1,0)</f>
        <v>1</v>
      </c>
      <c r="CU4" s="23" t="n">
        <f aca="false">IF(AND(CT4=1),IF(COUNTIFS($A$2:$A$201,$A4,$CT$2:$CT$201,1,$H$2:$H$201,"&gt;"&amp;H4)+COUNTIFS($A$2:$A$201,$A4,$CT$2:$CT$201,1,$H$2:$H$201,H4,$AX$2:$AX$201,"&gt;"&amp;AX4)=0,1,0),0)</f>
        <v>1</v>
      </c>
      <c r="CV4" s="23" t="n">
        <f aca="false">IF(AND(CS4=1,INT(N(H4))&lt;=Config!$B$6),IF(COUNTIFS($AW$2:$AW$201,AW4,$CS$2:$CS$201,1,$H$2:$H$201,"&gt;"&amp;H4,$H$2:$H$201,"&lt;"&amp;(Config!$B$6+1))+COUNTIFS($AW$2:$AW$201,AW4,$CS$2:$CS$201,1,$H$2:$H$201,H4,$AX$2:$AX$201,"&gt;"&amp;AX4)=0,1,0),0)</f>
        <v>1</v>
      </c>
      <c r="CW4" s="23" t="n">
        <f aca="false">IF(AND(CS4=1,INT(N(H4))&lt;=Config!$B$7),IF(COUNTIFS($AW$2:$AW$201,AW4,$CS$2:$CS$201,1,$H$2:$H$201,"&gt;"&amp;H4,$H$2:$H$201,"&lt;"&amp;(Config!$B$7+1))+COUNTIFS($AW$2:$AW$201,AW4,$CS$2:$CS$201,1,$H$2:$H$201,H4,$AX$2:$AX$201,"&gt;"&amp;AX4)=0,1,0),0)</f>
        <v>1</v>
      </c>
      <c r="CX4" s="23" t="n">
        <f aca="false">IF(AND(CS4=1,INT(N(H4))&lt;=Config!$B$8),IF(COUNTIFS($AW$2:$AW$201,AW4,$CS$2:$CS$201,1,$H$2:$H$201,"&gt;"&amp;H4,$H$2:$H$201,"&lt;"&amp;(Config!$B$8+1))+COUNTIFS($AW$2:$AW$201,AW4,$CS$2:$CS$201,1,$H$2:$H$201,H4,$AX$2:$AX$201,"&gt;"&amp;AX4)=0,1,0),0)</f>
        <v>1</v>
      </c>
      <c r="CY4" s="23" t="n">
        <f aca="false">IF(AND(CS4=1,INT(N(H4))&lt;=Config!$B$5),IF(COUNTIFS($AW$2:$AW$201,AW4,$CS$2:$CS$201,1,$H$2:$H$201,"&gt;"&amp;H4,$H$2:$H$201,"&lt;"&amp;(Config!$B$5+1))+COUNTIFS($AW$2:$AW$201,AW4,$CS$2:$CS$201,1,$H$2:$H$201,H4,$AX$2:$AX$201,"&gt;"&amp;AX4)=0,1,0),0)</f>
        <v>1</v>
      </c>
      <c r="CZ4" s="23" t="n">
        <f aca="false">IF(AY4=1,IF(COUNTIFS($AW$2:$AW$201,AW4,$CV$2:$CV$201,1,$BB$2:$BB$201,1)&gt;0,1,0),0)</f>
        <v>0</v>
      </c>
      <c r="DA4" s="23" t="n">
        <f aca="false">IF(AY4=1,IF(COUNTIFS($AW$2:$AW$201,AW4,$CW$2:$CW$201,1,$BB$2:$BB$201,1)&gt;0,1,0),0)</f>
        <v>0</v>
      </c>
      <c r="DB4" s="23" t="n">
        <f aca="false">IF(AY4=1,IF(COUNTIFS($AW$2:$AW$201,AW4,$CX$2:$CX$201,1,$BB$2:$BB$201,1)&gt;0,1,0),0)</f>
        <v>0</v>
      </c>
      <c r="DC4" s="23" t="n">
        <f aca="false">IF(AY4=1,IF(COUNTIFS($AW$2:$AW$201,AW4,$CY$2:$CY$201,1,$BB$2:$BB$201,1)&gt;0,1,0),0)</f>
        <v>0</v>
      </c>
      <c r="DD4" s="23" t="n">
        <f aca="false">IF(AND(BC4=1,INT(N(H4))&lt;=Config!$B$6,CZ4=1),1,0)</f>
        <v>0</v>
      </c>
      <c r="DE4" s="23" t="n">
        <f aca="false">IF(AND(BC4=1,INT(N(H4))&lt;=Config!$B$7,DA4=1),1,0)</f>
        <v>0</v>
      </c>
      <c r="DF4" s="23" t="n">
        <f aca="false">IF(AND(BC4=1,INT(N(H4))&lt;=Config!$B$8,DB4=1),1,0)</f>
        <v>0</v>
      </c>
      <c r="DG4" s="23" t="n">
        <f aca="false">IF(AND(BC4=1,INT(N(H4))&lt;=Config!$B$5,DC4=1),1,0)</f>
        <v>0</v>
      </c>
      <c r="DH4" s="23" t="n">
        <f aca="false">IF(AND(BE4=1,INT(N(H4))&lt;=Config!$B$6,CZ4=1),1,0)</f>
        <v>0</v>
      </c>
      <c r="DI4" s="23" t="n">
        <f aca="false">IF(AND(BE4=1,INT(N(H4))&lt;=Config!$B$7,DA4=1),1,0)</f>
        <v>0</v>
      </c>
      <c r="DJ4" s="23" t="n">
        <f aca="false">IF(AND(BE4=1,INT(N(H4))&lt;=Config!$B$8,DB4=1),1,0)</f>
        <v>0</v>
      </c>
      <c r="DK4" s="23" t="n">
        <f aca="false">IF(AND(BE4=1,INT(N(H4))&lt;=Config!$B$5,DC4=1),1,0)</f>
        <v>0</v>
      </c>
      <c r="DL4" s="23" t="n">
        <f aca="false">IF(AND(BC4=1,INT(N(H4))&lt;=Config!$B$6,CZ4=0),1,0)</f>
        <v>0</v>
      </c>
      <c r="DM4" s="23" t="n">
        <f aca="false">IF(AND(BC4=1,INT(N(H4))&lt;=Config!$B$7,DA4=0),1,0)</f>
        <v>0</v>
      </c>
      <c r="DN4" s="23" t="n">
        <f aca="false">IF(AND(BC4=1,INT(N(H4))&lt;=Config!$B$8,DB4=0),1,0)</f>
        <v>0</v>
      </c>
      <c r="DO4" s="23" t="n">
        <f aca="false">IF(AND(BC4=1,INT(N(H4))&lt;=Config!$B$5,DC4=0),1,0)</f>
        <v>0</v>
      </c>
      <c r="DP4" s="23" t="n">
        <f aca="false">IF(TRIM($A4)="",0,ISTEXT(K4)+ISTEXT(L4)+ISTEXT(R4)+ISTEXT(V4)+ISTEXT(AP4)+ISTEXT(AS4))</f>
        <v>0</v>
      </c>
      <c r="DQ4" s="23" t="n">
        <f aca="false">IF(AY4=1,IF(H4&lt;&gt;INT(H4),1,0),0)</f>
        <v>0</v>
      </c>
      <c r="DR4" s="23" t="str">
        <f aca="false">IF(TRIM($A4)="","",IF(TRIM(B4)="",SUBSTITUTE(SUBSTITUTE(SUBSTITUTE(SUBSTITUTE(SUBSTITUTE(SUBSTITUTE(LOWER(TRIM($A4)),"~",""),"*",""),"?",""),"&lt;",""),"&gt;",""),"=",""),SUBSTITUTE(SUBSTITUTE(SUBSTITUTE(SUBSTITUTE(SUBSTITUTE(SUBSTITUTE(LOWER(TRIM(B4)),"~",""),"*",""),"?",""),"&lt;",""),"&gt;",""),"=","")))</f>
        <v>sample brand 03</v>
      </c>
      <c r="DS4" s="23" t="str">
        <f aca="false">IF(CM4="","",IFERROR(IF(LEFT(LOWER(TRIM(INDEX(Clay_Brands!$A$2:$FZ$601,CM4,Sync!$D$19)&amp;"")),4)="grp-",SUBSTITUTE(SUBSTITUTE(SUBSTITUTE(SUBSTITUTE(SUBSTITUTE(SUBSTITUTE(LOWER(TRIM(INDEX(Clay_Brands!$A$2:$FZ$601,CM4,Sync!$D$19)&amp;"")),"~",""),"*",""),"?",""),"&lt;",""),"&gt;",""),"=",""),""),""))</f>
        <v/>
      </c>
      <c r="DT4" s="23" t="str">
        <f aca="false">IF(DS4&lt;&gt;"",DR4,"")</f>
        <v/>
      </c>
      <c r="DU4" s="23" t="str">
        <f aca="false">IF(AZ4=1,AW4,"")</f>
        <v>sample brand 03</v>
      </c>
      <c r="DV4" s="23" t="str">
        <f aca="false">IF(TRIM($A4)="","",IFERROR(INDEX($A$2:$A$201,MATCH(AW4,$DU$2:$DU$201,0))&amp;"",$A4&amp;""))</f>
        <v>SAMPLE-B-003</v>
      </c>
      <c r="DW4" s="23" t="n">
        <f aca="false">IF(AY4=1,IF(COUNTIFS($A$2:$A$201,$A4,$AY$2:$AY$201,1,$H$2:$H$201,"&lt;"&amp;H4)+COUNTIFS($A$2:$A$201,$A4,$AY$2:$AY$201,1,$H$2:$H$201,H4,$AX$2:$AX$201,"&lt;"&amp;AX4)=0,1,0),0)</f>
        <v>1</v>
      </c>
      <c r="DX4" s="23" t="n">
        <f aca="false">IF(AZ4=1,IF(COUNTIFS($AW$2:$AW$201,AW4,$DW$2:$DW$201,1)&gt;1,1,0),0)</f>
        <v>0</v>
      </c>
    </row>
    <row r="5" customFormat="false" ht="15" hidden="false" customHeight="false" outlineLevel="0" collapsed="false">
      <c r="A5" s="0" t="s">
        <v>706</v>
      </c>
      <c r="B5" s="0" t="s">
        <v>707</v>
      </c>
      <c r="D5" s="0" t="s">
        <v>708</v>
      </c>
      <c r="E5" s="0" t="s">
        <v>695</v>
      </c>
      <c r="F5" s="0" t="s">
        <v>679</v>
      </c>
      <c r="G5" s="32" t="s">
        <v>453</v>
      </c>
      <c r="H5" s="33" t="n">
        <v>46328</v>
      </c>
      <c r="I5" s="32" t="s">
        <v>454</v>
      </c>
      <c r="J5" s="32" t="s">
        <v>680</v>
      </c>
      <c r="K5" s="0" t="n">
        <v>4000</v>
      </c>
      <c r="L5" s="0" t="n">
        <v>4500</v>
      </c>
      <c r="M5" s="32" t="s">
        <v>681</v>
      </c>
      <c r="N5" s="32" t="s">
        <v>709</v>
      </c>
      <c r="O5" s="32" t="s">
        <v>457</v>
      </c>
      <c r="P5" s="32" t="s">
        <v>457</v>
      </c>
      <c r="Q5" s="32" t="s">
        <v>683</v>
      </c>
      <c r="R5" s="0" t="n">
        <v>1000</v>
      </c>
      <c r="S5" s="32" t="s">
        <v>710</v>
      </c>
      <c r="U5" s="32" t="s">
        <v>460</v>
      </c>
      <c r="V5" s="0" t="n">
        <v>1500</v>
      </c>
      <c r="W5" s="32" t="s">
        <v>711</v>
      </c>
      <c r="X5" s="32" t="s">
        <v>686</v>
      </c>
      <c r="Y5" s="32" t="s">
        <v>698</v>
      </c>
      <c r="Z5" s="32" t="s">
        <v>688</v>
      </c>
      <c r="AA5" s="32" t="s">
        <v>689</v>
      </c>
      <c r="AB5" s="32" t="s">
        <v>511</v>
      </c>
      <c r="AC5" s="32" t="s">
        <v>460</v>
      </c>
      <c r="AD5" s="32" t="s">
        <v>460</v>
      </c>
      <c r="AE5" s="32" t="s">
        <v>460</v>
      </c>
      <c r="AF5" s="32" t="s">
        <v>460</v>
      </c>
      <c r="AG5" s="32" t="s">
        <v>457</v>
      </c>
      <c r="AI5" s="32" t="s">
        <v>460</v>
      </c>
      <c r="AJ5" s="32" t="s">
        <v>116</v>
      </c>
      <c r="AK5" s="32"/>
      <c r="AM5" s="32" t="s">
        <v>712</v>
      </c>
      <c r="AN5" s="32" t="s">
        <v>457</v>
      </c>
      <c r="AO5" s="32"/>
      <c r="AP5" s="0" t="n">
        <v>0</v>
      </c>
      <c r="AR5" s="32"/>
      <c r="AS5" s="0" t="n">
        <v>11</v>
      </c>
      <c r="AT5" s="32" t="s">
        <v>460</v>
      </c>
      <c r="AV5" s="34" t="str">
        <f aca="false">IF(TRIM($A5)="","",IF(AND(LEFT($A5,6)="SAMPLE",Config!$B$19&lt;&gt;"Y"),"",IF(NOT(ISNUMBER(H5)),"call_date is blank or not a date",IF(Sync!$D$5="","Clay paste is empty or has no row_id column: paste the Clay export on Clay_Brands",IF(CM5="","row_id not found in the Clay paste: add the Clay row or fix the row_id",IF(AND(ISNUMBER(CO5),CO5&gt;=1,CO5&lt;=5),"Clay status is "&amp;CN5&amp;": set call_done or later",IF(AND(BA5=1,CP5&lt;&gt;CB5),"Clay yes_in_principle should be "&amp;CB5,IF(AND(BA5=1,CQ5&lt;&gt;H5),"Clay call_date should be "&amp;TEXT(H5,"yyyy-mm-dd"),""))))))))</f>
        <v/>
      </c>
      <c r="AW5" s="23" t="str">
        <f aca="false">IF(TRIM($A5)="","",IF(TRIM(C5)&lt;&gt;"",SUBSTITUTE(SUBSTITUTE(SUBSTITUTE(SUBSTITUTE(SUBSTITUTE(SUBSTITUTE(LOWER(TRIM(C5)),"~",""),"*",""),"?",""),"&lt;",""),"&gt;",""),"=",""),IF(DS5&lt;&gt;"",DS5,IFERROR(INDEX($DS$2:$DS$201,MATCH(DR5,$DT$2:$DT$201,0)),DR5))))</f>
        <v>sample brand 04</v>
      </c>
      <c r="AX5" s="23" t="n">
        <f aca="false">ROW()</f>
        <v>5</v>
      </c>
      <c r="AY5" s="23" t="n">
        <f aca="false">IF(AND(TRIM($A5)&lt;&gt;"",ISNUMBER(H5)),IF(AND(LEFT($A5,6)="SAMPLE",Config!$B$19&lt;&gt;"Y"),0,1),0)</f>
        <v>1</v>
      </c>
      <c r="AZ5" s="23" t="n">
        <f aca="false">IF(AY5=1,IF(COUNTIFS($AW$2:$AW$201,AW5,$AY$2:$AY$201,1,$H$2:$H$201,"&lt;"&amp;H5)+COUNTIFS($AW$2:$AW$201,AW5,$AY$2:$AY$201,1,$H$2:$H$201,H5,$AX$2:$AX$201,"&lt;"&amp;AX5)=0,1,0),0)</f>
        <v>1</v>
      </c>
      <c r="BA5" s="23" t="n">
        <f aca="false">IF(AY5=1,IF(COUNTIFS($A$2:$A$201,$A5,$AY$2:$AY$201,1,$H$2:$H$201,"&gt;"&amp;H5)+COUNTIFS($A$2:$A$201,$A5,$AY$2:$AY$201,1,$H$2:$H$201,H5,$AX$2:$AX$201,"&gt;"&amp;AX5)=0,1,0),0)</f>
        <v>1</v>
      </c>
      <c r="BB5" s="23" t="n">
        <f aca="false">IF(AND(AY5=1,O5="Y",MAX(N(R5),N(V5))&gt;=Config!$B$14),1,0)</f>
        <v>0</v>
      </c>
      <c r="BC5" s="23" t="n">
        <f aca="false">IF(BB5=1,IF(COUNTIFS($AW$2:$AW$201,AW5,$BB$2:$BB$201,1,$H$2:$H$201,"&lt;"&amp;H5)+COUNTIFS($AW$2:$AW$201,AW5,$BB$2:$BB$201,1,$H$2:$H$201,H5,$AX$2:$AX$201,"&lt;"&amp;AX5)=0,1,0),0)</f>
        <v>0</v>
      </c>
      <c r="BD5" s="23" t="n">
        <f aca="false">IF(AND(AY5=1,O5="Y",ISNUMBER(R5)),IF(R5&gt;=Config!$B$14,1,0),0)</f>
        <v>0</v>
      </c>
      <c r="BE5" s="23" t="n">
        <f aca="false">IF(BD5=1,IF(COUNTIFS($AW$2:$AW$201,AW5,$BD$2:$BD$201,1,$H$2:$H$201,"&lt;"&amp;H5)+COUNTIFS($AW$2:$AW$201,AW5,$BD$2:$BD$201,1,$H$2:$H$201,H5,$AX$2:$AX$201,"&lt;"&amp;AX5)=0,1,0),0)</f>
        <v>0</v>
      </c>
      <c r="BF5" s="23" t="n">
        <f aca="false">IF(AND(AY5=1,O5&lt;&gt;"Y",MAX(N(R5),N(V5))&gt;=Config!$B$14),1,0)</f>
        <v>1</v>
      </c>
      <c r="BG5" s="23" t="n">
        <f aca="false">IF(BF5=1,IF(COUNTIFS($AW$2:$AW$201,AW5,$BF$2:$BF$201,1,$H$2:$H$201,"&lt;"&amp;H5)+COUNTIFS($AW$2:$AW$201,AW5,$BF$2:$BF$201,1,$H$2:$H$201,H5,$AX$2:$AX$201,"&lt;"&amp;AX5)=0,1,0),0)</f>
        <v>1</v>
      </c>
      <c r="BH5" s="23" t="n">
        <f aca="false">IF(AND(AY5=1,ISNUMBER(R5)),1,0)</f>
        <v>1</v>
      </c>
      <c r="BI5" s="23" t="n">
        <f aca="false">IF(BH5=1,IF(COUNTIFS($AW$2:$AW$201,AW5,$BH$2:$BH$201,1,$H$2:$H$201,"&lt;"&amp;H5)+COUNTIFS($AW$2:$AW$201,AW5,$BH$2:$BH$201,1,$H$2:$H$201,H5,$AX$2:$AX$201,"&lt;"&amp;AX5)=0,1,0),0)</f>
        <v>1</v>
      </c>
      <c r="BJ5" s="23" t="str">
        <f aca="false">IF(AND(BI5=1,INT(N(H5))&lt;=Config!$B$6),R5,"")</f>
        <v/>
      </c>
      <c r="BK5" s="23" t="n">
        <f aca="false">IF(AND(BI5=1,INT(N(H5))&lt;=Config!$B$7),R5,"")</f>
        <v>1000</v>
      </c>
      <c r="BL5" s="23" t="n">
        <f aca="false">IF(AND(BI5=1,INT(N(H5))&lt;=Config!$B$8),R5,"")</f>
        <v>1000</v>
      </c>
      <c r="BM5" s="23" t="n">
        <f aca="false">IF(AND(BI5=1,INT(N(H5))&lt;=Config!$B$5),R5,"")</f>
        <v>1000</v>
      </c>
      <c r="BN5" s="23" t="n">
        <f aca="false">IF(AND(AY5=1,ISNUMBER(V5)),1,0)</f>
        <v>1</v>
      </c>
      <c r="BO5" s="23" t="n">
        <f aca="false">IF(BN5=1,IF(COUNTIFS($AW$2:$AW$201,AW5,$BN$2:$BN$201,1,$H$2:$H$201,"&lt;"&amp;H5)+COUNTIFS($AW$2:$AW$201,AW5,$BN$2:$BN$201,1,$H$2:$H$201,H5,$AX$2:$AX$201,"&lt;"&amp;AX5)=0,1,0),0)</f>
        <v>1</v>
      </c>
      <c r="BP5" s="23" t="str">
        <f aca="false">IF(AND(BO5=1,INT(N(H5))&lt;=Config!$B$6),V5,"")</f>
        <v/>
      </c>
      <c r="BQ5" s="23" t="n">
        <f aca="false">IF(AND(BO5=1,INT(N(H5))&lt;=Config!$B$7),V5,"")</f>
        <v>1500</v>
      </c>
      <c r="BR5" s="23" t="n">
        <f aca="false">IF(AND(BO5=1,INT(N(H5))&lt;=Config!$B$8),V5,"")</f>
        <v>1500</v>
      </c>
      <c r="BS5" s="23" t="n">
        <f aca="false">IF(AND(BO5=1,INT(N(H5))&lt;=Config!$B$5),V5,"")</f>
        <v>1500</v>
      </c>
      <c r="BT5" s="23" t="n">
        <f aca="false">IF(AND(AY5=1,ISNUMBER(K5)),1,0)</f>
        <v>1</v>
      </c>
      <c r="BU5" s="23" t="n">
        <f aca="false">IF(BT5=1,IF(COUNTIFS($AW$2:$AW$201,AW5,$BT$2:$BT$201,1,$H$2:$H$201,"&lt;"&amp;H5)+COUNTIFS($AW$2:$AW$201,AW5,$BT$2:$BT$201,1,$H$2:$H$201,H5,$AX$2:$AX$201,"&lt;"&amp;AX5)=0,1,0),0)</f>
        <v>1</v>
      </c>
      <c r="BV5" s="23" t="n">
        <f aca="false">IF(AND(BU5=1,INT(N(H5))&lt;=Config!$B$5),K5,"")</f>
        <v>4000</v>
      </c>
      <c r="BW5" s="23" t="n">
        <f aca="false">IF(AND(AY5=1,OR(AND(ISNUMBER(R5),TRIM(S5)=""),AND(ISNUMBER(V5),TRIM(W5)=""))),1,0)</f>
        <v>0</v>
      </c>
      <c r="BX5" s="23" t="str">
        <f aca="false">IF(AY5=1,AJ5&amp;"","")</f>
        <v>what_we_get</v>
      </c>
      <c r="BY5" s="23" t="str">
        <f aca="false">IF(AY5=1,AK5&amp;"","")</f>
        <v/>
      </c>
      <c r="BZ5" s="23" t="str">
        <f aca="false">IF(AY5=1,AL5&amp;"","")</f>
        <v/>
      </c>
      <c r="CA5" s="23" t="n">
        <f aca="false">IF(AND(AY5=1,ISNUMBER(AS5),INT(N(H5))&lt;=Config!$B$5),AS5,"")</f>
        <v>11</v>
      </c>
      <c r="CB5" s="23" t="str">
        <f aca="false">IF(AY5=1,IF(COUNTIFS($A$2:$A$201,$A5,$CU$2:$CU$201,1,$AN$2:$AN$201,"Y")&gt;0,"Y","N"),"")</f>
        <v>N</v>
      </c>
      <c r="CC5" s="23" t="n">
        <f aca="false">IF(AND(AY5=1,AN5="Y"),IF(COUNTIFS($AW$2:$AW$201,AW5,$AN$2:$AN$201,"Y",$AY$2:$AY$201,1,$H$2:$H$201,"&lt;"&amp;H5)+COUNTIFS($AW$2:$AW$201,AW5,$AN$2:$AN$201,"Y",$AY$2:$AY$201,1,$H$2:$H$201,H5,$AX$2:$AX$201,"&lt;"&amp;AX5)=0,1,0),0)</f>
        <v>0</v>
      </c>
      <c r="CD5" s="23" t="n">
        <f aca="false">IF(AND(AY5=1,AB5="Y",AC5="Y",AD5="Y",AE5="Y",AF5="Y",AG5="Y",AI5="Y",TRIM(AH5)&lt;&gt;""),1,0)</f>
        <v>0</v>
      </c>
      <c r="CE5" s="23" t="n">
        <f aca="false">IF(CD5=1,IF(COUNTIFS($AW$2:$AW$201,AW5,$CD$2:$CD$201,1,$H$2:$H$201,"&lt;"&amp;H5)+COUNTIFS($AW$2:$AW$201,AW5,$CD$2:$CD$201,1,$H$2:$H$201,H5,$AX$2:$AX$201,"&lt;"&amp;AX5)=0,1,0),0)</f>
        <v>0</v>
      </c>
      <c r="CF5" s="23" t="n">
        <f aca="false">IF(AND(AY5=1,AO5="Y"),1,0)</f>
        <v>0</v>
      </c>
      <c r="CG5" s="23" t="n">
        <f aca="false">IF(CF5=1,IF(COUNTIFS($AW$2:$AW$201,AW5,$CF$2:$CF$201,1,$H$2:$H$201,"&lt;"&amp;H5)+COUNTIFS($AW$2:$AW$201,AW5,$CF$2:$CF$201,1,$H$2:$H$201,H5,$AX$2:$AX$201,"&lt;"&amp;AX5)=0,1,0),0)</f>
        <v>0</v>
      </c>
      <c r="CH5" s="23" t="n">
        <f aca="false">IF(AND(AY5=1,P5="Y"),1,0)</f>
        <v>0</v>
      </c>
      <c r="CI5" s="23" t="n">
        <f aca="false">IF(CH5=1,IF(COUNTIFS($AW$2:$AW$201,AW5,$CH$2:$CH$201,1,$H$2:$H$201,"&lt;"&amp;H5)+COUNTIFS($AW$2:$AW$201,AW5,$CH$2:$CH$201,1,$H$2:$H$201,H5,$AX$2:$AX$201,"&lt;"&amp;AX5)=0,1,0),0)</f>
        <v>0</v>
      </c>
      <c r="CJ5" s="23" t="n">
        <f aca="false">IF(AND(BU5=1,INT(N(H5))&lt;=Config!$B$5),L5,"")</f>
        <v>4500</v>
      </c>
      <c r="CK5" s="23" t="n">
        <f aca="false">IF(AND(AY5=1,AR5="Y"),1,0)</f>
        <v>0</v>
      </c>
      <c r="CL5" s="23" t="n">
        <f aca="false">IF(CK5=1,IF(COUNTIFS($AW$2:$AW$201,AW5,$CK$2:$CK$201,1,$H$2:$H$201,"&lt;"&amp;H5)+COUNTIFS($AW$2:$AW$201,AW5,$CK$2:$CK$201,1,$H$2:$H$201,H5,$AX$2:$AX$201,"&lt;"&amp;AX5)=0,1,0),0)</f>
        <v>0</v>
      </c>
      <c r="CM5" s="23" t="n">
        <f aca="false">IF(AY5=1,IFERROR(MATCH($A5,INDEX(Clay_Brands!$A$2:$FZ$601,0,Sync!$D$5),0),""),"")</f>
        <v>4</v>
      </c>
      <c r="CN5" s="23" t="str">
        <f aca="false">IF(CM5="","",IFERROR(INDEX(Clay_Brands!$A$2:$FZ$601,CM5,Sync!$D$7)&amp;"",""))</f>
        <v>call_done</v>
      </c>
      <c r="CO5" s="23" t="n">
        <f aca="false">IF(CN5="","",IFERROR(INDEX(Lists!$K$2:$K$15,MATCH(CN5,Lists!$J$2:$J$15,0)),""))</f>
        <v>6</v>
      </c>
      <c r="CP5" s="23" t="str">
        <f aca="false">IF(CM5="","",IFERROR(INDEX(Clay_Brands!$A$2:$FZ$601,CM5,Sync!$D$17)&amp;"",""))</f>
        <v>N</v>
      </c>
      <c r="CQ5" s="35" t="n">
        <f aca="false">IF(CM5="","",IFERROR(N(INDEX(Clay_Brands!$A$2:$FZ$601,CM5,Sync!$D$16)),0))</f>
        <v>46328</v>
      </c>
      <c r="CR5" s="23" t="n">
        <f aca="false">IF(AND(AY5=1,OR(O5="N",AND(OR(ISNUMBER(R5),ISNUMBER(V5)),MAX(N(R5),N(V5))&lt;Config!$B$14))),1,0)</f>
        <v>1</v>
      </c>
      <c r="CS5" s="23" t="n">
        <f aca="false">IF(OR(BB5=1,CR5=1),1,0)</f>
        <v>1</v>
      </c>
      <c r="CT5" s="23" t="n">
        <f aca="false">IF(AND(AY5=1,OR(AN5="Y",AN5="N",AN5="maybe")),1,0)</f>
        <v>1</v>
      </c>
      <c r="CU5" s="23" t="n">
        <f aca="false">IF(AND(CT5=1),IF(COUNTIFS($A$2:$A$201,$A5,$CT$2:$CT$201,1,$H$2:$H$201,"&gt;"&amp;H5)+COUNTIFS($A$2:$A$201,$A5,$CT$2:$CT$201,1,$H$2:$H$201,H5,$AX$2:$AX$201,"&gt;"&amp;AX5)=0,1,0),0)</f>
        <v>1</v>
      </c>
      <c r="CV5" s="23" t="n">
        <f aca="false">IF(AND(CS5=1,INT(N(H5))&lt;=Config!$B$6),IF(COUNTIFS($AW$2:$AW$201,AW5,$CS$2:$CS$201,1,$H$2:$H$201,"&gt;"&amp;H5,$H$2:$H$201,"&lt;"&amp;(Config!$B$6+1))+COUNTIFS($AW$2:$AW$201,AW5,$CS$2:$CS$201,1,$H$2:$H$201,H5,$AX$2:$AX$201,"&gt;"&amp;AX5)=0,1,0),0)</f>
        <v>0</v>
      </c>
      <c r="CW5" s="23" t="n">
        <f aca="false">IF(AND(CS5=1,INT(N(H5))&lt;=Config!$B$7),IF(COUNTIFS($AW$2:$AW$201,AW5,$CS$2:$CS$201,1,$H$2:$H$201,"&gt;"&amp;H5,$H$2:$H$201,"&lt;"&amp;(Config!$B$7+1))+COUNTIFS($AW$2:$AW$201,AW5,$CS$2:$CS$201,1,$H$2:$H$201,H5,$AX$2:$AX$201,"&gt;"&amp;AX5)=0,1,0),0)</f>
        <v>1</v>
      </c>
      <c r="CX5" s="23" t="n">
        <f aca="false">IF(AND(CS5=1,INT(N(H5))&lt;=Config!$B$8),IF(COUNTIFS($AW$2:$AW$201,AW5,$CS$2:$CS$201,1,$H$2:$H$201,"&gt;"&amp;H5,$H$2:$H$201,"&lt;"&amp;(Config!$B$8+1))+COUNTIFS($AW$2:$AW$201,AW5,$CS$2:$CS$201,1,$H$2:$H$201,H5,$AX$2:$AX$201,"&gt;"&amp;AX5)=0,1,0),0)</f>
        <v>1</v>
      </c>
      <c r="CY5" s="23" t="n">
        <f aca="false">IF(AND(CS5=1,INT(N(H5))&lt;=Config!$B$5),IF(COUNTIFS($AW$2:$AW$201,AW5,$CS$2:$CS$201,1,$H$2:$H$201,"&gt;"&amp;H5,$H$2:$H$201,"&lt;"&amp;(Config!$B$5+1))+COUNTIFS($AW$2:$AW$201,AW5,$CS$2:$CS$201,1,$H$2:$H$201,H5,$AX$2:$AX$201,"&gt;"&amp;AX5)=0,1,0),0)</f>
        <v>1</v>
      </c>
      <c r="CZ5" s="23" t="n">
        <f aca="false">IF(AY5=1,IF(COUNTIFS($AW$2:$AW$201,AW5,$CV$2:$CV$201,1,$BB$2:$BB$201,1)&gt;0,1,0),0)</f>
        <v>0</v>
      </c>
      <c r="DA5" s="23" t="n">
        <f aca="false">IF(AY5=1,IF(COUNTIFS($AW$2:$AW$201,AW5,$CW$2:$CW$201,1,$BB$2:$BB$201,1)&gt;0,1,0),0)</f>
        <v>0</v>
      </c>
      <c r="DB5" s="23" t="n">
        <f aca="false">IF(AY5=1,IF(COUNTIFS($AW$2:$AW$201,AW5,$CX$2:$CX$201,1,$BB$2:$BB$201,1)&gt;0,1,0),0)</f>
        <v>0</v>
      </c>
      <c r="DC5" s="23" t="n">
        <f aca="false">IF(AY5=1,IF(COUNTIFS($AW$2:$AW$201,AW5,$CY$2:$CY$201,1,$BB$2:$BB$201,1)&gt;0,1,0),0)</f>
        <v>0</v>
      </c>
      <c r="DD5" s="23" t="n">
        <f aca="false">IF(AND(BC5=1,INT(N(H5))&lt;=Config!$B$6,CZ5=1),1,0)</f>
        <v>0</v>
      </c>
      <c r="DE5" s="23" t="n">
        <f aca="false">IF(AND(BC5=1,INT(N(H5))&lt;=Config!$B$7,DA5=1),1,0)</f>
        <v>0</v>
      </c>
      <c r="DF5" s="23" t="n">
        <f aca="false">IF(AND(BC5=1,INT(N(H5))&lt;=Config!$B$8,DB5=1),1,0)</f>
        <v>0</v>
      </c>
      <c r="DG5" s="23" t="n">
        <f aca="false">IF(AND(BC5=1,INT(N(H5))&lt;=Config!$B$5,DC5=1),1,0)</f>
        <v>0</v>
      </c>
      <c r="DH5" s="23" t="n">
        <f aca="false">IF(AND(BE5=1,INT(N(H5))&lt;=Config!$B$6,CZ5=1),1,0)</f>
        <v>0</v>
      </c>
      <c r="DI5" s="23" t="n">
        <f aca="false">IF(AND(BE5=1,INT(N(H5))&lt;=Config!$B$7,DA5=1),1,0)</f>
        <v>0</v>
      </c>
      <c r="DJ5" s="23" t="n">
        <f aca="false">IF(AND(BE5=1,INT(N(H5))&lt;=Config!$B$8,DB5=1),1,0)</f>
        <v>0</v>
      </c>
      <c r="DK5" s="23" t="n">
        <f aca="false">IF(AND(BE5=1,INT(N(H5))&lt;=Config!$B$5,DC5=1),1,0)</f>
        <v>0</v>
      </c>
      <c r="DL5" s="23" t="n">
        <f aca="false">IF(AND(BC5=1,INT(N(H5))&lt;=Config!$B$6,CZ5=0),1,0)</f>
        <v>0</v>
      </c>
      <c r="DM5" s="23" t="n">
        <f aca="false">IF(AND(BC5=1,INT(N(H5))&lt;=Config!$B$7,DA5=0),1,0)</f>
        <v>0</v>
      </c>
      <c r="DN5" s="23" t="n">
        <f aca="false">IF(AND(BC5=1,INT(N(H5))&lt;=Config!$B$8,DB5=0),1,0)</f>
        <v>0</v>
      </c>
      <c r="DO5" s="23" t="n">
        <f aca="false">IF(AND(BC5=1,INT(N(H5))&lt;=Config!$B$5,DC5=0),1,0)</f>
        <v>0</v>
      </c>
      <c r="DP5" s="23" t="n">
        <f aca="false">IF(TRIM($A5)="",0,ISTEXT(K5)+ISTEXT(L5)+ISTEXT(R5)+ISTEXT(V5)+ISTEXT(AP5)+ISTEXT(AS5))</f>
        <v>0</v>
      </c>
      <c r="DQ5" s="23" t="n">
        <f aca="false">IF(AY5=1,IF(H5&lt;&gt;INT(H5),1,0),0)</f>
        <v>0</v>
      </c>
      <c r="DR5" s="23" t="str">
        <f aca="false">IF(TRIM($A5)="","",IF(TRIM(B5)="",SUBSTITUTE(SUBSTITUTE(SUBSTITUTE(SUBSTITUTE(SUBSTITUTE(SUBSTITUTE(LOWER(TRIM($A5)),"~",""),"*",""),"?",""),"&lt;",""),"&gt;",""),"=",""),SUBSTITUTE(SUBSTITUTE(SUBSTITUTE(SUBSTITUTE(SUBSTITUTE(SUBSTITUTE(LOWER(TRIM(B5)),"~",""),"*",""),"?",""),"&lt;",""),"&gt;",""),"=","")))</f>
        <v>sample brand 04</v>
      </c>
      <c r="DS5" s="23" t="str">
        <f aca="false">IF(CM5="","",IFERROR(IF(LEFT(LOWER(TRIM(INDEX(Clay_Brands!$A$2:$FZ$601,CM5,Sync!$D$19)&amp;"")),4)="grp-",SUBSTITUTE(SUBSTITUTE(SUBSTITUTE(SUBSTITUTE(SUBSTITUTE(SUBSTITUTE(LOWER(TRIM(INDEX(Clay_Brands!$A$2:$FZ$601,CM5,Sync!$D$19)&amp;"")),"~",""),"*",""),"?",""),"&lt;",""),"&gt;",""),"=",""),""),""))</f>
        <v/>
      </c>
      <c r="DT5" s="23" t="str">
        <f aca="false">IF(DS5&lt;&gt;"",DR5,"")</f>
        <v/>
      </c>
      <c r="DU5" s="23" t="str">
        <f aca="false">IF(AZ5=1,AW5,"")</f>
        <v>sample brand 04</v>
      </c>
      <c r="DV5" s="23" t="str">
        <f aca="false">IF(TRIM($A5)="","",IFERROR(INDEX($A$2:$A$201,MATCH(AW5,$DU$2:$DU$201,0))&amp;"",$A5&amp;""))</f>
        <v>SAMPLE-B-004</v>
      </c>
      <c r="DW5" s="23" t="n">
        <f aca="false">IF(AY5=1,IF(COUNTIFS($A$2:$A$201,$A5,$AY$2:$AY$201,1,$H$2:$H$201,"&lt;"&amp;H5)+COUNTIFS($A$2:$A$201,$A5,$AY$2:$AY$201,1,$H$2:$H$201,H5,$AX$2:$AX$201,"&lt;"&amp;AX5)=0,1,0),0)</f>
        <v>1</v>
      </c>
      <c r="DX5" s="23" t="n">
        <f aca="false">IF(AZ5=1,IF(COUNTIFS($AW$2:$AW$201,AW5,$DW$2:$DW$201,1)&gt;1,1,0),0)</f>
        <v>0</v>
      </c>
    </row>
    <row r="6" customFormat="false" ht="15" hidden="false" customHeight="false" outlineLevel="0" collapsed="false">
      <c r="A6" s="0" t="s">
        <v>713</v>
      </c>
      <c r="B6" s="0" t="s">
        <v>714</v>
      </c>
      <c r="D6" s="0" t="s">
        <v>715</v>
      </c>
      <c r="E6" s="0" t="s">
        <v>678</v>
      </c>
      <c r="F6" s="0" t="s">
        <v>679</v>
      </c>
      <c r="G6" s="32" t="s">
        <v>453</v>
      </c>
      <c r="H6" s="33" t="n">
        <v>46329</v>
      </c>
      <c r="I6" s="32" t="s">
        <v>454</v>
      </c>
      <c r="J6" s="32" t="s">
        <v>680</v>
      </c>
      <c r="K6" s="0" t="n">
        <v>0</v>
      </c>
      <c r="L6" s="0" t="n">
        <v>500</v>
      </c>
      <c r="M6" s="32" t="s">
        <v>681</v>
      </c>
      <c r="N6" s="32" t="s">
        <v>682</v>
      </c>
      <c r="O6" s="32" t="s">
        <v>460</v>
      </c>
      <c r="P6" s="32" t="s">
        <v>457</v>
      </c>
      <c r="Q6" s="32" t="s">
        <v>683</v>
      </c>
      <c r="R6" s="0" t="n">
        <v>0</v>
      </c>
      <c r="S6" s="32" t="s">
        <v>716</v>
      </c>
      <c r="U6" s="32" t="s">
        <v>457</v>
      </c>
      <c r="X6" s="32" t="s">
        <v>686</v>
      </c>
      <c r="Y6" s="32" t="s">
        <v>687</v>
      </c>
      <c r="Z6" s="32" t="s">
        <v>688</v>
      </c>
      <c r="AA6" s="32" t="s">
        <v>689</v>
      </c>
      <c r="AB6" s="32" t="s">
        <v>460</v>
      </c>
      <c r="AC6" s="32" t="s">
        <v>460</v>
      </c>
      <c r="AD6" s="32" t="s">
        <v>460</v>
      </c>
      <c r="AE6" s="32" t="s">
        <v>511</v>
      </c>
      <c r="AF6" s="32" t="s">
        <v>460</v>
      </c>
      <c r="AG6" s="32" t="s">
        <v>460</v>
      </c>
      <c r="AH6" s="32" t="s">
        <v>690</v>
      </c>
      <c r="AI6" s="32" t="s">
        <v>460</v>
      </c>
      <c r="AJ6" s="32" t="s">
        <v>112</v>
      </c>
      <c r="AK6" s="32" t="s">
        <v>100</v>
      </c>
      <c r="AM6" s="32" t="s">
        <v>717</v>
      </c>
      <c r="AN6" s="32" t="s">
        <v>457</v>
      </c>
      <c r="AO6" s="32"/>
      <c r="AP6" s="0" t="n">
        <v>0</v>
      </c>
      <c r="AR6" s="32"/>
      <c r="AS6" s="0" t="n">
        <v>7</v>
      </c>
      <c r="AT6" s="32" t="s">
        <v>460</v>
      </c>
      <c r="AV6" s="34" t="str">
        <f aca="false">IF(TRIM($A6)="","",IF(AND(LEFT($A6,6)="SAMPLE",Config!$B$19&lt;&gt;"Y"),"",IF(NOT(ISNUMBER(H6)),"call_date is blank or not a date",IF(Sync!$D$5="","Clay paste is empty or has no row_id column: paste the Clay export on Clay_Brands",IF(CM6="","row_id not found in the Clay paste: add the Clay row or fix the row_id",IF(AND(ISNUMBER(CO6),CO6&gt;=1,CO6&lt;=5),"Clay status is "&amp;CN6&amp;": set call_done or later",IF(AND(BA6=1,CP6&lt;&gt;CB6),"Clay yes_in_principle should be "&amp;CB6,IF(AND(BA6=1,CQ6&lt;&gt;H6),"Clay call_date should be "&amp;TEXT(H6,"yyyy-mm-dd"),""))))))))</f>
        <v/>
      </c>
      <c r="AW6" s="23" t="str">
        <f aca="false">IF(TRIM($A6)="","",IF(TRIM(C6)&lt;&gt;"",SUBSTITUTE(SUBSTITUTE(SUBSTITUTE(SUBSTITUTE(SUBSTITUTE(SUBSTITUTE(LOWER(TRIM(C6)),"~",""),"*",""),"?",""),"&lt;",""),"&gt;",""),"=",""),IF(DS6&lt;&gt;"",DS6,IFERROR(INDEX($DS$2:$DS$201,MATCH(DR6,$DT$2:$DT$201,0)),DR6))))</f>
        <v>sample brand 05</v>
      </c>
      <c r="AX6" s="23" t="n">
        <f aca="false">ROW()</f>
        <v>6</v>
      </c>
      <c r="AY6" s="23" t="n">
        <f aca="false">IF(AND(TRIM($A6)&lt;&gt;"",ISNUMBER(H6)),IF(AND(LEFT($A6,6)="SAMPLE",Config!$B$19&lt;&gt;"Y"),0,1),0)</f>
        <v>1</v>
      </c>
      <c r="AZ6" s="23" t="n">
        <f aca="false">IF(AY6=1,IF(COUNTIFS($AW$2:$AW$201,AW6,$AY$2:$AY$201,1,$H$2:$H$201,"&lt;"&amp;H6)+COUNTIFS($AW$2:$AW$201,AW6,$AY$2:$AY$201,1,$H$2:$H$201,H6,$AX$2:$AX$201,"&lt;"&amp;AX6)=0,1,0),0)</f>
        <v>1</v>
      </c>
      <c r="BA6" s="23" t="n">
        <f aca="false">IF(AY6=1,IF(COUNTIFS($A$2:$A$201,$A6,$AY$2:$AY$201,1,$H$2:$H$201,"&gt;"&amp;H6)+COUNTIFS($A$2:$A$201,$A6,$AY$2:$AY$201,1,$H$2:$H$201,H6,$AX$2:$AX$201,"&gt;"&amp;AX6)=0,1,0),0)</f>
        <v>1</v>
      </c>
      <c r="BB6" s="23" t="n">
        <f aca="false">IF(AND(AY6=1,O6="Y",MAX(N(R6),N(V6))&gt;=Config!$B$14),1,0)</f>
        <v>0</v>
      </c>
      <c r="BC6" s="23" t="n">
        <f aca="false">IF(BB6=1,IF(COUNTIFS($AW$2:$AW$201,AW6,$BB$2:$BB$201,1,$H$2:$H$201,"&lt;"&amp;H6)+COUNTIFS($AW$2:$AW$201,AW6,$BB$2:$BB$201,1,$H$2:$H$201,H6,$AX$2:$AX$201,"&lt;"&amp;AX6)=0,1,0),0)</f>
        <v>0</v>
      </c>
      <c r="BD6" s="23" t="n">
        <f aca="false">IF(AND(AY6=1,O6="Y",ISNUMBER(R6)),IF(R6&gt;=Config!$B$14,1,0),0)</f>
        <v>0</v>
      </c>
      <c r="BE6" s="23" t="n">
        <f aca="false">IF(BD6=1,IF(COUNTIFS($AW$2:$AW$201,AW6,$BD$2:$BD$201,1,$H$2:$H$201,"&lt;"&amp;H6)+COUNTIFS($AW$2:$AW$201,AW6,$BD$2:$BD$201,1,$H$2:$H$201,H6,$AX$2:$AX$201,"&lt;"&amp;AX6)=0,1,0),0)</f>
        <v>0</v>
      </c>
      <c r="BF6" s="23" t="n">
        <f aca="false">IF(AND(AY6=1,O6&lt;&gt;"Y",MAX(N(R6),N(V6))&gt;=Config!$B$14),1,0)</f>
        <v>0</v>
      </c>
      <c r="BG6" s="23" t="n">
        <f aca="false">IF(BF6=1,IF(COUNTIFS($AW$2:$AW$201,AW6,$BF$2:$BF$201,1,$H$2:$H$201,"&lt;"&amp;H6)+COUNTIFS($AW$2:$AW$201,AW6,$BF$2:$BF$201,1,$H$2:$H$201,H6,$AX$2:$AX$201,"&lt;"&amp;AX6)=0,1,0),0)</f>
        <v>0</v>
      </c>
      <c r="BH6" s="23" t="n">
        <f aca="false">IF(AND(AY6=1,ISNUMBER(R6)),1,0)</f>
        <v>1</v>
      </c>
      <c r="BI6" s="23" t="n">
        <f aca="false">IF(BH6=1,IF(COUNTIFS($AW$2:$AW$201,AW6,$BH$2:$BH$201,1,$H$2:$H$201,"&lt;"&amp;H6)+COUNTIFS($AW$2:$AW$201,AW6,$BH$2:$BH$201,1,$H$2:$H$201,H6,$AX$2:$AX$201,"&lt;"&amp;AX6)=0,1,0),0)</f>
        <v>1</v>
      </c>
      <c r="BJ6" s="23" t="str">
        <f aca="false">IF(AND(BI6=1,INT(N(H6))&lt;=Config!$B$6),R6,"")</f>
        <v/>
      </c>
      <c r="BK6" s="23" t="n">
        <f aca="false">IF(AND(BI6=1,INT(N(H6))&lt;=Config!$B$7),R6,"")</f>
        <v>0</v>
      </c>
      <c r="BL6" s="23" t="n">
        <f aca="false">IF(AND(BI6=1,INT(N(H6))&lt;=Config!$B$8),R6,"")</f>
        <v>0</v>
      </c>
      <c r="BM6" s="23" t="n">
        <f aca="false">IF(AND(BI6=1,INT(N(H6))&lt;=Config!$B$5),R6,"")</f>
        <v>0</v>
      </c>
      <c r="BN6" s="23" t="n">
        <f aca="false">IF(AND(AY6=1,ISNUMBER(V6)),1,0)</f>
        <v>0</v>
      </c>
      <c r="BO6" s="23" t="n">
        <f aca="false">IF(BN6=1,IF(COUNTIFS($AW$2:$AW$201,AW6,$BN$2:$BN$201,1,$H$2:$H$201,"&lt;"&amp;H6)+COUNTIFS($AW$2:$AW$201,AW6,$BN$2:$BN$201,1,$H$2:$H$201,H6,$AX$2:$AX$201,"&lt;"&amp;AX6)=0,1,0),0)</f>
        <v>0</v>
      </c>
      <c r="BP6" s="23" t="str">
        <f aca="false">IF(AND(BO6=1,INT(N(H6))&lt;=Config!$B$6),V6,"")</f>
        <v/>
      </c>
      <c r="BQ6" s="23" t="str">
        <f aca="false">IF(AND(BO6=1,INT(N(H6))&lt;=Config!$B$7),V6,"")</f>
        <v/>
      </c>
      <c r="BR6" s="23" t="str">
        <f aca="false">IF(AND(BO6=1,INT(N(H6))&lt;=Config!$B$8),V6,"")</f>
        <v/>
      </c>
      <c r="BS6" s="23" t="str">
        <f aca="false">IF(AND(BO6=1,INT(N(H6))&lt;=Config!$B$5),V6,"")</f>
        <v/>
      </c>
      <c r="BT6" s="23" t="n">
        <f aca="false">IF(AND(AY6=1,ISNUMBER(K6)),1,0)</f>
        <v>1</v>
      </c>
      <c r="BU6" s="23" t="n">
        <f aca="false">IF(BT6=1,IF(COUNTIFS($AW$2:$AW$201,AW6,$BT$2:$BT$201,1,$H$2:$H$201,"&lt;"&amp;H6)+COUNTIFS($AW$2:$AW$201,AW6,$BT$2:$BT$201,1,$H$2:$H$201,H6,$AX$2:$AX$201,"&lt;"&amp;AX6)=0,1,0),0)</f>
        <v>1</v>
      </c>
      <c r="BV6" s="23" t="n">
        <f aca="false">IF(AND(BU6=1,INT(N(H6))&lt;=Config!$B$5),K6,"")</f>
        <v>0</v>
      </c>
      <c r="BW6" s="23" t="n">
        <f aca="false">IF(AND(AY6=1,OR(AND(ISNUMBER(R6),TRIM(S6)=""),AND(ISNUMBER(V6),TRIM(W6)=""))),1,0)</f>
        <v>0</v>
      </c>
      <c r="BX6" s="23" t="str">
        <f aca="false">IF(AY6=1,AJ6&amp;"","")</f>
        <v>free_trial</v>
      </c>
      <c r="BY6" s="23" t="str">
        <f aca="false">IF(AY6=1,AK6&amp;"","")</f>
        <v>seed_ourselves</v>
      </c>
      <c r="BZ6" s="23" t="str">
        <f aca="false">IF(AY6=1,AL6&amp;"","")</f>
        <v/>
      </c>
      <c r="CA6" s="23" t="n">
        <f aca="false">IF(AND(AY6=1,ISNUMBER(AS6),INT(N(H6))&lt;=Config!$B$5),AS6,"")</f>
        <v>7</v>
      </c>
      <c r="CB6" s="23" t="str">
        <f aca="false">IF(AY6=1,IF(COUNTIFS($A$2:$A$201,$A6,$CU$2:$CU$201,1,$AN$2:$AN$201,"Y")&gt;0,"Y","N"),"")</f>
        <v>N</v>
      </c>
      <c r="CC6" s="23" t="n">
        <f aca="false">IF(AND(AY6=1,AN6="Y"),IF(COUNTIFS($AW$2:$AW$201,AW6,$AN$2:$AN$201,"Y",$AY$2:$AY$201,1,$H$2:$H$201,"&lt;"&amp;H6)+COUNTIFS($AW$2:$AW$201,AW6,$AN$2:$AN$201,"Y",$AY$2:$AY$201,1,$H$2:$H$201,H6,$AX$2:$AX$201,"&lt;"&amp;AX6)=0,1,0),0)</f>
        <v>0</v>
      </c>
      <c r="CD6" s="23" t="n">
        <f aca="false">IF(AND(AY6=1,AB6="Y",AC6="Y",AD6="Y",AE6="Y",AF6="Y",AG6="Y",AI6="Y",TRIM(AH6)&lt;&gt;""),1,0)</f>
        <v>0</v>
      </c>
      <c r="CE6" s="23" t="n">
        <f aca="false">IF(CD6=1,IF(COUNTIFS($AW$2:$AW$201,AW6,$CD$2:$CD$201,1,$H$2:$H$201,"&lt;"&amp;H6)+COUNTIFS($AW$2:$AW$201,AW6,$CD$2:$CD$201,1,$H$2:$H$201,H6,$AX$2:$AX$201,"&lt;"&amp;AX6)=0,1,0),0)</f>
        <v>0</v>
      </c>
      <c r="CF6" s="23" t="n">
        <f aca="false">IF(AND(AY6=1,AO6="Y"),1,0)</f>
        <v>0</v>
      </c>
      <c r="CG6" s="23" t="n">
        <f aca="false">IF(CF6=1,IF(COUNTIFS($AW$2:$AW$201,AW6,$CF$2:$CF$201,1,$H$2:$H$201,"&lt;"&amp;H6)+COUNTIFS($AW$2:$AW$201,AW6,$CF$2:$CF$201,1,$H$2:$H$201,H6,$AX$2:$AX$201,"&lt;"&amp;AX6)=0,1,0),0)</f>
        <v>0</v>
      </c>
      <c r="CH6" s="23" t="n">
        <f aca="false">IF(AND(AY6=1,P6="Y"),1,0)</f>
        <v>0</v>
      </c>
      <c r="CI6" s="23" t="n">
        <f aca="false">IF(CH6=1,IF(COUNTIFS($AW$2:$AW$201,AW6,$CH$2:$CH$201,1,$H$2:$H$201,"&lt;"&amp;H6)+COUNTIFS($AW$2:$AW$201,AW6,$CH$2:$CH$201,1,$H$2:$H$201,H6,$AX$2:$AX$201,"&lt;"&amp;AX6)=0,1,0),0)</f>
        <v>0</v>
      </c>
      <c r="CJ6" s="23" t="n">
        <f aca="false">IF(AND(BU6=1,INT(N(H6))&lt;=Config!$B$5),L6,"")</f>
        <v>500</v>
      </c>
      <c r="CK6" s="23" t="n">
        <f aca="false">IF(AND(AY6=1,AR6="Y"),1,0)</f>
        <v>0</v>
      </c>
      <c r="CL6" s="23" t="n">
        <f aca="false">IF(CK6=1,IF(COUNTIFS($AW$2:$AW$201,AW6,$CK$2:$CK$201,1,$H$2:$H$201,"&lt;"&amp;H6)+COUNTIFS($AW$2:$AW$201,AW6,$CK$2:$CK$201,1,$H$2:$H$201,H6,$AX$2:$AX$201,"&lt;"&amp;AX6)=0,1,0),0)</f>
        <v>0</v>
      </c>
      <c r="CM6" s="23" t="n">
        <f aca="false">IF(AY6=1,IFERROR(MATCH($A6,INDEX(Clay_Brands!$A$2:$FZ$601,0,Sync!$D$5),0),""),"")</f>
        <v>5</v>
      </c>
      <c r="CN6" s="23" t="str">
        <f aca="false">IF(CM6="","",IFERROR(INDEX(Clay_Brands!$A$2:$FZ$601,CM6,Sync!$D$7)&amp;"",""))</f>
        <v>call_done</v>
      </c>
      <c r="CO6" s="23" t="n">
        <f aca="false">IF(CN6="","",IFERROR(INDEX(Lists!$K$2:$K$15,MATCH(CN6,Lists!$J$2:$J$15,0)),""))</f>
        <v>6</v>
      </c>
      <c r="CP6" s="23" t="str">
        <f aca="false">IF(CM6="","",IFERROR(INDEX(Clay_Brands!$A$2:$FZ$601,CM6,Sync!$D$17)&amp;"",""))</f>
        <v>N</v>
      </c>
      <c r="CQ6" s="35" t="n">
        <f aca="false">IF(CM6="","",IFERROR(N(INDEX(Clay_Brands!$A$2:$FZ$601,CM6,Sync!$D$16)),0))</f>
        <v>46329</v>
      </c>
      <c r="CR6" s="23" t="n">
        <f aca="false">IF(AND(AY6=1,OR(O6="N",AND(OR(ISNUMBER(R6),ISNUMBER(V6)),MAX(N(R6),N(V6))&lt;Config!$B$14))),1,0)</f>
        <v>1</v>
      </c>
      <c r="CS6" s="23" t="n">
        <f aca="false">IF(OR(BB6=1,CR6=1),1,0)</f>
        <v>1</v>
      </c>
      <c r="CT6" s="23" t="n">
        <f aca="false">IF(AND(AY6=1,OR(AN6="Y",AN6="N",AN6="maybe")),1,0)</f>
        <v>1</v>
      </c>
      <c r="CU6" s="23" t="n">
        <f aca="false">IF(AND(CT6=1),IF(COUNTIFS($A$2:$A$201,$A6,$CT$2:$CT$201,1,$H$2:$H$201,"&gt;"&amp;H6)+COUNTIFS($A$2:$A$201,$A6,$CT$2:$CT$201,1,$H$2:$H$201,H6,$AX$2:$AX$201,"&gt;"&amp;AX6)=0,1,0),0)</f>
        <v>1</v>
      </c>
      <c r="CV6" s="23" t="n">
        <f aca="false">IF(AND(CS6=1,INT(N(H6))&lt;=Config!$B$6),IF(COUNTIFS($AW$2:$AW$201,AW6,$CS$2:$CS$201,1,$H$2:$H$201,"&gt;"&amp;H6,$H$2:$H$201,"&lt;"&amp;(Config!$B$6+1))+COUNTIFS($AW$2:$AW$201,AW6,$CS$2:$CS$201,1,$H$2:$H$201,H6,$AX$2:$AX$201,"&gt;"&amp;AX6)=0,1,0),0)</f>
        <v>0</v>
      </c>
      <c r="CW6" s="23" t="n">
        <f aca="false">IF(AND(CS6=1,INT(N(H6))&lt;=Config!$B$7),IF(COUNTIFS($AW$2:$AW$201,AW6,$CS$2:$CS$201,1,$H$2:$H$201,"&gt;"&amp;H6,$H$2:$H$201,"&lt;"&amp;(Config!$B$7+1))+COUNTIFS($AW$2:$AW$201,AW6,$CS$2:$CS$201,1,$H$2:$H$201,H6,$AX$2:$AX$201,"&gt;"&amp;AX6)=0,1,0),0)</f>
        <v>1</v>
      </c>
      <c r="CX6" s="23" t="n">
        <f aca="false">IF(AND(CS6=1,INT(N(H6))&lt;=Config!$B$8),IF(COUNTIFS($AW$2:$AW$201,AW6,$CS$2:$CS$201,1,$H$2:$H$201,"&gt;"&amp;H6,$H$2:$H$201,"&lt;"&amp;(Config!$B$8+1))+COUNTIFS($AW$2:$AW$201,AW6,$CS$2:$CS$201,1,$H$2:$H$201,H6,$AX$2:$AX$201,"&gt;"&amp;AX6)=0,1,0),0)</f>
        <v>1</v>
      </c>
      <c r="CY6" s="23" t="n">
        <f aca="false">IF(AND(CS6=1,INT(N(H6))&lt;=Config!$B$5),IF(COUNTIFS($AW$2:$AW$201,AW6,$CS$2:$CS$201,1,$H$2:$H$201,"&gt;"&amp;H6,$H$2:$H$201,"&lt;"&amp;(Config!$B$5+1))+COUNTIFS($AW$2:$AW$201,AW6,$CS$2:$CS$201,1,$H$2:$H$201,H6,$AX$2:$AX$201,"&gt;"&amp;AX6)=0,1,0),0)</f>
        <v>1</v>
      </c>
      <c r="CZ6" s="23" t="n">
        <f aca="false">IF(AY6=1,IF(COUNTIFS($AW$2:$AW$201,AW6,$CV$2:$CV$201,1,$BB$2:$BB$201,1)&gt;0,1,0),0)</f>
        <v>0</v>
      </c>
      <c r="DA6" s="23" t="n">
        <f aca="false">IF(AY6=1,IF(COUNTIFS($AW$2:$AW$201,AW6,$CW$2:$CW$201,1,$BB$2:$BB$201,1)&gt;0,1,0),0)</f>
        <v>0</v>
      </c>
      <c r="DB6" s="23" t="n">
        <f aca="false">IF(AY6=1,IF(COUNTIFS($AW$2:$AW$201,AW6,$CX$2:$CX$201,1,$BB$2:$BB$201,1)&gt;0,1,0),0)</f>
        <v>0</v>
      </c>
      <c r="DC6" s="23" t="n">
        <f aca="false">IF(AY6=1,IF(COUNTIFS($AW$2:$AW$201,AW6,$CY$2:$CY$201,1,$BB$2:$BB$201,1)&gt;0,1,0),0)</f>
        <v>0</v>
      </c>
      <c r="DD6" s="23" t="n">
        <f aca="false">IF(AND(BC6=1,INT(N(H6))&lt;=Config!$B$6,CZ6=1),1,0)</f>
        <v>0</v>
      </c>
      <c r="DE6" s="23" t="n">
        <f aca="false">IF(AND(BC6=1,INT(N(H6))&lt;=Config!$B$7,DA6=1),1,0)</f>
        <v>0</v>
      </c>
      <c r="DF6" s="23" t="n">
        <f aca="false">IF(AND(BC6=1,INT(N(H6))&lt;=Config!$B$8,DB6=1),1,0)</f>
        <v>0</v>
      </c>
      <c r="DG6" s="23" t="n">
        <f aca="false">IF(AND(BC6=1,INT(N(H6))&lt;=Config!$B$5,DC6=1),1,0)</f>
        <v>0</v>
      </c>
      <c r="DH6" s="23" t="n">
        <f aca="false">IF(AND(BE6=1,INT(N(H6))&lt;=Config!$B$6,CZ6=1),1,0)</f>
        <v>0</v>
      </c>
      <c r="DI6" s="23" t="n">
        <f aca="false">IF(AND(BE6=1,INT(N(H6))&lt;=Config!$B$7,DA6=1),1,0)</f>
        <v>0</v>
      </c>
      <c r="DJ6" s="23" t="n">
        <f aca="false">IF(AND(BE6=1,INT(N(H6))&lt;=Config!$B$8,DB6=1),1,0)</f>
        <v>0</v>
      </c>
      <c r="DK6" s="23" t="n">
        <f aca="false">IF(AND(BE6=1,INT(N(H6))&lt;=Config!$B$5,DC6=1),1,0)</f>
        <v>0</v>
      </c>
      <c r="DL6" s="23" t="n">
        <f aca="false">IF(AND(BC6=1,INT(N(H6))&lt;=Config!$B$6,CZ6=0),1,0)</f>
        <v>0</v>
      </c>
      <c r="DM6" s="23" t="n">
        <f aca="false">IF(AND(BC6=1,INT(N(H6))&lt;=Config!$B$7,DA6=0),1,0)</f>
        <v>0</v>
      </c>
      <c r="DN6" s="23" t="n">
        <f aca="false">IF(AND(BC6=1,INT(N(H6))&lt;=Config!$B$8,DB6=0),1,0)</f>
        <v>0</v>
      </c>
      <c r="DO6" s="23" t="n">
        <f aca="false">IF(AND(BC6=1,INT(N(H6))&lt;=Config!$B$5,DC6=0),1,0)</f>
        <v>0</v>
      </c>
      <c r="DP6" s="23" t="n">
        <f aca="false">IF(TRIM($A6)="",0,ISTEXT(K6)+ISTEXT(L6)+ISTEXT(R6)+ISTEXT(V6)+ISTEXT(AP6)+ISTEXT(AS6))</f>
        <v>0</v>
      </c>
      <c r="DQ6" s="23" t="n">
        <f aca="false">IF(AY6=1,IF(H6&lt;&gt;INT(H6),1,0),0)</f>
        <v>0</v>
      </c>
      <c r="DR6" s="23" t="str">
        <f aca="false">IF(TRIM($A6)="","",IF(TRIM(B6)="",SUBSTITUTE(SUBSTITUTE(SUBSTITUTE(SUBSTITUTE(SUBSTITUTE(SUBSTITUTE(LOWER(TRIM($A6)),"~",""),"*",""),"?",""),"&lt;",""),"&gt;",""),"=",""),SUBSTITUTE(SUBSTITUTE(SUBSTITUTE(SUBSTITUTE(SUBSTITUTE(SUBSTITUTE(LOWER(TRIM(B6)),"~",""),"*",""),"?",""),"&lt;",""),"&gt;",""),"=","")))</f>
        <v>sample brand 05</v>
      </c>
      <c r="DS6" s="23" t="str">
        <f aca="false">IF(CM6="","",IFERROR(IF(LEFT(LOWER(TRIM(INDEX(Clay_Brands!$A$2:$FZ$601,CM6,Sync!$D$19)&amp;"")),4)="grp-",SUBSTITUTE(SUBSTITUTE(SUBSTITUTE(SUBSTITUTE(SUBSTITUTE(SUBSTITUTE(LOWER(TRIM(INDEX(Clay_Brands!$A$2:$FZ$601,CM6,Sync!$D$19)&amp;"")),"~",""),"*",""),"?",""),"&lt;",""),"&gt;",""),"=",""),""),""))</f>
        <v/>
      </c>
      <c r="DT6" s="23" t="str">
        <f aca="false">IF(DS6&lt;&gt;"",DR6,"")</f>
        <v/>
      </c>
      <c r="DU6" s="23" t="str">
        <f aca="false">IF(AZ6=1,AW6,"")</f>
        <v>sample brand 05</v>
      </c>
      <c r="DV6" s="23" t="str">
        <f aca="false">IF(TRIM($A6)="","",IFERROR(INDEX($A$2:$A$201,MATCH(AW6,$DU$2:$DU$201,0))&amp;"",$A6&amp;""))</f>
        <v>SAMPLE-B-005</v>
      </c>
      <c r="DW6" s="23" t="n">
        <f aca="false">IF(AY6=1,IF(COUNTIFS($A$2:$A$201,$A6,$AY$2:$AY$201,1,$H$2:$H$201,"&lt;"&amp;H6)+COUNTIFS($A$2:$A$201,$A6,$AY$2:$AY$201,1,$H$2:$H$201,H6,$AX$2:$AX$201,"&lt;"&amp;AX6)=0,1,0),0)</f>
        <v>1</v>
      </c>
      <c r="DX6" s="23" t="n">
        <f aca="false">IF(AZ6=1,IF(COUNTIFS($AW$2:$AW$201,AW6,$DW$2:$DW$201,1)&gt;1,1,0),0)</f>
        <v>0</v>
      </c>
    </row>
    <row r="7" customFormat="false" ht="15" hidden="false" customHeight="false" outlineLevel="0" collapsed="false">
      <c r="A7" s="0" t="s">
        <v>718</v>
      </c>
      <c r="B7" s="0" t="s">
        <v>719</v>
      </c>
      <c r="D7" s="0" t="s">
        <v>720</v>
      </c>
      <c r="E7" s="0" t="s">
        <v>695</v>
      </c>
      <c r="F7" s="0" t="s">
        <v>679</v>
      </c>
      <c r="G7" s="32" t="s">
        <v>481</v>
      </c>
      <c r="H7" s="33" t="n">
        <v>46330</v>
      </c>
      <c r="I7" s="32" t="s">
        <v>454</v>
      </c>
      <c r="J7" s="32" t="s">
        <v>680</v>
      </c>
      <c r="K7" s="0" t="n">
        <v>1000</v>
      </c>
      <c r="L7" s="0" t="n">
        <v>1500</v>
      </c>
      <c r="M7" s="32" t="s">
        <v>681</v>
      </c>
      <c r="N7" s="32" t="s">
        <v>682</v>
      </c>
      <c r="O7" s="32" t="s">
        <v>460</v>
      </c>
      <c r="P7" s="32" t="s">
        <v>457</v>
      </c>
      <c r="Q7" s="32" t="s">
        <v>683</v>
      </c>
      <c r="R7" s="0" t="n">
        <v>750</v>
      </c>
      <c r="S7" s="32" t="s">
        <v>721</v>
      </c>
      <c r="U7" s="32" t="s">
        <v>460</v>
      </c>
      <c r="V7" s="0" t="n">
        <v>1200</v>
      </c>
      <c r="W7" s="32" t="s">
        <v>722</v>
      </c>
      <c r="X7" s="32" t="s">
        <v>686</v>
      </c>
      <c r="Y7" s="32" t="s">
        <v>698</v>
      </c>
      <c r="Z7" s="32" t="s">
        <v>688</v>
      </c>
      <c r="AA7" s="32" t="s">
        <v>689</v>
      </c>
      <c r="AB7" s="32" t="s">
        <v>460</v>
      </c>
      <c r="AC7" s="32" t="s">
        <v>460</v>
      </c>
      <c r="AD7" s="32" t="s">
        <v>460</v>
      </c>
      <c r="AE7" s="32" t="s">
        <v>460</v>
      </c>
      <c r="AF7" s="32" t="s">
        <v>460</v>
      </c>
      <c r="AG7" s="32" t="s">
        <v>460</v>
      </c>
      <c r="AI7" s="32" t="s">
        <v>460</v>
      </c>
      <c r="AJ7" s="32" t="s">
        <v>116</v>
      </c>
      <c r="AK7" s="32"/>
      <c r="AM7" s="32" t="s">
        <v>723</v>
      </c>
      <c r="AN7" s="32" t="s">
        <v>460</v>
      </c>
      <c r="AO7" s="32" t="s">
        <v>460</v>
      </c>
      <c r="AP7" s="0" t="n">
        <v>0</v>
      </c>
      <c r="AR7" s="32" t="s">
        <v>460</v>
      </c>
      <c r="AS7" s="0" t="n">
        <v>10</v>
      </c>
      <c r="AT7" s="32" t="s">
        <v>460</v>
      </c>
      <c r="AV7" s="34" t="str">
        <f aca="false">IF(TRIM($A7)="","",IF(AND(LEFT($A7,6)="SAMPLE",Config!$B$19&lt;&gt;"Y"),"",IF(NOT(ISNUMBER(H7)),"call_date is blank or not a date",IF(Sync!$D$5="","Clay paste is empty or has no row_id column: paste the Clay export on Clay_Brands",IF(CM7="","row_id not found in the Clay paste: add the Clay row or fix the row_id",IF(AND(ISNUMBER(CO7),CO7&gt;=1,CO7&lt;=5),"Clay status is "&amp;CN7&amp;": set call_done or later",IF(AND(BA7=1,CP7&lt;&gt;CB7),"Clay yes_in_principle should be "&amp;CB7,IF(AND(BA7=1,CQ7&lt;&gt;H7),"Clay call_date should be "&amp;TEXT(H7,"yyyy-mm-dd"),""))))))))</f>
        <v/>
      </c>
      <c r="AW7" s="23" t="str">
        <f aca="false">IF(TRIM($A7)="","",IF(TRIM(C7)&lt;&gt;"",SUBSTITUTE(SUBSTITUTE(SUBSTITUTE(SUBSTITUTE(SUBSTITUTE(SUBSTITUTE(LOWER(TRIM(C7)),"~",""),"*",""),"?",""),"&lt;",""),"&gt;",""),"=",""),IF(DS7&lt;&gt;"",DS7,IFERROR(INDEX($DS$2:$DS$201,MATCH(DR7,$DT$2:$DT$201,0)),DR7))))</f>
        <v>sample brand 06</v>
      </c>
      <c r="AX7" s="23" t="n">
        <f aca="false">ROW()</f>
        <v>7</v>
      </c>
      <c r="AY7" s="23" t="n">
        <f aca="false">IF(AND(TRIM($A7)&lt;&gt;"",ISNUMBER(H7)),IF(AND(LEFT($A7,6)="SAMPLE",Config!$B$19&lt;&gt;"Y"),0,1),0)</f>
        <v>1</v>
      </c>
      <c r="AZ7" s="23" t="n">
        <f aca="false">IF(AY7=1,IF(COUNTIFS($AW$2:$AW$201,AW7,$AY$2:$AY$201,1,$H$2:$H$201,"&lt;"&amp;H7)+COUNTIFS($AW$2:$AW$201,AW7,$AY$2:$AY$201,1,$H$2:$H$201,H7,$AX$2:$AX$201,"&lt;"&amp;AX7)=0,1,0),0)</f>
        <v>1</v>
      </c>
      <c r="BA7" s="23" t="n">
        <f aca="false">IF(AY7=1,IF(COUNTIFS($A$2:$A$201,$A7,$AY$2:$AY$201,1,$H$2:$H$201,"&gt;"&amp;H7)+COUNTIFS($A$2:$A$201,$A7,$AY$2:$AY$201,1,$H$2:$H$201,H7,$AX$2:$AX$201,"&gt;"&amp;AX7)=0,1,0),0)</f>
        <v>1</v>
      </c>
      <c r="BB7" s="23" t="n">
        <f aca="false">IF(AND(AY7=1,O7="Y",MAX(N(R7),N(V7))&gt;=Config!$B$14),1,0)</f>
        <v>1</v>
      </c>
      <c r="BC7" s="23" t="n">
        <f aca="false">IF(BB7=1,IF(COUNTIFS($AW$2:$AW$201,AW7,$BB$2:$BB$201,1,$H$2:$H$201,"&lt;"&amp;H7)+COUNTIFS($AW$2:$AW$201,AW7,$BB$2:$BB$201,1,$H$2:$H$201,H7,$AX$2:$AX$201,"&lt;"&amp;AX7)=0,1,0),0)</f>
        <v>1</v>
      </c>
      <c r="BD7" s="23" t="n">
        <f aca="false">IF(AND(AY7=1,O7="Y",ISNUMBER(R7)),IF(R7&gt;=Config!$B$14,1,0),0)</f>
        <v>1</v>
      </c>
      <c r="BE7" s="23" t="n">
        <f aca="false">IF(BD7=1,IF(COUNTIFS($AW$2:$AW$201,AW7,$BD$2:$BD$201,1,$H$2:$H$201,"&lt;"&amp;H7)+COUNTIFS($AW$2:$AW$201,AW7,$BD$2:$BD$201,1,$H$2:$H$201,H7,$AX$2:$AX$201,"&lt;"&amp;AX7)=0,1,0),0)</f>
        <v>1</v>
      </c>
      <c r="BF7" s="23" t="n">
        <f aca="false">IF(AND(AY7=1,O7&lt;&gt;"Y",MAX(N(R7),N(V7))&gt;=Config!$B$14),1,0)</f>
        <v>0</v>
      </c>
      <c r="BG7" s="23" t="n">
        <f aca="false">IF(BF7=1,IF(COUNTIFS($AW$2:$AW$201,AW7,$BF$2:$BF$201,1,$H$2:$H$201,"&lt;"&amp;H7)+COUNTIFS($AW$2:$AW$201,AW7,$BF$2:$BF$201,1,$H$2:$H$201,H7,$AX$2:$AX$201,"&lt;"&amp;AX7)=0,1,0),0)</f>
        <v>0</v>
      </c>
      <c r="BH7" s="23" t="n">
        <f aca="false">IF(AND(AY7=1,ISNUMBER(R7)),1,0)</f>
        <v>1</v>
      </c>
      <c r="BI7" s="23" t="n">
        <f aca="false">IF(BH7=1,IF(COUNTIFS($AW$2:$AW$201,AW7,$BH$2:$BH$201,1,$H$2:$H$201,"&lt;"&amp;H7)+COUNTIFS($AW$2:$AW$201,AW7,$BH$2:$BH$201,1,$H$2:$H$201,H7,$AX$2:$AX$201,"&lt;"&amp;AX7)=0,1,0),0)</f>
        <v>1</v>
      </c>
      <c r="BJ7" s="23" t="str">
        <f aca="false">IF(AND(BI7=1,INT(N(H7))&lt;=Config!$B$6),R7,"")</f>
        <v/>
      </c>
      <c r="BK7" s="23" t="n">
        <f aca="false">IF(AND(BI7=1,INT(N(H7))&lt;=Config!$B$7),R7,"")</f>
        <v>750</v>
      </c>
      <c r="BL7" s="23" t="n">
        <f aca="false">IF(AND(BI7=1,INT(N(H7))&lt;=Config!$B$8),R7,"")</f>
        <v>750</v>
      </c>
      <c r="BM7" s="23" t="n">
        <f aca="false">IF(AND(BI7=1,INT(N(H7))&lt;=Config!$B$5),R7,"")</f>
        <v>750</v>
      </c>
      <c r="BN7" s="23" t="n">
        <f aca="false">IF(AND(AY7=1,ISNUMBER(V7)),1,0)</f>
        <v>1</v>
      </c>
      <c r="BO7" s="23" t="n">
        <f aca="false">IF(BN7=1,IF(COUNTIFS($AW$2:$AW$201,AW7,$BN$2:$BN$201,1,$H$2:$H$201,"&lt;"&amp;H7)+COUNTIFS($AW$2:$AW$201,AW7,$BN$2:$BN$201,1,$H$2:$H$201,H7,$AX$2:$AX$201,"&lt;"&amp;AX7)=0,1,0),0)</f>
        <v>1</v>
      </c>
      <c r="BP7" s="23" t="str">
        <f aca="false">IF(AND(BO7=1,INT(N(H7))&lt;=Config!$B$6),V7,"")</f>
        <v/>
      </c>
      <c r="BQ7" s="23" t="n">
        <f aca="false">IF(AND(BO7=1,INT(N(H7))&lt;=Config!$B$7),V7,"")</f>
        <v>1200</v>
      </c>
      <c r="BR7" s="23" t="n">
        <f aca="false">IF(AND(BO7=1,INT(N(H7))&lt;=Config!$B$8),V7,"")</f>
        <v>1200</v>
      </c>
      <c r="BS7" s="23" t="n">
        <f aca="false">IF(AND(BO7=1,INT(N(H7))&lt;=Config!$B$5),V7,"")</f>
        <v>1200</v>
      </c>
      <c r="BT7" s="23" t="n">
        <f aca="false">IF(AND(AY7=1,ISNUMBER(K7)),1,0)</f>
        <v>1</v>
      </c>
      <c r="BU7" s="23" t="n">
        <f aca="false">IF(BT7=1,IF(COUNTIFS($AW$2:$AW$201,AW7,$BT$2:$BT$201,1,$H$2:$H$201,"&lt;"&amp;H7)+COUNTIFS($AW$2:$AW$201,AW7,$BT$2:$BT$201,1,$H$2:$H$201,H7,$AX$2:$AX$201,"&lt;"&amp;AX7)=0,1,0),0)</f>
        <v>1</v>
      </c>
      <c r="BV7" s="23" t="n">
        <f aca="false">IF(AND(BU7=1,INT(N(H7))&lt;=Config!$B$5),K7,"")</f>
        <v>1000</v>
      </c>
      <c r="BW7" s="23" t="n">
        <f aca="false">IF(AND(AY7=1,OR(AND(ISNUMBER(R7),TRIM(S7)=""),AND(ISNUMBER(V7),TRIM(W7)=""))),1,0)</f>
        <v>0</v>
      </c>
      <c r="BX7" s="23" t="str">
        <f aca="false">IF(AY7=1,AJ7&amp;"","")</f>
        <v>what_we_get</v>
      </c>
      <c r="BY7" s="23" t="str">
        <f aca="false">IF(AY7=1,AK7&amp;"","")</f>
        <v/>
      </c>
      <c r="BZ7" s="23" t="str">
        <f aca="false">IF(AY7=1,AL7&amp;"","")</f>
        <v/>
      </c>
      <c r="CA7" s="23" t="n">
        <f aca="false">IF(AND(AY7=1,ISNUMBER(AS7),INT(N(H7))&lt;=Config!$B$5),AS7,"")</f>
        <v>10</v>
      </c>
      <c r="CB7" s="23" t="str">
        <f aca="false">IF(AY7=1,IF(COUNTIFS($A$2:$A$201,$A7,$CU$2:$CU$201,1,$AN$2:$AN$201,"Y")&gt;0,"Y","N"),"")</f>
        <v>Y</v>
      </c>
      <c r="CC7" s="23" t="n">
        <f aca="false">IF(AND(AY7=1,AN7="Y"),IF(COUNTIFS($AW$2:$AW$201,AW7,$AN$2:$AN$201,"Y",$AY$2:$AY$201,1,$H$2:$H$201,"&lt;"&amp;H7)+COUNTIFS($AW$2:$AW$201,AW7,$AN$2:$AN$201,"Y",$AY$2:$AY$201,1,$H$2:$H$201,H7,$AX$2:$AX$201,"&lt;"&amp;AX7)=0,1,0),0)</f>
        <v>1</v>
      </c>
      <c r="CD7" s="23" t="n">
        <f aca="false">IF(AND(AY7=1,AB7="Y",AC7="Y",AD7="Y",AE7="Y",AF7="Y",AG7="Y",AI7="Y",TRIM(AH7)&lt;&gt;""),1,0)</f>
        <v>0</v>
      </c>
      <c r="CE7" s="23" t="n">
        <f aca="false">IF(CD7=1,IF(COUNTIFS($AW$2:$AW$201,AW7,$CD$2:$CD$201,1,$H$2:$H$201,"&lt;"&amp;H7)+COUNTIFS($AW$2:$AW$201,AW7,$CD$2:$CD$201,1,$H$2:$H$201,H7,$AX$2:$AX$201,"&lt;"&amp;AX7)=0,1,0),0)</f>
        <v>0</v>
      </c>
      <c r="CF7" s="23" t="n">
        <f aca="false">IF(AND(AY7=1,AO7="Y"),1,0)</f>
        <v>1</v>
      </c>
      <c r="CG7" s="23" t="n">
        <f aca="false">IF(CF7=1,IF(COUNTIFS($AW$2:$AW$201,AW7,$CF$2:$CF$201,1,$H$2:$H$201,"&lt;"&amp;H7)+COUNTIFS($AW$2:$AW$201,AW7,$CF$2:$CF$201,1,$H$2:$H$201,H7,$AX$2:$AX$201,"&lt;"&amp;AX7)=0,1,0),0)</f>
        <v>1</v>
      </c>
      <c r="CH7" s="23" t="n">
        <f aca="false">IF(AND(AY7=1,P7="Y"),1,0)</f>
        <v>0</v>
      </c>
      <c r="CI7" s="23" t="n">
        <f aca="false">IF(CH7=1,IF(COUNTIFS($AW$2:$AW$201,AW7,$CH$2:$CH$201,1,$H$2:$H$201,"&lt;"&amp;H7)+COUNTIFS($AW$2:$AW$201,AW7,$CH$2:$CH$201,1,$H$2:$H$201,H7,$AX$2:$AX$201,"&lt;"&amp;AX7)=0,1,0),0)</f>
        <v>0</v>
      </c>
      <c r="CJ7" s="23" t="n">
        <f aca="false">IF(AND(BU7=1,INT(N(H7))&lt;=Config!$B$5),L7,"")</f>
        <v>1500</v>
      </c>
      <c r="CK7" s="23" t="n">
        <f aca="false">IF(AND(AY7=1,AR7="Y"),1,0)</f>
        <v>1</v>
      </c>
      <c r="CL7" s="23" t="n">
        <f aca="false">IF(CK7=1,IF(COUNTIFS($AW$2:$AW$201,AW7,$CK$2:$CK$201,1,$H$2:$H$201,"&lt;"&amp;H7)+COUNTIFS($AW$2:$AW$201,AW7,$CK$2:$CK$201,1,$H$2:$H$201,H7,$AX$2:$AX$201,"&lt;"&amp;AX7)=0,1,0),0)</f>
        <v>1</v>
      </c>
      <c r="CM7" s="23" t="n">
        <f aca="false">IF(AY7=1,IFERROR(MATCH($A7,INDEX(Clay_Brands!$A$2:$FZ$601,0,Sync!$D$5),0),""),"")</f>
        <v>6</v>
      </c>
      <c r="CN7" s="23" t="str">
        <f aca="false">IF(CM7="","",IFERROR(INDEX(Clay_Brands!$A$2:$FZ$601,CM7,Sync!$D$7)&amp;"",""))</f>
        <v>yes_in_principle</v>
      </c>
      <c r="CO7" s="23" t="n">
        <f aca="false">IF(CN7="","",IFERROR(INDEX(Lists!$K$2:$K$15,MATCH(CN7,Lists!$J$2:$J$15,0)),""))</f>
        <v>7</v>
      </c>
      <c r="CP7" s="23" t="str">
        <f aca="false">IF(CM7="","",IFERROR(INDEX(Clay_Brands!$A$2:$FZ$601,CM7,Sync!$D$17)&amp;"",""))</f>
        <v>Y</v>
      </c>
      <c r="CQ7" s="35" t="n">
        <f aca="false">IF(CM7="","",IFERROR(N(INDEX(Clay_Brands!$A$2:$FZ$601,CM7,Sync!$D$16)),0))</f>
        <v>46330</v>
      </c>
      <c r="CR7" s="23" t="n">
        <f aca="false">IF(AND(AY7=1,OR(O7="N",AND(OR(ISNUMBER(R7),ISNUMBER(V7)),MAX(N(R7),N(V7))&lt;Config!$B$14))),1,0)</f>
        <v>0</v>
      </c>
      <c r="CS7" s="23" t="n">
        <f aca="false">IF(OR(BB7=1,CR7=1),1,0)</f>
        <v>1</v>
      </c>
      <c r="CT7" s="23" t="n">
        <f aca="false">IF(AND(AY7=1,OR(AN7="Y",AN7="N",AN7="maybe")),1,0)</f>
        <v>1</v>
      </c>
      <c r="CU7" s="23" t="n">
        <f aca="false">IF(AND(CT7=1),IF(COUNTIFS($A$2:$A$201,$A7,$CT$2:$CT$201,1,$H$2:$H$201,"&gt;"&amp;H7)+COUNTIFS($A$2:$A$201,$A7,$CT$2:$CT$201,1,$H$2:$H$201,H7,$AX$2:$AX$201,"&gt;"&amp;AX7)=0,1,0),0)</f>
        <v>1</v>
      </c>
      <c r="CV7" s="23" t="n">
        <f aca="false">IF(AND(CS7=1,INT(N(H7))&lt;=Config!$B$6),IF(COUNTIFS($AW$2:$AW$201,AW7,$CS$2:$CS$201,1,$H$2:$H$201,"&gt;"&amp;H7,$H$2:$H$201,"&lt;"&amp;(Config!$B$6+1))+COUNTIFS($AW$2:$AW$201,AW7,$CS$2:$CS$201,1,$H$2:$H$201,H7,$AX$2:$AX$201,"&gt;"&amp;AX7)=0,1,0),0)</f>
        <v>0</v>
      </c>
      <c r="CW7" s="23" t="n">
        <f aca="false">IF(AND(CS7=1,INT(N(H7))&lt;=Config!$B$7),IF(COUNTIFS($AW$2:$AW$201,AW7,$CS$2:$CS$201,1,$H$2:$H$201,"&gt;"&amp;H7,$H$2:$H$201,"&lt;"&amp;(Config!$B$7+1))+COUNTIFS($AW$2:$AW$201,AW7,$CS$2:$CS$201,1,$H$2:$H$201,H7,$AX$2:$AX$201,"&gt;"&amp;AX7)=0,1,0),0)</f>
        <v>1</v>
      </c>
      <c r="CX7" s="23" t="n">
        <f aca="false">IF(AND(CS7=1,INT(N(H7))&lt;=Config!$B$8),IF(COUNTIFS($AW$2:$AW$201,AW7,$CS$2:$CS$201,1,$H$2:$H$201,"&gt;"&amp;H7,$H$2:$H$201,"&lt;"&amp;(Config!$B$8+1))+COUNTIFS($AW$2:$AW$201,AW7,$CS$2:$CS$201,1,$H$2:$H$201,H7,$AX$2:$AX$201,"&gt;"&amp;AX7)=0,1,0),0)</f>
        <v>1</v>
      </c>
      <c r="CY7" s="23" t="n">
        <f aca="false">IF(AND(CS7=1,INT(N(H7))&lt;=Config!$B$5),IF(COUNTIFS($AW$2:$AW$201,AW7,$CS$2:$CS$201,1,$H$2:$H$201,"&gt;"&amp;H7,$H$2:$H$201,"&lt;"&amp;(Config!$B$5+1))+COUNTIFS($AW$2:$AW$201,AW7,$CS$2:$CS$201,1,$H$2:$H$201,H7,$AX$2:$AX$201,"&gt;"&amp;AX7)=0,1,0),0)</f>
        <v>1</v>
      </c>
      <c r="CZ7" s="23" t="n">
        <f aca="false">IF(AY7=1,IF(COUNTIFS($AW$2:$AW$201,AW7,$CV$2:$CV$201,1,$BB$2:$BB$201,1)&gt;0,1,0),0)</f>
        <v>0</v>
      </c>
      <c r="DA7" s="23" t="n">
        <f aca="false">IF(AY7=1,IF(COUNTIFS($AW$2:$AW$201,AW7,$CW$2:$CW$201,1,$BB$2:$BB$201,1)&gt;0,1,0),0)</f>
        <v>1</v>
      </c>
      <c r="DB7" s="23" t="n">
        <f aca="false">IF(AY7=1,IF(COUNTIFS($AW$2:$AW$201,AW7,$CX$2:$CX$201,1,$BB$2:$BB$201,1)&gt;0,1,0),0)</f>
        <v>1</v>
      </c>
      <c r="DC7" s="23" t="n">
        <f aca="false">IF(AY7=1,IF(COUNTIFS($AW$2:$AW$201,AW7,$CY$2:$CY$201,1,$BB$2:$BB$201,1)&gt;0,1,0),0)</f>
        <v>1</v>
      </c>
      <c r="DD7" s="23" t="n">
        <f aca="false">IF(AND(BC7=1,INT(N(H7))&lt;=Config!$B$6,CZ7=1),1,0)</f>
        <v>0</v>
      </c>
      <c r="DE7" s="23" t="n">
        <f aca="false">IF(AND(BC7=1,INT(N(H7))&lt;=Config!$B$7,DA7=1),1,0)</f>
        <v>1</v>
      </c>
      <c r="DF7" s="23" t="n">
        <f aca="false">IF(AND(BC7=1,INT(N(H7))&lt;=Config!$B$8,DB7=1),1,0)</f>
        <v>1</v>
      </c>
      <c r="DG7" s="23" t="n">
        <f aca="false">IF(AND(BC7=1,INT(N(H7))&lt;=Config!$B$5,DC7=1),1,0)</f>
        <v>1</v>
      </c>
      <c r="DH7" s="23" t="n">
        <f aca="false">IF(AND(BE7=1,INT(N(H7))&lt;=Config!$B$6,CZ7=1),1,0)</f>
        <v>0</v>
      </c>
      <c r="DI7" s="23" t="n">
        <f aca="false">IF(AND(BE7=1,INT(N(H7))&lt;=Config!$B$7,DA7=1),1,0)</f>
        <v>1</v>
      </c>
      <c r="DJ7" s="23" t="n">
        <f aca="false">IF(AND(BE7=1,INT(N(H7))&lt;=Config!$B$8,DB7=1),1,0)</f>
        <v>1</v>
      </c>
      <c r="DK7" s="23" t="n">
        <f aca="false">IF(AND(BE7=1,INT(N(H7))&lt;=Config!$B$5,DC7=1),1,0)</f>
        <v>1</v>
      </c>
      <c r="DL7" s="23" t="n">
        <f aca="false">IF(AND(BC7=1,INT(N(H7))&lt;=Config!$B$6,CZ7=0),1,0)</f>
        <v>0</v>
      </c>
      <c r="DM7" s="23" t="n">
        <f aca="false">IF(AND(BC7=1,INT(N(H7))&lt;=Config!$B$7,DA7=0),1,0)</f>
        <v>0</v>
      </c>
      <c r="DN7" s="23" t="n">
        <f aca="false">IF(AND(BC7=1,INT(N(H7))&lt;=Config!$B$8,DB7=0),1,0)</f>
        <v>0</v>
      </c>
      <c r="DO7" s="23" t="n">
        <f aca="false">IF(AND(BC7=1,INT(N(H7))&lt;=Config!$B$5,DC7=0),1,0)</f>
        <v>0</v>
      </c>
      <c r="DP7" s="23" t="n">
        <f aca="false">IF(TRIM($A7)="",0,ISTEXT(K7)+ISTEXT(L7)+ISTEXT(R7)+ISTEXT(V7)+ISTEXT(AP7)+ISTEXT(AS7))</f>
        <v>0</v>
      </c>
      <c r="DQ7" s="23" t="n">
        <f aca="false">IF(AY7=1,IF(H7&lt;&gt;INT(H7),1,0),0)</f>
        <v>0</v>
      </c>
      <c r="DR7" s="23" t="str">
        <f aca="false">IF(TRIM($A7)="","",IF(TRIM(B7)="",SUBSTITUTE(SUBSTITUTE(SUBSTITUTE(SUBSTITUTE(SUBSTITUTE(SUBSTITUTE(LOWER(TRIM($A7)),"~",""),"*",""),"?",""),"&lt;",""),"&gt;",""),"=",""),SUBSTITUTE(SUBSTITUTE(SUBSTITUTE(SUBSTITUTE(SUBSTITUTE(SUBSTITUTE(LOWER(TRIM(B7)),"~",""),"*",""),"?",""),"&lt;",""),"&gt;",""),"=","")))</f>
        <v>sample brand 06</v>
      </c>
      <c r="DS7" s="23" t="str">
        <f aca="false">IF(CM7="","",IFERROR(IF(LEFT(LOWER(TRIM(INDEX(Clay_Brands!$A$2:$FZ$601,CM7,Sync!$D$19)&amp;"")),4)="grp-",SUBSTITUTE(SUBSTITUTE(SUBSTITUTE(SUBSTITUTE(SUBSTITUTE(SUBSTITUTE(LOWER(TRIM(INDEX(Clay_Brands!$A$2:$FZ$601,CM7,Sync!$D$19)&amp;"")),"~",""),"*",""),"?",""),"&lt;",""),"&gt;",""),"=",""),""),""))</f>
        <v/>
      </c>
      <c r="DT7" s="23" t="str">
        <f aca="false">IF(DS7&lt;&gt;"",DR7,"")</f>
        <v/>
      </c>
      <c r="DU7" s="23" t="str">
        <f aca="false">IF(AZ7=1,AW7,"")</f>
        <v>sample brand 06</v>
      </c>
      <c r="DV7" s="23" t="str">
        <f aca="false">IF(TRIM($A7)="","",IFERROR(INDEX($A$2:$A$201,MATCH(AW7,$DU$2:$DU$201,0))&amp;"",$A7&amp;""))</f>
        <v>SAMPLE-B-006</v>
      </c>
      <c r="DW7" s="23" t="n">
        <f aca="false">IF(AY7=1,IF(COUNTIFS($A$2:$A$201,$A7,$AY$2:$AY$201,1,$H$2:$H$201,"&lt;"&amp;H7)+COUNTIFS($A$2:$A$201,$A7,$AY$2:$AY$201,1,$H$2:$H$201,H7,$AX$2:$AX$201,"&lt;"&amp;AX7)=0,1,0),0)</f>
        <v>1</v>
      </c>
      <c r="DX7" s="23" t="n">
        <f aca="false">IF(AZ7=1,IF(COUNTIFS($AW$2:$AW$201,AW7,$DW$2:$DW$201,1)&gt;1,1,0),0)</f>
        <v>0</v>
      </c>
    </row>
    <row r="8" customFormat="false" ht="15" hidden="false" customHeight="false" outlineLevel="0" collapsed="false">
      <c r="A8" s="0" t="s">
        <v>724</v>
      </c>
      <c r="B8" s="0" t="s">
        <v>725</v>
      </c>
      <c r="D8" s="0" t="s">
        <v>726</v>
      </c>
      <c r="E8" s="0" t="s">
        <v>678</v>
      </c>
      <c r="F8" s="0" t="s">
        <v>679</v>
      </c>
      <c r="G8" s="32" t="s">
        <v>453</v>
      </c>
      <c r="H8" s="33" t="n">
        <v>46331</v>
      </c>
      <c r="I8" s="32" t="s">
        <v>454</v>
      </c>
      <c r="J8" s="32" t="s">
        <v>680</v>
      </c>
      <c r="K8" s="0" t="n">
        <v>2000</v>
      </c>
      <c r="L8" s="0" t="n">
        <v>2500</v>
      </c>
      <c r="M8" s="32" t="s">
        <v>681</v>
      </c>
      <c r="N8" s="32" t="s">
        <v>682</v>
      </c>
      <c r="O8" s="32" t="s">
        <v>460</v>
      </c>
      <c r="P8" s="32" t="s">
        <v>457</v>
      </c>
      <c r="Q8" s="32" t="s">
        <v>683</v>
      </c>
      <c r="R8" s="0" t="n">
        <v>300</v>
      </c>
      <c r="S8" s="32" t="s">
        <v>727</v>
      </c>
      <c r="U8" s="32" t="s">
        <v>460</v>
      </c>
      <c r="V8" s="0" t="n">
        <v>300</v>
      </c>
      <c r="W8" s="32" t="s">
        <v>728</v>
      </c>
      <c r="X8" s="32" t="s">
        <v>686</v>
      </c>
      <c r="Y8" s="32" t="s">
        <v>687</v>
      </c>
      <c r="Z8" s="32" t="s">
        <v>688</v>
      </c>
      <c r="AA8" s="32" t="s">
        <v>689</v>
      </c>
      <c r="AB8" s="32" t="s">
        <v>460</v>
      </c>
      <c r="AC8" s="32" t="s">
        <v>460</v>
      </c>
      <c r="AD8" s="32" t="s">
        <v>460</v>
      </c>
      <c r="AE8" s="32" t="s">
        <v>460</v>
      </c>
      <c r="AF8" s="32" t="s">
        <v>457</v>
      </c>
      <c r="AG8" s="32" t="s">
        <v>460</v>
      </c>
      <c r="AH8" s="32" t="s">
        <v>690</v>
      </c>
      <c r="AI8" s="32" t="s">
        <v>460</v>
      </c>
      <c r="AJ8" s="32" t="s">
        <v>106</v>
      </c>
      <c r="AK8" s="32" t="s">
        <v>121</v>
      </c>
      <c r="AM8" s="32" t="s">
        <v>729</v>
      </c>
      <c r="AN8" s="32" t="s">
        <v>457</v>
      </c>
      <c r="AO8" s="32"/>
      <c r="AP8" s="0" t="n">
        <v>0</v>
      </c>
      <c r="AR8" s="32"/>
      <c r="AS8" s="0" t="n">
        <v>9</v>
      </c>
      <c r="AT8" s="32" t="s">
        <v>460</v>
      </c>
      <c r="AV8" s="34" t="str">
        <f aca="false">IF(TRIM($A8)="","",IF(AND(LEFT($A8,6)="SAMPLE",Config!$B$19&lt;&gt;"Y"),"",IF(NOT(ISNUMBER(H8)),"call_date is blank or not a date",IF(Sync!$D$5="","Clay paste is empty or has no row_id column: paste the Clay export on Clay_Brands",IF(CM8="","row_id not found in the Clay paste: add the Clay row or fix the row_id",IF(AND(ISNUMBER(CO8),CO8&gt;=1,CO8&lt;=5),"Clay status is "&amp;CN8&amp;": set call_done or later",IF(AND(BA8=1,CP8&lt;&gt;CB8),"Clay yes_in_principle should be "&amp;CB8,IF(AND(BA8=1,CQ8&lt;&gt;H8),"Clay call_date should be "&amp;TEXT(H8,"yyyy-mm-dd"),""))))))))</f>
        <v/>
      </c>
      <c r="AW8" s="23" t="str">
        <f aca="false">IF(TRIM($A8)="","",IF(TRIM(C8)&lt;&gt;"",SUBSTITUTE(SUBSTITUTE(SUBSTITUTE(SUBSTITUTE(SUBSTITUTE(SUBSTITUTE(LOWER(TRIM(C8)),"~",""),"*",""),"?",""),"&lt;",""),"&gt;",""),"=",""),IF(DS8&lt;&gt;"",DS8,IFERROR(INDEX($DS$2:$DS$201,MATCH(DR8,$DT$2:$DT$201,0)),DR8))))</f>
        <v>sample brand 07</v>
      </c>
      <c r="AX8" s="23" t="n">
        <f aca="false">ROW()</f>
        <v>8</v>
      </c>
      <c r="AY8" s="23" t="n">
        <f aca="false">IF(AND(TRIM($A8)&lt;&gt;"",ISNUMBER(H8)),IF(AND(LEFT($A8,6)="SAMPLE",Config!$B$19&lt;&gt;"Y"),0,1),0)</f>
        <v>1</v>
      </c>
      <c r="AZ8" s="23" t="n">
        <f aca="false">IF(AY8=1,IF(COUNTIFS($AW$2:$AW$201,AW8,$AY$2:$AY$201,1,$H$2:$H$201,"&lt;"&amp;H8)+COUNTIFS($AW$2:$AW$201,AW8,$AY$2:$AY$201,1,$H$2:$H$201,H8,$AX$2:$AX$201,"&lt;"&amp;AX8)=0,1,0),0)</f>
        <v>1</v>
      </c>
      <c r="BA8" s="23" t="n">
        <f aca="false">IF(AY8=1,IF(COUNTIFS($A$2:$A$201,$A8,$AY$2:$AY$201,1,$H$2:$H$201,"&gt;"&amp;H8)+COUNTIFS($A$2:$A$201,$A8,$AY$2:$AY$201,1,$H$2:$H$201,H8,$AX$2:$AX$201,"&gt;"&amp;AX8)=0,1,0),0)</f>
        <v>1</v>
      </c>
      <c r="BB8" s="23" t="n">
        <f aca="false">IF(AND(AY8=1,O8="Y",MAX(N(R8),N(V8))&gt;=Config!$B$14),1,0)</f>
        <v>0</v>
      </c>
      <c r="BC8" s="23" t="n">
        <f aca="false">IF(BB8=1,IF(COUNTIFS($AW$2:$AW$201,AW8,$BB$2:$BB$201,1,$H$2:$H$201,"&lt;"&amp;H8)+COUNTIFS($AW$2:$AW$201,AW8,$BB$2:$BB$201,1,$H$2:$H$201,H8,$AX$2:$AX$201,"&lt;"&amp;AX8)=0,1,0),0)</f>
        <v>0</v>
      </c>
      <c r="BD8" s="23" t="n">
        <f aca="false">IF(AND(AY8=1,O8="Y",ISNUMBER(R8)),IF(R8&gt;=Config!$B$14,1,0),0)</f>
        <v>0</v>
      </c>
      <c r="BE8" s="23" t="n">
        <f aca="false">IF(BD8=1,IF(COUNTIFS($AW$2:$AW$201,AW8,$BD$2:$BD$201,1,$H$2:$H$201,"&lt;"&amp;H8)+COUNTIFS($AW$2:$AW$201,AW8,$BD$2:$BD$201,1,$H$2:$H$201,H8,$AX$2:$AX$201,"&lt;"&amp;AX8)=0,1,0),0)</f>
        <v>0</v>
      </c>
      <c r="BF8" s="23" t="n">
        <f aca="false">IF(AND(AY8=1,O8&lt;&gt;"Y",MAX(N(R8),N(V8))&gt;=Config!$B$14),1,0)</f>
        <v>0</v>
      </c>
      <c r="BG8" s="23" t="n">
        <f aca="false">IF(BF8=1,IF(COUNTIFS($AW$2:$AW$201,AW8,$BF$2:$BF$201,1,$H$2:$H$201,"&lt;"&amp;H8)+COUNTIFS($AW$2:$AW$201,AW8,$BF$2:$BF$201,1,$H$2:$H$201,H8,$AX$2:$AX$201,"&lt;"&amp;AX8)=0,1,0),0)</f>
        <v>0</v>
      </c>
      <c r="BH8" s="23" t="n">
        <f aca="false">IF(AND(AY8=1,ISNUMBER(R8)),1,0)</f>
        <v>1</v>
      </c>
      <c r="BI8" s="23" t="n">
        <f aca="false">IF(BH8=1,IF(COUNTIFS($AW$2:$AW$201,AW8,$BH$2:$BH$201,1,$H$2:$H$201,"&lt;"&amp;H8)+COUNTIFS($AW$2:$AW$201,AW8,$BH$2:$BH$201,1,$H$2:$H$201,H8,$AX$2:$AX$201,"&lt;"&amp;AX8)=0,1,0),0)</f>
        <v>1</v>
      </c>
      <c r="BJ8" s="23" t="str">
        <f aca="false">IF(AND(BI8=1,INT(N(H8))&lt;=Config!$B$6),R8,"")</f>
        <v/>
      </c>
      <c r="BK8" s="23" t="n">
        <f aca="false">IF(AND(BI8=1,INT(N(H8))&lt;=Config!$B$7),R8,"")</f>
        <v>300</v>
      </c>
      <c r="BL8" s="23" t="n">
        <f aca="false">IF(AND(BI8=1,INT(N(H8))&lt;=Config!$B$8),R8,"")</f>
        <v>300</v>
      </c>
      <c r="BM8" s="23" t="n">
        <f aca="false">IF(AND(BI8=1,INT(N(H8))&lt;=Config!$B$5),R8,"")</f>
        <v>300</v>
      </c>
      <c r="BN8" s="23" t="n">
        <f aca="false">IF(AND(AY8=1,ISNUMBER(V8)),1,0)</f>
        <v>1</v>
      </c>
      <c r="BO8" s="23" t="n">
        <f aca="false">IF(BN8=1,IF(COUNTIFS($AW$2:$AW$201,AW8,$BN$2:$BN$201,1,$H$2:$H$201,"&lt;"&amp;H8)+COUNTIFS($AW$2:$AW$201,AW8,$BN$2:$BN$201,1,$H$2:$H$201,H8,$AX$2:$AX$201,"&lt;"&amp;AX8)=0,1,0),0)</f>
        <v>1</v>
      </c>
      <c r="BP8" s="23" t="str">
        <f aca="false">IF(AND(BO8=1,INT(N(H8))&lt;=Config!$B$6),V8,"")</f>
        <v/>
      </c>
      <c r="BQ8" s="23" t="n">
        <f aca="false">IF(AND(BO8=1,INT(N(H8))&lt;=Config!$B$7),V8,"")</f>
        <v>300</v>
      </c>
      <c r="BR8" s="23" t="n">
        <f aca="false">IF(AND(BO8=1,INT(N(H8))&lt;=Config!$B$8),V8,"")</f>
        <v>300</v>
      </c>
      <c r="BS8" s="23" t="n">
        <f aca="false">IF(AND(BO8=1,INT(N(H8))&lt;=Config!$B$5),V8,"")</f>
        <v>300</v>
      </c>
      <c r="BT8" s="23" t="n">
        <f aca="false">IF(AND(AY8=1,ISNUMBER(K8)),1,0)</f>
        <v>1</v>
      </c>
      <c r="BU8" s="23" t="n">
        <f aca="false">IF(BT8=1,IF(COUNTIFS($AW$2:$AW$201,AW8,$BT$2:$BT$201,1,$H$2:$H$201,"&lt;"&amp;H8)+COUNTIFS($AW$2:$AW$201,AW8,$BT$2:$BT$201,1,$H$2:$H$201,H8,$AX$2:$AX$201,"&lt;"&amp;AX8)=0,1,0),0)</f>
        <v>1</v>
      </c>
      <c r="BV8" s="23" t="n">
        <f aca="false">IF(AND(BU8=1,INT(N(H8))&lt;=Config!$B$5),K8,"")</f>
        <v>2000</v>
      </c>
      <c r="BW8" s="23" t="n">
        <f aca="false">IF(AND(AY8=1,OR(AND(ISNUMBER(R8),TRIM(S8)=""),AND(ISNUMBER(V8),TRIM(W8)=""))),1,0)</f>
        <v>0</v>
      </c>
      <c r="BX8" s="23" t="str">
        <f aca="false">IF(AY8=1,AJ8&amp;"","")</f>
        <v>price_per_sample</v>
      </c>
      <c r="BY8" s="23" t="str">
        <f aca="false">IF(AY8=1,AK8&amp;"","")</f>
        <v>budget_timing</v>
      </c>
      <c r="BZ8" s="23" t="str">
        <f aca="false">IF(AY8=1,AL8&amp;"","")</f>
        <v/>
      </c>
      <c r="CA8" s="23" t="n">
        <f aca="false">IF(AND(AY8=1,ISNUMBER(AS8),INT(N(H8))&lt;=Config!$B$5),AS8,"")</f>
        <v>9</v>
      </c>
      <c r="CB8" s="23" t="str">
        <f aca="false">IF(AY8=1,IF(COUNTIFS($A$2:$A$201,$A8,$CU$2:$CU$201,1,$AN$2:$AN$201,"Y")&gt;0,"Y","N"),"")</f>
        <v>N</v>
      </c>
      <c r="CC8" s="23" t="n">
        <f aca="false">IF(AND(AY8=1,AN8="Y"),IF(COUNTIFS($AW$2:$AW$201,AW8,$AN$2:$AN$201,"Y",$AY$2:$AY$201,1,$H$2:$H$201,"&lt;"&amp;H8)+COUNTIFS($AW$2:$AW$201,AW8,$AN$2:$AN$201,"Y",$AY$2:$AY$201,1,$H$2:$H$201,H8,$AX$2:$AX$201,"&lt;"&amp;AX8)=0,1,0),0)</f>
        <v>0</v>
      </c>
      <c r="CD8" s="23" t="n">
        <f aca="false">IF(AND(AY8=1,AB8="Y",AC8="Y",AD8="Y",AE8="Y",AF8="Y",AG8="Y",AI8="Y",TRIM(AH8)&lt;&gt;""),1,0)</f>
        <v>0</v>
      </c>
      <c r="CE8" s="23" t="n">
        <f aca="false">IF(CD8=1,IF(COUNTIFS($AW$2:$AW$201,AW8,$CD$2:$CD$201,1,$H$2:$H$201,"&lt;"&amp;H8)+COUNTIFS($AW$2:$AW$201,AW8,$CD$2:$CD$201,1,$H$2:$H$201,H8,$AX$2:$AX$201,"&lt;"&amp;AX8)=0,1,0),0)</f>
        <v>0</v>
      </c>
      <c r="CF8" s="23" t="n">
        <f aca="false">IF(AND(AY8=1,AO8="Y"),1,0)</f>
        <v>0</v>
      </c>
      <c r="CG8" s="23" t="n">
        <f aca="false">IF(CF8=1,IF(COUNTIFS($AW$2:$AW$201,AW8,$CF$2:$CF$201,1,$H$2:$H$201,"&lt;"&amp;H8)+COUNTIFS($AW$2:$AW$201,AW8,$CF$2:$CF$201,1,$H$2:$H$201,H8,$AX$2:$AX$201,"&lt;"&amp;AX8)=0,1,0),0)</f>
        <v>0</v>
      </c>
      <c r="CH8" s="23" t="n">
        <f aca="false">IF(AND(AY8=1,P8="Y"),1,0)</f>
        <v>0</v>
      </c>
      <c r="CI8" s="23" t="n">
        <f aca="false">IF(CH8=1,IF(COUNTIFS($AW$2:$AW$201,AW8,$CH$2:$CH$201,1,$H$2:$H$201,"&lt;"&amp;H8)+COUNTIFS($AW$2:$AW$201,AW8,$CH$2:$CH$201,1,$H$2:$H$201,H8,$AX$2:$AX$201,"&lt;"&amp;AX8)=0,1,0),0)</f>
        <v>0</v>
      </c>
      <c r="CJ8" s="23" t="n">
        <f aca="false">IF(AND(BU8=1,INT(N(H8))&lt;=Config!$B$5),L8,"")</f>
        <v>2500</v>
      </c>
      <c r="CK8" s="23" t="n">
        <f aca="false">IF(AND(AY8=1,AR8="Y"),1,0)</f>
        <v>0</v>
      </c>
      <c r="CL8" s="23" t="n">
        <f aca="false">IF(CK8=1,IF(COUNTIFS($AW$2:$AW$201,AW8,$CK$2:$CK$201,1,$H$2:$H$201,"&lt;"&amp;H8)+COUNTIFS($AW$2:$AW$201,AW8,$CK$2:$CK$201,1,$H$2:$H$201,H8,$AX$2:$AX$201,"&lt;"&amp;AX8)=0,1,0),0)</f>
        <v>0</v>
      </c>
      <c r="CM8" s="23" t="n">
        <f aca="false">IF(AY8=1,IFERROR(MATCH($A8,INDEX(Clay_Brands!$A$2:$FZ$601,0,Sync!$D$5),0),""),"")</f>
        <v>7</v>
      </c>
      <c r="CN8" s="23" t="str">
        <f aca="false">IF(CM8="","",IFERROR(INDEX(Clay_Brands!$A$2:$FZ$601,CM8,Sync!$D$7)&amp;"",""))</f>
        <v>call_done</v>
      </c>
      <c r="CO8" s="23" t="n">
        <f aca="false">IF(CN8="","",IFERROR(INDEX(Lists!$K$2:$K$15,MATCH(CN8,Lists!$J$2:$J$15,0)),""))</f>
        <v>6</v>
      </c>
      <c r="CP8" s="23" t="str">
        <f aca="false">IF(CM8="","",IFERROR(INDEX(Clay_Brands!$A$2:$FZ$601,CM8,Sync!$D$17)&amp;"",""))</f>
        <v>N</v>
      </c>
      <c r="CQ8" s="35" t="n">
        <f aca="false">IF(CM8="","",IFERROR(N(INDEX(Clay_Brands!$A$2:$FZ$601,CM8,Sync!$D$16)),0))</f>
        <v>46331</v>
      </c>
      <c r="CR8" s="23" t="n">
        <f aca="false">IF(AND(AY8=1,OR(O8="N",AND(OR(ISNUMBER(R8),ISNUMBER(V8)),MAX(N(R8),N(V8))&lt;Config!$B$14))),1,0)</f>
        <v>1</v>
      </c>
      <c r="CS8" s="23" t="n">
        <f aca="false">IF(OR(BB8=1,CR8=1),1,0)</f>
        <v>1</v>
      </c>
      <c r="CT8" s="23" t="n">
        <f aca="false">IF(AND(AY8=1,OR(AN8="Y",AN8="N",AN8="maybe")),1,0)</f>
        <v>1</v>
      </c>
      <c r="CU8" s="23" t="n">
        <f aca="false">IF(AND(CT8=1),IF(COUNTIFS($A$2:$A$201,$A8,$CT$2:$CT$201,1,$H$2:$H$201,"&gt;"&amp;H8)+COUNTIFS($A$2:$A$201,$A8,$CT$2:$CT$201,1,$H$2:$H$201,H8,$AX$2:$AX$201,"&gt;"&amp;AX8)=0,1,0),0)</f>
        <v>1</v>
      </c>
      <c r="CV8" s="23" t="n">
        <f aca="false">IF(AND(CS8=1,INT(N(H8))&lt;=Config!$B$6),IF(COUNTIFS($AW$2:$AW$201,AW8,$CS$2:$CS$201,1,$H$2:$H$201,"&gt;"&amp;H8,$H$2:$H$201,"&lt;"&amp;(Config!$B$6+1))+COUNTIFS($AW$2:$AW$201,AW8,$CS$2:$CS$201,1,$H$2:$H$201,H8,$AX$2:$AX$201,"&gt;"&amp;AX8)=0,1,0),0)</f>
        <v>0</v>
      </c>
      <c r="CW8" s="23" t="n">
        <f aca="false">IF(AND(CS8=1,INT(N(H8))&lt;=Config!$B$7),IF(COUNTIFS($AW$2:$AW$201,AW8,$CS$2:$CS$201,1,$H$2:$H$201,"&gt;"&amp;H8,$H$2:$H$201,"&lt;"&amp;(Config!$B$7+1))+COUNTIFS($AW$2:$AW$201,AW8,$CS$2:$CS$201,1,$H$2:$H$201,H8,$AX$2:$AX$201,"&gt;"&amp;AX8)=0,1,0),0)</f>
        <v>1</v>
      </c>
      <c r="CX8" s="23" t="n">
        <f aca="false">IF(AND(CS8=1,INT(N(H8))&lt;=Config!$B$8),IF(COUNTIFS($AW$2:$AW$201,AW8,$CS$2:$CS$201,1,$H$2:$H$201,"&gt;"&amp;H8,$H$2:$H$201,"&lt;"&amp;(Config!$B$8+1))+COUNTIFS($AW$2:$AW$201,AW8,$CS$2:$CS$201,1,$H$2:$H$201,H8,$AX$2:$AX$201,"&gt;"&amp;AX8)=0,1,0),0)</f>
        <v>1</v>
      </c>
      <c r="CY8" s="23" t="n">
        <f aca="false">IF(AND(CS8=1,INT(N(H8))&lt;=Config!$B$5),IF(COUNTIFS($AW$2:$AW$201,AW8,$CS$2:$CS$201,1,$H$2:$H$201,"&gt;"&amp;H8,$H$2:$H$201,"&lt;"&amp;(Config!$B$5+1))+COUNTIFS($AW$2:$AW$201,AW8,$CS$2:$CS$201,1,$H$2:$H$201,H8,$AX$2:$AX$201,"&gt;"&amp;AX8)=0,1,0),0)</f>
        <v>1</v>
      </c>
      <c r="CZ8" s="23" t="n">
        <f aca="false">IF(AY8=1,IF(COUNTIFS($AW$2:$AW$201,AW8,$CV$2:$CV$201,1,$BB$2:$BB$201,1)&gt;0,1,0),0)</f>
        <v>0</v>
      </c>
      <c r="DA8" s="23" t="n">
        <f aca="false">IF(AY8=1,IF(COUNTIFS($AW$2:$AW$201,AW8,$CW$2:$CW$201,1,$BB$2:$BB$201,1)&gt;0,1,0),0)</f>
        <v>0</v>
      </c>
      <c r="DB8" s="23" t="n">
        <f aca="false">IF(AY8=1,IF(COUNTIFS($AW$2:$AW$201,AW8,$CX$2:$CX$201,1,$BB$2:$BB$201,1)&gt;0,1,0),0)</f>
        <v>0</v>
      </c>
      <c r="DC8" s="23" t="n">
        <f aca="false">IF(AY8=1,IF(COUNTIFS($AW$2:$AW$201,AW8,$CY$2:$CY$201,1,$BB$2:$BB$201,1)&gt;0,1,0),0)</f>
        <v>0</v>
      </c>
      <c r="DD8" s="23" t="n">
        <f aca="false">IF(AND(BC8=1,INT(N(H8))&lt;=Config!$B$6,CZ8=1),1,0)</f>
        <v>0</v>
      </c>
      <c r="DE8" s="23" t="n">
        <f aca="false">IF(AND(BC8=1,INT(N(H8))&lt;=Config!$B$7,DA8=1),1,0)</f>
        <v>0</v>
      </c>
      <c r="DF8" s="23" t="n">
        <f aca="false">IF(AND(BC8=1,INT(N(H8))&lt;=Config!$B$8,DB8=1),1,0)</f>
        <v>0</v>
      </c>
      <c r="DG8" s="23" t="n">
        <f aca="false">IF(AND(BC8=1,INT(N(H8))&lt;=Config!$B$5,DC8=1),1,0)</f>
        <v>0</v>
      </c>
      <c r="DH8" s="23" t="n">
        <f aca="false">IF(AND(BE8=1,INT(N(H8))&lt;=Config!$B$6,CZ8=1),1,0)</f>
        <v>0</v>
      </c>
      <c r="DI8" s="23" t="n">
        <f aca="false">IF(AND(BE8=1,INT(N(H8))&lt;=Config!$B$7,DA8=1),1,0)</f>
        <v>0</v>
      </c>
      <c r="DJ8" s="23" t="n">
        <f aca="false">IF(AND(BE8=1,INT(N(H8))&lt;=Config!$B$8,DB8=1),1,0)</f>
        <v>0</v>
      </c>
      <c r="DK8" s="23" t="n">
        <f aca="false">IF(AND(BE8=1,INT(N(H8))&lt;=Config!$B$5,DC8=1),1,0)</f>
        <v>0</v>
      </c>
      <c r="DL8" s="23" t="n">
        <f aca="false">IF(AND(BC8=1,INT(N(H8))&lt;=Config!$B$6,CZ8=0),1,0)</f>
        <v>0</v>
      </c>
      <c r="DM8" s="23" t="n">
        <f aca="false">IF(AND(BC8=1,INT(N(H8))&lt;=Config!$B$7,DA8=0),1,0)</f>
        <v>0</v>
      </c>
      <c r="DN8" s="23" t="n">
        <f aca="false">IF(AND(BC8=1,INT(N(H8))&lt;=Config!$B$8,DB8=0),1,0)</f>
        <v>0</v>
      </c>
      <c r="DO8" s="23" t="n">
        <f aca="false">IF(AND(BC8=1,INT(N(H8))&lt;=Config!$B$5,DC8=0),1,0)</f>
        <v>0</v>
      </c>
      <c r="DP8" s="23" t="n">
        <f aca="false">IF(TRIM($A8)="",0,ISTEXT(K8)+ISTEXT(L8)+ISTEXT(R8)+ISTEXT(V8)+ISTEXT(AP8)+ISTEXT(AS8))</f>
        <v>0</v>
      </c>
      <c r="DQ8" s="23" t="n">
        <f aca="false">IF(AY8=1,IF(H8&lt;&gt;INT(H8),1,0),0)</f>
        <v>0</v>
      </c>
      <c r="DR8" s="23" t="str">
        <f aca="false">IF(TRIM($A8)="","",IF(TRIM(B8)="",SUBSTITUTE(SUBSTITUTE(SUBSTITUTE(SUBSTITUTE(SUBSTITUTE(SUBSTITUTE(LOWER(TRIM($A8)),"~",""),"*",""),"?",""),"&lt;",""),"&gt;",""),"=",""),SUBSTITUTE(SUBSTITUTE(SUBSTITUTE(SUBSTITUTE(SUBSTITUTE(SUBSTITUTE(LOWER(TRIM(B8)),"~",""),"*",""),"?",""),"&lt;",""),"&gt;",""),"=","")))</f>
        <v>sample brand 07</v>
      </c>
      <c r="DS8" s="23" t="str">
        <f aca="false">IF(CM8="","",IFERROR(IF(LEFT(LOWER(TRIM(INDEX(Clay_Brands!$A$2:$FZ$601,CM8,Sync!$D$19)&amp;"")),4)="grp-",SUBSTITUTE(SUBSTITUTE(SUBSTITUTE(SUBSTITUTE(SUBSTITUTE(SUBSTITUTE(LOWER(TRIM(INDEX(Clay_Brands!$A$2:$FZ$601,CM8,Sync!$D$19)&amp;"")),"~",""),"*",""),"?",""),"&lt;",""),"&gt;",""),"=",""),""),""))</f>
        <v/>
      </c>
      <c r="DT8" s="23" t="str">
        <f aca="false">IF(DS8&lt;&gt;"",DR8,"")</f>
        <v/>
      </c>
      <c r="DU8" s="23" t="str">
        <f aca="false">IF(AZ8=1,AW8,"")</f>
        <v>sample brand 07</v>
      </c>
      <c r="DV8" s="23" t="str">
        <f aca="false">IF(TRIM($A8)="","",IFERROR(INDEX($A$2:$A$201,MATCH(AW8,$DU$2:$DU$201,0))&amp;"",$A8&amp;""))</f>
        <v>SAMPLE-B-007</v>
      </c>
      <c r="DW8" s="23" t="n">
        <f aca="false">IF(AY8=1,IF(COUNTIFS($A$2:$A$201,$A8,$AY$2:$AY$201,1,$H$2:$H$201,"&lt;"&amp;H8)+COUNTIFS($A$2:$A$201,$A8,$AY$2:$AY$201,1,$H$2:$H$201,H8,$AX$2:$AX$201,"&lt;"&amp;AX8)=0,1,0),0)</f>
        <v>1</v>
      </c>
      <c r="DX8" s="23" t="n">
        <f aca="false">IF(AZ8=1,IF(COUNTIFS($AW$2:$AW$201,AW8,$DW$2:$DW$201,1)&gt;1,1,0),0)</f>
        <v>0</v>
      </c>
    </row>
    <row r="9" customFormat="false" ht="15" hidden="false" customHeight="false" outlineLevel="0" collapsed="false">
      <c r="A9" s="0" t="s">
        <v>730</v>
      </c>
      <c r="B9" s="0" t="s">
        <v>731</v>
      </c>
      <c r="D9" s="0" t="s">
        <v>732</v>
      </c>
      <c r="E9" s="0" t="s">
        <v>695</v>
      </c>
      <c r="F9" s="0" t="s">
        <v>679</v>
      </c>
      <c r="G9" s="32" t="s">
        <v>453</v>
      </c>
      <c r="H9" s="33" t="n">
        <v>46335</v>
      </c>
      <c r="I9" s="32" t="s">
        <v>454</v>
      </c>
      <c r="J9" s="32" t="s">
        <v>680</v>
      </c>
      <c r="K9" s="0" t="n">
        <v>3000</v>
      </c>
      <c r="L9" s="0" t="n">
        <v>3500</v>
      </c>
      <c r="M9" s="32" t="s">
        <v>681</v>
      </c>
      <c r="N9" s="32" t="s">
        <v>682</v>
      </c>
      <c r="O9" s="32" t="s">
        <v>460</v>
      </c>
      <c r="P9" s="32" t="s">
        <v>457</v>
      </c>
      <c r="Q9" s="32" t="s">
        <v>683</v>
      </c>
      <c r="R9" s="0" t="n">
        <v>2000</v>
      </c>
      <c r="S9" s="32" t="s">
        <v>733</v>
      </c>
      <c r="U9" s="32" t="s">
        <v>457</v>
      </c>
      <c r="X9" s="32" t="s">
        <v>686</v>
      </c>
      <c r="Y9" s="32" t="s">
        <v>698</v>
      </c>
      <c r="Z9" s="32" t="s">
        <v>688</v>
      </c>
      <c r="AA9" s="32" t="s">
        <v>689</v>
      </c>
      <c r="AB9" s="32" t="s">
        <v>511</v>
      </c>
      <c r="AC9" s="32" t="s">
        <v>460</v>
      </c>
      <c r="AD9" s="32" t="s">
        <v>460</v>
      </c>
      <c r="AE9" s="32" t="s">
        <v>460</v>
      </c>
      <c r="AF9" s="32" t="s">
        <v>460</v>
      </c>
      <c r="AG9" s="32" t="s">
        <v>460</v>
      </c>
      <c r="AI9" s="32" t="s">
        <v>460</v>
      </c>
      <c r="AJ9" s="32" t="s">
        <v>145</v>
      </c>
      <c r="AK9" s="32"/>
      <c r="AM9" s="32" t="s">
        <v>734</v>
      </c>
      <c r="AN9" s="32" t="s">
        <v>460</v>
      </c>
      <c r="AO9" s="32" t="s">
        <v>460</v>
      </c>
      <c r="AP9" s="0" t="n">
        <v>0</v>
      </c>
      <c r="AR9" s="32"/>
      <c r="AS9" s="0" t="n">
        <v>12</v>
      </c>
      <c r="AT9" s="32" t="s">
        <v>460</v>
      </c>
      <c r="AV9" s="34" t="str">
        <f aca="false">IF(TRIM($A9)="","",IF(AND(LEFT($A9,6)="SAMPLE",Config!$B$19&lt;&gt;"Y"),"",IF(NOT(ISNUMBER(H9)),"call_date is blank or not a date",IF(Sync!$D$5="","Clay paste is empty or has no row_id column: paste the Clay export on Clay_Brands",IF(CM9="","row_id not found in the Clay paste: add the Clay row or fix the row_id",IF(AND(ISNUMBER(CO9),CO9&gt;=1,CO9&lt;=5),"Clay status is "&amp;CN9&amp;": set call_done or later",IF(AND(BA9=1,CP9&lt;&gt;CB9),"Clay yes_in_principle should be "&amp;CB9,IF(AND(BA9=1,CQ9&lt;&gt;H9),"Clay call_date should be "&amp;TEXT(H9,"yyyy-mm-dd"),""))))))))</f>
        <v/>
      </c>
      <c r="AW9" s="23" t="str">
        <f aca="false">IF(TRIM($A9)="","",IF(TRIM(C9)&lt;&gt;"",SUBSTITUTE(SUBSTITUTE(SUBSTITUTE(SUBSTITUTE(SUBSTITUTE(SUBSTITUTE(LOWER(TRIM(C9)),"~",""),"*",""),"?",""),"&lt;",""),"&gt;",""),"=",""),IF(DS9&lt;&gt;"",DS9,IFERROR(INDEX($DS$2:$DS$201,MATCH(DR9,$DT$2:$DT$201,0)),DR9))))</f>
        <v>sample brand 08</v>
      </c>
      <c r="AX9" s="23" t="n">
        <f aca="false">ROW()</f>
        <v>9</v>
      </c>
      <c r="AY9" s="23" t="n">
        <f aca="false">IF(AND(TRIM($A9)&lt;&gt;"",ISNUMBER(H9)),IF(AND(LEFT($A9,6)="SAMPLE",Config!$B$19&lt;&gt;"Y"),0,1),0)</f>
        <v>1</v>
      </c>
      <c r="AZ9" s="23" t="n">
        <f aca="false">IF(AY9=1,IF(COUNTIFS($AW$2:$AW$201,AW9,$AY$2:$AY$201,1,$H$2:$H$201,"&lt;"&amp;H9)+COUNTIFS($AW$2:$AW$201,AW9,$AY$2:$AY$201,1,$H$2:$H$201,H9,$AX$2:$AX$201,"&lt;"&amp;AX9)=0,1,0),0)</f>
        <v>1</v>
      </c>
      <c r="BA9" s="23" t="n">
        <f aca="false">IF(AY9=1,IF(COUNTIFS($A$2:$A$201,$A9,$AY$2:$AY$201,1,$H$2:$H$201,"&gt;"&amp;H9)+COUNTIFS($A$2:$A$201,$A9,$AY$2:$AY$201,1,$H$2:$H$201,H9,$AX$2:$AX$201,"&gt;"&amp;AX9)=0,1,0),0)</f>
        <v>1</v>
      </c>
      <c r="BB9" s="23" t="n">
        <f aca="false">IF(AND(AY9=1,O9="Y",MAX(N(R9),N(V9))&gt;=Config!$B$14),1,0)</f>
        <v>1</v>
      </c>
      <c r="BC9" s="23" t="n">
        <f aca="false">IF(BB9=1,IF(COUNTIFS($AW$2:$AW$201,AW9,$BB$2:$BB$201,1,$H$2:$H$201,"&lt;"&amp;H9)+COUNTIFS($AW$2:$AW$201,AW9,$BB$2:$BB$201,1,$H$2:$H$201,H9,$AX$2:$AX$201,"&lt;"&amp;AX9)=0,1,0),0)</f>
        <v>1</v>
      </c>
      <c r="BD9" s="23" t="n">
        <f aca="false">IF(AND(AY9=1,O9="Y",ISNUMBER(R9)),IF(R9&gt;=Config!$B$14,1,0),0)</f>
        <v>1</v>
      </c>
      <c r="BE9" s="23" t="n">
        <f aca="false">IF(BD9=1,IF(COUNTIFS($AW$2:$AW$201,AW9,$BD$2:$BD$201,1,$H$2:$H$201,"&lt;"&amp;H9)+COUNTIFS($AW$2:$AW$201,AW9,$BD$2:$BD$201,1,$H$2:$H$201,H9,$AX$2:$AX$201,"&lt;"&amp;AX9)=0,1,0),0)</f>
        <v>1</v>
      </c>
      <c r="BF9" s="23" t="n">
        <f aca="false">IF(AND(AY9=1,O9&lt;&gt;"Y",MAX(N(R9),N(V9))&gt;=Config!$B$14),1,0)</f>
        <v>0</v>
      </c>
      <c r="BG9" s="23" t="n">
        <f aca="false">IF(BF9=1,IF(COUNTIFS($AW$2:$AW$201,AW9,$BF$2:$BF$201,1,$H$2:$H$201,"&lt;"&amp;H9)+COUNTIFS($AW$2:$AW$201,AW9,$BF$2:$BF$201,1,$H$2:$H$201,H9,$AX$2:$AX$201,"&lt;"&amp;AX9)=0,1,0),0)</f>
        <v>0</v>
      </c>
      <c r="BH9" s="23" t="n">
        <f aca="false">IF(AND(AY9=1,ISNUMBER(R9)),1,0)</f>
        <v>1</v>
      </c>
      <c r="BI9" s="23" t="n">
        <f aca="false">IF(BH9=1,IF(COUNTIFS($AW$2:$AW$201,AW9,$BH$2:$BH$201,1,$H$2:$H$201,"&lt;"&amp;H9)+COUNTIFS($AW$2:$AW$201,AW9,$BH$2:$BH$201,1,$H$2:$H$201,H9,$AX$2:$AX$201,"&lt;"&amp;AX9)=0,1,0),0)</f>
        <v>1</v>
      </c>
      <c r="BJ9" s="23" t="str">
        <f aca="false">IF(AND(BI9=1,INT(N(H9))&lt;=Config!$B$6),R9,"")</f>
        <v/>
      </c>
      <c r="BK9" s="23" t="str">
        <f aca="false">IF(AND(BI9=1,INT(N(H9))&lt;=Config!$B$7),R9,"")</f>
        <v/>
      </c>
      <c r="BL9" s="23" t="n">
        <f aca="false">IF(AND(BI9=1,INT(N(H9))&lt;=Config!$B$8),R9,"")</f>
        <v>2000</v>
      </c>
      <c r="BM9" s="23" t="n">
        <f aca="false">IF(AND(BI9=1,INT(N(H9))&lt;=Config!$B$5),R9,"")</f>
        <v>2000</v>
      </c>
      <c r="BN9" s="23" t="n">
        <f aca="false">IF(AND(AY9=1,ISNUMBER(V9)),1,0)</f>
        <v>0</v>
      </c>
      <c r="BO9" s="23" t="n">
        <f aca="false">IF(BN9=1,IF(COUNTIFS($AW$2:$AW$201,AW9,$BN$2:$BN$201,1,$H$2:$H$201,"&lt;"&amp;H9)+COUNTIFS($AW$2:$AW$201,AW9,$BN$2:$BN$201,1,$H$2:$H$201,H9,$AX$2:$AX$201,"&lt;"&amp;AX9)=0,1,0),0)</f>
        <v>0</v>
      </c>
      <c r="BP9" s="23" t="str">
        <f aca="false">IF(AND(BO9=1,INT(N(H9))&lt;=Config!$B$6),V9,"")</f>
        <v/>
      </c>
      <c r="BQ9" s="23" t="str">
        <f aca="false">IF(AND(BO9=1,INT(N(H9))&lt;=Config!$B$7),V9,"")</f>
        <v/>
      </c>
      <c r="BR9" s="23" t="str">
        <f aca="false">IF(AND(BO9=1,INT(N(H9))&lt;=Config!$B$8),V9,"")</f>
        <v/>
      </c>
      <c r="BS9" s="23" t="str">
        <f aca="false">IF(AND(BO9=1,INT(N(H9))&lt;=Config!$B$5),V9,"")</f>
        <v/>
      </c>
      <c r="BT9" s="23" t="n">
        <f aca="false">IF(AND(AY9=1,ISNUMBER(K9)),1,0)</f>
        <v>1</v>
      </c>
      <c r="BU9" s="23" t="n">
        <f aca="false">IF(BT9=1,IF(COUNTIFS($AW$2:$AW$201,AW9,$BT$2:$BT$201,1,$H$2:$H$201,"&lt;"&amp;H9)+COUNTIFS($AW$2:$AW$201,AW9,$BT$2:$BT$201,1,$H$2:$H$201,H9,$AX$2:$AX$201,"&lt;"&amp;AX9)=0,1,0),0)</f>
        <v>1</v>
      </c>
      <c r="BV9" s="23" t="n">
        <f aca="false">IF(AND(BU9=1,INT(N(H9))&lt;=Config!$B$5),K9,"")</f>
        <v>3000</v>
      </c>
      <c r="BW9" s="23" t="n">
        <f aca="false">IF(AND(AY9=1,OR(AND(ISNUMBER(R9),TRIM(S9)=""),AND(ISNUMBER(V9),TRIM(W9)=""))),1,0)</f>
        <v>0</v>
      </c>
      <c r="BX9" s="23" t="str">
        <f aca="false">IF(AY9=1,AJ9&amp;"","")</f>
        <v>want_sales_data</v>
      </c>
      <c r="BY9" s="23" t="str">
        <f aca="false">IF(AY9=1,AK9&amp;"","")</f>
        <v/>
      </c>
      <c r="BZ9" s="23" t="str">
        <f aca="false">IF(AY9=1,AL9&amp;"","")</f>
        <v/>
      </c>
      <c r="CA9" s="23" t="n">
        <f aca="false">IF(AND(AY9=1,ISNUMBER(AS9),INT(N(H9))&lt;=Config!$B$5),AS9,"")</f>
        <v>12</v>
      </c>
      <c r="CB9" s="23" t="str">
        <f aca="false">IF(AY9=1,IF(COUNTIFS($A$2:$A$201,$A9,$CU$2:$CU$201,1,$AN$2:$AN$201,"Y")&gt;0,"Y","N"),"")</f>
        <v>Y</v>
      </c>
      <c r="CC9" s="23" t="n">
        <f aca="false">IF(AND(AY9=1,AN9="Y"),IF(COUNTIFS($AW$2:$AW$201,AW9,$AN$2:$AN$201,"Y",$AY$2:$AY$201,1,$H$2:$H$201,"&lt;"&amp;H9)+COUNTIFS($AW$2:$AW$201,AW9,$AN$2:$AN$201,"Y",$AY$2:$AY$201,1,$H$2:$H$201,H9,$AX$2:$AX$201,"&lt;"&amp;AX9)=0,1,0),0)</f>
        <v>1</v>
      </c>
      <c r="CD9" s="23" t="n">
        <f aca="false">IF(AND(AY9=1,AB9="Y",AC9="Y",AD9="Y",AE9="Y",AF9="Y",AG9="Y",AI9="Y",TRIM(AH9)&lt;&gt;""),1,0)</f>
        <v>0</v>
      </c>
      <c r="CE9" s="23" t="n">
        <f aca="false">IF(CD9=1,IF(COUNTIFS($AW$2:$AW$201,AW9,$CD$2:$CD$201,1,$H$2:$H$201,"&lt;"&amp;H9)+COUNTIFS($AW$2:$AW$201,AW9,$CD$2:$CD$201,1,$H$2:$H$201,H9,$AX$2:$AX$201,"&lt;"&amp;AX9)=0,1,0),0)</f>
        <v>0</v>
      </c>
      <c r="CF9" s="23" t="n">
        <f aca="false">IF(AND(AY9=1,AO9="Y"),1,0)</f>
        <v>1</v>
      </c>
      <c r="CG9" s="23" t="n">
        <f aca="false">IF(CF9=1,IF(COUNTIFS($AW$2:$AW$201,AW9,$CF$2:$CF$201,1,$H$2:$H$201,"&lt;"&amp;H9)+COUNTIFS($AW$2:$AW$201,AW9,$CF$2:$CF$201,1,$H$2:$H$201,H9,$AX$2:$AX$201,"&lt;"&amp;AX9)=0,1,0),0)</f>
        <v>1</v>
      </c>
      <c r="CH9" s="23" t="n">
        <f aca="false">IF(AND(AY9=1,P9="Y"),1,0)</f>
        <v>0</v>
      </c>
      <c r="CI9" s="23" t="n">
        <f aca="false">IF(CH9=1,IF(COUNTIFS($AW$2:$AW$201,AW9,$CH$2:$CH$201,1,$H$2:$H$201,"&lt;"&amp;H9)+COUNTIFS($AW$2:$AW$201,AW9,$CH$2:$CH$201,1,$H$2:$H$201,H9,$AX$2:$AX$201,"&lt;"&amp;AX9)=0,1,0),0)</f>
        <v>0</v>
      </c>
      <c r="CJ9" s="23" t="n">
        <f aca="false">IF(AND(BU9=1,INT(N(H9))&lt;=Config!$B$5),L9,"")</f>
        <v>3500</v>
      </c>
      <c r="CK9" s="23" t="n">
        <f aca="false">IF(AND(AY9=1,AR9="Y"),1,0)</f>
        <v>0</v>
      </c>
      <c r="CL9" s="23" t="n">
        <f aca="false">IF(CK9=1,IF(COUNTIFS($AW$2:$AW$201,AW9,$CK$2:$CK$201,1,$H$2:$H$201,"&lt;"&amp;H9)+COUNTIFS($AW$2:$AW$201,AW9,$CK$2:$CK$201,1,$H$2:$H$201,H9,$AX$2:$AX$201,"&lt;"&amp;AX9)=0,1,0),0)</f>
        <v>0</v>
      </c>
      <c r="CM9" s="23" t="n">
        <f aca="false">IF(AY9=1,IFERROR(MATCH($A9,INDEX(Clay_Brands!$A$2:$FZ$601,0,Sync!$D$5),0),""),"")</f>
        <v>8</v>
      </c>
      <c r="CN9" s="23" t="str">
        <f aca="false">IF(CM9="","",IFERROR(INDEX(Clay_Brands!$A$2:$FZ$601,CM9,Sync!$D$7)&amp;"",""))</f>
        <v>yes_in_principle</v>
      </c>
      <c r="CO9" s="23" t="n">
        <f aca="false">IF(CN9="","",IFERROR(INDEX(Lists!$K$2:$K$15,MATCH(CN9,Lists!$J$2:$J$15,0)),""))</f>
        <v>7</v>
      </c>
      <c r="CP9" s="23" t="str">
        <f aca="false">IF(CM9="","",IFERROR(INDEX(Clay_Brands!$A$2:$FZ$601,CM9,Sync!$D$17)&amp;"",""))</f>
        <v>Y</v>
      </c>
      <c r="CQ9" s="35" t="n">
        <f aca="false">IF(CM9="","",IFERROR(N(INDEX(Clay_Brands!$A$2:$FZ$601,CM9,Sync!$D$16)),0))</f>
        <v>46335</v>
      </c>
      <c r="CR9" s="23" t="n">
        <f aca="false">IF(AND(AY9=1,OR(O9="N",AND(OR(ISNUMBER(R9),ISNUMBER(V9)),MAX(N(R9),N(V9))&lt;Config!$B$14))),1,0)</f>
        <v>0</v>
      </c>
      <c r="CS9" s="23" t="n">
        <f aca="false">IF(OR(BB9=1,CR9=1),1,0)</f>
        <v>1</v>
      </c>
      <c r="CT9" s="23" t="n">
        <f aca="false">IF(AND(AY9=1,OR(AN9="Y",AN9="N",AN9="maybe")),1,0)</f>
        <v>1</v>
      </c>
      <c r="CU9" s="23" t="n">
        <f aca="false">IF(AND(CT9=1),IF(COUNTIFS($A$2:$A$201,$A9,$CT$2:$CT$201,1,$H$2:$H$201,"&gt;"&amp;H9)+COUNTIFS($A$2:$A$201,$A9,$CT$2:$CT$201,1,$H$2:$H$201,H9,$AX$2:$AX$201,"&gt;"&amp;AX9)=0,1,0),0)</f>
        <v>1</v>
      </c>
      <c r="CV9" s="23" t="n">
        <f aca="false">IF(AND(CS9=1,INT(N(H9))&lt;=Config!$B$6),IF(COUNTIFS($AW$2:$AW$201,AW9,$CS$2:$CS$201,1,$H$2:$H$201,"&gt;"&amp;H9,$H$2:$H$201,"&lt;"&amp;(Config!$B$6+1))+COUNTIFS($AW$2:$AW$201,AW9,$CS$2:$CS$201,1,$H$2:$H$201,H9,$AX$2:$AX$201,"&gt;"&amp;AX9)=0,1,0),0)</f>
        <v>0</v>
      </c>
      <c r="CW9" s="23" t="n">
        <f aca="false">IF(AND(CS9=1,INT(N(H9))&lt;=Config!$B$7),IF(COUNTIFS($AW$2:$AW$201,AW9,$CS$2:$CS$201,1,$H$2:$H$201,"&gt;"&amp;H9,$H$2:$H$201,"&lt;"&amp;(Config!$B$7+1))+COUNTIFS($AW$2:$AW$201,AW9,$CS$2:$CS$201,1,$H$2:$H$201,H9,$AX$2:$AX$201,"&gt;"&amp;AX9)=0,1,0),0)</f>
        <v>0</v>
      </c>
      <c r="CX9" s="23" t="n">
        <f aca="false">IF(AND(CS9=1,INT(N(H9))&lt;=Config!$B$8),IF(COUNTIFS($AW$2:$AW$201,AW9,$CS$2:$CS$201,1,$H$2:$H$201,"&gt;"&amp;H9,$H$2:$H$201,"&lt;"&amp;(Config!$B$8+1))+COUNTIFS($AW$2:$AW$201,AW9,$CS$2:$CS$201,1,$H$2:$H$201,H9,$AX$2:$AX$201,"&gt;"&amp;AX9)=0,1,0),0)</f>
        <v>1</v>
      </c>
      <c r="CY9" s="23" t="n">
        <f aca="false">IF(AND(CS9=1,INT(N(H9))&lt;=Config!$B$5),IF(COUNTIFS($AW$2:$AW$201,AW9,$CS$2:$CS$201,1,$H$2:$H$201,"&gt;"&amp;H9,$H$2:$H$201,"&lt;"&amp;(Config!$B$5+1))+COUNTIFS($AW$2:$AW$201,AW9,$CS$2:$CS$201,1,$H$2:$H$201,H9,$AX$2:$AX$201,"&gt;"&amp;AX9)=0,1,0),0)</f>
        <v>1</v>
      </c>
      <c r="CZ9" s="23" t="n">
        <f aca="false">IF(AY9=1,IF(COUNTIFS($AW$2:$AW$201,AW9,$CV$2:$CV$201,1,$BB$2:$BB$201,1)&gt;0,1,0),0)</f>
        <v>0</v>
      </c>
      <c r="DA9" s="23" t="n">
        <f aca="false">IF(AY9=1,IF(COUNTIFS($AW$2:$AW$201,AW9,$CW$2:$CW$201,1,$BB$2:$BB$201,1)&gt;0,1,0),0)</f>
        <v>0</v>
      </c>
      <c r="DB9" s="23" t="n">
        <f aca="false">IF(AY9=1,IF(COUNTIFS($AW$2:$AW$201,AW9,$CX$2:$CX$201,1,$BB$2:$BB$201,1)&gt;0,1,0),0)</f>
        <v>1</v>
      </c>
      <c r="DC9" s="23" t="n">
        <f aca="false">IF(AY9=1,IF(COUNTIFS($AW$2:$AW$201,AW9,$CY$2:$CY$201,1,$BB$2:$BB$201,1)&gt;0,1,0),0)</f>
        <v>1</v>
      </c>
      <c r="DD9" s="23" t="n">
        <f aca="false">IF(AND(BC9=1,INT(N(H9))&lt;=Config!$B$6,CZ9=1),1,0)</f>
        <v>0</v>
      </c>
      <c r="DE9" s="23" t="n">
        <f aca="false">IF(AND(BC9=1,INT(N(H9))&lt;=Config!$B$7,DA9=1),1,0)</f>
        <v>0</v>
      </c>
      <c r="DF9" s="23" t="n">
        <f aca="false">IF(AND(BC9=1,INT(N(H9))&lt;=Config!$B$8,DB9=1),1,0)</f>
        <v>1</v>
      </c>
      <c r="DG9" s="23" t="n">
        <f aca="false">IF(AND(BC9=1,INT(N(H9))&lt;=Config!$B$5,DC9=1),1,0)</f>
        <v>1</v>
      </c>
      <c r="DH9" s="23" t="n">
        <f aca="false">IF(AND(BE9=1,INT(N(H9))&lt;=Config!$B$6,CZ9=1),1,0)</f>
        <v>0</v>
      </c>
      <c r="DI9" s="23" t="n">
        <f aca="false">IF(AND(BE9=1,INT(N(H9))&lt;=Config!$B$7,DA9=1),1,0)</f>
        <v>0</v>
      </c>
      <c r="DJ9" s="23" t="n">
        <f aca="false">IF(AND(BE9=1,INT(N(H9))&lt;=Config!$B$8,DB9=1),1,0)</f>
        <v>1</v>
      </c>
      <c r="DK9" s="23" t="n">
        <f aca="false">IF(AND(BE9=1,INT(N(H9))&lt;=Config!$B$5,DC9=1),1,0)</f>
        <v>1</v>
      </c>
      <c r="DL9" s="23" t="n">
        <f aca="false">IF(AND(BC9=1,INT(N(H9))&lt;=Config!$B$6,CZ9=0),1,0)</f>
        <v>0</v>
      </c>
      <c r="DM9" s="23" t="n">
        <f aca="false">IF(AND(BC9=1,INT(N(H9))&lt;=Config!$B$7,DA9=0),1,0)</f>
        <v>0</v>
      </c>
      <c r="DN9" s="23" t="n">
        <f aca="false">IF(AND(BC9=1,INT(N(H9))&lt;=Config!$B$8,DB9=0),1,0)</f>
        <v>0</v>
      </c>
      <c r="DO9" s="23" t="n">
        <f aca="false">IF(AND(BC9=1,INT(N(H9))&lt;=Config!$B$5,DC9=0),1,0)</f>
        <v>0</v>
      </c>
      <c r="DP9" s="23" t="n">
        <f aca="false">IF(TRIM($A9)="",0,ISTEXT(K9)+ISTEXT(L9)+ISTEXT(R9)+ISTEXT(V9)+ISTEXT(AP9)+ISTEXT(AS9))</f>
        <v>0</v>
      </c>
      <c r="DQ9" s="23" t="n">
        <f aca="false">IF(AY9=1,IF(H9&lt;&gt;INT(H9),1,0),0)</f>
        <v>0</v>
      </c>
      <c r="DR9" s="23" t="str">
        <f aca="false">IF(TRIM($A9)="","",IF(TRIM(B9)="",SUBSTITUTE(SUBSTITUTE(SUBSTITUTE(SUBSTITUTE(SUBSTITUTE(SUBSTITUTE(LOWER(TRIM($A9)),"~",""),"*",""),"?",""),"&lt;",""),"&gt;",""),"=",""),SUBSTITUTE(SUBSTITUTE(SUBSTITUTE(SUBSTITUTE(SUBSTITUTE(SUBSTITUTE(LOWER(TRIM(B9)),"~",""),"*",""),"?",""),"&lt;",""),"&gt;",""),"=","")))</f>
        <v>sample brand 08</v>
      </c>
      <c r="DS9" s="23" t="str">
        <f aca="false">IF(CM9="","",IFERROR(IF(LEFT(LOWER(TRIM(INDEX(Clay_Brands!$A$2:$FZ$601,CM9,Sync!$D$19)&amp;"")),4)="grp-",SUBSTITUTE(SUBSTITUTE(SUBSTITUTE(SUBSTITUTE(SUBSTITUTE(SUBSTITUTE(LOWER(TRIM(INDEX(Clay_Brands!$A$2:$FZ$601,CM9,Sync!$D$19)&amp;"")),"~",""),"*",""),"?",""),"&lt;",""),"&gt;",""),"=",""),""),""))</f>
        <v/>
      </c>
      <c r="DT9" s="23" t="str">
        <f aca="false">IF(DS9&lt;&gt;"",DR9,"")</f>
        <v/>
      </c>
      <c r="DU9" s="23" t="str">
        <f aca="false">IF(AZ9=1,AW9,"")</f>
        <v>sample brand 08</v>
      </c>
      <c r="DV9" s="23" t="str">
        <f aca="false">IF(TRIM($A9)="","",IFERROR(INDEX($A$2:$A$201,MATCH(AW9,$DU$2:$DU$201,0))&amp;"",$A9&amp;""))</f>
        <v>SAMPLE-B-008</v>
      </c>
      <c r="DW9" s="23" t="n">
        <f aca="false">IF(AY9=1,IF(COUNTIFS($A$2:$A$201,$A9,$AY$2:$AY$201,1,$H$2:$H$201,"&lt;"&amp;H9)+COUNTIFS($A$2:$A$201,$A9,$AY$2:$AY$201,1,$H$2:$H$201,H9,$AX$2:$AX$201,"&lt;"&amp;AX9)=0,1,0),0)</f>
        <v>1</v>
      </c>
      <c r="DX9" s="23" t="n">
        <f aca="false">IF(AZ9=1,IF(COUNTIFS($AW$2:$AW$201,AW9,$DW$2:$DW$201,1)&gt;1,1,0),0)</f>
        <v>0</v>
      </c>
    </row>
    <row r="10" customFormat="false" ht="15" hidden="false" customHeight="false" outlineLevel="0" collapsed="false">
      <c r="A10" s="0" t="s">
        <v>735</v>
      </c>
      <c r="B10" s="0" t="s">
        <v>736</v>
      </c>
      <c r="D10" s="0" t="s">
        <v>737</v>
      </c>
      <c r="E10" s="0" t="s">
        <v>678</v>
      </c>
      <c r="F10" s="0" t="s">
        <v>679</v>
      </c>
      <c r="G10" s="32" t="s">
        <v>481</v>
      </c>
      <c r="H10" s="33" t="n">
        <v>46336</v>
      </c>
      <c r="I10" s="32" t="s">
        <v>454</v>
      </c>
      <c r="J10" s="32" t="s">
        <v>680</v>
      </c>
      <c r="K10" s="0" t="n">
        <v>4000</v>
      </c>
      <c r="L10" s="0" t="n">
        <v>4500</v>
      </c>
      <c r="M10" s="32" t="s">
        <v>681</v>
      </c>
      <c r="N10" s="32" t="s">
        <v>682</v>
      </c>
      <c r="O10" s="32" t="s">
        <v>460</v>
      </c>
      <c r="P10" s="32" t="s">
        <v>457</v>
      </c>
      <c r="Q10" s="32" t="s">
        <v>683</v>
      </c>
      <c r="U10" s="32" t="s">
        <v>457</v>
      </c>
      <c r="X10" s="32" t="s">
        <v>686</v>
      </c>
      <c r="Y10" s="32" t="s">
        <v>687</v>
      </c>
      <c r="Z10" s="32" t="s">
        <v>688</v>
      </c>
      <c r="AA10" s="32" t="s">
        <v>689</v>
      </c>
      <c r="AB10" s="32" t="s">
        <v>460</v>
      </c>
      <c r="AC10" s="32" t="s">
        <v>460</v>
      </c>
      <c r="AD10" s="32" t="s">
        <v>460</v>
      </c>
      <c r="AE10" s="32" t="s">
        <v>460</v>
      </c>
      <c r="AF10" s="32" t="s">
        <v>460</v>
      </c>
      <c r="AG10" s="32" t="s">
        <v>460</v>
      </c>
      <c r="AH10" s="32" t="s">
        <v>690</v>
      </c>
      <c r="AI10" s="32" t="s">
        <v>460</v>
      </c>
      <c r="AJ10" s="32"/>
      <c r="AK10" s="32"/>
      <c r="AN10" s="32" t="s">
        <v>457</v>
      </c>
      <c r="AO10" s="32"/>
      <c r="AP10" s="0" t="n">
        <v>0</v>
      </c>
      <c r="AR10" s="32"/>
      <c r="AS10" s="0" t="n">
        <v>6</v>
      </c>
      <c r="AT10" s="32" t="s">
        <v>460</v>
      </c>
      <c r="AV10" s="34" t="str">
        <f aca="false">IF(TRIM($A10)="","",IF(AND(LEFT($A10,6)="SAMPLE",Config!$B$19&lt;&gt;"Y"),"",IF(NOT(ISNUMBER(H10)),"call_date is blank or not a date",IF(Sync!$D$5="","Clay paste is empty or has no row_id column: paste the Clay export on Clay_Brands",IF(CM10="","row_id not found in the Clay paste: add the Clay row or fix the row_id",IF(AND(ISNUMBER(CO10),CO10&gt;=1,CO10&lt;=5),"Clay status is "&amp;CN10&amp;": set call_done or later",IF(AND(BA10=1,CP10&lt;&gt;CB10),"Clay yes_in_principle should be "&amp;CB10,IF(AND(BA10=1,CQ10&lt;&gt;H10),"Clay call_date should be "&amp;TEXT(H10,"yyyy-mm-dd"),""))))))))</f>
        <v>Clay status is call_booked: set call_done or later</v>
      </c>
      <c r="AW10" s="23" t="str">
        <f aca="false">IF(TRIM($A10)="","",IF(TRIM(C10)&lt;&gt;"",SUBSTITUTE(SUBSTITUTE(SUBSTITUTE(SUBSTITUTE(SUBSTITUTE(SUBSTITUTE(LOWER(TRIM(C10)),"~",""),"*",""),"?",""),"&lt;",""),"&gt;",""),"=",""),IF(DS10&lt;&gt;"",DS10,IFERROR(INDEX($DS$2:$DS$201,MATCH(DR10,$DT$2:$DT$201,0)),DR10))))</f>
        <v>sample brand 09</v>
      </c>
      <c r="AX10" s="23" t="n">
        <f aca="false">ROW()</f>
        <v>10</v>
      </c>
      <c r="AY10" s="23" t="n">
        <f aca="false">IF(AND(TRIM($A10)&lt;&gt;"",ISNUMBER(H10)),IF(AND(LEFT($A10,6)="SAMPLE",Config!$B$19&lt;&gt;"Y"),0,1),0)</f>
        <v>1</v>
      </c>
      <c r="AZ10" s="23" t="n">
        <f aca="false">IF(AY10=1,IF(COUNTIFS($AW$2:$AW$201,AW10,$AY$2:$AY$201,1,$H$2:$H$201,"&lt;"&amp;H10)+COUNTIFS($AW$2:$AW$201,AW10,$AY$2:$AY$201,1,$H$2:$H$201,H10,$AX$2:$AX$201,"&lt;"&amp;AX10)=0,1,0),0)</f>
        <v>1</v>
      </c>
      <c r="BA10" s="23" t="n">
        <f aca="false">IF(AY10=1,IF(COUNTIFS($A$2:$A$201,$A10,$AY$2:$AY$201,1,$H$2:$H$201,"&gt;"&amp;H10)+COUNTIFS($A$2:$A$201,$A10,$AY$2:$AY$201,1,$H$2:$H$201,H10,$AX$2:$AX$201,"&gt;"&amp;AX10)=0,1,0),0)</f>
        <v>1</v>
      </c>
      <c r="BB10" s="23" t="n">
        <f aca="false">IF(AND(AY10=1,O10="Y",MAX(N(R10),N(V10))&gt;=Config!$B$14),1,0)</f>
        <v>0</v>
      </c>
      <c r="BC10" s="23" t="n">
        <f aca="false">IF(BB10=1,IF(COUNTIFS($AW$2:$AW$201,AW10,$BB$2:$BB$201,1,$H$2:$H$201,"&lt;"&amp;H10)+COUNTIFS($AW$2:$AW$201,AW10,$BB$2:$BB$201,1,$H$2:$H$201,H10,$AX$2:$AX$201,"&lt;"&amp;AX10)=0,1,0),0)</f>
        <v>0</v>
      </c>
      <c r="BD10" s="23" t="n">
        <f aca="false">IF(AND(AY10=1,O10="Y",ISNUMBER(R10)),IF(R10&gt;=Config!$B$14,1,0),0)</f>
        <v>0</v>
      </c>
      <c r="BE10" s="23" t="n">
        <f aca="false">IF(BD10=1,IF(COUNTIFS($AW$2:$AW$201,AW10,$BD$2:$BD$201,1,$H$2:$H$201,"&lt;"&amp;H10)+COUNTIFS($AW$2:$AW$201,AW10,$BD$2:$BD$201,1,$H$2:$H$201,H10,$AX$2:$AX$201,"&lt;"&amp;AX10)=0,1,0),0)</f>
        <v>0</v>
      </c>
      <c r="BF10" s="23" t="n">
        <f aca="false">IF(AND(AY10=1,O10&lt;&gt;"Y",MAX(N(R10),N(V10))&gt;=Config!$B$14),1,0)</f>
        <v>0</v>
      </c>
      <c r="BG10" s="23" t="n">
        <f aca="false">IF(BF10=1,IF(COUNTIFS($AW$2:$AW$201,AW10,$BF$2:$BF$201,1,$H$2:$H$201,"&lt;"&amp;H10)+COUNTIFS($AW$2:$AW$201,AW10,$BF$2:$BF$201,1,$H$2:$H$201,H10,$AX$2:$AX$201,"&lt;"&amp;AX10)=0,1,0),0)</f>
        <v>0</v>
      </c>
      <c r="BH10" s="23" t="n">
        <f aca="false">IF(AND(AY10=1,ISNUMBER(R10)),1,0)</f>
        <v>0</v>
      </c>
      <c r="BI10" s="23" t="n">
        <f aca="false">IF(BH10=1,IF(COUNTIFS($AW$2:$AW$201,AW10,$BH$2:$BH$201,1,$H$2:$H$201,"&lt;"&amp;H10)+COUNTIFS($AW$2:$AW$201,AW10,$BH$2:$BH$201,1,$H$2:$H$201,H10,$AX$2:$AX$201,"&lt;"&amp;AX10)=0,1,0),0)</f>
        <v>0</v>
      </c>
      <c r="BJ10" s="23" t="str">
        <f aca="false">IF(AND(BI10=1,INT(N(H10))&lt;=Config!$B$6),R10,"")</f>
        <v/>
      </c>
      <c r="BK10" s="23" t="str">
        <f aca="false">IF(AND(BI10=1,INT(N(H10))&lt;=Config!$B$7),R10,"")</f>
        <v/>
      </c>
      <c r="BL10" s="23" t="str">
        <f aca="false">IF(AND(BI10=1,INT(N(H10))&lt;=Config!$B$8),R10,"")</f>
        <v/>
      </c>
      <c r="BM10" s="23" t="str">
        <f aca="false">IF(AND(BI10=1,INT(N(H10))&lt;=Config!$B$5),R10,"")</f>
        <v/>
      </c>
      <c r="BN10" s="23" t="n">
        <f aca="false">IF(AND(AY10=1,ISNUMBER(V10)),1,0)</f>
        <v>0</v>
      </c>
      <c r="BO10" s="23" t="n">
        <f aca="false">IF(BN10=1,IF(COUNTIFS($AW$2:$AW$201,AW10,$BN$2:$BN$201,1,$H$2:$H$201,"&lt;"&amp;H10)+COUNTIFS($AW$2:$AW$201,AW10,$BN$2:$BN$201,1,$H$2:$H$201,H10,$AX$2:$AX$201,"&lt;"&amp;AX10)=0,1,0),0)</f>
        <v>0</v>
      </c>
      <c r="BP10" s="23" t="str">
        <f aca="false">IF(AND(BO10=1,INT(N(H10))&lt;=Config!$B$6),V10,"")</f>
        <v/>
      </c>
      <c r="BQ10" s="23" t="str">
        <f aca="false">IF(AND(BO10=1,INT(N(H10))&lt;=Config!$B$7),V10,"")</f>
        <v/>
      </c>
      <c r="BR10" s="23" t="str">
        <f aca="false">IF(AND(BO10=1,INT(N(H10))&lt;=Config!$B$8),V10,"")</f>
        <v/>
      </c>
      <c r="BS10" s="23" t="str">
        <f aca="false">IF(AND(BO10=1,INT(N(H10))&lt;=Config!$B$5),V10,"")</f>
        <v/>
      </c>
      <c r="BT10" s="23" t="n">
        <f aca="false">IF(AND(AY10=1,ISNUMBER(K10)),1,0)</f>
        <v>1</v>
      </c>
      <c r="BU10" s="23" t="n">
        <f aca="false">IF(BT10=1,IF(COUNTIFS($AW$2:$AW$201,AW10,$BT$2:$BT$201,1,$H$2:$H$201,"&lt;"&amp;H10)+COUNTIFS($AW$2:$AW$201,AW10,$BT$2:$BT$201,1,$H$2:$H$201,H10,$AX$2:$AX$201,"&lt;"&amp;AX10)=0,1,0),0)</f>
        <v>1</v>
      </c>
      <c r="BV10" s="23" t="n">
        <f aca="false">IF(AND(BU10=1,INT(N(H10))&lt;=Config!$B$5),K10,"")</f>
        <v>4000</v>
      </c>
      <c r="BW10" s="23" t="n">
        <f aca="false">IF(AND(AY10=1,OR(AND(ISNUMBER(R10),TRIM(S10)=""),AND(ISNUMBER(V10),TRIM(W10)=""))),1,0)</f>
        <v>0</v>
      </c>
      <c r="BX10" s="23" t="str">
        <f aca="false">IF(AY10=1,AJ10&amp;"","")</f>
        <v/>
      </c>
      <c r="BY10" s="23" t="str">
        <f aca="false">IF(AY10=1,AK10&amp;"","")</f>
        <v/>
      </c>
      <c r="BZ10" s="23" t="str">
        <f aca="false">IF(AY10=1,AL10&amp;"","")</f>
        <v/>
      </c>
      <c r="CA10" s="23" t="n">
        <f aca="false">IF(AND(AY10=1,ISNUMBER(AS10),INT(N(H10))&lt;=Config!$B$5),AS10,"")</f>
        <v>6</v>
      </c>
      <c r="CB10" s="23" t="str">
        <f aca="false">IF(AY10=1,IF(COUNTIFS($A$2:$A$201,$A10,$CU$2:$CU$201,1,$AN$2:$AN$201,"Y")&gt;0,"Y","N"),"")</f>
        <v>N</v>
      </c>
      <c r="CC10" s="23" t="n">
        <f aca="false">IF(AND(AY10=1,AN10="Y"),IF(COUNTIFS($AW$2:$AW$201,AW10,$AN$2:$AN$201,"Y",$AY$2:$AY$201,1,$H$2:$H$201,"&lt;"&amp;H10)+COUNTIFS($AW$2:$AW$201,AW10,$AN$2:$AN$201,"Y",$AY$2:$AY$201,1,$H$2:$H$201,H10,$AX$2:$AX$201,"&lt;"&amp;AX10)=0,1,0),0)</f>
        <v>0</v>
      </c>
      <c r="CD10" s="23" t="n">
        <f aca="false">IF(AND(AY10=1,AB10="Y",AC10="Y",AD10="Y",AE10="Y",AF10="Y",AG10="Y",AI10="Y",TRIM(AH10)&lt;&gt;""),1,0)</f>
        <v>1</v>
      </c>
      <c r="CE10" s="23" t="n">
        <f aca="false">IF(CD10=1,IF(COUNTIFS($AW$2:$AW$201,AW10,$CD$2:$CD$201,1,$H$2:$H$201,"&lt;"&amp;H10)+COUNTIFS($AW$2:$AW$201,AW10,$CD$2:$CD$201,1,$H$2:$H$201,H10,$AX$2:$AX$201,"&lt;"&amp;AX10)=0,1,0),0)</f>
        <v>1</v>
      </c>
      <c r="CF10" s="23" t="n">
        <f aca="false">IF(AND(AY10=1,AO10="Y"),1,0)</f>
        <v>0</v>
      </c>
      <c r="CG10" s="23" t="n">
        <f aca="false">IF(CF10=1,IF(COUNTIFS($AW$2:$AW$201,AW10,$CF$2:$CF$201,1,$H$2:$H$201,"&lt;"&amp;H10)+COUNTIFS($AW$2:$AW$201,AW10,$CF$2:$CF$201,1,$H$2:$H$201,H10,$AX$2:$AX$201,"&lt;"&amp;AX10)=0,1,0),0)</f>
        <v>0</v>
      </c>
      <c r="CH10" s="23" t="n">
        <f aca="false">IF(AND(AY10=1,P10="Y"),1,0)</f>
        <v>0</v>
      </c>
      <c r="CI10" s="23" t="n">
        <f aca="false">IF(CH10=1,IF(COUNTIFS($AW$2:$AW$201,AW10,$CH$2:$CH$201,1,$H$2:$H$201,"&lt;"&amp;H10)+COUNTIFS($AW$2:$AW$201,AW10,$CH$2:$CH$201,1,$H$2:$H$201,H10,$AX$2:$AX$201,"&lt;"&amp;AX10)=0,1,0),0)</f>
        <v>0</v>
      </c>
      <c r="CJ10" s="23" t="n">
        <f aca="false">IF(AND(BU10=1,INT(N(H10))&lt;=Config!$B$5),L10,"")</f>
        <v>4500</v>
      </c>
      <c r="CK10" s="23" t="n">
        <f aca="false">IF(AND(AY10=1,AR10="Y"),1,0)</f>
        <v>0</v>
      </c>
      <c r="CL10" s="23" t="n">
        <f aca="false">IF(CK10=1,IF(COUNTIFS($AW$2:$AW$201,AW10,$CK$2:$CK$201,1,$H$2:$H$201,"&lt;"&amp;H10)+COUNTIFS($AW$2:$AW$201,AW10,$CK$2:$CK$201,1,$H$2:$H$201,H10,$AX$2:$AX$201,"&lt;"&amp;AX10)=0,1,0),0)</f>
        <v>0</v>
      </c>
      <c r="CM10" s="23" t="n">
        <f aca="false">IF(AY10=1,IFERROR(MATCH($A10,INDEX(Clay_Brands!$A$2:$FZ$601,0,Sync!$D$5),0),""),"")</f>
        <v>9</v>
      </c>
      <c r="CN10" s="23" t="str">
        <f aca="false">IF(CM10="","",IFERROR(INDEX(Clay_Brands!$A$2:$FZ$601,CM10,Sync!$D$7)&amp;"",""))</f>
        <v>call_booked</v>
      </c>
      <c r="CO10" s="23" t="n">
        <f aca="false">IF(CN10="","",IFERROR(INDEX(Lists!$K$2:$K$15,MATCH(CN10,Lists!$J$2:$J$15,0)),""))</f>
        <v>5</v>
      </c>
      <c r="CP10" s="23" t="str">
        <f aca="false">IF(CM10="","",IFERROR(INDEX(Clay_Brands!$A$2:$FZ$601,CM10,Sync!$D$17)&amp;"",""))</f>
        <v>N</v>
      </c>
      <c r="CQ10" s="35" t="n">
        <f aca="false">IF(CM10="","",IFERROR(N(INDEX(Clay_Brands!$A$2:$FZ$601,CM10,Sync!$D$16)),0))</f>
        <v>46336</v>
      </c>
      <c r="CR10" s="23" t="n">
        <f aca="false">IF(AND(AY10=1,OR(O10="N",AND(OR(ISNUMBER(R10),ISNUMBER(V10)),MAX(N(R10),N(V10))&lt;Config!$B$14))),1,0)</f>
        <v>0</v>
      </c>
      <c r="CS10" s="23" t="n">
        <f aca="false">IF(OR(BB10=1,CR10=1),1,0)</f>
        <v>0</v>
      </c>
      <c r="CT10" s="23" t="n">
        <f aca="false">IF(AND(AY10=1,OR(AN10="Y",AN10="N",AN10="maybe")),1,0)</f>
        <v>1</v>
      </c>
      <c r="CU10" s="23" t="n">
        <f aca="false">IF(AND(CT10=1),IF(COUNTIFS($A$2:$A$201,$A10,$CT$2:$CT$201,1,$H$2:$H$201,"&gt;"&amp;H10)+COUNTIFS($A$2:$A$201,$A10,$CT$2:$CT$201,1,$H$2:$H$201,H10,$AX$2:$AX$201,"&gt;"&amp;AX10)=0,1,0),0)</f>
        <v>1</v>
      </c>
      <c r="CV10" s="23" t="n">
        <f aca="false">IF(AND(CS10=1,INT(N(H10))&lt;=Config!$B$6),IF(COUNTIFS($AW$2:$AW$201,AW10,$CS$2:$CS$201,1,$H$2:$H$201,"&gt;"&amp;H10,$H$2:$H$201,"&lt;"&amp;(Config!$B$6+1))+COUNTIFS($AW$2:$AW$201,AW10,$CS$2:$CS$201,1,$H$2:$H$201,H10,$AX$2:$AX$201,"&gt;"&amp;AX10)=0,1,0),0)</f>
        <v>0</v>
      </c>
      <c r="CW10" s="23" t="n">
        <f aca="false">IF(AND(CS10=1,INT(N(H10))&lt;=Config!$B$7),IF(COUNTIFS($AW$2:$AW$201,AW10,$CS$2:$CS$201,1,$H$2:$H$201,"&gt;"&amp;H10,$H$2:$H$201,"&lt;"&amp;(Config!$B$7+1))+COUNTIFS($AW$2:$AW$201,AW10,$CS$2:$CS$201,1,$H$2:$H$201,H10,$AX$2:$AX$201,"&gt;"&amp;AX10)=0,1,0),0)</f>
        <v>0</v>
      </c>
      <c r="CX10" s="23" t="n">
        <f aca="false">IF(AND(CS10=1,INT(N(H10))&lt;=Config!$B$8),IF(COUNTIFS($AW$2:$AW$201,AW10,$CS$2:$CS$201,1,$H$2:$H$201,"&gt;"&amp;H10,$H$2:$H$201,"&lt;"&amp;(Config!$B$8+1))+COUNTIFS($AW$2:$AW$201,AW10,$CS$2:$CS$201,1,$H$2:$H$201,H10,$AX$2:$AX$201,"&gt;"&amp;AX10)=0,1,0),0)</f>
        <v>0</v>
      </c>
      <c r="CY10" s="23" t="n">
        <f aca="false">IF(AND(CS10=1,INT(N(H10))&lt;=Config!$B$5),IF(COUNTIFS($AW$2:$AW$201,AW10,$CS$2:$CS$201,1,$H$2:$H$201,"&gt;"&amp;H10,$H$2:$H$201,"&lt;"&amp;(Config!$B$5+1))+COUNTIFS($AW$2:$AW$201,AW10,$CS$2:$CS$201,1,$H$2:$H$201,H10,$AX$2:$AX$201,"&gt;"&amp;AX10)=0,1,0),0)</f>
        <v>0</v>
      </c>
      <c r="CZ10" s="23" t="n">
        <f aca="false">IF(AY10=1,IF(COUNTIFS($AW$2:$AW$201,AW10,$CV$2:$CV$201,1,$BB$2:$BB$201,1)&gt;0,1,0),0)</f>
        <v>0</v>
      </c>
      <c r="DA10" s="23" t="n">
        <f aca="false">IF(AY10=1,IF(COUNTIFS($AW$2:$AW$201,AW10,$CW$2:$CW$201,1,$BB$2:$BB$201,1)&gt;0,1,0),0)</f>
        <v>0</v>
      </c>
      <c r="DB10" s="23" t="n">
        <f aca="false">IF(AY10=1,IF(COUNTIFS($AW$2:$AW$201,AW10,$CX$2:$CX$201,1,$BB$2:$BB$201,1)&gt;0,1,0),0)</f>
        <v>0</v>
      </c>
      <c r="DC10" s="23" t="n">
        <f aca="false">IF(AY10=1,IF(COUNTIFS($AW$2:$AW$201,AW10,$CY$2:$CY$201,1,$BB$2:$BB$201,1)&gt;0,1,0),0)</f>
        <v>0</v>
      </c>
      <c r="DD10" s="23" t="n">
        <f aca="false">IF(AND(BC10=1,INT(N(H10))&lt;=Config!$B$6,CZ10=1),1,0)</f>
        <v>0</v>
      </c>
      <c r="DE10" s="23" t="n">
        <f aca="false">IF(AND(BC10=1,INT(N(H10))&lt;=Config!$B$7,DA10=1),1,0)</f>
        <v>0</v>
      </c>
      <c r="DF10" s="23" t="n">
        <f aca="false">IF(AND(BC10=1,INT(N(H10))&lt;=Config!$B$8,DB10=1),1,0)</f>
        <v>0</v>
      </c>
      <c r="DG10" s="23" t="n">
        <f aca="false">IF(AND(BC10=1,INT(N(H10))&lt;=Config!$B$5,DC10=1),1,0)</f>
        <v>0</v>
      </c>
      <c r="DH10" s="23" t="n">
        <f aca="false">IF(AND(BE10=1,INT(N(H10))&lt;=Config!$B$6,CZ10=1),1,0)</f>
        <v>0</v>
      </c>
      <c r="DI10" s="23" t="n">
        <f aca="false">IF(AND(BE10=1,INT(N(H10))&lt;=Config!$B$7,DA10=1),1,0)</f>
        <v>0</v>
      </c>
      <c r="DJ10" s="23" t="n">
        <f aca="false">IF(AND(BE10=1,INT(N(H10))&lt;=Config!$B$8,DB10=1),1,0)</f>
        <v>0</v>
      </c>
      <c r="DK10" s="23" t="n">
        <f aca="false">IF(AND(BE10=1,INT(N(H10))&lt;=Config!$B$5,DC10=1),1,0)</f>
        <v>0</v>
      </c>
      <c r="DL10" s="23" t="n">
        <f aca="false">IF(AND(BC10=1,INT(N(H10))&lt;=Config!$B$6,CZ10=0),1,0)</f>
        <v>0</v>
      </c>
      <c r="DM10" s="23" t="n">
        <f aca="false">IF(AND(BC10=1,INT(N(H10))&lt;=Config!$B$7,DA10=0),1,0)</f>
        <v>0</v>
      </c>
      <c r="DN10" s="23" t="n">
        <f aca="false">IF(AND(BC10=1,INT(N(H10))&lt;=Config!$B$8,DB10=0),1,0)</f>
        <v>0</v>
      </c>
      <c r="DO10" s="23" t="n">
        <f aca="false">IF(AND(BC10=1,INT(N(H10))&lt;=Config!$B$5,DC10=0),1,0)</f>
        <v>0</v>
      </c>
      <c r="DP10" s="23" t="n">
        <f aca="false">IF(TRIM($A10)="",0,ISTEXT(K10)+ISTEXT(L10)+ISTEXT(R10)+ISTEXT(V10)+ISTEXT(AP10)+ISTEXT(AS10))</f>
        <v>0</v>
      </c>
      <c r="DQ10" s="23" t="n">
        <f aca="false">IF(AY10=1,IF(H10&lt;&gt;INT(H10),1,0),0)</f>
        <v>0</v>
      </c>
      <c r="DR10" s="23" t="str">
        <f aca="false">IF(TRIM($A10)="","",IF(TRIM(B10)="",SUBSTITUTE(SUBSTITUTE(SUBSTITUTE(SUBSTITUTE(SUBSTITUTE(SUBSTITUTE(LOWER(TRIM($A10)),"~",""),"*",""),"?",""),"&lt;",""),"&gt;",""),"=",""),SUBSTITUTE(SUBSTITUTE(SUBSTITUTE(SUBSTITUTE(SUBSTITUTE(SUBSTITUTE(LOWER(TRIM(B10)),"~",""),"*",""),"?",""),"&lt;",""),"&gt;",""),"=","")))</f>
        <v>sample brand 09</v>
      </c>
      <c r="DS10" s="23" t="str">
        <f aca="false">IF(CM10="","",IFERROR(IF(LEFT(LOWER(TRIM(INDEX(Clay_Brands!$A$2:$FZ$601,CM10,Sync!$D$19)&amp;"")),4)="grp-",SUBSTITUTE(SUBSTITUTE(SUBSTITUTE(SUBSTITUTE(SUBSTITUTE(SUBSTITUTE(LOWER(TRIM(INDEX(Clay_Brands!$A$2:$FZ$601,CM10,Sync!$D$19)&amp;"")),"~",""),"*",""),"?",""),"&lt;",""),"&gt;",""),"=",""),""),""))</f>
        <v/>
      </c>
      <c r="DT10" s="23" t="str">
        <f aca="false">IF(DS10&lt;&gt;"",DR10,"")</f>
        <v/>
      </c>
      <c r="DU10" s="23" t="str">
        <f aca="false">IF(AZ10=1,AW10,"")</f>
        <v>sample brand 09</v>
      </c>
      <c r="DV10" s="23" t="str">
        <f aca="false">IF(TRIM($A10)="","",IFERROR(INDEX($A$2:$A$201,MATCH(AW10,$DU$2:$DU$201,0))&amp;"",$A10&amp;""))</f>
        <v>SAMPLE-B-009</v>
      </c>
      <c r="DW10" s="23" t="n">
        <f aca="false">IF(AY10=1,IF(COUNTIFS($A$2:$A$201,$A10,$AY$2:$AY$201,1,$H$2:$H$201,"&lt;"&amp;H10)+COUNTIFS($A$2:$A$201,$A10,$AY$2:$AY$201,1,$H$2:$H$201,H10,$AX$2:$AX$201,"&lt;"&amp;AX10)=0,1,0),0)</f>
        <v>1</v>
      </c>
      <c r="DX10" s="23" t="n">
        <f aca="false">IF(AZ10=1,IF(COUNTIFS($AW$2:$AW$201,AW10,$DW$2:$DW$201,1)&gt;1,1,0),0)</f>
        <v>0</v>
      </c>
    </row>
    <row r="11" customFormat="false" ht="15" hidden="false" customHeight="false" outlineLevel="0" collapsed="false">
      <c r="A11" s="0" t="s">
        <v>738</v>
      </c>
      <c r="B11" s="0" t="s">
        <v>739</v>
      </c>
      <c r="D11" s="0" t="s">
        <v>740</v>
      </c>
      <c r="E11" s="0" t="s">
        <v>695</v>
      </c>
      <c r="F11" s="0" t="s">
        <v>679</v>
      </c>
      <c r="G11" s="32" t="s">
        <v>453</v>
      </c>
      <c r="H11" s="33" t="n">
        <v>46337</v>
      </c>
      <c r="I11" s="32" t="s">
        <v>454</v>
      </c>
      <c r="J11" s="32" t="s">
        <v>680</v>
      </c>
      <c r="K11" s="0" t="n">
        <v>0</v>
      </c>
      <c r="L11" s="0" t="n">
        <v>500</v>
      </c>
      <c r="M11" s="32" t="s">
        <v>681</v>
      </c>
      <c r="N11" s="32" t="s">
        <v>709</v>
      </c>
      <c r="O11" s="32" t="s">
        <v>457</v>
      </c>
      <c r="P11" s="32" t="s">
        <v>457</v>
      </c>
      <c r="Q11" s="32" t="s">
        <v>683</v>
      </c>
      <c r="R11" s="0" t="n">
        <v>400</v>
      </c>
      <c r="S11" s="32" t="s">
        <v>741</v>
      </c>
      <c r="U11" s="32" t="s">
        <v>457</v>
      </c>
      <c r="X11" s="32" t="s">
        <v>686</v>
      </c>
      <c r="Y11" s="32" t="s">
        <v>698</v>
      </c>
      <c r="Z11" s="32" t="s">
        <v>688</v>
      </c>
      <c r="AA11" s="32" t="s">
        <v>689</v>
      </c>
      <c r="AB11" s="32" t="s">
        <v>460</v>
      </c>
      <c r="AC11" s="32" t="s">
        <v>460</v>
      </c>
      <c r="AD11" s="32" t="s">
        <v>460</v>
      </c>
      <c r="AE11" s="32" t="s">
        <v>511</v>
      </c>
      <c r="AF11" s="32" t="s">
        <v>460</v>
      </c>
      <c r="AG11" s="32" t="s">
        <v>457</v>
      </c>
      <c r="AI11" s="32" t="s">
        <v>460</v>
      </c>
      <c r="AJ11" s="32" t="s">
        <v>100</v>
      </c>
      <c r="AK11" s="32" t="s">
        <v>112</v>
      </c>
      <c r="AM11" s="32" t="s">
        <v>742</v>
      </c>
      <c r="AN11" s="32" t="s">
        <v>457</v>
      </c>
      <c r="AO11" s="32"/>
      <c r="AP11" s="0" t="n">
        <v>0</v>
      </c>
      <c r="AR11" s="32"/>
      <c r="AS11" s="0" t="n">
        <v>8</v>
      </c>
      <c r="AT11" s="32" t="s">
        <v>460</v>
      </c>
      <c r="AV11" s="34" t="str">
        <f aca="false">IF(TRIM($A11)="","",IF(AND(LEFT($A11,6)="SAMPLE",Config!$B$19&lt;&gt;"Y"),"",IF(NOT(ISNUMBER(H11)),"call_date is blank or not a date",IF(Sync!$D$5="","Clay paste is empty or has no row_id column: paste the Clay export on Clay_Brands",IF(CM11="","row_id not found in the Clay paste: add the Clay row or fix the row_id",IF(AND(ISNUMBER(CO11),CO11&gt;=1,CO11&lt;=5),"Clay status is "&amp;CN11&amp;": set call_done or later",IF(AND(BA11=1,CP11&lt;&gt;CB11),"Clay yes_in_principle should be "&amp;CB11,IF(AND(BA11=1,CQ11&lt;&gt;H11),"Clay call_date should be "&amp;TEXT(H11,"yyyy-mm-dd"),""))))))))</f>
        <v/>
      </c>
      <c r="AW11" s="23" t="str">
        <f aca="false">IF(TRIM($A11)="","",IF(TRIM(C11)&lt;&gt;"",SUBSTITUTE(SUBSTITUTE(SUBSTITUTE(SUBSTITUTE(SUBSTITUTE(SUBSTITUTE(LOWER(TRIM(C11)),"~",""),"*",""),"?",""),"&lt;",""),"&gt;",""),"=",""),IF(DS11&lt;&gt;"",DS11,IFERROR(INDEX($DS$2:$DS$201,MATCH(DR11,$DT$2:$DT$201,0)),DR11))))</f>
        <v>sample brand 10</v>
      </c>
      <c r="AX11" s="23" t="n">
        <f aca="false">ROW()</f>
        <v>11</v>
      </c>
      <c r="AY11" s="23" t="n">
        <f aca="false">IF(AND(TRIM($A11)&lt;&gt;"",ISNUMBER(H11)),IF(AND(LEFT($A11,6)="SAMPLE",Config!$B$19&lt;&gt;"Y"),0,1),0)</f>
        <v>1</v>
      </c>
      <c r="AZ11" s="23" t="n">
        <f aca="false">IF(AY11=1,IF(COUNTIFS($AW$2:$AW$201,AW11,$AY$2:$AY$201,1,$H$2:$H$201,"&lt;"&amp;H11)+COUNTIFS($AW$2:$AW$201,AW11,$AY$2:$AY$201,1,$H$2:$H$201,H11,$AX$2:$AX$201,"&lt;"&amp;AX11)=0,1,0),0)</f>
        <v>1</v>
      </c>
      <c r="BA11" s="23" t="n">
        <f aca="false">IF(AY11=1,IF(COUNTIFS($A$2:$A$201,$A11,$AY$2:$AY$201,1,$H$2:$H$201,"&gt;"&amp;H11)+COUNTIFS($A$2:$A$201,$A11,$AY$2:$AY$201,1,$H$2:$H$201,H11,$AX$2:$AX$201,"&gt;"&amp;AX11)=0,1,0),0)</f>
        <v>1</v>
      </c>
      <c r="BB11" s="23" t="n">
        <f aca="false">IF(AND(AY11=1,O11="Y",MAX(N(R11),N(V11))&gt;=Config!$B$14),1,0)</f>
        <v>0</v>
      </c>
      <c r="BC11" s="23" t="n">
        <f aca="false">IF(BB11=1,IF(COUNTIFS($AW$2:$AW$201,AW11,$BB$2:$BB$201,1,$H$2:$H$201,"&lt;"&amp;H11)+COUNTIFS($AW$2:$AW$201,AW11,$BB$2:$BB$201,1,$H$2:$H$201,H11,$AX$2:$AX$201,"&lt;"&amp;AX11)=0,1,0),0)</f>
        <v>0</v>
      </c>
      <c r="BD11" s="23" t="n">
        <f aca="false">IF(AND(AY11=1,O11="Y",ISNUMBER(R11)),IF(R11&gt;=Config!$B$14,1,0),0)</f>
        <v>0</v>
      </c>
      <c r="BE11" s="23" t="n">
        <f aca="false">IF(BD11=1,IF(COUNTIFS($AW$2:$AW$201,AW11,$BD$2:$BD$201,1,$H$2:$H$201,"&lt;"&amp;H11)+COUNTIFS($AW$2:$AW$201,AW11,$BD$2:$BD$201,1,$H$2:$H$201,H11,$AX$2:$AX$201,"&lt;"&amp;AX11)=0,1,0),0)</f>
        <v>0</v>
      </c>
      <c r="BF11" s="23" t="n">
        <f aca="false">IF(AND(AY11=1,O11&lt;&gt;"Y",MAX(N(R11),N(V11))&gt;=Config!$B$14),1,0)</f>
        <v>0</v>
      </c>
      <c r="BG11" s="23" t="n">
        <f aca="false">IF(BF11=1,IF(COUNTIFS($AW$2:$AW$201,AW11,$BF$2:$BF$201,1,$H$2:$H$201,"&lt;"&amp;H11)+COUNTIFS($AW$2:$AW$201,AW11,$BF$2:$BF$201,1,$H$2:$H$201,H11,$AX$2:$AX$201,"&lt;"&amp;AX11)=0,1,0),0)</f>
        <v>0</v>
      </c>
      <c r="BH11" s="23" t="n">
        <f aca="false">IF(AND(AY11=1,ISNUMBER(R11)),1,0)</f>
        <v>1</v>
      </c>
      <c r="BI11" s="23" t="n">
        <f aca="false">IF(BH11=1,IF(COUNTIFS($AW$2:$AW$201,AW11,$BH$2:$BH$201,1,$H$2:$H$201,"&lt;"&amp;H11)+COUNTIFS($AW$2:$AW$201,AW11,$BH$2:$BH$201,1,$H$2:$H$201,H11,$AX$2:$AX$201,"&lt;"&amp;AX11)=0,1,0),0)</f>
        <v>1</v>
      </c>
      <c r="BJ11" s="23" t="str">
        <f aca="false">IF(AND(BI11=1,INT(N(H11))&lt;=Config!$B$6),R11,"")</f>
        <v/>
      </c>
      <c r="BK11" s="23" t="str">
        <f aca="false">IF(AND(BI11=1,INT(N(H11))&lt;=Config!$B$7),R11,"")</f>
        <v/>
      </c>
      <c r="BL11" s="23" t="n">
        <f aca="false">IF(AND(BI11=1,INT(N(H11))&lt;=Config!$B$8),R11,"")</f>
        <v>400</v>
      </c>
      <c r="BM11" s="23" t="n">
        <f aca="false">IF(AND(BI11=1,INT(N(H11))&lt;=Config!$B$5),R11,"")</f>
        <v>400</v>
      </c>
      <c r="BN11" s="23" t="n">
        <f aca="false">IF(AND(AY11=1,ISNUMBER(V11)),1,0)</f>
        <v>0</v>
      </c>
      <c r="BO11" s="23" t="n">
        <f aca="false">IF(BN11=1,IF(COUNTIFS($AW$2:$AW$201,AW11,$BN$2:$BN$201,1,$H$2:$H$201,"&lt;"&amp;H11)+COUNTIFS($AW$2:$AW$201,AW11,$BN$2:$BN$201,1,$H$2:$H$201,H11,$AX$2:$AX$201,"&lt;"&amp;AX11)=0,1,0),0)</f>
        <v>0</v>
      </c>
      <c r="BP11" s="23" t="str">
        <f aca="false">IF(AND(BO11=1,INT(N(H11))&lt;=Config!$B$6),V11,"")</f>
        <v/>
      </c>
      <c r="BQ11" s="23" t="str">
        <f aca="false">IF(AND(BO11=1,INT(N(H11))&lt;=Config!$B$7),V11,"")</f>
        <v/>
      </c>
      <c r="BR11" s="23" t="str">
        <f aca="false">IF(AND(BO11=1,INT(N(H11))&lt;=Config!$B$8),V11,"")</f>
        <v/>
      </c>
      <c r="BS11" s="23" t="str">
        <f aca="false">IF(AND(BO11=1,INT(N(H11))&lt;=Config!$B$5),V11,"")</f>
        <v/>
      </c>
      <c r="BT11" s="23" t="n">
        <f aca="false">IF(AND(AY11=1,ISNUMBER(K11)),1,0)</f>
        <v>1</v>
      </c>
      <c r="BU11" s="23" t="n">
        <f aca="false">IF(BT11=1,IF(COUNTIFS($AW$2:$AW$201,AW11,$BT$2:$BT$201,1,$H$2:$H$201,"&lt;"&amp;H11)+COUNTIFS($AW$2:$AW$201,AW11,$BT$2:$BT$201,1,$H$2:$H$201,H11,$AX$2:$AX$201,"&lt;"&amp;AX11)=0,1,0),0)</f>
        <v>1</v>
      </c>
      <c r="BV11" s="23" t="n">
        <f aca="false">IF(AND(BU11=1,INT(N(H11))&lt;=Config!$B$5),K11,"")</f>
        <v>0</v>
      </c>
      <c r="BW11" s="23" t="n">
        <f aca="false">IF(AND(AY11=1,OR(AND(ISNUMBER(R11),TRIM(S11)=""),AND(ISNUMBER(V11),TRIM(W11)=""))),1,0)</f>
        <v>0</v>
      </c>
      <c r="BX11" s="23" t="str">
        <f aca="false">IF(AY11=1,AJ11&amp;"","")</f>
        <v>seed_ourselves</v>
      </c>
      <c r="BY11" s="23" t="str">
        <f aca="false">IF(AY11=1,AK11&amp;"","")</f>
        <v>free_trial</v>
      </c>
      <c r="BZ11" s="23" t="str">
        <f aca="false">IF(AY11=1,AL11&amp;"","")</f>
        <v/>
      </c>
      <c r="CA11" s="23" t="n">
        <f aca="false">IF(AND(AY11=1,ISNUMBER(AS11),INT(N(H11))&lt;=Config!$B$5),AS11,"")</f>
        <v>8</v>
      </c>
      <c r="CB11" s="23" t="str">
        <f aca="false">IF(AY11=1,IF(COUNTIFS($A$2:$A$201,$A11,$CU$2:$CU$201,1,$AN$2:$AN$201,"Y")&gt;0,"Y","N"),"")</f>
        <v>N</v>
      </c>
      <c r="CC11" s="23" t="n">
        <f aca="false">IF(AND(AY11=1,AN11="Y"),IF(COUNTIFS($AW$2:$AW$201,AW11,$AN$2:$AN$201,"Y",$AY$2:$AY$201,1,$H$2:$H$201,"&lt;"&amp;H11)+COUNTIFS($AW$2:$AW$201,AW11,$AN$2:$AN$201,"Y",$AY$2:$AY$201,1,$H$2:$H$201,H11,$AX$2:$AX$201,"&lt;"&amp;AX11)=0,1,0),0)</f>
        <v>0</v>
      </c>
      <c r="CD11" s="23" t="n">
        <f aca="false">IF(AND(AY11=1,AB11="Y",AC11="Y",AD11="Y",AE11="Y",AF11="Y",AG11="Y",AI11="Y",TRIM(AH11)&lt;&gt;""),1,0)</f>
        <v>0</v>
      </c>
      <c r="CE11" s="23" t="n">
        <f aca="false">IF(CD11=1,IF(COUNTIFS($AW$2:$AW$201,AW11,$CD$2:$CD$201,1,$H$2:$H$201,"&lt;"&amp;H11)+COUNTIFS($AW$2:$AW$201,AW11,$CD$2:$CD$201,1,$H$2:$H$201,H11,$AX$2:$AX$201,"&lt;"&amp;AX11)=0,1,0),0)</f>
        <v>0</v>
      </c>
      <c r="CF11" s="23" t="n">
        <f aca="false">IF(AND(AY11=1,AO11="Y"),1,0)</f>
        <v>0</v>
      </c>
      <c r="CG11" s="23" t="n">
        <f aca="false">IF(CF11=1,IF(COUNTIFS($AW$2:$AW$201,AW11,$CF$2:$CF$201,1,$H$2:$H$201,"&lt;"&amp;H11)+COUNTIFS($AW$2:$AW$201,AW11,$CF$2:$CF$201,1,$H$2:$H$201,H11,$AX$2:$AX$201,"&lt;"&amp;AX11)=0,1,0),0)</f>
        <v>0</v>
      </c>
      <c r="CH11" s="23" t="n">
        <f aca="false">IF(AND(AY11=1,P11="Y"),1,0)</f>
        <v>0</v>
      </c>
      <c r="CI11" s="23" t="n">
        <f aca="false">IF(CH11=1,IF(COUNTIFS($AW$2:$AW$201,AW11,$CH$2:$CH$201,1,$H$2:$H$201,"&lt;"&amp;H11)+COUNTIFS($AW$2:$AW$201,AW11,$CH$2:$CH$201,1,$H$2:$H$201,H11,$AX$2:$AX$201,"&lt;"&amp;AX11)=0,1,0),0)</f>
        <v>0</v>
      </c>
      <c r="CJ11" s="23" t="n">
        <f aca="false">IF(AND(BU11=1,INT(N(H11))&lt;=Config!$B$5),L11,"")</f>
        <v>500</v>
      </c>
      <c r="CK11" s="23" t="n">
        <f aca="false">IF(AND(AY11=1,AR11="Y"),1,0)</f>
        <v>0</v>
      </c>
      <c r="CL11" s="23" t="n">
        <f aca="false">IF(CK11=1,IF(COUNTIFS($AW$2:$AW$201,AW11,$CK$2:$CK$201,1,$H$2:$H$201,"&lt;"&amp;H11)+COUNTIFS($AW$2:$AW$201,AW11,$CK$2:$CK$201,1,$H$2:$H$201,H11,$AX$2:$AX$201,"&lt;"&amp;AX11)=0,1,0),0)</f>
        <v>0</v>
      </c>
      <c r="CM11" s="23" t="n">
        <f aca="false">IF(AY11=1,IFERROR(MATCH($A11,INDEX(Clay_Brands!$A$2:$FZ$601,0,Sync!$D$5),0),""),"")</f>
        <v>10</v>
      </c>
      <c r="CN11" s="23" t="str">
        <f aca="false">IF(CM11="","",IFERROR(INDEX(Clay_Brands!$A$2:$FZ$601,CM11,Sync!$D$7)&amp;"",""))</f>
        <v>call_done</v>
      </c>
      <c r="CO11" s="23" t="n">
        <f aca="false">IF(CN11="","",IFERROR(INDEX(Lists!$K$2:$K$15,MATCH(CN11,Lists!$J$2:$J$15,0)),""))</f>
        <v>6</v>
      </c>
      <c r="CP11" s="23" t="str">
        <f aca="false">IF(CM11="","",IFERROR(INDEX(Clay_Brands!$A$2:$FZ$601,CM11,Sync!$D$17)&amp;"",""))</f>
        <v>N</v>
      </c>
      <c r="CQ11" s="35" t="n">
        <f aca="false">IF(CM11="","",IFERROR(N(INDEX(Clay_Brands!$A$2:$FZ$601,CM11,Sync!$D$16)),0))</f>
        <v>46337</v>
      </c>
      <c r="CR11" s="23" t="n">
        <f aca="false">IF(AND(AY11=1,OR(O11="N",AND(OR(ISNUMBER(R11),ISNUMBER(V11)),MAX(N(R11),N(V11))&lt;Config!$B$14))),1,0)</f>
        <v>1</v>
      </c>
      <c r="CS11" s="23" t="n">
        <f aca="false">IF(OR(BB11=1,CR11=1),1,0)</f>
        <v>1</v>
      </c>
      <c r="CT11" s="23" t="n">
        <f aca="false">IF(AND(AY11=1,OR(AN11="Y",AN11="N",AN11="maybe")),1,0)</f>
        <v>1</v>
      </c>
      <c r="CU11" s="23" t="n">
        <f aca="false">IF(AND(CT11=1),IF(COUNTIFS($A$2:$A$201,$A11,$CT$2:$CT$201,1,$H$2:$H$201,"&gt;"&amp;H11)+COUNTIFS($A$2:$A$201,$A11,$CT$2:$CT$201,1,$H$2:$H$201,H11,$AX$2:$AX$201,"&gt;"&amp;AX11)=0,1,0),0)</f>
        <v>1</v>
      </c>
      <c r="CV11" s="23" t="n">
        <f aca="false">IF(AND(CS11=1,INT(N(H11))&lt;=Config!$B$6),IF(COUNTIFS($AW$2:$AW$201,AW11,$CS$2:$CS$201,1,$H$2:$H$201,"&gt;"&amp;H11,$H$2:$H$201,"&lt;"&amp;(Config!$B$6+1))+COUNTIFS($AW$2:$AW$201,AW11,$CS$2:$CS$201,1,$H$2:$H$201,H11,$AX$2:$AX$201,"&gt;"&amp;AX11)=0,1,0),0)</f>
        <v>0</v>
      </c>
      <c r="CW11" s="23" t="n">
        <f aca="false">IF(AND(CS11=1,INT(N(H11))&lt;=Config!$B$7),IF(COUNTIFS($AW$2:$AW$201,AW11,$CS$2:$CS$201,1,$H$2:$H$201,"&gt;"&amp;H11,$H$2:$H$201,"&lt;"&amp;(Config!$B$7+1))+COUNTIFS($AW$2:$AW$201,AW11,$CS$2:$CS$201,1,$H$2:$H$201,H11,$AX$2:$AX$201,"&gt;"&amp;AX11)=0,1,0),0)</f>
        <v>0</v>
      </c>
      <c r="CX11" s="23" t="n">
        <f aca="false">IF(AND(CS11=1,INT(N(H11))&lt;=Config!$B$8),IF(COUNTIFS($AW$2:$AW$201,AW11,$CS$2:$CS$201,1,$H$2:$H$201,"&gt;"&amp;H11,$H$2:$H$201,"&lt;"&amp;(Config!$B$8+1))+COUNTIFS($AW$2:$AW$201,AW11,$CS$2:$CS$201,1,$H$2:$H$201,H11,$AX$2:$AX$201,"&gt;"&amp;AX11)=0,1,0),0)</f>
        <v>1</v>
      </c>
      <c r="CY11" s="23" t="n">
        <f aca="false">IF(AND(CS11=1,INT(N(H11))&lt;=Config!$B$5),IF(COUNTIFS($AW$2:$AW$201,AW11,$CS$2:$CS$201,1,$H$2:$H$201,"&gt;"&amp;H11,$H$2:$H$201,"&lt;"&amp;(Config!$B$5+1))+COUNTIFS($AW$2:$AW$201,AW11,$CS$2:$CS$201,1,$H$2:$H$201,H11,$AX$2:$AX$201,"&gt;"&amp;AX11)=0,1,0),0)</f>
        <v>1</v>
      </c>
      <c r="CZ11" s="23" t="n">
        <f aca="false">IF(AY11=1,IF(COUNTIFS($AW$2:$AW$201,AW11,$CV$2:$CV$201,1,$BB$2:$BB$201,1)&gt;0,1,0),0)</f>
        <v>0</v>
      </c>
      <c r="DA11" s="23" t="n">
        <f aca="false">IF(AY11=1,IF(COUNTIFS($AW$2:$AW$201,AW11,$CW$2:$CW$201,1,$BB$2:$BB$201,1)&gt;0,1,0),0)</f>
        <v>0</v>
      </c>
      <c r="DB11" s="23" t="n">
        <f aca="false">IF(AY11=1,IF(COUNTIFS($AW$2:$AW$201,AW11,$CX$2:$CX$201,1,$BB$2:$BB$201,1)&gt;0,1,0),0)</f>
        <v>0</v>
      </c>
      <c r="DC11" s="23" t="n">
        <f aca="false">IF(AY11=1,IF(COUNTIFS($AW$2:$AW$201,AW11,$CY$2:$CY$201,1,$BB$2:$BB$201,1)&gt;0,1,0),0)</f>
        <v>0</v>
      </c>
      <c r="DD11" s="23" t="n">
        <f aca="false">IF(AND(BC11=1,INT(N(H11))&lt;=Config!$B$6,CZ11=1),1,0)</f>
        <v>0</v>
      </c>
      <c r="DE11" s="23" t="n">
        <f aca="false">IF(AND(BC11=1,INT(N(H11))&lt;=Config!$B$7,DA11=1),1,0)</f>
        <v>0</v>
      </c>
      <c r="DF11" s="23" t="n">
        <f aca="false">IF(AND(BC11=1,INT(N(H11))&lt;=Config!$B$8,DB11=1),1,0)</f>
        <v>0</v>
      </c>
      <c r="DG11" s="23" t="n">
        <f aca="false">IF(AND(BC11=1,INT(N(H11))&lt;=Config!$B$5,DC11=1),1,0)</f>
        <v>0</v>
      </c>
      <c r="DH11" s="23" t="n">
        <f aca="false">IF(AND(BE11=1,INT(N(H11))&lt;=Config!$B$6,CZ11=1),1,0)</f>
        <v>0</v>
      </c>
      <c r="DI11" s="23" t="n">
        <f aca="false">IF(AND(BE11=1,INT(N(H11))&lt;=Config!$B$7,DA11=1),1,0)</f>
        <v>0</v>
      </c>
      <c r="DJ11" s="23" t="n">
        <f aca="false">IF(AND(BE11=1,INT(N(H11))&lt;=Config!$B$8,DB11=1),1,0)</f>
        <v>0</v>
      </c>
      <c r="DK11" s="23" t="n">
        <f aca="false">IF(AND(BE11=1,INT(N(H11))&lt;=Config!$B$5,DC11=1),1,0)</f>
        <v>0</v>
      </c>
      <c r="DL11" s="23" t="n">
        <f aca="false">IF(AND(BC11=1,INT(N(H11))&lt;=Config!$B$6,CZ11=0),1,0)</f>
        <v>0</v>
      </c>
      <c r="DM11" s="23" t="n">
        <f aca="false">IF(AND(BC11=1,INT(N(H11))&lt;=Config!$B$7,DA11=0),1,0)</f>
        <v>0</v>
      </c>
      <c r="DN11" s="23" t="n">
        <f aca="false">IF(AND(BC11=1,INT(N(H11))&lt;=Config!$B$8,DB11=0),1,0)</f>
        <v>0</v>
      </c>
      <c r="DO11" s="23" t="n">
        <f aca="false">IF(AND(BC11=1,INT(N(H11))&lt;=Config!$B$5,DC11=0),1,0)</f>
        <v>0</v>
      </c>
      <c r="DP11" s="23" t="n">
        <f aca="false">IF(TRIM($A11)="",0,ISTEXT(K11)+ISTEXT(L11)+ISTEXT(R11)+ISTEXT(V11)+ISTEXT(AP11)+ISTEXT(AS11))</f>
        <v>0</v>
      </c>
      <c r="DQ11" s="23" t="n">
        <f aca="false">IF(AY11=1,IF(H11&lt;&gt;INT(H11),1,0),0)</f>
        <v>0</v>
      </c>
      <c r="DR11" s="23" t="str">
        <f aca="false">IF(TRIM($A11)="","",IF(TRIM(B11)="",SUBSTITUTE(SUBSTITUTE(SUBSTITUTE(SUBSTITUTE(SUBSTITUTE(SUBSTITUTE(LOWER(TRIM($A11)),"~",""),"*",""),"?",""),"&lt;",""),"&gt;",""),"=",""),SUBSTITUTE(SUBSTITUTE(SUBSTITUTE(SUBSTITUTE(SUBSTITUTE(SUBSTITUTE(LOWER(TRIM(B11)),"~",""),"*",""),"?",""),"&lt;",""),"&gt;",""),"=","")))</f>
        <v>sample brand 10</v>
      </c>
      <c r="DS11" s="23" t="str">
        <f aca="false">IF(CM11="","",IFERROR(IF(LEFT(LOWER(TRIM(INDEX(Clay_Brands!$A$2:$FZ$601,CM11,Sync!$D$19)&amp;"")),4)="grp-",SUBSTITUTE(SUBSTITUTE(SUBSTITUTE(SUBSTITUTE(SUBSTITUTE(SUBSTITUTE(LOWER(TRIM(INDEX(Clay_Brands!$A$2:$FZ$601,CM11,Sync!$D$19)&amp;"")),"~",""),"*",""),"?",""),"&lt;",""),"&gt;",""),"=",""),""),""))</f>
        <v/>
      </c>
      <c r="DT11" s="23" t="str">
        <f aca="false">IF(DS11&lt;&gt;"",DR11,"")</f>
        <v/>
      </c>
      <c r="DU11" s="23" t="str">
        <f aca="false">IF(AZ11=1,AW11,"")</f>
        <v>sample brand 10</v>
      </c>
      <c r="DV11" s="23" t="str">
        <f aca="false">IF(TRIM($A11)="","",IFERROR(INDEX($A$2:$A$201,MATCH(AW11,$DU$2:$DU$201,0))&amp;"",$A11&amp;""))</f>
        <v>SAMPLE-B-010</v>
      </c>
      <c r="DW11" s="23" t="n">
        <f aca="false">IF(AY11=1,IF(COUNTIFS($A$2:$A$201,$A11,$AY$2:$AY$201,1,$H$2:$H$201,"&lt;"&amp;H11)+COUNTIFS($A$2:$A$201,$A11,$AY$2:$AY$201,1,$H$2:$H$201,H11,$AX$2:$AX$201,"&lt;"&amp;AX11)=0,1,0),0)</f>
        <v>1</v>
      </c>
      <c r="DX11" s="23" t="n">
        <f aca="false">IF(AZ11=1,IF(COUNTIFS($AW$2:$AW$201,AW11,$DW$2:$DW$201,1)&gt;1,1,0),0)</f>
        <v>0</v>
      </c>
    </row>
    <row r="12" customFormat="false" ht="15" hidden="false" customHeight="false" outlineLevel="0" collapsed="false">
      <c r="A12" s="0" t="s">
        <v>743</v>
      </c>
      <c r="B12" s="0" t="s">
        <v>744</v>
      </c>
      <c r="D12" s="0" t="s">
        <v>745</v>
      </c>
      <c r="E12" s="0" t="s">
        <v>678</v>
      </c>
      <c r="F12" s="0" t="s">
        <v>679</v>
      </c>
      <c r="G12" s="32" t="s">
        <v>453</v>
      </c>
      <c r="H12" s="33" t="n">
        <v>46338</v>
      </c>
      <c r="I12" s="32" t="s">
        <v>454</v>
      </c>
      <c r="J12" s="32" t="s">
        <v>680</v>
      </c>
      <c r="K12" s="0" t="n">
        <v>1000</v>
      </c>
      <c r="L12" s="0" t="n">
        <v>1500</v>
      </c>
      <c r="M12" s="32" t="s">
        <v>681</v>
      </c>
      <c r="N12" s="32" t="s">
        <v>682</v>
      </c>
      <c r="O12" s="32" t="s">
        <v>460</v>
      </c>
      <c r="P12" s="32" t="s">
        <v>457</v>
      </c>
      <c r="Q12" s="32" t="s">
        <v>683</v>
      </c>
      <c r="R12" s="0" t="n">
        <v>600</v>
      </c>
      <c r="S12" s="32" t="s">
        <v>746</v>
      </c>
      <c r="U12" s="32" t="s">
        <v>460</v>
      </c>
      <c r="V12" s="0" t="n">
        <v>900</v>
      </c>
      <c r="W12" s="32" t="s">
        <v>747</v>
      </c>
      <c r="X12" s="32" t="s">
        <v>686</v>
      </c>
      <c r="Y12" s="32" t="s">
        <v>687</v>
      </c>
      <c r="Z12" s="32" t="s">
        <v>688</v>
      </c>
      <c r="AA12" s="32" t="s">
        <v>689</v>
      </c>
      <c r="AB12" s="32" t="s">
        <v>460</v>
      </c>
      <c r="AC12" s="32" t="s">
        <v>460</v>
      </c>
      <c r="AD12" s="32" t="s">
        <v>460</v>
      </c>
      <c r="AE12" s="32" t="s">
        <v>460</v>
      </c>
      <c r="AF12" s="32" t="s">
        <v>460</v>
      </c>
      <c r="AG12" s="32" t="s">
        <v>460</v>
      </c>
      <c r="AH12" s="32" t="s">
        <v>690</v>
      </c>
      <c r="AI12" s="32" t="s">
        <v>460</v>
      </c>
      <c r="AJ12" s="32" t="s">
        <v>121</v>
      </c>
      <c r="AK12" s="32"/>
      <c r="AM12" s="32" t="s">
        <v>748</v>
      </c>
      <c r="AN12" s="32" t="s">
        <v>460</v>
      </c>
      <c r="AO12" s="32" t="s">
        <v>460</v>
      </c>
      <c r="AP12" s="0" t="n">
        <v>0</v>
      </c>
      <c r="AR12" s="32"/>
      <c r="AS12" s="0" t="n">
        <v>10</v>
      </c>
      <c r="AT12" s="32" t="s">
        <v>460</v>
      </c>
      <c r="AV12" s="34" t="str">
        <f aca="false">IF(TRIM($A12)="","",IF(AND(LEFT($A12,6)="SAMPLE",Config!$B$19&lt;&gt;"Y"),"",IF(NOT(ISNUMBER(H12)),"call_date is blank or not a date",IF(Sync!$D$5="","Clay paste is empty or has no row_id column: paste the Clay export on Clay_Brands",IF(CM12="","row_id not found in the Clay paste: add the Clay row or fix the row_id",IF(AND(ISNUMBER(CO12),CO12&gt;=1,CO12&lt;=5),"Clay status is "&amp;CN12&amp;": set call_done or later",IF(AND(BA12=1,CP12&lt;&gt;CB12),"Clay yes_in_principle should be "&amp;CB12,IF(AND(BA12=1,CQ12&lt;&gt;H12),"Clay call_date should be "&amp;TEXT(H12,"yyyy-mm-dd"),""))))))))</f>
        <v/>
      </c>
      <c r="AW12" s="23" t="str">
        <f aca="false">IF(TRIM($A12)="","",IF(TRIM(C12)&lt;&gt;"",SUBSTITUTE(SUBSTITUTE(SUBSTITUTE(SUBSTITUTE(SUBSTITUTE(SUBSTITUTE(LOWER(TRIM(C12)),"~",""),"*",""),"?",""),"&lt;",""),"&gt;",""),"=",""),IF(DS12&lt;&gt;"",DS12,IFERROR(INDEX($DS$2:$DS$201,MATCH(DR12,$DT$2:$DT$201,0)),DR12))))</f>
        <v>sample brand 11</v>
      </c>
      <c r="AX12" s="23" t="n">
        <f aca="false">ROW()</f>
        <v>12</v>
      </c>
      <c r="AY12" s="23" t="n">
        <f aca="false">IF(AND(TRIM($A12)&lt;&gt;"",ISNUMBER(H12)),IF(AND(LEFT($A12,6)="SAMPLE",Config!$B$19&lt;&gt;"Y"),0,1),0)</f>
        <v>1</v>
      </c>
      <c r="AZ12" s="23" t="n">
        <f aca="false">IF(AY12=1,IF(COUNTIFS($AW$2:$AW$201,AW12,$AY$2:$AY$201,1,$H$2:$H$201,"&lt;"&amp;H12)+COUNTIFS($AW$2:$AW$201,AW12,$AY$2:$AY$201,1,$H$2:$H$201,H12,$AX$2:$AX$201,"&lt;"&amp;AX12)=0,1,0),0)</f>
        <v>1</v>
      </c>
      <c r="BA12" s="23" t="n">
        <f aca="false">IF(AY12=1,IF(COUNTIFS($A$2:$A$201,$A12,$AY$2:$AY$201,1,$H$2:$H$201,"&gt;"&amp;H12)+COUNTIFS($A$2:$A$201,$A12,$AY$2:$AY$201,1,$H$2:$H$201,H12,$AX$2:$AX$201,"&gt;"&amp;AX12)=0,1,0),0)</f>
        <v>1</v>
      </c>
      <c r="BB12" s="23" t="n">
        <f aca="false">IF(AND(AY12=1,O12="Y",MAX(N(R12),N(V12))&gt;=Config!$B$14),1,0)</f>
        <v>1</v>
      </c>
      <c r="BC12" s="23" t="n">
        <f aca="false">IF(BB12=1,IF(COUNTIFS($AW$2:$AW$201,AW12,$BB$2:$BB$201,1,$H$2:$H$201,"&lt;"&amp;H12)+COUNTIFS($AW$2:$AW$201,AW12,$BB$2:$BB$201,1,$H$2:$H$201,H12,$AX$2:$AX$201,"&lt;"&amp;AX12)=0,1,0),0)</f>
        <v>1</v>
      </c>
      <c r="BD12" s="23" t="n">
        <f aca="false">IF(AND(AY12=1,O12="Y",ISNUMBER(R12)),IF(R12&gt;=Config!$B$14,1,0),0)</f>
        <v>1</v>
      </c>
      <c r="BE12" s="23" t="n">
        <f aca="false">IF(BD12=1,IF(COUNTIFS($AW$2:$AW$201,AW12,$BD$2:$BD$201,1,$H$2:$H$201,"&lt;"&amp;H12)+COUNTIFS($AW$2:$AW$201,AW12,$BD$2:$BD$201,1,$H$2:$H$201,H12,$AX$2:$AX$201,"&lt;"&amp;AX12)=0,1,0),0)</f>
        <v>1</v>
      </c>
      <c r="BF12" s="23" t="n">
        <f aca="false">IF(AND(AY12=1,O12&lt;&gt;"Y",MAX(N(R12),N(V12))&gt;=Config!$B$14),1,0)</f>
        <v>0</v>
      </c>
      <c r="BG12" s="23" t="n">
        <f aca="false">IF(BF12=1,IF(COUNTIFS($AW$2:$AW$201,AW12,$BF$2:$BF$201,1,$H$2:$H$201,"&lt;"&amp;H12)+COUNTIFS($AW$2:$AW$201,AW12,$BF$2:$BF$201,1,$H$2:$H$201,H12,$AX$2:$AX$201,"&lt;"&amp;AX12)=0,1,0),0)</f>
        <v>0</v>
      </c>
      <c r="BH12" s="23" t="n">
        <f aca="false">IF(AND(AY12=1,ISNUMBER(R12)),1,0)</f>
        <v>1</v>
      </c>
      <c r="BI12" s="23" t="n">
        <f aca="false">IF(BH12=1,IF(COUNTIFS($AW$2:$AW$201,AW12,$BH$2:$BH$201,1,$H$2:$H$201,"&lt;"&amp;H12)+COUNTIFS($AW$2:$AW$201,AW12,$BH$2:$BH$201,1,$H$2:$H$201,H12,$AX$2:$AX$201,"&lt;"&amp;AX12)=0,1,0),0)</f>
        <v>1</v>
      </c>
      <c r="BJ12" s="23" t="str">
        <f aca="false">IF(AND(BI12=1,INT(N(H12))&lt;=Config!$B$6),R12,"")</f>
        <v/>
      </c>
      <c r="BK12" s="23" t="str">
        <f aca="false">IF(AND(BI12=1,INT(N(H12))&lt;=Config!$B$7),R12,"")</f>
        <v/>
      </c>
      <c r="BL12" s="23" t="n">
        <f aca="false">IF(AND(BI12=1,INT(N(H12))&lt;=Config!$B$8),R12,"")</f>
        <v>600</v>
      </c>
      <c r="BM12" s="23" t="n">
        <f aca="false">IF(AND(BI12=1,INT(N(H12))&lt;=Config!$B$5),R12,"")</f>
        <v>600</v>
      </c>
      <c r="BN12" s="23" t="n">
        <f aca="false">IF(AND(AY12=1,ISNUMBER(V12)),1,0)</f>
        <v>1</v>
      </c>
      <c r="BO12" s="23" t="n">
        <f aca="false">IF(BN12=1,IF(COUNTIFS($AW$2:$AW$201,AW12,$BN$2:$BN$201,1,$H$2:$H$201,"&lt;"&amp;H12)+COUNTIFS($AW$2:$AW$201,AW12,$BN$2:$BN$201,1,$H$2:$H$201,H12,$AX$2:$AX$201,"&lt;"&amp;AX12)=0,1,0),0)</f>
        <v>1</v>
      </c>
      <c r="BP12" s="23" t="str">
        <f aca="false">IF(AND(BO12=1,INT(N(H12))&lt;=Config!$B$6),V12,"")</f>
        <v/>
      </c>
      <c r="BQ12" s="23" t="str">
        <f aca="false">IF(AND(BO12=1,INT(N(H12))&lt;=Config!$B$7),V12,"")</f>
        <v/>
      </c>
      <c r="BR12" s="23" t="n">
        <f aca="false">IF(AND(BO12=1,INT(N(H12))&lt;=Config!$B$8),V12,"")</f>
        <v>900</v>
      </c>
      <c r="BS12" s="23" t="n">
        <f aca="false">IF(AND(BO12=1,INT(N(H12))&lt;=Config!$B$5),V12,"")</f>
        <v>900</v>
      </c>
      <c r="BT12" s="23" t="n">
        <f aca="false">IF(AND(AY12=1,ISNUMBER(K12)),1,0)</f>
        <v>1</v>
      </c>
      <c r="BU12" s="23" t="n">
        <f aca="false">IF(BT12=1,IF(COUNTIFS($AW$2:$AW$201,AW12,$BT$2:$BT$201,1,$H$2:$H$201,"&lt;"&amp;H12)+COUNTIFS($AW$2:$AW$201,AW12,$BT$2:$BT$201,1,$H$2:$H$201,H12,$AX$2:$AX$201,"&lt;"&amp;AX12)=0,1,0),0)</f>
        <v>1</v>
      </c>
      <c r="BV12" s="23" t="n">
        <f aca="false">IF(AND(BU12=1,INT(N(H12))&lt;=Config!$B$5),K12,"")</f>
        <v>1000</v>
      </c>
      <c r="BW12" s="23" t="n">
        <f aca="false">IF(AND(AY12=1,OR(AND(ISNUMBER(R12),TRIM(S12)=""),AND(ISNUMBER(V12),TRIM(W12)=""))),1,0)</f>
        <v>0</v>
      </c>
      <c r="BX12" s="23" t="str">
        <f aca="false">IF(AY12=1,AJ12&amp;"","")</f>
        <v>budget_timing</v>
      </c>
      <c r="BY12" s="23" t="str">
        <f aca="false">IF(AY12=1,AK12&amp;"","")</f>
        <v/>
      </c>
      <c r="BZ12" s="23" t="str">
        <f aca="false">IF(AY12=1,AL12&amp;"","")</f>
        <v/>
      </c>
      <c r="CA12" s="23" t="n">
        <f aca="false">IF(AND(AY12=1,ISNUMBER(AS12),INT(N(H12))&lt;=Config!$B$5),AS12,"")</f>
        <v>10</v>
      </c>
      <c r="CB12" s="23" t="str">
        <f aca="false">IF(AY12=1,IF(COUNTIFS($A$2:$A$201,$A12,$CU$2:$CU$201,1,$AN$2:$AN$201,"Y")&gt;0,"Y","N"),"")</f>
        <v>Y</v>
      </c>
      <c r="CC12" s="23" t="n">
        <f aca="false">IF(AND(AY12=1,AN12="Y"),IF(COUNTIFS($AW$2:$AW$201,AW12,$AN$2:$AN$201,"Y",$AY$2:$AY$201,1,$H$2:$H$201,"&lt;"&amp;H12)+COUNTIFS($AW$2:$AW$201,AW12,$AN$2:$AN$201,"Y",$AY$2:$AY$201,1,$H$2:$H$201,H12,$AX$2:$AX$201,"&lt;"&amp;AX12)=0,1,0),0)</f>
        <v>1</v>
      </c>
      <c r="CD12" s="23" t="n">
        <f aca="false">IF(AND(AY12=1,AB12="Y",AC12="Y",AD12="Y",AE12="Y",AF12="Y",AG12="Y",AI12="Y",TRIM(AH12)&lt;&gt;""),1,0)</f>
        <v>1</v>
      </c>
      <c r="CE12" s="23" t="n">
        <f aca="false">IF(CD12=1,IF(COUNTIFS($AW$2:$AW$201,AW12,$CD$2:$CD$201,1,$H$2:$H$201,"&lt;"&amp;H12)+COUNTIFS($AW$2:$AW$201,AW12,$CD$2:$CD$201,1,$H$2:$H$201,H12,$AX$2:$AX$201,"&lt;"&amp;AX12)=0,1,0),0)</f>
        <v>1</v>
      </c>
      <c r="CF12" s="23" t="n">
        <f aca="false">IF(AND(AY12=1,AO12="Y"),1,0)</f>
        <v>1</v>
      </c>
      <c r="CG12" s="23" t="n">
        <f aca="false">IF(CF12=1,IF(COUNTIFS($AW$2:$AW$201,AW12,$CF$2:$CF$201,1,$H$2:$H$201,"&lt;"&amp;H12)+COUNTIFS($AW$2:$AW$201,AW12,$CF$2:$CF$201,1,$H$2:$H$201,H12,$AX$2:$AX$201,"&lt;"&amp;AX12)=0,1,0),0)</f>
        <v>1</v>
      </c>
      <c r="CH12" s="23" t="n">
        <f aca="false">IF(AND(AY12=1,P12="Y"),1,0)</f>
        <v>0</v>
      </c>
      <c r="CI12" s="23" t="n">
        <f aca="false">IF(CH12=1,IF(COUNTIFS($AW$2:$AW$201,AW12,$CH$2:$CH$201,1,$H$2:$H$201,"&lt;"&amp;H12)+COUNTIFS($AW$2:$AW$201,AW12,$CH$2:$CH$201,1,$H$2:$H$201,H12,$AX$2:$AX$201,"&lt;"&amp;AX12)=0,1,0),0)</f>
        <v>0</v>
      </c>
      <c r="CJ12" s="23" t="n">
        <f aca="false">IF(AND(BU12=1,INT(N(H12))&lt;=Config!$B$5),L12,"")</f>
        <v>1500</v>
      </c>
      <c r="CK12" s="23" t="n">
        <f aca="false">IF(AND(AY12=1,AR12="Y"),1,0)</f>
        <v>0</v>
      </c>
      <c r="CL12" s="23" t="n">
        <f aca="false">IF(CK12=1,IF(COUNTIFS($AW$2:$AW$201,AW12,$CK$2:$CK$201,1,$H$2:$H$201,"&lt;"&amp;H12)+COUNTIFS($AW$2:$AW$201,AW12,$CK$2:$CK$201,1,$H$2:$H$201,H12,$AX$2:$AX$201,"&lt;"&amp;AX12)=0,1,0),0)</f>
        <v>0</v>
      </c>
      <c r="CM12" s="23" t="n">
        <f aca="false">IF(AY12=1,IFERROR(MATCH($A12,INDEX(Clay_Brands!$A$2:$FZ$601,0,Sync!$D$5),0),""),"")</f>
        <v>11</v>
      </c>
      <c r="CN12" s="23" t="str">
        <f aca="false">IF(CM12="","",IFERROR(INDEX(Clay_Brands!$A$2:$FZ$601,CM12,Sync!$D$7)&amp;"",""))</f>
        <v>yes_in_principle</v>
      </c>
      <c r="CO12" s="23" t="n">
        <f aca="false">IF(CN12="","",IFERROR(INDEX(Lists!$K$2:$K$15,MATCH(CN12,Lists!$J$2:$J$15,0)),""))</f>
        <v>7</v>
      </c>
      <c r="CP12" s="23" t="str">
        <f aca="false">IF(CM12="","",IFERROR(INDEX(Clay_Brands!$A$2:$FZ$601,CM12,Sync!$D$17)&amp;"",""))</f>
        <v>Y</v>
      </c>
      <c r="CQ12" s="35" t="n">
        <f aca="false">IF(CM12="","",IFERROR(N(INDEX(Clay_Brands!$A$2:$FZ$601,CM12,Sync!$D$16)),0))</f>
        <v>46338</v>
      </c>
      <c r="CR12" s="23" t="n">
        <f aca="false">IF(AND(AY12=1,OR(O12="N",AND(OR(ISNUMBER(R12),ISNUMBER(V12)),MAX(N(R12),N(V12))&lt;Config!$B$14))),1,0)</f>
        <v>0</v>
      </c>
      <c r="CS12" s="23" t="n">
        <f aca="false">IF(OR(BB12=1,CR12=1),1,0)</f>
        <v>1</v>
      </c>
      <c r="CT12" s="23" t="n">
        <f aca="false">IF(AND(AY12=1,OR(AN12="Y",AN12="N",AN12="maybe")),1,0)</f>
        <v>1</v>
      </c>
      <c r="CU12" s="23" t="n">
        <f aca="false">IF(AND(CT12=1),IF(COUNTIFS($A$2:$A$201,$A12,$CT$2:$CT$201,1,$H$2:$H$201,"&gt;"&amp;H12)+COUNTIFS($A$2:$A$201,$A12,$CT$2:$CT$201,1,$H$2:$H$201,H12,$AX$2:$AX$201,"&gt;"&amp;AX12)=0,1,0),0)</f>
        <v>1</v>
      </c>
      <c r="CV12" s="23" t="n">
        <f aca="false">IF(AND(CS12=1,INT(N(H12))&lt;=Config!$B$6),IF(COUNTIFS($AW$2:$AW$201,AW12,$CS$2:$CS$201,1,$H$2:$H$201,"&gt;"&amp;H12,$H$2:$H$201,"&lt;"&amp;(Config!$B$6+1))+COUNTIFS($AW$2:$AW$201,AW12,$CS$2:$CS$201,1,$H$2:$H$201,H12,$AX$2:$AX$201,"&gt;"&amp;AX12)=0,1,0),0)</f>
        <v>0</v>
      </c>
      <c r="CW12" s="23" t="n">
        <f aca="false">IF(AND(CS12=1,INT(N(H12))&lt;=Config!$B$7),IF(COUNTIFS($AW$2:$AW$201,AW12,$CS$2:$CS$201,1,$H$2:$H$201,"&gt;"&amp;H12,$H$2:$H$201,"&lt;"&amp;(Config!$B$7+1))+COUNTIFS($AW$2:$AW$201,AW12,$CS$2:$CS$201,1,$H$2:$H$201,H12,$AX$2:$AX$201,"&gt;"&amp;AX12)=0,1,0),0)</f>
        <v>0</v>
      </c>
      <c r="CX12" s="23" t="n">
        <f aca="false">IF(AND(CS12=1,INT(N(H12))&lt;=Config!$B$8),IF(COUNTIFS($AW$2:$AW$201,AW12,$CS$2:$CS$201,1,$H$2:$H$201,"&gt;"&amp;H12,$H$2:$H$201,"&lt;"&amp;(Config!$B$8+1))+COUNTIFS($AW$2:$AW$201,AW12,$CS$2:$CS$201,1,$H$2:$H$201,H12,$AX$2:$AX$201,"&gt;"&amp;AX12)=0,1,0),0)</f>
        <v>1</v>
      </c>
      <c r="CY12" s="23" t="n">
        <f aca="false">IF(AND(CS12=1,INT(N(H12))&lt;=Config!$B$5),IF(COUNTIFS($AW$2:$AW$201,AW12,$CS$2:$CS$201,1,$H$2:$H$201,"&gt;"&amp;H12,$H$2:$H$201,"&lt;"&amp;(Config!$B$5+1))+COUNTIFS($AW$2:$AW$201,AW12,$CS$2:$CS$201,1,$H$2:$H$201,H12,$AX$2:$AX$201,"&gt;"&amp;AX12)=0,1,0),0)</f>
        <v>1</v>
      </c>
      <c r="CZ12" s="23" t="n">
        <f aca="false">IF(AY12=1,IF(COUNTIFS($AW$2:$AW$201,AW12,$CV$2:$CV$201,1,$BB$2:$BB$201,1)&gt;0,1,0),0)</f>
        <v>0</v>
      </c>
      <c r="DA12" s="23" t="n">
        <f aca="false">IF(AY12=1,IF(COUNTIFS($AW$2:$AW$201,AW12,$CW$2:$CW$201,1,$BB$2:$BB$201,1)&gt;0,1,0),0)</f>
        <v>0</v>
      </c>
      <c r="DB12" s="23" t="n">
        <f aca="false">IF(AY12=1,IF(COUNTIFS($AW$2:$AW$201,AW12,$CX$2:$CX$201,1,$BB$2:$BB$201,1)&gt;0,1,0),0)</f>
        <v>1</v>
      </c>
      <c r="DC12" s="23" t="n">
        <f aca="false">IF(AY12=1,IF(COUNTIFS($AW$2:$AW$201,AW12,$CY$2:$CY$201,1,$BB$2:$BB$201,1)&gt;0,1,0),0)</f>
        <v>1</v>
      </c>
      <c r="DD12" s="23" t="n">
        <f aca="false">IF(AND(BC12=1,INT(N(H12))&lt;=Config!$B$6,CZ12=1),1,0)</f>
        <v>0</v>
      </c>
      <c r="DE12" s="23" t="n">
        <f aca="false">IF(AND(BC12=1,INT(N(H12))&lt;=Config!$B$7,DA12=1),1,0)</f>
        <v>0</v>
      </c>
      <c r="DF12" s="23" t="n">
        <f aca="false">IF(AND(BC12=1,INT(N(H12))&lt;=Config!$B$8,DB12=1),1,0)</f>
        <v>1</v>
      </c>
      <c r="DG12" s="23" t="n">
        <f aca="false">IF(AND(BC12=1,INT(N(H12))&lt;=Config!$B$5,DC12=1),1,0)</f>
        <v>1</v>
      </c>
      <c r="DH12" s="23" t="n">
        <f aca="false">IF(AND(BE12=1,INT(N(H12))&lt;=Config!$B$6,CZ12=1),1,0)</f>
        <v>0</v>
      </c>
      <c r="DI12" s="23" t="n">
        <f aca="false">IF(AND(BE12=1,INT(N(H12))&lt;=Config!$B$7,DA12=1),1,0)</f>
        <v>0</v>
      </c>
      <c r="DJ12" s="23" t="n">
        <f aca="false">IF(AND(BE12=1,INT(N(H12))&lt;=Config!$B$8,DB12=1),1,0)</f>
        <v>1</v>
      </c>
      <c r="DK12" s="23" t="n">
        <f aca="false">IF(AND(BE12=1,INT(N(H12))&lt;=Config!$B$5,DC12=1),1,0)</f>
        <v>1</v>
      </c>
      <c r="DL12" s="23" t="n">
        <f aca="false">IF(AND(BC12=1,INT(N(H12))&lt;=Config!$B$6,CZ12=0),1,0)</f>
        <v>0</v>
      </c>
      <c r="DM12" s="23" t="n">
        <f aca="false">IF(AND(BC12=1,INT(N(H12))&lt;=Config!$B$7,DA12=0),1,0)</f>
        <v>0</v>
      </c>
      <c r="DN12" s="23" t="n">
        <f aca="false">IF(AND(BC12=1,INT(N(H12))&lt;=Config!$B$8,DB12=0),1,0)</f>
        <v>0</v>
      </c>
      <c r="DO12" s="23" t="n">
        <f aca="false">IF(AND(BC12=1,INT(N(H12))&lt;=Config!$B$5,DC12=0),1,0)</f>
        <v>0</v>
      </c>
      <c r="DP12" s="23" t="n">
        <f aca="false">IF(TRIM($A12)="",0,ISTEXT(K12)+ISTEXT(L12)+ISTEXT(R12)+ISTEXT(V12)+ISTEXT(AP12)+ISTEXT(AS12))</f>
        <v>0</v>
      </c>
      <c r="DQ12" s="23" t="n">
        <f aca="false">IF(AY12=1,IF(H12&lt;&gt;INT(H12),1,0),0)</f>
        <v>0</v>
      </c>
      <c r="DR12" s="23" t="str">
        <f aca="false">IF(TRIM($A12)="","",IF(TRIM(B12)="",SUBSTITUTE(SUBSTITUTE(SUBSTITUTE(SUBSTITUTE(SUBSTITUTE(SUBSTITUTE(LOWER(TRIM($A12)),"~",""),"*",""),"?",""),"&lt;",""),"&gt;",""),"=",""),SUBSTITUTE(SUBSTITUTE(SUBSTITUTE(SUBSTITUTE(SUBSTITUTE(SUBSTITUTE(LOWER(TRIM(B12)),"~",""),"*",""),"?",""),"&lt;",""),"&gt;",""),"=","")))</f>
        <v>sample brand 11</v>
      </c>
      <c r="DS12" s="23" t="str">
        <f aca="false">IF(CM12="","",IFERROR(IF(LEFT(LOWER(TRIM(INDEX(Clay_Brands!$A$2:$FZ$601,CM12,Sync!$D$19)&amp;"")),4)="grp-",SUBSTITUTE(SUBSTITUTE(SUBSTITUTE(SUBSTITUTE(SUBSTITUTE(SUBSTITUTE(LOWER(TRIM(INDEX(Clay_Brands!$A$2:$FZ$601,CM12,Sync!$D$19)&amp;"")),"~",""),"*",""),"?",""),"&lt;",""),"&gt;",""),"=",""),""),""))</f>
        <v/>
      </c>
      <c r="DT12" s="23" t="str">
        <f aca="false">IF(DS12&lt;&gt;"",DR12,"")</f>
        <v/>
      </c>
      <c r="DU12" s="23" t="str">
        <f aca="false">IF(AZ12=1,AW12,"")</f>
        <v>sample brand 11</v>
      </c>
      <c r="DV12" s="23" t="str">
        <f aca="false">IF(TRIM($A12)="","",IFERROR(INDEX($A$2:$A$201,MATCH(AW12,$DU$2:$DU$201,0))&amp;"",$A12&amp;""))</f>
        <v>SAMPLE-B-011</v>
      </c>
      <c r="DW12" s="23" t="n">
        <f aca="false">IF(AY12=1,IF(COUNTIFS($A$2:$A$201,$A12,$AY$2:$AY$201,1,$H$2:$H$201,"&lt;"&amp;H12)+COUNTIFS($A$2:$A$201,$A12,$AY$2:$AY$201,1,$H$2:$H$201,H12,$AX$2:$AX$201,"&lt;"&amp;AX12)=0,1,0),0)</f>
        <v>1</v>
      </c>
      <c r="DX12" s="23" t="n">
        <f aca="false">IF(AZ12=1,IF(COUNTIFS($AW$2:$AW$201,AW12,$DW$2:$DW$201,1)&gt;1,1,0),0)</f>
        <v>0</v>
      </c>
    </row>
    <row r="13" customFormat="false" ht="15" hidden="false" customHeight="false" outlineLevel="0" collapsed="false">
      <c r="A13" s="0" t="s">
        <v>692</v>
      </c>
      <c r="B13" s="0" t="s">
        <v>693</v>
      </c>
      <c r="D13" s="0" t="s">
        <v>694</v>
      </c>
      <c r="E13" s="0" t="s">
        <v>695</v>
      </c>
      <c r="F13" s="0" t="s">
        <v>679</v>
      </c>
      <c r="G13" s="32" t="s">
        <v>453</v>
      </c>
      <c r="H13" s="33" t="n">
        <v>46338</v>
      </c>
      <c r="I13" s="32" t="s">
        <v>454</v>
      </c>
      <c r="J13" s="32" t="s">
        <v>680</v>
      </c>
      <c r="K13" s="0" t="n">
        <v>2000</v>
      </c>
      <c r="L13" s="0" t="n">
        <v>2500</v>
      </c>
      <c r="M13" s="32" t="s">
        <v>681</v>
      </c>
      <c r="N13" s="32" t="s">
        <v>682</v>
      </c>
      <c r="O13" s="32" t="s">
        <v>460</v>
      </c>
      <c r="P13" s="32" t="s">
        <v>457</v>
      </c>
      <c r="Q13" s="32" t="s">
        <v>683</v>
      </c>
      <c r="U13" s="32" t="s">
        <v>460</v>
      </c>
      <c r="V13" s="0" t="n">
        <v>700</v>
      </c>
      <c r="W13" s="32" t="s">
        <v>749</v>
      </c>
      <c r="X13" s="32" t="s">
        <v>686</v>
      </c>
      <c r="Y13" s="32" t="s">
        <v>698</v>
      </c>
      <c r="Z13" s="32" t="s">
        <v>688</v>
      </c>
      <c r="AA13" s="32" t="s">
        <v>689</v>
      </c>
      <c r="AB13" s="32" t="s">
        <v>460</v>
      </c>
      <c r="AC13" s="32" t="s">
        <v>460</v>
      </c>
      <c r="AD13" s="32" t="s">
        <v>460</v>
      </c>
      <c r="AE13" s="32" t="s">
        <v>460</v>
      </c>
      <c r="AF13" s="32" t="s">
        <v>460</v>
      </c>
      <c r="AG13" s="32" t="s">
        <v>460</v>
      </c>
      <c r="AI13" s="32" t="s">
        <v>460</v>
      </c>
      <c r="AJ13" s="32"/>
      <c r="AK13" s="32"/>
      <c r="AN13" s="32" t="s">
        <v>460</v>
      </c>
      <c r="AO13" s="32" t="s">
        <v>460</v>
      </c>
      <c r="AP13" s="0" t="n">
        <v>0</v>
      </c>
      <c r="AR13" s="32"/>
      <c r="AS13" s="0" t="n">
        <v>5</v>
      </c>
      <c r="AT13" s="32" t="s">
        <v>460</v>
      </c>
      <c r="AV13" s="34" t="str">
        <f aca="false">IF(TRIM($A13)="","",IF(AND(LEFT($A13,6)="SAMPLE",Config!$B$19&lt;&gt;"Y"),"",IF(NOT(ISNUMBER(H13)),"call_date is blank or not a date",IF(Sync!$D$5="","Clay paste is empty or has no row_id column: paste the Clay export on Clay_Brands",IF(CM13="","row_id not found in the Clay paste: add the Clay row or fix the row_id",IF(AND(ISNUMBER(CO13),CO13&gt;=1,CO13&lt;=5),"Clay status is "&amp;CN13&amp;": set call_done or later",IF(AND(BA13=1,CP13&lt;&gt;CB13),"Clay yes_in_principle should be "&amp;CB13,IF(AND(BA13=1,CQ13&lt;&gt;H13),"Clay call_date should be "&amp;TEXT(H13,"yyyy-mm-dd"),""))))))))</f>
        <v/>
      </c>
      <c r="AW13" s="23" t="str">
        <f aca="false">IF(TRIM($A13)="","",IF(TRIM(C13)&lt;&gt;"",SUBSTITUTE(SUBSTITUTE(SUBSTITUTE(SUBSTITUTE(SUBSTITUTE(SUBSTITUTE(LOWER(TRIM(C13)),"~",""),"*",""),"?",""),"&lt;",""),"&gt;",""),"=",""),IF(DS13&lt;&gt;"",DS13,IFERROR(INDEX($DS$2:$DS$201,MATCH(DR13,$DT$2:$DT$201,0)),DR13))))</f>
        <v>sample brand 02</v>
      </c>
      <c r="AX13" s="23" t="n">
        <f aca="false">ROW()</f>
        <v>13</v>
      </c>
      <c r="AY13" s="23" t="n">
        <f aca="false">IF(AND(TRIM($A13)&lt;&gt;"",ISNUMBER(H13)),IF(AND(LEFT($A13,6)="SAMPLE",Config!$B$19&lt;&gt;"Y"),0,1),0)</f>
        <v>1</v>
      </c>
      <c r="AZ13" s="23" t="n">
        <f aca="false">IF(AY13=1,IF(COUNTIFS($AW$2:$AW$201,AW13,$AY$2:$AY$201,1,$H$2:$H$201,"&lt;"&amp;H13)+COUNTIFS($AW$2:$AW$201,AW13,$AY$2:$AY$201,1,$H$2:$H$201,H13,$AX$2:$AX$201,"&lt;"&amp;AX13)=0,1,0),0)</f>
        <v>0</v>
      </c>
      <c r="BA13" s="23" t="n">
        <f aca="false">IF(AY13=1,IF(COUNTIFS($A$2:$A$201,$A13,$AY$2:$AY$201,1,$H$2:$H$201,"&gt;"&amp;H13)+COUNTIFS($A$2:$A$201,$A13,$AY$2:$AY$201,1,$H$2:$H$201,H13,$AX$2:$AX$201,"&gt;"&amp;AX13)=0,1,0),0)</f>
        <v>1</v>
      </c>
      <c r="BB13" s="23" t="n">
        <f aca="false">IF(AND(AY13=1,O13="Y",MAX(N(R13),N(V13))&gt;=Config!$B$14),1,0)</f>
        <v>1</v>
      </c>
      <c r="BC13" s="23" t="n">
        <f aca="false">IF(BB13=1,IF(COUNTIFS($AW$2:$AW$201,AW13,$BB$2:$BB$201,1,$H$2:$H$201,"&lt;"&amp;H13)+COUNTIFS($AW$2:$AW$201,AW13,$BB$2:$BB$201,1,$H$2:$H$201,H13,$AX$2:$AX$201,"&lt;"&amp;AX13)=0,1,0),0)</f>
        <v>0</v>
      </c>
      <c r="BD13" s="23" t="n">
        <f aca="false">IF(AND(AY13=1,O13="Y",ISNUMBER(R13)),IF(R13&gt;=Config!$B$14,1,0),0)</f>
        <v>0</v>
      </c>
      <c r="BE13" s="23" t="n">
        <f aca="false">IF(BD13=1,IF(COUNTIFS($AW$2:$AW$201,AW13,$BD$2:$BD$201,1,$H$2:$H$201,"&lt;"&amp;H13)+COUNTIFS($AW$2:$AW$201,AW13,$BD$2:$BD$201,1,$H$2:$H$201,H13,$AX$2:$AX$201,"&lt;"&amp;AX13)=0,1,0),0)</f>
        <v>0</v>
      </c>
      <c r="BF13" s="23" t="n">
        <f aca="false">IF(AND(AY13=1,O13&lt;&gt;"Y",MAX(N(R13),N(V13))&gt;=Config!$B$14),1,0)</f>
        <v>0</v>
      </c>
      <c r="BG13" s="23" t="n">
        <f aca="false">IF(BF13=1,IF(COUNTIFS($AW$2:$AW$201,AW13,$BF$2:$BF$201,1,$H$2:$H$201,"&lt;"&amp;H13)+COUNTIFS($AW$2:$AW$201,AW13,$BF$2:$BF$201,1,$H$2:$H$201,H13,$AX$2:$AX$201,"&lt;"&amp;AX13)=0,1,0),0)</f>
        <v>0</v>
      </c>
      <c r="BH13" s="23" t="n">
        <f aca="false">IF(AND(AY13=1,ISNUMBER(R13)),1,0)</f>
        <v>0</v>
      </c>
      <c r="BI13" s="23" t="n">
        <f aca="false">IF(BH13=1,IF(COUNTIFS($AW$2:$AW$201,AW13,$BH$2:$BH$201,1,$H$2:$H$201,"&lt;"&amp;H13)+COUNTIFS($AW$2:$AW$201,AW13,$BH$2:$BH$201,1,$H$2:$H$201,H13,$AX$2:$AX$201,"&lt;"&amp;AX13)=0,1,0),0)</f>
        <v>0</v>
      </c>
      <c r="BJ13" s="23" t="str">
        <f aca="false">IF(AND(BI13=1,INT(N(H13))&lt;=Config!$B$6),R13,"")</f>
        <v/>
      </c>
      <c r="BK13" s="23" t="str">
        <f aca="false">IF(AND(BI13=1,INT(N(H13))&lt;=Config!$B$7),R13,"")</f>
        <v/>
      </c>
      <c r="BL13" s="23" t="str">
        <f aca="false">IF(AND(BI13=1,INT(N(H13))&lt;=Config!$B$8),R13,"")</f>
        <v/>
      </c>
      <c r="BM13" s="23" t="str">
        <f aca="false">IF(AND(BI13=1,INT(N(H13))&lt;=Config!$B$5),R13,"")</f>
        <v/>
      </c>
      <c r="BN13" s="23" t="n">
        <f aca="false">IF(AND(AY13=1,ISNUMBER(V13)),1,0)</f>
        <v>1</v>
      </c>
      <c r="BO13" s="23" t="n">
        <f aca="false">IF(BN13=1,IF(COUNTIFS($AW$2:$AW$201,AW13,$BN$2:$BN$201,1,$H$2:$H$201,"&lt;"&amp;H13)+COUNTIFS($AW$2:$AW$201,AW13,$BN$2:$BN$201,1,$H$2:$H$201,H13,$AX$2:$AX$201,"&lt;"&amp;AX13)=0,1,0),0)</f>
        <v>0</v>
      </c>
      <c r="BP13" s="23" t="str">
        <f aca="false">IF(AND(BO13=1,INT(N(H13))&lt;=Config!$B$6),V13,"")</f>
        <v/>
      </c>
      <c r="BQ13" s="23" t="str">
        <f aca="false">IF(AND(BO13=1,INT(N(H13))&lt;=Config!$B$7),V13,"")</f>
        <v/>
      </c>
      <c r="BR13" s="23" t="str">
        <f aca="false">IF(AND(BO13=1,INT(N(H13))&lt;=Config!$B$8),V13,"")</f>
        <v/>
      </c>
      <c r="BS13" s="23" t="str">
        <f aca="false">IF(AND(BO13=1,INT(N(H13))&lt;=Config!$B$5),V13,"")</f>
        <v/>
      </c>
      <c r="BT13" s="23" t="n">
        <f aca="false">IF(AND(AY13=1,ISNUMBER(K13)),1,0)</f>
        <v>1</v>
      </c>
      <c r="BU13" s="23" t="n">
        <f aca="false">IF(BT13=1,IF(COUNTIFS($AW$2:$AW$201,AW13,$BT$2:$BT$201,1,$H$2:$H$201,"&lt;"&amp;H13)+COUNTIFS($AW$2:$AW$201,AW13,$BT$2:$BT$201,1,$H$2:$H$201,H13,$AX$2:$AX$201,"&lt;"&amp;AX13)=0,1,0),0)</f>
        <v>0</v>
      </c>
      <c r="BV13" s="23" t="str">
        <f aca="false">IF(AND(BU13=1,INT(N(H13))&lt;=Config!$B$5),K13,"")</f>
        <v/>
      </c>
      <c r="BW13" s="23" t="n">
        <f aca="false">IF(AND(AY13=1,OR(AND(ISNUMBER(R13),TRIM(S13)=""),AND(ISNUMBER(V13),TRIM(W13)=""))),1,0)</f>
        <v>0</v>
      </c>
      <c r="BX13" s="23" t="str">
        <f aca="false">IF(AY13=1,AJ13&amp;"","")</f>
        <v/>
      </c>
      <c r="BY13" s="23" t="str">
        <f aca="false">IF(AY13=1,AK13&amp;"","")</f>
        <v/>
      </c>
      <c r="BZ13" s="23" t="str">
        <f aca="false">IF(AY13=1,AL13&amp;"","")</f>
        <v/>
      </c>
      <c r="CA13" s="23" t="n">
        <f aca="false">IF(AND(AY13=1,ISNUMBER(AS13),INT(N(H13))&lt;=Config!$B$5),AS13,"")</f>
        <v>5</v>
      </c>
      <c r="CB13" s="23" t="str">
        <f aca="false">IF(AY13=1,IF(COUNTIFS($A$2:$A$201,$A13,$CU$2:$CU$201,1,$AN$2:$AN$201,"Y")&gt;0,"Y","N"),"")</f>
        <v>Y</v>
      </c>
      <c r="CC13" s="23" t="n">
        <f aca="false">IF(AND(AY13=1,AN13="Y"),IF(COUNTIFS($AW$2:$AW$201,AW13,$AN$2:$AN$201,"Y",$AY$2:$AY$201,1,$H$2:$H$201,"&lt;"&amp;H13)+COUNTIFS($AW$2:$AW$201,AW13,$AN$2:$AN$201,"Y",$AY$2:$AY$201,1,$H$2:$H$201,H13,$AX$2:$AX$201,"&lt;"&amp;AX13)=0,1,0),0)</f>
        <v>0</v>
      </c>
      <c r="CD13" s="23" t="n">
        <f aca="false">IF(AND(AY13=1,AB13="Y",AC13="Y",AD13="Y",AE13="Y",AF13="Y",AG13="Y",AI13="Y",TRIM(AH13)&lt;&gt;""),1,0)</f>
        <v>0</v>
      </c>
      <c r="CE13" s="23" t="n">
        <f aca="false">IF(CD13=1,IF(COUNTIFS($AW$2:$AW$201,AW13,$CD$2:$CD$201,1,$H$2:$H$201,"&lt;"&amp;H13)+COUNTIFS($AW$2:$AW$201,AW13,$CD$2:$CD$201,1,$H$2:$H$201,H13,$AX$2:$AX$201,"&lt;"&amp;AX13)=0,1,0),0)</f>
        <v>0</v>
      </c>
      <c r="CF13" s="23" t="n">
        <f aca="false">IF(AND(AY13=1,AO13="Y"),1,0)</f>
        <v>1</v>
      </c>
      <c r="CG13" s="23" t="n">
        <f aca="false">IF(CF13=1,IF(COUNTIFS($AW$2:$AW$201,AW13,$CF$2:$CF$201,1,$H$2:$H$201,"&lt;"&amp;H13)+COUNTIFS($AW$2:$AW$201,AW13,$CF$2:$CF$201,1,$H$2:$H$201,H13,$AX$2:$AX$201,"&lt;"&amp;AX13)=0,1,0),0)</f>
        <v>0</v>
      </c>
      <c r="CH13" s="23" t="n">
        <f aca="false">IF(AND(AY13=1,P13="Y"),1,0)</f>
        <v>0</v>
      </c>
      <c r="CI13" s="23" t="n">
        <f aca="false">IF(CH13=1,IF(COUNTIFS($AW$2:$AW$201,AW13,$CH$2:$CH$201,1,$H$2:$H$201,"&lt;"&amp;H13)+COUNTIFS($AW$2:$AW$201,AW13,$CH$2:$CH$201,1,$H$2:$H$201,H13,$AX$2:$AX$201,"&lt;"&amp;AX13)=0,1,0),0)</f>
        <v>0</v>
      </c>
      <c r="CJ13" s="23" t="str">
        <f aca="false">IF(AND(BU13=1,INT(N(H13))&lt;=Config!$B$5),L13,"")</f>
        <v/>
      </c>
      <c r="CK13" s="23" t="n">
        <f aca="false">IF(AND(AY13=1,AR13="Y"),1,0)</f>
        <v>0</v>
      </c>
      <c r="CL13" s="23" t="n">
        <f aca="false">IF(CK13=1,IF(COUNTIFS($AW$2:$AW$201,AW13,$CK$2:$CK$201,1,$H$2:$H$201,"&lt;"&amp;H13)+COUNTIFS($AW$2:$AW$201,AW13,$CK$2:$CK$201,1,$H$2:$H$201,H13,$AX$2:$AX$201,"&lt;"&amp;AX13)=0,1,0),0)</f>
        <v>0</v>
      </c>
      <c r="CM13" s="23" t="n">
        <f aca="false">IF(AY13=1,IFERROR(MATCH($A13,INDEX(Clay_Brands!$A$2:$FZ$601,0,Sync!$D$5),0),""),"")</f>
        <v>2</v>
      </c>
      <c r="CN13" s="23" t="str">
        <f aca="false">IF(CM13="","",IFERROR(INDEX(Clay_Brands!$A$2:$FZ$601,CM13,Sync!$D$7)&amp;"",""))</f>
        <v>yes_in_principle</v>
      </c>
      <c r="CO13" s="23" t="n">
        <f aca="false">IF(CN13="","",IFERROR(INDEX(Lists!$K$2:$K$15,MATCH(CN13,Lists!$J$2:$J$15,0)),""))</f>
        <v>7</v>
      </c>
      <c r="CP13" s="23" t="str">
        <f aca="false">IF(CM13="","",IFERROR(INDEX(Clay_Brands!$A$2:$FZ$601,CM13,Sync!$D$17)&amp;"",""))</f>
        <v>Y</v>
      </c>
      <c r="CQ13" s="35" t="n">
        <f aca="false">IF(CM13="","",IFERROR(N(INDEX(Clay_Brands!$A$2:$FZ$601,CM13,Sync!$D$16)),0))</f>
        <v>46338</v>
      </c>
      <c r="CR13" s="23" t="n">
        <f aca="false">IF(AND(AY13=1,OR(O13="N",AND(OR(ISNUMBER(R13),ISNUMBER(V13)),MAX(N(R13),N(V13))&lt;Config!$B$14))),1,0)</f>
        <v>0</v>
      </c>
      <c r="CS13" s="23" t="n">
        <f aca="false">IF(OR(BB13=1,CR13=1),1,0)</f>
        <v>1</v>
      </c>
      <c r="CT13" s="23" t="n">
        <f aca="false">IF(AND(AY13=1,OR(AN13="Y",AN13="N",AN13="maybe")),1,0)</f>
        <v>1</v>
      </c>
      <c r="CU13" s="23" t="n">
        <f aca="false">IF(AND(CT13=1),IF(COUNTIFS($A$2:$A$201,$A13,$CT$2:$CT$201,1,$H$2:$H$201,"&gt;"&amp;H13)+COUNTIFS($A$2:$A$201,$A13,$CT$2:$CT$201,1,$H$2:$H$201,H13,$AX$2:$AX$201,"&gt;"&amp;AX13)=0,1,0),0)</f>
        <v>1</v>
      </c>
      <c r="CV13" s="23" t="n">
        <f aca="false">IF(AND(CS13=1,INT(N(H13))&lt;=Config!$B$6),IF(COUNTIFS($AW$2:$AW$201,AW13,$CS$2:$CS$201,1,$H$2:$H$201,"&gt;"&amp;H13,$H$2:$H$201,"&lt;"&amp;(Config!$B$6+1))+COUNTIFS($AW$2:$AW$201,AW13,$CS$2:$CS$201,1,$H$2:$H$201,H13,$AX$2:$AX$201,"&gt;"&amp;AX13)=0,1,0),0)</f>
        <v>0</v>
      </c>
      <c r="CW13" s="23" t="n">
        <f aca="false">IF(AND(CS13=1,INT(N(H13))&lt;=Config!$B$7),IF(COUNTIFS($AW$2:$AW$201,AW13,$CS$2:$CS$201,1,$H$2:$H$201,"&gt;"&amp;H13,$H$2:$H$201,"&lt;"&amp;(Config!$B$7+1))+COUNTIFS($AW$2:$AW$201,AW13,$CS$2:$CS$201,1,$H$2:$H$201,H13,$AX$2:$AX$201,"&gt;"&amp;AX13)=0,1,0),0)</f>
        <v>0</v>
      </c>
      <c r="CX13" s="23" t="n">
        <f aca="false">IF(AND(CS13=1,INT(N(H13))&lt;=Config!$B$8),IF(COUNTIFS($AW$2:$AW$201,AW13,$CS$2:$CS$201,1,$H$2:$H$201,"&gt;"&amp;H13,$H$2:$H$201,"&lt;"&amp;(Config!$B$8+1))+COUNTIFS($AW$2:$AW$201,AW13,$CS$2:$CS$201,1,$H$2:$H$201,H13,$AX$2:$AX$201,"&gt;"&amp;AX13)=0,1,0),0)</f>
        <v>1</v>
      </c>
      <c r="CY13" s="23" t="n">
        <f aca="false">IF(AND(CS13=1,INT(N(H13))&lt;=Config!$B$5),IF(COUNTIFS($AW$2:$AW$201,AW13,$CS$2:$CS$201,1,$H$2:$H$201,"&gt;"&amp;H13,$H$2:$H$201,"&lt;"&amp;(Config!$B$5+1))+COUNTIFS($AW$2:$AW$201,AW13,$CS$2:$CS$201,1,$H$2:$H$201,H13,$AX$2:$AX$201,"&gt;"&amp;AX13)=0,1,0),0)</f>
        <v>1</v>
      </c>
      <c r="CZ13" s="23" t="n">
        <f aca="false">IF(AY13=1,IF(COUNTIFS($AW$2:$AW$201,AW13,$CV$2:$CV$201,1,$BB$2:$BB$201,1)&gt;0,1,0),0)</f>
        <v>1</v>
      </c>
      <c r="DA13" s="23" t="n">
        <f aca="false">IF(AY13=1,IF(COUNTIFS($AW$2:$AW$201,AW13,$CW$2:$CW$201,1,$BB$2:$BB$201,1)&gt;0,1,0),0)</f>
        <v>1</v>
      </c>
      <c r="DB13" s="23" t="n">
        <f aca="false">IF(AY13=1,IF(COUNTIFS($AW$2:$AW$201,AW13,$CX$2:$CX$201,1,$BB$2:$BB$201,1)&gt;0,1,0),0)</f>
        <v>1</v>
      </c>
      <c r="DC13" s="23" t="n">
        <f aca="false">IF(AY13=1,IF(COUNTIFS($AW$2:$AW$201,AW13,$CY$2:$CY$201,1,$BB$2:$BB$201,1)&gt;0,1,0),0)</f>
        <v>1</v>
      </c>
      <c r="DD13" s="23" t="n">
        <f aca="false">IF(AND(BC13=1,INT(N(H13))&lt;=Config!$B$6,CZ13=1),1,0)</f>
        <v>0</v>
      </c>
      <c r="DE13" s="23" t="n">
        <f aca="false">IF(AND(BC13=1,INT(N(H13))&lt;=Config!$B$7,DA13=1),1,0)</f>
        <v>0</v>
      </c>
      <c r="DF13" s="23" t="n">
        <f aca="false">IF(AND(BC13=1,INT(N(H13))&lt;=Config!$B$8,DB13=1),1,0)</f>
        <v>0</v>
      </c>
      <c r="DG13" s="23" t="n">
        <f aca="false">IF(AND(BC13=1,INT(N(H13))&lt;=Config!$B$5,DC13=1),1,0)</f>
        <v>0</v>
      </c>
      <c r="DH13" s="23" t="n">
        <f aca="false">IF(AND(BE13=1,INT(N(H13))&lt;=Config!$B$6,CZ13=1),1,0)</f>
        <v>0</v>
      </c>
      <c r="DI13" s="23" t="n">
        <f aca="false">IF(AND(BE13=1,INT(N(H13))&lt;=Config!$B$7,DA13=1),1,0)</f>
        <v>0</v>
      </c>
      <c r="DJ13" s="23" t="n">
        <f aca="false">IF(AND(BE13=1,INT(N(H13))&lt;=Config!$B$8,DB13=1),1,0)</f>
        <v>0</v>
      </c>
      <c r="DK13" s="23" t="n">
        <f aca="false">IF(AND(BE13=1,INT(N(H13))&lt;=Config!$B$5,DC13=1),1,0)</f>
        <v>0</v>
      </c>
      <c r="DL13" s="23" t="n">
        <f aca="false">IF(AND(BC13=1,INT(N(H13))&lt;=Config!$B$6,CZ13=0),1,0)</f>
        <v>0</v>
      </c>
      <c r="DM13" s="23" t="n">
        <f aca="false">IF(AND(BC13=1,INT(N(H13))&lt;=Config!$B$7,DA13=0),1,0)</f>
        <v>0</v>
      </c>
      <c r="DN13" s="23" t="n">
        <f aca="false">IF(AND(BC13=1,INT(N(H13))&lt;=Config!$B$8,DB13=0),1,0)</f>
        <v>0</v>
      </c>
      <c r="DO13" s="23" t="n">
        <f aca="false">IF(AND(BC13=1,INT(N(H13))&lt;=Config!$B$5,DC13=0),1,0)</f>
        <v>0</v>
      </c>
      <c r="DP13" s="23" t="n">
        <f aca="false">IF(TRIM($A13)="",0,ISTEXT(K13)+ISTEXT(L13)+ISTEXT(R13)+ISTEXT(V13)+ISTEXT(AP13)+ISTEXT(AS13))</f>
        <v>0</v>
      </c>
      <c r="DQ13" s="23" t="n">
        <f aca="false">IF(AY13=1,IF(H13&lt;&gt;INT(H13),1,0),0)</f>
        <v>0</v>
      </c>
      <c r="DR13" s="23" t="str">
        <f aca="false">IF(TRIM($A13)="","",IF(TRIM(B13)="",SUBSTITUTE(SUBSTITUTE(SUBSTITUTE(SUBSTITUTE(SUBSTITUTE(SUBSTITUTE(LOWER(TRIM($A13)),"~",""),"*",""),"?",""),"&lt;",""),"&gt;",""),"=",""),SUBSTITUTE(SUBSTITUTE(SUBSTITUTE(SUBSTITUTE(SUBSTITUTE(SUBSTITUTE(LOWER(TRIM(B13)),"~",""),"*",""),"?",""),"&lt;",""),"&gt;",""),"=","")))</f>
        <v>sample brand 02</v>
      </c>
      <c r="DS13" s="23" t="str">
        <f aca="false">IF(CM13="","",IFERROR(IF(LEFT(LOWER(TRIM(INDEX(Clay_Brands!$A$2:$FZ$601,CM13,Sync!$D$19)&amp;"")),4)="grp-",SUBSTITUTE(SUBSTITUTE(SUBSTITUTE(SUBSTITUTE(SUBSTITUTE(SUBSTITUTE(LOWER(TRIM(INDEX(Clay_Brands!$A$2:$FZ$601,CM13,Sync!$D$19)&amp;"")),"~",""),"*",""),"?",""),"&lt;",""),"&gt;",""),"=",""),""),""))</f>
        <v/>
      </c>
      <c r="DT13" s="23" t="str">
        <f aca="false">IF(DS13&lt;&gt;"",DR13,"")</f>
        <v/>
      </c>
      <c r="DU13" s="23" t="str">
        <f aca="false">IF(AZ13=1,AW13,"")</f>
        <v/>
      </c>
      <c r="DV13" s="23" t="str">
        <f aca="false">IF(TRIM($A13)="","",IFERROR(INDEX($A$2:$A$201,MATCH(AW13,$DU$2:$DU$201,0))&amp;"",$A13&amp;""))</f>
        <v>SAMPLE-B-002</v>
      </c>
      <c r="DW13" s="23" t="n">
        <f aca="false">IF(AY13=1,IF(COUNTIFS($A$2:$A$201,$A13,$AY$2:$AY$201,1,$H$2:$H$201,"&lt;"&amp;H13)+COUNTIFS($A$2:$A$201,$A13,$AY$2:$AY$201,1,$H$2:$H$201,H13,$AX$2:$AX$201,"&lt;"&amp;AX13)=0,1,0),0)</f>
        <v>0</v>
      </c>
      <c r="DX13" s="23" t="n">
        <f aca="false">IF(AZ13=1,IF(COUNTIFS($AW$2:$AW$201,AW13,$DW$2:$DW$201,1)&gt;1,1,0),0)</f>
        <v>0</v>
      </c>
    </row>
    <row r="14" customFormat="false" ht="15" hidden="false" customHeight="false" outlineLevel="0" collapsed="false">
      <c r="A14" s="0" t="s">
        <v>750</v>
      </c>
      <c r="B14" s="0" t="s">
        <v>751</v>
      </c>
      <c r="D14" s="0" t="s">
        <v>752</v>
      </c>
      <c r="E14" s="0" t="s">
        <v>695</v>
      </c>
      <c r="F14" s="0" t="s">
        <v>679</v>
      </c>
      <c r="G14" s="32" t="s">
        <v>481</v>
      </c>
      <c r="H14" s="33" t="n">
        <v>46339</v>
      </c>
      <c r="I14" s="32" t="s">
        <v>454</v>
      </c>
      <c r="J14" s="32" t="s">
        <v>680</v>
      </c>
      <c r="K14" s="0" t="n">
        <v>2000</v>
      </c>
      <c r="L14" s="0" t="n">
        <v>2500</v>
      </c>
      <c r="M14" s="32" t="s">
        <v>681</v>
      </c>
      <c r="N14" s="32" t="s">
        <v>682</v>
      </c>
      <c r="O14" s="32" t="s">
        <v>460</v>
      </c>
      <c r="P14" s="32" t="s">
        <v>457</v>
      </c>
      <c r="Q14" s="32" t="s">
        <v>683</v>
      </c>
      <c r="R14" s="0" t="n">
        <v>100</v>
      </c>
      <c r="S14" s="32" t="s">
        <v>753</v>
      </c>
      <c r="U14" s="32" t="s">
        <v>457</v>
      </c>
      <c r="X14" s="32" t="s">
        <v>686</v>
      </c>
      <c r="Y14" s="32" t="s">
        <v>698</v>
      </c>
      <c r="Z14" s="32" t="s">
        <v>688</v>
      </c>
      <c r="AA14" s="32" t="s">
        <v>689</v>
      </c>
      <c r="AB14" s="32" t="s">
        <v>511</v>
      </c>
      <c r="AC14" s="32" t="s">
        <v>460</v>
      </c>
      <c r="AD14" s="32" t="s">
        <v>457</v>
      </c>
      <c r="AE14" s="32" t="s">
        <v>460</v>
      </c>
      <c r="AF14" s="32" t="s">
        <v>460</v>
      </c>
      <c r="AG14" s="32" t="s">
        <v>460</v>
      </c>
      <c r="AI14" s="32" t="s">
        <v>460</v>
      </c>
      <c r="AJ14" s="32" t="s">
        <v>128</v>
      </c>
      <c r="AK14" s="32"/>
      <c r="AM14" s="32" t="s">
        <v>754</v>
      </c>
      <c r="AN14" s="32" t="s">
        <v>457</v>
      </c>
      <c r="AO14" s="32"/>
      <c r="AP14" s="0" t="n">
        <v>0</v>
      </c>
      <c r="AR14" s="32"/>
      <c r="AS14" s="0" t="n">
        <v>9</v>
      </c>
      <c r="AT14" s="32" t="s">
        <v>460</v>
      </c>
      <c r="AV14" s="34" t="str">
        <f aca="false">IF(TRIM($A14)="","",IF(AND(LEFT($A14,6)="SAMPLE",Config!$B$19&lt;&gt;"Y"),"",IF(NOT(ISNUMBER(H14)),"call_date is blank or not a date",IF(Sync!$D$5="","Clay paste is empty or has no row_id column: paste the Clay export on Clay_Brands",IF(CM14="","row_id not found in the Clay paste: add the Clay row or fix the row_id",IF(AND(ISNUMBER(CO14),CO14&gt;=1,CO14&lt;=5),"Clay status is "&amp;CN14&amp;": set call_done or later",IF(AND(BA14=1,CP14&lt;&gt;CB14),"Clay yes_in_principle should be "&amp;CB14,IF(AND(BA14=1,CQ14&lt;&gt;H14),"Clay call_date should be "&amp;TEXT(H14,"yyyy-mm-dd"),""))))))))</f>
        <v/>
      </c>
      <c r="AW14" s="23" t="str">
        <f aca="false">IF(TRIM($A14)="","",IF(TRIM(C14)&lt;&gt;"",SUBSTITUTE(SUBSTITUTE(SUBSTITUTE(SUBSTITUTE(SUBSTITUTE(SUBSTITUTE(LOWER(TRIM(C14)),"~",""),"*",""),"?",""),"&lt;",""),"&gt;",""),"=",""),IF(DS14&lt;&gt;"",DS14,IFERROR(INDEX($DS$2:$DS$201,MATCH(DR14,$DT$2:$DT$201,0)),DR14))))</f>
        <v>sample brand 12</v>
      </c>
      <c r="AX14" s="23" t="n">
        <f aca="false">ROW()</f>
        <v>14</v>
      </c>
      <c r="AY14" s="23" t="n">
        <f aca="false">IF(AND(TRIM($A14)&lt;&gt;"",ISNUMBER(H14)),IF(AND(LEFT($A14,6)="SAMPLE",Config!$B$19&lt;&gt;"Y"),0,1),0)</f>
        <v>1</v>
      </c>
      <c r="AZ14" s="23" t="n">
        <f aca="false">IF(AY14=1,IF(COUNTIFS($AW$2:$AW$201,AW14,$AY$2:$AY$201,1,$H$2:$H$201,"&lt;"&amp;H14)+COUNTIFS($AW$2:$AW$201,AW14,$AY$2:$AY$201,1,$H$2:$H$201,H14,$AX$2:$AX$201,"&lt;"&amp;AX14)=0,1,0),0)</f>
        <v>1</v>
      </c>
      <c r="BA14" s="23" t="n">
        <f aca="false">IF(AY14=1,IF(COUNTIFS($A$2:$A$201,$A14,$AY$2:$AY$201,1,$H$2:$H$201,"&gt;"&amp;H14)+COUNTIFS($A$2:$A$201,$A14,$AY$2:$AY$201,1,$H$2:$H$201,H14,$AX$2:$AX$201,"&gt;"&amp;AX14)=0,1,0),0)</f>
        <v>1</v>
      </c>
      <c r="BB14" s="23" t="n">
        <f aca="false">IF(AND(AY14=1,O14="Y",MAX(N(R14),N(V14))&gt;=Config!$B$14),1,0)</f>
        <v>0</v>
      </c>
      <c r="BC14" s="23" t="n">
        <f aca="false">IF(BB14=1,IF(COUNTIFS($AW$2:$AW$201,AW14,$BB$2:$BB$201,1,$H$2:$H$201,"&lt;"&amp;H14)+COUNTIFS($AW$2:$AW$201,AW14,$BB$2:$BB$201,1,$H$2:$H$201,H14,$AX$2:$AX$201,"&lt;"&amp;AX14)=0,1,0),0)</f>
        <v>0</v>
      </c>
      <c r="BD14" s="23" t="n">
        <f aca="false">IF(AND(AY14=1,O14="Y",ISNUMBER(R14)),IF(R14&gt;=Config!$B$14,1,0),0)</f>
        <v>0</v>
      </c>
      <c r="BE14" s="23" t="n">
        <f aca="false">IF(BD14=1,IF(COUNTIFS($AW$2:$AW$201,AW14,$BD$2:$BD$201,1,$H$2:$H$201,"&lt;"&amp;H14)+COUNTIFS($AW$2:$AW$201,AW14,$BD$2:$BD$201,1,$H$2:$H$201,H14,$AX$2:$AX$201,"&lt;"&amp;AX14)=0,1,0),0)</f>
        <v>0</v>
      </c>
      <c r="BF14" s="23" t="n">
        <f aca="false">IF(AND(AY14=1,O14&lt;&gt;"Y",MAX(N(R14),N(V14))&gt;=Config!$B$14),1,0)</f>
        <v>0</v>
      </c>
      <c r="BG14" s="23" t="n">
        <f aca="false">IF(BF14=1,IF(COUNTIFS($AW$2:$AW$201,AW14,$BF$2:$BF$201,1,$H$2:$H$201,"&lt;"&amp;H14)+COUNTIFS($AW$2:$AW$201,AW14,$BF$2:$BF$201,1,$H$2:$H$201,H14,$AX$2:$AX$201,"&lt;"&amp;AX14)=0,1,0),0)</f>
        <v>0</v>
      </c>
      <c r="BH14" s="23" t="n">
        <f aca="false">IF(AND(AY14=1,ISNUMBER(R14)),1,0)</f>
        <v>1</v>
      </c>
      <c r="BI14" s="23" t="n">
        <f aca="false">IF(BH14=1,IF(COUNTIFS($AW$2:$AW$201,AW14,$BH$2:$BH$201,1,$H$2:$H$201,"&lt;"&amp;H14)+COUNTIFS($AW$2:$AW$201,AW14,$BH$2:$BH$201,1,$H$2:$H$201,H14,$AX$2:$AX$201,"&lt;"&amp;AX14)=0,1,0),0)</f>
        <v>1</v>
      </c>
      <c r="BJ14" s="23" t="str">
        <f aca="false">IF(AND(BI14=1,INT(N(H14))&lt;=Config!$B$6),R14,"")</f>
        <v/>
      </c>
      <c r="BK14" s="23" t="str">
        <f aca="false">IF(AND(BI14=1,INT(N(H14))&lt;=Config!$B$7),R14,"")</f>
        <v/>
      </c>
      <c r="BL14" s="23" t="n">
        <f aca="false">IF(AND(BI14=1,INT(N(H14))&lt;=Config!$B$8),R14,"")</f>
        <v>100</v>
      </c>
      <c r="BM14" s="23" t="n">
        <f aca="false">IF(AND(BI14=1,INT(N(H14))&lt;=Config!$B$5),R14,"")</f>
        <v>100</v>
      </c>
      <c r="BN14" s="23" t="n">
        <f aca="false">IF(AND(AY14=1,ISNUMBER(V14)),1,0)</f>
        <v>0</v>
      </c>
      <c r="BO14" s="23" t="n">
        <f aca="false">IF(BN14=1,IF(COUNTIFS($AW$2:$AW$201,AW14,$BN$2:$BN$201,1,$H$2:$H$201,"&lt;"&amp;H14)+COUNTIFS($AW$2:$AW$201,AW14,$BN$2:$BN$201,1,$H$2:$H$201,H14,$AX$2:$AX$201,"&lt;"&amp;AX14)=0,1,0),0)</f>
        <v>0</v>
      </c>
      <c r="BP14" s="23" t="str">
        <f aca="false">IF(AND(BO14=1,INT(N(H14))&lt;=Config!$B$6),V14,"")</f>
        <v/>
      </c>
      <c r="BQ14" s="23" t="str">
        <f aca="false">IF(AND(BO14=1,INT(N(H14))&lt;=Config!$B$7),V14,"")</f>
        <v/>
      </c>
      <c r="BR14" s="23" t="str">
        <f aca="false">IF(AND(BO14=1,INT(N(H14))&lt;=Config!$B$8),V14,"")</f>
        <v/>
      </c>
      <c r="BS14" s="23" t="str">
        <f aca="false">IF(AND(BO14=1,INT(N(H14))&lt;=Config!$B$5),V14,"")</f>
        <v/>
      </c>
      <c r="BT14" s="23" t="n">
        <f aca="false">IF(AND(AY14=1,ISNUMBER(K14)),1,0)</f>
        <v>1</v>
      </c>
      <c r="BU14" s="23" t="n">
        <f aca="false">IF(BT14=1,IF(COUNTIFS($AW$2:$AW$201,AW14,$BT$2:$BT$201,1,$H$2:$H$201,"&lt;"&amp;H14)+COUNTIFS($AW$2:$AW$201,AW14,$BT$2:$BT$201,1,$H$2:$H$201,H14,$AX$2:$AX$201,"&lt;"&amp;AX14)=0,1,0),0)</f>
        <v>1</v>
      </c>
      <c r="BV14" s="23" t="n">
        <f aca="false">IF(AND(BU14=1,INT(N(H14))&lt;=Config!$B$5),K14,"")</f>
        <v>2000</v>
      </c>
      <c r="BW14" s="23" t="n">
        <f aca="false">IF(AND(AY14=1,OR(AND(ISNUMBER(R14),TRIM(S14)=""),AND(ISNUMBER(V14),TRIM(W14)=""))),1,0)</f>
        <v>0</v>
      </c>
      <c r="BX14" s="23" t="str">
        <f aca="false">IF(AY14=1,AJ14&amp;"","")</f>
        <v>inventory</v>
      </c>
      <c r="BY14" s="23" t="str">
        <f aca="false">IF(AY14=1,AK14&amp;"","")</f>
        <v/>
      </c>
      <c r="BZ14" s="23" t="str">
        <f aca="false">IF(AY14=1,AL14&amp;"","")</f>
        <v/>
      </c>
      <c r="CA14" s="23" t="n">
        <f aca="false">IF(AND(AY14=1,ISNUMBER(AS14),INT(N(H14))&lt;=Config!$B$5),AS14,"")</f>
        <v>9</v>
      </c>
      <c r="CB14" s="23" t="str">
        <f aca="false">IF(AY14=1,IF(COUNTIFS($A$2:$A$201,$A14,$CU$2:$CU$201,1,$AN$2:$AN$201,"Y")&gt;0,"Y","N"),"")</f>
        <v>N</v>
      </c>
      <c r="CC14" s="23" t="n">
        <f aca="false">IF(AND(AY14=1,AN14="Y"),IF(COUNTIFS($AW$2:$AW$201,AW14,$AN$2:$AN$201,"Y",$AY$2:$AY$201,1,$H$2:$H$201,"&lt;"&amp;H14)+COUNTIFS($AW$2:$AW$201,AW14,$AN$2:$AN$201,"Y",$AY$2:$AY$201,1,$H$2:$H$201,H14,$AX$2:$AX$201,"&lt;"&amp;AX14)=0,1,0),0)</f>
        <v>0</v>
      </c>
      <c r="CD14" s="23" t="n">
        <f aca="false">IF(AND(AY14=1,AB14="Y",AC14="Y",AD14="Y",AE14="Y",AF14="Y",AG14="Y",AI14="Y",TRIM(AH14)&lt;&gt;""),1,0)</f>
        <v>0</v>
      </c>
      <c r="CE14" s="23" t="n">
        <f aca="false">IF(CD14=1,IF(COUNTIFS($AW$2:$AW$201,AW14,$CD$2:$CD$201,1,$H$2:$H$201,"&lt;"&amp;H14)+COUNTIFS($AW$2:$AW$201,AW14,$CD$2:$CD$201,1,$H$2:$H$201,H14,$AX$2:$AX$201,"&lt;"&amp;AX14)=0,1,0),0)</f>
        <v>0</v>
      </c>
      <c r="CF14" s="23" t="n">
        <f aca="false">IF(AND(AY14=1,AO14="Y"),1,0)</f>
        <v>0</v>
      </c>
      <c r="CG14" s="23" t="n">
        <f aca="false">IF(CF14=1,IF(COUNTIFS($AW$2:$AW$201,AW14,$CF$2:$CF$201,1,$H$2:$H$201,"&lt;"&amp;H14)+COUNTIFS($AW$2:$AW$201,AW14,$CF$2:$CF$201,1,$H$2:$H$201,H14,$AX$2:$AX$201,"&lt;"&amp;AX14)=0,1,0),0)</f>
        <v>0</v>
      </c>
      <c r="CH14" s="23" t="n">
        <f aca="false">IF(AND(AY14=1,P14="Y"),1,0)</f>
        <v>0</v>
      </c>
      <c r="CI14" s="23" t="n">
        <f aca="false">IF(CH14=1,IF(COUNTIFS($AW$2:$AW$201,AW14,$CH$2:$CH$201,1,$H$2:$H$201,"&lt;"&amp;H14)+COUNTIFS($AW$2:$AW$201,AW14,$CH$2:$CH$201,1,$H$2:$H$201,H14,$AX$2:$AX$201,"&lt;"&amp;AX14)=0,1,0),0)</f>
        <v>0</v>
      </c>
      <c r="CJ14" s="23" t="n">
        <f aca="false">IF(AND(BU14=1,INT(N(H14))&lt;=Config!$B$5),L14,"")</f>
        <v>2500</v>
      </c>
      <c r="CK14" s="23" t="n">
        <f aca="false">IF(AND(AY14=1,AR14="Y"),1,0)</f>
        <v>0</v>
      </c>
      <c r="CL14" s="23" t="n">
        <f aca="false">IF(CK14=1,IF(COUNTIFS($AW$2:$AW$201,AW14,$CK$2:$CK$201,1,$H$2:$H$201,"&lt;"&amp;H14)+COUNTIFS($AW$2:$AW$201,AW14,$CK$2:$CK$201,1,$H$2:$H$201,H14,$AX$2:$AX$201,"&lt;"&amp;AX14)=0,1,0),0)</f>
        <v>0</v>
      </c>
      <c r="CM14" s="23" t="n">
        <f aca="false">IF(AY14=1,IFERROR(MATCH($A14,INDEX(Clay_Brands!$A$2:$FZ$601,0,Sync!$D$5),0),""),"")</f>
        <v>12</v>
      </c>
      <c r="CN14" s="23" t="str">
        <f aca="false">IF(CM14="","",IFERROR(INDEX(Clay_Brands!$A$2:$FZ$601,CM14,Sync!$D$7)&amp;"",""))</f>
        <v>call_done</v>
      </c>
      <c r="CO14" s="23" t="n">
        <f aca="false">IF(CN14="","",IFERROR(INDEX(Lists!$K$2:$K$15,MATCH(CN14,Lists!$J$2:$J$15,0)),""))</f>
        <v>6</v>
      </c>
      <c r="CP14" s="23" t="str">
        <f aca="false">IF(CM14="","",IFERROR(INDEX(Clay_Brands!$A$2:$FZ$601,CM14,Sync!$D$17)&amp;"",""))</f>
        <v>N</v>
      </c>
      <c r="CQ14" s="35" t="n">
        <f aca="false">IF(CM14="","",IFERROR(N(INDEX(Clay_Brands!$A$2:$FZ$601,CM14,Sync!$D$16)),0))</f>
        <v>46339</v>
      </c>
      <c r="CR14" s="23" t="n">
        <f aca="false">IF(AND(AY14=1,OR(O14="N",AND(OR(ISNUMBER(R14),ISNUMBER(V14)),MAX(N(R14),N(V14))&lt;Config!$B$14))),1,0)</f>
        <v>1</v>
      </c>
      <c r="CS14" s="23" t="n">
        <f aca="false">IF(OR(BB14=1,CR14=1),1,0)</f>
        <v>1</v>
      </c>
      <c r="CT14" s="23" t="n">
        <f aca="false">IF(AND(AY14=1,OR(AN14="Y",AN14="N",AN14="maybe")),1,0)</f>
        <v>1</v>
      </c>
      <c r="CU14" s="23" t="n">
        <f aca="false">IF(AND(CT14=1),IF(COUNTIFS($A$2:$A$201,$A14,$CT$2:$CT$201,1,$H$2:$H$201,"&gt;"&amp;H14)+COUNTIFS($A$2:$A$201,$A14,$CT$2:$CT$201,1,$H$2:$H$201,H14,$AX$2:$AX$201,"&gt;"&amp;AX14)=0,1,0),0)</f>
        <v>1</v>
      </c>
      <c r="CV14" s="23" t="n">
        <f aca="false">IF(AND(CS14=1,INT(N(H14))&lt;=Config!$B$6),IF(COUNTIFS($AW$2:$AW$201,AW14,$CS$2:$CS$201,1,$H$2:$H$201,"&gt;"&amp;H14,$H$2:$H$201,"&lt;"&amp;(Config!$B$6+1))+COUNTIFS($AW$2:$AW$201,AW14,$CS$2:$CS$201,1,$H$2:$H$201,H14,$AX$2:$AX$201,"&gt;"&amp;AX14)=0,1,0),0)</f>
        <v>0</v>
      </c>
      <c r="CW14" s="23" t="n">
        <f aca="false">IF(AND(CS14=1,INT(N(H14))&lt;=Config!$B$7),IF(COUNTIFS($AW$2:$AW$201,AW14,$CS$2:$CS$201,1,$H$2:$H$201,"&gt;"&amp;H14,$H$2:$H$201,"&lt;"&amp;(Config!$B$7+1))+COUNTIFS($AW$2:$AW$201,AW14,$CS$2:$CS$201,1,$H$2:$H$201,H14,$AX$2:$AX$201,"&gt;"&amp;AX14)=0,1,0),0)</f>
        <v>0</v>
      </c>
      <c r="CX14" s="23" t="n">
        <f aca="false">IF(AND(CS14=1,INT(N(H14))&lt;=Config!$B$8),IF(COUNTIFS($AW$2:$AW$201,AW14,$CS$2:$CS$201,1,$H$2:$H$201,"&gt;"&amp;H14,$H$2:$H$201,"&lt;"&amp;(Config!$B$8+1))+COUNTIFS($AW$2:$AW$201,AW14,$CS$2:$CS$201,1,$H$2:$H$201,H14,$AX$2:$AX$201,"&gt;"&amp;AX14)=0,1,0),0)</f>
        <v>1</v>
      </c>
      <c r="CY14" s="23" t="n">
        <f aca="false">IF(AND(CS14=1,INT(N(H14))&lt;=Config!$B$5),IF(COUNTIFS($AW$2:$AW$201,AW14,$CS$2:$CS$201,1,$H$2:$H$201,"&gt;"&amp;H14,$H$2:$H$201,"&lt;"&amp;(Config!$B$5+1))+COUNTIFS($AW$2:$AW$201,AW14,$CS$2:$CS$201,1,$H$2:$H$201,H14,$AX$2:$AX$201,"&gt;"&amp;AX14)=0,1,0),0)</f>
        <v>1</v>
      </c>
      <c r="CZ14" s="23" t="n">
        <f aca="false">IF(AY14=1,IF(COUNTIFS($AW$2:$AW$201,AW14,$CV$2:$CV$201,1,$BB$2:$BB$201,1)&gt;0,1,0),0)</f>
        <v>0</v>
      </c>
      <c r="DA14" s="23" t="n">
        <f aca="false">IF(AY14=1,IF(COUNTIFS($AW$2:$AW$201,AW14,$CW$2:$CW$201,1,$BB$2:$BB$201,1)&gt;0,1,0),0)</f>
        <v>0</v>
      </c>
      <c r="DB14" s="23" t="n">
        <f aca="false">IF(AY14=1,IF(COUNTIFS($AW$2:$AW$201,AW14,$CX$2:$CX$201,1,$BB$2:$BB$201,1)&gt;0,1,0),0)</f>
        <v>0</v>
      </c>
      <c r="DC14" s="23" t="n">
        <f aca="false">IF(AY14=1,IF(COUNTIFS($AW$2:$AW$201,AW14,$CY$2:$CY$201,1,$BB$2:$BB$201,1)&gt;0,1,0),0)</f>
        <v>0</v>
      </c>
      <c r="DD14" s="23" t="n">
        <f aca="false">IF(AND(BC14=1,INT(N(H14))&lt;=Config!$B$6,CZ14=1),1,0)</f>
        <v>0</v>
      </c>
      <c r="DE14" s="23" t="n">
        <f aca="false">IF(AND(BC14=1,INT(N(H14))&lt;=Config!$B$7,DA14=1),1,0)</f>
        <v>0</v>
      </c>
      <c r="DF14" s="23" t="n">
        <f aca="false">IF(AND(BC14=1,INT(N(H14))&lt;=Config!$B$8,DB14=1),1,0)</f>
        <v>0</v>
      </c>
      <c r="DG14" s="23" t="n">
        <f aca="false">IF(AND(BC14=1,INT(N(H14))&lt;=Config!$B$5,DC14=1),1,0)</f>
        <v>0</v>
      </c>
      <c r="DH14" s="23" t="n">
        <f aca="false">IF(AND(BE14=1,INT(N(H14))&lt;=Config!$B$6,CZ14=1),1,0)</f>
        <v>0</v>
      </c>
      <c r="DI14" s="23" t="n">
        <f aca="false">IF(AND(BE14=1,INT(N(H14))&lt;=Config!$B$7,DA14=1),1,0)</f>
        <v>0</v>
      </c>
      <c r="DJ14" s="23" t="n">
        <f aca="false">IF(AND(BE14=1,INT(N(H14))&lt;=Config!$B$8,DB14=1),1,0)</f>
        <v>0</v>
      </c>
      <c r="DK14" s="23" t="n">
        <f aca="false">IF(AND(BE14=1,INT(N(H14))&lt;=Config!$B$5,DC14=1),1,0)</f>
        <v>0</v>
      </c>
      <c r="DL14" s="23" t="n">
        <f aca="false">IF(AND(BC14=1,INT(N(H14))&lt;=Config!$B$6,CZ14=0),1,0)</f>
        <v>0</v>
      </c>
      <c r="DM14" s="23" t="n">
        <f aca="false">IF(AND(BC14=1,INT(N(H14))&lt;=Config!$B$7,DA14=0),1,0)</f>
        <v>0</v>
      </c>
      <c r="DN14" s="23" t="n">
        <f aca="false">IF(AND(BC14=1,INT(N(H14))&lt;=Config!$B$8,DB14=0),1,0)</f>
        <v>0</v>
      </c>
      <c r="DO14" s="23" t="n">
        <f aca="false">IF(AND(BC14=1,INT(N(H14))&lt;=Config!$B$5,DC14=0),1,0)</f>
        <v>0</v>
      </c>
      <c r="DP14" s="23" t="n">
        <f aca="false">IF(TRIM($A14)="",0,ISTEXT(K14)+ISTEXT(L14)+ISTEXT(R14)+ISTEXT(V14)+ISTEXT(AP14)+ISTEXT(AS14))</f>
        <v>0</v>
      </c>
      <c r="DQ14" s="23" t="n">
        <f aca="false">IF(AY14=1,IF(H14&lt;&gt;INT(H14),1,0),0)</f>
        <v>0</v>
      </c>
      <c r="DR14" s="23" t="str">
        <f aca="false">IF(TRIM($A14)="","",IF(TRIM(B14)="",SUBSTITUTE(SUBSTITUTE(SUBSTITUTE(SUBSTITUTE(SUBSTITUTE(SUBSTITUTE(LOWER(TRIM($A14)),"~",""),"*",""),"?",""),"&lt;",""),"&gt;",""),"=",""),SUBSTITUTE(SUBSTITUTE(SUBSTITUTE(SUBSTITUTE(SUBSTITUTE(SUBSTITUTE(LOWER(TRIM(B14)),"~",""),"*",""),"?",""),"&lt;",""),"&gt;",""),"=","")))</f>
        <v>sample brand 12</v>
      </c>
      <c r="DS14" s="23" t="str">
        <f aca="false">IF(CM14="","",IFERROR(IF(LEFT(LOWER(TRIM(INDEX(Clay_Brands!$A$2:$FZ$601,CM14,Sync!$D$19)&amp;"")),4)="grp-",SUBSTITUTE(SUBSTITUTE(SUBSTITUTE(SUBSTITUTE(SUBSTITUTE(SUBSTITUTE(LOWER(TRIM(INDEX(Clay_Brands!$A$2:$FZ$601,CM14,Sync!$D$19)&amp;"")),"~",""),"*",""),"?",""),"&lt;",""),"&gt;",""),"=",""),""),""))</f>
        <v/>
      </c>
      <c r="DT14" s="23" t="str">
        <f aca="false">IF(DS14&lt;&gt;"",DR14,"")</f>
        <v/>
      </c>
      <c r="DU14" s="23" t="str">
        <f aca="false">IF(AZ14=1,AW14,"")</f>
        <v>sample brand 12</v>
      </c>
      <c r="DV14" s="23" t="str">
        <f aca="false">IF(TRIM($A14)="","",IFERROR(INDEX($A$2:$A$201,MATCH(AW14,$DU$2:$DU$201,0))&amp;"",$A14&amp;""))</f>
        <v>SAMPLE-B-012</v>
      </c>
      <c r="DW14" s="23" t="n">
        <f aca="false">IF(AY14=1,IF(COUNTIFS($A$2:$A$201,$A14,$AY$2:$AY$201,1,$H$2:$H$201,"&lt;"&amp;H14)+COUNTIFS($A$2:$A$201,$A14,$AY$2:$AY$201,1,$H$2:$H$201,H14,$AX$2:$AX$201,"&lt;"&amp;AX14)=0,1,0),0)</f>
        <v>1</v>
      </c>
      <c r="DX14" s="23" t="n">
        <f aca="false">IF(AZ14=1,IF(COUNTIFS($AW$2:$AW$201,AW14,$DW$2:$DW$201,1)&gt;1,1,0),0)</f>
        <v>0</v>
      </c>
    </row>
    <row r="15" customFormat="false" ht="15" hidden="false" customHeight="false" outlineLevel="0" collapsed="false">
      <c r="A15" s="0" t="s">
        <v>755</v>
      </c>
      <c r="B15" s="0" t="s">
        <v>756</v>
      </c>
      <c r="D15" s="0" t="s">
        <v>757</v>
      </c>
      <c r="E15" s="0" t="s">
        <v>678</v>
      </c>
      <c r="F15" s="0" t="s">
        <v>679</v>
      </c>
      <c r="G15" s="32" t="s">
        <v>453</v>
      </c>
      <c r="H15" s="33" t="n">
        <v>46339</v>
      </c>
      <c r="I15" s="32" t="s">
        <v>454</v>
      </c>
      <c r="J15" s="32" t="s">
        <v>680</v>
      </c>
      <c r="K15" s="0" t="n">
        <v>3000</v>
      </c>
      <c r="L15" s="0" t="n">
        <v>3500</v>
      </c>
      <c r="M15" s="32" t="s">
        <v>681</v>
      </c>
      <c r="N15" s="32" t="s">
        <v>682</v>
      </c>
      <c r="O15" s="32" t="s">
        <v>460</v>
      </c>
      <c r="P15" s="32" t="s">
        <v>457</v>
      </c>
      <c r="Q15" s="32" t="s">
        <v>683</v>
      </c>
      <c r="R15" s="0" t="n">
        <v>500</v>
      </c>
      <c r="S15" s="32" t="s">
        <v>758</v>
      </c>
      <c r="U15" s="32" t="s">
        <v>457</v>
      </c>
      <c r="X15" s="32" t="s">
        <v>686</v>
      </c>
      <c r="Y15" s="32" t="s">
        <v>687</v>
      </c>
      <c r="Z15" s="32" t="s">
        <v>688</v>
      </c>
      <c r="AA15" s="32" t="s">
        <v>689</v>
      </c>
      <c r="AB15" s="32" t="s">
        <v>460</v>
      </c>
      <c r="AC15" s="32" t="s">
        <v>460</v>
      </c>
      <c r="AD15" s="32" t="s">
        <v>460</v>
      </c>
      <c r="AE15" s="32" t="s">
        <v>460</v>
      </c>
      <c r="AF15" s="32" t="s">
        <v>460</v>
      </c>
      <c r="AG15" s="32" t="s">
        <v>460</v>
      </c>
      <c r="AH15" s="32" t="s">
        <v>690</v>
      </c>
      <c r="AI15" s="32" t="s">
        <v>460</v>
      </c>
      <c r="AJ15" s="32"/>
      <c r="AK15" s="32"/>
      <c r="AN15" s="32" t="s">
        <v>460</v>
      </c>
      <c r="AO15" s="32" t="s">
        <v>460</v>
      </c>
      <c r="AP15" s="0" t="n">
        <v>0</v>
      </c>
      <c r="AR15" s="32"/>
      <c r="AS15" s="0" t="n">
        <v>9</v>
      </c>
      <c r="AT15" s="32" t="s">
        <v>460</v>
      </c>
      <c r="AV15" s="34" t="str">
        <f aca="false">IF(TRIM($A15)="","",IF(AND(LEFT($A15,6)="SAMPLE",Config!$B$19&lt;&gt;"Y"),"",IF(NOT(ISNUMBER(H15)),"call_date is blank or not a date",IF(Sync!$D$5="","Clay paste is empty or has no row_id column: paste the Clay export on Clay_Brands",IF(CM15="","row_id not found in the Clay paste: add the Clay row or fix the row_id",IF(AND(ISNUMBER(CO15),CO15&gt;=1,CO15&lt;=5),"Clay status is "&amp;CN15&amp;": set call_done or later",IF(AND(BA15=1,CP15&lt;&gt;CB15),"Clay yes_in_principle should be "&amp;CB15,IF(AND(BA15=1,CQ15&lt;&gt;H15),"Clay call_date should be "&amp;TEXT(H15,"yyyy-mm-dd"),""))))))))</f>
        <v/>
      </c>
      <c r="AW15" s="23" t="str">
        <f aca="false">IF(TRIM($A15)="","",IF(TRIM(C15)&lt;&gt;"",SUBSTITUTE(SUBSTITUTE(SUBSTITUTE(SUBSTITUTE(SUBSTITUTE(SUBSTITUTE(LOWER(TRIM(C15)),"~",""),"*",""),"?",""),"&lt;",""),"&gt;",""),"=",""),IF(DS15&lt;&gt;"",DS15,IFERROR(INDEX($DS$2:$DS$201,MATCH(DR15,$DT$2:$DT$201,0)),DR15))))</f>
        <v>sample brand 13</v>
      </c>
      <c r="AX15" s="23" t="n">
        <f aca="false">ROW()</f>
        <v>15</v>
      </c>
      <c r="AY15" s="23" t="n">
        <f aca="false">IF(AND(TRIM($A15)&lt;&gt;"",ISNUMBER(H15)),IF(AND(LEFT($A15,6)="SAMPLE",Config!$B$19&lt;&gt;"Y"),0,1),0)</f>
        <v>1</v>
      </c>
      <c r="AZ15" s="23" t="n">
        <f aca="false">IF(AY15=1,IF(COUNTIFS($AW$2:$AW$201,AW15,$AY$2:$AY$201,1,$H$2:$H$201,"&lt;"&amp;H15)+COUNTIFS($AW$2:$AW$201,AW15,$AY$2:$AY$201,1,$H$2:$H$201,H15,$AX$2:$AX$201,"&lt;"&amp;AX15)=0,1,0),0)</f>
        <v>1</v>
      </c>
      <c r="BA15" s="23" t="n">
        <f aca="false">IF(AY15=1,IF(COUNTIFS($A$2:$A$201,$A15,$AY$2:$AY$201,1,$H$2:$H$201,"&gt;"&amp;H15)+COUNTIFS($A$2:$A$201,$A15,$AY$2:$AY$201,1,$H$2:$H$201,H15,$AX$2:$AX$201,"&gt;"&amp;AX15)=0,1,0),0)</f>
        <v>1</v>
      </c>
      <c r="BB15" s="23" t="n">
        <f aca="false">IF(AND(AY15=1,O15="Y",MAX(N(R15),N(V15))&gt;=Config!$B$14),1,0)</f>
        <v>1</v>
      </c>
      <c r="BC15" s="23" t="n">
        <f aca="false">IF(BB15=1,IF(COUNTIFS($AW$2:$AW$201,AW15,$BB$2:$BB$201,1,$H$2:$H$201,"&lt;"&amp;H15)+COUNTIFS($AW$2:$AW$201,AW15,$BB$2:$BB$201,1,$H$2:$H$201,H15,$AX$2:$AX$201,"&lt;"&amp;AX15)=0,1,0),0)</f>
        <v>1</v>
      </c>
      <c r="BD15" s="23" t="n">
        <f aca="false">IF(AND(AY15=1,O15="Y",ISNUMBER(R15)),IF(R15&gt;=Config!$B$14,1,0),0)</f>
        <v>1</v>
      </c>
      <c r="BE15" s="23" t="n">
        <f aca="false">IF(BD15=1,IF(COUNTIFS($AW$2:$AW$201,AW15,$BD$2:$BD$201,1,$H$2:$H$201,"&lt;"&amp;H15)+COUNTIFS($AW$2:$AW$201,AW15,$BD$2:$BD$201,1,$H$2:$H$201,H15,$AX$2:$AX$201,"&lt;"&amp;AX15)=0,1,0),0)</f>
        <v>1</v>
      </c>
      <c r="BF15" s="23" t="n">
        <f aca="false">IF(AND(AY15=1,O15&lt;&gt;"Y",MAX(N(R15),N(V15))&gt;=Config!$B$14),1,0)</f>
        <v>0</v>
      </c>
      <c r="BG15" s="23" t="n">
        <f aca="false">IF(BF15=1,IF(COUNTIFS($AW$2:$AW$201,AW15,$BF$2:$BF$201,1,$H$2:$H$201,"&lt;"&amp;H15)+COUNTIFS($AW$2:$AW$201,AW15,$BF$2:$BF$201,1,$H$2:$H$201,H15,$AX$2:$AX$201,"&lt;"&amp;AX15)=0,1,0),0)</f>
        <v>0</v>
      </c>
      <c r="BH15" s="23" t="n">
        <f aca="false">IF(AND(AY15=1,ISNUMBER(R15)),1,0)</f>
        <v>1</v>
      </c>
      <c r="BI15" s="23" t="n">
        <f aca="false">IF(BH15=1,IF(COUNTIFS($AW$2:$AW$201,AW15,$BH$2:$BH$201,1,$H$2:$H$201,"&lt;"&amp;H15)+COUNTIFS($AW$2:$AW$201,AW15,$BH$2:$BH$201,1,$H$2:$H$201,H15,$AX$2:$AX$201,"&lt;"&amp;AX15)=0,1,0),0)</f>
        <v>1</v>
      </c>
      <c r="BJ15" s="23" t="str">
        <f aca="false">IF(AND(BI15=1,INT(N(H15))&lt;=Config!$B$6),R15,"")</f>
        <v/>
      </c>
      <c r="BK15" s="23" t="str">
        <f aca="false">IF(AND(BI15=1,INT(N(H15))&lt;=Config!$B$7),R15,"")</f>
        <v/>
      </c>
      <c r="BL15" s="23" t="n">
        <f aca="false">IF(AND(BI15=1,INT(N(H15))&lt;=Config!$B$8),R15,"")</f>
        <v>500</v>
      </c>
      <c r="BM15" s="23" t="n">
        <f aca="false">IF(AND(BI15=1,INT(N(H15))&lt;=Config!$B$5),R15,"")</f>
        <v>500</v>
      </c>
      <c r="BN15" s="23" t="n">
        <f aca="false">IF(AND(AY15=1,ISNUMBER(V15)),1,0)</f>
        <v>0</v>
      </c>
      <c r="BO15" s="23" t="n">
        <f aca="false">IF(BN15=1,IF(COUNTIFS($AW$2:$AW$201,AW15,$BN$2:$BN$201,1,$H$2:$H$201,"&lt;"&amp;H15)+COUNTIFS($AW$2:$AW$201,AW15,$BN$2:$BN$201,1,$H$2:$H$201,H15,$AX$2:$AX$201,"&lt;"&amp;AX15)=0,1,0),0)</f>
        <v>0</v>
      </c>
      <c r="BP15" s="23" t="str">
        <f aca="false">IF(AND(BO15=1,INT(N(H15))&lt;=Config!$B$6),V15,"")</f>
        <v/>
      </c>
      <c r="BQ15" s="23" t="str">
        <f aca="false">IF(AND(BO15=1,INT(N(H15))&lt;=Config!$B$7),V15,"")</f>
        <v/>
      </c>
      <c r="BR15" s="23" t="str">
        <f aca="false">IF(AND(BO15=1,INT(N(H15))&lt;=Config!$B$8),V15,"")</f>
        <v/>
      </c>
      <c r="BS15" s="23" t="str">
        <f aca="false">IF(AND(BO15=1,INT(N(H15))&lt;=Config!$B$5),V15,"")</f>
        <v/>
      </c>
      <c r="BT15" s="23" t="n">
        <f aca="false">IF(AND(AY15=1,ISNUMBER(K15)),1,0)</f>
        <v>1</v>
      </c>
      <c r="BU15" s="23" t="n">
        <f aca="false">IF(BT15=1,IF(COUNTIFS($AW$2:$AW$201,AW15,$BT$2:$BT$201,1,$H$2:$H$201,"&lt;"&amp;H15)+COUNTIFS($AW$2:$AW$201,AW15,$BT$2:$BT$201,1,$H$2:$H$201,H15,$AX$2:$AX$201,"&lt;"&amp;AX15)=0,1,0),0)</f>
        <v>1</v>
      </c>
      <c r="BV15" s="23" t="n">
        <f aca="false">IF(AND(BU15=1,INT(N(H15))&lt;=Config!$B$5),K15,"")</f>
        <v>3000</v>
      </c>
      <c r="BW15" s="23" t="n">
        <f aca="false">IF(AND(AY15=1,OR(AND(ISNUMBER(R15),TRIM(S15)=""),AND(ISNUMBER(V15),TRIM(W15)=""))),1,0)</f>
        <v>0</v>
      </c>
      <c r="BX15" s="23" t="str">
        <f aca="false">IF(AY15=1,AJ15&amp;"","")</f>
        <v/>
      </c>
      <c r="BY15" s="23" t="str">
        <f aca="false">IF(AY15=1,AK15&amp;"","")</f>
        <v/>
      </c>
      <c r="BZ15" s="23" t="str">
        <f aca="false">IF(AY15=1,AL15&amp;"","")</f>
        <v/>
      </c>
      <c r="CA15" s="23" t="n">
        <f aca="false">IF(AND(AY15=1,ISNUMBER(AS15),INT(N(H15))&lt;=Config!$B$5),AS15,"")</f>
        <v>9</v>
      </c>
      <c r="CB15" s="23" t="str">
        <f aca="false">IF(AY15=1,IF(COUNTIFS($A$2:$A$201,$A15,$CU$2:$CU$201,1,$AN$2:$AN$201,"Y")&gt;0,"Y","N"),"")</f>
        <v>Y</v>
      </c>
      <c r="CC15" s="23" t="n">
        <f aca="false">IF(AND(AY15=1,AN15="Y"),IF(COUNTIFS($AW$2:$AW$201,AW15,$AN$2:$AN$201,"Y",$AY$2:$AY$201,1,$H$2:$H$201,"&lt;"&amp;H15)+COUNTIFS($AW$2:$AW$201,AW15,$AN$2:$AN$201,"Y",$AY$2:$AY$201,1,$H$2:$H$201,H15,$AX$2:$AX$201,"&lt;"&amp;AX15)=0,1,0),0)</f>
        <v>1</v>
      </c>
      <c r="CD15" s="23" t="n">
        <f aca="false">IF(AND(AY15=1,AB15="Y",AC15="Y",AD15="Y",AE15="Y",AF15="Y",AG15="Y",AI15="Y",TRIM(AH15)&lt;&gt;""),1,0)</f>
        <v>1</v>
      </c>
      <c r="CE15" s="23" t="n">
        <f aca="false">IF(CD15=1,IF(COUNTIFS($AW$2:$AW$201,AW15,$CD$2:$CD$201,1,$H$2:$H$201,"&lt;"&amp;H15)+COUNTIFS($AW$2:$AW$201,AW15,$CD$2:$CD$201,1,$H$2:$H$201,H15,$AX$2:$AX$201,"&lt;"&amp;AX15)=0,1,0),0)</f>
        <v>1</v>
      </c>
      <c r="CF15" s="23" t="n">
        <f aca="false">IF(AND(AY15=1,AO15="Y"),1,0)</f>
        <v>1</v>
      </c>
      <c r="CG15" s="23" t="n">
        <f aca="false">IF(CF15=1,IF(COUNTIFS($AW$2:$AW$201,AW15,$CF$2:$CF$201,1,$H$2:$H$201,"&lt;"&amp;H15)+COUNTIFS($AW$2:$AW$201,AW15,$CF$2:$CF$201,1,$H$2:$H$201,H15,$AX$2:$AX$201,"&lt;"&amp;AX15)=0,1,0),0)</f>
        <v>1</v>
      </c>
      <c r="CH15" s="23" t="n">
        <f aca="false">IF(AND(AY15=1,P15="Y"),1,0)</f>
        <v>0</v>
      </c>
      <c r="CI15" s="23" t="n">
        <f aca="false">IF(CH15=1,IF(COUNTIFS($AW$2:$AW$201,AW15,$CH$2:$CH$201,1,$H$2:$H$201,"&lt;"&amp;H15)+COUNTIFS($AW$2:$AW$201,AW15,$CH$2:$CH$201,1,$H$2:$H$201,H15,$AX$2:$AX$201,"&lt;"&amp;AX15)=0,1,0),0)</f>
        <v>0</v>
      </c>
      <c r="CJ15" s="23" t="n">
        <f aca="false">IF(AND(BU15=1,INT(N(H15))&lt;=Config!$B$5),L15,"")</f>
        <v>3500</v>
      </c>
      <c r="CK15" s="23" t="n">
        <f aca="false">IF(AND(AY15=1,AR15="Y"),1,0)</f>
        <v>0</v>
      </c>
      <c r="CL15" s="23" t="n">
        <f aca="false">IF(CK15=1,IF(COUNTIFS($AW$2:$AW$201,AW15,$CK$2:$CK$201,1,$H$2:$H$201,"&lt;"&amp;H15)+COUNTIFS($AW$2:$AW$201,AW15,$CK$2:$CK$201,1,$H$2:$H$201,H15,$AX$2:$AX$201,"&lt;"&amp;AX15)=0,1,0),0)</f>
        <v>0</v>
      </c>
      <c r="CM15" s="23" t="n">
        <f aca="false">IF(AY15=1,IFERROR(MATCH($A15,INDEX(Clay_Brands!$A$2:$FZ$601,0,Sync!$D$5),0),""),"")</f>
        <v>13</v>
      </c>
      <c r="CN15" s="23" t="str">
        <f aca="false">IF(CM15="","",IFERROR(INDEX(Clay_Brands!$A$2:$FZ$601,CM15,Sync!$D$7)&amp;"",""))</f>
        <v>yes_in_principle</v>
      </c>
      <c r="CO15" s="23" t="n">
        <f aca="false">IF(CN15="","",IFERROR(INDEX(Lists!$K$2:$K$15,MATCH(CN15,Lists!$J$2:$J$15,0)),""))</f>
        <v>7</v>
      </c>
      <c r="CP15" s="23" t="str">
        <f aca="false">IF(CM15="","",IFERROR(INDEX(Clay_Brands!$A$2:$FZ$601,CM15,Sync!$D$17)&amp;"",""))</f>
        <v>Y</v>
      </c>
      <c r="CQ15" s="35" t="n">
        <f aca="false">IF(CM15="","",IFERROR(N(INDEX(Clay_Brands!$A$2:$FZ$601,CM15,Sync!$D$16)),0))</f>
        <v>46339</v>
      </c>
      <c r="CR15" s="23" t="n">
        <f aca="false">IF(AND(AY15=1,OR(O15="N",AND(OR(ISNUMBER(R15),ISNUMBER(V15)),MAX(N(R15),N(V15))&lt;Config!$B$14))),1,0)</f>
        <v>0</v>
      </c>
      <c r="CS15" s="23" t="n">
        <f aca="false">IF(OR(BB15=1,CR15=1),1,0)</f>
        <v>1</v>
      </c>
      <c r="CT15" s="23" t="n">
        <f aca="false">IF(AND(AY15=1,OR(AN15="Y",AN15="N",AN15="maybe")),1,0)</f>
        <v>1</v>
      </c>
      <c r="CU15" s="23" t="n">
        <f aca="false">IF(AND(CT15=1),IF(COUNTIFS($A$2:$A$201,$A15,$CT$2:$CT$201,1,$H$2:$H$201,"&gt;"&amp;H15)+COUNTIFS($A$2:$A$201,$A15,$CT$2:$CT$201,1,$H$2:$H$201,H15,$AX$2:$AX$201,"&gt;"&amp;AX15)=0,1,0),0)</f>
        <v>1</v>
      </c>
      <c r="CV15" s="23" t="n">
        <f aca="false">IF(AND(CS15=1,INT(N(H15))&lt;=Config!$B$6),IF(COUNTIFS($AW$2:$AW$201,AW15,$CS$2:$CS$201,1,$H$2:$H$201,"&gt;"&amp;H15,$H$2:$H$201,"&lt;"&amp;(Config!$B$6+1))+COUNTIFS($AW$2:$AW$201,AW15,$CS$2:$CS$201,1,$H$2:$H$201,H15,$AX$2:$AX$201,"&gt;"&amp;AX15)=0,1,0),0)</f>
        <v>0</v>
      </c>
      <c r="CW15" s="23" t="n">
        <f aca="false">IF(AND(CS15=1,INT(N(H15))&lt;=Config!$B$7),IF(COUNTIFS($AW$2:$AW$201,AW15,$CS$2:$CS$201,1,$H$2:$H$201,"&gt;"&amp;H15,$H$2:$H$201,"&lt;"&amp;(Config!$B$7+1))+COUNTIFS($AW$2:$AW$201,AW15,$CS$2:$CS$201,1,$H$2:$H$201,H15,$AX$2:$AX$201,"&gt;"&amp;AX15)=0,1,0),0)</f>
        <v>0</v>
      </c>
      <c r="CX15" s="23" t="n">
        <f aca="false">IF(AND(CS15=1,INT(N(H15))&lt;=Config!$B$8),IF(COUNTIFS($AW$2:$AW$201,AW15,$CS$2:$CS$201,1,$H$2:$H$201,"&gt;"&amp;H15,$H$2:$H$201,"&lt;"&amp;(Config!$B$8+1))+COUNTIFS($AW$2:$AW$201,AW15,$CS$2:$CS$201,1,$H$2:$H$201,H15,$AX$2:$AX$201,"&gt;"&amp;AX15)=0,1,0),0)</f>
        <v>1</v>
      </c>
      <c r="CY15" s="23" t="n">
        <f aca="false">IF(AND(CS15=1,INT(N(H15))&lt;=Config!$B$5),IF(COUNTIFS($AW$2:$AW$201,AW15,$CS$2:$CS$201,1,$H$2:$H$201,"&gt;"&amp;H15,$H$2:$H$201,"&lt;"&amp;(Config!$B$5+1))+COUNTIFS($AW$2:$AW$201,AW15,$CS$2:$CS$201,1,$H$2:$H$201,H15,$AX$2:$AX$201,"&gt;"&amp;AX15)=0,1,0),0)</f>
        <v>1</v>
      </c>
      <c r="CZ15" s="23" t="n">
        <f aca="false">IF(AY15=1,IF(COUNTIFS($AW$2:$AW$201,AW15,$CV$2:$CV$201,1,$BB$2:$BB$201,1)&gt;0,1,0),0)</f>
        <v>0</v>
      </c>
      <c r="DA15" s="23" t="n">
        <f aca="false">IF(AY15=1,IF(COUNTIFS($AW$2:$AW$201,AW15,$CW$2:$CW$201,1,$BB$2:$BB$201,1)&gt;0,1,0),0)</f>
        <v>0</v>
      </c>
      <c r="DB15" s="23" t="n">
        <f aca="false">IF(AY15=1,IF(COUNTIFS($AW$2:$AW$201,AW15,$CX$2:$CX$201,1,$BB$2:$BB$201,1)&gt;0,1,0),0)</f>
        <v>1</v>
      </c>
      <c r="DC15" s="23" t="n">
        <f aca="false">IF(AY15=1,IF(COUNTIFS($AW$2:$AW$201,AW15,$CY$2:$CY$201,1,$BB$2:$BB$201,1)&gt;0,1,0),0)</f>
        <v>1</v>
      </c>
      <c r="DD15" s="23" t="n">
        <f aca="false">IF(AND(BC15=1,INT(N(H15))&lt;=Config!$B$6,CZ15=1),1,0)</f>
        <v>0</v>
      </c>
      <c r="DE15" s="23" t="n">
        <f aca="false">IF(AND(BC15=1,INT(N(H15))&lt;=Config!$B$7,DA15=1),1,0)</f>
        <v>0</v>
      </c>
      <c r="DF15" s="23" t="n">
        <f aca="false">IF(AND(BC15=1,INT(N(H15))&lt;=Config!$B$8,DB15=1),1,0)</f>
        <v>1</v>
      </c>
      <c r="DG15" s="23" t="n">
        <f aca="false">IF(AND(BC15=1,INT(N(H15))&lt;=Config!$B$5,DC15=1),1,0)</f>
        <v>1</v>
      </c>
      <c r="DH15" s="23" t="n">
        <f aca="false">IF(AND(BE15=1,INT(N(H15))&lt;=Config!$B$6,CZ15=1),1,0)</f>
        <v>0</v>
      </c>
      <c r="DI15" s="23" t="n">
        <f aca="false">IF(AND(BE15=1,INT(N(H15))&lt;=Config!$B$7,DA15=1),1,0)</f>
        <v>0</v>
      </c>
      <c r="DJ15" s="23" t="n">
        <f aca="false">IF(AND(BE15=1,INT(N(H15))&lt;=Config!$B$8,DB15=1),1,0)</f>
        <v>1</v>
      </c>
      <c r="DK15" s="23" t="n">
        <f aca="false">IF(AND(BE15=1,INT(N(H15))&lt;=Config!$B$5,DC15=1),1,0)</f>
        <v>1</v>
      </c>
      <c r="DL15" s="23" t="n">
        <f aca="false">IF(AND(BC15=1,INT(N(H15))&lt;=Config!$B$6,CZ15=0),1,0)</f>
        <v>0</v>
      </c>
      <c r="DM15" s="23" t="n">
        <f aca="false">IF(AND(BC15=1,INT(N(H15))&lt;=Config!$B$7,DA15=0),1,0)</f>
        <v>0</v>
      </c>
      <c r="DN15" s="23" t="n">
        <f aca="false">IF(AND(BC15=1,INT(N(H15))&lt;=Config!$B$8,DB15=0),1,0)</f>
        <v>0</v>
      </c>
      <c r="DO15" s="23" t="n">
        <f aca="false">IF(AND(BC15=1,INT(N(H15))&lt;=Config!$B$5,DC15=0),1,0)</f>
        <v>0</v>
      </c>
      <c r="DP15" s="23" t="n">
        <f aca="false">IF(TRIM($A15)="",0,ISTEXT(K15)+ISTEXT(L15)+ISTEXT(R15)+ISTEXT(V15)+ISTEXT(AP15)+ISTEXT(AS15))</f>
        <v>0</v>
      </c>
      <c r="DQ15" s="23" t="n">
        <f aca="false">IF(AY15=1,IF(H15&lt;&gt;INT(H15),1,0),0)</f>
        <v>0</v>
      </c>
      <c r="DR15" s="23" t="str">
        <f aca="false">IF(TRIM($A15)="","",IF(TRIM(B15)="",SUBSTITUTE(SUBSTITUTE(SUBSTITUTE(SUBSTITUTE(SUBSTITUTE(SUBSTITUTE(LOWER(TRIM($A15)),"~",""),"*",""),"?",""),"&lt;",""),"&gt;",""),"=",""),SUBSTITUTE(SUBSTITUTE(SUBSTITUTE(SUBSTITUTE(SUBSTITUTE(SUBSTITUTE(LOWER(TRIM(B15)),"~",""),"*",""),"?",""),"&lt;",""),"&gt;",""),"=","")))</f>
        <v>sample brand 13</v>
      </c>
      <c r="DS15" s="23" t="str">
        <f aca="false">IF(CM15="","",IFERROR(IF(LEFT(LOWER(TRIM(INDEX(Clay_Brands!$A$2:$FZ$601,CM15,Sync!$D$19)&amp;"")),4)="grp-",SUBSTITUTE(SUBSTITUTE(SUBSTITUTE(SUBSTITUTE(SUBSTITUTE(SUBSTITUTE(LOWER(TRIM(INDEX(Clay_Brands!$A$2:$FZ$601,CM15,Sync!$D$19)&amp;"")),"~",""),"*",""),"?",""),"&lt;",""),"&gt;",""),"=",""),""),""))</f>
        <v/>
      </c>
      <c r="DT15" s="23" t="str">
        <f aca="false">IF(DS15&lt;&gt;"",DR15,"")</f>
        <v/>
      </c>
      <c r="DU15" s="23" t="str">
        <f aca="false">IF(AZ15=1,AW15,"")</f>
        <v>sample brand 13</v>
      </c>
      <c r="DV15" s="23" t="str">
        <f aca="false">IF(TRIM($A15)="","",IFERROR(INDEX($A$2:$A$201,MATCH(AW15,$DU$2:$DU$201,0))&amp;"",$A15&amp;""))</f>
        <v>SAMPLE-B-013</v>
      </c>
      <c r="DW15" s="23" t="n">
        <f aca="false">IF(AY15=1,IF(COUNTIFS($A$2:$A$201,$A15,$AY$2:$AY$201,1,$H$2:$H$201,"&lt;"&amp;H15)+COUNTIFS($A$2:$A$201,$A15,$AY$2:$AY$201,1,$H$2:$H$201,H15,$AX$2:$AX$201,"&lt;"&amp;AX15)=0,1,0),0)</f>
        <v>1</v>
      </c>
      <c r="DX15" s="23" t="n">
        <f aca="false">IF(AZ15=1,IF(COUNTIFS($AW$2:$AW$201,AW15,$DW$2:$DW$201,1)&gt;1,1,0),0)</f>
        <v>0</v>
      </c>
    </row>
    <row r="16" customFormat="false" ht="15" hidden="false" customHeight="false" outlineLevel="0" collapsed="false">
      <c r="A16" s="0" t="s">
        <v>759</v>
      </c>
      <c r="B16" s="0" t="s">
        <v>760</v>
      </c>
      <c r="D16" s="0" t="s">
        <v>761</v>
      </c>
      <c r="E16" s="0" t="s">
        <v>695</v>
      </c>
      <c r="F16" s="0" t="s">
        <v>679</v>
      </c>
      <c r="G16" s="32" t="s">
        <v>594</v>
      </c>
      <c r="H16" s="33" t="n">
        <v>46343</v>
      </c>
      <c r="I16" s="32" t="s">
        <v>454</v>
      </c>
      <c r="J16" s="32" t="s">
        <v>680</v>
      </c>
      <c r="K16" s="0" t="n">
        <v>4000</v>
      </c>
      <c r="L16" s="0" t="n">
        <v>4500</v>
      </c>
      <c r="M16" s="32" t="s">
        <v>681</v>
      </c>
      <c r="N16" s="32" t="s">
        <v>682</v>
      </c>
      <c r="O16" s="32" t="s">
        <v>460</v>
      </c>
      <c r="P16" s="32" t="s">
        <v>457</v>
      </c>
      <c r="Q16" s="32" t="s">
        <v>683</v>
      </c>
      <c r="R16" s="0" t="n">
        <v>900</v>
      </c>
      <c r="S16" s="32" t="s">
        <v>747</v>
      </c>
      <c r="U16" s="32" t="s">
        <v>460</v>
      </c>
      <c r="V16" s="0" t="n">
        <v>1500</v>
      </c>
      <c r="W16" s="32" t="s">
        <v>762</v>
      </c>
      <c r="X16" s="32" t="s">
        <v>686</v>
      </c>
      <c r="Y16" s="32" t="s">
        <v>698</v>
      </c>
      <c r="Z16" s="32" t="s">
        <v>688</v>
      </c>
      <c r="AA16" s="32" t="s">
        <v>689</v>
      </c>
      <c r="AB16" s="32" t="s">
        <v>460</v>
      </c>
      <c r="AC16" s="32" t="s">
        <v>460</v>
      </c>
      <c r="AD16" s="32" t="s">
        <v>460</v>
      </c>
      <c r="AE16" s="32" t="s">
        <v>460</v>
      </c>
      <c r="AF16" s="32" t="s">
        <v>460</v>
      </c>
      <c r="AG16" s="32" t="s">
        <v>460</v>
      </c>
      <c r="AI16" s="32" t="s">
        <v>460</v>
      </c>
      <c r="AJ16" s="32" t="s">
        <v>133</v>
      </c>
      <c r="AK16" s="32"/>
      <c r="AM16" s="32" t="s">
        <v>763</v>
      </c>
      <c r="AN16" s="32" t="s">
        <v>460</v>
      </c>
      <c r="AO16" s="32" t="s">
        <v>460</v>
      </c>
      <c r="AP16" s="0" t="n">
        <v>0</v>
      </c>
      <c r="AR16" s="32"/>
      <c r="AS16" s="0" t="n">
        <v>10</v>
      </c>
      <c r="AT16" s="32" t="s">
        <v>460</v>
      </c>
      <c r="AV16" s="34" t="str">
        <f aca="false">IF(TRIM($A16)="","",IF(AND(LEFT($A16,6)="SAMPLE",Config!$B$19&lt;&gt;"Y"),"",IF(NOT(ISNUMBER(H16)),"call_date is blank or not a date",IF(Sync!$D$5="","Clay paste is empty or has no row_id column: paste the Clay export on Clay_Brands",IF(CM16="","row_id not found in the Clay paste: add the Clay row or fix the row_id",IF(AND(ISNUMBER(CO16),CO16&gt;=1,CO16&lt;=5),"Clay status is "&amp;CN16&amp;": set call_done or later",IF(AND(BA16=1,CP16&lt;&gt;CB16),"Clay yes_in_principle should be "&amp;CB16,IF(AND(BA16=1,CQ16&lt;&gt;H16),"Clay call_date should be "&amp;TEXT(H16,"yyyy-mm-dd"),""))))))))</f>
        <v/>
      </c>
      <c r="AW16" s="23" t="str">
        <f aca="false">IF(TRIM($A16)="","",IF(TRIM(C16)&lt;&gt;"",SUBSTITUTE(SUBSTITUTE(SUBSTITUTE(SUBSTITUTE(SUBSTITUTE(SUBSTITUTE(LOWER(TRIM(C16)),"~",""),"*",""),"?",""),"&lt;",""),"&gt;",""),"=",""),IF(DS16&lt;&gt;"",DS16,IFERROR(INDEX($DS$2:$DS$201,MATCH(DR16,$DT$2:$DT$201,0)),DR16))))</f>
        <v>sample brand 14</v>
      </c>
      <c r="AX16" s="23" t="n">
        <f aca="false">ROW()</f>
        <v>16</v>
      </c>
      <c r="AY16" s="23" t="n">
        <f aca="false">IF(AND(TRIM($A16)&lt;&gt;"",ISNUMBER(H16)),IF(AND(LEFT($A16,6)="SAMPLE",Config!$B$19&lt;&gt;"Y"),0,1),0)</f>
        <v>1</v>
      </c>
      <c r="AZ16" s="23" t="n">
        <f aca="false">IF(AY16=1,IF(COUNTIFS($AW$2:$AW$201,AW16,$AY$2:$AY$201,1,$H$2:$H$201,"&lt;"&amp;H16)+COUNTIFS($AW$2:$AW$201,AW16,$AY$2:$AY$201,1,$H$2:$H$201,H16,$AX$2:$AX$201,"&lt;"&amp;AX16)=0,1,0),0)</f>
        <v>1</v>
      </c>
      <c r="BA16" s="23" t="n">
        <f aca="false">IF(AY16=1,IF(COUNTIFS($A$2:$A$201,$A16,$AY$2:$AY$201,1,$H$2:$H$201,"&gt;"&amp;H16)+COUNTIFS($A$2:$A$201,$A16,$AY$2:$AY$201,1,$H$2:$H$201,H16,$AX$2:$AX$201,"&gt;"&amp;AX16)=0,1,0),0)</f>
        <v>1</v>
      </c>
      <c r="BB16" s="23" t="n">
        <f aca="false">IF(AND(AY16=1,O16="Y",MAX(N(R16),N(V16))&gt;=Config!$B$14),1,0)</f>
        <v>1</v>
      </c>
      <c r="BC16" s="23" t="n">
        <f aca="false">IF(BB16=1,IF(COUNTIFS($AW$2:$AW$201,AW16,$BB$2:$BB$201,1,$H$2:$H$201,"&lt;"&amp;H16)+COUNTIFS($AW$2:$AW$201,AW16,$BB$2:$BB$201,1,$H$2:$H$201,H16,$AX$2:$AX$201,"&lt;"&amp;AX16)=0,1,0),0)</f>
        <v>1</v>
      </c>
      <c r="BD16" s="23" t="n">
        <f aca="false">IF(AND(AY16=1,O16="Y",ISNUMBER(R16)),IF(R16&gt;=Config!$B$14,1,0),0)</f>
        <v>1</v>
      </c>
      <c r="BE16" s="23" t="n">
        <f aca="false">IF(BD16=1,IF(COUNTIFS($AW$2:$AW$201,AW16,$BD$2:$BD$201,1,$H$2:$H$201,"&lt;"&amp;H16)+COUNTIFS($AW$2:$AW$201,AW16,$BD$2:$BD$201,1,$H$2:$H$201,H16,$AX$2:$AX$201,"&lt;"&amp;AX16)=0,1,0),0)</f>
        <v>1</v>
      </c>
      <c r="BF16" s="23" t="n">
        <f aca="false">IF(AND(AY16=1,O16&lt;&gt;"Y",MAX(N(R16),N(V16))&gt;=Config!$B$14),1,0)</f>
        <v>0</v>
      </c>
      <c r="BG16" s="23" t="n">
        <f aca="false">IF(BF16=1,IF(COUNTIFS($AW$2:$AW$201,AW16,$BF$2:$BF$201,1,$H$2:$H$201,"&lt;"&amp;H16)+COUNTIFS($AW$2:$AW$201,AW16,$BF$2:$BF$201,1,$H$2:$H$201,H16,$AX$2:$AX$201,"&lt;"&amp;AX16)=0,1,0),0)</f>
        <v>0</v>
      </c>
      <c r="BH16" s="23" t="n">
        <f aca="false">IF(AND(AY16=1,ISNUMBER(R16)),1,0)</f>
        <v>1</v>
      </c>
      <c r="BI16" s="23" t="n">
        <f aca="false">IF(BH16=1,IF(COUNTIFS($AW$2:$AW$201,AW16,$BH$2:$BH$201,1,$H$2:$H$201,"&lt;"&amp;H16)+COUNTIFS($AW$2:$AW$201,AW16,$BH$2:$BH$201,1,$H$2:$H$201,H16,$AX$2:$AX$201,"&lt;"&amp;AX16)=0,1,0),0)</f>
        <v>1</v>
      </c>
      <c r="BJ16" s="23" t="str">
        <f aca="false">IF(AND(BI16=1,INT(N(H16))&lt;=Config!$B$6),R16,"")</f>
        <v/>
      </c>
      <c r="BK16" s="23" t="str">
        <f aca="false">IF(AND(BI16=1,INT(N(H16))&lt;=Config!$B$7),R16,"")</f>
        <v/>
      </c>
      <c r="BL16" s="23" t="str">
        <f aca="false">IF(AND(BI16=1,INT(N(H16))&lt;=Config!$B$8),R16,"")</f>
        <v/>
      </c>
      <c r="BM16" s="23" t="n">
        <f aca="false">IF(AND(BI16=1,INT(N(H16))&lt;=Config!$B$5),R16,"")</f>
        <v>900</v>
      </c>
      <c r="BN16" s="23" t="n">
        <f aca="false">IF(AND(AY16=1,ISNUMBER(V16)),1,0)</f>
        <v>1</v>
      </c>
      <c r="BO16" s="23" t="n">
        <f aca="false">IF(BN16=1,IF(COUNTIFS($AW$2:$AW$201,AW16,$BN$2:$BN$201,1,$H$2:$H$201,"&lt;"&amp;H16)+COUNTIFS($AW$2:$AW$201,AW16,$BN$2:$BN$201,1,$H$2:$H$201,H16,$AX$2:$AX$201,"&lt;"&amp;AX16)=0,1,0),0)</f>
        <v>1</v>
      </c>
      <c r="BP16" s="23" t="str">
        <f aca="false">IF(AND(BO16=1,INT(N(H16))&lt;=Config!$B$6),V16,"")</f>
        <v/>
      </c>
      <c r="BQ16" s="23" t="str">
        <f aca="false">IF(AND(BO16=1,INT(N(H16))&lt;=Config!$B$7),V16,"")</f>
        <v/>
      </c>
      <c r="BR16" s="23" t="str">
        <f aca="false">IF(AND(BO16=1,INT(N(H16))&lt;=Config!$B$8),V16,"")</f>
        <v/>
      </c>
      <c r="BS16" s="23" t="n">
        <f aca="false">IF(AND(BO16=1,INT(N(H16))&lt;=Config!$B$5),V16,"")</f>
        <v>1500</v>
      </c>
      <c r="BT16" s="23" t="n">
        <f aca="false">IF(AND(AY16=1,ISNUMBER(K16)),1,0)</f>
        <v>1</v>
      </c>
      <c r="BU16" s="23" t="n">
        <f aca="false">IF(BT16=1,IF(COUNTIFS($AW$2:$AW$201,AW16,$BT$2:$BT$201,1,$H$2:$H$201,"&lt;"&amp;H16)+COUNTIFS($AW$2:$AW$201,AW16,$BT$2:$BT$201,1,$H$2:$H$201,H16,$AX$2:$AX$201,"&lt;"&amp;AX16)=0,1,0),0)</f>
        <v>1</v>
      </c>
      <c r="BV16" s="23" t="n">
        <f aca="false">IF(AND(BU16=1,INT(N(H16))&lt;=Config!$B$5),K16,"")</f>
        <v>4000</v>
      </c>
      <c r="BW16" s="23" t="n">
        <f aca="false">IF(AND(AY16=1,OR(AND(ISNUMBER(R16),TRIM(S16)=""),AND(ISNUMBER(V16),TRIM(W16)=""))),1,0)</f>
        <v>0</v>
      </c>
      <c r="BX16" s="23" t="str">
        <f aca="false">IF(AY16=1,AJ16&amp;"","")</f>
        <v>shelf_life</v>
      </c>
      <c r="BY16" s="23" t="str">
        <f aca="false">IF(AY16=1,AK16&amp;"","")</f>
        <v/>
      </c>
      <c r="BZ16" s="23" t="str">
        <f aca="false">IF(AY16=1,AL16&amp;"","")</f>
        <v/>
      </c>
      <c r="CA16" s="23" t="n">
        <f aca="false">IF(AND(AY16=1,ISNUMBER(AS16),INT(N(H16))&lt;=Config!$B$5),AS16,"")</f>
        <v>10</v>
      </c>
      <c r="CB16" s="23" t="str">
        <f aca="false">IF(AY16=1,IF(COUNTIFS($A$2:$A$201,$A16,$CU$2:$CU$201,1,$AN$2:$AN$201,"Y")&gt;0,"Y","N"),"")</f>
        <v>Y</v>
      </c>
      <c r="CC16" s="23" t="n">
        <f aca="false">IF(AND(AY16=1,AN16="Y"),IF(COUNTIFS($AW$2:$AW$201,AW16,$AN$2:$AN$201,"Y",$AY$2:$AY$201,1,$H$2:$H$201,"&lt;"&amp;H16)+COUNTIFS($AW$2:$AW$201,AW16,$AN$2:$AN$201,"Y",$AY$2:$AY$201,1,$H$2:$H$201,H16,$AX$2:$AX$201,"&lt;"&amp;AX16)=0,1,0),0)</f>
        <v>1</v>
      </c>
      <c r="CD16" s="23" t="n">
        <f aca="false">IF(AND(AY16=1,AB16="Y",AC16="Y",AD16="Y",AE16="Y",AF16="Y",AG16="Y",AI16="Y",TRIM(AH16)&lt;&gt;""),1,0)</f>
        <v>0</v>
      </c>
      <c r="CE16" s="23" t="n">
        <f aca="false">IF(CD16=1,IF(COUNTIFS($AW$2:$AW$201,AW16,$CD$2:$CD$201,1,$H$2:$H$201,"&lt;"&amp;H16)+COUNTIFS($AW$2:$AW$201,AW16,$CD$2:$CD$201,1,$H$2:$H$201,H16,$AX$2:$AX$201,"&lt;"&amp;AX16)=0,1,0),0)</f>
        <v>0</v>
      </c>
      <c r="CF16" s="23" t="n">
        <f aca="false">IF(AND(AY16=1,AO16="Y"),1,0)</f>
        <v>1</v>
      </c>
      <c r="CG16" s="23" t="n">
        <f aca="false">IF(CF16=1,IF(COUNTIFS($AW$2:$AW$201,AW16,$CF$2:$CF$201,1,$H$2:$H$201,"&lt;"&amp;H16)+COUNTIFS($AW$2:$AW$201,AW16,$CF$2:$CF$201,1,$H$2:$H$201,H16,$AX$2:$AX$201,"&lt;"&amp;AX16)=0,1,0),0)</f>
        <v>1</v>
      </c>
      <c r="CH16" s="23" t="n">
        <f aca="false">IF(AND(AY16=1,P16="Y"),1,0)</f>
        <v>0</v>
      </c>
      <c r="CI16" s="23" t="n">
        <f aca="false">IF(CH16=1,IF(COUNTIFS($AW$2:$AW$201,AW16,$CH$2:$CH$201,1,$H$2:$H$201,"&lt;"&amp;H16)+COUNTIFS($AW$2:$AW$201,AW16,$CH$2:$CH$201,1,$H$2:$H$201,H16,$AX$2:$AX$201,"&lt;"&amp;AX16)=0,1,0),0)</f>
        <v>0</v>
      </c>
      <c r="CJ16" s="23" t="n">
        <f aca="false">IF(AND(BU16=1,INT(N(H16))&lt;=Config!$B$5),L16,"")</f>
        <v>4500</v>
      </c>
      <c r="CK16" s="23" t="n">
        <f aca="false">IF(AND(AY16=1,AR16="Y"),1,0)</f>
        <v>0</v>
      </c>
      <c r="CL16" s="23" t="n">
        <f aca="false">IF(CK16=1,IF(COUNTIFS($AW$2:$AW$201,AW16,$CK$2:$CK$201,1,$H$2:$H$201,"&lt;"&amp;H16)+COUNTIFS($AW$2:$AW$201,AW16,$CK$2:$CK$201,1,$H$2:$H$201,H16,$AX$2:$AX$201,"&lt;"&amp;AX16)=0,1,0),0)</f>
        <v>0</v>
      </c>
      <c r="CM16" s="23" t="n">
        <f aca="false">IF(AY16=1,IFERROR(MATCH($A16,INDEX(Clay_Brands!$A$2:$FZ$601,0,Sync!$D$5),0),""),"")</f>
        <v>14</v>
      </c>
      <c r="CN16" s="23" t="str">
        <f aca="false">IF(CM16="","",IFERROR(INDEX(Clay_Brands!$A$2:$FZ$601,CM16,Sync!$D$7)&amp;"",""))</f>
        <v>yes_in_principle</v>
      </c>
      <c r="CO16" s="23" t="n">
        <f aca="false">IF(CN16="","",IFERROR(INDEX(Lists!$K$2:$K$15,MATCH(CN16,Lists!$J$2:$J$15,0)),""))</f>
        <v>7</v>
      </c>
      <c r="CP16" s="23" t="str">
        <f aca="false">IF(CM16="","",IFERROR(INDEX(Clay_Brands!$A$2:$FZ$601,CM16,Sync!$D$17)&amp;"",""))</f>
        <v>Y</v>
      </c>
      <c r="CQ16" s="35" t="n">
        <f aca="false">IF(CM16="","",IFERROR(N(INDEX(Clay_Brands!$A$2:$FZ$601,CM16,Sync!$D$16)),0))</f>
        <v>46343</v>
      </c>
      <c r="CR16" s="23" t="n">
        <f aca="false">IF(AND(AY16=1,OR(O16="N",AND(OR(ISNUMBER(R16),ISNUMBER(V16)),MAX(N(R16),N(V16))&lt;Config!$B$14))),1,0)</f>
        <v>0</v>
      </c>
      <c r="CS16" s="23" t="n">
        <f aca="false">IF(OR(BB16=1,CR16=1),1,0)</f>
        <v>1</v>
      </c>
      <c r="CT16" s="23" t="n">
        <f aca="false">IF(AND(AY16=1,OR(AN16="Y",AN16="N",AN16="maybe")),1,0)</f>
        <v>1</v>
      </c>
      <c r="CU16" s="23" t="n">
        <f aca="false">IF(AND(CT16=1),IF(COUNTIFS($A$2:$A$201,$A16,$CT$2:$CT$201,1,$H$2:$H$201,"&gt;"&amp;H16)+COUNTIFS($A$2:$A$201,$A16,$CT$2:$CT$201,1,$H$2:$H$201,H16,$AX$2:$AX$201,"&gt;"&amp;AX16)=0,1,0),0)</f>
        <v>1</v>
      </c>
      <c r="CV16" s="23" t="n">
        <f aca="false">IF(AND(CS16=1,INT(N(H16))&lt;=Config!$B$6),IF(COUNTIFS($AW$2:$AW$201,AW16,$CS$2:$CS$201,1,$H$2:$H$201,"&gt;"&amp;H16,$H$2:$H$201,"&lt;"&amp;(Config!$B$6+1))+COUNTIFS($AW$2:$AW$201,AW16,$CS$2:$CS$201,1,$H$2:$H$201,H16,$AX$2:$AX$201,"&gt;"&amp;AX16)=0,1,0),0)</f>
        <v>0</v>
      </c>
      <c r="CW16" s="23" t="n">
        <f aca="false">IF(AND(CS16=1,INT(N(H16))&lt;=Config!$B$7),IF(COUNTIFS($AW$2:$AW$201,AW16,$CS$2:$CS$201,1,$H$2:$H$201,"&gt;"&amp;H16,$H$2:$H$201,"&lt;"&amp;(Config!$B$7+1))+COUNTIFS($AW$2:$AW$201,AW16,$CS$2:$CS$201,1,$H$2:$H$201,H16,$AX$2:$AX$201,"&gt;"&amp;AX16)=0,1,0),0)</f>
        <v>0</v>
      </c>
      <c r="CX16" s="23" t="n">
        <f aca="false">IF(AND(CS16=1,INT(N(H16))&lt;=Config!$B$8),IF(COUNTIFS($AW$2:$AW$201,AW16,$CS$2:$CS$201,1,$H$2:$H$201,"&gt;"&amp;H16,$H$2:$H$201,"&lt;"&amp;(Config!$B$8+1))+COUNTIFS($AW$2:$AW$201,AW16,$CS$2:$CS$201,1,$H$2:$H$201,H16,$AX$2:$AX$201,"&gt;"&amp;AX16)=0,1,0),0)</f>
        <v>0</v>
      </c>
      <c r="CY16" s="23" t="n">
        <f aca="false">IF(AND(CS16=1,INT(N(H16))&lt;=Config!$B$5),IF(COUNTIFS($AW$2:$AW$201,AW16,$CS$2:$CS$201,1,$H$2:$H$201,"&gt;"&amp;H16,$H$2:$H$201,"&lt;"&amp;(Config!$B$5+1))+COUNTIFS($AW$2:$AW$201,AW16,$CS$2:$CS$201,1,$H$2:$H$201,H16,$AX$2:$AX$201,"&gt;"&amp;AX16)=0,1,0),0)</f>
        <v>1</v>
      </c>
      <c r="CZ16" s="23" t="n">
        <f aca="false">IF(AY16=1,IF(COUNTIFS($AW$2:$AW$201,AW16,$CV$2:$CV$201,1,$BB$2:$BB$201,1)&gt;0,1,0),0)</f>
        <v>0</v>
      </c>
      <c r="DA16" s="23" t="n">
        <f aca="false">IF(AY16=1,IF(COUNTIFS($AW$2:$AW$201,AW16,$CW$2:$CW$201,1,$BB$2:$BB$201,1)&gt;0,1,0),0)</f>
        <v>0</v>
      </c>
      <c r="DB16" s="23" t="n">
        <f aca="false">IF(AY16=1,IF(COUNTIFS($AW$2:$AW$201,AW16,$CX$2:$CX$201,1,$BB$2:$BB$201,1)&gt;0,1,0),0)</f>
        <v>0</v>
      </c>
      <c r="DC16" s="23" t="n">
        <f aca="false">IF(AY16=1,IF(COUNTIFS($AW$2:$AW$201,AW16,$CY$2:$CY$201,1,$BB$2:$BB$201,1)&gt;0,1,0),0)</f>
        <v>1</v>
      </c>
      <c r="DD16" s="23" t="n">
        <f aca="false">IF(AND(BC16=1,INT(N(H16))&lt;=Config!$B$6,CZ16=1),1,0)</f>
        <v>0</v>
      </c>
      <c r="DE16" s="23" t="n">
        <f aca="false">IF(AND(BC16=1,INT(N(H16))&lt;=Config!$B$7,DA16=1),1,0)</f>
        <v>0</v>
      </c>
      <c r="DF16" s="23" t="n">
        <f aca="false">IF(AND(BC16=1,INT(N(H16))&lt;=Config!$B$8,DB16=1),1,0)</f>
        <v>0</v>
      </c>
      <c r="DG16" s="23" t="n">
        <f aca="false">IF(AND(BC16=1,INT(N(H16))&lt;=Config!$B$5,DC16=1),1,0)</f>
        <v>1</v>
      </c>
      <c r="DH16" s="23" t="n">
        <f aca="false">IF(AND(BE16=1,INT(N(H16))&lt;=Config!$B$6,CZ16=1),1,0)</f>
        <v>0</v>
      </c>
      <c r="DI16" s="23" t="n">
        <f aca="false">IF(AND(BE16=1,INT(N(H16))&lt;=Config!$B$7,DA16=1),1,0)</f>
        <v>0</v>
      </c>
      <c r="DJ16" s="23" t="n">
        <f aca="false">IF(AND(BE16=1,INT(N(H16))&lt;=Config!$B$8,DB16=1),1,0)</f>
        <v>0</v>
      </c>
      <c r="DK16" s="23" t="n">
        <f aca="false">IF(AND(BE16=1,INT(N(H16))&lt;=Config!$B$5,DC16=1),1,0)</f>
        <v>1</v>
      </c>
      <c r="DL16" s="23" t="n">
        <f aca="false">IF(AND(BC16=1,INT(N(H16))&lt;=Config!$B$6,CZ16=0),1,0)</f>
        <v>0</v>
      </c>
      <c r="DM16" s="23" t="n">
        <f aca="false">IF(AND(BC16=1,INT(N(H16))&lt;=Config!$B$7,DA16=0),1,0)</f>
        <v>0</v>
      </c>
      <c r="DN16" s="23" t="n">
        <f aca="false">IF(AND(BC16=1,INT(N(H16))&lt;=Config!$B$8,DB16=0),1,0)</f>
        <v>0</v>
      </c>
      <c r="DO16" s="23" t="n">
        <f aca="false">IF(AND(BC16=1,INT(N(H16))&lt;=Config!$B$5,DC16=0),1,0)</f>
        <v>0</v>
      </c>
      <c r="DP16" s="23" t="n">
        <f aca="false">IF(TRIM($A16)="",0,ISTEXT(K16)+ISTEXT(L16)+ISTEXT(R16)+ISTEXT(V16)+ISTEXT(AP16)+ISTEXT(AS16))</f>
        <v>0</v>
      </c>
      <c r="DQ16" s="23" t="n">
        <f aca="false">IF(AY16=1,IF(H16&lt;&gt;INT(H16),1,0),0)</f>
        <v>0</v>
      </c>
      <c r="DR16" s="23" t="str">
        <f aca="false">IF(TRIM($A16)="","",IF(TRIM(B16)="",SUBSTITUTE(SUBSTITUTE(SUBSTITUTE(SUBSTITUTE(SUBSTITUTE(SUBSTITUTE(LOWER(TRIM($A16)),"~",""),"*",""),"?",""),"&lt;",""),"&gt;",""),"=",""),SUBSTITUTE(SUBSTITUTE(SUBSTITUTE(SUBSTITUTE(SUBSTITUTE(SUBSTITUTE(LOWER(TRIM(B16)),"~",""),"*",""),"?",""),"&lt;",""),"&gt;",""),"=","")))</f>
        <v>sample brand 14</v>
      </c>
      <c r="DS16" s="23" t="str">
        <f aca="false">IF(CM16="","",IFERROR(IF(LEFT(LOWER(TRIM(INDEX(Clay_Brands!$A$2:$FZ$601,CM16,Sync!$D$19)&amp;"")),4)="grp-",SUBSTITUTE(SUBSTITUTE(SUBSTITUTE(SUBSTITUTE(SUBSTITUTE(SUBSTITUTE(LOWER(TRIM(INDEX(Clay_Brands!$A$2:$FZ$601,CM16,Sync!$D$19)&amp;"")),"~",""),"*",""),"?",""),"&lt;",""),"&gt;",""),"=",""),""),""))</f>
        <v/>
      </c>
      <c r="DT16" s="23" t="str">
        <f aca="false">IF(DS16&lt;&gt;"",DR16,"")</f>
        <v/>
      </c>
      <c r="DU16" s="23" t="str">
        <f aca="false">IF(AZ16=1,AW16,"")</f>
        <v>sample brand 14</v>
      </c>
      <c r="DV16" s="23" t="str">
        <f aca="false">IF(TRIM($A16)="","",IFERROR(INDEX($A$2:$A$201,MATCH(AW16,$DU$2:$DU$201,0))&amp;"",$A16&amp;""))</f>
        <v>SAMPLE-B-014</v>
      </c>
      <c r="DW16" s="23" t="n">
        <f aca="false">IF(AY16=1,IF(COUNTIFS($A$2:$A$201,$A16,$AY$2:$AY$201,1,$H$2:$H$201,"&lt;"&amp;H16)+COUNTIFS($A$2:$A$201,$A16,$AY$2:$AY$201,1,$H$2:$H$201,H16,$AX$2:$AX$201,"&lt;"&amp;AX16)=0,1,0),0)</f>
        <v>1</v>
      </c>
      <c r="DX16" s="23" t="n">
        <f aca="false">IF(AZ16=1,IF(COUNTIFS($AW$2:$AW$201,AW16,$DW$2:$DW$201,1)&gt;1,1,0),0)</f>
        <v>0</v>
      </c>
    </row>
    <row r="17" customFormat="false" ht="15" hidden="false" customHeight="false" outlineLevel="0" collapsed="false">
      <c r="A17" s="0" t="s">
        <v>764</v>
      </c>
      <c r="B17" s="0" t="s">
        <v>765</v>
      </c>
      <c r="D17" s="0" t="s">
        <v>766</v>
      </c>
      <c r="E17" s="0" t="s">
        <v>678</v>
      </c>
      <c r="F17" s="0" t="s">
        <v>679</v>
      </c>
      <c r="G17" s="32" t="s">
        <v>481</v>
      </c>
      <c r="H17" s="33" t="n">
        <v>46344</v>
      </c>
      <c r="I17" s="32" t="s">
        <v>454</v>
      </c>
      <c r="J17" s="32" t="s">
        <v>680</v>
      </c>
      <c r="K17" s="0" t="n">
        <v>0</v>
      </c>
      <c r="L17" s="0" t="n">
        <v>500</v>
      </c>
      <c r="M17" s="32" t="s">
        <v>681</v>
      </c>
      <c r="N17" s="32" t="s">
        <v>709</v>
      </c>
      <c r="O17" s="32" t="s">
        <v>457</v>
      </c>
      <c r="P17" s="32" t="s">
        <v>457</v>
      </c>
      <c r="Q17" s="32" t="s">
        <v>683</v>
      </c>
      <c r="R17" s="0" t="n">
        <v>50</v>
      </c>
      <c r="S17" s="32" t="s">
        <v>767</v>
      </c>
      <c r="U17" s="32" t="s">
        <v>457</v>
      </c>
      <c r="X17" s="32" t="s">
        <v>686</v>
      </c>
      <c r="Y17" s="32" t="s">
        <v>687</v>
      </c>
      <c r="Z17" s="32" t="s">
        <v>688</v>
      </c>
      <c r="AA17" s="32" t="s">
        <v>689</v>
      </c>
      <c r="AB17" s="32" t="s">
        <v>460</v>
      </c>
      <c r="AC17" s="32" t="s">
        <v>460</v>
      </c>
      <c r="AD17" s="32" t="s">
        <v>460</v>
      </c>
      <c r="AE17" s="32" t="s">
        <v>511</v>
      </c>
      <c r="AF17" s="32" t="s">
        <v>460</v>
      </c>
      <c r="AG17" s="32" t="s">
        <v>457</v>
      </c>
      <c r="AH17" s="32" t="s">
        <v>690</v>
      </c>
      <c r="AI17" s="32" t="s">
        <v>460</v>
      </c>
      <c r="AJ17" s="32" t="s">
        <v>137</v>
      </c>
      <c r="AK17" s="32"/>
      <c r="AM17" s="32" t="s">
        <v>768</v>
      </c>
      <c r="AN17" s="32" t="s">
        <v>457</v>
      </c>
      <c r="AO17" s="32"/>
      <c r="AP17" s="0" t="n">
        <v>0</v>
      </c>
      <c r="AR17" s="32"/>
      <c r="AS17" s="0" t="n">
        <v>7</v>
      </c>
      <c r="AT17" s="32" t="s">
        <v>460</v>
      </c>
      <c r="AV17" s="34" t="str">
        <f aca="false">IF(TRIM($A17)="","",IF(AND(LEFT($A17,6)="SAMPLE",Config!$B$19&lt;&gt;"Y"),"",IF(NOT(ISNUMBER(H17)),"call_date is blank or not a date",IF(Sync!$D$5="","Clay paste is empty or has no row_id column: paste the Clay export on Clay_Brands",IF(CM17="","row_id not found in the Clay paste: add the Clay row or fix the row_id",IF(AND(ISNUMBER(CO17),CO17&gt;=1,CO17&lt;=5),"Clay status is "&amp;CN17&amp;": set call_done or later",IF(AND(BA17=1,CP17&lt;&gt;CB17),"Clay yes_in_principle should be "&amp;CB17,IF(AND(BA17=1,CQ17&lt;&gt;H17),"Clay call_date should be "&amp;TEXT(H17,"yyyy-mm-dd"),""))))))))</f>
        <v/>
      </c>
      <c r="AW17" s="23" t="str">
        <f aca="false">IF(TRIM($A17)="","",IF(TRIM(C17)&lt;&gt;"",SUBSTITUTE(SUBSTITUTE(SUBSTITUTE(SUBSTITUTE(SUBSTITUTE(SUBSTITUTE(LOWER(TRIM(C17)),"~",""),"*",""),"?",""),"&lt;",""),"&gt;",""),"=",""),IF(DS17&lt;&gt;"",DS17,IFERROR(INDEX($DS$2:$DS$201,MATCH(DR17,$DT$2:$DT$201,0)),DR17))))</f>
        <v>sample brand 15</v>
      </c>
      <c r="AX17" s="23" t="n">
        <f aca="false">ROW()</f>
        <v>17</v>
      </c>
      <c r="AY17" s="23" t="n">
        <f aca="false">IF(AND(TRIM($A17)&lt;&gt;"",ISNUMBER(H17)),IF(AND(LEFT($A17,6)="SAMPLE",Config!$B$19&lt;&gt;"Y"),0,1),0)</f>
        <v>1</v>
      </c>
      <c r="AZ17" s="23" t="n">
        <f aca="false">IF(AY17=1,IF(COUNTIFS($AW$2:$AW$201,AW17,$AY$2:$AY$201,1,$H$2:$H$201,"&lt;"&amp;H17)+COUNTIFS($AW$2:$AW$201,AW17,$AY$2:$AY$201,1,$H$2:$H$201,H17,$AX$2:$AX$201,"&lt;"&amp;AX17)=0,1,0),0)</f>
        <v>1</v>
      </c>
      <c r="BA17" s="23" t="n">
        <f aca="false">IF(AY17=1,IF(COUNTIFS($A$2:$A$201,$A17,$AY$2:$AY$201,1,$H$2:$H$201,"&gt;"&amp;H17)+COUNTIFS($A$2:$A$201,$A17,$AY$2:$AY$201,1,$H$2:$H$201,H17,$AX$2:$AX$201,"&gt;"&amp;AX17)=0,1,0),0)</f>
        <v>1</v>
      </c>
      <c r="BB17" s="23" t="n">
        <f aca="false">IF(AND(AY17=1,O17="Y",MAX(N(R17),N(V17))&gt;=Config!$B$14),1,0)</f>
        <v>0</v>
      </c>
      <c r="BC17" s="23" t="n">
        <f aca="false">IF(BB17=1,IF(COUNTIFS($AW$2:$AW$201,AW17,$BB$2:$BB$201,1,$H$2:$H$201,"&lt;"&amp;H17)+COUNTIFS($AW$2:$AW$201,AW17,$BB$2:$BB$201,1,$H$2:$H$201,H17,$AX$2:$AX$201,"&lt;"&amp;AX17)=0,1,0),0)</f>
        <v>0</v>
      </c>
      <c r="BD17" s="23" t="n">
        <f aca="false">IF(AND(AY17=1,O17="Y",ISNUMBER(R17)),IF(R17&gt;=Config!$B$14,1,0),0)</f>
        <v>0</v>
      </c>
      <c r="BE17" s="23" t="n">
        <f aca="false">IF(BD17=1,IF(COUNTIFS($AW$2:$AW$201,AW17,$BD$2:$BD$201,1,$H$2:$H$201,"&lt;"&amp;H17)+COUNTIFS($AW$2:$AW$201,AW17,$BD$2:$BD$201,1,$H$2:$H$201,H17,$AX$2:$AX$201,"&lt;"&amp;AX17)=0,1,0),0)</f>
        <v>0</v>
      </c>
      <c r="BF17" s="23" t="n">
        <f aca="false">IF(AND(AY17=1,O17&lt;&gt;"Y",MAX(N(R17),N(V17))&gt;=Config!$B$14),1,0)</f>
        <v>0</v>
      </c>
      <c r="BG17" s="23" t="n">
        <f aca="false">IF(BF17=1,IF(COUNTIFS($AW$2:$AW$201,AW17,$BF$2:$BF$201,1,$H$2:$H$201,"&lt;"&amp;H17)+COUNTIFS($AW$2:$AW$201,AW17,$BF$2:$BF$201,1,$H$2:$H$201,H17,$AX$2:$AX$201,"&lt;"&amp;AX17)=0,1,0),0)</f>
        <v>0</v>
      </c>
      <c r="BH17" s="23" t="n">
        <f aca="false">IF(AND(AY17=1,ISNUMBER(R17)),1,0)</f>
        <v>1</v>
      </c>
      <c r="BI17" s="23" t="n">
        <f aca="false">IF(BH17=1,IF(COUNTIFS($AW$2:$AW$201,AW17,$BH$2:$BH$201,1,$H$2:$H$201,"&lt;"&amp;H17)+COUNTIFS($AW$2:$AW$201,AW17,$BH$2:$BH$201,1,$H$2:$H$201,H17,$AX$2:$AX$201,"&lt;"&amp;AX17)=0,1,0),0)</f>
        <v>1</v>
      </c>
      <c r="BJ17" s="23" t="str">
        <f aca="false">IF(AND(BI17=1,INT(N(H17))&lt;=Config!$B$6),R17,"")</f>
        <v/>
      </c>
      <c r="BK17" s="23" t="str">
        <f aca="false">IF(AND(BI17=1,INT(N(H17))&lt;=Config!$B$7),R17,"")</f>
        <v/>
      </c>
      <c r="BL17" s="23" t="str">
        <f aca="false">IF(AND(BI17=1,INT(N(H17))&lt;=Config!$B$8),R17,"")</f>
        <v/>
      </c>
      <c r="BM17" s="23" t="n">
        <f aca="false">IF(AND(BI17=1,INT(N(H17))&lt;=Config!$B$5),R17,"")</f>
        <v>50</v>
      </c>
      <c r="BN17" s="23" t="n">
        <f aca="false">IF(AND(AY17=1,ISNUMBER(V17)),1,0)</f>
        <v>0</v>
      </c>
      <c r="BO17" s="23" t="n">
        <f aca="false">IF(BN17=1,IF(COUNTIFS($AW$2:$AW$201,AW17,$BN$2:$BN$201,1,$H$2:$H$201,"&lt;"&amp;H17)+COUNTIFS($AW$2:$AW$201,AW17,$BN$2:$BN$201,1,$H$2:$H$201,H17,$AX$2:$AX$201,"&lt;"&amp;AX17)=0,1,0),0)</f>
        <v>0</v>
      </c>
      <c r="BP17" s="23" t="str">
        <f aca="false">IF(AND(BO17=1,INT(N(H17))&lt;=Config!$B$6),V17,"")</f>
        <v/>
      </c>
      <c r="BQ17" s="23" t="str">
        <f aca="false">IF(AND(BO17=1,INT(N(H17))&lt;=Config!$B$7),V17,"")</f>
        <v/>
      </c>
      <c r="BR17" s="23" t="str">
        <f aca="false">IF(AND(BO17=1,INT(N(H17))&lt;=Config!$B$8),V17,"")</f>
        <v/>
      </c>
      <c r="BS17" s="23" t="str">
        <f aca="false">IF(AND(BO17=1,INT(N(H17))&lt;=Config!$B$5),V17,"")</f>
        <v/>
      </c>
      <c r="BT17" s="23" t="n">
        <f aca="false">IF(AND(AY17=1,ISNUMBER(K17)),1,0)</f>
        <v>1</v>
      </c>
      <c r="BU17" s="23" t="n">
        <f aca="false">IF(BT17=1,IF(COUNTIFS($AW$2:$AW$201,AW17,$BT$2:$BT$201,1,$H$2:$H$201,"&lt;"&amp;H17)+COUNTIFS($AW$2:$AW$201,AW17,$BT$2:$BT$201,1,$H$2:$H$201,H17,$AX$2:$AX$201,"&lt;"&amp;AX17)=0,1,0),0)</f>
        <v>1</v>
      </c>
      <c r="BV17" s="23" t="n">
        <f aca="false">IF(AND(BU17=1,INT(N(H17))&lt;=Config!$B$5),K17,"")</f>
        <v>0</v>
      </c>
      <c r="BW17" s="23" t="n">
        <f aca="false">IF(AND(AY17=1,OR(AND(ISNUMBER(R17),TRIM(S17)=""),AND(ISNUMBER(V17),TRIM(W17)=""))),1,0)</f>
        <v>0</v>
      </c>
      <c r="BX17" s="23" t="str">
        <f aca="false">IF(AY17=1,AJ17&amp;"","")</f>
        <v>not_our_audience</v>
      </c>
      <c r="BY17" s="23" t="str">
        <f aca="false">IF(AY17=1,AK17&amp;"","")</f>
        <v/>
      </c>
      <c r="BZ17" s="23" t="str">
        <f aca="false">IF(AY17=1,AL17&amp;"","")</f>
        <v/>
      </c>
      <c r="CA17" s="23" t="n">
        <f aca="false">IF(AND(AY17=1,ISNUMBER(AS17),INT(N(H17))&lt;=Config!$B$5),AS17,"")</f>
        <v>7</v>
      </c>
      <c r="CB17" s="23" t="str">
        <f aca="false">IF(AY17=1,IF(COUNTIFS($A$2:$A$201,$A17,$CU$2:$CU$201,1,$AN$2:$AN$201,"Y")&gt;0,"Y","N"),"")</f>
        <v>N</v>
      </c>
      <c r="CC17" s="23" t="n">
        <f aca="false">IF(AND(AY17=1,AN17="Y"),IF(COUNTIFS($AW$2:$AW$201,AW17,$AN$2:$AN$201,"Y",$AY$2:$AY$201,1,$H$2:$H$201,"&lt;"&amp;H17)+COUNTIFS($AW$2:$AW$201,AW17,$AN$2:$AN$201,"Y",$AY$2:$AY$201,1,$H$2:$H$201,H17,$AX$2:$AX$201,"&lt;"&amp;AX17)=0,1,0),0)</f>
        <v>0</v>
      </c>
      <c r="CD17" s="23" t="n">
        <f aca="false">IF(AND(AY17=1,AB17="Y",AC17="Y",AD17="Y",AE17="Y",AF17="Y",AG17="Y",AI17="Y",TRIM(AH17)&lt;&gt;""),1,0)</f>
        <v>0</v>
      </c>
      <c r="CE17" s="23" t="n">
        <f aca="false">IF(CD17=1,IF(COUNTIFS($AW$2:$AW$201,AW17,$CD$2:$CD$201,1,$H$2:$H$201,"&lt;"&amp;H17)+COUNTIFS($AW$2:$AW$201,AW17,$CD$2:$CD$201,1,$H$2:$H$201,H17,$AX$2:$AX$201,"&lt;"&amp;AX17)=0,1,0),0)</f>
        <v>0</v>
      </c>
      <c r="CF17" s="23" t="n">
        <f aca="false">IF(AND(AY17=1,AO17="Y"),1,0)</f>
        <v>0</v>
      </c>
      <c r="CG17" s="23" t="n">
        <f aca="false">IF(CF17=1,IF(COUNTIFS($AW$2:$AW$201,AW17,$CF$2:$CF$201,1,$H$2:$H$201,"&lt;"&amp;H17)+COUNTIFS($AW$2:$AW$201,AW17,$CF$2:$CF$201,1,$H$2:$H$201,H17,$AX$2:$AX$201,"&lt;"&amp;AX17)=0,1,0),0)</f>
        <v>0</v>
      </c>
      <c r="CH17" s="23" t="n">
        <f aca="false">IF(AND(AY17=1,P17="Y"),1,0)</f>
        <v>0</v>
      </c>
      <c r="CI17" s="23" t="n">
        <f aca="false">IF(CH17=1,IF(COUNTIFS($AW$2:$AW$201,AW17,$CH$2:$CH$201,1,$H$2:$H$201,"&lt;"&amp;H17)+COUNTIFS($AW$2:$AW$201,AW17,$CH$2:$CH$201,1,$H$2:$H$201,H17,$AX$2:$AX$201,"&lt;"&amp;AX17)=0,1,0),0)</f>
        <v>0</v>
      </c>
      <c r="CJ17" s="23" t="n">
        <f aca="false">IF(AND(BU17=1,INT(N(H17))&lt;=Config!$B$5),L17,"")</f>
        <v>500</v>
      </c>
      <c r="CK17" s="23" t="n">
        <f aca="false">IF(AND(AY17=1,AR17="Y"),1,0)</f>
        <v>0</v>
      </c>
      <c r="CL17" s="23" t="n">
        <f aca="false">IF(CK17=1,IF(COUNTIFS($AW$2:$AW$201,AW17,$CK$2:$CK$201,1,$H$2:$H$201,"&lt;"&amp;H17)+COUNTIFS($AW$2:$AW$201,AW17,$CK$2:$CK$201,1,$H$2:$H$201,H17,$AX$2:$AX$201,"&lt;"&amp;AX17)=0,1,0),0)</f>
        <v>0</v>
      </c>
      <c r="CM17" s="23" t="n">
        <f aca="false">IF(AY17=1,IFERROR(MATCH($A17,INDEX(Clay_Brands!$A$2:$FZ$601,0,Sync!$D$5),0),""),"")</f>
        <v>15</v>
      </c>
      <c r="CN17" s="23" t="str">
        <f aca="false">IF(CM17="","",IFERROR(INDEX(Clay_Brands!$A$2:$FZ$601,CM17,Sync!$D$7)&amp;"",""))</f>
        <v>call_done</v>
      </c>
      <c r="CO17" s="23" t="n">
        <f aca="false">IF(CN17="","",IFERROR(INDEX(Lists!$K$2:$K$15,MATCH(CN17,Lists!$J$2:$J$15,0)),""))</f>
        <v>6</v>
      </c>
      <c r="CP17" s="23" t="str">
        <f aca="false">IF(CM17="","",IFERROR(INDEX(Clay_Brands!$A$2:$FZ$601,CM17,Sync!$D$17)&amp;"",""))</f>
        <v>N</v>
      </c>
      <c r="CQ17" s="35" t="n">
        <f aca="false">IF(CM17="","",IFERROR(N(INDEX(Clay_Brands!$A$2:$FZ$601,CM17,Sync!$D$16)),0))</f>
        <v>46344</v>
      </c>
      <c r="CR17" s="23" t="n">
        <f aca="false">IF(AND(AY17=1,OR(O17="N",AND(OR(ISNUMBER(R17),ISNUMBER(V17)),MAX(N(R17),N(V17))&lt;Config!$B$14))),1,0)</f>
        <v>1</v>
      </c>
      <c r="CS17" s="23" t="n">
        <f aca="false">IF(OR(BB17=1,CR17=1),1,0)</f>
        <v>1</v>
      </c>
      <c r="CT17" s="23" t="n">
        <f aca="false">IF(AND(AY17=1,OR(AN17="Y",AN17="N",AN17="maybe")),1,0)</f>
        <v>1</v>
      </c>
      <c r="CU17" s="23" t="n">
        <f aca="false">IF(AND(CT17=1),IF(COUNTIFS($A$2:$A$201,$A17,$CT$2:$CT$201,1,$H$2:$H$201,"&gt;"&amp;H17)+COUNTIFS($A$2:$A$201,$A17,$CT$2:$CT$201,1,$H$2:$H$201,H17,$AX$2:$AX$201,"&gt;"&amp;AX17)=0,1,0),0)</f>
        <v>1</v>
      </c>
      <c r="CV17" s="23" t="n">
        <f aca="false">IF(AND(CS17=1,INT(N(H17))&lt;=Config!$B$6),IF(COUNTIFS($AW$2:$AW$201,AW17,$CS$2:$CS$201,1,$H$2:$H$201,"&gt;"&amp;H17,$H$2:$H$201,"&lt;"&amp;(Config!$B$6+1))+COUNTIFS($AW$2:$AW$201,AW17,$CS$2:$CS$201,1,$H$2:$H$201,H17,$AX$2:$AX$201,"&gt;"&amp;AX17)=0,1,0),0)</f>
        <v>0</v>
      </c>
      <c r="CW17" s="23" t="n">
        <f aca="false">IF(AND(CS17=1,INT(N(H17))&lt;=Config!$B$7),IF(COUNTIFS($AW$2:$AW$201,AW17,$CS$2:$CS$201,1,$H$2:$H$201,"&gt;"&amp;H17,$H$2:$H$201,"&lt;"&amp;(Config!$B$7+1))+COUNTIFS($AW$2:$AW$201,AW17,$CS$2:$CS$201,1,$H$2:$H$201,H17,$AX$2:$AX$201,"&gt;"&amp;AX17)=0,1,0),0)</f>
        <v>0</v>
      </c>
      <c r="CX17" s="23" t="n">
        <f aca="false">IF(AND(CS17=1,INT(N(H17))&lt;=Config!$B$8),IF(COUNTIFS($AW$2:$AW$201,AW17,$CS$2:$CS$201,1,$H$2:$H$201,"&gt;"&amp;H17,$H$2:$H$201,"&lt;"&amp;(Config!$B$8+1))+COUNTIFS($AW$2:$AW$201,AW17,$CS$2:$CS$201,1,$H$2:$H$201,H17,$AX$2:$AX$201,"&gt;"&amp;AX17)=0,1,0),0)</f>
        <v>0</v>
      </c>
      <c r="CY17" s="23" t="n">
        <f aca="false">IF(AND(CS17=1,INT(N(H17))&lt;=Config!$B$5),IF(COUNTIFS($AW$2:$AW$201,AW17,$CS$2:$CS$201,1,$H$2:$H$201,"&gt;"&amp;H17,$H$2:$H$201,"&lt;"&amp;(Config!$B$5+1))+COUNTIFS($AW$2:$AW$201,AW17,$CS$2:$CS$201,1,$H$2:$H$201,H17,$AX$2:$AX$201,"&gt;"&amp;AX17)=0,1,0),0)</f>
        <v>1</v>
      </c>
      <c r="CZ17" s="23" t="n">
        <f aca="false">IF(AY17=1,IF(COUNTIFS($AW$2:$AW$201,AW17,$CV$2:$CV$201,1,$BB$2:$BB$201,1)&gt;0,1,0),0)</f>
        <v>0</v>
      </c>
      <c r="DA17" s="23" t="n">
        <f aca="false">IF(AY17=1,IF(COUNTIFS($AW$2:$AW$201,AW17,$CW$2:$CW$201,1,$BB$2:$BB$201,1)&gt;0,1,0),0)</f>
        <v>0</v>
      </c>
      <c r="DB17" s="23" t="n">
        <f aca="false">IF(AY17=1,IF(COUNTIFS($AW$2:$AW$201,AW17,$CX$2:$CX$201,1,$BB$2:$BB$201,1)&gt;0,1,0),0)</f>
        <v>0</v>
      </c>
      <c r="DC17" s="23" t="n">
        <f aca="false">IF(AY17=1,IF(COUNTIFS($AW$2:$AW$201,AW17,$CY$2:$CY$201,1,$BB$2:$BB$201,1)&gt;0,1,0),0)</f>
        <v>0</v>
      </c>
      <c r="DD17" s="23" t="n">
        <f aca="false">IF(AND(BC17=1,INT(N(H17))&lt;=Config!$B$6,CZ17=1),1,0)</f>
        <v>0</v>
      </c>
      <c r="DE17" s="23" t="n">
        <f aca="false">IF(AND(BC17=1,INT(N(H17))&lt;=Config!$B$7,DA17=1),1,0)</f>
        <v>0</v>
      </c>
      <c r="DF17" s="23" t="n">
        <f aca="false">IF(AND(BC17=1,INT(N(H17))&lt;=Config!$B$8,DB17=1),1,0)</f>
        <v>0</v>
      </c>
      <c r="DG17" s="23" t="n">
        <f aca="false">IF(AND(BC17=1,INT(N(H17))&lt;=Config!$B$5,DC17=1),1,0)</f>
        <v>0</v>
      </c>
      <c r="DH17" s="23" t="n">
        <f aca="false">IF(AND(BE17=1,INT(N(H17))&lt;=Config!$B$6,CZ17=1),1,0)</f>
        <v>0</v>
      </c>
      <c r="DI17" s="23" t="n">
        <f aca="false">IF(AND(BE17=1,INT(N(H17))&lt;=Config!$B$7,DA17=1),1,0)</f>
        <v>0</v>
      </c>
      <c r="DJ17" s="23" t="n">
        <f aca="false">IF(AND(BE17=1,INT(N(H17))&lt;=Config!$B$8,DB17=1),1,0)</f>
        <v>0</v>
      </c>
      <c r="DK17" s="23" t="n">
        <f aca="false">IF(AND(BE17=1,INT(N(H17))&lt;=Config!$B$5,DC17=1),1,0)</f>
        <v>0</v>
      </c>
      <c r="DL17" s="23" t="n">
        <f aca="false">IF(AND(BC17=1,INT(N(H17))&lt;=Config!$B$6,CZ17=0),1,0)</f>
        <v>0</v>
      </c>
      <c r="DM17" s="23" t="n">
        <f aca="false">IF(AND(BC17=1,INT(N(H17))&lt;=Config!$B$7,DA17=0),1,0)</f>
        <v>0</v>
      </c>
      <c r="DN17" s="23" t="n">
        <f aca="false">IF(AND(BC17=1,INT(N(H17))&lt;=Config!$B$8,DB17=0),1,0)</f>
        <v>0</v>
      </c>
      <c r="DO17" s="23" t="n">
        <f aca="false">IF(AND(BC17=1,INT(N(H17))&lt;=Config!$B$5,DC17=0),1,0)</f>
        <v>0</v>
      </c>
      <c r="DP17" s="23" t="n">
        <f aca="false">IF(TRIM($A17)="",0,ISTEXT(K17)+ISTEXT(L17)+ISTEXT(R17)+ISTEXT(V17)+ISTEXT(AP17)+ISTEXT(AS17))</f>
        <v>0</v>
      </c>
      <c r="DQ17" s="23" t="n">
        <f aca="false">IF(AY17=1,IF(H17&lt;&gt;INT(H17),1,0),0)</f>
        <v>0</v>
      </c>
      <c r="DR17" s="23" t="str">
        <f aca="false">IF(TRIM($A17)="","",IF(TRIM(B17)="",SUBSTITUTE(SUBSTITUTE(SUBSTITUTE(SUBSTITUTE(SUBSTITUTE(SUBSTITUTE(LOWER(TRIM($A17)),"~",""),"*",""),"?",""),"&lt;",""),"&gt;",""),"=",""),SUBSTITUTE(SUBSTITUTE(SUBSTITUTE(SUBSTITUTE(SUBSTITUTE(SUBSTITUTE(LOWER(TRIM(B17)),"~",""),"*",""),"?",""),"&lt;",""),"&gt;",""),"=","")))</f>
        <v>sample brand 15</v>
      </c>
      <c r="DS17" s="23" t="str">
        <f aca="false">IF(CM17="","",IFERROR(IF(LEFT(LOWER(TRIM(INDEX(Clay_Brands!$A$2:$FZ$601,CM17,Sync!$D$19)&amp;"")),4)="grp-",SUBSTITUTE(SUBSTITUTE(SUBSTITUTE(SUBSTITUTE(SUBSTITUTE(SUBSTITUTE(LOWER(TRIM(INDEX(Clay_Brands!$A$2:$FZ$601,CM17,Sync!$D$19)&amp;"")),"~",""),"*",""),"?",""),"&lt;",""),"&gt;",""),"=",""),""),""))</f>
        <v/>
      </c>
      <c r="DT17" s="23" t="str">
        <f aca="false">IF(DS17&lt;&gt;"",DR17,"")</f>
        <v/>
      </c>
      <c r="DU17" s="23" t="str">
        <f aca="false">IF(AZ17=1,AW17,"")</f>
        <v>sample brand 15</v>
      </c>
      <c r="DV17" s="23" t="str">
        <f aca="false">IF(TRIM($A17)="","",IFERROR(INDEX($A$2:$A$201,MATCH(AW17,$DU$2:$DU$201,0))&amp;"",$A17&amp;""))</f>
        <v>SAMPLE-B-015</v>
      </c>
      <c r="DW17" s="23" t="n">
        <f aca="false">IF(AY17=1,IF(COUNTIFS($A$2:$A$201,$A17,$AY$2:$AY$201,1,$H$2:$H$201,"&lt;"&amp;H17)+COUNTIFS($A$2:$A$201,$A17,$AY$2:$AY$201,1,$H$2:$H$201,H17,$AX$2:$AX$201,"&lt;"&amp;AX17)=0,1,0),0)</f>
        <v>1</v>
      </c>
      <c r="DX17" s="23" t="n">
        <f aca="false">IF(AZ17=1,IF(COUNTIFS($AW$2:$AW$201,AW17,$DW$2:$DW$201,1)&gt;1,1,0),0)</f>
        <v>0</v>
      </c>
    </row>
    <row r="18" customFormat="false" ht="15" hidden="false" customHeight="false" outlineLevel="0" collapsed="false">
      <c r="G18" s="32"/>
      <c r="H18" s="33"/>
      <c r="I18" s="32"/>
      <c r="O18" s="32"/>
      <c r="P18" s="32"/>
      <c r="U18" s="32"/>
      <c r="Y18" s="32"/>
      <c r="AB18" s="32"/>
      <c r="AC18" s="32"/>
      <c r="AD18" s="32"/>
      <c r="AE18" s="32"/>
      <c r="AF18" s="32"/>
      <c r="AG18" s="32"/>
      <c r="AI18" s="32"/>
      <c r="AJ18" s="32"/>
      <c r="AK18" s="32"/>
      <c r="AN18" s="32"/>
      <c r="AO18" s="32"/>
      <c r="AR18" s="32"/>
      <c r="AT18" s="32"/>
      <c r="AV18" s="34" t="str">
        <f aca="false">IF(TRIM($A18)="","",IF(AND(LEFT($A18,6)="SAMPLE",Config!$B$19&lt;&gt;"Y"),"",IF(NOT(ISNUMBER(H18)),"call_date is blank or not a date",IF(Sync!$D$5="","Clay paste is empty or has no row_id column: paste the Clay export on Clay_Brands",IF(CM18="","row_id not found in the Clay paste: add the Clay row or fix the row_id",IF(AND(ISNUMBER(CO18),CO18&gt;=1,CO18&lt;=5),"Clay status is "&amp;CN18&amp;": set call_done or later",IF(AND(BA18=1,CP18&lt;&gt;CB18),"Clay yes_in_principle should be "&amp;CB18,IF(AND(BA18=1,CQ18&lt;&gt;H18),"Clay call_date should be "&amp;TEXT(H18,"yyyy-mm-dd"),""))))))))</f>
        <v/>
      </c>
      <c r="AW18" s="23" t="str">
        <f aca="false">IF(TRIM($A18)="","",IF(TRIM(C18)&lt;&gt;"",SUBSTITUTE(SUBSTITUTE(SUBSTITUTE(SUBSTITUTE(SUBSTITUTE(SUBSTITUTE(LOWER(TRIM(C18)),"~",""),"*",""),"?",""),"&lt;",""),"&gt;",""),"=",""),IF(DS18&lt;&gt;"",DS18,IFERROR(INDEX($DS$2:$DS$201,MATCH(DR18,$DT$2:$DT$201,0)),DR18))))</f>
        <v/>
      </c>
      <c r="AX18" s="23" t="n">
        <f aca="false">ROW()</f>
        <v>18</v>
      </c>
      <c r="AY18" s="23" t="n">
        <f aca="false">IF(AND(TRIM($A18)&lt;&gt;"",ISNUMBER(H18)),IF(AND(LEFT($A18,6)="SAMPLE",Config!$B$19&lt;&gt;"Y"),0,1),0)</f>
        <v>0</v>
      </c>
      <c r="AZ18" s="23" t="n">
        <f aca="false">IF(AY18=1,IF(COUNTIFS($AW$2:$AW$201,AW18,$AY$2:$AY$201,1,$H$2:$H$201,"&lt;"&amp;H18)+COUNTIFS($AW$2:$AW$201,AW18,$AY$2:$AY$201,1,$H$2:$H$201,H18,$AX$2:$AX$201,"&lt;"&amp;AX18)=0,1,0),0)</f>
        <v>0</v>
      </c>
      <c r="BA18" s="23" t="n">
        <f aca="false">IF(AY18=1,IF(COUNTIFS($A$2:$A$201,$A18,$AY$2:$AY$201,1,$H$2:$H$201,"&gt;"&amp;H18)+COUNTIFS($A$2:$A$201,$A18,$AY$2:$AY$201,1,$H$2:$H$201,H18,$AX$2:$AX$201,"&gt;"&amp;AX18)=0,1,0),0)</f>
        <v>0</v>
      </c>
      <c r="BB18" s="23" t="n">
        <f aca="false">IF(AND(AY18=1,O18="Y",MAX(N(R18),N(V18))&gt;=Config!$B$14),1,0)</f>
        <v>0</v>
      </c>
      <c r="BC18" s="23" t="n">
        <f aca="false">IF(BB18=1,IF(COUNTIFS($AW$2:$AW$201,AW18,$BB$2:$BB$201,1,$H$2:$H$201,"&lt;"&amp;H18)+COUNTIFS($AW$2:$AW$201,AW18,$BB$2:$BB$201,1,$H$2:$H$201,H18,$AX$2:$AX$201,"&lt;"&amp;AX18)=0,1,0),0)</f>
        <v>0</v>
      </c>
      <c r="BD18" s="23" t="n">
        <f aca="false">IF(AND(AY18=1,O18="Y",ISNUMBER(R18)),IF(R18&gt;=Config!$B$14,1,0),0)</f>
        <v>0</v>
      </c>
      <c r="BE18" s="23" t="n">
        <f aca="false">IF(BD18=1,IF(COUNTIFS($AW$2:$AW$201,AW18,$BD$2:$BD$201,1,$H$2:$H$201,"&lt;"&amp;H18)+COUNTIFS($AW$2:$AW$201,AW18,$BD$2:$BD$201,1,$H$2:$H$201,H18,$AX$2:$AX$201,"&lt;"&amp;AX18)=0,1,0),0)</f>
        <v>0</v>
      </c>
      <c r="BF18" s="23" t="n">
        <f aca="false">IF(AND(AY18=1,O18&lt;&gt;"Y",MAX(N(R18),N(V18))&gt;=Config!$B$14),1,0)</f>
        <v>0</v>
      </c>
      <c r="BG18" s="23" t="n">
        <f aca="false">IF(BF18=1,IF(COUNTIFS($AW$2:$AW$201,AW18,$BF$2:$BF$201,1,$H$2:$H$201,"&lt;"&amp;H18)+COUNTIFS($AW$2:$AW$201,AW18,$BF$2:$BF$201,1,$H$2:$H$201,H18,$AX$2:$AX$201,"&lt;"&amp;AX18)=0,1,0),0)</f>
        <v>0</v>
      </c>
      <c r="BH18" s="23" t="n">
        <f aca="false">IF(AND(AY18=1,ISNUMBER(R18)),1,0)</f>
        <v>0</v>
      </c>
      <c r="BI18" s="23" t="n">
        <f aca="false">IF(BH18=1,IF(COUNTIFS($AW$2:$AW$201,AW18,$BH$2:$BH$201,1,$H$2:$H$201,"&lt;"&amp;H18)+COUNTIFS($AW$2:$AW$201,AW18,$BH$2:$BH$201,1,$H$2:$H$201,H18,$AX$2:$AX$201,"&lt;"&amp;AX18)=0,1,0),0)</f>
        <v>0</v>
      </c>
      <c r="BJ18" s="23" t="str">
        <f aca="false">IF(AND(BI18=1,INT(N(H18))&lt;=Config!$B$6),R18,"")</f>
        <v/>
      </c>
      <c r="BK18" s="23" t="str">
        <f aca="false">IF(AND(BI18=1,INT(N(H18))&lt;=Config!$B$7),R18,"")</f>
        <v/>
      </c>
      <c r="BL18" s="23" t="str">
        <f aca="false">IF(AND(BI18=1,INT(N(H18))&lt;=Config!$B$8),R18,"")</f>
        <v/>
      </c>
      <c r="BM18" s="23" t="str">
        <f aca="false">IF(AND(BI18=1,INT(N(H18))&lt;=Config!$B$5),R18,"")</f>
        <v/>
      </c>
      <c r="BN18" s="23" t="n">
        <f aca="false">IF(AND(AY18=1,ISNUMBER(V18)),1,0)</f>
        <v>0</v>
      </c>
      <c r="BO18" s="23" t="n">
        <f aca="false">IF(BN18=1,IF(COUNTIFS($AW$2:$AW$201,AW18,$BN$2:$BN$201,1,$H$2:$H$201,"&lt;"&amp;H18)+COUNTIFS($AW$2:$AW$201,AW18,$BN$2:$BN$201,1,$H$2:$H$201,H18,$AX$2:$AX$201,"&lt;"&amp;AX18)=0,1,0),0)</f>
        <v>0</v>
      </c>
      <c r="BP18" s="23" t="str">
        <f aca="false">IF(AND(BO18=1,INT(N(H18))&lt;=Config!$B$6),V18,"")</f>
        <v/>
      </c>
      <c r="BQ18" s="23" t="str">
        <f aca="false">IF(AND(BO18=1,INT(N(H18))&lt;=Config!$B$7),V18,"")</f>
        <v/>
      </c>
      <c r="BR18" s="23" t="str">
        <f aca="false">IF(AND(BO18=1,INT(N(H18))&lt;=Config!$B$8),V18,"")</f>
        <v/>
      </c>
      <c r="BS18" s="23" t="str">
        <f aca="false">IF(AND(BO18=1,INT(N(H18))&lt;=Config!$B$5),V18,"")</f>
        <v/>
      </c>
      <c r="BT18" s="23" t="n">
        <f aca="false">IF(AND(AY18=1,ISNUMBER(K18)),1,0)</f>
        <v>0</v>
      </c>
      <c r="BU18" s="23" t="n">
        <f aca="false">IF(BT18=1,IF(COUNTIFS($AW$2:$AW$201,AW18,$BT$2:$BT$201,1,$H$2:$H$201,"&lt;"&amp;H18)+COUNTIFS($AW$2:$AW$201,AW18,$BT$2:$BT$201,1,$H$2:$H$201,H18,$AX$2:$AX$201,"&lt;"&amp;AX18)=0,1,0),0)</f>
        <v>0</v>
      </c>
      <c r="BV18" s="23" t="str">
        <f aca="false">IF(AND(BU18=1,INT(N(H18))&lt;=Config!$B$5),K18,"")</f>
        <v/>
      </c>
      <c r="BW18" s="23" t="n">
        <f aca="false">IF(AND(AY18=1,OR(AND(ISNUMBER(R18),TRIM(S18)=""),AND(ISNUMBER(V18),TRIM(W18)=""))),1,0)</f>
        <v>0</v>
      </c>
      <c r="BX18" s="23" t="str">
        <f aca="false">IF(AY18=1,AJ18&amp;"","")</f>
        <v/>
      </c>
      <c r="BY18" s="23" t="str">
        <f aca="false">IF(AY18=1,AK18&amp;"","")</f>
        <v/>
      </c>
      <c r="BZ18" s="23" t="str">
        <f aca="false">IF(AY18=1,AL18&amp;"","")</f>
        <v/>
      </c>
      <c r="CA18" s="23" t="str">
        <f aca="false">IF(AND(AY18=1,ISNUMBER(AS18),INT(N(H18))&lt;=Config!$B$5),AS18,"")</f>
        <v/>
      </c>
      <c r="CB18" s="23" t="str">
        <f aca="false">IF(AY18=1,IF(COUNTIFS($A$2:$A$201,$A18,$CU$2:$CU$201,1,$AN$2:$AN$201,"Y")&gt;0,"Y","N"),"")</f>
        <v/>
      </c>
      <c r="CC18" s="23" t="n">
        <f aca="false">IF(AND(AY18=1,AN18="Y"),IF(COUNTIFS($AW$2:$AW$201,AW18,$AN$2:$AN$201,"Y",$AY$2:$AY$201,1,$H$2:$H$201,"&lt;"&amp;H18)+COUNTIFS($AW$2:$AW$201,AW18,$AN$2:$AN$201,"Y",$AY$2:$AY$201,1,$H$2:$H$201,H18,$AX$2:$AX$201,"&lt;"&amp;AX18)=0,1,0),0)</f>
        <v>0</v>
      </c>
      <c r="CD18" s="23" t="n">
        <f aca="false">IF(AND(AY18=1,AB18="Y",AC18="Y",AD18="Y",AE18="Y",AF18="Y",AG18="Y",AI18="Y",TRIM(AH18)&lt;&gt;""),1,0)</f>
        <v>0</v>
      </c>
      <c r="CE18" s="23" t="n">
        <f aca="false">IF(CD18=1,IF(COUNTIFS($AW$2:$AW$201,AW18,$CD$2:$CD$201,1,$H$2:$H$201,"&lt;"&amp;H18)+COUNTIFS($AW$2:$AW$201,AW18,$CD$2:$CD$201,1,$H$2:$H$201,H18,$AX$2:$AX$201,"&lt;"&amp;AX18)=0,1,0),0)</f>
        <v>0</v>
      </c>
      <c r="CF18" s="23" t="n">
        <f aca="false">IF(AND(AY18=1,AO18="Y"),1,0)</f>
        <v>0</v>
      </c>
      <c r="CG18" s="23" t="n">
        <f aca="false">IF(CF18=1,IF(COUNTIFS($AW$2:$AW$201,AW18,$CF$2:$CF$201,1,$H$2:$H$201,"&lt;"&amp;H18)+COUNTIFS($AW$2:$AW$201,AW18,$CF$2:$CF$201,1,$H$2:$H$201,H18,$AX$2:$AX$201,"&lt;"&amp;AX18)=0,1,0),0)</f>
        <v>0</v>
      </c>
      <c r="CH18" s="23" t="n">
        <f aca="false">IF(AND(AY18=1,P18="Y"),1,0)</f>
        <v>0</v>
      </c>
      <c r="CI18" s="23" t="n">
        <f aca="false">IF(CH18=1,IF(COUNTIFS($AW$2:$AW$201,AW18,$CH$2:$CH$201,1,$H$2:$H$201,"&lt;"&amp;H18)+COUNTIFS($AW$2:$AW$201,AW18,$CH$2:$CH$201,1,$H$2:$H$201,H18,$AX$2:$AX$201,"&lt;"&amp;AX18)=0,1,0),0)</f>
        <v>0</v>
      </c>
      <c r="CJ18" s="23" t="str">
        <f aca="false">IF(AND(BU18=1,INT(N(H18))&lt;=Config!$B$5),L18,"")</f>
        <v/>
      </c>
      <c r="CK18" s="23" t="n">
        <f aca="false">IF(AND(AY18=1,AR18="Y"),1,0)</f>
        <v>0</v>
      </c>
      <c r="CL18" s="23" t="n">
        <f aca="false">IF(CK18=1,IF(COUNTIFS($AW$2:$AW$201,AW18,$CK$2:$CK$201,1,$H$2:$H$201,"&lt;"&amp;H18)+COUNTIFS($AW$2:$AW$201,AW18,$CK$2:$CK$201,1,$H$2:$H$201,H18,$AX$2:$AX$201,"&lt;"&amp;AX18)=0,1,0),0)</f>
        <v>0</v>
      </c>
      <c r="CM18" s="23" t="str">
        <f aca="false">IF(AY18=1,IFERROR(MATCH($A18,INDEX(Clay_Brands!$A$2:$FZ$601,0,Sync!$D$5),0),""),"")</f>
        <v/>
      </c>
      <c r="CN18" s="23" t="str">
        <f aca="false">IF(CM18="","",IFERROR(INDEX(Clay_Brands!$A$2:$FZ$601,CM18,Sync!$D$7)&amp;"",""))</f>
        <v/>
      </c>
      <c r="CO18" s="23" t="str">
        <f aca="false">IF(CN18="","",IFERROR(INDEX(Lists!$K$2:$K$15,MATCH(CN18,Lists!$J$2:$J$15,0)),""))</f>
        <v/>
      </c>
      <c r="CP18" s="23" t="str">
        <f aca="false">IF(CM18="","",IFERROR(INDEX(Clay_Brands!$A$2:$FZ$601,CM18,Sync!$D$17)&amp;"",""))</f>
        <v/>
      </c>
      <c r="CQ18" s="35" t="str">
        <f aca="false">IF(CM18="","",IFERROR(N(INDEX(Clay_Brands!$A$2:$FZ$601,CM18,Sync!$D$16)),0))</f>
        <v/>
      </c>
      <c r="CR18" s="23" t="n">
        <f aca="false">IF(AND(AY18=1,OR(O18="N",AND(OR(ISNUMBER(R18),ISNUMBER(V18)),MAX(N(R18),N(V18))&lt;Config!$B$14))),1,0)</f>
        <v>0</v>
      </c>
      <c r="CS18" s="23" t="n">
        <f aca="false">IF(OR(BB18=1,CR18=1),1,0)</f>
        <v>0</v>
      </c>
      <c r="CT18" s="23" t="n">
        <f aca="false">IF(AND(AY18=1,OR(AN18="Y",AN18="N",AN18="maybe")),1,0)</f>
        <v>0</v>
      </c>
      <c r="CU18" s="23" t="n">
        <f aca="false">IF(AND(CT18=1),IF(COUNTIFS($A$2:$A$201,$A18,$CT$2:$CT$201,1,$H$2:$H$201,"&gt;"&amp;H18)+COUNTIFS($A$2:$A$201,$A18,$CT$2:$CT$201,1,$H$2:$H$201,H18,$AX$2:$AX$201,"&gt;"&amp;AX18)=0,1,0),0)</f>
        <v>0</v>
      </c>
      <c r="CV18" s="23" t="n">
        <f aca="false">IF(AND(CS18=1,INT(N(H18))&lt;=Config!$B$6),IF(COUNTIFS($AW$2:$AW$201,AW18,$CS$2:$CS$201,1,$H$2:$H$201,"&gt;"&amp;H18,$H$2:$H$201,"&lt;"&amp;(Config!$B$6+1))+COUNTIFS($AW$2:$AW$201,AW18,$CS$2:$CS$201,1,$H$2:$H$201,H18,$AX$2:$AX$201,"&gt;"&amp;AX18)=0,1,0),0)</f>
        <v>0</v>
      </c>
      <c r="CW18" s="23" t="n">
        <f aca="false">IF(AND(CS18=1,INT(N(H18))&lt;=Config!$B$7),IF(COUNTIFS($AW$2:$AW$201,AW18,$CS$2:$CS$201,1,$H$2:$H$201,"&gt;"&amp;H18,$H$2:$H$201,"&lt;"&amp;(Config!$B$7+1))+COUNTIFS($AW$2:$AW$201,AW18,$CS$2:$CS$201,1,$H$2:$H$201,H18,$AX$2:$AX$201,"&gt;"&amp;AX18)=0,1,0),0)</f>
        <v>0</v>
      </c>
      <c r="CX18" s="23" t="n">
        <f aca="false">IF(AND(CS18=1,INT(N(H18))&lt;=Config!$B$8),IF(COUNTIFS($AW$2:$AW$201,AW18,$CS$2:$CS$201,1,$H$2:$H$201,"&gt;"&amp;H18,$H$2:$H$201,"&lt;"&amp;(Config!$B$8+1))+COUNTIFS($AW$2:$AW$201,AW18,$CS$2:$CS$201,1,$H$2:$H$201,H18,$AX$2:$AX$201,"&gt;"&amp;AX18)=0,1,0),0)</f>
        <v>0</v>
      </c>
      <c r="CY18" s="23" t="n">
        <f aca="false">IF(AND(CS18=1,INT(N(H18))&lt;=Config!$B$5),IF(COUNTIFS($AW$2:$AW$201,AW18,$CS$2:$CS$201,1,$H$2:$H$201,"&gt;"&amp;H18,$H$2:$H$201,"&lt;"&amp;(Config!$B$5+1))+COUNTIFS($AW$2:$AW$201,AW18,$CS$2:$CS$201,1,$H$2:$H$201,H18,$AX$2:$AX$201,"&gt;"&amp;AX18)=0,1,0),0)</f>
        <v>0</v>
      </c>
      <c r="CZ18" s="23" t="n">
        <f aca="false">IF(AY18=1,IF(COUNTIFS($AW$2:$AW$201,AW18,$CV$2:$CV$201,1,$BB$2:$BB$201,1)&gt;0,1,0),0)</f>
        <v>0</v>
      </c>
      <c r="DA18" s="23" t="n">
        <f aca="false">IF(AY18=1,IF(COUNTIFS($AW$2:$AW$201,AW18,$CW$2:$CW$201,1,$BB$2:$BB$201,1)&gt;0,1,0),0)</f>
        <v>0</v>
      </c>
      <c r="DB18" s="23" t="n">
        <f aca="false">IF(AY18=1,IF(COUNTIFS($AW$2:$AW$201,AW18,$CX$2:$CX$201,1,$BB$2:$BB$201,1)&gt;0,1,0),0)</f>
        <v>0</v>
      </c>
      <c r="DC18" s="23" t="n">
        <f aca="false">IF(AY18=1,IF(COUNTIFS($AW$2:$AW$201,AW18,$CY$2:$CY$201,1,$BB$2:$BB$201,1)&gt;0,1,0),0)</f>
        <v>0</v>
      </c>
      <c r="DD18" s="23" t="n">
        <f aca="false">IF(AND(BC18=1,INT(N(H18))&lt;=Config!$B$6,CZ18=1),1,0)</f>
        <v>0</v>
      </c>
      <c r="DE18" s="23" t="n">
        <f aca="false">IF(AND(BC18=1,INT(N(H18))&lt;=Config!$B$7,DA18=1),1,0)</f>
        <v>0</v>
      </c>
      <c r="DF18" s="23" t="n">
        <f aca="false">IF(AND(BC18=1,INT(N(H18))&lt;=Config!$B$8,DB18=1),1,0)</f>
        <v>0</v>
      </c>
      <c r="DG18" s="23" t="n">
        <f aca="false">IF(AND(BC18=1,INT(N(H18))&lt;=Config!$B$5,DC18=1),1,0)</f>
        <v>0</v>
      </c>
      <c r="DH18" s="23" t="n">
        <f aca="false">IF(AND(BE18=1,INT(N(H18))&lt;=Config!$B$6,CZ18=1),1,0)</f>
        <v>0</v>
      </c>
      <c r="DI18" s="23" t="n">
        <f aca="false">IF(AND(BE18=1,INT(N(H18))&lt;=Config!$B$7,DA18=1),1,0)</f>
        <v>0</v>
      </c>
      <c r="DJ18" s="23" t="n">
        <f aca="false">IF(AND(BE18=1,INT(N(H18))&lt;=Config!$B$8,DB18=1),1,0)</f>
        <v>0</v>
      </c>
      <c r="DK18" s="23" t="n">
        <f aca="false">IF(AND(BE18=1,INT(N(H18))&lt;=Config!$B$5,DC18=1),1,0)</f>
        <v>0</v>
      </c>
      <c r="DL18" s="23" t="n">
        <f aca="false">IF(AND(BC18=1,INT(N(H18))&lt;=Config!$B$6,CZ18=0),1,0)</f>
        <v>0</v>
      </c>
      <c r="DM18" s="23" t="n">
        <f aca="false">IF(AND(BC18=1,INT(N(H18))&lt;=Config!$B$7,DA18=0),1,0)</f>
        <v>0</v>
      </c>
      <c r="DN18" s="23" t="n">
        <f aca="false">IF(AND(BC18=1,INT(N(H18))&lt;=Config!$B$8,DB18=0),1,0)</f>
        <v>0</v>
      </c>
      <c r="DO18" s="23" t="n">
        <f aca="false">IF(AND(BC18=1,INT(N(H18))&lt;=Config!$B$5,DC18=0),1,0)</f>
        <v>0</v>
      </c>
      <c r="DP18" s="23" t="n">
        <f aca="false">IF(TRIM($A18)="",0,ISTEXT(K18)+ISTEXT(L18)+ISTEXT(R18)+ISTEXT(V18)+ISTEXT(AP18)+ISTEXT(AS18))</f>
        <v>0</v>
      </c>
      <c r="DQ18" s="23" t="n">
        <f aca="false">IF(AY18=1,IF(H18&lt;&gt;INT(H18),1,0),0)</f>
        <v>0</v>
      </c>
      <c r="DR18" s="23" t="str">
        <f aca="false">IF(TRIM($A18)="","",IF(TRIM(B18)="",SUBSTITUTE(SUBSTITUTE(SUBSTITUTE(SUBSTITUTE(SUBSTITUTE(SUBSTITUTE(LOWER(TRIM($A18)),"~",""),"*",""),"?",""),"&lt;",""),"&gt;",""),"=",""),SUBSTITUTE(SUBSTITUTE(SUBSTITUTE(SUBSTITUTE(SUBSTITUTE(SUBSTITUTE(LOWER(TRIM(B18)),"~",""),"*",""),"?",""),"&lt;",""),"&gt;",""),"=","")))</f>
        <v/>
      </c>
      <c r="DS18" s="23" t="str">
        <f aca="false">IF(CM18="","",IFERROR(IF(LEFT(LOWER(TRIM(INDEX(Clay_Brands!$A$2:$FZ$601,CM18,Sync!$D$19)&amp;"")),4)="grp-",SUBSTITUTE(SUBSTITUTE(SUBSTITUTE(SUBSTITUTE(SUBSTITUTE(SUBSTITUTE(LOWER(TRIM(INDEX(Clay_Brands!$A$2:$FZ$601,CM18,Sync!$D$19)&amp;"")),"~",""),"*",""),"?",""),"&lt;",""),"&gt;",""),"=",""),""),""))</f>
        <v/>
      </c>
      <c r="DT18" s="23" t="str">
        <f aca="false">IF(DS18&lt;&gt;"",DR18,"")</f>
        <v/>
      </c>
      <c r="DU18" s="23" t="str">
        <f aca="false">IF(AZ18=1,AW18,"")</f>
        <v/>
      </c>
      <c r="DV18" s="23" t="str">
        <f aca="false">IF(TRIM($A18)="","",IFERROR(INDEX($A$2:$A$201,MATCH(AW18,$DU$2:$DU$201,0))&amp;"",$A18&amp;""))</f>
        <v/>
      </c>
      <c r="DW18" s="23" t="n">
        <f aca="false">IF(AY18=1,IF(COUNTIFS($A$2:$A$201,$A18,$AY$2:$AY$201,1,$H$2:$H$201,"&lt;"&amp;H18)+COUNTIFS($A$2:$A$201,$A18,$AY$2:$AY$201,1,$H$2:$H$201,H18,$AX$2:$AX$201,"&lt;"&amp;AX18)=0,1,0),0)</f>
        <v>0</v>
      </c>
      <c r="DX18" s="23" t="n">
        <f aca="false">IF(AZ18=1,IF(COUNTIFS($AW$2:$AW$201,AW18,$DW$2:$DW$201,1)&gt;1,1,0),0)</f>
        <v>0</v>
      </c>
    </row>
    <row r="19" customFormat="false" ht="15" hidden="false" customHeight="false" outlineLevel="0" collapsed="false">
      <c r="G19" s="32"/>
      <c r="H19" s="33"/>
      <c r="I19" s="32"/>
      <c r="O19" s="32"/>
      <c r="P19" s="32"/>
      <c r="U19" s="32"/>
      <c r="Y19" s="32"/>
      <c r="AB19" s="32"/>
      <c r="AC19" s="32"/>
      <c r="AD19" s="32"/>
      <c r="AE19" s="32"/>
      <c r="AF19" s="32"/>
      <c r="AG19" s="32"/>
      <c r="AI19" s="32"/>
      <c r="AJ19" s="32"/>
      <c r="AK19" s="32"/>
      <c r="AN19" s="32"/>
      <c r="AO19" s="32"/>
      <c r="AR19" s="32"/>
      <c r="AT19" s="32"/>
      <c r="AV19" s="34" t="str">
        <f aca="false">IF(TRIM($A19)="","",IF(AND(LEFT($A19,6)="SAMPLE",Config!$B$19&lt;&gt;"Y"),"",IF(NOT(ISNUMBER(H19)),"call_date is blank or not a date",IF(Sync!$D$5="","Clay paste is empty or has no row_id column: paste the Clay export on Clay_Brands",IF(CM19="","row_id not found in the Clay paste: add the Clay row or fix the row_id",IF(AND(ISNUMBER(CO19),CO19&gt;=1,CO19&lt;=5),"Clay status is "&amp;CN19&amp;": set call_done or later",IF(AND(BA19=1,CP19&lt;&gt;CB19),"Clay yes_in_principle should be "&amp;CB19,IF(AND(BA19=1,CQ19&lt;&gt;H19),"Clay call_date should be "&amp;TEXT(H19,"yyyy-mm-dd"),""))))))))</f>
        <v/>
      </c>
      <c r="AW19" s="23" t="str">
        <f aca="false">IF(TRIM($A19)="","",IF(TRIM(C19)&lt;&gt;"",SUBSTITUTE(SUBSTITUTE(SUBSTITUTE(SUBSTITUTE(SUBSTITUTE(SUBSTITUTE(LOWER(TRIM(C19)),"~",""),"*",""),"?",""),"&lt;",""),"&gt;",""),"=",""),IF(DS19&lt;&gt;"",DS19,IFERROR(INDEX($DS$2:$DS$201,MATCH(DR19,$DT$2:$DT$201,0)),DR19))))</f>
        <v/>
      </c>
      <c r="AX19" s="23" t="n">
        <f aca="false">ROW()</f>
        <v>19</v>
      </c>
      <c r="AY19" s="23" t="n">
        <f aca="false">IF(AND(TRIM($A19)&lt;&gt;"",ISNUMBER(H19)),IF(AND(LEFT($A19,6)="SAMPLE",Config!$B$19&lt;&gt;"Y"),0,1),0)</f>
        <v>0</v>
      </c>
      <c r="AZ19" s="23" t="n">
        <f aca="false">IF(AY19=1,IF(COUNTIFS($AW$2:$AW$201,AW19,$AY$2:$AY$201,1,$H$2:$H$201,"&lt;"&amp;H19)+COUNTIFS($AW$2:$AW$201,AW19,$AY$2:$AY$201,1,$H$2:$H$201,H19,$AX$2:$AX$201,"&lt;"&amp;AX19)=0,1,0),0)</f>
        <v>0</v>
      </c>
      <c r="BA19" s="23" t="n">
        <f aca="false">IF(AY19=1,IF(COUNTIFS($A$2:$A$201,$A19,$AY$2:$AY$201,1,$H$2:$H$201,"&gt;"&amp;H19)+COUNTIFS($A$2:$A$201,$A19,$AY$2:$AY$201,1,$H$2:$H$201,H19,$AX$2:$AX$201,"&gt;"&amp;AX19)=0,1,0),0)</f>
        <v>0</v>
      </c>
      <c r="BB19" s="23" t="n">
        <f aca="false">IF(AND(AY19=1,O19="Y",MAX(N(R19),N(V19))&gt;=Config!$B$14),1,0)</f>
        <v>0</v>
      </c>
      <c r="BC19" s="23" t="n">
        <f aca="false">IF(BB19=1,IF(COUNTIFS($AW$2:$AW$201,AW19,$BB$2:$BB$201,1,$H$2:$H$201,"&lt;"&amp;H19)+COUNTIFS($AW$2:$AW$201,AW19,$BB$2:$BB$201,1,$H$2:$H$201,H19,$AX$2:$AX$201,"&lt;"&amp;AX19)=0,1,0),0)</f>
        <v>0</v>
      </c>
      <c r="BD19" s="23" t="n">
        <f aca="false">IF(AND(AY19=1,O19="Y",ISNUMBER(R19)),IF(R19&gt;=Config!$B$14,1,0),0)</f>
        <v>0</v>
      </c>
      <c r="BE19" s="23" t="n">
        <f aca="false">IF(BD19=1,IF(COUNTIFS($AW$2:$AW$201,AW19,$BD$2:$BD$201,1,$H$2:$H$201,"&lt;"&amp;H19)+COUNTIFS($AW$2:$AW$201,AW19,$BD$2:$BD$201,1,$H$2:$H$201,H19,$AX$2:$AX$201,"&lt;"&amp;AX19)=0,1,0),0)</f>
        <v>0</v>
      </c>
      <c r="BF19" s="23" t="n">
        <f aca="false">IF(AND(AY19=1,O19&lt;&gt;"Y",MAX(N(R19),N(V19))&gt;=Config!$B$14),1,0)</f>
        <v>0</v>
      </c>
      <c r="BG19" s="23" t="n">
        <f aca="false">IF(BF19=1,IF(COUNTIFS($AW$2:$AW$201,AW19,$BF$2:$BF$201,1,$H$2:$H$201,"&lt;"&amp;H19)+COUNTIFS($AW$2:$AW$201,AW19,$BF$2:$BF$201,1,$H$2:$H$201,H19,$AX$2:$AX$201,"&lt;"&amp;AX19)=0,1,0),0)</f>
        <v>0</v>
      </c>
      <c r="BH19" s="23" t="n">
        <f aca="false">IF(AND(AY19=1,ISNUMBER(R19)),1,0)</f>
        <v>0</v>
      </c>
      <c r="BI19" s="23" t="n">
        <f aca="false">IF(BH19=1,IF(COUNTIFS($AW$2:$AW$201,AW19,$BH$2:$BH$201,1,$H$2:$H$201,"&lt;"&amp;H19)+COUNTIFS($AW$2:$AW$201,AW19,$BH$2:$BH$201,1,$H$2:$H$201,H19,$AX$2:$AX$201,"&lt;"&amp;AX19)=0,1,0),0)</f>
        <v>0</v>
      </c>
      <c r="BJ19" s="23" t="str">
        <f aca="false">IF(AND(BI19=1,INT(N(H19))&lt;=Config!$B$6),R19,"")</f>
        <v/>
      </c>
      <c r="BK19" s="23" t="str">
        <f aca="false">IF(AND(BI19=1,INT(N(H19))&lt;=Config!$B$7),R19,"")</f>
        <v/>
      </c>
      <c r="BL19" s="23" t="str">
        <f aca="false">IF(AND(BI19=1,INT(N(H19))&lt;=Config!$B$8),R19,"")</f>
        <v/>
      </c>
      <c r="BM19" s="23" t="str">
        <f aca="false">IF(AND(BI19=1,INT(N(H19))&lt;=Config!$B$5),R19,"")</f>
        <v/>
      </c>
      <c r="BN19" s="23" t="n">
        <f aca="false">IF(AND(AY19=1,ISNUMBER(V19)),1,0)</f>
        <v>0</v>
      </c>
      <c r="BO19" s="23" t="n">
        <f aca="false">IF(BN19=1,IF(COUNTIFS($AW$2:$AW$201,AW19,$BN$2:$BN$201,1,$H$2:$H$201,"&lt;"&amp;H19)+COUNTIFS($AW$2:$AW$201,AW19,$BN$2:$BN$201,1,$H$2:$H$201,H19,$AX$2:$AX$201,"&lt;"&amp;AX19)=0,1,0),0)</f>
        <v>0</v>
      </c>
      <c r="BP19" s="23" t="str">
        <f aca="false">IF(AND(BO19=1,INT(N(H19))&lt;=Config!$B$6),V19,"")</f>
        <v/>
      </c>
      <c r="BQ19" s="23" t="str">
        <f aca="false">IF(AND(BO19=1,INT(N(H19))&lt;=Config!$B$7),V19,"")</f>
        <v/>
      </c>
      <c r="BR19" s="23" t="str">
        <f aca="false">IF(AND(BO19=1,INT(N(H19))&lt;=Config!$B$8),V19,"")</f>
        <v/>
      </c>
      <c r="BS19" s="23" t="str">
        <f aca="false">IF(AND(BO19=1,INT(N(H19))&lt;=Config!$B$5),V19,"")</f>
        <v/>
      </c>
      <c r="BT19" s="23" t="n">
        <f aca="false">IF(AND(AY19=1,ISNUMBER(K19)),1,0)</f>
        <v>0</v>
      </c>
      <c r="BU19" s="23" t="n">
        <f aca="false">IF(BT19=1,IF(COUNTIFS($AW$2:$AW$201,AW19,$BT$2:$BT$201,1,$H$2:$H$201,"&lt;"&amp;H19)+COUNTIFS($AW$2:$AW$201,AW19,$BT$2:$BT$201,1,$H$2:$H$201,H19,$AX$2:$AX$201,"&lt;"&amp;AX19)=0,1,0),0)</f>
        <v>0</v>
      </c>
      <c r="BV19" s="23" t="str">
        <f aca="false">IF(AND(BU19=1,INT(N(H19))&lt;=Config!$B$5),K19,"")</f>
        <v/>
      </c>
      <c r="BW19" s="23" t="n">
        <f aca="false">IF(AND(AY19=1,OR(AND(ISNUMBER(R19),TRIM(S19)=""),AND(ISNUMBER(V19),TRIM(W19)=""))),1,0)</f>
        <v>0</v>
      </c>
      <c r="BX19" s="23" t="str">
        <f aca="false">IF(AY19=1,AJ19&amp;"","")</f>
        <v/>
      </c>
      <c r="BY19" s="23" t="str">
        <f aca="false">IF(AY19=1,AK19&amp;"","")</f>
        <v/>
      </c>
      <c r="BZ19" s="23" t="str">
        <f aca="false">IF(AY19=1,AL19&amp;"","")</f>
        <v/>
      </c>
      <c r="CA19" s="23" t="str">
        <f aca="false">IF(AND(AY19=1,ISNUMBER(AS19),INT(N(H19))&lt;=Config!$B$5),AS19,"")</f>
        <v/>
      </c>
      <c r="CB19" s="23" t="str">
        <f aca="false">IF(AY19=1,IF(COUNTIFS($A$2:$A$201,$A19,$CU$2:$CU$201,1,$AN$2:$AN$201,"Y")&gt;0,"Y","N"),"")</f>
        <v/>
      </c>
      <c r="CC19" s="23" t="n">
        <f aca="false">IF(AND(AY19=1,AN19="Y"),IF(COUNTIFS($AW$2:$AW$201,AW19,$AN$2:$AN$201,"Y",$AY$2:$AY$201,1,$H$2:$H$201,"&lt;"&amp;H19)+COUNTIFS($AW$2:$AW$201,AW19,$AN$2:$AN$201,"Y",$AY$2:$AY$201,1,$H$2:$H$201,H19,$AX$2:$AX$201,"&lt;"&amp;AX19)=0,1,0),0)</f>
        <v>0</v>
      </c>
      <c r="CD19" s="23" t="n">
        <f aca="false">IF(AND(AY19=1,AB19="Y",AC19="Y",AD19="Y",AE19="Y",AF19="Y",AG19="Y",AI19="Y",TRIM(AH19)&lt;&gt;""),1,0)</f>
        <v>0</v>
      </c>
      <c r="CE19" s="23" t="n">
        <f aca="false">IF(CD19=1,IF(COUNTIFS($AW$2:$AW$201,AW19,$CD$2:$CD$201,1,$H$2:$H$201,"&lt;"&amp;H19)+COUNTIFS($AW$2:$AW$201,AW19,$CD$2:$CD$201,1,$H$2:$H$201,H19,$AX$2:$AX$201,"&lt;"&amp;AX19)=0,1,0),0)</f>
        <v>0</v>
      </c>
      <c r="CF19" s="23" t="n">
        <f aca="false">IF(AND(AY19=1,AO19="Y"),1,0)</f>
        <v>0</v>
      </c>
      <c r="CG19" s="23" t="n">
        <f aca="false">IF(CF19=1,IF(COUNTIFS($AW$2:$AW$201,AW19,$CF$2:$CF$201,1,$H$2:$H$201,"&lt;"&amp;H19)+COUNTIFS($AW$2:$AW$201,AW19,$CF$2:$CF$201,1,$H$2:$H$201,H19,$AX$2:$AX$201,"&lt;"&amp;AX19)=0,1,0),0)</f>
        <v>0</v>
      </c>
      <c r="CH19" s="23" t="n">
        <f aca="false">IF(AND(AY19=1,P19="Y"),1,0)</f>
        <v>0</v>
      </c>
      <c r="CI19" s="23" t="n">
        <f aca="false">IF(CH19=1,IF(COUNTIFS($AW$2:$AW$201,AW19,$CH$2:$CH$201,1,$H$2:$H$201,"&lt;"&amp;H19)+COUNTIFS($AW$2:$AW$201,AW19,$CH$2:$CH$201,1,$H$2:$H$201,H19,$AX$2:$AX$201,"&lt;"&amp;AX19)=0,1,0),0)</f>
        <v>0</v>
      </c>
      <c r="CJ19" s="23" t="str">
        <f aca="false">IF(AND(BU19=1,INT(N(H19))&lt;=Config!$B$5),L19,"")</f>
        <v/>
      </c>
      <c r="CK19" s="23" t="n">
        <f aca="false">IF(AND(AY19=1,AR19="Y"),1,0)</f>
        <v>0</v>
      </c>
      <c r="CL19" s="23" t="n">
        <f aca="false">IF(CK19=1,IF(COUNTIFS($AW$2:$AW$201,AW19,$CK$2:$CK$201,1,$H$2:$H$201,"&lt;"&amp;H19)+COUNTIFS($AW$2:$AW$201,AW19,$CK$2:$CK$201,1,$H$2:$H$201,H19,$AX$2:$AX$201,"&lt;"&amp;AX19)=0,1,0),0)</f>
        <v>0</v>
      </c>
      <c r="CM19" s="23" t="str">
        <f aca="false">IF(AY19=1,IFERROR(MATCH($A19,INDEX(Clay_Brands!$A$2:$FZ$601,0,Sync!$D$5),0),""),"")</f>
        <v/>
      </c>
      <c r="CN19" s="23" t="str">
        <f aca="false">IF(CM19="","",IFERROR(INDEX(Clay_Brands!$A$2:$FZ$601,CM19,Sync!$D$7)&amp;"",""))</f>
        <v/>
      </c>
      <c r="CO19" s="23" t="str">
        <f aca="false">IF(CN19="","",IFERROR(INDEX(Lists!$K$2:$K$15,MATCH(CN19,Lists!$J$2:$J$15,0)),""))</f>
        <v/>
      </c>
      <c r="CP19" s="23" t="str">
        <f aca="false">IF(CM19="","",IFERROR(INDEX(Clay_Brands!$A$2:$FZ$601,CM19,Sync!$D$17)&amp;"",""))</f>
        <v/>
      </c>
      <c r="CQ19" s="35" t="str">
        <f aca="false">IF(CM19="","",IFERROR(N(INDEX(Clay_Brands!$A$2:$FZ$601,CM19,Sync!$D$16)),0))</f>
        <v/>
      </c>
      <c r="CR19" s="23" t="n">
        <f aca="false">IF(AND(AY19=1,OR(O19="N",AND(OR(ISNUMBER(R19),ISNUMBER(V19)),MAX(N(R19),N(V19))&lt;Config!$B$14))),1,0)</f>
        <v>0</v>
      </c>
      <c r="CS19" s="23" t="n">
        <f aca="false">IF(OR(BB19=1,CR19=1),1,0)</f>
        <v>0</v>
      </c>
      <c r="CT19" s="23" t="n">
        <f aca="false">IF(AND(AY19=1,OR(AN19="Y",AN19="N",AN19="maybe")),1,0)</f>
        <v>0</v>
      </c>
      <c r="CU19" s="23" t="n">
        <f aca="false">IF(AND(CT19=1),IF(COUNTIFS($A$2:$A$201,$A19,$CT$2:$CT$201,1,$H$2:$H$201,"&gt;"&amp;H19)+COUNTIFS($A$2:$A$201,$A19,$CT$2:$CT$201,1,$H$2:$H$201,H19,$AX$2:$AX$201,"&gt;"&amp;AX19)=0,1,0),0)</f>
        <v>0</v>
      </c>
      <c r="CV19" s="23" t="n">
        <f aca="false">IF(AND(CS19=1,INT(N(H19))&lt;=Config!$B$6),IF(COUNTIFS($AW$2:$AW$201,AW19,$CS$2:$CS$201,1,$H$2:$H$201,"&gt;"&amp;H19,$H$2:$H$201,"&lt;"&amp;(Config!$B$6+1))+COUNTIFS($AW$2:$AW$201,AW19,$CS$2:$CS$201,1,$H$2:$H$201,H19,$AX$2:$AX$201,"&gt;"&amp;AX19)=0,1,0),0)</f>
        <v>0</v>
      </c>
      <c r="CW19" s="23" t="n">
        <f aca="false">IF(AND(CS19=1,INT(N(H19))&lt;=Config!$B$7),IF(COUNTIFS($AW$2:$AW$201,AW19,$CS$2:$CS$201,1,$H$2:$H$201,"&gt;"&amp;H19,$H$2:$H$201,"&lt;"&amp;(Config!$B$7+1))+COUNTIFS($AW$2:$AW$201,AW19,$CS$2:$CS$201,1,$H$2:$H$201,H19,$AX$2:$AX$201,"&gt;"&amp;AX19)=0,1,0),0)</f>
        <v>0</v>
      </c>
      <c r="CX19" s="23" t="n">
        <f aca="false">IF(AND(CS19=1,INT(N(H19))&lt;=Config!$B$8),IF(COUNTIFS($AW$2:$AW$201,AW19,$CS$2:$CS$201,1,$H$2:$H$201,"&gt;"&amp;H19,$H$2:$H$201,"&lt;"&amp;(Config!$B$8+1))+COUNTIFS($AW$2:$AW$201,AW19,$CS$2:$CS$201,1,$H$2:$H$201,H19,$AX$2:$AX$201,"&gt;"&amp;AX19)=0,1,0),0)</f>
        <v>0</v>
      </c>
      <c r="CY19" s="23" t="n">
        <f aca="false">IF(AND(CS19=1,INT(N(H19))&lt;=Config!$B$5),IF(COUNTIFS($AW$2:$AW$201,AW19,$CS$2:$CS$201,1,$H$2:$H$201,"&gt;"&amp;H19,$H$2:$H$201,"&lt;"&amp;(Config!$B$5+1))+COUNTIFS($AW$2:$AW$201,AW19,$CS$2:$CS$201,1,$H$2:$H$201,H19,$AX$2:$AX$201,"&gt;"&amp;AX19)=0,1,0),0)</f>
        <v>0</v>
      </c>
      <c r="CZ19" s="23" t="n">
        <f aca="false">IF(AY19=1,IF(COUNTIFS($AW$2:$AW$201,AW19,$CV$2:$CV$201,1,$BB$2:$BB$201,1)&gt;0,1,0),0)</f>
        <v>0</v>
      </c>
      <c r="DA19" s="23" t="n">
        <f aca="false">IF(AY19=1,IF(COUNTIFS($AW$2:$AW$201,AW19,$CW$2:$CW$201,1,$BB$2:$BB$201,1)&gt;0,1,0),0)</f>
        <v>0</v>
      </c>
      <c r="DB19" s="23" t="n">
        <f aca="false">IF(AY19=1,IF(COUNTIFS($AW$2:$AW$201,AW19,$CX$2:$CX$201,1,$BB$2:$BB$201,1)&gt;0,1,0),0)</f>
        <v>0</v>
      </c>
      <c r="DC19" s="23" t="n">
        <f aca="false">IF(AY19=1,IF(COUNTIFS($AW$2:$AW$201,AW19,$CY$2:$CY$201,1,$BB$2:$BB$201,1)&gt;0,1,0),0)</f>
        <v>0</v>
      </c>
      <c r="DD19" s="23" t="n">
        <f aca="false">IF(AND(BC19=1,INT(N(H19))&lt;=Config!$B$6,CZ19=1),1,0)</f>
        <v>0</v>
      </c>
      <c r="DE19" s="23" t="n">
        <f aca="false">IF(AND(BC19=1,INT(N(H19))&lt;=Config!$B$7,DA19=1),1,0)</f>
        <v>0</v>
      </c>
      <c r="DF19" s="23" t="n">
        <f aca="false">IF(AND(BC19=1,INT(N(H19))&lt;=Config!$B$8,DB19=1),1,0)</f>
        <v>0</v>
      </c>
      <c r="DG19" s="23" t="n">
        <f aca="false">IF(AND(BC19=1,INT(N(H19))&lt;=Config!$B$5,DC19=1),1,0)</f>
        <v>0</v>
      </c>
      <c r="DH19" s="23" t="n">
        <f aca="false">IF(AND(BE19=1,INT(N(H19))&lt;=Config!$B$6,CZ19=1),1,0)</f>
        <v>0</v>
      </c>
      <c r="DI19" s="23" t="n">
        <f aca="false">IF(AND(BE19=1,INT(N(H19))&lt;=Config!$B$7,DA19=1),1,0)</f>
        <v>0</v>
      </c>
      <c r="DJ19" s="23" t="n">
        <f aca="false">IF(AND(BE19=1,INT(N(H19))&lt;=Config!$B$8,DB19=1),1,0)</f>
        <v>0</v>
      </c>
      <c r="DK19" s="23" t="n">
        <f aca="false">IF(AND(BE19=1,INT(N(H19))&lt;=Config!$B$5,DC19=1),1,0)</f>
        <v>0</v>
      </c>
      <c r="DL19" s="23" t="n">
        <f aca="false">IF(AND(BC19=1,INT(N(H19))&lt;=Config!$B$6,CZ19=0),1,0)</f>
        <v>0</v>
      </c>
      <c r="DM19" s="23" t="n">
        <f aca="false">IF(AND(BC19=1,INT(N(H19))&lt;=Config!$B$7,DA19=0),1,0)</f>
        <v>0</v>
      </c>
      <c r="DN19" s="23" t="n">
        <f aca="false">IF(AND(BC19=1,INT(N(H19))&lt;=Config!$B$8,DB19=0),1,0)</f>
        <v>0</v>
      </c>
      <c r="DO19" s="23" t="n">
        <f aca="false">IF(AND(BC19=1,INT(N(H19))&lt;=Config!$B$5,DC19=0),1,0)</f>
        <v>0</v>
      </c>
      <c r="DP19" s="23" t="n">
        <f aca="false">IF(TRIM($A19)="",0,ISTEXT(K19)+ISTEXT(L19)+ISTEXT(R19)+ISTEXT(V19)+ISTEXT(AP19)+ISTEXT(AS19))</f>
        <v>0</v>
      </c>
      <c r="DQ19" s="23" t="n">
        <f aca="false">IF(AY19=1,IF(H19&lt;&gt;INT(H19),1,0),0)</f>
        <v>0</v>
      </c>
      <c r="DR19" s="23" t="str">
        <f aca="false">IF(TRIM($A19)="","",IF(TRIM(B19)="",SUBSTITUTE(SUBSTITUTE(SUBSTITUTE(SUBSTITUTE(SUBSTITUTE(SUBSTITUTE(LOWER(TRIM($A19)),"~",""),"*",""),"?",""),"&lt;",""),"&gt;",""),"=",""),SUBSTITUTE(SUBSTITUTE(SUBSTITUTE(SUBSTITUTE(SUBSTITUTE(SUBSTITUTE(LOWER(TRIM(B19)),"~",""),"*",""),"?",""),"&lt;",""),"&gt;",""),"=","")))</f>
        <v/>
      </c>
      <c r="DS19" s="23" t="str">
        <f aca="false">IF(CM19="","",IFERROR(IF(LEFT(LOWER(TRIM(INDEX(Clay_Brands!$A$2:$FZ$601,CM19,Sync!$D$19)&amp;"")),4)="grp-",SUBSTITUTE(SUBSTITUTE(SUBSTITUTE(SUBSTITUTE(SUBSTITUTE(SUBSTITUTE(LOWER(TRIM(INDEX(Clay_Brands!$A$2:$FZ$601,CM19,Sync!$D$19)&amp;"")),"~",""),"*",""),"?",""),"&lt;",""),"&gt;",""),"=",""),""),""))</f>
        <v/>
      </c>
      <c r="DT19" s="23" t="str">
        <f aca="false">IF(DS19&lt;&gt;"",DR19,"")</f>
        <v/>
      </c>
      <c r="DU19" s="23" t="str">
        <f aca="false">IF(AZ19=1,AW19,"")</f>
        <v/>
      </c>
      <c r="DV19" s="23" t="str">
        <f aca="false">IF(TRIM($A19)="","",IFERROR(INDEX($A$2:$A$201,MATCH(AW19,$DU$2:$DU$201,0))&amp;"",$A19&amp;""))</f>
        <v/>
      </c>
      <c r="DW19" s="23" t="n">
        <f aca="false">IF(AY19=1,IF(COUNTIFS($A$2:$A$201,$A19,$AY$2:$AY$201,1,$H$2:$H$201,"&lt;"&amp;H19)+COUNTIFS($A$2:$A$201,$A19,$AY$2:$AY$201,1,$H$2:$H$201,H19,$AX$2:$AX$201,"&lt;"&amp;AX19)=0,1,0),0)</f>
        <v>0</v>
      </c>
      <c r="DX19" s="23" t="n">
        <f aca="false">IF(AZ19=1,IF(COUNTIFS($AW$2:$AW$201,AW19,$DW$2:$DW$201,1)&gt;1,1,0),0)</f>
        <v>0</v>
      </c>
    </row>
    <row r="20" customFormat="false" ht="15" hidden="false" customHeight="false" outlineLevel="0" collapsed="false">
      <c r="G20" s="32"/>
      <c r="H20" s="33"/>
      <c r="I20" s="32"/>
      <c r="O20" s="32"/>
      <c r="P20" s="32"/>
      <c r="U20" s="32"/>
      <c r="Y20" s="32"/>
      <c r="AB20" s="32"/>
      <c r="AC20" s="32"/>
      <c r="AD20" s="32"/>
      <c r="AE20" s="32"/>
      <c r="AF20" s="32"/>
      <c r="AG20" s="32"/>
      <c r="AI20" s="32"/>
      <c r="AJ20" s="32"/>
      <c r="AK20" s="32"/>
      <c r="AN20" s="32"/>
      <c r="AO20" s="32"/>
      <c r="AR20" s="32"/>
      <c r="AT20" s="32"/>
      <c r="AV20" s="34" t="str">
        <f aca="false">IF(TRIM($A20)="","",IF(AND(LEFT($A20,6)="SAMPLE",Config!$B$19&lt;&gt;"Y"),"",IF(NOT(ISNUMBER(H20)),"call_date is blank or not a date",IF(Sync!$D$5="","Clay paste is empty or has no row_id column: paste the Clay export on Clay_Brands",IF(CM20="","row_id not found in the Clay paste: add the Clay row or fix the row_id",IF(AND(ISNUMBER(CO20),CO20&gt;=1,CO20&lt;=5),"Clay status is "&amp;CN20&amp;": set call_done or later",IF(AND(BA20=1,CP20&lt;&gt;CB20),"Clay yes_in_principle should be "&amp;CB20,IF(AND(BA20=1,CQ20&lt;&gt;H20),"Clay call_date should be "&amp;TEXT(H20,"yyyy-mm-dd"),""))))))))</f>
        <v/>
      </c>
      <c r="AW20" s="23" t="str">
        <f aca="false">IF(TRIM($A20)="","",IF(TRIM(C20)&lt;&gt;"",SUBSTITUTE(SUBSTITUTE(SUBSTITUTE(SUBSTITUTE(SUBSTITUTE(SUBSTITUTE(LOWER(TRIM(C20)),"~",""),"*",""),"?",""),"&lt;",""),"&gt;",""),"=",""),IF(DS20&lt;&gt;"",DS20,IFERROR(INDEX($DS$2:$DS$201,MATCH(DR20,$DT$2:$DT$201,0)),DR20))))</f>
        <v/>
      </c>
      <c r="AX20" s="23" t="n">
        <f aca="false">ROW()</f>
        <v>20</v>
      </c>
      <c r="AY20" s="23" t="n">
        <f aca="false">IF(AND(TRIM($A20)&lt;&gt;"",ISNUMBER(H20)),IF(AND(LEFT($A20,6)="SAMPLE",Config!$B$19&lt;&gt;"Y"),0,1),0)</f>
        <v>0</v>
      </c>
      <c r="AZ20" s="23" t="n">
        <f aca="false">IF(AY20=1,IF(COUNTIFS($AW$2:$AW$201,AW20,$AY$2:$AY$201,1,$H$2:$H$201,"&lt;"&amp;H20)+COUNTIFS($AW$2:$AW$201,AW20,$AY$2:$AY$201,1,$H$2:$H$201,H20,$AX$2:$AX$201,"&lt;"&amp;AX20)=0,1,0),0)</f>
        <v>0</v>
      </c>
      <c r="BA20" s="23" t="n">
        <f aca="false">IF(AY20=1,IF(COUNTIFS($A$2:$A$201,$A20,$AY$2:$AY$201,1,$H$2:$H$201,"&gt;"&amp;H20)+COUNTIFS($A$2:$A$201,$A20,$AY$2:$AY$201,1,$H$2:$H$201,H20,$AX$2:$AX$201,"&gt;"&amp;AX20)=0,1,0),0)</f>
        <v>0</v>
      </c>
      <c r="BB20" s="23" t="n">
        <f aca="false">IF(AND(AY20=1,O20="Y",MAX(N(R20),N(V20))&gt;=Config!$B$14),1,0)</f>
        <v>0</v>
      </c>
      <c r="BC20" s="23" t="n">
        <f aca="false">IF(BB20=1,IF(COUNTIFS($AW$2:$AW$201,AW20,$BB$2:$BB$201,1,$H$2:$H$201,"&lt;"&amp;H20)+COUNTIFS($AW$2:$AW$201,AW20,$BB$2:$BB$201,1,$H$2:$H$201,H20,$AX$2:$AX$201,"&lt;"&amp;AX20)=0,1,0),0)</f>
        <v>0</v>
      </c>
      <c r="BD20" s="23" t="n">
        <f aca="false">IF(AND(AY20=1,O20="Y",ISNUMBER(R20)),IF(R20&gt;=Config!$B$14,1,0),0)</f>
        <v>0</v>
      </c>
      <c r="BE20" s="23" t="n">
        <f aca="false">IF(BD20=1,IF(COUNTIFS($AW$2:$AW$201,AW20,$BD$2:$BD$201,1,$H$2:$H$201,"&lt;"&amp;H20)+COUNTIFS($AW$2:$AW$201,AW20,$BD$2:$BD$201,1,$H$2:$H$201,H20,$AX$2:$AX$201,"&lt;"&amp;AX20)=0,1,0),0)</f>
        <v>0</v>
      </c>
      <c r="BF20" s="23" t="n">
        <f aca="false">IF(AND(AY20=1,O20&lt;&gt;"Y",MAX(N(R20),N(V20))&gt;=Config!$B$14),1,0)</f>
        <v>0</v>
      </c>
      <c r="BG20" s="23" t="n">
        <f aca="false">IF(BF20=1,IF(COUNTIFS($AW$2:$AW$201,AW20,$BF$2:$BF$201,1,$H$2:$H$201,"&lt;"&amp;H20)+COUNTIFS($AW$2:$AW$201,AW20,$BF$2:$BF$201,1,$H$2:$H$201,H20,$AX$2:$AX$201,"&lt;"&amp;AX20)=0,1,0),0)</f>
        <v>0</v>
      </c>
      <c r="BH20" s="23" t="n">
        <f aca="false">IF(AND(AY20=1,ISNUMBER(R20)),1,0)</f>
        <v>0</v>
      </c>
      <c r="BI20" s="23" t="n">
        <f aca="false">IF(BH20=1,IF(COUNTIFS($AW$2:$AW$201,AW20,$BH$2:$BH$201,1,$H$2:$H$201,"&lt;"&amp;H20)+COUNTIFS($AW$2:$AW$201,AW20,$BH$2:$BH$201,1,$H$2:$H$201,H20,$AX$2:$AX$201,"&lt;"&amp;AX20)=0,1,0),0)</f>
        <v>0</v>
      </c>
      <c r="BJ20" s="23" t="str">
        <f aca="false">IF(AND(BI20=1,INT(N(H20))&lt;=Config!$B$6),R20,"")</f>
        <v/>
      </c>
      <c r="BK20" s="23" t="str">
        <f aca="false">IF(AND(BI20=1,INT(N(H20))&lt;=Config!$B$7),R20,"")</f>
        <v/>
      </c>
      <c r="BL20" s="23" t="str">
        <f aca="false">IF(AND(BI20=1,INT(N(H20))&lt;=Config!$B$8),R20,"")</f>
        <v/>
      </c>
      <c r="BM20" s="23" t="str">
        <f aca="false">IF(AND(BI20=1,INT(N(H20))&lt;=Config!$B$5),R20,"")</f>
        <v/>
      </c>
      <c r="BN20" s="23" t="n">
        <f aca="false">IF(AND(AY20=1,ISNUMBER(V20)),1,0)</f>
        <v>0</v>
      </c>
      <c r="BO20" s="23" t="n">
        <f aca="false">IF(BN20=1,IF(COUNTIFS($AW$2:$AW$201,AW20,$BN$2:$BN$201,1,$H$2:$H$201,"&lt;"&amp;H20)+COUNTIFS($AW$2:$AW$201,AW20,$BN$2:$BN$201,1,$H$2:$H$201,H20,$AX$2:$AX$201,"&lt;"&amp;AX20)=0,1,0),0)</f>
        <v>0</v>
      </c>
      <c r="BP20" s="23" t="str">
        <f aca="false">IF(AND(BO20=1,INT(N(H20))&lt;=Config!$B$6),V20,"")</f>
        <v/>
      </c>
      <c r="BQ20" s="23" t="str">
        <f aca="false">IF(AND(BO20=1,INT(N(H20))&lt;=Config!$B$7),V20,"")</f>
        <v/>
      </c>
      <c r="BR20" s="23" t="str">
        <f aca="false">IF(AND(BO20=1,INT(N(H20))&lt;=Config!$B$8),V20,"")</f>
        <v/>
      </c>
      <c r="BS20" s="23" t="str">
        <f aca="false">IF(AND(BO20=1,INT(N(H20))&lt;=Config!$B$5),V20,"")</f>
        <v/>
      </c>
      <c r="BT20" s="23" t="n">
        <f aca="false">IF(AND(AY20=1,ISNUMBER(K20)),1,0)</f>
        <v>0</v>
      </c>
      <c r="BU20" s="23" t="n">
        <f aca="false">IF(BT20=1,IF(COUNTIFS($AW$2:$AW$201,AW20,$BT$2:$BT$201,1,$H$2:$H$201,"&lt;"&amp;H20)+COUNTIFS($AW$2:$AW$201,AW20,$BT$2:$BT$201,1,$H$2:$H$201,H20,$AX$2:$AX$201,"&lt;"&amp;AX20)=0,1,0),0)</f>
        <v>0</v>
      </c>
      <c r="BV20" s="23" t="str">
        <f aca="false">IF(AND(BU20=1,INT(N(H20))&lt;=Config!$B$5),K20,"")</f>
        <v/>
      </c>
      <c r="BW20" s="23" t="n">
        <f aca="false">IF(AND(AY20=1,OR(AND(ISNUMBER(R20),TRIM(S20)=""),AND(ISNUMBER(V20),TRIM(W20)=""))),1,0)</f>
        <v>0</v>
      </c>
      <c r="BX20" s="23" t="str">
        <f aca="false">IF(AY20=1,AJ20&amp;"","")</f>
        <v/>
      </c>
      <c r="BY20" s="23" t="str">
        <f aca="false">IF(AY20=1,AK20&amp;"","")</f>
        <v/>
      </c>
      <c r="BZ20" s="23" t="str">
        <f aca="false">IF(AY20=1,AL20&amp;"","")</f>
        <v/>
      </c>
      <c r="CA20" s="23" t="str">
        <f aca="false">IF(AND(AY20=1,ISNUMBER(AS20),INT(N(H20))&lt;=Config!$B$5),AS20,"")</f>
        <v/>
      </c>
      <c r="CB20" s="23" t="str">
        <f aca="false">IF(AY20=1,IF(COUNTIFS($A$2:$A$201,$A20,$CU$2:$CU$201,1,$AN$2:$AN$201,"Y")&gt;0,"Y","N"),"")</f>
        <v/>
      </c>
      <c r="CC20" s="23" t="n">
        <f aca="false">IF(AND(AY20=1,AN20="Y"),IF(COUNTIFS($AW$2:$AW$201,AW20,$AN$2:$AN$201,"Y",$AY$2:$AY$201,1,$H$2:$H$201,"&lt;"&amp;H20)+COUNTIFS($AW$2:$AW$201,AW20,$AN$2:$AN$201,"Y",$AY$2:$AY$201,1,$H$2:$H$201,H20,$AX$2:$AX$201,"&lt;"&amp;AX20)=0,1,0),0)</f>
        <v>0</v>
      </c>
      <c r="CD20" s="23" t="n">
        <f aca="false">IF(AND(AY20=1,AB20="Y",AC20="Y",AD20="Y",AE20="Y",AF20="Y",AG20="Y",AI20="Y",TRIM(AH20)&lt;&gt;""),1,0)</f>
        <v>0</v>
      </c>
      <c r="CE20" s="23" t="n">
        <f aca="false">IF(CD20=1,IF(COUNTIFS($AW$2:$AW$201,AW20,$CD$2:$CD$201,1,$H$2:$H$201,"&lt;"&amp;H20)+COUNTIFS($AW$2:$AW$201,AW20,$CD$2:$CD$201,1,$H$2:$H$201,H20,$AX$2:$AX$201,"&lt;"&amp;AX20)=0,1,0),0)</f>
        <v>0</v>
      </c>
      <c r="CF20" s="23" t="n">
        <f aca="false">IF(AND(AY20=1,AO20="Y"),1,0)</f>
        <v>0</v>
      </c>
      <c r="CG20" s="23" t="n">
        <f aca="false">IF(CF20=1,IF(COUNTIFS($AW$2:$AW$201,AW20,$CF$2:$CF$201,1,$H$2:$H$201,"&lt;"&amp;H20)+COUNTIFS($AW$2:$AW$201,AW20,$CF$2:$CF$201,1,$H$2:$H$201,H20,$AX$2:$AX$201,"&lt;"&amp;AX20)=0,1,0),0)</f>
        <v>0</v>
      </c>
      <c r="CH20" s="23" t="n">
        <f aca="false">IF(AND(AY20=1,P20="Y"),1,0)</f>
        <v>0</v>
      </c>
      <c r="CI20" s="23" t="n">
        <f aca="false">IF(CH20=1,IF(COUNTIFS($AW$2:$AW$201,AW20,$CH$2:$CH$201,1,$H$2:$H$201,"&lt;"&amp;H20)+COUNTIFS($AW$2:$AW$201,AW20,$CH$2:$CH$201,1,$H$2:$H$201,H20,$AX$2:$AX$201,"&lt;"&amp;AX20)=0,1,0),0)</f>
        <v>0</v>
      </c>
      <c r="CJ20" s="23" t="str">
        <f aca="false">IF(AND(BU20=1,INT(N(H20))&lt;=Config!$B$5),L20,"")</f>
        <v/>
      </c>
      <c r="CK20" s="23" t="n">
        <f aca="false">IF(AND(AY20=1,AR20="Y"),1,0)</f>
        <v>0</v>
      </c>
      <c r="CL20" s="23" t="n">
        <f aca="false">IF(CK20=1,IF(COUNTIFS($AW$2:$AW$201,AW20,$CK$2:$CK$201,1,$H$2:$H$201,"&lt;"&amp;H20)+COUNTIFS($AW$2:$AW$201,AW20,$CK$2:$CK$201,1,$H$2:$H$201,H20,$AX$2:$AX$201,"&lt;"&amp;AX20)=0,1,0),0)</f>
        <v>0</v>
      </c>
      <c r="CM20" s="23" t="str">
        <f aca="false">IF(AY20=1,IFERROR(MATCH($A20,INDEX(Clay_Brands!$A$2:$FZ$601,0,Sync!$D$5),0),""),"")</f>
        <v/>
      </c>
      <c r="CN20" s="23" t="str">
        <f aca="false">IF(CM20="","",IFERROR(INDEX(Clay_Brands!$A$2:$FZ$601,CM20,Sync!$D$7)&amp;"",""))</f>
        <v/>
      </c>
      <c r="CO20" s="23" t="str">
        <f aca="false">IF(CN20="","",IFERROR(INDEX(Lists!$K$2:$K$15,MATCH(CN20,Lists!$J$2:$J$15,0)),""))</f>
        <v/>
      </c>
      <c r="CP20" s="23" t="str">
        <f aca="false">IF(CM20="","",IFERROR(INDEX(Clay_Brands!$A$2:$FZ$601,CM20,Sync!$D$17)&amp;"",""))</f>
        <v/>
      </c>
      <c r="CQ20" s="35" t="str">
        <f aca="false">IF(CM20="","",IFERROR(N(INDEX(Clay_Brands!$A$2:$FZ$601,CM20,Sync!$D$16)),0))</f>
        <v/>
      </c>
      <c r="CR20" s="23" t="n">
        <f aca="false">IF(AND(AY20=1,OR(O20="N",AND(OR(ISNUMBER(R20),ISNUMBER(V20)),MAX(N(R20),N(V20))&lt;Config!$B$14))),1,0)</f>
        <v>0</v>
      </c>
      <c r="CS20" s="23" t="n">
        <f aca="false">IF(OR(BB20=1,CR20=1),1,0)</f>
        <v>0</v>
      </c>
      <c r="CT20" s="23" t="n">
        <f aca="false">IF(AND(AY20=1,OR(AN20="Y",AN20="N",AN20="maybe")),1,0)</f>
        <v>0</v>
      </c>
      <c r="CU20" s="23" t="n">
        <f aca="false">IF(AND(CT20=1),IF(COUNTIFS($A$2:$A$201,$A20,$CT$2:$CT$201,1,$H$2:$H$201,"&gt;"&amp;H20)+COUNTIFS($A$2:$A$201,$A20,$CT$2:$CT$201,1,$H$2:$H$201,H20,$AX$2:$AX$201,"&gt;"&amp;AX20)=0,1,0),0)</f>
        <v>0</v>
      </c>
      <c r="CV20" s="23" t="n">
        <f aca="false">IF(AND(CS20=1,INT(N(H20))&lt;=Config!$B$6),IF(COUNTIFS($AW$2:$AW$201,AW20,$CS$2:$CS$201,1,$H$2:$H$201,"&gt;"&amp;H20,$H$2:$H$201,"&lt;"&amp;(Config!$B$6+1))+COUNTIFS($AW$2:$AW$201,AW20,$CS$2:$CS$201,1,$H$2:$H$201,H20,$AX$2:$AX$201,"&gt;"&amp;AX20)=0,1,0),0)</f>
        <v>0</v>
      </c>
      <c r="CW20" s="23" t="n">
        <f aca="false">IF(AND(CS20=1,INT(N(H20))&lt;=Config!$B$7),IF(COUNTIFS($AW$2:$AW$201,AW20,$CS$2:$CS$201,1,$H$2:$H$201,"&gt;"&amp;H20,$H$2:$H$201,"&lt;"&amp;(Config!$B$7+1))+COUNTIFS($AW$2:$AW$201,AW20,$CS$2:$CS$201,1,$H$2:$H$201,H20,$AX$2:$AX$201,"&gt;"&amp;AX20)=0,1,0),0)</f>
        <v>0</v>
      </c>
      <c r="CX20" s="23" t="n">
        <f aca="false">IF(AND(CS20=1,INT(N(H20))&lt;=Config!$B$8),IF(COUNTIFS($AW$2:$AW$201,AW20,$CS$2:$CS$201,1,$H$2:$H$201,"&gt;"&amp;H20,$H$2:$H$201,"&lt;"&amp;(Config!$B$8+1))+COUNTIFS($AW$2:$AW$201,AW20,$CS$2:$CS$201,1,$H$2:$H$201,H20,$AX$2:$AX$201,"&gt;"&amp;AX20)=0,1,0),0)</f>
        <v>0</v>
      </c>
      <c r="CY20" s="23" t="n">
        <f aca="false">IF(AND(CS20=1,INT(N(H20))&lt;=Config!$B$5),IF(COUNTIFS($AW$2:$AW$201,AW20,$CS$2:$CS$201,1,$H$2:$H$201,"&gt;"&amp;H20,$H$2:$H$201,"&lt;"&amp;(Config!$B$5+1))+COUNTIFS($AW$2:$AW$201,AW20,$CS$2:$CS$201,1,$H$2:$H$201,H20,$AX$2:$AX$201,"&gt;"&amp;AX20)=0,1,0),0)</f>
        <v>0</v>
      </c>
      <c r="CZ20" s="23" t="n">
        <f aca="false">IF(AY20=1,IF(COUNTIFS($AW$2:$AW$201,AW20,$CV$2:$CV$201,1,$BB$2:$BB$201,1)&gt;0,1,0),0)</f>
        <v>0</v>
      </c>
      <c r="DA20" s="23" t="n">
        <f aca="false">IF(AY20=1,IF(COUNTIFS($AW$2:$AW$201,AW20,$CW$2:$CW$201,1,$BB$2:$BB$201,1)&gt;0,1,0),0)</f>
        <v>0</v>
      </c>
      <c r="DB20" s="23" t="n">
        <f aca="false">IF(AY20=1,IF(COUNTIFS($AW$2:$AW$201,AW20,$CX$2:$CX$201,1,$BB$2:$BB$201,1)&gt;0,1,0),0)</f>
        <v>0</v>
      </c>
      <c r="DC20" s="23" t="n">
        <f aca="false">IF(AY20=1,IF(COUNTIFS($AW$2:$AW$201,AW20,$CY$2:$CY$201,1,$BB$2:$BB$201,1)&gt;0,1,0),0)</f>
        <v>0</v>
      </c>
      <c r="DD20" s="23" t="n">
        <f aca="false">IF(AND(BC20=1,INT(N(H20))&lt;=Config!$B$6,CZ20=1),1,0)</f>
        <v>0</v>
      </c>
      <c r="DE20" s="23" t="n">
        <f aca="false">IF(AND(BC20=1,INT(N(H20))&lt;=Config!$B$7,DA20=1),1,0)</f>
        <v>0</v>
      </c>
      <c r="DF20" s="23" t="n">
        <f aca="false">IF(AND(BC20=1,INT(N(H20))&lt;=Config!$B$8,DB20=1),1,0)</f>
        <v>0</v>
      </c>
      <c r="DG20" s="23" t="n">
        <f aca="false">IF(AND(BC20=1,INT(N(H20))&lt;=Config!$B$5,DC20=1),1,0)</f>
        <v>0</v>
      </c>
      <c r="DH20" s="23" t="n">
        <f aca="false">IF(AND(BE20=1,INT(N(H20))&lt;=Config!$B$6,CZ20=1),1,0)</f>
        <v>0</v>
      </c>
      <c r="DI20" s="23" t="n">
        <f aca="false">IF(AND(BE20=1,INT(N(H20))&lt;=Config!$B$7,DA20=1),1,0)</f>
        <v>0</v>
      </c>
      <c r="DJ20" s="23" t="n">
        <f aca="false">IF(AND(BE20=1,INT(N(H20))&lt;=Config!$B$8,DB20=1),1,0)</f>
        <v>0</v>
      </c>
      <c r="DK20" s="23" t="n">
        <f aca="false">IF(AND(BE20=1,INT(N(H20))&lt;=Config!$B$5,DC20=1),1,0)</f>
        <v>0</v>
      </c>
      <c r="DL20" s="23" t="n">
        <f aca="false">IF(AND(BC20=1,INT(N(H20))&lt;=Config!$B$6,CZ20=0),1,0)</f>
        <v>0</v>
      </c>
      <c r="DM20" s="23" t="n">
        <f aca="false">IF(AND(BC20=1,INT(N(H20))&lt;=Config!$B$7,DA20=0),1,0)</f>
        <v>0</v>
      </c>
      <c r="DN20" s="23" t="n">
        <f aca="false">IF(AND(BC20=1,INT(N(H20))&lt;=Config!$B$8,DB20=0),1,0)</f>
        <v>0</v>
      </c>
      <c r="DO20" s="23" t="n">
        <f aca="false">IF(AND(BC20=1,INT(N(H20))&lt;=Config!$B$5,DC20=0),1,0)</f>
        <v>0</v>
      </c>
      <c r="DP20" s="23" t="n">
        <f aca="false">IF(TRIM($A20)="",0,ISTEXT(K20)+ISTEXT(L20)+ISTEXT(R20)+ISTEXT(V20)+ISTEXT(AP20)+ISTEXT(AS20))</f>
        <v>0</v>
      </c>
      <c r="DQ20" s="23" t="n">
        <f aca="false">IF(AY20=1,IF(H20&lt;&gt;INT(H20),1,0),0)</f>
        <v>0</v>
      </c>
      <c r="DR20" s="23" t="str">
        <f aca="false">IF(TRIM($A20)="","",IF(TRIM(B20)="",SUBSTITUTE(SUBSTITUTE(SUBSTITUTE(SUBSTITUTE(SUBSTITUTE(SUBSTITUTE(LOWER(TRIM($A20)),"~",""),"*",""),"?",""),"&lt;",""),"&gt;",""),"=",""),SUBSTITUTE(SUBSTITUTE(SUBSTITUTE(SUBSTITUTE(SUBSTITUTE(SUBSTITUTE(LOWER(TRIM(B20)),"~",""),"*",""),"?",""),"&lt;",""),"&gt;",""),"=","")))</f>
        <v/>
      </c>
      <c r="DS20" s="23" t="str">
        <f aca="false">IF(CM20="","",IFERROR(IF(LEFT(LOWER(TRIM(INDEX(Clay_Brands!$A$2:$FZ$601,CM20,Sync!$D$19)&amp;"")),4)="grp-",SUBSTITUTE(SUBSTITUTE(SUBSTITUTE(SUBSTITUTE(SUBSTITUTE(SUBSTITUTE(LOWER(TRIM(INDEX(Clay_Brands!$A$2:$FZ$601,CM20,Sync!$D$19)&amp;"")),"~",""),"*",""),"?",""),"&lt;",""),"&gt;",""),"=",""),""),""))</f>
        <v/>
      </c>
      <c r="DT20" s="23" t="str">
        <f aca="false">IF(DS20&lt;&gt;"",DR20,"")</f>
        <v/>
      </c>
      <c r="DU20" s="23" t="str">
        <f aca="false">IF(AZ20=1,AW20,"")</f>
        <v/>
      </c>
      <c r="DV20" s="23" t="str">
        <f aca="false">IF(TRIM($A20)="","",IFERROR(INDEX($A$2:$A$201,MATCH(AW20,$DU$2:$DU$201,0))&amp;"",$A20&amp;""))</f>
        <v/>
      </c>
      <c r="DW20" s="23" t="n">
        <f aca="false">IF(AY20=1,IF(COUNTIFS($A$2:$A$201,$A20,$AY$2:$AY$201,1,$H$2:$H$201,"&lt;"&amp;H20)+COUNTIFS($A$2:$A$201,$A20,$AY$2:$AY$201,1,$H$2:$H$201,H20,$AX$2:$AX$201,"&lt;"&amp;AX20)=0,1,0),0)</f>
        <v>0</v>
      </c>
      <c r="DX20" s="23" t="n">
        <f aca="false">IF(AZ20=1,IF(COUNTIFS($AW$2:$AW$201,AW20,$DW$2:$DW$201,1)&gt;1,1,0),0)</f>
        <v>0</v>
      </c>
    </row>
    <row r="21" customFormat="false" ht="15" hidden="false" customHeight="false" outlineLevel="0" collapsed="false">
      <c r="G21" s="32"/>
      <c r="H21" s="33"/>
      <c r="I21" s="32"/>
      <c r="O21" s="32"/>
      <c r="P21" s="32"/>
      <c r="U21" s="32"/>
      <c r="Y21" s="32"/>
      <c r="AB21" s="32"/>
      <c r="AC21" s="32"/>
      <c r="AD21" s="32"/>
      <c r="AE21" s="32"/>
      <c r="AF21" s="32"/>
      <c r="AG21" s="32"/>
      <c r="AI21" s="32"/>
      <c r="AJ21" s="32"/>
      <c r="AK21" s="32"/>
      <c r="AN21" s="32"/>
      <c r="AO21" s="32"/>
      <c r="AR21" s="32"/>
      <c r="AT21" s="32"/>
      <c r="AV21" s="34" t="str">
        <f aca="false">IF(TRIM($A21)="","",IF(AND(LEFT($A21,6)="SAMPLE",Config!$B$19&lt;&gt;"Y"),"",IF(NOT(ISNUMBER(H21)),"call_date is blank or not a date",IF(Sync!$D$5="","Clay paste is empty or has no row_id column: paste the Clay export on Clay_Brands",IF(CM21="","row_id not found in the Clay paste: add the Clay row or fix the row_id",IF(AND(ISNUMBER(CO21),CO21&gt;=1,CO21&lt;=5),"Clay status is "&amp;CN21&amp;": set call_done or later",IF(AND(BA21=1,CP21&lt;&gt;CB21),"Clay yes_in_principle should be "&amp;CB21,IF(AND(BA21=1,CQ21&lt;&gt;H21),"Clay call_date should be "&amp;TEXT(H21,"yyyy-mm-dd"),""))))))))</f>
        <v/>
      </c>
      <c r="AW21" s="23" t="str">
        <f aca="false">IF(TRIM($A21)="","",IF(TRIM(C21)&lt;&gt;"",SUBSTITUTE(SUBSTITUTE(SUBSTITUTE(SUBSTITUTE(SUBSTITUTE(SUBSTITUTE(LOWER(TRIM(C21)),"~",""),"*",""),"?",""),"&lt;",""),"&gt;",""),"=",""),IF(DS21&lt;&gt;"",DS21,IFERROR(INDEX($DS$2:$DS$201,MATCH(DR21,$DT$2:$DT$201,0)),DR21))))</f>
        <v/>
      </c>
      <c r="AX21" s="23" t="n">
        <f aca="false">ROW()</f>
        <v>21</v>
      </c>
      <c r="AY21" s="23" t="n">
        <f aca="false">IF(AND(TRIM($A21)&lt;&gt;"",ISNUMBER(H21)),IF(AND(LEFT($A21,6)="SAMPLE",Config!$B$19&lt;&gt;"Y"),0,1),0)</f>
        <v>0</v>
      </c>
      <c r="AZ21" s="23" t="n">
        <f aca="false">IF(AY21=1,IF(COUNTIFS($AW$2:$AW$201,AW21,$AY$2:$AY$201,1,$H$2:$H$201,"&lt;"&amp;H21)+COUNTIFS($AW$2:$AW$201,AW21,$AY$2:$AY$201,1,$H$2:$H$201,H21,$AX$2:$AX$201,"&lt;"&amp;AX21)=0,1,0),0)</f>
        <v>0</v>
      </c>
      <c r="BA21" s="23" t="n">
        <f aca="false">IF(AY21=1,IF(COUNTIFS($A$2:$A$201,$A21,$AY$2:$AY$201,1,$H$2:$H$201,"&gt;"&amp;H21)+COUNTIFS($A$2:$A$201,$A21,$AY$2:$AY$201,1,$H$2:$H$201,H21,$AX$2:$AX$201,"&gt;"&amp;AX21)=0,1,0),0)</f>
        <v>0</v>
      </c>
      <c r="BB21" s="23" t="n">
        <f aca="false">IF(AND(AY21=1,O21="Y",MAX(N(R21),N(V21))&gt;=Config!$B$14),1,0)</f>
        <v>0</v>
      </c>
      <c r="BC21" s="23" t="n">
        <f aca="false">IF(BB21=1,IF(COUNTIFS($AW$2:$AW$201,AW21,$BB$2:$BB$201,1,$H$2:$H$201,"&lt;"&amp;H21)+COUNTIFS($AW$2:$AW$201,AW21,$BB$2:$BB$201,1,$H$2:$H$201,H21,$AX$2:$AX$201,"&lt;"&amp;AX21)=0,1,0),0)</f>
        <v>0</v>
      </c>
      <c r="BD21" s="23" t="n">
        <f aca="false">IF(AND(AY21=1,O21="Y",ISNUMBER(R21)),IF(R21&gt;=Config!$B$14,1,0),0)</f>
        <v>0</v>
      </c>
      <c r="BE21" s="23" t="n">
        <f aca="false">IF(BD21=1,IF(COUNTIFS($AW$2:$AW$201,AW21,$BD$2:$BD$201,1,$H$2:$H$201,"&lt;"&amp;H21)+COUNTIFS($AW$2:$AW$201,AW21,$BD$2:$BD$201,1,$H$2:$H$201,H21,$AX$2:$AX$201,"&lt;"&amp;AX21)=0,1,0),0)</f>
        <v>0</v>
      </c>
      <c r="BF21" s="23" t="n">
        <f aca="false">IF(AND(AY21=1,O21&lt;&gt;"Y",MAX(N(R21),N(V21))&gt;=Config!$B$14),1,0)</f>
        <v>0</v>
      </c>
      <c r="BG21" s="23" t="n">
        <f aca="false">IF(BF21=1,IF(COUNTIFS($AW$2:$AW$201,AW21,$BF$2:$BF$201,1,$H$2:$H$201,"&lt;"&amp;H21)+COUNTIFS($AW$2:$AW$201,AW21,$BF$2:$BF$201,1,$H$2:$H$201,H21,$AX$2:$AX$201,"&lt;"&amp;AX21)=0,1,0),0)</f>
        <v>0</v>
      </c>
      <c r="BH21" s="23" t="n">
        <f aca="false">IF(AND(AY21=1,ISNUMBER(R21)),1,0)</f>
        <v>0</v>
      </c>
      <c r="BI21" s="23" t="n">
        <f aca="false">IF(BH21=1,IF(COUNTIFS($AW$2:$AW$201,AW21,$BH$2:$BH$201,1,$H$2:$H$201,"&lt;"&amp;H21)+COUNTIFS($AW$2:$AW$201,AW21,$BH$2:$BH$201,1,$H$2:$H$201,H21,$AX$2:$AX$201,"&lt;"&amp;AX21)=0,1,0),0)</f>
        <v>0</v>
      </c>
      <c r="BJ21" s="23" t="str">
        <f aca="false">IF(AND(BI21=1,INT(N(H21))&lt;=Config!$B$6),R21,"")</f>
        <v/>
      </c>
      <c r="BK21" s="23" t="str">
        <f aca="false">IF(AND(BI21=1,INT(N(H21))&lt;=Config!$B$7),R21,"")</f>
        <v/>
      </c>
      <c r="BL21" s="23" t="str">
        <f aca="false">IF(AND(BI21=1,INT(N(H21))&lt;=Config!$B$8),R21,"")</f>
        <v/>
      </c>
      <c r="BM21" s="23" t="str">
        <f aca="false">IF(AND(BI21=1,INT(N(H21))&lt;=Config!$B$5),R21,"")</f>
        <v/>
      </c>
      <c r="BN21" s="23" t="n">
        <f aca="false">IF(AND(AY21=1,ISNUMBER(V21)),1,0)</f>
        <v>0</v>
      </c>
      <c r="BO21" s="23" t="n">
        <f aca="false">IF(BN21=1,IF(COUNTIFS($AW$2:$AW$201,AW21,$BN$2:$BN$201,1,$H$2:$H$201,"&lt;"&amp;H21)+COUNTIFS($AW$2:$AW$201,AW21,$BN$2:$BN$201,1,$H$2:$H$201,H21,$AX$2:$AX$201,"&lt;"&amp;AX21)=0,1,0),0)</f>
        <v>0</v>
      </c>
      <c r="BP21" s="23" t="str">
        <f aca="false">IF(AND(BO21=1,INT(N(H21))&lt;=Config!$B$6),V21,"")</f>
        <v/>
      </c>
      <c r="BQ21" s="23" t="str">
        <f aca="false">IF(AND(BO21=1,INT(N(H21))&lt;=Config!$B$7),V21,"")</f>
        <v/>
      </c>
      <c r="BR21" s="23" t="str">
        <f aca="false">IF(AND(BO21=1,INT(N(H21))&lt;=Config!$B$8),V21,"")</f>
        <v/>
      </c>
      <c r="BS21" s="23" t="str">
        <f aca="false">IF(AND(BO21=1,INT(N(H21))&lt;=Config!$B$5),V21,"")</f>
        <v/>
      </c>
      <c r="BT21" s="23" t="n">
        <f aca="false">IF(AND(AY21=1,ISNUMBER(K21)),1,0)</f>
        <v>0</v>
      </c>
      <c r="BU21" s="23" t="n">
        <f aca="false">IF(BT21=1,IF(COUNTIFS($AW$2:$AW$201,AW21,$BT$2:$BT$201,1,$H$2:$H$201,"&lt;"&amp;H21)+COUNTIFS($AW$2:$AW$201,AW21,$BT$2:$BT$201,1,$H$2:$H$201,H21,$AX$2:$AX$201,"&lt;"&amp;AX21)=0,1,0),0)</f>
        <v>0</v>
      </c>
      <c r="BV21" s="23" t="str">
        <f aca="false">IF(AND(BU21=1,INT(N(H21))&lt;=Config!$B$5),K21,"")</f>
        <v/>
      </c>
      <c r="BW21" s="23" t="n">
        <f aca="false">IF(AND(AY21=1,OR(AND(ISNUMBER(R21),TRIM(S21)=""),AND(ISNUMBER(V21),TRIM(W21)=""))),1,0)</f>
        <v>0</v>
      </c>
      <c r="BX21" s="23" t="str">
        <f aca="false">IF(AY21=1,AJ21&amp;"","")</f>
        <v/>
      </c>
      <c r="BY21" s="23" t="str">
        <f aca="false">IF(AY21=1,AK21&amp;"","")</f>
        <v/>
      </c>
      <c r="BZ21" s="23" t="str">
        <f aca="false">IF(AY21=1,AL21&amp;"","")</f>
        <v/>
      </c>
      <c r="CA21" s="23" t="str">
        <f aca="false">IF(AND(AY21=1,ISNUMBER(AS21),INT(N(H21))&lt;=Config!$B$5),AS21,"")</f>
        <v/>
      </c>
      <c r="CB21" s="23" t="str">
        <f aca="false">IF(AY21=1,IF(COUNTIFS($A$2:$A$201,$A21,$CU$2:$CU$201,1,$AN$2:$AN$201,"Y")&gt;0,"Y","N"),"")</f>
        <v/>
      </c>
      <c r="CC21" s="23" t="n">
        <f aca="false">IF(AND(AY21=1,AN21="Y"),IF(COUNTIFS($AW$2:$AW$201,AW21,$AN$2:$AN$201,"Y",$AY$2:$AY$201,1,$H$2:$H$201,"&lt;"&amp;H21)+COUNTIFS($AW$2:$AW$201,AW21,$AN$2:$AN$201,"Y",$AY$2:$AY$201,1,$H$2:$H$201,H21,$AX$2:$AX$201,"&lt;"&amp;AX21)=0,1,0),0)</f>
        <v>0</v>
      </c>
      <c r="CD21" s="23" t="n">
        <f aca="false">IF(AND(AY21=1,AB21="Y",AC21="Y",AD21="Y",AE21="Y",AF21="Y",AG21="Y",AI21="Y",TRIM(AH21)&lt;&gt;""),1,0)</f>
        <v>0</v>
      </c>
      <c r="CE21" s="23" t="n">
        <f aca="false">IF(CD21=1,IF(COUNTIFS($AW$2:$AW$201,AW21,$CD$2:$CD$201,1,$H$2:$H$201,"&lt;"&amp;H21)+COUNTIFS($AW$2:$AW$201,AW21,$CD$2:$CD$201,1,$H$2:$H$201,H21,$AX$2:$AX$201,"&lt;"&amp;AX21)=0,1,0),0)</f>
        <v>0</v>
      </c>
      <c r="CF21" s="23" t="n">
        <f aca="false">IF(AND(AY21=1,AO21="Y"),1,0)</f>
        <v>0</v>
      </c>
      <c r="CG21" s="23" t="n">
        <f aca="false">IF(CF21=1,IF(COUNTIFS($AW$2:$AW$201,AW21,$CF$2:$CF$201,1,$H$2:$H$201,"&lt;"&amp;H21)+COUNTIFS($AW$2:$AW$201,AW21,$CF$2:$CF$201,1,$H$2:$H$201,H21,$AX$2:$AX$201,"&lt;"&amp;AX21)=0,1,0),0)</f>
        <v>0</v>
      </c>
      <c r="CH21" s="23" t="n">
        <f aca="false">IF(AND(AY21=1,P21="Y"),1,0)</f>
        <v>0</v>
      </c>
      <c r="CI21" s="23" t="n">
        <f aca="false">IF(CH21=1,IF(COUNTIFS($AW$2:$AW$201,AW21,$CH$2:$CH$201,1,$H$2:$H$201,"&lt;"&amp;H21)+COUNTIFS($AW$2:$AW$201,AW21,$CH$2:$CH$201,1,$H$2:$H$201,H21,$AX$2:$AX$201,"&lt;"&amp;AX21)=0,1,0),0)</f>
        <v>0</v>
      </c>
      <c r="CJ21" s="23" t="str">
        <f aca="false">IF(AND(BU21=1,INT(N(H21))&lt;=Config!$B$5),L21,"")</f>
        <v/>
      </c>
      <c r="CK21" s="23" t="n">
        <f aca="false">IF(AND(AY21=1,AR21="Y"),1,0)</f>
        <v>0</v>
      </c>
      <c r="CL21" s="23" t="n">
        <f aca="false">IF(CK21=1,IF(COUNTIFS($AW$2:$AW$201,AW21,$CK$2:$CK$201,1,$H$2:$H$201,"&lt;"&amp;H21)+COUNTIFS($AW$2:$AW$201,AW21,$CK$2:$CK$201,1,$H$2:$H$201,H21,$AX$2:$AX$201,"&lt;"&amp;AX21)=0,1,0),0)</f>
        <v>0</v>
      </c>
      <c r="CM21" s="23" t="str">
        <f aca="false">IF(AY21=1,IFERROR(MATCH($A21,INDEX(Clay_Brands!$A$2:$FZ$601,0,Sync!$D$5),0),""),"")</f>
        <v/>
      </c>
      <c r="CN21" s="23" t="str">
        <f aca="false">IF(CM21="","",IFERROR(INDEX(Clay_Brands!$A$2:$FZ$601,CM21,Sync!$D$7)&amp;"",""))</f>
        <v/>
      </c>
      <c r="CO21" s="23" t="str">
        <f aca="false">IF(CN21="","",IFERROR(INDEX(Lists!$K$2:$K$15,MATCH(CN21,Lists!$J$2:$J$15,0)),""))</f>
        <v/>
      </c>
      <c r="CP21" s="23" t="str">
        <f aca="false">IF(CM21="","",IFERROR(INDEX(Clay_Brands!$A$2:$FZ$601,CM21,Sync!$D$17)&amp;"",""))</f>
        <v/>
      </c>
      <c r="CQ21" s="35" t="str">
        <f aca="false">IF(CM21="","",IFERROR(N(INDEX(Clay_Brands!$A$2:$FZ$601,CM21,Sync!$D$16)),0))</f>
        <v/>
      </c>
      <c r="CR21" s="23" t="n">
        <f aca="false">IF(AND(AY21=1,OR(O21="N",AND(OR(ISNUMBER(R21),ISNUMBER(V21)),MAX(N(R21),N(V21))&lt;Config!$B$14))),1,0)</f>
        <v>0</v>
      </c>
      <c r="CS21" s="23" t="n">
        <f aca="false">IF(OR(BB21=1,CR21=1),1,0)</f>
        <v>0</v>
      </c>
      <c r="CT21" s="23" t="n">
        <f aca="false">IF(AND(AY21=1,OR(AN21="Y",AN21="N",AN21="maybe")),1,0)</f>
        <v>0</v>
      </c>
      <c r="CU21" s="23" t="n">
        <f aca="false">IF(AND(CT21=1),IF(COUNTIFS($A$2:$A$201,$A21,$CT$2:$CT$201,1,$H$2:$H$201,"&gt;"&amp;H21)+COUNTIFS($A$2:$A$201,$A21,$CT$2:$CT$201,1,$H$2:$H$201,H21,$AX$2:$AX$201,"&gt;"&amp;AX21)=0,1,0),0)</f>
        <v>0</v>
      </c>
      <c r="CV21" s="23" t="n">
        <f aca="false">IF(AND(CS21=1,INT(N(H21))&lt;=Config!$B$6),IF(COUNTIFS($AW$2:$AW$201,AW21,$CS$2:$CS$201,1,$H$2:$H$201,"&gt;"&amp;H21,$H$2:$H$201,"&lt;"&amp;(Config!$B$6+1))+COUNTIFS($AW$2:$AW$201,AW21,$CS$2:$CS$201,1,$H$2:$H$201,H21,$AX$2:$AX$201,"&gt;"&amp;AX21)=0,1,0),0)</f>
        <v>0</v>
      </c>
      <c r="CW21" s="23" t="n">
        <f aca="false">IF(AND(CS21=1,INT(N(H21))&lt;=Config!$B$7),IF(COUNTIFS($AW$2:$AW$201,AW21,$CS$2:$CS$201,1,$H$2:$H$201,"&gt;"&amp;H21,$H$2:$H$201,"&lt;"&amp;(Config!$B$7+1))+COUNTIFS($AW$2:$AW$201,AW21,$CS$2:$CS$201,1,$H$2:$H$201,H21,$AX$2:$AX$201,"&gt;"&amp;AX21)=0,1,0),0)</f>
        <v>0</v>
      </c>
      <c r="CX21" s="23" t="n">
        <f aca="false">IF(AND(CS21=1,INT(N(H21))&lt;=Config!$B$8),IF(COUNTIFS($AW$2:$AW$201,AW21,$CS$2:$CS$201,1,$H$2:$H$201,"&gt;"&amp;H21,$H$2:$H$201,"&lt;"&amp;(Config!$B$8+1))+COUNTIFS($AW$2:$AW$201,AW21,$CS$2:$CS$201,1,$H$2:$H$201,H21,$AX$2:$AX$201,"&gt;"&amp;AX21)=0,1,0),0)</f>
        <v>0</v>
      </c>
      <c r="CY21" s="23" t="n">
        <f aca="false">IF(AND(CS21=1,INT(N(H21))&lt;=Config!$B$5),IF(COUNTIFS($AW$2:$AW$201,AW21,$CS$2:$CS$201,1,$H$2:$H$201,"&gt;"&amp;H21,$H$2:$H$201,"&lt;"&amp;(Config!$B$5+1))+COUNTIFS($AW$2:$AW$201,AW21,$CS$2:$CS$201,1,$H$2:$H$201,H21,$AX$2:$AX$201,"&gt;"&amp;AX21)=0,1,0),0)</f>
        <v>0</v>
      </c>
      <c r="CZ21" s="23" t="n">
        <f aca="false">IF(AY21=1,IF(COUNTIFS($AW$2:$AW$201,AW21,$CV$2:$CV$201,1,$BB$2:$BB$201,1)&gt;0,1,0),0)</f>
        <v>0</v>
      </c>
      <c r="DA21" s="23" t="n">
        <f aca="false">IF(AY21=1,IF(COUNTIFS($AW$2:$AW$201,AW21,$CW$2:$CW$201,1,$BB$2:$BB$201,1)&gt;0,1,0),0)</f>
        <v>0</v>
      </c>
      <c r="DB21" s="23" t="n">
        <f aca="false">IF(AY21=1,IF(COUNTIFS($AW$2:$AW$201,AW21,$CX$2:$CX$201,1,$BB$2:$BB$201,1)&gt;0,1,0),0)</f>
        <v>0</v>
      </c>
      <c r="DC21" s="23" t="n">
        <f aca="false">IF(AY21=1,IF(COUNTIFS($AW$2:$AW$201,AW21,$CY$2:$CY$201,1,$BB$2:$BB$201,1)&gt;0,1,0),0)</f>
        <v>0</v>
      </c>
      <c r="DD21" s="23" t="n">
        <f aca="false">IF(AND(BC21=1,INT(N(H21))&lt;=Config!$B$6,CZ21=1),1,0)</f>
        <v>0</v>
      </c>
      <c r="DE21" s="23" t="n">
        <f aca="false">IF(AND(BC21=1,INT(N(H21))&lt;=Config!$B$7,DA21=1),1,0)</f>
        <v>0</v>
      </c>
      <c r="DF21" s="23" t="n">
        <f aca="false">IF(AND(BC21=1,INT(N(H21))&lt;=Config!$B$8,DB21=1),1,0)</f>
        <v>0</v>
      </c>
      <c r="DG21" s="23" t="n">
        <f aca="false">IF(AND(BC21=1,INT(N(H21))&lt;=Config!$B$5,DC21=1),1,0)</f>
        <v>0</v>
      </c>
      <c r="DH21" s="23" t="n">
        <f aca="false">IF(AND(BE21=1,INT(N(H21))&lt;=Config!$B$6,CZ21=1),1,0)</f>
        <v>0</v>
      </c>
      <c r="DI21" s="23" t="n">
        <f aca="false">IF(AND(BE21=1,INT(N(H21))&lt;=Config!$B$7,DA21=1),1,0)</f>
        <v>0</v>
      </c>
      <c r="DJ21" s="23" t="n">
        <f aca="false">IF(AND(BE21=1,INT(N(H21))&lt;=Config!$B$8,DB21=1),1,0)</f>
        <v>0</v>
      </c>
      <c r="DK21" s="23" t="n">
        <f aca="false">IF(AND(BE21=1,INT(N(H21))&lt;=Config!$B$5,DC21=1),1,0)</f>
        <v>0</v>
      </c>
      <c r="DL21" s="23" t="n">
        <f aca="false">IF(AND(BC21=1,INT(N(H21))&lt;=Config!$B$6,CZ21=0),1,0)</f>
        <v>0</v>
      </c>
      <c r="DM21" s="23" t="n">
        <f aca="false">IF(AND(BC21=1,INT(N(H21))&lt;=Config!$B$7,DA21=0),1,0)</f>
        <v>0</v>
      </c>
      <c r="DN21" s="23" t="n">
        <f aca="false">IF(AND(BC21=1,INT(N(H21))&lt;=Config!$B$8,DB21=0),1,0)</f>
        <v>0</v>
      </c>
      <c r="DO21" s="23" t="n">
        <f aca="false">IF(AND(BC21=1,INT(N(H21))&lt;=Config!$B$5,DC21=0),1,0)</f>
        <v>0</v>
      </c>
      <c r="DP21" s="23" t="n">
        <f aca="false">IF(TRIM($A21)="",0,ISTEXT(K21)+ISTEXT(L21)+ISTEXT(R21)+ISTEXT(V21)+ISTEXT(AP21)+ISTEXT(AS21))</f>
        <v>0</v>
      </c>
      <c r="DQ21" s="23" t="n">
        <f aca="false">IF(AY21=1,IF(H21&lt;&gt;INT(H21),1,0),0)</f>
        <v>0</v>
      </c>
      <c r="DR21" s="23" t="str">
        <f aca="false">IF(TRIM($A21)="","",IF(TRIM(B21)="",SUBSTITUTE(SUBSTITUTE(SUBSTITUTE(SUBSTITUTE(SUBSTITUTE(SUBSTITUTE(LOWER(TRIM($A21)),"~",""),"*",""),"?",""),"&lt;",""),"&gt;",""),"=",""),SUBSTITUTE(SUBSTITUTE(SUBSTITUTE(SUBSTITUTE(SUBSTITUTE(SUBSTITUTE(LOWER(TRIM(B21)),"~",""),"*",""),"?",""),"&lt;",""),"&gt;",""),"=","")))</f>
        <v/>
      </c>
      <c r="DS21" s="23" t="str">
        <f aca="false">IF(CM21="","",IFERROR(IF(LEFT(LOWER(TRIM(INDEX(Clay_Brands!$A$2:$FZ$601,CM21,Sync!$D$19)&amp;"")),4)="grp-",SUBSTITUTE(SUBSTITUTE(SUBSTITUTE(SUBSTITUTE(SUBSTITUTE(SUBSTITUTE(LOWER(TRIM(INDEX(Clay_Brands!$A$2:$FZ$601,CM21,Sync!$D$19)&amp;"")),"~",""),"*",""),"?",""),"&lt;",""),"&gt;",""),"=",""),""),""))</f>
        <v/>
      </c>
      <c r="DT21" s="23" t="str">
        <f aca="false">IF(DS21&lt;&gt;"",DR21,"")</f>
        <v/>
      </c>
      <c r="DU21" s="23" t="str">
        <f aca="false">IF(AZ21=1,AW21,"")</f>
        <v/>
      </c>
      <c r="DV21" s="23" t="str">
        <f aca="false">IF(TRIM($A21)="","",IFERROR(INDEX($A$2:$A$201,MATCH(AW21,$DU$2:$DU$201,0))&amp;"",$A21&amp;""))</f>
        <v/>
      </c>
      <c r="DW21" s="23" t="n">
        <f aca="false">IF(AY21=1,IF(COUNTIFS($A$2:$A$201,$A21,$AY$2:$AY$201,1,$H$2:$H$201,"&lt;"&amp;H21)+COUNTIFS($A$2:$A$201,$A21,$AY$2:$AY$201,1,$H$2:$H$201,H21,$AX$2:$AX$201,"&lt;"&amp;AX21)=0,1,0),0)</f>
        <v>0</v>
      </c>
      <c r="DX21" s="23" t="n">
        <f aca="false">IF(AZ21=1,IF(COUNTIFS($AW$2:$AW$201,AW21,$DW$2:$DW$201,1)&gt;1,1,0),0)</f>
        <v>0</v>
      </c>
    </row>
    <row r="22" customFormat="false" ht="15" hidden="false" customHeight="false" outlineLevel="0" collapsed="false">
      <c r="G22" s="32"/>
      <c r="H22" s="33"/>
      <c r="I22" s="32"/>
      <c r="O22" s="32"/>
      <c r="P22" s="32"/>
      <c r="U22" s="32"/>
      <c r="Y22" s="32"/>
      <c r="AB22" s="32"/>
      <c r="AC22" s="32"/>
      <c r="AD22" s="32"/>
      <c r="AE22" s="32"/>
      <c r="AF22" s="32"/>
      <c r="AG22" s="32"/>
      <c r="AI22" s="32"/>
      <c r="AJ22" s="32"/>
      <c r="AK22" s="32"/>
      <c r="AN22" s="32"/>
      <c r="AO22" s="32"/>
      <c r="AR22" s="32"/>
      <c r="AT22" s="32"/>
      <c r="AV22" s="34" t="str">
        <f aca="false">IF(TRIM($A22)="","",IF(AND(LEFT($A22,6)="SAMPLE",Config!$B$19&lt;&gt;"Y"),"",IF(NOT(ISNUMBER(H22)),"call_date is blank or not a date",IF(Sync!$D$5="","Clay paste is empty or has no row_id column: paste the Clay export on Clay_Brands",IF(CM22="","row_id not found in the Clay paste: add the Clay row or fix the row_id",IF(AND(ISNUMBER(CO22),CO22&gt;=1,CO22&lt;=5),"Clay status is "&amp;CN22&amp;": set call_done or later",IF(AND(BA22=1,CP22&lt;&gt;CB22),"Clay yes_in_principle should be "&amp;CB22,IF(AND(BA22=1,CQ22&lt;&gt;H22),"Clay call_date should be "&amp;TEXT(H22,"yyyy-mm-dd"),""))))))))</f>
        <v/>
      </c>
      <c r="AW22" s="23" t="str">
        <f aca="false">IF(TRIM($A22)="","",IF(TRIM(C22)&lt;&gt;"",SUBSTITUTE(SUBSTITUTE(SUBSTITUTE(SUBSTITUTE(SUBSTITUTE(SUBSTITUTE(LOWER(TRIM(C22)),"~",""),"*",""),"?",""),"&lt;",""),"&gt;",""),"=",""),IF(DS22&lt;&gt;"",DS22,IFERROR(INDEX($DS$2:$DS$201,MATCH(DR22,$DT$2:$DT$201,0)),DR22))))</f>
        <v/>
      </c>
      <c r="AX22" s="23" t="n">
        <f aca="false">ROW()</f>
        <v>22</v>
      </c>
      <c r="AY22" s="23" t="n">
        <f aca="false">IF(AND(TRIM($A22)&lt;&gt;"",ISNUMBER(H22)),IF(AND(LEFT($A22,6)="SAMPLE",Config!$B$19&lt;&gt;"Y"),0,1),0)</f>
        <v>0</v>
      </c>
      <c r="AZ22" s="23" t="n">
        <f aca="false">IF(AY22=1,IF(COUNTIFS($AW$2:$AW$201,AW22,$AY$2:$AY$201,1,$H$2:$H$201,"&lt;"&amp;H22)+COUNTIFS($AW$2:$AW$201,AW22,$AY$2:$AY$201,1,$H$2:$H$201,H22,$AX$2:$AX$201,"&lt;"&amp;AX22)=0,1,0),0)</f>
        <v>0</v>
      </c>
      <c r="BA22" s="23" t="n">
        <f aca="false">IF(AY22=1,IF(COUNTIFS($A$2:$A$201,$A22,$AY$2:$AY$201,1,$H$2:$H$201,"&gt;"&amp;H22)+COUNTIFS($A$2:$A$201,$A22,$AY$2:$AY$201,1,$H$2:$H$201,H22,$AX$2:$AX$201,"&gt;"&amp;AX22)=0,1,0),0)</f>
        <v>0</v>
      </c>
      <c r="BB22" s="23" t="n">
        <f aca="false">IF(AND(AY22=1,O22="Y",MAX(N(R22),N(V22))&gt;=Config!$B$14),1,0)</f>
        <v>0</v>
      </c>
      <c r="BC22" s="23" t="n">
        <f aca="false">IF(BB22=1,IF(COUNTIFS($AW$2:$AW$201,AW22,$BB$2:$BB$201,1,$H$2:$H$201,"&lt;"&amp;H22)+COUNTIFS($AW$2:$AW$201,AW22,$BB$2:$BB$201,1,$H$2:$H$201,H22,$AX$2:$AX$201,"&lt;"&amp;AX22)=0,1,0),0)</f>
        <v>0</v>
      </c>
      <c r="BD22" s="23" t="n">
        <f aca="false">IF(AND(AY22=1,O22="Y",ISNUMBER(R22)),IF(R22&gt;=Config!$B$14,1,0),0)</f>
        <v>0</v>
      </c>
      <c r="BE22" s="23" t="n">
        <f aca="false">IF(BD22=1,IF(COUNTIFS($AW$2:$AW$201,AW22,$BD$2:$BD$201,1,$H$2:$H$201,"&lt;"&amp;H22)+COUNTIFS($AW$2:$AW$201,AW22,$BD$2:$BD$201,1,$H$2:$H$201,H22,$AX$2:$AX$201,"&lt;"&amp;AX22)=0,1,0),0)</f>
        <v>0</v>
      </c>
      <c r="BF22" s="23" t="n">
        <f aca="false">IF(AND(AY22=1,O22&lt;&gt;"Y",MAX(N(R22),N(V22))&gt;=Config!$B$14),1,0)</f>
        <v>0</v>
      </c>
      <c r="BG22" s="23" t="n">
        <f aca="false">IF(BF22=1,IF(COUNTIFS($AW$2:$AW$201,AW22,$BF$2:$BF$201,1,$H$2:$H$201,"&lt;"&amp;H22)+COUNTIFS($AW$2:$AW$201,AW22,$BF$2:$BF$201,1,$H$2:$H$201,H22,$AX$2:$AX$201,"&lt;"&amp;AX22)=0,1,0),0)</f>
        <v>0</v>
      </c>
      <c r="BH22" s="23" t="n">
        <f aca="false">IF(AND(AY22=1,ISNUMBER(R22)),1,0)</f>
        <v>0</v>
      </c>
      <c r="BI22" s="23" t="n">
        <f aca="false">IF(BH22=1,IF(COUNTIFS($AW$2:$AW$201,AW22,$BH$2:$BH$201,1,$H$2:$H$201,"&lt;"&amp;H22)+COUNTIFS($AW$2:$AW$201,AW22,$BH$2:$BH$201,1,$H$2:$H$201,H22,$AX$2:$AX$201,"&lt;"&amp;AX22)=0,1,0),0)</f>
        <v>0</v>
      </c>
      <c r="BJ22" s="23" t="str">
        <f aca="false">IF(AND(BI22=1,INT(N(H22))&lt;=Config!$B$6),R22,"")</f>
        <v/>
      </c>
      <c r="BK22" s="23" t="str">
        <f aca="false">IF(AND(BI22=1,INT(N(H22))&lt;=Config!$B$7),R22,"")</f>
        <v/>
      </c>
      <c r="BL22" s="23" t="str">
        <f aca="false">IF(AND(BI22=1,INT(N(H22))&lt;=Config!$B$8),R22,"")</f>
        <v/>
      </c>
      <c r="BM22" s="23" t="str">
        <f aca="false">IF(AND(BI22=1,INT(N(H22))&lt;=Config!$B$5),R22,"")</f>
        <v/>
      </c>
      <c r="BN22" s="23" t="n">
        <f aca="false">IF(AND(AY22=1,ISNUMBER(V22)),1,0)</f>
        <v>0</v>
      </c>
      <c r="BO22" s="23" t="n">
        <f aca="false">IF(BN22=1,IF(COUNTIFS($AW$2:$AW$201,AW22,$BN$2:$BN$201,1,$H$2:$H$201,"&lt;"&amp;H22)+COUNTIFS($AW$2:$AW$201,AW22,$BN$2:$BN$201,1,$H$2:$H$201,H22,$AX$2:$AX$201,"&lt;"&amp;AX22)=0,1,0),0)</f>
        <v>0</v>
      </c>
      <c r="BP22" s="23" t="str">
        <f aca="false">IF(AND(BO22=1,INT(N(H22))&lt;=Config!$B$6),V22,"")</f>
        <v/>
      </c>
      <c r="BQ22" s="23" t="str">
        <f aca="false">IF(AND(BO22=1,INT(N(H22))&lt;=Config!$B$7),V22,"")</f>
        <v/>
      </c>
      <c r="BR22" s="23" t="str">
        <f aca="false">IF(AND(BO22=1,INT(N(H22))&lt;=Config!$B$8),V22,"")</f>
        <v/>
      </c>
      <c r="BS22" s="23" t="str">
        <f aca="false">IF(AND(BO22=1,INT(N(H22))&lt;=Config!$B$5),V22,"")</f>
        <v/>
      </c>
      <c r="BT22" s="23" t="n">
        <f aca="false">IF(AND(AY22=1,ISNUMBER(K22)),1,0)</f>
        <v>0</v>
      </c>
      <c r="BU22" s="23" t="n">
        <f aca="false">IF(BT22=1,IF(COUNTIFS($AW$2:$AW$201,AW22,$BT$2:$BT$201,1,$H$2:$H$201,"&lt;"&amp;H22)+COUNTIFS($AW$2:$AW$201,AW22,$BT$2:$BT$201,1,$H$2:$H$201,H22,$AX$2:$AX$201,"&lt;"&amp;AX22)=0,1,0),0)</f>
        <v>0</v>
      </c>
      <c r="BV22" s="23" t="str">
        <f aca="false">IF(AND(BU22=1,INT(N(H22))&lt;=Config!$B$5),K22,"")</f>
        <v/>
      </c>
      <c r="BW22" s="23" t="n">
        <f aca="false">IF(AND(AY22=1,OR(AND(ISNUMBER(R22),TRIM(S22)=""),AND(ISNUMBER(V22),TRIM(W22)=""))),1,0)</f>
        <v>0</v>
      </c>
      <c r="BX22" s="23" t="str">
        <f aca="false">IF(AY22=1,AJ22&amp;"","")</f>
        <v/>
      </c>
      <c r="BY22" s="23" t="str">
        <f aca="false">IF(AY22=1,AK22&amp;"","")</f>
        <v/>
      </c>
      <c r="BZ22" s="23" t="str">
        <f aca="false">IF(AY22=1,AL22&amp;"","")</f>
        <v/>
      </c>
      <c r="CA22" s="23" t="str">
        <f aca="false">IF(AND(AY22=1,ISNUMBER(AS22),INT(N(H22))&lt;=Config!$B$5),AS22,"")</f>
        <v/>
      </c>
      <c r="CB22" s="23" t="str">
        <f aca="false">IF(AY22=1,IF(COUNTIFS($A$2:$A$201,$A22,$CU$2:$CU$201,1,$AN$2:$AN$201,"Y")&gt;0,"Y","N"),"")</f>
        <v/>
      </c>
      <c r="CC22" s="23" t="n">
        <f aca="false">IF(AND(AY22=1,AN22="Y"),IF(COUNTIFS($AW$2:$AW$201,AW22,$AN$2:$AN$201,"Y",$AY$2:$AY$201,1,$H$2:$H$201,"&lt;"&amp;H22)+COUNTIFS($AW$2:$AW$201,AW22,$AN$2:$AN$201,"Y",$AY$2:$AY$201,1,$H$2:$H$201,H22,$AX$2:$AX$201,"&lt;"&amp;AX22)=0,1,0),0)</f>
        <v>0</v>
      </c>
      <c r="CD22" s="23" t="n">
        <f aca="false">IF(AND(AY22=1,AB22="Y",AC22="Y",AD22="Y",AE22="Y",AF22="Y",AG22="Y",AI22="Y",TRIM(AH22)&lt;&gt;""),1,0)</f>
        <v>0</v>
      </c>
      <c r="CE22" s="23" t="n">
        <f aca="false">IF(CD22=1,IF(COUNTIFS($AW$2:$AW$201,AW22,$CD$2:$CD$201,1,$H$2:$H$201,"&lt;"&amp;H22)+COUNTIFS($AW$2:$AW$201,AW22,$CD$2:$CD$201,1,$H$2:$H$201,H22,$AX$2:$AX$201,"&lt;"&amp;AX22)=0,1,0),0)</f>
        <v>0</v>
      </c>
      <c r="CF22" s="23" t="n">
        <f aca="false">IF(AND(AY22=1,AO22="Y"),1,0)</f>
        <v>0</v>
      </c>
      <c r="CG22" s="23" t="n">
        <f aca="false">IF(CF22=1,IF(COUNTIFS($AW$2:$AW$201,AW22,$CF$2:$CF$201,1,$H$2:$H$201,"&lt;"&amp;H22)+COUNTIFS($AW$2:$AW$201,AW22,$CF$2:$CF$201,1,$H$2:$H$201,H22,$AX$2:$AX$201,"&lt;"&amp;AX22)=0,1,0),0)</f>
        <v>0</v>
      </c>
      <c r="CH22" s="23" t="n">
        <f aca="false">IF(AND(AY22=1,P22="Y"),1,0)</f>
        <v>0</v>
      </c>
      <c r="CI22" s="23" t="n">
        <f aca="false">IF(CH22=1,IF(COUNTIFS($AW$2:$AW$201,AW22,$CH$2:$CH$201,1,$H$2:$H$201,"&lt;"&amp;H22)+COUNTIFS($AW$2:$AW$201,AW22,$CH$2:$CH$201,1,$H$2:$H$201,H22,$AX$2:$AX$201,"&lt;"&amp;AX22)=0,1,0),0)</f>
        <v>0</v>
      </c>
      <c r="CJ22" s="23" t="str">
        <f aca="false">IF(AND(BU22=1,INT(N(H22))&lt;=Config!$B$5),L22,"")</f>
        <v/>
      </c>
      <c r="CK22" s="23" t="n">
        <f aca="false">IF(AND(AY22=1,AR22="Y"),1,0)</f>
        <v>0</v>
      </c>
      <c r="CL22" s="23" t="n">
        <f aca="false">IF(CK22=1,IF(COUNTIFS($AW$2:$AW$201,AW22,$CK$2:$CK$201,1,$H$2:$H$201,"&lt;"&amp;H22)+COUNTIFS($AW$2:$AW$201,AW22,$CK$2:$CK$201,1,$H$2:$H$201,H22,$AX$2:$AX$201,"&lt;"&amp;AX22)=0,1,0),0)</f>
        <v>0</v>
      </c>
      <c r="CM22" s="23" t="str">
        <f aca="false">IF(AY22=1,IFERROR(MATCH($A22,INDEX(Clay_Brands!$A$2:$FZ$601,0,Sync!$D$5),0),""),"")</f>
        <v/>
      </c>
      <c r="CN22" s="23" t="str">
        <f aca="false">IF(CM22="","",IFERROR(INDEX(Clay_Brands!$A$2:$FZ$601,CM22,Sync!$D$7)&amp;"",""))</f>
        <v/>
      </c>
      <c r="CO22" s="23" t="str">
        <f aca="false">IF(CN22="","",IFERROR(INDEX(Lists!$K$2:$K$15,MATCH(CN22,Lists!$J$2:$J$15,0)),""))</f>
        <v/>
      </c>
      <c r="CP22" s="23" t="str">
        <f aca="false">IF(CM22="","",IFERROR(INDEX(Clay_Brands!$A$2:$FZ$601,CM22,Sync!$D$17)&amp;"",""))</f>
        <v/>
      </c>
      <c r="CQ22" s="35" t="str">
        <f aca="false">IF(CM22="","",IFERROR(N(INDEX(Clay_Brands!$A$2:$FZ$601,CM22,Sync!$D$16)),0))</f>
        <v/>
      </c>
      <c r="CR22" s="23" t="n">
        <f aca="false">IF(AND(AY22=1,OR(O22="N",AND(OR(ISNUMBER(R22),ISNUMBER(V22)),MAX(N(R22),N(V22))&lt;Config!$B$14))),1,0)</f>
        <v>0</v>
      </c>
      <c r="CS22" s="23" t="n">
        <f aca="false">IF(OR(BB22=1,CR22=1),1,0)</f>
        <v>0</v>
      </c>
      <c r="CT22" s="23" t="n">
        <f aca="false">IF(AND(AY22=1,OR(AN22="Y",AN22="N",AN22="maybe")),1,0)</f>
        <v>0</v>
      </c>
      <c r="CU22" s="23" t="n">
        <f aca="false">IF(AND(CT22=1),IF(COUNTIFS($A$2:$A$201,$A22,$CT$2:$CT$201,1,$H$2:$H$201,"&gt;"&amp;H22)+COUNTIFS($A$2:$A$201,$A22,$CT$2:$CT$201,1,$H$2:$H$201,H22,$AX$2:$AX$201,"&gt;"&amp;AX22)=0,1,0),0)</f>
        <v>0</v>
      </c>
      <c r="CV22" s="23" t="n">
        <f aca="false">IF(AND(CS22=1,INT(N(H22))&lt;=Config!$B$6),IF(COUNTIFS($AW$2:$AW$201,AW22,$CS$2:$CS$201,1,$H$2:$H$201,"&gt;"&amp;H22,$H$2:$H$201,"&lt;"&amp;(Config!$B$6+1))+COUNTIFS($AW$2:$AW$201,AW22,$CS$2:$CS$201,1,$H$2:$H$201,H22,$AX$2:$AX$201,"&gt;"&amp;AX22)=0,1,0),0)</f>
        <v>0</v>
      </c>
      <c r="CW22" s="23" t="n">
        <f aca="false">IF(AND(CS22=1,INT(N(H22))&lt;=Config!$B$7),IF(COUNTIFS($AW$2:$AW$201,AW22,$CS$2:$CS$201,1,$H$2:$H$201,"&gt;"&amp;H22,$H$2:$H$201,"&lt;"&amp;(Config!$B$7+1))+COUNTIFS($AW$2:$AW$201,AW22,$CS$2:$CS$201,1,$H$2:$H$201,H22,$AX$2:$AX$201,"&gt;"&amp;AX22)=0,1,0),0)</f>
        <v>0</v>
      </c>
      <c r="CX22" s="23" t="n">
        <f aca="false">IF(AND(CS22=1,INT(N(H22))&lt;=Config!$B$8),IF(COUNTIFS($AW$2:$AW$201,AW22,$CS$2:$CS$201,1,$H$2:$H$201,"&gt;"&amp;H22,$H$2:$H$201,"&lt;"&amp;(Config!$B$8+1))+COUNTIFS($AW$2:$AW$201,AW22,$CS$2:$CS$201,1,$H$2:$H$201,H22,$AX$2:$AX$201,"&gt;"&amp;AX22)=0,1,0),0)</f>
        <v>0</v>
      </c>
      <c r="CY22" s="23" t="n">
        <f aca="false">IF(AND(CS22=1,INT(N(H22))&lt;=Config!$B$5),IF(COUNTIFS($AW$2:$AW$201,AW22,$CS$2:$CS$201,1,$H$2:$H$201,"&gt;"&amp;H22,$H$2:$H$201,"&lt;"&amp;(Config!$B$5+1))+COUNTIFS($AW$2:$AW$201,AW22,$CS$2:$CS$201,1,$H$2:$H$201,H22,$AX$2:$AX$201,"&gt;"&amp;AX22)=0,1,0),0)</f>
        <v>0</v>
      </c>
      <c r="CZ22" s="23" t="n">
        <f aca="false">IF(AY22=1,IF(COUNTIFS($AW$2:$AW$201,AW22,$CV$2:$CV$201,1,$BB$2:$BB$201,1)&gt;0,1,0),0)</f>
        <v>0</v>
      </c>
      <c r="DA22" s="23" t="n">
        <f aca="false">IF(AY22=1,IF(COUNTIFS($AW$2:$AW$201,AW22,$CW$2:$CW$201,1,$BB$2:$BB$201,1)&gt;0,1,0),0)</f>
        <v>0</v>
      </c>
      <c r="DB22" s="23" t="n">
        <f aca="false">IF(AY22=1,IF(COUNTIFS($AW$2:$AW$201,AW22,$CX$2:$CX$201,1,$BB$2:$BB$201,1)&gt;0,1,0),0)</f>
        <v>0</v>
      </c>
      <c r="DC22" s="23" t="n">
        <f aca="false">IF(AY22=1,IF(COUNTIFS($AW$2:$AW$201,AW22,$CY$2:$CY$201,1,$BB$2:$BB$201,1)&gt;0,1,0),0)</f>
        <v>0</v>
      </c>
      <c r="DD22" s="23" t="n">
        <f aca="false">IF(AND(BC22=1,INT(N(H22))&lt;=Config!$B$6,CZ22=1),1,0)</f>
        <v>0</v>
      </c>
      <c r="DE22" s="23" t="n">
        <f aca="false">IF(AND(BC22=1,INT(N(H22))&lt;=Config!$B$7,DA22=1),1,0)</f>
        <v>0</v>
      </c>
      <c r="DF22" s="23" t="n">
        <f aca="false">IF(AND(BC22=1,INT(N(H22))&lt;=Config!$B$8,DB22=1),1,0)</f>
        <v>0</v>
      </c>
      <c r="DG22" s="23" t="n">
        <f aca="false">IF(AND(BC22=1,INT(N(H22))&lt;=Config!$B$5,DC22=1),1,0)</f>
        <v>0</v>
      </c>
      <c r="DH22" s="23" t="n">
        <f aca="false">IF(AND(BE22=1,INT(N(H22))&lt;=Config!$B$6,CZ22=1),1,0)</f>
        <v>0</v>
      </c>
      <c r="DI22" s="23" t="n">
        <f aca="false">IF(AND(BE22=1,INT(N(H22))&lt;=Config!$B$7,DA22=1),1,0)</f>
        <v>0</v>
      </c>
      <c r="DJ22" s="23" t="n">
        <f aca="false">IF(AND(BE22=1,INT(N(H22))&lt;=Config!$B$8,DB22=1),1,0)</f>
        <v>0</v>
      </c>
      <c r="DK22" s="23" t="n">
        <f aca="false">IF(AND(BE22=1,INT(N(H22))&lt;=Config!$B$5,DC22=1),1,0)</f>
        <v>0</v>
      </c>
      <c r="DL22" s="23" t="n">
        <f aca="false">IF(AND(BC22=1,INT(N(H22))&lt;=Config!$B$6,CZ22=0),1,0)</f>
        <v>0</v>
      </c>
      <c r="DM22" s="23" t="n">
        <f aca="false">IF(AND(BC22=1,INT(N(H22))&lt;=Config!$B$7,DA22=0),1,0)</f>
        <v>0</v>
      </c>
      <c r="DN22" s="23" t="n">
        <f aca="false">IF(AND(BC22=1,INT(N(H22))&lt;=Config!$B$8,DB22=0),1,0)</f>
        <v>0</v>
      </c>
      <c r="DO22" s="23" t="n">
        <f aca="false">IF(AND(BC22=1,INT(N(H22))&lt;=Config!$B$5,DC22=0),1,0)</f>
        <v>0</v>
      </c>
      <c r="DP22" s="23" t="n">
        <f aca="false">IF(TRIM($A22)="",0,ISTEXT(K22)+ISTEXT(L22)+ISTEXT(R22)+ISTEXT(V22)+ISTEXT(AP22)+ISTEXT(AS22))</f>
        <v>0</v>
      </c>
      <c r="DQ22" s="23" t="n">
        <f aca="false">IF(AY22=1,IF(H22&lt;&gt;INT(H22),1,0),0)</f>
        <v>0</v>
      </c>
      <c r="DR22" s="23" t="str">
        <f aca="false">IF(TRIM($A22)="","",IF(TRIM(B22)="",SUBSTITUTE(SUBSTITUTE(SUBSTITUTE(SUBSTITUTE(SUBSTITUTE(SUBSTITUTE(LOWER(TRIM($A22)),"~",""),"*",""),"?",""),"&lt;",""),"&gt;",""),"=",""),SUBSTITUTE(SUBSTITUTE(SUBSTITUTE(SUBSTITUTE(SUBSTITUTE(SUBSTITUTE(LOWER(TRIM(B22)),"~",""),"*",""),"?",""),"&lt;",""),"&gt;",""),"=","")))</f>
        <v/>
      </c>
      <c r="DS22" s="23" t="str">
        <f aca="false">IF(CM22="","",IFERROR(IF(LEFT(LOWER(TRIM(INDEX(Clay_Brands!$A$2:$FZ$601,CM22,Sync!$D$19)&amp;"")),4)="grp-",SUBSTITUTE(SUBSTITUTE(SUBSTITUTE(SUBSTITUTE(SUBSTITUTE(SUBSTITUTE(LOWER(TRIM(INDEX(Clay_Brands!$A$2:$FZ$601,CM22,Sync!$D$19)&amp;"")),"~",""),"*",""),"?",""),"&lt;",""),"&gt;",""),"=",""),""),""))</f>
        <v/>
      </c>
      <c r="DT22" s="23" t="str">
        <f aca="false">IF(DS22&lt;&gt;"",DR22,"")</f>
        <v/>
      </c>
      <c r="DU22" s="23" t="str">
        <f aca="false">IF(AZ22=1,AW22,"")</f>
        <v/>
      </c>
      <c r="DV22" s="23" t="str">
        <f aca="false">IF(TRIM($A22)="","",IFERROR(INDEX($A$2:$A$201,MATCH(AW22,$DU$2:$DU$201,0))&amp;"",$A22&amp;""))</f>
        <v/>
      </c>
      <c r="DW22" s="23" t="n">
        <f aca="false">IF(AY22=1,IF(COUNTIFS($A$2:$A$201,$A22,$AY$2:$AY$201,1,$H$2:$H$201,"&lt;"&amp;H22)+COUNTIFS($A$2:$A$201,$A22,$AY$2:$AY$201,1,$H$2:$H$201,H22,$AX$2:$AX$201,"&lt;"&amp;AX22)=0,1,0),0)</f>
        <v>0</v>
      </c>
      <c r="DX22" s="23" t="n">
        <f aca="false">IF(AZ22=1,IF(COUNTIFS($AW$2:$AW$201,AW22,$DW$2:$DW$201,1)&gt;1,1,0),0)</f>
        <v>0</v>
      </c>
    </row>
    <row r="23" customFormat="false" ht="15" hidden="false" customHeight="false" outlineLevel="0" collapsed="false">
      <c r="G23" s="32"/>
      <c r="H23" s="33"/>
      <c r="I23" s="32"/>
      <c r="O23" s="32"/>
      <c r="P23" s="32"/>
      <c r="U23" s="32"/>
      <c r="Y23" s="32"/>
      <c r="AB23" s="32"/>
      <c r="AC23" s="32"/>
      <c r="AD23" s="32"/>
      <c r="AE23" s="32"/>
      <c r="AF23" s="32"/>
      <c r="AG23" s="32"/>
      <c r="AI23" s="32"/>
      <c r="AJ23" s="32"/>
      <c r="AK23" s="32"/>
      <c r="AN23" s="32"/>
      <c r="AO23" s="32"/>
      <c r="AR23" s="32"/>
      <c r="AT23" s="32"/>
      <c r="AV23" s="34" t="str">
        <f aca="false">IF(TRIM($A23)="","",IF(AND(LEFT($A23,6)="SAMPLE",Config!$B$19&lt;&gt;"Y"),"",IF(NOT(ISNUMBER(H23)),"call_date is blank or not a date",IF(Sync!$D$5="","Clay paste is empty or has no row_id column: paste the Clay export on Clay_Brands",IF(CM23="","row_id not found in the Clay paste: add the Clay row or fix the row_id",IF(AND(ISNUMBER(CO23),CO23&gt;=1,CO23&lt;=5),"Clay status is "&amp;CN23&amp;": set call_done or later",IF(AND(BA23=1,CP23&lt;&gt;CB23),"Clay yes_in_principle should be "&amp;CB23,IF(AND(BA23=1,CQ23&lt;&gt;H23),"Clay call_date should be "&amp;TEXT(H23,"yyyy-mm-dd"),""))))))))</f>
        <v/>
      </c>
      <c r="AW23" s="23" t="str">
        <f aca="false">IF(TRIM($A23)="","",IF(TRIM(C23)&lt;&gt;"",SUBSTITUTE(SUBSTITUTE(SUBSTITUTE(SUBSTITUTE(SUBSTITUTE(SUBSTITUTE(LOWER(TRIM(C23)),"~",""),"*",""),"?",""),"&lt;",""),"&gt;",""),"=",""),IF(DS23&lt;&gt;"",DS23,IFERROR(INDEX($DS$2:$DS$201,MATCH(DR23,$DT$2:$DT$201,0)),DR23))))</f>
        <v/>
      </c>
      <c r="AX23" s="23" t="n">
        <f aca="false">ROW()</f>
        <v>23</v>
      </c>
      <c r="AY23" s="23" t="n">
        <f aca="false">IF(AND(TRIM($A23)&lt;&gt;"",ISNUMBER(H23)),IF(AND(LEFT($A23,6)="SAMPLE",Config!$B$19&lt;&gt;"Y"),0,1),0)</f>
        <v>0</v>
      </c>
      <c r="AZ23" s="23" t="n">
        <f aca="false">IF(AY23=1,IF(COUNTIFS($AW$2:$AW$201,AW23,$AY$2:$AY$201,1,$H$2:$H$201,"&lt;"&amp;H23)+COUNTIFS($AW$2:$AW$201,AW23,$AY$2:$AY$201,1,$H$2:$H$201,H23,$AX$2:$AX$201,"&lt;"&amp;AX23)=0,1,0),0)</f>
        <v>0</v>
      </c>
      <c r="BA23" s="23" t="n">
        <f aca="false">IF(AY23=1,IF(COUNTIFS($A$2:$A$201,$A23,$AY$2:$AY$201,1,$H$2:$H$201,"&gt;"&amp;H23)+COUNTIFS($A$2:$A$201,$A23,$AY$2:$AY$201,1,$H$2:$H$201,H23,$AX$2:$AX$201,"&gt;"&amp;AX23)=0,1,0),0)</f>
        <v>0</v>
      </c>
      <c r="BB23" s="23" t="n">
        <f aca="false">IF(AND(AY23=1,O23="Y",MAX(N(R23),N(V23))&gt;=Config!$B$14),1,0)</f>
        <v>0</v>
      </c>
      <c r="BC23" s="23" t="n">
        <f aca="false">IF(BB23=1,IF(COUNTIFS($AW$2:$AW$201,AW23,$BB$2:$BB$201,1,$H$2:$H$201,"&lt;"&amp;H23)+COUNTIFS($AW$2:$AW$201,AW23,$BB$2:$BB$201,1,$H$2:$H$201,H23,$AX$2:$AX$201,"&lt;"&amp;AX23)=0,1,0),0)</f>
        <v>0</v>
      </c>
      <c r="BD23" s="23" t="n">
        <f aca="false">IF(AND(AY23=1,O23="Y",ISNUMBER(R23)),IF(R23&gt;=Config!$B$14,1,0),0)</f>
        <v>0</v>
      </c>
      <c r="BE23" s="23" t="n">
        <f aca="false">IF(BD23=1,IF(COUNTIFS($AW$2:$AW$201,AW23,$BD$2:$BD$201,1,$H$2:$H$201,"&lt;"&amp;H23)+COUNTIFS($AW$2:$AW$201,AW23,$BD$2:$BD$201,1,$H$2:$H$201,H23,$AX$2:$AX$201,"&lt;"&amp;AX23)=0,1,0),0)</f>
        <v>0</v>
      </c>
      <c r="BF23" s="23" t="n">
        <f aca="false">IF(AND(AY23=1,O23&lt;&gt;"Y",MAX(N(R23),N(V23))&gt;=Config!$B$14),1,0)</f>
        <v>0</v>
      </c>
      <c r="BG23" s="23" t="n">
        <f aca="false">IF(BF23=1,IF(COUNTIFS($AW$2:$AW$201,AW23,$BF$2:$BF$201,1,$H$2:$H$201,"&lt;"&amp;H23)+COUNTIFS($AW$2:$AW$201,AW23,$BF$2:$BF$201,1,$H$2:$H$201,H23,$AX$2:$AX$201,"&lt;"&amp;AX23)=0,1,0),0)</f>
        <v>0</v>
      </c>
      <c r="BH23" s="23" t="n">
        <f aca="false">IF(AND(AY23=1,ISNUMBER(R23)),1,0)</f>
        <v>0</v>
      </c>
      <c r="BI23" s="23" t="n">
        <f aca="false">IF(BH23=1,IF(COUNTIFS($AW$2:$AW$201,AW23,$BH$2:$BH$201,1,$H$2:$H$201,"&lt;"&amp;H23)+COUNTIFS($AW$2:$AW$201,AW23,$BH$2:$BH$201,1,$H$2:$H$201,H23,$AX$2:$AX$201,"&lt;"&amp;AX23)=0,1,0),0)</f>
        <v>0</v>
      </c>
      <c r="BJ23" s="23" t="str">
        <f aca="false">IF(AND(BI23=1,INT(N(H23))&lt;=Config!$B$6),R23,"")</f>
        <v/>
      </c>
      <c r="BK23" s="23" t="str">
        <f aca="false">IF(AND(BI23=1,INT(N(H23))&lt;=Config!$B$7),R23,"")</f>
        <v/>
      </c>
      <c r="BL23" s="23" t="str">
        <f aca="false">IF(AND(BI23=1,INT(N(H23))&lt;=Config!$B$8),R23,"")</f>
        <v/>
      </c>
      <c r="BM23" s="23" t="str">
        <f aca="false">IF(AND(BI23=1,INT(N(H23))&lt;=Config!$B$5),R23,"")</f>
        <v/>
      </c>
      <c r="BN23" s="23" t="n">
        <f aca="false">IF(AND(AY23=1,ISNUMBER(V23)),1,0)</f>
        <v>0</v>
      </c>
      <c r="BO23" s="23" t="n">
        <f aca="false">IF(BN23=1,IF(COUNTIFS($AW$2:$AW$201,AW23,$BN$2:$BN$201,1,$H$2:$H$201,"&lt;"&amp;H23)+COUNTIFS($AW$2:$AW$201,AW23,$BN$2:$BN$201,1,$H$2:$H$201,H23,$AX$2:$AX$201,"&lt;"&amp;AX23)=0,1,0),0)</f>
        <v>0</v>
      </c>
      <c r="BP23" s="23" t="str">
        <f aca="false">IF(AND(BO23=1,INT(N(H23))&lt;=Config!$B$6),V23,"")</f>
        <v/>
      </c>
      <c r="BQ23" s="23" t="str">
        <f aca="false">IF(AND(BO23=1,INT(N(H23))&lt;=Config!$B$7),V23,"")</f>
        <v/>
      </c>
      <c r="BR23" s="23" t="str">
        <f aca="false">IF(AND(BO23=1,INT(N(H23))&lt;=Config!$B$8),V23,"")</f>
        <v/>
      </c>
      <c r="BS23" s="23" t="str">
        <f aca="false">IF(AND(BO23=1,INT(N(H23))&lt;=Config!$B$5),V23,"")</f>
        <v/>
      </c>
      <c r="BT23" s="23" t="n">
        <f aca="false">IF(AND(AY23=1,ISNUMBER(K23)),1,0)</f>
        <v>0</v>
      </c>
      <c r="BU23" s="23" t="n">
        <f aca="false">IF(BT23=1,IF(COUNTIFS($AW$2:$AW$201,AW23,$BT$2:$BT$201,1,$H$2:$H$201,"&lt;"&amp;H23)+COUNTIFS($AW$2:$AW$201,AW23,$BT$2:$BT$201,1,$H$2:$H$201,H23,$AX$2:$AX$201,"&lt;"&amp;AX23)=0,1,0),0)</f>
        <v>0</v>
      </c>
      <c r="BV23" s="23" t="str">
        <f aca="false">IF(AND(BU23=1,INT(N(H23))&lt;=Config!$B$5),K23,"")</f>
        <v/>
      </c>
      <c r="BW23" s="23" t="n">
        <f aca="false">IF(AND(AY23=1,OR(AND(ISNUMBER(R23),TRIM(S23)=""),AND(ISNUMBER(V23),TRIM(W23)=""))),1,0)</f>
        <v>0</v>
      </c>
      <c r="BX23" s="23" t="str">
        <f aca="false">IF(AY23=1,AJ23&amp;"","")</f>
        <v/>
      </c>
      <c r="BY23" s="23" t="str">
        <f aca="false">IF(AY23=1,AK23&amp;"","")</f>
        <v/>
      </c>
      <c r="BZ23" s="23" t="str">
        <f aca="false">IF(AY23=1,AL23&amp;"","")</f>
        <v/>
      </c>
      <c r="CA23" s="23" t="str">
        <f aca="false">IF(AND(AY23=1,ISNUMBER(AS23),INT(N(H23))&lt;=Config!$B$5),AS23,"")</f>
        <v/>
      </c>
      <c r="CB23" s="23" t="str">
        <f aca="false">IF(AY23=1,IF(COUNTIFS($A$2:$A$201,$A23,$CU$2:$CU$201,1,$AN$2:$AN$201,"Y")&gt;0,"Y","N"),"")</f>
        <v/>
      </c>
      <c r="CC23" s="23" t="n">
        <f aca="false">IF(AND(AY23=1,AN23="Y"),IF(COUNTIFS($AW$2:$AW$201,AW23,$AN$2:$AN$201,"Y",$AY$2:$AY$201,1,$H$2:$H$201,"&lt;"&amp;H23)+COUNTIFS($AW$2:$AW$201,AW23,$AN$2:$AN$201,"Y",$AY$2:$AY$201,1,$H$2:$H$201,H23,$AX$2:$AX$201,"&lt;"&amp;AX23)=0,1,0),0)</f>
        <v>0</v>
      </c>
      <c r="CD23" s="23" t="n">
        <f aca="false">IF(AND(AY23=1,AB23="Y",AC23="Y",AD23="Y",AE23="Y",AF23="Y",AG23="Y",AI23="Y",TRIM(AH23)&lt;&gt;""),1,0)</f>
        <v>0</v>
      </c>
      <c r="CE23" s="23" t="n">
        <f aca="false">IF(CD23=1,IF(COUNTIFS($AW$2:$AW$201,AW23,$CD$2:$CD$201,1,$H$2:$H$201,"&lt;"&amp;H23)+COUNTIFS($AW$2:$AW$201,AW23,$CD$2:$CD$201,1,$H$2:$H$201,H23,$AX$2:$AX$201,"&lt;"&amp;AX23)=0,1,0),0)</f>
        <v>0</v>
      </c>
      <c r="CF23" s="23" t="n">
        <f aca="false">IF(AND(AY23=1,AO23="Y"),1,0)</f>
        <v>0</v>
      </c>
      <c r="CG23" s="23" t="n">
        <f aca="false">IF(CF23=1,IF(COUNTIFS($AW$2:$AW$201,AW23,$CF$2:$CF$201,1,$H$2:$H$201,"&lt;"&amp;H23)+COUNTIFS($AW$2:$AW$201,AW23,$CF$2:$CF$201,1,$H$2:$H$201,H23,$AX$2:$AX$201,"&lt;"&amp;AX23)=0,1,0),0)</f>
        <v>0</v>
      </c>
      <c r="CH23" s="23" t="n">
        <f aca="false">IF(AND(AY23=1,P23="Y"),1,0)</f>
        <v>0</v>
      </c>
      <c r="CI23" s="23" t="n">
        <f aca="false">IF(CH23=1,IF(COUNTIFS($AW$2:$AW$201,AW23,$CH$2:$CH$201,1,$H$2:$H$201,"&lt;"&amp;H23)+COUNTIFS($AW$2:$AW$201,AW23,$CH$2:$CH$201,1,$H$2:$H$201,H23,$AX$2:$AX$201,"&lt;"&amp;AX23)=0,1,0),0)</f>
        <v>0</v>
      </c>
      <c r="CJ23" s="23" t="str">
        <f aca="false">IF(AND(BU23=1,INT(N(H23))&lt;=Config!$B$5),L23,"")</f>
        <v/>
      </c>
      <c r="CK23" s="23" t="n">
        <f aca="false">IF(AND(AY23=1,AR23="Y"),1,0)</f>
        <v>0</v>
      </c>
      <c r="CL23" s="23" t="n">
        <f aca="false">IF(CK23=1,IF(COUNTIFS($AW$2:$AW$201,AW23,$CK$2:$CK$201,1,$H$2:$H$201,"&lt;"&amp;H23)+COUNTIFS($AW$2:$AW$201,AW23,$CK$2:$CK$201,1,$H$2:$H$201,H23,$AX$2:$AX$201,"&lt;"&amp;AX23)=0,1,0),0)</f>
        <v>0</v>
      </c>
      <c r="CM23" s="23" t="str">
        <f aca="false">IF(AY23=1,IFERROR(MATCH($A23,INDEX(Clay_Brands!$A$2:$FZ$601,0,Sync!$D$5),0),""),"")</f>
        <v/>
      </c>
      <c r="CN23" s="23" t="str">
        <f aca="false">IF(CM23="","",IFERROR(INDEX(Clay_Brands!$A$2:$FZ$601,CM23,Sync!$D$7)&amp;"",""))</f>
        <v/>
      </c>
      <c r="CO23" s="23" t="str">
        <f aca="false">IF(CN23="","",IFERROR(INDEX(Lists!$K$2:$K$15,MATCH(CN23,Lists!$J$2:$J$15,0)),""))</f>
        <v/>
      </c>
      <c r="CP23" s="23" t="str">
        <f aca="false">IF(CM23="","",IFERROR(INDEX(Clay_Brands!$A$2:$FZ$601,CM23,Sync!$D$17)&amp;"",""))</f>
        <v/>
      </c>
      <c r="CQ23" s="35" t="str">
        <f aca="false">IF(CM23="","",IFERROR(N(INDEX(Clay_Brands!$A$2:$FZ$601,CM23,Sync!$D$16)),0))</f>
        <v/>
      </c>
      <c r="CR23" s="23" t="n">
        <f aca="false">IF(AND(AY23=1,OR(O23="N",AND(OR(ISNUMBER(R23),ISNUMBER(V23)),MAX(N(R23),N(V23))&lt;Config!$B$14))),1,0)</f>
        <v>0</v>
      </c>
      <c r="CS23" s="23" t="n">
        <f aca="false">IF(OR(BB23=1,CR23=1),1,0)</f>
        <v>0</v>
      </c>
      <c r="CT23" s="23" t="n">
        <f aca="false">IF(AND(AY23=1,OR(AN23="Y",AN23="N",AN23="maybe")),1,0)</f>
        <v>0</v>
      </c>
      <c r="CU23" s="23" t="n">
        <f aca="false">IF(AND(CT23=1),IF(COUNTIFS($A$2:$A$201,$A23,$CT$2:$CT$201,1,$H$2:$H$201,"&gt;"&amp;H23)+COUNTIFS($A$2:$A$201,$A23,$CT$2:$CT$201,1,$H$2:$H$201,H23,$AX$2:$AX$201,"&gt;"&amp;AX23)=0,1,0),0)</f>
        <v>0</v>
      </c>
      <c r="CV23" s="23" t="n">
        <f aca="false">IF(AND(CS23=1,INT(N(H23))&lt;=Config!$B$6),IF(COUNTIFS($AW$2:$AW$201,AW23,$CS$2:$CS$201,1,$H$2:$H$201,"&gt;"&amp;H23,$H$2:$H$201,"&lt;"&amp;(Config!$B$6+1))+COUNTIFS($AW$2:$AW$201,AW23,$CS$2:$CS$201,1,$H$2:$H$201,H23,$AX$2:$AX$201,"&gt;"&amp;AX23)=0,1,0),0)</f>
        <v>0</v>
      </c>
      <c r="CW23" s="23" t="n">
        <f aca="false">IF(AND(CS23=1,INT(N(H23))&lt;=Config!$B$7),IF(COUNTIFS($AW$2:$AW$201,AW23,$CS$2:$CS$201,1,$H$2:$H$201,"&gt;"&amp;H23,$H$2:$H$201,"&lt;"&amp;(Config!$B$7+1))+COUNTIFS($AW$2:$AW$201,AW23,$CS$2:$CS$201,1,$H$2:$H$201,H23,$AX$2:$AX$201,"&gt;"&amp;AX23)=0,1,0),0)</f>
        <v>0</v>
      </c>
      <c r="CX23" s="23" t="n">
        <f aca="false">IF(AND(CS23=1,INT(N(H23))&lt;=Config!$B$8),IF(COUNTIFS($AW$2:$AW$201,AW23,$CS$2:$CS$201,1,$H$2:$H$201,"&gt;"&amp;H23,$H$2:$H$201,"&lt;"&amp;(Config!$B$8+1))+COUNTIFS($AW$2:$AW$201,AW23,$CS$2:$CS$201,1,$H$2:$H$201,H23,$AX$2:$AX$201,"&gt;"&amp;AX23)=0,1,0),0)</f>
        <v>0</v>
      </c>
      <c r="CY23" s="23" t="n">
        <f aca="false">IF(AND(CS23=1,INT(N(H23))&lt;=Config!$B$5),IF(COUNTIFS($AW$2:$AW$201,AW23,$CS$2:$CS$201,1,$H$2:$H$201,"&gt;"&amp;H23,$H$2:$H$201,"&lt;"&amp;(Config!$B$5+1))+COUNTIFS($AW$2:$AW$201,AW23,$CS$2:$CS$201,1,$H$2:$H$201,H23,$AX$2:$AX$201,"&gt;"&amp;AX23)=0,1,0),0)</f>
        <v>0</v>
      </c>
      <c r="CZ23" s="23" t="n">
        <f aca="false">IF(AY23=1,IF(COUNTIFS($AW$2:$AW$201,AW23,$CV$2:$CV$201,1,$BB$2:$BB$201,1)&gt;0,1,0),0)</f>
        <v>0</v>
      </c>
      <c r="DA23" s="23" t="n">
        <f aca="false">IF(AY23=1,IF(COUNTIFS($AW$2:$AW$201,AW23,$CW$2:$CW$201,1,$BB$2:$BB$201,1)&gt;0,1,0),0)</f>
        <v>0</v>
      </c>
      <c r="DB23" s="23" t="n">
        <f aca="false">IF(AY23=1,IF(COUNTIFS($AW$2:$AW$201,AW23,$CX$2:$CX$201,1,$BB$2:$BB$201,1)&gt;0,1,0),0)</f>
        <v>0</v>
      </c>
      <c r="DC23" s="23" t="n">
        <f aca="false">IF(AY23=1,IF(COUNTIFS($AW$2:$AW$201,AW23,$CY$2:$CY$201,1,$BB$2:$BB$201,1)&gt;0,1,0),0)</f>
        <v>0</v>
      </c>
      <c r="DD23" s="23" t="n">
        <f aca="false">IF(AND(BC23=1,INT(N(H23))&lt;=Config!$B$6,CZ23=1),1,0)</f>
        <v>0</v>
      </c>
      <c r="DE23" s="23" t="n">
        <f aca="false">IF(AND(BC23=1,INT(N(H23))&lt;=Config!$B$7,DA23=1),1,0)</f>
        <v>0</v>
      </c>
      <c r="DF23" s="23" t="n">
        <f aca="false">IF(AND(BC23=1,INT(N(H23))&lt;=Config!$B$8,DB23=1),1,0)</f>
        <v>0</v>
      </c>
      <c r="DG23" s="23" t="n">
        <f aca="false">IF(AND(BC23=1,INT(N(H23))&lt;=Config!$B$5,DC23=1),1,0)</f>
        <v>0</v>
      </c>
      <c r="DH23" s="23" t="n">
        <f aca="false">IF(AND(BE23=1,INT(N(H23))&lt;=Config!$B$6,CZ23=1),1,0)</f>
        <v>0</v>
      </c>
      <c r="DI23" s="23" t="n">
        <f aca="false">IF(AND(BE23=1,INT(N(H23))&lt;=Config!$B$7,DA23=1),1,0)</f>
        <v>0</v>
      </c>
      <c r="DJ23" s="23" t="n">
        <f aca="false">IF(AND(BE23=1,INT(N(H23))&lt;=Config!$B$8,DB23=1),1,0)</f>
        <v>0</v>
      </c>
      <c r="DK23" s="23" t="n">
        <f aca="false">IF(AND(BE23=1,INT(N(H23))&lt;=Config!$B$5,DC23=1),1,0)</f>
        <v>0</v>
      </c>
      <c r="DL23" s="23" t="n">
        <f aca="false">IF(AND(BC23=1,INT(N(H23))&lt;=Config!$B$6,CZ23=0),1,0)</f>
        <v>0</v>
      </c>
      <c r="DM23" s="23" t="n">
        <f aca="false">IF(AND(BC23=1,INT(N(H23))&lt;=Config!$B$7,DA23=0),1,0)</f>
        <v>0</v>
      </c>
      <c r="DN23" s="23" t="n">
        <f aca="false">IF(AND(BC23=1,INT(N(H23))&lt;=Config!$B$8,DB23=0),1,0)</f>
        <v>0</v>
      </c>
      <c r="DO23" s="23" t="n">
        <f aca="false">IF(AND(BC23=1,INT(N(H23))&lt;=Config!$B$5,DC23=0),1,0)</f>
        <v>0</v>
      </c>
      <c r="DP23" s="23" t="n">
        <f aca="false">IF(TRIM($A23)="",0,ISTEXT(K23)+ISTEXT(L23)+ISTEXT(R23)+ISTEXT(V23)+ISTEXT(AP23)+ISTEXT(AS23))</f>
        <v>0</v>
      </c>
      <c r="DQ23" s="23" t="n">
        <f aca="false">IF(AY23=1,IF(H23&lt;&gt;INT(H23),1,0),0)</f>
        <v>0</v>
      </c>
      <c r="DR23" s="23" t="str">
        <f aca="false">IF(TRIM($A23)="","",IF(TRIM(B23)="",SUBSTITUTE(SUBSTITUTE(SUBSTITUTE(SUBSTITUTE(SUBSTITUTE(SUBSTITUTE(LOWER(TRIM($A23)),"~",""),"*",""),"?",""),"&lt;",""),"&gt;",""),"=",""),SUBSTITUTE(SUBSTITUTE(SUBSTITUTE(SUBSTITUTE(SUBSTITUTE(SUBSTITUTE(LOWER(TRIM(B23)),"~",""),"*",""),"?",""),"&lt;",""),"&gt;",""),"=","")))</f>
        <v/>
      </c>
      <c r="DS23" s="23" t="str">
        <f aca="false">IF(CM23="","",IFERROR(IF(LEFT(LOWER(TRIM(INDEX(Clay_Brands!$A$2:$FZ$601,CM23,Sync!$D$19)&amp;"")),4)="grp-",SUBSTITUTE(SUBSTITUTE(SUBSTITUTE(SUBSTITUTE(SUBSTITUTE(SUBSTITUTE(LOWER(TRIM(INDEX(Clay_Brands!$A$2:$FZ$601,CM23,Sync!$D$19)&amp;"")),"~",""),"*",""),"?",""),"&lt;",""),"&gt;",""),"=",""),""),""))</f>
        <v/>
      </c>
      <c r="DT23" s="23" t="str">
        <f aca="false">IF(DS23&lt;&gt;"",DR23,"")</f>
        <v/>
      </c>
      <c r="DU23" s="23" t="str">
        <f aca="false">IF(AZ23=1,AW23,"")</f>
        <v/>
      </c>
      <c r="DV23" s="23" t="str">
        <f aca="false">IF(TRIM($A23)="","",IFERROR(INDEX($A$2:$A$201,MATCH(AW23,$DU$2:$DU$201,0))&amp;"",$A23&amp;""))</f>
        <v/>
      </c>
      <c r="DW23" s="23" t="n">
        <f aca="false">IF(AY23=1,IF(COUNTIFS($A$2:$A$201,$A23,$AY$2:$AY$201,1,$H$2:$H$201,"&lt;"&amp;H23)+COUNTIFS($A$2:$A$201,$A23,$AY$2:$AY$201,1,$H$2:$H$201,H23,$AX$2:$AX$201,"&lt;"&amp;AX23)=0,1,0),0)</f>
        <v>0</v>
      </c>
      <c r="DX23" s="23" t="n">
        <f aca="false">IF(AZ23=1,IF(COUNTIFS($AW$2:$AW$201,AW23,$DW$2:$DW$201,1)&gt;1,1,0),0)</f>
        <v>0</v>
      </c>
    </row>
    <row r="24" customFormat="false" ht="15" hidden="false" customHeight="false" outlineLevel="0" collapsed="false">
      <c r="G24" s="32"/>
      <c r="H24" s="33"/>
      <c r="I24" s="32"/>
      <c r="O24" s="32"/>
      <c r="P24" s="32"/>
      <c r="U24" s="32"/>
      <c r="Y24" s="32"/>
      <c r="AB24" s="32"/>
      <c r="AC24" s="32"/>
      <c r="AD24" s="32"/>
      <c r="AE24" s="32"/>
      <c r="AF24" s="32"/>
      <c r="AG24" s="32"/>
      <c r="AI24" s="32"/>
      <c r="AJ24" s="32"/>
      <c r="AK24" s="32"/>
      <c r="AN24" s="32"/>
      <c r="AO24" s="32"/>
      <c r="AR24" s="32"/>
      <c r="AT24" s="32"/>
      <c r="AV24" s="34" t="str">
        <f aca="false">IF(TRIM($A24)="","",IF(AND(LEFT($A24,6)="SAMPLE",Config!$B$19&lt;&gt;"Y"),"",IF(NOT(ISNUMBER(H24)),"call_date is blank or not a date",IF(Sync!$D$5="","Clay paste is empty or has no row_id column: paste the Clay export on Clay_Brands",IF(CM24="","row_id not found in the Clay paste: add the Clay row or fix the row_id",IF(AND(ISNUMBER(CO24),CO24&gt;=1,CO24&lt;=5),"Clay status is "&amp;CN24&amp;": set call_done or later",IF(AND(BA24=1,CP24&lt;&gt;CB24),"Clay yes_in_principle should be "&amp;CB24,IF(AND(BA24=1,CQ24&lt;&gt;H24),"Clay call_date should be "&amp;TEXT(H24,"yyyy-mm-dd"),""))))))))</f>
        <v/>
      </c>
      <c r="AW24" s="23" t="str">
        <f aca="false">IF(TRIM($A24)="","",IF(TRIM(C24)&lt;&gt;"",SUBSTITUTE(SUBSTITUTE(SUBSTITUTE(SUBSTITUTE(SUBSTITUTE(SUBSTITUTE(LOWER(TRIM(C24)),"~",""),"*",""),"?",""),"&lt;",""),"&gt;",""),"=",""),IF(DS24&lt;&gt;"",DS24,IFERROR(INDEX($DS$2:$DS$201,MATCH(DR24,$DT$2:$DT$201,0)),DR24))))</f>
        <v/>
      </c>
      <c r="AX24" s="23" t="n">
        <f aca="false">ROW()</f>
        <v>24</v>
      </c>
      <c r="AY24" s="23" t="n">
        <f aca="false">IF(AND(TRIM($A24)&lt;&gt;"",ISNUMBER(H24)),IF(AND(LEFT($A24,6)="SAMPLE",Config!$B$19&lt;&gt;"Y"),0,1),0)</f>
        <v>0</v>
      </c>
      <c r="AZ24" s="23" t="n">
        <f aca="false">IF(AY24=1,IF(COUNTIFS($AW$2:$AW$201,AW24,$AY$2:$AY$201,1,$H$2:$H$201,"&lt;"&amp;H24)+COUNTIFS($AW$2:$AW$201,AW24,$AY$2:$AY$201,1,$H$2:$H$201,H24,$AX$2:$AX$201,"&lt;"&amp;AX24)=0,1,0),0)</f>
        <v>0</v>
      </c>
      <c r="BA24" s="23" t="n">
        <f aca="false">IF(AY24=1,IF(COUNTIFS($A$2:$A$201,$A24,$AY$2:$AY$201,1,$H$2:$H$201,"&gt;"&amp;H24)+COUNTIFS($A$2:$A$201,$A24,$AY$2:$AY$201,1,$H$2:$H$201,H24,$AX$2:$AX$201,"&gt;"&amp;AX24)=0,1,0),0)</f>
        <v>0</v>
      </c>
      <c r="BB24" s="23" t="n">
        <f aca="false">IF(AND(AY24=1,O24="Y",MAX(N(R24),N(V24))&gt;=Config!$B$14),1,0)</f>
        <v>0</v>
      </c>
      <c r="BC24" s="23" t="n">
        <f aca="false">IF(BB24=1,IF(COUNTIFS($AW$2:$AW$201,AW24,$BB$2:$BB$201,1,$H$2:$H$201,"&lt;"&amp;H24)+COUNTIFS($AW$2:$AW$201,AW24,$BB$2:$BB$201,1,$H$2:$H$201,H24,$AX$2:$AX$201,"&lt;"&amp;AX24)=0,1,0),0)</f>
        <v>0</v>
      </c>
      <c r="BD24" s="23" t="n">
        <f aca="false">IF(AND(AY24=1,O24="Y",ISNUMBER(R24)),IF(R24&gt;=Config!$B$14,1,0),0)</f>
        <v>0</v>
      </c>
      <c r="BE24" s="23" t="n">
        <f aca="false">IF(BD24=1,IF(COUNTIFS($AW$2:$AW$201,AW24,$BD$2:$BD$201,1,$H$2:$H$201,"&lt;"&amp;H24)+COUNTIFS($AW$2:$AW$201,AW24,$BD$2:$BD$201,1,$H$2:$H$201,H24,$AX$2:$AX$201,"&lt;"&amp;AX24)=0,1,0),0)</f>
        <v>0</v>
      </c>
      <c r="BF24" s="23" t="n">
        <f aca="false">IF(AND(AY24=1,O24&lt;&gt;"Y",MAX(N(R24),N(V24))&gt;=Config!$B$14),1,0)</f>
        <v>0</v>
      </c>
      <c r="BG24" s="23" t="n">
        <f aca="false">IF(BF24=1,IF(COUNTIFS($AW$2:$AW$201,AW24,$BF$2:$BF$201,1,$H$2:$H$201,"&lt;"&amp;H24)+COUNTIFS($AW$2:$AW$201,AW24,$BF$2:$BF$201,1,$H$2:$H$201,H24,$AX$2:$AX$201,"&lt;"&amp;AX24)=0,1,0),0)</f>
        <v>0</v>
      </c>
      <c r="BH24" s="23" t="n">
        <f aca="false">IF(AND(AY24=1,ISNUMBER(R24)),1,0)</f>
        <v>0</v>
      </c>
      <c r="BI24" s="23" t="n">
        <f aca="false">IF(BH24=1,IF(COUNTIFS($AW$2:$AW$201,AW24,$BH$2:$BH$201,1,$H$2:$H$201,"&lt;"&amp;H24)+COUNTIFS($AW$2:$AW$201,AW24,$BH$2:$BH$201,1,$H$2:$H$201,H24,$AX$2:$AX$201,"&lt;"&amp;AX24)=0,1,0),0)</f>
        <v>0</v>
      </c>
      <c r="BJ24" s="23" t="str">
        <f aca="false">IF(AND(BI24=1,INT(N(H24))&lt;=Config!$B$6),R24,"")</f>
        <v/>
      </c>
      <c r="BK24" s="23" t="str">
        <f aca="false">IF(AND(BI24=1,INT(N(H24))&lt;=Config!$B$7),R24,"")</f>
        <v/>
      </c>
      <c r="BL24" s="23" t="str">
        <f aca="false">IF(AND(BI24=1,INT(N(H24))&lt;=Config!$B$8),R24,"")</f>
        <v/>
      </c>
      <c r="BM24" s="23" t="str">
        <f aca="false">IF(AND(BI24=1,INT(N(H24))&lt;=Config!$B$5),R24,"")</f>
        <v/>
      </c>
      <c r="BN24" s="23" t="n">
        <f aca="false">IF(AND(AY24=1,ISNUMBER(V24)),1,0)</f>
        <v>0</v>
      </c>
      <c r="BO24" s="23" t="n">
        <f aca="false">IF(BN24=1,IF(COUNTIFS($AW$2:$AW$201,AW24,$BN$2:$BN$201,1,$H$2:$H$201,"&lt;"&amp;H24)+COUNTIFS($AW$2:$AW$201,AW24,$BN$2:$BN$201,1,$H$2:$H$201,H24,$AX$2:$AX$201,"&lt;"&amp;AX24)=0,1,0),0)</f>
        <v>0</v>
      </c>
      <c r="BP24" s="23" t="str">
        <f aca="false">IF(AND(BO24=1,INT(N(H24))&lt;=Config!$B$6),V24,"")</f>
        <v/>
      </c>
      <c r="BQ24" s="23" t="str">
        <f aca="false">IF(AND(BO24=1,INT(N(H24))&lt;=Config!$B$7),V24,"")</f>
        <v/>
      </c>
      <c r="BR24" s="23" t="str">
        <f aca="false">IF(AND(BO24=1,INT(N(H24))&lt;=Config!$B$8),V24,"")</f>
        <v/>
      </c>
      <c r="BS24" s="23" t="str">
        <f aca="false">IF(AND(BO24=1,INT(N(H24))&lt;=Config!$B$5),V24,"")</f>
        <v/>
      </c>
      <c r="BT24" s="23" t="n">
        <f aca="false">IF(AND(AY24=1,ISNUMBER(K24)),1,0)</f>
        <v>0</v>
      </c>
      <c r="BU24" s="23" t="n">
        <f aca="false">IF(BT24=1,IF(COUNTIFS($AW$2:$AW$201,AW24,$BT$2:$BT$201,1,$H$2:$H$201,"&lt;"&amp;H24)+COUNTIFS($AW$2:$AW$201,AW24,$BT$2:$BT$201,1,$H$2:$H$201,H24,$AX$2:$AX$201,"&lt;"&amp;AX24)=0,1,0),0)</f>
        <v>0</v>
      </c>
      <c r="BV24" s="23" t="str">
        <f aca="false">IF(AND(BU24=1,INT(N(H24))&lt;=Config!$B$5),K24,"")</f>
        <v/>
      </c>
      <c r="BW24" s="23" t="n">
        <f aca="false">IF(AND(AY24=1,OR(AND(ISNUMBER(R24),TRIM(S24)=""),AND(ISNUMBER(V24),TRIM(W24)=""))),1,0)</f>
        <v>0</v>
      </c>
      <c r="BX24" s="23" t="str">
        <f aca="false">IF(AY24=1,AJ24&amp;"","")</f>
        <v/>
      </c>
      <c r="BY24" s="23" t="str">
        <f aca="false">IF(AY24=1,AK24&amp;"","")</f>
        <v/>
      </c>
      <c r="BZ24" s="23" t="str">
        <f aca="false">IF(AY24=1,AL24&amp;"","")</f>
        <v/>
      </c>
      <c r="CA24" s="23" t="str">
        <f aca="false">IF(AND(AY24=1,ISNUMBER(AS24),INT(N(H24))&lt;=Config!$B$5),AS24,"")</f>
        <v/>
      </c>
      <c r="CB24" s="23" t="str">
        <f aca="false">IF(AY24=1,IF(COUNTIFS($A$2:$A$201,$A24,$CU$2:$CU$201,1,$AN$2:$AN$201,"Y")&gt;0,"Y","N"),"")</f>
        <v/>
      </c>
      <c r="CC24" s="23" t="n">
        <f aca="false">IF(AND(AY24=1,AN24="Y"),IF(COUNTIFS($AW$2:$AW$201,AW24,$AN$2:$AN$201,"Y",$AY$2:$AY$201,1,$H$2:$H$201,"&lt;"&amp;H24)+COUNTIFS($AW$2:$AW$201,AW24,$AN$2:$AN$201,"Y",$AY$2:$AY$201,1,$H$2:$H$201,H24,$AX$2:$AX$201,"&lt;"&amp;AX24)=0,1,0),0)</f>
        <v>0</v>
      </c>
      <c r="CD24" s="23" t="n">
        <f aca="false">IF(AND(AY24=1,AB24="Y",AC24="Y",AD24="Y",AE24="Y",AF24="Y",AG24="Y",AI24="Y",TRIM(AH24)&lt;&gt;""),1,0)</f>
        <v>0</v>
      </c>
      <c r="CE24" s="23" t="n">
        <f aca="false">IF(CD24=1,IF(COUNTIFS($AW$2:$AW$201,AW24,$CD$2:$CD$201,1,$H$2:$H$201,"&lt;"&amp;H24)+COUNTIFS($AW$2:$AW$201,AW24,$CD$2:$CD$201,1,$H$2:$H$201,H24,$AX$2:$AX$201,"&lt;"&amp;AX24)=0,1,0),0)</f>
        <v>0</v>
      </c>
      <c r="CF24" s="23" t="n">
        <f aca="false">IF(AND(AY24=1,AO24="Y"),1,0)</f>
        <v>0</v>
      </c>
      <c r="CG24" s="23" t="n">
        <f aca="false">IF(CF24=1,IF(COUNTIFS($AW$2:$AW$201,AW24,$CF$2:$CF$201,1,$H$2:$H$201,"&lt;"&amp;H24)+COUNTIFS($AW$2:$AW$201,AW24,$CF$2:$CF$201,1,$H$2:$H$201,H24,$AX$2:$AX$201,"&lt;"&amp;AX24)=0,1,0),0)</f>
        <v>0</v>
      </c>
      <c r="CH24" s="23" t="n">
        <f aca="false">IF(AND(AY24=1,P24="Y"),1,0)</f>
        <v>0</v>
      </c>
      <c r="CI24" s="23" t="n">
        <f aca="false">IF(CH24=1,IF(COUNTIFS($AW$2:$AW$201,AW24,$CH$2:$CH$201,1,$H$2:$H$201,"&lt;"&amp;H24)+COUNTIFS($AW$2:$AW$201,AW24,$CH$2:$CH$201,1,$H$2:$H$201,H24,$AX$2:$AX$201,"&lt;"&amp;AX24)=0,1,0),0)</f>
        <v>0</v>
      </c>
      <c r="CJ24" s="23" t="str">
        <f aca="false">IF(AND(BU24=1,INT(N(H24))&lt;=Config!$B$5),L24,"")</f>
        <v/>
      </c>
      <c r="CK24" s="23" t="n">
        <f aca="false">IF(AND(AY24=1,AR24="Y"),1,0)</f>
        <v>0</v>
      </c>
      <c r="CL24" s="23" t="n">
        <f aca="false">IF(CK24=1,IF(COUNTIFS($AW$2:$AW$201,AW24,$CK$2:$CK$201,1,$H$2:$H$201,"&lt;"&amp;H24)+COUNTIFS($AW$2:$AW$201,AW24,$CK$2:$CK$201,1,$H$2:$H$201,H24,$AX$2:$AX$201,"&lt;"&amp;AX24)=0,1,0),0)</f>
        <v>0</v>
      </c>
      <c r="CM24" s="23" t="str">
        <f aca="false">IF(AY24=1,IFERROR(MATCH($A24,INDEX(Clay_Brands!$A$2:$FZ$601,0,Sync!$D$5),0),""),"")</f>
        <v/>
      </c>
      <c r="CN24" s="23" t="str">
        <f aca="false">IF(CM24="","",IFERROR(INDEX(Clay_Brands!$A$2:$FZ$601,CM24,Sync!$D$7)&amp;"",""))</f>
        <v/>
      </c>
      <c r="CO24" s="23" t="str">
        <f aca="false">IF(CN24="","",IFERROR(INDEX(Lists!$K$2:$K$15,MATCH(CN24,Lists!$J$2:$J$15,0)),""))</f>
        <v/>
      </c>
      <c r="CP24" s="23" t="str">
        <f aca="false">IF(CM24="","",IFERROR(INDEX(Clay_Brands!$A$2:$FZ$601,CM24,Sync!$D$17)&amp;"",""))</f>
        <v/>
      </c>
      <c r="CQ24" s="35" t="str">
        <f aca="false">IF(CM24="","",IFERROR(N(INDEX(Clay_Brands!$A$2:$FZ$601,CM24,Sync!$D$16)),0))</f>
        <v/>
      </c>
      <c r="CR24" s="23" t="n">
        <f aca="false">IF(AND(AY24=1,OR(O24="N",AND(OR(ISNUMBER(R24),ISNUMBER(V24)),MAX(N(R24),N(V24))&lt;Config!$B$14))),1,0)</f>
        <v>0</v>
      </c>
      <c r="CS24" s="23" t="n">
        <f aca="false">IF(OR(BB24=1,CR24=1),1,0)</f>
        <v>0</v>
      </c>
      <c r="CT24" s="23" t="n">
        <f aca="false">IF(AND(AY24=1,OR(AN24="Y",AN24="N",AN24="maybe")),1,0)</f>
        <v>0</v>
      </c>
      <c r="CU24" s="23" t="n">
        <f aca="false">IF(AND(CT24=1),IF(COUNTIFS($A$2:$A$201,$A24,$CT$2:$CT$201,1,$H$2:$H$201,"&gt;"&amp;H24)+COUNTIFS($A$2:$A$201,$A24,$CT$2:$CT$201,1,$H$2:$H$201,H24,$AX$2:$AX$201,"&gt;"&amp;AX24)=0,1,0),0)</f>
        <v>0</v>
      </c>
      <c r="CV24" s="23" t="n">
        <f aca="false">IF(AND(CS24=1,INT(N(H24))&lt;=Config!$B$6),IF(COUNTIFS($AW$2:$AW$201,AW24,$CS$2:$CS$201,1,$H$2:$H$201,"&gt;"&amp;H24,$H$2:$H$201,"&lt;"&amp;(Config!$B$6+1))+COUNTIFS($AW$2:$AW$201,AW24,$CS$2:$CS$201,1,$H$2:$H$201,H24,$AX$2:$AX$201,"&gt;"&amp;AX24)=0,1,0),0)</f>
        <v>0</v>
      </c>
      <c r="CW24" s="23" t="n">
        <f aca="false">IF(AND(CS24=1,INT(N(H24))&lt;=Config!$B$7),IF(COUNTIFS($AW$2:$AW$201,AW24,$CS$2:$CS$201,1,$H$2:$H$201,"&gt;"&amp;H24,$H$2:$H$201,"&lt;"&amp;(Config!$B$7+1))+COUNTIFS($AW$2:$AW$201,AW24,$CS$2:$CS$201,1,$H$2:$H$201,H24,$AX$2:$AX$201,"&gt;"&amp;AX24)=0,1,0),0)</f>
        <v>0</v>
      </c>
      <c r="CX24" s="23" t="n">
        <f aca="false">IF(AND(CS24=1,INT(N(H24))&lt;=Config!$B$8),IF(COUNTIFS($AW$2:$AW$201,AW24,$CS$2:$CS$201,1,$H$2:$H$201,"&gt;"&amp;H24,$H$2:$H$201,"&lt;"&amp;(Config!$B$8+1))+COUNTIFS($AW$2:$AW$201,AW24,$CS$2:$CS$201,1,$H$2:$H$201,H24,$AX$2:$AX$201,"&gt;"&amp;AX24)=0,1,0),0)</f>
        <v>0</v>
      </c>
      <c r="CY24" s="23" t="n">
        <f aca="false">IF(AND(CS24=1,INT(N(H24))&lt;=Config!$B$5),IF(COUNTIFS($AW$2:$AW$201,AW24,$CS$2:$CS$201,1,$H$2:$H$201,"&gt;"&amp;H24,$H$2:$H$201,"&lt;"&amp;(Config!$B$5+1))+COUNTIFS($AW$2:$AW$201,AW24,$CS$2:$CS$201,1,$H$2:$H$201,H24,$AX$2:$AX$201,"&gt;"&amp;AX24)=0,1,0),0)</f>
        <v>0</v>
      </c>
      <c r="CZ24" s="23" t="n">
        <f aca="false">IF(AY24=1,IF(COUNTIFS($AW$2:$AW$201,AW24,$CV$2:$CV$201,1,$BB$2:$BB$201,1)&gt;0,1,0),0)</f>
        <v>0</v>
      </c>
      <c r="DA24" s="23" t="n">
        <f aca="false">IF(AY24=1,IF(COUNTIFS($AW$2:$AW$201,AW24,$CW$2:$CW$201,1,$BB$2:$BB$201,1)&gt;0,1,0),0)</f>
        <v>0</v>
      </c>
      <c r="DB24" s="23" t="n">
        <f aca="false">IF(AY24=1,IF(COUNTIFS($AW$2:$AW$201,AW24,$CX$2:$CX$201,1,$BB$2:$BB$201,1)&gt;0,1,0),0)</f>
        <v>0</v>
      </c>
      <c r="DC24" s="23" t="n">
        <f aca="false">IF(AY24=1,IF(COUNTIFS($AW$2:$AW$201,AW24,$CY$2:$CY$201,1,$BB$2:$BB$201,1)&gt;0,1,0),0)</f>
        <v>0</v>
      </c>
      <c r="DD24" s="23" t="n">
        <f aca="false">IF(AND(BC24=1,INT(N(H24))&lt;=Config!$B$6,CZ24=1),1,0)</f>
        <v>0</v>
      </c>
      <c r="DE24" s="23" t="n">
        <f aca="false">IF(AND(BC24=1,INT(N(H24))&lt;=Config!$B$7,DA24=1),1,0)</f>
        <v>0</v>
      </c>
      <c r="DF24" s="23" t="n">
        <f aca="false">IF(AND(BC24=1,INT(N(H24))&lt;=Config!$B$8,DB24=1),1,0)</f>
        <v>0</v>
      </c>
      <c r="DG24" s="23" t="n">
        <f aca="false">IF(AND(BC24=1,INT(N(H24))&lt;=Config!$B$5,DC24=1),1,0)</f>
        <v>0</v>
      </c>
      <c r="DH24" s="23" t="n">
        <f aca="false">IF(AND(BE24=1,INT(N(H24))&lt;=Config!$B$6,CZ24=1),1,0)</f>
        <v>0</v>
      </c>
      <c r="DI24" s="23" t="n">
        <f aca="false">IF(AND(BE24=1,INT(N(H24))&lt;=Config!$B$7,DA24=1),1,0)</f>
        <v>0</v>
      </c>
      <c r="DJ24" s="23" t="n">
        <f aca="false">IF(AND(BE24=1,INT(N(H24))&lt;=Config!$B$8,DB24=1),1,0)</f>
        <v>0</v>
      </c>
      <c r="DK24" s="23" t="n">
        <f aca="false">IF(AND(BE24=1,INT(N(H24))&lt;=Config!$B$5,DC24=1),1,0)</f>
        <v>0</v>
      </c>
      <c r="DL24" s="23" t="n">
        <f aca="false">IF(AND(BC24=1,INT(N(H24))&lt;=Config!$B$6,CZ24=0),1,0)</f>
        <v>0</v>
      </c>
      <c r="DM24" s="23" t="n">
        <f aca="false">IF(AND(BC24=1,INT(N(H24))&lt;=Config!$B$7,DA24=0),1,0)</f>
        <v>0</v>
      </c>
      <c r="DN24" s="23" t="n">
        <f aca="false">IF(AND(BC24=1,INT(N(H24))&lt;=Config!$B$8,DB24=0),1,0)</f>
        <v>0</v>
      </c>
      <c r="DO24" s="23" t="n">
        <f aca="false">IF(AND(BC24=1,INT(N(H24))&lt;=Config!$B$5,DC24=0),1,0)</f>
        <v>0</v>
      </c>
      <c r="DP24" s="23" t="n">
        <f aca="false">IF(TRIM($A24)="",0,ISTEXT(K24)+ISTEXT(L24)+ISTEXT(R24)+ISTEXT(V24)+ISTEXT(AP24)+ISTEXT(AS24))</f>
        <v>0</v>
      </c>
      <c r="DQ24" s="23" t="n">
        <f aca="false">IF(AY24=1,IF(H24&lt;&gt;INT(H24),1,0),0)</f>
        <v>0</v>
      </c>
      <c r="DR24" s="23" t="str">
        <f aca="false">IF(TRIM($A24)="","",IF(TRIM(B24)="",SUBSTITUTE(SUBSTITUTE(SUBSTITUTE(SUBSTITUTE(SUBSTITUTE(SUBSTITUTE(LOWER(TRIM($A24)),"~",""),"*",""),"?",""),"&lt;",""),"&gt;",""),"=",""),SUBSTITUTE(SUBSTITUTE(SUBSTITUTE(SUBSTITUTE(SUBSTITUTE(SUBSTITUTE(LOWER(TRIM(B24)),"~",""),"*",""),"?",""),"&lt;",""),"&gt;",""),"=","")))</f>
        <v/>
      </c>
      <c r="DS24" s="23" t="str">
        <f aca="false">IF(CM24="","",IFERROR(IF(LEFT(LOWER(TRIM(INDEX(Clay_Brands!$A$2:$FZ$601,CM24,Sync!$D$19)&amp;"")),4)="grp-",SUBSTITUTE(SUBSTITUTE(SUBSTITUTE(SUBSTITUTE(SUBSTITUTE(SUBSTITUTE(LOWER(TRIM(INDEX(Clay_Brands!$A$2:$FZ$601,CM24,Sync!$D$19)&amp;"")),"~",""),"*",""),"?",""),"&lt;",""),"&gt;",""),"=",""),""),""))</f>
        <v/>
      </c>
      <c r="DT24" s="23" t="str">
        <f aca="false">IF(DS24&lt;&gt;"",DR24,"")</f>
        <v/>
      </c>
      <c r="DU24" s="23" t="str">
        <f aca="false">IF(AZ24=1,AW24,"")</f>
        <v/>
      </c>
      <c r="DV24" s="23" t="str">
        <f aca="false">IF(TRIM($A24)="","",IFERROR(INDEX($A$2:$A$201,MATCH(AW24,$DU$2:$DU$201,0))&amp;"",$A24&amp;""))</f>
        <v/>
      </c>
      <c r="DW24" s="23" t="n">
        <f aca="false">IF(AY24=1,IF(COUNTIFS($A$2:$A$201,$A24,$AY$2:$AY$201,1,$H$2:$H$201,"&lt;"&amp;H24)+COUNTIFS($A$2:$A$201,$A24,$AY$2:$AY$201,1,$H$2:$H$201,H24,$AX$2:$AX$201,"&lt;"&amp;AX24)=0,1,0),0)</f>
        <v>0</v>
      </c>
      <c r="DX24" s="23" t="n">
        <f aca="false">IF(AZ24=1,IF(COUNTIFS($AW$2:$AW$201,AW24,$DW$2:$DW$201,1)&gt;1,1,0),0)</f>
        <v>0</v>
      </c>
    </row>
    <row r="25" customFormat="false" ht="15" hidden="false" customHeight="false" outlineLevel="0" collapsed="false">
      <c r="G25" s="32"/>
      <c r="H25" s="33"/>
      <c r="I25" s="32"/>
      <c r="O25" s="32"/>
      <c r="P25" s="32"/>
      <c r="U25" s="32"/>
      <c r="Y25" s="32"/>
      <c r="AB25" s="32"/>
      <c r="AC25" s="32"/>
      <c r="AD25" s="32"/>
      <c r="AE25" s="32"/>
      <c r="AF25" s="32"/>
      <c r="AG25" s="32"/>
      <c r="AI25" s="32"/>
      <c r="AJ25" s="32"/>
      <c r="AK25" s="32"/>
      <c r="AN25" s="32"/>
      <c r="AO25" s="32"/>
      <c r="AR25" s="32"/>
      <c r="AT25" s="32"/>
      <c r="AV25" s="34" t="str">
        <f aca="false">IF(TRIM($A25)="","",IF(AND(LEFT($A25,6)="SAMPLE",Config!$B$19&lt;&gt;"Y"),"",IF(NOT(ISNUMBER(H25)),"call_date is blank or not a date",IF(Sync!$D$5="","Clay paste is empty or has no row_id column: paste the Clay export on Clay_Brands",IF(CM25="","row_id not found in the Clay paste: add the Clay row or fix the row_id",IF(AND(ISNUMBER(CO25),CO25&gt;=1,CO25&lt;=5),"Clay status is "&amp;CN25&amp;": set call_done or later",IF(AND(BA25=1,CP25&lt;&gt;CB25),"Clay yes_in_principle should be "&amp;CB25,IF(AND(BA25=1,CQ25&lt;&gt;H25),"Clay call_date should be "&amp;TEXT(H25,"yyyy-mm-dd"),""))))))))</f>
        <v/>
      </c>
      <c r="AW25" s="23" t="str">
        <f aca="false">IF(TRIM($A25)="","",IF(TRIM(C25)&lt;&gt;"",SUBSTITUTE(SUBSTITUTE(SUBSTITUTE(SUBSTITUTE(SUBSTITUTE(SUBSTITUTE(LOWER(TRIM(C25)),"~",""),"*",""),"?",""),"&lt;",""),"&gt;",""),"=",""),IF(DS25&lt;&gt;"",DS25,IFERROR(INDEX($DS$2:$DS$201,MATCH(DR25,$DT$2:$DT$201,0)),DR25))))</f>
        <v/>
      </c>
      <c r="AX25" s="23" t="n">
        <f aca="false">ROW()</f>
        <v>25</v>
      </c>
      <c r="AY25" s="23" t="n">
        <f aca="false">IF(AND(TRIM($A25)&lt;&gt;"",ISNUMBER(H25)),IF(AND(LEFT($A25,6)="SAMPLE",Config!$B$19&lt;&gt;"Y"),0,1),0)</f>
        <v>0</v>
      </c>
      <c r="AZ25" s="23" t="n">
        <f aca="false">IF(AY25=1,IF(COUNTIFS($AW$2:$AW$201,AW25,$AY$2:$AY$201,1,$H$2:$H$201,"&lt;"&amp;H25)+COUNTIFS($AW$2:$AW$201,AW25,$AY$2:$AY$201,1,$H$2:$H$201,H25,$AX$2:$AX$201,"&lt;"&amp;AX25)=0,1,0),0)</f>
        <v>0</v>
      </c>
      <c r="BA25" s="23" t="n">
        <f aca="false">IF(AY25=1,IF(COUNTIFS($A$2:$A$201,$A25,$AY$2:$AY$201,1,$H$2:$H$201,"&gt;"&amp;H25)+COUNTIFS($A$2:$A$201,$A25,$AY$2:$AY$201,1,$H$2:$H$201,H25,$AX$2:$AX$201,"&gt;"&amp;AX25)=0,1,0),0)</f>
        <v>0</v>
      </c>
      <c r="BB25" s="23" t="n">
        <f aca="false">IF(AND(AY25=1,O25="Y",MAX(N(R25),N(V25))&gt;=Config!$B$14),1,0)</f>
        <v>0</v>
      </c>
      <c r="BC25" s="23" t="n">
        <f aca="false">IF(BB25=1,IF(COUNTIFS($AW$2:$AW$201,AW25,$BB$2:$BB$201,1,$H$2:$H$201,"&lt;"&amp;H25)+COUNTIFS($AW$2:$AW$201,AW25,$BB$2:$BB$201,1,$H$2:$H$201,H25,$AX$2:$AX$201,"&lt;"&amp;AX25)=0,1,0),0)</f>
        <v>0</v>
      </c>
      <c r="BD25" s="23" t="n">
        <f aca="false">IF(AND(AY25=1,O25="Y",ISNUMBER(R25)),IF(R25&gt;=Config!$B$14,1,0),0)</f>
        <v>0</v>
      </c>
      <c r="BE25" s="23" t="n">
        <f aca="false">IF(BD25=1,IF(COUNTIFS($AW$2:$AW$201,AW25,$BD$2:$BD$201,1,$H$2:$H$201,"&lt;"&amp;H25)+COUNTIFS($AW$2:$AW$201,AW25,$BD$2:$BD$201,1,$H$2:$H$201,H25,$AX$2:$AX$201,"&lt;"&amp;AX25)=0,1,0),0)</f>
        <v>0</v>
      </c>
      <c r="BF25" s="23" t="n">
        <f aca="false">IF(AND(AY25=1,O25&lt;&gt;"Y",MAX(N(R25),N(V25))&gt;=Config!$B$14),1,0)</f>
        <v>0</v>
      </c>
      <c r="BG25" s="23" t="n">
        <f aca="false">IF(BF25=1,IF(COUNTIFS($AW$2:$AW$201,AW25,$BF$2:$BF$201,1,$H$2:$H$201,"&lt;"&amp;H25)+COUNTIFS($AW$2:$AW$201,AW25,$BF$2:$BF$201,1,$H$2:$H$201,H25,$AX$2:$AX$201,"&lt;"&amp;AX25)=0,1,0),0)</f>
        <v>0</v>
      </c>
      <c r="BH25" s="23" t="n">
        <f aca="false">IF(AND(AY25=1,ISNUMBER(R25)),1,0)</f>
        <v>0</v>
      </c>
      <c r="BI25" s="23" t="n">
        <f aca="false">IF(BH25=1,IF(COUNTIFS($AW$2:$AW$201,AW25,$BH$2:$BH$201,1,$H$2:$H$201,"&lt;"&amp;H25)+COUNTIFS($AW$2:$AW$201,AW25,$BH$2:$BH$201,1,$H$2:$H$201,H25,$AX$2:$AX$201,"&lt;"&amp;AX25)=0,1,0),0)</f>
        <v>0</v>
      </c>
      <c r="BJ25" s="23" t="str">
        <f aca="false">IF(AND(BI25=1,INT(N(H25))&lt;=Config!$B$6),R25,"")</f>
        <v/>
      </c>
      <c r="BK25" s="23" t="str">
        <f aca="false">IF(AND(BI25=1,INT(N(H25))&lt;=Config!$B$7),R25,"")</f>
        <v/>
      </c>
      <c r="BL25" s="23" t="str">
        <f aca="false">IF(AND(BI25=1,INT(N(H25))&lt;=Config!$B$8),R25,"")</f>
        <v/>
      </c>
      <c r="BM25" s="23" t="str">
        <f aca="false">IF(AND(BI25=1,INT(N(H25))&lt;=Config!$B$5),R25,"")</f>
        <v/>
      </c>
      <c r="BN25" s="23" t="n">
        <f aca="false">IF(AND(AY25=1,ISNUMBER(V25)),1,0)</f>
        <v>0</v>
      </c>
      <c r="BO25" s="23" t="n">
        <f aca="false">IF(BN25=1,IF(COUNTIFS($AW$2:$AW$201,AW25,$BN$2:$BN$201,1,$H$2:$H$201,"&lt;"&amp;H25)+COUNTIFS($AW$2:$AW$201,AW25,$BN$2:$BN$201,1,$H$2:$H$201,H25,$AX$2:$AX$201,"&lt;"&amp;AX25)=0,1,0),0)</f>
        <v>0</v>
      </c>
      <c r="BP25" s="23" t="str">
        <f aca="false">IF(AND(BO25=1,INT(N(H25))&lt;=Config!$B$6),V25,"")</f>
        <v/>
      </c>
      <c r="BQ25" s="23" t="str">
        <f aca="false">IF(AND(BO25=1,INT(N(H25))&lt;=Config!$B$7),V25,"")</f>
        <v/>
      </c>
      <c r="BR25" s="23" t="str">
        <f aca="false">IF(AND(BO25=1,INT(N(H25))&lt;=Config!$B$8),V25,"")</f>
        <v/>
      </c>
      <c r="BS25" s="23" t="str">
        <f aca="false">IF(AND(BO25=1,INT(N(H25))&lt;=Config!$B$5),V25,"")</f>
        <v/>
      </c>
      <c r="BT25" s="23" t="n">
        <f aca="false">IF(AND(AY25=1,ISNUMBER(K25)),1,0)</f>
        <v>0</v>
      </c>
      <c r="BU25" s="23" t="n">
        <f aca="false">IF(BT25=1,IF(COUNTIFS($AW$2:$AW$201,AW25,$BT$2:$BT$201,1,$H$2:$H$201,"&lt;"&amp;H25)+COUNTIFS($AW$2:$AW$201,AW25,$BT$2:$BT$201,1,$H$2:$H$201,H25,$AX$2:$AX$201,"&lt;"&amp;AX25)=0,1,0),0)</f>
        <v>0</v>
      </c>
      <c r="BV25" s="23" t="str">
        <f aca="false">IF(AND(BU25=1,INT(N(H25))&lt;=Config!$B$5),K25,"")</f>
        <v/>
      </c>
      <c r="BW25" s="23" t="n">
        <f aca="false">IF(AND(AY25=1,OR(AND(ISNUMBER(R25),TRIM(S25)=""),AND(ISNUMBER(V25),TRIM(W25)=""))),1,0)</f>
        <v>0</v>
      </c>
      <c r="BX25" s="23" t="str">
        <f aca="false">IF(AY25=1,AJ25&amp;"","")</f>
        <v/>
      </c>
      <c r="BY25" s="23" t="str">
        <f aca="false">IF(AY25=1,AK25&amp;"","")</f>
        <v/>
      </c>
      <c r="BZ25" s="23" t="str">
        <f aca="false">IF(AY25=1,AL25&amp;"","")</f>
        <v/>
      </c>
      <c r="CA25" s="23" t="str">
        <f aca="false">IF(AND(AY25=1,ISNUMBER(AS25),INT(N(H25))&lt;=Config!$B$5),AS25,"")</f>
        <v/>
      </c>
      <c r="CB25" s="23" t="str">
        <f aca="false">IF(AY25=1,IF(COUNTIFS($A$2:$A$201,$A25,$CU$2:$CU$201,1,$AN$2:$AN$201,"Y")&gt;0,"Y","N"),"")</f>
        <v/>
      </c>
      <c r="CC25" s="23" t="n">
        <f aca="false">IF(AND(AY25=1,AN25="Y"),IF(COUNTIFS($AW$2:$AW$201,AW25,$AN$2:$AN$201,"Y",$AY$2:$AY$201,1,$H$2:$H$201,"&lt;"&amp;H25)+COUNTIFS($AW$2:$AW$201,AW25,$AN$2:$AN$201,"Y",$AY$2:$AY$201,1,$H$2:$H$201,H25,$AX$2:$AX$201,"&lt;"&amp;AX25)=0,1,0),0)</f>
        <v>0</v>
      </c>
      <c r="CD25" s="23" t="n">
        <f aca="false">IF(AND(AY25=1,AB25="Y",AC25="Y",AD25="Y",AE25="Y",AF25="Y",AG25="Y",AI25="Y",TRIM(AH25)&lt;&gt;""),1,0)</f>
        <v>0</v>
      </c>
      <c r="CE25" s="23" t="n">
        <f aca="false">IF(CD25=1,IF(COUNTIFS($AW$2:$AW$201,AW25,$CD$2:$CD$201,1,$H$2:$H$201,"&lt;"&amp;H25)+COUNTIFS($AW$2:$AW$201,AW25,$CD$2:$CD$201,1,$H$2:$H$201,H25,$AX$2:$AX$201,"&lt;"&amp;AX25)=0,1,0),0)</f>
        <v>0</v>
      </c>
      <c r="CF25" s="23" t="n">
        <f aca="false">IF(AND(AY25=1,AO25="Y"),1,0)</f>
        <v>0</v>
      </c>
      <c r="CG25" s="23" t="n">
        <f aca="false">IF(CF25=1,IF(COUNTIFS($AW$2:$AW$201,AW25,$CF$2:$CF$201,1,$H$2:$H$201,"&lt;"&amp;H25)+COUNTIFS($AW$2:$AW$201,AW25,$CF$2:$CF$201,1,$H$2:$H$201,H25,$AX$2:$AX$201,"&lt;"&amp;AX25)=0,1,0),0)</f>
        <v>0</v>
      </c>
      <c r="CH25" s="23" t="n">
        <f aca="false">IF(AND(AY25=1,P25="Y"),1,0)</f>
        <v>0</v>
      </c>
      <c r="CI25" s="23" t="n">
        <f aca="false">IF(CH25=1,IF(COUNTIFS($AW$2:$AW$201,AW25,$CH$2:$CH$201,1,$H$2:$H$201,"&lt;"&amp;H25)+COUNTIFS($AW$2:$AW$201,AW25,$CH$2:$CH$201,1,$H$2:$H$201,H25,$AX$2:$AX$201,"&lt;"&amp;AX25)=0,1,0),0)</f>
        <v>0</v>
      </c>
      <c r="CJ25" s="23" t="str">
        <f aca="false">IF(AND(BU25=1,INT(N(H25))&lt;=Config!$B$5),L25,"")</f>
        <v/>
      </c>
      <c r="CK25" s="23" t="n">
        <f aca="false">IF(AND(AY25=1,AR25="Y"),1,0)</f>
        <v>0</v>
      </c>
      <c r="CL25" s="23" t="n">
        <f aca="false">IF(CK25=1,IF(COUNTIFS($AW$2:$AW$201,AW25,$CK$2:$CK$201,1,$H$2:$H$201,"&lt;"&amp;H25)+COUNTIFS($AW$2:$AW$201,AW25,$CK$2:$CK$201,1,$H$2:$H$201,H25,$AX$2:$AX$201,"&lt;"&amp;AX25)=0,1,0),0)</f>
        <v>0</v>
      </c>
      <c r="CM25" s="23" t="str">
        <f aca="false">IF(AY25=1,IFERROR(MATCH($A25,INDEX(Clay_Brands!$A$2:$FZ$601,0,Sync!$D$5),0),""),"")</f>
        <v/>
      </c>
      <c r="CN25" s="23" t="str">
        <f aca="false">IF(CM25="","",IFERROR(INDEX(Clay_Brands!$A$2:$FZ$601,CM25,Sync!$D$7)&amp;"",""))</f>
        <v/>
      </c>
      <c r="CO25" s="23" t="str">
        <f aca="false">IF(CN25="","",IFERROR(INDEX(Lists!$K$2:$K$15,MATCH(CN25,Lists!$J$2:$J$15,0)),""))</f>
        <v/>
      </c>
      <c r="CP25" s="23" t="str">
        <f aca="false">IF(CM25="","",IFERROR(INDEX(Clay_Brands!$A$2:$FZ$601,CM25,Sync!$D$17)&amp;"",""))</f>
        <v/>
      </c>
      <c r="CQ25" s="35" t="str">
        <f aca="false">IF(CM25="","",IFERROR(N(INDEX(Clay_Brands!$A$2:$FZ$601,CM25,Sync!$D$16)),0))</f>
        <v/>
      </c>
      <c r="CR25" s="23" t="n">
        <f aca="false">IF(AND(AY25=1,OR(O25="N",AND(OR(ISNUMBER(R25),ISNUMBER(V25)),MAX(N(R25),N(V25))&lt;Config!$B$14))),1,0)</f>
        <v>0</v>
      </c>
      <c r="CS25" s="23" t="n">
        <f aca="false">IF(OR(BB25=1,CR25=1),1,0)</f>
        <v>0</v>
      </c>
      <c r="CT25" s="23" t="n">
        <f aca="false">IF(AND(AY25=1,OR(AN25="Y",AN25="N",AN25="maybe")),1,0)</f>
        <v>0</v>
      </c>
      <c r="CU25" s="23" t="n">
        <f aca="false">IF(AND(CT25=1),IF(COUNTIFS($A$2:$A$201,$A25,$CT$2:$CT$201,1,$H$2:$H$201,"&gt;"&amp;H25)+COUNTIFS($A$2:$A$201,$A25,$CT$2:$CT$201,1,$H$2:$H$201,H25,$AX$2:$AX$201,"&gt;"&amp;AX25)=0,1,0),0)</f>
        <v>0</v>
      </c>
      <c r="CV25" s="23" t="n">
        <f aca="false">IF(AND(CS25=1,INT(N(H25))&lt;=Config!$B$6),IF(COUNTIFS($AW$2:$AW$201,AW25,$CS$2:$CS$201,1,$H$2:$H$201,"&gt;"&amp;H25,$H$2:$H$201,"&lt;"&amp;(Config!$B$6+1))+COUNTIFS($AW$2:$AW$201,AW25,$CS$2:$CS$201,1,$H$2:$H$201,H25,$AX$2:$AX$201,"&gt;"&amp;AX25)=0,1,0),0)</f>
        <v>0</v>
      </c>
      <c r="CW25" s="23" t="n">
        <f aca="false">IF(AND(CS25=1,INT(N(H25))&lt;=Config!$B$7),IF(COUNTIFS($AW$2:$AW$201,AW25,$CS$2:$CS$201,1,$H$2:$H$201,"&gt;"&amp;H25,$H$2:$H$201,"&lt;"&amp;(Config!$B$7+1))+COUNTIFS($AW$2:$AW$201,AW25,$CS$2:$CS$201,1,$H$2:$H$201,H25,$AX$2:$AX$201,"&gt;"&amp;AX25)=0,1,0),0)</f>
        <v>0</v>
      </c>
      <c r="CX25" s="23" t="n">
        <f aca="false">IF(AND(CS25=1,INT(N(H25))&lt;=Config!$B$8),IF(COUNTIFS($AW$2:$AW$201,AW25,$CS$2:$CS$201,1,$H$2:$H$201,"&gt;"&amp;H25,$H$2:$H$201,"&lt;"&amp;(Config!$B$8+1))+COUNTIFS($AW$2:$AW$201,AW25,$CS$2:$CS$201,1,$H$2:$H$201,H25,$AX$2:$AX$201,"&gt;"&amp;AX25)=0,1,0),0)</f>
        <v>0</v>
      </c>
      <c r="CY25" s="23" t="n">
        <f aca="false">IF(AND(CS25=1,INT(N(H25))&lt;=Config!$B$5),IF(COUNTIFS($AW$2:$AW$201,AW25,$CS$2:$CS$201,1,$H$2:$H$201,"&gt;"&amp;H25,$H$2:$H$201,"&lt;"&amp;(Config!$B$5+1))+COUNTIFS($AW$2:$AW$201,AW25,$CS$2:$CS$201,1,$H$2:$H$201,H25,$AX$2:$AX$201,"&gt;"&amp;AX25)=0,1,0),0)</f>
        <v>0</v>
      </c>
      <c r="CZ25" s="23" t="n">
        <f aca="false">IF(AY25=1,IF(COUNTIFS($AW$2:$AW$201,AW25,$CV$2:$CV$201,1,$BB$2:$BB$201,1)&gt;0,1,0),0)</f>
        <v>0</v>
      </c>
      <c r="DA25" s="23" t="n">
        <f aca="false">IF(AY25=1,IF(COUNTIFS($AW$2:$AW$201,AW25,$CW$2:$CW$201,1,$BB$2:$BB$201,1)&gt;0,1,0),0)</f>
        <v>0</v>
      </c>
      <c r="DB25" s="23" t="n">
        <f aca="false">IF(AY25=1,IF(COUNTIFS($AW$2:$AW$201,AW25,$CX$2:$CX$201,1,$BB$2:$BB$201,1)&gt;0,1,0),0)</f>
        <v>0</v>
      </c>
      <c r="DC25" s="23" t="n">
        <f aca="false">IF(AY25=1,IF(COUNTIFS($AW$2:$AW$201,AW25,$CY$2:$CY$201,1,$BB$2:$BB$201,1)&gt;0,1,0),0)</f>
        <v>0</v>
      </c>
      <c r="DD25" s="23" t="n">
        <f aca="false">IF(AND(BC25=1,INT(N(H25))&lt;=Config!$B$6,CZ25=1),1,0)</f>
        <v>0</v>
      </c>
      <c r="DE25" s="23" t="n">
        <f aca="false">IF(AND(BC25=1,INT(N(H25))&lt;=Config!$B$7,DA25=1),1,0)</f>
        <v>0</v>
      </c>
      <c r="DF25" s="23" t="n">
        <f aca="false">IF(AND(BC25=1,INT(N(H25))&lt;=Config!$B$8,DB25=1),1,0)</f>
        <v>0</v>
      </c>
      <c r="DG25" s="23" t="n">
        <f aca="false">IF(AND(BC25=1,INT(N(H25))&lt;=Config!$B$5,DC25=1),1,0)</f>
        <v>0</v>
      </c>
      <c r="DH25" s="23" t="n">
        <f aca="false">IF(AND(BE25=1,INT(N(H25))&lt;=Config!$B$6,CZ25=1),1,0)</f>
        <v>0</v>
      </c>
      <c r="DI25" s="23" t="n">
        <f aca="false">IF(AND(BE25=1,INT(N(H25))&lt;=Config!$B$7,DA25=1),1,0)</f>
        <v>0</v>
      </c>
      <c r="DJ25" s="23" t="n">
        <f aca="false">IF(AND(BE25=1,INT(N(H25))&lt;=Config!$B$8,DB25=1),1,0)</f>
        <v>0</v>
      </c>
      <c r="DK25" s="23" t="n">
        <f aca="false">IF(AND(BE25=1,INT(N(H25))&lt;=Config!$B$5,DC25=1),1,0)</f>
        <v>0</v>
      </c>
      <c r="DL25" s="23" t="n">
        <f aca="false">IF(AND(BC25=1,INT(N(H25))&lt;=Config!$B$6,CZ25=0),1,0)</f>
        <v>0</v>
      </c>
      <c r="DM25" s="23" t="n">
        <f aca="false">IF(AND(BC25=1,INT(N(H25))&lt;=Config!$B$7,DA25=0),1,0)</f>
        <v>0</v>
      </c>
      <c r="DN25" s="23" t="n">
        <f aca="false">IF(AND(BC25=1,INT(N(H25))&lt;=Config!$B$8,DB25=0),1,0)</f>
        <v>0</v>
      </c>
      <c r="DO25" s="23" t="n">
        <f aca="false">IF(AND(BC25=1,INT(N(H25))&lt;=Config!$B$5,DC25=0),1,0)</f>
        <v>0</v>
      </c>
      <c r="DP25" s="23" t="n">
        <f aca="false">IF(TRIM($A25)="",0,ISTEXT(K25)+ISTEXT(L25)+ISTEXT(R25)+ISTEXT(V25)+ISTEXT(AP25)+ISTEXT(AS25))</f>
        <v>0</v>
      </c>
      <c r="DQ25" s="23" t="n">
        <f aca="false">IF(AY25=1,IF(H25&lt;&gt;INT(H25),1,0),0)</f>
        <v>0</v>
      </c>
      <c r="DR25" s="23" t="str">
        <f aca="false">IF(TRIM($A25)="","",IF(TRIM(B25)="",SUBSTITUTE(SUBSTITUTE(SUBSTITUTE(SUBSTITUTE(SUBSTITUTE(SUBSTITUTE(LOWER(TRIM($A25)),"~",""),"*",""),"?",""),"&lt;",""),"&gt;",""),"=",""),SUBSTITUTE(SUBSTITUTE(SUBSTITUTE(SUBSTITUTE(SUBSTITUTE(SUBSTITUTE(LOWER(TRIM(B25)),"~",""),"*",""),"?",""),"&lt;",""),"&gt;",""),"=","")))</f>
        <v/>
      </c>
      <c r="DS25" s="23" t="str">
        <f aca="false">IF(CM25="","",IFERROR(IF(LEFT(LOWER(TRIM(INDEX(Clay_Brands!$A$2:$FZ$601,CM25,Sync!$D$19)&amp;"")),4)="grp-",SUBSTITUTE(SUBSTITUTE(SUBSTITUTE(SUBSTITUTE(SUBSTITUTE(SUBSTITUTE(LOWER(TRIM(INDEX(Clay_Brands!$A$2:$FZ$601,CM25,Sync!$D$19)&amp;"")),"~",""),"*",""),"?",""),"&lt;",""),"&gt;",""),"=",""),""),""))</f>
        <v/>
      </c>
      <c r="DT25" s="23" t="str">
        <f aca="false">IF(DS25&lt;&gt;"",DR25,"")</f>
        <v/>
      </c>
      <c r="DU25" s="23" t="str">
        <f aca="false">IF(AZ25=1,AW25,"")</f>
        <v/>
      </c>
      <c r="DV25" s="23" t="str">
        <f aca="false">IF(TRIM($A25)="","",IFERROR(INDEX($A$2:$A$201,MATCH(AW25,$DU$2:$DU$201,0))&amp;"",$A25&amp;""))</f>
        <v/>
      </c>
      <c r="DW25" s="23" t="n">
        <f aca="false">IF(AY25=1,IF(COUNTIFS($A$2:$A$201,$A25,$AY$2:$AY$201,1,$H$2:$H$201,"&lt;"&amp;H25)+COUNTIFS($A$2:$A$201,$A25,$AY$2:$AY$201,1,$H$2:$H$201,H25,$AX$2:$AX$201,"&lt;"&amp;AX25)=0,1,0),0)</f>
        <v>0</v>
      </c>
      <c r="DX25" s="23" t="n">
        <f aca="false">IF(AZ25=1,IF(COUNTIFS($AW$2:$AW$201,AW25,$DW$2:$DW$201,1)&gt;1,1,0),0)</f>
        <v>0</v>
      </c>
    </row>
    <row r="26" customFormat="false" ht="15" hidden="false" customHeight="false" outlineLevel="0" collapsed="false">
      <c r="G26" s="32"/>
      <c r="H26" s="33"/>
      <c r="I26" s="32"/>
      <c r="O26" s="32"/>
      <c r="P26" s="32"/>
      <c r="U26" s="32"/>
      <c r="Y26" s="32"/>
      <c r="AB26" s="32"/>
      <c r="AC26" s="32"/>
      <c r="AD26" s="32"/>
      <c r="AE26" s="32"/>
      <c r="AF26" s="32"/>
      <c r="AG26" s="32"/>
      <c r="AI26" s="32"/>
      <c r="AJ26" s="32"/>
      <c r="AK26" s="32"/>
      <c r="AN26" s="32"/>
      <c r="AO26" s="32"/>
      <c r="AR26" s="32"/>
      <c r="AT26" s="32"/>
      <c r="AV26" s="34" t="str">
        <f aca="false">IF(TRIM($A26)="","",IF(AND(LEFT($A26,6)="SAMPLE",Config!$B$19&lt;&gt;"Y"),"",IF(NOT(ISNUMBER(H26)),"call_date is blank or not a date",IF(Sync!$D$5="","Clay paste is empty or has no row_id column: paste the Clay export on Clay_Brands",IF(CM26="","row_id not found in the Clay paste: add the Clay row or fix the row_id",IF(AND(ISNUMBER(CO26),CO26&gt;=1,CO26&lt;=5),"Clay status is "&amp;CN26&amp;": set call_done or later",IF(AND(BA26=1,CP26&lt;&gt;CB26),"Clay yes_in_principle should be "&amp;CB26,IF(AND(BA26=1,CQ26&lt;&gt;H26),"Clay call_date should be "&amp;TEXT(H26,"yyyy-mm-dd"),""))))))))</f>
        <v/>
      </c>
      <c r="AW26" s="23" t="str">
        <f aca="false">IF(TRIM($A26)="","",IF(TRIM(C26)&lt;&gt;"",SUBSTITUTE(SUBSTITUTE(SUBSTITUTE(SUBSTITUTE(SUBSTITUTE(SUBSTITUTE(LOWER(TRIM(C26)),"~",""),"*",""),"?",""),"&lt;",""),"&gt;",""),"=",""),IF(DS26&lt;&gt;"",DS26,IFERROR(INDEX($DS$2:$DS$201,MATCH(DR26,$DT$2:$DT$201,0)),DR26))))</f>
        <v/>
      </c>
      <c r="AX26" s="23" t="n">
        <f aca="false">ROW()</f>
        <v>26</v>
      </c>
      <c r="AY26" s="23" t="n">
        <f aca="false">IF(AND(TRIM($A26)&lt;&gt;"",ISNUMBER(H26)),IF(AND(LEFT($A26,6)="SAMPLE",Config!$B$19&lt;&gt;"Y"),0,1),0)</f>
        <v>0</v>
      </c>
      <c r="AZ26" s="23" t="n">
        <f aca="false">IF(AY26=1,IF(COUNTIFS($AW$2:$AW$201,AW26,$AY$2:$AY$201,1,$H$2:$H$201,"&lt;"&amp;H26)+COUNTIFS($AW$2:$AW$201,AW26,$AY$2:$AY$201,1,$H$2:$H$201,H26,$AX$2:$AX$201,"&lt;"&amp;AX26)=0,1,0),0)</f>
        <v>0</v>
      </c>
      <c r="BA26" s="23" t="n">
        <f aca="false">IF(AY26=1,IF(COUNTIFS($A$2:$A$201,$A26,$AY$2:$AY$201,1,$H$2:$H$201,"&gt;"&amp;H26)+COUNTIFS($A$2:$A$201,$A26,$AY$2:$AY$201,1,$H$2:$H$201,H26,$AX$2:$AX$201,"&gt;"&amp;AX26)=0,1,0),0)</f>
        <v>0</v>
      </c>
      <c r="BB26" s="23" t="n">
        <f aca="false">IF(AND(AY26=1,O26="Y",MAX(N(R26),N(V26))&gt;=Config!$B$14),1,0)</f>
        <v>0</v>
      </c>
      <c r="BC26" s="23" t="n">
        <f aca="false">IF(BB26=1,IF(COUNTIFS($AW$2:$AW$201,AW26,$BB$2:$BB$201,1,$H$2:$H$201,"&lt;"&amp;H26)+COUNTIFS($AW$2:$AW$201,AW26,$BB$2:$BB$201,1,$H$2:$H$201,H26,$AX$2:$AX$201,"&lt;"&amp;AX26)=0,1,0),0)</f>
        <v>0</v>
      </c>
      <c r="BD26" s="23" t="n">
        <f aca="false">IF(AND(AY26=1,O26="Y",ISNUMBER(R26)),IF(R26&gt;=Config!$B$14,1,0),0)</f>
        <v>0</v>
      </c>
      <c r="BE26" s="23" t="n">
        <f aca="false">IF(BD26=1,IF(COUNTIFS($AW$2:$AW$201,AW26,$BD$2:$BD$201,1,$H$2:$H$201,"&lt;"&amp;H26)+COUNTIFS($AW$2:$AW$201,AW26,$BD$2:$BD$201,1,$H$2:$H$201,H26,$AX$2:$AX$201,"&lt;"&amp;AX26)=0,1,0),0)</f>
        <v>0</v>
      </c>
      <c r="BF26" s="23" t="n">
        <f aca="false">IF(AND(AY26=1,O26&lt;&gt;"Y",MAX(N(R26),N(V26))&gt;=Config!$B$14),1,0)</f>
        <v>0</v>
      </c>
      <c r="BG26" s="23" t="n">
        <f aca="false">IF(BF26=1,IF(COUNTIFS($AW$2:$AW$201,AW26,$BF$2:$BF$201,1,$H$2:$H$201,"&lt;"&amp;H26)+COUNTIFS($AW$2:$AW$201,AW26,$BF$2:$BF$201,1,$H$2:$H$201,H26,$AX$2:$AX$201,"&lt;"&amp;AX26)=0,1,0),0)</f>
        <v>0</v>
      </c>
      <c r="BH26" s="23" t="n">
        <f aca="false">IF(AND(AY26=1,ISNUMBER(R26)),1,0)</f>
        <v>0</v>
      </c>
      <c r="BI26" s="23" t="n">
        <f aca="false">IF(BH26=1,IF(COUNTIFS($AW$2:$AW$201,AW26,$BH$2:$BH$201,1,$H$2:$H$201,"&lt;"&amp;H26)+COUNTIFS($AW$2:$AW$201,AW26,$BH$2:$BH$201,1,$H$2:$H$201,H26,$AX$2:$AX$201,"&lt;"&amp;AX26)=0,1,0),0)</f>
        <v>0</v>
      </c>
      <c r="BJ26" s="23" t="str">
        <f aca="false">IF(AND(BI26=1,INT(N(H26))&lt;=Config!$B$6),R26,"")</f>
        <v/>
      </c>
      <c r="BK26" s="23" t="str">
        <f aca="false">IF(AND(BI26=1,INT(N(H26))&lt;=Config!$B$7),R26,"")</f>
        <v/>
      </c>
      <c r="BL26" s="23" t="str">
        <f aca="false">IF(AND(BI26=1,INT(N(H26))&lt;=Config!$B$8),R26,"")</f>
        <v/>
      </c>
      <c r="BM26" s="23" t="str">
        <f aca="false">IF(AND(BI26=1,INT(N(H26))&lt;=Config!$B$5),R26,"")</f>
        <v/>
      </c>
      <c r="BN26" s="23" t="n">
        <f aca="false">IF(AND(AY26=1,ISNUMBER(V26)),1,0)</f>
        <v>0</v>
      </c>
      <c r="BO26" s="23" t="n">
        <f aca="false">IF(BN26=1,IF(COUNTIFS($AW$2:$AW$201,AW26,$BN$2:$BN$201,1,$H$2:$H$201,"&lt;"&amp;H26)+COUNTIFS($AW$2:$AW$201,AW26,$BN$2:$BN$201,1,$H$2:$H$201,H26,$AX$2:$AX$201,"&lt;"&amp;AX26)=0,1,0),0)</f>
        <v>0</v>
      </c>
      <c r="BP26" s="23" t="str">
        <f aca="false">IF(AND(BO26=1,INT(N(H26))&lt;=Config!$B$6),V26,"")</f>
        <v/>
      </c>
      <c r="BQ26" s="23" t="str">
        <f aca="false">IF(AND(BO26=1,INT(N(H26))&lt;=Config!$B$7),V26,"")</f>
        <v/>
      </c>
      <c r="BR26" s="23" t="str">
        <f aca="false">IF(AND(BO26=1,INT(N(H26))&lt;=Config!$B$8),V26,"")</f>
        <v/>
      </c>
      <c r="BS26" s="23" t="str">
        <f aca="false">IF(AND(BO26=1,INT(N(H26))&lt;=Config!$B$5),V26,"")</f>
        <v/>
      </c>
      <c r="BT26" s="23" t="n">
        <f aca="false">IF(AND(AY26=1,ISNUMBER(K26)),1,0)</f>
        <v>0</v>
      </c>
      <c r="BU26" s="23" t="n">
        <f aca="false">IF(BT26=1,IF(COUNTIFS($AW$2:$AW$201,AW26,$BT$2:$BT$201,1,$H$2:$H$201,"&lt;"&amp;H26)+COUNTIFS($AW$2:$AW$201,AW26,$BT$2:$BT$201,1,$H$2:$H$201,H26,$AX$2:$AX$201,"&lt;"&amp;AX26)=0,1,0),0)</f>
        <v>0</v>
      </c>
      <c r="BV26" s="23" t="str">
        <f aca="false">IF(AND(BU26=1,INT(N(H26))&lt;=Config!$B$5),K26,"")</f>
        <v/>
      </c>
      <c r="BW26" s="23" t="n">
        <f aca="false">IF(AND(AY26=1,OR(AND(ISNUMBER(R26),TRIM(S26)=""),AND(ISNUMBER(V26),TRIM(W26)=""))),1,0)</f>
        <v>0</v>
      </c>
      <c r="BX26" s="23" t="str">
        <f aca="false">IF(AY26=1,AJ26&amp;"","")</f>
        <v/>
      </c>
      <c r="BY26" s="23" t="str">
        <f aca="false">IF(AY26=1,AK26&amp;"","")</f>
        <v/>
      </c>
      <c r="BZ26" s="23" t="str">
        <f aca="false">IF(AY26=1,AL26&amp;"","")</f>
        <v/>
      </c>
      <c r="CA26" s="23" t="str">
        <f aca="false">IF(AND(AY26=1,ISNUMBER(AS26),INT(N(H26))&lt;=Config!$B$5),AS26,"")</f>
        <v/>
      </c>
      <c r="CB26" s="23" t="str">
        <f aca="false">IF(AY26=1,IF(COUNTIFS($A$2:$A$201,$A26,$CU$2:$CU$201,1,$AN$2:$AN$201,"Y")&gt;0,"Y","N"),"")</f>
        <v/>
      </c>
      <c r="CC26" s="23" t="n">
        <f aca="false">IF(AND(AY26=1,AN26="Y"),IF(COUNTIFS($AW$2:$AW$201,AW26,$AN$2:$AN$201,"Y",$AY$2:$AY$201,1,$H$2:$H$201,"&lt;"&amp;H26)+COUNTIFS($AW$2:$AW$201,AW26,$AN$2:$AN$201,"Y",$AY$2:$AY$201,1,$H$2:$H$201,H26,$AX$2:$AX$201,"&lt;"&amp;AX26)=0,1,0),0)</f>
        <v>0</v>
      </c>
      <c r="CD26" s="23" t="n">
        <f aca="false">IF(AND(AY26=1,AB26="Y",AC26="Y",AD26="Y",AE26="Y",AF26="Y",AG26="Y",AI26="Y",TRIM(AH26)&lt;&gt;""),1,0)</f>
        <v>0</v>
      </c>
      <c r="CE26" s="23" t="n">
        <f aca="false">IF(CD26=1,IF(COUNTIFS($AW$2:$AW$201,AW26,$CD$2:$CD$201,1,$H$2:$H$201,"&lt;"&amp;H26)+COUNTIFS($AW$2:$AW$201,AW26,$CD$2:$CD$201,1,$H$2:$H$201,H26,$AX$2:$AX$201,"&lt;"&amp;AX26)=0,1,0),0)</f>
        <v>0</v>
      </c>
      <c r="CF26" s="23" t="n">
        <f aca="false">IF(AND(AY26=1,AO26="Y"),1,0)</f>
        <v>0</v>
      </c>
      <c r="CG26" s="23" t="n">
        <f aca="false">IF(CF26=1,IF(COUNTIFS($AW$2:$AW$201,AW26,$CF$2:$CF$201,1,$H$2:$H$201,"&lt;"&amp;H26)+COUNTIFS($AW$2:$AW$201,AW26,$CF$2:$CF$201,1,$H$2:$H$201,H26,$AX$2:$AX$201,"&lt;"&amp;AX26)=0,1,0),0)</f>
        <v>0</v>
      </c>
      <c r="CH26" s="23" t="n">
        <f aca="false">IF(AND(AY26=1,P26="Y"),1,0)</f>
        <v>0</v>
      </c>
      <c r="CI26" s="23" t="n">
        <f aca="false">IF(CH26=1,IF(COUNTIFS($AW$2:$AW$201,AW26,$CH$2:$CH$201,1,$H$2:$H$201,"&lt;"&amp;H26)+COUNTIFS($AW$2:$AW$201,AW26,$CH$2:$CH$201,1,$H$2:$H$201,H26,$AX$2:$AX$201,"&lt;"&amp;AX26)=0,1,0),0)</f>
        <v>0</v>
      </c>
      <c r="CJ26" s="23" t="str">
        <f aca="false">IF(AND(BU26=1,INT(N(H26))&lt;=Config!$B$5),L26,"")</f>
        <v/>
      </c>
      <c r="CK26" s="23" t="n">
        <f aca="false">IF(AND(AY26=1,AR26="Y"),1,0)</f>
        <v>0</v>
      </c>
      <c r="CL26" s="23" t="n">
        <f aca="false">IF(CK26=1,IF(COUNTIFS($AW$2:$AW$201,AW26,$CK$2:$CK$201,1,$H$2:$H$201,"&lt;"&amp;H26)+COUNTIFS($AW$2:$AW$201,AW26,$CK$2:$CK$201,1,$H$2:$H$201,H26,$AX$2:$AX$201,"&lt;"&amp;AX26)=0,1,0),0)</f>
        <v>0</v>
      </c>
      <c r="CM26" s="23" t="str">
        <f aca="false">IF(AY26=1,IFERROR(MATCH($A26,INDEX(Clay_Brands!$A$2:$FZ$601,0,Sync!$D$5),0),""),"")</f>
        <v/>
      </c>
      <c r="CN26" s="23" t="str">
        <f aca="false">IF(CM26="","",IFERROR(INDEX(Clay_Brands!$A$2:$FZ$601,CM26,Sync!$D$7)&amp;"",""))</f>
        <v/>
      </c>
      <c r="CO26" s="23" t="str">
        <f aca="false">IF(CN26="","",IFERROR(INDEX(Lists!$K$2:$K$15,MATCH(CN26,Lists!$J$2:$J$15,0)),""))</f>
        <v/>
      </c>
      <c r="CP26" s="23" t="str">
        <f aca="false">IF(CM26="","",IFERROR(INDEX(Clay_Brands!$A$2:$FZ$601,CM26,Sync!$D$17)&amp;"",""))</f>
        <v/>
      </c>
      <c r="CQ26" s="35" t="str">
        <f aca="false">IF(CM26="","",IFERROR(N(INDEX(Clay_Brands!$A$2:$FZ$601,CM26,Sync!$D$16)),0))</f>
        <v/>
      </c>
      <c r="CR26" s="23" t="n">
        <f aca="false">IF(AND(AY26=1,OR(O26="N",AND(OR(ISNUMBER(R26),ISNUMBER(V26)),MAX(N(R26),N(V26))&lt;Config!$B$14))),1,0)</f>
        <v>0</v>
      </c>
      <c r="CS26" s="23" t="n">
        <f aca="false">IF(OR(BB26=1,CR26=1),1,0)</f>
        <v>0</v>
      </c>
      <c r="CT26" s="23" t="n">
        <f aca="false">IF(AND(AY26=1,OR(AN26="Y",AN26="N",AN26="maybe")),1,0)</f>
        <v>0</v>
      </c>
      <c r="CU26" s="23" t="n">
        <f aca="false">IF(AND(CT26=1),IF(COUNTIFS($A$2:$A$201,$A26,$CT$2:$CT$201,1,$H$2:$H$201,"&gt;"&amp;H26)+COUNTIFS($A$2:$A$201,$A26,$CT$2:$CT$201,1,$H$2:$H$201,H26,$AX$2:$AX$201,"&gt;"&amp;AX26)=0,1,0),0)</f>
        <v>0</v>
      </c>
      <c r="CV26" s="23" t="n">
        <f aca="false">IF(AND(CS26=1,INT(N(H26))&lt;=Config!$B$6),IF(COUNTIFS($AW$2:$AW$201,AW26,$CS$2:$CS$201,1,$H$2:$H$201,"&gt;"&amp;H26,$H$2:$H$201,"&lt;"&amp;(Config!$B$6+1))+COUNTIFS($AW$2:$AW$201,AW26,$CS$2:$CS$201,1,$H$2:$H$201,H26,$AX$2:$AX$201,"&gt;"&amp;AX26)=0,1,0),0)</f>
        <v>0</v>
      </c>
      <c r="CW26" s="23" t="n">
        <f aca="false">IF(AND(CS26=1,INT(N(H26))&lt;=Config!$B$7),IF(COUNTIFS($AW$2:$AW$201,AW26,$CS$2:$CS$201,1,$H$2:$H$201,"&gt;"&amp;H26,$H$2:$H$201,"&lt;"&amp;(Config!$B$7+1))+COUNTIFS($AW$2:$AW$201,AW26,$CS$2:$CS$201,1,$H$2:$H$201,H26,$AX$2:$AX$201,"&gt;"&amp;AX26)=0,1,0),0)</f>
        <v>0</v>
      </c>
      <c r="CX26" s="23" t="n">
        <f aca="false">IF(AND(CS26=1,INT(N(H26))&lt;=Config!$B$8),IF(COUNTIFS($AW$2:$AW$201,AW26,$CS$2:$CS$201,1,$H$2:$H$201,"&gt;"&amp;H26,$H$2:$H$201,"&lt;"&amp;(Config!$B$8+1))+COUNTIFS($AW$2:$AW$201,AW26,$CS$2:$CS$201,1,$H$2:$H$201,H26,$AX$2:$AX$201,"&gt;"&amp;AX26)=0,1,0),0)</f>
        <v>0</v>
      </c>
      <c r="CY26" s="23" t="n">
        <f aca="false">IF(AND(CS26=1,INT(N(H26))&lt;=Config!$B$5),IF(COUNTIFS($AW$2:$AW$201,AW26,$CS$2:$CS$201,1,$H$2:$H$201,"&gt;"&amp;H26,$H$2:$H$201,"&lt;"&amp;(Config!$B$5+1))+COUNTIFS($AW$2:$AW$201,AW26,$CS$2:$CS$201,1,$H$2:$H$201,H26,$AX$2:$AX$201,"&gt;"&amp;AX26)=0,1,0),0)</f>
        <v>0</v>
      </c>
      <c r="CZ26" s="23" t="n">
        <f aca="false">IF(AY26=1,IF(COUNTIFS($AW$2:$AW$201,AW26,$CV$2:$CV$201,1,$BB$2:$BB$201,1)&gt;0,1,0),0)</f>
        <v>0</v>
      </c>
      <c r="DA26" s="23" t="n">
        <f aca="false">IF(AY26=1,IF(COUNTIFS($AW$2:$AW$201,AW26,$CW$2:$CW$201,1,$BB$2:$BB$201,1)&gt;0,1,0),0)</f>
        <v>0</v>
      </c>
      <c r="DB26" s="23" t="n">
        <f aca="false">IF(AY26=1,IF(COUNTIFS($AW$2:$AW$201,AW26,$CX$2:$CX$201,1,$BB$2:$BB$201,1)&gt;0,1,0),0)</f>
        <v>0</v>
      </c>
      <c r="DC26" s="23" t="n">
        <f aca="false">IF(AY26=1,IF(COUNTIFS($AW$2:$AW$201,AW26,$CY$2:$CY$201,1,$BB$2:$BB$201,1)&gt;0,1,0),0)</f>
        <v>0</v>
      </c>
      <c r="DD26" s="23" t="n">
        <f aca="false">IF(AND(BC26=1,INT(N(H26))&lt;=Config!$B$6,CZ26=1),1,0)</f>
        <v>0</v>
      </c>
      <c r="DE26" s="23" t="n">
        <f aca="false">IF(AND(BC26=1,INT(N(H26))&lt;=Config!$B$7,DA26=1),1,0)</f>
        <v>0</v>
      </c>
      <c r="DF26" s="23" t="n">
        <f aca="false">IF(AND(BC26=1,INT(N(H26))&lt;=Config!$B$8,DB26=1),1,0)</f>
        <v>0</v>
      </c>
      <c r="DG26" s="23" t="n">
        <f aca="false">IF(AND(BC26=1,INT(N(H26))&lt;=Config!$B$5,DC26=1),1,0)</f>
        <v>0</v>
      </c>
      <c r="DH26" s="23" t="n">
        <f aca="false">IF(AND(BE26=1,INT(N(H26))&lt;=Config!$B$6,CZ26=1),1,0)</f>
        <v>0</v>
      </c>
      <c r="DI26" s="23" t="n">
        <f aca="false">IF(AND(BE26=1,INT(N(H26))&lt;=Config!$B$7,DA26=1),1,0)</f>
        <v>0</v>
      </c>
      <c r="DJ26" s="23" t="n">
        <f aca="false">IF(AND(BE26=1,INT(N(H26))&lt;=Config!$B$8,DB26=1),1,0)</f>
        <v>0</v>
      </c>
      <c r="DK26" s="23" t="n">
        <f aca="false">IF(AND(BE26=1,INT(N(H26))&lt;=Config!$B$5,DC26=1),1,0)</f>
        <v>0</v>
      </c>
      <c r="DL26" s="23" t="n">
        <f aca="false">IF(AND(BC26=1,INT(N(H26))&lt;=Config!$B$6,CZ26=0),1,0)</f>
        <v>0</v>
      </c>
      <c r="DM26" s="23" t="n">
        <f aca="false">IF(AND(BC26=1,INT(N(H26))&lt;=Config!$B$7,DA26=0),1,0)</f>
        <v>0</v>
      </c>
      <c r="DN26" s="23" t="n">
        <f aca="false">IF(AND(BC26=1,INT(N(H26))&lt;=Config!$B$8,DB26=0),1,0)</f>
        <v>0</v>
      </c>
      <c r="DO26" s="23" t="n">
        <f aca="false">IF(AND(BC26=1,INT(N(H26))&lt;=Config!$B$5,DC26=0),1,0)</f>
        <v>0</v>
      </c>
      <c r="DP26" s="23" t="n">
        <f aca="false">IF(TRIM($A26)="",0,ISTEXT(K26)+ISTEXT(L26)+ISTEXT(R26)+ISTEXT(V26)+ISTEXT(AP26)+ISTEXT(AS26))</f>
        <v>0</v>
      </c>
      <c r="DQ26" s="23" t="n">
        <f aca="false">IF(AY26=1,IF(H26&lt;&gt;INT(H26),1,0),0)</f>
        <v>0</v>
      </c>
      <c r="DR26" s="23" t="str">
        <f aca="false">IF(TRIM($A26)="","",IF(TRIM(B26)="",SUBSTITUTE(SUBSTITUTE(SUBSTITUTE(SUBSTITUTE(SUBSTITUTE(SUBSTITUTE(LOWER(TRIM($A26)),"~",""),"*",""),"?",""),"&lt;",""),"&gt;",""),"=",""),SUBSTITUTE(SUBSTITUTE(SUBSTITUTE(SUBSTITUTE(SUBSTITUTE(SUBSTITUTE(LOWER(TRIM(B26)),"~",""),"*",""),"?",""),"&lt;",""),"&gt;",""),"=","")))</f>
        <v/>
      </c>
      <c r="DS26" s="23" t="str">
        <f aca="false">IF(CM26="","",IFERROR(IF(LEFT(LOWER(TRIM(INDEX(Clay_Brands!$A$2:$FZ$601,CM26,Sync!$D$19)&amp;"")),4)="grp-",SUBSTITUTE(SUBSTITUTE(SUBSTITUTE(SUBSTITUTE(SUBSTITUTE(SUBSTITUTE(LOWER(TRIM(INDEX(Clay_Brands!$A$2:$FZ$601,CM26,Sync!$D$19)&amp;"")),"~",""),"*",""),"?",""),"&lt;",""),"&gt;",""),"=",""),""),""))</f>
        <v/>
      </c>
      <c r="DT26" s="23" t="str">
        <f aca="false">IF(DS26&lt;&gt;"",DR26,"")</f>
        <v/>
      </c>
      <c r="DU26" s="23" t="str">
        <f aca="false">IF(AZ26=1,AW26,"")</f>
        <v/>
      </c>
      <c r="DV26" s="23" t="str">
        <f aca="false">IF(TRIM($A26)="","",IFERROR(INDEX($A$2:$A$201,MATCH(AW26,$DU$2:$DU$201,0))&amp;"",$A26&amp;""))</f>
        <v/>
      </c>
      <c r="DW26" s="23" t="n">
        <f aca="false">IF(AY26=1,IF(COUNTIFS($A$2:$A$201,$A26,$AY$2:$AY$201,1,$H$2:$H$201,"&lt;"&amp;H26)+COUNTIFS($A$2:$A$201,$A26,$AY$2:$AY$201,1,$H$2:$H$201,H26,$AX$2:$AX$201,"&lt;"&amp;AX26)=0,1,0),0)</f>
        <v>0</v>
      </c>
      <c r="DX26" s="23" t="n">
        <f aca="false">IF(AZ26=1,IF(COUNTIFS($AW$2:$AW$201,AW26,$DW$2:$DW$201,1)&gt;1,1,0),0)</f>
        <v>0</v>
      </c>
    </row>
    <row r="27" customFormat="false" ht="15" hidden="false" customHeight="false" outlineLevel="0" collapsed="false">
      <c r="G27" s="32"/>
      <c r="H27" s="33"/>
      <c r="I27" s="32"/>
      <c r="O27" s="32"/>
      <c r="P27" s="32"/>
      <c r="U27" s="32"/>
      <c r="Y27" s="32"/>
      <c r="AB27" s="32"/>
      <c r="AC27" s="32"/>
      <c r="AD27" s="32"/>
      <c r="AE27" s="32"/>
      <c r="AF27" s="32"/>
      <c r="AG27" s="32"/>
      <c r="AI27" s="32"/>
      <c r="AJ27" s="32"/>
      <c r="AK27" s="32"/>
      <c r="AN27" s="32"/>
      <c r="AO27" s="32"/>
      <c r="AR27" s="32"/>
      <c r="AT27" s="32"/>
      <c r="AV27" s="34" t="str">
        <f aca="false">IF(TRIM($A27)="","",IF(AND(LEFT($A27,6)="SAMPLE",Config!$B$19&lt;&gt;"Y"),"",IF(NOT(ISNUMBER(H27)),"call_date is blank or not a date",IF(Sync!$D$5="","Clay paste is empty or has no row_id column: paste the Clay export on Clay_Brands",IF(CM27="","row_id not found in the Clay paste: add the Clay row or fix the row_id",IF(AND(ISNUMBER(CO27),CO27&gt;=1,CO27&lt;=5),"Clay status is "&amp;CN27&amp;": set call_done or later",IF(AND(BA27=1,CP27&lt;&gt;CB27),"Clay yes_in_principle should be "&amp;CB27,IF(AND(BA27=1,CQ27&lt;&gt;H27),"Clay call_date should be "&amp;TEXT(H27,"yyyy-mm-dd"),""))))))))</f>
        <v/>
      </c>
      <c r="AW27" s="23" t="str">
        <f aca="false">IF(TRIM($A27)="","",IF(TRIM(C27)&lt;&gt;"",SUBSTITUTE(SUBSTITUTE(SUBSTITUTE(SUBSTITUTE(SUBSTITUTE(SUBSTITUTE(LOWER(TRIM(C27)),"~",""),"*",""),"?",""),"&lt;",""),"&gt;",""),"=",""),IF(DS27&lt;&gt;"",DS27,IFERROR(INDEX($DS$2:$DS$201,MATCH(DR27,$DT$2:$DT$201,0)),DR27))))</f>
        <v/>
      </c>
      <c r="AX27" s="23" t="n">
        <f aca="false">ROW()</f>
        <v>27</v>
      </c>
      <c r="AY27" s="23" t="n">
        <f aca="false">IF(AND(TRIM($A27)&lt;&gt;"",ISNUMBER(H27)),IF(AND(LEFT($A27,6)="SAMPLE",Config!$B$19&lt;&gt;"Y"),0,1),0)</f>
        <v>0</v>
      </c>
      <c r="AZ27" s="23" t="n">
        <f aca="false">IF(AY27=1,IF(COUNTIFS($AW$2:$AW$201,AW27,$AY$2:$AY$201,1,$H$2:$H$201,"&lt;"&amp;H27)+COUNTIFS($AW$2:$AW$201,AW27,$AY$2:$AY$201,1,$H$2:$H$201,H27,$AX$2:$AX$201,"&lt;"&amp;AX27)=0,1,0),0)</f>
        <v>0</v>
      </c>
      <c r="BA27" s="23" t="n">
        <f aca="false">IF(AY27=1,IF(COUNTIFS($A$2:$A$201,$A27,$AY$2:$AY$201,1,$H$2:$H$201,"&gt;"&amp;H27)+COUNTIFS($A$2:$A$201,$A27,$AY$2:$AY$201,1,$H$2:$H$201,H27,$AX$2:$AX$201,"&gt;"&amp;AX27)=0,1,0),0)</f>
        <v>0</v>
      </c>
      <c r="BB27" s="23" t="n">
        <f aca="false">IF(AND(AY27=1,O27="Y",MAX(N(R27),N(V27))&gt;=Config!$B$14),1,0)</f>
        <v>0</v>
      </c>
      <c r="BC27" s="23" t="n">
        <f aca="false">IF(BB27=1,IF(COUNTIFS($AW$2:$AW$201,AW27,$BB$2:$BB$201,1,$H$2:$H$201,"&lt;"&amp;H27)+COUNTIFS($AW$2:$AW$201,AW27,$BB$2:$BB$201,1,$H$2:$H$201,H27,$AX$2:$AX$201,"&lt;"&amp;AX27)=0,1,0),0)</f>
        <v>0</v>
      </c>
      <c r="BD27" s="23" t="n">
        <f aca="false">IF(AND(AY27=1,O27="Y",ISNUMBER(R27)),IF(R27&gt;=Config!$B$14,1,0),0)</f>
        <v>0</v>
      </c>
      <c r="BE27" s="23" t="n">
        <f aca="false">IF(BD27=1,IF(COUNTIFS($AW$2:$AW$201,AW27,$BD$2:$BD$201,1,$H$2:$H$201,"&lt;"&amp;H27)+COUNTIFS($AW$2:$AW$201,AW27,$BD$2:$BD$201,1,$H$2:$H$201,H27,$AX$2:$AX$201,"&lt;"&amp;AX27)=0,1,0),0)</f>
        <v>0</v>
      </c>
      <c r="BF27" s="23" t="n">
        <f aca="false">IF(AND(AY27=1,O27&lt;&gt;"Y",MAX(N(R27),N(V27))&gt;=Config!$B$14),1,0)</f>
        <v>0</v>
      </c>
      <c r="BG27" s="23" t="n">
        <f aca="false">IF(BF27=1,IF(COUNTIFS($AW$2:$AW$201,AW27,$BF$2:$BF$201,1,$H$2:$H$201,"&lt;"&amp;H27)+COUNTIFS($AW$2:$AW$201,AW27,$BF$2:$BF$201,1,$H$2:$H$201,H27,$AX$2:$AX$201,"&lt;"&amp;AX27)=0,1,0),0)</f>
        <v>0</v>
      </c>
      <c r="BH27" s="23" t="n">
        <f aca="false">IF(AND(AY27=1,ISNUMBER(R27)),1,0)</f>
        <v>0</v>
      </c>
      <c r="BI27" s="23" t="n">
        <f aca="false">IF(BH27=1,IF(COUNTIFS($AW$2:$AW$201,AW27,$BH$2:$BH$201,1,$H$2:$H$201,"&lt;"&amp;H27)+COUNTIFS($AW$2:$AW$201,AW27,$BH$2:$BH$201,1,$H$2:$H$201,H27,$AX$2:$AX$201,"&lt;"&amp;AX27)=0,1,0),0)</f>
        <v>0</v>
      </c>
      <c r="BJ27" s="23" t="str">
        <f aca="false">IF(AND(BI27=1,INT(N(H27))&lt;=Config!$B$6),R27,"")</f>
        <v/>
      </c>
      <c r="BK27" s="23" t="str">
        <f aca="false">IF(AND(BI27=1,INT(N(H27))&lt;=Config!$B$7),R27,"")</f>
        <v/>
      </c>
      <c r="BL27" s="23" t="str">
        <f aca="false">IF(AND(BI27=1,INT(N(H27))&lt;=Config!$B$8),R27,"")</f>
        <v/>
      </c>
      <c r="BM27" s="23" t="str">
        <f aca="false">IF(AND(BI27=1,INT(N(H27))&lt;=Config!$B$5),R27,"")</f>
        <v/>
      </c>
      <c r="BN27" s="23" t="n">
        <f aca="false">IF(AND(AY27=1,ISNUMBER(V27)),1,0)</f>
        <v>0</v>
      </c>
      <c r="BO27" s="23" t="n">
        <f aca="false">IF(BN27=1,IF(COUNTIFS($AW$2:$AW$201,AW27,$BN$2:$BN$201,1,$H$2:$H$201,"&lt;"&amp;H27)+COUNTIFS($AW$2:$AW$201,AW27,$BN$2:$BN$201,1,$H$2:$H$201,H27,$AX$2:$AX$201,"&lt;"&amp;AX27)=0,1,0),0)</f>
        <v>0</v>
      </c>
      <c r="BP27" s="23" t="str">
        <f aca="false">IF(AND(BO27=1,INT(N(H27))&lt;=Config!$B$6),V27,"")</f>
        <v/>
      </c>
      <c r="BQ27" s="23" t="str">
        <f aca="false">IF(AND(BO27=1,INT(N(H27))&lt;=Config!$B$7),V27,"")</f>
        <v/>
      </c>
      <c r="BR27" s="23" t="str">
        <f aca="false">IF(AND(BO27=1,INT(N(H27))&lt;=Config!$B$8),V27,"")</f>
        <v/>
      </c>
      <c r="BS27" s="23" t="str">
        <f aca="false">IF(AND(BO27=1,INT(N(H27))&lt;=Config!$B$5),V27,"")</f>
        <v/>
      </c>
      <c r="BT27" s="23" t="n">
        <f aca="false">IF(AND(AY27=1,ISNUMBER(K27)),1,0)</f>
        <v>0</v>
      </c>
      <c r="BU27" s="23" t="n">
        <f aca="false">IF(BT27=1,IF(COUNTIFS($AW$2:$AW$201,AW27,$BT$2:$BT$201,1,$H$2:$H$201,"&lt;"&amp;H27)+COUNTIFS($AW$2:$AW$201,AW27,$BT$2:$BT$201,1,$H$2:$H$201,H27,$AX$2:$AX$201,"&lt;"&amp;AX27)=0,1,0),0)</f>
        <v>0</v>
      </c>
      <c r="BV27" s="23" t="str">
        <f aca="false">IF(AND(BU27=1,INT(N(H27))&lt;=Config!$B$5),K27,"")</f>
        <v/>
      </c>
      <c r="BW27" s="23" t="n">
        <f aca="false">IF(AND(AY27=1,OR(AND(ISNUMBER(R27),TRIM(S27)=""),AND(ISNUMBER(V27),TRIM(W27)=""))),1,0)</f>
        <v>0</v>
      </c>
      <c r="BX27" s="23" t="str">
        <f aca="false">IF(AY27=1,AJ27&amp;"","")</f>
        <v/>
      </c>
      <c r="BY27" s="23" t="str">
        <f aca="false">IF(AY27=1,AK27&amp;"","")</f>
        <v/>
      </c>
      <c r="BZ27" s="23" t="str">
        <f aca="false">IF(AY27=1,AL27&amp;"","")</f>
        <v/>
      </c>
      <c r="CA27" s="23" t="str">
        <f aca="false">IF(AND(AY27=1,ISNUMBER(AS27),INT(N(H27))&lt;=Config!$B$5),AS27,"")</f>
        <v/>
      </c>
      <c r="CB27" s="23" t="str">
        <f aca="false">IF(AY27=1,IF(COUNTIFS($A$2:$A$201,$A27,$CU$2:$CU$201,1,$AN$2:$AN$201,"Y")&gt;0,"Y","N"),"")</f>
        <v/>
      </c>
      <c r="CC27" s="23" t="n">
        <f aca="false">IF(AND(AY27=1,AN27="Y"),IF(COUNTIFS($AW$2:$AW$201,AW27,$AN$2:$AN$201,"Y",$AY$2:$AY$201,1,$H$2:$H$201,"&lt;"&amp;H27)+COUNTIFS($AW$2:$AW$201,AW27,$AN$2:$AN$201,"Y",$AY$2:$AY$201,1,$H$2:$H$201,H27,$AX$2:$AX$201,"&lt;"&amp;AX27)=0,1,0),0)</f>
        <v>0</v>
      </c>
      <c r="CD27" s="23" t="n">
        <f aca="false">IF(AND(AY27=1,AB27="Y",AC27="Y",AD27="Y",AE27="Y",AF27="Y",AG27="Y",AI27="Y",TRIM(AH27)&lt;&gt;""),1,0)</f>
        <v>0</v>
      </c>
      <c r="CE27" s="23" t="n">
        <f aca="false">IF(CD27=1,IF(COUNTIFS($AW$2:$AW$201,AW27,$CD$2:$CD$201,1,$H$2:$H$201,"&lt;"&amp;H27)+COUNTIFS($AW$2:$AW$201,AW27,$CD$2:$CD$201,1,$H$2:$H$201,H27,$AX$2:$AX$201,"&lt;"&amp;AX27)=0,1,0),0)</f>
        <v>0</v>
      </c>
      <c r="CF27" s="23" t="n">
        <f aca="false">IF(AND(AY27=1,AO27="Y"),1,0)</f>
        <v>0</v>
      </c>
      <c r="CG27" s="23" t="n">
        <f aca="false">IF(CF27=1,IF(COUNTIFS($AW$2:$AW$201,AW27,$CF$2:$CF$201,1,$H$2:$H$201,"&lt;"&amp;H27)+COUNTIFS($AW$2:$AW$201,AW27,$CF$2:$CF$201,1,$H$2:$H$201,H27,$AX$2:$AX$201,"&lt;"&amp;AX27)=0,1,0),0)</f>
        <v>0</v>
      </c>
      <c r="CH27" s="23" t="n">
        <f aca="false">IF(AND(AY27=1,P27="Y"),1,0)</f>
        <v>0</v>
      </c>
      <c r="CI27" s="23" t="n">
        <f aca="false">IF(CH27=1,IF(COUNTIFS($AW$2:$AW$201,AW27,$CH$2:$CH$201,1,$H$2:$H$201,"&lt;"&amp;H27)+COUNTIFS($AW$2:$AW$201,AW27,$CH$2:$CH$201,1,$H$2:$H$201,H27,$AX$2:$AX$201,"&lt;"&amp;AX27)=0,1,0),0)</f>
        <v>0</v>
      </c>
      <c r="CJ27" s="23" t="str">
        <f aca="false">IF(AND(BU27=1,INT(N(H27))&lt;=Config!$B$5),L27,"")</f>
        <v/>
      </c>
      <c r="CK27" s="23" t="n">
        <f aca="false">IF(AND(AY27=1,AR27="Y"),1,0)</f>
        <v>0</v>
      </c>
      <c r="CL27" s="23" t="n">
        <f aca="false">IF(CK27=1,IF(COUNTIFS($AW$2:$AW$201,AW27,$CK$2:$CK$201,1,$H$2:$H$201,"&lt;"&amp;H27)+COUNTIFS($AW$2:$AW$201,AW27,$CK$2:$CK$201,1,$H$2:$H$201,H27,$AX$2:$AX$201,"&lt;"&amp;AX27)=0,1,0),0)</f>
        <v>0</v>
      </c>
      <c r="CM27" s="23" t="str">
        <f aca="false">IF(AY27=1,IFERROR(MATCH($A27,INDEX(Clay_Brands!$A$2:$FZ$601,0,Sync!$D$5),0),""),"")</f>
        <v/>
      </c>
      <c r="CN27" s="23" t="str">
        <f aca="false">IF(CM27="","",IFERROR(INDEX(Clay_Brands!$A$2:$FZ$601,CM27,Sync!$D$7)&amp;"",""))</f>
        <v/>
      </c>
      <c r="CO27" s="23" t="str">
        <f aca="false">IF(CN27="","",IFERROR(INDEX(Lists!$K$2:$K$15,MATCH(CN27,Lists!$J$2:$J$15,0)),""))</f>
        <v/>
      </c>
      <c r="CP27" s="23" t="str">
        <f aca="false">IF(CM27="","",IFERROR(INDEX(Clay_Brands!$A$2:$FZ$601,CM27,Sync!$D$17)&amp;"",""))</f>
        <v/>
      </c>
      <c r="CQ27" s="35" t="str">
        <f aca="false">IF(CM27="","",IFERROR(N(INDEX(Clay_Brands!$A$2:$FZ$601,CM27,Sync!$D$16)),0))</f>
        <v/>
      </c>
      <c r="CR27" s="23" t="n">
        <f aca="false">IF(AND(AY27=1,OR(O27="N",AND(OR(ISNUMBER(R27),ISNUMBER(V27)),MAX(N(R27),N(V27))&lt;Config!$B$14))),1,0)</f>
        <v>0</v>
      </c>
      <c r="CS27" s="23" t="n">
        <f aca="false">IF(OR(BB27=1,CR27=1),1,0)</f>
        <v>0</v>
      </c>
      <c r="CT27" s="23" t="n">
        <f aca="false">IF(AND(AY27=1,OR(AN27="Y",AN27="N",AN27="maybe")),1,0)</f>
        <v>0</v>
      </c>
      <c r="CU27" s="23" t="n">
        <f aca="false">IF(AND(CT27=1),IF(COUNTIFS($A$2:$A$201,$A27,$CT$2:$CT$201,1,$H$2:$H$201,"&gt;"&amp;H27)+COUNTIFS($A$2:$A$201,$A27,$CT$2:$CT$201,1,$H$2:$H$201,H27,$AX$2:$AX$201,"&gt;"&amp;AX27)=0,1,0),0)</f>
        <v>0</v>
      </c>
      <c r="CV27" s="23" t="n">
        <f aca="false">IF(AND(CS27=1,INT(N(H27))&lt;=Config!$B$6),IF(COUNTIFS($AW$2:$AW$201,AW27,$CS$2:$CS$201,1,$H$2:$H$201,"&gt;"&amp;H27,$H$2:$H$201,"&lt;"&amp;(Config!$B$6+1))+COUNTIFS($AW$2:$AW$201,AW27,$CS$2:$CS$201,1,$H$2:$H$201,H27,$AX$2:$AX$201,"&gt;"&amp;AX27)=0,1,0),0)</f>
        <v>0</v>
      </c>
      <c r="CW27" s="23" t="n">
        <f aca="false">IF(AND(CS27=1,INT(N(H27))&lt;=Config!$B$7),IF(COUNTIFS($AW$2:$AW$201,AW27,$CS$2:$CS$201,1,$H$2:$H$201,"&gt;"&amp;H27,$H$2:$H$201,"&lt;"&amp;(Config!$B$7+1))+COUNTIFS($AW$2:$AW$201,AW27,$CS$2:$CS$201,1,$H$2:$H$201,H27,$AX$2:$AX$201,"&gt;"&amp;AX27)=0,1,0),0)</f>
        <v>0</v>
      </c>
      <c r="CX27" s="23" t="n">
        <f aca="false">IF(AND(CS27=1,INT(N(H27))&lt;=Config!$B$8),IF(COUNTIFS($AW$2:$AW$201,AW27,$CS$2:$CS$201,1,$H$2:$H$201,"&gt;"&amp;H27,$H$2:$H$201,"&lt;"&amp;(Config!$B$8+1))+COUNTIFS($AW$2:$AW$201,AW27,$CS$2:$CS$201,1,$H$2:$H$201,H27,$AX$2:$AX$201,"&gt;"&amp;AX27)=0,1,0),0)</f>
        <v>0</v>
      </c>
      <c r="CY27" s="23" t="n">
        <f aca="false">IF(AND(CS27=1,INT(N(H27))&lt;=Config!$B$5),IF(COUNTIFS($AW$2:$AW$201,AW27,$CS$2:$CS$201,1,$H$2:$H$201,"&gt;"&amp;H27,$H$2:$H$201,"&lt;"&amp;(Config!$B$5+1))+COUNTIFS($AW$2:$AW$201,AW27,$CS$2:$CS$201,1,$H$2:$H$201,H27,$AX$2:$AX$201,"&gt;"&amp;AX27)=0,1,0),0)</f>
        <v>0</v>
      </c>
      <c r="CZ27" s="23" t="n">
        <f aca="false">IF(AY27=1,IF(COUNTIFS($AW$2:$AW$201,AW27,$CV$2:$CV$201,1,$BB$2:$BB$201,1)&gt;0,1,0),0)</f>
        <v>0</v>
      </c>
      <c r="DA27" s="23" t="n">
        <f aca="false">IF(AY27=1,IF(COUNTIFS($AW$2:$AW$201,AW27,$CW$2:$CW$201,1,$BB$2:$BB$201,1)&gt;0,1,0),0)</f>
        <v>0</v>
      </c>
      <c r="DB27" s="23" t="n">
        <f aca="false">IF(AY27=1,IF(COUNTIFS($AW$2:$AW$201,AW27,$CX$2:$CX$201,1,$BB$2:$BB$201,1)&gt;0,1,0),0)</f>
        <v>0</v>
      </c>
      <c r="DC27" s="23" t="n">
        <f aca="false">IF(AY27=1,IF(COUNTIFS($AW$2:$AW$201,AW27,$CY$2:$CY$201,1,$BB$2:$BB$201,1)&gt;0,1,0),0)</f>
        <v>0</v>
      </c>
      <c r="DD27" s="23" t="n">
        <f aca="false">IF(AND(BC27=1,INT(N(H27))&lt;=Config!$B$6,CZ27=1),1,0)</f>
        <v>0</v>
      </c>
      <c r="DE27" s="23" t="n">
        <f aca="false">IF(AND(BC27=1,INT(N(H27))&lt;=Config!$B$7,DA27=1),1,0)</f>
        <v>0</v>
      </c>
      <c r="DF27" s="23" t="n">
        <f aca="false">IF(AND(BC27=1,INT(N(H27))&lt;=Config!$B$8,DB27=1),1,0)</f>
        <v>0</v>
      </c>
      <c r="DG27" s="23" t="n">
        <f aca="false">IF(AND(BC27=1,INT(N(H27))&lt;=Config!$B$5,DC27=1),1,0)</f>
        <v>0</v>
      </c>
      <c r="DH27" s="23" t="n">
        <f aca="false">IF(AND(BE27=1,INT(N(H27))&lt;=Config!$B$6,CZ27=1),1,0)</f>
        <v>0</v>
      </c>
      <c r="DI27" s="23" t="n">
        <f aca="false">IF(AND(BE27=1,INT(N(H27))&lt;=Config!$B$7,DA27=1),1,0)</f>
        <v>0</v>
      </c>
      <c r="DJ27" s="23" t="n">
        <f aca="false">IF(AND(BE27=1,INT(N(H27))&lt;=Config!$B$8,DB27=1),1,0)</f>
        <v>0</v>
      </c>
      <c r="DK27" s="23" t="n">
        <f aca="false">IF(AND(BE27=1,INT(N(H27))&lt;=Config!$B$5,DC27=1),1,0)</f>
        <v>0</v>
      </c>
      <c r="DL27" s="23" t="n">
        <f aca="false">IF(AND(BC27=1,INT(N(H27))&lt;=Config!$B$6,CZ27=0),1,0)</f>
        <v>0</v>
      </c>
      <c r="DM27" s="23" t="n">
        <f aca="false">IF(AND(BC27=1,INT(N(H27))&lt;=Config!$B$7,DA27=0),1,0)</f>
        <v>0</v>
      </c>
      <c r="DN27" s="23" t="n">
        <f aca="false">IF(AND(BC27=1,INT(N(H27))&lt;=Config!$B$8,DB27=0),1,0)</f>
        <v>0</v>
      </c>
      <c r="DO27" s="23" t="n">
        <f aca="false">IF(AND(BC27=1,INT(N(H27))&lt;=Config!$B$5,DC27=0),1,0)</f>
        <v>0</v>
      </c>
      <c r="DP27" s="23" t="n">
        <f aca="false">IF(TRIM($A27)="",0,ISTEXT(K27)+ISTEXT(L27)+ISTEXT(R27)+ISTEXT(V27)+ISTEXT(AP27)+ISTEXT(AS27))</f>
        <v>0</v>
      </c>
      <c r="DQ27" s="23" t="n">
        <f aca="false">IF(AY27=1,IF(H27&lt;&gt;INT(H27),1,0),0)</f>
        <v>0</v>
      </c>
      <c r="DR27" s="23" t="str">
        <f aca="false">IF(TRIM($A27)="","",IF(TRIM(B27)="",SUBSTITUTE(SUBSTITUTE(SUBSTITUTE(SUBSTITUTE(SUBSTITUTE(SUBSTITUTE(LOWER(TRIM($A27)),"~",""),"*",""),"?",""),"&lt;",""),"&gt;",""),"=",""),SUBSTITUTE(SUBSTITUTE(SUBSTITUTE(SUBSTITUTE(SUBSTITUTE(SUBSTITUTE(LOWER(TRIM(B27)),"~",""),"*",""),"?",""),"&lt;",""),"&gt;",""),"=","")))</f>
        <v/>
      </c>
      <c r="DS27" s="23" t="str">
        <f aca="false">IF(CM27="","",IFERROR(IF(LEFT(LOWER(TRIM(INDEX(Clay_Brands!$A$2:$FZ$601,CM27,Sync!$D$19)&amp;"")),4)="grp-",SUBSTITUTE(SUBSTITUTE(SUBSTITUTE(SUBSTITUTE(SUBSTITUTE(SUBSTITUTE(LOWER(TRIM(INDEX(Clay_Brands!$A$2:$FZ$601,CM27,Sync!$D$19)&amp;"")),"~",""),"*",""),"?",""),"&lt;",""),"&gt;",""),"=",""),""),""))</f>
        <v/>
      </c>
      <c r="DT27" s="23" t="str">
        <f aca="false">IF(DS27&lt;&gt;"",DR27,"")</f>
        <v/>
      </c>
      <c r="DU27" s="23" t="str">
        <f aca="false">IF(AZ27=1,AW27,"")</f>
        <v/>
      </c>
      <c r="DV27" s="23" t="str">
        <f aca="false">IF(TRIM($A27)="","",IFERROR(INDEX($A$2:$A$201,MATCH(AW27,$DU$2:$DU$201,0))&amp;"",$A27&amp;""))</f>
        <v/>
      </c>
      <c r="DW27" s="23" t="n">
        <f aca="false">IF(AY27=1,IF(COUNTIFS($A$2:$A$201,$A27,$AY$2:$AY$201,1,$H$2:$H$201,"&lt;"&amp;H27)+COUNTIFS($A$2:$A$201,$A27,$AY$2:$AY$201,1,$H$2:$H$201,H27,$AX$2:$AX$201,"&lt;"&amp;AX27)=0,1,0),0)</f>
        <v>0</v>
      </c>
      <c r="DX27" s="23" t="n">
        <f aca="false">IF(AZ27=1,IF(COUNTIFS($AW$2:$AW$201,AW27,$DW$2:$DW$201,1)&gt;1,1,0),0)</f>
        <v>0</v>
      </c>
    </row>
    <row r="28" customFormat="false" ht="15" hidden="false" customHeight="false" outlineLevel="0" collapsed="false">
      <c r="G28" s="32"/>
      <c r="H28" s="33"/>
      <c r="I28" s="32"/>
      <c r="O28" s="32"/>
      <c r="P28" s="32"/>
      <c r="U28" s="32"/>
      <c r="Y28" s="32"/>
      <c r="AB28" s="32"/>
      <c r="AC28" s="32"/>
      <c r="AD28" s="32"/>
      <c r="AE28" s="32"/>
      <c r="AF28" s="32"/>
      <c r="AG28" s="32"/>
      <c r="AI28" s="32"/>
      <c r="AJ28" s="32"/>
      <c r="AK28" s="32"/>
      <c r="AN28" s="32"/>
      <c r="AO28" s="32"/>
      <c r="AR28" s="32"/>
      <c r="AT28" s="32"/>
      <c r="AV28" s="34" t="str">
        <f aca="false">IF(TRIM($A28)="","",IF(AND(LEFT($A28,6)="SAMPLE",Config!$B$19&lt;&gt;"Y"),"",IF(NOT(ISNUMBER(H28)),"call_date is blank or not a date",IF(Sync!$D$5="","Clay paste is empty or has no row_id column: paste the Clay export on Clay_Brands",IF(CM28="","row_id not found in the Clay paste: add the Clay row or fix the row_id",IF(AND(ISNUMBER(CO28),CO28&gt;=1,CO28&lt;=5),"Clay status is "&amp;CN28&amp;": set call_done or later",IF(AND(BA28=1,CP28&lt;&gt;CB28),"Clay yes_in_principle should be "&amp;CB28,IF(AND(BA28=1,CQ28&lt;&gt;H28),"Clay call_date should be "&amp;TEXT(H28,"yyyy-mm-dd"),""))))))))</f>
        <v/>
      </c>
      <c r="AW28" s="23" t="str">
        <f aca="false">IF(TRIM($A28)="","",IF(TRIM(C28)&lt;&gt;"",SUBSTITUTE(SUBSTITUTE(SUBSTITUTE(SUBSTITUTE(SUBSTITUTE(SUBSTITUTE(LOWER(TRIM(C28)),"~",""),"*",""),"?",""),"&lt;",""),"&gt;",""),"=",""),IF(DS28&lt;&gt;"",DS28,IFERROR(INDEX($DS$2:$DS$201,MATCH(DR28,$DT$2:$DT$201,0)),DR28))))</f>
        <v/>
      </c>
      <c r="AX28" s="23" t="n">
        <f aca="false">ROW()</f>
        <v>28</v>
      </c>
      <c r="AY28" s="23" t="n">
        <f aca="false">IF(AND(TRIM($A28)&lt;&gt;"",ISNUMBER(H28)),IF(AND(LEFT($A28,6)="SAMPLE",Config!$B$19&lt;&gt;"Y"),0,1),0)</f>
        <v>0</v>
      </c>
      <c r="AZ28" s="23" t="n">
        <f aca="false">IF(AY28=1,IF(COUNTIFS($AW$2:$AW$201,AW28,$AY$2:$AY$201,1,$H$2:$H$201,"&lt;"&amp;H28)+COUNTIFS($AW$2:$AW$201,AW28,$AY$2:$AY$201,1,$H$2:$H$201,H28,$AX$2:$AX$201,"&lt;"&amp;AX28)=0,1,0),0)</f>
        <v>0</v>
      </c>
      <c r="BA28" s="23" t="n">
        <f aca="false">IF(AY28=1,IF(COUNTIFS($A$2:$A$201,$A28,$AY$2:$AY$201,1,$H$2:$H$201,"&gt;"&amp;H28)+COUNTIFS($A$2:$A$201,$A28,$AY$2:$AY$201,1,$H$2:$H$201,H28,$AX$2:$AX$201,"&gt;"&amp;AX28)=0,1,0),0)</f>
        <v>0</v>
      </c>
      <c r="BB28" s="23" t="n">
        <f aca="false">IF(AND(AY28=1,O28="Y",MAX(N(R28),N(V28))&gt;=Config!$B$14),1,0)</f>
        <v>0</v>
      </c>
      <c r="BC28" s="23" t="n">
        <f aca="false">IF(BB28=1,IF(COUNTIFS($AW$2:$AW$201,AW28,$BB$2:$BB$201,1,$H$2:$H$201,"&lt;"&amp;H28)+COUNTIFS($AW$2:$AW$201,AW28,$BB$2:$BB$201,1,$H$2:$H$201,H28,$AX$2:$AX$201,"&lt;"&amp;AX28)=0,1,0),0)</f>
        <v>0</v>
      </c>
      <c r="BD28" s="23" t="n">
        <f aca="false">IF(AND(AY28=1,O28="Y",ISNUMBER(R28)),IF(R28&gt;=Config!$B$14,1,0),0)</f>
        <v>0</v>
      </c>
      <c r="BE28" s="23" t="n">
        <f aca="false">IF(BD28=1,IF(COUNTIFS($AW$2:$AW$201,AW28,$BD$2:$BD$201,1,$H$2:$H$201,"&lt;"&amp;H28)+COUNTIFS($AW$2:$AW$201,AW28,$BD$2:$BD$201,1,$H$2:$H$201,H28,$AX$2:$AX$201,"&lt;"&amp;AX28)=0,1,0),0)</f>
        <v>0</v>
      </c>
      <c r="BF28" s="23" t="n">
        <f aca="false">IF(AND(AY28=1,O28&lt;&gt;"Y",MAX(N(R28),N(V28))&gt;=Config!$B$14),1,0)</f>
        <v>0</v>
      </c>
      <c r="BG28" s="23" t="n">
        <f aca="false">IF(BF28=1,IF(COUNTIFS($AW$2:$AW$201,AW28,$BF$2:$BF$201,1,$H$2:$H$201,"&lt;"&amp;H28)+COUNTIFS($AW$2:$AW$201,AW28,$BF$2:$BF$201,1,$H$2:$H$201,H28,$AX$2:$AX$201,"&lt;"&amp;AX28)=0,1,0),0)</f>
        <v>0</v>
      </c>
      <c r="BH28" s="23" t="n">
        <f aca="false">IF(AND(AY28=1,ISNUMBER(R28)),1,0)</f>
        <v>0</v>
      </c>
      <c r="BI28" s="23" t="n">
        <f aca="false">IF(BH28=1,IF(COUNTIFS($AW$2:$AW$201,AW28,$BH$2:$BH$201,1,$H$2:$H$201,"&lt;"&amp;H28)+COUNTIFS($AW$2:$AW$201,AW28,$BH$2:$BH$201,1,$H$2:$H$201,H28,$AX$2:$AX$201,"&lt;"&amp;AX28)=0,1,0),0)</f>
        <v>0</v>
      </c>
      <c r="BJ28" s="23" t="str">
        <f aca="false">IF(AND(BI28=1,INT(N(H28))&lt;=Config!$B$6),R28,"")</f>
        <v/>
      </c>
      <c r="BK28" s="23" t="str">
        <f aca="false">IF(AND(BI28=1,INT(N(H28))&lt;=Config!$B$7),R28,"")</f>
        <v/>
      </c>
      <c r="BL28" s="23" t="str">
        <f aca="false">IF(AND(BI28=1,INT(N(H28))&lt;=Config!$B$8),R28,"")</f>
        <v/>
      </c>
      <c r="BM28" s="23" t="str">
        <f aca="false">IF(AND(BI28=1,INT(N(H28))&lt;=Config!$B$5),R28,"")</f>
        <v/>
      </c>
      <c r="BN28" s="23" t="n">
        <f aca="false">IF(AND(AY28=1,ISNUMBER(V28)),1,0)</f>
        <v>0</v>
      </c>
      <c r="BO28" s="23" t="n">
        <f aca="false">IF(BN28=1,IF(COUNTIFS($AW$2:$AW$201,AW28,$BN$2:$BN$201,1,$H$2:$H$201,"&lt;"&amp;H28)+COUNTIFS($AW$2:$AW$201,AW28,$BN$2:$BN$201,1,$H$2:$H$201,H28,$AX$2:$AX$201,"&lt;"&amp;AX28)=0,1,0),0)</f>
        <v>0</v>
      </c>
      <c r="BP28" s="23" t="str">
        <f aca="false">IF(AND(BO28=1,INT(N(H28))&lt;=Config!$B$6),V28,"")</f>
        <v/>
      </c>
      <c r="BQ28" s="23" t="str">
        <f aca="false">IF(AND(BO28=1,INT(N(H28))&lt;=Config!$B$7),V28,"")</f>
        <v/>
      </c>
      <c r="BR28" s="23" t="str">
        <f aca="false">IF(AND(BO28=1,INT(N(H28))&lt;=Config!$B$8),V28,"")</f>
        <v/>
      </c>
      <c r="BS28" s="23" t="str">
        <f aca="false">IF(AND(BO28=1,INT(N(H28))&lt;=Config!$B$5),V28,"")</f>
        <v/>
      </c>
      <c r="BT28" s="23" t="n">
        <f aca="false">IF(AND(AY28=1,ISNUMBER(K28)),1,0)</f>
        <v>0</v>
      </c>
      <c r="BU28" s="23" t="n">
        <f aca="false">IF(BT28=1,IF(COUNTIFS($AW$2:$AW$201,AW28,$BT$2:$BT$201,1,$H$2:$H$201,"&lt;"&amp;H28)+COUNTIFS($AW$2:$AW$201,AW28,$BT$2:$BT$201,1,$H$2:$H$201,H28,$AX$2:$AX$201,"&lt;"&amp;AX28)=0,1,0),0)</f>
        <v>0</v>
      </c>
      <c r="BV28" s="23" t="str">
        <f aca="false">IF(AND(BU28=1,INT(N(H28))&lt;=Config!$B$5),K28,"")</f>
        <v/>
      </c>
      <c r="BW28" s="23" t="n">
        <f aca="false">IF(AND(AY28=1,OR(AND(ISNUMBER(R28),TRIM(S28)=""),AND(ISNUMBER(V28),TRIM(W28)=""))),1,0)</f>
        <v>0</v>
      </c>
      <c r="BX28" s="23" t="str">
        <f aca="false">IF(AY28=1,AJ28&amp;"","")</f>
        <v/>
      </c>
      <c r="BY28" s="23" t="str">
        <f aca="false">IF(AY28=1,AK28&amp;"","")</f>
        <v/>
      </c>
      <c r="BZ28" s="23" t="str">
        <f aca="false">IF(AY28=1,AL28&amp;"","")</f>
        <v/>
      </c>
      <c r="CA28" s="23" t="str">
        <f aca="false">IF(AND(AY28=1,ISNUMBER(AS28),INT(N(H28))&lt;=Config!$B$5),AS28,"")</f>
        <v/>
      </c>
      <c r="CB28" s="23" t="str">
        <f aca="false">IF(AY28=1,IF(COUNTIFS($A$2:$A$201,$A28,$CU$2:$CU$201,1,$AN$2:$AN$201,"Y")&gt;0,"Y","N"),"")</f>
        <v/>
      </c>
      <c r="CC28" s="23" t="n">
        <f aca="false">IF(AND(AY28=1,AN28="Y"),IF(COUNTIFS($AW$2:$AW$201,AW28,$AN$2:$AN$201,"Y",$AY$2:$AY$201,1,$H$2:$H$201,"&lt;"&amp;H28)+COUNTIFS($AW$2:$AW$201,AW28,$AN$2:$AN$201,"Y",$AY$2:$AY$201,1,$H$2:$H$201,H28,$AX$2:$AX$201,"&lt;"&amp;AX28)=0,1,0),0)</f>
        <v>0</v>
      </c>
      <c r="CD28" s="23" t="n">
        <f aca="false">IF(AND(AY28=1,AB28="Y",AC28="Y",AD28="Y",AE28="Y",AF28="Y",AG28="Y",AI28="Y",TRIM(AH28)&lt;&gt;""),1,0)</f>
        <v>0</v>
      </c>
      <c r="CE28" s="23" t="n">
        <f aca="false">IF(CD28=1,IF(COUNTIFS($AW$2:$AW$201,AW28,$CD$2:$CD$201,1,$H$2:$H$201,"&lt;"&amp;H28)+COUNTIFS($AW$2:$AW$201,AW28,$CD$2:$CD$201,1,$H$2:$H$201,H28,$AX$2:$AX$201,"&lt;"&amp;AX28)=0,1,0),0)</f>
        <v>0</v>
      </c>
      <c r="CF28" s="23" t="n">
        <f aca="false">IF(AND(AY28=1,AO28="Y"),1,0)</f>
        <v>0</v>
      </c>
      <c r="CG28" s="23" t="n">
        <f aca="false">IF(CF28=1,IF(COUNTIFS($AW$2:$AW$201,AW28,$CF$2:$CF$201,1,$H$2:$H$201,"&lt;"&amp;H28)+COUNTIFS($AW$2:$AW$201,AW28,$CF$2:$CF$201,1,$H$2:$H$201,H28,$AX$2:$AX$201,"&lt;"&amp;AX28)=0,1,0),0)</f>
        <v>0</v>
      </c>
      <c r="CH28" s="23" t="n">
        <f aca="false">IF(AND(AY28=1,P28="Y"),1,0)</f>
        <v>0</v>
      </c>
      <c r="CI28" s="23" t="n">
        <f aca="false">IF(CH28=1,IF(COUNTIFS($AW$2:$AW$201,AW28,$CH$2:$CH$201,1,$H$2:$H$201,"&lt;"&amp;H28)+COUNTIFS($AW$2:$AW$201,AW28,$CH$2:$CH$201,1,$H$2:$H$201,H28,$AX$2:$AX$201,"&lt;"&amp;AX28)=0,1,0),0)</f>
        <v>0</v>
      </c>
      <c r="CJ28" s="23" t="str">
        <f aca="false">IF(AND(BU28=1,INT(N(H28))&lt;=Config!$B$5),L28,"")</f>
        <v/>
      </c>
      <c r="CK28" s="23" t="n">
        <f aca="false">IF(AND(AY28=1,AR28="Y"),1,0)</f>
        <v>0</v>
      </c>
      <c r="CL28" s="23" t="n">
        <f aca="false">IF(CK28=1,IF(COUNTIFS($AW$2:$AW$201,AW28,$CK$2:$CK$201,1,$H$2:$H$201,"&lt;"&amp;H28)+COUNTIFS($AW$2:$AW$201,AW28,$CK$2:$CK$201,1,$H$2:$H$201,H28,$AX$2:$AX$201,"&lt;"&amp;AX28)=0,1,0),0)</f>
        <v>0</v>
      </c>
      <c r="CM28" s="23" t="str">
        <f aca="false">IF(AY28=1,IFERROR(MATCH($A28,INDEX(Clay_Brands!$A$2:$FZ$601,0,Sync!$D$5),0),""),"")</f>
        <v/>
      </c>
      <c r="CN28" s="23" t="str">
        <f aca="false">IF(CM28="","",IFERROR(INDEX(Clay_Brands!$A$2:$FZ$601,CM28,Sync!$D$7)&amp;"",""))</f>
        <v/>
      </c>
      <c r="CO28" s="23" t="str">
        <f aca="false">IF(CN28="","",IFERROR(INDEX(Lists!$K$2:$K$15,MATCH(CN28,Lists!$J$2:$J$15,0)),""))</f>
        <v/>
      </c>
      <c r="CP28" s="23" t="str">
        <f aca="false">IF(CM28="","",IFERROR(INDEX(Clay_Brands!$A$2:$FZ$601,CM28,Sync!$D$17)&amp;"",""))</f>
        <v/>
      </c>
      <c r="CQ28" s="35" t="str">
        <f aca="false">IF(CM28="","",IFERROR(N(INDEX(Clay_Brands!$A$2:$FZ$601,CM28,Sync!$D$16)),0))</f>
        <v/>
      </c>
      <c r="CR28" s="23" t="n">
        <f aca="false">IF(AND(AY28=1,OR(O28="N",AND(OR(ISNUMBER(R28),ISNUMBER(V28)),MAX(N(R28),N(V28))&lt;Config!$B$14))),1,0)</f>
        <v>0</v>
      </c>
      <c r="CS28" s="23" t="n">
        <f aca="false">IF(OR(BB28=1,CR28=1),1,0)</f>
        <v>0</v>
      </c>
      <c r="CT28" s="23" t="n">
        <f aca="false">IF(AND(AY28=1,OR(AN28="Y",AN28="N",AN28="maybe")),1,0)</f>
        <v>0</v>
      </c>
      <c r="CU28" s="23" t="n">
        <f aca="false">IF(AND(CT28=1),IF(COUNTIFS($A$2:$A$201,$A28,$CT$2:$CT$201,1,$H$2:$H$201,"&gt;"&amp;H28)+COUNTIFS($A$2:$A$201,$A28,$CT$2:$CT$201,1,$H$2:$H$201,H28,$AX$2:$AX$201,"&gt;"&amp;AX28)=0,1,0),0)</f>
        <v>0</v>
      </c>
      <c r="CV28" s="23" t="n">
        <f aca="false">IF(AND(CS28=1,INT(N(H28))&lt;=Config!$B$6),IF(COUNTIFS($AW$2:$AW$201,AW28,$CS$2:$CS$201,1,$H$2:$H$201,"&gt;"&amp;H28,$H$2:$H$201,"&lt;"&amp;(Config!$B$6+1))+COUNTIFS($AW$2:$AW$201,AW28,$CS$2:$CS$201,1,$H$2:$H$201,H28,$AX$2:$AX$201,"&gt;"&amp;AX28)=0,1,0),0)</f>
        <v>0</v>
      </c>
      <c r="CW28" s="23" t="n">
        <f aca="false">IF(AND(CS28=1,INT(N(H28))&lt;=Config!$B$7),IF(COUNTIFS($AW$2:$AW$201,AW28,$CS$2:$CS$201,1,$H$2:$H$201,"&gt;"&amp;H28,$H$2:$H$201,"&lt;"&amp;(Config!$B$7+1))+COUNTIFS($AW$2:$AW$201,AW28,$CS$2:$CS$201,1,$H$2:$H$201,H28,$AX$2:$AX$201,"&gt;"&amp;AX28)=0,1,0),0)</f>
        <v>0</v>
      </c>
      <c r="CX28" s="23" t="n">
        <f aca="false">IF(AND(CS28=1,INT(N(H28))&lt;=Config!$B$8),IF(COUNTIFS($AW$2:$AW$201,AW28,$CS$2:$CS$201,1,$H$2:$H$201,"&gt;"&amp;H28,$H$2:$H$201,"&lt;"&amp;(Config!$B$8+1))+COUNTIFS($AW$2:$AW$201,AW28,$CS$2:$CS$201,1,$H$2:$H$201,H28,$AX$2:$AX$201,"&gt;"&amp;AX28)=0,1,0),0)</f>
        <v>0</v>
      </c>
      <c r="CY28" s="23" t="n">
        <f aca="false">IF(AND(CS28=1,INT(N(H28))&lt;=Config!$B$5),IF(COUNTIFS($AW$2:$AW$201,AW28,$CS$2:$CS$201,1,$H$2:$H$201,"&gt;"&amp;H28,$H$2:$H$201,"&lt;"&amp;(Config!$B$5+1))+COUNTIFS($AW$2:$AW$201,AW28,$CS$2:$CS$201,1,$H$2:$H$201,H28,$AX$2:$AX$201,"&gt;"&amp;AX28)=0,1,0),0)</f>
        <v>0</v>
      </c>
      <c r="CZ28" s="23" t="n">
        <f aca="false">IF(AY28=1,IF(COUNTIFS($AW$2:$AW$201,AW28,$CV$2:$CV$201,1,$BB$2:$BB$201,1)&gt;0,1,0),0)</f>
        <v>0</v>
      </c>
      <c r="DA28" s="23" t="n">
        <f aca="false">IF(AY28=1,IF(COUNTIFS($AW$2:$AW$201,AW28,$CW$2:$CW$201,1,$BB$2:$BB$201,1)&gt;0,1,0),0)</f>
        <v>0</v>
      </c>
      <c r="DB28" s="23" t="n">
        <f aca="false">IF(AY28=1,IF(COUNTIFS($AW$2:$AW$201,AW28,$CX$2:$CX$201,1,$BB$2:$BB$201,1)&gt;0,1,0),0)</f>
        <v>0</v>
      </c>
      <c r="DC28" s="23" t="n">
        <f aca="false">IF(AY28=1,IF(COUNTIFS($AW$2:$AW$201,AW28,$CY$2:$CY$201,1,$BB$2:$BB$201,1)&gt;0,1,0),0)</f>
        <v>0</v>
      </c>
      <c r="DD28" s="23" t="n">
        <f aca="false">IF(AND(BC28=1,INT(N(H28))&lt;=Config!$B$6,CZ28=1),1,0)</f>
        <v>0</v>
      </c>
      <c r="DE28" s="23" t="n">
        <f aca="false">IF(AND(BC28=1,INT(N(H28))&lt;=Config!$B$7,DA28=1),1,0)</f>
        <v>0</v>
      </c>
      <c r="DF28" s="23" t="n">
        <f aca="false">IF(AND(BC28=1,INT(N(H28))&lt;=Config!$B$8,DB28=1),1,0)</f>
        <v>0</v>
      </c>
      <c r="DG28" s="23" t="n">
        <f aca="false">IF(AND(BC28=1,INT(N(H28))&lt;=Config!$B$5,DC28=1),1,0)</f>
        <v>0</v>
      </c>
      <c r="DH28" s="23" t="n">
        <f aca="false">IF(AND(BE28=1,INT(N(H28))&lt;=Config!$B$6,CZ28=1),1,0)</f>
        <v>0</v>
      </c>
      <c r="DI28" s="23" t="n">
        <f aca="false">IF(AND(BE28=1,INT(N(H28))&lt;=Config!$B$7,DA28=1),1,0)</f>
        <v>0</v>
      </c>
      <c r="DJ28" s="23" t="n">
        <f aca="false">IF(AND(BE28=1,INT(N(H28))&lt;=Config!$B$8,DB28=1),1,0)</f>
        <v>0</v>
      </c>
      <c r="DK28" s="23" t="n">
        <f aca="false">IF(AND(BE28=1,INT(N(H28))&lt;=Config!$B$5,DC28=1),1,0)</f>
        <v>0</v>
      </c>
      <c r="DL28" s="23" t="n">
        <f aca="false">IF(AND(BC28=1,INT(N(H28))&lt;=Config!$B$6,CZ28=0),1,0)</f>
        <v>0</v>
      </c>
      <c r="DM28" s="23" t="n">
        <f aca="false">IF(AND(BC28=1,INT(N(H28))&lt;=Config!$B$7,DA28=0),1,0)</f>
        <v>0</v>
      </c>
      <c r="DN28" s="23" t="n">
        <f aca="false">IF(AND(BC28=1,INT(N(H28))&lt;=Config!$B$8,DB28=0),1,0)</f>
        <v>0</v>
      </c>
      <c r="DO28" s="23" t="n">
        <f aca="false">IF(AND(BC28=1,INT(N(H28))&lt;=Config!$B$5,DC28=0),1,0)</f>
        <v>0</v>
      </c>
      <c r="DP28" s="23" t="n">
        <f aca="false">IF(TRIM($A28)="",0,ISTEXT(K28)+ISTEXT(L28)+ISTEXT(R28)+ISTEXT(V28)+ISTEXT(AP28)+ISTEXT(AS28))</f>
        <v>0</v>
      </c>
      <c r="DQ28" s="23" t="n">
        <f aca="false">IF(AY28=1,IF(H28&lt;&gt;INT(H28),1,0),0)</f>
        <v>0</v>
      </c>
      <c r="DR28" s="23" t="str">
        <f aca="false">IF(TRIM($A28)="","",IF(TRIM(B28)="",SUBSTITUTE(SUBSTITUTE(SUBSTITUTE(SUBSTITUTE(SUBSTITUTE(SUBSTITUTE(LOWER(TRIM($A28)),"~",""),"*",""),"?",""),"&lt;",""),"&gt;",""),"=",""),SUBSTITUTE(SUBSTITUTE(SUBSTITUTE(SUBSTITUTE(SUBSTITUTE(SUBSTITUTE(LOWER(TRIM(B28)),"~",""),"*",""),"?",""),"&lt;",""),"&gt;",""),"=","")))</f>
        <v/>
      </c>
      <c r="DS28" s="23" t="str">
        <f aca="false">IF(CM28="","",IFERROR(IF(LEFT(LOWER(TRIM(INDEX(Clay_Brands!$A$2:$FZ$601,CM28,Sync!$D$19)&amp;"")),4)="grp-",SUBSTITUTE(SUBSTITUTE(SUBSTITUTE(SUBSTITUTE(SUBSTITUTE(SUBSTITUTE(LOWER(TRIM(INDEX(Clay_Brands!$A$2:$FZ$601,CM28,Sync!$D$19)&amp;"")),"~",""),"*",""),"?",""),"&lt;",""),"&gt;",""),"=",""),""),""))</f>
        <v/>
      </c>
      <c r="DT28" s="23" t="str">
        <f aca="false">IF(DS28&lt;&gt;"",DR28,"")</f>
        <v/>
      </c>
      <c r="DU28" s="23" t="str">
        <f aca="false">IF(AZ28=1,AW28,"")</f>
        <v/>
      </c>
      <c r="DV28" s="23" t="str">
        <f aca="false">IF(TRIM($A28)="","",IFERROR(INDEX($A$2:$A$201,MATCH(AW28,$DU$2:$DU$201,0))&amp;"",$A28&amp;""))</f>
        <v/>
      </c>
      <c r="DW28" s="23" t="n">
        <f aca="false">IF(AY28=1,IF(COUNTIFS($A$2:$A$201,$A28,$AY$2:$AY$201,1,$H$2:$H$201,"&lt;"&amp;H28)+COUNTIFS($A$2:$A$201,$A28,$AY$2:$AY$201,1,$H$2:$H$201,H28,$AX$2:$AX$201,"&lt;"&amp;AX28)=0,1,0),0)</f>
        <v>0</v>
      </c>
      <c r="DX28" s="23" t="n">
        <f aca="false">IF(AZ28=1,IF(COUNTIFS($AW$2:$AW$201,AW28,$DW$2:$DW$201,1)&gt;1,1,0),0)</f>
        <v>0</v>
      </c>
    </row>
    <row r="29" customFormat="false" ht="15" hidden="false" customHeight="false" outlineLevel="0" collapsed="false">
      <c r="G29" s="32"/>
      <c r="H29" s="33"/>
      <c r="I29" s="32"/>
      <c r="O29" s="32"/>
      <c r="P29" s="32"/>
      <c r="U29" s="32"/>
      <c r="Y29" s="32"/>
      <c r="AB29" s="32"/>
      <c r="AC29" s="32"/>
      <c r="AD29" s="32"/>
      <c r="AE29" s="32"/>
      <c r="AF29" s="32"/>
      <c r="AG29" s="32"/>
      <c r="AI29" s="32"/>
      <c r="AJ29" s="32"/>
      <c r="AK29" s="32"/>
      <c r="AN29" s="32"/>
      <c r="AO29" s="32"/>
      <c r="AR29" s="32"/>
      <c r="AT29" s="32"/>
      <c r="AV29" s="34" t="str">
        <f aca="false">IF(TRIM($A29)="","",IF(AND(LEFT($A29,6)="SAMPLE",Config!$B$19&lt;&gt;"Y"),"",IF(NOT(ISNUMBER(H29)),"call_date is blank or not a date",IF(Sync!$D$5="","Clay paste is empty or has no row_id column: paste the Clay export on Clay_Brands",IF(CM29="","row_id not found in the Clay paste: add the Clay row or fix the row_id",IF(AND(ISNUMBER(CO29),CO29&gt;=1,CO29&lt;=5),"Clay status is "&amp;CN29&amp;": set call_done or later",IF(AND(BA29=1,CP29&lt;&gt;CB29),"Clay yes_in_principle should be "&amp;CB29,IF(AND(BA29=1,CQ29&lt;&gt;H29),"Clay call_date should be "&amp;TEXT(H29,"yyyy-mm-dd"),""))))))))</f>
        <v/>
      </c>
      <c r="AW29" s="23" t="str">
        <f aca="false">IF(TRIM($A29)="","",IF(TRIM(C29)&lt;&gt;"",SUBSTITUTE(SUBSTITUTE(SUBSTITUTE(SUBSTITUTE(SUBSTITUTE(SUBSTITUTE(LOWER(TRIM(C29)),"~",""),"*",""),"?",""),"&lt;",""),"&gt;",""),"=",""),IF(DS29&lt;&gt;"",DS29,IFERROR(INDEX($DS$2:$DS$201,MATCH(DR29,$DT$2:$DT$201,0)),DR29))))</f>
        <v/>
      </c>
      <c r="AX29" s="23" t="n">
        <f aca="false">ROW()</f>
        <v>29</v>
      </c>
      <c r="AY29" s="23" t="n">
        <f aca="false">IF(AND(TRIM($A29)&lt;&gt;"",ISNUMBER(H29)),IF(AND(LEFT($A29,6)="SAMPLE",Config!$B$19&lt;&gt;"Y"),0,1),0)</f>
        <v>0</v>
      </c>
      <c r="AZ29" s="23" t="n">
        <f aca="false">IF(AY29=1,IF(COUNTIFS($AW$2:$AW$201,AW29,$AY$2:$AY$201,1,$H$2:$H$201,"&lt;"&amp;H29)+COUNTIFS($AW$2:$AW$201,AW29,$AY$2:$AY$201,1,$H$2:$H$201,H29,$AX$2:$AX$201,"&lt;"&amp;AX29)=0,1,0),0)</f>
        <v>0</v>
      </c>
      <c r="BA29" s="23" t="n">
        <f aca="false">IF(AY29=1,IF(COUNTIFS($A$2:$A$201,$A29,$AY$2:$AY$201,1,$H$2:$H$201,"&gt;"&amp;H29)+COUNTIFS($A$2:$A$201,$A29,$AY$2:$AY$201,1,$H$2:$H$201,H29,$AX$2:$AX$201,"&gt;"&amp;AX29)=0,1,0),0)</f>
        <v>0</v>
      </c>
      <c r="BB29" s="23" t="n">
        <f aca="false">IF(AND(AY29=1,O29="Y",MAX(N(R29),N(V29))&gt;=Config!$B$14),1,0)</f>
        <v>0</v>
      </c>
      <c r="BC29" s="23" t="n">
        <f aca="false">IF(BB29=1,IF(COUNTIFS($AW$2:$AW$201,AW29,$BB$2:$BB$201,1,$H$2:$H$201,"&lt;"&amp;H29)+COUNTIFS($AW$2:$AW$201,AW29,$BB$2:$BB$201,1,$H$2:$H$201,H29,$AX$2:$AX$201,"&lt;"&amp;AX29)=0,1,0),0)</f>
        <v>0</v>
      </c>
      <c r="BD29" s="23" t="n">
        <f aca="false">IF(AND(AY29=1,O29="Y",ISNUMBER(R29)),IF(R29&gt;=Config!$B$14,1,0),0)</f>
        <v>0</v>
      </c>
      <c r="BE29" s="23" t="n">
        <f aca="false">IF(BD29=1,IF(COUNTIFS($AW$2:$AW$201,AW29,$BD$2:$BD$201,1,$H$2:$H$201,"&lt;"&amp;H29)+COUNTIFS($AW$2:$AW$201,AW29,$BD$2:$BD$201,1,$H$2:$H$201,H29,$AX$2:$AX$201,"&lt;"&amp;AX29)=0,1,0),0)</f>
        <v>0</v>
      </c>
      <c r="BF29" s="23" t="n">
        <f aca="false">IF(AND(AY29=1,O29&lt;&gt;"Y",MAX(N(R29),N(V29))&gt;=Config!$B$14),1,0)</f>
        <v>0</v>
      </c>
      <c r="BG29" s="23" t="n">
        <f aca="false">IF(BF29=1,IF(COUNTIFS($AW$2:$AW$201,AW29,$BF$2:$BF$201,1,$H$2:$H$201,"&lt;"&amp;H29)+COUNTIFS($AW$2:$AW$201,AW29,$BF$2:$BF$201,1,$H$2:$H$201,H29,$AX$2:$AX$201,"&lt;"&amp;AX29)=0,1,0),0)</f>
        <v>0</v>
      </c>
      <c r="BH29" s="23" t="n">
        <f aca="false">IF(AND(AY29=1,ISNUMBER(R29)),1,0)</f>
        <v>0</v>
      </c>
      <c r="BI29" s="23" t="n">
        <f aca="false">IF(BH29=1,IF(COUNTIFS($AW$2:$AW$201,AW29,$BH$2:$BH$201,1,$H$2:$H$201,"&lt;"&amp;H29)+COUNTIFS($AW$2:$AW$201,AW29,$BH$2:$BH$201,1,$H$2:$H$201,H29,$AX$2:$AX$201,"&lt;"&amp;AX29)=0,1,0),0)</f>
        <v>0</v>
      </c>
      <c r="BJ29" s="23" t="str">
        <f aca="false">IF(AND(BI29=1,INT(N(H29))&lt;=Config!$B$6),R29,"")</f>
        <v/>
      </c>
      <c r="BK29" s="23" t="str">
        <f aca="false">IF(AND(BI29=1,INT(N(H29))&lt;=Config!$B$7),R29,"")</f>
        <v/>
      </c>
      <c r="BL29" s="23" t="str">
        <f aca="false">IF(AND(BI29=1,INT(N(H29))&lt;=Config!$B$8),R29,"")</f>
        <v/>
      </c>
      <c r="BM29" s="23" t="str">
        <f aca="false">IF(AND(BI29=1,INT(N(H29))&lt;=Config!$B$5),R29,"")</f>
        <v/>
      </c>
      <c r="BN29" s="23" t="n">
        <f aca="false">IF(AND(AY29=1,ISNUMBER(V29)),1,0)</f>
        <v>0</v>
      </c>
      <c r="BO29" s="23" t="n">
        <f aca="false">IF(BN29=1,IF(COUNTIFS($AW$2:$AW$201,AW29,$BN$2:$BN$201,1,$H$2:$H$201,"&lt;"&amp;H29)+COUNTIFS($AW$2:$AW$201,AW29,$BN$2:$BN$201,1,$H$2:$H$201,H29,$AX$2:$AX$201,"&lt;"&amp;AX29)=0,1,0),0)</f>
        <v>0</v>
      </c>
      <c r="BP29" s="23" t="str">
        <f aca="false">IF(AND(BO29=1,INT(N(H29))&lt;=Config!$B$6),V29,"")</f>
        <v/>
      </c>
      <c r="BQ29" s="23" t="str">
        <f aca="false">IF(AND(BO29=1,INT(N(H29))&lt;=Config!$B$7),V29,"")</f>
        <v/>
      </c>
      <c r="BR29" s="23" t="str">
        <f aca="false">IF(AND(BO29=1,INT(N(H29))&lt;=Config!$B$8),V29,"")</f>
        <v/>
      </c>
      <c r="BS29" s="23" t="str">
        <f aca="false">IF(AND(BO29=1,INT(N(H29))&lt;=Config!$B$5),V29,"")</f>
        <v/>
      </c>
      <c r="BT29" s="23" t="n">
        <f aca="false">IF(AND(AY29=1,ISNUMBER(K29)),1,0)</f>
        <v>0</v>
      </c>
      <c r="BU29" s="23" t="n">
        <f aca="false">IF(BT29=1,IF(COUNTIFS($AW$2:$AW$201,AW29,$BT$2:$BT$201,1,$H$2:$H$201,"&lt;"&amp;H29)+COUNTIFS($AW$2:$AW$201,AW29,$BT$2:$BT$201,1,$H$2:$H$201,H29,$AX$2:$AX$201,"&lt;"&amp;AX29)=0,1,0),0)</f>
        <v>0</v>
      </c>
      <c r="BV29" s="23" t="str">
        <f aca="false">IF(AND(BU29=1,INT(N(H29))&lt;=Config!$B$5),K29,"")</f>
        <v/>
      </c>
      <c r="BW29" s="23" t="n">
        <f aca="false">IF(AND(AY29=1,OR(AND(ISNUMBER(R29),TRIM(S29)=""),AND(ISNUMBER(V29),TRIM(W29)=""))),1,0)</f>
        <v>0</v>
      </c>
      <c r="BX29" s="23" t="str">
        <f aca="false">IF(AY29=1,AJ29&amp;"","")</f>
        <v/>
      </c>
      <c r="BY29" s="23" t="str">
        <f aca="false">IF(AY29=1,AK29&amp;"","")</f>
        <v/>
      </c>
      <c r="BZ29" s="23" t="str">
        <f aca="false">IF(AY29=1,AL29&amp;"","")</f>
        <v/>
      </c>
      <c r="CA29" s="23" t="str">
        <f aca="false">IF(AND(AY29=1,ISNUMBER(AS29),INT(N(H29))&lt;=Config!$B$5),AS29,"")</f>
        <v/>
      </c>
      <c r="CB29" s="23" t="str">
        <f aca="false">IF(AY29=1,IF(COUNTIFS($A$2:$A$201,$A29,$CU$2:$CU$201,1,$AN$2:$AN$201,"Y")&gt;0,"Y","N"),"")</f>
        <v/>
      </c>
      <c r="CC29" s="23" t="n">
        <f aca="false">IF(AND(AY29=1,AN29="Y"),IF(COUNTIFS($AW$2:$AW$201,AW29,$AN$2:$AN$201,"Y",$AY$2:$AY$201,1,$H$2:$H$201,"&lt;"&amp;H29)+COUNTIFS($AW$2:$AW$201,AW29,$AN$2:$AN$201,"Y",$AY$2:$AY$201,1,$H$2:$H$201,H29,$AX$2:$AX$201,"&lt;"&amp;AX29)=0,1,0),0)</f>
        <v>0</v>
      </c>
      <c r="CD29" s="23" t="n">
        <f aca="false">IF(AND(AY29=1,AB29="Y",AC29="Y",AD29="Y",AE29="Y",AF29="Y",AG29="Y",AI29="Y",TRIM(AH29)&lt;&gt;""),1,0)</f>
        <v>0</v>
      </c>
      <c r="CE29" s="23" t="n">
        <f aca="false">IF(CD29=1,IF(COUNTIFS($AW$2:$AW$201,AW29,$CD$2:$CD$201,1,$H$2:$H$201,"&lt;"&amp;H29)+COUNTIFS($AW$2:$AW$201,AW29,$CD$2:$CD$201,1,$H$2:$H$201,H29,$AX$2:$AX$201,"&lt;"&amp;AX29)=0,1,0),0)</f>
        <v>0</v>
      </c>
      <c r="CF29" s="23" t="n">
        <f aca="false">IF(AND(AY29=1,AO29="Y"),1,0)</f>
        <v>0</v>
      </c>
      <c r="CG29" s="23" t="n">
        <f aca="false">IF(CF29=1,IF(COUNTIFS($AW$2:$AW$201,AW29,$CF$2:$CF$201,1,$H$2:$H$201,"&lt;"&amp;H29)+COUNTIFS($AW$2:$AW$201,AW29,$CF$2:$CF$201,1,$H$2:$H$201,H29,$AX$2:$AX$201,"&lt;"&amp;AX29)=0,1,0),0)</f>
        <v>0</v>
      </c>
      <c r="CH29" s="23" t="n">
        <f aca="false">IF(AND(AY29=1,P29="Y"),1,0)</f>
        <v>0</v>
      </c>
      <c r="CI29" s="23" t="n">
        <f aca="false">IF(CH29=1,IF(COUNTIFS($AW$2:$AW$201,AW29,$CH$2:$CH$201,1,$H$2:$H$201,"&lt;"&amp;H29)+COUNTIFS($AW$2:$AW$201,AW29,$CH$2:$CH$201,1,$H$2:$H$201,H29,$AX$2:$AX$201,"&lt;"&amp;AX29)=0,1,0),0)</f>
        <v>0</v>
      </c>
      <c r="CJ29" s="23" t="str">
        <f aca="false">IF(AND(BU29=1,INT(N(H29))&lt;=Config!$B$5),L29,"")</f>
        <v/>
      </c>
      <c r="CK29" s="23" t="n">
        <f aca="false">IF(AND(AY29=1,AR29="Y"),1,0)</f>
        <v>0</v>
      </c>
      <c r="CL29" s="23" t="n">
        <f aca="false">IF(CK29=1,IF(COUNTIFS($AW$2:$AW$201,AW29,$CK$2:$CK$201,1,$H$2:$H$201,"&lt;"&amp;H29)+COUNTIFS($AW$2:$AW$201,AW29,$CK$2:$CK$201,1,$H$2:$H$201,H29,$AX$2:$AX$201,"&lt;"&amp;AX29)=0,1,0),0)</f>
        <v>0</v>
      </c>
      <c r="CM29" s="23" t="str">
        <f aca="false">IF(AY29=1,IFERROR(MATCH($A29,INDEX(Clay_Brands!$A$2:$FZ$601,0,Sync!$D$5),0),""),"")</f>
        <v/>
      </c>
      <c r="CN29" s="23" t="str">
        <f aca="false">IF(CM29="","",IFERROR(INDEX(Clay_Brands!$A$2:$FZ$601,CM29,Sync!$D$7)&amp;"",""))</f>
        <v/>
      </c>
      <c r="CO29" s="23" t="str">
        <f aca="false">IF(CN29="","",IFERROR(INDEX(Lists!$K$2:$K$15,MATCH(CN29,Lists!$J$2:$J$15,0)),""))</f>
        <v/>
      </c>
      <c r="CP29" s="23" t="str">
        <f aca="false">IF(CM29="","",IFERROR(INDEX(Clay_Brands!$A$2:$FZ$601,CM29,Sync!$D$17)&amp;"",""))</f>
        <v/>
      </c>
      <c r="CQ29" s="35" t="str">
        <f aca="false">IF(CM29="","",IFERROR(N(INDEX(Clay_Brands!$A$2:$FZ$601,CM29,Sync!$D$16)),0))</f>
        <v/>
      </c>
      <c r="CR29" s="23" t="n">
        <f aca="false">IF(AND(AY29=1,OR(O29="N",AND(OR(ISNUMBER(R29),ISNUMBER(V29)),MAX(N(R29),N(V29))&lt;Config!$B$14))),1,0)</f>
        <v>0</v>
      </c>
      <c r="CS29" s="23" t="n">
        <f aca="false">IF(OR(BB29=1,CR29=1),1,0)</f>
        <v>0</v>
      </c>
      <c r="CT29" s="23" t="n">
        <f aca="false">IF(AND(AY29=1,OR(AN29="Y",AN29="N",AN29="maybe")),1,0)</f>
        <v>0</v>
      </c>
      <c r="CU29" s="23" t="n">
        <f aca="false">IF(AND(CT29=1),IF(COUNTIFS($A$2:$A$201,$A29,$CT$2:$CT$201,1,$H$2:$H$201,"&gt;"&amp;H29)+COUNTIFS($A$2:$A$201,$A29,$CT$2:$CT$201,1,$H$2:$H$201,H29,$AX$2:$AX$201,"&gt;"&amp;AX29)=0,1,0),0)</f>
        <v>0</v>
      </c>
      <c r="CV29" s="23" t="n">
        <f aca="false">IF(AND(CS29=1,INT(N(H29))&lt;=Config!$B$6),IF(COUNTIFS($AW$2:$AW$201,AW29,$CS$2:$CS$201,1,$H$2:$H$201,"&gt;"&amp;H29,$H$2:$H$201,"&lt;"&amp;(Config!$B$6+1))+COUNTIFS($AW$2:$AW$201,AW29,$CS$2:$CS$201,1,$H$2:$H$201,H29,$AX$2:$AX$201,"&gt;"&amp;AX29)=0,1,0),0)</f>
        <v>0</v>
      </c>
      <c r="CW29" s="23" t="n">
        <f aca="false">IF(AND(CS29=1,INT(N(H29))&lt;=Config!$B$7),IF(COUNTIFS($AW$2:$AW$201,AW29,$CS$2:$CS$201,1,$H$2:$H$201,"&gt;"&amp;H29,$H$2:$H$201,"&lt;"&amp;(Config!$B$7+1))+COUNTIFS($AW$2:$AW$201,AW29,$CS$2:$CS$201,1,$H$2:$H$201,H29,$AX$2:$AX$201,"&gt;"&amp;AX29)=0,1,0),0)</f>
        <v>0</v>
      </c>
      <c r="CX29" s="23" t="n">
        <f aca="false">IF(AND(CS29=1,INT(N(H29))&lt;=Config!$B$8),IF(COUNTIFS($AW$2:$AW$201,AW29,$CS$2:$CS$201,1,$H$2:$H$201,"&gt;"&amp;H29,$H$2:$H$201,"&lt;"&amp;(Config!$B$8+1))+COUNTIFS($AW$2:$AW$201,AW29,$CS$2:$CS$201,1,$H$2:$H$201,H29,$AX$2:$AX$201,"&gt;"&amp;AX29)=0,1,0),0)</f>
        <v>0</v>
      </c>
      <c r="CY29" s="23" t="n">
        <f aca="false">IF(AND(CS29=1,INT(N(H29))&lt;=Config!$B$5),IF(COUNTIFS($AW$2:$AW$201,AW29,$CS$2:$CS$201,1,$H$2:$H$201,"&gt;"&amp;H29,$H$2:$H$201,"&lt;"&amp;(Config!$B$5+1))+COUNTIFS($AW$2:$AW$201,AW29,$CS$2:$CS$201,1,$H$2:$H$201,H29,$AX$2:$AX$201,"&gt;"&amp;AX29)=0,1,0),0)</f>
        <v>0</v>
      </c>
      <c r="CZ29" s="23" t="n">
        <f aca="false">IF(AY29=1,IF(COUNTIFS($AW$2:$AW$201,AW29,$CV$2:$CV$201,1,$BB$2:$BB$201,1)&gt;0,1,0),0)</f>
        <v>0</v>
      </c>
      <c r="DA29" s="23" t="n">
        <f aca="false">IF(AY29=1,IF(COUNTIFS($AW$2:$AW$201,AW29,$CW$2:$CW$201,1,$BB$2:$BB$201,1)&gt;0,1,0),0)</f>
        <v>0</v>
      </c>
      <c r="DB29" s="23" t="n">
        <f aca="false">IF(AY29=1,IF(COUNTIFS($AW$2:$AW$201,AW29,$CX$2:$CX$201,1,$BB$2:$BB$201,1)&gt;0,1,0),0)</f>
        <v>0</v>
      </c>
      <c r="DC29" s="23" t="n">
        <f aca="false">IF(AY29=1,IF(COUNTIFS($AW$2:$AW$201,AW29,$CY$2:$CY$201,1,$BB$2:$BB$201,1)&gt;0,1,0),0)</f>
        <v>0</v>
      </c>
      <c r="DD29" s="23" t="n">
        <f aca="false">IF(AND(BC29=1,INT(N(H29))&lt;=Config!$B$6,CZ29=1),1,0)</f>
        <v>0</v>
      </c>
      <c r="DE29" s="23" t="n">
        <f aca="false">IF(AND(BC29=1,INT(N(H29))&lt;=Config!$B$7,DA29=1),1,0)</f>
        <v>0</v>
      </c>
      <c r="DF29" s="23" t="n">
        <f aca="false">IF(AND(BC29=1,INT(N(H29))&lt;=Config!$B$8,DB29=1),1,0)</f>
        <v>0</v>
      </c>
      <c r="DG29" s="23" t="n">
        <f aca="false">IF(AND(BC29=1,INT(N(H29))&lt;=Config!$B$5,DC29=1),1,0)</f>
        <v>0</v>
      </c>
      <c r="DH29" s="23" t="n">
        <f aca="false">IF(AND(BE29=1,INT(N(H29))&lt;=Config!$B$6,CZ29=1),1,0)</f>
        <v>0</v>
      </c>
      <c r="DI29" s="23" t="n">
        <f aca="false">IF(AND(BE29=1,INT(N(H29))&lt;=Config!$B$7,DA29=1),1,0)</f>
        <v>0</v>
      </c>
      <c r="DJ29" s="23" t="n">
        <f aca="false">IF(AND(BE29=1,INT(N(H29))&lt;=Config!$B$8,DB29=1),1,0)</f>
        <v>0</v>
      </c>
      <c r="DK29" s="23" t="n">
        <f aca="false">IF(AND(BE29=1,INT(N(H29))&lt;=Config!$B$5,DC29=1),1,0)</f>
        <v>0</v>
      </c>
      <c r="DL29" s="23" t="n">
        <f aca="false">IF(AND(BC29=1,INT(N(H29))&lt;=Config!$B$6,CZ29=0),1,0)</f>
        <v>0</v>
      </c>
      <c r="DM29" s="23" t="n">
        <f aca="false">IF(AND(BC29=1,INT(N(H29))&lt;=Config!$B$7,DA29=0),1,0)</f>
        <v>0</v>
      </c>
      <c r="DN29" s="23" t="n">
        <f aca="false">IF(AND(BC29=1,INT(N(H29))&lt;=Config!$B$8,DB29=0),1,0)</f>
        <v>0</v>
      </c>
      <c r="DO29" s="23" t="n">
        <f aca="false">IF(AND(BC29=1,INT(N(H29))&lt;=Config!$B$5,DC29=0),1,0)</f>
        <v>0</v>
      </c>
      <c r="DP29" s="23" t="n">
        <f aca="false">IF(TRIM($A29)="",0,ISTEXT(K29)+ISTEXT(L29)+ISTEXT(R29)+ISTEXT(V29)+ISTEXT(AP29)+ISTEXT(AS29))</f>
        <v>0</v>
      </c>
      <c r="DQ29" s="23" t="n">
        <f aca="false">IF(AY29=1,IF(H29&lt;&gt;INT(H29),1,0),0)</f>
        <v>0</v>
      </c>
      <c r="DR29" s="23" t="str">
        <f aca="false">IF(TRIM($A29)="","",IF(TRIM(B29)="",SUBSTITUTE(SUBSTITUTE(SUBSTITUTE(SUBSTITUTE(SUBSTITUTE(SUBSTITUTE(LOWER(TRIM($A29)),"~",""),"*",""),"?",""),"&lt;",""),"&gt;",""),"=",""),SUBSTITUTE(SUBSTITUTE(SUBSTITUTE(SUBSTITUTE(SUBSTITUTE(SUBSTITUTE(LOWER(TRIM(B29)),"~",""),"*",""),"?",""),"&lt;",""),"&gt;",""),"=","")))</f>
        <v/>
      </c>
      <c r="DS29" s="23" t="str">
        <f aca="false">IF(CM29="","",IFERROR(IF(LEFT(LOWER(TRIM(INDEX(Clay_Brands!$A$2:$FZ$601,CM29,Sync!$D$19)&amp;"")),4)="grp-",SUBSTITUTE(SUBSTITUTE(SUBSTITUTE(SUBSTITUTE(SUBSTITUTE(SUBSTITUTE(LOWER(TRIM(INDEX(Clay_Brands!$A$2:$FZ$601,CM29,Sync!$D$19)&amp;"")),"~",""),"*",""),"?",""),"&lt;",""),"&gt;",""),"=",""),""),""))</f>
        <v/>
      </c>
      <c r="DT29" s="23" t="str">
        <f aca="false">IF(DS29&lt;&gt;"",DR29,"")</f>
        <v/>
      </c>
      <c r="DU29" s="23" t="str">
        <f aca="false">IF(AZ29=1,AW29,"")</f>
        <v/>
      </c>
      <c r="DV29" s="23" t="str">
        <f aca="false">IF(TRIM($A29)="","",IFERROR(INDEX($A$2:$A$201,MATCH(AW29,$DU$2:$DU$201,0))&amp;"",$A29&amp;""))</f>
        <v/>
      </c>
      <c r="DW29" s="23" t="n">
        <f aca="false">IF(AY29=1,IF(COUNTIFS($A$2:$A$201,$A29,$AY$2:$AY$201,1,$H$2:$H$201,"&lt;"&amp;H29)+COUNTIFS($A$2:$A$201,$A29,$AY$2:$AY$201,1,$H$2:$H$201,H29,$AX$2:$AX$201,"&lt;"&amp;AX29)=0,1,0),0)</f>
        <v>0</v>
      </c>
      <c r="DX29" s="23" t="n">
        <f aca="false">IF(AZ29=1,IF(COUNTIFS($AW$2:$AW$201,AW29,$DW$2:$DW$201,1)&gt;1,1,0),0)</f>
        <v>0</v>
      </c>
    </row>
    <row r="30" customFormat="false" ht="15" hidden="false" customHeight="false" outlineLevel="0" collapsed="false">
      <c r="G30" s="32"/>
      <c r="H30" s="33"/>
      <c r="I30" s="32"/>
      <c r="O30" s="32"/>
      <c r="P30" s="32"/>
      <c r="U30" s="32"/>
      <c r="Y30" s="32"/>
      <c r="AB30" s="32"/>
      <c r="AC30" s="32"/>
      <c r="AD30" s="32"/>
      <c r="AE30" s="32"/>
      <c r="AF30" s="32"/>
      <c r="AG30" s="32"/>
      <c r="AI30" s="32"/>
      <c r="AJ30" s="32"/>
      <c r="AK30" s="32"/>
      <c r="AN30" s="32"/>
      <c r="AO30" s="32"/>
      <c r="AR30" s="32"/>
      <c r="AT30" s="32"/>
      <c r="AV30" s="34" t="str">
        <f aca="false">IF(TRIM($A30)="","",IF(AND(LEFT($A30,6)="SAMPLE",Config!$B$19&lt;&gt;"Y"),"",IF(NOT(ISNUMBER(H30)),"call_date is blank or not a date",IF(Sync!$D$5="","Clay paste is empty or has no row_id column: paste the Clay export on Clay_Brands",IF(CM30="","row_id not found in the Clay paste: add the Clay row or fix the row_id",IF(AND(ISNUMBER(CO30),CO30&gt;=1,CO30&lt;=5),"Clay status is "&amp;CN30&amp;": set call_done or later",IF(AND(BA30=1,CP30&lt;&gt;CB30),"Clay yes_in_principle should be "&amp;CB30,IF(AND(BA30=1,CQ30&lt;&gt;H30),"Clay call_date should be "&amp;TEXT(H30,"yyyy-mm-dd"),""))))))))</f>
        <v/>
      </c>
      <c r="AW30" s="23" t="str">
        <f aca="false">IF(TRIM($A30)="","",IF(TRIM(C30)&lt;&gt;"",SUBSTITUTE(SUBSTITUTE(SUBSTITUTE(SUBSTITUTE(SUBSTITUTE(SUBSTITUTE(LOWER(TRIM(C30)),"~",""),"*",""),"?",""),"&lt;",""),"&gt;",""),"=",""),IF(DS30&lt;&gt;"",DS30,IFERROR(INDEX($DS$2:$DS$201,MATCH(DR30,$DT$2:$DT$201,0)),DR30))))</f>
        <v/>
      </c>
      <c r="AX30" s="23" t="n">
        <f aca="false">ROW()</f>
        <v>30</v>
      </c>
      <c r="AY30" s="23" t="n">
        <f aca="false">IF(AND(TRIM($A30)&lt;&gt;"",ISNUMBER(H30)),IF(AND(LEFT($A30,6)="SAMPLE",Config!$B$19&lt;&gt;"Y"),0,1),0)</f>
        <v>0</v>
      </c>
      <c r="AZ30" s="23" t="n">
        <f aca="false">IF(AY30=1,IF(COUNTIFS($AW$2:$AW$201,AW30,$AY$2:$AY$201,1,$H$2:$H$201,"&lt;"&amp;H30)+COUNTIFS($AW$2:$AW$201,AW30,$AY$2:$AY$201,1,$H$2:$H$201,H30,$AX$2:$AX$201,"&lt;"&amp;AX30)=0,1,0),0)</f>
        <v>0</v>
      </c>
      <c r="BA30" s="23" t="n">
        <f aca="false">IF(AY30=1,IF(COUNTIFS($A$2:$A$201,$A30,$AY$2:$AY$201,1,$H$2:$H$201,"&gt;"&amp;H30)+COUNTIFS($A$2:$A$201,$A30,$AY$2:$AY$201,1,$H$2:$H$201,H30,$AX$2:$AX$201,"&gt;"&amp;AX30)=0,1,0),0)</f>
        <v>0</v>
      </c>
      <c r="BB30" s="23" t="n">
        <f aca="false">IF(AND(AY30=1,O30="Y",MAX(N(R30),N(V30))&gt;=Config!$B$14),1,0)</f>
        <v>0</v>
      </c>
      <c r="BC30" s="23" t="n">
        <f aca="false">IF(BB30=1,IF(COUNTIFS($AW$2:$AW$201,AW30,$BB$2:$BB$201,1,$H$2:$H$201,"&lt;"&amp;H30)+COUNTIFS($AW$2:$AW$201,AW30,$BB$2:$BB$201,1,$H$2:$H$201,H30,$AX$2:$AX$201,"&lt;"&amp;AX30)=0,1,0),0)</f>
        <v>0</v>
      </c>
      <c r="BD30" s="23" t="n">
        <f aca="false">IF(AND(AY30=1,O30="Y",ISNUMBER(R30)),IF(R30&gt;=Config!$B$14,1,0),0)</f>
        <v>0</v>
      </c>
      <c r="BE30" s="23" t="n">
        <f aca="false">IF(BD30=1,IF(COUNTIFS($AW$2:$AW$201,AW30,$BD$2:$BD$201,1,$H$2:$H$201,"&lt;"&amp;H30)+COUNTIFS($AW$2:$AW$201,AW30,$BD$2:$BD$201,1,$H$2:$H$201,H30,$AX$2:$AX$201,"&lt;"&amp;AX30)=0,1,0),0)</f>
        <v>0</v>
      </c>
      <c r="BF30" s="23" t="n">
        <f aca="false">IF(AND(AY30=1,O30&lt;&gt;"Y",MAX(N(R30),N(V30))&gt;=Config!$B$14),1,0)</f>
        <v>0</v>
      </c>
      <c r="BG30" s="23" t="n">
        <f aca="false">IF(BF30=1,IF(COUNTIFS($AW$2:$AW$201,AW30,$BF$2:$BF$201,1,$H$2:$H$201,"&lt;"&amp;H30)+COUNTIFS($AW$2:$AW$201,AW30,$BF$2:$BF$201,1,$H$2:$H$201,H30,$AX$2:$AX$201,"&lt;"&amp;AX30)=0,1,0),0)</f>
        <v>0</v>
      </c>
      <c r="BH30" s="23" t="n">
        <f aca="false">IF(AND(AY30=1,ISNUMBER(R30)),1,0)</f>
        <v>0</v>
      </c>
      <c r="BI30" s="23" t="n">
        <f aca="false">IF(BH30=1,IF(COUNTIFS($AW$2:$AW$201,AW30,$BH$2:$BH$201,1,$H$2:$H$201,"&lt;"&amp;H30)+COUNTIFS($AW$2:$AW$201,AW30,$BH$2:$BH$201,1,$H$2:$H$201,H30,$AX$2:$AX$201,"&lt;"&amp;AX30)=0,1,0),0)</f>
        <v>0</v>
      </c>
      <c r="BJ30" s="23" t="str">
        <f aca="false">IF(AND(BI30=1,INT(N(H30))&lt;=Config!$B$6),R30,"")</f>
        <v/>
      </c>
      <c r="BK30" s="23" t="str">
        <f aca="false">IF(AND(BI30=1,INT(N(H30))&lt;=Config!$B$7),R30,"")</f>
        <v/>
      </c>
      <c r="BL30" s="23" t="str">
        <f aca="false">IF(AND(BI30=1,INT(N(H30))&lt;=Config!$B$8),R30,"")</f>
        <v/>
      </c>
      <c r="BM30" s="23" t="str">
        <f aca="false">IF(AND(BI30=1,INT(N(H30))&lt;=Config!$B$5),R30,"")</f>
        <v/>
      </c>
      <c r="BN30" s="23" t="n">
        <f aca="false">IF(AND(AY30=1,ISNUMBER(V30)),1,0)</f>
        <v>0</v>
      </c>
      <c r="BO30" s="23" t="n">
        <f aca="false">IF(BN30=1,IF(COUNTIFS($AW$2:$AW$201,AW30,$BN$2:$BN$201,1,$H$2:$H$201,"&lt;"&amp;H30)+COUNTIFS($AW$2:$AW$201,AW30,$BN$2:$BN$201,1,$H$2:$H$201,H30,$AX$2:$AX$201,"&lt;"&amp;AX30)=0,1,0),0)</f>
        <v>0</v>
      </c>
      <c r="BP30" s="23" t="str">
        <f aca="false">IF(AND(BO30=1,INT(N(H30))&lt;=Config!$B$6),V30,"")</f>
        <v/>
      </c>
      <c r="BQ30" s="23" t="str">
        <f aca="false">IF(AND(BO30=1,INT(N(H30))&lt;=Config!$B$7),V30,"")</f>
        <v/>
      </c>
      <c r="BR30" s="23" t="str">
        <f aca="false">IF(AND(BO30=1,INT(N(H30))&lt;=Config!$B$8),V30,"")</f>
        <v/>
      </c>
      <c r="BS30" s="23" t="str">
        <f aca="false">IF(AND(BO30=1,INT(N(H30))&lt;=Config!$B$5),V30,"")</f>
        <v/>
      </c>
      <c r="BT30" s="23" t="n">
        <f aca="false">IF(AND(AY30=1,ISNUMBER(K30)),1,0)</f>
        <v>0</v>
      </c>
      <c r="BU30" s="23" t="n">
        <f aca="false">IF(BT30=1,IF(COUNTIFS($AW$2:$AW$201,AW30,$BT$2:$BT$201,1,$H$2:$H$201,"&lt;"&amp;H30)+COUNTIFS($AW$2:$AW$201,AW30,$BT$2:$BT$201,1,$H$2:$H$201,H30,$AX$2:$AX$201,"&lt;"&amp;AX30)=0,1,0),0)</f>
        <v>0</v>
      </c>
      <c r="BV30" s="23" t="str">
        <f aca="false">IF(AND(BU30=1,INT(N(H30))&lt;=Config!$B$5),K30,"")</f>
        <v/>
      </c>
      <c r="BW30" s="23" t="n">
        <f aca="false">IF(AND(AY30=1,OR(AND(ISNUMBER(R30),TRIM(S30)=""),AND(ISNUMBER(V30),TRIM(W30)=""))),1,0)</f>
        <v>0</v>
      </c>
      <c r="BX30" s="23" t="str">
        <f aca="false">IF(AY30=1,AJ30&amp;"","")</f>
        <v/>
      </c>
      <c r="BY30" s="23" t="str">
        <f aca="false">IF(AY30=1,AK30&amp;"","")</f>
        <v/>
      </c>
      <c r="BZ30" s="23" t="str">
        <f aca="false">IF(AY30=1,AL30&amp;"","")</f>
        <v/>
      </c>
      <c r="CA30" s="23" t="str">
        <f aca="false">IF(AND(AY30=1,ISNUMBER(AS30),INT(N(H30))&lt;=Config!$B$5),AS30,"")</f>
        <v/>
      </c>
      <c r="CB30" s="23" t="str">
        <f aca="false">IF(AY30=1,IF(COUNTIFS($A$2:$A$201,$A30,$CU$2:$CU$201,1,$AN$2:$AN$201,"Y")&gt;0,"Y","N"),"")</f>
        <v/>
      </c>
      <c r="CC30" s="23" t="n">
        <f aca="false">IF(AND(AY30=1,AN30="Y"),IF(COUNTIFS($AW$2:$AW$201,AW30,$AN$2:$AN$201,"Y",$AY$2:$AY$201,1,$H$2:$H$201,"&lt;"&amp;H30)+COUNTIFS($AW$2:$AW$201,AW30,$AN$2:$AN$201,"Y",$AY$2:$AY$201,1,$H$2:$H$201,H30,$AX$2:$AX$201,"&lt;"&amp;AX30)=0,1,0),0)</f>
        <v>0</v>
      </c>
      <c r="CD30" s="23" t="n">
        <f aca="false">IF(AND(AY30=1,AB30="Y",AC30="Y",AD30="Y",AE30="Y",AF30="Y",AG30="Y",AI30="Y",TRIM(AH30)&lt;&gt;""),1,0)</f>
        <v>0</v>
      </c>
      <c r="CE30" s="23" t="n">
        <f aca="false">IF(CD30=1,IF(COUNTIFS($AW$2:$AW$201,AW30,$CD$2:$CD$201,1,$H$2:$H$201,"&lt;"&amp;H30)+COUNTIFS($AW$2:$AW$201,AW30,$CD$2:$CD$201,1,$H$2:$H$201,H30,$AX$2:$AX$201,"&lt;"&amp;AX30)=0,1,0),0)</f>
        <v>0</v>
      </c>
      <c r="CF30" s="23" t="n">
        <f aca="false">IF(AND(AY30=1,AO30="Y"),1,0)</f>
        <v>0</v>
      </c>
      <c r="CG30" s="23" t="n">
        <f aca="false">IF(CF30=1,IF(COUNTIFS($AW$2:$AW$201,AW30,$CF$2:$CF$201,1,$H$2:$H$201,"&lt;"&amp;H30)+COUNTIFS($AW$2:$AW$201,AW30,$CF$2:$CF$201,1,$H$2:$H$201,H30,$AX$2:$AX$201,"&lt;"&amp;AX30)=0,1,0),0)</f>
        <v>0</v>
      </c>
      <c r="CH30" s="23" t="n">
        <f aca="false">IF(AND(AY30=1,P30="Y"),1,0)</f>
        <v>0</v>
      </c>
      <c r="CI30" s="23" t="n">
        <f aca="false">IF(CH30=1,IF(COUNTIFS($AW$2:$AW$201,AW30,$CH$2:$CH$201,1,$H$2:$H$201,"&lt;"&amp;H30)+COUNTIFS($AW$2:$AW$201,AW30,$CH$2:$CH$201,1,$H$2:$H$201,H30,$AX$2:$AX$201,"&lt;"&amp;AX30)=0,1,0),0)</f>
        <v>0</v>
      </c>
      <c r="CJ30" s="23" t="str">
        <f aca="false">IF(AND(BU30=1,INT(N(H30))&lt;=Config!$B$5),L30,"")</f>
        <v/>
      </c>
      <c r="CK30" s="23" t="n">
        <f aca="false">IF(AND(AY30=1,AR30="Y"),1,0)</f>
        <v>0</v>
      </c>
      <c r="CL30" s="23" t="n">
        <f aca="false">IF(CK30=1,IF(COUNTIFS($AW$2:$AW$201,AW30,$CK$2:$CK$201,1,$H$2:$H$201,"&lt;"&amp;H30)+COUNTIFS($AW$2:$AW$201,AW30,$CK$2:$CK$201,1,$H$2:$H$201,H30,$AX$2:$AX$201,"&lt;"&amp;AX30)=0,1,0),0)</f>
        <v>0</v>
      </c>
      <c r="CM30" s="23" t="str">
        <f aca="false">IF(AY30=1,IFERROR(MATCH($A30,INDEX(Clay_Brands!$A$2:$FZ$601,0,Sync!$D$5),0),""),"")</f>
        <v/>
      </c>
      <c r="CN30" s="23" t="str">
        <f aca="false">IF(CM30="","",IFERROR(INDEX(Clay_Brands!$A$2:$FZ$601,CM30,Sync!$D$7)&amp;"",""))</f>
        <v/>
      </c>
      <c r="CO30" s="23" t="str">
        <f aca="false">IF(CN30="","",IFERROR(INDEX(Lists!$K$2:$K$15,MATCH(CN30,Lists!$J$2:$J$15,0)),""))</f>
        <v/>
      </c>
      <c r="CP30" s="23" t="str">
        <f aca="false">IF(CM30="","",IFERROR(INDEX(Clay_Brands!$A$2:$FZ$601,CM30,Sync!$D$17)&amp;"",""))</f>
        <v/>
      </c>
      <c r="CQ30" s="35" t="str">
        <f aca="false">IF(CM30="","",IFERROR(N(INDEX(Clay_Brands!$A$2:$FZ$601,CM30,Sync!$D$16)),0))</f>
        <v/>
      </c>
      <c r="CR30" s="23" t="n">
        <f aca="false">IF(AND(AY30=1,OR(O30="N",AND(OR(ISNUMBER(R30),ISNUMBER(V30)),MAX(N(R30),N(V30))&lt;Config!$B$14))),1,0)</f>
        <v>0</v>
      </c>
      <c r="CS30" s="23" t="n">
        <f aca="false">IF(OR(BB30=1,CR30=1),1,0)</f>
        <v>0</v>
      </c>
      <c r="CT30" s="23" t="n">
        <f aca="false">IF(AND(AY30=1,OR(AN30="Y",AN30="N",AN30="maybe")),1,0)</f>
        <v>0</v>
      </c>
      <c r="CU30" s="23" t="n">
        <f aca="false">IF(AND(CT30=1),IF(COUNTIFS($A$2:$A$201,$A30,$CT$2:$CT$201,1,$H$2:$H$201,"&gt;"&amp;H30)+COUNTIFS($A$2:$A$201,$A30,$CT$2:$CT$201,1,$H$2:$H$201,H30,$AX$2:$AX$201,"&gt;"&amp;AX30)=0,1,0),0)</f>
        <v>0</v>
      </c>
      <c r="CV30" s="23" t="n">
        <f aca="false">IF(AND(CS30=1,INT(N(H30))&lt;=Config!$B$6),IF(COUNTIFS($AW$2:$AW$201,AW30,$CS$2:$CS$201,1,$H$2:$H$201,"&gt;"&amp;H30,$H$2:$H$201,"&lt;"&amp;(Config!$B$6+1))+COUNTIFS($AW$2:$AW$201,AW30,$CS$2:$CS$201,1,$H$2:$H$201,H30,$AX$2:$AX$201,"&gt;"&amp;AX30)=0,1,0),0)</f>
        <v>0</v>
      </c>
      <c r="CW30" s="23" t="n">
        <f aca="false">IF(AND(CS30=1,INT(N(H30))&lt;=Config!$B$7),IF(COUNTIFS($AW$2:$AW$201,AW30,$CS$2:$CS$201,1,$H$2:$H$201,"&gt;"&amp;H30,$H$2:$H$201,"&lt;"&amp;(Config!$B$7+1))+COUNTIFS($AW$2:$AW$201,AW30,$CS$2:$CS$201,1,$H$2:$H$201,H30,$AX$2:$AX$201,"&gt;"&amp;AX30)=0,1,0),0)</f>
        <v>0</v>
      </c>
      <c r="CX30" s="23" t="n">
        <f aca="false">IF(AND(CS30=1,INT(N(H30))&lt;=Config!$B$8),IF(COUNTIFS($AW$2:$AW$201,AW30,$CS$2:$CS$201,1,$H$2:$H$201,"&gt;"&amp;H30,$H$2:$H$201,"&lt;"&amp;(Config!$B$8+1))+COUNTIFS($AW$2:$AW$201,AW30,$CS$2:$CS$201,1,$H$2:$H$201,H30,$AX$2:$AX$201,"&gt;"&amp;AX30)=0,1,0),0)</f>
        <v>0</v>
      </c>
      <c r="CY30" s="23" t="n">
        <f aca="false">IF(AND(CS30=1,INT(N(H30))&lt;=Config!$B$5),IF(COUNTIFS($AW$2:$AW$201,AW30,$CS$2:$CS$201,1,$H$2:$H$201,"&gt;"&amp;H30,$H$2:$H$201,"&lt;"&amp;(Config!$B$5+1))+COUNTIFS($AW$2:$AW$201,AW30,$CS$2:$CS$201,1,$H$2:$H$201,H30,$AX$2:$AX$201,"&gt;"&amp;AX30)=0,1,0),0)</f>
        <v>0</v>
      </c>
      <c r="CZ30" s="23" t="n">
        <f aca="false">IF(AY30=1,IF(COUNTIFS($AW$2:$AW$201,AW30,$CV$2:$CV$201,1,$BB$2:$BB$201,1)&gt;0,1,0),0)</f>
        <v>0</v>
      </c>
      <c r="DA30" s="23" t="n">
        <f aca="false">IF(AY30=1,IF(COUNTIFS($AW$2:$AW$201,AW30,$CW$2:$CW$201,1,$BB$2:$BB$201,1)&gt;0,1,0),0)</f>
        <v>0</v>
      </c>
      <c r="DB30" s="23" t="n">
        <f aca="false">IF(AY30=1,IF(COUNTIFS($AW$2:$AW$201,AW30,$CX$2:$CX$201,1,$BB$2:$BB$201,1)&gt;0,1,0),0)</f>
        <v>0</v>
      </c>
      <c r="DC30" s="23" t="n">
        <f aca="false">IF(AY30=1,IF(COUNTIFS($AW$2:$AW$201,AW30,$CY$2:$CY$201,1,$BB$2:$BB$201,1)&gt;0,1,0),0)</f>
        <v>0</v>
      </c>
      <c r="DD30" s="23" t="n">
        <f aca="false">IF(AND(BC30=1,INT(N(H30))&lt;=Config!$B$6,CZ30=1),1,0)</f>
        <v>0</v>
      </c>
      <c r="DE30" s="23" t="n">
        <f aca="false">IF(AND(BC30=1,INT(N(H30))&lt;=Config!$B$7,DA30=1),1,0)</f>
        <v>0</v>
      </c>
      <c r="DF30" s="23" t="n">
        <f aca="false">IF(AND(BC30=1,INT(N(H30))&lt;=Config!$B$8,DB30=1),1,0)</f>
        <v>0</v>
      </c>
      <c r="DG30" s="23" t="n">
        <f aca="false">IF(AND(BC30=1,INT(N(H30))&lt;=Config!$B$5,DC30=1),1,0)</f>
        <v>0</v>
      </c>
      <c r="DH30" s="23" t="n">
        <f aca="false">IF(AND(BE30=1,INT(N(H30))&lt;=Config!$B$6,CZ30=1),1,0)</f>
        <v>0</v>
      </c>
      <c r="DI30" s="23" t="n">
        <f aca="false">IF(AND(BE30=1,INT(N(H30))&lt;=Config!$B$7,DA30=1),1,0)</f>
        <v>0</v>
      </c>
      <c r="DJ30" s="23" t="n">
        <f aca="false">IF(AND(BE30=1,INT(N(H30))&lt;=Config!$B$8,DB30=1),1,0)</f>
        <v>0</v>
      </c>
      <c r="DK30" s="23" t="n">
        <f aca="false">IF(AND(BE30=1,INT(N(H30))&lt;=Config!$B$5,DC30=1),1,0)</f>
        <v>0</v>
      </c>
      <c r="DL30" s="23" t="n">
        <f aca="false">IF(AND(BC30=1,INT(N(H30))&lt;=Config!$B$6,CZ30=0),1,0)</f>
        <v>0</v>
      </c>
      <c r="DM30" s="23" t="n">
        <f aca="false">IF(AND(BC30=1,INT(N(H30))&lt;=Config!$B$7,DA30=0),1,0)</f>
        <v>0</v>
      </c>
      <c r="DN30" s="23" t="n">
        <f aca="false">IF(AND(BC30=1,INT(N(H30))&lt;=Config!$B$8,DB30=0),1,0)</f>
        <v>0</v>
      </c>
      <c r="DO30" s="23" t="n">
        <f aca="false">IF(AND(BC30=1,INT(N(H30))&lt;=Config!$B$5,DC30=0),1,0)</f>
        <v>0</v>
      </c>
      <c r="DP30" s="23" t="n">
        <f aca="false">IF(TRIM($A30)="",0,ISTEXT(K30)+ISTEXT(L30)+ISTEXT(R30)+ISTEXT(V30)+ISTEXT(AP30)+ISTEXT(AS30))</f>
        <v>0</v>
      </c>
      <c r="DQ30" s="23" t="n">
        <f aca="false">IF(AY30=1,IF(H30&lt;&gt;INT(H30),1,0),0)</f>
        <v>0</v>
      </c>
      <c r="DR30" s="23" t="str">
        <f aca="false">IF(TRIM($A30)="","",IF(TRIM(B30)="",SUBSTITUTE(SUBSTITUTE(SUBSTITUTE(SUBSTITUTE(SUBSTITUTE(SUBSTITUTE(LOWER(TRIM($A30)),"~",""),"*",""),"?",""),"&lt;",""),"&gt;",""),"=",""),SUBSTITUTE(SUBSTITUTE(SUBSTITUTE(SUBSTITUTE(SUBSTITUTE(SUBSTITUTE(LOWER(TRIM(B30)),"~",""),"*",""),"?",""),"&lt;",""),"&gt;",""),"=","")))</f>
        <v/>
      </c>
      <c r="DS30" s="23" t="str">
        <f aca="false">IF(CM30="","",IFERROR(IF(LEFT(LOWER(TRIM(INDEX(Clay_Brands!$A$2:$FZ$601,CM30,Sync!$D$19)&amp;"")),4)="grp-",SUBSTITUTE(SUBSTITUTE(SUBSTITUTE(SUBSTITUTE(SUBSTITUTE(SUBSTITUTE(LOWER(TRIM(INDEX(Clay_Brands!$A$2:$FZ$601,CM30,Sync!$D$19)&amp;"")),"~",""),"*",""),"?",""),"&lt;",""),"&gt;",""),"=",""),""),""))</f>
        <v/>
      </c>
      <c r="DT30" s="23" t="str">
        <f aca="false">IF(DS30&lt;&gt;"",DR30,"")</f>
        <v/>
      </c>
      <c r="DU30" s="23" t="str">
        <f aca="false">IF(AZ30=1,AW30,"")</f>
        <v/>
      </c>
      <c r="DV30" s="23" t="str">
        <f aca="false">IF(TRIM($A30)="","",IFERROR(INDEX($A$2:$A$201,MATCH(AW30,$DU$2:$DU$201,0))&amp;"",$A30&amp;""))</f>
        <v/>
      </c>
      <c r="DW30" s="23" t="n">
        <f aca="false">IF(AY30=1,IF(COUNTIFS($A$2:$A$201,$A30,$AY$2:$AY$201,1,$H$2:$H$201,"&lt;"&amp;H30)+COUNTIFS($A$2:$A$201,$A30,$AY$2:$AY$201,1,$H$2:$H$201,H30,$AX$2:$AX$201,"&lt;"&amp;AX30)=0,1,0),0)</f>
        <v>0</v>
      </c>
      <c r="DX30" s="23" t="n">
        <f aca="false">IF(AZ30=1,IF(COUNTIFS($AW$2:$AW$201,AW30,$DW$2:$DW$201,1)&gt;1,1,0),0)</f>
        <v>0</v>
      </c>
    </row>
    <row r="31" customFormat="false" ht="15" hidden="false" customHeight="false" outlineLevel="0" collapsed="false">
      <c r="G31" s="32"/>
      <c r="H31" s="33"/>
      <c r="I31" s="32"/>
      <c r="O31" s="32"/>
      <c r="P31" s="32"/>
      <c r="U31" s="32"/>
      <c r="Y31" s="32"/>
      <c r="AB31" s="32"/>
      <c r="AC31" s="32"/>
      <c r="AD31" s="32"/>
      <c r="AE31" s="32"/>
      <c r="AF31" s="32"/>
      <c r="AG31" s="32"/>
      <c r="AI31" s="32"/>
      <c r="AJ31" s="32"/>
      <c r="AK31" s="32"/>
      <c r="AN31" s="32"/>
      <c r="AO31" s="32"/>
      <c r="AR31" s="32"/>
      <c r="AT31" s="32"/>
      <c r="AV31" s="34" t="str">
        <f aca="false">IF(TRIM($A31)="","",IF(AND(LEFT($A31,6)="SAMPLE",Config!$B$19&lt;&gt;"Y"),"",IF(NOT(ISNUMBER(H31)),"call_date is blank or not a date",IF(Sync!$D$5="","Clay paste is empty or has no row_id column: paste the Clay export on Clay_Brands",IF(CM31="","row_id not found in the Clay paste: add the Clay row or fix the row_id",IF(AND(ISNUMBER(CO31),CO31&gt;=1,CO31&lt;=5),"Clay status is "&amp;CN31&amp;": set call_done or later",IF(AND(BA31=1,CP31&lt;&gt;CB31),"Clay yes_in_principle should be "&amp;CB31,IF(AND(BA31=1,CQ31&lt;&gt;H31),"Clay call_date should be "&amp;TEXT(H31,"yyyy-mm-dd"),""))))))))</f>
        <v/>
      </c>
      <c r="AW31" s="23" t="str">
        <f aca="false">IF(TRIM($A31)="","",IF(TRIM(C31)&lt;&gt;"",SUBSTITUTE(SUBSTITUTE(SUBSTITUTE(SUBSTITUTE(SUBSTITUTE(SUBSTITUTE(LOWER(TRIM(C31)),"~",""),"*",""),"?",""),"&lt;",""),"&gt;",""),"=",""),IF(DS31&lt;&gt;"",DS31,IFERROR(INDEX($DS$2:$DS$201,MATCH(DR31,$DT$2:$DT$201,0)),DR31))))</f>
        <v/>
      </c>
      <c r="AX31" s="23" t="n">
        <f aca="false">ROW()</f>
        <v>31</v>
      </c>
      <c r="AY31" s="23" t="n">
        <f aca="false">IF(AND(TRIM($A31)&lt;&gt;"",ISNUMBER(H31)),IF(AND(LEFT($A31,6)="SAMPLE",Config!$B$19&lt;&gt;"Y"),0,1),0)</f>
        <v>0</v>
      </c>
      <c r="AZ31" s="23" t="n">
        <f aca="false">IF(AY31=1,IF(COUNTIFS($AW$2:$AW$201,AW31,$AY$2:$AY$201,1,$H$2:$H$201,"&lt;"&amp;H31)+COUNTIFS($AW$2:$AW$201,AW31,$AY$2:$AY$201,1,$H$2:$H$201,H31,$AX$2:$AX$201,"&lt;"&amp;AX31)=0,1,0),0)</f>
        <v>0</v>
      </c>
      <c r="BA31" s="23" t="n">
        <f aca="false">IF(AY31=1,IF(COUNTIFS($A$2:$A$201,$A31,$AY$2:$AY$201,1,$H$2:$H$201,"&gt;"&amp;H31)+COUNTIFS($A$2:$A$201,$A31,$AY$2:$AY$201,1,$H$2:$H$201,H31,$AX$2:$AX$201,"&gt;"&amp;AX31)=0,1,0),0)</f>
        <v>0</v>
      </c>
      <c r="BB31" s="23" t="n">
        <f aca="false">IF(AND(AY31=1,O31="Y",MAX(N(R31),N(V31))&gt;=Config!$B$14),1,0)</f>
        <v>0</v>
      </c>
      <c r="BC31" s="23" t="n">
        <f aca="false">IF(BB31=1,IF(COUNTIFS($AW$2:$AW$201,AW31,$BB$2:$BB$201,1,$H$2:$H$201,"&lt;"&amp;H31)+COUNTIFS($AW$2:$AW$201,AW31,$BB$2:$BB$201,1,$H$2:$H$201,H31,$AX$2:$AX$201,"&lt;"&amp;AX31)=0,1,0),0)</f>
        <v>0</v>
      </c>
      <c r="BD31" s="23" t="n">
        <f aca="false">IF(AND(AY31=1,O31="Y",ISNUMBER(R31)),IF(R31&gt;=Config!$B$14,1,0),0)</f>
        <v>0</v>
      </c>
      <c r="BE31" s="23" t="n">
        <f aca="false">IF(BD31=1,IF(COUNTIFS($AW$2:$AW$201,AW31,$BD$2:$BD$201,1,$H$2:$H$201,"&lt;"&amp;H31)+COUNTIFS($AW$2:$AW$201,AW31,$BD$2:$BD$201,1,$H$2:$H$201,H31,$AX$2:$AX$201,"&lt;"&amp;AX31)=0,1,0),0)</f>
        <v>0</v>
      </c>
      <c r="BF31" s="23" t="n">
        <f aca="false">IF(AND(AY31=1,O31&lt;&gt;"Y",MAX(N(R31),N(V31))&gt;=Config!$B$14),1,0)</f>
        <v>0</v>
      </c>
      <c r="BG31" s="23" t="n">
        <f aca="false">IF(BF31=1,IF(COUNTIFS($AW$2:$AW$201,AW31,$BF$2:$BF$201,1,$H$2:$H$201,"&lt;"&amp;H31)+COUNTIFS($AW$2:$AW$201,AW31,$BF$2:$BF$201,1,$H$2:$H$201,H31,$AX$2:$AX$201,"&lt;"&amp;AX31)=0,1,0),0)</f>
        <v>0</v>
      </c>
      <c r="BH31" s="23" t="n">
        <f aca="false">IF(AND(AY31=1,ISNUMBER(R31)),1,0)</f>
        <v>0</v>
      </c>
      <c r="BI31" s="23" t="n">
        <f aca="false">IF(BH31=1,IF(COUNTIFS($AW$2:$AW$201,AW31,$BH$2:$BH$201,1,$H$2:$H$201,"&lt;"&amp;H31)+COUNTIFS($AW$2:$AW$201,AW31,$BH$2:$BH$201,1,$H$2:$H$201,H31,$AX$2:$AX$201,"&lt;"&amp;AX31)=0,1,0),0)</f>
        <v>0</v>
      </c>
      <c r="BJ31" s="23" t="str">
        <f aca="false">IF(AND(BI31=1,INT(N(H31))&lt;=Config!$B$6),R31,"")</f>
        <v/>
      </c>
      <c r="BK31" s="23" t="str">
        <f aca="false">IF(AND(BI31=1,INT(N(H31))&lt;=Config!$B$7),R31,"")</f>
        <v/>
      </c>
      <c r="BL31" s="23" t="str">
        <f aca="false">IF(AND(BI31=1,INT(N(H31))&lt;=Config!$B$8),R31,"")</f>
        <v/>
      </c>
      <c r="BM31" s="23" t="str">
        <f aca="false">IF(AND(BI31=1,INT(N(H31))&lt;=Config!$B$5),R31,"")</f>
        <v/>
      </c>
      <c r="BN31" s="23" t="n">
        <f aca="false">IF(AND(AY31=1,ISNUMBER(V31)),1,0)</f>
        <v>0</v>
      </c>
      <c r="BO31" s="23" t="n">
        <f aca="false">IF(BN31=1,IF(COUNTIFS($AW$2:$AW$201,AW31,$BN$2:$BN$201,1,$H$2:$H$201,"&lt;"&amp;H31)+COUNTIFS($AW$2:$AW$201,AW31,$BN$2:$BN$201,1,$H$2:$H$201,H31,$AX$2:$AX$201,"&lt;"&amp;AX31)=0,1,0),0)</f>
        <v>0</v>
      </c>
      <c r="BP31" s="23" t="str">
        <f aca="false">IF(AND(BO31=1,INT(N(H31))&lt;=Config!$B$6),V31,"")</f>
        <v/>
      </c>
      <c r="BQ31" s="23" t="str">
        <f aca="false">IF(AND(BO31=1,INT(N(H31))&lt;=Config!$B$7),V31,"")</f>
        <v/>
      </c>
      <c r="BR31" s="23" t="str">
        <f aca="false">IF(AND(BO31=1,INT(N(H31))&lt;=Config!$B$8),V31,"")</f>
        <v/>
      </c>
      <c r="BS31" s="23" t="str">
        <f aca="false">IF(AND(BO31=1,INT(N(H31))&lt;=Config!$B$5),V31,"")</f>
        <v/>
      </c>
      <c r="BT31" s="23" t="n">
        <f aca="false">IF(AND(AY31=1,ISNUMBER(K31)),1,0)</f>
        <v>0</v>
      </c>
      <c r="BU31" s="23" t="n">
        <f aca="false">IF(BT31=1,IF(COUNTIFS($AW$2:$AW$201,AW31,$BT$2:$BT$201,1,$H$2:$H$201,"&lt;"&amp;H31)+COUNTIFS($AW$2:$AW$201,AW31,$BT$2:$BT$201,1,$H$2:$H$201,H31,$AX$2:$AX$201,"&lt;"&amp;AX31)=0,1,0),0)</f>
        <v>0</v>
      </c>
      <c r="BV31" s="23" t="str">
        <f aca="false">IF(AND(BU31=1,INT(N(H31))&lt;=Config!$B$5),K31,"")</f>
        <v/>
      </c>
      <c r="BW31" s="23" t="n">
        <f aca="false">IF(AND(AY31=1,OR(AND(ISNUMBER(R31),TRIM(S31)=""),AND(ISNUMBER(V31),TRIM(W31)=""))),1,0)</f>
        <v>0</v>
      </c>
      <c r="BX31" s="23" t="str">
        <f aca="false">IF(AY31=1,AJ31&amp;"","")</f>
        <v/>
      </c>
      <c r="BY31" s="23" t="str">
        <f aca="false">IF(AY31=1,AK31&amp;"","")</f>
        <v/>
      </c>
      <c r="BZ31" s="23" t="str">
        <f aca="false">IF(AY31=1,AL31&amp;"","")</f>
        <v/>
      </c>
      <c r="CA31" s="23" t="str">
        <f aca="false">IF(AND(AY31=1,ISNUMBER(AS31),INT(N(H31))&lt;=Config!$B$5),AS31,"")</f>
        <v/>
      </c>
      <c r="CB31" s="23" t="str">
        <f aca="false">IF(AY31=1,IF(COUNTIFS($A$2:$A$201,$A31,$CU$2:$CU$201,1,$AN$2:$AN$201,"Y")&gt;0,"Y","N"),"")</f>
        <v/>
      </c>
      <c r="CC31" s="23" t="n">
        <f aca="false">IF(AND(AY31=1,AN31="Y"),IF(COUNTIFS($AW$2:$AW$201,AW31,$AN$2:$AN$201,"Y",$AY$2:$AY$201,1,$H$2:$H$201,"&lt;"&amp;H31)+COUNTIFS($AW$2:$AW$201,AW31,$AN$2:$AN$201,"Y",$AY$2:$AY$201,1,$H$2:$H$201,H31,$AX$2:$AX$201,"&lt;"&amp;AX31)=0,1,0),0)</f>
        <v>0</v>
      </c>
      <c r="CD31" s="23" t="n">
        <f aca="false">IF(AND(AY31=1,AB31="Y",AC31="Y",AD31="Y",AE31="Y",AF31="Y",AG31="Y",AI31="Y",TRIM(AH31)&lt;&gt;""),1,0)</f>
        <v>0</v>
      </c>
      <c r="CE31" s="23" t="n">
        <f aca="false">IF(CD31=1,IF(COUNTIFS($AW$2:$AW$201,AW31,$CD$2:$CD$201,1,$H$2:$H$201,"&lt;"&amp;H31)+COUNTIFS($AW$2:$AW$201,AW31,$CD$2:$CD$201,1,$H$2:$H$201,H31,$AX$2:$AX$201,"&lt;"&amp;AX31)=0,1,0),0)</f>
        <v>0</v>
      </c>
      <c r="CF31" s="23" t="n">
        <f aca="false">IF(AND(AY31=1,AO31="Y"),1,0)</f>
        <v>0</v>
      </c>
      <c r="CG31" s="23" t="n">
        <f aca="false">IF(CF31=1,IF(COUNTIFS($AW$2:$AW$201,AW31,$CF$2:$CF$201,1,$H$2:$H$201,"&lt;"&amp;H31)+COUNTIFS($AW$2:$AW$201,AW31,$CF$2:$CF$201,1,$H$2:$H$201,H31,$AX$2:$AX$201,"&lt;"&amp;AX31)=0,1,0),0)</f>
        <v>0</v>
      </c>
      <c r="CH31" s="23" t="n">
        <f aca="false">IF(AND(AY31=1,P31="Y"),1,0)</f>
        <v>0</v>
      </c>
      <c r="CI31" s="23" t="n">
        <f aca="false">IF(CH31=1,IF(COUNTIFS($AW$2:$AW$201,AW31,$CH$2:$CH$201,1,$H$2:$H$201,"&lt;"&amp;H31)+COUNTIFS($AW$2:$AW$201,AW31,$CH$2:$CH$201,1,$H$2:$H$201,H31,$AX$2:$AX$201,"&lt;"&amp;AX31)=0,1,0),0)</f>
        <v>0</v>
      </c>
      <c r="CJ31" s="23" t="str">
        <f aca="false">IF(AND(BU31=1,INT(N(H31))&lt;=Config!$B$5),L31,"")</f>
        <v/>
      </c>
      <c r="CK31" s="23" t="n">
        <f aca="false">IF(AND(AY31=1,AR31="Y"),1,0)</f>
        <v>0</v>
      </c>
      <c r="CL31" s="23" t="n">
        <f aca="false">IF(CK31=1,IF(COUNTIFS($AW$2:$AW$201,AW31,$CK$2:$CK$201,1,$H$2:$H$201,"&lt;"&amp;H31)+COUNTIFS($AW$2:$AW$201,AW31,$CK$2:$CK$201,1,$H$2:$H$201,H31,$AX$2:$AX$201,"&lt;"&amp;AX31)=0,1,0),0)</f>
        <v>0</v>
      </c>
      <c r="CM31" s="23" t="str">
        <f aca="false">IF(AY31=1,IFERROR(MATCH($A31,INDEX(Clay_Brands!$A$2:$FZ$601,0,Sync!$D$5),0),""),"")</f>
        <v/>
      </c>
      <c r="CN31" s="23" t="str">
        <f aca="false">IF(CM31="","",IFERROR(INDEX(Clay_Brands!$A$2:$FZ$601,CM31,Sync!$D$7)&amp;"",""))</f>
        <v/>
      </c>
      <c r="CO31" s="23" t="str">
        <f aca="false">IF(CN31="","",IFERROR(INDEX(Lists!$K$2:$K$15,MATCH(CN31,Lists!$J$2:$J$15,0)),""))</f>
        <v/>
      </c>
      <c r="CP31" s="23" t="str">
        <f aca="false">IF(CM31="","",IFERROR(INDEX(Clay_Brands!$A$2:$FZ$601,CM31,Sync!$D$17)&amp;"",""))</f>
        <v/>
      </c>
      <c r="CQ31" s="35" t="str">
        <f aca="false">IF(CM31="","",IFERROR(N(INDEX(Clay_Brands!$A$2:$FZ$601,CM31,Sync!$D$16)),0))</f>
        <v/>
      </c>
      <c r="CR31" s="23" t="n">
        <f aca="false">IF(AND(AY31=1,OR(O31="N",AND(OR(ISNUMBER(R31),ISNUMBER(V31)),MAX(N(R31),N(V31))&lt;Config!$B$14))),1,0)</f>
        <v>0</v>
      </c>
      <c r="CS31" s="23" t="n">
        <f aca="false">IF(OR(BB31=1,CR31=1),1,0)</f>
        <v>0</v>
      </c>
      <c r="CT31" s="23" t="n">
        <f aca="false">IF(AND(AY31=1,OR(AN31="Y",AN31="N",AN31="maybe")),1,0)</f>
        <v>0</v>
      </c>
      <c r="CU31" s="23" t="n">
        <f aca="false">IF(AND(CT31=1),IF(COUNTIFS($A$2:$A$201,$A31,$CT$2:$CT$201,1,$H$2:$H$201,"&gt;"&amp;H31)+COUNTIFS($A$2:$A$201,$A31,$CT$2:$CT$201,1,$H$2:$H$201,H31,$AX$2:$AX$201,"&gt;"&amp;AX31)=0,1,0),0)</f>
        <v>0</v>
      </c>
      <c r="CV31" s="23" t="n">
        <f aca="false">IF(AND(CS31=1,INT(N(H31))&lt;=Config!$B$6),IF(COUNTIFS($AW$2:$AW$201,AW31,$CS$2:$CS$201,1,$H$2:$H$201,"&gt;"&amp;H31,$H$2:$H$201,"&lt;"&amp;(Config!$B$6+1))+COUNTIFS($AW$2:$AW$201,AW31,$CS$2:$CS$201,1,$H$2:$H$201,H31,$AX$2:$AX$201,"&gt;"&amp;AX31)=0,1,0),0)</f>
        <v>0</v>
      </c>
      <c r="CW31" s="23" t="n">
        <f aca="false">IF(AND(CS31=1,INT(N(H31))&lt;=Config!$B$7),IF(COUNTIFS($AW$2:$AW$201,AW31,$CS$2:$CS$201,1,$H$2:$H$201,"&gt;"&amp;H31,$H$2:$H$201,"&lt;"&amp;(Config!$B$7+1))+COUNTIFS($AW$2:$AW$201,AW31,$CS$2:$CS$201,1,$H$2:$H$201,H31,$AX$2:$AX$201,"&gt;"&amp;AX31)=0,1,0),0)</f>
        <v>0</v>
      </c>
      <c r="CX31" s="23" t="n">
        <f aca="false">IF(AND(CS31=1,INT(N(H31))&lt;=Config!$B$8),IF(COUNTIFS($AW$2:$AW$201,AW31,$CS$2:$CS$201,1,$H$2:$H$201,"&gt;"&amp;H31,$H$2:$H$201,"&lt;"&amp;(Config!$B$8+1))+COUNTIFS($AW$2:$AW$201,AW31,$CS$2:$CS$201,1,$H$2:$H$201,H31,$AX$2:$AX$201,"&gt;"&amp;AX31)=0,1,0),0)</f>
        <v>0</v>
      </c>
      <c r="CY31" s="23" t="n">
        <f aca="false">IF(AND(CS31=1,INT(N(H31))&lt;=Config!$B$5),IF(COUNTIFS($AW$2:$AW$201,AW31,$CS$2:$CS$201,1,$H$2:$H$201,"&gt;"&amp;H31,$H$2:$H$201,"&lt;"&amp;(Config!$B$5+1))+COUNTIFS($AW$2:$AW$201,AW31,$CS$2:$CS$201,1,$H$2:$H$201,H31,$AX$2:$AX$201,"&gt;"&amp;AX31)=0,1,0),0)</f>
        <v>0</v>
      </c>
      <c r="CZ31" s="23" t="n">
        <f aca="false">IF(AY31=1,IF(COUNTIFS($AW$2:$AW$201,AW31,$CV$2:$CV$201,1,$BB$2:$BB$201,1)&gt;0,1,0),0)</f>
        <v>0</v>
      </c>
      <c r="DA31" s="23" t="n">
        <f aca="false">IF(AY31=1,IF(COUNTIFS($AW$2:$AW$201,AW31,$CW$2:$CW$201,1,$BB$2:$BB$201,1)&gt;0,1,0),0)</f>
        <v>0</v>
      </c>
      <c r="DB31" s="23" t="n">
        <f aca="false">IF(AY31=1,IF(COUNTIFS($AW$2:$AW$201,AW31,$CX$2:$CX$201,1,$BB$2:$BB$201,1)&gt;0,1,0),0)</f>
        <v>0</v>
      </c>
      <c r="DC31" s="23" t="n">
        <f aca="false">IF(AY31=1,IF(COUNTIFS($AW$2:$AW$201,AW31,$CY$2:$CY$201,1,$BB$2:$BB$201,1)&gt;0,1,0),0)</f>
        <v>0</v>
      </c>
      <c r="DD31" s="23" t="n">
        <f aca="false">IF(AND(BC31=1,INT(N(H31))&lt;=Config!$B$6,CZ31=1),1,0)</f>
        <v>0</v>
      </c>
      <c r="DE31" s="23" t="n">
        <f aca="false">IF(AND(BC31=1,INT(N(H31))&lt;=Config!$B$7,DA31=1),1,0)</f>
        <v>0</v>
      </c>
      <c r="DF31" s="23" t="n">
        <f aca="false">IF(AND(BC31=1,INT(N(H31))&lt;=Config!$B$8,DB31=1),1,0)</f>
        <v>0</v>
      </c>
      <c r="DG31" s="23" t="n">
        <f aca="false">IF(AND(BC31=1,INT(N(H31))&lt;=Config!$B$5,DC31=1),1,0)</f>
        <v>0</v>
      </c>
      <c r="DH31" s="23" t="n">
        <f aca="false">IF(AND(BE31=1,INT(N(H31))&lt;=Config!$B$6,CZ31=1),1,0)</f>
        <v>0</v>
      </c>
      <c r="DI31" s="23" t="n">
        <f aca="false">IF(AND(BE31=1,INT(N(H31))&lt;=Config!$B$7,DA31=1),1,0)</f>
        <v>0</v>
      </c>
      <c r="DJ31" s="23" t="n">
        <f aca="false">IF(AND(BE31=1,INT(N(H31))&lt;=Config!$B$8,DB31=1),1,0)</f>
        <v>0</v>
      </c>
      <c r="DK31" s="23" t="n">
        <f aca="false">IF(AND(BE31=1,INT(N(H31))&lt;=Config!$B$5,DC31=1),1,0)</f>
        <v>0</v>
      </c>
      <c r="DL31" s="23" t="n">
        <f aca="false">IF(AND(BC31=1,INT(N(H31))&lt;=Config!$B$6,CZ31=0),1,0)</f>
        <v>0</v>
      </c>
      <c r="DM31" s="23" t="n">
        <f aca="false">IF(AND(BC31=1,INT(N(H31))&lt;=Config!$B$7,DA31=0),1,0)</f>
        <v>0</v>
      </c>
      <c r="DN31" s="23" t="n">
        <f aca="false">IF(AND(BC31=1,INT(N(H31))&lt;=Config!$B$8,DB31=0),1,0)</f>
        <v>0</v>
      </c>
      <c r="DO31" s="23" t="n">
        <f aca="false">IF(AND(BC31=1,INT(N(H31))&lt;=Config!$B$5,DC31=0),1,0)</f>
        <v>0</v>
      </c>
      <c r="DP31" s="23" t="n">
        <f aca="false">IF(TRIM($A31)="",0,ISTEXT(K31)+ISTEXT(L31)+ISTEXT(R31)+ISTEXT(V31)+ISTEXT(AP31)+ISTEXT(AS31))</f>
        <v>0</v>
      </c>
      <c r="DQ31" s="23" t="n">
        <f aca="false">IF(AY31=1,IF(H31&lt;&gt;INT(H31),1,0),0)</f>
        <v>0</v>
      </c>
      <c r="DR31" s="23" t="str">
        <f aca="false">IF(TRIM($A31)="","",IF(TRIM(B31)="",SUBSTITUTE(SUBSTITUTE(SUBSTITUTE(SUBSTITUTE(SUBSTITUTE(SUBSTITUTE(LOWER(TRIM($A31)),"~",""),"*",""),"?",""),"&lt;",""),"&gt;",""),"=",""),SUBSTITUTE(SUBSTITUTE(SUBSTITUTE(SUBSTITUTE(SUBSTITUTE(SUBSTITUTE(LOWER(TRIM(B31)),"~",""),"*",""),"?",""),"&lt;",""),"&gt;",""),"=","")))</f>
        <v/>
      </c>
      <c r="DS31" s="23" t="str">
        <f aca="false">IF(CM31="","",IFERROR(IF(LEFT(LOWER(TRIM(INDEX(Clay_Brands!$A$2:$FZ$601,CM31,Sync!$D$19)&amp;"")),4)="grp-",SUBSTITUTE(SUBSTITUTE(SUBSTITUTE(SUBSTITUTE(SUBSTITUTE(SUBSTITUTE(LOWER(TRIM(INDEX(Clay_Brands!$A$2:$FZ$601,CM31,Sync!$D$19)&amp;"")),"~",""),"*",""),"?",""),"&lt;",""),"&gt;",""),"=",""),""),""))</f>
        <v/>
      </c>
      <c r="DT31" s="23" t="str">
        <f aca="false">IF(DS31&lt;&gt;"",DR31,"")</f>
        <v/>
      </c>
      <c r="DU31" s="23" t="str">
        <f aca="false">IF(AZ31=1,AW31,"")</f>
        <v/>
      </c>
      <c r="DV31" s="23" t="str">
        <f aca="false">IF(TRIM($A31)="","",IFERROR(INDEX($A$2:$A$201,MATCH(AW31,$DU$2:$DU$201,0))&amp;"",$A31&amp;""))</f>
        <v/>
      </c>
      <c r="DW31" s="23" t="n">
        <f aca="false">IF(AY31=1,IF(COUNTIFS($A$2:$A$201,$A31,$AY$2:$AY$201,1,$H$2:$H$201,"&lt;"&amp;H31)+COUNTIFS($A$2:$A$201,$A31,$AY$2:$AY$201,1,$H$2:$H$201,H31,$AX$2:$AX$201,"&lt;"&amp;AX31)=0,1,0),0)</f>
        <v>0</v>
      </c>
      <c r="DX31" s="23" t="n">
        <f aca="false">IF(AZ31=1,IF(COUNTIFS($AW$2:$AW$201,AW31,$DW$2:$DW$201,1)&gt;1,1,0),0)</f>
        <v>0</v>
      </c>
    </row>
    <row r="32" customFormat="false" ht="15" hidden="false" customHeight="false" outlineLevel="0" collapsed="false">
      <c r="G32" s="32"/>
      <c r="H32" s="33"/>
      <c r="I32" s="32"/>
      <c r="O32" s="32"/>
      <c r="P32" s="32"/>
      <c r="U32" s="32"/>
      <c r="Y32" s="32"/>
      <c r="AB32" s="32"/>
      <c r="AC32" s="32"/>
      <c r="AD32" s="32"/>
      <c r="AE32" s="32"/>
      <c r="AF32" s="32"/>
      <c r="AG32" s="32"/>
      <c r="AI32" s="32"/>
      <c r="AJ32" s="32"/>
      <c r="AK32" s="32"/>
      <c r="AN32" s="32"/>
      <c r="AO32" s="32"/>
      <c r="AR32" s="32"/>
      <c r="AT32" s="32"/>
      <c r="AV32" s="34" t="str">
        <f aca="false">IF(TRIM($A32)="","",IF(AND(LEFT($A32,6)="SAMPLE",Config!$B$19&lt;&gt;"Y"),"",IF(NOT(ISNUMBER(H32)),"call_date is blank or not a date",IF(Sync!$D$5="","Clay paste is empty or has no row_id column: paste the Clay export on Clay_Brands",IF(CM32="","row_id not found in the Clay paste: add the Clay row or fix the row_id",IF(AND(ISNUMBER(CO32),CO32&gt;=1,CO32&lt;=5),"Clay status is "&amp;CN32&amp;": set call_done or later",IF(AND(BA32=1,CP32&lt;&gt;CB32),"Clay yes_in_principle should be "&amp;CB32,IF(AND(BA32=1,CQ32&lt;&gt;H32),"Clay call_date should be "&amp;TEXT(H32,"yyyy-mm-dd"),""))))))))</f>
        <v/>
      </c>
      <c r="AW32" s="23" t="str">
        <f aca="false">IF(TRIM($A32)="","",IF(TRIM(C32)&lt;&gt;"",SUBSTITUTE(SUBSTITUTE(SUBSTITUTE(SUBSTITUTE(SUBSTITUTE(SUBSTITUTE(LOWER(TRIM(C32)),"~",""),"*",""),"?",""),"&lt;",""),"&gt;",""),"=",""),IF(DS32&lt;&gt;"",DS32,IFERROR(INDEX($DS$2:$DS$201,MATCH(DR32,$DT$2:$DT$201,0)),DR32))))</f>
        <v/>
      </c>
      <c r="AX32" s="23" t="n">
        <f aca="false">ROW()</f>
        <v>32</v>
      </c>
      <c r="AY32" s="23" t="n">
        <f aca="false">IF(AND(TRIM($A32)&lt;&gt;"",ISNUMBER(H32)),IF(AND(LEFT($A32,6)="SAMPLE",Config!$B$19&lt;&gt;"Y"),0,1),0)</f>
        <v>0</v>
      </c>
      <c r="AZ32" s="23" t="n">
        <f aca="false">IF(AY32=1,IF(COUNTIFS($AW$2:$AW$201,AW32,$AY$2:$AY$201,1,$H$2:$H$201,"&lt;"&amp;H32)+COUNTIFS($AW$2:$AW$201,AW32,$AY$2:$AY$201,1,$H$2:$H$201,H32,$AX$2:$AX$201,"&lt;"&amp;AX32)=0,1,0),0)</f>
        <v>0</v>
      </c>
      <c r="BA32" s="23" t="n">
        <f aca="false">IF(AY32=1,IF(COUNTIFS($A$2:$A$201,$A32,$AY$2:$AY$201,1,$H$2:$H$201,"&gt;"&amp;H32)+COUNTIFS($A$2:$A$201,$A32,$AY$2:$AY$201,1,$H$2:$H$201,H32,$AX$2:$AX$201,"&gt;"&amp;AX32)=0,1,0),0)</f>
        <v>0</v>
      </c>
      <c r="BB32" s="23" t="n">
        <f aca="false">IF(AND(AY32=1,O32="Y",MAX(N(R32),N(V32))&gt;=Config!$B$14),1,0)</f>
        <v>0</v>
      </c>
      <c r="BC32" s="23" t="n">
        <f aca="false">IF(BB32=1,IF(COUNTIFS($AW$2:$AW$201,AW32,$BB$2:$BB$201,1,$H$2:$H$201,"&lt;"&amp;H32)+COUNTIFS($AW$2:$AW$201,AW32,$BB$2:$BB$201,1,$H$2:$H$201,H32,$AX$2:$AX$201,"&lt;"&amp;AX32)=0,1,0),0)</f>
        <v>0</v>
      </c>
      <c r="BD32" s="23" t="n">
        <f aca="false">IF(AND(AY32=1,O32="Y",ISNUMBER(R32)),IF(R32&gt;=Config!$B$14,1,0),0)</f>
        <v>0</v>
      </c>
      <c r="BE32" s="23" t="n">
        <f aca="false">IF(BD32=1,IF(COUNTIFS($AW$2:$AW$201,AW32,$BD$2:$BD$201,1,$H$2:$H$201,"&lt;"&amp;H32)+COUNTIFS($AW$2:$AW$201,AW32,$BD$2:$BD$201,1,$H$2:$H$201,H32,$AX$2:$AX$201,"&lt;"&amp;AX32)=0,1,0),0)</f>
        <v>0</v>
      </c>
      <c r="BF32" s="23" t="n">
        <f aca="false">IF(AND(AY32=1,O32&lt;&gt;"Y",MAX(N(R32),N(V32))&gt;=Config!$B$14),1,0)</f>
        <v>0</v>
      </c>
      <c r="BG32" s="23" t="n">
        <f aca="false">IF(BF32=1,IF(COUNTIFS($AW$2:$AW$201,AW32,$BF$2:$BF$201,1,$H$2:$H$201,"&lt;"&amp;H32)+COUNTIFS($AW$2:$AW$201,AW32,$BF$2:$BF$201,1,$H$2:$H$201,H32,$AX$2:$AX$201,"&lt;"&amp;AX32)=0,1,0),0)</f>
        <v>0</v>
      </c>
      <c r="BH32" s="23" t="n">
        <f aca="false">IF(AND(AY32=1,ISNUMBER(R32)),1,0)</f>
        <v>0</v>
      </c>
      <c r="BI32" s="23" t="n">
        <f aca="false">IF(BH32=1,IF(COUNTIFS($AW$2:$AW$201,AW32,$BH$2:$BH$201,1,$H$2:$H$201,"&lt;"&amp;H32)+COUNTIFS($AW$2:$AW$201,AW32,$BH$2:$BH$201,1,$H$2:$H$201,H32,$AX$2:$AX$201,"&lt;"&amp;AX32)=0,1,0),0)</f>
        <v>0</v>
      </c>
      <c r="BJ32" s="23" t="str">
        <f aca="false">IF(AND(BI32=1,INT(N(H32))&lt;=Config!$B$6),R32,"")</f>
        <v/>
      </c>
      <c r="BK32" s="23" t="str">
        <f aca="false">IF(AND(BI32=1,INT(N(H32))&lt;=Config!$B$7),R32,"")</f>
        <v/>
      </c>
      <c r="BL32" s="23" t="str">
        <f aca="false">IF(AND(BI32=1,INT(N(H32))&lt;=Config!$B$8),R32,"")</f>
        <v/>
      </c>
      <c r="BM32" s="23" t="str">
        <f aca="false">IF(AND(BI32=1,INT(N(H32))&lt;=Config!$B$5),R32,"")</f>
        <v/>
      </c>
      <c r="BN32" s="23" t="n">
        <f aca="false">IF(AND(AY32=1,ISNUMBER(V32)),1,0)</f>
        <v>0</v>
      </c>
      <c r="BO32" s="23" t="n">
        <f aca="false">IF(BN32=1,IF(COUNTIFS($AW$2:$AW$201,AW32,$BN$2:$BN$201,1,$H$2:$H$201,"&lt;"&amp;H32)+COUNTIFS($AW$2:$AW$201,AW32,$BN$2:$BN$201,1,$H$2:$H$201,H32,$AX$2:$AX$201,"&lt;"&amp;AX32)=0,1,0),0)</f>
        <v>0</v>
      </c>
      <c r="BP32" s="23" t="str">
        <f aca="false">IF(AND(BO32=1,INT(N(H32))&lt;=Config!$B$6),V32,"")</f>
        <v/>
      </c>
      <c r="BQ32" s="23" t="str">
        <f aca="false">IF(AND(BO32=1,INT(N(H32))&lt;=Config!$B$7),V32,"")</f>
        <v/>
      </c>
      <c r="BR32" s="23" t="str">
        <f aca="false">IF(AND(BO32=1,INT(N(H32))&lt;=Config!$B$8),V32,"")</f>
        <v/>
      </c>
      <c r="BS32" s="23" t="str">
        <f aca="false">IF(AND(BO32=1,INT(N(H32))&lt;=Config!$B$5),V32,"")</f>
        <v/>
      </c>
      <c r="BT32" s="23" t="n">
        <f aca="false">IF(AND(AY32=1,ISNUMBER(K32)),1,0)</f>
        <v>0</v>
      </c>
      <c r="BU32" s="23" t="n">
        <f aca="false">IF(BT32=1,IF(COUNTIFS($AW$2:$AW$201,AW32,$BT$2:$BT$201,1,$H$2:$H$201,"&lt;"&amp;H32)+COUNTIFS($AW$2:$AW$201,AW32,$BT$2:$BT$201,1,$H$2:$H$201,H32,$AX$2:$AX$201,"&lt;"&amp;AX32)=0,1,0),0)</f>
        <v>0</v>
      </c>
      <c r="BV32" s="23" t="str">
        <f aca="false">IF(AND(BU32=1,INT(N(H32))&lt;=Config!$B$5),K32,"")</f>
        <v/>
      </c>
      <c r="BW32" s="23" t="n">
        <f aca="false">IF(AND(AY32=1,OR(AND(ISNUMBER(R32),TRIM(S32)=""),AND(ISNUMBER(V32),TRIM(W32)=""))),1,0)</f>
        <v>0</v>
      </c>
      <c r="BX32" s="23" t="str">
        <f aca="false">IF(AY32=1,AJ32&amp;"","")</f>
        <v/>
      </c>
      <c r="BY32" s="23" t="str">
        <f aca="false">IF(AY32=1,AK32&amp;"","")</f>
        <v/>
      </c>
      <c r="BZ32" s="23" t="str">
        <f aca="false">IF(AY32=1,AL32&amp;"","")</f>
        <v/>
      </c>
      <c r="CA32" s="23" t="str">
        <f aca="false">IF(AND(AY32=1,ISNUMBER(AS32),INT(N(H32))&lt;=Config!$B$5),AS32,"")</f>
        <v/>
      </c>
      <c r="CB32" s="23" t="str">
        <f aca="false">IF(AY32=1,IF(COUNTIFS($A$2:$A$201,$A32,$CU$2:$CU$201,1,$AN$2:$AN$201,"Y")&gt;0,"Y","N"),"")</f>
        <v/>
      </c>
      <c r="CC32" s="23" t="n">
        <f aca="false">IF(AND(AY32=1,AN32="Y"),IF(COUNTIFS($AW$2:$AW$201,AW32,$AN$2:$AN$201,"Y",$AY$2:$AY$201,1,$H$2:$H$201,"&lt;"&amp;H32)+COUNTIFS($AW$2:$AW$201,AW32,$AN$2:$AN$201,"Y",$AY$2:$AY$201,1,$H$2:$H$201,H32,$AX$2:$AX$201,"&lt;"&amp;AX32)=0,1,0),0)</f>
        <v>0</v>
      </c>
      <c r="CD32" s="23" t="n">
        <f aca="false">IF(AND(AY32=1,AB32="Y",AC32="Y",AD32="Y",AE32="Y",AF32="Y",AG32="Y",AI32="Y",TRIM(AH32)&lt;&gt;""),1,0)</f>
        <v>0</v>
      </c>
      <c r="CE32" s="23" t="n">
        <f aca="false">IF(CD32=1,IF(COUNTIFS($AW$2:$AW$201,AW32,$CD$2:$CD$201,1,$H$2:$H$201,"&lt;"&amp;H32)+COUNTIFS($AW$2:$AW$201,AW32,$CD$2:$CD$201,1,$H$2:$H$201,H32,$AX$2:$AX$201,"&lt;"&amp;AX32)=0,1,0),0)</f>
        <v>0</v>
      </c>
      <c r="CF32" s="23" t="n">
        <f aca="false">IF(AND(AY32=1,AO32="Y"),1,0)</f>
        <v>0</v>
      </c>
      <c r="CG32" s="23" t="n">
        <f aca="false">IF(CF32=1,IF(COUNTIFS($AW$2:$AW$201,AW32,$CF$2:$CF$201,1,$H$2:$H$201,"&lt;"&amp;H32)+COUNTIFS($AW$2:$AW$201,AW32,$CF$2:$CF$201,1,$H$2:$H$201,H32,$AX$2:$AX$201,"&lt;"&amp;AX32)=0,1,0),0)</f>
        <v>0</v>
      </c>
      <c r="CH32" s="23" t="n">
        <f aca="false">IF(AND(AY32=1,P32="Y"),1,0)</f>
        <v>0</v>
      </c>
      <c r="CI32" s="23" t="n">
        <f aca="false">IF(CH32=1,IF(COUNTIFS($AW$2:$AW$201,AW32,$CH$2:$CH$201,1,$H$2:$H$201,"&lt;"&amp;H32)+COUNTIFS($AW$2:$AW$201,AW32,$CH$2:$CH$201,1,$H$2:$H$201,H32,$AX$2:$AX$201,"&lt;"&amp;AX32)=0,1,0),0)</f>
        <v>0</v>
      </c>
      <c r="CJ32" s="23" t="str">
        <f aca="false">IF(AND(BU32=1,INT(N(H32))&lt;=Config!$B$5),L32,"")</f>
        <v/>
      </c>
      <c r="CK32" s="23" t="n">
        <f aca="false">IF(AND(AY32=1,AR32="Y"),1,0)</f>
        <v>0</v>
      </c>
      <c r="CL32" s="23" t="n">
        <f aca="false">IF(CK32=1,IF(COUNTIFS($AW$2:$AW$201,AW32,$CK$2:$CK$201,1,$H$2:$H$201,"&lt;"&amp;H32)+COUNTIFS($AW$2:$AW$201,AW32,$CK$2:$CK$201,1,$H$2:$H$201,H32,$AX$2:$AX$201,"&lt;"&amp;AX32)=0,1,0),0)</f>
        <v>0</v>
      </c>
      <c r="CM32" s="23" t="str">
        <f aca="false">IF(AY32=1,IFERROR(MATCH($A32,INDEX(Clay_Brands!$A$2:$FZ$601,0,Sync!$D$5),0),""),"")</f>
        <v/>
      </c>
      <c r="CN32" s="23" t="str">
        <f aca="false">IF(CM32="","",IFERROR(INDEX(Clay_Brands!$A$2:$FZ$601,CM32,Sync!$D$7)&amp;"",""))</f>
        <v/>
      </c>
      <c r="CO32" s="23" t="str">
        <f aca="false">IF(CN32="","",IFERROR(INDEX(Lists!$K$2:$K$15,MATCH(CN32,Lists!$J$2:$J$15,0)),""))</f>
        <v/>
      </c>
      <c r="CP32" s="23" t="str">
        <f aca="false">IF(CM32="","",IFERROR(INDEX(Clay_Brands!$A$2:$FZ$601,CM32,Sync!$D$17)&amp;"",""))</f>
        <v/>
      </c>
      <c r="CQ32" s="35" t="str">
        <f aca="false">IF(CM32="","",IFERROR(N(INDEX(Clay_Brands!$A$2:$FZ$601,CM32,Sync!$D$16)),0))</f>
        <v/>
      </c>
      <c r="CR32" s="23" t="n">
        <f aca="false">IF(AND(AY32=1,OR(O32="N",AND(OR(ISNUMBER(R32),ISNUMBER(V32)),MAX(N(R32),N(V32))&lt;Config!$B$14))),1,0)</f>
        <v>0</v>
      </c>
      <c r="CS32" s="23" t="n">
        <f aca="false">IF(OR(BB32=1,CR32=1),1,0)</f>
        <v>0</v>
      </c>
      <c r="CT32" s="23" t="n">
        <f aca="false">IF(AND(AY32=1,OR(AN32="Y",AN32="N",AN32="maybe")),1,0)</f>
        <v>0</v>
      </c>
      <c r="CU32" s="23" t="n">
        <f aca="false">IF(AND(CT32=1),IF(COUNTIFS($A$2:$A$201,$A32,$CT$2:$CT$201,1,$H$2:$H$201,"&gt;"&amp;H32)+COUNTIFS($A$2:$A$201,$A32,$CT$2:$CT$201,1,$H$2:$H$201,H32,$AX$2:$AX$201,"&gt;"&amp;AX32)=0,1,0),0)</f>
        <v>0</v>
      </c>
      <c r="CV32" s="23" t="n">
        <f aca="false">IF(AND(CS32=1,INT(N(H32))&lt;=Config!$B$6),IF(COUNTIFS($AW$2:$AW$201,AW32,$CS$2:$CS$201,1,$H$2:$H$201,"&gt;"&amp;H32,$H$2:$H$201,"&lt;"&amp;(Config!$B$6+1))+COUNTIFS($AW$2:$AW$201,AW32,$CS$2:$CS$201,1,$H$2:$H$201,H32,$AX$2:$AX$201,"&gt;"&amp;AX32)=0,1,0),0)</f>
        <v>0</v>
      </c>
      <c r="CW32" s="23" t="n">
        <f aca="false">IF(AND(CS32=1,INT(N(H32))&lt;=Config!$B$7),IF(COUNTIFS($AW$2:$AW$201,AW32,$CS$2:$CS$201,1,$H$2:$H$201,"&gt;"&amp;H32,$H$2:$H$201,"&lt;"&amp;(Config!$B$7+1))+COUNTIFS($AW$2:$AW$201,AW32,$CS$2:$CS$201,1,$H$2:$H$201,H32,$AX$2:$AX$201,"&gt;"&amp;AX32)=0,1,0),0)</f>
        <v>0</v>
      </c>
      <c r="CX32" s="23" t="n">
        <f aca="false">IF(AND(CS32=1,INT(N(H32))&lt;=Config!$B$8),IF(COUNTIFS($AW$2:$AW$201,AW32,$CS$2:$CS$201,1,$H$2:$H$201,"&gt;"&amp;H32,$H$2:$H$201,"&lt;"&amp;(Config!$B$8+1))+COUNTIFS($AW$2:$AW$201,AW32,$CS$2:$CS$201,1,$H$2:$H$201,H32,$AX$2:$AX$201,"&gt;"&amp;AX32)=0,1,0),0)</f>
        <v>0</v>
      </c>
      <c r="CY32" s="23" t="n">
        <f aca="false">IF(AND(CS32=1,INT(N(H32))&lt;=Config!$B$5),IF(COUNTIFS($AW$2:$AW$201,AW32,$CS$2:$CS$201,1,$H$2:$H$201,"&gt;"&amp;H32,$H$2:$H$201,"&lt;"&amp;(Config!$B$5+1))+COUNTIFS($AW$2:$AW$201,AW32,$CS$2:$CS$201,1,$H$2:$H$201,H32,$AX$2:$AX$201,"&gt;"&amp;AX32)=0,1,0),0)</f>
        <v>0</v>
      </c>
      <c r="CZ32" s="23" t="n">
        <f aca="false">IF(AY32=1,IF(COUNTIFS($AW$2:$AW$201,AW32,$CV$2:$CV$201,1,$BB$2:$BB$201,1)&gt;0,1,0),0)</f>
        <v>0</v>
      </c>
      <c r="DA32" s="23" t="n">
        <f aca="false">IF(AY32=1,IF(COUNTIFS($AW$2:$AW$201,AW32,$CW$2:$CW$201,1,$BB$2:$BB$201,1)&gt;0,1,0),0)</f>
        <v>0</v>
      </c>
      <c r="DB32" s="23" t="n">
        <f aca="false">IF(AY32=1,IF(COUNTIFS($AW$2:$AW$201,AW32,$CX$2:$CX$201,1,$BB$2:$BB$201,1)&gt;0,1,0),0)</f>
        <v>0</v>
      </c>
      <c r="DC32" s="23" t="n">
        <f aca="false">IF(AY32=1,IF(COUNTIFS($AW$2:$AW$201,AW32,$CY$2:$CY$201,1,$BB$2:$BB$201,1)&gt;0,1,0),0)</f>
        <v>0</v>
      </c>
      <c r="DD32" s="23" t="n">
        <f aca="false">IF(AND(BC32=1,INT(N(H32))&lt;=Config!$B$6,CZ32=1),1,0)</f>
        <v>0</v>
      </c>
      <c r="DE32" s="23" t="n">
        <f aca="false">IF(AND(BC32=1,INT(N(H32))&lt;=Config!$B$7,DA32=1),1,0)</f>
        <v>0</v>
      </c>
      <c r="DF32" s="23" t="n">
        <f aca="false">IF(AND(BC32=1,INT(N(H32))&lt;=Config!$B$8,DB32=1),1,0)</f>
        <v>0</v>
      </c>
      <c r="DG32" s="23" t="n">
        <f aca="false">IF(AND(BC32=1,INT(N(H32))&lt;=Config!$B$5,DC32=1),1,0)</f>
        <v>0</v>
      </c>
      <c r="DH32" s="23" t="n">
        <f aca="false">IF(AND(BE32=1,INT(N(H32))&lt;=Config!$B$6,CZ32=1),1,0)</f>
        <v>0</v>
      </c>
      <c r="DI32" s="23" t="n">
        <f aca="false">IF(AND(BE32=1,INT(N(H32))&lt;=Config!$B$7,DA32=1),1,0)</f>
        <v>0</v>
      </c>
      <c r="DJ32" s="23" t="n">
        <f aca="false">IF(AND(BE32=1,INT(N(H32))&lt;=Config!$B$8,DB32=1),1,0)</f>
        <v>0</v>
      </c>
      <c r="DK32" s="23" t="n">
        <f aca="false">IF(AND(BE32=1,INT(N(H32))&lt;=Config!$B$5,DC32=1),1,0)</f>
        <v>0</v>
      </c>
      <c r="DL32" s="23" t="n">
        <f aca="false">IF(AND(BC32=1,INT(N(H32))&lt;=Config!$B$6,CZ32=0),1,0)</f>
        <v>0</v>
      </c>
      <c r="DM32" s="23" t="n">
        <f aca="false">IF(AND(BC32=1,INT(N(H32))&lt;=Config!$B$7,DA32=0),1,0)</f>
        <v>0</v>
      </c>
      <c r="DN32" s="23" t="n">
        <f aca="false">IF(AND(BC32=1,INT(N(H32))&lt;=Config!$B$8,DB32=0),1,0)</f>
        <v>0</v>
      </c>
      <c r="DO32" s="23" t="n">
        <f aca="false">IF(AND(BC32=1,INT(N(H32))&lt;=Config!$B$5,DC32=0),1,0)</f>
        <v>0</v>
      </c>
      <c r="DP32" s="23" t="n">
        <f aca="false">IF(TRIM($A32)="",0,ISTEXT(K32)+ISTEXT(L32)+ISTEXT(R32)+ISTEXT(V32)+ISTEXT(AP32)+ISTEXT(AS32))</f>
        <v>0</v>
      </c>
      <c r="DQ32" s="23" t="n">
        <f aca="false">IF(AY32=1,IF(H32&lt;&gt;INT(H32),1,0),0)</f>
        <v>0</v>
      </c>
      <c r="DR32" s="23" t="str">
        <f aca="false">IF(TRIM($A32)="","",IF(TRIM(B32)="",SUBSTITUTE(SUBSTITUTE(SUBSTITUTE(SUBSTITUTE(SUBSTITUTE(SUBSTITUTE(LOWER(TRIM($A32)),"~",""),"*",""),"?",""),"&lt;",""),"&gt;",""),"=",""),SUBSTITUTE(SUBSTITUTE(SUBSTITUTE(SUBSTITUTE(SUBSTITUTE(SUBSTITUTE(LOWER(TRIM(B32)),"~",""),"*",""),"?",""),"&lt;",""),"&gt;",""),"=","")))</f>
        <v/>
      </c>
      <c r="DS32" s="23" t="str">
        <f aca="false">IF(CM32="","",IFERROR(IF(LEFT(LOWER(TRIM(INDEX(Clay_Brands!$A$2:$FZ$601,CM32,Sync!$D$19)&amp;"")),4)="grp-",SUBSTITUTE(SUBSTITUTE(SUBSTITUTE(SUBSTITUTE(SUBSTITUTE(SUBSTITUTE(LOWER(TRIM(INDEX(Clay_Brands!$A$2:$FZ$601,CM32,Sync!$D$19)&amp;"")),"~",""),"*",""),"?",""),"&lt;",""),"&gt;",""),"=",""),""),""))</f>
        <v/>
      </c>
      <c r="DT32" s="23" t="str">
        <f aca="false">IF(DS32&lt;&gt;"",DR32,"")</f>
        <v/>
      </c>
      <c r="DU32" s="23" t="str">
        <f aca="false">IF(AZ32=1,AW32,"")</f>
        <v/>
      </c>
      <c r="DV32" s="23" t="str">
        <f aca="false">IF(TRIM($A32)="","",IFERROR(INDEX($A$2:$A$201,MATCH(AW32,$DU$2:$DU$201,0))&amp;"",$A32&amp;""))</f>
        <v/>
      </c>
      <c r="DW32" s="23" t="n">
        <f aca="false">IF(AY32=1,IF(COUNTIFS($A$2:$A$201,$A32,$AY$2:$AY$201,1,$H$2:$H$201,"&lt;"&amp;H32)+COUNTIFS($A$2:$A$201,$A32,$AY$2:$AY$201,1,$H$2:$H$201,H32,$AX$2:$AX$201,"&lt;"&amp;AX32)=0,1,0),0)</f>
        <v>0</v>
      </c>
      <c r="DX32" s="23" t="n">
        <f aca="false">IF(AZ32=1,IF(COUNTIFS($AW$2:$AW$201,AW32,$DW$2:$DW$201,1)&gt;1,1,0),0)</f>
        <v>0</v>
      </c>
    </row>
    <row r="33" customFormat="false" ht="15" hidden="false" customHeight="false" outlineLevel="0" collapsed="false">
      <c r="G33" s="32"/>
      <c r="H33" s="33"/>
      <c r="I33" s="32"/>
      <c r="O33" s="32"/>
      <c r="P33" s="32"/>
      <c r="U33" s="32"/>
      <c r="Y33" s="32"/>
      <c r="AB33" s="32"/>
      <c r="AC33" s="32"/>
      <c r="AD33" s="32"/>
      <c r="AE33" s="32"/>
      <c r="AF33" s="32"/>
      <c r="AG33" s="32"/>
      <c r="AI33" s="32"/>
      <c r="AJ33" s="32"/>
      <c r="AK33" s="32"/>
      <c r="AN33" s="32"/>
      <c r="AO33" s="32"/>
      <c r="AR33" s="32"/>
      <c r="AT33" s="32"/>
      <c r="AV33" s="34" t="str">
        <f aca="false">IF(TRIM($A33)="","",IF(AND(LEFT($A33,6)="SAMPLE",Config!$B$19&lt;&gt;"Y"),"",IF(NOT(ISNUMBER(H33)),"call_date is blank or not a date",IF(Sync!$D$5="","Clay paste is empty or has no row_id column: paste the Clay export on Clay_Brands",IF(CM33="","row_id not found in the Clay paste: add the Clay row or fix the row_id",IF(AND(ISNUMBER(CO33),CO33&gt;=1,CO33&lt;=5),"Clay status is "&amp;CN33&amp;": set call_done or later",IF(AND(BA33=1,CP33&lt;&gt;CB33),"Clay yes_in_principle should be "&amp;CB33,IF(AND(BA33=1,CQ33&lt;&gt;H33),"Clay call_date should be "&amp;TEXT(H33,"yyyy-mm-dd"),""))))))))</f>
        <v/>
      </c>
      <c r="AW33" s="23" t="str">
        <f aca="false">IF(TRIM($A33)="","",IF(TRIM(C33)&lt;&gt;"",SUBSTITUTE(SUBSTITUTE(SUBSTITUTE(SUBSTITUTE(SUBSTITUTE(SUBSTITUTE(LOWER(TRIM(C33)),"~",""),"*",""),"?",""),"&lt;",""),"&gt;",""),"=",""),IF(DS33&lt;&gt;"",DS33,IFERROR(INDEX($DS$2:$DS$201,MATCH(DR33,$DT$2:$DT$201,0)),DR33))))</f>
        <v/>
      </c>
      <c r="AX33" s="23" t="n">
        <f aca="false">ROW()</f>
        <v>33</v>
      </c>
      <c r="AY33" s="23" t="n">
        <f aca="false">IF(AND(TRIM($A33)&lt;&gt;"",ISNUMBER(H33)),IF(AND(LEFT($A33,6)="SAMPLE",Config!$B$19&lt;&gt;"Y"),0,1),0)</f>
        <v>0</v>
      </c>
      <c r="AZ33" s="23" t="n">
        <f aca="false">IF(AY33=1,IF(COUNTIFS($AW$2:$AW$201,AW33,$AY$2:$AY$201,1,$H$2:$H$201,"&lt;"&amp;H33)+COUNTIFS($AW$2:$AW$201,AW33,$AY$2:$AY$201,1,$H$2:$H$201,H33,$AX$2:$AX$201,"&lt;"&amp;AX33)=0,1,0),0)</f>
        <v>0</v>
      </c>
      <c r="BA33" s="23" t="n">
        <f aca="false">IF(AY33=1,IF(COUNTIFS($A$2:$A$201,$A33,$AY$2:$AY$201,1,$H$2:$H$201,"&gt;"&amp;H33)+COUNTIFS($A$2:$A$201,$A33,$AY$2:$AY$201,1,$H$2:$H$201,H33,$AX$2:$AX$201,"&gt;"&amp;AX33)=0,1,0),0)</f>
        <v>0</v>
      </c>
      <c r="BB33" s="23" t="n">
        <f aca="false">IF(AND(AY33=1,O33="Y",MAX(N(R33),N(V33))&gt;=Config!$B$14),1,0)</f>
        <v>0</v>
      </c>
      <c r="BC33" s="23" t="n">
        <f aca="false">IF(BB33=1,IF(COUNTIFS($AW$2:$AW$201,AW33,$BB$2:$BB$201,1,$H$2:$H$201,"&lt;"&amp;H33)+COUNTIFS($AW$2:$AW$201,AW33,$BB$2:$BB$201,1,$H$2:$H$201,H33,$AX$2:$AX$201,"&lt;"&amp;AX33)=0,1,0),0)</f>
        <v>0</v>
      </c>
      <c r="BD33" s="23" t="n">
        <f aca="false">IF(AND(AY33=1,O33="Y",ISNUMBER(R33)),IF(R33&gt;=Config!$B$14,1,0),0)</f>
        <v>0</v>
      </c>
      <c r="BE33" s="23" t="n">
        <f aca="false">IF(BD33=1,IF(COUNTIFS($AW$2:$AW$201,AW33,$BD$2:$BD$201,1,$H$2:$H$201,"&lt;"&amp;H33)+COUNTIFS($AW$2:$AW$201,AW33,$BD$2:$BD$201,1,$H$2:$H$201,H33,$AX$2:$AX$201,"&lt;"&amp;AX33)=0,1,0),0)</f>
        <v>0</v>
      </c>
      <c r="BF33" s="23" t="n">
        <f aca="false">IF(AND(AY33=1,O33&lt;&gt;"Y",MAX(N(R33),N(V33))&gt;=Config!$B$14),1,0)</f>
        <v>0</v>
      </c>
      <c r="BG33" s="23" t="n">
        <f aca="false">IF(BF33=1,IF(COUNTIFS($AW$2:$AW$201,AW33,$BF$2:$BF$201,1,$H$2:$H$201,"&lt;"&amp;H33)+COUNTIFS($AW$2:$AW$201,AW33,$BF$2:$BF$201,1,$H$2:$H$201,H33,$AX$2:$AX$201,"&lt;"&amp;AX33)=0,1,0),0)</f>
        <v>0</v>
      </c>
      <c r="BH33" s="23" t="n">
        <f aca="false">IF(AND(AY33=1,ISNUMBER(R33)),1,0)</f>
        <v>0</v>
      </c>
      <c r="BI33" s="23" t="n">
        <f aca="false">IF(BH33=1,IF(COUNTIFS($AW$2:$AW$201,AW33,$BH$2:$BH$201,1,$H$2:$H$201,"&lt;"&amp;H33)+COUNTIFS($AW$2:$AW$201,AW33,$BH$2:$BH$201,1,$H$2:$H$201,H33,$AX$2:$AX$201,"&lt;"&amp;AX33)=0,1,0),0)</f>
        <v>0</v>
      </c>
      <c r="BJ33" s="23" t="str">
        <f aca="false">IF(AND(BI33=1,INT(N(H33))&lt;=Config!$B$6),R33,"")</f>
        <v/>
      </c>
      <c r="BK33" s="23" t="str">
        <f aca="false">IF(AND(BI33=1,INT(N(H33))&lt;=Config!$B$7),R33,"")</f>
        <v/>
      </c>
      <c r="BL33" s="23" t="str">
        <f aca="false">IF(AND(BI33=1,INT(N(H33))&lt;=Config!$B$8),R33,"")</f>
        <v/>
      </c>
      <c r="BM33" s="23" t="str">
        <f aca="false">IF(AND(BI33=1,INT(N(H33))&lt;=Config!$B$5),R33,"")</f>
        <v/>
      </c>
      <c r="BN33" s="23" t="n">
        <f aca="false">IF(AND(AY33=1,ISNUMBER(V33)),1,0)</f>
        <v>0</v>
      </c>
      <c r="BO33" s="23" t="n">
        <f aca="false">IF(BN33=1,IF(COUNTIFS($AW$2:$AW$201,AW33,$BN$2:$BN$201,1,$H$2:$H$201,"&lt;"&amp;H33)+COUNTIFS($AW$2:$AW$201,AW33,$BN$2:$BN$201,1,$H$2:$H$201,H33,$AX$2:$AX$201,"&lt;"&amp;AX33)=0,1,0),0)</f>
        <v>0</v>
      </c>
      <c r="BP33" s="23" t="str">
        <f aca="false">IF(AND(BO33=1,INT(N(H33))&lt;=Config!$B$6),V33,"")</f>
        <v/>
      </c>
      <c r="BQ33" s="23" t="str">
        <f aca="false">IF(AND(BO33=1,INT(N(H33))&lt;=Config!$B$7),V33,"")</f>
        <v/>
      </c>
      <c r="BR33" s="23" t="str">
        <f aca="false">IF(AND(BO33=1,INT(N(H33))&lt;=Config!$B$8),V33,"")</f>
        <v/>
      </c>
      <c r="BS33" s="23" t="str">
        <f aca="false">IF(AND(BO33=1,INT(N(H33))&lt;=Config!$B$5),V33,"")</f>
        <v/>
      </c>
      <c r="BT33" s="23" t="n">
        <f aca="false">IF(AND(AY33=1,ISNUMBER(K33)),1,0)</f>
        <v>0</v>
      </c>
      <c r="BU33" s="23" t="n">
        <f aca="false">IF(BT33=1,IF(COUNTIFS($AW$2:$AW$201,AW33,$BT$2:$BT$201,1,$H$2:$H$201,"&lt;"&amp;H33)+COUNTIFS($AW$2:$AW$201,AW33,$BT$2:$BT$201,1,$H$2:$H$201,H33,$AX$2:$AX$201,"&lt;"&amp;AX33)=0,1,0),0)</f>
        <v>0</v>
      </c>
      <c r="BV33" s="23" t="str">
        <f aca="false">IF(AND(BU33=1,INT(N(H33))&lt;=Config!$B$5),K33,"")</f>
        <v/>
      </c>
      <c r="BW33" s="23" t="n">
        <f aca="false">IF(AND(AY33=1,OR(AND(ISNUMBER(R33),TRIM(S33)=""),AND(ISNUMBER(V33),TRIM(W33)=""))),1,0)</f>
        <v>0</v>
      </c>
      <c r="BX33" s="23" t="str">
        <f aca="false">IF(AY33=1,AJ33&amp;"","")</f>
        <v/>
      </c>
      <c r="BY33" s="23" t="str">
        <f aca="false">IF(AY33=1,AK33&amp;"","")</f>
        <v/>
      </c>
      <c r="BZ33" s="23" t="str">
        <f aca="false">IF(AY33=1,AL33&amp;"","")</f>
        <v/>
      </c>
      <c r="CA33" s="23" t="str">
        <f aca="false">IF(AND(AY33=1,ISNUMBER(AS33),INT(N(H33))&lt;=Config!$B$5),AS33,"")</f>
        <v/>
      </c>
      <c r="CB33" s="23" t="str">
        <f aca="false">IF(AY33=1,IF(COUNTIFS($A$2:$A$201,$A33,$CU$2:$CU$201,1,$AN$2:$AN$201,"Y")&gt;0,"Y","N"),"")</f>
        <v/>
      </c>
      <c r="CC33" s="23" t="n">
        <f aca="false">IF(AND(AY33=1,AN33="Y"),IF(COUNTIFS($AW$2:$AW$201,AW33,$AN$2:$AN$201,"Y",$AY$2:$AY$201,1,$H$2:$H$201,"&lt;"&amp;H33)+COUNTIFS($AW$2:$AW$201,AW33,$AN$2:$AN$201,"Y",$AY$2:$AY$201,1,$H$2:$H$201,H33,$AX$2:$AX$201,"&lt;"&amp;AX33)=0,1,0),0)</f>
        <v>0</v>
      </c>
      <c r="CD33" s="23" t="n">
        <f aca="false">IF(AND(AY33=1,AB33="Y",AC33="Y",AD33="Y",AE33="Y",AF33="Y",AG33="Y",AI33="Y",TRIM(AH33)&lt;&gt;""),1,0)</f>
        <v>0</v>
      </c>
      <c r="CE33" s="23" t="n">
        <f aca="false">IF(CD33=1,IF(COUNTIFS($AW$2:$AW$201,AW33,$CD$2:$CD$201,1,$H$2:$H$201,"&lt;"&amp;H33)+COUNTIFS($AW$2:$AW$201,AW33,$CD$2:$CD$201,1,$H$2:$H$201,H33,$AX$2:$AX$201,"&lt;"&amp;AX33)=0,1,0),0)</f>
        <v>0</v>
      </c>
      <c r="CF33" s="23" t="n">
        <f aca="false">IF(AND(AY33=1,AO33="Y"),1,0)</f>
        <v>0</v>
      </c>
      <c r="CG33" s="23" t="n">
        <f aca="false">IF(CF33=1,IF(COUNTIFS($AW$2:$AW$201,AW33,$CF$2:$CF$201,1,$H$2:$H$201,"&lt;"&amp;H33)+COUNTIFS($AW$2:$AW$201,AW33,$CF$2:$CF$201,1,$H$2:$H$201,H33,$AX$2:$AX$201,"&lt;"&amp;AX33)=0,1,0),0)</f>
        <v>0</v>
      </c>
      <c r="CH33" s="23" t="n">
        <f aca="false">IF(AND(AY33=1,P33="Y"),1,0)</f>
        <v>0</v>
      </c>
      <c r="CI33" s="23" t="n">
        <f aca="false">IF(CH33=1,IF(COUNTIFS($AW$2:$AW$201,AW33,$CH$2:$CH$201,1,$H$2:$H$201,"&lt;"&amp;H33)+COUNTIFS($AW$2:$AW$201,AW33,$CH$2:$CH$201,1,$H$2:$H$201,H33,$AX$2:$AX$201,"&lt;"&amp;AX33)=0,1,0),0)</f>
        <v>0</v>
      </c>
      <c r="CJ33" s="23" t="str">
        <f aca="false">IF(AND(BU33=1,INT(N(H33))&lt;=Config!$B$5),L33,"")</f>
        <v/>
      </c>
      <c r="CK33" s="23" t="n">
        <f aca="false">IF(AND(AY33=1,AR33="Y"),1,0)</f>
        <v>0</v>
      </c>
      <c r="CL33" s="23" t="n">
        <f aca="false">IF(CK33=1,IF(COUNTIFS($AW$2:$AW$201,AW33,$CK$2:$CK$201,1,$H$2:$H$201,"&lt;"&amp;H33)+COUNTIFS($AW$2:$AW$201,AW33,$CK$2:$CK$201,1,$H$2:$H$201,H33,$AX$2:$AX$201,"&lt;"&amp;AX33)=0,1,0),0)</f>
        <v>0</v>
      </c>
      <c r="CM33" s="23" t="str">
        <f aca="false">IF(AY33=1,IFERROR(MATCH($A33,INDEX(Clay_Brands!$A$2:$FZ$601,0,Sync!$D$5),0),""),"")</f>
        <v/>
      </c>
      <c r="CN33" s="23" t="str">
        <f aca="false">IF(CM33="","",IFERROR(INDEX(Clay_Brands!$A$2:$FZ$601,CM33,Sync!$D$7)&amp;"",""))</f>
        <v/>
      </c>
      <c r="CO33" s="23" t="str">
        <f aca="false">IF(CN33="","",IFERROR(INDEX(Lists!$K$2:$K$15,MATCH(CN33,Lists!$J$2:$J$15,0)),""))</f>
        <v/>
      </c>
      <c r="CP33" s="23" t="str">
        <f aca="false">IF(CM33="","",IFERROR(INDEX(Clay_Brands!$A$2:$FZ$601,CM33,Sync!$D$17)&amp;"",""))</f>
        <v/>
      </c>
      <c r="CQ33" s="35" t="str">
        <f aca="false">IF(CM33="","",IFERROR(N(INDEX(Clay_Brands!$A$2:$FZ$601,CM33,Sync!$D$16)),0))</f>
        <v/>
      </c>
      <c r="CR33" s="23" t="n">
        <f aca="false">IF(AND(AY33=1,OR(O33="N",AND(OR(ISNUMBER(R33),ISNUMBER(V33)),MAX(N(R33),N(V33))&lt;Config!$B$14))),1,0)</f>
        <v>0</v>
      </c>
      <c r="CS33" s="23" t="n">
        <f aca="false">IF(OR(BB33=1,CR33=1),1,0)</f>
        <v>0</v>
      </c>
      <c r="CT33" s="23" t="n">
        <f aca="false">IF(AND(AY33=1,OR(AN33="Y",AN33="N",AN33="maybe")),1,0)</f>
        <v>0</v>
      </c>
      <c r="CU33" s="23" t="n">
        <f aca="false">IF(AND(CT33=1),IF(COUNTIFS($A$2:$A$201,$A33,$CT$2:$CT$201,1,$H$2:$H$201,"&gt;"&amp;H33)+COUNTIFS($A$2:$A$201,$A33,$CT$2:$CT$201,1,$H$2:$H$201,H33,$AX$2:$AX$201,"&gt;"&amp;AX33)=0,1,0),0)</f>
        <v>0</v>
      </c>
      <c r="CV33" s="23" t="n">
        <f aca="false">IF(AND(CS33=1,INT(N(H33))&lt;=Config!$B$6),IF(COUNTIFS($AW$2:$AW$201,AW33,$CS$2:$CS$201,1,$H$2:$H$201,"&gt;"&amp;H33,$H$2:$H$201,"&lt;"&amp;(Config!$B$6+1))+COUNTIFS($AW$2:$AW$201,AW33,$CS$2:$CS$201,1,$H$2:$H$201,H33,$AX$2:$AX$201,"&gt;"&amp;AX33)=0,1,0),0)</f>
        <v>0</v>
      </c>
      <c r="CW33" s="23" t="n">
        <f aca="false">IF(AND(CS33=1,INT(N(H33))&lt;=Config!$B$7),IF(COUNTIFS($AW$2:$AW$201,AW33,$CS$2:$CS$201,1,$H$2:$H$201,"&gt;"&amp;H33,$H$2:$H$201,"&lt;"&amp;(Config!$B$7+1))+COUNTIFS($AW$2:$AW$201,AW33,$CS$2:$CS$201,1,$H$2:$H$201,H33,$AX$2:$AX$201,"&gt;"&amp;AX33)=0,1,0),0)</f>
        <v>0</v>
      </c>
      <c r="CX33" s="23" t="n">
        <f aca="false">IF(AND(CS33=1,INT(N(H33))&lt;=Config!$B$8),IF(COUNTIFS($AW$2:$AW$201,AW33,$CS$2:$CS$201,1,$H$2:$H$201,"&gt;"&amp;H33,$H$2:$H$201,"&lt;"&amp;(Config!$B$8+1))+COUNTIFS($AW$2:$AW$201,AW33,$CS$2:$CS$201,1,$H$2:$H$201,H33,$AX$2:$AX$201,"&gt;"&amp;AX33)=0,1,0),0)</f>
        <v>0</v>
      </c>
      <c r="CY33" s="23" t="n">
        <f aca="false">IF(AND(CS33=1,INT(N(H33))&lt;=Config!$B$5),IF(COUNTIFS($AW$2:$AW$201,AW33,$CS$2:$CS$201,1,$H$2:$H$201,"&gt;"&amp;H33,$H$2:$H$201,"&lt;"&amp;(Config!$B$5+1))+COUNTIFS($AW$2:$AW$201,AW33,$CS$2:$CS$201,1,$H$2:$H$201,H33,$AX$2:$AX$201,"&gt;"&amp;AX33)=0,1,0),0)</f>
        <v>0</v>
      </c>
      <c r="CZ33" s="23" t="n">
        <f aca="false">IF(AY33=1,IF(COUNTIFS($AW$2:$AW$201,AW33,$CV$2:$CV$201,1,$BB$2:$BB$201,1)&gt;0,1,0),0)</f>
        <v>0</v>
      </c>
      <c r="DA33" s="23" t="n">
        <f aca="false">IF(AY33=1,IF(COUNTIFS($AW$2:$AW$201,AW33,$CW$2:$CW$201,1,$BB$2:$BB$201,1)&gt;0,1,0),0)</f>
        <v>0</v>
      </c>
      <c r="DB33" s="23" t="n">
        <f aca="false">IF(AY33=1,IF(COUNTIFS($AW$2:$AW$201,AW33,$CX$2:$CX$201,1,$BB$2:$BB$201,1)&gt;0,1,0),0)</f>
        <v>0</v>
      </c>
      <c r="DC33" s="23" t="n">
        <f aca="false">IF(AY33=1,IF(COUNTIFS($AW$2:$AW$201,AW33,$CY$2:$CY$201,1,$BB$2:$BB$201,1)&gt;0,1,0),0)</f>
        <v>0</v>
      </c>
      <c r="DD33" s="23" t="n">
        <f aca="false">IF(AND(BC33=1,INT(N(H33))&lt;=Config!$B$6,CZ33=1),1,0)</f>
        <v>0</v>
      </c>
      <c r="DE33" s="23" t="n">
        <f aca="false">IF(AND(BC33=1,INT(N(H33))&lt;=Config!$B$7,DA33=1),1,0)</f>
        <v>0</v>
      </c>
      <c r="DF33" s="23" t="n">
        <f aca="false">IF(AND(BC33=1,INT(N(H33))&lt;=Config!$B$8,DB33=1),1,0)</f>
        <v>0</v>
      </c>
      <c r="DG33" s="23" t="n">
        <f aca="false">IF(AND(BC33=1,INT(N(H33))&lt;=Config!$B$5,DC33=1),1,0)</f>
        <v>0</v>
      </c>
      <c r="DH33" s="23" t="n">
        <f aca="false">IF(AND(BE33=1,INT(N(H33))&lt;=Config!$B$6,CZ33=1),1,0)</f>
        <v>0</v>
      </c>
      <c r="DI33" s="23" t="n">
        <f aca="false">IF(AND(BE33=1,INT(N(H33))&lt;=Config!$B$7,DA33=1),1,0)</f>
        <v>0</v>
      </c>
      <c r="DJ33" s="23" t="n">
        <f aca="false">IF(AND(BE33=1,INT(N(H33))&lt;=Config!$B$8,DB33=1),1,0)</f>
        <v>0</v>
      </c>
      <c r="DK33" s="23" t="n">
        <f aca="false">IF(AND(BE33=1,INT(N(H33))&lt;=Config!$B$5,DC33=1),1,0)</f>
        <v>0</v>
      </c>
      <c r="DL33" s="23" t="n">
        <f aca="false">IF(AND(BC33=1,INT(N(H33))&lt;=Config!$B$6,CZ33=0),1,0)</f>
        <v>0</v>
      </c>
      <c r="DM33" s="23" t="n">
        <f aca="false">IF(AND(BC33=1,INT(N(H33))&lt;=Config!$B$7,DA33=0),1,0)</f>
        <v>0</v>
      </c>
      <c r="DN33" s="23" t="n">
        <f aca="false">IF(AND(BC33=1,INT(N(H33))&lt;=Config!$B$8,DB33=0),1,0)</f>
        <v>0</v>
      </c>
      <c r="DO33" s="23" t="n">
        <f aca="false">IF(AND(BC33=1,INT(N(H33))&lt;=Config!$B$5,DC33=0),1,0)</f>
        <v>0</v>
      </c>
      <c r="DP33" s="23" t="n">
        <f aca="false">IF(TRIM($A33)="",0,ISTEXT(K33)+ISTEXT(L33)+ISTEXT(R33)+ISTEXT(V33)+ISTEXT(AP33)+ISTEXT(AS33))</f>
        <v>0</v>
      </c>
      <c r="DQ33" s="23" t="n">
        <f aca="false">IF(AY33=1,IF(H33&lt;&gt;INT(H33),1,0),0)</f>
        <v>0</v>
      </c>
      <c r="DR33" s="23" t="str">
        <f aca="false">IF(TRIM($A33)="","",IF(TRIM(B33)="",SUBSTITUTE(SUBSTITUTE(SUBSTITUTE(SUBSTITUTE(SUBSTITUTE(SUBSTITUTE(LOWER(TRIM($A33)),"~",""),"*",""),"?",""),"&lt;",""),"&gt;",""),"=",""),SUBSTITUTE(SUBSTITUTE(SUBSTITUTE(SUBSTITUTE(SUBSTITUTE(SUBSTITUTE(LOWER(TRIM(B33)),"~",""),"*",""),"?",""),"&lt;",""),"&gt;",""),"=","")))</f>
        <v/>
      </c>
      <c r="DS33" s="23" t="str">
        <f aca="false">IF(CM33="","",IFERROR(IF(LEFT(LOWER(TRIM(INDEX(Clay_Brands!$A$2:$FZ$601,CM33,Sync!$D$19)&amp;"")),4)="grp-",SUBSTITUTE(SUBSTITUTE(SUBSTITUTE(SUBSTITUTE(SUBSTITUTE(SUBSTITUTE(LOWER(TRIM(INDEX(Clay_Brands!$A$2:$FZ$601,CM33,Sync!$D$19)&amp;"")),"~",""),"*",""),"?",""),"&lt;",""),"&gt;",""),"=",""),""),""))</f>
        <v/>
      </c>
      <c r="DT33" s="23" t="str">
        <f aca="false">IF(DS33&lt;&gt;"",DR33,"")</f>
        <v/>
      </c>
      <c r="DU33" s="23" t="str">
        <f aca="false">IF(AZ33=1,AW33,"")</f>
        <v/>
      </c>
      <c r="DV33" s="23" t="str">
        <f aca="false">IF(TRIM($A33)="","",IFERROR(INDEX($A$2:$A$201,MATCH(AW33,$DU$2:$DU$201,0))&amp;"",$A33&amp;""))</f>
        <v/>
      </c>
      <c r="DW33" s="23" t="n">
        <f aca="false">IF(AY33=1,IF(COUNTIFS($A$2:$A$201,$A33,$AY$2:$AY$201,1,$H$2:$H$201,"&lt;"&amp;H33)+COUNTIFS($A$2:$A$201,$A33,$AY$2:$AY$201,1,$H$2:$H$201,H33,$AX$2:$AX$201,"&lt;"&amp;AX33)=0,1,0),0)</f>
        <v>0</v>
      </c>
      <c r="DX33" s="23" t="n">
        <f aca="false">IF(AZ33=1,IF(COUNTIFS($AW$2:$AW$201,AW33,$DW$2:$DW$201,1)&gt;1,1,0),0)</f>
        <v>0</v>
      </c>
    </row>
    <row r="34" customFormat="false" ht="15" hidden="false" customHeight="false" outlineLevel="0" collapsed="false">
      <c r="G34" s="32"/>
      <c r="H34" s="33"/>
      <c r="I34" s="32"/>
      <c r="O34" s="32"/>
      <c r="P34" s="32"/>
      <c r="U34" s="32"/>
      <c r="Y34" s="32"/>
      <c r="AB34" s="32"/>
      <c r="AC34" s="32"/>
      <c r="AD34" s="32"/>
      <c r="AE34" s="32"/>
      <c r="AF34" s="32"/>
      <c r="AG34" s="32"/>
      <c r="AI34" s="32"/>
      <c r="AJ34" s="32"/>
      <c r="AK34" s="32"/>
      <c r="AN34" s="32"/>
      <c r="AO34" s="32"/>
      <c r="AR34" s="32"/>
      <c r="AT34" s="32"/>
      <c r="AV34" s="34" t="str">
        <f aca="false">IF(TRIM($A34)="","",IF(AND(LEFT($A34,6)="SAMPLE",Config!$B$19&lt;&gt;"Y"),"",IF(NOT(ISNUMBER(H34)),"call_date is blank or not a date",IF(Sync!$D$5="","Clay paste is empty or has no row_id column: paste the Clay export on Clay_Brands",IF(CM34="","row_id not found in the Clay paste: add the Clay row or fix the row_id",IF(AND(ISNUMBER(CO34),CO34&gt;=1,CO34&lt;=5),"Clay status is "&amp;CN34&amp;": set call_done or later",IF(AND(BA34=1,CP34&lt;&gt;CB34),"Clay yes_in_principle should be "&amp;CB34,IF(AND(BA34=1,CQ34&lt;&gt;H34),"Clay call_date should be "&amp;TEXT(H34,"yyyy-mm-dd"),""))))))))</f>
        <v/>
      </c>
      <c r="AW34" s="23" t="str">
        <f aca="false">IF(TRIM($A34)="","",IF(TRIM(C34)&lt;&gt;"",SUBSTITUTE(SUBSTITUTE(SUBSTITUTE(SUBSTITUTE(SUBSTITUTE(SUBSTITUTE(LOWER(TRIM(C34)),"~",""),"*",""),"?",""),"&lt;",""),"&gt;",""),"=",""),IF(DS34&lt;&gt;"",DS34,IFERROR(INDEX($DS$2:$DS$201,MATCH(DR34,$DT$2:$DT$201,0)),DR34))))</f>
        <v/>
      </c>
      <c r="AX34" s="23" t="n">
        <f aca="false">ROW()</f>
        <v>34</v>
      </c>
      <c r="AY34" s="23" t="n">
        <f aca="false">IF(AND(TRIM($A34)&lt;&gt;"",ISNUMBER(H34)),IF(AND(LEFT($A34,6)="SAMPLE",Config!$B$19&lt;&gt;"Y"),0,1),0)</f>
        <v>0</v>
      </c>
      <c r="AZ34" s="23" t="n">
        <f aca="false">IF(AY34=1,IF(COUNTIFS($AW$2:$AW$201,AW34,$AY$2:$AY$201,1,$H$2:$H$201,"&lt;"&amp;H34)+COUNTIFS($AW$2:$AW$201,AW34,$AY$2:$AY$201,1,$H$2:$H$201,H34,$AX$2:$AX$201,"&lt;"&amp;AX34)=0,1,0),0)</f>
        <v>0</v>
      </c>
      <c r="BA34" s="23" t="n">
        <f aca="false">IF(AY34=1,IF(COUNTIFS($A$2:$A$201,$A34,$AY$2:$AY$201,1,$H$2:$H$201,"&gt;"&amp;H34)+COUNTIFS($A$2:$A$201,$A34,$AY$2:$AY$201,1,$H$2:$H$201,H34,$AX$2:$AX$201,"&gt;"&amp;AX34)=0,1,0),0)</f>
        <v>0</v>
      </c>
      <c r="BB34" s="23" t="n">
        <f aca="false">IF(AND(AY34=1,O34="Y",MAX(N(R34),N(V34))&gt;=Config!$B$14),1,0)</f>
        <v>0</v>
      </c>
      <c r="BC34" s="23" t="n">
        <f aca="false">IF(BB34=1,IF(COUNTIFS($AW$2:$AW$201,AW34,$BB$2:$BB$201,1,$H$2:$H$201,"&lt;"&amp;H34)+COUNTIFS($AW$2:$AW$201,AW34,$BB$2:$BB$201,1,$H$2:$H$201,H34,$AX$2:$AX$201,"&lt;"&amp;AX34)=0,1,0),0)</f>
        <v>0</v>
      </c>
      <c r="BD34" s="23" t="n">
        <f aca="false">IF(AND(AY34=1,O34="Y",ISNUMBER(R34)),IF(R34&gt;=Config!$B$14,1,0),0)</f>
        <v>0</v>
      </c>
      <c r="BE34" s="23" t="n">
        <f aca="false">IF(BD34=1,IF(COUNTIFS($AW$2:$AW$201,AW34,$BD$2:$BD$201,1,$H$2:$H$201,"&lt;"&amp;H34)+COUNTIFS($AW$2:$AW$201,AW34,$BD$2:$BD$201,1,$H$2:$H$201,H34,$AX$2:$AX$201,"&lt;"&amp;AX34)=0,1,0),0)</f>
        <v>0</v>
      </c>
      <c r="BF34" s="23" t="n">
        <f aca="false">IF(AND(AY34=1,O34&lt;&gt;"Y",MAX(N(R34),N(V34))&gt;=Config!$B$14),1,0)</f>
        <v>0</v>
      </c>
      <c r="BG34" s="23" t="n">
        <f aca="false">IF(BF34=1,IF(COUNTIFS($AW$2:$AW$201,AW34,$BF$2:$BF$201,1,$H$2:$H$201,"&lt;"&amp;H34)+COUNTIFS($AW$2:$AW$201,AW34,$BF$2:$BF$201,1,$H$2:$H$201,H34,$AX$2:$AX$201,"&lt;"&amp;AX34)=0,1,0),0)</f>
        <v>0</v>
      </c>
      <c r="BH34" s="23" t="n">
        <f aca="false">IF(AND(AY34=1,ISNUMBER(R34)),1,0)</f>
        <v>0</v>
      </c>
      <c r="BI34" s="23" t="n">
        <f aca="false">IF(BH34=1,IF(COUNTIFS($AW$2:$AW$201,AW34,$BH$2:$BH$201,1,$H$2:$H$201,"&lt;"&amp;H34)+COUNTIFS($AW$2:$AW$201,AW34,$BH$2:$BH$201,1,$H$2:$H$201,H34,$AX$2:$AX$201,"&lt;"&amp;AX34)=0,1,0),0)</f>
        <v>0</v>
      </c>
      <c r="BJ34" s="23" t="str">
        <f aca="false">IF(AND(BI34=1,INT(N(H34))&lt;=Config!$B$6),R34,"")</f>
        <v/>
      </c>
      <c r="BK34" s="23" t="str">
        <f aca="false">IF(AND(BI34=1,INT(N(H34))&lt;=Config!$B$7),R34,"")</f>
        <v/>
      </c>
      <c r="BL34" s="23" t="str">
        <f aca="false">IF(AND(BI34=1,INT(N(H34))&lt;=Config!$B$8),R34,"")</f>
        <v/>
      </c>
      <c r="BM34" s="23" t="str">
        <f aca="false">IF(AND(BI34=1,INT(N(H34))&lt;=Config!$B$5),R34,"")</f>
        <v/>
      </c>
      <c r="BN34" s="23" t="n">
        <f aca="false">IF(AND(AY34=1,ISNUMBER(V34)),1,0)</f>
        <v>0</v>
      </c>
      <c r="BO34" s="23" t="n">
        <f aca="false">IF(BN34=1,IF(COUNTIFS($AW$2:$AW$201,AW34,$BN$2:$BN$201,1,$H$2:$H$201,"&lt;"&amp;H34)+COUNTIFS($AW$2:$AW$201,AW34,$BN$2:$BN$201,1,$H$2:$H$201,H34,$AX$2:$AX$201,"&lt;"&amp;AX34)=0,1,0),0)</f>
        <v>0</v>
      </c>
      <c r="BP34" s="23" t="str">
        <f aca="false">IF(AND(BO34=1,INT(N(H34))&lt;=Config!$B$6),V34,"")</f>
        <v/>
      </c>
      <c r="BQ34" s="23" t="str">
        <f aca="false">IF(AND(BO34=1,INT(N(H34))&lt;=Config!$B$7),V34,"")</f>
        <v/>
      </c>
      <c r="BR34" s="23" t="str">
        <f aca="false">IF(AND(BO34=1,INT(N(H34))&lt;=Config!$B$8),V34,"")</f>
        <v/>
      </c>
      <c r="BS34" s="23" t="str">
        <f aca="false">IF(AND(BO34=1,INT(N(H34))&lt;=Config!$B$5),V34,"")</f>
        <v/>
      </c>
      <c r="BT34" s="23" t="n">
        <f aca="false">IF(AND(AY34=1,ISNUMBER(K34)),1,0)</f>
        <v>0</v>
      </c>
      <c r="BU34" s="23" t="n">
        <f aca="false">IF(BT34=1,IF(COUNTIFS($AW$2:$AW$201,AW34,$BT$2:$BT$201,1,$H$2:$H$201,"&lt;"&amp;H34)+COUNTIFS($AW$2:$AW$201,AW34,$BT$2:$BT$201,1,$H$2:$H$201,H34,$AX$2:$AX$201,"&lt;"&amp;AX34)=0,1,0),0)</f>
        <v>0</v>
      </c>
      <c r="BV34" s="23" t="str">
        <f aca="false">IF(AND(BU34=1,INT(N(H34))&lt;=Config!$B$5),K34,"")</f>
        <v/>
      </c>
      <c r="BW34" s="23" t="n">
        <f aca="false">IF(AND(AY34=1,OR(AND(ISNUMBER(R34),TRIM(S34)=""),AND(ISNUMBER(V34),TRIM(W34)=""))),1,0)</f>
        <v>0</v>
      </c>
      <c r="BX34" s="23" t="str">
        <f aca="false">IF(AY34=1,AJ34&amp;"","")</f>
        <v/>
      </c>
      <c r="BY34" s="23" t="str">
        <f aca="false">IF(AY34=1,AK34&amp;"","")</f>
        <v/>
      </c>
      <c r="BZ34" s="23" t="str">
        <f aca="false">IF(AY34=1,AL34&amp;"","")</f>
        <v/>
      </c>
      <c r="CA34" s="23" t="str">
        <f aca="false">IF(AND(AY34=1,ISNUMBER(AS34),INT(N(H34))&lt;=Config!$B$5),AS34,"")</f>
        <v/>
      </c>
      <c r="CB34" s="23" t="str">
        <f aca="false">IF(AY34=1,IF(COUNTIFS($A$2:$A$201,$A34,$CU$2:$CU$201,1,$AN$2:$AN$201,"Y")&gt;0,"Y","N"),"")</f>
        <v/>
      </c>
      <c r="CC34" s="23" t="n">
        <f aca="false">IF(AND(AY34=1,AN34="Y"),IF(COUNTIFS($AW$2:$AW$201,AW34,$AN$2:$AN$201,"Y",$AY$2:$AY$201,1,$H$2:$H$201,"&lt;"&amp;H34)+COUNTIFS($AW$2:$AW$201,AW34,$AN$2:$AN$201,"Y",$AY$2:$AY$201,1,$H$2:$H$201,H34,$AX$2:$AX$201,"&lt;"&amp;AX34)=0,1,0),0)</f>
        <v>0</v>
      </c>
      <c r="CD34" s="23" t="n">
        <f aca="false">IF(AND(AY34=1,AB34="Y",AC34="Y",AD34="Y",AE34="Y",AF34="Y",AG34="Y",AI34="Y",TRIM(AH34)&lt;&gt;""),1,0)</f>
        <v>0</v>
      </c>
      <c r="CE34" s="23" t="n">
        <f aca="false">IF(CD34=1,IF(COUNTIFS($AW$2:$AW$201,AW34,$CD$2:$CD$201,1,$H$2:$H$201,"&lt;"&amp;H34)+COUNTIFS($AW$2:$AW$201,AW34,$CD$2:$CD$201,1,$H$2:$H$201,H34,$AX$2:$AX$201,"&lt;"&amp;AX34)=0,1,0),0)</f>
        <v>0</v>
      </c>
      <c r="CF34" s="23" t="n">
        <f aca="false">IF(AND(AY34=1,AO34="Y"),1,0)</f>
        <v>0</v>
      </c>
      <c r="CG34" s="23" t="n">
        <f aca="false">IF(CF34=1,IF(COUNTIFS($AW$2:$AW$201,AW34,$CF$2:$CF$201,1,$H$2:$H$201,"&lt;"&amp;H34)+COUNTIFS($AW$2:$AW$201,AW34,$CF$2:$CF$201,1,$H$2:$H$201,H34,$AX$2:$AX$201,"&lt;"&amp;AX34)=0,1,0),0)</f>
        <v>0</v>
      </c>
      <c r="CH34" s="23" t="n">
        <f aca="false">IF(AND(AY34=1,P34="Y"),1,0)</f>
        <v>0</v>
      </c>
      <c r="CI34" s="23" t="n">
        <f aca="false">IF(CH34=1,IF(COUNTIFS($AW$2:$AW$201,AW34,$CH$2:$CH$201,1,$H$2:$H$201,"&lt;"&amp;H34)+COUNTIFS($AW$2:$AW$201,AW34,$CH$2:$CH$201,1,$H$2:$H$201,H34,$AX$2:$AX$201,"&lt;"&amp;AX34)=0,1,0),0)</f>
        <v>0</v>
      </c>
      <c r="CJ34" s="23" t="str">
        <f aca="false">IF(AND(BU34=1,INT(N(H34))&lt;=Config!$B$5),L34,"")</f>
        <v/>
      </c>
      <c r="CK34" s="23" t="n">
        <f aca="false">IF(AND(AY34=1,AR34="Y"),1,0)</f>
        <v>0</v>
      </c>
      <c r="CL34" s="23" t="n">
        <f aca="false">IF(CK34=1,IF(COUNTIFS($AW$2:$AW$201,AW34,$CK$2:$CK$201,1,$H$2:$H$201,"&lt;"&amp;H34)+COUNTIFS($AW$2:$AW$201,AW34,$CK$2:$CK$201,1,$H$2:$H$201,H34,$AX$2:$AX$201,"&lt;"&amp;AX34)=0,1,0),0)</f>
        <v>0</v>
      </c>
      <c r="CM34" s="23" t="str">
        <f aca="false">IF(AY34=1,IFERROR(MATCH($A34,INDEX(Clay_Brands!$A$2:$FZ$601,0,Sync!$D$5),0),""),"")</f>
        <v/>
      </c>
      <c r="CN34" s="23" t="str">
        <f aca="false">IF(CM34="","",IFERROR(INDEX(Clay_Brands!$A$2:$FZ$601,CM34,Sync!$D$7)&amp;"",""))</f>
        <v/>
      </c>
      <c r="CO34" s="23" t="str">
        <f aca="false">IF(CN34="","",IFERROR(INDEX(Lists!$K$2:$K$15,MATCH(CN34,Lists!$J$2:$J$15,0)),""))</f>
        <v/>
      </c>
      <c r="CP34" s="23" t="str">
        <f aca="false">IF(CM34="","",IFERROR(INDEX(Clay_Brands!$A$2:$FZ$601,CM34,Sync!$D$17)&amp;"",""))</f>
        <v/>
      </c>
      <c r="CQ34" s="35" t="str">
        <f aca="false">IF(CM34="","",IFERROR(N(INDEX(Clay_Brands!$A$2:$FZ$601,CM34,Sync!$D$16)),0))</f>
        <v/>
      </c>
      <c r="CR34" s="23" t="n">
        <f aca="false">IF(AND(AY34=1,OR(O34="N",AND(OR(ISNUMBER(R34),ISNUMBER(V34)),MAX(N(R34),N(V34))&lt;Config!$B$14))),1,0)</f>
        <v>0</v>
      </c>
      <c r="CS34" s="23" t="n">
        <f aca="false">IF(OR(BB34=1,CR34=1),1,0)</f>
        <v>0</v>
      </c>
      <c r="CT34" s="23" t="n">
        <f aca="false">IF(AND(AY34=1,OR(AN34="Y",AN34="N",AN34="maybe")),1,0)</f>
        <v>0</v>
      </c>
      <c r="CU34" s="23" t="n">
        <f aca="false">IF(AND(CT34=1),IF(COUNTIFS($A$2:$A$201,$A34,$CT$2:$CT$201,1,$H$2:$H$201,"&gt;"&amp;H34)+COUNTIFS($A$2:$A$201,$A34,$CT$2:$CT$201,1,$H$2:$H$201,H34,$AX$2:$AX$201,"&gt;"&amp;AX34)=0,1,0),0)</f>
        <v>0</v>
      </c>
      <c r="CV34" s="23" t="n">
        <f aca="false">IF(AND(CS34=1,INT(N(H34))&lt;=Config!$B$6),IF(COUNTIFS($AW$2:$AW$201,AW34,$CS$2:$CS$201,1,$H$2:$H$201,"&gt;"&amp;H34,$H$2:$H$201,"&lt;"&amp;(Config!$B$6+1))+COUNTIFS($AW$2:$AW$201,AW34,$CS$2:$CS$201,1,$H$2:$H$201,H34,$AX$2:$AX$201,"&gt;"&amp;AX34)=0,1,0),0)</f>
        <v>0</v>
      </c>
      <c r="CW34" s="23" t="n">
        <f aca="false">IF(AND(CS34=1,INT(N(H34))&lt;=Config!$B$7),IF(COUNTIFS($AW$2:$AW$201,AW34,$CS$2:$CS$201,1,$H$2:$H$201,"&gt;"&amp;H34,$H$2:$H$201,"&lt;"&amp;(Config!$B$7+1))+COUNTIFS($AW$2:$AW$201,AW34,$CS$2:$CS$201,1,$H$2:$H$201,H34,$AX$2:$AX$201,"&gt;"&amp;AX34)=0,1,0),0)</f>
        <v>0</v>
      </c>
      <c r="CX34" s="23" t="n">
        <f aca="false">IF(AND(CS34=1,INT(N(H34))&lt;=Config!$B$8),IF(COUNTIFS($AW$2:$AW$201,AW34,$CS$2:$CS$201,1,$H$2:$H$201,"&gt;"&amp;H34,$H$2:$H$201,"&lt;"&amp;(Config!$B$8+1))+COUNTIFS($AW$2:$AW$201,AW34,$CS$2:$CS$201,1,$H$2:$H$201,H34,$AX$2:$AX$201,"&gt;"&amp;AX34)=0,1,0),0)</f>
        <v>0</v>
      </c>
      <c r="CY34" s="23" t="n">
        <f aca="false">IF(AND(CS34=1,INT(N(H34))&lt;=Config!$B$5),IF(COUNTIFS($AW$2:$AW$201,AW34,$CS$2:$CS$201,1,$H$2:$H$201,"&gt;"&amp;H34,$H$2:$H$201,"&lt;"&amp;(Config!$B$5+1))+COUNTIFS($AW$2:$AW$201,AW34,$CS$2:$CS$201,1,$H$2:$H$201,H34,$AX$2:$AX$201,"&gt;"&amp;AX34)=0,1,0),0)</f>
        <v>0</v>
      </c>
      <c r="CZ34" s="23" t="n">
        <f aca="false">IF(AY34=1,IF(COUNTIFS($AW$2:$AW$201,AW34,$CV$2:$CV$201,1,$BB$2:$BB$201,1)&gt;0,1,0),0)</f>
        <v>0</v>
      </c>
      <c r="DA34" s="23" t="n">
        <f aca="false">IF(AY34=1,IF(COUNTIFS($AW$2:$AW$201,AW34,$CW$2:$CW$201,1,$BB$2:$BB$201,1)&gt;0,1,0),0)</f>
        <v>0</v>
      </c>
      <c r="DB34" s="23" t="n">
        <f aca="false">IF(AY34=1,IF(COUNTIFS($AW$2:$AW$201,AW34,$CX$2:$CX$201,1,$BB$2:$BB$201,1)&gt;0,1,0),0)</f>
        <v>0</v>
      </c>
      <c r="DC34" s="23" t="n">
        <f aca="false">IF(AY34=1,IF(COUNTIFS($AW$2:$AW$201,AW34,$CY$2:$CY$201,1,$BB$2:$BB$201,1)&gt;0,1,0),0)</f>
        <v>0</v>
      </c>
      <c r="DD34" s="23" t="n">
        <f aca="false">IF(AND(BC34=1,INT(N(H34))&lt;=Config!$B$6,CZ34=1),1,0)</f>
        <v>0</v>
      </c>
      <c r="DE34" s="23" t="n">
        <f aca="false">IF(AND(BC34=1,INT(N(H34))&lt;=Config!$B$7,DA34=1),1,0)</f>
        <v>0</v>
      </c>
      <c r="DF34" s="23" t="n">
        <f aca="false">IF(AND(BC34=1,INT(N(H34))&lt;=Config!$B$8,DB34=1),1,0)</f>
        <v>0</v>
      </c>
      <c r="DG34" s="23" t="n">
        <f aca="false">IF(AND(BC34=1,INT(N(H34))&lt;=Config!$B$5,DC34=1),1,0)</f>
        <v>0</v>
      </c>
      <c r="DH34" s="23" t="n">
        <f aca="false">IF(AND(BE34=1,INT(N(H34))&lt;=Config!$B$6,CZ34=1),1,0)</f>
        <v>0</v>
      </c>
      <c r="DI34" s="23" t="n">
        <f aca="false">IF(AND(BE34=1,INT(N(H34))&lt;=Config!$B$7,DA34=1),1,0)</f>
        <v>0</v>
      </c>
      <c r="DJ34" s="23" t="n">
        <f aca="false">IF(AND(BE34=1,INT(N(H34))&lt;=Config!$B$8,DB34=1),1,0)</f>
        <v>0</v>
      </c>
      <c r="DK34" s="23" t="n">
        <f aca="false">IF(AND(BE34=1,INT(N(H34))&lt;=Config!$B$5,DC34=1),1,0)</f>
        <v>0</v>
      </c>
      <c r="DL34" s="23" t="n">
        <f aca="false">IF(AND(BC34=1,INT(N(H34))&lt;=Config!$B$6,CZ34=0),1,0)</f>
        <v>0</v>
      </c>
      <c r="DM34" s="23" t="n">
        <f aca="false">IF(AND(BC34=1,INT(N(H34))&lt;=Config!$B$7,DA34=0),1,0)</f>
        <v>0</v>
      </c>
      <c r="DN34" s="23" t="n">
        <f aca="false">IF(AND(BC34=1,INT(N(H34))&lt;=Config!$B$8,DB34=0),1,0)</f>
        <v>0</v>
      </c>
      <c r="DO34" s="23" t="n">
        <f aca="false">IF(AND(BC34=1,INT(N(H34))&lt;=Config!$B$5,DC34=0),1,0)</f>
        <v>0</v>
      </c>
      <c r="DP34" s="23" t="n">
        <f aca="false">IF(TRIM($A34)="",0,ISTEXT(K34)+ISTEXT(L34)+ISTEXT(R34)+ISTEXT(V34)+ISTEXT(AP34)+ISTEXT(AS34))</f>
        <v>0</v>
      </c>
      <c r="DQ34" s="23" t="n">
        <f aca="false">IF(AY34=1,IF(H34&lt;&gt;INT(H34),1,0),0)</f>
        <v>0</v>
      </c>
      <c r="DR34" s="23" t="str">
        <f aca="false">IF(TRIM($A34)="","",IF(TRIM(B34)="",SUBSTITUTE(SUBSTITUTE(SUBSTITUTE(SUBSTITUTE(SUBSTITUTE(SUBSTITUTE(LOWER(TRIM($A34)),"~",""),"*",""),"?",""),"&lt;",""),"&gt;",""),"=",""),SUBSTITUTE(SUBSTITUTE(SUBSTITUTE(SUBSTITUTE(SUBSTITUTE(SUBSTITUTE(LOWER(TRIM(B34)),"~",""),"*",""),"?",""),"&lt;",""),"&gt;",""),"=","")))</f>
        <v/>
      </c>
      <c r="DS34" s="23" t="str">
        <f aca="false">IF(CM34="","",IFERROR(IF(LEFT(LOWER(TRIM(INDEX(Clay_Brands!$A$2:$FZ$601,CM34,Sync!$D$19)&amp;"")),4)="grp-",SUBSTITUTE(SUBSTITUTE(SUBSTITUTE(SUBSTITUTE(SUBSTITUTE(SUBSTITUTE(LOWER(TRIM(INDEX(Clay_Brands!$A$2:$FZ$601,CM34,Sync!$D$19)&amp;"")),"~",""),"*",""),"?",""),"&lt;",""),"&gt;",""),"=",""),""),""))</f>
        <v/>
      </c>
      <c r="DT34" s="23" t="str">
        <f aca="false">IF(DS34&lt;&gt;"",DR34,"")</f>
        <v/>
      </c>
      <c r="DU34" s="23" t="str">
        <f aca="false">IF(AZ34=1,AW34,"")</f>
        <v/>
      </c>
      <c r="DV34" s="23" t="str">
        <f aca="false">IF(TRIM($A34)="","",IFERROR(INDEX($A$2:$A$201,MATCH(AW34,$DU$2:$DU$201,0))&amp;"",$A34&amp;""))</f>
        <v/>
      </c>
      <c r="DW34" s="23" t="n">
        <f aca="false">IF(AY34=1,IF(COUNTIFS($A$2:$A$201,$A34,$AY$2:$AY$201,1,$H$2:$H$201,"&lt;"&amp;H34)+COUNTIFS($A$2:$A$201,$A34,$AY$2:$AY$201,1,$H$2:$H$201,H34,$AX$2:$AX$201,"&lt;"&amp;AX34)=0,1,0),0)</f>
        <v>0</v>
      </c>
      <c r="DX34" s="23" t="n">
        <f aca="false">IF(AZ34=1,IF(COUNTIFS($AW$2:$AW$201,AW34,$DW$2:$DW$201,1)&gt;1,1,0),0)</f>
        <v>0</v>
      </c>
    </row>
    <row r="35" customFormat="false" ht="15" hidden="false" customHeight="false" outlineLevel="0" collapsed="false">
      <c r="G35" s="32"/>
      <c r="H35" s="33"/>
      <c r="I35" s="32"/>
      <c r="O35" s="32"/>
      <c r="P35" s="32"/>
      <c r="U35" s="32"/>
      <c r="Y35" s="32"/>
      <c r="AB35" s="32"/>
      <c r="AC35" s="32"/>
      <c r="AD35" s="32"/>
      <c r="AE35" s="32"/>
      <c r="AF35" s="32"/>
      <c r="AG35" s="32"/>
      <c r="AI35" s="32"/>
      <c r="AJ35" s="32"/>
      <c r="AK35" s="32"/>
      <c r="AN35" s="32"/>
      <c r="AO35" s="32"/>
      <c r="AR35" s="32"/>
      <c r="AT35" s="32"/>
      <c r="AV35" s="34" t="str">
        <f aca="false">IF(TRIM($A35)="","",IF(AND(LEFT($A35,6)="SAMPLE",Config!$B$19&lt;&gt;"Y"),"",IF(NOT(ISNUMBER(H35)),"call_date is blank or not a date",IF(Sync!$D$5="","Clay paste is empty or has no row_id column: paste the Clay export on Clay_Brands",IF(CM35="","row_id not found in the Clay paste: add the Clay row or fix the row_id",IF(AND(ISNUMBER(CO35),CO35&gt;=1,CO35&lt;=5),"Clay status is "&amp;CN35&amp;": set call_done or later",IF(AND(BA35=1,CP35&lt;&gt;CB35),"Clay yes_in_principle should be "&amp;CB35,IF(AND(BA35=1,CQ35&lt;&gt;H35),"Clay call_date should be "&amp;TEXT(H35,"yyyy-mm-dd"),""))))))))</f>
        <v/>
      </c>
      <c r="AW35" s="23" t="str">
        <f aca="false">IF(TRIM($A35)="","",IF(TRIM(C35)&lt;&gt;"",SUBSTITUTE(SUBSTITUTE(SUBSTITUTE(SUBSTITUTE(SUBSTITUTE(SUBSTITUTE(LOWER(TRIM(C35)),"~",""),"*",""),"?",""),"&lt;",""),"&gt;",""),"=",""),IF(DS35&lt;&gt;"",DS35,IFERROR(INDEX($DS$2:$DS$201,MATCH(DR35,$DT$2:$DT$201,0)),DR35))))</f>
        <v/>
      </c>
      <c r="AX35" s="23" t="n">
        <f aca="false">ROW()</f>
        <v>35</v>
      </c>
      <c r="AY35" s="23" t="n">
        <f aca="false">IF(AND(TRIM($A35)&lt;&gt;"",ISNUMBER(H35)),IF(AND(LEFT($A35,6)="SAMPLE",Config!$B$19&lt;&gt;"Y"),0,1),0)</f>
        <v>0</v>
      </c>
      <c r="AZ35" s="23" t="n">
        <f aca="false">IF(AY35=1,IF(COUNTIFS($AW$2:$AW$201,AW35,$AY$2:$AY$201,1,$H$2:$H$201,"&lt;"&amp;H35)+COUNTIFS($AW$2:$AW$201,AW35,$AY$2:$AY$201,1,$H$2:$H$201,H35,$AX$2:$AX$201,"&lt;"&amp;AX35)=0,1,0),0)</f>
        <v>0</v>
      </c>
      <c r="BA35" s="23" t="n">
        <f aca="false">IF(AY35=1,IF(COUNTIFS($A$2:$A$201,$A35,$AY$2:$AY$201,1,$H$2:$H$201,"&gt;"&amp;H35)+COUNTIFS($A$2:$A$201,$A35,$AY$2:$AY$201,1,$H$2:$H$201,H35,$AX$2:$AX$201,"&gt;"&amp;AX35)=0,1,0),0)</f>
        <v>0</v>
      </c>
      <c r="BB35" s="23" t="n">
        <f aca="false">IF(AND(AY35=1,O35="Y",MAX(N(R35),N(V35))&gt;=Config!$B$14),1,0)</f>
        <v>0</v>
      </c>
      <c r="BC35" s="23" t="n">
        <f aca="false">IF(BB35=1,IF(COUNTIFS($AW$2:$AW$201,AW35,$BB$2:$BB$201,1,$H$2:$H$201,"&lt;"&amp;H35)+COUNTIFS($AW$2:$AW$201,AW35,$BB$2:$BB$201,1,$H$2:$H$201,H35,$AX$2:$AX$201,"&lt;"&amp;AX35)=0,1,0),0)</f>
        <v>0</v>
      </c>
      <c r="BD35" s="23" t="n">
        <f aca="false">IF(AND(AY35=1,O35="Y",ISNUMBER(R35)),IF(R35&gt;=Config!$B$14,1,0),0)</f>
        <v>0</v>
      </c>
      <c r="BE35" s="23" t="n">
        <f aca="false">IF(BD35=1,IF(COUNTIFS($AW$2:$AW$201,AW35,$BD$2:$BD$201,1,$H$2:$H$201,"&lt;"&amp;H35)+COUNTIFS($AW$2:$AW$201,AW35,$BD$2:$BD$201,1,$H$2:$H$201,H35,$AX$2:$AX$201,"&lt;"&amp;AX35)=0,1,0),0)</f>
        <v>0</v>
      </c>
      <c r="BF35" s="23" t="n">
        <f aca="false">IF(AND(AY35=1,O35&lt;&gt;"Y",MAX(N(R35),N(V35))&gt;=Config!$B$14),1,0)</f>
        <v>0</v>
      </c>
      <c r="BG35" s="23" t="n">
        <f aca="false">IF(BF35=1,IF(COUNTIFS($AW$2:$AW$201,AW35,$BF$2:$BF$201,1,$H$2:$H$201,"&lt;"&amp;H35)+COUNTIFS($AW$2:$AW$201,AW35,$BF$2:$BF$201,1,$H$2:$H$201,H35,$AX$2:$AX$201,"&lt;"&amp;AX35)=0,1,0),0)</f>
        <v>0</v>
      </c>
      <c r="BH35" s="23" t="n">
        <f aca="false">IF(AND(AY35=1,ISNUMBER(R35)),1,0)</f>
        <v>0</v>
      </c>
      <c r="BI35" s="23" t="n">
        <f aca="false">IF(BH35=1,IF(COUNTIFS($AW$2:$AW$201,AW35,$BH$2:$BH$201,1,$H$2:$H$201,"&lt;"&amp;H35)+COUNTIFS($AW$2:$AW$201,AW35,$BH$2:$BH$201,1,$H$2:$H$201,H35,$AX$2:$AX$201,"&lt;"&amp;AX35)=0,1,0),0)</f>
        <v>0</v>
      </c>
      <c r="BJ35" s="23" t="str">
        <f aca="false">IF(AND(BI35=1,INT(N(H35))&lt;=Config!$B$6),R35,"")</f>
        <v/>
      </c>
      <c r="BK35" s="23" t="str">
        <f aca="false">IF(AND(BI35=1,INT(N(H35))&lt;=Config!$B$7),R35,"")</f>
        <v/>
      </c>
      <c r="BL35" s="23" t="str">
        <f aca="false">IF(AND(BI35=1,INT(N(H35))&lt;=Config!$B$8),R35,"")</f>
        <v/>
      </c>
      <c r="BM35" s="23" t="str">
        <f aca="false">IF(AND(BI35=1,INT(N(H35))&lt;=Config!$B$5),R35,"")</f>
        <v/>
      </c>
      <c r="BN35" s="23" t="n">
        <f aca="false">IF(AND(AY35=1,ISNUMBER(V35)),1,0)</f>
        <v>0</v>
      </c>
      <c r="BO35" s="23" t="n">
        <f aca="false">IF(BN35=1,IF(COUNTIFS($AW$2:$AW$201,AW35,$BN$2:$BN$201,1,$H$2:$H$201,"&lt;"&amp;H35)+COUNTIFS($AW$2:$AW$201,AW35,$BN$2:$BN$201,1,$H$2:$H$201,H35,$AX$2:$AX$201,"&lt;"&amp;AX35)=0,1,0),0)</f>
        <v>0</v>
      </c>
      <c r="BP35" s="23" t="str">
        <f aca="false">IF(AND(BO35=1,INT(N(H35))&lt;=Config!$B$6),V35,"")</f>
        <v/>
      </c>
      <c r="BQ35" s="23" t="str">
        <f aca="false">IF(AND(BO35=1,INT(N(H35))&lt;=Config!$B$7),V35,"")</f>
        <v/>
      </c>
      <c r="BR35" s="23" t="str">
        <f aca="false">IF(AND(BO35=1,INT(N(H35))&lt;=Config!$B$8),V35,"")</f>
        <v/>
      </c>
      <c r="BS35" s="23" t="str">
        <f aca="false">IF(AND(BO35=1,INT(N(H35))&lt;=Config!$B$5),V35,"")</f>
        <v/>
      </c>
      <c r="BT35" s="23" t="n">
        <f aca="false">IF(AND(AY35=1,ISNUMBER(K35)),1,0)</f>
        <v>0</v>
      </c>
      <c r="BU35" s="23" t="n">
        <f aca="false">IF(BT35=1,IF(COUNTIFS($AW$2:$AW$201,AW35,$BT$2:$BT$201,1,$H$2:$H$201,"&lt;"&amp;H35)+COUNTIFS($AW$2:$AW$201,AW35,$BT$2:$BT$201,1,$H$2:$H$201,H35,$AX$2:$AX$201,"&lt;"&amp;AX35)=0,1,0),0)</f>
        <v>0</v>
      </c>
      <c r="BV35" s="23" t="str">
        <f aca="false">IF(AND(BU35=1,INT(N(H35))&lt;=Config!$B$5),K35,"")</f>
        <v/>
      </c>
      <c r="BW35" s="23" t="n">
        <f aca="false">IF(AND(AY35=1,OR(AND(ISNUMBER(R35),TRIM(S35)=""),AND(ISNUMBER(V35),TRIM(W35)=""))),1,0)</f>
        <v>0</v>
      </c>
      <c r="BX35" s="23" t="str">
        <f aca="false">IF(AY35=1,AJ35&amp;"","")</f>
        <v/>
      </c>
      <c r="BY35" s="23" t="str">
        <f aca="false">IF(AY35=1,AK35&amp;"","")</f>
        <v/>
      </c>
      <c r="BZ35" s="23" t="str">
        <f aca="false">IF(AY35=1,AL35&amp;"","")</f>
        <v/>
      </c>
      <c r="CA35" s="23" t="str">
        <f aca="false">IF(AND(AY35=1,ISNUMBER(AS35),INT(N(H35))&lt;=Config!$B$5),AS35,"")</f>
        <v/>
      </c>
      <c r="CB35" s="23" t="str">
        <f aca="false">IF(AY35=1,IF(COUNTIFS($A$2:$A$201,$A35,$CU$2:$CU$201,1,$AN$2:$AN$201,"Y")&gt;0,"Y","N"),"")</f>
        <v/>
      </c>
      <c r="CC35" s="23" t="n">
        <f aca="false">IF(AND(AY35=1,AN35="Y"),IF(COUNTIFS($AW$2:$AW$201,AW35,$AN$2:$AN$201,"Y",$AY$2:$AY$201,1,$H$2:$H$201,"&lt;"&amp;H35)+COUNTIFS($AW$2:$AW$201,AW35,$AN$2:$AN$201,"Y",$AY$2:$AY$201,1,$H$2:$H$201,H35,$AX$2:$AX$201,"&lt;"&amp;AX35)=0,1,0),0)</f>
        <v>0</v>
      </c>
      <c r="CD35" s="23" t="n">
        <f aca="false">IF(AND(AY35=1,AB35="Y",AC35="Y",AD35="Y",AE35="Y",AF35="Y",AG35="Y",AI35="Y",TRIM(AH35)&lt;&gt;""),1,0)</f>
        <v>0</v>
      </c>
      <c r="CE35" s="23" t="n">
        <f aca="false">IF(CD35=1,IF(COUNTIFS($AW$2:$AW$201,AW35,$CD$2:$CD$201,1,$H$2:$H$201,"&lt;"&amp;H35)+COUNTIFS($AW$2:$AW$201,AW35,$CD$2:$CD$201,1,$H$2:$H$201,H35,$AX$2:$AX$201,"&lt;"&amp;AX35)=0,1,0),0)</f>
        <v>0</v>
      </c>
      <c r="CF35" s="23" t="n">
        <f aca="false">IF(AND(AY35=1,AO35="Y"),1,0)</f>
        <v>0</v>
      </c>
      <c r="CG35" s="23" t="n">
        <f aca="false">IF(CF35=1,IF(COUNTIFS($AW$2:$AW$201,AW35,$CF$2:$CF$201,1,$H$2:$H$201,"&lt;"&amp;H35)+COUNTIFS($AW$2:$AW$201,AW35,$CF$2:$CF$201,1,$H$2:$H$201,H35,$AX$2:$AX$201,"&lt;"&amp;AX35)=0,1,0),0)</f>
        <v>0</v>
      </c>
      <c r="CH35" s="23" t="n">
        <f aca="false">IF(AND(AY35=1,P35="Y"),1,0)</f>
        <v>0</v>
      </c>
      <c r="CI35" s="23" t="n">
        <f aca="false">IF(CH35=1,IF(COUNTIFS($AW$2:$AW$201,AW35,$CH$2:$CH$201,1,$H$2:$H$201,"&lt;"&amp;H35)+COUNTIFS($AW$2:$AW$201,AW35,$CH$2:$CH$201,1,$H$2:$H$201,H35,$AX$2:$AX$201,"&lt;"&amp;AX35)=0,1,0),0)</f>
        <v>0</v>
      </c>
      <c r="CJ35" s="23" t="str">
        <f aca="false">IF(AND(BU35=1,INT(N(H35))&lt;=Config!$B$5),L35,"")</f>
        <v/>
      </c>
      <c r="CK35" s="23" t="n">
        <f aca="false">IF(AND(AY35=1,AR35="Y"),1,0)</f>
        <v>0</v>
      </c>
      <c r="CL35" s="23" t="n">
        <f aca="false">IF(CK35=1,IF(COUNTIFS($AW$2:$AW$201,AW35,$CK$2:$CK$201,1,$H$2:$H$201,"&lt;"&amp;H35)+COUNTIFS($AW$2:$AW$201,AW35,$CK$2:$CK$201,1,$H$2:$H$201,H35,$AX$2:$AX$201,"&lt;"&amp;AX35)=0,1,0),0)</f>
        <v>0</v>
      </c>
      <c r="CM35" s="23" t="str">
        <f aca="false">IF(AY35=1,IFERROR(MATCH($A35,INDEX(Clay_Brands!$A$2:$FZ$601,0,Sync!$D$5),0),""),"")</f>
        <v/>
      </c>
      <c r="CN35" s="23" t="str">
        <f aca="false">IF(CM35="","",IFERROR(INDEX(Clay_Brands!$A$2:$FZ$601,CM35,Sync!$D$7)&amp;"",""))</f>
        <v/>
      </c>
      <c r="CO35" s="23" t="str">
        <f aca="false">IF(CN35="","",IFERROR(INDEX(Lists!$K$2:$K$15,MATCH(CN35,Lists!$J$2:$J$15,0)),""))</f>
        <v/>
      </c>
      <c r="CP35" s="23" t="str">
        <f aca="false">IF(CM35="","",IFERROR(INDEX(Clay_Brands!$A$2:$FZ$601,CM35,Sync!$D$17)&amp;"",""))</f>
        <v/>
      </c>
      <c r="CQ35" s="35" t="str">
        <f aca="false">IF(CM35="","",IFERROR(N(INDEX(Clay_Brands!$A$2:$FZ$601,CM35,Sync!$D$16)),0))</f>
        <v/>
      </c>
      <c r="CR35" s="23" t="n">
        <f aca="false">IF(AND(AY35=1,OR(O35="N",AND(OR(ISNUMBER(R35),ISNUMBER(V35)),MAX(N(R35),N(V35))&lt;Config!$B$14))),1,0)</f>
        <v>0</v>
      </c>
      <c r="CS35" s="23" t="n">
        <f aca="false">IF(OR(BB35=1,CR35=1),1,0)</f>
        <v>0</v>
      </c>
      <c r="CT35" s="23" t="n">
        <f aca="false">IF(AND(AY35=1,OR(AN35="Y",AN35="N",AN35="maybe")),1,0)</f>
        <v>0</v>
      </c>
      <c r="CU35" s="23" t="n">
        <f aca="false">IF(AND(CT35=1),IF(COUNTIFS($A$2:$A$201,$A35,$CT$2:$CT$201,1,$H$2:$H$201,"&gt;"&amp;H35)+COUNTIFS($A$2:$A$201,$A35,$CT$2:$CT$201,1,$H$2:$H$201,H35,$AX$2:$AX$201,"&gt;"&amp;AX35)=0,1,0),0)</f>
        <v>0</v>
      </c>
      <c r="CV35" s="23" t="n">
        <f aca="false">IF(AND(CS35=1,INT(N(H35))&lt;=Config!$B$6),IF(COUNTIFS($AW$2:$AW$201,AW35,$CS$2:$CS$201,1,$H$2:$H$201,"&gt;"&amp;H35,$H$2:$H$201,"&lt;"&amp;(Config!$B$6+1))+COUNTIFS($AW$2:$AW$201,AW35,$CS$2:$CS$201,1,$H$2:$H$201,H35,$AX$2:$AX$201,"&gt;"&amp;AX35)=0,1,0),0)</f>
        <v>0</v>
      </c>
      <c r="CW35" s="23" t="n">
        <f aca="false">IF(AND(CS35=1,INT(N(H35))&lt;=Config!$B$7),IF(COUNTIFS($AW$2:$AW$201,AW35,$CS$2:$CS$201,1,$H$2:$H$201,"&gt;"&amp;H35,$H$2:$H$201,"&lt;"&amp;(Config!$B$7+1))+COUNTIFS($AW$2:$AW$201,AW35,$CS$2:$CS$201,1,$H$2:$H$201,H35,$AX$2:$AX$201,"&gt;"&amp;AX35)=0,1,0),0)</f>
        <v>0</v>
      </c>
      <c r="CX35" s="23" t="n">
        <f aca="false">IF(AND(CS35=1,INT(N(H35))&lt;=Config!$B$8),IF(COUNTIFS($AW$2:$AW$201,AW35,$CS$2:$CS$201,1,$H$2:$H$201,"&gt;"&amp;H35,$H$2:$H$201,"&lt;"&amp;(Config!$B$8+1))+COUNTIFS($AW$2:$AW$201,AW35,$CS$2:$CS$201,1,$H$2:$H$201,H35,$AX$2:$AX$201,"&gt;"&amp;AX35)=0,1,0),0)</f>
        <v>0</v>
      </c>
      <c r="CY35" s="23" t="n">
        <f aca="false">IF(AND(CS35=1,INT(N(H35))&lt;=Config!$B$5),IF(COUNTIFS($AW$2:$AW$201,AW35,$CS$2:$CS$201,1,$H$2:$H$201,"&gt;"&amp;H35,$H$2:$H$201,"&lt;"&amp;(Config!$B$5+1))+COUNTIFS($AW$2:$AW$201,AW35,$CS$2:$CS$201,1,$H$2:$H$201,H35,$AX$2:$AX$201,"&gt;"&amp;AX35)=0,1,0),0)</f>
        <v>0</v>
      </c>
      <c r="CZ35" s="23" t="n">
        <f aca="false">IF(AY35=1,IF(COUNTIFS($AW$2:$AW$201,AW35,$CV$2:$CV$201,1,$BB$2:$BB$201,1)&gt;0,1,0),0)</f>
        <v>0</v>
      </c>
      <c r="DA35" s="23" t="n">
        <f aca="false">IF(AY35=1,IF(COUNTIFS($AW$2:$AW$201,AW35,$CW$2:$CW$201,1,$BB$2:$BB$201,1)&gt;0,1,0),0)</f>
        <v>0</v>
      </c>
      <c r="DB35" s="23" t="n">
        <f aca="false">IF(AY35=1,IF(COUNTIFS($AW$2:$AW$201,AW35,$CX$2:$CX$201,1,$BB$2:$BB$201,1)&gt;0,1,0),0)</f>
        <v>0</v>
      </c>
      <c r="DC35" s="23" t="n">
        <f aca="false">IF(AY35=1,IF(COUNTIFS($AW$2:$AW$201,AW35,$CY$2:$CY$201,1,$BB$2:$BB$201,1)&gt;0,1,0),0)</f>
        <v>0</v>
      </c>
      <c r="DD35" s="23" t="n">
        <f aca="false">IF(AND(BC35=1,INT(N(H35))&lt;=Config!$B$6,CZ35=1),1,0)</f>
        <v>0</v>
      </c>
      <c r="DE35" s="23" t="n">
        <f aca="false">IF(AND(BC35=1,INT(N(H35))&lt;=Config!$B$7,DA35=1),1,0)</f>
        <v>0</v>
      </c>
      <c r="DF35" s="23" t="n">
        <f aca="false">IF(AND(BC35=1,INT(N(H35))&lt;=Config!$B$8,DB35=1),1,0)</f>
        <v>0</v>
      </c>
      <c r="DG35" s="23" t="n">
        <f aca="false">IF(AND(BC35=1,INT(N(H35))&lt;=Config!$B$5,DC35=1),1,0)</f>
        <v>0</v>
      </c>
      <c r="DH35" s="23" t="n">
        <f aca="false">IF(AND(BE35=1,INT(N(H35))&lt;=Config!$B$6,CZ35=1),1,0)</f>
        <v>0</v>
      </c>
      <c r="DI35" s="23" t="n">
        <f aca="false">IF(AND(BE35=1,INT(N(H35))&lt;=Config!$B$7,DA35=1),1,0)</f>
        <v>0</v>
      </c>
      <c r="DJ35" s="23" t="n">
        <f aca="false">IF(AND(BE35=1,INT(N(H35))&lt;=Config!$B$8,DB35=1),1,0)</f>
        <v>0</v>
      </c>
      <c r="DK35" s="23" t="n">
        <f aca="false">IF(AND(BE35=1,INT(N(H35))&lt;=Config!$B$5,DC35=1),1,0)</f>
        <v>0</v>
      </c>
      <c r="DL35" s="23" t="n">
        <f aca="false">IF(AND(BC35=1,INT(N(H35))&lt;=Config!$B$6,CZ35=0),1,0)</f>
        <v>0</v>
      </c>
      <c r="DM35" s="23" t="n">
        <f aca="false">IF(AND(BC35=1,INT(N(H35))&lt;=Config!$B$7,DA35=0),1,0)</f>
        <v>0</v>
      </c>
      <c r="DN35" s="23" t="n">
        <f aca="false">IF(AND(BC35=1,INT(N(H35))&lt;=Config!$B$8,DB35=0),1,0)</f>
        <v>0</v>
      </c>
      <c r="DO35" s="23" t="n">
        <f aca="false">IF(AND(BC35=1,INT(N(H35))&lt;=Config!$B$5,DC35=0),1,0)</f>
        <v>0</v>
      </c>
      <c r="DP35" s="23" t="n">
        <f aca="false">IF(TRIM($A35)="",0,ISTEXT(K35)+ISTEXT(L35)+ISTEXT(R35)+ISTEXT(V35)+ISTEXT(AP35)+ISTEXT(AS35))</f>
        <v>0</v>
      </c>
      <c r="DQ35" s="23" t="n">
        <f aca="false">IF(AY35=1,IF(H35&lt;&gt;INT(H35),1,0),0)</f>
        <v>0</v>
      </c>
      <c r="DR35" s="23" t="str">
        <f aca="false">IF(TRIM($A35)="","",IF(TRIM(B35)="",SUBSTITUTE(SUBSTITUTE(SUBSTITUTE(SUBSTITUTE(SUBSTITUTE(SUBSTITUTE(LOWER(TRIM($A35)),"~",""),"*",""),"?",""),"&lt;",""),"&gt;",""),"=",""),SUBSTITUTE(SUBSTITUTE(SUBSTITUTE(SUBSTITUTE(SUBSTITUTE(SUBSTITUTE(LOWER(TRIM(B35)),"~",""),"*",""),"?",""),"&lt;",""),"&gt;",""),"=","")))</f>
        <v/>
      </c>
      <c r="DS35" s="23" t="str">
        <f aca="false">IF(CM35="","",IFERROR(IF(LEFT(LOWER(TRIM(INDEX(Clay_Brands!$A$2:$FZ$601,CM35,Sync!$D$19)&amp;"")),4)="grp-",SUBSTITUTE(SUBSTITUTE(SUBSTITUTE(SUBSTITUTE(SUBSTITUTE(SUBSTITUTE(LOWER(TRIM(INDEX(Clay_Brands!$A$2:$FZ$601,CM35,Sync!$D$19)&amp;"")),"~",""),"*",""),"?",""),"&lt;",""),"&gt;",""),"=",""),""),""))</f>
        <v/>
      </c>
      <c r="DT35" s="23" t="str">
        <f aca="false">IF(DS35&lt;&gt;"",DR35,"")</f>
        <v/>
      </c>
      <c r="DU35" s="23" t="str">
        <f aca="false">IF(AZ35=1,AW35,"")</f>
        <v/>
      </c>
      <c r="DV35" s="23" t="str">
        <f aca="false">IF(TRIM($A35)="","",IFERROR(INDEX($A$2:$A$201,MATCH(AW35,$DU$2:$DU$201,0))&amp;"",$A35&amp;""))</f>
        <v/>
      </c>
      <c r="DW35" s="23" t="n">
        <f aca="false">IF(AY35=1,IF(COUNTIFS($A$2:$A$201,$A35,$AY$2:$AY$201,1,$H$2:$H$201,"&lt;"&amp;H35)+COUNTIFS($A$2:$A$201,$A35,$AY$2:$AY$201,1,$H$2:$H$201,H35,$AX$2:$AX$201,"&lt;"&amp;AX35)=0,1,0),0)</f>
        <v>0</v>
      </c>
      <c r="DX35" s="23" t="n">
        <f aca="false">IF(AZ35=1,IF(COUNTIFS($AW$2:$AW$201,AW35,$DW$2:$DW$201,1)&gt;1,1,0),0)</f>
        <v>0</v>
      </c>
    </row>
    <row r="36" customFormat="false" ht="15" hidden="false" customHeight="false" outlineLevel="0" collapsed="false">
      <c r="G36" s="32"/>
      <c r="H36" s="33"/>
      <c r="I36" s="32"/>
      <c r="O36" s="32"/>
      <c r="P36" s="32"/>
      <c r="U36" s="32"/>
      <c r="Y36" s="32"/>
      <c r="AB36" s="32"/>
      <c r="AC36" s="32"/>
      <c r="AD36" s="32"/>
      <c r="AE36" s="32"/>
      <c r="AF36" s="32"/>
      <c r="AG36" s="32"/>
      <c r="AI36" s="32"/>
      <c r="AJ36" s="32"/>
      <c r="AK36" s="32"/>
      <c r="AN36" s="32"/>
      <c r="AO36" s="32"/>
      <c r="AR36" s="32"/>
      <c r="AT36" s="32"/>
      <c r="AV36" s="34" t="str">
        <f aca="false">IF(TRIM($A36)="","",IF(AND(LEFT($A36,6)="SAMPLE",Config!$B$19&lt;&gt;"Y"),"",IF(NOT(ISNUMBER(H36)),"call_date is blank or not a date",IF(Sync!$D$5="","Clay paste is empty or has no row_id column: paste the Clay export on Clay_Brands",IF(CM36="","row_id not found in the Clay paste: add the Clay row or fix the row_id",IF(AND(ISNUMBER(CO36),CO36&gt;=1,CO36&lt;=5),"Clay status is "&amp;CN36&amp;": set call_done or later",IF(AND(BA36=1,CP36&lt;&gt;CB36),"Clay yes_in_principle should be "&amp;CB36,IF(AND(BA36=1,CQ36&lt;&gt;H36),"Clay call_date should be "&amp;TEXT(H36,"yyyy-mm-dd"),""))))))))</f>
        <v/>
      </c>
      <c r="AW36" s="23" t="str">
        <f aca="false">IF(TRIM($A36)="","",IF(TRIM(C36)&lt;&gt;"",SUBSTITUTE(SUBSTITUTE(SUBSTITUTE(SUBSTITUTE(SUBSTITUTE(SUBSTITUTE(LOWER(TRIM(C36)),"~",""),"*",""),"?",""),"&lt;",""),"&gt;",""),"=",""),IF(DS36&lt;&gt;"",DS36,IFERROR(INDEX($DS$2:$DS$201,MATCH(DR36,$DT$2:$DT$201,0)),DR36))))</f>
        <v/>
      </c>
      <c r="AX36" s="23" t="n">
        <f aca="false">ROW()</f>
        <v>36</v>
      </c>
      <c r="AY36" s="23" t="n">
        <f aca="false">IF(AND(TRIM($A36)&lt;&gt;"",ISNUMBER(H36)),IF(AND(LEFT($A36,6)="SAMPLE",Config!$B$19&lt;&gt;"Y"),0,1),0)</f>
        <v>0</v>
      </c>
      <c r="AZ36" s="23" t="n">
        <f aca="false">IF(AY36=1,IF(COUNTIFS($AW$2:$AW$201,AW36,$AY$2:$AY$201,1,$H$2:$H$201,"&lt;"&amp;H36)+COUNTIFS($AW$2:$AW$201,AW36,$AY$2:$AY$201,1,$H$2:$H$201,H36,$AX$2:$AX$201,"&lt;"&amp;AX36)=0,1,0),0)</f>
        <v>0</v>
      </c>
      <c r="BA36" s="23" t="n">
        <f aca="false">IF(AY36=1,IF(COUNTIFS($A$2:$A$201,$A36,$AY$2:$AY$201,1,$H$2:$H$201,"&gt;"&amp;H36)+COUNTIFS($A$2:$A$201,$A36,$AY$2:$AY$201,1,$H$2:$H$201,H36,$AX$2:$AX$201,"&gt;"&amp;AX36)=0,1,0),0)</f>
        <v>0</v>
      </c>
      <c r="BB36" s="23" t="n">
        <f aca="false">IF(AND(AY36=1,O36="Y",MAX(N(R36),N(V36))&gt;=Config!$B$14),1,0)</f>
        <v>0</v>
      </c>
      <c r="BC36" s="23" t="n">
        <f aca="false">IF(BB36=1,IF(COUNTIFS($AW$2:$AW$201,AW36,$BB$2:$BB$201,1,$H$2:$H$201,"&lt;"&amp;H36)+COUNTIFS($AW$2:$AW$201,AW36,$BB$2:$BB$201,1,$H$2:$H$201,H36,$AX$2:$AX$201,"&lt;"&amp;AX36)=0,1,0),0)</f>
        <v>0</v>
      </c>
      <c r="BD36" s="23" t="n">
        <f aca="false">IF(AND(AY36=1,O36="Y",ISNUMBER(R36)),IF(R36&gt;=Config!$B$14,1,0),0)</f>
        <v>0</v>
      </c>
      <c r="BE36" s="23" t="n">
        <f aca="false">IF(BD36=1,IF(COUNTIFS($AW$2:$AW$201,AW36,$BD$2:$BD$201,1,$H$2:$H$201,"&lt;"&amp;H36)+COUNTIFS($AW$2:$AW$201,AW36,$BD$2:$BD$201,1,$H$2:$H$201,H36,$AX$2:$AX$201,"&lt;"&amp;AX36)=0,1,0),0)</f>
        <v>0</v>
      </c>
      <c r="BF36" s="23" t="n">
        <f aca="false">IF(AND(AY36=1,O36&lt;&gt;"Y",MAX(N(R36),N(V36))&gt;=Config!$B$14),1,0)</f>
        <v>0</v>
      </c>
      <c r="BG36" s="23" t="n">
        <f aca="false">IF(BF36=1,IF(COUNTIFS($AW$2:$AW$201,AW36,$BF$2:$BF$201,1,$H$2:$H$201,"&lt;"&amp;H36)+COUNTIFS($AW$2:$AW$201,AW36,$BF$2:$BF$201,1,$H$2:$H$201,H36,$AX$2:$AX$201,"&lt;"&amp;AX36)=0,1,0),0)</f>
        <v>0</v>
      </c>
      <c r="BH36" s="23" t="n">
        <f aca="false">IF(AND(AY36=1,ISNUMBER(R36)),1,0)</f>
        <v>0</v>
      </c>
      <c r="BI36" s="23" t="n">
        <f aca="false">IF(BH36=1,IF(COUNTIFS($AW$2:$AW$201,AW36,$BH$2:$BH$201,1,$H$2:$H$201,"&lt;"&amp;H36)+COUNTIFS($AW$2:$AW$201,AW36,$BH$2:$BH$201,1,$H$2:$H$201,H36,$AX$2:$AX$201,"&lt;"&amp;AX36)=0,1,0),0)</f>
        <v>0</v>
      </c>
      <c r="BJ36" s="23" t="str">
        <f aca="false">IF(AND(BI36=1,INT(N(H36))&lt;=Config!$B$6),R36,"")</f>
        <v/>
      </c>
      <c r="BK36" s="23" t="str">
        <f aca="false">IF(AND(BI36=1,INT(N(H36))&lt;=Config!$B$7),R36,"")</f>
        <v/>
      </c>
      <c r="BL36" s="23" t="str">
        <f aca="false">IF(AND(BI36=1,INT(N(H36))&lt;=Config!$B$8),R36,"")</f>
        <v/>
      </c>
      <c r="BM36" s="23" t="str">
        <f aca="false">IF(AND(BI36=1,INT(N(H36))&lt;=Config!$B$5),R36,"")</f>
        <v/>
      </c>
      <c r="BN36" s="23" t="n">
        <f aca="false">IF(AND(AY36=1,ISNUMBER(V36)),1,0)</f>
        <v>0</v>
      </c>
      <c r="BO36" s="23" t="n">
        <f aca="false">IF(BN36=1,IF(COUNTIFS($AW$2:$AW$201,AW36,$BN$2:$BN$201,1,$H$2:$H$201,"&lt;"&amp;H36)+COUNTIFS($AW$2:$AW$201,AW36,$BN$2:$BN$201,1,$H$2:$H$201,H36,$AX$2:$AX$201,"&lt;"&amp;AX36)=0,1,0),0)</f>
        <v>0</v>
      </c>
      <c r="BP36" s="23" t="str">
        <f aca="false">IF(AND(BO36=1,INT(N(H36))&lt;=Config!$B$6),V36,"")</f>
        <v/>
      </c>
      <c r="BQ36" s="23" t="str">
        <f aca="false">IF(AND(BO36=1,INT(N(H36))&lt;=Config!$B$7),V36,"")</f>
        <v/>
      </c>
      <c r="BR36" s="23" t="str">
        <f aca="false">IF(AND(BO36=1,INT(N(H36))&lt;=Config!$B$8),V36,"")</f>
        <v/>
      </c>
      <c r="BS36" s="23" t="str">
        <f aca="false">IF(AND(BO36=1,INT(N(H36))&lt;=Config!$B$5),V36,"")</f>
        <v/>
      </c>
      <c r="BT36" s="23" t="n">
        <f aca="false">IF(AND(AY36=1,ISNUMBER(K36)),1,0)</f>
        <v>0</v>
      </c>
      <c r="BU36" s="23" t="n">
        <f aca="false">IF(BT36=1,IF(COUNTIFS($AW$2:$AW$201,AW36,$BT$2:$BT$201,1,$H$2:$H$201,"&lt;"&amp;H36)+COUNTIFS($AW$2:$AW$201,AW36,$BT$2:$BT$201,1,$H$2:$H$201,H36,$AX$2:$AX$201,"&lt;"&amp;AX36)=0,1,0),0)</f>
        <v>0</v>
      </c>
      <c r="BV36" s="23" t="str">
        <f aca="false">IF(AND(BU36=1,INT(N(H36))&lt;=Config!$B$5),K36,"")</f>
        <v/>
      </c>
      <c r="BW36" s="23" t="n">
        <f aca="false">IF(AND(AY36=1,OR(AND(ISNUMBER(R36),TRIM(S36)=""),AND(ISNUMBER(V36),TRIM(W36)=""))),1,0)</f>
        <v>0</v>
      </c>
      <c r="BX36" s="23" t="str">
        <f aca="false">IF(AY36=1,AJ36&amp;"","")</f>
        <v/>
      </c>
      <c r="BY36" s="23" t="str">
        <f aca="false">IF(AY36=1,AK36&amp;"","")</f>
        <v/>
      </c>
      <c r="BZ36" s="23" t="str">
        <f aca="false">IF(AY36=1,AL36&amp;"","")</f>
        <v/>
      </c>
      <c r="CA36" s="23" t="str">
        <f aca="false">IF(AND(AY36=1,ISNUMBER(AS36),INT(N(H36))&lt;=Config!$B$5),AS36,"")</f>
        <v/>
      </c>
      <c r="CB36" s="23" t="str">
        <f aca="false">IF(AY36=1,IF(COUNTIFS($A$2:$A$201,$A36,$CU$2:$CU$201,1,$AN$2:$AN$201,"Y")&gt;0,"Y","N"),"")</f>
        <v/>
      </c>
      <c r="CC36" s="23" t="n">
        <f aca="false">IF(AND(AY36=1,AN36="Y"),IF(COUNTIFS($AW$2:$AW$201,AW36,$AN$2:$AN$201,"Y",$AY$2:$AY$201,1,$H$2:$H$201,"&lt;"&amp;H36)+COUNTIFS($AW$2:$AW$201,AW36,$AN$2:$AN$201,"Y",$AY$2:$AY$201,1,$H$2:$H$201,H36,$AX$2:$AX$201,"&lt;"&amp;AX36)=0,1,0),0)</f>
        <v>0</v>
      </c>
      <c r="CD36" s="23" t="n">
        <f aca="false">IF(AND(AY36=1,AB36="Y",AC36="Y",AD36="Y",AE36="Y",AF36="Y",AG36="Y",AI36="Y",TRIM(AH36)&lt;&gt;""),1,0)</f>
        <v>0</v>
      </c>
      <c r="CE36" s="23" t="n">
        <f aca="false">IF(CD36=1,IF(COUNTIFS($AW$2:$AW$201,AW36,$CD$2:$CD$201,1,$H$2:$H$201,"&lt;"&amp;H36)+COUNTIFS($AW$2:$AW$201,AW36,$CD$2:$CD$201,1,$H$2:$H$201,H36,$AX$2:$AX$201,"&lt;"&amp;AX36)=0,1,0),0)</f>
        <v>0</v>
      </c>
      <c r="CF36" s="23" t="n">
        <f aca="false">IF(AND(AY36=1,AO36="Y"),1,0)</f>
        <v>0</v>
      </c>
      <c r="CG36" s="23" t="n">
        <f aca="false">IF(CF36=1,IF(COUNTIFS($AW$2:$AW$201,AW36,$CF$2:$CF$201,1,$H$2:$H$201,"&lt;"&amp;H36)+COUNTIFS($AW$2:$AW$201,AW36,$CF$2:$CF$201,1,$H$2:$H$201,H36,$AX$2:$AX$201,"&lt;"&amp;AX36)=0,1,0),0)</f>
        <v>0</v>
      </c>
      <c r="CH36" s="23" t="n">
        <f aca="false">IF(AND(AY36=1,P36="Y"),1,0)</f>
        <v>0</v>
      </c>
      <c r="CI36" s="23" t="n">
        <f aca="false">IF(CH36=1,IF(COUNTIFS($AW$2:$AW$201,AW36,$CH$2:$CH$201,1,$H$2:$H$201,"&lt;"&amp;H36)+COUNTIFS($AW$2:$AW$201,AW36,$CH$2:$CH$201,1,$H$2:$H$201,H36,$AX$2:$AX$201,"&lt;"&amp;AX36)=0,1,0),0)</f>
        <v>0</v>
      </c>
      <c r="CJ36" s="23" t="str">
        <f aca="false">IF(AND(BU36=1,INT(N(H36))&lt;=Config!$B$5),L36,"")</f>
        <v/>
      </c>
      <c r="CK36" s="23" t="n">
        <f aca="false">IF(AND(AY36=1,AR36="Y"),1,0)</f>
        <v>0</v>
      </c>
      <c r="CL36" s="23" t="n">
        <f aca="false">IF(CK36=1,IF(COUNTIFS($AW$2:$AW$201,AW36,$CK$2:$CK$201,1,$H$2:$H$201,"&lt;"&amp;H36)+COUNTIFS($AW$2:$AW$201,AW36,$CK$2:$CK$201,1,$H$2:$H$201,H36,$AX$2:$AX$201,"&lt;"&amp;AX36)=0,1,0),0)</f>
        <v>0</v>
      </c>
      <c r="CM36" s="23" t="str">
        <f aca="false">IF(AY36=1,IFERROR(MATCH($A36,INDEX(Clay_Brands!$A$2:$FZ$601,0,Sync!$D$5),0),""),"")</f>
        <v/>
      </c>
      <c r="CN36" s="23" t="str">
        <f aca="false">IF(CM36="","",IFERROR(INDEX(Clay_Brands!$A$2:$FZ$601,CM36,Sync!$D$7)&amp;"",""))</f>
        <v/>
      </c>
      <c r="CO36" s="23" t="str">
        <f aca="false">IF(CN36="","",IFERROR(INDEX(Lists!$K$2:$K$15,MATCH(CN36,Lists!$J$2:$J$15,0)),""))</f>
        <v/>
      </c>
      <c r="CP36" s="23" t="str">
        <f aca="false">IF(CM36="","",IFERROR(INDEX(Clay_Brands!$A$2:$FZ$601,CM36,Sync!$D$17)&amp;"",""))</f>
        <v/>
      </c>
      <c r="CQ36" s="35" t="str">
        <f aca="false">IF(CM36="","",IFERROR(N(INDEX(Clay_Brands!$A$2:$FZ$601,CM36,Sync!$D$16)),0))</f>
        <v/>
      </c>
      <c r="CR36" s="23" t="n">
        <f aca="false">IF(AND(AY36=1,OR(O36="N",AND(OR(ISNUMBER(R36),ISNUMBER(V36)),MAX(N(R36),N(V36))&lt;Config!$B$14))),1,0)</f>
        <v>0</v>
      </c>
      <c r="CS36" s="23" t="n">
        <f aca="false">IF(OR(BB36=1,CR36=1),1,0)</f>
        <v>0</v>
      </c>
      <c r="CT36" s="23" t="n">
        <f aca="false">IF(AND(AY36=1,OR(AN36="Y",AN36="N",AN36="maybe")),1,0)</f>
        <v>0</v>
      </c>
      <c r="CU36" s="23" t="n">
        <f aca="false">IF(AND(CT36=1),IF(COUNTIFS($A$2:$A$201,$A36,$CT$2:$CT$201,1,$H$2:$H$201,"&gt;"&amp;H36)+COUNTIFS($A$2:$A$201,$A36,$CT$2:$CT$201,1,$H$2:$H$201,H36,$AX$2:$AX$201,"&gt;"&amp;AX36)=0,1,0),0)</f>
        <v>0</v>
      </c>
      <c r="CV36" s="23" t="n">
        <f aca="false">IF(AND(CS36=1,INT(N(H36))&lt;=Config!$B$6),IF(COUNTIFS($AW$2:$AW$201,AW36,$CS$2:$CS$201,1,$H$2:$H$201,"&gt;"&amp;H36,$H$2:$H$201,"&lt;"&amp;(Config!$B$6+1))+COUNTIFS($AW$2:$AW$201,AW36,$CS$2:$CS$201,1,$H$2:$H$201,H36,$AX$2:$AX$201,"&gt;"&amp;AX36)=0,1,0),0)</f>
        <v>0</v>
      </c>
      <c r="CW36" s="23" t="n">
        <f aca="false">IF(AND(CS36=1,INT(N(H36))&lt;=Config!$B$7),IF(COUNTIFS($AW$2:$AW$201,AW36,$CS$2:$CS$201,1,$H$2:$H$201,"&gt;"&amp;H36,$H$2:$H$201,"&lt;"&amp;(Config!$B$7+1))+COUNTIFS($AW$2:$AW$201,AW36,$CS$2:$CS$201,1,$H$2:$H$201,H36,$AX$2:$AX$201,"&gt;"&amp;AX36)=0,1,0),0)</f>
        <v>0</v>
      </c>
      <c r="CX36" s="23" t="n">
        <f aca="false">IF(AND(CS36=1,INT(N(H36))&lt;=Config!$B$8),IF(COUNTIFS($AW$2:$AW$201,AW36,$CS$2:$CS$201,1,$H$2:$H$201,"&gt;"&amp;H36,$H$2:$H$201,"&lt;"&amp;(Config!$B$8+1))+COUNTIFS($AW$2:$AW$201,AW36,$CS$2:$CS$201,1,$H$2:$H$201,H36,$AX$2:$AX$201,"&gt;"&amp;AX36)=0,1,0),0)</f>
        <v>0</v>
      </c>
      <c r="CY36" s="23" t="n">
        <f aca="false">IF(AND(CS36=1,INT(N(H36))&lt;=Config!$B$5),IF(COUNTIFS($AW$2:$AW$201,AW36,$CS$2:$CS$201,1,$H$2:$H$201,"&gt;"&amp;H36,$H$2:$H$201,"&lt;"&amp;(Config!$B$5+1))+COUNTIFS($AW$2:$AW$201,AW36,$CS$2:$CS$201,1,$H$2:$H$201,H36,$AX$2:$AX$201,"&gt;"&amp;AX36)=0,1,0),0)</f>
        <v>0</v>
      </c>
      <c r="CZ36" s="23" t="n">
        <f aca="false">IF(AY36=1,IF(COUNTIFS($AW$2:$AW$201,AW36,$CV$2:$CV$201,1,$BB$2:$BB$201,1)&gt;0,1,0),0)</f>
        <v>0</v>
      </c>
      <c r="DA36" s="23" t="n">
        <f aca="false">IF(AY36=1,IF(COUNTIFS($AW$2:$AW$201,AW36,$CW$2:$CW$201,1,$BB$2:$BB$201,1)&gt;0,1,0),0)</f>
        <v>0</v>
      </c>
      <c r="DB36" s="23" t="n">
        <f aca="false">IF(AY36=1,IF(COUNTIFS($AW$2:$AW$201,AW36,$CX$2:$CX$201,1,$BB$2:$BB$201,1)&gt;0,1,0),0)</f>
        <v>0</v>
      </c>
      <c r="DC36" s="23" t="n">
        <f aca="false">IF(AY36=1,IF(COUNTIFS($AW$2:$AW$201,AW36,$CY$2:$CY$201,1,$BB$2:$BB$201,1)&gt;0,1,0),0)</f>
        <v>0</v>
      </c>
      <c r="DD36" s="23" t="n">
        <f aca="false">IF(AND(BC36=1,INT(N(H36))&lt;=Config!$B$6,CZ36=1),1,0)</f>
        <v>0</v>
      </c>
      <c r="DE36" s="23" t="n">
        <f aca="false">IF(AND(BC36=1,INT(N(H36))&lt;=Config!$B$7,DA36=1),1,0)</f>
        <v>0</v>
      </c>
      <c r="DF36" s="23" t="n">
        <f aca="false">IF(AND(BC36=1,INT(N(H36))&lt;=Config!$B$8,DB36=1),1,0)</f>
        <v>0</v>
      </c>
      <c r="DG36" s="23" t="n">
        <f aca="false">IF(AND(BC36=1,INT(N(H36))&lt;=Config!$B$5,DC36=1),1,0)</f>
        <v>0</v>
      </c>
      <c r="DH36" s="23" t="n">
        <f aca="false">IF(AND(BE36=1,INT(N(H36))&lt;=Config!$B$6,CZ36=1),1,0)</f>
        <v>0</v>
      </c>
      <c r="DI36" s="23" t="n">
        <f aca="false">IF(AND(BE36=1,INT(N(H36))&lt;=Config!$B$7,DA36=1),1,0)</f>
        <v>0</v>
      </c>
      <c r="DJ36" s="23" t="n">
        <f aca="false">IF(AND(BE36=1,INT(N(H36))&lt;=Config!$B$8,DB36=1),1,0)</f>
        <v>0</v>
      </c>
      <c r="DK36" s="23" t="n">
        <f aca="false">IF(AND(BE36=1,INT(N(H36))&lt;=Config!$B$5,DC36=1),1,0)</f>
        <v>0</v>
      </c>
      <c r="DL36" s="23" t="n">
        <f aca="false">IF(AND(BC36=1,INT(N(H36))&lt;=Config!$B$6,CZ36=0),1,0)</f>
        <v>0</v>
      </c>
      <c r="DM36" s="23" t="n">
        <f aca="false">IF(AND(BC36=1,INT(N(H36))&lt;=Config!$B$7,DA36=0),1,0)</f>
        <v>0</v>
      </c>
      <c r="DN36" s="23" t="n">
        <f aca="false">IF(AND(BC36=1,INT(N(H36))&lt;=Config!$B$8,DB36=0),1,0)</f>
        <v>0</v>
      </c>
      <c r="DO36" s="23" t="n">
        <f aca="false">IF(AND(BC36=1,INT(N(H36))&lt;=Config!$B$5,DC36=0),1,0)</f>
        <v>0</v>
      </c>
      <c r="DP36" s="23" t="n">
        <f aca="false">IF(TRIM($A36)="",0,ISTEXT(K36)+ISTEXT(L36)+ISTEXT(R36)+ISTEXT(V36)+ISTEXT(AP36)+ISTEXT(AS36))</f>
        <v>0</v>
      </c>
      <c r="DQ36" s="23" t="n">
        <f aca="false">IF(AY36=1,IF(H36&lt;&gt;INT(H36),1,0),0)</f>
        <v>0</v>
      </c>
      <c r="DR36" s="23" t="str">
        <f aca="false">IF(TRIM($A36)="","",IF(TRIM(B36)="",SUBSTITUTE(SUBSTITUTE(SUBSTITUTE(SUBSTITUTE(SUBSTITUTE(SUBSTITUTE(LOWER(TRIM($A36)),"~",""),"*",""),"?",""),"&lt;",""),"&gt;",""),"=",""),SUBSTITUTE(SUBSTITUTE(SUBSTITUTE(SUBSTITUTE(SUBSTITUTE(SUBSTITUTE(LOWER(TRIM(B36)),"~",""),"*",""),"?",""),"&lt;",""),"&gt;",""),"=","")))</f>
        <v/>
      </c>
      <c r="DS36" s="23" t="str">
        <f aca="false">IF(CM36="","",IFERROR(IF(LEFT(LOWER(TRIM(INDEX(Clay_Brands!$A$2:$FZ$601,CM36,Sync!$D$19)&amp;"")),4)="grp-",SUBSTITUTE(SUBSTITUTE(SUBSTITUTE(SUBSTITUTE(SUBSTITUTE(SUBSTITUTE(LOWER(TRIM(INDEX(Clay_Brands!$A$2:$FZ$601,CM36,Sync!$D$19)&amp;"")),"~",""),"*",""),"?",""),"&lt;",""),"&gt;",""),"=",""),""),""))</f>
        <v/>
      </c>
      <c r="DT36" s="23" t="str">
        <f aca="false">IF(DS36&lt;&gt;"",DR36,"")</f>
        <v/>
      </c>
      <c r="DU36" s="23" t="str">
        <f aca="false">IF(AZ36=1,AW36,"")</f>
        <v/>
      </c>
      <c r="DV36" s="23" t="str">
        <f aca="false">IF(TRIM($A36)="","",IFERROR(INDEX($A$2:$A$201,MATCH(AW36,$DU$2:$DU$201,0))&amp;"",$A36&amp;""))</f>
        <v/>
      </c>
      <c r="DW36" s="23" t="n">
        <f aca="false">IF(AY36=1,IF(COUNTIFS($A$2:$A$201,$A36,$AY$2:$AY$201,1,$H$2:$H$201,"&lt;"&amp;H36)+COUNTIFS($A$2:$A$201,$A36,$AY$2:$AY$201,1,$H$2:$H$201,H36,$AX$2:$AX$201,"&lt;"&amp;AX36)=0,1,0),0)</f>
        <v>0</v>
      </c>
      <c r="DX36" s="23" t="n">
        <f aca="false">IF(AZ36=1,IF(COUNTIFS($AW$2:$AW$201,AW36,$DW$2:$DW$201,1)&gt;1,1,0),0)</f>
        <v>0</v>
      </c>
    </row>
    <row r="37" customFormat="false" ht="15" hidden="false" customHeight="false" outlineLevel="0" collapsed="false">
      <c r="G37" s="32"/>
      <c r="H37" s="33"/>
      <c r="I37" s="32"/>
      <c r="O37" s="32"/>
      <c r="P37" s="32"/>
      <c r="U37" s="32"/>
      <c r="Y37" s="32"/>
      <c r="AB37" s="32"/>
      <c r="AC37" s="32"/>
      <c r="AD37" s="32"/>
      <c r="AE37" s="32"/>
      <c r="AF37" s="32"/>
      <c r="AG37" s="32"/>
      <c r="AI37" s="32"/>
      <c r="AJ37" s="32"/>
      <c r="AK37" s="32"/>
      <c r="AN37" s="32"/>
      <c r="AO37" s="32"/>
      <c r="AR37" s="32"/>
      <c r="AT37" s="32"/>
      <c r="AV37" s="34" t="str">
        <f aca="false">IF(TRIM($A37)="","",IF(AND(LEFT($A37,6)="SAMPLE",Config!$B$19&lt;&gt;"Y"),"",IF(NOT(ISNUMBER(H37)),"call_date is blank or not a date",IF(Sync!$D$5="","Clay paste is empty or has no row_id column: paste the Clay export on Clay_Brands",IF(CM37="","row_id not found in the Clay paste: add the Clay row or fix the row_id",IF(AND(ISNUMBER(CO37),CO37&gt;=1,CO37&lt;=5),"Clay status is "&amp;CN37&amp;": set call_done or later",IF(AND(BA37=1,CP37&lt;&gt;CB37),"Clay yes_in_principle should be "&amp;CB37,IF(AND(BA37=1,CQ37&lt;&gt;H37),"Clay call_date should be "&amp;TEXT(H37,"yyyy-mm-dd"),""))))))))</f>
        <v/>
      </c>
      <c r="AW37" s="23" t="str">
        <f aca="false">IF(TRIM($A37)="","",IF(TRIM(C37)&lt;&gt;"",SUBSTITUTE(SUBSTITUTE(SUBSTITUTE(SUBSTITUTE(SUBSTITUTE(SUBSTITUTE(LOWER(TRIM(C37)),"~",""),"*",""),"?",""),"&lt;",""),"&gt;",""),"=",""),IF(DS37&lt;&gt;"",DS37,IFERROR(INDEX($DS$2:$DS$201,MATCH(DR37,$DT$2:$DT$201,0)),DR37))))</f>
        <v/>
      </c>
      <c r="AX37" s="23" t="n">
        <f aca="false">ROW()</f>
        <v>37</v>
      </c>
      <c r="AY37" s="23" t="n">
        <f aca="false">IF(AND(TRIM($A37)&lt;&gt;"",ISNUMBER(H37)),IF(AND(LEFT($A37,6)="SAMPLE",Config!$B$19&lt;&gt;"Y"),0,1),0)</f>
        <v>0</v>
      </c>
      <c r="AZ37" s="23" t="n">
        <f aca="false">IF(AY37=1,IF(COUNTIFS($AW$2:$AW$201,AW37,$AY$2:$AY$201,1,$H$2:$H$201,"&lt;"&amp;H37)+COUNTIFS($AW$2:$AW$201,AW37,$AY$2:$AY$201,1,$H$2:$H$201,H37,$AX$2:$AX$201,"&lt;"&amp;AX37)=0,1,0),0)</f>
        <v>0</v>
      </c>
      <c r="BA37" s="23" t="n">
        <f aca="false">IF(AY37=1,IF(COUNTIFS($A$2:$A$201,$A37,$AY$2:$AY$201,1,$H$2:$H$201,"&gt;"&amp;H37)+COUNTIFS($A$2:$A$201,$A37,$AY$2:$AY$201,1,$H$2:$H$201,H37,$AX$2:$AX$201,"&gt;"&amp;AX37)=0,1,0),0)</f>
        <v>0</v>
      </c>
      <c r="BB37" s="23" t="n">
        <f aca="false">IF(AND(AY37=1,O37="Y",MAX(N(R37),N(V37))&gt;=Config!$B$14),1,0)</f>
        <v>0</v>
      </c>
      <c r="BC37" s="23" t="n">
        <f aca="false">IF(BB37=1,IF(COUNTIFS($AW$2:$AW$201,AW37,$BB$2:$BB$201,1,$H$2:$H$201,"&lt;"&amp;H37)+COUNTIFS($AW$2:$AW$201,AW37,$BB$2:$BB$201,1,$H$2:$H$201,H37,$AX$2:$AX$201,"&lt;"&amp;AX37)=0,1,0),0)</f>
        <v>0</v>
      </c>
      <c r="BD37" s="23" t="n">
        <f aca="false">IF(AND(AY37=1,O37="Y",ISNUMBER(R37)),IF(R37&gt;=Config!$B$14,1,0),0)</f>
        <v>0</v>
      </c>
      <c r="BE37" s="23" t="n">
        <f aca="false">IF(BD37=1,IF(COUNTIFS($AW$2:$AW$201,AW37,$BD$2:$BD$201,1,$H$2:$H$201,"&lt;"&amp;H37)+COUNTIFS($AW$2:$AW$201,AW37,$BD$2:$BD$201,1,$H$2:$H$201,H37,$AX$2:$AX$201,"&lt;"&amp;AX37)=0,1,0),0)</f>
        <v>0</v>
      </c>
      <c r="BF37" s="23" t="n">
        <f aca="false">IF(AND(AY37=1,O37&lt;&gt;"Y",MAX(N(R37),N(V37))&gt;=Config!$B$14),1,0)</f>
        <v>0</v>
      </c>
      <c r="BG37" s="23" t="n">
        <f aca="false">IF(BF37=1,IF(COUNTIFS($AW$2:$AW$201,AW37,$BF$2:$BF$201,1,$H$2:$H$201,"&lt;"&amp;H37)+COUNTIFS($AW$2:$AW$201,AW37,$BF$2:$BF$201,1,$H$2:$H$201,H37,$AX$2:$AX$201,"&lt;"&amp;AX37)=0,1,0),0)</f>
        <v>0</v>
      </c>
      <c r="BH37" s="23" t="n">
        <f aca="false">IF(AND(AY37=1,ISNUMBER(R37)),1,0)</f>
        <v>0</v>
      </c>
      <c r="BI37" s="23" t="n">
        <f aca="false">IF(BH37=1,IF(COUNTIFS($AW$2:$AW$201,AW37,$BH$2:$BH$201,1,$H$2:$H$201,"&lt;"&amp;H37)+COUNTIFS($AW$2:$AW$201,AW37,$BH$2:$BH$201,1,$H$2:$H$201,H37,$AX$2:$AX$201,"&lt;"&amp;AX37)=0,1,0),0)</f>
        <v>0</v>
      </c>
      <c r="BJ37" s="23" t="str">
        <f aca="false">IF(AND(BI37=1,INT(N(H37))&lt;=Config!$B$6),R37,"")</f>
        <v/>
      </c>
      <c r="BK37" s="23" t="str">
        <f aca="false">IF(AND(BI37=1,INT(N(H37))&lt;=Config!$B$7),R37,"")</f>
        <v/>
      </c>
      <c r="BL37" s="23" t="str">
        <f aca="false">IF(AND(BI37=1,INT(N(H37))&lt;=Config!$B$8),R37,"")</f>
        <v/>
      </c>
      <c r="BM37" s="23" t="str">
        <f aca="false">IF(AND(BI37=1,INT(N(H37))&lt;=Config!$B$5),R37,"")</f>
        <v/>
      </c>
      <c r="BN37" s="23" t="n">
        <f aca="false">IF(AND(AY37=1,ISNUMBER(V37)),1,0)</f>
        <v>0</v>
      </c>
      <c r="BO37" s="23" t="n">
        <f aca="false">IF(BN37=1,IF(COUNTIFS($AW$2:$AW$201,AW37,$BN$2:$BN$201,1,$H$2:$H$201,"&lt;"&amp;H37)+COUNTIFS($AW$2:$AW$201,AW37,$BN$2:$BN$201,1,$H$2:$H$201,H37,$AX$2:$AX$201,"&lt;"&amp;AX37)=0,1,0),0)</f>
        <v>0</v>
      </c>
      <c r="BP37" s="23" t="str">
        <f aca="false">IF(AND(BO37=1,INT(N(H37))&lt;=Config!$B$6),V37,"")</f>
        <v/>
      </c>
      <c r="BQ37" s="23" t="str">
        <f aca="false">IF(AND(BO37=1,INT(N(H37))&lt;=Config!$B$7),V37,"")</f>
        <v/>
      </c>
      <c r="BR37" s="23" t="str">
        <f aca="false">IF(AND(BO37=1,INT(N(H37))&lt;=Config!$B$8),V37,"")</f>
        <v/>
      </c>
      <c r="BS37" s="23" t="str">
        <f aca="false">IF(AND(BO37=1,INT(N(H37))&lt;=Config!$B$5),V37,"")</f>
        <v/>
      </c>
      <c r="BT37" s="23" t="n">
        <f aca="false">IF(AND(AY37=1,ISNUMBER(K37)),1,0)</f>
        <v>0</v>
      </c>
      <c r="BU37" s="23" t="n">
        <f aca="false">IF(BT37=1,IF(COUNTIFS($AW$2:$AW$201,AW37,$BT$2:$BT$201,1,$H$2:$H$201,"&lt;"&amp;H37)+COUNTIFS($AW$2:$AW$201,AW37,$BT$2:$BT$201,1,$H$2:$H$201,H37,$AX$2:$AX$201,"&lt;"&amp;AX37)=0,1,0),0)</f>
        <v>0</v>
      </c>
      <c r="BV37" s="23" t="str">
        <f aca="false">IF(AND(BU37=1,INT(N(H37))&lt;=Config!$B$5),K37,"")</f>
        <v/>
      </c>
      <c r="BW37" s="23" t="n">
        <f aca="false">IF(AND(AY37=1,OR(AND(ISNUMBER(R37),TRIM(S37)=""),AND(ISNUMBER(V37),TRIM(W37)=""))),1,0)</f>
        <v>0</v>
      </c>
      <c r="BX37" s="23" t="str">
        <f aca="false">IF(AY37=1,AJ37&amp;"","")</f>
        <v/>
      </c>
      <c r="BY37" s="23" t="str">
        <f aca="false">IF(AY37=1,AK37&amp;"","")</f>
        <v/>
      </c>
      <c r="BZ37" s="23" t="str">
        <f aca="false">IF(AY37=1,AL37&amp;"","")</f>
        <v/>
      </c>
      <c r="CA37" s="23" t="str">
        <f aca="false">IF(AND(AY37=1,ISNUMBER(AS37),INT(N(H37))&lt;=Config!$B$5),AS37,"")</f>
        <v/>
      </c>
      <c r="CB37" s="23" t="str">
        <f aca="false">IF(AY37=1,IF(COUNTIFS($A$2:$A$201,$A37,$CU$2:$CU$201,1,$AN$2:$AN$201,"Y")&gt;0,"Y","N"),"")</f>
        <v/>
      </c>
      <c r="CC37" s="23" t="n">
        <f aca="false">IF(AND(AY37=1,AN37="Y"),IF(COUNTIFS($AW$2:$AW$201,AW37,$AN$2:$AN$201,"Y",$AY$2:$AY$201,1,$H$2:$H$201,"&lt;"&amp;H37)+COUNTIFS($AW$2:$AW$201,AW37,$AN$2:$AN$201,"Y",$AY$2:$AY$201,1,$H$2:$H$201,H37,$AX$2:$AX$201,"&lt;"&amp;AX37)=0,1,0),0)</f>
        <v>0</v>
      </c>
      <c r="CD37" s="23" t="n">
        <f aca="false">IF(AND(AY37=1,AB37="Y",AC37="Y",AD37="Y",AE37="Y",AF37="Y",AG37="Y",AI37="Y",TRIM(AH37)&lt;&gt;""),1,0)</f>
        <v>0</v>
      </c>
      <c r="CE37" s="23" t="n">
        <f aca="false">IF(CD37=1,IF(COUNTIFS($AW$2:$AW$201,AW37,$CD$2:$CD$201,1,$H$2:$H$201,"&lt;"&amp;H37)+COUNTIFS($AW$2:$AW$201,AW37,$CD$2:$CD$201,1,$H$2:$H$201,H37,$AX$2:$AX$201,"&lt;"&amp;AX37)=0,1,0),0)</f>
        <v>0</v>
      </c>
      <c r="CF37" s="23" t="n">
        <f aca="false">IF(AND(AY37=1,AO37="Y"),1,0)</f>
        <v>0</v>
      </c>
      <c r="CG37" s="23" t="n">
        <f aca="false">IF(CF37=1,IF(COUNTIFS($AW$2:$AW$201,AW37,$CF$2:$CF$201,1,$H$2:$H$201,"&lt;"&amp;H37)+COUNTIFS($AW$2:$AW$201,AW37,$CF$2:$CF$201,1,$H$2:$H$201,H37,$AX$2:$AX$201,"&lt;"&amp;AX37)=0,1,0),0)</f>
        <v>0</v>
      </c>
      <c r="CH37" s="23" t="n">
        <f aca="false">IF(AND(AY37=1,P37="Y"),1,0)</f>
        <v>0</v>
      </c>
      <c r="CI37" s="23" t="n">
        <f aca="false">IF(CH37=1,IF(COUNTIFS($AW$2:$AW$201,AW37,$CH$2:$CH$201,1,$H$2:$H$201,"&lt;"&amp;H37)+COUNTIFS($AW$2:$AW$201,AW37,$CH$2:$CH$201,1,$H$2:$H$201,H37,$AX$2:$AX$201,"&lt;"&amp;AX37)=0,1,0),0)</f>
        <v>0</v>
      </c>
      <c r="CJ37" s="23" t="str">
        <f aca="false">IF(AND(BU37=1,INT(N(H37))&lt;=Config!$B$5),L37,"")</f>
        <v/>
      </c>
      <c r="CK37" s="23" t="n">
        <f aca="false">IF(AND(AY37=1,AR37="Y"),1,0)</f>
        <v>0</v>
      </c>
      <c r="CL37" s="23" t="n">
        <f aca="false">IF(CK37=1,IF(COUNTIFS($AW$2:$AW$201,AW37,$CK$2:$CK$201,1,$H$2:$H$201,"&lt;"&amp;H37)+COUNTIFS($AW$2:$AW$201,AW37,$CK$2:$CK$201,1,$H$2:$H$201,H37,$AX$2:$AX$201,"&lt;"&amp;AX37)=0,1,0),0)</f>
        <v>0</v>
      </c>
      <c r="CM37" s="23" t="str">
        <f aca="false">IF(AY37=1,IFERROR(MATCH($A37,INDEX(Clay_Brands!$A$2:$FZ$601,0,Sync!$D$5),0),""),"")</f>
        <v/>
      </c>
      <c r="CN37" s="23" t="str">
        <f aca="false">IF(CM37="","",IFERROR(INDEX(Clay_Brands!$A$2:$FZ$601,CM37,Sync!$D$7)&amp;"",""))</f>
        <v/>
      </c>
      <c r="CO37" s="23" t="str">
        <f aca="false">IF(CN37="","",IFERROR(INDEX(Lists!$K$2:$K$15,MATCH(CN37,Lists!$J$2:$J$15,0)),""))</f>
        <v/>
      </c>
      <c r="CP37" s="23" t="str">
        <f aca="false">IF(CM37="","",IFERROR(INDEX(Clay_Brands!$A$2:$FZ$601,CM37,Sync!$D$17)&amp;"",""))</f>
        <v/>
      </c>
      <c r="CQ37" s="35" t="str">
        <f aca="false">IF(CM37="","",IFERROR(N(INDEX(Clay_Brands!$A$2:$FZ$601,CM37,Sync!$D$16)),0))</f>
        <v/>
      </c>
      <c r="CR37" s="23" t="n">
        <f aca="false">IF(AND(AY37=1,OR(O37="N",AND(OR(ISNUMBER(R37),ISNUMBER(V37)),MAX(N(R37),N(V37))&lt;Config!$B$14))),1,0)</f>
        <v>0</v>
      </c>
      <c r="CS37" s="23" t="n">
        <f aca="false">IF(OR(BB37=1,CR37=1),1,0)</f>
        <v>0</v>
      </c>
      <c r="CT37" s="23" t="n">
        <f aca="false">IF(AND(AY37=1,OR(AN37="Y",AN37="N",AN37="maybe")),1,0)</f>
        <v>0</v>
      </c>
      <c r="CU37" s="23" t="n">
        <f aca="false">IF(AND(CT37=1),IF(COUNTIFS($A$2:$A$201,$A37,$CT$2:$CT$201,1,$H$2:$H$201,"&gt;"&amp;H37)+COUNTIFS($A$2:$A$201,$A37,$CT$2:$CT$201,1,$H$2:$H$201,H37,$AX$2:$AX$201,"&gt;"&amp;AX37)=0,1,0),0)</f>
        <v>0</v>
      </c>
      <c r="CV37" s="23" t="n">
        <f aca="false">IF(AND(CS37=1,INT(N(H37))&lt;=Config!$B$6),IF(COUNTIFS($AW$2:$AW$201,AW37,$CS$2:$CS$201,1,$H$2:$H$201,"&gt;"&amp;H37,$H$2:$H$201,"&lt;"&amp;(Config!$B$6+1))+COUNTIFS($AW$2:$AW$201,AW37,$CS$2:$CS$201,1,$H$2:$H$201,H37,$AX$2:$AX$201,"&gt;"&amp;AX37)=0,1,0),0)</f>
        <v>0</v>
      </c>
      <c r="CW37" s="23" t="n">
        <f aca="false">IF(AND(CS37=1,INT(N(H37))&lt;=Config!$B$7),IF(COUNTIFS($AW$2:$AW$201,AW37,$CS$2:$CS$201,1,$H$2:$H$201,"&gt;"&amp;H37,$H$2:$H$201,"&lt;"&amp;(Config!$B$7+1))+COUNTIFS($AW$2:$AW$201,AW37,$CS$2:$CS$201,1,$H$2:$H$201,H37,$AX$2:$AX$201,"&gt;"&amp;AX37)=0,1,0),0)</f>
        <v>0</v>
      </c>
      <c r="CX37" s="23" t="n">
        <f aca="false">IF(AND(CS37=1,INT(N(H37))&lt;=Config!$B$8),IF(COUNTIFS($AW$2:$AW$201,AW37,$CS$2:$CS$201,1,$H$2:$H$201,"&gt;"&amp;H37,$H$2:$H$201,"&lt;"&amp;(Config!$B$8+1))+COUNTIFS($AW$2:$AW$201,AW37,$CS$2:$CS$201,1,$H$2:$H$201,H37,$AX$2:$AX$201,"&gt;"&amp;AX37)=0,1,0),0)</f>
        <v>0</v>
      </c>
      <c r="CY37" s="23" t="n">
        <f aca="false">IF(AND(CS37=1,INT(N(H37))&lt;=Config!$B$5),IF(COUNTIFS($AW$2:$AW$201,AW37,$CS$2:$CS$201,1,$H$2:$H$201,"&gt;"&amp;H37,$H$2:$H$201,"&lt;"&amp;(Config!$B$5+1))+COUNTIFS($AW$2:$AW$201,AW37,$CS$2:$CS$201,1,$H$2:$H$201,H37,$AX$2:$AX$201,"&gt;"&amp;AX37)=0,1,0),0)</f>
        <v>0</v>
      </c>
      <c r="CZ37" s="23" t="n">
        <f aca="false">IF(AY37=1,IF(COUNTIFS($AW$2:$AW$201,AW37,$CV$2:$CV$201,1,$BB$2:$BB$201,1)&gt;0,1,0),0)</f>
        <v>0</v>
      </c>
      <c r="DA37" s="23" t="n">
        <f aca="false">IF(AY37=1,IF(COUNTIFS($AW$2:$AW$201,AW37,$CW$2:$CW$201,1,$BB$2:$BB$201,1)&gt;0,1,0),0)</f>
        <v>0</v>
      </c>
      <c r="DB37" s="23" t="n">
        <f aca="false">IF(AY37=1,IF(COUNTIFS($AW$2:$AW$201,AW37,$CX$2:$CX$201,1,$BB$2:$BB$201,1)&gt;0,1,0),0)</f>
        <v>0</v>
      </c>
      <c r="DC37" s="23" t="n">
        <f aca="false">IF(AY37=1,IF(COUNTIFS($AW$2:$AW$201,AW37,$CY$2:$CY$201,1,$BB$2:$BB$201,1)&gt;0,1,0),0)</f>
        <v>0</v>
      </c>
      <c r="DD37" s="23" t="n">
        <f aca="false">IF(AND(BC37=1,INT(N(H37))&lt;=Config!$B$6,CZ37=1),1,0)</f>
        <v>0</v>
      </c>
      <c r="DE37" s="23" t="n">
        <f aca="false">IF(AND(BC37=1,INT(N(H37))&lt;=Config!$B$7,DA37=1),1,0)</f>
        <v>0</v>
      </c>
      <c r="DF37" s="23" t="n">
        <f aca="false">IF(AND(BC37=1,INT(N(H37))&lt;=Config!$B$8,DB37=1),1,0)</f>
        <v>0</v>
      </c>
      <c r="DG37" s="23" t="n">
        <f aca="false">IF(AND(BC37=1,INT(N(H37))&lt;=Config!$B$5,DC37=1),1,0)</f>
        <v>0</v>
      </c>
      <c r="DH37" s="23" t="n">
        <f aca="false">IF(AND(BE37=1,INT(N(H37))&lt;=Config!$B$6,CZ37=1),1,0)</f>
        <v>0</v>
      </c>
      <c r="DI37" s="23" t="n">
        <f aca="false">IF(AND(BE37=1,INT(N(H37))&lt;=Config!$B$7,DA37=1),1,0)</f>
        <v>0</v>
      </c>
      <c r="DJ37" s="23" t="n">
        <f aca="false">IF(AND(BE37=1,INT(N(H37))&lt;=Config!$B$8,DB37=1),1,0)</f>
        <v>0</v>
      </c>
      <c r="DK37" s="23" t="n">
        <f aca="false">IF(AND(BE37=1,INT(N(H37))&lt;=Config!$B$5,DC37=1),1,0)</f>
        <v>0</v>
      </c>
      <c r="DL37" s="23" t="n">
        <f aca="false">IF(AND(BC37=1,INT(N(H37))&lt;=Config!$B$6,CZ37=0),1,0)</f>
        <v>0</v>
      </c>
      <c r="DM37" s="23" t="n">
        <f aca="false">IF(AND(BC37=1,INT(N(H37))&lt;=Config!$B$7,DA37=0),1,0)</f>
        <v>0</v>
      </c>
      <c r="DN37" s="23" t="n">
        <f aca="false">IF(AND(BC37=1,INT(N(H37))&lt;=Config!$B$8,DB37=0),1,0)</f>
        <v>0</v>
      </c>
      <c r="DO37" s="23" t="n">
        <f aca="false">IF(AND(BC37=1,INT(N(H37))&lt;=Config!$B$5,DC37=0),1,0)</f>
        <v>0</v>
      </c>
      <c r="DP37" s="23" t="n">
        <f aca="false">IF(TRIM($A37)="",0,ISTEXT(K37)+ISTEXT(L37)+ISTEXT(R37)+ISTEXT(V37)+ISTEXT(AP37)+ISTEXT(AS37))</f>
        <v>0</v>
      </c>
      <c r="DQ37" s="23" t="n">
        <f aca="false">IF(AY37=1,IF(H37&lt;&gt;INT(H37),1,0),0)</f>
        <v>0</v>
      </c>
      <c r="DR37" s="23" t="str">
        <f aca="false">IF(TRIM($A37)="","",IF(TRIM(B37)="",SUBSTITUTE(SUBSTITUTE(SUBSTITUTE(SUBSTITUTE(SUBSTITUTE(SUBSTITUTE(LOWER(TRIM($A37)),"~",""),"*",""),"?",""),"&lt;",""),"&gt;",""),"=",""),SUBSTITUTE(SUBSTITUTE(SUBSTITUTE(SUBSTITUTE(SUBSTITUTE(SUBSTITUTE(LOWER(TRIM(B37)),"~",""),"*",""),"?",""),"&lt;",""),"&gt;",""),"=","")))</f>
        <v/>
      </c>
      <c r="DS37" s="23" t="str">
        <f aca="false">IF(CM37="","",IFERROR(IF(LEFT(LOWER(TRIM(INDEX(Clay_Brands!$A$2:$FZ$601,CM37,Sync!$D$19)&amp;"")),4)="grp-",SUBSTITUTE(SUBSTITUTE(SUBSTITUTE(SUBSTITUTE(SUBSTITUTE(SUBSTITUTE(LOWER(TRIM(INDEX(Clay_Brands!$A$2:$FZ$601,CM37,Sync!$D$19)&amp;"")),"~",""),"*",""),"?",""),"&lt;",""),"&gt;",""),"=",""),""),""))</f>
        <v/>
      </c>
      <c r="DT37" s="23" t="str">
        <f aca="false">IF(DS37&lt;&gt;"",DR37,"")</f>
        <v/>
      </c>
      <c r="DU37" s="23" t="str">
        <f aca="false">IF(AZ37=1,AW37,"")</f>
        <v/>
      </c>
      <c r="DV37" s="23" t="str">
        <f aca="false">IF(TRIM($A37)="","",IFERROR(INDEX($A$2:$A$201,MATCH(AW37,$DU$2:$DU$201,0))&amp;"",$A37&amp;""))</f>
        <v/>
      </c>
      <c r="DW37" s="23" t="n">
        <f aca="false">IF(AY37=1,IF(COUNTIFS($A$2:$A$201,$A37,$AY$2:$AY$201,1,$H$2:$H$201,"&lt;"&amp;H37)+COUNTIFS($A$2:$A$201,$A37,$AY$2:$AY$201,1,$H$2:$H$201,H37,$AX$2:$AX$201,"&lt;"&amp;AX37)=0,1,0),0)</f>
        <v>0</v>
      </c>
      <c r="DX37" s="23" t="n">
        <f aca="false">IF(AZ37=1,IF(COUNTIFS($AW$2:$AW$201,AW37,$DW$2:$DW$201,1)&gt;1,1,0),0)</f>
        <v>0</v>
      </c>
    </row>
    <row r="38" customFormat="false" ht="15" hidden="false" customHeight="false" outlineLevel="0" collapsed="false">
      <c r="G38" s="32"/>
      <c r="H38" s="33"/>
      <c r="I38" s="32"/>
      <c r="O38" s="32"/>
      <c r="P38" s="32"/>
      <c r="U38" s="32"/>
      <c r="Y38" s="32"/>
      <c r="AB38" s="32"/>
      <c r="AC38" s="32"/>
      <c r="AD38" s="32"/>
      <c r="AE38" s="32"/>
      <c r="AF38" s="32"/>
      <c r="AG38" s="32"/>
      <c r="AI38" s="32"/>
      <c r="AJ38" s="32"/>
      <c r="AK38" s="32"/>
      <c r="AN38" s="32"/>
      <c r="AO38" s="32"/>
      <c r="AR38" s="32"/>
      <c r="AT38" s="32"/>
      <c r="AV38" s="34" t="str">
        <f aca="false">IF(TRIM($A38)="","",IF(AND(LEFT($A38,6)="SAMPLE",Config!$B$19&lt;&gt;"Y"),"",IF(NOT(ISNUMBER(H38)),"call_date is blank or not a date",IF(Sync!$D$5="","Clay paste is empty or has no row_id column: paste the Clay export on Clay_Brands",IF(CM38="","row_id not found in the Clay paste: add the Clay row or fix the row_id",IF(AND(ISNUMBER(CO38),CO38&gt;=1,CO38&lt;=5),"Clay status is "&amp;CN38&amp;": set call_done or later",IF(AND(BA38=1,CP38&lt;&gt;CB38),"Clay yes_in_principle should be "&amp;CB38,IF(AND(BA38=1,CQ38&lt;&gt;H38),"Clay call_date should be "&amp;TEXT(H38,"yyyy-mm-dd"),""))))))))</f>
        <v/>
      </c>
      <c r="AW38" s="23" t="str">
        <f aca="false">IF(TRIM($A38)="","",IF(TRIM(C38)&lt;&gt;"",SUBSTITUTE(SUBSTITUTE(SUBSTITUTE(SUBSTITUTE(SUBSTITUTE(SUBSTITUTE(LOWER(TRIM(C38)),"~",""),"*",""),"?",""),"&lt;",""),"&gt;",""),"=",""),IF(DS38&lt;&gt;"",DS38,IFERROR(INDEX($DS$2:$DS$201,MATCH(DR38,$DT$2:$DT$201,0)),DR38))))</f>
        <v/>
      </c>
      <c r="AX38" s="23" t="n">
        <f aca="false">ROW()</f>
        <v>38</v>
      </c>
      <c r="AY38" s="23" t="n">
        <f aca="false">IF(AND(TRIM($A38)&lt;&gt;"",ISNUMBER(H38)),IF(AND(LEFT($A38,6)="SAMPLE",Config!$B$19&lt;&gt;"Y"),0,1),0)</f>
        <v>0</v>
      </c>
      <c r="AZ38" s="23" t="n">
        <f aca="false">IF(AY38=1,IF(COUNTIFS($AW$2:$AW$201,AW38,$AY$2:$AY$201,1,$H$2:$H$201,"&lt;"&amp;H38)+COUNTIFS($AW$2:$AW$201,AW38,$AY$2:$AY$201,1,$H$2:$H$201,H38,$AX$2:$AX$201,"&lt;"&amp;AX38)=0,1,0),0)</f>
        <v>0</v>
      </c>
      <c r="BA38" s="23" t="n">
        <f aca="false">IF(AY38=1,IF(COUNTIFS($A$2:$A$201,$A38,$AY$2:$AY$201,1,$H$2:$H$201,"&gt;"&amp;H38)+COUNTIFS($A$2:$A$201,$A38,$AY$2:$AY$201,1,$H$2:$H$201,H38,$AX$2:$AX$201,"&gt;"&amp;AX38)=0,1,0),0)</f>
        <v>0</v>
      </c>
      <c r="BB38" s="23" t="n">
        <f aca="false">IF(AND(AY38=1,O38="Y",MAX(N(R38),N(V38))&gt;=Config!$B$14),1,0)</f>
        <v>0</v>
      </c>
      <c r="BC38" s="23" t="n">
        <f aca="false">IF(BB38=1,IF(COUNTIFS($AW$2:$AW$201,AW38,$BB$2:$BB$201,1,$H$2:$H$201,"&lt;"&amp;H38)+COUNTIFS($AW$2:$AW$201,AW38,$BB$2:$BB$201,1,$H$2:$H$201,H38,$AX$2:$AX$201,"&lt;"&amp;AX38)=0,1,0),0)</f>
        <v>0</v>
      </c>
      <c r="BD38" s="23" t="n">
        <f aca="false">IF(AND(AY38=1,O38="Y",ISNUMBER(R38)),IF(R38&gt;=Config!$B$14,1,0),0)</f>
        <v>0</v>
      </c>
      <c r="BE38" s="23" t="n">
        <f aca="false">IF(BD38=1,IF(COUNTIFS($AW$2:$AW$201,AW38,$BD$2:$BD$201,1,$H$2:$H$201,"&lt;"&amp;H38)+COUNTIFS($AW$2:$AW$201,AW38,$BD$2:$BD$201,1,$H$2:$H$201,H38,$AX$2:$AX$201,"&lt;"&amp;AX38)=0,1,0),0)</f>
        <v>0</v>
      </c>
      <c r="BF38" s="23" t="n">
        <f aca="false">IF(AND(AY38=1,O38&lt;&gt;"Y",MAX(N(R38),N(V38))&gt;=Config!$B$14),1,0)</f>
        <v>0</v>
      </c>
      <c r="BG38" s="23" t="n">
        <f aca="false">IF(BF38=1,IF(COUNTIFS($AW$2:$AW$201,AW38,$BF$2:$BF$201,1,$H$2:$H$201,"&lt;"&amp;H38)+COUNTIFS($AW$2:$AW$201,AW38,$BF$2:$BF$201,1,$H$2:$H$201,H38,$AX$2:$AX$201,"&lt;"&amp;AX38)=0,1,0),0)</f>
        <v>0</v>
      </c>
      <c r="BH38" s="23" t="n">
        <f aca="false">IF(AND(AY38=1,ISNUMBER(R38)),1,0)</f>
        <v>0</v>
      </c>
      <c r="BI38" s="23" t="n">
        <f aca="false">IF(BH38=1,IF(COUNTIFS($AW$2:$AW$201,AW38,$BH$2:$BH$201,1,$H$2:$H$201,"&lt;"&amp;H38)+COUNTIFS($AW$2:$AW$201,AW38,$BH$2:$BH$201,1,$H$2:$H$201,H38,$AX$2:$AX$201,"&lt;"&amp;AX38)=0,1,0),0)</f>
        <v>0</v>
      </c>
      <c r="BJ38" s="23" t="str">
        <f aca="false">IF(AND(BI38=1,INT(N(H38))&lt;=Config!$B$6),R38,"")</f>
        <v/>
      </c>
      <c r="BK38" s="23" t="str">
        <f aca="false">IF(AND(BI38=1,INT(N(H38))&lt;=Config!$B$7),R38,"")</f>
        <v/>
      </c>
      <c r="BL38" s="23" t="str">
        <f aca="false">IF(AND(BI38=1,INT(N(H38))&lt;=Config!$B$8),R38,"")</f>
        <v/>
      </c>
      <c r="BM38" s="23" t="str">
        <f aca="false">IF(AND(BI38=1,INT(N(H38))&lt;=Config!$B$5),R38,"")</f>
        <v/>
      </c>
      <c r="BN38" s="23" t="n">
        <f aca="false">IF(AND(AY38=1,ISNUMBER(V38)),1,0)</f>
        <v>0</v>
      </c>
      <c r="BO38" s="23" t="n">
        <f aca="false">IF(BN38=1,IF(COUNTIFS($AW$2:$AW$201,AW38,$BN$2:$BN$201,1,$H$2:$H$201,"&lt;"&amp;H38)+COUNTIFS($AW$2:$AW$201,AW38,$BN$2:$BN$201,1,$H$2:$H$201,H38,$AX$2:$AX$201,"&lt;"&amp;AX38)=0,1,0),0)</f>
        <v>0</v>
      </c>
      <c r="BP38" s="23" t="str">
        <f aca="false">IF(AND(BO38=1,INT(N(H38))&lt;=Config!$B$6),V38,"")</f>
        <v/>
      </c>
      <c r="BQ38" s="23" t="str">
        <f aca="false">IF(AND(BO38=1,INT(N(H38))&lt;=Config!$B$7),V38,"")</f>
        <v/>
      </c>
      <c r="BR38" s="23" t="str">
        <f aca="false">IF(AND(BO38=1,INT(N(H38))&lt;=Config!$B$8),V38,"")</f>
        <v/>
      </c>
      <c r="BS38" s="23" t="str">
        <f aca="false">IF(AND(BO38=1,INT(N(H38))&lt;=Config!$B$5),V38,"")</f>
        <v/>
      </c>
      <c r="BT38" s="23" t="n">
        <f aca="false">IF(AND(AY38=1,ISNUMBER(K38)),1,0)</f>
        <v>0</v>
      </c>
      <c r="BU38" s="23" t="n">
        <f aca="false">IF(BT38=1,IF(COUNTIFS($AW$2:$AW$201,AW38,$BT$2:$BT$201,1,$H$2:$H$201,"&lt;"&amp;H38)+COUNTIFS($AW$2:$AW$201,AW38,$BT$2:$BT$201,1,$H$2:$H$201,H38,$AX$2:$AX$201,"&lt;"&amp;AX38)=0,1,0),0)</f>
        <v>0</v>
      </c>
      <c r="BV38" s="23" t="str">
        <f aca="false">IF(AND(BU38=1,INT(N(H38))&lt;=Config!$B$5),K38,"")</f>
        <v/>
      </c>
      <c r="BW38" s="23" t="n">
        <f aca="false">IF(AND(AY38=1,OR(AND(ISNUMBER(R38),TRIM(S38)=""),AND(ISNUMBER(V38),TRIM(W38)=""))),1,0)</f>
        <v>0</v>
      </c>
      <c r="BX38" s="23" t="str">
        <f aca="false">IF(AY38=1,AJ38&amp;"","")</f>
        <v/>
      </c>
      <c r="BY38" s="23" t="str">
        <f aca="false">IF(AY38=1,AK38&amp;"","")</f>
        <v/>
      </c>
      <c r="BZ38" s="23" t="str">
        <f aca="false">IF(AY38=1,AL38&amp;"","")</f>
        <v/>
      </c>
      <c r="CA38" s="23" t="str">
        <f aca="false">IF(AND(AY38=1,ISNUMBER(AS38),INT(N(H38))&lt;=Config!$B$5),AS38,"")</f>
        <v/>
      </c>
      <c r="CB38" s="23" t="str">
        <f aca="false">IF(AY38=1,IF(COUNTIFS($A$2:$A$201,$A38,$CU$2:$CU$201,1,$AN$2:$AN$201,"Y")&gt;0,"Y","N"),"")</f>
        <v/>
      </c>
      <c r="CC38" s="23" t="n">
        <f aca="false">IF(AND(AY38=1,AN38="Y"),IF(COUNTIFS($AW$2:$AW$201,AW38,$AN$2:$AN$201,"Y",$AY$2:$AY$201,1,$H$2:$H$201,"&lt;"&amp;H38)+COUNTIFS($AW$2:$AW$201,AW38,$AN$2:$AN$201,"Y",$AY$2:$AY$201,1,$H$2:$H$201,H38,$AX$2:$AX$201,"&lt;"&amp;AX38)=0,1,0),0)</f>
        <v>0</v>
      </c>
      <c r="CD38" s="23" t="n">
        <f aca="false">IF(AND(AY38=1,AB38="Y",AC38="Y",AD38="Y",AE38="Y",AF38="Y",AG38="Y",AI38="Y",TRIM(AH38)&lt;&gt;""),1,0)</f>
        <v>0</v>
      </c>
      <c r="CE38" s="23" t="n">
        <f aca="false">IF(CD38=1,IF(COUNTIFS($AW$2:$AW$201,AW38,$CD$2:$CD$201,1,$H$2:$H$201,"&lt;"&amp;H38)+COUNTIFS($AW$2:$AW$201,AW38,$CD$2:$CD$201,1,$H$2:$H$201,H38,$AX$2:$AX$201,"&lt;"&amp;AX38)=0,1,0),0)</f>
        <v>0</v>
      </c>
      <c r="CF38" s="23" t="n">
        <f aca="false">IF(AND(AY38=1,AO38="Y"),1,0)</f>
        <v>0</v>
      </c>
      <c r="CG38" s="23" t="n">
        <f aca="false">IF(CF38=1,IF(COUNTIFS($AW$2:$AW$201,AW38,$CF$2:$CF$201,1,$H$2:$H$201,"&lt;"&amp;H38)+COUNTIFS($AW$2:$AW$201,AW38,$CF$2:$CF$201,1,$H$2:$H$201,H38,$AX$2:$AX$201,"&lt;"&amp;AX38)=0,1,0),0)</f>
        <v>0</v>
      </c>
      <c r="CH38" s="23" t="n">
        <f aca="false">IF(AND(AY38=1,P38="Y"),1,0)</f>
        <v>0</v>
      </c>
      <c r="CI38" s="23" t="n">
        <f aca="false">IF(CH38=1,IF(COUNTIFS($AW$2:$AW$201,AW38,$CH$2:$CH$201,1,$H$2:$H$201,"&lt;"&amp;H38)+COUNTIFS($AW$2:$AW$201,AW38,$CH$2:$CH$201,1,$H$2:$H$201,H38,$AX$2:$AX$201,"&lt;"&amp;AX38)=0,1,0),0)</f>
        <v>0</v>
      </c>
      <c r="CJ38" s="23" t="str">
        <f aca="false">IF(AND(BU38=1,INT(N(H38))&lt;=Config!$B$5),L38,"")</f>
        <v/>
      </c>
      <c r="CK38" s="23" t="n">
        <f aca="false">IF(AND(AY38=1,AR38="Y"),1,0)</f>
        <v>0</v>
      </c>
      <c r="CL38" s="23" t="n">
        <f aca="false">IF(CK38=1,IF(COUNTIFS($AW$2:$AW$201,AW38,$CK$2:$CK$201,1,$H$2:$H$201,"&lt;"&amp;H38)+COUNTIFS($AW$2:$AW$201,AW38,$CK$2:$CK$201,1,$H$2:$H$201,H38,$AX$2:$AX$201,"&lt;"&amp;AX38)=0,1,0),0)</f>
        <v>0</v>
      </c>
      <c r="CM38" s="23" t="str">
        <f aca="false">IF(AY38=1,IFERROR(MATCH($A38,INDEX(Clay_Brands!$A$2:$FZ$601,0,Sync!$D$5),0),""),"")</f>
        <v/>
      </c>
      <c r="CN38" s="23" t="str">
        <f aca="false">IF(CM38="","",IFERROR(INDEX(Clay_Brands!$A$2:$FZ$601,CM38,Sync!$D$7)&amp;"",""))</f>
        <v/>
      </c>
      <c r="CO38" s="23" t="str">
        <f aca="false">IF(CN38="","",IFERROR(INDEX(Lists!$K$2:$K$15,MATCH(CN38,Lists!$J$2:$J$15,0)),""))</f>
        <v/>
      </c>
      <c r="CP38" s="23" t="str">
        <f aca="false">IF(CM38="","",IFERROR(INDEX(Clay_Brands!$A$2:$FZ$601,CM38,Sync!$D$17)&amp;"",""))</f>
        <v/>
      </c>
      <c r="CQ38" s="35" t="str">
        <f aca="false">IF(CM38="","",IFERROR(N(INDEX(Clay_Brands!$A$2:$FZ$601,CM38,Sync!$D$16)),0))</f>
        <v/>
      </c>
      <c r="CR38" s="23" t="n">
        <f aca="false">IF(AND(AY38=1,OR(O38="N",AND(OR(ISNUMBER(R38),ISNUMBER(V38)),MAX(N(R38),N(V38))&lt;Config!$B$14))),1,0)</f>
        <v>0</v>
      </c>
      <c r="CS38" s="23" t="n">
        <f aca="false">IF(OR(BB38=1,CR38=1),1,0)</f>
        <v>0</v>
      </c>
      <c r="CT38" s="23" t="n">
        <f aca="false">IF(AND(AY38=1,OR(AN38="Y",AN38="N",AN38="maybe")),1,0)</f>
        <v>0</v>
      </c>
      <c r="CU38" s="23" t="n">
        <f aca="false">IF(AND(CT38=1),IF(COUNTIFS($A$2:$A$201,$A38,$CT$2:$CT$201,1,$H$2:$H$201,"&gt;"&amp;H38)+COUNTIFS($A$2:$A$201,$A38,$CT$2:$CT$201,1,$H$2:$H$201,H38,$AX$2:$AX$201,"&gt;"&amp;AX38)=0,1,0),0)</f>
        <v>0</v>
      </c>
      <c r="CV38" s="23" t="n">
        <f aca="false">IF(AND(CS38=1,INT(N(H38))&lt;=Config!$B$6),IF(COUNTIFS($AW$2:$AW$201,AW38,$CS$2:$CS$201,1,$H$2:$H$201,"&gt;"&amp;H38,$H$2:$H$201,"&lt;"&amp;(Config!$B$6+1))+COUNTIFS($AW$2:$AW$201,AW38,$CS$2:$CS$201,1,$H$2:$H$201,H38,$AX$2:$AX$201,"&gt;"&amp;AX38)=0,1,0),0)</f>
        <v>0</v>
      </c>
      <c r="CW38" s="23" t="n">
        <f aca="false">IF(AND(CS38=1,INT(N(H38))&lt;=Config!$B$7),IF(COUNTIFS($AW$2:$AW$201,AW38,$CS$2:$CS$201,1,$H$2:$H$201,"&gt;"&amp;H38,$H$2:$H$201,"&lt;"&amp;(Config!$B$7+1))+COUNTIFS($AW$2:$AW$201,AW38,$CS$2:$CS$201,1,$H$2:$H$201,H38,$AX$2:$AX$201,"&gt;"&amp;AX38)=0,1,0),0)</f>
        <v>0</v>
      </c>
      <c r="CX38" s="23" t="n">
        <f aca="false">IF(AND(CS38=1,INT(N(H38))&lt;=Config!$B$8),IF(COUNTIFS($AW$2:$AW$201,AW38,$CS$2:$CS$201,1,$H$2:$H$201,"&gt;"&amp;H38,$H$2:$H$201,"&lt;"&amp;(Config!$B$8+1))+COUNTIFS($AW$2:$AW$201,AW38,$CS$2:$CS$201,1,$H$2:$H$201,H38,$AX$2:$AX$201,"&gt;"&amp;AX38)=0,1,0),0)</f>
        <v>0</v>
      </c>
      <c r="CY38" s="23" t="n">
        <f aca="false">IF(AND(CS38=1,INT(N(H38))&lt;=Config!$B$5),IF(COUNTIFS($AW$2:$AW$201,AW38,$CS$2:$CS$201,1,$H$2:$H$201,"&gt;"&amp;H38,$H$2:$H$201,"&lt;"&amp;(Config!$B$5+1))+COUNTIFS($AW$2:$AW$201,AW38,$CS$2:$CS$201,1,$H$2:$H$201,H38,$AX$2:$AX$201,"&gt;"&amp;AX38)=0,1,0),0)</f>
        <v>0</v>
      </c>
      <c r="CZ38" s="23" t="n">
        <f aca="false">IF(AY38=1,IF(COUNTIFS($AW$2:$AW$201,AW38,$CV$2:$CV$201,1,$BB$2:$BB$201,1)&gt;0,1,0),0)</f>
        <v>0</v>
      </c>
      <c r="DA38" s="23" t="n">
        <f aca="false">IF(AY38=1,IF(COUNTIFS($AW$2:$AW$201,AW38,$CW$2:$CW$201,1,$BB$2:$BB$201,1)&gt;0,1,0),0)</f>
        <v>0</v>
      </c>
      <c r="DB38" s="23" t="n">
        <f aca="false">IF(AY38=1,IF(COUNTIFS($AW$2:$AW$201,AW38,$CX$2:$CX$201,1,$BB$2:$BB$201,1)&gt;0,1,0),0)</f>
        <v>0</v>
      </c>
      <c r="DC38" s="23" t="n">
        <f aca="false">IF(AY38=1,IF(COUNTIFS($AW$2:$AW$201,AW38,$CY$2:$CY$201,1,$BB$2:$BB$201,1)&gt;0,1,0),0)</f>
        <v>0</v>
      </c>
      <c r="DD38" s="23" t="n">
        <f aca="false">IF(AND(BC38=1,INT(N(H38))&lt;=Config!$B$6,CZ38=1),1,0)</f>
        <v>0</v>
      </c>
      <c r="DE38" s="23" t="n">
        <f aca="false">IF(AND(BC38=1,INT(N(H38))&lt;=Config!$B$7,DA38=1),1,0)</f>
        <v>0</v>
      </c>
      <c r="DF38" s="23" t="n">
        <f aca="false">IF(AND(BC38=1,INT(N(H38))&lt;=Config!$B$8,DB38=1),1,0)</f>
        <v>0</v>
      </c>
      <c r="DG38" s="23" t="n">
        <f aca="false">IF(AND(BC38=1,INT(N(H38))&lt;=Config!$B$5,DC38=1),1,0)</f>
        <v>0</v>
      </c>
      <c r="DH38" s="23" t="n">
        <f aca="false">IF(AND(BE38=1,INT(N(H38))&lt;=Config!$B$6,CZ38=1),1,0)</f>
        <v>0</v>
      </c>
      <c r="DI38" s="23" t="n">
        <f aca="false">IF(AND(BE38=1,INT(N(H38))&lt;=Config!$B$7,DA38=1),1,0)</f>
        <v>0</v>
      </c>
      <c r="DJ38" s="23" t="n">
        <f aca="false">IF(AND(BE38=1,INT(N(H38))&lt;=Config!$B$8,DB38=1),1,0)</f>
        <v>0</v>
      </c>
      <c r="DK38" s="23" t="n">
        <f aca="false">IF(AND(BE38=1,INT(N(H38))&lt;=Config!$B$5,DC38=1),1,0)</f>
        <v>0</v>
      </c>
      <c r="DL38" s="23" t="n">
        <f aca="false">IF(AND(BC38=1,INT(N(H38))&lt;=Config!$B$6,CZ38=0),1,0)</f>
        <v>0</v>
      </c>
      <c r="DM38" s="23" t="n">
        <f aca="false">IF(AND(BC38=1,INT(N(H38))&lt;=Config!$B$7,DA38=0),1,0)</f>
        <v>0</v>
      </c>
      <c r="DN38" s="23" t="n">
        <f aca="false">IF(AND(BC38=1,INT(N(H38))&lt;=Config!$B$8,DB38=0),1,0)</f>
        <v>0</v>
      </c>
      <c r="DO38" s="23" t="n">
        <f aca="false">IF(AND(BC38=1,INT(N(H38))&lt;=Config!$B$5,DC38=0),1,0)</f>
        <v>0</v>
      </c>
      <c r="DP38" s="23" t="n">
        <f aca="false">IF(TRIM($A38)="",0,ISTEXT(K38)+ISTEXT(L38)+ISTEXT(R38)+ISTEXT(V38)+ISTEXT(AP38)+ISTEXT(AS38))</f>
        <v>0</v>
      </c>
      <c r="DQ38" s="23" t="n">
        <f aca="false">IF(AY38=1,IF(H38&lt;&gt;INT(H38),1,0),0)</f>
        <v>0</v>
      </c>
      <c r="DR38" s="23" t="str">
        <f aca="false">IF(TRIM($A38)="","",IF(TRIM(B38)="",SUBSTITUTE(SUBSTITUTE(SUBSTITUTE(SUBSTITUTE(SUBSTITUTE(SUBSTITUTE(LOWER(TRIM($A38)),"~",""),"*",""),"?",""),"&lt;",""),"&gt;",""),"=",""),SUBSTITUTE(SUBSTITUTE(SUBSTITUTE(SUBSTITUTE(SUBSTITUTE(SUBSTITUTE(LOWER(TRIM(B38)),"~",""),"*",""),"?",""),"&lt;",""),"&gt;",""),"=","")))</f>
        <v/>
      </c>
      <c r="DS38" s="23" t="str">
        <f aca="false">IF(CM38="","",IFERROR(IF(LEFT(LOWER(TRIM(INDEX(Clay_Brands!$A$2:$FZ$601,CM38,Sync!$D$19)&amp;"")),4)="grp-",SUBSTITUTE(SUBSTITUTE(SUBSTITUTE(SUBSTITUTE(SUBSTITUTE(SUBSTITUTE(LOWER(TRIM(INDEX(Clay_Brands!$A$2:$FZ$601,CM38,Sync!$D$19)&amp;"")),"~",""),"*",""),"?",""),"&lt;",""),"&gt;",""),"=",""),""),""))</f>
        <v/>
      </c>
      <c r="DT38" s="23" t="str">
        <f aca="false">IF(DS38&lt;&gt;"",DR38,"")</f>
        <v/>
      </c>
      <c r="DU38" s="23" t="str">
        <f aca="false">IF(AZ38=1,AW38,"")</f>
        <v/>
      </c>
      <c r="DV38" s="23" t="str">
        <f aca="false">IF(TRIM($A38)="","",IFERROR(INDEX($A$2:$A$201,MATCH(AW38,$DU$2:$DU$201,0))&amp;"",$A38&amp;""))</f>
        <v/>
      </c>
      <c r="DW38" s="23" t="n">
        <f aca="false">IF(AY38=1,IF(COUNTIFS($A$2:$A$201,$A38,$AY$2:$AY$201,1,$H$2:$H$201,"&lt;"&amp;H38)+COUNTIFS($A$2:$A$201,$A38,$AY$2:$AY$201,1,$H$2:$H$201,H38,$AX$2:$AX$201,"&lt;"&amp;AX38)=0,1,0),0)</f>
        <v>0</v>
      </c>
      <c r="DX38" s="23" t="n">
        <f aca="false">IF(AZ38=1,IF(COUNTIFS($AW$2:$AW$201,AW38,$DW$2:$DW$201,1)&gt;1,1,0),0)</f>
        <v>0</v>
      </c>
    </row>
    <row r="39" customFormat="false" ht="15" hidden="false" customHeight="false" outlineLevel="0" collapsed="false">
      <c r="G39" s="32"/>
      <c r="H39" s="33"/>
      <c r="I39" s="32"/>
      <c r="O39" s="32"/>
      <c r="P39" s="32"/>
      <c r="U39" s="32"/>
      <c r="Y39" s="32"/>
      <c r="AB39" s="32"/>
      <c r="AC39" s="32"/>
      <c r="AD39" s="32"/>
      <c r="AE39" s="32"/>
      <c r="AF39" s="32"/>
      <c r="AG39" s="32"/>
      <c r="AI39" s="32"/>
      <c r="AJ39" s="32"/>
      <c r="AK39" s="32"/>
      <c r="AN39" s="32"/>
      <c r="AO39" s="32"/>
      <c r="AR39" s="32"/>
      <c r="AT39" s="32"/>
      <c r="AV39" s="34" t="str">
        <f aca="false">IF(TRIM($A39)="","",IF(AND(LEFT($A39,6)="SAMPLE",Config!$B$19&lt;&gt;"Y"),"",IF(NOT(ISNUMBER(H39)),"call_date is blank or not a date",IF(Sync!$D$5="","Clay paste is empty or has no row_id column: paste the Clay export on Clay_Brands",IF(CM39="","row_id not found in the Clay paste: add the Clay row or fix the row_id",IF(AND(ISNUMBER(CO39),CO39&gt;=1,CO39&lt;=5),"Clay status is "&amp;CN39&amp;": set call_done or later",IF(AND(BA39=1,CP39&lt;&gt;CB39),"Clay yes_in_principle should be "&amp;CB39,IF(AND(BA39=1,CQ39&lt;&gt;H39),"Clay call_date should be "&amp;TEXT(H39,"yyyy-mm-dd"),""))))))))</f>
        <v/>
      </c>
      <c r="AW39" s="23" t="str">
        <f aca="false">IF(TRIM($A39)="","",IF(TRIM(C39)&lt;&gt;"",SUBSTITUTE(SUBSTITUTE(SUBSTITUTE(SUBSTITUTE(SUBSTITUTE(SUBSTITUTE(LOWER(TRIM(C39)),"~",""),"*",""),"?",""),"&lt;",""),"&gt;",""),"=",""),IF(DS39&lt;&gt;"",DS39,IFERROR(INDEX($DS$2:$DS$201,MATCH(DR39,$DT$2:$DT$201,0)),DR39))))</f>
        <v/>
      </c>
      <c r="AX39" s="23" t="n">
        <f aca="false">ROW()</f>
        <v>39</v>
      </c>
      <c r="AY39" s="23" t="n">
        <f aca="false">IF(AND(TRIM($A39)&lt;&gt;"",ISNUMBER(H39)),IF(AND(LEFT($A39,6)="SAMPLE",Config!$B$19&lt;&gt;"Y"),0,1),0)</f>
        <v>0</v>
      </c>
      <c r="AZ39" s="23" t="n">
        <f aca="false">IF(AY39=1,IF(COUNTIFS($AW$2:$AW$201,AW39,$AY$2:$AY$201,1,$H$2:$H$201,"&lt;"&amp;H39)+COUNTIFS($AW$2:$AW$201,AW39,$AY$2:$AY$201,1,$H$2:$H$201,H39,$AX$2:$AX$201,"&lt;"&amp;AX39)=0,1,0),0)</f>
        <v>0</v>
      </c>
      <c r="BA39" s="23" t="n">
        <f aca="false">IF(AY39=1,IF(COUNTIFS($A$2:$A$201,$A39,$AY$2:$AY$201,1,$H$2:$H$201,"&gt;"&amp;H39)+COUNTIFS($A$2:$A$201,$A39,$AY$2:$AY$201,1,$H$2:$H$201,H39,$AX$2:$AX$201,"&gt;"&amp;AX39)=0,1,0),0)</f>
        <v>0</v>
      </c>
      <c r="BB39" s="23" t="n">
        <f aca="false">IF(AND(AY39=1,O39="Y",MAX(N(R39),N(V39))&gt;=Config!$B$14),1,0)</f>
        <v>0</v>
      </c>
      <c r="BC39" s="23" t="n">
        <f aca="false">IF(BB39=1,IF(COUNTIFS($AW$2:$AW$201,AW39,$BB$2:$BB$201,1,$H$2:$H$201,"&lt;"&amp;H39)+COUNTIFS($AW$2:$AW$201,AW39,$BB$2:$BB$201,1,$H$2:$H$201,H39,$AX$2:$AX$201,"&lt;"&amp;AX39)=0,1,0),0)</f>
        <v>0</v>
      </c>
      <c r="BD39" s="23" t="n">
        <f aca="false">IF(AND(AY39=1,O39="Y",ISNUMBER(R39)),IF(R39&gt;=Config!$B$14,1,0),0)</f>
        <v>0</v>
      </c>
      <c r="BE39" s="23" t="n">
        <f aca="false">IF(BD39=1,IF(COUNTIFS($AW$2:$AW$201,AW39,$BD$2:$BD$201,1,$H$2:$H$201,"&lt;"&amp;H39)+COUNTIFS($AW$2:$AW$201,AW39,$BD$2:$BD$201,1,$H$2:$H$201,H39,$AX$2:$AX$201,"&lt;"&amp;AX39)=0,1,0),0)</f>
        <v>0</v>
      </c>
      <c r="BF39" s="23" t="n">
        <f aca="false">IF(AND(AY39=1,O39&lt;&gt;"Y",MAX(N(R39),N(V39))&gt;=Config!$B$14),1,0)</f>
        <v>0</v>
      </c>
      <c r="BG39" s="23" t="n">
        <f aca="false">IF(BF39=1,IF(COUNTIFS($AW$2:$AW$201,AW39,$BF$2:$BF$201,1,$H$2:$H$201,"&lt;"&amp;H39)+COUNTIFS($AW$2:$AW$201,AW39,$BF$2:$BF$201,1,$H$2:$H$201,H39,$AX$2:$AX$201,"&lt;"&amp;AX39)=0,1,0),0)</f>
        <v>0</v>
      </c>
      <c r="BH39" s="23" t="n">
        <f aca="false">IF(AND(AY39=1,ISNUMBER(R39)),1,0)</f>
        <v>0</v>
      </c>
      <c r="BI39" s="23" t="n">
        <f aca="false">IF(BH39=1,IF(COUNTIFS($AW$2:$AW$201,AW39,$BH$2:$BH$201,1,$H$2:$H$201,"&lt;"&amp;H39)+COUNTIFS($AW$2:$AW$201,AW39,$BH$2:$BH$201,1,$H$2:$H$201,H39,$AX$2:$AX$201,"&lt;"&amp;AX39)=0,1,0),0)</f>
        <v>0</v>
      </c>
      <c r="BJ39" s="23" t="str">
        <f aca="false">IF(AND(BI39=1,INT(N(H39))&lt;=Config!$B$6),R39,"")</f>
        <v/>
      </c>
      <c r="BK39" s="23" t="str">
        <f aca="false">IF(AND(BI39=1,INT(N(H39))&lt;=Config!$B$7),R39,"")</f>
        <v/>
      </c>
      <c r="BL39" s="23" t="str">
        <f aca="false">IF(AND(BI39=1,INT(N(H39))&lt;=Config!$B$8),R39,"")</f>
        <v/>
      </c>
      <c r="BM39" s="23" t="str">
        <f aca="false">IF(AND(BI39=1,INT(N(H39))&lt;=Config!$B$5),R39,"")</f>
        <v/>
      </c>
      <c r="BN39" s="23" t="n">
        <f aca="false">IF(AND(AY39=1,ISNUMBER(V39)),1,0)</f>
        <v>0</v>
      </c>
      <c r="BO39" s="23" t="n">
        <f aca="false">IF(BN39=1,IF(COUNTIFS($AW$2:$AW$201,AW39,$BN$2:$BN$201,1,$H$2:$H$201,"&lt;"&amp;H39)+COUNTIFS($AW$2:$AW$201,AW39,$BN$2:$BN$201,1,$H$2:$H$201,H39,$AX$2:$AX$201,"&lt;"&amp;AX39)=0,1,0),0)</f>
        <v>0</v>
      </c>
      <c r="BP39" s="23" t="str">
        <f aca="false">IF(AND(BO39=1,INT(N(H39))&lt;=Config!$B$6),V39,"")</f>
        <v/>
      </c>
      <c r="BQ39" s="23" t="str">
        <f aca="false">IF(AND(BO39=1,INT(N(H39))&lt;=Config!$B$7),V39,"")</f>
        <v/>
      </c>
      <c r="BR39" s="23" t="str">
        <f aca="false">IF(AND(BO39=1,INT(N(H39))&lt;=Config!$B$8),V39,"")</f>
        <v/>
      </c>
      <c r="BS39" s="23" t="str">
        <f aca="false">IF(AND(BO39=1,INT(N(H39))&lt;=Config!$B$5),V39,"")</f>
        <v/>
      </c>
      <c r="BT39" s="23" t="n">
        <f aca="false">IF(AND(AY39=1,ISNUMBER(K39)),1,0)</f>
        <v>0</v>
      </c>
      <c r="BU39" s="23" t="n">
        <f aca="false">IF(BT39=1,IF(COUNTIFS($AW$2:$AW$201,AW39,$BT$2:$BT$201,1,$H$2:$H$201,"&lt;"&amp;H39)+COUNTIFS($AW$2:$AW$201,AW39,$BT$2:$BT$201,1,$H$2:$H$201,H39,$AX$2:$AX$201,"&lt;"&amp;AX39)=0,1,0),0)</f>
        <v>0</v>
      </c>
      <c r="BV39" s="23" t="str">
        <f aca="false">IF(AND(BU39=1,INT(N(H39))&lt;=Config!$B$5),K39,"")</f>
        <v/>
      </c>
      <c r="BW39" s="23" t="n">
        <f aca="false">IF(AND(AY39=1,OR(AND(ISNUMBER(R39),TRIM(S39)=""),AND(ISNUMBER(V39),TRIM(W39)=""))),1,0)</f>
        <v>0</v>
      </c>
      <c r="BX39" s="23" t="str">
        <f aca="false">IF(AY39=1,AJ39&amp;"","")</f>
        <v/>
      </c>
      <c r="BY39" s="23" t="str">
        <f aca="false">IF(AY39=1,AK39&amp;"","")</f>
        <v/>
      </c>
      <c r="BZ39" s="23" t="str">
        <f aca="false">IF(AY39=1,AL39&amp;"","")</f>
        <v/>
      </c>
      <c r="CA39" s="23" t="str">
        <f aca="false">IF(AND(AY39=1,ISNUMBER(AS39),INT(N(H39))&lt;=Config!$B$5),AS39,"")</f>
        <v/>
      </c>
      <c r="CB39" s="23" t="str">
        <f aca="false">IF(AY39=1,IF(COUNTIFS($A$2:$A$201,$A39,$CU$2:$CU$201,1,$AN$2:$AN$201,"Y")&gt;0,"Y","N"),"")</f>
        <v/>
      </c>
      <c r="CC39" s="23" t="n">
        <f aca="false">IF(AND(AY39=1,AN39="Y"),IF(COUNTIFS($AW$2:$AW$201,AW39,$AN$2:$AN$201,"Y",$AY$2:$AY$201,1,$H$2:$H$201,"&lt;"&amp;H39)+COUNTIFS($AW$2:$AW$201,AW39,$AN$2:$AN$201,"Y",$AY$2:$AY$201,1,$H$2:$H$201,H39,$AX$2:$AX$201,"&lt;"&amp;AX39)=0,1,0),0)</f>
        <v>0</v>
      </c>
      <c r="CD39" s="23" t="n">
        <f aca="false">IF(AND(AY39=1,AB39="Y",AC39="Y",AD39="Y",AE39="Y",AF39="Y",AG39="Y",AI39="Y",TRIM(AH39)&lt;&gt;""),1,0)</f>
        <v>0</v>
      </c>
      <c r="CE39" s="23" t="n">
        <f aca="false">IF(CD39=1,IF(COUNTIFS($AW$2:$AW$201,AW39,$CD$2:$CD$201,1,$H$2:$H$201,"&lt;"&amp;H39)+COUNTIFS($AW$2:$AW$201,AW39,$CD$2:$CD$201,1,$H$2:$H$201,H39,$AX$2:$AX$201,"&lt;"&amp;AX39)=0,1,0),0)</f>
        <v>0</v>
      </c>
      <c r="CF39" s="23" t="n">
        <f aca="false">IF(AND(AY39=1,AO39="Y"),1,0)</f>
        <v>0</v>
      </c>
      <c r="CG39" s="23" t="n">
        <f aca="false">IF(CF39=1,IF(COUNTIFS($AW$2:$AW$201,AW39,$CF$2:$CF$201,1,$H$2:$H$201,"&lt;"&amp;H39)+COUNTIFS($AW$2:$AW$201,AW39,$CF$2:$CF$201,1,$H$2:$H$201,H39,$AX$2:$AX$201,"&lt;"&amp;AX39)=0,1,0),0)</f>
        <v>0</v>
      </c>
      <c r="CH39" s="23" t="n">
        <f aca="false">IF(AND(AY39=1,P39="Y"),1,0)</f>
        <v>0</v>
      </c>
      <c r="CI39" s="23" t="n">
        <f aca="false">IF(CH39=1,IF(COUNTIFS($AW$2:$AW$201,AW39,$CH$2:$CH$201,1,$H$2:$H$201,"&lt;"&amp;H39)+COUNTIFS($AW$2:$AW$201,AW39,$CH$2:$CH$201,1,$H$2:$H$201,H39,$AX$2:$AX$201,"&lt;"&amp;AX39)=0,1,0),0)</f>
        <v>0</v>
      </c>
      <c r="CJ39" s="23" t="str">
        <f aca="false">IF(AND(BU39=1,INT(N(H39))&lt;=Config!$B$5),L39,"")</f>
        <v/>
      </c>
      <c r="CK39" s="23" t="n">
        <f aca="false">IF(AND(AY39=1,AR39="Y"),1,0)</f>
        <v>0</v>
      </c>
      <c r="CL39" s="23" t="n">
        <f aca="false">IF(CK39=1,IF(COUNTIFS($AW$2:$AW$201,AW39,$CK$2:$CK$201,1,$H$2:$H$201,"&lt;"&amp;H39)+COUNTIFS($AW$2:$AW$201,AW39,$CK$2:$CK$201,1,$H$2:$H$201,H39,$AX$2:$AX$201,"&lt;"&amp;AX39)=0,1,0),0)</f>
        <v>0</v>
      </c>
      <c r="CM39" s="23" t="str">
        <f aca="false">IF(AY39=1,IFERROR(MATCH($A39,INDEX(Clay_Brands!$A$2:$FZ$601,0,Sync!$D$5),0),""),"")</f>
        <v/>
      </c>
      <c r="CN39" s="23" t="str">
        <f aca="false">IF(CM39="","",IFERROR(INDEX(Clay_Brands!$A$2:$FZ$601,CM39,Sync!$D$7)&amp;"",""))</f>
        <v/>
      </c>
      <c r="CO39" s="23" t="str">
        <f aca="false">IF(CN39="","",IFERROR(INDEX(Lists!$K$2:$K$15,MATCH(CN39,Lists!$J$2:$J$15,0)),""))</f>
        <v/>
      </c>
      <c r="CP39" s="23" t="str">
        <f aca="false">IF(CM39="","",IFERROR(INDEX(Clay_Brands!$A$2:$FZ$601,CM39,Sync!$D$17)&amp;"",""))</f>
        <v/>
      </c>
      <c r="CQ39" s="35" t="str">
        <f aca="false">IF(CM39="","",IFERROR(N(INDEX(Clay_Brands!$A$2:$FZ$601,CM39,Sync!$D$16)),0))</f>
        <v/>
      </c>
      <c r="CR39" s="23" t="n">
        <f aca="false">IF(AND(AY39=1,OR(O39="N",AND(OR(ISNUMBER(R39),ISNUMBER(V39)),MAX(N(R39),N(V39))&lt;Config!$B$14))),1,0)</f>
        <v>0</v>
      </c>
      <c r="CS39" s="23" t="n">
        <f aca="false">IF(OR(BB39=1,CR39=1),1,0)</f>
        <v>0</v>
      </c>
      <c r="CT39" s="23" t="n">
        <f aca="false">IF(AND(AY39=1,OR(AN39="Y",AN39="N",AN39="maybe")),1,0)</f>
        <v>0</v>
      </c>
      <c r="CU39" s="23" t="n">
        <f aca="false">IF(AND(CT39=1),IF(COUNTIFS($A$2:$A$201,$A39,$CT$2:$CT$201,1,$H$2:$H$201,"&gt;"&amp;H39)+COUNTIFS($A$2:$A$201,$A39,$CT$2:$CT$201,1,$H$2:$H$201,H39,$AX$2:$AX$201,"&gt;"&amp;AX39)=0,1,0),0)</f>
        <v>0</v>
      </c>
      <c r="CV39" s="23" t="n">
        <f aca="false">IF(AND(CS39=1,INT(N(H39))&lt;=Config!$B$6),IF(COUNTIFS($AW$2:$AW$201,AW39,$CS$2:$CS$201,1,$H$2:$H$201,"&gt;"&amp;H39,$H$2:$H$201,"&lt;"&amp;(Config!$B$6+1))+COUNTIFS($AW$2:$AW$201,AW39,$CS$2:$CS$201,1,$H$2:$H$201,H39,$AX$2:$AX$201,"&gt;"&amp;AX39)=0,1,0),0)</f>
        <v>0</v>
      </c>
      <c r="CW39" s="23" t="n">
        <f aca="false">IF(AND(CS39=1,INT(N(H39))&lt;=Config!$B$7),IF(COUNTIFS($AW$2:$AW$201,AW39,$CS$2:$CS$201,1,$H$2:$H$201,"&gt;"&amp;H39,$H$2:$H$201,"&lt;"&amp;(Config!$B$7+1))+COUNTIFS($AW$2:$AW$201,AW39,$CS$2:$CS$201,1,$H$2:$H$201,H39,$AX$2:$AX$201,"&gt;"&amp;AX39)=0,1,0),0)</f>
        <v>0</v>
      </c>
      <c r="CX39" s="23" t="n">
        <f aca="false">IF(AND(CS39=1,INT(N(H39))&lt;=Config!$B$8),IF(COUNTIFS($AW$2:$AW$201,AW39,$CS$2:$CS$201,1,$H$2:$H$201,"&gt;"&amp;H39,$H$2:$H$201,"&lt;"&amp;(Config!$B$8+1))+COUNTIFS($AW$2:$AW$201,AW39,$CS$2:$CS$201,1,$H$2:$H$201,H39,$AX$2:$AX$201,"&gt;"&amp;AX39)=0,1,0),0)</f>
        <v>0</v>
      </c>
      <c r="CY39" s="23" t="n">
        <f aca="false">IF(AND(CS39=1,INT(N(H39))&lt;=Config!$B$5),IF(COUNTIFS($AW$2:$AW$201,AW39,$CS$2:$CS$201,1,$H$2:$H$201,"&gt;"&amp;H39,$H$2:$H$201,"&lt;"&amp;(Config!$B$5+1))+COUNTIFS($AW$2:$AW$201,AW39,$CS$2:$CS$201,1,$H$2:$H$201,H39,$AX$2:$AX$201,"&gt;"&amp;AX39)=0,1,0),0)</f>
        <v>0</v>
      </c>
      <c r="CZ39" s="23" t="n">
        <f aca="false">IF(AY39=1,IF(COUNTIFS($AW$2:$AW$201,AW39,$CV$2:$CV$201,1,$BB$2:$BB$201,1)&gt;0,1,0),0)</f>
        <v>0</v>
      </c>
      <c r="DA39" s="23" t="n">
        <f aca="false">IF(AY39=1,IF(COUNTIFS($AW$2:$AW$201,AW39,$CW$2:$CW$201,1,$BB$2:$BB$201,1)&gt;0,1,0),0)</f>
        <v>0</v>
      </c>
      <c r="DB39" s="23" t="n">
        <f aca="false">IF(AY39=1,IF(COUNTIFS($AW$2:$AW$201,AW39,$CX$2:$CX$201,1,$BB$2:$BB$201,1)&gt;0,1,0),0)</f>
        <v>0</v>
      </c>
      <c r="DC39" s="23" t="n">
        <f aca="false">IF(AY39=1,IF(COUNTIFS($AW$2:$AW$201,AW39,$CY$2:$CY$201,1,$BB$2:$BB$201,1)&gt;0,1,0),0)</f>
        <v>0</v>
      </c>
      <c r="DD39" s="23" t="n">
        <f aca="false">IF(AND(BC39=1,INT(N(H39))&lt;=Config!$B$6,CZ39=1),1,0)</f>
        <v>0</v>
      </c>
      <c r="DE39" s="23" t="n">
        <f aca="false">IF(AND(BC39=1,INT(N(H39))&lt;=Config!$B$7,DA39=1),1,0)</f>
        <v>0</v>
      </c>
      <c r="DF39" s="23" t="n">
        <f aca="false">IF(AND(BC39=1,INT(N(H39))&lt;=Config!$B$8,DB39=1),1,0)</f>
        <v>0</v>
      </c>
      <c r="DG39" s="23" t="n">
        <f aca="false">IF(AND(BC39=1,INT(N(H39))&lt;=Config!$B$5,DC39=1),1,0)</f>
        <v>0</v>
      </c>
      <c r="DH39" s="23" t="n">
        <f aca="false">IF(AND(BE39=1,INT(N(H39))&lt;=Config!$B$6,CZ39=1),1,0)</f>
        <v>0</v>
      </c>
      <c r="DI39" s="23" t="n">
        <f aca="false">IF(AND(BE39=1,INT(N(H39))&lt;=Config!$B$7,DA39=1),1,0)</f>
        <v>0</v>
      </c>
      <c r="DJ39" s="23" t="n">
        <f aca="false">IF(AND(BE39=1,INT(N(H39))&lt;=Config!$B$8,DB39=1),1,0)</f>
        <v>0</v>
      </c>
      <c r="DK39" s="23" t="n">
        <f aca="false">IF(AND(BE39=1,INT(N(H39))&lt;=Config!$B$5,DC39=1),1,0)</f>
        <v>0</v>
      </c>
      <c r="DL39" s="23" t="n">
        <f aca="false">IF(AND(BC39=1,INT(N(H39))&lt;=Config!$B$6,CZ39=0),1,0)</f>
        <v>0</v>
      </c>
      <c r="DM39" s="23" t="n">
        <f aca="false">IF(AND(BC39=1,INT(N(H39))&lt;=Config!$B$7,DA39=0),1,0)</f>
        <v>0</v>
      </c>
      <c r="DN39" s="23" t="n">
        <f aca="false">IF(AND(BC39=1,INT(N(H39))&lt;=Config!$B$8,DB39=0),1,0)</f>
        <v>0</v>
      </c>
      <c r="DO39" s="23" t="n">
        <f aca="false">IF(AND(BC39=1,INT(N(H39))&lt;=Config!$B$5,DC39=0),1,0)</f>
        <v>0</v>
      </c>
      <c r="DP39" s="23" t="n">
        <f aca="false">IF(TRIM($A39)="",0,ISTEXT(K39)+ISTEXT(L39)+ISTEXT(R39)+ISTEXT(V39)+ISTEXT(AP39)+ISTEXT(AS39))</f>
        <v>0</v>
      </c>
      <c r="DQ39" s="23" t="n">
        <f aca="false">IF(AY39=1,IF(H39&lt;&gt;INT(H39),1,0),0)</f>
        <v>0</v>
      </c>
      <c r="DR39" s="23" t="str">
        <f aca="false">IF(TRIM($A39)="","",IF(TRIM(B39)="",SUBSTITUTE(SUBSTITUTE(SUBSTITUTE(SUBSTITUTE(SUBSTITUTE(SUBSTITUTE(LOWER(TRIM($A39)),"~",""),"*",""),"?",""),"&lt;",""),"&gt;",""),"=",""),SUBSTITUTE(SUBSTITUTE(SUBSTITUTE(SUBSTITUTE(SUBSTITUTE(SUBSTITUTE(LOWER(TRIM(B39)),"~",""),"*",""),"?",""),"&lt;",""),"&gt;",""),"=","")))</f>
        <v/>
      </c>
      <c r="DS39" s="23" t="str">
        <f aca="false">IF(CM39="","",IFERROR(IF(LEFT(LOWER(TRIM(INDEX(Clay_Brands!$A$2:$FZ$601,CM39,Sync!$D$19)&amp;"")),4)="grp-",SUBSTITUTE(SUBSTITUTE(SUBSTITUTE(SUBSTITUTE(SUBSTITUTE(SUBSTITUTE(LOWER(TRIM(INDEX(Clay_Brands!$A$2:$FZ$601,CM39,Sync!$D$19)&amp;"")),"~",""),"*",""),"?",""),"&lt;",""),"&gt;",""),"=",""),""),""))</f>
        <v/>
      </c>
      <c r="DT39" s="23" t="str">
        <f aca="false">IF(DS39&lt;&gt;"",DR39,"")</f>
        <v/>
      </c>
      <c r="DU39" s="23" t="str">
        <f aca="false">IF(AZ39=1,AW39,"")</f>
        <v/>
      </c>
      <c r="DV39" s="23" t="str">
        <f aca="false">IF(TRIM($A39)="","",IFERROR(INDEX($A$2:$A$201,MATCH(AW39,$DU$2:$DU$201,0))&amp;"",$A39&amp;""))</f>
        <v/>
      </c>
      <c r="DW39" s="23" t="n">
        <f aca="false">IF(AY39=1,IF(COUNTIFS($A$2:$A$201,$A39,$AY$2:$AY$201,1,$H$2:$H$201,"&lt;"&amp;H39)+COUNTIFS($A$2:$A$201,$A39,$AY$2:$AY$201,1,$H$2:$H$201,H39,$AX$2:$AX$201,"&lt;"&amp;AX39)=0,1,0),0)</f>
        <v>0</v>
      </c>
      <c r="DX39" s="23" t="n">
        <f aca="false">IF(AZ39=1,IF(COUNTIFS($AW$2:$AW$201,AW39,$DW$2:$DW$201,1)&gt;1,1,0),0)</f>
        <v>0</v>
      </c>
    </row>
    <row r="40" customFormat="false" ht="15" hidden="false" customHeight="false" outlineLevel="0" collapsed="false">
      <c r="G40" s="32"/>
      <c r="H40" s="33"/>
      <c r="I40" s="32"/>
      <c r="O40" s="32"/>
      <c r="P40" s="32"/>
      <c r="U40" s="32"/>
      <c r="Y40" s="32"/>
      <c r="AB40" s="32"/>
      <c r="AC40" s="32"/>
      <c r="AD40" s="32"/>
      <c r="AE40" s="32"/>
      <c r="AF40" s="32"/>
      <c r="AG40" s="32"/>
      <c r="AI40" s="32"/>
      <c r="AJ40" s="32"/>
      <c r="AK40" s="32"/>
      <c r="AN40" s="32"/>
      <c r="AO40" s="32"/>
      <c r="AR40" s="32"/>
      <c r="AT40" s="32"/>
      <c r="AV40" s="34" t="str">
        <f aca="false">IF(TRIM($A40)="","",IF(AND(LEFT($A40,6)="SAMPLE",Config!$B$19&lt;&gt;"Y"),"",IF(NOT(ISNUMBER(H40)),"call_date is blank or not a date",IF(Sync!$D$5="","Clay paste is empty or has no row_id column: paste the Clay export on Clay_Brands",IF(CM40="","row_id not found in the Clay paste: add the Clay row or fix the row_id",IF(AND(ISNUMBER(CO40),CO40&gt;=1,CO40&lt;=5),"Clay status is "&amp;CN40&amp;": set call_done or later",IF(AND(BA40=1,CP40&lt;&gt;CB40),"Clay yes_in_principle should be "&amp;CB40,IF(AND(BA40=1,CQ40&lt;&gt;H40),"Clay call_date should be "&amp;TEXT(H40,"yyyy-mm-dd"),""))))))))</f>
        <v/>
      </c>
      <c r="AW40" s="23" t="str">
        <f aca="false">IF(TRIM($A40)="","",IF(TRIM(C40)&lt;&gt;"",SUBSTITUTE(SUBSTITUTE(SUBSTITUTE(SUBSTITUTE(SUBSTITUTE(SUBSTITUTE(LOWER(TRIM(C40)),"~",""),"*",""),"?",""),"&lt;",""),"&gt;",""),"=",""),IF(DS40&lt;&gt;"",DS40,IFERROR(INDEX($DS$2:$DS$201,MATCH(DR40,$DT$2:$DT$201,0)),DR40))))</f>
        <v/>
      </c>
      <c r="AX40" s="23" t="n">
        <f aca="false">ROW()</f>
        <v>40</v>
      </c>
      <c r="AY40" s="23" t="n">
        <f aca="false">IF(AND(TRIM($A40)&lt;&gt;"",ISNUMBER(H40)),IF(AND(LEFT($A40,6)="SAMPLE",Config!$B$19&lt;&gt;"Y"),0,1),0)</f>
        <v>0</v>
      </c>
      <c r="AZ40" s="23" t="n">
        <f aca="false">IF(AY40=1,IF(COUNTIFS($AW$2:$AW$201,AW40,$AY$2:$AY$201,1,$H$2:$H$201,"&lt;"&amp;H40)+COUNTIFS($AW$2:$AW$201,AW40,$AY$2:$AY$201,1,$H$2:$H$201,H40,$AX$2:$AX$201,"&lt;"&amp;AX40)=0,1,0),0)</f>
        <v>0</v>
      </c>
      <c r="BA40" s="23" t="n">
        <f aca="false">IF(AY40=1,IF(COUNTIFS($A$2:$A$201,$A40,$AY$2:$AY$201,1,$H$2:$H$201,"&gt;"&amp;H40)+COUNTIFS($A$2:$A$201,$A40,$AY$2:$AY$201,1,$H$2:$H$201,H40,$AX$2:$AX$201,"&gt;"&amp;AX40)=0,1,0),0)</f>
        <v>0</v>
      </c>
      <c r="BB40" s="23" t="n">
        <f aca="false">IF(AND(AY40=1,O40="Y",MAX(N(R40),N(V40))&gt;=Config!$B$14),1,0)</f>
        <v>0</v>
      </c>
      <c r="BC40" s="23" t="n">
        <f aca="false">IF(BB40=1,IF(COUNTIFS($AW$2:$AW$201,AW40,$BB$2:$BB$201,1,$H$2:$H$201,"&lt;"&amp;H40)+COUNTIFS($AW$2:$AW$201,AW40,$BB$2:$BB$201,1,$H$2:$H$201,H40,$AX$2:$AX$201,"&lt;"&amp;AX40)=0,1,0),0)</f>
        <v>0</v>
      </c>
      <c r="BD40" s="23" t="n">
        <f aca="false">IF(AND(AY40=1,O40="Y",ISNUMBER(R40)),IF(R40&gt;=Config!$B$14,1,0),0)</f>
        <v>0</v>
      </c>
      <c r="BE40" s="23" t="n">
        <f aca="false">IF(BD40=1,IF(COUNTIFS($AW$2:$AW$201,AW40,$BD$2:$BD$201,1,$H$2:$H$201,"&lt;"&amp;H40)+COUNTIFS($AW$2:$AW$201,AW40,$BD$2:$BD$201,1,$H$2:$H$201,H40,$AX$2:$AX$201,"&lt;"&amp;AX40)=0,1,0),0)</f>
        <v>0</v>
      </c>
      <c r="BF40" s="23" t="n">
        <f aca="false">IF(AND(AY40=1,O40&lt;&gt;"Y",MAX(N(R40),N(V40))&gt;=Config!$B$14),1,0)</f>
        <v>0</v>
      </c>
      <c r="BG40" s="23" t="n">
        <f aca="false">IF(BF40=1,IF(COUNTIFS($AW$2:$AW$201,AW40,$BF$2:$BF$201,1,$H$2:$H$201,"&lt;"&amp;H40)+COUNTIFS($AW$2:$AW$201,AW40,$BF$2:$BF$201,1,$H$2:$H$201,H40,$AX$2:$AX$201,"&lt;"&amp;AX40)=0,1,0),0)</f>
        <v>0</v>
      </c>
      <c r="BH40" s="23" t="n">
        <f aca="false">IF(AND(AY40=1,ISNUMBER(R40)),1,0)</f>
        <v>0</v>
      </c>
      <c r="BI40" s="23" t="n">
        <f aca="false">IF(BH40=1,IF(COUNTIFS($AW$2:$AW$201,AW40,$BH$2:$BH$201,1,$H$2:$H$201,"&lt;"&amp;H40)+COUNTIFS($AW$2:$AW$201,AW40,$BH$2:$BH$201,1,$H$2:$H$201,H40,$AX$2:$AX$201,"&lt;"&amp;AX40)=0,1,0),0)</f>
        <v>0</v>
      </c>
      <c r="BJ40" s="23" t="str">
        <f aca="false">IF(AND(BI40=1,INT(N(H40))&lt;=Config!$B$6),R40,"")</f>
        <v/>
      </c>
      <c r="BK40" s="23" t="str">
        <f aca="false">IF(AND(BI40=1,INT(N(H40))&lt;=Config!$B$7),R40,"")</f>
        <v/>
      </c>
      <c r="BL40" s="23" t="str">
        <f aca="false">IF(AND(BI40=1,INT(N(H40))&lt;=Config!$B$8),R40,"")</f>
        <v/>
      </c>
      <c r="BM40" s="23" t="str">
        <f aca="false">IF(AND(BI40=1,INT(N(H40))&lt;=Config!$B$5),R40,"")</f>
        <v/>
      </c>
      <c r="BN40" s="23" t="n">
        <f aca="false">IF(AND(AY40=1,ISNUMBER(V40)),1,0)</f>
        <v>0</v>
      </c>
      <c r="BO40" s="23" t="n">
        <f aca="false">IF(BN40=1,IF(COUNTIFS($AW$2:$AW$201,AW40,$BN$2:$BN$201,1,$H$2:$H$201,"&lt;"&amp;H40)+COUNTIFS($AW$2:$AW$201,AW40,$BN$2:$BN$201,1,$H$2:$H$201,H40,$AX$2:$AX$201,"&lt;"&amp;AX40)=0,1,0),0)</f>
        <v>0</v>
      </c>
      <c r="BP40" s="23" t="str">
        <f aca="false">IF(AND(BO40=1,INT(N(H40))&lt;=Config!$B$6),V40,"")</f>
        <v/>
      </c>
      <c r="BQ40" s="23" t="str">
        <f aca="false">IF(AND(BO40=1,INT(N(H40))&lt;=Config!$B$7),V40,"")</f>
        <v/>
      </c>
      <c r="BR40" s="23" t="str">
        <f aca="false">IF(AND(BO40=1,INT(N(H40))&lt;=Config!$B$8),V40,"")</f>
        <v/>
      </c>
      <c r="BS40" s="23" t="str">
        <f aca="false">IF(AND(BO40=1,INT(N(H40))&lt;=Config!$B$5),V40,"")</f>
        <v/>
      </c>
      <c r="BT40" s="23" t="n">
        <f aca="false">IF(AND(AY40=1,ISNUMBER(K40)),1,0)</f>
        <v>0</v>
      </c>
      <c r="BU40" s="23" t="n">
        <f aca="false">IF(BT40=1,IF(COUNTIFS($AW$2:$AW$201,AW40,$BT$2:$BT$201,1,$H$2:$H$201,"&lt;"&amp;H40)+COUNTIFS($AW$2:$AW$201,AW40,$BT$2:$BT$201,1,$H$2:$H$201,H40,$AX$2:$AX$201,"&lt;"&amp;AX40)=0,1,0),0)</f>
        <v>0</v>
      </c>
      <c r="BV40" s="23" t="str">
        <f aca="false">IF(AND(BU40=1,INT(N(H40))&lt;=Config!$B$5),K40,"")</f>
        <v/>
      </c>
      <c r="BW40" s="23" t="n">
        <f aca="false">IF(AND(AY40=1,OR(AND(ISNUMBER(R40),TRIM(S40)=""),AND(ISNUMBER(V40),TRIM(W40)=""))),1,0)</f>
        <v>0</v>
      </c>
      <c r="BX40" s="23" t="str">
        <f aca="false">IF(AY40=1,AJ40&amp;"","")</f>
        <v/>
      </c>
      <c r="BY40" s="23" t="str">
        <f aca="false">IF(AY40=1,AK40&amp;"","")</f>
        <v/>
      </c>
      <c r="BZ40" s="23" t="str">
        <f aca="false">IF(AY40=1,AL40&amp;"","")</f>
        <v/>
      </c>
      <c r="CA40" s="23" t="str">
        <f aca="false">IF(AND(AY40=1,ISNUMBER(AS40),INT(N(H40))&lt;=Config!$B$5),AS40,"")</f>
        <v/>
      </c>
      <c r="CB40" s="23" t="str">
        <f aca="false">IF(AY40=1,IF(COUNTIFS($A$2:$A$201,$A40,$CU$2:$CU$201,1,$AN$2:$AN$201,"Y")&gt;0,"Y","N"),"")</f>
        <v/>
      </c>
      <c r="CC40" s="23" t="n">
        <f aca="false">IF(AND(AY40=1,AN40="Y"),IF(COUNTIFS($AW$2:$AW$201,AW40,$AN$2:$AN$201,"Y",$AY$2:$AY$201,1,$H$2:$H$201,"&lt;"&amp;H40)+COUNTIFS($AW$2:$AW$201,AW40,$AN$2:$AN$201,"Y",$AY$2:$AY$201,1,$H$2:$H$201,H40,$AX$2:$AX$201,"&lt;"&amp;AX40)=0,1,0),0)</f>
        <v>0</v>
      </c>
      <c r="CD40" s="23" t="n">
        <f aca="false">IF(AND(AY40=1,AB40="Y",AC40="Y",AD40="Y",AE40="Y",AF40="Y",AG40="Y",AI40="Y",TRIM(AH40)&lt;&gt;""),1,0)</f>
        <v>0</v>
      </c>
      <c r="CE40" s="23" t="n">
        <f aca="false">IF(CD40=1,IF(COUNTIFS($AW$2:$AW$201,AW40,$CD$2:$CD$201,1,$H$2:$H$201,"&lt;"&amp;H40)+COUNTIFS($AW$2:$AW$201,AW40,$CD$2:$CD$201,1,$H$2:$H$201,H40,$AX$2:$AX$201,"&lt;"&amp;AX40)=0,1,0),0)</f>
        <v>0</v>
      </c>
      <c r="CF40" s="23" t="n">
        <f aca="false">IF(AND(AY40=1,AO40="Y"),1,0)</f>
        <v>0</v>
      </c>
      <c r="CG40" s="23" t="n">
        <f aca="false">IF(CF40=1,IF(COUNTIFS($AW$2:$AW$201,AW40,$CF$2:$CF$201,1,$H$2:$H$201,"&lt;"&amp;H40)+COUNTIFS($AW$2:$AW$201,AW40,$CF$2:$CF$201,1,$H$2:$H$201,H40,$AX$2:$AX$201,"&lt;"&amp;AX40)=0,1,0),0)</f>
        <v>0</v>
      </c>
      <c r="CH40" s="23" t="n">
        <f aca="false">IF(AND(AY40=1,P40="Y"),1,0)</f>
        <v>0</v>
      </c>
      <c r="CI40" s="23" t="n">
        <f aca="false">IF(CH40=1,IF(COUNTIFS($AW$2:$AW$201,AW40,$CH$2:$CH$201,1,$H$2:$H$201,"&lt;"&amp;H40)+COUNTIFS($AW$2:$AW$201,AW40,$CH$2:$CH$201,1,$H$2:$H$201,H40,$AX$2:$AX$201,"&lt;"&amp;AX40)=0,1,0),0)</f>
        <v>0</v>
      </c>
      <c r="CJ40" s="23" t="str">
        <f aca="false">IF(AND(BU40=1,INT(N(H40))&lt;=Config!$B$5),L40,"")</f>
        <v/>
      </c>
      <c r="CK40" s="23" t="n">
        <f aca="false">IF(AND(AY40=1,AR40="Y"),1,0)</f>
        <v>0</v>
      </c>
      <c r="CL40" s="23" t="n">
        <f aca="false">IF(CK40=1,IF(COUNTIFS($AW$2:$AW$201,AW40,$CK$2:$CK$201,1,$H$2:$H$201,"&lt;"&amp;H40)+COUNTIFS($AW$2:$AW$201,AW40,$CK$2:$CK$201,1,$H$2:$H$201,H40,$AX$2:$AX$201,"&lt;"&amp;AX40)=0,1,0),0)</f>
        <v>0</v>
      </c>
      <c r="CM40" s="23" t="str">
        <f aca="false">IF(AY40=1,IFERROR(MATCH($A40,INDEX(Clay_Brands!$A$2:$FZ$601,0,Sync!$D$5),0),""),"")</f>
        <v/>
      </c>
      <c r="CN40" s="23" t="str">
        <f aca="false">IF(CM40="","",IFERROR(INDEX(Clay_Brands!$A$2:$FZ$601,CM40,Sync!$D$7)&amp;"",""))</f>
        <v/>
      </c>
      <c r="CO40" s="23" t="str">
        <f aca="false">IF(CN40="","",IFERROR(INDEX(Lists!$K$2:$K$15,MATCH(CN40,Lists!$J$2:$J$15,0)),""))</f>
        <v/>
      </c>
      <c r="CP40" s="23" t="str">
        <f aca="false">IF(CM40="","",IFERROR(INDEX(Clay_Brands!$A$2:$FZ$601,CM40,Sync!$D$17)&amp;"",""))</f>
        <v/>
      </c>
      <c r="CQ40" s="35" t="str">
        <f aca="false">IF(CM40="","",IFERROR(N(INDEX(Clay_Brands!$A$2:$FZ$601,CM40,Sync!$D$16)),0))</f>
        <v/>
      </c>
      <c r="CR40" s="23" t="n">
        <f aca="false">IF(AND(AY40=1,OR(O40="N",AND(OR(ISNUMBER(R40),ISNUMBER(V40)),MAX(N(R40),N(V40))&lt;Config!$B$14))),1,0)</f>
        <v>0</v>
      </c>
      <c r="CS40" s="23" t="n">
        <f aca="false">IF(OR(BB40=1,CR40=1),1,0)</f>
        <v>0</v>
      </c>
      <c r="CT40" s="23" t="n">
        <f aca="false">IF(AND(AY40=1,OR(AN40="Y",AN40="N",AN40="maybe")),1,0)</f>
        <v>0</v>
      </c>
      <c r="CU40" s="23" t="n">
        <f aca="false">IF(AND(CT40=1),IF(COUNTIFS($A$2:$A$201,$A40,$CT$2:$CT$201,1,$H$2:$H$201,"&gt;"&amp;H40)+COUNTIFS($A$2:$A$201,$A40,$CT$2:$CT$201,1,$H$2:$H$201,H40,$AX$2:$AX$201,"&gt;"&amp;AX40)=0,1,0),0)</f>
        <v>0</v>
      </c>
      <c r="CV40" s="23" t="n">
        <f aca="false">IF(AND(CS40=1,INT(N(H40))&lt;=Config!$B$6),IF(COUNTIFS($AW$2:$AW$201,AW40,$CS$2:$CS$201,1,$H$2:$H$201,"&gt;"&amp;H40,$H$2:$H$201,"&lt;"&amp;(Config!$B$6+1))+COUNTIFS($AW$2:$AW$201,AW40,$CS$2:$CS$201,1,$H$2:$H$201,H40,$AX$2:$AX$201,"&gt;"&amp;AX40)=0,1,0),0)</f>
        <v>0</v>
      </c>
      <c r="CW40" s="23" t="n">
        <f aca="false">IF(AND(CS40=1,INT(N(H40))&lt;=Config!$B$7),IF(COUNTIFS($AW$2:$AW$201,AW40,$CS$2:$CS$201,1,$H$2:$H$201,"&gt;"&amp;H40,$H$2:$H$201,"&lt;"&amp;(Config!$B$7+1))+COUNTIFS($AW$2:$AW$201,AW40,$CS$2:$CS$201,1,$H$2:$H$201,H40,$AX$2:$AX$201,"&gt;"&amp;AX40)=0,1,0),0)</f>
        <v>0</v>
      </c>
      <c r="CX40" s="23" t="n">
        <f aca="false">IF(AND(CS40=1,INT(N(H40))&lt;=Config!$B$8),IF(COUNTIFS($AW$2:$AW$201,AW40,$CS$2:$CS$201,1,$H$2:$H$201,"&gt;"&amp;H40,$H$2:$H$201,"&lt;"&amp;(Config!$B$8+1))+COUNTIFS($AW$2:$AW$201,AW40,$CS$2:$CS$201,1,$H$2:$H$201,H40,$AX$2:$AX$201,"&gt;"&amp;AX40)=0,1,0),0)</f>
        <v>0</v>
      </c>
      <c r="CY40" s="23" t="n">
        <f aca="false">IF(AND(CS40=1,INT(N(H40))&lt;=Config!$B$5),IF(COUNTIFS($AW$2:$AW$201,AW40,$CS$2:$CS$201,1,$H$2:$H$201,"&gt;"&amp;H40,$H$2:$H$201,"&lt;"&amp;(Config!$B$5+1))+COUNTIFS($AW$2:$AW$201,AW40,$CS$2:$CS$201,1,$H$2:$H$201,H40,$AX$2:$AX$201,"&gt;"&amp;AX40)=0,1,0),0)</f>
        <v>0</v>
      </c>
      <c r="CZ40" s="23" t="n">
        <f aca="false">IF(AY40=1,IF(COUNTIFS($AW$2:$AW$201,AW40,$CV$2:$CV$201,1,$BB$2:$BB$201,1)&gt;0,1,0),0)</f>
        <v>0</v>
      </c>
      <c r="DA40" s="23" t="n">
        <f aca="false">IF(AY40=1,IF(COUNTIFS($AW$2:$AW$201,AW40,$CW$2:$CW$201,1,$BB$2:$BB$201,1)&gt;0,1,0),0)</f>
        <v>0</v>
      </c>
      <c r="DB40" s="23" t="n">
        <f aca="false">IF(AY40=1,IF(COUNTIFS($AW$2:$AW$201,AW40,$CX$2:$CX$201,1,$BB$2:$BB$201,1)&gt;0,1,0),0)</f>
        <v>0</v>
      </c>
      <c r="DC40" s="23" t="n">
        <f aca="false">IF(AY40=1,IF(COUNTIFS($AW$2:$AW$201,AW40,$CY$2:$CY$201,1,$BB$2:$BB$201,1)&gt;0,1,0),0)</f>
        <v>0</v>
      </c>
      <c r="DD40" s="23" t="n">
        <f aca="false">IF(AND(BC40=1,INT(N(H40))&lt;=Config!$B$6,CZ40=1),1,0)</f>
        <v>0</v>
      </c>
      <c r="DE40" s="23" t="n">
        <f aca="false">IF(AND(BC40=1,INT(N(H40))&lt;=Config!$B$7,DA40=1),1,0)</f>
        <v>0</v>
      </c>
      <c r="DF40" s="23" t="n">
        <f aca="false">IF(AND(BC40=1,INT(N(H40))&lt;=Config!$B$8,DB40=1),1,0)</f>
        <v>0</v>
      </c>
      <c r="DG40" s="23" t="n">
        <f aca="false">IF(AND(BC40=1,INT(N(H40))&lt;=Config!$B$5,DC40=1),1,0)</f>
        <v>0</v>
      </c>
      <c r="DH40" s="23" t="n">
        <f aca="false">IF(AND(BE40=1,INT(N(H40))&lt;=Config!$B$6,CZ40=1),1,0)</f>
        <v>0</v>
      </c>
      <c r="DI40" s="23" t="n">
        <f aca="false">IF(AND(BE40=1,INT(N(H40))&lt;=Config!$B$7,DA40=1),1,0)</f>
        <v>0</v>
      </c>
      <c r="DJ40" s="23" t="n">
        <f aca="false">IF(AND(BE40=1,INT(N(H40))&lt;=Config!$B$8,DB40=1),1,0)</f>
        <v>0</v>
      </c>
      <c r="DK40" s="23" t="n">
        <f aca="false">IF(AND(BE40=1,INT(N(H40))&lt;=Config!$B$5,DC40=1),1,0)</f>
        <v>0</v>
      </c>
      <c r="DL40" s="23" t="n">
        <f aca="false">IF(AND(BC40=1,INT(N(H40))&lt;=Config!$B$6,CZ40=0),1,0)</f>
        <v>0</v>
      </c>
      <c r="DM40" s="23" t="n">
        <f aca="false">IF(AND(BC40=1,INT(N(H40))&lt;=Config!$B$7,DA40=0),1,0)</f>
        <v>0</v>
      </c>
      <c r="DN40" s="23" t="n">
        <f aca="false">IF(AND(BC40=1,INT(N(H40))&lt;=Config!$B$8,DB40=0),1,0)</f>
        <v>0</v>
      </c>
      <c r="DO40" s="23" t="n">
        <f aca="false">IF(AND(BC40=1,INT(N(H40))&lt;=Config!$B$5,DC40=0),1,0)</f>
        <v>0</v>
      </c>
      <c r="DP40" s="23" t="n">
        <f aca="false">IF(TRIM($A40)="",0,ISTEXT(K40)+ISTEXT(L40)+ISTEXT(R40)+ISTEXT(V40)+ISTEXT(AP40)+ISTEXT(AS40))</f>
        <v>0</v>
      </c>
      <c r="DQ40" s="23" t="n">
        <f aca="false">IF(AY40=1,IF(H40&lt;&gt;INT(H40),1,0),0)</f>
        <v>0</v>
      </c>
      <c r="DR40" s="23" t="str">
        <f aca="false">IF(TRIM($A40)="","",IF(TRIM(B40)="",SUBSTITUTE(SUBSTITUTE(SUBSTITUTE(SUBSTITUTE(SUBSTITUTE(SUBSTITUTE(LOWER(TRIM($A40)),"~",""),"*",""),"?",""),"&lt;",""),"&gt;",""),"=",""),SUBSTITUTE(SUBSTITUTE(SUBSTITUTE(SUBSTITUTE(SUBSTITUTE(SUBSTITUTE(LOWER(TRIM(B40)),"~",""),"*",""),"?",""),"&lt;",""),"&gt;",""),"=","")))</f>
        <v/>
      </c>
      <c r="DS40" s="23" t="str">
        <f aca="false">IF(CM40="","",IFERROR(IF(LEFT(LOWER(TRIM(INDEX(Clay_Brands!$A$2:$FZ$601,CM40,Sync!$D$19)&amp;"")),4)="grp-",SUBSTITUTE(SUBSTITUTE(SUBSTITUTE(SUBSTITUTE(SUBSTITUTE(SUBSTITUTE(LOWER(TRIM(INDEX(Clay_Brands!$A$2:$FZ$601,CM40,Sync!$D$19)&amp;"")),"~",""),"*",""),"?",""),"&lt;",""),"&gt;",""),"=",""),""),""))</f>
        <v/>
      </c>
      <c r="DT40" s="23" t="str">
        <f aca="false">IF(DS40&lt;&gt;"",DR40,"")</f>
        <v/>
      </c>
      <c r="DU40" s="23" t="str">
        <f aca="false">IF(AZ40=1,AW40,"")</f>
        <v/>
      </c>
      <c r="DV40" s="23" t="str">
        <f aca="false">IF(TRIM($A40)="","",IFERROR(INDEX($A$2:$A$201,MATCH(AW40,$DU$2:$DU$201,0))&amp;"",$A40&amp;""))</f>
        <v/>
      </c>
      <c r="DW40" s="23" t="n">
        <f aca="false">IF(AY40=1,IF(COUNTIFS($A$2:$A$201,$A40,$AY$2:$AY$201,1,$H$2:$H$201,"&lt;"&amp;H40)+COUNTIFS($A$2:$A$201,$A40,$AY$2:$AY$201,1,$H$2:$H$201,H40,$AX$2:$AX$201,"&lt;"&amp;AX40)=0,1,0),0)</f>
        <v>0</v>
      </c>
      <c r="DX40" s="23" t="n">
        <f aca="false">IF(AZ40=1,IF(COUNTIFS($AW$2:$AW$201,AW40,$DW$2:$DW$201,1)&gt;1,1,0),0)</f>
        <v>0</v>
      </c>
    </row>
    <row r="41" customFormat="false" ht="15" hidden="false" customHeight="false" outlineLevel="0" collapsed="false">
      <c r="G41" s="32"/>
      <c r="H41" s="33"/>
      <c r="I41" s="32"/>
      <c r="O41" s="32"/>
      <c r="P41" s="32"/>
      <c r="U41" s="32"/>
      <c r="Y41" s="32"/>
      <c r="AB41" s="32"/>
      <c r="AC41" s="32"/>
      <c r="AD41" s="32"/>
      <c r="AE41" s="32"/>
      <c r="AF41" s="32"/>
      <c r="AG41" s="32"/>
      <c r="AI41" s="32"/>
      <c r="AJ41" s="32"/>
      <c r="AK41" s="32"/>
      <c r="AN41" s="32"/>
      <c r="AO41" s="32"/>
      <c r="AR41" s="32"/>
      <c r="AT41" s="32"/>
      <c r="AV41" s="34" t="str">
        <f aca="false">IF(TRIM($A41)="","",IF(AND(LEFT($A41,6)="SAMPLE",Config!$B$19&lt;&gt;"Y"),"",IF(NOT(ISNUMBER(H41)),"call_date is blank or not a date",IF(Sync!$D$5="","Clay paste is empty or has no row_id column: paste the Clay export on Clay_Brands",IF(CM41="","row_id not found in the Clay paste: add the Clay row or fix the row_id",IF(AND(ISNUMBER(CO41),CO41&gt;=1,CO41&lt;=5),"Clay status is "&amp;CN41&amp;": set call_done or later",IF(AND(BA41=1,CP41&lt;&gt;CB41),"Clay yes_in_principle should be "&amp;CB41,IF(AND(BA41=1,CQ41&lt;&gt;H41),"Clay call_date should be "&amp;TEXT(H41,"yyyy-mm-dd"),""))))))))</f>
        <v/>
      </c>
      <c r="AW41" s="23" t="str">
        <f aca="false">IF(TRIM($A41)="","",IF(TRIM(C41)&lt;&gt;"",SUBSTITUTE(SUBSTITUTE(SUBSTITUTE(SUBSTITUTE(SUBSTITUTE(SUBSTITUTE(LOWER(TRIM(C41)),"~",""),"*",""),"?",""),"&lt;",""),"&gt;",""),"=",""),IF(DS41&lt;&gt;"",DS41,IFERROR(INDEX($DS$2:$DS$201,MATCH(DR41,$DT$2:$DT$201,0)),DR41))))</f>
        <v/>
      </c>
      <c r="AX41" s="23" t="n">
        <f aca="false">ROW()</f>
        <v>41</v>
      </c>
      <c r="AY41" s="23" t="n">
        <f aca="false">IF(AND(TRIM($A41)&lt;&gt;"",ISNUMBER(H41)),IF(AND(LEFT($A41,6)="SAMPLE",Config!$B$19&lt;&gt;"Y"),0,1),0)</f>
        <v>0</v>
      </c>
      <c r="AZ41" s="23" t="n">
        <f aca="false">IF(AY41=1,IF(COUNTIFS($AW$2:$AW$201,AW41,$AY$2:$AY$201,1,$H$2:$H$201,"&lt;"&amp;H41)+COUNTIFS($AW$2:$AW$201,AW41,$AY$2:$AY$201,1,$H$2:$H$201,H41,$AX$2:$AX$201,"&lt;"&amp;AX41)=0,1,0),0)</f>
        <v>0</v>
      </c>
      <c r="BA41" s="23" t="n">
        <f aca="false">IF(AY41=1,IF(COUNTIFS($A$2:$A$201,$A41,$AY$2:$AY$201,1,$H$2:$H$201,"&gt;"&amp;H41)+COUNTIFS($A$2:$A$201,$A41,$AY$2:$AY$201,1,$H$2:$H$201,H41,$AX$2:$AX$201,"&gt;"&amp;AX41)=0,1,0),0)</f>
        <v>0</v>
      </c>
      <c r="BB41" s="23" t="n">
        <f aca="false">IF(AND(AY41=1,O41="Y",MAX(N(R41),N(V41))&gt;=Config!$B$14),1,0)</f>
        <v>0</v>
      </c>
      <c r="BC41" s="23" t="n">
        <f aca="false">IF(BB41=1,IF(COUNTIFS($AW$2:$AW$201,AW41,$BB$2:$BB$201,1,$H$2:$H$201,"&lt;"&amp;H41)+COUNTIFS($AW$2:$AW$201,AW41,$BB$2:$BB$201,1,$H$2:$H$201,H41,$AX$2:$AX$201,"&lt;"&amp;AX41)=0,1,0),0)</f>
        <v>0</v>
      </c>
      <c r="BD41" s="23" t="n">
        <f aca="false">IF(AND(AY41=1,O41="Y",ISNUMBER(R41)),IF(R41&gt;=Config!$B$14,1,0),0)</f>
        <v>0</v>
      </c>
      <c r="BE41" s="23" t="n">
        <f aca="false">IF(BD41=1,IF(COUNTIFS($AW$2:$AW$201,AW41,$BD$2:$BD$201,1,$H$2:$H$201,"&lt;"&amp;H41)+COUNTIFS($AW$2:$AW$201,AW41,$BD$2:$BD$201,1,$H$2:$H$201,H41,$AX$2:$AX$201,"&lt;"&amp;AX41)=0,1,0),0)</f>
        <v>0</v>
      </c>
      <c r="BF41" s="23" t="n">
        <f aca="false">IF(AND(AY41=1,O41&lt;&gt;"Y",MAX(N(R41),N(V41))&gt;=Config!$B$14),1,0)</f>
        <v>0</v>
      </c>
      <c r="BG41" s="23" t="n">
        <f aca="false">IF(BF41=1,IF(COUNTIFS($AW$2:$AW$201,AW41,$BF$2:$BF$201,1,$H$2:$H$201,"&lt;"&amp;H41)+COUNTIFS($AW$2:$AW$201,AW41,$BF$2:$BF$201,1,$H$2:$H$201,H41,$AX$2:$AX$201,"&lt;"&amp;AX41)=0,1,0),0)</f>
        <v>0</v>
      </c>
      <c r="BH41" s="23" t="n">
        <f aca="false">IF(AND(AY41=1,ISNUMBER(R41)),1,0)</f>
        <v>0</v>
      </c>
      <c r="BI41" s="23" t="n">
        <f aca="false">IF(BH41=1,IF(COUNTIFS($AW$2:$AW$201,AW41,$BH$2:$BH$201,1,$H$2:$H$201,"&lt;"&amp;H41)+COUNTIFS($AW$2:$AW$201,AW41,$BH$2:$BH$201,1,$H$2:$H$201,H41,$AX$2:$AX$201,"&lt;"&amp;AX41)=0,1,0),0)</f>
        <v>0</v>
      </c>
      <c r="BJ41" s="23" t="str">
        <f aca="false">IF(AND(BI41=1,INT(N(H41))&lt;=Config!$B$6),R41,"")</f>
        <v/>
      </c>
      <c r="BK41" s="23" t="str">
        <f aca="false">IF(AND(BI41=1,INT(N(H41))&lt;=Config!$B$7),R41,"")</f>
        <v/>
      </c>
      <c r="BL41" s="23" t="str">
        <f aca="false">IF(AND(BI41=1,INT(N(H41))&lt;=Config!$B$8),R41,"")</f>
        <v/>
      </c>
      <c r="BM41" s="23" t="str">
        <f aca="false">IF(AND(BI41=1,INT(N(H41))&lt;=Config!$B$5),R41,"")</f>
        <v/>
      </c>
      <c r="BN41" s="23" t="n">
        <f aca="false">IF(AND(AY41=1,ISNUMBER(V41)),1,0)</f>
        <v>0</v>
      </c>
      <c r="BO41" s="23" t="n">
        <f aca="false">IF(BN41=1,IF(COUNTIFS($AW$2:$AW$201,AW41,$BN$2:$BN$201,1,$H$2:$H$201,"&lt;"&amp;H41)+COUNTIFS($AW$2:$AW$201,AW41,$BN$2:$BN$201,1,$H$2:$H$201,H41,$AX$2:$AX$201,"&lt;"&amp;AX41)=0,1,0),0)</f>
        <v>0</v>
      </c>
      <c r="BP41" s="23" t="str">
        <f aca="false">IF(AND(BO41=1,INT(N(H41))&lt;=Config!$B$6),V41,"")</f>
        <v/>
      </c>
      <c r="BQ41" s="23" t="str">
        <f aca="false">IF(AND(BO41=1,INT(N(H41))&lt;=Config!$B$7),V41,"")</f>
        <v/>
      </c>
      <c r="BR41" s="23" t="str">
        <f aca="false">IF(AND(BO41=1,INT(N(H41))&lt;=Config!$B$8),V41,"")</f>
        <v/>
      </c>
      <c r="BS41" s="23" t="str">
        <f aca="false">IF(AND(BO41=1,INT(N(H41))&lt;=Config!$B$5),V41,"")</f>
        <v/>
      </c>
      <c r="BT41" s="23" t="n">
        <f aca="false">IF(AND(AY41=1,ISNUMBER(K41)),1,0)</f>
        <v>0</v>
      </c>
      <c r="BU41" s="23" t="n">
        <f aca="false">IF(BT41=1,IF(COUNTIFS($AW$2:$AW$201,AW41,$BT$2:$BT$201,1,$H$2:$H$201,"&lt;"&amp;H41)+COUNTIFS($AW$2:$AW$201,AW41,$BT$2:$BT$201,1,$H$2:$H$201,H41,$AX$2:$AX$201,"&lt;"&amp;AX41)=0,1,0),0)</f>
        <v>0</v>
      </c>
      <c r="BV41" s="23" t="str">
        <f aca="false">IF(AND(BU41=1,INT(N(H41))&lt;=Config!$B$5),K41,"")</f>
        <v/>
      </c>
      <c r="BW41" s="23" t="n">
        <f aca="false">IF(AND(AY41=1,OR(AND(ISNUMBER(R41),TRIM(S41)=""),AND(ISNUMBER(V41),TRIM(W41)=""))),1,0)</f>
        <v>0</v>
      </c>
      <c r="BX41" s="23" t="str">
        <f aca="false">IF(AY41=1,AJ41&amp;"","")</f>
        <v/>
      </c>
      <c r="BY41" s="23" t="str">
        <f aca="false">IF(AY41=1,AK41&amp;"","")</f>
        <v/>
      </c>
      <c r="BZ41" s="23" t="str">
        <f aca="false">IF(AY41=1,AL41&amp;"","")</f>
        <v/>
      </c>
      <c r="CA41" s="23" t="str">
        <f aca="false">IF(AND(AY41=1,ISNUMBER(AS41),INT(N(H41))&lt;=Config!$B$5),AS41,"")</f>
        <v/>
      </c>
      <c r="CB41" s="23" t="str">
        <f aca="false">IF(AY41=1,IF(COUNTIFS($A$2:$A$201,$A41,$CU$2:$CU$201,1,$AN$2:$AN$201,"Y")&gt;0,"Y","N"),"")</f>
        <v/>
      </c>
      <c r="CC41" s="23" t="n">
        <f aca="false">IF(AND(AY41=1,AN41="Y"),IF(COUNTIFS($AW$2:$AW$201,AW41,$AN$2:$AN$201,"Y",$AY$2:$AY$201,1,$H$2:$H$201,"&lt;"&amp;H41)+COUNTIFS($AW$2:$AW$201,AW41,$AN$2:$AN$201,"Y",$AY$2:$AY$201,1,$H$2:$H$201,H41,$AX$2:$AX$201,"&lt;"&amp;AX41)=0,1,0),0)</f>
        <v>0</v>
      </c>
      <c r="CD41" s="23" t="n">
        <f aca="false">IF(AND(AY41=1,AB41="Y",AC41="Y",AD41="Y",AE41="Y",AF41="Y",AG41="Y",AI41="Y",TRIM(AH41)&lt;&gt;""),1,0)</f>
        <v>0</v>
      </c>
      <c r="CE41" s="23" t="n">
        <f aca="false">IF(CD41=1,IF(COUNTIFS($AW$2:$AW$201,AW41,$CD$2:$CD$201,1,$H$2:$H$201,"&lt;"&amp;H41)+COUNTIFS($AW$2:$AW$201,AW41,$CD$2:$CD$201,1,$H$2:$H$201,H41,$AX$2:$AX$201,"&lt;"&amp;AX41)=0,1,0),0)</f>
        <v>0</v>
      </c>
      <c r="CF41" s="23" t="n">
        <f aca="false">IF(AND(AY41=1,AO41="Y"),1,0)</f>
        <v>0</v>
      </c>
      <c r="CG41" s="23" t="n">
        <f aca="false">IF(CF41=1,IF(COUNTIFS($AW$2:$AW$201,AW41,$CF$2:$CF$201,1,$H$2:$H$201,"&lt;"&amp;H41)+COUNTIFS($AW$2:$AW$201,AW41,$CF$2:$CF$201,1,$H$2:$H$201,H41,$AX$2:$AX$201,"&lt;"&amp;AX41)=0,1,0),0)</f>
        <v>0</v>
      </c>
      <c r="CH41" s="23" t="n">
        <f aca="false">IF(AND(AY41=1,P41="Y"),1,0)</f>
        <v>0</v>
      </c>
      <c r="CI41" s="23" t="n">
        <f aca="false">IF(CH41=1,IF(COUNTIFS($AW$2:$AW$201,AW41,$CH$2:$CH$201,1,$H$2:$H$201,"&lt;"&amp;H41)+COUNTIFS($AW$2:$AW$201,AW41,$CH$2:$CH$201,1,$H$2:$H$201,H41,$AX$2:$AX$201,"&lt;"&amp;AX41)=0,1,0),0)</f>
        <v>0</v>
      </c>
      <c r="CJ41" s="23" t="str">
        <f aca="false">IF(AND(BU41=1,INT(N(H41))&lt;=Config!$B$5),L41,"")</f>
        <v/>
      </c>
      <c r="CK41" s="23" t="n">
        <f aca="false">IF(AND(AY41=1,AR41="Y"),1,0)</f>
        <v>0</v>
      </c>
      <c r="CL41" s="23" t="n">
        <f aca="false">IF(CK41=1,IF(COUNTIFS($AW$2:$AW$201,AW41,$CK$2:$CK$201,1,$H$2:$H$201,"&lt;"&amp;H41)+COUNTIFS($AW$2:$AW$201,AW41,$CK$2:$CK$201,1,$H$2:$H$201,H41,$AX$2:$AX$201,"&lt;"&amp;AX41)=0,1,0),0)</f>
        <v>0</v>
      </c>
      <c r="CM41" s="23" t="str">
        <f aca="false">IF(AY41=1,IFERROR(MATCH($A41,INDEX(Clay_Brands!$A$2:$FZ$601,0,Sync!$D$5),0),""),"")</f>
        <v/>
      </c>
      <c r="CN41" s="23" t="str">
        <f aca="false">IF(CM41="","",IFERROR(INDEX(Clay_Brands!$A$2:$FZ$601,CM41,Sync!$D$7)&amp;"",""))</f>
        <v/>
      </c>
      <c r="CO41" s="23" t="str">
        <f aca="false">IF(CN41="","",IFERROR(INDEX(Lists!$K$2:$K$15,MATCH(CN41,Lists!$J$2:$J$15,0)),""))</f>
        <v/>
      </c>
      <c r="CP41" s="23" t="str">
        <f aca="false">IF(CM41="","",IFERROR(INDEX(Clay_Brands!$A$2:$FZ$601,CM41,Sync!$D$17)&amp;"",""))</f>
        <v/>
      </c>
      <c r="CQ41" s="35" t="str">
        <f aca="false">IF(CM41="","",IFERROR(N(INDEX(Clay_Brands!$A$2:$FZ$601,CM41,Sync!$D$16)),0))</f>
        <v/>
      </c>
      <c r="CR41" s="23" t="n">
        <f aca="false">IF(AND(AY41=1,OR(O41="N",AND(OR(ISNUMBER(R41),ISNUMBER(V41)),MAX(N(R41),N(V41))&lt;Config!$B$14))),1,0)</f>
        <v>0</v>
      </c>
      <c r="CS41" s="23" t="n">
        <f aca="false">IF(OR(BB41=1,CR41=1),1,0)</f>
        <v>0</v>
      </c>
      <c r="CT41" s="23" t="n">
        <f aca="false">IF(AND(AY41=1,OR(AN41="Y",AN41="N",AN41="maybe")),1,0)</f>
        <v>0</v>
      </c>
      <c r="CU41" s="23" t="n">
        <f aca="false">IF(AND(CT41=1),IF(COUNTIFS($A$2:$A$201,$A41,$CT$2:$CT$201,1,$H$2:$H$201,"&gt;"&amp;H41)+COUNTIFS($A$2:$A$201,$A41,$CT$2:$CT$201,1,$H$2:$H$201,H41,$AX$2:$AX$201,"&gt;"&amp;AX41)=0,1,0),0)</f>
        <v>0</v>
      </c>
      <c r="CV41" s="23" t="n">
        <f aca="false">IF(AND(CS41=1,INT(N(H41))&lt;=Config!$B$6),IF(COUNTIFS($AW$2:$AW$201,AW41,$CS$2:$CS$201,1,$H$2:$H$201,"&gt;"&amp;H41,$H$2:$H$201,"&lt;"&amp;(Config!$B$6+1))+COUNTIFS($AW$2:$AW$201,AW41,$CS$2:$CS$201,1,$H$2:$H$201,H41,$AX$2:$AX$201,"&gt;"&amp;AX41)=0,1,0),0)</f>
        <v>0</v>
      </c>
      <c r="CW41" s="23" t="n">
        <f aca="false">IF(AND(CS41=1,INT(N(H41))&lt;=Config!$B$7),IF(COUNTIFS($AW$2:$AW$201,AW41,$CS$2:$CS$201,1,$H$2:$H$201,"&gt;"&amp;H41,$H$2:$H$201,"&lt;"&amp;(Config!$B$7+1))+COUNTIFS($AW$2:$AW$201,AW41,$CS$2:$CS$201,1,$H$2:$H$201,H41,$AX$2:$AX$201,"&gt;"&amp;AX41)=0,1,0),0)</f>
        <v>0</v>
      </c>
      <c r="CX41" s="23" t="n">
        <f aca="false">IF(AND(CS41=1,INT(N(H41))&lt;=Config!$B$8),IF(COUNTIFS($AW$2:$AW$201,AW41,$CS$2:$CS$201,1,$H$2:$H$201,"&gt;"&amp;H41,$H$2:$H$201,"&lt;"&amp;(Config!$B$8+1))+COUNTIFS($AW$2:$AW$201,AW41,$CS$2:$CS$201,1,$H$2:$H$201,H41,$AX$2:$AX$201,"&gt;"&amp;AX41)=0,1,0),0)</f>
        <v>0</v>
      </c>
      <c r="CY41" s="23" t="n">
        <f aca="false">IF(AND(CS41=1,INT(N(H41))&lt;=Config!$B$5),IF(COUNTIFS($AW$2:$AW$201,AW41,$CS$2:$CS$201,1,$H$2:$H$201,"&gt;"&amp;H41,$H$2:$H$201,"&lt;"&amp;(Config!$B$5+1))+COUNTIFS($AW$2:$AW$201,AW41,$CS$2:$CS$201,1,$H$2:$H$201,H41,$AX$2:$AX$201,"&gt;"&amp;AX41)=0,1,0),0)</f>
        <v>0</v>
      </c>
      <c r="CZ41" s="23" t="n">
        <f aca="false">IF(AY41=1,IF(COUNTIFS($AW$2:$AW$201,AW41,$CV$2:$CV$201,1,$BB$2:$BB$201,1)&gt;0,1,0),0)</f>
        <v>0</v>
      </c>
      <c r="DA41" s="23" t="n">
        <f aca="false">IF(AY41=1,IF(COUNTIFS($AW$2:$AW$201,AW41,$CW$2:$CW$201,1,$BB$2:$BB$201,1)&gt;0,1,0),0)</f>
        <v>0</v>
      </c>
      <c r="DB41" s="23" t="n">
        <f aca="false">IF(AY41=1,IF(COUNTIFS($AW$2:$AW$201,AW41,$CX$2:$CX$201,1,$BB$2:$BB$201,1)&gt;0,1,0),0)</f>
        <v>0</v>
      </c>
      <c r="DC41" s="23" t="n">
        <f aca="false">IF(AY41=1,IF(COUNTIFS($AW$2:$AW$201,AW41,$CY$2:$CY$201,1,$BB$2:$BB$201,1)&gt;0,1,0),0)</f>
        <v>0</v>
      </c>
      <c r="DD41" s="23" t="n">
        <f aca="false">IF(AND(BC41=1,INT(N(H41))&lt;=Config!$B$6,CZ41=1),1,0)</f>
        <v>0</v>
      </c>
      <c r="DE41" s="23" t="n">
        <f aca="false">IF(AND(BC41=1,INT(N(H41))&lt;=Config!$B$7,DA41=1),1,0)</f>
        <v>0</v>
      </c>
      <c r="DF41" s="23" t="n">
        <f aca="false">IF(AND(BC41=1,INT(N(H41))&lt;=Config!$B$8,DB41=1),1,0)</f>
        <v>0</v>
      </c>
      <c r="DG41" s="23" t="n">
        <f aca="false">IF(AND(BC41=1,INT(N(H41))&lt;=Config!$B$5,DC41=1),1,0)</f>
        <v>0</v>
      </c>
      <c r="DH41" s="23" t="n">
        <f aca="false">IF(AND(BE41=1,INT(N(H41))&lt;=Config!$B$6,CZ41=1),1,0)</f>
        <v>0</v>
      </c>
      <c r="DI41" s="23" t="n">
        <f aca="false">IF(AND(BE41=1,INT(N(H41))&lt;=Config!$B$7,DA41=1),1,0)</f>
        <v>0</v>
      </c>
      <c r="DJ41" s="23" t="n">
        <f aca="false">IF(AND(BE41=1,INT(N(H41))&lt;=Config!$B$8,DB41=1),1,0)</f>
        <v>0</v>
      </c>
      <c r="DK41" s="23" t="n">
        <f aca="false">IF(AND(BE41=1,INT(N(H41))&lt;=Config!$B$5,DC41=1),1,0)</f>
        <v>0</v>
      </c>
      <c r="DL41" s="23" t="n">
        <f aca="false">IF(AND(BC41=1,INT(N(H41))&lt;=Config!$B$6,CZ41=0),1,0)</f>
        <v>0</v>
      </c>
      <c r="DM41" s="23" t="n">
        <f aca="false">IF(AND(BC41=1,INT(N(H41))&lt;=Config!$B$7,DA41=0),1,0)</f>
        <v>0</v>
      </c>
      <c r="DN41" s="23" t="n">
        <f aca="false">IF(AND(BC41=1,INT(N(H41))&lt;=Config!$B$8,DB41=0),1,0)</f>
        <v>0</v>
      </c>
      <c r="DO41" s="23" t="n">
        <f aca="false">IF(AND(BC41=1,INT(N(H41))&lt;=Config!$B$5,DC41=0),1,0)</f>
        <v>0</v>
      </c>
      <c r="DP41" s="23" t="n">
        <f aca="false">IF(TRIM($A41)="",0,ISTEXT(K41)+ISTEXT(L41)+ISTEXT(R41)+ISTEXT(V41)+ISTEXT(AP41)+ISTEXT(AS41))</f>
        <v>0</v>
      </c>
      <c r="DQ41" s="23" t="n">
        <f aca="false">IF(AY41=1,IF(H41&lt;&gt;INT(H41),1,0),0)</f>
        <v>0</v>
      </c>
      <c r="DR41" s="23" t="str">
        <f aca="false">IF(TRIM($A41)="","",IF(TRIM(B41)="",SUBSTITUTE(SUBSTITUTE(SUBSTITUTE(SUBSTITUTE(SUBSTITUTE(SUBSTITUTE(LOWER(TRIM($A41)),"~",""),"*",""),"?",""),"&lt;",""),"&gt;",""),"=",""),SUBSTITUTE(SUBSTITUTE(SUBSTITUTE(SUBSTITUTE(SUBSTITUTE(SUBSTITUTE(LOWER(TRIM(B41)),"~",""),"*",""),"?",""),"&lt;",""),"&gt;",""),"=","")))</f>
        <v/>
      </c>
      <c r="DS41" s="23" t="str">
        <f aca="false">IF(CM41="","",IFERROR(IF(LEFT(LOWER(TRIM(INDEX(Clay_Brands!$A$2:$FZ$601,CM41,Sync!$D$19)&amp;"")),4)="grp-",SUBSTITUTE(SUBSTITUTE(SUBSTITUTE(SUBSTITUTE(SUBSTITUTE(SUBSTITUTE(LOWER(TRIM(INDEX(Clay_Brands!$A$2:$FZ$601,CM41,Sync!$D$19)&amp;"")),"~",""),"*",""),"?",""),"&lt;",""),"&gt;",""),"=",""),""),""))</f>
        <v/>
      </c>
      <c r="DT41" s="23" t="str">
        <f aca="false">IF(DS41&lt;&gt;"",DR41,"")</f>
        <v/>
      </c>
      <c r="DU41" s="23" t="str">
        <f aca="false">IF(AZ41=1,AW41,"")</f>
        <v/>
      </c>
      <c r="DV41" s="23" t="str">
        <f aca="false">IF(TRIM($A41)="","",IFERROR(INDEX($A$2:$A$201,MATCH(AW41,$DU$2:$DU$201,0))&amp;"",$A41&amp;""))</f>
        <v/>
      </c>
      <c r="DW41" s="23" t="n">
        <f aca="false">IF(AY41=1,IF(COUNTIFS($A$2:$A$201,$A41,$AY$2:$AY$201,1,$H$2:$H$201,"&lt;"&amp;H41)+COUNTIFS($A$2:$A$201,$A41,$AY$2:$AY$201,1,$H$2:$H$201,H41,$AX$2:$AX$201,"&lt;"&amp;AX41)=0,1,0),0)</f>
        <v>0</v>
      </c>
      <c r="DX41" s="23" t="n">
        <f aca="false">IF(AZ41=1,IF(COUNTIFS($AW$2:$AW$201,AW41,$DW$2:$DW$201,1)&gt;1,1,0),0)</f>
        <v>0</v>
      </c>
    </row>
    <row r="42" customFormat="false" ht="15" hidden="false" customHeight="false" outlineLevel="0" collapsed="false">
      <c r="G42" s="32"/>
      <c r="H42" s="33"/>
      <c r="I42" s="32"/>
      <c r="O42" s="32"/>
      <c r="P42" s="32"/>
      <c r="U42" s="32"/>
      <c r="Y42" s="32"/>
      <c r="AB42" s="32"/>
      <c r="AC42" s="32"/>
      <c r="AD42" s="32"/>
      <c r="AE42" s="32"/>
      <c r="AF42" s="32"/>
      <c r="AG42" s="32"/>
      <c r="AI42" s="32"/>
      <c r="AJ42" s="32"/>
      <c r="AK42" s="32"/>
      <c r="AN42" s="32"/>
      <c r="AO42" s="32"/>
      <c r="AR42" s="32"/>
      <c r="AT42" s="32"/>
      <c r="AV42" s="34" t="str">
        <f aca="false">IF(TRIM($A42)="","",IF(AND(LEFT($A42,6)="SAMPLE",Config!$B$19&lt;&gt;"Y"),"",IF(NOT(ISNUMBER(H42)),"call_date is blank or not a date",IF(Sync!$D$5="","Clay paste is empty or has no row_id column: paste the Clay export on Clay_Brands",IF(CM42="","row_id not found in the Clay paste: add the Clay row or fix the row_id",IF(AND(ISNUMBER(CO42),CO42&gt;=1,CO42&lt;=5),"Clay status is "&amp;CN42&amp;": set call_done or later",IF(AND(BA42=1,CP42&lt;&gt;CB42),"Clay yes_in_principle should be "&amp;CB42,IF(AND(BA42=1,CQ42&lt;&gt;H42),"Clay call_date should be "&amp;TEXT(H42,"yyyy-mm-dd"),""))))))))</f>
        <v/>
      </c>
      <c r="AW42" s="23" t="str">
        <f aca="false">IF(TRIM($A42)="","",IF(TRIM(C42)&lt;&gt;"",SUBSTITUTE(SUBSTITUTE(SUBSTITUTE(SUBSTITUTE(SUBSTITUTE(SUBSTITUTE(LOWER(TRIM(C42)),"~",""),"*",""),"?",""),"&lt;",""),"&gt;",""),"=",""),IF(DS42&lt;&gt;"",DS42,IFERROR(INDEX($DS$2:$DS$201,MATCH(DR42,$DT$2:$DT$201,0)),DR42))))</f>
        <v/>
      </c>
      <c r="AX42" s="23" t="n">
        <f aca="false">ROW()</f>
        <v>42</v>
      </c>
      <c r="AY42" s="23" t="n">
        <f aca="false">IF(AND(TRIM($A42)&lt;&gt;"",ISNUMBER(H42)),IF(AND(LEFT($A42,6)="SAMPLE",Config!$B$19&lt;&gt;"Y"),0,1),0)</f>
        <v>0</v>
      </c>
      <c r="AZ42" s="23" t="n">
        <f aca="false">IF(AY42=1,IF(COUNTIFS($AW$2:$AW$201,AW42,$AY$2:$AY$201,1,$H$2:$H$201,"&lt;"&amp;H42)+COUNTIFS($AW$2:$AW$201,AW42,$AY$2:$AY$201,1,$H$2:$H$201,H42,$AX$2:$AX$201,"&lt;"&amp;AX42)=0,1,0),0)</f>
        <v>0</v>
      </c>
      <c r="BA42" s="23" t="n">
        <f aca="false">IF(AY42=1,IF(COUNTIFS($A$2:$A$201,$A42,$AY$2:$AY$201,1,$H$2:$H$201,"&gt;"&amp;H42)+COUNTIFS($A$2:$A$201,$A42,$AY$2:$AY$201,1,$H$2:$H$201,H42,$AX$2:$AX$201,"&gt;"&amp;AX42)=0,1,0),0)</f>
        <v>0</v>
      </c>
      <c r="BB42" s="23" t="n">
        <f aca="false">IF(AND(AY42=1,O42="Y",MAX(N(R42),N(V42))&gt;=Config!$B$14),1,0)</f>
        <v>0</v>
      </c>
      <c r="BC42" s="23" t="n">
        <f aca="false">IF(BB42=1,IF(COUNTIFS($AW$2:$AW$201,AW42,$BB$2:$BB$201,1,$H$2:$H$201,"&lt;"&amp;H42)+COUNTIFS($AW$2:$AW$201,AW42,$BB$2:$BB$201,1,$H$2:$H$201,H42,$AX$2:$AX$201,"&lt;"&amp;AX42)=0,1,0),0)</f>
        <v>0</v>
      </c>
      <c r="BD42" s="23" t="n">
        <f aca="false">IF(AND(AY42=1,O42="Y",ISNUMBER(R42)),IF(R42&gt;=Config!$B$14,1,0),0)</f>
        <v>0</v>
      </c>
      <c r="BE42" s="23" t="n">
        <f aca="false">IF(BD42=1,IF(COUNTIFS($AW$2:$AW$201,AW42,$BD$2:$BD$201,1,$H$2:$H$201,"&lt;"&amp;H42)+COUNTIFS($AW$2:$AW$201,AW42,$BD$2:$BD$201,1,$H$2:$H$201,H42,$AX$2:$AX$201,"&lt;"&amp;AX42)=0,1,0),0)</f>
        <v>0</v>
      </c>
      <c r="BF42" s="23" t="n">
        <f aca="false">IF(AND(AY42=1,O42&lt;&gt;"Y",MAX(N(R42),N(V42))&gt;=Config!$B$14),1,0)</f>
        <v>0</v>
      </c>
      <c r="BG42" s="23" t="n">
        <f aca="false">IF(BF42=1,IF(COUNTIFS($AW$2:$AW$201,AW42,$BF$2:$BF$201,1,$H$2:$H$201,"&lt;"&amp;H42)+COUNTIFS($AW$2:$AW$201,AW42,$BF$2:$BF$201,1,$H$2:$H$201,H42,$AX$2:$AX$201,"&lt;"&amp;AX42)=0,1,0),0)</f>
        <v>0</v>
      </c>
      <c r="BH42" s="23" t="n">
        <f aca="false">IF(AND(AY42=1,ISNUMBER(R42)),1,0)</f>
        <v>0</v>
      </c>
      <c r="BI42" s="23" t="n">
        <f aca="false">IF(BH42=1,IF(COUNTIFS($AW$2:$AW$201,AW42,$BH$2:$BH$201,1,$H$2:$H$201,"&lt;"&amp;H42)+COUNTIFS($AW$2:$AW$201,AW42,$BH$2:$BH$201,1,$H$2:$H$201,H42,$AX$2:$AX$201,"&lt;"&amp;AX42)=0,1,0),0)</f>
        <v>0</v>
      </c>
      <c r="BJ42" s="23" t="str">
        <f aca="false">IF(AND(BI42=1,INT(N(H42))&lt;=Config!$B$6),R42,"")</f>
        <v/>
      </c>
      <c r="BK42" s="23" t="str">
        <f aca="false">IF(AND(BI42=1,INT(N(H42))&lt;=Config!$B$7),R42,"")</f>
        <v/>
      </c>
      <c r="BL42" s="23" t="str">
        <f aca="false">IF(AND(BI42=1,INT(N(H42))&lt;=Config!$B$8),R42,"")</f>
        <v/>
      </c>
      <c r="BM42" s="23" t="str">
        <f aca="false">IF(AND(BI42=1,INT(N(H42))&lt;=Config!$B$5),R42,"")</f>
        <v/>
      </c>
      <c r="BN42" s="23" t="n">
        <f aca="false">IF(AND(AY42=1,ISNUMBER(V42)),1,0)</f>
        <v>0</v>
      </c>
      <c r="BO42" s="23" t="n">
        <f aca="false">IF(BN42=1,IF(COUNTIFS($AW$2:$AW$201,AW42,$BN$2:$BN$201,1,$H$2:$H$201,"&lt;"&amp;H42)+COUNTIFS($AW$2:$AW$201,AW42,$BN$2:$BN$201,1,$H$2:$H$201,H42,$AX$2:$AX$201,"&lt;"&amp;AX42)=0,1,0),0)</f>
        <v>0</v>
      </c>
      <c r="BP42" s="23" t="str">
        <f aca="false">IF(AND(BO42=1,INT(N(H42))&lt;=Config!$B$6),V42,"")</f>
        <v/>
      </c>
      <c r="BQ42" s="23" t="str">
        <f aca="false">IF(AND(BO42=1,INT(N(H42))&lt;=Config!$B$7),V42,"")</f>
        <v/>
      </c>
      <c r="BR42" s="23" t="str">
        <f aca="false">IF(AND(BO42=1,INT(N(H42))&lt;=Config!$B$8),V42,"")</f>
        <v/>
      </c>
      <c r="BS42" s="23" t="str">
        <f aca="false">IF(AND(BO42=1,INT(N(H42))&lt;=Config!$B$5),V42,"")</f>
        <v/>
      </c>
      <c r="BT42" s="23" t="n">
        <f aca="false">IF(AND(AY42=1,ISNUMBER(K42)),1,0)</f>
        <v>0</v>
      </c>
      <c r="BU42" s="23" t="n">
        <f aca="false">IF(BT42=1,IF(COUNTIFS($AW$2:$AW$201,AW42,$BT$2:$BT$201,1,$H$2:$H$201,"&lt;"&amp;H42)+COUNTIFS($AW$2:$AW$201,AW42,$BT$2:$BT$201,1,$H$2:$H$201,H42,$AX$2:$AX$201,"&lt;"&amp;AX42)=0,1,0),0)</f>
        <v>0</v>
      </c>
      <c r="BV42" s="23" t="str">
        <f aca="false">IF(AND(BU42=1,INT(N(H42))&lt;=Config!$B$5),K42,"")</f>
        <v/>
      </c>
      <c r="BW42" s="23" t="n">
        <f aca="false">IF(AND(AY42=1,OR(AND(ISNUMBER(R42),TRIM(S42)=""),AND(ISNUMBER(V42),TRIM(W42)=""))),1,0)</f>
        <v>0</v>
      </c>
      <c r="BX42" s="23" t="str">
        <f aca="false">IF(AY42=1,AJ42&amp;"","")</f>
        <v/>
      </c>
      <c r="BY42" s="23" t="str">
        <f aca="false">IF(AY42=1,AK42&amp;"","")</f>
        <v/>
      </c>
      <c r="BZ42" s="23" t="str">
        <f aca="false">IF(AY42=1,AL42&amp;"","")</f>
        <v/>
      </c>
      <c r="CA42" s="23" t="str">
        <f aca="false">IF(AND(AY42=1,ISNUMBER(AS42),INT(N(H42))&lt;=Config!$B$5),AS42,"")</f>
        <v/>
      </c>
      <c r="CB42" s="23" t="str">
        <f aca="false">IF(AY42=1,IF(COUNTIFS($A$2:$A$201,$A42,$CU$2:$CU$201,1,$AN$2:$AN$201,"Y")&gt;0,"Y","N"),"")</f>
        <v/>
      </c>
      <c r="CC42" s="23" t="n">
        <f aca="false">IF(AND(AY42=1,AN42="Y"),IF(COUNTIFS($AW$2:$AW$201,AW42,$AN$2:$AN$201,"Y",$AY$2:$AY$201,1,$H$2:$H$201,"&lt;"&amp;H42)+COUNTIFS($AW$2:$AW$201,AW42,$AN$2:$AN$201,"Y",$AY$2:$AY$201,1,$H$2:$H$201,H42,$AX$2:$AX$201,"&lt;"&amp;AX42)=0,1,0),0)</f>
        <v>0</v>
      </c>
      <c r="CD42" s="23" t="n">
        <f aca="false">IF(AND(AY42=1,AB42="Y",AC42="Y",AD42="Y",AE42="Y",AF42="Y",AG42="Y",AI42="Y",TRIM(AH42)&lt;&gt;""),1,0)</f>
        <v>0</v>
      </c>
      <c r="CE42" s="23" t="n">
        <f aca="false">IF(CD42=1,IF(COUNTIFS($AW$2:$AW$201,AW42,$CD$2:$CD$201,1,$H$2:$H$201,"&lt;"&amp;H42)+COUNTIFS($AW$2:$AW$201,AW42,$CD$2:$CD$201,1,$H$2:$H$201,H42,$AX$2:$AX$201,"&lt;"&amp;AX42)=0,1,0),0)</f>
        <v>0</v>
      </c>
      <c r="CF42" s="23" t="n">
        <f aca="false">IF(AND(AY42=1,AO42="Y"),1,0)</f>
        <v>0</v>
      </c>
      <c r="CG42" s="23" t="n">
        <f aca="false">IF(CF42=1,IF(COUNTIFS($AW$2:$AW$201,AW42,$CF$2:$CF$201,1,$H$2:$H$201,"&lt;"&amp;H42)+COUNTIFS($AW$2:$AW$201,AW42,$CF$2:$CF$201,1,$H$2:$H$201,H42,$AX$2:$AX$201,"&lt;"&amp;AX42)=0,1,0),0)</f>
        <v>0</v>
      </c>
      <c r="CH42" s="23" t="n">
        <f aca="false">IF(AND(AY42=1,P42="Y"),1,0)</f>
        <v>0</v>
      </c>
      <c r="CI42" s="23" t="n">
        <f aca="false">IF(CH42=1,IF(COUNTIFS($AW$2:$AW$201,AW42,$CH$2:$CH$201,1,$H$2:$H$201,"&lt;"&amp;H42)+COUNTIFS($AW$2:$AW$201,AW42,$CH$2:$CH$201,1,$H$2:$H$201,H42,$AX$2:$AX$201,"&lt;"&amp;AX42)=0,1,0),0)</f>
        <v>0</v>
      </c>
      <c r="CJ42" s="23" t="str">
        <f aca="false">IF(AND(BU42=1,INT(N(H42))&lt;=Config!$B$5),L42,"")</f>
        <v/>
      </c>
      <c r="CK42" s="23" t="n">
        <f aca="false">IF(AND(AY42=1,AR42="Y"),1,0)</f>
        <v>0</v>
      </c>
      <c r="CL42" s="23" t="n">
        <f aca="false">IF(CK42=1,IF(COUNTIFS($AW$2:$AW$201,AW42,$CK$2:$CK$201,1,$H$2:$H$201,"&lt;"&amp;H42)+COUNTIFS($AW$2:$AW$201,AW42,$CK$2:$CK$201,1,$H$2:$H$201,H42,$AX$2:$AX$201,"&lt;"&amp;AX42)=0,1,0),0)</f>
        <v>0</v>
      </c>
      <c r="CM42" s="23" t="str">
        <f aca="false">IF(AY42=1,IFERROR(MATCH($A42,INDEX(Clay_Brands!$A$2:$FZ$601,0,Sync!$D$5),0),""),"")</f>
        <v/>
      </c>
      <c r="CN42" s="23" t="str">
        <f aca="false">IF(CM42="","",IFERROR(INDEX(Clay_Brands!$A$2:$FZ$601,CM42,Sync!$D$7)&amp;"",""))</f>
        <v/>
      </c>
      <c r="CO42" s="23" t="str">
        <f aca="false">IF(CN42="","",IFERROR(INDEX(Lists!$K$2:$K$15,MATCH(CN42,Lists!$J$2:$J$15,0)),""))</f>
        <v/>
      </c>
      <c r="CP42" s="23" t="str">
        <f aca="false">IF(CM42="","",IFERROR(INDEX(Clay_Brands!$A$2:$FZ$601,CM42,Sync!$D$17)&amp;"",""))</f>
        <v/>
      </c>
      <c r="CQ42" s="35" t="str">
        <f aca="false">IF(CM42="","",IFERROR(N(INDEX(Clay_Brands!$A$2:$FZ$601,CM42,Sync!$D$16)),0))</f>
        <v/>
      </c>
      <c r="CR42" s="23" t="n">
        <f aca="false">IF(AND(AY42=1,OR(O42="N",AND(OR(ISNUMBER(R42),ISNUMBER(V42)),MAX(N(R42),N(V42))&lt;Config!$B$14))),1,0)</f>
        <v>0</v>
      </c>
      <c r="CS42" s="23" t="n">
        <f aca="false">IF(OR(BB42=1,CR42=1),1,0)</f>
        <v>0</v>
      </c>
      <c r="CT42" s="23" t="n">
        <f aca="false">IF(AND(AY42=1,OR(AN42="Y",AN42="N",AN42="maybe")),1,0)</f>
        <v>0</v>
      </c>
      <c r="CU42" s="23" t="n">
        <f aca="false">IF(AND(CT42=1),IF(COUNTIFS($A$2:$A$201,$A42,$CT$2:$CT$201,1,$H$2:$H$201,"&gt;"&amp;H42)+COUNTIFS($A$2:$A$201,$A42,$CT$2:$CT$201,1,$H$2:$H$201,H42,$AX$2:$AX$201,"&gt;"&amp;AX42)=0,1,0),0)</f>
        <v>0</v>
      </c>
      <c r="CV42" s="23" t="n">
        <f aca="false">IF(AND(CS42=1,INT(N(H42))&lt;=Config!$B$6),IF(COUNTIFS($AW$2:$AW$201,AW42,$CS$2:$CS$201,1,$H$2:$H$201,"&gt;"&amp;H42,$H$2:$H$201,"&lt;"&amp;(Config!$B$6+1))+COUNTIFS($AW$2:$AW$201,AW42,$CS$2:$CS$201,1,$H$2:$H$201,H42,$AX$2:$AX$201,"&gt;"&amp;AX42)=0,1,0),0)</f>
        <v>0</v>
      </c>
      <c r="CW42" s="23" t="n">
        <f aca="false">IF(AND(CS42=1,INT(N(H42))&lt;=Config!$B$7),IF(COUNTIFS($AW$2:$AW$201,AW42,$CS$2:$CS$201,1,$H$2:$H$201,"&gt;"&amp;H42,$H$2:$H$201,"&lt;"&amp;(Config!$B$7+1))+COUNTIFS($AW$2:$AW$201,AW42,$CS$2:$CS$201,1,$H$2:$H$201,H42,$AX$2:$AX$201,"&gt;"&amp;AX42)=0,1,0),0)</f>
        <v>0</v>
      </c>
      <c r="CX42" s="23" t="n">
        <f aca="false">IF(AND(CS42=1,INT(N(H42))&lt;=Config!$B$8),IF(COUNTIFS($AW$2:$AW$201,AW42,$CS$2:$CS$201,1,$H$2:$H$201,"&gt;"&amp;H42,$H$2:$H$201,"&lt;"&amp;(Config!$B$8+1))+COUNTIFS($AW$2:$AW$201,AW42,$CS$2:$CS$201,1,$H$2:$H$201,H42,$AX$2:$AX$201,"&gt;"&amp;AX42)=0,1,0),0)</f>
        <v>0</v>
      </c>
      <c r="CY42" s="23" t="n">
        <f aca="false">IF(AND(CS42=1,INT(N(H42))&lt;=Config!$B$5),IF(COUNTIFS($AW$2:$AW$201,AW42,$CS$2:$CS$201,1,$H$2:$H$201,"&gt;"&amp;H42,$H$2:$H$201,"&lt;"&amp;(Config!$B$5+1))+COUNTIFS($AW$2:$AW$201,AW42,$CS$2:$CS$201,1,$H$2:$H$201,H42,$AX$2:$AX$201,"&gt;"&amp;AX42)=0,1,0),0)</f>
        <v>0</v>
      </c>
      <c r="CZ42" s="23" t="n">
        <f aca="false">IF(AY42=1,IF(COUNTIFS($AW$2:$AW$201,AW42,$CV$2:$CV$201,1,$BB$2:$BB$201,1)&gt;0,1,0),0)</f>
        <v>0</v>
      </c>
      <c r="DA42" s="23" t="n">
        <f aca="false">IF(AY42=1,IF(COUNTIFS($AW$2:$AW$201,AW42,$CW$2:$CW$201,1,$BB$2:$BB$201,1)&gt;0,1,0),0)</f>
        <v>0</v>
      </c>
      <c r="DB42" s="23" t="n">
        <f aca="false">IF(AY42=1,IF(COUNTIFS($AW$2:$AW$201,AW42,$CX$2:$CX$201,1,$BB$2:$BB$201,1)&gt;0,1,0),0)</f>
        <v>0</v>
      </c>
      <c r="DC42" s="23" t="n">
        <f aca="false">IF(AY42=1,IF(COUNTIFS($AW$2:$AW$201,AW42,$CY$2:$CY$201,1,$BB$2:$BB$201,1)&gt;0,1,0),0)</f>
        <v>0</v>
      </c>
      <c r="DD42" s="23" t="n">
        <f aca="false">IF(AND(BC42=1,INT(N(H42))&lt;=Config!$B$6,CZ42=1),1,0)</f>
        <v>0</v>
      </c>
      <c r="DE42" s="23" t="n">
        <f aca="false">IF(AND(BC42=1,INT(N(H42))&lt;=Config!$B$7,DA42=1),1,0)</f>
        <v>0</v>
      </c>
      <c r="DF42" s="23" t="n">
        <f aca="false">IF(AND(BC42=1,INT(N(H42))&lt;=Config!$B$8,DB42=1),1,0)</f>
        <v>0</v>
      </c>
      <c r="DG42" s="23" t="n">
        <f aca="false">IF(AND(BC42=1,INT(N(H42))&lt;=Config!$B$5,DC42=1),1,0)</f>
        <v>0</v>
      </c>
      <c r="DH42" s="23" t="n">
        <f aca="false">IF(AND(BE42=1,INT(N(H42))&lt;=Config!$B$6,CZ42=1),1,0)</f>
        <v>0</v>
      </c>
      <c r="DI42" s="23" t="n">
        <f aca="false">IF(AND(BE42=1,INT(N(H42))&lt;=Config!$B$7,DA42=1),1,0)</f>
        <v>0</v>
      </c>
      <c r="DJ42" s="23" t="n">
        <f aca="false">IF(AND(BE42=1,INT(N(H42))&lt;=Config!$B$8,DB42=1),1,0)</f>
        <v>0</v>
      </c>
      <c r="DK42" s="23" t="n">
        <f aca="false">IF(AND(BE42=1,INT(N(H42))&lt;=Config!$B$5,DC42=1),1,0)</f>
        <v>0</v>
      </c>
      <c r="DL42" s="23" t="n">
        <f aca="false">IF(AND(BC42=1,INT(N(H42))&lt;=Config!$B$6,CZ42=0),1,0)</f>
        <v>0</v>
      </c>
      <c r="DM42" s="23" t="n">
        <f aca="false">IF(AND(BC42=1,INT(N(H42))&lt;=Config!$B$7,DA42=0),1,0)</f>
        <v>0</v>
      </c>
      <c r="DN42" s="23" t="n">
        <f aca="false">IF(AND(BC42=1,INT(N(H42))&lt;=Config!$B$8,DB42=0),1,0)</f>
        <v>0</v>
      </c>
      <c r="DO42" s="23" t="n">
        <f aca="false">IF(AND(BC42=1,INT(N(H42))&lt;=Config!$B$5,DC42=0),1,0)</f>
        <v>0</v>
      </c>
      <c r="DP42" s="23" t="n">
        <f aca="false">IF(TRIM($A42)="",0,ISTEXT(K42)+ISTEXT(L42)+ISTEXT(R42)+ISTEXT(V42)+ISTEXT(AP42)+ISTEXT(AS42))</f>
        <v>0</v>
      </c>
      <c r="DQ42" s="23" t="n">
        <f aca="false">IF(AY42=1,IF(H42&lt;&gt;INT(H42),1,0),0)</f>
        <v>0</v>
      </c>
      <c r="DR42" s="23" t="str">
        <f aca="false">IF(TRIM($A42)="","",IF(TRIM(B42)="",SUBSTITUTE(SUBSTITUTE(SUBSTITUTE(SUBSTITUTE(SUBSTITUTE(SUBSTITUTE(LOWER(TRIM($A42)),"~",""),"*",""),"?",""),"&lt;",""),"&gt;",""),"=",""),SUBSTITUTE(SUBSTITUTE(SUBSTITUTE(SUBSTITUTE(SUBSTITUTE(SUBSTITUTE(LOWER(TRIM(B42)),"~",""),"*",""),"?",""),"&lt;",""),"&gt;",""),"=","")))</f>
        <v/>
      </c>
      <c r="DS42" s="23" t="str">
        <f aca="false">IF(CM42="","",IFERROR(IF(LEFT(LOWER(TRIM(INDEX(Clay_Brands!$A$2:$FZ$601,CM42,Sync!$D$19)&amp;"")),4)="grp-",SUBSTITUTE(SUBSTITUTE(SUBSTITUTE(SUBSTITUTE(SUBSTITUTE(SUBSTITUTE(LOWER(TRIM(INDEX(Clay_Brands!$A$2:$FZ$601,CM42,Sync!$D$19)&amp;"")),"~",""),"*",""),"?",""),"&lt;",""),"&gt;",""),"=",""),""),""))</f>
        <v/>
      </c>
      <c r="DT42" s="23" t="str">
        <f aca="false">IF(DS42&lt;&gt;"",DR42,"")</f>
        <v/>
      </c>
      <c r="DU42" s="23" t="str">
        <f aca="false">IF(AZ42=1,AW42,"")</f>
        <v/>
      </c>
      <c r="DV42" s="23" t="str">
        <f aca="false">IF(TRIM($A42)="","",IFERROR(INDEX($A$2:$A$201,MATCH(AW42,$DU$2:$DU$201,0))&amp;"",$A42&amp;""))</f>
        <v/>
      </c>
      <c r="DW42" s="23" t="n">
        <f aca="false">IF(AY42=1,IF(COUNTIFS($A$2:$A$201,$A42,$AY$2:$AY$201,1,$H$2:$H$201,"&lt;"&amp;H42)+COUNTIFS($A$2:$A$201,$A42,$AY$2:$AY$201,1,$H$2:$H$201,H42,$AX$2:$AX$201,"&lt;"&amp;AX42)=0,1,0),0)</f>
        <v>0</v>
      </c>
      <c r="DX42" s="23" t="n">
        <f aca="false">IF(AZ42=1,IF(COUNTIFS($AW$2:$AW$201,AW42,$DW$2:$DW$201,1)&gt;1,1,0),0)</f>
        <v>0</v>
      </c>
    </row>
    <row r="43" customFormat="false" ht="15" hidden="false" customHeight="false" outlineLevel="0" collapsed="false">
      <c r="G43" s="32"/>
      <c r="H43" s="33"/>
      <c r="I43" s="32"/>
      <c r="O43" s="32"/>
      <c r="P43" s="32"/>
      <c r="U43" s="32"/>
      <c r="Y43" s="32"/>
      <c r="AB43" s="32"/>
      <c r="AC43" s="32"/>
      <c r="AD43" s="32"/>
      <c r="AE43" s="32"/>
      <c r="AF43" s="32"/>
      <c r="AG43" s="32"/>
      <c r="AI43" s="32"/>
      <c r="AJ43" s="32"/>
      <c r="AK43" s="32"/>
      <c r="AN43" s="32"/>
      <c r="AO43" s="32"/>
      <c r="AR43" s="32"/>
      <c r="AT43" s="32"/>
      <c r="AV43" s="34" t="str">
        <f aca="false">IF(TRIM($A43)="","",IF(AND(LEFT($A43,6)="SAMPLE",Config!$B$19&lt;&gt;"Y"),"",IF(NOT(ISNUMBER(H43)),"call_date is blank or not a date",IF(Sync!$D$5="","Clay paste is empty or has no row_id column: paste the Clay export on Clay_Brands",IF(CM43="","row_id not found in the Clay paste: add the Clay row or fix the row_id",IF(AND(ISNUMBER(CO43),CO43&gt;=1,CO43&lt;=5),"Clay status is "&amp;CN43&amp;": set call_done or later",IF(AND(BA43=1,CP43&lt;&gt;CB43),"Clay yes_in_principle should be "&amp;CB43,IF(AND(BA43=1,CQ43&lt;&gt;H43),"Clay call_date should be "&amp;TEXT(H43,"yyyy-mm-dd"),""))))))))</f>
        <v/>
      </c>
      <c r="AW43" s="23" t="str">
        <f aca="false">IF(TRIM($A43)="","",IF(TRIM(C43)&lt;&gt;"",SUBSTITUTE(SUBSTITUTE(SUBSTITUTE(SUBSTITUTE(SUBSTITUTE(SUBSTITUTE(LOWER(TRIM(C43)),"~",""),"*",""),"?",""),"&lt;",""),"&gt;",""),"=",""),IF(DS43&lt;&gt;"",DS43,IFERROR(INDEX($DS$2:$DS$201,MATCH(DR43,$DT$2:$DT$201,0)),DR43))))</f>
        <v/>
      </c>
      <c r="AX43" s="23" t="n">
        <f aca="false">ROW()</f>
        <v>43</v>
      </c>
      <c r="AY43" s="23" t="n">
        <f aca="false">IF(AND(TRIM($A43)&lt;&gt;"",ISNUMBER(H43)),IF(AND(LEFT($A43,6)="SAMPLE",Config!$B$19&lt;&gt;"Y"),0,1),0)</f>
        <v>0</v>
      </c>
      <c r="AZ43" s="23" t="n">
        <f aca="false">IF(AY43=1,IF(COUNTIFS($AW$2:$AW$201,AW43,$AY$2:$AY$201,1,$H$2:$H$201,"&lt;"&amp;H43)+COUNTIFS($AW$2:$AW$201,AW43,$AY$2:$AY$201,1,$H$2:$H$201,H43,$AX$2:$AX$201,"&lt;"&amp;AX43)=0,1,0),0)</f>
        <v>0</v>
      </c>
      <c r="BA43" s="23" t="n">
        <f aca="false">IF(AY43=1,IF(COUNTIFS($A$2:$A$201,$A43,$AY$2:$AY$201,1,$H$2:$H$201,"&gt;"&amp;H43)+COUNTIFS($A$2:$A$201,$A43,$AY$2:$AY$201,1,$H$2:$H$201,H43,$AX$2:$AX$201,"&gt;"&amp;AX43)=0,1,0),0)</f>
        <v>0</v>
      </c>
      <c r="BB43" s="23" t="n">
        <f aca="false">IF(AND(AY43=1,O43="Y",MAX(N(R43),N(V43))&gt;=Config!$B$14),1,0)</f>
        <v>0</v>
      </c>
      <c r="BC43" s="23" t="n">
        <f aca="false">IF(BB43=1,IF(COUNTIFS($AW$2:$AW$201,AW43,$BB$2:$BB$201,1,$H$2:$H$201,"&lt;"&amp;H43)+COUNTIFS($AW$2:$AW$201,AW43,$BB$2:$BB$201,1,$H$2:$H$201,H43,$AX$2:$AX$201,"&lt;"&amp;AX43)=0,1,0),0)</f>
        <v>0</v>
      </c>
      <c r="BD43" s="23" t="n">
        <f aca="false">IF(AND(AY43=1,O43="Y",ISNUMBER(R43)),IF(R43&gt;=Config!$B$14,1,0),0)</f>
        <v>0</v>
      </c>
      <c r="BE43" s="23" t="n">
        <f aca="false">IF(BD43=1,IF(COUNTIFS($AW$2:$AW$201,AW43,$BD$2:$BD$201,1,$H$2:$H$201,"&lt;"&amp;H43)+COUNTIFS($AW$2:$AW$201,AW43,$BD$2:$BD$201,1,$H$2:$H$201,H43,$AX$2:$AX$201,"&lt;"&amp;AX43)=0,1,0),0)</f>
        <v>0</v>
      </c>
      <c r="BF43" s="23" t="n">
        <f aca="false">IF(AND(AY43=1,O43&lt;&gt;"Y",MAX(N(R43),N(V43))&gt;=Config!$B$14),1,0)</f>
        <v>0</v>
      </c>
      <c r="BG43" s="23" t="n">
        <f aca="false">IF(BF43=1,IF(COUNTIFS($AW$2:$AW$201,AW43,$BF$2:$BF$201,1,$H$2:$H$201,"&lt;"&amp;H43)+COUNTIFS($AW$2:$AW$201,AW43,$BF$2:$BF$201,1,$H$2:$H$201,H43,$AX$2:$AX$201,"&lt;"&amp;AX43)=0,1,0),0)</f>
        <v>0</v>
      </c>
      <c r="BH43" s="23" t="n">
        <f aca="false">IF(AND(AY43=1,ISNUMBER(R43)),1,0)</f>
        <v>0</v>
      </c>
      <c r="BI43" s="23" t="n">
        <f aca="false">IF(BH43=1,IF(COUNTIFS($AW$2:$AW$201,AW43,$BH$2:$BH$201,1,$H$2:$H$201,"&lt;"&amp;H43)+COUNTIFS($AW$2:$AW$201,AW43,$BH$2:$BH$201,1,$H$2:$H$201,H43,$AX$2:$AX$201,"&lt;"&amp;AX43)=0,1,0),0)</f>
        <v>0</v>
      </c>
      <c r="BJ43" s="23" t="str">
        <f aca="false">IF(AND(BI43=1,INT(N(H43))&lt;=Config!$B$6),R43,"")</f>
        <v/>
      </c>
      <c r="BK43" s="23" t="str">
        <f aca="false">IF(AND(BI43=1,INT(N(H43))&lt;=Config!$B$7),R43,"")</f>
        <v/>
      </c>
      <c r="BL43" s="23" t="str">
        <f aca="false">IF(AND(BI43=1,INT(N(H43))&lt;=Config!$B$8),R43,"")</f>
        <v/>
      </c>
      <c r="BM43" s="23" t="str">
        <f aca="false">IF(AND(BI43=1,INT(N(H43))&lt;=Config!$B$5),R43,"")</f>
        <v/>
      </c>
      <c r="BN43" s="23" t="n">
        <f aca="false">IF(AND(AY43=1,ISNUMBER(V43)),1,0)</f>
        <v>0</v>
      </c>
      <c r="BO43" s="23" t="n">
        <f aca="false">IF(BN43=1,IF(COUNTIFS($AW$2:$AW$201,AW43,$BN$2:$BN$201,1,$H$2:$H$201,"&lt;"&amp;H43)+COUNTIFS($AW$2:$AW$201,AW43,$BN$2:$BN$201,1,$H$2:$H$201,H43,$AX$2:$AX$201,"&lt;"&amp;AX43)=0,1,0),0)</f>
        <v>0</v>
      </c>
      <c r="BP43" s="23" t="str">
        <f aca="false">IF(AND(BO43=1,INT(N(H43))&lt;=Config!$B$6),V43,"")</f>
        <v/>
      </c>
      <c r="BQ43" s="23" t="str">
        <f aca="false">IF(AND(BO43=1,INT(N(H43))&lt;=Config!$B$7),V43,"")</f>
        <v/>
      </c>
      <c r="BR43" s="23" t="str">
        <f aca="false">IF(AND(BO43=1,INT(N(H43))&lt;=Config!$B$8),V43,"")</f>
        <v/>
      </c>
      <c r="BS43" s="23" t="str">
        <f aca="false">IF(AND(BO43=1,INT(N(H43))&lt;=Config!$B$5),V43,"")</f>
        <v/>
      </c>
      <c r="BT43" s="23" t="n">
        <f aca="false">IF(AND(AY43=1,ISNUMBER(K43)),1,0)</f>
        <v>0</v>
      </c>
      <c r="BU43" s="23" t="n">
        <f aca="false">IF(BT43=1,IF(COUNTIFS($AW$2:$AW$201,AW43,$BT$2:$BT$201,1,$H$2:$H$201,"&lt;"&amp;H43)+COUNTIFS($AW$2:$AW$201,AW43,$BT$2:$BT$201,1,$H$2:$H$201,H43,$AX$2:$AX$201,"&lt;"&amp;AX43)=0,1,0),0)</f>
        <v>0</v>
      </c>
      <c r="BV43" s="23" t="str">
        <f aca="false">IF(AND(BU43=1,INT(N(H43))&lt;=Config!$B$5),K43,"")</f>
        <v/>
      </c>
      <c r="BW43" s="23" t="n">
        <f aca="false">IF(AND(AY43=1,OR(AND(ISNUMBER(R43),TRIM(S43)=""),AND(ISNUMBER(V43),TRIM(W43)=""))),1,0)</f>
        <v>0</v>
      </c>
      <c r="BX43" s="23" t="str">
        <f aca="false">IF(AY43=1,AJ43&amp;"","")</f>
        <v/>
      </c>
      <c r="BY43" s="23" t="str">
        <f aca="false">IF(AY43=1,AK43&amp;"","")</f>
        <v/>
      </c>
      <c r="BZ43" s="23" t="str">
        <f aca="false">IF(AY43=1,AL43&amp;"","")</f>
        <v/>
      </c>
      <c r="CA43" s="23" t="str">
        <f aca="false">IF(AND(AY43=1,ISNUMBER(AS43),INT(N(H43))&lt;=Config!$B$5),AS43,"")</f>
        <v/>
      </c>
      <c r="CB43" s="23" t="str">
        <f aca="false">IF(AY43=1,IF(COUNTIFS($A$2:$A$201,$A43,$CU$2:$CU$201,1,$AN$2:$AN$201,"Y")&gt;0,"Y","N"),"")</f>
        <v/>
      </c>
      <c r="CC43" s="23" t="n">
        <f aca="false">IF(AND(AY43=1,AN43="Y"),IF(COUNTIFS($AW$2:$AW$201,AW43,$AN$2:$AN$201,"Y",$AY$2:$AY$201,1,$H$2:$H$201,"&lt;"&amp;H43)+COUNTIFS($AW$2:$AW$201,AW43,$AN$2:$AN$201,"Y",$AY$2:$AY$201,1,$H$2:$H$201,H43,$AX$2:$AX$201,"&lt;"&amp;AX43)=0,1,0),0)</f>
        <v>0</v>
      </c>
      <c r="CD43" s="23" t="n">
        <f aca="false">IF(AND(AY43=1,AB43="Y",AC43="Y",AD43="Y",AE43="Y",AF43="Y",AG43="Y",AI43="Y",TRIM(AH43)&lt;&gt;""),1,0)</f>
        <v>0</v>
      </c>
      <c r="CE43" s="23" t="n">
        <f aca="false">IF(CD43=1,IF(COUNTIFS($AW$2:$AW$201,AW43,$CD$2:$CD$201,1,$H$2:$H$201,"&lt;"&amp;H43)+COUNTIFS($AW$2:$AW$201,AW43,$CD$2:$CD$201,1,$H$2:$H$201,H43,$AX$2:$AX$201,"&lt;"&amp;AX43)=0,1,0),0)</f>
        <v>0</v>
      </c>
      <c r="CF43" s="23" t="n">
        <f aca="false">IF(AND(AY43=1,AO43="Y"),1,0)</f>
        <v>0</v>
      </c>
      <c r="CG43" s="23" t="n">
        <f aca="false">IF(CF43=1,IF(COUNTIFS($AW$2:$AW$201,AW43,$CF$2:$CF$201,1,$H$2:$H$201,"&lt;"&amp;H43)+COUNTIFS($AW$2:$AW$201,AW43,$CF$2:$CF$201,1,$H$2:$H$201,H43,$AX$2:$AX$201,"&lt;"&amp;AX43)=0,1,0),0)</f>
        <v>0</v>
      </c>
      <c r="CH43" s="23" t="n">
        <f aca="false">IF(AND(AY43=1,P43="Y"),1,0)</f>
        <v>0</v>
      </c>
      <c r="CI43" s="23" t="n">
        <f aca="false">IF(CH43=1,IF(COUNTIFS($AW$2:$AW$201,AW43,$CH$2:$CH$201,1,$H$2:$H$201,"&lt;"&amp;H43)+COUNTIFS($AW$2:$AW$201,AW43,$CH$2:$CH$201,1,$H$2:$H$201,H43,$AX$2:$AX$201,"&lt;"&amp;AX43)=0,1,0),0)</f>
        <v>0</v>
      </c>
      <c r="CJ43" s="23" t="str">
        <f aca="false">IF(AND(BU43=1,INT(N(H43))&lt;=Config!$B$5),L43,"")</f>
        <v/>
      </c>
      <c r="CK43" s="23" t="n">
        <f aca="false">IF(AND(AY43=1,AR43="Y"),1,0)</f>
        <v>0</v>
      </c>
      <c r="CL43" s="23" t="n">
        <f aca="false">IF(CK43=1,IF(COUNTIFS($AW$2:$AW$201,AW43,$CK$2:$CK$201,1,$H$2:$H$201,"&lt;"&amp;H43)+COUNTIFS($AW$2:$AW$201,AW43,$CK$2:$CK$201,1,$H$2:$H$201,H43,$AX$2:$AX$201,"&lt;"&amp;AX43)=0,1,0),0)</f>
        <v>0</v>
      </c>
      <c r="CM43" s="23" t="str">
        <f aca="false">IF(AY43=1,IFERROR(MATCH($A43,INDEX(Clay_Brands!$A$2:$FZ$601,0,Sync!$D$5),0),""),"")</f>
        <v/>
      </c>
      <c r="CN43" s="23" t="str">
        <f aca="false">IF(CM43="","",IFERROR(INDEX(Clay_Brands!$A$2:$FZ$601,CM43,Sync!$D$7)&amp;"",""))</f>
        <v/>
      </c>
      <c r="CO43" s="23" t="str">
        <f aca="false">IF(CN43="","",IFERROR(INDEX(Lists!$K$2:$K$15,MATCH(CN43,Lists!$J$2:$J$15,0)),""))</f>
        <v/>
      </c>
      <c r="CP43" s="23" t="str">
        <f aca="false">IF(CM43="","",IFERROR(INDEX(Clay_Brands!$A$2:$FZ$601,CM43,Sync!$D$17)&amp;"",""))</f>
        <v/>
      </c>
      <c r="CQ43" s="35" t="str">
        <f aca="false">IF(CM43="","",IFERROR(N(INDEX(Clay_Brands!$A$2:$FZ$601,CM43,Sync!$D$16)),0))</f>
        <v/>
      </c>
      <c r="CR43" s="23" t="n">
        <f aca="false">IF(AND(AY43=1,OR(O43="N",AND(OR(ISNUMBER(R43),ISNUMBER(V43)),MAX(N(R43),N(V43))&lt;Config!$B$14))),1,0)</f>
        <v>0</v>
      </c>
      <c r="CS43" s="23" t="n">
        <f aca="false">IF(OR(BB43=1,CR43=1),1,0)</f>
        <v>0</v>
      </c>
      <c r="CT43" s="23" t="n">
        <f aca="false">IF(AND(AY43=1,OR(AN43="Y",AN43="N",AN43="maybe")),1,0)</f>
        <v>0</v>
      </c>
      <c r="CU43" s="23" t="n">
        <f aca="false">IF(AND(CT43=1),IF(COUNTIFS($A$2:$A$201,$A43,$CT$2:$CT$201,1,$H$2:$H$201,"&gt;"&amp;H43)+COUNTIFS($A$2:$A$201,$A43,$CT$2:$CT$201,1,$H$2:$H$201,H43,$AX$2:$AX$201,"&gt;"&amp;AX43)=0,1,0),0)</f>
        <v>0</v>
      </c>
      <c r="CV43" s="23" t="n">
        <f aca="false">IF(AND(CS43=1,INT(N(H43))&lt;=Config!$B$6),IF(COUNTIFS($AW$2:$AW$201,AW43,$CS$2:$CS$201,1,$H$2:$H$201,"&gt;"&amp;H43,$H$2:$H$201,"&lt;"&amp;(Config!$B$6+1))+COUNTIFS($AW$2:$AW$201,AW43,$CS$2:$CS$201,1,$H$2:$H$201,H43,$AX$2:$AX$201,"&gt;"&amp;AX43)=0,1,0),0)</f>
        <v>0</v>
      </c>
      <c r="CW43" s="23" t="n">
        <f aca="false">IF(AND(CS43=1,INT(N(H43))&lt;=Config!$B$7),IF(COUNTIFS($AW$2:$AW$201,AW43,$CS$2:$CS$201,1,$H$2:$H$201,"&gt;"&amp;H43,$H$2:$H$201,"&lt;"&amp;(Config!$B$7+1))+COUNTIFS($AW$2:$AW$201,AW43,$CS$2:$CS$201,1,$H$2:$H$201,H43,$AX$2:$AX$201,"&gt;"&amp;AX43)=0,1,0),0)</f>
        <v>0</v>
      </c>
      <c r="CX43" s="23" t="n">
        <f aca="false">IF(AND(CS43=1,INT(N(H43))&lt;=Config!$B$8),IF(COUNTIFS($AW$2:$AW$201,AW43,$CS$2:$CS$201,1,$H$2:$H$201,"&gt;"&amp;H43,$H$2:$H$201,"&lt;"&amp;(Config!$B$8+1))+COUNTIFS($AW$2:$AW$201,AW43,$CS$2:$CS$201,1,$H$2:$H$201,H43,$AX$2:$AX$201,"&gt;"&amp;AX43)=0,1,0),0)</f>
        <v>0</v>
      </c>
      <c r="CY43" s="23" t="n">
        <f aca="false">IF(AND(CS43=1,INT(N(H43))&lt;=Config!$B$5),IF(COUNTIFS($AW$2:$AW$201,AW43,$CS$2:$CS$201,1,$H$2:$H$201,"&gt;"&amp;H43,$H$2:$H$201,"&lt;"&amp;(Config!$B$5+1))+COUNTIFS($AW$2:$AW$201,AW43,$CS$2:$CS$201,1,$H$2:$H$201,H43,$AX$2:$AX$201,"&gt;"&amp;AX43)=0,1,0),0)</f>
        <v>0</v>
      </c>
      <c r="CZ43" s="23" t="n">
        <f aca="false">IF(AY43=1,IF(COUNTIFS($AW$2:$AW$201,AW43,$CV$2:$CV$201,1,$BB$2:$BB$201,1)&gt;0,1,0),0)</f>
        <v>0</v>
      </c>
      <c r="DA43" s="23" t="n">
        <f aca="false">IF(AY43=1,IF(COUNTIFS($AW$2:$AW$201,AW43,$CW$2:$CW$201,1,$BB$2:$BB$201,1)&gt;0,1,0),0)</f>
        <v>0</v>
      </c>
      <c r="DB43" s="23" t="n">
        <f aca="false">IF(AY43=1,IF(COUNTIFS($AW$2:$AW$201,AW43,$CX$2:$CX$201,1,$BB$2:$BB$201,1)&gt;0,1,0),0)</f>
        <v>0</v>
      </c>
      <c r="DC43" s="23" t="n">
        <f aca="false">IF(AY43=1,IF(COUNTIFS($AW$2:$AW$201,AW43,$CY$2:$CY$201,1,$BB$2:$BB$201,1)&gt;0,1,0),0)</f>
        <v>0</v>
      </c>
      <c r="DD43" s="23" t="n">
        <f aca="false">IF(AND(BC43=1,INT(N(H43))&lt;=Config!$B$6,CZ43=1),1,0)</f>
        <v>0</v>
      </c>
      <c r="DE43" s="23" t="n">
        <f aca="false">IF(AND(BC43=1,INT(N(H43))&lt;=Config!$B$7,DA43=1),1,0)</f>
        <v>0</v>
      </c>
      <c r="DF43" s="23" t="n">
        <f aca="false">IF(AND(BC43=1,INT(N(H43))&lt;=Config!$B$8,DB43=1),1,0)</f>
        <v>0</v>
      </c>
      <c r="DG43" s="23" t="n">
        <f aca="false">IF(AND(BC43=1,INT(N(H43))&lt;=Config!$B$5,DC43=1),1,0)</f>
        <v>0</v>
      </c>
      <c r="DH43" s="23" t="n">
        <f aca="false">IF(AND(BE43=1,INT(N(H43))&lt;=Config!$B$6,CZ43=1),1,0)</f>
        <v>0</v>
      </c>
      <c r="DI43" s="23" t="n">
        <f aca="false">IF(AND(BE43=1,INT(N(H43))&lt;=Config!$B$7,DA43=1),1,0)</f>
        <v>0</v>
      </c>
      <c r="DJ43" s="23" t="n">
        <f aca="false">IF(AND(BE43=1,INT(N(H43))&lt;=Config!$B$8,DB43=1),1,0)</f>
        <v>0</v>
      </c>
      <c r="DK43" s="23" t="n">
        <f aca="false">IF(AND(BE43=1,INT(N(H43))&lt;=Config!$B$5,DC43=1),1,0)</f>
        <v>0</v>
      </c>
      <c r="DL43" s="23" t="n">
        <f aca="false">IF(AND(BC43=1,INT(N(H43))&lt;=Config!$B$6,CZ43=0),1,0)</f>
        <v>0</v>
      </c>
      <c r="DM43" s="23" t="n">
        <f aca="false">IF(AND(BC43=1,INT(N(H43))&lt;=Config!$B$7,DA43=0),1,0)</f>
        <v>0</v>
      </c>
      <c r="DN43" s="23" t="n">
        <f aca="false">IF(AND(BC43=1,INT(N(H43))&lt;=Config!$B$8,DB43=0),1,0)</f>
        <v>0</v>
      </c>
      <c r="DO43" s="23" t="n">
        <f aca="false">IF(AND(BC43=1,INT(N(H43))&lt;=Config!$B$5,DC43=0),1,0)</f>
        <v>0</v>
      </c>
      <c r="DP43" s="23" t="n">
        <f aca="false">IF(TRIM($A43)="",0,ISTEXT(K43)+ISTEXT(L43)+ISTEXT(R43)+ISTEXT(V43)+ISTEXT(AP43)+ISTEXT(AS43))</f>
        <v>0</v>
      </c>
      <c r="DQ43" s="23" t="n">
        <f aca="false">IF(AY43=1,IF(H43&lt;&gt;INT(H43),1,0),0)</f>
        <v>0</v>
      </c>
      <c r="DR43" s="23" t="str">
        <f aca="false">IF(TRIM($A43)="","",IF(TRIM(B43)="",SUBSTITUTE(SUBSTITUTE(SUBSTITUTE(SUBSTITUTE(SUBSTITUTE(SUBSTITUTE(LOWER(TRIM($A43)),"~",""),"*",""),"?",""),"&lt;",""),"&gt;",""),"=",""),SUBSTITUTE(SUBSTITUTE(SUBSTITUTE(SUBSTITUTE(SUBSTITUTE(SUBSTITUTE(LOWER(TRIM(B43)),"~",""),"*",""),"?",""),"&lt;",""),"&gt;",""),"=","")))</f>
        <v/>
      </c>
      <c r="DS43" s="23" t="str">
        <f aca="false">IF(CM43="","",IFERROR(IF(LEFT(LOWER(TRIM(INDEX(Clay_Brands!$A$2:$FZ$601,CM43,Sync!$D$19)&amp;"")),4)="grp-",SUBSTITUTE(SUBSTITUTE(SUBSTITUTE(SUBSTITUTE(SUBSTITUTE(SUBSTITUTE(LOWER(TRIM(INDEX(Clay_Brands!$A$2:$FZ$601,CM43,Sync!$D$19)&amp;"")),"~",""),"*",""),"?",""),"&lt;",""),"&gt;",""),"=",""),""),""))</f>
        <v/>
      </c>
      <c r="DT43" s="23" t="str">
        <f aca="false">IF(DS43&lt;&gt;"",DR43,"")</f>
        <v/>
      </c>
      <c r="DU43" s="23" t="str">
        <f aca="false">IF(AZ43=1,AW43,"")</f>
        <v/>
      </c>
      <c r="DV43" s="23" t="str">
        <f aca="false">IF(TRIM($A43)="","",IFERROR(INDEX($A$2:$A$201,MATCH(AW43,$DU$2:$DU$201,0))&amp;"",$A43&amp;""))</f>
        <v/>
      </c>
      <c r="DW43" s="23" t="n">
        <f aca="false">IF(AY43=1,IF(COUNTIFS($A$2:$A$201,$A43,$AY$2:$AY$201,1,$H$2:$H$201,"&lt;"&amp;H43)+COUNTIFS($A$2:$A$201,$A43,$AY$2:$AY$201,1,$H$2:$H$201,H43,$AX$2:$AX$201,"&lt;"&amp;AX43)=0,1,0),0)</f>
        <v>0</v>
      </c>
      <c r="DX43" s="23" t="n">
        <f aca="false">IF(AZ43=1,IF(COUNTIFS($AW$2:$AW$201,AW43,$DW$2:$DW$201,1)&gt;1,1,0),0)</f>
        <v>0</v>
      </c>
    </row>
    <row r="44" customFormat="false" ht="15" hidden="false" customHeight="false" outlineLevel="0" collapsed="false">
      <c r="G44" s="32"/>
      <c r="H44" s="33"/>
      <c r="I44" s="32"/>
      <c r="O44" s="32"/>
      <c r="P44" s="32"/>
      <c r="U44" s="32"/>
      <c r="Y44" s="32"/>
      <c r="AB44" s="32"/>
      <c r="AC44" s="32"/>
      <c r="AD44" s="32"/>
      <c r="AE44" s="32"/>
      <c r="AF44" s="32"/>
      <c r="AG44" s="32"/>
      <c r="AI44" s="32"/>
      <c r="AJ44" s="32"/>
      <c r="AK44" s="32"/>
      <c r="AN44" s="32"/>
      <c r="AO44" s="32"/>
      <c r="AR44" s="32"/>
      <c r="AT44" s="32"/>
      <c r="AV44" s="34" t="str">
        <f aca="false">IF(TRIM($A44)="","",IF(AND(LEFT($A44,6)="SAMPLE",Config!$B$19&lt;&gt;"Y"),"",IF(NOT(ISNUMBER(H44)),"call_date is blank or not a date",IF(Sync!$D$5="","Clay paste is empty or has no row_id column: paste the Clay export on Clay_Brands",IF(CM44="","row_id not found in the Clay paste: add the Clay row or fix the row_id",IF(AND(ISNUMBER(CO44),CO44&gt;=1,CO44&lt;=5),"Clay status is "&amp;CN44&amp;": set call_done or later",IF(AND(BA44=1,CP44&lt;&gt;CB44),"Clay yes_in_principle should be "&amp;CB44,IF(AND(BA44=1,CQ44&lt;&gt;H44),"Clay call_date should be "&amp;TEXT(H44,"yyyy-mm-dd"),""))))))))</f>
        <v/>
      </c>
      <c r="AW44" s="23" t="str">
        <f aca="false">IF(TRIM($A44)="","",IF(TRIM(C44)&lt;&gt;"",SUBSTITUTE(SUBSTITUTE(SUBSTITUTE(SUBSTITUTE(SUBSTITUTE(SUBSTITUTE(LOWER(TRIM(C44)),"~",""),"*",""),"?",""),"&lt;",""),"&gt;",""),"=",""),IF(DS44&lt;&gt;"",DS44,IFERROR(INDEX($DS$2:$DS$201,MATCH(DR44,$DT$2:$DT$201,0)),DR44))))</f>
        <v/>
      </c>
      <c r="AX44" s="23" t="n">
        <f aca="false">ROW()</f>
        <v>44</v>
      </c>
      <c r="AY44" s="23" t="n">
        <f aca="false">IF(AND(TRIM($A44)&lt;&gt;"",ISNUMBER(H44)),IF(AND(LEFT($A44,6)="SAMPLE",Config!$B$19&lt;&gt;"Y"),0,1),0)</f>
        <v>0</v>
      </c>
      <c r="AZ44" s="23" t="n">
        <f aca="false">IF(AY44=1,IF(COUNTIFS($AW$2:$AW$201,AW44,$AY$2:$AY$201,1,$H$2:$H$201,"&lt;"&amp;H44)+COUNTIFS($AW$2:$AW$201,AW44,$AY$2:$AY$201,1,$H$2:$H$201,H44,$AX$2:$AX$201,"&lt;"&amp;AX44)=0,1,0),0)</f>
        <v>0</v>
      </c>
      <c r="BA44" s="23" t="n">
        <f aca="false">IF(AY44=1,IF(COUNTIFS($A$2:$A$201,$A44,$AY$2:$AY$201,1,$H$2:$H$201,"&gt;"&amp;H44)+COUNTIFS($A$2:$A$201,$A44,$AY$2:$AY$201,1,$H$2:$H$201,H44,$AX$2:$AX$201,"&gt;"&amp;AX44)=0,1,0),0)</f>
        <v>0</v>
      </c>
      <c r="BB44" s="23" t="n">
        <f aca="false">IF(AND(AY44=1,O44="Y",MAX(N(R44),N(V44))&gt;=Config!$B$14),1,0)</f>
        <v>0</v>
      </c>
      <c r="BC44" s="23" t="n">
        <f aca="false">IF(BB44=1,IF(COUNTIFS($AW$2:$AW$201,AW44,$BB$2:$BB$201,1,$H$2:$H$201,"&lt;"&amp;H44)+COUNTIFS($AW$2:$AW$201,AW44,$BB$2:$BB$201,1,$H$2:$H$201,H44,$AX$2:$AX$201,"&lt;"&amp;AX44)=0,1,0),0)</f>
        <v>0</v>
      </c>
      <c r="BD44" s="23" t="n">
        <f aca="false">IF(AND(AY44=1,O44="Y",ISNUMBER(R44)),IF(R44&gt;=Config!$B$14,1,0),0)</f>
        <v>0</v>
      </c>
      <c r="BE44" s="23" t="n">
        <f aca="false">IF(BD44=1,IF(COUNTIFS($AW$2:$AW$201,AW44,$BD$2:$BD$201,1,$H$2:$H$201,"&lt;"&amp;H44)+COUNTIFS($AW$2:$AW$201,AW44,$BD$2:$BD$201,1,$H$2:$H$201,H44,$AX$2:$AX$201,"&lt;"&amp;AX44)=0,1,0),0)</f>
        <v>0</v>
      </c>
      <c r="BF44" s="23" t="n">
        <f aca="false">IF(AND(AY44=1,O44&lt;&gt;"Y",MAX(N(R44),N(V44))&gt;=Config!$B$14),1,0)</f>
        <v>0</v>
      </c>
      <c r="BG44" s="23" t="n">
        <f aca="false">IF(BF44=1,IF(COUNTIFS($AW$2:$AW$201,AW44,$BF$2:$BF$201,1,$H$2:$H$201,"&lt;"&amp;H44)+COUNTIFS($AW$2:$AW$201,AW44,$BF$2:$BF$201,1,$H$2:$H$201,H44,$AX$2:$AX$201,"&lt;"&amp;AX44)=0,1,0),0)</f>
        <v>0</v>
      </c>
      <c r="BH44" s="23" t="n">
        <f aca="false">IF(AND(AY44=1,ISNUMBER(R44)),1,0)</f>
        <v>0</v>
      </c>
      <c r="BI44" s="23" t="n">
        <f aca="false">IF(BH44=1,IF(COUNTIFS($AW$2:$AW$201,AW44,$BH$2:$BH$201,1,$H$2:$H$201,"&lt;"&amp;H44)+COUNTIFS($AW$2:$AW$201,AW44,$BH$2:$BH$201,1,$H$2:$H$201,H44,$AX$2:$AX$201,"&lt;"&amp;AX44)=0,1,0),0)</f>
        <v>0</v>
      </c>
      <c r="BJ44" s="23" t="str">
        <f aca="false">IF(AND(BI44=1,INT(N(H44))&lt;=Config!$B$6),R44,"")</f>
        <v/>
      </c>
      <c r="BK44" s="23" t="str">
        <f aca="false">IF(AND(BI44=1,INT(N(H44))&lt;=Config!$B$7),R44,"")</f>
        <v/>
      </c>
      <c r="BL44" s="23" t="str">
        <f aca="false">IF(AND(BI44=1,INT(N(H44))&lt;=Config!$B$8),R44,"")</f>
        <v/>
      </c>
      <c r="BM44" s="23" t="str">
        <f aca="false">IF(AND(BI44=1,INT(N(H44))&lt;=Config!$B$5),R44,"")</f>
        <v/>
      </c>
      <c r="BN44" s="23" t="n">
        <f aca="false">IF(AND(AY44=1,ISNUMBER(V44)),1,0)</f>
        <v>0</v>
      </c>
      <c r="BO44" s="23" t="n">
        <f aca="false">IF(BN44=1,IF(COUNTIFS($AW$2:$AW$201,AW44,$BN$2:$BN$201,1,$H$2:$H$201,"&lt;"&amp;H44)+COUNTIFS($AW$2:$AW$201,AW44,$BN$2:$BN$201,1,$H$2:$H$201,H44,$AX$2:$AX$201,"&lt;"&amp;AX44)=0,1,0),0)</f>
        <v>0</v>
      </c>
      <c r="BP44" s="23" t="str">
        <f aca="false">IF(AND(BO44=1,INT(N(H44))&lt;=Config!$B$6),V44,"")</f>
        <v/>
      </c>
      <c r="BQ44" s="23" t="str">
        <f aca="false">IF(AND(BO44=1,INT(N(H44))&lt;=Config!$B$7),V44,"")</f>
        <v/>
      </c>
      <c r="BR44" s="23" t="str">
        <f aca="false">IF(AND(BO44=1,INT(N(H44))&lt;=Config!$B$8),V44,"")</f>
        <v/>
      </c>
      <c r="BS44" s="23" t="str">
        <f aca="false">IF(AND(BO44=1,INT(N(H44))&lt;=Config!$B$5),V44,"")</f>
        <v/>
      </c>
      <c r="BT44" s="23" t="n">
        <f aca="false">IF(AND(AY44=1,ISNUMBER(K44)),1,0)</f>
        <v>0</v>
      </c>
      <c r="BU44" s="23" t="n">
        <f aca="false">IF(BT44=1,IF(COUNTIFS($AW$2:$AW$201,AW44,$BT$2:$BT$201,1,$H$2:$H$201,"&lt;"&amp;H44)+COUNTIFS($AW$2:$AW$201,AW44,$BT$2:$BT$201,1,$H$2:$H$201,H44,$AX$2:$AX$201,"&lt;"&amp;AX44)=0,1,0),0)</f>
        <v>0</v>
      </c>
      <c r="BV44" s="23" t="str">
        <f aca="false">IF(AND(BU44=1,INT(N(H44))&lt;=Config!$B$5),K44,"")</f>
        <v/>
      </c>
      <c r="BW44" s="23" t="n">
        <f aca="false">IF(AND(AY44=1,OR(AND(ISNUMBER(R44),TRIM(S44)=""),AND(ISNUMBER(V44),TRIM(W44)=""))),1,0)</f>
        <v>0</v>
      </c>
      <c r="BX44" s="23" t="str">
        <f aca="false">IF(AY44=1,AJ44&amp;"","")</f>
        <v/>
      </c>
      <c r="BY44" s="23" t="str">
        <f aca="false">IF(AY44=1,AK44&amp;"","")</f>
        <v/>
      </c>
      <c r="BZ44" s="23" t="str">
        <f aca="false">IF(AY44=1,AL44&amp;"","")</f>
        <v/>
      </c>
      <c r="CA44" s="23" t="str">
        <f aca="false">IF(AND(AY44=1,ISNUMBER(AS44),INT(N(H44))&lt;=Config!$B$5),AS44,"")</f>
        <v/>
      </c>
      <c r="CB44" s="23" t="str">
        <f aca="false">IF(AY44=1,IF(COUNTIFS($A$2:$A$201,$A44,$CU$2:$CU$201,1,$AN$2:$AN$201,"Y")&gt;0,"Y","N"),"")</f>
        <v/>
      </c>
      <c r="CC44" s="23" t="n">
        <f aca="false">IF(AND(AY44=1,AN44="Y"),IF(COUNTIFS($AW$2:$AW$201,AW44,$AN$2:$AN$201,"Y",$AY$2:$AY$201,1,$H$2:$H$201,"&lt;"&amp;H44)+COUNTIFS($AW$2:$AW$201,AW44,$AN$2:$AN$201,"Y",$AY$2:$AY$201,1,$H$2:$H$201,H44,$AX$2:$AX$201,"&lt;"&amp;AX44)=0,1,0),0)</f>
        <v>0</v>
      </c>
      <c r="CD44" s="23" t="n">
        <f aca="false">IF(AND(AY44=1,AB44="Y",AC44="Y",AD44="Y",AE44="Y",AF44="Y",AG44="Y",AI44="Y",TRIM(AH44)&lt;&gt;""),1,0)</f>
        <v>0</v>
      </c>
      <c r="CE44" s="23" t="n">
        <f aca="false">IF(CD44=1,IF(COUNTIFS($AW$2:$AW$201,AW44,$CD$2:$CD$201,1,$H$2:$H$201,"&lt;"&amp;H44)+COUNTIFS($AW$2:$AW$201,AW44,$CD$2:$CD$201,1,$H$2:$H$201,H44,$AX$2:$AX$201,"&lt;"&amp;AX44)=0,1,0),0)</f>
        <v>0</v>
      </c>
      <c r="CF44" s="23" t="n">
        <f aca="false">IF(AND(AY44=1,AO44="Y"),1,0)</f>
        <v>0</v>
      </c>
      <c r="CG44" s="23" t="n">
        <f aca="false">IF(CF44=1,IF(COUNTIFS($AW$2:$AW$201,AW44,$CF$2:$CF$201,1,$H$2:$H$201,"&lt;"&amp;H44)+COUNTIFS($AW$2:$AW$201,AW44,$CF$2:$CF$201,1,$H$2:$H$201,H44,$AX$2:$AX$201,"&lt;"&amp;AX44)=0,1,0),0)</f>
        <v>0</v>
      </c>
      <c r="CH44" s="23" t="n">
        <f aca="false">IF(AND(AY44=1,P44="Y"),1,0)</f>
        <v>0</v>
      </c>
      <c r="CI44" s="23" t="n">
        <f aca="false">IF(CH44=1,IF(COUNTIFS($AW$2:$AW$201,AW44,$CH$2:$CH$201,1,$H$2:$H$201,"&lt;"&amp;H44)+COUNTIFS($AW$2:$AW$201,AW44,$CH$2:$CH$201,1,$H$2:$H$201,H44,$AX$2:$AX$201,"&lt;"&amp;AX44)=0,1,0),0)</f>
        <v>0</v>
      </c>
      <c r="CJ44" s="23" t="str">
        <f aca="false">IF(AND(BU44=1,INT(N(H44))&lt;=Config!$B$5),L44,"")</f>
        <v/>
      </c>
      <c r="CK44" s="23" t="n">
        <f aca="false">IF(AND(AY44=1,AR44="Y"),1,0)</f>
        <v>0</v>
      </c>
      <c r="CL44" s="23" t="n">
        <f aca="false">IF(CK44=1,IF(COUNTIFS($AW$2:$AW$201,AW44,$CK$2:$CK$201,1,$H$2:$H$201,"&lt;"&amp;H44)+COUNTIFS($AW$2:$AW$201,AW44,$CK$2:$CK$201,1,$H$2:$H$201,H44,$AX$2:$AX$201,"&lt;"&amp;AX44)=0,1,0),0)</f>
        <v>0</v>
      </c>
      <c r="CM44" s="23" t="str">
        <f aca="false">IF(AY44=1,IFERROR(MATCH($A44,INDEX(Clay_Brands!$A$2:$FZ$601,0,Sync!$D$5),0),""),"")</f>
        <v/>
      </c>
      <c r="CN44" s="23" t="str">
        <f aca="false">IF(CM44="","",IFERROR(INDEX(Clay_Brands!$A$2:$FZ$601,CM44,Sync!$D$7)&amp;"",""))</f>
        <v/>
      </c>
      <c r="CO44" s="23" t="str">
        <f aca="false">IF(CN44="","",IFERROR(INDEX(Lists!$K$2:$K$15,MATCH(CN44,Lists!$J$2:$J$15,0)),""))</f>
        <v/>
      </c>
      <c r="CP44" s="23" t="str">
        <f aca="false">IF(CM44="","",IFERROR(INDEX(Clay_Brands!$A$2:$FZ$601,CM44,Sync!$D$17)&amp;"",""))</f>
        <v/>
      </c>
      <c r="CQ44" s="35" t="str">
        <f aca="false">IF(CM44="","",IFERROR(N(INDEX(Clay_Brands!$A$2:$FZ$601,CM44,Sync!$D$16)),0))</f>
        <v/>
      </c>
      <c r="CR44" s="23" t="n">
        <f aca="false">IF(AND(AY44=1,OR(O44="N",AND(OR(ISNUMBER(R44),ISNUMBER(V44)),MAX(N(R44),N(V44))&lt;Config!$B$14))),1,0)</f>
        <v>0</v>
      </c>
      <c r="CS44" s="23" t="n">
        <f aca="false">IF(OR(BB44=1,CR44=1),1,0)</f>
        <v>0</v>
      </c>
      <c r="CT44" s="23" t="n">
        <f aca="false">IF(AND(AY44=1,OR(AN44="Y",AN44="N",AN44="maybe")),1,0)</f>
        <v>0</v>
      </c>
      <c r="CU44" s="23" t="n">
        <f aca="false">IF(AND(CT44=1),IF(COUNTIFS($A$2:$A$201,$A44,$CT$2:$CT$201,1,$H$2:$H$201,"&gt;"&amp;H44)+COUNTIFS($A$2:$A$201,$A44,$CT$2:$CT$201,1,$H$2:$H$201,H44,$AX$2:$AX$201,"&gt;"&amp;AX44)=0,1,0),0)</f>
        <v>0</v>
      </c>
      <c r="CV44" s="23" t="n">
        <f aca="false">IF(AND(CS44=1,INT(N(H44))&lt;=Config!$B$6),IF(COUNTIFS($AW$2:$AW$201,AW44,$CS$2:$CS$201,1,$H$2:$H$201,"&gt;"&amp;H44,$H$2:$H$201,"&lt;"&amp;(Config!$B$6+1))+COUNTIFS($AW$2:$AW$201,AW44,$CS$2:$CS$201,1,$H$2:$H$201,H44,$AX$2:$AX$201,"&gt;"&amp;AX44)=0,1,0),0)</f>
        <v>0</v>
      </c>
      <c r="CW44" s="23" t="n">
        <f aca="false">IF(AND(CS44=1,INT(N(H44))&lt;=Config!$B$7),IF(COUNTIFS($AW$2:$AW$201,AW44,$CS$2:$CS$201,1,$H$2:$H$201,"&gt;"&amp;H44,$H$2:$H$201,"&lt;"&amp;(Config!$B$7+1))+COUNTIFS($AW$2:$AW$201,AW44,$CS$2:$CS$201,1,$H$2:$H$201,H44,$AX$2:$AX$201,"&gt;"&amp;AX44)=0,1,0),0)</f>
        <v>0</v>
      </c>
      <c r="CX44" s="23" t="n">
        <f aca="false">IF(AND(CS44=1,INT(N(H44))&lt;=Config!$B$8),IF(COUNTIFS($AW$2:$AW$201,AW44,$CS$2:$CS$201,1,$H$2:$H$201,"&gt;"&amp;H44,$H$2:$H$201,"&lt;"&amp;(Config!$B$8+1))+COUNTIFS($AW$2:$AW$201,AW44,$CS$2:$CS$201,1,$H$2:$H$201,H44,$AX$2:$AX$201,"&gt;"&amp;AX44)=0,1,0),0)</f>
        <v>0</v>
      </c>
      <c r="CY44" s="23" t="n">
        <f aca="false">IF(AND(CS44=1,INT(N(H44))&lt;=Config!$B$5),IF(COUNTIFS($AW$2:$AW$201,AW44,$CS$2:$CS$201,1,$H$2:$H$201,"&gt;"&amp;H44,$H$2:$H$201,"&lt;"&amp;(Config!$B$5+1))+COUNTIFS($AW$2:$AW$201,AW44,$CS$2:$CS$201,1,$H$2:$H$201,H44,$AX$2:$AX$201,"&gt;"&amp;AX44)=0,1,0),0)</f>
        <v>0</v>
      </c>
      <c r="CZ44" s="23" t="n">
        <f aca="false">IF(AY44=1,IF(COUNTIFS($AW$2:$AW$201,AW44,$CV$2:$CV$201,1,$BB$2:$BB$201,1)&gt;0,1,0),0)</f>
        <v>0</v>
      </c>
      <c r="DA44" s="23" t="n">
        <f aca="false">IF(AY44=1,IF(COUNTIFS($AW$2:$AW$201,AW44,$CW$2:$CW$201,1,$BB$2:$BB$201,1)&gt;0,1,0),0)</f>
        <v>0</v>
      </c>
      <c r="DB44" s="23" t="n">
        <f aca="false">IF(AY44=1,IF(COUNTIFS($AW$2:$AW$201,AW44,$CX$2:$CX$201,1,$BB$2:$BB$201,1)&gt;0,1,0),0)</f>
        <v>0</v>
      </c>
      <c r="DC44" s="23" t="n">
        <f aca="false">IF(AY44=1,IF(COUNTIFS($AW$2:$AW$201,AW44,$CY$2:$CY$201,1,$BB$2:$BB$201,1)&gt;0,1,0),0)</f>
        <v>0</v>
      </c>
      <c r="DD44" s="23" t="n">
        <f aca="false">IF(AND(BC44=1,INT(N(H44))&lt;=Config!$B$6,CZ44=1),1,0)</f>
        <v>0</v>
      </c>
      <c r="DE44" s="23" t="n">
        <f aca="false">IF(AND(BC44=1,INT(N(H44))&lt;=Config!$B$7,DA44=1),1,0)</f>
        <v>0</v>
      </c>
      <c r="DF44" s="23" t="n">
        <f aca="false">IF(AND(BC44=1,INT(N(H44))&lt;=Config!$B$8,DB44=1),1,0)</f>
        <v>0</v>
      </c>
      <c r="DG44" s="23" t="n">
        <f aca="false">IF(AND(BC44=1,INT(N(H44))&lt;=Config!$B$5,DC44=1),1,0)</f>
        <v>0</v>
      </c>
      <c r="DH44" s="23" t="n">
        <f aca="false">IF(AND(BE44=1,INT(N(H44))&lt;=Config!$B$6,CZ44=1),1,0)</f>
        <v>0</v>
      </c>
      <c r="DI44" s="23" t="n">
        <f aca="false">IF(AND(BE44=1,INT(N(H44))&lt;=Config!$B$7,DA44=1),1,0)</f>
        <v>0</v>
      </c>
      <c r="DJ44" s="23" t="n">
        <f aca="false">IF(AND(BE44=1,INT(N(H44))&lt;=Config!$B$8,DB44=1),1,0)</f>
        <v>0</v>
      </c>
      <c r="DK44" s="23" t="n">
        <f aca="false">IF(AND(BE44=1,INT(N(H44))&lt;=Config!$B$5,DC44=1),1,0)</f>
        <v>0</v>
      </c>
      <c r="DL44" s="23" t="n">
        <f aca="false">IF(AND(BC44=1,INT(N(H44))&lt;=Config!$B$6,CZ44=0),1,0)</f>
        <v>0</v>
      </c>
      <c r="DM44" s="23" t="n">
        <f aca="false">IF(AND(BC44=1,INT(N(H44))&lt;=Config!$B$7,DA44=0),1,0)</f>
        <v>0</v>
      </c>
      <c r="DN44" s="23" t="n">
        <f aca="false">IF(AND(BC44=1,INT(N(H44))&lt;=Config!$B$8,DB44=0),1,0)</f>
        <v>0</v>
      </c>
      <c r="DO44" s="23" t="n">
        <f aca="false">IF(AND(BC44=1,INT(N(H44))&lt;=Config!$B$5,DC44=0),1,0)</f>
        <v>0</v>
      </c>
      <c r="DP44" s="23" t="n">
        <f aca="false">IF(TRIM($A44)="",0,ISTEXT(K44)+ISTEXT(L44)+ISTEXT(R44)+ISTEXT(V44)+ISTEXT(AP44)+ISTEXT(AS44))</f>
        <v>0</v>
      </c>
      <c r="DQ44" s="23" t="n">
        <f aca="false">IF(AY44=1,IF(H44&lt;&gt;INT(H44),1,0),0)</f>
        <v>0</v>
      </c>
      <c r="DR44" s="23" t="str">
        <f aca="false">IF(TRIM($A44)="","",IF(TRIM(B44)="",SUBSTITUTE(SUBSTITUTE(SUBSTITUTE(SUBSTITUTE(SUBSTITUTE(SUBSTITUTE(LOWER(TRIM($A44)),"~",""),"*",""),"?",""),"&lt;",""),"&gt;",""),"=",""),SUBSTITUTE(SUBSTITUTE(SUBSTITUTE(SUBSTITUTE(SUBSTITUTE(SUBSTITUTE(LOWER(TRIM(B44)),"~",""),"*",""),"?",""),"&lt;",""),"&gt;",""),"=","")))</f>
        <v/>
      </c>
      <c r="DS44" s="23" t="str">
        <f aca="false">IF(CM44="","",IFERROR(IF(LEFT(LOWER(TRIM(INDEX(Clay_Brands!$A$2:$FZ$601,CM44,Sync!$D$19)&amp;"")),4)="grp-",SUBSTITUTE(SUBSTITUTE(SUBSTITUTE(SUBSTITUTE(SUBSTITUTE(SUBSTITUTE(LOWER(TRIM(INDEX(Clay_Brands!$A$2:$FZ$601,CM44,Sync!$D$19)&amp;"")),"~",""),"*",""),"?",""),"&lt;",""),"&gt;",""),"=",""),""),""))</f>
        <v/>
      </c>
      <c r="DT44" s="23" t="str">
        <f aca="false">IF(DS44&lt;&gt;"",DR44,"")</f>
        <v/>
      </c>
      <c r="DU44" s="23" t="str">
        <f aca="false">IF(AZ44=1,AW44,"")</f>
        <v/>
      </c>
      <c r="DV44" s="23" t="str">
        <f aca="false">IF(TRIM($A44)="","",IFERROR(INDEX($A$2:$A$201,MATCH(AW44,$DU$2:$DU$201,0))&amp;"",$A44&amp;""))</f>
        <v/>
      </c>
      <c r="DW44" s="23" t="n">
        <f aca="false">IF(AY44=1,IF(COUNTIFS($A$2:$A$201,$A44,$AY$2:$AY$201,1,$H$2:$H$201,"&lt;"&amp;H44)+COUNTIFS($A$2:$A$201,$A44,$AY$2:$AY$201,1,$H$2:$H$201,H44,$AX$2:$AX$201,"&lt;"&amp;AX44)=0,1,0),0)</f>
        <v>0</v>
      </c>
      <c r="DX44" s="23" t="n">
        <f aca="false">IF(AZ44=1,IF(COUNTIFS($AW$2:$AW$201,AW44,$DW$2:$DW$201,1)&gt;1,1,0),0)</f>
        <v>0</v>
      </c>
    </row>
    <row r="45" customFormat="false" ht="15" hidden="false" customHeight="false" outlineLevel="0" collapsed="false">
      <c r="G45" s="32"/>
      <c r="H45" s="33"/>
      <c r="I45" s="32"/>
      <c r="O45" s="32"/>
      <c r="P45" s="32"/>
      <c r="U45" s="32"/>
      <c r="Y45" s="32"/>
      <c r="AB45" s="32"/>
      <c r="AC45" s="32"/>
      <c r="AD45" s="32"/>
      <c r="AE45" s="32"/>
      <c r="AF45" s="32"/>
      <c r="AG45" s="32"/>
      <c r="AI45" s="32"/>
      <c r="AJ45" s="32"/>
      <c r="AK45" s="32"/>
      <c r="AN45" s="32"/>
      <c r="AO45" s="32"/>
      <c r="AR45" s="32"/>
      <c r="AT45" s="32"/>
      <c r="AV45" s="34" t="str">
        <f aca="false">IF(TRIM($A45)="","",IF(AND(LEFT($A45,6)="SAMPLE",Config!$B$19&lt;&gt;"Y"),"",IF(NOT(ISNUMBER(H45)),"call_date is blank or not a date",IF(Sync!$D$5="","Clay paste is empty or has no row_id column: paste the Clay export on Clay_Brands",IF(CM45="","row_id not found in the Clay paste: add the Clay row or fix the row_id",IF(AND(ISNUMBER(CO45),CO45&gt;=1,CO45&lt;=5),"Clay status is "&amp;CN45&amp;": set call_done or later",IF(AND(BA45=1,CP45&lt;&gt;CB45),"Clay yes_in_principle should be "&amp;CB45,IF(AND(BA45=1,CQ45&lt;&gt;H45),"Clay call_date should be "&amp;TEXT(H45,"yyyy-mm-dd"),""))))))))</f>
        <v/>
      </c>
      <c r="AW45" s="23" t="str">
        <f aca="false">IF(TRIM($A45)="","",IF(TRIM(C45)&lt;&gt;"",SUBSTITUTE(SUBSTITUTE(SUBSTITUTE(SUBSTITUTE(SUBSTITUTE(SUBSTITUTE(LOWER(TRIM(C45)),"~",""),"*",""),"?",""),"&lt;",""),"&gt;",""),"=",""),IF(DS45&lt;&gt;"",DS45,IFERROR(INDEX($DS$2:$DS$201,MATCH(DR45,$DT$2:$DT$201,0)),DR45))))</f>
        <v/>
      </c>
      <c r="AX45" s="23" t="n">
        <f aca="false">ROW()</f>
        <v>45</v>
      </c>
      <c r="AY45" s="23" t="n">
        <f aca="false">IF(AND(TRIM($A45)&lt;&gt;"",ISNUMBER(H45)),IF(AND(LEFT($A45,6)="SAMPLE",Config!$B$19&lt;&gt;"Y"),0,1),0)</f>
        <v>0</v>
      </c>
      <c r="AZ45" s="23" t="n">
        <f aca="false">IF(AY45=1,IF(COUNTIFS($AW$2:$AW$201,AW45,$AY$2:$AY$201,1,$H$2:$H$201,"&lt;"&amp;H45)+COUNTIFS($AW$2:$AW$201,AW45,$AY$2:$AY$201,1,$H$2:$H$201,H45,$AX$2:$AX$201,"&lt;"&amp;AX45)=0,1,0),0)</f>
        <v>0</v>
      </c>
      <c r="BA45" s="23" t="n">
        <f aca="false">IF(AY45=1,IF(COUNTIFS($A$2:$A$201,$A45,$AY$2:$AY$201,1,$H$2:$H$201,"&gt;"&amp;H45)+COUNTIFS($A$2:$A$201,$A45,$AY$2:$AY$201,1,$H$2:$H$201,H45,$AX$2:$AX$201,"&gt;"&amp;AX45)=0,1,0),0)</f>
        <v>0</v>
      </c>
      <c r="BB45" s="23" t="n">
        <f aca="false">IF(AND(AY45=1,O45="Y",MAX(N(R45),N(V45))&gt;=Config!$B$14),1,0)</f>
        <v>0</v>
      </c>
      <c r="BC45" s="23" t="n">
        <f aca="false">IF(BB45=1,IF(COUNTIFS($AW$2:$AW$201,AW45,$BB$2:$BB$201,1,$H$2:$H$201,"&lt;"&amp;H45)+COUNTIFS($AW$2:$AW$201,AW45,$BB$2:$BB$201,1,$H$2:$H$201,H45,$AX$2:$AX$201,"&lt;"&amp;AX45)=0,1,0),0)</f>
        <v>0</v>
      </c>
      <c r="BD45" s="23" t="n">
        <f aca="false">IF(AND(AY45=1,O45="Y",ISNUMBER(R45)),IF(R45&gt;=Config!$B$14,1,0),0)</f>
        <v>0</v>
      </c>
      <c r="BE45" s="23" t="n">
        <f aca="false">IF(BD45=1,IF(COUNTIFS($AW$2:$AW$201,AW45,$BD$2:$BD$201,1,$H$2:$H$201,"&lt;"&amp;H45)+COUNTIFS($AW$2:$AW$201,AW45,$BD$2:$BD$201,1,$H$2:$H$201,H45,$AX$2:$AX$201,"&lt;"&amp;AX45)=0,1,0),0)</f>
        <v>0</v>
      </c>
      <c r="BF45" s="23" t="n">
        <f aca="false">IF(AND(AY45=1,O45&lt;&gt;"Y",MAX(N(R45),N(V45))&gt;=Config!$B$14),1,0)</f>
        <v>0</v>
      </c>
      <c r="BG45" s="23" t="n">
        <f aca="false">IF(BF45=1,IF(COUNTIFS($AW$2:$AW$201,AW45,$BF$2:$BF$201,1,$H$2:$H$201,"&lt;"&amp;H45)+COUNTIFS($AW$2:$AW$201,AW45,$BF$2:$BF$201,1,$H$2:$H$201,H45,$AX$2:$AX$201,"&lt;"&amp;AX45)=0,1,0),0)</f>
        <v>0</v>
      </c>
      <c r="BH45" s="23" t="n">
        <f aca="false">IF(AND(AY45=1,ISNUMBER(R45)),1,0)</f>
        <v>0</v>
      </c>
      <c r="BI45" s="23" t="n">
        <f aca="false">IF(BH45=1,IF(COUNTIFS($AW$2:$AW$201,AW45,$BH$2:$BH$201,1,$H$2:$H$201,"&lt;"&amp;H45)+COUNTIFS($AW$2:$AW$201,AW45,$BH$2:$BH$201,1,$H$2:$H$201,H45,$AX$2:$AX$201,"&lt;"&amp;AX45)=0,1,0),0)</f>
        <v>0</v>
      </c>
      <c r="BJ45" s="23" t="str">
        <f aca="false">IF(AND(BI45=1,INT(N(H45))&lt;=Config!$B$6),R45,"")</f>
        <v/>
      </c>
      <c r="BK45" s="23" t="str">
        <f aca="false">IF(AND(BI45=1,INT(N(H45))&lt;=Config!$B$7),R45,"")</f>
        <v/>
      </c>
      <c r="BL45" s="23" t="str">
        <f aca="false">IF(AND(BI45=1,INT(N(H45))&lt;=Config!$B$8),R45,"")</f>
        <v/>
      </c>
      <c r="BM45" s="23" t="str">
        <f aca="false">IF(AND(BI45=1,INT(N(H45))&lt;=Config!$B$5),R45,"")</f>
        <v/>
      </c>
      <c r="BN45" s="23" t="n">
        <f aca="false">IF(AND(AY45=1,ISNUMBER(V45)),1,0)</f>
        <v>0</v>
      </c>
      <c r="BO45" s="23" t="n">
        <f aca="false">IF(BN45=1,IF(COUNTIFS($AW$2:$AW$201,AW45,$BN$2:$BN$201,1,$H$2:$H$201,"&lt;"&amp;H45)+COUNTIFS($AW$2:$AW$201,AW45,$BN$2:$BN$201,1,$H$2:$H$201,H45,$AX$2:$AX$201,"&lt;"&amp;AX45)=0,1,0),0)</f>
        <v>0</v>
      </c>
      <c r="BP45" s="23" t="str">
        <f aca="false">IF(AND(BO45=1,INT(N(H45))&lt;=Config!$B$6),V45,"")</f>
        <v/>
      </c>
      <c r="BQ45" s="23" t="str">
        <f aca="false">IF(AND(BO45=1,INT(N(H45))&lt;=Config!$B$7),V45,"")</f>
        <v/>
      </c>
      <c r="BR45" s="23" t="str">
        <f aca="false">IF(AND(BO45=1,INT(N(H45))&lt;=Config!$B$8),V45,"")</f>
        <v/>
      </c>
      <c r="BS45" s="23" t="str">
        <f aca="false">IF(AND(BO45=1,INT(N(H45))&lt;=Config!$B$5),V45,"")</f>
        <v/>
      </c>
      <c r="BT45" s="23" t="n">
        <f aca="false">IF(AND(AY45=1,ISNUMBER(K45)),1,0)</f>
        <v>0</v>
      </c>
      <c r="BU45" s="23" t="n">
        <f aca="false">IF(BT45=1,IF(COUNTIFS($AW$2:$AW$201,AW45,$BT$2:$BT$201,1,$H$2:$H$201,"&lt;"&amp;H45)+COUNTIFS($AW$2:$AW$201,AW45,$BT$2:$BT$201,1,$H$2:$H$201,H45,$AX$2:$AX$201,"&lt;"&amp;AX45)=0,1,0),0)</f>
        <v>0</v>
      </c>
      <c r="BV45" s="23" t="str">
        <f aca="false">IF(AND(BU45=1,INT(N(H45))&lt;=Config!$B$5),K45,"")</f>
        <v/>
      </c>
      <c r="BW45" s="23" t="n">
        <f aca="false">IF(AND(AY45=1,OR(AND(ISNUMBER(R45),TRIM(S45)=""),AND(ISNUMBER(V45),TRIM(W45)=""))),1,0)</f>
        <v>0</v>
      </c>
      <c r="BX45" s="23" t="str">
        <f aca="false">IF(AY45=1,AJ45&amp;"","")</f>
        <v/>
      </c>
      <c r="BY45" s="23" t="str">
        <f aca="false">IF(AY45=1,AK45&amp;"","")</f>
        <v/>
      </c>
      <c r="BZ45" s="23" t="str">
        <f aca="false">IF(AY45=1,AL45&amp;"","")</f>
        <v/>
      </c>
      <c r="CA45" s="23" t="str">
        <f aca="false">IF(AND(AY45=1,ISNUMBER(AS45),INT(N(H45))&lt;=Config!$B$5),AS45,"")</f>
        <v/>
      </c>
      <c r="CB45" s="23" t="str">
        <f aca="false">IF(AY45=1,IF(COUNTIFS($A$2:$A$201,$A45,$CU$2:$CU$201,1,$AN$2:$AN$201,"Y")&gt;0,"Y","N"),"")</f>
        <v/>
      </c>
      <c r="CC45" s="23" t="n">
        <f aca="false">IF(AND(AY45=1,AN45="Y"),IF(COUNTIFS($AW$2:$AW$201,AW45,$AN$2:$AN$201,"Y",$AY$2:$AY$201,1,$H$2:$H$201,"&lt;"&amp;H45)+COUNTIFS($AW$2:$AW$201,AW45,$AN$2:$AN$201,"Y",$AY$2:$AY$201,1,$H$2:$H$201,H45,$AX$2:$AX$201,"&lt;"&amp;AX45)=0,1,0),0)</f>
        <v>0</v>
      </c>
      <c r="CD45" s="23" t="n">
        <f aca="false">IF(AND(AY45=1,AB45="Y",AC45="Y",AD45="Y",AE45="Y",AF45="Y",AG45="Y",AI45="Y",TRIM(AH45)&lt;&gt;""),1,0)</f>
        <v>0</v>
      </c>
      <c r="CE45" s="23" t="n">
        <f aca="false">IF(CD45=1,IF(COUNTIFS($AW$2:$AW$201,AW45,$CD$2:$CD$201,1,$H$2:$H$201,"&lt;"&amp;H45)+COUNTIFS($AW$2:$AW$201,AW45,$CD$2:$CD$201,1,$H$2:$H$201,H45,$AX$2:$AX$201,"&lt;"&amp;AX45)=0,1,0),0)</f>
        <v>0</v>
      </c>
      <c r="CF45" s="23" t="n">
        <f aca="false">IF(AND(AY45=1,AO45="Y"),1,0)</f>
        <v>0</v>
      </c>
      <c r="CG45" s="23" t="n">
        <f aca="false">IF(CF45=1,IF(COUNTIFS($AW$2:$AW$201,AW45,$CF$2:$CF$201,1,$H$2:$H$201,"&lt;"&amp;H45)+COUNTIFS($AW$2:$AW$201,AW45,$CF$2:$CF$201,1,$H$2:$H$201,H45,$AX$2:$AX$201,"&lt;"&amp;AX45)=0,1,0),0)</f>
        <v>0</v>
      </c>
      <c r="CH45" s="23" t="n">
        <f aca="false">IF(AND(AY45=1,P45="Y"),1,0)</f>
        <v>0</v>
      </c>
      <c r="CI45" s="23" t="n">
        <f aca="false">IF(CH45=1,IF(COUNTIFS($AW$2:$AW$201,AW45,$CH$2:$CH$201,1,$H$2:$H$201,"&lt;"&amp;H45)+COUNTIFS($AW$2:$AW$201,AW45,$CH$2:$CH$201,1,$H$2:$H$201,H45,$AX$2:$AX$201,"&lt;"&amp;AX45)=0,1,0),0)</f>
        <v>0</v>
      </c>
      <c r="CJ45" s="23" t="str">
        <f aca="false">IF(AND(BU45=1,INT(N(H45))&lt;=Config!$B$5),L45,"")</f>
        <v/>
      </c>
      <c r="CK45" s="23" t="n">
        <f aca="false">IF(AND(AY45=1,AR45="Y"),1,0)</f>
        <v>0</v>
      </c>
      <c r="CL45" s="23" t="n">
        <f aca="false">IF(CK45=1,IF(COUNTIFS($AW$2:$AW$201,AW45,$CK$2:$CK$201,1,$H$2:$H$201,"&lt;"&amp;H45)+COUNTIFS($AW$2:$AW$201,AW45,$CK$2:$CK$201,1,$H$2:$H$201,H45,$AX$2:$AX$201,"&lt;"&amp;AX45)=0,1,0),0)</f>
        <v>0</v>
      </c>
      <c r="CM45" s="23" t="str">
        <f aca="false">IF(AY45=1,IFERROR(MATCH($A45,INDEX(Clay_Brands!$A$2:$FZ$601,0,Sync!$D$5),0),""),"")</f>
        <v/>
      </c>
      <c r="CN45" s="23" t="str">
        <f aca="false">IF(CM45="","",IFERROR(INDEX(Clay_Brands!$A$2:$FZ$601,CM45,Sync!$D$7)&amp;"",""))</f>
        <v/>
      </c>
      <c r="CO45" s="23" t="str">
        <f aca="false">IF(CN45="","",IFERROR(INDEX(Lists!$K$2:$K$15,MATCH(CN45,Lists!$J$2:$J$15,0)),""))</f>
        <v/>
      </c>
      <c r="CP45" s="23" t="str">
        <f aca="false">IF(CM45="","",IFERROR(INDEX(Clay_Brands!$A$2:$FZ$601,CM45,Sync!$D$17)&amp;"",""))</f>
        <v/>
      </c>
      <c r="CQ45" s="35" t="str">
        <f aca="false">IF(CM45="","",IFERROR(N(INDEX(Clay_Brands!$A$2:$FZ$601,CM45,Sync!$D$16)),0))</f>
        <v/>
      </c>
      <c r="CR45" s="23" t="n">
        <f aca="false">IF(AND(AY45=1,OR(O45="N",AND(OR(ISNUMBER(R45),ISNUMBER(V45)),MAX(N(R45),N(V45))&lt;Config!$B$14))),1,0)</f>
        <v>0</v>
      </c>
      <c r="CS45" s="23" t="n">
        <f aca="false">IF(OR(BB45=1,CR45=1),1,0)</f>
        <v>0</v>
      </c>
      <c r="CT45" s="23" t="n">
        <f aca="false">IF(AND(AY45=1,OR(AN45="Y",AN45="N",AN45="maybe")),1,0)</f>
        <v>0</v>
      </c>
      <c r="CU45" s="23" t="n">
        <f aca="false">IF(AND(CT45=1),IF(COUNTIFS($A$2:$A$201,$A45,$CT$2:$CT$201,1,$H$2:$H$201,"&gt;"&amp;H45)+COUNTIFS($A$2:$A$201,$A45,$CT$2:$CT$201,1,$H$2:$H$201,H45,$AX$2:$AX$201,"&gt;"&amp;AX45)=0,1,0),0)</f>
        <v>0</v>
      </c>
      <c r="CV45" s="23" t="n">
        <f aca="false">IF(AND(CS45=1,INT(N(H45))&lt;=Config!$B$6),IF(COUNTIFS($AW$2:$AW$201,AW45,$CS$2:$CS$201,1,$H$2:$H$201,"&gt;"&amp;H45,$H$2:$H$201,"&lt;"&amp;(Config!$B$6+1))+COUNTIFS($AW$2:$AW$201,AW45,$CS$2:$CS$201,1,$H$2:$H$201,H45,$AX$2:$AX$201,"&gt;"&amp;AX45)=0,1,0),0)</f>
        <v>0</v>
      </c>
      <c r="CW45" s="23" t="n">
        <f aca="false">IF(AND(CS45=1,INT(N(H45))&lt;=Config!$B$7),IF(COUNTIFS($AW$2:$AW$201,AW45,$CS$2:$CS$201,1,$H$2:$H$201,"&gt;"&amp;H45,$H$2:$H$201,"&lt;"&amp;(Config!$B$7+1))+COUNTIFS($AW$2:$AW$201,AW45,$CS$2:$CS$201,1,$H$2:$H$201,H45,$AX$2:$AX$201,"&gt;"&amp;AX45)=0,1,0),0)</f>
        <v>0</v>
      </c>
      <c r="CX45" s="23" t="n">
        <f aca="false">IF(AND(CS45=1,INT(N(H45))&lt;=Config!$B$8),IF(COUNTIFS($AW$2:$AW$201,AW45,$CS$2:$CS$201,1,$H$2:$H$201,"&gt;"&amp;H45,$H$2:$H$201,"&lt;"&amp;(Config!$B$8+1))+COUNTIFS($AW$2:$AW$201,AW45,$CS$2:$CS$201,1,$H$2:$H$201,H45,$AX$2:$AX$201,"&gt;"&amp;AX45)=0,1,0),0)</f>
        <v>0</v>
      </c>
      <c r="CY45" s="23" t="n">
        <f aca="false">IF(AND(CS45=1,INT(N(H45))&lt;=Config!$B$5),IF(COUNTIFS($AW$2:$AW$201,AW45,$CS$2:$CS$201,1,$H$2:$H$201,"&gt;"&amp;H45,$H$2:$H$201,"&lt;"&amp;(Config!$B$5+1))+COUNTIFS($AW$2:$AW$201,AW45,$CS$2:$CS$201,1,$H$2:$H$201,H45,$AX$2:$AX$201,"&gt;"&amp;AX45)=0,1,0),0)</f>
        <v>0</v>
      </c>
      <c r="CZ45" s="23" t="n">
        <f aca="false">IF(AY45=1,IF(COUNTIFS($AW$2:$AW$201,AW45,$CV$2:$CV$201,1,$BB$2:$BB$201,1)&gt;0,1,0),0)</f>
        <v>0</v>
      </c>
      <c r="DA45" s="23" t="n">
        <f aca="false">IF(AY45=1,IF(COUNTIFS($AW$2:$AW$201,AW45,$CW$2:$CW$201,1,$BB$2:$BB$201,1)&gt;0,1,0),0)</f>
        <v>0</v>
      </c>
      <c r="DB45" s="23" t="n">
        <f aca="false">IF(AY45=1,IF(COUNTIFS($AW$2:$AW$201,AW45,$CX$2:$CX$201,1,$BB$2:$BB$201,1)&gt;0,1,0),0)</f>
        <v>0</v>
      </c>
      <c r="DC45" s="23" t="n">
        <f aca="false">IF(AY45=1,IF(COUNTIFS($AW$2:$AW$201,AW45,$CY$2:$CY$201,1,$BB$2:$BB$201,1)&gt;0,1,0),0)</f>
        <v>0</v>
      </c>
      <c r="DD45" s="23" t="n">
        <f aca="false">IF(AND(BC45=1,INT(N(H45))&lt;=Config!$B$6,CZ45=1),1,0)</f>
        <v>0</v>
      </c>
      <c r="DE45" s="23" t="n">
        <f aca="false">IF(AND(BC45=1,INT(N(H45))&lt;=Config!$B$7,DA45=1),1,0)</f>
        <v>0</v>
      </c>
      <c r="DF45" s="23" t="n">
        <f aca="false">IF(AND(BC45=1,INT(N(H45))&lt;=Config!$B$8,DB45=1),1,0)</f>
        <v>0</v>
      </c>
      <c r="DG45" s="23" t="n">
        <f aca="false">IF(AND(BC45=1,INT(N(H45))&lt;=Config!$B$5,DC45=1),1,0)</f>
        <v>0</v>
      </c>
      <c r="DH45" s="23" t="n">
        <f aca="false">IF(AND(BE45=1,INT(N(H45))&lt;=Config!$B$6,CZ45=1),1,0)</f>
        <v>0</v>
      </c>
      <c r="DI45" s="23" t="n">
        <f aca="false">IF(AND(BE45=1,INT(N(H45))&lt;=Config!$B$7,DA45=1),1,0)</f>
        <v>0</v>
      </c>
      <c r="DJ45" s="23" t="n">
        <f aca="false">IF(AND(BE45=1,INT(N(H45))&lt;=Config!$B$8,DB45=1),1,0)</f>
        <v>0</v>
      </c>
      <c r="DK45" s="23" t="n">
        <f aca="false">IF(AND(BE45=1,INT(N(H45))&lt;=Config!$B$5,DC45=1),1,0)</f>
        <v>0</v>
      </c>
      <c r="DL45" s="23" t="n">
        <f aca="false">IF(AND(BC45=1,INT(N(H45))&lt;=Config!$B$6,CZ45=0),1,0)</f>
        <v>0</v>
      </c>
      <c r="DM45" s="23" t="n">
        <f aca="false">IF(AND(BC45=1,INT(N(H45))&lt;=Config!$B$7,DA45=0),1,0)</f>
        <v>0</v>
      </c>
      <c r="DN45" s="23" t="n">
        <f aca="false">IF(AND(BC45=1,INT(N(H45))&lt;=Config!$B$8,DB45=0),1,0)</f>
        <v>0</v>
      </c>
      <c r="DO45" s="23" t="n">
        <f aca="false">IF(AND(BC45=1,INT(N(H45))&lt;=Config!$B$5,DC45=0),1,0)</f>
        <v>0</v>
      </c>
      <c r="DP45" s="23" t="n">
        <f aca="false">IF(TRIM($A45)="",0,ISTEXT(K45)+ISTEXT(L45)+ISTEXT(R45)+ISTEXT(V45)+ISTEXT(AP45)+ISTEXT(AS45))</f>
        <v>0</v>
      </c>
      <c r="DQ45" s="23" t="n">
        <f aca="false">IF(AY45=1,IF(H45&lt;&gt;INT(H45),1,0),0)</f>
        <v>0</v>
      </c>
      <c r="DR45" s="23" t="str">
        <f aca="false">IF(TRIM($A45)="","",IF(TRIM(B45)="",SUBSTITUTE(SUBSTITUTE(SUBSTITUTE(SUBSTITUTE(SUBSTITUTE(SUBSTITUTE(LOWER(TRIM($A45)),"~",""),"*",""),"?",""),"&lt;",""),"&gt;",""),"=",""),SUBSTITUTE(SUBSTITUTE(SUBSTITUTE(SUBSTITUTE(SUBSTITUTE(SUBSTITUTE(LOWER(TRIM(B45)),"~",""),"*",""),"?",""),"&lt;",""),"&gt;",""),"=","")))</f>
        <v/>
      </c>
      <c r="DS45" s="23" t="str">
        <f aca="false">IF(CM45="","",IFERROR(IF(LEFT(LOWER(TRIM(INDEX(Clay_Brands!$A$2:$FZ$601,CM45,Sync!$D$19)&amp;"")),4)="grp-",SUBSTITUTE(SUBSTITUTE(SUBSTITUTE(SUBSTITUTE(SUBSTITUTE(SUBSTITUTE(LOWER(TRIM(INDEX(Clay_Brands!$A$2:$FZ$601,CM45,Sync!$D$19)&amp;"")),"~",""),"*",""),"?",""),"&lt;",""),"&gt;",""),"=",""),""),""))</f>
        <v/>
      </c>
      <c r="DT45" s="23" t="str">
        <f aca="false">IF(DS45&lt;&gt;"",DR45,"")</f>
        <v/>
      </c>
      <c r="DU45" s="23" t="str">
        <f aca="false">IF(AZ45=1,AW45,"")</f>
        <v/>
      </c>
      <c r="DV45" s="23" t="str">
        <f aca="false">IF(TRIM($A45)="","",IFERROR(INDEX($A$2:$A$201,MATCH(AW45,$DU$2:$DU$201,0))&amp;"",$A45&amp;""))</f>
        <v/>
      </c>
      <c r="DW45" s="23" t="n">
        <f aca="false">IF(AY45=1,IF(COUNTIFS($A$2:$A$201,$A45,$AY$2:$AY$201,1,$H$2:$H$201,"&lt;"&amp;H45)+COUNTIFS($A$2:$A$201,$A45,$AY$2:$AY$201,1,$H$2:$H$201,H45,$AX$2:$AX$201,"&lt;"&amp;AX45)=0,1,0),0)</f>
        <v>0</v>
      </c>
      <c r="DX45" s="23" t="n">
        <f aca="false">IF(AZ45=1,IF(COUNTIFS($AW$2:$AW$201,AW45,$DW$2:$DW$201,1)&gt;1,1,0),0)</f>
        <v>0</v>
      </c>
    </row>
    <row r="46" customFormat="false" ht="15" hidden="false" customHeight="false" outlineLevel="0" collapsed="false">
      <c r="G46" s="32"/>
      <c r="H46" s="33"/>
      <c r="I46" s="32"/>
      <c r="O46" s="32"/>
      <c r="P46" s="32"/>
      <c r="U46" s="32"/>
      <c r="Y46" s="32"/>
      <c r="AB46" s="32"/>
      <c r="AC46" s="32"/>
      <c r="AD46" s="32"/>
      <c r="AE46" s="32"/>
      <c r="AF46" s="32"/>
      <c r="AG46" s="32"/>
      <c r="AI46" s="32"/>
      <c r="AJ46" s="32"/>
      <c r="AK46" s="32"/>
      <c r="AN46" s="32"/>
      <c r="AO46" s="32"/>
      <c r="AR46" s="32"/>
      <c r="AT46" s="32"/>
      <c r="AV46" s="34" t="str">
        <f aca="false">IF(TRIM($A46)="","",IF(AND(LEFT($A46,6)="SAMPLE",Config!$B$19&lt;&gt;"Y"),"",IF(NOT(ISNUMBER(H46)),"call_date is blank or not a date",IF(Sync!$D$5="","Clay paste is empty or has no row_id column: paste the Clay export on Clay_Brands",IF(CM46="","row_id not found in the Clay paste: add the Clay row or fix the row_id",IF(AND(ISNUMBER(CO46),CO46&gt;=1,CO46&lt;=5),"Clay status is "&amp;CN46&amp;": set call_done or later",IF(AND(BA46=1,CP46&lt;&gt;CB46),"Clay yes_in_principle should be "&amp;CB46,IF(AND(BA46=1,CQ46&lt;&gt;H46),"Clay call_date should be "&amp;TEXT(H46,"yyyy-mm-dd"),""))))))))</f>
        <v/>
      </c>
      <c r="AW46" s="23" t="str">
        <f aca="false">IF(TRIM($A46)="","",IF(TRIM(C46)&lt;&gt;"",SUBSTITUTE(SUBSTITUTE(SUBSTITUTE(SUBSTITUTE(SUBSTITUTE(SUBSTITUTE(LOWER(TRIM(C46)),"~",""),"*",""),"?",""),"&lt;",""),"&gt;",""),"=",""),IF(DS46&lt;&gt;"",DS46,IFERROR(INDEX($DS$2:$DS$201,MATCH(DR46,$DT$2:$DT$201,0)),DR46))))</f>
        <v/>
      </c>
      <c r="AX46" s="23" t="n">
        <f aca="false">ROW()</f>
        <v>46</v>
      </c>
      <c r="AY46" s="23" t="n">
        <f aca="false">IF(AND(TRIM($A46)&lt;&gt;"",ISNUMBER(H46)),IF(AND(LEFT($A46,6)="SAMPLE",Config!$B$19&lt;&gt;"Y"),0,1),0)</f>
        <v>0</v>
      </c>
      <c r="AZ46" s="23" t="n">
        <f aca="false">IF(AY46=1,IF(COUNTIFS($AW$2:$AW$201,AW46,$AY$2:$AY$201,1,$H$2:$H$201,"&lt;"&amp;H46)+COUNTIFS($AW$2:$AW$201,AW46,$AY$2:$AY$201,1,$H$2:$H$201,H46,$AX$2:$AX$201,"&lt;"&amp;AX46)=0,1,0),0)</f>
        <v>0</v>
      </c>
      <c r="BA46" s="23" t="n">
        <f aca="false">IF(AY46=1,IF(COUNTIFS($A$2:$A$201,$A46,$AY$2:$AY$201,1,$H$2:$H$201,"&gt;"&amp;H46)+COUNTIFS($A$2:$A$201,$A46,$AY$2:$AY$201,1,$H$2:$H$201,H46,$AX$2:$AX$201,"&gt;"&amp;AX46)=0,1,0),0)</f>
        <v>0</v>
      </c>
      <c r="BB46" s="23" t="n">
        <f aca="false">IF(AND(AY46=1,O46="Y",MAX(N(R46),N(V46))&gt;=Config!$B$14),1,0)</f>
        <v>0</v>
      </c>
      <c r="BC46" s="23" t="n">
        <f aca="false">IF(BB46=1,IF(COUNTIFS($AW$2:$AW$201,AW46,$BB$2:$BB$201,1,$H$2:$H$201,"&lt;"&amp;H46)+COUNTIFS($AW$2:$AW$201,AW46,$BB$2:$BB$201,1,$H$2:$H$201,H46,$AX$2:$AX$201,"&lt;"&amp;AX46)=0,1,0),0)</f>
        <v>0</v>
      </c>
      <c r="BD46" s="23" t="n">
        <f aca="false">IF(AND(AY46=1,O46="Y",ISNUMBER(R46)),IF(R46&gt;=Config!$B$14,1,0),0)</f>
        <v>0</v>
      </c>
      <c r="BE46" s="23" t="n">
        <f aca="false">IF(BD46=1,IF(COUNTIFS($AW$2:$AW$201,AW46,$BD$2:$BD$201,1,$H$2:$H$201,"&lt;"&amp;H46)+COUNTIFS($AW$2:$AW$201,AW46,$BD$2:$BD$201,1,$H$2:$H$201,H46,$AX$2:$AX$201,"&lt;"&amp;AX46)=0,1,0),0)</f>
        <v>0</v>
      </c>
      <c r="BF46" s="23" t="n">
        <f aca="false">IF(AND(AY46=1,O46&lt;&gt;"Y",MAX(N(R46),N(V46))&gt;=Config!$B$14),1,0)</f>
        <v>0</v>
      </c>
      <c r="BG46" s="23" t="n">
        <f aca="false">IF(BF46=1,IF(COUNTIFS($AW$2:$AW$201,AW46,$BF$2:$BF$201,1,$H$2:$H$201,"&lt;"&amp;H46)+COUNTIFS($AW$2:$AW$201,AW46,$BF$2:$BF$201,1,$H$2:$H$201,H46,$AX$2:$AX$201,"&lt;"&amp;AX46)=0,1,0),0)</f>
        <v>0</v>
      </c>
      <c r="BH46" s="23" t="n">
        <f aca="false">IF(AND(AY46=1,ISNUMBER(R46)),1,0)</f>
        <v>0</v>
      </c>
      <c r="BI46" s="23" t="n">
        <f aca="false">IF(BH46=1,IF(COUNTIFS($AW$2:$AW$201,AW46,$BH$2:$BH$201,1,$H$2:$H$201,"&lt;"&amp;H46)+COUNTIFS($AW$2:$AW$201,AW46,$BH$2:$BH$201,1,$H$2:$H$201,H46,$AX$2:$AX$201,"&lt;"&amp;AX46)=0,1,0),0)</f>
        <v>0</v>
      </c>
      <c r="BJ46" s="23" t="str">
        <f aca="false">IF(AND(BI46=1,INT(N(H46))&lt;=Config!$B$6),R46,"")</f>
        <v/>
      </c>
      <c r="BK46" s="23" t="str">
        <f aca="false">IF(AND(BI46=1,INT(N(H46))&lt;=Config!$B$7),R46,"")</f>
        <v/>
      </c>
      <c r="BL46" s="23" t="str">
        <f aca="false">IF(AND(BI46=1,INT(N(H46))&lt;=Config!$B$8),R46,"")</f>
        <v/>
      </c>
      <c r="BM46" s="23" t="str">
        <f aca="false">IF(AND(BI46=1,INT(N(H46))&lt;=Config!$B$5),R46,"")</f>
        <v/>
      </c>
      <c r="BN46" s="23" t="n">
        <f aca="false">IF(AND(AY46=1,ISNUMBER(V46)),1,0)</f>
        <v>0</v>
      </c>
      <c r="BO46" s="23" t="n">
        <f aca="false">IF(BN46=1,IF(COUNTIFS($AW$2:$AW$201,AW46,$BN$2:$BN$201,1,$H$2:$H$201,"&lt;"&amp;H46)+COUNTIFS($AW$2:$AW$201,AW46,$BN$2:$BN$201,1,$H$2:$H$201,H46,$AX$2:$AX$201,"&lt;"&amp;AX46)=0,1,0),0)</f>
        <v>0</v>
      </c>
      <c r="BP46" s="23" t="str">
        <f aca="false">IF(AND(BO46=1,INT(N(H46))&lt;=Config!$B$6),V46,"")</f>
        <v/>
      </c>
      <c r="BQ46" s="23" t="str">
        <f aca="false">IF(AND(BO46=1,INT(N(H46))&lt;=Config!$B$7),V46,"")</f>
        <v/>
      </c>
      <c r="BR46" s="23" t="str">
        <f aca="false">IF(AND(BO46=1,INT(N(H46))&lt;=Config!$B$8),V46,"")</f>
        <v/>
      </c>
      <c r="BS46" s="23" t="str">
        <f aca="false">IF(AND(BO46=1,INT(N(H46))&lt;=Config!$B$5),V46,"")</f>
        <v/>
      </c>
      <c r="BT46" s="23" t="n">
        <f aca="false">IF(AND(AY46=1,ISNUMBER(K46)),1,0)</f>
        <v>0</v>
      </c>
      <c r="BU46" s="23" t="n">
        <f aca="false">IF(BT46=1,IF(COUNTIFS($AW$2:$AW$201,AW46,$BT$2:$BT$201,1,$H$2:$H$201,"&lt;"&amp;H46)+COUNTIFS($AW$2:$AW$201,AW46,$BT$2:$BT$201,1,$H$2:$H$201,H46,$AX$2:$AX$201,"&lt;"&amp;AX46)=0,1,0),0)</f>
        <v>0</v>
      </c>
      <c r="BV46" s="23" t="str">
        <f aca="false">IF(AND(BU46=1,INT(N(H46))&lt;=Config!$B$5),K46,"")</f>
        <v/>
      </c>
      <c r="BW46" s="23" t="n">
        <f aca="false">IF(AND(AY46=1,OR(AND(ISNUMBER(R46),TRIM(S46)=""),AND(ISNUMBER(V46),TRIM(W46)=""))),1,0)</f>
        <v>0</v>
      </c>
      <c r="BX46" s="23" t="str">
        <f aca="false">IF(AY46=1,AJ46&amp;"","")</f>
        <v/>
      </c>
      <c r="BY46" s="23" t="str">
        <f aca="false">IF(AY46=1,AK46&amp;"","")</f>
        <v/>
      </c>
      <c r="BZ46" s="23" t="str">
        <f aca="false">IF(AY46=1,AL46&amp;"","")</f>
        <v/>
      </c>
      <c r="CA46" s="23" t="str">
        <f aca="false">IF(AND(AY46=1,ISNUMBER(AS46),INT(N(H46))&lt;=Config!$B$5),AS46,"")</f>
        <v/>
      </c>
      <c r="CB46" s="23" t="str">
        <f aca="false">IF(AY46=1,IF(COUNTIFS($A$2:$A$201,$A46,$CU$2:$CU$201,1,$AN$2:$AN$201,"Y")&gt;0,"Y","N"),"")</f>
        <v/>
      </c>
      <c r="CC46" s="23" t="n">
        <f aca="false">IF(AND(AY46=1,AN46="Y"),IF(COUNTIFS($AW$2:$AW$201,AW46,$AN$2:$AN$201,"Y",$AY$2:$AY$201,1,$H$2:$H$201,"&lt;"&amp;H46)+COUNTIFS($AW$2:$AW$201,AW46,$AN$2:$AN$201,"Y",$AY$2:$AY$201,1,$H$2:$H$201,H46,$AX$2:$AX$201,"&lt;"&amp;AX46)=0,1,0),0)</f>
        <v>0</v>
      </c>
      <c r="CD46" s="23" t="n">
        <f aca="false">IF(AND(AY46=1,AB46="Y",AC46="Y",AD46="Y",AE46="Y",AF46="Y",AG46="Y",AI46="Y",TRIM(AH46)&lt;&gt;""),1,0)</f>
        <v>0</v>
      </c>
      <c r="CE46" s="23" t="n">
        <f aca="false">IF(CD46=1,IF(COUNTIFS($AW$2:$AW$201,AW46,$CD$2:$CD$201,1,$H$2:$H$201,"&lt;"&amp;H46)+COUNTIFS($AW$2:$AW$201,AW46,$CD$2:$CD$201,1,$H$2:$H$201,H46,$AX$2:$AX$201,"&lt;"&amp;AX46)=0,1,0),0)</f>
        <v>0</v>
      </c>
      <c r="CF46" s="23" t="n">
        <f aca="false">IF(AND(AY46=1,AO46="Y"),1,0)</f>
        <v>0</v>
      </c>
      <c r="CG46" s="23" t="n">
        <f aca="false">IF(CF46=1,IF(COUNTIFS($AW$2:$AW$201,AW46,$CF$2:$CF$201,1,$H$2:$H$201,"&lt;"&amp;H46)+COUNTIFS($AW$2:$AW$201,AW46,$CF$2:$CF$201,1,$H$2:$H$201,H46,$AX$2:$AX$201,"&lt;"&amp;AX46)=0,1,0),0)</f>
        <v>0</v>
      </c>
      <c r="CH46" s="23" t="n">
        <f aca="false">IF(AND(AY46=1,P46="Y"),1,0)</f>
        <v>0</v>
      </c>
      <c r="CI46" s="23" t="n">
        <f aca="false">IF(CH46=1,IF(COUNTIFS($AW$2:$AW$201,AW46,$CH$2:$CH$201,1,$H$2:$H$201,"&lt;"&amp;H46)+COUNTIFS($AW$2:$AW$201,AW46,$CH$2:$CH$201,1,$H$2:$H$201,H46,$AX$2:$AX$201,"&lt;"&amp;AX46)=0,1,0),0)</f>
        <v>0</v>
      </c>
      <c r="CJ46" s="23" t="str">
        <f aca="false">IF(AND(BU46=1,INT(N(H46))&lt;=Config!$B$5),L46,"")</f>
        <v/>
      </c>
      <c r="CK46" s="23" t="n">
        <f aca="false">IF(AND(AY46=1,AR46="Y"),1,0)</f>
        <v>0</v>
      </c>
      <c r="CL46" s="23" t="n">
        <f aca="false">IF(CK46=1,IF(COUNTIFS($AW$2:$AW$201,AW46,$CK$2:$CK$201,1,$H$2:$H$201,"&lt;"&amp;H46)+COUNTIFS($AW$2:$AW$201,AW46,$CK$2:$CK$201,1,$H$2:$H$201,H46,$AX$2:$AX$201,"&lt;"&amp;AX46)=0,1,0),0)</f>
        <v>0</v>
      </c>
      <c r="CM46" s="23" t="str">
        <f aca="false">IF(AY46=1,IFERROR(MATCH($A46,INDEX(Clay_Brands!$A$2:$FZ$601,0,Sync!$D$5),0),""),"")</f>
        <v/>
      </c>
      <c r="CN46" s="23" t="str">
        <f aca="false">IF(CM46="","",IFERROR(INDEX(Clay_Brands!$A$2:$FZ$601,CM46,Sync!$D$7)&amp;"",""))</f>
        <v/>
      </c>
      <c r="CO46" s="23" t="str">
        <f aca="false">IF(CN46="","",IFERROR(INDEX(Lists!$K$2:$K$15,MATCH(CN46,Lists!$J$2:$J$15,0)),""))</f>
        <v/>
      </c>
      <c r="CP46" s="23" t="str">
        <f aca="false">IF(CM46="","",IFERROR(INDEX(Clay_Brands!$A$2:$FZ$601,CM46,Sync!$D$17)&amp;"",""))</f>
        <v/>
      </c>
      <c r="CQ46" s="35" t="str">
        <f aca="false">IF(CM46="","",IFERROR(N(INDEX(Clay_Brands!$A$2:$FZ$601,CM46,Sync!$D$16)),0))</f>
        <v/>
      </c>
      <c r="CR46" s="23" t="n">
        <f aca="false">IF(AND(AY46=1,OR(O46="N",AND(OR(ISNUMBER(R46),ISNUMBER(V46)),MAX(N(R46),N(V46))&lt;Config!$B$14))),1,0)</f>
        <v>0</v>
      </c>
      <c r="CS46" s="23" t="n">
        <f aca="false">IF(OR(BB46=1,CR46=1),1,0)</f>
        <v>0</v>
      </c>
      <c r="CT46" s="23" t="n">
        <f aca="false">IF(AND(AY46=1,OR(AN46="Y",AN46="N",AN46="maybe")),1,0)</f>
        <v>0</v>
      </c>
      <c r="CU46" s="23" t="n">
        <f aca="false">IF(AND(CT46=1),IF(COUNTIFS($A$2:$A$201,$A46,$CT$2:$CT$201,1,$H$2:$H$201,"&gt;"&amp;H46)+COUNTIFS($A$2:$A$201,$A46,$CT$2:$CT$201,1,$H$2:$H$201,H46,$AX$2:$AX$201,"&gt;"&amp;AX46)=0,1,0),0)</f>
        <v>0</v>
      </c>
      <c r="CV46" s="23" t="n">
        <f aca="false">IF(AND(CS46=1,INT(N(H46))&lt;=Config!$B$6),IF(COUNTIFS($AW$2:$AW$201,AW46,$CS$2:$CS$201,1,$H$2:$H$201,"&gt;"&amp;H46,$H$2:$H$201,"&lt;"&amp;(Config!$B$6+1))+COUNTIFS($AW$2:$AW$201,AW46,$CS$2:$CS$201,1,$H$2:$H$201,H46,$AX$2:$AX$201,"&gt;"&amp;AX46)=0,1,0),0)</f>
        <v>0</v>
      </c>
      <c r="CW46" s="23" t="n">
        <f aca="false">IF(AND(CS46=1,INT(N(H46))&lt;=Config!$B$7),IF(COUNTIFS($AW$2:$AW$201,AW46,$CS$2:$CS$201,1,$H$2:$H$201,"&gt;"&amp;H46,$H$2:$H$201,"&lt;"&amp;(Config!$B$7+1))+COUNTIFS($AW$2:$AW$201,AW46,$CS$2:$CS$201,1,$H$2:$H$201,H46,$AX$2:$AX$201,"&gt;"&amp;AX46)=0,1,0),0)</f>
        <v>0</v>
      </c>
      <c r="CX46" s="23" t="n">
        <f aca="false">IF(AND(CS46=1,INT(N(H46))&lt;=Config!$B$8),IF(COUNTIFS($AW$2:$AW$201,AW46,$CS$2:$CS$201,1,$H$2:$H$201,"&gt;"&amp;H46,$H$2:$H$201,"&lt;"&amp;(Config!$B$8+1))+COUNTIFS($AW$2:$AW$201,AW46,$CS$2:$CS$201,1,$H$2:$H$201,H46,$AX$2:$AX$201,"&gt;"&amp;AX46)=0,1,0),0)</f>
        <v>0</v>
      </c>
      <c r="CY46" s="23" t="n">
        <f aca="false">IF(AND(CS46=1,INT(N(H46))&lt;=Config!$B$5),IF(COUNTIFS($AW$2:$AW$201,AW46,$CS$2:$CS$201,1,$H$2:$H$201,"&gt;"&amp;H46,$H$2:$H$201,"&lt;"&amp;(Config!$B$5+1))+COUNTIFS($AW$2:$AW$201,AW46,$CS$2:$CS$201,1,$H$2:$H$201,H46,$AX$2:$AX$201,"&gt;"&amp;AX46)=0,1,0),0)</f>
        <v>0</v>
      </c>
      <c r="CZ46" s="23" t="n">
        <f aca="false">IF(AY46=1,IF(COUNTIFS($AW$2:$AW$201,AW46,$CV$2:$CV$201,1,$BB$2:$BB$201,1)&gt;0,1,0),0)</f>
        <v>0</v>
      </c>
      <c r="DA46" s="23" t="n">
        <f aca="false">IF(AY46=1,IF(COUNTIFS($AW$2:$AW$201,AW46,$CW$2:$CW$201,1,$BB$2:$BB$201,1)&gt;0,1,0),0)</f>
        <v>0</v>
      </c>
      <c r="DB46" s="23" t="n">
        <f aca="false">IF(AY46=1,IF(COUNTIFS($AW$2:$AW$201,AW46,$CX$2:$CX$201,1,$BB$2:$BB$201,1)&gt;0,1,0),0)</f>
        <v>0</v>
      </c>
      <c r="DC46" s="23" t="n">
        <f aca="false">IF(AY46=1,IF(COUNTIFS($AW$2:$AW$201,AW46,$CY$2:$CY$201,1,$BB$2:$BB$201,1)&gt;0,1,0),0)</f>
        <v>0</v>
      </c>
      <c r="DD46" s="23" t="n">
        <f aca="false">IF(AND(BC46=1,INT(N(H46))&lt;=Config!$B$6,CZ46=1),1,0)</f>
        <v>0</v>
      </c>
      <c r="DE46" s="23" t="n">
        <f aca="false">IF(AND(BC46=1,INT(N(H46))&lt;=Config!$B$7,DA46=1),1,0)</f>
        <v>0</v>
      </c>
      <c r="DF46" s="23" t="n">
        <f aca="false">IF(AND(BC46=1,INT(N(H46))&lt;=Config!$B$8,DB46=1),1,0)</f>
        <v>0</v>
      </c>
      <c r="DG46" s="23" t="n">
        <f aca="false">IF(AND(BC46=1,INT(N(H46))&lt;=Config!$B$5,DC46=1),1,0)</f>
        <v>0</v>
      </c>
      <c r="DH46" s="23" t="n">
        <f aca="false">IF(AND(BE46=1,INT(N(H46))&lt;=Config!$B$6,CZ46=1),1,0)</f>
        <v>0</v>
      </c>
      <c r="DI46" s="23" t="n">
        <f aca="false">IF(AND(BE46=1,INT(N(H46))&lt;=Config!$B$7,DA46=1),1,0)</f>
        <v>0</v>
      </c>
      <c r="DJ46" s="23" t="n">
        <f aca="false">IF(AND(BE46=1,INT(N(H46))&lt;=Config!$B$8,DB46=1),1,0)</f>
        <v>0</v>
      </c>
      <c r="DK46" s="23" t="n">
        <f aca="false">IF(AND(BE46=1,INT(N(H46))&lt;=Config!$B$5,DC46=1),1,0)</f>
        <v>0</v>
      </c>
      <c r="DL46" s="23" t="n">
        <f aca="false">IF(AND(BC46=1,INT(N(H46))&lt;=Config!$B$6,CZ46=0),1,0)</f>
        <v>0</v>
      </c>
      <c r="DM46" s="23" t="n">
        <f aca="false">IF(AND(BC46=1,INT(N(H46))&lt;=Config!$B$7,DA46=0),1,0)</f>
        <v>0</v>
      </c>
      <c r="DN46" s="23" t="n">
        <f aca="false">IF(AND(BC46=1,INT(N(H46))&lt;=Config!$B$8,DB46=0),1,0)</f>
        <v>0</v>
      </c>
      <c r="DO46" s="23" t="n">
        <f aca="false">IF(AND(BC46=1,INT(N(H46))&lt;=Config!$B$5,DC46=0),1,0)</f>
        <v>0</v>
      </c>
      <c r="DP46" s="23" t="n">
        <f aca="false">IF(TRIM($A46)="",0,ISTEXT(K46)+ISTEXT(L46)+ISTEXT(R46)+ISTEXT(V46)+ISTEXT(AP46)+ISTEXT(AS46))</f>
        <v>0</v>
      </c>
      <c r="DQ46" s="23" t="n">
        <f aca="false">IF(AY46=1,IF(H46&lt;&gt;INT(H46),1,0),0)</f>
        <v>0</v>
      </c>
      <c r="DR46" s="23" t="str">
        <f aca="false">IF(TRIM($A46)="","",IF(TRIM(B46)="",SUBSTITUTE(SUBSTITUTE(SUBSTITUTE(SUBSTITUTE(SUBSTITUTE(SUBSTITUTE(LOWER(TRIM($A46)),"~",""),"*",""),"?",""),"&lt;",""),"&gt;",""),"=",""),SUBSTITUTE(SUBSTITUTE(SUBSTITUTE(SUBSTITUTE(SUBSTITUTE(SUBSTITUTE(LOWER(TRIM(B46)),"~",""),"*",""),"?",""),"&lt;",""),"&gt;",""),"=","")))</f>
        <v/>
      </c>
      <c r="DS46" s="23" t="str">
        <f aca="false">IF(CM46="","",IFERROR(IF(LEFT(LOWER(TRIM(INDEX(Clay_Brands!$A$2:$FZ$601,CM46,Sync!$D$19)&amp;"")),4)="grp-",SUBSTITUTE(SUBSTITUTE(SUBSTITUTE(SUBSTITUTE(SUBSTITUTE(SUBSTITUTE(LOWER(TRIM(INDEX(Clay_Brands!$A$2:$FZ$601,CM46,Sync!$D$19)&amp;"")),"~",""),"*",""),"?",""),"&lt;",""),"&gt;",""),"=",""),""),""))</f>
        <v/>
      </c>
      <c r="DT46" s="23" t="str">
        <f aca="false">IF(DS46&lt;&gt;"",DR46,"")</f>
        <v/>
      </c>
      <c r="DU46" s="23" t="str">
        <f aca="false">IF(AZ46=1,AW46,"")</f>
        <v/>
      </c>
      <c r="DV46" s="23" t="str">
        <f aca="false">IF(TRIM($A46)="","",IFERROR(INDEX($A$2:$A$201,MATCH(AW46,$DU$2:$DU$201,0))&amp;"",$A46&amp;""))</f>
        <v/>
      </c>
      <c r="DW46" s="23" t="n">
        <f aca="false">IF(AY46=1,IF(COUNTIFS($A$2:$A$201,$A46,$AY$2:$AY$201,1,$H$2:$H$201,"&lt;"&amp;H46)+COUNTIFS($A$2:$A$201,$A46,$AY$2:$AY$201,1,$H$2:$H$201,H46,$AX$2:$AX$201,"&lt;"&amp;AX46)=0,1,0),0)</f>
        <v>0</v>
      </c>
      <c r="DX46" s="23" t="n">
        <f aca="false">IF(AZ46=1,IF(COUNTIFS($AW$2:$AW$201,AW46,$DW$2:$DW$201,1)&gt;1,1,0),0)</f>
        <v>0</v>
      </c>
    </row>
    <row r="47" customFormat="false" ht="15" hidden="false" customHeight="false" outlineLevel="0" collapsed="false">
      <c r="G47" s="32"/>
      <c r="H47" s="33"/>
      <c r="I47" s="32"/>
      <c r="O47" s="32"/>
      <c r="P47" s="32"/>
      <c r="U47" s="32"/>
      <c r="Y47" s="32"/>
      <c r="AB47" s="32"/>
      <c r="AC47" s="32"/>
      <c r="AD47" s="32"/>
      <c r="AE47" s="32"/>
      <c r="AF47" s="32"/>
      <c r="AG47" s="32"/>
      <c r="AI47" s="32"/>
      <c r="AJ47" s="32"/>
      <c r="AK47" s="32"/>
      <c r="AN47" s="32"/>
      <c r="AO47" s="32"/>
      <c r="AR47" s="32"/>
      <c r="AT47" s="32"/>
      <c r="AV47" s="34" t="str">
        <f aca="false">IF(TRIM($A47)="","",IF(AND(LEFT($A47,6)="SAMPLE",Config!$B$19&lt;&gt;"Y"),"",IF(NOT(ISNUMBER(H47)),"call_date is blank or not a date",IF(Sync!$D$5="","Clay paste is empty or has no row_id column: paste the Clay export on Clay_Brands",IF(CM47="","row_id not found in the Clay paste: add the Clay row or fix the row_id",IF(AND(ISNUMBER(CO47),CO47&gt;=1,CO47&lt;=5),"Clay status is "&amp;CN47&amp;": set call_done or later",IF(AND(BA47=1,CP47&lt;&gt;CB47),"Clay yes_in_principle should be "&amp;CB47,IF(AND(BA47=1,CQ47&lt;&gt;H47),"Clay call_date should be "&amp;TEXT(H47,"yyyy-mm-dd"),""))))))))</f>
        <v/>
      </c>
      <c r="AW47" s="23" t="str">
        <f aca="false">IF(TRIM($A47)="","",IF(TRIM(C47)&lt;&gt;"",SUBSTITUTE(SUBSTITUTE(SUBSTITUTE(SUBSTITUTE(SUBSTITUTE(SUBSTITUTE(LOWER(TRIM(C47)),"~",""),"*",""),"?",""),"&lt;",""),"&gt;",""),"=",""),IF(DS47&lt;&gt;"",DS47,IFERROR(INDEX($DS$2:$DS$201,MATCH(DR47,$DT$2:$DT$201,0)),DR47))))</f>
        <v/>
      </c>
      <c r="AX47" s="23" t="n">
        <f aca="false">ROW()</f>
        <v>47</v>
      </c>
      <c r="AY47" s="23" t="n">
        <f aca="false">IF(AND(TRIM($A47)&lt;&gt;"",ISNUMBER(H47)),IF(AND(LEFT($A47,6)="SAMPLE",Config!$B$19&lt;&gt;"Y"),0,1),0)</f>
        <v>0</v>
      </c>
      <c r="AZ47" s="23" t="n">
        <f aca="false">IF(AY47=1,IF(COUNTIFS($AW$2:$AW$201,AW47,$AY$2:$AY$201,1,$H$2:$H$201,"&lt;"&amp;H47)+COUNTIFS($AW$2:$AW$201,AW47,$AY$2:$AY$201,1,$H$2:$H$201,H47,$AX$2:$AX$201,"&lt;"&amp;AX47)=0,1,0),0)</f>
        <v>0</v>
      </c>
      <c r="BA47" s="23" t="n">
        <f aca="false">IF(AY47=1,IF(COUNTIFS($A$2:$A$201,$A47,$AY$2:$AY$201,1,$H$2:$H$201,"&gt;"&amp;H47)+COUNTIFS($A$2:$A$201,$A47,$AY$2:$AY$201,1,$H$2:$H$201,H47,$AX$2:$AX$201,"&gt;"&amp;AX47)=0,1,0),0)</f>
        <v>0</v>
      </c>
      <c r="BB47" s="23" t="n">
        <f aca="false">IF(AND(AY47=1,O47="Y",MAX(N(R47),N(V47))&gt;=Config!$B$14),1,0)</f>
        <v>0</v>
      </c>
      <c r="BC47" s="23" t="n">
        <f aca="false">IF(BB47=1,IF(COUNTIFS($AW$2:$AW$201,AW47,$BB$2:$BB$201,1,$H$2:$H$201,"&lt;"&amp;H47)+COUNTIFS($AW$2:$AW$201,AW47,$BB$2:$BB$201,1,$H$2:$H$201,H47,$AX$2:$AX$201,"&lt;"&amp;AX47)=0,1,0),0)</f>
        <v>0</v>
      </c>
      <c r="BD47" s="23" t="n">
        <f aca="false">IF(AND(AY47=1,O47="Y",ISNUMBER(R47)),IF(R47&gt;=Config!$B$14,1,0),0)</f>
        <v>0</v>
      </c>
      <c r="BE47" s="23" t="n">
        <f aca="false">IF(BD47=1,IF(COUNTIFS($AW$2:$AW$201,AW47,$BD$2:$BD$201,1,$H$2:$H$201,"&lt;"&amp;H47)+COUNTIFS($AW$2:$AW$201,AW47,$BD$2:$BD$201,1,$H$2:$H$201,H47,$AX$2:$AX$201,"&lt;"&amp;AX47)=0,1,0),0)</f>
        <v>0</v>
      </c>
      <c r="BF47" s="23" t="n">
        <f aca="false">IF(AND(AY47=1,O47&lt;&gt;"Y",MAX(N(R47),N(V47))&gt;=Config!$B$14),1,0)</f>
        <v>0</v>
      </c>
      <c r="BG47" s="23" t="n">
        <f aca="false">IF(BF47=1,IF(COUNTIFS($AW$2:$AW$201,AW47,$BF$2:$BF$201,1,$H$2:$H$201,"&lt;"&amp;H47)+COUNTIFS($AW$2:$AW$201,AW47,$BF$2:$BF$201,1,$H$2:$H$201,H47,$AX$2:$AX$201,"&lt;"&amp;AX47)=0,1,0),0)</f>
        <v>0</v>
      </c>
      <c r="BH47" s="23" t="n">
        <f aca="false">IF(AND(AY47=1,ISNUMBER(R47)),1,0)</f>
        <v>0</v>
      </c>
      <c r="BI47" s="23" t="n">
        <f aca="false">IF(BH47=1,IF(COUNTIFS($AW$2:$AW$201,AW47,$BH$2:$BH$201,1,$H$2:$H$201,"&lt;"&amp;H47)+COUNTIFS($AW$2:$AW$201,AW47,$BH$2:$BH$201,1,$H$2:$H$201,H47,$AX$2:$AX$201,"&lt;"&amp;AX47)=0,1,0),0)</f>
        <v>0</v>
      </c>
      <c r="BJ47" s="23" t="str">
        <f aca="false">IF(AND(BI47=1,INT(N(H47))&lt;=Config!$B$6),R47,"")</f>
        <v/>
      </c>
      <c r="BK47" s="23" t="str">
        <f aca="false">IF(AND(BI47=1,INT(N(H47))&lt;=Config!$B$7),R47,"")</f>
        <v/>
      </c>
      <c r="BL47" s="23" t="str">
        <f aca="false">IF(AND(BI47=1,INT(N(H47))&lt;=Config!$B$8),R47,"")</f>
        <v/>
      </c>
      <c r="BM47" s="23" t="str">
        <f aca="false">IF(AND(BI47=1,INT(N(H47))&lt;=Config!$B$5),R47,"")</f>
        <v/>
      </c>
      <c r="BN47" s="23" t="n">
        <f aca="false">IF(AND(AY47=1,ISNUMBER(V47)),1,0)</f>
        <v>0</v>
      </c>
      <c r="BO47" s="23" t="n">
        <f aca="false">IF(BN47=1,IF(COUNTIFS($AW$2:$AW$201,AW47,$BN$2:$BN$201,1,$H$2:$H$201,"&lt;"&amp;H47)+COUNTIFS($AW$2:$AW$201,AW47,$BN$2:$BN$201,1,$H$2:$H$201,H47,$AX$2:$AX$201,"&lt;"&amp;AX47)=0,1,0),0)</f>
        <v>0</v>
      </c>
      <c r="BP47" s="23" t="str">
        <f aca="false">IF(AND(BO47=1,INT(N(H47))&lt;=Config!$B$6),V47,"")</f>
        <v/>
      </c>
      <c r="BQ47" s="23" t="str">
        <f aca="false">IF(AND(BO47=1,INT(N(H47))&lt;=Config!$B$7),V47,"")</f>
        <v/>
      </c>
      <c r="BR47" s="23" t="str">
        <f aca="false">IF(AND(BO47=1,INT(N(H47))&lt;=Config!$B$8),V47,"")</f>
        <v/>
      </c>
      <c r="BS47" s="23" t="str">
        <f aca="false">IF(AND(BO47=1,INT(N(H47))&lt;=Config!$B$5),V47,"")</f>
        <v/>
      </c>
      <c r="BT47" s="23" t="n">
        <f aca="false">IF(AND(AY47=1,ISNUMBER(K47)),1,0)</f>
        <v>0</v>
      </c>
      <c r="BU47" s="23" t="n">
        <f aca="false">IF(BT47=1,IF(COUNTIFS($AW$2:$AW$201,AW47,$BT$2:$BT$201,1,$H$2:$H$201,"&lt;"&amp;H47)+COUNTIFS($AW$2:$AW$201,AW47,$BT$2:$BT$201,1,$H$2:$H$201,H47,$AX$2:$AX$201,"&lt;"&amp;AX47)=0,1,0),0)</f>
        <v>0</v>
      </c>
      <c r="BV47" s="23" t="str">
        <f aca="false">IF(AND(BU47=1,INT(N(H47))&lt;=Config!$B$5),K47,"")</f>
        <v/>
      </c>
      <c r="BW47" s="23" t="n">
        <f aca="false">IF(AND(AY47=1,OR(AND(ISNUMBER(R47),TRIM(S47)=""),AND(ISNUMBER(V47),TRIM(W47)=""))),1,0)</f>
        <v>0</v>
      </c>
      <c r="BX47" s="23" t="str">
        <f aca="false">IF(AY47=1,AJ47&amp;"","")</f>
        <v/>
      </c>
      <c r="BY47" s="23" t="str">
        <f aca="false">IF(AY47=1,AK47&amp;"","")</f>
        <v/>
      </c>
      <c r="BZ47" s="23" t="str">
        <f aca="false">IF(AY47=1,AL47&amp;"","")</f>
        <v/>
      </c>
      <c r="CA47" s="23" t="str">
        <f aca="false">IF(AND(AY47=1,ISNUMBER(AS47),INT(N(H47))&lt;=Config!$B$5),AS47,"")</f>
        <v/>
      </c>
      <c r="CB47" s="23" t="str">
        <f aca="false">IF(AY47=1,IF(COUNTIFS($A$2:$A$201,$A47,$CU$2:$CU$201,1,$AN$2:$AN$201,"Y")&gt;0,"Y","N"),"")</f>
        <v/>
      </c>
      <c r="CC47" s="23" t="n">
        <f aca="false">IF(AND(AY47=1,AN47="Y"),IF(COUNTIFS($AW$2:$AW$201,AW47,$AN$2:$AN$201,"Y",$AY$2:$AY$201,1,$H$2:$H$201,"&lt;"&amp;H47)+COUNTIFS($AW$2:$AW$201,AW47,$AN$2:$AN$201,"Y",$AY$2:$AY$201,1,$H$2:$H$201,H47,$AX$2:$AX$201,"&lt;"&amp;AX47)=0,1,0),0)</f>
        <v>0</v>
      </c>
      <c r="CD47" s="23" t="n">
        <f aca="false">IF(AND(AY47=1,AB47="Y",AC47="Y",AD47="Y",AE47="Y",AF47="Y",AG47="Y",AI47="Y",TRIM(AH47)&lt;&gt;""),1,0)</f>
        <v>0</v>
      </c>
      <c r="CE47" s="23" t="n">
        <f aca="false">IF(CD47=1,IF(COUNTIFS($AW$2:$AW$201,AW47,$CD$2:$CD$201,1,$H$2:$H$201,"&lt;"&amp;H47)+COUNTIFS($AW$2:$AW$201,AW47,$CD$2:$CD$201,1,$H$2:$H$201,H47,$AX$2:$AX$201,"&lt;"&amp;AX47)=0,1,0),0)</f>
        <v>0</v>
      </c>
      <c r="CF47" s="23" t="n">
        <f aca="false">IF(AND(AY47=1,AO47="Y"),1,0)</f>
        <v>0</v>
      </c>
      <c r="CG47" s="23" t="n">
        <f aca="false">IF(CF47=1,IF(COUNTIFS($AW$2:$AW$201,AW47,$CF$2:$CF$201,1,$H$2:$H$201,"&lt;"&amp;H47)+COUNTIFS($AW$2:$AW$201,AW47,$CF$2:$CF$201,1,$H$2:$H$201,H47,$AX$2:$AX$201,"&lt;"&amp;AX47)=0,1,0),0)</f>
        <v>0</v>
      </c>
      <c r="CH47" s="23" t="n">
        <f aca="false">IF(AND(AY47=1,P47="Y"),1,0)</f>
        <v>0</v>
      </c>
      <c r="CI47" s="23" t="n">
        <f aca="false">IF(CH47=1,IF(COUNTIFS($AW$2:$AW$201,AW47,$CH$2:$CH$201,1,$H$2:$H$201,"&lt;"&amp;H47)+COUNTIFS($AW$2:$AW$201,AW47,$CH$2:$CH$201,1,$H$2:$H$201,H47,$AX$2:$AX$201,"&lt;"&amp;AX47)=0,1,0),0)</f>
        <v>0</v>
      </c>
      <c r="CJ47" s="23" t="str">
        <f aca="false">IF(AND(BU47=1,INT(N(H47))&lt;=Config!$B$5),L47,"")</f>
        <v/>
      </c>
      <c r="CK47" s="23" t="n">
        <f aca="false">IF(AND(AY47=1,AR47="Y"),1,0)</f>
        <v>0</v>
      </c>
      <c r="CL47" s="23" t="n">
        <f aca="false">IF(CK47=1,IF(COUNTIFS($AW$2:$AW$201,AW47,$CK$2:$CK$201,1,$H$2:$H$201,"&lt;"&amp;H47)+COUNTIFS($AW$2:$AW$201,AW47,$CK$2:$CK$201,1,$H$2:$H$201,H47,$AX$2:$AX$201,"&lt;"&amp;AX47)=0,1,0),0)</f>
        <v>0</v>
      </c>
      <c r="CM47" s="23" t="str">
        <f aca="false">IF(AY47=1,IFERROR(MATCH($A47,INDEX(Clay_Brands!$A$2:$FZ$601,0,Sync!$D$5),0),""),"")</f>
        <v/>
      </c>
      <c r="CN47" s="23" t="str">
        <f aca="false">IF(CM47="","",IFERROR(INDEX(Clay_Brands!$A$2:$FZ$601,CM47,Sync!$D$7)&amp;"",""))</f>
        <v/>
      </c>
      <c r="CO47" s="23" t="str">
        <f aca="false">IF(CN47="","",IFERROR(INDEX(Lists!$K$2:$K$15,MATCH(CN47,Lists!$J$2:$J$15,0)),""))</f>
        <v/>
      </c>
      <c r="CP47" s="23" t="str">
        <f aca="false">IF(CM47="","",IFERROR(INDEX(Clay_Brands!$A$2:$FZ$601,CM47,Sync!$D$17)&amp;"",""))</f>
        <v/>
      </c>
      <c r="CQ47" s="35" t="str">
        <f aca="false">IF(CM47="","",IFERROR(N(INDEX(Clay_Brands!$A$2:$FZ$601,CM47,Sync!$D$16)),0))</f>
        <v/>
      </c>
      <c r="CR47" s="23" t="n">
        <f aca="false">IF(AND(AY47=1,OR(O47="N",AND(OR(ISNUMBER(R47),ISNUMBER(V47)),MAX(N(R47),N(V47))&lt;Config!$B$14))),1,0)</f>
        <v>0</v>
      </c>
      <c r="CS47" s="23" t="n">
        <f aca="false">IF(OR(BB47=1,CR47=1),1,0)</f>
        <v>0</v>
      </c>
      <c r="CT47" s="23" t="n">
        <f aca="false">IF(AND(AY47=1,OR(AN47="Y",AN47="N",AN47="maybe")),1,0)</f>
        <v>0</v>
      </c>
      <c r="CU47" s="23" t="n">
        <f aca="false">IF(AND(CT47=1),IF(COUNTIFS($A$2:$A$201,$A47,$CT$2:$CT$201,1,$H$2:$H$201,"&gt;"&amp;H47)+COUNTIFS($A$2:$A$201,$A47,$CT$2:$CT$201,1,$H$2:$H$201,H47,$AX$2:$AX$201,"&gt;"&amp;AX47)=0,1,0),0)</f>
        <v>0</v>
      </c>
      <c r="CV47" s="23" t="n">
        <f aca="false">IF(AND(CS47=1,INT(N(H47))&lt;=Config!$B$6),IF(COUNTIFS($AW$2:$AW$201,AW47,$CS$2:$CS$201,1,$H$2:$H$201,"&gt;"&amp;H47,$H$2:$H$201,"&lt;"&amp;(Config!$B$6+1))+COUNTIFS($AW$2:$AW$201,AW47,$CS$2:$CS$201,1,$H$2:$H$201,H47,$AX$2:$AX$201,"&gt;"&amp;AX47)=0,1,0),0)</f>
        <v>0</v>
      </c>
      <c r="CW47" s="23" t="n">
        <f aca="false">IF(AND(CS47=1,INT(N(H47))&lt;=Config!$B$7),IF(COUNTIFS($AW$2:$AW$201,AW47,$CS$2:$CS$201,1,$H$2:$H$201,"&gt;"&amp;H47,$H$2:$H$201,"&lt;"&amp;(Config!$B$7+1))+COUNTIFS($AW$2:$AW$201,AW47,$CS$2:$CS$201,1,$H$2:$H$201,H47,$AX$2:$AX$201,"&gt;"&amp;AX47)=0,1,0),0)</f>
        <v>0</v>
      </c>
      <c r="CX47" s="23" t="n">
        <f aca="false">IF(AND(CS47=1,INT(N(H47))&lt;=Config!$B$8),IF(COUNTIFS($AW$2:$AW$201,AW47,$CS$2:$CS$201,1,$H$2:$H$201,"&gt;"&amp;H47,$H$2:$H$201,"&lt;"&amp;(Config!$B$8+1))+COUNTIFS($AW$2:$AW$201,AW47,$CS$2:$CS$201,1,$H$2:$H$201,H47,$AX$2:$AX$201,"&gt;"&amp;AX47)=0,1,0),0)</f>
        <v>0</v>
      </c>
      <c r="CY47" s="23" t="n">
        <f aca="false">IF(AND(CS47=1,INT(N(H47))&lt;=Config!$B$5),IF(COUNTIFS($AW$2:$AW$201,AW47,$CS$2:$CS$201,1,$H$2:$H$201,"&gt;"&amp;H47,$H$2:$H$201,"&lt;"&amp;(Config!$B$5+1))+COUNTIFS($AW$2:$AW$201,AW47,$CS$2:$CS$201,1,$H$2:$H$201,H47,$AX$2:$AX$201,"&gt;"&amp;AX47)=0,1,0),0)</f>
        <v>0</v>
      </c>
      <c r="CZ47" s="23" t="n">
        <f aca="false">IF(AY47=1,IF(COUNTIFS($AW$2:$AW$201,AW47,$CV$2:$CV$201,1,$BB$2:$BB$201,1)&gt;0,1,0),0)</f>
        <v>0</v>
      </c>
      <c r="DA47" s="23" t="n">
        <f aca="false">IF(AY47=1,IF(COUNTIFS($AW$2:$AW$201,AW47,$CW$2:$CW$201,1,$BB$2:$BB$201,1)&gt;0,1,0),0)</f>
        <v>0</v>
      </c>
      <c r="DB47" s="23" t="n">
        <f aca="false">IF(AY47=1,IF(COUNTIFS($AW$2:$AW$201,AW47,$CX$2:$CX$201,1,$BB$2:$BB$201,1)&gt;0,1,0),0)</f>
        <v>0</v>
      </c>
      <c r="DC47" s="23" t="n">
        <f aca="false">IF(AY47=1,IF(COUNTIFS($AW$2:$AW$201,AW47,$CY$2:$CY$201,1,$BB$2:$BB$201,1)&gt;0,1,0),0)</f>
        <v>0</v>
      </c>
      <c r="DD47" s="23" t="n">
        <f aca="false">IF(AND(BC47=1,INT(N(H47))&lt;=Config!$B$6,CZ47=1),1,0)</f>
        <v>0</v>
      </c>
      <c r="DE47" s="23" t="n">
        <f aca="false">IF(AND(BC47=1,INT(N(H47))&lt;=Config!$B$7,DA47=1),1,0)</f>
        <v>0</v>
      </c>
      <c r="DF47" s="23" t="n">
        <f aca="false">IF(AND(BC47=1,INT(N(H47))&lt;=Config!$B$8,DB47=1),1,0)</f>
        <v>0</v>
      </c>
      <c r="DG47" s="23" t="n">
        <f aca="false">IF(AND(BC47=1,INT(N(H47))&lt;=Config!$B$5,DC47=1),1,0)</f>
        <v>0</v>
      </c>
      <c r="DH47" s="23" t="n">
        <f aca="false">IF(AND(BE47=1,INT(N(H47))&lt;=Config!$B$6,CZ47=1),1,0)</f>
        <v>0</v>
      </c>
      <c r="DI47" s="23" t="n">
        <f aca="false">IF(AND(BE47=1,INT(N(H47))&lt;=Config!$B$7,DA47=1),1,0)</f>
        <v>0</v>
      </c>
      <c r="DJ47" s="23" t="n">
        <f aca="false">IF(AND(BE47=1,INT(N(H47))&lt;=Config!$B$8,DB47=1),1,0)</f>
        <v>0</v>
      </c>
      <c r="DK47" s="23" t="n">
        <f aca="false">IF(AND(BE47=1,INT(N(H47))&lt;=Config!$B$5,DC47=1),1,0)</f>
        <v>0</v>
      </c>
      <c r="DL47" s="23" t="n">
        <f aca="false">IF(AND(BC47=1,INT(N(H47))&lt;=Config!$B$6,CZ47=0),1,0)</f>
        <v>0</v>
      </c>
      <c r="DM47" s="23" t="n">
        <f aca="false">IF(AND(BC47=1,INT(N(H47))&lt;=Config!$B$7,DA47=0),1,0)</f>
        <v>0</v>
      </c>
      <c r="DN47" s="23" t="n">
        <f aca="false">IF(AND(BC47=1,INT(N(H47))&lt;=Config!$B$8,DB47=0),1,0)</f>
        <v>0</v>
      </c>
      <c r="DO47" s="23" t="n">
        <f aca="false">IF(AND(BC47=1,INT(N(H47))&lt;=Config!$B$5,DC47=0),1,0)</f>
        <v>0</v>
      </c>
      <c r="DP47" s="23" t="n">
        <f aca="false">IF(TRIM($A47)="",0,ISTEXT(K47)+ISTEXT(L47)+ISTEXT(R47)+ISTEXT(V47)+ISTEXT(AP47)+ISTEXT(AS47))</f>
        <v>0</v>
      </c>
      <c r="DQ47" s="23" t="n">
        <f aca="false">IF(AY47=1,IF(H47&lt;&gt;INT(H47),1,0),0)</f>
        <v>0</v>
      </c>
      <c r="DR47" s="23" t="str">
        <f aca="false">IF(TRIM($A47)="","",IF(TRIM(B47)="",SUBSTITUTE(SUBSTITUTE(SUBSTITUTE(SUBSTITUTE(SUBSTITUTE(SUBSTITUTE(LOWER(TRIM($A47)),"~",""),"*",""),"?",""),"&lt;",""),"&gt;",""),"=",""),SUBSTITUTE(SUBSTITUTE(SUBSTITUTE(SUBSTITUTE(SUBSTITUTE(SUBSTITUTE(LOWER(TRIM(B47)),"~",""),"*",""),"?",""),"&lt;",""),"&gt;",""),"=","")))</f>
        <v/>
      </c>
      <c r="DS47" s="23" t="str">
        <f aca="false">IF(CM47="","",IFERROR(IF(LEFT(LOWER(TRIM(INDEX(Clay_Brands!$A$2:$FZ$601,CM47,Sync!$D$19)&amp;"")),4)="grp-",SUBSTITUTE(SUBSTITUTE(SUBSTITUTE(SUBSTITUTE(SUBSTITUTE(SUBSTITUTE(LOWER(TRIM(INDEX(Clay_Brands!$A$2:$FZ$601,CM47,Sync!$D$19)&amp;"")),"~",""),"*",""),"?",""),"&lt;",""),"&gt;",""),"=",""),""),""))</f>
        <v/>
      </c>
      <c r="DT47" s="23" t="str">
        <f aca="false">IF(DS47&lt;&gt;"",DR47,"")</f>
        <v/>
      </c>
      <c r="DU47" s="23" t="str">
        <f aca="false">IF(AZ47=1,AW47,"")</f>
        <v/>
      </c>
      <c r="DV47" s="23" t="str">
        <f aca="false">IF(TRIM($A47)="","",IFERROR(INDEX($A$2:$A$201,MATCH(AW47,$DU$2:$DU$201,0))&amp;"",$A47&amp;""))</f>
        <v/>
      </c>
      <c r="DW47" s="23" t="n">
        <f aca="false">IF(AY47=1,IF(COUNTIFS($A$2:$A$201,$A47,$AY$2:$AY$201,1,$H$2:$H$201,"&lt;"&amp;H47)+COUNTIFS($A$2:$A$201,$A47,$AY$2:$AY$201,1,$H$2:$H$201,H47,$AX$2:$AX$201,"&lt;"&amp;AX47)=0,1,0),0)</f>
        <v>0</v>
      </c>
      <c r="DX47" s="23" t="n">
        <f aca="false">IF(AZ47=1,IF(COUNTIFS($AW$2:$AW$201,AW47,$DW$2:$DW$201,1)&gt;1,1,0),0)</f>
        <v>0</v>
      </c>
    </row>
    <row r="48" customFormat="false" ht="15" hidden="false" customHeight="false" outlineLevel="0" collapsed="false">
      <c r="G48" s="32"/>
      <c r="H48" s="33"/>
      <c r="I48" s="32"/>
      <c r="O48" s="32"/>
      <c r="P48" s="32"/>
      <c r="U48" s="32"/>
      <c r="Y48" s="32"/>
      <c r="AB48" s="32"/>
      <c r="AC48" s="32"/>
      <c r="AD48" s="32"/>
      <c r="AE48" s="32"/>
      <c r="AF48" s="32"/>
      <c r="AG48" s="32"/>
      <c r="AI48" s="32"/>
      <c r="AJ48" s="32"/>
      <c r="AK48" s="32"/>
      <c r="AN48" s="32"/>
      <c r="AO48" s="32"/>
      <c r="AR48" s="32"/>
      <c r="AT48" s="32"/>
      <c r="AV48" s="34" t="str">
        <f aca="false">IF(TRIM($A48)="","",IF(AND(LEFT($A48,6)="SAMPLE",Config!$B$19&lt;&gt;"Y"),"",IF(NOT(ISNUMBER(H48)),"call_date is blank or not a date",IF(Sync!$D$5="","Clay paste is empty or has no row_id column: paste the Clay export on Clay_Brands",IF(CM48="","row_id not found in the Clay paste: add the Clay row or fix the row_id",IF(AND(ISNUMBER(CO48),CO48&gt;=1,CO48&lt;=5),"Clay status is "&amp;CN48&amp;": set call_done or later",IF(AND(BA48=1,CP48&lt;&gt;CB48),"Clay yes_in_principle should be "&amp;CB48,IF(AND(BA48=1,CQ48&lt;&gt;H48),"Clay call_date should be "&amp;TEXT(H48,"yyyy-mm-dd"),""))))))))</f>
        <v/>
      </c>
      <c r="AW48" s="23" t="str">
        <f aca="false">IF(TRIM($A48)="","",IF(TRIM(C48)&lt;&gt;"",SUBSTITUTE(SUBSTITUTE(SUBSTITUTE(SUBSTITUTE(SUBSTITUTE(SUBSTITUTE(LOWER(TRIM(C48)),"~",""),"*",""),"?",""),"&lt;",""),"&gt;",""),"=",""),IF(DS48&lt;&gt;"",DS48,IFERROR(INDEX($DS$2:$DS$201,MATCH(DR48,$DT$2:$DT$201,0)),DR48))))</f>
        <v/>
      </c>
      <c r="AX48" s="23" t="n">
        <f aca="false">ROW()</f>
        <v>48</v>
      </c>
      <c r="AY48" s="23" t="n">
        <f aca="false">IF(AND(TRIM($A48)&lt;&gt;"",ISNUMBER(H48)),IF(AND(LEFT($A48,6)="SAMPLE",Config!$B$19&lt;&gt;"Y"),0,1),0)</f>
        <v>0</v>
      </c>
      <c r="AZ48" s="23" t="n">
        <f aca="false">IF(AY48=1,IF(COUNTIFS($AW$2:$AW$201,AW48,$AY$2:$AY$201,1,$H$2:$H$201,"&lt;"&amp;H48)+COUNTIFS($AW$2:$AW$201,AW48,$AY$2:$AY$201,1,$H$2:$H$201,H48,$AX$2:$AX$201,"&lt;"&amp;AX48)=0,1,0),0)</f>
        <v>0</v>
      </c>
      <c r="BA48" s="23" t="n">
        <f aca="false">IF(AY48=1,IF(COUNTIFS($A$2:$A$201,$A48,$AY$2:$AY$201,1,$H$2:$H$201,"&gt;"&amp;H48)+COUNTIFS($A$2:$A$201,$A48,$AY$2:$AY$201,1,$H$2:$H$201,H48,$AX$2:$AX$201,"&gt;"&amp;AX48)=0,1,0),0)</f>
        <v>0</v>
      </c>
      <c r="BB48" s="23" t="n">
        <f aca="false">IF(AND(AY48=1,O48="Y",MAX(N(R48),N(V48))&gt;=Config!$B$14),1,0)</f>
        <v>0</v>
      </c>
      <c r="BC48" s="23" t="n">
        <f aca="false">IF(BB48=1,IF(COUNTIFS($AW$2:$AW$201,AW48,$BB$2:$BB$201,1,$H$2:$H$201,"&lt;"&amp;H48)+COUNTIFS($AW$2:$AW$201,AW48,$BB$2:$BB$201,1,$H$2:$H$201,H48,$AX$2:$AX$201,"&lt;"&amp;AX48)=0,1,0),0)</f>
        <v>0</v>
      </c>
      <c r="BD48" s="23" t="n">
        <f aca="false">IF(AND(AY48=1,O48="Y",ISNUMBER(R48)),IF(R48&gt;=Config!$B$14,1,0),0)</f>
        <v>0</v>
      </c>
      <c r="BE48" s="23" t="n">
        <f aca="false">IF(BD48=1,IF(COUNTIFS($AW$2:$AW$201,AW48,$BD$2:$BD$201,1,$H$2:$H$201,"&lt;"&amp;H48)+COUNTIFS($AW$2:$AW$201,AW48,$BD$2:$BD$201,1,$H$2:$H$201,H48,$AX$2:$AX$201,"&lt;"&amp;AX48)=0,1,0),0)</f>
        <v>0</v>
      </c>
      <c r="BF48" s="23" t="n">
        <f aca="false">IF(AND(AY48=1,O48&lt;&gt;"Y",MAX(N(R48),N(V48))&gt;=Config!$B$14),1,0)</f>
        <v>0</v>
      </c>
      <c r="BG48" s="23" t="n">
        <f aca="false">IF(BF48=1,IF(COUNTIFS($AW$2:$AW$201,AW48,$BF$2:$BF$201,1,$H$2:$H$201,"&lt;"&amp;H48)+COUNTIFS($AW$2:$AW$201,AW48,$BF$2:$BF$201,1,$H$2:$H$201,H48,$AX$2:$AX$201,"&lt;"&amp;AX48)=0,1,0),0)</f>
        <v>0</v>
      </c>
      <c r="BH48" s="23" t="n">
        <f aca="false">IF(AND(AY48=1,ISNUMBER(R48)),1,0)</f>
        <v>0</v>
      </c>
      <c r="BI48" s="23" t="n">
        <f aca="false">IF(BH48=1,IF(COUNTIFS($AW$2:$AW$201,AW48,$BH$2:$BH$201,1,$H$2:$H$201,"&lt;"&amp;H48)+COUNTIFS($AW$2:$AW$201,AW48,$BH$2:$BH$201,1,$H$2:$H$201,H48,$AX$2:$AX$201,"&lt;"&amp;AX48)=0,1,0),0)</f>
        <v>0</v>
      </c>
      <c r="BJ48" s="23" t="str">
        <f aca="false">IF(AND(BI48=1,INT(N(H48))&lt;=Config!$B$6),R48,"")</f>
        <v/>
      </c>
      <c r="BK48" s="23" t="str">
        <f aca="false">IF(AND(BI48=1,INT(N(H48))&lt;=Config!$B$7),R48,"")</f>
        <v/>
      </c>
      <c r="BL48" s="23" t="str">
        <f aca="false">IF(AND(BI48=1,INT(N(H48))&lt;=Config!$B$8),R48,"")</f>
        <v/>
      </c>
      <c r="BM48" s="23" t="str">
        <f aca="false">IF(AND(BI48=1,INT(N(H48))&lt;=Config!$B$5),R48,"")</f>
        <v/>
      </c>
      <c r="BN48" s="23" t="n">
        <f aca="false">IF(AND(AY48=1,ISNUMBER(V48)),1,0)</f>
        <v>0</v>
      </c>
      <c r="BO48" s="23" t="n">
        <f aca="false">IF(BN48=1,IF(COUNTIFS($AW$2:$AW$201,AW48,$BN$2:$BN$201,1,$H$2:$H$201,"&lt;"&amp;H48)+COUNTIFS($AW$2:$AW$201,AW48,$BN$2:$BN$201,1,$H$2:$H$201,H48,$AX$2:$AX$201,"&lt;"&amp;AX48)=0,1,0),0)</f>
        <v>0</v>
      </c>
      <c r="BP48" s="23" t="str">
        <f aca="false">IF(AND(BO48=1,INT(N(H48))&lt;=Config!$B$6),V48,"")</f>
        <v/>
      </c>
      <c r="BQ48" s="23" t="str">
        <f aca="false">IF(AND(BO48=1,INT(N(H48))&lt;=Config!$B$7),V48,"")</f>
        <v/>
      </c>
      <c r="BR48" s="23" t="str">
        <f aca="false">IF(AND(BO48=1,INT(N(H48))&lt;=Config!$B$8),V48,"")</f>
        <v/>
      </c>
      <c r="BS48" s="23" t="str">
        <f aca="false">IF(AND(BO48=1,INT(N(H48))&lt;=Config!$B$5),V48,"")</f>
        <v/>
      </c>
      <c r="BT48" s="23" t="n">
        <f aca="false">IF(AND(AY48=1,ISNUMBER(K48)),1,0)</f>
        <v>0</v>
      </c>
      <c r="BU48" s="23" t="n">
        <f aca="false">IF(BT48=1,IF(COUNTIFS($AW$2:$AW$201,AW48,$BT$2:$BT$201,1,$H$2:$H$201,"&lt;"&amp;H48)+COUNTIFS($AW$2:$AW$201,AW48,$BT$2:$BT$201,1,$H$2:$H$201,H48,$AX$2:$AX$201,"&lt;"&amp;AX48)=0,1,0),0)</f>
        <v>0</v>
      </c>
      <c r="BV48" s="23" t="str">
        <f aca="false">IF(AND(BU48=1,INT(N(H48))&lt;=Config!$B$5),K48,"")</f>
        <v/>
      </c>
      <c r="BW48" s="23" t="n">
        <f aca="false">IF(AND(AY48=1,OR(AND(ISNUMBER(R48),TRIM(S48)=""),AND(ISNUMBER(V48),TRIM(W48)=""))),1,0)</f>
        <v>0</v>
      </c>
      <c r="BX48" s="23" t="str">
        <f aca="false">IF(AY48=1,AJ48&amp;"","")</f>
        <v/>
      </c>
      <c r="BY48" s="23" t="str">
        <f aca="false">IF(AY48=1,AK48&amp;"","")</f>
        <v/>
      </c>
      <c r="BZ48" s="23" t="str">
        <f aca="false">IF(AY48=1,AL48&amp;"","")</f>
        <v/>
      </c>
      <c r="CA48" s="23" t="str">
        <f aca="false">IF(AND(AY48=1,ISNUMBER(AS48),INT(N(H48))&lt;=Config!$B$5),AS48,"")</f>
        <v/>
      </c>
      <c r="CB48" s="23" t="str">
        <f aca="false">IF(AY48=1,IF(COUNTIFS($A$2:$A$201,$A48,$CU$2:$CU$201,1,$AN$2:$AN$201,"Y")&gt;0,"Y","N"),"")</f>
        <v/>
      </c>
      <c r="CC48" s="23" t="n">
        <f aca="false">IF(AND(AY48=1,AN48="Y"),IF(COUNTIFS($AW$2:$AW$201,AW48,$AN$2:$AN$201,"Y",$AY$2:$AY$201,1,$H$2:$H$201,"&lt;"&amp;H48)+COUNTIFS($AW$2:$AW$201,AW48,$AN$2:$AN$201,"Y",$AY$2:$AY$201,1,$H$2:$H$201,H48,$AX$2:$AX$201,"&lt;"&amp;AX48)=0,1,0),0)</f>
        <v>0</v>
      </c>
      <c r="CD48" s="23" t="n">
        <f aca="false">IF(AND(AY48=1,AB48="Y",AC48="Y",AD48="Y",AE48="Y",AF48="Y",AG48="Y",AI48="Y",TRIM(AH48)&lt;&gt;""),1,0)</f>
        <v>0</v>
      </c>
      <c r="CE48" s="23" t="n">
        <f aca="false">IF(CD48=1,IF(COUNTIFS($AW$2:$AW$201,AW48,$CD$2:$CD$201,1,$H$2:$H$201,"&lt;"&amp;H48)+COUNTIFS($AW$2:$AW$201,AW48,$CD$2:$CD$201,1,$H$2:$H$201,H48,$AX$2:$AX$201,"&lt;"&amp;AX48)=0,1,0),0)</f>
        <v>0</v>
      </c>
      <c r="CF48" s="23" t="n">
        <f aca="false">IF(AND(AY48=1,AO48="Y"),1,0)</f>
        <v>0</v>
      </c>
      <c r="CG48" s="23" t="n">
        <f aca="false">IF(CF48=1,IF(COUNTIFS($AW$2:$AW$201,AW48,$CF$2:$CF$201,1,$H$2:$H$201,"&lt;"&amp;H48)+COUNTIFS($AW$2:$AW$201,AW48,$CF$2:$CF$201,1,$H$2:$H$201,H48,$AX$2:$AX$201,"&lt;"&amp;AX48)=0,1,0),0)</f>
        <v>0</v>
      </c>
      <c r="CH48" s="23" t="n">
        <f aca="false">IF(AND(AY48=1,P48="Y"),1,0)</f>
        <v>0</v>
      </c>
      <c r="CI48" s="23" t="n">
        <f aca="false">IF(CH48=1,IF(COUNTIFS($AW$2:$AW$201,AW48,$CH$2:$CH$201,1,$H$2:$H$201,"&lt;"&amp;H48)+COUNTIFS($AW$2:$AW$201,AW48,$CH$2:$CH$201,1,$H$2:$H$201,H48,$AX$2:$AX$201,"&lt;"&amp;AX48)=0,1,0),0)</f>
        <v>0</v>
      </c>
      <c r="CJ48" s="23" t="str">
        <f aca="false">IF(AND(BU48=1,INT(N(H48))&lt;=Config!$B$5),L48,"")</f>
        <v/>
      </c>
      <c r="CK48" s="23" t="n">
        <f aca="false">IF(AND(AY48=1,AR48="Y"),1,0)</f>
        <v>0</v>
      </c>
      <c r="CL48" s="23" t="n">
        <f aca="false">IF(CK48=1,IF(COUNTIFS($AW$2:$AW$201,AW48,$CK$2:$CK$201,1,$H$2:$H$201,"&lt;"&amp;H48)+COUNTIFS($AW$2:$AW$201,AW48,$CK$2:$CK$201,1,$H$2:$H$201,H48,$AX$2:$AX$201,"&lt;"&amp;AX48)=0,1,0),0)</f>
        <v>0</v>
      </c>
      <c r="CM48" s="23" t="str">
        <f aca="false">IF(AY48=1,IFERROR(MATCH($A48,INDEX(Clay_Brands!$A$2:$FZ$601,0,Sync!$D$5),0),""),"")</f>
        <v/>
      </c>
      <c r="CN48" s="23" t="str">
        <f aca="false">IF(CM48="","",IFERROR(INDEX(Clay_Brands!$A$2:$FZ$601,CM48,Sync!$D$7)&amp;"",""))</f>
        <v/>
      </c>
      <c r="CO48" s="23" t="str">
        <f aca="false">IF(CN48="","",IFERROR(INDEX(Lists!$K$2:$K$15,MATCH(CN48,Lists!$J$2:$J$15,0)),""))</f>
        <v/>
      </c>
      <c r="CP48" s="23" t="str">
        <f aca="false">IF(CM48="","",IFERROR(INDEX(Clay_Brands!$A$2:$FZ$601,CM48,Sync!$D$17)&amp;"",""))</f>
        <v/>
      </c>
      <c r="CQ48" s="35" t="str">
        <f aca="false">IF(CM48="","",IFERROR(N(INDEX(Clay_Brands!$A$2:$FZ$601,CM48,Sync!$D$16)),0))</f>
        <v/>
      </c>
      <c r="CR48" s="23" t="n">
        <f aca="false">IF(AND(AY48=1,OR(O48="N",AND(OR(ISNUMBER(R48),ISNUMBER(V48)),MAX(N(R48),N(V48))&lt;Config!$B$14))),1,0)</f>
        <v>0</v>
      </c>
      <c r="CS48" s="23" t="n">
        <f aca="false">IF(OR(BB48=1,CR48=1),1,0)</f>
        <v>0</v>
      </c>
      <c r="CT48" s="23" t="n">
        <f aca="false">IF(AND(AY48=1,OR(AN48="Y",AN48="N",AN48="maybe")),1,0)</f>
        <v>0</v>
      </c>
      <c r="CU48" s="23" t="n">
        <f aca="false">IF(AND(CT48=1),IF(COUNTIFS($A$2:$A$201,$A48,$CT$2:$CT$201,1,$H$2:$H$201,"&gt;"&amp;H48)+COUNTIFS($A$2:$A$201,$A48,$CT$2:$CT$201,1,$H$2:$H$201,H48,$AX$2:$AX$201,"&gt;"&amp;AX48)=0,1,0),0)</f>
        <v>0</v>
      </c>
      <c r="CV48" s="23" t="n">
        <f aca="false">IF(AND(CS48=1,INT(N(H48))&lt;=Config!$B$6),IF(COUNTIFS($AW$2:$AW$201,AW48,$CS$2:$CS$201,1,$H$2:$H$201,"&gt;"&amp;H48,$H$2:$H$201,"&lt;"&amp;(Config!$B$6+1))+COUNTIFS($AW$2:$AW$201,AW48,$CS$2:$CS$201,1,$H$2:$H$201,H48,$AX$2:$AX$201,"&gt;"&amp;AX48)=0,1,0),0)</f>
        <v>0</v>
      </c>
      <c r="CW48" s="23" t="n">
        <f aca="false">IF(AND(CS48=1,INT(N(H48))&lt;=Config!$B$7),IF(COUNTIFS($AW$2:$AW$201,AW48,$CS$2:$CS$201,1,$H$2:$H$201,"&gt;"&amp;H48,$H$2:$H$201,"&lt;"&amp;(Config!$B$7+1))+COUNTIFS($AW$2:$AW$201,AW48,$CS$2:$CS$201,1,$H$2:$H$201,H48,$AX$2:$AX$201,"&gt;"&amp;AX48)=0,1,0),0)</f>
        <v>0</v>
      </c>
      <c r="CX48" s="23" t="n">
        <f aca="false">IF(AND(CS48=1,INT(N(H48))&lt;=Config!$B$8),IF(COUNTIFS($AW$2:$AW$201,AW48,$CS$2:$CS$201,1,$H$2:$H$201,"&gt;"&amp;H48,$H$2:$H$201,"&lt;"&amp;(Config!$B$8+1))+COUNTIFS($AW$2:$AW$201,AW48,$CS$2:$CS$201,1,$H$2:$H$201,H48,$AX$2:$AX$201,"&gt;"&amp;AX48)=0,1,0),0)</f>
        <v>0</v>
      </c>
      <c r="CY48" s="23" t="n">
        <f aca="false">IF(AND(CS48=1,INT(N(H48))&lt;=Config!$B$5),IF(COUNTIFS($AW$2:$AW$201,AW48,$CS$2:$CS$201,1,$H$2:$H$201,"&gt;"&amp;H48,$H$2:$H$201,"&lt;"&amp;(Config!$B$5+1))+COUNTIFS($AW$2:$AW$201,AW48,$CS$2:$CS$201,1,$H$2:$H$201,H48,$AX$2:$AX$201,"&gt;"&amp;AX48)=0,1,0),0)</f>
        <v>0</v>
      </c>
      <c r="CZ48" s="23" t="n">
        <f aca="false">IF(AY48=1,IF(COUNTIFS($AW$2:$AW$201,AW48,$CV$2:$CV$201,1,$BB$2:$BB$201,1)&gt;0,1,0),0)</f>
        <v>0</v>
      </c>
      <c r="DA48" s="23" t="n">
        <f aca="false">IF(AY48=1,IF(COUNTIFS($AW$2:$AW$201,AW48,$CW$2:$CW$201,1,$BB$2:$BB$201,1)&gt;0,1,0),0)</f>
        <v>0</v>
      </c>
      <c r="DB48" s="23" t="n">
        <f aca="false">IF(AY48=1,IF(COUNTIFS($AW$2:$AW$201,AW48,$CX$2:$CX$201,1,$BB$2:$BB$201,1)&gt;0,1,0),0)</f>
        <v>0</v>
      </c>
      <c r="DC48" s="23" t="n">
        <f aca="false">IF(AY48=1,IF(COUNTIFS($AW$2:$AW$201,AW48,$CY$2:$CY$201,1,$BB$2:$BB$201,1)&gt;0,1,0),0)</f>
        <v>0</v>
      </c>
      <c r="DD48" s="23" t="n">
        <f aca="false">IF(AND(BC48=1,INT(N(H48))&lt;=Config!$B$6,CZ48=1),1,0)</f>
        <v>0</v>
      </c>
      <c r="DE48" s="23" t="n">
        <f aca="false">IF(AND(BC48=1,INT(N(H48))&lt;=Config!$B$7,DA48=1),1,0)</f>
        <v>0</v>
      </c>
      <c r="DF48" s="23" t="n">
        <f aca="false">IF(AND(BC48=1,INT(N(H48))&lt;=Config!$B$8,DB48=1),1,0)</f>
        <v>0</v>
      </c>
      <c r="DG48" s="23" t="n">
        <f aca="false">IF(AND(BC48=1,INT(N(H48))&lt;=Config!$B$5,DC48=1),1,0)</f>
        <v>0</v>
      </c>
      <c r="DH48" s="23" t="n">
        <f aca="false">IF(AND(BE48=1,INT(N(H48))&lt;=Config!$B$6,CZ48=1),1,0)</f>
        <v>0</v>
      </c>
      <c r="DI48" s="23" t="n">
        <f aca="false">IF(AND(BE48=1,INT(N(H48))&lt;=Config!$B$7,DA48=1),1,0)</f>
        <v>0</v>
      </c>
      <c r="DJ48" s="23" t="n">
        <f aca="false">IF(AND(BE48=1,INT(N(H48))&lt;=Config!$B$8,DB48=1),1,0)</f>
        <v>0</v>
      </c>
      <c r="DK48" s="23" t="n">
        <f aca="false">IF(AND(BE48=1,INT(N(H48))&lt;=Config!$B$5,DC48=1),1,0)</f>
        <v>0</v>
      </c>
      <c r="DL48" s="23" t="n">
        <f aca="false">IF(AND(BC48=1,INT(N(H48))&lt;=Config!$B$6,CZ48=0),1,0)</f>
        <v>0</v>
      </c>
      <c r="DM48" s="23" t="n">
        <f aca="false">IF(AND(BC48=1,INT(N(H48))&lt;=Config!$B$7,DA48=0),1,0)</f>
        <v>0</v>
      </c>
      <c r="DN48" s="23" t="n">
        <f aca="false">IF(AND(BC48=1,INT(N(H48))&lt;=Config!$B$8,DB48=0),1,0)</f>
        <v>0</v>
      </c>
      <c r="DO48" s="23" t="n">
        <f aca="false">IF(AND(BC48=1,INT(N(H48))&lt;=Config!$B$5,DC48=0),1,0)</f>
        <v>0</v>
      </c>
      <c r="DP48" s="23" t="n">
        <f aca="false">IF(TRIM($A48)="",0,ISTEXT(K48)+ISTEXT(L48)+ISTEXT(R48)+ISTEXT(V48)+ISTEXT(AP48)+ISTEXT(AS48))</f>
        <v>0</v>
      </c>
      <c r="DQ48" s="23" t="n">
        <f aca="false">IF(AY48=1,IF(H48&lt;&gt;INT(H48),1,0),0)</f>
        <v>0</v>
      </c>
      <c r="DR48" s="23" t="str">
        <f aca="false">IF(TRIM($A48)="","",IF(TRIM(B48)="",SUBSTITUTE(SUBSTITUTE(SUBSTITUTE(SUBSTITUTE(SUBSTITUTE(SUBSTITUTE(LOWER(TRIM($A48)),"~",""),"*",""),"?",""),"&lt;",""),"&gt;",""),"=",""),SUBSTITUTE(SUBSTITUTE(SUBSTITUTE(SUBSTITUTE(SUBSTITUTE(SUBSTITUTE(LOWER(TRIM(B48)),"~",""),"*",""),"?",""),"&lt;",""),"&gt;",""),"=","")))</f>
        <v/>
      </c>
      <c r="DS48" s="23" t="str">
        <f aca="false">IF(CM48="","",IFERROR(IF(LEFT(LOWER(TRIM(INDEX(Clay_Brands!$A$2:$FZ$601,CM48,Sync!$D$19)&amp;"")),4)="grp-",SUBSTITUTE(SUBSTITUTE(SUBSTITUTE(SUBSTITUTE(SUBSTITUTE(SUBSTITUTE(LOWER(TRIM(INDEX(Clay_Brands!$A$2:$FZ$601,CM48,Sync!$D$19)&amp;"")),"~",""),"*",""),"?",""),"&lt;",""),"&gt;",""),"=",""),""),""))</f>
        <v/>
      </c>
      <c r="DT48" s="23" t="str">
        <f aca="false">IF(DS48&lt;&gt;"",DR48,"")</f>
        <v/>
      </c>
      <c r="DU48" s="23" t="str">
        <f aca="false">IF(AZ48=1,AW48,"")</f>
        <v/>
      </c>
      <c r="DV48" s="23" t="str">
        <f aca="false">IF(TRIM($A48)="","",IFERROR(INDEX($A$2:$A$201,MATCH(AW48,$DU$2:$DU$201,0))&amp;"",$A48&amp;""))</f>
        <v/>
      </c>
      <c r="DW48" s="23" t="n">
        <f aca="false">IF(AY48=1,IF(COUNTIFS($A$2:$A$201,$A48,$AY$2:$AY$201,1,$H$2:$H$201,"&lt;"&amp;H48)+COUNTIFS($A$2:$A$201,$A48,$AY$2:$AY$201,1,$H$2:$H$201,H48,$AX$2:$AX$201,"&lt;"&amp;AX48)=0,1,0),0)</f>
        <v>0</v>
      </c>
      <c r="DX48" s="23" t="n">
        <f aca="false">IF(AZ48=1,IF(COUNTIFS($AW$2:$AW$201,AW48,$DW$2:$DW$201,1)&gt;1,1,0),0)</f>
        <v>0</v>
      </c>
    </row>
    <row r="49" customFormat="false" ht="15" hidden="false" customHeight="false" outlineLevel="0" collapsed="false">
      <c r="G49" s="32"/>
      <c r="H49" s="33"/>
      <c r="I49" s="32"/>
      <c r="O49" s="32"/>
      <c r="P49" s="32"/>
      <c r="U49" s="32"/>
      <c r="Y49" s="32"/>
      <c r="AB49" s="32"/>
      <c r="AC49" s="32"/>
      <c r="AD49" s="32"/>
      <c r="AE49" s="32"/>
      <c r="AF49" s="32"/>
      <c r="AG49" s="32"/>
      <c r="AI49" s="32"/>
      <c r="AJ49" s="32"/>
      <c r="AK49" s="32"/>
      <c r="AN49" s="32"/>
      <c r="AO49" s="32"/>
      <c r="AR49" s="32"/>
      <c r="AT49" s="32"/>
      <c r="AV49" s="34" t="str">
        <f aca="false">IF(TRIM($A49)="","",IF(AND(LEFT($A49,6)="SAMPLE",Config!$B$19&lt;&gt;"Y"),"",IF(NOT(ISNUMBER(H49)),"call_date is blank or not a date",IF(Sync!$D$5="","Clay paste is empty or has no row_id column: paste the Clay export on Clay_Brands",IF(CM49="","row_id not found in the Clay paste: add the Clay row or fix the row_id",IF(AND(ISNUMBER(CO49),CO49&gt;=1,CO49&lt;=5),"Clay status is "&amp;CN49&amp;": set call_done or later",IF(AND(BA49=1,CP49&lt;&gt;CB49),"Clay yes_in_principle should be "&amp;CB49,IF(AND(BA49=1,CQ49&lt;&gt;H49),"Clay call_date should be "&amp;TEXT(H49,"yyyy-mm-dd"),""))))))))</f>
        <v/>
      </c>
      <c r="AW49" s="23" t="str">
        <f aca="false">IF(TRIM($A49)="","",IF(TRIM(C49)&lt;&gt;"",SUBSTITUTE(SUBSTITUTE(SUBSTITUTE(SUBSTITUTE(SUBSTITUTE(SUBSTITUTE(LOWER(TRIM(C49)),"~",""),"*",""),"?",""),"&lt;",""),"&gt;",""),"=",""),IF(DS49&lt;&gt;"",DS49,IFERROR(INDEX($DS$2:$DS$201,MATCH(DR49,$DT$2:$DT$201,0)),DR49))))</f>
        <v/>
      </c>
      <c r="AX49" s="23" t="n">
        <f aca="false">ROW()</f>
        <v>49</v>
      </c>
      <c r="AY49" s="23" t="n">
        <f aca="false">IF(AND(TRIM($A49)&lt;&gt;"",ISNUMBER(H49)),IF(AND(LEFT($A49,6)="SAMPLE",Config!$B$19&lt;&gt;"Y"),0,1),0)</f>
        <v>0</v>
      </c>
      <c r="AZ49" s="23" t="n">
        <f aca="false">IF(AY49=1,IF(COUNTIFS($AW$2:$AW$201,AW49,$AY$2:$AY$201,1,$H$2:$H$201,"&lt;"&amp;H49)+COUNTIFS($AW$2:$AW$201,AW49,$AY$2:$AY$201,1,$H$2:$H$201,H49,$AX$2:$AX$201,"&lt;"&amp;AX49)=0,1,0),0)</f>
        <v>0</v>
      </c>
      <c r="BA49" s="23" t="n">
        <f aca="false">IF(AY49=1,IF(COUNTIFS($A$2:$A$201,$A49,$AY$2:$AY$201,1,$H$2:$H$201,"&gt;"&amp;H49)+COUNTIFS($A$2:$A$201,$A49,$AY$2:$AY$201,1,$H$2:$H$201,H49,$AX$2:$AX$201,"&gt;"&amp;AX49)=0,1,0),0)</f>
        <v>0</v>
      </c>
      <c r="BB49" s="23" t="n">
        <f aca="false">IF(AND(AY49=1,O49="Y",MAX(N(R49),N(V49))&gt;=Config!$B$14),1,0)</f>
        <v>0</v>
      </c>
      <c r="BC49" s="23" t="n">
        <f aca="false">IF(BB49=1,IF(COUNTIFS($AW$2:$AW$201,AW49,$BB$2:$BB$201,1,$H$2:$H$201,"&lt;"&amp;H49)+COUNTIFS($AW$2:$AW$201,AW49,$BB$2:$BB$201,1,$H$2:$H$201,H49,$AX$2:$AX$201,"&lt;"&amp;AX49)=0,1,0),0)</f>
        <v>0</v>
      </c>
      <c r="BD49" s="23" t="n">
        <f aca="false">IF(AND(AY49=1,O49="Y",ISNUMBER(R49)),IF(R49&gt;=Config!$B$14,1,0),0)</f>
        <v>0</v>
      </c>
      <c r="BE49" s="23" t="n">
        <f aca="false">IF(BD49=1,IF(COUNTIFS($AW$2:$AW$201,AW49,$BD$2:$BD$201,1,$H$2:$H$201,"&lt;"&amp;H49)+COUNTIFS($AW$2:$AW$201,AW49,$BD$2:$BD$201,1,$H$2:$H$201,H49,$AX$2:$AX$201,"&lt;"&amp;AX49)=0,1,0),0)</f>
        <v>0</v>
      </c>
      <c r="BF49" s="23" t="n">
        <f aca="false">IF(AND(AY49=1,O49&lt;&gt;"Y",MAX(N(R49),N(V49))&gt;=Config!$B$14),1,0)</f>
        <v>0</v>
      </c>
      <c r="BG49" s="23" t="n">
        <f aca="false">IF(BF49=1,IF(COUNTIFS($AW$2:$AW$201,AW49,$BF$2:$BF$201,1,$H$2:$H$201,"&lt;"&amp;H49)+COUNTIFS($AW$2:$AW$201,AW49,$BF$2:$BF$201,1,$H$2:$H$201,H49,$AX$2:$AX$201,"&lt;"&amp;AX49)=0,1,0),0)</f>
        <v>0</v>
      </c>
      <c r="BH49" s="23" t="n">
        <f aca="false">IF(AND(AY49=1,ISNUMBER(R49)),1,0)</f>
        <v>0</v>
      </c>
      <c r="BI49" s="23" t="n">
        <f aca="false">IF(BH49=1,IF(COUNTIFS($AW$2:$AW$201,AW49,$BH$2:$BH$201,1,$H$2:$H$201,"&lt;"&amp;H49)+COUNTIFS($AW$2:$AW$201,AW49,$BH$2:$BH$201,1,$H$2:$H$201,H49,$AX$2:$AX$201,"&lt;"&amp;AX49)=0,1,0),0)</f>
        <v>0</v>
      </c>
      <c r="BJ49" s="23" t="str">
        <f aca="false">IF(AND(BI49=1,INT(N(H49))&lt;=Config!$B$6),R49,"")</f>
        <v/>
      </c>
      <c r="BK49" s="23" t="str">
        <f aca="false">IF(AND(BI49=1,INT(N(H49))&lt;=Config!$B$7),R49,"")</f>
        <v/>
      </c>
      <c r="BL49" s="23" t="str">
        <f aca="false">IF(AND(BI49=1,INT(N(H49))&lt;=Config!$B$8),R49,"")</f>
        <v/>
      </c>
      <c r="BM49" s="23" t="str">
        <f aca="false">IF(AND(BI49=1,INT(N(H49))&lt;=Config!$B$5),R49,"")</f>
        <v/>
      </c>
      <c r="BN49" s="23" t="n">
        <f aca="false">IF(AND(AY49=1,ISNUMBER(V49)),1,0)</f>
        <v>0</v>
      </c>
      <c r="BO49" s="23" t="n">
        <f aca="false">IF(BN49=1,IF(COUNTIFS($AW$2:$AW$201,AW49,$BN$2:$BN$201,1,$H$2:$H$201,"&lt;"&amp;H49)+COUNTIFS($AW$2:$AW$201,AW49,$BN$2:$BN$201,1,$H$2:$H$201,H49,$AX$2:$AX$201,"&lt;"&amp;AX49)=0,1,0),0)</f>
        <v>0</v>
      </c>
      <c r="BP49" s="23" t="str">
        <f aca="false">IF(AND(BO49=1,INT(N(H49))&lt;=Config!$B$6),V49,"")</f>
        <v/>
      </c>
      <c r="BQ49" s="23" t="str">
        <f aca="false">IF(AND(BO49=1,INT(N(H49))&lt;=Config!$B$7),V49,"")</f>
        <v/>
      </c>
      <c r="BR49" s="23" t="str">
        <f aca="false">IF(AND(BO49=1,INT(N(H49))&lt;=Config!$B$8),V49,"")</f>
        <v/>
      </c>
      <c r="BS49" s="23" t="str">
        <f aca="false">IF(AND(BO49=1,INT(N(H49))&lt;=Config!$B$5),V49,"")</f>
        <v/>
      </c>
      <c r="BT49" s="23" t="n">
        <f aca="false">IF(AND(AY49=1,ISNUMBER(K49)),1,0)</f>
        <v>0</v>
      </c>
      <c r="BU49" s="23" t="n">
        <f aca="false">IF(BT49=1,IF(COUNTIFS($AW$2:$AW$201,AW49,$BT$2:$BT$201,1,$H$2:$H$201,"&lt;"&amp;H49)+COUNTIFS($AW$2:$AW$201,AW49,$BT$2:$BT$201,1,$H$2:$H$201,H49,$AX$2:$AX$201,"&lt;"&amp;AX49)=0,1,0),0)</f>
        <v>0</v>
      </c>
      <c r="BV49" s="23" t="str">
        <f aca="false">IF(AND(BU49=1,INT(N(H49))&lt;=Config!$B$5),K49,"")</f>
        <v/>
      </c>
      <c r="BW49" s="23" t="n">
        <f aca="false">IF(AND(AY49=1,OR(AND(ISNUMBER(R49),TRIM(S49)=""),AND(ISNUMBER(V49),TRIM(W49)=""))),1,0)</f>
        <v>0</v>
      </c>
      <c r="BX49" s="23" t="str">
        <f aca="false">IF(AY49=1,AJ49&amp;"","")</f>
        <v/>
      </c>
      <c r="BY49" s="23" t="str">
        <f aca="false">IF(AY49=1,AK49&amp;"","")</f>
        <v/>
      </c>
      <c r="BZ49" s="23" t="str">
        <f aca="false">IF(AY49=1,AL49&amp;"","")</f>
        <v/>
      </c>
      <c r="CA49" s="23" t="str">
        <f aca="false">IF(AND(AY49=1,ISNUMBER(AS49),INT(N(H49))&lt;=Config!$B$5),AS49,"")</f>
        <v/>
      </c>
      <c r="CB49" s="23" t="str">
        <f aca="false">IF(AY49=1,IF(COUNTIFS($A$2:$A$201,$A49,$CU$2:$CU$201,1,$AN$2:$AN$201,"Y")&gt;0,"Y","N"),"")</f>
        <v/>
      </c>
      <c r="CC49" s="23" t="n">
        <f aca="false">IF(AND(AY49=1,AN49="Y"),IF(COUNTIFS($AW$2:$AW$201,AW49,$AN$2:$AN$201,"Y",$AY$2:$AY$201,1,$H$2:$H$201,"&lt;"&amp;H49)+COUNTIFS($AW$2:$AW$201,AW49,$AN$2:$AN$201,"Y",$AY$2:$AY$201,1,$H$2:$H$201,H49,$AX$2:$AX$201,"&lt;"&amp;AX49)=0,1,0),0)</f>
        <v>0</v>
      </c>
      <c r="CD49" s="23" t="n">
        <f aca="false">IF(AND(AY49=1,AB49="Y",AC49="Y",AD49="Y",AE49="Y",AF49="Y",AG49="Y",AI49="Y",TRIM(AH49)&lt;&gt;""),1,0)</f>
        <v>0</v>
      </c>
      <c r="CE49" s="23" t="n">
        <f aca="false">IF(CD49=1,IF(COUNTIFS($AW$2:$AW$201,AW49,$CD$2:$CD$201,1,$H$2:$H$201,"&lt;"&amp;H49)+COUNTIFS($AW$2:$AW$201,AW49,$CD$2:$CD$201,1,$H$2:$H$201,H49,$AX$2:$AX$201,"&lt;"&amp;AX49)=0,1,0),0)</f>
        <v>0</v>
      </c>
      <c r="CF49" s="23" t="n">
        <f aca="false">IF(AND(AY49=1,AO49="Y"),1,0)</f>
        <v>0</v>
      </c>
      <c r="CG49" s="23" t="n">
        <f aca="false">IF(CF49=1,IF(COUNTIFS($AW$2:$AW$201,AW49,$CF$2:$CF$201,1,$H$2:$H$201,"&lt;"&amp;H49)+COUNTIFS($AW$2:$AW$201,AW49,$CF$2:$CF$201,1,$H$2:$H$201,H49,$AX$2:$AX$201,"&lt;"&amp;AX49)=0,1,0),0)</f>
        <v>0</v>
      </c>
      <c r="CH49" s="23" t="n">
        <f aca="false">IF(AND(AY49=1,P49="Y"),1,0)</f>
        <v>0</v>
      </c>
      <c r="CI49" s="23" t="n">
        <f aca="false">IF(CH49=1,IF(COUNTIFS($AW$2:$AW$201,AW49,$CH$2:$CH$201,1,$H$2:$H$201,"&lt;"&amp;H49)+COUNTIFS($AW$2:$AW$201,AW49,$CH$2:$CH$201,1,$H$2:$H$201,H49,$AX$2:$AX$201,"&lt;"&amp;AX49)=0,1,0),0)</f>
        <v>0</v>
      </c>
      <c r="CJ49" s="23" t="str">
        <f aca="false">IF(AND(BU49=1,INT(N(H49))&lt;=Config!$B$5),L49,"")</f>
        <v/>
      </c>
      <c r="CK49" s="23" t="n">
        <f aca="false">IF(AND(AY49=1,AR49="Y"),1,0)</f>
        <v>0</v>
      </c>
      <c r="CL49" s="23" t="n">
        <f aca="false">IF(CK49=1,IF(COUNTIFS($AW$2:$AW$201,AW49,$CK$2:$CK$201,1,$H$2:$H$201,"&lt;"&amp;H49)+COUNTIFS($AW$2:$AW$201,AW49,$CK$2:$CK$201,1,$H$2:$H$201,H49,$AX$2:$AX$201,"&lt;"&amp;AX49)=0,1,0),0)</f>
        <v>0</v>
      </c>
      <c r="CM49" s="23" t="str">
        <f aca="false">IF(AY49=1,IFERROR(MATCH($A49,INDEX(Clay_Brands!$A$2:$FZ$601,0,Sync!$D$5),0),""),"")</f>
        <v/>
      </c>
      <c r="CN49" s="23" t="str">
        <f aca="false">IF(CM49="","",IFERROR(INDEX(Clay_Brands!$A$2:$FZ$601,CM49,Sync!$D$7)&amp;"",""))</f>
        <v/>
      </c>
      <c r="CO49" s="23" t="str">
        <f aca="false">IF(CN49="","",IFERROR(INDEX(Lists!$K$2:$K$15,MATCH(CN49,Lists!$J$2:$J$15,0)),""))</f>
        <v/>
      </c>
      <c r="CP49" s="23" t="str">
        <f aca="false">IF(CM49="","",IFERROR(INDEX(Clay_Brands!$A$2:$FZ$601,CM49,Sync!$D$17)&amp;"",""))</f>
        <v/>
      </c>
      <c r="CQ49" s="35" t="str">
        <f aca="false">IF(CM49="","",IFERROR(N(INDEX(Clay_Brands!$A$2:$FZ$601,CM49,Sync!$D$16)),0))</f>
        <v/>
      </c>
      <c r="CR49" s="23" t="n">
        <f aca="false">IF(AND(AY49=1,OR(O49="N",AND(OR(ISNUMBER(R49),ISNUMBER(V49)),MAX(N(R49),N(V49))&lt;Config!$B$14))),1,0)</f>
        <v>0</v>
      </c>
      <c r="CS49" s="23" t="n">
        <f aca="false">IF(OR(BB49=1,CR49=1),1,0)</f>
        <v>0</v>
      </c>
      <c r="CT49" s="23" t="n">
        <f aca="false">IF(AND(AY49=1,OR(AN49="Y",AN49="N",AN49="maybe")),1,0)</f>
        <v>0</v>
      </c>
      <c r="CU49" s="23" t="n">
        <f aca="false">IF(AND(CT49=1),IF(COUNTIFS($A$2:$A$201,$A49,$CT$2:$CT$201,1,$H$2:$H$201,"&gt;"&amp;H49)+COUNTIFS($A$2:$A$201,$A49,$CT$2:$CT$201,1,$H$2:$H$201,H49,$AX$2:$AX$201,"&gt;"&amp;AX49)=0,1,0),0)</f>
        <v>0</v>
      </c>
      <c r="CV49" s="23" t="n">
        <f aca="false">IF(AND(CS49=1,INT(N(H49))&lt;=Config!$B$6),IF(COUNTIFS($AW$2:$AW$201,AW49,$CS$2:$CS$201,1,$H$2:$H$201,"&gt;"&amp;H49,$H$2:$H$201,"&lt;"&amp;(Config!$B$6+1))+COUNTIFS($AW$2:$AW$201,AW49,$CS$2:$CS$201,1,$H$2:$H$201,H49,$AX$2:$AX$201,"&gt;"&amp;AX49)=0,1,0),0)</f>
        <v>0</v>
      </c>
      <c r="CW49" s="23" t="n">
        <f aca="false">IF(AND(CS49=1,INT(N(H49))&lt;=Config!$B$7),IF(COUNTIFS($AW$2:$AW$201,AW49,$CS$2:$CS$201,1,$H$2:$H$201,"&gt;"&amp;H49,$H$2:$H$201,"&lt;"&amp;(Config!$B$7+1))+COUNTIFS($AW$2:$AW$201,AW49,$CS$2:$CS$201,1,$H$2:$H$201,H49,$AX$2:$AX$201,"&gt;"&amp;AX49)=0,1,0),0)</f>
        <v>0</v>
      </c>
      <c r="CX49" s="23" t="n">
        <f aca="false">IF(AND(CS49=1,INT(N(H49))&lt;=Config!$B$8),IF(COUNTIFS($AW$2:$AW$201,AW49,$CS$2:$CS$201,1,$H$2:$H$201,"&gt;"&amp;H49,$H$2:$H$201,"&lt;"&amp;(Config!$B$8+1))+COUNTIFS($AW$2:$AW$201,AW49,$CS$2:$CS$201,1,$H$2:$H$201,H49,$AX$2:$AX$201,"&gt;"&amp;AX49)=0,1,0),0)</f>
        <v>0</v>
      </c>
      <c r="CY49" s="23" t="n">
        <f aca="false">IF(AND(CS49=1,INT(N(H49))&lt;=Config!$B$5),IF(COUNTIFS($AW$2:$AW$201,AW49,$CS$2:$CS$201,1,$H$2:$H$201,"&gt;"&amp;H49,$H$2:$H$201,"&lt;"&amp;(Config!$B$5+1))+COUNTIFS($AW$2:$AW$201,AW49,$CS$2:$CS$201,1,$H$2:$H$201,H49,$AX$2:$AX$201,"&gt;"&amp;AX49)=0,1,0),0)</f>
        <v>0</v>
      </c>
      <c r="CZ49" s="23" t="n">
        <f aca="false">IF(AY49=1,IF(COUNTIFS($AW$2:$AW$201,AW49,$CV$2:$CV$201,1,$BB$2:$BB$201,1)&gt;0,1,0),0)</f>
        <v>0</v>
      </c>
      <c r="DA49" s="23" t="n">
        <f aca="false">IF(AY49=1,IF(COUNTIFS($AW$2:$AW$201,AW49,$CW$2:$CW$201,1,$BB$2:$BB$201,1)&gt;0,1,0),0)</f>
        <v>0</v>
      </c>
      <c r="DB49" s="23" t="n">
        <f aca="false">IF(AY49=1,IF(COUNTIFS($AW$2:$AW$201,AW49,$CX$2:$CX$201,1,$BB$2:$BB$201,1)&gt;0,1,0),0)</f>
        <v>0</v>
      </c>
      <c r="DC49" s="23" t="n">
        <f aca="false">IF(AY49=1,IF(COUNTIFS($AW$2:$AW$201,AW49,$CY$2:$CY$201,1,$BB$2:$BB$201,1)&gt;0,1,0),0)</f>
        <v>0</v>
      </c>
      <c r="DD49" s="23" t="n">
        <f aca="false">IF(AND(BC49=1,INT(N(H49))&lt;=Config!$B$6,CZ49=1),1,0)</f>
        <v>0</v>
      </c>
      <c r="DE49" s="23" t="n">
        <f aca="false">IF(AND(BC49=1,INT(N(H49))&lt;=Config!$B$7,DA49=1),1,0)</f>
        <v>0</v>
      </c>
      <c r="DF49" s="23" t="n">
        <f aca="false">IF(AND(BC49=1,INT(N(H49))&lt;=Config!$B$8,DB49=1),1,0)</f>
        <v>0</v>
      </c>
      <c r="DG49" s="23" t="n">
        <f aca="false">IF(AND(BC49=1,INT(N(H49))&lt;=Config!$B$5,DC49=1),1,0)</f>
        <v>0</v>
      </c>
      <c r="DH49" s="23" t="n">
        <f aca="false">IF(AND(BE49=1,INT(N(H49))&lt;=Config!$B$6,CZ49=1),1,0)</f>
        <v>0</v>
      </c>
      <c r="DI49" s="23" t="n">
        <f aca="false">IF(AND(BE49=1,INT(N(H49))&lt;=Config!$B$7,DA49=1),1,0)</f>
        <v>0</v>
      </c>
      <c r="DJ49" s="23" t="n">
        <f aca="false">IF(AND(BE49=1,INT(N(H49))&lt;=Config!$B$8,DB49=1),1,0)</f>
        <v>0</v>
      </c>
      <c r="DK49" s="23" t="n">
        <f aca="false">IF(AND(BE49=1,INT(N(H49))&lt;=Config!$B$5,DC49=1),1,0)</f>
        <v>0</v>
      </c>
      <c r="DL49" s="23" t="n">
        <f aca="false">IF(AND(BC49=1,INT(N(H49))&lt;=Config!$B$6,CZ49=0),1,0)</f>
        <v>0</v>
      </c>
      <c r="DM49" s="23" t="n">
        <f aca="false">IF(AND(BC49=1,INT(N(H49))&lt;=Config!$B$7,DA49=0),1,0)</f>
        <v>0</v>
      </c>
      <c r="DN49" s="23" t="n">
        <f aca="false">IF(AND(BC49=1,INT(N(H49))&lt;=Config!$B$8,DB49=0),1,0)</f>
        <v>0</v>
      </c>
      <c r="DO49" s="23" t="n">
        <f aca="false">IF(AND(BC49=1,INT(N(H49))&lt;=Config!$B$5,DC49=0),1,0)</f>
        <v>0</v>
      </c>
      <c r="DP49" s="23" t="n">
        <f aca="false">IF(TRIM($A49)="",0,ISTEXT(K49)+ISTEXT(L49)+ISTEXT(R49)+ISTEXT(V49)+ISTEXT(AP49)+ISTEXT(AS49))</f>
        <v>0</v>
      </c>
      <c r="DQ49" s="23" t="n">
        <f aca="false">IF(AY49=1,IF(H49&lt;&gt;INT(H49),1,0),0)</f>
        <v>0</v>
      </c>
      <c r="DR49" s="23" t="str">
        <f aca="false">IF(TRIM($A49)="","",IF(TRIM(B49)="",SUBSTITUTE(SUBSTITUTE(SUBSTITUTE(SUBSTITUTE(SUBSTITUTE(SUBSTITUTE(LOWER(TRIM($A49)),"~",""),"*",""),"?",""),"&lt;",""),"&gt;",""),"=",""),SUBSTITUTE(SUBSTITUTE(SUBSTITUTE(SUBSTITUTE(SUBSTITUTE(SUBSTITUTE(LOWER(TRIM(B49)),"~",""),"*",""),"?",""),"&lt;",""),"&gt;",""),"=","")))</f>
        <v/>
      </c>
      <c r="DS49" s="23" t="str">
        <f aca="false">IF(CM49="","",IFERROR(IF(LEFT(LOWER(TRIM(INDEX(Clay_Brands!$A$2:$FZ$601,CM49,Sync!$D$19)&amp;"")),4)="grp-",SUBSTITUTE(SUBSTITUTE(SUBSTITUTE(SUBSTITUTE(SUBSTITUTE(SUBSTITUTE(LOWER(TRIM(INDEX(Clay_Brands!$A$2:$FZ$601,CM49,Sync!$D$19)&amp;"")),"~",""),"*",""),"?",""),"&lt;",""),"&gt;",""),"=",""),""),""))</f>
        <v/>
      </c>
      <c r="DT49" s="23" t="str">
        <f aca="false">IF(DS49&lt;&gt;"",DR49,"")</f>
        <v/>
      </c>
      <c r="DU49" s="23" t="str">
        <f aca="false">IF(AZ49=1,AW49,"")</f>
        <v/>
      </c>
      <c r="DV49" s="23" t="str">
        <f aca="false">IF(TRIM($A49)="","",IFERROR(INDEX($A$2:$A$201,MATCH(AW49,$DU$2:$DU$201,0))&amp;"",$A49&amp;""))</f>
        <v/>
      </c>
      <c r="DW49" s="23" t="n">
        <f aca="false">IF(AY49=1,IF(COUNTIFS($A$2:$A$201,$A49,$AY$2:$AY$201,1,$H$2:$H$201,"&lt;"&amp;H49)+COUNTIFS($A$2:$A$201,$A49,$AY$2:$AY$201,1,$H$2:$H$201,H49,$AX$2:$AX$201,"&lt;"&amp;AX49)=0,1,0),0)</f>
        <v>0</v>
      </c>
      <c r="DX49" s="23" t="n">
        <f aca="false">IF(AZ49=1,IF(COUNTIFS($AW$2:$AW$201,AW49,$DW$2:$DW$201,1)&gt;1,1,0),0)</f>
        <v>0</v>
      </c>
    </row>
    <row r="50" customFormat="false" ht="15" hidden="false" customHeight="false" outlineLevel="0" collapsed="false">
      <c r="G50" s="32"/>
      <c r="H50" s="33"/>
      <c r="I50" s="32"/>
      <c r="O50" s="32"/>
      <c r="P50" s="32"/>
      <c r="U50" s="32"/>
      <c r="Y50" s="32"/>
      <c r="AB50" s="32"/>
      <c r="AC50" s="32"/>
      <c r="AD50" s="32"/>
      <c r="AE50" s="32"/>
      <c r="AF50" s="32"/>
      <c r="AG50" s="32"/>
      <c r="AI50" s="32"/>
      <c r="AJ50" s="32"/>
      <c r="AK50" s="32"/>
      <c r="AN50" s="32"/>
      <c r="AO50" s="32"/>
      <c r="AR50" s="32"/>
      <c r="AT50" s="32"/>
      <c r="AV50" s="34" t="str">
        <f aca="false">IF(TRIM($A50)="","",IF(AND(LEFT($A50,6)="SAMPLE",Config!$B$19&lt;&gt;"Y"),"",IF(NOT(ISNUMBER(H50)),"call_date is blank or not a date",IF(Sync!$D$5="","Clay paste is empty or has no row_id column: paste the Clay export on Clay_Brands",IF(CM50="","row_id not found in the Clay paste: add the Clay row or fix the row_id",IF(AND(ISNUMBER(CO50),CO50&gt;=1,CO50&lt;=5),"Clay status is "&amp;CN50&amp;": set call_done or later",IF(AND(BA50=1,CP50&lt;&gt;CB50),"Clay yes_in_principle should be "&amp;CB50,IF(AND(BA50=1,CQ50&lt;&gt;H50),"Clay call_date should be "&amp;TEXT(H50,"yyyy-mm-dd"),""))))))))</f>
        <v/>
      </c>
      <c r="AW50" s="23" t="str">
        <f aca="false">IF(TRIM($A50)="","",IF(TRIM(C50)&lt;&gt;"",SUBSTITUTE(SUBSTITUTE(SUBSTITUTE(SUBSTITUTE(SUBSTITUTE(SUBSTITUTE(LOWER(TRIM(C50)),"~",""),"*",""),"?",""),"&lt;",""),"&gt;",""),"=",""),IF(DS50&lt;&gt;"",DS50,IFERROR(INDEX($DS$2:$DS$201,MATCH(DR50,$DT$2:$DT$201,0)),DR50))))</f>
        <v/>
      </c>
      <c r="AX50" s="23" t="n">
        <f aca="false">ROW()</f>
        <v>50</v>
      </c>
      <c r="AY50" s="23" t="n">
        <f aca="false">IF(AND(TRIM($A50)&lt;&gt;"",ISNUMBER(H50)),IF(AND(LEFT($A50,6)="SAMPLE",Config!$B$19&lt;&gt;"Y"),0,1),0)</f>
        <v>0</v>
      </c>
      <c r="AZ50" s="23" t="n">
        <f aca="false">IF(AY50=1,IF(COUNTIFS($AW$2:$AW$201,AW50,$AY$2:$AY$201,1,$H$2:$H$201,"&lt;"&amp;H50)+COUNTIFS($AW$2:$AW$201,AW50,$AY$2:$AY$201,1,$H$2:$H$201,H50,$AX$2:$AX$201,"&lt;"&amp;AX50)=0,1,0),0)</f>
        <v>0</v>
      </c>
      <c r="BA50" s="23" t="n">
        <f aca="false">IF(AY50=1,IF(COUNTIFS($A$2:$A$201,$A50,$AY$2:$AY$201,1,$H$2:$H$201,"&gt;"&amp;H50)+COUNTIFS($A$2:$A$201,$A50,$AY$2:$AY$201,1,$H$2:$H$201,H50,$AX$2:$AX$201,"&gt;"&amp;AX50)=0,1,0),0)</f>
        <v>0</v>
      </c>
      <c r="BB50" s="23" t="n">
        <f aca="false">IF(AND(AY50=1,O50="Y",MAX(N(R50),N(V50))&gt;=Config!$B$14),1,0)</f>
        <v>0</v>
      </c>
      <c r="BC50" s="23" t="n">
        <f aca="false">IF(BB50=1,IF(COUNTIFS($AW$2:$AW$201,AW50,$BB$2:$BB$201,1,$H$2:$H$201,"&lt;"&amp;H50)+COUNTIFS($AW$2:$AW$201,AW50,$BB$2:$BB$201,1,$H$2:$H$201,H50,$AX$2:$AX$201,"&lt;"&amp;AX50)=0,1,0),0)</f>
        <v>0</v>
      </c>
      <c r="BD50" s="23" t="n">
        <f aca="false">IF(AND(AY50=1,O50="Y",ISNUMBER(R50)),IF(R50&gt;=Config!$B$14,1,0),0)</f>
        <v>0</v>
      </c>
      <c r="BE50" s="23" t="n">
        <f aca="false">IF(BD50=1,IF(COUNTIFS($AW$2:$AW$201,AW50,$BD$2:$BD$201,1,$H$2:$H$201,"&lt;"&amp;H50)+COUNTIFS($AW$2:$AW$201,AW50,$BD$2:$BD$201,1,$H$2:$H$201,H50,$AX$2:$AX$201,"&lt;"&amp;AX50)=0,1,0),0)</f>
        <v>0</v>
      </c>
      <c r="BF50" s="23" t="n">
        <f aca="false">IF(AND(AY50=1,O50&lt;&gt;"Y",MAX(N(R50),N(V50))&gt;=Config!$B$14),1,0)</f>
        <v>0</v>
      </c>
      <c r="BG50" s="23" t="n">
        <f aca="false">IF(BF50=1,IF(COUNTIFS($AW$2:$AW$201,AW50,$BF$2:$BF$201,1,$H$2:$H$201,"&lt;"&amp;H50)+COUNTIFS($AW$2:$AW$201,AW50,$BF$2:$BF$201,1,$H$2:$H$201,H50,$AX$2:$AX$201,"&lt;"&amp;AX50)=0,1,0),0)</f>
        <v>0</v>
      </c>
      <c r="BH50" s="23" t="n">
        <f aca="false">IF(AND(AY50=1,ISNUMBER(R50)),1,0)</f>
        <v>0</v>
      </c>
      <c r="BI50" s="23" t="n">
        <f aca="false">IF(BH50=1,IF(COUNTIFS($AW$2:$AW$201,AW50,$BH$2:$BH$201,1,$H$2:$H$201,"&lt;"&amp;H50)+COUNTIFS($AW$2:$AW$201,AW50,$BH$2:$BH$201,1,$H$2:$H$201,H50,$AX$2:$AX$201,"&lt;"&amp;AX50)=0,1,0),0)</f>
        <v>0</v>
      </c>
      <c r="BJ50" s="23" t="str">
        <f aca="false">IF(AND(BI50=1,INT(N(H50))&lt;=Config!$B$6),R50,"")</f>
        <v/>
      </c>
      <c r="BK50" s="23" t="str">
        <f aca="false">IF(AND(BI50=1,INT(N(H50))&lt;=Config!$B$7),R50,"")</f>
        <v/>
      </c>
      <c r="BL50" s="23" t="str">
        <f aca="false">IF(AND(BI50=1,INT(N(H50))&lt;=Config!$B$8),R50,"")</f>
        <v/>
      </c>
      <c r="BM50" s="23" t="str">
        <f aca="false">IF(AND(BI50=1,INT(N(H50))&lt;=Config!$B$5),R50,"")</f>
        <v/>
      </c>
      <c r="BN50" s="23" t="n">
        <f aca="false">IF(AND(AY50=1,ISNUMBER(V50)),1,0)</f>
        <v>0</v>
      </c>
      <c r="BO50" s="23" t="n">
        <f aca="false">IF(BN50=1,IF(COUNTIFS($AW$2:$AW$201,AW50,$BN$2:$BN$201,1,$H$2:$H$201,"&lt;"&amp;H50)+COUNTIFS($AW$2:$AW$201,AW50,$BN$2:$BN$201,1,$H$2:$H$201,H50,$AX$2:$AX$201,"&lt;"&amp;AX50)=0,1,0),0)</f>
        <v>0</v>
      </c>
      <c r="BP50" s="23" t="str">
        <f aca="false">IF(AND(BO50=1,INT(N(H50))&lt;=Config!$B$6),V50,"")</f>
        <v/>
      </c>
      <c r="BQ50" s="23" t="str">
        <f aca="false">IF(AND(BO50=1,INT(N(H50))&lt;=Config!$B$7),V50,"")</f>
        <v/>
      </c>
      <c r="BR50" s="23" t="str">
        <f aca="false">IF(AND(BO50=1,INT(N(H50))&lt;=Config!$B$8),V50,"")</f>
        <v/>
      </c>
      <c r="BS50" s="23" t="str">
        <f aca="false">IF(AND(BO50=1,INT(N(H50))&lt;=Config!$B$5),V50,"")</f>
        <v/>
      </c>
      <c r="BT50" s="23" t="n">
        <f aca="false">IF(AND(AY50=1,ISNUMBER(K50)),1,0)</f>
        <v>0</v>
      </c>
      <c r="BU50" s="23" t="n">
        <f aca="false">IF(BT50=1,IF(COUNTIFS($AW$2:$AW$201,AW50,$BT$2:$BT$201,1,$H$2:$H$201,"&lt;"&amp;H50)+COUNTIFS($AW$2:$AW$201,AW50,$BT$2:$BT$201,1,$H$2:$H$201,H50,$AX$2:$AX$201,"&lt;"&amp;AX50)=0,1,0),0)</f>
        <v>0</v>
      </c>
      <c r="BV50" s="23" t="str">
        <f aca="false">IF(AND(BU50=1,INT(N(H50))&lt;=Config!$B$5),K50,"")</f>
        <v/>
      </c>
      <c r="BW50" s="23" t="n">
        <f aca="false">IF(AND(AY50=1,OR(AND(ISNUMBER(R50),TRIM(S50)=""),AND(ISNUMBER(V50),TRIM(W50)=""))),1,0)</f>
        <v>0</v>
      </c>
      <c r="BX50" s="23" t="str">
        <f aca="false">IF(AY50=1,AJ50&amp;"","")</f>
        <v/>
      </c>
      <c r="BY50" s="23" t="str">
        <f aca="false">IF(AY50=1,AK50&amp;"","")</f>
        <v/>
      </c>
      <c r="BZ50" s="23" t="str">
        <f aca="false">IF(AY50=1,AL50&amp;"","")</f>
        <v/>
      </c>
      <c r="CA50" s="23" t="str">
        <f aca="false">IF(AND(AY50=1,ISNUMBER(AS50),INT(N(H50))&lt;=Config!$B$5),AS50,"")</f>
        <v/>
      </c>
      <c r="CB50" s="23" t="str">
        <f aca="false">IF(AY50=1,IF(COUNTIFS($A$2:$A$201,$A50,$CU$2:$CU$201,1,$AN$2:$AN$201,"Y")&gt;0,"Y","N"),"")</f>
        <v/>
      </c>
      <c r="CC50" s="23" t="n">
        <f aca="false">IF(AND(AY50=1,AN50="Y"),IF(COUNTIFS($AW$2:$AW$201,AW50,$AN$2:$AN$201,"Y",$AY$2:$AY$201,1,$H$2:$H$201,"&lt;"&amp;H50)+COUNTIFS($AW$2:$AW$201,AW50,$AN$2:$AN$201,"Y",$AY$2:$AY$201,1,$H$2:$H$201,H50,$AX$2:$AX$201,"&lt;"&amp;AX50)=0,1,0),0)</f>
        <v>0</v>
      </c>
      <c r="CD50" s="23" t="n">
        <f aca="false">IF(AND(AY50=1,AB50="Y",AC50="Y",AD50="Y",AE50="Y",AF50="Y",AG50="Y",AI50="Y",TRIM(AH50)&lt;&gt;""),1,0)</f>
        <v>0</v>
      </c>
      <c r="CE50" s="23" t="n">
        <f aca="false">IF(CD50=1,IF(COUNTIFS($AW$2:$AW$201,AW50,$CD$2:$CD$201,1,$H$2:$H$201,"&lt;"&amp;H50)+COUNTIFS($AW$2:$AW$201,AW50,$CD$2:$CD$201,1,$H$2:$H$201,H50,$AX$2:$AX$201,"&lt;"&amp;AX50)=0,1,0),0)</f>
        <v>0</v>
      </c>
      <c r="CF50" s="23" t="n">
        <f aca="false">IF(AND(AY50=1,AO50="Y"),1,0)</f>
        <v>0</v>
      </c>
      <c r="CG50" s="23" t="n">
        <f aca="false">IF(CF50=1,IF(COUNTIFS($AW$2:$AW$201,AW50,$CF$2:$CF$201,1,$H$2:$H$201,"&lt;"&amp;H50)+COUNTIFS($AW$2:$AW$201,AW50,$CF$2:$CF$201,1,$H$2:$H$201,H50,$AX$2:$AX$201,"&lt;"&amp;AX50)=0,1,0),0)</f>
        <v>0</v>
      </c>
      <c r="CH50" s="23" t="n">
        <f aca="false">IF(AND(AY50=1,P50="Y"),1,0)</f>
        <v>0</v>
      </c>
      <c r="CI50" s="23" t="n">
        <f aca="false">IF(CH50=1,IF(COUNTIFS($AW$2:$AW$201,AW50,$CH$2:$CH$201,1,$H$2:$H$201,"&lt;"&amp;H50)+COUNTIFS($AW$2:$AW$201,AW50,$CH$2:$CH$201,1,$H$2:$H$201,H50,$AX$2:$AX$201,"&lt;"&amp;AX50)=0,1,0),0)</f>
        <v>0</v>
      </c>
      <c r="CJ50" s="23" t="str">
        <f aca="false">IF(AND(BU50=1,INT(N(H50))&lt;=Config!$B$5),L50,"")</f>
        <v/>
      </c>
      <c r="CK50" s="23" t="n">
        <f aca="false">IF(AND(AY50=1,AR50="Y"),1,0)</f>
        <v>0</v>
      </c>
      <c r="CL50" s="23" t="n">
        <f aca="false">IF(CK50=1,IF(COUNTIFS($AW$2:$AW$201,AW50,$CK$2:$CK$201,1,$H$2:$H$201,"&lt;"&amp;H50)+COUNTIFS($AW$2:$AW$201,AW50,$CK$2:$CK$201,1,$H$2:$H$201,H50,$AX$2:$AX$201,"&lt;"&amp;AX50)=0,1,0),0)</f>
        <v>0</v>
      </c>
      <c r="CM50" s="23" t="str">
        <f aca="false">IF(AY50=1,IFERROR(MATCH($A50,INDEX(Clay_Brands!$A$2:$FZ$601,0,Sync!$D$5),0),""),"")</f>
        <v/>
      </c>
      <c r="CN50" s="23" t="str">
        <f aca="false">IF(CM50="","",IFERROR(INDEX(Clay_Brands!$A$2:$FZ$601,CM50,Sync!$D$7)&amp;"",""))</f>
        <v/>
      </c>
      <c r="CO50" s="23" t="str">
        <f aca="false">IF(CN50="","",IFERROR(INDEX(Lists!$K$2:$K$15,MATCH(CN50,Lists!$J$2:$J$15,0)),""))</f>
        <v/>
      </c>
      <c r="CP50" s="23" t="str">
        <f aca="false">IF(CM50="","",IFERROR(INDEX(Clay_Brands!$A$2:$FZ$601,CM50,Sync!$D$17)&amp;"",""))</f>
        <v/>
      </c>
      <c r="CQ50" s="35" t="str">
        <f aca="false">IF(CM50="","",IFERROR(N(INDEX(Clay_Brands!$A$2:$FZ$601,CM50,Sync!$D$16)),0))</f>
        <v/>
      </c>
      <c r="CR50" s="23" t="n">
        <f aca="false">IF(AND(AY50=1,OR(O50="N",AND(OR(ISNUMBER(R50),ISNUMBER(V50)),MAX(N(R50),N(V50))&lt;Config!$B$14))),1,0)</f>
        <v>0</v>
      </c>
      <c r="CS50" s="23" t="n">
        <f aca="false">IF(OR(BB50=1,CR50=1),1,0)</f>
        <v>0</v>
      </c>
      <c r="CT50" s="23" t="n">
        <f aca="false">IF(AND(AY50=1,OR(AN50="Y",AN50="N",AN50="maybe")),1,0)</f>
        <v>0</v>
      </c>
      <c r="CU50" s="23" t="n">
        <f aca="false">IF(AND(CT50=1),IF(COUNTIFS($A$2:$A$201,$A50,$CT$2:$CT$201,1,$H$2:$H$201,"&gt;"&amp;H50)+COUNTIFS($A$2:$A$201,$A50,$CT$2:$CT$201,1,$H$2:$H$201,H50,$AX$2:$AX$201,"&gt;"&amp;AX50)=0,1,0),0)</f>
        <v>0</v>
      </c>
      <c r="CV50" s="23" t="n">
        <f aca="false">IF(AND(CS50=1,INT(N(H50))&lt;=Config!$B$6),IF(COUNTIFS($AW$2:$AW$201,AW50,$CS$2:$CS$201,1,$H$2:$H$201,"&gt;"&amp;H50,$H$2:$H$201,"&lt;"&amp;(Config!$B$6+1))+COUNTIFS($AW$2:$AW$201,AW50,$CS$2:$CS$201,1,$H$2:$H$201,H50,$AX$2:$AX$201,"&gt;"&amp;AX50)=0,1,0),0)</f>
        <v>0</v>
      </c>
      <c r="CW50" s="23" t="n">
        <f aca="false">IF(AND(CS50=1,INT(N(H50))&lt;=Config!$B$7),IF(COUNTIFS($AW$2:$AW$201,AW50,$CS$2:$CS$201,1,$H$2:$H$201,"&gt;"&amp;H50,$H$2:$H$201,"&lt;"&amp;(Config!$B$7+1))+COUNTIFS($AW$2:$AW$201,AW50,$CS$2:$CS$201,1,$H$2:$H$201,H50,$AX$2:$AX$201,"&gt;"&amp;AX50)=0,1,0),0)</f>
        <v>0</v>
      </c>
      <c r="CX50" s="23" t="n">
        <f aca="false">IF(AND(CS50=1,INT(N(H50))&lt;=Config!$B$8),IF(COUNTIFS($AW$2:$AW$201,AW50,$CS$2:$CS$201,1,$H$2:$H$201,"&gt;"&amp;H50,$H$2:$H$201,"&lt;"&amp;(Config!$B$8+1))+COUNTIFS($AW$2:$AW$201,AW50,$CS$2:$CS$201,1,$H$2:$H$201,H50,$AX$2:$AX$201,"&gt;"&amp;AX50)=0,1,0),0)</f>
        <v>0</v>
      </c>
      <c r="CY50" s="23" t="n">
        <f aca="false">IF(AND(CS50=1,INT(N(H50))&lt;=Config!$B$5),IF(COUNTIFS($AW$2:$AW$201,AW50,$CS$2:$CS$201,1,$H$2:$H$201,"&gt;"&amp;H50,$H$2:$H$201,"&lt;"&amp;(Config!$B$5+1))+COUNTIFS($AW$2:$AW$201,AW50,$CS$2:$CS$201,1,$H$2:$H$201,H50,$AX$2:$AX$201,"&gt;"&amp;AX50)=0,1,0),0)</f>
        <v>0</v>
      </c>
      <c r="CZ50" s="23" t="n">
        <f aca="false">IF(AY50=1,IF(COUNTIFS($AW$2:$AW$201,AW50,$CV$2:$CV$201,1,$BB$2:$BB$201,1)&gt;0,1,0),0)</f>
        <v>0</v>
      </c>
      <c r="DA50" s="23" t="n">
        <f aca="false">IF(AY50=1,IF(COUNTIFS($AW$2:$AW$201,AW50,$CW$2:$CW$201,1,$BB$2:$BB$201,1)&gt;0,1,0),0)</f>
        <v>0</v>
      </c>
      <c r="DB50" s="23" t="n">
        <f aca="false">IF(AY50=1,IF(COUNTIFS($AW$2:$AW$201,AW50,$CX$2:$CX$201,1,$BB$2:$BB$201,1)&gt;0,1,0),0)</f>
        <v>0</v>
      </c>
      <c r="DC50" s="23" t="n">
        <f aca="false">IF(AY50=1,IF(COUNTIFS($AW$2:$AW$201,AW50,$CY$2:$CY$201,1,$BB$2:$BB$201,1)&gt;0,1,0),0)</f>
        <v>0</v>
      </c>
      <c r="DD50" s="23" t="n">
        <f aca="false">IF(AND(BC50=1,INT(N(H50))&lt;=Config!$B$6,CZ50=1),1,0)</f>
        <v>0</v>
      </c>
      <c r="DE50" s="23" t="n">
        <f aca="false">IF(AND(BC50=1,INT(N(H50))&lt;=Config!$B$7,DA50=1),1,0)</f>
        <v>0</v>
      </c>
      <c r="DF50" s="23" t="n">
        <f aca="false">IF(AND(BC50=1,INT(N(H50))&lt;=Config!$B$8,DB50=1),1,0)</f>
        <v>0</v>
      </c>
      <c r="DG50" s="23" t="n">
        <f aca="false">IF(AND(BC50=1,INT(N(H50))&lt;=Config!$B$5,DC50=1),1,0)</f>
        <v>0</v>
      </c>
      <c r="DH50" s="23" t="n">
        <f aca="false">IF(AND(BE50=1,INT(N(H50))&lt;=Config!$B$6,CZ50=1),1,0)</f>
        <v>0</v>
      </c>
      <c r="DI50" s="23" t="n">
        <f aca="false">IF(AND(BE50=1,INT(N(H50))&lt;=Config!$B$7,DA50=1),1,0)</f>
        <v>0</v>
      </c>
      <c r="DJ50" s="23" t="n">
        <f aca="false">IF(AND(BE50=1,INT(N(H50))&lt;=Config!$B$8,DB50=1),1,0)</f>
        <v>0</v>
      </c>
      <c r="DK50" s="23" t="n">
        <f aca="false">IF(AND(BE50=1,INT(N(H50))&lt;=Config!$B$5,DC50=1),1,0)</f>
        <v>0</v>
      </c>
      <c r="DL50" s="23" t="n">
        <f aca="false">IF(AND(BC50=1,INT(N(H50))&lt;=Config!$B$6,CZ50=0),1,0)</f>
        <v>0</v>
      </c>
      <c r="DM50" s="23" t="n">
        <f aca="false">IF(AND(BC50=1,INT(N(H50))&lt;=Config!$B$7,DA50=0),1,0)</f>
        <v>0</v>
      </c>
      <c r="DN50" s="23" t="n">
        <f aca="false">IF(AND(BC50=1,INT(N(H50))&lt;=Config!$B$8,DB50=0),1,0)</f>
        <v>0</v>
      </c>
      <c r="DO50" s="23" t="n">
        <f aca="false">IF(AND(BC50=1,INT(N(H50))&lt;=Config!$B$5,DC50=0),1,0)</f>
        <v>0</v>
      </c>
      <c r="DP50" s="23" t="n">
        <f aca="false">IF(TRIM($A50)="",0,ISTEXT(K50)+ISTEXT(L50)+ISTEXT(R50)+ISTEXT(V50)+ISTEXT(AP50)+ISTEXT(AS50))</f>
        <v>0</v>
      </c>
      <c r="DQ50" s="23" t="n">
        <f aca="false">IF(AY50=1,IF(H50&lt;&gt;INT(H50),1,0),0)</f>
        <v>0</v>
      </c>
      <c r="DR50" s="23" t="str">
        <f aca="false">IF(TRIM($A50)="","",IF(TRIM(B50)="",SUBSTITUTE(SUBSTITUTE(SUBSTITUTE(SUBSTITUTE(SUBSTITUTE(SUBSTITUTE(LOWER(TRIM($A50)),"~",""),"*",""),"?",""),"&lt;",""),"&gt;",""),"=",""),SUBSTITUTE(SUBSTITUTE(SUBSTITUTE(SUBSTITUTE(SUBSTITUTE(SUBSTITUTE(LOWER(TRIM(B50)),"~",""),"*",""),"?",""),"&lt;",""),"&gt;",""),"=","")))</f>
        <v/>
      </c>
      <c r="DS50" s="23" t="str">
        <f aca="false">IF(CM50="","",IFERROR(IF(LEFT(LOWER(TRIM(INDEX(Clay_Brands!$A$2:$FZ$601,CM50,Sync!$D$19)&amp;"")),4)="grp-",SUBSTITUTE(SUBSTITUTE(SUBSTITUTE(SUBSTITUTE(SUBSTITUTE(SUBSTITUTE(LOWER(TRIM(INDEX(Clay_Brands!$A$2:$FZ$601,CM50,Sync!$D$19)&amp;"")),"~",""),"*",""),"?",""),"&lt;",""),"&gt;",""),"=",""),""),""))</f>
        <v/>
      </c>
      <c r="DT50" s="23" t="str">
        <f aca="false">IF(DS50&lt;&gt;"",DR50,"")</f>
        <v/>
      </c>
      <c r="DU50" s="23" t="str">
        <f aca="false">IF(AZ50=1,AW50,"")</f>
        <v/>
      </c>
      <c r="DV50" s="23" t="str">
        <f aca="false">IF(TRIM($A50)="","",IFERROR(INDEX($A$2:$A$201,MATCH(AW50,$DU$2:$DU$201,0))&amp;"",$A50&amp;""))</f>
        <v/>
      </c>
      <c r="DW50" s="23" t="n">
        <f aca="false">IF(AY50=1,IF(COUNTIFS($A$2:$A$201,$A50,$AY$2:$AY$201,1,$H$2:$H$201,"&lt;"&amp;H50)+COUNTIFS($A$2:$A$201,$A50,$AY$2:$AY$201,1,$H$2:$H$201,H50,$AX$2:$AX$201,"&lt;"&amp;AX50)=0,1,0),0)</f>
        <v>0</v>
      </c>
      <c r="DX50" s="23" t="n">
        <f aca="false">IF(AZ50=1,IF(COUNTIFS($AW$2:$AW$201,AW50,$DW$2:$DW$201,1)&gt;1,1,0),0)</f>
        <v>0</v>
      </c>
    </row>
    <row r="51" customFormat="false" ht="15" hidden="false" customHeight="false" outlineLevel="0" collapsed="false">
      <c r="G51" s="32"/>
      <c r="H51" s="33"/>
      <c r="I51" s="32"/>
      <c r="O51" s="32"/>
      <c r="P51" s="32"/>
      <c r="U51" s="32"/>
      <c r="Y51" s="32"/>
      <c r="AB51" s="32"/>
      <c r="AC51" s="32"/>
      <c r="AD51" s="32"/>
      <c r="AE51" s="32"/>
      <c r="AF51" s="32"/>
      <c r="AG51" s="32"/>
      <c r="AI51" s="32"/>
      <c r="AJ51" s="32"/>
      <c r="AK51" s="32"/>
      <c r="AN51" s="32"/>
      <c r="AO51" s="32"/>
      <c r="AR51" s="32"/>
      <c r="AT51" s="32"/>
      <c r="AV51" s="34" t="str">
        <f aca="false">IF(TRIM($A51)="","",IF(AND(LEFT($A51,6)="SAMPLE",Config!$B$19&lt;&gt;"Y"),"",IF(NOT(ISNUMBER(H51)),"call_date is blank or not a date",IF(Sync!$D$5="","Clay paste is empty or has no row_id column: paste the Clay export on Clay_Brands",IF(CM51="","row_id not found in the Clay paste: add the Clay row or fix the row_id",IF(AND(ISNUMBER(CO51),CO51&gt;=1,CO51&lt;=5),"Clay status is "&amp;CN51&amp;": set call_done or later",IF(AND(BA51=1,CP51&lt;&gt;CB51),"Clay yes_in_principle should be "&amp;CB51,IF(AND(BA51=1,CQ51&lt;&gt;H51),"Clay call_date should be "&amp;TEXT(H51,"yyyy-mm-dd"),""))))))))</f>
        <v/>
      </c>
      <c r="AW51" s="23" t="str">
        <f aca="false">IF(TRIM($A51)="","",IF(TRIM(C51)&lt;&gt;"",SUBSTITUTE(SUBSTITUTE(SUBSTITUTE(SUBSTITUTE(SUBSTITUTE(SUBSTITUTE(LOWER(TRIM(C51)),"~",""),"*",""),"?",""),"&lt;",""),"&gt;",""),"=",""),IF(DS51&lt;&gt;"",DS51,IFERROR(INDEX($DS$2:$DS$201,MATCH(DR51,$DT$2:$DT$201,0)),DR51))))</f>
        <v/>
      </c>
      <c r="AX51" s="23" t="n">
        <f aca="false">ROW()</f>
        <v>51</v>
      </c>
      <c r="AY51" s="23" t="n">
        <f aca="false">IF(AND(TRIM($A51)&lt;&gt;"",ISNUMBER(H51)),IF(AND(LEFT($A51,6)="SAMPLE",Config!$B$19&lt;&gt;"Y"),0,1),0)</f>
        <v>0</v>
      </c>
      <c r="AZ51" s="23" t="n">
        <f aca="false">IF(AY51=1,IF(COUNTIFS($AW$2:$AW$201,AW51,$AY$2:$AY$201,1,$H$2:$H$201,"&lt;"&amp;H51)+COUNTIFS($AW$2:$AW$201,AW51,$AY$2:$AY$201,1,$H$2:$H$201,H51,$AX$2:$AX$201,"&lt;"&amp;AX51)=0,1,0),0)</f>
        <v>0</v>
      </c>
      <c r="BA51" s="23" t="n">
        <f aca="false">IF(AY51=1,IF(COUNTIFS($A$2:$A$201,$A51,$AY$2:$AY$201,1,$H$2:$H$201,"&gt;"&amp;H51)+COUNTIFS($A$2:$A$201,$A51,$AY$2:$AY$201,1,$H$2:$H$201,H51,$AX$2:$AX$201,"&gt;"&amp;AX51)=0,1,0),0)</f>
        <v>0</v>
      </c>
      <c r="BB51" s="23" t="n">
        <f aca="false">IF(AND(AY51=1,O51="Y",MAX(N(R51),N(V51))&gt;=Config!$B$14),1,0)</f>
        <v>0</v>
      </c>
      <c r="BC51" s="23" t="n">
        <f aca="false">IF(BB51=1,IF(COUNTIFS($AW$2:$AW$201,AW51,$BB$2:$BB$201,1,$H$2:$H$201,"&lt;"&amp;H51)+COUNTIFS($AW$2:$AW$201,AW51,$BB$2:$BB$201,1,$H$2:$H$201,H51,$AX$2:$AX$201,"&lt;"&amp;AX51)=0,1,0),0)</f>
        <v>0</v>
      </c>
      <c r="BD51" s="23" t="n">
        <f aca="false">IF(AND(AY51=1,O51="Y",ISNUMBER(R51)),IF(R51&gt;=Config!$B$14,1,0),0)</f>
        <v>0</v>
      </c>
      <c r="BE51" s="23" t="n">
        <f aca="false">IF(BD51=1,IF(COUNTIFS($AW$2:$AW$201,AW51,$BD$2:$BD$201,1,$H$2:$H$201,"&lt;"&amp;H51)+COUNTIFS($AW$2:$AW$201,AW51,$BD$2:$BD$201,1,$H$2:$H$201,H51,$AX$2:$AX$201,"&lt;"&amp;AX51)=0,1,0),0)</f>
        <v>0</v>
      </c>
      <c r="BF51" s="23" t="n">
        <f aca="false">IF(AND(AY51=1,O51&lt;&gt;"Y",MAX(N(R51),N(V51))&gt;=Config!$B$14),1,0)</f>
        <v>0</v>
      </c>
      <c r="BG51" s="23" t="n">
        <f aca="false">IF(BF51=1,IF(COUNTIFS($AW$2:$AW$201,AW51,$BF$2:$BF$201,1,$H$2:$H$201,"&lt;"&amp;H51)+COUNTIFS($AW$2:$AW$201,AW51,$BF$2:$BF$201,1,$H$2:$H$201,H51,$AX$2:$AX$201,"&lt;"&amp;AX51)=0,1,0),0)</f>
        <v>0</v>
      </c>
      <c r="BH51" s="23" t="n">
        <f aca="false">IF(AND(AY51=1,ISNUMBER(R51)),1,0)</f>
        <v>0</v>
      </c>
      <c r="BI51" s="23" t="n">
        <f aca="false">IF(BH51=1,IF(COUNTIFS($AW$2:$AW$201,AW51,$BH$2:$BH$201,1,$H$2:$H$201,"&lt;"&amp;H51)+COUNTIFS($AW$2:$AW$201,AW51,$BH$2:$BH$201,1,$H$2:$H$201,H51,$AX$2:$AX$201,"&lt;"&amp;AX51)=0,1,0),0)</f>
        <v>0</v>
      </c>
      <c r="BJ51" s="23" t="str">
        <f aca="false">IF(AND(BI51=1,INT(N(H51))&lt;=Config!$B$6),R51,"")</f>
        <v/>
      </c>
      <c r="BK51" s="23" t="str">
        <f aca="false">IF(AND(BI51=1,INT(N(H51))&lt;=Config!$B$7),R51,"")</f>
        <v/>
      </c>
      <c r="BL51" s="23" t="str">
        <f aca="false">IF(AND(BI51=1,INT(N(H51))&lt;=Config!$B$8),R51,"")</f>
        <v/>
      </c>
      <c r="BM51" s="23" t="str">
        <f aca="false">IF(AND(BI51=1,INT(N(H51))&lt;=Config!$B$5),R51,"")</f>
        <v/>
      </c>
      <c r="BN51" s="23" t="n">
        <f aca="false">IF(AND(AY51=1,ISNUMBER(V51)),1,0)</f>
        <v>0</v>
      </c>
      <c r="BO51" s="23" t="n">
        <f aca="false">IF(BN51=1,IF(COUNTIFS($AW$2:$AW$201,AW51,$BN$2:$BN$201,1,$H$2:$H$201,"&lt;"&amp;H51)+COUNTIFS($AW$2:$AW$201,AW51,$BN$2:$BN$201,1,$H$2:$H$201,H51,$AX$2:$AX$201,"&lt;"&amp;AX51)=0,1,0),0)</f>
        <v>0</v>
      </c>
      <c r="BP51" s="23" t="str">
        <f aca="false">IF(AND(BO51=1,INT(N(H51))&lt;=Config!$B$6),V51,"")</f>
        <v/>
      </c>
      <c r="BQ51" s="23" t="str">
        <f aca="false">IF(AND(BO51=1,INT(N(H51))&lt;=Config!$B$7),V51,"")</f>
        <v/>
      </c>
      <c r="BR51" s="23" t="str">
        <f aca="false">IF(AND(BO51=1,INT(N(H51))&lt;=Config!$B$8),V51,"")</f>
        <v/>
      </c>
      <c r="BS51" s="23" t="str">
        <f aca="false">IF(AND(BO51=1,INT(N(H51))&lt;=Config!$B$5),V51,"")</f>
        <v/>
      </c>
      <c r="BT51" s="23" t="n">
        <f aca="false">IF(AND(AY51=1,ISNUMBER(K51)),1,0)</f>
        <v>0</v>
      </c>
      <c r="BU51" s="23" t="n">
        <f aca="false">IF(BT51=1,IF(COUNTIFS($AW$2:$AW$201,AW51,$BT$2:$BT$201,1,$H$2:$H$201,"&lt;"&amp;H51)+COUNTIFS($AW$2:$AW$201,AW51,$BT$2:$BT$201,1,$H$2:$H$201,H51,$AX$2:$AX$201,"&lt;"&amp;AX51)=0,1,0),0)</f>
        <v>0</v>
      </c>
      <c r="BV51" s="23" t="str">
        <f aca="false">IF(AND(BU51=1,INT(N(H51))&lt;=Config!$B$5),K51,"")</f>
        <v/>
      </c>
      <c r="BW51" s="23" t="n">
        <f aca="false">IF(AND(AY51=1,OR(AND(ISNUMBER(R51),TRIM(S51)=""),AND(ISNUMBER(V51),TRIM(W51)=""))),1,0)</f>
        <v>0</v>
      </c>
      <c r="BX51" s="23" t="str">
        <f aca="false">IF(AY51=1,AJ51&amp;"","")</f>
        <v/>
      </c>
      <c r="BY51" s="23" t="str">
        <f aca="false">IF(AY51=1,AK51&amp;"","")</f>
        <v/>
      </c>
      <c r="BZ51" s="23" t="str">
        <f aca="false">IF(AY51=1,AL51&amp;"","")</f>
        <v/>
      </c>
      <c r="CA51" s="23" t="str">
        <f aca="false">IF(AND(AY51=1,ISNUMBER(AS51),INT(N(H51))&lt;=Config!$B$5),AS51,"")</f>
        <v/>
      </c>
      <c r="CB51" s="23" t="str">
        <f aca="false">IF(AY51=1,IF(COUNTIFS($A$2:$A$201,$A51,$CU$2:$CU$201,1,$AN$2:$AN$201,"Y")&gt;0,"Y","N"),"")</f>
        <v/>
      </c>
      <c r="CC51" s="23" t="n">
        <f aca="false">IF(AND(AY51=1,AN51="Y"),IF(COUNTIFS($AW$2:$AW$201,AW51,$AN$2:$AN$201,"Y",$AY$2:$AY$201,1,$H$2:$H$201,"&lt;"&amp;H51)+COUNTIFS($AW$2:$AW$201,AW51,$AN$2:$AN$201,"Y",$AY$2:$AY$201,1,$H$2:$H$201,H51,$AX$2:$AX$201,"&lt;"&amp;AX51)=0,1,0),0)</f>
        <v>0</v>
      </c>
      <c r="CD51" s="23" t="n">
        <f aca="false">IF(AND(AY51=1,AB51="Y",AC51="Y",AD51="Y",AE51="Y",AF51="Y",AG51="Y",AI51="Y",TRIM(AH51)&lt;&gt;""),1,0)</f>
        <v>0</v>
      </c>
      <c r="CE51" s="23" t="n">
        <f aca="false">IF(CD51=1,IF(COUNTIFS($AW$2:$AW$201,AW51,$CD$2:$CD$201,1,$H$2:$H$201,"&lt;"&amp;H51)+COUNTIFS($AW$2:$AW$201,AW51,$CD$2:$CD$201,1,$H$2:$H$201,H51,$AX$2:$AX$201,"&lt;"&amp;AX51)=0,1,0),0)</f>
        <v>0</v>
      </c>
      <c r="CF51" s="23" t="n">
        <f aca="false">IF(AND(AY51=1,AO51="Y"),1,0)</f>
        <v>0</v>
      </c>
      <c r="CG51" s="23" t="n">
        <f aca="false">IF(CF51=1,IF(COUNTIFS($AW$2:$AW$201,AW51,$CF$2:$CF$201,1,$H$2:$H$201,"&lt;"&amp;H51)+COUNTIFS($AW$2:$AW$201,AW51,$CF$2:$CF$201,1,$H$2:$H$201,H51,$AX$2:$AX$201,"&lt;"&amp;AX51)=0,1,0),0)</f>
        <v>0</v>
      </c>
      <c r="CH51" s="23" t="n">
        <f aca="false">IF(AND(AY51=1,P51="Y"),1,0)</f>
        <v>0</v>
      </c>
      <c r="CI51" s="23" t="n">
        <f aca="false">IF(CH51=1,IF(COUNTIFS($AW$2:$AW$201,AW51,$CH$2:$CH$201,1,$H$2:$H$201,"&lt;"&amp;H51)+COUNTIFS($AW$2:$AW$201,AW51,$CH$2:$CH$201,1,$H$2:$H$201,H51,$AX$2:$AX$201,"&lt;"&amp;AX51)=0,1,0),0)</f>
        <v>0</v>
      </c>
      <c r="CJ51" s="23" t="str">
        <f aca="false">IF(AND(BU51=1,INT(N(H51))&lt;=Config!$B$5),L51,"")</f>
        <v/>
      </c>
      <c r="CK51" s="23" t="n">
        <f aca="false">IF(AND(AY51=1,AR51="Y"),1,0)</f>
        <v>0</v>
      </c>
      <c r="CL51" s="23" t="n">
        <f aca="false">IF(CK51=1,IF(COUNTIFS($AW$2:$AW$201,AW51,$CK$2:$CK$201,1,$H$2:$H$201,"&lt;"&amp;H51)+COUNTIFS($AW$2:$AW$201,AW51,$CK$2:$CK$201,1,$H$2:$H$201,H51,$AX$2:$AX$201,"&lt;"&amp;AX51)=0,1,0),0)</f>
        <v>0</v>
      </c>
      <c r="CM51" s="23" t="str">
        <f aca="false">IF(AY51=1,IFERROR(MATCH($A51,INDEX(Clay_Brands!$A$2:$FZ$601,0,Sync!$D$5),0),""),"")</f>
        <v/>
      </c>
      <c r="CN51" s="23" t="str">
        <f aca="false">IF(CM51="","",IFERROR(INDEX(Clay_Brands!$A$2:$FZ$601,CM51,Sync!$D$7)&amp;"",""))</f>
        <v/>
      </c>
      <c r="CO51" s="23" t="str">
        <f aca="false">IF(CN51="","",IFERROR(INDEX(Lists!$K$2:$K$15,MATCH(CN51,Lists!$J$2:$J$15,0)),""))</f>
        <v/>
      </c>
      <c r="CP51" s="23" t="str">
        <f aca="false">IF(CM51="","",IFERROR(INDEX(Clay_Brands!$A$2:$FZ$601,CM51,Sync!$D$17)&amp;"",""))</f>
        <v/>
      </c>
      <c r="CQ51" s="35" t="str">
        <f aca="false">IF(CM51="","",IFERROR(N(INDEX(Clay_Brands!$A$2:$FZ$601,CM51,Sync!$D$16)),0))</f>
        <v/>
      </c>
      <c r="CR51" s="23" t="n">
        <f aca="false">IF(AND(AY51=1,OR(O51="N",AND(OR(ISNUMBER(R51),ISNUMBER(V51)),MAX(N(R51),N(V51))&lt;Config!$B$14))),1,0)</f>
        <v>0</v>
      </c>
      <c r="CS51" s="23" t="n">
        <f aca="false">IF(OR(BB51=1,CR51=1),1,0)</f>
        <v>0</v>
      </c>
      <c r="CT51" s="23" t="n">
        <f aca="false">IF(AND(AY51=1,OR(AN51="Y",AN51="N",AN51="maybe")),1,0)</f>
        <v>0</v>
      </c>
      <c r="CU51" s="23" t="n">
        <f aca="false">IF(AND(CT51=1),IF(COUNTIFS($A$2:$A$201,$A51,$CT$2:$CT$201,1,$H$2:$H$201,"&gt;"&amp;H51)+COUNTIFS($A$2:$A$201,$A51,$CT$2:$CT$201,1,$H$2:$H$201,H51,$AX$2:$AX$201,"&gt;"&amp;AX51)=0,1,0),0)</f>
        <v>0</v>
      </c>
      <c r="CV51" s="23" t="n">
        <f aca="false">IF(AND(CS51=1,INT(N(H51))&lt;=Config!$B$6),IF(COUNTIFS($AW$2:$AW$201,AW51,$CS$2:$CS$201,1,$H$2:$H$201,"&gt;"&amp;H51,$H$2:$H$201,"&lt;"&amp;(Config!$B$6+1))+COUNTIFS($AW$2:$AW$201,AW51,$CS$2:$CS$201,1,$H$2:$H$201,H51,$AX$2:$AX$201,"&gt;"&amp;AX51)=0,1,0),0)</f>
        <v>0</v>
      </c>
      <c r="CW51" s="23" t="n">
        <f aca="false">IF(AND(CS51=1,INT(N(H51))&lt;=Config!$B$7),IF(COUNTIFS($AW$2:$AW$201,AW51,$CS$2:$CS$201,1,$H$2:$H$201,"&gt;"&amp;H51,$H$2:$H$201,"&lt;"&amp;(Config!$B$7+1))+COUNTIFS($AW$2:$AW$201,AW51,$CS$2:$CS$201,1,$H$2:$H$201,H51,$AX$2:$AX$201,"&gt;"&amp;AX51)=0,1,0),0)</f>
        <v>0</v>
      </c>
      <c r="CX51" s="23" t="n">
        <f aca="false">IF(AND(CS51=1,INT(N(H51))&lt;=Config!$B$8),IF(COUNTIFS($AW$2:$AW$201,AW51,$CS$2:$CS$201,1,$H$2:$H$201,"&gt;"&amp;H51,$H$2:$H$201,"&lt;"&amp;(Config!$B$8+1))+COUNTIFS($AW$2:$AW$201,AW51,$CS$2:$CS$201,1,$H$2:$H$201,H51,$AX$2:$AX$201,"&gt;"&amp;AX51)=0,1,0),0)</f>
        <v>0</v>
      </c>
      <c r="CY51" s="23" t="n">
        <f aca="false">IF(AND(CS51=1,INT(N(H51))&lt;=Config!$B$5),IF(COUNTIFS($AW$2:$AW$201,AW51,$CS$2:$CS$201,1,$H$2:$H$201,"&gt;"&amp;H51,$H$2:$H$201,"&lt;"&amp;(Config!$B$5+1))+COUNTIFS($AW$2:$AW$201,AW51,$CS$2:$CS$201,1,$H$2:$H$201,H51,$AX$2:$AX$201,"&gt;"&amp;AX51)=0,1,0),0)</f>
        <v>0</v>
      </c>
      <c r="CZ51" s="23" t="n">
        <f aca="false">IF(AY51=1,IF(COUNTIFS($AW$2:$AW$201,AW51,$CV$2:$CV$201,1,$BB$2:$BB$201,1)&gt;0,1,0),0)</f>
        <v>0</v>
      </c>
      <c r="DA51" s="23" t="n">
        <f aca="false">IF(AY51=1,IF(COUNTIFS($AW$2:$AW$201,AW51,$CW$2:$CW$201,1,$BB$2:$BB$201,1)&gt;0,1,0),0)</f>
        <v>0</v>
      </c>
      <c r="DB51" s="23" t="n">
        <f aca="false">IF(AY51=1,IF(COUNTIFS($AW$2:$AW$201,AW51,$CX$2:$CX$201,1,$BB$2:$BB$201,1)&gt;0,1,0),0)</f>
        <v>0</v>
      </c>
      <c r="DC51" s="23" t="n">
        <f aca="false">IF(AY51=1,IF(COUNTIFS($AW$2:$AW$201,AW51,$CY$2:$CY$201,1,$BB$2:$BB$201,1)&gt;0,1,0),0)</f>
        <v>0</v>
      </c>
      <c r="DD51" s="23" t="n">
        <f aca="false">IF(AND(BC51=1,INT(N(H51))&lt;=Config!$B$6,CZ51=1),1,0)</f>
        <v>0</v>
      </c>
      <c r="DE51" s="23" t="n">
        <f aca="false">IF(AND(BC51=1,INT(N(H51))&lt;=Config!$B$7,DA51=1),1,0)</f>
        <v>0</v>
      </c>
      <c r="DF51" s="23" t="n">
        <f aca="false">IF(AND(BC51=1,INT(N(H51))&lt;=Config!$B$8,DB51=1),1,0)</f>
        <v>0</v>
      </c>
      <c r="DG51" s="23" t="n">
        <f aca="false">IF(AND(BC51=1,INT(N(H51))&lt;=Config!$B$5,DC51=1),1,0)</f>
        <v>0</v>
      </c>
      <c r="DH51" s="23" t="n">
        <f aca="false">IF(AND(BE51=1,INT(N(H51))&lt;=Config!$B$6,CZ51=1),1,0)</f>
        <v>0</v>
      </c>
      <c r="DI51" s="23" t="n">
        <f aca="false">IF(AND(BE51=1,INT(N(H51))&lt;=Config!$B$7,DA51=1),1,0)</f>
        <v>0</v>
      </c>
      <c r="DJ51" s="23" t="n">
        <f aca="false">IF(AND(BE51=1,INT(N(H51))&lt;=Config!$B$8,DB51=1),1,0)</f>
        <v>0</v>
      </c>
      <c r="DK51" s="23" t="n">
        <f aca="false">IF(AND(BE51=1,INT(N(H51))&lt;=Config!$B$5,DC51=1),1,0)</f>
        <v>0</v>
      </c>
      <c r="DL51" s="23" t="n">
        <f aca="false">IF(AND(BC51=1,INT(N(H51))&lt;=Config!$B$6,CZ51=0),1,0)</f>
        <v>0</v>
      </c>
      <c r="DM51" s="23" t="n">
        <f aca="false">IF(AND(BC51=1,INT(N(H51))&lt;=Config!$B$7,DA51=0),1,0)</f>
        <v>0</v>
      </c>
      <c r="DN51" s="23" t="n">
        <f aca="false">IF(AND(BC51=1,INT(N(H51))&lt;=Config!$B$8,DB51=0),1,0)</f>
        <v>0</v>
      </c>
      <c r="DO51" s="23" t="n">
        <f aca="false">IF(AND(BC51=1,INT(N(H51))&lt;=Config!$B$5,DC51=0),1,0)</f>
        <v>0</v>
      </c>
      <c r="DP51" s="23" t="n">
        <f aca="false">IF(TRIM($A51)="",0,ISTEXT(K51)+ISTEXT(L51)+ISTEXT(R51)+ISTEXT(V51)+ISTEXT(AP51)+ISTEXT(AS51))</f>
        <v>0</v>
      </c>
      <c r="DQ51" s="23" t="n">
        <f aca="false">IF(AY51=1,IF(H51&lt;&gt;INT(H51),1,0),0)</f>
        <v>0</v>
      </c>
      <c r="DR51" s="23" t="str">
        <f aca="false">IF(TRIM($A51)="","",IF(TRIM(B51)="",SUBSTITUTE(SUBSTITUTE(SUBSTITUTE(SUBSTITUTE(SUBSTITUTE(SUBSTITUTE(LOWER(TRIM($A51)),"~",""),"*",""),"?",""),"&lt;",""),"&gt;",""),"=",""),SUBSTITUTE(SUBSTITUTE(SUBSTITUTE(SUBSTITUTE(SUBSTITUTE(SUBSTITUTE(LOWER(TRIM(B51)),"~",""),"*",""),"?",""),"&lt;",""),"&gt;",""),"=","")))</f>
        <v/>
      </c>
      <c r="DS51" s="23" t="str">
        <f aca="false">IF(CM51="","",IFERROR(IF(LEFT(LOWER(TRIM(INDEX(Clay_Brands!$A$2:$FZ$601,CM51,Sync!$D$19)&amp;"")),4)="grp-",SUBSTITUTE(SUBSTITUTE(SUBSTITUTE(SUBSTITUTE(SUBSTITUTE(SUBSTITUTE(LOWER(TRIM(INDEX(Clay_Brands!$A$2:$FZ$601,CM51,Sync!$D$19)&amp;"")),"~",""),"*",""),"?",""),"&lt;",""),"&gt;",""),"=",""),""),""))</f>
        <v/>
      </c>
      <c r="DT51" s="23" t="str">
        <f aca="false">IF(DS51&lt;&gt;"",DR51,"")</f>
        <v/>
      </c>
      <c r="DU51" s="23" t="str">
        <f aca="false">IF(AZ51=1,AW51,"")</f>
        <v/>
      </c>
      <c r="DV51" s="23" t="str">
        <f aca="false">IF(TRIM($A51)="","",IFERROR(INDEX($A$2:$A$201,MATCH(AW51,$DU$2:$DU$201,0))&amp;"",$A51&amp;""))</f>
        <v/>
      </c>
      <c r="DW51" s="23" t="n">
        <f aca="false">IF(AY51=1,IF(COUNTIFS($A$2:$A$201,$A51,$AY$2:$AY$201,1,$H$2:$H$201,"&lt;"&amp;H51)+COUNTIFS($A$2:$A$201,$A51,$AY$2:$AY$201,1,$H$2:$H$201,H51,$AX$2:$AX$201,"&lt;"&amp;AX51)=0,1,0),0)</f>
        <v>0</v>
      </c>
      <c r="DX51" s="23" t="n">
        <f aca="false">IF(AZ51=1,IF(COUNTIFS($AW$2:$AW$201,AW51,$DW$2:$DW$201,1)&gt;1,1,0),0)</f>
        <v>0</v>
      </c>
    </row>
    <row r="52" customFormat="false" ht="15" hidden="false" customHeight="false" outlineLevel="0" collapsed="false">
      <c r="G52" s="32"/>
      <c r="H52" s="33"/>
      <c r="I52" s="32"/>
      <c r="O52" s="32"/>
      <c r="P52" s="32"/>
      <c r="U52" s="32"/>
      <c r="Y52" s="32"/>
      <c r="AB52" s="32"/>
      <c r="AC52" s="32"/>
      <c r="AD52" s="32"/>
      <c r="AE52" s="32"/>
      <c r="AF52" s="32"/>
      <c r="AG52" s="32"/>
      <c r="AI52" s="32"/>
      <c r="AJ52" s="32"/>
      <c r="AK52" s="32"/>
      <c r="AN52" s="32"/>
      <c r="AO52" s="32"/>
      <c r="AR52" s="32"/>
      <c r="AT52" s="32"/>
      <c r="AV52" s="34" t="str">
        <f aca="false">IF(TRIM($A52)="","",IF(AND(LEFT($A52,6)="SAMPLE",Config!$B$19&lt;&gt;"Y"),"",IF(NOT(ISNUMBER(H52)),"call_date is blank or not a date",IF(Sync!$D$5="","Clay paste is empty or has no row_id column: paste the Clay export on Clay_Brands",IF(CM52="","row_id not found in the Clay paste: add the Clay row or fix the row_id",IF(AND(ISNUMBER(CO52),CO52&gt;=1,CO52&lt;=5),"Clay status is "&amp;CN52&amp;": set call_done or later",IF(AND(BA52=1,CP52&lt;&gt;CB52),"Clay yes_in_principle should be "&amp;CB52,IF(AND(BA52=1,CQ52&lt;&gt;H52),"Clay call_date should be "&amp;TEXT(H52,"yyyy-mm-dd"),""))))))))</f>
        <v/>
      </c>
      <c r="AW52" s="23" t="str">
        <f aca="false">IF(TRIM($A52)="","",IF(TRIM(C52)&lt;&gt;"",SUBSTITUTE(SUBSTITUTE(SUBSTITUTE(SUBSTITUTE(SUBSTITUTE(SUBSTITUTE(LOWER(TRIM(C52)),"~",""),"*",""),"?",""),"&lt;",""),"&gt;",""),"=",""),IF(DS52&lt;&gt;"",DS52,IFERROR(INDEX($DS$2:$DS$201,MATCH(DR52,$DT$2:$DT$201,0)),DR52))))</f>
        <v/>
      </c>
      <c r="AX52" s="23" t="n">
        <f aca="false">ROW()</f>
        <v>52</v>
      </c>
      <c r="AY52" s="23" t="n">
        <f aca="false">IF(AND(TRIM($A52)&lt;&gt;"",ISNUMBER(H52)),IF(AND(LEFT($A52,6)="SAMPLE",Config!$B$19&lt;&gt;"Y"),0,1),0)</f>
        <v>0</v>
      </c>
      <c r="AZ52" s="23" t="n">
        <f aca="false">IF(AY52=1,IF(COUNTIFS($AW$2:$AW$201,AW52,$AY$2:$AY$201,1,$H$2:$H$201,"&lt;"&amp;H52)+COUNTIFS($AW$2:$AW$201,AW52,$AY$2:$AY$201,1,$H$2:$H$201,H52,$AX$2:$AX$201,"&lt;"&amp;AX52)=0,1,0),0)</f>
        <v>0</v>
      </c>
      <c r="BA52" s="23" t="n">
        <f aca="false">IF(AY52=1,IF(COUNTIFS($A$2:$A$201,$A52,$AY$2:$AY$201,1,$H$2:$H$201,"&gt;"&amp;H52)+COUNTIFS($A$2:$A$201,$A52,$AY$2:$AY$201,1,$H$2:$H$201,H52,$AX$2:$AX$201,"&gt;"&amp;AX52)=0,1,0),0)</f>
        <v>0</v>
      </c>
      <c r="BB52" s="23" t="n">
        <f aca="false">IF(AND(AY52=1,O52="Y",MAX(N(R52),N(V52))&gt;=Config!$B$14),1,0)</f>
        <v>0</v>
      </c>
      <c r="BC52" s="23" t="n">
        <f aca="false">IF(BB52=1,IF(COUNTIFS($AW$2:$AW$201,AW52,$BB$2:$BB$201,1,$H$2:$H$201,"&lt;"&amp;H52)+COUNTIFS($AW$2:$AW$201,AW52,$BB$2:$BB$201,1,$H$2:$H$201,H52,$AX$2:$AX$201,"&lt;"&amp;AX52)=0,1,0),0)</f>
        <v>0</v>
      </c>
      <c r="BD52" s="23" t="n">
        <f aca="false">IF(AND(AY52=1,O52="Y",ISNUMBER(R52)),IF(R52&gt;=Config!$B$14,1,0),0)</f>
        <v>0</v>
      </c>
      <c r="BE52" s="23" t="n">
        <f aca="false">IF(BD52=1,IF(COUNTIFS($AW$2:$AW$201,AW52,$BD$2:$BD$201,1,$H$2:$H$201,"&lt;"&amp;H52)+COUNTIFS($AW$2:$AW$201,AW52,$BD$2:$BD$201,1,$H$2:$H$201,H52,$AX$2:$AX$201,"&lt;"&amp;AX52)=0,1,0),0)</f>
        <v>0</v>
      </c>
      <c r="BF52" s="23" t="n">
        <f aca="false">IF(AND(AY52=1,O52&lt;&gt;"Y",MAX(N(R52),N(V52))&gt;=Config!$B$14),1,0)</f>
        <v>0</v>
      </c>
      <c r="BG52" s="23" t="n">
        <f aca="false">IF(BF52=1,IF(COUNTIFS($AW$2:$AW$201,AW52,$BF$2:$BF$201,1,$H$2:$H$201,"&lt;"&amp;H52)+COUNTIFS($AW$2:$AW$201,AW52,$BF$2:$BF$201,1,$H$2:$H$201,H52,$AX$2:$AX$201,"&lt;"&amp;AX52)=0,1,0),0)</f>
        <v>0</v>
      </c>
      <c r="BH52" s="23" t="n">
        <f aca="false">IF(AND(AY52=1,ISNUMBER(R52)),1,0)</f>
        <v>0</v>
      </c>
      <c r="BI52" s="23" t="n">
        <f aca="false">IF(BH52=1,IF(COUNTIFS($AW$2:$AW$201,AW52,$BH$2:$BH$201,1,$H$2:$H$201,"&lt;"&amp;H52)+COUNTIFS($AW$2:$AW$201,AW52,$BH$2:$BH$201,1,$H$2:$H$201,H52,$AX$2:$AX$201,"&lt;"&amp;AX52)=0,1,0),0)</f>
        <v>0</v>
      </c>
      <c r="BJ52" s="23" t="str">
        <f aca="false">IF(AND(BI52=1,INT(N(H52))&lt;=Config!$B$6),R52,"")</f>
        <v/>
      </c>
      <c r="BK52" s="23" t="str">
        <f aca="false">IF(AND(BI52=1,INT(N(H52))&lt;=Config!$B$7),R52,"")</f>
        <v/>
      </c>
      <c r="BL52" s="23" t="str">
        <f aca="false">IF(AND(BI52=1,INT(N(H52))&lt;=Config!$B$8),R52,"")</f>
        <v/>
      </c>
      <c r="BM52" s="23" t="str">
        <f aca="false">IF(AND(BI52=1,INT(N(H52))&lt;=Config!$B$5),R52,"")</f>
        <v/>
      </c>
      <c r="BN52" s="23" t="n">
        <f aca="false">IF(AND(AY52=1,ISNUMBER(V52)),1,0)</f>
        <v>0</v>
      </c>
      <c r="BO52" s="23" t="n">
        <f aca="false">IF(BN52=1,IF(COUNTIFS($AW$2:$AW$201,AW52,$BN$2:$BN$201,1,$H$2:$H$201,"&lt;"&amp;H52)+COUNTIFS($AW$2:$AW$201,AW52,$BN$2:$BN$201,1,$H$2:$H$201,H52,$AX$2:$AX$201,"&lt;"&amp;AX52)=0,1,0),0)</f>
        <v>0</v>
      </c>
      <c r="BP52" s="23" t="str">
        <f aca="false">IF(AND(BO52=1,INT(N(H52))&lt;=Config!$B$6),V52,"")</f>
        <v/>
      </c>
      <c r="BQ52" s="23" t="str">
        <f aca="false">IF(AND(BO52=1,INT(N(H52))&lt;=Config!$B$7),V52,"")</f>
        <v/>
      </c>
      <c r="BR52" s="23" t="str">
        <f aca="false">IF(AND(BO52=1,INT(N(H52))&lt;=Config!$B$8),V52,"")</f>
        <v/>
      </c>
      <c r="BS52" s="23" t="str">
        <f aca="false">IF(AND(BO52=1,INT(N(H52))&lt;=Config!$B$5),V52,"")</f>
        <v/>
      </c>
      <c r="BT52" s="23" t="n">
        <f aca="false">IF(AND(AY52=1,ISNUMBER(K52)),1,0)</f>
        <v>0</v>
      </c>
      <c r="BU52" s="23" t="n">
        <f aca="false">IF(BT52=1,IF(COUNTIFS($AW$2:$AW$201,AW52,$BT$2:$BT$201,1,$H$2:$H$201,"&lt;"&amp;H52)+COUNTIFS($AW$2:$AW$201,AW52,$BT$2:$BT$201,1,$H$2:$H$201,H52,$AX$2:$AX$201,"&lt;"&amp;AX52)=0,1,0),0)</f>
        <v>0</v>
      </c>
      <c r="BV52" s="23" t="str">
        <f aca="false">IF(AND(BU52=1,INT(N(H52))&lt;=Config!$B$5),K52,"")</f>
        <v/>
      </c>
      <c r="BW52" s="23" t="n">
        <f aca="false">IF(AND(AY52=1,OR(AND(ISNUMBER(R52),TRIM(S52)=""),AND(ISNUMBER(V52),TRIM(W52)=""))),1,0)</f>
        <v>0</v>
      </c>
      <c r="BX52" s="23" t="str">
        <f aca="false">IF(AY52=1,AJ52&amp;"","")</f>
        <v/>
      </c>
      <c r="BY52" s="23" t="str">
        <f aca="false">IF(AY52=1,AK52&amp;"","")</f>
        <v/>
      </c>
      <c r="BZ52" s="23" t="str">
        <f aca="false">IF(AY52=1,AL52&amp;"","")</f>
        <v/>
      </c>
      <c r="CA52" s="23" t="str">
        <f aca="false">IF(AND(AY52=1,ISNUMBER(AS52),INT(N(H52))&lt;=Config!$B$5),AS52,"")</f>
        <v/>
      </c>
      <c r="CB52" s="23" t="str">
        <f aca="false">IF(AY52=1,IF(COUNTIFS($A$2:$A$201,$A52,$CU$2:$CU$201,1,$AN$2:$AN$201,"Y")&gt;0,"Y","N"),"")</f>
        <v/>
      </c>
      <c r="CC52" s="23" t="n">
        <f aca="false">IF(AND(AY52=1,AN52="Y"),IF(COUNTIFS($AW$2:$AW$201,AW52,$AN$2:$AN$201,"Y",$AY$2:$AY$201,1,$H$2:$H$201,"&lt;"&amp;H52)+COUNTIFS($AW$2:$AW$201,AW52,$AN$2:$AN$201,"Y",$AY$2:$AY$201,1,$H$2:$H$201,H52,$AX$2:$AX$201,"&lt;"&amp;AX52)=0,1,0),0)</f>
        <v>0</v>
      </c>
      <c r="CD52" s="23" t="n">
        <f aca="false">IF(AND(AY52=1,AB52="Y",AC52="Y",AD52="Y",AE52="Y",AF52="Y",AG52="Y",AI52="Y",TRIM(AH52)&lt;&gt;""),1,0)</f>
        <v>0</v>
      </c>
      <c r="CE52" s="23" t="n">
        <f aca="false">IF(CD52=1,IF(COUNTIFS($AW$2:$AW$201,AW52,$CD$2:$CD$201,1,$H$2:$H$201,"&lt;"&amp;H52)+COUNTIFS($AW$2:$AW$201,AW52,$CD$2:$CD$201,1,$H$2:$H$201,H52,$AX$2:$AX$201,"&lt;"&amp;AX52)=0,1,0),0)</f>
        <v>0</v>
      </c>
      <c r="CF52" s="23" t="n">
        <f aca="false">IF(AND(AY52=1,AO52="Y"),1,0)</f>
        <v>0</v>
      </c>
      <c r="CG52" s="23" t="n">
        <f aca="false">IF(CF52=1,IF(COUNTIFS($AW$2:$AW$201,AW52,$CF$2:$CF$201,1,$H$2:$H$201,"&lt;"&amp;H52)+COUNTIFS($AW$2:$AW$201,AW52,$CF$2:$CF$201,1,$H$2:$H$201,H52,$AX$2:$AX$201,"&lt;"&amp;AX52)=0,1,0),0)</f>
        <v>0</v>
      </c>
      <c r="CH52" s="23" t="n">
        <f aca="false">IF(AND(AY52=1,P52="Y"),1,0)</f>
        <v>0</v>
      </c>
      <c r="CI52" s="23" t="n">
        <f aca="false">IF(CH52=1,IF(COUNTIFS($AW$2:$AW$201,AW52,$CH$2:$CH$201,1,$H$2:$H$201,"&lt;"&amp;H52)+COUNTIFS($AW$2:$AW$201,AW52,$CH$2:$CH$201,1,$H$2:$H$201,H52,$AX$2:$AX$201,"&lt;"&amp;AX52)=0,1,0),0)</f>
        <v>0</v>
      </c>
      <c r="CJ52" s="23" t="str">
        <f aca="false">IF(AND(BU52=1,INT(N(H52))&lt;=Config!$B$5),L52,"")</f>
        <v/>
      </c>
      <c r="CK52" s="23" t="n">
        <f aca="false">IF(AND(AY52=1,AR52="Y"),1,0)</f>
        <v>0</v>
      </c>
      <c r="CL52" s="23" t="n">
        <f aca="false">IF(CK52=1,IF(COUNTIFS($AW$2:$AW$201,AW52,$CK$2:$CK$201,1,$H$2:$H$201,"&lt;"&amp;H52)+COUNTIFS($AW$2:$AW$201,AW52,$CK$2:$CK$201,1,$H$2:$H$201,H52,$AX$2:$AX$201,"&lt;"&amp;AX52)=0,1,0),0)</f>
        <v>0</v>
      </c>
      <c r="CM52" s="23" t="str">
        <f aca="false">IF(AY52=1,IFERROR(MATCH($A52,INDEX(Clay_Brands!$A$2:$FZ$601,0,Sync!$D$5),0),""),"")</f>
        <v/>
      </c>
      <c r="CN52" s="23" t="str">
        <f aca="false">IF(CM52="","",IFERROR(INDEX(Clay_Brands!$A$2:$FZ$601,CM52,Sync!$D$7)&amp;"",""))</f>
        <v/>
      </c>
      <c r="CO52" s="23" t="str">
        <f aca="false">IF(CN52="","",IFERROR(INDEX(Lists!$K$2:$K$15,MATCH(CN52,Lists!$J$2:$J$15,0)),""))</f>
        <v/>
      </c>
      <c r="CP52" s="23" t="str">
        <f aca="false">IF(CM52="","",IFERROR(INDEX(Clay_Brands!$A$2:$FZ$601,CM52,Sync!$D$17)&amp;"",""))</f>
        <v/>
      </c>
      <c r="CQ52" s="35" t="str">
        <f aca="false">IF(CM52="","",IFERROR(N(INDEX(Clay_Brands!$A$2:$FZ$601,CM52,Sync!$D$16)),0))</f>
        <v/>
      </c>
      <c r="CR52" s="23" t="n">
        <f aca="false">IF(AND(AY52=1,OR(O52="N",AND(OR(ISNUMBER(R52),ISNUMBER(V52)),MAX(N(R52),N(V52))&lt;Config!$B$14))),1,0)</f>
        <v>0</v>
      </c>
      <c r="CS52" s="23" t="n">
        <f aca="false">IF(OR(BB52=1,CR52=1),1,0)</f>
        <v>0</v>
      </c>
      <c r="CT52" s="23" t="n">
        <f aca="false">IF(AND(AY52=1,OR(AN52="Y",AN52="N",AN52="maybe")),1,0)</f>
        <v>0</v>
      </c>
      <c r="CU52" s="23" t="n">
        <f aca="false">IF(AND(CT52=1),IF(COUNTIFS($A$2:$A$201,$A52,$CT$2:$CT$201,1,$H$2:$H$201,"&gt;"&amp;H52)+COUNTIFS($A$2:$A$201,$A52,$CT$2:$CT$201,1,$H$2:$H$201,H52,$AX$2:$AX$201,"&gt;"&amp;AX52)=0,1,0),0)</f>
        <v>0</v>
      </c>
      <c r="CV52" s="23" t="n">
        <f aca="false">IF(AND(CS52=1,INT(N(H52))&lt;=Config!$B$6),IF(COUNTIFS($AW$2:$AW$201,AW52,$CS$2:$CS$201,1,$H$2:$H$201,"&gt;"&amp;H52,$H$2:$H$201,"&lt;"&amp;(Config!$B$6+1))+COUNTIFS($AW$2:$AW$201,AW52,$CS$2:$CS$201,1,$H$2:$H$201,H52,$AX$2:$AX$201,"&gt;"&amp;AX52)=0,1,0),0)</f>
        <v>0</v>
      </c>
      <c r="CW52" s="23" t="n">
        <f aca="false">IF(AND(CS52=1,INT(N(H52))&lt;=Config!$B$7),IF(COUNTIFS($AW$2:$AW$201,AW52,$CS$2:$CS$201,1,$H$2:$H$201,"&gt;"&amp;H52,$H$2:$H$201,"&lt;"&amp;(Config!$B$7+1))+COUNTIFS($AW$2:$AW$201,AW52,$CS$2:$CS$201,1,$H$2:$H$201,H52,$AX$2:$AX$201,"&gt;"&amp;AX52)=0,1,0),0)</f>
        <v>0</v>
      </c>
      <c r="CX52" s="23" t="n">
        <f aca="false">IF(AND(CS52=1,INT(N(H52))&lt;=Config!$B$8),IF(COUNTIFS($AW$2:$AW$201,AW52,$CS$2:$CS$201,1,$H$2:$H$201,"&gt;"&amp;H52,$H$2:$H$201,"&lt;"&amp;(Config!$B$8+1))+COUNTIFS($AW$2:$AW$201,AW52,$CS$2:$CS$201,1,$H$2:$H$201,H52,$AX$2:$AX$201,"&gt;"&amp;AX52)=0,1,0),0)</f>
        <v>0</v>
      </c>
      <c r="CY52" s="23" t="n">
        <f aca="false">IF(AND(CS52=1,INT(N(H52))&lt;=Config!$B$5),IF(COUNTIFS($AW$2:$AW$201,AW52,$CS$2:$CS$201,1,$H$2:$H$201,"&gt;"&amp;H52,$H$2:$H$201,"&lt;"&amp;(Config!$B$5+1))+COUNTIFS($AW$2:$AW$201,AW52,$CS$2:$CS$201,1,$H$2:$H$201,H52,$AX$2:$AX$201,"&gt;"&amp;AX52)=0,1,0),0)</f>
        <v>0</v>
      </c>
      <c r="CZ52" s="23" t="n">
        <f aca="false">IF(AY52=1,IF(COUNTIFS($AW$2:$AW$201,AW52,$CV$2:$CV$201,1,$BB$2:$BB$201,1)&gt;0,1,0),0)</f>
        <v>0</v>
      </c>
      <c r="DA52" s="23" t="n">
        <f aca="false">IF(AY52=1,IF(COUNTIFS($AW$2:$AW$201,AW52,$CW$2:$CW$201,1,$BB$2:$BB$201,1)&gt;0,1,0),0)</f>
        <v>0</v>
      </c>
      <c r="DB52" s="23" t="n">
        <f aca="false">IF(AY52=1,IF(COUNTIFS($AW$2:$AW$201,AW52,$CX$2:$CX$201,1,$BB$2:$BB$201,1)&gt;0,1,0),0)</f>
        <v>0</v>
      </c>
      <c r="DC52" s="23" t="n">
        <f aca="false">IF(AY52=1,IF(COUNTIFS($AW$2:$AW$201,AW52,$CY$2:$CY$201,1,$BB$2:$BB$201,1)&gt;0,1,0),0)</f>
        <v>0</v>
      </c>
      <c r="DD52" s="23" t="n">
        <f aca="false">IF(AND(BC52=1,INT(N(H52))&lt;=Config!$B$6,CZ52=1),1,0)</f>
        <v>0</v>
      </c>
      <c r="DE52" s="23" t="n">
        <f aca="false">IF(AND(BC52=1,INT(N(H52))&lt;=Config!$B$7,DA52=1),1,0)</f>
        <v>0</v>
      </c>
      <c r="DF52" s="23" t="n">
        <f aca="false">IF(AND(BC52=1,INT(N(H52))&lt;=Config!$B$8,DB52=1),1,0)</f>
        <v>0</v>
      </c>
      <c r="DG52" s="23" t="n">
        <f aca="false">IF(AND(BC52=1,INT(N(H52))&lt;=Config!$B$5,DC52=1),1,0)</f>
        <v>0</v>
      </c>
      <c r="DH52" s="23" t="n">
        <f aca="false">IF(AND(BE52=1,INT(N(H52))&lt;=Config!$B$6,CZ52=1),1,0)</f>
        <v>0</v>
      </c>
      <c r="DI52" s="23" t="n">
        <f aca="false">IF(AND(BE52=1,INT(N(H52))&lt;=Config!$B$7,DA52=1),1,0)</f>
        <v>0</v>
      </c>
      <c r="DJ52" s="23" t="n">
        <f aca="false">IF(AND(BE52=1,INT(N(H52))&lt;=Config!$B$8,DB52=1),1,0)</f>
        <v>0</v>
      </c>
      <c r="DK52" s="23" t="n">
        <f aca="false">IF(AND(BE52=1,INT(N(H52))&lt;=Config!$B$5,DC52=1),1,0)</f>
        <v>0</v>
      </c>
      <c r="DL52" s="23" t="n">
        <f aca="false">IF(AND(BC52=1,INT(N(H52))&lt;=Config!$B$6,CZ52=0),1,0)</f>
        <v>0</v>
      </c>
      <c r="DM52" s="23" t="n">
        <f aca="false">IF(AND(BC52=1,INT(N(H52))&lt;=Config!$B$7,DA52=0),1,0)</f>
        <v>0</v>
      </c>
      <c r="DN52" s="23" t="n">
        <f aca="false">IF(AND(BC52=1,INT(N(H52))&lt;=Config!$B$8,DB52=0),1,0)</f>
        <v>0</v>
      </c>
      <c r="DO52" s="23" t="n">
        <f aca="false">IF(AND(BC52=1,INT(N(H52))&lt;=Config!$B$5,DC52=0),1,0)</f>
        <v>0</v>
      </c>
      <c r="DP52" s="23" t="n">
        <f aca="false">IF(TRIM($A52)="",0,ISTEXT(K52)+ISTEXT(L52)+ISTEXT(R52)+ISTEXT(V52)+ISTEXT(AP52)+ISTEXT(AS52))</f>
        <v>0</v>
      </c>
      <c r="DQ52" s="23" t="n">
        <f aca="false">IF(AY52=1,IF(H52&lt;&gt;INT(H52),1,0),0)</f>
        <v>0</v>
      </c>
      <c r="DR52" s="23" t="str">
        <f aca="false">IF(TRIM($A52)="","",IF(TRIM(B52)="",SUBSTITUTE(SUBSTITUTE(SUBSTITUTE(SUBSTITUTE(SUBSTITUTE(SUBSTITUTE(LOWER(TRIM($A52)),"~",""),"*",""),"?",""),"&lt;",""),"&gt;",""),"=",""),SUBSTITUTE(SUBSTITUTE(SUBSTITUTE(SUBSTITUTE(SUBSTITUTE(SUBSTITUTE(LOWER(TRIM(B52)),"~",""),"*",""),"?",""),"&lt;",""),"&gt;",""),"=","")))</f>
        <v/>
      </c>
      <c r="DS52" s="23" t="str">
        <f aca="false">IF(CM52="","",IFERROR(IF(LEFT(LOWER(TRIM(INDEX(Clay_Brands!$A$2:$FZ$601,CM52,Sync!$D$19)&amp;"")),4)="grp-",SUBSTITUTE(SUBSTITUTE(SUBSTITUTE(SUBSTITUTE(SUBSTITUTE(SUBSTITUTE(LOWER(TRIM(INDEX(Clay_Brands!$A$2:$FZ$601,CM52,Sync!$D$19)&amp;"")),"~",""),"*",""),"?",""),"&lt;",""),"&gt;",""),"=",""),""),""))</f>
        <v/>
      </c>
      <c r="DT52" s="23" t="str">
        <f aca="false">IF(DS52&lt;&gt;"",DR52,"")</f>
        <v/>
      </c>
      <c r="DU52" s="23" t="str">
        <f aca="false">IF(AZ52=1,AW52,"")</f>
        <v/>
      </c>
      <c r="DV52" s="23" t="str">
        <f aca="false">IF(TRIM($A52)="","",IFERROR(INDEX($A$2:$A$201,MATCH(AW52,$DU$2:$DU$201,0))&amp;"",$A52&amp;""))</f>
        <v/>
      </c>
      <c r="DW52" s="23" t="n">
        <f aca="false">IF(AY52=1,IF(COUNTIFS($A$2:$A$201,$A52,$AY$2:$AY$201,1,$H$2:$H$201,"&lt;"&amp;H52)+COUNTIFS($A$2:$A$201,$A52,$AY$2:$AY$201,1,$H$2:$H$201,H52,$AX$2:$AX$201,"&lt;"&amp;AX52)=0,1,0),0)</f>
        <v>0</v>
      </c>
      <c r="DX52" s="23" t="n">
        <f aca="false">IF(AZ52=1,IF(COUNTIFS($AW$2:$AW$201,AW52,$DW$2:$DW$201,1)&gt;1,1,0),0)</f>
        <v>0</v>
      </c>
    </row>
    <row r="53" customFormat="false" ht="15" hidden="false" customHeight="false" outlineLevel="0" collapsed="false">
      <c r="G53" s="32"/>
      <c r="H53" s="33"/>
      <c r="I53" s="32"/>
      <c r="O53" s="32"/>
      <c r="P53" s="32"/>
      <c r="U53" s="32"/>
      <c r="Y53" s="32"/>
      <c r="AB53" s="32"/>
      <c r="AC53" s="32"/>
      <c r="AD53" s="32"/>
      <c r="AE53" s="32"/>
      <c r="AF53" s="32"/>
      <c r="AG53" s="32"/>
      <c r="AI53" s="32"/>
      <c r="AJ53" s="32"/>
      <c r="AK53" s="32"/>
      <c r="AN53" s="32"/>
      <c r="AO53" s="32"/>
      <c r="AR53" s="32"/>
      <c r="AT53" s="32"/>
      <c r="AV53" s="34" t="str">
        <f aca="false">IF(TRIM($A53)="","",IF(AND(LEFT($A53,6)="SAMPLE",Config!$B$19&lt;&gt;"Y"),"",IF(NOT(ISNUMBER(H53)),"call_date is blank or not a date",IF(Sync!$D$5="","Clay paste is empty or has no row_id column: paste the Clay export on Clay_Brands",IF(CM53="","row_id not found in the Clay paste: add the Clay row or fix the row_id",IF(AND(ISNUMBER(CO53),CO53&gt;=1,CO53&lt;=5),"Clay status is "&amp;CN53&amp;": set call_done or later",IF(AND(BA53=1,CP53&lt;&gt;CB53),"Clay yes_in_principle should be "&amp;CB53,IF(AND(BA53=1,CQ53&lt;&gt;H53),"Clay call_date should be "&amp;TEXT(H53,"yyyy-mm-dd"),""))))))))</f>
        <v/>
      </c>
      <c r="AW53" s="23" t="str">
        <f aca="false">IF(TRIM($A53)="","",IF(TRIM(C53)&lt;&gt;"",SUBSTITUTE(SUBSTITUTE(SUBSTITUTE(SUBSTITUTE(SUBSTITUTE(SUBSTITUTE(LOWER(TRIM(C53)),"~",""),"*",""),"?",""),"&lt;",""),"&gt;",""),"=",""),IF(DS53&lt;&gt;"",DS53,IFERROR(INDEX($DS$2:$DS$201,MATCH(DR53,$DT$2:$DT$201,0)),DR53))))</f>
        <v/>
      </c>
      <c r="AX53" s="23" t="n">
        <f aca="false">ROW()</f>
        <v>53</v>
      </c>
      <c r="AY53" s="23" t="n">
        <f aca="false">IF(AND(TRIM($A53)&lt;&gt;"",ISNUMBER(H53)),IF(AND(LEFT($A53,6)="SAMPLE",Config!$B$19&lt;&gt;"Y"),0,1),0)</f>
        <v>0</v>
      </c>
      <c r="AZ53" s="23" t="n">
        <f aca="false">IF(AY53=1,IF(COUNTIFS($AW$2:$AW$201,AW53,$AY$2:$AY$201,1,$H$2:$H$201,"&lt;"&amp;H53)+COUNTIFS($AW$2:$AW$201,AW53,$AY$2:$AY$201,1,$H$2:$H$201,H53,$AX$2:$AX$201,"&lt;"&amp;AX53)=0,1,0),0)</f>
        <v>0</v>
      </c>
      <c r="BA53" s="23" t="n">
        <f aca="false">IF(AY53=1,IF(COUNTIFS($A$2:$A$201,$A53,$AY$2:$AY$201,1,$H$2:$H$201,"&gt;"&amp;H53)+COUNTIFS($A$2:$A$201,$A53,$AY$2:$AY$201,1,$H$2:$H$201,H53,$AX$2:$AX$201,"&gt;"&amp;AX53)=0,1,0),0)</f>
        <v>0</v>
      </c>
      <c r="BB53" s="23" t="n">
        <f aca="false">IF(AND(AY53=1,O53="Y",MAX(N(R53),N(V53))&gt;=Config!$B$14),1,0)</f>
        <v>0</v>
      </c>
      <c r="BC53" s="23" t="n">
        <f aca="false">IF(BB53=1,IF(COUNTIFS($AW$2:$AW$201,AW53,$BB$2:$BB$201,1,$H$2:$H$201,"&lt;"&amp;H53)+COUNTIFS($AW$2:$AW$201,AW53,$BB$2:$BB$201,1,$H$2:$H$201,H53,$AX$2:$AX$201,"&lt;"&amp;AX53)=0,1,0),0)</f>
        <v>0</v>
      </c>
      <c r="BD53" s="23" t="n">
        <f aca="false">IF(AND(AY53=1,O53="Y",ISNUMBER(R53)),IF(R53&gt;=Config!$B$14,1,0),0)</f>
        <v>0</v>
      </c>
      <c r="BE53" s="23" t="n">
        <f aca="false">IF(BD53=1,IF(COUNTIFS($AW$2:$AW$201,AW53,$BD$2:$BD$201,1,$H$2:$H$201,"&lt;"&amp;H53)+COUNTIFS($AW$2:$AW$201,AW53,$BD$2:$BD$201,1,$H$2:$H$201,H53,$AX$2:$AX$201,"&lt;"&amp;AX53)=0,1,0),0)</f>
        <v>0</v>
      </c>
      <c r="BF53" s="23" t="n">
        <f aca="false">IF(AND(AY53=1,O53&lt;&gt;"Y",MAX(N(R53),N(V53))&gt;=Config!$B$14),1,0)</f>
        <v>0</v>
      </c>
      <c r="BG53" s="23" t="n">
        <f aca="false">IF(BF53=1,IF(COUNTIFS($AW$2:$AW$201,AW53,$BF$2:$BF$201,1,$H$2:$H$201,"&lt;"&amp;H53)+COUNTIFS($AW$2:$AW$201,AW53,$BF$2:$BF$201,1,$H$2:$H$201,H53,$AX$2:$AX$201,"&lt;"&amp;AX53)=0,1,0),0)</f>
        <v>0</v>
      </c>
      <c r="BH53" s="23" t="n">
        <f aca="false">IF(AND(AY53=1,ISNUMBER(R53)),1,0)</f>
        <v>0</v>
      </c>
      <c r="BI53" s="23" t="n">
        <f aca="false">IF(BH53=1,IF(COUNTIFS($AW$2:$AW$201,AW53,$BH$2:$BH$201,1,$H$2:$H$201,"&lt;"&amp;H53)+COUNTIFS($AW$2:$AW$201,AW53,$BH$2:$BH$201,1,$H$2:$H$201,H53,$AX$2:$AX$201,"&lt;"&amp;AX53)=0,1,0),0)</f>
        <v>0</v>
      </c>
      <c r="BJ53" s="23" t="str">
        <f aca="false">IF(AND(BI53=1,INT(N(H53))&lt;=Config!$B$6),R53,"")</f>
        <v/>
      </c>
      <c r="BK53" s="23" t="str">
        <f aca="false">IF(AND(BI53=1,INT(N(H53))&lt;=Config!$B$7),R53,"")</f>
        <v/>
      </c>
      <c r="BL53" s="23" t="str">
        <f aca="false">IF(AND(BI53=1,INT(N(H53))&lt;=Config!$B$8),R53,"")</f>
        <v/>
      </c>
      <c r="BM53" s="23" t="str">
        <f aca="false">IF(AND(BI53=1,INT(N(H53))&lt;=Config!$B$5),R53,"")</f>
        <v/>
      </c>
      <c r="BN53" s="23" t="n">
        <f aca="false">IF(AND(AY53=1,ISNUMBER(V53)),1,0)</f>
        <v>0</v>
      </c>
      <c r="BO53" s="23" t="n">
        <f aca="false">IF(BN53=1,IF(COUNTIFS($AW$2:$AW$201,AW53,$BN$2:$BN$201,1,$H$2:$H$201,"&lt;"&amp;H53)+COUNTIFS($AW$2:$AW$201,AW53,$BN$2:$BN$201,1,$H$2:$H$201,H53,$AX$2:$AX$201,"&lt;"&amp;AX53)=0,1,0),0)</f>
        <v>0</v>
      </c>
      <c r="BP53" s="23" t="str">
        <f aca="false">IF(AND(BO53=1,INT(N(H53))&lt;=Config!$B$6),V53,"")</f>
        <v/>
      </c>
      <c r="BQ53" s="23" t="str">
        <f aca="false">IF(AND(BO53=1,INT(N(H53))&lt;=Config!$B$7),V53,"")</f>
        <v/>
      </c>
      <c r="BR53" s="23" t="str">
        <f aca="false">IF(AND(BO53=1,INT(N(H53))&lt;=Config!$B$8),V53,"")</f>
        <v/>
      </c>
      <c r="BS53" s="23" t="str">
        <f aca="false">IF(AND(BO53=1,INT(N(H53))&lt;=Config!$B$5),V53,"")</f>
        <v/>
      </c>
      <c r="BT53" s="23" t="n">
        <f aca="false">IF(AND(AY53=1,ISNUMBER(K53)),1,0)</f>
        <v>0</v>
      </c>
      <c r="BU53" s="23" t="n">
        <f aca="false">IF(BT53=1,IF(COUNTIFS($AW$2:$AW$201,AW53,$BT$2:$BT$201,1,$H$2:$H$201,"&lt;"&amp;H53)+COUNTIFS($AW$2:$AW$201,AW53,$BT$2:$BT$201,1,$H$2:$H$201,H53,$AX$2:$AX$201,"&lt;"&amp;AX53)=0,1,0),0)</f>
        <v>0</v>
      </c>
      <c r="BV53" s="23" t="str">
        <f aca="false">IF(AND(BU53=1,INT(N(H53))&lt;=Config!$B$5),K53,"")</f>
        <v/>
      </c>
      <c r="BW53" s="23" t="n">
        <f aca="false">IF(AND(AY53=1,OR(AND(ISNUMBER(R53),TRIM(S53)=""),AND(ISNUMBER(V53),TRIM(W53)=""))),1,0)</f>
        <v>0</v>
      </c>
      <c r="BX53" s="23" t="str">
        <f aca="false">IF(AY53=1,AJ53&amp;"","")</f>
        <v/>
      </c>
      <c r="BY53" s="23" t="str">
        <f aca="false">IF(AY53=1,AK53&amp;"","")</f>
        <v/>
      </c>
      <c r="BZ53" s="23" t="str">
        <f aca="false">IF(AY53=1,AL53&amp;"","")</f>
        <v/>
      </c>
      <c r="CA53" s="23" t="str">
        <f aca="false">IF(AND(AY53=1,ISNUMBER(AS53),INT(N(H53))&lt;=Config!$B$5),AS53,"")</f>
        <v/>
      </c>
      <c r="CB53" s="23" t="str">
        <f aca="false">IF(AY53=1,IF(COUNTIFS($A$2:$A$201,$A53,$CU$2:$CU$201,1,$AN$2:$AN$201,"Y")&gt;0,"Y","N"),"")</f>
        <v/>
      </c>
      <c r="CC53" s="23" t="n">
        <f aca="false">IF(AND(AY53=1,AN53="Y"),IF(COUNTIFS($AW$2:$AW$201,AW53,$AN$2:$AN$201,"Y",$AY$2:$AY$201,1,$H$2:$H$201,"&lt;"&amp;H53)+COUNTIFS($AW$2:$AW$201,AW53,$AN$2:$AN$201,"Y",$AY$2:$AY$201,1,$H$2:$H$201,H53,$AX$2:$AX$201,"&lt;"&amp;AX53)=0,1,0),0)</f>
        <v>0</v>
      </c>
      <c r="CD53" s="23" t="n">
        <f aca="false">IF(AND(AY53=1,AB53="Y",AC53="Y",AD53="Y",AE53="Y",AF53="Y",AG53="Y",AI53="Y",TRIM(AH53)&lt;&gt;""),1,0)</f>
        <v>0</v>
      </c>
      <c r="CE53" s="23" t="n">
        <f aca="false">IF(CD53=1,IF(COUNTIFS($AW$2:$AW$201,AW53,$CD$2:$CD$201,1,$H$2:$H$201,"&lt;"&amp;H53)+COUNTIFS($AW$2:$AW$201,AW53,$CD$2:$CD$201,1,$H$2:$H$201,H53,$AX$2:$AX$201,"&lt;"&amp;AX53)=0,1,0),0)</f>
        <v>0</v>
      </c>
      <c r="CF53" s="23" t="n">
        <f aca="false">IF(AND(AY53=1,AO53="Y"),1,0)</f>
        <v>0</v>
      </c>
      <c r="CG53" s="23" t="n">
        <f aca="false">IF(CF53=1,IF(COUNTIFS($AW$2:$AW$201,AW53,$CF$2:$CF$201,1,$H$2:$H$201,"&lt;"&amp;H53)+COUNTIFS($AW$2:$AW$201,AW53,$CF$2:$CF$201,1,$H$2:$H$201,H53,$AX$2:$AX$201,"&lt;"&amp;AX53)=0,1,0),0)</f>
        <v>0</v>
      </c>
      <c r="CH53" s="23" t="n">
        <f aca="false">IF(AND(AY53=1,P53="Y"),1,0)</f>
        <v>0</v>
      </c>
      <c r="CI53" s="23" t="n">
        <f aca="false">IF(CH53=1,IF(COUNTIFS($AW$2:$AW$201,AW53,$CH$2:$CH$201,1,$H$2:$H$201,"&lt;"&amp;H53)+COUNTIFS($AW$2:$AW$201,AW53,$CH$2:$CH$201,1,$H$2:$H$201,H53,$AX$2:$AX$201,"&lt;"&amp;AX53)=0,1,0),0)</f>
        <v>0</v>
      </c>
      <c r="CJ53" s="23" t="str">
        <f aca="false">IF(AND(BU53=1,INT(N(H53))&lt;=Config!$B$5),L53,"")</f>
        <v/>
      </c>
      <c r="CK53" s="23" t="n">
        <f aca="false">IF(AND(AY53=1,AR53="Y"),1,0)</f>
        <v>0</v>
      </c>
      <c r="CL53" s="23" t="n">
        <f aca="false">IF(CK53=1,IF(COUNTIFS($AW$2:$AW$201,AW53,$CK$2:$CK$201,1,$H$2:$H$201,"&lt;"&amp;H53)+COUNTIFS($AW$2:$AW$201,AW53,$CK$2:$CK$201,1,$H$2:$H$201,H53,$AX$2:$AX$201,"&lt;"&amp;AX53)=0,1,0),0)</f>
        <v>0</v>
      </c>
      <c r="CM53" s="23" t="str">
        <f aca="false">IF(AY53=1,IFERROR(MATCH($A53,INDEX(Clay_Brands!$A$2:$FZ$601,0,Sync!$D$5),0),""),"")</f>
        <v/>
      </c>
      <c r="CN53" s="23" t="str">
        <f aca="false">IF(CM53="","",IFERROR(INDEX(Clay_Brands!$A$2:$FZ$601,CM53,Sync!$D$7)&amp;"",""))</f>
        <v/>
      </c>
      <c r="CO53" s="23" t="str">
        <f aca="false">IF(CN53="","",IFERROR(INDEX(Lists!$K$2:$K$15,MATCH(CN53,Lists!$J$2:$J$15,0)),""))</f>
        <v/>
      </c>
      <c r="CP53" s="23" t="str">
        <f aca="false">IF(CM53="","",IFERROR(INDEX(Clay_Brands!$A$2:$FZ$601,CM53,Sync!$D$17)&amp;"",""))</f>
        <v/>
      </c>
      <c r="CQ53" s="35" t="str">
        <f aca="false">IF(CM53="","",IFERROR(N(INDEX(Clay_Brands!$A$2:$FZ$601,CM53,Sync!$D$16)),0))</f>
        <v/>
      </c>
      <c r="CR53" s="23" t="n">
        <f aca="false">IF(AND(AY53=1,OR(O53="N",AND(OR(ISNUMBER(R53),ISNUMBER(V53)),MAX(N(R53),N(V53))&lt;Config!$B$14))),1,0)</f>
        <v>0</v>
      </c>
      <c r="CS53" s="23" t="n">
        <f aca="false">IF(OR(BB53=1,CR53=1),1,0)</f>
        <v>0</v>
      </c>
      <c r="CT53" s="23" t="n">
        <f aca="false">IF(AND(AY53=1,OR(AN53="Y",AN53="N",AN53="maybe")),1,0)</f>
        <v>0</v>
      </c>
      <c r="CU53" s="23" t="n">
        <f aca="false">IF(AND(CT53=1),IF(COUNTIFS($A$2:$A$201,$A53,$CT$2:$CT$201,1,$H$2:$H$201,"&gt;"&amp;H53)+COUNTIFS($A$2:$A$201,$A53,$CT$2:$CT$201,1,$H$2:$H$201,H53,$AX$2:$AX$201,"&gt;"&amp;AX53)=0,1,0),0)</f>
        <v>0</v>
      </c>
      <c r="CV53" s="23" t="n">
        <f aca="false">IF(AND(CS53=1,INT(N(H53))&lt;=Config!$B$6),IF(COUNTIFS($AW$2:$AW$201,AW53,$CS$2:$CS$201,1,$H$2:$H$201,"&gt;"&amp;H53,$H$2:$H$201,"&lt;"&amp;(Config!$B$6+1))+COUNTIFS($AW$2:$AW$201,AW53,$CS$2:$CS$201,1,$H$2:$H$201,H53,$AX$2:$AX$201,"&gt;"&amp;AX53)=0,1,0),0)</f>
        <v>0</v>
      </c>
      <c r="CW53" s="23" t="n">
        <f aca="false">IF(AND(CS53=1,INT(N(H53))&lt;=Config!$B$7),IF(COUNTIFS($AW$2:$AW$201,AW53,$CS$2:$CS$201,1,$H$2:$H$201,"&gt;"&amp;H53,$H$2:$H$201,"&lt;"&amp;(Config!$B$7+1))+COUNTIFS($AW$2:$AW$201,AW53,$CS$2:$CS$201,1,$H$2:$H$201,H53,$AX$2:$AX$201,"&gt;"&amp;AX53)=0,1,0),0)</f>
        <v>0</v>
      </c>
      <c r="CX53" s="23" t="n">
        <f aca="false">IF(AND(CS53=1,INT(N(H53))&lt;=Config!$B$8),IF(COUNTIFS($AW$2:$AW$201,AW53,$CS$2:$CS$201,1,$H$2:$H$201,"&gt;"&amp;H53,$H$2:$H$201,"&lt;"&amp;(Config!$B$8+1))+COUNTIFS($AW$2:$AW$201,AW53,$CS$2:$CS$201,1,$H$2:$H$201,H53,$AX$2:$AX$201,"&gt;"&amp;AX53)=0,1,0),0)</f>
        <v>0</v>
      </c>
      <c r="CY53" s="23" t="n">
        <f aca="false">IF(AND(CS53=1,INT(N(H53))&lt;=Config!$B$5),IF(COUNTIFS($AW$2:$AW$201,AW53,$CS$2:$CS$201,1,$H$2:$H$201,"&gt;"&amp;H53,$H$2:$H$201,"&lt;"&amp;(Config!$B$5+1))+COUNTIFS($AW$2:$AW$201,AW53,$CS$2:$CS$201,1,$H$2:$H$201,H53,$AX$2:$AX$201,"&gt;"&amp;AX53)=0,1,0),0)</f>
        <v>0</v>
      </c>
      <c r="CZ53" s="23" t="n">
        <f aca="false">IF(AY53=1,IF(COUNTIFS($AW$2:$AW$201,AW53,$CV$2:$CV$201,1,$BB$2:$BB$201,1)&gt;0,1,0),0)</f>
        <v>0</v>
      </c>
      <c r="DA53" s="23" t="n">
        <f aca="false">IF(AY53=1,IF(COUNTIFS($AW$2:$AW$201,AW53,$CW$2:$CW$201,1,$BB$2:$BB$201,1)&gt;0,1,0),0)</f>
        <v>0</v>
      </c>
      <c r="DB53" s="23" t="n">
        <f aca="false">IF(AY53=1,IF(COUNTIFS($AW$2:$AW$201,AW53,$CX$2:$CX$201,1,$BB$2:$BB$201,1)&gt;0,1,0),0)</f>
        <v>0</v>
      </c>
      <c r="DC53" s="23" t="n">
        <f aca="false">IF(AY53=1,IF(COUNTIFS($AW$2:$AW$201,AW53,$CY$2:$CY$201,1,$BB$2:$BB$201,1)&gt;0,1,0),0)</f>
        <v>0</v>
      </c>
      <c r="DD53" s="23" t="n">
        <f aca="false">IF(AND(BC53=1,INT(N(H53))&lt;=Config!$B$6,CZ53=1),1,0)</f>
        <v>0</v>
      </c>
      <c r="DE53" s="23" t="n">
        <f aca="false">IF(AND(BC53=1,INT(N(H53))&lt;=Config!$B$7,DA53=1),1,0)</f>
        <v>0</v>
      </c>
      <c r="DF53" s="23" t="n">
        <f aca="false">IF(AND(BC53=1,INT(N(H53))&lt;=Config!$B$8,DB53=1),1,0)</f>
        <v>0</v>
      </c>
      <c r="DG53" s="23" t="n">
        <f aca="false">IF(AND(BC53=1,INT(N(H53))&lt;=Config!$B$5,DC53=1),1,0)</f>
        <v>0</v>
      </c>
      <c r="DH53" s="23" t="n">
        <f aca="false">IF(AND(BE53=1,INT(N(H53))&lt;=Config!$B$6,CZ53=1),1,0)</f>
        <v>0</v>
      </c>
      <c r="DI53" s="23" t="n">
        <f aca="false">IF(AND(BE53=1,INT(N(H53))&lt;=Config!$B$7,DA53=1),1,0)</f>
        <v>0</v>
      </c>
      <c r="DJ53" s="23" t="n">
        <f aca="false">IF(AND(BE53=1,INT(N(H53))&lt;=Config!$B$8,DB53=1),1,0)</f>
        <v>0</v>
      </c>
      <c r="DK53" s="23" t="n">
        <f aca="false">IF(AND(BE53=1,INT(N(H53))&lt;=Config!$B$5,DC53=1),1,0)</f>
        <v>0</v>
      </c>
      <c r="DL53" s="23" t="n">
        <f aca="false">IF(AND(BC53=1,INT(N(H53))&lt;=Config!$B$6,CZ53=0),1,0)</f>
        <v>0</v>
      </c>
      <c r="DM53" s="23" t="n">
        <f aca="false">IF(AND(BC53=1,INT(N(H53))&lt;=Config!$B$7,DA53=0),1,0)</f>
        <v>0</v>
      </c>
      <c r="DN53" s="23" t="n">
        <f aca="false">IF(AND(BC53=1,INT(N(H53))&lt;=Config!$B$8,DB53=0),1,0)</f>
        <v>0</v>
      </c>
      <c r="DO53" s="23" t="n">
        <f aca="false">IF(AND(BC53=1,INT(N(H53))&lt;=Config!$B$5,DC53=0),1,0)</f>
        <v>0</v>
      </c>
      <c r="DP53" s="23" t="n">
        <f aca="false">IF(TRIM($A53)="",0,ISTEXT(K53)+ISTEXT(L53)+ISTEXT(R53)+ISTEXT(V53)+ISTEXT(AP53)+ISTEXT(AS53))</f>
        <v>0</v>
      </c>
      <c r="DQ53" s="23" t="n">
        <f aca="false">IF(AY53=1,IF(H53&lt;&gt;INT(H53),1,0),0)</f>
        <v>0</v>
      </c>
      <c r="DR53" s="23" t="str">
        <f aca="false">IF(TRIM($A53)="","",IF(TRIM(B53)="",SUBSTITUTE(SUBSTITUTE(SUBSTITUTE(SUBSTITUTE(SUBSTITUTE(SUBSTITUTE(LOWER(TRIM($A53)),"~",""),"*",""),"?",""),"&lt;",""),"&gt;",""),"=",""),SUBSTITUTE(SUBSTITUTE(SUBSTITUTE(SUBSTITUTE(SUBSTITUTE(SUBSTITUTE(LOWER(TRIM(B53)),"~",""),"*",""),"?",""),"&lt;",""),"&gt;",""),"=","")))</f>
        <v/>
      </c>
      <c r="DS53" s="23" t="str">
        <f aca="false">IF(CM53="","",IFERROR(IF(LEFT(LOWER(TRIM(INDEX(Clay_Brands!$A$2:$FZ$601,CM53,Sync!$D$19)&amp;"")),4)="grp-",SUBSTITUTE(SUBSTITUTE(SUBSTITUTE(SUBSTITUTE(SUBSTITUTE(SUBSTITUTE(LOWER(TRIM(INDEX(Clay_Brands!$A$2:$FZ$601,CM53,Sync!$D$19)&amp;"")),"~",""),"*",""),"?",""),"&lt;",""),"&gt;",""),"=",""),""),""))</f>
        <v/>
      </c>
      <c r="DT53" s="23" t="str">
        <f aca="false">IF(DS53&lt;&gt;"",DR53,"")</f>
        <v/>
      </c>
      <c r="DU53" s="23" t="str">
        <f aca="false">IF(AZ53=1,AW53,"")</f>
        <v/>
      </c>
      <c r="DV53" s="23" t="str">
        <f aca="false">IF(TRIM($A53)="","",IFERROR(INDEX($A$2:$A$201,MATCH(AW53,$DU$2:$DU$201,0))&amp;"",$A53&amp;""))</f>
        <v/>
      </c>
      <c r="DW53" s="23" t="n">
        <f aca="false">IF(AY53=1,IF(COUNTIFS($A$2:$A$201,$A53,$AY$2:$AY$201,1,$H$2:$H$201,"&lt;"&amp;H53)+COUNTIFS($A$2:$A$201,$A53,$AY$2:$AY$201,1,$H$2:$H$201,H53,$AX$2:$AX$201,"&lt;"&amp;AX53)=0,1,0),0)</f>
        <v>0</v>
      </c>
      <c r="DX53" s="23" t="n">
        <f aca="false">IF(AZ53=1,IF(COUNTIFS($AW$2:$AW$201,AW53,$DW$2:$DW$201,1)&gt;1,1,0),0)</f>
        <v>0</v>
      </c>
    </row>
    <row r="54" customFormat="false" ht="15" hidden="false" customHeight="false" outlineLevel="0" collapsed="false">
      <c r="G54" s="32"/>
      <c r="H54" s="33"/>
      <c r="I54" s="32"/>
      <c r="O54" s="32"/>
      <c r="P54" s="32"/>
      <c r="U54" s="32"/>
      <c r="Y54" s="32"/>
      <c r="AB54" s="32"/>
      <c r="AC54" s="32"/>
      <c r="AD54" s="32"/>
      <c r="AE54" s="32"/>
      <c r="AF54" s="32"/>
      <c r="AG54" s="32"/>
      <c r="AI54" s="32"/>
      <c r="AJ54" s="32"/>
      <c r="AK54" s="32"/>
      <c r="AN54" s="32"/>
      <c r="AO54" s="32"/>
      <c r="AR54" s="32"/>
      <c r="AT54" s="32"/>
      <c r="AV54" s="34" t="str">
        <f aca="false">IF(TRIM($A54)="","",IF(AND(LEFT($A54,6)="SAMPLE",Config!$B$19&lt;&gt;"Y"),"",IF(NOT(ISNUMBER(H54)),"call_date is blank or not a date",IF(Sync!$D$5="","Clay paste is empty or has no row_id column: paste the Clay export on Clay_Brands",IF(CM54="","row_id not found in the Clay paste: add the Clay row or fix the row_id",IF(AND(ISNUMBER(CO54),CO54&gt;=1,CO54&lt;=5),"Clay status is "&amp;CN54&amp;": set call_done or later",IF(AND(BA54=1,CP54&lt;&gt;CB54),"Clay yes_in_principle should be "&amp;CB54,IF(AND(BA54=1,CQ54&lt;&gt;H54),"Clay call_date should be "&amp;TEXT(H54,"yyyy-mm-dd"),""))))))))</f>
        <v/>
      </c>
      <c r="AW54" s="23" t="str">
        <f aca="false">IF(TRIM($A54)="","",IF(TRIM(C54)&lt;&gt;"",SUBSTITUTE(SUBSTITUTE(SUBSTITUTE(SUBSTITUTE(SUBSTITUTE(SUBSTITUTE(LOWER(TRIM(C54)),"~",""),"*",""),"?",""),"&lt;",""),"&gt;",""),"=",""),IF(DS54&lt;&gt;"",DS54,IFERROR(INDEX($DS$2:$DS$201,MATCH(DR54,$DT$2:$DT$201,0)),DR54))))</f>
        <v/>
      </c>
      <c r="AX54" s="23" t="n">
        <f aca="false">ROW()</f>
        <v>54</v>
      </c>
      <c r="AY54" s="23" t="n">
        <f aca="false">IF(AND(TRIM($A54)&lt;&gt;"",ISNUMBER(H54)),IF(AND(LEFT($A54,6)="SAMPLE",Config!$B$19&lt;&gt;"Y"),0,1),0)</f>
        <v>0</v>
      </c>
      <c r="AZ54" s="23" t="n">
        <f aca="false">IF(AY54=1,IF(COUNTIFS($AW$2:$AW$201,AW54,$AY$2:$AY$201,1,$H$2:$H$201,"&lt;"&amp;H54)+COUNTIFS($AW$2:$AW$201,AW54,$AY$2:$AY$201,1,$H$2:$H$201,H54,$AX$2:$AX$201,"&lt;"&amp;AX54)=0,1,0),0)</f>
        <v>0</v>
      </c>
      <c r="BA54" s="23" t="n">
        <f aca="false">IF(AY54=1,IF(COUNTIFS($A$2:$A$201,$A54,$AY$2:$AY$201,1,$H$2:$H$201,"&gt;"&amp;H54)+COUNTIFS($A$2:$A$201,$A54,$AY$2:$AY$201,1,$H$2:$H$201,H54,$AX$2:$AX$201,"&gt;"&amp;AX54)=0,1,0),0)</f>
        <v>0</v>
      </c>
      <c r="BB54" s="23" t="n">
        <f aca="false">IF(AND(AY54=1,O54="Y",MAX(N(R54),N(V54))&gt;=Config!$B$14),1,0)</f>
        <v>0</v>
      </c>
      <c r="BC54" s="23" t="n">
        <f aca="false">IF(BB54=1,IF(COUNTIFS($AW$2:$AW$201,AW54,$BB$2:$BB$201,1,$H$2:$H$201,"&lt;"&amp;H54)+COUNTIFS($AW$2:$AW$201,AW54,$BB$2:$BB$201,1,$H$2:$H$201,H54,$AX$2:$AX$201,"&lt;"&amp;AX54)=0,1,0),0)</f>
        <v>0</v>
      </c>
      <c r="BD54" s="23" t="n">
        <f aca="false">IF(AND(AY54=1,O54="Y",ISNUMBER(R54)),IF(R54&gt;=Config!$B$14,1,0),0)</f>
        <v>0</v>
      </c>
      <c r="BE54" s="23" t="n">
        <f aca="false">IF(BD54=1,IF(COUNTIFS($AW$2:$AW$201,AW54,$BD$2:$BD$201,1,$H$2:$H$201,"&lt;"&amp;H54)+COUNTIFS($AW$2:$AW$201,AW54,$BD$2:$BD$201,1,$H$2:$H$201,H54,$AX$2:$AX$201,"&lt;"&amp;AX54)=0,1,0),0)</f>
        <v>0</v>
      </c>
      <c r="BF54" s="23" t="n">
        <f aca="false">IF(AND(AY54=1,O54&lt;&gt;"Y",MAX(N(R54),N(V54))&gt;=Config!$B$14),1,0)</f>
        <v>0</v>
      </c>
      <c r="BG54" s="23" t="n">
        <f aca="false">IF(BF54=1,IF(COUNTIFS($AW$2:$AW$201,AW54,$BF$2:$BF$201,1,$H$2:$H$201,"&lt;"&amp;H54)+COUNTIFS($AW$2:$AW$201,AW54,$BF$2:$BF$201,1,$H$2:$H$201,H54,$AX$2:$AX$201,"&lt;"&amp;AX54)=0,1,0),0)</f>
        <v>0</v>
      </c>
      <c r="BH54" s="23" t="n">
        <f aca="false">IF(AND(AY54=1,ISNUMBER(R54)),1,0)</f>
        <v>0</v>
      </c>
      <c r="BI54" s="23" t="n">
        <f aca="false">IF(BH54=1,IF(COUNTIFS($AW$2:$AW$201,AW54,$BH$2:$BH$201,1,$H$2:$H$201,"&lt;"&amp;H54)+COUNTIFS($AW$2:$AW$201,AW54,$BH$2:$BH$201,1,$H$2:$H$201,H54,$AX$2:$AX$201,"&lt;"&amp;AX54)=0,1,0),0)</f>
        <v>0</v>
      </c>
      <c r="BJ54" s="23" t="str">
        <f aca="false">IF(AND(BI54=1,INT(N(H54))&lt;=Config!$B$6),R54,"")</f>
        <v/>
      </c>
      <c r="BK54" s="23" t="str">
        <f aca="false">IF(AND(BI54=1,INT(N(H54))&lt;=Config!$B$7),R54,"")</f>
        <v/>
      </c>
      <c r="BL54" s="23" t="str">
        <f aca="false">IF(AND(BI54=1,INT(N(H54))&lt;=Config!$B$8),R54,"")</f>
        <v/>
      </c>
      <c r="BM54" s="23" t="str">
        <f aca="false">IF(AND(BI54=1,INT(N(H54))&lt;=Config!$B$5),R54,"")</f>
        <v/>
      </c>
      <c r="BN54" s="23" t="n">
        <f aca="false">IF(AND(AY54=1,ISNUMBER(V54)),1,0)</f>
        <v>0</v>
      </c>
      <c r="BO54" s="23" t="n">
        <f aca="false">IF(BN54=1,IF(COUNTIFS($AW$2:$AW$201,AW54,$BN$2:$BN$201,1,$H$2:$H$201,"&lt;"&amp;H54)+COUNTIFS($AW$2:$AW$201,AW54,$BN$2:$BN$201,1,$H$2:$H$201,H54,$AX$2:$AX$201,"&lt;"&amp;AX54)=0,1,0),0)</f>
        <v>0</v>
      </c>
      <c r="BP54" s="23" t="str">
        <f aca="false">IF(AND(BO54=1,INT(N(H54))&lt;=Config!$B$6),V54,"")</f>
        <v/>
      </c>
      <c r="BQ54" s="23" t="str">
        <f aca="false">IF(AND(BO54=1,INT(N(H54))&lt;=Config!$B$7),V54,"")</f>
        <v/>
      </c>
      <c r="BR54" s="23" t="str">
        <f aca="false">IF(AND(BO54=1,INT(N(H54))&lt;=Config!$B$8),V54,"")</f>
        <v/>
      </c>
      <c r="BS54" s="23" t="str">
        <f aca="false">IF(AND(BO54=1,INT(N(H54))&lt;=Config!$B$5),V54,"")</f>
        <v/>
      </c>
      <c r="BT54" s="23" t="n">
        <f aca="false">IF(AND(AY54=1,ISNUMBER(K54)),1,0)</f>
        <v>0</v>
      </c>
      <c r="BU54" s="23" t="n">
        <f aca="false">IF(BT54=1,IF(COUNTIFS($AW$2:$AW$201,AW54,$BT$2:$BT$201,1,$H$2:$H$201,"&lt;"&amp;H54)+COUNTIFS($AW$2:$AW$201,AW54,$BT$2:$BT$201,1,$H$2:$H$201,H54,$AX$2:$AX$201,"&lt;"&amp;AX54)=0,1,0),0)</f>
        <v>0</v>
      </c>
      <c r="BV54" s="23" t="str">
        <f aca="false">IF(AND(BU54=1,INT(N(H54))&lt;=Config!$B$5),K54,"")</f>
        <v/>
      </c>
      <c r="BW54" s="23" t="n">
        <f aca="false">IF(AND(AY54=1,OR(AND(ISNUMBER(R54),TRIM(S54)=""),AND(ISNUMBER(V54),TRIM(W54)=""))),1,0)</f>
        <v>0</v>
      </c>
      <c r="BX54" s="23" t="str">
        <f aca="false">IF(AY54=1,AJ54&amp;"","")</f>
        <v/>
      </c>
      <c r="BY54" s="23" t="str">
        <f aca="false">IF(AY54=1,AK54&amp;"","")</f>
        <v/>
      </c>
      <c r="BZ54" s="23" t="str">
        <f aca="false">IF(AY54=1,AL54&amp;"","")</f>
        <v/>
      </c>
      <c r="CA54" s="23" t="str">
        <f aca="false">IF(AND(AY54=1,ISNUMBER(AS54),INT(N(H54))&lt;=Config!$B$5),AS54,"")</f>
        <v/>
      </c>
      <c r="CB54" s="23" t="str">
        <f aca="false">IF(AY54=1,IF(COUNTIFS($A$2:$A$201,$A54,$CU$2:$CU$201,1,$AN$2:$AN$201,"Y")&gt;0,"Y","N"),"")</f>
        <v/>
      </c>
      <c r="CC54" s="23" t="n">
        <f aca="false">IF(AND(AY54=1,AN54="Y"),IF(COUNTIFS($AW$2:$AW$201,AW54,$AN$2:$AN$201,"Y",$AY$2:$AY$201,1,$H$2:$H$201,"&lt;"&amp;H54)+COUNTIFS($AW$2:$AW$201,AW54,$AN$2:$AN$201,"Y",$AY$2:$AY$201,1,$H$2:$H$201,H54,$AX$2:$AX$201,"&lt;"&amp;AX54)=0,1,0),0)</f>
        <v>0</v>
      </c>
      <c r="CD54" s="23" t="n">
        <f aca="false">IF(AND(AY54=1,AB54="Y",AC54="Y",AD54="Y",AE54="Y",AF54="Y",AG54="Y",AI54="Y",TRIM(AH54)&lt;&gt;""),1,0)</f>
        <v>0</v>
      </c>
      <c r="CE54" s="23" t="n">
        <f aca="false">IF(CD54=1,IF(COUNTIFS($AW$2:$AW$201,AW54,$CD$2:$CD$201,1,$H$2:$H$201,"&lt;"&amp;H54)+COUNTIFS($AW$2:$AW$201,AW54,$CD$2:$CD$201,1,$H$2:$H$201,H54,$AX$2:$AX$201,"&lt;"&amp;AX54)=0,1,0),0)</f>
        <v>0</v>
      </c>
      <c r="CF54" s="23" t="n">
        <f aca="false">IF(AND(AY54=1,AO54="Y"),1,0)</f>
        <v>0</v>
      </c>
      <c r="CG54" s="23" t="n">
        <f aca="false">IF(CF54=1,IF(COUNTIFS($AW$2:$AW$201,AW54,$CF$2:$CF$201,1,$H$2:$H$201,"&lt;"&amp;H54)+COUNTIFS($AW$2:$AW$201,AW54,$CF$2:$CF$201,1,$H$2:$H$201,H54,$AX$2:$AX$201,"&lt;"&amp;AX54)=0,1,0),0)</f>
        <v>0</v>
      </c>
      <c r="CH54" s="23" t="n">
        <f aca="false">IF(AND(AY54=1,P54="Y"),1,0)</f>
        <v>0</v>
      </c>
      <c r="CI54" s="23" t="n">
        <f aca="false">IF(CH54=1,IF(COUNTIFS($AW$2:$AW$201,AW54,$CH$2:$CH$201,1,$H$2:$H$201,"&lt;"&amp;H54)+COUNTIFS($AW$2:$AW$201,AW54,$CH$2:$CH$201,1,$H$2:$H$201,H54,$AX$2:$AX$201,"&lt;"&amp;AX54)=0,1,0),0)</f>
        <v>0</v>
      </c>
      <c r="CJ54" s="23" t="str">
        <f aca="false">IF(AND(BU54=1,INT(N(H54))&lt;=Config!$B$5),L54,"")</f>
        <v/>
      </c>
      <c r="CK54" s="23" t="n">
        <f aca="false">IF(AND(AY54=1,AR54="Y"),1,0)</f>
        <v>0</v>
      </c>
      <c r="CL54" s="23" t="n">
        <f aca="false">IF(CK54=1,IF(COUNTIFS($AW$2:$AW$201,AW54,$CK$2:$CK$201,1,$H$2:$H$201,"&lt;"&amp;H54)+COUNTIFS($AW$2:$AW$201,AW54,$CK$2:$CK$201,1,$H$2:$H$201,H54,$AX$2:$AX$201,"&lt;"&amp;AX54)=0,1,0),0)</f>
        <v>0</v>
      </c>
      <c r="CM54" s="23" t="str">
        <f aca="false">IF(AY54=1,IFERROR(MATCH($A54,INDEX(Clay_Brands!$A$2:$FZ$601,0,Sync!$D$5),0),""),"")</f>
        <v/>
      </c>
      <c r="CN54" s="23" t="str">
        <f aca="false">IF(CM54="","",IFERROR(INDEX(Clay_Brands!$A$2:$FZ$601,CM54,Sync!$D$7)&amp;"",""))</f>
        <v/>
      </c>
      <c r="CO54" s="23" t="str">
        <f aca="false">IF(CN54="","",IFERROR(INDEX(Lists!$K$2:$K$15,MATCH(CN54,Lists!$J$2:$J$15,0)),""))</f>
        <v/>
      </c>
      <c r="CP54" s="23" t="str">
        <f aca="false">IF(CM54="","",IFERROR(INDEX(Clay_Brands!$A$2:$FZ$601,CM54,Sync!$D$17)&amp;"",""))</f>
        <v/>
      </c>
      <c r="CQ54" s="35" t="str">
        <f aca="false">IF(CM54="","",IFERROR(N(INDEX(Clay_Brands!$A$2:$FZ$601,CM54,Sync!$D$16)),0))</f>
        <v/>
      </c>
      <c r="CR54" s="23" t="n">
        <f aca="false">IF(AND(AY54=1,OR(O54="N",AND(OR(ISNUMBER(R54),ISNUMBER(V54)),MAX(N(R54),N(V54))&lt;Config!$B$14))),1,0)</f>
        <v>0</v>
      </c>
      <c r="CS54" s="23" t="n">
        <f aca="false">IF(OR(BB54=1,CR54=1),1,0)</f>
        <v>0</v>
      </c>
      <c r="CT54" s="23" t="n">
        <f aca="false">IF(AND(AY54=1,OR(AN54="Y",AN54="N",AN54="maybe")),1,0)</f>
        <v>0</v>
      </c>
      <c r="CU54" s="23" t="n">
        <f aca="false">IF(AND(CT54=1),IF(COUNTIFS($A$2:$A$201,$A54,$CT$2:$CT$201,1,$H$2:$H$201,"&gt;"&amp;H54)+COUNTIFS($A$2:$A$201,$A54,$CT$2:$CT$201,1,$H$2:$H$201,H54,$AX$2:$AX$201,"&gt;"&amp;AX54)=0,1,0),0)</f>
        <v>0</v>
      </c>
      <c r="CV54" s="23" t="n">
        <f aca="false">IF(AND(CS54=1,INT(N(H54))&lt;=Config!$B$6),IF(COUNTIFS($AW$2:$AW$201,AW54,$CS$2:$CS$201,1,$H$2:$H$201,"&gt;"&amp;H54,$H$2:$H$201,"&lt;"&amp;(Config!$B$6+1))+COUNTIFS($AW$2:$AW$201,AW54,$CS$2:$CS$201,1,$H$2:$H$201,H54,$AX$2:$AX$201,"&gt;"&amp;AX54)=0,1,0),0)</f>
        <v>0</v>
      </c>
      <c r="CW54" s="23" t="n">
        <f aca="false">IF(AND(CS54=1,INT(N(H54))&lt;=Config!$B$7),IF(COUNTIFS($AW$2:$AW$201,AW54,$CS$2:$CS$201,1,$H$2:$H$201,"&gt;"&amp;H54,$H$2:$H$201,"&lt;"&amp;(Config!$B$7+1))+COUNTIFS($AW$2:$AW$201,AW54,$CS$2:$CS$201,1,$H$2:$H$201,H54,$AX$2:$AX$201,"&gt;"&amp;AX54)=0,1,0),0)</f>
        <v>0</v>
      </c>
      <c r="CX54" s="23" t="n">
        <f aca="false">IF(AND(CS54=1,INT(N(H54))&lt;=Config!$B$8),IF(COUNTIFS($AW$2:$AW$201,AW54,$CS$2:$CS$201,1,$H$2:$H$201,"&gt;"&amp;H54,$H$2:$H$201,"&lt;"&amp;(Config!$B$8+1))+COUNTIFS($AW$2:$AW$201,AW54,$CS$2:$CS$201,1,$H$2:$H$201,H54,$AX$2:$AX$201,"&gt;"&amp;AX54)=0,1,0),0)</f>
        <v>0</v>
      </c>
      <c r="CY54" s="23" t="n">
        <f aca="false">IF(AND(CS54=1,INT(N(H54))&lt;=Config!$B$5),IF(COUNTIFS($AW$2:$AW$201,AW54,$CS$2:$CS$201,1,$H$2:$H$201,"&gt;"&amp;H54,$H$2:$H$201,"&lt;"&amp;(Config!$B$5+1))+COUNTIFS($AW$2:$AW$201,AW54,$CS$2:$CS$201,1,$H$2:$H$201,H54,$AX$2:$AX$201,"&gt;"&amp;AX54)=0,1,0),0)</f>
        <v>0</v>
      </c>
      <c r="CZ54" s="23" t="n">
        <f aca="false">IF(AY54=1,IF(COUNTIFS($AW$2:$AW$201,AW54,$CV$2:$CV$201,1,$BB$2:$BB$201,1)&gt;0,1,0),0)</f>
        <v>0</v>
      </c>
      <c r="DA54" s="23" t="n">
        <f aca="false">IF(AY54=1,IF(COUNTIFS($AW$2:$AW$201,AW54,$CW$2:$CW$201,1,$BB$2:$BB$201,1)&gt;0,1,0),0)</f>
        <v>0</v>
      </c>
      <c r="DB54" s="23" t="n">
        <f aca="false">IF(AY54=1,IF(COUNTIFS($AW$2:$AW$201,AW54,$CX$2:$CX$201,1,$BB$2:$BB$201,1)&gt;0,1,0),0)</f>
        <v>0</v>
      </c>
      <c r="DC54" s="23" t="n">
        <f aca="false">IF(AY54=1,IF(COUNTIFS($AW$2:$AW$201,AW54,$CY$2:$CY$201,1,$BB$2:$BB$201,1)&gt;0,1,0),0)</f>
        <v>0</v>
      </c>
      <c r="DD54" s="23" t="n">
        <f aca="false">IF(AND(BC54=1,INT(N(H54))&lt;=Config!$B$6,CZ54=1),1,0)</f>
        <v>0</v>
      </c>
      <c r="DE54" s="23" t="n">
        <f aca="false">IF(AND(BC54=1,INT(N(H54))&lt;=Config!$B$7,DA54=1),1,0)</f>
        <v>0</v>
      </c>
      <c r="DF54" s="23" t="n">
        <f aca="false">IF(AND(BC54=1,INT(N(H54))&lt;=Config!$B$8,DB54=1),1,0)</f>
        <v>0</v>
      </c>
      <c r="DG54" s="23" t="n">
        <f aca="false">IF(AND(BC54=1,INT(N(H54))&lt;=Config!$B$5,DC54=1),1,0)</f>
        <v>0</v>
      </c>
      <c r="DH54" s="23" t="n">
        <f aca="false">IF(AND(BE54=1,INT(N(H54))&lt;=Config!$B$6,CZ54=1),1,0)</f>
        <v>0</v>
      </c>
      <c r="DI54" s="23" t="n">
        <f aca="false">IF(AND(BE54=1,INT(N(H54))&lt;=Config!$B$7,DA54=1),1,0)</f>
        <v>0</v>
      </c>
      <c r="DJ54" s="23" t="n">
        <f aca="false">IF(AND(BE54=1,INT(N(H54))&lt;=Config!$B$8,DB54=1),1,0)</f>
        <v>0</v>
      </c>
      <c r="DK54" s="23" t="n">
        <f aca="false">IF(AND(BE54=1,INT(N(H54))&lt;=Config!$B$5,DC54=1),1,0)</f>
        <v>0</v>
      </c>
      <c r="DL54" s="23" t="n">
        <f aca="false">IF(AND(BC54=1,INT(N(H54))&lt;=Config!$B$6,CZ54=0),1,0)</f>
        <v>0</v>
      </c>
      <c r="DM54" s="23" t="n">
        <f aca="false">IF(AND(BC54=1,INT(N(H54))&lt;=Config!$B$7,DA54=0),1,0)</f>
        <v>0</v>
      </c>
      <c r="DN54" s="23" t="n">
        <f aca="false">IF(AND(BC54=1,INT(N(H54))&lt;=Config!$B$8,DB54=0),1,0)</f>
        <v>0</v>
      </c>
      <c r="DO54" s="23" t="n">
        <f aca="false">IF(AND(BC54=1,INT(N(H54))&lt;=Config!$B$5,DC54=0),1,0)</f>
        <v>0</v>
      </c>
      <c r="DP54" s="23" t="n">
        <f aca="false">IF(TRIM($A54)="",0,ISTEXT(K54)+ISTEXT(L54)+ISTEXT(R54)+ISTEXT(V54)+ISTEXT(AP54)+ISTEXT(AS54))</f>
        <v>0</v>
      </c>
      <c r="DQ54" s="23" t="n">
        <f aca="false">IF(AY54=1,IF(H54&lt;&gt;INT(H54),1,0),0)</f>
        <v>0</v>
      </c>
      <c r="DR54" s="23" t="str">
        <f aca="false">IF(TRIM($A54)="","",IF(TRIM(B54)="",SUBSTITUTE(SUBSTITUTE(SUBSTITUTE(SUBSTITUTE(SUBSTITUTE(SUBSTITUTE(LOWER(TRIM($A54)),"~",""),"*",""),"?",""),"&lt;",""),"&gt;",""),"=",""),SUBSTITUTE(SUBSTITUTE(SUBSTITUTE(SUBSTITUTE(SUBSTITUTE(SUBSTITUTE(LOWER(TRIM(B54)),"~",""),"*",""),"?",""),"&lt;",""),"&gt;",""),"=","")))</f>
        <v/>
      </c>
      <c r="DS54" s="23" t="str">
        <f aca="false">IF(CM54="","",IFERROR(IF(LEFT(LOWER(TRIM(INDEX(Clay_Brands!$A$2:$FZ$601,CM54,Sync!$D$19)&amp;"")),4)="grp-",SUBSTITUTE(SUBSTITUTE(SUBSTITUTE(SUBSTITUTE(SUBSTITUTE(SUBSTITUTE(LOWER(TRIM(INDEX(Clay_Brands!$A$2:$FZ$601,CM54,Sync!$D$19)&amp;"")),"~",""),"*",""),"?",""),"&lt;",""),"&gt;",""),"=",""),""),""))</f>
        <v/>
      </c>
      <c r="DT54" s="23" t="str">
        <f aca="false">IF(DS54&lt;&gt;"",DR54,"")</f>
        <v/>
      </c>
      <c r="DU54" s="23" t="str">
        <f aca="false">IF(AZ54=1,AW54,"")</f>
        <v/>
      </c>
      <c r="DV54" s="23" t="str">
        <f aca="false">IF(TRIM($A54)="","",IFERROR(INDEX($A$2:$A$201,MATCH(AW54,$DU$2:$DU$201,0))&amp;"",$A54&amp;""))</f>
        <v/>
      </c>
      <c r="DW54" s="23" t="n">
        <f aca="false">IF(AY54=1,IF(COUNTIFS($A$2:$A$201,$A54,$AY$2:$AY$201,1,$H$2:$H$201,"&lt;"&amp;H54)+COUNTIFS($A$2:$A$201,$A54,$AY$2:$AY$201,1,$H$2:$H$201,H54,$AX$2:$AX$201,"&lt;"&amp;AX54)=0,1,0),0)</f>
        <v>0</v>
      </c>
      <c r="DX54" s="23" t="n">
        <f aca="false">IF(AZ54=1,IF(COUNTIFS($AW$2:$AW$201,AW54,$DW$2:$DW$201,1)&gt;1,1,0),0)</f>
        <v>0</v>
      </c>
    </row>
    <row r="55" customFormat="false" ht="15" hidden="false" customHeight="false" outlineLevel="0" collapsed="false">
      <c r="G55" s="32"/>
      <c r="H55" s="33"/>
      <c r="I55" s="32"/>
      <c r="O55" s="32"/>
      <c r="P55" s="32"/>
      <c r="U55" s="32"/>
      <c r="Y55" s="32"/>
      <c r="AB55" s="32"/>
      <c r="AC55" s="32"/>
      <c r="AD55" s="32"/>
      <c r="AE55" s="32"/>
      <c r="AF55" s="32"/>
      <c r="AG55" s="32"/>
      <c r="AI55" s="32"/>
      <c r="AJ55" s="32"/>
      <c r="AK55" s="32"/>
      <c r="AN55" s="32"/>
      <c r="AO55" s="32"/>
      <c r="AR55" s="32"/>
      <c r="AT55" s="32"/>
      <c r="AV55" s="34" t="str">
        <f aca="false">IF(TRIM($A55)="","",IF(AND(LEFT($A55,6)="SAMPLE",Config!$B$19&lt;&gt;"Y"),"",IF(NOT(ISNUMBER(H55)),"call_date is blank or not a date",IF(Sync!$D$5="","Clay paste is empty or has no row_id column: paste the Clay export on Clay_Brands",IF(CM55="","row_id not found in the Clay paste: add the Clay row or fix the row_id",IF(AND(ISNUMBER(CO55),CO55&gt;=1,CO55&lt;=5),"Clay status is "&amp;CN55&amp;": set call_done or later",IF(AND(BA55=1,CP55&lt;&gt;CB55),"Clay yes_in_principle should be "&amp;CB55,IF(AND(BA55=1,CQ55&lt;&gt;H55),"Clay call_date should be "&amp;TEXT(H55,"yyyy-mm-dd"),""))))))))</f>
        <v/>
      </c>
      <c r="AW55" s="23" t="str">
        <f aca="false">IF(TRIM($A55)="","",IF(TRIM(C55)&lt;&gt;"",SUBSTITUTE(SUBSTITUTE(SUBSTITUTE(SUBSTITUTE(SUBSTITUTE(SUBSTITUTE(LOWER(TRIM(C55)),"~",""),"*",""),"?",""),"&lt;",""),"&gt;",""),"=",""),IF(DS55&lt;&gt;"",DS55,IFERROR(INDEX($DS$2:$DS$201,MATCH(DR55,$DT$2:$DT$201,0)),DR55))))</f>
        <v/>
      </c>
      <c r="AX55" s="23" t="n">
        <f aca="false">ROW()</f>
        <v>55</v>
      </c>
      <c r="AY55" s="23" t="n">
        <f aca="false">IF(AND(TRIM($A55)&lt;&gt;"",ISNUMBER(H55)),IF(AND(LEFT($A55,6)="SAMPLE",Config!$B$19&lt;&gt;"Y"),0,1),0)</f>
        <v>0</v>
      </c>
      <c r="AZ55" s="23" t="n">
        <f aca="false">IF(AY55=1,IF(COUNTIFS($AW$2:$AW$201,AW55,$AY$2:$AY$201,1,$H$2:$H$201,"&lt;"&amp;H55)+COUNTIFS($AW$2:$AW$201,AW55,$AY$2:$AY$201,1,$H$2:$H$201,H55,$AX$2:$AX$201,"&lt;"&amp;AX55)=0,1,0),0)</f>
        <v>0</v>
      </c>
      <c r="BA55" s="23" t="n">
        <f aca="false">IF(AY55=1,IF(COUNTIFS($A$2:$A$201,$A55,$AY$2:$AY$201,1,$H$2:$H$201,"&gt;"&amp;H55)+COUNTIFS($A$2:$A$201,$A55,$AY$2:$AY$201,1,$H$2:$H$201,H55,$AX$2:$AX$201,"&gt;"&amp;AX55)=0,1,0),0)</f>
        <v>0</v>
      </c>
      <c r="BB55" s="23" t="n">
        <f aca="false">IF(AND(AY55=1,O55="Y",MAX(N(R55),N(V55))&gt;=Config!$B$14),1,0)</f>
        <v>0</v>
      </c>
      <c r="BC55" s="23" t="n">
        <f aca="false">IF(BB55=1,IF(COUNTIFS($AW$2:$AW$201,AW55,$BB$2:$BB$201,1,$H$2:$H$201,"&lt;"&amp;H55)+COUNTIFS($AW$2:$AW$201,AW55,$BB$2:$BB$201,1,$H$2:$H$201,H55,$AX$2:$AX$201,"&lt;"&amp;AX55)=0,1,0),0)</f>
        <v>0</v>
      </c>
      <c r="BD55" s="23" t="n">
        <f aca="false">IF(AND(AY55=1,O55="Y",ISNUMBER(R55)),IF(R55&gt;=Config!$B$14,1,0),0)</f>
        <v>0</v>
      </c>
      <c r="BE55" s="23" t="n">
        <f aca="false">IF(BD55=1,IF(COUNTIFS($AW$2:$AW$201,AW55,$BD$2:$BD$201,1,$H$2:$H$201,"&lt;"&amp;H55)+COUNTIFS($AW$2:$AW$201,AW55,$BD$2:$BD$201,1,$H$2:$H$201,H55,$AX$2:$AX$201,"&lt;"&amp;AX55)=0,1,0),0)</f>
        <v>0</v>
      </c>
      <c r="BF55" s="23" t="n">
        <f aca="false">IF(AND(AY55=1,O55&lt;&gt;"Y",MAX(N(R55),N(V55))&gt;=Config!$B$14),1,0)</f>
        <v>0</v>
      </c>
      <c r="BG55" s="23" t="n">
        <f aca="false">IF(BF55=1,IF(COUNTIFS($AW$2:$AW$201,AW55,$BF$2:$BF$201,1,$H$2:$H$201,"&lt;"&amp;H55)+COUNTIFS($AW$2:$AW$201,AW55,$BF$2:$BF$201,1,$H$2:$H$201,H55,$AX$2:$AX$201,"&lt;"&amp;AX55)=0,1,0),0)</f>
        <v>0</v>
      </c>
      <c r="BH55" s="23" t="n">
        <f aca="false">IF(AND(AY55=1,ISNUMBER(R55)),1,0)</f>
        <v>0</v>
      </c>
      <c r="BI55" s="23" t="n">
        <f aca="false">IF(BH55=1,IF(COUNTIFS($AW$2:$AW$201,AW55,$BH$2:$BH$201,1,$H$2:$H$201,"&lt;"&amp;H55)+COUNTIFS($AW$2:$AW$201,AW55,$BH$2:$BH$201,1,$H$2:$H$201,H55,$AX$2:$AX$201,"&lt;"&amp;AX55)=0,1,0),0)</f>
        <v>0</v>
      </c>
      <c r="BJ55" s="23" t="str">
        <f aca="false">IF(AND(BI55=1,INT(N(H55))&lt;=Config!$B$6),R55,"")</f>
        <v/>
      </c>
      <c r="BK55" s="23" t="str">
        <f aca="false">IF(AND(BI55=1,INT(N(H55))&lt;=Config!$B$7),R55,"")</f>
        <v/>
      </c>
      <c r="BL55" s="23" t="str">
        <f aca="false">IF(AND(BI55=1,INT(N(H55))&lt;=Config!$B$8),R55,"")</f>
        <v/>
      </c>
      <c r="BM55" s="23" t="str">
        <f aca="false">IF(AND(BI55=1,INT(N(H55))&lt;=Config!$B$5),R55,"")</f>
        <v/>
      </c>
      <c r="BN55" s="23" t="n">
        <f aca="false">IF(AND(AY55=1,ISNUMBER(V55)),1,0)</f>
        <v>0</v>
      </c>
      <c r="BO55" s="23" t="n">
        <f aca="false">IF(BN55=1,IF(COUNTIFS($AW$2:$AW$201,AW55,$BN$2:$BN$201,1,$H$2:$H$201,"&lt;"&amp;H55)+COUNTIFS($AW$2:$AW$201,AW55,$BN$2:$BN$201,1,$H$2:$H$201,H55,$AX$2:$AX$201,"&lt;"&amp;AX55)=0,1,0),0)</f>
        <v>0</v>
      </c>
      <c r="BP55" s="23" t="str">
        <f aca="false">IF(AND(BO55=1,INT(N(H55))&lt;=Config!$B$6),V55,"")</f>
        <v/>
      </c>
      <c r="BQ55" s="23" t="str">
        <f aca="false">IF(AND(BO55=1,INT(N(H55))&lt;=Config!$B$7),V55,"")</f>
        <v/>
      </c>
      <c r="BR55" s="23" t="str">
        <f aca="false">IF(AND(BO55=1,INT(N(H55))&lt;=Config!$B$8),V55,"")</f>
        <v/>
      </c>
      <c r="BS55" s="23" t="str">
        <f aca="false">IF(AND(BO55=1,INT(N(H55))&lt;=Config!$B$5),V55,"")</f>
        <v/>
      </c>
      <c r="BT55" s="23" t="n">
        <f aca="false">IF(AND(AY55=1,ISNUMBER(K55)),1,0)</f>
        <v>0</v>
      </c>
      <c r="BU55" s="23" t="n">
        <f aca="false">IF(BT55=1,IF(COUNTIFS($AW$2:$AW$201,AW55,$BT$2:$BT$201,1,$H$2:$H$201,"&lt;"&amp;H55)+COUNTIFS($AW$2:$AW$201,AW55,$BT$2:$BT$201,1,$H$2:$H$201,H55,$AX$2:$AX$201,"&lt;"&amp;AX55)=0,1,0),0)</f>
        <v>0</v>
      </c>
      <c r="BV55" s="23" t="str">
        <f aca="false">IF(AND(BU55=1,INT(N(H55))&lt;=Config!$B$5),K55,"")</f>
        <v/>
      </c>
      <c r="BW55" s="23" t="n">
        <f aca="false">IF(AND(AY55=1,OR(AND(ISNUMBER(R55),TRIM(S55)=""),AND(ISNUMBER(V55),TRIM(W55)=""))),1,0)</f>
        <v>0</v>
      </c>
      <c r="BX55" s="23" t="str">
        <f aca="false">IF(AY55=1,AJ55&amp;"","")</f>
        <v/>
      </c>
      <c r="BY55" s="23" t="str">
        <f aca="false">IF(AY55=1,AK55&amp;"","")</f>
        <v/>
      </c>
      <c r="BZ55" s="23" t="str">
        <f aca="false">IF(AY55=1,AL55&amp;"","")</f>
        <v/>
      </c>
      <c r="CA55" s="23" t="str">
        <f aca="false">IF(AND(AY55=1,ISNUMBER(AS55),INT(N(H55))&lt;=Config!$B$5),AS55,"")</f>
        <v/>
      </c>
      <c r="CB55" s="23" t="str">
        <f aca="false">IF(AY55=1,IF(COUNTIFS($A$2:$A$201,$A55,$CU$2:$CU$201,1,$AN$2:$AN$201,"Y")&gt;0,"Y","N"),"")</f>
        <v/>
      </c>
      <c r="CC55" s="23" t="n">
        <f aca="false">IF(AND(AY55=1,AN55="Y"),IF(COUNTIFS($AW$2:$AW$201,AW55,$AN$2:$AN$201,"Y",$AY$2:$AY$201,1,$H$2:$H$201,"&lt;"&amp;H55)+COUNTIFS($AW$2:$AW$201,AW55,$AN$2:$AN$201,"Y",$AY$2:$AY$201,1,$H$2:$H$201,H55,$AX$2:$AX$201,"&lt;"&amp;AX55)=0,1,0),0)</f>
        <v>0</v>
      </c>
      <c r="CD55" s="23" t="n">
        <f aca="false">IF(AND(AY55=1,AB55="Y",AC55="Y",AD55="Y",AE55="Y",AF55="Y",AG55="Y",AI55="Y",TRIM(AH55)&lt;&gt;""),1,0)</f>
        <v>0</v>
      </c>
      <c r="CE55" s="23" t="n">
        <f aca="false">IF(CD55=1,IF(COUNTIFS($AW$2:$AW$201,AW55,$CD$2:$CD$201,1,$H$2:$H$201,"&lt;"&amp;H55)+COUNTIFS($AW$2:$AW$201,AW55,$CD$2:$CD$201,1,$H$2:$H$201,H55,$AX$2:$AX$201,"&lt;"&amp;AX55)=0,1,0),0)</f>
        <v>0</v>
      </c>
      <c r="CF55" s="23" t="n">
        <f aca="false">IF(AND(AY55=1,AO55="Y"),1,0)</f>
        <v>0</v>
      </c>
      <c r="CG55" s="23" t="n">
        <f aca="false">IF(CF55=1,IF(COUNTIFS($AW$2:$AW$201,AW55,$CF$2:$CF$201,1,$H$2:$H$201,"&lt;"&amp;H55)+COUNTIFS($AW$2:$AW$201,AW55,$CF$2:$CF$201,1,$H$2:$H$201,H55,$AX$2:$AX$201,"&lt;"&amp;AX55)=0,1,0),0)</f>
        <v>0</v>
      </c>
      <c r="CH55" s="23" t="n">
        <f aca="false">IF(AND(AY55=1,P55="Y"),1,0)</f>
        <v>0</v>
      </c>
      <c r="CI55" s="23" t="n">
        <f aca="false">IF(CH55=1,IF(COUNTIFS($AW$2:$AW$201,AW55,$CH$2:$CH$201,1,$H$2:$H$201,"&lt;"&amp;H55)+COUNTIFS($AW$2:$AW$201,AW55,$CH$2:$CH$201,1,$H$2:$H$201,H55,$AX$2:$AX$201,"&lt;"&amp;AX55)=0,1,0),0)</f>
        <v>0</v>
      </c>
      <c r="CJ55" s="23" t="str">
        <f aca="false">IF(AND(BU55=1,INT(N(H55))&lt;=Config!$B$5),L55,"")</f>
        <v/>
      </c>
      <c r="CK55" s="23" t="n">
        <f aca="false">IF(AND(AY55=1,AR55="Y"),1,0)</f>
        <v>0</v>
      </c>
      <c r="CL55" s="23" t="n">
        <f aca="false">IF(CK55=1,IF(COUNTIFS($AW$2:$AW$201,AW55,$CK$2:$CK$201,1,$H$2:$H$201,"&lt;"&amp;H55)+COUNTIFS($AW$2:$AW$201,AW55,$CK$2:$CK$201,1,$H$2:$H$201,H55,$AX$2:$AX$201,"&lt;"&amp;AX55)=0,1,0),0)</f>
        <v>0</v>
      </c>
      <c r="CM55" s="23" t="str">
        <f aca="false">IF(AY55=1,IFERROR(MATCH($A55,INDEX(Clay_Brands!$A$2:$FZ$601,0,Sync!$D$5),0),""),"")</f>
        <v/>
      </c>
      <c r="CN55" s="23" t="str">
        <f aca="false">IF(CM55="","",IFERROR(INDEX(Clay_Brands!$A$2:$FZ$601,CM55,Sync!$D$7)&amp;"",""))</f>
        <v/>
      </c>
      <c r="CO55" s="23" t="str">
        <f aca="false">IF(CN55="","",IFERROR(INDEX(Lists!$K$2:$K$15,MATCH(CN55,Lists!$J$2:$J$15,0)),""))</f>
        <v/>
      </c>
      <c r="CP55" s="23" t="str">
        <f aca="false">IF(CM55="","",IFERROR(INDEX(Clay_Brands!$A$2:$FZ$601,CM55,Sync!$D$17)&amp;"",""))</f>
        <v/>
      </c>
      <c r="CQ55" s="35" t="str">
        <f aca="false">IF(CM55="","",IFERROR(N(INDEX(Clay_Brands!$A$2:$FZ$601,CM55,Sync!$D$16)),0))</f>
        <v/>
      </c>
      <c r="CR55" s="23" t="n">
        <f aca="false">IF(AND(AY55=1,OR(O55="N",AND(OR(ISNUMBER(R55),ISNUMBER(V55)),MAX(N(R55),N(V55))&lt;Config!$B$14))),1,0)</f>
        <v>0</v>
      </c>
      <c r="CS55" s="23" t="n">
        <f aca="false">IF(OR(BB55=1,CR55=1),1,0)</f>
        <v>0</v>
      </c>
      <c r="CT55" s="23" t="n">
        <f aca="false">IF(AND(AY55=1,OR(AN55="Y",AN55="N",AN55="maybe")),1,0)</f>
        <v>0</v>
      </c>
      <c r="CU55" s="23" t="n">
        <f aca="false">IF(AND(CT55=1),IF(COUNTIFS($A$2:$A$201,$A55,$CT$2:$CT$201,1,$H$2:$H$201,"&gt;"&amp;H55)+COUNTIFS($A$2:$A$201,$A55,$CT$2:$CT$201,1,$H$2:$H$201,H55,$AX$2:$AX$201,"&gt;"&amp;AX55)=0,1,0),0)</f>
        <v>0</v>
      </c>
      <c r="CV55" s="23" t="n">
        <f aca="false">IF(AND(CS55=1,INT(N(H55))&lt;=Config!$B$6),IF(COUNTIFS($AW$2:$AW$201,AW55,$CS$2:$CS$201,1,$H$2:$H$201,"&gt;"&amp;H55,$H$2:$H$201,"&lt;"&amp;(Config!$B$6+1))+COUNTIFS($AW$2:$AW$201,AW55,$CS$2:$CS$201,1,$H$2:$H$201,H55,$AX$2:$AX$201,"&gt;"&amp;AX55)=0,1,0),0)</f>
        <v>0</v>
      </c>
      <c r="CW55" s="23" t="n">
        <f aca="false">IF(AND(CS55=1,INT(N(H55))&lt;=Config!$B$7),IF(COUNTIFS($AW$2:$AW$201,AW55,$CS$2:$CS$201,1,$H$2:$H$201,"&gt;"&amp;H55,$H$2:$H$201,"&lt;"&amp;(Config!$B$7+1))+COUNTIFS($AW$2:$AW$201,AW55,$CS$2:$CS$201,1,$H$2:$H$201,H55,$AX$2:$AX$201,"&gt;"&amp;AX55)=0,1,0),0)</f>
        <v>0</v>
      </c>
      <c r="CX55" s="23" t="n">
        <f aca="false">IF(AND(CS55=1,INT(N(H55))&lt;=Config!$B$8),IF(COUNTIFS($AW$2:$AW$201,AW55,$CS$2:$CS$201,1,$H$2:$H$201,"&gt;"&amp;H55,$H$2:$H$201,"&lt;"&amp;(Config!$B$8+1))+COUNTIFS($AW$2:$AW$201,AW55,$CS$2:$CS$201,1,$H$2:$H$201,H55,$AX$2:$AX$201,"&gt;"&amp;AX55)=0,1,0),0)</f>
        <v>0</v>
      </c>
      <c r="CY55" s="23" t="n">
        <f aca="false">IF(AND(CS55=1,INT(N(H55))&lt;=Config!$B$5),IF(COUNTIFS($AW$2:$AW$201,AW55,$CS$2:$CS$201,1,$H$2:$H$201,"&gt;"&amp;H55,$H$2:$H$201,"&lt;"&amp;(Config!$B$5+1))+COUNTIFS($AW$2:$AW$201,AW55,$CS$2:$CS$201,1,$H$2:$H$201,H55,$AX$2:$AX$201,"&gt;"&amp;AX55)=0,1,0),0)</f>
        <v>0</v>
      </c>
      <c r="CZ55" s="23" t="n">
        <f aca="false">IF(AY55=1,IF(COUNTIFS($AW$2:$AW$201,AW55,$CV$2:$CV$201,1,$BB$2:$BB$201,1)&gt;0,1,0),0)</f>
        <v>0</v>
      </c>
      <c r="DA55" s="23" t="n">
        <f aca="false">IF(AY55=1,IF(COUNTIFS($AW$2:$AW$201,AW55,$CW$2:$CW$201,1,$BB$2:$BB$201,1)&gt;0,1,0),0)</f>
        <v>0</v>
      </c>
      <c r="DB55" s="23" t="n">
        <f aca="false">IF(AY55=1,IF(COUNTIFS($AW$2:$AW$201,AW55,$CX$2:$CX$201,1,$BB$2:$BB$201,1)&gt;0,1,0),0)</f>
        <v>0</v>
      </c>
      <c r="DC55" s="23" t="n">
        <f aca="false">IF(AY55=1,IF(COUNTIFS($AW$2:$AW$201,AW55,$CY$2:$CY$201,1,$BB$2:$BB$201,1)&gt;0,1,0),0)</f>
        <v>0</v>
      </c>
      <c r="DD55" s="23" t="n">
        <f aca="false">IF(AND(BC55=1,INT(N(H55))&lt;=Config!$B$6,CZ55=1),1,0)</f>
        <v>0</v>
      </c>
      <c r="DE55" s="23" t="n">
        <f aca="false">IF(AND(BC55=1,INT(N(H55))&lt;=Config!$B$7,DA55=1),1,0)</f>
        <v>0</v>
      </c>
      <c r="DF55" s="23" t="n">
        <f aca="false">IF(AND(BC55=1,INT(N(H55))&lt;=Config!$B$8,DB55=1),1,0)</f>
        <v>0</v>
      </c>
      <c r="DG55" s="23" t="n">
        <f aca="false">IF(AND(BC55=1,INT(N(H55))&lt;=Config!$B$5,DC55=1),1,0)</f>
        <v>0</v>
      </c>
      <c r="DH55" s="23" t="n">
        <f aca="false">IF(AND(BE55=1,INT(N(H55))&lt;=Config!$B$6,CZ55=1),1,0)</f>
        <v>0</v>
      </c>
      <c r="DI55" s="23" t="n">
        <f aca="false">IF(AND(BE55=1,INT(N(H55))&lt;=Config!$B$7,DA55=1),1,0)</f>
        <v>0</v>
      </c>
      <c r="DJ55" s="23" t="n">
        <f aca="false">IF(AND(BE55=1,INT(N(H55))&lt;=Config!$B$8,DB55=1),1,0)</f>
        <v>0</v>
      </c>
      <c r="DK55" s="23" t="n">
        <f aca="false">IF(AND(BE55=1,INT(N(H55))&lt;=Config!$B$5,DC55=1),1,0)</f>
        <v>0</v>
      </c>
      <c r="DL55" s="23" t="n">
        <f aca="false">IF(AND(BC55=1,INT(N(H55))&lt;=Config!$B$6,CZ55=0),1,0)</f>
        <v>0</v>
      </c>
      <c r="DM55" s="23" t="n">
        <f aca="false">IF(AND(BC55=1,INT(N(H55))&lt;=Config!$B$7,DA55=0),1,0)</f>
        <v>0</v>
      </c>
      <c r="DN55" s="23" t="n">
        <f aca="false">IF(AND(BC55=1,INT(N(H55))&lt;=Config!$B$8,DB55=0),1,0)</f>
        <v>0</v>
      </c>
      <c r="DO55" s="23" t="n">
        <f aca="false">IF(AND(BC55=1,INT(N(H55))&lt;=Config!$B$5,DC55=0),1,0)</f>
        <v>0</v>
      </c>
      <c r="DP55" s="23" t="n">
        <f aca="false">IF(TRIM($A55)="",0,ISTEXT(K55)+ISTEXT(L55)+ISTEXT(R55)+ISTEXT(V55)+ISTEXT(AP55)+ISTEXT(AS55))</f>
        <v>0</v>
      </c>
      <c r="DQ55" s="23" t="n">
        <f aca="false">IF(AY55=1,IF(H55&lt;&gt;INT(H55),1,0),0)</f>
        <v>0</v>
      </c>
      <c r="DR55" s="23" t="str">
        <f aca="false">IF(TRIM($A55)="","",IF(TRIM(B55)="",SUBSTITUTE(SUBSTITUTE(SUBSTITUTE(SUBSTITUTE(SUBSTITUTE(SUBSTITUTE(LOWER(TRIM($A55)),"~",""),"*",""),"?",""),"&lt;",""),"&gt;",""),"=",""),SUBSTITUTE(SUBSTITUTE(SUBSTITUTE(SUBSTITUTE(SUBSTITUTE(SUBSTITUTE(LOWER(TRIM(B55)),"~",""),"*",""),"?",""),"&lt;",""),"&gt;",""),"=","")))</f>
        <v/>
      </c>
      <c r="DS55" s="23" t="str">
        <f aca="false">IF(CM55="","",IFERROR(IF(LEFT(LOWER(TRIM(INDEX(Clay_Brands!$A$2:$FZ$601,CM55,Sync!$D$19)&amp;"")),4)="grp-",SUBSTITUTE(SUBSTITUTE(SUBSTITUTE(SUBSTITUTE(SUBSTITUTE(SUBSTITUTE(LOWER(TRIM(INDEX(Clay_Brands!$A$2:$FZ$601,CM55,Sync!$D$19)&amp;"")),"~",""),"*",""),"?",""),"&lt;",""),"&gt;",""),"=",""),""),""))</f>
        <v/>
      </c>
      <c r="DT55" s="23" t="str">
        <f aca="false">IF(DS55&lt;&gt;"",DR55,"")</f>
        <v/>
      </c>
      <c r="DU55" s="23" t="str">
        <f aca="false">IF(AZ55=1,AW55,"")</f>
        <v/>
      </c>
      <c r="DV55" s="23" t="str">
        <f aca="false">IF(TRIM($A55)="","",IFERROR(INDEX($A$2:$A$201,MATCH(AW55,$DU$2:$DU$201,0))&amp;"",$A55&amp;""))</f>
        <v/>
      </c>
      <c r="DW55" s="23" t="n">
        <f aca="false">IF(AY55=1,IF(COUNTIFS($A$2:$A$201,$A55,$AY$2:$AY$201,1,$H$2:$H$201,"&lt;"&amp;H55)+COUNTIFS($A$2:$A$201,$A55,$AY$2:$AY$201,1,$H$2:$H$201,H55,$AX$2:$AX$201,"&lt;"&amp;AX55)=0,1,0),0)</f>
        <v>0</v>
      </c>
      <c r="DX55" s="23" t="n">
        <f aca="false">IF(AZ55=1,IF(COUNTIFS($AW$2:$AW$201,AW55,$DW$2:$DW$201,1)&gt;1,1,0),0)</f>
        <v>0</v>
      </c>
    </row>
    <row r="56" customFormat="false" ht="15" hidden="false" customHeight="false" outlineLevel="0" collapsed="false">
      <c r="G56" s="32"/>
      <c r="H56" s="33"/>
      <c r="I56" s="32"/>
      <c r="O56" s="32"/>
      <c r="P56" s="32"/>
      <c r="U56" s="32"/>
      <c r="Y56" s="32"/>
      <c r="AB56" s="32"/>
      <c r="AC56" s="32"/>
      <c r="AD56" s="32"/>
      <c r="AE56" s="32"/>
      <c r="AF56" s="32"/>
      <c r="AG56" s="32"/>
      <c r="AI56" s="32"/>
      <c r="AJ56" s="32"/>
      <c r="AK56" s="32"/>
      <c r="AN56" s="32"/>
      <c r="AO56" s="32"/>
      <c r="AR56" s="32"/>
      <c r="AT56" s="32"/>
      <c r="AV56" s="34" t="str">
        <f aca="false">IF(TRIM($A56)="","",IF(AND(LEFT($A56,6)="SAMPLE",Config!$B$19&lt;&gt;"Y"),"",IF(NOT(ISNUMBER(H56)),"call_date is blank or not a date",IF(Sync!$D$5="","Clay paste is empty or has no row_id column: paste the Clay export on Clay_Brands",IF(CM56="","row_id not found in the Clay paste: add the Clay row or fix the row_id",IF(AND(ISNUMBER(CO56),CO56&gt;=1,CO56&lt;=5),"Clay status is "&amp;CN56&amp;": set call_done or later",IF(AND(BA56=1,CP56&lt;&gt;CB56),"Clay yes_in_principle should be "&amp;CB56,IF(AND(BA56=1,CQ56&lt;&gt;H56),"Clay call_date should be "&amp;TEXT(H56,"yyyy-mm-dd"),""))))))))</f>
        <v/>
      </c>
      <c r="AW56" s="23" t="str">
        <f aca="false">IF(TRIM($A56)="","",IF(TRIM(C56)&lt;&gt;"",SUBSTITUTE(SUBSTITUTE(SUBSTITUTE(SUBSTITUTE(SUBSTITUTE(SUBSTITUTE(LOWER(TRIM(C56)),"~",""),"*",""),"?",""),"&lt;",""),"&gt;",""),"=",""),IF(DS56&lt;&gt;"",DS56,IFERROR(INDEX($DS$2:$DS$201,MATCH(DR56,$DT$2:$DT$201,0)),DR56))))</f>
        <v/>
      </c>
      <c r="AX56" s="23" t="n">
        <f aca="false">ROW()</f>
        <v>56</v>
      </c>
      <c r="AY56" s="23" t="n">
        <f aca="false">IF(AND(TRIM($A56)&lt;&gt;"",ISNUMBER(H56)),IF(AND(LEFT($A56,6)="SAMPLE",Config!$B$19&lt;&gt;"Y"),0,1),0)</f>
        <v>0</v>
      </c>
      <c r="AZ56" s="23" t="n">
        <f aca="false">IF(AY56=1,IF(COUNTIFS($AW$2:$AW$201,AW56,$AY$2:$AY$201,1,$H$2:$H$201,"&lt;"&amp;H56)+COUNTIFS($AW$2:$AW$201,AW56,$AY$2:$AY$201,1,$H$2:$H$201,H56,$AX$2:$AX$201,"&lt;"&amp;AX56)=0,1,0),0)</f>
        <v>0</v>
      </c>
      <c r="BA56" s="23" t="n">
        <f aca="false">IF(AY56=1,IF(COUNTIFS($A$2:$A$201,$A56,$AY$2:$AY$201,1,$H$2:$H$201,"&gt;"&amp;H56)+COUNTIFS($A$2:$A$201,$A56,$AY$2:$AY$201,1,$H$2:$H$201,H56,$AX$2:$AX$201,"&gt;"&amp;AX56)=0,1,0),0)</f>
        <v>0</v>
      </c>
      <c r="BB56" s="23" t="n">
        <f aca="false">IF(AND(AY56=1,O56="Y",MAX(N(R56),N(V56))&gt;=Config!$B$14),1,0)</f>
        <v>0</v>
      </c>
      <c r="BC56" s="23" t="n">
        <f aca="false">IF(BB56=1,IF(COUNTIFS($AW$2:$AW$201,AW56,$BB$2:$BB$201,1,$H$2:$H$201,"&lt;"&amp;H56)+COUNTIFS($AW$2:$AW$201,AW56,$BB$2:$BB$201,1,$H$2:$H$201,H56,$AX$2:$AX$201,"&lt;"&amp;AX56)=0,1,0),0)</f>
        <v>0</v>
      </c>
      <c r="BD56" s="23" t="n">
        <f aca="false">IF(AND(AY56=1,O56="Y",ISNUMBER(R56)),IF(R56&gt;=Config!$B$14,1,0),0)</f>
        <v>0</v>
      </c>
      <c r="BE56" s="23" t="n">
        <f aca="false">IF(BD56=1,IF(COUNTIFS($AW$2:$AW$201,AW56,$BD$2:$BD$201,1,$H$2:$H$201,"&lt;"&amp;H56)+COUNTIFS($AW$2:$AW$201,AW56,$BD$2:$BD$201,1,$H$2:$H$201,H56,$AX$2:$AX$201,"&lt;"&amp;AX56)=0,1,0),0)</f>
        <v>0</v>
      </c>
      <c r="BF56" s="23" t="n">
        <f aca="false">IF(AND(AY56=1,O56&lt;&gt;"Y",MAX(N(R56),N(V56))&gt;=Config!$B$14),1,0)</f>
        <v>0</v>
      </c>
      <c r="BG56" s="23" t="n">
        <f aca="false">IF(BF56=1,IF(COUNTIFS($AW$2:$AW$201,AW56,$BF$2:$BF$201,1,$H$2:$H$201,"&lt;"&amp;H56)+COUNTIFS($AW$2:$AW$201,AW56,$BF$2:$BF$201,1,$H$2:$H$201,H56,$AX$2:$AX$201,"&lt;"&amp;AX56)=0,1,0),0)</f>
        <v>0</v>
      </c>
      <c r="BH56" s="23" t="n">
        <f aca="false">IF(AND(AY56=1,ISNUMBER(R56)),1,0)</f>
        <v>0</v>
      </c>
      <c r="BI56" s="23" t="n">
        <f aca="false">IF(BH56=1,IF(COUNTIFS($AW$2:$AW$201,AW56,$BH$2:$BH$201,1,$H$2:$H$201,"&lt;"&amp;H56)+COUNTIFS($AW$2:$AW$201,AW56,$BH$2:$BH$201,1,$H$2:$H$201,H56,$AX$2:$AX$201,"&lt;"&amp;AX56)=0,1,0),0)</f>
        <v>0</v>
      </c>
      <c r="BJ56" s="23" t="str">
        <f aca="false">IF(AND(BI56=1,INT(N(H56))&lt;=Config!$B$6),R56,"")</f>
        <v/>
      </c>
      <c r="BK56" s="23" t="str">
        <f aca="false">IF(AND(BI56=1,INT(N(H56))&lt;=Config!$B$7),R56,"")</f>
        <v/>
      </c>
      <c r="BL56" s="23" t="str">
        <f aca="false">IF(AND(BI56=1,INT(N(H56))&lt;=Config!$B$8),R56,"")</f>
        <v/>
      </c>
      <c r="BM56" s="23" t="str">
        <f aca="false">IF(AND(BI56=1,INT(N(H56))&lt;=Config!$B$5),R56,"")</f>
        <v/>
      </c>
      <c r="BN56" s="23" t="n">
        <f aca="false">IF(AND(AY56=1,ISNUMBER(V56)),1,0)</f>
        <v>0</v>
      </c>
      <c r="BO56" s="23" t="n">
        <f aca="false">IF(BN56=1,IF(COUNTIFS($AW$2:$AW$201,AW56,$BN$2:$BN$201,1,$H$2:$H$201,"&lt;"&amp;H56)+COUNTIFS($AW$2:$AW$201,AW56,$BN$2:$BN$201,1,$H$2:$H$201,H56,$AX$2:$AX$201,"&lt;"&amp;AX56)=0,1,0),0)</f>
        <v>0</v>
      </c>
      <c r="BP56" s="23" t="str">
        <f aca="false">IF(AND(BO56=1,INT(N(H56))&lt;=Config!$B$6),V56,"")</f>
        <v/>
      </c>
      <c r="BQ56" s="23" t="str">
        <f aca="false">IF(AND(BO56=1,INT(N(H56))&lt;=Config!$B$7),V56,"")</f>
        <v/>
      </c>
      <c r="BR56" s="23" t="str">
        <f aca="false">IF(AND(BO56=1,INT(N(H56))&lt;=Config!$B$8),V56,"")</f>
        <v/>
      </c>
      <c r="BS56" s="23" t="str">
        <f aca="false">IF(AND(BO56=1,INT(N(H56))&lt;=Config!$B$5),V56,"")</f>
        <v/>
      </c>
      <c r="BT56" s="23" t="n">
        <f aca="false">IF(AND(AY56=1,ISNUMBER(K56)),1,0)</f>
        <v>0</v>
      </c>
      <c r="BU56" s="23" t="n">
        <f aca="false">IF(BT56=1,IF(COUNTIFS($AW$2:$AW$201,AW56,$BT$2:$BT$201,1,$H$2:$H$201,"&lt;"&amp;H56)+COUNTIFS($AW$2:$AW$201,AW56,$BT$2:$BT$201,1,$H$2:$H$201,H56,$AX$2:$AX$201,"&lt;"&amp;AX56)=0,1,0),0)</f>
        <v>0</v>
      </c>
      <c r="BV56" s="23" t="str">
        <f aca="false">IF(AND(BU56=1,INT(N(H56))&lt;=Config!$B$5),K56,"")</f>
        <v/>
      </c>
      <c r="BW56" s="23" t="n">
        <f aca="false">IF(AND(AY56=1,OR(AND(ISNUMBER(R56),TRIM(S56)=""),AND(ISNUMBER(V56),TRIM(W56)=""))),1,0)</f>
        <v>0</v>
      </c>
      <c r="BX56" s="23" t="str">
        <f aca="false">IF(AY56=1,AJ56&amp;"","")</f>
        <v/>
      </c>
      <c r="BY56" s="23" t="str">
        <f aca="false">IF(AY56=1,AK56&amp;"","")</f>
        <v/>
      </c>
      <c r="BZ56" s="23" t="str">
        <f aca="false">IF(AY56=1,AL56&amp;"","")</f>
        <v/>
      </c>
      <c r="CA56" s="23" t="str">
        <f aca="false">IF(AND(AY56=1,ISNUMBER(AS56),INT(N(H56))&lt;=Config!$B$5),AS56,"")</f>
        <v/>
      </c>
      <c r="CB56" s="23" t="str">
        <f aca="false">IF(AY56=1,IF(COUNTIFS($A$2:$A$201,$A56,$CU$2:$CU$201,1,$AN$2:$AN$201,"Y")&gt;0,"Y","N"),"")</f>
        <v/>
      </c>
      <c r="CC56" s="23" t="n">
        <f aca="false">IF(AND(AY56=1,AN56="Y"),IF(COUNTIFS($AW$2:$AW$201,AW56,$AN$2:$AN$201,"Y",$AY$2:$AY$201,1,$H$2:$H$201,"&lt;"&amp;H56)+COUNTIFS($AW$2:$AW$201,AW56,$AN$2:$AN$201,"Y",$AY$2:$AY$201,1,$H$2:$H$201,H56,$AX$2:$AX$201,"&lt;"&amp;AX56)=0,1,0),0)</f>
        <v>0</v>
      </c>
      <c r="CD56" s="23" t="n">
        <f aca="false">IF(AND(AY56=1,AB56="Y",AC56="Y",AD56="Y",AE56="Y",AF56="Y",AG56="Y",AI56="Y",TRIM(AH56)&lt;&gt;""),1,0)</f>
        <v>0</v>
      </c>
      <c r="CE56" s="23" t="n">
        <f aca="false">IF(CD56=1,IF(COUNTIFS($AW$2:$AW$201,AW56,$CD$2:$CD$201,1,$H$2:$H$201,"&lt;"&amp;H56)+COUNTIFS($AW$2:$AW$201,AW56,$CD$2:$CD$201,1,$H$2:$H$201,H56,$AX$2:$AX$201,"&lt;"&amp;AX56)=0,1,0),0)</f>
        <v>0</v>
      </c>
      <c r="CF56" s="23" t="n">
        <f aca="false">IF(AND(AY56=1,AO56="Y"),1,0)</f>
        <v>0</v>
      </c>
      <c r="CG56" s="23" t="n">
        <f aca="false">IF(CF56=1,IF(COUNTIFS($AW$2:$AW$201,AW56,$CF$2:$CF$201,1,$H$2:$H$201,"&lt;"&amp;H56)+COUNTIFS($AW$2:$AW$201,AW56,$CF$2:$CF$201,1,$H$2:$H$201,H56,$AX$2:$AX$201,"&lt;"&amp;AX56)=0,1,0),0)</f>
        <v>0</v>
      </c>
      <c r="CH56" s="23" t="n">
        <f aca="false">IF(AND(AY56=1,P56="Y"),1,0)</f>
        <v>0</v>
      </c>
      <c r="CI56" s="23" t="n">
        <f aca="false">IF(CH56=1,IF(COUNTIFS($AW$2:$AW$201,AW56,$CH$2:$CH$201,1,$H$2:$H$201,"&lt;"&amp;H56)+COUNTIFS($AW$2:$AW$201,AW56,$CH$2:$CH$201,1,$H$2:$H$201,H56,$AX$2:$AX$201,"&lt;"&amp;AX56)=0,1,0),0)</f>
        <v>0</v>
      </c>
      <c r="CJ56" s="23" t="str">
        <f aca="false">IF(AND(BU56=1,INT(N(H56))&lt;=Config!$B$5),L56,"")</f>
        <v/>
      </c>
      <c r="CK56" s="23" t="n">
        <f aca="false">IF(AND(AY56=1,AR56="Y"),1,0)</f>
        <v>0</v>
      </c>
      <c r="CL56" s="23" t="n">
        <f aca="false">IF(CK56=1,IF(COUNTIFS($AW$2:$AW$201,AW56,$CK$2:$CK$201,1,$H$2:$H$201,"&lt;"&amp;H56)+COUNTIFS($AW$2:$AW$201,AW56,$CK$2:$CK$201,1,$H$2:$H$201,H56,$AX$2:$AX$201,"&lt;"&amp;AX56)=0,1,0),0)</f>
        <v>0</v>
      </c>
      <c r="CM56" s="23" t="str">
        <f aca="false">IF(AY56=1,IFERROR(MATCH($A56,INDEX(Clay_Brands!$A$2:$FZ$601,0,Sync!$D$5),0),""),"")</f>
        <v/>
      </c>
      <c r="CN56" s="23" t="str">
        <f aca="false">IF(CM56="","",IFERROR(INDEX(Clay_Brands!$A$2:$FZ$601,CM56,Sync!$D$7)&amp;"",""))</f>
        <v/>
      </c>
      <c r="CO56" s="23" t="str">
        <f aca="false">IF(CN56="","",IFERROR(INDEX(Lists!$K$2:$K$15,MATCH(CN56,Lists!$J$2:$J$15,0)),""))</f>
        <v/>
      </c>
      <c r="CP56" s="23" t="str">
        <f aca="false">IF(CM56="","",IFERROR(INDEX(Clay_Brands!$A$2:$FZ$601,CM56,Sync!$D$17)&amp;"",""))</f>
        <v/>
      </c>
      <c r="CQ56" s="35" t="str">
        <f aca="false">IF(CM56="","",IFERROR(N(INDEX(Clay_Brands!$A$2:$FZ$601,CM56,Sync!$D$16)),0))</f>
        <v/>
      </c>
      <c r="CR56" s="23" t="n">
        <f aca="false">IF(AND(AY56=1,OR(O56="N",AND(OR(ISNUMBER(R56),ISNUMBER(V56)),MAX(N(R56),N(V56))&lt;Config!$B$14))),1,0)</f>
        <v>0</v>
      </c>
      <c r="CS56" s="23" t="n">
        <f aca="false">IF(OR(BB56=1,CR56=1),1,0)</f>
        <v>0</v>
      </c>
      <c r="CT56" s="23" t="n">
        <f aca="false">IF(AND(AY56=1,OR(AN56="Y",AN56="N",AN56="maybe")),1,0)</f>
        <v>0</v>
      </c>
      <c r="CU56" s="23" t="n">
        <f aca="false">IF(AND(CT56=1),IF(COUNTIFS($A$2:$A$201,$A56,$CT$2:$CT$201,1,$H$2:$H$201,"&gt;"&amp;H56)+COUNTIFS($A$2:$A$201,$A56,$CT$2:$CT$201,1,$H$2:$H$201,H56,$AX$2:$AX$201,"&gt;"&amp;AX56)=0,1,0),0)</f>
        <v>0</v>
      </c>
      <c r="CV56" s="23" t="n">
        <f aca="false">IF(AND(CS56=1,INT(N(H56))&lt;=Config!$B$6),IF(COUNTIFS($AW$2:$AW$201,AW56,$CS$2:$CS$201,1,$H$2:$H$201,"&gt;"&amp;H56,$H$2:$H$201,"&lt;"&amp;(Config!$B$6+1))+COUNTIFS($AW$2:$AW$201,AW56,$CS$2:$CS$201,1,$H$2:$H$201,H56,$AX$2:$AX$201,"&gt;"&amp;AX56)=0,1,0),0)</f>
        <v>0</v>
      </c>
      <c r="CW56" s="23" t="n">
        <f aca="false">IF(AND(CS56=1,INT(N(H56))&lt;=Config!$B$7),IF(COUNTIFS($AW$2:$AW$201,AW56,$CS$2:$CS$201,1,$H$2:$H$201,"&gt;"&amp;H56,$H$2:$H$201,"&lt;"&amp;(Config!$B$7+1))+COUNTIFS($AW$2:$AW$201,AW56,$CS$2:$CS$201,1,$H$2:$H$201,H56,$AX$2:$AX$201,"&gt;"&amp;AX56)=0,1,0),0)</f>
        <v>0</v>
      </c>
      <c r="CX56" s="23" t="n">
        <f aca="false">IF(AND(CS56=1,INT(N(H56))&lt;=Config!$B$8),IF(COUNTIFS($AW$2:$AW$201,AW56,$CS$2:$CS$201,1,$H$2:$H$201,"&gt;"&amp;H56,$H$2:$H$201,"&lt;"&amp;(Config!$B$8+1))+COUNTIFS($AW$2:$AW$201,AW56,$CS$2:$CS$201,1,$H$2:$H$201,H56,$AX$2:$AX$201,"&gt;"&amp;AX56)=0,1,0),0)</f>
        <v>0</v>
      </c>
      <c r="CY56" s="23" t="n">
        <f aca="false">IF(AND(CS56=1,INT(N(H56))&lt;=Config!$B$5),IF(COUNTIFS($AW$2:$AW$201,AW56,$CS$2:$CS$201,1,$H$2:$H$201,"&gt;"&amp;H56,$H$2:$H$201,"&lt;"&amp;(Config!$B$5+1))+COUNTIFS($AW$2:$AW$201,AW56,$CS$2:$CS$201,1,$H$2:$H$201,H56,$AX$2:$AX$201,"&gt;"&amp;AX56)=0,1,0),0)</f>
        <v>0</v>
      </c>
      <c r="CZ56" s="23" t="n">
        <f aca="false">IF(AY56=1,IF(COUNTIFS($AW$2:$AW$201,AW56,$CV$2:$CV$201,1,$BB$2:$BB$201,1)&gt;0,1,0),0)</f>
        <v>0</v>
      </c>
      <c r="DA56" s="23" t="n">
        <f aca="false">IF(AY56=1,IF(COUNTIFS($AW$2:$AW$201,AW56,$CW$2:$CW$201,1,$BB$2:$BB$201,1)&gt;0,1,0),0)</f>
        <v>0</v>
      </c>
      <c r="DB56" s="23" t="n">
        <f aca="false">IF(AY56=1,IF(COUNTIFS($AW$2:$AW$201,AW56,$CX$2:$CX$201,1,$BB$2:$BB$201,1)&gt;0,1,0),0)</f>
        <v>0</v>
      </c>
      <c r="DC56" s="23" t="n">
        <f aca="false">IF(AY56=1,IF(COUNTIFS($AW$2:$AW$201,AW56,$CY$2:$CY$201,1,$BB$2:$BB$201,1)&gt;0,1,0),0)</f>
        <v>0</v>
      </c>
      <c r="DD56" s="23" t="n">
        <f aca="false">IF(AND(BC56=1,INT(N(H56))&lt;=Config!$B$6,CZ56=1),1,0)</f>
        <v>0</v>
      </c>
      <c r="DE56" s="23" t="n">
        <f aca="false">IF(AND(BC56=1,INT(N(H56))&lt;=Config!$B$7,DA56=1),1,0)</f>
        <v>0</v>
      </c>
      <c r="DF56" s="23" t="n">
        <f aca="false">IF(AND(BC56=1,INT(N(H56))&lt;=Config!$B$8,DB56=1),1,0)</f>
        <v>0</v>
      </c>
      <c r="DG56" s="23" t="n">
        <f aca="false">IF(AND(BC56=1,INT(N(H56))&lt;=Config!$B$5,DC56=1),1,0)</f>
        <v>0</v>
      </c>
      <c r="DH56" s="23" t="n">
        <f aca="false">IF(AND(BE56=1,INT(N(H56))&lt;=Config!$B$6,CZ56=1),1,0)</f>
        <v>0</v>
      </c>
      <c r="DI56" s="23" t="n">
        <f aca="false">IF(AND(BE56=1,INT(N(H56))&lt;=Config!$B$7,DA56=1),1,0)</f>
        <v>0</v>
      </c>
      <c r="DJ56" s="23" t="n">
        <f aca="false">IF(AND(BE56=1,INT(N(H56))&lt;=Config!$B$8,DB56=1),1,0)</f>
        <v>0</v>
      </c>
      <c r="DK56" s="23" t="n">
        <f aca="false">IF(AND(BE56=1,INT(N(H56))&lt;=Config!$B$5,DC56=1),1,0)</f>
        <v>0</v>
      </c>
      <c r="DL56" s="23" t="n">
        <f aca="false">IF(AND(BC56=1,INT(N(H56))&lt;=Config!$B$6,CZ56=0),1,0)</f>
        <v>0</v>
      </c>
      <c r="DM56" s="23" t="n">
        <f aca="false">IF(AND(BC56=1,INT(N(H56))&lt;=Config!$B$7,DA56=0),1,0)</f>
        <v>0</v>
      </c>
      <c r="DN56" s="23" t="n">
        <f aca="false">IF(AND(BC56=1,INT(N(H56))&lt;=Config!$B$8,DB56=0),1,0)</f>
        <v>0</v>
      </c>
      <c r="DO56" s="23" t="n">
        <f aca="false">IF(AND(BC56=1,INT(N(H56))&lt;=Config!$B$5,DC56=0),1,0)</f>
        <v>0</v>
      </c>
      <c r="DP56" s="23" t="n">
        <f aca="false">IF(TRIM($A56)="",0,ISTEXT(K56)+ISTEXT(L56)+ISTEXT(R56)+ISTEXT(V56)+ISTEXT(AP56)+ISTEXT(AS56))</f>
        <v>0</v>
      </c>
      <c r="DQ56" s="23" t="n">
        <f aca="false">IF(AY56=1,IF(H56&lt;&gt;INT(H56),1,0),0)</f>
        <v>0</v>
      </c>
      <c r="DR56" s="23" t="str">
        <f aca="false">IF(TRIM($A56)="","",IF(TRIM(B56)="",SUBSTITUTE(SUBSTITUTE(SUBSTITUTE(SUBSTITUTE(SUBSTITUTE(SUBSTITUTE(LOWER(TRIM($A56)),"~",""),"*",""),"?",""),"&lt;",""),"&gt;",""),"=",""),SUBSTITUTE(SUBSTITUTE(SUBSTITUTE(SUBSTITUTE(SUBSTITUTE(SUBSTITUTE(LOWER(TRIM(B56)),"~",""),"*",""),"?",""),"&lt;",""),"&gt;",""),"=","")))</f>
        <v/>
      </c>
      <c r="DS56" s="23" t="str">
        <f aca="false">IF(CM56="","",IFERROR(IF(LEFT(LOWER(TRIM(INDEX(Clay_Brands!$A$2:$FZ$601,CM56,Sync!$D$19)&amp;"")),4)="grp-",SUBSTITUTE(SUBSTITUTE(SUBSTITUTE(SUBSTITUTE(SUBSTITUTE(SUBSTITUTE(LOWER(TRIM(INDEX(Clay_Brands!$A$2:$FZ$601,CM56,Sync!$D$19)&amp;"")),"~",""),"*",""),"?",""),"&lt;",""),"&gt;",""),"=",""),""),""))</f>
        <v/>
      </c>
      <c r="DT56" s="23" t="str">
        <f aca="false">IF(DS56&lt;&gt;"",DR56,"")</f>
        <v/>
      </c>
      <c r="DU56" s="23" t="str">
        <f aca="false">IF(AZ56=1,AW56,"")</f>
        <v/>
      </c>
      <c r="DV56" s="23" t="str">
        <f aca="false">IF(TRIM($A56)="","",IFERROR(INDEX($A$2:$A$201,MATCH(AW56,$DU$2:$DU$201,0))&amp;"",$A56&amp;""))</f>
        <v/>
      </c>
      <c r="DW56" s="23" t="n">
        <f aca="false">IF(AY56=1,IF(COUNTIFS($A$2:$A$201,$A56,$AY$2:$AY$201,1,$H$2:$H$201,"&lt;"&amp;H56)+COUNTIFS($A$2:$A$201,$A56,$AY$2:$AY$201,1,$H$2:$H$201,H56,$AX$2:$AX$201,"&lt;"&amp;AX56)=0,1,0),0)</f>
        <v>0</v>
      </c>
      <c r="DX56" s="23" t="n">
        <f aca="false">IF(AZ56=1,IF(COUNTIFS($AW$2:$AW$201,AW56,$DW$2:$DW$201,1)&gt;1,1,0),0)</f>
        <v>0</v>
      </c>
    </row>
    <row r="57" customFormat="false" ht="15" hidden="false" customHeight="false" outlineLevel="0" collapsed="false">
      <c r="G57" s="32"/>
      <c r="H57" s="33"/>
      <c r="I57" s="32"/>
      <c r="O57" s="32"/>
      <c r="P57" s="32"/>
      <c r="U57" s="32"/>
      <c r="Y57" s="32"/>
      <c r="AB57" s="32"/>
      <c r="AC57" s="32"/>
      <c r="AD57" s="32"/>
      <c r="AE57" s="32"/>
      <c r="AF57" s="32"/>
      <c r="AG57" s="32"/>
      <c r="AI57" s="32"/>
      <c r="AJ57" s="32"/>
      <c r="AK57" s="32"/>
      <c r="AN57" s="32"/>
      <c r="AO57" s="32"/>
      <c r="AR57" s="32"/>
      <c r="AT57" s="32"/>
      <c r="AV57" s="34" t="str">
        <f aca="false">IF(TRIM($A57)="","",IF(AND(LEFT($A57,6)="SAMPLE",Config!$B$19&lt;&gt;"Y"),"",IF(NOT(ISNUMBER(H57)),"call_date is blank or not a date",IF(Sync!$D$5="","Clay paste is empty or has no row_id column: paste the Clay export on Clay_Brands",IF(CM57="","row_id not found in the Clay paste: add the Clay row or fix the row_id",IF(AND(ISNUMBER(CO57),CO57&gt;=1,CO57&lt;=5),"Clay status is "&amp;CN57&amp;": set call_done or later",IF(AND(BA57=1,CP57&lt;&gt;CB57),"Clay yes_in_principle should be "&amp;CB57,IF(AND(BA57=1,CQ57&lt;&gt;H57),"Clay call_date should be "&amp;TEXT(H57,"yyyy-mm-dd"),""))))))))</f>
        <v/>
      </c>
      <c r="AW57" s="23" t="str">
        <f aca="false">IF(TRIM($A57)="","",IF(TRIM(C57)&lt;&gt;"",SUBSTITUTE(SUBSTITUTE(SUBSTITUTE(SUBSTITUTE(SUBSTITUTE(SUBSTITUTE(LOWER(TRIM(C57)),"~",""),"*",""),"?",""),"&lt;",""),"&gt;",""),"=",""),IF(DS57&lt;&gt;"",DS57,IFERROR(INDEX($DS$2:$DS$201,MATCH(DR57,$DT$2:$DT$201,0)),DR57))))</f>
        <v/>
      </c>
      <c r="AX57" s="23" t="n">
        <f aca="false">ROW()</f>
        <v>57</v>
      </c>
      <c r="AY57" s="23" t="n">
        <f aca="false">IF(AND(TRIM($A57)&lt;&gt;"",ISNUMBER(H57)),IF(AND(LEFT($A57,6)="SAMPLE",Config!$B$19&lt;&gt;"Y"),0,1),0)</f>
        <v>0</v>
      </c>
      <c r="AZ57" s="23" t="n">
        <f aca="false">IF(AY57=1,IF(COUNTIFS($AW$2:$AW$201,AW57,$AY$2:$AY$201,1,$H$2:$H$201,"&lt;"&amp;H57)+COUNTIFS($AW$2:$AW$201,AW57,$AY$2:$AY$201,1,$H$2:$H$201,H57,$AX$2:$AX$201,"&lt;"&amp;AX57)=0,1,0),0)</f>
        <v>0</v>
      </c>
      <c r="BA57" s="23" t="n">
        <f aca="false">IF(AY57=1,IF(COUNTIFS($A$2:$A$201,$A57,$AY$2:$AY$201,1,$H$2:$H$201,"&gt;"&amp;H57)+COUNTIFS($A$2:$A$201,$A57,$AY$2:$AY$201,1,$H$2:$H$201,H57,$AX$2:$AX$201,"&gt;"&amp;AX57)=0,1,0),0)</f>
        <v>0</v>
      </c>
      <c r="BB57" s="23" t="n">
        <f aca="false">IF(AND(AY57=1,O57="Y",MAX(N(R57),N(V57))&gt;=Config!$B$14),1,0)</f>
        <v>0</v>
      </c>
      <c r="BC57" s="23" t="n">
        <f aca="false">IF(BB57=1,IF(COUNTIFS($AW$2:$AW$201,AW57,$BB$2:$BB$201,1,$H$2:$H$201,"&lt;"&amp;H57)+COUNTIFS($AW$2:$AW$201,AW57,$BB$2:$BB$201,1,$H$2:$H$201,H57,$AX$2:$AX$201,"&lt;"&amp;AX57)=0,1,0),0)</f>
        <v>0</v>
      </c>
      <c r="BD57" s="23" t="n">
        <f aca="false">IF(AND(AY57=1,O57="Y",ISNUMBER(R57)),IF(R57&gt;=Config!$B$14,1,0),0)</f>
        <v>0</v>
      </c>
      <c r="BE57" s="23" t="n">
        <f aca="false">IF(BD57=1,IF(COUNTIFS($AW$2:$AW$201,AW57,$BD$2:$BD$201,1,$H$2:$H$201,"&lt;"&amp;H57)+COUNTIFS($AW$2:$AW$201,AW57,$BD$2:$BD$201,1,$H$2:$H$201,H57,$AX$2:$AX$201,"&lt;"&amp;AX57)=0,1,0),0)</f>
        <v>0</v>
      </c>
      <c r="BF57" s="23" t="n">
        <f aca="false">IF(AND(AY57=1,O57&lt;&gt;"Y",MAX(N(R57),N(V57))&gt;=Config!$B$14),1,0)</f>
        <v>0</v>
      </c>
      <c r="BG57" s="23" t="n">
        <f aca="false">IF(BF57=1,IF(COUNTIFS($AW$2:$AW$201,AW57,$BF$2:$BF$201,1,$H$2:$H$201,"&lt;"&amp;H57)+COUNTIFS($AW$2:$AW$201,AW57,$BF$2:$BF$201,1,$H$2:$H$201,H57,$AX$2:$AX$201,"&lt;"&amp;AX57)=0,1,0),0)</f>
        <v>0</v>
      </c>
      <c r="BH57" s="23" t="n">
        <f aca="false">IF(AND(AY57=1,ISNUMBER(R57)),1,0)</f>
        <v>0</v>
      </c>
      <c r="BI57" s="23" t="n">
        <f aca="false">IF(BH57=1,IF(COUNTIFS($AW$2:$AW$201,AW57,$BH$2:$BH$201,1,$H$2:$H$201,"&lt;"&amp;H57)+COUNTIFS($AW$2:$AW$201,AW57,$BH$2:$BH$201,1,$H$2:$H$201,H57,$AX$2:$AX$201,"&lt;"&amp;AX57)=0,1,0),0)</f>
        <v>0</v>
      </c>
      <c r="BJ57" s="23" t="str">
        <f aca="false">IF(AND(BI57=1,INT(N(H57))&lt;=Config!$B$6),R57,"")</f>
        <v/>
      </c>
      <c r="BK57" s="23" t="str">
        <f aca="false">IF(AND(BI57=1,INT(N(H57))&lt;=Config!$B$7),R57,"")</f>
        <v/>
      </c>
      <c r="BL57" s="23" t="str">
        <f aca="false">IF(AND(BI57=1,INT(N(H57))&lt;=Config!$B$8),R57,"")</f>
        <v/>
      </c>
      <c r="BM57" s="23" t="str">
        <f aca="false">IF(AND(BI57=1,INT(N(H57))&lt;=Config!$B$5),R57,"")</f>
        <v/>
      </c>
      <c r="BN57" s="23" t="n">
        <f aca="false">IF(AND(AY57=1,ISNUMBER(V57)),1,0)</f>
        <v>0</v>
      </c>
      <c r="BO57" s="23" t="n">
        <f aca="false">IF(BN57=1,IF(COUNTIFS($AW$2:$AW$201,AW57,$BN$2:$BN$201,1,$H$2:$H$201,"&lt;"&amp;H57)+COUNTIFS($AW$2:$AW$201,AW57,$BN$2:$BN$201,1,$H$2:$H$201,H57,$AX$2:$AX$201,"&lt;"&amp;AX57)=0,1,0),0)</f>
        <v>0</v>
      </c>
      <c r="BP57" s="23" t="str">
        <f aca="false">IF(AND(BO57=1,INT(N(H57))&lt;=Config!$B$6),V57,"")</f>
        <v/>
      </c>
      <c r="BQ57" s="23" t="str">
        <f aca="false">IF(AND(BO57=1,INT(N(H57))&lt;=Config!$B$7),V57,"")</f>
        <v/>
      </c>
      <c r="BR57" s="23" t="str">
        <f aca="false">IF(AND(BO57=1,INT(N(H57))&lt;=Config!$B$8),V57,"")</f>
        <v/>
      </c>
      <c r="BS57" s="23" t="str">
        <f aca="false">IF(AND(BO57=1,INT(N(H57))&lt;=Config!$B$5),V57,"")</f>
        <v/>
      </c>
      <c r="BT57" s="23" t="n">
        <f aca="false">IF(AND(AY57=1,ISNUMBER(K57)),1,0)</f>
        <v>0</v>
      </c>
      <c r="BU57" s="23" t="n">
        <f aca="false">IF(BT57=1,IF(COUNTIFS($AW$2:$AW$201,AW57,$BT$2:$BT$201,1,$H$2:$H$201,"&lt;"&amp;H57)+COUNTIFS($AW$2:$AW$201,AW57,$BT$2:$BT$201,1,$H$2:$H$201,H57,$AX$2:$AX$201,"&lt;"&amp;AX57)=0,1,0),0)</f>
        <v>0</v>
      </c>
      <c r="BV57" s="23" t="str">
        <f aca="false">IF(AND(BU57=1,INT(N(H57))&lt;=Config!$B$5),K57,"")</f>
        <v/>
      </c>
      <c r="BW57" s="23" t="n">
        <f aca="false">IF(AND(AY57=1,OR(AND(ISNUMBER(R57),TRIM(S57)=""),AND(ISNUMBER(V57),TRIM(W57)=""))),1,0)</f>
        <v>0</v>
      </c>
      <c r="BX57" s="23" t="str">
        <f aca="false">IF(AY57=1,AJ57&amp;"","")</f>
        <v/>
      </c>
      <c r="BY57" s="23" t="str">
        <f aca="false">IF(AY57=1,AK57&amp;"","")</f>
        <v/>
      </c>
      <c r="BZ57" s="23" t="str">
        <f aca="false">IF(AY57=1,AL57&amp;"","")</f>
        <v/>
      </c>
      <c r="CA57" s="23" t="str">
        <f aca="false">IF(AND(AY57=1,ISNUMBER(AS57),INT(N(H57))&lt;=Config!$B$5),AS57,"")</f>
        <v/>
      </c>
      <c r="CB57" s="23" t="str">
        <f aca="false">IF(AY57=1,IF(COUNTIFS($A$2:$A$201,$A57,$CU$2:$CU$201,1,$AN$2:$AN$201,"Y")&gt;0,"Y","N"),"")</f>
        <v/>
      </c>
      <c r="CC57" s="23" t="n">
        <f aca="false">IF(AND(AY57=1,AN57="Y"),IF(COUNTIFS($AW$2:$AW$201,AW57,$AN$2:$AN$201,"Y",$AY$2:$AY$201,1,$H$2:$H$201,"&lt;"&amp;H57)+COUNTIFS($AW$2:$AW$201,AW57,$AN$2:$AN$201,"Y",$AY$2:$AY$201,1,$H$2:$H$201,H57,$AX$2:$AX$201,"&lt;"&amp;AX57)=0,1,0),0)</f>
        <v>0</v>
      </c>
      <c r="CD57" s="23" t="n">
        <f aca="false">IF(AND(AY57=1,AB57="Y",AC57="Y",AD57="Y",AE57="Y",AF57="Y",AG57="Y",AI57="Y",TRIM(AH57)&lt;&gt;""),1,0)</f>
        <v>0</v>
      </c>
      <c r="CE57" s="23" t="n">
        <f aca="false">IF(CD57=1,IF(COUNTIFS($AW$2:$AW$201,AW57,$CD$2:$CD$201,1,$H$2:$H$201,"&lt;"&amp;H57)+COUNTIFS($AW$2:$AW$201,AW57,$CD$2:$CD$201,1,$H$2:$H$201,H57,$AX$2:$AX$201,"&lt;"&amp;AX57)=0,1,0),0)</f>
        <v>0</v>
      </c>
      <c r="CF57" s="23" t="n">
        <f aca="false">IF(AND(AY57=1,AO57="Y"),1,0)</f>
        <v>0</v>
      </c>
      <c r="CG57" s="23" t="n">
        <f aca="false">IF(CF57=1,IF(COUNTIFS($AW$2:$AW$201,AW57,$CF$2:$CF$201,1,$H$2:$H$201,"&lt;"&amp;H57)+COUNTIFS($AW$2:$AW$201,AW57,$CF$2:$CF$201,1,$H$2:$H$201,H57,$AX$2:$AX$201,"&lt;"&amp;AX57)=0,1,0),0)</f>
        <v>0</v>
      </c>
      <c r="CH57" s="23" t="n">
        <f aca="false">IF(AND(AY57=1,P57="Y"),1,0)</f>
        <v>0</v>
      </c>
      <c r="CI57" s="23" t="n">
        <f aca="false">IF(CH57=1,IF(COUNTIFS($AW$2:$AW$201,AW57,$CH$2:$CH$201,1,$H$2:$H$201,"&lt;"&amp;H57)+COUNTIFS($AW$2:$AW$201,AW57,$CH$2:$CH$201,1,$H$2:$H$201,H57,$AX$2:$AX$201,"&lt;"&amp;AX57)=0,1,0),0)</f>
        <v>0</v>
      </c>
      <c r="CJ57" s="23" t="str">
        <f aca="false">IF(AND(BU57=1,INT(N(H57))&lt;=Config!$B$5),L57,"")</f>
        <v/>
      </c>
      <c r="CK57" s="23" t="n">
        <f aca="false">IF(AND(AY57=1,AR57="Y"),1,0)</f>
        <v>0</v>
      </c>
      <c r="CL57" s="23" t="n">
        <f aca="false">IF(CK57=1,IF(COUNTIFS($AW$2:$AW$201,AW57,$CK$2:$CK$201,1,$H$2:$H$201,"&lt;"&amp;H57)+COUNTIFS($AW$2:$AW$201,AW57,$CK$2:$CK$201,1,$H$2:$H$201,H57,$AX$2:$AX$201,"&lt;"&amp;AX57)=0,1,0),0)</f>
        <v>0</v>
      </c>
      <c r="CM57" s="23" t="str">
        <f aca="false">IF(AY57=1,IFERROR(MATCH($A57,INDEX(Clay_Brands!$A$2:$FZ$601,0,Sync!$D$5),0),""),"")</f>
        <v/>
      </c>
      <c r="CN57" s="23" t="str">
        <f aca="false">IF(CM57="","",IFERROR(INDEX(Clay_Brands!$A$2:$FZ$601,CM57,Sync!$D$7)&amp;"",""))</f>
        <v/>
      </c>
      <c r="CO57" s="23" t="str">
        <f aca="false">IF(CN57="","",IFERROR(INDEX(Lists!$K$2:$K$15,MATCH(CN57,Lists!$J$2:$J$15,0)),""))</f>
        <v/>
      </c>
      <c r="CP57" s="23" t="str">
        <f aca="false">IF(CM57="","",IFERROR(INDEX(Clay_Brands!$A$2:$FZ$601,CM57,Sync!$D$17)&amp;"",""))</f>
        <v/>
      </c>
      <c r="CQ57" s="35" t="str">
        <f aca="false">IF(CM57="","",IFERROR(N(INDEX(Clay_Brands!$A$2:$FZ$601,CM57,Sync!$D$16)),0))</f>
        <v/>
      </c>
      <c r="CR57" s="23" t="n">
        <f aca="false">IF(AND(AY57=1,OR(O57="N",AND(OR(ISNUMBER(R57),ISNUMBER(V57)),MAX(N(R57),N(V57))&lt;Config!$B$14))),1,0)</f>
        <v>0</v>
      </c>
      <c r="CS57" s="23" t="n">
        <f aca="false">IF(OR(BB57=1,CR57=1),1,0)</f>
        <v>0</v>
      </c>
      <c r="CT57" s="23" t="n">
        <f aca="false">IF(AND(AY57=1,OR(AN57="Y",AN57="N",AN57="maybe")),1,0)</f>
        <v>0</v>
      </c>
      <c r="CU57" s="23" t="n">
        <f aca="false">IF(AND(CT57=1),IF(COUNTIFS($A$2:$A$201,$A57,$CT$2:$CT$201,1,$H$2:$H$201,"&gt;"&amp;H57)+COUNTIFS($A$2:$A$201,$A57,$CT$2:$CT$201,1,$H$2:$H$201,H57,$AX$2:$AX$201,"&gt;"&amp;AX57)=0,1,0),0)</f>
        <v>0</v>
      </c>
      <c r="CV57" s="23" t="n">
        <f aca="false">IF(AND(CS57=1,INT(N(H57))&lt;=Config!$B$6),IF(COUNTIFS($AW$2:$AW$201,AW57,$CS$2:$CS$201,1,$H$2:$H$201,"&gt;"&amp;H57,$H$2:$H$201,"&lt;"&amp;(Config!$B$6+1))+COUNTIFS($AW$2:$AW$201,AW57,$CS$2:$CS$201,1,$H$2:$H$201,H57,$AX$2:$AX$201,"&gt;"&amp;AX57)=0,1,0),0)</f>
        <v>0</v>
      </c>
      <c r="CW57" s="23" t="n">
        <f aca="false">IF(AND(CS57=1,INT(N(H57))&lt;=Config!$B$7),IF(COUNTIFS($AW$2:$AW$201,AW57,$CS$2:$CS$201,1,$H$2:$H$201,"&gt;"&amp;H57,$H$2:$H$201,"&lt;"&amp;(Config!$B$7+1))+COUNTIFS($AW$2:$AW$201,AW57,$CS$2:$CS$201,1,$H$2:$H$201,H57,$AX$2:$AX$201,"&gt;"&amp;AX57)=0,1,0),0)</f>
        <v>0</v>
      </c>
      <c r="CX57" s="23" t="n">
        <f aca="false">IF(AND(CS57=1,INT(N(H57))&lt;=Config!$B$8),IF(COUNTIFS($AW$2:$AW$201,AW57,$CS$2:$CS$201,1,$H$2:$H$201,"&gt;"&amp;H57,$H$2:$H$201,"&lt;"&amp;(Config!$B$8+1))+COUNTIFS($AW$2:$AW$201,AW57,$CS$2:$CS$201,1,$H$2:$H$201,H57,$AX$2:$AX$201,"&gt;"&amp;AX57)=0,1,0),0)</f>
        <v>0</v>
      </c>
      <c r="CY57" s="23" t="n">
        <f aca="false">IF(AND(CS57=1,INT(N(H57))&lt;=Config!$B$5),IF(COUNTIFS($AW$2:$AW$201,AW57,$CS$2:$CS$201,1,$H$2:$H$201,"&gt;"&amp;H57,$H$2:$H$201,"&lt;"&amp;(Config!$B$5+1))+COUNTIFS($AW$2:$AW$201,AW57,$CS$2:$CS$201,1,$H$2:$H$201,H57,$AX$2:$AX$201,"&gt;"&amp;AX57)=0,1,0),0)</f>
        <v>0</v>
      </c>
      <c r="CZ57" s="23" t="n">
        <f aca="false">IF(AY57=1,IF(COUNTIFS($AW$2:$AW$201,AW57,$CV$2:$CV$201,1,$BB$2:$BB$201,1)&gt;0,1,0),0)</f>
        <v>0</v>
      </c>
      <c r="DA57" s="23" t="n">
        <f aca="false">IF(AY57=1,IF(COUNTIFS($AW$2:$AW$201,AW57,$CW$2:$CW$201,1,$BB$2:$BB$201,1)&gt;0,1,0),0)</f>
        <v>0</v>
      </c>
      <c r="DB57" s="23" t="n">
        <f aca="false">IF(AY57=1,IF(COUNTIFS($AW$2:$AW$201,AW57,$CX$2:$CX$201,1,$BB$2:$BB$201,1)&gt;0,1,0),0)</f>
        <v>0</v>
      </c>
      <c r="DC57" s="23" t="n">
        <f aca="false">IF(AY57=1,IF(COUNTIFS($AW$2:$AW$201,AW57,$CY$2:$CY$201,1,$BB$2:$BB$201,1)&gt;0,1,0),0)</f>
        <v>0</v>
      </c>
      <c r="DD57" s="23" t="n">
        <f aca="false">IF(AND(BC57=1,INT(N(H57))&lt;=Config!$B$6,CZ57=1),1,0)</f>
        <v>0</v>
      </c>
      <c r="DE57" s="23" t="n">
        <f aca="false">IF(AND(BC57=1,INT(N(H57))&lt;=Config!$B$7,DA57=1),1,0)</f>
        <v>0</v>
      </c>
      <c r="DF57" s="23" t="n">
        <f aca="false">IF(AND(BC57=1,INT(N(H57))&lt;=Config!$B$8,DB57=1),1,0)</f>
        <v>0</v>
      </c>
      <c r="DG57" s="23" t="n">
        <f aca="false">IF(AND(BC57=1,INT(N(H57))&lt;=Config!$B$5,DC57=1),1,0)</f>
        <v>0</v>
      </c>
      <c r="DH57" s="23" t="n">
        <f aca="false">IF(AND(BE57=1,INT(N(H57))&lt;=Config!$B$6,CZ57=1),1,0)</f>
        <v>0</v>
      </c>
      <c r="DI57" s="23" t="n">
        <f aca="false">IF(AND(BE57=1,INT(N(H57))&lt;=Config!$B$7,DA57=1),1,0)</f>
        <v>0</v>
      </c>
      <c r="DJ57" s="23" t="n">
        <f aca="false">IF(AND(BE57=1,INT(N(H57))&lt;=Config!$B$8,DB57=1),1,0)</f>
        <v>0</v>
      </c>
      <c r="DK57" s="23" t="n">
        <f aca="false">IF(AND(BE57=1,INT(N(H57))&lt;=Config!$B$5,DC57=1),1,0)</f>
        <v>0</v>
      </c>
      <c r="DL57" s="23" t="n">
        <f aca="false">IF(AND(BC57=1,INT(N(H57))&lt;=Config!$B$6,CZ57=0),1,0)</f>
        <v>0</v>
      </c>
      <c r="DM57" s="23" t="n">
        <f aca="false">IF(AND(BC57=1,INT(N(H57))&lt;=Config!$B$7,DA57=0),1,0)</f>
        <v>0</v>
      </c>
      <c r="DN57" s="23" t="n">
        <f aca="false">IF(AND(BC57=1,INT(N(H57))&lt;=Config!$B$8,DB57=0),1,0)</f>
        <v>0</v>
      </c>
      <c r="DO57" s="23" t="n">
        <f aca="false">IF(AND(BC57=1,INT(N(H57))&lt;=Config!$B$5,DC57=0),1,0)</f>
        <v>0</v>
      </c>
      <c r="DP57" s="23" t="n">
        <f aca="false">IF(TRIM($A57)="",0,ISTEXT(K57)+ISTEXT(L57)+ISTEXT(R57)+ISTEXT(V57)+ISTEXT(AP57)+ISTEXT(AS57))</f>
        <v>0</v>
      </c>
      <c r="DQ57" s="23" t="n">
        <f aca="false">IF(AY57=1,IF(H57&lt;&gt;INT(H57),1,0),0)</f>
        <v>0</v>
      </c>
      <c r="DR57" s="23" t="str">
        <f aca="false">IF(TRIM($A57)="","",IF(TRIM(B57)="",SUBSTITUTE(SUBSTITUTE(SUBSTITUTE(SUBSTITUTE(SUBSTITUTE(SUBSTITUTE(LOWER(TRIM($A57)),"~",""),"*",""),"?",""),"&lt;",""),"&gt;",""),"=",""),SUBSTITUTE(SUBSTITUTE(SUBSTITUTE(SUBSTITUTE(SUBSTITUTE(SUBSTITUTE(LOWER(TRIM(B57)),"~",""),"*",""),"?",""),"&lt;",""),"&gt;",""),"=","")))</f>
        <v/>
      </c>
      <c r="DS57" s="23" t="str">
        <f aca="false">IF(CM57="","",IFERROR(IF(LEFT(LOWER(TRIM(INDEX(Clay_Brands!$A$2:$FZ$601,CM57,Sync!$D$19)&amp;"")),4)="grp-",SUBSTITUTE(SUBSTITUTE(SUBSTITUTE(SUBSTITUTE(SUBSTITUTE(SUBSTITUTE(LOWER(TRIM(INDEX(Clay_Brands!$A$2:$FZ$601,CM57,Sync!$D$19)&amp;"")),"~",""),"*",""),"?",""),"&lt;",""),"&gt;",""),"=",""),""),""))</f>
        <v/>
      </c>
      <c r="DT57" s="23" t="str">
        <f aca="false">IF(DS57&lt;&gt;"",DR57,"")</f>
        <v/>
      </c>
      <c r="DU57" s="23" t="str">
        <f aca="false">IF(AZ57=1,AW57,"")</f>
        <v/>
      </c>
      <c r="DV57" s="23" t="str">
        <f aca="false">IF(TRIM($A57)="","",IFERROR(INDEX($A$2:$A$201,MATCH(AW57,$DU$2:$DU$201,0))&amp;"",$A57&amp;""))</f>
        <v/>
      </c>
      <c r="DW57" s="23" t="n">
        <f aca="false">IF(AY57=1,IF(COUNTIFS($A$2:$A$201,$A57,$AY$2:$AY$201,1,$H$2:$H$201,"&lt;"&amp;H57)+COUNTIFS($A$2:$A$201,$A57,$AY$2:$AY$201,1,$H$2:$H$201,H57,$AX$2:$AX$201,"&lt;"&amp;AX57)=0,1,0),0)</f>
        <v>0</v>
      </c>
      <c r="DX57" s="23" t="n">
        <f aca="false">IF(AZ57=1,IF(COUNTIFS($AW$2:$AW$201,AW57,$DW$2:$DW$201,1)&gt;1,1,0),0)</f>
        <v>0</v>
      </c>
    </row>
    <row r="58" customFormat="false" ht="15" hidden="false" customHeight="false" outlineLevel="0" collapsed="false">
      <c r="G58" s="32"/>
      <c r="H58" s="33"/>
      <c r="I58" s="32"/>
      <c r="O58" s="32"/>
      <c r="P58" s="32"/>
      <c r="U58" s="32"/>
      <c r="Y58" s="32"/>
      <c r="AB58" s="32"/>
      <c r="AC58" s="32"/>
      <c r="AD58" s="32"/>
      <c r="AE58" s="32"/>
      <c r="AF58" s="32"/>
      <c r="AG58" s="32"/>
      <c r="AI58" s="32"/>
      <c r="AJ58" s="32"/>
      <c r="AK58" s="32"/>
      <c r="AN58" s="32"/>
      <c r="AO58" s="32"/>
      <c r="AR58" s="32"/>
      <c r="AT58" s="32"/>
      <c r="AV58" s="34" t="str">
        <f aca="false">IF(TRIM($A58)="","",IF(AND(LEFT($A58,6)="SAMPLE",Config!$B$19&lt;&gt;"Y"),"",IF(NOT(ISNUMBER(H58)),"call_date is blank or not a date",IF(Sync!$D$5="","Clay paste is empty or has no row_id column: paste the Clay export on Clay_Brands",IF(CM58="","row_id not found in the Clay paste: add the Clay row or fix the row_id",IF(AND(ISNUMBER(CO58),CO58&gt;=1,CO58&lt;=5),"Clay status is "&amp;CN58&amp;": set call_done or later",IF(AND(BA58=1,CP58&lt;&gt;CB58),"Clay yes_in_principle should be "&amp;CB58,IF(AND(BA58=1,CQ58&lt;&gt;H58),"Clay call_date should be "&amp;TEXT(H58,"yyyy-mm-dd"),""))))))))</f>
        <v/>
      </c>
      <c r="AW58" s="23" t="str">
        <f aca="false">IF(TRIM($A58)="","",IF(TRIM(C58)&lt;&gt;"",SUBSTITUTE(SUBSTITUTE(SUBSTITUTE(SUBSTITUTE(SUBSTITUTE(SUBSTITUTE(LOWER(TRIM(C58)),"~",""),"*",""),"?",""),"&lt;",""),"&gt;",""),"=",""),IF(DS58&lt;&gt;"",DS58,IFERROR(INDEX($DS$2:$DS$201,MATCH(DR58,$DT$2:$DT$201,0)),DR58))))</f>
        <v/>
      </c>
      <c r="AX58" s="23" t="n">
        <f aca="false">ROW()</f>
        <v>58</v>
      </c>
      <c r="AY58" s="23" t="n">
        <f aca="false">IF(AND(TRIM($A58)&lt;&gt;"",ISNUMBER(H58)),IF(AND(LEFT($A58,6)="SAMPLE",Config!$B$19&lt;&gt;"Y"),0,1),0)</f>
        <v>0</v>
      </c>
      <c r="AZ58" s="23" t="n">
        <f aca="false">IF(AY58=1,IF(COUNTIFS($AW$2:$AW$201,AW58,$AY$2:$AY$201,1,$H$2:$H$201,"&lt;"&amp;H58)+COUNTIFS($AW$2:$AW$201,AW58,$AY$2:$AY$201,1,$H$2:$H$201,H58,$AX$2:$AX$201,"&lt;"&amp;AX58)=0,1,0),0)</f>
        <v>0</v>
      </c>
      <c r="BA58" s="23" t="n">
        <f aca="false">IF(AY58=1,IF(COUNTIFS($A$2:$A$201,$A58,$AY$2:$AY$201,1,$H$2:$H$201,"&gt;"&amp;H58)+COUNTIFS($A$2:$A$201,$A58,$AY$2:$AY$201,1,$H$2:$H$201,H58,$AX$2:$AX$201,"&gt;"&amp;AX58)=0,1,0),0)</f>
        <v>0</v>
      </c>
      <c r="BB58" s="23" t="n">
        <f aca="false">IF(AND(AY58=1,O58="Y",MAX(N(R58),N(V58))&gt;=Config!$B$14),1,0)</f>
        <v>0</v>
      </c>
      <c r="BC58" s="23" t="n">
        <f aca="false">IF(BB58=1,IF(COUNTIFS($AW$2:$AW$201,AW58,$BB$2:$BB$201,1,$H$2:$H$201,"&lt;"&amp;H58)+COUNTIFS($AW$2:$AW$201,AW58,$BB$2:$BB$201,1,$H$2:$H$201,H58,$AX$2:$AX$201,"&lt;"&amp;AX58)=0,1,0),0)</f>
        <v>0</v>
      </c>
      <c r="BD58" s="23" t="n">
        <f aca="false">IF(AND(AY58=1,O58="Y",ISNUMBER(R58)),IF(R58&gt;=Config!$B$14,1,0),0)</f>
        <v>0</v>
      </c>
      <c r="BE58" s="23" t="n">
        <f aca="false">IF(BD58=1,IF(COUNTIFS($AW$2:$AW$201,AW58,$BD$2:$BD$201,1,$H$2:$H$201,"&lt;"&amp;H58)+COUNTIFS($AW$2:$AW$201,AW58,$BD$2:$BD$201,1,$H$2:$H$201,H58,$AX$2:$AX$201,"&lt;"&amp;AX58)=0,1,0),0)</f>
        <v>0</v>
      </c>
      <c r="BF58" s="23" t="n">
        <f aca="false">IF(AND(AY58=1,O58&lt;&gt;"Y",MAX(N(R58),N(V58))&gt;=Config!$B$14),1,0)</f>
        <v>0</v>
      </c>
      <c r="BG58" s="23" t="n">
        <f aca="false">IF(BF58=1,IF(COUNTIFS($AW$2:$AW$201,AW58,$BF$2:$BF$201,1,$H$2:$H$201,"&lt;"&amp;H58)+COUNTIFS($AW$2:$AW$201,AW58,$BF$2:$BF$201,1,$H$2:$H$201,H58,$AX$2:$AX$201,"&lt;"&amp;AX58)=0,1,0),0)</f>
        <v>0</v>
      </c>
      <c r="BH58" s="23" t="n">
        <f aca="false">IF(AND(AY58=1,ISNUMBER(R58)),1,0)</f>
        <v>0</v>
      </c>
      <c r="BI58" s="23" t="n">
        <f aca="false">IF(BH58=1,IF(COUNTIFS($AW$2:$AW$201,AW58,$BH$2:$BH$201,1,$H$2:$H$201,"&lt;"&amp;H58)+COUNTIFS($AW$2:$AW$201,AW58,$BH$2:$BH$201,1,$H$2:$H$201,H58,$AX$2:$AX$201,"&lt;"&amp;AX58)=0,1,0),0)</f>
        <v>0</v>
      </c>
      <c r="BJ58" s="23" t="str">
        <f aca="false">IF(AND(BI58=1,INT(N(H58))&lt;=Config!$B$6),R58,"")</f>
        <v/>
      </c>
      <c r="BK58" s="23" t="str">
        <f aca="false">IF(AND(BI58=1,INT(N(H58))&lt;=Config!$B$7),R58,"")</f>
        <v/>
      </c>
      <c r="BL58" s="23" t="str">
        <f aca="false">IF(AND(BI58=1,INT(N(H58))&lt;=Config!$B$8),R58,"")</f>
        <v/>
      </c>
      <c r="BM58" s="23" t="str">
        <f aca="false">IF(AND(BI58=1,INT(N(H58))&lt;=Config!$B$5),R58,"")</f>
        <v/>
      </c>
      <c r="BN58" s="23" t="n">
        <f aca="false">IF(AND(AY58=1,ISNUMBER(V58)),1,0)</f>
        <v>0</v>
      </c>
      <c r="BO58" s="23" t="n">
        <f aca="false">IF(BN58=1,IF(COUNTIFS($AW$2:$AW$201,AW58,$BN$2:$BN$201,1,$H$2:$H$201,"&lt;"&amp;H58)+COUNTIFS($AW$2:$AW$201,AW58,$BN$2:$BN$201,1,$H$2:$H$201,H58,$AX$2:$AX$201,"&lt;"&amp;AX58)=0,1,0),0)</f>
        <v>0</v>
      </c>
      <c r="BP58" s="23" t="str">
        <f aca="false">IF(AND(BO58=1,INT(N(H58))&lt;=Config!$B$6),V58,"")</f>
        <v/>
      </c>
      <c r="BQ58" s="23" t="str">
        <f aca="false">IF(AND(BO58=1,INT(N(H58))&lt;=Config!$B$7),V58,"")</f>
        <v/>
      </c>
      <c r="BR58" s="23" t="str">
        <f aca="false">IF(AND(BO58=1,INT(N(H58))&lt;=Config!$B$8),V58,"")</f>
        <v/>
      </c>
      <c r="BS58" s="23" t="str">
        <f aca="false">IF(AND(BO58=1,INT(N(H58))&lt;=Config!$B$5),V58,"")</f>
        <v/>
      </c>
      <c r="BT58" s="23" t="n">
        <f aca="false">IF(AND(AY58=1,ISNUMBER(K58)),1,0)</f>
        <v>0</v>
      </c>
      <c r="BU58" s="23" t="n">
        <f aca="false">IF(BT58=1,IF(COUNTIFS($AW$2:$AW$201,AW58,$BT$2:$BT$201,1,$H$2:$H$201,"&lt;"&amp;H58)+COUNTIFS($AW$2:$AW$201,AW58,$BT$2:$BT$201,1,$H$2:$H$201,H58,$AX$2:$AX$201,"&lt;"&amp;AX58)=0,1,0),0)</f>
        <v>0</v>
      </c>
      <c r="BV58" s="23" t="str">
        <f aca="false">IF(AND(BU58=1,INT(N(H58))&lt;=Config!$B$5),K58,"")</f>
        <v/>
      </c>
      <c r="BW58" s="23" t="n">
        <f aca="false">IF(AND(AY58=1,OR(AND(ISNUMBER(R58),TRIM(S58)=""),AND(ISNUMBER(V58),TRIM(W58)=""))),1,0)</f>
        <v>0</v>
      </c>
      <c r="BX58" s="23" t="str">
        <f aca="false">IF(AY58=1,AJ58&amp;"","")</f>
        <v/>
      </c>
      <c r="BY58" s="23" t="str">
        <f aca="false">IF(AY58=1,AK58&amp;"","")</f>
        <v/>
      </c>
      <c r="BZ58" s="23" t="str">
        <f aca="false">IF(AY58=1,AL58&amp;"","")</f>
        <v/>
      </c>
      <c r="CA58" s="23" t="str">
        <f aca="false">IF(AND(AY58=1,ISNUMBER(AS58),INT(N(H58))&lt;=Config!$B$5),AS58,"")</f>
        <v/>
      </c>
      <c r="CB58" s="23" t="str">
        <f aca="false">IF(AY58=1,IF(COUNTIFS($A$2:$A$201,$A58,$CU$2:$CU$201,1,$AN$2:$AN$201,"Y")&gt;0,"Y","N"),"")</f>
        <v/>
      </c>
      <c r="CC58" s="23" t="n">
        <f aca="false">IF(AND(AY58=1,AN58="Y"),IF(COUNTIFS($AW$2:$AW$201,AW58,$AN$2:$AN$201,"Y",$AY$2:$AY$201,1,$H$2:$H$201,"&lt;"&amp;H58)+COUNTIFS($AW$2:$AW$201,AW58,$AN$2:$AN$201,"Y",$AY$2:$AY$201,1,$H$2:$H$201,H58,$AX$2:$AX$201,"&lt;"&amp;AX58)=0,1,0),0)</f>
        <v>0</v>
      </c>
      <c r="CD58" s="23" t="n">
        <f aca="false">IF(AND(AY58=1,AB58="Y",AC58="Y",AD58="Y",AE58="Y",AF58="Y",AG58="Y",AI58="Y",TRIM(AH58)&lt;&gt;""),1,0)</f>
        <v>0</v>
      </c>
      <c r="CE58" s="23" t="n">
        <f aca="false">IF(CD58=1,IF(COUNTIFS($AW$2:$AW$201,AW58,$CD$2:$CD$201,1,$H$2:$H$201,"&lt;"&amp;H58)+COUNTIFS($AW$2:$AW$201,AW58,$CD$2:$CD$201,1,$H$2:$H$201,H58,$AX$2:$AX$201,"&lt;"&amp;AX58)=0,1,0),0)</f>
        <v>0</v>
      </c>
      <c r="CF58" s="23" t="n">
        <f aca="false">IF(AND(AY58=1,AO58="Y"),1,0)</f>
        <v>0</v>
      </c>
      <c r="CG58" s="23" t="n">
        <f aca="false">IF(CF58=1,IF(COUNTIFS($AW$2:$AW$201,AW58,$CF$2:$CF$201,1,$H$2:$H$201,"&lt;"&amp;H58)+COUNTIFS($AW$2:$AW$201,AW58,$CF$2:$CF$201,1,$H$2:$H$201,H58,$AX$2:$AX$201,"&lt;"&amp;AX58)=0,1,0),0)</f>
        <v>0</v>
      </c>
      <c r="CH58" s="23" t="n">
        <f aca="false">IF(AND(AY58=1,P58="Y"),1,0)</f>
        <v>0</v>
      </c>
      <c r="CI58" s="23" t="n">
        <f aca="false">IF(CH58=1,IF(COUNTIFS($AW$2:$AW$201,AW58,$CH$2:$CH$201,1,$H$2:$H$201,"&lt;"&amp;H58)+COUNTIFS($AW$2:$AW$201,AW58,$CH$2:$CH$201,1,$H$2:$H$201,H58,$AX$2:$AX$201,"&lt;"&amp;AX58)=0,1,0),0)</f>
        <v>0</v>
      </c>
      <c r="CJ58" s="23" t="str">
        <f aca="false">IF(AND(BU58=1,INT(N(H58))&lt;=Config!$B$5),L58,"")</f>
        <v/>
      </c>
      <c r="CK58" s="23" t="n">
        <f aca="false">IF(AND(AY58=1,AR58="Y"),1,0)</f>
        <v>0</v>
      </c>
      <c r="CL58" s="23" t="n">
        <f aca="false">IF(CK58=1,IF(COUNTIFS($AW$2:$AW$201,AW58,$CK$2:$CK$201,1,$H$2:$H$201,"&lt;"&amp;H58)+COUNTIFS($AW$2:$AW$201,AW58,$CK$2:$CK$201,1,$H$2:$H$201,H58,$AX$2:$AX$201,"&lt;"&amp;AX58)=0,1,0),0)</f>
        <v>0</v>
      </c>
      <c r="CM58" s="23" t="str">
        <f aca="false">IF(AY58=1,IFERROR(MATCH($A58,INDEX(Clay_Brands!$A$2:$FZ$601,0,Sync!$D$5),0),""),"")</f>
        <v/>
      </c>
      <c r="CN58" s="23" t="str">
        <f aca="false">IF(CM58="","",IFERROR(INDEX(Clay_Brands!$A$2:$FZ$601,CM58,Sync!$D$7)&amp;"",""))</f>
        <v/>
      </c>
      <c r="CO58" s="23" t="str">
        <f aca="false">IF(CN58="","",IFERROR(INDEX(Lists!$K$2:$K$15,MATCH(CN58,Lists!$J$2:$J$15,0)),""))</f>
        <v/>
      </c>
      <c r="CP58" s="23" t="str">
        <f aca="false">IF(CM58="","",IFERROR(INDEX(Clay_Brands!$A$2:$FZ$601,CM58,Sync!$D$17)&amp;"",""))</f>
        <v/>
      </c>
      <c r="CQ58" s="35" t="str">
        <f aca="false">IF(CM58="","",IFERROR(N(INDEX(Clay_Brands!$A$2:$FZ$601,CM58,Sync!$D$16)),0))</f>
        <v/>
      </c>
      <c r="CR58" s="23" t="n">
        <f aca="false">IF(AND(AY58=1,OR(O58="N",AND(OR(ISNUMBER(R58),ISNUMBER(V58)),MAX(N(R58),N(V58))&lt;Config!$B$14))),1,0)</f>
        <v>0</v>
      </c>
      <c r="CS58" s="23" t="n">
        <f aca="false">IF(OR(BB58=1,CR58=1),1,0)</f>
        <v>0</v>
      </c>
      <c r="CT58" s="23" t="n">
        <f aca="false">IF(AND(AY58=1,OR(AN58="Y",AN58="N",AN58="maybe")),1,0)</f>
        <v>0</v>
      </c>
      <c r="CU58" s="23" t="n">
        <f aca="false">IF(AND(CT58=1),IF(COUNTIFS($A$2:$A$201,$A58,$CT$2:$CT$201,1,$H$2:$H$201,"&gt;"&amp;H58)+COUNTIFS($A$2:$A$201,$A58,$CT$2:$CT$201,1,$H$2:$H$201,H58,$AX$2:$AX$201,"&gt;"&amp;AX58)=0,1,0),0)</f>
        <v>0</v>
      </c>
      <c r="CV58" s="23" t="n">
        <f aca="false">IF(AND(CS58=1,INT(N(H58))&lt;=Config!$B$6),IF(COUNTIFS($AW$2:$AW$201,AW58,$CS$2:$CS$201,1,$H$2:$H$201,"&gt;"&amp;H58,$H$2:$H$201,"&lt;"&amp;(Config!$B$6+1))+COUNTIFS($AW$2:$AW$201,AW58,$CS$2:$CS$201,1,$H$2:$H$201,H58,$AX$2:$AX$201,"&gt;"&amp;AX58)=0,1,0),0)</f>
        <v>0</v>
      </c>
      <c r="CW58" s="23" t="n">
        <f aca="false">IF(AND(CS58=1,INT(N(H58))&lt;=Config!$B$7),IF(COUNTIFS($AW$2:$AW$201,AW58,$CS$2:$CS$201,1,$H$2:$H$201,"&gt;"&amp;H58,$H$2:$H$201,"&lt;"&amp;(Config!$B$7+1))+COUNTIFS($AW$2:$AW$201,AW58,$CS$2:$CS$201,1,$H$2:$H$201,H58,$AX$2:$AX$201,"&gt;"&amp;AX58)=0,1,0),0)</f>
        <v>0</v>
      </c>
      <c r="CX58" s="23" t="n">
        <f aca="false">IF(AND(CS58=1,INT(N(H58))&lt;=Config!$B$8),IF(COUNTIFS($AW$2:$AW$201,AW58,$CS$2:$CS$201,1,$H$2:$H$201,"&gt;"&amp;H58,$H$2:$H$201,"&lt;"&amp;(Config!$B$8+1))+COUNTIFS($AW$2:$AW$201,AW58,$CS$2:$CS$201,1,$H$2:$H$201,H58,$AX$2:$AX$201,"&gt;"&amp;AX58)=0,1,0),0)</f>
        <v>0</v>
      </c>
      <c r="CY58" s="23" t="n">
        <f aca="false">IF(AND(CS58=1,INT(N(H58))&lt;=Config!$B$5),IF(COUNTIFS($AW$2:$AW$201,AW58,$CS$2:$CS$201,1,$H$2:$H$201,"&gt;"&amp;H58,$H$2:$H$201,"&lt;"&amp;(Config!$B$5+1))+COUNTIFS($AW$2:$AW$201,AW58,$CS$2:$CS$201,1,$H$2:$H$201,H58,$AX$2:$AX$201,"&gt;"&amp;AX58)=0,1,0),0)</f>
        <v>0</v>
      </c>
      <c r="CZ58" s="23" t="n">
        <f aca="false">IF(AY58=1,IF(COUNTIFS($AW$2:$AW$201,AW58,$CV$2:$CV$201,1,$BB$2:$BB$201,1)&gt;0,1,0),0)</f>
        <v>0</v>
      </c>
      <c r="DA58" s="23" t="n">
        <f aca="false">IF(AY58=1,IF(COUNTIFS($AW$2:$AW$201,AW58,$CW$2:$CW$201,1,$BB$2:$BB$201,1)&gt;0,1,0),0)</f>
        <v>0</v>
      </c>
      <c r="DB58" s="23" t="n">
        <f aca="false">IF(AY58=1,IF(COUNTIFS($AW$2:$AW$201,AW58,$CX$2:$CX$201,1,$BB$2:$BB$201,1)&gt;0,1,0),0)</f>
        <v>0</v>
      </c>
      <c r="DC58" s="23" t="n">
        <f aca="false">IF(AY58=1,IF(COUNTIFS($AW$2:$AW$201,AW58,$CY$2:$CY$201,1,$BB$2:$BB$201,1)&gt;0,1,0),0)</f>
        <v>0</v>
      </c>
      <c r="DD58" s="23" t="n">
        <f aca="false">IF(AND(BC58=1,INT(N(H58))&lt;=Config!$B$6,CZ58=1),1,0)</f>
        <v>0</v>
      </c>
      <c r="DE58" s="23" t="n">
        <f aca="false">IF(AND(BC58=1,INT(N(H58))&lt;=Config!$B$7,DA58=1),1,0)</f>
        <v>0</v>
      </c>
      <c r="DF58" s="23" t="n">
        <f aca="false">IF(AND(BC58=1,INT(N(H58))&lt;=Config!$B$8,DB58=1),1,0)</f>
        <v>0</v>
      </c>
      <c r="DG58" s="23" t="n">
        <f aca="false">IF(AND(BC58=1,INT(N(H58))&lt;=Config!$B$5,DC58=1),1,0)</f>
        <v>0</v>
      </c>
      <c r="DH58" s="23" t="n">
        <f aca="false">IF(AND(BE58=1,INT(N(H58))&lt;=Config!$B$6,CZ58=1),1,0)</f>
        <v>0</v>
      </c>
      <c r="DI58" s="23" t="n">
        <f aca="false">IF(AND(BE58=1,INT(N(H58))&lt;=Config!$B$7,DA58=1),1,0)</f>
        <v>0</v>
      </c>
      <c r="DJ58" s="23" t="n">
        <f aca="false">IF(AND(BE58=1,INT(N(H58))&lt;=Config!$B$8,DB58=1),1,0)</f>
        <v>0</v>
      </c>
      <c r="DK58" s="23" t="n">
        <f aca="false">IF(AND(BE58=1,INT(N(H58))&lt;=Config!$B$5,DC58=1),1,0)</f>
        <v>0</v>
      </c>
      <c r="DL58" s="23" t="n">
        <f aca="false">IF(AND(BC58=1,INT(N(H58))&lt;=Config!$B$6,CZ58=0),1,0)</f>
        <v>0</v>
      </c>
      <c r="DM58" s="23" t="n">
        <f aca="false">IF(AND(BC58=1,INT(N(H58))&lt;=Config!$B$7,DA58=0),1,0)</f>
        <v>0</v>
      </c>
      <c r="DN58" s="23" t="n">
        <f aca="false">IF(AND(BC58=1,INT(N(H58))&lt;=Config!$B$8,DB58=0),1,0)</f>
        <v>0</v>
      </c>
      <c r="DO58" s="23" t="n">
        <f aca="false">IF(AND(BC58=1,INT(N(H58))&lt;=Config!$B$5,DC58=0),1,0)</f>
        <v>0</v>
      </c>
      <c r="DP58" s="23" t="n">
        <f aca="false">IF(TRIM($A58)="",0,ISTEXT(K58)+ISTEXT(L58)+ISTEXT(R58)+ISTEXT(V58)+ISTEXT(AP58)+ISTEXT(AS58))</f>
        <v>0</v>
      </c>
      <c r="DQ58" s="23" t="n">
        <f aca="false">IF(AY58=1,IF(H58&lt;&gt;INT(H58),1,0),0)</f>
        <v>0</v>
      </c>
      <c r="DR58" s="23" t="str">
        <f aca="false">IF(TRIM($A58)="","",IF(TRIM(B58)="",SUBSTITUTE(SUBSTITUTE(SUBSTITUTE(SUBSTITUTE(SUBSTITUTE(SUBSTITUTE(LOWER(TRIM($A58)),"~",""),"*",""),"?",""),"&lt;",""),"&gt;",""),"=",""),SUBSTITUTE(SUBSTITUTE(SUBSTITUTE(SUBSTITUTE(SUBSTITUTE(SUBSTITUTE(LOWER(TRIM(B58)),"~",""),"*",""),"?",""),"&lt;",""),"&gt;",""),"=","")))</f>
        <v/>
      </c>
      <c r="DS58" s="23" t="str">
        <f aca="false">IF(CM58="","",IFERROR(IF(LEFT(LOWER(TRIM(INDEX(Clay_Brands!$A$2:$FZ$601,CM58,Sync!$D$19)&amp;"")),4)="grp-",SUBSTITUTE(SUBSTITUTE(SUBSTITUTE(SUBSTITUTE(SUBSTITUTE(SUBSTITUTE(LOWER(TRIM(INDEX(Clay_Brands!$A$2:$FZ$601,CM58,Sync!$D$19)&amp;"")),"~",""),"*",""),"?",""),"&lt;",""),"&gt;",""),"=",""),""),""))</f>
        <v/>
      </c>
      <c r="DT58" s="23" t="str">
        <f aca="false">IF(DS58&lt;&gt;"",DR58,"")</f>
        <v/>
      </c>
      <c r="DU58" s="23" t="str">
        <f aca="false">IF(AZ58=1,AW58,"")</f>
        <v/>
      </c>
      <c r="DV58" s="23" t="str">
        <f aca="false">IF(TRIM($A58)="","",IFERROR(INDEX($A$2:$A$201,MATCH(AW58,$DU$2:$DU$201,0))&amp;"",$A58&amp;""))</f>
        <v/>
      </c>
      <c r="DW58" s="23" t="n">
        <f aca="false">IF(AY58=1,IF(COUNTIFS($A$2:$A$201,$A58,$AY$2:$AY$201,1,$H$2:$H$201,"&lt;"&amp;H58)+COUNTIFS($A$2:$A$201,$A58,$AY$2:$AY$201,1,$H$2:$H$201,H58,$AX$2:$AX$201,"&lt;"&amp;AX58)=0,1,0),0)</f>
        <v>0</v>
      </c>
      <c r="DX58" s="23" t="n">
        <f aca="false">IF(AZ58=1,IF(COUNTIFS($AW$2:$AW$201,AW58,$DW$2:$DW$201,1)&gt;1,1,0),0)</f>
        <v>0</v>
      </c>
    </row>
    <row r="59" customFormat="false" ht="15" hidden="false" customHeight="false" outlineLevel="0" collapsed="false">
      <c r="G59" s="32"/>
      <c r="H59" s="33"/>
      <c r="I59" s="32"/>
      <c r="O59" s="32"/>
      <c r="P59" s="32"/>
      <c r="U59" s="32"/>
      <c r="Y59" s="32"/>
      <c r="AB59" s="32"/>
      <c r="AC59" s="32"/>
      <c r="AD59" s="32"/>
      <c r="AE59" s="32"/>
      <c r="AF59" s="32"/>
      <c r="AG59" s="32"/>
      <c r="AI59" s="32"/>
      <c r="AJ59" s="32"/>
      <c r="AK59" s="32"/>
      <c r="AN59" s="32"/>
      <c r="AO59" s="32"/>
      <c r="AR59" s="32"/>
      <c r="AT59" s="32"/>
      <c r="AV59" s="34" t="str">
        <f aca="false">IF(TRIM($A59)="","",IF(AND(LEFT($A59,6)="SAMPLE",Config!$B$19&lt;&gt;"Y"),"",IF(NOT(ISNUMBER(H59)),"call_date is blank or not a date",IF(Sync!$D$5="","Clay paste is empty or has no row_id column: paste the Clay export on Clay_Brands",IF(CM59="","row_id not found in the Clay paste: add the Clay row or fix the row_id",IF(AND(ISNUMBER(CO59),CO59&gt;=1,CO59&lt;=5),"Clay status is "&amp;CN59&amp;": set call_done or later",IF(AND(BA59=1,CP59&lt;&gt;CB59),"Clay yes_in_principle should be "&amp;CB59,IF(AND(BA59=1,CQ59&lt;&gt;H59),"Clay call_date should be "&amp;TEXT(H59,"yyyy-mm-dd"),""))))))))</f>
        <v/>
      </c>
      <c r="AW59" s="23" t="str">
        <f aca="false">IF(TRIM($A59)="","",IF(TRIM(C59)&lt;&gt;"",SUBSTITUTE(SUBSTITUTE(SUBSTITUTE(SUBSTITUTE(SUBSTITUTE(SUBSTITUTE(LOWER(TRIM(C59)),"~",""),"*",""),"?",""),"&lt;",""),"&gt;",""),"=",""),IF(DS59&lt;&gt;"",DS59,IFERROR(INDEX($DS$2:$DS$201,MATCH(DR59,$DT$2:$DT$201,0)),DR59))))</f>
        <v/>
      </c>
      <c r="AX59" s="23" t="n">
        <f aca="false">ROW()</f>
        <v>59</v>
      </c>
      <c r="AY59" s="23" t="n">
        <f aca="false">IF(AND(TRIM($A59)&lt;&gt;"",ISNUMBER(H59)),IF(AND(LEFT($A59,6)="SAMPLE",Config!$B$19&lt;&gt;"Y"),0,1),0)</f>
        <v>0</v>
      </c>
      <c r="AZ59" s="23" t="n">
        <f aca="false">IF(AY59=1,IF(COUNTIFS($AW$2:$AW$201,AW59,$AY$2:$AY$201,1,$H$2:$H$201,"&lt;"&amp;H59)+COUNTIFS($AW$2:$AW$201,AW59,$AY$2:$AY$201,1,$H$2:$H$201,H59,$AX$2:$AX$201,"&lt;"&amp;AX59)=0,1,0),0)</f>
        <v>0</v>
      </c>
      <c r="BA59" s="23" t="n">
        <f aca="false">IF(AY59=1,IF(COUNTIFS($A$2:$A$201,$A59,$AY$2:$AY$201,1,$H$2:$H$201,"&gt;"&amp;H59)+COUNTIFS($A$2:$A$201,$A59,$AY$2:$AY$201,1,$H$2:$H$201,H59,$AX$2:$AX$201,"&gt;"&amp;AX59)=0,1,0),0)</f>
        <v>0</v>
      </c>
      <c r="BB59" s="23" t="n">
        <f aca="false">IF(AND(AY59=1,O59="Y",MAX(N(R59),N(V59))&gt;=Config!$B$14),1,0)</f>
        <v>0</v>
      </c>
      <c r="BC59" s="23" t="n">
        <f aca="false">IF(BB59=1,IF(COUNTIFS($AW$2:$AW$201,AW59,$BB$2:$BB$201,1,$H$2:$H$201,"&lt;"&amp;H59)+COUNTIFS($AW$2:$AW$201,AW59,$BB$2:$BB$201,1,$H$2:$H$201,H59,$AX$2:$AX$201,"&lt;"&amp;AX59)=0,1,0),0)</f>
        <v>0</v>
      </c>
      <c r="BD59" s="23" t="n">
        <f aca="false">IF(AND(AY59=1,O59="Y",ISNUMBER(R59)),IF(R59&gt;=Config!$B$14,1,0),0)</f>
        <v>0</v>
      </c>
      <c r="BE59" s="23" t="n">
        <f aca="false">IF(BD59=1,IF(COUNTIFS($AW$2:$AW$201,AW59,$BD$2:$BD$201,1,$H$2:$H$201,"&lt;"&amp;H59)+COUNTIFS($AW$2:$AW$201,AW59,$BD$2:$BD$201,1,$H$2:$H$201,H59,$AX$2:$AX$201,"&lt;"&amp;AX59)=0,1,0),0)</f>
        <v>0</v>
      </c>
      <c r="BF59" s="23" t="n">
        <f aca="false">IF(AND(AY59=1,O59&lt;&gt;"Y",MAX(N(R59),N(V59))&gt;=Config!$B$14),1,0)</f>
        <v>0</v>
      </c>
      <c r="BG59" s="23" t="n">
        <f aca="false">IF(BF59=1,IF(COUNTIFS($AW$2:$AW$201,AW59,$BF$2:$BF$201,1,$H$2:$H$201,"&lt;"&amp;H59)+COUNTIFS($AW$2:$AW$201,AW59,$BF$2:$BF$201,1,$H$2:$H$201,H59,$AX$2:$AX$201,"&lt;"&amp;AX59)=0,1,0),0)</f>
        <v>0</v>
      </c>
      <c r="BH59" s="23" t="n">
        <f aca="false">IF(AND(AY59=1,ISNUMBER(R59)),1,0)</f>
        <v>0</v>
      </c>
      <c r="BI59" s="23" t="n">
        <f aca="false">IF(BH59=1,IF(COUNTIFS($AW$2:$AW$201,AW59,$BH$2:$BH$201,1,$H$2:$H$201,"&lt;"&amp;H59)+COUNTIFS($AW$2:$AW$201,AW59,$BH$2:$BH$201,1,$H$2:$H$201,H59,$AX$2:$AX$201,"&lt;"&amp;AX59)=0,1,0),0)</f>
        <v>0</v>
      </c>
      <c r="BJ59" s="23" t="str">
        <f aca="false">IF(AND(BI59=1,INT(N(H59))&lt;=Config!$B$6),R59,"")</f>
        <v/>
      </c>
      <c r="BK59" s="23" t="str">
        <f aca="false">IF(AND(BI59=1,INT(N(H59))&lt;=Config!$B$7),R59,"")</f>
        <v/>
      </c>
      <c r="BL59" s="23" t="str">
        <f aca="false">IF(AND(BI59=1,INT(N(H59))&lt;=Config!$B$8),R59,"")</f>
        <v/>
      </c>
      <c r="BM59" s="23" t="str">
        <f aca="false">IF(AND(BI59=1,INT(N(H59))&lt;=Config!$B$5),R59,"")</f>
        <v/>
      </c>
      <c r="BN59" s="23" t="n">
        <f aca="false">IF(AND(AY59=1,ISNUMBER(V59)),1,0)</f>
        <v>0</v>
      </c>
      <c r="BO59" s="23" t="n">
        <f aca="false">IF(BN59=1,IF(COUNTIFS($AW$2:$AW$201,AW59,$BN$2:$BN$201,1,$H$2:$H$201,"&lt;"&amp;H59)+COUNTIFS($AW$2:$AW$201,AW59,$BN$2:$BN$201,1,$H$2:$H$201,H59,$AX$2:$AX$201,"&lt;"&amp;AX59)=0,1,0),0)</f>
        <v>0</v>
      </c>
      <c r="BP59" s="23" t="str">
        <f aca="false">IF(AND(BO59=1,INT(N(H59))&lt;=Config!$B$6),V59,"")</f>
        <v/>
      </c>
      <c r="BQ59" s="23" t="str">
        <f aca="false">IF(AND(BO59=1,INT(N(H59))&lt;=Config!$B$7),V59,"")</f>
        <v/>
      </c>
      <c r="BR59" s="23" t="str">
        <f aca="false">IF(AND(BO59=1,INT(N(H59))&lt;=Config!$B$8),V59,"")</f>
        <v/>
      </c>
      <c r="BS59" s="23" t="str">
        <f aca="false">IF(AND(BO59=1,INT(N(H59))&lt;=Config!$B$5),V59,"")</f>
        <v/>
      </c>
      <c r="BT59" s="23" t="n">
        <f aca="false">IF(AND(AY59=1,ISNUMBER(K59)),1,0)</f>
        <v>0</v>
      </c>
      <c r="BU59" s="23" t="n">
        <f aca="false">IF(BT59=1,IF(COUNTIFS($AW$2:$AW$201,AW59,$BT$2:$BT$201,1,$H$2:$H$201,"&lt;"&amp;H59)+COUNTIFS($AW$2:$AW$201,AW59,$BT$2:$BT$201,1,$H$2:$H$201,H59,$AX$2:$AX$201,"&lt;"&amp;AX59)=0,1,0),0)</f>
        <v>0</v>
      </c>
      <c r="BV59" s="23" t="str">
        <f aca="false">IF(AND(BU59=1,INT(N(H59))&lt;=Config!$B$5),K59,"")</f>
        <v/>
      </c>
      <c r="BW59" s="23" t="n">
        <f aca="false">IF(AND(AY59=1,OR(AND(ISNUMBER(R59),TRIM(S59)=""),AND(ISNUMBER(V59),TRIM(W59)=""))),1,0)</f>
        <v>0</v>
      </c>
      <c r="BX59" s="23" t="str">
        <f aca="false">IF(AY59=1,AJ59&amp;"","")</f>
        <v/>
      </c>
      <c r="BY59" s="23" t="str">
        <f aca="false">IF(AY59=1,AK59&amp;"","")</f>
        <v/>
      </c>
      <c r="BZ59" s="23" t="str">
        <f aca="false">IF(AY59=1,AL59&amp;"","")</f>
        <v/>
      </c>
      <c r="CA59" s="23" t="str">
        <f aca="false">IF(AND(AY59=1,ISNUMBER(AS59),INT(N(H59))&lt;=Config!$B$5),AS59,"")</f>
        <v/>
      </c>
      <c r="CB59" s="23" t="str">
        <f aca="false">IF(AY59=1,IF(COUNTIFS($A$2:$A$201,$A59,$CU$2:$CU$201,1,$AN$2:$AN$201,"Y")&gt;0,"Y","N"),"")</f>
        <v/>
      </c>
      <c r="CC59" s="23" t="n">
        <f aca="false">IF(AND(AY59=1,AN59="Y"),IF(COUNTIFS($AW$2:$AW$201,AW59,$AN$2:$AN$201,"Y",$AY$2:$AY$201,1,$H$2:$H$201,"&lt;"&amp;H59)+COUNTIFS($AW$2:$AW$201,AW59,$AN$2:$AN$201,"Y",$AY$2:$AY$201,1,$H$2:$H$201,H59,$AX$2:$AX$201,"&lt;"&amp;AX59)=0,1,0),0)</f>
        <v>0</v>
      </c>
      <c r="CD59" s="23" t="n">
        <f aca="false">IF(AND(AY59=1,AB59="Y",AC59="Y",AD59="Y",AE59="Y",AF59="Y",AG59="Y",AI59="Y",TRIM(AH59)&lt;&gt;""),1,0)</f>
        <v>0</v>
      </c>
      <c r="CE59" s="23" t="n">
        <f aca="false">IF(CD59=1,IF(COUNTIFS($AW$2:$AW$201,AW59,$CD$2:$CD$201,1,$H$2:$H$201,"&lt;"&amp;H59)+COUNTIFS($AW$2:$AW$201,AW59,$CD$2:$CD$201,1,$H$2:$H$201,H59,$AX$2:$AX$201,"&lt;"&amp;AX59)=0,1,0),0)</f>
        <v>0</v>
      </c>
      <c r="CF59" s="23" t="n">
        <f aca="false">IF(AND(AY59=1,AO59="Y"),1,0)</f>
        <v>0</v>
      </c>
      <c r="CG59" s="23" t="n">
        <f aca="false">IF(CF59=1,IF(COUNTIFS($AW$2:$AW$201,AW59,$CF$2:$CF$201,1,$H$2:$H$201,"&lt;"&amp;H59)+COUNTIFS($AW$2:$AW$201,AW59,$CF$2:$CF$201,1,$H$2:$H$201,H59,$AX$2:$AX$201,"&lt;"&amp;AX59)=0,1,0),0)</f>
        <v>0</v>
      </c>
      <c r="CH59" s="23" t="n">
        <f aca="false">IF(AND(AY59=1,P59="Y"),1,0)</f>
        <v>0</v>
      </c>
      <c r="CI59" s="23" t="n">
        <f aca="false">IF(CH59=1,IF(COUNTIFS($AW$2:$AW$201,AW59,$CH$2:$CH$201,1,$H$2:$H$201,"&lt;"&amp;H59)+COUNTIFS($AW$2:$AW$201,AW59,$CH$2:$CH$201,1,$H$2:$H$201,H59,$AX$2:$AX$201,"&lt;"&amp;AX59)=0,1,0),0)</f>
        <v>0</v>
      </c>
      <c r="CJ59" s="23" t="str">
        <f aca="false">IF(AND(BU59=1,INT(N(H59))&lt;=Config!$B$5),L59,"")</f>
        <v/>
      </c>
      <c r="CK59" s="23" t="n">
        <f aca="false">IF(AND(AY59=1,AR59="Y"),1,0)</f>
        <v>0</v>
      </c>
      <c r="CL59" s="23" t="n">
        <f aca="false">IF(CK59=1,IF(COUNTIFS($AW$2:$AW$201,AW59,$CK$2:$CK$201,1,$H$2:$H$201,"&lt;"&amp;H59)+COUNTIFS($AW$2:$AW$201,AW59,$CK$2:$CK$201,1,$H$2:$H$201,H59,$AX$2:$AX$201,"&lt;"&amp;AX59)=0,1,0),0)</f>
        <v>0</v>
      </c>
      <c r="CM59" s="23" t="str">
        <f aca="false">IF(AY59=1,IFERROR(MATCH($A59,INDEX(Clay_Brands!$A$2:$FZ$601,0,Sync!$D$5),0),""),"")</f>
        <v/>
      </c>
      <c r="CN59" s="23" t="str">
        <f aca="false">IF(CM59="","",IFERROR(INDEX(Clay_Brands!$A$2:$FZ$601,CM59,Sync!$D$7)&amp;"",""))</f>
        <v/>
      </c>
      <c r="CO59" s="23" t="str">
        <f aca="false">IF(CN59="","",IFERROR(INDEX(Lists!$K$2:$K$15,MATCH(CN59,Lists!$J$2:$J$15,0)),""))</f>
        <v/>
      </c>
      <c r="CP59" s="23" t="str">
        <f aca="false">IF(CM59="","",IFERROR(INDEX(Clay_Brands!$A$2:$FZ$601,CM59,Sync!$D$17)&amp;"",""))</f>
        <v/>
      </c>
      <c r="CQ59" s="35" t="str">
        <f aca="false">IF(CM59="","",IFERROR(N(INDEX(Clay_Brands!$A$2:$FZ$601,CM59,Sync!$D$16)),0))</f>
        <v/>
      </c>
      <c r="CR59" s="23" t="n">
        <f aca="false">IF(AND(AY59=1,OR(O59="N",AND(OR(ISNUMBER(R59),ISNUMBER(V59)),MAX(N(R59),N(V59))&lt;Config!$B$14))),1,0)</f>
        <v>0</v>
      </c>
      <c r="CS59" s="23" t="n">
        <f aca="false">IF(OR(BB59=1,CR59=1),1,0)</f>
        <v>0</v>
      </c>
      <c r="CT59" s="23" t="n">
        <f aca="false">IF(AND(AY59=1,OR(AN59="Y",AN59="N",AN59="maybe")),1,0)</f>
        <v>0</v>
      </c>
      <c r="CU59" s="23" t="n">
        <f aca="false">IF(AND(CT59=1),IF(COUNTIFS($A$2:$A$201,$A59,$CT$2:$CT$201,1,$H$2:$H$201,"&gt;"&amp;H59)+COUNTIFS($A$2:$A$201,$A59,$CT$2:$CT$201,1,$H$2:$H$201,H59,$AX$2:$AX$201,"&gt;"&amp;AX59)=0,1,0),0)</f>
        <v>0</v>
      </c>
      <c r="CV59" s="23" t="n">
        <f aca="false">IF(AND(CS59=1,INT(N(H59))&lt;=Config!$B$6),IF(COUNTIFS($AW$2:$AW$201,AW59,$CS$2:$CS$201,1,$H$2:$H$201,"&gt;"&amp;H59,$H$2:$H$201,"&lt;"&amp;(Config!$B$6+1))+COUNTIFS($AW$2:$AW$201,AW59,$CS$2:$CS$201,1,$H$2:$H$201,H59,$AX$2:$AX$201,"&gt;"&amp;AX59)=0,1,0),0)</f>
        <v>0</v>
      </c>
      <c r="CW59" s="23" t="n">
        <f aca="false">IF(AND(CS59=1,INT(N(H59))&lt;=Config!$B$7),IF(COUNTIFS($AW$2:$AW$201,AW59,$CS$2:$CS$201,1,$H$2:$H$201,"&gt;"&amp;H59,$H$2:$H$201,"&lt;"&amp;(Config!$B$7+1))+COUNTIFS($AW$2:$AW$201,AW59,$CS$2:$CS$201,1,$H$2:$H$201,H59,$AX$2:$AX$201,"&gt;"&amp;AX59)=0,1,0),0)</f>
        <v>0</v>
      </c>
      <c r="CX59" s="23" t="n">
        <f aca="false">IF(AND(CS59=1,INT(N(H59))&lt;=Config!$B$8),IF(COUNTIFS($AW$2:$AW$201,AW59,$CS$2:$CS$201,1,$H$2:$H$201,"&gt;"&amp;H59,$H$2:$H$201,"&lt;"&amp;(Config!$B$8+1))+COUNTIFS($AW$2:$AW$201,AW59,$CS$2:$CS$201,1,$H$2:$H$201,H59,$AX$2:$AX$201,"&gt;"&amp;AX59)=0,1,0),0)</f>
        <v>0</v>
      </c>
      <c r="CY59" s="23" t="n">
        <f aca="false">IF(AND(CS59=1,INT(N(H59))&lt;=Config!$B$5),IF(COUNTIFS($AW$2:$AW$201,AW59,$CS$2:$CS$201,1,$H$2:$H$201,"&gt;"&amp;H59,$H$2:$H$201,"&lt;"&amp;(Config!$B$5+1))+COUNTIFS($AW$2:$AW$201,AW59,$CS$2:$CS$201,1,$H$2:$H$201,H59,$AX$2:$AX$201,"&gt;"&amp;AX59)=0,1,0),0)</f>
        <v>0</v>
      </c>
      <c r="CZ59" s="23" t="n">
        <f aca="false">IF(AY59=1,IF(COUNTIFS($AW$2:$AW$201,AW59,$CV$2:$CV$201,1,$BB$2:$BB$201,1)&gt;0,1,0),0)</f>
        <v>0</v>
      </c>
      <c r="DA59" s="23" t="n">
        <f aca="false">IF(AY59=1,IF(COUNTIFS($AW$2:$AW$201,AW59,$CW$2:$CW$201,1,$BB$2:$BB$201,1)&gt;0,1,0),0)</f>
        <v>0</v>
      </c>
      <c r="DB59" s="23" t="n">
        <f aca="false">IF(AY59=1,IF(COUNTIFS($AW$2:$AW$201,AW59,$CX$2:$CX$201,1,$BB$2:$BB$201,1)&gt;0,1,0),0)</f>
        <v>0</v>
      </c>
      <c r="DC59" s="23" t="n">
        <f aca="false">IF(AY59=1,IF(COUNTIFS($AW$2:$AW$201,AW59,$CY$2:$CY$201,1,$BB$2:$BB$201,1)&gt;0,1,0),0)</f>
        <v>0</v>
      </c>
      <c r="DD59" s="23" t="n">
        <f aca="false">IF(AND(BC59=1,INT(N(H59))&lt;=Config!$B$6,CZ59=1),1,0)</f>
        <v>0</v>
      </c>
      <c r="DE59" s="23" t="n">
        <f aca="false">IF(AND(BC59=1,INT(N(H59))&lt;=Config!$B$7,DA59=1),1,0)</f>
        <v>0</v>
      </c>
      <c r="DF59" s="23" t="n">
        <f aca="false">IF(AND(BC59=1,INT(N(H59))&lt;=Config!$B$8,DB59=1),1,0)</f>
        <v>0</v>
      </c>
      <c r="DG59" s="23" t="n">
        <f aca="false">IF(AND(BC59=1,INT(N(H59))&lt;=Config!$B$5,DC59=1),1,0)</f>
        <v>0</v>
      </c>
      <c r="DH59" s="23" t="n">
        <f aca="false">IF(AND(BE59=1,INT(N(H59))&lt;=Config!$B$6,CZ59=1),1,0)</f>
        <v>0</v>
      </c>
      <c r="DI59" s="23" t="n">
        <f aca="false">IF(AND(BE59=1,INT(N(H59))&lt;=Config!$B$7,DA59=1),1,0)</f>
        <v>0</v>
      </c>
      <c r="DJ59" s="23" t="n">
        <f aca="false">IF(AND(BE59=1,INT(N(H59))&lt;=Config!$B$8,DB59=1),1,0)</f>
        <v>0</v>
      </c>
      <c r="DK59" s="23" t="n">
        <f aca="false">IF(AND(BE59=1,INT(N(H59))&lt;=Config!$B$5,DC59=1),1,0)</f>
        <v>0</v>
      </c>
      <c r="DL59" s="23" t="n">
        <f aca="false">IF(AND(BC59=1,INT(N(H59))&lt;=Config!$B$6,CZ59=0),1,0)</f>
        <v>0</v>
      </c>
      <c r="DM59" s="23" t="n">
        <f aca="false">IF(AND(BC59=1,INT(N(H59))&lt;=Config!$B$7,DA59=0),1,0)</f>
        <v>0</v>
      </c>
      <c r="DN59" s="23" t="n">
        <f aca="false">IF(AND(BC59=1,INT(N(H59))&lt;=Config!$B$8,DB59=0),1,0)</f>
        <v>0</v>
      </c>
      <c r="DO59" s="23" t="n">
        <f aca="false">IF(AND(BC59=1,INT(N(H59))&lt;=Config!$B$5,DC59=0),1,0)</f>
        <v>0</v>
      </c>
      <c r="DP59" s="23" t="n">
        <f aca="false">IF(TRIM($A59)="",0,ISTEXT(K59)+ISTEXT(L59)+ISTEXT(R59)+ISTEXT(V59)+ISTEXT(AP59)+ISTEXT(AS59))</f>
        <v>0</v>
      </c>
      <c r="DQ59" s="23" t="n">
        <f aca="false">IF(AY59=1,IF(H59&lt;&gt;INT(H59),1,0),0)</f>
        <v>0</v>
      </c>
      <c r="DR59" s="23" t="str">
        <f aca="false">IF(TRIM($A59)="","",IF(TRIM(B59)="",SUBSTITUTE(SUBSTITUTE(SUBSTITUTE(SUBSTITUTE(SUBSTITUTE(SUBSTITUTE(LOWER(TRIM($A59)),"~",""),"*",""),"?",""),"&lt;",""),"&gt;",""),"=",""),SUBSTITUTE(SUBSTITUTE(SUBSTITUTE(SUBSTITUTE(SUBSTITUTE(SUBSTITUTE(LOWER(TRIM(B59)),"~",""),"*",""),"?",""),"&lt;",""),"&gt;",""),"=","")))</f>
        <v/>
      </c>
      <c r="DS59" s="23" t="str">
        <f aca="false">IF(CM59="","",IFERROR(IF(LEFT(LOWER(TRIM(INDEX(Clay_Brands!$A$2:$FZ$601,CM59,Sync!$D$19)&amp;"")),4)="grp-",SUBSTITUTE(SUBSTITUTE(SUBSTITUTE(SUBSTITUTE(SUBSTITUTE(SUBSTITUTE(LOWER(TRIM(INDEX(Clay_Brands!$A$2:$FZ$601,CM59,Sync!$D$19)&amp;"")),"~",""),"*",""),"?",""),"&lt;",""),"&gt;",""),"=",""),""),""))</f>
        <v/>
      </c>
      <c r="DT59" s="23" t="str">
        <f aca="false">IF(DS59&lt;&gt;"",DR59,"")</f>
        <v/>
      </c>
      <c r="DU59" s="23" t="str">
        <f aca="false">IF(AZ59=1,AW59,"")</f>
        <v/>
      </c>
      <c r="DV59" s="23" t="str">
        <f aca="false">IF(TRIM($A59)="","",IFERROR(INDEX($A$2:$A$201,MATCH(AW59,$DU$2:$DU$201,0))&amp;"",$A59&amp;""))</f>
        <v/>
      </c>
      <c r="DW59" s="23" t="n">
        <f aca="false">IF(AY59=1,IF(COUNTIFS($A$2:$A$201,$A59,$AY$2:$AY$201,1,$H$2:$H$201,"&lt;"&amp;H59)+COUNTIFS($A$2:$A$201,$A59,$AY$2:$AY$201,1,$H$2:$H$201,H59,$AX$2:$AX$201,"&lt;"&amp;AX59)=0,1,0),0)</f>
        <v>0</v>
      </c>
      <c r="DX59" s="23" t="n">
        <f aca="false">IF(AZ59=1,IF(COUNTIFS($AW$2:$AW$201,AW59,$DW$2:$DW$201,1)&gt;1,1,0),0)</f>
        <v>0</v>
      </c>
    </row>
    <row r="60" customFormat="false" ht="15" hidden="false" customHeight="false" outlineLevel="0" collapsed="false">
      <c r="G60" s="32"/>
      <c r="H60" s="33"/>
      <c r="I60" s="32"/>
      <c r="O60" s="32"/>
      <c r="P60" s="32"/>
      <c r="U60" s="32"/>
      <c r="Y60" s="32"/>
      <c r="AB60" s="32"/>
      <c r="AC60" s="32"/>
      <c r="AD60" s="32"/>
      <c r="AE60" s="32"/>
      <c r="AF60" s="32"/>
      <c r="AG60" s="32"/>
      <c r="AI60" s="32"/>
      <c r="AJ60" s="32"/>
      <c r="AK60" s="32"/>
      <c r="AN60" s="32"/>
      <c r="AO60" s="32"/>
      <c r="AR60" s="32"/>
      <c r="AT60" s="32"/>
      <c r="AV60" s="34" t="str">
        <f aca="false">IF(TRIM($A60)="","",IF(AND(LEFT($A60,6)="SAMPLE",Config!$B$19&lt;&gt;"Y"),"",IF(NOT(ISNUMBER(H60)),"call_date is blank or not a date",IF(Sync!$D$5="","Clay paste is empty or has no row_id column: paste the Clay export on Clay_Brands",IF(CM60="","row_id not found in the Clay paste: add the Clay row or fix the row_id",IF(AND(ISNUMBER(CO60),CO60&gt;=1,CO60&lt;=5),"Clay status is "&amp;CN60&amp;": set call_done or later",IF(AND(BA60=1,CP60&lt;&gt;CB60),"Clay yes_in_principle should be "&amp;CB60,IF(AND(BA60=1,CQ60&lt;&gt;H60),"Clay call_date should be "&amp;TEXT(H60,"yyyy-mm-dd"),""))))))))</f>
        <v/>
      </c>
      <c r="AW60" s="23" t="str">
        <f aca="false">IF(TRIM($A60)="","",IF(TRIM(C60)&lt;&gt;"",SUBSTITUTE(SUBSTITUTE(SUBSTITUTE(SUBSTITUTE(SUBSTITUTE(SUBSTITUTE(LOWER(TRIM(C60)),"~",""),"*",""),"?",""),"&lt;",""),"&gt;",""),"=",""),IF(DS60&lt;&gt;"",DS60,IFERROR(INDEX($DS$2:$DS$201,MATCH(DR60,$DT$2:$DT$201,0)),DR60))))</f>
        <v/>
      </c>
      <c r="AX60" s="23" t="n">
        <f aca="false">ROW()</f>
        <v>60</v>
      </c>
      <c r="AY60" s="23" t="n">
        <f aca="false">IF(AND(TRIM($A60)&lt;&gt;"",ISNUMBER(H60)),IF(AND(LEFT($A60,6)="SAMPLE",Config!$B$19&lt;&gt;"Y"),0,1),0)</f>
        <v>0</v>
      </c>
      <c r="AZ60" s="23" t="n">
        <f aca="false">IF(AY60=1,IF(COUNTIFS($AW$2:$AW$201,AW60,$AY$2:$AY$201,1,$H$2:$H$201,"&lt;"&amp;H60)+COUNTIFS($AW$2:$AW$201,AW60,$AY$2:$AY$201,1,$H$2:$H$201,H60,$AX$2:$AX$201,"&lt;"&amp;AX60)=0,1,0),0)</f>
        <v>0</v>
      </c>
      <c r="BA60" s="23" t="n">
        <f aca="false">IF(AY60=1,IF(COUNTIFS($A$2:$A$201,$A60,$AY$2:$AY$201,1,$H$2:$H$201,"&gt;"&amp;H60)+COUNTIFS($A$2:$A$201,$A60,$AY$2:$AY$201,1,$H$2:$H$201,H60,$AX$2:$AX$201,"&gt;"&amp;AX60)=0,1,0),0)</f>
        <v>0</v>
      </c>
      <c r="BB60" s="23" t="n">
        <f aca="false">IF(AND(AY60=1,O60="Y",MAX(N(R60),N(V60))&gt;=Config!$B$14),1,0)</f>
        <v>0</v>
      </c>
      <c r="BC60" s="23" t="n">
        <f aca="false">IF(BB60=1,IF(COUNTIFS($AW$2:$AW$201,AW60,$BB$2:$BB$201,1,$H$2:$H$201,"&lt;"&amp;H60)+COUNTIFS($AW$2:$AW$201,AW60,$BB$2:$BB$201,1,$H$2:$H$201,H60,$AX$2:$AX$201,"&lt;"&amp;AX60)=0,1,0),0)</f>
        <v>0</v>
      </c>
      <c r="BD60" s="23" t="n">
        <f aca="false">IF(AND(AY60=1,O60="Y",ISNUMBER(R60)),IF(R60&gt;=Config!$B$14,1,0),0)</f>
        <v>0</v>
      </c>
      <c r="BE60" s="23" t="n">
        <f aca="false">IF(BD60=1,IF(COUNTIFS($AW$2:$AW$201,AW60,$BD$2:$BD$201,1,$H$2:$H$201,"&lt;"&amp;H60)+COUNTIFS($AW$2:$AW$201,AW60,$BD$2:$BD$201,1,$H$2:$H$201,H60,$AX$2:$AX$201,"&lt;"&amp;AX60)=0,1,0),0)</f>
        <v>0</v>
      </c>
      <c r="BF60" s="23" t="n">
        <f aca="false">IF(AND(AY60=1,O60&lt;&gt;"Y",MAX(N(R60),N(V60))&gt;=Config!$B$14),1,0)</f>
        <v>0</v>
      </c>
      <c r="BG60" s="23" t="n">
        <f aca="false">IF(BF60=1,IF(COUNTIFS($AW$2:$AW$201,AW60,$BF$2:$BF$201,1,$H$2:$H$201,"&lt;"&amp;H60)+COUNTIFS($AW$2:$AW$201,AW60,$BF$2:$BF$201,1,$H$2:$H$201,H60,$AX$2:$AX$201,"&lt;"&amp;AX60)=0,1,0),0)</f>
        <v>0</v>
      </c>
      <c r="BH60" s="23" t="n">
        <f aca="false">IF(AND(AY60=1,ISNUMBER(R60)),1,0)</f>
        <v>0</v>
      </c>
      <c r="BI60" s="23" t="n">
        <f aca="false">IF(BH60=1,IF(COUNTIFS($AW$2:$AW$201,AW60,$BH$2:$BH$201,1,$H$2:$H$201,"&lt;"&amp;H60)+COUNTIFS($AW$2:$AW$201,AW60,$BH$2:$BH$201,1,$H$2:$H$201,H60,$AX$2:$AX$201,"&lt;"&amp;AX60)=0,1,0),0)</f>
        <v>0</v>
      </c>
      <c r="BJ60" s="23" t="str">
        <f aca="false">IF(AND(BI60=1,INT(N(H60))&lt;=Config!$B$6),R60,"")</f>
        <v/>
      </c>
      <c r="BK60" s="23" t="str">
        <f aca="false">IF(AND(BI60=1,INT(N(H60))&lt;=Config!$B$7),R60,"")</f>
        <v/>
      </c>
      <c r="BL60" s="23" t="str">
        <f aca="false">IF(AND(BI60=1,INT(N(H60))&lt;=Config!$B$8),R60,"")</f>
        <v/>
      </c>
      <c r="BM60" s="23" t="str">
        <f aca="false">IF(AND(BI60=1,INT(N(H60))&lt;=Config!$B$5),R60,"")</f>
        <v/>
      </c>
      <c r="BN60" s="23" t="n">
        <f aca="false">IF(AND(AY60=1,ISNUMBER(V60)),1,0)</f>
        <v>0</v>
      </c>
      <c r="BO60" s="23" t="n">
        <f aca="false">IF(BN60=1,IF(COUNTIFS($AW$2:$AW$201,AW60,$BN$2:$BN$201,1,$H$2:$H$201,"&lt;"&amp;H60)+COUNTIFS($AW$2:$AW$201,AW60,$BN$2:$BN$201,1,$H$2:$H$201,H60,$AX$2:$AX$201,"&lt;"&amp;AX60)=0,1,0),0)</f>
        <v>0</v>
      </c>
      <c r="BP60" s="23" t="str">
        <f aca="false">IF(AND(BO60=1,INT(N(H60))&lt;=Config!$B$6),V60,"")</f>
        <v/>
      </c>
      <c r="BQ60" s="23" t="str">
        <f aca="false">IF(AND(BO60=1,INT(N(H60))&lt;=Config!$B$7),V60,"")</f>
        <v/>
      </c>
      <c r="BR60" s="23" t="str">
        <f aca="false">IF(AND(BO60=1,INT(N(H60))&lt;=Config!$B$8),V60,"")</f>
        <v/>
      </c>
      <c r="BS60" s="23" t="str">
        <f aca="false">IF(AND(BO60=1,INT(N(H60))&lt;=Config!$B$5),V60,"")</f>
        <v/>
      </c>
      <c r="BT60" s="23" t="n">
        <f aca="false">IF(AND(AY60=1,ISNUMBER(K60)),1,0)</f>
        <v>0</v>
      </c>
      <c r="BU60" s="23" t="n">
        <f aca="false">IF(BT60=1,IF(COUNTIFS($AW$2:$AW$201,AW60,$BT$2:$BT$201,1,$H$2:$H$201,"&lt;"&amp;H60)+COUNTIFS($AW$2:$AW$201,AW60,$BT$2:$BT$201,1,$H$2:$H$201,H60,$AX$2:$AX$201,"&lt;"&amp;AX60)=0,1,0),0)</f>
        <v>0</v>
      </c>
      <c r="BV60" s="23" t="str">
        <f aca="false">IF(AND(BU60=1,INT(N(H60))&lt;=Config!$B$5),K60,"")</f>
        <v/>
      </c>
      <c r="BW60" s="23" t="n">
        <f aca="false">IF(AND(AY60=1,OR(AND(ISNUMBER(R60),TRIM(S60)=""),AND(ISNUMBER(V60),TRIM(W60)=""))),1,0)</f>
        <v>0</v>
      </c>
      <c r="BX60" s="23" t="str">
        <f aca="false">IF(AY60=1,AJ60&amp;"","")</f>
        <v/>
      </c>
      <c r="BY60" s="23" t="str">
        <f aca="false">IF(AY60=1,AK60&amp;"","")</f>
        <v/>
      </c>
      <c r="BZ60" s="23" t="str">
        <f aca="false">IF(AY60=1,AL60&amp;"","")</f>
        <v/>
      </c>
      <c r="CA60" s="23" t="str">
        <f aca="false">IF(AND(AY60=1,ISNUMBER(AS60),INT(N(H60))&lt;=Config!$B$5),AS60,"")</f>
        <v/>
      </c>
      <c r="CB60" s="23" t="str">
        <f aca="false">IF(AY60=1,IF(COUNTIFS($A$2:$A$201,$A60,$CU$2:$CU$201,1,$AN$2:$AN$201,"Y")&gt;0,"Y","N"),"")</f>
        <v/>
      </c>
      <c r="CC60" s="23" t="n">
        <f aca="false">IF(AND(AY60=1,AN60="Y"),IF(COUNTIFS($AW$2:$AW$201,AW60,$AN$2:$AN$201,"Y",$AY$2:$AY$201,1,$H$2:$H$201,"&lt;"&amp;H60)+COUNTIFS($AW$2:$AW$201,AW60,$AN$2:$AN$201,"Y",$AY$2:$AY$201,1,$H$2:$H$201,H60,$AX$2:$AX$201,"&lt;"&amp;AX60)=0,1,0),0)</f>
        <v>0</v>
      </c>
      <c r="CD60" s="23" t="n">
        <f aca="false">IF(AND(AY60=1,AB60="Y",AC60="Y",AD60="Y",AE60="Y",AF60="Y",AG60="Y",AI60="Y",TRIM(AH60)&lt;&gt;""),1,0)</f>
        <v>0</v>
      </c>
      <c r="CE60" s="23" t="n">
        <f aca="false">IF(CD60=1,IF(COUNTIFS($AW$2:$AW$201,AW60,$CD$2:$CD$201,1,$H$2:$H$201,"&lt;"&amp;H60)+COUNTIFS($AW$2:$AW$201,AW60,$CD$2:$CD$201,1,$H$2:$H$201,H60,$AX$2:$AX$201,"&lt;"&amp;AX60)=0,1,0),0)</f>
        <v>0</v>
      </c>
      <c r="CF60" s="23" t="n">
        <f aca="false">IF(AND(AY60=1,AO60="Y"),1,0)</f>
        <v>0</v>
      </c>
      <c r="CG60" s="23" t="n">
        <f aca="false">IF(CF60=1,IF(COUNTIFS($AW$2:$AW$201,AW60,$CF$2:$CF$201,1,$H$2:$H$201,"&lt;"&amp;H60)+COUNTIFS($AW$2:$AW$201,AW60,$CF$2:$CF$201,1,$H$2:$H$201,H60,$AX$2:$AX$201,"&lt;"&amp;AX60)=0,1,0),0)</f>
        <v>0</v>
      </c>
      <c r="CH60" s="23" t="n">
        <f aca="false">IF(AND(AY60=1,P60="Y"),1,0)</f>
        <v>0</v>
      </c>
      <c r="CI60" s="23" t="n">
        <f aca="false">IF(CH60=1,IF(COUNTIFS($AW$2:$AW$201,AW60,$CH$2:$CH$201,1,$H$2:$H$201,"&lt;"&amp;H60)+COUNTIFS($AW$2:$AW$201,AW60,$CH$2:$CH$201,1,$H$2:$H$201,H60,$AX$2:$AX$201,"&lt;"&amp;AX60)=0,1,0),0)</f>
        <v>0</v>
      </c>
      <c r="CJ60" s="23" t="str">
        <f aca="false">IF(AND(BU60=1,INT(N(H60))&lt;=Config!$B$5),L60,"")</f>
        <v/>
      </c>
      <c r="CK60" s="23" t="n">
        <f aca="false">IF(AND(AY60=1,AR60="Y"),1,0)</f>
        <v>0</v>
      </c>
      <c r="CL60" s="23" t="n">
        <f aca="false">IF(CK60=1,IF(COUNTIFS($AW$2:$AW$201,AW60,$CK$2:$CK$201,1,$H$2:$H$201,"&lt;"&amp;H60)+COUNTIFS($AW$2:$AW$201,AW60,$CK$2:$CK$201,1,$H$2:$H$201,H60,$AX$2:$AX$201,"&lt;"&amp;AX60)=0,1,0),0)</f>
        <v>0</v>
      </c>
      <c r="CM60" s="23" t="str">
        <f aca="false">IF(AY60=1,IFERROR(MATCH($A60,INDEX(Clay_Brands!$A$2:$FZ$601,0,Sync!$D$5),0),""),"")</f>
        <v/>
      </c>
      <c r="CN60" s="23" t="str">
        <f aca="false">IF(CM60="","",IFERROR(INDEX(Clay_Brands!$A$2:$FZ$601,CM60,Sync!$D$7)&amp;"",""))</f>
        <v/>
      </c>
      <c r="CO60" s="23" t="str">
        <f aca="false">IF(CN60="","",IFERROR(INDEX(Lists!$K$2:$K$15,MATCH(CN60,Lists!$J$2:$J$15,0)),""))</f>
        <v/>
      </c>
      <c r="CP60" s="23" t="str">
        <f aca="false">IF(CM60="","",IFERROR(INDEX(Clay_Brands!$A$2:$FZ$601,CM60,Sync!$D$17)&amp;"",""))</f>
        <v/>
      </c>
      <c r="CQ60" s="35" t="str">
        <f aca="false">IF(CM60="","",IFERROR(N(INDEX(Clay_Brands!$A$2:$FZ$601,CM60,Sync!$D$16)),0))</f>
        <v/>
      </c>
      <c r="CR60" s="23" t="n">
        <f aca="false">IF(AND(AY60=1,OR(O60="N",AND(OR(ISNUMBER(R60),ISNUMBER(V60)),MAX(N(R60),N(V60))&lt;Config!$B$14))),1,0)</f>
        <v>0</v>
      </c>
      <c r="CS60" s="23" t="n">
        <f aca="false">IF(OR(BB60=1,CR60=1),1,0)</f>
        <v>0</v>
      </c>
      <c r="CT60" s="23" t="n">
        <f aca="false">IF(AND(AY60=1,OR(AN60="Y",AN60="N",AN60="maybe")),1,0)</f>
        <v>0</v>
      </c>
      <c r="CU60" s="23" t="n">
        <f aca="false">IF(AND(CT60=1),IF(COUNTIFS($A$2:$A$201,$A60,$CT$2:$CT$201,1,$H$2:$H$201,"&gt;"&amp;H60)+COUNTIFS($A$2:$A$201,$A60,$CT$2:$CT$201,1,$H$2:$H$201,H60,$AX$2:$AX$201,"&gt;"&amp;AX60)=0,1,0),0)</f>
        <v>0</v>
      </c>
      <c r="CV60" s="23" t="n">
        <f aca="false">IF(AND(CS60=1,INT(N(H60))&lt;=Config!$B$6),IF(COUNTIFS($AW$2:$AW$201,AW60,$CS$2:$CS$201,1,$H$2:$H$201,"&gt;"&amp;H60,$H$2:$H$201,"&lt;"&amp;(Config!$B$6+1))+COUNTIFS($AW$2:$AW$201,AW60,$CS$2:$CS$201,1,$H$2:$H$201,H60,$AX$2:$AX$201,"&gt;"&amp;AX60)=0,1,0),0)</f>
        <v>0</v>
      </c>
      <c r="CW60" s="23" t="n">
        <f aca="false">IF(AND(CS60=1,INT(N(H60))&lt;=Config!$B$7),IF(COUNTIFS($AW$2:$AW$201,AW60,$CS$2:$CS$201,1,$H$2:$H$201,"&gt;"&amp;H60,$H$2:$H$201,"&lt;"&amp;(Config!$B$7+1))+COUNTIFS($AW$2:$AW$201,AW60,$CS$2:$CS$201,1,$H$2:$H$201,H60,$AX$2:$AX$201,"&gt;"&amp;AX60)=0,1,0),0)</f>
        <v>0</v>
      </c>
      <c r="CX60" s="23" t="n">
        <f aca="false">IF(AND(CS60=1,INT(N(H60))&lt;=Config!$B$8),IF(COUNTIFS($AW$2:$AW$201,AW60,$CS$2:$CS$201,1,$H$2:$H$201,"&gt;"&amp;H60,$H$2:$H$201,"&lt;"&amp;(Config!$B$8+1))+COUNTIFS($AW$2:$AW$201,AW60,$CS$2:$CS$201,1,$H$2:$H$201,H60,$AX$2:$AX$201,"&gt;"&amp;AX60)=0,1,0),0)</f>
        <v>0</v>
      </c>
      <c r="CY60" s="23" t="n">
        <f aca="false">IF(AND(CS60=1,INT(N(H60))&lt;=Config!$B$5),IF(COUNTIFS($AW$2:$AW$201,AW60,$CS$2:$CS$201,1,$H$2:$H$201,"&gt;"&amp;H60,$H$2:$H$201,"&lt;"&amp;(Config!$B$5+1))+COUNTIFS($AW$2:$AW$201,AW60,$CS$2:$CS$201,1,$H$2:$H$201,H60,$AX$2:$AX$201,"&gt;"&amp;AX60)=0,1,0),0)</f>
        <v>0</v>
      </c>
      <c r="CZ60" s="23" t="n">
        <f aca="false">IF(AY60=1,IF(COUNTIFS($AW$2:$AW$201,AW60,$CV$2:$CV$201,1,$BB$2:$BB$201,1)&gt;0,1,0),0)</f>
        <v>0</v>
      </c>
      <c r="DA60" s="23" t="n">
        <f aca="false">IF(AY60=1,IF(COUNTIFS($AW$2:$AW$201,AW60,$CW$2:$CW$201,1,$BB$2:$BB$201,1)&gt;0,1,0),0)</f>
        <v>0</v>
      </c>
      <c r="DB60" s="23" t="n">
        <f aca="false">IF(AY60=1,IF(COUNTIFS($AW$2:$AW$201,AW60,$CX$2:$CX$201,1,$BB$2:$BB$201,1)&gt;0,1,0),0)</f>
        <v>0</v>
      </c>
      <c r="DC60" s="23" t="n">
        <f aca="false">IF(AY60=1,IF(COUNTIFS($AW$2:$AW$201,AW60,$CY$2:$CY$201,1,$BB$2:$BB$201,1)&gt;0,1,0),0)</f>
        <v>0</v>
      </c>
      <c r="DD60" s="23" t="n">
        <f aca="false">IF(AND(BC60=1,INT(N(H60))&lt;=Config!$B$6,CZ60=1),1,0)</f>
        <v>0</v>
      </c>
      <c r="DE60" s="23" t="n">
        <f aca="false">IF(AND(BC60=1,INT(N(H60))&lt;=Config!$B$7,DA60=1),1,0)</f>
        <v>0</v>
      </c>
      <c r="DF60" s="23" t="n">
        <f aca="false">IF(AND(BC60=1,INT(N(H60))&lt;=Config!$B$8,DB60=1),1,0)</f>
        <v>0</v>
      </c>
      <c r="DG60" s="23" t="n">
        <f aca="false">IF(AND(BC60=1,INT(N(H60))&lt;=Config!$B$5,DC60=1),1,0)</f>
        <v>0</v>
      </c>
      <c r="DH60" s="23" t="n">
        <f aca="false">IF(AND(BE60=1,INT(N(H60))&lt;=Config!$B$6,CZ60=1),1,0)</f>
        <v>0</v>
      </c>
      <c r="DI60" s="23" t="n">
        <f aca="false">IF(AND(BE60=1,INT(N(H60))&lt;=Config!$B$7,DA60=1),1,0)</f>
        <v>0</v>
      </c>
      <c r="DJ60" s="23" t="n">
        <f aca="false">IF(AND(BE60=1,INT(N(H60))&lt;=Config!$B$8,DB60=1),1,0)</f>
        <v>0</v>
      </c>
      <c r="DK60" s="23" t="n">
        <f aca="false">IF(AND(BE60=1,INT(N(H60))&lt;=Config!$B$5,DC60=1),1,0)</f>
        <v>0</v>
      </c>
      <c r="DL60" s="23" t="n">
        <f aca="false">IF(AND(BC60=1,INT(N(H60))&lt;=Config!$B$6,CZ60=0),1,0)</f>
        <v>0</v>
      </c>
      <c r="DM60" s="23" t="n">
        <f aca="false">IF(AND(BC60=1,INT(N(H60))&lt;=Config!$B$7,DA60=0),1,0)</f>
        <v>0</v>
      </c>
      <c r="DN60" s="23" t="n">
        <f aca="false">IF(AND(BC60=1,INT(N(H60))&lt;=Config!$B$8,DB60=0),1,0)</f>
        <v>0</v>
      </c>
      <c r="DO60" s="23" t="n">
        <f aca="false">IF(AND(BC60=1,INT(N(H60))&lt;=Config!$B$5,DC60=0),1,0)</f>
        <v>0</v>
      </c>
      <c r="DP60" s="23" t="n">
        <f aca="false">IF(TRIM($A60)="",0,ISTEXT(K60)+ISTEXT(L60)+ISTEXT(R60)+ISTEXT(V60)+ISTEXT(AP60)+ISTEXT(AS60))</f>
        <v>0</v>
      </c>
      <c r="DQ60" s="23" t="n">
        <f aca="false">IF(AY60=1,IF(H60&lt;&gt;INT(H60),1,0),0)</f>
        <v>0</v>
      </c>
      <c r="DR60" s="23" t="str">
        <f aca="false">IF(TRIM($A60)="","",IF(TRIM(B60)="",SUBSTITUTE(SUBSTITUTE(SUBSTITUTE(SUBSTITUTE(SUBSTITUTE(SUBSTITUTE(LOWER(TRIM($A60)),"~",""),"*",""),"?",""),"&lt;",""),"&gt;",""),"=",""),SUBSTITUTE(SUBSTITUTE(SUBSTITUTE(SUBSTITUTE(SUBSTITUTE(SUBSTITUTE(LOWER(TRIM(B60)),"~",""),"*",""),"?",""),"&lt;",""),"&gt;",""),"=","")))</f>
        <v/>
      </c>
      <c r="DS60" s="23" t="str">
        <f aca="false">IF(CM60="","",IFERROR(IF(LEFT(LOWER(TRIM(INDEX(Clay_Brands!$A$2:$FZ$601,CM60,Sync!$D$19)&amp;"")),4)="grp-",SUBSTITUTE(SUBSTITUTE(SUBSTITUTE(SUBSTITUTE(SUBSTITUTE(SUBSTITUTE(LOWER(TRIM(INDEX(Clay_Brands!$A$2:$FZ$601,CM60,Sync!$D$19)&amp;"")),"~",""),"*",""),"?",""),"&lt;",""),"&gt;",""),"=",""),""),""))</f>
        <v/>
      </c>
      <c r="DT60" s="23" t="str">
        <f aca="false">IF(DS60&lt;&gt;"",DR60,"")</f>
        <v/>
      </c>
      <c r="DU60" s="23" t="str">
        <f aca="false">IF(AZ60=1,AW60,"")</f>
        <v/>
      </c>
      <c r="DV60" s="23" t="str">
        <f aca="false">IF(TRIM($A60)="","",IFERROR(INDEX($A$2:$A$201,MATCH(AW60,$DU$2:$DU$201,0))&amp;"",$A60&amp;""))</f>
        <v/>
      </c>
      <c r="DW60" s="23" t="n">
        <f aca="false">IF(AY60=1,IF(COUNTIFS($A$2:$A$201,$A60,$AY$2:$AY$201,1,$H$2:$H$201,"&lt;"&amp;H60)+COUNTIFS($A$2:$A$201,$A60,$AY$2:$AY$201,1,$H$2:$H$201,H60,$AX$2:$AX$201,"&lt;"&amp;AX60)=0,1,0),0)</f>
        <v>0</v>
      </c>
      <c r="DX60" s="23" t="n">
        <f aca="false">IF(AZ60=1,IF(COUNTIFS($AW$2:$AW$201,AW60,$DW$2:$DW$201,1)&gt;1,1,0),0)</f>
        <v>0</v>
      </c>
    </row>
    <row r="61" customFormat="false" ht="15" hidden="false" customHeight="false" outlineLevel="0" collapsed="false">
      <c r="G61" s="32"/>
      <c r="H61" s="33"/>
      <c r="I61" s="32"/>
      <c r="O61" s="32"/>
      <c r="P61" s="32"/>
      <c r="U61" s="32"/>
      <c r="Y61" s="32"/>
      <c r="AB61" s="32"/>
      <c r="AC61" s="32"/>
      <c r="AD61" s="32"/>
      <c r="AE61" s="32"/>
      <c r="AF61" s="32"/>
      <c r="AG61" s="32"/>
      <c r="AI61" s="32"/>
      <c r="AJ61" s="32"/>
      <c r="AK61" s="32"/>
      <c r="AN61" s="32"/>
      <c r="AO61" s="32"/>
      <c r="AR61" s="32"/>
      <c r="AT61" s="32"/>
      <c r="AV61" s="34" t="str">
        <f aca="false">IF(TRIM($A61)="","",IF(AND(LEFT($A61,6)="SAMPLE",Config!$B$19&lt;&gt;"Y"),"",IF(NOT(ISNUMBER(H61)),"call_date is blank or not a date",IF(Sync!$D$5="","Clay paste is empty or has no row_id column: paste the Clay export on Clay_Brands",IF(CM61="","row_id not found in the Clay paste: add the Clay row or fix the row_id",IF(AND(ISNUMBER(CO61),CO61&gt;=1,CO61&lt;=5),"Clay status is "&amp;CN61&amp;": set call_done or later",IF(AND(BA61=1,CP61&lt;&gt;CB61),"Clay yes_in_principle should be "&amp;CB61,IF(AND(BA61=1,CQ61&lt;&gt;H61),"Clay call_date should be "&amp;TEXT(H61,"yyyy-mm-dd"),""))))))))</f>
        <v/>
      </c>
      <c r="AW61" s="23" t="str">
        <f aca="false">IF(TRIM($A61)="","",IF(TRIM(C61)&lt;&gt;"",SUBSTITUTE(SUBSTITUTE(SUBSTITUTE(SUBSTITUTE(SUBSTITUTE(SUBSTITUTE(LOWER(TRIM(C61)),"~",""),"*",""),"?",""),"&lt;",""),"&gt;",""),"=",""),IF(DS61&lt;&gt;"",DS61,IFERROR(INDEX($DS$2:$DS$201,MATCH(DR61,$DT$2:$DT$201,0)),DR61))))</f>
        <v/>
      </c>
      <c r="AX61" s="23" t="n">
        <f aca="false">ROW()</f>
        <v>61</v>
      </c>
      <c r="AY61" s="23" t="n">
        <f aca="false">IF(AND(TRIM($A61)&lt;&gt;"",ISNUMBER(H61)),IF(AND(LEFT($A61,6)="SAMPLE",Config!$B$19&lt;&gt;"Y"),0,1),0)</f>
        <v>0</v>
      </c>
      <c r="AZ61" s="23" t="n">
        <f aca="false">IF(AY61=1,IF(COUNTIFS($AW$2:$AW$201,AW61,$AY$2:$AY$201,1,$H$2:$H$201,"&lt;"&amp;H61)+COUNTIFS($AW$2:$AW$201,AW61,$AY$2:$AY$201,1,$H$2:$H$201,H61,$AX$2:$AX$201,"&lt;"&amp;AX61)=0,1,0),0)</f>
        <v>0</v>
      </c>
      <c r="BA61" s="23" t="n">
        <f aca="false">IF(AY61=1,IF(COUNTIFS($A$2:$A$201,$A61,$AY$2:$AY$201,1,$H$2:$H$201,"&gt;"&amp;H61)+COUNTIFS($A$2:$A$201,$A61,$AY$2:$AY$201,1,$H$2:$H$201,H61,$AX$2:$AX$201,"&gt;"&amp;AX61)=0,1,0),0)</f>
        <v>0</v>
      </c>
      <c r="BB61" s="23" t="n">
        <f aca="false">IF(AND(AY61=1,O61="Y",MAX(N(R61),N(V61))&gt;=Config!$B$14),1,0)</f>
        <v>0</v>
      </c>
      <c r="BC61" s="23" t="n">
        <f aca="false">IF(BB61=1,IF(COUNTIFS($AW$2:$AW$201,AW61,$BB$2:$BB$201,1,$H$2:$H$201,"&lt;"&amp;H61)+COUNTIFS($AW$2:$AW$201,AW61,$BB$2:$BB$201,1,$H$2:$H$201,H61,$AX$2:$AX$201,"&lt;"&amp;AX61)=0,1,0),0)</f>
        <v>0</v>
      </c>
      <c r="BD61" s="23" t="n">
        <f aca="false">IF(AND(AY61=1,O61="Y",ISNUMBER(R61)),IF(R61&gt;=Config!$B$14,1,0),0)</f>
        <v>0</v>
      </c>
      <c r="BE61" s="23" t="n">
        <f aca="false">IF(BD61=1,IF(COUNTIFS($AW$2:$AW$201,AW61,$BD$2:$BD$201,1,$H$2:$H$201,"&lt;"&amp;H61)+COUNTIFS($AW$2:$AW$201,AW61,$BD$2:$BD$201,1,$H$2:$H$201,H61,$AX$2:$AX$201,"&lt;"&amp;AX61)=0,1,0),0)</f>
        <v>0</v>
      </c>
      <c r="BF61" s="23" t="n">
        <f aca="false">IF(AND(AY61=1,O61&lt;&gt;"Y",MAX(N(R61),N(V61))&gt;=Config!$B$14),1,0)</f>
        <v>0</v>
      </c>
      <c r="BG61" s="23" t="n">
        <f aca="false">IF(BF61=1,IF(COUNTIFS($AW$2:$AW$201,AW61,$BF$2:$BF$201,1,$H$2:$H$201,"&lt;"&amp;H61)+COUNTIFS($AW$2:$AW$201,AW61,$BF$2:$BF$201,1,$H$2:$H$201,H61,$AX$2:$AX$201,"&lt;"&amp;AX61)=0,1,0),0)</f>
        <v>0</v>
      </c>
      <c r="BH61" s="23" t="n">
        <f aca="false">IF(AND(AY61=1,ISNUMBER(R61)),1,0)</f>
        <v>0</v>
      </c>
      <c r="BI61" s="23" t="n">
        <f aca="false">IF(BH61=1,IF(COUNTIFS($AW$2:$AW$201,AW61,$BH$2:$BH$201,1,$H$2:$H$201,"&lt;"&amp;H61)+COUNTIFS($AW$2:$AW$201,AW61,$BH$2:$BH$201,1,$H$2:$H$201,H61,$AX$2:$AX$201,"&lt;"&amp;AX61)=0,1,0),0)</f>
        <v>0</v>
      </c>
      <c r="BJ61" s="23" t="str">
        <f aca="false">IF(AND(BI61=1,INT(N(H61))&lt;=Config!$B$6),R61,"")</f>
        <v/>
      </c>
      <c r="BK61" s="23" t="str">
        <f aca="false">IF(AND(BI61=1,INT(N(H61))&lt;=Config!$B$7),R61,"")</f>
        <v/>
      </c>
      <c r="BL61" s="23" t="str">
        <f aca="false">IF(AND(BI61=1,INT(N(H61))&lt;=Config!$B$8),R61,"")</f>
        <v/>
      </c>
      <c r="BM61" s="23" t="str">
        <f aca="false">IF(AND(BI61=1,INT(N(H61))&lt;=Config!$B$5),R61,"")</f>
        <v/>
      </c>
      <c r="BN61" s="23" t="n">
        <f aca="false">IF(AND(AY61=1,ISNUMBER(V61)),1,0)</f>
        <v>0</v>
      </c>
      <c r="BO61" s="23" t="n">
        <f aca="false">IF(BN61=1,IF(COUNTIFS($AW$2:$AW$201,AW61,$BN$2:$BN$201,1,$H$2:$H$201,"&lt;"&amp;H61)+COUNTIFS($AW$2:$AW$201,AW61,$BN$2:$BN$201,1,$H$2:$H$201,H61,$AX$2:$AX$201,"&lt;"&amp;AX61)=0,1,0),0)</f>
        <v>0</v>
      </c>
      <c r="BP61" s="23" t="str">
        <f aca="false">IF(AND(BO61=1,INT(N(H61))&lt;=Config!$B$6),V61,"")</f>
        <v/>
      </c>
      <c r="BQ61" s="23" t="str">
        <f aca="false">IF(AND(BO61=1,INT(N(H61))&lt;=Config!$B$7),V61,"")</f>
        <v/>
      </c>
      <c r="BR61" s="23" t="str">
        <f aca="false">IF(AND(BO61=1,INT(N(H61))&lt;=Config!$B$8),V61,"")</f>
        <v/>
      </c>
      <c r="BS61" s="23" t="str">
        <f aca="false">IF(AND(BO61=1,INT(N(H61))&lt;=Config!$B$5),V61,"")</f>
        <v/>
      </c>
      <c r="BT61" s="23" t="n">
        <f aca="false">IF(AND(AY61=1,ISNUMBER(K61)),1,0)</f>
        <v>0</v>
      </c>
      <c r="BU61" s="23" t="n">
        <f aca="false">IF(BT61=1,IF(COUNTIFS($AW$2:$AW$201,AW61,$BT$2:$BT$201,1,$H$2:$H$201,"&lt;"&amp;H61)+COUNTIFS($AW$2:$AW$201,AW61,$BT$2:$BT$201,1,$H$2:$H$201,H61,$AX$2:$AX$201,"&lt;"&amp;AX61)=0,1,0),0)</f>
        <v>0</v>
      </c>
      <c r="BV61" s="23" t="str">
        <f aca="false">IF(AND(BU61=1,INT(N(H61))&lt;=Config!$B$5),K61,"")</f>
        <v/>
      </c>
      <c r="BW61" s="23" t="n">
        <f aca="false">IF(AND(AY61=1,OR(AND(ISNUMBER(R61),TRIM(S61)=""),AND(ISNUMBER(V61),TRIM(W61)=""))),1,0)</f>
        <v>0</v>
      </c>
      <c r="BX61" s="23" t="str">
        <f aca="false">IF(AY61=1,AJ61&amp;"","")</f>
        <v/>
      </c>
      <c r="BY61" s="23" t="str">
        <f aca="false">IF(AY61=1,AK61&amp;"","")</f>
        <v/>
      </c>
      <c r="BZ61" s="23" t="str">
        <f aca="false">IF(AY61=1,AL61&amp;"","")</f>
        <v/>
      </c>
      <c r="CA61" s="23" t="str">
        <f aca="false">IF(AND(AY61=1,ISNUMBER(AS61),INT(N(H61))&lt;=Config!$B$5),AS61,"")</f>
        <v/>
      </c>
      <c r="CB61" s="23" t="str">
        <f aca="false">IF(AY61=1,IF(COUNTIFS($A$2:$A$201,$A61,$CU$2:$CU$201,1,$AN$2:$AN$201,"Y")&gt;0,"Y","N"),"")</f>
        <v/>
      </c>
      <c r="CC61" s="23" t="n">
        <f aca="false">IF(AND(AY61=1,AN61="Y"),IF(COUNTIFS($AW$2:$AW$201,AW61,$AN$2:$AN$201,"Y",$AY$2:$AY$201,1,$H$2:$H$201,"&lt;"&amp;H61)+COUNTIFS($AW$2:$AW$201,AW61,$AN$2:$AN$201,"Y",$AY$2:$AY$201,1,$H$2:$H$201,H61,$AX$2:$AX$201,"&lt;"&amp;AX61)=0,1,0),0)</f>
        <v>0</v>
      </c>
      <c r="CD61" s="23" t="n">
        <f aca="false">IF(AND(AY61=1,AB61="Y",AC61="Y",AD61="Y",AE61="Y",AF61="Y",AG61="Y",AI61="Y",TRIM(AH61)&lt;&gt;""),1,0)</f>
        <v>0</v>
      </c>
      <c r="CE61" s="23" t="n">
        <f aca="false">IF(CD61=1,IF(COUNTIFS($AW$2:$AW$201,AW61,$CD$2:$CD$201,1,$H$2:$H$201,"&lt;"&amp;H61)+COUNTIFS($AW$2:$AW$201,AW61,$CD$2:$CD$201,1,$H$2:$H$201,H61,$AX$2:$AX$201,"&lt;"&amp;AX61)=0,1,0),0)</f>
        <v>0</v>
      </c>
      <c r="CF61" s="23" t="n">
        <f aca="false">IF(AND(AY61=1,AO61="Y"),1,0)</f>
        <v>0</v>
      </c>
      <c r="CG61" s="23" t="n">
        <f aca="false">IF(CF61=1,IF(COUNTIFS($AW$2:$AW$201,AW61,$CF$2:$CF$201,1,$H$2:$H$201,"&lt;"&amp;H61)+COUNTIFS($AW$2:$AW$201,AW61,$CF$2:$CF$201,1,$H$2:$H$201,H61,$AX$2:$AX$201,"&lt;"&amp;AX61)=0,1,0),0)</f>
        <v>0</v>
      </c>
      <c r="CH61" s="23" t="n">
        <f aca="false">IF(AND(AY61=1,P61="Y"),1,0)</f>
        <v>0</v>
      </c>
      <c r="CI61" s="23" t="n">
        <f aca="false">IF(CH61=1,IF(COUNTIFS($AW$2:$AW$201,AW61,$CH$2:$CH$201,1,$H$2:$H$201,"&lt;"&amp;H61)+COUNTIFS($AW$2:$AW$201,AW61,$CH$2:$CH$201,1,$H$2:$H$201,H61,$AX$2:$AX$201,"&lt;"&amp;AX61)=0,1,0),0)</f>
        <v>0</v>
      </c>
      <c r="CJ61" s="23" t="str">
        <f aca="false">IF(AND(BU61=1,INT(N(H61))&lt;=Config!$B$5),L61,"")</f>
        <v/>
      </c>
      <c r="CK61" s="23" t="n">
        <f aca="false">IF(AND(AY61=1,AR61="Y"),1,0)</f>
        <v>0</v>
      </c>
      <c r="CL61" s="23" t="n">
        <f aca="false">IF(CK61=1,IF(COUNTIFS($AW$2:$AW$201,AW61,$CK$2:$CK$201,1,$H$2:$H$201,"&lt;"&amp;H61)+COUNTIFS($AW$2:$AW$201,AW61,$CK$2:$CK$201,1,$H$2:$H$201,H61,$AX$2:$AX$201,"&lt;"&amp;AX61)=0,1,0),0)</f>
        <v>0</v>
      </c>
      <c r="CM61" s="23" t="str">
        <f aca="false">IF(AY61=1,IFERROR(MATCH($A61,INDEX(Clay_Brands!$A$2:$FZ$601,0,Sync!$D$5),0),""),"")</f>
        <v/>
      </c>
      <c r="CN61" s="23" t="str">
        <f aca="false">IF(CM61="","",IFERROR(INDEX(Clay_Brands!$A$2:$FZ$601,CM61,Sync!$D$7)&amp;"",""))</f>
        <v/>
      </c>
      <c r="CO61" s="23" t="str">
        <f aca="false">IF(CN61="","",IFERROR(INDEX(Lists!$K$2:$K$15,MATCH(CN61,Lists!$J$2:$J$15,0)),""))</f>
        <v/>
      </c>
      <c r="CP61" s="23" t="str">
        <f aca="false">IF(CM61="","",IFERROR(INDEX(Clay_Brands!$A$2:$FZ$601,CM61,Sync!$D$17)&amp;"",""))</f>
        <v/>
      </c>
      <c r="CQ61" s="35" t="str">
        <f aca="false">IF(CM61="","",IFERROR(N(INDEX(Clay_Brands!$A$2:$FZ$601,CM61,Sync!$D$16)),0))</f>
        <v/>
      </c>
      <c r="CR61" s="23" t="n">
        <f aca="false">IF(AND(AY61=1,OR(O61="N",AND(OR(ISNUMBER(R61),ISNUMBER(V61)),MAX(N(R61),N(V61))&lt;Config!$B$14))),1,0)</f>
        <v>0</v>
      </c>
      <c r="CS61" s="23" t="n">
        <f aca="false">IF(OR(BB61=1,CR61=1),1,0)</f>
        <v>0</v>
      </c>
      <c r="CT61" s="23" t="n">
        <f aca="false">IF(AND(AY61=1,OR(AN61="Y",AN61="N",AN61="maybe")),1,0)</f>
        <v>0</v>
      </c>
      <c r="CU61" s="23" t="n">
        <f aca="false">IF(AND(CT61=1),IF(COUNTIFS($A$2:$A$201,$A61,$CT$2:$CT$201,1,$H$2:$H$201,"&gt;"&amp;H61)+COUNTIFS($A$2:$A$201,$A61,$CT$2:$CT$201,1,$H$2:$H$201,H61,$AX$2:$AX$201,"&gt;"&amp;AX61)=0,1,0),0)</f>
        <v>0</v>
      </c>
      <c r="CV61" s="23" t="n">
        <f aca="false">IF(AND(CS61=1,INT(N(H61))&lt;=Config!$B$6),IF(COUNTIFS($AW$2:$AW$201,AW61,$CS$2:$CS$201,1,$H$2:$H$201,"&gt;"&amp;H61,$H$2:$H$201,"&lt;"&amp;(Config!$B$6+1))+COUNTIFS($AW$2:$AW$201,AW61,$CS$2:$CS$201,1,$H$2:$H$201,H61,$AX$2:$AX$201,"&gt;"&amp;AX61)=0,1,0),0)</f>
        <v>0</v>
      </c>
      <c r="CW61" s="23" t="n">
        <f aca="false">IF(AND(CS61=1,INT(N(H61))&lt;=Config!$B$7),IF(COUNTIFS($AW$2:$AW$201,AW61,$CS$2:$CS$201,1,$H$2:$H$201,"&gt;"&amp;H61,$H$2:$H$201,"&lt;"&amp;(Config!$B$7+1))+COUNTIFS($AW$2:$AW$201,AW61,$CS$2:$CS$201,1,$H$2:$H$201,H61,$AX$2:$AX$201,"&gt;"&amp;AX61)=0,1,0),0)</f>
        <v>0</v>
      </c>
      <c r="CX61" s="23" t="n">
        <f aca="false">IF(AND(CS61=1,INT(N(H61))&lt;=Config!$B$8),IF(COUNTIFS($AW$2:$AW$201,AW61,$CS$2:$CS$201,1,$H$2:$H$201,"&gt;"&amp;H61,$H$2:$H$201,"&lt;"&amp;(Config!$B$8+1))+COUNTIFS($AW$2:$AW$201,AW61,$CS$2:$CS$201,1,$H$2:$H$201,H61,$AX$2:$AX$201,"&gt;"&amp;AX61)=0,1,0),0)</f>
        <v>0</v>
      </c>
      <c r="CY61" s="23" t="n">
        <f aca="false">IF(AND(CS61=1,INT(N(H61))&lt;=Config!$B$5),IF(COUNTIFS($AW$2:$AW$201,AW61,$CS$2:$CS$201,1,$H$2:$H$201,"&gt;"&amp;H61,$H$2:$H$201,"&lt;"&amp;(Config!$B$5+1))+COUNTIFS($AW$2:$AW$201,AW61,$CS$2:$CS$201,1,$H$2:$H$201,H61,$AX$2:$AX$201,"&gt;"&amp;AX61)=0,1,0),0)</f>
        <v>0</v>
      </c>
      <c r="CZ61" s="23" t="n">
        <f aca="false">IF(AY61=1,IF(COUNTIFS($AW$2:$AW$201,AW61,$CV$2:$CV$201,1,$BB$2:$BB$201,1)&gt;0,1,0),0)</f>
        <v>0</v>
      </c>
      <c r="DA61" s="23" t="n">
        <f aca="false">IF(AY61=1,IF(COUNTIFS($AW$2:$AW$201,AW61,$CW$2:$CW$201,1,$BB$2:$BB$201,1)&gt;0,1,0),0)</f>
        <v>0</v>
      </c>
      <c r="DB61" s="23" t="n">
        <f aca="false">IF(AY61=1,IF(COUNTIFS($AW$2:$AW$201,AW61,$CX$2:$CX$201,1,$BB$2:$BB$201,1)&gt;0,1,0),0)</f>
        <v>0</v>
      </c>
      <c r="DC61" s="23" t="n">
        <f aca="false">IF(AY61=1,IF(COUNTIFS($AW$2:$AW$201,AW61,$CY$2:$CY$201,1,$BB$2:$BB$201,1)&gt;0,1,0),0)</f>
        <v>0</v>
      </c>
      <c r="DD61" s="23" t="n">
        <f aca="false">IF(AND(BC61=1,INT(N(H61))&lt;=Config!$B$6,CZ61=1),1,0)</f>
        <v>0</v>
      </c>
      <c r="DE61" s="23" t="n">
        <f aca="false">IF(AND(BC61=1,INT(N(H61))&lt;=Config!$B$7,DA61=1),1,0)</f>
        <v>0</v>
      </c>
      <c r="DF61" s="23" t="n">
        <f aca="false">IF(AND(BC61=1,INT(N(H61))&lt;=Config!$B$8,DB61=1),1,0)</f>
        <v>0</v>
      </c>
      <c r="DG61" s="23" t="n">
        <f aca="false">IF(AND(BC61=1,INT(N(H61))&lt;=Config!$B$5,DC61=1),1,0)</f>
        <v>0</v>
      </c>
      <c r="DH61" s="23" t="n">
        <f aca="false">IF(AND(BE61=1,INT(N(H61))&lt;=Config!$B$6,CZ61=1),1,0)</f>
        <v>0</v>
      </c>
      <c r="DI61" s="23" t="n">
        <f aca="false">IF(AND(BE61=1,INT(N(H61))&lt;=Config!$B$7,DA61=1),1,0)</f>
        <v>0</v>
      </c>
      <c r="DJ61" s="23" t="n">
        <f aca="false">IF(AND(BE61=1,INT(N(H61))&lt;=Config!$B$8,DB61=1),1,0)</f>
        <v>0</v>
      </c>
      <c r="DK61" s="23" t="n">
        <f aca="false">IF(AND(BE61=1,INT(N(H61))&lt;=Config!$B$5,DC61=1),1,0)</f>
        <v>0</v>
      </c>
      <c r="DL61" s="23" t="n">
        <f aca="false">IF(AND(BC61=1,INT(N(H61))&lt;=Config!$B$6,CZ61=0),1,0)</f>
        <v>0</v>
      </c>
      <c r="DM61" s="23" t="n">
        <f aca="false">IF(AND(BC61=1,INT(N(H61))&lt;=Config!$B$7,DA61=0),1,0)</f>
        <v>0</v>
      </c>
      <c r="DN61" s="23" t="n">
        <f aca="false">IF(AND(BC61=1,INT(N(H61))&lt;=Config!$B$8,DB61=0),1,0)</f>
        <v>0</v>
      </c>
      <c r="DO61" s="23" t="n">
        <f aca="false">IF(AND(BC61=1,INT(N(H61))&lt;=Config!$B$5,DC61=0),1,0)</f>
        <v>0</v>
      </c>
      <c r="DP61" s="23" t="n">
        <f aca="false">IF(TRIM($A61)="",0,ISTEXT(K61)+ISTEXT(L61)+ISTEXT(R61)+ISTEXT(V61)+ISTEXT(AP61)+ISTEXT(AS61))</f>
        <v>0</v>
      </c>
      <c r="DQ61" s="23" t="n">
        <f aca="false">IF(AY61=1,IF(H61&lt;&gt;INT(H61),1,0),0)</f>
        <v>0</v>
      </c>
      <c r="DR61" s="23" t="str">
        <f aca="false">IF(TRIM($A61)="","",IF(TRIM(B61)="",SUBSTITUTE(SUBSTITUTE(SUBSTITUTE(SUBSTITUTE(SUBSTITUTE(SUBSTITUTE(LOWER(TRIM($A61)),"~",""),"*",""),"?",""),"&lt;",""),"&gt;",""),"=",""),SUBSTITUTE(SUBSTITUTE(SUBSTITUTE(SUBSTITUTE(SUBSTITUTE(SUBSTITUTE(LOWER(TRIM(B61)),"~",""),"*",""),"?",""),"&lt;",""),"&gt;",""),"=","")))</f>
        <v/>
      </c>
      <c r="DS61" s="23" t="str">
        <f aca="false">IF(CM61="","",IFERROR(IF(LEFT(LOWER(TRIM(INDEX(Clay_Brands!$A$2:$FZ$601,CM61,Sync!$D$19)&amp;"")),4)="grp-",SUBSTITUTE(SUBSTITUTE(SUBSTITUTE(SUBSTITUTE(SUBSTITUTE(SUBSTITUTE(LOWER(TRIM(INDEX(Clay_Brands!$A$2:$FZ$601,CM61,Sync!$D$19)&amp;"")),"~",""),"*",""),"?",""),"&lt;",""),"&gt;",""),"=",""),""),""))</f>
        <v/>
      </c>
      <c r="DT61" s="23" t="str">
        <f aca="false">IF(DS61&lt;&gt;"",DR61,"")</f>
        <v/>
      </c>
      <c r="DU61" s="23" t="str">
        <f aca="false">IF(AZ61=1,AW61,"")</f>
        <v/>
      </c>
      <c r="DV61" s="23" t="str">
        <f aca="false">IF(TRIM($A61)="","",IFERROR(INDEX($A$2:$A$201,MATCH(AW61,$DU$2:$DU$201,0))&amp;"",$A61&amp;""))</f>
        <v/>
      </c>
      <c r="DW61" s="23" t="n">
        <f aca="false">IF(AY61=1,IF(COUNTIFS($A$2:$A$201,$A61,$AY$2:$AY$201,1,$H$2:$H$201,"&lt;"&amp;H61)+COUNTIFS($A$2:$A$201,$A61,$AY$2:$AY$201,1,$H$2:$H$201,H61,$AX$2:$AX$201,"&lt;"&amp;AX61)=0,1,0),0)</f>
        <v>0</v>
      </c>
      <c r="DX61" s="23" t="n">
        <f aca="false">IF(AZ61=1,IF(COUNTIFS($AW$2:$AW$201,AW61,$DW$2:$DW$201,1)&gt;1,1,0),0)</f>
        <v>0</v>
      </c>
    </row>
    <row r="62" customFormat="false" ht="15" hidden="false" customHeight="false" outlineLevel="0" collapsed="false">
      <c r="G62" s="32"/>
      <c r="H62" s="33"/>
      <c r="I62" s="32"/>
      <c r="O62" s="32"/>
      <c r="P62" s="32"/>
      <c r="U62" s="32"/>
      <c r="Y62" s="32"/>
      <c r="AB62" s="32"/>
      <c r="AC62" s="32"/>
      <c r="AD62" s="32"/>
      <c r="AE62" s="32"/>
      <c r="AF62" s="32"/>
      <c r="AG62" s="32"/>
      <c r="AI62" s="32"/>
      <c r="AJ62" s="32"/>
      <c r="AK62" s="32"/>
      <c r="AN62" s="32"/>
      <c r="AO62" s="32"/>
      <c r="AR62" s="32"/>
      <c r="AT62" s="32"/>
      <c r="AV62" s="34" t="str">
        <f aca="false">IF(TRIM($A62)="","",IF(AND(LEFT($A62,6)="SAMPLE",Config!$B$19&lt;&gt;"Y"),"",IF(NOT(ISNUMBER(H62)),"call_date is blank or not a date",IF(Sync!$D$5="","Clay paste is empty or has no row_id column: paste the Clay export on Clay_Brands",IF(CM62="","row_id not found in the Clay paste: add the Clay row or fix the row_id",IF(AND(ISNUMBER(CO62),CO62&gt;=1,CO62&lt;=5),"Clay status is "&amp;CN62&amp;": set call_done or later",IF(AND(BA62=1,CP62&lt;&gt;CB62),"Clay yes_in_principle should be "&amp;CB62,IF(AND(BA62=1,CQ62&lt;&gt;H62),"Clay call_date should be "&amp;TEXT(H62,"yyyy-mm-dd"),""))))))))</f>
        <v/>
      </c>
      <c r="AW62" s="23" t="str">
        <f aca="false">IF(TRIM($A62)="","",IF(TRIM(C62)&lt;&gt;"",SUBSTITUTE(SUBSTITUTE(SUBSTITUTE(SUBSTITUTE(SUBSTITUTE(SUBSTITUTE(LOWER(TRIM(C62)),"~",""),"*",""),"?",""),"&lt;",""),"&gt;",""),"=",""),IF(DS62&lt;&gt;"",DS62,IFERROR(INDEX($DS$2:$DS$201,MATCH(DR62,$DT$2:$DT$201,0)),DR62))))</f>
        <v/>
      </c>
      <c r="AX62" s="23" t="n">
        <f aca="false">ROW()</f>
        <v>62</v>
      </c>
      <c r="AY62" s="23" t="n">
        <f aca="false">IF(AND(TRIM($A62)&lt;&gt;"",ISNUMBER(H62)),IF(AND(LEFT($A62,6)="SAMPLE",Config!$B$19&lt;&gt;"Y"),0,1),0)</f>
        <v>0</v>
      </c>
      <c r="AZ62" s="23" t="n">
        <f aca="false">IF(AY62=1,IF(COUNTIFS($AW$2:$AW$201,AW62,$AY$2:$AY$201,1,$H$2:$H$201,"&lt;"&amp;H62)+COUNTIFS($AW$2:$AW$201,AW62,$AY$2:$AY$201,1,$H$2:$H$201,H62,$AX$2:$AX$201,"&lt;"&amp;AX62)=0,1,0),0)</f>
        <v>0</v>
      </c>
      <c r="BA62" s="23" t="n">
        <f aca="false">IF(AY62=1,IF(COUNTIFS($A$2:$A$201,$A62,$AY$2:$AY$201,1,$H$2:$H$201,"&gt;"&amp;H62)+COUNTIFS($A$2:$A$201,$A62,$AY$2:$AY$201,1,$H$2:$H$201,H62,$AX$2:$AX$201,"&gt;"&amp;AX62)=0,1,0),0)</f>
        <v>0</v>
      </c>
      <c r="BB62" s="23" t="n">
        <f aca="false">IF(AND(AY62=1,O62="Y",MAX(N(R62),N(V62))&gt;=Config!$B$14),1,0)</f>
        <v>0</v>
      </c>
      <c r="BC62" s="23" t="n">
        <f aca="false">IF(BB62=1,IF(COUNTIFS($AW$2:$AW$201,AW62,$BB$2:$BB$201,1,$H$2:$H$201,"&lt;"&amp;H62)+COUNTIFS($AW$2:$AW$201,AW62,$BB$2:$BB$201,1,$H$2:$H$201,H62,$AX$2:$AX$201,"&lt;"&amp;AX62)=0,1,0),0)</f>
        <v>0</v>
      </c>
      <c r="BD62" s="23" t="n">
        <f aca="false">IF(AND(AY62=1,O62="Y",ISNUMBER(R62)),IF(R62&gt;=Config!$B$14,1,0),0)</f>
        <v>0</v>
      </c>
      <c r="BE62" s="23" t="n">
        <f aca="false">IF(BD62=1,IF(COUNTIFS($AW$2:$AW$201,AW62,$BD$2:$BD$201,1,$H$2:$H$201,"&lt;"&amp;H62)+COUNTIFS($AW$2:$AW$201,AW62,$BD$2:$BD$201,1,$H$2:$H$201,H62,$AX$2:$AX$201,"&lt;"&amp;AX62)=0,1,0),0)</f>
        <v>0</v>
      </c>
      <c r="BF62" s="23" t="n">
        <f aca="false">IF(AND(AY62=1,O62&lt;&gt;"Y",MAX(N(R62),N(V62))&gt;=Config!$B$14),1,0)</f>
        <v>0</v>
      </c>
      <c r="BG62" s="23" t="n">
        <f aca="false">IF(BF62=1,IF(COUNTIFS($AW$2:$AW$201,AW62,$BF$2:$BF$201,1,$H$2:$H$201,"&lt;"&amp;H62)+COUNTIFS($AW$2:$AW$201,AW62,$BF$2:$BF$201,1,$H$2:$H$201,H62,$AX$2:$AX$201,"&lt;"&amp;AX62)=0,1,0),0)</f>
        <v>0</v>
      </c>
      <c r="BH62" s="23" t="n">
        <f aca="false">IF(AND(AY62=1,ISNUMBER(R62)),1,0)</f>
        <v>0</v>
      </c>
      <c r="BI62" s="23" t="n">
        <f aca="false">IF(BH62=1,IF(COUNTIFS($AW$2:$AW$201,AW62,$BH$2:$BH$201,1,$H$2:$H$201,"&lt;"&amp;H62)+COUNTIFS($AW$2:$AW$201,AW62,$BH$2:$BH$201,1,$H$2:$H$201,H62,$AX$2:$AX$201,"&lt;"&amp;AX62)=0,1,0),0)</f>
        <v>0</v>
      </c>
      <c r="BJ62" s="23" t="str">
        <f aca="false">IF(AND(BI62=1,INT(N(H62))&lt;=Config!$B$6),R62,"")</f>
        <v/>
      </c>
      <c r="BK62" s="23" t="str">
        <f aca="false">IF(AND(BI62=1,INT(N(H62))&lt;=Config!$B$7),R62,"")</f>
        <v/>
      </c>
      <c r="BL62" s="23" t="str">
        <f aca="false">IF(AND(BI62=1,INT(N(H62))&lt;=Config!$B$8),R62,"")</f>
        <v/>
      </c>
      <c r="BM62" s="23" t="str">
        <f aca="false">IF(AND(BI62=1,INT(N(H62))&lt;=Config!$B$5),R62,"")</f>
        <v/>
      </c>
      <c r="BN62" s="23" t="n">
        <f aca="false">IF(AND(AY62=1,ISNUMBER(V62)),1,0)</f>
        <v>0</v>
      </c>
      <c r="BO62" s="23" t="n">
        <f aca="false">IF(BN62=1,IF(COUNTIFS($AW$2:$AW$201,AW62,$BN$2:$BN$201,1,$H$2:$H$201,"&lt;"&amp;H62)+COUNTIFS($AW$2:$AW$201,AW62,$BN$2:$BN$201,1,$H$2:$H$201,H62,$AX$2:$AX$201,"&lt;"&amp;AX62)=0,1,0),0)</f>
        <v>0</v>
      </c>
      <c r="BP62" s="23" t="str">
        <f aca="false">IF(AND(BO62=1,INT(N(H62))&lt;=Config!$B$6),V62,"")</f>
        <v/>
      </c>
      <c r="BQ62" s="23" t="str">
        <f aca="false">IF(AND(BO62=1,INT(N(H62))&lt;=Config!$B$7),V62,"")</f>
        <v/>
      </c>
      <c r="BR62" s="23" t="str">
        <f aca="false">IF(AND(BO62=1,INT(N(H62))&lt;=Config!$B$8),V62,"")</f>
        <v/>
      </c>
      <c r="BS62" s="23" t="str">
        <f aca="false">IF(AND(BO62=1,INT(N(H62))&lt;=Config!$B$5),V62,"")</f>
        <v/>
      </c>
      <c r="BT62" s="23" t="n">
        <f aca="false">IF(AND(AY62=1,ISNUMBER(K62)),1,0)</f>
        <v>0</v>
      </c>
      <c r="BU62" s="23" t="n">
        <f aca="false">IF(BT62=1,IF(COUNTIFS($AW$2:$AW$201,AW62,$BT$2:$BT$201,1,$H$2:$H$201,"&lt;"&amp;H62)+COUNTIFS($AW$2:$AW$201,AW62,$BT$2:$BT$201,1,$H$2:$H$201,H62,$AX$2:$AX$201,"&lt;"&amp;AX62)=0,1,0),0)</f>
        <v>0</v>
      </c>
      <c r="BV62" s="23" t="str">
        <f aca="false">IF(AND(BU62=1,INT(N(H62))&lt;=Config!$B$5),K62,"")</f>
        <v/>
      </c>
      <c r="BW62" s="23" t="n">
        <f aca="false">IF(AND(AY62=1,OR(AND(ISNUMBER(R62),TRIM(S62)=""),AND(ISNUMBER(V62),TRIM(W62)=""))),1,0)</f>
        <v>0</v>
      </c>
      <c r="BX62" s="23" t="str">
        <f aca="false">IF(AY62=1,AJ62&amp;"","")</f>
        <v/>
      </c>
      <c r="BY62" s="23" t="str">
        <f aca="false">IF(AY62=1,AK62&amp;"","")</f>
        <v/>
      </c>
      <c r="BZ62" s="23" t="str">
        <f aca="false">IF(AY62=1,AL62&amp;"","")</f>
        <v/>
      </c>
      <c r="CA62" s="23" t="str">
        <f aca="false">IF(AND(AY62=1,ISNUMBER(AS62),INT(N(H62))&lt;=Config!$B$5),AS62,"")</f>
        <v/>
      </c>
      <c r="CB62" s="23" t="str">
        <f aca="false">IF(AY62=1,IF(COUNTIFS($A$2:$A$201,$A62,$CU$2:$CU$201,1,$AN$2:$AN$201,"Y")&gt;0,"Y","N"),"")</f>
        <v/>
      </c>
      <c r="CC62" s="23" t="n">
        <f aca="false">IF(AND(AY62=1,AN62="Y"),IF(COUNTIFS($AW$2:$AW$201,AW62,$AN$2:$AN$201,"Y",$AY$2:$AY$201,1,$H$2:$H$201,"&lt;"&amp;H62)+COUNTIFS($AW$2:$AW$201,AW62,$AN$2:$AN$201,"Y",$AY$2:$AY$201,1,$H$2:$H$201,H62,$AX$2:$AX$201,"&lt;"&amp;AX62)=0,1,0),0)</f>
        <v>0</v>
      </c>
      <c r="CD62" s="23" t="n">
        <f aca="false">IF(AND(AY62=1,AB62="Y",AC62="Y",AD62="Y",AE62="Y",AF62="Y",AG62="Y",AI62="Y",TRIM(AH62)&lt;&gt;""),1,0)</f>
        <v>0</v>
      </c>
      <c r="CE62" s="23" t="n">
        <f aca="false">IF(CD62=1,IF(COUNTIFS($AW$2:$AW$201,AW62,$CD$2:$CD$201,1,$H$2:$H$201,"&lt;"&amp;H62)+COUNTIFS($AW$2:$AW$201,AW62,$CD$2:$CD$201,1,$H$2:$H$201,H62,$AX$2:$AX$201,"&lt;"&amp;AX62)=0,1,0),0)</f>
        <v>0</v>
      </c>
      <c r="CF62" s="23" t="n">
        <f aca="false">IF(AND(AY62=1,AO62="Y"),1,0)</f>
        <v>0</v>
      </c>
      <c r="CG62" s="23" t="n">
        <f aca="false">IF(CF62=1,IF(COUNTIFS($AW$2:$AW$201,AW62,$CF$2:$CF$201,1,$H$2:$H$201,"&lt;"&amp;H62)+COUNTIFS($AW$2:$AW$201,AW62,$CF$2:$CF$201,1,$H$2:$H$201,H62,$AX$2:$AX$201,"&lt;"&amp;AX62)=0,1,0),0)</f>
        <v>0</v>
      </c>
      <c r="CH62" s="23" t="n">
        <f aca="false">IF(AND(AY62=1,P62="Y"),1,0)</f>
        <v>0</v>
      </c>
      <c r="CI62" s="23" t="n">
        <f aca="false">IF(CH62=1,IF(COUNTIFS($AW$2:$AW$201,AW62,$CH$2:$CH$201,1,$H$2:$H$201,"&lt;"&amp;H62)+COUNTIFS($AW$2:$AW$201,AW62,$CH$2:$CH$201,1,$H$2:$H$201,H62,$AX$2:$AX$201,"&lt;"&amp;AX62)=0,1,0),0)</f>
        <v>0</v>
      </c>
      <c r="CJ62" s="23" t="str">
        <f aca="false">IF(AND(BU62=1,INT(N(H62))&lt;=Config!$B$5),L62,"")</f>
        <v/>
      </c>
      <c r="CK62" s="23" t="n">
        <f aca="false">IF(AND(AY62=1,AR62="Y"),1,0)</f>
        <v>0</v>
      </c>
      <c r="CL62" s="23" t="n">
        <f aca="false">IF(CK62=1,IF(COUNTIFS($AW$2:$AW$201,AW62,$CK$2:$CK$201,1,$H$2:$H$201,"&lt;"&amp;H62)+COUNTIFS($AW$2:$AW$201,AW62,$CK$2:$CK$201,1,$H$2:$H$201,H62,$AX$2:$AX$201,"&lt;"&amp;AX62)=0,1,0),0)</f>
        <v>0</v>
      </c>
      <c r="CM62" s="23" t="str">
        <f aca="false">IF(AY62=1,IFERROR(MATCH($A62,INDEX(Clay_Brands!$A$2:$FZ$601,0,Sync!$D$5),0),""),"")</f>
        <v/>
      </c>
      <c r="CN62" s="23" t="str">
        <f aca="false">IF(CM62="","",IFERROR(INDEX(Clay_Brands!$A$2:$FZ$601,CM62,Sync!$D$7)&amp;"",""))</f>
        <v/>
      </c>
      <c r="CO62" s="23" t="str">
        <f aca="false">IF(CN62="","",IFERROR(INDEX(Lists!$K$2:$K$15,MATCH(CN62,Lists!$J$2:$J$15,0)),""))</f>
        <v/>
      </c>
      <c r="CP62" s="23" t="str">
        <f aca="false">IF(CM62="","",IFERROR(INDEX(Clay_Brands!$A$2:$FZ$601,CM62,Sync!$D$17)&amp;"",""))</f>
        <v/>
      </c>
      <c r="CQ62" s="35" t="str">
        <f aca="false">IF(CM62="","",IFERROR(N(INDEX(Clay_Brands!$A$2:$FZ$601,CM62,Sync!$D$16)),0))</f>
        <v/>
      </c>
      <c r="CR62" s="23" t="n">
        <f aca="false">IF(AND(AY62=1,OR(O62="N",AND(OR(ISNUMBER(R62),ISNUMBER(V62)),MAX(N(R62),N(V62))&lt;Config!$B$14))),1,0)</f>
        <v>0</v>
      </c>
      <c r="CS62" s="23" t="n">
        <f aca="false">IF(OR(BB62=1,CR62=1),1,0)</f>
        <v>0</v>
      </c>
      <c r="CT62" s="23" t="n">
        <f aca="false">IF(AND(AY62=1,OR(AN62="Y",AN62="N",AN62="maybe")),1,0)</f>
        <v>0</v>
      </c>
      <c r="CU62" s="23" t="n">
        <f aca="false">IF(AND(CT62=1),IF(COUNTIFS($A$2:$A$201,$A62,$CT$2:$CT$201,1,$H$2:$H$201,"&gt;"&amp;H62)+COUNTIFS($A$2:$A$201,$A62,$CT$2:$CT$201,1,$H$2:$H$201,H62,$AX$2:$AX$201,"&gt;"&amp;AX62)=0,1,0),0)</f>
        <v>0</v>
      </c>
      <c r="CV62" s="23" t="n">
        <f aca="false">IF(AND(CS62=1,INT(N(H62))&lt;=Config!$B$6),IF(COUNTIFS($AW$2:$AW$201,AW62,$CS$2:$CS$201,1,$H$2:$H$201,"&gt;"&amp;H62,$H$2:$H$201,"&lt;"&amp;(Config!$B$6+1))+COUNTIFS($AW$2:$AW$201,AW62,$CS$2:$CS$201,1,$H$2:$H$201,H62,$AX$2:$AX$201,"&gt;"&amp;AX62)=0,1,0),0)</f>
        <v>0</v>
      </c>
      <c r="CW62" s="23" t="n">
        <f aca="false">IF(AND(CS62=1,INT(N(H62))&lt;=Config!$B$7),IF(COUNTIFS($AW$2:$AW$201,AW62,$CS$2:$CS$201,1,$H$2:$H$201,"&gt;"&amp;H62,$H$2:$H$201,"&lt;"&amp;(Config!$B$7+1))+COUNTIFS($AW$2:$AW$201,AW62,$CS$2:$CS$201,1,$H$2:$H$201,H62,$AX$2:$AX$201,"&gt;"&amp;AX62)=0,1,0),0)</f>
        <v>0</v>
      </c>
      <c r="CX62" s="23" t="n">
        <f aca="false">IF(AND(CS62=1,INT(N(H62))&lt;=Config!$B$8),IF(COUNTIFS($AW$2:$AW$201,AW62,$CS$2:$CS$201,1,$H$2:$H$201,"&gt;"&amp;H62,$H$2:$H$201,"&lt;"&amp;(Config!$B$8+1))+COUNTIFS($AW$2:$AW$201,AW62,$CS$2:$CS$201,1,$H$2:$H$201,H62,$AX$2:$AX$201,"&gt;"&amp;AX62)=0,1,0),0)</f>
        <v>0</v>
      </c>
      <c r="CY62" s="23" t="n">
        <f aca="false">IF(AND(CS62=1,INT(N(H62))&lt;=Config!$B$5),IF(COUNTIFS($AW$2:$AW$201,AW62,$CS$2:$CS$201,1,$H$2:$H$201,"&gt;"&amp;H62,$H$2:$H$201,"&lt;"&amp;(Config!$B$5+1))+COUNTIFS($AW$2:$AW$201,AW62,$CS$2:$CS$201,1,$H$2:$H$201,H62,$AX$2:$AX$201,"&gt;"&amp;AX62)=0,1,0),0)</f>
        <v>0</v>
      </c>
      <c r="CZ62" s="23" t="n">
        <f aca="false">IF(AY62=1,IF(COUNTIFS($AW$2:$AW$201,AW62,$CV$2:$CV$201,1,$BB$2:$BB$201,1)&gt;0,1,0),0)</f>
        <v>0</v>
      </c>
      <c r="DA62" s="23" t="n">
        <f aca="false">IF(AY62=1,IF(COUNTIFS($AW$2:$AW$201,AW62,$CW$2:$CW$201,1,$BB$2:$BB$201,1)&gt;0,1,0),0)</f>
        <v>0</v>
      </c>
      <c r="DB62" s="23" t="n">
        <f aca="false">IF(AY62=1,IF(COUNTIFS($AW$2:$AW$201,AW62,$CX$2:$CX$201,1,$BB$2:$BB$201,1)&gt;0,1,0),0)</f>
        <v>0</v>
      </c>
      <c r="DC62" s="23" t="n">
        <f aca="false">IF(AY62=1,IF(COUNTIFS($AW$2:$AW$201,AW62,$CY$2:$CY$201,1,$BB$2:$BB$201,1)&gt;0,1,0),0)</f>
        <v>0</v>
      </c>
      <c r="DD62" s="23" t="n">
        <f aca="false">IF(AND(BC62=1,INT(N(H62))&lt;=Config!$B$6,CZ62=1),1,0)</f>
        <v>0</v>
      </c>
      <c r="DE62" s="23" t="n">
        <f aca="false">IF(AND(BC62=1,INT(N(H62))&lt;=Config!$B$7,DA62=1),1,0)</f>
        <v>0</v>
      </c>
      <c r="DF62" s="23" t="n">
        <f aca="false">IF(AND(BC62=1,INT(N(H62))&lt;=Config!$B$8,DB62=1),1,0)</f>
        <v>0</v>
      </c>
      <c r="DG62" s="23" t="n">
        <f aca="false">IF(AND(BC62=1,INT(N(H62))&lt;=Config!$B$5,DC62=1),1,0)</f>
        <v>0</v>
      </c>
      <c r="DH62" s="23" t="n">
        <f aca="false">IF(AND(BE62=1,INT(N(H62))&lt;=Config!$B$6,CZ62=1),1,0)</f>
        <v>0</v>
      </c>
      <c r="DI62" s="23" t="n">
        <f aca="false">IF(AND(BE62=1,INT(N(H62))&lt;=Config!$B$7,DA62=1),1,0)</f>
        <v>0</v>
      </c>
      <c r="DJ62" s="23" t="n">
        <f aca="false">IF(AND(BE62=1,INT(N(H62))&lt;=Config!$B$8,DB62=1),1,0)</f>
        <v>0</v>
      </c>
      <c r="DK62" s="23" t="n">
        <f aca="false">IF(AND(BE62=1,INT(N(H62))&lt;=Config!$B$5,DC62=1),1,0)</f>
        <v>0</v>
      </c>
      <c r="DL62" s="23" t="n">
        <f aca="false">IF(AND(BC62=1,INT(N(H62))&lt;=Config!$B$6,CZ62=0),1,0)</f>
        <v>0</v>
      </c>
      <c r="DM62" s="23" t="n">
        <f aca="false">IF(AND(BC62=1,INT(N(H62))&lt;=Config!$B$7,DA62=0),1,0)</f>
        <v>0</v>
      </c>
      <c r="DN62" s="23" t="n">
        <f aca="false">IF(AND(BC62=1,INT(N(H62))&lt;=Config!$B$8,DB62=0),1,0)</f>
        <v>0</v>
      </c>
      <c r="DO62" s="23" t="n">
        <f aca="false">IF(AND(BC62=1,INT(N(H62))&lt;=Config!$B$5,DC62=0),1,0)</f>
        <v>0</v>
      </c>
      <c r="DP62" s="23" t="n">
        <f aca="false">IF(TRIM($A62)="",0,ISTEXT(K62)+ISTEXT(L62)+ISTEXT(R62)+ISTEXT(V62)+ISTEXT(AP62)+ISTEXT(AS62))</f>
        <v>0</v>
      </c>
      <c r="DQ62" s="23" t="n">
        <f aca="false">IF(AY62=1,IF(H62&lt;&gt;INT(H62),1,0),0)</f>
        <v>0</v>
      </c>
      <c r="DR62" s="23" t="str">
        <f aca="false">IF(TRIM($A62)="","",IF(TRIM(B62)="",SUBSTITUTE(SUBSTITUTE(SUBSTITUTE(SUBSTITUTE(SUBSTITUTE(SUBSTITUTE(LOWER(TRIM($A62)),"~",""),"*",""),"?",""),"&lt;",""),"&gt;",""),"=",""),SUBSTITUTE(SUBSTITUTE(SUBSTITUTE(SUBSTITUTE(SUBSTITUTE(SUBSTITUTE(LOWER(TRIM(B62)),"~",""),"*",""),"?",""),"&lt;",""),"&gt;",""),"=","")))</f>
        <v/>
      </c>
      <c r="DS62" s="23" t="str">
        <f aca="false">IF(CM62="","",IFERROR(IF(LEFT(LOWER(TRIM(INDEX(Clay_Brands!$A$2:$FZ$601,CM62,Sync!$D$19)&amp;"")),4)="grp-",SUBSTITUTE(SUBSTITUTE(SUBSTITUTE(SUBSTITUTE(SUBSTITUTE(SUBSTITUTE(LOWER(TRIM(INDEX(Clay_Brands!$A$2:$FZ$601,CM62,Sync!$D$19)&amp;"")),"~",""),"*",""),"?",""),"&lt;",""),"&gt;",""),"=",""),""),""))</f>
        <v/>
      </c>
      <c r="DT62" s="23" t="str">
        <f aca="false">IF(DS62&lt;&gt;"",DR62,"")</f>
        <v/>
      </c>
      <c r="DU62" s="23" t="str">
        <f aca="false">IF(AZ62=1,AW62,"")</f>
        <v/>
      </c>
      <c r="DV62" s="23" t="str">
        <f aca="false">IF(TRIM($A62)="","",IFERROR(INDEX($A$2:$A$201,MATCH(AW62,$DU$2:$DU$201,0))&amp;"",$A62&amp;""))</f>
        <v/>
      </c>
      <c r="DW62" s="23" t="n">
        <f aca="false">IF(AY62=1,IF(COUNTIFS($A$2:$A$201,$A62,$AY$2:$AY$201,1,$H$2:$H$201,"&lt;"&amp;H62)+COUNTIFS($A$2:$A$201,$A62,$AY$2:$AY$201,1,$H$2:$H$201,H62,$AX$2:$AX$201,"&lt;"&amp;AX62)=0,1,0),0)</f>
        <v>0</v>
      </c>
      <c r="DX62" s="23" t="n">
        <f aca="false">IF(AZ62=1,IF(COUNTIFS($AW$2:$AW$201,AW62,$DW$2:$DW$201,1)&gt;1,1,0),0)</f>
        <v>0</v>
      </c>
    </row>
    <row r="63" customFormat="false" ht="15" hidden="false" customHeight="false" outlineLevel="0" collapsed="false">
      <c r="G63" s="32"/>
      <c r="H63" s="33"/>
      <c r="I63" s="32"/>
      <c r="O63" s="32"/>
      <c r="P63" s="32"/>
      <c r="U63" s="32"/>
      <c r="Y63" s="32"/>
      <c r="AB63" s="32"/>
      <c r="AC63" s="32"/>
      <c r="AD63" s="32"/>
      <c r="AE63" s="32"/>
      <c r="AF63" s="32"/>
      <c r="AG63" s="32"/>
      <c r="AI63" s="32"/>
      <c r="AJ63" s="32"/>
      <c r="AK63" s="32"/>
      <c r="AN63" s="32"/>
      <c r="AO63" s="32"/>
      <c r="AR63" s="32"/>
      <c r="AT63" s="32"/>
      <c r="AV63" s="34" t="str">
        <f aca="false">IF(TRIM($A63)="","",IF(AND(LEFT($A63,6)="SAMPLE",Config!$B$19&lt;&gt;"Y"),"",IF(NOT(ISNUMBER(H63)),"call_date is blank or not a date",IF(Sync!$D$5="","Clay paste is empty or has no row_id column: paste the Clay export on Clay_Brands",IF(CM63="","row_id not found in the Clay paste: add the Clay row or fix the row_id",IF(AND(ISNUMBER(CO63),CO63&gt;=1,CO63&lt;=5),"Clay status is "&amp;CN63&amp;": set call_done or later",IF(AND(BA63=1,CP63&lt;&gt;CB63),"Clay yes_in_principle should be "&amp;CB63,IF(AND(BA63=1,CQ63&lt;&gt;H63),"Clay call_date should be "&amp;TEXT(H63,"yyyy-mm-dd"),""))))))))</f>
        <v/>
      </c>
      <c r="AW63" s="23" t="str">
        <f aca="false">IF(TRIM($A63)="","",IF(TRIM(C63)&lt;&gt;"",SUBSTITUTE(SUBSTITUTE(SUBSTITUTE(SUBSTITUTE(SUBSTITUTE(SUBSTITUTE(LOWER(TRIM(C63)),"~",""),"*",""),"?",""),"&lt;",""),"&gt;",""),"=",""),IF(DS63&lt;&gt;"",DS63,IFERROR(INDEX($DS$2:$DS$201,MATCH(DR63,$DT$2:$DT$201,0)),DR63))))</f>
        <v/>
      </c>
      <c r="AX63" s="23" t="n">
        <f aca="false">ROW()</f>
        <v>63</v>
      </c>
      <c r="AY63" s="23" t="n">
        <f aca="false">IF(AND(TRIM($A63)&lt;&gt;"",ISNUMBER(H63)),IF(AND(LEFT($A63,6)="SAMPLE",Config!$B$19&lt;&gt;"Y"),0,1),0)</f>
        <v>0</v>
      </c>
      <c r="AZ63" s="23" t="n">
        <f aca="false">IF(AY63=1,IF(COUNTIFS($AW$2:$AW$201,AW63,$AY$2:$AY$201,1,$H$2:$H$201,"&lt;"&amp;H63)+COUNTIFS($AW$2:$AW$201,AW63,$AY$2:$AY$201,1,$H$2:$H$201,H63,$AX$2:$AX$201,"&lt;"&amp;AX63)=0,1,0),0)</f>
        <v>0</v>
      </c>
      <c r="BA63" s="23" t="n">
        <f aca="false">IF(AY63=1,IF(COUNTIFS($A$2:$A$201,$A63,$AY$2:$AY$201,1,$H$2:$H$201,"&gt;"&amp;H63)+COUNTIFS($A$2:$A$201,$A63,$AY$2:$AY$201,1,$H$2:$H$201,H63,$AX$2:$AX$201,"&gt;"&amp;AX63)=0,1,0),0)</f>
        <v>0</v>
      </c>
      <c r="BB63" s="23" t="n">
        <f aca="false">IF(AND(AY63=1,O63="Y",MAX(N(R63),N(V63))&gt;=Config!$B$14),1,0)</f>
        <v>0</v>
      </c>
      <c r="BC63" s="23" t="n">
        <f aca="false">IF(BB63=1,IF(COUNTIFS($AW$2:$AW$201,AW63,$BB$2:$BB$201,1,$H$2:$H$201,"&lt;"&amp;H63)+COUNTIFS($AW$2:$AW$201,AW63,$BB$2:$BB$201,1,$H$2:$H$201,H63,$AX$2:$AX$201,"&lt;"&amp;AX63)=0,1,0),0)</f>
        <v>0</v>
      </c>
      <c r="BD63" s="23" t="n">
        <f aca="false">IF(AND(AY63=1,O63="Y",ISNUMBER(R63)),IF(R63&gt;=Config!$B$14,1,0),0)</f>
        <v>0</v>
      </c>
      <c r="BE63" s="23" t="n">
        <f aca="false">IF(BD63=1,IF(COUNTIFS($AW$2:$AW$201,AW63,$BD$2:$BD$201,1,$H$2:$H$201,"&lt;"&amp;H63)+COUNTIFS($AW$2:$AW$201,AW63,$BD$2:$BD$201,1,$H$2:$H$201,H63,$AX$2:$AX$201,"&lt;"&amp;AX63)=0,1,0),0)</f>
        <v>0</v>
      </c>
      <c r="BF63" s="23" t="n">
        <f aca="false">IF(AND(AY63=1,O63&lt;&gt;"Y",MAX(N(R63),N(V63))&gt;=Config!$B$14),1,0)</f>
        <v>0</v>
      </c>
      <c r="BG63" s="23" t="n">
        <f aca="false">IF(BF63=1,IF(COUNTIFS($AW$2:$AW$201,AW63,$BF$2:$BF$201,1,$H$2:$H$201,"&lt;"&amp;H63)+COUNTIFS($AW$2:$AW$201,AW63,$BF$2:$BF$201,1,$H$2:$H$201,H63,$AX$2:$AX$201,"&lt;"&amp;AX63)=0,1,0),0)</f>
        <v>0</v>
      </c>
      <c r="BH63" s="23" t="n">
        <f aca="false">IF(AND(AY63=1,ISNUMBER(R63)),1,0)</f>
        <v>0</v>
      </c>
      <c r="BI63" s="23" t="n">
        <f aca="false">IF(BH63=1,IF(COUNTIFS($AW$2:$AW$201,AW63,$BH$2:$BH$201,1,$H$2:$H$201,"&lt;"&amp;H63)+COUNTIFS($AW$2:$AW$201,AW63,$BH$2:$BH$201,1,$H$2:$H$201,H63,$AX$2:$AX$201,"&lt;"&amp;AX63)=0,1,0),0)</f>
        <v>0</v>
      </c>
      <c r="BJ63" s="23" t="str">
        <f aca="false">IF(AND(BI63=1,INT(N(H63))&lt;=Config!$B$6),R63,"")</f>
        <v/>
      </c>
      <c r="BK63" s="23" t="str">
        <f aca="false">IF(AND(BI63=1,INT(N(H63))&lt;=Config!$B$7),R63,"")</f>
        <v/>
      </c>
      <c r="BL63" s="23" t="str">
        <f aca="false">IF(AND(BI63=1,INT(N(H63))&lt;=Config!$B$8),R63,"")</f>
        <v/>
      </c>
      <c r="BM63" s="23" t="str">
        <f aca="false">IF(AND(BI63=1,INT(N(H63))&lt;=Config!$B$5),R63,"")</f>
        <v/>
      </c>
      <c r="BN63" s="23" t="n">
        <f aca="false">IF(AND(AY63=1,ISNUMBER(V63)),1,0)</f>
        <v>0</v>
      </c>
      <c r="BO63" s="23" t="n">
        <f aca="false">IF(BN63=1,IF(COUNTIFS($AW$2:$AW$201,AW63,$BN$2:$BN$201,1,$H$2:$H$201,"&lt;"&amp;H63)+COUNTIFS($AW$2:$AW$201,AW63,$BN$2:$BN$201,1,$H$2:$H$201,H63,$AX$2:$AX$201,"&lt;"&amp;AX63)=0,1,0),0)</f>
        <v>0</v>
      </c>
      <c r="BP63" s="23" t="str">
        <f aca="false">IF(AND(BO63=1,INT(N(H63))&lt;=Config!$B$6),V63,"")</f>
        <v/>
      </c>
      <c r="BQ63" s="23" t="str">
        <f aca="false">IF(AND(BO63=1,INT(N(H63))&lt;=Config!$B$7),V63,"")</f>
        <v/>
      </c>
      <c r="BR63" s="23" t="str">
        <f aca="false">IF(AND(BO63=1,INT(N(H63))&lt;=Config!$B$8),V63,"")</f>
        <v/>
      </c>
      <c r="BS63" s="23" t="str">
        <f aca="false">IF(AND(BO63=1,INT(N(H63))&lt;=Config!$B$5),V63,"")</f>
        <v/>
      </c>
      <c r="BT63" s="23" t="n">
        <f aca="false">IF(AND(AY63=1,ISNUMBER(K63)),1,0)</f>
        <v>0</v>
      </c>
      <c r="BU63" s="23" t="n">
        <f aca="false">IF(BT63=1,IF(COUNTIFS($AW$2:$AW$201,AW63,$BT$2:$BT$201,1,$H$2:$H$201,"&lt;"&amp;H63)+COUNTIFS($AW$2:$AW$201,AW63,$BT$2:$BT$201,1,$H$2:$H$201,H63,$AX$2:$AX$201,"&lt;"&amp;AX63)=0,1,0),0)</f>
        <v>0</v>
      </c>
      <c r="BV63" s="23" t="str">
        <f aca="false">IF(AND(BU63=1,INT(N(H63))&lt;=Config!$B$5),K63,"")</f>
        <v/>
      </c>
      <c r="BW63" s="23" t="n">
        <f aca="false">IF(AND(AY63=1,OR(AND(ISNUMBER(R63),TRIM(S63)=""),AND(ISNUMBER(V63),TRIM(W63)=""))),1,0)</f>
        <v>0</v>
      </c>
      <c r="BX63" s="23" t="str">
        <f aca="false">IF(AY63=1,AJ63&amp;"","")</f>
        <v/>
      </c>
      <c r="BY63" s="23" t="str">
        <f aca="false">IF(AY63=1,AK63&amp;"","")</f>
        <v/>
      </c>
      <c r="BZ63" s="23" t="str">
        <f aca="false">IF(AY63=1,AL63&amp;"","")</f>
        <v/>
      </c>
      <c r="CA63" s="23" t="str">
        <f aca="false">IF(AND(AY63=1,ISNUMBER(AS63),INT(N(H63))&lt;=Config!$B$5),AS63,"")</f>
        <v/>
      </c>
      <c r="CB63" s="23" t="str">
        <f aca="false">IF(AY63=1,IF(COUNTIFS($A$2:$A$201,$A63,$CU$2:$CU$201,1,$AN$2:$AN$201,"Y")&gt;0,"Y","N"),"")</f>
        <v/>
      </c>
      <c r="CC63" s="23" t="n">
        <f aca="false">IF(AND(AY63=1,AN63="Y"),IF(COUNTIFS($AW$2:$AW$201,AW63,$AN$2:$AN$201,"Y",$AY$2:$AY$201,1,$H$2:$H$201,"&lt;"&amp;H63)+COUNTIFS($AW$2:$AW$201,AW63,$AN$2:$AN$201,"Y",$AY$2:$AY$201,1,$H$2:$H$201,H63,$AX$2:$AX$201,"&lt;"&amp;AX63)=0,1,0),0)</f>
        <v>0</v>
      </c>
      <c r="CD63" s="23" t="n">
        <f aca="false">IF(AND(AY63=1,AB63="Y",AC63="Y",AD63="Y",AE63="Y",AF63="Y",AG63="Y",AI63="Y",TRIM(AH63)&lt;&gt;""),1,0)</f>
        <v>0</v>
      </c>
      <c r="CE63" s="23" t="n">
        <f aca="false">IF(CD63=1,IF(COUNTIFS($AW$2:$AW$201,AW63,$CD$2:$CD$201,1,$H$2:$H$201,"&lt;"&amp;H63)+COUNTIFS($AW$2:$AW$201,AW63,$CD$2:$CD$201,1,$H$2:$H$201,H63,$AX$2:$AX$201,"&lt;"&amp;AX63)=0,1,0),0)</f>
        <v>0</v>
      </c>
      <c r="CF63" s="23" t="n">
        <f aca="false">IF(AND(AY63=1,AO63="Y"),1,0)</f>
        <v>0</v>
      </c>
      <c r="CG63" s="23" t="n">
        <f aca="false">IF(CF63=1,IF(COUNTIFS($AW$2:$AW$201,AW63,$CF$2:$CF$201,1,$H$2:$H$201,"&lt;"&amp;H63)+COUNTIFS($AW$2:$AW$201,AW63,$CF$2:$CF$201,1,$H$2:$H$201,H63,$AX$2:$AX$201,"&lt;"&amp;AX63)=0,1,0),0)</f>
        <v>0</v>
      </c>
      <c r="CH63" s="23" t="n">
        <f aca="false">IF(AND(AY63=1,P63="Y"),1,0)</f>
        <v>0</v>
      </c>
      <c r="CI63" s="23" t="n">
        <f aca="false">IF(CH63=1,IF(COUNTIFS($AW$2:$AW$201,AW63,$CH$2:$CH$201,1,$H$2:$H$201,"&lt;"&amp;H63)+COUNTIFS($AW$2:$AW$201,AW63,$CH$2:$CH$201,1,$H$2:$H$201,H63,$AX$2:$AX$201,"&lt;"&amp;AX63)=0,1,0),0)</f>
        <v>0</v>
      </c>
      <c r="CJ63" s="23" t="str">
        <f aca="false">IF(AND(BU63=1,INT(N(H63))&lt;=Config!$B$5),L63,"")</f>
        <v/>
      </c>
      <c r="CK63" s="23" t="n">
        <f aca="false">IF(AND(AY63=1,AR63="Y"),1,0)</f>
        <v>0</v>
      </c>
      <c r="CL63" s="23" t="n">
        <f aca="false">IF(CK63=1,IF(COUNTIFS($AW$2:$AW$201,AW63,$CK$2:$CK$201,1,$H$2:$H$201,"&lt;"&amp;H63)+COUNTIFS($AW$2:$AW$201,AW63,$CK$2:$CK$201,1,$H$2:$H$201,H63,$AX$2:$AX$201,"&lt;"&amp;AX63)=0,1,0),0)</f>
        <v>0</v>
      </c>
      <c r="CM63" s="23" t="str">
        <f aca="false">IF(AY63=1,IFERROR(MATCH($A63,INDEX(Clay_Brands!$A$2:$FZ$601,0,Sync!$D$5),0),""),"")</f>
        <v/>
      </c>
      <c r="CN63" s="23" t="str">
        <f aca="false">IF(CM63="","",IFERROR(INDEX(Clay_Brands!$A$2:$FZ$601,CM63,Sync!$D$7)&amp;"",""))</f>
        <v/>
      </c>
      <c r="CO63" s="23" t="str">
        <f aca="false">IF(CN63="","",IFERROR(INDEX(Lists!$K$2:$K$15,MATCH(CN63,Lists!$J$2:$J$15,0)),""))</f>
        <v/>
      </c>
      <c r="CP63" s="23" t="str">
        <f aca="false">IF(CM63="","",IFERROR(INDEX(Clay_Brands!$A$2:$FZ$601,CM63,Sync!$D$17)&amp;"",""))</f>
        <v/>
      </c>
      <c r="CQ63" s="35" t="str">
        <f aca="false">IF(CM63="","",IFERROR(N(INDEX(Clay_Brands!$A$2:$FZ$601,CM63,Sync!$D$16)),0))</f>
        <v/>
      </c>
      <c r="CR63" s="23" t="n">
        <f aca="false">IF(AND(AY63=1,OR(O63="N",AND(OR(ISNUMBER(R63),ISNUMBER(V63)),MAX(N(R63),N(V63))&lt;Config!$B$14))),1,0)</f>
        <v>0</v>
      </c>
      <c r="CS63" s="23" t="n">
        <f aca="false">IF(OR(BB63=1,CR63=1),1,0)</f>
        <v>0</v>
      </c>
      <c r="CT63" s="23" t="n">
        <f aca="false">IF(AND(AY63=1,OR(AN63="Y",AN63="N",AN63="maybe")),1,0)</f>
        <v>0</v>
      </c>
      <c r="CU63" s="23" t="n">
        <f aca="false">IF(AND(CT63=1),IF(COUNTIFS($A$2:$A$201,$A63,$CT$2:$CT$201,1,$H$2:$H$201,"&gt;"&amp;H63)+COUNTIFS($A$2:$A$201,$A63,$CT$2:$CT$201,1,$H$2:$H$201,H63,$AX$2:$AX$201,"&gt;"&amp;AX63)=0,1,0),0)</f>
        <v>0</v>
      </c>
      <c r="CV63" s="23" t="n">
        <f aca="false">IF(AND(CS63=1,INT(N(H63))&lt;=Config!$B$6),IF(COUNTIFS($AW$2:$AW$201,AW63,$CS$2:$CS$201,1,$H$2:$H$201,"&gt;"&amp;H63,$H$2:$H$201,"&lt;"&amp;(Config!$B$6+1))+COUNTIFS($AW$2:$AW$201,AW63,$CS$2:$CS$201,1,$H$2:$H$201,H63,$AX$2:$AX$201,"&gt;"&amp;AX63)=0,1,0),0)</f>
        <v>0</v>
      </c>
      <c r="CW63" s="23" t="n">
        <f aca="false">IF(AND(CS63=1,INT(N(H63))&lt;=Config!$B$7),IF(COUNTIFS($AW$2:$AW$201,AW63,$CS$2:$CS$201,1,$H$2:$H$201,"&gt;"&amp;H63,$H$2:$H$201,"&lt;"&amp;(Config!$B$7+1))+COUNTIFS($AW$2:$AW$201,AW63,$CS$2:$CS$201,1,$H$2:$H$201,H63,$AX$2:$AX$201,"&gt;"&amp;AX63)=0,1,0),0)</f>
        <v>0</v>
      </c>
      <c r="CX63" s="23" t="n">
        <f aca="false">IF(AND(CS63=1,INT(N(H63))&lt;=Config!$B$8),IF(COUNTIFS($AW$2:$AW$201,AW63,$CS$2:$CS$201,1,$H$2:$H$201,"&gt;"&amp;H63,$H$2:$H$201,"&lt;"&amp;(Config!$B$8+1))+COUNTIFS($AW$2:$AW$201,AW63,$CS$2:$CS$201,1,$H$2:$H$201,H63,$AX$2:$AX$201,"&gt;"&amp;AX63)=0,1,0),0)</f>
        <v>0</v>
      </c>
      <c r="CY63" s="23" t="n">
        <f aca="false">IF(AND(CS63=1,INT(N(H63))&lt;=Config!$B$5),IF(COUNTIFS($AW$2:$AW$201,AW63,$CS$2:$CS$201,1,$H$2:$H$201,"&gt;"&amp;H63,$H$2:$H$201,"&lt;"&amp;(Config!$B$5+1))+COUNTIFS($AW$2:$AW$201,AW63,$CS$2:$CS$201,1,$H$2:$H$201,H63,$AX$2:$AX$201,"&gt;"&amp;AX63)=0,1,0),0)</f>
        <v>0</v>
      </c>
      <c r="CZ63" s="23" t="n">
        <f aca="false">IF(AY63=1,IF(COUNTIFS($AW$2:$AW$201,AW63,$CV$2:$CV$201,1,$BB$2:$BB$201,1)&gt;0,1,0),0)</f>
        <v>0</v>
      </c>
      <c r="DA63" s="23" t="n">
        <f aca="false">IF(AY63=1,IF(COUNTIFS($AW$2:$AW$201,AW63,$CW$2:$CW$201,1,$BB$2:$BB$201,1)&gt;0,1,0),0)</f>
        <v>0</v>
      </c>
      <c r="DB63" s="23" t="n">
        <f aca="false">IF(AY63=1,IF(COUNTIFS($AW$2:$AW$201,AW63,$CX$2:$CX$201,1,$BB$2:$BB$201,1)&gt;0,1,0),0)</f>
        <v>0</v>
      </c>
      <c r="DC63" s="23" t="n">
        <f aca="false">IF(AY63=1,IF(COUNTIFS($AW$2:$AW$201,AW63,$CY$2:$CY$201,1,$BB$2:$BB$201,1)&gt;0,1,0),0)</f>
        <v>0</v>
      </c>
      <c r="DD63" s="23" t="n">
        <f aca="false">IF(AND(BC63=1,INT(N(H63))&lt;=Config!$B$6,CZ63=1),1,0)</f>
        <v>0</v>
      </c>
      <c r="DE63" s="23" t="n">
        <f aca="false">IF(AND(BC63=1,INT(N(H63))&lt;=Config!$B$7,DA63=1),1,0)</f>
        <v>0</v>
      </c>
      <c r="DF63" s="23" t="n">
        <f aca="false">IF(AND(BC63=1,INT(N(H63))&lt;=Config!$B$8,DB63=1),1,0)</f>
        <v>0</v>
      </c>
      <c r="DG63" s="23" t="n">
        <f aca="false">IF(AND(BC63=1,INT(N(H63))&lt;=Config!$B$5,DC63=1),1,0)</f>
        <v>0</v>
      </c>
      <c r="DH63" s="23" t="n">
        <f aca="false">IF(AND(BE63=1,INT(N(H63))&lt;=Config!$B$6,CZ63=1),1,0)</f>
        <v>0</v>
      </c>
      <c r="DI63" s="23" t="n">
        <f aca="false">IF(AND(BE63=1,INT(N(H63))&lt;=Config!$B$7,DA63=1),1,0)</f>
        <v>0</v>
      </c>
      <c r="DJ63" s="23" t="n">
        <f aca="false">IF(AND(BE63=1,INT(N(H63))&lt;=Config!$B$8,DB63=1),1,0)</f>
        <v>0</v>
      </c>
      <c r="DK63" s="23" t="n">
        <f aca="false">IF(AND(BE63=1,INT(N(H63))&lt;=Config!$B$5,DC63=1),1,0)</f>
        <v>0</v>
      </c>
      <c r="DL63" s="23" t="n">
        <f aca="false">IF(AND(BC63=1,INT(N(H63))&lt;=Config!$B$6,CZ63=0),1,0)</f>
        <v>0</v>
      </c>
      <c r="DM63" s="23" t="n">
        <f aca="false">IF(AND(BC63=1,INT(N(H63))&lt;=Config!$B$7,DA63=0),1,0)</f>
        <v>0</v>
      </c>
      <c r="DN63" s="23" t="n">
        <f aca="false">IF(AND(BC63=1,INT(N(H63))&lt;=Config!$B$8,DB63=0),1,0)</f>
        <v>0</v>
      </c>
      <c r="DO63" s="23" t="n">
        <f aca="false">IF(AND(BC63=1,INT(N(H63))&lt;=Config!$B$5,DC63=0),1,0)</f>
        <v>0</v>
      </c>
      <c r="DP63" s="23" t="n">
        <f aca="false">IF(TRIM($A63)="",0,ISTEXT(K63)+ISTEXT(L63)+ISTEXT(R63)+ISTEXT(V63)+ISTEXT(AP63)+ISTEXT(AS63))</f>
        <v>0</v>
      </c>
      <c r="DQ63" s="23" t="n">
        <f aca="false">IF(AY63=1,IF(H63&lt;&gt;INT(H63),1,0),0)</f>
        <v>0</v>
      </c>
      <c r="DR63" s="23" t="str">
        <f aca="false">IF(TRIM($A63)="","",IF(TRIM(B63)="",SUBSTITUTE(SUBSTITUTE(SUBSTITUTE(SUBSTITUTE(SUBSTITUTE(SUBSTITUTE(LOWER(TRIM($A63)),"~",""),"*",""),"?",""),"&lt;",""),"&gt;",""),"=",""),SUBSTITUTE(SUBSTITUTE(SUBSTITUTE(SUBSTITUTE(SUBSTITUTE(SUBSTITUTE(LOWER(TRIM(B63)),"~",""),"*",""),"?",""),"&lt;",""),"&gt;",""),"=","")))</f>
        <v/>
      </c>
      <c r="DS63" s="23" t="str">
        <f aca="false">IF(CM63="","",IFERROR(IF(LEFT(LOWER(TRIM(INDEX(Clay_Brands!$A$2:$FZ$601,CM63,Sync!$D$19)&amp;"")),4)="grp-",SUBSTITUTE(SUBSTITUTE(SUBSTITUTE(SUBSTITUTE(SUBSTITUTE(SUBSTITUTE(LOWER(TRIM(INDEX(Clay_Brands!$A$2:$FZ$601,CM63,Sync!$D$19)&amp;"")),"~",""),"*",""),"?",""),"&lt;",""),"&gt;",""),"=",""),""),""))</f>
        <v/>
      </c>
      <c r="DT63" s="23" t="str">
        <f aca="false">IF(DS63&lt;&gt;"",DR63,"")</f>
        <v/>
      </c>
      <c r="DU63" s="23" t="str">
        <f aca="false">IF(AZ63=1,AW63,"")</f>
        <v/>
      </c>
      <c r="DV63" s="23" t="str">
        <f aca="false">IF(TRIM($A63)="","",IFERROR(INDEX($A$2:$A$201,MATCH(AW63,$DU$2:$DU$201,0))&amp;"",$A63&amp;""))</f>
        <v/>
      </c>
      <c r="DW63" s="23" t="n">
        <f aca="false">IF(AY63=1,IF(COUNTIFS($A$2:$A$201,$A63,$AY$2:$AY$201,1,$H$2:$H$201,"&lt;"&amp;H63)+COUNTIFS($A$2:$A$201,$A63,$AY$2:$AY$201,1,$H$2:$H$201,H63,$AX$2:$AX$201,"&lt;"&amp;AX63)=0,1,0),0)</f>
        <v>0</v>
      </c>
      <c r="DX63" s="23" t="n">
        <f aca="false">IF(AZ63=1,IF(COUNTIFS($AW$2:$AW$201,AW63,$DW$2:$DW$201,1)&gt;1,1,0),0)</f>
        <v>0</v>
      </c>
    </row>
    <row r="64" customFormat="false" ht="15" hidden="false" customHeight="false" outlineLevel="0" collapsed="false">
      <c r="G64" s="32"/>
      <c r="H64" s="33"/>
      <c r="I64" s="32"/>
      <c r="O64" s="32"/>
      <c r="P64" s="32"/>
      <c r="U64" s="32"/>
      <c r="Y64" s="32"/>
      <c r="AB64" s="32"/>
      <c r="AC64" s="32"/>
      <c r="AD64" s="32"/>
      <c r="AE64" s="32"/>
      <c r="AF64" s="32"/>
      <c r="AG64" s="32"/>
      <c r="AI64" s="32"/>
      <c r="AJ64" s="32"/>
      <c r="AK64" s="32"/>
      <c r="AN64" s="32"/>
      <c r="AO64" s="32"/>
      <c r="AR64" s="32"/>
      <c r="AT64" s="32"/>
      <c r="AV64" s="34" t="str">
        <f aca="false">IF(TRIM($A64)="","",IF(AND(LEFT($A64,6)="SAMPLE",Config!$B$19&lt;&gt;"Y"),"",IF(NOT(ISNUMBER(H64)),"call_date is blank or not a date",IF(Sync!$D$5="","Clay paste is empty or has no row_id column: paste the Clay export on Clay_Brands",IF(CM64="","row_id not found in the Clay paste: add the Clay row or fix the row_id",IF(AND(ISNUMBER(CO64),CO64&gt;=1,CO64&lt;=5),"Clay status is "&amp;CN64&amp;": set call_done or later",IF(AND(BA64=1,CP64&lt;&gt;CB64),"Clay yes_in_principle should be "&amp;CB64,IF(AND(BA64=1,CQ64&lt;&gt;H64),"Clay call_date should be "&amp;TEXT(H64,"yyyy-mm-dd"),""))))))))</f>
        <v/>
      </c>
      <c r="AW64" s="23" t="str">
        <f aca="false">IF(TRIM($A64)="","",IF(TRIM(C64)&lt;&gt;"",SUBSTITUTE(SUBSTITUTE(SUBSTITUTE(SUBSTITUTE(SUBSTITUTE(SUBSTITUTE(LOWER(TRIM(C64)),"~",""),"*",""),"?",""),"&lt;",""),"&gt;",""),"=",""),IF(DS64&lt;&gt;"",DS64,IFERROR(INDEX($DS$2:$DS$201,MATCH(DR64,$DT$2:$DT$201,0)),DR64))))</f>
        <v/>
      </c>
      <c r="AX64" s="23" t="n">
        <f aca="false">ROW()</f>
        <v>64</v>
      </c>
      <c r="AY64" s="23" t="n">
        <f aca="false">IF(AND(TRIM($A64)&lt;&gt;"",ISNUMBER(H64)),IF(AND(LEFT($A64,6)="SAMPLE",Config!$B$19&lt;&gt;"Y"),0,1),0)</f>
        <v>0</v>
      </c>
      <c r="AZ64" s="23" t="n">
        <f aca="false">IF(AY64=1,IF(COUNTIFS($AW$2:$AW$201,AW64,$AY$2:$AY$201,1,$H$2:$H$201,"&lt;"&amp;H64)+COUNTIFS($AW$2:$AW$201,AW64,$AY$2:$AY$201,1,$H$2:$H$201,H64,$AX$2:$AX$201,"&lt;"&amp;AX64)=0,1,0),0)</f>
        <v>0</v>
      </c>
      <c r="BA64" s="23" t="n">
        <f aca="false">IF(AY64=1,IF(COUNTIFS($A$2:$A$201,$A64,$AY$2:$AY$201,1,$H$2:$H$201,"&gt;"&amp;H64)+COUNTIFS($A$2:$A$201,$A64,$AY$2:$AY$201,1,$H$2:$H$201,H64,$AX$2:$AX$201,"&gt;"&amp;AX64)=0,1,0),0)</f>
        <v>0</v>
      </c>
      <c r="BB64" s="23" t="n">
        <f aca="false">IF(AND(AY64=1,O64="Y",MAX(N(R64),N(V64))&gt;=Config!$B$14),1,0)</f>
        <v>0</v>
      </c>
      <c r="BC64" s="23" t="n">
        <f aca="false">IF(BB64=1,IF(COUNTIFS($AW$2:$AW$201,AW64,$BB$2:$BB$201,1,$H$2:$H$201,"&lt;"&amp;H64)+COUNTIFS($AW$2:$AW$201,AW64,$BB$2:$BB$201,1,$H$2:$H$201,H64,$AX$2:$AX$201,"&lt;"&amp;AX64)=0,1,0),0)</f>
        <v>0</v>
      </c>
      <c r="BD64" s="23" t="n">
        <f aca="false">IF(AND(AY64=1,O64="Y",ISNUMBER(R64)),IF(R64&gt;=Config!$B$14,1,0),0)</f>
        <v>0</v>
      </c>
      <c r="BE64" s="23" t="n">
        <f aca="false">IF(BD64=1,IF(COUNTIFS($AW$2:$AW$201,AW64,$BD$2:$BD$201,1,$H$2:$H$201,"&lt;"&amp;H64)+COUNTIFS($AW$2:$AW$201,AW64,$BD$2:$BD$201,1,$H$2:$H$201,H64,$AX$2:$AX$201,"&lt;"&amp;AX64)=0,1,0),0)</f>
        <v>0</v>
      </c>
      <c r="BF64" s="23" t="n">
        <f aca="false">IF(AND(AY64=1,O64&lt;&gt;"Y",MAX(N(R64),N(V64))&gt;=Config!$B$14),1,0)</f>
        <v>0</v>
      </c>
      <c r="BG64" s="23" t="n">
        <f aca="false">IF(BF64=1,IF(COUNTIFS($AW$2:$AW$201,AW64,$BF$2:$BF$201,1,$H$2:$H$201,"&lt;"&amp;H64)+COUNTIFS($AW$2:$AW$201,AW64,$BF$2:$BF$201,1,$H$2:$H$201,H64,$AX$2:$AX$201,"&lt;"&amp;AX64)=0,1,0),0)</f>
        <v>0</v>
      </c>
      <c r="BH64" s="23" t="n">
        <f aca="false">IF(AND(AY64=1,ISNUMBER(R64)),1,0)</f>
        <v>0</v>
      </c>
      <c r="BI64" s="23" t="n">
        <f aca="false">IF(BH64=1,IF(COUNTIFS($AW$2:$AW$201,AW64,$BH$2:$BH$201,1,$H$2:$H$201,"&lt;"&amp;H64)+COUNTIFS($AW$2:$AW$201,AW64,$BH$2:$BH$201,1,$H$2:$H$201,H64,$AX$2:$AX$201,"&lt;"&amp;AX64)=0,1,0),0)</f>
        <v>0</v>
      </c>
      <c r="BJ64" s="23" t="str">
        <f aca="false">IF(AND(BI64=1,INT(N(H64))&lt;=Config!$B$6),R64,"")</f>
        <v/>
      </c>
      <c r="BK64" s="23" t="str">
        <f aca="false">IF(AND(BI64=1,INT(N(H64))&lt;=Config!$B$7),R64,"")</f>
        <v/>
      </c>
      <c r="BL64" s="23" t="str">
        <f aca="false">IF(AND(BI64=1,INT(N(H64))&lt;=Config!$B$8),R64,"")</f>
        <v/>
      </c>
      <c r="BM64" s="23" t="str">
        <f aca="false">IF(AND(BI64=1,INT(N(H64))&lt;=Config!$B$5),R64,"")</f>
        <v/>
      </c>
      <c r="BN64" s="23" t="n">
        <f aca="false">IF(AND(AY64=1,ISNUMBER(V64)),1,0)</f>
        <v>0</v>
      </c>
      <c r="BO64" s="23" t="n">
        <f aca="false">IF(BN64=1,IF(COUNTIFS($AW$2:$AW$201,AW64,$BN$2:$BN$201,1,$H$2:$H$201,"&lt;"&amp;H64)+COUNTIFS($AW$2:$AW$201,AW64,$BN$2:$BN$201,1,$H$2:$H$201,H64,$AX$2:$AX$201,"&lt;"&amp;AX64)=0,1,0),0)</f>
        <v>0</v>
      </c>
      <c r="BP64" s="23" t="str">
        <f aca="false">IF(AND(BO64=1,INT(N(H64))&lt;=Config!$B$6),V64,"")</f>
        <v/>
      </c>
      <c r="BQ64" s="23" t="str">
        <f aca="false">IF(AND(BO64=1,INT(N(H64))&lt;=Config!$B$7),V64,"")</f>
        <v/>
      </c>
      <c r="BR64" s="23" t="str">
        <f aca="false">IF(AND(BO64=1,INT(N(H64))&lt;=Config!$B$8),V64,"")</f>
        <v/>
      </c>
      <c r="BS64" s="23" t="str">
        <f aca="false">IF(AND(BO64=1,INT(N(H64))&lt;=Config!$B$5),V64,"")</f>
        <v/>
      </c>
      <c r="BT64" s="23" t="n">
        <f aca="false">IF(AND(AY64=1,ISNUMBER(K64)),1,0)</f>
        <v>0</v>
      </c>
      <c r="BU64" s="23" t="n">
        <f aca="false">IF(BT64=1,IF(COUNTIFS($AW$2:$AW$201,AW64,$BT$2:$BT$201,1,$H$2:$H$201,"&lt;"&amp;H64)+COUNTIFS($AW$2:$AW$201,AW64,$BT$2:$BT$201,1,$H$2:$H$201,H64,$AX$2:$AX$201,"&lt;"&amp;AX64)=0,1,0),0)</f>
        <v>0</v>
      </c>
      <c r="BV64" s="23" t="str">
        <f aca="false">IF(AND(BU64=1,INT(N(H64))&lt;=Config!$B$5),K64,"")</f>
        <v/>
      </c>
      <c r="BW64" s="23" t="n">
        <f aca="false">IF(AND(AY64=1,OR(AND(ISNUMBER(R64),TRIM(S64)=""),AND(ISNUMBER(V64),TRIM(W64)=""))),1,0)</f>
        <v>0</v>
      </c>
      <c r="BX64" s="23" t="str">
        <f aca="false">IF(AY64=1,AJ64&amp;"","")</f>
        <v/>
      </c>
      <c r="BY64" s="23" t="str">
        <f aca="false">IF(AY64=1,AK64&amp;"","")</f>
        <v/>
      </c>
      <c r="BZ64" s="23" t="str">
        <f aca="false">IF(AY64=1,AL64&amp;"","")</f>
        <v/>
      </c>
      <c r="CA64" s="23" t="str">
        <f aca="false">IF(AND(AY64=1,ISNUMBER(AS64),INT(N(H64))&lt;=Config!$B$5),AS64,"")</f>
        <v/>
      </c>
      <c r="CB64" s="23" t="str">
        <f aca="false">IF(AY64=1,IF(COUNTIFS($A$2:$A$201,$A64,$CU$2:$CU$201,1,$AN$2:$AN$201,"Y")&gt;0,"Y","N"),"")</f>
        <v/>
      </c>
      <c r="CC64" s="23" t="n">
        <f aca="false">IF(AND(AY64=1,AN64="Y"),IF(COUNTIFS($AW$2:$AW$201,AW64,$AN$2:$AN$201,"Y",$AY$2:$AY$201,1,$H$2:$H$201,"&lt;"&amp;H64)+COUNTIFS($AW$2:$AW$201,AW64,$AN$2:$AN$201,"Y",$AY$2:$AY$201,1,$H$2:$H$201,H64,$AX$2:$AX$201,"&lt;"&amp;AX64)=0,1,0),0)</f>
        <v>0</v>
      </c>
      <c r="CD64" s="23" t="n">
        <f aca="false">IF(AND(AY64=1,AB64="Y",AC64="Y",AD64="Y",AE64="Y",AF64="Y",AG64="Y",AI64="Y",TRIM(AH64)&lt;&gt;""),1,0)</f>
        <v>0</v>
      </c>
      <c r="CE64" s="23" t="n">
        <f aca="false">IF(CD64=1,IF(COUNTIFS($AW$2:$AW$201,AW64,$CD$2:$CD$201,1,$H$2:$H$201,"&lt;"&amp;H64)+COUNTIFS($AW$2:$AW$201,AW64,$CD$2:$CD$201,1,$H$2:$H$201,H64,$AX$2:$AX$201,"&lt;"&amp;AX64)=0,1,0),0)</f>
        <v>0</v>
      </c>
      <c r="CF64" s="23" t="n">
        <f aca="false">IF(AND(AY64=1,AO64="Y"),1,0)</f>
        <v>0</v>
      </c>
      <c r="CG64" s="23" t="n">
        <f aca="false">IF(CF64=1,IF(COUNTIFS($AW$2:$AW$201,AW64,$CF$2:$CF$201,1,$H$2:$H$201,"&lt;"&amp;H64)+COUNTIFS($AW$2:$AW$201,AW64,$CF$2:$CF$201,1,$H$2:$H$201,H64,$AX$2:$AX$201,"&lt;"&amp;AX64)=0,1,0),0)</f>
        <v>0</v>
      </c>
      <c r="CH64" s="23" t="n">
        <f aca="false">IF(AND(AY64=1,P64="Y"),1,0)</f>
        <v>0</v>
      </c>
      <c r="CI64" s="23" t="n">
        <f aca="false">IF(CH64=1,IF(COUNTIFS($AW$2:$AW$201,AW64,$CH$2:$CH$201,1,$H$2:$H$201,"&lt;"&amp;H64)+COUNTIFS($AW$2:$AW$201,AW64,$CH$2:$CH$201,1,$H$2:$H$201,H64,$AX$2:$AX$201,"&lt;"&amp;AX64)=0,1,0),0)</f>
        <v>0</v>
      </c>
      <c r="CJ64" s="23" t="str">
        <f aca="false">IF(AND(BU64=1,INT(N(H64))&lt;=Config!$B$5),L64,"")</f>
        <v/>
      </c>
      <c r="CK64" s="23" t="n">
        <f aca="false">IF(AND(AY64=1,AR64="Y"),1,0)</f>
        <v>0</v>
      </c>
      <c r="CL64" s="23" t="n">
        <f aca="false">IF(CK64=1,IF(COUNTIFS($AW$2:$AW$201,AW64,$CK$2:$CK$201,1,$H$2:$H$201,"&lt;"&amp;H64)+COUNTIFS($AW$2:$AW$201,AW64,$CK$2:$CK$201,1,$H$2:$H$201,H64,$AX$2:$AX$201,"&lt;"&amp;AX64)=0,1,0),0)</f>
        <v>0</v>
      </c>
      <c r="CM64" s="23" t="str">
        <f aca="false">IF(AY64=1,IFERROR(MATCH($A64,INDEX(Clay_Brands!$A$2:$FZ$601,0,Sync!$D$5),0),""),"")</f>
        <v/>
      </c>
      <c r="CN64" s="23" t="str">
        <f aca="false">IF(CM64="","",IFERROR(INDEX(Clay_Brands!$A$2:$FZ$601,CM64,Sync!$D$7)&amp;"",""))</f>
        <v/>
      </c>
      <c r="CO64" s="23" t="str">
        <f aca="false">IF(CN64="","",IFERROR(INDEX(Lists!$K$2:$K$15,MATCH(CN64,Lists!$J$2:$J$15,0)),""))</f>
        <v/>
      </c>
      <c r="CP64" s="23" t="str">
        <f aca="false">IF(CM64="","",IFERROR(INDEX(Clay_Brands!$A$2:$FZ$601,CM64,Sync!$D$17)&amp;"",""))</f>
        <v/>
      </c>
      <c r="CQ64" s="35" t="str">
        <f aca="false">IF(CM64="","",IFERROR(N(INDEX(Clay_Brands!$A$2:$FZ$601,CM64,Sync!$D$16)),0))</f>
        <v/>
      </c>
      <c r="CR64" s="23" t="n">
        <f aca="false">IF(AND(AY64=1,OR(O64="N",AND(OR(ISNUMBER(R64),ISNUMBER(V64)),MAX(N(R64),N(V64))&lt;Config!$B$14))),1,0)</f>
        <v>0</v>
      </c>
      <c r="CS64" s="23" t="n">
        <f aca="false">IF(OR(BB64=1,CR64=1),1,0)</f>
        <v>0</v>
      </c>
      <c r="CT64" s="23" t="n">
        <f aca="false">IF(AND(AY64=1,OR(AN64="Y",AN64="N",AN64="maybe")),1,0)</f>
        <v>0</v>
      </c>
      <c r="CU64" s="23" t="n">
        <f aca="false">IF(AND(CT64=1),IF(COUNTIFS($A$2:$A$201,$A64,$CT$2:$CT$201,1,$H$2:$H$201,"&gt;"&amp;H64)+COUNTIFS($A$2:$A$201,$A64,$CT$2:$CT$201,1,$H$2:$H$201,H64,$AX$2:$AX$201,"&gt;"&amp;AX64)=0,1,0),0)</f>
        <v>0</v>
      </c>
      <c r="CV64" s="23" t="n">
        <f aca="false">IF(AND(CS64=1,INT(N(H64))&lt;=Config!$B$6),IF(COUNTIFS($AW$2:$AW$201,AW64,$CS$2:$CS$201,1,$H$2:$H$201,"&gt;"&amp;H64,$H$2:$H$201,"&lt;"&amp;(Config!$B$6+1))+COUNTIFS($AW$2:$AW$201,AW64,$CS$2:$CS$201,1,$H$2:$H$201,H64,$AX$2:$AX$201,"&gt;"&amp;AX64)=0,1,0),0)</f>
        <v>0</v>
      </c>
      <c r="CW64" s="23" t="n">
        <f aca="false">IF(AND(CS64=1,INT(N(H64))&lt;=Config!$B$7),IF(COUNTIFS($AW$2:$AW$201,AW64,$CS$2:$CS$201,1,$H$2:$H$201,"&gt;"&amp;H64,$H$2:$H$201,"&lt;"&amp;(Config!$B$7+1))+COUNTIFS($AW$2:$AW$201,AW64,$CS$2:$CS$201,1,$H$2:$H$201,H64,$AX$2:$AX$201,"&gt;"&amp;AX64)=0,1,0),0)</f>
        <v>0</v>
      </c>
      <c r="CX64" s="23" t="n">
        <f aca="false">IF(AND(CS64=1,INT(N(H64))&lt;=Config!$B$8),IF(COUNTIFS($AW$2:$AW$201,AW64,$CS$2:$CS$201,1,$H$2:$H$201,"&gt;"&amp;H64,$H$2:$H$201,"&lt;"&amp;(Config!$B$8+1))+COUNTIFS($AW$2:$AW$201,AW64,$CS$2:$CS$201,1,$H$2:$H$201,H64,$AX$2:$AX$201,"&gt;"&amp;AX64)=0,1,0),0)</f>
        <v>0</v>
      </c>
      <c r="CY64" s="23" t="n">
        <f aca="false">IF(AND(CS64=1,INT(N(H64))&lt;=Config!$B$5),IF(COUNTIFS($AW$2:$AW$201,AW64,$CS$2:$CS$201,1,$H$2:$H$201,"&gt;"&amp;H64,$H$2:$H$201,"&lt;"&amp;(Config!$B$5+1))+COUNTIFS($AW$2:$AW$201,AW64,$CS$2:$CS$201,1,$H$2:$H$201,H64,$AX$2:$AX$201,"&gt;"&amp;AX64)=0,1,0),0)</f>
        <v>0</v>
      </c>
      <c r="CZ64" s="23" t="n">
        <f aca="false">IF(AY64=1,IF(COUNTIFS($AW$2:$AW$201,AW64,$CV$2:$CV$201,1,$BB$2:$BB$201,1)&gt;0,1,0),0)</f>
        <v>0</v>
      </c>
      <c r="DA64" s="23" t="n">
        <f aca="false">IF(AY64=1,IF(COUNTIFS($AW$2:$AW$201,AW64,$CW$2:$CW$201,1,$BB$2:$BB$201,1)&gt;0,1,0),0)</f>
        <v>0</v>
      </c>
      <c r="DB64" s="23" t="n">
        <f aca="false">IF(AY64=1,IF(COUNTIFS($AW$2:$AW$201,AW64,$CX$2:$CX$201,1,$BB$2:$BB$201,1)&gt;0,1,0),0)</f>
        <v>0</v>
      </c>
      <c r="DC64" s="23" t="n">
        <f aca="false">IF(AY64=1,IF(COUNTIFS($AW$2:$AW$201,AW64,$CY$2:$CY$201,1,$BB$2:$BB$201,1)&gt;0,1,0),0)</f>
        <v>0</v>
      </c>
      <c r="DD64" s="23" t="n">
        <f aca="false">IF(AND(BC64=1,INT(N(H64))&lt;=Config!$B$6,CZ64=1),1,0)</f>
        <v>0</v>
      </c>
      <c r="DE64" s="23" t="n">
        <f aca="false">IF(AND(BC64=1,INT(N(H64))&lt;=Config!$B$7,DA64=1),1,0)</f>
        <v>0</v>
      </c>
      <c r="DF64" s="23" t="n">
        <f aca="false">IF(AND(BC64=1,INT(N(H64))&lt;=Config!$B$8,DB64=1),1,0)</f>
        <v>0</v>
      </c>
      <c r="DG64" s="23" t="n">
        <f aca="false">IF(AND(BC64=1,INT(N(H64))&lt;=Config!$B$5,DC64=1),1,0)</f>
        <v>0</v>
      </c>
      <c r="DH64" s="23" t="n">
        <f aca="false">IF(AND(BE64=1,INT(N(H64))&lt;=Config!$B$6,CZ64=1),1,0)</f>
        <v>0</v>
      </c>
      <c r="DI64" s="23" t="n">
        <f aca="false">IF(AND(BE64=1,INT(N(H64))&lt;=Config!$B$7,DA64=1),1,0)</f>
        <v>0</v>
      </c>
      <c r="DJ64" s="23" t="n">
        <f aca="false">IF(AND(BE64=1,INT(N(H64))&lt;=Config!$B$8,DB64=1),1,0)</f>
        <v>0</v>
      </c>
      <c r="DK64" s="23" t="n">
        <f aca="false">IF(AND(BE64=1,INT(N(H64))&lt;=Config!$B$5,DC64=1),1,0)</f>
        <v>0</v>
      </c>
      <c r="DL64" s="23" t="n">
        <f aca="false">IF(AND(BC64=1,INT(N(H64))&lt;=Config!$B$6,CZ64=0),1,0)</f>
        <v>0</v>
      </c>
      <c r="DM64" s="23" t="n">
        <f aca="false">IF(AND(BC64=1,INT(N(H64))&lt;=Config!$B$7,DA64=0),1,0)</f>
        <v>0</v>
      </c>
      <c r="DN64" s="23" t="n">
        <f aca="false">IF(AND(BC64=1,INT(N(H64))&lt;=Config!$B$8,DB64=0),1,0)</f>
        <v>0</v>
      </c>
      <c r="DO64" s="23" t="n">
        <f aca="false">IF(AND(BC64=1,INT(N(H64))&lt;=Config!$B$5,DC64=0),1,0)</f>
        <v>0</v>
      </c>
      <c r="DP64" s="23" t="n">
        <f aca="false">IF(TRIM($A64)="",0,ISTEXT(K64)+ISTEXT(L64)+ISTEXT(R64)+ISTEXT(V64)+ISTEXT(AP64)+ISTEXT(AS64))</f>
        <v>0</v>
      </c>
      <c r="DQ64" s="23" t="n">
        <f aca="false">IF(AY64=1,IF(H64&lt;&gt;INT(H64),1,0),0)</f>
        <v>0</v>
      </c>
      <c r="DR64" s="23" t="str">
        <f aca="false">IF(TRIM($A64)="","",IF(TRIM(B64)="",SUBSTITUTE(SUBSTITUTE(SUBSTITUTE(SUBSTITUTE(SUBSTITUTE(SUBSTITUTE(LOWER(TRIM($A64)),"~",""),"*",""),"?",""),"&lt;",""),"&gt;",""),"=",""),SUBSTITUTE(SUBSTITUTE(SUBSTITUTE(SUBSTITUTE(SUBSTITUTE(SUBSTITUTE(LOWER(TRIM(B64)),"~",""),"*",""),"?",""),"&lt;",""),"&gt;",""),"=","")))</f>
        <v/>
      </c>
      <c r="DS64" s="23" t="str">
        <f aca="false">IF(CM64="","",IFERROR(IF(LEFT(LOWER(TRIM(INDEX(Clay_Brands!$A$2:$FZ$601,CM64,Sync!$D$19)&amp;"")),4)="grp-",SUBSTITUTE(SUBSTITUTE(SUBSTITUTE(SUBSTITUTE(SUBSTITUTE(SUBSTITUTE(LOWER(TRIM(INDEX(Clay_Brands!$A$2:$FZ$601,CM64,Sync!$D$19)&amp;"")),"~",""),"*",""),"?",""),"&lt;",""),"&gt;",""),"=",""),""),""))</f>
        <v/>
      </c>
      <c r="DT64" s="23" t="str">
        <f aca="false">IF(DS64&lt;&gt;"",DR64,"")</f>
        <v/>
      </c>
      <c r="DU64" s="23" t="str">
        <f aca="false">IF(AZ64=1,AW64,"")</f>
        <v/>
      </c>
      <c r="DV64" s="23" t="str">
        <f aca="false">IF(TRIM($A64)="","",IFERROR(INDEX($A$2:$A$201,MATCH(AW64,$DU$2:$DU$201,0))&amp;"",$A64&amp;""))</f>
        <v/>
      </c>
      <c r="DW64" s="23" t="n">
        <f aca="false">IF(AY64=1,IF(COUNTIFS($A$2:$A$201,$A64,$AY$2:$AY$201,1,$H$2:$H$201,"&lt;"&amp;H64)+COUNTIFS($A$2:$A$201,$A64,$AY$2:$AY$201,1,$H$2:$H$201,H64,$AX$2:$AX$201,"&lt;"&amp;AX64)=0,1,0),0)</f>
        <v>0</v>
      </c>
      <c r="DX64" s="23" t="n">
        <f aca="false">IF(AZ64=1,IF(COUNTIFS($AW$2:$AW$201,AW64,$DW$2:$DW$201,1)&gt;1,1,0),0)</f>
        <v>0</v>
      </c>
    </row>
    <row r="65" customFormat="false" ht="15" hidden="false" customHeight="false" outlineLevel="0" collapsed="false">
      <c r="G65" s="32"/>
      <c r="H65" s="33"/>
      <c r="I65" s="32"/>
      <c r="O65" s="32"/>
      <c r="P65" s="32"/>
      <c r="U65" s="32"/>
      <c r="Y65" s="32"/>
      <c r="AB65" s="32"/>
      <c r="AC65" s="32"/>
      <c r="AD65" s="32"/>
      <c r="AE65" s="32"/>
      <c r="AF65" s="32"/>
      <c r="AG65" s="32"/>
      <c r="AI65" s="32"/>
      <c r="AJ65" s="32"/>
      <c r="AK65" s="32"/>
      <c r="AN65" s="32"/>
      <c r="AO65" s="32"/>
      <c r="AR65" s="32"/>
      <c r="AT65" s="32"/>
      <c r="AV65" s="34" t="str">
        <f aca="false">IF(TRIM($A65)="","",IF(AND(LEFT($A65,6)="SAMPLE",Config!$B$19&lt;&gt;"Y"),"",IF(NOT(ISNUMBER(H65)),"call_date is blank or not a date",IF(Sync!$D$5="","Clay paste is empty or has no row_id column: paste the Clay export on Clay_Brands",IF(CM65="","row_id not found in the Clay paste: add the Clay row or fix the row_id",IF(AND(ISNUMBER(CO65),CO65&gt;=1,CO65&lt;=5),"Clay status is "&amp;CN65&amp;": set call_done or later",IF(AND(BA65=1,CP65&lt;&gt;CB65),"Clay yes_in_principle should be "&amp;CB65,IF(AND(BA65=1,CQ65&lt;&gt;H65),"Clay call_date should be "&amp;TEXT(H65,"yyyy-mm-dd"),""))))))))</f>
        <v/>
      </c>
      <c r="AW65" s="23" t="str">
        <f aca="false">IF(TRIM($A65)="","",IF(TRIM(C65)&lt;&gt;"",SUBSTITUTE(SUBSTITUTE(SUBSTITUTE(SUBSTITUTE(SUBSTITUTE(SUBSTITUTE(LOWER(TRIM(C65)),"~",""),"*",""),"?",""),"&lt;",""),"&gt;",""),"=",""),IF(DS65&lt;&gt;"",DS65,IFERROR(INDEX($DS$2:$DS$201,MATCH(DR65,$DT$2:$DT$201,0)),DR65))))</f>
        <v/>
      </c>
      <c r="AX65" s="23" t="n">
        <f aca="false">ROW()</f>
        <v>65</v>
      </c>
      <c r="AY65" s="23" t="n">
        <f aca="false">IF(AND(TRIM($A65)&lt;&gt;"",ISNUMBER(H65)),IF(AND(LEFT($A65,6)="SAMPLE",Config!$B$19&lt;&gt;"Y"),0,1),0)</f>
        <v>0</v>
      </c>
      <c r="AZ65" s="23" t="n">
        <f aca="false">IF(AY65=1,IF(COUNTIFS($AW$2:$AW$201,AW65,$AY$2:$AY$201,1,$H$2:$H$201,"&lt;"&amp;H65)+COUNTIFS($AW$2:$AW$201,AW65,$AY$2:$AY$201,1,$H$2:$H$201,H65,$AX$2:$AX$201,"&lt;"&amp;AX65)=0,1,0),0)</f>
        <v>0</v>
      </c>
      <c r="BA65" s="23" t="n">
        <f aca="false">IF(AY65=1,IF(COUNTIFS($A$2:$A$201,$A65,$AY$2:$AY$201,1,$H$2:$H$201,"&gt;"&amp;H65)+COUNTIFS($A$2:$A$201,$A65,$AY$2:$AY$201,1,$H$2:$H$201,H65,$AX$2:$AX$201,"&gt;"&amp;AX65)=0,1,0),0)</f>
        <v>0</v>
      </c>
      <c r="BB65" s="23" t="n">
        <f aca="false">IF(AND(AY65=1,O65="Y",MAX(N(R65),N(V65))&gt;=Config!$B$14),1,0)</f>
        <v>0</v>
      </c>
      <c r="BC65" s="23" t="n">
        <f aca="false">IF(BB65=1,IF(COUNTIFS($AW$2:$AW$201,AW65,$BB$2:$BB$201,1,$H$2:$H$201,"&lt;"&amp;H65)+COUNTIFS($AW$2:$AW$201,AW65,$BB$2:$BB$201,1,$H$2:$H$201,H65,$AX$2:$AX$201,"&lt;"&amp;AX65)=0,1,0),0)</f>
        <v>0</v>
      </c>
      <c r="BD65" s="23" t="n">
        <f aca="false">IF(AND(AY65=1,O65="Y",ISNUMBER(R65)),IF(R65&gt;=Config!$B$14,1,0),0)</f>
        <v>0</v>
      </c>
      <c r="BE65" s="23" t="n">
        <f aca="false">IF(BD65=1,IF(COUNTIFS($AW$2:$AW$201,AW65,$BD$2:$BD$201,1,$H$2:$H$201,"&lt;"&amp;H65)+COUNTIFS($AW$2:$AW$201,AW65,$BD$2:$BD$201,1,$H$2:$H$201,H65,$AX$2:$AX$201,"&lt;"&amp;AX65)=0,1,0),0)</f>
        <v>0</v>
      </c>
      <c r="BF65" s="23" t="n">
        <f aca="false">IF(AND(AY65=1,O65&lt;&gt;"Y",MAX(N(R65),N(V65))&gt;=Config!$B$14),1,0)</f>
        <v>0</v>
      </c>
      <c r="BG65" s="23" t="n">
        <f aca="false">IF(BF65=1,IF(COUNTIFS($AW$2:$AW$201,AW65,$BF$2:$BF$201,1,$H$2:$H$201,"&lt;"&amp;H65)+COUNTIFS($AW$2:$AW$201,AW65,$BF$2:$BF$201,1,$H$2:$H$201,H65,$AX$2:$AX$201,"&lt;"&amp;AX65)=0,1,0),0)</f>
        <v>0</v>
      </c>
      <c r="BH65" s="23" t="n">
        <f aca="false">IF(AND(AY65=1,ISNUMBER(R65)),1,0)</f>
        <v>0</v>
      </c>
      <c r="BI65" s="23" t="n">
        <f aca="false">IF(BH65=1,IF(COUNTIFS($AW$2:$AW$201,AW65,$BH$2:$BH$201,1,$H$2:$H$201,"&lt;"&amp;H65)+COUNTIFS($AW$2:$AW$201,AW65,$BH$2:$BH$201,1,$H$2:$H$201,H65,$AX$2:$AX$201,"&lt;"&amp;AX65)=0,1,0),0)</f>
        <v>0</v>
      </c>
      <c r="BJ65" s="23" t="str">
        <f aca="false">IF(AND(BI65=1,INT(N(H65))&lt;=Config!$B$6),R65,"")</f>
        <v/>
      </c>
      <c r="BK65" s="23" t="str">
        <f aca="false">IF(AND(BI65=1,INT(N(H65))&lt;=Config!$B$7),R65,"")</f>
        <v/>
      </c>
      <c r="BL65" s="23" t="str">
        <f aca="false">IF(AND(BI65=1,INT(N(H65))&lt;=Config!$B$8),R65,"")</f>
        <v/>
      </c>
      <c r="BM65" s="23" t="str">
        <f aca="false">IF(AND(BI65=1,INT(N(H65))&lt;=Config!$B$5),R65,"")</f>
        <v/>
      </c>
      <c r="BN65" s="23" t="n">
        <f aca="false">IF(AND(AY65=1,ISNUMBER(V65)),1,0)</f>
        <v>0</v>
      </c>
      <c r="BO65" s="23" t="n">
        <f aca="false">IF(BN65=1,IF(COUNTIFS($AW$2:$AW$201,AW65,$BN$2:$BN$201,1,$H$2:$H$201,"&lt;"&amp;H65)+COUNTIFS($AW$2:$AW$201,AW65,$BN$2:$BN$201,1,$H$2:$H$201,H65,$AX$2:$AX$201,"&lt;"&amp;AX65)=0,1,0),0)</f>
        <v>0</v>
      </c>
      <c r="BP65" s="23" t="str">
        <f aca="false">IF(AND(BO65=1,INT(N(H65))&lt;=Config!$B$6),V65,"")</f>
        <v/>
      </c>
      <c r="BQ65" s="23" t="str">
        <f aca="false">IF(AND(BO65=1,INT(N(H65))&lt;=Config!$B$7),V65,"")</f>
        <v/>
      </c>
      <c r="BR65" s="23" t="str">
        <f aca="false">IF(AND(BO65=1,INT(N(H65))&lt;=Config!$B$8),V65,"")</f>
        <v/>
      </c>
      <c r="BS65" s="23" t="str">
        <f aca="false">IF(AND(BO65=1,INT(N(H65))&lt;=Config!$B$5),V65,"")</f>
        <v/>
      </c>
      <c r="BT65" s="23" t="n">
        <f aca="false">IF(AND(AY65=1,ISNUMBER(K65)),1,0)</f>
        <v>0</v>
      </c>
      <c r="BU65" s="23" t="n">
        <f aca="false">IF(BT65=1,IF(COUNTIFS($AW$2:$AW$201,AW65,$BT$2:$BT$201,1,$H$2:$H$201,"&lt;"&amp;H65)+COUNTIFS($AW$2:$AW$201,AW65,$BT$2:$BT$201,1,$H$2:$H$201,H65,$AX$2:$AX$201,"&lt;"&amp;AX65)=0,1,0),0)</f>
        <v>0</v>
      </c>
      <c r="BV65" s="23" t="str">
        <f aca="false">IF(AND(BU65=1,INT(N(H65))&lt;=Config!$B$5),K65,"")</f>
        <v/>
      </c>
      <c r="BW65" s="23" t="n">
        <f aca="false">IF(AND(AY65=1,OR(AND(ISNUMBER(R65),TRIM(S65)=""),AND(ISNUMBER(V65),TRIM(W65)=""))),1,0)</f>
        <v>0</v>
      </c>
      <c r="BX65" s="23" t="str">
        <f aca="false">IF(AY65=1,AJ65&amp;"","")</f>
        <v/>
      </c>
      <c r="BY65" s="23" t="str">
        <f aca="false">IF(AY65=1,AK65&amp;"","")</f>
        <v/>
      </c>
      <c r="BZ65" s="23" t="str">
        <f aca="false">IF(AY65=1,AL65&amp;"","")</f>
        <v/>
      </c>
      <c r="CA65" s="23" t="str">
        <f aca="false">IF(AND(AY65=1,ISNUMBER(AS65),INT(N(H65))&lt;=Config!$B$5),AS65,"")</f>
        <v/>
      </c>
      <c r="CB65" s="23" t="str">
        <f aca="false">IF(AY65=1,IF(COUNTIFS($A$2:$A$201,$A65,$CU$2:$CU$201,1,$AN$2:$AN$201,"Y")&gt;0,"Y","N"),"")</f>
        <v/>
      </c>
      <c r="CC65" s="23" t="n">
        <f aca="false">IF(AND(AY65=1,AN65="Y"),IF(COUNTIFS($AW$2:$AW$201,AW65,$AN$2:$AN$201,"Y",$AY$2:$AY$201,1,$H$2:$H$201,"&lt;"&amp;H65)+COUNTIFS($AW$2:$AW$201,AW65,$AN$2:$AN$201,"Y",$AY$2:$AY$201,1,$H$2:$H$201,H65,$AX$2:$AX$201,"&lt;"&amp;AX65)=0,1,0),0)</f>
        <v>0</v>
      </c>
      <c r="CD65" s="23" t="n">
        <f aca="false">IF(AND(AY65=1,AB65="Y",AC65="Y",AD65="Y",AE65="Y",AF65="Y",AG65="Y",AI65="Y",TRIM(AH65)&lt;&gt;""),1,0)</f>
        <v>0</v>
      </c>
      <c r="CE65" s="23" t="n">
        <f aca="false">IF(CD65=1,IF(COUNTIFS($AW$2:$AW$201,AW65,$CD$2:$CD$201,1,$H$2:$H$201,"&lt;"&amp;H65)+COUNTIFS($AW$2:$AW$201,AW65,$CD$2:$CD$201,1,$H$2:$H$201,H65,$AX$2:$AX$201,"&lt;"&amp;AX65)=0,1,0),0)</f>
        <v>0</v>
      </c>
      <c r="CF65" s="23" t="n">
        <f aca="false">IF(AND(AY65=1,AO65="Y"),1,0)</f>
        <v>0</v>
      </c>
      <c r="CG65" s="23" t="n">
        <f aca="false">IF(CF65=1,IF(COUNTIFS($AW$2:$AW$201,AW65,$CF$2:$CF$201,1,$H$2:$H$201,"&lt;"&amp;H65)+COUNTIFS($AW$2:$AW$201,AW65,$CF$2:$CF$201,1,$H$2:$H$201,H65,$AX$2:$AX$201,"&lt;"&amp;AX65)=0,1,0),0)</f>
        <v>0</v>
      </c>
      <c r="CH65" s="23" t="n">
        <f aca="false">IF(AND(AY65=1,P65="Y"),1,0)</f>
        <v>0</v>
      </c>
      <c r="CI65" s="23" t="n">
        <f aca="false">IF(CH65=1,IF(COUNTIFS($AW$2:$AW$201,AW65,$CH$2:$CH$201,1,$H$2:$H$201,"&lt;"&amp;H65)+COUNTIFS($AW$2:$AW$201,AW65,$CH$2:$CH$201,1,$H$2:$H$201,H65,$AX$2:$AX$201,"&lt;"&amp;AX65)=0,1,0),0)</f>
        <v>0</v>
      </c>
      <c r="CJ65" s="23" t="str">
        <f aca="false">IF(AND(BU65=1,INT(N(H65))&lt;=Config!$B$5),L65,"")</f>
        <v/>
      </c>
      <c r="CK65" s="23" t="n">
        <f aca="false">IF(AND(AY65=1,AR65="Y"),1,0)</f>
        <v>0</v>
      </c>
      <c r="CL65" s="23" t="n">
        <f aca="false">IF(CK65=1,IF(COUNTIFS($AW$2:$AW$201,AW65,$CK$2:$CK$201,1,$H$2:$H$201,"&lt;"&amp;H65)+COUNTIFS($AW$2:$AW$201,AW65,$CK$2:$CK$201,1,$H$2:$H$201,H65,$AX$2:$AX$201,"&lt;"&amp;AX65)=0,1,0),0)</f>
        <v>0</v>
      </c>
      <c r="CM65" s="23" t="str">
        <f aca="false">IF(AY65=1,IFERROR(MATCH($A65,INDEX(Clay_Brands!$A$2:$FZ$601,0,Sync!$D$5),0),""),"")</f>
        <v/>
      </c>
      <c r="CN65" s="23" t="str">
        <f aca="false">IF(CM65="","",IFERROR(INDEX(Clay_Brands!$A$2:$FZ$601,CM65,Sync!$D$7)&amp;"",""))</f>
        <v/>
      </c>
      <c r="CO65" s="23" t="str">
        <f aca="false">IF(CN65="","",IFERROR(INDEX(Lists!$K$2:$K$15,MATCH(CN65,Lists!$J$2:$J$15,0)),""))</f>
        <v/>
      </c>
      <c r="CP65" s="23" t="str">
        <f aca="false">IF(CM65="","",IFERROR(INDEX(Clay_Brands!$A$2:$FZ$601,CM65,Sync!$D$17)&amp;"",""))</f>
        <v/>
      </c>
      <c r="CQ65" s="35" t="str">
        <f aca="false">IF(CM65="","",IFERROR(N(INDEX(Clay_Brands!$A$2:$FZ$601,CM65,Sync!$D$16)),0))</f>
        <v/>
      </c>
      <c r="CR65" s="23" t="n">
        <f aca="false">IF(AND(AY65=1,OR(O65="N",AND(OR(ISNUMBER(R65),ISNUMBER(V65)),MAX(N(R65),N(V65))&lt;Config!$B$14))),1,0)</f>
        <v>0</v>
      </c>
      <c r="CS65" s="23" t="n">
        <f aca="false">IF(OR(BB65=1,CR65=1),1,0)</f>
        <v>0</v>
      </c>
      <c r="CT65" s="23" t="n">
        <f aca="false">IF(AND(AY65=1,OR(AN65="Y",AN65="N",AN65="maybe")),1,0)</f>
        <v>0</v>
      </c>
      <c r="CU65" s="23" t="n">
        <f aca="false">IF(AND(CT65=1),IF(COUNTIFS($A$2:$A$201,$A65,$CT$2:$CT$201,1,$H$2:$H$201,"&gt;"&amp;H65)+COUNTIFS($A$2:$A$201,$A65,$CT$2:$CT$201,1,$H$2:$H$201,H65,$AX$2:$AX$201,"&gt;"&amp;AX65)=0,1,0),0)</f>
        <v>0</v>
      </c>
      <c r="CV65" s="23" t="n">
        <f aca="false">IF(AND(CS65=1,INT(N(H65))&lt;=Config!$B$6),IF(COUNTIFS($AW$2:$AW$201,AW65,$CS$2:$CS$201,1,$H$2:$H$201,"&gt;"&amp;H65,$H$2:$H$201,"&lt;"&amp;(Config!$B$6+1))+COUNTIFS($AW$2:$AW$201,AW65,$CS$2:$CS$201,1,$H$2:$H$201,H65,$AX$2:$AX$201,"&gt;"&amp;AX65)=0,1,0),0)</f>
        <v>0</v>
      </c>
      <c r="CW65" s="23" t="n">
        <f aca="false">IF(AND(CS65=1,INT(N(H65))&lt;=Config!$B$7),IF(COUNTIFS($AW$2:$AW$201,AW65,$CS$2:$CS$201,1,$H$2:$H$201,"&gt;"&amp;H65,$H$2:$H$201,"&lt;"&amp;(Config!$B$7+1))+COUNTIFS($AW$2:$AW$201,AW65,$CS$2:$CS$201,1,$H$2:$H$201,H65,$AX$2:$AX$201,"&gt;"&amp;AX65)=0,1,0),0)</f>
        <v>0</v>
      </c>
      <c r="CX65" s="23" t="n">
        <f aca="false">IF(AND(CS65=1,INT(N(H65))&lt;=Config!$B$8),IF(COUNTIFS($AW$2:$AW$201,AW65,$CS$2:$CS$201,1,$H$2:$H$201,"&gt;"&amp;H65,$H$2:$H$201,"&lt;"&amp;(Config!$B$8+1))+COUNTIFS($AW$2:$AW$201,AW65,$CS$2:$CS$201,1,$H$2:$H$201,H65,$AX$2:$AX$201,"&gt;"&amp;AX65)=0,1,0),0)</f>
        <v>0</v>
      </c>
      <c r="CY65" s="23" t="n">
        <f aca="false">IF(AND(CS65=1,INT(N(H65))&lt;=Config!$B$5),IF(COUNTIFS($AW$2:$AW$201,AW65,$CS$2:$CS$201,1,$H$2:$H$201,"&gt;"&amp;H65,$H$2:$H$201,"&lt;"&amp;(Config!$B$5+1))+COUNTIFS($AW$2:$AW$201,AW65,$CS$2:$CS$201,1,$H$2:$H$201,H65,$AX$2:$AX$201,"&gt;"&amp;AX65)=0,1,0),0)</f>
        <v>0</v>
      </c>
      <c r="CZ65" s="23" t="n">
        <f aca="false">IF(AY65=1,IF(COUNTIFS($AW$2:$AW$201,AW65,$CV$2:$CV$201,1,$BB$2:$BB$201,1)&gt;0,1,0),0)</f>
        <v>0</v>
      </c>
      <c r="DA65" s="23" t="n">
        <f aca="false">IF(AY65=1,IF(COUNTIFS($AW$2:$AW$201,AW65,$CW$2:$CW$201,1,$BB$2:$BB$201,1)&gt;0,1,0),0)</f>
        <v>0</v>
      </c>
      <c r="DB65" s="23" t="n">
        <f aca="false">IF(AY65=1,IF(COUNTIFS($AW$2:$AW$201,AW65,$CX$2:$CX$201,1,$BB$2:$BB$201,1)&gt;0,1,0),0)</f>
        <v>0</v>
      </c>
      <c r="DC65" s="23" t="n">
        <f aca="false">IF(AY65=1,IF(COUNTIFS($AW$2:$AW$201,AW65,$CY$2:$CY$201,1,$BB$2:$BB$201,1)&gt;0,1,0),0)</f>
        <v>0</v>
      </c>
      <c r="DD65" s="23" t="n">
        <f aca="false">IF(AND(BC65=1,INT(N(H65))&lt;=Config!$B$6,CZ65=1),1,0)</f>
        <v>0</v>
      </c>
      <c r="DE65" s="23" t="n">
        <f aca="false">IF(AND(BC65=1,INT(N(H65))&lt;=Config!$B$7,DA65=1),1,0)</f>
        <v>0</v>
      </c>
      <c r="DF65" s="23" t="n">
        <f aca="false">IF(AND(BC65=1,INT(N(H65))&lt;=Config!$B$8,DB65=1),1,0)</f>
        <v>0</v>
      </c>
      <c r="DG65" s="23" t="n">
        <f aca="false">IF(AND(BC65=1,INT(N(H65))&lt;=Config!$B$5,DC65=1),1,0)</f>
        <v>0</v>
      </c>
      <c r="DH65" s="23" t="n">
        <f aca="false">IF(AND(BE65=1,INT(N(H65))&lt;=Config!$B$6,CZ65=1),1,0)</f>
        <v>0</v>
      </c>
      <c r="DI65" s="23" t="n">
        <f aca="false">IF(AND(BE65=1,INT(N(H65))&lt;=Config!$B$7,DA65=1),1,0)</f>
        <v>0</v>
      </c>
      <c r="DJ65" s="23" t="n">
        <f aca="false">IF(AND(BE65=1,INT(N(H65))&lt;=Config!$B$8,DB65=1),1,0)</f>
        <v>0</v>
      </c>
      <c r="DK65" s="23" t="n">
        <f aca="false">IF(AND(BE65=1,INT(N(H65))&lt;=Config!$B$5,DC65=1),1,0)</f>
        <v>0</v>
      </c>
      <c r="DL65" s="23" t="n">
        <f aca="false">IF(AND(BC65=1,INT(N(H65))&lt;=Config!$B$6,CZ65=0),1,0)</f>
        <v>0</v>
      </c>
      <c r="DM65" s="23" t="n">
        <f aca="false">IF(AND(BC65=1,INT(N(H65))&lt;=Config!$B$7,DA65=0),1,0)</f>
        <v>0</v>
      </c>
      <c r="DN65" s="23" t="n">
        <f aca="false">IF(AND(BC65=1,INT(N(H65))&lt;=Config!$B$8,DB65=0),1,0)</f>
        <v>0</v>
      </c>
      <c r="DO65" s="23" t="n">
        <f aca="false">IF(AND(BC65=1,INT(N(H65))&lt;=Config!$B$5,DC65=0),1,0)</f>
        <v>0</v>
      </c>
      <c r="DP65" s="23" t="n">
        <f aca="false">IF(TRIM($A65)="",0,ISTEXT(K65)+ISTEXT(L65)+ISTEXT(R65)+ISTEXT(V65)+ISTEXT(AP65)+ISTEXT(AS65))</f>
        <v>0</v>
      </c>
      <c r="DQ65" s="23" t="n">
        <f aca="false">IF(AY65=1,IF(H65&lt;&gt;INT(H65),1,0),0)</f>
        <v>0</v>
      </c>
      <c r="DR65" s="23" t="str">
        <f aca="false">IF(TRIM($A65)="","",IF(TRIM(B65)="",SUBSTITUTE(SUBSTITUTE(SUBSTITUTE(SUBSTITUTE(SUBSTITUTE(SUBSTITUTE(LOWER(TRIM($A65)),"~",""),"*",""),"?",""),"&lt;",""),"&gt;",""),"=",""),SUBSTITUTE(SUBSTITUTE(SUBSTITUTE(SUBSTITUTE(SUBSTITUTE(SUBSTITUTE(LOWER(TRIM(B65)),"~",""),"*",""),"?",""),"&lt;",""),"&gt;",""),"=","")))</f>
        <v/>
      </c>
      <c r="DS65" s="23" t="str">
        <f aca="false">IF(CM65="","",IFERROR(IF(LEFT(LOWER(TRIM(INDEX(Clay_Brands!$A$2:$FZ$601,CM65,Sync!$D$19)&amp;"")),4)="grp-",SUBSTITUTE(SUBSTITUTE(SUBSTITUTE(SUBSTITUTE(SUBSTITUTE(SUBSTITUTE(LOWER(TRIM(INDEX(Clay_Brands!$A$2:$FZ$601,CM65,Sync!$D$19)&amp;"")),"~",""),"*",""),"?",""),"&lt;",""),"&gt;",""),"=",""),""),""))</f>
        <v/>
      </c>
      <c r="DT65" s="23" t="str">
        <f aca="false">IF(DS65&lt;&gt;"",DR65,"")</f>
        <v/>
      </c>
      <c r="DU65" s="23" t="str">
        <f aca="false">IF(AZ65=1,AW65,"")</f>
        <v/>
      </c>
      <c r="DV65" s="23" t="str">
        <f aca="false">IF(TRIM($A65)="","",IFERROR(INDEX($A$2:$A$201,MATCH(AW65,$DU$2:$DU$201,0))&amp;"",$A65&amp;""))</f>
        <v/>
      </c>
      <c r="DW65" s="23" t="n">
        <f aca="false">IF(AY65=1,IF(COUNTIFS($A$2:$A$201,$A65,$AY$2:$AY$201,1,$H$2:$H$201,"&lt;"&amp;H65)+COUNTIFS($A$2:$A$201,$A65,$AY$2:$AY$201,1,$H$2:$H$201,H65,$AX$2:$AX$201,"&lt;"&amp;AX65)=0,1,0),0)</f>
        <v>0</v>
      </c>
      <c r="DX65" s="23" t="n">
        <f aca="false">IF(AZ65=1,IF(COUNTIFS($AW$2:$AW$201,AW65,$DW$2:$DW$201,1)&gt;1,1,0),0)</f>
        <v>0</v>
      </c>
    </row>
    <row r="66" customFormat="false" ht="15" hidden="false" customHeight="false" outlineLevel="0" collapsed="false">
      <c r="G66" s="32"/>
      <c r="H66" s="33"/>
      <c r="I66" s="32"/>
      <c r="O66" s="32"/>
      <c r="P66" s="32"/>
      <c r="U66" s="32"/>
      <c r="Y66" s="32"/>
      <c r="AB66" s="32"/>
      <c r="AC66" s="32"/>
      <c r="AD66" s="32"/>
      <c r="AE66" s="32"/>
      <c r="AF66" s="32"/>
      <c r="AG66" s="32"/>
      <c r="AI66" s="32"/>
      <c r="AJ66" s="32"/>
      <c r="AK66" s="32"/>
      <c r="AN66" s="32"/>
      <c r="AO66" s="32"/>
      <c r="AR66" s="32"/>
      <c r="AT66" s="32"/>
      <c r="AV66" s="34" t="str">
        <f aca="false">IF(TRIM($A66)="","",IF(AND(LEFT($A66,6)="SAMPLE",Config!$B$19&lt;&gt;"Y"),"",IF(NOT(ISNUMBER(H66)),"call_date is blank or not a date",IF(Sync!$D$5="","Clay paste is empty or has no row_id column: paste the Clay export on Clay_Brands",IF(CM66="","row_id not found in the Clay paste: add the Clay row or fix the row_id",IF(AND(ISNUMBER(CO66),CO66&gt;=1,CO66&lt;=5),"Clay status is "&amp;CN66&amp;": set call_done or later",IF(AND(BA66=1,CP66&lt;&gt;CB66),"Clay yes_in_principle should be "&amp;CB66,IF(AND(BA66=1,CQ66&lt;&gt;H66),"Clay call_date should be "&amp;TEXT(H66,"yyyy-mm-dd"),""))))))))</f>
        <v/>
      </c>
      <c r="AW66" s="23" t="str">
        <f aca="false">IF(TRIM($A66)="","",IF(TRIM(C66)&lt;&gt;"",SUBSTITUTE(SUBSTITUTE(SUBSTITUTE(SUBSTITUTE(SUBSTITUTE(SUBSTITUTE(LOWER(TRIM(C66)),"~",""),"*",""),"?",""),"&lt;",""),"&gt;",""),"=",""),IF(DS66&lt;&gt;"",DS66,IFERROR(INDEX($DS$2:$DS$201,MATCH(DR66,$DT$2:$DT$201,0)),DR66))))</f>
        <v/>
      </c>
      <c r="AX66" s="23" t="n">
        <f aca="false">ROW()</f>
        <v>66</v>
      </c>
      <c r="AY66" s="23" t="n">
        <f aca="false">IF(AND(TRIM($A66)&lt;&gt;"",ISNUMBER(H66)),IF(AND(LEFT($A66,6)="SAMPLE",Config!$B$19&lt;&gt;"Y"),0,1),0)</f>
        <v>0</v>
      </c>
      <c r="AZ66" s="23" t="n">
        <f aca="false">IF(AY66=1,IF(COUNTIFS($AW$2:$AW$201,AW66,$AY$2:$AY$201,1,$H$2:$H$201,"&lt;"&amp;H66)+COUNTIFS($AW$2:$AW$201,AW66,$AY$2:$AY$201,1,$H$2:$H$201,H66,$AX$2:$AX$201,"&lt;"&amp;AX66)=0,1,0),0)</f>
        <v>0</v>
      </c>
      <c r="BA66" s="23" t="n">
        <f aca="false">IF(AY66=1,IF(COUNTIFS($A$2:$A$201,$A66,$AY$2:$AY$201,1,$H$2:$H$201,"&gt;"&amp;H66)+COUNTIFS($A$2:$A$201,$A66,$AY$2:$AY$201,1,$H$2:$H$201,H66,$AX$2:$AX$201,"&gt;"&amp;AX66)=0,1,0),0)</f>
        <v>0</v>
      </c>
      <c r="BB66" s="23" t="n">
        <f aca="false">IF(AND(AY66=1,O66="Y",MAX(N(R66),N(V66))&gt;=Config!$B$14),1,0)</f>
        <v>0</v>
      </c>
      <c r="BC66" s="23" t="n">
        <f aca="false">IF(BB66=1,IF(COUNTIFS($AW$2:$AW$201,AW66,$BB$2:$BB$201,1,$H$2:$H$201,"&lt;"&amp;H66)+COUNTIFS($AW$2:$AW$201,AW66,$BB$2:$BB$201,1,$H$2:$H$201,H66,$AX$2:$AX$201,"&lt;"&amp;AX66)=0,1,0),0)</f>
        <v>0</v>
      </c>
      <c r="BD66" s="23" t="n">
        <f aca="false">IF(AND(AY66=1,O66="Y",ISNUMBER(R66)),IF(R66&gt;=Config!$B$14,1,0),0)</f>
        <v>0</v>
      </c>
      <c r="BE66" s="23" t="n">
        <f aca="false">IF(BD66=1,IF(COUNTIFS($AW$2:$AW$201,AW66,$BD$2:$BD$201,1,$H$2:$H$201,"&lt;"&amp;H66)+COUNTIFS($AW$2:$AW$201,AW66,$BD$2:$BD$201,1,$H$2:$H$201,H66,$AX$2:$AX$201,"&lt;"&amp;AX66)=0,1,0),0)</f>
        <v>0</v>
      </c>
      <c r="BF66" s="23" t="n">
        <f aca="false">IF(AND(AY66=1,O66&lt;&gt;"Y",MAX(N(R66),N(V66))&gt;=Config!$B$14),1,0)</f>
        <v>0</v>
      </c>
      <c r="BG66" s="23" t="n">
        <f aca="false">IF(BF66=1,IF(COUNTIFS($AW$2:$AW$201,AW66,$BF$2:$BF$201,1,$H$2:$H$201,"&lt;"&amp;H66)+COUNTIFS($AW$2:$AW$201,AW66,$BF$2:$BF$201,1,$H$2:$H$201,H66,$AX$2:$AX$201,"&lt;"&amp;AX66)=0,1,0),0)</f>
        <v>0</v>
      </c>
      <c r="BH66" s="23" t="n">
        <f aca="false">IF(AND(AY66=1,ISNUMBER(R66)),1,0)</f>
        <v>0</v>
      </c>
      <c r="BI66" s="23" t="n">
        <f aca="false">IF(BH66=1,IF(COUNTIFS($AW$2:$AW$201,AW66,$BH$2:$BH$201,1,$H$2:$H$201,"&lt;"&amp;H66)+COUNTIFS($AW$2:$AW$201,AW66,$BH$2:$BH$201,1,$H$2:$H$201,H66,$AX$2:$AX$201,"&lt;"&amp;AX66)=0,1,0),0)</f>
        <v>0</v>
      </c>
      <c r="BJ66" s="23" t="str">
        <f aca="false">IF(AND(BI66=1,INT(N(H66))&lt;=Config!$B$6),R66,"")</f>
        <v/>
      </c>
      <c r="BK66" s="23" t="str">
        <f aca="false">IF(AND(BI66=1,INT(N(H66))&lt;=Config!$B$7),R66,"")</f>
        <v/>
      </c>
      <c r="BL66" s="23" t="str">
        <f aca="false">IF(AND(BI66=1,INT(N(H66))&lt;=Config!$B$8),R66,"")</f>
        <v/>
      </c>
      <c r="BM66" s="23" t="str">
        <f aca="false">IF(AND(BI66=1,INT(N(H66))&lt;=Config!$B$5),R66,"")</f>
        <v/>
      </c>
      <c r="BN66" s="23" t="n">
        <f aca="false">IF(AND(AY66=1,ISNUMBER(V66)),1,0)</f>
        <v>0</v>
      </c>
      <c r="BO66" s="23" t="n">
        <f aca="false">IF(BN66=1,IF(COUNTIFS($AW$2:$AW$201,AW66,$BN$2:$BN$201,1,$H$2:$H$201,"&lt;"&amp;H66)+COUNTIFS($AW$2:$AW$201,AW66,$BN$2:$BN$201,1,$H$2:$H$201,H66,$AX$2:$AX$201,"&lt;"&amp;AX66)=0,1,0),0)</f>
        <v>0</v>
      </c>
      <c r="BP66" s="23" t="str">
        <f aca="false">IF(AND(BO66=1,INT(N(H66))&lt;=Config!$B$6),V66,"")</f>
        <v/>
      </c>
      <c r="BQ66" s="23" t="str">
        <f aca="false">IF(AND(BO66=1,INT(N(H66))&lt;=Config!$B$7),V66,"")</f>
        <v/>
      </c>
      <c r="BR66" s="23" t="str">
        <f aca="false">IF(AND(BO66=1,INT(N(H66))&lt;=Config!$B$8),V66,"")</f>
        <v/>
      </c>
      <c r="BS66" s="23" t="str">
        <f aca="false">IF(AND(BO66=1,INT(N(H66))&lt;=Config!$B$5),V66,"")</f>
        <v/>
      </c>
      <c r="BT66" s="23" t="n">
        <f aca="false">IF(AND(AY66=1,ISNUMBER(K66)),1,0)</f>
        <v>0</v>
      </c>
      <c r="BU66" s="23" t="n">
        <f aca="false">IF(BT66=1,IF(COUNTIFS($AW$2:$AW$201,AW66,$BT$2:$BT$201,1,$H$2:$H$201,"&lt;"&amp;H66)+COUNTIFS($AW$2:$AW$201,AW66,$BT$2:$BT$201,1,$H$2:$H$201,H66,$AX$2:$AX$201,"&lt;"&amp;AX66)=0,1,0),0)</f>
        <v>0</v>
      </c>
      <c r="BV66" s="23" t="str">
        <f aca="false">IF(AND(BU66=1,INT(N(H66))&lt;=Config!$B$5),K66,"")</f>
        <v/>
      </c>
      <c r="BW66" s="23" t="n">
        <f aca="false">IF(AND(AY66=1,OR(AND(ISNUMBER(R66),TRIM(S66)=""),AND(ISNUMBER(V66),TRIM(W66)=""))),1,0)</f>
        <v>0</v>
      </c>
      <c r="BX66" s="23" t="str">
        <f aca="false">IF(AY66=1,AJ66&amp;"","")</f>
        <v/>
      </c>
      <c r="BY66" s="23" t="str">
        <f aca="false">IF(AY66=1,AK66&amp;"","")</f>
        <v/>
      </c>
      <c r="BZ66" s="23" t="str">
        <f aca="false">IF(AY66=1,AL66&amp;"","")</f>
        <v/>
      </c>
      <c r="CA66" s="23" t="str">
        <f aca="false">IF(AND(AY66=1,ISNUMBER(AS66),INT(N(H66))&lt;=Config!$B$5),AS66,"")</f>
        <v/>
      </c>
      <c r="CB66" s="23" t="str">
        <f aca="false">IF(AY66=1,IF(COUNTIFS($A$2:$A$201,$A66,$CU$2:$CU$201,1,$AN$2:$AN$201,"Y")&gt;0,"Y","N"),"")</f>
        <v/>
      </c>
      <c r="CC66" s="23" t="n">
        <f aca="false">IF(AND(AY66=1,AN66="Y"),IF(COUNTIFS($AW$2:$AW$201,AW66,$AN$2:$AN$201,"Y",$AY$2:$AY$201,1,$H$2:$H$201,"&lt;"&amp;H66)+COUNTIFS($AW$2:$AW$201,AW66,$AN$2:$AN$201,"Y",$AY$2:$AY$201,1,$H$2:$H$201,H66,$AX$2:$AX$201,"&lt;"&amp;AX66)=0,1,0),0)</f>
        <v>0</v>
      </c>
      <c r="CD66" s="23" t="n">
        <f aca="false">IF(AND(AY66=1,AB66="Y",AC66="Y",AD66="Y",AE66="Y",AF66="Y",AG66="Y",AI66="Y",TRIM(AH66)&lt;&gt;""),1,0)</f>
        <v>0</v>
      </c>
      <c r="CE66" s="23" t="n">
        <f aca="false">IF(CD66=1,IF(COUNTIFS($AW$2:$AW$201,AW66,$CD$2:$CD$201,1,$H$2:$H$201,"&lt;"&amp;H66)+COUNTIFS($AW$2:$AW$201,AW66,$CD$2:$CD$201,1,$H$2:$H$201,H66,$AX$2:$AX$201,"&lt;"&amp;AX66)=0,1,0),0)</f>
        <v>0</v>
      </c>
      <c r="CF66" s="23" t="n">
        <f aca="false">IF(AND(AY66=1,AO66="Y"),1,0)</f>
        <v>0</v>
      </c>
      <c r="CG66" s="23" t="n">
        <f aca="false">IF(CF66=1,IF(COUNTIFS($AW$2:$AW$201,AW66,$CF$2:$CF$201,1,$H$2:$H$201,"&lt;"&amp;H66)+COUNTIFS($AW$2:$AW$201,AW66,$CF$2:$CF$201,1,$H$2:$H$201,H66,$AX$2:$AX$201,"&lt;"&amp;AX66)=0,1,0),0)</f>
        <v>0</v>
      </c>
      <c r="CH66" s="23" t="n">
        <f aca="false">IF(AND(AY66=1,P66="Y"),1,0)</f>
        <v>0</v>
      </c>
      <c r="CI66" s="23" t="n">
        <f aca="false">IF(CH66=1,IF(COUNTIFS($AW$2:$AW$201,AW66,$CH$2:$CH$201,1,$H$2:$H$201,"&lt;"&amp;H66)+COUNTIFS($AW$2:$AW$201,AW66,$CH$2:$CH$201,1,$H$2:$H$201,H66,$AX$2:$AX$201,"&lt;"&amp;AX66)=0,1,0),0)</f>
        <v>0</v>
      </c>
      <c r="CJ66" s="23" t="str">
        <f aca="false">IF(AND(BU66=1,INT(N(H66))&lt;=Config!$B$5),L66,"")</f>
        <v/>
      </c>
      <c r="CK66" s="23" t="n">
        <f aca="false">IF(AND(AY66=1,AR66="Y"),1,0)</f>
        <v>0</v>
      </c>
      <c r="CL66" s="23" t="n">
        <f aca="false">IF(CK66=1,IF(COUNTIFS($AW$2:$AW$201,AW66,$CK$2:$CK$201,1,$H$2:$H$201,"&lt;"&amp;H66)+COUNTIFS($AW$2:$AW$201,AW66,$CK$2:$CK$201,1,$H$2:$H$201,H66,$AX$2:$AX$201,"&lt;"&amp;AX66)=0,1,0),0)</f>
        <v>0</v>
      </c>
      <c r="CM66" s="23" t="str">
        <f aca="false">IF(AY66=1,IFERROR(MATCH($A66,INDEX(Clay_Brands!$A$2:$FZ$601,0,Sync!$D$5),0),""),"")</f>
        <v/>
      </c>
      <c r="CN66" s="23" t="str">
        <f aca="false">IF(CM66="","",IFERROR(INDEX(Clay_Brands!$A$2:$FZ$601,CM66,Sync!$D$7)&amp;"",""))</f>
        <v/>
      </c>
      <c r="CO66" s="23" t="str">
        <f aca="false">IF(CN66="","",IFERROR(INDEX(Lists!$K$2:$K$15,MATCH(CN66,Lists!$J$2:$J$15,0)),""))</f>
        <v/>
      </c>
      <c r="CP66" s="23" t="str">
        <f aca="false">IF(CM66="","",IFERROR(INDEX(Clay_Brands!$A$2:$FZ$601,CM66,Sync!$D$17)&amp;"",""))</f>
        <v/>
      </c>
      <c r="CQ66" s="35" t="str">
        <f aca="false">IF(CM66="","",IFERROR(N(INDEX(Clay_Brands!$A$2:$FZ$601,CM66,Sync!$D$16)),0))</f>
        <v/>
      </c>
      <c r="CR66" s="23" t="n">
        <f aca="false">IF(AND(AY66=1,OR(O66="N",AND(OR(ISNUMBER(R66),ISNUMBER(V66)),MAX(N(R66),N(V66))&lt;Config!$B$14))),1,0)</f>
        <v>0</v>
      </c>
      <c r="CS66" s="23" t="n">
        <f aca="false">IF(OR(BB66=1,CR66=1),1,0)</f>
        <v>0</v>
      </c>
      <c r="CT66" s="23" t="n">
        <f aca="false">IF(AND(AY66=1,OR(AN66="Y",AN66="N",AN66="maybe")),1,0)</f>
        <v>0</v>
      </c>
      <c r="CU66" s="23" t="n">
        <f aca="false">IF(AND(CT66=1),IF(COUNTIFS($A$2:$A$201,$A66,$CT$2:$CT$201,1,$H$2:$H$201,"&gt;"&amp;H66)+COUNTIFS($A$2:$A$201,$A66,$CT$2:$CT$201,1,$H$2:$H$201,H66,$AX$2:$AX$201,"&gt;"&amp;AX66)=0,1,0),0)</f>
        <v>0</v>
      </c>
      <c r="CV66" s="23" t="n">
        <f aca="false">IF(AND(CS66=1,INT(N(H66))&lt;=Config!$B$6),IF(COUNTIFS($AW$2:$AW$201,AW66,$CS$2:$CS$201,1,$H$2:$H$201,"&gt;"&amp;H66,$H$2:$H$201,"&lt;"&amp;(Config!$B$6+1))+COUNTIFS($AW$2:$AW$201,AW66,$CS$2:$CS$201,1,$H$2:$H$201,H66,$AX$2:$AX$201,"&gt;"&amp;AX66)=0,1,0),0)</f>
        <v>0</v>
      </c>
      <c r="CW66" s="23" t="n">
        <f aca="false">IF(AND(CS66=1,INT(N(H66))&lt;=Config!$B$7),IF(COUNTIFS($AW$2:$AW$201,AW66,$CS$2:$CS$201,1,$H$2:$H$201,"&gt;"&amp;H66,$H$2:$H$201,"&lt;"&amp;(Config!$B$7+1))+COUNTIFS($AW$2:$AW$201,AW66,$CS$2:$CS$201,1,$H$2:$H$201,H66,$AX$2:$AX$201,"&gt;"&amp;AX66)=0,1,0),0)</f>
        <v>0</v>
      </c>
      <c r="CX66" s="23" t="n">
        <f aca="false">IF(AND(CS66=1,INT(N(H66))&lt;=Config!$B$8),IF(COUNTIFS($AW$2:$AW$201,AW66,$CS$2:$CS$201,1,$H$2:$H$201,"&gt;"&amp;H66,$H$2:$H$201,"&lt;"&amp;(Config!$B$8+1))+COUNTIFS($AW$2:$AW$201,AW66,$CS$2:$CS$201,1,$H$2:$H$201,H66,$AX$2:$AX$201,"&gt;"&amp;AX66)=0,1,0),0)</f>
        <v>0</v>
      </c>
      <c r="CY66" s="23" t="n">
        <f aca="false">IF(AND(CS66=1,INT(N(H66))&lt;=Config!$B$5),IF(COUNTIFS($AW$2:$AW$201,AW66,$CS$2:$CS$201,1,$H$2:$H$201,"&gt;"&amp;H66,$H$2:$H$201,"&lt;"&amp;(Config!$B$5+1))+COUNTIFS($AW$2:$AW$201,AW66,$CS$2:$CS$201,1,$H$2:$H$201,H66,$AX$2:$AX$201,"&gt;"&amp;AX66)=0,1,0),0)</f>
        <v>0</v>
      </c>
      <c r="CZ66" s="23" t="n">
        <f aca="false">IF(AY66=1,IF(COUNTIFS($AW$2:$AW$201,AW66,$CV$2:$CV$201,1,$BB$2:$BB$201,1)&gt;0,1,0),0)</f>
        <v>0</v>
      </c>
      <c r="DA66" s="23" t="n">
        <f aca="false">IF(AY66=1,IF(COUNTIFS($AW$2:$AW$201,AW66,$CW$2:$CW$201,1,$BB$2:$BB$201,1)&gt;0,1,0),0)</f>
        <v>0</v>
      </c>
      <c r="DB66" s="23" t="n">
        <f aca="false">IF(AY66=1,IF(COUNTIFS($AW$2:$AW$201,AW66,$CX$2:$CX$201,1,$BB$2:$BB$201,1)&gt;0,1,0),0)</f>
        <v>0</v>
      </c>
      <c r="DC66" s="23" t="n">
        <f aca="false">IF(AY66=1,IF(COUNTIFS($AW$2:$AW$201,AW66,$CY$2:$CY$201,1,$BB$2:$BB$201,1)&gt;0,1,0),0)</f>
        <v>0</v>
      </c>
      <c r="DD66" s="23" t="n">
        <f aca="false">IF(AND(BC66=1,INT(N(H66))&lt;=Config!$B$6,CZ66=1),1,0)</f>
        <v>0</v>
      </c>
      <c r="DE66" s="23" t="n">
        <f aca="false">IF(AND(BC66=1,INT(N(H66))&lt;=Config!$B$7,DA66=1),1,0)</f>
        <v>0</v>
      </c>
      <c r="DF66" s="23" t="n">
        <f aca="false">IF(AND(BC66=1,INT(N(H66))&lt;=Config!$B$8,DB66=1),1,0)</f>
        <v>0</v>
      </c>
      <c r="DG66" s="23" t="n">
        <f aca="false">IF(AND(BC66=1,INT(N(H66))&lt;=Config!$B$5,DC66=1),1,0)</f>
        <v>0</v>
      </c>
      <c r="DH66" s="23" t="n">
        <f aca="false">IF(AND(BE66=1,INT(N(H66))&lt;=Config!$B$6,CZ66=1),1,0)</f>
        <v>0</v>
      </c>
      <c r="DI66" s="23" t="n">
        <f aca="false">IF(AND(BE66=1,INT(N(H66))&lt;=Config!$B$7,DA66=1),1,0)</f>
        <v>0</v>
      </c>
      <c r="DJ66" s="23" t="n">
        <f aca="false">IF(AND(BE66=1,INT(N(H66))&lt;=Config!$B$8,DB66=1),1,0)</f>
        <v>0</v>
      </c>
      <c r="DK66" s="23" t="n">
        <f aca="false">IF(AND(BE66=1,INT(N(H66))&lt;=Config!$B$5,DC66=1),1,0)</f>
        <v>0</v>
      </c>
      <c r="DL66" s="23" t="n">
        <f aca="false">IF(AND(BC66=1,INT(N(H66))&lt;=Config!$B$6,CZ66=0),1,0)</f>
        <v>0</v>
      </c>
      <c r="DM66" s="23" t="n">
        <f aca="false">IF(AND(BC66=1,INT(N(H66))&lt;=Config!$B$7,DA66=0),1,0)</f>
        <v>0</v>
      </c>
      <c r="DN66" s="23" t="n">
        <f aca="false">IF(AND(BC66=1,INT(N(H66))&lt;=Config!$B$8,DB66=0),1,0)</f>
        <v>0</v>
      </c>
      <c r="DO66" s="23" t="n">
        <f aca="false">IF(AND(BC66=1,INT(N(H66))&lt;=Config!$B$5,DC66=0),1,0)</f>
        <v>0</v>
      </c>
      <c r="DP66" s="23" t="n">
        <f aca="false">IF(TRIM($A66)="",0,ISTEXT(K66)+ISTEXT(L66)+ISTEXT(R66)+ISTEXT(V66)+ISTEXT(AP66)+ISTEXT(AS66))</f>
        <v>0</v>
      </c>
      <c r="DQ66" s="23" t="n">
        <f aca="false">IF(AY66=1,IF(H66&lt;&gt;INT(H66),1,0),0)</f>
        <v>0</v>
      </c>
      <c r="DR66" s="23" t="str">
        <f aca="false">IF(TRIM($A66)="","",IF(TRIM(B66)="",SUBSTITUTE(SUBSTITUTE(SUBSTITUTE(SUBSTITUTE(SUBSTITUTE(SUBSTITUTE(LOWER(TRIM($A66)),"~",""),"*",""),"?",""),"&lt;",""),"&gt;",""),"=",""),SUBSTITUTE(SUBSTITUTE(SUBSTITUTE(SUBSTITUTE(SUBSTITUTE(SUBSTITUTE(LOWER(TRIM(B66)),"~",""),"*",""),"?",""),"&lt;",""),"&gt;",""),"=","")))</f>
        <v/>
      </c>
      <c r="DS66" s="23" t="str">
        <f aca="false">IF(CM66="","",IFERROR(IF(LEFT(LOWER(TRIM(INDEX(Clay_Brands!$A$2:$FZ$601,CM66,Sync!$D$19)&amp;"")),4)="grp-",SUBSTITUTE(SUBSTITUTE(SUBSTITUTE(SUBSTITUTE(SUBSTITUTE(SUBSTITUTE(LOWER(TRIM(INDEX(Clay_Brands!$A$2:$FZ$601,CM66,Sync!$D$19)&amp;"")),"~",""),"*",""),"?",""),"&lt;",""),"&gt;",""),"=",""),""),""))</f>
        <v/>
      </c>
      <c r="DT66" s="23" t="str">
        <f aca="false">IF(DS66&lt;&gt;"",DR66,"")</f>
        <v/>
      </c>
      <c r="DU66" s="23" t="str">
        <f aca="false">IF(AZ66=1,AW66,"")</f>
        <v/>
      </c>
      <c r="DV66" s="23" t="str">
        <f aca="false">IF(TRIM($A66)="","",IFERROR(INDEX($A$2:$A$201,MATCH(AW66,$DU$2:$DU$201,0))&amp;"",$A66&amp;""))</f>
        <v/>
      </c>
      <c r="DW66" s="23" t="n">
        <f aca="false">IF(AY66=1,IF(COUNTIFS($A$2:$A$201,$A66,$AY$2:$AY$201,1,$H$2:$H$201,"&lt;"&amp;H66)+COUNTIFS($A$2:$A$201,$A66,$AY$2:$AY$201,1,$H$2:$H$201,H66,$AX$2:$AX$201,"&lt;"&amp;AX66)=0,1,0),0)</f>
        <v>0</v>
      </c>
      <c r="DX66" s="23" t="n">
        <f aca="false">IF(AZ66=1,IF(COUNTIFS($AW$2:$AW$201,AW66,$DW$2:$DW$201,1)&gt;1,1,0),0)</f>
        <v>0</v>
      </c>
    </row>
    <row r="67" customFormat="false" ht="15" hidden="false" customHeight="false" outlineLevel="0" collapsed="false">
      <c r="G67" s="32"/>
      <c r="H67" s="33"/>
      <c r="I67" s="32"/>
      <c r="O67" s="32"/>
      <c r="P67" s="32"/>
      <c r="U67" s="32"/>
      <c r="Y67" s="32"/>
      <c r="AB67" s="32"/>
      <c r="AC67" s="32"/>
      <c r="AD67" s="32"/>
      <c r="AE67" s="32"/>
      <c r="AF67" s="32"/>
      <c r="AG67" s="32"/>
      <c r="AI67" s="32"/>
      <c r="AJ67" s="32"/>
      <c r="AK67" s="32"/>
      <c r="AN67" s="32"/>
      <c r="AO67" s="32"/>
      <c r="AR67" s="32"/>
      <c r="AT67" s="32"/>
      <c r="AV67" s="34" t="str">
        <f aca="false">IF(TRIM($A67)="","",IF(AND(LEFT($A67,6)="SAMPLE",Config!$B$19&lt;&gt;"Y"),"",IF(NOT(ISNUMBER(H67)),"call_date is blank or not a date",IF(Sync!$D$5="","Clay paste is empty or has no row_id column: paste the Clay export on Clay_Brands",IF(CM67="","row_id not found in the Clay paste: add the Clay row or fix the row_id",IF(AND(ISNUMBER(CO67),CO67&gt;=1,CO67&lt;=5),"Clay status is "&amp;CN67&amp;": set call_done or later",IF(AND(BA67=1,CP67&lt;&gt;CB67),"Clay yes_in_principle should be "&amp;CB67,IF(AND(BA67=1,CQ67&lt;&gt;H67),"Clay call_date should be "&amp;TEXT(H67,"yyyy-mm-dd"),""))))))))</f>
        <v/>
      </c>
      <c r="AW67" s="23" t="str">
        <f aca="false">IF(TRIM($A67)="","",IF(TRIM(C67)&lt;&gt;"",SUBSTITUTE(SUBSTITUTE(SUBSTITUTE(SUBSTITUTE(SUBSTITUTE(SUBSTITUTE(LOWER(TRIM(C67)),"~",""),"*",""),"?",""),"&lt;",""),"&gt;",""),"=",""),IF(DS67&lt;&gt;"",DS67,IFERROR(INDEX($DS$2:$DS$201,MATCH(DR67,$DT$2:$DT$201,0)),DR67))))</f>
        <v/>
      </c>
      <c r="AX67" s="23" t="n">
        <f aca="false">ROW()</f>
        <v>67</v>
      </c>
      <c r="AY67" s="23" t="n">
        <f aca="false">IF(AND(TRIM($A67)&lt;&gt;"",ISNUMBER(H67)),IF(AND(LEFT($A67,6)="SAMPLE",Config!$B$19&lt;&gt;"Y"),0,1),0)</f>
        <v>0</v>
      </c>
      <c r="AZ67" s="23" t="n">
        <f aca="false">IF(AY67=1,IF(COUNTIFS($AW$2:$AW$201,AW67,$AY$2:$AY$201,1,$H$2:$H$201,"&lt;"&amp;H67)+COUNTIFS($AW$2:$AW$201,AW67,$AY$2:$AY$201,1,$H$2:$H$201,H67,$AX$2:$AX$201,"&lt;"&amp;AX67)=0,1,0),0)</f>
        <v>0</v>
      </c>
      <c r="BA67" s="23" t="n">
        <f aca="false">IF(AY67=1,IF(COUNTIFS($A$2:$A$201,$A67,$AY$2:$AY$201,1,$H$2:$H$201,"&gt;"&amp;H67)+COUNTIFS($A$2:$A$201,$A67,$AY$2:$AY$201,1,$H$2:$H$201,H67,$AX$2:$AX$201,"&gt;"&amp;AX67)=0,1,0),0)</f>
        <v>0</v>
      </c>
      <c r="BB67" s="23" t="n">
        <f aca="false">IF(AND(AY67=1,O67="Y",MAX(N(R67),N(V67))&gt;=Config!$B$14),1,0)</f>
        <v>0</v>
      </c>
      <c r="BC67" s="23" t="n">
        <f aca="false">IF(BB67=1,IF(COUNTIFS($AW$2:$AW$201,AW67,$BB$2:$BB$201,1,$H$2:$H$201,"&lt;"&amp;H67)+COUNTIFS($AW$2:$AW$201,AW67,$BB$2:$BB$201,1,$H$2:$H$201,H67,$AX$2:$AX$201,"&lt;"&amp;AX67)=0,1,0),0)</f>
        <v>0</v>
      </c>
      <c r="BD67" s="23" t="n">
        <f aca="false">IF(AND(AY67=1,O67="Y",ISNUMBER(R67)),IF(R67&gt;=Config!$B$14,1,0),0)</f>
        <v>0</v>
      </c>
      <c r="BE67" s="23" t="n">
        <f aca="false">IF(BD67=1,IF(COUNTIFS($AW$2:$AW$201,AW67,$BD$2:$BD$201,1,$H$2:$H$201,"&lt;"&amp;H67)+COUNTIFS($AW$2:$AW$201,AW67,$BD$2:$BD$201,1,$H$2:$H$201,H67,$AX$2:$AX$201,"&lt;"&amp;AX67)=0,1,0),0)</f>
        <v>0</v>
      </c>
      <c r="BF67" s="23" t="n">
        <f aca="false">IF(AND(AY67=1,O67&lt;&gt;"Y",MAX(N(R67),N(V67))&gt;=Config!$B$14),1,0)</f>
        <v>0</v>
      </c>
      <c r="BG67" s="23" t="n">
        <f aca="false">IF(BF67=1,IF(COUNTIFS($AW$2:$AW$201,AW67,$BF$2:$BF$201,1,$H$2:$H$201,"&lt;"&amp;H67)+COUNTIFS($AW$2:$AW$201,AW67,$BF$2:$BF$201,1,$H$2:$H$201,H67,$AX$2:$AX$201,"&lt;"&amp;AX67)=0,1,0),0)</f>
        <v>0</v>
      </c>
      <c r="BH67" s="23" t="n">
        <f aca="false">IF(AND(AY67=1,ISNUMBER(R67)),1,0)</f>
        <v>0</v>
      </c>
      <c r="BI67" s="23" t="n">
        <f aca="false">IF(BH67=1,IF(COUNTIFS($AW$2:$AW$201,AW67,$BH$2:$BH$201,1,$H$2:$H$201,"&lt;"&amp;H67)+COUNTIFS($AW$2:$AW$201,AW67,$BH$2:$BH$201,1,$H$2:$H$201,H67,$AX$2:$AX$201,"&lt;"&amp;AX67)=0,1,0),0)</f>
        <v>0</v>
      </c>
      <c r="BJ67" s="23" t="str">
        <f aca="false">IF(AND(BI67=1,INT(N(H67))&lt;=Config!$B$6),R67,"")</f>
        <v/>
      </c>
      <c r="BK67" s="23" t="str">
        <f aca="false">IF(AND(BI67=1,INT(N(H67))&lt;=Config!$B$7),R67,"")</f>
        <v/>
      </c>
      <c r="BL67" s="23" t="str">
        <f aca="false">IF(AND(BI67=1,INT(N(H67))&lt;=Config!$B$8),R67,"")</f>
        <v/>
      </c>
      <c r="BM67" s="23" t="str">
        <f aca="false">IF(AND(BI67=1,INT(N(H67))&lt;=Config!$B$5),R67,"")</f>
        <v/>
      </c>
      <c r="BN67" s="23" t="n">
        <f aca="false">IF(AND(AY67=1,ISNUMBER(V67)),1,0)</f>
        <v>0</v>
      </c>
      <c r="BO67" s="23" t="n">
        <f aca="false">IF(BN67=1,IF(COUNTIFS($AW$2:$AW$201,AW67,$BN$2:$BN$201,1,$H$2:$H$201,"&lt;"&amp;H67)+COUNTIFS($AW$2:$AW$201,AW67,$BN$2:$BN$201,1,$H$2:$H$201,H67,$AX$2:$AX$201,"&lt;"&amp;AX67)=0,1,0),0)</f>
        <v>0</v>
      </c>
      <c r="BP67" s="23" t="str">
        <f aca="false">IF(AND(BO67=1,INT(N(H67))&lt;=Config!$B$6),V67,"")</f>
        <v/>
      </c>
      <c r="BQ67" s="23" t="str">
        <f aca="false">IF(AND(BO67=1,INT(N(H67))&lt;=Config!$B$7),V67,"")</f>
        <v/>
      </c>
      <c r="BR67" s="23" t="str">
        <f aca="false">IF(AND(BO67=1,INT(N(H67))&lt;=Config!$B$8),V67,"")</f>
        <v/>
      </c>
      <c r="BS67" s="23" t="str">
        <f aca="false">IF(AND(BO67=1,INT(N(H67))&lt;=Config!$B$5),V67,"")</f>
        <v/>
      </c>
      <c r="BT67" s="23" t="n">
        <f aca="false">IF(AND(AY67=1,ISNUMBER(K67)),1,0)</f>
        <v>0</v>
      </c>
      <c r="BU67" s="23" t="n">
        <f aca="false">IF(BT67=1,IF(COUNTIFS($AW$2:$AW$201,AW67,$BT$2:$BT$201,1,$H$2:$H$201,"&lt;"&amp;H67)+COUNTIFS($AW$2:$AW$201,AW67,$BT$2:$BT$201,1,$H$2:$H$201,H67,$AX$2:$AX$201,"&lt;"&amp;AX67)=0,1,0),0)</f>
        <v>0</v>
      </c>
      <c r="BV67" s="23" t="str">
        <f aca="false">IF(AND(BU67=1,INT(N(H67))&lt;=Config!$B$5),K67,"")</f>
        <v/>
      </c>
      <c r="BW67" s="23" t="n">
        <f aca="false">IF(AND(AY67=1,OR(AND(ISNUMBER(R67),TRIM(S67)=""),AND(ISNUMBER(V67),TRIM(W67)=""))),1,0)</f>
        <v>0</v>
      </c>
      <c r="BX67" s="23" t="str">
        <f aca="false">IF(AY67=1,AJ67&amp;"","")</f>
        <v/>
      </c>
      <c r="BY67" s="23" t="str">
        <f aca="false">IF(AY67=1,AK67&amp;"","")</f>
        <v/>
      </c>
      <c r="BZ67" s="23" t="str">
        <f aca="false">IF(AY67=1,AL67&amp;"","")</f>
        <v/>
      </c>
      <c r="CA67" s="23" t="str">
        <f aca="false">IF(AND(AY67=1,ISNUMBER(AS67),INT(N(H67))&lt;=Config!$B$5),AS67,"")</f>
        <v/>
      </c>
      <c r="CB67" s="23" t="str">
        <f aca="false">IF(AY67=1,IF(COUNTIFS($A$2:$A$201,$A67,$CU$2:$CU$201,1,$AN$2:$AN$201,"Y")&gt;0,"Y","N"),"")</f>
        <v/>
      </c>
      <c r="CC67" s="23" t="n">
        <f aca="false">IF(AND(AY67=1,AN67="Y"),IF(COUNTIFS($AW$2:$AW$201,AW67,$AN$2:$AN$201,"Y",$AY$2:$AY$201,1,$H$2:$H$201,"&lt;"&amp;H67)+COUNTIFS($AW$2:$AW$201,AW67,$AN$2:$AN$201,"Y",$AY$2:$AY$201,1,$H$2:$H$201,H67,$AX$2:$AX$201,"&lt;"&amp;AX67)=0,1,0),0)</f>
        <v>0</v>
      </c>
      <c r="CD67" s="23" t="n">
        <f aca="false">IF(AND(AY67=1,AB67="Y",AC67="Y",AD67="Y",AE67="Y",AF67="Y",AG67="Y",AI67="Y",TRIM(AH67)&lt;&gt;""),1,0)</f>
        <v>0</v>
      </c>
      <c r="CE67" s="23" t="n">
        <f aca="false">IF(CD67=1,IF(COUNTIFS($AW$2:$AW$201,AW67,$CD$2:$CD$201,1,$H$2:$H$201,"&lt;"&amp;H67)+COUNTIFS($AW$2:$AW$201,AW67,$CD$2:$CD$201,1,$H$2:$H$201,H67,$AX$2:$AX$201,"&lt;"&amp;AX67)=0,1,0),0)</f>
        <v>0</v>
      </c>
      <c r="CF67" s="23" t="n">
        <f aca="false">IF(AND(AY67=1,AO67="Y"),1,0)</f>
        <v>0</v>
      </c>
      <c r="CG67" s="23" t="n">
        <f aca="false">IF(CF67=1,IF(COUNTIFS($AW$2:$AW$201,AW67,$CF$2:$CF$201,1,$H$2:$H$201,"&lt;"&amp;H67)+COUNTIFS($AW$2:$AW$201,AW67,$CF$2:$CF$201,1,$H$2:$H$201,H67,$AX$2:$AX$201,"&lt;"&amp;AX67)=0,1,0),0)</f>
        <v>0</v>
      </c>
      <c r="CH67" s="23" t="n">
        <f aca="false">IF(AND(AY67=1,P67="Y"),1,0)</f>
        <v>0</v>
      </c>
      <c r="CI67" s="23" t="n">
        <f aca="false">IF(CH67=1,IF(COUNTIFS($AW$2:$AW$201,AW67,$CH$2:$CH$201,1,$H$2:$H$201,"&lt;"&amp;H67)+COUNTIFS($AW$2:$AW$201,AW67,$CH$2:$CH$201,1,$H$2:$H$201,H67,$AX$2:$AX$201,"&lt;"&amp;AX67)=0,1,0),0)</f>
        <v>0</v>
      </c>
      <c r="CJ67" s="23" t="str">
        <f aca="false">IF(AND(BU67=1,INT(N(H67))&lt;=Config!$B$5),L67,"")</f>
        <v/>
      </c>
      <c r="CK67" s="23" t="n">
        <f aca="false">IF(AND(AY67=1,AR67="Y"),1,0)</f>
        <v>0</v>
      </c>
      <c r="CL67" s="23" t="n">
        <f aca="false">IF(CK67=1,IF(COUNTIFS($AW$2:$AW$201,AW67,$CK$2:$CK$201,1,$H$2:$H$201,"&lt;"&amp;H67)+COUNTIFS($AW$2:$AW$201,AW67,$CK$2:$CK$201,1,$H$2:$H$201,H67,$AX$2:$AX$201,"&lt;"&amp;AX67)=0,1,0),0)</f>
        <v>0</v>
      </c>
      <c r="CM67" s="23" t="str">
        <f aca="false">IF(AY67=1,IFERROR(MATCH($A67,INDEX(Clay_Brands!$A$2:$FZ$601,0,Sync!$D$5),0),""),"")</f>
        <v/>
      </c>
      <c r="CN67" s="23" t="str">
        <f aca="false">IF(CM67="","",IFERROR(INDEX(Clay_Brands!$A$2:$FZ$601,CM67,Sync!$D$7)&amp;"",""))</f>
        <v/>
      </c>
      <c r="CO67" s="23" t="str">
        <f aca="false">IF(CN67="","",IFERROR(INDEX(Lists!$K$2:$K$15,MATCH(CN67,Lists!$J$2:$J$15,0)),""))</f>
        <v/>
      </c>
      <c r="CP67" s="23" t="str">
        <f aca="false">IF(CM67="","",IFERROR(INDEX(Clay_Brands!$A$2:$FZ$601,CM67,Sync!$D$17)&amp;"",""))</f>
        <v/>
      </c>
      <c r="CQ67" s="35" t="str">
        <f aca="false">IF(CM67="","",IFERROR(N(INDEX(Clay_Brands!$A$2:$FZ$601,CM67,Sync!$D$16)),0))</f>
        <v/>
      </c>
      <c r="CR67" s="23" t="n">
        <f aca="false">IF(AND(AY67=1,OR(O67="N",AND(OR(ISNUMBER(R67),ISNUMBER(V67)),MAX(N(R67),N(V67))&lt;Config!$B$14))),1,0)</f>
        <v>0</v>
      </c>
      <c r="CS67" s="23" t="n">
        <f aca="false">IF(OR(BB67=1,CR67=1),1,0)</f>
        <v>0</v>
      </c>
      <c r="CT67" s="23" t="n">
        <f aca="false">IF(AND(AY67=1,OR(AN67="Y",AN67="N",AN67="maybe")),1,0)</f>
        <v>0</v>
      </c>
      <c r="CU67" s="23" t="n">
        <f aca="false">IF(AND(CT67=1),IF(COUNTIFS($A$2:$A$201,$A67,$CT$2:$CT$201,1,$H$2:$H$201,"&gt;"&amp;H67)+COUNTIFS($A$2:$A$201,$A67,$CT$2:$CT$201,1,$H$2:$H$201,H67,$AX$2:$AX$201,"&gt;"&amp;AX67)=0,1,0),0)</f>
        <v>0</v>
      </c>
      <c r="CV67" s="23" t="n">
        <f aca="false">IF(AND(CS67=1,INT(N(H67))&lt;=Config!$B$6),IF(COUNTIFS($AW$2:$AW$201,AW67,$CS$2:$CS$201,1,$H$2:$H$201,"&gt;"&amp;H67,$H$2:$H$201,"&lt;"&amp;(Config!$B$6+1))+COUNTIFS($AW$2:$AW$201,AW67,$CS$2:$CS$201,1,$H$2:$H$201,H67,$AX$2:$AX$201,"&gt;"&amp;AX67)=0,1,0),0)</f>
        <v>0</v>
      </c>
      <c r="CW67" s="23" t="n">
        <f aca="false">IF(AND(CS67=1,INT(N(H67))&lt;=Config!$B$7),IF(COUNTIFS($AW$2:$AW$201,AW67,$CS$2:$CS$201,1,$H$2:$H$201,"&gt;"&amp;H67,$H$2:$H$201,"&lt;"&amp;(Config!$B$7+1))+COUNTIFS($AW$2:$AW$201,AW67,$CS$2:$CS$201,1,$H$2:$H$201,H67,$AX$2:$AX$201,"&gt;"&amp;AX67)=0,1,0),0)</f>
        <v>0</v>
      </c>
      <c r="CX67" s="23" t="n">
        <f aca="false">IF(AND(CS67=1,INT(N(H67))&lt;=Config!$B$8),IF(COUNTIFS($AW$2:$AW$201,AW67,$CS$2:$CS$201,1,$H$2:$H$201,"&gt;"&amp;H67,$H$2:$H$201,"&lt;"&amp;(Config!$B$8+1))+COUNTIFS($AW$2:$AW$201,AW67,$CS$2:$CS$201,1,$H$2:$H$201,H67,$AX$2:$AX$201,"&gt;"&amp;AX67)=0,1,0),0)</f>
        <v>0</v>
      </c>
      <c r="CY67" s="23" t="n">
        <f aca="false">IF(AND(CS67=1,INT(N(H67))&lt;=Config!$B$5),IF(COUNTIFS($AW$2:$AW$201,AW67,$CS$2:$CS$201,1,$H$2:$H$201,"&gt;"&amp;H67,$H$2:$H$201,"&lt;"&amp;(Config!$B$5+1))+COUNTIFS($AW$2:$AW$201,AW67,$CS$2:$CS$201,1,$H$2:$H$201,H67,$AX$2:$AX$201,"&gt;"&amp;AX67)=0,1,0),0)</f>
        <v>0</v>
      </c>
      <c r="CZ67" s="23" t="n">
        <f aca="false">IF(AY67=1,IF(COUNTIFS($AW$2:$AW$201,AW67,$CV$2:$CV$201,1,$BB$2:$BB$201,1)&gt;0,1,0),0)</f>
        <v>0</v>
      </c>
      <c r="DA67" s="23" t="n">
        <f aca="false">IF(AY67=1,IF(COUNTIFS($AW$2:$AW$201,AW67,$CW$2:$CW$201,1,$BB$2:$BB$201,1)&gt;0,1,0),0)</f>
        <v>0</v>
      </c>
      <c r="DB67" s="23" t="n">
        <f aca="false">IF(AY67=1,IF(COUNTIFS($AW$2:$AW$201,AW67,$CX$2:$CX$201,1,$BB$2:$BB$201,1)&gt;0,1,0),0)</f>
        <v>0</v>
      </c>
      <c r="DC67" s="23" t="n">
        <f aca="false">IF(AY67=1,IF(COUNTIFS($AW$2:$AW$201,AW67,$CY$2:$CY$201,1,$BB$2:$BB$201,1)&gt;0,1,0),0)</f>
        <v>0</v>
      </c>
      <c r="DD67" s="23" t="n">
        <f aca="false">IF(AND(BC67=1,INT(N(H67))&lt;=Config!$B$6,CZ67=1),1,0)</f>
        <v>0</v>
      </c>
      <c r="DE67" s="23" t="n">
        <f aca="false">IF(AND(BC67=1,INT(N(H67))&lt;=Config!$B$7,DA67=1),1,0)</f>
        <v>0</v>
      </c>
      <c r="DF67" s="23" t="n">
        <f aca="false">IF(AND(BC67=1,INT(N(H67))&lt;=Config!$B$8,DB67=1),1,0)</f>
        <v>0</v>
      </c>
      <c r="DG67" s="23" t="n">
        <f aca="false">IF(AND(BC67=1,INT(N(H67))&lt;=Config!$B$5,DC67=1),1,0)</f>
        <v>0</v>
      </c>
      <c r="DH67" s="23" t="n">
        <f aca="false">IF(AND(BE67=1,INT(N(H67))&lt;=Config!$B$6,CZ67=1),1,0)</f>
        <v>0</v>
      </c>
      <c r="DI67" s="23" t="n">
        <f aca="false">IF(AND(BE67=1,INT(N(H67))&lt;=Config!$B$7,DA67=1),1,0)</f>
        <v>0</v>
      </c>
      <c r="DJ67" s="23" t="n">
        <f aca="false">IF(AND(BE67=1,INT(N(H67))&lt;=Config!$B$8,DB67=1),1,0)</f>
        <v>0</v>
      </c>
      <c r="DK67" s="23" t="n">
        <f aca="false">IF(AND(BE67=1,INT(N(H67))&lt;=Config!$B$5,DC67=1),1,0)</f>
        <v>0</v>
      </c>
      <c r="DL67" s="23" t="n">
        <f aca="false">IF(AND(BC67=1,INT(N(H67))&lt;=Config!$B$6,CZ67=0),1,0)</f>
        <v>0</v>
      </c>
      <c r="DM67" s="23" t="n">
        <f aca="false">IF(AND(BC67=1,INT(N(H67))&lt;=Config!$B$7,DA67=0),1,0)</f>
        <v>0</v>
      </c>
      <c r="DN67" s="23" t="n">
        <f aca="false">IF(AND(BC67=1,INT(N(H67))&lt;=Config!$B$8,DB67=0),1,0)</f>
        <v>0</v>
      </c>
      <c r="DO67" s="23" t="n">
        <f aca="false">IF(AND(BC67=1,INT(N(H67))&lt;=Config!$B$5,DC67=0),1,0)</f>
        <v>0</v>
      </c>
      <c r="DP67" s="23" t="n">
        <f aca="false">IF(TRIM($A67)="",0,ISTEXT(K67)+ISTEXT(L67)+ISTEXT(R67)+ISTEXT(V67)+ISTEXT(AP67)+ISTEXT(AS67))</f>
        <v>0</v>
      </c>
      <c r="DQ67" s="23" t="n">
        <f aca="false">IF(AY67=1,IF(H67&lt;&gt;INT(H67),1,0),0)</f>
        <v>0</v>
      </c>
      <c r="DR67" s="23" t="str">
        <f aca="false">IF(TRIM($A67)="","",IF(TRIM(B67)="",SUBSTITUTE(SUBSTITUTE(SUBSTITUTE(SUBSTITUTE(SUBSTITUTE(SUBSTITUTE(LOWER(TRIM($A67)),"~",""),"*",""),"?",""),"&lt;",""),"&gt;",""),"=",""),SUBSTITUTE(SUBSTITUTE(SUBSTITUTE(SUBSTITUTE(SUBSTITUTE(SUBSTITUTE(LOWER(TRIM(B67)),"~",""),"*",""),"?",""),"&lt;",""),"&gt;",""),"=","")))</f>
        <v/>
      </c>
      <c r="DS67" s="23" t="str">
        <f aca="false">IF(CM67="","",IFERROR(IF(LEFT(LOWER(TRIM(INDEX(Clay_Brands!$A$2:$FZ$601,CM67,Sync!$D$19)&amp;"")),4)="grp-",SUBSTITUTE(SUBSTITUTE(SUBSTITUTE(SUBSTITUTE(SUBSTITUTE(SUBSTITUTE(LOWER(TRIM(INDEX(Clay_Brands!$A$2:$FZ$601,CM67,Sync!$D$19)&amp;"")),"~",""),"*",""),"?",""),"&lt;",""),"&gt;",""),"=",""),""),""))</f>
        <v/>
      </c>
      <c r="DT67" s="23" t="str">
        <f aca="false">IF(DS67&lt;&gt;"",DR67,"")</f>
        <v/>
      </c>
      <c r="DU67" s="23" t="str">
        <f aca="false">IF(AZ67=1,AW67,"")</f>
        <v/>
      </c>
      <c r="DV67" s="23" t="str">
        <f aca="false">IF(TRIM($A67)="","",IFERROR(INDEX($A$2:$A$201,MATCH(AW67,$DU$2:$DU$201,0))&amp;"",$A67&amp;""))</f>
        <v/>
      </c>
      <c r="DW67" s="23" t="n">
        <f aca="false">IF(AY67=1,IF(COUNTIFS($A$2:$A$201,$A67,$AY$2:$AY$201,1,$H$2:$H$201,"&lt;"&amp;H67)+COUNTIFS($A$2:$A$201,$A67,$AY$2:$AY$201,1,$H$2:$H$201,H67,$AX$2:$AX$201,"&lt;"&amp;AX67)=0,1,0),0)</f>
        <v>0</v>
      </c>
      <c r="DX67" s="23" t="n">
        <f aca="false">IF(AZ67=1,IF(COUNTIFS($AW$2:$AW$201,AW67,$DW$2:$DW$201,1)&gt;1,1,0),0)</f>
        <v>0</v>
      </c>
    </row>
    <row r="68" customFormat="false" ht="15" hidden="false" customHeight="false" outlineLevel="0" collapsed="false">
      <c r="G68" s="32"/>
      <c r="H68" s="33"/>
      <c r="I68" s="32"/>
      <c r="O68" s="32"/>
      <c r="P68" s="32"/>
      <c r="U68" s="32"/>
      <c r="Y68" s="32"/>
      <c r="AB68" s="32"/>
      <c r="AC68" s="32"/>
      <c r="AD68" s="32"/>
      <c r="AE68" s="32"/>
      <c r="AF68" s="32"/>
      <c r="AG68" s="32"/>
      <c r="AI68" s="32"/>
      <c r="AJ68" s="32"/>
      <c r="AK68" s="32"/>
      <c r="AN68" s="32"/>
      <c r="AO68" s="32"/>
      <c r="AR68" s="32"/>
      <c r="AT68" s="32"/>
      <c r="AV68" s="34" t="str">
        <f aca="false">IF(TRIM($A68)="","",IF(AND(LEFT($A68,6)="SAMPLE",Config!$B$19&lt;&gt;"Y"),"",IF(NOT(ISNUMBER(H68)),"call_date is blank or not a date",IF(Sync!$D$5="","Clay paste is empty or has no row_id column: paste the Clay export on Clay_Brands",IF(CM68="","row_id not found in the Clay paste: add the Clay row or fix the row_id",IF(AND(ISNUMBER(CO68),CO68&gt;=1,CO68&lt;=5),"Clay status is "&amp;CN68&amp;": set call_done or later",IF(AND(BA68=1,CP68&lt;&gt;CB68),"Clay yes_in_principle should be "&amp;CB68,IF(AND(BA68=1,CQ68&lt;&gt;H68),"Clay call_date should be "&amp;TEXT(H68,"yyyy-mm-dd"),""))))))))</f>
        <v/>
      </c>
      <c r="AW68" s="23" t="str">
        <f aca="false">IF(TRIM($A68)="","",IF(TRIM(C68)&lt;&gt;"",SUBSTITUTE(SUBSTITUTE(SUBSTITUTE(SUBSTITUTE(SUBSTITUTE(SUBSTITUTE(LOWER(TRIM(C68)),"~",""),"*",""),"?",""),"&lt;",""),"&gt;",""),"=",""),IF(DS68&lt;&gt;"",DS68,IFERROR(INDEX($DS$2:$DS$201,MATCH(DR68,$DT$2:$DT$201,0)),DR68))))</f>
        <v/>
      </c>
      <c r="AX68" s="23" t="n">
        <f aca="false">ROW()</f>
        <v>68</v>
      </c>
      <c r="AY68" s="23" t="n">
        <f aca="false">IF(AND(TRIM($A68)&lt;&gt;"",ISNUMBER(H68)),IF(AND(LEFT($A68,6)="SAMPLE",Config!$B$19&lt;&gt;"Y"),0,1),0)</f>
        <v>0</v>
      </c>
      <c r="AZ68" s="23" t="n">
        <f aca="false">IF(AY68=1,IF(COUNTIFS($AW$2:$AW$201,AW68,$AY$2:$AY$201,1,$H$2:$H$201,"&lt;"&amp;H68)+COUNTIFS($AW$2:$AW$201,AW68,$AY$2:$AY$201,1,$H$2:$H$201,H68,$AX$2:$AX$201,"&lt;"&amp;AX68)=0,1,0),0)</f>
        <v>0</v>
      </c>
      <c r="BA68" s="23" t="n">
        <f aca="false">IF(AY68=1,IF(COUNTIFS($A$2:$A$201,$A68,$AY$2:$AY$201,1,$H$2:$H$201,"&gt;"&amp;H68)+COUNTIFS($A$2:$A$201,$A68,$AY$2:$AY$201,1,$H$2:$H$201,H68,$AX$2:$AX$201,"&gt;"&amp;AX68)=0,1,0),0)</f>
        <v>0</v>
      </c>
      <c r="BB68" s="23" t="n">
        <f aca="false">IF(AND(AY68=1,O68="Y",MAX(N(R68),N(V68))&gt;=Config!$B$14),1,0)</f>
        <v>0</v>
      </c>
      <c r="BC68" s="23" t="n">
        <f aca="false">IF(BB68=1,IF(COUNTIFS($AW$2:$AW$201,AW68,$BB$2:$BB$201,1,$H$2:$H$201,"&lt;"&amp;H68)+COUNTIFS($AW$2:$AW$201,AW68,$BB$2:$BB$201,1,$H$2:$H$201,H68,$AX$2:$AX$201,"&lt;"&amp;AX68)=0,1,0),0)</f>
        <v>0</v>
      </c>
      <c r="BD68" s="23" t="n">
        <f aca="false">IF(AND(AY68=1,O68="Y",ISNUMBER(R68)),IF(R68&gt;=Config!$B$14,1,0),0)</f>
        <v>0</v>
      </c>
      <c r="BE68" s="23" t="n">
        <f aca="false">IF(BD68=1,IF(COUNTIFS($AW$2:$AW$201,AW68,$BD$2:$BD$201,1,$H$2:$H$201,"&lt;"&amp;H68)+COUNTIFS($AW$2:$AW$201,AW68,$BD$2:$BD$201,1,$H$2:$H$201,H68,$AX$2:$AX$201,"&lt;"&amp;AX68)=0,1,0),0)</f>
        <v>0</v>
      </c>
      <c r="BF68" s="23" t="n">
        <f aca="false">IF(AND(AY68=1,O68&lt;&gt;"Y",MAX(N(R68),N(V68))&gt;=Config!$B$14),1,0)</f>
        <v>0</v>
      </c>
      <c r="BG68" s="23" t="n">
        <f aca="false">IF(BF68=1,IF(COUNTIFS($AW$2:$AW$201,AW68,$BF$2:$BF$201,1,$H$2:$H$201,"&lt;"&amp;H68)+COUNTIFS($AW$2:$AW$201,AW68,$BF$2:$BF$201,1,$H$2:$H$201,H68,$AX$2:$AX$201,"&lt;"&amp;AX68)=0,1,0),0)</f>
        <v>0</v>
      </c>
      <c r="BH68" s="23" t="n">
        <f aca="false">IF(AND(AY68=1,ISNUMBER(R68)),1,0)</f>
        <v>0</v>
      </c>
      <c r="BI68" s="23" t="n">
        <f aca="false">IF(BH68=1,IF(COUNTIFS($AW$2:$AW$201,AW68,$BH$2:$BH$201,1,$H$2:$H$201,"&lt;"&amp;H68)+COUNTIFS($AW$2:$AW$201,AW68,$BH$2:$BH$201,1,$H$2:$H$201,H68,$AX$2:$AX$201,"&lt;"&amp;AX68)=0,1,0),0)</f>
        <v>0</v>
      </c>
      <c r="BJ68" s="23" t="str">
        <f aca="false">IF(AND(BI68=1,INT(N(H68))&lt;=Config!$B$6),R68,"")</f>
        <v/>
      </c>
      <c r="BK68" s="23" t="str">
        <f aca="false">IF(AND(BI68=1,INT(N(H68))&lt;=Config!$B$7),R68,"")</f>
        <v/>
      </c>
      <c r="BL68" s="23" t="str">
        <f aca="false">IF(AND(BI68=1,INT(N(H68))&lt;=Config!$B$8),R68,"")</f>
        <v/>
      </c>
      <c r="BM68" s="23" t="str">
        <f aca="false">IF(AND(BI68=1,INT(N(H68))&lt;=Config!$B$5),R68,"")</f>
        <v/>
      </c>
      <c r="BN68" s="23" t="n">
        <f aca="false">IF(AND(AY68=1,ISNUMBER(V68)),1,0)</f>
        <v>0</v>
      </c>
      <c r="BO68" s="23" t="n">
        <f aca="false">IF(BN68=1,IF(COUNTIFS($AW$2:$AW$201,AW68,$BN$2:$BN$201,1,$H$2:$H$201,"&lt;"&amp;H68)+COUNTIFS($AW$2:$AW$201,AW68,$BN$2:$BN$201,1,$H$2:$H$201,H68,$AX$2:$AX$201,"&lt;"&amp;AX68)=0,1,0),0)</f>
        <v>0</v>
      </c>
      <c r="BP68" s="23" t="str">
        <f aca="false">IF(AND(BO68=1,INT(N(H68))&lt;=Config!$B$6),V68,"")</f>
        <v/>
      </c>
      <c r="BQ68" s="23" t="str">
        <f aca="false">IF(AND(BO68=1,INT(N(H68))&lt;=Config!$B$7),V68,"")</f>
        <v/>
      </c>
      <c r="BR68" s="23" t="str">
        <f aca="false">IF(AND(BO68=1,INT(N(H68))&lt;=Config!$B$8),V68,"")</f>
        <v/>
      </c>
      <c r="BS68" s="23" t="str">
        <f aca="false">IF(AND(BO68=1,INT(N(H68))&lt;=Config!$B$5),V68,"")</f>
        <v/>
      </c>
      <c r="BT68" s="23" t="n">
        <f aca="false">IF(AND(AY68=1,ISNUMBER(K68)),1,0)</f>
        <v>0</v>
      </c>
      <c r="BU68" s="23" t="n">
        <f aca="false">IF(BT68=1,IF(COUNTIFS($AW$2:$AW$201,AW68,$BT$2:$BT$201,1,$H$2:$H$201,"&lt;"&amp;H68)+COUNTIFS($AW$2:$AW$201,AW68,$BT$2:$BT$201,1,$H$2:$H$201,H68,$AX$2:$AX$201,"&lt;"&amp;AX68)=0,1,0),0)</f>
        <v>0</v>
      </c>
      <c r="BV68" s="23" t="str">
        <f aca="false">IF(AND(BU68=1,INT(N(H68))&lt;=Config!$B$5),K68,"")</f>
        <v/>
      </c>
      <c r="BW68" s="23" t="n">
        <f aca="false">IF(AND(AY68=1,OR(AND(ISNUMBER(R68),TRIM(S68)=""),AND(ISNUMBER(V68),TRIM(W68)=""))),1,0)</f>
        <v>0</v>
      </c>
      <c r="BX68" s="23" t="str">
        <f aca="false">IF(AY68=1,AJ68&amp;"","")</f>
        <v/>
      </c>
      <c r="BY68" s="23" t="str">
        <f aca="false">IF(AY68=1,AK68&amp;"","")</f>
        <v/>
      </c>
      <c r="BZ68" s="23" t="str">
        <f aca="false">IF(AY68=1,AL68&amp;"","")</f>
        <v/>
      </c>
      <c r="CA68" s="23" t="str">
        <f aca="false">IF(AND(AY68=1,ISNUMBER(AS68),INT(N(H68))&lt;=Config!$B$5),AS68,"")</f>
        <v/>
      </c>
      <c r="CB68" s="23" t="str">
        <f aca="false">IF(AY68=1,IF(COUNTIFS($A$2:$A$201,$A68,$CU$2:$CU$201,1,$AN$2:$AN$201,"Y")&gt;0,"Y","N"),"")</f>
        <v/>
      </c>
      <c r="CC68" s="23" t="n">
        <f aca="false">IF(AND(AY68=1,AN68="Y"),IF(COUNTIFS($AW$2:$AW$201,AW68,$AN$2:$AN$201,"Y",$AY$2:$AY$201,1,$H$2:$H$201,"&lt;"&amp;H68)+COUNTIFS($AW$2:$AW$201,AW68,$AN$2:$AN$201,"Y",$AY$2:$AY$201,1,$H$2:$H$201,H68,$AX$2:$AX$201,"&lt;"&amp;AX68)=0,1,0),0)</f>
        <v>0</v>
      </c>
      <c r="CD68" s="23" t="n">
        <f aca="false">IF(AND(AY68=1,AB68="Y",AC68="Y",AD68="Y",AE68="Y",AF68="Y",AG68="Y",AI68="Y",TRIM(AH68)&lt;&gt;""),1,0)</f>
        <v>0</v>
      </c>
      <c r="CE68" s="23" t="n">
        <f aca="false">IF(CD68=1,IF(COUNTIFS($AW$2:$AW$201,AW68,$CD$2:$CD$201,1,$H$2:$H$201,"&lt;"&amp;H68)+COUNTIFS($AW$2:$AW$201,AW68,$CD$2:$CD$201,1,$H$2:$H$201,H68,$AX$2:$AX$201,"&lt;"&amp;AX68)=0,1,0),0)</f>
        <v>0</v>
      </c>
      <c r="CF68" s="23" t="n">
        <f aca="false">IF(AND(AY68=1,AO68="Y"),1,0)</f>
        <v>0</v>
      </c>
      <c r="CG68" s="23" t="n">
        <f aca="false">IF(CF68=1,IF(COUNTIFS($AW$2:$AW$201,AW68,$CF$2:$CF$201,1,$H$2:$H$201,"&lt;"&amp;H68)+COUNTIFS($AW$2:$AW$201,AW68,$CF$2:$CF$201,1,$H$2:$H$201,H68,$AX$2:$AX$201,"&lt;"&amp;AX68)=0,1,0),0)</f>
        <v>0</v>
      </c>
      <c r="CH68" s="23" t="n">
        <f aca="false">IF(AND(AY68=1,P68="Y"),1,0)</f>
        <v>0</v>
      </c>
      <c r="CI68" s="23" t="n">
        <f aca="false">IF(CH68=1,IF(COUNTIFS($AW$2:$AW$201,AW68,$CH$2:$CH$201,1,$H$2:$H$201,"&lt;"&amp;H68)+COUNTIFS($AW$2:$AW$201,AW68,$CH$2:$CH$201,1,$H$2:$H$201,H68,$AX$2:$AX$201,"&lt;"&amp;AX68)=0,1,0),0)</f>
        <v>0</v>
      </c>
      <c r="CJ68" s="23" t="str">
        <f aca="false">IF(AND(BU68=1,INT(N(H68))&lt;=Config!$B$5),L68,"")</f>
        <v/>
      </c>
      <c r="CK68" s="23" t="n">
        <f aca="false">IF(AND(AY68=1,AR68="Y"),1,0)</f>
        <v>0</v>
      </c>
      <c r="CL68" s="23" t="n">
        <f aca="false">IF(CK68=1,IF(COUNTIFS($AW$2:$AW$201,AW68,$CK$2:$CK$201,1,$H$2:$H$201,"&lt;"&amp;H68)+COUNTIFS($AW$2:$AW$201,AW68,$CK$2:$CK$201,1,$H$2:$H$201,H68,$AX$2:$AX$201,"&lt;"&amp;AX68)=0,1,0),0)</f>
        <v>0</v>
      </c>
      <c r="CM68" s="23" t="str">
        <f aca="false">IF(AY68=1,IFERROR(MATCH($A68,INDEX(Clay_Brands!$A$2:$FZ$601,0,Sync!$D$5),0),""),"")</f>
        <v/>
      </c>
      <c r="CN68" s="23" t="str">
        <f aca="false">IF(CM68="","",IFERROR(INDEX(Clay_Brands!$A$2:$FZ$601,CM68,Sync!$D$7)&amp;"",""))</f>
        <v/>
      </c>
      <c r="CO68" s="23" t="str">
        <f aca="false">IF(CN68="","",IFERROR(INDEX(Lists!$K$2:$K$15,MATCH(CN68,Lists!$J$2:$J$15,0)),""))</f>
        <v/>
      </c>
      <c r="CP68" s="23" t="str">
        <f aca="false">IF(CM68="","",IFERROR(INDEX(Clay_Brands!$A$2:$FZ$601,CM68,Sync!$D$17)&amp;"",""))</f>
        <v/>
      </c>
      <c r="CQ68" s="35" t="str">
        <f aca="false">IF(CM68="","",IFERROR(N(INDEX(Clay_Brands!$A$2:$FZ$601,CM68,Sync!$D$16)),0))</f>
        <v/>
      </c>
      <c r="CR68" s="23" t="n">
        <f aca="false">IF(AND(AY68=1,OR(O68="N",AND(OR(ISNUMBER(R68),ISNUMBER(V68)),MAX(N(R68),N(V68))&lt;Config!$B$14))),1,0)</f>
        <v>0</v>
      </c>
      <c r="CS68" s="23" t="n">
        <f aca="false">IF(OR(BB68=1,CR68=1),1,0)</f>
        <v>0</v>
      </c>
      <c r="CT68" s="23" t="n">
        <f aca="false">IF(AND(AY68=1,OR(AN68="Y",AN68="N",AN68="maybe")),1,0)</f>
        <v>0</v>
      </c>
      <c r="CU68" s="23" t="n">
        <f aca="false">IF(AND(CT68=1),IF(COUNTIFS($A$2:$A$201,$A68,$CT$2:$CT$201,1,$H$2:$H$201,"&gt;"&amp;H68)+COUNTIFS($A$2:$A$201,$A68,$CT$2:$CT$201,1,$H$2:$H$201,H68,$AX$2:$AX$201,"&gt;"&amp;AX68)=0,1,0),0)</f>
        <v>0</v>
      </c>
      <c r="CV68" s="23" t="n">
        <f aca="false">IF(AND(CS68=1,INT(N(H68))&lt;=Config!$B$6),IF(COUNTIFS($AW$2:$AW$201,AW68,$CS$2:$CS$201,1,$H$2:$H$201,"&gt;"&amp;H68,$H$2:$H$201,"&lt;"&amp;(Config!$B$6+1))+COUNTIFS($AW$2:$AW$201,AW68,$CS$2:$CS$201,1,$H$2:$H$201,H68,$AX$2:$AX$201,"&gt;"&amp;AX68)=0,1,0),0)</f>
        <v>0</v>
      </c>
      <c r="CW68" s="23" t="n">
        <f aca="false">IF(AND(CS68=1,INT(N(H68))&lt;=Config!$B$7),IF(COUNTIFS($AW$2:$AW$201,AW68,$CS$2:$CS$201,1,$H$2:$H$201,"&gt;"&amp;H68,$H$2:$H$201,"&lt;"&amp;(Config!$B$7+1))+COUNTIFS($AW$2:$AW$201,AW68,$CS$2:$CS$201,1,$H$2:$H$201,H68,$AX$2:$AX$201,"&gt;"&amp;AX68)=0,1,0),0)</f>
        <v>0</v>
      </c>
      <c r="CX68" s="23" t="n">
        <f aca="false">IF(AND(CS68=1,INT(N(H68))&lt;=Config!$B$8),IF(COUNTIFS($AW$2:$AW$201,AW68,$CS$2:$CS$201,1,$H$2:$H$201,"&gt;"&amp;H68,$H$2:$H$201,"&lt;"&amp;(Config!$B$8+1))+COUNTIFS($AW$2:$AW$201,AW68,$CS$2:$CS$201,1,$H$2:$H$201,H68,$AX$2:$AX$201,"&gt;"&amp;AX68)=0,1,0),0)</f>
        <v>0</v>
      </c>
      <c r="CY68" s="23" t="n">
        <f aca="false">IF(AND(CS68=1,INT(N(H68))&lt;=Config!$B$5),IF(COUNTIFS($AW$2:$AW$201,AW68,$CS$2:$CS$201,1,$H$2:$H$201,"&gt;"&amp;H68,$H$2:$H$201,"&lt;"&amp;(Config!$B$5+1))+COUNTIFS($AW$2:$AW$201,AW68,$CS$2:$CS$201,1,$H$2:$H$201,H68,$AX$2:$AX$201,"&gt;"&amp;AX68)=0,1,0),0)</f>
        <v>0</v>
      </c>
      <c r="CZ68" s="23" t="n">
        <f aca="false">IF(AY68=1,IF(COUNTIFS($AW$2:$AW$201,AW68,$CV$2:$CV$201,1,$BB$2:$BB$201,1)&gt;0,1,0),0)</f>
        <v>0</v>
      </c>
      <c r="DA68" s="23" t="n">
        <f aca="false">IF(AY68=1,IF(COUNTIFS($AW$2:$AW$201,AW68,$CW$2:$CW$201,1,$BB$2:$BB$201,1)&gt;0,1,0),0)</f>
        <v>0</v>
      </c>
      <c r="DB68" s="23" t="n">
        <f aca="false">IF(AY68=1,IF(COUNTIFS($AW$2:$AW$201,AW68,$CX$2:$CX$201,1,$BB$2:$BB$201,1)&gt;0,1,0),0)</f>
        <v>0</v>
      </c>
      <c r="DC68" s="23" t="n">
        <f aca="false">IF(AY68=1,IF(COUNTIFS($AW$2:$AW$201,AW68,$CY$2:$CY$201,1,$BB$2:$BB$201,1)&gt;0,1,0),0)</f>
        <v>0</v>
      </c>
      <c r="DD68" s="23" t="n">
        <f aca="false">IF(AND(BC68=1,INT(N(H68))&lt;=Config!$B$6,CZ68=1),1,0)</f>
        <v>0</v>
      </c>
      <c r="DE68" s="23" t="n">
        <f aca="false">IF(AND(BC68=1,INT(N(H68))&lt;=Config!$B$7,DA68=1),1,0)</f>
        <v>0</v>
      </c>
      <c r="DF68" s="23" t="n">
        <f aca="false">IF(AND(BC68=1,INT(N(H68))&lt;=Config!$B$8,DB68=1),1,0)</f>
        <v>0</v>
      </c>
      <c r="DG68" s="23" t="n">
        <f aca="false">IF(AND(BC68=1,INT(N(H68))&lt;=Config!$B$5,DC68=1),1,0)</f>
        <v>0</v>
      </c>
      <c r="DH68" s="23" t="n">
        <f aca="false">IF(AND(BE68=1,INT(N(H68))&lt;=Config!$B$6,CZ68=1),1,0)</f>
        <v>0</v>
      </c>
      <c r="DI68" s="23" t="n">
        <f aca="false">IF(AND(BE68=1,INT(N(H68))&lt;=Config!$B$7,DA68=1),1,0)</f>
        <v>0</v>
      </c>
      <c r="DJ68" s="23" t="n">
        <f aca="false">IF(AND(BE68=1,INT(N(H68))&lt;=Config!$B$8,DB68=1),1,0)</f>
        <v>0</v>
      </c>
      <c r="DK68" s="23" t="n">
        <f aca="false">IF(AND(BE68=1,INT(N(H68))&lt;=Config!$B$5,DC68=1),1,0)</f>
        <v>0</v>
      </c>
      <c r="DL68" s="23" t="n">
        <f aca="false">IF(AND(BC68=1,INT(N(H68))&lt;=Config!$B$6,CZ68=0),1,0)</f>
        <v>0</v>
      </c>
      <c r="DM68" s="23" t="n">
        <f aca="false">IF(AND(BC68=1,INT(N(H68))&lt;=Config!$B$7,DA68=0),1,0)</f>
        <v>0</v>
      </c>
      <c r="DN68" s="23" t="n">
        <f aca="false">IF(AND(BC68=1,INT(N(H68))&lt;=Config!$B$8,DB68=0),1,0)</f>
        <v>0</v>
      </c>
      <c r="DO68" s="23" t="n">
        <f aca="false">IF(AND(BC68=1,INT(N(H68))&lt;=Config!$B$5,DC68=0),1,0)</f>
        <v>0</v>
      </c>
      <c r="DP68" s="23" t="n">
        <f aca="false">IF(TRIM($A68)="",0,ISTEXT(K68)+ISTEXT(L68)+ISTEXT(R68)+ISTEXT(V68)+ISTEXT(AP68)+ISTEXT(AS68))</f>
        <v>0</v>
      </c>
      <c r="DQ68" s="23" t="n">
        <f aca="false">IF(AY68=1,IF(H68&lt;&gt;INT(H68),1,0),0)</f>
        <v>0</v>
      </c>
      <c r="DR68" s="23" t="str">
        <f aca="false">IF(TRIM($A68)="","",IF(TRIM(B68)="",SUBSTITUTE(SUBSTITUTE(SUBSTITUTE(SUBSTITUTE(SUBSTITUTE(SUBSTITUTE(LOWER(TRIM($A68)),"~",""),"*",""),"?",""),"&lt;",""),"&gt;",""),"=",""),SUBSTITUTE(SUBSTITUTE(SUBSTITUTE(SUBSTITUTE(SUBSTITUTE(SUBSTITUTE(LOWER(TRIM(B68)),"~",""),"*",""),"?",""),"&lt;",""),"&gt;",""),"=","")))</f>
        <v/>
      </c>
      <c r="DS68" s="23" t="str">
        <f aca="false">IF(CM68="","",IFERROR(IF(LEFT(LOWER(TRIM(INDEX(Clay_Brands!$A$2:$FZ$601,CM68,Sync!$D$19)&amp;"")),4)="grp-",SUBSTITUTE(SUBSTITUTE(SUBSTITUTE(SUBSTITUTE(SUBSTITUTE(SUBSTITUTE(LOWER(TRIM(INDEX(Clay_Brands!$A$2:$FZ$601,CM68,Sync!$D$19)&amp;"")),"~",""),"*",""),"?",""),"&lt;",""),"&gt;",""),"=",""),""),""))</f>
        <v/>
      </c>
      <c r="DT68" s="23" t="str">
        <f aca="false">IF(DS68&lt;&gt;"",DR68,"")</f>
        <v/>
      </c>
      <c r="DU68" s="23" t="str">
        <f aca="false">IF(AZ68=1,AW68,"")</f>
        <v/>
      </c>
      <c r="DV68" s="23" t="str">
        <f aca="false">IF(TRIM($A68)="","",IFERROR(INDEX($A$2:$A$201,MATCH(AW68,$DU$2:$DU$201,0))&amp;"",$A68&amp;""))</f>
        <v/>
      </c>
      <c r="DW68" s="23" t="n">
        <f aca="false">IF(AY68=1,IF(COUNTIFS($A$2:$A$201,$A68,$AY$2:$AY$201,1,$H$2:$H$201,"&lt;"&amp;H68)+COUNTIFS($A$2:$A$201,$A68,$AY$2:$AY$201,1,$H$2:$H$201,H68,$AX$2:$AX$201,"&lt;"&amp;AX68)=0,1,0),0)</f>
        <v>0</v>
      </c>
      <c r="DX68" s="23" t="n">
        <f aca="false">IF(AZ68=1,IF(COUNTIFS($AW$2:$AW$201,AW68,$DW$2:$DW$201,1)&gt;1,1,0),0)</f>
        <v>0</v>
      </c>
    </row>
    <row r="69" customFormat="false" ht="15" hidden="false" customHeight="false" outlineLevel="0" collapsed="false">
      <c r="G69" s="32"/>
      <c r="H69" s="33"/>
      <c r="I69" s="32"/>
      <c r="O69" s="32"/>
      <c r="P69" s="32"/>
      <c r="U69" s="32"/>
      <c r="Y69" s="32"/>
      <c r="AB69" s="32"/>
      <c r="AC69" s="32"/>
      <c r="AD69" s="32"/>
      <c r="AE69" s="32"/>
      <c r="AF69" s="32"/>
      <c r="AG69" s="32"/>
      <c r="AI69" s="32"/>
      <c r="AJ69" s="32"/>
      <c r="AK69" s="32"/>
      <c r="AN69" s="32"/>
      <c r="AO69" s="32"/>
      <c r="AR69" s="32"/>
      <c r="AT69" s="32"/>
      <c r="AV69" s="34" t="str">
        <f aca="false">IF(TRIM($A69)="","",IF(AND(LEFT($A69,6)="SAMPLE",Config!$B$19&lt;&gt;"Y"),"",IF(NOT(ISNUMBER(H69)),"call_date is blank or not a date",IF(Sync!$D$5="","Clay paste is empty or has no row_id column: paste the Clay export on Clay_Brands",IF(CM69="","row_id not found in the Clay paste: add the Clay row or fix the row_id",IF(AND(ISNUMBER(CO69),CO69&gt;=1,CO69&lt;=5),"Clay status is "&amp;CN69&amp;": set call_done or later",IF(AND(BA69=1,CP69&lt;&gt;CB69),"Clay yes_in_principle should be "&amp;CB69,IF(AND(BA69=1,CQ69&lt;&gt;H69),"Clay call_date should be "&amp;TEXT(H69,"yyyy-mm-dd"),""))))))))</f>
        <v/>
      </c>
      <c r="AW69" s="23" t="str">
        <f aca="false">IF(TRIM($A69)="","",IF(TRIM(C69)&lt;&gt;"",SUBSTITUTE(SUBSTITUTE(SUBSTITUTE(SUBSTITUTE(SUBSTITUTE(SUBSTITUTE(LOWER(TRIM(C69)),"~",""),"*",""),"?",""),"&lt;",""),"&gt;",""),"=",""),IF(DS69&lt;&gt;"",DS69,IFERROR(INDEX($DS$2:$DS$201,MATCH(DR69,$DT$2:$DT$201,0)),DR69))))</f>
        <v/>
      </c>
      <c r="AX69" s="23" t="n">
        <f aca="false">ROW()</f>
        <v>69</v>
      </c>
      <c r="AY69" s="23" t="n">
        <f aca="false">IF(AND(TRIM($A69)&lt;&gt;"",ISNUMBER(H69)),IF(AND(LEFT($A69,6)="SAMPLE",Config!$B$19&lt;&gt;"Y"),0,1),0)</f>
        <v>0</v>
      </c>
      <c r="AZ69" s="23" t="n">
        <f aca="false">IF(AY69=1,IF(COUNTIFS($AW$2:$AW$201,AW69,$AY$2:$AY$201,1,$H$2:$H$201,"&lt;"&amp;H69)+COUNTIFS($AW$2:$AW$201,AW69,$AY$2:$AY$201,1,$H$2:$H$201,H69,$AX$2:$AX$201,"&lt;"&amp;AX69)=0,1,0),0)</f>
        <v>0</v>
      </c>
      <c r="BA69" s="23" t="n">
        <f aca="false">IF(AY69=1,IF(COUNTIFS($A$2:$A$201,$A69,$AY$2:$AY$201,1,$H$2:$H$201,"&gt;"&amp;H69)+COUNTIFS($A$2:$A$201,$A69,$AY$2:$AY$201,1,$H$2:$H$201,H69,$AX$2:$AX$201,"&gt;"&amp;AX69)=0,1,0),0)</f>
        <v>0</v>
      </c>
      <c r="BB69" s="23" t="n">
        <f aca="false">IF(AND(AY69=1,O69="Y",MAX(N(R69),N(V69))&gt;=Config!$B$14),1,0)</f>
        <v>0</v>
      </c>
      <c r="BC69" s="23" t="n">
        <f aca="false">IF(BB69=1,IF(COUNTIFS($AW$2:$AW$201,AW69,$BB$2:$BB$201,1,$H$2:$H$201,"&lt;"&amp;H69)+COUNTIFS($AW$2:$AW$201,AW69,$BB$2:$BB$201,1,$H$2:$H$201,H69,$AX$2:$AX$201,"&lt;"&amp;AX69)=0,1,0),0)</f>
        <v>0</v>
      </c>
      <c r="BD69" s="23" t="n">
        <f aca="false">IF(AND(AY69=1,O69="Y",ISNUMBER(R69)),IF(R69&gt;=Config!$B$14,1,0),0)</f>
        <v>0</v>
      </c>
      <c r="BE69" s="23" t="n">
        <f aca="false">IF(BD69=1,IF(COUNTIFS($AW$2:$AW$201,AW69,$BD$2:$BD$201,1,$H$2:$H$201,"&lt;"&amp;H69)+COUNTIFS($AW$2:$AW$201,AW69,$BD$2:$BD$201,1,$H$2:$H$201,H69,$AX$2:$AX$201,"&lt;"&amp;AX69)=0,1,0),0)</f>
        <v>0</v>
      </c>
      <c r="BF69" s="23" t="n">
        <f aca="false">IF(AND(AY69=1,O69&lt;&gt;"Y",MAX(N(R69),N(V69))&gt;=Config!$B$14),1,0)</f>
        <v>0</v>
      </c>
      <c r="BG69" s="23" t="n">
        <f aca="false">IF(BF69=1,IF(COUNTIFS($AW$2:$AW$201,AW69,$BF$2:$BF$201,1,$H$2:$H$201,"&lt;"&amp;H69)+COUNTIFS($AW$2:$AW$201,AW69,$BF$2:$BF$201,1,$H$2:$H$201,H69,$AX$2:$AX$201,"&lt;"&amp;AX69)=0,1,0),0)</f>
        <v>0</v>
      </c>
      <c r="BH69" s="23" t="n">
        <f aca="false">IF(AND(AY69=1,ISNUMBER(R69)),1,0)</f>
        <v>0</v>
      </c>
      <c r="BI69" s="23" t="n">
        <f aca="false">IF(BH69=1,IF(COUNTIFS($AW$2:$AW$201,AW69,$BH$2:$BH$201,1,$H$2:$H$201,"&lt;"&amp;H69)+COUNTIFS($AW$2:$AW$201,AW69,$BH$2:$BH$201,1,$H$2:$H$201,H69,$AX$2:$AX$201,"&lt;"&amp;AX69)=0,1,0),0)</f>
        <v>0</v>
      </c>
      <c r="BJ69" s="23" t="str">
        <f aca="false">IF(AND(BI69=1,INT(N(H69))&lt;=Config!$B$6),R69,"")</f>
        <v/>
      </c>
      <c r="BK69" s="23" t="str">
        <f aca="false">IF(AND(BI69=1,INT(N(H69))&lt;=Config!$B$7),R69,"")</f>
        <v/>
      </c>
      <c r="BL69" s="23" t="str">
        <f aca="false">IF(AND(BI69=1,INT(N(H69))&lt;=Config!$B$8),R69,"")</f>
        <v/>
      </c>
      <c r="BM69" s="23" t="str">
        <f aca="false">IF(AND(BI69=1,INT(N(H69))&lt;=Config!$B$5),R69,"")</f>
        <v/>
      </c>
      <c r="BN69" s="23" t="n">
        <f aca="false">IF(AND(AY69=1,ISNUMBER(V69)),1,0)</f>
        <v>0</v>
      </c>
      <c r="BO69" s="23" t="n">
        <f aca="false">IF(BN69=1,IF(COUNTIFS($AW$2:$AW$201,AW69,$BN$2:$BN$201,1,$H$2:$H$201,"&lt;"&amp;H69)+COUNTIFS($AW$2:$AW$201,AW69,$BN$2:$BN$201,1,$H$2:$H$201,H69,$AX$2:$AX$201,"&lt;"&amp;AX69)=0,1,0),0)</f>
        <v>0</v>
      </c>
      <c r="BP69" s="23" t="str">
        <f aca="false">IF(AND(BO69=1,INT(N(H69))&lt;=Config!$B$6),V69,"")</f>
        <v/>
      </c>
      <c r="BQ69" s="23" t="str">
        <f aca="false">IF(AND(BO69=1,INT(N(H69))&lt;=Config!$B$7),V69,"")</f>
        <v/>
      </c>
      <c r="BR69" s="23" t="str">
        <f aca="false">IF(AND(BO69=1,INT(N(H69))&lt;=Config!$B$8),V69,"")</f>
        <v/>
      </c>
      <c r="BS69" s="23" t="str">
        <f aca="false">IF(AND(BO69=1,INT(N(H69))&lt;=Config!$B$5),V69,"")</f>
        <v/>
      </c>
      <c r="BT69" s="23" t="n">
        <f aca="false">IF(AND(AY69=1,ISNUMBER(K69)),1,0)</f>
        <v>0</v>
      </c>
      <c r="BU69" s="23" t="n">
        <f aca="false">IF(BT69=1,IF(COUNTIFS($AW$2:$AW$201,AW69,$BT$2:$BT$201,1,$H$2:$H$201,"&lt;"&amp;H69)+COUNTIFS($AW$2:$AW$201,AW69,$BT$2:$BT$201,1,$H$2:$H$201,H69,$AX$2:$AX$201,"&lt;"&amp;AX69)=0,1,0),0)</f>
        <v>0</v>
      </c>
      <c r="BV69" s="23" t="str">
        <f aca="false">IF(AND(BU69=1,INT(N(H69))&lt;=Config!$B$5),K69,"")</f>
        <v/>
      </c>
      <c r="BW69" s="23" t="n">
        <f aca="false">IF(AND(AY69=1,OR(AND(ISNUMBER(R69),TRIM(S69)=""),AND(ISNUMBER(V69),TRIM(W69)=""))),1,0)</f>
        <v>0</v>
      </c>
      <c r="BX69" s="23" t="str">
        <f aca="false">IF(AY69=1,AJ69&amp;"","")</f>
        <v/>
      </c>
      <c r="BY69" s="23" t="str">
        <f aca="false">IF(AY69=1,AK69&amp;"","")</f>
        <v/>
      </c>
      <c r="BZ69" s="23" t="str">
        <f aca="false">IF(AY69=1,AL69&amp;"","")</f>
        <v/>
      </c>
      <c r="CA69" s="23" t="str">
        <f aca="false">IF(AND(AY69=1,ISNUMBER(AS69),INT(N(H69))&lt;=Config!$B$5),AS69,"")</f>
        <v/>
      </c>
      <c r="CB69" s="23" t="str">
        <f aca="false">IF(AY69=1,IF(COUNTIFS($A$2:$A$201,$A69,$CU$2:$CU$201,1,$AN$2:$AN$201,"Y")&gt;0,"Y","N"),"")</f>
        <v/>
      </c>
      <c r="CC69" s="23" t="n">
        <f aca="false">IF(AND(AY69=1,AN69="Y"),IF(COUNTIFS($AW$2:$AW$201,AW69,$AN$2:$AN$201,"Y",$AY$2:$AY$201,1,$H$2:$H$201,"&lt;"&amp;H69)+COUNTIFS($AW$2:$AW$201,AW69,$AN$2:$AN$201,"Y",$AY$2:$AY$201,1,$H$2:$H$201,H69,$AX$2:$AX$201,"&lt;"&amp;AX69)=0,1,0),0)</f>
        <v>0</v>
      </c>
      <c r="CD69" s="23" t="n">
        <f aca="false">IF(AND(AY69=1,AB69="Y",AC69="Y",AD69="Y",AE69="Y",AF69="Y",AG69="Y",AI69="Y",TRIM(AH69)&lt;&gt;""),1,0)</f>
        <v>0</v>
      </c>
      <c r="CE69" s="23" t="n">
        <f aca="false">IF(CD69=1,IF(COUNTIFS($AW$2:$AW$201,AW69,$CD$2:$CD$201,1,$H$2:$H$201,"&lt;"&amp;H69)+COUNTIFS($AW$2:$AW$201,AW69,$CD$2:$CD$201,1,$H$2:$H$201,H69,$AX$2:$AX$201,"&lt;"&amp;AX69)=0,1,0),0)</f>
        <v>0</v>
      </c>
      <c r="CF69" s="23" t="n">
        <f aca="false">IF(AND(AY69=1,AO69="Y"),1,0)</f>
        <v>0</v>
      </c>
      <c r="CG69" s="23" t="n">
        <f aca="false">IF(CF69=1,IF(COUNTIFS($AW$2:$AW$201,AW69,$CF$2:$CF$201,1,$H$2:$H$201,"&lt;"&amp;H69)+COUNTIFS($AW$2:$AW$201,AW69,$CF$2:$CF$201,1,$H$2:$H$201,H69,$AX$2:$AX$201,"&lt;"&amp;AX69)=0,1,0),0)</f>
        <v>0</v>
      </c>
      <c r="CH69" s="23" t="n">
        <f aca="false">IF(AND(AY69=1,P69="Y"),1,0)</f>
        <v>0</v>
      </c>
      <c r="CI69" s="23" t="n">
        <f aca="false">IF(CH69=1,IF(COUNTIFS($AW$2:$AW$201,AW69,$CH$2:$CH$201,1,$H$2:$H$201,"&lt;"&amp;H69)+COUNTIFS($AW$2:$AW$201,AW69,$CH$2:$CH$201,1,$H$2:$H$201,H69,$AX$2:$AX$201,"&lt;"&amp;AX69)=0,1,0),0)</f>
        <v>0</v>
      </c>
      <c r="CJ69" s="23" t="str">
        <f aca="false">IF(AND(BU69=1,INT(N(H69))&lt;=Config!$B$5),L69,"")</f>
        <v/>
      </c>
      <c r="CK69" s="23" t="n">
        <f aca="false">IF(AND(AY69=1,AR69="Y"),1,0)</f>
        <v>0</v>
      </c>
      <c r="CL69" s="23" t="n">
        <f aca="false">IF(CK69=1,IF(COUNTIFS($AW$2:$AW$201,AW69,$CK$2:$CK$201,1,$H$2:$H$201,"&lt;"&amp;H69)+COUNTIFS($AW$2:$AW$201,AW69,$CK$2:$CK$201,1,$H$2:$H$201,H69,$AX$2:$AX$201,"&lt;"&amp;AX69)=0,1,0),0)</f>
        <v>0</v>
      </c>
      <c r="CM69" s="23" t="str">
        <f aca="false">IF(AY69=1,IFERROR(MATCH($A69,INDEX(Clay_Brands!$A$2:$FZ$601,0,Sync!$D$5),0),""),"")</f>
        <v/>
      </c>
      <c r="CN69" s="23" t="str">
        <f aca="false">IF(CM69="","",IFERROR(INDEX(Clay_Brands!$A$2:$FZ$601,CM69,Sync!$D$7)&amp;"",""))</f>
        <v/>
      </c>
      <c r="CO69" s="23" t="str">
        <f aca="false">IF(CN69="","",IFERROR(INDEX(Lists!$K$2:$K$15,MATCH(CN69,Lists!$J$2:$J$15,0)),""))</f>
        <v/>
      </c>
      <c r="CP69" s="23" t="str">
        <f aca="false">IF(CM69="","",IFERROR(INDEX(Clay_Brands!$A$2:$FZ$601,CM69,Sync!$D$17)&amp;"",""))</f>
        <v/>
      </c>
      <c r="CQ69" s="35" t="str">
        <f aca="false">IF(CM69="","",IFERROR(N(INDEX(Clay_Brands!$A$2:$FZ$601,CM69,Sync!$D$16)),0))</f>
        <v/>
      </c>
      <c r="CR69" s="23" t="n">
        <f aca="false">IF(AND(AY69=1,OR(O69="N",AND(OR(ISNUMBER(R69),ISNUMBER(V69)),MAX(N(R69),N(V69))&lt;Config!$B$14))),1,0)</f>
        <v>0</v>
      </c>
      <c r="CS69" s="23" t="n">
        <f aca="false">IF(OR(BB69=1,CR69=1),1,0)</f>
        <v>0</v>
      </c>
      <c r="CT69" s="23" t="n">
        <f aca="false">IF(AND(AY69=1,OR(AN69="Y",AN69="N",AN69="maybe")),1,0)</f>
        <v>0</v>
      </c>
      <c r="CU69" s="23" t="n">
        <f aca="false">IF(AND(CT69=1),IF(COUNTIFS($A$2:$A$201,$A69,$CT$2:$CT$201,1,$H$2:$H$201,"&gt;"&amp;H69)+COUNTIFS($A$2:$A$201,$A69,$CT$2:$CT$201,1,$H$2:$H$201,H69,$AX$2:$AX$201,"&gt;"&amp;AX69)=0,1,0),0)</f>
        <v>0</v>
      </c>
      <c r="CV69" s="23" t="n">
        <f aca="false">IF(AND(CS69=1,INT(N(H69))&lt;=Config!$B$6),IF(COUNTIFS($AW$2:$AW$201,AW69,$CS$2:$CS$201,1,$H$2:$H$201,"&gt;"&amp;H69,$H$2:$H$201,"&lt;"&amp;(Config!$B$6+1))+COUNTIFS($AW$2:$AW$201,AW69,$CS$2:$CS$201,1,$H$2:$H$201,H69,$AX$2:$AX$201,"&gt;"&amp;AX69)=0,1,0),0)</f>
        <v>0</v>
      </c>
      <c r="CW69" s="23" t="n">
        <f aca="false">IF(AND(CS69=1,INT(N(H69))&lt;=Config!$B$7),IF(COUNTIFS($AW$2:$AW$201,AW69,$CS$2:$CS$201,1,$H$2:$H$201,"&gt;"&amp;H69,$H$2:$H$201,"&lt;"&amp;(Config!$B$7+1))+COUNTIFS($AW$2:$AW$201,AW69,$CS$2:$CS$201,1,$H$2:$H$201,H69,$AX$2:$AX$201,"&gt;"&amp;AX69)=0,1,0),0)</f>
        <v>0</v>
      </c>
      <c r="CX69" s="23" t="n">
        <f aca="false">IF(AND(CS69=1,INT(N(H69))&lt;=Config!$B$8),IF(COUNTIFS($AW$2:$AW$201,AW69,$CS$2:$CS$201,1,$H$2:$H$201,"&gt;"&amp;H69,$H$2:$H$201,"&lt;"&amp;(Config!$B$8+1))+COUNTIFS($AW$2:$AW$201,AW69,$CS$2:$CS$201,1,$H$2:$H$201,H69,$AX$2:$AX$201,"&gt;"&amp;AX69)=0,1,0),0)</f>
        <v>0</v>
      </c>
      <c r="CY69" s="23" t="n">
        <f aca="false">IF(AND(CS69=1,INT(N(H69))&lt;=Config!$B$5),IF(COUNTIFS($AW$2:$AW$201,AW69,$CS$2:$CS$201,1,$H$2:$H$201,"&gt;"&amp;H69,$H$2:$H$201,"&lt;"&amp;(Config!$B$5+1))+COUNTIFS($AW$2:$AW$201,AW69,$CS$2:$CS$201,1,$H$2:$H$201,H69,$AX$2:$AX$201,"&gt;"&amp;AX69)=0,1,0),0)</f>
        <v>0</v>
      </c>
      <c r="CZ69" s="23" t="n">
        <f aca="false">IF(AY69=1,IF(COUNTIFS($AW$2:$AW$201,AW69,$CV$2:$CV$201,1,$BB$2:$BB$201,1)&gt;0,1,0),0)</f>
        <v>0</v>
      </c>
      <c r="DA69" s="23" t="n">
        <f aca="false">IF(AY69=1,IF(COUNTIFS($AW$2:$AW$201,AW69,$CW$2:$CW$201,1,$BB$2:$BB$201,1)&gt;0,1,0),0)</f>
        <v>0</v>
      </c>
      <c r="DB69" s="23" t="n">
        <f aca="false">IF(AY69=1,IF(COUNTIFS($AW$2:$AW$201,AW69,$CX$2:$CX$201,1,$BB$2:$BB$201,1)&gt;0,1,0),0)</f>
        <v>0</v>
      </c>
      <c r="DC69" s="23" t="n">
        <f aca="false">IF(AY69=1,IF(COUNTIFS($AW$2:$AW$201,AW69,$CY$2:$CY$201,1,$BB$2:$BB$201,1)&gt;0,1,0),0)</f>
        <v>0</v>
      </c>
      <c r="DD69" s="23" t="n">
        <f aca="false">IF(AND(BC69=1,INT(N(H69))&lt;=Config!$B$6,CZ69=1),1,0)</f>
        <v>0</v>
      </c>
      <c r="DE69" s="23" t="n">
        <f aca="false">IF(AND(BC69=1,INT(N(H69))&lt;=Config!$B$7,DA69=1),1,0)</f>
        <v>0</v>
      </c>
      <c r="DF69" s="23" t="n">
        <f aca="false">IF(AND(BC69=1,INT(N(H69))&lt;=Config!$B$8,DB69=1),1,0)</f>
        <v>0</v>
      </c>
      <c r="DG69" s="23" t="n">
        <f aca="false">IF(AND(BC69=1,INT(N(H69))&lt;=Config!$B$5,DC69=1),1,0)</f>
        <v>0</v>
      </c>
      <c r="DH69" s="23" t="n">
        <f aca="false">IF(AND(BE69=1,INT(N(H69))&lt;=Config!$B$6,CZ69=1),1,0)</f>
        <v>0</v>
      </c>
      <c r="DI69" s="23" t="n">
        <f aca="false">IF(AND(BE69=1,INT(N(H69))&lt;=Config!$B$7,DA69=1),1,0)</f>
        <v>0</v>
      </c>
      <c r="DJ69" s="23" t="n">
        <f aca="false">IF(AND(BE69=1,INT(N(H69))&lt;=Config!$B$8,DB69=1),1,0)</f>
        <v>0</v>
      </c>
      <c r="DK69" s="23" t="n">
        <f aca="false">IF(AND(BE69=1,INT(N(H69))&lt;=Config!$B$5,DC69=1),1,0)</f>
        <v>0</v>
      </c>
      <c r="DL69" s="23" t="n">
        <f aca="false">IF(AND(BC69=1,INT(N(H69))&lt;=Config!$B$6,CZ69=0),1,0)</f>
        <v>0</v>
      </c>
      <c r="DM69" s="23" t="n">
        <f aca="false">IF(AND(BC69=1,INT(N(H69))&lt;=Config!$B$7,DA69=0),1,0)</f>
        <v>0</v>
      </c>
      <c r="DN69" s="23" t="n">
        <f aca="false">IF(AND(BC69=1,INT(N(H69))&lt;=Config!$B$8,DB69=0),1,0)</f>
        <v>0</v>
      </c>
      <c r="DO69" s="23" t="n">
        <f aca="false">IF(AND(BC69=1,INT(N(H69))&lt;=Config!$B$5,DC69=0),1,0)</f>
        <v>0</v>
      </c>
      <c r="DP69" s="23" t="n">
        <f aca="false">IF(TRIM($A69)="",0,ISTEXT(K69)+ISTEXT(L69)+ISTEXT(R69)+ISTEXT(V69)+ISTEXT(AP69)+ISTEXT(AS69))</f>
        <v>0</v>
      </c>
      <c r="DQ69" s="23" t="n">
        <f aca="false">IF(AY69=1,IF(H69&lt;&gt;INT(H69),1,0),0)</f>
        <v>0</v>
      </c>
      <c r="DR69" s="23" t="str">
        <f aca="false">IF(TRIM($A69)="","",IF(TRIM(B69)="",SUBSTITUTE(SUBSTITUTE(SUBSTITUTE(SUBSTITUTE(SUBSTITUTE(SUBSTITUTE(LOWER(TRIM($A69)),"~",""),"*",""),"?",""),"&lt;",""),"&gt;",""),"=",""),SUBSTITUTE(SUBSTITUTE(SUBSTITUTE(SUBSTITUTE(SUBSTITUTE(SUBSTITUTE(LOWER(TRIM(B69)),"~",""),"*",""),"?",""),"&lt;",""),"&gt;",""),"=","")))</f>
        <v/>
      </c>
      <c r="DS69" s="23" t="str">
        <f aca="false">IF(CM69="","",IFERROR(IF(LEFT(LOWER(TRIM(INDEX(Clay_Brands!$A$2:$FZ$601,CM69,Sync!$D$19)&amp;"")),4)="grp-",SUBSTITUTE(SUBSTITUTE(SUBSTITUTE(SUBSTITUTE(SUBSTITUTE(SUBSTITUTE(LOWER(TRIM(INDEX(Clay_Brands!$A$2:$FZ$601,CM69,Sync!$D$19)&amp;"")),"~",""),"*",""),"?",""),"&lt;",""),"&gt;",""),"=",""),""),""))</f>
        <v/>
      </c>
      <c r="DT69" s="23" t="str">
        <f aca="false">IF(DS69&lt;&gt;"",DR69,"")</f>
        <v/>
      </c>
      <c r="DU69" s="23" t="str">
        <f aca="false">IF(AZ69=1,AW69,"")</f>
        <v/>
      </c>
      <c r="DV69" s="23" t="str">
        <f aca="false">IF(TRIM($A69)="","",IFERROR(INDEX($A$2:$A$201,MATCH(AW69,$DU$2:$DU$201,0))&amp;"",$A69&amp;""))</f>
        <v/>
      </c>
      <c r="DW69" s="23" t="n">
        <f aca="false">IF(AY69=1,IF(COUNTIFS($A$2:$A$201,$A69,$AY$2:$AY$201,1,$H$2:$H$201,"&lt;"&amp;H69)+COUNTIFS($A$2:$A$201,$A69,$AY$2:$AY$201,1,$H$2:$H$201,H69,$AX$2:$AX$201,"&lt;"&amp;AX69)=0,1,0),0)</f>
        <v>0</v>
      </c>
      <c r="DX69" s="23" t="n">
        <f aca="false">IF(AZ69=1,IF(COUNTIFS($AW$2:$AW$201,AW69,$DW$2:$DW$201,1)&gt;1,1,0),0)</f>
        <v>0</v>
      </c>
    </row>
    <row r="70" customFormat="false" ht="15" hidden="false" customHeight="false" outlineLevel="0" collapsed="false">
      <c r="G70" s="32"/>
      <c r="H70" s="33"/>
      <c r="I70" s="32"/>
      <c r="O70" s="32"/>
      <c r="P70" s="32"/>
      <c r="U70" s="32"/>
      <c r="Y70" s="32"/>
      <c r="AB70" s="32"/>
      <c r="AC70" s="32"/>
      <c r="AD70" s="32"/>
      <c r="AE70" s="32"/>
      <c r="AF70" s="32"/>
      <c r="AG70" s="32"/>
      <c r="AI70" s="32"/>
      <c r="AJ70" s="32"/>
      <c r="AK70" s="32"/>
      <c r="AN70" s="32"/>
      <c r="AO70" s="32"/>
      <c r="AR70" s="32"/>
      <c r="AT70" s="32"/>
      <c r="AV70" s="34" t="str">
        <f aca="false">IF(TRIM($A70)="","",IF(AND(LEFT($A70,6)="SAMPLE",Config!$B$19&lt;&gt;"Y"),"",IF(NOT(ISNUMBER(H70)),"call_date is blank or not a date",IF(Sync!$D$5="","Clay paste is empty or has no row_id column: paste the Clay export on Clay_Brands",IF(CM70="","row_id not found in the Clay paste: add the Clay row or fix the row_id",IF(AND(ISNUMBER(CO70),CO70&gt;=1,CO70&lt;=5),"Clay status is "&amp;CN70&amp;": set call_done or later",IF(AND(BA70=1,CP70&lt;&gt;CB70),"Clay yes_in_principle should be "&amp;CB70,IF(AND(BA70=1,CQ70&lt;&gt;H70),"Clay call_date should be "&amp;TEXT(H70,"yyyy-mm-dd"),""))))))))</f>
        <v/>
      </c>
      <c r="AW70" s="23" t="str">
        <f aca="false">IF(TRIM($A70)="","",IF(TRIM(C70)&lt;&gt;"",SUBSTITUTE(SUBSTITUTE(SUBSTITUTE(SUBSTITUTE(SUBSTITUTE(SUBSTITUTE(LOWER(TRIM(C70)),"~",""),"*",""),"?",""),"&lt;",""),"&gt;",""),"=",""),IF(DS70&lt;&gt;"",DS70,IFERROR(INDEX($DS$2:$DS$201,MATCH(DR70,$DT$2:$DT$201,0)),DR70))))</f>
        <v/>
      </c>
      <c r="AX70" s="23" t="n">
        <f aca="false">ROW()</f>
        <v>70</v>
      </c>
      <c r="AY70" s="23" t="n">
        <f aca="false">IF(AND(TRIM($A70)&lt;&gt;"",ISNUMBER(H70)),IF(AND(LEFT($A70,6)="SAMPLE",Config!$B$19&lt;&gt;"Y"),0,1),0)</f>
        <v>0</v>
      </c>
      <c r="AZ70" s="23" t="n">
        <f aca="false">IF(AY70=1,IF(COUNTIFS($AW$2:$AW$201,AW70,$AY$2:$AY$201,1,$H$2:$H$201,"&lt;"&amp;H70)+COUNTIFS($AW$2:$AW$201,AW70,$AY$2:$AY$201,1,$H$2:$H$201,H70,$AX$2:$AX$201,"&lt;"&amp;AX70)=0,1,0),0)</f>
        <v>0</v>
      </c>
      <c r="BA70" s="23" t="n">
        <f aca="false">IF(AY70=1,IF(COUNTIFS($A$2:$A$201,$A70,$AY$2:$AY$201,1,$H$2:$H$201,"&gt;"&amp;H70)+COUNTIFS($A$2:$A$201,$A70,$AY$2:$AY$201,1,$H$2:$H$201,H70,$AX$2:$AX$201,"&gt;"&amp;AX70)=0,1,0),0)</f>
        <v>0</v>
      </c>
      <c r="BB70" s="23" t="n">
        <f aca="false">IF(AND(AY70=1,O70="Y",MAX(N(R70),N(V70))&gt;=Config!$B$14),1,0)</f>
        <v>0</v>
      </c>
      <c r="BC70" s="23" t="n">
        <f aca="false">IF(BB70=1,IF(COUNTIFS($AW$2:$AW$201,AW70,$BB$2:$BB$201,1,$H$2:$H$201,"&lt;"&amp;H70)+COUNTIFS($AW$2:$AW$201,AW70,$BB$2:$BB$201,1,$H$2:$H$201,H70,$AX$2:$AX$201,"&lt;"&amp;AX70)=0,1,0),0)</f>
        <v>0</v>
      </c>
      <c r="BD70" s="23" t="n">
        <f aca="false">IF(AND(AY70=1,O70="Y",ISNUMBER(R70)),IF(R70&gt;=Config!$B$14,1,0),0)</f>
        <v>0</v>
      </c>
      <c r="BE70" s="23" t="n">
        <f aca="false">IF(BD70=1,IF(COUNTIFS($AW$2:$AW$201,AW70,$BD$2:$BD$201,1,$H$2:$H$201,"&lt;"&amp;H70)+COUNTIFS($AW$2:$AW$201,AW70,$BD$2:$BD$201,1,$H$2:$H$201,H70,$AX$2:$AX$201,"&lt;"&amp;AX70)=0,1,0),0)</f>
        <v>0</v>
      </c>
      <c r="BF70" s="23" t="n">
        <f aca="false">IF(AND(AY70=1,O70&lt;&gt;"Y",MAX(N(R70),N(V70))&gt;=Config!$B$14),1,0)</f>
        <v>0</v>
      </c>
      <c r="BG70" s="23" t="n">
        <f aca="false">IF(BF70=1,IF(COUNTIFS($AW$2:$AW$201,AW70,$BF$2:$BF$201,1,$H$2:$H$201,"&lt;"&amp;H70)+COUNTIFS($AW$2:$AW$201,AW70,$BF$2:$BF$201,1,$H$2:$H$201,H70,$AX$2:$AX$201,"&lt;"&amp;AX70)=0,1,0),0)</f>
        <v>0</v>
      </c>
      <c r="BH70" s="23" t="n">
        <f aca="false">IF(AND(AY70=1,ISNUMBER(R70)),1,0)</f>
        <v>0</v>
      </c>
      <c r="BI70" s="23" t="n">
        <f aca="false">IF(BH70=1,IF(COUNTIFS($AW$2:$AW$201,AW70,$BH$2:$BH$201,1,$H$2:$H$201,"&lt;"&amp;H70)+COUNTIFS($AW$2:$AW$201,AW70,$BH$2:$BH$201,1,$H$2:$H$201,H70,$AX$2:$AX$201,"&lt;"&amp;AX70)=0,1,0),0)</f>
        <v>0</v>
      </c>
      <c r="BJ70" s="23" t="str">
        <f aca="false">IF(AND(BI70=1,INT(N(H70))&lt;=Config!$B$6),R70,"")</f>
        <v/>
      </c>
      <c r="BK70" s="23" t="str">
        <f aca="false">IF(AND(BI70=1,INT(N(H70))&lt;=Config!$B$7),R70,"")</f>
        <v/>
      </c>
      <c r="BL70" s="23" t="str">
        <f aca="false">IF(AND(BI70=1,INT(N(H70))&lt;=Config!$B$8),R70,"")</f>
        <v/>
      </c>
      <c r="BM70" s="23" t="str">
        <f aca="false">IF(AND(BI70=1,INT(N(H70))&lt;=Config!$B$5),R70,"")</f>
        <v/>
      </c>
      <c r="BN70" s="23" t="n">
        <f aca="false">IF(AND(AY70=1,ISNUMBER(V70)),1,0)</f>
        <v>0</v>
      </c>
      <c r="BO70" s="23" t="n">
        <f aca="false">IF(BN70=1,IF(COUNTIFS($AW$2:$AW$201,AW70,$BN$2:$BN$201,1,$H$2:$H$201,"&lt;"&amp;H70)+COUNTIFS($AW$2:$AW$201,AW70,$BN$2:$BN$201,1,$H$2:$H$201,H70,$AX$2:$AX$201,"&lt;"&amp;AX70)=0,1,0),0)</f>
        <v>0</v>
      </c>
      <c r="BP70" s="23" t="str">
        <f aca="false">IF(AND(BO70=1,INT(N(H70))&lt;=Config!$B$6),V70,"")</f>
        <v/>
      </c>
      <c r="BQ70" s="23" t="str">
        <f aca="false">IF(AND(BO70=1,INT(N(H70))&lt;=Config!$B$7),V70,"")</f>
        <v/>
      </c>
      <c r="BR70" s="23" t="str">
        <f aca="false">IF(AND(BO70=1,INT(N(H70))&lt;=Config!$B$8),V70,"")</f>
        <v/>
      </c>
      <c r="BS70" s="23" t="str">
        <f aca="false">IF(AND(BO70=1,INT(N(H70))&lt;=Config!$B$5),V70,"")</f>
        <v/>
      </c>
      <c r="BT70" s="23" t="n">
        <f aca="false">IF(AND(AY70=1,ISNUMBER(K70)),1,0)</f>
        <v>0</v>
      </c>
      <c r="BU70" s="23" t="n">
        <f aca="false">IF(BT70=1,IF(COUNTIFS($AW$2:$AW$201,AW70,$BT$2:$BT$201,1,$H$2:$H$201,"&lt;"&amp;H70)+COUNTIFS($AW$2:$AW$201,AW70,$BT$2:$BT$201,1,$H$2:$H$201,H70,$AX$2:$AX$201,"&lt;"&amp;AX70)=0,1,0),0)</f>
        <v>0</v>
      </c>
      <c r="BV70" s="23" t="str">
        <f aca="false">IF(AND(BU70=1,INT(N(H70))&lt;=Config!$B$5),K70,"")</f>
        <v/>
      </c>
      <c r="BW70" s="23" t="n">
        <f aca="false">IF(AND(AY70=1,OR(AND(ISNUMBER(R70),TRIM(S70)=""),AND(ISNUMBER(V70),TRIM(W70)=""))),1,0)</f>
        <v>0</v>
      </c>
      <c r="BX70" s="23" t="str">
        <f aca="false">IF(AY70=1,AJ70&amp;"","")</f>
        <v/>
      </c>
      <c r="BY70" s="23" t="str">
        <f aca="false">IF(AY70=1,AK70&amp;"","")</f>
        <v/>
      </c>
      <c r="BZ70" s="23" t="str">
        <f aca="false">IF(AY70=1,AL70&amp;"","")</f>
        <v/>
      </c>
      <c r="CA70" s="23" t="str">
        <f aca="false">IF(AND(AY70=1,ISNUMBER(AS70),INT(N(H70))&lt;=Config!$B$5),AS70,"")</f>
        <v/>
      </c>
      <c r="CB70" s="23" t="str">
        <f aca="false">IF(AY70=1,IF(COUNTIFS($A$2:$A$201,$A70,$CU$2:$CU$201,1,$AN$2:$AN$201,"Y")&gt;0,"Y","N"),"")</f>
        <v/>
      </c>
      <c r="CC70" s="23" t="n">
        <f aca="false">IF(AND(AY70=1,AN70="Y"),IF(COUNTIFS($AW$2:$AW$201,AW70,$AN$2:$AN$201,"Y",$AY$2:$AY$201,1,$H$2:$H$201,"&lt;"&amp;H70)+COUNTIFS($AW$2:$AW$201,AW70,$AN$2:$AN$201,"Y",$AY$2:$AY$201,1,$H$2:$H$201,H70,$AX$2:$AX$201,"&lt;"&amp;AX70)=0,1,0),0)</f>
        <v>0</v>
      </c>
      <c r="CD70" s="23" t="n">
        <f aca="false">IF(AND(AY70=1,AB70="Y",AC70="Y",AD70="Y",AE70="Y",AF70="Y",AG70="Y",AI70="Y",TRIM(AH70)&lt;&gt;""),1,0)</f>
        <v>0</v>
      </c>
      <c r="CE70" s="23" t="n">
        <f aca="false">IF(CD70=1,IF(COUNTIFS($AW$2:$AW$201,AW70,$CD$2:$CD$201,1,$H$2:$H$201,"&lt;"&amp;H70)+COUNTIFS($AW$2:$AW$201,AW70,$CD$2:$CD$201,1,$H$2:$H$201,H70,$AX$2:$AX$201,"&lt;"&amp;AX70)=0,1,0),0)</f>
        <v>0</v>
      </c>
      <c r="CF70" s="23" t="n">
        <f aca="false">IF(AND(AY70=1,AO70="Y"),1,0)</f>
        <v>0</v>
      </c>
      <c r="CG70" s="23" t="n">
        <f aca="false">IF(CF70=1,IF(COUNTIFS($AW$2:$AW$201,AW70,$CF$2:$CF$201,1,$H$2:$H$201,"&lt;"&amp;H70)+COUNTIFS($AW$2:$AW$201,AW70,$CF$2:$CF$201,1,$H$2:$H$201,H70,$AX$2:$AX$201,"&lt;"&amp;AX70)=0,1,0),0)</f>
        <v>0</v>
      </c>
      <c r="CH70" s="23" t="n">
        <f aca="false">IF(AND(AY70=1,P70="Y"),1,0)</f>
        <v>0</v>
      </c>
      <c r="CI70" s="23" t="n">
        <f aca="false">IF(CH70=1,IF(COUNTIFS($AW$2:$AW$201,AW70,$CH$2:$CH$201,1,$H$2:$H$201,"&lt;"&amp;H70)+COUNTIFS($AW$2:$AW$201,AW70,$CH$2:$CH$201,1,$H$2:$H$201,H70,$AX$2:$AX$201,"&lt;"&amp;AX70)=0,1,0),0)</f>
        <v>0</v>
      </c>
      <c r="CJ70" s="23" t="str">
        <f aca="false">IF(AND(BU70=1,INT(N(H70))&lt;=Config!$B$5),L70,"")</f>
        <v/>
      </c>
      <c r="CK70" s="23" t="n">
        <f aca="false">IF(AND(AY70=1,AR70="Y"),1,0)</f>
        <v>0</v>
      </c>
      <c r="CL70" s="23" t="n">
        <f aca="false">IF(CK70=1,IF(COUNTIFS($AW$2:$AW$201,AW70,$CK$2:$CK$201,1,$H$2:$H$201,"&lt;"&amp;H70)+COUNTIFS($AW$2:$AW$201,AW70,$CK$2:$CK$201,1,$H$2:$H$201,H70,$AX$2:$AX$201,"&lt;"&amp;AX70)=0,1,0),0)</f>
        <v>0</v>
      </c>
      <c r="CM70" s="23" t="str">
        <f aca="false">IF(AY70=1,IFERROR(MATCH($A70,INDEX(Clay_Brands!$A$2:$FZ$601,0,Sync!$D$5),0),""),"")</f>
        <v/>
      </c>
      <c r="CN70" s="23" t="str">
        <f aca="false">IF(CM70="","",IFERROR(INDEX(Clay_Brands!$A$2:$FZ$601,CM70,Sync!$D$7)&amp;"",""))</f>
        <v/>
      </c>
      <c r="CO70" s="23" t="str">
        <f aca="false">IF(CN70="","",IFERROR(INDEX(Lists!$K$2:$K$15,MATCH(CN70,Lists!$J$2:$J$15,0)),""))</f>
        <v/>
      </c>
      <c r="CP70" s="23" t="str">
        <f aca="false">IF(CM70="","",IFERROR(INDEX(Clay_Brands!$A$2:$FZ$601,CM70,Sync!$D$17)&amp;"",""))</f>
        <v/>
      </c>
      <c r="CQ70" s="35" t="str">
        <f aca="false">IF(CM70="","",IFERROR(N(INDEX(Clay_Brands!$A$2:$FZ$601,CM70,Sync!$D$16)),0))</f>
        <v/>
      </c>
      <c r="CR70" s="23" t="n">
        <f aca="false">IF(AND(AY70=1,OR(O70="N",AND(OR(ISNUMBER(R70),ISNUMBER(V70)),MAX(N(R70),N(V70))&lt;Config!$B$14))),1,0)</f>
        <v>0</v>
      </c>
      <c r="CS70" s="23" t="n">
        <f aca="false">IF(OR(BB70=1,CR70=1),1,0)</f>
        <v>0</v>
      </c>
      <c r="CT70" s="23" t="n">
        <f aca="false">IF(AND(AY70=1,OR(AN70="Y",AN70="N",AN70="maybe")),1,0)</f>
        <v>0</v>
      </c>
      <c r="CU70" s="23" t="n">
        <f aca="false">IF(AND(CT70=1),IF(COUNTIFS($A$2:$A$201,$A70,$CT$2:$CT$201,1,$H$2:$H$201,"&gt;"&amp;H70)+COUNTIFS($A$2:$A$201,$A70,$CT$2:$CT$201,1,$H$2:$H$201,H70,$AX$2:$AX$201,"&gt;"&amp;AX70)=0,1,0),0)</f>
        <v>0</v>
      </c>
      <c r="CV70" s="23" t="n">
        <f aca="false">IF(AND(CS70=1,INT(N(H70))&lt;=Config!$B$6),IF(COUNTIFS($AW$2:$AW$201,AW70,$CS$2:$CS$201,1,$H$2:$H$201,"&gt;"&amp;H70,$H$2:$H$201,"&lt;"&amp;(Config!$B$6+1))+COUNTIFS($AW$2:$AW$201,AW70,$CS$2:$CS$201,1,$H$2:$H$201,H70,$AX$2:$AX$201,"&gt;"&amp;AX70)=0,1,0),0)</f>
        <v>0</v>
      </c>
      <c r="CW70" s="23" t="n">
        <f aca="false">IF(AND(CS70=1,INT(N(H70))&lt;=Config!$B$7),IF(COUNTIFS($AW$2:$AW$201,AW70,$CS$2:$CS$201,1,$H$2:$H$201,"&gt;"&amp;H70,$H$2:$H$201,"&lt;"&amp;(Config!$B$7+1))+COUNTIFS($AW$2:$AW$201,AW70,$CS$2:$CS$201,1,$H$2:$H$201,H70,$AX$2:$AX$201,"&gt;"&amp;AX70)=0,1,0),0)</f>
        <v>0</v>
      </c>
      <c r="CX70" s="23" t="n">
        <f aca="false">IF(AND(CS70=1,INT(N(H70))&lt;=Config!$B$8),IF(COUNTIFS($AW$2:$AW$201,AW70,$CS$2:$CS$201,1,$H$2:$H$201,"&gt;"&amp;H70,$H$2:$H$201,"&lt;"&amp;(Config!$B$8+1))+COUNTIFS($AW$2:$AW$201,AW70,$CS$2:$CS$201,1,$H$2:$H$201,H70,$AX$2:$AX$201,"&gt;"&amp;AX70)=0,1,0),0)</f>
        <v>0</v>
      </c>
      <c r="CY70" s="23" t="n">
        <f aca="false">IF(AND(CS70=1,INT(N(H70))&lt;=Config!$B$5),IF(COUNTIFS($AW$2:$AW$201,AW70,$CS$2:$CS$201,1,$H$2:$H$201,"&gt;"&amp;H70,$H$2:$H$201,"&lt;"&amp;(Config!$B$5+1))+COUNTIFS($AW$2:$AW$201,AW70,$CS$2:$CS$201,1,$H$2:$H$201,H70,$AX$2:$AX$201,"&gt;"&amp;AX70)=0,1,0),0)</f>
        <v>0</v>
      </c>
      <c r="CZ70" s="23" t="n">
        <f aca="false">IF(AY70=1,IF(COUNTIFS($AW$2:$AW$201,AW70,$CV$2:$CV$201,1,$BB$2:$BB$201,1)&gt;0,1,0),0)</f>
        <v>0</v>
      </c>
      <c r="DA70" s="23" t="n">
        <f aca="false">IF(AY70=1,IF(COUNTIFS($AW$2:$AW$201,AW70,$CW$2:$CW$201,1,$BB$2:$BB$201,1)&gt;0,1,0),0)</f>
        <v>0</v>
      </c>
      <c r="DB70" s="23" t="n">
        <f aca="false">IF(AY70=1,IF(COUNTIFS($AW$2:$AW$201,AW70,$CX$2:$CX$201,1,$BB$2:$BB$201,1)&gt;0,1,0),0)</f>
        <v>0</v>
      </c>
      <c r="DC70" s="23" t="n">
        <f aca="false">IF(AY70=1,IF(COUNTIFS($AW$2:$AW$201,AW70,$CY$2:$CY$201,1,$BB$2:$BB$201,1)&gt;0,1,0),0)</f>
        <v>0</v>
      </c>
      <c r="DD70" s="23" t="n">
        <f aca="false">IF(AND(BC70=1,INT(N(H70))&lt;=Config!$B$6,CZ70=1),1,0)</f>
        <v>0</v>
      </c>
      <c r="DE70" s="23" t="n">
        <f aca="false">IF(AND(BC70=1,INT(N(H70))&lt;=Config!$B$7,DA70=1),1,0)</f>
        <v>0</v>
      </c>
      <c r="DF70" s="23" t="n">
        <f aca="false">IF(AND(BC70=1,INT(N(H70))&lt;=Config!$B$8,DB70=1),1,0)</f>
        <v>0</v>
      </c>
      <c r="DG70" s="23" t="n">
        <f aca="false">IF(AND(BC70=1,INT(N(H70))&lt;=Config!$B$5,DC70=1),1,0)</f>
        <v>0</v>
      </c>
      <c r="DH70" s="23" t="n">
        <f aca="false">IF(AND(BE70=1,INT(N(H70))&lt;=Config!$B$6,CZ70=1),1,0)</f>
        <v>0</v>
      </c>
      <c r="DI70" s="23" t="n">
        <f aca="false">IF(AND(BE70=1,INT(N(H70))&lt;=Config!$B$7,DA70=1),1,0)</f>
        <v>0</v>
      </c>
      <c r="DJ70" s="23" t="n">
        <f aca="false">IF(AND(BE70=1,INT(N(H70))&lt;=Config!$B$8,DB70=1),1,0)</f>
        <v>0</v>
      </c>
      <c r="DK70" s="23" t="n">
        <f aca="false">IF(AND(BE70=1,INT(N(H70))&lt;=Config!$B$5,DC70=1),1,0)</f>
        <v>0</v>
      </c>
      <c r="DL70" s="23" t="n">
        <f aca="false">IF(AND(BC70=1,INT(N(H70))&lt;=Config!$B$6,CZ70=0),1,0)</f>
        <v>0</v>
      </c>
      <c r="DM70" s="23" t="n">
        <f aca="false">IF(AND(BC70=1,INT(N(H70))&lt;=Config!$B$7,DA70=0),1,0)</f>
        <v>0</v>
      </c>
      <c r="DN70" s="23" t="n">
        <f aca="false">IF(AND(BC70=1,INT(N(H70))&lt;=Config!$B$8,DB70=0),1,0)</f>
        <v>0</v>
      </c>
      <c r="DO70" s="23" t="n">
        <f aca="false">IF(AND(BC70=1,INT(N(H70))&lt;=Config!$B$5,DC70=0),1,0)</f>
        <v>0</v>
      </c>
      <c r="DP70" s="23" t="n">
        <f aca="false">IF(TRIM($A70)="",0,ISTEXT(K70)+ISTEXT(L70)+ISTEXT(R70)+ISTEXT(V70)+ISTEXT(AP70)+ISTEXT(AS70))</f>
        <v>0</v>
      </c>
      <c r="DQ70" s="23" t="n">
        <f aca="false">IF(AY70=1,IF(H70&lt;&gt;INT(H70),1,0),0)</f>
        <v>0</v>
      </c>
      <c r="DR70" s="23" t="str">
        <f aca="false">IF(TRIM($A70)="","",IF(TRIM(B70)="",SUBSTITUTE(SUBSTITUTE(SUBSTITUTE(SUBSTITUTE(SUBSTITUTE(SUBSTITUTE(LOWER(TRIM($A70)),"~",""),"*",""),"?",""),"&lt;",""),"&gt;",""),"=",""),SUBSTITUTE(SUBSTITUTE(SUBSTITUTE(SUBSTITUTE(SUBSTITUTE(SUBSTITUTE(LOWER(TRIM(B70)),"~",""),"*",""),"?",""),"&lt;",""),"&gt;",""),"=","")))</f>
        <v/>
      </c>
      <c r="DS70" s="23" t="str">
        <f aca="false">IF(CM70="","",IFERROR(IF(LEFT(LOWER(TRIM(INDEX(Clay_Brands!$A$2:$FZ$601,CM70,Sync!$D$19)&amp;"")),4)="grp-",SUBSTITUTE(SUBSTITUTE(SUBSTITUTE(SUBSTITUTE(SUBSTITUTE(SUBSTITUTE(LOWER(TRIM(INDEX(Clay_Brands!$A$2:$FZ$601,CM70,Sync!$D$19)&amp;"")),"~",""),"*",""),"?",""),"&lt;",""),"&gt;",""),"=",""),""),""))</f>
        <v/>
      </c>
      <c r="DT70" s="23" t="str">
        <f aca="false">IF(DS70&lt;&gt;"",DR70,"")</f>
        <v/>
      </c>
      <c r="DU70" s="23" t="str">
        <f aca="false">IF(AZ70=1,AW70,"")</f>
        <v/>
      </c>
      <c r="DV70" s="23" t="str">
        <f aca="false">IF(TRIM($A70)="","",IFERROR(INDEX($A$2:$A$201,MATCH(AW70,$DU$2:$DU$201,0))&amp;"",$A70&amp;""))</f>
        <v/>
      </c>
      <c r="DW70" s="23" t="n">
        <f aca="false">IF(AY70=1,IF(COUNTIFS($A$2:$A$201,$A70,$AY$2:$AY$201,1,$H$2:$H$201,"&lt;"&amp;H70)+COUNTIFS($A$2:$A$201,$A70,$AY$2:$AY$201,1,$H$2:$H$201,H70,$AX$2:$AX$201,"&lt;"&amp;AX70)=0,1,0),0)</f>
        <v>0</v>
      </c>
      <c r="DX70" s="23" t="n">
        <f aca="false">IF(AZ70=1,IF(COUNTIFS($AW$2:$AW$201,AW70,$DW$2:$DW$201,1)&gt;1,1,0),0)</f>
        <v>0</v>
      </c>
    </row>
    <row r="71" customFormat="false" ht="15" hidden="false" customHeight="false" outlineLevel="0" collapsed="false">
      <c r="G71" s="32"/>
      <c r="H71" s="33"/>
      <c r="I71" s="32"/>
      <c r="O71" s="32"/>
      <c r="P71" s="32"/>
      <c r="U71" s="32"/>
      <c r="Y71" s="32"/>
      <c r="AB71" s="32"/>
      <c r="AC71" s="32"/>
      <c r="AD71" s="32"/>
      <c r="AE71" s="32"/>
      <c r="AF71" s="32"/>
      <c r="AG71" s="32"/>
      <c r="AI71" s="32"/>
      <c r="AJ71" s="32"/>
      <c r="AK71" s="32"/>
      <c r="AN71" s="32"/>
      <c r="AO71" s="32"/>
      <c r="AR71" s="32"/>
      <c r="AT71" s="32"/>
      <c r="AV71" s="34" t="str">
        <f aca="false">IF(TRIM($A71)="","",IF(AND(LEFT($A71,6)="SAMPLE",Config!$B$19&lt;&gt;"Y"),"",IF(NOT(ISNUMBER(H71)),"call_date is blank or not a date",IF(Sync!$D$5="","Clay paste is empty or has no row_id column: paste the Clay export on Clay_Brands",IF(CM71="","row_id not found in the Clay paste: add the Clay row or fix the row_id",IF(AND(ISNUMBER(CO71),CO71&gt;=1,CO71&lt;=5),"Clay status is "&amp;CN71&amp;": set call_done or later",IF(AND(BA71=1,CP71&lt;&gt;CB71),"Clay yes_in_principle should be "&amp;CB71,IF(AND(BA71=1,CQ71&lt;&gt;H71),"Clay call_date should be "&amp;TEXT(H71,"yyyy-mm-dd"),""))))))))</f>
        <v/>
      </c>
      <c r="AW71" s="23" t="str">
        <f aca="false">IF(TRIM($A71)="","",IF(TRIM(C71)&lt;&gt;"",SUBSTITUTE(SUBSTITUTE(SUBSTITUTE(SUBSTITUTE(SUBSTITUTE(SUBSTITUTE(LOWER(TRIM(C71)),"~",""),"*",""),"?",""),"&lt;",""),"&gt;",""),"=",""),IF(DS71&lt;&gt;"",DS71,IFERROR(INDEX($DS$2:$DS$201,MATCH(DR71,$DT$2:$DT$201,0)),DR71))))</f>
        <v/>
      </c>
      <c r="AX71" s="23" t="n">
        <f aca="false">ROW()</f>
        <v>71</v>
      </c>
      <c r="AY71" s="23" t="n">
        <f aca="false">IF(AND(TRIM($A71)&lt;&gt;"",ISNUMBER(H71)),IF(AND(LEFT($A71,6)="SAMPLE",Config!$B$19&lt;&gt;"Y"),0,1),0)</f>
        <v>0</v>
      </c>
      <c r="AZ71" s="23" t="n">
        <f aca="false">IF(AY71=1,IF(COUNTIFS($AW$2:$AW$201,AW71,$AY$2:$AY$201,1,$H$2:$H$201,"&lt;"&amp;H71)+COUNTIFS($AW$2:$AW$201,AW71,$AY$2:$AY$201,1,$H$2:$H$201,H71,$AX$2:$AX$201,"&lt;"&amp;AX71)=0,1,0),0)</f>
        <v>0</v>
      </c>
      <c r="BA71" s="23" t="n">
        <f aca="false">IF(AY71=1,IF(COUNTIFS($A$2:$A$201,$A71,$AY$2:$AY$201,1,$H$2:$H$201,"&gt;"&amp;H71)+COUNTIFS($A$2:$A$201,$A71,$AY$2:$AY$201,1,$H$2:$H$201,H71,$AX$2:$AX$201,"&gt;"&amp;AX71)=0,1,0),0)</f>
        <v>0</v>
      </c>
      <c r="BB71" s="23" t="n">
        <f aca="false">IF(AND(AY71=1,O71="Y",MAX(N(R71),N(V71))&gt;=Config!$B$14),1,0)</f>
        <v>0</v>
      </c>
      <c r="BC71" s="23" t="n">
        <f aca="false">IF(BB71=1,IF(COUNTIFS($AW$2:$AW$201,AW71,$BB$2:$BB$201,1,$H$2:$H$201,"&lt;"&amp;H71)+COUNTIFS($AW$2:$AW$201,AW71,$BB$2:$BB$201,1,$H$2:$H$201,H71,$AX$2:$AX$201,"&lt;"&amp;AX71)=0,1,0),0)</f>
        <v>0</v>
      </c>
      <c r="BD71" s="23" t="n">
        <f aca="false">IF(AND(AY71=1,O71="Y",ISNUMBER(R71)),IF(R71&gt;=Config!$B$14,1,0),0)</f>
        <v>0</v>
      </c>
      <c r="BE71" s="23" t="n">
        <f aca="false">IF(BD71=1,IF(COUNTIFS($AW$2:$AW$201,AW71,$BD$2:$BD$201,1,$H$2:$H$201,"&lt;"&amp;H71)+COUNTIFS($AW$2:$AW$201,AW71,$BD$2:$BD$201,1,$H$2:$H$201,H71,$AX$2:$AX$201,"&lt;"&amp;AX71)=0,1,0),0)</f>
        <v>0</v>
      </c>
      <c r="BF71" s="23" t="n">
        <f aca="false">IF(AND(AY71=1,O71&lt;&gt;"Y",MAX(N(R71),N(V71))&gt;=Config!$B$14),1,0)</f>
        <v>0</v>
      </c>
      <c r="BG71" s="23" t="n">
        <f aca="false">IF(BF71=1,IF(COUNTIFS($AW$2:$AW$201,AW71,$BF$2:$BF$201,1,$H$2:$H$201,"&lt;"&amp;H71)+COUNTIFS($AW$2:$AW$201,AW71,$BF$2:$BF$201,1,$H$2:$H$201,H71,$AX$2:$AX$201,"&lt;"&amp;AX71)=0,1,0),0)</f>
        <v>0</v>
      </c>
      <c r="BH71" s="23" t="n">
        <f aca="false">IF(AND(AY71=1,ISNUMBER(R71)),1,0)</f>
        <v>0</v>
      </c>
      <c r="BI71" s="23" t="n">
        <f aca="false">IF(BH71=1,IF(COUNTIFS($AW$2:$AW$201,AW71,$BH$2:$BH$201,1,$H$2:$H$201,"&lt;"&amp;H71)+COUNTIFS($AW$2:$AW$201,AW71,$BH$2:$BH$201,1,$H$2:$H$201,H71,$AX$2:$AX$201,"&lt;"&amp;AX71)=0,1,0),0)</f>
        <v>0</v>
      </c>
      <c r="BJ71" s="23" t="str">
        <f aca="false">IF(AND(BI71=1,INT(N(H71))&lt;=Config!$B$6),R71,"")</f>
        <v/>
      </c>
      <c r="BK71" s="23" t="str">
        <f aca="false">IF(AND(BI71=1,INT(N(H71))&lt;=Config!$B$7),R71,"")</f>
        <v/>
      </c>
      <c r="BL71" s="23" t="str">
        <f aca="false">IF(AND(BI71=1,INT(N(H71))&lt;=Config!$B$8),R71,"")</f>
        <v/>
      </c>
      <c r="BM71" s="23" t="str">
        <f aca="false">IF(AND(BI71=1,INT(N(H71))&lt;=Config!$B$5),R71,"")</f>
        <v/>
      </c>
      <c r="BN71" s="23" t="n">
        <f aca="false">IF(AND(AY71=1,ISNUMBER(V71)),1,0)</f>
        <v>0</v>
      </c>
      <c r="BO71" s="23" t="n">
        <f aca="false">IF(BN71=1,IF(COUNTIFS($AW$2:$AW$201,AW71,$BN$2:$BN$201,1,$H$2:$H$201,"&lt;"&amp;H71)+COUNTIFS($AW$2:$AW$201,AW71,$BN$2:$BN$201,1,$H$2:$H$201,H71,$AX$2:$AX$201,"&lt;"&amp;AX71)=0,1,0),0)</f>
        <v>0</v>
      </c>
      <c r="BP71" s="23" t="str">
        <f aca="false">IF(AND(BO71=1,INT(N(H71))&lt;=Config!$B$6),V71,"")</f>
        <v/>
      </c>
      <c r="BQ71" s="23" t="str">
        <f aca="false">IF(AND(BO71=1,INT(N(H71))&lt;=Config!$B$7),V71,"")</f>
        <v/>
      </c>
      <c r="BR71" s="23" t="str">
        <f aca="false">IF(AND(BO71=1,INT(N(H71))&lt;=Config!$B$8),V71,"")</f>
        <v/>
      </c>
      <c r="BS71" s="23" t="str">
        <f aca="false">IF(AND(BO71=1,INT(N(H71))&lt;=Config!$B$5),V71,"")</f>
        <v/>
      </c>
      <c r="BT71" s="23" t="n">
        <f aca="false">IF(AND(AY71=1,ISNUMBER(K71)),1,0)</f>
        <v>0</v>
      </c>
      <c r="BU71" s="23" t="n">
        <f aca="false">IF(BT71=1,IF(COUNTIFS($AW$2:$AW$201,AW71,$BT$2:$BT$201,1,$H$2:$H$201,"&lt;"&amp;H71)+COUNTIFS($AW$2:$AW$201,AW71,$BT$2:$BT$201,1,$H$2:$H$201,H71,$AX$2:$AX$201,"&lt;"&amp;AX71)=0,1,0),0)</f>
        <v>0</v>
      </c>
      <c r="BV71" s="23" t="str">
        <f aca="false">IF(AND(BU71=1,INT(N(H71))&lt;=Config!$B$5),K71,"")</f>
        <v/>
      </c>
      <c r="BW71" s="23" t="n">
        <f aca="false">IF(AND(AY71=1,OR(AND(ISNUMBER(R71),TRIM(S71)=""),AND(ISNUMBER(V71),TRIM(W71)=""))),1,0)</f>
        <v>0</v>
      </c>
      <c r="BX71" s="23" t="str">
        <f aca="false">IF(AY71=1,AJ71&amp;"","")</f>
        <v/>
      </c>
      <c r="BY71" s="23" t="str">
        <f aca="false">IF(AY71=1,AK71&amp;"","")</f>
        <v/>
      </c>
      <c r="BZ71" s="23" t="str">
        <f aca="false">IF(AY71=1,AL71&amp;"","")</f>
        <v/>
      </c>
      <c r="CA71" s="23" t="str">
        <f aca="false">IF(AND(AY71=1,ISNUMBER(AS71),INT(N(H71))&lt;=Config!$B$5),AS71,"")</f>
        <v/>
      </c>
      <c r="CB71" s="23" t="str">
        <f aca="false">IF(AY71=1,IF(COUNTIFS($A$2:$A$201,$A71,$CU$2:$CU$201,1,$AN$2:$AN$201,"Y")&gt;0,"Y","N"),"")</f>
        <v/>
      </c>
      <c r="CC71" s="23" t="n">
        <f aca="false">IF(AND(AY71=1,AN71="Y"),IF(COUNTIFS($AW$2:$AW$201,AW71,$AN$2:$AN$201,"Y",$AY$2:$AY$201,1,$H$2:$H$201,"&lt;"&amp;H71)+COUNTIFS($AW$2:$AW$201,AW71,$AN$2:$AN$201,"Y",$AY$2:$AY$201,1,$H$2:$H$201,H71,$AX$2:$AX$201,"&lt;"&amp;AX71)=0,1,0),0)</f>
        <v>0</v>
      </c>
      <c r="CD71" s="23" t="n">
        <f aca="false">IF(AND(AY71=1,AB71="Y",AC71="Y",AD71="Y",AE71="Y",AF71="Y",AG71="Y",AI71="Y",TRIM(AH71)&lt;&gt;""),1,0)</f>
        <v>0</v>
      </c>
      <c r="CE71" s="23" t="n">
        <f aca="false">IF(CD71=1,IF(COUNTIFS($AW$2:$AW$201,AW71,$CD$2:$CD$201,1,$H$2:$H$201,"&lt;"&amp;H71)+COUNTIFS($AW$2:$AW$201,AW71,$CD$2:$CD$201,1,$H$2:$H$201,H71,$AX$2:$AX$201,"&lt;"&amp;AX71)=0,1,0),0)</f>
        <v>0</v>
      </c>
      <c r="CF71" s="23" t="n">
        <f aca="false">IF(AND(AY71=1,AO71="Y"),1,0)</f>
        <v>0</v>
      </c>
      <c r="CG71" s="23" t="n">
        <f aca="false">IF(CF71=1,IF(COUNTIFS($AW$2:$AW$201,AW71,$CF$2:$CF$201,1,$H$2:$H$201,"&lt;"&amp;H71)+COUNTIFS($AW$2:$AW$201,AW71,$CF$2:$CF$201,1,$H$2:$H$201,H71,$AX$2:$AX$201,"&lt;"&amp;AX71)=0,1,0),0)</f>
        <v>0</v>
      </c>
      <c r="CH71" s="23" t="n">
        <f aca="false">IF(AND(AY71=1,P71="Y"),1,0)</f>
        <v>0</v>
      </c>
      <c r="CI71" s="23" t="n">
        <f aca="false">IF(CH71=1,IF(COUNTIFS($AW$2:$AW$201,AW71,$CH$2:$CH$201,1,$H$2:$H$201,"&lt;"&amp;H71)+COUNTIFS($AW$2:$AW$201,AW71,$CH$2:$CH$201,1,$H$2:$H$201,H71,$AX$2:$AX$201,"&lt;"&amp;AX71)=0,1,0),0)</f>
        <v>0</v>
      </c>
      <c r="CJ71" s="23" t="str">
        <f aca="false">IF(AND(BU71=1,INT(N(H71))&lt;=Config!$B$5),L71,"")</f>
        <v/>
      </c>
      <c r="CK71" s="23" t="n">
        <f aca="false">IF(AND(AY71=1,AR71="Y"),1,0)</f>
        <v>0</v>
      </c>
      <c r="CL71" s="23" t="n">
        <f aca="false">IF(CK71=1,IF(COUNTIFS($AW$2:$AW$201,AW71,$CK$2:$CK$201,1,$H$2:$H$201,"&lt;"&amp;H71)+COUNTIFS($AW$2:$AW$201,AW71,$CK$2:$CK$201,1,$H$2:$H$201,H71,$AX$2:$AX$201,"&lt;"&amp;AX71)=0,1,0),0)</f>
        <v>0</v>
      </c>
      <c r="CM71" s="23" t="str">
        <f aca="false">IF(AY71=1,IFERROR(MATCH($A71,INDEX(Clay_Brands!$A$2:$FZ$601,0,Sync!$D$5),0),""),"")</f>
        <v/>
      </c>
      <c r="CN71" s="23" t="str">
        <f aca="false">IF(CM71="","",IFERROR(INDEX(Clay_Brands!$A$2:$FZ$601,CM71,Sync!$D$7)&amp;"",""))</f>
        <v/>
      </c>
      <c r="CO71" s="23" t="str">
        <f aca="false">IF(CN71="","",IFERROR(INDEX(Lists!$K$2:$K$15,MATCH(CN71,Lists!$J$2:$J$15,0)),""))</f>
        <v/>
      </c>
      <c r="CP71" s="23" t="str">
        <f aca="false">IF(CM71="","",IFERROR(INDEX(Clay_Brands!$A$2:$FZ$601,CM71,Sync!$D$17)&amp;"",""))</f>
        <v/>
      </c>
      <c r="CQ71" s="35" t="str">
        <f aca="false">IF(CM71="","",IFERROR(N(INDEX(Clay_Brands!$A$2:$FZ$601,CM71,Sync!$D$16)),0))</f>
        <v/>
      </c>
      <c r="CR71" s="23" t="n">
        <f aca="false">IF(AND(AY71=1,OR(O71="N",AND(OR(ISNUMBER(R71),ISNUMBER(V71)),MAX(N(R71),N(V71))&lt;Config!$B$14))),1,0)</f>
        <v>0</v>
      </c>
      <c r="CS71" s="23" t="n">
        <f aca="false">IF(OR(BB71=1,CR71=1),1,0)</f>
        <v>0</v>
      </c>
      <c r="CT71" s="23" t="n">
        <f aca="false">IF(AND(AY71=1,OR(AN71="Y",AN71="N",AN71="maybe")),1,0)</f>
        <v>0</v>
      </c>
      <c r="CU71" s="23" t="n">
        <f aca="false">IF(AND(CT71=1),IF(COUNTIFS($A$2:$A$201,$A71,$CT$2:$CT$201,1,$H$2:$H$201,"&gt;"&amp;H71)+COUNTIFS($A$2:$A$201,$A71,$CT$2:$CT$201,1,$H$2:$H$201,H71,$AX$2:$AX$201,"&gt;"&amp;AX71)=0,1,0),0)</f>
        <v>0</v>
      </c>
      <c r="CV71" s="23" t="n">
        <f aca="false">IF(AND(CS71=1,INT(N(H71))&lt;=Config!$B$6),IF(COUNTIFS($AW$2:$AW$201,AW71,$CS$2:$CS$201,1,$H$2:$H$201,"&gt;"&amp;H71,$H$2:$H$201,"&lt;"&amp;(Config!$B$6+1))+COUNTIFS($AW$2:$AW$201,AW71,$CS$2:$CS$201,1,$H$2:$H$201,H71,$AX$2:$AX$201,"&gt;"&amp;AX71)=0,1,0),0)</f>
        <v>0</v>
      </c>
      <c r="CW71" s="23" t="n">
        <f aca="false">IF(AND(CS71=1,INT(N(H71))&lt;=Config!$B$7),IF(COUNTIFS($AW$2:$AW$201,AW71,$CS$2:$CS$201,1,$H$2:$H$201,"&gt;"&amp;H71,$H$2:$H$201,"&lt;"&amp;(Config!$B$7+1))+COUNTIFS($AW$2:$AW$201,AW71,$CS$2:$CS$201,1,$H$2:$H$201,H71,$AX$2:$AX$201,"&gt;"&amp;AX71)=0,1,0),0)</f>
        <v>0</v>
      </c>
      <c r="CX71" s="23" t="n">
        <f aca="false">IF(AND(CS71=1,INT(N(H71))&lt;=Config!$B$8),IF(COUNTIFS($AW$2:$AW$201,AW71,$CS$2:$CS$201,1,$H$2:$H$201,"&gt;"&amp;H71,$H$2:$H$201,"&lt;"&amp;(Config!$B$8+1))+COUNTIFS($AW$2:$AW$201,AW71,$CS$2:$CS$201,1,$H$2:$H$201,H71,$AX$2:$AX$201,"&gt;"&amp;AX71)=0,1,0),0)</f>
        <v>0</v>
      </c>
      <c r="CY71" s="23" t="n">
        <f aca="false">IF(AND(CS71=1,INT(N(H71))&lt;=Config!$B$5),IF(COUNTIFS($AW$2:$AW$201,AW71,$CS$2:$CS$201,1,$H$2:$H$201,"&gt;"&amp;H71,$H$2:$H$201,"&lt;"&amp;(Config!$B$5+1))+COUNTIFS($AW$2:$AW$201,AW71,$CS$2:$CS$201,1,$H$2:$H$201,H71,$AX$2:$AX$201,"&gt;"&amp;AX71)=0,1,0),0)</f>
        <v>0</v>
      </c>
      <c r="CZ71" s="23" t="n">
        <f aca="false">IF(AY71=1,IF(COUNTIFS($AW$2:$AW$201,AW71,$CV$2:$CV$201,1,$BB$2:$BB$201,1)&gt;0,1,0),0)</f>
        <v>0</v>
      </c>
      <c r="DA71" s="23" t="n">
        <f aca="false">IF(AY71=1,IF(COUNTIFS($AW$2:$AW$201,AW71,$CW$2:$CW$201,1,$BB$2:$BB$201,1)&gt;0,1,0),0)</f>
        <v>0</v>
      </c>
      <c r="DB71" s="23" t="n">
        <f aca="false">IF(AY71=1,IF(COUNTIFS($AW$2:$AW$201,AW71,$CX$2:$CX$201,1,$BB$2:$BB$201,1)&gt;0,1,0),0)</f>
        <v>0</v>
      </c>
      <c r="DC71" s="23" t="n">
        <f aca="false">IF(AY71=1,IF(COUNTIFS($AW$2:$AW$201,AW71,$CY$2:$CY$201,1,$BB$2:$BB$201,1)&gt;0,1,0),0)</f>
        <v>0</v>
      </c>
      <c r="DD71" s="23" t="n">
        <f aca="false">IF(AND(BC71=1,INT(N(H71))&lt;=Config!$B$6,CZ71=1),1,0)</f>
        <v>0</v>
      </c>
      <c r="DE71" s="23" t="n">
        <f aca="false">IF(AND(BC71=1,INT(N(H71))&lt;=Config!$B$7,DA71=1),1,0)</f>
        <v>0</v>
      </c>
      <c r="DF71" s="23" t="n">
        <f aca="false">IF(AND(BC71=1,INT(N(H71))&lt;=Config!$B$8,DB71=1),1,0)</f>
        <v>0</v>
      </c>
      <c r="DG71" s="23" t="n">
        <f aca="false">IF(AND(BC71=1,INT(N(H71))&lt;=Config!$B$5,DC71=1),1,0)</f>
        <v>0</v>
      </c>
      <c r="DH71" s="23" t="n">
        <f aca="false">IF(AND(BE71=1,INT(N(H71))&lt;=Config!$B$6,CZ71=1),1,0)</f>
        <v>0</v>
      </c>
      <c r="DI71" s="23" t="n">
        <f aca="false">IF(AND(BE71=1,INT(N(H71))&lt;=Config!$B$7,DA71=1),1,0)</f>
        <v>0</v>
      </c>
      <c r="DJ71" s="23" t="n">
        <f aca="false">IF(AND(BE71=1,INT(N(H71))&lt;=Config!$B$8,DB71=1),1,0)</f>
        <v>0</v>
      </c>
      <c r="DK71" s="23" t="n">
        <f aca="false">IF(AND(BE71=1,INT(N(H71))&lt;=Config!$B$5,DC71=1),1,0)</f>
        <v>0</v>
      </c>
      <c r="DL71" s="23" t="n">
        <f aca="false">IF(AND(BC71=1,INT(N(H71))&lt;=Config!$B$6,CZ71=0),1,0)</f>
        <v>0</v>
      </c>
      <c r="DM71" s="23" t="n">
        <f aca="false">IF(AND(BC71=1,INT(N(H71))&lt;=Config!$B$7,DA71=0),1,0)</f>
        <v>0</v>
      </c>
      <c r="DN71" s="23" t="n">
        <f aca="false">IF(AND(BC71=1,INT(N(H71))&lt;=Config!$B$8,DB71=0),1,0)</f>
        <v>0</v>
      </c>
      <c r="DO71" s="23" t="n">
        <f aca="false">IF(AND(BC71=1,INT(N(H71))&lt;=Config!$B$5,DC71=0),1,0)</f>
        <v>0</v>
      </c>
      <c r="DP71" s="23" t="n">
        <f aca="false">IF(TRIM($A71)="",0,ISTEXT(K71)+ISTEXT(L71)+ISTEXT(R71)+ISTEXT(V71)+ISTEXT(AP71)+ISTEXT(AS71))</f>
        <v>0</v>
      </c>
      <c r="DQ71" s="23" t="n">
        <f aca="false">IF(AY71=1,IF(H71&lt;&gt;INT(H71),1,0),0)</f>
        <v>0</v>
      </c>
      <c r="DR71" s="23" t="str">
        <f aca="false">IF(TRIM($A71)="","",IF(TRIM(B71)="",SUBSTITUTE(SUBSTITUTE(SUBSTITUTE(SUBSTITUTE(SUBSTITUTE(SUBSTITUTE(LOWER(TRIM($A71)),"~",""),"*",""),"?",""),"&lt;",""),"&gt;",""),"=",""),SUBSTITUTE(SUBSTITUTE(SUBSTITUTE(SUBSTITUTE(SUBSTITUTE(SUBSTITUTE(LOWER(TRIM(B71)),"~",""),"*",""),"?",""),"&lt;",""),"&gt;",""),"=","")))</f>
        <v/>
      </c>
      <c r="DS71" s="23" t="str">
        <f aca="false">IF(CM71="","",IFERROR(IF(LEFT(LOWER(TRIM(INDEX(Clay_Brands!$A$2:$FZ$601,CM71,Sync!$D$19)&amp;"")),4)="grp-",SUBSTITUTE(SUBSTITUTE(SUBSTITUTE(SUBSTITUTE(SUBSTITUTE(SUBSTITUTE(LOWER(TRIM(INDEX(Clay_Brands!$A$2:$FZ$601,CM71,Sync!$D$19)&amp;"")),"~",""),"*",""),"?",""),"&lt;",""),"&gt;",""),"=",""),""),""))</f>
        <v/>
      </c>
      <c r="DT71" s="23" t="str">
        <f aca="false">IF(DS71&lt;&gt;"",DR71,"")</f>
        <v/>
      </c>
      <c r="DU71" s="23" t="str">
        <f aca="false">IF(AZ71=1,AW71,"")</f>
        <v/>
      </c>
      <c r="DV71" s="23" t="str">
        <f aca="false">IF(TRIM($A71)="","",IFERROR(INDEX($A$2:$A$201,MATCH(AW71,$DU$2:$DU$201,0))&amp;"",$A71&amp;""))</f>
        <v/>
      </c>
      <c r="DW71" s="23" t="n">
        <f aca="false">IF(AY71=1,IF(COUNTIFS($A$2:$A$201,$A71,$AY$2:$AY$201,1,$H$2:$H$201,"&lt;"&amp;H71)+COUNTIFS($A$2:$A$201,$A71,$AY$2:$AY$201,1,$H$2:$H$201,H71,$AX$2:$AX$201,"&lt;"&amp;AX71)=0,1,0),0)</f>
        <v>0</v>
      </c>
      <c r="DX71" s="23" t="n">
        <f aca="false">IF(AZ71=1,IF(COUNTIFS($AW$2:$AW$201,AW71,$DW$2:$DW$201,1)&gt;1,1,0),0)</f>
        <v>0</v>
      </c>
    </row>
    <row r="72" customFormat="false" ht="15" hidden="false" customHeight="false" outlineLevel="0" collapsed="false">
      <c r="G72" s="32"/>
      <c r="H72" s="33"/>
      <c r="I72" s="32"/>
      <c r="O72" s="32"/>
      <c r="P72" s="32"/>
      <c r="U72" s="32"/>
      <c r="Y72" s="32"/>
      <c r="AB72" s="32"/>
      <c r="AC72" s="32"/>
      <c r="AD72" s="32"/>
      <c r="AE72" s="32"/>
      <c r="AF72" s="32"/>
      <c r="AG72" s="32"/>
      <c r="AI72" s="32"/>
      <c r="AJ72" s="32"/>
      <c r="AK72" s="32"/>
      <c r="AN72" s="32"/>
      <c r="AO72" s="32"/>
      <c r="AR72" s="32"/>
      <c r="AT72" s="32"/>
      <c r="AV72" s="34" t="str">
        <f aca="false">IF(TRIM($A72)="","",IF(AND(LEFT($A72,6)="SAMPLE",Config!$B$19&lt;&gt;"Y"),"",IF(NOT(ISNUMBER(H72)),"call_date is blank or not a date",IF(Sync!$D$5="","Clay paste is empty or has no row_id column: paste the Clay export on Clay_Brands",IF(CM72="","row_id not found in the Clay paste: add the Clay row or fix the row_id",IF(AND(ISNUMBER(CO72),CO72&gt;=1,CO72&lt;=5),"Clay status is "&amp;CN72&amp;": set call_done or later",IF(AND(BA72=1,CP72&lt;&gt;CB72),"Clay yes_in_principle should be "&amp;CB72,IF(AND(BA72=1,CQ72&lt;&gt;H72),"Clay call_date should be "&amp;TEXT(H72,"yyyy-mm-dd"),""))))))))</f>
        <v/>
      </c>
      <c r="AW72" s="23" t="str">
        <f aca="false">IF(TRIM($A72)="","",IF(TRIM(C72)&lt;&gt;"",SUBSTITUTE(SUBSTITUTE(SUBSTITUTE(SUBSTITUTE(SUBSTITUTE(SUBSTITUTE(LOWER(TRIM(C72)),"~",""),"*",""),"?",""),"&lt;",""),"&gt;",""),"=",""),IF(DS72&lt;&gt;"",DS72,IFERROR(INDEX($DS$2:$DS$201,MATCH(DR72,$DT$2:$DT$201,0)),DR72))))</f>
        <v/>
      </c>
      <c r="AX72" s="23" t="n">
        <f aca="false">ROW()</f>
        <v>72</v>
      </c>
      <c r="AY72" s="23" t="n">
        <f aca="false">IF(AND(TRIM($A72)&lt;&gt;"",ISNUMBER(H72)),IF(AND(LEFT($A72,6)="SAMPLE",Config!$B$19&lt;&gt;"Y"),0,1),0)</f>
        <v>0</v>
      </c>
      <c r="AZ72" s="23" t="n">
        <f aca="false">IF(AY72=1,IF(COUNTIFS($AW$2:$AW$201,AW72,$AY$2:$AY$201,1,$H$2:$H$201,"&lt;"&amp;H72)+COUNTIFS($AW$2:$AW$201,AW72,$AY$2:$AY$201,1,$H$2:$H$201,H72,$AX$2:$AX$201,"&lt;"&amp;AX72)=0,1,0),0)</f>
        <v>0</v>
      </c>
      <c r="BA72" s="23" t="n">
        <f aca="false">IF(AY72=1,IF(COUNTIFS($A$2:$A$201,$A72,$AY$2:$AY$201,1,$H$2:$H$201,"&gt;"&amp;H72)+COUNTIFS($A$2:$A$201,$A72,$AY$2:$AY$201,1,$H$2:$H$201,H72,$AX$2:$AX$201,"&gt;"&amp;AX72)=0,1,0),0)</f>
        <v>0</v>
      </c>
      <c r="BB72" s="23" t="n">
        <f aca="false">IF(AND(AY72=1,O72="Y",MAX(N(R72),N(V72))&gt;=Config!$B$14),1,0)</f>
        <v>0</v>
      </c>
      <c r="BC72" s="23" t="n">
        <f aca="false">IF(BB72=1,IF(COUNTIFS($AW$2:$AW$201,AW72,$BB$2:$BB$201,1,$H$2:$H$201,"&lt;"&amp;H72)+COUNTIFS($AW$2:$AW$201,AW72,$BB$2:$BB$201,1,$H$2:$H$201,H72,$AX$2:$AX$201,"&lt;"&amp;AX72)=0,1,0),0)</f>
        <v>0</v>
      </c>
      <c r="BD72" s="23" t="n">
        <f aca="false">IF(AND(AY72=1,O72="Y",ISNUMBER(R72)),IF(R72&gt;=Config!$B$14,1,0),0)</f>
        <v>0</v>
      </c>
      <c r="BE72" s="23" t="n">
        <f aca="false">IF(BD72=1,IF(COUNTIFS($AW$2:$AW$201,AW72,$BD$2:$BD$201,1,$H$2:$H$201,"&lt;"&amp;H72)+COUNTIFS($AW$2:$AW$201,AW72,$BD$2:$BD$201,1,$H$2:$H$201,H72,$AX$2:$AX$201,"&lt;"&amp;AX72)=0,1,0),0)</f>
        <v>0</v>
      </c>
      <c r="BF72" s="23" t="n">
        <f aca="false">IF(AND(AY72=1,O72&lt;&gt;"Y",MAX(N(R72),N(V72))&gt;=Config!$B$14),1,0)</f>
        <v>0</v>
      </c>
      <c r="BG72" s="23" t="n">
        <f aca="false">IF(BF72=1,IF(COUNTIFS($AW$2:$AW$201,AW72,$BF$2:$BF$201,1,$H$2:$H$201,"&lt;"&amp;H72)+COUNTIFS($AW$2:$AW$201,AW72,$BF$2:$BF$201,1,$H$2:$H$201,H72,$AX$2:$AX$201,"&lt;"&amp;AX72)=0,1,0),0)</f>
        <v>0</v>
      </c>
      <c r="BH72" s="23" t="n">
        <f aca="false">IF(AND(AY72=1,ISNUMBER(R72)),1,0)</f>
        <v>0</v>
      </c>
      <c r="BI72" s="23" t="n">
        <f aca="false">IF(BH72=1,IF(COUNTIFS($AW$2:$AW$201,AW72,$BH$2:$BH$201,1,$H$2:$H$201,"&lt;"&amp;H72)+COUNTIFS($AW$2:$AW$201,AW72,$BH$2:$BH$201,1,$H$2:$H$201,H72,$AX$2:$AX$201,"&lt;"&amp;AX72)=0,1,0),0)</f>
        <v>0</v>
      </c>
      <c r="BJ72" s="23" t="str">
        <f aca="false">IF(AND(BI72=1,INT(N(H72))&lt;=Config!$B$6),R72,"")</f>
        <v/>
      </c>
      <c r="BK72" s="23" t="str">
        <f aca="false">IF(AND(BI72=1,INT(N(H72))&lt;=Config!$B$7),R72,"")</f>
        <v/>
      </c>
      <c r="BL72" s="23" t="str">
        <f aca="false">IF(AND(BI72=1,INT(N(H72))&lt;=Config!$B$8),R72,"")</f>
        <v/>
      </c>
      <c r="BM72" s="23" t="str">
        <f aca="false">IF(AND(BI72=1,INT(N(H72))&lt;=Config!$B$5),R72,"")</f>
        <v/>
      </c>
      <c r="BN72" s="23" t="n">
        <f aca="false">IF(AND(AY72=1,ISNUMBER(V72)),1,0)</f>
        <v>0</v>
      </c>
      <c r="BO72" s="23" t="n">
        <f aca="false">IF(BN72=1,IF(COUNTIFS($AW$2:$AW$201,AW72,$BN$2:$BN$201,1,$H$2:$H$201,"&lt;"&amp;H72)+COUNTIFS($AW$2:$AW$201,AW72,$BN$2:$BN$201,1,$H$2:$H$201,H72,$AX$2:$AX$201,"&lt;"&amp;AX72)=0,1,0),0)</f>
        <v>0</v>
      </c>
      <c r="BP72" s="23" t="str">
        <f aca="false">IF(AND(BO72=1,INT(N(H72))&lt;=Config!$B$6),V72,"")</f>
        <v/>
      </c>
      <c r="BQ72" s="23" t="str">
        <f aca="false">IF(AND(BO72=1,INT(N(H72))&lt;=Config!$B$7),V72,"")</f>
        <v/>
      </c>
      <c r="BR72" s="23" t="str">
        <f aca="false">IF(AND(BO72=1,INT(N(H72))&lt;=Config!$B$8),V72,"")</f>
        <v/>
      </c>
      <c r="BS72" s="23" t="str">
        <f aca="false">IF(AND(BO72=1,INT(N(H72))&lt;=Config!$B$5),V72,"")</f>
        <v/>
      </c>
      <c r="BT72" s="23" t="n">
        <f aca="false">IF(AND(AY72=1,ISNUMBER(K72)),1,0)</f>
        <v>0</v>
      </c>
      <c r="BU72" s="23" t="n">
        <f aca="false">IF(BT72=1,IF(COUNTIFS($AW$2:$AW$201,AW72,$BT$2:$BT$201,1,$H$2:$H$201,"&lt;"&amp;H72)+COUNTIFS($AW$2:$AW$201,AW72,$BT$2:$BT$201,1,$H$2:$H$201,H72,$AX$2:$AX$201,"&lt;"&amp;AX72)=0,1,0),0)</f>
        <v>0</v>
      </c>
      <c r="BV72" s="23" t="str">
        <f aca="false">IF(AND(BU72=1,INT(N(H72))&lt;=Config!$B$5),K72,"")</f>
        <v/>
      </c>
      <c r="BW72" s="23" t="n">
        <f aca="false">IF(AND(AY72=1,OR(AND(ISNUMBER(R72),TRIM(S72)=""),AND(ISNUMBER(V72),TRIM(W72)=""))),1,0)</f>
        <v>0</v>
      </c>
      <c r="BX72" s="23" t="str">
        <f aca="false">IF(AY72=1,AJ72&amp;"","")</f>
        <v/>
      </c>
      <c r="BY72" s="23" t="str">
        <f aca="false">IF(AY72=1,AK72&amp;"","")</f>
        <v/>
      </c>
      <c r="BZ72" s="23" t="str">
        <f aca="false">IF(AY72=1,AL72&amp;"","")</f>
        <v/>
      </c>
      <c r="CA72" s="23" t="str">
        <f aca="false">IF(AND(AY72=1,ISNUMBER(AS72),INT(N(H72))&lt;=Config!$B$5),AS72,"")</f>
        <v/>
      </c>
      <c r="CB72" s="23" t="str">
        <f aca="false">IF(AY72=1,IF(COUNTIFS($A$2:$A$201,$A72,$CU$2:$CU$201,1,$AN$2:$AN$201,"Y")&gt;0,"Y","N"),"")</f>
        <v/>
      </c>
      <c r="CC72" s="23" t="n">
        <f aca="false">IF(AND(AY72=1,AN72="Y"),IF(COUNTIFS($AW$2:$AW$201,AW72,$AN$2:$AN$201,"Y",$AY$2:$AY$201,1,$H$2:$H$201,"&lt;"&amp;H72)+COUNTIFS($AW$2:$AW$201,AW72,$AN$2:$AN$201,"Y",$AY$2:$AY$201,1,$H$2:$H$201,H72,$AX$2:$AX$201,"&lt;"&amp;AX72)=0,1,0),0)</f>
        <v>0</v>
      </c>
      <c r="CD72" s="23" t="n">
        <f aca="false">IF(AND(AY72=1,AB72="Y",AC72="Y",AD72="Y",AE72="Y",AF72="Y",AG72="Y",AI72="Y",TRIM(AH72)&lt;&gt;""),1,0)</f>
        <v>0</v>
      </c>
      <c r="CE72" s="23" t="n">
        <f aca="false">IF(CD72=1,IF(COUNTIFS($AW$2:$AW$201,AW72,$CD$2:$CD$201,1,$H$2:$H$201,"&lt;"&amp;H72)+COUNTIFS($AW$2:$AW$201,AW72,$CD$2:$CD$201,1,$H$2:$H$201,H72,$AX$2:$AX$201,"&lt;"&amp;AX72)=0,1,0),0)</f>
        <v>0</v>
      </c>
      <c r="CF72" s="23" t="n">
        <f aca="false">IF(AND(AY72=1,AO72="Y"),1,0)</f>
        <v>0</v>
      </c>
      <c r="CG72" s="23" t="n">
        <f aca="false">IF(CF72=1,IF(COUNTIFS($AW$2:$AW$201,AW72,$CF$2:$CF$201,1,$H$2:$H$201,"&lt;"&amp;H72)+COUNTIFS($AW$2:$AW$201,AW72,$CF$2:$CF$201,1,$H$2:$H$201,H72,$AX$2:$AX$201,"&lt;"&amp;AX72)=0,1,0),0)</f>
        <v>0</v>
      </c>
      <c r="CH72" s="23" t="n">
        <f aca="false">IF(AND(AY72=1,P72="Y"),1,0)</f>
        <v>0</v>
      </c>
      <c r="CI72" s="23" t="n">
        <f aca="false">IF(CH72=1,IF(COUNTIFS($AW$2:$AW$201,AW72,$CH$2:$CH$201,1,$H$2:$H$201,"&lt;"&amp;H72)+COUNTIFS($AW$2:$AW$201,AW72,$CH$2:$CH$201,1,$H$2:$H$201,H72,$AX$2:$AX$201,"&lt;"&amp;AX72)=0,1,0),0)</f>
        <v>0</v>
      </c>
      <c r="CJ72" s="23" t="str">
        <f aca="false">IF(AND(BU72=1,INT(N(H72))&lt;=Config!$B$5),L72,"")</f>
        <v/>
      </c>
      <c r="CK72" s="23" t="n">
        <f aca="false">IF(AND(AY72=1,AR72="Y"),1,0)</f>
        <v>0</v>
      </c>
      <c r="CL72" s="23" t="n">
        <f aca="false">IF(CK72=1,IF(COUNTIFS($AW$2:$AW$201,AW72,$CK$2:$CK$201,1,$H$2:$H$201,"&lt;"&amp;H72)+COUNTIFS($AW$2:$AW$201,AW72,$CK$2:$CK$201,1,$H$2:$H$201,H72,$AX$2:$AX$201,"&lt;"&amp;AX72)=0,1,0),0)</f>
        <v>0</v>
      </c>
      <c r="CM72" s="23" t="str">
        <f aca="false">IF(AY72=1,IFERROR(MATCH($A72,INDEX(Clay_Brands!$A$2:$FZ$601,0,Sync!$D$5),0),""),"")</f>
        <v/>
      </c>
      <c r="CN72" s="23" t="str">
        <f aca="false">IF(CM72="","",IFERROR(INDEX(Clay_Brands!$A$2:$FZ$601,CM72,Sync!$D$7)&amp;"",""))</f>
        <v/>
      </c>
      <c r="CO72" s="23" t="str">
        <f aca="false">IF(CN72="","",IFERROR(INDEX(Lists!$K$2:$K$15,MATCH(CN72,Lists!$J$2:$J$15,0)),""))</f>
        <v/>
      </c>
      <c r="CP72" s="23" t="str">
        <f aca="false">IF(CM72="","",IFERROR(INDEX(Clay_Brands!$A$2:$FZ$601,CM72,Sync!$D$17)&amp;"",""))</f>
        <v/>
      </c>
      <c r="CQ72" s="35" t="str">
        <f aca="false">IF(CM72="","",IFERROR(N(INDEX(Clay_Brands!$A$2:$FZ$601,CM72,Sync!$D$16)),0))</f>
        <v/>
      </c>
      <c r="CR72" s="23" t="n">
        <f aca="false">IF(AND(AY72=1,OR(O72="N",AND(OR(ISNUMBER(R72),ISNUMBER(V72)),MAX(N(R72),N(V72))&lt;Config!$B$14))),1,0)</f>
        <v>0</v>
      </c>
      <c r="CS72" s="23" t="n">
        <f aca="false">IF(OR(BB72=1,CR72=1),1,0)</f>
        <v>0</v>
      </c>
      <c r="CT72" s="23" t="n">
        <f aca="false">IF(AND(AY72=1,OR(AN72="Y",AN72="N",AN72="maybe")),1,0)</f>
        <v>0</v>
      </c>
      <c r="CU72" s="23" t="n">
        <f aca="false">IF(AND(CT72=1),IF(COUNTIFS($A$2:$A$201,$A72,$CT$2:$CT$201,1,$H$2:$H$201,"&gt;"&amp;H72)+COUNTIFS($A$2:$A$201,$A72,$CT$2:$CT$201,1,$H$2:$H$201,H72,$AX$2:$AX$201,"&gt;"&amp;AX72)=0,1,0),0)</f>
        <v>0</v>
      </c>
      <c r="CV72" s="23" t="n">
        <f aca="false">IF(AND(CS72=1,INT(N(H72))&lt;=Config!$B$6),IF(COUNTIFS($AW$2:$AW$201,AW72,$CS$2:$CS$201,1,$H$2:$H$201,"&gt;"&amp;H72,$H$2:$H$201,"&lt;"&amp;(Config!$B$6+1))+COUNTIFS($AW$2:$AW$201,AW72,$CS$2:$CS$201,1,$H$2:$H$201,H72,$AX$2:$AX$201,"&gt;"&amp;AX72)=0,1,0),0)</f>
        <v>0</v>
      </c>
      <c r="CW72" s="23" t="n">
        <f aca="false">IF(AND(CS72=1,INT(N(H72))&lt;=Config!$B$7),IF(COUNTIFS($AW$2:$AW$201,AW72,$CS$2:$CS$201,1,$H$2:$H$201,"&gt;"&amp;H72,$H$2:$H$201,"&lt;"&amp;(Config!$B$7+1))+COUNTIFS($AW$2:$AW$201,AW72,$CS$2:$CS$201,1,$H$2:$H$201,H72,$AX$2:$AX$201,"&gt;"&amp;AX72)=0,1,0),0)</f>
        <v>0</v>
      </c>
      <c r="CX72" s="23" t="n">
        <f aca="false">IF(AND(CS72=1,INT(N(H72))&lt;=Config!$B$8),IF(COUNTIFS($AW$2:$AW$201,AW72,$CS$2:$CS$201,1,$H$2:$H$201,"&gt;"&amp;H72,$H$2:$H$201,"&lt;"&amp;(Config!$B$8+1))+COUNTIFS($AW$2:$AW$201,AW72,$CS$2:$CS$201,1,$H$2:$H$201,H72,$AX$2:$AX$201,"&gt;"&amp;AX72)=0,1,0),0)</f>
        <v>0</v>
      </c>
      <c r="CY72" s="23" t="n">
        <f aca="false">IF(AND(CS72=1,INT(N(H72))&lt;=Config!$B$5),IF(COUNTIFS($AW$2:$AW$201,AW72,$CS$2:$CS$201,1,$H$2:$H$201,"&gt;"&amp;H72,$H$2:$H$201,"&lt;"&amp;(Config!$B$5+1))+COUNTIFS($AW$2:$AW$201,AW72,$CS$2:$CS$201,1,$H$2:$H$201,H72,$AX$2:$AX$201,"&gt;"&amp;AX72)=0,1,0),0)</f>
        <v>0</v>
      </c>
      <c r="CZ72" s="23" t="n">
        <f aca="false">IF(AY72=1,IF(COUNTIFS($AW$2:$AW$201,AW72,$CV$2:$CV$201,1,$BB$2:$BB$201,1)&gt;0,1,0),0)</f>
        <v>0</v>
      </c>
      <c r="DA72" s="23" t="n">
        <f aca="false">IF(AY72=1,IF(COUNTIFS($AW$2:$AW$201,AW72,$CW$2:$CW$201,1,$BB$2:$BB$201,1)&gt;0,1,0),0)</f>
        <v>0</v>
      </c>
      <c r="DB72" s="23" t="n">
        <f aca="false">IF(AY72=1,IF(COUNTIFS($AW$2:$AW$201,AW72,$CX$2:$CX$201,1,$BB$2:$BB$201,1)&gt;0,1,0),0)</f>
        <v>0</v>
      </c>
      <c r="DC72" s="23" t="n">
        <f aca="false">IF(AY72=1,IF(COUNTIFS($AW$2:$AW$201,AW72,$CY$2:$CY$201,1,$BB$2:$BB$201,1)&gt;0,1,0),0)</f>
        <v>0</v>
      </c>
      <c r="DD72" s="23" t="n">
        <f aca="false">IF(AND(BC72=1,INT(N(H72))&lt;=Config!$B$6,CZ72=1),1,0)</f>
        <v>0</v>
      </c>
      <c r="DE72" s="23" t="n">
        <f aca="false">IF(AND(BC72=1,INT(N(H72))&lt;=Config!$B$7,DA72=1),1,0)</f>
        <v>0</v>
      </c>
      <c r="DF72" s="23" t="n">
        <f aca="false">IF(AND(BC72=1,INT(N(H72))&lt;=Config!$B$8,DB72=1),1,0)</f>
        <v>0</v>
      </c>
      <c r="DG72" s="23" t="n">
        <f aca="false">IF(AND(BC72=1,INT(N(H72))&lt;=Config!$B$5,DC72=1),1,0)</f>
        <v>0</v>
      </c>
      <c r="DH72" s="23" t="n">
        <f aca="false">IF(AND(BE72=1,INT(N(H72))&lt;=Config!$B$6,CZ72=1),1,0)</f>
        <v>0</v>
      </c>
      <c r="DI72" s="23" t="n">
        <f aca="false">IF(AND(BE72=1,INT(N(H72))&lt;=Config!$B$7,DA72=1),1,0)</f>
        <v>0</v>
      </c>
      <c r="DJ72" s="23" t="n">
        <f aca="false">IF(AND(BE72=1,INT(N(H72))&lt;=Config!$B$8,DB72=1),1,0)</f>
        <v>0</v>
      </c>
      <c r="DK72" s="23" t="n">
        <f aca="false">IF(AND(BE72=1,INT(N(H72))&lt;=Config!$B$5,DC72=1),1,0)</f>
        <v>0</v>
      </c>
      <c r="DL72" s="23" t="n">
        <f aca="false">IF(AND(BC72=1,INT(N(H72))&lt;=Config!$B$6,CZ72=0),1,0)</f>
        <v>0</v>
      </c>
      <c r="DM72" s="23" t="n">
        <f aca="false">IF(AND(BC72=1,INT(N(H72))&lt;=Config!$B$7,DA72=0),1,0)</f>
        <v>0</v>
      </c>
      <c r="DN72" s="23" t="n">
        <f aca="false">IF(AND(BC72=1,INT(N(H72))&lt;=Config!$B$8,DB72=0),1,0)</f>
        <v>0</v>
      </c>
      <c r="DO72" s="23" t="n">
        <f aca="false">IF(AND(BC72=1,INT(N(H72))&lt;=Config!$B$5,DC72=0),1,0)</f>
        <v>0</v>
      </c>
      <c r="DP72" s="23" t="n">
        <f aca="false">IF(TRIM($A72)="",0,ISTEXT(K72)+ISTEXT(L72)+ISTEXT(R72)+ISTEXT(V72)+ISTEXT(AP72)+ISTEXT(AS72))</f>
        <v>0</v>
      </c>
      <c r="DQ72" s="23" t="n">
        <f aca="false">IF(AY72=1,IF(H72&lt;&gt;INT(H72),1,0),0)</f>
        <v>0</v>
      </c>
      <c r="DR72" s="23" t="str">
        <f aca="false">IF(TRIM($A72)="","",IF(TRIM(B72)="",SUBSTITUTE(SUBSTITUTE(SUBSTITUTE(SUBSTITUTE(SUBSTITUTE(SUBSTITUTE(LOWER(TRIM($A72)),"~",""),"*",""),"?",""),"&lt;",""),"&gt;",""),"=",""),SUBSTITUTE(SUBSTITUTE(SUBSTITUTE(SUBSTITUTE(SUBSTITUTE(SUBSTITUTE(LOWER(TRIM(B72)),"~",""),"*",""),"?",""),"&lt;",""),"&gt;",""),"=","")))</f>
        <v/>
      </c>
      <c r="DS72" s="23" t="str">
        <f aca="false">IF(CM72="","",IFERROR(IF(LEFT(LOWER(TRIM(INDEX(Clay_Brands!$A$2:$FZ$601,CM72,Sync!$D$19)&amp;"")),4)="grp-",SUBSTITUTE(SUBSTITUTE(SUBSTITUTE(SUBSTITUTE(SUBSTITUTE(SUBSTITUTE(LOWER(TRIM(INDEX(Clay_Brands!$A$2:$FZ$601,CM72,Sync!$D$19)&amp;"")),"~",""),"*",""),"?",""),"&lt;",""),"&gt;",""),"=",""),""),""))</f>
        <v/>
      </c>
      <c r="DT72" s="23" t="str">
        <f aca="false">IF(DS72&lt;&gt;"",DR72,"")</f>
        <v/>
      </c>
      <c r="DU72" s="23" t="str">
        <f aca="false">IF(AZ72=1,AW72,"")</f>
        <v/>
      </c>
      <c r="DV72" s="23" t="str">
        <f aca="false">IF(TRIM($A72)="","",IFERROR(INDEX($A$2:$A$201,MATCH(AW72,$DU$2:$DU$201,0))&amp;"",$A72&amp;""))</f>
        <v/>
      </c>
      <c r="DW72" s="23" t="n">
        <f aca="false">IF(AY72=1,IF(COUNTIFS($A$2:$A$201,$A72,$AY$2:$AY$201,1,$H$2:$H$201,"&lt;"&amp;H72)+COUNTIFS($A$2:$A$201,$A72,$AY$2:$AY$201,1,$H$2:$H$201,H72,$AX$2:$AX$201,"&lt;"&amp;AX72)=0,1,0),0)</f>
        <v>0</v>
      </c>
      <c r="DX72" s="23" t="n">
        <f aca="false">IF(AZ72=1,IF(COUNTIFS($AW$2:$AW$201,AW72,$DW$2:$DW$201,1)&gt;1,1,0),0)</f>
        <v>0</v>
      </c>
    </row>
    <row r="73" customFormat="false" ht="15" hidden="false" customHeight="false" outlineLevel="0" collapsed="false">
      <c r="G73" s="32"/>
      <c r="H73" s="33"/>
      <c r="I73" s="32"/>
      <c r="O73" s="32"/>
      <c r="P73" s="32"/>
      <c r="U73" s="32"/>
      <c r="Y73" s="32"/>
      <c r="AB73" s="32"/>
      <c r="AC73" s="32"/>
      <c r="AD73" s="32"/>
      <c r="AE73" s="32"/>
      <c r="AF73" s="32"/>
      <c r="AG73" s="32"/>
      <c r="AI73" s="32"/>
      <c r="AJ73" s="32"/>
      <c r="AK73" s="32"/>
      <c r="AN73" s="32"/>
      <c r="AO73" s="32"/>
      <c r="AR73" s="32"/>
      <c r="AT73" s="32"/>
      <c r="AV73" s="34" t="str">
        <f aca="false">IF(TRIM($A73)="","",IF(AND(LEFT($A73,6)="SAMPLE",Config!$B$19&lt;&gt;"Y"),"",IF(NOT(ISNUMBER(H73)),"call_date is blank or not a date",IF(Sync!$D$5="","Clay paste is empty or has no row_id column: paste the Clay export on Clay_Brands",IF(CM73="","row_id not found in the Clay paste: add the Clay row or fix the row_id",IF(AND(ISNUMBER(CO73),CO73&gt;=1,CO73&lt;=5),"Clay status is "&amp;CN73&amp;": set call_done or later",IF(AND(BA73=1,CP73&lt;&gt;CB73),"Clay yes_in_principle should be "&amp;CB73,IF(AND(BA73=1,CQ73&lt;&gt;H73),"Clay call_date should be "&amp;TEXT(H73,"yyyy-mm-dd"),""))))))))</f>
        <v/>
      </c>
      <c r="AW73" s="23" t="str">
        <f aca="false">IF(TRIM($A73)="","",IF(TRIM(C73)&lt;&gt;"",SUBSTITUTE(SUBSTITUTE(SUBSTITUTE(SUBSTITUTE(SUBSTITUTE(SUBSTITUTE(LOWER(TRIM(C73)),"~",""),"*",""),"?",""),"&lt;",""),"&gt;",""),"=",""),IF(DS73&lt;&gt;"",DS73,IFERROR(INDEX($DS$2:$DS$201,MATCH(DR73,$DT$2:$DT$201,0)),DR73))))</f>
        <v/>
      </c>
      <c r="AX73" s="23" t="n">
        <f aca="false">ROW()</f>
        <v>73</v>
      </c>
      <c r="AY73" s="23" t="n">
        <f aca="false">IF(AND(TRIM($A73)&lt;&gt;"",ISNUMBER(H73)),IF(AND(LEFT($A73,6)="SAMPLE",Config!$B$19&lt;&gt;"Y"),0,1),0)</f>
        <v>0</v>
      </c>
      <c r="AZ73" s="23" t="n">
        <f aca="false">IF(AY73=1,IF(COUNTIFS($AW$2:$AW$201,AW73,$AY$2:$AY$201,1,$H$2:$H$201,"&lt;"&amp;H73)+COUNTIFS($AW$2:$AW$201,AW73,$AY$2:$AY$201,1,$H$2:$H$201,H73,$AX$2:$AX$201,"&lt;"&amp;AX73)=0,1,0),0)</f>
        <v>0</v>
      </c>
      <c r="BA73" s="23" t="n">
        <f aca="false">IF(AY73=1,IF(COUNTIFS($A$2:$A$201,$A73,$AY$2:$AY$201,1,$H$2:$H$201,"&gt;"&amp;H73)+COUNTIFS($A$2:$A$201,$A73,$AY$2:$AY$201,1,$H$2:$H$201,H73,$AX$2:$AX$201,"&gt;"&amp;AX73)=0,1,0),0)</f>
        <v>0</v>
      </c>
      <c r="BB73" s="23" t="n">
        <f aca="false">IF(AND(AY73=1,O73="Y",MAX(N(R73),N(V73))&gt;=Config!$B$14),1,0)</f>
        <v>0</v>
      </c>
      <c r="BC73" s="23" t="n">
        <f aca="false">IF(BB73=1,IF(COUNTIFS($AW$2:$AW$201,AW73,$BB$2:$BB$201,1,$H$2:$H$201,"&lt;"&amp;H73)+COUNTIFS($AW$2:$AW$201,AW73,$BB$2:$BB$201,1,$H$2:$H$201,H73,$AX$2:$AX$201,"&lt;"&amp;AX73)=0,1,0),0)</f>
        <v>0</v>
      </c>
      <c r="BD73" s="23" t="n">
        <f aca="false">IF(AND(AY73=1,O73="Y",ISNUMBER(R73)),IF(R73&gt;=Config!$B$14,1,0),0)</f>
        <v>0</v>
      </c>
      <c r="BE73" s="23" t="n">
        <f aca="false">IF(BD73=1,IF(COUNTIFS($AW$2:$AW$201,AW73,$BD$2:$BD$201,1,$H$2:$H$201,"&lt;"&amp;H73)+COUNTIFS($AW$2:$AW$201,AW73,$BD$2:$BD$201,1,$H$2:$H$201,H73,$AX$2:$AX$201,"&lt;"&amp;AX73)=0,1,0),0)</f>
        <v>0</v>
      </c>
      <c r="BF73" s="23" t="n">
        <f aca="false">IF(AND(AY73=1,O73&lt;&gt;"Y",MAX(N(R73),N(V73))&gt;=Config!$B$14),1,0)</f>
        <v>0</v>
      </c>
      <c r="BG73" s="23" t="n">
        <f aca="false">IF(BF73=1,IF(COUNTIFS($AW$2:$AW$201,AW73,$BF$2:$BF$201,1,$H$2:$H$201,"&lt;"&amp;H73)+COUNTIFS($AW$2:$AW$201,AW73,$BF$2:$BF$201,1,$H$2:$H$201,H73,$AX$2:$AX$201,"&lt;"&amp;AX73)=0,1,0),0)</f>
        <v>0</v>
      </c>
      <c r="BH73" s="23" t="n">
        <f aca="false">IF(AND(AY73=1,ISNUMBER(R73)),1,0)</f>
        <v>0</v>
      </c>
      <c r="BI73" s="23" t="n">
        <f aca="false">IF(BH73=1,IF(COUNTIFS($AW$2:$AW$201,AW73,$BH$2:$BH$201,1,$H$2:$H$201,"&lt;"&amp;H73)+COUNTIFS($AW$2:$AW$201,AW73,$BH$2:$BH$201,1,$H$2:$H$201,H73,$AX$2:$AX$201,"&lt;"&amp;AX73)=0,1,0),0)</f>
        <v>0</v>
      </c>
      <c r="BJ73" s="23" t="str">
        <f aca="false">IF(AND(BI73=1,INT(N(H73))&lt;=Config!$B$6),R73,"")</f>
        <v/>
      </c>
      <c r="BK73" s="23" t="str">
        <f aca="false">IF(AND(BI73=1,INT(N(H73))&lt;=Config!$B$7),R73,"")</f>
        <v/>
      </c>
      <c r="BL73" s="23" t="str">
        <f aca="false">IF(AND(BI73=1,INT(N(H73))&lt;=Config!$B$8),R73,"")</f>
        <v/>
      </c>
      <c r="BM73" s="23" t="str">
        <f aca="false">IF(AND(BI73=1,INT(N(H73))&lt;=Config!$B$5),R73,"")</f>
        <v/>
      </c>
      <c r="BN73" s="23" t="n">
        <f aca="false">IF(AND(AY73=1,ISNUMBER(V73)),1,0)</f>
        <v>0</v>
      </c>
      <c r="BO73" s="23" t="n">
        <f aca="false">IF(BN73=1,IF(COUNTIFS($AW$2:$AW$201,AW73,$BN$2:$BN$201,1,$H$2:$H$201,"&lt;"&amp;H73)+COUNTIFS($AW$2:$AW$201,AW73,$BN$2:$BN$201,1,$H$2:$H$201,H73,$AX$2:$AX$201,"&lt;"&amp;AX73)=0,1,0),0)</f>
        <v>0</v>
      </c>
      <c r="BP73" s="23" t="str">
        <f aca="false">IF(AND(BO73=1,INT(N(H73))&lt;=Config!$B$6),V73,"")</f>
        <v/>
      </c>
      <c r="BQ73" s="23" t="str">
        <f aca="false">IF(AND(BO73=1,INT(N(H73))&lt;=Config!$B$7),V73,"")</f>
        <v/>
      </c>
      <c r="BR73" s="23" t="str">
        <f aca="false">IF(AND(BO73=1,INT(N(H73))&lt;=Config!$B$8),V73,"")</f>
        <v/>
      </c>
      <c r="BS73" s="23" t="str">
        <f aca="false">IF(AND(BO73=1,INT(N(H73))&lt;=Config!$B$5),V73,"")</f>
        <v/>
      </c>
      <c r="BT73" s="23" t="n">
        <f aca="false">IF(AND(AY73=1,ISNUMBER(K73)),1,0)</f>
        <v>0</v>
      </c>
      <c r="BU73" s="23" t="n">
        <f aca="false">IF(BT73=1,IF(COUNTIFS($AW$2:$AW$201,AW73,$BT$2:$BT$201,1,$H$2:$H$201,"&lt;"&amp;H73)+COUNTIFS($AW$2:$AW$201,AW73,$BT$2:$BT$201,1,$H$2:$H$201,H73,$AX$2:$AX$201,"&lt;"&amp;AX73)=0,1,0),0)</f>
        <v>0</v>
      </c>
      <c r="BV73" s="23" t="str">
        <f aca="false">IF(AND(BU73=1,INT(N(H73))&lt;=Config!$B$5),K73,"")</f>
        <v/>
      </c>
      <c r="BW73" s="23" t="n">
        <f aca="false">IF(AND(AY73=1,OR(AND(ISNUMBER(R73),TRIM(S73)=""),AND(ISNUMBER(V73),TRIM(W73)=""))),1,0)</f>
        <v>0</v>
      </c>
      <c r="BX73" s="23" t="str">
        <f aca="false">IF(AY73=1,AJ73&amp;"","")</f>
        <v/>
      </c>
      <c r="BY73" s="23" t="str">
        <f aca="false">IF(AY73=1,AK73&amp;"","")</f>
        <v/>
      </c>
      <c r="BZ73" s="23" t="str">
        <f aca="false">IF(AY73=1,AL73&amp;"","")</f>
        <v/>
      </c>
      <c r="CA73" s="23" t="str">
        <f aca="false">IF(AND(AY73=1,ISNUMBER(AS73),INT(N(H73))&lt;=Config!$B$5),AS73,"")</f>
        <v/>
      </c>
      <c r="CB73" s="23" t="str">
        <f aca="false">IF(AY73=1,IF(COUNTIFS($A$2:$A$201,$A73,$CU$2:$CU$201,1,$AN$2:$AN$201,"Y")&gt;0,"Y","N"),"")</f>
        <v/>
      </c>
      <c r="CC73" s="23" t="n">
        <f aca="false">IF(AND(AY73=1,AN73="Y"),IF(COUNTIFS($AW$2:$AW$201,AW73,$AN$2:$AN$201,"Y",$AY$2:$AY$201,1,$H$2:$H$201,"&lt;"&amp;H73)+COUNTIFS($AW$2:$AW$201,AW73,$AN$2:$AN$201,"Y",$AY$2:$AY$201,1,$H$2:$H$201,H73,$AX$2:$AX$201,"&lt;"&amp;AX73)=0,1,0),0)</f>
        <v>0</v>
      </c>
      <c r="CD73" s="23" t="n">
        <f aca="false">IF(AND(AY73=1,AB73="Y",AC73="Y",AD73="Y",AE73="Y",AF73="Y",AG73="Y",AI73="Y",TRIM(AH73)&lt;&gt;""),1,0)</f>
        <v>0</v>
      </c>
      <c r="CE73" s="23" t="n">
        <f aca="false">IF(CD73=1,IF(COUNTIFS($AW$2:$AW$201,AW73,$CD$2:$CD$201,1,$H$2:$H$201,"&lt;"&amp;H73)+COUNTIFS($AW$2:$AW$201,AW73,$CD$2:$CD$201,1,$H$2:$H$201,H73,$AX$2:$AX$201,"&lt;"&amp;AX73)=0,1,0),0)</f>
        <v>0</v>
      </c>
      <c r="CF73" s="23" t="n">
        <f aca="false">IF(AND(AY73=1,AO73="Y"),1,0)</f>
        <v>0</v>
      </c>
      <c r="CG73" s="23" t="n">
        <f aca="false">IF(CF73=1,IF(COUNTIFS($AW$2:$AW$201,AW73,$CF$2:$CF$201,1,$H$2:$H$201,"&lt;"&amp;H73)+COUNTIFS($AW$2:$AW$201,AW73,$CF$2:$CF$201,1,$H$2:$H$201,H73,$AX$2:$AX$201,"&lt;"&amp;AX73)=0,1,0),0)</f>
        <v>0</v>
      </c>
      <c r="CH73" s="23" t="n">
        <f aca="false">IF(AND(AY73=1,P73="Y"),1,0)</f>
        <v>0</v>
      </c>
      <c r="CI73" s="23" t="n">
        <f aca="false">IF(CH73=1,IF(COUNTIFS($AW$2:$AW$201,AW73,$CH$2:$CH$201,1,$H$2:$H$201,"&lt;"&amp;H73)+COUNTIFS($AW$2:$AW$201,AW73,$CH$2:$CH$201,1,$H$2:$H$201,H73,$AX$2:$AX$201,"&lt;"&amp;AX73)=0,1,0),0)</f>
        <v>0</v>
      </c>
      <c r="CJ73" s="23" t="str">
        <f aca="false">IF(AND(BU73=1,INT(N(H73))&lt;=Config!$B$5),L73,"")</f>
        <v/>
      </c>
      <c r="CK73" s="23" t="n">
        <f aca="false">IF(AND(AY73=1,AR73="Y"),1,0)</f>
        <v>0</v>
      </c>
      <c r="CL73" s="23" t="n">
        <f aca="false">IF(CK73=1,IF(COUNTIFS($AW$2:$AW$201,AW73,$CK$2:$CK$201,1,$H$2:$H$201,"&lt;"&amp;H73)+COUNTIFS($AW$2:$AW$201,AW73,$CK$2:$CK$201,1,$H$2:$H$201,H73,$AX$2:$AX$201,"&lt;"&amp;AX73)=0,1,0),0)</f>
        <v>0</v>
      </c>
      <c r="CM73" s="23" t="str">
        <f aca="false">IF(AY73=1,IFERROR(MATCH($A73,INDEX(Clay_Brands!$A$2:$FZ$601,0,Sync!$D$5),0),""),"")</f>
        <v/>
      </c>
      <c r="CN73" s="23" t="str">
        <f aca="false">IF(CM73="","",IFERROR(INDEX(Clay_Brands!$A$2:$FZ$601,CM73,Sync!$D$7)&amp;"",""))</f>
        <v/>
      </c>
      <c r="CO73" s="23" t="str">
        <f aca="false">IF(CN73="","",IFERROR(INDEX(Lists!$K$2:$K$15,MATCH(CN73,Lists!$J$2:$J$15,0)),""))</f>
        <v/>
      </c>
      <c r="CP73" s="23" t="str">
        <f aca="false">IF(CM73="","",IFERROR(INDEX(Clay_Brands!$A$2:$FZ$601,CM73,Sync!$D$17)&amp;"",""))</f>
        <v/>
      </c>
      <c r="CQ73" s="35" t="str">
        <f aca="false">IF(CM73="","",IFERROR(N(INDEX(Clay_Brands!$A$2:$FZ$601,CM73,Sync!$D$16)),0))</f>
        <v/>
      </c>
      <c r="CR73" s="23" t="n">
        <f aca="false">IF(AND(AY73=1,OR(O73="N",AND(OR(ISNUMBER(R73),ISNUMBER(V73)),MAX(N(R73),N(V73))&lt;Config!$B$14))),1,0)</f>
        <v>0</v>
      </c>
      <c r="CS73" s="23" t="n">
        <f aca="false">IF(OR(BB73=1,CR73=1),1,0)</f>
        <v>0</v>
      </c>
      <c r="CT73" s="23" t="n">
        <f aca="false">IF(AND(AY73=1,OR(AN73="Y",AN73="N",AN73="maybe")),1,0)</f>
        <v>0</v>
      </c>
      <c r="CU73" s="23" t="n">
        <f aca="false">IF(AND(CT73=1),IF(COUNTIFS($A$2:$A$201,$A73,$CT$2:$CT$201,1,$H$2:$H$201,"&gt;"&amp;H73)+COUNTIFS($A$2:$A$201,$A73,$CT$2:$CT$201,1,$H$2:$H$201,H73,$AX$2:$AX$201,"&gt;"&amp;AX73)=0,1,0),0)</f>
        <v>0</v>
      </c>
      <c r="CV73" s="23" t="n">
        <f aca="false">IF(AND(CS73=1,INT(N(H73))&lt;=Config!$B$6),IF(COUNTIFS($AW$2:$AW$201,AW73,$CS$2:$CS$201,1,$H$2:$H$201,"&gt;"&amp;H73,$H$2:$H$201,"&lt;"&amp;(Config!$B$6+1))+COUNTIFS($AW$2:$AW$201,AW73,$CS$2:$CS$201,1,$H$2:$H$201,H73,$AX$2:$AX$201,"&gt;"&amp;AX73)=0,1,0),0)</f>
        <v>0</v>
      </c>
      <c r="CW73" s="23" t="n">
        <f aca="false">IF(AND(CS73=1,INT(N(H73))&lt;=Config!$B$7),IF(COUNTIFS($AW$2:$AW$201,AW73,$CS$2:$CS$201,1,$H$2:$H$201,"&gt;"&amp;H73,$H$2:$H$201,"&lt;"&amp;(Config!$B$7+1))+COUNTIFS($AW$2:$AW$201,AW73,$CS$2:$CS$201,1,$H$2:$H$201,H73,$AX$2:$AX$201,"&gt;"&amp;AX73)=0,1,0),0)</f>
        <v>0</v>
      </c>
      <c r="CX73" s="23" t="n">
        <f aca="false">IF(AND(CS73=1,INT(N(H73))&lt;=Config!$B$8),IF(COUNTIFS($AW$2:$AW$201,AW73,$CS$2:$CS$201,1,$H$2:$H$201,"&gt;"&amp;H73,$H$2:$H$201,"&lt;"&amp;(Config!$B$8+1))+COUNTIFS($AW$2:$AW$201,AW73,$CS$2:$CS$201,1,$H$2:$H$201,H73,$AX$2:$AX$201,"&gt;"&amp;AX73)=0,1,0),0)</f>
        <v>0</v>
      </c>
      <c r="CY73" s="23" t="n">
        <f aca="false">IF(AND(CS73=1,INT(N(H73))&lt;=Config!$B$5),IF(COUNTIFS($AW$2:$AW$201,AW73,$CS$2:$CS$201,1,$H$2:$H$201,"&gt;"&amp;H73,$H$2:$H$201,"&lt;"&amp;(Config!$B$5+1))+COUNTIFS($AW$2:$AW$201,AW73,$CS$2:$CS$201,1,$H$2:$H$201,H73,$AX$2:$AX$201,"&gt;"&amp;AX73)=0,1,0),0)</f>
        <v>0</v>
      </c>
      <c r="CZ73" s="23" t="n">
        <f aca="false">IF(AY73=1,IF(COUNTIFS($AW$2:$AW$201,AW73,$CV$2:$CV$201,1,$BB$2:$BB$201,1)&gt;0,1,0),0)</f>
        <v>0</v>
      </c>
      <c r="DA73" s="23" t="n">
        <f aca="false">IF(AY73=1,IF(COUNTIFS($AW$2:$AW$201,AW73,$CW$2:$CW$201,1,$BB$2:$BB$201,1)&gt;0,1,0),0)</f>
        <v>0</v>
      </c>
      <c r="DB73" s="23" t="n">
        <f aca="false">IF(AY73=1,IF(COUNTIFS($AW$2:$AW$201,AW73,$CX$2:$CX$201,1,$BB$2:$BB$201,1)&gt;0,1,0),0)</f>
        <v>0</v>
      </c>
      <c r="DC73" s="23" t="n">
        <f aca="false">IF(AY73=1,IF(COUNTIFS($AW$2:$AW$201,AW73,$CY$2:$CY$201,1,$BB$2:$BB$201,1)&gt;0,1,0),0)</f>
        <v>0</v>
      </c>
      <c r="DD73" s="23" t="n">
        <f aca="false">IF(AND(BC73=1,INT(N(H73))&lt;=Config!$B$6,CZ73=1),1,0)</f>
        <v>0</v>
      </c>
      <c r="DE73" s="23" t="n">
        <f aca="false">IF(AND(BC73=1,INT(N(H73))&lt;=Config!$B$7,DA73=1),1,0)</f>
        <v>0</v>
      </c>
      <c r="DF73" s="23" t="n">
        <f aca="false">IF(AND(BC73=1,INT(N(H73))&lt;=Config!$B$8,DB73=1),1,0)</f>
        <v>0</v>
      </c>
      <c r="DG73" s="23" t="n">
        <f aca="false">IF(AND(BC73=1,INT(N(H73))&lt;=Config!$B$5,DC73=1),1,0)</f>
        <v>0</v>
      </c>
      <c r="DH73" s="23" t="n">
        <f aca="false">IF(AND(BE73=1,INT(N(H73))&lt;=Config!$B$6,CZ73=1),1,0)</f>
        <v>0</v>
      </c>
      <c r="DI73" s="23" t="n">
        <f aca="false">IF(AND(BE73=1,INT(N(H73))&lt;=Config!$B$7,DA73=1),1,0)</f>
        <v>0</v>
      </c>
      <c r="DJ73" s="23" t="n">
        <f aca="false">IF(AND(BE73=1,INT(N(H73))&lt;=Config!$B$8,DB73=1),1,0)</f>
        <v>0</v>
      </c>
      <c r="DK73" s="23" t="n">
        <f aca="false">IF(AND(BE73=1,INT(N(H73))&lt;=Config!$B$5,DC73=1),1,0)</f>
        <v>0</v>
      </c>
      <c r="DL73" s="23" t="n">
        <f aca="false">IF(AND(BC73=1,INT(N(H73))&lt;=Config!$B$6,CZ73=0),1,0)</f>
        <v>0</v>
      </c>
      <c r="DM73" s="23" t="n">
        <f aca="false">IF(AND(BC73=1,INT(N(H73))&lt;=Config!$B$7,DA73=0),1,0)</f>
        <v>0</v>
      </c>
      <c r="DN73" s="23" t="n">
        <f aca="false">IF(AND(BC73=1,INT(N(H73))&lt;=Config!$B$8,DB73=0),1,0)</f>
        <v>0</v>
      </c>
      <c r="DO73" s="23" t="n">
        <f aca="false">IF(AND(BC73=1,INT(N(H73))&lt;=Config!$B$5,DC73=0),1,0)</f>
        <v>0</v>
      </c>
      <c r="DP73" s="23" t="n">
        <f aca="false">IF(TRIM($A73)="",0,ISTEXT(K73)+ISTEXT(L73)+ISTEXT(R73)+ISTEXT(V73)+ISTEXT(AP73)+ISTEXT(AS73))</f>
        <v>0</v>
      </c>
      <c r="DQ73" s="23" t="n">
        <f aca="false">IF(AY73=1,IF(H73&lt;&gt;INT(H73),1,0),0)</f>
        <v>0</v>
      </c>
      <c r="DR73" s="23" t="str">
        <f aca="false">IF(TRIM($A73)="","",IF(TRIM(B73)="",SUBSTITUTE(SUBSTITUTE(SUBSTITUTE(SUBSTITUTE(SUBSTITUTE(SUBSTITUTE(LOWER(TRIM($A73)),"~",""),"*",""),"?",""),"&lt;",""),"&gt;",""),"=",""),SUBSTITUTE(SUBSTITUTE(SUBSTITUTE(SUBSTITUTE(SUBSTITUTE(SUBSTITUTE(LOWER(TRIM(B73)),"~",""),"*",""),"?",""),"&lt;",""),"&gt;",""),"=","")))</f>
        <v/>
      </c>
      <c r="DS73" s="23" t="str">
        <f aca="false">IF(CM73="","",IFERROR(IF(LEFT(LOWER(TRIM(INDEX(Clay_Brands!$A$2:$FZ$601,CM73,Sync!$D$19)&amp;"")),4)="grp-",SUBSTITUTE(SUBSTITUTE(SUBSTITUTE(SUBSTITUTE(SUBSTITUTE(SUBSTITUTE(LOWER(TRIM(INDEX(Clay_Brands!$A$2:$FZ$601,CM73,Sync!$D$19)&amp;"")),"~",""),"*",""),"?",""),"&lt;",""),"&gt;",""),"=",""),""),""))</f>
        <v/>
      </c>
      <c r="DT73" s="23" t="str">
        <f aca="false">IF(DS73&lt;&gt;"",DR73,"")</f>
        <v/>
      </c>
      <c r="DU73" s="23" t="str">
        <f aca="false">IF(AZ73=1,AW73,"")</f>
        <v/>
      </c>
      <c r="DV73" s="23" t="str">
        <f aca="false">IF(TRIM($A73)="","",IFERROR(INDEX($A$2:$A$201,MATCH(AW73,$DU$2:$DU$201,0))&amp;"",$A73&amp;""))</f>
        <v/>
      </c>
      <c r="DW73" s="23" t="n">
        <f aca="false">IF(AY73=1,IF(COUNTIFS($A$2:$A$201,$A73,$AY$2:$AY$201,1,$H$2:$H$201,"&lt;"&amp;H73)+COUNTIFS($A$2:$A$201,$A73,$AY$2:$AY$201,1,$H$2:$H$201,H73,$AX$2:$AX$201,"&lt;"&amp;AX73)=0,1,0),0)</f>
        <v>0</v>
      </c>
      <c r="DX73" s="23" t="n">
        <f aca="false">IF(AZ73=1,IF(COUNTIFS($AW$2:$AW$201,AW73,$DW$2:$DW$201,1)&gt;1,1,0),0)</f>
        <v>0</v>
      </c>
    </row>
    <row r="74" customFormat="false" ht="15" hidden="false" customHeight="false" outlineLevel="0" collapsed="false">
      <c r="G74" s="32"/>
      <c r="H74" s="33"/>
      <c r="I74" s="32"/>
      <c r="O74" s="32"/>
      <c r="P74" s="32"/>
      <c r="U74" s="32"/>
      <c r="Y74" s="32"/>
      <c r="AB74" s="32"/>
      <c r="AC74" s="32"/>
      <c r="AD74" s="32"/>
      <c r="AE74" s="32"/>
      <c r="AF74" s="32"/>
      <c r="AG74" s="32"/>
      <c r="AI74" s="32"/>
      <c r="AJ74" s="32"/>
      <c r="AK74" s="32"/>
      <c r="AN74" s="32"/>
      <c r="AO74" s="32"/>
      <c r="AR74" s="32"/>
      <c r="AT74" s="32"/>
      <c r="AV74" s="34" t="str">
        <f aca="false">IF(TRIM($A74)="","",IF(AND(LEFT($A74,6)="SAMPLE",Config!$B$19&lt;&gt;"Y"),"",IF(NOT(ISNUMBER(H74)),"call_date is blank or not a date",IF(Sync!$D$5="","Clay paste is empty or has no row_id column: paste the Clay export on Clay_Brands",IF(CM74="","row_id not found in the Clay paste: add the Clay row or fix the row_id",IF(AND(ISNUMBER(CO74),CO74&gt;=1,CO74&lt;=5),"Clay status is "&amp;CN74&amp;": set call_done or later",IF(AND(BA74=1,CP74&lt;&gt;CB74),"Clay yes_in_principle should be "&amp;CB74,IF(AND(BA74=1,CQ74&lt;&gt;H74),"Clay call_date should be "&amp;TEXT(H74,"yyyy-mm-dd"),""))))))))</f>
        <v/>
      </c>
      <c r="AW74" s="23" t="str">
        <f aca="false">IF(TRIM($A74)="","",IF(TRIM(C74)&lt;&gt;"",SUBSTITUTE(SUBSTITUTE(SUBSTITUTE(SUBSTITUTE(SUBSTITUTE(SUBSTITUTE(LOWER(TRIM(C74)),"~",""),"*",""),"?",""),"&lt;",""),"&gt;",""),"=",""),IF(DS74&lt;&gt;"",DS74,IFERROR(INDEX($DS$2:$DS$201,MATCH(DR74,$DT$2:$DT$201,0)),DR74))))</f>
        <v/>
      </c>
      <c r="AX74" s="23" t="n">
        <f aca="false">ROW()</f>
        <v>74</v>
      </c>
      <c r="AY74" s="23" t="n">
        <f aca="false">IF(AND(TRIM($A74)&lt;&gt;"",ISNUMBER(H74)),IF(AND(LEFT($A74,6)="SAMPLE",Config!$B$19&lt;&gt;"Y"),0,1),0)</f>
        <v>0</v>
      </c>
      <c r="AZ74" s="23" t="n">
        <f aca="false">IF(AY74=1,IF(COUNTIFS($AW$2:$AW$201,AW74,$AY$2:$AY$201,1,$H$2:$H$201,"&lt;"&amp;H74)+COUNTIFS($AW$2:$AW$201,AW74,$AY$2:$AY$201,1,$H$2:$H$201,H74,$AX$2:$AX$201,"&lt;"&amp;AX74)=0,1,0),0)</f>
        <v>0</v>
      </c>
      <c r="BA74" s="23" t="n">
        <f aca="false">IF(AY74=1,IF(COUNTIFS($A$2:$A$201,$A74,$AY$2:$AY$201,1,$H$2:$H$201,"&gt;"&amp;H74)+COUNTIFS($A$2:$A$201,$A74,$AY$2:$AY$201,1,$H$2:$H$201,H74,$AX$2:$AX$201,"&gt;"&amp;AX74)=0,1,0),0)</f>
        <v>0</v>
      </c>
      <c r="BB74" s="23" t="n">
        <f aca="false">IF(AND(AY74=1,O74="Y",MAX(N(R74),N(V74))&gt;=Config!$B$14),1,0)</f>
        <v>0</v>
      </c>
      <c r="BC74" s="23" t="n">
        <f aca="false">IF(BB74=1,IF(COUNTIFS($AW$2:$AW$201,AW74,$BB$2:$BB$201,1,$H$2:$H$201,"&lt;"&amp;H74)+COUNTIFS($AW$2:$AW$201,AW74,$BB$2:$BB$201,1,$H$2:$H$201,H74,$AX$2:$AX$201,"&lt;"&amp;AX74)=0,1,0),0)</f>
        <v>0</v>
      </c>
      <c r="BD74" s="23" t="n">
        <f aca="false">IF(AND(AY74=1,O74="Y",ISNUMBER(R74)),IF(R74&gt;=Config!$B$14,1,0),0)</f>
        <v>0</v>
      </c>
      <c r="BE74" s="23" t="n">
        <f aca="false">IF(BD74=1,IF(COUNTIFS($AW$2:$AW$201,AW74,$BD$2:$BD$201,1,$H$2:$H$201,"&lt;"&amp;H74)+COUNTIFS($AW$2:$AW$201,AW74,$BD$2:$BD$201,1,$H$2:$H$201,H74,$AX$2:$AX$201,"&lt;"&amp;AX74)=0,1,0),0)</f>
        <v>0</v>
      </c>
      <c r="BF74" s="23" t="n">
        <f aca="false">IF(AND(AY74=1,O74&lt;&gt;"Y",MAX(N(R74),N(V74))&gt;=Config!$B$14),1,0)</f>
        <v>0</v>
      </c>
      <c r="BG74" s="23" t="n">
        <f aca="false">IF(BF74=1,IF(COUNTIFS($AW$2:$AW$201,AW74,$BF$2:$BF$201,1,$H$2:$H$201,"&lt;"&amp;H74)+COUNTIFS($AW$2:$AW$201,AW74,$BF$2:$BF$201,1,$H$2:$H$201,H74,$AX$2:$AX$201,"&lt;"&amp;AX74)=0,1,0),0)</f>
        <v>0</v>
      </c>
      <c r="BH74" s="23" t="n">
        <f aca="false">IF(AND(AY74=1,ISNUMBER(R74)),1,0)</f>
        <v>0</v>
      </c>
      <c r="BI74" s="23" t="n">
        <f aca="false">IF(BH74=1,IF(COUNTIFS($AW$2:$AW$201,AW74,$BH$2:$BH$201,1,$H$2:$H$201,"&lt;"&amp;H74)+COUNTIFS($AW$2:$AW$201,AW74,$BH$2:$BH$201,1,$H$2:$H$201,H74,$AX$2:$AX$201,"&lt;"&amp;AX74)=0,1,0),0)</f>
        <v>0</v>
      </c>
      <c r="BJ74" s="23" t="str">
        <f aca="false">IF(AND(BI74=1,INT(N(H74))&lt;=Config!$B$6),R74,"")</f>
        <v/>
      </c>
      <c r="BK74" s="23" t="str">
        <f aca="false">IF(AND(BI74=1,INT(N(H74))&lt;=Config!$B$7),R74,"")</f>
        <v/>
      </c>
      <c r="BL74" s="23" t="str">
        <f aca="false">IF(AND(BI74=1,INT(N(H74))&lt;=Config!$B$8),R74,"")</f>
        <v/>
      </c>
      <c r="BM74" s="23" t="str">
        <f aca="false">IF(AND(BI74=1,INT(N(H74))&lt;=Config!$B$5),R74,"")</f>
        <v/>
      </c>
      <c r="BN74" s="23" t="n">
        <f aca="false">IF(AND(AY74=1,ISNUMBER(V74)),1,0)</f>
        <v>0</v>
      </c>
      <c r="BO74" s="23" t="n">
        <f aca="false">IF(BN74=1,IF(COUNTIFS($AW$2:$AW$201,AW74,$BN$2:$BN$201,1,$H$2:$H$201,"&lt;"&amp;H74)+COUNTIFS($AW$2:$AW$201,AW74,$BN$2:$BN$201,1,$H$2:$H$201,H74,$AX$2:$AX$201,"&lt;"&amp;AX74)=0,1,0),0)</f>
        <v>0</v>
      </c>
      <c r="BP74" s="23" t="str">
        <f aca="false">IF(AND(BO74=1,INT(N(H74))&lt;=Config!$B$6),V74,"")</f>
        <v/>
      </c>
      <c r="BQ74" s="23" t="str">
        <f aca="false">IF(AND(BO74=1,INT(N(H74))&lt;=Config!$B$7),V74,"")</f>
        <v/>
      </c>
      <c r="BR74" s="23" t="str">
        <f aca="false">IF(AND(BO74=1,INT(N(H74))&lt;=Config!$B$8),V74,"")</f>
        <v/>
      </c>
      <c r="BS74" s="23" t="str">
        <f aca="false">IF(AND(BO74=1,INT(N(H74))&lt;=Config!$B$5),V74,"")</f>
        <v/>
      </c>
      <c r="BT74" s="23" t="n">
        <f aca="false">IF(AND(AY74=1,ISNUMBER(K74)),1,0)</f>
        <v>0</v>
      </c>
      <c r="BU74" s="23" t="n">
        <f aca="false">IF(BT74=1,IF(COUNTIFS($AW$2:$AW$201,AW74,$BT$2:$BT$201,1,$H$2:$H$201,"&lt;"&amp;H74)+COUNTIFS($AW$2:$AW$201,AW74,$BT$2:$BT$201,1,$H$2:$H$201,H74,$AX$2:$AX$201,"&lt;"&amp;AX74)=0,1,0),0)</f>
        <v>0</v>
      </c>
      <c r="BV74" s="23" t="str">
        <f aca="false">IF(AND(BU74=1,INT(N(H74))&lt;=Config!$B$5),K74,"")</f>
        <v/>
      </c>
      <c r="BW74" s="23" t="n">
        <f aca="false">IF(AND(AY74=1,OR(AND(ISNUMBER(R74),TRIM(S74)=""),AND(ISNUMBER(V74),TRIM(W74)=""))),1,0)</f>
        <v>0</v>
      </c>
      <c r="BX74" s="23" t="str">
        <f aca="false">IF(AY74=1,AJ74&amp;"","")</f>
        <v/>
      </c>
      <c r="BY74" s="23" t="str">
        <f aca="false">IF(AY74=1,AK74&amp;"","")</f>
        <v/>
      </c>
      <c r="BZ74" s="23" t="str">
        <f aca="false">IF(AY74=1,AL74&amp;"","")</f>
        <v/>
      </c>
      <c r="CA74" s="23" t="str">
        <f aca="false">IF(AND(AY74=1,ISNUMBER(AS74),INT(N(H74))&lt;=Config!$B$5),AS74,"")</f>
        <v/>
      </c>
      <c r="CB74" s="23" t="str">
        <f aca="false">IF(AY74=1,IF(COUNTIFS($A$2:$A$201,$A74,$CU$2:$CU$201,1,$AN$2:$AN$201,"Y")&gt;0,"Y","N"),"")</f>
        <v/>
      </c>
      <c r="CC74" s="23" t="n">
        <f aca="false">IF(AND(AY74=1,AN74="Y"),IF(COUNTIFS($AW$2:$AW$201,AW74,$AN$2:$AN$201,"Y",$AY$2:$AY$201,1,$H$2:$H$201,"&lt;"&amp;H74)+COUNTIFS($AW$2:$AW$201,AW74,$AN$2:$AN$201,"Y",$AY$2:$AY$201,1,$H$2:$H$201,H74,$AX$2:$AX$201,"&lt;"&amp;AX74)=0,1,0),0)</f>
        <v>0</v>
      </c>
      <c r="CD74" s="23" t="n">
        <f aca="false">IF(AND(AY74=1,AB74="Y",AC74="Y",AD74="Y",AE74="Y",AF74="Y",AG74="Y",AI74="Y",TRIM(AH74)&lt;&gt;""),1,0)</f>
        <v>0</v>
      </c>
      <c r="CE74" s="23" t="n">
        <f aca="false">IF(CD74=1,IF(COUNTIFS($AW$2:$AW$201,AW74,$CD$2:$CD$201,1,$H$2:$H$201,"&lt;"&amp;H74)+COUNTIFS($AW$2:$AW$201,AW74,$CD$2:$CD$201,1,$H$2:$H$201,H74,$AX$2:$AX$201,"&lt;"&amp;AX74)=0,1,0),0)</f>
        <v>0</v>
      </c>
      <c r="CF74" s="23" t="n">
        <f aca="false">IF(AND(AY74=1,AO74="Y"),1,0)</f>
        <v>0</v>
      </c>
      <c r="CG74" s="23" t="n">
        <f aca="false">IF(CF74=1,IF(COUNTIFS($AW$2:$AW$201,AW74,$CF$2:$CF$201,1,$H$2:$H$201,"&lt;"&amp;H74)+COUNTIFS($AW$2:$AW$201,AW74,$CF$2:$CF$201,1,$H$2:$H$201,H74,$AX$2:$AX$201,"&lt;"&amp;AX74)=0,1,0),0)</f>
        <v>0</v>
      </c>
      <c r="CH74" s="23" t="n">
        <f aca="false">IF(AND(AY74=1,P74="Y"),1,0)</f>
        <v>0</v>
      </c>
      <c r="CI74" s="23" t="n">
        <f aca="false">IF(CH74=1,IF(COUNTIFS($AW$2:$AW$201,AW74,$CH$2:$CH$201,1,$H$2:$H$201,"&lt;"&amp;H74)+COUNTIFS($AW$2:$AW$201,AW74,$CH$2:$CH$201,1,$H$2:$H$201,H74,$AX$2:$AX$201,"&lt;"&amp;AX74)=0,1,0),0)</f>
        <v>0</v>
      </c>
      <c r="CJ74" s="23" t="str">
        <f aca="false">IF(AND(BU74=1,INT(N(H74))&lt;=Config!$B$5),L74,"")</f>
        <v/>
      </c>
      <c r="CK74" s="23" t="n">
        <f aca="false">IF(AND(AY74=1,AR74="Y"),1,0)</f>
        <v>0</v>
      </c>
      <c r="CL74" s="23" t="n">
        <f aca="false">IF(CK74=1,IF(COUNTIFS($AW$2:$AW$201,AW74,$CK$2:$CK$201,1,$H$2:$H$201,"&lt;"&amp;H74)+COUNTIFS($AW$2:$AW$201,AW74,$CK$2:$CK$201,1,$H$2:$H$201,H74,$AX$2:$AX$201,"&lt;"&amp;AX74)=0,1,0),0)</f>
        <v>0</v>
      </c>
      <c r="CM74" s="23" t="str">
        <f aca="false">IF(AY74=1,IFERROR(MATCH($A74,INDEX(Clay_Brands!$A$2:$FZ$601,0,Sync!$D$5),0),""),"")</f>
        <v/>
      </c>
      <c r="CN74" s="23" t="str">
        <f aca="false">IF(CM74="","",IFERROR(INDEX(Clay_Brands!$A$2:$FZ$601,CM74,Sync!$D$7)&amp;"",""))</f>
        <v/>
      </c>
      <c r="CO74" s="23" t="str">
        <f aca="false">IF(CN74="","",IFERROR(INDEX(Lists!$K$2:$K$15,MATCH(CN74,Lists!$J$2:$J$15,0)),""))</f>
        <v/>
      </c>
      <c r="CP74" s="23" t="str">
        <f aca="false">IF(CM74="","",IFERROR(INDEX(Clay_Brands!$A$2:$FZ$601,CM74,Sync!$D$17)&amp;"",""))</f>
        <v/>
      </c>
      <c r="CQ74" s="35" t="str">
        <f aca="false">IF(CM74="","",IFERROR(N(INDEX(Clay_Brands!$A$2:$FZ$601,CM74,Sync!$D$16)),0))</f>
        <v/>
      </c>
      <c r="CR74" s="23" t="n">
        <f aca="false">IF(AND(AY74=1,OR(O74="N",AND(OR(ISNUMBER(R74),ISNUMBER(V74)),MAX(N(R74),N(V74))&lt;Config!$B$14))),1,0)</f>
        <v>0</v>
      </c>
      <c r="CS74" s="23" t="n">
        <f aca="false">IF(OR(BB74=1,CR74=1),1,0)</f>
        <v>0</v>
      </c>
      <c r="CT74" s="23" t="n">
        <f aca="false">IF(AND(AY74=1,OR(AN74="Y",AN74="N",AN74="maybe")),1,0)</f>
        <v>0</v>
      </c>
      <c r="CU74" s="23" t="n">
        <f aca="false">IF(AND(CT74=1),IF(COUNTIFS($A$2:$A$201,$A74,$CT$2:$CT$201,1,$H$2:$H$201,"&gt;"&amp;H74)+COUNTIFS($A$2:$A$201,$A74,$CT$2:$CT$201,1,$H$2:$H$201,H74,$AX$2:$AX$201,"&gt;"&amp;AX74)=0,1,0),0)</f>
        <v>0</v>
      </c>
      <c r="CV74" s="23" t="n">
        <f aca="false">IF(AND(CS74=1,INT(N(H74))&lt;=Config!$B$6),IF(COUNTIFS($AW$2:$AW$201,AW74,$CS$2:$CS$201,1,$H$2:$H$201,"&gt;"&amp;H74,$H$2:$H$201,"&lt;"&amp;(Config!$B$6+1))+COUNTIFS($AW$2:$AW$201,AW74,$CS$2:$CS$201,1,$H$2:$H$201,H74,$AX$2:$AX$201,"&gt;"&amp;AX74)=0,1,0),0)</f>
        <v>0</v>
      </c>
      <c r="CW74" s="23" t="n">
        <f aca="false">IF(AND(CS74=1,INT(N(H74))&lt;=Config!$B$7),IF(COUNTIFS($AW$2:$AW$201,AW74,$CS$2:$CS$201,1,$H$2:$H$201,"&gt;"&amp;H74,$H$2:$H$201,"&lt;"&amp;(Config!$B$7+1))+COUNTIFS($AW$2:$AW$201,AW74,$CS$2:$CS$201,1,$H$2:$H$201,H74,$AX$2:$AX$201,"&gt;"&amp;AX74)=0,1,0),0)</f>
        <v>0</v>
      </c>
      <c r="CX74" s="23" t="n">
        <f aca="false">IF(AND(CS74=1,INT(N(H74))&lt;=Config!$B$8),IF(COUNTIFS($AW$2:$AW$201,AW74,$CS$2:$CS$201,1,$H$2:$H$201,"&gt;"&amp;H74,$H$2:$H$201,"&lt;"&amp;(Config!$B$8+1))+COUNTIFS($AW$2:$AW$201,AW74,$CS$2:$CS$201,1,$H$2:$H$201,H74,$AX$2:$AX$201,"&gt;"&amp;AX74)=0,1,0),0)</f>
        <v>0</v>
      </c>
      <c r="CY74" s="23" t="n">
        <f aca="false">IF(AND(CS74=1,INT(N(H74))&lt;=Config!$B$5),IF(COUNTIFS($AW$2:$AW$201,AW74,$CS$2:$CS$201,1,$H$2:$H$201,"&gt;"&amp;H74,$H$2:$H$201,"&lt;"&amp;(Config!$B$5+1))+COUNTIFS($AW$2:$AW$201,AW74,$CS$2:$CS$201,1,$H$2:$H$201,H74,$AX$2:$AX$201,"&gt;"&amp;AX74)=0,1,0),0)</f>
        <v>0</v>
      </c>
      <c r="CZ74" s="23" t="n">
        <f aca="false">IF(AY74=1,IF(COUNTIFS($AW$2:$AW$201,AW74,$CV$2:$CV$201,1,$BB$2:$BB$201,1)&gt;0,1,0),0)</f>
        <v>0</v>
      </c>
      <c r="DA74" s="23" t="n">
        <f aca="false">IF(AY74=1,IF(COUNTIFS($AW$2:$AW$201,AW74,$CW$2:$CW$201,1,$BB$2:$BB$201,1)&gt;0,1,0),0)</f>
        <v>0</v>
      </c>
      <c r="DB74" s="23" t="n">
        <f aca="false">IF(AY74=1,IF(COUNTIFS($AW$2:$AW$201,AW74,$CX$2:$CX$201,1,$BB$2:$BB$201,1)&gt;0,1,0),0)</f>
        <v>0</v>
      </c>
      <c r="DC74" s="23" t="n">
        <f aca="false">IF(AY74=1,IF(COUNTIFS($AW$2:$AW$201,AW74,$CY$2:$CY$201,1,$BB$2:$BB$201,1)&gt;0,1,0),0)</f>
        <v>0</v>
      </c>
      <c r="DD74" s="23" t="n">
        <f aca="false">IF(AND(BC74=1,INT(N(H74))&lt;=Config!$B$6,CZ74=1),1,0)</f>
        <v>0</v>
      </c>
      <c r="DE74" s="23" t="n">
        <f aca="false">IF(AND(BC74=1,INT(N(H74))&lt;=Config!$B$7,DA74=1),1,0)</f>
        <v>0</v>
      </c>
      <c r="DF74" s="23" t="n">
        <f aca="false">IF(AND(BC74=1,INT(N(H74))&lt;=Config!$B$8,DB74=1),1,0)</f>
        <v>0</v>
      </c>
      <c r="DG74" s="23" t="n">
        <f aca="false">IF(AND(BC74=1,INT(N(H74))&lt;=Config!$B$5,DC74=1),1,0)</f>
        <v>0</v>
      </c>
      <c r="DH74" s="23" t="n">
        <f aca="false">IF(AND(BE74=1,INT(N(H74))&lt;=Config!$B$6,CZ74=1),1,0)</f>
        <v>0</v>
      </c>
      <c r="DI74" s="23" t="n">
        <f aca="false">IF(AND(BE74=1,INT(N(H74))&lt;=Config!$B$7,DA74=1),1,0)</f>
        <v>0</v>
      </c>
      <c r="DJ74" s="23" t="n">
        <f aca="false">IF(AND(BE74=1,INT(N(H74))&lt;=Config!$B$8,DB74=1),1,0)</f>
        <v>0</v>
      </c>
      <c r="DK74" s="23" t="n">
        <f aca="false">IF(AND(BE74=1,INT(N(H74))&lt;=Config!$B$5,DC74=1),1,0)</f>
        <v>0</v>
      </c>
      <c r="DL74" s="23" t="n">
        <f aca="false">IF(AND(BC74=1,INT(N(H74))&lt;=Config!$B$6,CZ74=0),1,0)</f>
        <v>0</v>
      </c>
      <c r="DM74" s="23" t="n">
        <f aca="false">IF(AND(BC74=1,INT(N(H74))&lt;=Config!$B$7,DA74=0),1,0)</f>
        <v>0</v>
      </c>
      <c r="DN74" s="23" t="n">
        <f aca="false">IF(AND(BC74=1,INT(N(H74))&lt;=Config!$B$8,DB74=0),1,0)</f>
        <v>0</v>
      </c>
      <c r="DO74" s="23" t="n">
        <f aca="false">IF(AND(BC74=1,INT(N(H74))&lt;=Config!$B$5,DC74=0),1,0)</f>
        <v>0</v>
      </c>
      <c r="DP74" s="23" t="n">
        <f aca="false">IF(TRIM($A74)="",0,ISTEXT(K74)+ISTEXT(L74)+ISTEXT(R74)+ISTEXT(V74)+ISTEXT(AP74)+ISTEXT(AS74))</f>
        <v>0</v>
      </c>
      <c r="DQ74" s="23" t="n">
        <f aca="false">IF(AY74=1,IF(H74&lt;&gt;INT(H74),1,0),0)</f>
        <v>0</v>
      </c>
      <c r="DR74" s="23" t="str">
        <f aca="false">IF(TRIM($A74)="","",IF(TRIM(B74)="",SUBSTITUTE(SUBSTITUTE(SUBSTITUTE(SUBSTITUTE(SUBSTITUTE(SUBSTITUTE(LOWER(TRIM($A74)),"~",""),"*",""),"?",""),"&lt;",""),"&gt;",""),"=",""),SUBSTITUTE(SUBSTITUTE(SUBSTITUTE(SUBSTITUTE(SUBSTITUTE(SUBSTITUTE(LOWER(TRIM(B74)),"~",""),"*",""),"?",""),"&lt;",""),"&gt;",""),"=","")))</f>
        <v/>
      </c>
      <c r="DS74" s="23" t="str">
        <f aca="false">IF(CM74="","",IFERROR(IF(LEFT(LOWER(TRIM(INDEX(Clay_Brands!$A$2:$FZ$601,CM74,Sync!$D$19)&amp;"")),4)="grp-",SUBSTITUTE(SUBSTITUTE(SUBSTITUTE(SUBSTITUTE(SUBSTITUTE(SUBSTITUTE(LOWER(TRIM(INDEX(Clay_Brands!$A$2:$FZ$601,CM74,Sync!$D$19)&amp;"")),"~",""),"*",""),"?",""),"&lt;",""),"&gt;",""),"=",""),""),""))</f>
        <v/>
      </c>
      <c r="DT74" s="23" t="str">
        <f aca="false">IF(DS74&lt;&gt;"",DR74,"")</f>
        <v/>
      </c>
      <c r="DU74" s="23" t="str">
        <f aca="false">IF(AZ74=1,AW74,"")</f>
        <v/>
      </c>
      <c r="DV74" s="23" t="str">
        <f aca="false">IF(TRIM($A74)="","",IFERROR(INDEX($A$2:$A$201,MATCH(AW74,$DU$2:$DU$201,0))&amp;"",$A74&amp;""))</f>
        <v/>
      </c>
      <c r="DW74" s="23" t="n">
        <f aca="false">IF(AY74=1,IF(COUNTIFS($A$2:$A$201,$A74,$AY$2:$AY$201,1,$H$2:$H$201,"&lt;"&amp;H74)+COUNTIFS($A$2:$A$201,$A74,$AY$2:$AY$201,1,$H$2:$H$201,H74,$AX$2:$AX$201,"&lt;"&amp;AX74)=0,1,0),0)</f>
        <v>0</v>
      </c>
      <c r="DX74" s="23" t="n">
        <f aca="false">IF(AZ74=1,IF(COUNTIFS($AW$2:$AW$201,AW74,$DW$2:$DW$201,1)&gt;1,1,0),0)</f>
        <v>0</v>
      </c>
    </row>
    <row r="75" customFormat="false" ht="15" hidden="false" customHeight="false" outlineLevel="0" collapsed="false">
      <c r="G75" s="32"/>
      <c r="H75" s="33"/>
      <c r="I75" s="32"/>
      <c r="O75" s="32"/>
      <c r="P75" s="32"/>
      <c r="U75" s="32"/>
      <c r="Y75" s="32"/>
      <c r="AB75" s="32"/>
      <c r="AC75" s="32"/>
      <c r="AD75" s="32"/>
      <c r="AE75" s="32"/>
      <c r="AF75" s="32"/>
      <c r="AG75" s="32"/>
      <c r="AI75" s="32"/>
      <c r="AJ75" s="32"/>
      <c r="AK75" s="32"/>
      <c r="AN75" s="32"/>
      <c r="AO75" s="32"/>
      <c r="AR75" s="32"/>
      <c r="AT75" s="32"/>
      <c r="AV75" s="34" t="str">
        <f aca="false">IF(TRIM($A75)="","",IF(AND(LEFT($A75,6)="SAMPLE",Config!$B$19&lt;&gt;"Y"),"",IF(NOT(ISNUMBER(H75)),"call_date is blank or not a date",IF(Sync!$D$5="","Clay paste is empty or has no row_id column: paste the Clay export on Clay_Brands",IF(CM75="","row_id not found in the Clay paste: add the Clay row or fix the row_id",IF(AND(ISNUMBER(CO75),CO75&gt;=1,CO75&lt;=5),"Clay status is "&amp;CN75&amp;": set call_done or later",IF(AND(BA75=1,CP75&lt;&gt;CB75),"Clay yes_in_principle should be "&amp;CB75,IF(AND(BA75=1,CQ75&lt;&gt;H75),"Clay call_date should be "&amp;TEXT(H75,"yyyy-mm-dd"),""))))))))</f>
        <v/>
      </c>
      <c r="AW75" s="23" t="str">
        <f aca="false">IF(TRIM($A75)="","",IF(TRIM(C75)&lt;&gt;"",SUBSTITUTE(SUBSTITUTE(SUBSTITUTE(SUBSTITUTE(SUBSTITUTE(SUBSTITUTE(LOWER(TRIM(C75)),"~",""),"*",""),"?",""),"&lt;",""),"&gt;",""),"=",""),IF(DS75&lt;&gt;"",DS75,IFERROR(INDEX($DS$2:$DS$201,MATCH(DR75,$DT$2:$DT$201,0)),DR75))))</f>
        <v/>
      </c>
      <c r="AX75" s="23" t="n">
        <f aca="false">ROW()</f>
        <v>75</v>
      </c>
      <c r="AY75" s="23" t="n">
        <f aca="false">IF(AND(TRIM($A75)&lt;&gt;"",ISNUMBER(H75)),IF(AND(LEFT($A75,6)="SAMPLE",Config!$B$19&lt;&gt;"Y"),0,1),0)</f>
        <v>0</v>
      </c>
      <c r="AZ75" s="23" t="n">
        <f aca="false">IF(AY75=1,IF(COUNTIFS($AW$2:$AW$201,AW75,$AY$2:$AY$201,1,$H$2:$H$201,"&lt;"&amp;H75)+COUNTIFS($AW$2:$AW$201,AW75,$AY$2:$AY$201,1,$H$2:$H$201,H75,$AX$2:$AX$201,"&lt;"&amp;AX75)=0,1,0),0)</f>
        <v>0</v>
      </c>
      <c r="BA75" s="23" t="n">
        <f aca="false">IF(AY75=1,IF(COUNTIFS($A$2:$A$201,$A75,$AY$2:$AY$201,1,$H$2:$H$201,"&gt;"&amp;H75)+COUNTIFS($A$2:$A$201,$A75,$AY$2:$AY$201,1,$H$2:$H$201,H75,$AX$2:$AX$201,"&gt;"&amp;AX75)=0,1,0),0)</f>
        <v>0</v>
      </c>
      <c r="BB75" s="23" t="n">
        <f aca="false">IF(AND(AY75=1,O75="Y",MAX(N(R75),N(V75))&gt;=Config!$B$14),1,0)</f>
        <v>0</v>
      </c>
      <c r="BC75" s="23" t="n">
        <f aca="false">IF(BB75=1,IF(COUNTIFS($AW$2:$AW$201,AW75,$BB$2:$BB$201,1,$H$2:$H$201,"&lt;"&amp;H75)+COUNTIFS($AW$2:$AW$201,AW75,$BB$2:$BB$201,1,$H$2:$H$201,H75,$AX$2:$AX$201,"&lt;"&amp;AX75)=0,1,0),0)</f>
        <v>0</v>
      </c>
      <c r="BD75" s="23" t="n">
        <f aca="false">IF(AND(AY75=1,O75="Y",ISNUMBER(R75)),IF(R75&gt;=Config!$B$14,1,0),0)</f>
        <v>0</v>
      </c>
      <c r="BE75" s="23" t="n">
        <f aca="false">IF(BD75=1,IF(COUNTIFS($AW$2:$AW$201,AW75,$BD$2:$BD$201,1,$H$2:$H$201,"&lt;"&amp;H75)+COUNTIFS($AW$2:$AW$201,AW75,$BD$2:$BD$201,1,$H$2:$H$201,H75,$AX$2:$AX$201,"&lt;"&amp;AX75)=0,1,0),0)</f>
        <v>0</v>
      </c>
      <c r="BF75" s="23" t="n">
        <f aca="false">IF(AND(AY75=1,O75&lt;&gt;"Y",MAX(N(R75),N(V75))&gt;=Config!$B$14),1,0)</f>
        <v>0</v>
      </c>
      <c r="BG75" s="23" t="n">
        <f aca="false">IF(BF75=1,IF(COUNTIFS($AW$2:$AW$201,AW75,$BF$2:$BF$201,1,$H$2:$H$201,"&lt;"&amp;H75)+COUNTIFS($AW$2:$AW$201,AW75,$BF$2:$BF$201,1,$H$2:$H$201,H75,$AX$2:$AX$201,"&lt;"&amp;AX75)=0,1,0),0)</f>
        <v>0</v>
      </c>
      <c r="BH75" s="23" t="n">
        <f aca="false">IF(AND(AY75=1,ISNUMBER(R75)),1,0)</f>
        <v>0</v>
      </c>
      <c r="BI75" s="23" t="n">
        <f aca="false">IF(BH75=1,IF(COUNTIFS($AW$2:$AW$201,AW75,$BH$2:$BH$201,1,$H$2:$H$201,"&lt;"&amp;H75)+COUNTIFS($AW$2:$AW$201,AW75,$BH$2:$BH$201,1,$H$2:$H$201,H75,$AX$2:$AX$201,"&lt;"&amp;AX75)=0,1,0),0)</f>
        <v>0</v>
      </c>
      <c r="BJ75" s="23" t="str">
        <f aca="false">IF(AND(BI75=1,INT(N(H75))&lt;=Config!$B$6),R75,"")</f>
        <v/>
      </c>
      <c r="BK75" s="23" t="str">
        <f aca="false">IF(AND(BI75=1,INT(N(H75))&lt;=Config!$B$7),R75,"")</f>
        <v/>
      </c>
      <c r="BL75" s="23" t="str">
        <f aca="false">IF(AND(BI75=1,INT(N(H75))&lt;=Config!$B$8),R75,"")</f>
        <v/>
      </c>
      <c r="BM75" s="23" t="str">
        <f aca="false">IF(AND(BI75=1,INT(N(H75))&lt;=Config!$B$5),R75,"")</f>
        <v/>
      </c>
      <c r="BN75" s="23" t="n">
        <f aca="false">IF(AND(AY75=1,ISNUMBER(V75)),1,0)</f>
        <v>0</v>
      </c>
      <c r="BO75" s="23" t="n">
        <f aca="false">IF(BN75=1,IF(COUNTIFS($AW$2:$AW$201,AW75,$BN$2:$BN$201,1,$H$2:$H$201,"&lt;"&amp;H75)+COUNTIFS($AW$2:$AW$201,AW75,$BN$2:$BN$201,1,$H$2:$H$201,H75,$AX$2:$AX$201,"&lt;"&amp;AX75)=0,1,0),0)</f>
        <v>0</v>
      </c>
      <c r="BP75" s="23" t="str">
        <f aca="false">IF(AND(BO75=1,INT(N(H75))&lt;=Config!$B$6),V75,"")</f>
        <v/>
      </c>
      <c r="BQ75" s="23" t="str">
        <f aca="false">IF(AND(BO75=1,INT(N(H75))&lt;=Config!$B$7),V75,"")</f>
        <v/>
      </c>
      <c r="BR75" s="23" t="str">
        <f aca="false">IF(AND(BO75=1,INT(N(H75))&lt;=Config!$B$8),V75,"")</f>
        <v/>
      </c>
      <c r="BS75" s="23" t="str">
        <f aca="false">IF(AND(BO75=1,INT(N(H75))&lt;=Config!$B$5),V75,"")</f>
        <v/>
      </c>
      <c r="BT75" s="23" t="n">
        <f aca="false">IF(AND(AY75=1,ISNUMBER(K75)),1,0)</f>
        <v>0</v>
      </c>
      <c r="BU75" s="23" t="n">
        <f aca="false">IF(BT75=1,IF(COUNTIFS($AW$2:$AW$201,AW75,$BT$2:$BT$201,1,$H$2:$H$201,"&lt;"&amp;H75)+COUNTIFS($AW$2:$AW$201,AW75,$BT$2:$BT$201,1,$H$2:$H$201,H75,$AX$2:$AX$201,"&lt;"&amp;AX75)=0,1,0),0)</f>
        <v>0</v>
      </c>
      <c r="BV75" s="23" t="str">
        <f aca="false">IF(AND(BU75=1,INT(N(H75))&lt;=Config!$B$5),K75,"")</f>
        <v/>
      </c>
      <c r="BW75" s="23" t="n">
        <f aca="false">IF(AND(AY75=1,OR(AND(ISNUMBER(R75),TRIM(S75)=""),AND(ISNUMBER(V75),TRIM(W75)=""))),1,0)</f>
        <v>0</v>
      </c>
      <c r="BX75" s="23" t="str">
        <f aca="false">IF(AY75=1,AJ75&amp;"","")</f>
        <v/>
      </c>
      <c r="BY75" s="23" t="str">
        <f aca="false">IF(AY75=1,AK75&amp;"","")</f>
        <v/>
      </c>
      <c r="BZ75" s="23" t="str">
        <f aca="false">IF(AY75=1,AL75&amp;"","")</f>
        <v/>
      </c>
      <c r="CA75" s="23" t="str">
        <f aca="false">IF(AND(AY75=1,ISNUMBER(AS75),INT(N(H75))&lt;=Config!$B$5),AS75,"")</f>
        <v/>
      </c>
      <c r="CB75" s="23" t="str">
        <f aca="false">IF(AY75=1,IF(COUNTIFS($A$2:$A$201,$A75,$CU$2:$CU$201,1,$AN$2:$AN$201,"Y")&gt;0,"Y","N"),"")</f>
        <v/>
      </c>
      <c r="CC75" s="23" t="n">
        <f aca="false">IF(AND(AY75=1,AN75="Y"),IF(COUNTIFS($AW$2:$AW$201,AW75,$AN$2:$AN$201,"Y",$AY$2:$AY$201,1,$H$2:$H$201,"&lt;"&amp;H75)+COUNTIFS($AW$2:$AW$201,AW75,$AN$2:$AN$201,"Y",$AY$2:$AY$201,1,$H$2:$H$201,H75,$AX$2:$AX$201,"&lt;"&amp;AX75)=0,1,0),0)</f>
        <v>0</v>
      </c>
      <c r="CD75" s="23" t="n">
        <f aca="false">IF(AND(AY75=1,AB75="Y",AC75="Y",AD75="Y",AE75="Y",AF75="Y",AG75="Y",AI75="Y",TRIM(AH75)&lt;&gt;""),1,0)</f>
        <v>0</v>
      </c>
      <c r="CE75" s="23" t="n">
        <f aca="false">IF(CD75=1,IF(COUNTIFS($AW$2:$AW$201,AW75,$CD$2:$CD$201,1,$H$2:$H$201,"&lt;"&amp;H75)+COUNTIFS($AW$2:$AW$201,AW75,$CD$2:$CD$201,1,$H$2:$H$201,H75,$AX$2:$AX$201,"&lt;"&amp;AX75)=0,1,0),0)</f>
        <v>0</v>
      </c>
      <c r="CF75" s="23" t="n">
        <f aca="false">IF(AND(AY75=1,AO75="Y"),1,0)</f>
        <v>0</v>
      </c>
      <c r="CG75" s="23" t="n">
        <f aca="false">IF(CF75=1,IF(COUNTIFS($AW$2:$AW$201,AW75,$CF$2:$CF$201,1,$H$2:$H$201,"&lt;"&amp;H75)+COUNTIFS($AW$2:$AW$201,AW75,$CF$2:$CF$201,1,$H$2:$H$201,H75,$AX$2:$AX$201,"&lt;"&amp;AX75)=0,1,0),0)</f>
        <v>0</v>
      </c>
      <c r="CH75" s="23" t="n">
        <f aca="false">IF(AND(AY75=1,P75="Y"),1,0)</f>
        <v>0</v>
      </c>
      <c r="CI75" s="23" t="n">
        <f aca="false">IF(CH75=1,IF(COUNTIFS($AW$2:$AW$201,AW75,$CH$2:$CH$201,1,$H$2:$H$201,"&lt;"&amp;H75)+COUNTIFS($AW$2:$AW$201,AW75,$CH$2:$CH$201,1,$H$2:$H$201,H75,$AX$2:$AX$201,"&lt;"&amp;AX75)=0,1,0),0)</f>
        <v>0</v>
      </c>
      <c r="CJ75" s="23" t="str">
        <f aca="false">IF(AND(BU75=1,INT(N(H75))&lt;=Config!$B$5),L75,"")</f>
        <v/>
      </c>
      <c r="CK75" s="23" t="n">
        <f aca="false">IF(AND(AY75=1,AR75="Y"),1,0)</f>
        <v>0</v>
      </c>
      <c r="CL75" s="23" t="n">
        <f aca="false">IF(CK75=1,IF(COUNTIFS($AW$2:$AW$201,AW75,$CK$2:$CK$201,1,$H$2:$H$201,"&lt;"&amp;H75)+COUNTIFS($AW$2:$AW$201,AW75,$CK$2:$CK$201,1,$H$2:$H$201,H75,$AX$2:$AX$201,"&lt;"&amp;AX75)=0,1,0),0)</f>
        <v>0</v>
      </c>
      <c r="CM75" s="23" t="str">
        <f aca="false">IF(AY75=1,IFERROR(MATCH($A75,INDEX(Clay_Brands!$A$2:$FZ$601,0,Sync!$D$5),0),""),"")</f>
        <v/>
      </c>
      <c r="CN75" s="23" t="str">
        <f aca="false">IF(CM75="","",IFERROR(INDEX(Clay_Brands!$A$2:$FZ$601,CM75,Sync!$D$7)&amp;"",""))</f>
        <v/>
      </c>
      <c r="CO75" s="23" t="str">
        <f aca="false">IF(CN75="","",IFERROR(INDEX(Lists!$K$2:$K$15,MATCH(CN75,Lists!$J$2:$J$15,0)),""))</f>
        <v/>
      </c>
      <c r="CP75" s="23" t="str">
        <f aca="false">IF(CM75="","",IFERROR(INDEX(Clay_Brands!$A$2:$FZ$601,CM75,Sync!$D$17)&amp;"",""))</f>
        <v/>
      </c>
      <c r="CQ75" s="35" t="str">
        <f aca="false">IF(CM75="","",IFERROR(N(INDEX(Clay_Brands!$A$2:$FZ$601,CM75,Sync!$D$16)),0))</f>
        <v/>
      </c>
      <c r="CR75" s="23" t="n">
        <f aca="false">IF(AND(AY75=1,OR(O75="N",AND(OR(ISNUMBER(R75),ISNUMBER(V75)),MAX(N(R75),N(V75))&lt;Config!$B$14))),1,0)</f>
        <v>0</v>
      </c>
      <c r="CS75" s="23" t="n">
        <f aca="false">IF(OR(BB75=1,CR75=1),1,0)</f>
        <v>0</v>
      </c>
      <c r="CT75" s="23" t="n">
        <f aca="false">IF(AND(AY75=1,OR(AN75="Y",AN75="N",AN75="maybe")),1,0)</f>
        <v>0</v>
      </c>
      <c r="CU75" s="23" t="n">
        <f aca="false">IF(AND(CT75=1),IF(COUNTIFS($A$2:$A$201,$A75,$CT$2:$CT$201,1,$H$2:$H$201,"&gt;"&amp;H75)+COUNTIFS($A$2:$A$201,$A75,$CT$2:$CT$201,1,$H$2:$H$201,H75,$AX$2:$AX$201,"&gt;"&amp;AX75)=0,1,0),0)</f>
        <v>0</v>
      </c>
      <c r="CV75" s="23" t="n">
        <f aca="false">IF(AND(CS75=1,INT(N(H75))&lt;=Config!$B$6),IF(COUNTIFS($AW$2:$AW$201,AW75,$CS$2:$CS$201,1,$H$2:$H$201,"&gt;"&amp;H75,$H$2:$H$201,"&lt;"&amp;(Config!$B$6+1))+COUNTIFS($AW$2:$AW$201,AW75,$CS$2:$CS$201,1,$H$2:$H$201,H75,$AX$2:$AX$201,"&gt;"&amp;AX75)=0,1,0),0)</f>
        <v>0</v>
      </c>
      <c r="CW75" s="23" t="n">
        <f aca="false">IF(AND(CS75=1,INT(N(H75))&lt;=Config!$B$7),IF(COUNTIFS($AW$2:$AW$201,AW75,$CS$2:$CS$201,1,$H$2:$H$201,"&gt;"&amp;H75,$H$2:$H$201,"&lt;"&amp;(Config!$B$7+1))+COUNTIFS($AW$2:$AW$201,AW75,$CS$2:$CS$201,1,$H$2:$H$201,H75,$AX$2:$AX$201,"&gt;"&amp;AX75)=0,1,0),0)</f>
        <v>0</v>
      </c>
      <c r="CX75" s="23" t="n">
        <f aca="false">IF(AND(CS75=1,INT(N(H75))&lt;=Config!$B$8),IF(COUNTIFS($AW$2:$AW$201,AW75,$CS$2:$CS$201,1,$H$2:$H$201,"&gt;"&amp;H75,$H$2:$H$201,"&lt;"&amp;(Config!$B$8+1))+COUNTIFS($AW$2:$AW$201,AW75,$CS$2:$CS$201,1,$H$2:$H$201,H75,$AX$2:$AX$201,"&gt;"&amp;AX75)=0,1,0),0)</f>
        <v>0</v>
      </c>
      <c r="CY75" s="23" t="n">
        <f aca="false">IF(AND(CS75=1,INT(N(H75))&lt;=Config!$B$5),IF(COUNTIFS($AW$2:$AW$201,AW75,$CS$2:$CS$201,1,$H$2:$H$201,"&gt;"&amp;H75,$H$2:$H$201,"&lt;"&amp;(Config!$B$5+1))+COUNTIFS($AW$2:$AW$201,AW75,$CS$2:$CS$201,1,$H$2:$H$201,H75,$AX$2:$AX$201,"&gt;"&amp;AX75)=0,1,0),0)</f>
        <v>0</v>
      </c>
      <c r="CZ75" s="23" t="n">
        <f aca="false">IF(AY75=1,IF(COUNTIFS($AW$2:$AW$201,AW75,$CV$2:$CV$201,1,$BB$2:$BB$201,1)&gt;0,1,0),0)</f>
        <v>0</v>
      </c>
      <c r="DA75" s="23" t="n">
        <f aca="false">IF(AY75=1,IF(COUNTIFS($AW$2:$AW$201,AW75,$CW$2:$CW$201,1,$BB$2:$BB$201,1)&gt;0,1,0),0)</f>
        <v>0</v>
      </c>
      <c r="DB75" s="23" t="n">
        <f aca="false">IF(AY75=1,IF(COUNTIFS($AW$2:$AW$201,AW75,$CX$2:$CX$201,1,$BB$2:$BB$201,1)&gt;0,1,0),0)</f>
        <v>0</v>
      </c>
      <c r="DC75" s="23" t="n">
        <f aca="false">IF(AY75=1,IF(COUNTIFS($AW$2:$AW$201,AW75,$CY$2:$CY$201,1,$BB$2:$BB$201,1)&gt;0,1,0),0)</f>
        <v>0</v>
      </c>
      <c r="DD75" s="23" t="n">
        <f aca="false">IF(AND(BC75=1,INT(N(H75))&lt;=Config!$B$6,CZ75=1),1,0)</f>
        <v>0</v>
      </c>
      <c r="DE75" s="23" t="n">
        <f aca="false">IF(AND(BC75=1,INT(N(H75))&lt;=Config!$B$7,DA75=1),1,0)</f>
        <v>0</v>
      </c>
      <c r="DF75" s="23" t="n">
        <f aca="false">IF(AND(BC75=1,INT(N(H75))&lt;=Config!$B$8,DB75=1),1,0)</f>
        <v>0</v>
      </c>
      <c r="DG75" s="23" t="n">
        <f aca="false">IF(AND(BC75=1,INT(N(H75))&lt;=Config!$B$5,DC75=1),1,0)</f>
        <v>0</v>
      </c>
      <c r="DH75" s="23" t="n">
        <f aca="false">IF(AND(BE75=1,INT(N(H75))&lt;=Config!$B$6,CZ75=1),1,0)</f>
        <v>0</v>
      </c>
      <c r="DI75" s="23" t="n">
        <f aca="false">IF(AND(BE75=1,INT(N(H75))&lt;=Config!$B$7,DA75=1),1,0)</f>
        <v>0</v>
      </c>
      <c r="DJ75" s="23" t="n">
        <f aca="false">IF(AND(BE75=1,INT(N(H75))&lt;=Config!$B$8,DB75=1),1,0)</f>
        <v>0</v>
      </c>
      <c r="DK75" s="23" t="n">
        <f aca="false">IF(AND(BE75=1,INT(N(H75))&lt;=Config!$B$5,DC75=1),1,0)</f>
        <v>0</v>
      </c>
      <c r="DL75" s="23" t="n">
        <f aca="false">IF(AND(BC75=1,INT(N(H75))&lt;=Config!$B$6,CZ75=0),1,0)</f>
        <v>0</v>
      </c>
      <c r="DM75" s="23" t="n">
        <f aca="false">IF(AND(BC75=1,INT(N(H75))&lt;=Config!$B$7,DA75=0),1,0)</f>
        <v>0</v>
      </c>
      <c r="DN75" s="23" t="n">
        <f aca="false">IF(AND(BC75=1,INT(N(H75))&lt;=Config!$B$8,DB75=0),1,0)</f>
        <v>0</v>
      </c>
      <c r="DO75" s="23" t="n">
        <f aca="false">IF(AND(BC75=1,INT(N(H75))&lt;=Config!$B$5,DC75=0),1,0)</f>
        <v>0</v>
      </c>
      <c r="DP75" s="23" t="n">
        <f aca="false">IF(TRIM($A75)="",0,ISTEXT(K75)+ISTEXT(L75)+ISTEXT(R75)+ISTEXT(V75)+ISTEXT(AP75)+ISTEXT(AS75))</f>
        <v>0</v>
      </c>
      <c r="DQ75" s="23" t="n">
        <f aca="false">IF(AY75=1,IF(H75&lt;&gt;INT(H75),1,0),0)</f>
        <v>0</v>
      </c>
      <c r="DR75" s="23" t="str">
        <f aca="false">IF(TRIM($A75)="","",IF(TRIM(B75)="",SUBSTITUTE(SUBSTITUTE(SUBSTITUTE(SUBSTITUTE(SUBSTITUTE(SUBSTITUTE(LOWER(TRIM($A75)),"~",""),"*",""),"?",""),"&lt;",""),"&gt;",""),"=",""),SUBSTITUTE(SUBSTITUTE(SUBSTITUTE(SUBSTITUTE(SUBSTITUTE(SUBSTITUTE(LOWER(TRIM(B75)),"~",""),"*",""),"?",""),"&lt;",""),"&gt;",""),"=","")))</f>
        <v/>
      </c>
      <c r="DS75" s="23" t="str">
        <f aca="false">IF(CM75="","",IFERROR(IF(LEFT(LOWER(TRIM(INDEX(Clay_Brands!$A$2:$FZ$601,CM75,Sync!$D$19)&amp;"")),4)="grp-",SUBSTITUTE(SUBSTITUTE(SUBSTITUTE(SUBSTITUTE(SUBSTITUTE(SUBSTITUTE(LOWER(TRIM(INDEX(Clay_Brands!$A$2:$FZ$601,CM75,Sync!$D$19)&amp;"")),"~",""),"*",""),"?",""),"&lt;",""),"&gt;",""),"=",""),""),""))</f>
        <v/>
      </c>
      <c r="DT75" s="23" t="str">
        <f aca="false">IF(DS75&lt;&gt;"",DR75,"")</f>
        <v/>
      </c>
      <c r="DU75" s="23" t="str">
        <f aca="false">IF(AZ75=1,AW75,"")</f>
        <v/>
      </c>
      <c r="DV75" s="23" t="str">
        <f aca="false">IF(TRIM($A75)="","",IFERROR(INDEX($A$2:$A$201,MATCH(AW75,$DU$2:$DU$201,0))&amp;"",$A75&amp;""))</f>
        <v/>
      </c>
      <c r="DW75" s="23" t="n">
        <f aca="false">IF(AY75=1,IF(COUNTIFS($A$2:$A$201,$A75,$AY$2:$AY$201,1,$H$2:$H$201,"&lt;"&amp;H75)+COUNTIFS($A$2:$A$201,$A75,$AY$2:$AY$201,1,$H$2:$H$201,H75,$AX$2:$AX$201,"&lt;"&amp;AX75)=0,1,0),0)</f>
        <v>0</v>
      </c>
      <c r="DX75" s="23" t="n">
        <f aca="false">IF(AZ75=1,IF(COUNTIFS($AW$2:$AW$201,AW75,$DW$2:$DW$201,1)&gt;1,1,0),0)</f>
        <v>0</v>
      </c>
    </row>
    <row r="76" customFormat="false" ht="15" hidden="false" customHeight="false" outlineLevel="0" collapsed="false">
      <c r="G76" s="32"/>
      <c r="H76" s="33"/>
      <c r="I76" s="32"/>
      <c r="O76" s="32"/>
      <c r="P76" s="32"/>
      <c r="U76" s="32"/>
      <c r="Y76" s="32"/>
      <c r="AB76" s="32"/>
      <c r="AC76" s="32"/>
      <c r="AD76" s="32"/>
      <c r="AE76" s="32"/>
      <c r="AF76" s="32"/>
      <c r="AG76" s="32"/>
      <c r="AI76" s="32"/>
      <c r="AJ76" s="32"/>
      <c r="AK76" s="32"/>
      <c r="AN76" s="32"/>
      <c r="AO76" s="32"/>
      <c r="AR76" s="32"/>
      <c r="AT76" s="32"/>
      <c r="AV76" s="34" t="str">
        <f aca="false">IF(TRIM($A76)="","",IF(AND(LEFT($A76,6)="SAMPLE",Config!$B$19&lt;&gt;"Y"),"",IF(NOT(ISNUMBER(H76)),"call_date is blank or not a date",IF(Sync!$D$5="","Clay paste is empty or has no row_id column: paste the Clay export on Clay_Brands",IF(CM76="","row_id not found in the Clay paste: add the Clay row or fix the row_id",IF(AND(ISNUMBER(CO76),CO76&gt;=1,CO76&lt;=5),"Clay status is "&amp;CN76&amp;": set call_done or later",IF(AND(BA76=1,CP76&lt;&gt;CB76),"Clay yes_in_principle should be "&amp;CB76,IF(AND(BA76=1,CQ76&lt;&gt;H76),"Clay call_date should be "&amp;TEXT(H76,"yyyy-mm-dd"),""))))))))</f>
        <v/>
      </c>
      <c r="AW76" s="23" t="str">
        <f aca="false">IF(TRIM($A76)="","",IF(TRIM(C76)&lt;&gt;"",SUBSTITUTE(SUBSTITUTE(SUBSTITUTE(SUBSTITUTE(SUBSTITUTE(SUBSTITUTE(LOWER(TRIM(C76)),"~",""),"*",""),"?",""),"&lt;",""),"&gt;",""),"=",""),IF(DS76&lt;&gt;"",DS76,IFERROR(INDEX($DS$2:$DS$201,MATCH(DR76,$DT$2:$DT$201,0)),DR76))))</f>
        <v/>
      </c>
      <c r="AX76" s="23" t="n">
        <f aca="false">ROW()</f>
        <v>76</v>
      </c>
      <c r="AY76" s="23" t="n">
        <f aca="false">IF(AND(TRIM($A76)&lt;&gt;"",ISNUMBER(H76)),IF(AND(LEFT($A76,6)="SAMPLE",Config!$B$19&lt;&gt;"Y"),0,1),0)</f>
        <v>0</v>
      </c>
      <c r="AZ76" s="23" t="n">
        <f aca="false">IF(AY76=1,IF(COUNTIFS($AW$2:$AW$201,AW76,$AY$2:$AY$201,1,$H$2:$H$201,"&lt;"&amp;H76)+COUNTIFS($AW$2:$AW$201,AW76,$AY$2:$AY$201,1,$H$2:$H$201,H76,$AX$2:$AX$201,"&lt;"&amp;AX76)=0,1,0),0)</f>
        <v>0</v>
      </c>
      <c r="BA76" s="23" t="n">
        <f aca="false">IF(AY76=1,IF(COUNTIFS($A$2:$A$201,$A76,$AY$2:$AY$201,1,$H$2:$H$201,"&gt;"&amp;H76)+COUNTIFS($A$2:$A$201,$A76,$AY$2:$AY$201,1,$H$2:$H$201,H76,$AX$2:$AX$201,"&gt;"&amp;AX76)=0,1,0),0)</f>
        <v>0</v>
      </c>
      <c r="BB76" s="23" t="n">
        <f aca="false">IF(AND(AY76=1,O76="Y",MAX(N(R76),N(V76))&gt;=Config!$B$14),1,0)</f>
        <v>0</v>
      </c>
      <c r="BC76" s="23" t="n">
        <f aca="false">IF(BB76=1,IF(COUNTIFS($AW$2:$AW$201,AW76,$BB$2:$BB$201,1,$H$2:$H$201,"&lt;"&amp;H76)+COUNTIFS($AW$2:$AW$201,AW76,$BB$2:$BB$201,1,$H$2:$H$201,H76,$AX$2:$AX$201,"&lt;"&amp;AX76)=0,1,0),0)</f>
        <v>0</v>
      </c>
      <c r="BD76" s="23" t="n">
        <f aca="false">IF(AND(AY76=1,O76="Y",ISNUMBER(R76)),IF(R76&gt;=Config!$B$14,1,0),0)</f>
        <v>0</v>
      </c>
      <c r="BE76" s="23" t="n">
        <f aca="false">IF(BD76=1,IF(COUNTIFS($AW$2:$AW$201,AW76,$BD$2:$BD$201,1,$H$2:$H$201,"&lt;"&amp;H76)+COUNTIFS($AW$2:$AW$201,AW76,$BD$2:$BD$201,1,$H$2:$H$201,H76,$AX$2:$AX$201,"&lt;"&amp;AX76)=0,1,0),0)</f>
        <v>0</v>
      </c>
      <c r="BF76" s="23" t="n">
        <f aca="false">IF(AND(AY76=1,O76&lt;&gt;"Y",MAX(N(R76),N(V76))&gt;=Config!$B$14),1,0)</f>
        <v>0</v>
      </c>
      <c r="BG76" s="23" t="n">
        <f aca="false">IF(BF76=1,IF(COUNTIFS($AW$2:$AW$201,AW76,$BF$2:$BF$201,1,$H$2:$H$201,"&lt;"&amp;H76)+COUNTIFS($AW$2:$AW$201,AW76,$BF$2:$BF$201,1,$H$2:$H$201,H76,$AX$2:$AX$201,"&lt;"&amp;AX76)=0,1,0),0)</f>
        <v>0</v>
      </c>
      <c r="BH76" s="23" t="n">
        <f aca="false">IF(AND(AY76=1,ISNUMBER(R76)),1,0)</f>
        <v>0</v>
      </c>
      <c r="BI76" s="23" t="n">
        <f aca="false">IF(BH76=1,IF(COUNTIFS($AW$2:$AW$201,AW76,$BH$2:$BH$201,1,$H$2:$H$201,"&lt;"&amp;H76)+COUNTIFS($AW$2:$AW$201,AW76,$BH$2:$BH$201,1,$H$2:$H$201,H76,$AX$2:$AX$201,"&lt;"&amp;AX76)=0,1,0),0)</f>
        <v>0</v>
      </c>
      <c r="BJ76" s="23" t="str">
        <f aca="false">IF(AND(BI76=1,INT(N(H76))&lt;=Config!$B$6),R76,"")</f>
        <v/>
      </c>
      <c r="BK76" s="23" t="str">
        <f aca="false">IF(AND(BI76=1,INT(N(H76))&lt;=Config!$B$7),R76,"")</f>
        <v/>
      </c>
      <c r="BL76" s="23" t="str">
        <f aca="false">IF(AND(BI76=1,INT(N(H76))&lt;=Config!$B$8),R76,"")</f>
        <v/>
      </c>
      <c r="BM76" s="23" t="str">
        <f aca="false">IF(AND(BI76=1,INT(N(H76))&lt;=Config!$B$5),R76,"")</f>
        <v/>
      </c>
      <c r="BN76" s="23" t="n">
        <f aca="false">IF(AND(AY76=1,ISNUMBER(V76)),1,0)</f>
        <v>0</v>
      </c>
      <c r="BO76" s="23" t="n">
        <f aca="false">IF(BN76=1,IF(COUNTIFS($AW$2:$AW$201,AW76,$BN$2:$BN$201,1,$H$2:$H$201,"&lt;"&amp;H76)+COUNTIFS($AW$2:$AW$201,AW76,$BN$2:$BN$201,1,$H$2:$H$201,H76,$AX$2:$AX$201,"&lt;"&amp;AX76)=0,1,0),0)</f>
        <v>0</v>
      </c>
      <c r="BP76" s="23" t="str">
        <f aca="false">IF(AND(BO76=1,INT(N(H76))&lt;=Config!$B$6),V76,"")</f>
        <v/>
      </c>
      <c r="BQ76" s="23" t="str">
        <f aca="false">IF(AND(BO76=1,INT(N(H76))&lt;=Config!$B$7),V76,"")</f>
        <v/>
      </c>
      <c r="BR76" s="23" t="str">
        <f aca="false">IF(AND(BO76=1,INT(N(H76))&lt;=Config!$B$8),V76,"")</f>
        <v/>
      </c>
      <c r="BS76" s="23" t="str">
        <f aca="false">IF(AND(BO76=1,INT(N(H76))&lt;=Config!$B$5),V76,"")</f>
        <v/>
      </c>
      <c r="BT76" s="23" t="n">
        <f aca="false">IF(AND(AY76=1,ISNUMBER(K76)),1,0)</f>
        <v>0</v>
      </c>
      <c r="BU76" s="23" t="n">
        <f aca="false">IF(BT76=1,IF(COUNTIFS($AW$2:$AW$201,AW76,$BT$2:$BT$201,1,$H$2:$H$201,"&lt;"&amp;H76)+COUNTIFS($AW$2:$AW$201,AW76,$BT$2:$BT$201,1,$H$2:$H$201,H76,$AX$2:$AX$201,"&lt;"&amp;AX76)=0,1,0),0)</f>
        <v>0</v>
      </c>
      <c r="BV76" s="23" t="str">
        <f aca="false">IF(AND(BU76=1,INT(N(H76))&lt;=Config!$B$5),K76,"")</f>
        <v/>
      </c>
      <c r="BW76" s="23" t="n">
        <f aca="false">IF(AND(AY76=1,OR(AND(ISNUMBER(R76),TRIM(S76)=""),AND(ISNUMBER(V76),TRIM(W76)=""))),1,0)</f>
        <v>0</v>
      </c>
      <c r="BX76" s="23" t="str">
        <f aca="false">IF(AY76=1,AJ76&amp;"","")</f>
        <v/>
      </c>
      <c r="BY76" s="23" t="str">
        <f aca="false">IF(AY76=1,AK76&amp;"","")</f>
        <v/>
      </c>
      <c r="BZ76" s="23" t="str">
        <f aca="false">IF(AY76=1,AL76&amp;"","")</f>
        <v/>
      </c>
      <c r="CA76" s="23" t="str">
        <f aca="false">IF(AND(AY76=1,ISNUMBER(AS76),INT(N(H76))&lt;=Config!$B$5),AS76,"")</f>
        <v/>
      </c>
      <c r="CB76" s="23" t="str">
        <f aca="false">IF(AY76=1,IF(COUNTIFS($A$2:$A$201,$A76,$CU$2:$CU$201,1,$AN$2:$AN$201,"Y")&gt;0,"Y","N"),"")</f>
        <v/>
      </c>
      <c r="CC76" s="23" t="n">
        <f aca="false">IF(AND(AY76=1,AN76="Y"),IF(COUNTIFS($AW$2:$AW$201,AW76,$AN$2:$AN$201,"Y",$AY$2:$AY$201,1,$H$2:$H$201,"&lt;"&amp;H76)+COUNTIFS($AW$2:$AW$201,AW76,$AN$2:$AN$201,"Y",$AY$2:$AY$201,1,$H$2:$H$201,H76,$AX$2:$AX$201,"&lt;"&amp;AX76)=0,1,0),0)</f>
        <v>0</v>
      </c>
      <c r="CD76" s="23" t="n">
        <f aca="false">IF(AND(AY76=1,AB76="Y",AC76="Y",AD76="Y",AE76="Y",AF76="Y",AG76="Y",AI76="Y",TRIM(AH76)&lt;&gt;""),1,0)</f>
        <v>0</v>
      </c>
      <c r="CE76" s="23" t="n">
        <f aca="false">IF(CD76=1,IF(COUNTIFS($AW$2:$AW$201,AW76,$CD$2:$CD$201,1,$H$2:$H$201,"&lt;"&amp;H76)+COUNTIFS($AW$2:$AW$201,AW76,$CD$2:$CD$201,1,$H$2:$H$201,H76,$AX$2:$AX$201,"&lt;"&amp;AX76)=0,1,0),0)</f>
        <v>0</v>
      </c>
      <c r="CF76" s="23" t="n">
        <f aca="false">IF(AND(AY76=1,AO76="Y"),1,0)</f>
        <v>0</v>
      </c>
      <c r="CG76" s="23" t="n">
        <f aca="false">IF(CF76=1,IF(COUNTIFS($AW$2:$AW$201,AW76,$CF$2:$CF$201,1,$H$2:$H$201,"&lt;"&amp;H76)+COUNTIFS($AW$2:$AW$201,AW76,$CF$2:$CF$201,1,$H$2:$H$201,H76,$AX$2:$AX$201,"&lt;"&amp;AX76)=0,1,0),0)</f>
        <v>0</v>
      </c>
      <c r="CH76" s="23" t="n">
        <f aca="false">IF(AND(AY76=1,P76="Y"),1,0)</f>
        <v>0</v>
      </c>
      <c r="CI76" s="23" t="n">
        <f aca="false">IF(CH76=1,IF(COUNTIFS($AW$2:$AW$201,AW76,$CH$2:$CH$201,1,$H$2:$H$201,"&lt;"&amp;H76)+COUNTIFS($AW$2:$AW$201,AW76,$CH$2:$CH$201,1,$H$2:$H$201,H76,$AX$2:$AX$201,"&lt;"&amp;AX76)=0,1,0),0)</f>
        <v>0</v>
      </c>
      <c r="CJ76" s="23" t="str">
        <f aca="false">IF(AND(BU76=1,INT(N(H76))&lt;=Config!$B$5),L76,"")</f>
        <v/>
      </c>
      <c r="CK76" s="23" t="n">
        <f aca="false">IF(AND(AY76=1,AR76="Y"),1,0)</f>
        <v>0</v>
      </c>
      <c r="CL76" s="23" t="n">
        <f aca="false">IF(CK76=1,IF(COUNTIFS($AW$2:$AW$201,AW76,$CK$2:$CK$201,1,$H$2:$H$201,"&lt;"&amp;H76)+COUNTIFS($AW$2:$AW$201,AW76,$CK$2:$CK$201,1,$H$2:$H$201,H76,$AX$2:$AX$201,"&lt;"&amp;AX76)=0,1,0),0)</f>
        <v>0</v>
      </c>
      <c r="CM76" s="23" t="str">
        <f aca="false">IF(AY76=1,IFERROR(MATCH($A76,INDEX(Clay_Brands!$A$2:$FZ$601,0,Sync!$D$5),0),""),"")</f>
        <v/>
      </c>
      <c r="CN76" s="23" t="str">
        <f aca="false">IF(CM76="","",IFERROR(INDEX(Clay_Brands!$A$2:$FZ$601,CM76,Sync!$D$7)&amp;"",""))</f>
        <v/>
      </c>
      <c r="CO76" s="23" t="str">
        <f aca="false">IF(CN76="","",IFERROR(INDEX(Lists!$K$2:$K$15,MATCH(CN76,Lists!$J$2:$J$15,0)),""))</f>
        <v/>
      </c>
      <c r="CP76" s="23" t="str">
        <f aca="false">IF(CM76="","",IFERROR(INDEX(Clay_Brands!$A$2:$FZ$601,CM76,Sync!$D$17)&amp;"",""))</f>
        <v/>
      </c>
      <c r="CQ76" s="35" t="str">
        <f aca="false">IF(CM76="","",IFERROR(N(INDEX(Clay_Brands!$A$2:$FZ$601,CM76,Sync!$D$16)),0))</f>
        <v/>
      </c>
      <c r="CR76" s="23" t="n">
        <f aca="false">IF(AND(AY76=1,OR(O76="N",AND(OR(ISNUMBER(R76),ISNUMBER(V76)),MAX(N(R76),N(V76))&lt;Config!$B$14))),1,0)</f>
        <v>0</v>
      </c>
      <c r="CS76" s="23" t="n">
        <f aca="false">IF(OR(BB76=1,CR76=1),1,0)</f>
        <v>0</v>
      </c>
      <c r="CT76" s="23" t="n">
        <f aca="false">IF(AND(AY76=1,OR(AN76="Y",AN76="N",AN76="maybe")),1,0)</f>
        <v>0</v>
      </c>
      <c r="CU76" s="23" t="n">
        <f aca="false">IF(AND(CT76=1),IF(COUNTIFS($A$2:$A$201,$A76,$CT$2:$CT$201,1,$H$2:$H$201,"&gt;"&amp;H76)+COUNTIFS($A$2:$A$201,$A76,$CT$2:$CT$201,1,$H$2:$H$201,H76,$AX$2:$AX$201,"&gt;"&amp;AX76)=0,1,0),0)</f>
        <v>0</v>
      </c>
      <c r="CV76" s="23" t="n">
        <f aca="false">IF(AND(CS76=1,INT(N(H76))&lt;=Config!$B$6),IF(COUNTIFS($AW$2:$AW$201,AW76,$CS$2:$CS$201,1,$H$2:$H$201,"&gt;"&amp;H76,$H$2:$H$201,"&lt;"&amp;(Config!$B$6+1))+COUNTIFS($AW$2:$AW$201,AW76,$CS$2:$CS$201,1,$H$2:$H$201,H76,$AX$2:$AX$201,"&gt;"&amp;AX76)=0,1,0),0)</f>
        <v>0</v>
      </c>
      <c r="CW76" s="23" t="n">
        <f aca="false">IF(AND(CS76=1,INT(N(H76))&lt;=Config!$B$7),IF(COUNTIFS($AW$2:$AW$201,AW76,$CS$2:$CS$201,1,$H$2:$H$201,"&gt;"&amp;H76,$H$2:$H$201,"&lt;"&amp;(Config!$B$7+1))+COUNTIFS($AW$2:$AW$201,AW76,$CS$2:$CS$201,1,$H$2:$H$201,H76,$AX$2:$AX$201,"&gt;"&amp;AX76)=0,1,0),0)</f>
        <v>0</v>
      </c>
      <c r="CX76" s="23" t="n">
        <f aca="false">IF(AND(CS76=1,INT(N(H76))&lt;=Config!$B$8),IF(COUNTIFS($AW$2:$AW$201,AW76,$CS$2:$CS$201,1,$H$2:$H$201,"&gt;"&amp;H76,$H$2:$H$201,"&lt;"&amp;(Config!$B$8+1))+COUNTIFS($AW$2:$AW$201,AW76,$CS$2:$CS$201,1,$H$2:$H$201,H76,$AX$2:$AX$201,"&gt;"&amp;AX76)=0,1,0),0)</f>
        <v>0</v>
      </c>
      <c r="CY76" s="23" t="n">
        <f aca="false">IF(AND(CS76=1,INT(N(H76))&lt;=Config!$B$5),IF(COUNTIFS($AW$2:$AW$201,AW76,$CS$2:$CS$201,1,$H$2:$H$201,"&gt;"&amp;H76,$H$2:$H$201,"&lt;"&amp;(Config!$B$5+1))+COUNTIFS($AW$2:$AW$201,AW76,$CS$2:$CS$201,1,$H$2:$H$201,H76,$AX$2:$AX$201,"&gt;"&amp;AX76)=0,1,0),0)</f>
        <v>0</v>
      </c>
      <c r="CZ76" s="23" t="n">
        <f aca="false">IF(AY76=1,IF(COUNTIFS($AW$2:$AW$201,AW76,$CV$2:$CV$201,1,$BB$2:$BB$201,1)&gt;0,1,0),0)</f>
        <v>0</v>
      </c>
      <c r="DA76" s="23" t="n">
        <f aca="false">IF(AY76=1,IF(COUNTIFS($AW$2:$AW$201,AW76,$CW$2:$CW$201,1,$BB$2:$BB$201,1)&gt;0,1,0),0)</f>
        <v>0</v>
      </c>
      <c r="DB76" s="23" t="n">
        <f aca="false">IF(AY76=1,IF(COUNTIFS($AW$2:$AW$201,AW76,$CX$2:$CX$201,1,$BB$2:$BB$201,1)&gt;0,1,0),0)</f>
        <v>0</v>
      </c>
      <c r="DC76" s="23" t="n">
        <f aca="false">IF(AY76=1,IF(COUNTIFS($AW$2:$AW$201,AW76,$CY$2:$CY$201,1,$BB$2:$BB$201,1)&gt;0,1,0),0)</f>
        <v>0</v>
      </c>
      <c r="DD76" s="23" t="n">
        <f aca="false">IF(AND(BC76=1,INT(N(H76))&lt;=Config!$B$6,CZ76=1),1,0)</f>
        <v>0</v>
      </c>
      <c r="DE76" s="23" t="n">
        <f aca="false">IF(AND(BC76=1,INT(N(H76))&lt;=Config!$B$7,DA76=1),1,0)</f>
        <v>0</v>
      </c>
      <c r="DF76" s="23" t="n">
        <f aca="false">IF(AND(BC76=1,INT(N(H76))&lt;=Config!$B$8,DB76=1),1,0)</f>
        <v>0</v>
      </c>
      <c r="DG76" s="23" t="n">
        <f aca="false">IF(AND(BC76=1,INT(N(H76))&lt;=Config!$B$5,DC76=1),1,0)</f>
        <v>0</v>
      </c>
      <c r="DH76" s="23" t="n">
        <f aca="false">IF(AND(BE76=1,INT(N(H76))&lt;=Config!$B$6,CZ76=1),1,0)</f>
        <v>0</v>
      </c>
      <c r="DI76" s="23" t="n">
        <f aca="false">IF(AND(BE76=1,INT(N(H76))&lt;=Config!$B$7,DA76=1),1,0)</f>
        <v>0</v>
      </c>
      <c r="DJ76" s="23" t="n">
        <f aca="false">IF(AND(BE76=1,INT(N(H76))&lt;=Config!$B$8,DB76=1),1,0)</f>
        <v>0</v>
      </c>
      <c r="DK76" s="23" t="n">
        <f aca="false">IF(AND(BE76=1,INT(N(H76))&lt;=Config!$B$5,DC76=1),1,0)</f>
        <v>0</v>
      </c>
      <c r="DL76" s="23" t="n">
        <f aca="false">IF(AND(BC76=1,INT(N(H76))&lt;=Config!$B$6,CZ76=0),1,0)</f>
        <v>0</v>
      </c>
      <c r="DM76" s="23" t="n">
        <f aca="false">IF(AND(BC76=1,INT(N(H76))&lt;=Config!$B$7,DA76=0),1,0)</f>
        <v>0</v>
      </c>
      <c r="DN76" s="23" t="n">
        <f aca="false">IF(AND(BC76=1,INT(N(H76))&lt;=Config!$B$8,DB76=0),1,0)</f>
        <v>0</v>
      </c>
      <c r="DO76" s="23" t="n">
        <f aca="false">IF(AND(BC76=1,INT(N(H76))&lt;=Config!$B$5,DC76=0),1,0)</f>
        <v>0</v>
      </c>
      <c r="DP76" s="23" t="n">
        <f aca="false">IF(TRIM($A76)="",0,ISTEXT(K76)+ISTEXT(L76)+ISTEXT(R76)+ISTEXT(V76)+ISTEXT(AP76)+ISTEXT(AS76))</f>
        <v>0</v>
      </c>
      <c r="DQ76" s="23" t="n">
        <f aca="false">IF(AY76=1,IF(H76&lt;&gt;INT(H76),1,0),0)</f>
        <v>0</v>
      </c>
      <c r="DR76" s="23" t="str">
        <f aca="false">IF(TRIM($A76)="","",IF(TRIM(B76)="",SUBSTITUTE(SUBSTITUTE(SUBSTITUTE(SUBSTITUTE(SUBSTITUTE(SUBSTITUTE(LOWER(TRIM($A76)),"~",""),"*",""),"?",""),"&lt;",""),"&gt;",""),"=",""),SUBSTITUTE(SUBSTITUTE(SUBSTITUTE(SUBSTITUTE(SUBSTITUTE(SUBSTITUTE(LOWER(TRIM(B76)),"~",""),"*",""),"?",""),"&lt;",""),"&gt;",""),"=","")))</f>
        <v/>
      </c>
      <c r="DS76" s="23" t="str">
        <f aca="false">IF(CM76="","",IFERROR(IF(LEFT(LOWER(TRIM(INDEX(Clay_Brands!$A$2:$FZ$601,CM76,Sync!$D$19)&amp;"")),4)="grp-",SUBSTITUTE(SUBSTITUTE(SUBSTITUTE(SUBSTITUTE(SUBSTITUTE(SUBSTITUTE(LOWER(TRIM(INDEX(Clay_Brands!$A$2:$FZ$601,CM76,Sync!$D$19)&amp;"")),"~",""),"*",""),"?",""),"&lt;",""),"&gt;",""),"=",""),""),""))</f>
        <v/>
      </c>
      <c r="DT76" s="23" t="str">
        <f aca="false">IF(DS76&lt;&gt;"",DR76,"")</f>
        <v/>
      </c>
      <c r="DU76" s="23" t="str">
        <f aca="false">IF(AZ76=1,AW76,"")</f>
        <v/>
      </c>
      <c r="DV76" s="23" t="str">
        <f aca="false">IF(TRIM($A76)="","",IFERROR(INDEX($A$2:$A$201,MATCH(AW76,$DU$2:$DU$201,0))&amp;"",$A76&amp;""))</f>
        <v/>
      </c>
      <c r="DW76" s="23" t="n">
        <f aca="false">IF(AY76=1,IF(COUNTIFS($A$2:$A$201,$A76,$AY$2:$AY$201,1,$H$2:$H$201,"&lt;"&amp;H76)+COUNTIFS($A$2:$A$201,$A76,$AY$2:$AY$201,1,$H$2:$H$201,H76,$AX$2:$AX$201,"&lt;"&amp;AX76)=0,1,0),0)</f>
        <v>0</v>
      </c>
      <c r="DX76" s="23" t="n">
        <f aca="false">IF(AZ76=1,IF(COUNTIFS($AW$2:$AW$201,AW76,$DW$2:$DW$201,1)&gt;1,1,0),0)</f>
        <v>0</v>
      </c>
    </row>
    <row r="77" customFormat="false" ht="15" hidden="false" customHeight="false" outlineLevel="0" collapsed="false">
      <c r="G77" s="32"/>
      <c r="H77" s="33"/>
      <c r="I77" s="32"/>
      <c r="O77" s="32"/>
      <c r="P77" s="32"/>
      <c r="U77" s="32"/>
      <c r="Y77" s="32"/>
      <c r="AB77" s="32"/>
      <c r="AC77" s="32"/>
      <c r="AD77" s="32"/>
      <c r="AE77" s="32"/>
      <c r="AF77" s="32"/>
      <c r="AG77" s="32"/>
      <c r="AI77" s="32"/>
      <c r="AJ77" s="32"/>
      <c r="AK77" s="32"/>
      <c r="AN77" s="32"/>
      <c r="AO77" s="32"/>
      <c r="AR77" s="32"/>
      <c r="AT77" s="32"/>
      <c r="AV77" s="34" t="str">
        <f aca="false">IF(TRIM($A77)="","",IF(AND(LEFT($A77,6)="SAMPLE",Config!$B$19&lt;&gt;"Y"),"",IF(NOT(ISNUMBER(H77)),"call_date is blank or not a date",IF(Sync!$D$5="","Clay paste is empty or has no row_id column: paste the Clay export on Clay_Brands",IF(CM77="","row_id not found in the Clay paste: add the Clay row or fix the row_id",IF(AND(ISNUMBER(CO77),CO77&gt;=1,CO77&lt;=5),"Clay status is "&amp;CN77&amp;": set call_done or later",IF(AND(BA77=1,CP77&lt;&gt;CB77),"Clay yes_in_principle should be "&amp;CB77,IF(AND(BA77=1,CQ77&lt;&gt;H77),"Clay call_date should be "&amp;TEXT(H77,"yyyy-mm-dd"),""))))))))</f>
        <v/>
      </c>
      <c r="AW77" s="23" t="str">
        <f aca="false">IF(TRIM($A77)="","",IF(TRIM(C77)&lt;&gt;"",SUBSTITUTE(SUBSTITUTE(SUBSTITUTE(SUBSTITUTE(SUBSTITUTE(SUBSTITUTE(LOWER(TRIM(C77)),"~",""),"*",""),"?",""),"&lt;",""),"&gt;",""),"=",""),IF(DS77&lt;&gt;"",DS77,IFERROR(INDEX($DS$2:$DS$201,MATCH(DR77,$DT$2:$DT$201,0)),DR77))))</f>
        <v/>
      </c>
      <c r="AX77" s="23" t="n">
        <f aca="false">ROW()</f>
        <v>77</v>
      </c>
      <c r="AY77" s="23" t="n">
        <f aca="false">IF(AND(TRIM($A77)&lt;&gt;"",ISNUMBER(H77)),IF(AND(LEFT($A77,6)="SAMPLE",Config!$B$19&lt;&gt;"Y"),0,1),0)</f>
        <v>0</v>
      </c>
      <c r="AZ77" s="23" t="n">
        <f aca="false">IF(AY77=1,IF(COUNTIFS($AW$2:$AW$201,AW77,$AY$2:$AY$201,1,$H$2:$H$201,"&lt;"&amp;H77)+COUNTIFS($AW$2:$AW$201,AW77,$AY$2:$AY$201,1,$H$2:$H$201,H77,$AX$2:$AX$201,"&lt;"&amp;AX77)=0,1,0),0)</f>
        <v>0</v>
      </c>
      <c r="BA77" s="23" t="n">
        <f aca="false">IF(AY77=1,IF(COUNTIFS($A$2:$A$201,$A77,$AY$2:$AY$201,1,$H$2:$H$201,"&gt;"&amp;H77)+COUNTIFS($A$2:$A$201,$A77,$AY$2:$AY$201,1,$H$2:$H$201,H77,$AX$2:$AX$201,"&gt;"&amp;AX77)=0,1,0),0)</f>
        <v>0</v>
      </c>
      <c r="BB77" s="23" t="n">
        <f aca="false">IF(AND(AY77=1,O77="Y",MAX(N(R77),N(V77))&gt;=Config!$B$14),1,0)</f>
        <v>0</v>
      </c>
      <c r="BC77" s="23" t="n">
        <f aca="false">IF(BB77=1,IF(COUNTIFS($AW$2:$AW$201,AW77,$BB$2:$BB$201,1,$H$2:$H$201,"&lt;"&amp;H77)+COUNTIFS($AW$2:$AW$201,AW77,$BB$2:$BB$201,1,$H$2:$H$201,H77,$AX$2:$AX$201,"&lt;"&amp;AX77)=0,1,0),0)</f>
        <v>0</v>
      </c>
      <c r="BD77" s="23" t="n">
        <f aca="false">IF(AND(AY77=1,O77="Y",ISNUMBER(R77)),IF(R77&gt;=Config!$B$14,1,0),0)</f>
        <v>0</v>
      </c>
      <c r="BE77" s="23" t="n">
        <f aca="false">IF(BD77=1,IF(COUNTIFS($AW$2:$AW$201,AW77,$BD$2:$BD$201,1,$H$2:$H$201,"&lt;"&amp;H77)+COUNTIFS($AW$2:$AW$201,AW77,$BD$2:$BD$201,1,$H$2:$H$201,H77,$AX$2:$AX$201,"&lt;"&amp;AX77)=0,1,0),0)</f>
        <v>0</v>
      </c>
      <c r="BF77" s="23" t="n">
        <f aca="false">IF(AND(AY77=1,O77&lt;&gt;"Y",MAX(N(R77),N(V77))&gt;=Config!$B$14),1,0)</f>
        <v>0</v>
      </c>
      <c r="BG77" s="23" t="n">
        <f aca="false">IF(BF77=1,IF(COUNTIFS($AW$2:$AW$201,AW77,$BF$2:$BF$201,1,$H$2:$H$201,"&lt;"&amp;H77)+COUNTIFS($AW$2:$AW$201,AW77,$BF$2:$BF$201,1,$H$2:$H$201,H77,$AX$2:$AX$201,"&lt;"&amp;AX77)=0,1,0),0)</f>
        <v>0</v>
      </c>
      <c r="BH77" s="23" t="n">
        <f aca="false">IF(AND(AY77=1,ISNUMBER(R77)),1,0)</f>
        <v>0</v>
      </c>
      <c r="BI77" s="23" t="n">
        <f aca="false">IF(BH77=1,IF(COUNTIFS($AW$2:$AW$201,AW77,$BH$2:$BH$201,1,$H$2:$H$201,"&lt;"&amp;H77)+COUNTIFS($AW$2:$AW$201,AW77,$BH$2:$BH$201,1,$H$2:$H$201,H77,$AX$2:$AX$201,"&lt;"&amp;AX77)=0,1,0),0)</f>
        <v>0</v>
      </c>
      <c r="BJ77" s="23" t="str">
        <f aca="false">IF(AND(BI77=1,INT(N(H77))&lt;=Config!$B$6),R77,"")</f>
        <v/>
      </c>
      <c r="BK77" s="23" t="str">
        <f aca="false">IF(AND(BI77=1,INT(N(H77))&lt;=Config!$B$7),R77,"")</f>
        <v/>
      </c>
      <c r="BL77" s="23" t="str">
        <f aca="false">IF(AND(BI77=1,INT(N(H77))&lt;=Config!$B$8),R77,"")</f>
        <v/>
      </c>
      <c r="BM77" s="23" t="str">
        <f aca="false">IF(AND(BI77=1,INT(N(H77))&lt;=Config!$B$5),R77,"")</f>
        <v/>
      </c>
      <c r="BN77" s="23" t="n">
        <f aca="false">IF(AND(AY77=1,ISNUMBER(V77)),1,0)</f>
        <v>0</v>
      </c>
      <c r="BO77" s="23" t="n">
        <f aca="false">IF(BN77=1,IF(COUNTIFS($AW$2:$AW$201,AW77,$BN$2:$BN$201,1,$H$2:$H$201,"&lt;"&amp;H77)+COUNTIFS($AW$2:$AW$201,AW77,$BN$2:$BN$201,1,$H$2:$H$201,H77,$AX$2:$AX$201,"&lt;"&amp;AX77)=0,1,0),0)</f>
        <v>0</v>
      </c>
      <c r="BP77" s="23" t="str">
        <f aca="false">IF(AND(BO77=1,INT(N(H77))&lt;=Config!$B$6),V77,"")</f>
        <v/>
      </c>
      <c r="BQ77" s="23" t="str">
        <f aca="false">IF(AND(BO77=1,INT(N(H77))&lt;=Config!$B$7),V77,"")</f>
        <v/>
      </c>
      <c r="BR77" s="23" t="str">
        <f aca="false">IF(AND(BO77=1,INT(N(H77))&lt;=Config!$B$8),V77,"")</f>
        <v/>
      </c>
      <c r="BS77" s="23" t="str">
        <f aca="false">IF(AND(BO77=1,INT(N(H77))&lt;=Config!$B$5),V77,"")</f>
        <v/>
      </c>
      <c r="BT77" s="23" t="n">
        <f aca="false">IF(AND(AY77=1,ISNUMBER(K77)),1,0)</f>
        <v>0</v>
      </c>
      <c r="BU77" s="23" t="n">
        <f aca="false">IF(BT77=1,IF(COUNTIFS($AW$2:$AW$201,AW77,$BT$2:$BT$201,1,$H$2:$H$201,"&lt;"&amp;H77)+COUNTIFS($AW$2:$AW$201,AW77,$BT$2:$BT$201,1,$H$2:$H$201,H77,$AX$2:$AX$201,"&lt;"&amp;AX77)=0,1,0),0)</f>
        <v>0</v>
      </c>
      <c r="BV77" s="23" t="str">
        <f aca="false">IF(AND(BU77=1,INT(N(H77))&lt;=Config!$B$5),K77,"")</f>
        <v/>
      </c>
      <c r="BW77" s="23" t="n">
        <f aca="false">IF(AND(AY77=1,OR(AND(ISNUMBER(R77),TRIM(S77)=""),AND(ISNUMBER(V77),TRIM(W77)=""))),1,0)</f>
        <v>0</v>
      </c>
      <c r="BX77" s="23" t="str">
        <f aca="false">IF(AY77=1,AJ77&amp;"","")</f>
        <v/>
      </c>
      <c r="BY77" s="23" t="str">
        <f aca="false">IF(AY77=1,AK77&amp;"","")</f>
        <v/>
      </c>
      <c r="BZ77" s="23" t="str">
        <f aca="false">IF(AY77=1,AL77&amp;"","")</f>
        <v/>
      </c>
      <c r="CA77" s="23" t="str">
        <f aca="false">IF(AND(AY77=1,ISNUMBER(AS77),INT(N(H77))&lt;=Config!$B$5),AS77,"")</f>
        <v/>
      </c>
      <c r="CB77" s="23" t="str">
        <f aca="false">IF(AY77=1,IF(COUNTIFS($A$2:$A$201,$A77,$CU$2:$CU$201,1,$AN$2:$AN$201,"Y")&gt;0,"Y","N"),"")</f>
        <v/>
      </c>
      <c r="CC77" s="23" t="n">
        <f aca="false">IF(AND(AY77=1,AN77="Y"),IF(COUNTIFS($AW$2:$AW$201,AW77,$AN$2:$AN$201,"Y",$AY$2:$AY$201,1,$H$2:$H$201,"&lt;"&amp;H77)+COUNTIFS($AW$2:$AW$201,AW77,$AN$2:$AN$201,"Y",$AY$2:$AY$201,1,$H$2:$H$201,H77,$AX$2:$AX$201,"&lt;"&amp;AX77)=0,1,0),0)</f>
        <v>0</v>
      </c>
      <c r="CD77" s="23" t="n">
        <f aca="false">IF(AND(AY77=1,AB77="Y",AC77="Y",AD77="Y",AE77="Y",AF77="Y",AG77="Y",AI77="Y",TRIM(AH77)&lt;&gt;""),1,0)</f>
        <v>0</v>
      </c>
      <c r="CE77" s="23" t="n">
        <f aca="false">IF(CD77=1,IF(COUNTIFS($AW$2:$AW$201,AW77,$CD$2:$CD$201,1,$H$2:$H$201,"&lt;"&amp;H77)+COUNTIFS($AW$2:$AW$201,AW77,$CD$2:$CD$201,1,$H$2:$H$201,H77,$AX$2:$AX$201,"&lt;"&amp;AX77)=0,1,0),0)</f>
        <v>0</v>
      </c>
      <c r="CF77" s="23" t="n">
        <f aca="false">IF(AND(AY77=1,AO77="Y"),1,0)</f>
        <v>0</v>
      </c>
      <c r="CG77" s="23" t="n">
        <f aca="false">IF(CF77=1,IF(COUNTIFS($AW$2:$AW$201,AW77,$CF$2:$CF$201,1,$H$2:$H$201,"&lt;"&amp;H77)+COUNTIFS($AW$2:$AW$201,AW77,$CF$2:$CF$201,1,$H$2:$H$201,H77,$AX$2:$AX$201,"&lt;"&amp;AX77)=0,1,0),0)</f>
        <v>0</v>
      </c>
      <c r="CH77" s="23" t="n">
        <f aca="false">IF(AND(AY77=1,P77="Y"),1,0)</f>
        <v>0</v>
      </c>
      <c r="CI77" s="23" t="n">
        <f aca="false">IF(CH77=1,IF(COUNTIFS($AW$2:$AW$201,AW77,$CH$2:$CH$201,1,$H$2:$H$201,"&lt;"&amp;H77)+COUNTIFS($AW$2:$AW$201,AW77,$CH$2:$CH$201,1,$H$2:$H$201,H77,$AX$2:$AX$201,"&lt;"&amp;AX77)=0,1,0),0)</f>
        <v>0</v>
      </c>
      <c r="CJ77" s="23" t="str">
        <f aca="false">IF(AND(BU77=1,INT(N(H77))&lt;=Config!$B$5),L77,"")</f>
        <v/>
      </c>
      <c r="CK77" s="23" t="n">
        <f aca="false">IF(AND(AY77=1,AR77="Y"),1,0)</f>
        <v>0</v>
      </c>
      <c r="CL77" s="23" t="n">
        <f aca="false">IF(CK77=1,IF(COUNTIFS($AW$2:$AW$201,AW77,$CK$2:$CK$201,1,$H$2:$H$201,"&lt;"&amp;H77)+COUNTIFS($AW$2:$AW$201,AW77,$CK$2:$CK$201,1,$H$2:$H$201,H77,$AX$2:$AX$201,"&lt;"&amp;AX77)=0,1,0),0)</f>
        <v>0</v>
      </c>
      <c r="CM77" s="23" t="str">
        <f aca="false">IF(AY77=1,IFERROR(MATCH($A77,INDEX(Clay_Brands!$A$2:$FZ$601,0,Sync!$D$5),0),""),"")</f>
        <v/>
      </c>
      <c r="CN77" s="23" t="str">
        <f aca="false">IF(CM77="","",IFERROR(INDEX(Clay_Brands!$A$2:$FZ$601,CM77,Sync!$D$7)&amp;"",""))</f>
        <v/>
      </c>
      <c r="CO77" s="23" t="str">
        <f aca="false">IF(CN77="","",IFERROR(INDEX(Lists!$K$2:$K$15,MATCH(CN77,Lists!$J$2:$J$15,0)),""))</f>
        <v/>
      </c>
      <c r="CP77" s="23" t="str">
        <f aca="false">IF(CM77="","",IFERROR(INDEX(Clay_Brands!$A$2:$FZ$601,CM77,Sync!$D$17)&amp;"",""))</f>
        <v/>
      </c>
      <c r="CQ77" s="35" t="str">
        <f aca="false">IF(CM77="","",IFERROR(N(INDEX(Clay_Brands!$A$2:$FZ$601,CM77,Sync!$D$16)),0))</f>
        <v/>
      </c>
      <c r="CR77" s="23" t="n">
        <f aca="false">IF(AND(AY77=1,OR(O77="N",AND(OR(ISNUMBER(R77),ISNUMBER(V77)),MAX(N(R77),N(V77))&lt;Config!$B$14))),1,0)</f>
        <v>0</v>
      </c>
      <c r="CS77" s="23" t="n">
        <f aca="false">IF(OR(BB77=1,CR77=1),1,0)</f>
        <v>0</v>
      </c>
      <c r="CT77" s="23" t="n">
        <f aca="false">IF(AND(AY77=1,OR(AN77="Y",AN77="N",AN77="maybe")),1,0)</f>
        <v>0</v>
      </c>
      <c r="CU77" s="23" t="n">
        <f aca="false">IF(AND(CT77=1),IF(COUNTIFS($A$2:$A$201,$A77,$CT$2:$CT$201,1,$H$2:$H$201,"&gt;"&amp;H77)+COUNTIFS($A$2:$A$201,$A77,$CT$2:$CT$201,1,$H$2:$H$201,H77,$AX$2:$AX$201,"&gt;"&amp;AX77)=0,1,0),0)</f>
        <v>0</v>
      </c>
      <c r="CV77" s="23" t="n">
        <f aca="false">IF(AND(CS77=1,INT(N(H77))&lt;=Config!$B$6),IF(COUNTIFS($AW$2:$AW$201,AW77,$CS$2:$CS$201,1,$H$2:$H$201,"&gt;"&amp;H77,$H$2:$H$201,"&lt;"&amp;(Config!$B$6+1))+COUNTIFS($AW$2:$AW$201,AW77,$CS$2:$CS$201,1,$H$2:$H$201,H77,$AX$2:$AX$201,"&gt;"&amp;AX77)=0,1,0),0)</f>
        <v>0</v>
      </c>
      <c r="CW77" s="23" t="n">
        <f aca="false">IF(AND(CS77=1,INT(N(H77))&lt;=Config!$B$7),IF(COUNTIFS($AW$2:$AW$201,AW77,$CS$2:$CS$201,1,$H$2:$H$201,"&gt;"&amp;H77,$H$2:$H$201,"&lt;"&amp;(Config!$B$7+1))+COUNTIFS($AW$2:$AW$201,AW77,$CS$2:$CS$201,1,$H$2:$H$201,H77,$AX$2:$AX$201,"&gt;"&amp;AX77)=0,1,0),0)</f>
        <v>0</v>
      </c>
      <c r="CX77" s="23" t="n">
        <f aca="false">IF(AND(CS77=1,INT(N(H77))&lt;=Config!$B$8),IF(COUNTIFS($AW$2:$AW$201,AW77,$CS$2:$CS$201,1,$H$2:$H$201,"&gt;"&amp;H77,$H$2:$H$201,"&lt;"&amp;(Config!$B$8+1))+COUNTIFS($AW$2:$AW$201,AW77,$CS$2:$CS$201,1,$H$2:$H$201,H77,$AX$2:$AX$201,"&gt;"&amp;AX77)=0,1,0),0)</f>
        <v>0</v>
      </c>
      <c r="CY77" s="23" t="n">
        <f aca="false">IF(AND(CS77=1,INT(N(H77))&lt;=Config!$B$5),IF(COUNTIFS($AW$2:$AW$201,AW77,$CS$2:$CS$201,1,$H$2:$H$201,"&gt;"&amp;H77,$H$2:$H$201,"&lt;"&amp;(Config!$B$5+1))+COUNTIFS($AW$2:$AW$201,AW77,$CS$2:$CS$201,1,$H$2:$H$201,H77,$AX$2:$AX$201,"&gt;"&amp;AX77)=0,1,0),0)</f>
        <v>0</v>
      </c>
      <c r="CZ77" s="23" t="n">
        <f aca="false">IF(AY77=1,IF(COUNTIFS($AW$2:$AW$201,AW77,$CV$2:$CV$201,1,$BB$2:$BB$201,1)&gt;0,1,0),0)</f>
        <v>0</v>
      </c>
      <c r="DA77" s="23" t="n">
        <f aca="false">IF(AY77=1,IF(COUNTIFS($AW$2:$AW$201,AW77,$CW$2:$CW$201,1,$BB$2:$BB$201,1)&gt;0,1,0),0)</f>
        <v>0</v>
      </c>
      <c r="DB77" s="23" t="n">
        <f aca="false">IF(AY77=1,IF(COUNTIFS($AW$2:$AW$201,AW77,$CX$2:$CX$201,1,$BB$2:$BB$201,1)&gt;0,1,0),0)</f>
        <v>0</v>
      </c>
      <c r="DC77" s="23" t="n">
        <f aca="false">IF(AY77=1,IF(COUNTIFS($AW$2:$AW$201,AW77,$CY$2:$CY$201,1,$BB$2:$BB$201,1)&gt;0,1,0),0)</f>
        <v>0</v>
      </c>
      <c r="DD77" s="23" t="n">
        <f aca="false">IF(AND(BC77=1,INT(N(H77))&lt;=Config!$B$6,CZ77=1),1,0)</f>
        <v>0</v>
      </c>
      <c r="DE77" s="23" t="n">
        <f aca="false">IF(AND(BC77=1,INT(N(H77))&lt;=Config!$B$7,DA77=1),1,0)</f>
        <v>0</v>
      </c>
      <c r="DF77" s="23" t="n">
        <f aca="false">IF(AND(BC77=1,INT(N(H77))&lt;=Config!$B$8,DB77=1),1,0)</f>
        <v>0</v>
      </c>
      <c r="DG77" s="23" t="n">
        <f aca="false">IF(AND(BC77=1,INT(N(H77))&lt;=Config!$B$5,DC77=1),1,0)</f>
        <v>0</v>
      </c>
      <c r="DH77" s="23" t="n">
        <f aca="false">IF(AND(BE77=1,INT(N(H77))&lt;=Config!$B$6,CZ77=1),1,0)</f>
        <v>0</v>
      </c>
      <c r="DI77" s="23" t="n">
        <f aca="false">IF(AND(BE77=1,INT(N(H77))&lt;=Config!$B$7,DA77=1),1,0)</f>
        <v>0</v>
      </c>
      <c r="DJ77" s="23" t="n">
        <f aca="false">IF(AND(BE77=1,INT(N(H77))&lt;=Config!$B$8,DB77=1),1,0)</f>
        <v>0</v>
      </c>
      <c r="DK77" s="23" t="n">
        <f aca="false">IF(AND(BE77=1,INT(N(H77))&lt;=Config!$B$5,DC77=1),1,0)</f>
        <v>0</v>
      </c>
      <c r="DL77" s="23" t="n">
        <f aca="false">IF(AND(BC77=1,INT(N(H77))&lt;=Config!$B$6,CZ77=0),1,0)</f>
        <v>0</v>
      </c>
      <c r="DM77" s="23" t="n">
        <f aca="false">IF(AND(BC77=1,INT(N(H77))&lt;=Config!$B$7,DA77=0),1,0)</f>
        <v>0</v>
      </c>
      <c r="DN77" s="23" t="n">
        <f aca="false">IF(AND(BC77=1,INT(N(H77))&lt;=Config!$B$8,DB77=0),1,0)</f>
        <v>0</v>
      </c>
      <c r="DO77" s="23" t="n">
        <f aca="false">IF(AND(BC77=1,INT(N(H77))&lt;=Config!$B$5,DC77=0),1,0)</f>
        <v>0</v>
      </c>
      <c r="DP77" s="23" t="n">
        <f aca="false">IF(TRIM($A77)="",0,ISTEXT(K77)+ISTEXT(L77)+ISTEXT(R77)+ISTEXT(V77)+ISTEXT(AP77)+ISTEXT(AS77))</f>
        <v>0</v>
      </c>
      <c r="DQ77" s="23" t="n">
        <f aca="false">IF(AY77=1,IF(H77&lt;&gt;INT(H77),1,0),0)</f>
        <v>0</v>
      </c>
      <c r="DR77" s="23" t="str">
        <f aca="false">IF(TRIM($A77)="","",IF(TRIM(B77)="",SUBSTITUTE(SUBSTITUTE(SUBSTITUTE(SUBSTITUTE(SUBSTITUTE(SUBSTITUTE(LOWER(TRIM($A77)),"~",""),"*",""),"?",""),"&lt;",""),"&gt;",""),"=",""),SUBSTITUTE(SUBSTITUTE(SUBSTITUTE(SUBSTITUTE(SUBSTITUTE(SUBSTITUTE(LOWER(TRIM(B77)),"~",""),"*",""),"?",""),"&lt;",""),"&gt;",""),"=","")))</f>
        <v/>
      </c>
      <c r="DS77" s="23" t="str">
        <f aca="false">IF(CM77="","",IFERROR(IF(LEFT(LOWER(TRIM(INDEX(Clay_Brands!$A$2:$FZ$601,CM77,Sync!$D$19)&amp;"")),4)="grp-",SUBSTITUTE(SUBSTITUTE(SUBSTITUTE(SUBSTITUTE(SUBSTITUTE(SUBSTITUTE(LOWER(TRIM(INDEX(Clay_Brands!$A$2:$FZ$601,CM77,Sync!$D$19)&amp;"")),"~",""),"*",""),"?",""),"&lt;",""),"&gt;",""),"=",""),""),""))</f>
        <v/>
      </c>
      <c r="DT77" s="23" t="str">
        <f aca="false">IF(DS77&lt;&gt;"",DR77,"")</f>
        <v/>
      </c>
      <c r="DU77" s="23" t="str">
        <f aca="false">IF(AZ77=1,AW77,"")</f>
        <v/>
      </c>
      <c r="DV77" s="23" t="str">
        <f aca="false">IF(TRIM($A77)="","",IFERROR(INDEX($A$2:$A$201,MATCH(AW77,$DU$2:$DU$201,0))&amp;"",$A77&amp;""))</f>
        <v/>
      </c>
      <c r="DW77" s="23" t="n">
        <f aca="false">IF(AY77=1,IF(COUNTIFS($A$2:$A$201,$A77,$AY$2:$AY$201,1,$H$2:$H$201,"&lt;"&amp;H77)+COUNTIFS($A$2:$A$201,$A77,$AY$2:$AY$201,1,$H$2:$H$201,H77,$AX$2:$AX$201,"&lt;"&amp;AX77)=0,1,0),0)</f>
        <v>0</v>
      </c>
      <c r="DX77" s="23" t="n">
        <f aca="false">IF(AZ77=1,IF(COUNTIFS($AW$2:$AW$201,AW77,$DW$2:$DW$201,1)&gt;1,1,0),0)</f>
        <v>0</v>
      </c>
    </row>
    <row r="78" customFormat="false" ht="15" hidden="false" customHeight="false" outlineLevel="0" collapsed="false">
      <c r="G78" s="32"/>
      <c r="H78" s="33"/>
      <c r="I78" s="32"/>
      <c r="O78" s="32"/>
      <c r="P78" s="32"/>
      <c r="U78" s="32"/>
      <c r="Y78" s="32"/>
      <c r="AB78" s="32"/>
      <c r="AC78" s="32"/>
      <c r="AD78" s="32"/>
      <c r="AE78" s="32"/>
      <c r="AF78" s="32"/>
      <c r="AG78" s="32"/>
      <c r="AI78" s="32"/>
      <c r="AJ78" s="32"/>
      <c r="AK78" s="32"/>
      <c r="AN78" s="32"/>
      <c r="AO78" s="32"/>
      <c r="AR78" s="32"/>
      <c r="AT78" s="32"/>
      <c r="AV78" s="34" t="str">
        <f aca="false">IF(TRIM($A78)="","",IF(AND(LEFT($A78,6)="SAMPLE",Config!$B$19&lt;&gt;"Y"),"",IF(NOT(ISNUMBER(H78)),"call_date is blank or not a date",IF(Sync!$D$5="","Clay paste is empty or has no row_id column: paste the Clay export on Clay_Brands",IF(CM78="","row_id not found in the Clay paste: add the Clay row or fix the row_id",IF(AND(ISNUMBER(CO78),CO78&gt;=1,CO78&lt;=5),"Clay status is "&amp;CN78&amp;": set call_done or later",IF(AND(BA78=1,CP78&lt;&gt;CB78),"Clay yes_in_principle should be "&amp;CB78,IF(AND(BA78=1,CQ78&lt;&gt;H78),"Clay call_date should be "&amp;TEXT(H78,"yyyy-mm-dd"),""))))))))</f>
        <v/>
      </c>
      <c r="AW78" s="23" t="str">
        <f aca="false">IF(TRIM($A78)="","",IF(TRIM(C78)&lt;&gt;"",SUBSTITUTE(SUBSTITUTE(SUBSTITUTE(SUBSTITUTE(SUBSTITUTE(SUBSTITUTE(LOWER(TRIM(C78)),"~",""),"*",""),"?",""),"&lt;",""),"&gt;",""),"=",""),IF(DS78&lt;&gt;"",DS78,IFERROR(INDEX($DS$2:$DS$201,MATCH(DR78,$DT$2:$DT$201,0)),DR78))))</f>
        <v/>
      </c>
      <c r="AX78" s="23" t="n">
        <f aca="false">ROW()</f>
        <v>78</v>
      </c>
      <c r="AY78" s="23" t="n">
        <f aca="false">IF(AND(TRIM($A78)&lt;&gt;"",ISNUMBER(H78)),IF(AND(LEFT($A78,6)="SAMPLE",Config!$B$19&lt;&gt;"Y"),0,1),0)</f>
        <v>0</v>
      </c>
      <c r="AZ78" s="23" t="n">
        <f aca="false">IF(AY78=1,IF(COUNTIFS($AW$2:$AW$201,AW78,$AY$2:$AY$201,1,$H$2:$H$201,"&lt;"&amp;H78)+COUNTIFS($AW$2:$AW$201,AW78,$AY$2:$AY$201,1,$H$2:$H$201,H78,$AX$2:$AX$201,"&lt;"&amp;AX78)=0,1,0),0)</f>
        <v>0</v>
      </c>
      <c r="BA78" s="23" t="n">
        <f aca="false">IF(AY78=1,IF(COUNTIFS($A$2:$A$201,$A78,$AY$2:$AY$201,1,$H$2:$H$201,"&gt;"&amp;H78)+COUNTIFS($A$2:$A$201,$A78,$AY$2:$AY$201,1,$H$2:$H$201,H78,$AX$2:$AX$201,"&gt;"&amp;AX78)=0,1,0),0)</f>
        <v>0</v>
      </c>
      <c r="BB78" s="23" t="n">
        <f aca="false">IF(AND(AY78=1,O78="Y",MAX(N(R78),N(V78))&gt;=Config!$B$14),1,0)</f>
        <v>0</v>
      </c>
      <c r="BC78" s="23" t="n">
        <f aca="false">IF(BB78=1,IF(COUNTIFS($AW$2:$AW$201,AW78,$BB$2:$BB$201,1,$H$2:$H$201,"&lt;"&amp;H78)+COUNTIFS($AW$2:$AW$201,AW78,$BB$2:$BB$201,1,$H$2:$H$201,H78,$AX$2:$AX$201,"&lt;"&amp;AX78)=0,1,0),0)</f>
        <v>0</v>
      </c>
      <c r="BD78" s="23" t="n">
        <f aca="false">IF(AND(AY78=1,O78="Y",ISNUMBER(R78)),IF(R78&gt;=Config!$B$14,1,0),0)</f>
        <v>0</v>
      </c>
      <c r="BE78" s="23" t="n">
        <f aca="false">IF(BD78=1,IF(COUNTIFS($AW$2:$AW$201,AW78,$BD$2:$BD$201,1,$H$2:$H$201,"&lt;"&amp;H78)+COUNTIFS($AW$2:$AW$201,AW78,$BD$2:$BD$201,1,$H$2:$H$201,H78,$AX$2:$AX$201,"&lt;"&amp;AX78)=0,1,0),0)</f>
        <v>0</v>
      </c>
      <c r="BF78" s="23" t="n">
        <f aca="false">IF(AND(AY78=1,O78&lt;&gt;"Y",MAX(N(R78),N(V78))&gt;=Config!$B$14),1,0)</f>
        <v>0</v>
      </c>
      <c r="BG78" s="23" t="n">
        <f aca="false">IF(BF78=1,IF(COUNTIFS($AW$2:$AW$201,AW78,$BF$2:$BF$201,1,$H$2:$H$201,"&lt;"&amp;H78)+COUNTIFS($AW$2:$AW$201,AW78,$BF$2:$BF$201,1,$H$2:$H$201,H78,$AX$2:$AX$201,"&lt;"&amp;AX78)=0,1,0),0)</f>
        <v>0</v>
      </c>
      <c r="BH78" s="23" t="n">
        <f aca="false">IF(AND(AY78=1,ISNUMBER(R78)),1,0)</f>
        <v>0</v>
      </c>
      <c r="BI78" s="23" t="n">
        <f aca="false">IF(BH78=1,IF(COUNTIFS($AW$2:$AW$201,AW78,$BH$2:$BH$201,1,$H$2:$H$201,"&lt;"&amp;H78)+COUNTIFS($AW$2:$AW$201,AW78,$BH$2:$BH$201,1,$H$2:$H$201,H78,$AX$2:$AX$201,"&lt;"&amp;AX78)=0,1,0),0)</f>
        <v>0</v>
      </c>
      <c r="BJ78" s="23" t="str">
        <f aca="false">IF(AND(BI78=1,INT(N(H78))&lt;=Config!$B$6),R78,"")</f>
        <v/>
      </c>
      <c r="BK78" s="23" t="str">
        <f aca="false">IF(AND(BI78=1,INT(N(H78))&lt;=Config!$B$7),R78,"")</f>
        <v/>
      </c>
      <c r="BL78" s="23" t="str">
        <f aca="false">IF(AND(BI78=1,INT(N(H78))&lt;=Config!$B$8),R78,"")</f>
        <v/>
      </c>
      <c r="BM78" s="23" t="str">
        <f aca="false">IF(AND(BI78=1,INT(N(H78))&lt;=Config!$B$5),R78,"")</f>
        <v/>
      </c>
      <c r="BN78" s="23" t="n">
        <f aca="false">IF(AND(AY78=1,ISNUMBER(V78)),1,0)</f>
        <v>0</v>
      </c>
      <c r="BO78" s="23" t="n">
        <f aca="false">IF(BN78=1,IF(COUNTIFS($AW$2:$AW$201,AW78,$BN$2:$BN$201,1,$H$2:$H$201,"&lt;"&amp;H78)+COUNTIFS($AW$2:$AW$201,AW78,$BN$2:$BN$201,1,$H$2:$H$201,H78,$AX$2:$AX$201,"&lt;"&amp;AX78)=0,1,0),0)</f>
        <v>0</v>
      </c>
      <c r="BP78" s="23" t="str">
        <f aca="false">IF(AND(BO78=1,INT(N(H78))&lt;=Config!$B$6),V78,"")</f>
        <v/>
      </c>
      <c r="BQ78" s="23" t="str">
        <f aca="false">IF(AND(BO78=1,INT(N(H78))&lt;=Config!$B$7),V78,"")</f>
        <v/>
      </c>
      <c r="BR78" s="23" t="str">
        <f aca="false">IF(AND(BO78=1,INT(N(H78))&lt;=Config!$B$8),V78,"")</f>
        <v/>
      </c>
      <c r="BS78" s="23" t="str">
        <f aca="false">IF(AND(BO78=1,INT(N(H78))&lt;=Config!$B$5),V78,"")</f>
        <v/>
      </c>
      <c r="BT78" s="23" t="n">
        <f aca="false">IF(AND(AY78=1,ISNUMBER(K78)),1,0)</f>
        <v>0</v>
      </c>
      <c r="BU78" s="23" t="n">
        <f aca="false">IF(BT78=1,IF(COUNTIFS($AW$2:$AW$201,AW78,$BT$2:$BT$201,1,$H$2:$H$201,"&lt;"&amp;H78)+COUNTIFS($AW$2:$AW$201,AW78,$BT$2:$BT$201,1,$H$2:$H$201,H78,$AX$2:$AX$201,"&lt;"&amp;AX78)=0,1,0),0)</f>
        <v>0</v>
      </c>
      <c r="BV78" s="23" t="str">
        <f aca="false">IF(AND(BU78=1,INT(N(H78))&lt;=Config!$B$5),K78,"")</f>
        <v/>
      </c>
      <c r="BW78" s="23" t="n">
        <f aca="false">IF(AND(AY78=1,OR(AND(ISNUMBER(R78),TRIM(S78)=""),AND(ISNUMBER(V78),TRIM(W78)=""))),1,0)</f>
        <v>0</v>
      </c>
      <c r="BX78" s="23" t="str">
        <f aca="false">IF(AY78=1,AJ78&amp;"","")</f>
        <v/>
      </c>
      <c r="BY78" s="23" t="str">
        <f aca="false">IF(AY78=1,AK78&amp;"","")</f>
        <v/>
      </c>
      <c r="BZ78" s="23" t="str">
        <f aca="false">IF(AY78=1,AL78&amp;"","")</f>
        <v/>
      </c>
      <c r="CA78" s="23" t="str">
        <f aca="false">IF(AND(AY78=1,ISNUMBER(AS78),INT(N(H78))&lt;=Config!$B$5),AS78,"")</f>
        <v/>
      </c>
      <c r="CB78" s="23" t="str">
        <f aca="false">IF(AY78=1,IF(COUNTIFS($A$2:$A$201,$A78,$CU$2:$CU$201,1,$AN$2:$AN$201,"Y")&gt;0,"Y","N"),"")</f>
        <v/>
      </c>
      <c r="CC78" s="23" t="n">
        <f aca="false">IF(AND(AY78=1,AN78="Y"),IF(COUNTIFS($AW$2:$AW$201,AW78,$AN$2:$AN$201,"Y",$AY$2:$AY$201,1,$H$2:$H$201,"&lt;"&amp;H78)+COUNTIFS($AW$2:$AW$201,AW78,$AN$2:$AN$201,"Y",$AY$2:$AY$201,1,$H$2:$H$201,H78,$AX$2:$AX$201,"&lt;"&amp;AX78)=0,1,0),0)</f>
        <v>0</v>
      </c>
      <c r="CD78" s="23" t="n">
        <f aca="false">IF(AND(AY78=1,AB78="Y",AC78="Y",AD78="Y",AE78="Y",AF78="Y",AG78="Y",AI78="Y",TRIM(AH78)&lt;&gt;""),1,0)</f>
        <v>0</v>
      </c>
      <c r="CE78" s="23" t="n">
        <f aca="false">IF(CD78=1,IF(COUNTIFS($AW$2:$AW$201,AW78,$CD$2:$CD$201,1,$H$2:$H$201,"&lt;"&amp;H78)+COUNTIFS($AW$2:$AW$201,AW78,$CD$2:$CD$201,1,$H$2:$H$201,H78,$AX$2:$AX$201,"&lt;"&amp;AX78)=0,1,0),0)</f>
        <v>0</v>
      </c>
      <c r="CF78" s="23" t="n">
        <f aca="false">IF(AND(AY78=1,AO78="Y"),1,0)</f>
        <v>0</v>
      </c>
      <c r="CG78" s="23" t="n">
        <f aca="false">IF(CF78=1,IF(COUNTIFS($AW$2:$AW$201,AW78,$CF$2:$CF$201,1,$H$2:$H$201,"&lt;"&amp;H78)+COUNTIFS($AW$2:$AW$201,AW78,$CF$2:$CF$201,1,$H$2:$H$201,H78,$AX$2:$AX$201,"&lt;"&amp;AX78)=0,1,0),0)</f>
        <v>0</v>
      </c>
      <c r="CH78" s="23" t="n">
        <f aca="false">IF(AND(AY78=1,P78="Y"),1,0)</f>
        <v>0</v>
      </c>
      <c r="CI78" s="23" t="n">
        <f aca="false">IF(CH78=1,IF(COUNTIFS($AW$2:$AW$201,AW78,$CH$2:$CH$201,1,$H$2:$H$201,"&lt;"&amp;H78)+COUNTIFS($AW$2:$AW$201,AW78,$CH$2:$CH$201,1,$H$2:$H$201,H78,$AX$2:$AX$201,"&lt;"&amp;AX78)=0,1,0),0)</f>
        <v>0</v>
      </c>
      <c r="CJ78" s="23" t="str">
        <f aca="false">IF(AND(BU78=1,INT(N(H78))&lt;=Config!$B$5),L78,"")</f>
        <v/>
      </c>
      <c r="CK78" s="23" t="n">
        <f aca="false">IF(AND(AY78=1,AR78="Y"),1,0)</f>
        <v>0</v>
      </c>
      <c r="CL78" s="23" t="n">
        <f aca="false">IF(CK78=1,IF(COUNTIFS($AW$2:$AW$201,AW78,$CK$2:$CK$201,1,$H$2:$H$201,"&lt;"&amp;H78)+COUNTIFS($AW$2:$AW$201,AW78,$CK$2:$CK$201,1,$H$2:$H$201,H78,$AX$2:$AX$201,"&lt;"&amp;AX78)=0,1,0),0)</f>
        <v>0</v>
      </c>
      <c r="CM78" s="23" t="str">
        <f aca="false">IF(AY78=1,IFERROR(MATCH($A78,INDEX(Clay_Brands!$A$2:$FZ$601,0,Sync!$D$5),0),""),"")</f>
        <v/>
      </c>
      <c r="CN78" s="23" t="str">
        <f aca="false">IF(CM78="","",IFERROR(INDEX(Clay_Brands!$A$2:$FZ$601,CM78,Sync!$D$7)&amp;"",""))</f>
        <v/>
      </c>
      <c r="CO78" s="23" t="str">
        <f aca="false">IF(CN78="","",IFERROR(INDEX(Lists!$K$2:$K$15,MATCH(CN78,Lists!$J$2:$J$15,0)),""))</f>
        <v/>
      </c>
      <c r="CP78" s="23" t="str">
        <f aca="false">IF(CM78="","",IFERROR(INDEX(Clay_Brands!$A$2:$FZ$601,CM78,Sync!$D$17)&amp;"",""))</f>
        <v/>
      </c>
      <c r="CQ78" s="35" t="str">
        <f aca="false">IF(CM78="","",IFERROR(N(INDEX(Clay_Brands!$A$2:$FZ$601,CM78,Sync!$D$16)),0))</f>
        <v/>
      </c>
      <c r="CR78" s="23" t="n">
        <f aca="false">IF(AND(AY78=1,OR(O78="N",AND(OR(ISNUMBER(R78),ISNUMBER(V78)),MAX(N(R78),N(V78))&lt;Config!$B$14))),1,0)</f>
        <v>0</v>
      </c>
      <c r="CS78" s="23" t="n">
        <f aca="false">IF(OR(BB78=1,CR78=1),1,0)</f>
        <v>0</v>
      </c>
      <c r="CT78" s="23" t="n">
        <f aca="false">IF(AND(AY78=1,OR(AN78="Y",AN78="N",AN78="maybe")),1,0)</f>
        <v>0</v>
      </c>
      <c r="CU78" s="23" t="n">
        <f aca="false">IF(AND(CT78=1),IF(COUNTIFS($A$2:$A$201,$A78,$CT$2:$CT$201,1,$H$2:$H$201,"&gt;"&amp;H78)+COUNTIFS($A$2:$A$201,$A78,$CT$2:$CT$201,1,$H$2:$H$201,H78,$AX$2:$AX$201,"&gt;"&amp;AX78)=0,1,0),0)</f>
        <v>0</v>
      </c>
      <c r="CV78" s="23" t="n">
        <f aca="false">IF(AND(CS78=1,INT(N(H78))&lt;=Config!$B$6),IF(COUNTIFS($AW$2:$AW$201,AW78,$CS$2:$CS$201,1,$H$2:$H$201,"&gt;"&amp;H78,$H$2:$H$201,"&lt;"&amp;(Config!$B$6+1))+COUNTIFS($AW$2:$AW$201,AW78,$CS$2:$CS$201,1,$H$2:$H$201,H78,$AX$2:$AX$201,"&gt;"&amp;AX78)=0,1,0),0)</f>
        <v>0</v>
      </c>
      <c r="CW78" s="23" t="n">
        <f aca="false">IF(AND(CS78=1,INT(N(H78))&lt;=Config!$B$7),IF(COUNTIFS($AW$2:$AW$201,AW78,$CS$2:$CS$201,1,$H$2:$H$201,"&gt;"&amp;H78,$H$2:$H$201,"&lt;"&amp;(Config!$B$7+1))+COUNTIFS($AW$2:$AW$201,AW78,$CS$2:$CS$201,1,$H$2:$H$201,H78,$AX$2:$AX$201,"&gt;"&amp;AX78)=0,1,0),0)</f>
        <v>0</v>
      </c>
      <c r="CX78" s="23" t="n">
        <f aca="false">IF(AND(CS78=1,INT(N(H78))&lt;=Config!$B$8),IF(COUNTIFS($AW$2:$AW$201,AW78,$CS$2:$CS$201,1,$H$2:$H$201,"&gt;"&amp;H78,$H$2:$H$201,"&lt;"&amp;(Config!$B$8+1))+COUNTIFS($AW$2:$AW$201,AW78,$CS$2:$CS$201,1,$H$2:$H$201,H78,$AX$2:$AX$201,"&gt;"&amp;AX78)=0,1,0),0)</f>
        <v>0</v>
      </c>
      <c r="CY78" s="23" t="n">
        <f aca="false">IF(AND(CS78=1,INT(N(H78))&lt;=Config!$B$5),IF(COUNTIFS($AW$2:$AW$201,AW78,$CS$2:$CS$201,1,$H$2:$H$201,"&gt;"&amp;H78,$H$2:$H$201,"&lt;"&amp;(Config!$B$5+1))+COUNTIFS($AW$2:$AW$201,AW78,$CS$2:$CS$201,1,$H$2:$H$201,H78,$AX$2:$AX$201,"&gt;"&amp;AX78)=0,1,0),0)</f>
        <v>0</v>
      </c>
      <c r="CZ78" s="23" t="n">
        <f aca="false">IF(AY78=1,IF(COUNTIFS($AW$2:$AW$201,AW78,$CV$2:$CV$201,1,$BB$2:$BB$201,1)&gt;0,1,0),0)</f>
        <v>0</v>
      </c>
      <c r="DA78" s="23" t="n">
        <f aca="false">IF(AY78=1,IF(COUNTIFS($AW$2:$AW$201,AW78,$CW$2:$CW$201,1,$BB$2:$BB$201,1)&gt;0,1,0),0)</f>
        <v>0</v>
      </c>
      <c r="DB78" s="23" t="n">
        <f aca="false">IF(AY78=1,IF(COUNTIFS($AW$2:$AW$201,AW78,$CX$2:$CX$201,1,$BB$2:$BB$201,1)&gt;0,1,0),0)</f>
        <v>0</v>
      </c>
      <c r="DC78" s="23" t="n">
        <f aca="false">IF(AY78=1,IF(COUNTIFS($AW$2:$AW$201,AW78,$CY$2:$CY$201,1,$BB$2:$BB$201,1)&gt;0,1,0),0)</f>
        <v>0</v>
      </c>
      <c r="DD78" s="23" t="n">
        <f aca="false">IF(AND(BC78=1,INT(N(H78))&lt;=Config!$B$6,CZ78=1),1,0)</f>
        <v>0</v>
      </c>
      <c r="DE78" s="23" t="n">
        <f aca="false">IF(AND(BC78=1,INT(N(H78))&lt;=Config!$B$7,DA78=1),1,0)</f>
        <v>0</v>
      </c>
      <c r="DF78" s="23" t="n">
        <f aca="false">IF(AND(BC78=1,INT(N(H78))&lt;=Config!$B$8,DB78=1),1,0)</f>
        <v>0</v>
      </c>
      <c r="DG78" s="23" t="n">
        <f aca="false">IF(AND(BC78=1,INT(N(H78))&lt;=Config!$B$5,DC78=1),1,0)</f>
        <v>0</v>
      </c>
      <c r="DH78" s="23" t="n">
        <f aca="false">IF(AND(BE78=1,INT(N(H78))&lt;=Config!$B$6,CZ78=1),1,0)</f>
        <v>0</v>
      </c>
      <c r="DI78" s="23" t="n">
        <f aca="false">IF(AND(BE78=1,INT(N(H78))&lt;=Config!$B$7,DA78=1),1,0)</f>
        <v>0</v>
      </c>
      <c r="DJ78" s="23" t="n">
        <f aca="false">IF(AND(BE78=1,INT(N(H78))&lt;=Config!$B$8,DB78=1),1,0)</f>
        <v>0</v>
      </c>
      <c r="DK78" s="23" t="n">
        <f aca="false">IF(AND(BE78=1,INT(N(H78))&lt;=Config!$B$5,DC78=1),1,0)</f>
        <v>0</v>
      </c>
      <c r="DL78" s="23" t="n">
        <f aca="false">IF(AND(BC78=1,INT(N(H78))&lt;=Config!$B$6,CZ78=0),1,0)</f>
        <v>0</v>
      </c>
      <c r="DM78" s="23" t="n">
        <f aca="false">IF(AND(BC78=1,INT(N(H78))&lt;=Config!$B$7,DA78=0),1,0)</f>
        <v>0</v>
      </c>
      <c r="DN78" s="23" t="n">
        <f aca="false">IF(AND(BC78=1,INT(N(H78))&lt;=Config!$B$8,DB78=0),1,0)</f>
        <v>0</v>
      </c>
      <c r="DO78" s="23" t="n">
        <f aca="false">IF(AND(BC78=1,INT(N(H78))&lt;=Config!$B$5,DC78=0),1,0)</f>
        <v>0</v>
      </c>
      <c r="DP78" s="23" t="n">
        <f aca="false">IF(TRIM($A78)="",0,ISTEXT(K78)+ISTEXT(L78)+ISTEXT(R78)+ISTEXT(V78)+ISTEXT(AP78)+ISTEXT(AS78))</f>
        <v>0</v>
      </c>
      <c r="DQ78" s="23" t="n">
        <f aca="false">IF(AY78=1,IF(H78&lt;&gt;INT(H78),1,0),0)</f>
        <v>0</v>
      </c>
      <c r="DR78" s="23" t="str">
        <f aca="false">IF(TRIM($A78)="","",IF(TRIM(B78)="",SUBSTITUTE(SUBSTITUTE(SUBSTITUTE(SUBSTITUTE(SUBSTITUTE(SUBSTITUTE(LOWER(TRIM($A78)),"~",""),"*",""),"?",""),"&lt;",""),"&gt;",""),"=",""),SUBSTITUTE(SUBSTITUTE(SUBSTITUTE(SUBSTITUTE(SUBSTITUTE(SUBSTITUTE(LOWER(TRIM(B78)),"~",""),"*",""),"?",""),"&lt;",""),"&gt;",""),"=","")))</f>
        <v/>
      </c>
      <c r="DS78" s="23" t="str">
        <f aca="false">IF(CM78="","",IFERROR(IF(LEFT(LOWER(TRIM(INDEX(Clay_Brands!$A$2:$FZ$601,CM78,Sync!$D$19)&amp;"")),4)="grp-",SUBSTITUTE(SUBSTITUTE(SUBSTITUTE(SUBSTITUTE(SUBSTITUTE(SUBSTITUTE(LOWER(TRIM(INDEX(Clay_Brands!$A$2:$FZ$601,CM78,Sync!$D$19)&amp;"")),"~",""),"*",""),"?",""),"&lt;",""),"&gt;",""),"=",""),""),""))</f>
        <v/>
      </c>
      <c r="DT78" s="23" t="str">
        <f aca="false">IF(DS78&lt;&gt;"",DR78,"")</f>
        <v/>
      </c>
      <c r="DU78" s="23" t="str">
        <f aca="false">IF(AZ78=1,AW78,"")</f>
        <v/>
      </c>
      <c r="DV78" s="23" t="str">
        <f aca="false">IF(TRIM($A78)="","",IFERROR(INDEX($A$2:$A$201,MATCH(AW78,$DU$2:$DU$201,0))&amp;"",$A78&amp;""))</f>
        <v/>
      </c>
      <c r="DW78" s="23" t="n">
        <f aca="false">IF(AY78=1,IF(COUNTIFS($A$2:$A$201,$A78,$AY$2:$AY$201,1,$H$2:$H$201,"&lt;"&amp;H78)+COUNTIFS($A$2:$A$201,$A78,$AY$2:$AY$201,1,$H$2:$H$201,H78,$AX$2:$AX$201,"&lt;"&amp;AX78)=0,1,0),0)</f>
        <v>0</v>
      </c>
      <c r="DX78" s="23" t="n">
        <f aca="false">IF(AZ78=1,IF(COUNTIFS($AW$2:$AW$201,AW78,$DW$2:$DW$201,1)&gt;1,1,0),0)</f>
        <v>0</v>
      </c>
    </row>
    <row r="79" customFormat="false" ht="15" hidden="false" customHeight="false" outlineLevel="0" collapsed="false">
      <c r="G79" s="32"/>
      <c r="H79" s="33"/>
      <c r="I79" s="32"/>
      <c r="O79" s="32"/>
      <c r="P79" s="32"/>
      <c r="U79" s="32"/>
      <c r="Y79" s="32"/>
      <c r="AB79" s="32"/>
      <c r="AC79" s="32"/>
      <c r="AD79" s="32"/>
      <c r="AE79" s="32"/>
      <c r="AF79" s="32"/>
      <c r="AG79" s="32"/>
      <c r="AI79" s="32"/>
      <c r="AJ79" s="32"/>
      <c r="AK79" s="32"/>
      <c r="AN79" s="32"/>
      <c r="AO79" s="32"/>
      <c r="AR79" s="32"/>
      <c r="AT79" s="32"/>
      <c r="AV79" s="34" t="str">
        <f aca="false">IF(TRIM($A79)="","",IF(AND(LEFT($A79,6)="SAMPLE",Config!$B$19&lt;&gt;"Y"),"",IF(NOT(ISNUMBER(H79)),"call_date is blank or not a date",IF(Sync!$D$5="","Clay paste is empty or has no row_id column: paste the Clay export on Clay_Brands",IF(CM79="","row_id not found in the Clay paste: add the Clay row or fix the row_id",IF(AND(ISNUMBER(CO79),CO79&gt;=1,CO79&lt;=5),"Clay status is "&amp;CN79&amp;": set call_done or later",IF(AND(BA79=1,CP79&lt;&gt;CB79),"Clay yes_in_principle should be "&amp;CB79,IF(AND(BA79=1,CQ79&lt;&gt;H79),"Clay call_date should be "&amp;TEXT(H79,"yyyy-mm-dd"),""))))))))</f>
        <v/>
      </c>
      <c r="AW79" s="23" t="str">
        <f aca="false">IF(TRIM($A79)="","",IF(TRIM(C79)&lt;&gt;"",SUBSTITUTE(SUBSTITUTE(SUBSTITUTE(SUBSTITUTE(SUBSTITUTE(SUBSTITUTE(LOWER(TRIM(C79)),"~",""),"*",""),"?",""),"&lt;",""),"&gt;",""),"=",""),IF(DS79&lt;&gt;"",DS79,IFERROR(INDEX($DS$2:$DS$201,MATCH(DR79,$DT$2:$DT$201,0)),DR79))))</f>
        <v/>
      </c>
      <c r="AX79" s="23" t="n">
        <f aca="false">ROW()</f>
        <v>79</v>
      </c>
      <c r="AY79" s="23" t="n">
        <f aca="false">IF(AND(TRIM($A79)&lt;&gt;"",ISNUMBER(H79)),IF(AND(LEFT($A79,6)="SAMPLE",Config!$B$19&lt;&gt;"Y"),0,1),0)</f>
        <v>0</v>
      </c>
      <c r="AZ79" s="23" t="n">
        <f aca="false">IF(AY79=1,IF(COUNTIFS($AW$2:$AW$201,AW79,$AY$2:$AY$201,1,$H$2:$H$201,"&lt;"&amp;H79)+COUNTIFS($AW$2:$AW$201,AW79,$AY$2:$AY$201,1,$H$2:$H$201,H79,$AX$2:$AX$201,"&lt;"&amp;AX79)=0,1,0),0)</f>
        <v>0</v>
      </c>
      <c r="BA79" s="23" t="n">
        <f aca="false">IF(AY79=1,IF(COUNTIFS($A$2:$A$201,$A79,$AY$2:$AY$201,1,$H$2:$H$201,"&gt;"&amp;H79)+COUNTIFS($A$2:$A$201,$A79,$AY$2:$AY$201,1,$H$2:$H$201,H79,$AX$2:$AX$201,"&gt;"&amp;AX79)=0,1,0),0)</f>
        <v>0</v>
      </c>
      <c r="BB79" s="23" t="n">
        <f aca="false">IF(AND(AY79=1,O79="Y",MAX(N(R79),N(V79))&gt;=Config!$B$14),1,0)</f>
        <v>0</v>
      </c>
      <c r="BC79" s="23" t="n">
        <f aca="false">IF(BB79=1,IF(COUNTIFS($AW$2:$AW$201,AW79,$BB$2:$BB$201,1,$H$2:$H$201,"&lt;"&amp;H79)+COUNTIFS($AW$2:$AW$201,AW79,$BB$2:$BB$201,1,$H$2:$H$201,H79,$AX$2:$AX$201,"&lt;"&amp;AX79)=0,1,0),0)</f>
        <v>0</v>
      </c>
      <c r="BD79" s="23" t="n">
        <f aca="false">IF(AND(AY79=1,O79="Y",ISNUMBER(R79)),IF(R79&gt;=Config!$B$14,1,0),0)</f>
        <v>0</v>
      </c>
      <c r="BE79" s="23" t="n">
        <f aca="false">IF(BD79=1,IF(COUNTIFS($AW$2:$AW$201,AW79,$BD$2:$BD$201,1,$H$2:$H$201,"&lt;"&amp;H79)+COUNTIFS($AW$2:$AW$201,AW79,$BD$2:$BD$201,1,$H$2:$H$201,H79,$AX$2:$AX$201,"&lt;"&amp;AX79)=0,1,0),0)</f>
        <v>0</v>
      </c>
      <c r="BF79" s="23" t="n">
        <f aca="false">IF(AND(AY79=1,O79&lt;&gt;"Y",MAX(N(R79),N(V79))&gt;=Config!$B$14),1,0)</f>
        <v>0</v>
      </c>
      <c r="BG79" s="23" t="n">
        <f aca="false">IF(BF79=1,IF(COUNTIFS($AW$2:$AW$201,AW79,$BF$2:$BF$201,1,$H$2:$H$201,"&lt;"&amp;H79)+COUNTIFS($AW$2:$AW$201,AW79,$BF$2:$BF$201,1,$H$2:$H$201,H79,$AX$2:$AX$201,"&lt;"&amp;AX79)=0,1,0),0)</f>
        <v>0</v>
      </c>
      <c r="BH79" s="23" t="n">
        <f aca="false">IF(AND(AY79=1,ISNUMBER(R79)),1,0)</f>
        <v>0</v>
      </c>
      <c r="BI79" s="23" t="n">
        <f aca="false">IF(BH79=1,IF(COUNTIFS($AW$2:$AW$201,AW79,$BH$2:$BH$201,1,$H$2:$H$201,"&lt;"&amp;H79)+COUNTIFS($AW$2:$AW$201,AW79,$BH$2:$BH$201,1,$H$2:$H$201,H79,$AX$2:$AX$201,"&lt;"&amp;AX79)=0,1,0),0)</f>
        <v>0</v>
      </c>
      <c r="BJ79" s="23" t="str">
        <f aca="false">IF(AND(BI79=1,INT(N(H79))&lt;=Config!$B$6),R79,"")</f>
        <v/>
      </c>
      <c r="BK79" s="23" t="str">
        <f aca="false">IF(AND(BI79=1,INT(N(H79))&lt;=Config!$B$7),R79,"")</f>
        <v/>
      </c>
      <c r="BL79" s="23" t="str">
        <f aca="false">IF(AND(BI79=1,INT(N(H79))&lt;=Config!$B$8),R79,"")</f>
        <v/>
      </c>
      <c r="BM79" s="23" t="str">
        <f aca="false">IF(AND(BI79=1,INT(N(H79))&lt;=Config!$B$5),R79,"")</f>
        <v/>
      </c>
      <c r="BN79" s="23" t="n">
        <f aca="false">IF(AND(AY79=1,ISNUMBER(V79)),1,0)</f>
        <v>0</v>
      </c>
      <c r="BO79" s="23" t="n">
        <f aca="false">IF(BN79=1,IF(COUNTIFS($AW$2:$AW$201,AW79,$BN$2:$BN$201,1,$H$2:$H$201,"&lt;"&amp;H79)+COUNTIFS($AW$2:$AW$201,AW79,$BN$2:$BN$201,1,$H$2:$H$201,H79,$AX$2:$AX$201,"&lt;"&amp;AX79)=0,1,0),0)</f>
        <v>0</v>
      </c>
      <c r="BP79" s="23" t="str">
        <f aca="false">IF(AND(BO79=1,INT(N(H79))&lt;=Config!$B$6),V79,"")</f>
        <v/>
      </c>
      <c r="BQ79" s="23" t="str">
        <f aca="false">IF(AND(BO79=1,INT(N(H79))&lt;=Config!$B$7),V79,"")</f>
        <v/>
      </c>
      <c r="BR79" s="23" t="str">
        <f aca="false">IF(AND(BO79=1,INT(N(H79))&lt;=Config!$B$8),V79,"")</f>
        <v/>
      </c>
      <c r="BS79" s="23" t="str">
        <f aca="false">IF(AND(BO79=1,INT(N(H79))&lt;=Config!$B$5),V79,"")</f>
        <v/>
      </c>
      <c r="BT79" s="23" t="n">
        <f aca="false">IF(AND(AY79=1,ISNUMBER(K79)),1,0)</f>
        <v>0</v>
      </c>
      <c r="BU79" s="23" t="n">
        <f aca="false">IF(BT79=1,IF(COUNTIFS($AW$2:$AW$201,AW79,$BT$2:$BT$201,1,$H$2:$H$201,"&lt;"&amp;H79)+COUNTIFS($AW$2:$AW$201,AW79,$BT$2:$BT$201,1,$H$2:$H$201,H79,$AX$2:$AX$201,"&lt;"&amp;AX79)=0,1,0),0)</f>
        <v>0</v>
      </c>
      <c r="BV79" s="23" t="str">
        <f aca="false">IF(AND(BU79=1,INT(N(H79))&lt;=Config!$B$5),K79,"")</f>
        <v/>
      </c>
      <c r="BW79" s="23" t="n">
        <f aca="false">IF(AND(AY79=1,OR(AND(ISNUMBER(R79),TRIM(S79)=""),AND(ISNUMBER(V79),TRIM(W79)=""))),1,0)</f>
        <v>0</v>
      </c>
      <c r="BX79" s="23" t="str">
        <f aca="false">IF(AY79=1,AJ79&amp;"","")</f>
        <v/>
      </c>
      <c r="BY79" s="23" t="str">
        <f aca="false">IF(AY79=1,AK79&amp;"","")</f>
        <v/>
      </c>
      <c r="BZ79" s="23" t="str">
        <f aca="false">IF(AY79=1,AL79&amp;"","")</f>
        <v/>
      </c>
      <c r="CA79" s="23" t="str">
        <f aca="false">IF(AND(AY79=1,ISNUMBER(AS79),INT(N(H79))&lt;=Config!$B$5),AS79,"")</f>
        <v/>
      </c>
      <c r="CB79" s="23" t="str">
        <f aca="false">IF(AY79=1,IF(COUNTIFS($A$2:$A$201,$A79,$CU$2:$CU$201,1,$AN$2:$AN$201,"Y")&gt;0,"Y","N"),"")</f>
        <v/>
      </c>
      <c r="CC79" s="23" t="n">
        <f aca="false">IF(AND(AY79=1,AN79="Y"),IF(COUNTIFS($AW$2:$AW$201,AW79,$AN$2:$AN$201,"Y",$AY$2:$AY$201,1,$H$2:$H$201,"&lt;"&amp;H79)+COUNTIFS($AW$2:$AW$201,AW79,$AN$2:$AN$201,"Y",$AY$2:$AY$201,1,$H$2:$H$201,H79,$AX$2:$AX$201,"&lt;"&amp;AX79)=0,1,0),0)</f>
        <v>0</v>
      </c>
      <c r="CD79" s="23" t="n">
        <f aca="false">IF(AND(AY79=1,AB79="Y",AC79="Y",AD79="Y",AE79="Y",AF79="Y",AG79="Y",AI79="Y",TRIM(AH79)&lt;&gt;""),1,0)</f>
        <v>0</v>
      </c>
      <c r="CE79" s="23" t="n">
        <f aca="false">IF(CD79=1,IF(COUNTIFS($AW$2:$AW$201,AW79,$CD$2:$CD$201,1,$H$2:$H$201,"&lt;"&amp;H79)+COUNTIFS($AW$2:$AW$201,AW79,$CD$2:$CD$201,1,$H$2:$H$201,H79,$AX$2:$AX$201,"&lt;"&amp;AX79)=0,1,0),0)</f>
        <v>0</v>
      </c>
      <c r="CF79" s="23" t="n">
        <f aca="false">IF(AND(AY79=1,AO79="Y"),1,0)</f>
        <v>0</v>
      </c>
      <c r="CG79" s="23" t="n">
        <f aca="false">IF(CF79=1,IF(COUNTIFS($AW$2:$AW$201,AW79,$CF$2:$CF$201,1,$H$2:$H$201,"&lt;"&amp;H79)+COUNTIFS($AW$2:$AW$201,AW79,$CF$2:$CF$201,1,$H$2:$H$201,H79,$AX$2:$AX$201,"&lt;"&amp;AX79)=0,1,0),0)</f>
        <v>0</v>
      </c>
      <c r="CH79" s="23" t="n">
        <f aca="false">IF(AND(AY79=1,P79="Y"),1,0)</f>
        <v>0</v>
      </c>
      <c r="CI79" s="23" t="n">
        <f aca="false">IF(CH79=1,IF(COUNTIFS($AW$2:$AW$201,AW79,$CH$2:$CH$201,1,$H$2:$H$201,"&lt;"&amp;H79)+COUNTIFS($AW$2:$AW$201,AW79,$CH$2:$CH$201,1,$H$2:$H$201,H79,$AX$2:$AX$201,"&lt;"&amp;AX79)=0,1,0),0)</f>
        <v>0</v>
      </c>
      <c r="CJ79" s="23" t="str">
        <f aca="false">IF(AND(BU79=1,INT(N(H79))&lt;=Config!$B$5),L79,"")</f>
        <v/>
      </c>
      <c r="CK79" s="23" t="n">
        <f aca="false">IF(AND(AY79=1,AR79="Y"),1,0)</f>
        <v>0</v>
      </c>
      <c r="CL79" s="23" t="n">
        <f aca="false">IF(CK79=1,IF(COUNTIFS($AW$2:$AW$201,AW79,$CK$2:$CK$201,1,$H$2:$H$201,"&lt;"&amp;H79)+COUNTIFS($AW$2:$AW$201,AW79,$CK$2:$CK$201,1,$H$2:$H$201,H79,$AX$2:$AX$201,"&lt;"&amp;AX79)=0,1,0),0)</f>
        <v>0</v>
      </c>
      <c r="CM79" s="23" t="str">
        <f aca="false">IF(AY79=1,IFERROR(MATCH($A79,INDEX(Clay_Brands!$A$2:$FZ$601,0,Sync!$D$5),0),""),"")</f>
        <v/>
      </c>
      <c r="CN79" s="23" t="str">
        <f aca="false">IF(CM79="","",IFERROR(INDEX(Clay_Brands!$A$2:$FZ$601,CM79,Sync!$D$7)&amp;"",""))</f>
        <v/>
      </c>
      <c r="CO79" s="23" t="str">
        <f aca="false">IF(CN79="","",IFERROR(INDEX(Lists!$K$2:$K$15,MATCH(CN79,Lists!$J$2:$J$15,0)),""))</f>
        <v/>
      </c>
      <c r="CP79" s="23" t="str">
        <f aca="false">IF(CM79="","",IFERROR(INDEX(Clay_Brands!$A$2:$FZ$601,CM79,Sync!$D$17)&amp;"",""))</f>
        <v/>
      </c>
      <c r="CQ79" s="35" t="str">
        <f aca="false">IF(CM79="","",IFERROR(N(INDEX(Clay_Brands!$A$2:$FZ$601,CM79,Sync!$D$16)),0))</f>
        <v/>
      </c>
      <c r="CR79" s="23" t="n">
        <f aca="false">IF(AND(AY79=1,OR(O79="N",AND(OR(ISNUMBER(R79),ISNUMBER(V79)),MAX(N(R79),N(V79))&lt;Config!$B$14))),1,0)</f>
        <v>0</v>
      </c>
      <c r="CS79" s="23" t="n">
        <f aca="false">IF(OR(BB79=1,CR79=1),1,0)</f>
        <v>0</v>
      </c>
      <c r="CT79" s="23" t="n">
        <f aca="false">IF(AND(AY79=1,OR(AN79="Y",AN79="N",AN79="maybe")),1,0)</f>
        <v>0</v>
      </c>
      <c r="CU79" s="23" t="n">
        <f aca="false">IF(AND(CT79=1),IF(COUNTIFS($A$2:$A$201,$A79,$CT$2:$CT$201,1,$H$2:$H$201,"&gt;"&amp;H79)+COUNTIFS($A$2:$A$201,$A79,$CT$2:$CT$201,1,$H$2:$H$201,H79,$AX$2:$AX$201,"&gt;"&amp;AX79)=0,1,0),0)</f>
        <v>0</v>
      </c>
      <c r="CV79" s="23" t="n">
        <f aca="false">IF(AND(CS79=1,INT(N(H79))&lt;=Config!$B$6),IF(COUNTIFS($AW$2:$AW$201,AW79,$CS$2:$CS$201,1,$H$2:$H$201,"&gt;"&amp;H79,$H$2:$H$201,"&lt;"&amp;(Config!$B$6+1))+COUNTIFS($AW$2:$AW$201,AW79,$CS$2:$CS$201,1,$H$2:$H$201,H79,$AX$2:$AX$201,"&gt;"&amp;AX79)=0,1,0),0)</f>
        <v>0</v>
      </c>
      <c r="CW79" s="23" t="n">
        <f aca="false">IF(AND(CS79=1,INT(N(H79))&lt;=Config!$B$7),IF(COUNTIFS($AW$2:$AW$201,AW79,$CS$2:$CS$201,1,$H$2:$H$201,"&gt;"&amp;H79,$H$2:$H$201,"&lt;"&amp;(Config!$B$7+1))+COUNTIFS($AW$2:$AW$201,AW79,$CS$2:$CS$201,1,$H$2:$H$201,H79,$AX$2:$AX$201,"&gt;"&amp;AX79)=0,1,0),0)</f>
        <v>0</v>
      </c>
      <c r="CX79" s="23" t="n">
        <f aca="false">IF(AND(CS79=1,INT(N(H79))&lt;=Config!$B$8),IF(COUNTIFS($AW$2:$AW$201,AW79,$CS$2:$CS$201,1,$H$2:$H$201,"&gt;"&amp;H79,$H$2:$H$201,"&lt;"&amp;(Config!$B$8+1))+COUNTIFS($AW$2:$AW$201,AW79,$CS$2:$CS$201,1,$H$2:$H$201,H79,$AX$2:$AX$201,"&gt;"&amp;AX79)=0,1,0),0)</f>
        <v>0</v>
      </c>
      <c r="CY79" s="23" t="n">
        <f aca="false">IF(AND(CS79=1,INT(N(H79))&lt;=Config!$B$5),IF(COUNTIFS($AW$2:$AW$201,AW79,$CS$2:$CS$201,1,$H$2:$H$201,"&gt;"&amp;H79,$H$2:$H$201,"&lt;"&amp;(Config!$B$5+1))+COUNTIFS($AW$2:$AW$201,AW79,$CS$2:$CS$201,1,$H$2:$H$201,H79,$AX$2:$AX$201,"&gt;"&amp;AX79)=0,1,0),0)</f>
        <v>0</v>
      </c>
      <c r="CZ79" s="23" t="n">
        <f aca="false">IF(AY79=1,IF(COUNTIFS($AW$2:$AW$201,AW79,$CV$2:$CV$201,1,$BB$2:$BB$201,1)&gt;0,1,0),0)</f>
        <v>0</v>
      </c>
      <c r="DA79" s="23" t="n">
        <f aca="false">IF(AY79=1,IF(COUNTIFS($AW$2:$AW$201,AW79,$CW$2:$CW$201,1,$BB$2:$BB$201,1)&gt;0,1,0),0)</f>
        <v>0</v>
      </c>
      <c r="DB79" s="23" t="n">
        <f aca="false">IF(AY79=1,IF(COUNTIFS($AW$2:$AW$201,AW79,$CX$2:$CX$201,1,$BB$2:$BB$201,1)&gt;0,1,0),0)</f>
        <v>0</v>
      </c>
      <c r="DC79" s="23" t="n">
        <f aca="false">IF(AY79=1,IF(COUNTIFS($AW$2:$AW$201,AW79,$CY$2:$CY$201,1,$BB$2:$BB$201,1)&gt;0,1,0),0)</f>
        <v>0</v>
      </c>
      <c r="DD79" s="23" t="n">
        <f aca="false">IF(AND(BC79=1,INT(N(H79))&lt;=Config!$B$6,CZ79=1),1,0)</f>
        <v>0</v>
      </c>
      <c r="DE79" s="23" t="n">
        <f aca="false">IF(AND(BC79=1,INT(N(H79))&lt;=Config!$B$7,DA79=1),1,0)</f>
        <v>0</v>
      </c>
      <c r="DF79" s="23" t="n">
        <f aca="false">IF(AND(BC79=1,INT(N(H79))&lt;=Config!$B$8,DB79=1),1,0)</f>
        <v>0</v>
      </c>
      <c r="DG79" s="23" t="n">
        <f aca="false">IF(AND(BC79=1,INT(N(H79))&lt;=Config!$B$5,DC79=1),1,0)</f>
        <v>0</v>
      </c>
      <c r="DH79" s="23" t="n">
        <f aca="false">IF(AND(BE79=1,INT(N(H79))&lt;=Config!$B$6,CZ79=1),1,0)</f>
        <v>0</v>
      </c>
      <c r="DI79" s="23" t="n">
        <f aca="false">IF(AND(BE79=1,INT(N(H79))&lt;=Config!$B$7,DA79=1),1,0)</f>
        <v>0</v>
      </c>
      <c r="DJ79" s="23" t="n">
        <f aca="false">IF(AND(BE79=1,INT(N(H79))&lt;=Config!$B$8,DB79=1),1,0)</f>
        <v>0</v>
      </c>
      <c r="DK79" s="23" t="n">
        <f aca="false">IF(AND(BE79=1,INT(N(H79))&lt;=Config!$B$5,DC79=1),1,0)</f>
        <v>0</v>
      </c>
      <c r="DL79" s="23" t="n">
        <f aca="false">IF(AND(BC79=1,INT(N(H79))&lt;=Config!$B$6,CZ79=0),1,0)</f>
        <v>0</v>
      </c>
      <c r="DM79" s="23" t="n">
        <f aca="false">IF(AND(BC79=1,INT(N(H79))&lt;=Config!$B$7,DA79=0),1,0)</f>
        <v>0</v>
      </c>
      <c r="DN79" s="23" t="n">
        <f aca="false">IF(AND(BC79=1,INT(N(H79))&lt;=Config!$B$8,DB79=0),1,0)</f>
        <v>0</v>
      </c>
      <c r="DO79" s="23" t="n">
        <f aca="false">IF(AND(BC79=1,INT(N(H79))&lt;=Config!$B$5,DC79=0),1,0)</f>
        <v>0</v>
      </c>
      <c r="DP79" s="23" t="n">
        <f aca="false">IF(TRIM($A79)="",0,ISTEXT(K79)+ISTEXT(L79)+ISTEXT(R79)+ISTEXT(V79)+ISTEXT(AP79)+ISTEXT(AS79))</f>
        <v>0</v>
      </c>
      <c r="DQ79" s="23" t="n">
        <f aca="false">IF(AY79=1,IF(H79&lt;&gt;INT(H79),1,0),0)</f>
        <v>0</v>
      </c>
      <c r="DR79" s="23" t="str">
        <f aca="false">IF(TRIM($A79)="","",IF(TRIM(B79)="",SUBSTITUTE(SUBSTITUTE(SUBSTITUTE(SUBSTITUTE(SUBSTITUTE(SUBSTITUTE(LOWER(TRIM($A79)),"~",""),"*",""),"?",""),"&lt;",""),"&gt;",""),"=",""),SUBSTITUTE(SUBSTITUTE(SUBSTITUTE(SUBSTITUTE(SUBSTITUTE(SUBSTITUTE(LOWER(TRIM(B79)),"~",""),"*",""),"?",""),"&lt;",""),"&gt;",""),"=","")))</f>
        <v/>
      </c>
      <c r="DS79" s="23" t="str">
        <f aca="false">IF(CM79="","",IFERROR(IF(LEFT(LOWER(TRIM(INDEX(Clay_Brands!$A$2:$FZ$601,CM79,Sync!$D$19)&amp;"")),4)="grp-",SUBSTITUTE(SUBSTITUTE(SUBSTITUTE(SUBSTITUTE(SUBSTITUTE(SUBSTITUTE(LOWER(TRIM(INDEX(Clay_Brands!$A$2:$FZ$601,CM79,Sync!$D$19)&amp;"")),"~",""),"*",""),"?",""),"&lt;",""),"&gt;",""),"=",""),""),""))</f>
        <v/>
      </c>
      <c r="DT79" s="23" t="str">
        <f aca="false">IF(DS79&lt;&gt;"",DR79,"")</f>
        <v/>
      </c>
      <c r="DU79" s="23" t="str">
        <f aca="false">IF(AZ79=1,AW79,"")</f>
        <v/>
      </c>
      <c r="DV79" s="23" t="str">
        <f aca="false">IF(TRIM($A79)="","",IFERROR(INDEX($A$2:$A$201,MATCH(AW79,$DU$2:$DU$201,0))&amp;"",$A79&amp;""))</f>
        <v/>
      </c>
      <c r="DW79" s="23" t="n">
        <f aca="false">IF(AY79=1,IF(COUNTIFS($A$2:$A$201,$A79,$AY$2:$AY$201,1,$H$2:$H$201,"&lt;"&amp;H79)+COUNTIFS($A$2:$A$201,$A79,$AY$2:$AY$201,1,$H$2:$H$201,H79,$AX$2:$AX$201,"&lt;"&amp;AX79)=0,1,0),0)</f>
        <v>0</v>
      </c>
      <c r="DX79" s="23" t="n">
        <f aca="false">IF(AZ79=1,IF(COUNTIFS($AW$2:$AW$201,AW79,$DW$2:$DW$201,1)&gt;1,1,0),0)</f>
        <v>0</v>
      </c>
    </row>
    <row r="80" customFormat="false" ht="15" hidden="false" customHeight="false" outlineLevel="0" collapsed="false">
      <c r="G80" s="32"/>
      <c r="H80" s="33"/>
      <c r="I80" s="32"/>
      <c r="O80" s="32"/>
      <c r="P80" s="32"/>
      <c r="U80" s="32"/>
      <c r="Y80" s="32"/>
      <c r="AB80" s="32"/>
      <c r="AC80" s="32"/>
      <c r="AD80" s="32"/>
      <c r="AE80" s="32"/>
      <c r="AF80" s="32"/>
      <c r="AG80" s="32"/>
      <c r="AI80" s="32"/>
      <c r="AJ80" s="32"/>
      <c r="AK80" s="32"/>
      <c r="AN80" s="32"/>
      <c r="AO80" s="32"/>
      <c r="AR80" s="32"/>
      <c r="AT80" s="32"/>
      <c r="AV80" s="34" t="str">
        <f aca="false">IF(TRIM($A80)="","",IF(AND(LEFT($A80,6)="SAMPLE",Config!$B$19&lt;&gt;"Y"),"",IF(NOT(ISNUMBER(H80)),"call_date is blank or not a date",IF(Sync!$D$5="","Clay paste is empty or has no row_id column: paste the Clay export on Clay_Brands",IF(CM80="","row_id not found in the Clay paste: add the Clay row or fix the row_id",IF(AND(ISNUMBER(CO80),CO80&gt;=1,CO80&lt;=5),"Clay status is "&amp;CN80&amp;": set call_done or later",IF(AND(BA80=1,CP80&lt;&gt;CB80),"Clay yes_in_principle should be "&amp;CB80,IF(AND(BA80=1,CQ80&lt;&gt;H80),"Clay call_date should be "&amp;TEXT(H80,"yyyy-mm-dd"),""))))))))</f>
        <v/>
      </c>
      <c r="AW80" s="23" t="str">
        <f aca="false">IF(TRIM($A80)="","",IF(TRIM(C80)&lt;&gt;"",SUBSTITUTE(SUBSTITUTE(SUBSTITUTE(SUBSTITUTE(SUBSTITUTE(SUBSTITUTE(LOWER(TRIM(C80)),"~",""),"*",""),"?",""),"&lt;",""),"&gt;",""),"=",""),IF(DS80&lt;&gt;"",DS80,IFERROR(INDEX($DS$2:$DS$201,MATCH(DR80,$DT$2:$DT$201,0)),DR80))))</f>
        <v/>
      </c>
      <c r="AX80" s="23" t="n">
        <f aca="false">ROW()</f>
        <v>80</v>
      </c>
      <c r="AY80" s="23" t="n">
        <f aca="false">IF(AND(TRIM($A80)&lt;&gt;"",ISNUMBER(H80)),IF(AND(LEFT($A80,6)="SAMPLE",Config!$B$19&lt;&gt;"Y"),0,1),0)</f>
        <v>0</v>
      </c>
      <c r="AZ80" s="23" t="n">
        <f aca="false">IF(AY80=1,IF(COUNTIFS($AW$2:$AW$201,AW80,$AY$2:$AY$201,1,$H$2:$H$201,"&lt;"&amp;H80)+COUNTIFS($AW$2:$AW$201,AW80,$AY$2:$AY$201,1,$H$2:$H$201,H80,$AX$2:$AX$201,"&lt;"&amp;AX80)=0,1,0),0)</f>
        <v>0</v>
      </c>
      <c r="BA80" s="23" t="n">
        <f aca="false">IF(AY80=1,IF(COUNTIFS($A$2:$A$201,$A80,$AY$2:$AY$201,1,$H$2:$H$201,"&gt;"&amp;H80)+COUNTIFS($A$2:$A$201,$A80,$AY$2:$AY$201,1,$H$2:$H$201,H80,$AX$2:$AX$201,"&gt;"&amp;AX80)=0,1,0),0)</f>
        <v>0</v>
      </c>
      <c r="BB80" s="23" t="n">
        <f aca="false">IF(AND(AY80=1,O80="Y",MAX(N(R80),N(V80))&gt;=Config!$B$14),1,0)</f>
        <v>0</v>
      </c>
      <c r="BC80" s="23" t="n">
        <f aca="false">IF(BB80=1,IF(COUNTIFS($AW$2:$AW$201,AW80,$BB$2:$BB$201,1,$H$2:$H$201,"&lt;"&amp;H80)+COUNTIFS($AW$2:$AW$201,AW80,$BB$2:$BB$201,1,$H$2:$H$201,H80,$AX$2:$AX$201,"&lt;"&amp;AX80)=0,1,0),0)</f>
        <v>0</v>
      </c>
      <c r="BD80" s="23" t="n">
        <f aca="false">IF(AND(AY80=1,O80="Y",ISNUMBER(R80)),IF(R80&gt;=Config!$B$14,1,0),0)</f>
        <v>0</v>
      </c>
      <c r="BE80" s="23" t="n">
        <f aca="false">IF(BD80=1,IF(COUNTIFS($AW$2:$AW$201,AW80,$BD$2:$BD$201,1,$H$2:$H$201,"&lt;"&amp;H80)+COUNTIFS($AW$2:$AW$201,AW80,$BD$2:$BD$201,1,$H$2:$H$201,H80,$AX$2:$AX$201,"&lt;"&amp;AX80)=0,1,0),0)</f>
        <v>0</v>
      </c>
      <c r="BF80" s="23" t="n">
        <f aca="false">IF(AND(AY80=1,O80&lt;&gt;"Y",MAX(N(R80),N(V80))&gt;=Config!$B$14),1,0)</f>
        <v>0</v>
      </c>
      <c r="BG80" s="23" t="n">
        <f aca="false">IF(BF80=1,IF(COUNTIFS($AW$2:$AW$201,AW80,$BF$2:$BF$201,1,$H$2:$H$201,"&lt;"&amp;H80)+COUNTIFS($AW$2:$AW$201,AW80,$BF$2:$BF$201,1,$H$2:$H$201,H80,$AX$2:$AX$201,"&lt;"&amp;AX80)=0,1,0),0)</f>
        <v>0</v>
      </c>
      <c r="BH80" s="23" t="n">
        <f aca="false">IF(AND(AY80=1,ISNUMBER(R80)),1,0)</f>
        <v>0</v>
      </c>
      <c r="BI80" s="23" t="n">
        <f aca="false">IF(BH80=1,IF(COUNTIFS($AW$2:$AW$201,AW80,$BH$2:$BH$201,1,$H$2:$H$201,"&lt;"&amp;H80)+COUNTIFS($AW$2:$AW$201,AW80,$BH$2:$BH$201,1,$H$2:$H$201,H80,$AX$2:$AX$201,"&lt;"&amp;AX80)=0,1,0),0)</f>
        <v>0</v>
      </c>
      <c r="BJ80" s="23" t="str">
        <f aca="false">IF(AND(BI80=1,INT(N(H80))&lt;=Config!$B$6),R80,"")</f>
        <v/>
      </c>
      <c r="BK80" s="23" t="str">
        <f aca="false">IF(AND(BI80=1,INT(N(H80))&lt;=Config!$B$7),R80,"")</f>
        <v/>
      </c>
      <c r="BL80" s="23" t="str">
        <f aca="false">IF(AND(BI80=1,INT(N(H80))&lt;=Config!$B$8),R80,"")</f>
        <v/>
      </c>
      <c r="BM80" s="23" t="str">
        <f aca="false">IF(AND(BI80=1,INT(N(H80))&lt;=Config!$B$5),R80,"")</f>
        <v/>
      </c>
      <c r="BN80" s="23" t="n">
        <f aca="false">IF(AND(AY80=1,ISNUMBER(V80)),1,0)</f>
        <v>0</v>
      </c>
      <c r="BO80" s="23" t="n">
        <f aca="false">IF(BN80=1,IF(COUNTIFS($AW$2:$AW$201,AW80,$BN$2:$BN$201,1,$H$2:$H$201,"&lt;"&amp;H80)+COUNTIFS($AW$2:$AW$201,AW80,$BN$2:$BN$201,1,$H$2:$H$201,H80,$AX$2:$AX$201,"&lt;"&amp;AX80)=0,1,0),0)</f>
        <v>0</v>
      </c>
      <c r="BP80" s="23" t="str">
        <f aca="false">IF(AND(BO80=1,INT(N(H80))&lt;=Config!$B$6),V80,"")</f>
        <v/>
      </c>
      <c r="BQ80" s="23" t="str">
        <f aca="false">IF(AND(BO80=1,INT(N(H80))&lt;=Config!$B$7),V80,"")</f>
        <v/>
      </c>
      <c r="BR80" s="23" t="str">
        <f aca="false">IF(AND(BO80=1,INT(N(H80))&lt;=Config!$B$8),V80,"")</f>
        <v/>
      </c>
      <c r="BS80" s="23" t="str">
        <f aca="false">IF(AND(BO80=1,INT(N(H80))&lt;=Config!$B$5),V80,"")</f>
        <v/>
      </c>
      <c r="BT80" s="23" t="n">
        <f aca="false">IF(AND(AY80=1,ISNUMBER(K80)),1,0)</f>
        <v>0</v>
      </c>
      <c r="BU80" s="23" t="n">
        <f aca="false">IF(BT80=1,IF(COUNTIFS($AW$2:$AW$201,AW80,$BT$2:$BT$201,1,$H$2:$H$201,"&lt;"&amp;H80)+COUNTIFS($AW$2:$AW$201,AW80,$BT$2:$BT$201,1,$H$2:$H$201,H80,$AX$2:$AX$201,"&lt;"&amp;AX80)=0,1,0),0)</f>
        <v>0</v>
      </c>
      <c r="BV80" s="23" t="str">
        <f aca="false">IF(AND(BU80=1,INT(N(H80))&lt;=Config!$B$5),K80,"")</f>
        <v/>
      </c>
      <c r="BW80" s="23" t="n">
        <f aca="false">IF(AND(AY80=1,OR(AND(ISNUMBER(R80),TRIM(S80)=""),AND(ISNUMBER(V80),TRIM(W80)=""))),1,0)</f>
        <v>0</v>
      </c>
      <c r="BX80" s="23" t="str">
        <f aca="false">IF(AY80=1,AJ80&amp;"","")</f>
        <v/>
      </c>
      <c r="BY80" s="23" t="str">
        <f aca="false">IF(AY80=1,AK80&amp;"","")</f>
        <v/>
      </c>
      <c r="BZ80" s="23" t="str">
        <f aca="false">IF(AY80=1,AL80&amp;"","")</f>
        <v/>
      </c>
      <c r="CA80" s="23" t="str">
        <f aca="false">IF(AND(AY80=1,ISNUMBER(AS80),INT(N(H80))&lt;=Config!$B$5),AS80,"")</f>
        <v/>
      </c>
      <c r="CB80" s="23" t="str">
        <f aca="false">IF(AY80=1,IF(COUNTIFS($A$2:$A$201,$A80,$CU$2:$CU$201,1,$AN$2:$AN$201,"Y")&gt;0,"Y","N"),"")</f>
        <v/>
      </c>
      <c r="CC80" s="23" t="n">
        <f aca="false">IF(AND(AY80=1,AN80="Y"),IF(COUNTIFS($AW$2:$AW$201,AW80,$AN$2:$AN$201,"Y",$AY$2:$AY$201,1,$H$2:$H$201,"&lt;"&amp;H80)+COUNTIFS($AW$2:$AW$201,AW80,$AN$2:$AN$201,"Y",$AY$2:$AY$201,1,$H$2:$H$201,H80,$AX$2:$AX$201,"&lt;"&amp;AX80)=0,1,0),0)</f>
        <v>0</v>
      </c>
      <c r="CD80" s="23" t="n">
        <f aca="false">IF(AND(AY80=1,AB80="Y",AC80="Y",AD80="Y",AE80="Y",AF80="Y",AG80="Y",AI80="Y",TRIM(AH80)&lt;&gt;""),1,0)</f>
        <v>0</v>
      </c>
      <c r="CE80" s="23" t="n">
        <f aca="false">IF(CD80=1,IF(COUNTIFS($AW$2:$AW$201,AW80,$CD$2:$CD$201,1,$H$2:$H$201,"&lt;"&amp;H80)+COUNTIFS($AW$2:$AW$201,AW80,$CD$2:$CD$201,1,$H$2:$H$201,H80,$AX$2:$AX$201,"&lt;"&amp;AX80)=0,1,0),0)</f>
        <v>0</v>
      </c>
      <c r="CF80" s="23" t="n">
        <f aca="false">IF(AND(AY80=1,AO80="Y"),1,0)</f>
        <v>0</v>
      </c>
      <c r="CG80" s="23" t="n">
        <f aca="false">IF(CF80=1,IF(COUNTIFS($AW$2:$AW$201,AW80,$CF$2:$CF$201,1,$H$2:$H$201,"&lt;"&amp;H80)+COUNTIFS($AW$2:$AW$201,AW80,$CF$2:$CF$201,1,$H$2:$H$201,H80,$AX$2:$AX$201,"&lt;"&amp;AX80)=0,1,0),0)</f>
        <v>0</v>
      </c>
      <c r="CH80" s="23" t="n">
        <f aca="false">IF(AND(AY80=1,P80="Y"),1,0)</f>
        <v>0</v>
      </c>
      <c r="CI80" s="23" t="n">
        <f aca="false">IF(CH80=1,IF(COUNTIFS($AW$2:$AW$201,AW80,$CH$2:$CH$201,1,$H$2:$H$201,"&lt;"&amp;H80)+COUNTIFS($AW$2:$AW$201,AW80,$CH$2:$CH$201,1,$H$2:$H$201,H80,$AX$2:$AX$201,"&lt;"&amp;AX80)=0,1,0),0)</f>
        <v>0</v>
      </c>
      <c r="CJ80" s="23" t="str">
        <f aca="false">IF(AND(BU80=1,INT(N(H80))&lt;=Config!$B$5),L80,"")</f>
        <v/>
      </c>
      <c r="CK80" s="23" t="n">
        <f aca="false">IF(AND(AY80=1,AR80="Y"),1,0)</f>
        <v>0</v>
      </c>
      <c r="CL80" s="23" t="n">
        <f aca="false">IF(CK80=1,IF(COUNTIFS($AW$2:$AW$201,AW80,$CK$2:$CK$201,1,$H$2:$H$201,"&lt;"&amp;H80)+COUNTIFS($AW$2:$AW$201,AW80,$CK$2:$CK$201,1,$H$2:$H$201,H80,$AX$2:$AX$201,"&lt;"&amp;AX80)=0,1,0),0)</f>
        <v>0</v>
      </c>
      <c r="CM80" s="23" t="str">
        <f aca="false">IF(AY80=1,IFERROR(MATCH($A80,INDEX(Clay_Brands!$A$2:$FZ$601,0,Sync!$D$5),0),""),"")</f>
        <v/>
      </c>
      <c r="CN80" s="23" t="str">
        <f aca="false">IF(CM80="","",IFERROR(INDEX(Clay_Brands!$A$2:$FZ$601,CM80,Sync!$D$7)&amp;"",""))</f>
        <v/>
      </c>
      <c r="CO80" s="23" t="str">
        <f aca="false">IF(CN80="","",IFERROR(INDEX(Lists!$K$2:$K$15,MATCH(CN80,Lists!$J$2:$J$15,0)),""))</f>
        <v/>
      </c>
      <c r="CP80" s="23" t="str">
        <f aca="false">IF(CM80="","",IFERROR(INDEX(Clay_Brands!$A$2:$FZ$601,CM80,Sync!$D$17)&amp;"",""))</f>
        <v/>
      </c>
      <c r="CQ80" s="35" t="str">
        <f aca="false">IF(CM80="","",IFERROR(N(INDEX(Clay_Brands!$A$2:$FZ$601,CM80,Sync!$D$16)),0))</f>
        <v/>
      </c>
      <c r="CR80" s="23" t="n">
        <f aca="false">IF(AND(AY80=1,OR(O80="N",AND(OR(ISNUMBER(R80),ISNUMBER(V80)),MAX(N(R80),N(V80))&lt;Config!$B$14))),1,0)</f>
        <v>0</v>
      </c>
      <c r="CS80" s="23" t="n">
        <f aca="false">IF(OR(BB80=1,CR80=1),1,0)</f>
        <v>0</v>
      </c>
      <c r="CT80" s="23" t="n">
        <f aca="false">IF(AND(AY80=1,OR(AN80="Y",AN80="N",AN80="maybe")),1,0)</f>
        <v>0</v>
      </c>
      <c r="CU80" s="23" t="n">
        <f aca="false">IF(AND(CT80=1),IF(COUNTIFS($A$2:$A$201,$A80,$CT$2:$CT$201,1,$H$2:$H$201,"&gt;"&amp;H80)+COUNTIFS($A$2:$A$201,$A80,$CT$2:$CT$201,1,$H$2:$H$201,H80,$AX$2:$AX$201,"&gt;"&amp;AX80)=0,1,0),0)</f>
        <v>0</v>
      </c>
      <c r="CV80" s="23" t="n">
        <f aca="false">IF(AND(CS80=1,INT(N(H80))&lt;=Config!$B$6),IF(COUNTIFS($AW$2:$AW$201,AW80,$CS$2:$CS$201,1,$H$2:$H$201,"&gt;"&amp;H80,$H$2:$H$201,"&lt;"&amp;(Config!$B$6+1))+COUNTIFS($AW$2:$AW$201,AW80,$CS$2:$CS$201,1,$H$2:$H$201,H80,$AX$2:$AX$201,"&gt;"&amp;AX80)=0,1,0),0)</f>
        <v>0</v>
      </c>
      <c r="CW80" s="23" t="n">
        <f aca="false">IF(AND(CS80=1,INT(N(H80))&lt;=Config!$B$7),IF(COUNTIFS($AW$2:$AW$201,AW80,$CS$2:$CS$201,1,$H$2:$H$201,"&gt;"&amp;H80,$H$2:$H$201,"&lt;"&amp;(Config!$B$7+1))+COUNTIFS($AW$2:$AW$201,AW80,$CS$2:$CS$201,1,$H$2:$H$201,H80,$AX$2:$AX$201,"&gt;"&amp;AX80)=0,1,0),0)</f>
        <v>0</v>
      </c>
      <c r="CX80" s="23" t="n">
        <f aca="false">IF(AND(CS80=1,INT(N(H80))&lt;=Config!$B$8),IF(COUNTIFS($AW$2:$AW$201,AW80,$CS$2:$CS$201,1,$H$2:$H$201,"&gt;"&amp;H80,$H$2:$H$201,"&lt;"&amp;(Config!$B$8+1))+COUNTIFS($AW$2:$AW$201,AW80,$CS$2:$CS$201,1,$H$2:$H$201,H80,$AX$2:$AX$201,"&gt;"&amp;AX80)=0,1,0),0)</f>
        <v>0</v>
      </c>
      <c r="CY80" s="23" t="n">
        <f aca="false">IF(AND(CS80=1,INT(N(H80))&lt;=Config!$B$5),IF(COUNTIFS($AW$2:$AW$201,AW80,$CS$2:$CS$201,1,$H$2:$H$201,"&gt;"&amp;H80,$H$2:$H$201,"&lt;"&amp;(Config!$B$5+1))+COUNTIFS($AW$2:$AW$201,AW80,$CS$2:$CS$201,1,$H$2:$H$201,H80,$AX$2:$AX$201,"&gt;"&amp;AX80)=0,1,0),0)</f>
        <v>0</v>
      </c>
      <c r="CZ80" s="23" t="n">
        <f aca="false">IF(AY80=1,IF(COUNTIFS($AW$2:$AW$201,AW80,$CV$2:$CV$201,1,$BB$2:$BB$201,1)&gt;0,1,0),0)</f>
        <v>0</v>
      </c>
      <c r="DA80" s="23" t="n">
        <f aca="false">IF(AY80=1,IF(COUNTIFS($AW$2:$AW$201,AW80,$CW$2:$CW$201,1,$BB$2:$BB$201,1)&gt;0,1,0),0)</f>
        <v>0</v>
      </c>
      <c r="DB80" s="23" t="n">
        <f aca="false">IF(AY80=1,IF(COUNTIFS($AW$2:$AW$201,AW80,$CX$2:$CX$201,1,$BB$2:$BB$201,1)&gt;0,1,0),0)</f>
        <v>0</v>
      </c>
      <c r="DC80" s="23" t="n">
        <f aca="false">IF(AY80=1,IF(COUNTIFS($AW$2:$AW$201,AW80,$CY$2:$CY$201,1,$BB$2:$BB$201,1)&gt;0,1,0),0)</f>
        <v>0</v>
      </c>
      <c r="DD80" s="23" t="n">
        <f aca="false">IF(AND(BC80=1,INT(N(H80))&lt;=Config!$B$6,CZ80=1),1,0)</f>
        <v>0</v>
      </c>
      <c r="DE80" s="23" t="n">
        <f aca="false">IF(AND(BC80=1,INT(N(H80))&lt;=Config!$B$7,DA80=1),1,0)</f>
        <v>0</v>
      </c>
      <c r="DF80" s="23" t="n">
        <f aca="false">IF(AND(BC80=1,INT(N(H80))&lt;=Config!$B$8,DB80=1),1,0)</f>
        <v>0</v>
      </c>
      <c r="DG80" s="23" t="n">
        <f aca="false">IF(AND(BC80=1,INT(N(H80))&lt;=Config!$B$5,DC80=1),1,0)</f>
        <v>0</v>
      </c>
      <c r="DH80" s="23" t="n">
        <f aca="false">IF(AND(BE80=1,INT(N(H80))&lt;=Config!$B$6,CZ80=1),1,0)</f>
        <v>0</v>
      </c>
      <c r="DI80" s="23" t="n">
        <f aca="false">IF(AND(BE80=1,INT(N(H80))&lt;=Config!$B$7,DA80=1),1,0)</f>
        <v>0</v>
      </c>
      <c r="DJ80" s="23" t="n">
        <f aca="false">IF(AND(BE80=1,INT(N(H80))&lt;=Config!$B$8,DB80=1),1,0)</f>
        <v>0</v>
      </c>
      <c r="DK80" s="23" t="n">
        <f aca="false">IF(AND(BE80=1,INT(N(H80))&lt;=Config!$B$5,DC80=1),1,0)</f>
        <v>0</v>
      </c>
      <c r="DL80" s="23" t="n">
        <f aca="false">IF(AND(BC80=1,INT(N(H80))&lt;=Config!$B$6,CZ80=0),1,0)</f>
        <v>0</v>
      </c>
      <c r="DM80" s="23" t="n">
        <f aca="false">IF(AND(BC80=1,INT(N(H80))&lt;=Config!$B$7,DA80=0),1,0)</f>
        <v>0</v>
      </c>
      <c r="DN80" s="23" t="n">
        <f aca="false">IF(AND(BC80=1,INT(N(H80))&lt;=Config!$B$8,DB80=0),1,0)</f>
        <v>0</v>
      </c>
      <c r="DO80" s="23" t="n">
        <f aca="false">IF(AND(BC80=1,INT(N(H80))&lt;=Config!$B$5,DC80=0),1,0)</f>
        <v>0</v>
      </c>
      <c r="DP80" s="23" t="n">
        <f aca="false">IF(TRIM($A80)="",0,ISTEXT(K80)+ISTEXT(L80)+ISTEXT(R80)+ISTEXT(V80)+ISTEXT(AP80)+ISTEXT(AS80))</f>
        <v>0</v>
      </c>
      <c r="DQ80" s="23" t="n">
        <f aca="false">IF(AY80=1,IF(H80&lt;&gt;INT(H80),1,0),0)</f>
        <v>0</v>
      </c>
      <c r="DR80" s="23" t="str">
        <f aca="false">IF(TRIM($A80)="","",IF(TRIM(B80)="",SUBSTITUTE(SUBSTITUTE(SUBSTITUTE(SUBSTITUTE(SUBSTITUTE(SUBSTITUTE(LOWER(TRIM($A80)),"~",""),"*",""),"?",""),"&lt;",""),"&gt;",""),"=",""),SUBSTITUTE(SUBSTITUTE(SUBSTITUTE(SUBSTITUTE(SUBSTITUTE(SUBSTITUTE(LOWER(TRIM(B80)),"~",""),"*",""),"?",""),"&lt;",""),"&gt;",""),"=","")))</f>
        <v/>
      </c>
      <c r="DS80" s="23" t="str">
        <f aca="false">IF(CM80="","",IFERROR(IF(LEFT(LOWER(TRIM(INDEX(Clay_Brands!$A$2:$FZ$601,CM80,Sync!$D$19)&amp;"")),4)="grp-",SUBSTITUTE(SUBSTITUTE(SUBSTITUTE(SUBSTITUTE(SUBSTITUTE(SUBSTITUTE(LOWER(TRIM(INDEX(Clay_Brands!$A$2:$FZ$601,CM80,Sync!$D$19)&amp;"")),"~",""),"*",""),"?",""),"&lt;",""),"&gt;",""),"=",""),""),""))</f>
        <v/>
      </c>
      <c r="DT80" s="23" t="str">
        <f aca="false">IF(DS80&lt;&gt;"",DR80,"")</f>
        <v/>
      </c>
      <c r="DU80" s="23" t="str">
        <f aca="false">IF(AZ80=1,AW80,"")</f>
        <v/>
      </c>
      <c r="DV80" s="23" t="str">
        <f aca="false">IF(TRIM($A80)="","",IFERROR(INDEX($A$2:$A$201,MATCH(AW80,$DU$2:$DU$201,0))&amp;"",$A80&amp;""))</f>
        <v/>
      </c>
      <c r="DW80" s="23" t="n">
        <f aca="false">IF(AY80=1,IF(COUNTIFS($A$2:$A$201,$A80,$AY$2:$AY$201,1,$H$2:$H$201,"&lt;"&amp;H80)+COUNTIFS($A$2:$A$201,$A80,$AY$2:$AY$201,1,$H$2:$H$201,H80,$AX$2:$AX$201,"&lt;"&amp;AX80)=0,1,0),0)</f>
        <v>0</v>
      </c>
      <c r="DX80" s="23" t="n">
        <f aca="false">IF(AZ80=1,IF(COUNTIFS($AW$2:$AW$201,AW80,$DW$2:$DW$201,1)&gt;1,1,0),0)</f>
        <v>0</v>
      </c>
    </row>
    <row r="81" customFormat="false" ht="15" hidden="false" customHeight="false" outlineLevel="0" collapsed="false">
      <c r="G81" s="32"/>
      <c r="H81" s="33"/>
      <c r="I81" s="32"/>
      <c r="O81" s="32"/>
      <c r="P81" s="32"/>
      <c r="U81" s="32"/>
      <c r="Y81" s="32"/>
      <c r="AB81" s="32"/>
      <c r="AC81" s="32"/>
      <c r="AD81" s="32"/>
      <c r="AE81" s="32"/>
      <c r="AF81" s="32"/>
      <c r="AG81" s="32"/>
      <c r="AI81" s="32"/>
      <c r="AJ81" s="32"/>
      <c r="AK81" s="32"/>
      <c r="AN81" s="32"/>
      <c r="AO81" s="32"/>
      <c r="AR81" s="32"/>
      <c r="AT81" s="32"/>
      <c r="AV81" s="34" t="str">
        <f aca="false">IF(TRIM($A81)="","",IF(AND(LEFT($A81,6)="SAMPLE",Config!$B$19&lt;&gt;"Y"),"",IF(NOT(ISNUMBER(H81)),"call_date is blank or not a date",IF(Sync!$D$5="","Clay paste is empty or has no row_id column: paste the Clay export on Clay_Brands",IF(CM81="","row_id not found in the Clay paste: add the Clay row or fix the row_id",IF(AND(ISNUMBER(CO81),CO81&gt;=1,CO81&lt;=5),"Clay status is "&amp;CN81&amp;": set call_done or later",IF(AND(BA81=1,CP81&lt;&gt;CB81),"Clay yes_in_principle should be "&amp;CB81,IF(AND(BA81=1,CQ81&lt;&gt;H81),"Clay call_date should be "&amp;TEXT(H81,"yyyy-mm-dd"),""))))))))</f>
        <v/>
      </c>
      <c r="AW81" s="23" t="str">
        <f aca="false">IF(TRIM($A81)="","",IF(TRIM(C81)&lt;&gt;"",SUBSTITUTE(SUBSTITUTE(SUBSTITUTE(SUBSTITUTE(SUBSTITUTE(SUBSTITUTE(LOWER(TRIM(C81)),"~",""),"*",""),"?",""),"&lt;",""),"&gt;",""),"=",""),IF(DS81&lt;&gt;"",DS81,IFERROR(INDEX($DS$2:$DS$201,MATCH(DR81,$DT$2:$DT$201,0)),DR81))))</f>
        <v/>
      </c>
      <c r="AX81" s="23" t="n">
        <f aca="false">ROW()</f>
        <v>81</v>
      </c>
      <c r="AY81" s="23" t="n">
        <f aca="false">IF(AND(TRIM($A81)&lt;&gt;"",ISNUMBER(H81)),IF(AND(LEFT($A81,6)="SAMPLE",Config!$B$19&lt;&gt;"Y"),0,1),0)</f>
        <v>0</v>
      </c>
      <c r="AZ81" s="23" t="n">
        <f aca="false">IF(AY81=1,IF(COUNTIFS($AW$2:$AW$201,AW81,$AY$2:$AY$201,1,$H$2:$H$201,"&lt;"&amp;H81)+COUNTIFS($AW$2:$AW$201,AW81,$AY$2:$AY$201,1,$H$2:$H$201,H81,$AX$2:$AX$201,"&lt;"&amp;AX81)=0,1,0),0)</f>
        <v>0</v>
      </c>
      <c r="BA81" s="23" t="n">
        <f aca="false">IF(AY81=1,IF(COUNTIFS($A$2:$A$201,$A81,$AY$2:$AY$201,1,$H$2:$H$201,"&gt;"&amp;H81)+COUNTIFS($A$2:$A$201,$A81,$AY$2:$AY$201,1,$H$2:$H$201,H81,$AX$2:$AX$201,"&gt;"&amp;AX81)=0,1,0),0)</f>
        <v>0</v>
      </c>
      <c r="BB81" s="23" t="n">
        <f aca="false">IF(AND(AY81=1,O81="Y",MAX(N(R81),N(V81))&gt;=Config!$B$14),1,0)</f>
        <v>0</v>
      </c>
      <c r="BC81" s="23" t="n">
        <f aca="false">IF(BB81=1,IF(COUNTIFS($AW$2:$AW$201,AW81,$BB$2:$BB$201,1,$H$2:$H$201,"&lt;"&amp;H81)+COUNTIFS($AW$2:$AW$201,AW81,$BB$2:$BB$201,1,$H$2:$H$201,H81,$AX$2:$AX$201,"&lt;"&amp;AX81)=0,1,0),0)</f>
        <v>0</v>
      </c>
      <c r="BD81" s="23" t="n">
        <f aca="false">IF(AND(AY81=1,O81="Y",ISNUMBER(R81)),IF(R81&gt;=Config!$B$14,1,0),0)</f>
        <v>0</v>
      </c>
      <c r="BE81" s="23" t="n">
        <f aca="false">IF(BD81=1,IF(COUNTIFS($AW$2:$AW$201,AW81,$BD$2:$BD$201,1,$H$2:$H$201,"&lt;"&amp;H81)+COUNTIFS($AW$2:$AW$201,AW81,$BD$2:$BD$201,1,$H$2:$H$201,H81,$AX$2:$AX$201,"&lt;"&amp;AX81)=0,1,0),0)</f>
        <v>0</v>
      </c>
      <c r="BF81" s="23" t="n">
        <f aca="false">IF(AND(AY81=1,O81&lt;&gt;"Y",MAX(N(R81),N(V81))&gt;=Config!$B$14),1,0)</f>
        <v>0</v>
      </c>
      <c r="BG81" s="23" t="n">
        <f aca="false">IF(BF81=1,IF(COUNTIFS($AW$2:$AW$201,AW81,$BF$2:$BF$201,1,$H$2:$H$201,"&lt;"&amp;H81)+COUNTIFS($AW$2:$AW$201,AW81,$BF$2:$BF$201,1,$H$2:$H$201,H81,$AX$2:$AX$201,"&lt;"&amp;AX81)=0,1,0),0)</f>
        <v>0</v>
      </c>
      <c r="BH81" s="23" t="n">
        <f aca="false">IF(AND(AY81=1,ISNUMBER(R81)),1,0)</f>
        <v>0</v>
      </c>
      <c r="BI81" s="23" t="n">
        <f aca="false">IF(BH81=1,IF(COUNTIFS($AW$2:$AW$201,AW81,$BH$2:$BH$201,1,$H$2:$H$201,"&lt;"&amp;H81)+COUNTIFS($AW$2:$AW$201,AW81,$BH$2:$BH$201,1,$H$2:$H$201,H81,$AX$2:$AX$201,"&lt;"&amp;AX81)=0,1,0),0)</f>
        <v>0</v>
      </c>
      <c r="BJ81" s="23" t="str">
        <f aca="false">IF(AND(BI81=1,INT(N(H81))&lt;=Config!$B$6),R81,"")</f>
        <v/>
      </c>
      <c r="BK81" s="23" t="str">
        <f aca="false">IF(AND(BI81=1,INT(N(H81))&lt;=Config!$B$7),R81,"")</f>
        <v/>
      </c>
      <c r="BL81" s="23" t="str">
        <f aca="false">IF(AND(BI81=1,INT(N(H81))&lt;=Config!$B$8),R81,"")</f>
        <v/>
      </c>
      <c r="BM81" s="23" t="str">
        <f aca="false">IF(AND(BI81=1,INT(N(H81))&lt;=Config!$B$5),R81,"")</f>
        <v/>
      </c>
      <c r="BN81" s="23" t="n">
        <f aca="false">IF(AND(AY81=1,ISNUMBER(V81)),1,0)</f>
        <v>0</v>
      </c>
      <c r="BO81" s="23" t="n">
        <f aca="false">IF(BN81=1,IF(COUNTIFS($AW$2:$AW$201,AW81,$BN$2:$BN$201,1,$H$2:$H$201,"&lt;"&amp;H81)+COUNTIFS($AW$2:$AW$201,AW81,$BN$2:$BN$201,1,$H$2:$H$201,H81,$AX$2:$AX$201,"&lt;"&amp;AX81)=0,1,0),0)</f>
        <v>0</v>
      </c>
      <c r="BP81" s="23" t="str">
        <f aca="false">IF(AND(BO81=1,INT(N(H81))&lt;=Config!$B$6),V81,"")</f>
        <v/>
      </c>
      <c r="BQ81" s="23" t="str">
        <f aca="false">IF(AND(BO81=1,INT(N(H81))&lt;=Config!$B$7),V81,"")</f>
        <v/>
      </c>
      <c r="BR81" s="23" t="str">
        <f aca="false">IF(AND(BO81=1,INT(N(H81))&lt;=Config!$B$8),V81,"")</f>
        <v/>
      </c>
      <c r="BS81" s="23" t="str">
        <f aca="false">IF(AND(BO81=1,INT(N(H81))&lt;=Config!$B$5),V81,"")</f>
        <v/>
      </c>
      <c r="BT81" s="23" t="n">
        <f aca="false">IF(AND(AY81=1,ISNUMBER(K81)),1,0)</f>
        <v>0</v>
      </c>
      <c r="BU81" s="23" t="n">
        <f aca="false">IF(BT81=1,IF(COUNTIFS($AW$2:$AW$201,AW81,$BT$2:$BT$201,1,$H$2:$H$201,"&lt;"&amp;H81)+COUNTIFS($AW$2:$AW$201,AW81,$BT$2:$BT$201,1,$H$2:$H$201,H81,$AX$2:$AX$201,"&lt;"&amp;AX81)=0,1,0),0)</f>
        <v>0</v>
      </c>
      <c r="BV81" s="23" t="str">
        <f aca="false">IF(AND(BU81=1,INT(N(H81))&lt;=Config!$B$5),K81,"")</f>
        <v/>
      </c>
      <c r="BW81" s="23" t="n">
        <f aca="false">IF(AND(AY81=1,OR(AND(ISNUMBER(R81),TRIM(S81)=""),AND(ISNUMBER(V81),TRIM(W81)=""))),1,0)</f>
        <v>0</v>
      </c>
      <c r="BX81" s="23" t="str">
        <f aca="false">IF(AY81=1,AJ81&amp;"","")</f>
        <v/>
      </c>
      <c r="BY81" s="23" t="str">
        <f aca="false">IF(AY81=1,AK81&amp;"","")</f>
        <v/>
      </c>
      <c r="BZ81" s="23" t="str">
        <f aca="false">IF(AY81=1,AL81&amp;"","")</f>
        <v/>
      </c>
      <c r="CA81" s="23" t="str">
        <f aca="false">IF(AND(AY81=1,ISNUMBER(AS81),INT(N(H81))&lt;=Config!$B$5),AS81,"")</f>
        <v/>
      </c>
      <c r="CB81" s="23" t="str">
        <f aca="false">IF(AY81=1,IF(COUNTIFS($A$2:$A$201,$A81,$CU$2:$CU$201,1,$AN$2:$AN$201,"Y")&gt;0,"Y","N"),"")</f>
        <v/>
      </c>
      <c r="CC81" s="23" t="n">
        <f aca="false">IF(AND(AY81=1,AN81="Y"),IF(COUNTIFS($AW$2:$AW$201,AW81,$AN$2:$AN$201,"Y",$AY$2:$AY$201,1,$H$2:$H$201,"&lt;"&amp;H81)+COUNTIFS($AW$2:$AW$201,AW81,$AN$2:$AN$201,"Y",$AY$2:$AY$201,1,$H$2:$H$201,H81,$AX$2:$AX$201,"&lt;"&amp;AX81)=0,1,0),0)</f>
        <v>0</v>
      </c>
      <c r="CD81" s="23" t="n">
        <f aca="false">IF(AND(AY81=1,AB81="Y",AC81="Y",AD81="Y",AE81="Y",AF81="Y",AG81="Y",AI81="Y",TRIM(AH81)&lt;&gt;""),1,0)</f>
        <v>0</v>
      </c>
      <c r="CE81" s="23" t="n">
        <f aca="false">IF(CD81=1,IF(COUNTIFS($AW$2:$AW$201,AW81,$CD$2:$CD$201,1,$H$2:$H$201,"&lt;"&amp;H81)+COUNTIFS($AW$2:$AW$201,AW81,$CD$2:$CD$201,1,$H$2:$H$201,H81,$AX$2:$AX$201,"&lt;"&amp;AX81)=0,1,0),0)</f>
        <v>0</v>
      </c>
      <c r="CF81" s="23" t="n">
        <f aca="false">IF(AND(AY81=1,AO81="Y"),1,0)</f>
        <v>0</v>
      </c>
      <c r="CG81" s="23" t="n">
        <f aca="false">IF(CF81=1,IF(COUNTIFS($AW$2:$AW$201,AW81,$CF$2:$CF$201,1,$H$2:$H$201,"&lt;"&amp;H81)+COUNTIFS($AW$2:$AW$201,AW81,$CF$2:$CF$201,1,$H$2:$H$201,H81,$AX$2:$AX$201,"&lt;"&amp;AX81)=0,1,0),0)</f>
        <v>0</v>
      </c>
      <c r="CH81" s="23" t="n">
        <f aca="false">IF(AND(AY81=1,P81="Y"),1,0)</f>
        <v>0</v>
      </c>
      <c r="CI81" s="23" t="n">
        <f aca="false">IF(CH81=1,IF(COUNTIFS($AW$2:$AW$201,AW81,$CH$2:$CH$201,1,$H$2:$H$201,"&lt;"&amp;H81)+COUNTIFS($AW$2:$AW$201,AW81,$CH$2:$CH$201,1,$H$2:$H$201,H81,$AX$2:$AX$201,"&lt;"&amp;AX81)=0,1,0),0)</f>
        <v>0</v>
      </c>
      <c r="CJ81" s="23" t="str">
        <f aca="false">IF(AND(BU81=1,INT(N(H81))&lt;=Config!$B$5),L81,"")</f>
        <v/>
      </c>
      <c r="CK81" s="23" t="n">
        <f aca="false">IF(AND(AY81=1,AR81="Y"),1,0)</f>
        <v>0</v>
      </c>
      <c r="CL81" s="23" t="n">
        <f aca="false">IF(CK81=1,IF(COUNTIFS($AW$2:$AW$201,AW81,$CK$2:$CK$201,1,$H$2:$H$201,"&lt;"&amp;H81)+COUNTIFS($AW$2:$AW$201,AW81,$CK$2:$CK$201,1,$H$2:$H$201,H81,$AX$2:$AX$201,"&lt;"&amp;AX81)=0,1,0),0)</f>
        <v>0</v>
      </c>
      <c r="CM81" s="23" t="str">
        <f aca="false">IF(AY81=1,IFERROR(MATCH($A81,INDEX(Clay_Brands!$A$2:$FZ$601,0,Sync!$D$5),0),""),"")</f>
        <v/>
      </c>
      <c r="CN81" s="23" t="str">
        <f aca="false">IF(CM81="","",IFERROR(INDEX(Clay_Brands!$A$2:$FZ$601,CM81,Sync!$D$7)&amp;"",""))</f>
        <v/>
      </c>
      <c r="CO81" s="23" t="str">
        <f aca="false">IF(CN81="","",IFERROR(INDEX(Lists!$K$2:$K$15,MATCH(CN81,Lists!$J$2:$J$15,0)),""))</f>
        <v/>
      </c>
      <c r="CP81" s="23" t="str">
        <f aca="false">IF(CM81="","",IFERROR(INDEX(Clay_Brands!$A$2:$FZ$601,CM81,Sync!$D$17)&amp;"",""))</f>
        <v/>
      </c>
      <c r="CQ81" s="35" t="str">
        <f aca="false">IF(CM81="","",IFERROR(N(INDEX(Clay_Brands!$A$2:$FZ$601,CM81,Sync!$D$16)),0))</f>
        <v/>
      </c>
      <c r="CR81" s="23" t="n">
        <f aca="false">IF(AND(AY81=1,OR(O81="N",AND(OR(ISNUMBER(R81),ISNUMBER(V81)),MAX(N(R81),N(V81))&lt;Config!$B$14))),1,0)</f>
        <v>0</v>
      </c>
      <c r="CS81" s="23" t="n">
        <f aca="false">IF(OR(BB81=1,CR81=1),1,0)</f>
        <v>0</v>
      </c>
      <c r="CT81" s="23" t="n">
        <f aca="false">IF(AND(AY81=1,OR(AN81="Y",AN81="N",AN81="maybe")),1,0)</f>
        <v>0</v>
      </c>
      <c r="CU81" s="23" t="n">
        <f aca="false">IF(AND(CT81=1),IF(COUNTIFS($A$2:$A$201,$A81,$CT$2:$CT$201,1,$H$2:$H$201,"&gt;"&amp;H81)+COUNTIFS($A$2:$A$201,$A81,$CT$2:$CT$201,1,$H$2:$H$201,H81,$AX$2:$AX$201,"&gt;"&amp;AX81)=0,1,0),0)</f>
        <v>0</v>
      </c>
      <c r="CV81" s="23" t="n">
        <f aca="false">IF(AND(CS81=1,INT(N(H81))&lt;=Config!$B$6),IF(COUNTIFS($AW$2:$AW$201,AW81,$CS$2:$CS$201,1,$H$2:$H$201,"&gt;"&amp;H81,$H$2:$H$201,"&lt;"&amp;(Config!$B$6+1))+COUNTIFS($AW$2:$AW$201,AW81,$CS$2:$CS$201,1,$H$2:$H$201,H81,$AX$2:$AX$201,"&gt;"&amp;AX81)=0,1,0),0)</f>
        <v>0</v>
      </c>
      <c r="CW81" s="23" t="n">
        <f aca="false">IF(AND(CS81=1,INT(N(H81))&lt;=Config!$B$7),IF(COUNTIFS($AW$2:$AW$201,AW81,$CS$2:$CS$201,1,$H$2:$H$201,"&gt;"&amp;H81,$H$2:$H$201,"&lt;"&amp;(Config!$B$7+1))+COUNTIFS($AW$2:$AW$201,AW81,$CS$2:$CS$201,1,$H$2:$H$201,H81,$AX$2:$AX$201,"&gt;"&amp;AX81)=0,1,0),0)</f>
        <v>0</v>
      </c>
      <c r="CX81" s="23" t="n">
        <f aca="false">IF(AND(CS81=1,INT(N(H81))&lt;=Config!$B$8),IF(COUNTIFS($AW$2:$AW$201,AW81,$CS$2:$CS$201,1,$H$2:$H$201,"&gt;"&amp;H81,$H$2:$H$201,"&lt;"&amp;(Config!$B$8+1))+COUNTIFS($AW$2:$AW$201,AW81,$CS$2:$CS$201,1,$H$2:$H$201,H81,$AX$2:$AX$201,"&gt;"&amp;AX81)=0,1,0),0)</f>
        <v>0</v>
      </c>
      <c r="CY81" s="23" t="n">
        <f aca="false">IF(AND(CS81=1,INT(N(H81))&lt;=Config!$B$5),IF(COUNTIFS($AW$2:$AW$201,AW81,$CS$2:$CS$201,1,$H$2:$H$201,"&gt;"&amp;H81,$H$2:$H$201,"&lt;"&amp;(Config!$B$5+1))+COUNTIFS($AW$2:$AW$201,AW81,$CS$2:$CS$201,1,$H$2:$H$201,H81,$AX$2:$AX$201,"&gt;"&amp;AX81)=0,1,0),0)</f>
        <v>0</v>
      </c>
      <c r="CZ81" s="23" t="n">
        <f aca="false">IF(AY81=1,IF(COUNTIFS($AW$2:$AW$201,AW81,$CV$2:$CV$201,1,$BB$2:$BB$201,1)&gt;0,1,0),0)</f>
        <v>0</v>
      </c>
      <c r="DA81" s="23" t="n">
        <f aca="false">IF(AY81=1,IF(COUNTIFS($AW$2:$AW$201,AW81,$CW$2:$CW$201,1,$BB$2:$BB$201,1)&gt;0,1,0),0)</f>
        <v>0</v>
      </c>
      <c r="DB81" s="23" t="n">
        <f aca="false">IF(AY81=1,IF(COUNTIFS($AW$2:$AW$201,AW81,$CX$2:$CX$201,1,$BB$2:$BB$201,1)&gt;0,1,0),0)</f>
        <v>0</v>
      </c>
      <c r="DC81" s="23" t="n">
        <f aca="false">IF(AY81=1,IF(COUNTIFS($AW$2:$AW$201,AW81,$CY$2:$CY$201,1,$BB$2:$BB$201,1)&gt;0,1,0),0)</f>
        <v>0</v>
      </c>
      <c r="DD81" s="23" t="n">
        <f aca="false">IF(AND(BC81=1,INT(N(H81))&lt;=Config!$B$6,CZ81=1),1,0)</f>
        <v>0</v>
      </c>
      <c r="DE81" s="23" t="n">
        <f aca="false">IF(AND(BC81=1,INT(N(H81))&lt;=Config!$B$7,DA81=1),1,0)</f>
        <v>0</v>
      </c>
      <c r="DF81" s="23" t="n">
        <f aca="false">IF(AND(BC81=1,INT(N(H81))&lt;=Config!$B$8,DB81=1),1,0)</f>
        <v>0</v>
      </c>
      <c r="DG81" s="23" t="n">
        <f aca="false">IF(AND(BC81=1,INT(N(H81))&lt;=Config!$B$5,DC81=1),1,0)</f>
        <v>0</v>
      </c>
      <c r="DH81" s="23" t="n">
        <f aca="false">IF(AND(BE81=1,INT(N(H81))&lt;=Config!$B$6,CZ81=1),1,0)</f>
        <v>0</v>
      </c>
      <c r="DI81" s="23" t="n">
        <f aca="false">IF(AND(BE81=1,INT(N(H81))&lt;=Config!$B$7,DA81=1),1,0)</f>
        <v>0</v>
      </c>
      <c r="DJ81" s="23" t="n">
        <f aca="false">IF(AND(BE81=1,INT(N(H81))&lt;=Config!$B$8,DB81=1),1,0)</f>
        <v>0</v>
      </c>
      <c r="DK81" s="23" t="n">
        <f aca="false">IF(AND(BE81=1,INT(N(H81))&lt;=Config!$B$5,DC81=1),1,0)</f>
        <v>0</v>
      </c>
      <c r="DL81" s="23" t="n">
        <f aca="false">IF(AND(BC81=1,INT(N(H81))&lt;=Config!$B$6,CZ81=0),1,0)</f>
        <v>0</v>
      </c>
      <c r="DM81" s="23" t="n">
        <f aca="false">IF(AND(BC81=1,INT(N(H81))&lt;=Config!$B$7,DA81=0),1,0)</f>
        <v>0</v>
      </c>
      <c r="DN81" s="23" t="n">
        <f aca="false">IF(AND(BC81=1,INT(N(H81))&lt;=Config!$B$8,DB81=0),1,0)</f>
        <v>0</v>
      </c>
      <c r="DO81" s="23" t="n">
        <f aca="false">IF(AND(BC81=1,INT(N(H81))&lt;=Config!$B$5,DC81=0),1,0)</f>
        <v>0</v>
      </c>
      <c r="DP81" s="23" t="n">
        <f aca="false">IF(TRIM($A81)="",0,ISTEXT(K81)+ISTEXT(L81)+ISTEXT(R81)+ISTEXT(V81)+ISTEXT(AP81)+ISTEXT(AS81))</f>
        <v>0</v>
      </c>
      <c r="DQ81" s="23" t="n">
        <f aca="false">IF(AY81=1,IF(H81&lt;&gt;INT(H81),1,0),0)</f>
        <v>0</v>
      </c>
      <c r="DR81" s="23" t="str">
        <f aca="false">IF(TRIM($A81)="","",IF(TRIM(B81)="",SUBSTITUTE(SUBSTITUTE(SUBSTITUTE(SUBSTITUTE(SUBSTITUTE(SUBSTITUTE(LOWER(TRIM($A81)),"~",""),"*",""),"?",""),"&lt;",""),"&gt;",""),"=",""),SUBSTITUTE(SUBSTITUTE(SUBSTITUTE(SUBSTITUTE(SUBSTITUTE(SUBSTITUTE(LOWER(TRIM(B81)),"~",""),"*",""),"?",""),"&lt;",""),"&gt;",""),"=","")))</f>
        <v/>
      </c>
      <c r="DS81" s="23" t="str">
        <f aca="false">IF(CM81="","",IFERROR(IF(LEFT(LOWER(TRIM(INDEX(Clay_Brands!$A$2:$FZ$601,CM81,Sync!$D$19)&amp;"")),4)="grp-",SUBSTITUTE(SUBSTITUTE(SUBSTITUTE(SUBSTITUTE(SUBSTITUTE(SUBSTITUTE(LOWER(TRIM(INDEX(Clay_Brands!$A$2:$FZ$601,CM81,Sync!$D$19)&amp;"")),"~",""),"*",""),"?",""),"&lt;",""),"&gt;",""),"=",""),""),""))</f>
        <v/>
      </c>
      <c r="DT81" s="23" t="str">
        <f aca="false">IF(DS81&lt;&gt;"",DR81,"")</f>
        <v/>
      </c>
      <c r="DU81" s="23" t="str">
        <f aca="false">IF(AZ81=1,AW81,"")</f>
        <v/>
      </c>
      <c r="DV81" s="23" t="str">
        <f aca="false">IF(TRIM($A81)="","",IFERROR(INDEX($A$2:$A$201,MATCH(AW81,$DU$2:$DU$201,0))&amp;"",$A81&amp;""))</f>
        <v/>
      </c>
      <c r="DW81" s="23" t="n">
        <f aca="false">IF(AY81=1,IF(COUNTIFS($A$2:$A$201,$A81,$AY$2:$AY$201,1,$H$2:$H$201,"&lt;"&amp;H81)+COUNTIFS($A$2:$A$201,$A81,$AY$2:$AY$201,1,$H$2:$H$201,H81,$AX$2:$AX$201,"&lt;"&amp;AX81)=0,1,0),0)</f>
        <v>0</v>
      </c>
      <c r="DX81" s="23" t="n">
        <f aca="false">IF(AZ81=1,IF(COUNTIFS($AW$2:$AW$201,AW81,$DW$2:$DW$201,1)&gt;1,1,0),0)</f>
        <v>0</v>
      </c>
    </row>
    <row r="82" customFormat="false" ht="15" hidden="false" customHeight="false" outlineLevel="0" collapsed="false">
      <c r="G82" s="32"/>
      <c r="H82" s="33"/>
      <c r="I82" s="32"/>
      <c r="O82" s="32"/>
      <c r="P82" s="32"/>
      <c r="U82" s="32"/>
      <c r="Y82" s="32"/>
      <c r="AB82" s="32"/>
      <c r="AC82" s="32"/>
      <c r="AD82" s="32"/>
      <c r="AE82" s="32"/>
      <c r="AF82" s="32"/>
      <c r="AG82" s="32"/>
      <c r="AI82" s="32"/>
      <c r="AJ82" s="32"/>
      <c r="AK82" s="32"/>
      <c r="AN82" s="32"/>
      <c r="AO82" s="32"/>
      <c r="AR82" s="32"/>
      <c r="AT82" s="32"/>
      <c r="AV82" s="34" t="str">
        <f aca="false">IF(TRIM($A82)="","",IF(AND(LEFT($A82,6)="SAMPLE",Config!$B$19&lt;&gt;"Y"),"",IF(NOT(ISNUMBER(H82)),"call_date is blank or not a date",IF(Sync!$D$5="","Clay paste is empty or has no row_id column: paste the Clay export on Clay_Brands",IF(CM82="","row_id not found in the Clay paste: add the Clay row or fix the row_id",IF(AND(ISNUMBER(CO82),CO82&gt;=1,CO82&lt;=5),"Clay status is "&amp;CN82&amp;": set call_done or later",IF(AND(BA82=1,CP82&lt;&gt;CB82),"Clay yes_in_principle should be "&amp;CB82,IF(AND(BA82=1,CQ82&lt;&gt;H82),"Clay call_date should be "&amp;TEXT(H82,"yyyy-mm-dd"),""))))))))</f>
        <v/>
      </c>
      <c r="AW82" s="23" t="str">
        <f aca="false">IF(TRIM($A82)="","",IF(TRIM(C82)&lt;&gt;"",SUBSTITUTE(SUBSTITUTE(SUBSTITUTE(SUBSTITUTE(SUBSTITUTE(SUBSTITUTE(LOWER(TRIM(C82)),"~",""),"*",""),"?",""),"&lt;",""),"&gt;",""),"=",""),IF(DS82&lt;&gt;"",DS82,IFERROR(INDEX($DS$2:$DS$201,MATCH(DR82,$DT$2:$DT$201,0)),DR82))))</f>
        <v/>
      </c>
      <c r="AX82" s="23" t="n">
        <f aca="false">ROW()</f>
        <v>82</v>
      </c>
      <c r="AY82" s="23" t="n">
        <f aca="false">IF(AND(TRIM($A82)&lt;&gt;"",ISNUMBER(H82)),IF(AND(LEFT($A82,6)="SAMPLE",Config!$B$19&lt;&gt;"Y"),0,1),0)</f>
        <v>0</v>
      </c>
      <c r="AZ82" s="23" t="n">
        <f aca="false">IF(AY82=1,IF(COUNTIFS($AW$2:$AW$201,AW82,$AY$2:$AY$201,1,$H$2:$H$201,"&lt;"&amp;H82)+COUNTIFS($AW$2:$AW$201,AW82,$AY$2:$AY$201,1,$H$2:$H$201,H82,$AX$2:$AX$201,"&lt;"&amp;AX82)=0,1,0),0)</f>
        <v>0</v>
      </c>
      <c r="BA82" s="23" t="n">
        <f aca="false">IF(AY82=1,IF(COUNTIFS($A$2:$A$201,$A82,$AY$2:$AY$201,1,$H$2:$H$201,"&gt;"&amp;H82)+COUNTIFS($A$2:$A$201,$A82,$AY$2:$AY$201,1,$H$2:$H$201,H82,$AX$2:$AX$201,"&gt;"&amp;AX82)=0,1,0),0)</f>
        <v>0</v>
      </c>
      <c r="BB82" s="23" t="n">
        <f aca="false">IF(AND(AY82=1,O82="Y",MAX(N(R82),N(V82))&gt;=Config!$B$14),1,0)</f>
        <v>0</v>
      </c>
      <c r="BC82" s="23" t="n">
        <f aca="false">IF(BB82=1,IF(COUNTIFS($AW$2:$AW$201,AW82,$BB$2:$BB$201,1,$H$2:$H$201,"&lt;"&amp;H82)+COUNTIFS($AW$2:$AW$201,AW82,$BB$2:$BB$201,1,$H$2:$H$201,H82,$AX$2:$AX$201,"&lt;"&amp;AX82)=0,1,0),0)</f>
        <v>0</v>
      </c>
      <c r="BD82" s="23" t="n">
        <f aca="false">IF(AND(AY82=1,O82="Y",ISNUMBER(R82)),IF(R82&gt;=Config!$B$14,1,0),0)</f>
        <v>0</v>
      </c>
      <c r="BE82" s="23" t="n">
        <f aca="false">IF(BD82=1,IF(COUNTIFS($AW$2:$AW$201,AW82,$BD$2:$BD$201,1,$H$2:$H$201,"&lt;"&amp;H82)+COUNTIFS($AW$2:$AW$201,AW82,$BD$2:$BD$201,1,$H$2:$H$201,H82,$AX$2:$AX$201,"&lt;"&amp;AX82)=0,1,0),0)</f>
        <v>0</v>
      </c>
      <c r="BF82" s="23" t="n">
        <f aca="false">IF(AND(AY82=1,O82&lt;&gt;"Y",MAX(N(R82),N(V82))&gt;=Config!$B$14),1,0)</f>
        <v>0</v>
      </c>
      <c r="BG82" s="23" t="n">
        <f aca="false">IF(BF82=1,IF(COUNTIFS($AW$2:$AW$201,AW82,$BF$2:$BF$201,1,$H$2:$H$201,"&lt;"&amp;H82)+COUNTIFS($AW$2:$AW$201,AW82,$BF$2:$BF$201,1,$H$2:$H$201,H82,$AX$2:$AX$201,"&lt;"&amp;AX82)=0,1,0),0)</f>
        <v>0</v>
      </c>
      <c r="BH82" s="23" t="n">
        <f aca="false">IF(AND(AY82=1,ISNUMBER(R82)),1,0)</f>
        <v>0</v>
      </c>
      <c r="BI82" s="23" t="n">
        <f aca="false">IF(BH82=1,IF(COUNTIFS($AW$2:$AW$201,AW82,$BH$2:$BH$201,1,$H$2:$H$201,"&lt;"&amp;H82)+COUNTIFS($AW$2:$AW$201,AW82,$BH$2:$BH$201,1,$H$2:$H$201,H82,$AX$2:$AX$201,"&lt;"&amp;AX82)=0,1,0),0)</f>
        <v>0</v>
      </c>
      <c r="BJ82" s="23" t="str">
        <f aca="false">IF(AND(BI82=1,INT(N(H82))&lt;=Config!$B$6),R82,"")</f>
        <v/>
      </c>
      <c r="BK82" s="23" t="str">
        <f aca="false">IF(AND(BI82=1,INT(N(H82))&lt;=Config!$B$7),R82,"")</f>
        <v/>
      </c>
      <c r="BL82" s="23" t="str">
        <f aca="false">IF(AND(BI82=1,INT(N(H82))&lt;=Config!$B$8),R82,"")</f>
        <v/>
      </c>
      <c r="BM82" s="23" t="str">
        <f aca="false">IF(AND(BI82=1,INT(N(H82))&lt;=Config!$B$5),R82,"")</f>
        <v/>
      </c>
      <c r="BN82" s="23" t="n">
        <f aca="false">IF(AND(AY82=1,ISNUMBER(V82)),1,0)</f>
        <v>0</v>
      </c>
      <c r="BO82" s="23" t="n">
        <f aca="false">IF(BN82=1,IF(COUNTIFS($AW$2:$AW$201,AW82,$BN$2:$BN$201,1,$H$2:$H$201,"&lt;"&amp;H82)+COUNTIFS($AW$2:$AW$201,AW82,$BN$2:$BN$201,1,$H$2:$H$201,H82,$AX$2:$AX$201,"&lt;"&amp;AX82)=0,1,0),0)</f>
        <v>0</v>
      </c>
      <c r="BP82" s="23" t="str">
        <f aca="false">IF(AND(BO82=1,INT(N(H82))&lt;=Config!$B$6),V82,"")</f>
        <v/>
      </c>
      <c r="BQ82" s="23" t="str">
        <f aca="false">IF(AND(BO82=1,INT(N(H82))&lt;=Config!$B$7),V82,"")</f>
        <v/>
      </c>
      <c r="BR82" s="23" t="str">
        <f aca="false">IF(AND(BO82=1,INT(N(H82))&lt;=Config!$B$8),V82,"")</f>
        <v/>
      </c>
      <c r="BS82" s="23" t="str">
        <f aca="false">IF(AND(BO82=1,INT(N(H82))&lt;=Config!$B$5),V82,"")</f>
        <v/>
      </c>
      <c r="BT82" s="23" t="n">
        <f aca="false">IF(AND(AY82=1,ISNUMBER(K82)),1,0)</f>
        <v>0</v>
      </c>
      <c r="BU82" s="23" t="n">
        <f aca="false">IF(BT82=1,IF(COUNTIFS($AW$2:$AW$201,AW82,$BT$2:$BT$201,1,$H$2:$H$201,"&lt;"&amp;H82)+COUNTIFS($AW$2:$AW$201,AW82,$BT$2:$BT$201,1,$H$2:$H$201,H82,$AX$2:$AX$201,"&lt;"&amp;AX82)=0,1,0),0)</f>
        <v>0</v>
      </c>
      <c r="BV82" s="23" t="str">
        <f aca="false">IF(AND(BU82=1,INT(N(H82))&lt;=Config!$B$5),K82,"")</f>
        <v/>
      </c>
      <c r="BW82" s="23" t="n">
        <f aca="false">IF(AND(AY82=1,OR(AND(ISNUMBER(R82),TRIM(S82)=""),AND(ISNUMBER(V82),TRIM(W82)=""))),1,0)</f>
        <v>0</v>
      </c>
      <c r="BX82" s="23" t="str">
        <f aca="false">IF(AY82=1,AJ82&amp;"","")</f>
        <v/>
      </c>
      <c r="BY82" s="23" t="str">
        <f aca="false">IF(AY82=1,AK82&amp;"","")</f>
        <v/>
      </c>
      <c r="BZ82" s="23" t="str">
        <f aca="false">IF(AY82=1,AL82&amp;"","")</f>
        <v/>
      </c>
      <c r="CA82" s="23" t="str">
        <f aca="false">IF(AND(AY82=1,ISNUMBER(AS82),INT(N(H82))&lt;=Config!$B$5),AS82,"")</f>
        <v/>
      </c>
      <c r="CB82" s="23" t="str">
        <f aca="false">IF(AY82=1,IF(COUNTIFS($A$2:$A$201,$A82,$CU$2:$CU$201,1,$AN$2:$AN$201,"Y")&gt;0,"Y","N"),"")</f>
        <v/>
      </c>
      <c r="CC82" s="23" t="n">
        <f aca="false">IF(AND(AY82=1,AN82="Y"),IF(COUNTIFS($AW$2:$AW$201,AW82,$AN$2:$AN$201,"Y",$AY$2:$AY$201,1,$H$2:$H$201,"&lt;"&amp;H82)+COUNTIFS($AW$2:$AW$201,AW82,$AN$2:$AN$201,"Y",$AY$2:$AY$201,1,$H$2:$H$201,H82,$AX$2:$AX$201,"&lt;"&amp;AX82)=0,1,0),0)</f>
        <v>0</v>
      </c>
      <c r="CD82" s="23" t="n">
        <f aca="false">IF(AND(AY82=1,AB82="Y",AC82="Y",AD82="Y",AE82="Y",AF82="Y",AG82="Y",AI82="Y",TRIM(AH82)&lt;&gt;""),1,0)</f>
        <v>0</v>
      </c>
      <c r="CE82" s="23" t="n">
        <f aca="false">IF(CD82=1,IF(COUNTIFS($AW$2:$AW$201,AW82,$CD$2:$CD$201,1,$H$2:$H$201,"&lt;"&amp;H82)+COUNTIFS($AW$2:$AW$201,AW82,$CD$2:$CD$201,1,$H$2:$H$201,H82,$AX$2:$AX$201,"&lt;"&amp;AX82)=0,1,0),0)</f>
        <v>0</v>
      </c>
      <c r="CF82" s="23" t="n">
        <f aca="false">IF(AND(AY82=1,AO82="Y"),1,0)</f>
        <v>0</v>
      </c>
      <c r="CG82" s="23" t="n">
        <f aca="false">IF(CF82=1,IF(COUNTIFS($AW$2:$AW$201,AW82,$CF$2:$CF$201,1,$H$2:$H$201,"&lt;"&amp;H82)+COUNTIFS($AW$2:$AW$201,AW82,$CF$2:$CF$201,1,$H$2:$H$201,H82,$AX$2:$AX$201,"&lt;"&amp;AX82)=0,1,0),0)</f>
        <v>0</v>
      </c>
      <c r="CH82" s="23" t="n">
        <f aca="false">IF(AND(AY82=1,P82="Y"),1,0)</f>
        <v>0</v>
      </c>
      <c r="CI82" s="23" t="n">
        <f aca="false">IF(CH82=1,IF(COUNTIFS($AW$2:$AW$201,AW82,$CH$2:$CH$201,1,$H$2:$H$201,"&lt;"&amp;H82)+COUNTIFS($AW$2:$AW$201,AW82,$CH$2:$CH$201,1,$H$2:$H$201,H82,$AX$2:$AX$201,"&lt;"&amp;AX82)=0,1,0),0)</f>
        <v>0</v>
      </c>
      <c r="CJ82" s="23" t="str">
        <f aca="false">IF(AND(BU82=1,INT(N(H82))&lt;=Config!$B$5),L82,"")</f>
        <v/>
      </c>
      <c r="CK82" s="23" t="n">
        <f aca="false">IF(AND(AY82=1,AR82="Y"),1,0)</f>
        <v>0</v>
      </c>
      <c r="CL82" s="23" t="n">
        <f aca="false">IF(CK82=1,IF(COUNTIFS($AW$2:$AW$201,AW82,$CK$2:$CK$201,1,$H$2:$H$201,"&lt;"&amp;H82)+COUNTIFS($AW$2:$AW$201,AW82,$CK$2:$CK$201,1,$H$2:$H$201,H82,$AX$2:$AX$201,"&lt;"&amp;AX82)=0,1,0),0)</f>
        <v>0</v>
      </c>
      <c r="CM82" s="23" t="str">
        <f aca="false">IF(AY82=1,IFERROR(MATCH($A82,INDEX(Clay_Brands!$A$2:$FZ$601,0,Sync!$D$5),0),""),"")</f>
        <v/>
      </c>
      <c r="CN82" s="23" t="str">
        <f aca="false">IF(CM82="","",IFERROR(INDEX(Clay_Brands!$A$2:$FZ$601,CM82,Sync!$D$7)&amp;"",""))</f>
        <v/>
      </c>
      <c r="CO82" s="23" t="str">
        <f aca="false">IF(CN82="","",IFERROR(INDEX(Lists!$K$2:$K$15,MATCH(CN82,Lists!$J$2:$J$15,0)),""))</f>
        <v/>
      </c>
      <c r="CP82" s="23" t="str">
        <f aca="false">IF(CM82="","",IFERROR(INDEX(Clay_Brands!$A$2:$FZ$601,CM82,Sync!$D$17)&amp;"",""))</f>
        <v/>
      </c>
      <c r="CQ82" s="35" t="str">
        <f aca="false">IF(CM82="","",IFERROR(N(INDEX(Clay_Brands!$A$2:$FZ$601,CM82,Sync!$D$16)),0))</f>
        <v/>
      </c>
      <c r="CR82" s="23" t="n">
        <f aca="false">IF(AND(AY82=1,OR(O82="N",AND(OR(ISNUMBER(R82),ISNUMBER(V82)),MAX(N(R82),N(V82))&lt;Config!$B$14))),1,0)</f>
        <v>0</v>
      </c>
      <c r="CS82" s="23" t="n">
        <f aca="false">IF(OR(BB82=1,CR82=1),1,0)</f>
        <v>0</v>
      </c>
      <c r="CT82" s="23" t="n">
        <f aca="false">IF(AND(AY82=1,OR(AN82="Y",AN82="N",AN82="maybe")),1,0)</f>
        <v>0</v>
      </c>
      <c r="CU82" s="23" t="n">
        <f aca="false">IF(AND(CT82=1),IF(COUNTIFS($A$2:$A$201,$A82,$CT$2:$CT$201,1,$H$2:$H$201,"&gt;"&amp;H82)+COUNTIFS($A$2:$A$201,$A82,$CT$2:$CT$201,1,$H$2:$H$201,H82,$AX$2:$AX$201,"&gt;"&amp;AX82)=0,1,0),0)</f>
        <v>0</v>
      </c>
      <c r="CV82" s="23" t="n">
        <f aca="false">IF(AND(CS82=1,INT(N(H82))&lt;=Config!$B$6),IF(COUNTIFS($AW$2:$AW$201,AW82,$CS$2:$CS$201,1,$H$2:$H$201,"&gt;"&amp;H82,$H$2:$H$201,"&lt;"&amp;(Config!$B$6+1))+COUNTIFS($AW$2:$AW$201,AW82,$CS$2:$CS$201,1,$H$2:$H$201,H82,$AX$2:$AX$201,"&gt;"&amp;AX82)=0,1,0),0)</f>
        <v>0</v>
      </c>
      <c r="CW82" s="23" t="n">
        <f aca="false">IF(AND(CS82=1,INT(N(H82))&lt;=Config!$B$7),IF(COUNTIFS($AW$2:$AW$201,AW82,$CS$2:$CS$201,1,$H$2:$H$201,"&gt;"&amp;H82,$H$2:$H$201,"&lt;"&amp;(Config!$B$7+1))+COUNTIFS($AW$2:$AW$201,AW82,$CS$2:$CS$201,1,$H$2:$H$201,H82,$AX$2:$AX$201,"&gt;"&amp;AX82)=0,1,0),0)</f>
        <v>0</v>
      </c>
      <c r="CX82" s="23" t="n">
        <f aca="false">IF(AND(CS82=1,INT(N(H82))&lt;=Config!$B$8),IF(COUNTIFS($AW$2:$AW$201,AW82,$CS$2:$CS$201,1,$H$2:$H$201,"&gt;"&amp;H82,$H$2:$H$201,"&lt;"&amp;(Config!$B$8+1))+COUNTIFS($AW$2:$AW$201,AW82,$CS$2:$CS$201,1,$H$2:$H$201,H82,$AX$2:$AX$201,"&gt;"&amp;AX82)=0,1,0),0)</f>
        <v>0</v>
      </c>
      <c r="CY82" s="23" t="n">
        <f aca="false">IF(AND(CS82=1,INT(N(H82))&lt;=Config!$B$5),IF(COUNTIFS($AW$2:$AW$201,AW82,$CS$2:$CS$201,1,$H$2:$H$201,"&gt;"&amp;H82,$H$2:$H$201,"&lt;"&amp;(Config!$B$5+1))+COUNTIFS($AW$2:$AW$201,AW82,$CS$2:$CS$201,1,$H$2:$H$201,H82,$AX$2:$AX$201,"&gt;"&amp;AX82)=0,1,0),0)</f>
        <v>0</v>
      </c>
      <c r="CZ82" s="23" t="n">
        <f aca="false">IF(AY82=1,IF(COUNTIFS($AW$2:$AW$201,AW82,$CV$2:$CV$201,1,$BB$2:$BB$201,1)&gt;0,1,0),0)</f>
        <v>0</v>
      </c>
      <c r="DA82" s="23" t="n">
        <f aca="false">IF(AY82=1,IF(COUNTIFS($AW$2:$AW$201,AW82,$CW$2:$CW$201,1,$BB$2:$BB$201,1)&gt;0,1,0),0)</f>
        <v>0</v>
      </c>
      <c r="DB82" s="23" t="n">
        <f aca="false">IF(AY82=1,IF(COUNTIFS($AW$2:$AW$201,AW82,$CX$2:$CX$201,1,$BB$2:$BB$201,1)&gt;0,1,0),0)</f>
        <v>0</v>
      </c>
      <c r="DC82" s="23" t="n">
        <f aca="false">IF(AY82=1,IF(COUNTIFS($AW$2:$AW$201,AW82,$CY$2:$CY$201,1,$BB$2:$BB$201,1)&gt;0,1,0),0)</f>
        <v>0</v>
      </c>
      <c r="DD82" s="23" t="n">
        <f aca="false">IF(AND(BC82=1,INT(N(H82))&lt;=Config!$B$6,CZ82=1),1,0)</f>
        <v>0</v>
      </c>
      <c r="DE82" s="23" t="n">
        <f aca="false">IF(AND(BC82=1,INT(N(H82))&lt;=Config!$B$7,DA82=1),1,0)</f>
        <v>0</v>
      </c>
      <c r="DF82" s="23" t="n">
        <f aca="false">IF(AND(BC82=1,INT(N(H82))&lt;=Config!$B$8,DB82=1),1,0)</f>
        <v>0</v>
      </c>
      <c r="DG82" s="23" t="n">
        <f aca="false">IF(AND(BC82=1,INT(N(H82))&lt;=Config!$B$5,DC82=1),1,0)</f>
        <v>0</v>
      </c>
      <c r="DH82" s="23" t="n">
        <f aca="false">IF(AND(BE82=1,INT(N(H82))&lt;=Config!$B$6,CZ82=1),1,0)</f>
        <v>0</v>
      </c>
      <c r="DI82" s="23" t="n">
        <f aca="false">IF(AND(BE82=1,INT(N(H82))&lt;=Config!$B$7,DA82=1),1,0)</f>
        <v>0</v>
      </c>
      <c r="DJ82" s="23" t="n">
        <f aca="false">IF(AND(BE82=1,INT(N(H82))&lt;=Config!$B$8,DB82=1),1,0)</f>
        <v>0</v>
      </c>
      <c r="DK82" s="23" t="n">
        <f aca="false">IF(AND(BE82=1,INT(N(H82))&lt;=Config!$B$5,DC82=1),1,0)</f>
        <v>0</v>
      </c>
      <c r="DL82" s="23" t="n">
        <f aca="false">IF(AND(BC82=1,INT(N(H82))&lt;=Config!$B$6,CZ82=0),1,0)</f>
        <v>0</v>
      </c>
      <c r="DM82" s="23" t="n">
        <f aca="false">IF(AND(BC82=1,INT(N(H82))&lt;=Config!$B$7,DA82=0),1,0)</f>
        <v>0</v>
      </c>
      <c r="DN82" s="23" t="n">
        <f aca="false">IF(AND(BC82=1,INT(N(H82))&lt;=Config!$B$8,DB82=0),1,0)</f>
        <v>0</v>
      </c>
      <c r="DO82" s="23" t="n">
        <f aca="false">IF(AND(BC82=1,INT(N(H82))&lt;=Config!$B$5,DC82=0),1,0)</f>
        <v>0</v>
      </c>
      <c r="DP82" s="23" t="n">
        <f aca="false">IF(TRIM($A82)="",0,ISTEXT(K82)+ISTEXT(L82)+ISTEXT(R82)+ISTEXT(V82)+ISTEXT(AP82)+ISTEXT(AS82))</f>
        <v>0</v>
      </c>
      <c r="DQ82" s="23" t="n">
        <f aca="false">IF(AY82=1,IF(H82&lt;&gt;INT(H82),1,0),0)</f>
        <v>0</v>
      </c>
      <c r="DR82" s="23" t="str">
        <f aca="false">IF(TRIM($A82)="","",IF(TRIM(B82)="",SUBSTITUTE(SUBSTITUTE(SUBSTITUTE(SUBSTITUTE(SUBSTITUTE(SUBSTITUTE(LOWER(TRIM($A82)),"~",""),"*",""),"?",""),"&lt;",""),"&gt;",""),"=",""),SUBSTITUTE(SUBSTITUTE(SUBSTITUTE(SUBSTITUTE(SUBSTITUTE(SUBSTITUTE(LOWER(TRIM(B82)),"~",""),"*",""),"?",""),"&lt;",""),"&gt;",""),"=","")))</f>
        <v/>
      </c>
      <c r="DS82" s="23" t="str">
        <f aca="false">IF(CM82="","",IFERROR(IF(LEFT(LOWER(TRIM(INDEX(Clay_Brands!$A$2:$FZ$601,CM82,Sync!$D$19)&amp;"")),4)="grp-",SUBSTITUTE(SUBSTITUTE(SUBSTITUTE(SUBSTITUTE(SUBSTITUTE(SUBSTITUTE(LOWER(TRIM(INDEX(Clay_Brands!$A$2:$FZ$601,CM82,Sync!$D$19)&amp;"")),"~",""),"*",""),"?",""),"&lt;",""),"&gt;",""),"=",""),""),""))</f>
        <v/>
      </c>
      <c r="DT82" s="23" t="str">
        <f aca="false">IF(DS82&lt;&gt;"",DR82,"")</f>
        <v/>
      </c>
      <c r="DU82" s="23" t="str">
        <f aca="false">IF(AZ82=1,AW82,"")</f>
        <v/>
      </c>
      <c r="DV82" s="23" t="str">
        <f aca="false">IF(TRIM($A82)="","",IFERROR(INDEX($A$2:$A$201,MATCH(AW82,$DU$2:$DU$201,0))&amp;"",$A82&amp;""))</f>
        <v/>
      </c>
      <c r="DW82" s="23" t="n">
        <f aca="false">IF(AY82=1,IF(COUNTIFS($A$2:$A$201,$A82,$AY$2:$AY$201,1,$H$2:$H$201,"&lt;"&amp;H82)+COUNTIFS($A$2:$A$201,$A82,$AY$2:$AY$201,1,$H$2:$H$201,H82,$AX$2:$AX$201,"&lt;"&amp;AX82)=0,1,0),0)</f>
        <v>0</v>
      </c>
      <c r="DX82" s="23" t="n">
        <f aca="false">IF(AZ82=1,IF(COUNTIFS($AW$2:$AW$201,AW82,$DW$2:$DW$201,1)&gt;1,1,0),0)</f>
        <v>0</v>
      </c>
    </row>
    <row r="83" customFormat="false" ht="15" hidden="false" customHeight="false" outlineLevel="0" collapsed="false">
      <c r="G83" s="32"/>
      <c r="H83" s="33"/>
      <c r="I83" s="32"/>
      <c r="O83" s="32"/>
      <c r="P83" s="32"/>
      <c r="U83" s="32"/>
      <c r="Y83" s="32"/>
      <c r="AB83" s="32"/>
      <c r="AC83" s="32"/>
      <c r="AD83" s="32"/>
      <c r="AE83" s="32"/>
      <c r="AF83" s="32"/>
      <c r="AG83" s="32"/>
      <c r="AI83" s="32"/>
      <c r="AJ83" s="32"/>
      <c r="AK83" s="32"/>
      <c r="AN83" s="32"/>
      <c r="AO83" s="32"/>
      <c r="AR83" s="32"/>
      <c r="AT83" s="32"/>
      <c r="AV83" s="34" t="str">
        <f aca="false">IF(TRIM($A83)="","",IF(AND(LEFT($A83,6)="SAMPLE",Config!$B$19&lt;&gt;"Y"),"",IF(NOT(ISNUMBER(H83)),"call_date is blank or not a date",IF(Sync!$D$5="","Clay paste is empty or has no row_id column: paste the Clay export on Clay_Brands",IF(CM83="","row_id not found in the Clay paste: add the Clay row or fix the row_id",IF(AND(ISNUMBER(CO83),CO83&gt;=1,CO83&lt;=5),"Clay status is "&amp;CN83&amp;": set call_done or later",IF(AND(BA83=1,CP83&lt;&gt;CB83),"Clay yes_in_principle should be "&amp;CB83,IF(AND(BA83=1,CQ83&lt;&gt;H83),"Clay call_date should be "&amp;TEXT(H83,"yyyy-mm-dd"),""))))))))</f>
        <v/>
      </c>
      <c r="AW83" s="23" t="str">
        <f aca="false">IF(TRIM($A83)="","",IF(TRIM(C83)&lt;&gt;"",SUBSTITUTE(SUBSTITUTE(SUBSTITUTE(SUBSTITUTE(SUBSTITUTE(SUBSTITUTE(LOWER(TRIM(C83)),"~",""),"*",""),"?",""),"&lt;",""),"&gt;",""),"=",""),IF(DS83&lt;&gt;"",DS83,IFERROR(INDEX($DS$2:$DS$201,MATCH(DR83,$DT$2:$DT$201,0)),DR83))))</f>
        <v/>
      </c>
      <c r="AX83" s="23" t="n">
        <f aca="false">ROW()</f>
        <v>83</v>
      </c>
      <c r="AY83" s="23" t="n">
        <f aca="false">IF(AND(TRIM($A83)&lt;&gt;"",ISNUMBER(H83)),IF(AND(LEFT($A83,6)="SAMPLE",Config!$B$19&lt;&gt;"Y"),0,1),0)</f>
        <v>0</v>
      </c>
      <c r="AZ83" s="23" t="n">
        <f aca="false">IF(AY83=1,IF(COUNTIFS($AW$2:$AW$201,AW83,$AY$2:$AY$201,1,$H$2:$H$201,"&lt;"&amp;H83)+COUNTIFS($AW$2:$AW$201,AW83,$AY$2:$AY$201,1,$H$2:$H$201,H83,$AX$2:$AX$201,"&lt;"&amp;AX83)=0,1,0),0)</f>
        <v>0</v>
      </c>
      <c r="BA83" s="23" t="n">
        <f aca="false">IF(AY83=1,IF(COUNTIFS($A$2:$A$201,$A83,$AY$2:$AY$201,1,$H$2:$H$201,"&gt;"&amp;H83)+COUNTIFS($A$2:$A$201,$A83,$AY$2:$AY$201,1,$H$2:$H$201,H83,$AX$2:$AX$201,"&gt;"&amp;AX83)=0,1,0),0)</f>
        <v>0</v>
      </c>
      <c r="BB83" s="23" t="n">
        <f aca="false">IF(AND(AY83=1,O83="Y",MAX(N(R83),N(V83))&gt;=Config!$B$14),1,0)</f>
        <v>0</v>
      </c>
      <c r="BC83" s="23" t="n">
        <f aca="false">IF(BB83=1,IF(COUNTIFS($AW$2:$AW$201,AW83,$BB$2:$BB$201,1,$H$2:$H$201,"&lt;"&amp;H83)+COUNTIFS($AW$2:$AW$201,AW83,$BB$2:$BB$201,1,$H$2:$H$201,H83,$AX$2:$AX$201,"&lt;"&amp;AX83)=0,1,0),0)</f>
        <v>0</v>
      </c>
      <c r="BD83" s="23" t="n">
        <f aca="false">IF(AND(AY83=1,O83="Y",ISNUMBER(R83)),IF(R83&gt;=Config!$B$14,1,0),0)</f>
        <v>0</v>
      </c>
      <c r="BE83" s="23" t="n">
        <f aca="false">IF(BD83=1,IF(COUNTIFS($AW$2:$AW$201,AW83,$BD$2:$BD$201,1,$H$2:$H$201,"&lt;"&amp;H83)+COUNTIFS($AW$2:$AW$201,AW83,$BD$2:$BD$201,1,$H$2:$H$201,H83,$AX$2:$AX$201,"&lt;"&amp;AX83)=0,1,0),0)</f>
        <v>0</v>
      </c>
      <c r="BF83" s="23" t="n">
        <f aca="false">IF(AND(AY83=1,O83&lt;&gt;"Y",MAX(N(R83),N(V83))&gt;=Config!$B$14),1,0)</f>
        <v>0</v>
      </c>
      <c r="BG83" s="23" t="n">
        <f aca="false">IF(BF83=1,IF(COUNTIFS($AW$2:$AW$201,AW83,$BF$2:$BF$201,1,$H$2:$H$201,"&lt;"&amp;H83)+COUNTIFS($AW$2:$AW$201,AW83,$BF$2:$BF$201,1,$H$2:$H$201,H83,$AX$2:$AX$201,"&lt;"&amp;AX83)=0,1,0),0)</f>
        <v>0</v>
      </c>
      <c r="BH83" s="23" t="n">
        <f aca="false">IF(AND(AY83=1,ISNUMBER(R83)),1,0)</f>
        <v>0</v>
      </c>
      <c r="BI83" s="23" t="n">
        <f aca="false">IF(BH83=1,IF(COUNTIFS($AW$2:$AW$201,AW83,$BH$2:$BH$201,1,$H$2:$H$201,"&lt;"&amp;H83)+COUNTIFS($AW$2:$AW$201,AW83,$BH$2:$BH$201,1,$H$2:$H$201,H83,$AX$2:$AX$201,"&lt;"&amp;AX83)=0,1,0),0)</f>
        <v>0</v>
      </c>
      <c r="BJ83" s="23" t="str">
        <f aca="false">IF(AND(BI83=1,INT(N(H83))&lt;=Config!$B$6),R83,"")</f>
        <v/>
      </c>
      <c r="BK83" s="23" t="str">
        <f aca="false">IF(AND(BI83=1,INT(N(H83))&lt;=Config!$B$7),R83,"")</f>
        <v/>
      </c>
      <c r="BL83" s="23" t="str">
        <f aca="false">IF(AND(BI83=1,INT(N(H83))&lt;=Config!$B$8),R83,"")</f>
        <v/>
      </c>
      <c r="BM83" s="23" t="str">
        <f aca="false">IF(AND(BI83=1,INT(N(H83))&lt;=Config!$B$5),R83,"")</f>
        <v/>
      </c>
      <c r="BN83" s="23" t="n">
        <f aca="false">IF(AND(AY83=1,ISNUMBER(V83)),1,0)</f>
        <v>0</v>
      </c>
      <c r="BO83" s="23" t="n">
        <f aca="false">IF(BN83=1,IF(COUNTIFS($AW$2:$AW$201,AW83,$BN$2:$BN$201,1,$H$2:$H$201,"&lt;"&amp;H83)+COUNTIFS($AW$2:$AW$201,AW83,$BN$2:$BN$201,1,$H$2:$H$201,H83,$AX$2:$AX$201,"&lt;"&amp;AX83)=0,1,0),0)</f>
        <v>0</v>
      </c>
      <c r="BP83" s="23" t="str">
        <f aca="false">IF(AND(BO83=1,INT(N(H83))&lt;=Config!$B$6),V83,"")</f>
        <v/>
      </c>
      <c r="BQ83" s="23" t="str">
        <f aca="false">IF(AND(BO83=1,INT(N(H83))&lt;=Config!$B$7),V83,"")</f>
        <v/>
      </c>
      <c r="BR83" s="23" t="str">
        <f aca="false">IF(AND(BO83=1,INT(N(H83))&lt;=Config!$B$8),V83,"")</f>
        <v/>
      </c>
      <c r="BS83" s="23" t="str">
        <f aca="false">IF(AND(BO83=1,INT(N(H83))&lt;=Config!$B$5),V83,"")</f>
        <v/>
      </c>
      <c r="BT83" s="23" t="n">
        <f aca="false">IF(AND(AY83=1,ISNUMBER(K83)),1,0)</f>
        <v>0</v>
      </c>
      <c r="BU83" s="23" t="n">
        <f aca="false">IF(BT83=1,IF(COUNTIFS($AW$2:$AW$201,AW83,$BT$2:$BT$201,1,$H$2:$H$201,"&lt;"&amp;H83)+COUNTIFS($AW$2:$AW$201,AW83,$BT$2:$BT$201,1,$H$2:$H$201,H83,$AX$2:$AX$201,"&lt;"&amp;AX83)=0,1,0),0)</f>
        <v>0</v>
      </c>
      <c r="BV83" s="23" t="str">
        <f aca="false">IF(AND(BU83=1,INT(N(H83))&lt;=Config!$B$5),K83,"")</f>
        <v/>
      </c>
      <c r="BW83" s="23" t="n">
        <f aca="false">IF(AND(AY83=1,OR(AND(ISNUMBER(R83),TRIM(S83)=""),AND(ISNUMBER(V83),TRIM(W83)=""))),1,0)</f>
        <v>0</v>
      </c>
      <c r="BX83" s="23" t="str">
        <f aca="false">IF(AY83=1,AJ83&amp;"","")</f>
        <v/>
      </c>
      <c r="BY83" s="23" t="str">
        <f aca="false">IF(AY83=1,AK83&amp;"","")</f>
        <v/>
      </c>
      <c r="BZ83" s="23" t="str">
        <f aca="false">IF(AY83=1,AL83&amp;"","")</f>
        <v/>
      </c>
      <c r="CA83" s="23" t="str">
        <f aca="false">IF(AND(AY83=1,ISNUMBER(AS83),INT(N(H83))&lt;=Config!$B$5),AS83,"")</f>
        <v/>
      </c>
      <c r="CB83" s="23" t="str">
        <f aca="false">IF(AY83=1,IF(COUNTIFS($A$2:$A$201,$A83,$CU$2:$CU$201,1,$AN$2:$AN$201,"Y")&gt;0,"Y","N"),"")</f>
        <v/>
      </c>
      <c r="CC83" s="23" t="n">
        <f aca="false">IF(AND(AY83=1,AN83="Y"),IF(COUNTIFS($AW$2:$AW$201,AW83,$AN$2:$AN$201,"Y",$AY$2:$AY$201,1,$H$2:$H$201,"&lt;"&amp;H83)+COUNTIFS($AW$2:$AW$201,AW83,$AN$2:$AN$201,"Y",$AY$2:$AY$201,1,$H$2:$H$201,H83,$AX$2:$AX$201,"&lt;"&amp;AX83)=0,1,0),0)</f>
        <v>0</v>
      </c>
      <c r="CD83" s="23" t="n">
        <f aca="false">IF(AND(AY83=1,AB83="Y",AC83="Y",AD83="Y",AE83="Y",AF83="Y",AG83="Y",AI83="Y",TRIM(AH83)&lt;&gt;""),1,0)</f>
        <v>0</v>
      </c>
      <c r="CE83" s="23" t="n">
        <f aca="false">IF(CD83=1,IF(COUNTIFS($AW$2:$AW$201,AW83,$CD$2:$CD$201,1,$H$2:$H$201,"&lt;"&amp;H83)+COUNTIFS($AW$2:$AW$201,AW83,$CD$2:$CD$201,1,$H$2:$H$201,H83,$AX$2:$AX$201,"&lt;"&amp;AX83)=0,1,0),0)</f>
        <v>0</v>
      </c>
      <c r="CF83" s="23" t="n">
        <f aca="false">IF(AND(AY83=1,AO83="Y"),1,0)</f>
        <v>0</v>
      </c>
      <c r="CG83" s="23" t="n">
        <f aca="false">IF(CF83=1,IF(COUNTIFS($AW$2:$AW$201,AW83,$CF$2:$CF$201,1,$H$2:$H$201,"&lt;"&amp;H83)+COUNTIFS($AW$2:$AW$201,AW83,$CF$2:$CF$201,1,$H$2:$H$201,H83,$AX$2:$AX$201,"&lt;"&amp;AX83)=0,1,0),0)</f>
        <v>0</v>
      </c>
      <c r="CH83" s="23" t="n">
        <f aca="false">IF(AND(AY83=1,P83="Y"),1,0)</f>
        <v>0</v>
      </c>
      <c r="CI83" s="23" t="n">
        <f aca="false">IF(CH83=1,IF(COUNTIFS($AW$2:$AW$201,AW83,$CH$2:$CH$201,1,$H$2:$H$201,"&lt;"&amp;H83)+COUNTIFS($AW$2:$AW$201,AW83,$CH$2:$CH$201,1,$H$2:$H$201,H83,$AX$2:$AX$201,"&lt;"&amp;AX83)=0,1,0),0)</f>
        <v>0</v>
      </c>
      <c r="CJ83" s="23" t="str">
        <f aca="false">IF(AND(BU83=1,INT(N(H83))&lt;=Config!$B$5),L83,"")</f>
        <v/>
      </c>
      <c r="CK83" s="23" t="n">
        <f aca="false">IF(AND(AY83=1,AR83="Y"),1,0)</f>
        <v>0</v>
      </c>
      <c r="CL83" s="23" t="n">
        <f aca="false">IF(CK83=1,IF(COUNTIFS($AW$2:$AW$201,AW83,$CK$2:$CK$201,1,$H$2:$H$201,"&lt;"&amp;H83)+COUNTIFS($AW$2:$AW$201,AW83,$CK$2:$CK$201,1,$H$2:$H$201,H83,$AX$2:$AX$201,"&lt;"&amp;AX83)=0,1,0),0)</f>
        <v>0</v>
      </c>
      <c r="CM83" s="23" t="str">
        <f aca="false">IF(AY83=1,IFERROR(MATCH($A83,INDEX(Clay_Brands!$A$2:$FZ$601,0,Sync!$D$5),0),""),"")</f>
        <v/>
      </c>
      <c r="CN83" s="23" t="str">
        <f aca="false">IF(CM83="","",IFERROR(INDEX(Clay_Brands!$A$2:$FZ$601,CM83,Sync!$D$7)&amp;"",""))</f>
        <v/>
      </c>
      <c r="CO83" s="23" t="str">
        <f aca="false">IF(CN83="","",IFERROR(INDEX(Lists!$K$2:$K$15,MATCH(CN83,Lists!$J$2:$J$15,0)),""))</f>
        <v/>
      </c>
      <c r="CP83" s="23" t="str">
        <f aca="false">IF(CM83="","",IFERROR(INDEX(Clay_Brands!$A$2:$FZ$601,CM83,Sync!$D$17)&amp;"",""))</f>
        <v/>
      </c>
      <c r="CQ83" s="35" t="str">
        <f aca="false">IF(CM83="","",IFERROR(N(INDEX(Clay_Brands!$A$2:$FZ$601,CM83,Sync!$D$16)),0))</f>
        <v/>
      </c>
      <c r="CR83" s="23" t="n">
        <f aca="false">IF(AND(AY83=1,OR(O83="N",AND(OR(ISNUMBER(R83),ISNUMBER(V83)),MAX(N(R83),N(V83))&lt;Config!$B$14))),1,0)</f>
        <v>0</v>
      </c>
      <c r="CS83" s="23" t="n">
        <f aca="false">IF(OR(BB83=1,CR83=1),1,0)</f>
        <v>0</v>
      </c>
      <c r="CT83" s="23" t="n">
        <f aca="false">IF(AND(AY83=1,OR(AN83="Y",AN83="N",AN83="maybe")),1,0)</f>
        <v>0</v>
      </c>
      <c r="CU83" s="23" t="n">
        <f aca="false">IF(AND(CT83=1),IF(COUNTIFS($A$2:$A$201,$A83,$CT$2:$CT$201,1,$H$2:$H$201,"&gt;"&amp;H83)+COUNTIFS($A$2:$A$201,$A83,$CT$2:$CT$201,1,$H$2:$H$201,H83,$AX$2:$AX$201,"&gt;"&amp;AX83)=0,1,0),0)</f>
        <v>0</v>
      </c>
      <c r="CV83" s="23" t="n">
        <f aca="false">IF(AND(CS83=1,INT(N(H83))&lt;=Config!$B$6),IF(COUNTIFS($AW$2:$AW$201,AW83,$CS$2:$CS$201,1,$H$2:$H$201,"&gt;"&amp;H83,$H$2:$H$201,"&lt;"&amp;(Config!$B$6+1))+COUNTIFS($AW$2:$AW$201,AW83,$CS$2:$CS$201,1,$H$2:$H$201,H83,$AX$2:$AX$201,"&gt;"&amp;AX83)=0,1,0),0)</f>
        <v>0</v>
      </c>
      <c r="CW83" s="23" t="n">
        <f aca="false">IF(AND(CS83=1,INT(N(H83))&lt;=Config!$B$7),IF(COUNTIFS($AW$2:$AW$201,AW83,$CS$2:$CS$201,1,$H$2:$H$201,"&gt;"&amp;H83,$H$2:$H$201,"&lt;"&amp;(Config!$B$7+1))+COUNTIFS($AW$2:$AW$201,AW83,$CS$2:$CS$201,1,$H$2:$H$201,H83,$AX$2:$AX$201,"&gt;"&amp;AX83)=0,1,0),0)</f>
        <v>0</v>
      </c>
      <c r="CX83" s="23" t="n">
        <f aca="false">IF(AND(CS83=1,INT(N(H83))&lt;=Config!$B$8),IF(COUNTIFS($AW$2:$AW$201,AW83,$CS$2:$CS$201,1,$H$2:$H$201,"&gt;"&amp;H83,$H$2:$H$201,"&lt;"&amp;(Config!$B$8+1))+COUNTIFS($AW$2:$AW$201,AW83,$CS$2:$CS$201,1,$H$2:$H$201,H83,$AX$2:$AX$201,"&gt;"&amp;AX83)=0,1,0),0)</f>
        <v>0</v>
      </c>
      <c r="CY83" s="23" t="n">
        <f aca="false">IF(AND(CS83=1,INT(N(H83))&lt;=Config!$B$5),IF(COUNTIFS($AW$2:$AW$201,AW83,$CS$2:$CS$201,1,$H$2:$H$201,"&gt;"&amp;H83,$H$2:$H$201,"&lt;"&amp;(Config!$B$5+1))+COUNTIFS($AW$2:$AW$201,AW83,$CS$2:$CS$201,1,$H$2:$H$201,H83,$AX$2:$AX$201,"&gt;"&amp;AX83)=0,1,0),0)</f>
        <v>0</v>
      </c>
      <c r="CZ83" s="23" t="n">
        <f aca="false">IF(AY83=1,IF(COUNTIFS($AW$2:$AW$201,AW83,$CV$2:$CV$201,1,$BB$2:$BB$201,1)&gt;0,1,0),0)</f>
        <v>0</v>
      </c>
      <c r="DA83" s="23" t="n">
        <f aca="false">IF(AY83=1,IF(COUNTIFS($AW$2:$AW$201,AW83,$CW$2:$CW$201,1,$BB$2:$BB$201,1)&gt;0,1,0),0)</f>
        <v>0</v>
      </c>
      <c r="DB83" s="23" t="n">
        <f aca="false">IF(AY83=1,IF(COUNTIFS($AW$2:$AW$201,AW83,$CX$2:$CX$201,1,$BB$2:$BB$201,1)&gt;0,1,0),0)</f>
        <v>0</v>
      </c>
      <c r="DC83" s="23" t="n">
        <f aca="false">IF(AY83=1,IF(COUNTIFS($AW$2:$AW$201,AW83,$CY$2:$CY$201,1,$BB$2:$BB$201,1)&gt;0,1,0),0)</f>
        <v>0</v>
      </c>
      <c r="DD83" s="23" t="n">
        <f aca="false">IF(AND(BC83=1,INT(N(H83))&lt;=Config!$B$6,CZ83=1),1,0)</f>
        <v>0</v>
      </c>
      <c r="DE83" s="23" t="n">
        <f aca="false">IF(AND(BC83=1,INT(N(H83))&lt;=Config!$B$7,DA83=1),1,0)</f>
        <v>0</v>
      </c>
      <c r="DF83" s="23" t="n">
        <f aca="false">IF(AND(BC83=1,INT(N(H83))&lt;=Config!$B$8,DB83=1),1,0)</f>
        <v>0</v>
      </c>
      <c r="DG83" s="23" t="n">
        <f aca="false">IF(AND(BC83=1,INT(N(H83))&lt;=Config!$B$5,DC83=1),1,0)</f>
        <v>0</v>
      </c>
      <c r="DH83" s="23" t="n">
        <f aca="false">IF(AND(BE83=1,INT(N(H83))&lt;=Config!$B$6,CZ83=1),1,0)</f>
        <v>0</v>
      </c>
      <c r="DI83" s="23" t="n">
        <f aca="false">IF(AND(BE83=1,INT(N(H83))&lt;=Config!$B$7,DA83=1),1,0)</f>
        <v>0</v>
      </c>
      <c r="DJ83" s="23" t="n">
        <f aca="false">IF(AND(BE83=1,INT(N(H83))&lt;=Config!$B$8,DB83=1),1,0)</f>
        <v>0</v>
      </c>
      <c r="DK83" s="23" t="n">
        <f aca="false">IF(AND(BE83=1,INT(N(H83))&lt;=Config!$B$5,DC83=1),1,0)</f>
        <v>0</v>
      </c>
      <c r="DL83" s="23" t="n">
        <f aca="false">IF(AND(BC83=1,INT(N(H83))&lt;=Config!$B$6,CZ83=0),1,0)</f>
        <v>0</v>
      </c>
      <c r="DM83" s="23" t="n">
        <f aca="false">IF(AND(BC83=1,INT(N(H83))&lt;=Config!$B$7,DA83=0),1,0)</f>
        <v>0</v>
      </c>
      <c r="DN83" s="23" t="n">
        <f aca="false">IF(AND(BC83=1,INT(N(H83))&lt;=Config!$B$8,DB83=0),1,0)</f>
        <v>0</v>
      </c>
      <c r="DO83" s="23" t="n">
        <f aca="false">IF(AND(BC83=1,INT(N(H83))&lt;=Config!$B$5,DC83=0),1,0)</f>
        <v>0</v>
      </c>
      <c r="DP83" s="23" t="n">
        <f aca="false">IF(TRIM($A83)="",0,ISTEXT(K83)+ISTEXT(L83)+ISTEXT(R83)+ISTEXT(V83)+ISTEXT(AP83)+ISTEXT(AS83))</f>
        <v>0</v>
      </c>
      <c r="DQ83" s="23" t="n">
        <f aca="false">IF(AY83=1,IF(H83&lt;&gt;INT(H83),1,0),0)</f>
        <v>0</v>
      </c>
      <c r="DR83" s="23" t="str">
        <f aca="false">IF(TRIM($A83)="","",IF(TRIM(B83)="",SUBSTITUTE(SUBSTITUTE(SUBSTITUTE(SUBSTITUTE(SUBSTITUTE(SUBSTITUTE(LOWER(TRIM($A83)),"~",""),"*",""),"?",""),"&lt;",""),"&gt;",""),"=",""),SUBSTITUTE(SUBSTITUTE(SUBSTITUTE(SUBSTITUTE(SUBSTITUTE(SUBSTITUTE(LOWER(TRIM(B83)),"~",""),"*",""),"?",""),"&lt;",""),"&gt;",""),"=","")))</f>
        <v/>
      </c>
      <c r="DS83" s="23" t="str">
        <f aca="false">IF(CM83="","",IFERROR(IF(LEFT(LOWER(TRIM(INDEX(Clay_Brands!$A$2:$FZ$601,CM83,Sync!$D$19)&amp;"")),4)="grp-",SUBSTITUTE(SUBSTITUTE(SUBSTITUTE(SUBSTITUTE(SUBSTITUTE(SUBSTITUTE(LOWER(TRIM(INDEX(Clay_Brands!$A$2:$FZ$601,CM83,Sync!$D$19)&amp;"")),"~",""),"*",""),"?",""),"&lt;",""),"&gt;",""),"=",""),""),""))</f>
        <v/>
      </c>
      <c r="DT83" s="23" t="str">
        <f aca="false">IF(DS83&lt;&gt;"",DR83,"")</f>
        <v/>
      </c>
      <c r="DU83" s="23" t="str">
        <f aca="false">IF(AZ83=1,AW83,"")</f>
        <v/>
      </c>
      <c r="DV83" s="23" t="str">
        <f aca="false">IF(TRIM($A83)="","",IFERROR(INDEX($A$2:$A$201,MATCH(AW83,$DU$2:$DU$201,0))&amp;"",$A83&amp;""))</f>
        <v/>
      </c>
      <c r="DW83" s="23" t="n">
        <f aca="false">IF(AY83=1,IF(COUNTIFS($A$2:$A$201,$A83,$AY$2:$AY$201,1,$H$2:$H$201,"&lt;"&amp;H83)+COUNTIFS($A$2:$A$201,$A83,$AY$2:$AY$201,1,$H$2:$H$201,H83,$AX$2:$AX$201,"&lt;"&amp;AX83)=0,1,0),0)</f>
        <v>0</v>
      </c>
      <c r="DX83" s="23" t="n">
        <f aca="false">IF(AZ83=1,IF(COUNTIFS($AW$2:$AW$201,AW83,$DW$2:$DW$201,1)&gt;1,1,0),0)</f>
        <v>0</v>
      </c>
    </row>
    <row r="84" customFormat="false" ht="15" hidden="false" customHeight="false" outlineLevel="0" collapsed="false">
      <c r="G84" s="32"/>
      <c r="H84" s="33"/>
      <c r="I84" s="32"/>
      <c r="O84" s="32"/>
      <c r="P84" s="32"/>
      <c r="U84" s="32"/>
      <c r="Y84" s="32"/>
      <c r="AB84" s="32"/>
      <c r="AC84" s="32"/>
      <c r="AD84" s="32"/>
      <c r="AE84" s="32"/>
      <c r="AF84" s="32"/>
      <c r="AG84" s="32"/>
      <c r="AI84" s="32"/>
      <c r="AJ84" s="32"/>
      <c r="AK84" s="32"/>
      <c r="AN84" s="32"/>
      <c r="AO84" s="32"/>
      <c r="AR84" s="32"/>
      <c r="AT84" s="32"/>
      <c r="AV84" s="34" t="str">
        <f aca="false">IF(TRIM($A84)="","",IF(AND(LEFT($A84,6)="SAMPLE",Config!$B$19&lt;&gt;"Y"),"",IF(NOT(ISNUMBER(H84)),"call_date is blank or not a date",IF(Sync!$D$5="","Clay paste is empty or has no row_id column: paste the Clay export on Clay_Brands",IF(CM84="","row_id not found in the Clay paste: add the Clay row or fix the row_id",IF(AND(ISNUMBER(CO84),CO84&gt;=1,CO84&lt;=5),"Clay status is "&amp;CN84&amp;": set call_done or later",IF(AND(BA84=1,CP84&lt;&gt;CB84),"Clay yes_in_principle should be "&amp;CB84,IF(AND(BA84=1,CQ84&lt;&gt;H84),"Clay call_date should be "&amp;TEXT(H84,"yyyy-mm-dd"),""))))))))</f>
        <v/>
      </c>
      <c r="AW84" s="23" t="str">
        <f aca="false">IF(TRIM($A84)="","",IF(TRIM(C84)&lt;&gt;"",SUBSTITUTE(SUBSTITUTE(SUBSTITUTE(SUBSTITUTE(SUBSTITUTE(SUBSTITUTE(LOWER(TRIM(C84)),"~",""),"*",""),"?",""),"&lt;",""),"&gt;",""),"=",""),IF(DS84&lt;&gt;"",DS84,IFERROR(INDEX($DS$2:$DS$201,MATCH(DR84,$DT$2:$DT$201,0)),DR84))))</f>
        <v/>
      </c>
      <c r="AX84" s="23" t="n">
        <f aca="false">ROW()</f>
        <v>84</v>
      </c>
      <c r="AY84" s="23" t="n">
        <f aca="false">IF(AND(TRIM($A84)&lt;&gt;"",ISNUMBER(H84)),IF(AND(LEFT($A84,6)="SAMPLE",Config!$B$19&lt;&gt;"Y"),0,1),0)</f>
        <v>0</v>
      </c>
      <c r="AZ84" s="23" t="n">
        <f aca="false">IF(AY84=1,IF(COUNTIFS($AW$2:$AW$201,AW84,$AY$2:$AY$201,1,$H$2:$H$201,"&lt;"&amp;H84)+COUNTIFS($AW$2:$AW$201,AW84,$AY$2:$AY$201,1,$H$2:$H$201,H84,$AX$2:$AX$201,"&lt;"&amp;AX84)=0,1,0),0)</f>
        <v>0</v>
      </c>
      <c r="BA84" s="23" t="n">
        <f aca="false">IF(AY84=1,IF(COUNTIFS($A$2:$A$201,$A84,$AY$2:$AY$201,1,$H$2:$H$201,"&gt;"&amp;H84)+COUNTIFS($A$2:$A$201,$A84,$AY$2:$AY$201,1,$H$2:$H$201,H84,$AX$2:$AX$201,"&gt;"&amp;AX84)=0,1,0),0)</f>
        <v>0</v>
      </c>
      <c r="BB84" s="23" t="n">
        <f aca="false">IF(AND(AY84=1,O84="Y",MAX(N(R84),N(V84))&gt;=Config!$B$14),1,0)</f>
        <v>0</v>
      </c>
      <c r="BC84" s="23" t="n">
        <f aca="false">IF(BB84=1,IF(COUNTIFS($AW$2:$AW$201,AW84,$BB$2:$BB$201,1,$H$2:$H$201,"&lt;"&amp;H84)+COUNTIFS($AW$2:$AW$201,AW84,$BB$2:$BB$201,1,$H$2:$H$201,H84,$AX$2:$AX$201,"&lt;"&amp;AX84)=0,1,0),0)</f>
        <v>0</v>
      </c>
      <c r="BD84" s="23" t="n">
        <f aca="false">IF(AND(AY84=1,O84="Y",ISNUMBER(R84)),IF(R84&gt;=Config!$B$14,1,0),0)</f>
        <v>0</v>
      </c>
      <c r="BE84" s="23" t="n">
        <f aca="false">IF(BD84=1,IF(COUNTIFS($AW$2:$AW$201,AW84,$BD$2:$BD$201,1,$H$2:$H$201,"&lt;"&amp;H84)+COUNTIFS($AW$2:$AW$201,AW84,$BD$2:$BD$201,1,$H$2:$H$201,H84,$AX$2:$AX$201,"&lt;"&amp;AX84)=0,1,0),0)</f>
        <v>0</v>
      </c>
      <c r="BF84" s="23" t="n">
        <f aca="false">IF(AND(AY84=1,O84&lt;&gt;"Y",MAX(N(R84),N(V84))&gt;=Config!$B$14),1,0)</f>
        <v>0</v>
      </c>
      <c r="BG84" s="23" t="n">
        <f aca="false">IF(BF84=1,IF(COUNTIFS($AW$2:$AW$201,AW84,$BF$2:$BF$201,1,$H$2:$H$201,"&lt;"&amp;H84)+COUNTIFS($AW$2:$AW$201,AW84,$BF$2:$BF$201,1,$H$2:$H$201,H84,$AX$2:$AX$201,"&lt;"&amp;AX84)=0,1,0),0)</f>
        <v>0</v>
      </c>
      <c r="BH84" s="23" t="n">
        <f aca="false">IF(AND(AY84=1,ISNUMBER(R84)),1,0)</f>
        <v>0</v>
      </c>
      <c r="BI84" s="23" t="n">
        <f aca="false">IF(BH84=1,IF(COUNTIFS($AW$2:$AW$201,AW84,$BH$2:$BH$201,1,$H$2:$H$201,"&lt;"&amp;H84)+COUNTIFS($AW$2:$AW$201,AW84,$BH$2:$BH$201,1,$H$2:$H$201,H84,$AX$2:$AX$201,"&lt;"&amp;AX84)=0,1,0),0)</f>
        <v>0</v>
      </c>
      <c r="BJ84" s="23" t="str">
        <f aca="false">IF(AND(BI84=1,INT(N(H84))&lt;=Config!$B$6),R84,"")</f>
        <v/>
      </c>
      <c r="BK84" s="23" t="str">
        <f aca="false">IF(AND(BI84=1,INT(N(H84))&lt;=Config!$B$7),R84,"")</f>
        <v/>
      </c>
      <c r="BL84" s="23" t="str">
        <f aca="false">IF(AND(BI84=1,INT(N(H84))&lt;=Config!$B$8),R84,"")</f>
        <v/>
      </c>
      <c r="BM84" s="23" t="str">
        <f aca="false">IF(AND(BI84=1,INT(N(H84))&lt;=Config!$B$5),R84,"")</f>
        <v/>
      </c>
      <c r="BN84" s="23" t="n">
        <f aca="false">IF(AND(AY84=1,ISNUMBER(V84)),1,0)</f>
        <v>0</v>
      </c>
      <c r="BO84" s="23" t="n">
        <f aca="false">IF(BN84=1,IF(COUNTIFS($AW$2:$AW$201,AW84,$BN$2:$BN$201,1,$H$2:$H$201,"&lt;"&amp;H84)+COUNTIFS($AW$2:$AW$201,AW84,$BN$2:$BN$201,1,$H$2:$H$201,H84,$AX$2:$AX$201,"&lt;"&amp;AX84)=0,1,0),0)</f>
        <v>0</v>
      </c>
      <c r="BP84" s="23" t="str">
        <f aca="false">IF(AND(BO84=1,INT(N(H84))&lt;=Config!$B$6),V84,"")</f>
        <v/>
      </c>
      <c r="BQ84" s="23" t="str">
        <f aca="false">IF(AND(BO84=1,INT(N(H84))&lt;=Config!$B$7),V84,"")</f>
        <v/>
      </c>
      <c r="BR84" s="23" t="str">
        <f aca="false">IF(AND(BO84=1,INT(N(H84))&lt;=Config!$B$8),V84,"")</f>
        <v/>
      </c>
      <c r="BS84" s="23" t="str">
        <f aca="false">IF(AND(BO84=1,INT(N(H84))&lt;=Config!$B$5),V84,"")</f>
        <v/>
      </c>
      <c r="BT84" s="23" t="n">
        <f aca="false">IF(AND(AY84=1,ISNUMBER(K84)),1,0)</f>
        <v>0</v>
      </c>
      <c r="BU84" s="23" t="n">
        <f aca="false">IF(BT84=1,IF(COUNTIFS($AW$2:$AW$201,AW84,$BT$2:$BT$201,1,$H$2:$H$201,"&lt;"&amp;H84)+COUNTIFS($AW$2:$AW$201,AW84,$BT$2:$BT$201,1,$H$2:$H$201,H84,$AX$2:$AX$201,"&lt;"&amp;AX84)=0,1,0),0)</f>
        <v>0</v>
      </c>
      <c r="BV84" s="23" t="str">
        <f aca="false">IF(AND(BU84=1,INT(N(H84))&lt;=Config!$B$5),K84,"")</f>
        <v/>
      </c>
      <c r="BW84" s="23" t="n">
        <f aca="false">IF(AND(AY84=1,OR(AND(ISNUMBER(R84),TRIM(S84)=""),AND(ISNUMBER(V84),TRIM(W84)=""))),1,0)</f>
        <v>0</v>
      </c>
      <c r="BX84" s="23" t="str">
        <f aca="false">IF(AY84=1,AJ84&amp;"","")</f>
        <v/>
      </c>
      <c r="BY84" s="23" t="str">
        <f aca="false">IF(AY84=1,AK84&amp;"","")</f>
        <v/>
      </c>
      <c r="BZ84" s="23" t="str">
        <f aca="false">IF(AY84=1,AL84&amp;"","")</f>
        <v/>
      </c>
      <c r="CA84" s="23" t="str">
        <f aca="false">IF(AND(AY84=1,ISNUMBER(AS84),INT(N(H84))&lt;=Config!$B$5),AS84,"")</f>
        <v/>
      </c>
      <c r="CB84" s="23" t="str">
        <f aca="false">IF(AY84=1,IF(COUNTIFS($A$2:$A$201,$A84,$CU$2:$CU$201,1,$AN$2:$AN$201,"Y")&gt;0,"Y","N"),"")</f>
        <v/>
      </c>
      <c r="CC84" s="23" t="n">
        <f aca="false">IF(AND(AY84=1,AN84="Y"),IF(COUNTIFS($AW$2:$AW$201,AW84,$AN$2:$AN$201,"Y",$AY$2:$AY$201,1,$H$2:$H$201,"&lt;"&amp;H84)+COUNTIFS($AW$2:$AW$201,AW84,$AN$2:$AN$201,"Y",$AY$2:$AY$201,1,$H$2:$H$201,H84,$AX$2:$AX$201,"&lt;"&amp;AX84)=0,1,0),0)</f>
        <v>0</v>
      </c>
      <c r="CD84" s="23" t="n">
        <f aca="false">IF(AND(AY84=1,AB84="Y",AC84="Y",AD84="Y",AE84="Y",AF84="Y",AG84="Y",AI84="Y",TRIM(AH84)&lt;&gt;""),1,0)</f>
        <v>0</v>
      </c>
      <c r="CE84" s="23" t="n">
        <f aca="false">IF(CD84=1,IF(COUNTIFS($AW$2:$AW$201,AW84,$CD$2:$CD$201,1,$H$2:$H$201,"&lt;"&amp;H84)+COUNTIFS($AW$2:$AW$201,AW84,$CD$2:$CD$201,1,$H$2:$H$201,H84,$AX$2:$AX$201,"&lt;"&amp;AX84)=0,1,0),0)</f>
        <v>0</v>
      </c>
      <c r="CF84" s="23" t="n">
        <f aca="false">IF(AND(AY84=1,AO84="Y"),1,0)</f>
        <v>0</v>
      </c>
      <c r="CG84" s="23" t="n">
        <f aca="false">IF(CF84=1,IF(COUNTIFS($AW$2:$AW$201,AW84,$CF$2:$CF$201,1,$H$2:$H$201,"&lt;"&amp;H84)+COUNTIFS($AW$2:$AW$201,AW84,$CF$2:$CF$201,1,$H$2:$H$201,H84,$AX$2:$AX$201,"&lt;"&amp;AX84)=0,1,0),0)</f>
        <v>0</v>
      </c>
      <c r="CH84" s="23" t="n">
        <f aca="false">IF(AND(AY84=1,P84="Y"),1,0)</f>
        <v>0</v>
      </c>
      <c r="CI84" s="23" t="n">
        <f aca="false">IF(CH84=1,IF(COUNTIFS($AW$2:$AW$201,AW84,$CH$2:$CH$201,1,$H$2:$H$201,"&lt;"&amp;H84)+COUNTIFS($AW$2:$AW$201,AW84,$CH$2:$CH$201,1,$H$2:$H$201,H84,$AX$2:$AX$201,"&lt;"&amp;AX84)=0,1,0),0)</f>
        <v>0</v>
      </c>
      <c r="CJ84" s="23" t="str">
        <f aca="false">IF(AND(BU84=1,INT(N(H84))&lt;=Config!$B$5),L84,"")</f>
        <v/>
      </c>
      <c r="CK84" s="23" t="n">
        <f aca="false">IF(AND(AY84=1,AR84="Y"),1,0)</f>
        <v>0</v>
      </c>
      <c r="CL84" s="23" t="n">
        <f aca="false">IF(CK84=1,IF(COUNTIFS($AW$2:$AW$201,AW84,$CK$2:$CK$201,1,$H$2:$H$201,"&lt;"&amp;H84)+COUNTIFS($AW$2:$AW$201,AW84,$CK$2:$CK$201,1,$H$2:$H$201,H84,$AX$2:$AX$201,"&lt;"&amp;AX84)=0,1,0),0)</f>
        <v>0</v>
      </c>
      <c r="CM84" s="23" t="str">
        <f aca="false">IF(AY84=1,IFERROR(MATCH($A84,INDEX(Clay_Brands!$A$2:$FZ$601,0,Sync!$D$5),0),""),"")</f>
        <v/>
      </c>
      <c r="CN84" s="23" t="str">
        <f aca="false">IF(CM84="","",IFERROR(INDEX(Clay_Brands!$A$2:$FZ$601,CM84,Sync!$D$7)&amp;"",""))</f>
        <v/>
      </c>
      <c r="CO84" s="23" t="str">
        <f aca="false">IF(CN84="","",IFERROR(INDEX(Lists!$K$2:$K$15,MATCH(CN84,Lists!$J$2:$J$15,0)),""))</f>
        <v/>
      </c>
      <c r="CP84" s="23" t="str">
        <f aca="false">IF(CM84="","",IFERROR(INDEX(Clay_Brands!$A$2:$FZ$601,CM84,Sync!$D$17)&amp;"",""))</f>
        <v/>
      </c>
      <c r="CQ84" s="35" t="str">
        <f aca="false">IF(CM84="","",IFERROR(N(INDEX(Clay_Brands!$A$2:$FZ$601,CM84,Sync!$D$16)),0))</f>
        <v/>
      </c>
      <c r="CR84" s="23" t="n">
        <f aca="false">IF(AND(AY84=1,OR(O84="N",AND(OR(ISNUMBER(R84),ISNUMBER(V84)),MAX(N(R84),N(V84))&lt;Config!$B$14))),1,0)</f>
        <v>0</v>
      </c>
      <c r="CS84" s="23" t="n">
        <f aca="false">IF(OR(BB84=1,CR84=1),1,0)</f>
        <v>0</v>
      </c>
      <c r="CT84" s="23" t="n">
        <f aca="false">IF(AND(AY84=1,OR(AN84="Y",AN84="N",AN84="maybe")),1,0)</f>
        <v>0</v>
      </c>
      <c r="CU84" s="23" t="n">
        <f aca="false">IF(AND(CT84=1),IF(COUNTIFS($A$2:$A$201,$A84,$CT$2:$CT$201,1,$H$2:$H$201,"&gt;"&amp;H84)+COUNTIFS($A$2:$A$201,$A84,$CT$2:$CT$201,1,$H$2:$H$201,H84,$AX$2:$AX$201,"&gt;"&amp;AX84)=0,1,0),0)</f>
        <v>0</v>
      </c>
      <c r="CV84" s="23" t="n">
        <f aca="false">IF(AND(CS84=1,INT(N(H84))&lt;=Config!$B$6),IF(COUNTIFS($AW$2:$AW$201,AW84,$CS$2:$CS$201,1,$H$2:$H$201,"&gt;"&amp;H84,$H$2:$H$201,"&lt;"&amp;(Config!$B$6+1))+COUNTIFS($AW$2:$AW$201,AW84,$CS$2:$CS$201,1,$H$2:$H$201,H84,$AX$2:$AX$201,"&gt;"&amp;AX84)=0,1,0),0)</f>
        <v>0</v>
      </c>
      <c r="CW84" s="23" t="n">
        <f aca="false">IF(AND(CS84=1,INT(N(H84))&lt;=Config!$B$7),IF(COUNTIFS($AW$2:$AW$201,AW84,$CS$2:$CS$201,1,$H$2:$H$201,"&gt;"&amp;H84,$H$2:$H$201,"&lt;"&amp;(Config!$B$7+1))+COUNTIFS($AW$2:$AW$201,AW84,$CS$2:$CS$201,1,$H$2:$H$201,H84,$AX$2:$AX$201,"&gt;"&amp;AX84)=0,1,0),0)</f>
        <v>0</v>
      </c>
      <c r="CX84" s="23" t="n">
        <f aca="false">IF(AND(CS84=1,INT(N(H84))&lt;=Config!$B$8),IF(COUNTIFS($AW$2:$AW$201,AW84,$CS$2:$CS$201,1,$H$2:$H$201,"&gt;"&amp;H84,$H$2:$H$201,"&lt;"&amp;(Config!$B$8+1))+COUNTIFS($AW$2:$AW$201,AW84,$CS$2:$CS$201,1,$H$2:$H$201,H84,$AX$2:$AX$201,"&gt;"&amp;AX84)=0,1,0),0)</f>
        <v>0</v>
      </c>
      <c r="CY84" s="23" t="n">
        <f aca="false">IF(AND(CS84=1,INT(N(H84))&lt;=Config!$B$5),IF(COUNTIFS($AW$2:$AW$201,AW84,$CS$2:$CS$201,1,$H$2:$H$201,"&gt;"&amp;H84,$H$2:$H$201,"&lt;"&amp;(Config!$B$5+1))+COUNTIFS($AW$2:$AW$201,AW84,$CS$2:$CS$201,1,$H$2:$H$201,H84,$AX$2:$AX$201,"&gt;"&amp;AX84)=0,1,0),0)</f>
        <v>0</v>
      </c>
      <c r="CZ84" s="23" t="n">
        <f aca="false">IF(AY84=1,IF(COUNTIFS($AW$2:$AW$201,AW84,$CV$2:$CV$201,1,$BB$2:$BB$201,1)&gt;0,1,0),0)</f>
        <v>0</v>
      </c>
      <c r="DA84" s="23" t="n">
        <f aca="false">IF(AY84=1,IF(COUNTIFS($AW$2:$AW$201,AW84,$CW$2:$CW$201,1,$BB$2:$BB$201,1)&gt;0,1,0),0)</f>
        <v>0</v>
      </c>
      <c r="DB84" s="23" t="n">
        <f aca="false">IF(AY84=1,IF(COUNTIFS($AW$2:$AW$201,AW84,$CX$2:$CX$201,1,$BB$2:$BB$201,1)&gt;0,1,0),0)</f>
        <v>0</v>
      </c>
      <c r="DC84" s="23" t="n">
        <f aca="false">IF(AY84=1,IF(COUNTIFS($AW$2:$AW$201,AW84,$CY$2:$CY$201,1,$BB$2:$BB$201,1)&gt;0,1,0),0)</f>
        <v>0</v>
      </c>
      <c r="DD84" s="23" t="n">
        <f aca="false">IF(AND(BC84=1,INT(N(H84))&lt;=Config!$B$6,CZ84=1),1,0)</f>
        <v>0</v>
      </c>
      <c r="DE84" s="23" t="n">
        <f aca="false">IF(AND(BC84=1,INT(N(H84))&lt;=Config!$B$7,DA84=1),1,0)</f>
        <v>0</v>
      </c>
      <c r="DF84" s="23" t="n">
        <f aca="false">IF(AND(BC84=1,INT(N(H84))&lt;=Config!$B$8,DB84=1),1,0)</f>
        <v>0</v>
      </c>
      <c r="DG84" s="23" t="n">
        <f aca="false">IF(AND(BC84=1,INT(N(H84))&lt;=Config!$B$5,DC84=1),1,0)</f>
        <v>0</v>
      </c>
      <c r="DH84" s="23" t="n">
        <f aca="false">IF(AND(BE84=1,INT(N(H84))&lt;=Config!$B$6,CZ84=1),1,0)</f>
        <v>0</v>
      </c>
      <c r="DI84" s="23" t="n">
        <f aca="false">IF(AND(BE84=1,INT(N(H84))&lt;=Config!$B$7,DA84=1),1,0)</f>
        <v>0</v>
      </c>
      <c r="DJ84" s="23" t="n">
        <f aca="false">IF(AND(BE84=1,INT(N(H84))&lt;=Config!$B$8,DB84=1),1,0)</f>
        <v>0</v>
      </c>
      <c r="DK84" s="23" t="n">
        <f aca="false">IF(AND(BE84=1,INT(N(H84))&lt;=Config!$B$5,DC84=1),1,0)</f>
        <v>0</v>
      </c>
      <c r="DL84" s="23" t="n">
        <f aca="false">IF(AND(BC84=1,INT(N(H84))&lt;=Config!$B$6,CZ84=0),1,0)</f>
        <v>0</v>
      </c>
      <c r="DM84" s="23" t="n">
        <f aca="false">IF(AND(BC84=1,INT(N(H84))&lt;=Config!$B$7,DA84=0),1,0)</f>
        <v>0</v>
      </c>
      <c r="DN84" s="23" t="n">
        <f aca="false">IF(AND(BC84=1,INT(N(H84))&lt;=Config!$B$8,DB84=0),1,0)</f>
        <v>0</v>
      </c>
      <c r="DO84" s="23" t="n">
        <f aca="false">IF(AND(BC84=1,INT(N(H84))&lt;=Config!$B$5,DC84=0),1,0)</f>
        <v>0</v>
      </c>
      <c r="DP84" s="23" t="n">
        <f aca="false">IF(TRIM($A84)="",0,ISTEXT(K84)+ISTEXT(L84)+ISTEXT(R84)+ISTEXT(V84)+ISTEXT(AP84)+ISTEXT(AS84))</f>
        <v>0</v>
      </c>
      <c r="DQ84" s="23" t="n">
        <f aca="false">IF(AY84=1,IF(H84&lt;&gt;INT(H84),1,0),0)</f>
        <v>0</v>
      </c>
      <c r="DR84" s="23" t="str">
        <f aca="false">IF(TRIM($A84)="","",IF(TRIM(B84)="",SUBSTITUTE(SUBSTITUTE(SUBSTITUTE(SUBSTITUTE(SUBSTITUTE(SUBSTITUTE(LOWER(TRIM($A84)),"~",""),"*",""),"?",""),"&lt;",""),"&gt;",""),"=",""),SUBSTITUTE(SUBSTITUTE(SUBSTITUTE(SUBSTITUTE(SUBSTITUTE(SUBSTITUTE(LOWER(TRIM(B84)),"~",""),"*",""),"?",""),"&lt;",""),"&gt;",""),"=","")))</f>
        <v/>
      </c>
      <c r="DS84" s="23" t="str">
        <f aca="false">IF(CM84="","",IFERROR(IF(LEFT(LOWER(TRIM(INDEX(Clay_Brands!$A$2:$FZ$601,CM84,Sync!$D$19)&amp;"")),4)="grp-",SUBSTITUTE(SUBSTITUTE(SUBSTITUTE(SUBSTITUTE(SUBSTITUTE(SUBSTITUTE(LOWER(TRIM(INDEX(Clay_Brands!$A$2:$FZ$601,CM84,Sync!$D$19)&amp;"")),"~",""),"*",""),"?",""),"&lt;",""),"&gt;",""),"=",""),""),""))</f>
        <v/>
      </c>
      <c r="DT84" s="23" t="str">
        <f aca="false">IF(DS84&lt;&gt;"",DR84,"")</f>
        <v/>
      </c>
      <c r="DU84" s="23" t="str">
        <f aca="false">IF(AZ84=1,AW84,"")</f>
        <v/>
      </c>
      <c r="DV84" s="23" t="str">
        <f aca="false">IF(TRIM($A84)="","",IFERROR(INDEX($A$2:$A$201,MATCH(AW84,$DU$2:$DU$201,0))&amp;"",$A84&amp;""))</f>
        <v/>
      </c>
      <c r="DW84" s="23" t="n">
        <f aca="false">IF(AY84=1,IF(COUNTIFS($A$2:$A$201,$A84,$AY$2:$AY$201,1,$H$2:$H$201,"&lt;"&amp;H84)+COUNTIFS($A$2:$A$201,$A84,$AY$2:$AY$201,1,$H$2:$H$201,H84,$AX$2:$AX$201,"&lt;"&amp;AX84)=0,1,0),0)</f>
        <v>0</v>
      </c>
      <c r="DX84" s="23" t="n">
        <f aca="false">IF(AZ84=1,IF(COUNTIFS($AW$2:$AW$201,AW84,$DW$2:$DW$201,1)&gt;1,1,0),0)</f>
        <v>0</v>
      </c>
    </row>
    <row r="85" customFormat="false" ht="15" hidden="false" customHeight="false" outlineLevel="0" collapsed="false">
      <c r="G85" s="32"/>
      <c r="H85" s="33"/>
      <c r="I85" s="32"/>
      <c r="O85" s="32"/>
      <c r="P85" s="32"/>
      <c r="U85" s="32"/>
      <c r="Y85" s="32"/>
      <c r="AB85" s="32"/>
      <c r="AC85" s="32"/>
      <c r="AD85" s="32"/>
      <c r="AE85" s="32"/>
      <c r="AF85" s="32"/>
      <c r="AG85" s="32"/>
      <c r="AI85" s="32"/>
      <c r="AJ85" s="32"/>
      <c r="AK85" s="32"/>
      <c r="AN85" s="32"/>
      <c r="AO85" s="32"/>
      <c r="AR85" s="32"/>
      <c r="AT85" s="32"/>
      <c r="AV85" s="34" t="str">
        <f aca="false">IF(TRIM($A85)="","",IF(AND(LEFT($A85,6)="SAMPLE",Config!$B$19&lt;&gt;"Y"),"",IF(NOT(ISNUMBER(H85)),"call_date is blank or not a date",IF(Sync!$D$5="","Clay paste is empty or has no row_id column: paste the Clay export on Clay_Brands",IF(CM85="","row_id not found in the Clay paste: add the Clay row or fix the row_id",IF(AND(ISNUMBER(CO85),CO85&gt;=1,CO85&lt;=5),"Clay status is "&amp;CN85&amp;": set call_done or later",IF(AND(BA85=1,CP85&lt;&gt;CB85),"Clay yes_in_principle should be "&amp;CB85,IF(AND(BA85=1,CQ85&lt;&gt;H85),"Clay call_date should be "&amp;TEXT(H85,"yyyy-mm-dd"),""))))))))</f>
        <v/>
      </c>
      <c r="AW85" s="23" t="str">
        <f aca="false">IF(TRIM($A85)="","",IF(TRIM(C85)&lt;&gt;"",SUBSTITUTE(SUBSTITUTE(SUBSTITUTE(SUBSTITUTE(SUBSTITUTE(SUBSTITUTE(LOWER(TRIM(C85)),"~",""),"*",""),"?",""),"&lt;",""),"&gt;",""),"=",""),IF(DS85&lt;&gt;"",DS85,IFERROR(INDEX($DS$2:$DS$201,MATCH(DR85,$DT$2:$DT$201,0)),DR85))))</f>
        <v/>
      </c>
      <c r="AX85" s="23" t="n">
        <f aca="false">ROW()</f>
        <v>85</v>
      </c>
      <c r="AY85" s="23" t="n">
        <f aca="false">IF(AND(TRIM($A85)&lt;&gt;"",ISNUMBER(H85)),IF(AND(LEFT($A85,6)="SAMPLE",Config!$B$19&lt;&gt;"Y"),0,1),0)</f>
        <v>0</v>
      </c>
      <c r="AZ85" s="23" t="n">
        <f aca="false">IF(AY85=1,IF(COUNTIFS($AW$2:$AW$201,AW85,$AY$2:$AY$201,1,$H$2:$H$201,"&lt;"&amp;H85)+COUNTIFS($AW$2:$AW$201,AW85,$AY$2:$AY$201,1,$H$2:$H$201,H85,$AX$2:$AX$201,"&lt;"&amp;AX85)=0,1,0),0)</f>
        <v>0</v>
      </c>
      <c r="BA85" s="23" t="n">
        <f aca="false">IF(AY85=1,IF(COUNTIFS($A$2:$A$201,$A85,$AY$2:$AY$201,1,$H$2:$H$201,"&gt;"&amp;H85)+COUNTIFS($A$2:$A$201,$A85,$AY$2:$AY$201,1,$H$2:$H$201,H85,$AX$2:$AX$201,"&gt;"&amp;AX85)=0,1,0),0)</f>
        <v>0</v>
      </c>
      <c r="BB85" s="23" t="n">
        <f aca="false">IF(AND(AY85=1,O85="Y",MAX(N(R85),N(V85))&gt;=Config!$B$14),1,0)</f>
        <v>0</v>
      </c>
      <c r="BC85" s="23" t="n">
        <f aca="false">IF(BB85=1,IF(COUNTIFS($AW$2:$AW$201,AW85,$BB$2:$BB$201,1,$H$2:$H$201,"&lt;"&amp;H85)+COUNTIFS($AW$2:$AW$201,AW85,$BB$2:$BB$201,1,$H$2:$H$201,H85,$AX$2:$AX$201,"&lt;"&amp;AX85)=0,1,0),0)</f>
        <v>0</v>
      </c>
      <c r="BD85" s="23" t="n">
        <f aca="false">IF(AND(AY85=1,O85="Y",ISNUMBER(R85)),IF(R85&gt;=Config!$B$14,1,0),0)</f>
        <v>0</v>
      </c>
      <c r="BE85" s="23" t="n">
        <f aca="false">IF(BD85=1,IF(COUNTIFS($AW$2:$AW$201,AW85,$BD$2:$BD$201,1,$H$2:$H$201,"&lt;"&amp;H85)+COUNTIFS($AW$2:$AW$201,AW85,$BD$2:$BD$201,1,$H$2:$H$201,H85,$AX$2:$AX$201,"&lt;"&amp;AX85)=0,1,0),0)</f>
        <v>0</v>
      </c>
      <c r="BF85" s="23" t="n">
        <f aca="false">IF(AND(AY85=1,O85&lt;&gt;"Y",MAX(N(R85),N(V85))&gt;=Config!$B$14),1,0)</f>
        <v>0</v>
      </c>
      <c r="BG85" s="23" t="n">
        <f aca="false">IF(BF85=1,IF(COUNTIFS($AW$2:$AW$201,AW85,$BF$2:$BF$201,1,$H$2:$H$201,"&lt;"&amp;H85)+COUNTIFS($AW$2:$AW$201,AW85,$BF$2:$BF$201,1,$H$2:$H$201,H85,$AX$2:$AX$201,"&lt;"&amp;AX85)=0,1,0),0)</f>
        <v>0</v>
      </c>
      <c r="BH85" s="23" t="n">
        <f aca="false">IF(AND(AY85=1,ISNUMBER(R85)),1,0)</f>
        <v>0</v>
      </c>
      <c r="BI85" s="23" t="n">
        <f aca="false">IF(BH85=1,IF(COUNTIFS($AW$2:$AW$201,AW85,$BH$2:$BH$201,1,$H$2:$H$201,"&lt;"&amp;H85)+COUNTIFS($AW$2:$AW$201,AW85,$BH$2:$BH$201,1,$H$2:$H$201,H85,$AX$2:$AX$201,"&lt;"&amp;AX85)=0,1,0),0)</f>
        <v>0</v>
      </c>
      <c r="BJ85" s="23" t="str">
        <f aca="false">IF(AND(BI85=1,INT(N(H85))&lt;=Config!$B$6),R85,"")</f>
        <v/>
      </c>
      <c r="BK85" s="23" t="str">
        <f aca="false">IF(AND(BI85=1,INT(N(H85))&lt;=Config!$B$7),R85,"")</f>
        <v/>
      </c>
      <c r="BL85" s="23" t="str">
        <f aca="false">IF(AND(BI85=1,INT(N(H85))&lt;=Config!$B$8),R85,"")</f>
        <v/>
      </c>
      <c r="BM85" s="23" t="str">
        <f aca="false">IF(AND(BI85=1,INT(N(H85))&lt;=Config!$B$5),R85,"")</f>
        <v/>
      </c>
      <c r="BN85" s="23" t="n">
        <f aca="false">IF(AND(AY85=1,ISNUMBER(V85)),1,0)</f>
        <v>0</v>
      </c>
      <c r="BO85" s="23" t="n">
        <f aca="false">IF(BN85=1,IF(COUNTIFS($AW$2:$AW$201,AW85,$BN$2:$BN$201,1,$H$2:$H$201,"&lt;"&amp;H85)+COUNTIFS($AW$2:$AW$201,AW85,$BN$2:$BN$201,1,$H$2:$H$201,H85,$AX$2:$AX$201,"&lt;"&amp;AX85)=0,1,0),0)</f>
        <v>0</v>
      </c>
      <c r="BP85" s="23" t="str">
        <f aca="false">IF(AND(BO85=1,INT(N(H85))&lt;=Config!$B$6),V85,"")</f>
        <v/>
      </c>
      <c r="BQ85" s="23" t="str">
        <f aca="false">IF(AND(BO85=1,INT(N(H85))&lt;=Config!$B$7),V85,"")</f>
        <v/>
      </c>
      <c r="BR85" s="23" t="str">
        <f aca="false">IF(AND(BO85=1,INT(N(H85))&lt;=Config!$B$8),V85,"")</f>
        <v/>
      </c>
      <c r="BS85" s="23" t="str">
        <f aca="false">IF(AND(BO85=1,INT(N(H85))&lt;=Config!$B$5),V85,"")</f>
        <v/>
      </c>
      <c r="BT85" s="23" t="n">
        <f aca="false">IF(AND(AY85=1,ISNUMBER(K85)),1,0)</f>
        <v>0</v>
      </c>
      <c r="BU85" s="23" t="n">
        <f aca="false">IF(BT85=1,IF(COUNTIFS($AW$2:$AW$201,AW85,$BT$2:$BT$201,1,$H$2:$H$201,"&lt;"&amp;H85)+COUNTIFS($AW$2:$AW$201,AW85,$BT$2:$BT$201,1,$H$2:$H$201,H85,$AX$2:$AX$201,"&lt;"&amp;AX85)=0,1,0),0)</f>
        <v>0</v>
      </c>
      <c r="BV85" s="23" t="str">
        <f aca="false">IF(AND(BU85=1,INT(N(H85))&lt;=Config!$B$5),K85,"")</f>
        <v/>
      </c>
      <c r="BW85" s="23" t="n">
        <f aca="false">IF(AND(AY85=1,OR(AND(ISNUMBER(R85),TRIM(S85)=""),AND(ISNUMBER(V85),TRIM(W85)=""))),1,0)</f>
        <v>0</v>
      </c>
      <c r="BX85" s="23" t="str">
        <f aca="false">IF(AY85=1,AJ85&amp;"","")</f>
        <v/>
      </c>
      <c r="BY85" s="23" t="str">
        <f aca="false">IF(AY85=1,AK85&amp;"","")</f>
        <v/>
      </c>
      <c r="BZ85" s="23" t="str">
        <f aca="false">IF(AY85=1,AL85&amp;"","")</f>
        <v/>
      </c>
      <c r="CA85" s="23" t="str">
        <f aca="false">IF(AND(AY85=1,ISNUMBER(AS85),INT(N(H85))&lt;=Config!$B$5),AS85,"")</f>
        <v/>
      </c>
      <c r="CB85" s="23" t="str">
        <f aca="false">IF(AY85=1,IF(COUNTIFS($A$2:$A$201,$A85,$CU$2:$CU$201,1,$AN$2:$AN$201,"Y")&gt;0,"Y","N"),"")</f>
        <v/>
      </c>
      <c r="CC85" s="23" t="n">
        <f aca="false">IF(AND(AY85=1,AN85="Y"),IF(COUNTIFS($AW$2:$AW$201,AW85,$AN$2:$AN$201,"Y",$AY$2:$AY$201,1,$H$2:$H$201,"&lt;"&amp;H85)+COUNTIFS($AW$2:$AW$201,AW85,$AN$2:$AN$201,"Y",$AY$2:$AY$201,1,$H$2:$H$201,H85,$AX$2:$AX$201,"&lt;"&amp;AX85)=0,1,0),0)</f>
        <v>0</v>
      </c>
      <c r="CD85" s="23" t="n">
        <f aca="false">IF(AND(AY85=1,AB85="Y",AC85="Y",AD85="Y",AE85="Y",AF85="Y",AG85="Y",AI85="Y",TRIM(AH85)&lt;&gt;""),1,0)</f>
        <v>0</v>
      </c>
      <c r="CE85" s="23" t="n">
        <f aca="false">IF(CD85=1,IF(COUNTIFS($AW$2:$AW$201,AW85,$CD$2:$CD$201,1,$H$2:$H$201,"&lt;"&amp;H85)+COUNTIFS($AW$2:$AW$201,AW85,$CD$2:$CD$201,1,$H$2:$H$201,H85,$AX$2:$AX$201,"&lt;"&amp;AX85)=0,1,0),0)</f>
        <v>0</v>
      </c>
      <c r="CF85" s="23" t="n">
        <f aca="false">IF(AND(AY85=1,AO85="Y"),1,0)</f>
        <v>0</v>
      </c>
      <c r="CG85" s="23" t="n">
        <f aca="false">IF(CF85=1,IF(COUNTIFS($AW$2:$AW$201,AW85,$CF$2:$CF$201,1,$H$2:$H$201,"&lt;"&amp;H85)+COUNTIFS($AW$2:$AW$201,AW85,$CF$2:$CF$201,1,$H$2:$H$201,H85,$AX$2:$AX$201,"&lt;"&amp;AX85)=0,1,0),0)</f>
        <v>0</v>
      </c>
      <c r="CH85" s="23" t="n">
        <f aca="false">IF(AND(AY85=1,P85="Y"),1,0)</f>
        <v>0</v>
      </c>
      <c r="CI85" s="23" t="n">
        <f aca="false">IF(CH85=1,IF(COUNTIFS($AW$2:$AW$201,AW85,$CH$2:$CH$201,1,$H$2:$H$201,"&lt;"&amp;H85)+COUNTIFS($AW$2:$AW$201,AW85,$CH$2:$CH$201,1,$H$2:$H$201,H85,$AX$2:$AX$201,"&lt;"&amp;AX85)=0,1,0),0)</f>
        <v>0</v>
      </c>
      <c r="CJ85" s="23" t="str">
        <f aca="false">IF(AND(BU85=1,INT(N(H85))&lt;=Config!$B$5),L85,"")</f>
        <v/>
      </c>
      <c r="CK85" s="23" t="n">
        <f aca="false">IF(AND(AY85=1,AR85="Y"),1,0)</f>
        <v>0</v>
      </c>
      <c r="CL85" s="23" t="n">
        <f aca="false">IF(CK85=1,IF(COUNTIFS($AW$2:$AW$201,AW85,$CK$2:$CK$201,1,$H$2:$H$201,"&lt;"&amp;H85)+COUNTIFS($AW$2:$AW$201,AW85,$CK$2:$CK$201,1,$H$2:$H$201,H85,$AX$2:$AX$201,"&lt;"&amp;AX85)=0,1,0),0)</f>
        <v>0</v>
      </c>
      <c r="CM85" s="23" t="str">
        <f aca="false">IF(AY85=1,IFERROR(MATCH($A85,INDEX(Clay_Brands!$A$2:$FZ$601,0,Sync!$D$5),0),""),"")</f>
        <v/>
      </c>
      <c r="CN85" s="23" t="str">
        <f aca="false">IF(CM85="","",IFERROR(INDEX(Clay_Brands!$A$2:$FZ$601,CM85,Sync!$D$7)&amp;"",""))</f>
        <v/>
      </c>
      <c r="CO85" s="23" t="str">
        <f aca="false">IF(CN85="","",IFERROR(INDEX(Lists!$K$2:$K$15,MATCH(CN85,Lists!$J$2:$J$15,0)),""))</f>
        <v/>
      </c>
      <c r="CP85" s="23" t="str">
        <f aca="false">IF(CM85="","",IFERROR(INDEX(Clay_Brands!$A$2:$FZ$601,CM85,Sync!$D$17)&amp;"",""))</f>
        <v/>
      </c>
      <c r="CQ85" s="35" t="str">
        <f aca="false">IF(CM85="","",IFERROR(N(INDEX(Clay_Brands!$A$2:$FZ$601,CM85,Sync!$D$16)),0))</f>
        <v/>
      </c>
      <c r="CR85" s="23" t="n">
        <f aca="false">IF(AND(AY85=1,OR(O85="N",AND(OR(ISNUMBER(R85),ISNUMBER(V85)),MAX(N(R85),N(V85))&lt;Config!$B$14))),1,0)</f>
        <v>0</v>
      </c>
      <c r="CS85" s="23" t="n">
        <f aca="false">IF(OR(BB85=1,CR85=1),1,0)</f>
        <v>0</v>
      </c>
      <c r="CT85" s="23" t="n">
        <f aca="false">IF(AND(AY85=1,OR(AN85="Y",AN85="N",AN85="maybe")),1,0)</f>
        <v>0</v>
      </c>
      <c r="CU85" s="23" t="n">
        <f aca="false">IF(AND(CT85=1),IF(COUNTIFS($A$2:$A$201,$A85,$CT$2:$CT$201,1,$H$2:$H$201,"&gt;"&amp;H85)+COUNTIFS($A$2:$A$201,$A85,$CT$2:$CT$201,1,$H$2:$H$201,H85,$AX$2:$AX$201,"&gt;"&amp;AX85)=0,1,0),0)</f>
        <v>0</v>
      </c>
      <c r="CV85" s="23" t="n">
        <f aca="false">IF(AND(CS85=1,INT(N(H85))&lt;=Config!$B$6),IF(COUNTIFS($AW$2:$AW$201,AW85,$CS$2:$CS$201,1,$H$2:$H$201,"&gt;"&amp;H85,$H$2:$H$201,"&lt;"&amp;(Config!$B$6+1))+COUNTIFS($AW$2:$AW$201,AW85,$CS$2:$CS$201,1,$H$2:$H$201,H85,$AX$2:$AX$201,"&gt;"&amp;AX85)=0,1,0),0)</f>
        <v>0</v>
      </c>
      <c r="CW85" s="23" t="n">
        <f aca="false">IF(AND(CS85=1,INT(N(H85))&lt;=Config!$B$7),IF(COUNTIFS($AW$2:$AW$201,AW85,$CS$2:$CS$201,1,$H$2:$H$201,"&gt;"&amp;H85,$H$2:$H$201,"&lt;"&amp;(Config!$B$7+1))+COUNTIFS($AW$2:$AW$201,AW85,$CS$2:$CS$201,1,$H$2:$H$201,H85,$AX$2:$AX$201,"&gt;"&amp;AX85)=0,1,0),0)</f>
        <v>0</v>
      </c>
      <c r="CX85" s="23" t="n">
        <f aca="false">IF(AND(CS85=1,INT(N(H85))&lt;=Config!$B$8),IF(COUNTIFS($AW$2:$AW$201,AW85,$CS$2:$CS$201,1,$H$2:$H$201,"&gt;"&amp;H85,$H$2:$H$201,"&lt;"&amp;(Config!$B$8+1))+COUNTIFS($AW$2:$AW$201,AW85,$CS$2:$CS$201,1,$H$2:$H$201,H85,$AX$2:$AX$201,"&gt;"&amp;AX85)=0,1,0),0)</f>
        <v>0</v>
      </c>
      <c r="CY85" s="23" t="n">
        <f aca="false">IF(AND(CS85=1,INT(N(H85))&lt;=Config!$B$5),IF(COUNTIFS($AW$2:$AW$201,AW85,$CS$2:$CS$201,1,$H$2:$H$201,"&gt;"&amp;H85,$H$2:$H$201,"&lt;"&amp;(Config!$B$5+1))+COUNTIFS($AW$2:$AW$201,AW85,$CS$2:$CS$201,1,$H$2:$H$201,H85,$AX$2:$AX$201,"&gt;"&amp;AX85)=0,1,0),0)</f>
        <v>0</v>
      </c>
      <c r="CZ85" s="23" t="n">
        <f aca="false">IF(AY85=1,IF(COUNTIFS($AW$2:$AW$201,AW85,$CV$2:$CV$201,1,$BB$2:$BB$201,1)&gt;0,1,0),0)</f>
        <v>0</v>
      </c>
      <c r="DA85" s="23" t="n">
        <f aca="false">IF(AY85=1,IF(COUNTIFS($AW$2:$AW$201,AW85,$CW$2:$CW$201,1,$BB$2:$BB$201,1)&gt;0,1,0),0)</f>
        <v>0</v>
      </c>
      <c r="DB85" s="23" t="n">
        <f aca="false">IF(AY85=1,IF(COUNTIFS($AW$2:$AW$201,AW85,$CX$2:$CX$201,1,$BB$2:$BB$201,1)&gt;0,1,0),0)</f>
        <v>0</v>
      </c>
      <c r="DC85" s="23" t="n">
        <f aca="false">IF(AY85=1,IF(COUNTIFS($AW$2:$AW$201,AW85,$CY$2:$CY$201,1,$BB$2:$BB$201,1)&gt;0,1,0),0)</f>
        <v>0</v>
      </c>
      <c r="DD85" s="23" t="n">
        <f aca="false">IF(AND(BC85=1,INT(N(H85))&lt;=Config!$B$6,CZ85=1),1,0)</f>
        <v>0</v>
      </c>
      <c r="DE85" s="23" t="n">
        <f aca="false">IF(AND(BC85=1,INT(N(H85))&lt;=Config!$B$7,DA85=1),1,0)</f>
        <v>0</v>
      </c>
      <c r="DF85" s="23" t="n">
        <f aca="false">IF(AND(BC85=1,INT(N(H85))&lt;=Config!$B$8,DB85=1),1,0)</f>
        <v>0</v>
      </c>
      <c r="DG85" s="23" t="n">
        <f aca="false">IF(AND(BC85=1,INT(N(H85))&lt;=Config!$B$5,DC85=1),1,0)</f>
        <v>0</v>
      </c>
      <c r="DH85" s="23" t="n">
        <f aca="false">IF(AND(BE85=1,INT(N(H85))&lt;=Config!$B$6,CZ85=1),1,0)</f>
        <v>0</v>
      </c>
      <c r="DI85" s="23" t="n">
        <f aca="false">IF(AND(BE85=1,INT(N(H85))&lt;=Config!$B$7,DA85=1),1,0)</f>
        <v>0</v>
      </c>
      <c r="DJ85" s="23" t="n">
        <f aca="false">IF(AND(BE85=1,INT(N(H85))&lt;=Config!$B$8,DB85=1),1,0)</f>
        <v>0</v>
      </c>
      <c r="DK85" s="23" t="n">
        <f aca="false">IF(AND(BE85=1,INT(N(H85))&lt;=Config!$B$5,DC85=1),1,0)</f>
        <v>0</v>
      </c>
      <c r="DL85" s="23" t="n">
        <f aca="false">IF(AND(BC85=1,INT(N(H85))&lt;=Config!$B$6,CZ85=0),1,0)</f>
        <v>0</v>
      </c>
      <c r="DM85" s="23" t="n">
        <f aca="false">IF(AND(BC85=1,INT(N(H85))&lt;=Config!$B$7,DA85=0),1,0)</f>
        <v>0</v>
      </c>
      <c r="DN85" s="23" t="n">
        <f aca="false">IF(AND(BC85=1,INT(N(H85))&lt;=Config!$B$8,DB85=0),1,0)</f>
        <v>0</v>
      </c>
      <c r="DO85" s="23" t="n">
        <f aca="false">IF(AND(BC85=1,INT(N(H85))&lt;=Config!$B$5,DC85=0),1,0)</f>
        <v>0</v>
      </c>
      <c r="DP85" s="23" t="n">
        <f aca="false">IF(TRIM($A85)="",0,ISTEXT(K85)+ISTEXT(L85)+ISTEXT(R85)+ISTEXT(V85)+ISTEXT(AP85)+ISTEXT(AS85))</f>
        <v>0</v>
      </c>
      <c r="DQ85" s="23" t="n">
        <f aca="false">IF(AY85=1,IF(H85&lt;&gt;INT(H85),1,0),0)</f>
        <v>0</v>
      </c>
      <c r="DR85" s="23" t="str">
        <f aca="false">IF(TRIM($A85)="","",IF(TRIM(B85)="",SUBSTITUTE(SUBSTITUTE(SUBSTITUTE(SUBSTITUTE(SUBSTITUTE(SUBSTITUTE(LOWER(TRIM($A85)),"~",""),"*",""),"?",""),"&lt;",""),"&gt;",""),"=",""),SUBSTITUTE(SUBSTITUTE(SUBSTITUTE(SUBSTITUTE(SUBSTITUTE(SUBSTITUTE(LOWER(TRIM(B85)),"~",""),"*",""),"?",""),"&lt;",""),"&gt;",""),"=","")))</f>
        <v/>
      </c>
      <c r="DS85" s="23" t="str">
        <f aca="false">IF(CM85="","",IFERROR(IF(LEFT(LOWER(TRIM(INDEX(Clay_Brands!$A$2:$FZ$601,CM85,Sync!$D$19)&amp;"")),4)="grp-",SUBSTITUTE(SUBSTITUTE(SUBSTITUTE(SUBSTITUTE(SUBSTITUTE(SUBSTITUTE(LOWER(TRIM(INDEX(Clay_Brands!$A$2:$FZ$601,CM85,Sync!$D$19)&amp;"")),"~",""),"*",""),"?",""),"&lt;",""),"&gt;",""),"=",""),""),""))</f>
        <v/>
      </c>
      <c r="DT85" s="23" t="str">
        <f aca="false">IF(DS85&lt;&gt;"",DR85,"")</f>
        <v/>
      </c>
      <c r="DU85" s="23" t="str">
        <f aca="false">IF(AZ85=1,AW85,"")</f>
        <v/>
      </c>
      <c r="DV85" s="23" t="str">
        <f aca="false">IF(TRIM($A85)="","",IFERROR(INDEX($A$2:$A$201,MATCH(AW85,$DU$2:$DU$201,0))&amp;"",$A85&amp;""))</f>
        <v/>
      </c>
      <c r="DW85" s="23" t="n">
        <f aca="false">IF(AY85=1,IF(COUNTIFS($A$2:$A$201,$A85,$AY$2:$AY$201,1,$H$2:$H$201,"&lt;"&amp;H85)+COUNTIFS($A$2:$A$201,$A85,$AY$2:$AY$201,1,$H$2:$H$201,H85,$AX$2:$AX$201,"&lt;"&amp;AX85)=0,1,0),0)</f>
        <v>0</v>
      </c>
      <c r="DX85" s="23" t="n">
        <f aca="false">IF(AZ85=1,IF(COUNTIFS($AW$2:$AW$201,AW85,$DW$2:$DW$201,1)&gt;1,1,0),0)</f>
        <v>0</v>
      </c>
    </row>
    <row r="86" customFormat="false" ht="15" hidden="false" customHeight="false" outlineLevel="0" collapsed="false">
      <c r="G86" s="32"/>
      <c r="H86" s="33"/>
      <c r="I86" s="32"/>
      <c r="O86" s="32"/>
      <c r="P86" s="32"/>
      <c r="U86" s="32"/>
      <c r="Y86" s="32"/>
      <c r="AB86" s="32"/>
      <c r="AC86" s="32"/>
      <c r="AD86" s="32"/>
      <c r="AE86" s="32"/>
      <c r="AF86" s="32"/>
      <c r="AG86" s="32"/>
      <c r="AI86" s="32"/>
      <c r="AJ86" s="32"/>
      <c r="AK86" s="32"/>
      <c r="AN86" s="32"/>
      <c r="AO86" s="32"/>
      <c r="AR86" s="32"/>
      <c r="AT86" s="32"/>
      <c r="AV86" s="34" t="str">
        <f aca="false">IF(TRIM($A86)="","",IF(AND(LEFT($A86,6)="SAMPLE",Config!$B$19&lt;&gt;"Y"),"",IF(NOT(ISNUMBER(H86)),"call_date is blank or not a date",IF(Sync!$D$5="","Clay paste is empty or has no row_id column: paste the Clay export on Clay_Brands",IF(CM86="","row_id not found in the Clay paste: add the Clay row or fix the row_id",IF(AND(ISNUMBER(CO86),CO86&gt;=1,CO86&lt;=5),"Clay status is "&amp;CN86&amp;": set call_done or later",IF(AND(BA86=1,CP86&lt;&gt;CB86),"Clay yes_in_principle should be "&amp;CB86,IF(AND(BA86=1,CQ86&lt;&gt;H86),"Clay call_date should be "&amp;TEXT(H86,"yyyy-mm-dd"),""))))))))</f>
        <v/>
      </c>
      <c r="AW86" s="23" t="str">
        <f aca="false">IF(TRIM($A86)="","",IF(TRIM(C86)&lt;&gt;"",SUBSTITUTE(SUBSTITUTE(SUBSTITUTE(SUBSTITUTE(SUBSTITUTE(SUBSTITUTE(LOWER(TRIM(C86)),"~",""),"*",""),"?",""),"&lt;",""),"&gt;",""),"=",""),IF(DS86&lt;&gt;"",DS86,IFERROR(INDEX($DS$2:$DS$201,MATCH(DR86,$DT$2:$DT$201,0)),DR86))))</f>
        <v/>
      </c>
      <c r="AX86" s="23" t="n">
        <f aca="false">ROW()</f>
        <v>86</v>
      </c>
      <c r="AY86" s="23" t="n">
        <f aca="false">IF(AND(TRIM($A86)&lt;&gt;"",ISNUMBER(H86)),IF(AND(LEFT($A86,6)="SAMPLE",Config!$B$19&lt;&gt;"Y"),0,1),0)</f>
        <v>0</v>
      </c>
      <c r="AZ86" s="23" t="n">
        <f aca="false">IF(AY86=1,IF(COUNTIFS($AW$2:$AW$201,AW86,$AY$2:$AY$201,1,$H$2:$H$201,"&lt;"&amp;H86)+COUNTIFS($AW$2:$AW$201,AW86,$AY$2:$AY$201,1,$H$2:$H$201,H86,$AX$2:$AX$201,"&lt;"&amp;AX86)=0,1,0),0)</f>
        <v>0</v>
      </c>
      <c r="BA86" s="23" t="n">
        <f aca="false">IF(AY86=1,IF(COUNTIFS($A$2:$A$201,$A86,$AY$2:$AY$201,1,$H$2:$H$201,"&gt;"&amp;H86)+COUNTIFS($A$2:$A$201,$A86,$AY$2:$AY$201,1,$H$2:$H$201,H86,$AX$2:$AX$201,"&gt;"&amp;AX86)=0,1,0),0)</f>
        <v>0</v>
      </c>
      <c r="BB86" s="23" t="n">
        <f aca="false">IF(AND(AY86=1,O86="Y",MAX(N(R86),N(V86))&gt;=Config!$B$14),1,0)</f>
        <v>0</v>
      </c>
      <c r="BC86" s="23" t="n">
        <f aca="false">IF(BB86=1,IF(COUNTIFS($AW$2:$AW$201,AW86,$BB$2:$BB$201,1,$H$2:$H$201,"&lt;"&amp;H86)+COUNTIFS($AW$2:$AW$201,AW86,$BB$2:$BB$201,1,$H$2:$H$201,H86,$AX$2:$AX$201,"&lt;"&amp;AX86)=0,1,0),0)</f>
        <v>0</v>
      </c>
      <c r="BD86" s="23" t="n">
        <f aca="false">IF(AND(AY86=1,O86="Y",ISNUMBER(R86)),IF(R86&gt;=Config!$B$14,1,0),0)</f>
        <v>0</v>
      </c>
      <c r="BE86" s="23" t="n">
        <f aca="false">IF(BD86=1,IF(COUNTIFS($AW$2:$AW$201,AW86,$BD$2:$BD$201,1,$H$2:$H$201,"&lt;"&amp;H86)+COUNTIFS($AW$2:$AW$201,AW86,$BD$2:$BD$201,1,$H$2:$H$201,H86,$AX$2:$AX$201,"&lt;"&amp;AX86)=0,1,0),0)</f>
        <v>0</v>
      </c>
      <c r="BF86" s="23" t="n">
        <f aca="false">IF(AND(AY86=1,O86&lt;&gt;"Y",MAX(N(R86),N(V86))&gt;=Config!$B$14),1,0)</f>
        <v>0</v>
      </c>
      <c r="BG86" s="23" t="n">
        <f aca="false">IF(BF86=1,IF(COUNTIFS($AW$2:$AW$201,AW86,$BF$2:$BF$201,1,$H$2:$H$201,"&lt;"&amp;H86)+COUNTIFS($AW$2:$AW$201,AW86,$BF$2:$BF$201,1,$H$2:$H$201,H86,$AX$2:$AX$201,"&lt;"&amp;AX86)=0,1,0),0)</f>
        <v>0</v>
      </c>
      <c r="BH86" s="23" t="n">
        <f aca="false">IF(AND(AY86=1,ISNUMBER(R86)),1,0)</f>
        <v>0</v>
      </c>
      <c r="BI86" s="23" t="n">
        <f aca="false">IF(BH86=1,IF(COUNTIFS($AW$2:$AW$201,AW86,$BH$2:$BH$201,1,$H$2:$H$201,"&lt;"&amp;H86)+COUNTIFS($AW$2:$AW$201,AW86,$BH$2:$BH$201,1,$H$2:$H$201,H86,$AX$2:$AX$201,"&lt;"&amp;AX86)=0,1,0),0)</f>
        <v>0</v>
      </c>
      <c r="BJ86" s="23" t="str">
        <f aca="false">IF(AND(BI86=1,INT(N(H86))&lt;=Config!$B$6),R86,"")</f>
        <v/>
      </c>
      <c r="BK86" s="23" t="str">
        <f aca="false">IF(AND(BI86=1,INT(N(H86))&lt;=Config!$B$7),R86,"")</f>
        <v/>
      </c>
      <c r="BL86" s="23" t="str">
        <f aca="false">IF(AND(BI86=1,INT(N(H86))&lt;=Config!$B$8),R86,"")</f>
        <v/>
      </c>
      <c r="BM86" s="23" t="str">
        <f aca="false">IF(AND(BI86=1,INT(N(H86))&lt;=Config!$B$5),R86,"")</f>
        <v/>
      </c>
      <c r="BN86" s="23" t="n">
        <f aca="false">IF(AND(AY86=1,ISNUMBER(V86)),1,0)</f>
        <v>0</v>
      </c>
      <c r="BO86" s="23" t="n">
        <f aca="false">IF(BN86=1,IF(COUNTIFS($AW$2:$AW$201,AW86,$BN$2:$BN$201,1,$H$2:$H$201,"&lt;"&amp;H86)+COUNTIFS($AW$2:$AW$201,AW86,$BN$2:$BN$201,1,$H$2:$H$201,H86,$AX$2:$AX$201,"&lt;"&amp;AX86)=0,1,0),0)</f>
        <v>0</v>
      </c>
      <c r="BP86" s="23" t="str">
        <f aca="false">IF(AND(BO86=1,INT(N(H86))&lt;=Config!$B$6),V86,"")</f>
        <v/>
      </c>
      <c r="BQ86" s="23" t="str">
        <f aca="false">IF(AND(BO86=1,INT(N(H86))&lt;=Config!$B$7),V86,"")</f>
        <v/>
      </c>
      <c r="BR86" s="23" t="str">
        <f aca="false">IF(AND(BO86=1,INT(N(H86))&lt;=Config!$B$8),V86,"")</f>
        <v/>
      </c>
      <c r="BS86" s="23" t="str">
        <f aca="false">IF(AND(BO86=1,INT(N(H86))&lt;=Config!$B$5),V86,"")</f>
        <v/>
      </c>
      <c r="BT86" s="23" t="n">
        <f aca="false">IF(AND(AY86=1,ISNUMBER(K86)),1,0)</f>
        <v>0</v>
      </c>
      <c r="BU86" s="23" t="n">
        <f aca="false">IF(BT86=1,IF(COUNTIFS($AW$2:$AW$201,AW86,$BT$2:$BT$201,1,$H$2:$H$201,"&lt;"&amp;H86)+COUNTIFS($AW$2:$AW$201,AW86,$BT$2:$BT$201,1,$H$2:$H$201,H86,$AX$2:$AX$201,"&lt;"&amp;AX86)=0,1,0),0)</f>
        <v>0</v>
      </c>
      <c r="BV86" s="23" t="str">
        <f aca="false">IF(AND(BU86=1,INT(N(H86))&lt;=Config!$B$5),K86,"")</f>
        <v/>
      </c>
      <c r="BW86" s="23" t="n">
        <f aca="false">IF(AND(AY86=1,OR(AND(ISNUMBER(R86),TRIM(S86)=""),AND(ISNUMBER(V86),TRIM(W86)=""))),1,0)</f>
        <v>0</v>
      </c>
      <c r="BX86" s="23" t="str">
        <f aca="false">IF(AY86=1,AJ86&amp;"","")</f>
        <v/>
      </c>
      <c r="BY86" s="23" t="str">
        <f aca="false">IF(AY86=1,AK86&amp;"","")</f>
        <v/>
      </c>
      <c r="BZ86" s="23" t="str">
        <f aca="false">IF(AY86=1,AL86&amp;"","")</f>
        <v/>
      </c>
      <c r="CA86" s="23" t="str">
        <f aca="false">IF(AND(AY86=1,ISNUMBER(AS86),INT(N(H86))&lt;=Config!$B$5),AS86,"")</f>
        <v/>
      </c>
      <c r="CB86" s="23" t="str">
        <f aca="false">IF(AY86=1,IF(COUNTIFS($A$2:$A$201,$A86,$CU$2:$CU$201,1,$AN$2:$AN$201,"Y")&gt;0,"Y","N"),"")</f>
        <v/>
      </c>
      <c r="CC86" s="23" t="n">
        <f aca="false">IF(AND(AY86=1,AN86="Y"),IF(COUNTIFS($AW$2:$AW$201,AW86,$AN$2:$AN$201,"Y",$AY$2:$AY$201,1,$H$2:$H$201,"&lt;"&amp;H86)+COUNTIFS($AW$2:$AW$201,AW86,$AN$2:$AN$201,"Y",$AY$2:$AY$201,1,$H$2:$H$201,H86,$AX$2:$AX$201,"&lt;"&amp;AX86)=0,1,0),0)</f>
        <v>0</v>
      </c>
      <c r="CD86" s="23" t="n">
        <f aca="false">IF(AND(AY86=1,AB86="Y",AC86="Y",AD86="Y",AE86="Y",AF86="Y",AG86="Y",AI86="Y",TRIM(AH86)&lt;&gt;""),1,0)</f>
        <v>0</v>
      </c>
      <c r="CE86" s="23" t="n">
        <f aca="false">IF(CD86=1,IF(COUNTIFS($AW$2:$AW$201,AW86,$CD$2:$CD$201,1,$H$2:$H$201,"&lt;"&amp;H86)+COUNTIFS($AW$2:$AW$201,AW86,$CD$2:$CD$201,1,$H$2:$H$201,H86,$AX$2:$AX$201,"&lt;"&amp;AX86)=0,1,0),0)</f>
        <v>0</v>
      </c>
      <c r="CF86" s="23" t="n">
        <f aca="false">IF(AND(AY86=1,AO86="Y"),1,0)</f>
        <v>0</v>
      </c>
      <c r="CG86" s="23" t="n">
        <f aca="false">IF(CF86=1,IF(COUNTIFS($AW$2:$AW$201,AW86,$CF$2:$CF$201,1,$H$2:$H$201,"&lt;"&amp;H86)+COUNTIFS($AW$2:$AW$201,AW86,$CF$2:$CF$201,1,$H$2:$H$201,H86,$AX$2:$AX$201,"&lt;"&amp;AX86)=0,1,0),0)</f>
        <v>0</v>
      </c>
      <c r="CH86" s="23" t="n">
        <f aca="false">IF(AND(AY86=1,P86="Y"),1,0)</f>
        <v>0</v>
      </c>
      <c r="CI86" s="23" t="n">
        <f aca="false">IF(CH86=1,IF(COUNTIFS($AW$2:$AW$201,AW86,$CH$2:$CH$201,1,$H$2:$H$201,"&lt;"&amp;H86)+COUNTIFS($AW$2:$AW$201,AW86,$CH$2:$CH$201,1,$H$2:$H$201,H86,$AX$2:$AX$201,"&lt;"&amp;AX86)=0,1,0),0)</f>
        <v>0</v>
      </c>
      <c r="CJ86" s="23" t="str">
        <f aca="false">IF(AND(BU86=1,INT(N(H86))&lt;=Config!$B$5),L86,"")</f>
        <v/>
      </c>
      <c r="CK86" s="23" t="n">
        <f aca="false">IF(AND(AY86=1,AR86="Y"),1,0)</f>
        <v>0</v>
      </c>
      <c r="CL86" s="23" t="n">
        <f aca="false">IF(CK86=1,IF(COUNTIFS($AW$2:$AW$201,AW86,$CK$2:$CK$201,1,$H$2:$H$201,"&lt;"&amp;H86)+COUNTIFS($AW$2:$AW$201,AW86,$CK$2:$CK$201,1,$H$2:$H$201,H86,$AX$2:$AX$201,"&lt;"&amp;AX86)=0,1,0),0)</f>
        <v>0</v>
      </c>
      <c r="CM86" s="23" t="str">
        <f aca="false">IF(AY86=1,IFERROR(MATCH($A86,INDEX(Clay_Brands!$A$2:$FZ$601,0,Sync!$D$5),0),""),"")</f>
        <v/>
      </c>
      <c r="CN86" s="23" t="str">
        <f aca="false">IF(CM86="","",IFERROR(INDEX(Clay_Brands!$A$2:$FZ$601,CM86,Sync!$D$7)&amp;"",""))</f>
        <v/>
      </c>
      <c r="CO86" s="23" t="str">
        <f aca="false">IF(CN86="","",IFERROR(INDEX(Lists!$K$2:$K$15,MATCH(CN86,Lists!$J$2:$J$15,0)),""))</f>
        <v/>
      </c>
      <c r="CP86" s="23" t="str">
        <f aca="false">IF(CM86="","",IFERROR(INDEX(Clay_Brands!$A$2:$FZ$601,CM86,Sync!$D$17)&amp;"",""))</f>
        <v/>
      </c>
      <c r="CQ86" s="35" t="str">
        <f aca="false">IF(CM86="","",IFERROR(N(INDEX(Clay_Brands!$A$2:$FZ$601,CM86,Sync!$D$16)),0))</f>
        <v/>
      </c>
      <c r="CR86" s="23" t="n">
        <f aca="false">IF(AND(AY86=1,OR(O86="N",AND(OR(ISNUMBER(R86),ISNUMBER(V86)),MAX(N(R86),N(V86))&lt;Config!$B$14))),1,0)</f>
        <v>0</v>
      </c>
      <c r="CS86" s="23" t="n">
        <f aca="false">IF(OR(BB86=1,CR86=1),1,0)</f>
        <v>0</v>
      </c>
      <c r="CT86" s="23" t="n">
        <f aca="false">IF(AND(AY86=1,OR(AN86="Y",AN86="N",AN86="maybe")),1,0)</f>
        <v>0</v>
      </c>
      <c r="CU86" s="23" t="n">
        <f aca="false">IF(AND(CT86=1),IF(COUNTIFS($A$2:$A$201,$A86,$CT$2:$CT$201,1,$H$2:$H$201,"&gt;"&amp;H86)+COUNTIFS($A$2:$A$201,$A86,$CT$2:$CT$201,1,$H$2:$H$201,H86,$AX$2:$AX$201,"&gt;"&amp;AX86)=0,1,0),0)</f>
        <v>0</v>
      </c>
      <c r="CV86" s="23" t="n">
        <f aca="false">IF(AND(CS86=1,INT(N(H86))&lt;=Config!$B$6),IF(COUNTIFS($AW$2:$AW$201,AW86,$CS$2:$CS$201,1,$H$2:$H$201,"&gt;"&amp;H86,$H$2:$H$201,"&lt;"&amp;(Config!$B$6+1))+COUNTIFS($AW$2:$AW$201,AW86,$CS$2:$CS$201,1,$H$2:$H$201,H86,$AX$2:$AX$201,"&gt;"&amp;AX86)=0,1,0),0)</f>
        <v>0</v>
      </c>
      <c r="CW86" s="23" t="n">
        <f aca="false">IF(AND(CS86=1,INT(N(H86))&lt;=Config!$B$7),IF(COUNTIFS($AW$2:$AW$201,AW86,$CS$2:$CS$201,1,$H$2:$H$201,"&gt;"&amp;H86,$H$2:$H$201,"&lt;"&amp;(Config!$B$7+1))+COUNTIFS($AW$2:$AW$201,AW86,$CS$2:$CS$201,1,$H$2:$H$201,H86,$AX$2:$AX$201,"&gt;"&amp;AX86)=0,1,0),0)</f>
        <v>0</v>
      </c>
      <c r="CX86" s="23" t="n">
        <f aca="false">IF(AND(CS86=1,INT(N(H86))&lt;=Config!$B$8),IF(COUNTIFS($AW$2:$AW$201,AW86,$CS$2:$CS$201,1,$H$2:$H$201,"&gt;"&amp;H86,$H$2:$H$201,"&lt;"&amp;(Config!$B$8+1))+COUNTIFS($AW$2:$AW$201,AW86,$CS$2:$CS$201,1,$H$2:$H$201,H86,$AX$2:$AX$201,"&gt;"&amp;AX86)=0,1,0),0)</f>
        <v>0</v>
      </c>
      <c r="CY86" s="23" t="n">
        <f aca="false">IF(AND(CS86=1,INT(N(H86))&lt;=Config!$B$5),IF(COUNTIFS($AW$2:$AW$201,AW86,$CS$2:$CS$201,1,$H$2:$H$201,"&gt;"&amp;H86,$H$2:$H$201,"&lt;"&amp;(Config!$B$5+1))+COUNTIFS($AW$2:$AW$201,AW86,$CS$2:$CS$201,1,$H$2:$H$201,H86,$AX$2:$AX$201,"&gt;"&amp;AX86)=0,1,0),0)</f>
        <v>0</v>
      </c>
      <c r="CZ86" s="23" t="n">
        <f aca="false">IF(AY86=1,IF(COUNTIFS($AW$2:$AW$201,AW86,$CV$2:$CV$201,1,$BB$2:$BB$201,1)&gt;0,1,0),0)</f>
        <v>0</v>
      </c>
      <c r="DA86" s="23" t="n">
        <f aca="false">IF(AY86=1,IF(COUNTIFS($AW$2:$AW$201,AW86,$CW$2:$CW$201,1,$BB$2:$BB$201,1)&gt;0,1,0),0)</f>
        <v>0</v>
      </c>
      <c r="DB86" s="23" t="n">
        <f aca="false">IF(AY86=1,IF(COUNTIFS($AW$2:$AW$201,AW86,$CX$2:$CX$201,1,$BB$2:$BB$201,1)&gt;0,1,0),0)</f>
        <v>0</v>
      </c>
      <c r="DC86" s="23" t="n">
        <f aca="false">IF(AY86=1,IF(COUNTIFS($AW$2:$AW$201,AW86,$CY$2:$CY$201,1,$BB$2:$BB$201,1)&gt;0,1,0),0)</f>
        <v>0</v>
      </c>
      <c r="DD86" s="23" t="n">
        <f aca="false">IF(AND(BC86=1,INT(N(H86))&lt;=Config!$B$6,CZ86=1),1,0)</f>
        <v>0</v>
      </c>
      <c r="DE86" s="23" t="n">
        <f aca="false">IF(AND(BC86=1,INT(N(H86))&lt;=Config!$B$7,DA86=1),1,0)</f>
        <v>0</v>
      </c>
      <c r="DF86" s="23" t="n">
        <f aca="false">IF(AND(BC86=1,INT(N(H86))&lt;=Config!$B$8,DB86=1),1,0)</f>
        <v>0</v>
      </c>
      <c r="DG86" s="23" t="n">
        <f aca="false">IF(AND(BC86=1,INT(N(H86))&lt;=Config!$B$5,DC86=1),1,0)</f>
        <v>0</v>
      </c>
      <c r="DH86" s="23" t="n">
        <f aca="false">IF(AND(BE86=1,INT(N(H86))&lt;=Config!$B$6,CZ86=1),1,0)</f>
        <v>0</v>
      </c>
      <c r="DI86" s="23" t="n">
        <f aca="false">IF(AND(BE86=1,INT(N(H86))&lt;=Config!$B$7,DA86=1),1,0)</f>
        <v>0</v>
      </c>
      <c r="DJ86" s="23" t="n">
        <f aca="false">IF(AND(BE86=1,INT(N(H86))&lt;=Config!$B$8,DB86=1),1,0)</f>
        <v>0</v>
      </c>
      <c r="DK86" s="23" t="n">
        <f aca="false">IF(AND(BE86=1,INT(N(H86))&lt;=Config!$B$5,DC86=1),1,0)</f>
        <v>0</v>
      </c>
      <c r="DL86" s="23" t="n">
        <f aca="false">IF(AND(BC86=1,INT(N(H86))&lt;=Config!$B$6,CZ86=0),1,0)</f>
        <v>0</v>
      </c>
      <c r="DM86" s="23" t="n">
        <f aca="false">IF(AND(BC86=1,INT(N(H86))&lt;=Config!$B$7,DA86=0),1,0)</f>
        <v>0</v>
      </c>
      <c r="DN86" s="23" t="n">
        <f aca="false">IF(AND(BC86=1,INT(N(H86))&lt;=Config!$B$8,DB86=0),1,0)</f>
        <v>0</v>
      </c>
      <c r="DO86" s="23" t="n">
        <f aca="false">IF(AND(BC86=1,INT(N(H86))&lt;=Config!$B$5,DC86=0),1,0)</f>
        <v>0</v>
      </c>
      <c r="DP86" s="23" t="n">
        <f aca="false">IF(TRIM($A86)="",0,ISTEXT(K86)+ISTEXT(L86)+ISTEXT(R86)+ISTEXT(V86)+ISTEXT(AP86)+ISTEXT(AS86))</f>
        <v>0</v>
      </c>
      <c r="DQ86" s="23" t="n">
        <f aca="false">IF(AY86=1,IF(H86&lt;&gt;INT(H86),1,0),0)</f>
        <v>0</v>
      </c>
      <c r="DR86" s="23" t="str">
        <f aca="false">IF(TRIM($A86)="","",IF(TRIM(B86)="",SUBSTITUTE(SUBSTITUTE(SUBSTITUTE(SUBSTITUTE(SUBSTITUTE(SUBSTITUTE(LOWER(TRIM($A86)),"~",""),"*",""),"?",""),"&lt;",""),"&gt;",""),"=",""),SUBSTITUTE(SUBSTITUTE(SUBSTITUTE(SUBSTITUTE(SUBSTITUTE(SUBSTITUTE(LOWER(TRIM(B86)),"~",""),"*",""),"?",""),"&lt;",""),"&gt;",""),"=","")))</f>
        <v/>
      </c>
      <c r="DS86" s="23" t="str">
        <f aca="false">IF(CM86="","",IFERROR(IF(LEFT(LOWER(TRIM(INDEX(Clay_Brands!$A$2:$FZ$601,CM86,Sync!$D$19)&amp;"")),4)="grp-",SUBSTITUTE(SUBSTITUTE(SUBSTITUTE(SUBSTITUTE(SUBSTITUTE(SUBSTITUTE(LOWER(TRIM(INDEX(Clay_Brands!$A$2:$FZ$601,CM86,Sync!$D$19)&amp;"")),"~",""),"*",""),"?",""),"&lt;",""),"&gt;",""),"=",""),""),""))</f>
        <v/>
      </c>
      <c r="DT86" s="23" t="str">
        <f aca="false">IF(DS86&lt;&gt;"",DR86,"")</f>
        <v/>
      </c>
      <c r="DU86" s="23" t="str">
        <f aca="false">IF(AZ86=1,AW86,"")</f>
        <v/>
      </c>
      <c r="DV86" s="23" t="str">
        <f aca="false">IF(TRIM($A86)="","",IFERROR(INDEX($A$2:$A$201,MATCH(AW86,$DU$2:$DU$201,0))&amp;"",$A86&amp;""))</f>
        <v/>
      </c>
      <c r="DW86" s="23" t="n">
        <f aca="false">IF(AY86=1,IF(COUNTIFS($A$2:$A$201,$A86,$AY$2:$AY$201,1,$H$2:$H$201,"&lt;"&amp;H86)+COUNTIFS($A$2:$A$201,$A86,$AY$2:$AY$201,1,$H$2:$H$201,H86,$AX$2:$AX$201,"&lt;"&amp;AX86)=0,1,0),0)</f>
        <v>0</v>
      </c>
      <c r="DX86" s="23" t="n">
        <f aca="false">IF(AZ86=1,IF(COUNTIFS($AW$2:$AW$201,AW86,$DW$2:$DW$201,1)&gt;1,1,0),0)</f>
        <v>0</v>
      </c>
    </row>
    <row r="87" customFormat="false" ht="15" hidden="false" customHeight="false" outlineLevel="0" collapsed="false">
      <c r="G87" s="32"/>
      <c r="H87" s="33"/>
      <c r="I87" s="32"/>
      <c r="O87" s="32"/>
      <c r="P87" s="32"/>
      <c r="U87" s="32"/>
      <c r="Y87" s="32"/>
      <c r="AB87" s="32"/>
      <c r="AC87" s="32"/>
      <c r="AD87" s="32"/>
      <c r="AE87" s="32"/>
      <c r="AF87" s="32"/>
      <c r="AG87" s="32"/>
      <c r="AI87" s="32"/>
      <c r="AJ87" s="32"/>
      <c r="AK87" s="32"/>
      <c r="AN87" s="32"/>
      <c r="AO87" s="32"/>
      <c r="AR87" s="32"/>
      <c r="AT87" s="32"/>
      <c r="AV87" s="34" t="str">
        <f aca="false">IF(TRIM($A87)="","",IF(AND(LEFT($A87,6)="SAMPLE",Config!$B$19&lt;&gt;"Y"),"",IF(NOT(ISNUMBER(H87)),"call_date is blank or not a date",IF(Sync!$D$5="","Clay paste is empty or has no row_id column: paste the Clay export on Clay_Brands",IF(CM87="","row_id not found in the Clay paste: add the Clay row or fix the row_id",IF(AND(ISNUMBER(CO87),CO87&gt;=1,CO87&lt;=5),"Clay status is "&amp;CN87&amp;": set call_done or later",IF(AND(BA87=1,CP87&lt;&gt;CB87),"Clay yes_in_principle should be "&amp;CB87,IF(AND(BA87=1,CQ87&lt;&gt;H87),"Clay call_date should be "&amp;TEXT(H87,"yyyy-mm-dd"),""))))))))</f>
        <v/>
      </c>
      <c r="AW87" s="23" t="str">
        <f aca="false">IF(TRIM($A87)="","",IF(TRIM(C87)&lt;&gt;"",SUBSTITUTE(SUBSTITUTE(SUBSTITUTE(SUBSTITUTE(SUBSTITUTE(SUBSTITUTE(LOWER(TRIM(C87)),"~",""),"*",""),"?",""),"&lt;",""),"&gt;",""),"=",""),IF(DS87&lt;&gt;"",DS87,IFERROR(INDEX($DS$2:$DS$201,MATCH(DR87,$DT$2:$DT$201,0)),DR87))))</f>
        <v/>
      </c>
      <c r="AX87" s="23" t="n">
        <f aca="false">ROW()</f>
        <v>87</v>
      </c>
      <c r="AY87" s="23" t="n">
        <f aca="false">IF(AND(TRIM($A87)&lt;&gt;"",ISNUMBER(H87)),IF(AND(LEFT($A87,6)="SAMPLE",Config!$B$19&lt;&gt;"Y"),0,1),0)</f>
        <v>0</v>
      </c>
      <c r="AZ87" s="23" t="n">
        <f aca="false">IF(AY87=1,IF(COUNTIFS($AW$2:$AW$201,AW87,$AY$2:$AY$201,1,$H$2:$H$201,"&lt;"&amp;H87)+COUNTIFS($AW$2:$AW$201,AW87,$AY$2:$AY$201,1,$H$2:$H$201,H87,$AX$2:$AX$201,"&lt;"&amp;AX87)=0,1,0),0)</f>
        <v>0</v>
      </c>
      <c r="BA87" s="23" t="n">
        <f aca="false">IF(AY87=1,IF(COUNTIFS($A$2:$A$201,$A87,$AY$2:$AY$201,1,$H$2:$H$201,"&gt;"&amp;H87)+COUNTIFS($A$2:$A$201,$A87,$AY$2:$AY$201,1,$H$2:$H$201,H87,$AX$2:$AX$201,"&gt;"&amp;AX87)=0,1,0),0)</f>
        <v>0</v>
      </c>
      <c r="BB87" s="23" t="n">
        <f aca="false">IF(AND(AY87=1,O87="Y",MAX(N(R87),N(V87))&gt;=Config!$B$14),1,0)</f>
        <v>0</v>
      </c>
      <c r="BC87" s="23" t="n">
        <f aca="false">IF(BB87=1,IF(COUNTIFS($AW$2:$AW$201,AW87,$BB$2:$BB$201,1,$H$2:$H$201,"&lt;"&amp;H87)+COUNTIFS($AW$2:$AW$201,AW87,$BB$2:$BB$201,1,$H$2:$H$201,H87,$AX$2:$AX$201,"&lt;"&amp;AX87)=0,1,0),0)</f>
        <v>0</v>
      </c>
      <c r="BD87" s="23" t="n">
        <f aca="false">IF(AND(AY87=1,O87="Y",ISNUMBER(R87)),IF(R87&gt;=Config!$B$14,1,0),0)</f>
        <v>0</v>
      </c>
      <c r="BE87" s="23" t="n">
        <f aca="false">IF(BD87=1,IF(COUNTIFS($AW$2:$AW$201,AW87,$BD$2:$BD$201,1,$H$2:$H$201,"&lt;"&amp;H87)+COUNTIFS($AW$2:$AW$201,AW87,$BD$2:$BD$201,1,$H$2:$H$201,H87,$AX$2:$AX$201,"&lt;"&amp;AX87)=0,1,0),0)</f>
        <v>0</v>
      </c>
      <c r="BF87" s="23" t="n">
        <f aca="false">IF(AND(AY87=1,O87&lt;&gt;"Y",MAX(N(R87),N(V87))&gt;=Config!$B$14),1,0)</f>
        <v>0</v>
      </c>
      <c r="BG87" s="23" t="n">
        <f aca="false">IF(BF87=1,IF(COUNTIFS($AW$2:$AW$201,AW87,$BF$2:$BF$201,1,$H$2:$H$201,"&lt;"&amp;H87)+COUNTIFS($AW$2:$AW$201,AW87,$BF$2:$BF$201,1,$H$2:$H$201,H87,$AX$2:$AX$201,"&lt;"&amp;AX87)=0,1,0),0)</f>
        <v>0</v>
      </c>
      <c r="BH87" s="23" t="n">
        <f aca="false">IF(AND(AY87=1,ISNUMBER(R87)),1,0)</f>
        <v>0</v>
      </c>
      <c r="BI87" s="23" t="n">
        <f aca="false">IF(BH87=1,IF(COUNTIFS($AW$2:$AW$201,AW87,$BH$2:$BH$201,1,$H$2:$H$201,"&lt;"&amp;H87)+COUNTIFS($AW$2:$AW$201,AW87,$BH$2:$BH$201,1,$H$2:$H$201,H87,$AX$2:$AX$201,"&lt;"&amp;AX87)=0,1,0),0)</f>
        <v>0</v>
      </c>
      <c r="BJ87" s="23" t="str">
        <f aca="false">IF(AND(BI87=1,INT(N(H87))&lt;=Config!$B$6),R87,"")</f>
        <v/>
      </c>
      <c r="BK87" s="23" t="str">
        <f aca="false">IF(AND(BI87=1,INT(N(H87))&lt;=Config!$B$7),R87,"")</f>
        <v/>
      </c>
      <c r="BL87" s="23" t="str">
        <f aca="false">IF(AND(BI87=1,INT(N(H87))&lt;=Config!$B$8),R87,"")</f>
        <v/>
      </c>
      <c r="BM87" s="23" t="str">
        <f aca="false">IF(AND(BI87=1,INT(N(H87))&lt;=Config!$B$5),R87,"")</f>
        <v/>
      </c>
      <c r="BN87" s="23" t="n">
        <f aca="false">IF(AND(AY87=1,ISNUMBER(V87)),1,0)</f>
        <v>0</v>
      </c>
      <c r="BO87" s="23" t="n">
        <f aca="false">IF(BN87=1,IF(COUNTIFS($AW$2:$AW$201,AW87,$BN$2:$BN$201,1,$H$2:$H$201,"&lt;"&amp;H87)+COUNTIFS($AW$2:$AW$201,AW87,$BN$2:$BN$201,1,$H$2:$H$201,H87,$AX$2:$AX$201,"&lt;"&amp;AX87)=0,1,0),0)</f>
        <v>0</v>
      </c>
      <c r="BP87" s="23" t="str">
        <f aca="false">IF(AND(BO87=1,INT(N(H87))&lt;=Config!$B$6),V87,"")</f>
        <v/>
      </c>
      <c r="BQ87" s="23" t="str">
        <f aca="false">IF(AND(BO87=1,INT(N(H87))&lt;=Config!$B$7),V87,"")</f>
        <v/>
      </c>
      <c r="BR87" s="23" t="str">
        <f aca="false">IF(AND(BO87=1,INT(N(H87))&lt;=Config!$B$8),V87,"")</f>
        <v/>
      </c>
      <c r="BS87" s="23" t="str">
        <f aca="false">IF(AND(BO87=1,INT(N(H87))&lt;=Config!$B$5),V87,"")</f>
        <v/>
      </c>
      <c r="BT87" s="23" t="n">
        <f aca="false">IF(AND(AY87=1,ISNUMBER(K87)),1,0)</f>
        <v>0</v>
      </c>
      <c r="BU87" s="23" t="n">
        <f aca="false">IF(BT87=1,IF(COUNTIFS($AW$2:$AW$201,AW87,$BT$2:$BT$201,1,$H$2:$H$201,"&lt;"&amp;H87)+COUNTIFS($AW$2:$AW$201,AW87,$BT$2:$BT$201,1,$H$2:$H$201,H87,$AX$2:$AX$201,"&lt;"&amp;AX87)=0,1,0),0)</f>
        <v>0</v>
      </c>
      <c r="BV87" s="23" t="str">
        <f aca="false">IF(AND(BU87=1,INT(N(H87))&lt;=Config!$B$5),K87,"")</f>
        <v/>
      </c>
      <c r="BW87" s="23" t="n">
        <f aca="false">IF(AND(AY87=1,OR(AND(ISNUMBER(R87),TRIM(S87)=""),AND(ISNUMBER(V87),TRIM(W87)=""))),1,0)</f>
        <v>0</v>
      </c>
      <c r="BX87" s="23" t="str">
        <f aca="false">IF(AY87=1,AJ87&amp;"","")</f>
        <v/>
      </c>
      <c r="BY87" s="23" t="str">
        <f aca="false">IF(AY87=1,AK87&amp;"","")</f>
        <v/>
      </c>
      <c r="BZ87" s="23" t="str">
        <f aca="false">IF(AY87=1,AL87&amp;"","")</f>
        <v/>
      </c>
      <c r="CA87" s="23" t="str">
        <f aca="false">IF(AND(AY87=1,ISNUMBER(AS87),INT(N(H87))&lt;=Config!$B$5),AS87,"")</f>
        <v/>
      </c>
      <c r="CB87" s="23" t="str">
        <f aca="false">IF(AY87=1,IF(COUNTIFS($A$2:$A$201,$A87,$CU$2:$CU$201,1,$AN$2:$AN$201,"Y")&gt;0,"Y","N"),"")</f>
        <v/>
      </c>
      <c r="CC87" s="23" t="n">
        <f aca="false">IF(AND(AY87=1,AN87="Y"),IF(COUNTIFS($AW$2:$AW$201,AW87,$AN$2:$AN$201,"Y",$AY$2:$AY$201,1,$H$2:$H$201,"&lt;"&amp;H87)+COUNTIFS($AW$2:$AW$201,AW87,$AN$2:$AN$201,"Y",$AY$2:$AY$201,1,$H$2:$H$201,H87,$AX$2:$AX$201,"&lt;"&amp;AX87)=0,1,0),0)</f>
        <v>0</v>
      </c>
      <c r="CD87" s="23" t="n">
        <f aca="false">IF(AND(AY87=1,AB87="Y",AC87="Y",AD87="Y",AE87="Y",AF87="Y",AG87="Y",AI87="Y",TRIM(AH87)&lt;&gt;""),1,0)</f>
        <v>0</v>
      </c>
      <c r="CE87" s="23" t="n">
        <f aca="false">IF(CD87=1,IF(COUNTIFS($AW$2:$AW$201,AW87,$CD$2:$CD$201,1,$H$2:$H$201,"&lt;"&amp;H87)+COUNTIFS($AW$2:$AW$201,AW87,$CD$2:$CD$201,1,$H$2:$H$201,H87,$AX$2:$AX$201,"&lt;"&amp;AX87)=0,1,0),0)</f>
        <v>0</v>
      </c>
      <c r="CF87" s="23" t="n">
        <f aca="false">IF(AND(AY87=1,AO87="Y"),1,0)</f>
        <v>0</v>
      </c>
      <c r="CG87" s="23" t="n">
        <f aca="false">IF(CF87=1,IF(COUNTIFS($AW$2:$AW$201,AW87,$CF$2:$CF$201,1,$H$2:$H$201,"&lt;"&amp;H87)+COUNTIFS($AW$2:$AW$201,AW87,$CF$2:$CF$201,1,$H$2:$H$201,H87,$AX$2:$AX$201,"&lt;"&amp;AX87)=0,1,0),0)</f>
        <v>0</v>
      </c>
      <c r="CH87" s="23" t="n">
        <f aca="false">IF(AND(AY87=1,P87="Y"),1,0)</f>
        <v>0</v>
      </c>
      <c r="CI87" s="23" t="n">
        <f aca="false">IF(CH87=1,IF(COUNTIFS($AW$2:$AW$201,AW87,$CH$2:$CH$201,1,$H$2:$H$201,"&lt;"&amp;H87)+COUNTIFS($AW$2:$AW$201,AW87,$CH$2:$CH$201,1,$H$2:$H$201,H87,$AX$2:$AX$201,"&lt;"&amp;AX87)=0,1,0),0)</f>
        <v>0</v>
      </c>
      <c r="CJ87" s="23" t="str">
        <f aca="false">IF(AND(BU87=1,INT(N(H87))&lt;=Config!$B$5),L87,"")</f>
        <v/>
      </c>
      <c r="CK87" s="23" t="n">
        <f aca="false">IF(AND(AY87=1,AR87="Y"),1,0)</f>
        <v>0</v>
      </c>
      <c r="CL87" s="23" t="n">
        <f aca="false">IF(CK87=1,IF(COUNTIFS($AW$2:$AW$201,AW87,$CK$2:$CK$201,1,$H$2:$H$201,"&lt;"&amp;H87)+COUNTIFS($AW$2:$AW$201,AW87,$CK$2:$CK$201,1,$H$2:$H$201,H87,$AX$2:$AX$201,"&lt;"&amp;AX87)=0,1,0),0)</f>
        <v>0</v>
      </c>
      <c r="CM87" s="23" t="str">
        <f aca="false">IF(AY87=1,IFERROR(MATCH($A87,INDEX(Clay_Brands!$A$2:$FZ$601,0,Sync!$D$5),0),""),"")</f>
        <v/>
      </c>
      <c r="CN87" s="23" t="str">
        <f aca="false">IF(CM87="","",IFERROR(INDEX(Clay_Brands!$A$2:$FZ$601,CM87,Sync!$D$7)&amp;"",""))</f>
        <v/>
      </c>
      <c r="CO87" s="23" t="str">
        <f aca="false">IF(CN87="","",IFERROR(INDEX(Lists!$K$2:$K$15,MATCH(CN87,Lists!$J$2:$J$15,0)),""))</f>
        <v/>
      </c>
      <c r="CP87" s="23" t="str">
        <f aca="false">IF(CM87="","",IFERROR(INDEX(Clay_Brands!$A$2:$FZ$601,CM87,Sync!$D$17)&amp;"",""))</f>
        <v/>
      </c>
      <c r="CQ87" s="35" t="str">
        <f aca="false">IF(CM87="","",IFERROR(N(INDEX(Clay_Brands!$A$2:$FZ$601,CM87,Sync!$D$16)),0))</f>
        <v/>
      </c>
      <c r="CR87" s="23" t="n">
        <f aca="false">IF(AND(AY87=1,OR(O87="N",AND(OR(ISNUMBER(R87),ISNUMBER(V87)),MAX(N(R87),N(V87))&lt;Config!$B$14))),1,0)</f>
        <v>0</v>
      </c>
      <c r="CS87" s="23" t="n">
        <f aca="false">IF(OR(BB87=1,CR87=1),1,0)</f>
        <v>0</v>
      </c>
      <c r="CT87" s="23" t="n">
        <f aca="false">IF(AND(AY87=1,OR(AN87="Y",AN87="N",AN87="maybe")),1,0)</f>
        <v>0</v>
      </c>
      <c r="CU87" s="23" t="n">
        <f aca="false">IF(AND(CT87=1),IF(COUNTIFS($A$2:$A$201,$A87,$CT$2:$CT$201,1,$H$2:$H$201,"&gt;"&amp;H87)+COUNTIFS($A$2:$A$201,$A87,$CT$2:$CT$201,1,$H$2:$H$201,H87,$AX$2:$AX$201,"&gt;"&amp;AX87)=0,1,0),0)</f>
        <v>0</v>
      </c>
      <c r="CV87" s="23" t="n">
        <f aca="false">IF(AND(CS87=1,INT(N(H87))&lt;=Config!$B$6),IF(COUNTIFS($AW$2:$AW$201,AW87,$CS$2:$CS$201,1,$H$2:$H$201,"&gt;"&amp;H87,$H$2:$H$201,"&lt;"&amp;(Config!$B$6+1))+COUNTIFS($AW$2:$AW$201,AW87,$CS$2:$CS$201,1,$H$2:$H$201,H87,$AX$2:$AX$201,"&gt;"&amp;AX87)=0,1,0),0)</f>
        <v>0</v>
      </c>
      <c r="CW87" s="23" t="n">
        <f aca="false">IF(AND(CS87=1,INT(N(H87))&lt;=Config!$B$7),IF(COUNTIFS($AW$2:$AW$201,AW87,$CS$2:$CS$201,1,$H$2:$H$201,"&gt;"&amp;H87,$H$2:$H$201,"&lt;"&amp;(Config!$B$7+1))+COUNTIFS($AW$2:$AW$201,AW87,$CS$2:$CS$201,1,$H$2:$H$201,H87,$AX$2:$AX$201,"&gt;"&amp;AX87)=0,1,0),0)</f>
        <v>0</v>
      </c>
      <c r="CX87" s="23" t="n">
        <f aca="false">IF(AND(CS87=1,INT(N(H87))&lt;=Config!$B$8),IF(COUNTIFS($AW$2:$AW$201,AW87,$CS$2:$CS$201,1,$H$2:$H$201,"&gt;"&amp;H87,$H$2:$H$201,"&lt;"&amp;(Config!$B$8+1))+COUNTIFS($AW$2:$AW$201,AW87,$CS$2:$CS$201,1,$H$2:$H$201,H87,$AX$2:$AX$201,"&gt;"&amp;AX87)=0,1,0),0)</f>
        <v>0</v>
      </c>
      <c r="CY87" s="23" t="n">
        <f aca="false">IF(AND(CS87=1,INT(N(H87))&lt;=Config!$B$5),IF(COUNTIFS($AW$2:$AW$201,AW87,$CS$2:$CS$201,1,$H$2:$H$201,"&gt;"&amp;H87,$H$2:$H$201,"&lt;"&amp;(Config!$B$5+1))+COUNTIFS($AW$2:$AW$201,AW87,$CS$2:$CS$201,1,$H$2:$H$201,H87,$AX$2:$AX$201,"&gt;"&amp;AX87)=0,1,0),0)</f>
        <v>0</v>
      </c>
      <c r="CZ87" s="23" t="n">
        <f aca="false">IF(AY87=1,IF(COUNTIFS($AW$2:$AW$201,AW87,$CV$2:$CV$201,1,$BB$2:$BB$201,1)&gt;0,1,0),0)</f>
        <v>0</v>
      </c>
      <c r="DA87" s="23" t="n">
        <f aca="false">IF(AY87=1,IF(COUNTIFS($AW$2:$AW$201,AW87,$CW$2:$CW$201,1,$BB$2:$BB$201,1)&gt;0,1,0),0)</f>
        <v>0</v>
      </c>
      <c r="DB87" s="23" t="n">
        <f aca="false">IF(AY87=1,IF(COUNTIFS($AW$2:$AW$201,AW87,$CX$2:$CX$201,1,$BB$2:$BB$201,1)&gt;0,1,0),0)</f>
        <v>0</v>
      </c>
      <c r="DC87" s="23" t="n">
        <f aca="false">IF(AY87=1,IF(COUNTIFS($AW$2:$AW$201,AW87,$CY$2:$CY$201,1,$BB$2:$BB$201,1)&gt;0,1,0),0)</f>
        <v>0</v>
      </c>
      <c r="DD87" s="23" t="n">
        <f aca="false">IF(AND(BC87=1,INT(N(H87))&lt;=Config!$B$6,CZ87=1),1,0)</f>
        <v>0</v>
      </c>
      <c r="DE87" s="23" t="n">
        <f aca="false">IF(AND(BC87=1,INT(N(H87))&lt;=Config!$B$7,DA87=1),1,0)</f>
        <v>0</v>
      </c>
      <c r="DF87" s="23" t="n">
        <f aca="false">IF(AND(BC87=1,INT(N(H87))&lt;=Config!$B$8,DB87=1),1,0)</f>
        <v>0</v>
      </c>
      <c r="DG87" s="23" t="n">
        <f aca="false">IF(AND(BC87=1,INT(N(H87))&lt;=Config!$B$5,DC87=1),1,0)</f>
        <v>0</v>
      </c>
      <c r="DH87" s="23" t="n">
        <f aca="false">IF(AND(BE87=1,INT(N(H87))&lt;=Config!$B$6,CZ87=1),1,0)</f>
        <v>0</v>
      </c>
      <c r="DI87" s="23" t="n">
        <f aca="false">IF(AND(BE87=1,INT(N(H87))&lt;=Config!$B$7,DA87=1),1,0)</f>
        <v>0</v>
      </c>
      <c r="DJ87" s="23" t="n">
        <f aca="false">IF(AND(BE87=1,INT(N(H87))&lt;=Config!$B$8,DB87=1),1,0)</f>
        <v>0</v>
      </c>
      <c r="DK87" s="23" t="n">
        <f aca="false">IF(AND(BE87=1,INT(N(H87))&lt;=Config!$B$5,DC87=1),1,0)</f>
        <v>0</v>
      </c>
      <c r="DL87" s="23" t="n">
        <f aca="false">IF(AND(BC87=1,INT(N(H87))&lt;=Config!$B$6,CZ87=0),1,0)</f>
        <v>0</v>
      </c>
      <c r="DM87" s="23" t="n">
        <f aca="false">IF(AND(BC87=1,INT(N(H87))&lt;=Config!$B$7,DA87=0),1,0)</f>
        <v>0</v>
      </c>
      <c r="DN87" s="23" t="n">
        <f aca="false">IF(AND(BC87=1,INT(N(H87))&lt;=Config!$B$8,DB87=0),1,0)</f>
        <v>0</v>
      </c>
      <c r="DO87" s="23" t="n">
        <f aca="false">IF(AND(BC87=1,INT(N(H87))&lt;=Config!$B$5,DC87=0),1,0)</f>
        <v>0</v>
      </c>
      <c r="DP87" s="23" t="n">
        <f aca="false">IF(TRIM($A87)="",0,ISTEXT(K87)+ISTEXT(L87)+ISTEXT(R87)+ISTEXT(V87)+ISTEXT(AP87)+ISTEXT(AS87))</f>
        <v>0</v>
      </c>
      <c r="DQ87" s="23" t="n">
        <f aca="false">IF(AY87=1,IF(H87&lt;&gt;INT(H87),1,0),0)</f>
        <v>0</v>
      </c>
      <c r="DR87" s="23" t="str">
        <f aca="false">IF(TRIM($A87)="","",IF(TRIM(B87)="",SUBSTITUTE(SUBSTITUTE(SUBSTITUTE(SUBSTITUTE(SUBSTITUTE(SUBSTITUTE(LOWER(TRIM($A87)),"~",""),"*",""),"?",""),"&lt;",""),"&gt;",""),"=",""),SUBSTITUTE(SUBSTITUTE(SUBSTITUTE(SUBSTITUTE(SUBSTITUTE(SUBSTITUTE(LOWER(TRIM(B87)),"~",""),"*",""),"?",""),"&lt;",""),"&gt;",""),"=","")))</f>
        <v/>
      </c>
      <c r="DS87" s="23" t="str">
        <f aca="false">IF(CM87="","",IFERROR(IF(LEFT(LOWER(TRIM(INDEX(Clay_Brands!$A$2:$FZ$601,CM87,Sync!$D$19)&amp;"")),4)="grp-",SUBSTITUTE(SUBSTITUTE(SUBSTITUTE(SUBSTITUTE(SUBSTITUTE(SUBSTITUTE(LOWER(TRIM(INDEX(Clay_Brands!$A$2:$FZ$601,CM87,Sync!$D$19)&amp;"")),"~",""),"*",""),"?",""),"&lt;",""),"&gt;",""),"=",""),""),""))</f>
        <v/>
      </c>
      <c r="DT87" s="23" t="str">
        <f aca="false">IF(DS87&lt;&gt;"",DR87,"")</f>
        <v/>
      </c>
      <c r="DU87" s="23" t="str">
        <f aca="false">IF(AZ87=1,AW87,"")</f>
        <v/>
      </c>
      <c r="DV87" s="23" t="str">
        <f aca="false">IF(TRIM($A87)="","",IFERROR(INDEX($A$2:$A$201,MATCH(AW87,$DU$2:$DU$201,0))&amp;"",$A87&amp;""))</f>
        <v/>
      </c>
      <c r="DW87" s="23" t="n">
        <f aca="false">IF(AY87=1,IF(COUNTIFS($A$2:$A$201,$A87,$AY$2:$AY$201,1,$H$2:$H$201,"&lt;"&amp;H87)+COUNTIFS($A$2:$A$201,$A87,$AY$2:$AY$201,1,$H$2:$H$201,H87,$AX$2:$AX$201,"&lt;"&amp;AX87)=0,1,0),0)</f>
        <v>0</v>
      </c>
      <c r="DX87" s="23" t="n">
        <f aca="false">IF(AZ87=1,IF(COUNTIFS($AW$2:$AW$201,AW87,$DW$2:$DW$201,1)&gt;1,1,0),0)</f>
        <v>0</v>
      </c>
    </row>
    <row r="88" customFormat="false" ht="15" hidden="false" customHeight="false" outlineLevel="0" collapsed="false">
      <c r="G88" s="32"/>
      <c r="H88" s="33"/>
      <c r="I88" s="32"/>
      <c r="O88" s="32"/>
      <c r="P88" s="32"/>
      <c r="U88" s="32"/>
      <c r="Y88" s="32"/>
      <c r="AB88" s="32"/>
      <c r="AC88" s="32"/>
      <c r="AD88" s="32"/>
      <c r="AE88" s="32"/>
      <c r="AF88" s="32"/>
      <c r="AG88" s="32"/>
      <c r="AI88" s="32"/>
      <c r="AJ88" s="32"/>
      <c r="AK88" s="32"/>
      <c r="AN88" s="32"/>
      <c r="AO88" s="32"/>
      <c r="AR88" s="32"/>
      <c r="AT88" s="32"/>
      <c r="AV88" s="34" t="str">
        <f aca="false">IF(TRIM($A88)="","",IF(AND(LEFT($A88,6)="SAMPLE",Config!$B$19&lt;&gt;"Y"),"",IF(NOT(ISNUMBER(H88)),"call_date is blank or not a date",IF(Sync!$D$5="","Clay paste is empty or has no row_id column: paste the Clay export on Clay_Brands",IF(CM88="","row_id not found in the Clay paste: add the Clay row or fix the row_id",IF(AND(ISNUMBER(CO88),CO88&gt;=1,CO88&lt;=5),"Clay status is "&amp;CN88&amp;": set call_done or later",IF(AND(BA88=1,CP88&lt;&gt;CB88),"Clay yes_in_principle should be "&amp;CB88,IF(AND(BA88=1,CQ88&lt;&gt;H88),"Clay call_date should be "&amp;TEXT(H88,"yyyy-mm-dd"),""))))))))</f>
        <v/>
      </c>
      <c r="AW88" s="23" t="str">
        <f aca="false">IF(TRIM($A88)="","",IF(TRIM(C88)&lt;&gt;"",SUBSTITUTE(SUBSTITUTE(SUBSTITUTE(SUBSTITUTE(SUBSTITUTE(SUBSTITUTE(LOWER(TRIM(C88)),"~",""),"*",""),"?",""),"&lt;",""),"&gt;",""),"=",""),IF(DS88&lt;&gt;"",DS88,IFERROR(INDEX($DS$2:$DS$201,MATCH(DR88,$DT$2:$DT$201,0)),DR88))))</f>
        <v/>
      </c>
      <c r="AX88" s="23" t="n">
        <f aca="false">ROW()</f>
        <v>88</v>
      </c>
      <c r="AY88" s="23" t="n">
        <f aca="false">IF(AND(TRIM($A88)&lt;&gt;"",ISNUMBER(H88)),IF(AND(LEFT($A88,6)="SAMPLE",Config!$B$19&lt;&gt;"Y"),0,1),0)</f>
        <v>0</v>
      </c>
      <c r="AZ88" s="23" t="n">
        <f aca="false">IF(AY88=1,IF(COUNTIFS($AW$2:$AW$201,AW88,$AY$2:$AY$201,1,$H$2:$H$201,"&lt;"&amp;H88)+COUNTIFS($AW$2:$AW$201,AW88,$AY$2:$AY$201,1,$H$2:$H$201,H88,$AX$2:$AX$201,"&lt;"&amp;AX88)=0,1,0),0)</f>
        <v>0</v>
      </c>
      <c r="BA88" s="23" t="n">
        <f aca="false">IF(AY88=1,IF(COUNTIFS($A$2:$A$201,$A88,$AY$2:$AY$201,1,$H$2:$H$201,"&gt;"&amp;H88)+COUNTIFS($A$2:$A$201,$A88,$AY$2:$AY$201,1,$H$2:$H$201,H88,$AX$2:$AX$201,"&gt;"&amp;AX88)=0,1,0),0)</f>
        <v>0</v>
      </c>
      <c r="BB88" s="23" t="n">
        <f aca="false">IF(AND(AY88=1,O88="Y",MAX(N(R88),N(V88))&gt;=Config!$B$14),1,0)</f>
        <v>0</v>
      </c>
      <c r="BC88" s="23" t="n">
        <f aca="false">IF(BB88=1,IF(COUNTIFS($AW$2:$AW$201,AW88,$BB$2:$BB$201,1,$H$2:$H$201,"&lt;"&amp;H88)+COUNTIFS($AW$2:$AW$201,AW88,$BB$2:$BB$201,1,$H$2:$H$201,H88,$AX$2:$AX$201,"&lt;"&amp;AX88)=0,1,0),0)</f>
        <v>0</v>
      </c>
      <c r="BD88" s="23" t="n">
        <f aca="false">IF(AND(AY88=1,O88="Y",ISNUMBER(R88)),IF(R88&gt;=Config!$B$14,1,0),0)</f>
        <v>0</v>
      </c>
      <c r="BE88" s="23" t="n">
        <f aca="false">IF(BD88=1,IF(COUNTIFS($AW$2:$AW$201,AW88,$BD$2:$BD$201,1,$H$2:$H$201,"&lt;"&amp;H88)+COUNTIFS($AW$2:$AW$201,AW88,$BD$2:$BD$201,1,$H$2:$H$201,H88,$AX$2:$AX$201,"&lt;"&amp;AX88)=0,1,0),0)</f>
        <v>0</v>
      </c>
      <c r="BF88" s="23" t="n">
        <f aca="false">IF(AND(AY88=1,O88&lt;&gt;"Y",MAX(N(R88),N(V88))&gt;=Config!$B$14),1,0)</f>
        <v>0</v>
      </c>
      <c r="BG88" s="23" t="n">
        <f aca="false">IF(BF88=1,IF(COUNTIFS($AW$2:$AW$201,AW88,$BF$2:$BF$201,1,$H$2:$H$201,"&lt;"&amp;H88)+COUNTIFS($AW$2:$AW$201,AW88,$BF$2:$BF$201,1,$H$2:$H$201,H88,$AX$2:$AX$201,"&lt;"&amp;AX88)=0,1,0),0)</f>
        <v>0</v>
      </c>
      <c r="BH88" s="23" t="n">
        <f aca="false">IF(AND(AY88=1,ISNUMBER(R88)),1,0)</f>
        <v>0</v>
      </c>
      <c r="BI88" s="23" t="n">
        <f aca="false">IF(BH88=1,IF(COUNTIFS($AW$2:$AW$201,AW88,$BH$2:$BH$201,1,$H$2:$H$201,"&lt;"&amp;H88)+COUNTIFS($AW$2:$AW$201,AW88,$BH$2:$BH$201,1,$H$2:$H$201,H88,$AX$2:$AX$201,"&lt;"&amp;AX88)=0,1,0),0)</f>
        <v>0</v>
      </c>
      <c r="BJ88" s="23" t="str">
        <f aca="false">IF(AND(BI88=1,INT(N(H88))&lt;=Config!$B$6),R88,"")</f>
        <v/>
      </c>
      <c r="BK88" s="23" t="str">
        <f aca="false">IF(AND(BI88=1,INT(N(H88))&lt;=Config!$B$7),R88,"")</f>
        <v/>
      </c>
      <c r="BL88" s="23" t="str">
        <f aca="false">IF(AND(BI88=1,INT(N(H88))&lt;=Config!$B$8),R88,"")</f>
        <v/>
      </c>
      <c r="BM88" s="23" t="str">
        <f aca="false">IF(AND(BI88=1,INT(N(H88))&lt;=Config!$B$5),R88,"")</f>
        <v/>
      </c>
      <c r="BN88" s="23" t="n">
        <f aca="false">IF(AND(AY88=1,ISNUMBER(V88)),1,0)</f>
        <v>0</v>
      </c>
      <c r="BO88" s="23" t="n">
        <f aca="false">IF(BN88=1,IF(COUNTIFS($AW$2:$AW$201,AW88,$BN$2:$BN$201,1,$H$2:$H$201,"&lt;"&amp;H88)+COUNTIFS($AW$2:$AW$201,AW88,$BN$2:$BN$201,1,$H$2:$H$201,H88,$AX$2:$AX$201,"&lt;"&amp;AX88)=0,1,0),0)</f>
        <v>0</v>
      </c>
      <c r="BP88" s="23" t="str">
        <f aca="false">IF(AND(BO88=1,INT(N(H88))&lt;=Config!$B$6),V88,"")</f>
        <v/>
      </c>
      <c r="BQ88" s="23" t="str">
        <f aca="false">IF(AND(BO88=1,INT(N(H88))&lt;=Config!$B$7),V88,"")</f>
        <v/>
      </c>
      <c r="BR88" s="23" t="str">
        <f aca="false">IF(AND(BO88=1,INT(N(H88))&lt;=Config!$B$8),V88,"")</f>
        <v/>
      </c>
      <c r="BS88" s="23" t="str">
        <f aca="false">IF(AND(BO88=1,INT(N(H88))&lt;=Config!$B$5),V88,"")</f>
        <v/>
      </c>
      <c r="BT88" s="23" t="n">
        <f aca="false">IF(AND(AY88=1,ISNUMBER(K88)),1,0)</f>
        <v>0</v>
      </c>
      <c r="BU88" s="23" t="n">
        <f aca="false">IF(BT88=1,IF(COUNTIFS($AW$2:$AW$201,AW88,$BT$2:$BT$201,1,$H$2:$H$201,"&lt;"&amp;H88)+COUNTIFS($AW$2:$AW$201,AW88,$BT$2:$BT$201,1,$H$2:$H$201,H88,$AX$2:$AX$201,"&lt;"&amp;AX88)=0,1,0),0)</f>
        <v>0</v>
      </c>
      <c r="BV88" s="23" t="str">
        <f aca="false">IF(AND(BU88=1,INT(N(H88))&lt;=Config!$B$5),K88,"")</f>
        <v/>
      </c>
      <c r="BW88" s="23" t="n">
        <f aca="false">IF(AND(AY88=1,OR(AND(ISNUMBER(R88),TRIM(S88)=""),AND(ISNUMBER(V88),TRIM(W88)=""))),1,0)</f>
        <v>0</v>
      </c>
      <c r="BX88" s="23" t="str">
        <f aca="false">IF(AY88=1,AJ88&amp;"","")</f>
        <v/>
      </c>
      <c r="BY88" s="23" t="str">
        <f aca="false">IF(AY88=1,AK88&amp;"","")</f>
        <v/>
      </c>
      <c r="BZ88" s="23" t="str">
        <f aca="false">IF(AY88=1,AL88&amp;"","")</f>
        <v/>
      </c>
      <c r="CA88" s="23" t="str">
        <f aca="false">IF(AND(AY88=1,ISNUMBER(AS88),INT(N(H88))&lt;=Config!$B$5),AS88,"")</f>
        <v/>
      </c>
      <c r="CB88" s="23" t="str">
        <f aca="false">IF(AY88=1,IF(COUNTIFS($A$2:$A$201,$A88,$CU$2:$CU$201,1,$AN$2:$AN$201,"Y")&gt;0,"Y","N"),"")</f>
        <v/>
      </c>
      <c r="CC88" s="23" t="n">
        <f aca="false">IF(AND(AY88=1,AN88="Y"),IF(COUNTIFS($AW$2:$AW$201,AW88,$AN$2:$AN$201,"Y",$AY$2:$AY$201,1,$H$2:$H$201,"&lt;"&amp;H88)+COUNTIFS($AW$2:$AW$201,AW88,$AN$2:$AN$201,"Y",$AY$2:$AY$201,1,$H$2:$H$201,H88,$AX$2:$AX$201,"&lt;"&amp;AX88)=0,1,0),0)</f>
        <v>0</v>
      </c>
      <c r="CD88" s="23" t="n">
        <f aca="false">IF(AND(AY88=1,AB88="Y",AC88="Y",AD88="Y",AE88="Y",AF88="Y",AG88="Y",AI88="Y",TRIM(AH88)&lt;&gt;""),1,0)</f>
        <v>0</v>
      </c>
      <c r="CE88" s="23" t="n">
        <f aca="false">IF(CD88=1,IF(COUNTIFS($AW$2:$AW$201,AW88,$CD$2:$CD$201,1,$H$2:$H$201,"&lt;"&amp;H88)+COUNTIFS($AW$2:$AW$201,AW88,$CD$2:$CD$201,1,$H$2:$H$201,H88,$AX$2:$AX$201,"&lt;"&amp;AX88)=0,1,0),0)</f>
        <v>0</v>
      </c>
      <c r="CF88" s="23" t="n">
        <f aca="false">IF(AND(AY88=1,AO88="Y"),1,0)</f>
        <v>0</v>
      </c>
      <c r="CG88" s="23" t="n">
        <f aca="false">IF(CF88=1,IF(COUNTIFS($AW$2:$AW$201,AW88,$CF$2:$CF$201,1,$H$2:$H$201,"&lt;"&amp;H88)+COUNTIFS($AW$2:$AW$201,AW88,$CF$2:$CF$201,1,$H$2:$H$201,H88,$AX$2:$AX$201,"&lt;"&amp;AX88)=0,1,0),0)</f>
        <v>0</v>
      </c>
      <c r="CH88" s="23" t="n">
        <f aca="false">IF(AND(AY88=1,P88="Y"),1,0)</f>
        <v>0</v>
      </c>
      <c r="CI88" s="23" t="n">
        <f aca="false">IF(CH88=1,IF(COUNTIFS($AW$2:$AW$201,AW88,$CH$2:$CH$201,1,$H$2:$H$201,"&lt;"&amp;H88)+COUNTIFS($AW$2:$AW$201,AW88,$CH$2:$CH$201,1,$H$2:$H$201,H88,$AX$2:$AX$201,"&lt;"&amp;AX88)=0,1,0),0)</f>
        <v>0</v>
      </c>
      <c r="CJ88" s="23" t="str">
        <f aca="false">IF(AND(BU88=1,INT(N(H88))&lt;=Config!$B$5),L88,"")</f>
        <v/>
      </c>
      <c r="CK88" s="23" t="n">
        <f aca="false">IF(AND(AY88=1,AR88="Y"),1,0)</f>
        <v>0</v>
      </c>
      <c r="CL88" s="23" t="n">
        <f aca="false">IF(CK88=1,IF(COUNTIFS($AW$2:$AW$201,AW88,$CK$2:$CK$201,1,$H$2:$H$201,"&lt;"&amp;H88)+COUNTIFS($AW$2:$AW$201,AW88,$CK$2:$CK$201,1,$H$2:$H$201,H88,$AX$2:$AX$201,"&lt;"&amp;AX88)=0,1,0),0)</f>
        <v>0</v>
      </c>
      <c r="CM88" s="23" t="str">
        <f aca="false">IF(AY88=1,IFERROR(MATCH($A88,INDEX(Clay_Brands!$A$2:$FZ$601,0,Sync!$D$5),0),""),"")</f>
        <v/>
      </c>
      <c r="CN88" s="23" t="str">
        <f aca="false">IF(CM88="","",IFERROR(INDEX(Clay_Brands!$A$2:$FZ$601,CM88,Sync!$D$7)&amp;"",""))</f>
        <v/>
      </c>
      <c r="CO88" s="23" t="str">
        <f aca="false">IF(CN88="","",IFERROR(INDEX(Lists!$K$2:$K$15,MATCH(CN88,Lists!$J$2:$J$15,0)),""))</f>
        <v/>
      </c>
      <c r="CP88" s="23" t="str">
        <f aca="false">IF(CM88="","",IFERROR(INDEX(Clay_Brands!$A$2:$FZ$601,CM88,Sync!$D$17)&amp;"",""))</f>
        <v/>
      </c>
      <c r="CQ88" s="35" t="str">
        <f aca="false">IF(CM88="","",IFERROR(N(INDEX(Clay_Brands!$A$2:$FZ$601,CM88,Sync!$D$16)),0))</f>
        <v/>
      </c>
      <c r="CR88" s="23" t="n">
        <f aca="false">IF(AND(AY88=1,OR(O88="N",AND(OR(ISNUMBER(R88),ISNUMBER(V88)),MAX(N(R88),N(V88))&lt;Config!$B$14))),1,0)</f>
        <v>0</v>
      </c>
      <c r="CS88" s="23" t="n">
        <f aca="false">IF(OR(BB88=1,CR88=1),1,0)</f>
        <v>0</v>
      </c>
      <c r="CT88" s="23" t="n">
        <f aca="false">IF(AND(AY88=1,OR(AN88="Y",AN88="N",AN88="maybe")),1,0)</f>
        <v>0</v>
      </c>
      <c r="CU88" s="23" t="n">
        <f aca="false">IF(AND(CT88=1),IF(COUNTIFS($A$2:$A$201,$A88,$CT$2:$CT$201,1,$H$2:$H$201,"&gt;"&amp;H88)+COUNTIFS($A$2:$A$201,$A88,$CT$2:$CT$201,1,$H$2:$H$201,H88,$AX$2:$AX$201,"&gt;"&amp;AX88)=0,1,0),0)</f>
        <v>0</v>
      </c>
      <c r="CV88" s="23" t="n">
        <f aca="false">IF(AND(CS88=1,INT(N(H88))&lt;=Config!$B$6),IF(COUNTIFS($AW$2:$AW$201,AW88,$CS$2:$CS$201,1,$H$2:$H$201,"&gt;"&amp;H88,$H$2:$H$201,"&lt;"&amp;(Config!$B$6+1))+COUNTIFS($AW$2:$AW$201,AW88,$CS$2:$CS$201,1,$H$2:$H$201,H88,$AX$2:$AX$201,"&gt;"&amp;AX88)=0,1,0),0)</f>
        <v>0</v>
      </c>
      <c r="CW88" s="23" t="n">
        <f aca="false">IF(AND(CS88=1,INT(N(H88))&lt;=Config!$B$7),IF(COUNTIFS($AW$2:$AW$201,AW88,$CS$2:$CS$201,1,$H$2:$H$201,"&gt;"&amp;H88,$H$2:$H$201,"&lt;"&amp;(Config!$B$7+1))+COUNTIFS($AW$2:$AW$201,AW88,$CS$2:$CS$201,1,$H$2:$H$201,H88,$AX$2:$AX$201,"&gt;"&amp;AX88)=0,1,0),0)</f>
        <v>0</v>
      </c>
      <c r="CX88" s="23" t="n">
        <f aca="false">IF(AND(CS88=1,INT(N(H88))&lt;=Config!$B$8),IF(COUNTIFS($AW$2:$AW$201,AW88,$CS$2:$CS$201,1,$H$2:$H$201,"&gt;"&amp;H88,$H$2:$H$201,"&lt;"&amp;(Config!$B$8+1))+COUNTIFS($AW$2:$AW$201,AW88,$CS$2:$CS$201,1,$H$2:$H$201,H88,$AX$2:$AX$201,"&gt;"&amp;AX88)=0,1,0),0)</f>
        <v>0</v>
      </c>
      <c r="CY88" s="23" t="n">
        <f aca="false">IF(AND(CS88=1,INT(N(H88))&lt;=Config!$B$5),IF(COUNTIFS($AW$2:$AW$201,AW88,$CS$2:$CS$201,1,$H$2:$H$201,"&gt;"&amp;H88,$H$2:$H$201,"&lt;"&amp;(Config!$B$5+1))+COUNTIFS($AW$2:$AW$201,AW88,$CS$2:$CS$201,1,$H$2:$H$201,H88,$AX$2:$AX$201,"&gt;"&amp;AX88)=0,1,0),0)</f>
        <v>0</v>
      </c>
      <c r="CZ88" s="23" t="n">
        <f aca="false">IF(AY88=1,IF(COUNTIFS($AW$2:$AW$201,AW88,$CV$2:$CV$201,1,$BB$2:$BB$201,1)&gt;0,1,0),0)</f>
        <v>0</v>
      </c>
      <c r="DA88" s="23" t="n">
        <f aca="false">IF(AY88=1,IF(COUNTIFS($AW$2:$AW$201,AW88,$CW$2:$CW$201,1,$BB$2:$BB$201,1)&gt;0,1,0),0)</f>
        <v>0</v>
      </c>
      <c r="DB88" s="23" t="n">
        <f aca="false">IF(AY88=1,IF(COUNTIFS($AW$2:$AW$201,AW88,$CX$2:$CX$201,1,$BB$2:$BB$201,1)&gt;0,1,0),0)</f>
        <v>0</v>
      </c>
      <c r="DC88" s="23" t="n">
        <f aca="false">IF(AY88=1,IF(COUNTIFS($AW$2:$AW$201,AW88,$CY$2:$CY$201,1,$BB$2:$BB$201,1)&gt;0,1,0),0)</f>
        <v>0</v>
      </c>
      <c r="DD88" s="23" t="n">
        <f aca="false">IF(AND(BC88=1,INT(N(H88))&lt;=Config!$B$6,CZ88=1),1,0)</f>
        <v>0</v>
      </c>
      <c r="DE88" s="23" t="n">
        <f aca="false">IF(AND(BC88=1,INT(N(H88))&lt;=Config!$B$7,DA88=1),1,0)</f>
        <v>0</v>
      </c>
      <c r="DF88" s="23" t="n">
        <f aca="false">IF(AND(BC88=1,INT(N(H88))&lt;=Config!$B$8,DB88=1),1,0)</f>
        <v>0</v>
      </c>
      <c r="DG88" s="23" t="n">
        <f aca="false">IF(AND(BC88=1,INT(N(H88))&lt;=Config!$B$5,DC88=1),1,0)</f>
        <v>0</v>
      </c>
      <c r="DH88" s="23" t="n">
        <f aca="false">IF(AND(BE88=1,INT(N(H88))&lt;=Config!$B$6,CZ88=1),1,0)</f>
        <v>0</v>
      </c>
      <c r="DI88" s="23" t="n">
        <f aca="false">IF(AND(BE88=1,INT(N(H88))&lt;=Config!$B$7,DA88=1),1,0)</f>
        <v>0</v>
      </c>
      <c r="DJ88" s="23" t="n">
        <f aca="false">IF(AND(BE88=1,INT(N(H88))&lt;=Config!$B$8,DB88=1),1,0)</f>
        <v>0</v>
      </c>
      <c r="DK88" s="23" t="n">
        <f aca="false">IF(AND(BE88=1,INT(N(H88))&lt;=Config!$B$5,DC88=1),1,0)</f>
        <v>0</v>
      </c>
      <c r="DL88" s="23" t="n">
        <f aca="false">IF(AND(BC88=1,INT(N(H88))&lt;=Config!$B$6,CZ88=0),1,0)</f>
        <v>0</v>
      </c>
      <c r="DM88" s="23" t="n">
        <f aca="false">IF(AND(BC88=1,INT(N(H88))&lt;=Config!$B$7,DA88=0),1,0)</f>
        <v>0</v>
      </c>
      <c r="DN88" s="23" t="n">
        <f aca="false">IF(AND(BC88=1,INT(N(H88))&lt;=Config!$B$8,DB88=0),1,0)</f>
        <v>0</v>
      </c>
      <c r="DO88" s="23" t="n">
        <f aca="false">IF(AND(BC88=1,INT(N(H88))&lt;=Config!$B$5,DC88=0),1,0)</f>
        <v>0</v>
      </c>
      <c r="DP88" s="23" t="n">
        <f aca="false">IF(TRIM($A88)="",0,ISTEXT(K88)+ISTEXT(L88)+ISTEXT(R88)+ISTEXT(V88)+ISTEXT(AP88)+ISTEXT(AS88))</f>
        <v>0</v>
      </c>
      <c r="DQ88" s="23" t="n">
        <f aca="false">IF(AY88=1,IF(H88&lt;&gt;INT(H88),1,0),0)</f>
        <v>0</v>
      </c>
      <c r="DR88" s="23" t="str">
        <f aca="false">IF(TRIM($A88)="","",IF(TRIM(B88)="",SUBSTITUTE(SUBSTITUTE(SUBSTITUTE(SUBSTITUTE(SUBSTITUTE(SUBSTITUTE(LOWER(TRIM($A88)),"~",""),"*",""),"?",""),"&lt;",""),"&gt;",""),"=",""),SUBSTITUTE(SUBSTITUTE(SUBSTITUTE(SUBSTITUTE(SUBSTITUTE(SUBSTITUTE(LOWER(TRIM(B88)),"~",""),"*",""),"?",""),"&lt;",""),"&gt;",""),"=","")))</f>
        <v/>
      </c>
      <c r="DS88" s="23" t="str">
        <f aca="false">IF(CM88="","",IFERROR(IF(LEFT(LOWER(TRIM(INDEX(Clay_Brands!$A$2:$FZ$601,CM88,Sync!$D$19)&amp;"")),4)="grp-",SUBSTITUTE(SUBSTITUTE(SUBSTITUTE(SUBSTITUTE(SUBSTITUTE(SUBSTITUTE(LOWER(TRIM(INDEX(Clay_Brands!$A$2:$FZ$601,CM88,Sync!$D$19)&amp;"")),"~",""),"*",""),"?",""),"&lt;",""),"&gt;",""),"=",""),""),""))</f>
        <v/>
      </c>
      <c r="DT88" s="23" t="str">
        <f aca="false">IF(DS88&lt;&gt;"",DR88,"")</f>
        <v/>
      </c>
      <c r="DU88" s="23" t="str">
        <f aca="false">IF(AZ88=1,AW88,"")</f>
        <v/>
      </c>
      <c r="DV88" s="23" t="str">
        <f aca="false">IF(TRIM($A88)="","",IFERROR(INDEX($A$2:$A$201,MATCH(AW88,$DU$2:$DU$201,0))&amp;"",$A88&amp;""))</f>
        <v/>
      </c>
      <c r="DW88" s="23" t="n">
        <f aca="false">IF(AY88=1,IF(COUNTIFS($A$2:$A$201,$A88,$AY$2:$AY$201,1,$H$2:$H$201,"&lt;"&amp;H88)+COUNTIFS($A$2:$A$201,$A88,$AY$2:$AY$201,1,$H$2:$H$201,H88,$AX$2:$AX$201,"&lt;"&amp;AX88)=0,1,0),0)</f>
        <v>0</v>
      </c>
      <c r="DX88" s="23" t="n">
        <f aca="false">IF(AZ88=1,IF(COUNTIFS($AW$2:$AW$201,AW88,$DW$2:$DW$201,1)&gt;1,1,0),0)</f>
        <v>0</v>
      </c>
    </row>
    <row r="89" customFormat="false" ht="15" hidden="false" customHeight="false" outlineLevel="0" collapsed="false">
      <c r="G89" s="32"/>
      <c r="H89" s="33"/>
      <c r="I89" s="32"/>
      <c r="O89" s="32"/>
      <c r="P89" s="32"/>
      <c r="U89" s="32"/>
      <c r="Y89" s="32"/>
      <c r="AB89" s="32"/>
      <c r="AC89" s="32"/>
      <c r="AD89" s="32"/>
      <c r="AE89" s="32"/>
      <c r="AF89" s="32"/>
      <c r="AG89" s="32"/>
      <c r="AI89" s="32"/>
      <c r="AJ89" s="32"/>
      <c r="AK89" s="32"/>
      <c r="AN89" s="32"/>
      <c r="AO89" s="32"/>
      <c r="AR89" s="32"/>
      <c r="AT89" s="32"/>
      <c r="AV89" s="34" t="str">
        <f aca="false">IF(TRIM($A89)="","",IF(AND(LEFT($A89,6)="SAMPLE",Config!$B$19&lt;&gt;"Y"),"",IF(NOT(ISNUMBER(H89)),"call_date is blank or not a date",IF(Sync!$D$5="","Clay paste is empty or has no row_id column: paste the Clay export on Clay_Brands",IF(CM89="","row_id not found in the Clay paste: add the Clay row or fix the row_id",IF(AND(ISNUMBER(CO89),CO89&gt;=1,CO89&lt;=5),"Clay status is "&amp;CN89&amp;": set call_done or later",IF(AND(BA89=1,CP89&lt;&gt;CB89),"Clay yes_in_principle should be "&amp;CB89,IF(AND(BA89=1,CQ89&lt;&gt;H89),"Clay call_date should be "&amp;TEXT(H89,"yyyy-mm-dd"),""))))))))</f>
        <v/>
      </c>
      <c r="AW89" s="23" t="str">
        <f aca="false">IF(TRIM($A89)="","",IF(TRIM(C89)&lt;&gt;"",SUBSTITUTE(SUBSTITUTE(SUBSTITUTE(SUBSTITUTE(SUBSTITUTE(SUBSTITUTE(LOWER(TRIM(C89)),"~",""),"*",""),"?",""),"&lt;",""),"&gt;",""),"=",""),IF(DS89&lt;&gt;"",DS89,IFERROR(INDEX($DS$2:$DS$201,MATCH(DR89,$DT$2:$DT$201,0)),DR89))))</f>
        <v/>
      </c>
      <c r="AX89" s="23" t="n">
        <f aca="false">ROW()</f>
        <v>89</v>
      </c>
      <c r="AY89" s="23" t="n">
        <f aca="false">IF(AND(TRIM($A89)&lt;&gt;"",ISNUMBER(H89)),IF(AND(LEFT($A89,6)="SAMPLE",Config!$B$19&lt;&gt;"Y"),0,1),0)</f>
        <v>0</v>
      </c>
      <c r="AZ89" s="23" t="n">
        <f aca="false">IF(AY89=1,IF(COUNTIFS($AW$2:$AW$201,AW89,$AY$2:$AY$201,1,$H$2:$H$201,"&lt;"&amp;H89)+COUNTIFS($AW$2:$AW$201,AW89,$AY$2:$AY$201,1,$H$2:$H$201,H89,$AX$2:$AX$201,"&lt;"&amp;AX89)=0,1,0),0)</f>
        <v>0</v>
      </c>
      <c r="BA89" s="23" t="n">
        <f aca="false">IF(AY89=1,IF(COUNTIFS($A$2:$A$201,$A89,$AY$2:$AY$201,1,$H$2:$H$201,"&gt;"&amp;H89)+COUNTIFS($A$2:$A$201,$A89,$AY$2:$AY$201,1,$H$2:$H$201,H89,$AX$2:$AX$201,"&gt;"&amp;AX89)=0,1,0),0)</f>
        <v>0</v>
      </c>
      <c r="BB89" s="23" t="n">
        <f aca="false">IF(AND(AY89=1,O89="Y",MAX(N(R89),N(V89))&gt;=Config!$B$14),1,0)</f>
        <v>0</v>
      </c>
      <c r="BC89" s="23" t="n">
        <f aca="false">IF(BB89=1,IF(COUNTIFS($AW$2:$AW$201,AW89,$BB$2:$BB$201,1,$H$2:$H$201,"&lt;"&amp;H89)+COUNTIFS($AW$2:$AW$201,AW89,$BB$2:$BB$201,1,$H$2:$H$201,H89,$AX$2:$AX$201,"&lt;"&amp;AX89)=0,1,0),0)</f>
        <v>0</v>
      </c>
      <c r="BD89" s="23" t="n">
        <f aca="false">IF(AND(AY89=1,O89="Y",ISNUMBER(R89)),IF(R89&gt;=Config!$B$14,1,0),0)</f>
        <v>0</v>
      </c>
      <c r="BE89" s="23" t="n">
        <f aca="false">IF(BD89=1,IF(COUNTIFS($AW$2:$AW$201,AW89,$BD$2:$BD$201,1,$H$2:$H$201,"&lt;"&amp;H89)+COUNTIFS($AW$2:$AW$201,AW89,$BD$2:$BD$201,1,$H$2:$H$201,H89,$AX$2:$AX$201,"&lt;"&amp;AX89)=0,1,0),0)</f>
        <v>0</v>
      </c>
      <c r="BF89" s="23" t="n">
        <f aca="false">IF(AND(AY89=1,O89&lt;&gt;"Y",MAX(N(R89),N(V89))&gt;=Config!$B$14),1,0)</f>
        <v>0</v>
      </c>
      <c r="BG89" s="23" t="n">
        <f aca="false">IF(BF89=1,IF(COUNTIFS($AW$2:$AW$201,AW89,$BF$2:$BF$201,1,$H$2:$H$201,"&lt;"&amp;H89)+COUNTIFS($AW$2:$AW$201,AW89,$BF$2:$BF$201,1,$H$2:$H$201,H89,$AX$2:$AX$201,"&lt;"&amp;AX89)=0,1,0),0)</f>
        <v>0</v>
      </c>
      <c r="BH89" s="23" t="n">
        <f aca="false">IF(AND(AY89=1,ISNUMBER(R89)),1,0)</f>
        <v>0</v>
      </c>
      <c r="BI89" s="23" t="n">
        <f aca="false">IF(BH89=1,IF(COUNTIFS($AW$2:$AW$201,AW89,$BH$2:$BH$201,1,$H$2:$H$201,"&lt;"&amp;H89)+COUNTIFS($AW$2:$AW$201,AW89,$BH$2:$BH$201,1,$H$2:$H$201,H89,$AX$2:$AX$201,"&lt;"&amp;AX89)=0,1,0),0)</f>
        <v>0</v>
      </c>
      <c r="BJ89" s="23" t="str">
        <f aca="false">IF(AND(BI89=1,INT(N(H89))&lt;=Config!$B$6),R89,"")</f>
        <v/>
      </c>
      <c r="BK89" s="23" t="str">
        <f aca="false">IF(AND(BI89=1,INT(N(H89))&lt;=Config!$B$7),R89,"")</f>
        <v/>
      </c>
      <c r="BL89" s="23" t="str">
        <f aca="false">IF(AND(BI89=1,INT(N(H89))&lt;=Config!$B$8),R89,"")</f>
        <v/>
      </c>
      <c r="BM89" s="23" t="str">
        <f aca="false">IF(AND(BI89=1,INT(N(H89))&lt;=Config!$B$5),R89,"")</f>
        <v/>
      </c>
      <c r="BN89" s="23" t="n">
        <f aca="false">IF(AND(AY89=1,ISNUMBER(V89)),1,0)</f>
        <v>0</v>
      </c>
      <c r="BO89" s="23" t="n">
        <f aca="false">IF(BN89=1,IF(COUNTIFS($AW$2:$AW$201,AW89,$BN$2:$BN$201,1,$H$2:$H$201,"&lt;"&amp;H89)+COUNTIFS($AW$2:$AW$201,AW89,$BN$2:$BN$201,1,$H$2:$H$201,H89,$AX$2:$AX$201,"&lt;"&amp;AX89)=0,1,0),0)</f>
        <v>0</v>
      </c>
      <c r="BP89" s="23" t="str">
        <f aca="false">IF(AND(BO89=1,INT(N(H89))&lt;=Config!$B$6),V89,"")</f>
        <v/>
      </c>
      <c r="BQ89" s="23" t="str">
        <f aca="false">IF(AND(BO89=1,INT(N(H89))&lt;=Config!$B$7),V89,"")</f>
        <v/>
      </c>
      <c r="BR89" s="23" t="str">
        <f aca="false">IF(AND(BO89=1,INT(N(H89))&lt;=Config!$B$8),V89,"")</f>
        <v/>
      </c>
      <c r="BS89" s="23" t="str">
        <f aca="false">IF(AND(BO89=1,INT(N(H89))&lt;=Config!$B$5),V89,"")</f>
        <v/>
      </c>
      <c r="BT89" s="23" t="n">
        <f aca="false">IF(AND(AY89=1,ISNUMBER(K89)),1,0)</f>
        <v>0</v>
      </c>
      <c r="BU89" s="23" t="n">
        <f aca="false">IF(BT89=1,IF(COUNTIFS($AW$2:$AW$201,AW89,$BT$2:$BT$201,1,$H$2:$H$201,"&lt;"&amp;H89)+COUNTIFS($AW$2:$AW$201,AW89,$BT$2:$BT$201,1,$H$2:$H$201,H89,$AX$2:$AX$201,"&lt;"&amp;AX89)=0,1,0),0)</f>
        <v>0</v>
      </c>
      <c r="BV89" s="23" t="str">
        <f aca="false">IF(AND(BU89=1,INT(N(H89))&lt;=Config!$B$5),K89,"")</f>
        <v/>
      </c>
      <c r="BW89" s="23" t="n">
        <f aca="false">IF(AND(AY89=1,OR(AND(ISNUMBER(R89),TRIM(S89)=""),AND(ISNUMBER(V89),TRIM(W89)=""))),1,0)</f>
        <v>0</v>
      </c>
      <c r="BX89" s="23" t="str">
        <f aca="false">IF(AY89=1,AJ89&amp;"","")</f>
        <v/>
      </c>
      <c r="BY89" s="23" t="str">
        <f aca="false">IF(AY89=1,AK89&amp;"","")</f>
        <v/>
      </c>
      <c r="BZ89" s="23" t="str">
        <f aca="false">IF(AY89=1,AL89&amp;"","")</f>
        <v/>
      </c>
      <c r="CA89" s="23" t="str">
        <f aca="false">IF(AND(AY89=1,ISNUMBER(AS89),INT(N(H89))&lt;=Config!$B$5),AS89,"")</f>
        <v/>
      </c>
      <c r="CB89" s="23" t="str">
        <f aca="false">IF(AY89=1,IF(COUNTIFS($A$2:$A$201,$A89,$CU$2:$CU$201,1,$AN$2:$AN$201,"Y")&gt;0,"Y","N"),"")</f>
        <v/>
      </c>
      <c r="CC89" s="23" t="n">
        <f aca="false">IF(AND(AY89=1,AN89="Y"),IF(COUNTIFS($AW$2:$AW$201,AW89,$AN$2:$AN$201,"Y",$AY$2:$AY$201,1,$H$2:$H$201,"&lt;"&amp;H89)+COUNTIFS($AW$2:$AW$201,AW89,$AN$2:$AN$201,"Y",$AY$2:$AY$201,1,$H$2:$H$201,H89,$AX$2:$AX$201,"&lt;"&amp;AX89)=0,1,0),0)</f>
        <v>0</v>
      </c>
      <c r="CD89" s="23" t="n">
        <f aca="false">IF(AND(AY89=1,AB89="Y",AC89="Y",AD89="Y",AE89="Y",AF89="Y",AG89="Y",AI89="Y",TRIM(AH89)&lt;&gt;""),1,0)</f>
        <v>0</v>
      </c>
      <c r="CE89" s="23" t="n">
        <f aca="false">IF(CD89=1,IF(COUNTIFS($AW$2:$AW$201,AW89,$CD$2:$CD$201,1,$H$2:$H$201,"&lt;"&amp;H89)+COUNTIFS($AW$2:$AW$201,AW89,$CD$2:$CD$201,1,$H$2:$H$201,H89,$AX$2:$AX$201,"&lt;"&amp;AX89)=0,1,0),0)</f>
        <v>0</v>
      </c>
      <c r="CF89" s="23" t="n">
        <f aca="false">IF(AND(AY89=1,AO89="Y"),1,0)</f>
        <v>0</v>
      </c>
      <c r="CG89" s="23" t="n">
        <f aca="false">IF(CF89=1,IF(COUNTIFS($AW$2:$AW$201,AW89,$CF$2:$CF$201,1,$H$2:$H$201,"&lt;"&amp;H89)+COUNTIFS($AW$2:$AW$201,AW89,$CF$2:$CF$201,1,$H$2:$H$201,H89,$AX$2:$AX$201,"&lt;"&amp;AX89)=0,1,0),0)</f>
        <v>0</v>
      </c>
      <c r="CH89" s="23" t="n">
        <f aca="false">IF(AND(AY89=1,P89="Y"),1,0)</f>
        <v>0</v>
      </c>
      <c r="CI89" s="23" t="n">
        <f aca="false">IF(CH89=1,IF(COUNTIFS($AW$2:$AW$201,AW89,$CH$2:$CH$201,1,$H$2:$H$201,"&lt;"&amp;H89)+COUNTIFS($AW$2:$AW$201,AW89,$CH$2:$CH$201,1,$H$2:$H$201,H89,$AX$2:$AX$201,"&lt;"&amp;AX89)=0,1,0),0)</f>
        <v>0</v>
      </c>
      <c r="CJ89" s="23" t="str">
        <f aca="false">IF(AND(BU89=1,INT(N(H89))&lt;=Config!$B$5),L89,"")</f>
        <v/>
      </c>
      <c r="CK89" s="23" t="n">
        <f aca="false">IF(AND(AY89=1,AR89="Y"),1,0)</f>
        <v>0</v>
      </c>
      <c r="CL89" s="23" t="n">
        <f aca="false">IF(CK89=1,IF(COUNTIFS($AW$2:$AW$201,AW89,$CK$2:$CK$201,1,$H$2:$H$201,"&lt;"&amp;H89)+COUNTIFS($AW$2:$AW$201,AW89,$CK$2:$CK$201,1,$H$2:$H$201,H89,$AX$2:$AX$201,"&lt;"&amp;AX89)=0,1,0),0)</f>
        <v>0</v>
      </c>
      <c r="CM89" s="23" t="str">
        <f aca="false">IF(AY89=1,IFERROR(MATCH($A89,INDEX(Clay_Brands!$A$2:$FZ$601,0,Sync!$D$5),0),""),"")</f>
        <v/>
      </c>
      <c r="CN89" s="23" t="str">
        <f aca="false">IF(CM89="","",IFERROR(INDEX(Clay_Brands!$A$2:$FZ$601,CM89,Sync!$D$7)&amp;"",""))</f>
        <v/>
      </c>
      <c r="CO89" s="23" t="str">
        <f aca="false">IF(CN89="","",IFERROR(INDEX(Lists!$K$2:$K$15,MATCH(CN89,Lists!$J$2:$J$15,0)),""))</f>
        <v/>
      </c>
      <c r="CP89" s="23" t="str">
        <f aca="false">IF(CM89="","",IFERROR(INDEX(Clay_Brands!$A$2:$FZ$601,CM89,Sync!$D$17)&amp;"",""))</f>
        <v/>
      </c>
      <c r="CQ89" s="35" t="str">
        <f aca="false">IF(CM89="","",IFERROR(N(INDEX(Clay_Brands!$A$2:$FZ$601,CM89,Sync!$D$16)),0))</f>
        <v/>
      </c>
      <c r="CR89" s="23" t="n">
        <f aca="false">IF(AND(AY89=1,OR(O89="N",AND(OR(ISNUMBER(R89),ISNUMBER(V89)),MAX(N(R89),N(V89))&lt;Config!$B$14))),1,0)</f>
        <v>0</v>
      </c>
      <c r="CS89" s="23" t="n">
        <f aca="false">IF(OR(BB89=1,CR89=1),1,0)</f>
        <v>0</v>
      </c>
      <c r="CT89" s="23" t="n">
        <f aca="false">IF(AND(AY89=1,OR(AN89="Y",AN89="N",AN89="maybe")),1,0)</f>
        <v>0</v>
      </c>
      <c r="CU89" s="23" t="n">
        <f aca="false">IF(AND(CT89=1),IF(COUNTIFS($A$2:$A$201,$A89,$CT$2:$CT$201,1,$H$2:$H$201,"&gt;"&amp;H89)+COUNTIFS($A$2:$A$201,$A89,$CT$2:$CT$201,1,$H$2:$H$201,H89,$AX$2:$AX$201,"&gt;"&amp;AX89)=0,1,0),0)</f>
        <v>0</v>
      </c>
      <c r="CV89" s="23" t="n">
        <f aca="false">IF(AND(CS89=1,INT(N(H89))&lt;=Config!$B$6),IF(COUNTIFS($AW$2:$AW$201,AW89,$CS$2:$CS$201,1,$H$2:$H$201,"&gt;"&amp;H89,$H$2:$H$201,"&lt;"&amp;(Config!$B$6+1))+COUNTIFS($AW$2:$AW$201,AW89,$CS$2:$CS$201,1,$H$2:$H$201,H89,$AX$2:$AX$201,"&gt;"&amp;AX89)=0,1,0),0)</f>
        <v>0</v>
      </c>
      <c r="CW89" s="23" t="n">
        <f aca="false">IF(AND(CS89=1,INT(N(H89))&lt;=Config!$B$7),IF(COUNTIFS($AW$2:$AW$201,AW89,$CS$2:$CS$201,1,$H$2:$H$201,"&gt;"&amp;H89,$H$2:$H$201,"&lt;"&amp;(Config!$B$7+1))+COUNTIFS($AW$2:$AW$201,AW89,$CS$2:$CS$201,1,$H$2:$H$201,H89,$AX$2:$AX$201,"&gt;"&amp;AX89)=0,1,0),0)</f>
        <v>0</v>
      </c>
      <c r="CX89" s="23" t="n">
        <f aca="false">IF(AND(CS89=1,INT(N(H89))&lt;=Config!$B$8),IF(COUNTIFS($AW$2:$AW$201,AW89,$CS$2:$CS$201,1,$H$2:$H$201,"&gt;"&amp;H89,$H$2:$H$201,"&lt;"&amp;(Config!$B$8+1))+COUNTIFS($AW$2:$AW$201,AW89,$CS$2:$CS$201,1,$H$2:$H$201,H89,$AX$2:$AX$201,"&gt;"&amp;AX89)=0,1,0),0)</f>
        <v>0</v>
      </c>
      <c r="CY89" s="23" t="n">
        <f aca="false">IF(AND(CS89=1,INT(N(H89))&lt;=Config!$B$5),IF(COUNTIFS($AW$2:$AW$201,AW89,$CS$2:$CS$201,1,$H$2:$H$201,"&gt;"&amp;H89,$H$2:$H$201,"&lt;"&amp;(Config!$B$5+1))+COUNTIFS($AW$2:$AW$201,AW89,$CS$2:$CS$201,1,$H$2:$H$201,H89,$AX$2:$AX$201,"&gt;"&amp;AX89)=0,1,0),0)</f>
        <v>0</v>
      </c>
      <c r="CZ89" s="23" t="n">
        <f aca="false">IF(AY89=1,IF(COUNTIFS($AW$2:$AW$201,AW89,$CV$2:$CV$201,1,$BB$2:$BB$201,1)&gt;0,1,0),0)</f>
        <v>0</v>
      </c>
      <c r="DA89" s="23" t="n">
        <f aca="false">IF(AY89=1,IF(COUNTIFS($AW$2:$AW$201,AW89,$CW$2:$CW$201,1,$BB$2:$BB$201,1)&gt;0,1,0),0)</f>
        <v>0</v>
      </c>
      <c r="DB89" s="23" t="n">
        <f aca="false">IF(AY89=1,IF(COUNTIFS($AW$2:$AW$201,AW89,$CX$2:$CX$201,1,$BB$2:$BB$201,1)&gt;0,1,0),0)</f>
        <v>0</v>
      </c>
      <c r="DC89" s="23" t="n">
        <f aca="false">IF(AY89=1,IF(COUNTIFS($AW$2:$AW$201,AW89,$CY$2:$CY$201,1,$BB$2:$BB$201,1)&gt;0,1,0),0)</f>
        <v>0</v>
      </c>
      <c r="DD89" s="23" t="n">
        <f aca="false">IF(AND(BC89=1,INT(N(H89))&lt;=Config!$B$6,CZ89=1),1,0)</f>
        <v>0</v>
      </c>
      <c r="DE89" s="23" t="n">
        <f aca="false">IF(AND(BC89=1,INT(N(H89))&lt;=Config!$B$7,DA89=1),1,0)</f>
        <v>0</v>
      </c>
      <c r="DF89" s="23" t="n">
        <f aca="false">IF(AND(BC89=1,INT(N(H89))&lt;=Config!$B$8,DB89=1),1,0)</f>
        <v>0</v>
      </c>
      <c r="DG89" s="23" t="n">
        <f aca="false">IF(AND(BC89=1,INT(N(H89))&lt;=Config!$B$5,DC89=1),1,0)</f>
        <v>0</v>
      </c>
      <c r="DH89" s="23" t="n">
        <f aca="false">IF(AND(BE89=1,INT(N(H89))&lt;=Config!$B$6,CZ89=1),1,0)</f>
        <v>0</v>
      </c>
      <c r="DI89" s="23" t="n">
        <f aca="false">IF(AND(BE89=1,INT(N(H89))&lt;=Config!$B$7,DA89=1),1,0)</f>
        <v>0</v>
      </c>
      <c r="DJ89" s="23" t="n">
        <f aca="false">IF(AND(BE89=1,INT(N(H89))&lt;=Config!$B$8,DB89=1),1,0)</f>
        <v>0</v>
      </c>
      <c r="DK89" s="23" t="n">
        <f aca="false">IF(AND(BE89=1,INT(N(H89))&lt;=Config!$B$5,DC89=1),1,0)</f>
        <v>0</v>
      </c>
      <c r="DL89" s="23" t="n">
        <f aca="false">IF(AND(BC89=1,INT(N(H89))&lt;=Config!$B$6,CZ89=0),1,0)</f>
        <v>0</v>
      </c>
      <c r="DM89" s="23" t="n">
        <f aca="false">IF(AND(BC89=1,INT(N(H89))&lt;=Config!$B$7,DA89=0),1,0)</f>
        <v>0</v>
      </c>
      <c r="DN89" s="23" t="n">
        <f aca="false">IF(AND(BC89=1,INT(N(H89))&lt;=Config!$B$8,DB89=0),1,0)</f>
        <v>0</v>
      </c>
      <c r="DO89" s="23" t="n">
        <f aca="false">IF(AND(BC89=1,INT(N(H89))&lt;=Config!$B$5,DC89=0),1,0)</f>
        <v>0</v>
      </c>
      <c r="DP89" s="23" t="n">
        <f aca="false">IF(TRIM($A89)="",0,ISTEXT(K89)+ISTEXT(L89)+ISTEXT(R89)+ISTEXT(V89)+ISTEXT(AP89)+ISTEXT(AS89))</f>
        <v>0</v>
      </c>
      <c r="DQ89" s="23" t="n">
        <f aca="false">IF(AY89=1,IF(H89&lt;&gt;INT(H89),1,0),0)</f>
        <v>0</v>
      </c>
      <c r="DR89" s="23" t="str">
        <f aca="false">IF(TRIM($A89)="","",IF(TRIM(B89)="",SUBSTITUTE(SUBSTITUTE(SUBSTITUTE(SUBSTITUTE(SUBSTITUTE(SUBSTITUTE(LOWER(TRIM($A89)),"~",""),"*",""),"?",""),"&lt;",""),"&gt;",""),"=",""),SUBSTITUTE(SUBSTITUTE(SUBSTITUTE(SUBSTITUTE(SUBSTITUTE(SUBSTITUTE(LOWER(TRIM(B89)),"~",""),"*",""),"?",""),"&lt;",""),"&gt;",""),"=","")))</f>
        <v/>
      </c>
      <c r="DS89" s="23" t="str">
        <f aca="false">IF(CM89="","",IFERROR(IF(LEFT(LOWER(TRIM(INDEX(Clay_Brands!$A$2:$FZ$601,CM89,Sync!$D$19)&amp;"")),4)="grp-",SUBSTITUTE(SUBSTITUTE(SUBSTITUTE(SUBSTITUTE(SUBSTITUTE(SUBSTITUTE(LOWER(TRIM(INDEX(Clay_Brands!$A$2:$FZ$601,CM89,Sync!$D$19)&amp;"")),"~",""),"*",""),"?",""),"&lt;",""),"&gt;",""),"=",""),""),""))</f>
        <v/>
      </c>
      <c r="DT89" s="23" t="str">
        <f aca="false">IF(DS89&lt;&gt;"",DR89,"")</f>
        <v/>
      </c>
      <c r="DU89" s="23" t="str">
        <f aca="false">IF(AZ89=1,AW89,"")</f>
        <v/>
      </c>
      <c r="DV89" s="23" t="str">
        <f aca="false">IF(TRIM($A89)="","",IFERROR(INDEX($A$2:$A$201,MATCH(AW89,$DU$2:$DU$201,0))&amp;"",$A89&amp;""))</f>
        <v/>
      </c>
      <c r="DW89" s="23" t="n">
        <f aca="false">IF(AY89=1,IF(COUNTIFS($A$2:$A$201,$A89,$AY$2:$AY$201,1,$H$2:$H$201,"&lt;"&amp;H89)+COUNTIFS($A$2:$A$201,$A89,$AY$2:$AY$201,1,$H$2:$H$201,H89,$AX$2:$AX$201,"&lt;"&amp;AX89)=0,1,0),0)</f>
        <v>0</v>
      </c>
      <c r="DX89" s="23" t="n">
        <f aca="false">IF(AZ89=1,IF(COUNTIFS($AW$2:$AW$201,AW89,$DW$2:$DW$201,1)&gt;1,1,0),0)</f>
        <v>0</v>
      </c>
    </row>
    <row r="90" customFormat="false" ht="15" hidden="false" customHeight="false" outlineLevel="0" collapsed="false">
      <c r="G90" s="32"/>
      <c r="H90" s="33"/>
      <c r="I90" s="32"/>
      <c r="O90" s="32"/>
      <c r="P90" s="32"/>
      <c r="U90" s="32"/>
      <c r="Y90" s="32"/>
      <c r="AB90" s="32"/>
      <c r="AC90" s="32"/>
      <c r="AD90" s="32"/>
      <c r="AE90" s="32"/>
      <c r="AF90" s="32"/>
      <c r="AG90" s="32"/>
      <c r="AI90" s="32"/>
      <c r="AJ90" s="32"/>
      <c r="AK90" s="32"/>
      <c r="AN90" s="32"/>
      <c r="AO90" s="32"/>
      <c r="AR90" s="32"/>
      <c r="AT90" s="32"/>
      <c r="AV90" s="34" t="str">
        <f aca="false">IF(TRIM($A90)="","",IF(AND(LEFT($A90,6)="SAMPLE",Config!$B$19&lt;&gt;"Y"),"",IF(NOT(ISNUMBER(H90)),"call_date is blank or not a date",IF(Sync!$D$5="","Clay paste is empty or has no row_id column: paste the Clay export on Clay_Brands",IF(CM90="","row_id not found in the Clay paste: add the Clay row or fix the row_id",IF(AND(ISNUMBER(CO90),CO90&gt;=1,CO90&lt;=5),"Clay status is "&amp;CN90&amp;": set call_done or later",IF(AND(BA90=1,CP90&lt;&gt;CB90),"Clay yes_in_principle should be "&amp;CB90,IF(AND(BA90=1,CQ90&lt;&gt;H90),"Clay call_date should be "&amp;TEXT(H90,"yyyy-mm-dd"),""))))))))</f>
        <v/>
      </c>
      <c r="AW90" s="23" t="str">
        <f aca="false">IF(TRIM($A90)="","",IF(TRIM(C90)&lt;&gt;"",SUBSTITUTE(SUBSTITUTE(SUBSTITUTE(SUBSTITUTE(SUBSTITUTE(SUBSTITUTE(LOWER(TRIM(C90)),"~",""),"*",""),"?",""),"&lt;",""),"&gt;",""),"=",""),IF(DS90&lt;&gt;"",DS90,IFERROR(INDEX($DS$2:$DS$201,MATCH(DR90,$DT$2:$DT$201,0)),DR90))))</f>
        <v/>
      </c>
      <c r="AX90" s="23" t="n">
        <f aca="false">ROW()</f>
        <v>90</v>
      </c>
      <c r="AY90" s="23" t="n">
        <f aca="false">IF(AND(TRIM($A90)&lt;&gt;"",ISNUMBER(H90)),IF(AND(LEFT($A90,6)="SAMPLE",Config!$B$19&lt;&gt;"Y"),0,1),0)</f>
        <v>0</v>
      </c>
      <c r="AZ90" s="23" t="n">
        <f aca="false">IF(AY90=1,IF(COUNTIFS($AW$2:$AW$201,AW90,$AY$2:$AY$201,1,$H$2:$H$201,"&lt;"&amp;H90)+COUNTIFS($AW$2:$AW$201,AW90,$AY$2:$AY$201,1,$H$2:$H$201,H90,$AX$2:$AX$201,"&lt;"&amp;AX90)=0,1,0),0)</f>
        <v>0</v>
      </c>
      <c r="BA90" s="23" t="n">
        <f aca="false">IF(AY90=1,IF(COUNTIFS($A$2:$A$201,$A90,$AY$2:$AY$201,1,$H$2:$H$201,"&gt;"&amp;H90)+COUNTIFS($A$2:$A$201,$A90,$AY$2:$AY$201,1,$H$2:$H$201,H90,$AX$2:$AX$201,"&gt;"&amp;AX90)=0,1,0),0)</f>
        <v>0</v>
      </c>
      <c r="BB90" s="23" t="n">
        <f aca="false">IF(AND(AY90=1,O90="Y",MAX(N(R90),N(V90))&gt;=Config!$B$14),1,0)</f>
        <v>0</v>
      </c>
      <c r="BC90" s="23" t="n">
        <f aca="false">IF(BB90=1,IF(COUNTIFS($AW$2:$AW$201,AW90,$BB$2:$BB$201,1,$H$2:$H$201,"&lt;"&amp;H90)+COUNTIFS($AW$2:$AW$201,AW90,$BB$2:$BB$201,1,$H$2:$H$201,H90,$AX$2:$AX$201,"&lt;"&amp;AX90)=0,1,0),0)</f>
        <v>0</v>
      </c>
      <c r="BD90" s="23" t="n">
        <f aca="false">IF(AND(AY90=1,O90="Y",ISNUMBER(R90)),IF(R90&gt;=Config!$B$14,1,0),0)</f>
        <v>0</v>
      </c>
      <c r="BE90" s="23" t="n">
        <f aca="false">IF(BD90=1,IF(COUNTIFS($AW$2:$AW$201,AW90,$BD$2:$BD$201,1,$H$2:$H$201,"&lt;"&amp;H90)+COUNTIFS($AW$2:$AW$201,AW90,$BD$2:$BD$201,1,$H$2:$H$201,H90,$AX$2:$AX$201,"&lt;"&amp;AX90)=0,1,0),0)</f>
        <v>0</v>
      </c>
      <c r="BF90" s="23" t="n">
        <f aca="false">IF(AND(AY90=1,O90&lt;&gt;"Y",MAX(N(R90),N(V90))&gt;=Config!$B$14),1,0)</f>
        <v>0</v>
      </c>
      <c r="BG90" s="23" t="n">
        <f aca="false">IF(BF90=1,IF(COUNTIFS($AW$2:$AW$201,AW90,$BF$2:$BF$201,1,$H$2:$H$201,"&lt;"&amp;H90)+COUNTIFS($AW$2:$AW$201,AW90,$BF$2:$BF$201,1,$H$2:$H$201,H90,$AX$2:$AX$201,"&lt;"&amp;AX90)=0,1,0),0)</f>
        <v>0</v>
      </c>
      <c r="BH90" s="23" t="n">
        <f aca="false">IF(AND(AY90=1,ISNUMBER(R90)),1,0)</f>
        <v>0</v>
      </c>
      <c r="BI90" s="23" t="n">
        <f aca="false">IF(BH90=1,IF(COUNTIFS($AW$2:$AW$201,AW90,$BH$2:$BH$201,1,$H$2:$H$201,"&lt;"&amp;H90)+COUNTIFS($AW$2:$AW$201,AW90,$BH$2:$BH$201,1,$H$2:$H$201,H90,$AX$2:$AX$201,"&lt;"&amp;AX90)=0,1,0),0)</f>
        <v>0</v>
      </c>
      <c r="BJ90" s="23" t="str">
        <f aca="false">IF(AND(BI90=1,INT(N(H90))&lt;=Config!$B$6),R90,"")</f>
        <v/>
      </c>
      <c r="BK90" s="23" t="str">
        <f aca="false">IF(AND(BI90=1,INT(N(H90))&lt;=Config!$B$7),R90,"")</f>
        <v/>
      </c>
      <c r="BL90" s="23" t="str">
        <f aca="false">IF(AND(BI90=1,INT(N(H90))&lt;=Config!$B$8),R90,"")</f>
        <v/>
      </c>
      <c r="BM90" s="23" t="str">
        <f aca="false">IF(AND(BI90=1,INT(N(H90))&lt;=Config!$B$5),R90,"")</f>
        <v/>
      </c>
      <c r="BN90" s="23" t="n">
        <f aca="false">IF(AND(AY90=1,ISNUMBER(V90)),1,0)</f>
        <v>0</v>
      </c>
      <c r="BO90" s="23" t="n">
        <f aca="false">IF(BN90=1,IF(COUNTIFS($AW$2:$AW$201,AW90,$BN$2:$BN$201,1,$H$2:$H$201,"&lt;"&amp;H90)+COUNTIFS($AW$2:$AW$201,AW90,$BN$2:$BN$201,1,$H$2:$H$201,H90,$AX$2:$AX$201,"&lt;"&amp;AX90)=0,1,0),0)</f>
        <v>0</v>
      </c>
      <c r="BP90" s="23" t="str">
        <f aca="false">IF(AND(BO90=1,INT(N(H90))&lt;=Config!$B$6),V90,"")</f>
        <v/>
      </c>
      <c r="BQ90" s="23" t="str">
        <f aca="false">IF(AND(BO90=1,INT(N(H90))&lt;=Config!$B$7),V90,"")</f>
        <v/>
      </c>
      <c r="BR90" s="23" t="str">
        <f aca="false">IF(AND(BO90=1,INT(N(H90))&lt;=Config!$B$8),V90,"")</f>
        <v/>
      </c>
      <c r="BS90" s="23" t="str">
        <f aca="false">IF(AND(BO90=1,INT(N(H90))&lt;=Config!$B$5),V90,"")</f>
        <v/>
      </c>
      <c r="BT90" s="23" t="n">
        <f aca="false">IF(AND(AY90=1,ISNUMBER(K90)),1,0)</f>
        <v>0</v>
      </c>
      <c r="BU90" s="23" t="n">
        <f aca="false">IF(BT90=1,IF(COUNTIFS($AW$2:$AW$201,AW90,$BT$2:$BT$201,1,$H$2:$H$201,"&lt;"&amp;H90)+COUNTIFS($AW$2:$AW$201,AW90,$BT$2:$BT$201,1,$H$2:$H$201,H90,$AX$2:$AX$201,"&lt;"&amp;AX90)=0,1,0),0)</f>
        <v>0</v>
      </c>
      <c r="BV90" s="23" t="str">
        <f aca="false">IF(AND(BU90=1,INT(N(H90))&lt;=Config!$B$5),K90,"")</f>
        <v/>
      </c>
      <c r="BW90" s="23" t="n">
        <f aca="false">IF(AND(AY90=1,OR(AND(ISNUMBER(R90),TRIM(S90)=""),AND(ISNUMBER(V90),TRIM(W90)=""))),1,0)</f>
        <v>0</v>
      </c>
      <c r="BX90" s="23" t="str">
        <f aca="false">IF(AY90=1,AJ90&amp;"","")</f>
        <v/>
      </c>
      <c r="BY90" s="23" t="str">
        <f aca="false">IF(AY90=1,AK90&amp;"","")</f>
        <v/>
      </c>
      <c r="BZ90" s="23" t="str">
        <f aca="false">IF(AY90=1,AL90&amp;"","")</f>
        <v/>
      </c>
      <c r="CA90" s="23" t="str">
        <f aca="false">IF(AND(AY90=1,ISNUMBER(AS90),INT(N(H90))&lt;=Config!$B$5),AS90,"")</f>
        <v/>
      </c>
      <c r="CB90" s="23" t="str">
        <f aca="false">IF(AY90=1,IF(COUNTIFS($A$2:$A$201,$A90,$CU$2:$CU$201,1,$AN$2:$AN$201,"Y")&gt;0,"Y","N"),"")</f>
        <v/>
      </c>
      <c r="CC90" s="23" t="n">
        <f aca="false">IF(AND(AY90=1,AN90="Y"),IF(COUNTIFS($AW$2:$AW$201,AW90,$AN$2:$AN$201,"Y",$AY$2:$AY$201,1,$H$2:$H$201,"&lt;"&amp;H90)+COUNTIFS($AW$2:$AW$201,AW90,$AN$2:$AN$201,"Y",$AY$2:$AY$201,1,$H$2:$H$201,H90,$AX$2:$AX$201,"&lt;"&amp;AX90)=0,1,0),0)</f>
        <v>0</v>
      </c>
      <c r="CD90" s="23" t="n">
        <f aca="false">IF(AND(AY90=1,AB90="Y",AC90="Y",AD90="Y",AE90="Y",AF90="Y",AG90="Y",AI90="Y",TRIM(AH90)&lt;&gt;""),1,0)</f>
        <v>0</v>
      </c>
      <c r="CE90" s="23" t="n">
        <f aca="false">IF(CD90=1,IF(COUNTIFS($AW$2:$AW$201,AW90,$CD$2:$CD$201,1,$H$2:$H$201,"&lt;"&amp;H90)+COUNTIFS($AW$2:$AW$201,AW90,$CD$2:$CD$201,1,$H$2:$H$201,H90,$AX$2:$AX$201,"&lt;"&amp;AX90)=0,1,0),0)</f>
        <v>0</v>
      </c>
      <c r="CF90" s="23" t="n">
        <f aca="false">IF(AND(AY90=1,AO90="Y"),1,0)</f>
        <v>0</v>
      </c>
      <c r="CG90" s="23" t="n">
        <f aca="false">IF(CF90=1,IF(COUNTIFS($AW$2:$AW$201,AW90,$CF$2:$CF$201,1,$H$2:$H$201,"&lt;"&amp;H90)+COUNTIFS($AW$2:$AW$201,AW90,$CF$2:$CF$201,1,$H$2:$H$201,H90,$AX$2:$AX$201,"&lt;"&amp;AX90)=0,1,0),0)</f>
        <v>0</v>
      </c>
      <c r="CH90" s="23" t="n">
        <f aca="false">IF(AND(AY90=1,P90="Y"),1,0)</f>
        <v>0</v>
      </c>
      <c r="CI90" s="23" t="n">
        <f aca="false">IF(CH90=1,IF(COUNTIFS($AW$2:$AW$201,AW90,$CH$2:$CH$201,1,$H$2:$H$201,"&lt;"&amp;H90)+COUNTIFS($AW$2:$AW$201,AW90,$CH$2:$CH$201,1,$H$2:$H$201,H90,$AX$2:$AX$201,"&lt;"&amp;AX90)=0,1,0),0)</f>
        <v>0</v>
      </c>
      <c r="CJ90" s="23" t="str">
        <f aca="false">IF(AND(BU90=1,INT(N(H90))&lt;=Config!$B$5),L90,"")</f>
        <v/>
      </c>
      <c r="CK90" s="23" t="n">
        <f aca="false">IF(AND(AY90=1,AR90="Y"),1,0)</f>
        <v>0</v>
      </c>
      <c r="CL90" s="23" t="n">
        <f aca="false">IF(CK90=1,IF(COUNTIFS($AW$2:$AW$201,AW90,$CK$2:$CK$201,1,$H$2:$H$201,"&lt;"&amp;H90)+COUNTIFS($AW$2:$AW$201,AW90,$CK$2:$CK$201,1,$H$2:$H$201,H90,$AX$2:$AX$201,"&lt;"&amp;AX90)=0,1,0),0)</f>
        <v>0</v>
      </c>
      <c r="CM90" s="23" t="str">
        <f aca="false">IF(AY90=1,IFERROR(MATCH($A90,INDEX(Clay_Brands!$A$2:$FZ$601,0,Sync!$D$5),0),""),"")</f>
        <v/>
      </c>
      <c r="CN90" s="23" t="str">
        <f aca="false">IF(CM90="","",IFERROR(INDEX(Clay_Brands!$A$2:$FZ$601,CM90,Sync!$D$7)&amp;"",""))</f>
        <v/>
      </c>
      <c r="CO90" s="23" t="str">
        <f aca="false">IF(CN90="","",IFERROR(INDEX(Lists!$K$2:$K$15,MATCH(CN90,Lists!$J$2:$J$15,0)),""))</f>
        <v/>
      </c>
      <c r="CP90" s="23" t="str">
        <f aca="false">IF(CM90="","",IFERROR(INDEX(Clay_Brands!$A$2:$FZ$601,CM90,Sync!$D$17)&amp;"",""))</f>
        <v/>
      </c>
      <c r="CQ90" s="35" t="str">
        <f aca="false">IF(CM90="","",IFERROR(N(INDEX(Clay_Brands!$A$2:$FZ$601,CM90,Sync!$D$16)),0))</f>
        <v/>
      </c>
      <c r="CR90" s="23" t="n">
        <f aca="false">IF(AND(AY90=1,OR(O90="N",AND(OR(ISNUMBER(R90),ISNUMBER(V90)),MAX(N(R90),N(V90))&lt;Config!$B$14))),1,0)</f>
        <v>0</v>
      </c>
      <c r="CS90" s="23" t="n">
        <f aca="false">IF(OR(BB90=1,CR90=1),1,0)</f>
        <v>0</v>
      </c>
      <c r="CT90" s="23" t="n">
        <f aca="false">IF(AND(AY90=1,OR(AN90="Y",AN90="N",AN90="maybe")),1,0)</f>
        <v>0</v>
      </c>
      <c r="CU90" s="23" t="n">
        <f aca="false">IF(AND(CT90=1),IF(COUNTIFS($A$2:$A$201,$A90,$CT$2:$CT$201,1,$H$2:$H$201,"&gt;"&amp;H90)+COUNTIFS($A$2:$A$201,$A90,$CT$2:$CT$201,1,$H$2:$H$201,H90,$AX$2:$AX$201,"&gt;"&amp;AX90)=0,1,0),0)</f>
        <v>0</v>
      </c>
      <c r="CV90" s="23" t="n">
        <f aca="false">IF(AND(CS90=1,INT(N(H90))&lt;=Config!$B$6),IF(COUNTIFS($AW$2:$AW$201,AW90,$CS$2:$CS$201,1,$H$2:$H$201,"&gt;"&amp;H90,$H$2:$H$201,"&lt;"&amp;(Config!$B$6+1))+COUNTIFS($AW$2:$AW$201,AW90,$CS$2:$CS$201,1,$H$2:$H$201,H90,$AX$2:$AX$201,"&gt;"&amp;AX90)=0,1,0),0)</f>
        <v>0</v>
      </c>
      <c r="CW90" s="23" t="n">
        <f aca="false">IF(AND(CS90=1,INT(N(H90))&lt;=Config!$B$7),IF(COUNTIFS($AW$2:$AW$201,AW90,$CS$2:$CS$201,1,$H$2:$H$201,"&gt;"&amp;H90,$H$2:$H$201,"&lt;"&amp;(Config!$B$7+1))+COUNTIFS($AW$2:$AW$201,AW90,$CS$2:$CS$201,1,$H$2:$H$201,H90,$AX$2:$AX$201,"&gt;"&amp;AX90)=0,1,0),0)</f>
        <v>0</v>
      </c>
      <c r="CX90" s="23" t="n">
        <f aca="false">IF(AND(CS90=1,INT(N(H90))&lt;=Config!$B$8),IF(COUNTIFS($AW$2:$AW$201,AW90,$CS$2:$CS$201,1,$H$2:$H$201,"&gt;"&amp;H90,$H$2:$H$201,"&lt;"&amp;(Config!$B$8+1))+COUNTIFS($AW$2:$AW$201,AW90,$CS$2:$CS$201,1,$H$2:$H$201,H90,$AX$2:$AX$201,"&gt;"&amp;AX90)=0,1,0),0)</f>
        <v>0</v>
      </c>
      <c r="CY90" s="23" t="n">
        <f aca="false">IF(AND(CS90=1,INT(N(H90))&lt;=Config!$B$5),IF(COUNTIFS($AW$2:$AW$201,AW90,$CS$2:$CS$201,1,$H$2:$H$201,"&gt;"&amp;H90,$H$2:$H$201,"&lt;"&amp;(Config!$B$5+1))+COUNTIFS($AW$2:$AW$201,AW90,$CS$2:$CS$201,1,$H$2:$H$201,H90,$AX$2:$AX$201,"&gt;"&amp;AX90)=0,1,0),0)</f>
        <v>0</v>
      </c>
      <c r="CZ90" s="23" t="n">
        <f aca="false">IF(AY90=1,IF(COUNTIFS($AW$2:$AW$201,AW90,$CV$2:$CV$201,1,$BB$2:$BB$201,1)&gt;0,1,0),0)</f>
        <v>0</v>
      </c>
      <c r="DA90" s="23" t="n">
        <f aca="false">IF(AY90=1,IF(COUNTIFS($AW$2:$AW$201,AW90,$CW$2:$CW$201,1,$BB$2:$BB$201,1)&gt;0,1,0),0)</f>
        <v>0</v>
      </c>
      <c r="DB90" s="23" t="n">
        <f aca="false">IF(AY90=1,IF(COUNTIFS($AW$2:$AW$201,AW90,$CX$2:$CX$201,1,$BB$2:$BB$201,1)&gt;0,1,0),0)</f>
        <v>0</v>
      </c>
      <c r="DC90" s="23" t="n">
        <f aca="false">IF(AY90=1,IF(COUNTIFS($AW$2:$AW$201,AW90,$CY$2:$CY$201,1,$BB$2:$BB$201,1)&gt;0,1,0),0)</f>
        <v>0</v>
      </c>
      <c r="DD90" s="23" t="n">
        <f aca="false">IF(AND(BC90=1,INT(N(H90))&lt;=Config!$B$6,CZ90=1),1,0)</f>
        <v>0</v>
      </c>
      <c r="DE90" s="23" t="n">
        <f aca="false">IF(AND(BC90=1,INT(N(H90))&lt;=Config!$B$7,DA90=1),1,0)</f>
        <v>0</v>
      </c>
      <c r="DF90" s="23" t="n">
        <f aca="false">IF(AND(BC90=1,INT(N(H90))&lt;=Config!$B$8,DB90=1),1,0)</f>
        <v>0</v>
      </c>
      <c r="DG90" s="23" t="n">
        <f aca="false">IF(AND(BC90=1,INT(N(H90))&lt;=Config!$B$5,DC90=1),1,0)</f>
        <v>0</v>
      </c>
      <c r="DH90" s="23" t="n">
        <f aca="false">IF(AND(BE90=1,INT(N(H90))&lt;=Config!$B$6,CZ90=1),1,0)</f>
        <v>0</v>
      </c>
      <c r="DI90" s="23" t="n">
        <f aca="false">IF(AND(BE90=1,INT(N(H90))&lt;=Config!$B$7,DA90=1),1,0)</f>
        <v>0</v>
      </c>
      <c r="DJ90" s="23" t="n">
        <f aca="false">IF(AND(BE90=1,INT(N(H90))&lt;=Config!$B$8,DB90=1),1,0)</f>
        <v>0</v>
      </c>
      <c r="DK90" s="23" t="n">
        <f aca="false">IF(AND(BE90=1,INT(N(H90))&lt;=Config!$B$5,DC90=1),1,0)</f>
        <v>0</v>
      </c>
      <c r="DL90" s="23" t="n">
        <f aca="false">IF(AND(BC90=1,INT(N(H90))&lt;=Config!$B$6,CZ90=0),1,0)</f>
        <v>0</v>
      </c>
      <c r="DM90" s="23" t="n">
        <f aca="false">IF(AND(BC90=1,INT(N(H90))&lt;=Config!$B$7,DA90=0),1,0)</f>
        <v>0</v>
      </c>
      <c r="DN90" s="23" t="n">
        <f aca="false">IF(AND(BC90=1,INT(N(H90))&lt;=Config!$B$8,DB90=0),1,0)</f>
        <v>0</v>
      </c>
      <c r="DO90" s="23" t="n">
        <f aca="false">IF(AND(BC90=1,INT(N(H90))&lt;=Config!$B$5,DC90=0),1,0)</f>
        <v>0</v>
      </c>
      <c r="DP90" s="23" t="n">
        <f aca="false">IF(TRIM($A90)="",0,ISTEXT(K90)+ISTEXT(L90)+ISTEXT(R90)+ISTEXT(V90)+ISTEXT(AP90)+ISTEXT(AS90))</f>
        <v>0</v>
      </c>
      <c r="DQ90" s="23" t="n">
        <f aca="false">IF(AY90=1,IF(H90&lt;&gt;INT(H90),1,0),0)</f>
        <v>0</v>
      </c>
      <c r="DR90" s="23" t="str">
        <f aca="false">IF(TRIM($A90)="","",IF(TRIM(B90)="",SUBSTITUTE(SUBSTITUTE(SUBSTITUTE(SUBSTITUTE(SUBSTITUTE(SUBSTITUTE(LOWER(TRIM($A90)),"~",""),"*",""),"?",""),"&lt;",""),"&gt;",""),"=",""),SUBSTITUTE(SUBSTITUTE(SUBSTITUTE(SUBSTITUTE(SUBSTITUTE(SUBSTITUTE(LOWER(TRIM(B90)),"~",""),"*",""),"?",""),"&lt;",""),"&gt;",""),"=","")))</f>
        <v/>
      </c>
      <c r="DS90" s="23" t="str">
        <f aca="false">IF(CM90="","",IFERROR(IF(LEFT(LOWER(TRIM(INDEX(Clay_Brands!$A$2:$FZ$601,CM90,Sync!$D$19)&amp;"")),4)="grp-",SUBSTITUTE(SUBSTITUTE(SUBSTITUTE(SUBSTITUTE(SUBSTITUTE(SUBSTITUTE(LOWER(TRIM(INDEX(Clay_Brands!$A$2:$FZ$601,CM90,Sync!$D$19)&amp;"")),"~",""),"*",""),"?",""),"&lt;",""),"&gt;",""),"=",""),""),""))</f>
        <v/>
      </c>
      <c r="DT90" s="23" t="str">
        <f aca="false">IF(DS90&lt;&gt;"",DR90,"")</f>
        <v/>
      </c>
      <c r="DU90" s="23" t="str">
        <f aca="false">IF(AZ90=1,AW90,"")</f>
        <v/>
      </c>
      <c r="DV90" s="23" t="str">
        <f aca="false">IF(TRIM($A90)="","",IFERROR(INDEX($A$2:$A$201,MATCH(AW90,$DU$2:$DU$201,0))&amp;"",$A90&amp;""))</f>
        <v/>
      </c>
      <c r="DW90" s="23" t="n">
        <f aca="false">IF(AY90=1,IF(COUNTIFS($A$2:$A$201,$A90,$AY$2:$AY$201,1,$H$2:$H$201,"&lt;"&amp;H90)+COUNTIFS($A$2:$A$201,$A90,$AY$2:$AY$201,1,$H$2:$H$201,H90,$AX$2:$AX$201,"&lt;"&amp;AX90)=0,1,0),0)</f>
        <v>0</v>
      </c>
      <c r="DX90" s="23" t="n">
        <f aca="false">IF(AZ90=1,IF(COUNTIFS($AW$2:$AW$201,AW90,$DW$2:$DW$201,1)&gt;1,1,0),0)</f>
        <v>0</v>
      </c>
    </row>
    <row r="91" customFormat="false" ht="15" hidden="false" customHeight="false" outlineLevel="0" collapsed="false">
      <c r="G91" s="32"/>
      <c r="H91" s="33"/>
      <c r="I91" s="32"/>
      <c r="O91" s="32"/>
      <c r="P91" s="32"/>
      <c r="U91" s="32"/>
      <c r="Y91" s="32"/>
      <c r="AB91" s="32"/>
      <c r="AC91" s="32"/>
      <c r="AD91" s="32"/>
      <c r="AE91" s="32"/>
      <c r="AF91" s="32"/>
      <c r="AG91" s="32"/>
      <c r="AI91" s="32"/>
      <c r="AJ91" s="32"/>
      <c r="AK91" s="32"/>
      <c r="AN91" s="32"/>
      <c r="AO91" s="32"/>
      <c r="AR91" s="32"/>
      <c r="AT91" s="32"/>
      <c r="AV91" s="34" t="str">
        <f aca="false">IF(TRIM($A91)="","",IF(AND(LEFT($A91,6)="SAMPLE",Config!$B$19&lt;&gt;"Y"),"",IF(NOT(ISNUMBER(H91)),"call_date is blank or not a date",IF(Sync!$D$5="","Clay paste is empty or has no row_id column: paste the Clay export on Clay_Brands",IF(CM91="","row_id not found in the Clay paste: add the Clay row or fix the row_id",IF(AND(ISNUMBER(CO91),CO91&gt;=1,CO91&lt;=5),"Clay status is "&amp;CN91&amp;": set call_done or later",IF(AND(BA91=1,CP91&lt;&gt;CB91),"Clay yes_in_principle should be "&amp;CB91,IF(AND(BA91=1,CQ91&lt;&gt;H91),"Clay call_date should be "&amp;TEXT(H91,"yyyy-mm-dd"),""))))))))</f>
        <v/>
      </c>
      <c r="AW91" s="23" t="str">
        <f aca="false">IF(TRIM($A91)="","",IF(TRIM(C91)&lt;&gt;"",SUBSTITUTE(SUBSTITUTE(SUBSTITUTE(SUBSTITUTE(SUBSTITUTE(SUBSTITUTE(LOWER(TRIM(C91)),"~",""),"*",""),"?",""),"&lt;",""),"&gt;",""),"=",""),IF(DS91&lt;&gt;"",DS91,IFERROR(INDEX($DS$2:$DS$201,MATCH(DR91,$DT$2:$DT$201,0)),DR91))))</f>
        <v/>
      </c>
      <c r="AX91" s="23" t="n">
        <f aca="false">ROW()</f>
        <v>91</v>
      </c>
      <c r="AY91" s="23" t="n">
        <f aca="false">IF(AND(TRIM($A91)&lt;&gt;"",ISNUMBER(H91)),IF(AND(LEFT($A91,6)="SAMPLE",Config!$B$19&lt;&gt;"Y"),0,1),0)</f>
        <v>0</v>
      </c>
      <c r="AZ91" s="23" t="n">
        <f aca="false">IF(AY91=1,IF(COUNTIFS($AW$2:$AW$201,AW91,$AY$2:$AY$201,1,$H$2:$H$201,"&lt;"&amp;H91)+COUNTIFS($AW$2:$AW$201,AW91,$AY$2:$AY$201,1,$H$2:$H$201,H91,$AX$2:$AX$201,"&lt;"&amp;AX91)=0,1,0),0)</f>
        <v>0</v>
      </c>
      <c r="BA91" s="23" t="n">
        <f aca="false">IF(AY91=1,IF(COUNTIFS($A$2:$A$201,$A91,$AY$2:$AY$201,1,$H$2:$H$201,"&gt;"&amp;H91)+COUNTIFS($A$2:$A$201,$A91,$AY$2:$AY$201,1,$H$2:$H$201,H91,$AX$2:$AX$201,"&gt;"&amp;AX91)=0,1,0),0)</f>
        <v>0</v>
      </c>
      <c r="BB91" s="23" t="n">
        <f aca="false">IF(AND(AY91=1,O91="Y",MAX(N(R91),N(V91))&gt;=Config!$B$14),1,0)</f>
        <v>0</v>
      </c>
      <c r="BC91" s="23" t="n">
        <f aca="false">IF(BB91=1,IF(COUNTIFS($AW$2:$AW$201,AW91,$BB$2:$BB$201,1,$H$2:$H$201,"&lt;"&amp;H91)+COUNTIFS($AW$2:$AW$201,AW91,$BB$2:$BB$201,1,$H$2:$H$201,H91,$AX$2:$AX$201,"&lt;"&amp;AX91)=0,1,0),0)</f>
        <v>0</v>
      </c>
      <c r="BD91" s="23" t="n">
        <f aca="false">IF(AND(AY91=1,O91="Y",ISNUMBER(R91)),IF(R91&gt;=Config!$B$14,1,0),0)</f>
        <v>0</v>
      </c>
      <c r="BE91" s="23" t="n">
        <f aca="false">IF(BD91=1,IF(COUNTIFS($AW$2:$AW$201,AW91,$BD$2:$BD$201,1,$H$2:$H$201,"&lt;"&amp;H91)+COUNTIFS($AW$2:$AW$201,AW91,$BD$2:$BD$201,1,$H$2:$H$201,H91,$AX$2:$AX$201,"&lt;"&amp;AX91)=0,1,0),0)</f>
        <v>0</v>
      </c>
      <c r="BF91" s="23" t="n">
        <f aca="false">IF(AND(AY91=1,O91&lt;&gt;"Y",MAX(N(R91),N(V91))&gt;=Config!$B$14),1,0)</f>
        <v>0</v>
      </c>
      <c r="BG91" s="23" t="n">
        <f aca="false">IF(BF91=1,IF(COUNTIFS($AW$2:$AW$201,AW91,$BF$2:$BF$201,1,$H$2:$H$201,"&lt;"&amp;H91)+COUNTIFS($AW$2:$AW$201,AW91,$BF$2:$BF$201,1,$H$2:$H$201,H91,$AX$2:$AX$201,"&lt;"&amp;AX91)=0,1,0),0)</f>
        <v>0</v>
      </c>
      <c r="BH91" s="23" t="n">
        <f aca="false">IF(AND(AY91=1,ISNUMBER(R91)),1,0)</f>
        <v>0</v>
      </c>
      <c r="BI91" s="23" t="n">
        <f aca="false">IF(BH91=1,IF(COUNTIFS($AW$2:$AW$201,AW91,$BH$2:$BH$201,1,$H$2:$H$201,"&lt;"&amp;H91)+COUNTIFS($AW$2:$AW$201,AW91,$BH$2:$BH$201,1,$H$2:$H$201,H91,$AX$2:$AX$201,"&lt;"&amp;AX91)=0,1,0),0)</f>
        <v>0</v>
      </c>
      <c r="BJ91" s="23" t="str">
        <f aca="false">IF(AND(BI91=1,INT(N(H91))&lt;=Config!$B$6),R91,"")</f>
        <v/>
      </c>
      <c r="BK91" s="23" t="str">
        <f aca="false">IF(AND(BI91=1,INT(N(H91))&lt;=Config!$B$7),R91,"")</f>
        <v/>
      </c>
      <c r="BL91" s="23" t="str">
        <f aca="false">IF(AND(BI91=1,INT(N(H91))&lt;=Config!$B$8),R91,"")</f>
        <v/>
      </c>
      <c r="BM91" s="23" t="str">
        <f aca="false">IF(AND(BI91=1,INT(N(H91))&lt;=Config!$B$5),R91,"")</f>
        <v/>
      </c>
      <c r="BN91" s="23" t="n">
        <f aca="false">IF(AND(AY91=1,ISNUMBER(V91)),1,0)</f>
        <v>0</v>
      </c>
      <c r="BO91" s="23" t="n">
        <f aca="false">IF(BN91=1,IF(COUNTIFS($AW$2:$AW$201,AW91,$BN$2:$BN$201,1,$H$2:$H$201,"&lt;"&amp;H91)+COUNTIFS($AW$2:$AW$201,AW91,$BN$2:$BN$201,1,$H$2:$H$201,H91,$AX$2:$AX$201,"&lt;"&amp;AX91)=0,1,0),0)</f>
        <v>0</v>
      </c>
      <c r="BP91" s="23" t="str">
        <f aca="false">IF(AND(BO91=1,INT(N(H91))&lt;=Config!$B$6),V91,"")</f>
        <v/>
      </c>
      <c r="BQ91" s="23" t="str">
        <f aca="false">IF(AND(BO91=1,INT(N(H91))&lt;=Config!$B$7),V91,"")</f>
        <v/>
      </c>
      <c r="BR91" s="23" t="str">
        <f aca="false">IF(AND(BO91=1,INT(N(H91))&lt;=Config!$B$8),V91,"")</f>
        <v/>
      </c>
      <c r="BS91" s="23" t="str">
        <f aca="false">IF(AND(BO91=1,INT(N(H91))&lt;=Config!$B$5),V91,"")</f>
        <v/>
      </c>
      <c r="BT91" s="23" t="n">
        <f aca="false">IF(AND(AY91=1,ISNUMBER(K91)),1,0)</f>
        <v>0</v>
      </c>
      <c r="BU91" s="23" t="n">
        <f aca="false">IF(BT91=1,IF(COUNTIFS($AW$2:$AW$201,AW91,$BT$2:$BT$201,1,$H$2:$H$201,"&lt;"&amp;H91)+COUNTIFS($AW$2:$AW$201,AW91,$BT$2:$BT$201,1,$H$2:$H$201,H91,$AX$2:$AX$201,"&lt;"&amp;AX91)=0,1,0),0)</f>
        <v>0</v>
      </c>
      <c r="BV91" s="23" t="str">
        <f aca="false">IF(AND(BU91=1,INT(N(H91))&lt;=Config!$B$5),K91,"")</f>
        <v/>
      </c>
      <c r="BW91" s="23" t="n">
        <f aca="false">IF(AND(AY91=1,OR(AND(ISNUMBER(R91),TRIM(S91)=""),AND(ISNUMBER(V91),TRIM(W91)=""))),1,0)</f>
        <v>0</v>
      </c>
      <c r="BX91" s="23" t="str">
        <f aca="false">IF(AY91=1,AJ91&amp;"","")</f>
        <v/>
      </c>
      <c r="BY91" s="23" t="str">
        <f aca="false">IF(AY91=1,AK91&amp;"","")</f>
        <v/>
      </c>
      <c r="BZ91" s="23" t="str">
        <f aca="false">IF(AY91=1,AL91&amp;"","")</f>
        <v/>
      </c>
      <c r="CA91" s="23" t="str">
        <f aca="false">IF(AND(AY91=1,ISNUMBER(AS91),INT(N(H91))&lt;=Config!$B$5),AS91,"")</f>
        <v/>
      </c>
      <c r="CB91" s="23" t="str">
        <f aca="false">IF(AY91=1,IF(COUNTIFS($A$2:$A$201,$A91,$CU$2:$CU$201,1,$AN$2:$AN$201,"Y")&gt;0,"Y","N"),"")</f>
        <v/>
      </c>
      <c r="CC91" s="23" t="n">
        <f aca="false">IF(AND(AY91=1,AN91="Y"),IF(COUNTIFS($AW$2:$AW$201,AW91,$AN$2:$AN$201,"Y",$AY$2:$AY$201,1,$H$2:$H$201,"&lt;"&amp;H91)+COUNTIFS($AW$2:$AW$201,AW91,$AN$2:$AN$201,"Y",$AY$2:$AY$201,1,$H$2:$H$201,H91,$AX$2:$AX$201,"&lt;"&amp;AX91)=0,1,0),0)</f>
        <v>0</v>
      </c>
      <c r="CD91" s="23" t="n">
        <f aca="false">IF(AND(AY91=1,AB91="Y",AC91="Y",AD91="Y",AE91="Y",AF91="Y",AG91="Y",AI91="Y",TRIM(AH91)&lt;&gt;""),1,0)</f>
        <v>0</v>
      </c>
      <c r="CE91" s="23" t="n">
        <f aca="false">IF(CD91=1,IF(COUNTIFS($AW$2:$AW$201,AW91,$CD$2:$CD$201,1,$H$2:$H$201,"&lt;"&amp;H91)+COUNTIFS($AW$2:$AW$201,AW91,$CD$2:$CD$201,1,$H$2:$H$201,H91,$AX$2:$AX$201,"&lt;"&amp;AX91)=0,1,0),0)</f>
        <v>0</v>
      </c>
      <c r="CF91" s="23" t="n">
        <f aca="false">IF(AND(AY91=1,AO91="Y"),1,0)</f>
        <v>0</v>
      </c>
      <c r="CG91" s="23" t="n">
        <f aca="false">IF(CF91=1,IF(COUNTIFS($AW$2:$AW$201,AW91,$CF$2:$CF$201,1,$H$2:$H$201,"&lt;"&amp;H91)+COUNTIFS($AW$2:$AW$201,AW91,$CF$2:$CF$201,1,$H$2:$H$201,H91,$AX$2:$AX$201,"&lt;"&amp;AX91)=0,1,0),0)</f>
        <v>0</v>
      </c>
      <c r="CH91" s="23" t="n">
        <f aca="false">IF(AND(AY91=1,P91="Y"),1,0)</f>
        <v>0</v>
      </c>
      <c r="CI91" s="23" t="n">
        <f aca="false">IF(CH91=1,IF(COUNTIFS($AW$2:$AW$201,AW91,$CH$2:$CH$201,1,$H$2:$H$201,"&lt;"&amp;H91)+COUNTIFS($AW$2:$AW$201,AW91,$CH$2:$CH$201,1,$H$2:$H$201,H91,$AX$2:$AX$201,"&lt;"&amp;AX91)=0,1,0),0)</f>
        <v>0</v>
      </c>
      <c r="CJ91" s="23" t="str">
        <f aca="false">IF(AND(BU91=1,INT(N(H91))&lt;=Config!$B$5),L91,"")</f>
        <v/>
      </c>
      <c r="CK91" s="23" t="n">
        <f aca="false">IF(AND(AY91=1,AR91="Y"),1,0)</f>
        <v>0</v>
      </c>
      <c r="CL91" s="23" t="n">
        <f aca="false">IF(CK91=1,IF(COUNTIFS($AW$2:$AW$201,AW91,$CK$2:$CK$201,1,$H$2:$H$201,"&lt;"&amp;H91)+COUNTIFS($AW$2:$AW$201,AW91,$CK$2:$CK$201,1,$H$2:$H$201,H91,$AX$2:$AX$201,"&lt;"&amp;AX91)=0,1,0),0)</f>
        <v>0</v>
      </c>
      <c r="CM91" s="23" t="str">
        <f aca="false">IF(AY91=1,IFERROR(MATCH($A91,INDEX(Clay_Brands!$A$2:$FZ$601,0,Sync!$D$5),0),""),"")</f>
        <v/>
      </c>
      <c r="CN91" s="23" t="str">
        <f aca="false">IF(CM91="","",IFERROR(INDEX(Clay_Brands!$A$2:$FZ$601,CM91,Sync!$D$7)&amp;"",""))</f>
        <v/>
      </c>
      <c r="CO91" s="23" t="str">
        <f aca="false">IF(CN91="","",IFERROR(INDEX(Lists!$K$2:$K$15,MATCH(CN91,Lists!$J$2:$J$15,0)),""))</f>
        <v/>
      </c>
      <c r="CP91" s="23" t="str">
        <f aca="false">IF(CM91="","",IFERROR(INDEX(Clay_Brands!$A$2:$FZ$601,CM91,Sync!$D$17)&amp;"",""))</f>
        <v/>
      </c>
      <c r="CQ91" s="35" t="str">
        <f aca="false">IF(CM91="","",IFERROR(N(INDEX(Clay_Brands!$A$2:$FZ$601,CM91,Sync!$D$16)),0))</f>
        <v/>
      </c>
      <c r="CR91" s="23" t="n">
        <f aca="false">IF(AND(AY91=1,OR(O91="N",AND(OR(ISNUMBER(R91),ISNUMBER(V91)),MAX(N(R91),N(V91))&lt;Config!$B$14))),1,0)</f>
        <v>0</v>
      </c>
      <c r="CS91" s="23" t="n">
        <f aca="false">IF(OR(BB91=1,CR91=1),1,0)</f>
        <v>0</v>
      </c>
      <c r="CT91" s="23" t="n">
        <f aca="false">IF(AND(AY91=1,OR(AN91="Y",AN91="N",AN91="maybe")),1,0)</f>
        <v>0</v>
      </c>
      <c r="CU91" s="23" t="n">
        <f aca="false">IF(AND(CT91=1),IF(COUNTIFS($A$2:$A$201,$A91,$CT$2:$CT$201,1,$H$2:$H$201,"&gt;"&amp;H91)+COUNTIFS($A$2:$A$201,$A91,$CT$2:$CT$201,1,$H$2:$H$201,H91,$AX$2:$AX$201,"&gt;"&amp;AX91)=0,1,0),0)</f>
        <v>0</v>
      </c>
      <c r="CV91" s="23" t="n">
        <f aca="false">IF(AND(CS91=1,INT(N(H91))&lt;=Config!$B$6),IF(COUNTIFS($AW$2:$AW$201,AW91,$CS$2:$CS$201,1,$H$2:$H$201,"&gt;"&amp;H91,$H$2:$H$201,"&lt;"&amp;(Config!$B$6+1))+COUNTIFS($AW$2:$AW$201,AW91,$CS$2:$CS$201,1,$H$2:$H$201,H91,$AX$2:$AX$201,"&gt;"&amp;AX91)=0,1,0),0)</f>
        <v>0</v>
      </c>
      <c r="CW91" s="23" t="n">
        <f aca="false">IF(AND(CS91=1,INT(N(H91))&lt;=Config!$B$7),IF(COUNTIFS($AW$2:$AW$201,AW91,$CS$2:$CS$201,1,$H$2:$H$201,"&gt;"&amp;H91,$H$2:$H$201,"&lt;"&amp;(Config!$B$7+1))+COUNTIFS($AW$2:$AW$201,AW91,$CS$2:$CS$201,1,$H$2:$H$201,H91,$AX$2:$AX$201,"&gt;"&amp;AX91)=0,1,0),0)</f>
        <v>0</v>
      </c>
      <c r="CX91" s="23" t="n">
        <f aca="false">IF(AND(CS91=1,INT(N(H91))&lt;=Config!$B$8),IF(COUNTIFS($AW$2:$AW$201,AW91,$CS$2:$CS$201,1,$H$2:$H$201,"&gt;"&amp;H91,$H$2:$H$201,"&lt;"&amp;(Config!$B$8+1))+COUNTIFS($AW$2:$AW$201,AW91,$CS$2:$CS$201,1,$H$2:$H$201,H91,$AX$2:$AX$201,"&gt;"&amp;AX91)=0,1,0),0)</f>
        <v>0</v>
      </c>
      <c r="CY91" s="23" t="n">
        <f aca="false">IF(AND(CS91=1,INT(N(H91))&lt;=Config!$B$5),IF(COUNTIFS($AW$2:$AW$201,AW91,$CS$2:$CS$201,1,$H$2:$H$201,"&gt;"&amp;H91,$H$2:$H$201,"&lt;"&amp;(Config!$B$5+1))+COUNTIFS($AW$2:$AW$201,AW91,$CS$2:$CS$201,1,$H$2:$H$201,H91,$AX$2:$AX$201,"&gt;"&amp;AX91)=0,1,0),0)</f>
        <v>0</v>
      </c>
      <c r="CZ91" s="23" t="n">
        <f aca="false">IF(AY91=1,IF(COUNTIFS($AW$2:$AW$201,AW91,$CV$2:$CV$201,1,$BB$2:$BB$201,1)&gt;0,1,0),0)</f>
        <v>0</v>
      </c>
      <c r="DA91" s="23" t="n">
        <f aca="false">IF(AY91=1,IF(COUNTIFS($AW$2:$AW$201,AW91,$CW$2:$CW$201,1,$BB$2:$BB$201,1)&gt;0,1,0),0)</f>
        <v>0</v>
      </c>
      <c r="DB91" s="23" t="n">
        <f aca="false">IF(AY91=1,IF(COUNTIFS($AW$2:$AW$201,AW91,$CX$2:$CX$201,1,$BB$2:$BB$201,1)&gt;0,1,0),0)</f>
        <v>0</v>
      </c>
      <c r="DC91" s="23" t="n">
        <f aca="false">IF(AY91=1,IF(COUNTIFS($AW$2:$AW$201,AW91,$CY$2:$CY$201,1,$BB$2:$BB$201,1)&gt;0,1,0),0)</f>
        <v>0</v>
      </c>
      <c r="DD91" s="23" t="n">
        <f aca="false">IF(AND(BC91=1,INT(N(H91))&lt;=Config!$B$6,CZ91=1),1,0)</f>
        <v>0</v>
      </c>
      <c r="DE91" s="23" t="n">
        <f aca="false">IF(AND(BC91=1,INT(N(H91))&lt;=Config!$B$7,DA91=1),1,0)</f>
        <v>0</v>
      </c>
      <c r="DF91" s="23" t="n">
        <f aca="false">IF(AND(BC91=1,INT(N(H91))&lt;=Config!$B$8,DB91=1),1,0)</f>
        <v>0</v>
      </c>
      <c r="DG91" s="23" t="n">
        <f aca="false">IF(AND(BC91=1,INT(N(H91))&lt;=Config!$B$5,DC91=1),1,0)</f>
        <v>0</v>
      </c>
      <c r="DH91" s="23" t="n">
        <f aca="false">IF(AND(BE91=1,INT(N(H91))&lt;=Config!$B$6,CZ91=1),1,0)</f>
        <v>0</v>
      </c>
      <c r="DI91" s="23" t="n">
        <f aca="false">IF(AND(BE91=1,INT(N(H91))&lt;=Config!$B$7,DA91=1),1,0)</f>
        <v>0</v>
      </c>
      <c r="DJ91" s="23" t="n">
        <f aca="false">IF(AND(BE91=1,INT(N(H91))&lt;=Config!$B$8,DB91=1),1,0)</f>
        <v>0</v>
      </c>
      <c r="DK91" s="23" t="n">
        <f aca="false">IF(AND(BE91=1,INT(N(H91))&lt;=Config!$B$5,DC91=1),1,0)</f>
        <v>0</v>
      </c>
      <c r="DL91" s="23" t="n">
        <f aca="false">IF(AND(BC91=1,INT(N(H91))&lt;=Config!$B$6,CZ91=0),1,0)</f>
        <v>0</v>
      </c>
      <c r="DM91" s="23" t="n">
        <f aca="false">IF(AND(BC91=1,INT(N(H91))&lt;=Config!$B$7,DA91=0),1,0)</f>
        <v>0</v>
      </c>
      <c r="DN91" s="23" t="n">
        <f aca="false">IF(AND(BC91=1,INT(N(H91))&lt;=Config!$B$8,DB91=0),1,0)</f>
        <v>0</v>
      </c>
      <c r="DO91" s="23" t="n">
        <f aca="false">IF(AND(BC91=1,INT(N(H91))&lt;=Config!$B$5,DC91=0),1,0)</f>
        <v>0</v>
      </c>
      <c r="DP91" s="23" t="n">
        <f aca="false">IF(TRIM($A91)="",0,ISTEXT(K91)+ISTEXT(L91)+ISTEXT(R91)+ISTEXT(V91)+ISTEXT(AP91)+ISTEXT(AS91))</f>
        <v>0</v>
      </c>
      <c r="DQ91" s="23" t="n">
        <f aca="false">IF(AY91=1,IF(H91&lt;&gt;INT(H91),1,0),0)</f>
        <v>0</v>
      </c>
      <c r="DR91" s="23" t="str">
        <f aca="false">IF(TRIM($A91)="","",IF(TRIM(B91)="",SUBSTITUTE(SUBSTITUTE(SUBSTITUTE(SUBSTITUTE(SUBSTITUTE(SUBSTITUTE(LOWER(TRIM($A91)),"~",""),"*",""),"?",""),"&lt;",""),"&gt;",""),"=",""),SUBSTITUTE(SUBSTITUTE(SUBSTITUTE(SUBSTITUTE(SUBSTITUTE(SUBSTITUTE(LOWER(TRIM(B91)),"~",""),"*",""),"?",""),"&lt;",""),"&gt;",""),"=","")))</f>
        <v/>
      </c>
      <c r="DS91" s="23" t="str">
        <f aca="false">IF(CM91="","",IFERROR(IF(LEFT(LOWER(TRIM(INDEX(Clay_Brands!$A$2:$FZ$601,CM91,Sync!$D$19)&amp;"")),4)="grp-",SUBSTITUTE(SUBSTITUTE(SUBSTITUTE(SUBSTITUTE(SUBSTITUTE(SUBSTITUTE(LOWER(TRIM(INDEX(Clay_Brands!$A$2:$FZ$601,CM91,Sync!$D$19)&amp;"")),"~",""),"*",""),"?",""),"&lt;",""),"&gt;",""),"=",""),""),""))</f>
        <v/>
      </c>
      <c r="DT91" s="23" t="str">
        <f aca="false">IF(DS91&lt;&gt;"",DR91,"")</f>
        <v/>
      </c>
      <c r="DU91" s="23" t="str">
        <f aca="false">IF(AZ91=1,AW91,"")</f>
        <v/>
      </c>
      <c r="DV91" s="23" t="str">
        <f aca="false">IF(TRIM($A91)="","",IFERROR(INDEX($A$2:$A$201,MATCH(AW91,$DU$2:$DU$201,0))&amp;"",$A91&amp;""))</f>
        <v/>
      </c>
      <c r="DW91" s="23" t="n">
        <f aca="false">IF(AY91=1,IF(COUNTIFS($A$2:$A$201,$A91,$AY$2:$AY$201,1,$H$2:$H$201,"&lt;"&amp;H91)+COUNTIFS($A$2:$A$201,$A91,$AY$2:$AY$201,1,$H$2:$H$201,H91,$AX$2:$AX$201,"&lt;"&amp;AX91)=0,1,0),0)</f>
        <v>0</v>
      </c>
      <c r="DX91" s="23" t="n">
        <f aca="false">IF(AZ91=1,IF(COUNTIFS($AW$2:$AW$201,AW91,$DW$2:$DW$201,1)&gt;1,1,0),0)</f>
        <v>0</v>
      </c>
    </row>
    <row r="92" customFormat="false" ht="15" hidden="false" customHeight="false" outlineLevel="0" collapsed="false">
      <c r="G92" s="32"/>
      <c r="H92" s="33"/>
      <c r="I92" s="32"/>
      <c r="O92" s="32"/>
      <c r="P92" s="32"/>
      <c r="U92" s="32"/>
      <c r="Y92" s="32"/>
      <c r="AB92" s="32"/>
      <c r="AC92" s="32"/>
      <c r="AD92" s="32"/>
      <c r="AE92" s="32"/>
      <c r="AF92" s="32"/>
      <c r="AG92" s="32"/>
      <c r="AI92" s="32"/>
      <c r="AJ92" s="32"/>
      <c r="AK92" s="32"/>
      <c r="AN92" s="32"/>
      <c r="AO92" s="32"/>
      <c r="AR92" s="32"/>
      <c r="AT92" s="32"/>
      <c r="AV92" s="34" t="str">
        <f aca="false">IF(TRIM($A92)="","",IF(AND(LEFT($A92,6)="SAMPLE",Config!$B$19&lt;&gt;"Y"),"",IF(NOT(ISNUMBER(H92)),"call_date is blank or not a date",IF(Sync!$D$5="","Clay paste is empty or has no row_id column: paste the Clay export on Clay_Brands",IF(CM92="","row_id not found in the Clay paste: add the Clay row or fix the row_id",IF(AND(ISNUMBER(CO92),CO92&gt;=1,CO92&lt;=5),"Clay status is "&amp;CN92&amp;": set call_done or later",IF(AND(BA92=1,CP92&lt;&gt;CB92),"Clay yes_in_principle should be "&amp;CB92,IF(AND(BA92=1,CQ92&lt;&gt;H92),"Clay call_date should be "&amp;TEXT(H92,"yyyy-mm-dd"),""))))))))</f>
        <v/>
      </c>
      <c r="AW92" s="23" t="str">
        <f aca="false">IF(TRIM($A92)="","",IF(TRIM(C92)&lt;&gt;"",SUBSTITUTE(SUBSTITUTE(SUBSTITUTE(SUBSTITUTE(SUBSTITUTE(SUBSTITUTE(LOWER(TRIM(C92)),"~",""),"*",""),"?",""),"&lt;",""),"&gt;",""),"=",""),IF(DS92&lt;&gt;"",DS92,IFERROR(INDEX($DS$2:$DS$201,MATCH(DR92,$DT$2:$DT$201,0)),DR92))))</f>
        <v/>
      </c>
      <c r="AX92" s="23" t="n">
        <f aca="false">ROW()</f>
        <v>92</v>
      </c>
      <c r="AY92" s="23" t="n">
        <f aca="false">IF(AND(TRIM($A92)&lt;&gt;"",ISNUMBER(H92)),IF(AND(LEFT($A92,6)="SAMPLE",Config!$B$19&lt;&gt;"Y"),0,1),0)</f>
        <v>0</v>
      </c>
      <c r="AZ92" s="23" t="n">
        <f aca="false">IF(AY92=1,IF(COUNTIFS($AW$2:$AW$201,AW92,$AY$2:$AY$201,1,$H$2:$H$201,"&lt;"&amp;H92)+COUNTIFS($AW$2:$AW$201,AW92,$AY$2:$AY$201,1,$H$2:$H$201,H92,$AX$2:$AX$201,"&lt;"&amp;AX92)=0,1,0),0)</f>
        <v>0</v>
      </c>
      <c r="BA92" s="23" t="n">
        <f aca="false">IF(AY92=1,IF(COUNTIFS($A$2:$A$201,$A92,$AY$2:$AY$201,1,$H$2:$H$201,"&gt;"&amp;H92)+COUNTIFS($A$2:$A$201,$A92,$AY$2:$AY$201,1,$H$2:$H$201,H92,$AX$2:$AX$201,"&gt;"&amp;AX92)=0,1,0),0)</f>
        <v>0</v>
      </c>
      <c r="BB92" s="23" t="n">
        <f aca="false">IF(AND(AY92=1,O92="Y",MAX(N(R92),N(V92))&gt;=Config!$B$14),1,0)</f>
        <v>0</v>
      </c>
      <c r="BC92" s="23" t="n">
        <f aca="false">IF(BB92=1,IF(COUNTIFS($AW$2:$AW$201,AW92,$BB$2:$BB$201,1,$H$2:$H$201,"&lt;"&amp;H92)+COUNTIFS($AW$2:$AW$201,AW92,$BB$2:$BB$201,1,$H$2:$H$201,H92,$AX$2:$AX$201,"&lt;"&amp;AX92)=0,1,0),0)</f>
        <v>0</v>
      </c>
      <c r="BD92" s="23" t="n">
        <f aca="false">IF(AND(AY92=1,O92="Y",ISNUMBER(R92)),IF(R92&gt;=Config!$B$14,1,0),0)</f>
        <v>0</v>
      </c>
      <c r="BE92" s="23" t="n">
        <f aca="false">IF(BD92=1,IF(COUNTIFS($AW$2:$AW$201,AW92,$BD$2:$BD$201,1,$H$2:$H$201,"&lt;"&amp;H92)+COUNTIFS($AW$2:$AW$201,AW92,$BD$2:$BD$201,1,$H$2:$H$201,H92,$AX$2:$AX$201,"&lt;"&amp;AX92)=0,1,0),0)</f>
        <v>0</v>
      </c>
      <c r="BF92" s="23" t="n">
        <f aca="false">IF(AND(AY92=1,O92&lt;&gt;"Y",MAX(N(R92),N(V92))&gt;=Config!$B$14),1,0)</f>
        <v>0</v>
      </c>
      <c r="BG92" s="23" t="n">
        <f aca="false">IF(BF92=1,IF(COUNTIFS($AW$2:$AW$201,AW92,$BF$2:$BF$201,1,$H$2:$H$201,"&lt;"&amp;H92)+COUNTIFS($AW$2:$AW$201,AW92,$BF$2:$BF$201,1,$H$2:$H$201,H92,$AX$2:$AX$201,"&lt;"&amp;AX92)=0,1,0),0)</f>
        <v>0</v>
      </c>
      <c r="BH92" s="23" t="n">
        <f aca="false">IF(AND(AY92=1,ISNUMBER(R92)),1,0)</f>
        <v>0</v>
      </c>
      <c r="BI92" s="23" t="n">
        <f aca="false">IF(BH92=1,IF(COUNTIFS($AW$2:$AW$201,AW92,$BH$2:$BH$201,1,$H$2:$H$201,"&lt;"&amp;H92)+COUNTIFS($AW$2:$AW$201,AW92,$BH$2:$BH$201,1,$H$2:$H$201,H92,$AX$2:$AX$201,"&lt;"&amp;AX92)=0,1,0),0)</f>
        <v>0</v>
      </c>
      <c r="BJ92" s="23" t="str">
        <f aca="false">IF(AND(BI92=1,INT(N(H92))&lt;=Config!$B$6),R92,"")</f>
        <v/>
      </c>
      <c r="BK92" s="23" t="str">
        <f aca="false">IF(AND(BI92=1,INT(N(H92))&lt;=Config!$B$7),R92,"")</f>
        <v/>
      </c>
      <c r="BL92" s="23" t="str">
        <f aca="false">IF(AND(BI92=1,INT(N(H92))&lt;=Config!$B$8),R92,"")</f>
        <v/>
      </c>
      <c r="BM92" s="23" t="str">
        <f aca="false">IF(AND(BI92=1,INT(N(H92))&lt;=Config!$B$5),R92,"")</f>
        <v/>
      </c>
      <c r="BN92" s="23" t="n">
        <f aca="false">IF(AND(AY92=1,ISNUMBER(V92)),1,0)</f>
        <v>0</v>
      </c>
      <c r="BO92" s="23" t="n">
        <f aca="false">IF(BN92=1,IF(COUNTIFS($AW$2:$AW$201,AW92,$BN$2:$BN$201,1,$H$2:$H$201,"&lt;"&amp;H92)+COUNTIFS($AW$2:$AW$201,AW92,$BN$2:$BN$201,1,$H$2:$H$201,H92,$AX$2:$AX$201,"&lt;"&amp;AX92)=0,1,0),0)</f>
        <v>0</v>
      </c>
      <c r="BP92" s="23" t="str">
        <f aca="false">IF(AND(BO92=1,INT(N(H92))&lt;=Config!$B$6),V92,"")</f>
        <v/>
      </c>
      <c r="BQ92" s="23" t="str">
        <f aca="false">IF(AND(BO92=1,INT(N(H92))&lt;=Config!$B$7),V92,"")</f>
        <v/>
      </c>
      <c r="BR92" s="23" t="str">
        <f aca="false">IF(AND(BO92=1,INT(N(H92))&lt;=Config!$B$8),V92,"")</f>
        <v/>
      </c>
      <c r="BS92" s="23" t="str">
        <f aca="false">IF(AND(BO92=1,INT(N(H92))&lt;=Config!$B$5),V92,"")</f>
        <v/>
      </c>
      <c r="BT92" s="23" t="n">
        <f aca="false">IF(AND(AY92=1,ISNUMBER(K92)),1,0)</f>
        <v>0</v>
      </c>
      <c r="BU92" s="23" t="n">
        <f aca="false">IF(BT92=1,IF(COUNTIFS($AW$2:$AW$201,AW92,$BT$2:$BT$201,1,$H$2:$H$201,"&lt;"&amp;H92)+COUNTIFS($AW$2:$AW$201,AW92,$BT$2:$BT$201,1,$H$2:$H$201,H92,$AX$2:$AX$201,"&lt;"&amp;AX92)=0,1,0),0)</f>
        <v>0</v>
      </c>
      <c r="BV92" s="23" t="str">
        <f aca="false">IF(AND(BU92=1,INT(N(H92))&lt;=Config!$B$5),K92,"")</f>
        <v/>
      </c>
      <c r="BW92" s="23" t="n">
        <f aca="false">IF(AND(AY92=1,OR(AND(ISNUMBER(R92),TRIM(S92)=""),AND(ISNUMBER(V92),TRIM(W92)=""))),1,0)</f>
        <v>0</v>
      </c>
      <c r="BX92" s="23" t="str">
        <f aca="false">IF(AY92=1,AJ92&amp;"","")</f>
        <v/>
      </c>
      <c r="BY92" s="23" t="str">
        <f aca="false">IF(AY92=1,AK92&amp;"","")</f>
        <v/>
      </c>
      <c r="BZ92" s="23" t="str">
        <f aca="false">IF(AY92=1,AL92&amp;"","")</f>
        <v/>
      </c>
      <c r="CA92" s="23" t="str">
        <f aca="false">IF(AND(AY92=1,ISNUMBER(AS92),INT(N(H92))&lt;=Config!$B$5),AS92,"")</f>
        <v/>
      </c>
      <c r="CB92" s="23" t="str">
        <f aca="false">IF(AY92=1,IF(COUNTIFS($A$2:$A$201,$A92,$CU$2:$CU$201,1,$AN$2:$AN$201,"Y")&gt;0,"Y","N"),"")</f>
        <v/>
      </c>
      <c r="CC92" s="23" t="n">
        <f aca="false">IF(AND(AY92=1,AN92="Y"),IF(COUNTIFS($AW$2:$AW$201,AW92,$AN$2:$AN$201,"Y",$AY$2:$AY$201,1,$H$2:$H$201,"&lt;"&amp;H92)+COUNTIFS($AW$2:$AW$201,AW92,$AN$2:$AN$201,"Y",$AY$2:$AY$201,1,$H$2:$H$201,H92,$AX$2:$AX$201,"&lt;"&amp;AX92)=0,1,0),0)</f>
        <v>0</v>
      </c>
      <c r="CD92" s="23" t="n">
        <f aca="false">IF(AND(AY92=1,AB92="Y",AC92="Y",AD92="Y",AE92="Y",AF92="Y",AG92="Y",AI92="Y",TRIM(AH92)&lt;&gt;""),1,0)</f>
        <v>0</v>
      </c>
      <c r="CE92" s="23" t="n">
        <f aca="false">IF(CD92=1,IF(COUNTIFS($AW$2:$AW$201,AW92,$CD$2:$CD$201,1,$H$2:$H$201,"&lt;"&amp;H92)+COUNTIFS($AW$2:$AW$201,AW92,$CD$2:$CD$201,1,$H$2:$H$201,H92,$AX$2:$AX$201,"&lt;"&amp;AX92)=0,1,0),0)</f>
        <v>0</v>
      </c>
      <c r="CF92" s="23" t="n">
        <f aca="false">IF(AND(AY92=1,AO92="Y"),1,0)</f>
        <v>0</v>
      </c>
      <c r="CG92" s="23" t="n">
        <f aca="false">IF(CF92=1,IF(COUNTIFS($AW$2:$AW$201,AW92,$CF$2:$CF$201,1,$H$2:$H$201,"&lt;"&amp;H92)+COUNTIFS($AW$2:$AW$201,AW92,$CF$2:$CF$201,1,$H$2:$H$201,H92,$AX$2:$AX$201,"&lt;"&amp;AX92)=0,1,0),0)</f>
        <v>0</v>
      </c>
      <c r="CH92" s="23" t="n">
        <f aca="false">IF(AND(AY92=1,P92="Y"),1,0)</f>
        <v>0</v>
      </c>
      <c r="CI92" s="23" t="n">
        <f aca="false">IF(CH92=1,IF(COUNTIFS($AW$2:$AW$201,AW92,$CH$2:$CH$201,1,$H$2:$H$201,"&lt;"&amp;H92)+COUNTIFS($AW$2:$AW$201,AW92,$CH$2:$CH$201,1,$H$2:$H$201,H92,$AX$2:$AX$201,"&lt;"&amp;AX92)=0,1,0),0)</f>
        <v>0</v>
      </c>
      <c r="CJ92" s="23" t="str">
        <f aca="false">IF(AND(BU92=1,INT(N(H92))&lt;=Config!$B$5),L92,"")</f>
        <v/>
      </c>
      <c r="CK92" s="23" t="n">
        <f aca="false">IF(AND(AY92=1,AR92="Y"),1,0)</f>
        <v>0</v>
      </c>
      <c r="CL92" s="23" t="n">
        <f aca="false">IF(CK92=1,IF(COUNTIFS($AW$2:$AW$201,AW92,$CK$2:$CK$201,1,$H$2:$H$201,"&lt;"&amp;H92)+COUNTIFS($AW$2:$AW$201,AW92,$CK$2:$CK$201,1,$H$2:$H$201,H92,$AX$2:$AX$201,"&lt;"&amp;AX92)=0,1,0),0)</f>
        <v>0</v>
      </c>
      <c r="CM92" s="23" t="str">
        <f aca="false">IF(AY92=1,IFERROR(MATCH($A92,INDEX(Clay_Brands!$A$2:$FZ$601,0,Sync!$D$5),0),""),"")</f>
        <v/>
      </c>
      <c r="CN92" s="23" t="str">
        <f aca="false">IF(CM92="","",IFERROR(INDEX(Clay_Brands!$A$2:$FZ$601,CM92,Sync!$D$7)&amp;"",""))</f>
        <v/>
      </c>
      <c r="CO92" s="23" t="str">
        <f aca="false">IF(CN92="","",IFERROR(INDEX(Lists!$K$2:$K$15,MATCH(CN92,Lists!$J$2:$J$15,0)),""))</f>
        <v/>
      </c>
      <c r="CP92" s="23" t="str">
        <f aca="false">IF(CM92="","",IFERROR(INDEX(Clay_Brands!$A$2:$FZ$601,CM92,Sync!$D$17)&amp;"",""))</f>
        <v/>
      </c>
      <c r="CQ92" s="35" t="str">
        <f aca="false">IF(CM92="","",IFERROR(N(INDEX(Clay_Brands!$A$2:$FZ$601,CM92,Sync!$D$16)),0))</f>
        <v/>
      </c>
      <c r="CR92" s="23" t="n">
        <f aca="false">IF(AND(AY92=1,OR(O92="N",AND(OR(ISNUMBER(R92),ISNUMBER(V92)),MAX(N(R92),N(V92))&lt;Config!$B$14))),1,0)</f>
        <v>0</v>
      </c>
      <c r="CS92" s="23" t="n">
        <f aca="false">IF(OR(BB92=1,CR92=1),1,0)</f>
        <v>0</v>
      </c>
      <c r="CT92" s="23" t="n">
        <f aca="false">IF(AND(AY92=1,OR(AN92="Y",AN92="N",AN92="maybe")),1,0)</f>
        <v>0</v>
      </c>
      <c r="CU92" s="23" t="n">
        <f aca="false">IF(AND(CT92=1),IF(COUNTIFS($A$2:$A$201,$A92,$CT$2:$CT$201,1,$H$2:$H$201,"&gt;"&amp;H92)+COUNTIFS($A$2:$A$201,$A92,$CT$2:$CT$201,1,$H$2:$H$201,H92,$AX$2:$AX$201,"&gt;"&amp;AX92)=0,1,0),0)</f>
        <v>0</v>
      </c>
      <c r="CV92" s="23" t="n">
        <f aca="false">IF(AND(CS92=1,INT(N(H92))&lt;=Config!$B$6),IF(COUNTIFS($AW$2:$AW$201,AW92,$CS$2:$CS$201,1,$H$2:$H$201,"&gt;"&amp;H92,$H$2:$H$201,"&lt;"&amp;(Config!$B$6+1))+COUNTIFS($AW$2:$AW$201,AW92,$CS$2:$CS$201,1,$H$2:$H$201,H92,$AX$2:$AX$201,"&gt;"&amp;AX92)=0,1,0),0)</f>
        <v>0</v>
      </c>
      <c r="CW92" s="23" t="n">
        <f aca="false">IF(AND(CS92=1,INT(N(H92))&lt;=Config!$B$7),IF(COUNTIFS($AW$2:$AW$201,AW92,$CS$2:$CS$201,1,$H$2:$H$201,"&gt;"&amp;H92,$H$2:$H$201,"&lt;"&amp;(Config!$B$7+1))+COUNTIFS($AW$2:$AW$201,AW92,$CS$2:$CS$201,1,$H$2:$H$201,H92,$AX$2:$AX$201,"&gt;"&amp;AX92)=0,1,0),0)</f>
        <v>0</v>
      </c>
      <c r="CX92" s="23" t="n">
        <f aca="false">IF(AND(CS92=1,INT(N(H92))&lt;=Config!$B$8),IF(COUNTIFS($AW$2:$AW$201,AW92,$CS$2:$CS$201,1,$H$2:$H$201,"&gt;"&amp;H92,$H$2:$H$201,"&lt;"&amp;(Config!$B$8+1))+COUNTIFS($AW$2:$AW$201,AW92,$CS$2:$CS$201,1,$H$2:$H$201,H92,$AX$2:$AX$201,"&gt;"&amp;AX92)=0,1,0),0)</f>
        <v>0</v>
      </c>
      <c r="CY92" s="23" t="n">
        <f aca="false">IF(AND(CS92=1,INT(N(H92))&lt;=Config!$B$5),IF(COUNTIFS($AW$2:$AW$201,AW92,$CS$2:$CS$201,1,$H$2:$H$201,"&gt;"&amp;H92,$H$2:$H$201,"&lt;"&amp;(Config!$B$5+1))+COUNTIFS($AW$2:$AW$201,AW92,$CS$2:$CS$201,1,$H$2:$H$201,H92,$AX$2:$AX$201,"&gt;"&amp;AX92)=0,1,0),0)</f>
        <v>0</v>
      </c>
      <c r="CZ92" s="23" t="n">
        <f aca="false">IF(AY92=1,IF(COUNTIFS($AW$2:$AW$201,AW92,$CV$2:$CV$201,1,$BB$2:$BB$201,1)&gt;0,1,0),0)</f>
        <v>0</v>
      </c>
      <c r="DA92" s="23" t="n">
        <f aca="false">IF(AY92=1,IF(COUNTIFS($AW$2:$AW$201,AW92,$CW$2:$CW$201,1,$BB$2:$BB$201,1)&gt;0,1,0),0)</f>
        <v>0</v>
      </c>
      <c r="DB92" s="23" t="n">
        <f aca="false">IF(AY92=1,IF(COUNTIFS($AW$2:$AW$201,AW92,$CX$2:$CX$201,1,$BB$2:$BB$201,1)&gt;0,1,0),0)</f>
        <v>0</v>
      </c>
      <c r="DC92" s="23" t="n">
        <f aca="false">IF(AY92=1,IF(COUNTIFS($AW$2:$AW$201,AW92,$CY$2:$CY$201,1,$BB$2:$BB$201,1)&gt;0,1,0),0)</f>
        <v>0</v>
      </c>
      <c r="DD92" s="23" t="n">
        <f aca="false">IF(AND(BC92=1,INT(N(H92))&lt;=Config!$B$6,CZ92=1),1,0)</f>
        <v>0</v>
      </c>
      <c r="DE92" s="23" t="n">
        <f aca="false">IF(AND(BC92=1,INT(N(H92))&lt;=Config!$B$7,DA92=1),1,0)</f>
        <v>0</v>
      </c>
      <c r="DF92" s="23" t="n">
        <f aca="false">IF(AND(BC92=1,INT(N(H92))&lt;=Config!$B$8,DB92=1),1,0)</f>
        <v>0</v>
      </c>
      <c r="DG92" s="23" t="n">
        <f aca="false">IF(AND(BC92=1,INT(N(H92))&lt;=Config!$B$5,DC92=1),1,0)</f>
        <v>0</v>
      </c>
      <c r="DH92" s="23" t="n">
        <f aca="false">IF(AND(BE92=1,INT(N(H92))&lt;=Config!$B$6,CZ92=1),1,0)</f>
        <v>0</v>
      </c>
      <c r="DI92" s="23" t="n">
        <f aca="false">IF(AND(BE92=1,INT(N(H92))&lt;=Config!$B$7,DA92=1),1,0)</f>
        <v>0</v>
      </c>
      <c r="DJ92" s="23" t="n">
        <f aca="false">IF(AND(BE92=1,INT(N(H92))&lt;=Config!$B$8,DB92=1),1,0)</f>
        <v>0</v>
      </c>
      <c r="DK92" s="23" t="n">
        <f aca="false">IF(AND(BE92=1,INT(N(H92))&lt;=Config!$B$5,DC92=1),1,0)</f>
        <v>0</v>
      </c>
      <c r="DL92" s="23" t="n">
        <f aca="false">IF(AND(BC92=1,INT(N(H92))&lt;=Config!$B$6,CZ92=0),1,0)</f>
        <v>0</v>
      </c>
      <c r="DM92" s="23" t="n">
        <f aca="false">IF(AND(BC92=1,INT(N(H92))&lt;=Config!$B$7,DA92=0),1,0)</f>
        <v>0</v>
      </c>
      <c r="DN92" s="23" t="n">
        <f aca="false">IF(AND(BC92=1,INT(N(H92))&lt;=Config!$B$8,DB92=0),1,0)</f>
        <v>0</v>
      </c>
      <c r="DO92" s="23" t="n">
        <f aca="false">IF(AND(BC92=1,INT(N(H92))&lt;=Config!$B$5,DC92=0),1,0)</f>
        <v>0</v>
      </c>
      <c r="DP92" s="23" t="n">
        <f aca="false">IF(TRIM($A92)="",0,ISTEXT(K92)+ISTEXT(L92)+ISTEXT(R92)+ISTEXT(V92)+ISTEXT(AP92)+ISTEXT(AS92))</f>
        <v>0</v>
      </c>
      <c r="DQ92" s="23" t="n">
        <f aca="false">IF(AY92=1,IF(H92&lt;&gt;INT(H92),1,0),0)</f>
        <v>0</v>
      </c>
      <c r="DR92" s="23" t="str">
        <f aca="false">IF(TRIM($A92)="","",IF(TRIM(B92)="",SUBSTITUTE(SUBSTITUTE(SUBSTITUTE(SUBSTITUTE(SUBSTITUTE(SUBSTITUTE(LOWER(TRIM($A92)),"~",""),"*",""),"?",""),"&lt;",""),"&gt;",""),"=",""),SUBSTITUTE(SUBSTITUTE(SUBSTITUTE(SUBSTITUTE(SUBSTITUTE(SUBSTITUTE(LOWER(TRIM(B92)),"~",""),"*",""),"?",""),"&lt;",""),"&gt;",""),"=","")))</f>
        <v/>
      </c>
      <c r="DS92" s="23" t="str">
        <f aca="false">IF(CM92="","",IFERROR(IF(LEFT(LOWER(TRIM(INDEX(Clay_Brands!$A$2:$FZ$601,CM92,Sync!$D$19)&amp;"")),4)="grp-",SUBSTITUTE(SUBSTITUTE(SUBSTITUTE(SUBSTITUTE(SUBSTITUTE(SUBSTITUTE(LOWER(TRIM(INDEX(Clay_Brands!$A$2:$FZ$601,CM92,Sync!$D$19)&amp;"")),"~",""),"*",""),"?",""),"&lt;",""),"&gt;",""),"=",""),""),""))</f>
        <v/>
      </c>
      <c r="DT92" s="23" t="str">
        <f aca="false">IF(DS92&lt;&gt;"",DR92,"")</f>
        <v/>
      </c>
      <c r="DU92" s="23" t="str">
        <f aca="false">IF(AZ92=1,AW92,"")</f>
        <v/>
      </c>
      <c r="DV92" s="23" t="str">
        <f aca="false">IF(TRIM($A92)="","",IFERROR(INDEX($A$2:$A$201,MATCH(AW92,$DU$2:$DU$201,0))&amp;"",$A92&amp;""))</f>
        <v/>
      </c>
      <c r="DW92" s="23" t="n">
        <f aca="false">IF(AY92=1,IF(COUNTIFS($A$2:$A$201,$A92,$AY$2:$AY$201,1,$H$2:$H$201,"&lt;"&amp;H92)+COUNTIFS($A$2:$A$201,$A92,$AY$2:$AY$201,1,$H$2:$H$201,H92,$AX$2:$AX$201,"&lt;"&amp;AX92)=0,1,0),0)</f>
        <v>0</v>
      </c>
      <c r="DX92" s="23" t="n">
        <f aca="false">IF(AZ92=1,IF(COUNTIFS($AW$2:$AW$201,AW92,$DW$2:$DW$201,1)&gt;1,1,0),0)</f>
        <v>0</v>
      </c>
    </row>
    <row r="93" customFormat="false" ht="15" hidden="false" customHeight="false" outlineLevel="0" collapsed="false">
      <c r="G93" s="32"/>
      <c r="H93" s="33"/>
      <c r="I93" s="32"/>
      <c r="O93" s="32"/>
      <c r="P93" s="32"/>
      <c r="U93" s="32"/>
      <c r="Y93" s="32"/>
      <c r="AB93" s="32"/>
      <c r="AC93" s="32"/>
      <c r="AD93" s="32"/>
      <c r="AE93" s="32"/>
      <c r="AF93" s="32"/>
      <c r="AG93" s="32"/>
      <c r="AI93" s="32"/>
      <c r="AJ93" s="32"/>
      <c r="AK93" s="32"/>
      <c r="AN93" s="32"/>
      <c r="AO93" s="32"/>
      <c r="AR93" s="32"/>
      <c r="AT93" s="32"/>
      <c r="AV93" s="34" t="str">
        <f aca="false">IF(TRIM($A93)="","",IF(AND(LEFT($A93,6)="SAMPLE",Config!$B$19&lt;&gt;"Y"),"",IF(NOT(ISNUMBER(H93)),"call_date is blank or not a date",IF(Sync!$D$5="","Clay paste is empty or has no row_id column: paste the Clay export on Clay_Brands",IF(CM93="","row_id not found in the Clay paste: add the Clay row or fix the row_id",IF(AND(ISNUMBER(CO93),CO93&gt;=1,CO93&lt;=5),"Clay status is "&amp;CN93&amp;": set call_done or later",IF(AND(BA93=1,CP93&lt;&gt;CB93),"Clay yes_in_principle should be "&amp;CB93,IF(AND(BA93=1,CQ93&lt;&gt;H93),"Clay call_date should be "&amp;TEXT(H93,"yyyy-mm-dd"),""))))))))</f>
        <v/>
      </c>
      <c r="AW93" s="23" t="str">
        <f aca="false">IF(TRIM($A93)="","",IF(TRIM(C93)&lt;&gt;"",SUBSTITUTE(SUBSTITUTE(SUBSTITUTE(SUBSTITUTE(SUBSTITUTE(SUBSTITUTE(LOWER(TRIM(C93)),"~",""),"*",""),"?",""),"&lt;",""),"&gt;",""),"=",""),IF(DS93&lt;&gt;"",DS93,IFERROR(INDEX($DS$2:$DS$201,MATCH(DR93,$DT$2:$DT$201,0)),DR93))))</f>
        <v/>
      </c>
      <c r="AX93" s="23" t="n">
        <f aca="false">ROW()</f>
        <v>93</v>
      </c>
      <c r="AY93" s="23" t="n">
        <f aca="false">IF(AND(TRIM($A93)&lt;&gt;"",ISNUMBER(H93)),IF(AND(LEFT($A93,6)="SAMPLE",Config!$B$19&lt;&gt;"Y"),0,1),0)</f>
        <v>0</v>
      </c>
      <c r="AZ93" s="23" t="n">
        <f aca="false">IF(AY93=1,IF(COUNTIFS($AW$2:$AW$201,AW93,$AY$2:$AY$201,1,$H$2:$H$201,"&lt;"&amp;H93)+COUNTIFS($AW$2:$AW$201,AW93,$AY$2:$AY$201,1,$H$2:$H$201,H93,$AX$2:$AX$201,"&lt;"&amp;AX93)=0,1,0),0)</f>
        <v>0</v>
      </c>
      <c r="BA93" s="23" t="n">
        <f aca="false">IF(AY93=1,IF(COUNTIFS($A$2:$A$201,$A93,$AY$2:$AY$201,1,$H$2:$H$201,"&gt;"&amp;H93)+COUNTIFS($A$2:$A$201,$A93,$AY$2:$AY$201,1,$H$2:$H$201,H93,$AX$2:$AX$201,"&gt;"&amp;AX93)=0,1,0),0)</f>
        <v>0</v>
      </c>
      <c r="BB93" s="23" t="n">
        <f aca="false">IF(AND(AY93=1,O93="Y",MAX(N(R93),N(V93))&gt;=Config!$B$14),1,0)</f>
        <v>0</v>
      </c>
      <c r="BC93" s="23" t="n">
        <f aca="false">IF(BB93=1,IF(COUNTIFS($AW$2:$AW$201,AW93,$BB$2:$BB$201,1,$H$2:$H$201,"&lt;"&amp;H93)+COUNTIFS($AW$2:$AW$201,AW93,$BB$2:$BB$201,1,$H$2:$H$201,H93,$AX$2:$AX$201,"&lt;"&amp;AX93)=0,1,0),0)</f>
        <v>0</v>
      </c>
      <c r="BD93" s="23" t="n">
        <f aca="false">IF(AND(AY93=1,O93="Y",ISNUMBER(R93)),IF(R93&gt;=Config!$B$14,1,0),0)</f>
        <v>0</v>
      </c>
      <c r="BE93" s="23" t="n">
        <f aca="false">IF(BD93=1,IF(COUNTIFS($AW$2:$AW$201,AW93,$BD$2:$BD$201,1,$H$2:$H$201,"&lt;"&amp;H93)+COUNTIFS($AW$2:$AW$201,AW93,$BD$2:$BD$201,1,$H$2:$H$201,H93,$AX$2:$AX$201,"&lt;"&amp;AX93)=0,1,0),0)</f>
        <v>0</v>
      </c>
      <c r="BF93" s="23" t="n">
        <f aca="false">IF(AND(AY93=1,O93&lt;&gt;"Y",MAX(N(R93),N(V93))&gt;=Config!$B$14),1,0)</f>
        <v>0</v>
      </c>
      <c r="BG93" s="23" t="n">
        <f aca="false">IF(BF93=1,IF(COUNTIFS($AW$2:$AW$201,AW93,$BF$2:$BF$201,1,$H$2:$H$201,"&lt;"&amp;H93)+COUNTIFS($AW$2:$AW$201,AW93,$BF$2:$BF$201,1,$H$2:$H$201,H93,$AX$2:$AX$201,"&lt;"&amp;AX93)=0,1,0),0)</f>
        <v>0</v>
      </c>
      <c r="BH93" s="23" t="n">
        <f aca="false">IF(AND(AY93=1,ISNUMBER(R93)),1,0)</f>
        <v>0</v>
      </c>
      <c r="BI93" s="23" t="n">
        <f aca="false">IF(BH93=1,IF(COUNTIFS($AW$2:$AW$201,AW93,$BH$2:$BH$201,1,$H$2:$H$201,"&lt;"&amp;H93)+COUNTIFS($AW$2:$AW$201,AW93,$BH$2:$BH$201,1,$H$2:$H$201,H93,$AX$2:$AX$201,"&lt;"&amp;AX93)=0,1,0),0)</f>
        <v>0</v>
      </c>
      <c r="BJ93" s="23" t="str">
        <f aca="false">IF(AND(BI93=1,INT(N(H93))&lt;=Config!$B$6),R93,"")</f>
        <v/>
      </c>
      <c r="BK93" s="23" t="str">
        <f aca="false">IF(AND(BI93=1,INT(N(H93))&lt;=Config!$B$7),R93,"")</f>
        <v/>
      </c>
      <c r="BL93" s="23" t="str">
        <f aca="false">IF(AND(BI93=1,INT(N(H93))&lt;=Config!$B$8),R93,"")</f>
        <v/>
      </c>
      <c r="BM93" s="23" t="str">
        <f aca="false">IF(AND(BI93=1,INT(N(H93))&lt;=Config!$B$5),R93,"")</f>
        <v/>
      </c>
      <c r="BN93" s="23" t="n">
        <f aca="false">IF(AND(AY93=1,ISNUMBER(V93)),1,0)</f>
        <v>0</v>
      </c>
      <c r="BO93" s="23" t="n">
        <f aca="false">IF(BN93=1,IF(COUNTIFS($AW$2:$AW$201,AW93,$BN$2:$BN$201,1,$H$2:$H$201,"&lt;"&amp;H93)+COUNTIFS($AW$2:$AW$201,AW93,$BN$2:$BN$201,1,$H$2:$H$201,H93,$AX$2:$AX$201,"&lt;"&amp;AX93)=0,1,0),0)</f>
        <v>0</v>
      </c>
      <c r="BP93" s="23" t="str">
        <f aca="false">IF(AND(BO93=1,INT(N(H93))&lt;=Config!$B$6),V93,"")</f>
        <v/>
      </c>
      <c r="BQ93" s="23" t="str">
        <f aca="false">IF(AND(BO93=1,INT(N(H93))&lt;=Config!$B$7),V93,"")</f>
        <v/>
      </c>
      <c r="BR93" s="23" t="str">
        <f aca="false">IF(AND(BO93=1,INT(N(H93))&lt;=Config!$B$8),V93,"")</f>
        <v/>
      </c>
      <c r="BS93" s="23" t="str">
        <f aca="false">IF(AND(BO93=1,INT(N(H93))&lt;=Config!$B$5),V93,"")</f>
        <v/>
      </c>
      <c r="BT93" s="23" t="n">
        <f aca="false">IF(AND(AY93=1,ISNUMBER(K93)),1,0)</f>
        <v>0</v>
      </c>
      <c r="BU93" s="23" t="n">
        <f aca="false">IF(BT93=1,IF(COUNTIFS($AW$2:$AW$201,AW93,$BT$2:$BT$201,1,$H$2:$H$201,"&lt;"&amp;H93)+COUNTIFS($AW$2:$AW$201,AW93,$BT$2:$BT$201,1,$H$2:$H$201,H93,$AX$2:$AX$201,"&lt;"&amp;AX93)=0,1,0),0)</f>
        <v>0</v>
      </c>
      <c r="BV93" s="23" t="str">
        <f aca="false">IF(AND(BU93=1,INT(N(H93))&lt;=Config!$B$5),K93,"")</f>
        <v/>
      </c>
      <c r="BW93" s="23" t="n">
        <f aca="false">IF(AND(AY93=1,OR(AND(ISNUMBER(R93),TRIM(S93)=""),AND(ISNUMBER(V93),TRIM(W93)=""))),1,0)</f>
        <v>0</v>
      </c>
      <c r="BX93" s="23" t="str">
        <f aca="false">IF(AY93=1,AJ93&amp;"","")</f>
        <v/>
      </c>
      <c r="BY93" s="23" t="str">
        <f aca="false">IF(AY93=1,AK93&amp;"","")</f>
        <v/>
      </c>
      <c r="BZ93" s="23" t="str">
        <f aca="false">IF(AY93=1,AL93&amp;"","")</f>
        <v/>
      </c>
      <c r="CA93" s="23" t="str">
        <f aca="false">IF(AND(AY93=1,ISNUMBER(AS93),INT(N(H93))&lt;=Config!$B$5),AS93,"")</f>
        <v/>
      </c>
      <c r="CB93" s="23" t="str">
        <f aca="false">IF(AY93=1,IF(COUNTIFS($A$2:$A$201,$A93,$CU$2:$CU$201,1,$AN$2:$AN$201,"Y")&gt;0,"Y","N"),"")</f>
        <v/>
      </c>
      <c r="CC93" s="23" t="n">
        <f aca="false">IF(AND(AY93=1,AN93="Y"),IF(COUNTIFS($AW$2:$AW$201,AW93,$AN$2:$AN$201,"Y",$AY$2:$AY$201,1,$H$2:$H$201,"&lt;"&amp;H93)+COUNTIFS($AW$2:$AW$201,AW93,$AN$2:$AN$201,"Y",$AY$2:$AY$201,1,$H$2:$H$201,H93,$AX$2:$AX$201,"&lt;"&amp;AX93)=0,1,0),0)</f>
        <v>0</v>
      </c>
      <c r="CD93" s="23" t="n">
        <f aca="false">IF(AND(AY93=1,AB93="Y",AC93="Y",AD93="Y",AE93="Y",AF93="Y",AG93="Y",AI93="Y",TRIM(AH93)&lt;&gt;""),1,0)</f>
        <v>0</v>
      </c>
      <c r="CE93" s="23" t="n">
        <f aca="false">IF(CD93=1,IF(COUNTIFS($AW$2:$AW$201,AW93,$CD$2:$CD$201,1,$H$2:$H$201,"&lt;"&amp;H93)+COUNTIFS($AW$2:$AW$201,AW93,$CD$2:$CD$201,1,$H$2:$H$201,H93,$AX$2:$AX$201,"&lt;"&amp;AX93)=0,1,0),0)</f>
        <v>0</v>
      </c>
      <c r="CF93" s="23" t="n">
        <f aca="false">IF(AND(AY93=1,AO93="Y"),1,0)</f>
        <v>0</v>
      </c>
      <c r="CG93" s="23" t="n">
        <f aca="false">IF(CF93=1,IF(COUNTIFS($AW$2:$AW$201,AW93,$CF$2:$CF$201,1,$H$2:$H$201,"&lt;"&amp;H93)+COUNTIFS($AW$2:$AW$201,AW93,$CF$2:$CF$201,1,$H$2:$H$201,H93,$AX$2:$AX$201,"&lt;"&amp;AX93)=0,1,0),0)</f>
        <v>0</v>
      </c>
      <c r="CH93" s="23" t="n">
        <f aca="false">IF(AND(AY93=1,P93="Y"),1,0)</f>
        <v>0</v>
      </c>
      <c r="CI93" s="23" t="n">
        <f aca="false">IF(CH93=1,IF(COUNTIFS($AW$2:$AW$201,AW93,$CH$2:$CH$201,1,$H$2:$H$201,"&lt;"&amp;H93)+COUNTIFS($AW$2:$AW$201,AW93,$CH$2:$CH$201,1,$H$2:$H$201,H93,$AX$2:$AX$201,"&lt;"&amp;AX93)=0,1,0),0)</f>
        <v>0</v>
      </c>
      <c r="CJ93" s="23" t="str">
        <f aca="false">IF(AND(BU93=1,INT(N(H93))&lt;=Config!$B$5),L93,"")</f>
        <v/>
      </c>
      <c r="CK93" s="23" t="n">
        <f aca="false">IF(AND(AY93=1,AR93="Y"),1,0)</f>
        <v>0</v>
      </c>
      <c r="CL93" s="23" t="n">
        <f aca="false">IF(CK93=1,IF(COUNTIFS($AW$2:$AW$201,AW93,$CK$2:$CK$201,1,$H$2:$H$201,"&lt;"&amp;H93)+COUNTIFS($AW$2:$AW$201,AW93,$CK$2:$CK$201,1,$H$2:$H$201,H93,$AX$2:$AX$201,"&lt;"&amp;AX93)=0,1,0),0)</f>
        <v>0</v>
      </c>
      <c r="CM93" s="23" t="str">
        <f aca="false">IF(AY93=1,IFERROR(MATCH($A93,INDEX(Clay_Brands!$A$2:$FZ$601,0,Sync!$D$5),0),""),"")</f>
        <v/>
      </c>
      <c r="CN93" s="23" t="str">
        <f aca="false">IF(CM93="","",IFERROR(INDEX(Clay_Brands!$A$2:$FZ$601,CM93,Sync!$D$7)&amp;"",""))</f>
        <v/>
      </c>
      <c r="CO93" s="23" t="str">
        <f aca="false">IF(CN93="","",IFERROR(INDEX(Lists!$K$2:$K$15,MATCH(CN93,Lists!$J$2:$J$15,0)),""))</f>
        <v/>
      </c>
      <c r="CP93" s="23" t="str">
        <f aca="false">IF(CM93="","",IFERROR(INDEX(Clay_Brands!$A$2:$FZ$601,CM93,Sync!$D$17)&amp;"",""))</f>
        <v/>
      </c>
      <c r="CQ93" s="35" t="str">
        <f aca="false">IF(CM93="","",IFERROR(N(INDEX(Clay_Brands!$A$2:$FZ$601,CM93,Sync!$D$16)),0))</f>
        <v/>
      </c>
      <c r="CR93" s="23" t="n">
        <f aca="false">IF(AND(AY93=1,OR(O93="N",AND(OR(ISNUMBER(R93),ISNUMBER(V93)),MAX(N(R93),N(V93))&lt;Config!$B$14))),1,0)</f>
        <v>0</v>
      </c>
      <c r="CS93" s="23" t="n">
        <f aca="false">IF(OR(BB93=1,CR93=1),1,0)</f>
        <v>0</v>
      </c>
      <c r="CT93" s="23" t="n">
        <f aca="false">IF(AND(AY93=1,OR(AN93="Y",AN93="N",AN93="maybe")),1,0)</f>
        <v>0</v>
      </c>
      <c r="CU93" s="23" t="n">
        <f aca="false">IF(AND(CT93=1),IF(COUNTIFS($A$2:$A$201,$A93,$CT$2:$CT$201,1,$H$2:$H$201,"&gt;"&amp;H93)+COUNTIFS($A$2:$A$201,$A93,$CT$2:$CT$201,1,$H$2:$H$201,H93,$AX$2:$AX$201,"&gt;"&amp;AX93)=0,1,0),0)</f>
        <v>0</v>
      </c>
      <c r="CV93" s="23" t="n">
        <f aca="false">IF(AND(CS93=1,INT(N(H93))&lt;=Config!$B$6),IF(COUNTIFS($AW$2:$AW$201,AW93,$CS$2:$CS$201,1,$H$2:$H$201,"&gt;"&amp;H93,$H$2:$H$201,"&lt;"&amp;(Config!$B$6+1))+COUNTIFS($AW$2:$AW$201,AW93,$CS$2:$CS$201,1,$H$2:$H$201,H93,$AX$2:$AX$201,"&gt;"&amp;AX93)=0,1,0),0)</f>
        <v>0</v>
      </c>
      <c r="CW93" s="23" t="n">
        <f aca="false">IF(AND(CS93=1,INT(N(H93))&lt;=Config!$B$7),IF(COUNTIFS($AW$2:$AW$201,AW93,$CS$2:$CS$201,1,$H$2:$H$201,"&gt;"&amp;H93,$H$2:$H$201,"&lt;"&amp;(Config!$B$7+1))+COUNTIFS($AW$2:$AW$201,AW93,$CS$2:$CS$201,1,$H$2:$H$201,H93,$AX$2:$AX$201,"&gt;"&amp;AX93)=0,1,0),0)</f>
        <v>0</v>
      </c>
      <c r="CX93" s="23" t="n">
        <f aca="false">IF(AND(CS93=1,INT(N(H93))&lt;=Config!$B$8),IF(COUNTIFS($AW$2:$AW$201,AW93,$CS$2:$CS$201,1,$H$2:$H$201,"&gt;"&amp;H93,$H$2:$H$201,"&lt;"&amp;(Config!$B$8+1))+COUNTIFS($AW$2:$AW$201,AW93,$CS$2:$CS$201,1,$H$2:$H$201,H93,$AX$2:$AX$201,"&gt;"&amp;AX93)=0,1,0),0)</f>
        <v>0</v>
      </c>
      <c r="CY93" s="23" t="n">
        <f aca="false">IF(AND(CS93=1,INT(N(H93))&lt;=Config!$B$5),IF(COUNTIFS($AW$2:$AW$201,AW93,$CS$2:$CS$201,1,$H$2:$H$201,"&gt;"&amp;H93,$H$2:$H$201,"&lt;"&amp;(Config!$B$5+1))+COUNTIFS($AW$2:$AW$201,AW93,$CS$2:$CS$201,1,$H$2:$H$201,H93,$AX$2:$AX$201,"&gt;"&amp;AX93)=0,1,0),0)</f>
        <v>0</v>
      </c>
      <c r="CZ93" s="23" t="n">
        <f aca="false">IF(AY93=1,IF(COUNTIFS($AW$2:$AW$201,AW93,$CV$2:$CV$201,1,$BB$2:$BB$201,1)&gt;0,1,0),0)</f>
        <v>0</v>
      </c>
      <c r="DA93" s="23" t="n">
        <f aca="false">IF(AY93=1,IF(COUNTIFS($AW$2:$AW$201,AW93,$CW$2:$CW$201,1,$BB$2:$BB$201,1)&gt;0,1,0),0)</f>
        <v>0</v>
      </c>
      <c r="DB93" s="23" t="n">
        <f aca="false">IF(AY93=1,IF(COUNTIFS($AW$2:$AW$201,AW93,$CX$2:$CX$201,1,$BB$2:$BB$201,1)&gt;0,1,0),0)</f>
        <v>0</v>
      </c>
      <c r="DC93" s="23" t="n">
        <f aca="false">IF(AY93=1,IF(COUNTIFS($AW$2:$AW$201,AW93,$CY$2:$CY$201,1,$BB$2:$BB$201,1)&gt;0,1,0),0)</f>
        <v>0</v>
      </c>
      <c r="DD93" s="23" t="n">
        <f aca="false">IF(AND(BC93=1,INT(N(H93))&lt;=Config!$B$6,CZ93=1),1,0)</f>
        <v>0</v>
      </c>
      <c r="DE93" s="23" t="n">
        <f aca="false">IF(AND(BC93=1,INT(N(H93))&lt;=Config!$B$7,DA93=1),1,0)</f>
        <v>0</v>
      </c>
      <c r="DF93" s="23" t="n">
        <f aca="false">IF(AND(BC93=1,INT(N(H93))&lt;=Config!$B$8,DB93=1),1,0)</f>
        <v>0</v>
      </c>
      <c r="DG93" s="23" t="n">
        <f aca="false">IF(AND(BC93=1,INT(N(H93))&lt;=Config!$B$5,DC93=1),1,0)</f>
        <v>0</v>
      </c>
      <c r="DH93" s="23" t="n">
        <f aca="false">IF(AND(BE93=1,INT(N(H93))&lt;=Config!$B$6,CZ93=1),1,0)</f>
        <v>0</v>
      </c>
      <c r="DI93" s="23" t="n">
        <f aca="false">IF(AND(BE93=1,INT(N(H93))&lt;=Config!$B$7,DA93=1),1,0)</f>
        <v>0</v>
      </c>
      <c r="DJ93" s="23" t="n">
        <f aca="false">IF(AND(BE93=1,INT(N(H93))&lt;=Config!$B$8,DB93=1),1,0)</f>
        <v>0</v>
      </c>
      <c r="DK93" s="23" t="n">
        <f aca="false">IF(AND(BE93=1,INT(N(H93))&lt;=Config!$B$5,DC93=1),1,0)</f>
        <v>0</v>
      </c>
      <c r="DL93" s="23" t="n">
        <f aca="false">IF(AND(BC93=1,INT(N(H93))&lt;=Config!$B$6,CZ93=0),1,0)</f>
        <v>0</v>
      </c>
      <c r="DM93" s="23" t="n">
        <f aca="false">IF(AND(BC93=1,INT(N(H93))&lt;=Config!$B$7,DA93=0),1,0)</f>
        <v>0</v>
      </c>
      <c r="DN93" s="23" t="n">
        <f aca="false">IF(AND(BC93=1,INT(N(H93))&lt;=Config!$B$8,DB93=0),1,0)</f>
        <v>0</v>
      </c>
      <c r="DO93" s="23" t="n">
        <f aca="false">IF(AND(BC93=1,INT(N(H93))&lt;=Config!$B$5,DC93=0),1,0)</f>
        <v>0</v>
      </c>
      <c r="DP93" s="23" t="n">
        <f aca="false">IF(TRIM($A93)="",0,ISTEXT(K93)+ISTEXT(L93)+ISTEXT(R93)+ISTEXT(V93)+ISTEXT(AP93)+ISTEXT(AS93))</f>
        <v>0</v>
      </c>
      <c r="DQ93" s="23" t="n">
        <f aca="false">IF(AY93=1,IF(H93&lt;&gt;INT(H93),1,0),0)</f>
        <v>0</v>
      </c>
      <c r="DR93" s="23" t="str">
        <f aca="false">IF(TRIM($A93)="","",IF(TRIM(B93)="",SUBSTITUTE(SUBSTITUTE(SUBSTITUTE(SUBSTITUTE(SUBSTITUTE(SUBSTITUTE(LOWER(TRIM($A93)),"~",""),"*",""),"?",""),"&lt;",""),"&gt;",""),"=",""),SUBSTITUTE(SUBSTITUTE(SUBSTITUTE(SUBSTITUTE(SUBSTITUTE(SUBSTITUTE(LOWER(TRIM(B93)),"~",""),"*",""),"?",""),"&lt;",""),"&gt;",""),"=","")))</f>
        <v/>
      </c>
      <c r="DS93" s="23" t="str">
        <f aca="false">IF(CM93="","",IFERROR(IF(LEFT(LOWER(TRIM(INDEX(Clay_Brands!$A$2:$FZ$601,CM93,Sync!$D$19)&amp;"")),4)="grp-",SUBSTITUTE(SUBSTITUTE(SUBSTITUTE(SUBSTITUTE(SUBSTITUTE(SUBSTITUTE(LOWER(TRIM(INDEX(Clay_Brands!$A$2:$FZ$601,CM93,Sync!$D$19)&amp;"")),"~",""),"*",""),"?",""),"&lt;",""),"&gt;",""),"=",""),""),""))</f>
        <v/>
      </c>
      <c r="DT93" s="23" t="str">
        <f aca="false">IF(DS93&lt;&gt;"",DR93,"")</f>
        <v/>
      </c>
      <c r="DU93" s="23" t="str">
        <f aca="false">IF(AZ93=1,AW93,"")</f>
        <v/>
      </c>
      <c r="DV93" s="23" t="str">
        <f aca="false">IF(TRIM($A93)="","",IFERROR(INDEX($A$2:$A$201,MATCH(AW93,$DU$2:$DU$201,0))&amp;"",$A93&amp;""))</f>
        <v/>
      </c>
      <c r="DW93" s="23" t="n">
        <f aca="false">IF(AY93=1,IF(COUNTIFS($A$2:$A$201,$A93,$AY$2:$AY$201,1,$H$2:$H$201,"&lt;"&amp;H93)+COUNTIFS($A$2:$A$201,$A93,$AY$2:$AY$201,1,$H$2:$H$201,H93,$AX$2:$AX$201,"&lt;"&amp;AX93)=0,1,0),0)</f>
        <v>0</v>
      </c>
      <c r="DX93" s="23" t="n">
        <f aca="false">IF(AZ93=1,IF(COUNTIFS($AW$2:$AW$201,AW93,$DW$2:$DW$201,1)&gt;1,1,0),0)</f>
        <v>0</v>
      </c>
    </row>
    <row r="94" customFormat="false" ht="15" hidden="false" customHeight="false" outlineLevel="0" collapsed="false">
      <c r="G94" s="32"/>
      <c r="H94" s="33"/>
      <c r="I94" s="32"/>
      <c r="O94" s="32"/>
      <c r="P94" s="32"/>
      <c r="U94" s="32"/>
      <c r="Y94" s="32"/>
      <c r="AB94" s="32"/>
      <c r="AC94" s="32"/>
      <c r="AD94" s="32"/>
      <c r="AE94" s="32"/>
      <c r="AF94" s="32"/>
      <c r="AG94" s="32"/>
      <c r="AI94" s="32"/>
      <c r="AJ94" s="32"/>
      <c r="AK94" s="32"/>
      <c r="AN94" s="32"/>
      <c r="AO94" s="32"/>
      <c r="AR94" s="32"/>
      <c r="AT94" s="32"/>
      <c r="AV94" s="34" t="str">
        <f aca="false">IF(TRIM($A94)="","",IF(AND(LEFT($A94,6)="SAMPLE",Config!$B$19&lt;&gt;"Y"),"",IF(NOT(ISNUMBER(H94)),"call_date is blank or not a date",IF(Sync!$D$5="","Clay paste is empty or has no row_id column: paste the Clay export on Clay_Brands",IF(CM94="","row_id not found in the Clay paste: add the Clay row or fix the row_id",IF(AND(ISNUMBER(CO94),CO94&gt;=1,CO94&lt;=5),"Clay status is "&amp;CN94&amp;": set call_done or later",IF(AND(BA94=1,CP94&lt;&gt;CB94),"Clay yes_in_principle should be "&amp;CB94,IF(AND(BA94=1,CQ94&lt;&gt;H94),"Clay call_date should be "&amp;TEXT(H94,"yyyy-mm-dd"),""))))))))</f>
        <v/>
      </c>
      <c r="AW94" s="23" t="str">
        <f aca="false">IF(TRIM($A94)="","",IF(TRIM(C94)&lt;&gt;"",SUBSTITUTE(SUBSTITUTE(SUBSTITUTE(SUBSTITUTE(SUBSTITUTE(SUBSTITUTE(LOWER(TRIM(C94)),"~",""),"*",""),"?",""),"&lt;",""),"&gt;",""),"=",""),IF(DS94&lt;&gt;"",DS94,IFERROR(INDEX($DS$2:$DS$201,MATCH(DR94,$DT$2:$DT$201,0)),DR94))))</f>
        <v/>
      </c>
      <c r="AX94" s="23" t="n">
        <f aca="false">ROW()</f>
        <v>94</v>
      </c>
      <c r="AY94" s="23" t="n">
        <f aca="false">IF(AND(TRIM($A94)&lt;&gt;"",ISNUMBER(H94)),IF(AND(LEFT($A94,6)="SAMPLE",Config!$B$19&lt;&gt;"Y"),0,1),0)</f>
        <v>0</v>
      </c>
      <c r="AZ94" s="23" t="n">
        <f aca="false">IF(AY94=1,IF(COUNTIFS($AW$2:$AW$201,AW94,$AY$2:$AY$201,1,$H$2:$H$201,"&lt;"&amp;H94)+COUNTIFS($AW$2:$AW$201,AW94,$AY$2:$AY$201,1,$H$2:$H$201,H94,$AX$2:$AX$201,"&lt;"&amp;AX94)=0,1,0),0)</f>
        <v>0</v>
      </c>
      <c r="BA94" s="23" t="n">
        <f aca="false">IF(AY94=1,IF(COUNTIFS($A$2:$A$201,$A94,$AY$2:$AY$201,1,$H$2:$H$201,"&gt;"&amp;H94)+COUNTIFS($A$2:$A$201,$A94,$AY$2:$AY$201,1,$H$2:$H$201,H94,$AX$2:$AX$201,"&gt;"&amp;AX94)=0,1,0),0)</f>
        <v>0</v>
      </c>
      <c r="BB94" s="23" t="n">
        <f aca="false">IF(AND(AY94=1,O94="Y",MAX(N(R94),N(V94))&gt;=Config!$B$14),1,0)</f>
        <v>0</v>
      </c>
      <c r="BC94" s="23" t="n">
        <f aca="false">IF(BB94=1,IF(COUNTIFS($AW$2:$AW$201,AW94,$BB$2:$BB$201,1,$H$2:$H$201,"&lt;"&amp;H94)+COUNTIFS($AW$2:$AW$201,AW94,$BB$2:$BB$201,1,$H$2:$H$201,H94,$AX$2:$AX$201,"&lt;"&amp;AX94)=0,1,0),0)</f>
        <v>0</v>
      </c>
      <c r="BD94" s="23" t="n">
        <f aca="false">IF(AND(AY94=1,O94="Y",ISNUMBER(R94)),IF(R94&gt;=Config!$B$14,1,0),0)</f>
        <v>0</v>
      </c>
      <c r="BE94" s="23" t="n">
        <f aca="false">IF(BD94=1,IF(COUNTIFS($AW$2:$AW$201,AW94,$BD$2:$BD$201,1,$H$2:$H$201,"&lt;"&amp;H94)+COUNTIFS($AW$2:$AW$201,AW94,$BD$2:$BD$201,1,$H$2:$H$201,H94,$AX$2:$AX$201,"&lt;"&amp;AX94)=0,1,0),0)</f>
        <v>0</v>
      </c>
      <c r="BF94" s="23" t="n">
        <f aca="false">IF(AND(AY94=1,O94&lt;&gt;"Y",MAX(N(R94),N(V94))&gt;=Config!$B$14),1,0)</f>
        <v>0</v>
      </c>
      <c r="BG94" s="23" t="n">
        <f aca="false">IF(BF94=1,IF(COUNTIFS($AW$2:$AW$201,AW94,$BF$2:$BF$201,1,$H$2:$H$201,"&lt;"&amp;H94)+COUNTIFS($AW$2:$AW$201,AW94,$BF$2:$BF$201,1,$H$2:$H$201,H94,$AX$2:$AX$201,"&lt;"&amp;AX94)=0,1,0),0)</f>
        <v>0</v>
      </c>
      <c r="BH94" s="23" t="n">
        <f aca="false">IF(AND(AY94=1,ISNUMBER(R94)),1,0)</f>
        <v>0</v>
      </c>
      <c r="BI94" s="23" t="n">
        <f aca="false">IF(BH94=1,IF(COUNTIFS($AW$2:$AW$201,AW94,$BH$2:$BH$201,1,$H$2:$H$201,"&lt;"&amp;H94)+COUNTIFS($AW$2:$AW$201,AW94,$BH$2:$BH$201,1,$H$2:$H$201,H94,$AX$2:$AX$201,"&lt;"&amp;AX94)=0,1,0),0)</f>
        <v>0</v>
      </c>
      <c r="BJ94" s="23" t="str">
        <f aca="false">IF(AND(BI94=1,INT(N(H94))&lt;=Config!$B$6),R94,"")</f>
        <v/>
      </c>
      <c r="BK94" s="23" t="str">
        <f aca="false">IF(AND(BI94=1,INT(N(H94))&lt;=Config!$B$7),R94,"")</f>
        <v/>
      </c>
      <c r="BL94" s="23" t="str">
        <f aca="false">IF(AND(BI94=1,INT(N(H94))&lt;=Config!$B$8),R94,"")</f>
        <v/>
      </c>
      <c r="BM94" s="23" t="str">
        <f aca="false">IF(AND(BI94=1,INT(N(H94))&lt;=Config!$B$5),R94,"")</f>
        <v/>
      </c>
      <c r="BN94" s="23" t="n">
        <f aca="false">IF(AND(AY94=1,ISNUMBER(V94)),1,0)</f>
        <v>0</v>
      </c>
      <c r="BO94" s="23" t="n">
        <f aca="false">IF(BN94=1,IF(COUNTIFS($AW$2:$AW$201,AW94,$BN$2:$BN$201,1,$H$2:$H$201,"&lt;"&amp;H94)+COUNTIFS($AW$2:$AW$201,AW94,$BN$2:$BN$201,1,$H$2:$H$201,H94,$AX$2:$AX$201,"&lt;"&amp;AX94)=0,1,0),0)</f>
        <v>0</v>
      </c>
      <c r="BP94" s="23" t="str">
        <f aca="false">IF(AND(BO94=1,INT(N(H94))&lt;=Config!$B$6),V94,"")</f>
        <v/>
      </c>
      <c r="BQ94" s="23" t="str">
        <f aca="false">IF(AND(BO94=1,INT(N(H94))&lt;=Config!$B$7),V94,"")</f>
        <v/>
      </c>
      <c r="BR94" s="23" t="str">
        <f aca="false">IF(AND(BO94=1,INT(N(H94))&lt;=Config!$B$8),V94,"")</f>
        <v/>
      </c>
      <c r="BS94" s="23" t="str">
        <f aca="false">IF(AND(BO94=1,INT(N(H94))&lt;=Config!$B$5),V94,"")</f>
        <v/>
      </c>
      <c r="BT94" s="23" t="n">
        <f aca="false">IF(AND(AY94=1,ISNUMBER(K94)),1,0)</f>
        <v>0</v>
      </c>
      <c r="BU94" s="23" t="n">
        <f aca="false">IF(BT94=1,IF(COUNTIFS($AW$2:$AW$201,AW94,$BT$2:$BT$201,1,$H$2:$H$201,"&lt;"&amp;H94)+COUNTIFS($AW$2:$AW$201,AW94,$BT$2:$BT$201,1,$H$2:$H$201,H94,$AX$2:$AX$201,"&lt;"&amp;AX94)=0,1,0),0)</f>
        <v>0</v>
      </c>
      <c r="BV94" s="23" t="str">
        <f aca="false">IF(AND(BU94=1,INT(N(H94))&lt;=Config!$B$5),K94,"")</f>
        <v/>
      </c>
      <c r="BW94" s="23" t="n">
        <f aca="false">IF(AND(AY94=1,OR(AND(ISNUMBER(R94),TRIM(S94)=""),AND(ISNUMBER(V94),TRIM(W94)=""))),1,0)</f>
        <v>0</v>
      </c>
      <c r="BX94" s="23" t="str">
        <f aca="false">IF(AY94=1,AJ94&amp;"","")</f>
        <v/>
      </c>
      <c r="BY94" s="23" t="str">
        <f aca="false">IF(AY94=1,AK94&amp;"","")</f>
        <v/>
      </c>
      <c r="BZ94" s="23" t="str">
        <f aca="false">IF(AY94=1,AL94&amp;"","")</f>
        <v/>
      </c>
      <c r="CA94" s="23" t="str">
        <f aca="false">IF(AND(AY94=1,ISNUMBER(AS94),INT(N(H94))&lt;=Config!$B$5),AS94,"")</f>
        <v/>
      </c>
      <c r="CB94" s="23" t="str">
        <f aca="false">IF(AY94=1,IF(COUNTIFS($A$2:$A$201,$A94,$CU$2:$CU$201,1,$AN$2:$AN$201,"Y")&gt;0,"Y","N"),"")</f>
        <v/>
      </c>
      <c r="CC94" s="23" t="n">
        <f aca="false">IF(AND(AY94=1,AN94="Y"),IF(COUNTIFS($AW$2:$AW$201,AW94,$AN$2:$AN$201,"Y",$AY$2:$AY$201,1,$H$2:$H$201,"&lt;"&amp;H94)+COUNTIFS($AW$2:$AW$201,AW94,$AN$2:$AN$201,"Y",$AY$2:$AY$201,1,$H$2:$H$201,H94,$AX$2:$AX$201,"&lt;"&amp;AX94)=0,1,0),0)</f>
        <v>0</v>
      </c>
      <c r="CD94" s="23" t="n">
        <f aca="false">IF(AND(AY94=1,AB94="Y",AC94="Y",AD94="Y",AE94="Y",AF94="Y",AG94="Y",AI94="Y",TRIM(AH94)&lt;&gt;""),1,0)</f>
        <v>0</v>
      </c>
      <c r="CE94" s="23" t="n">
        <f aca="false">IF(CD94=1,IF(COUNTIFS($AW$2:$AW$201,AW94,$CD$2:$CD$201,1,$H$2:$H$201,"&lt;"&amp;H94)+COUNTIFS($AW$2:$AW$201,AW94,$CD$2:$CD$201,1,$H$2:$H$201,H94,$AX$2:$AX$201,"&lt;"&amp;AX94)=0,1,0),0)</f>
        <v>0</v>
      </c>
      <c r="CF94" s="23" t="n">
        <f aca="false">IF(AND(AY94=1,AO94="Y"),1,0)</f>
        <v>0</v>
      </c>
      <c r="CG94" s="23" t="n">
        <f aca="false">IF(CF94=1,IF(COUNTIFS($AW$2:$AW$201,AW94,$CF$2:$CF$201,1,$H$2:$H$201,"&lt;"&amp;H94)+COUNTIFS($AW$2:$AW$201,AW94,$CF$2:$CF$201,1,$H$2:$H$201,H94,$AX$2:$AX$201,"&lt;"&amp;AX94)=0,1,0),0)</f>
        <v>0</v>
      </c>
      <c r="CH94" s="23" t="n">
        <f aca="false">IF(AND(AY94=1,P94="Y"),1,0)</f>
        <v>0</v>
      </c>
      <c r="CI94" s="23" t="n">
        <f aca="false">IF(CH94=1,IF(COUNTIFS($AW$2:$AW$201,AW94,$CH$2:$CH$201,1,$H$2:$H$201,"&lt;"&amp;H94)+COUNTIFS($AW$2:$AW$201,AW94,$CH$2:$CH$201,1,$H$2:$H$201,H94,$AX$2:$AX$201,"&lt;"&amp;AX94)=0,1,0),0)</f>
        <v>0</v>
      </c>
      <c r="CJ94" s="23" t="str">
        <f aca="false">IF(AND(BU94=1,INT(N(H94))&lt;=Config!$B$5),L94,"")</f>
        <v/>
      </c>
      <c r="CK94" s="23" t="n">
        <f aca="false">IF(AND(AY94=1,AR94="Y"),1,0)</f>
        <v>0</v>
      </c>
      <c r="CL94" s="23" t="n">
        <f aca="false">IF(CK94=1,IF(COUNTIFS($AW$2:$AW$201,AW94,$CK$2:$CK$201,1,$H$2:$H$201,"&lt;"&amp;H94)+COUNTIFS($AW$2:$AW$201,AW94,$CK$2:$CK$201,1,$H$2:$H$201,H94,$AX$2:$AX$201,"&lt;"&amp;AX94)=0,1,0),0)</f>
        <v>0</v>
      </c>
      <c r="CM94" s="23" t="str">
        <f aca="false">IF(AY94=1,IFERROR(MATCH($A94,INDEX(Clay_Brands!$A$2:$FZ$601,0,Sync!$D$5),0),""),"")</f>
        <v/>
      </c>
      <c r="CN94" s="23" t="str">
        <f aca="false">IF(CM94="","",IFERROR(INDEX(Clay_Brands!$A$2:$FZ$601,CM94,Sync!$D$7)&amp;"",""))</f>
        <v/>
      </c>
      <c r="CO94" s="23" t="str">
        <f aca="false">IF(CN94="","",IFERROR(INDEX(Lists!$K$2:$K$15,MATCH(CN94,Lists!$J$2:$J$15,0)),""))</f>
        <v/>
      </c>
      <c r="CP94" s="23" t="str">
        <f aca="false">IF(CM94="","",IFERROR(INDEX(Clay_Brands!$A$2:$FZ$601,CM94,Sync!$D$17)&amp;"",""))</f>
        <v/>
      </c>
      <c r="CQ94" s="35" t="str">
        <f aca="false">IF(CM94="","",IFERROR(N(INDEX(Clay_Brands!$A$2:$FZ$601,CM94,Sync!$D$16)),0))</f>
        <v/>
      </c>
      <c r="CR94" s="23" t="n">
        <f aca="false">IF(AND(AY94=1,OR(O94="N",AND(OR(ISNUMBER(R94),ISNUMBER(V94)),MAX(N(R94),N(V94))&lt;Config!$B$14))),1,0)</f>
        <v>0</v>
      </c>
      <c r="CS94" s="23" t="n">
        <f aca="false">IF(OR(BB94=1,CR94=1),1,0)</f>
        <v>0</v>
      </c>
      <c r="CT94" s="23" t="n">
        <f aca="false">IF(AND(AY94=1,OR(AN94="Y",AN94="N",AN94="maybe")),1,0)</f>
        <v>0</v>
      </c>
      <c r="CU94" s="23" t="n">
        <f aca="false">IF(AND(CT94=1),IF(COUNTIFS($A$2:$A$201,$A94,$CT$2:$CT$201,1,$H$2:$H$201,"&gt;"&amp;H94)+COUNTIFS($A$2:$A$201,$A94,$CT$2:$CT$201,1,$H$2:$H$201,H94,$AX$2:$AX$201,"&gt;"&amp;AX94)=0,1,0),0)</f>
        <v>0</v>
      </c>
      <c r="CV94" s="23" t="n">
        <f aca="false">IF(AND(CS94=1,INT(N(H94))&lt;=Config!$B$6),IF(COUNTIFS($AW$2:$AW$201,AW94,$CS$2:$CS$201,1,$H$2:$H$201,"&gt;"&amp;H94,$H$2:$H$201,"&lt;"&amp;(Config!$B$6+1))+COUNTIFS($AW$2:$AW$201,AW94,$CS$2:$CS$201,1,$H$2:$H$201,H94,$AX$2:$AX$201,"&gt;"&amp;AX94)=0,1,0),0)</f>
        <v>0</v>
      </c>
      <c r="CW94" s="23" t="n">
        <f aca="false">IF(AND(CS94=1,INT(N(H94))&lt;=Config!$B$7),IF(COUNTIFS($AW$2:$AW$201,AW94,$CS$2:$CS$201,1,$H$2:$H$201,"&gt;"&amp;H94,$H$2:$H$201,"&lt;"&amp;(Config!$B$7+1))+COUNTIFS($AW$2:$AW$201,AW94,$CS$2:$CS$201,1,$H$2:$H$201,H94,$AX$2:$AX$201,"&gt;"&amp;AX94)=0,1,0),0)</f>
        <v>0</v>
      </c>
      <c r="CX94" s="23" t="n">
        <f aca="false">IF(AND(CS94=1,INT(N(H94))&lt;=Config!$B$8),IF(COUNTIFS($AW$2:$AW$201,AW94,$CS$2:$CS$201,1,$H$2:$H$201,"&gt;"&amp;H94,$H$2:$H$201,"&lt;"&amp;(Config!$B$8+1))+COUNTIFS($AW$2:$AW$201,AW94,$CS$2:$CS$201,1,$H$2:$H$201,H94,$AX$2:$AX$201,"&gt;"&amp;AX94)=0,1,0),0)</f>
        <v>0</v>
      </c>
      <c r="CY94" s="23" t="n">
        <f aca="false">IF(AND(CS94=1,INT(N(H94))&lt;=Config!$B$5),IF(COUNTIFS($AW$2:$AW$201,AW94,$CS$2:$CS$201,1,$H$2:$H$201,"&gt;"&amp;H94,$H$2:$H$201,"&lt;"&amp;(Config!$B$5+1))+COUNTIFS($AW$2:$AW$201,AW94,$CS$2:$CS$201,1,$H$2:$H$201,H94,$AX$2:$AX$201,"&gt;"&amp;AX94)=0,1,0),0)</f>
        <v>0</v>
      </c>
      <c r="CZ94" s="23" t="n">
        <f aca="false">IF(AY94=1,IF(COUNTIFS($AW$2:$AW$201,AW94,$CV$2:$CV$201,1,$BB$2:$BB$201,1)&gt;0,1,0),0)</f>
        <v>0</v>
      </c>
      <c r="DA94" s="23" t="n">
        <f aca="false">IF(AY94=1,IF(COUNTIFS($AW$2:$AW$201,AW94,$CW$2:$CW$201,1,$BB$2:$BB$201,1)&gt;0,1,0),0)</f>
        <v>0</v>
      </c>
      <c r="DB94" s="23" t="n">
        <f aca="false">IF(AY94=1,IF(COUNTIFS($AW$2:$AW$201,AW94,$CX$2:$CX$201,1,$BB$2:$BB$201,1)&gt;0,1,0),0)</f>
        <v>0</v>
      </c>
      <c r="DC94" s="23" t="n">
        <f aca="false">IF(AY94=1,IF(COUNTIFS($AW$2:$AW$201,AW94,$CY$2:$CY$201,1,$BB$2:$BB$201,1)&gt;0,1,0),0)</f>
        <v>0</v>
      </c>
      <c r="DD94" s="23" t="n">
        <f aca="false">IF(AND(BC94=1,INT(N(H94))&lt;=Config!$B$6,CZ94=1),1,0)</f>
        <v>0</v>
      </c>
      <c r="DE94" s="23" t="n">
        <f aca="false">IF(AND(BC94=1,INT(N(H94))&lt;=Config!$B$7,DA94=1),1,0)</f>
        <v>0</v>
      </c>
      <c r="DF94" s="23" t="n">
        <f aca="false">IF(AND(BC94=1,INT(N(H94))&lt;=Config!$B$8,DB94=1),1,0)</f>
        <v>0</v>
      </c>
      <c r="DG94" s="23" t="n">
        <f aca="false">IF(AND(BC94=1,INT(N(H94))&lt;=Config!$B$5,DC94=1),1,0)</f>
        <v>0</v>
      </c>
      <c r="DH94" s="23" t="n">
        <f aca="false">IF(AND(BE94=1,INT(N(H94))&lt;=Config!$B$6,CZ94=1),1,0)</f>
        <v>0</v>
      </c>
      <c r="DI94" s="23" t="n">
        <f aca="false">IF(AND(BE94=1,INT(N(H94))&lt;=Config!$B$7,DA94=1),1,0)</f>
        <v>0</v>
      </c>
      <c r="DJ94" s="23" t="n">
        <f aca="false">IF(AND(BE94=1,INT(N(H94))&lt;=Config!$B$8,DB94=1),1,0)</f>
        <v>0</v>
      </c>
      <c r="DK94" s="23" t="n">
        <f aca="false">IF(AND(BE94=1,INT(N(H94))&lt;=Config!$B$5,DC94=1),1,0)</f>
        <v>0</v>
      </c>
      <c r="DL94" s="23" t="n">
        <f aca="false">IF(AND(BC94=1,INT(N(H94))&lt;=Config!$B$6,CZ94=0),1,0)</f>
        <v>0</v>
      </c>
      <c r="DM94" s="23" t="n">
        <f aca="false">IF(AND(BC94=1,INT(N(H94))&lt;=Config!$B$7,DA94=0),1,0)</f>
        <v>0</v>
      </c>
      <c r="DN94" s="23" t="n">
        <f aca="false">IF(AND(BC94=1,INT(N(H94))&lt;=Config!$B$8,DB94=0),1,0)</f>
        <v>0</v>
      </c>
      <c r="DO94" s="23" t="n">
        <f aca="false">IF(AND(BC94=1,INT(N(H94))&lt;=Config!$B$5,DC94=0),1,0)</f>
        <v>0</v>
      </c>
      <c r="DP94" s="23" t="n">
        <f aca="false">IF(TRIM($A94)="",0,ISTEXT(K94)+ISTEXT(L94)+ISTEXT(R94)+ISTEXT(V94)+ISTEXT(AP94)+ISTEXT(AS94))</f>
        <v>0</v>
      </c>
      <c r="DQ94" s="23" t="n">
        <f aca="false">IF(AY94=1,IF(H94&lt;&gt;INT(H94),1,0),0)</f>
        <v>0</v>
      </c>
      <c r="DR94" s="23" t="str">
        <f aca="false">IF(TRIM($A94)="","",IF(TRIM(B94)="",SUBSTITUTE(SUBSTITUTE(SUBSTITUTE(SUBSTITUTE(SUBSTITUTE(SUBSTITUTE(LOWER(TRIM($A94)),"~",""),"*",""),"?",""),"&lt;",""),"&gt;",""),"=",""),SUBSTITUTE(SUBSTITUTE(SUBSTITUTE(SUBSTITUTE(SUBSTITUTE(SUBSTITUTE(LOWER(TRIM(B94)),"~",""),"*",""),"?",""),"&lt;",""),"&gt;",""),"=","")))</f>
        <v/>
      </c>
      <c r="DS94" s="23" t="str">
        <f aca="false">IF(CM94="","",IFERROR(IF(LEFT(LOWER(TRIM(INDEX(Clay_Brands!$A$2:$FZ$601,CM94,Sync!$D$19)&amp;"")),4)="grp-",SUBSTITUTE(SUBSTITUTE(SUBSTITUTE(SUBSTITUTE(SUBSTITUTE(SUBSTITUTE(LOWER(TRIM(INDEX(Clay_Brands!$A$2:$FZ$601,CM94,Sync!$D$19)&amp;"")),"~",""),"*",""),"?",""),"&lt;",""),"&gt;",""),"=",""),""),""))</f>
        <v/>
      </c>
      <c r="DT94" s="23" t="str">
        <f aca="false">IF(DS94&lt;&gt;"",DR94,"")</f>
        <v/>
      </c>
      <c r="DU94" s="23" t="str">
        <f aca="false">IF(AZ94=1,AW94,"")</f>
        <v/>
      </c>
      <c r="DV94" s="23" t="str">
        <f aca="false">IF(TRIM($A94)="","",IFERROR(INDEX($A$2:$A$201,MATCH(AW94,$DU$2:$DU$201,0))&amp;"",$A94&amp;""))</f>
        <v/>
      </c>
      <c r="DW94" s="23" t="n">
        <f aca="false">IF(AY94=1,IF(COUNTIFS($A$2:$A$201,$A94,$AY$2:$AY$201,1,$H$2:$H$201,"&lt;"&amp;H94)+COUNTIFS($A$2:$A$201,$A94,$AY$2:$AY$201,1,$H$2:$H$201,H94,$AX$2:$AX$201,"&lt;"&amp;AX94)=0,1,0),0)</f>
        <v>0</v>
      </c>
      <c r="DX94" s="23" t="n">
        <f aca="false">IF(AZ94=1,IF(COUNTIFS($AW$2:$AW$201,AW94,$DW$2:$DW$201,1)&gt;1,1,0),0)</f>
        <v>0</v>
      </c>
    </row>
    <row r="95" customFormat="false" ht="15" hidden="false" customHeight="false" outlineLevel="0" collapsed="false">
      <c r="G95" s="32"/>
      <c r="H95" s="33"/>
      <c r="I95" s="32"/>
      <c r="O95" s="32"/>
      <c r="P95" s="32"/>
      <c r="U95" s="32"/>
      <c r="Y95" s="32"/>
      <c r="AB95" s="32"/>
      <c r="AC95" s="32"/>
      <c r="AD95" s="32"/>
      <c r="AE95" s="32"/>
      <c r="AF95" s="32"/>
      <c r="AG95" s="32"/>
      <c r="AI95" s="32"/>
      <c r="AJ95" s="32"/>
      <c r="AK95" s="32"/>
      <c r="AN95" s="32"/>
      <c r="AO95" s="32"/>
      <c r="AR95" s="32"/>
      <c r="AT95" s="32"/>
      <c r="AV95" s="34" t="str">
        <f aca="false">IF(TRIM($A95)="","",IF(AND(LEFT($A95,6)="SAMPLE",Config!$B$19&lt;&gt;"Y"),"",IF(NOT(ISNUMBER(H95)),"call_date is blank or not a date",IF(Sync!$D$5="","Clay paste is empty or has no row_id column: paste the Clay export on Clay_Brands",IF(CM95="","row_id not found in the Clay paste: add the Clay row or fix the row_id",IF(AND(ISNUMBER(CO95),CO95&gt;=1,CO95&lt;=5),"Clay status is "&amp;CN95&amp;": set call_done or later",IF(AND(BA95=1,CP95&lt;&gt;CB95),"Clay yes_in_principle should be "&amp;CB95,IF(AND(BA95=1,CQ95&lt;&gt;H95),"Clay call_date should be "&amp;TEXT(H95,"yyyy-mm-dd"),""))))))))</f>
        <v/>
      </c>
      <c r="AW95" s="23" t="str">
        <f aca="false">IF(TRIM($A95)="","",IF(TRIM(C95)&lt;&gt;"",SUBSTITUTE(SUBSTITUTE(SUBSTITUTE(SUBSTITUTE(SUBSTITUTE(SUBSTITUTE(LOWER(TRIM(C95)),"~",""),"*",""),"?",""),"&lt;",""),"&gt;",""),"=",""),IF(DS95&lt;&gt;"",DS95,IFERROR(INDEX($DS$2:$DS$201,MATCH(DR95,$DT$2:$DT$201,0)),DR95))))</f>
        <v/>
      </c>
      <c r="AX95" s="23" t="n">
        <f aca="false">ROW()</f>
        <v>95</v>
      </c>
      <c r="AY95" s="23" t="n">
        <f aca="false">IF(AND(TRIM($A95)&lt;&gt;"",ISNUMBER(H95)),IF(AND(LEFT($A95,6)="SAMPLE",Config!$B$19&lt;&gt;"Y"),0,1),0)</f>
        <v>0</v>
      </c>
      <c r="AZ95" s="23" t="n">
        <f aca="false">IF(AY95=1,IF(COUNTIFS($AW$2:$AW$201,AW95,$AY$2:$AY$201,1,$H$2:$H$201,"&lt;"&amp;H95)+COUNTIFS($AW$2:$AW$201,AW95,$AY$2:$AY$201,1,$H$2:$H$201,H95,$AX$2:$AX$201,"&lt;"&amp;AX95)=0,1,0),0)</f>
        <v>0</v>
      </c>
      <c r="BA95" s="23" t="n">
        <f aca="false">IF(AY95=1,IF(COUNTIFS($A$2:$A$201,$A95,$AY$2:$AY$201,1,$H$2:$H$201,"&gt;"&amp;H95)+COUNTIFS($A$2:$A$201,$A95,$AY$2:$AY$201,1,$H$2:$H$201,H95,$AX$2:$AX$201,"&gt;"&amp;AX95)=0,1,0),0)</f>
        <v>0</v>
      </c>
      <c r="BB95" s="23" t="n">
        <f aca="false">IF(AND(AY95=1,O95="Y",MAX(N(R95),N(V95))&gt;=Config!$B$14),1,0)</f>
        <v>0</v>
      </c>
      <c r="BC95" s="23" t="n">
        <f aca="false">IF(BB95=1,IF(COUNTIFS($AW$2:$AW$201,AW95,$BB$2:$BB$201,1,$H$2:$H$201,"&lt;"&amp;H95)+COUNTIFS($AW$2:$AW$201,AW95,$BB$2:$BB$201,1,$H$2:$H$201,H95,$AX$2:$AX$201,"&lt;"&amp;AX95)=0,1,0),0)</f>
        <v>0</v>
      </c>
      <c r="BD95" s="23" t="n">
        <f aca="false">IF(AND(AY95=1,O95="Y",ISNUMBER(R95)),IF(R95&gt;=Config!$B$14,1,0),0)</f>
        <v>0</v>
      </c>
      <c r="BE95" s="23" t="n">
        <f aca="false">IF(BD95=1,IF(COUNTIFS($AW$2:$AW$201,AW95,$BD$2:$BD$201,1,$H$2:$H$201,"&lt;"&amp;H95)+COUNTIFS($AW$2:$AW$201,AW95,$BD$2:$BD$201,1,$H$2:$H$201,H95,$AX$2:$AX$201,"&lt;"&amp;AX95)=0,1,0),0)</f>
        <v>0</v>
      </c>
      <c r="BF95" s="23" t="n">
        <f aca="false">IF(AND(AY95=1,O95&lt;&gt;"Y",MAX(N(R95),N(V95))&gt;=Config!$B$14),1,0)</f>
        <v>0</v>
      </c>
      <c r="BG95" s="23" t="n">
        <f aca="false">IF(BF95=1,IF(COUNTIFS($AW$2:$AW$201,AW95,$BF$2:$BF$201,1,$H$2:$H$201,"&lt;"&amp;H95)+COUNTIFS($AW$2:$AW$201,AW95,$BF$2:$BF$201,1,$H$2:$H$201,H95,$AX$2:$AX$201,"&lt;"&amp;AX95)=0,1,0),0)</f>
        <v>0</v>
      </c>
      <c r="BH95" s="23" t="n">
        <f aca="false">IF(AND(AY95=1,ISNUMBER(R95)),1,0)</f>
        <v>0</v>
      </c>
      <c r="BI95" s="23" t="n">
        <f aca="false">IF(BH95=1,IF(COUNTIFS($AW$2:$AW$201,AW95,$BH$2:$BH$201,1,$H$2:$H$201,"&lt;"&amp;H95)+COUNTIFS($AW$2:$AW$201,AW95,$BH$2:$BH$201,1,$H$2:$H$201,H95,$AX$2:$AX$201,"&lt;"&amp;AX95)=0,1,0),0)</f>
        <v>0</v>
      </c>
      <c r="BJ95" s="23" t="str">
        <f aca="false">IF(AND(BI95=1,INT(N(H95))&lt;=Config!$B$6),R95,"")</f>
        <v/>
      </c>
      <c r="BK95" s="23" t="str">
        <f aca="false">IF(AND(BI95=1,INT(N(H95))&lt;=Config!$B$7),R95,"")</f>
        <v/>
      </c>
      <c r="BL95" s="23" t="str">
        <f aca="false">IF(AND(BI95=1,INT(N(H95))&lt;=Config!$B$8),R95,"")</f>
        <v/>
      </c>
      <c r="BM95" s="23" t="str">
        <f aca="false">IF(AND(BI95=1,INT(N(H95))&lt;=Config!$B$5),R95,"")</f>
        <v/>
      </c>
      <c r="BN95" s="23" t="n">
        <f aca="false">IF(AND(AY95=1,ISNUMBER(V95)),1,0)</f>
        <v>0</v>
      </c>
      <c r="BO95" s="23" t="n">
        <f aca="false">IF(BN95=1,IF(COUNTIFS($AW$2:$AW$201,AW95,$BN$2:$BN$201,1,$H$2:$H$201,"&lt;"&amp;H95)+COUNTIFS($AW$2:$AW$201,AW95,$BN$2:$BN$201,1,$H$2:$H$201,H95,$AX$2:$AX$201,"&lt;"&amp;AX95)=0,1,0),0)</f>
        <v>0</v>
      </c>
      <c r="BP95" s="23" t="str">
        <f aca="false">IF(AND(BO95=1,INT(N(H95))&lt;=Config!$B$6),V95,"")</f>
        <v/>
      </c>
      <c r="BQ95" s="23" t="str">
        <f aca="false">IF(AND(BO95=1,INT(N(H95))&lt;=Config!$B$7),V95,"")</f>
        <v/>
      </c>
      <c r="BR95" s="23" t="str">
        <f aca="false">IF(AND(BO95=1,INT(N(H95))&lt;=Config!$B$8),V95,"")</f>
        <v/>
      </c>
      <c r="BS95" s="23" t="str">
        <f aca="false">IF(AND(BO95=1,INT(N(H95))&lt;=Config!$B$5),V95,"")</f>
        <v/>
      </c>
      <c r="BT95" s="23" t="n">
        <f aca="false">IF(AND(AY95=1,ISNUMBER(K95)),1,0)</f>
        <v>0</v>
      </c>
      <c r="BU95" s="23" t="n">
        <f aca="false">IF(BT95=1,IF(COUNTIFS($AW$2:$AW$201,AW95,$BT$2:$BT$201,1,$H$2:$H$201,"&lt;"&amp;H95)+COUNTIFS($AW$2:$AW$201,AW95,$BT$2:$BT$201,1,$H$2:$H$201,H95,$AX$2:$AX$201,"&lt;"&amp;AX95)=0,1,0),0)</f>
        <v>0</v>
      </c>
      <c r="BV95" s="23" t="str">
        <f aca="false">IF(AND(BU95=1,INT(N(H95))&lt;=Config!$B$5),K95,"")</f>
        <v/>
      </c>
      <c r="BW95" s="23" t="n">
        <f aca="false">IF(AND(AY95=1,OR(AND(ISNUMBER(R95),TRIM(S95)=""),AND(ISNUMBER(V95),TRIM(W95)=""))),1,0)</f>
        <v>0</v>
      </c>
      <c r="BX95" s="23" t="str">
        <f aca="false">IF(AY95=1,AJ95&amp;"","")</f>
        <v/>
      </c>
      <c r="BY95" s="23" t="str">
        <f aca="false">IF(AY95=1,AK95&amp;"","")</f>
        <v/>
      </c>
      <c r="BZ95" s="23" t="str">
        <f aca="false">IF(AY95=1,AL95&amp;"","")</f>
        <v/>
      </c>
      <c r="CA95" s="23" t="str">
        <f aca="false">IF(AND(AY95=1,ISNUMBER(AS95),INT(N(H95))&lt;=Config!$B$5),AS95,"")</f>
        <v/>
      </c>
      <c r="CB95" s="23" t="str">
        <f aca="false">IF(AY95=1,IF(COUNTIFS($A$2:$A$201,$A95,$CU$2:$CU$201,1,$AN$2:$AN$201,"Y")&gt;0,"Y","N"),"")</f>
        <v/>
      </c>
      <c r="CC95" s="23" t="n">
        <f aca="false">IF(AND(AY95=1,AN95="Y"),IF(COUNTIFS($AW$2:$AW$201,AW95,$AN$2:$AN$201,"Y",$AY$2:$AY$201,1,$H$2:$H$201,"&lt;"&amp;H95)+COUNTIFS($AW$2:$AW$201,AW95,$AN$2:$AN$201,"Y",$AY$2:$AY$201,1,$H$2:$H$201,H95,$AX$2:$AX$201,"&lt;"&amp;AX95)=0,1,0),0)</f>
        <v>0</v>
      </c>
      <c r="CD95" s="23" t="n">
        <f aca="false">IF(AND(AY95=1,AB95="Y",AC95="Y",AD95="Y",AE95="Y",AF95="Y",AG95="Y",AI95="Y",TRIM(AH95)&lt;&gt;""),1,0)</f>
        <v>0</v>
      </c>
      <c r="CE95" s="23" t="n">
        <f aca="false">IF(CD95=1,IF(COUNTIFS($AW$2:$AW$201,AW95,$CD$2:$CD$201,1,$H$2:$H$201,"&lt;"&amp;H95)+COUNTIFS($AW$2:$AW$201,AW95,$CD$2:$CD$201,1,$H$2:$H$201,H95,$AX$2:$AX$201,"&lt;"&amp;AX95)=0,1,0),0)</f>
        <v>0</v>
      </c>
      <c r="CF95" s="23" t="n">
        <f aca="false">IF(AND(AY95=1,AO95="Y"),1,0)</f>
        <v>0</v>
      </c>
      <c r="CG95" s="23" t="n">
        <f aca="false">IF(CF95=1,IF(COUNTIFS($AW$2:$AW$201,AW95,$CF$2:$CF$201,1,$H$2:$H$201,"&lt;"&amp;H95)+COUNTIFS($AW$2:$AW$201,AW95,$CF$2:$CF$201,1,$H$2:$H$201,H95,$AX$2:$AX$201,"&lt;"&amp;AX95)=0,1,0),0)</f>
        <v>0</v>
      </c>
      <c r="CH95" s="23" t="n">
        <f aca="false">IF(AND(AY95=1,P95="Y"),1,0)</f>
        <v>0</v>
      </c>
      <c r="CI95" s="23" t="n">
        <f aca="false">IF(CH95=1,IF(COUNTIFS($AW$2:$AW$201,AW95,$CH$2:$CH$201,1,$H$2:$H$201,"&lt;"&amp;H95)+COUNTIFS($AW$2:$AW$201,AW95,$CH$2:$CH$201,1,$H$2:$H$201,H95,$AX$2:$AX$201,"&lt;"&amp;AX95)=0,1,0),0)</f>
        <v>0</v>
      </c>
      <c r="CJ95" s="23" t="str">
        <f aca="false">IF(AND(BU95=1,INT(N(H95))&lt;=Config!$B$5),L95,"")</f>
        <v/>
      </c>
      <c r="CK95" s="23" t="n">
        <f aca="false">IF(AND(AY95=1,AR95="Y"),1,0)</f>
        <v>0</v>
      </c>
      <c r="CL95" s="23" t="n">
        <f aca="false">IF(CK95=1,IF(COUNTIFS($AW$2:$AW$201,AW95,$CK$2:$CK$201,1,$H$2:$H$201,"&lt;"&amp;H95)+COUNTIFS($AW$2:$AW$201,AW95,$CK$2:$CK$201,1,$H$2:$H$201,H95,$AX$2:$AX$201,"&lt;"&amp;AX95)=0,1,0),0)</f>
        <v>0</v>
      </c>
      <c r="CM95" s="23" t="str">
        <f aca="false">IF(AY95=1,IFERROR(MATCH($A95,INDEX(Clay_Brands!$A$2:$FZ$601,0,Sync!$D$5),0),""),"")</f>
        <v/>
      </c>
      <c r="CN95" s="23" t="str">
        <f aca="false">IF(CM95="","",IFERROR(INDEX(Clay_Brands!$A$2:$FZ$601,CM95,Sync!$D$7)&amp;"",""))</f>
        <v/>
      </c>
      <c r="CO95" s="23" t="str">
        <f aca="false">IF(CN95="","",IFERROR(INDEX(Lists!$K$2:$K$15,MATCH(CN95,Lists!$J$2:$J$15,0)),""))</f>
        <v/>
      </c>
      <c r="CP95" s="23" t="str">
        <f aca="false">IF(CM95="","",IFERROR(INDEX(Clay_Brands!$A$2:$FZ$601,CM95,Sync!$D$17)&amp;"",""))</f>
        <v/>
      </c>
      <c r="CQ95" s="35" t="str">
        <f aca="false">IF(CM95="","",IFERROR(N(INDEX(Clay_Brands!$A$2:$FZ$601,CM95,Sync!$D$16)),0))</f>
        <v/>
      </c>
      <c r="CR95" s="23" t="n">
        <f aca="false">IF(AND(AY95=1,OR(O95="N",AND(OR(ISNUMBER(R95),ISNUMBER(V95)),MAX(N(R95),N(V95))&lt;Config!$B$14))),1,0)</f>
        <v>0</v>
      </c>
      <c r="CS95" s="23" t="n">
        <f aca="false">IF(OR(BB95=1,CR95=1),1,0)</f>
        <v>0</v>
      </c>
      <c r="CT95" s="23" t="n">
        <f aca="false">IF(AND(AY95=1,OR(AN95="Y",AN95="N",AN95="maybe")),1,0)</f>
        <v>0</v>
      </c>
      <c r="CU95" s="23" t="n">
        <f aca="false">IF(AND(CT95=1),IF(COUNTIFS($A$2:$A$201,$A95,$CT$2:$CT$201,1,$H$2:$H$201,"&gt;"&amp;H95)+COUNTIFS($A$2:$A$201,$A95,$CT$2:$CT$201,1,$H$2:$H$201,H95,$AX$2:$AX$201,"&gt;"&amp;AX95)=0,1,0),0)</f>
        <v>0</v>
      </c>
      <c r="CV95" s="23" t="n">
        <f aca="false">IF(AND(CS95=1,INT(N(H95))&lt;=Config!$B$6),IF(COUNTIFS($AW$2:$AW$201,AW95,$CS$2:$CS$201,1,$H$2:$H$201,"&gt;"&amp;H95,$H$2:$H$201,"&lt;"&amp;(Config!$B$6+1))+COUNTIFS($AW$2:$AW$201,AW95,$CS$2:$CS$201,1,$H$2:$H$201,H95,$AX$2:$AX$201,"&gt;"&amp;AX95)=0,1,0),0)</f>
        <v>0</v>
      </c>
      <c r="CW95" s="23" t="n">
        <f aca="false">IF(AND(CS95=1,INT(N(H95))&lt;=Config!$B$7),IF(COUNTIFS($AW$2:$AW$201,AW95,$CS$2:$CS$201,1,$H$2:$H$201,"&gt;"&amp;H95,$H$2:$H$201,"&lt;"&amp;(Config!$B$7+1))+COUNTIFS($AW$2:$AW$201,AW95,$CS$2:$CS$201,1,$H$2:$H$201,H95,$AX$2:$AX$201,"&gt;"&amp;AX95)=0,1,0),0)</f>
        <v>0</v>
      </c>
      <c r="CX95" s="23" t="n">
        <f aca="false">IF(AND(CS95=1,INT(N(H95))&lt;=Config!$B$8),IF(COUNTIFS($AW$2:$AW$201,AW95,$CS$2:$CS$201,1,$H$2:$H$201,"&gt;"&amp;H95,$H$2:$H$201,"&lt;"&amp;(Config!$B$8+1))+COUNTIFS($AW$2:$AW$201,AW95,$CS$2:$CS$201,1,$H$2:$H$201,H95,$AX$2:$AX$201,"&gt;"&amp;AX95)=0,1,0),0)</f>
        <v>0</v>
      </c>
      <c r="CY95" s="23" t="n">
        <f aca="false">IF(AND(CS95=1,INT(N(H95))&lt;=Config!$B$5),IF(COUNTIFS($AW$2:$AW$201,AW95,$CS$2:$CS$201,1,$H$2:$H$201,"&gt;"&amp;H95,$H$2:$H$201,"&lt;"&amp;(Config!$B$5+1))+COUNTIFS($AW$2:$AW$201,AW95,$CS$2:$CS$201,1,$H$2:$H$201,H95,$AX$2:$AX$201,"&gt;"&amp;AX95)=0,1,0),0)</f>
        <v>0</v>
      </c>
      <c r="CZ95" s="23" t="n">
        <f aca="false">IF(AY95=1,IF(COUNTIFS($AW$2:$AW$201,AW95,$CV$2:$CV$201,1,$BB$2:$BB$201,1)&gt;0,1,0),0)</f>
        <v>0</v>
      </c>
      <c r="DA95" s="23" t="n">
        <f aca="false">IF(AY95=1,IF(COUNTIFS($AW$2:$AW$201,AW95,$CW$2:$CW$201,1,$BB$2:$BB$201,1)&gt;0,1,0),0)</f>
        <v>0</v>
      </c>
      <c r="DB95" s="23" t="n">
        <f aca="false">IF(AY95=1,IF(COUNTIFS($AW$2:$AW$201,AW95,$CX$2:$CX$201,1,$BB$2:$BB$201,1)&gt;0,1,0),0)</f>
        <v>0</v>
      </c>
      <c r="DC95" s="23" t="n">
        <f aca="false">IF(AY95=1,IF(COUNTIFS($AW$2:$AW$201,AW95,$CY$2:$CY$201,1,$BB$2:$BB$201,1)&gt;0,1,0),0)</f>
        <v>0</v>
      </c>
      <c r="DD95" s="23" t="n">
        <f aca="false">IF(AND(BC95=1,INT(N(H95))&lt;=Config!$B$6,CZ95=1),1,0)</f>
        <v>0</v>
      </c>
      <c r="DE95" s="23" t="n">
        <f aca="false">IF(AND(BC95=1,INT(N(H95))&lt;=Config!$B$7,DA95=1),1,0)</f>
        <v>0</v>
      </c>
      <c r="DF95" s="23" t="n">
        <f aca="false">IF(AND(BC95=1,INT(N(H95))&lt;=Config!$B$8,DB95=1),1,0)</f>
        <v>0</v>
      </c>
      <c r="DG95" s="23" t="n">
        <f aca="false">IF(AND(BC95=1,INT(N(H95))&lt;=Config!$B$5,DC95=1),1,0)</f>
        <v>0</v>
      </c>
      <c r="DH95" s="23" t="n">
        <f aca="false">IF(AND(BE95=1,INT(N(H95))&lt;=Config!$B$6,CZ95=1),1,0)</f>
        <v>0</v>
      </c>
      <c r="DI95" s="23" t="n">
        <f aca="false">IF(AND(BE95=1,INT(N(H95))&lt;=Config!$B$7,DA95=1),1,0)</f>
        <v>0</v>
      </c>
      <c r="DJ95" s="23" t="n">
        <f aca="false">IF(AND(BE95=1,INT(N(H95))&lt;=Config!$B$8,DB95=1),1,0)</f>
        <v>0</v>
      </c>
      <c r="DK95" s="23" t="n">
        <f aca="false">IF(AND(BE95=1,INT(N(H95))&lt;=Config!$B$5,DC95=1),1,0)</f>
        <v>0</v>
      </c>
      <c r="DL95" s="23" t="n">
        <f aca="false">IF(AND(BC95=1,INT(N(H95))&lt;=Config!$B$6,CZ95=0),1,0)</f>
        <v>0</v>
      </c>
      <c r="DM95" s="23" t="n">
        <f aca="false">IF(AND(BC95=1,INT(N(H95))&lt;=Config!$B$7,DA95=0),1,0)</f>
        <v>0</v>
      </c>
      <c r="DN95" s="23" t="n">
        <f aca="false">IF(AND(BC95=1,INT(N(H95))&lt;=Config!$B$8,DB95=0),1,0)</f>
        <v>0</v>
      </c>
      <c r="DO95" s="23" t="n">
        <f aca="false">IF(AND(BC95=1,INT(N(H95))&lt;=Config!$B$5,DC95=0),1,0)</f>
        <v>0</v>
      </c>
      <c r="DP95" s="23" t="n">
        <f aca="false">IF(TRIM($A95)="",0,ISTEXT(K95)+ISTEXT(L95)+ISTEXT(R95)+ISTEXT(V95)+ISTEXT(AP95)+ISTEXT(AS95))</f>
        <v>0</v>
      </c>
      <c r="DQ95" s="23" t="n">
        <f aca="false">IF(AY95=1,IF(H95&lt;&gt;INT(H95),1,0),0)</f>
        <v>0</v>
      </c>
      <c r="DR95" s="23" t="str">
        <f aca="false">IF(TRIM($A95)="","",IF(TRIM(B95)="",SUBSTITUTE(SUBSTITUTE(SUBSTITUTE(SUBSTITUTE(SUBSTITUTE(SUBSTITUTE(LOWER(TRIM($A95)),"~",""),"*",""),"?",""),"&lt;",""),"&gt;",""),"=",""),SUBSTITUTE(SUBSTITUTE(SUBSTITUTE(SUBSTITUTE(SUBSTITUTE(SUBSTITUTE(LOWER(TRIM(B95)),"~",""),"*",""),"?",""),"&lt;",""),"&gt;",""),"=","")))</f>
        <v/>
      </c>
      <c r="DS95" s="23" t="str">
        <f aca="false">IF(CM95="","",IFERROR(IF(LEFT(LOWER(TRIM(INDEX(Clay_Brands!$A$2:$FZ$601,CM95,Sync!$D$19)&amp;"")),4)="grp-",SUBSTITUTE(SUBSTITUTE(SUBSTITUTE(SUBSTITUTE(SUBSTITUTE(SUBSTITUTE(LOWER(TRIM(INDEX(Clay_Brands!$A$2:$FZ$601,CM95,Sync!$D$19)&amp;"")),"~",""),"*",""),"?",""),"&lt;",""),"&gt;",""),"=",""),""),""))</f>
        <v/>
      </c>
      <c r="DT95" s="23" t="str">
        <f aca="false">IF(DS95&lt;&gt;"",DR95,"")</f>
        <v/>
      </c>
      <c r="DU95" s="23" t="str">
        <f aca="false">IF(AZ95=1,AW95,"")</f>
        <v/>
      </c>
      <c r="DV95" s="23" t="str">
        <f aca="false">IF(TRIM($A95)="","",IFERROR(INDEX($A$2:$A$201,MATCH(AW95,$DU$2:$DU$201,0))&amp;"",$A95&amp;""))</f>
        <v/>
      </c>
      <c r="DW95" s="23" t="n">
        <f aca="false">IF(AY95=1,IF(COUNTIFS($A$2:$A$201,$A95,$AY$2:$AY$201,1,$H$2:$H$201,"&lt;"&amp;H95)+COUNTIFS($A$2:$A$201,$A95,$AY$2:$AY$201,1,$H$2:$H$201,H95,$AX$2:$AX$201,"&lt;"&amp;AX95)=0,1,0),0)</f>
        <v>0</v>
      </c>
      <c r="DX95" s="23" t="n">
        <f aca="false">IF(AZ95=1,IF(COUNTIFS($AW$2:$AW$201,AW95,$DW$2:$DW$201,1)&gt;1,1,0),0)</f>
        <v>0</v>
      </c>
    </row>
    <row r="96" customFormat="false" ht="15" hidden="false" customHeight="false" outlineLevel="0" collapsed="false">
      <c r="G96" s="32"/>
      <c r="H96" s="33"/>
      <c r="I96" s="32"/>
      <c r="O96" s="32"/>
      <c r="P96" s="32"/>
      <c r="U96" s="32"/>
      <c r="Y96" s="32"/>
      <c r="AB96" s="32"/>
      <c r="AC96" s="32"/>
      <c r="AD96" s="32"/>
      <c r="AE96" s="32"/>
      <c r="AF96" s="32"/>
      <c r="AG96" s="32"/>
      <c r="AI96" s="32"/>
      <c r="AJ96" s="32"/>
      <c r="AK96" s="32"/>
      <c r="AN96" s="32"/>
      <c r="AO96" s="32"/>
      <c r="AR96" s="32"/>
      <c r="AT96" s="32"/>
      <c r="AV96" s="34" t="str">
        <f aca="false">IF(TRIM($A96)="","",IF(AND(LEFT($A96,6)="SAMPLE",Config!$B$19&lt;&gt;"Y"),"",IF(NOT(ISNUMBER(H96)),"call_date is blank or not a date",IF(Sync!$D$5="","Clay paste is empty or has no row_id column: paste the Clay export on Clay_Brands",IF(CM96="","row_id not found in the Clay paste: add the Clay row or fix the row_id",IF(AND(ISNUMBER(CO96),CO96&gt;=1,CO96&lt;=5),"Clay status is "&amp;CN96&amp;": set call_done or later",IF(AND(BA96=1,CP96&lt;&gt;CB96),"Clay yes_in_principle should be "&amp;CB96,IF(AND(BA96=1,CQ96&lt;&gt;H96),"Clay call_date should be "&amp;TEXT(H96,"yyyy-mm-dd"),""))))))))</f>
        <v/>
      </c>
      <c r="AW96" s="23" t="str">
        <f aca="false">IF(TRIM($A96)="","",IF(TRIM(C96)&lt;&gt;"",SUBSTITUTE(SUBSTITUTE(SUBSTITUTE(SUBSTITUTE(SUBSTITUTE(SUBSTITUTE(LOWER(TRIM(C96)),"~",""),"*",""),"?",""),"&lt;",""),"&gt;",""),"=",""),IF(DS96&lt;&gt;"",DS96,IFERROR(INDEX($DS$2:$DS$201,MATCH(DR96,$DT$2:$DT$201,0)),DR96))))</f>
        <v/>
      </c>
      <c r="AX96" s="23" t="n">
        <f aca="false">ROW()</f>
        <v>96</v>
      </c>
      <c r="AY96" s="23" t="n">
        <f aca="false">IF(AND(TRIM($A96)&lt;&gt;"",ISNUMBER(H96)),IF(AND(LEFT($A96,6)="SAMPLE",Config!$B$19&lt;&gt;"Y"),0,1),0)</f>
        <v>0</v>
      </c>
      <c r="AZ96" s="23" t="n">
        <f aca="false">IF(AY96=1,IF(COUNTIFS($AW$2:$AW$201,AW96,$AY$2:$AY$201,1,$H$2:$H$201,"&lt;"&amp;H96)+COUNTIFS($AW$2:$AW$201,AW96,$AY$2:$AY$201,1,$H$2:$H$201,H96,$AX$2:$AX$201,"&lt;"&amp;AX96)=0,1,0),0)</f>
        <v>0</v>
      </c>
      <c r="BA96" s="23" t="n">
        <f aca="false">IF(AY96=1,IF(COUNTIFS($A$2:$A$201,$A96,$AY$2:$AY$201,1,$H$2:$H$201,"&gt;"&amp;H96)+COUNTIFS($A$2:$A$201,$A96,$AY$2:$AY$201,1,$H$2:$H$201,H96,$AX$2:$AX$201,"&gt;"&amp;AX96)=0,1,0),0)</f>
        <v>0</v>
      </c>
      <c r="BB96" s="23" t="n">
        <f aca="false">IF(AND(AY96=1,O96="Y",MAX(N(R96),N(V96))&gt;=Config!$B$14),1,0)</f>
        <v>0</v>
      </c>
      <c r="BC96" s="23" t="n">
        <f aca="false">IF(BB96=1,IF(COUNTIFS($AW$2:$AW$201,AW96,$BB$2:$BB$201,1,$H$2:$H$201,"&lt;"&amp;H96)+COUNTIFS($AW$2:$AW$201,AW96,$BB$2:$BB$201,1,$H$2:$H$201,H96,$AX$2:$AX$201,"&lt;"&amp;AX96)=0,1,0),0)</f>
        <v>0</v>
      </c>
      <c r="BD96" s="23" t="n">
        <f aca="false">IF(AND(AY96=1,O96="Y",ISNUMBER(R96)),IF(R96&gt;=Config!$B$14,1,0),0)</f>
        <v>0</v>
      </c>
      <c r="BE96" s="23" t="n">
        <f aca="false">IF(BD96=1,IF(COUNTIFS($AW$2:$AW$201,AW96,$BD$2:$BD$201,1,$H$2:$H$201,"&lt;"&amp;H96)+COUNTIFS($AW$2:$AW$201,AW96,$BD$2:$BD$201,1,$H$2:$H$201,H96,$AX$2:$AX$201,"&lt;"&amp;AX96)=0,1,0),0)</f>
        <v>0</v>
      </c>
      <c r="BF96" s="23" t="n">
        <f aca="false">IF(AND(AY96=1,O96&lt;&gt;"Y",MAX(N(R96),N(V96))&gt;=Config!$B$14),1,0)</f>
        <v>0</v>
      </c>
      <c r="BG96" s="23" t="n">
        <f aca="false">IF(BF96=1,IF(COUNTIFS($AW$2:$AW$201,AW96,$BF$2:$BF$201,1,$H$2:$H$201,"&lt;"&amp;H96)+COUNTIFS($AW$2:$AW$201,AW96,$BF$2:$BF$201,1,$H$2:$H$201,H96,$AX$2:$AX$201,"&lt;"&amp;AX96)=0,1,0),0)</f>
        <v>0</v>
      </c>
      <c r="BH96" s="23" t="n">
        <f aca="false">IF(AND(AY96=1,ISNUMBER(R96)),1,0)</f>
        <v>0</v>
      </c>
      <c r="BI96" s="23" t="n">
        <f aca="false">IF(BH96=1,IF(COUNTIFS($AW$2:$AW$201,AW96,$BH$2:$BH$201,1,$H$2:$H$201,"&lt;"&amp;H96)+COUNTIFS($AW$2:$AW$201,AW96,$BH$2:$BH$201,1,$H$2:$H$201,H96,$AX$2:$AX$201,"&lt;"&amp;AX96)=0,1,0),0)</f>
        <v>0</v>
      </c>
      <c r="BJ96" s="23" t="str">
        <f aca="false">IF(AND(BI96=1,INT(N(H96))&lt;=Config!$B$6),R96,"")</f>
        <v/>
      </c>
      <c r="BK96" s="23" t="str">
        <f aca="false">IF(AND(BI96=1,INT(N(H96))&lt;=Config!$B$7),R96,"")</f>
        <v/>
      </c>
      <c r="BL96" s="23" t="str">
        <f aca="false">IF(AND(BI96=1,INT(N(H96))&lt;=Config!$B$8),R96,"")</f>
        <v/>
      </c>
      <c r="BM96" s="23" t="str">
        <f aca="false">IF(AND(BI96=1,INT(N(H96))&lt;=Config!$B$5),R96,"")</f>
        <v/>
      </c>
      <c r="BN96" s="23" t="n">
        <f aca="false">IF(AND(AY96=1,ISNUMBER(V96)),1,0)</f>
        <v>0</v>
      </c>
      <c r="BO96" s="23" t="n">
        <f aca="false">IF(BN96=1,IF(COUNTIFS($AW$2:$AW$201,AW96,$BN$2:$BN$201,1,$H$2:$H$201,"&lt;"&amp;H96)+COUNTIFS($AW$2:$AW$201,AW96,$BN$2:$BN$201,1,$H$2:$H$201,H96,$AX$2:$AX$201,"&lt;"&amp;AX96)=0,1,0),0)</f>
        <v>0</v>
      </c>
      <c r="BP96" s="23" t="str">
        <f aca="false">IF(AND(BO96=1,INT(N(H96))&lt;=Config!$B$6),V96,"")</f>
        <v/>
      </c>
      <c r="BQ96" s="23" t="str">
        <f aca="false">IF(AND(BO96=1,INT(N(H96))&lt;=Config!$B$7),V96,"")</f>
        <v/>
      </c>
      <c r="BR96" s="23" t="str">
        <f aca="false">IF(AND(BO96=1,INT(N(H96))&lt;=Config!$B$8),V96,"")</f>
        <v/>
      </c>
      <c r="BS96" s="23" t="str">
        <f aca="false">IF(AND(BO96=1,INT(N(H96))&lt;=Config!$B$5),V96,"")</f>
        <v/>
      </c>
      <c r="BT96" s="23" t="n">
        <f aca="false">IF(AND(AY96=1,ISNUMBER(K96)),1,0)</f>
        <v>0</v>
      </c>
      <c r="BU96" s="23" t="n">
        <f aca="false">IF(BT96=1,IF(COUNTIFS($AW$2:$AW$201,AW96,$BT$2:$BT$201,1,$H$2:$H$201,"&lt;"&amp;H96)+COUNTIFS($AW$2:$AW$201,AW96,$BT$2:$BT$201,1,$H$2:$H$201,H96,$AX$2:$AX$201,"&lt;"&amp;AX96)=0,1,0),0)</f>
        <v>0</v>
      </c>
      <c r="BV96" s="23" t="str">
        <f aca="false">IF(AND(BU96=1,INT(N(H96))&lt;=Config!$B$5),K96,"")</f>
        <v/>
      </c>
      <c r="BW96" s="23" t="n">
        <f aca="false">IF(AND(AY96=1,OR(AND(ISNUMBER(R96),TRIM(S96)=""),AND(ISNUMBER(V96),TRIM(W96)=""))),1,0)</f>
        <v>0</v>
      </c>
      <c r="BX96" s="23" t="str">
        <f aca="false">IF(AY96=1,AJ96&amp;"","")</f>
        <v/>
      </c>
      <c r="BY96" s="23" t="str">
        <f aca="false">IF(AY96=1,AK96&amp;"","")</f>
        <v/>
      </c>
      <c r="BZ96" s="23" t="str">
        <f aca="false">IF(AY96=1,AL96&amp;"","")</f>
        <v/>
      </c>
      <c r="CA96" s="23" t="str">
        <f aca="false">IF(AND(AY96=1,ISNUMBER(AS96),INT(N(H96))&lt;=Config!$B$5),AS96,"")</f>
        <v/>
      </c>
      <c r="CB96" s="23" t="str">
        <f aca="false">IF(AY96=1,IF(COUNTIFS($A$2:$A$201,$A96,$CU$2:$CU$201,1,$AN$2:$AN$201,"Y")&gt;0,"Y","N"),"")</f>
        <v/>
      </c>
      <c r="CC96" s="23" t="n">
        <f aca="false">IF(AND(AY96=1,AN96="Y"),IF(COUNTIFS($AW$2:$AW$201,AW96,$AN$2:$AN$201,"Y",$AY$2:$AY$201,1,$H$2:$H$201,"&lt;"&amp;H96)+COUNTIFS($AW$2:$AW$201,AW96,$AN$2:$AN$201,"Y",$AY$2:$AY$201,1,$H$2:$H$201,H96,$AX$2:$AX$201,"&lt;"&amp;AX96)=0,1,0),0)</f>
        <v>0</v>
      </c>
      <c r="CD96" s="23" t="n">
        <f aca="false">IF(AND(AY96=1,AB96="Y",AC96="Y",AD96="Y",AE96="Y",AF96="Y",AG96="Y",AI96="Y",TRIM(AH96)&lt;&gt;""),1,0)</f>
        <v>0</v>
      </c>
      <c r="CE96" s="23" t="n">
        <f aca="false">IF(CD96=1,IF(COUNTIFS($AW$2:$AW$201,AW96,$CD$2:$CD$201,1,$H$2:$H$201,"&lt;"&amp;H96)+COUNTIFS($AW$2:$AW$201,AW96,$CD$2:$CD$201,1,$H$2:$H$201,H96,$AX$2:$AX$201,"&lt;"&amp;AX96)=0,1,0),0)</f>
        <v>0</v>
      </c>
      <c r="CF96" s="23" t="n">
        <f aca="false">IF(AND(AY96=1,AO96="Y"),1,0)</f>
        <v>0</v>
      </c>
      <c r="CG96" s="23" t="n">
        <f aca="false">IF(CF96=1,IF(COUNTIFS($AW$2:$AW$201,AW96,$CF$2:$CF$201,1,$H$2:$H$201,"&lt;"&amp;H96)+COUNTIFS($AW$2:$AW$201,AW96,$CF$2:$CF$201,1,$H$2:$H$201,H96,$AX$2:$AX$201,"&lt;"&amp;AX96)=0,1,0),0)</f>
        <v>0</v>
      </c>
      <c r="CH96" s="23" t="n">
        <f aca="false">IF(AND(AY96=1,P96="Y"),1,0)</f>
        <v>0</v>
      </c>
      <c r="CI96" s="23" t="n">
        <f aca="false">IF(CH96=1,IF(COUNTIFS($AW$2:$AW$201,AW96,$CH$2:$CH$201,1,$H$2:$H$201,"&lt;"&amp;H96)+COUNTIFS($AW$2:$AW$201,AW96,$CH$2:$CH$201,1,$H$2:$H$201,H96,$AX$2:$AX$201,"&lt;"&amp;AX96)=0,1,0),0)</f>
        <v>0</v>
      </c>
      <c r="CJ96" s="23" t="str">
        <f aca="false">IF(AND(BU96=1,INT(N(H96))&lt;=Config!$B$5),L96,"")</f>
        <v/>
      </c>
      <c r="CK96" s="23" t="n">
        <f aca="false">IF(AND(AY96=1,AR96="Y"),1,0)</f>
        <v>0</v>
      </c>
      <c r="CL96" s="23" t="n">
        <f aca="false">IF(CK96=1,IF(COUNTIFS($AW$2:$AW$201,AW96,$CK$2:$CK$201,1,$H$2:$H$201,"&lt;"&amp;H96)+COUNTIFS($AW$2:$AW$201,AW96,$CK$2:$CK$201,1,$H$2:$H$201,H96,$AX$2:$AX$201,"&lt;"&amp;AX96)=0,1,0),0)</f>
        <v>0</v>
      </c>
      <c r="CM96" s="23" t="str">
        <f aca="false">IF(AY96=1,IFERROR(MATCH($A96,INDEX(Clay_Brands!$A$2:$FZ$601,0,Sync!$D$5),0),""),"")</f>
        <v/>
      </c>
      <c r="CN96" s="23" t="str">
        <f aca="false">IF(CM96="","",IFERROR(INDEX(Clay_Brands!$A$2:$FZ$601,CM96,Sync!$D$7)&amp;"",""))</f>
        <v/>
      </c>
      <c r="CO96" s="23" t="str">
        <f aca="false">IF(CN96="","",IFERROR(INDEX(Lists!$K$2:$K$15,MATCH(CN96,Lists!$J$2:$J$15,0)),""))</f>
        <v/>
      </c>
      <c r="CP96" s="23" t="str">
        <f aca="false">IF(CM96="","",IFERROR(INDEX(Clay_Brands!$A$2:$FZ$601,CM96,Sync!$D$17)&amp;"",""))</f>
        <v/>
      </c>
      <c r="CQ96" s="35" t="str">
        <f aca="false">IF(CM96="","",IFERROR(N(INDEX(Clay_Brands!$A$2:$FZ$601,CM96,Sync!$D$16)),0))</f>
        <v/>
      </c>
      <c r="CR96" s="23" t="n">
        <f aca="false">IF(AND(AY96=1,OR(O96="N",AND(OR(ISNUMBER(R96),ISNUMBER(V96)),MAX(N(R96),N(V96))&lt;Config!$B$14))),1,0)</f>
        <v>0</v>
      </c>
      <c r="CS96" s="23" t="n">
        <f aca="false">IF(OR(BB96=1,CR96=1),1,0)</f>
        <v>0</v>
      </c>
      <c r="CT96" s="23" t="n">
        <f aca="false">IF(AND(AY96=1,OR(AN96="Y",AN96="N",AN96="maybe")),1,0)</f>
        <v>0</v>
      </c>
      <c r="CU96" s="23" t="n">
        <f aca="false">IF(AND(CT96=1),IF(COUNTIFS($A$2:$A$201,$A96,$CT$2:$CT$201,1,$H$2:$H$201,"&gt;"&amp;H96)+COUNTIFS($A$2:$A$201,$A96,$CT$2:$CT$201,1,$H$2:$H$201,H96,$AX$2:$AX$201,"&gt;"&amp;AX96)=0,1,0),0)</f>
        <v>0</v>
      </c>
      <c r="CV96" s="23" t="n">
        <f aca="false">IF(AND(CS96=1,INT(N(H96))&lt;=Config!$B$6),IF(COUNTIFS($AW$2:$AW$201,AW96,$CS$2:$CS$201,1,$H$2:$H$201,"&gt;"&amp;H96,$H$2:$H$201,"&lt;"&amp;(Config!$B$6+1))+COUNTIFS($AW$2:$AW$201,AW96,$CS$2:$CS$201,1,$H$2:$H$201,H96,$AX$2:$AX$201,"&gt;"&amp;AX96)=0,1,0),0)</f>
        <v>0</v>
      </c>
      <c r="CW96" s="23" t="n">
        <f aca="false">IF(AND(CS96=1,INT(N(H96))&lt;=Config!$B$7),IF(COUNTIFS($AW$2:$AW$201,AW96,$CS$2:$CS$201,1,$H$2:$H$201,"&gt;"&amp;H96,$H$2:$H$201,"&lt;"&amp;(Config!$B$7+1))+COUNTIFS($AW$2:$AW$201,AW96,$CS$2:$CS$201,1,$H$2:$H$201,H96,$AX$2:$AX$201,"&gt;"&amp;AX96)=0,1,0),0)</f>
        <v>0</v>
      </c>
      <c r="CX96" s="23" t="n">
        <f aca="false">IF(AND(CS96=1,INT(N(H96))&lt;=Config!$B$8),IF(COUNTIFS($AW$2:$AW$201,AW96,$CS$2:$CS$201,1,$H$2:$H$201,"&gt;"&amp;H96,$H$2:$H$201,"&lt;"&amp;(Config!$B$8+1))+COUNTIFS($AW$2:$AW$201,AW96,$CS$2:$CS$201,1,$H$2:$H$201,H96,$AX$2:$AX$201,"&gt;"&amp;AX96)=0,1,0),0)</f>
        <v>0</v>
      </c>
      <c r="CY96" s="23" t="n">
        <f aca="false">IF(AND(CS96=1,INT(N(H96))&lt;=Config!$B$5),IF(COUNTIFS($AW$2:$AW$201,AW96,$CS$2:$CS$201,1,$H$2:$H$201,"&gt;"&amp;H96,$H$2:$H$201,"&lt;"&amp;(Config!$B$5+1))+COUNTIFS($AW$2:$AW$201,AW96,$CS$2:$CS$201,1,$H$2:$H$201,H96,$AX$2:$AX$201,"&gt;"&amp;AX96)=0,1,0),0)</f>
        <v>0</v>
      </c>
      <c r="CZ96" s="23" t="n">
        <f aca="false">IF(AY96=1,IF(COUNTIFS($AW$2:$AW$201,AW96,$CV$2:$CV$201,1,$BB$2:$BB$201,1)&gt;0,1,0),0)</f>
        <v>0</v>
      </c>
      <c r="DA96" s="23" t="n">
        <f aca="false">IF(AY96=1,IF(COUNTIFS($AW$2:$AW$201,AW96,$CW$2:$CW$201,1,$BB$2:$BB$201,1)&gt;0,1,0),0)</f>
        <v>0</v>
      </c>
      <c r="DB96" s="23" t="n">
        <f aca="false">IF(AY96=1,IF(COUNTIFS($AW$2:$AW$201,AW96,$CX$2:$CX$201,1,$BB$2:$BB$201,1)&gt;0,1,0),0)</f>
        <v>0</v>
      </c>
      <c r="DC96" s="23" t="n">
        <f aca="false">IF(AY96=1,IF(COUNTIFS($AW$2:$AW$201,AW96,$CY$2:$CY$201,1,$BB$2:$BB$201,1)&gt;0,1,0),0)</f>
        <v>0</v>
      </c>
      <c r="DD96" s="23" t="n">
        <f aca="false">IF(AND(BC96=1,INT(N(H96))&lt;=Config!$B$6,CZ96=1),1,0)</f>
        <v>0</v>
      </c>
      <c r="DE96" s="23" t="n">
        <f aca="false">IF(AND(BC96=1,INT(N(H96))&lt;=Config!$B$7,DA96=1),1,0)</f>
        <v>0</v>
      </c>
      <c r="DF96" s="23" t="n">
        <f aca="false">IF(AND(BC96=1,INT(N(H96))&lt;=Config!$B$8,DB96=1),1,0)</f>
        <v>0</v>
      </c>
      <c r="DG96" s="23" t="n">
        <f aca="false">IF(AND(BC96=1,INT(N(H96))&lt;=Config!$B$5,DC96=1),1,0)</f>
        <v>0</v>
      </c>
      <c r="DH96" s="23" t="n">
        <f aca="false">IF(AND(BE96=1,INT(N(H96))&lt;=Config!$B$6,CZ96=1),1,0)</f>
        <v>0</v>
      </c>
      <c r="DI96" s="23" t="n">
        <f aca="false">IF(AND(BE96=1,INT(N(H96))&lt;=Config!$B$7,DA96=1),1,0)</f>
        <v>0</v>
      </c>
      <c r="DJ96" s="23" t="n">
        <f aca="false">IF(AND(BE96=1,INT(N(H96))&lt;=Config!$B$8,DB96=1),1,0)</f>
        <v>0</v>
      </c>
      <c r="DK96" s="23" t="n">
        <f aca="false">IF(AND(BE96=1,INT(N(H96))&lt;=Config!$B$5,DC96=1),1,0)</f>
        <v>0</v>
      </c>
      <c r="DL96" s="23" t="n">
        <f aca="false">IF(AND(BC96=1,INT(N(H96))&lt;=Config!$B$6,CZ96=0),1,0)</f>
        <v>0</v>
      </c>
      <c r="DM96" s="23" t="n">
        <f aca="false">IF(AND(BC96=1,INT(N(H96))&lt;=Config!$B$7,DA96=0),1,0)</f>
        <v>0</v>
      </c>
      <c r="DN96" s="23" t="n">
        <f aca="false">IF(AND(BC96=1,INT(N(H96))&lt;=Config!$B$8,DB96=0),1,0)</f>
        <v>0</v>
      </c>
      <c r="DO96" s="23" t="n">
        <f aca="false">IF(AND(BC96=1,INT(N(H96))&lt;=Config!$B$5,DC96=0),1,0)</f>
        <v>0</v>
      </c>
      <c r="DP96" s="23" t="n">
        <f aca="false">IF(TRIM($A96)="",0,ISTEXT(K96)+ISTEXT(L96)+ISTEXT(R96)+ISTEXT(V96)+ISTEXT(AP96)+ISTEXT(AS96))</f>
        <v>0</v>
      </c>
      <c r="DQ96" s="23" t="n">
        <f aca="false">IF(AY96=1,IF(H96&lt;&gt;INT(H96),1,0),0)</f>
        <v>0</v>
      </c>
      <c r="DR96" s="23" t="str">
        <f aca="false">IF(TRIM($A96)="","",IF(TRIM(B96)="",SUBSTITUTE(SUBSTITUTE(SUBSTITUTE(SUBSTITUTE(SUBSTITUTE(SUBSTITUTE(LOWER(TRIM($A96)),"~",""),"*",""),"?",""),"&lt;",""),"&gt;",""),"=",""),SUBSTITUTE(SUBSTITUTE(SUBSTITUTE(SUBSTITUTE(SUBSTITUTE(SUBSTITUTE(LOWER(TRIM(B96)),"~",""),"*",""),"?",""),"&lt;",""),"&gt;",""),"=","")))</f>
        <v/>
      </c>
      <c r="DS96" s="23" t="str">
        <f aca="false">IF(CM96="","",IFERROR(IF(LEFT(LOWER(TRIM(INDEX(Clay_Brands!$A$2:$FZ$601,CM96,Sync!$D$19)&amp;"")),4)="grp-",SUBSTITUTE(SUBSTITUTE(SUBSTITUTE(SUBSTITUTE(SUBSTITUTE(SUBSTITUTE(LOWER(TRIM(INDEX(Clay_Brands!$A$2:$FZ$601,CM96,Sync!$D$19)&amp;"")),"~",""),"*",""),"?",""),"&lt;",""),"&gt;",""),"=",""),""),""))</f>
        <v/>
      </c>
      <c r="DT96" s="23" t="str">
        <f aca="false">IF(DS96&lt;&gt;"",DR96,"")</f>
        <v/>
      </c>
      <c r="DU96" s="23" t="str">
        <f aca="false">IF(AZ96=1,AW96,"")</f>
        <v/>
      </c>
      <c r="DV96" s="23" t="str">
        <f aca="false">IF(TRIM($A96)="","",IFERROR(INDEX($A$2:$A$201,MATCH(AW96,$DU$2:$DU$201,0))&amp;"",$A96&amp;""))</f>
        <v/>
      </c>
      <c r="DW96" s="23" t="n">
        <f aca="false">IF(AY96=1,IF(COUNTIFS($A$2:$A$201,$A96,$AY$2:$AY$201,1,$H$2:$H$201,"&lt;"&amp;H96)+COUNTIFS($A$2:$A$201,$A96,$AY$2:$AY$201,1,$H$2:$H$201,H96,$AX$2:$AX$201,"&lt;"&amp;AX96)=0,1,0),0)</f>
        <v>0</v>
      </c>
      <c r="DX96" s="23" t="n">
        <f aca="false">IF(AZ96=1,IF(COUNTIFS($AW$2:$AW$201,AW96,$DW$2:$DW$201,1)&gt;1,1,0),0)</f>
        <v>0</v>
      </c>
    </row>
    <row r="97" customFormat="false" ht="15" hidden="false" customHeight="false" outlineLevel="0" collapsed="false">
      <c r="G97" s="32"/>
      <c r="H97" s="33"/>
      <c r="I97" s="32"/>
      <c r="O97" s="32"/>
      <c r="P97" s="32"/>
      <c r="U97" s="32"/>
      <c r="Y97" s="32"/>
      <c r="AB97" s="32"/>
      <c r="AC97" s="32"/>
      <c r="AD97" s="32"/>
      <c r="AE97" s="32"/>
      <c r="AF97" s="32"/>
      <c r="AG97" s="32"/>
      <c r="AI97" s="32"/>
      <c r="AJ97" s="32"/>
      <c r="AK97" s="32"/>
      <c r="AN97" s="32"/>
      <c r="AO97" s="32"/>
      <c r="AR97" s="32"/>
      <c r="AT97" s="32"/>
      <c r="AV97" s="34" t="str">
        <f aca="false">IF(TRIM($A97)="","",IF(AND(LEFT($A97,6)="SAMPLE",Config!$B$19&lt;&gt;"Y"),"",IF(NOT(ISNUMBER(H97)),"call_date is blank or not a date",IF(Sync!$D$5="","Clay paste is empty or has no row_id column: paste the Clay export on Clay_Brands",IF(CM97="","row_id not found in the Clay paste: add the Clay row or fix the row_id",IF(AND(ISNUMBER(CO97),CO97&gt;=1,CO97&lt;=5),"Clay status is "&amp;CN97&amp;": set call_done or later",IF(AND(BA97=1,CP97&lt;&gt;CB97),"Clay yes_in_principle should be "&amp;CB97,IF(AND(BA97=1,CQ97&lt;&gt;H97),"Clay call_date should be "&amp;TEXT(H97,"yyyy-mm-dd"),""))))))))</f>
        <v/>
      </c>
      <c r="AW97" s="23" t="str">
        <f aca="false">IF(TRIM($A97)="","",IF(TRIM(C97)&lt;&gt;"",SUBSTITUTE(SUBSTITUTE(SUBSTITUTE(SUBSTITUTE(SUBSTITUTE(SUBSTITUTE(LOWER(TRIM(C97)),"~",""),"*",""),"?",""),"&lt;",""),"&gt;",""),"=",""),IF(DS97&lt;&gt;"",DS97,IFERROR(INDEX($DS$2:$DS$201,MATCH(DR97,$DT$2:$DT$201,0)),DR97))))</f>
        <v/>
      </c>
      <c r="AX97" s="23" t="n">
        <f aca="false">ROW()</f>
        <v>97</v>
      </c>
      <c r="AY97" s="23" t="n">
        <f aca="false">IF(AND(TRIM($A97)&lt;&gt;"",ISNUMBER(H97)),IF(AND(LEFT($A97,6)="SAMPLE",Config!$B$19&lt;&gt;"Y"),0,1),0)</f>
        <v>0</v>
      </c>
      <c r="AZ97" s="23" t="n">
        <f aca="false">IF(AY97=1,IF(COUNTIFS($AW$2:$AW$201,AW97,$AY$2:$AY$201,1,$H$2:$H$201,"&lt;"&amp;H97)+COUNTIFS($AW$2:$AW$201,AW97,$AY$2:$AY$201,1,$H$2:$H$201,H97,$AX$2:$AX$201,"&lt;"&amp;AX97)=0,1,0),0)</f>
        <v>0</v>
      </c>
      <c r="BA97" s="23" t="n">
        <f aca="false">IF(AY97=1,IF(COUNTIFS($A$2:$A$201,$A97,$AY$2:$AY$201,1,$H$2:$H$201,"&gt;"&amp;H97)+COUNTIFS($A$2:$A$201,$A97,$AY$2:$AY$201,1,$H$2:$H$201,H97,$AX$2:$AX$201,"&gt;"&amp;AX97)=0,1,0),0)</f>
        <v>0</v>
      </c>
      <c r="BB97" s="23" t="n">
        <f aca="false">IF(AND(AY97=1,O97="Y",MAX(N(R97),N(V97))&gt;=Config!$B$14),1,0)</f>
        <v>0</v>
      </c>
      <c r="BC97" s="23" t="n">
        <f aca="false">IF(BB97=1,IF(COUNTIFS($AW$2:$AW$201,AW97,$BB$2:$BB$201,1,$H$2:$H$201,"&lt;"&amp;H97)+COUNTIFS($AW$2:$AW$201,AW97,$BB$2:$BB$201,1,$H$2:$H$201,H97,$AX$2:$AX$201,"&lt;"&amp;AX97)=0,1,0),0)</f>
        <v>0</v>
      </c>
      <c r="BD97" s="23" t="n">
        <f aca="false">IF(AND(AY97=1,O97="Y",ISNUMBER(R97)),IF(R97&gt;=Config!$B$14,1,0),0)</f>
        <v>0</v>
      </c>
      <c r="BE97" s="23" t="n">
        <f aca="false">IF(BD97=1,IF(COUNTIFS($AW$2:$AW$201,AW97,$BD$2:$BD$201,1,$H$2:$H$201,"&lt;"&amp;H97)+COUNTIFS($AW$2:$AW$201,AW97,$BD$2:$BD$201,1,$H$2:$H$201,H97,$AX$2:$AX$201,"&lt;"&amp;AX97)=0,1,0),0)</f>
        <v>0</v>
      </c>
      <c r="BF97" s="23" t="n">
        <f aca="false">IF(AND(AY97=1,O97&lt;&gt;"Y",MAX(N(R97),N(V97))&gt;=Config!$B$14),1,0)</f>
        <v>0</v>
      </c>
      <c r="BG97" s="23" t="n">
        <f aca="false">IF(BF97=1,IF(COUNTIFS($AW$2:$AW$201,AW97,$BF$2:$BF$201,1,$H$2:$H$201,"&lt;"&amp;H97)+COUNTIFS($AW$2:$AW$201,AW97,$BF$2:$BF$201,1,$H$2:$H$201,H97,$AX$2:$AX$201,"&lt;"&amp;AX97)=0,1,0),0)</f>
        <v>0</v>
      </c>
      <c r="BH97" s="23" t="n">
        <f aca="false">IF(AND(AY97=1,ISNUMBER(R97)),1,0)</f>
        <v>0</v>
      </c>
      <c r="BI97" s="23" t="n">
        <f aca="false">IF(BH97=1,IF(COUNTIFS($AW$2:$AW$201,AW97,$BH$2:$BH$201,1,$H$2:$H$201,"&lt;"&amp;H97)+COUNTIFS($AW$2:$AW$201,AW97,$BH$2:$BH$201,1,$H$2:$H$201,H97,$AX$2:$AX$201,"&lt;"&amp;AX97)=0,1,0),0)</f>
        <v>0</v>
      </c>
      <c r="BJ97" s="23" t="str">
        <f aca="false">IF(AND(BI97=1,INT(N(H97))&lt;=Config!$B$6),R97,"")</f>
        <v/>
      </c>
      <c r="BK97" s="23" t="str">
        <f aca="false">IF(AND(BI97=1,INT(N(H97))&lt;=Config!$B$7),R97,"")</f>
        <v/>
      </c>
      <c r="BL97" s="23" t="str">
        <f aca="false">IF(AND(BI97=1,INT(N(H97))&lt;=Config!$B$8),R97,"")</f>
        <v/>
      </c>
      <c r="BM97" s="23" t="str">
        <f aca="false">IF(AND(BI97=1,INT(N(H97))&lt;=Config!$B$5),R97,"")</f>
        <v/>
      </c>
      <c r="BN97" s="23" t="n">
        <f aca="false">IF(AND(AY97=1,ISNUMBER(V97)),1,0)</f>
        <v>0</v>
      </c>
      <c r="BO97" s="23" t="n">
        <f aca="false">IF(BN97=1,IF(COUNTIFS($AW$2:$AW$201,AW97,$BN$2:$BN$201,1,$H$2:$H$201,"&lt;"&amp;H97)+COUNTIFS($AW$2:$AW$201,AW97,$BN$2:$BN$201,1,$H$2:$H$201,H97,$AX$2:$AX$201,"&lt;"&amp;AX97)=0,1,0),0)</f>
        <v>0</v>
      </c>
      <c r="BP97" s="23" t="str">
        <f aca="false">IF(AND(BO97=1,INT(N(H97))&lt;=Config!$B$6),V97,"")</f>
        <v/>
      </c>
      <c r="BQ97" s="23" t="str">
        <f aca="false">IF(AND(BO97=1,INT(N(H97))&lt;=Config!$B$7),V97,"")</f>
        <v/>
      </c>
      <c r="BR97" s="23" t="str">
        <f aca="false">IF(AND(BO97=1,INT(N(H97))&lt;=Config!$B$8),V97,"")</f>
        <v/>
      </c>
      <c r="BS97" s="23" t="str">
        <f aca="false">IF(AND(BO97=1,INT(N(H97))&lt;=Config!$B$5),V97,"")</f>
        <v/>
      </c>
      <c r="BT97" s="23" t="n">
        <f aca="false">IF(AND(AY97=1,ISNUMBER(K97)),1,0)</f>
        <v>0</v>
      </c>
      <c r="BU97" s="23" t="n">
        <f aca="false">IF(BT97=1,IF(COUNTIFS($AW$2:$AW$201,AW97,$BT$2:$BT$201,1,$H$2:$H$201,"&lt;"&amp;H97)+COUNTIFS($AW$2:$AW$201,AW97,$BT$2:$BT$201,1,$H$2:$H$201,H97,$AX$2:$AX$201,"&lt;"&amp;AX97)=0,1,0),0)</f>
        <v>0</v>
      </c>
      <c r="BV97" s="23" t="str">
        <f aca="false">IF(AND(BU97=1,INT(N(H97))&lt;=Config!$B$5),K97,"")</f>
        <v/>
      </c>
      <c r="BW97" s="23" t="n">
        <f aca="false">IF(AND(AY97=1,OR(AND(ISNUMBER(R97),TRIM(S97)=""),AND(ISNUMBER(V97),TRIM(W97)=""))),1,0)</f>
        <v>0</v>
      </c>
      <c r="BX97" s="23" t="str">
        <f aca="false">IF(AY97=1,AJ97&amp;"","")</f>
        <v/>
      </c>
      <c r="BY97" s="23" t="str">
        <f aca="false">IF(AY97=1,AK97&amp;"","")</f>
        <v/>
      </c>
      <c r="BZ97" s="23" t="str">
        <f aca="false">IF(AY97=1,AL97&amp;"","")</f>
        <v/>
      </c>
      <c r="CA97" s="23" t="str">
        <f aca="false">IF(AND(AY97=1,ISNUMBER(AS97),INT(N(H97))&lt;=Config!$B$5),AS97,"")</f>
        <v/>
      </c>
      <c r="CB97" s="23" t="str">
        <f aca="false">IF(AY97=1,IF(COUNTIFS($A$2:$A$201,$A97,$CU$2:$CU$201,1,$AN$2:$AN$201,"Y")&gt;0,"Y","N"),"")</f>
        <v/>
      </c>
      <c r="CC97" s="23" t="n">
        <f aca="false">IF(AND(AY97=1,AN97="Y"),IF(COUNTIFS($AW$2:$AW$201,AW97,$AN$2:$AN$201,"Y",$AY$2:$AY$201,1,$H$2:$H$201,"&lt;"&amp;H97)+COUNTIFS($AW$2:$AW$201,AW97,$AN$2:$AN$201,"Y",$AY$2:$AY$201,1,$H$2:$H$201,H97,$AX$2:$AX$201,"&lt;"&amp;AX97)=0,1,0),0)</f>
        <v>0</v>
      </c>
      <c r="CD97" s="23" t="n">
        <f aca="false">IF(AND(AY97=1,AB97="Y",AC97="Y",AD97="Y",AE97="Y",AF97="Y",AG97="Y",AI97="Y",TRIM(AH97)&lt;&gt;""),1,0)</f>
        <v>0</v>
      </c>
      <c r="CE97" s="23" t="n">
        <f aca="false">IF(CD97=1,IF(COUNTIFS($AW$2:$AW$201,AW97,$CD$2:$CD$201,1,$H$2:$H$201,"&lt;"&amp;H97)+COUNTIFS($AW$2:$AW$201,AW97,$CD$2:$CD$201,1,$H$2:$H$201,H97,$AX$2:$AX$201,"&lt;"&amp;AX97)=0,1,0),0)</f>
        <v>0</v>
      </c>
      <c r="CF97" s="23" t="n">
        <f aca="false">IF(AND(AY97=1,AO97="Y"),1,0)</f>
        <v>0</v>
      </c>
      <c r="CG97" s="23" t="n">
        <f aca="false">IF(CF97=1,IF(COUNTIFS($AW$2:$AW$201,AW97,$CF$2:$CF$201,1,$H$2:$H$201,"&lt;"&amp;H97)+COUNTIFS($AW$2:$AW$201,AW97,$CF$2:$CF$201,1,$H$2:$H$201,H97,$AX$2:$AX$201,"&lt;"&amp;AX97)=0,1,0),0)</f>
        <v>0</v>
      </c>
      <c r="CH97" s="23" t="n">
        <f aca="false">IF(AND(AY97=1,P97="Y"),1,0)</f>
        <v>0</v>
      </c>
      <c r="CI97" s="23" t="n">
        <f aca="false">IF(CH97=1,IF(COUNTIFS($AW$2:$AW$201,AW97,$CH$2:$CH$201,1,$H$2:$H$201,"&lt;"&amp;H97)+COUNTIFS($AW$2:$AW$201,AW97,$CH$2:$CH$201,1,$H$2:$H$201,H97,$AX$2:$AX$201,"&lt;"&amp;AX97)=0,1,0),0)</f>
        <v>0</v>
      </c>
      <c r="CJ97" s="23" t="str">
        <f aca="false">IF(AND(BU97=1,INT(N(H97))&lt;=Config!$B$5),L97,"")</f>
        <v/>
      </c>
      <c r="CK97" s="23" t="n">
        <f aca="false">IF(AND(AY97=1,AR97="Y"),1,0)</f>
        <v>0</v>
      </c>
      <c r="CL97" s="23" t="n">
        <f aca="false">IF(CK97=1,IF(COUNTIFS($AW$2:$AW$201,AW97,$CK$2:$CK$201,1,$H$2:$H$201,"&lt;"&amp;H97)+COUNTIFS($AW$2:$AW$201,AW97,$CK$2:$CK$201,1,$H$2:$H$201,H97,$AX$2:$AX$201,"&lt;"&amp;AX97)=0,1,0),0)</f>
        <v>0</v>
      </c>
      <c r="CM97" s="23" t="str">
        <f aca="false">IF(AY97=1,IFERROR(MATCH($A97,INDEX(Clay_Brands!$A$2:$FZ$601,0,Sync!$D$5),0),""),"")</f>
        <v/>
      </c>
      <c r="CN97" s="23" t="str">
        <f aca="false">IF(CM97="","",IFERROR(INDEX(Clay_Brands!$A$2:$FZ$601,CM97,Sync!$D$7)&amp;"",""))</f>
        <v/>
      </c>
      <c r="CO97" s="23" t="str">
        <f aca="false">IF(CN97="","",IFERROR(INDEX(Lists!$K$2:$K$15,MATCH(CN97,Lists!$J$2:$J$15,0)),""))</f>
        <v/>
      </c>
      <c r="CP97" s="23" t="str">
        <f aca="false">IF(CM97="","",IFERROR(INDEX(Clay_Brands!$A$2:$FZ$601,CM97,Sync!$D$17)&amp;"",""))</f>
        <v/>
      </c>
      <c r="CQ97" s="35" t="str">
        <f aca="false">IF(CM97="","",IFERROR(N(INDEX(Clay_Brands!$A$2:$FZ$601,CM97,Sync!$D$16)),0))</f>
        <v/>
      </c>
      <c r="CR97" s="23" t="n">
        <f aca="false">IF(AND(AY97=1,OR(O97="N",AND(OR(ISNUMBER(R97),ISNUMBER(V97)),MAX(N(R97),N(V97))&lt;Config!$B$14))),1,0)</f>
        <v>0</v>
      </c>
      <c r="CS97" s="23" t="n">
        <f aca="false">IF(OR(BB97=1,CR97=1),1,0)</f>
        <v>0</v>
      </c>
      <c r="CT97" s="23" t="n">
        <f aca="false">IF(AND(AY97=1,OR(AN97="Y",AN97="N",AN97="maybe")),1,0)</f>
        <v>0</v>
      </c>
      <c r="CU97" s="23" t="n">
        <f aca="false">IF(AND(CT97=1),IF(COUNTIFS($A$2:$A$201,$A97,$CT$2:$CT$201,1,$H$2:$H$201,"&gt;"&amp;H97)+COUNTIFS($A$2:$A$201,$A97,$CT$2:$CT$201,1,$H$2:$H$201,H97,$AX$2:$AX$201,"&gt;"&amp;AX97)=0,1,0),0)</f>
        <v>0</v>
      </c>
      <c r="CV97" s="23" t="n">
        <f aca="false">IF(AND(CS97=1,INT(N(H97))&lt;=Config!$B$6),IF(COUNTIFS($AW$2:$AW$201,AW97,$CS$2:$CS$201,1,$H$2:$H$201,"&gt;"&amp;H97,$H$2:$H$201,"&lt;"&amp;(Config!$B$6+1))+COUNTIFS($AW$2:$AW$201,AW97,$CS$2:$CS$201,1,$H$2:$H$201,H97,$AX$2:$AX$201,"&gt;"&amp;AX97)=0,1,0),0)</f>
        <v>0</v>
      </c>
      <c r="CW97" s="23" t="n">
        <f aca="false">IF(AND(CS97=1,INT(N(H97))&lt;=Config!$B$7),IF(COUNTIFS($AW$2:$AW$201,AW97,$CS$2:$CS$201,1,$H$2:$H$201,"&gt;"&amp;H97,$H$2:$H$201,"&lt;"&amp;(Config!$B$7+1))+COUNTIFS($AW$2:$AW$201,AW97,$CS$2:$CS$201,1,$H$2:$H$201,H97,$AX$2:$AX$201,"&gt;"&amp;AX97)=0,1,0),0)</f>
        <v>0</v>
      </c>
      <c r="CX97" s="23" t="n">
        <f aca="false">IF(AND(CS97=1,INT(N(H97))&lt;=Config!$B$8),IF(COUNTIFS($AW$2:$AW$201,AW97,$CS$2:$CS$201,1,$H$2:$H$201,"&gt;"&amp;H97,$H$2:$H$201,"&lt;"&amp;(Config!$B$8+1))+COUNTIFS($AW$2:$AW$201,AW97,$CS$2:$CS$201,1,$H$2:$H$201,H97,$AX$2:$AX$201,"&gt;"&amp;AX97)=0,1,0),0)</f>
        <v>0</v>
      </c>
      <c r="CY97" s="23" t="n">
        <f aca="false">IF(AND(CS97=1,INT(N(H97))&lt;=Config!$B$5),IF(COUNTIFS($AW$2:$AW$201,AW97,$CS$2:$CS$201,1,$H$2:$H$201,"&gt;"&amp;H97,$H$2:$H$201,"&lt;"&amp;(Config!$B$5+1))+COUNTIFS($AW$2:$AW$201,AW97,$CS$2:$CS$201,1,$H$2:$H$201,H97,$AX$2:$AX$201,"&gt;"&amp;AX97)=0,1,0),0)</f>
        <v>0</v>
      </c>
      <c r="CZ97" s="23" t="n">
        <f aca="false">IF(AY97=1,IF(COUNTIFS($AW$2:$AW$201,AW97,$CV$2:$CV$201,1,$BB$2:$BB$201,1)&gt;0,1,0),0)</f>
        <v>0</v>
      </c>
      <c r="DA97" s="23" t="n">
        <f aca="false">IF(AY97=1,IF(COUNTIFS($AW$2:$AW$201,AW97,$CW$2:$CW$201,1,$BB$2:$BB$201,1)&gt;0,1,0),0)</f>
        <v>0</v>
      </c>
      <c r="DB97" s="23" t="n">
        <f aca="false">IF(AY97=1,IF(COUNTIFS($AW$2:$AW$201,AW97,$CX$2:$CX$201,1,$BB$2:$BB$201,1)&gt;0,1,0),0)</f>
        <v>0</v>
      </c>
      <c r="DC97" s="23" t="n">
        <f aca="false">IF(AY97=1,IF(COUNTIFS($AW$2:$AW$201,AW97,$CY$2:$CY$201,1,$BB$2:$BB$201,1)&gt;0,1,0),0)</f>
        <v>0</v>
      </c>
      <c r="DD97" s="23" t="n">
        <f aca="false">IF(AND(BC97=1,INT(N(H97))&lt;=Config!$B$6,CZ97=1),1,0)</f>
        <v>0</v>
      </c>
      <c r="DE97" s="23" t="n">
        <f aca="false">IF(AND(BC97=1,INT(N(H97))&lt;=Config!$B$7,DA97=1),1,0)</f>
        <v>0</v>
      </c>
      <c r="DF97" s="23" t="n">
        <f aca="false">IF(AND(BC97=1,INT(N(H97))&lt;=Config!$B$8,DB97=1),1,0)</f>
        <v>0</v>
      </c>
      <c r="DG97" s="23" t="n">
        <f aca="false">IF(AND(BC97=1,INT(N(H97))&lt;=Config!$B$5,DC97=1),1,0)</f>
        <v>0</v>
      </c>
      <c r="DH97" s="23" t="n">
        <f aca="false">IF(AND(BE97=1,INT(N(H97))&lt;=Config!$B$6,CZ97=1),1,0)</f>
        <v>0</v>
      </c>
      <c r="DI97" s="23" t="n">
        <f aca="false">IF(AND(BE97=1,INT(N(H97))&lt;=Config!$B$7,DA97=1),1,0)</f>
        <v>0</v>
      </c>
      <c r="DJ97" s="23" t="n">
        <f aca="false">IF(AND(BE97=1,INT(N(H97))&lt;=Config!$B$8,DB97=1),1,0)</f>
        <v>0</v>
      </c>
      <c r="DK97" s="23" t="n">
        <f aca="false">IF(AND(BE97=1,INT(N(H97))&lt;=Config!$B$5,DC97=1),1,0)</f>
        <v>0</v>
      </c>
      <c r="DL97" s="23" t="n">
        <f aca="false">IF(AND(BC97=1,INT(N(H97))&lt;=Config!$B$6,CZ97=0),1,0)</f>
        <v>0</v>
      </c>
      <c r="DM97" s="23" t="n">
        <f aca="false">IF(AND(BC97=1,INT(N(H97))&lt;=Config!$B$7,DA97=0),1,0)</f>
        <v>0</v>
      </c>
      <c r="DN97" s="23" t="n">
        <f aca="false">IF(AND(BC97=1,INT(N(H97))&lt;=Config!$B$8,DB97=0),1,0)</f>
        <v>0</v>
      </c>
      <c r="DO97" s="23" t="n">
        <f aca="false">IF(AND(BC97=1,INT(N(H97))&lt;=Config!$B$5,DC97=0),1,0)</f>
        <v>0</v>
      </c>
      <c r="DP97" s="23" t="n">
        <f aca="false">IF(TRIM($A97)="",0,ISTEXT(K97)+ISTEXT(L97)+ISTEXT(R97)+ISTEXT(V97)+ISTEXT(AP97)+ISTEXT(AS97))</f>
        <v>0</v>
      </c>
      <c r="DQ97" s="23" t="n">
        <f aca="false">IF(AY97=1,IF(H97&lt;&gt;INT(H97),1,0),0)</f>
        <v>0</v>
      </c>
      <c r="DR97" s="23" t="str">
        <f aca="false">IF(TRIM($A97)="","",IF(TRIM(B97)="",SUBSTITUTE(SUBSTITUTE(SUBSTITUTE(SUBSTITUTE(SUBSTITUTE(SUBSTITUTE(LOWER(TRIM($A97)),"~",""),"*",""),"?",""),"&lt;",""),"&gt;",""),"=",""),SUBSTITUTE(SUBSTITUTE(SUBSTITUTE(SUBSTITUTE(SUBSTITUTE(SUBSTITUTE(LOWER(TRIM(B97)),"~",""),"*",""),"?",""),"&lt;",""),"&gt;",""),"=","")))</f>
        <v/>
      </c>
      <c r="DS97" s="23" t="str">
        <f aca="false">IF(CM97="","",IFERROR(IF(LEFT(LOWER(TRIM(INDEX(Clay_Brands!$A$2:$FZ$601,CM97,Sync!$D$19)&amp;"")),4)="grp-",SUBSTITUTE(SUBSTITUTE(SUBSTITUTE(SUBSTITUTE(SUBSTITUTE(SUBSTITUTE(LOWER(TRIM(INDEX(Clay_Brands!$A$2:$FZ$601,CM97,Sync!$D$19)&amp;"")),"~",""),"*",""),"?",""),"&lt;",""),"&gt;",""),"=",""),""),""))</f>
        <v/>
      </c>
      <c r="DT97" s="23" t="str">
        <f aca="false">IF(DS97&lt;&gt;"",DR97,"")</f>
        <v/>
      </c>
      <c r="DU97" s="23" t="str">
        <f aca="false">IF(AZ97=1,AW97,"")</f>
        <v/>
      </c>
      <c r="DV97" s="23" t="str">
        <f aca="false">IF(TRIM($A97)="","",IFERROR(INDEX($A$2:$A$201,MATCH(AW97,$DU$2:$DU$201,0))&amp;"",$A97&amp;""))</f>
        <v/>
      </c>
      <c r="DW97" s="23" t="n">
        <f aca="false">IF(AY97=1,IF(COUNTIFS($A$2:$A$201,$A97,$AY$2:$AY$201,1,$H$2:$H$201,"&lt;"&amp;H97)+COUNTIFS($A$2:$A$201,$A97,$AY$2:$AY$201,1,$H$2:$H$201,H97,$AX$2:$AX$201,"&lt;"&amp;AX97)=0,1,0),0)</f>
        <v>0</v>
      </c>
      <c r="DX97" s="23" t="n">
        <f aca="false">IF(AZ97=1,IF(COUNTIFS($AW$2:$AW$201,AW97,$DW$2:$DW$201,1)&gt;1,1,0),0)</f>
        <v>0</v>
      </c>
    </row>
    <row r="98" customFormat="false" ht="15" hidden="false" customHeight="false" outlineLevel="0" collapsed="false">
      <c r="G98" s="32"/>
      <c r="H98" s="33"/>
      <c r="I98" s="32"/>
      <c r="O98" s="32"/>
      <c r="P98" s="32"/>
      <c r="U98" s="32"/>
      <c r="Y98" s="32"/>
      <c r="AB98" s="32"/>
      <c r="AC98" s="32"/>
      <c r="AD98" s="32"/>
      <c r="AE98" s="32"/>
      <c r="AF98" s="32"/>
      <c r="AG98" s="32"/>
      <c r="AI98" s="32"/>
      <c r="AJ98" s="32"/>
      <c r="AK98" s="32"/>
      <c r="AN98" s="32"/>
      <c r="AO98" s="32"/>
      <c r="AR98" s="32"/>
      <c r="AT98" s="32"/>
      <c r="AV98" s="34" t="str">
        <f aca="false">IF(TRIM($A98)="","",IF(AND(LEFT($A98,6)="SAMPLE",Config!$B$19&lt;&gt;"Y"),"",IF(NOT(ISNUMBER(H98)),"call_date is blank or not a date",IF(Sync!$D$5="","Clay paste is empty or has no row_id column: paste the Clay export on Clay_Brands",IF(CM98="","row_id not found in the Clay paste: add the Clay row or fix the row_id",IF(AND(ISNUMBER(CO98),CO98&gt;=1,CO98&lt;=5),"Clay status is "&amp;CN98&amp;": set call_done or later",IF(AND(BA98=1,CP98&lt;&gt;CB98),"Clay yes_in_principle should be "&amp;CB98,IF(AND(BA98=1,CQ98&lt;&gt;H98),"Clay call_date should be "&amp;TEXT(H98,"yyyy-mm-dd"),""))))))))</f>
        <v/>
      </c>
      <c r="AW98" s="23" t="str">
        <f aca="false">IF(TRIM($A98)="","",IF(TRIM(C98)&lt;&gt;"",SUBSTITUTE(SUBSTITUTE(SUBSTITUTE(SUBSTITUTE(SUBSTITUTE(SUBSTITUTE(LOWER(TRIM(C98)),"~",""),"*",""),"?",""),"&lt;",""),"&gt;",""),"=",""),IF(DS98&lt;&gt;"",DS98,IFERROR(INDEX($DS$2:$DS$201,MATCH(DR98,$DT$2:$DT$201,0)),DR98))))</f>
        <v/>
      </c>
      <c r="AX98" s="23" t="n">
        <f aca="false">ROW()</f>
        <v>98</v>
      </c>
      <c r="AY98" s="23" t="n">
        <f aca="false">IF(AND(TRIM($A98)&lt;&gt;"",ISNUMBER(H98)),IF(AND(LEFT($A98,6)="SAMPLE",Config!$B$19&lt;&gt;"Y"),0,1),0)</f>
        <v>0</v>
      </c>
      <c r="AZ98" s="23" t="n">
        <f aca="false">IF(AY98=1,IF(COUNTIFS($AW$2:$AW$201,AW98,$AY$2:$AY$201,1,$H$2:$H$201,"&lt;"&amp;H98)+COUNTIFS($AW$2:$AW$201,AW98,$AY$2:$AY$201,1,$H$2:$H$201,H98,$AX$2:$AX$201,"&lt;"&amp;AX98)=0,1,0),0)</f>
        <v>0</v>
      </c>
      <c r="BA98" s="23" t="n">
        <f aca="false">IF(AY98=1,IF(COUNTIFS($A$2:$A$201,$A98,$AY$2:$AY$201,1,$H$2:$H$201,"&gt;"&amp;H98)+COUNTIFS($A$2:$A$201,$A98,$AY$2:$AY$201,1,$H$2:$H$201,H98,$AX$2:$AX$201,"&gt;"&amp;AX98)=0,1,0),0)</f>
        <v>0</v>
      </c>
      <c r="BB98" s="23" t="n">
        <f aca="false">IF(AND(AY98=1,O98="Y",MAX(N(R98),N(V98))&gt;=Config!$B$14),1,0)</f>
        <v>0</v>
      </c>
      <c r="BC98" s="23" t="n">
        <f aca="false">IF(BB98=1,IF(COUNTIFS($AW$2:$AW$201,AW98,$BB$2:$BB$201,1,$H$2:$H$201,"&lt;"&amp;H98)+COUNTIFS($AW$2:$AW$201,AW98,$BB$2:$BB$201,1,$H$2:$H$201,H98,$AX$2:$AX$201,"&lt;"&amp;AX98)=0,1,0),0)</f>
        <v>0</v>
      </c>
      <c r="BD98" s="23" t="n">
        <f aca="false">IF(AND(AY98=1,O98="Y",ISNUMBER(R98)),IF(R98&gt;=Config!$B$14,1,0),0)</f>
        <v>0</v>
      </c>
      <c r="BE98" s="23" t="n">
        <f aca="false">IF(BD98=1,IF(COUNTIFS($AW$2:$AW$201,AW98,$BD$2:$BD$201,1,$H$2:$H$201,"&lt;"&amp;H98)+COUNTIFS($AW$2:$AW$201,AW98,$BD$2:$BD$201,1,$H$2:$H$201,H98,$AX$2:$AX$201,"&lt;"&amp;AX98)=0,1,0),0)</f>
        <v>0</v>
      </c>
      <c r="BF98" s="23" t="n">
        <f aca="false">IF(AND(AY98=1,O98&lt;&gt;"Y",MAX(N(R98),N(V98))&gt;=Config!$B$14),1,0)</f>
        <v>0</v>
      </c>
      <c r="BG98" s="23" t="n">
        <f aca="false">IF(BF98=1,IF(COUNTIFS($AW$2:$AW$201,AW98,$BF$2:$BF$201,1,$H$2:$H$201,"&lt;"&amp;H98)+COUNTIFS($AW$2:$AW$201,AW98,$BF$2:$BF$201,1,$H$2:$H$201,H98,$AX$2:$AX$201,"&lt;"&amp;AX98)=0,1,0),0)</f>
        <v>0</v>
      </c>
      <c r="BH98" s="23" t="n">
        <f aca="false">IF(AND(AY98=1,ISNUMBER(R98)),1,0)</f>
        <v>0</v>
      </c>
      <c r="BI98" s="23" t="n">
        <f aca="false">IF(BH98=1,IF(COUNTIFS($AW$2:$AW$201,AW98,$BH$2:$BH$201,1,$H$2:$H$201,"&lt;"&amp;H98)+COUNTIFS($AW$2:$AW$201,AW98,$BH$2:$BH$201,1,$H$2:$H$201,H98,$AX$2:$AX$201,"&lt;"&amp;AX98)=0,1,0),0)</f>
        <v>0</v>
      </c>
      <c r="BJ98" s="23" t="str">
        <f aca="false">IF(AND(BI98=1,INT(N(H98))&lt;=Config!$B$6),R98,"")</f>
        <v/>
      </c>
      <c r="BK98" s="23" t="str">
        <f aca="false">IF(AND(BI98=1,INT(N(H98))&lt;=Config!$B$7),R98,"")</f>
        <v/>
      </c>
      <c r="BL98" s="23" t="str">
        <f aca="false">IF(AND(BI98=1,INT(N(H98))&lt;=Config!$B$8),R98,"")</f>
        <v/>
      </c>
      <c r="BM98" s="23" t="str">
        <f aca="false">IF(AND(BI98=1,INT(N(H98))&lt;=Config!$B$5),R98,"")</f>
        <v/>
      </c>
      <c r="BN98" s="23" t="n">
        <f aca="false">IF(AND(AY98=1,ISNUMBER(V98)),1,0)</f>
        <v>0</v>
      </c>
      <c r="BO98" s="23" t="n">
        <f aca="false">IF(BN98=1,IF(COUNTIFS($AW$2:$AW$201,AW98,$BN$2:$BN$201,1,$H$2:$H$201,"&lt;"&amp;H98)+COUNTIFS($AW$2:$AW$201,AW98,$BN$2:$BN$201,1,$H$2:$H$201,H98,$AX$2:$AX$201,"&lt;"&amp;AX98)=0,1,0),0)</f>
        <v>0</v>
      </c>
      <c r="BP98" s="23" t="str">
        <f aca="false">IF(AND(BO98=1,INT(N(H98))&lt;=Config!$B$6),V98,"")</f>
        <v/>
      </c>
      <c r="BQ98" s="23" t="str">
        <f aca="false">IF(AND(BO98=1,INT(N(H98))&lt;=Config!$B$7),V98,"")</f>
        <v/>
      </c>
      <c r="BR98" s="23" t="str">
        <f aca="false">IF(AND(BO98=1,INT(N(H98))&lt;=Config!$B$8),V98,"")</f>
        <v/>
      </c>
      <c r="BS98" s="23" t="str">
        <f aca="false">IF(AND(BO98=1,INT(N(H98))&lt;=Config!$B$5),V98,"")</f>
        <v/>
      </c>
      <c r="BT98" s="23" t="n">
        <f aca="false">IF(AND(AY98=1,ISNUMBER(K98)),1,0)</f>
        <v>0</v>
      </c>
      <c r="BU98" s="23" t="n">
        <f aca="false">IF(BT98=1,IF(COUNTIFS($AW$2:$AW$201,AW98,$BT$2:$BT$201,1,$H$2:$H$201,"&lt;"&amp;H98)+COUNTIFS($AW$2:$AW$201,AW98,$BT$2:$BT$201,1,$H$2:$H$201,H98,$AX$2:$AX$201,"&lt;"&amp;AX98)=0,1,0),0)</f>
        <v>0</v>
      </c>
      <c r="BV98" s="23" t="str">
        <f aca="false">IF(AND(BU98=1,INT(N(H98))&lt;=Config!$B$5),K98,"")</f>
        <v/>
      </c>
      <c r="BW98" s="23" t="n">
        <f aca="false">IF(AND(AY98=1,OR(AND(ISNUMBER(R98),TRIM(S98)=""),AND(ISNUMBER(V98),TRIM(W98)=""))),1,0)</f>
        <v>0</v>
      </c>
      <c r="BX98" s="23" t="str">
        <f aca="false">IF(AY98=1,AJ98&amp;"","")</f>
        <v/>
      </c>
      <c r="BY98" s="23" t="str">
        <f aca="false">IF(AY98=1,AK98&amp;"","")</f>
        <v/>
      </c>
      <c r="BZ98" s="23" t="str">
        <f aca="false">IF(AY98=1,AL98&amp;"","")</f>
        <v/>
      </c>
      <c r="CA98" s="23" t="str">
        <f aca="false">IF(AND(AY98=1,ISNUMBER(AS98),INT(N(H98))&lt;=Config!$B$5),AS98,"")</f>
        <v/>
      </c>
      <c r="CB98" s="23" t="str">
        <f aca="false">IF(AY98=1,IF(COUNTIFS($A$2:$A$201,$A98,$CU$2:$CU$201,1,$AN$2:$AN$201,"Y")&gt;0,"Y","N"),"")</f>
        <v/>
      </c>
      <c r="CC98" s="23" t="n">
        <f aca="false">IF(AND(AY98=1,AN98="Y"),IF(COUNTIFS($AW$2:$AW$201,AW98,$AN$2:$AN$201,"Y",$AY$2:$AY$201,1,$H$2:$H$201,"&lt;"&amp;H98)+COUNTIFS($AW$2:$AW$201,AW98,$AN$2:$AN$201,"Y",$AY$2:$AY$201,1,$H$2:$H$201,H98,$AX$2:$AX$201,"&lt;"&amp;AX98)=0,1,0),0)</f>
        <v>0</v>
      </c>
      <c r="CD98" s="23" t="n">
        <f aca="false">IF(AND(AY98=1,AB98="Y",AC98="Y",AD98="Y",AE98="Y",AF98="Y",AG98="Y",AI98="Y",TRIM(AH98)&lt;&gt;""),1,0)</f>
        <v>0</v>
      </c>
      <c r="CE98" s="23" t="n">
        <f aca="false">IF(CD98=1,IF(COUNTIFS($AW$2:$AW$201,AW98,$CD$2:$CD$201,1,$H$2:$H$201,"&lt;"&amp;H98)+COUNTIFS($AW$2:$AW$201,AW98,$CD$2:$CD$201,1,$H$2:$H$201,H98,$AX$2:$AX$201,"&lt;"&amp;AX98)=0,1,0),0)</f>
        <v>0</v>
      </c>
      <c r="CF98" s="23" t="n">
        <f aca="false">IF(AND(AY98=1,AO98="Y"),1,0)</f>
        <v>0</v>
      </c>
      <c r="CG98" s="23" t="n">
        <f aca="false">IF(CF98=1,IF(COUNTIFS($AW$2:$AW$201,AW98,$CF$2:$CF$201,1,$H$2:$H$201,"&lt;"&amp;H98)+COUNTIFS($AW$2:$AW$201,AW98,$CF$2:$CF$201,1,$H$2:$H$201,H98,$AX$2:$AX$201,"&lt;"&amp;AX98)=0,1,0),0)</f>
        <v>0</v>
      </c>
      <c r="CH98" s="23" t="n">
        <f aca="false">IF(AND(AY98=1,P98="Y"),1,0)</f>
        <v>0</v>
      </c>
      <c r="CI98" s="23" t="n">
        <f aca="false">IF(CH98=1,IF(COUNTIFS($AW$2:$AW$201,AW98,$CH$2:$CH$201,1,$H$2:$H$201,"&lt;"&amp;H98)+COUNTIFS($AW$2:$AW$201,AW98,$CH$2:$CH$201,1,$H$2:$H$201,H98,$AX$2:$AX$201,"&lt;"&amp;AX98)=0,1,0),0)</f>
        <v>0</v>
      </c>
      <c r="CJ98" s="23" t="str">
        <f aca="false">IF(AND(BU98=1,INT(N(H98))&lt;=Config!$B$5),L98,"")</f>
        <v/>
      </c>
      <c r="CK98" s="23" t="n">
        <f aca="false">IF(AND(AY98=1,AR98="Y"),1,0)</f>
        <v>0</v>
      </c>
      <c r="CL98" s="23" t="n">
        <f aca="false">IF(CK98=1,IF(COUNTIFS($AW$2:$AW$201,AW98,$CK$2:$CK$201,1,$H$2:$H$201,"&lt;"&amp;H98)+COUNTIFS($AW$2:$AW$201,AW98,$CK$2:$CK$201,1,$H$2:$H$201,H98,$AX$2:$AX$201,"&lt;"&amp;AX98)=0,1,0),0)</f>
        <v>0</v>
      </c>
      <c r="CM98" s="23" t="str">
        <f aca="false">IF(AY98=1,IFERROR(MATCH($A98,INDEX(Clay_Brands!$A$2:$FZ$601,0,Sync!$D$5),0),""),"")</f>
        <v/>
      </c>
      <c r="CN98" s="23" t="str">
        <f aca="false">IF(CM98="","",IFERROR(INDEX(Clay_Brands!$A$2:$FZ$601,CM98,Sync!$D$7)&amp;"",""))</f>
        <v/>
      </c>
      <c r="CO98" s="23" t="str">
        <f aca="false">IF(CN98="","",IFERROR(INDEX(Lists!$K$2:$K$15,MATCH(CN98,Lists!$J$2:$J$15,0)),""))</f>
        <v/>
      </c>
      <c r="CP98" s="23" t="str">
        <f aca="false">IF(CM98="","",IFERROR(INDEX(Clay_Brands!$A$2:$FZ$601,CM98,Sync!$D$17)&amp;"",""))</f>
        <v/>
      </c>
      <c r="CQ98" s="35" t="str">
        <f aca="false">IF(CM98="","",IFERROR(N(INDEX(Clay_Brands!$A$2:$FZ$601,CM98,Sync!$D$16)),0))</f>
        <v/>
      </c>
      <c r="CR98" s="23" t="n">
        <f aca="false">IF(AND(AY98=1,OR(O98="N",AND(OR(ISNUMBER(R98),ISNUMBER(V98)),MAX(N(R98),N(V98))&lt;Config!$B$14))),1,0)</f>
        <v>0</v>
      </c>
      <c r="CS98" s="23" t="n">
        <f aca="false">IF(OR(BB98=1,CR98=1),1,0)</f>
        <v>0</v>
      </c>
      <c r="CT98" s="23" t="n">
        <f aca="false">IF(AND(AY98=1,OR(AN98="Y",AN98="N",AN98="maybe")),1,0)</f>
        <v>0</v>
      </c>
      <c r="CU98" s="23" t="n">
        <f aca="false">IF(AND(CT98=1),IF(COUNTIFS($A$2:$A$201,$A98,$CT$2:$CT$201,1,$H$2:$H$201,"&gt;"&amp;H98)+COUNTIFS($A$2:$A$201,$A98,$CT$2:$CT$201,1,$H$2:$H$201,H98,$AX$2:$AX$201,"&gt;"&amp;AX98)=0,1,0),0)</f>
        <v>0</v>
      </c>
      <c r="CV98" s="23" t="n">
        <f aca="false">IF(AND(CS98=1,INT(N(H98))&lt;=Config!$B$6),IF(COUNTIFS($AW$2:$AW$201,AW98,$CS$2:$CS$201,1,$H$2:$H$201,"&gt;"&amp;H98,$H$2:$H$201,"&lt;"&amp;(Config!$B$6+1))+COUNTIFS($AW$2:$AW$201,AW98,$CS$2:$CS$201,1,$H$2:$H$201,H98,$AX$2:$AX$201,"&gt;"&amp;AX98)=0,1,0),0)</f>
        <v>0</v>
      </c>
      <c r="CW98" s="23" t="n">
        <f aca="false">IF(AND(CS98=1,INT(N(H98))&lt;=Config!$B$7),IF(COUNTIFS($AW$2:$AW$201,AW98,$CS$2:$CS$201,1,$H$2:$H$201,"&gt;"&amp;H98,$H$2:$H$201,"&lt;"&amp;(Config!$B$7+1))+COUNTIFS($AW$2:$AW$201,AW98,$CS$2:$CS$201,1,$H$2:$H$201,H98,$AX$2:$AX$201,"&gt;"&amp;AX98)=0,1,0),0)</f>
        <v>0</v>
      </c>
      <c r="CX98" s="23" t="n">
        <f aca="false">IF(AND(CS98=1,INT(N(H98))&lt;=Config!$B$8),IF(COUNTIFS($AW$2:$AW$201,AW98,$CS$2:$CS$201,1,$H$2:$H$201,"&gt;"&amp;H98,$H$2:$H$201,"&lt;"&amp;(Config!$B$8+1))+COUNTIFS($AW$2:$AW$201,AW98,$CS$2:$CS$201,1,$H$2:$H$201,H98,$AX$2:$AX$201,"&gt;"&amp;AX98)=0,1,0),0)</f>
        <v>0</v>
      </c>
      <c r="CY98" s="23" t="n">
        <f aca="false">IF(AND(CS98=1,INT(N(H98))&lt;=Config!$B$5),IF(COUNTIFS($AW$2:$AW$201,AW98,$CS$2:$CS$201,1,$H$2:$H$201,"&gt;"&amp;H98,$H$2:$H$201,"&lt;"&amp;(Config!$B$5+1))+COUNTIFS($AW$2:$AW$201,AW98,$CS$2:$CS$201,1,$H$2:$H$201,H98,$AX$2:$AX$201,"&gt;"&amp;AX98)=0,1,0),0)</f>
        <v>0</v>
      </c>
      <c r="CZ98" s="23" t="n">
        <f aca="false">IF(AY98=1,IF(COUNTIFS($AW$2:$AW$201,AW98,$CV$2:$CV$201,1,$BB$2:$BB$201,1)&gt;0,1,0),0)</f>
        <v>0</v>
      </c>
      <c r="DA98" s="23" t="n">
        <f aca="false">IF(AY98=1,IF(COUNTIFS($AW$2:$AW$201,AW98,$CW$2:$CW$201,1,$BB$2:$BB$201,1)&gt;0,1,0),0)</f>
        <v>0</v>
      </c>
      <c r="DB98" s="23" t="n">
        <f aca="false">IF(AY98=1,IF(COUNTIFS($AW$2:$AW$201,AW98,$CX$2:$CX$201,1,$BB$2:$BB$201,1)&gt;0,1,0),0)</f>
        <v>0</v>
      </c>
      <c r="DC98" s="23" t="n">
        <f aca="false">IF(AY98=1,IF(COUNTIFS($AW$2:$AW$201,AW98,$CY$2:$CY$201,1,$BB$2:$BB$201,1)&gt;0,1,0),0)</f>
        <v>0</v>
      </c>
      <c r="DD98" s="23" t="n">
        <f aca="false">IF(AND(BC98=1,INT(N(H98))&lt;=Config!$B$6,CZ98=1),1,0)</f>
        <v>0</v>
      </c>
      <c r="DE98" s="23" t="n">
        <f aca="false">IF(AND(BC98=1,INT(N(H98))&lt;=Config!$B$7,DA98=1),1,0)</f>
        <v>0</v>
      </c>
      <c r="DF98" s="23" t="n">
        <f aca="false">IF(AND(BC98=1,INT(N(H98))&lt;=Config!$B$8,DB98=1),1,0)</f>
        <v>0</v>
      </c>
      <c r="DG98" s="23" t="n">
        <f aca="false">IF(AND(BC98=1,INT(N(H98))&lt;=Config!$B$5,DC98=1),1,0)</f>
        <v>0</v>
      </c>
      <c r="DH98" s="23" t="n">
        <f aca="false">IF(AND(BE98=1,INT(N(H98))&lt;=Config!$B$6,CZ98=1),1,0)</f>
        <v>0</v>
      </c>
      <c r="DI98" s="23" t="n">
        <f aca="false">IF(AND(BE98=1,INT(N(H98))&lt;=Config!$B$7,DA98=1),1,0)</f>
        <v>0</v>
      </c>
      <c r="DJ98" s="23" t="n">
        <f aca="false">IF(AND(BE98=1,INT(N(H98))&lt;=Config!$B$8,DB98=1),1,0)</f>
        <v>0</v>
      </c>
      <c r="DK98" s="23" t="n">
        <f aca="false">IF(AND(BE98=1,INT(N(H98))&lt;=Config!$B$5,DC98=1),1,0)</f>
        <v>0</v>
      </c>
      <c r="DL98" s="23" t="n">
        <f aca="false">IF(AND(BC98=1,INT(N(H98))&lt;=Config!$B$6,CZ98=0),1,0)</f>
        <v>0</v>
      </c>
      <c r="DM98" s="23" t="n">
        <f aca="false">IF(AND(BC98=1,INT(N(H98))&lt;=Config!$B$7,DA98=0),1,0)</f>
        <v>0</v>
      </c>
      <c r="DN98" s="23" t="n">
        <f aca="false">IF(AND(BC98=1,INT(N(H98))&lt;=Config!$B$8,DB98=0),1,0)</f>
        <v>0</v>
      </c>
      <c r="DO98" s="23" t="n">
        <f aca="false">IF(AND(BC98=1,INT(N(H98))&lt;=Config!$B$5,DC98=0),1,0)</f>
        <v>0</v>
      </c>
      <c r="DP98" s="23" t="n">
        <f aca="false">IF(TRIM($A98)="",0,ISTEXT(K98)+ISTEXT(L98)+ISTEXT(R98)+ISTEXT(V98)+ISTEXT(AP98)+ISTEXT(AS98))</f>
        <v>0</v>
      </c>
      <c r="DQ98" s="23" t="n">
        <f aca="false">IF(AY98=1,IF(H98&lt;&gt;INT(H98),1,0),0)</f>
        <v>0</v>
      </c>
      <c r="DR98" s="23" t="str">
        <f aca="false">IF(TRIM($A98)="","",IF(TRIM(B98)="",SUBSTITUTE(SUBSTITUTE(SUBSTITUTE(SUBSTITUTE(SUBSTITUTE(SUBSTITUTE(LOWER(TRIM($A98)),"~",""),"*",""),"?",""),"&lt;",""),"&gt;",""),"=",""),SUBSTITUTE(SUBSTITUTE(SUBSTITUTE(SUBSTITUTE(SUBSTITUTE(SUBSTITUTE(LOWER(TRIM(B98)),"~",""),"*",""),"?",""),"&lt;",""),"&gt;",""),"=","")))</f>
        <v/>
      </c>
      <c r="DS98" s="23" t="str">
        <f aca="false">IF(CM98="","",IFERROR(IF(LEFT(LOWER(TRIM(INDEX(Clay_Brands!$A$2:$FZ$601,CM98,Sync!$D$19)&amp;"")),4)="grp-",SUBSTITUTE(SUBSTITUTE(SUBSTITUTE(SUBSTITUTE(SUBSTITUTE(SUBSTITUTE(LOWER(TRIM(INDEX(Clay_Brands!$A$2:$FZ$601,CM98,Sync!$D$19)&amp;"")),"~",""),"*",""),"?",""),"&lt;",""),"&gt;",""),"=",""),""),""))</f>
        <v/>
      </c>
      <c r="DT98" s="23" t="str">
        <f aca="false">IF(DS98&lt;&gt;"",DR98,"")</f>
        <v/>
      </c>
      <c r="DU98" s="23" t="str">
        <f aca="false">IF(AZ98=1,AW98,"")</f>
        <v/>
      </c>
      <c r="DV98" s="23" t="str">
        <f aca="false">IF(TRIM($A98)="","",IFERROR(INDEX($A$2:$A$201,MATCH(AW98,$DU$2:$DU$201,0))&amp;"",$A98&amp;""))</f>
        <v/>
      </c>
      <c r="DW98" s="23" t="n">
        <f aca="false">IF(AY98=1,IF(COUNTIFS($A$2:$A$201,$A98,$AY$2:$AY$201,1,$H$2:$H$201,"&lt;"&amp;H98)+COUNTIFS($A$2:$A$201,$A98,$AY$2:$AY$201,1,$H$2:$H$201,H98,$AX$2:$AX$201,"&lt;"&amp;AX98)=0,1,0),0)</f>
        <v>0</v>
      </c>
      <c r="DX98" s="23" t="n">
        <f aca="false">IF(AZ98=1,IF(COUNTIFS($AW$2:$AW$201,AW98,$DW$2:$DW$201,1)&gt;1,1,0),0)</f>
        <v>0</v>
      </c>
    </row>
    <row r="99" customFormat="false" ht="15" hidden="false" customHeight="false" outlineLevel="0" collapsed="false">
      <c r="G99" s="32"/>
      <c r="H99" s="33"/>
      <c r="I99" s="32"/>
      <c r="O99" s="32"/>
      <c r="P99" s="32"/>
      <c r="U99" s="32"/>
      <c r="Y99" s="32"/>
      <c r="AB99" s="32"/>
      <c r="AC99" s="32"/>
      <c r="AD99" s="32"/>
      <c r="AE99" s="32"/>
      <c r="AF99" s="32"/>
      <c r="AG99" s="32"/>
      <c r="AI99" s="32"/>
      <c r="AJ99" s="32"/>
      <c r="AK99" s="32"/>
      <c r="AN99" s="32"/>
      <c r="AO99" s="32"/>
      <c r="AR99" s="32"/>
      <c r="AT99" s="32"/>
      <c r="AV99" s="34" t="str">
        <f aca="false">IF(TRIM($A99)="","",IF(AND(LEFT($A99,6)="SAMPLE",Config!$B$19&lt;&gt;"Y"),"",IF(NOT(ISNUMBER(H99)),"call_date is blank or not a date",IF(Sync!$D$5="","Clay paste is empty or has no row_id column: paste the Clay export on Clay_Brands",IF(CM99="","row_id not found in the Clay paste: add the Clay row or fix the row_id",IF(AND(ISNUMBER(CO99),CO99&gt;=1,CO99&lt;=5),"Clay status is "&amp;CN99&amp;": set call_done or later",IF(AND(BA99=1,CP99&lt;&gt;CB99),"Clay yes_in_principle should be "&amp;CB99,IF(AND(BA99=1,CQ99&lt;&gt;H99),"Clay call_date should be "&amp;TEXT(H99,"yyyy-mm-dd"),""))))))))</f>
        <v/>
      </c>
      <c r="AW99" s="23" t="str">
        <f aca="false">IF(TRIM($A99)="","",IF(TRIM(C99)&lt;&gt;"",SUBSTITUTE(SUBSTITUTE(SUBSTITUTE(SUBSTITUTE(SUBSTITUTE(SUBSTITUTE(LOWER(TRIM(C99)),"~",""),"*",""),"?",""),"&lt;",""),"&gt;",""),"=",""),IF(DS99&lt;&gt;"",DS99,IFERROR(INDEX($DS$2:$DS$201,MATCH(DR99,$DT$2:$DT$201,0)),DR99))))</f>
        <v/>
      </c>
      <c r="AX99" s="23" t="n">
        <f aca="false">ROW()</f>
        <v>99</v>
      </c>
      <c r="AY99" s="23" t="n">
        <f aca="false">IF(AND(TRIM($A99)&lt;&gt;"",ISNUMBER(H99)),IF(AND(LEFT($A99,6)="SAMPLE",Config!$B$19&lt;&gt;"Y"),0,1),0)</f>
        <v>0</v>
      </c>
      <c r="AZ99" s="23" t="n">
        <f aca="false">IF(AY99=1,IF(COUNTIFS($AW$2:$AW$201,AW99,$AY$2:$AY$201,1,$H$2:$H$201,"&lt;"&amp;H99)+COUNTIFS($AW$2:$AW$201,AW99,$AY$2:$AY$201,1,$H$2:$H$201,H99,$AX$2:$AX$201,"&lt;"&amp;AX99)=0,1,0),0)</f>
        <v>0</v>
      </c>
      <c r="BA99" s="23" t="n">
        <f aca="false">IF(AY99=1,IF(COUNTIFS($A$2:$A$201,$A99,$AY$2:$AY$201,1,$H$2:$H$201,"&gt;"&amp;H99)+COUNTIFS($A$2:$A$201,$A99,$AY$2:$AY$201,1,$H$2:$H$201,H99,$AX$2:$AX$201,"&gt;"&amp;AX99)=0,1,0),0)</f>
        <v>0</v>
      </c>
      <c r="BB99" s="23" t="n">
        <f aca="false">IF(AND(AY99=1,O99="Y",MAX(N(R99),N(V99))&gt;=Config!$B$14),1,0)</f>
        <v>0</v>
      </c>
      <c r="BC99" s="23" t="n">
        <f aca="false">IF(BB99=1,IF(COUNTIFS($AW$2:$AW$201,AW99,$BB$2:$BB$201,1,$H$2:$H$201,"&lt;"&amp;H99)+COUNTIFS($AW$2:$AW$201,AW99,$BB$2:$BB$201,1,$H$2:$H$201,H99,$AX$2:$AX$201,"&lt;"&amp;AX99)=0,1,0),0)</f>
        <v>0</v>
      </c>
      <c r="BD99" s="23" t="n">
        <f aca="false">IF(AND(AY99=1,O99="Y",ISNUMBER(R99)),IF(R99&gt;=Config!$B$14,1,0),0)</f>
        <v>0</v>
      </c>
      <c r="BE99" s="23" t="n">
        <f aca="false">IF(BD99=1,IF(COUNTIFS($AW$2:$AW$201,AW99,$BD$2:$BD$201,1,$H$2:$H$201,"&lt;"&amp;H99)+COUNTIFS($AW$2:$AW$201,AW99,$BD$2:$BD$201,1,$H$2:$H$201,H99,$AX$2:$AX$201,"&lt;"&amp;AX99)=0,1,0),0)</f>
        <v>0</v>
      </c>
      <c r="BF99" s="23" t="n">
        <f aca="false">IF(AND(AY99=1,O99&lt;&gt;"Y",MAX(N(R99),N(V99))&gt;=Config!$B$14),1,0)</f>
        <v>0</v>
      </c>
      <c r="BG99" s="23" t="n">
        <f aca="false">IF(BF99=1,IF(COUNTIFS($AW$2:$AW$201,AW99,$BF$2:$BF$201,1,$H$2:$H$201,"&lt;"&amp;H99)+COUNTIFS($AW$2:$AW$201,AW99,$BF$2:$BF$201,1,$H$2:$H$201,H99,$AX$2:$AX$201,"&lt;"&amp;AX99)=0,1,0),0)</f>
        <v>0</v>
      </c>
      <c r="BH99" s="23" t="n">
        <f aca="false">IF(AND(AY99=1,ISNUMBER(R99)),1,0)</f>
        <v>0</v>
      </c>
      <c r="BI99" s="23" t="n">
        <f aca="false">IF(BH99=1,IF(COUNTIFS($AW$2:$AW$201,AW99,$BH$2:$BH$201,1,$H$2:$H$201,"&lt;"&amp;H99)+COUNTIFS($AW$2:$AW$201,AW99,$BH$2:$BH$201,1,$H$2:$H$201,H99,$AX$2:$AX$201,"&lt;"&amp;AX99)=0,1,0),0)</f>
        <v>0</v>
      </c>
      <c r="BJ99" s="23" t="str">
        <f aca="false">IF(AND(BI99=1,INT(N(H99))&lt;=Config!$B$6),R99,"")</f>
        <v/>
      </c>
      <c r="BK99" s="23" t="str">
        <f aca="false">IF(AND(BI99=1,INT(N(H99))&lt;=Config!$B$7),R99,"")</f>
        <v/>
      </c>
      <c r="BL99" s="23" t="str">
        <f aca="false">IF(AND(BI99=1,INT(N(H99))&lt;=Config!$B$8),R99,"")</f>
        <v/>
      </c>
      <c r="BM99" s="23" t="str">
        <f aca="false">IF(AND(BI99=1,INT(N(H99))&lt;=Config!$B$5),R99,"")</f>
        <v/>
      </c>
      <c r="BN99" s="23" t="n">
        <f aca="false">IF(AND(AY99=1,ISNUMBER(V99)),1,0)</f>
        <v>0</v>
      </c>
      <c r="BO99" s="23" t="n">
        <f aca="false">IF(BN99=1,IF(COUNTIFS($AW$2:$AW$201,AW99,$BN$2:$BN$201,1,$H$2:$H$201,"&lt;"&amp;H99)+COUNTIFS($AW$2:$AW$201,AW99,$BN$2:$BN$201,1,$H$2:$H$201,H99,$AX$2:$AX$201,"&lt;"&amp;AX99)=0,1,0),0)</f>
        <v>0</v>
      </c>
      <c r="BP99" s="23" t="str">
        <f aca="false">IF(AND(BO99=1,INT(N(H99))&lt;=Config!$B$6),V99,"")</f>
        <v/>
      </c>
      <c r="BQ99" s="23" t="str">
        <f aca="false">IF(AND(BO99=1,INT(N(H99))&lt;=Config!$B$7),V99,"")</f>
        <v/>
      </c>
      <c r="BR99" s="23" t="str">
        <f aca="false">IF(AND(BO99=1,INT(N(H99))&lt;=Config!$B$8),V99,"")</f>
        <v/>
      </c>
      <c r="BS99" s="23" t="str">
        <f aca="false">IF(AND(BO99=1,INT(N(H99))&lt;=Config!$B$5),V99,"")</f>
        <v/>
      </c>
      <c r="BT99" s="23" t="n">
        <f aca="false">IF(AND(AY99=1,ISNUMBER(K99)),1,0)</f>
        <v>0</v>
      </c>
      <c r="BU99" s="23" t="n">
        <f aca="false">IF(BT99=1,IF(COUNTIFS($AW$2:$AW$201,AW99,$BT$2:$BT$201,1,$H$2:$H$201,"&lt;"&amp;H99)+COUNTIFS($AW$2:$AW$201,AW99,$BT$2:$BT$201,1,$H$2:$H$201,H99,$AX$2:$AX$201,"&lt;"&amp;AX99)=0,1,0),0)</f>
        <v>0</v>
      </c>
      <c r="BV99" s="23" t="str">
        <f aca="false">IF(AND(BU99=1,INT(N(H99))&lt;=Config!$B$5),K99,"")</f>
        <v/>
      </c>
      <c r="BW99" s="23" t="n">
        <f aca="false">IF(AND(AY99=1,OR(AND(ISNUMBER(R99),TRIM(S99)=""),AND(ISNUMBER(V99),TRIM(W99)=""))),1,0)</f>
        <v>0</v>
      </c>
      <c r="BX99" s="23" t="str">
        <f aca="false">IF(AY99=1,AJ99&amp;"","")</f>
        <v/>
      </c>
      <c r="BY99" s="23" t="str">
        <f aca="false">IF(AY99=1,AK99&amp;"","")</f>
        <v/>
      </c>
      <c r="BZ99" s="23" t="str">
        <f aca="false">IF(AY99=1,AL99&amp;"","")</f>
        <v/>
      </c>
      <c r="CA99" s="23" t="str">
        <f aca="false">IF(AND(AY99=1,ISNUMBER(AS99),INT(N(H99))&lt;=Config!$B$5),AS99,"")</f>
        <v/>
      </c>
      <c r="CB99" s="23" t="str">
        <f aca="false">IF(AY99=1,IF(COUNTIFS($A$2:$A$201,$A99,$CU$2:$CU$201,1,$AN$2:$AN$201,"Y")&gt;0,"Y","N"),"")</f>
        <v/>
      </c>
      <c r="CC99" s="23" t="n">
        <f aca="false">IF(AND(AY99=1,AN99="Y"),IF(COUNTIFS($AW$2:$AW$201,AW99,$AN$2:$AN$201,"Y",$AY$2:$AY$201,1,$H$2:$H$201,"&lt;"&amp;H99)+COUNTIFS($AW$2:$AW$201,AW99,$AN$2:$AN$201,"Y",$AY$2:$AY$201,1,$H$2:$H$201,H99,$AX$2:$AX$201,"&lt;"&amp;AX99)=0,1,0),0)</f>
        <v>0</v>
      </c>
      <c r="CD99" s="23" t="n">
        <f aca="false">IF(AND(AY99=1,AB99="Y",AC99="Y",AD99="Y",AE99="Y",AF99="Y",AG99="Y",AI99="Y",TRIM(AH99)&lt;&gt;""),1,0)</f>
        <v>0</v>
      </c>
      <c r="CE99" s="23" t="n">
        <f aca="false">IF(CD99=1,IF(COUNTIFS($AW$2:$AW$201,AW99,$CD$2:$CD$201,1,$H$2:$H$201,"&lt;"&amp;H99)+COUNTIFS($AW$2:$AW$201,AW99,$CD$2:$CD$201,1,$H$2:$H$201,H99,$AX$2:$AX$201,"&lt;"&amp;AX99)=0,1,0),0)</f>
        <v>0</v>
      </c>
      <c r="CF99" s="23" t="n">
        <f aca="false">IF(AND(AY99=1,AO99="Y"),1,0)</f>
        <v>0</v>
      </c>
      <c r="CG99" s="23" t="n">
        <f aca="false">IF(CF99=1,IF(COUNTIFS($AW$2:$AW$201,AW99,$CF$2:$CF$201,1,$H$2:$H$201,"&lt;"&amp;H99)+COUNTIFS($AW$2:$AW$201,AW99,$CF$2:$CF$201,1,$H$2:$H$201,H99,$AX$2:$AX$201,"&lt;"&amp;AX99)=0,1,0),0)</f>
        <v>0</v>
      </c>
      <c r="CH99" s="23" t="n">
        <f aca="false">IF(AND(AY99=1,P99="Y"),1,0)</f>
        <v>0</v>
      </c>
      <c r="CI99" s="23" t="n">
        <f aca="false">IF(CH99=1,IF(COUNTIFS($AW$2:$AW$201,AW99,$CH$2:$CH$201,1,$H$2:$H$201,"&lt;"&amp;H99)+COUNTIFS($AW$2:$AW$201,AW99,$CH$2:$CH$201,1,$H$2:$H$201,H99,$AX$2:$AX$201,"&lt;"&amp;AX99)=0,1,0),0)</f>
        <v>0</v>
      </c>
      <c r="CJ99" s="23" t="str">
        <f aca="false">IF(AND(BU99=1,INT(N(H99))&lt;=Config!$B$5),L99,"")</f>
        <v/>
      </c>
      <c r="CK99" s="23" t="n">
        <f aca="false">IF(AND(AY99=1,AR99="Y"),1,0)</f>
        <v>0</v>
      </c>
      <c r="CL99" s="23" t="n">
        <f aca="false">IF(CK99=1,IF(COUNTIFS($AW$2:$AW$201,AW99,$CK$2:$CK$201,1,$H$2:$H$201,"&lt;"&amp;H99)+COUNTIFS($AW$2:$AW$201,AW99,$CK$2:$CK$201,1,$H$2:$H$201,H99,$AX$2:$AX$201,"&lt;"&amp;AX99)=0,1,0),0)</f>
        <v>0</v>
      </c>
      <c r="CM99" s="23" t="str">
        <f aca="false">IF(AY99=1,IFERROR(MATCH($A99,INDEX(Clay_Brands!$A$2:$FZ$601,0,Sync!$D$5),0),""),"")</f>
        <v/>
      </c>
      <c r="CN99" s="23" t="str">
        <f aca="false">IF(CM99="","",IFERROR(INDEX(Clay_Brands!$A$2:$FZ$601,CM99,Sync!$D$7)&amp;"",""))</f>
        <v/>
      </c>
      <c r="CO99" s="23" t="str">
        <f aca="false">IF(CN99="","",IFERROR(INDEX(Lists!$K$2:$K$15,MATCH(CN99,Lists!$J$2:$J$15,0)),""))</f>
        <v/>
      </c>
      <c r="CP99" s="23" t="str">
        <f aca="false">IF(CM99="","",IFERROR(INDEX(Clay_Brands!$A$2:$FZ$601,CM99,Sync!$D$17)&amp;"",""))</f>
        <v/>
      </c>
      <c r="CQ99" s="35" t="str">
        <f aca="false">IF(CM99="","",IFERROR(N(INDEX(Clay_Brands!$A$2:$FZ$601,CM99,Sync!$D$16)),0))</f>
        <v/>
      </c>
      <c r="CR99" s="23" t="n">
        <f aca="false">IF(AND(AY99=1,OR(O99="N",AND(OR(ISNUMBER(R99),ISNUMBER(V99)),MAX(N(R99),N(V99))&lt;Config!$B$14))),1,0)</f>
        <v>0</v>
      </c>
      <c r="CS99" s="23" t="n">
        <f aca="false">IF(OR(BB99=1,CR99=1),1,0)</f>
        <v>0</v>
      </c>
      <c r="CT99" s="23" t="n">
        <f aca="false">IF(AND(AY99=1,OR(AN99="Y",AN99="N",AN99="maybe")),1,0)</f>
        <v>0</v>
      </c>
      <c r="CU99" s="23" t="n">
        <f aca="false">IF(AND(CT99=1),IF(COUNTIFS($A$2:$A$201,$A99,$CT$2:$CT$201,1,$H$2:$H$201,"&gt;"&amp;H99)+COUNTIFS($A$2:$A$201,$A99,$CT$2:$CT$201,1,$H$2:$H$201,H99,$AX$2:$AX$201,"&gt;"&amp;AX99)=0,1,0),0)</f>
        <v>0</v>
      </c>
      <c r="CV99" s="23" t="n">
        <f aca="false">IF(AND(CS99=1,INT(N(H99))&lt;=Config!$B$6),IF(COUNTIFS($AW$2:$AW$201,AW99,$CS$2:$CS$201,1,$H$2:$H$201,"&gt;"&amp;H99,$H$2:$H$201,"&lt;"&amp;(Config!$B$6+1))+COUNTIFS($AW$2:$AW$201,AW99,$CS$2:$CS$201,1,$H$2:$H$201,H99,$AX$2:$AX$201,"&gt;"&amp;AX99)=0,1,0),0)</f>
        <v>0</v>
      </c>
      <c r="CW99" s="23" t="n">
        <f aca="false">IF(AND(CS99=1,INT(N(H99))&lt;=Config!$B$7),IF(COUNTIFS($AW$2:$AW$201,AW99,$CS$2:$CS$201,1,$H$2:$H$201,"&gt;"&amp;H99,$H$2:$H$201,"&lt;"&amp;(Config!$B$7+1))+COUNTIFS($AW$2:$AW$201,AW99,$CS$2:$CS$201,1,$H$2:$H$201,H99,$AX$2:$AX$201,"&gt;"&amp;AX99)=0,1,0),0)</f>
        <v>0</v>
      </c>
      <c r="CX99" s="23" t="n">
        <f aca="false">IF(AND(CS99=1,INT(N(H99))&lt;=Config!$B$8),IF(COUNTIFS($AW$2:$AW$201,AW99,$CS$2:$CS$201,1,$H$2:$H$201,"&gt;"&amp;H99,$H$2:$H$201,"&lt;"&amp;(Config!$B$8+1))+COUNTIFS($AW$2:$AW$201,AW99,$CS$2:$CS$201,1,$H$2:$H$201,H99,$AX$2:$AX$201,"&gt;"&amp;AX99)=0,1,0),0)</f>
        <v>0</v>
      </c>
      <c r="CY99" s="23" t="n">
        <f aca="false">IF(AND(CS99=1,INT(N(H99))&lt;=Config!$B$5),IF(COUNTIFS($AW$2:$AW$201,AW99,$CS$2:$CS$201,1,$H$2:$H$201,"&gt;"&amp;H99,$H$2:$H$201,"&lt;"&amp;(Config!$B$5+1))+COUNTIFS($AW$2:$AW$201,AW99,$CS$2:$CS$201,1,$H$2:$H$201,H99,$AX$2:$AX$201,"&gt;"&amp;AX99)=0,1,0),0)</f>
        <v>0</v>
      </c>
      <c r="CZ99" s="23" t="n">
        <f aca="false">IF(AY99=1,IF(COUNTIFS($AW$2:$AW$201,AW99,$CV$2:$CV$201,1,$BB$2:$BB$201,1)&gt;0,1,0),0)</f>
        <v>0</v>
      </c>
      <c r="DA99" s="23" t="n">
        <f aca="false">IF(AY99=1,IF(COUNTIFS($AW$2:$AW$201,AW99,$CW$2:$CW$201,1,$BB$2:$BB$201,1)&gt;0,1,0),0)</f>
        <v>0</v>
      </c>
      <c r="DB99" s="23" t="n">
        <f aca="false">IF(AY99=1,IF(COUNTIFS($AW$2:$AW$201,AW99,$CX$2:$CX$201,1,$BB$2:$BB$201,1)&gt;0,1,0),0)</f>
        <v>0</v>
      </c>
      <c r="DC99" s="23" t="n">
        <f aca="false">IF(AY99=1,IF(COUNTIFS($AW$2:$AW$201,AW99,$CY$2:$CY$201,1,$BB$2:$BB$201,1)&gt;0,1,0),0)</f>
        <v>0</v>
      </c>
      <c r="DD99" s="23" t="n">
        <f aca="false">IF(AND(BC99=1,INT(N(H99))&lt;=Config!$B$6,CZ99=1),1,0)</f>
        <v>0</v>
      </c>
      <c r="DE99" s="23" t="n">
        <f aca="false">IF(AND(BC99=1,INT(N(H99))&lt;=Config!$B$7,DA99=1),1,0)</f>
        <v>0</v>
      </c>
      <c r="DF99" s="23" t="n">
        <f aca="false">IF(AND(BC99=1,INT(N(H99))&lt;=Config!$B$8,DB99=1),1,0)</f>
        <v>0</v>
      </c>
      <c r="DG99" s="23" t="n">
        <f aca="false">IF(AND(BC99=1,INT(N(H99))&lt;=Config!$B$5,DC99=1),1,0)</f>
        <v>0</v>
      </c>
      <c r="DH99" s="23" t="n">
        <f aca="false">IF(AND(BE99=1,INT(N(H99))&lt;=Config!$B$6,CZ99=1),1,0)</f>
        <v>0</v>
      </c>
      <c r="DI99" s="23" t="n">
        <f aca="false">IF(AND(BE99=1,INT(N(H99))&lt;=Config!$B$7,DA99=1),1,0)</f>
        <v>0</v>
      </c>
      <c r="DJ99" s="23" t="n">
        <f aca="false">IF(AND(BE99=1,INT(N(H99))&lt;=Config!$B$8,DB99=1),1,0)</f>
        <v>0</v>
      </c>
      <c r="DK99" s="23" t="n">
        <f aca="false">IF(AND(BE99=1,INT(N(H99))&lt;=Config!$B$5,DC99=1),1,0)</f>
        <v>0</v>
      </c>
      <c r="DL99" s="23" t="n">
        <f aca="false">IF(AND(BC99=1,INT(N(H99))&lt;=Config!$B$6,CZ99=0),1,0)</f>
        <v>0</v>
      </c>
      <c r="DM99" s="23" t="n">
        <f aca="false">IF(AND(BC99=1,INT(N(H99))&lt;=Config!$B$7,DA99=0),1,0)</f>
        <v>0</v>
      </c>
      <c r="DN99" s="23" t="n">
        <f aca="false">IF(AND(BC99=1,INT(N(H99))&lt;=Config!$B$8,DB99=0),1,0)</f>
        <v>0</v>
      </c>
      <c r="DO99" s="23" t="n">
        <f aca="false">IF(AND(BC99=1,INT(N(H99))&lt;=Config!$B$5,DC99=0),1,0)</f>
        <v>0</v>
      </c>
      <c r="DP99" s="23" t="n">
        <f aca="false">IF(TRIM($A99)="",0,ISTEXT(K99)+ISTEXT(L99)+ISTEXT(R99)+ISTEXT(V99)+ISTEXT(AP99)+ISTEXT(AS99))</f>
        <v>0</v>
      </c>
      <c r="DQ99" s="23" t="n">
        <f aca="false">IF(AY99=1,IF(H99&lt;&gt;INT(H99),1,0),0)</f>
        <v>0</v>
      </c>
      <c r="DR99" s="23" t="str">
        <f aca="false">IF(TRIM($A99)="","",IF(TRIM(B99)="",SUBSTITUTE(SUBSTITUTE(SUBSTITUTE(SUBSTITUTE(SUBSTITUTE(SUBSTITUTE(LOWER(TRIM($A99)),"~",""),"*",""),"?",""),"&lt;",""),"&gt;",""),"=",""),SUBSTITUTE(SUBSTITUTE(SUBSTITUTE(SUBSTITUTE(SUBSTITUTE(SUBSTITUTE(LOWER(TRIM(B99)),"~",""),"*",""),"?",""),"&lt;",""),"&gt;",""),"=","")))</f>
        <v/>
      </c>
      <c r="DS99" s="23" t="str">
        <f aca="false">IF(CM99="","",IFERROR(IF(LEFT(LOWER(TRIM(INDEX(Clay_Brands!$A$2:$FZ$601,CM99,Sync!$D$19)&amp;"")),4)="grp-",SUBSTITUTE(SUBSTITUTE(SUBSTITUTE(SUBSTITUTE(SUBSTITUTE(SUBSTITUTE(LOWER(TRIM(INDEX(Clay_Brands!$A$2:$FZ$601,CM99,Sync!$D$19)&amp;"")),"~",""),"*",""),"?",""),"&lt;",""),"&gt;",""),"=",""),""),""))</f>
        <v/>
      </c>
      <c r="DT99" s="23" t="str">
        <f aca="false">IF(DS99&lt;&gt;"",DR99,"")</f>
        <v/>
      </c>
      <c r="DU99" s="23" t="str">
        <f aca="false">IF(AZ99=1,AW99,"")</f>
        <v/>
      </c>
      <c r="DV99" s="23" t="str">
        <f aca="false">IF(TRIM($A99)="","",IFERROR(INDEX($A$2:$A$201,MATCH(AW99,$DU$2:$DU$201,0))&amp;"",$A99&amp;""))</f>
        <v/>
      </c>
      <c r="DW99" s="23" t="n">
        <f aca="false">IF(AY99=1,IF(COUNTIFS($A$2:$A$201,$A99,$AY$2:$AY$201,1,$H$2:$H$201,"&lt;"&amp;H99)+COUNTIFS($A$2:$A$201,$A99,$AY$2:$AY$201,1,$H$2:$H$201,H99,$AX$2:$AX$201,"&lt;"&amp;AX99)=0,1,0),0)</f>
        <v>0</v>
      </c>
      <c r="DX99" s="23" t="n">
        <f aca="false">IF(AZ99=1,IF(COUNTIFS($AW$2:$AW$201,AW99,$DW$2:$DW$201,1)&gt;1,1,0),0)</f>
        <v>0</v>
      </c>
    </row>
    <row r="100" customFormat="false" ht="15" hidden="false" customHeight="false" outlineLevel="0" collapsed="false">
      <c r="G100" s="32"/>
      <c r="H100" s="33"/>
      <c r="I100" s="32"/>
      <c r="O100" s="32"/>
      <c r="P100" s="32"/>
      <c r="U100" s="32"/>
      <c r="Y100" s="32"/>
      <c r="AB100" s="32"/>
      <c r="AC100" s="32"/>
      <c r="AD100" s="32"/>
      <c r="AE100" s="32"/>
      <c r="AF100" s="32"/>
      <c r="AG100" s="32"/>
      <c r="AI100" s="32"/>
      <c r="AJ100" s="32"/>
      <c r="AK100" s="32"/>
      <c r="AN100" s="32"/>
      <c r="AO100" s="32"/>
      <c r="AR100" s="32"/>
      <c r="AT100" s="32"/>
      <c r="AV100" s="34" t="str">
        <f aca="false">IF(TRIM($A100)="","",IF(AND(LEFT($A100,6)="SAMPLE",Config!$B$19&lt;&gt;"Y"),"",IF(NOT(ISNUMBER(H100)),"call_date is blank or not a date",IF(Sync!$D$5="","Clay paste is empty or has no row_id column: paste the Clay export on Clay_Brands",IF(CM100="","row_id not found in the Clay paste: add the Clay row or fix the row_id",IF(AND(ISNUMBER(CO100),CO100&gt;=1,CO100&lt;=5),"Clay status is "&amp;CN100&amp;": set call_done or later",IF(AND(BA100=1,CP100&lt;&gt;CB100),"Clay yes_in_principle should be "&amp;CB100,IF(AND(BA100=1,CQ100&lt;&gt;H100),"Clay call_date should be "&amp;TEXT(H100,"yyyy-mm-dd"),""))))))))</f>
        <v/>
      </c>
      <c r="AW100" s="23" t="str">
        <f aca="false">IF(TRIM($A100)="","",IF(TRIM(C100)&lt;&gt;"",SUBSTITUTE(SUBSTITUTE(SUBSTITUTE(SUBSTITUTE(SUBSTITUTE(SUBSTITUTE(LOWER(TRIM(C100)),"~",""),"*",""),"?",""),"&lt;",""),"&gt;",""),"=",""),IF(DS100&lt;&gt;"",DS100,IFERROR(INDEX($DS$2:$DS$201,MATCH(DR100,$DT$2:$DT$201,0)),DR100))))</f>
        <v/>
      </c>
      <c r="AX100" s="23" t="n">
        <f aca="false">ROW()</f>
        <v>100</v>
      </c>
      <c r="AY100" s="23" t="n">
        <f aca="false">IF(AND(TRIM($A100)&lt;&gt;"",ISNUMBER(H100)),IF(AND(LEFT($A100,6)="SAMPLE",Config!$B$19&lt;&gt;"Y"),0,1),0)</f>
        <v>0</v>
      </c>
      <c r="AZ100" s="23" t="n">
        <f aca="false">IF(AY100=1,IF(COUNTIFS($AW$2:$AW$201,AW100,$AY$2:$AY$201,1,$H$2:$H$201,"&lt;"&amp;H100)+COUNTIFS($AW$2:$AW$201,AW100,$AY$2:$AY$201,1,$H$2:$H$201,H100,$AX$2:$AX$201,"&lt;"&amp;AX100)=0,1,0),0)</f>
        <v>0</v>
      </c>
      <c r="BA100" s="23" t="n">
        <f aca="false">IF(AY100=1,IF(COUNTIFS($A$2:$A$201,$A100,$AY$2:$AY$201,1,$H$2:$H$201,"&gt;"&amp;H100)+COUNTIFS($A$2:$A$201,$A100,$AY$2:$AY$201,1,$H$2:$H$201,H100,$AX$2:$AX$201,"&gt;"&amp;AX100)=0,1,0),0)</f>
        <v>0</v>
      </c>
      <c r="BB100" s="23" t="n">
        <f aca="false">IF(AND(AY100=1,O100="Y",MAX(N(R100),N(V100))&gt;=Config!$B$14),1,0)</f>
        <v>0</v>
      </c>
      <c r="BC100" s="23" t="n">
        <f aca="false">IF(BB100=1,IF(COUNTIFS($AW$2:$AW$201,AW100,$BB$2:$BB$201,1,$H$2:$H$201,"&lt;"&amp;H100)+COUNTIFS($AW$2:$AW$201,AW100,$BB$2:$BB$201,1,$H$2:$H$201,H100,$AX$2:$AX$201,"&lt;"&amp;AX100)=0,1,0),0)</f>
        <v>0</v>
      </c>
      <c r="BD100" s="23" t="n">
        <f aca="false">IF(AND(AY100=1,O100="Y",ISNUMBER(R100)),IF(R100&gt;=Config!$B$14,1,0),0)</f>
        <v>0</v>
      </c>
      <c r="BE100" s="23" t="n">
        <f aca="false">IF(BD100=1,IF(COUNTIFS($AW$2:$AW$201,AW100,$BD$2:$BD$201,1,$H$2:$H$201,"&lt;"&amp;H100)+COUNTIFS($AW$2:$AW$201,AW100,$BD$2:$BD$201,1,$H$2:$H$201,H100,$AX$2:$AX$201,"&lt;"&amp;AX100)=0,1,0),0)</f>
        <v>0</v>
      </c>
      <c r="BF100" s="23" t="n">
        <f aca="false">IF(AND(AY100=1,O100&lt;&gt;"Y",MAX(N(R100),N(V100))&gt;=Config!$B$14),1,0)</f>
        <v>0</v>
      </c>
      <c r="BG100" s="23" t="n">
        <f aca="false">IF(BF100=1,IF(COUNTIFS($AW$2:$AW$201,AW100,$BF$2:$BF$201,1,$H$2:$H$201,"&lt;"&amp;H100)+COUNTIFS($AW$2:$AW$201,AW100,$BF$2:$BF$201,1,$H$2:$H$201,H100,$AX$2:$AX$201,"&lt;"&amp;AX100)=0,1,0),0)</f>
        <v>0</v>
      </c>
      <c r="BH100" s="23" t="n">
        <f aca="false">IF(AND(AY100=1,ISNUMBER(R100)),1,0)</f>
        <v>0</v>
      </c>
      <c r="BI100" s="23" t="n">
        <f aca="false">IF(BH100=1,IF(COUNTIFS($AW$2:$AW$201,AW100,$BH$2:$BH$201,1,$H$2:$H$201,"&lt;"&amp;H100)+COUNTIFS($AW$2:$AW$201,AW100,$BH$2:$BH$201,1,$H$2:$H$201,H100,$AX$2:$AX$201,"&lt;"&amp;AX100)=0,1,0),0)</f>
        <v>0</v>
      </c>
      <c r="BJ100" s="23" t="str">
        <f aca="false">IF(AND(BI100=1,INT(N(H100))&lt;=Config!$B$6),R100,"")</f>
        <v/>
      </c>
      <c r="BK100" s="23" t="str">
        <f aca="false">IF(AND(BI100=1,INT(N(H100))&lt;=Config!$B$7),R100,"")</f>
        <v/>
      </c>
      <c r="BL100" s="23" t="str">
        <f aca="false">IF(AND(BI100=1,INT(N(H100))&lt;=Config!$B$8),R100,"")</f>
        <v/>
      </c>
      <c r="BM100" s="23" t="str">
        <f aca="false">IF(AND(BI100=1,INT(N(H100))&lt;=Config!$B$5),R100,"")</f>
        <v/>
      </c>
      <c r="BN100" s="23" t="n">
        <f aca="false">IF(AND(AY100=1,ISNUMBER(V100)),1,0)</f>
        <v>0</v>
      </c>
      <c r="BO100" s="23" t="n">
        <f aca="false">IF(BN100=1,IF(COUNTIFS($AW$2:$AW$201,AW100,$BN$2:$BN$201,1,$H$2:$H$201,"&lt;"&amp;H100)+COUNTIFS($AW$2:$AW$201,AW100,$BN$2:$BN$201,1,$H$2:$H$201,H100,$AX$2:$AX$201,"&lt;"&amp;AX100)=0,1,0),0)</f>
        <v>0</v>
      </c>
      <c r="BP100" s="23" t="str">
        <f aca="false">IF(AND(BO100=1,INT(N(H100))&lt;=Config!$B$6),V100,"")</f>
        <v/>
      </c>
      <c r="BQ100" s="23" t="str">
        <f aca="false">IF(AND(BO100=1,INT(N(H100))&lt;=Config!$B$7),V100,"")</f>
        <v/>
      </c>
      <c r="BR100" s="23" t="str">
        <f aca="false">IF(AND(BO100=1,INT(N(H100))&lt;=Config!$B$8),V100,"")</f>
        <v/>
      </c>
      <c r="BS100" s="23" t="str">
        <f aca="false">IF(AND(BO100=1,INT(N(H100))&lt;=Config!$B$5),V100,"")</f>
        <v/>
      </c>
      <c r="BT100" s="23" t="n">
        <f aca="false">IF(AND(AY100=1,ISNUMBER(K100)),1,0)</f>
        <v>0</v>
      </c>
      <c r="BU100" s="23" t="n">
        <f aca="false">IF(BT100=1,IF(COUNTIFS($AW$2:$AW$201,AW100,$BT$2:$BT$201,1,$H$2:$H$201,"&lt;"&amp;H100)+COUNTIFS($AW$2:$AW$201,AW100,$BT$2:$BT$201,1,$H$2:$H$201,H100,$AX$2:$AX$201,"&lt;"&amp;AX100)=0,1,0),0)</f>
        <v>0</v>
      </c>
      <c r="BV100" s="23" t="str">
        <f aca="false">IF(AND(BU100=1,INT(N(H100))&lt;=Config!$B$5),K100,"")</f>
        <v/>
      </c>
      <c r="BW100" s="23" t="n">
        <f aca="false">IF(AND(AY100=1,OR(AND(ISNUMBER(R100),TRIM(S100)=""),AND(ISNUMBER(V100),TRIM(W100)=""))),1,0)</f>
        <v>0</v>
      </c>
      <c r="BX100" s="23" t="str">
        <f aca="false">IF(AY100=1,AJ100&amp;"","")</f>
        <v/>
      </c>
      <c r="BY100" s="23" t="str">
        <f aca="false">IF(AY100=1,AK100&amp;"","")</f>
        <v/>
      </c>
      <c r="BZ100" s="23" t="str">
        <f aca="false">IF(AY100=1,AL100&amp;"","")</f>
        <v/>
      </c>
      <c r="CA100" s="23" t="str">
        <f aca="false">IF(AND(AY100=1,ISNUMBER(AS100),INT(N(H100))&lt;=Config!$B$5),AS100,"")</f>
        <v/>
      </c>
      <c r="CB100" s="23" t="str">
        <f aca="false">IF(AY100=1,IF(COUNTIFS($A$2:$A$201,$A100,$CU$2:$CU$201,1,$AN$2:$AN$201,"Y")&gt;0,"Y","N"),"")</f>
        <v/>
      </c>
      <c r="CC100" s="23" t="n">
        <f aca="false">IF(AND(AY100=1,AN100="Y"),IF(COUNTIFS($AW$2:$AW$201,AW100,$AN$2:$AN$201,"Y",$AY$2:$AY$201,1,$H$2:$H$201,"&lt;"&amp;H100)+COUNTIFS($AW$2:$AW$201,AW100,$AN$2:$AN$201,"Y",$AY$2:$AY$201,1,$H$2:$H$201,H100,$AX$2:$AX$201,"&lt;"&amp;AX100)=0,1,0),0)</f>
        <v>0</v>
      </c>
      <c r="CD100" s="23" t="n">
        <f aca="false">IF(AND(AY100=1,AB100="Y",AC100="Y",AD100="Y",AE100="Y",AF100="Y",AG100="Y",AI100="Y",TRIM(AH100)&lt;&gt;""),1,0)</f>
        <v>0</v>
      </c>
      <c r="CE100" s="23" t="n">
        <f aca="false">IF(CD100=1,IF(COUNTIFS($AW$2:$AW$201,AW100,$CD$2:$CD$201,1,$H$2:$H$201,"&lt;"&amp;H100)+COUNTIFS($AW$2:$AW$201,AW100,$CD$2:$CD$201,1,$H$2:$H$201,H100,$AX$2:$AX$201,"&lt;"&amp;AX100)=0,1,0),0)</f>
        <v>0</v>
      </c>
      <c r="CF100" s="23" t="n">
        <f aca="false">IF(AND(AY100=1,AO100="Y"),1,0)</f>
        <v>0</v>
      </c>
      <c r="CG100" s="23" t="n">
        <f aca="false">IF(CF100=1,IF(COUNTIFS($AW$2:$AW$201,AW100,$CF$2:$CF$201,1,$H$2:$H$201,"&lt;"&amp;H100)+COUNTIFS($AW$2:$AW$201,AW100,$CF$2:$CF$201,1,$H$2:$H$201,H100,$AX$2:$AX$201,"&lt;"&amp;AX100)=0,1,0),0)</f>
        <v>0</v>
      </c>
      <c r="CH100" s="23" t="n">
        <f aca="false">IF(AND(AY100=1,P100="Y"),1,0)</f>
        <v>0</v>
      </c>
      <c r="CI100" s="23" t="n">
        <f aca="false">IF(CH100=1,IF(COUNTIFS($AW$2:$AW$201,AW100,$CH$2:$CH$201,1,$H$2:$H$201,"&lt;"&amp;H100)+COUNTIFS($AW$2:$AW$201,AW100,$CH$2:$CH$201,1,$H$2:$H$201,H100,$AX$2:$AX$201,"&lt;"&amp;AX100)=0,1,0),0)</f>
        <v>0</v>
      </c>
      <c r="CJ100" s="23" t="str">
        <f aca="false">IF(AND(BU100=1,INT(N(H100))&lt;=Config!$B$5),L100,"")</f>
        <v/>
      </c>
      <c r="CK100" s="23" t="n">
        <f aca="false">IF(AND(AY100=1,AR100="Y"),1,0)</f>
        <v>0</v>
      </c>
      <c r="CL100" s="23" t="n">
        <f aca="false">IF(CK100=1,IF(COUNTIFS($AW$2:$AW$201,AW100,$CK$2:$CK$201,1,$H$2:$H$201,"&lt;"&amp;H100)+COUNTIFS($AW$2:$AW$201,AW100,$CK$2:$CK$201,1,$H$2:$H$201,H100,$AX$2:$AX$201,"&lt;"&amp;AX100)=0,1,0),0)</f>
        <v>0</v>
      </c>
      <c r="CM100" s="23" t="str">
        <f aca="false">IF(AY100=1,IFERROR(MATCH($A100,INDEX(Clay_Brands!$A$2:$FZ$601,0,Sync!$D$5),0),""),"")</f>
        <v/>
      </c>
      <c r="CN100" s="23" t="str">
        <f aca="false">IF(CM100="","",IFERROR(INDEX(Clay_Brands!$A$2:$FZ$601,CM100,Sync!$D$7)&amp;"",""))</f>
        <v/>
      </c>
      <c r="CO100" s="23" t="str">
        <f aca="false">IF(CN100="","",IFERROR(INDEX(Lists!$K$2:$K$15,MATCH(CN100,Lists!$J$2:$J$15,0)),""))</f>
        <v/>
      </c>
      <c r="CP100" s="23" t="str">
        <f aca="false">IF(CM100="","",IFERROR(INDEX(Clay_Brands!$A$2:$FZ$601,CM100,Sync!$D$17)&amp;"",""))</f>
        <v/>
      </c>
      <c r="CQ100" s="35" t="str">
        <f aca="false">IF(CM100="","",IFERROR(N(INDEX(Clay_Brands!$A$2:$FZ$601,CM100,Sync!$D$16)),0))</f>
        <v/>
      </c>
      <c r="CR100" s="23" t="n">
        <f aca="false">IF(AND(AY100=1,OR(O100="N",AND(OR(ISNUMBER(R100),ISNUMBER(V100)),MAX(N(R100),N(V100))&lt;Config!$B$14))),1,0)</f>
        <v>0</v>
      </c>
      <c r="CS100" s="23" t="n">
        <f aca="false">IF(OR(BB100=1,CR100=1),1,0)</f>
        <v>0</v>
      </c>
      <c r="CT100" s="23" t="n">
        <f aca="false">IF(AND(AY100=1,OR(AN100="Y",AN100="N",AN100="maybe")),1,0)</f>
        <v>0</v>
      </c>
      <c r="CU100" s="23" t="n">
        <f aca="false">IF(AND(CT100=1),IF(COUNTIFS($A$2:$A$201,$A100,$CT$2:$CT$201,1,$H$2:$H$201,"&gt;"&amp;H100)+COUNTIFS($A$2:$A$201,$A100,$CT$2:$CT$201,1,$H$2:$H$201,H100,$AX$2:$AX$201,"&gt;"&amp;AX100)=0,1,0),0)</f>
        <v>0</v>
      </c>
      <c r="CV100" s="23" t="n">
        <f aca="false">IF(AND(CS100=1,INT(N(H100))&lt;=Config!$B$6),IF(COUNTIFS($AW$2:$AW$201,AW100,$CS$2:$CS$201,1,$H$2:$H$201,"&gt;"&amp;H100,$H$2:$H$201,"&lt;"&amp;(Config!$B$6+1))+COUNTIFS($AW$2:$AW$201,AW100,$CS$2:$CS$201,1,$H$2:$H$201,H100,$AX$2:$AX$201,"&gt;"&amp;AX100)=0,1,0),0)</f>
        <v>0</v>
      </c>
      <c r="CW100" s="23" t="n">
        <f aca="false">IF(AND(CS100=1,INT(N(H100))&lt;=Config!$B$7),IF(COUNTIFS($AW$2:$AW$201,AW100,$CS$2:$CS$201,1,$H$2:$H$201,"&gt;"&amp;H100,$H$2:$H$201,"&lt;"&amp;(Config!$B$7+1))+COUNTIFS($AW$2:$AW$201,AW100,$CS$2:$CS$201,1,$H$2:$H$201,H100,$AX$2:$AX$201,"&gt;"&amp;AX100)=0,1,0),0)</f>
        <v>0</v>
      </c>
      <c r="CX100" s="23" t="n">
        <f aca="false">IF(AND(CS100=1,INT(N(H100))&lt;=Config!$B$8),IF(COUNTIFS($AW$2:$AW$201,AW100,$CS$2:$CS$201,1,$H$2:$H$201,"&gt;"&amp;H100,$H$2:$H$201,"&lt;"&amp;(Config!$B$8+1))+COUNTIFS($AW$2:$AW$201,AW100,$CS$2:$CS$201,1,$H$2:$H$201,H100,$AX$2:$AX$201,"&gt;"&amp;AX100)=0,1,0),0)</f>
        <v>0</v>
      </c>
      <c r="CY100" s="23" t="n">
        <f aca="false">IF(AND(CS100=1,INT(N(H100))&lt;=Config!$B$5),IF(COUNTIFS($AW$2:$AW$201,AW100,$CS$2:$CS$201,1,$H$2:$H$201,"&gt;"&amp;H100,$H$2:$H$201,"&lt;"&amp;(Config!$B$5+1))+COUNTIFS($AW$2:$AW$201,AW100,$CS$2:$CS$201,1,$H$2:$H$201,H100,$AX$2:$AX$201,"&gt;"&amp;AX100)=0,1,0),0)</f>
        <v>0</v>
      </c>
      <c r="CZ100" s="23" t="n">
        <f aca="false">IF(AY100=1,IF(COUNTIFS($AW$2:$AW$201,AW100,$CV$2:$CV$201,1,$BB$2:$BB$201,1)&gt;0,1,0),0)</f>
        <v>0</v>
      </c>
      <c r="DA100" s="23" t="n">
        <f aca="false">IF(AY100=1,IF(COUNTIFS($AW$2:$AW$201,AW100,$CW$2:$CW$201,1,$BB$2:$BB$201,1)&gt;0,1,0),0)</f>
        <v>0</v>
      </c>
      <c r="DB100" s="23" t="n">
        <f aca="false">IF(AY100=1,IF(COUNTIFS($AW$2:$AW$201,AW100,$CX$2:$CX$201,1,$BB$2:$BB$201,1)&gt;0,1,0),0)</f>
        <v>0</v>
      </c>
      <c r="DC100" s="23" t="n">
        <f aca="false">IF(AY100=1,IF(COUNTIFS($AW$2:$AW$201,AW100,$CY$2:$CY$201,1,$BB$2:$BB$201,1)&gt;0,1,0),0)</f>
        <v>0</v>
      </c>
      <c r="DD100" s="23" t="n">
        <f aca="false">IF(AND(BC100=1,INT(N(H100))&lt;=Config!$B$6,CZ100=1),1,0)</f>
        <v>0</v>
      </c>
      <c r="DE100" s="23" t="n">
        <f aca="false">IF(AND(BC100=1,INT(N(H100))&lt;=Config!$B$7,DA100=1),1,0)</f>
        <v>0</v>
      </c>
      <c r="DF100" s="23" t="n">
        <f aca="false">IF(AND(BC100=1,INT(N(H100))&lt;=Config!$B$8,DB100=1),1,0)</f>
        <v>0</v>
      </c>
      <c r="DG100" s="23" t="n">
        <f aca="false">IF(AND(BC100=1,INT(N(H100))&lt;=Config!$B$5,DC100=1),1,0)</f>
        <v>0</v>
      </c>
      <c r="DH100" s="23" t="n">
        <f aca="false">IF(AND(BE100=1,INT(N(H100))&lt;=Config!$B$6,CZ100=1),1,0)</f>
        <v>0</v>
      </c>
      <c r="DI100" s="23" t="n">
        <f aca="false">IF(AND(BE100=1,INT(N(H100))&lt;=Config!$B$7,DA100=1),1,0)</f>
        <v>0</v>
      </c>
      <c r="DJ100" s="23" t="n">
        <f aca="false">IF(AND(BE100=1,INT(N(H100))&lt;=Config!$B$8,DB100=1),1,0)</f>
        <v>0</v>
      </c>
      <c r="DK100" s="23" t="n">
        <f aca="false">IF(AND(BE100=1,INT(N(H100))&lt;=Config!$B$5,DC100=1),1,0)</f>
        <v>0</v>
      </c>
      <c r="DL100" s="23" t="n">
        <f aca="false">IF(AND(BC100=1,INT(N(H100))&lt;=Config!$B$6,CZ100=0),1,0)</f>
        <v>0</v>
      </c>
      <c r="DM100" s="23" t="n">
        <f aca="false">IF(AND(BC100=1,INT(N(H100))&lt;=Config!$B$7,DA100=0),1,0)</f>
        <v>0</v>
      </c>
      <c r="DN100" s="23" t="n">
        <f aca="false">IF(AND(BC100=1,INT(N(H100))&lt;=Config!$B$8,DB100=0),1,0)</f>
        <v>0</v>
      </c>
      <c r="DO100" s="23" t="n">
        <f aca="false">IF(AND(BC100=1,INT(N(H100))&lt;=Config!$B$5,DC100=0),1,0)</f>
        <v>0</v>
      </c>
      <c r="DP100" s="23" t="n">
        <f aca="false">IF(TRIM($A100)="",0,ISTEXT(K100)+ISTEXT(L100)+ISTEXT(R100)+ISTEXT(V100)+ISTEXT(AP100)+ISTEXT(AS100))</f>
        <v>0</v>
      </c>
      <c r="DQ100" s="23" t="n">
        <f aca="false">IF(AY100=1,IF(H100&lt;&gt;INT(H100),1,0),0)</f>
        <v>0</v>
      </c>
      <c r="DR100" s="23" t="str">
        <f aca="false">IF(TRIM($A100)="","",IF(TRIM(B100)="",SUBSTITUTE(SUBSTITUTE(SUBSTITUTE(SUBSTITUTE(SUBSTITUTE(SUBSTITUTE(LOWER(TRIM($A100)),"~",""),"*",""),"?",""),"&lt;",""),"&gt;",""),"=",""),SUBSTITUTE(SUBSTITUTE(SUBSTITUTE(SUBSTITUTE(SUBSTITUTE(SUBSTITUTE(LOWER(TRIM(B100)),"~",""),"*",""),"?",""),"&lt;",""),"&gt;",""),"=","")))</f>
        <v/>
      </c>
      <c r="DS100" s="23" t="str">
        <f aca="false">IF(CM100="","",IFERROR(IF(LEFT(LOWER(TRIM(INDEX(Clay_Brands!$A$2:$FZ$601,CM100,Sync!$D$19)&amp;"")),4)="grp-",SUBSTITUTE(SUBSTITUTE(SUBSTITUTE(SUBSTITUTE(SUBSTITUTE(SUBSTITUTE(LOWER(TRIM(INDEX(Clay_Brands!$A$2:$FZ$601,CM100,Sync!$D$19)&amp;"")),"~",""),"*",""),"?",""),"&lt;",""),"&gt;",""),"=",""),""),""))</f>
        <v/>
      </c>
      <c r="DT100" s="23" t="str">
        <f aca="false">IF(DS100&lt;&gt;"",DR100,"")</f>
        <v/>
      </c>
      <c r="DU100" s="23" t="str">
        <f aca="false">IF(AZ100=1,AW100,"")</f>
        <v/>
      </c>
      <c r="DV100" s="23" t="str">
        <f aca="false">IF(TRIM($A100)="","",IFERROR(INDEX($A$2:$A$201,MATCH(AW100,$DU$2:$DU$201,0))&amp;"",$A100&amp;""))</f>
        <v/>
      </c>
      <c r="DW100" s="23" t="n">
        <f aca="false">IF(AY100=1,IF(COUNTIFS($A$2:$A$201,$A100,$AY$2:$AY$201,1,$H$2:$H$201,"&lt;"&amp;H100)+COUNTIFS($A$2:$A$201,$A100,$AY$2:$AY$201,1,$H$2:$H$201,H100,$AX$2:$AX$201,"&lt;"&amp;AX100)=0,1,0),0)</f>
        <v>0</v>
      </c>
      <c r="DX100" s="23" t="n">
        <f aca="false">IF(AZ100=1,IF(COUNTIFS($AW$2:$AW$201,AW100,$DW$2:$DW$201,1)&gt;1,1,0),0)</f>
        <v>0</v>
      </c>
    </row>
    <row r="101" customFormat="false" ht="15" hidden="false" customHeight="false" outlineLevel="0" collapsed="false">
      <c r="G101" s="32"/>
      <c r="H101" s="33"/>
      <c r="I101" s="32"/>
      <c r="O101" s="32"/>
      <c r="P101" s="32"/>
      <c r="U101" s="32"/>
      <c r="Y101" s="32"/>
      <c r="AB101" s="32"/>
      <c r="AC101" s="32"/>
      <c r="AD101" s="32"/>
      <c r="AE101" s="32"/>
      <c r="AF101" s="32"/>
      <c r="AG101" s="32"/>
      <c r="AI101" s="32"/>
      <c r="AJ101" s="32"/>
      <c r="AK101" s="32"/>
      <c r="AN101" s="32"/>
      <c r="AO101" s="32"/>
      <c r="AR101" s="32"/>
      <c r="AT101" s="32"/>
      <c r="AV101" s="34" t="str">
        <f aca="false">IF(TRIM($A101)="","",IF(AND(LEFT($A101,6)="SAMPLE",Config!$B$19&lt;&gt;"Y"),"",IF(NOT(ISNUMBER(H101)),"call_date is blank or not a date",IF(Sync!$D$5="","Clay paste is empty or has no row_id column: paste the Clay export on Clay_Brands",IF(CM101="","row_id not found in the Clay paste: add the Clay row or fix the row_id",IF(AND(ISNUMBER(CO101),CO101&gt;=1,CO101&lt;=5),"Clay status is "&amp;CN101&amp;": set call_done or later",IF(AND(BA101=1,CP101&lt;&gt;CB101),"Clay yes_in_principle should be "&amp;CB101,IF(AND(BA101=1,CQ101&lt;&gt;H101),"Clay call_date should be "&amp;TEXT(H101,"yyyy-mm-dd"),""))))))))</f>
        <v/>
      </c>
      <c r="AW101" s="23" t="str">
        <f aca="false">IF(TRIM($A101)="","",IF(TRIM(C101)&lt;&gt;"",SUBSTITUTE(SUBSTITUTE(SUBSTITUTE(SUBSTITUTE(SUBSTITUTE(SUBSTITUTE(LOWER(TRIM(C101)),"~",""),"*",""),"?",""),"&lt;",""),"&gt;",""),"=",""),IF(DS101&lt;&gt;"",DS101,IFERROR(INDEX($DS$2:$DS$201,MATCH(DR101,$DT$2:$DT$201,0)),DR101))))</f>
        <v/>
      </c>
      <c r="AX101" s="23" t="n">
        <f aca="false">ROW()</f>
        <v>101</v>
      </c>
      <c r="AY101" s="23" t="n">
        <f aca="false">IF(AND(TRIM($A101)&lt;&gt;"",ISNUMBER(H101)),IF(AND(LEFT($A101,6)="SAMPLE",Config!$B$19&lt;&gt;"Y"),0,1),0)</f>
        <v>0</v>
      </c>
      <c r="AZ101" s="23" t="n">
        <f aca="false">IF(AY101=1,IF(COUNTIFS($AW$2:$AW$201,AW101,$AY$2:$AY$201,1,$H$2:$H$201,"&lt;"&amp;H101)+COUNTIFS($AW$2:$AW$201,AW101,$AY$2:$AY$201,1,$H$2:$H$201,H101,$AX$2:$AX$201,"&lt;"&amp;AX101)=0,1,0),0)</f>
        <v>0</v>
      </c>
      <c r="BA101" s="23" t="n">
        <f aca="false">IF(AY101=1,IF(COUNTIFS($A$2:$A$201,$A101,$AY$2:$AY$201,1,$H$2:$H$201,"&gt;"&amp;H101)+COUNTIFS($A$2:$A$201,$A101,$AY$2:$AY$201,1,$H$2:$H$201,H101,$AX$2:$AX$201,"&gt;"&amp;AX101)=0,1,0),0)</f>
        <v>0</v>
      </c>
      <c r="BB101" s="23" t="n">
        <f aca="false">IF(AND(AY101=1,O101="Y",MAX(N(R101),N(V101))&gt;=Config!$B$14),1,0)</f>
        <v>0</v>
      </c>
      <c r="BC101" s="23" t="n">
        <f aca="false">IF(BB101=1,IF(COUNTIFS($AW$2:$AW$201,AW101,$BB$2:$BB$201,1,$H$2:$H$201,"&lt;"&amp;H101)+COUNTIFS($AW$2:$AW$201,AW101,$BB$2:$BB$201,1,$H$2:$H$201,H101,$AX$2:$AX$201,"&lt;"&amp;AX101)=0,1,0),0)</f>
        <v>0</v>
      </c>
      <c r="BD101" s="23" t="n">
        <f aca="false">IF(AND(AY101=1,O101="Y",ISNUMBER(R101)),IF(R101&gt;=Config!$B$14,1,0),0)</f>
        <v>0</v>
      </c>
      <c r="BE101" s="23" t="n">
        <f aca="false">IF(BD101=1,IF(COUNTIFS($AW$2:$AW$201,AW101,$BD$2:$BD$201,1,$H$2:$H$201,"&lt;"&amp;H101)+COUNTIFS($AW$2:$AW$201,AW101,$BD$2:$BD$201,1,$H$2:$H$201,H101,$AX$2:$AX$201,"&lt;"&amp;AX101)=0,1,0),0)</f>
        <v>0</v>
      </c>
      <c r="BF101" s="23" t="n">
        <f aca="false">IF(AND(AY101=1,O101&lt;&gt;"Y",MAX(N(R101),N(V101))&gt;=Config!$B$14),1,0)</f>
        <v>0</v>
      </c>
      <c r="BG101" s="23" t="n">
        <f aca="false">IF(BF101=1,IF(COUNTIFS($AW$2:$AW$201,AW101,$BF$2:$BF$201,1,$H$2:$H$201,"&lt;"&amp;H101)+COUNTIFS($AW$2:$AW$201,AW101,$BF$2:$BF$201,1,$H$2:$H$201,H101,$AX$2:$AX$201,"&lt;"&amp;AX101)=0,1,0),0)</f>
        <v>0</v>
      </c>
      <c r="BH101" s="23" t="n">
        <f aca="false">IF(AND(AY101=1,ISNUMBER(R101)),1,0)</f>
        <v>0</v>
      </c>
      <c r="BI101" s="23" t="n">
        <f aca="false">IF(BH101=1,IF(COUNTIFS($AW$2:$AW$201,AW101,$BH$2:$BH$201,1,$H$2:$H$201,"&lt;"&amp;H101)+COUNTIFS($AW$2:$AW$201,AW101,$BH$2:$BH$201,1,$H$2:$H$201,H101,$AX$2:$AX$201,"&lt;"&amp;AX101)=0,1,0),0)</f>
        <v>0</v>
      </c>
      <c r="BJ101" s="23" t="str">
        <f aca="false">IF(AND(BI101=1,INT(N(H101))&lt;=Config!$B$6),R101,"")</f>
        <v/>
      </c>
      <c r="BK101" s="23" t="str">
        <f aca="false">IF(AND(BI101=1,INT(N(H101))&lt;=Config!$B$7),R101,"")</f>
        <v/>
      </c>
      <c r="BL101" s="23" t="str">
        <f aca="false">IF(AND(BI101=1,INT(N(H101))&lt;=Config!$B$8),R101,"")</f>
        <v/>
      </c>
      <c r="BM101" s="23" t="str">
        <f aca="false">IF(AND(BI101=1,INT(N(H101))&lt;=Config!$B$5),R101,"")</f>
        <v/>
      </c>
      <c r="BN101" s="23" t="n">
        <f aca="false">IF(AND(AY101=1,ISNUMBER(V101)),1,0)</f>
        <v>0</v>
      </c>
      <c r="BO101" s="23" t="n">
        <f aca="false">IF(BN101=1,IF(COUNTIFS($AW$2:$AW$201,AW101,$BN$2:$BN$201,1,$H$2:$H$201,"&lt;"&amp;H101)+COUNTIFS($AW$2:$AW$201,AW101,$BN$2:$BN$201,1,$H$2:$H$201,H101,$AX$2:$AX$201,"&lt;"&amp;AX101)=0,1,0),0)</f>
        <v>0</v>
      </c>
      <c r="BP101" s="23" t="str">
        <f aca="false">IF(AND(BO101=1,INT(N(H101))&lt;=Config!$B$6),V101,"")</f>
        <v/>
      </c>
      <c r="BQ101" s="23" t="str">
        <f aca="false">IF(AND(BO101=1,INT(N(H101))&lt;=Config!$B$7),V101,"")</f>
        <v/>
      </c>
      <c r="BR101" s="23" t="str">
        <f aca="false">IF(AND(BO101=1,INT(N(H101))&lt;=Config!$B$8),V101,"")</f>
        <v/>
      </c>
      <c r="BS101" s="23" t="str">
        <f aca="false">IF(AND(BO101=1,INT(N(H101))&lt;=Config!$B$5),V101,"")</f>
        <v/>
      </c>
      <c r="BT101" s="23" t="n">
        <f aca="false">IF(AND(AY101=1,ISNUMBER(K101)),1,0)</f>
        <v>0</v>
      </c>
      <c r="BU101" s="23" t="n">
        <f aca="false">IF(BT101=1,IF(COUNTIFS($AW$2:$AW$201,AW101,$BT$2:$BT$201,1,$H$2:$H$201,"&lt;"&amp;H101)+COUNTIFS($AW$2:$AW$201,AW101,$BT$2:$BT$201,1,$H$2:$H$201,H101,$AX$2:$AX$201,"&lt;"&amp;AX101)=0,1,0),0)</f>
        <v>0</v>
      </c>
      <c r="BV101" s="23" t="str">
        <f aca="false">IF(AND(BU101=1,INT(N(H101))&lt;=Config!$B$5),K101,"")</f>
        <v/>
      </c>
      <c r="BW101" s="23" t="n">
        <f aca="false">IF(AND(AY101=1,OR(AND(ISNUMBER(R101),TRIM(S101)=""),AND(ISNUMBER(V101),TRIM(W101)=""))),1,0)</f>
        <v>0</v>
      </c>
      <c r="BX101" s="23" t="str">
        <f aca="false">IF(AY101=1,AJ101&amp;"","")</f>
        <v/>
      </c>
      <c r="BY101" s="23" t="str">
        <f aca="false">IF(AY101=1,AK101&amp;"","")</f>
        <v/>
      </c>
      <c r="BZ101" s="23" t="str">
        <f aca="false">IF(AY101=1,AL101&amp;"","")</f>
        <v/>
      </c>
      <c r="CA101" s="23" t="str">
        <f aca="false">IF(AND(AY101=1,ISNUMBER(AS101),INT(N(H101))&lt;=Config!$B$5),AS101,"")</f>
        <v/>
      </c>
      <c r="CB101" s="23" t="str">
        <f aca="false">IF(AY101=1,IF(COUNTIFS($A$2:$A$201,$A101,$CU$2:$CU$201,1,$AN$2:$AN$201,"Y")&gt;0,"Y","N"),"")</f>
        <v/>
      </c>
      <c r="CC101" s="23" t="n">
        <f aca="false">IF(AND(AY101=1,AN101="Y"),IF(COUNTIFS($AW$2:$AW$201,AW101,$AN$2:$AN$201,"Y",$AY$2:$AY$201,1,$H$2:$H$201,"&lt;"&amp;H101)+COUNTIFS($AW$2:$AW$201,AW101,$AN$2:$AN$201,"Y",$AY$2:$AY$201,1,$H$2:$H$201,H101,$AX$2:$AX$201,"&lt;"&amp;AX101)=0,1,0),0)</f>
        <v>0</v>
      </c>
      <c r="CD101" s="23" t="n">
        <f aca="false">IF(AND(AY101=1,AB101="Y",AC101="Y",AD101="Y",AE101="Y",AF101="Y",AG101="Y",AI101="Y",TRIM(AH101)&lt;&gt;""),1,0)</f>
        <v>0</v>
      </c>
      <c r="CE101" s="23" t="n">
        <f aca="false">IF(CD101=1,IF(COUNTIFS($AW$2:$AW$201,AW101,$CD$2:$CD$201,1,$H$2:$H$201,"&lt;"&amp;H101)+COUNTIFS($AW$2:$AW$201,AW101,$CD$2:$CD$201,1,$H$2:$H$201,H101,$AX$2:$AX$201,"&lt;"&amp;AX101)=0,1,0),0)</f>
        <v>0</v>
      </c>
      <c r="CF101" s="23" t="n">
        <f aca="false">IF(AND(AY101=1,AO101="Y"),1,0)</f>
        <v>0</v>
      </c>
      <c r="CG101" s="23" t="n">
        <f aca="false">IF(CF101=1,IF(COUNTIFS($AW$2:$AW$201,AW101,$CF$2:$CF$201,1,$H$2:$H$201,"&lt;"&amp;H101)+COUNTIFS($AW$2:$AW$201,AW101,$CF$2:$CF$201,1,$H$2:$H$201,H101,$AX$2:$AX$201,"&lt;"&amp;AX101)=0,1,0),0)</f>
        <v>0</v>
      </c>
      <c r="CH101" s="23" t="n">
        <f aca="false">IF(AND(AY101=1,P101="Y"),1,0)</f>
        <v>0</v>
      </c>
      <c r="CI101" s="23" t="n">
        <f aca="false">IF(CH101=1,IF(COUNTIFS($AW$2:$AW$201,AW101,$CH$2:$CH$201,1,$H$2:$H$201,"&lt;"&amp;H101)+COUNTIFS($AW$2:$AW$201,AW101,$CH$2:$CH$201,1,$H$2:$H$201,H101,$AX$2:$AX$201,"&lt;"&amp;AX101)=0,1,0),0)</f>
        <v>0</v>
      </c>
      <c r="CJ101" s="23" t="str">
        <f aca="false">IF(AND(BU101=1,INT(N(H101))&lt;=Config!$B$5),L101,"")</f>
        <v/>
      </c>
      <c r="CK101" s="23" t="n">
        <f aca="false">IF(AND(AY101=1,AR101="Y"),1,0)</f>
        <v>0</v>
      </c>
      <c r="CL101" s="23" t="n">
        <f aca="false">IF(CK101=1,IF(COUNTIFS($AW$2:$AW$201,AW101,$CK$2:$CK$201,1,$H$2:$H$201,"&lt;"&amp;H101)+COUNTIFS($AW$2:$AW$201,AW101,$CK$2:$CK$201,1,$H$2:$H$201,H101,$AX$2:$AX$201,"&lt;"&amp;AX101)=0,1,0),0)</f>
        <v>0</v>
      </c>
      <c r="CM101" s="23" t="str">
        <f aca="false">IF(AY101=1,IFERROR(MATCH($A101,INDEX(Clay_Brands!$A$2:$FZ$601,0,Sync!$D$5),0),""),"")</f>
        <v/>
      </c>
      <c r="CN101" s="23" t="str">
        <f aca="false">IF(CM101="","",IFERROR(INDEX(Clay_Brands!$A$2:$FZ$601,CM101,Sync!$D$7)&amp;"",""))</f>
        <v/>
      </c>
      <c r="CO101" s="23" t="str">
        <f aca="false">IF(CN101="","",IFERROR(INDEX(Lists!$K$2:$K$15,MATCH(CN101,Lists!$J$2:$J$15,0)),""))</f>
        <v/>
      </c>
      <c r="CP101" s="23" t="str">
        <f aca="false">IF(CM101="","",IFERROR(INDEX(Clay_Brands!$A$2:$FZ$601,CM101,Sync!$D$17)&amp;"",""))</f>
        <v/>
      </c>
      <c r="CQ101" s="35" t="str">
        <f aca="false">IF(CM101="","",IFERROR(N(INDEX(Clay_Brands!$A$2:$FZ$601,CM101,Sync!$D$16)),0))</f>
        <v/>
      </c>
      <c r="CR101" s="23" t="n">
        <f aca="false">IF(AND(AY101=1,OR(O101="N",AND(OR(ISNUMBER(R101),ISNUMBER(V101)),MAX(N(R101),N(V101))&lt;Config!$B$14))),1,0)</f>
        <v>0</v>
      </c>
      <c r="CS101" s="23" t="n">
        <f aca="false">IF(OR(BB101=1,CR101=1),1,0)</f>
        <v>0</v>
      </c>
      <c r="CT101" s="23" t="n">
        <f aca="false">IF(AND(AY101=1,OR(AN101="Y",AN101="N",AN101="maybe")),1,0)</f>
        <v>0</v>
      </c>
      <c r="CU101" s="23" t="n">
        <f aca="false">IF(AND(CT101=1),IF(COUNTIFS($A$2:$A$201,$A101,$CT$2:$CT$201,1,$H$2:$H$201,"&gt;"&amp;H101)+COUNTIFS($A$2:$A$201,$A101,$CT$2:$CT$201,1,$H$2:$H$201,H101,$AX$2:$AX$201,"&gt;"&amp;AX101)=0,1,0),0)</f>
        <v>0</v>
      </c>
      <c r="CV101" s="23" t="n">
        <f aca="false">IF(AND(CS101=1,INT(N(H101))&lt;=Config!$B$6),IF(COUNTIFS($AW$2:$AW$201,AW101,$CS$2:$CS$201,1,$H$2:$H$201,"&gt;"&amp;H101,$H$2:$H$201,"&lt;"&amp;(Config!$B$6+1))+COUNTIFS($AW$2:$AW$201,AW101,$CS$2:$CS$201,1,$H$2:$H$201,H101,$AX$2:$AX$201,"&gt;"&amp;AX101)=0,1,0),0)</f>
        <v>0</v>
      </c>
      <c r="CW101" s="23" t="n">
        <f aca="false">IF(AND(CS101=1,INT(N(H101))&lt;=Config!$B$7),IF(COUNTIFS($AW$2:$AW$201,AW101,$CS$2:$CS$201,1,$H$2:$H$201,"&gt;"&amp;H101,$H$2:$H$201,"&lt;"&amp;(Config!$B$7+1))+COUNTIFS($AW$2:$AW$201,AW101,$CS$2:$CS$201,1,$H$2:$H$201,H101,$AX$2:$AX$201,"&gt;"&amp;AX101)=0,1,0),0)</f>
        <v>0</v>
      </c>
      <c r="CX101" s="23" t="n">
        <f aca="false">IF(AND(CS101=1,INT(N(H101))&lt;=Config!$B$8),IF(COUNTIFS($AW$2:$AW$201,AW101,$CS$2:$CS$201,1,$H$2:$H$201,"&gt;"&amp;H101,$H$2:$H$201,"&lt;"&amp;(Config!$B$8+1))+COUNTIFS($AW$2:$AW$201,AW101,$CS$2:$CS$201,1,$H$2:$H$201,H101,$AX$2:$AX$201,"&gt;"&amp;AX101)=0,1,0),0)</f>
        <v>0</v>
      </c>
      <c r="CY101" s="23" t="n">
        <f aca="false">IF(AND(CS101=1,INT(N(H101))&lt;=Config!$B$5),IF(COUNTIFS($AW$2:$AW$201,AW101,$CS$2:$CS$201,1,$H$2:$H$201,"&gt;"&amp;H101,$H$2:$H$201,"&lt;"&amp;(Config!$B$5+1))+COUNTIFS($AW$2:$AW$201,AW101,$CS$2:$CS$201,1,$H$2:$H$201,H101,$AX$2:$AX$201,"&gt;"&amp;AX101)=0,1,0),0)</f>
        <v>0</v>
      </c>
      <c r="CZ101" s="23" t="n">
        <f aca="false">IF(AY101=1,IF(COUNTIFS($AW$2:$AW$201,AW101,$CV$2:$CV$201,1,$BB$2:$BB$201,1)&gt;0,1,0),0)</f>
        <v>0</v>
      </c>
      <c r="DA101" s="23" t="n">
        <f aca="false">IF(AY101=1,IF(COUNTIFS($AW$2:$AW$201,AW101,$CW$2:$CW$201,1,$BB$2:$BB$201,1)&gt;0,1,0),0)</f>
        <v>0</v>
      </c>
      <c r="DB101" s="23" t="n">
        <f aca="false">IF(AY101=1,IF(COUNTIFS($AW$2:$AW$201,AW101,$CX$2:$CX$201,1,$BB$2:$BB$201,1)&gt;0,1,0),0)</f>
        <v>0</v>
      </c>
      <c r="DC101" s="23" t="n">
        <f aca="false">IF(AY101=1,IF(COUNTIFS($AW$2:$AW$201,AW101,$CY$2:$CY$201,1,$BB$2:$BB$201,1)&gt;0,1,0),0)</f>
        <v>0</v>
      </c>
      <c r="DD101" s="23" t="n">
        <f aca="false">IF(AND(BC101=1,INT(N(H101))&lt;=Config!$B$6,CZ101=1),1,0)</f>
        <v>0</v>
      </c>
      <c r="DE101" s="23" t="n">
        <f aca="false">IF(AND(BC101=1,INT(N(H101))&lt;=Config!$B$7,DA101=1),1,0)</f>
        <v>0</v>
      </c>
      <c r="DF101" s="23" t="n">
        <f aca="false">IF(AND(BC101=1,INT(N(H101))&lt;=Config!$B$8,DB101=1),1,0)</f>
        <v>0</v>
      </c>
      <c r="DG101" s="23" t="n">
        <f aca="false">IF(AND(BC101=1,INT(N(H101))&lt;=Config!$B$5,DC101=1),1,0)</f>
        <v>0</v>
      </c>
      <c r="DH101" s="23" t="n">
        <f aca="false">IF(AND(BE101=1,INT(N(H101))&lt;=Config!$B$6,CZ101=1),1,0)</f>
        <v>0</v>
      </c>
      <c r="DI101" s="23" t="n">
        <f aca="false">IF(AND(BE101=1,INT(N(H101))&lt;=Config!$B$7,DA101=1),1,0)</f>
        <v>0</v>
      </c>
      <c r="DJ101" s="23" t="n">
        <f aca="false">IF(AND(BE101=1,INT(N(H101))&lt;=Config!$B$8,DB101=1),1,0)</f>
        <v>0</v>
      </c>
      <c r="DK101" s="23" t="n">
        <f aca="false">IF(AND(BE101=1,INT(N(H101))&lt;=Config!$B$5,DC101=1),1,0)</f>
        <v>0</v>
      </c>
      <c r="DL101" s="23" t="n">
        <f aca="false">IF(AND(BC101=1,INT(N(H101))&lt;=Config!$B$6,CZ101=0),1,0)</f>
        <v>0</v>
      </c>
      <c r="DM101" s="23" t="n">
        <f aca="false">IF(AND(BC101=1,INT(N(H101))&lt;=Config!$B$7,DA101=0),1,0)</f>
        <v>0</v>
      </c>
      <c r="DN101" s="23" t="n">
        <f aca="false">IF(AND(BC101=1,INT(N(H101))&lt;=Config!$B$8,DB101=0),1,0)</f>
        <v>0</v>
      </c>
      <c r="DO101" s="23" t="n">
        <f aca="false">IF(AND(BC101=1,INT(N(H101))&lt;=Config!$B$5,DC101=0),1,0)</f>
        <v>0</v>
      </c>
      <c r="DP101" s="23" t="n">
        <f aca="false">IF(TRIM($A101)="",0,ISTEXT(K101)+ISTEXT(L101)+ISTEXT(R101)+ISTEXT(V101)+ISTEXT(AP101)+ISTEXT(AS101))</f>
        <v>0</v>
      </c>
      <c r="DQ101" s="23" t="n">
        <f aca="false">IF(AY101=1,IF(H101&lt;&gt;INT(H101),1,0),0)</f>
        <v>0</v>
      </c>
      <c r="DR101" s="23" t="str">
        <f aca="false">IF(TRIM($A101)="","",IF(TRIM(B101)="",SUBSTITUTE(SUBSTITUTE(SUBSTITUTE(SUBSTITUTE(SUBSTITUTE(SUBSTITUTE(LOWER(TRIM($A101)),"~",""),"*",""),"?",""),"&lt;",""),"&gt;",""),"=",""),SUBSTITUTE(SUBSTITUTE(SUBSTITUTE(SUBSTITUTE(SUBSTITUTE(SUBSTITUTE(LOWER(TRIM(B101)),"~",""),"*",""),"?",""),"&lt;",""),"&gt;",""),"=","")))</f>
        <v/>
      </c>
      <c r="DS101" s="23" t="str">
        <f aca="false">IF(CM101="","",IFERROR(IF(LEFT(LOWER(TRIM(INDEX(Clay_Brands!$A$2:$FZ$601,CM101,Sync!$D$19)&amp;"")),4)="grp-",SUBSTITUTE(SUBSTITUTE(SUBSTITUTE(SUBSTITUTE(SUBSTITUTE(SUBSTITUTE(LOWER(TRIM(INDEX(Clay_Brands!$A$2:$FZ$601,CM101,Sync!$D$19)&amp;"")),"~",""),"*",""),"?",""),"&lt;",""),"&gt;",""),"=",""),""),""))</f>
        <v/>
      </c>
      <c r="DT101" s="23" t="str">
        <f aca="false">IF(DS101&lt;&gt;"",DR101,"")</f>
        <v/>
      </c>
      <c r="DU101" s="23" t="str">
        <f aca="false">IF(AZ101=1,AW101,"")</f>
        <v/>
      </c>
      <c r="DV101" s="23" t="str">
        <f aca="false">IF(TRIM($A101)="","",IFERROR(INDEX($A$2:$A$201,MATCH(AW101,$DU$2:$DU$201,0))&amp;"",$A101&amp;""))</f>
        <v/>
      </c>
      <c r="DW101" s="23" t="n">
        <f aca="false">IF(AY101=1,IF(COUNTIFS($A$2:$A$201,$A101,$AY$2:$AY$201,1,$H$2:$H$201,"&lt;"&amp;H101)+COUNTIFS($A$2:$A$201,$A101,$AY$2:$AY$201,1,$H$2:$H$201,H101,$AX$2:$AX$201,"&lt;"&amp;AX101)=0,1,0),0)</f>
        <v>0</v>
      </c>
      <c r="DX101" s="23" t="n">
        <f aca="false">IF(AZ101=1,IF(COUNTIFS($AW$2:$AW$201,AW101,$DW$2:$DW$201,1)&gt;1,1,0),0)</f>
        <v>0</v>
      </c>
    </row>
    <row r="102" customFormat="false" ht="15" hidden="false" customHeight="false" outlineLevel="0" collapsed="false">
      <c r="G102" s="32"/>
      <c r="H102" s="33"/>
      <c r="I102" s="32"/>
      <c r="O102" s="32"/>
      <c r="P102" s="32"/>
      <c r="U102" s="32"/>
      <c r="Y102" s="32"/>
      <c r="AB102" s="32"/>
      <c r="AC102" s="32"/>
      <c r="AD102" s="32"/>
      <c r="AE102" s="32"/>
      <c r="AF102" s="32"/>
      <c r="AG102" s="32"/>
      <c r="AI102" s="32"/>
      <c r="AJ102" s="32"/>
      <c r="AK102" s="32"/>
      <c r="AN102" s="32"/>
      <c r="AO102" s="32"/>
      <c r="AR102" s="32"/>
      <c r="AT102" s="32"/>
      <c r="AV102" s="34" t="str">
        <f aca="false">IF(TRIM($A102)="","",IF(AND(LEFT($A102,6)="SAMPLE",Config!$B$19&lt;&gt;"Y"),"",IF(NOT(ISNUMBER(H102)),"call_date is blank or not a date",IF(Sync!$D$5="","Clay paste is empty or has no row_id column: paste the Clay export on Clay_Brands",IF(CM102="","row_id not found in the Clay paste: add the Clay row or fix the row_id",IF(AND(ISNUMBER(CO102),CO102&gt;=1,CO102&lt;=5),"Clay status is "&amp;CN102&amp;": set call_done or later",IF(AND(BA102=1,CP102&lt;&gt;CB102),"Clay yes_in_principle should be "&amp;CB102,IF(AND(BA102=1,CQ102&lt;&gt;H102),"Clay call_date should be "&amp;TEXT(H102,"yyyy-mm-dd"),""))))))))</f>
        <v/>
      </c>
      <c r="AW102" s="23" t="str">
        <f aca="false">IF(TRIM($A102)="","",IF(TRIM(C102)&lt;&gt;"",SUBSTITUTE(SUBSTITUTE(SUBSTITUTE(SUBSTITUTE(SUBSTITUTE(SUBSTITUTE(LOWER(TRIM(C102)),"~",""),"*",""),"?",""),"&lt;",""),"&gt;",""),"=",""),IF(DS102&lt;&gt;"",DS102,IFERROR(INDEX($DS$2:$DS$201,MATCH(DR102,$DT$2:$DT$201,0)),DR102))))</f>
        <v/>
      </c>
      <c r="AX102" s="23" t="n">
        <f aca="false">ROW()</f>
        <v>102</v>
      </c>
      <c r="AY102" s="23" t="n">
        <f aca="false">IF(AND(TRIM($A102)&lt;&gt;"",ISNUMBER(H102)),IF(AND(LEFT($A102,6)="SAMPLE",Config!$B$19&lt;&gt;"Y"),0,1),0)</f>
        <v>0</v>
      </c>
      <c r="AZ102" s="23" t="n">
        <f aca="false">IF(AY102=1,IF(COUNTIFS($AW$2:$AW$201,AW102,$AY$2:$AY$201,1,$H$2:$H$201,"&lt;"&amp;H102)+COUNTIFS($AW$2:$AW$201,AW102,$AY$2:$AY$201,1,$H$2:$H$201,H102,$AX$2:$AX$201,"&lt;"&amp;AX102)=0,1,0),0)</f>
        <v>0</v>
      </c>
      <c r="BA102" s="23" t="n">
        <f aca="false">IF(AY102=1,IF(COUNTIFS($A$2:$A$201,$A102,$AY$2:$AY$201,1,$H$2:$H$201,"&gt;"&amp;H102)+COUNTIFS($A$2:$A$201,$A102,$AY$2:$AY$201,1,$H$2:$H$201,H102,$AX$2:$AX$201,"&gt;"&amp;AX102)=0,1,0),0)</f>
        <v>0</v>
      </c>
      <c r="BB102" s="23" t="n">
        <f aca="false">IF(AND(AY102=1,O102="Y",MAX(N(R102),N(V102))&gt;=Config!$B$14),1,0)</f>
        <v>0</v>
      </c>
      <c r="BC102" s="23" t="n">
        <f aca="false">IF(BB102=1,IF(COUNTIFS($AW$2:$AW$201,AW102,$BB$2:$BB$201,1,$H$2:$H$201,"&lt;"&amp;H102)+COUNTIFS($AW$2:$AW$201,AW102,$BB$2:$BB$201,1,$H$2:$H$201,H102,$AX$2:$AX$201,"&lt;"&amp;AX102)=0,1,0),0)</f>
        <v>0</v>
      </c>
      <c r="BD102" s="23" t="n">
        <f aca="false">IF(AND(AY102=1,O102="Y",ISNUMBER(R102)),IF(R102&gt;=Config!$B$14,1,0),0)</f>
        <v>0</v>
      </c>
      <c r="BE102" s="23" t="n">
        <f aca="false">IF(BD102=1,IF(COUNTIFS($AW$2:$AW$201,AW102,$BD$2:$BD$201,1,$H$2:$H$201,"&lt;"&amp;H102)+COUNTIFS($AW$2:$AW$201,AW102,$BD$2:$BD$201,1,$H$2:$H$201,H102,$AX$2:$AX$201,"&lt;"&amp;AX102)=0,1,0),0)</f>
        <v>0</v>
      </c>
      <c r="BF102" s="23" t="n">
        <f aca="false">IF(AND(AY102=1,O102&lt;&gt;"Y",MAX(N(R102),N(V102))&gt;=Config!$B$14),1,0)</f>
        <v>0</v>
      </c>
      <c r="BG102" s="23" t="n">
        <f aca="false">IF(BF102=1,IF(COUNTIFS($AW$2:$AW$201,AW102,$BF$2:$BF$201,1,$H$2:$H$201,"&lt;"&amp;H102)+COUNTIFS($AW$2:$AW$201,AW102,$BF$2:$BF$201,1,$H$2:$H$201,H102,$AX$2:$AX$201,"&lt;"&amp;AX102)=0,1,0),0)</f>
        <v>0</v>
      </c>
      <c r="BH102" s="23" t="n">
        <f aca="false">IF(AND(AY102=1,ISNUMBER(R102)),1,0)</f>
        <v>0</v>
      </c>
      <c r="BI102" s="23" t="n">
        <f aca="false">IF(BH102=1,IF(COUNTIFS($AW$2:$AW$201,AW102,$BH$2:$BH$201,1,$H$2:$H$201,"&lt;"&amp;H102)+COUNTIFS($AW$2:$AW$201,AW102,$BH$2:$BH$201,1,$H$2:$H$201,H102,$AX$2:$AX$201,"&lt;"&amp;AX102)=0,1,0),0)</f>
        <v>0</v>
      </c>
      <c r="BJ102" s="23" t="str">
        <f aca="false">IF(AND(BI102=1,INT(N(H102))&lt;=Config!$B$6),R102,"")</f>
        <v/>
      </c>
      <c r="BK102" s="23" t="str">
        <f aca="false">IF(AND(BI102=1,INT(N(H102))&lt;=Config!$B$7),R102,"")</f>
        <v/>
      </c>
      <c r="BL102" s="23" t="str">
        <f aca="false">IF(AND(BI102=1,INT(N(H102))&lt;=Config!$B$8),R102,"")</f>
        <v/>
      </c>
      <c r="BM102" s="23" t="str">
        <f aca="false">IF(AND(BI102=1,INT(N(H102))&lt;=Config!$B$5),R102,"")</f>
        <v/>
      </c>
      <c r="BN102" s="23" t="n">
        <f aca="false">IF(AND(AY102=1,ISNUMBER(V102)),1,0)</f>
        <v>0</v>
      </c>
      <c r="BO102" s="23" t="n">
        <f aca="false">IF(BN102=1,IF(COUNTIFS($AW$2:$AW$201,AW102,$BN$2:$BN$201,1,$H$2:$H$201,"&lt;"&amp;H102)+COUNTIFS($AW$2:$AW$201,AW102,$BN$2:$BN$201,1,$H$2:$H$201,H102,$AX$2:$AX$201,"&lt;"&amp;AX102)=0,1,0),0)</f>
        <v>0</v>
      </c>
      <c r="BP102" s="23" t="str">
        <f aca="false">IF(AND(BO102=1,INT(N(H102))&lt;=Config!$B$6),V102,"")</f>
        <v/>
      </c>
      <c r="BQ102" s="23" t="str">
        <f aca="false">IF(AND(BO102=1,INT(N(H102))&lt;=Config!$B$7),V102,"")</f>
        <v/>
      </c>
      <c r="BR102" s="23" t="str">
        <f aca="false">IF(AND(BO102=1,INT(N(H102))&lt;=Config!$B$8),V102,"")</f>
        <v/>
      </c>
      <c r="BS102" s="23" t="str">
        <f aca="false">IF(AND(BO102=1,INT(N(H102))&lt;=Config!$B$5),V102,"")</f>
        <v/>
      </c>
      <c r="BT102" s="23" t="n">
        <f aca="false">IF(AND(AY102=1,ISNUMBER(K102)),1,0)</f>
        <v>0</v>
      </c>
      <c r="BU102" s="23" t="n">
        <f aca="false">IF(BT102=1,IF(COUNTIFS($AW$2:$AW$201,AW102,$BT$2:$BT$201,1,$H$2:$H$201,"&lt;"&amp;H102)+COUNTIFS($AW$2:$AW$201,AW102,$BT$2:$BT$201,1,$H$2:$H$201,H102,$AX$2:$AX$201,"&lt;"&amp;AX102)=0,1,0),0)</f>
        <v>0</v>
      </c>
      <c r="BV102" s="23" t="str">
        <f aca="false">IF(AND(BU102=1,INT(N(H102))&lt;=Config!$B$5),K102,"")</f>
        <v/>
      </c>
      <c r="BW102" s="23" t="n">
        <f aca="false">IF(AND(AY102=1,OR(AND(ISNUMBER(R102),TRIM(S102)=""),AND(ISNUMBER(V102),TRIM(W102)=""))),1,0)</f>
        <v>0</v>
      </c>
      <c r="BX102" s="23" t="str">
        <f aca="false">IF(AY102=1,AJ102&amp;"","")</f>
        <v/>
      </c>
      <c r="BY102" s="23" t="str">
        <f aca="false">IF(AY102=1,AK102&amp;"","")</f>
        <v/>
      </c>
      <c r="BZ102" s="23" t="str">
        <f aca="false">IF(AY102=1,AL102&amp;"","")</f>
        <v/>
      </c>
      <c r="CA102" s="23" t="str">
        <f aca="false">IF(AND(AY102=1,ISNUMBER(AS102),INT(N(H102))&lt;=Config!$B$5),AS102,"")</f>
        <v/>
      </c>
      <c r="CB102" s="23" t="str">
        <f aca="false">IF(AY102=1,IF(COUNTIFS($A$2:$A$201,$A102,$CU$2:$CU$201,1,$AN$2:$AN$201,"Y")&gt;0,"Y","N"),"")</f>
        <v/>
      </c>
      <c r="CC102" s="23" t="n">
        <f aca="false">IF(AND(AY102=1,AN102="Y"),IF(COUNTIFS($AW$2:$AW$201,AW102,$AN$2:$AN$201,"Y",$AY$2:$AY$201,1,$H$2:$H$201,"&lt;"&amp;H102)+COUNTIFS($AW$2:$AW$201,AW102,$AN$2:$AN$201,"Y",$AY$2:$AY$201,1,$H$2:$H$201,H102,$AX$2:$AX$201,"&lt;"&amp;AX102)=0,1,0),0)</f>
        <v>0</v>
      </c>
      <c r="CD102" s="23" t="n">
        <f aca="false">IF(AND(AY102=1,AB102="Y",AC102="Y",AD102="Y",AE102="Y",AF102="Y",AG102="Y",AI102="Y",TRIM(AH102)&lt;&gt;""),1,0)</f>
        <v>0</v>
      </c>
      <c r="CE102" s="23" t="n">
        <f aca="false">IF(CD102=1,IF(COUNTIFS($AW$2:$AW$201,AW102,$CD$2:$CD$201,1,$H$2:$H$201,"&lt;"&amp;H102)+COUNTIFS($AW$2:$AW$201,AW102,$CD$2:$CD$201,1,$H$2:$H$201,H102,$AX$2:$AX$201,"&lt;"&amp;AX102)=0,1,0),0)</f>
        <v>0</v>
      </c>
      <c r="CF102" s="23" t="n">
        <f aca="false">IF(AND(AY102=1,AO102="Y"),1,0)</f>
        <v>0</v>
      </c>
      <c r="CG102" s="23" t="n">
        <f aca="false">IF(CF102=1,IF(COUNTIFS($AW$2:$AW$201,AW102,$CF$2:$CF$201,1,$H$2:$H$201,"&lt;"&amp;H102)+COUNTIFS($AW$2:$AW$201,AW102,$CF$2:$CF$201,1,$H$2:$H$201,H102,$AX$2:$AX$201,"&lt;"&amp;AX102)=0,1,0),0)</f>
        <v>0</v>
      </c>
      <c r="CH102" s="23" t="n">
        <f aca="false">IF(AND(AY102=1,P102="Y"),1,0)</f>
        <v>0</v>
      </c>
      <c r="CI102" s="23" t="n">
        <f aca="false">IF(CH102=1,IF(COUNTIFS($AW$2:$AW$201,AW102,$CH$2:$CH$201,1,$H$2:$H$201,"&lt;"&amp;H102)+COUNTIFS($AW$2:$AW$201,AW102,$CH$2:$CH$201,1,$H$2:$H$201,H102,$AX$2:$AX$201,"&lt;"&amp;AX102)=0,1,0),0)</f>
        <v>0</v>
      </c>
      <c r="CJ102" s="23" t="str">
        <f aca="false">IF(AND(BU102=1,INT(N(H102))&lt;=Config!$B$5),L102,"")</f>
        <v/>
      </c>
      <c r="CK102" s="23" t="n">
        <f aca="false">IF(AND(AY102=1,AR102="Y"),1,0)</f>
        <v>0</v>
      </c>
      <c r="CL102" s="23" t="n">
        <f aca="false">IF(CK102=1,IF(COUNTIFS($AW$2:$AW$201,AW102,$CK$2:$CK$201,1,$H$2:$H$201,"&lt;"&amp;H102)+COUNTIFS($AW$2:$AW$201,AW102,$CK$2:$CK$201,1,$H$2:$H$201,H102,$AX$2:$AX$201,"&lt;"&amp;AX102)=0,1,0),0)</f>
        <v>0</v>
      </c>
      <c r="CM102" s="23" t="str">
        <f aca="false">IF(AY102=1,IFERROR(MATCH($A102,INDEX(Clay_Brands!$A$2:$FZ$601,0,Sync!$D$5),0),""),"")</f>
        <v/>
      </c>
      <c r="CN102" s="23" t="str">
        <f aca="false">IF(CM102="","",IFERROR(INDEX(Clay_Brands!$A$2:$FZ$601,CM102,Sync!$D$7)&amp;"",""))</f>
        <v/>
      </c>
      <c r="CO102" s="23" t="str">
        <f aca="false">IF(CN102="","",IFERROR(INDEX(Lists!$K$2:$K$15,MATCH(CN102,Lists!$J$2:$J$15,0)),""))</f>
        <v/>
      </c>
      <c r="CP102" s="23" t="str">
        <f aca="false">IF(CM102="","",IFERROR(INDEX(Clay_Brands!$A$2:$FZ$601,CM102,Sync!$D$17)&amp;"",""))</f>
        <v/>
      </c>
      <c r="CQ102" s="35" t="str">
        <f aca="false">IF(CM102="","",IFERROR(N(INDEX(Clay_Brands!$A$2:$FZ$601,CM102,Sync!$D$16)),0))</f>
        <v/>
      </c>
      <c r="CR102" s="23" t="n">
        <f aca="false">IF(AND(AY102=1,OR(O102="N",AND(OR(ISNUMBER(R102),ISNUMBER(V102)),MAX(N(R102),N(V102))&lt;Config!$B$14))),1,0)</f>
        <v>0</v>
      </c>
      <c r="CS102" s="23" t="n">
        <f aca="false">IF(OR(BB102=1,CR102=1),1,0)</f>
        <v>0</v>
      </c>
      <c r="CT102" s="23" t="n">
        <f aca="false">IF(AND(AY102=1,OR(AN102="Y",AN102="N",AN102="maybe")),1,0)</f>
        <v>0</v>
      </c>
      <c r="CU102" s="23" t="n">
        <f aca="false">IF(AND(CT102=1),IF(COUNTIFS($A$2:$A$201,$A102,$CT$2:$CT$201,1,$H$2:$H$201,"&gt;"&amp;H102)+COUNTIFS($A$2:$A$201,$A102,$CT$2:$CT$201,1,$H$2:$H$201,H102,$AX$2:$AX$201,"&gt;"&amp;AX102)=0,1,0),0)</f>
        <v>0</v>
      </c>
      <c r="CV102" s="23" t="n">
        <f aca="false">IF(AND(CS102=1,INT(N(H102))&lt;=Config!$B$6),IF(COUNTIFS($AW$2:$AW$201,AW102,$CS$2:$CS$201,1,$H$2:$H$201,"&gt;"&amp;H102,$H$2:$H$201,"&lt;"&amp;(Config!$B$6+1))+COUNTIFS($AW$2:$AW$201,AW102,$CS$2:$CS$201,1,$H$2:$H$201,H102,$AX$2:$AX$201,"&gt;"&amp;AX102)=0,1,0),0)</f>
        <v>0</v>
      </c>
      <c r="CW102" s="23" t="n">
        <f aca="false">IF(AND(CS102=1,INT(N(H102))&lt;=Config!$B$7),IF(COUNTIFS($AW$2:$AW$201,AW102,$CS$2:$CS$201,1,$H$2:$H$201,"&gt;"&amp;H102,$H$2:$H$201,"&lt;"&amp;(Config!$B$7+1))+COUNTIFS($AW$2:$AW$201,AW102,$CS$2:$CS$201,1,$H$2:$H$201,H102,$AX$2:$AX$201,"&gt;"&amp;AX102)=0,1,0),0)</f>
        <v>0</v>
      </c>
      <c r="CX102" s="23" t="n">
        <f aca="false">IF(AND(CS102=1,INT(N(H102))&lt;=Config!$B$8),IF(COUNTIFS($AW$2:$AW$201,AW102,$CS$2:$CS$201,1,$H$2:$H$201,"&gt;"&amp;H102,$H$2:$H$201,"&lt;"&amp;(Config!$B$8+1))+COUNTIFS($AW$2:$AW$201,AW102,$CS$2:$CS$201,1,$H$2:$H$201,H102,$AX$2:$AX$201,"&gt;"&amp;AX102)=0,1,0),0)</f>
        <v>0</v>
      </c>
      <c r="CY102" s="23" t="n">
        <f aca="false">IF(AND(CS102=1,INT(N(H102))&lt;=Config!$B$5),IF(COUNTIFS($AW$2:$AW$201,AW102,$CS$2:$CS$201,1,$H$2:$H$201,"&gt;"&amp;H102,$H$2:$H$201,"&lt;"&amp;(Config!$B$5+1))+COUNTIFS($AW$2:$AW$201,AW102,$CS$2:$CS$201,1,$H$2:$H$201,H102,$AX$2:$AX$201,"&gt;"&amp;AX102)=0,1,0),0)</f>
        <v>0</v>
      </c>
      <c r="CZ102" s="23" t="n">
        <f aca="false">IF(AY102=1,IF(COUNTIFS($AW$2:$AW$201,AW102,$CV$2:$CV$201,1,$BB$2:$BB$201,1)&gt;0,1,0),0)</f>
        <v>0</v>
      </c>
      <c r="DA102" s="23" t="n">
        <f aca="false">IF(AY102=1,IF(COUNTIFS($AW$2:$AW$201,AW102,$CW$2:$CW$201,1,$BB$2:$BB$201,1)&gt;0,1,0),0)</f>
        <v>0</v>
      </c>
      <c r="DB102" s="23" t="n">
        <f aca="false">IF(AY102=1,IF(COUNTIFS($AW$2:$AW$201,AW102,$CX$2:$CX$201,1,$BB$2:$BB$201,1)&gt;0,1,0),0)</f>
        <v>0</v>
      </c>
      <c r="DC102" s="23" t="n">
        <f aca="false">IF(AY102=1,IF(COUNTIFS($AW$2:$AW$201,AW102,$CY$2:$CY$201,1,$BB$2:$BB$201,1)&gt;0,1,0),0)</f>
        <v>0</v>
      </c>
      <c r="DD102" s="23" t="n">
        <f aca="false">IF(AND(BC102=1,INT(N(H102))&lt;=Config!$B$6,CZ102=1),1,0)</f>
        <v>0</v>
      </c>
      <c r="DE102" s="23" t="n">
        <f aca="false">IF(AND(BC102=1,INT(N(H102))&lt;=Config!$B$7,DA102=1),1,0)</f>
        <v>0</v>
      </c>
      <c r="DF102" s="23" t="n">
        <f aca="false">IF(AND(BC102=1,INT(N(H102))&lt;=Config!$B$8,DB102=1),1,0)</f>
        <v>0</v>
      </c>
      <c r="DG102" s="23" t="n">
        <f aca="false">IF(AND(BC102=1,INT(N(H102))&lt;=Config!$B$5,DC102=1),1,0)</f>
        <v>0</v>
      </c>
      <c r="DH102" s="23" t="n">
        <f aca="false">IF(AND(BE102=1,INT(N(H102))&lt;=Config!$B$6,CZ102=1),1,0)</f>
        <v>0</v>
      </c>
      <c r="DI102" s="23" t="n">
        <f aca="false">IF(AND(BE102=1,INT(N(H102))&lt;=Config!$B$7,DA102=1),1,0)</f>
        <v>0</v>
      </c>
      <c r="DJ102" s="23" t="n">
        <f aca="false">IF(AND(BE102=1,INT(N(H102))&lt;=Config!$B$8,DB102=1),1,0)</f>
        <v>0</v>
      </c>
      <c r="DK102" s="23" t="n">
        <f aca="false">IF(AND(BE102=1,INT(N(H102))&lt;=Config!$B$5,DC102=1),1,0)</f>
        <v>0</v>
      </c>
      <c r="DL102" s="23" t="n">
        <f aca="false">IF(AND(BC102=1,INT(N(H102))&lt;=Config!$B$6,CZ102=0),1,0)</f>
        <v>0</v>
      </c>
      <c r="DM102" s="23" t="n">
        <f aca="false">IF(AND(BC102=1,INT(N(H102))&lt;=Config!$B$7,DA102=0),1,0)</f>
        <v>0</v>
      </c>
      <c r="DN102" s="23" t="n">
        <f aca="false">IF(AND(BC102=1,INT(N(H102))&lt;=Config!$B$8,DB102=0),1,0)</f>
        <v>0</v>
      </c>
      <c r="DO102" s="23" t="n">
        <f aca="false">IF(AND(BC102=1,INT(N(H102))&lt;=Config!$B$5,DC102=0),1,0)</f>
        <v>0</v>
      </c>
      <c r="DP102" s="23" t="n">
        <f aca="false">IF(TRIM($A102)="",0,ISTEXT(K102)+ISTEXT(L102)+ISTEXT(R102)+ISTEXT(V102)+ISTEXT(AP102)+ISTEXT(AS102))</f>
        <v>0</v>
      </c>
      <c r="DQ102" s="23" t="n">
        <f aca="false">IF(AY102=1,IF(H102&lt;&gt;INT(H102),1,0),0)</f>
        <v>0</v>
      </c>
      <c r="DR102" s="23" t="str">
        <f aca="false">IF(TRIM($A102)="","",IF(TRIM(B102)="",SUBSTITUTE(SUBSTITUTE(SUBSTITUTE(SUBSTITUTE(SUBSTITUTE(SUBSTITUTE(LOWER(TRIM($A102)),"~",""),"*",""),"?",""),"&lt;",""),"&gt;",""),"=",""),SUBSTITUTE(SUBSTITUTE(SUBSTITUTE(SUBSTITUTE(SUBSTITUTE(SUBSTITUTE(LOWER(TRIM(B102)),"~",""),"*",""),"?",""),"&lt;",""),"&gt;",""),"=","")))</f>
        <v/>
      </c>
      <c r="DS102" s="23" t="str">
        <f aca="false">IF(CM102="","",IFERROR(IF(LEFT(LOWER(TRIM(INDEX(Clay_Brands!$A$2:$FZ$601,CM102,Sync!$D$19)&amp;"")),4)="grp-",SUBSTITUTE(SUBSTITUTE(SUBSTITUTE(SUBSTITUTE(SUBSTITUTE(SUBSTITUTE(LOWER(TRIM(INDEX(Clay_Brands!$A$2:$FZ$601,CM102,Sync!$D$19)&amp;"")),"~",""),"*",""),"?",""),"&lt;",""),"&gt;",""),"=",""),""),""))</f>
        <v/>
      </c>
      <c r="DT102" s="23" t="str">
        <f aca="false">IF(DS102&lt;&gt;"",DR102,"")</f>
        <v/>
      </c>
      <c r="DU102" s="23" t="str">
        <f aca="false">IF(AZ102=1,AW102,"")</f>
        <v/>
      </c>
      <c r="DV102" s="23" t="str">
        <f aca="false">IF(TRIM($A102)="","",IFERROR(INDEX($A$2:$A$201,MATCH(AW102,$DU$2:$DU$201,0))&amp;"",$A102&amp;""))</f>
        <v/>
      </c>
      <c r="DW102" s="23" t="n">
        <f aca="false">IF(AY102=1,IF(COUNTIFS($A$2:$A$201,$A102,$AY$2:$AY$201,1,$H$2:$H$201,"&lt;"&amp;H102)+COUNTIFS($A$2:$A$201,$A102,$AY$2:$AY$201,1,$H$2:$H$201,H102,$AX$2:$AX$201,"&lt;"&amp;AX102)=0,1,0),0)</f>
        <v>0</v>
      </c>
      <c r="DX102" s="23" t="n">
        <f aca="false">IF(AZ102=1,IF(COUNTIFS($AW$2:$AW$201,AW102,$DW$2:$DW$201,1)&gt;1,1,0),0)</f>
        <v>0</v>
      </c>
    </row>
    <row r="103" customFormat="false" ht="15" hidden="false" customHeight="false" outlineLevel="0" collapsed="false">
      <c r="G103" s="32"/>
      <c r="H103" s="33"/>
      <c r="I103" s="32"/>
      <c r="O103" s="32"/>
      <c r="P103" s="32"/>
      <c r="U103" s="32"/>
      <c r="Y103" s="32"/>
      <c r="AB103" s="32"/>
      <c r="AC103" s="32"/>
      <c r="AD103" s="32"/>
      <c r="AE103" s="32"/>
      <c r="AF103" s="32"/>
      <c r="AG103" s="32"/>
      <c r="AI103" s="32"/>
      <c r="AJ103" s="32"/>
      <c r="AK103" s="32"/>
      <c r="AN103" s="32"/>
      <c r="AO103" s="32"/>
      <c r="AR103" s="32"/>
      <c r="AT103" s="32"/>
      <c r="AV103" s="34" t="str">
        <f aca="false">IF(TRIM($A103)="","",IF(AND(LEFT($A103,6)="SAMPLE",Config!$B$19&lt;&gt;"Y"),"",IF(NOT(ISNUMBER(H103)),"call_date is blank or not a date",IF(Sync!$D$5="","Clay paste is empty or has no row_id column: paste the Clay export on Clay_Brands",IF(CM103="","row_id not found in the Clay paste: add the Clay row or fix the row_id",IF(AND(ISNUMBER(CO103),CO103&gt;=1,CO103&lt;=5),"Clay status is "&amp;CN103&amp;": set call_done or later",IF(AND(BA103=1,CP103&lt;&gt;CB103),"Clay yes_in_principle should be "&amp;CB103,IF(AND(BA103=1,CQ103&lt;&gt;H103),"Clay call_date should be "&amp;TEXT(H103,"yyyy-mm-dd"),""))))))))</f>
        <v/>
      </c>
      <c r="AW103" s="23" t="str">
        <f aca="false">IF(TRIM($A103)="","",IF(TRIM(C103)&lt;&gt;"",SUBSTITUTE(SUBSTITUTE(SUBSTITUTE(SUBSTITUTE(SUBSTITUTE(SUBSTITUTE(LOWER(TRIM(C103)),"~",""),"*",""),"?",""),"&lt;",""),"&gt;",""),"=",""),IF(DS103&lt;&gt;"",DS103,IFERROR(INDEX($DS$2:$DS$201,MATCH(DR103,$DT$2:$DT$201,0)),DR103))))</f>
        <v/>
      </c>
      <c r="AX103" s="23" t="n">
        <f aca="false">ROW()</f>
        <v>103</v>
      </c>
      <c r="AY103" s="23" t="n">
        <f aca="false">IF(AND(TRIM($A103)&lt;&gt;"",ISNUMBER(H103)),IF(AND(LEFT($A103,6)="SAMPLE",Config!$B$19&lt;&gt;"Y"),0,1),0)</f>
        <v>0</v>
      </c>
      <c r="AZ103" s="23" t="n">
        <f aca="false">IF(AY103=1,IF(COUNTIFS($AW$2:$AW$201,AW103,$AY$2:$AY$201,1,$H$2:$H$201,"&lt;"&amp;H103)+COUNTIFS($AW$2:$AW$201,AW103,$AY$2:$AY$201,1,$H$2:$H$201,H103,$AX$2:$AX$201,"&lt;"&amp;AX103)=0,1,0),0)</f>
        <v>0</v>
      </c>
      <c r="BA103" s="23" t="n">
        <f aca="false">IF(AY103=1,IF(COUNTIFS($A$2:$A$201,$A103,$AY$2:$AY$201,1,$H$2:$H$201,"&gt;"&amp;H103)+COUNTIFS($A$2:$A$201,$A103,$AY$2:$AY$201,1,$H$2:$H$201,H103,$AX$2:$AX$201,"&gt;"&amp;AX103)=0,1,0),0)</f>
        <v>0</v>
      </c>
      <c r="BB103" s="23" t="n">
        <f aca="false">IF(AND(AY103=1,O103="Y",MAX(N(R103),N(V103))&gt;=Config!$B$14),1,0)</f>
        <v>0</v>
      </c>
      <c r="BC103" s="23" t="n">
        <f aca="false">IF(BB103=1,IF(COUNTIFS($AW$2:$AW$201,AW103,$BB$2:$BB$201,1,$H$2:$H$201,"&lt;"&amp;H103)+COUNTIFS($AW$2:$AW$201,AW103,$BB$2:$BB$201,1,$H$2:$H$201,H103,$AX$2:$AX$201,"&lt;"&amp;AX103)=0,1,0),0)</f>
        <v>0</v>
      </c>
      <c r="BD103" s="23" t="n">
        <f aca="false">IF(AND(AY103=1,O103="Y",ISNUMBER(R103)),IF(R103&gt;=Config!$B$14,1,0),0)</f>
        <v>0</v>
      </c>
      <c r="BE103" s="23" t="n">
        <f aca="false">IF(BD103=1,IF(COUNTIFS($AW$2:$AW$201,AW103,$BD$2:$BD$201,1,$H$2:$H$201,"&lt;"&amp;H103)+COUNTIFS($AW$2:$AW$201,AW103,$BD$2:$BD$201,1,$H$2:$H$201,H103,$AX$2:$AX$201,"&lt;"&amp;AX103)=0,1,0),0)</f>
        <v>0</v>
      </c>
      <c r="BF103" s="23" t="n">
        <f aca="false">IF(AND(AY103=1,O103&lt;&gt;"Y",MAX(N(R103),N(V103))&gt;=Config!$B$14),1,0)</f>
        <v>0</v>
      </c>
      <c r="BG103" s="23" t="n">
        <f aca="false">IF(BF103=1,IF(COUNTIFS($AW$2:$AW$201,AW103,$BF$2:$BF$201,1,$H$2:$H$201,"&lt;"&amp;H103)+COUNTIFS($AW$2:$AW$201,AW103,$BF$2:$BF$201,1,$H$2:$H$201,H103,$AX$2:$AX$201,"&lt;"&amp;AX103)=0,1,0),0)</f>
        <v>0</v>
      </c>
      <c r="BH103" s="23" t="n">
        <f aca="false">IF(AND(AY103=1,ISNUMBER(R103)),1,0)</f>
        <v>0</v>
      </c>
      <c r="BI103" s="23" t="n">
        <f aca="false">IF(BH103=1,IF(COUNTIFS($AW$2:$AW$201,AW103,$BH$2:$BH$201,1,$H$2:$H$201,"&lt;"&amp;H103)+COUNTIFS($AW$2:$AW$201,AW103,$BH$2:$BH$201,1,$H$2:$H$201,H103,$AX$2:$AX$201,"&lt;"&amp;AX103)=0,1,0),0)</f>
        <v>0</v>
      </c>
      <c r="BJ103" s="23" t="str">
        <f aca="false">IF(AND(BI103=1,INT(N(H103))&lt;=Config!$B$6),R103,"")</f>
        <v/>
      </c>
      <c r="BK103" s="23" t="str">
        <f aca="false">IF(AND(BI103=1,INT(N(H103))&lt;=Config!$B$7),R103,"")</f>
        <v/>
      </c>
      <c r="BL103" s="23" t="str">
        <f aca="false">IF(AND(BI103=1,INT(N(H103))&lt;=Config!$B$8),R103,"")</f>
        <v/>
      </c>
      <c r="BM103" s="23" t="str">
        <f aca="false">IF(AND(BI103=1,INT(N(H103))&lt;=Config!$B$5),R103,"")</f>
        <v/>
      </c>
      <c r="BN103" s="23" t="n">
        <f aca="false">IF(AND(AY103=1,ISNUMBER(V103)),1,0)</f>
        <v>0</v>
      </c>
      <c r="BO103" s="23" t="n">
        <f aca="false">IF(BN103=1,IF(COUNTIFS($AW$2:$AW$201,AW103,$BN$2:$BN$201,1,$H$2:$H$201,"&lt;"&amp;H103)+COUNTIFS($AW$2:$AW$201,AW103,$BN$2:$BN$201,1,$H$2:$H$201,H103,$AX$2:$AX$201,"&lt;"&amp;AX103)=0,1,0),0)</f>
        <v>0</v>
      </c>
      <c r="BP103" s="23" t="str">
        <f aca="false">IF(AND(BO103=1,INT(N(H103))&lt;=Config!$B$6),V103,"")</f>
        <v/>
      </c>
      <c r="BQ103" s="23" t="str">
        <f aca="false">IF(AND(BO103=1,INT(N(H103))&lt;=Config!$B$7),V103,"")</f>
        <v/>
      </c>
      <c r="BR103" s="23" t="str">
        <f aca="false">IF(AND(BO103=1,INT(N(H103))&lt;=Config!$B$8),V103,"")</f>
        <v/>
      </c>
      <c r="BS103" s="23" t="str">
        <f aca="false">IF(AND(BO103=1,INT(N(H103))&lt;=Config!$B$5),V103,"")</f>
        <v/>
      </c>
      <c r="BT103" s="23" t="n">
        <f aca="false">IF(AND(AY103=1,ISNUMBER(K103)),1,0)</f>
        <v>0</v>
      </c>
      <c r="BU103" s="23" t="n">
        <f aca="false">IF(BT103=1,IF(COUNTIFS($AW$2:$AW$201,AW103,$BT$2:$BT$201,1,$H$2:$H$201,"&lt;"&amp;H103)+COUNTIFS($AW$2:$AW$201,AW103,$BT$2:$BT$201,1,$H$2:$H$201,H103,$AX$2:$AX$201,"&lt;"&amp;AX103)=0,1,0),0)</f>
        <v>0</v>
      </c>
      <c r="BV103" s="23" t="str">
        <f aca="false">IF(AND(BU103=1,INT(N(H103))&lt;=Config!$B$5),K103,"")</f>
        <v/>
      </c>
      <c r="BW103" s="23" t="n">
        <f aca="false">IF(AND(AY103=1,OR(AND(ISNUMBER(R103),TRIM(S103)=""),AND(ISNUMBER(V103),TRIM(W103)=""))),1,0)</f>
        <v>0</v>
      </c>
      <c r="BX103" s="23" t="str">
        <f aca="false">IF(AY103=1,AJ103&amp;"","")</f>
        <v/>
      </c>
      <c r="BY103" s="23" t="str">
        <f aca="false">IF(AY103=1,AK103&amp;"","")</f>
        <v/>
      </c>
      <c r="BZ103" s="23" t="str">
        <f aca="false">IF(AY103=1,AL103&amp;"","")</f>
        <v/>
      </c>
      <c r="CA103" s="23" t="str">
        <f aca="false">IF(AND(AY103=1,ISNUMBER(AS103),INT(N(H103))&lt;=Config!$B$5),AS103,"")</f>
        <v/>
      </c>
      <c r="CB103" s="23" t="str">
        <f aca="false">IF(AY103=1,IF(COUNTIFS($A$2:$A$201,$A103,$CU$2:$CU$201,1,$AN$2:$AN$201,"Y")&gt;0,"Y","N"),"")</f>
        <v/>
      </c>
      <c r="CC103" s="23" t="n">
        <f aca="false">IF(AND(AY103=1,AN103="Y"),IF(COUNTIFS($AW$2:$AW$201,AW103,$AN$2:$AN$201,"Y",$AY$2:$AY$201,1,$H$2:$H$201,"&lt;"&amp;H103)+COUNTIFS($AW$2:$AW$201,AW103,$AN$2:$AN$201,"Y",$AY$2:$AY$201,1,$H$2:$H$201,H103,$AX$2:$AX$201,"&lt;"&amp;AX103)=0,1,0),0)</f>
        <v>0</v>
      </c>
      <c r="CD103" s="23" t="n">
        <f aca="false">IF(AND(AY103=1,AB103="Y",AC103="Y",AD103="Y",AE103="Y",AF103="Y",AG103="Y",AI103="Y",TRIM(AH103)&lt;&gt;""),1,0)</f>
        <v>0</v>
      </c>
      <c r="CE103" s="23" t="n">
        <f aca="false">IF(CD103=1,IF(COUNTIFS($AW$2:$AW$201,AW103,$CD$2:$CD$201,1,$H$2:$H$201,"&lt;"&amp;H103)+COUNTIFS($AW$2:$AW$201,AW103,$CD$2:$CD$201,1,$H$2:$H$201,H103,$AX$2:$AX$201,"&lt;"&amp;AX103)=0,1,0),0)</f>
        <v>0</v>
      </c>
      <c r="CF103" s="23" t="n">
        <f aca="false">IF(AND(AY103=1,AO103="Y"),1,0)</f>
        <v>0</v>
      </c>
      <c r="CG103" s="23" t="n">
        <f aca="false">IF(CF103=1,IF(COUNTIFS($AW$2:$AW$201,AW103,$CF$2:$CF$201,1,$H$2:$H$201,"&lt;"&amp;H103)+COUNTIFS($AW$2:$AW$201,AW103,$CF$2:$CF$201,1,$H$2:$H$201,H103,$AX$2:$AX$201,"&lt;"&amp;AX103)=0,1,0),0)</f>
        <v>0</v>
      </c>
      <c r="CH103" s="23" t="n">
        <f aca="false">IF(AND(AY103=1,P103="Y"),1,0)</f>
        <v>0</v>
      </c>
      <c r="CI103" s="23" t="n">
        <f aca="false">IF(CH103=1,IF(COUNTIFS($AW$2:$AW$201,AW103,$CH$2:$CH$201,1,$H$2:$H$201,"&lt;"&amp;H103)+COUNTIFS($AW$2:$AW$201,AW103,$CH$2:$CH$201,1,$H$2:$H$201,H103,$AX$2:$AX$201,"&lt;"&amp;AX103)=0,1,0),0)</f>
        <v>0</v>
      </c>
      <c r="CJ103" s="23" t="str">
        <f aca="false">IF(AND(BU103=1,INT(N(H103))&lt;=Config!$B$5),L103,"")</f>
        <v/>
      </c>
      <c r="CK103" s="23" t="n">
        <f aca="false">IF(AND(AY103=1,AR103="Y"),1,0)</f>
        <v>0</v>
      </c>
      <c r="CL103" s="23" t="n">
        <f aca="false">IF(CK103=1,IF(COUNTIFS($AW$2:$AW$201,AW103,$CK$2:$CK$201,1,$H$2:$H$201,"&lt;"&amp;H103)+COUNTIFS($AW$2:$AW$201,AW103,$CK$2:$CK$201,1,$H$2:$H$201,H103,$AX$2:$AX$201,"&lt;"&amp;AX103)=0,1,0),0)</f>
        <v>0</v>
      </c>
      <c r="CM103" s="23" t="str">
        <f aca="false">IF(AY103=1,IFERROR(MATCH($A103,INDEX(Clay_Brands!$A$2:$FZ$601,0,Sync!$D$5),0),""),"")</f>
        <v/>
      </c>
      <c r="CN103" s="23" t="str">
        <f aca="false">IF(CM103="","",IFERROR(INDEX(Clay_Brands!$A$2:$FZ$601,CM103,Sync!$D$7)&amp;"",""))</f>
        <v/>
      </c>
      <c r="CO103" s="23" t="str">
        <f aca="false">IF(CN103="","",IFERROR(INDEX(Lists!$K$2:$K$15,MATCH(CN103,Lists!$J$2:$J$15,0)),""))</f>
        <v/>
      </c>
      <c r="CP103" s="23" t="str">
        <f aca="false">IF(CM103="","",IFERROR(INDEX(Clay_Brands!$A$2:$FZ$601,CM103,Sync!$D$17)&amp;"",""))</f>
        <v/>
      </c>
      <c r="CQ103" s="35" t="str">
        <f aca="false">IF(CM103="","",IFERROR(N(INDEX(Clay_Brands!$A$2:$FZ$601,CM103,Sync!$D$16)),0))</f>
        <v/>
      </c>
      <c r="CR103" s="23" t="n">
        <f aca="false">IF(AND(AY103=1,OR(O103="N",AND(OR(ISNUMBER(R103),ISNUMBER(V103)),MAX(N(R103),N(V103))&lt;Config!$B$14))),1,0)</f>
        <v>0</v>
      </c>
      <c r="CS103" s="23" t="n">
        <f aca="false">IF(OR(BB103=1,CR103=1),1,0)</f>
        <v>0</v>
      </c>
      <c r="CT103" s="23" t="n">
        <f aca="false">IF(AND(AY103=1,OR(AN103="Y",AN103="N",AN103="maybe")),1,0)</f>
        <v>0</v>
      </c>
      <c r="CU103" s="23" t="n">
        <f aca="false">IF(AND(CT103=1),IF(COUNTIFS($A$2:$A$201,$A103,$CT$2:$CT$201,1,$H$2:$H$201,"&gt;"&amp;H103)+COUNTIFS($A$2:$A$201,$A103,$CT$2:$CT$201,1,$H$2:$H$201,H103,$AX$2:$AX$201,"&gt;"&amp;AX103)=0,1,0),0)</f>
        <v>0</v>
      </c>
      <c r="CV103" s="23" t="n">
        <f aca="false">IF(AND(CS103=1,INT(N(H103))&lt;=Config!$B$6),IF(COUNTIFS($AW$2:$AW$201,AW103,$CS$2:$CS$201,1,$H$2:$H$201,"&gt;"&amp;H103,$H$2:$H$201,"&lt;"&amp;(Config!$B$6+1))+COUNTIFS($AW$2:$AW$201,AW103,$CS$2:$CS$201,1,$H$2:$H$201,H103,$AX$2:$AX$201,"&gt;"&amp;AX103)=0,1,0),0)</f>
        <v>0</v>
      </c>
      <c r="CW103" s="23" t="n">
        <f aca="false">IF(AND(CS103=1,INT(N(H103))&lt;=Config!$B$7),IF(COUNTIFS($AW$2:$AW$201,AW103,$CS$2:$CS$201,1,$H$2:$H$201,"&gt;"&amp;H103,$H$2:$H$201,"&lt;"&amp;(Config!$B$7+1))+COUNTIFS($AW$2:$AW$201,AW103,$CS$2:$CS$201,1,$H$2:$H$201,H103,$AX$2:$AX$201,"&gt;"&amp;AX103)=0,1,0),0)</f>
        <v>0</v>
      </c>
      <c r="CX103" s="23" t="n">
        <f aca="false">IF(AND(CS103=1,INT(N(H103))&lt;=Config!$B$8),IF(COUNTIFS($AW$2:$AW$201,AW103,$CS$2:$CS$201,1,$H$2:$H$201,"&gt;"&amp;H103,$H$2:$H$201,"&lt;"&amp;(Config!$B$8+1))+COUNTIFS($AW$2:$AW$201,AW103,$CS$2:$CS$201,1,$H$2:$H$201,H103,$AX$2:$AX$201,"&gt;"&amp;AX103)=0,1,0),0)</f>
        <v>0</v>
      </c>
      <c r="CY103" s="23" t="n">
        <f aca="false">IF(AND(CS103=1,INT(N(H103))&lt;=Config!$B$5),IF(COUNTIFS($AW$2:$AW$201,AW103,$CS$2:$CS$201,1,$H$2:$H$201,"&gt;"&amp;H103,$H$2:$H$201,"&lt;"&amp;(Config!$B$5+1))+COUNTIFS($AW$2:$AW$201,AW103,$CS$2:$CS$201,1,$H$2:$H$201,H103,$AX$2:$AX$201,"&gt;"&amp;AX103)=0,1,0),0)</f>
        <v>0</v>
      </c>
      <c r="CZ103" s="23" t="n">
        <f aca="false">IF(AY103=1,IF(COUNTIFS($AW$2:$AW$201,AW103,$CV$2:$CV$201,1,$BB$2:$BB$201,1)&gt;0,1,0),0)</f>
        <v>0</v>
      </c>
      <c r="DA103" s="23" t="n">
        <f aca="false">IF(AY103=1,IF(COUNTIFS($AW$2:$AW$201,AW103,$CW$2:$CW$201,1,$BB$2:$BB$201,1)&gt;0,1,0),0)</f>
        <v>0</v>
      </c>
      <c r="DB103" s="23" t="n">
        <f aca="false">IF(AY103=1,IF(COUNTIFS($AW$2:$AW$201,AW103,$CX$2:$CX$201,1,$BB$2:$BB$201,1)&gt;0,1,0),0)</f>
        <v>0</v>
      </c>
      <c r="DC103" s="23" t="n">
        <f aca="false">IF(AY103=1,IF(COUNTIFS($AW$2:$AW$201,AW103,$CY$2:$CY$201,1,$BB$2:$BB$201,1)&gt;0,1,0),0)</f>
        <v>0</v>
      </c>
      <c r="DD103" s="23" t="n">
        <f aca="false">IF(AND(BC103=1,INT(N(H103))&lt;=Config!$B$6,CZ103=1),1,0)</f>
        <v>0</v>
      </c>
      <c r="DE103" s="23" t="n">
        <f aca="false">IF(AND(BC103=1,INT(N(H103))&lt;=Config!$B$7,DA103=1),1,0)</f>
        <v>0</v>
      </c>
      <c r="DF103" s="23" t="n">
        <f aca="false">IF(AND(BC103=1,INT(N(H103))&lt;=Config!$B$8,DB103=1),1,0)</f>
        <v>0</v>
      </c>
      <c r="DG103" s="23" t="n">
        <f aca="false">IF(AND(BC103=1,INT(N(H103))&lt;=Config!$B$5,DC103=1),1,0)</f>
        <v>0</v>
      </c>
      <c r="DH103" s="23" t="n">
        <f aca="false">IF(AND(BE103=1,INT(N(H103))&lt;=Config!$B$6,CZ103=1),1,0)</f>
        <v>0</v>
      </c>
      <c r="DI103" s="23" t="n">
        <f aca="false">IF(AND(BE103=1,INT(N(H103))&lt;=Config!$B$7,DA103=1),1,0)</f>
        <v>0</v>
      </c>
      <c r="DJ103" s="23" t="n">
        <f aca="false">IF(AND(BE103=1,INT(N(H103))&lt;=Config!$B$8,DB103=1),1,0)</f>
        <v>0</v>
      </c>
      <c r="DK103" s="23" t="n">
        <f aca="false">IF(AND(BE103=1,INT(N(H103))&lt;=Config!$B$5,DC103=1),1,0)</f>
        <v>0</v>
      </c>
      <c r="DL103" s="23" t="n">
        <f aca="false">IF(AND(BC103=1,INT(N(H103))&lt;=Config!$B$6,CZ103=0),1,0)</f>
        <v>0</v>
      </c>
      <c r="DM103" s="23" t="n">
        <f aca="false">IF(AND(BC103=1,INT(N(H103))&lt;=Config!$B$7,DA103=0),1,0)</f>
        <v>0</v>
      </c>
      <c r="DN103" s="23" t="n">
        <f aca="false">IF(AND(BC103=1,INT(N(H103))&lt;=Config!$B$8,DB103=0),1,0)</f>
        <v>0</v>
      </c>
      <c r="DO103" s="23" t="n">
        <f aca="false">IF(AND(BC103=1,INT(N(H103))&lt;=Config!$B$5,DC103=0),1,0)</f>
        <v>0</v>
      </c>
      <c r="DP103" s="23" t="n">
        <f aca="false">IF(TRIM($A103)="",0,ISTEXT(K103)+ISTEXT(L103)+ISTEXT(R103)+ISTEXT(V103)+ISTEXT(AP103)+ISTEXT(AS103))</f>
        <v>0</v>
      </c>
      <c r="DQ103" s="23" t="n">
        <f aca="false">IF(AY103=1,IF(H103&lt;&gt;INT(H103),1,0),0)</f>
        <v>0</v>
      </c>
      <c r="DR103" s="23" t="str">
        <f aca="false">IF(TRIM($A103)="","",IF(TRIM(B103)="",SUBSTITUTE(SUBSTITUTE(SUBSTITUTE(SUBSTITUTE(SUBSTITUTE(SUBSTITUTE(LOWER(TRIM($A103)),"~",""),"*",""),"?",""),"&lt;",""),"&gt;",""),"=",""),SUBSTITUTE(SUBSTITUTE(SUBSTITUTE(SUBSTITUTE(SUBSTITUTE(SUBSTITUTE(LOWER(TRIM(B103)),"~",""),"*",""),"?",""),"&lt;",""),"&gt;",""),"=","")))</f>
        <v/>
      </c>
      <c r="DS103" s="23" t="str">
        <f aca="false">IF(CM103="","",IFERROR(IF(LEFT(LOWER(TRIM(INDEX(Clay_Brands!$A$2:$FZ$601,CM103,Sync!$D$19)&amp;"")),4)="grp-",SUBSTITUTE(SUBSTITUTE(SUBSTITUTE(SUBSTITUTE(SUBSTITUTE(SUBSTITUTE(LOWER(TRIM(INDEX(Clay_Brands!$A$2:$FZ$601,CM103,Sync!$D$19)&amp;"")),"~",""),"*",""),"?",""),"&lt;",""),"&gt;",""),"=",""),""),""))</f>
        <v/>
      </c>
      <c r="DT103" s="23" t="str">
        <f aca="false">IF(DS103&lt;&gt;"",DR103,"")</f>
        <v/>
      </c>
      <c r="DU103" s="23" t="str">
        <f aca="false">IF(AZ103=1,AW103,"")</f>
        <v/>
      </c>
      <c r="DV103" s="23" t="str">
        <f aca="false">IF(TRIM($A103)="","",IFERROR(INDEX($A$2:$A$201,MATCH(AW103,$DU$2:$DU$201,0))&amp;"",$A103&amp;""))</f>
        <v/>
      </c>
      <c r="DW103" s="23" t="n">
        <f aca="false">IF(AY103=1,IF(COUNTIFS($A$2:$A$201,$A103,$AY$2:$AY$201,1,$H$2:$H$201,"&lt;"&amp;H103)+COUNTIFS($A$2:$A$201,$A103,$AY$2:$AY$201,1,$H$2:$H$201,H103,$AX$2:$AX$201,"&lt;"&amp;AX103)=0,1,0),0)</f>
        <v>0</v>
      </c>
      <c r="DX103" s="23" t="n">
        <f aca="false">IF(AZ103=1,IF(COUNTIFS($AW$2:$AW$201,AW103,$DW$2:$DW$201,1)&gt;1,1,0),0)</f>
        <v>0</v>
      </c>
    </row>
    <row r="104" customFormat="false" ht="15" hidden="false" customHeight="false" outlineLevel="0" collapsed="false">
      <c r="G104" s="32"/>
      <c r="H104" s="33"/>
      <c r="I104" s="32"/>
      <c r="O104" s="32"/>
      <c r="P104" s="32"/>
      <c r="U104" s="32"/>
      <c r="Y104" s="32"/>
      <c r="AB104" s="32"/>
      <c r="AC104" s="32"/>
      <c r="AD104" s="32"/>
      <c r="AE104" s="32"/>
      <c r="AF104" s="32"/>
      <c r="AG104" s="32"/>
      <c r="AI104" s="32"/>
      <c r="AJ104" s="32"/>
      <c r="AK104" s="32"/>
      <c r="AN104" s="32"/>
      <c r="AO104" s="32"/>
      <c r="AR104" s="32"/>
      <c r="AT104" s="32"/>
      <c r="AV104" s="34" t="str">
        <f aca="false">IF(TRIM($A104)="","",IF(AND(LEFT($A104,6)="SAMPLE",Config!$B$19&lt;&gt;"Y"),"",IF(NOT(ISNUMBER(H104)),"call_date is blank or not a date",IF(Sync!$D$5="","Clay paste is empty or has no row_id column: paste the Clay export on Clay_Brands",IF(CM104="","row_id not found in the Clay paste: add the Clay row or fix the row_id",IF(AND(ISNUMBER(CO104),CO104&gt;=1,CO104&lt;=5),"Clay status is "&amp;CN104&amp;": set call_done or later",IF(AND(BA104=1,CP104&lt;&gt;CB104),"Clay yes_in_principle should be "&amp;CB104,IF(AND(BA104=1,CQ104&lt;&gt;H104),"Clay call_date should be "&amp;TEXT(H104,"yyyy-mm-dd"),""))))))))</f>
        <v/>
      </c>
      <c r="AW104" s="23" t="str">
        <f aca="false">IF(TRIM($A104)="","",IF(TRIM(C104)&lt;&gt;"",SUBSTITUTE(SUBSTITUTE(SUBSTITUTE(SUBSTITUTE(SUBSTITUTE(SUBSTITUTE(LOWER(TRIM(C104)),"~",""),"*",""),"?",""),"&lt;",""),"&gt;",""),"=",""),IF(DS104&lt;&gt;"",DS104,IFERROR(INDEX($DS$2:$DS$201,MATCH(DR104,$DT$2:$DT$201,0)),DR104))))</f>
        <v/>
      </c>
      <c r="AX104" s="23" t="n">
        <f aca="false">ROW()</f>
        <v>104</v>
      </c>
      <c r="AY104" s="23" t="n">
        <f aca="false">IF(AND(TRIM($A104)&lt;&gt;"",ISNUMBER(H104)),IF(AND(LEFT($A104,6)="SAMPLE",Config!$B$19&lt;&gt;"Y"),0,1),0)</f>
        <v>0</v>
      </c>
      <c r="AZ104" s="23" t="n">
        <f aca="false">IF(AY104=1,IF(COUNTIFS($AW$2:$AW$201,AW104,$AY$2:$AY$201,1,$H$2:$H$201,"&lt;"&amp;H104)+COUNTIFS($AW$2:$AW$201,AW104,$AY$2:$AY$201,1,$H$2:$H$201,H104,$AX$2:$AX$201,"&lt;"&amp;AX104)=0,1,0),0)</f>
        <v>0</v>
      </c>
      <c r="BA104" s="23" t="n">
        <f aca="false">IF(AY104=1,IF(COUNTIFS($A$2:$A$201,$A104,$AY$2:$AY$201,1,$H$2:$H$201,"&gt;"&amp;H104)+COUNTIFS($A$2:$A$201,$A104,$AY$2:$AY$201,1,$H$2:$H$201,H104,$AX$2:$AX$201,"&gt;"&amp;AX104)=0,1,0),0)</f>
        <v>0</v>
      </c>
      <c r="BB104" s="23" t="n">
        <f aca="false">IF(AND(AY104=1,O104="Y",MAX(N(R104),N(V104))&gt;=Config!$B$14),1,0)</f>
        <v>0</v>
      </c>
      <c r="BC104" s="23" t="n">
        <f aca="false">IF(BB104=1,IF(COUNTIFS($AW$2:$AW$201,AW104,$BB$2:$BB$201,1,$H$2:$H$201,"&lt;"&amp;H104)+COUNTIFS($AW$2:$AW$201,AW104,$BB$2:$BB$201,1,$H$2:$H$201,H104,$AX$2:$AX$201,"&lt;"&amp;AX104)=0,1,0),0)</f>
        <v>0</v>
      </c>
      <c r="BD104" s="23" t="n">
        <f aca="false">IF(AND(AY104=1,O104="Y",ISNUMBER(R104)),IF(R104&gt;=Config!$B$14,1,0),0)</f>
        <v>0</v>
      </c>
      <c r="BE104" s="23" t="n">
        <f aca="false">IF(BD104=1,IF(COUNTIFS($AW$2:$AW$201,AW104,$BD$2:$BD$201,1,$H$2:$H$201,"&lt;"&amp;H104)+COUNTIFS($AW$2:$AW$201,AW104,$BD$2:$BD$201,1,$H$2:$H$201,H104,$AX$2:$AX$201,"&lt;"&amp;AX104)=0,1,0),0)</f>
        <v>0</v>
      </c>
      <c r="BF104" s="23" t="n">
        <f aca="false">IF(AND(AY104=1,O104&lt;&gt;"Y",MAX(N(R104),N(V104))&gt;=Config!$B$14),1,0)</f>
        <v>0</v>
      </c>
      <c r="BG104" s="23" t="n">
        <f aca="false">IF(BF104=1,IF(COUNTIFS($AW$2:$AW$201,AW104,$BF$2:$BF$201,1,$H$2:$H$201,"&lt;"&amp;H104)+COUNTIFS($AW$2:$AW$201,AW104,$BF$2:$BF$201,1,$H$2:$H$201,H104,$AX$2:$AX$201,"&lt;"&amp;AX104)=0,1,0),0)</f>
        <v>0</v>
      </c>
      <c r="BH104" s="23" t="n">
        <f aca="false">IF(AND(AY104=1,ISNUMBER(R104)),1,0)</f>
        <v>0</v>
      </c>
      <c r="BI104" s="23" t="n">
        <f aca="false">IF(BH104=1,IF(COUNTIFS($AW$2:$AW$201,AW104,$BH$2:$BH$201,1,$H$2:$H$201,"&lt;"&amp;H104)+COUNTIFS($AW$2:$AW$201,AW104,$BH$2:$BH$201,1,$H$2:$H$201,H104,$AX$2:$AX$201,"&lt;"&amp;AX104)=0,1,0),0)</f>
        <v>0</v>
      </c>
      <c r="BJ104" s="23" t="str">
        <f aca="false">IF(AND(BI104=1,INT(N(H104))&lt;=Config!$B$6),R104,"")</f>
        <v/>
      </c>
      <c r="BK104" s="23" t="str">
        <f aca="false">IF(AND(BI104=1,INT(N(H104))&lt;=Config!$B$7),R104,"")</f>
        <v/>
      </c>
      <c r="BL104" s="23" t="str">
        <f aca="false">IF(AND(BI104=1,INT(N(H104))&lt;=Config!$B$8),R104,"")</f>
        <v/>
      </c>
      <c r="BM104" s="23" t="str">
        <f aca="false">IF(AND(BI104=1,INT(N(H104))&lt;=Config!$B$5),R104,"")</f>
        <v/>
      </c>
      <c r="BN104" s="23" t="n">
        <f aca="false">IF(AND(AY104=1,ISNUMBER(V104)),1,0)</f>
        <v>0</v>
      </c>
      <c r="BO104" s="23" t="n">
        <f aca="false">IF(BN104=1,IF(COUNTIFS($AW$2:$AW$201,AW104,$BN$2:$BN$201,1,$H$2:$H$201,"&lt;"&amp;H104)+COUNTIFS($AW$2:$AW$201,AW104,$BN$2:$BN$201,1,$H$2:$H$201,H104,$AX$2:$AX$201,"&lt;"&amp;AX104)=0,1,0),0)</f>
        <v>0</v>
      </c>
      <c r="BP104" s="23" t="str">
        <f aca="false">IF(AND(BO104=1,INT(N(H104))&lt;=Config!$B$6),V104,"")</f>
        <v/>
      </c>
      <c r="BQ104" s="23" t="str">
        <f aca="false">IF(AND(BO104=1,INT(N(H104))&lt;=Config!$B$7),V104,"")</f>
        <v/>
      </c>
      <c r="BR104" s="23" t="str">
        <f aca="false">IF(AND(BO104=1,INT(N(H104))&lt;=Config!$B$8),V104,"")</f>
        <v/>
      </c>
      <c r="BS104" s="23" t="str">
        <f aca="false">IF(AND(BO104=1,INT(N(H104))&lt;=Config!$B$5),V104,"")</f>
        <v/>
      </c>
      <c r="BT104" s="23" t="n">
        <f aca="false">IF(AND(AY104=1,ISNUMBER(K104)),1,0)</f>
        <v>0</v>
      </c>
      <c r="BU104" s="23" t="n">
        <f aca="false">IF(BT104=1,IF(COUNTIFS($AW$2:$AW$201,AW104,$BT$2:$BT$201,1,$H$2:$H$201,"&lt;"&amp;H104)+COUNTIFS($AW$2:$AW$201,AW104,$BT$2:$BT$201,1,$H$2:$H$201,H104,$AX$2:$AX$201,"&lt;"&amp;AX104)=0,1,0),0)</f>
        <v>0</v>
      </c>
      <c r="BV104" s="23" t="str">
        <f aca="false">IF(AND(BU104=1,INT(N(H104))&lt;=Config!$B$5),K104,"")</f>
        <v/>
      </c>
      <c r="BW104" s="23" t="n">
        <f aca="false">IF(AND(AY104=1,OR(AND(ISNUMBER(R104),TRIM(S104)=""),AND(ISNUMBER(V104),TRIM(W104)=""))),1,0)</f>
        <v>0</v>
      </c>
      <c r="BX104" s="23" t="str">
        <f aca="false">IF(AY104=1,AJ104&amp;"","")</f>
        <v/>
      </c>
      <c r="BY104" s="23" t="str">
        <f aca="false">IF(AY104=1,AK104&amp;"","")</f>
        <v/>
      </c>
      <c r="BZ104" s="23" t="str">
        <f aca="false">IF(AY104=1,AL104&amp;"","")</f>
        <v/>
      </c>
      <c r="CA104" s="23" t="str">
        <f aca="false">IF(AND(AY104=1,ISNUMBER(AS104),INT(N(H104))&lt;=Config!$B$5),AS104,"")</f>
        <v/>
      </c>
      <c r="CB104" s="23" t="str">
        <f aca="false">IF(AY104=1,IF(COUNTIFS($A$2:$A$201,$A104,$CU$2:$CU$201,1,$AN$2:$AN$201,"Y")&gt;0,"Y","N"),"")</f>
        <v/>
      </c>
      <c r="CC104" s="23" t="n">
        <f aca="false">IF(AND(AY104=1,AN104="Y"),IF(COUNTIFS($AW$2:$AW$201,AW104,$AN$2:$AN$201,"Y",$AY$2:$AY$201,1,$H$2:$H$201,"&lt;"&amp;H104)+COUNTIFS($AW$2:$AW$201,AW104,$AN$2:$AN$201,"Y",$AY$2:$AY$201,1,$H$2:$H$201,H104,$AX$2:$AX$201,"&lt;"&amp;AX104)=0,1,0),0)</f>
        <v>0</v>
      </c>
      <c r="CD104" s="23" t="n">
        <f aca="false">IF(AND(AY104=1,AB104="Y",AC104="Y",AD104="Y",AE104="Y",AF104="Y",AG104="Y",AI104="Y",TRIM(AH104)&lt;&gt;""),1,0)</f>
        <v>0</v>
      </c>
      <c r="CE104" s="23" t="n">
        <f aca="false">IF(CD104=1,IF(COUNTIFS($AW$2:$AW$201,AW104,$CD$2:$CD$201,1,$H$2:$H$201,"&lt;"&amp;H104)+COUNTIFS($AW$2:$AW$201,AW104,$CD$2:$CD$201,1,$H$2:$H$201,H104,$AX$2:$AX$201,"&lt;"&amp;AX104)=0,1,0),0)</f>
        <v>0</v>
      </c>
      <c r="CF104" s="23" t="n">
        <f aca="false">IF(AND(AY104=1,AO104="Y"),1,0)</f>
        <v>0</v>
      </c>
      <c r="CG104" s="23" t="n">
        <f aca="false">IF(CF104=1,IF(COUNTIFS($AW$2:$AW$201,AW104,$CF$2:$CF$201,1,$H$2:$H$201,"&lt;"&amp;H104)+COUNTIFS($AW$2:$AW$201,AW104,$CF$2:$CF$201,1,$H$2:$H$201,H104,$AX$2:$AX$201,"&lt;"&amp;AX104)=0,1,0),0)</f>
        <v>0</v>
      </c>
      <c r="CH104" s="23" t="n">
        <f aca="false">IF(AND(AY104=1,P104="Y"),1,0)</f>
        <v>0</v>
      </c>
      <c r="CI104" s="23" t="n">
        <f aca="false">IF(CH104=1,IF(COUNTIFS($AW$2:$AW$201,AW104,$CH$2:$CH$201,1,$H$2:$H$201,"&lt;"&amp;H104)+COUNTIFS($AW$2:$AW$201,AW104,$CH$2:$CH$201,1,$H$2:$H$201,H104,$AX$2:$AX$201,"&lt;"&amp;AX104)=0,1,0),0)</f>
        <v>0</v>
      </c>
      <c r="CJ104" s="23" t="str">
        <f aca="false">IF(AND(BU104=1,INT(N(H104))&lt;=Config!$B$5),L104,"")</f>
        <v/>
      </c>
      <c r="CK104" s="23" t="n">
        <f aca="false">IF(AND(AY104=1,AR104="Y"),1,0)</f>
        <v>0</v>
      </c>
      <c r="CL104" s="23" t="n">
        <f aca="false">IF(CK104=1,IF(COUNTIFS($AW$2:$AW$201,AW104,$CK$2:$CK$201,1,$H$2:$H$201,"&lt;"&amp;H104)+COUNTIFS($AW$2:$AW$201,AW104,$CK$2:$CK$201,1,$H$2:$H$201,H104,$AX$2:$AX$201,"&lt;"&amp;AX104)=0,1,0),0)</f>
        <v>0</v>
      </c>
      <c r="CM104" s="23" t="str">
        <f aca="false">IF(AY104=1,IFERROR(MATCH($A104,INDEX(Clay_Brands!$A$2:$FZ$601,0,Sync!$D$5),0),""),"")</f>
        <v/>
      </c>
      <c r="CN104" s="23" t="str">
        <f aca="false">IF(CM104="","",IFERROR(INDEX(Clay_Brands!$A$2:$FZ$601,CM104,Sync!$D$7)&amp;"",""))</f>
        <v/>
      </c>
      <c r="CO104" s="23" t="str">
        <f aca="false">IF(CN104="","",IFERROR(INDEX(Lists!$K$2:$K$15,MATCH(CN104,Lists!$J$2:$J$15,0)),""))</f>
        <v/>
      </c>
      <c r="CP104" s="23" t="str">
        <f aca="false">IF(CM104="","",IFERROR(INDEX(Clay_Brands!$A$2:$FZ$601,CM104,Sync!$D$17)&amp;"",""))</f>
        <v/>
      </c>
      <c r="CQ104" s="35" t="str">
        <f aca="false">IF(CM104="","",IFERROR(N(INDEX(Clay_Brands!$A$2:$FZ$601,CM104,Sync!$D$16)),0))</f>
        <v/>
      </c>
      <c r="CR104" s="23" t="n">
        <f aca="false">IF(AND(AY104=1,OR(O104="N",AND(OR(ISNUMBER(R104),ISNUMBER(V104)),MAX(N(R104),N(V104))&lt;Config!$B$14))),1,0)</f>
        <v>0</v>
      </c>
      <c r="CS104" s="23" t="n">
        <f aca="false">IF(OR(BB104=1,CR104=1),1,0)</f>
        <v>0</v>
      </c>
      <c r="CT104" s="23" t="n">
        <f aca="false">IF(AND(AY104=1,OR(AN104="Y",AN104="N",AN104="maybe")),1,0)</f>
        <v>0</v>
      </c>
      <c r="CU104" s="23" t="n">
        <f aca="false">IF(AND(CT104=1),IF(COUNTIFS($A$2:$A$201,$A104,$CT$2:$CT$201,1,$H$2:$H$201,"&gt;"&amp;H104)+COUNTIFS($A$2:$A$201,$A104,$CT$2:$CT$201,1,$H$2:$H$201,H104,$AX$2:$AX$201,"&gt;"&amp;AX104)=0,1,0),0)</f>
        <v>0</v>
      </c>
      <c r="CV104" s="23" t="n">
        <f aca="false">IF(AND(CS104=1,INT(N(H104))&lt;=Config!$B$6),IF(COUNTIFS($AW$2:$AW$201,AW104,$CS$2:$CS$201,1,$H$2:$H$201,"&gt;"&amp;H104,$H$2:$H$201,"&lt;"&amp;(Config!$B$6+1))+COUNTIFS($AW$2:$AW$201,AW104,$CS$2:$CS$201,1,$H$2:$H$201,H104,$AX$2:$AX$201,"&gt;"&amp;AX104)=0,1,0),0)</f>
        <v>0</v>
      </c>
      <c r="CW104" s="23" t="n">
        <f aca="false">IF(AND(CS104=1,INT(N(H104))&lt;=Config!$B$7),IF(COUNTIFS($AW$2:$AW$201,AW104,$CS$2:$CS$201,1,$H$2:$H$201,"&gt;"&amp;H104,$H$2:$H$201,"&lt;"&amp;(Config!$B$7+1))+COUNTIFS($AW$2:$AW$201,AW104,$CS$2:$CS$201,1,$H$2:$H$201,H104,$AX$2:$AX$201,"&gt;"&amp;AX104)=0,1,0),0)</f>
        <v>0</v>
      </c>
      <c r="CX104" s="23" t="n">
        <f aca="false">IF(AND(CS104=1,INT(N(H104))&lt;=Config!$B$8),IF(COUNTIFS($AW$2:$AW$201,AW104,$CS$2:$CS$201,1,$H$2:$H$201,"&gt;"&amp;H104,$H$2:$H$201,"&lt;"&amp;(Config!$B$8+1))+COUNTIFS($AW$2:$AW$201,AW104,$CS$2:$CS$201,1,$H$2:$H$201,H104,$AX$2:$AX$201,"&gt;"&amp;AX104)=0,1,0),0)</f>
        <v>0</v>
      </c>
      <c r="CY104" s="23" t="n">
        <f aca="false">IF(AND(CS104=1,INT(N(H104))&lt;=Config!$B$5),IF(COUNTIFS($AW$2:$AW$201,AW104,$CS$2:$CS$201,1,$H$2:$H$201,"&gt;"&amp;H104,$H$2:$H$201,"&lt;"&amp;(Config!$B$5+1))+COUNTIFS($AW$2:$AW$201,AW104,$CS$2:$CS$201,1,$H$2:$H$201,H104,$AX$2:$AX$201,"&gt;"&amp;AX104)=0,1,0),0)</f>
        <v>0</v>
      </c>
      <c r="CZ104" s="23" t="n">
        <f aca="false">IF(AY104=1,IF(COUNTIFS($AW$2:$AW$201,AW104,$CV$2:$CV$201,1,$BB$2:$BB$201,1)&gt;0,1,0),0)</f>
        <v>0</v>
      </c>
      <c r="DA104" s="23" t="n">
        <f aca="false">IF(AY104=1,IF(COUNTIFS($AW$2:$AW$201,AW104,$CW$2:$CW$201,1,$BB$2:$BB$201,1)&gt;0,1,0),0)</f>
        <v>0</v>
      </c>
      <c r="DB104" s="23" t="n">
        <f aca="false">IF(AY104=1,IF(COUNTIFS($AW$2:$AW$201,AW104,$CX$2:$CX$201,1,$BB$2:$BB$201,1)&gt;0,1,0),0)</f>
        <v>0</v>
      </c>
      <c r="DC104" s="23" t="n">
        <f aca="false">IF(AY104=1,IF(COUNTIFS($AW$2:$AW$201,AW104,$CY$2:$CY$201,1,$BB$2:$BB$201,1)&gt;0,1,0),0)</f>
        <v>0</v>
      </c>
      <c r="DD104" s="23" t="n">
        <f aca="false">IF(AND(BC104=1,INT(N(H104))&lt;=Config!$B$6,CZ104=1),1,0)</f>
        <v>0</v>
      </c>
      <c r="DE104" s="23" t="n">
        <f aca="false">IF(AND(BC104=1,INT(N(H104))&lt;=Config!$B$7,DA104=1),1,0)</f>
        <v>0</v>
      </c>
      <c r="DF104" s="23" t="n">
        <f aca="false">IF(AND(BC104=1,INT(N(H104))&lt;=Config!$B$8,DB104=1),1,0)</f>
        <v>0</v>
      </c>
      <c r="DG104" s="23" t="n">
        <f aca="false">IF(AND(BC104=1,INT(N(H104))&lt;=Config!$B$5,DC104=1),1,0)</f>
        <v>0</v>
      </c>
      <c r="DH104" s="23" t="n">
        <f aca="false">IF(AND(BE104=1,INT(N(H104))&lt;=Config!$B$6,CZ104=1),1,0)</f>
        <v>0</v>
      </c>
      <c r="DI104" s="23" t="n">
        <f aca="false">IF(AND(BE104=1,INT(N(H104))&lt;=Config!$B$7,DA104=1),1,0)</f>
        <v>0</v>
      </c>
      <c r="DJ104" s="23" t="n">
        <f aca="false">IF(AND(BE104=1,INT(N(H104))&lt;=Config!$B$8,DB104=1),1,0)</f>
        <v>0</v>
      </c>
      <c r="DK104" s="23" t="n">
        <f aca="false">IF(AND(BE104=1,INT(N(H104))&lt;=Config!$B$5,DC104=1),1,0)</f>
        <v>0</v>
      </c>
      <c r="DL104" s="23" t="n">
        <f aca="false">IF(AND(BC104=1,INT(N(H104))&lt;=Config!$B$6,CZ104=0),1,0)</f>
        <v>0</v>
      </c>
      <c r="DM104" s="23" t="n">
        <f aca="false">IF(AND(BC104=1,INT(N(H104))&lt;=Config!$B$7,DA104=0),1,0)</f>
        <v>0</v>
      </c>
      <c r="DN104" s="23" t="n">
        <f aca="false">IF(AND(BC104=1,INT(N(H104))&lt;=Config!$B$8,DB104=0),1,0)</f>
        <v>0</v>
      </c>
      <c r="DO104" s="23" t="n">
        <f aca="false">IF(AND(BC104=1,INT(N(H104))&lt;=Config!$B$5,DC104=0),1,0)</f>
        <v>0</v>
      </c>
      <c r="DP104" s="23" t="n">
        <f aca="false">IF(TRIM($A104)="",0,ISTEXT(K104)+ISTEXT(L104)+ISTEXT(R104)+ISTEXT(V104)+ISTEXT(AP104)+ISTEXT(AS104))</f>
        <v>0</v>
      </c>
      <c r="DQ104" s="23" t="n">
        <f aca="false">IF(AY104=1,IF(H104&lt;&gt;INT(H104),1,0),0)</f>
        <v>0</v>
      </c>
      <c r="DR104" s="23" t="str">
        <f aca="false">IF(TRIM($A104)="","",IF(TRIM(B104)="",SUBSTITUTE(SUBSTITUTE(SUBSTITUTE(SUBSTITUTE(SUBSTITUTE(SUBSTITUTE(LOWER(TRIM($A104)),"~",""),"*",""),"?",""),"&lt;",""),"&gt;",""),"=",""),SUBSTITUTE(SUBSTITUTE(SUBSTITUTE(SUBSTITUTE(SUBSTITUTE(SUBSTITUTE(LOWER(TRIM(B104)),"~",""),"*",""),"?",""),"&lt;",""),"&gt;",""),"=","")))</f>
        <v/>
      </c>
      <c r="DS104" s="23" t="str">
        <f aca="false">IF(CM104="","",IFERROR(IF(LEFT(LOWER(TRIM(INDEX(Clay_Brands!$A$2:$FZ$601,CM104,Sync!$D$19)&amp;"")),4)="grp-",SUBSTITUTE(SUBSTITUTE(SUBSTITUTE(SUBSTITUTE(SUBSTITUTE(SUBSTITUTE(LOWER(TRIM(INDEX(Clay_Brands!$A$2:$FZ$601,CM104,Sync!$D$19)&amp;"")),"~",""),"*",""),"?",""),"&lt;",""),"&gt;",""),"=",""),""),""))</f>
        <v/>
      </c>
      <c r="DT104" s="23" t="str">
        <f aca="false">IF(DS104&lt;&gt;"",DR104,"")</f>
        <v/>
      </c>
      <c r="DU104" s="23" t="str">
        <f aca="false">IF(AZ104=1,AW104,"")</f>
        <v/>
      </c>
      <c r="DV104" s="23" t="str">
        <f aca="false">IF(TRIM($A104)="","",IFERROR(INDEX($A$2:$A$201,MATCH(AW104,$DU$2:$DU$201,0))&amp;"",$A104&amp;""))</f>
        <v/>
      </c>
      <c r="DW104" s="23" t="n">
        <f aca="false">IF(AY104=1,IF(COUNTIFS($A$2:$A$201,$A104,$AY$2:$AY$201,1,$H$2:$H$201,"&lt;"&amp;H104)+COUNTIFS($A$2:$A$201,$A104,$AY$2:$AY$201,1,$H$2:$H$201,H104,$AX$2:$AX$201,"&lt;"&amp;AX104)=0,1,0),0)</f>
        <v>0</v>
      </c>
      <c r="DX104" s="23" t="n">
        <f aca="false">IF(AZ104=1,IF(COUNTIFS($AW$2:$AW$201,AW104,$DW$2:$DW$201,1)&gt;1,1,0),0)</f>
        <v>0</v>
      </c>
    </row>
    <row r="105" customFormat="false" ht="15" hidden="false" customHeight="false" outlineLevel="0" collapsed="false">
      <c r="G105" s="32"/>
      <c r="H105" s="33"/>
      <c r="I105" s="32"/>
      <c r="O105" s="32"/>
      <c r="P105" s="32"/>
      <c r="U105" s="32"/>
      <c r="Y105" s="32"/>
      <c r="AB105" s="32"/>
      <c r="AC105" s="32"/>
      <c r="AD105" s="32"/>
      <c r="AE105" s="32"/>
      <c r="AF105" s="32"/>
      <c r="AG105" s="32"/>
      <c r="AI105" s="32"/>
      <c r="AJ105" s="32"/>
      <c r="AK105" s="32"/>
      <c r="AN105" s="32"/>
      <c r="AO105" s="32"/>
      <c r="AR105" s="32"/>
      <c r="AT105" s="32"/>
      <c r="AV105" s="34" t="str">
        <f aca="false">IF(TRIM($A105)="","",IF(AND(LEFT($A105,6)="SAMPLE",Config!$B$19&lt;&gt;"Y"),"",IF(NOT(ISNUMBER(H105)),"call_date is blank or not a date",IF(Sync!$D$5="","Clay paste is empty or has no row_id column: paste the Clay export on Clay_Brands",IF(CM105="","row_id not found in the Clay paste: add the Clay row or fix the row_id",IF(AND(ISNUMBER(CO105),CO105&gt;=1,CO105&lt;=5),"Clay status is "&amp;CN105&amp;": set call_done or later",IF(AND(BA105=1,CP105&lt;&gt;CB105),"Clay yes_in_principle should be "&amp;CB105,IF(AND(BA105=1,CQ105&lt;&gt;H105),"Clay call_date should be "&amp;TEXT(H105,"yyyy-mm-dd"),""))))))))</f>
        <v/>
      </c>
      <c r="AW105" s="23" t="str">
        <f aca="false">IF(TRIM($A105)="","",IF(TRIM(C105)&lt;&gt;"",SUBSTITUTE(SUBSTITUTE(SUBSTITUTE(SUBSTITUTE(SUBSTITUTE(SUBSTITUTE(LOWER(TRIM(C105)),"~",""),"*",""),"?",""),"&lt;",""),"&gt;",""),"=",""),IF(DS105&lt;&gt;"",DS105,IFERROR(INDEX($DS$2:$DS$201,MATCH(DR105,$DT$2:$DT$201,0)),DR105))))</f>
        <v/>
      </c>
      <c r="AX105" s="23" t="n">
        <f aca="false">ROW()</f>
        <v>105</v>
      </c>
      <c r="AY105" s="23" t="n">
        <f aca="false">IF(AND(TRIM($A105)&lt;&gt;"",ISNUMBER(H105)),IF(AND(LEFT($A105,6)="SAMPLE",Config!$B$19&lt;&gt;"Y"),0,1),0)</f>
        <v>0</v>
      </c>
      <c r="AZ105" s="23" t="n">
        <f aca="false">IF(AY105=1,IF(COUNTIFS($AW$2:$AW$201,AW105,$AY$2:$AY$201,1,$H$2:$H$201,"&lt;"&amp;H105)+COUNTIFS($AW$2:$AW$201,AW105,$AY$2:$AY$201,1,$H$2:$H$201,H105,$AX$2:$AX$201,"&lt;"&amp;AX105)=0,1,0),0)</f>
        <v>0</v>
      </c>
      <c r="BA105" s="23" t="n">
        <f aca="false">IF(AY105=1,IF(COUNTIFS($A$2:$A$201,$A105,$AY$2:$AY$201,1,$H$2:$H$201,"&gt;"&amp;H105)+COUNTIFS($A$2:$A$201,$A105,$AY$2:$AY$201,1,$H$2:$H$201,H105,$AX$2:$AX$201,"&gt;"&amp;AX105)=0,1,0),0)</f>
        <v>0</v>
      </c>
      <c r="BB105" s="23" t="n">
        <f aca="false">IF(AND(AY105=1,O105="Y",MAX(N(R105),N(V105))&gt;=Config!$B$14),1,0)</f>
        <v>0</v>
      </c>
      <c r="BC105" s="23" t="n">
        <f aca="false">IF(BB105=1,IF(COUNTIFS($AW$2:$AW$201,AW105,$BB$2:$BB$201,1,$H$2:$H$201,"&lt;"&amp;H105)+COUNTIFS($AW$2:$AW$201,AW105,$BB$2:$BB$201,1,$H$2:$H$201,H105,$AX$2:$AX$201,"&lt;"&amp;AX105)=0,1,0),0)</f>
        <v>0</v>
      </c>
      <c r="BD105" s="23" t="n">
        <f aca="false">IF(AND(AY105=1,O105="Y",ISNUMBER(R105)),IF(R105&gt;=Config!$B$14,1,0),0)</f>
        <v>0</v>
      </c>
      <c r="BE105" s="23" t="n">
        <f aca="false">IF(BD105=1,IF(COUNTIFS($AW$2:$AW$201,AW105,$BD$2:$BD$201,1,$H$2:$H$201,"&lt;"&amp;H105)+COUNTIFS($AW$2:$AW$201,AW105,$BD$2:$BD$201,1,$H$2:$H$201,H105,$AX$2:$AX$201,"&lt;"&amp;AX105)=0,1,0),0)</f>
        <v>0</v>
      </c>
      <c r="BF105" s="23" t="n">
        <f aca="false">IF(AND(AY105=1,O105&lt;&gt;"Y",MAX(N(R105),N(V105))&gt;=Config!$B$14),1,0)</f>
        <v>0</v>
      </c>
      <c r="BG105" s="23" t="n">
        <f aca="false">IF(BF105=1,IF(COUNTIFS($AW$2:$AW$201,AW105,$BF$2:$BF$201,1,$H$2:$H$201,"&lt;"&amp;H105)+COUNTIFS($AW$2:$AW$201,AW105,$BF$2:$BF$201,1,$H$2:$H$201,H105,$AX$2:$AX$201,"&lt;"&amp;AX105)=0,1,0),0)</f>
        <v>0</v>
      </c>
      <c r="BH105" s="23" t="n">
        <f aca="false">IF(AND(AY105=1,ISNUMBER(R105)),1,0)</f>
        <v>0</v>
      </c>
      <c r="BI105" s="23" t="n">
        <f aca="false">IF(BH105=1,IF(COUNTIFS($AW$2:$AW$201,AW105,$BH$2:$BH$201,1,$H$2:$H$201,"&lt;"&amp;H105)+COUNTIFS($AW$2:$AW$201,AW105,$BH$2:$BH$201,1,$H$2:$H$201,H105,$AX$2:$AX$201,"&lt;"&amp;AX105)=0,1,0),0)</f>
        <v>0</v>
      </c>
      <c r="BJ105" s="23" t="str">
        <f aca="false">IF(AND(BI105=1,INT(N(H105))&lt;=Config!$B$6),R105,"")</f>
        <v/>
      </c>
      <c r="BK105" s="23" t="str">
        <f aca="false">IF(AND(BI105=1,INT(N(H105))&lt;=Config!$B$7),R105,"")</f>
        <v/>
      </c>
      <c r="BL105" s="23" t="str">
        <f aca="false">IF(AND(BI105=1,INT(N(H105))&lt;=Config!$B$8),R105,"")</f>
        <v/>
      </c>
      <c r="BM105" s="23" t="str">
        <f aca="false">IF(AND(BI105=1,INT(N(H105))&lt;=Config!$B$5),R105,"")</f>
        <v/>
      </c>
      <c r="BN105" s="23" t="n">
        <f aca="false">IF(AND(AY105=1,ISNUMBER(V105)),1,0)</f>
        <v>0</v>
      </c>
      <c r="BO105" s="23" t="n">
        <f aca="false">IF(BN105=1,IF(COUNTIFS($AW$2:$AW$201,AW105,$BN$2:$BN$201,1,$H$2:$H$201,"&lt;"&amp;H105)+COUNTIFS($AW$2:$AW$201,AW105,$BN$2:$BN$201,1,$H$2:$H$201,H105,$AX$2:$AX$201,"&lt;"&amp;AX105)=0,1,0),0)</f>
        <v>0</v>
      </c>
      <c r="BP105" s="23" t="str">
        <f aca="false">IF(AND(BO105=1,INT(N(H105))&lt;=Config!$B$6),V105,"")</f>
        <v/>
      </c>
      <c r="BQ105" s="23" t="str">
        <f aca="false">IF(AND(BO105=1,INT(N(H105))&lt;=Config!$B$7),V105,"")</f>
        <v/>
      </c>
      <c r="BR105" s="23" t="str">
        <f aca="false">IF(AND(BO105=1,INT(N(H105))&lt;=Config!$B$8),V105,"")</f>
        <v/>
      </c>
      <c r="BS105" s="23" t="str">
        <f aca="false">IF(AND(BO105=1,INT(N(H105))&lt;=Config!$B$5),V105,"")</f>
        <v/>
      </c>
      <c r="BT105" s="23" t="n">
        <f aca="false">IF(AND(AY105=1,ISNUMBER(K105)),1,0)</f>
        <v>0</v>
      </c>
      <c r="BU105" s="23" t="n">
        <f aca="false">IF(BT105=1,IF(COUNTIFS($AW$2:$AW$201,AW105,$BT$2:$BT$201,1,$H$2:$H$201,"&lt;"&amp;H105)+COUNTIFS($AW$2:$AW$201,AW105,$BT$2:$BT$201,1,$H$2:$H$201,H105,$AX$2:$AX$201,"&lt;"&amp;AX105)=0,1,0),0)</f>
        <v>0</v>
      </c>
      <c r="BV105" s="23" t="str">
        <f aca="false">IF(AND(BU105=1,INT(N(H105))&lt;=Config!$B$5),K105,"")</f>
        <v/>
      </c>
      <c r="BW105" s="23" t="n">
        <f aca="false">IF(AND(AY105=1,OR(AND(ISNUMBER(R105),TRIM(S105)=""),AND(ISNUMBER(V105),TRIM(W105)=""))),1,0)</f>
        <v>0</v>
      </c>
      <c r="BX105" s="23" t="str">
        <f aca="false">IF(AY105=1,AJ105&amp;"","")</f>
        <v/>
      </c>
      <c r="BY105" s="23" t="str">
        <f aca="false">IF(AY105=1,AK105&amp;"","")</f>
        <v/>
      </c>
      <c r="BZ105" s="23" t="str">
        <f aca="false">IF(AY105=1,AL105&amp;"","")</f>
        <v/>
      </c>
      <c r="CA105" s="23" t="str">
        <f aca="false">IF(AND(AY105=1,ISNUMBER(AS105),INT(N(H105))&lt;=Config!$B$5),AS105,"")</f>
        <v/>
      </c>
      <c r="CB105" s="23" t="str">
        <f aca="false">IF(AY105=1,IF(COUNTIFS($A$2:$A$201,$A105,$CU$2:$CU$201,1,$AN$2:$AN$201,"Y")&gt;0,"Y","N"),"")</f>
        <v/>
      </c>
      <c r="CC105" s="23" t="n">
        <f aca="false">IF(AND(AY105=1,AN105="Y"),IF(COUNTIFS($AW$2:$AW$201,AW105,$AN$2:$AN$201,"Y",$AY$2:$AY$201,1,$H$2:$H$201,"&lt;"&amp;H105)+COUNTIFS($AW$2:$AW$201,AW105,$AN$2:$AN$201,"Y",$AY$2:$AY$201,1,$H$2:$H$201,H105,$AX$2:$AX$201,"&lt;"&amp;AX105)=0,1,0),0)</f>
        <v>0</v>
      </c>
      <c r="CD105" s="23" t="n">
        <f aca="false">IF(AND(AY105=1,AB105="Y",AC105="Y",AD105="Y",AE105="Y",AF105="Y",AG105="Y",AI105="Y",TRIM(AH105)&lt;&gt;""),1,0)</f>
        <v>0</v>
      </c>
      <c r="CE105" s="23" t="n">
        <f aca="false">IF(CD105=1,IF(COUNTIFS($AW$2:$AW$201,AW105,$CD$2:$CD$201,1,$H$2:$H$201,"&lt;"&amp;H105)+COUNTIFS($AW$2:$AW$201,AW105,$CD$2:$CD$201,1,$H$2:$H$201,H105,$AX$2:$AX$201,"&lt;"&amp;AX105)=0,1,0),0)</f>
        <v>0</v>
      </c>
      <c r="CF105" s="23" t="n">
        <f aca="false">IF(AND(AY105=1,AO105="Y"),1,0)</f>
        <v>0</v>
      </c>
      <c r="CG105" s="23" t="n">
        <f aca="false">IF(CF105=1,IF(COUNTIFS($AW$2:$AW$201,AW105,$CF$2:$CF$201,1,$H$2:$H$201,"&lt;"&amp;H105)+COUNTIFS($AW$2:$AW$201,AW105,$CF$2:$CF$201,1,$H$2:$H$201,H105,$AX$2:$AX$201,"&lt;"&amp;AX105)=0,1,0),0)</f>
        <v>0</v>
      </c>
      <c r="CH105" s="23" t="n">
        <f aca="false">IF(AND(AY105=1,P105="Y"),1,0)</f>
        <v>0</v>
      </c>
      <c r="CI105" s="23" t="n">
        <f aca="false">IF(CH105=1,IF(COUNTIFS($AW$2:$AW$201,AW105,$CH$2:$CH$201,1,$H$2:$H$201,"&lt;"&amp;H105)+COUNTIFS($AW$2:$AW$201,AW105,$CH$2:$CH$201,1,$H$2:$H$201,H105,$AX$2:$AX$201,"&lt;"&amp;AX105)=0,1,0),0)</f>
        <v>0</v>
      </c>
      <c r="CJ105" s="23" t="str">
        <f aca="false">IF(AND(BU105=1,INT(N(H105))&lt;=Config!$B$5),L105,"")</f>
        <v/>
      </c>
      <c r="CK105" s="23" t="n">
        <f aca="false">IF(AND(AY105=1,AR105="Y"),1,0)</f>
        <v>0</v>
      </c>
      <c r="CL105" s="23" t="n">
        <f aca="false">IF(CK105=1,IF(COUNTIFS($AW$2:$AW$201,AW105,$CK$2:$CK$201,1,$H$2:$H$201,"&lt;"&amp;H105)+COUNTIFS($AW$2:$AW$201,AW105,$CK$2:$CK$201,1,$H$2:$H$201,H105,$AX$2:$AX$201,"&lt;"&amp;AX105)=0,1,0),0)</f>
        <v>0</v>
      </c>
      <c r="CM105" s="23" t="str">
        <f aca="false">IF(AY105=1,IFERROR(MATCH($A105,INDEX(Clay_Brands!$A$2:$FZ$601,0,Sync!$D$5),0),""),"")</f>
        <v/>
      </c>
      <c r="CN105" s="23" t="str">
        <f aca="false">IF(CM105="","",IFERROR(INDEX(Clay_Brands!$A$2:$FZ$601,CM105,Sync!$D$7)&amp;"",""))</f>
        <v/>
      </c>
      <c r="CO105" s="23" t="str">
        <f aca="false">IF(CN105="","",IFERROR(INDEX(Lists!$K$2:$K$15,MATCH(CN105,Lists!$J$2:$J$15,0)),""))</f>
        <v/>
      </c>
      <c r="CP105" s="23" t="str">
        <f aca="false">IF(CM105="","",IFERROR(INDEX(Clay_Brands!$A$2:$FZ$601,CM105,Sync!$D$17)&amp;"",""))</f>
        <v/>
      </c>
      <c r="CQ105" s="35" t="str">
        <f aca="false">IF(CM105="","",IFERROR(N(INDEX(Clay_Brands!$A$2:$FZ$601,CM105,Sync!$D$16)),0))</f>
        <v/>
      </c>
      <c r="CR105" s="23" t="n">
        <f aca="false">IF(AND(AY105=1,OR(O105="N",AND(OR(ISNUMBER(R105),ISNUMBER(V105)),MAX(N(R105),N(V105))&lt;Config!$B$14))),1,0)</f>
        <v>0</v>
      </c>
      <c r="CS105" s="23" t="n">
        <f aca="false">IF(OR(BB105=1,CR105=1),1,0)</f>
        <v>0</v>
      </c>
      <c r="CT105" s="23" t="n">
        <f aca="false">IF(AND(AY105=1,OR(AN105="Y",AN105="N",AN105="maybe")),1,0)</f>
        <v>0</v>
      </c>
      <c r="CU105" s="23" t="n">
        <f aca="false">IF(AND(CT105=1),IF(COUNTIFS($A$2:$A$201,$A105,$CT$2:$CT$201,1,$H$2:$H$201,"&gt;"&amp;H105)+COUNTIFS($A$2:$A$201,$A105,$CT$2:$CT$201,1,$H$2:$H$201,H105,$AX$2:$AX$201,"&gt;"&amp;AX105)=0,1,0),0)</f>
        <v>0</v>
      </c>
      <c r="CV105" s="23" t="n">
        <f aca="false">IF(AND(CS105=1,INT(N(H105))&lt;=Config!$B$6),IF(COUNTIFS($AW$2:$AW$201,AW105,$CS$2:$CS$201,1,$H$2:$H$201,"&gt;"&amp;H105,$H$2:$H$201,"&lt;"&amp;(Config!$B$6+1))+COUNTIFS($AW$2:$AW$201,AW105,$CS$2:$CS$201,1,$H$2:$H$201,H105,$AX$2:$AX$201,"&gt;"&amp;AX105)=0,1,0),0)</f>
        <v>0</v>
      </c>
      <c r="CW105" s="23" t="n">
        <f aca="false">IF(AND(CS105=1,INT(N(H105))&lt;=Config!$B$7),IF(COUNTIFS($AW$2:$AW$201,AW105,$CS$2:$CS$201,1,$H$2:$H$201,"&gt;"&amp;H105,$H$2:$H$201,"&lt;"&amp;(Config!$B$7+1))+COUNTIFS($AW$2:$AW$201,AW105,$CS$2:$CS$201,1,$H$2:$H$201,H105,$AX$2:$AX$201,"&gt;"&amp;AX105)=0,1,0),0)</f>
        <v>0</v>
      </c>
      <c r="CX105" s="23" t="n">
        <f aca="false">IF(AND(CS105=1,INT(N(H105))&lt;=Config!$B$8),IF(COUNTIFS($AW$2:$AW$201,AW105,$CS$2:$CS$201,1,$H$2:$H$201,"&gt;"&amp;H105,$H$2:$H$201,"&lt;"&amp;(Config!$B$8+1))+COUNTIFS($AW$2:$AW$201,AW105,$CS$2:$CS$201,1,$H$2:$H$201,H105,$AX$2:$AX$201,"&gt;"&amp;AX105)=0,1,0),0)</f>
        <v>0</v>
      </c>
      <c r="CY105" s="23" t="n">
        <f aca="false">IF(AND(CS105=1,INT(N(H105))&lt;=Config!$B$5),IF(COUNTIFS($AW$2:$AW$201,AW105,$CS$2:$CS$201,1,$H$2:$H$201,"&gt;"&amp;H105,$H$2:$H$201,"&lt;"&amp;(Config!$B$5+1))+COUNTIFS($AW$2:$AW$201,AW105,$CS$2:$CS$201,1,$H$2:$H$201,H105,$AX$2:$AX$201,"&gt;"&amp;AX105)=0,1,0),0)</f>
        <v>0</v>
      </c>
      <c r="CZ105" s="23" t="n">
        <f aca="false">IF(AY105=1,IF(COUNTIFS($AW$2:$AW$201,AW105,$CV$2:$CV$201,1,$BB$2:$BB$201,1)&gt;0,1,0),0)</f>
        <v>0</v>
      </c>
      <c r="DA105" s="23" t="n">
        <f aca="false">IF(AY105=1,IF(COUNTIFS($AW$2:$AW$201,AW105,$CW$2:$CW$201,1,$BB$2:$BB$201,1)&gt;0,1,0),0)</f>
        <v>0</v>
      </c>
      <c r="DB105" s="23" t="n">
        <f aca="false">IF(AY105=1,IF(COUNTIFS($AW$2:$AW$201,AW105,$CX$2:$CX$201,1,$BB$2:$BB$201,1)&gt;0,1,0),0)</f>
        <v>0</v>
      </c>
      <c r="DC105" s="23" t="n">
        <f aca="false">IF(AY105=1,IF(COUNTIFS($AW$2:$AW$201,AW105,$CY$2:$CY$201,1,$BB$2:$BB$201,1)&gt;0,1,0),0)</f>
        <v>0</v>
      </c>
      <c r="DD105" s="23" t="n">
        <f aca="false">IF(AND(BC105=1,INT(N(H105))&lt;=Config!$B$6,CZ105=1),1,0)</f>
        <v>0</v>
      </c>
      <c r="DE105" s="23" t="n">
        <f aca="false">IF(AND(BC105=1,INT(N(H105))&lt;=Config!$B$7,DA105=1),1,0)</f>
        <v>0</v>
      </c>
      <c r="DF105" s="23" t="n">
        <f aca="false">IF(AND(BC105=1,INT(N(H105))&lt;=Config!$B$8,DB105=1),1,0)</f>
        <v>0</v>
      </c>
      <c r="DG105" s="23" t="n">
        <f aca="false">IF(AND(BC105=1,INT(N(H105))&lt;=Config!$B$5,DC105=1),1,0)</f>
        <v>0</v>
      </c>
      <c r="DH105" s="23" t="n">
        <f aca="false">IF(AND(BE105=1,INT(N(H105))&lt;=Config!$B$6,CZ105=1),1,0)</f>
        <v>0</v>
      </c>
      <c r="DI105" s="23" t="n">
        <f aca="false">IF(AND(BE105=1,INT(N(H105))&lt;=Config!$B$7,DA105=1),1,0)</f>
        <v>0</v>
      </c>
      <c r="DJ105" s="23" t="n">
        <f aca="false">IF(AND(BE105=1,INT(N(H105))&lt;=Config!$B$8,DB105=1),1,0)</f>
        <v>0</v>
      </c>
      <c r="DK105" s="23" t="n">
        <f aca="false">IF(AND(BE105=1,INT(N(H105))&lt;=Config!$B$5,DC105=1),1,0)</f>
        <v>0</v>
      </c>
      <c r="DL105" s="23" t="n">
        <f aca="false">IF(AND(BC105=1,INT(N(H105))&lt;=Config!$B$6,CZ105=0),1,0)</f>
        <v>0</v>
      </c>
      <c r="DM105" s="23" t="n">
        <f aca="false">IF(AND(BC105=1,INT(N(H105))&lt;=Config!$B$7,DA105=0),1,0)</f>
        <v>0</v>
      </c>
      <c r="DN105" s="23" t="n">
        <f aca="false">IF(AND(BC105=1,INT(N(H105))&lt;=Config!$B$8,DB105=0),1,0)</f>
        <v>0</v>
      </c>
      <c r="DO105" s="23" t="n">
        <f aca="false">IF(AND(BC105=1,INT(N(H105))&lt;=Config!$B$5,DC105=0),1,0)</f>
        <v>0</v>
      </c>
      <c r="DP105" s="23" t="n">
        <f aca="false">IF(TRIM($A105)="",0,ISTEXT(K105)+ISTEXT(L105)+ISTEXT(R105)+ISTEXT(V105)+ISTEXT(AP105)+ISTEXT(AS105))</f>
        <v>0</v>
      </c>
      <c r="DQ105" s="23" t="n">
        <f aca="false">IF(AY105=1,IF(H105&lt;&gt;INT(H105),1,0),0)</f>
        <v>0</v>
      </c>
      <c r="DR105" s="23" t="str">
        <f aca="false">IF(TRIM($A105)="","",IF(TRIM(B105)="",SUBSTITUTE(SUBSTITUTE(SUBSTITUTE(SUBSTITUTE(SUBSTITUTE(SUBSTITUTE(LOWER(TRIM($A105)),"~",""),"*",""),"?",""),"&lt;",""),"&gt;",""),"=",""),SUBSTITUTE(SUBSTITUTE(SUBSTITUTE(SUBSTITUTE(SUBSTITUTE(SUBSTITUTE(LOWER(TRIM(B105)),"~",""),"*",""),"?",""),"&lt;",""),"&gt;",""),"=","")))</f>
        <v/>
      </c>
      <c r="DS105" s="23" t="str">
        <f aca="false">IF(CM105="","",IFERROR(IF(LEFT(LOWER(TRIM(INDEX(Clay_Brands!$A$2:$FZ$601,CM105,Sync!$D$19)&amp;"")),4)="grp-",SUBSTITUTE(SUBSTITUTE(SUBSTITUTE(SUBSTITUTE(SUBSTITUTE(SUBSTITUTE(LOWER(TRIM(INDEX(Clay_Brands!$A$2:$FZ$601,CM105,Sync!$D$19)&amp;"")),"~",""),"*",""),"?",""),"&lt;",""),"&gt;",""),"=",""),""),""))</f>
        <v/>
      </c>
      <c r="DT105" s="23" t="str">
        <f aca="false">IF(DS105&lt;&gt;"",DR105,"")</f>
        <v/>
      </c>
      <c r="DU105" s="23" t="str">
        <f aca="false">IF(AZ105=1,AW105,"")</f>
        <v/>
      </c>
      <c r="DV105" s="23" t="str">
        <f aca="false">IF(TRIM($A105)="","",IFERROR(INDEX($A$2:$A$201,MATCH(AW105,$DU$2:$DU$201,0))&amp;"",$A105&amp;""))</f>
        <v/>
      </c>
      <c r="DW105" s="23" t="n">
        <f aca="false">IF(AY105=1,IF(COUNTIFS($A$2:$A$201,$A105,$AY$2:$AY$201,1,$H$2:$H$201,"&lt;"&amp;H105)+COUNTIFS($A$2:$A$201,$A105,$AY$2:$AY$201,1,$H$2:$H$201,H105,$AX$2:$AX$201,"&lt;"&amp;AX105)=0,1,0),0)</f>
        <v>0</v>
      </c>
      <c r="DX105" s="23" t="n">
        <f aca="false">IF(AZ105=1,IF(COUNTIFS($AW$2:$AW$201,AW105,$DW$2:$DW$201,1)&gt;1,1,0),0)</f>
        <v>0</v>
      </c>
    </row>
    <row r="106" customFormat="false" ht="15" hidden="false" customHeight="false" outlineLevel="0" collapsed="false">
      <c r="G106" s="32"/>
      <c r="H106" s="33"/>
      <c r="I106" s="32"/>
      <c r="O106" s="32"/>
      <c r="P106" s="32"/>
      <c r="U106" s="32"/>
      <c r="Y106" s="32"/>
      <c r="AB106" s="32"/>
      <c r="AC106" s="32"/>
      <c r="AD106" s="32"/>
      <c r="AE106" s="32"/>
      <c r="AF106" s="32"/>
      <c r="AG106" s="32"/>
      <c r="AI106" s="32"/>
      <c r="AJ106" s="32"/>
      <c r="AK106" s="32"/>
      <c r="AN106" s="32"/>
      <c r="AO106" s="32"/>
      <c r="AR106" s="32"/>
      <c r="AT106" s="32"/>
      <c r="AV106" s="34" t="str">
        <f aca="false">IF(TRIM($A106)="","",IF(AND(LEFT($A106,6)="SAMPLE",Config!$B$19&lt;&gt;"Y"),"",IF(NOT(ISNUMBER(H106)),"call_date is blank or not a date",IF(Sync!$D$5="","Clay paste is empty or has no row_id column: paste the Clay export on Clay_Brands",IF(CM106="","row_id not found in the Clay paste: add the Clay row or fix the row_id",IF(AND(ISNUMBER(CO106),CO106&gt;=1,CO106&lt;=5),"Clay status is "&amp;CN106&amp;": set call_done or later",IF(AND(BA106=1,CP106&lt;&gt;CB106),"Clay yes_in_principle should be "&amp;CB106,IF(AND(BA106=1,CQ106&lt;&gt;H106),"Clay call_date should be "&amp;TEXT(H106,"yyyy-mm-dd"),""))))))))</f>
        <v/>
      </c>
      <c r="AW106" s="23" t="str">
        <f aca="false">IF(TRIM($A106)="","",IF(TRIM(C106)&lt;&gt;"",SUBSTITUTE(SUBSTITUTE(SUBSTITUTE(SUBSTITUTE(SUBSTITUTE(SUBSTITUTE(LOWER(TRIM(C106)),"~",""),"*",""),"?",""),"&lt;",""),"&gt;",""),"=",""),IF(DS106&lt;&gt;"",DS106,IFERROR(INDEX($DS$2:$DS$201,MATCH(DR106,$DT$2:$DT$201,0)),DR106))))</f>
        <v/>
      </c>
      <c r="AX106" s="23" t="n">
        <f aca="false">ROW()</f>
        <v>106</v>
      </c>
      <c r="AY106" s="23" t="n">
        <f aca="false">IF(AND(TRIM($A106)&lt;&gt;"",ISNUMBER(H106)),IF(AND(LEFT($A106,6)="SAMPLE",Config!$B$19&lt;&gt;"Y"),0,1),0)</f>
        <v>0</v>
      </c>
      <c r="AZ106" s="23" t="n">
        <f aca="false">IF(AY106=1,IF(COUNTIFS($AW$2:$AW$201,AW106,$AY$2:$AY$201,1,$H$2:$H$201,"&lt;"&amp;H106)+COUNTIFS($AW$2:$AW$201,AW106,$AY$2:$AY$201,1,$H$2:$H$201,H106,$AX$2:$AX$201,"&lt;"&amp;AX106)=0,1,0),0)</f>
        <v>0</v>
      </c>
      <c r="BA106" s="23" t="n">
        <f aca="false">IF(AY106=1,IF(COUNTIFS($A$2:$A$201,$A106,$AY$2:$AY$201,1,$H$2:$H$201,"&gt;"&amp;H106)+COUNTIFS($A$2:$A$201,$A106,$AY$2:$AY$201,1,$H$2:$H$201,H106,$AX$2:$AX$201,"&gt;"&amp;AX106)=0,1,0),0)</f>
        <v>0</v>
      </c>
      <c r="BB106" s="23" t="n">
        <f aca="false">IF(AND(AY106=1,O106="Y",MAX(N(R106),N(V106))&gt;=Config!$B$14),1,0)</f>
        <v>0</v>
      </c>
      <c r="BC106" s="23" t="n">
        <f aca="false">IF(BB106=1,IF(COUNTIFS($AW$2:$AW$201,AW106,$BB$2:$BB$201,1,$H$2:$H$201,"&lt;"&amp;H106)+COUNTIFS($AW$2:$AW$201,AW106,$BB$2:$BB$201,1,$H$2:$H$201,H106,$AX$2:$AX$201,"&lt;"&amp;AX106)=0,1,0),0)</f>
        <v>0</v>
      </c>
      <c r="BD106" s="23" t="n">
        <f aca="false">IF(AND(AY106=1,O106="Y",ISNUMBER(R106)),IF(R106&gt;=Config!$B$14,1,0),0)</f>
        <v>0</v>
      </c>
      <c r="BE106" s="23" t="n">
        <f aca="false">IF(BD106=1,IF(COUNTIFS($AW$2:$AW$201,AW106,$BD$2:$BD$201,1,$H$2:$H$201,"&lt;"&amp;H106)+COUNTIFS($AW$2:$AW$201,AW106,$BD$2:$BD$201,1,$H$2:$H$201,H106,$AX$2:$AX$201,"&lt;"&amp;AX106)=0,1,0),0)</f>
        <v>0</v>
      </c>
      <c r="BF106" s="23" t="n">
        <f aca="false">IF(AND(AY106=1,O106&lt;&gt;"Y",MAX(N(R106),N(V106))&gt;=Config!$B$14),1,0)</f>
        <v>0</v>
      </c>
      <c r="BG106" s="23" t="n">
        <f aca="false">IF(BF106=1,IF(COUNTIFS($AW$2:$AW$201,AW106,$BF$2:$BF$201,1,$H$2:$H$201,"&lt;"&amp;H106)+COUNTIFS($AW$2:$AW$201,AW106,$BF$2:$BF$201,1,$H$2:$H$201,H106,$AX$2:$AX$201,"&lt;"&amp;AX106)=0,1,0),0)</f>
        <v>0</v>
      </c>
      <c r="BH106" s="23" t="n">
        <f aca="false">IF(AND(AY106=1,ISNUMBER(R106)),1,0)</f>
        <v>0</v>
      </c>
      <c r="BI106" s="23" t="n">
        <f aca="false">IF(BH106=1,IF(COUNTIFS($AW$2:$AW$201,AW106,$BH$2:$BH$201,1,$H$2:$H$201,"&lt;"&amp;H106)+COUNTIFS($AW$2:$AW$201,AW106,$BH$2:$BH$201,1,$H$2:$H$201,H106,$AX$2:$AX$201,"&lt;"&amp;AX106)=0,1,0),0)</f>
        <v>0</v>
      </c>
      <c r="BJ106" s="23" t="str">
        <f aca="false">IF(AND(BI106=1,INT(N(H106))&lt;=Config!$B$6),R106,"")</f>
        <v/>
      </c>
      <c r="BK106" s="23" t="str">
        <f aca="false">IF(AND(BI106=1,INT(N(H106))&lt;=Config!$B$7),R106,"")</f>
        <v/>
      </c>
      <c r="BL106" s="23" t="str">
        <f aca="false">IF(AND(BI106=1,INT(N(H106))&lt;=Config!$B$8),R106,"")</f>
        <v/>
      </c>
      <c r="BM106" s="23" t="str">
        <f aca="false">IF(AND(BI106=1,INT(N(H106))&lt;=Config!$B$5),R106,"")</f>
        <v/>
      </c>
      <c r="BN106" s="23" t="n">
        <f aca="false">IF(AND(AY106=1,ISNUMBER(V106)),1,0)</f>
        <v>0</v>
      </c>
      <c r="BO106" s="23" t="n">
        <f aca="false">IF(BN106=1,IF(COUNTIFS($AW$2:$AW$201,AW106,$BN$2:$BN$201,1,$H$2:$H$201,"&lt;"&amp;H106)+COUNTIFS($AW$2:$AW$201,AW106,$BN$2:$BN$201,1,$H$2:$H$201,H106,$AX$2:$AX$201,"&lt;"&amp;AX106)=0,1,0),0)</f>
        <v>0</v>
      </c>
      <c r="BP106" s="23" t="str">
        <f aca="false">IF(AND(BO106=1,INT(N(H106))&lt;=Config!$B$6),V106,"")</f>
        <v/>
      </c>
      <c r="BQ106" s="23" t="str">
        <f aca="false">IF(AND(BO106=1,INT(N(H106))&lt;=Config!$B$7),V106,"")</f>
        <v/>
      </c>
      <c r="BR106" s="23" t="str">
        <f aca="false">IF(AND(BO106=1,INT(N(H106))&lt;=Config!$B$8),V106,"")</f>
        <v/>
      </c>
      <c r="BS106" s="23" t="str">
        <f aca="false">IF(AND(BO106=1,INT(N(H106))&lt;=Config!$B$5),V106,"")</f>
        <v/>
      </c>
      <c r="BT106" s="23" t="n">
        <f aca="false">IF(AND(AY106=1,ISNUMBER(K106)),1,0)</f>
        <v>0</v>
      </c>
      <c r="BU106" s="23" t="n">
        <f aca="false">IF(BT106=1,IF(COUNTIFS($AW$2:$AW$201,AW106,$BT$2:$BT$201,1,$H$2:$H$201,"&lt;"&amp;H106)+COUNTIFS($AW$2:$AW$201,AW106,$BT$2:$BT$201,1,$H$2:$H$201,H106,$AX$2:$AX$201,"&lt;"&amp;AX106)=0,1,0),0)</f>
        <v>0</v>
      </c>
      <c r="BV106" s="23" t="str">
        <f aca="false">IF(AND(BU106=1,INT(N(H106))&lt;=Config!$B$5),K106,"")</f>
        <v/>
      </c>
      <c r="BW106" s="23" t="n">
        <f aca="false">IF(AND(AY106=1,OR(AND(ISNUMBER(R106),TRIM(S106)=""),AND(ISNUMBER(V106),TRIM(W106)=""))),1,0)</f>
        <v>0</v>
      </c>
      <c r="BX106" s="23" t="str">
        <f aca="false">IF(AY106=1,AJ106&amp;"","")</f>
        <v/>
      </c>
      <c r="BY106" s="23" t="str">
        <f aca="false">IF(AY106=1,AK106&amp;"","")</f>
        <v/>
      </c>
      <c r="BZ106" s="23" t="str">
        <f aca="false">IF(AY106=1,AL106&amp;"","")</f>
        <v/>
      </c>
      <c r="CA106" s="23" t="str">
        <f aca="false">IF(AND(AY106=1,ISNUMBER(AS106),INT(N(H106))&lt;=Config!$B$5),AS106,"")</f>
        <v/>
      </c>
      <c r="CB106" s="23" t="str">
        <f aca="false">IF(AY106=1,IF(COUNTIFS($A$2:$A$201,$A106,$CU$2:$CU$201,1,$AN$2:$AN$201,"Y")&gt;0,"Y","N"),"")</f>
        <v/>
      </c>
      <c r="CC106" s="23" t="n">
        <f aca="false">IF(AND(AY106=1,AN106="Y"),IF(COUNTIFS($AW$2:$AW$201,AW106,$AN$2:$AN$201,"Y",$AY$2:$AY$201,1,$H$2:$H$201,"&lt;"&amp;H106)+COUNTIFS($AW$2:$AW$201,AW106,$AN$2:$AN$201,"Y",$AY$2:$AY$201,1,$H$2:$H$201,H106,$AX$2:$AX$201,"&lt;"&amp;AX106)=0,1,0),0)</f>
        <v>0</v>
      </c>
      <c r="CD106" s="23" t="n">
        <f aca="false">IF(AND(AY106=1,AB106="Y",AC106="Y",AD106="Y",AE106="Y",AF106="Y",AG106="Y",AI106="Y",TRIM(AH106)&lt;&gt;""),1,0)</f>
        <v>0</v>
      </c>
      <c r="CE106" s="23" t="n">
        <f aca="false">IF(CD106=1,IF(COUNTIFS($AW$2:$AW$201,AW106,$CD$2:$CD$201,1,$H$2:$H$201,"&lt;"&amp;H106)+COUNTIFS($AW$2:$AW$201,AW106,$CD$2:$CD$201,1,$H$2:$H$201,H106,$AX$2:$AX$201,"&lt;"&amp;AX106)=0,1,0),0)</f>
        <v>0</v>
      </c>
      <c r="CF106" s="23" t="n">
        <f aca="false">IF(AND(AY106=1,AO106="Y"),1,0)</f>
        <v>0</v>
      </c>
      <c r="CG106" s="23" t="n">
        <f aca="false">IF(CF106=1,IF(COUNTIFS($AW$2:$AW$201,AW106,$CF$2:$CF$201,1,$H$2:$H$201,"&lt;"&amp;H106)+COUNTIFS($AW$2:$AW$201,AW106,$CF$2:$CF$201,1,$H$2:$H$201,H106,$AX$2:$AX$201,"&lt;"&amp;AX106)=0,1,0),0)</f>
        <v>0</v>
      </c>
      <c r="CH106" s="23" t="n">
        <f aca="false">IF(AND(AY106=1,P106="Y"),1,0)</f>
        <v>0</v>
      </c>
      <c r="CI106" s="23" t="n">
        <f aca="false">IF(CH106=1,IF(COUNTIFS($AW$2:$AW$201,AW106,$CH$2:$CH$201,1,$H$2:$H$201,"&lt;"&amp;H106)+COUNTIFS($AW$2:$AW$201,AW106,$CH$2:$CH$201,1,$H$2:$H$201,H106,$AX$2:$AX$201,"&lt;"&amp;AX106)=0,1,0),0)</f>
        <v>0</v>
      </c>
      <c r="CJ106" s="23" t="str">
        <f aca="false">IF(AND(BU106=1,INT(N(H106))&lt;=Config!$B$5),L106,"")</f>
        <v/>
      </c>
      <c r="CK106" s="23" t="n">
        <f aca="false">IF(AND(AY106=1,AR106="Y"),1,0)</f>
        <v>0</v>
      </c>
      <c r="CL106" s="23" t="n">
        <f aca="false">IF(CK106=1,IF(COUNTIFS($AW$2:$AW$201,AW106,$CK$2:$CK$201,1,$H$2:$H$201,"&lt;"&amp;H106)+COUNTIFS($AW$2:$AW$201,AW106,$CK$2:$CK$201,1,$H$2:$H$201,H106,$AX$2:$AX$201,"&lt;"&amp;AX106)=0,1,0),0)</f>
        <v>0</v>
      </c>
      <c r="CM106" s="23" t="str">
        <f aca="false">IF(AY106=1,IFERROR(MATCH($A106,INDEX(Clay_Brands!$A$2:$FZ$601,0,Sync!$D$5),0),""),"")</f>
        <v/>
      </c>
      <c r="CN106" s="23" t="str">
        <f aca="false">IF(CM106="","",IFERROR(INDEX(Clay_Brands!$A$2:$FZ$601,CM106,Sync!$D$7)&amp;"",""))</f>
        <v/>
      </c>
      <c r="CO106" s="23" t="str">
        <f aca="false">IF(CN106="","",IFERROR(INDEX(Lists!$K$2:$K$15,MATCH(CN106,Lists!$J$2:$J$15,0)),""))</f>
        <v/>
      </c>
      <c r="CP106" s="23" t="str">
        <f aca="false">IF(CM106="","",IFERROR(INDEX(Clay_Brands!$A$2:$FZ$601,CM106,Sync!$D$17)&amp;"",""))</f>
        <v/>
      </c>
      <c r="CQ106" s="35" t="str">
        <f aca="false">IF(CM106="","",IFERROR(N(INDEX(Clay_Brands!$A$2:$FZ$601,CM106,Sync!$D$16)),0))</f>
        <v/>
      </c>
      <c r="CR106" s="23" t="n">
        <f aca="false">IF(AND(AY106=1,OR(O106="N",AND(OR(ISNUMBER(R106),ISNUMBER(V106)),MAX(N(R106),N(V106))&lt;Config!$B$14))),1,0)</f>
        <v>0</v>
      </c>
      <c r="CS106" s="23" t="n">
        <f aca="false">IF(OR(BB106=1,CR106=1),1,0)</f>
        <v>0</v>
      </c>
      <c r="CT106" s="23" t="n">
        <f aca="false">IF(AND(AY106=1,OR(AN106="Y",AN106="N",AN106="maybe")),1,0)</f>
        <v>0</v>
      </c>
      <c r="CU106" s="23" t="n">
        <f aca="false">IF(AND(CT106=1),IF(COUNTIFS($A$2:$A$201,$A106,$CT$2:$CT$201,1,$H$2:$H$201,"&gt;"&amp;H106)+COUNTIFS($A$2:$A$201,$A106,$CT$2:$CT$201,1,$H$2:$H$201,H106,$AX$2:$AX$201,"&gt;"&amp;AX106)=0,1,0),0)</f>
        <v>0</v>
      </c>
      <c r="CV106" s="23" t="n">
        <f aca="false">IF(AND(CS106=1,INT(N(H106))&lt;=Config!$B$6),IF(COUNTIFS($AW$2:$AW$201,AW106,$CS$2:$CS$201,1,$H$2:$H$201,"&gt;"&amp;H106,$H$2:$H$201,"&lt;"&amp;(Config!$B$6+1))+COUNTIFS($AW$2:$AW$201,AW106,$CS$2:$CS$201,1,$H$2:$H$201,H106,$AX$2:$AX$201,"&gt;"&amp;AX106)=0,1,0),0)</f>
        <v>0</v>
      </c>
      <c r="CW106" s="23" t="n">
        <f aca="false">IF(AND(CS106=1,INT(N(H106))&lt;=Config!$B$7),IF(COUNTIFS($AW$2:$AW$201,AW106,$CS$2:$CS$201,1,$H$2:$H$201,"&gt;"&amp;H106,$H$2:$H$201,"&lt;"&amp;(Config!$B$7+1))+COUNTIFS($AW$2:$AW$201,AW106,$CS$2:$CS$201,1,$H$2:$H$201,H106,$AX$2:$AX$201,"&gt;"&amp;AX106)=0,1,0),0)</f>
        <v>0</v>
      </c>
      <c r="CX106" s="23" t="n">
        <f aca="false">IF(AND(CS106=1,INT(N(H106))&lt;=Config!$B$8),IF(COUNTIFS($AW$2:$AW$201,AW106,$CS$2:$CS$201,1,$H$2:$H$201,"&gt;"&amp;H106,$H$2:$H$201,"&lt;"&amp;(Config!$B$8+1))+COUNTIFS($AW$2:$AW$201,AW106,$CS$2:$CS$201,1,$H$2:$H$201,H106,$AX$2:$AX$201,"&gt;"&amp;AX106)=0,1,0),0)</f>
        <v>0</v>
      </c>
      <c r="CY106" s="23" t="n">
        <f aca="false">IF(AND(CS106=1,INT(N(H106))&lt;=Config!$B$5),IF(COUNTIFS($AW$2:$AW$201,AW106,$CS$2:$CS$201,1,$H$2:$H$201,"&gt;"&amp;H106,$H$2:$H$201,"&lt;"&amp;(Config!$B$5+1))+COUNTIFS($AW$2:$AW$201,AW106,$CS$2:$CS$201,1,$H$2:$H$201,H106,$AX$2:$AX$201,"&gt;"&amp;AX106)=0,1,0),0)</f>
        <v>0</v>
      </c>
      <c r="CZ106" s="23" t="n">
        <f aca="false">IF(AY106=1,IF(COUNTIFS($AW$2:$AW$201,AW106,$CV$2:$CV$201,1,$BB$2:$BB$201,1)&gt;0,1,0),0)</f>
        <v>0</v>
      </c>
      <c r="DA106" s="23" t="n">
        <f aca="false">IF(AY106=1,IF(COUNTIFS($AW$2:$AW$201,AW106,$CW$2:$CW$201,1,$BB$2:$BB$201,1)&gt;0,1,0),0)</f>
        <v>0</v>
      </c>
      <c r="DB106" s="23" t="n">
        <f aca="false">IF(AY106=1,IF(COUNTIFS($AW$2:$AW$201,AW106,$CX$2:$CX$201,1,$BB$2:$BB$201,1)&gt;0,1,0),0)</f>
        <v>0</v>
      </c>
      <c r="DC106" s="23" t="n">
        <f aca="false">IF(AY106=1,IF(COUNTIFS($AW$2:$AW$201,AW106,$CY$2:$CY$201,1,$BB$2:$BB$201,1)&gt;0,1,0),0)</f>
        <v>0</v>
      </c>
      <c r="DD106" s="23" t="n">
        <f aca="false">IF(AND(BC106=1,INT(N(H106))&lt;=Config!$B$6,CZ106=1),1,0)</f>
        <v>0</v>
      </c>
      <c r="DE106" s="23" t="n">
        <f aca="false">IF(AND(BC106=1,INT(N(H106))&lt;=Config!$B$7,DA106=1),1,0)</f>
        <v>0</v>
      </c>
      <c r="DF106" s="23" t="n">
        <f aca="false">IF(AND(BC106=1,INT(N(H106))&lt;=Config!$B$8,DB106=1),1,0)</f>
        <v>0</v>
      </c>
      <c r="DG106" s="23" t="n">
        <f aca="false">IF(AND(BC106=1,INT(N(H106))&lt;=Config!$B$5,DC106=1),1,0)</f>
        <v>0</v>
      </c>
      <c r="DH106" s="23" t="n">
        <f aca="false">IF(AND(BE106=1,INT(N(H106))&lt;=Config!$B$6,CZ106=1),1,0)</f>
        <v>0</v>
      </c>
      <c r="DI106" s="23" t="n">
        <f aca="false">IF(AND(BE106=1,INT(N(H106))&lt;=Config!$B$7,DA106=1),1,0)</f>
        <v>0</v>
      </c>
      <c r="DJ106" s="23" t="n">
        <f aca="false">IF(AND(BE106=1,INT(N(H106))&lt;=Config!$B$8,DB106=1),1,0)</f>
        <v>0</v>
      </c>
      <c r="DK106" s="23" t="n">
        <f aca="false">IF(AND(BE106=1,INT(N(H106))&lt;=Config!$B$5,DC106=1),1,0)</f>
        <v>0</v>
      </c>
      <c r="DL106" s="23" t="n">
        <f aca="false">IF(AND(BC106=1,INT(N(H106))&lt;=Config!$B$6,CZ106=0),1,0)</f>
        <v>0</v>
      </c>
      <c r="DM106" s="23" t="n">
        <f aca="false">IF(AND(BC106=1,INT(N(H106))&lt;=Config!$B$7,DA106=0),1,0)</f>
        <v>0</v>
      </c>
      <c r="DN106" s="23" t="n">
        <f aca="false">IF(AND(BC106=1,INT(N(H106))&lt;=Config!$B$8,DB106=0),1,0)</f>
        <v>0</v>
      </c>
      <c r="DO106" s="23" t="n">
        <f aca="false">IF(AND(BC106=1,INT(N(H106))&lt;=Config!$B$5,DC106=0),1,0)</f>
        <v>0</v>
      </c>
      <c r="DP106" s="23" t="n">
        <f aca="false">IF(TRIM($A106)="",0,ISTEXT(K106)+ISTEXT(L106)+ISTEXT(R106)+ISTEXT(V106)+ISTEXT(AP106)+ISTEXT(AS106))</f>
        <v>0</v>
      </c>
      <c r="DQ106" s="23" t="n">
        <f aca="false">IF(AY106=1,IF(H106&lt;&gt;INT(H106),1,0),0)</f>
        <v>0</v>
      </c>
      <c r="DR106" s="23" t="str">
        <f aca="false">IF(TRIM($A106)="","",IF(TRIM(B106)="",SUBSTITUTE(SUBSTITUTE(SUBSTITUTE(SUBSTITUTE(SUBSTITUTE(SUBSTITUTE(LOWER(TRIM($A106)),"~",""),"*",""),"?",""),"&lt;",""),"&gt;",""),"=",""),SUBSTITUTE(SUBSTITUTE(SUBSTITUTE(SUBSTITUTE(SUBSTITUTE(SUBSTITUTE(LOWER(TRIM(B106)),"~",""),"*",""),"?",""),"&lt;",""),"&gt;",""),"=","")))</f>
        <v/>
      </c>
      <c r="DS106" s="23" t="str">
        <f aca="false">IF(CM106="","",IFERROR(IF(LEFT(LOWER(TRIM(INDEX(Clay_Brands!$A$2:$FZ$601,CM106,Sync!$D$19)&amp;"")),4)="grp-",SUBSTITUTE(SUBSTITUTE(SUBSTITUTE(SUBSTITUTE(SUBSTITUTE(SUBSTITUTE(LOWER(TRIM(INDEX(Clay_Brands!$A$2:$FZ$601,CM106,Sync!$D$19)&amp;"")),"~",""),"*",""),"?",""),"&lt;",""),"&gt;",""),"=",""),""),""))</f>
        <v/>
      </c>
      <c r="DT106" s="23" t="str">
        <f aca="false">IF(DS106&lt;&gt;"",DR106,"")</f>
        <v/>
      </c>
      <c r="DU106" s="23" t="str">
        <f aca="false">IF(AZ106=1,AW106,"")</f>
        <v/>
      </c>
      <c r="DV106" s="23" t="str">
        <f aca="false">IF(TRIM($A106)="","",IFERROR(INDEX($A$2:$A$201,MATCH(AW106,$DU$2:$DU$201,0))&amp;"",$A106&amp;""))</f>
        <v/>
      </c>
      <c r="DW106" s="23" t="n">
        <f aca="false">IF(AY106=1,IF(COUNTIFS($A$2:$A$201,$A106,$AY$2:$AY$201,1,$H$2:$H$201,"&lt;"&amp;H106)+COUNTIFS($A$2:$A$201,$A106,$AY$2:$AY$201,1,$H$2:$H$201,H106,$AX$2:$AX$201,"&lt;"&amp;AX106)=0,1,0),0)</f>
        <v>0</v>
      </c>
      <c r="DX106" s="23" t="n">
        <f aca="false">IF(AZ106=1,IF(COUNTIFS($AW$2:$AW$201,AW106,$DW$2:$DW$201,1)&gt;1,1,0),0)</f>
        <v>0</v>
      </c>
    </row>
    <row r="107" customFormat="false" ht="15" hidden="false" customHeight="false" outlineLevel="0" collapsed="false">
      <c r="G107" s="32"/>
      <c r="H107" s="33"/>
      <c r="I107" s="32"/>
      <c r="O107" s="32"/>
      <c r="P107" s="32"/>
      <c r="U107" s="32"/>
      <c r="Y107" s="32"/>
      <c r="AB107" s="32"/>
      <c r="AC107" s="32"/>
      <c r="AD107" s="32"/>
      <c r="AE107" s="32"/>
      <c r="AF107" s="32"/>
      <c r="AG107" s="32"/>
      <c r="AI107" s="32"/>
      <c r="AJ107" s="32"/>
      <c r="AK107" s="32"/>
      <c r="AN107" s="32"/>
      <c r="AO107" s="32"/>
      <c r="AR107" s="32"/>
      <c r="AT107" s="32"/>
      <c r="AV107" s="34" t="str">
        <f aca="false">IF(TRIM($A107)="","",IF(AND(LEFT($A107,6)="SAMPLE",Config!$B$19&lt;&gt;"Y"),"",IF(NOT(ISNUMBER(H107)),"call_date is blank or not a date",IF(Sync!$D$5="","Clay paste is empty or has no row_id column: paste the Clay export on Clay_Brands",IF(CM107="","row_id not found in the Clay paste: add the Clay row or fix the row_id",IF(AND(ISNUMBER(CO107),CO107&gt;=1,CO107&lt;=5),"Clay status is "&amp;CN107&amp;": set call_done or later",IF(AND(BA107=1,CP107&lt;&gt;CB107),"Clay yes_in_principle should be "&amp;CB107,IF(AND(BA107=1,CQ107&lt;&gt;H107),"Clay call_date should be "&amp;TEXT(H107,"yyyy-mm-dd"),""))))))))</f>
        <v/>
      </c>
      <c r="AW107" s="23" t="str">
        <f aca="false">IF(TRIM($A107)="","",IF(TRIM(C107)&lt;&gt;"",SUBSTITUTE(SUBSTITUTE(SUBSTITUTE(SUBSTITUTE(SUBSTITUTE(SUBSTITUTE(LOWER(TRIM(C107)),"~",""),"*",""),"?",""),"&lt;",""),"&gt;",""),"=",""),IF(DS107&lt;&gt;"",DS107,IFERROR(INDEX($DS$2:$DS$201,MATCH(DR107,$DT$2:$DT$201,0)),DR107))))</f>
        <v/>
      </c>
      <c r="AX107" s="23" t="n">
        <f aca="false">ROW()</f>
        <v>107</v>
      </c>
      <c r="AY107" s="23" t="n">
        <f aca="false">IF(AND(TRIM($A107)&lt;&gt;"",ISNUMBER(H107)),IF(AND(LEFT($A107,6)="SAMPLE",Config!$B$19&lt;&gt;"Y"),0,1),0)</f>
        <v>0</v>
      </c>
      <c r="AZ107" s="23" t="n">
        <f aca="false">IF(AY107=1,IF(COUNTIFS($AW$2:$AW$201,AW107,$AY$2:$AY$201,1,$H$2:$H$201,"&lt;"&amp;H107)+COUNTIFS($AW$2:$AW$201,AW107,$AY$2:$AY$201,1,$H$2:$H$201,H107,$AX$2:$AX$201,"&lt;"&amp;AX107)=0,1,0),0)</f>
        <v>0</v>
      </c>
      <c r="BA107" s="23" t="n">
        <f aca="false">IF(AY107=1,IF(COUNTIFS($A$2:$A$201,$A107,$AY$2:$AY$201,1,$H$2:$H$201,"&gt;"&amp;H107)+COUNTIFS($A$2:$A$201,$A107,$AY$2:$AY$201,1,$H$2:$H$201,H107,$AX$2:$AX$201,"&gt;"&amp;AX107)=0,1,0),0)</f>
        <v>0</v>
      </c>
      <c r="BB107" s="23" t="n">
        <f aca="false">IF(AND(AY107=1,O107="Y",MAX(N(R107),N(V107))&gt;=Config!$B$14),1,0)</f>
        <v>0</v>
      </c>
      <c r="BC107" s="23" t="n">
        <f aca="false">IF(BB107=1,IF(COUNTIFS($AW$2:$AW$201,AW107,$BB$2:$BB$201,1,$H$2:$H$201,"&lt;"&amp;H107)+COUNTIFS($AW$2:$AW$201,AW107,$BB$2:$BB$201,1,$H$2:$H$201,H107,$AX$2:$AX$201,"&lt;"&amp;AX107)=0,1,0),0)</f>
        <v>0</v>
      </c>
      <c r="BD107" s="23" t="n">
        <f aca="false">IF(AND(AY107=1,O107="Y",ISNUMBER(R107)),IF(R107&gt;=Config!$B$14,1,0),0)</f>
        <v>0</v>
      </c>
      <c r="BE107" s="23" t="n">
        <f aca="false">IF(BD107=1,IF(COUNTIFS($AW$2:$AW$201,AW107,$BD$2:$BD$201,1,$H$2:$H$201,"&lt;"&amp;H107)+COUNTIFS($AW$2:$AW$201,AW107,$BD$2:$BD$201,1,$H$2:$H$201,H107,$AX$2:$AX$201,"&lt;"&amp;AX107)=0,1,0),0)</f>
        <v>0</v>
      </c>
      <c r="BF107" s="23" t="n">
        <f aca="false">IF(AND(AY107=1,O107&lt;&gt;"Y",MAX(N(R107),N(V107))&gt;=Config!$B$14),1,0)</f>
        <v>0</v>
      </c>
      <c r="BG107" s="23" t="n">
        <f aca="false">IF(BF107=1,IF(COUNTIFS($AW$2:$AW$201,AW107,$BF$2:$BF$201,1,$H$2:$H$201,"&lt;"&amp;H107)+COUNTIFS($AW$2:$AW$201,AW107,$BF$2:$BF$201,1,$H$2:$H$201,H107,$AX$2:$AX$201,"&lt;"&amp;AX107)=0,1,0),0)</f>
        <v>0</v>
      </c>
      <c r="BH107" s="23" t="n">
        <f aca="false">IF(AND(AY107=1,ISNUMBER(R107)),1,0)</f>
        <v>0</v>
      </c>
      <c r="BI107" s="23" t="n">
        <f aca="false">IF(BH107=1,IF(COUNTIFS($AW$2:$AW$201,AW107,$BH$2:$BH$201,1,$H$2:$H$201,"&lt;"&amp;H107)+COUNTIFS($AW$2:$AW$201,AW107,$BH$2:$BH$201,1,$H$2:$H$201,H107,$AX$2:$AX$201,"&lt;"&amp;AX107)=0,1,0),0)</f>
        <v>0</v>
      </c>
      <c r="BJ107" s="23" t="str">
        <f aca="false">IF(AND(BI107=1,INT(N(H107))&lt;=Config!$B$6),R107,"")</f>
        <v/>
      </c>
      <c r="BK107" s="23" t="str">
        <f aca="false">IF(AND(BI107=1,INT(N(H107))&lt;=Config!$B$7),R107,"")</f>
        <v/>
      </c>
      <c r="BL107" s="23" t="str">
        <f aca="false">IF(AND(BI107=1,INT(N(H107))&lt;=Config!$B$8),R107,"")</f>
        <v/>
      </c>
      <c r="BM107" s="23" t="str">
        <f aca="false">IF(AND(BI107=1,INT(N(H107))&lt;=Config!$B$5),R107,"")</f>
        <v/>
      </c>
      <c r="BN107" s="23" t="n">
        <f aca="false">IF(AND(AY107=1,ISNUMBER(V107)),1,0)</f>
        <v>0</v>
      </c>
      <c r="BO107" s="23" t="n">
        <f aca="false">IF(BN107=1,IF(COUNTIFS($AW$2:$AW$201,AW107,$BN$2:$BN$201,1,$H$2:$H$201,"&lt;"&amp;H107)+COUNTIFS($AW$2:$AW$201,AW107,$BN$2:$BN$201,1,$H$2:$H$201,H107,$AX$2:$AX$201,"&lt;"&amp;AX107)=0,1,0),0)</f>
        <v>0</v>
      </c>
      <c r="BP107" s="23" t="str">
        <f aca="false">IF(AND(BO107=1,INT(N(H107))&lt;=Config!$B$6),V107,"")</f>
        <v/>
      </c>
      <c r="BQ107" s="23" t="str">
        <f aca="false">IF(AND(BO107=1,INT(N(H107))&lt;=Config!$B$7),V107,"")</f>
        <v/>
      </c>
      <c r="BR107" s="23" t="str">
        <f aca="false">IF(AND(BO107=1,INT(N(H107))&lt;=Config!$B$8),V107,"")</f>
        <v/>
      </c>
      <c r="BS107" s="23" t="str">
        <f aca="false">IF(AND(BO107=1,INT(N(H107))&lt;=Config!$B$5),V107,"")</f>
        <v/>
      </c>
      <c r="BT107" s="23" t="n">
        <f aca="false">IF(AND(AY107=1,ISNUMBER(K107)),1,0)</f>
        <v>0</v>
      </c>
      <c r="BU107" s="23" t="n">
        <f aca="false">IF(BT107=1,IF(COUNTIFS($AW$2:$AW$201,AW107,$BT$2:$BT$201,1,$H$2:$H$201,"&lt;"&amp;H107)+COUNTIFS($AW$2:$AW$201,AW107,$BT$2:$BT$201,1,$H$2:$H$201,H107,$AX$2:$AX$201,"&lt;"&amp;AX107)=0,1,0),0)</f>
        <v>0</v>
      </c>
      <c r="BV107" s="23" t="str">
        <f aca="false">IF(AND(BU107=1,INT(N(H107))&lt;=Config!$B$5),K107,"")</f>
        <v/>
      </c>
      <c r="BW107" s="23" t="n">
        <f aca="false">IF(AND(AY107=1,OR(AND(ISNUMBER(R107),TRIM(S107)=""),AND(ISNUMBER(V107),TRIM(W107)=""))),1,0)</f>
        <v>0</v>
      </c>
      <c r="BX107" s="23" t="str">
        <f aca="false">IF(AY107=1,AJ107&amp;"","")</f>
        <v/>
      </c>
      <c r="BY107" s="23" t="str">
        <f aca="false">IF(AY107=1,AK107&amp;"","")</f>
        <v/>
      </c>
      <c r="BZ107" s="23" t="str">
        <f aca="false">IF(AY107=1,AL107&amp;"","")</f>
        <v/>
      </c>
      <c r="CA107" s="23" t="str">
        <f aca="false">IF(AND(AY107=1,ISNUMBER(AS107),INT(N(H107))&lt;=Config!$B$5),AS107,"")</f>
        <v/>
      </c>
      <c r="CB107" s="23" t="str">
        <f aca="false">IF(AY107=1,IF(COUNTIFS($A$2:$A$201,$A107,$CU$2:$CU$201,1,$AN$2:$AN$201,"Y")&gt;0,"Y","N"),"")</f>
        <v/>
      </c>
      <c r="CC107" s="23" t="n">
        <f aca="false">IF(AND(AY107=1,AN107="Y"),IF(COUNTIFS($AW$2:$AW$201,AW107,$AN$2:$AN$201,"Y",$AY$2:$AY$201,1,$H$2:$H$201,"&lt;"&amp;H107)+COUNTIFS($AW$2:$AW$201,AW107,$AN$2:$AN$201,"Y",$AY$2:$AY$201,1,$H$2:$H$201,H107,$AX$2:$AX$201,"&lt;"&amp;AX107)=0,1,0),0)</f>
        <v>0</v>
      </c>
      <c r="CD107" s="23" t="n">
        <f aca="false">IF(AND(AY107=1,AB107="Y",AC107="Y",AD107="Y",AE107="Y",AF107="Y",AG107="Y",AI107="Y",TRIM(AH107)&lt;&gt;""),1,0)</f>
        <v>0</v>
      </c>
      <c r="CE107" s="23" t="n">
        <f aca="false">IF(CD107=1,IF(COUNTIFS($AW$2:$AW$201,AW107,$CD$2:$CD$201,1,$H$2:$H$201,"&lt;"&amp;H107)+COUNTIFS($AW$2:$AW$201,AW107,$CD$2:$CD$201,1,$H$2:$H$201,H107,$AX$2:$AX$201,"&lt;"&amp;AX107)=0,1,0),0)</f>
        <v>0</v>
      </c>
      <c r="CF107" s="23" t="n">
        <f aca="false">IF(AND(AY107=1,AO107="Y"),1,0)</f>
        <v>0</v>
      </c>
      <c r="CG107" s="23" t="n">
        <f aca="false">IF(CF107=1,IF(COUNTIFS($AW$2:$AW$201,AW107,$CF$2:$CF$201,1,$H$2:$H$201,"&lt;"&amp;H107)+COUNTIFS($AW$2:$AW$201,AW107,$CF$2:$CF$201,1,$H$2:$H$201,H107,$AX$2:$AX$201,"&lt;"&amp;AX107)=0,1,0),0)</f>
        <v>0</v>
      </c>
      <c r="CH107" s="23" t="n">
        <f aca="false">IF(AND(AY107=1,P107="Y"),1,0)</f>
        <v>0</v>
      </c>
      <c r="CI107" s="23" t="n">
        <f aca="false">IF(CH107=1,IF(COUNTIFS($AW$2:$AW$201,AW107,$CH$2:$CH$201,1,$H$2:$H$201,"&lt;"&amp;H107)+COUNTIFS($AW$2:$AW$201,AW107,$CH$2:$CH$201,1,$H$2:$H$201,H107,$AX$2:$AX$201,"&lt;"&amp;AX107)=0,1,0),0)</f>
        <v>0</v>
      </c>
      <c r="CJ107" s="23" t="str">
        <f aca="false">IF(AND(BU107=1,INT(N(H107))&lt;=Config!$B$5),L107,"")</f>
        <v/>
      </c>
      <c r="CK107" s="23" t="n">
        <f aca="false">IF(AND(AY107=1,AR107="Y"),1,0)</f>
        <v>0</v>
      </c>
      <c r="CL107" s="23" t="n">
        <f aca="false">IF(CK107=1,IF(COUNTIFS($AW$2:$AW$201,AW107,$CK$2:$CK$201,1,$H$2:$H$201,"&lt;"&amp;H107)+COUNTIFS($AW$2:$AW$201,AW107,$CK$2:$CK$201,1,$H$2:$H$201,H107,$AX$2:$AX$201,"&lt;"&amp;AX107)=0,1,0),0)</f>
        <v>0</v>
      </c>
      <c r="CM107" s="23" t="str">
        <f aca="false">IF(AY107=1,IFERROR(MATCH($A107,INDEX(Clay_Brands!$A$2:$FZ$601,0,Sync!$D$5),0),""),"")</f>
        <v/>
      </c>
      <c r="CN107" s="23" t="str">
        <f aca="false">IF(CM107="","",IFERROR(INDEX(Clay_Brands!$A$2:$FZ$601,CM107,Sync!$D$7)&amp;"",""))</f>
        <v/>
      </c>
      <c r="CO107" s="23" t="str">
        <f aca="false">IF(CN107="","",IFERROR(INDEX(Lists!$K$2:$K$15,MATCH(CN107,Lists!$J$2:$J$15,0)),""))</f>
        <v/>
      </c>
      <c r="CP107" s="23" t="str">
        <f aca="false">IF(CM107="","",IFERROR(INDEX(Clay_Brands!$A$2:$FZ$601,CM107,Sync!$D$17)&amp;"",""))</f>
        <v/>
      </c>
      <c r="CQ107" s="35" t="str">
        <f aca="false">IF(CM107="","",IFERROR(N(INDEX(Clay_Brands!$A$2:$FZ$601,CM107,Sync!$D$16)),0))</f>
        <v/>
      </c>
      <c r="CR107" s="23" t="n">
        <f aca="false">IF(AND(AY107=1,OR(O107="N",AND(OR(ISNUMBER(R107),ISNUMBER(V107)),MAX(N(R107),N(V107))&lt;Config!$B$14))),1,0)</f>
        <v>0</v>
      </c>
      <c r="CS107" s="23" t="n">
        <f aca="false">IF(OR(BB107=1,CR107=1),1,0)</f>
        <v>0</v>
      </c>
      <c r="CT107" s="23" t="n">
        <f aca="false">IF(AND(AY107=1,OR(AN107="Y",AN107="N",AN107="maybe")),1,0)</f>
        <v>0</v>
      </c>
      <c r="CU107" s="23" t="n">
        <f aca="false">IF(AND(CT107=1),IF(COUNTIFS($A$2:$A$201,$A107,$CT$2:$CT$201,1,$H$2:$H$201,"&gt;"&amp;H107)+COUNTIFS($A$2:$A$201,$A107,$CT$2:$CT$201,1,$H$2:$H$201,H107,$AX$2:$AX$201,"&gt;"&amp;AX107)=0,1,0),0)</f>
        <v>0</v>
      </c>
      <c r="CV107" s="23" t="n">
        <f aca="false">IF(AND(CS107=1,INT(N(H107))&lt;=Config!$B$6),IF(COUNTIFS($AW$2:$AW$201,AW107,$CS$2:$CS$201,1,$H$2:$H$201,"&gt;"&amp;H107,$H$2:$H$201,"&lt;"&amp;(Config!$B$6+1))+COUNTIFS($AW$2:$AW$201,AW107,$CS$2:$CS$201,1,$H$2:$H$201,H107,$AX$2:$AX$201,"&gt;"&amp;AX107)=0,1,0),0)</f>
        <v>0</v>
      </c>
      <c r="CW107" s="23" t="n">
        <f aca="false">IF(AND(CS107=1,INT(N(H107))&lt;=Config!$B$7),IF(COUNTIFS($AW$2:$AW$201,AW107,$CS$2:$CS$201,1,$H$2:$H$201,"&gt;"&amp;H107,$H$2:$H$201,"&lt;"&amp;(Config!$B$7+1))+COUNTIFS($AW$2:$AW$201,AW107,$CS$2:$CS$201,1,$H$2:$H$201,H107,$AX$2:$AX$201,"&gt;"&amp;AX107)=0,1,0),0)</f>
        <v>0</v>
      </c>
      <c r="CX107" s="23" t="n">
        <f aca="false">IF(AND(CS107=1,INT(N(H107))&lt;=Config!$B$8),IF(COUNTIFS($AW$2:$AW$201,AW107,$CS$2:$CS$201,1,$H$2:$H$201,"&gt;"&amp;H107,$H$2:$H$201,"&lt;"&amp;(Config!$B$8+1))+COUNTIFS($AW$2:$AW$201,AW107,$CS$2:$CS$201,1,$H$2:$H$201,H107,$AX$2:$AX$201,"&gt;"&amp;AX107)=0,1,0),0)</f>
        <v>0</v>
      </c>
      <c r="CY107" s="23" t="n">
        <f aca="false">IF(AND(CS107=1,INT(N(H107))&lt;=Config!$B$5),IF(COUNTIFS($AW$2:$AW$201,AW107,$CS$2:$CS$201,1,$H$2:$H$201,"&gt;"&amp;H107,$H$2:$H$201,"&lt;"&amp;(Config!$B$5+1))+COUNTIFS($AW$2:$AW$201,AW107,$CS$2:$CS$201,1,$H$2:$H$201,H107,$AX$2:$AX$201,"&gt;"&amp;AX107)=0,1,0),0)</f>
        <v>0</v>
      </c>
      <c r="CZ107" s="23" t="n">
        <f aca="false">IF(AY107=1,IF(COUNTIFS($AW$2:$AW$201,AW107,$CV$2:$CV$201,1,$BB$2:$BB$201,1)&gt;0,1,0),0)</f>
        <v>0</v>
      </c>
      <c r="DA107" s="23" t="n">
        <f aca="false">IF(AY107=1,IF(COUNTIFS($AW$2:$AW$201,AW107,$CW$2:$CW$201,1,$BB$2:$BB$201,1)&gt;0,1,0),0)</f>
        <v>0</v>
      </c>
      <c r="DB107" s="23" t="n">
        <f aca="false">IF(AY107=1,IF(COUNTIFS($AW$2:$AW$201,AW107,$CX$2:$CX$201,1,$BB$2:$BB$201,1)&gt;0,1,0),0)</f>
        <v>0</v>
      </c>
      <c r="DC107" s="23" t="n">
        <f aca="false">IF(AY107=1,IF(COUNTIFS($AW$2:$AW$201,AW107,$CY$2:$CY$201,1,$BB$2:$BB$201,1)&gt;0,1,0),0)</f>
        <v>0</v>
      </c>
      <c r="DD107" s="23" t="n">
        <f aca="false">IF(AND(BC107=1,INT(N(H107))&lt;=Config!$B$6,CZ107=1),1,0)</f>
        <v>0</v>
      </c>
      <c r="DE107" s="23" t="n">
        <f aca="false">IF(AND(BC107=1,INT(N(H107))&lt;=Config!$B$7,DA107=1),1,0)</f>
        <v>0</v>
      </c>
      <c r="DF107" s="23" t="n">
        <f aca="false">IF(AND(BC107=1,INT(N(H107))&lt;=Config!$B$8,DB107=1),1,0)</f>
        <v>0</v>
      </c>
      <c r="DG107" s="23" t="n">
        <f aca="false">IF(AND(BC107=1,INT(N(H107))&lt;=Config!$B$5,DC107=1),1,0)</f>
        <v>0</v>
      </c>
      <c r="DH107" s="23" t="n">
        <f aca="false">IF(AND(BE107=1,INT(N(H107))&lt;=Config!$B$6,CZ107=1),1,0)</f>
        <v>0</v>
      </c>
      <c r="DI107" s="23" t="n">
        <f aca="false">IF(AND(BE107=1,INT(N(H107))&lt;=Config!$B$7,DA107=1),1,0)</f>
        <v>0</v>
      </c>
      <c r="DJ107" s="23" t="n">
        <f aca="false">IF(AND(BE107=1,INT(N(H107))&lt;=Config!$B$8,DB107=1),1,0)</f>
        <v>0</v>
      </c>
      <c r="DK107" s="23" t="n">
        <f aca="false">IF(AND(BE107=1,INT(N(H107))&lt;=Config!$B$5,DC107=1),1,0)</f>
        <v>0</v>
      </c>
      <c r="DL107" s="23" t="n">
        <f aca="false">IF(AND(BC107=1,INT(N(H107))&lt;=Config!$B$6,CZ107=0),1,0)</f>
        <v>0</v>
      </c>
      <c r="DM107" s="23" t="n">
        <f aca="false">IF(AND(BC107=1,INT(N(H107))&lt;=Config!$B$7,DA107=0),1,0)</f>
        <v>0</v>
      </c>
      <c r="DN107" s="23" t="n">
        <f aca="false">IF(AND(BC107=1,INT(N(H107))&lt;=Config!$B$8,DB107=0),1,0)</f>
        <v>0</v>
      </c>
      <c r="DO107" s="23" t="n">
        <f aca="false">IF(AND(BC107=1,INT(N(H107))&lt;=Config!$B$5,DC107=0),1,0)</f>
        <v>0</v>
      </c>
      <c r="DP107" s="23" t="n">
        <f aca="false">IF(TRIM($A107)="",0,ISTEXT(K107)+ISTEXT(L107)+ISTEXT(R107)+ISTEXT(V107)+ISTEXT(AP107)+ISTEXT(AS107))</f>
        <v>0</v>
      </c>
      <c r="DQ107" s="23" t="n">
        <f aca="false">IF(AY107=1,IF(H107&lt;&gt;INT(H107),1,0),0)</f>
        <v>0</v>
      </c>
      <c r="DR107" s="23" t="str">
        <f aca="false">IF(TRIM($A107)="","",IF(TRIM(B107)="",SUBSTITUTE(SUBSTITUTE(SUBSTITUTE(SUBSTITUTE(SUBSTITUTE(SUBSTITUTE(LOWER(TRIM($A107)),"~",""),"*",""),"?",""),"&lt;",""),"&gt;",""),"=",""),SUBSTITUTE(SUBSTITUTE(SUBSTITUTE(SUBSTITUTE(SUBSTITUTE(SUBSTITUTE(LOWER(TRIM(B107)),"~",""),"*",""),"?",""),"&lt;",""),"&gt;",""),"=","")))</f>
        <v/>
      </c>
      <c r="DS107" s="23" t="str">
        <f aca="false">IF(CM107="","",IFERROR(IF(LEFT(LOWER(TRIM(INDEX(Clay_Brands!$A$2:$FZ$601,CM107,Sync!$D$19)&amp;"")),4)="grp-",SUBSTITUTE(SUBSTITUTE(SUBSTITUTE(SUBSTITUTE(SUBSTITUTE(SUBSTITUTE(LOWER(TRIM(INDEX(Clay_Brands!$A$2:$FZ$601,CM107,Sync!$D$19)&amp;"")),"~",""),"*",""),"?",""),"&lt;",""),"&gt;",""),"=",""),""),""))</f>
        <v/>
      </c>
      <c r="DT107" s="23" t="str">
        <f aca="false">IF(DS107&lt;&gt;"",DR107,"")</f>
        <v/>
      </c>
      <c r="DU107" s="23" t="str">
        <f aca="false">IF(AZ107=1,AW107,"")</f>
        <v/>
      </c>
      <c r="DV107" s="23" t="str">
        <f aca="false">IF(TRIM($A107)="","",IFERROR(INDEX($A$2:$A$201,MATCH(AW107,$DU$2:$DU$201,0))&amp;"",$A107&amp;""))</f>
        <v/>
      </c>
      <c r="DW107" s="23" t="n">
        <f aca="false">IF(AY107=1,IF(COUNTIFS($A$2:$A$201,$A107,$AY$2:$AY$201,1,$H$2:$H$201,"&lt;"&amp;H107)+COUNTIFS($A$2:$A$201,$A107,$AY$2:$AY$201,1,$H$2:$H$201,H107,$AX$2:$AX$201,"&lt;"&amp;AX107)=0,1,0),0)</f>
        <v>0</v>
      </c>
      <c r="DX107" s="23" t="n">
        <f aca="false">IF(AZ107=1,IF(COUNTIFS($AW$2:$AW$201,AW107,$DW$2:$DW$201,1)&gt;1,1,0),0)</f>
        <v>0</v>
      </c>
    </row>
    <row r="108" customFormat="false" ht="15" hidden="false" customHeight="false" outlineLevel="0" collapsed="false">
      <c r="G108" s="32"/>
      <c r="H108" s="33"/>
      <c r="I108" s="32"/>
      <c r="O108" s="32"/>
      <c r="P108" s="32"/>
      <c r="U108" s="32"/>
      <c r="Y108" s="32"/>
      <c r="AB108" s="32"/>
      <c r="AC108" s="32"/>
      <c r="AD108" s="32"/>
      <c r="AE108" s="32"/>
      <c r="AF108" s="32"/>
      <c r="AG108" s="32"/>
      <c r="AI108" s="32"/>
      <c r="AJ108" s="32"/>
      <c r="AK108" s="32"/>
      <c r="AN108" s="32"/>
      <c r="AO108" s="32"/>
      <c r="AR108" s="32"/>
      <c r="AT108" s="32"/>
      <c r="AV108" s="34" t="str">
        <f aca="false">IF(TRIM($A108)="","",IF(AND(LEFT($A108,6)="SAMPLE",Config!$B$19&lt;&gt;"Y"),"",IF(NOT(ISNUMBER(H108)),"call_date is blank or not a date",IF(Sync!$D$5="","Clay paste is empty or has no row_id column: paste the Clay export on Clay_Brands",IF(CM108="","row_id not found in the Clay paste: add the Clay row or fix the row_id",IF(AND(ISNUMBER(CO108),CO108&gt;=1,CO108&lt;=5),"Clay status is "&amp;CN108&amp;": set call_done or later",IF(AND(BA108=1,CP108&lt;&gt;CB108),"Clay yes_in_principle should be "&amp;CB108,IF(AND(BA108=1,CQ108&lt;&gt;H108),"Clay call_date should be "&amp;TEXT(H108,"yyyy-mm-dd"),""))))))))</f>
        <v/>
      </c>
      <c r="AW108" s="23" t="str">
        <f aca="false">IF(TRIM($A108)="","",IF(TRIM(C108)&lt;&gt;"",SUBSTITUTE(SUBSTITUTE(SUBSTITUTE(SUBSTITUTE(SUBSTITUTE(SUBSTITUTE(LOWER(TRIM(C108)),"~",""),"*",""),"?",""),"&lt;",""),"&gt;",""),"=",""),IF(DS108&lt;&gt;"",DS108,IFERROR(INDEX($DS$2:$DS$201,MATCH(DR108,$DT$2:$DT$201,0)),DR108))))</f>
        <v/>
      </c>
      <c r="AX108" s="23" t="n">
        <f aca="false">ROW()</f>
        <v>108</v>
      </c>
      <c r="AY108" s="23" t="n">
        <f aca="false">IF(AND(TRIM($A108)&lt;&gt;"",ISNUMBER(H108)),IF(AND(LEFT($A108,6)="SAMPLE",Config!$B$19&lt;&gt;"Y"),0,1),0)</f>
        <v>0</v>
      </c>
      <c r="AZ108" s="23" t="n">
        <f aca="false">IF(AY108=1,IF(COUNTIFS($AW$2:$AW$201,AW108,$AY$2:$AY$201,1,$H$2:$H$201,"&lt;"&amp;H108)+COUNTIFS($AW$2:$AW$201,AW108,$AY$2:$AY$201,1,$H$2:$H$201,H108,$AX$2:$AX$201,"&lt;"&amp;AX108)=0,1,0),0)</f>
        <v>0</v>
      </c>
      <c r="BA108" s="23" t="n">
        <f aca="false">IF(AY108=1,IF(COUNTIFS($A$2:$A$201,$A108,$AY$2:$AY$201,1,$H$2:$H$201,"&gt;"&amp;H108)+COUNTIFS($A$2:$A$201,$A108,$AY$2:$AY$201,1,$H$2:$H$201,H108,$AX$2:$AX$201,"&gt;"&amp;AX108)=0,1,0),0)</f>
        <v>0</v>
      </c>
      <c r="BB108" s="23" t="n">
        <f aca="false">IF(AND(AY108=1,O108="Y",MAX(N(R108),N(V108))&gt;=Config!$B$14),1,0)</f>
        <v>0</v>
      </c>
      <c r="BC108" s="23" t="n">
        <f aca="false">IF(BB108=1,IF(COUNTIFS($AW$2:$AW$201,AW108,$BB$2:$BB$201,1,$H$2:$H$201,"&lt;"&amp;H108)+COUNTIFS($AW$2:$AW$201,AW108,$BB$2:$BB$201,1,$H$2:$H$201,H108,$AX$2:$AX$201,"&lt;"&amp;AX108)=0,1,0),0)</f>
        <v>0</v>
      </c>
      <c r="BD108" s="23" t="n">
        <f aca="false">IF(AND(AY108=1,O108="Y",ISNUMBER(R108)),IF(R108&gt;=Config!$B$14,1,0),0)</f>
        <v>0</v>
      </c>
      <c r="BE108" s="23" t="n">
        <f aca="false">IF(BD108=1,IF(COUNTIFS($AW$2:$AW$201,AW108,$BD$2:$BD$201,1,$H$2:$H$201,"&lt;"&amp;H108)+COUNTIFS($AW$2:$AW$201,AW108,$BD$2:$BD$201,1,$H$2:$H$201,H108,$AX$2:$AX$201,"&lt;"&amp;AX108)=0,1,0),0)</f>
        <v>0</v>
      </c>
      <c r="BF108" s="23" t="n">
        <f aca="false">IF(AND(AY108=1,O108&lt;&gt;"Y",MAX(N(R108),N(V108))&gt;=Config!$B$14),1,0)</f>
        <v>0</v>
      </c>
      <c r="BG108" s="23" t="n">
        <f aca="false">IF(BF108=1,IF(COUNTIFS($AW$2:$AW$201,AW108,$BF$2:$BF$201,1,$H$2:$H$201,"&lt;"&amp;H108)+COUNTIFS($AW$2:$AW$201,AW108,$BF$2:$BF$201,1,$H$2:$H$201,H108,$AX$2:$AX$201,"&lt;"&amp;AX108)=0,1,0),0)</f>
        <v>0</v>
      </c>
      <c r="BH108" s="23" t="n">
        <f aca="false">IF(AND(AY108=1,ISNUMBER(R108)),1,0)</f>
        <v>0</v>
      </c>
      <c r="BI108" s="23" t="n">
        <f aca="false">IF(BH108=1,IF(COUNTIFS($AW$2:$AW$201,AW108,$BH$2:$BH$201,1,$H$2:$H$201,"&lt;"&amp;H108)+COUNTIFS($AW$2:$AW$201,AW108,$BH$2:$BH$201,1,$H$2:$H$201,H108,$AX$2:$AX$201,"&lt;"&amp;AX108)=0,1,0),0)</f>
        <v>0</v>
      </c>
      <c r="BJ108" s="23" t="str">
        <f aca="false">IF(AND(BI108=1,INT(N(H108))&lt;=Config!$B$6),R108,"")</f>
        <v/>
      </c>
      <c r="BK108" s="23" t="str">
        <f aca="false">IF(AND(BI108=1,INT(N(H108))&lt;=Config!$B$7),R108,"")</f>
        <v/>
      </c>
      <c r="BL108" s="23" t="str">
        <f aca="false">IF(AND(BI108=1,INT(N(H108))&lt;=Config!$B$8),R108,"")</f>
        <v/>
      </c>
      <c r="BM108" s="23" t="str">
        <f aca="false">IF(AND(BI108=1,INT(N(H108))&lt;=Config!$B$5),R108,"")</f>
        <v/>
      </c>
      <c r="BN108" s="23" t="n">
        <f aca="false">IF(AND(AY108=1,ISNUMBER(V108)),1,0)</f>
        <v>0</v>
      </c>
      <c r="BO108" s="23" t="n">
        <f aca="false">IF(BN108=1,IF(COUNTIFS($AW$2:$AW$201,AW108,$BN$2:$BN$201,1,$H$2:$H$201,"&lt;"&amp;H108)+COUNTIFS($AW$2:$AW$201,AW108,$BN$2:$BN$201,1,$H$2:$H$201,H108,$AX$2:$AX$201,"&lt;"&amp;AX108)=0,1,0),0)</f>
        <v>0</v>
      </c>
      <c r="BP108" s="23" t="str">
        <f aca="false">IF(AND(BO108=1,INT(N(H108))&lt;=Config!$B$6),V108,"")</f>
        <v/>
      </c>
      <c r="BQ108" s="23" t="str">
        <f aca="false">IF(AND(BO108=1,INT(N(H108))&lt;=Config!$B$7),V108,"")</f>
        <v/>
      </c>
      <c r="BR108" s="23" t="str">
        <f aca="false">IF(AND(BO108=1,INT(N(H108))&lt;=Config!$B$8),V108,"")</f>
        <v/>
      </c>
      <c r="BS108" s="23" t="str">
        <f aca="false">IF(AND(BO108=1,INT(N(H108))&lt;=Config!$B$5),V108,"")</f>
        <v/>
      </c>
      <c r="BT108" s="23" t="n">
        <f aca="false">IF(AND(AY108=1,ISNUMBER(K108)),1,0)</f>
        <v>0</v>
      </c>
      <c r="BU108" s="23" t="n">
        <f aca="false">IF(BT108=1,IF(COUNTIFS($AW$2:$AW$201,AW108,$BT$2:$BT$201,1,$H$2:$H$201,"&lt;"&amp;H108)+COUNTIFS($AW$2:$AW$201,AW108,$BT$2:$BT$201,1,$H$2:$H$201,H108,$AX$2:$AX$201,"&lt;"&amp;AX108)=0,1,0),0)</f>
        <v>0</v>
      </c>
      <c r="BV108" s="23" t="str">
        <f aca="false">IF(AND(BU108=1,INT(N(H108))&lt;=Config!$B$5),K108,"")</f>
        <v/>
      </c>
      <c r="BW108" s="23" t="n">
        <f aca="false">IF(AND(AY108=1,OR(AND(ISNUMBER(R108),TRIM(S108)=""),AND(ISNUMBER(V108),TRIM(W108)=""))),1,0)</f>
        <v>0</v>
      </c>
      <c r="BX108" s="23" t="str">
        <f aca="false">IF(AY108=1,AJ108&amp;"","")</f>
        <v/>
      </c>
      <c r="BY108" s="23" t="str">
        <f aca="false">IF(AY108=1,AK108&amp;"","")</f>
        <v/>
      </c>
      <c r="BZ108" s="23" t="str">
        <f aca="false">IF(AY108=1,AL108&amp;"","")</f>
        <v/>
      </c>
      <c r="CA108" s="23" t="str">
        <f aca="false">IF(AND(AY108=1,ISNUMBER(AS108),INT(N(H108))&lt;=Config!$B$5),AS108,"")</f>
        <v/>
      </c>
      <c r="CB108" s="23" t="str">
        <f aca="false">IF(AY108=1,IF(COUNTIFS($A$2:$A$201,$A108,$CU$2:$CU$201,1,$AN$2:$AN$201,"Y")&gt;0,"Y","N"),"")</f>
        <v/>
      </c>
      <c r="CC108" s="23" t="n">
        <f aca="false">IF(AND(AY108=1,AN108="Y"),IF(COUNTIFS($AW$2:$AW$201,AW108,$AN$2:$AN$201,"Y",$AY$2:$AY$201,1,$H$2:$H$201,"&lt;"&amp;H108)+COUNTIFS($AW$2:$AW$201,AW108,$AN$2:$AN$201,"Y",$AY$2:$AY$201,1,$H$2:$H$201,H108,$AX$2:$AX$201,"&lt;"&amp;AX108)=0,1,0),0)</f>
        <v>0</v>
      </c>
      <c r="CD108" s="23" t="n">
        <f aca="false">IF(AND(AY108=1,AB108="Y",AC108="Y",AD108="Y",AE108="Y",AF108="Y",AG108="Y",AI108="Y",TRIM(AH108)&lt;&gt;""),1,0)</f>
        <v>0</v>
      </c>
      <c r="CE108" s="23" t="n">
        <f aca="false">IF(CD108=1,IF(COUNTIFS($AW$2:$AW$201,AW108,$CD$2:$CD$201,1,$H$2:$H$201,"&lt;"&amp;H108)+COUNTIFS($AW$2:$AW$201,AW108,$CD$2:$CD$201,1,$H$2:$H$201,H108,$AX$2:$AX$201,"&lt;"&amp;AX108)=0,1,0),0)</f>
        <v>0</v>
      </c>
      <c r="CF108" s="23" t="n">
        <f aca="false">IF(AND(AY108=1,AO108="Y"),1,0)</f>
        <v>0</v>
      </c>
      <c r="CG108" s="23" t="n">
        <f aca="false">IF(CF108=1,IF(COUNTIFS($AW$2:$AW$201,AW108,$CF$2:$CF$201,1,$H$2:$H$201,"&lt;"&amp;H108)+COUNTIFS($AW$2:$AW$201,AW108,$CF$2:$CF$201,1,$H$2:$H$201,H108,$AX$2:$AX$201,"&lt;"&amp;AX108)=0,1,0),0)</f>
        <v>0</v>
      </c>
      <c r="CH108" s="23" t="n">
        <f aca="false">IF(AND(AY108=1,P108="Y"),1,0)</f>
        <v>0</v>
      </c>
      <c r="CI108" s="23" t="n">
        <f aca="false">IF(CH108=1,IF(COUNTIFS($AW$2:$AW$201,AW108,$CH$2:$CH$201,1,$H$2:$H$201,"&lt;"&amp;H108)+COUNTIFS($AW$2:$AW$201,AW108,$CH$2:$CH$201,1,$H$2:$H$201,H108,$AX$2:$AX$201,"&lt;"&amp;AX108)=0,1,0),0)</f>
        <v>0</v>
      </c>
      <c r="CJ108" s="23" t="str">
        <f aca="false">IF(AND(BU108=1,INT(N(H108))&lt;=Config!$B$5),L108,"")</f>
        <v/>
      </c>
      <c r="CK108" s="23" t="n">
        <f aca="false">IF(AND(AY108=1,AR108="Y"),1,0)</f>
        <v>0</v>
      </c>
      <c r="CL108" s="23" t="n">
        <f aca="false">IF(CK108=1,IF(COUNTIFS($AW$2:$AW$201,AW108,$CK$2:$CK$201,1,$H$2:$H$201,"&lt;"&amp;H108)+COUNTIFS($AW$2:$AW$201,AW108,$CK$2:$CK$201,1,$H$2:$H$201,H108,$AX$2:$AX$201,"&lt;"&amp;AX108)=0,1,0),0)</f>
        <v>0</v>
      </c>
      <c r="CM108" s="23" t="str">
        <f aca="false">IF(AY108=1,IFERROR(MATCH($A108,INDEX(Clay_Brands!$A$2:$FZ$601,0,Sync!$D$5),0),""),"")</f>
        <v/>
      </c>
      <c r="CN108" s="23" t="str">
        <f aca="false">IF(CM108="","",IFERROR(INDEX(Clay_Brands!$A$2:$FZ$601,CM108,Sync!$D$7)&amp;"",""))</f>
        <v/>
      </c>
      <c r="CO108" s="23" t="str">
        <f aca="false">IF(CN108="","",IFERROR(INDEX(Lists!$K$2:$K$15,MATCH(CN108,Lists!$J$2:$J$15,0)),""))</f>
        <v/>
      </c>
      <c r="CP108" s="23" t="str">
        <f aca="false">IF(CM108="","",IFERROR(INDEX(Clay_Brands!$A$2:$FZ$601,CM108,Sync!$D$17)&amp;"",""))</f>
        <v/>
      </c>
      <c r="CQ108" s="35" t="str">
        <f aca="false">IF(CM108="","",IFERROR(N(INDEX(Clay_Brands!$A$2:$FZ$601,CM108,Sync!$D$16)),0))</f>
        <v/>
      </c>
      <c r="CR108" s="23" t="n">
        <f aca="false">IF(AND(AY108=1,OR(O108="N",AND(OR(ISNUMBER(R108),ISNUMBER(V108)),MAX(N(R108),N(V108))&lt;Config!$B$14))),1,0)</f>
        <v>0</v>
      </c>
      <c r="CS108" s="23" t="n">
        <f aca="false">IF(OR(BB108=1,CR108=1),1,0)</f>
        <v>0</v>
      </c>
      <c r="CT108" s="23" t="n">
        <f aca="false">IF(AND(AY108=1,OR(AN108="Y",AN108="N",AN108="maybe")),1,0)</f>
        <v>0</v>
      </c>
      <c r="CU108" s="23" t="n">
        <f aca="false">IF(AND(CT108=1),IF(COUNTIFS($A$2:$A$201,$A108,$CT$2:$CT$201,1,$H$2:$H$201,"&gt;"&amp;H108)+COUNTIFS($A$2:$A$201,$A108,$CT$2:$CT$201,1,$H$2:$H$201,H108,$AX$2:$AX$201,"&gt;"&amp;AX108)=0,1,0),0)</f>
        <v>0</v>
      </c>
      <c r="CV108" s="23" t="n">
        <f aca="false">IF(AND(CS108=1,INT(N(H108))&lt;=Config!$B$6),IF(COUNTIFS($AW$2:$AW$201,AW108,$CS$2:$CS$201,1,$H$2:$H$201,"&gt;"&amp;H108,$H$2:$H$201,"&lt;"&amp;(Config!$B$6+1))+COUNTIFS($AW$2:$AW$201,AW108,$CS$2:$CS$201,1,$H$2:$H$201,H108,$AX$2:$AX$201,"&gt;"&amp;AX108)=0,1,0),0)</f>
        <v>0</v>
      </c>
      <c r="CW108" s="23" t="n">
        <f aca="false">IF(AND(CS108=1,INT(N(H108))&lt;=Config!$B$7),IF(COUNTIFS($AW$2:$AW$201,AW108,$CS$2:$CS$201,1,$H$2:$H$201,"&gt;"&amp;H108,$H$2:$H$201,"&lt;"&amp;(Config!$B$7+1))+COUNTIFS($AW$2:$AW$201,AW108,$CS$2:$CS$201,1,$H$2:$H$201,H108,$AX$2:$AX$201,"&gt;"&amp;AX108)=0,1,0),0)</f>
        <v>0</v>
      </c>
      <c r="CX108" s="23" t="n">
        <f aca="false">IF(AND(CS108=1,INT(N(H108))&lt;=Config!$B$8),IF(COUNTIFS($AW$2:$AW$201,AW108,$CS$2:$CS$201,1,$H$2:$H$201,"&gt;"&amp;H108,$H$2:$H$201,"&lt;"&amp;(Config!$B$8+1))+COUNTIFS($AW$2:$AW$201,AW108,$CS$2:$CS$201,1,$H$2:$H$201,H108,$AX$2:$AX$201,"&gt;"&amp;AX108)=0,1,0),0)</f>
        <v>0</v>
      </c>
      <c r="CY108" s="23" t="n">
        <f aca="false">IF(AND(CS108=1,INT(N(H108))&lt;=Config!$B$5),IF(COUNTIFS($AW$2:$AW$201,AW108,$CS$2:$CS$201,1,$H$2:$H$201,"&gt;"&amp;H108,$H$2:$H$201,"&lt;"&amp;(Config!$B$5+1))+COUNTIFS($AW$2:$AW$201,AW108,$CS$2:$CS$201,1,$H$2:$H$201,H108,$AX$2:$AX$201,"&gt;"&amp;AX108)=0,1,0),0)</f>
        <v>0</v>
      </c>
      <c r="CZ108" s="23" t="n">
        <f aca="false">IF(AY108=1,IF(COUNTIFS($AW$2:$AW$201,AW108,$CV$2:$CV$201,1,$BB$2:$BB$201,1)&gt;0,1,0),0)</f>
        <v>0</v>
      </c>
      <c r="DA108" s="23" t="n">
        <f aca="false">IF(AY108=1,IF(COUNTIFS($AW$2:$AW$201,AW108,$CW$2:$CW$201,1,$BB$2:$BB$201,1)&gt;0,1,0),0)</f>
        <v>0</v>
      </c>
      <c r="DB108" s="23" t="n">
        <f aca="false">IF(AY108=1,IF(COUNTIFS($AW$2:$AW$201,AW108,$CX$2:$CX$201,1,$BB$2:$BB$201,1)&gt;0,1,0),0)</f>
        <v>0</v>
      </c>
      <c r="DC108" s="23" t="n">
        <f aca="false">IF(AY108=1,IF(COUNTIFS($AW$2:$AW$201,AW108,$CY$2:$CY$201,1,$BB$2:$BB$201,1)&gt;0,1,0),0)</f>
        <v>0</v>
      </c>
      <c r="DD108" s="23" t="n">
        <f aca="false">IF(AND(BC108=1,INT(N(H108))&lt;=Config!$B$6,CZ108=1),1,0)</f>
        <v>0</v>
      </c>
      <c r="DE108" s="23" t="n">
        <f aca="false">IF(AND(BC108=1,INT(N(H108))&lt;=Config!$B$7,DA108=1),1,0)</f>
        <v>0</v>
      </c>
      <c r="DF108" s="23" t="n">
        <f aca="false">IF(AND(BC108=1,INT(N(H108))&lt;=Config!$B$8,DB108=1),1,0)</f>
        <v>0</v>
      </c>
      <c r="DG108" s="23" t="n">
        <f aca="false">IF(AND(BC108=1,INT(N(H108))&lt;=Config!$B$5,DC108=1),1,0)</f>
        <v>0</v>
      </c>
      <c r="DH108" s="23" t="n">
        <f aca="false">IF(AND(BE108=1,INT(N(H108))&lt;=Config!$B$6,CZ108=1),1,0)</f>
        <v>0</v>
      </c>
      <c r="DI108" s="23" t="n">
        <f aca="false">IF(AND(BE108=1,INT(N(H108))&lt;=Config!$B$7,DA108=1),1,0)</f>
        <v>0</v>
      </c>
      <c r="DJ108" s="23" t="n">
        <f aca="false">IF(AND(BE108=1,INT(N(H108))&lt;=Config!$B$8,DB108=1),1,0)</f>
        <v>0</v>
      </c>
      <c r="DK108" s="23" t="n">
        <f aca="false">IF(AND(BE108=1,INT(N(H108))&lt;=Config!$B$5,DC108=1),1,0)</f>
        <v>0</v>
      </c>
      <c r="DL108" s="23" t="n">
        <f aca="false">IF(AND(BC108=1,INT(N(H108))&lt;=Config!$B$6,CZ108=0),1,0)</f>
        <v>0</v>
      </c>
      <c r="DM108" s="23" t="n">
        <f aca="false">IF(AND(BC108=1,INT(N(H108))&lt;=Config!$B$7,DA108=0),1,0)</f>
        <v>0</v>
      </c>
      <c r="DN108" s="23" t="n">
        <f aca="false">IF(AND(BC108=1,INT(N(H108))&lt;=Config!$B$8,DB108=0),1,0)</f>
        <v>0</v>
      </c>
      <c r="DO108" s="23" t="n">
        <f aca="false">IF(AND(BC108=1,INT(N(H108))&lt;=Config!$B$5,DC108=0),1,0)</f>
        <v>0</v>
      </c>
      <c r="DP108" s="23" t="n">
        <f aca="false">IF(TRIM($A108)="",0,ISTEXT(K108)+ISTEXT(L108)+ISTEXT(R108)+ISTEXT(V108)+ISTEXT(AP108)+ISTEXT(AS108))</f>
        <v>0</v>
      </c>
      <c r="DQ108" s="23" t="n">
        <f aca="false">IF(AY108=1,IF(H108&lt;&gt;INT(H108),1,0),0)</f>
        <v>0</v>
      </c>
      <c r="DR108" s="23" t="str">
        <f aca="false">IF(TRIM($A108)="","",IF(TRIM(B108)="",SUBSTITUTE(SUBSTITUTE(SUBSTITUTE(SUBSTITUTE(SUBSTITUTE(SUBSTITUTE(LOWER(TRIM($A108)),"~",""),"*",""),"?",""),"&lt;",""),"&gt;",""),"=",""),SUBSTITUTE(SUBSTITUTE(SUBSTITUTE(SUBSTITUTE(SUBSTITUTE(SUBSTITUTE(LOWER(TRIM(B108)),"~",""),"*",""),"?",""),"&lt;",""),"&gt;",""),"=","")))</f>
        <v/>
      </c>
      <c r="DS108" s="23" t="str">
        <f aca="false">IF(CM108="","",IFERROR(IF(LEFT(LOWER(TRIM(INDEX(Clay_Brands!$A$2:$FZ$601,CM108,Sync!$D$19)&amp;"")),4)="grp-",SUBSTITUTE(SUBSTITUTE(SUBSTITUTE(SUBSTITUTE(SUBSTITUTE(SUBSTITUTE(LOWER(TRIM(INDEX(Clay_Brands!$A$2:$FZ$601,CM108,Sync!$D$19)&amp;"")),"~",""),"*",""),"?",""),"&lt;",""),"&gt;",""),"=",""),""),""))</f>
        <v/>
      </c>
      <c r="DT108" s="23" t="str">
        <f aca="false">IF(DS108&lt;&gt;"",DR108,"")</f>
        <v/>
      </c>
      <c r="DU108" s="23" t="str">
        <f aca="false">IF(AZ108=1,AW108,"")</f>
        <v/>
      </c>
      <c r="DV108" s="23" t="str">
        <f aca="false">IF(TRIM($A108)="","",IFERROR(INDEX($A$2:$A$201,MATCH(AW108,$DU$2:$DU$201,0))&amp;"",$A108&amp;""))</f>
        <v/>
      </c>
      <c r="DW108" s="23" t="n">
        <f aca="false">IF(AY108=1,IF(COUNTIFS($A$2:$A$201,$A108,$AY$2:$AY$201,1,$H$2:$H$201,"&lt;"&amp;H108)+COUNTIFS($A$2:$A$201,$A108,$AY$2:$AY$201,1,$H$2:$H$201,H108,$AX$2:$AX$201,"&lt;"&amp;AX108)=0,1,0),0)</f>
        <v>0</v>
      </c>
      <c r="DX108" s="23" t="n">
        <f aca="false">IF(AZ108=1,IF(COUNTIFS($AW$2:$AW$201,AW108,$DW$2:$DW$201,1)&gt;1,1,0),0)</f>
        <v>0</v>
      </c>
    </row>
    <row r="109" customFormat="false" ht="15" hidden="false" customHeight="false" outlineLevel="0" collapsed="false">
      <c r="G109" s="32"/>
      <c r="H109" s="33"/>
      <c r="I109" s="32"/>
      <c r="O109" s="32"/>
      <c r="P109" s="32"/>
      <c r="U109" s="32"/>
      <c r="Y109" s="32"/>
      <c r="AB109" s="32"/>
      <c r="AC109" s="32"/>
      <c r="AD109" s="32"/>
      <c r="AE109" s="32"/>
      <c r="AF109" s="32"/>
      <c r="AG109" s="32"/>
      <c r="AI109" s="32"/>
      <c r="AJ109" s="32"/>
      <c r="AK109" s="32"/>
      <c r="AN109" s="32"/>
      <c r="AO109" s="32"/>
      <c r="AR109" s="32"/>
      <c r="AT109" s="32"/>
      <c r="AV109" s="34" t="str">
        <f aca="false">IF(TRIM($A109)="","",IF(AND(LEFT($A109,6)="SAMPLE",Config!$B$19&lt;&gt;"Y"),"",IF(NOT(ISNUMBER(H109)),"call_date is blank or not a date",IF(Sync!$D$5="","Clay paste is empty or has no row_id column: paste the Clay export on Clay_Brands",IF(CM109="","row_id not found in the Clay paste: add the Clay row or fix the row_id",IF(AND(ISNUMBER(CO109),CO109&gt;=1,CO109&lt;=5),"Clay status is "&amp;CN109&amp;": set call_done or later",IF(AND(BA109=1,CP109&lt;&gt;CB109),"Clay yes_in_principle should be "&amp;CB109,IF(AND(BA109=1,CQ109&lt;&gt;H109),"Clay call_date should be "&amp;TEXT(H109,"yyyy-mm-dd"),""))))))))</f>
        <v/>
      </c>
      <c r="AW109" s="23" t="str">
        <f aca="false">IF(TRIM($A109)="","",IF(TRIM(C109)&lt;&gt;"",SUBSTITUTE(SUBSTITUTE(SUBSTITUTE(SUBSTITUTE(SUBSTITUTE(SUBSTITUTE(LOWER(TRIM(C109)),"~",""),"*",""),"?",""),"&lt;",""),"&gt;",""),"=",""),IF(DS109&lt;&gt;"",DS109,IFERROR(INDEX($DS$2:$DS$201,MATCH(DR109,$DT$2:$DT$201,0)),DR109))))</f>
        <v/>
      </c>
      <c r="AX109" s="23" t="n">
        <f aca="false">ROW()</f>
        <v>109</v>
      </c>
      <c r="AY109" s="23" t="n">
        <f aca="false">IF(AND(TRIM($A109)&lt;&gt;"",ISNUMBER(H109)),IF(AND(LEFT($A109,6)="SAMPLE",Config!$B$19&lt;&gt;"Y"),0,1),0)</f>
        <v>0</v>
      </c>
      <c r="AZ109" s="23" t="n">
        <f aca="false">IF(AY109=1,IF(COUNTIFS($AW$2:$AW$201,AW109,$AY$2:$AY$201,1,$H$2:$H$201,"&lt;"&amp;H109)+COUNTIFS($AW$2:$AW$201,AW109,$AY$2:$AY$201,1,$H$2:$H$201,H109,$AX$2:$AX$201,"&lt;"&amp;AX109)=0,1,0),0)</f>
        <v>0</v>
      </c>
      <c r="BA109" s="23" t="n">
        <f aca="false">IF(AY109=1,IF(COUNTIFS($A$2:$A$201,$A109,$AY$2:$AY$201,1,$H$2:$H$201,"&gt;"&amp;H109)+COUNTIFS($A$2:$A$201,$A109,$AY$2:$AY$201,1,$H$2:$H$201,H109,$AX$2:$AX$201,"&gt;"&amp;AX109)=0,1,0),0)</f>
        <v>0</v>
      </c>
      <c r="BB109" s="23" t="n">
        <f aca="false">IF(AND(AY109=1,O109="Y",MAX(N(R109),N(V109))&gt;=Config!$B$14),1,0)</f>
        <v>0</v>
      </c>
      <c r="BC109" s="23" t="n">
        <f aca="false">IF(BB109=1,IF(COUNTIFS($AW$2:$AW$201,AW109,$BB$2:$BB$201,1,$H$2:$H$201,"&lt;"&amp;H109)+COUNTIFS($AW$2:$AW$201,AW109,$BB$2:$BB$201,1,$H$2:$H$201,H109,$AX$2:$AX$201,"&lt;"&amp;AX109)=0,1,0),0)</f>
        <v>0</v>
      </c>
      <c r="BD109" s="23" t="n">
        <f aca="false">IF(AND(AY109=1,O109="Y",ISNUMBER(R109)),IF(R109&gt;=Config!$B$14,1,0),0)</f>
        <v>0</v>
      </c>
      <c r="BE109" s="23" t="n">
        <f aca="false">IF(BD109=1,IF(COUNTIFS($AW$2:$AW$201,AW109,$BD$2:$BD$201,1,$H$2:$H$201,"&lt;"&amp;H109)+COUNTIFS($AW$2:$AW$201,AW109,$BD$2:$BD$201,1,$H$2:$H$201,H109,$AX$2:$AX$201,"&lt;"&amp;AX109)=0,1,0),0)</f>
        <v>0</v>
      </c>
      <c r="BF109" s="23" t="n">
        <f aca="false">IF(AND(AY109=1,O109&lt;&gt;"Y",MAX(N(R109),N(V109))&gt;=Config!$B$14),1,0)</f>
        <v>0</v>
      </c>
      <c r="BG109" s="23" t="n">
        <f aca="false">IF(BF109=1,IF(COUNTIFS($AW$2:$AW$201,AW109,$BF$2:$BF$201,1,$H$2:$H$201,"&lt;"&amp;H109)+COUNTIFS($AW$2:$AW$201,AW109,$BF$2:$BF$201,1,$H$2:$H$201,H109,$AX$2:$AX$201,"&lt;"&amp;AX109)=0,1,0),0)</f>
        <v>0</v>
      </c>
      <c r="BH109" s="23" t="n">
        <f aca="false">IF(AND(AY109=1,ISNUMBER(R109)),1,0)</f>
        <v>0</v>
      </c>
      <c r="BI109" s="23" t="n">
        <f aca="false">IF(BH109=1,IF(COUNTIFS($AW$2:$AW$201,AW109,$BH$2:$BH$201,1,$H$2:$H$201,"&lt;"&amp;H109)+COUNTIFS($AW$2:$AW$201,AW109,$BH$2:$BH$201,1,$H$2:$H$201,H109,$AX$2:$AX$201,"&lt;"&amp;AX109)=0,1,0),0)</f>
        <v>0</v>
      </c>
      <c r="BJ109" s="23" t="str">
        <f aca="false">IF(AND(BI109=1,INT(N(H109))&lt;=Config!$B$6),R109,"")</f>
        <v/>
      </c>
      <c r="BK109" s="23" t="str">
        <f aca="false">IF(AND(BI109=1,INT(N(H109))&lt;=Config!$B$7),R109,"")</f>
        <v/>
      </c>
      <c r="BL109" s="23" t="str">
        <f aca="false">IF(AND(BI109=1,INT(N(H109))&lt;=Config!$B$8),R109,"")</f>
        <v/>
      </c>
      <c r="BM109" s="23" t="str">
        <f aca="false">IF(AND(BI109=1,INT(N(H109))&lt;=Config!$B$5),R109,"")</f>
        <v/>
      </c>
      <c r="BN109" s="23" t="n">
        <f aca="false">IF(AND(AY109=1,ISNUMBER(V109)),1,0)</f>
        <v>0</v>
      </c>
      <c r="BO109" s="23" t="n">
        <f aca="false">IF(BN109=1,IF(COUNTIFS($AW$2:$AW$201,AW109,$BN$2:$BN$201,1,$H$2:$H$201,"&lt;"&amp;H109)+COUNTIFS($AW$2:$AW$201,AW109,$BN$2:$BN$201,1,$H$2:$H$201,H109,$AX$2:$AX$201,"&lt;"&amp;AX109)=0,1,0),0)</f>
        <v>0</v>
      </c>
      <c r="BP109" s="23" t="str">
        <f aca="false">IF(AND(BO109=1,INT(N(H109))&lt;=Config!$B$6),V109,"")</f>
        <v/>
      </c>
      <c r="BQ109" s="23" t="str">
        <f aca="false">IF(AND(BO109=1,INT(N(H109))&lt;=Config!$B$7),V109,"")</f>
        <v/>
      </c>
      <c r="BR109" s="23" t="str">
        <f aca="false">IF(AND(BO109=1,INT(N(H109))&lt;=Config!$B$8),V109,"")</f>
        <v/>
      </c>
      <c r="BS109" s="23" t="str">
        <f aca="false">IF(AND(BO109=1,INT(N(H109))&lt;=Config!$B$5),V109,"")</f>
        <v/>
      </c>
      <c r="BT109" s="23" t="n">
        <f aca="false">IF(AND(AY109=1,ISNUMBER(K109)),1,0)</f>
        <v>0</v>
      </c>
      <c r="BU109" s="23" t="n">
        <f aca="false">IF(BT109=1,IF(COUNTIFS($AW$2:$AW$201,AW109,$BT$2:$BT$201,1,$H$2:$H$201,"&lt;"&amp;H109)+COUNTIFS($AW$2:$AW$201,AW109,$BT$2:$BT$201,1,$H$2:$H$201,H109,$AX$2:$AX$201,"&lt;"&amp;AX109)=0,1,0),0)</f>
        <v>0</v>
      </c>
      <c r="BV109" s="23" t="str">
        <f aca="false">IF(AND(BU109=1,INT(N(H109))&lt;=Config!$B$5),K109,"")</f>
        <v/>
      </c>
      <c r="BW109" s="23" t="n">
        <f aca="false">IF(AND(AY109=1,OR(AND(ISNUMBER(R109),TRIM(S109)=""),AND(ISNUMBER(V109),TRIM(W109)=""))),1,0)</f>
        <v>0</v>
      </c>
      <c r="BX109" s="23" t="str">
        <f aca="false">IF(AY109=1,AJ109&amp;"","")</f>
        <v/>
      </c>
      <c r="BY109" s="23" t="str">
        <f aca="false">IF(AY109=1,AK109&amp;"","")</f>
        <v/>
      </c>
      <c r="BZ109" s="23" t="str">
        <f aca="false">IF(AY109=1,AL109&amp;"","")</f>
        <v/>
      </c>
      <c r="CA109" s="23" t="str">
        <f aca="false">IF(AND(AY109=1,ISNUMBER(AS109),INT(N(H109))&lt;=Config!$B$5),AS109,"")</f>
        <v/>
      </c>
      <c r="CB109" s="23" t="str">
        <f aca="false">IF(AY109=1,IF(COUNTIFS($A$2:$A$201,$A109,$CU$2:$CU$201,1,$AN$2:$AN$201,"Y")&gt;0,"Y","N"),"")</f>
        <v/>
      </c>
      <c r="CC109" s="23" t="n">
        <f aca="false">IF(AND(AY109=1,AN109="Y"),IF(COUNTIFS($AW$2:$AW$201,AW109,$AN$2:$AN$201,"Y",$AY$2:$AY$201,1,$H$2:$H$201,"&lt;"&amp;H109)+COUNTIFS($AW$2:$AW$201,AW109,$AN$2:$AN$201,"Y",$AY$2:$AY$201,1,$H$2:$H$201,H109,$AX$2:$AX$201,"&lt;"&amp;AX109)=0,1,0),0)</f>
        <v>0</v>
      </c>
      <c r="CD109" s="23" t="n">
        <f aca="false">IF(AND(AY109=1,AB109="Y",AC109="Y",AD109="Y",AE109="Y",AF109="Y",AG109="Y",AI109="Y",TRIM(AH109)&lt;&gt;""),1,0)</f>
        <v>0</v>
      </c>
      <c r="CE109" s="23" t="n">
        <f aca="false">IF(CD109=1,IF(COUNTIFS($AW$2:$AW$201,AW109,$CD$2:$CD$201,1,$H$2:$H$201,"&lt;"&amp;H109)+COUNTIFS($AW$2:$AW$201,AW109,$CD$2:$CD$201,1,$H$2:$H$201,H109,$AX$2:$AX$201,"&lt;"&amp;AX109)=0,1,0),0)</f>
        <v>0</v>
      </c>
      <c r="CF109" s="23" t="n">
        <f aca="false">IF(AND(AY109=1,AO109="Y"),1,0)</f>
        <v>0</v>
      </c>
      <c r="CG109" s="23" t="n">
        <f aca="false">IF(CF109=1,IF(COUNTIFS($AW$2:$AW$201,AW109,$CF$2:$CF$201,1,$H$2:$H$201,"&lt;"&amp;H109)+COUNTIFS($AW$2:$AW$201,AW109,$CF$2:$CF$201,1,$H$2:$H$201,H109,$AX$2:$AX$201,"&lt;"&amp;AX109)=0,1,0),0)</f>
        <v>0</v>
      </c>
      <c r="CH109" s="23" t="n">
        <f aca="false">IF(AND(AY109=1,P109="Y"),1,0)</f>
        <v>0</v>
      </c>
      <c r="CI109" s="23" t="n">
        <f aca="false">IF(CH109=1,IF(COUNTIFS($AW$2:$AW$201,AW109,$CH$2:$CH$201,1,$H$2:$H$201,"&lt;"&amp;H109)+COUNTIFS($AW$2:$AW$201,AW109,$CH$2:$CH$201,1,$H$2:$H$201,H109,$AX$2:$AX$201,"&lt;"&amp;AX109)=0,1,0),0)</f>
        <v>0</v>
      </c>
      <c r="CJ109" s="23" t="str">
        <f aca="false">IF(AND(BU109=1,INT(N(H109))&lt;=Config!$B$5),L109,"")</f>
        <v/>
      </c>
      <c r="CK109" s="23" t="n">
        <f aca="false">IF(AND(AY109=1,AR109="Y"),1,0)</f>
        <v>0</v>
      </c>
      <c r="CL109" s="23" t="n">
        <f aca="false">IF(CK109=1,IF(COUNTIFS($AW$2:$AW$201,AW109,$CK$2:$CK$201,1,$H$2:$H$201,"&lt;"&amp;H109)+COUNTIFS($AW$2:$AW$201,AW109,$CK$2:$CK$201,1,$H$2:$H$201,H109,$AX$2:$AX$201,"&lt;"&amp;AX109)=0,1,0),0)</f>
        <v>0</v>
      </c>
      <c r="CM109" s="23" t="str">
        <f aca="false">IF(AY109=1,IFERROR(MATCH($A109,INDEX(Clay_Brands!$A$2:$FZ$601,0,Sync!$D$5),0),""),"")</f>
        <v/>
      </c>
      <c r="CN109" s="23" t="str">
        <f aca="false">IF(CM109="","",IFERROR(INDEX(Clay_Brands!$A$2:$FZ$601,CM109,Sync!$D$7)&amp;"",""))</f>
        <v/>
      </c>
      <c r="CO109" s="23" t="str">
        <f aca="false">IF(CN109="","",IFERROR(INDEX(Lists!$K$2:$K$15,MATCH(CN109,Lists!$J$2:$J$15,0)),""))</f>
        <v/>
      </c>
      <c r="CP109" s="23" t="str">
        <f aca="false">IF(CM109="","",IFERROR(INDEX(Clay_Brands!$A$2:$FZ$601,CM109,Sync!$D$17)&amp;"",""))</f>
        <v/>
      </c>
      <c r="CQ109" s="35" t="str">
        <f aca="false">IF(CM109="","",IFERROR(N(INDEX(Clay_Brands!$A$2:$FZ$601,CM109,Sync!$D$16)),0))</f>
        <v/>
      </c>
      <c r="CR109" s="23" t="n">
        <f aca="false">IF(AND(AY109=1,OR(O109="N",AND(OR(ISNUMBER(R109),ISNUMBER(V109)),MAX(N(R109),N(V109))&lt;Config!$B$14))),1,0)</f>
        <v>0</v>
      </c>
      <c r="CS109" s="23" t="n">
        <f aca="false">IF(OR(BB109=1,CR109=1),1,0)</f>
        <v>0</v>
      </c>
      <c r="CT109" s="23" t="n">
        <f aca="false">IF(AND(AY109=1,OR(AN109="Y",AN109="N",AN109="maybe")),1,0)</f>
        <v>0</v>
      </c>
      <c r="CU109" s="23" t="n">
        <f aca="false">IF(AND(CT109=1),IF(COUNTIFS($A$2:$A$201,$A109,$CT$2:$CT$201,1,$H$2:$H$201,"&gt;"&amp;H109)+COUNTIFS($A$2:$A$201,$A109,$CT$2:$CT$201,1,$H$2:$H$201,H109,$AX$2:$AX$201,"&gt;"&amp;AX109)=0,1,0),0)</f>
        <v>0</v>
      </c>
      <c r="CV109" s="23" t="n">
        <f aca="false">IF(AND(CS109=1,INT(N(H109))&lt;=Config!$B$6),IF(COUNTIFS($AW$2:$AW$201,AW109,$CS$2:$CS$201,1,$H$2:$H$201,"&gt;"&amp;H109,$H$2:$H$201,"&lt;"&amp;(Config!$B$6+1))+COUNTIFS($AW$2:$AW$201,AW109,$CS$2:$CS$201,1,$H$2:$H$201,H109,$AX$2:$AX$201,"&gt;"&amp;AX109)=0,1,0),0)</f>
        <v>0</v>
      </c>
      <c r="CW109" s="23" t="n">
        <f aca="false">IF(AND(CS109=1,INT(N(H109))&lt;=Config!$B$7),IF(COUNTIFS($AW$2:$AW$201,AW109,$CS$2:$CS$201,1,$H$2:$H$201,"&gt;"&amp;H109,$H$2:$H$201,"&lt;"&amp;(Config!$B$7+1))+COUNTIFS($AW$2:$AW$201,AW109,$CS$2:$CS$201,1,$H$2:$H$201,H109,$AX$2:$AX$201,"&gt;"&amp;AX109)=0,1,0),0)</f>
        <v>0</v>
      </c>
      <c r="CX109" s="23" t="n">
        <f aca="false">IF(AND(CS109=1,INT(N(H109))&lt;=Config!$B$8),IF(COUNTIFS($AW$2:$AW$201,AW109,$CS$2:$CS$201,1,$H$2:$H$201,"&gt;"&amp;H109,$H$2:$H$201,"&lt;"&amp;(Config!$B$8+1))+COUNTIFS($AW$2:$AW$201,AW109,$CS$2:$CS$201,1,$H$2:$H$201,H109,$AX$2:$AX$201,"&gt;"&amp;AX109)=0,1,0),0)</f>
        <v>0</v>
      </c>
      <c r="CY109" s="23" t="n">
        <f aca="false">IF(AND(CS109=1,INT(N(H109))&lt;=Config!$B$5),IF(COUNTIFS($AW$2:$AW$201,AW109,$CS$2:$CS$201,1,$H$2:$H$201,"&gt;"&amp;H109,$H$2:$H$201,"&lt;"&amp;(Config!$B$5+1))+COUNTIFS($AW$2:$AW$201,AW109,$CS$2:$CS$201,1,$H$2:$H$201,H109,$AX$2:$AX$201,"&gt;"&amp;AX109)=0,1,0),0)</f>
        <v>0</v>
      </c>
      <c r="CZ109" s="23" t="n">
        <f aca="false">IF(AY109=1,IF(COUNTIFS($AW$2:$AW$201,AW109,$CV$2:$CV$201,1,$BB$2:$BB$201,1)&gt;0,1,0),0)</f>
        <v>0</v>
      </c>
      <c r="DA109" s="23" t="n">
        <f aca="false">IF(AY109=1,IF(COUNTIFS($AW$2:$AW$201,AW109,$CW$2:$CW$201,1,$BB$2:$BB$201,1)&gt;0,1,0),0)</f>
        <v>0</v>
      </c>
      <c r="DB109" s="23" t="n">
        <f aca="false">IF(AY109=1,IF(COUNTIFS($AW$2:$AW$201,AW109,$CX$2:$CX$201,1,$BB$2:$BB$201,1)&gt;0,1,0),0)</f>
        <v>0</v>
      </c>
      <c r="DC109" s="23" t="n">
        <f aca="false">IF(AY109=1,IF(COUNTIFS($AW$2:$AW$201,AW109,$CY$2:$CY$201,1,$BB$2:$BB$201,1)&gt;0,1,0),0)</f>
        <v>0</v>
      </c>
      <c r="DD109" s="23" t="n">
        <f aca="false">IF(AND(BC109=1,INT(N(H109))&lt;=Config!$B$6,CZ109=1),1,0)</f>
        <v>0</v>
      </c>
      <c r="DE109" s="23" t="n">
        <f aca="false">IF(AND(BC109=1,INT(N(H109))&lt;=Config!$B$7,DA109=1),1,0)</f>
        <v>0</v>
      </c>
      <c r="DF109" s="23" t="n">
        <f aca="false">IF(AND(BC109=1,INT(N(H109))&lt;=Config!$B$8,DB109=1),1,0)</f>
        <v>0</v>
      </c>
      <c r="DG109" s="23" t="n">
        <f aca="false">IF(AND(BC109=1,INT(N(H109))&lt;=Config!$B$5,DC109=1),1,0)</f>
        <v>0</v>
      </c>
      <c r="DH109" s="23" t="n">
        <f aca="false">IF(AND(BE109=1,INT(N(H109))&lt;=Config!$B$6,CZ109=1),1,0)</f>
        <v>0</v>
      </c>
      <c r="DI109" s="23" t="n">
        <f aca="false">IF(AND(BE109=1,INT(N(H109))&lt;=Config!$B$7,DA109=1),1,0)</f>
        <v>0</v>
      </c>
      <c r="DJ109" s="23" t="n">
        <f aca="false">IF(AND(BE109=1,INT(N(H109))&lt;=Config!$B$8,DB109=1),1,0)</f>
        <v>0</v>
      </c>
      <c r="DK109" s="23" t="n">
        <f aca="false">IF(AND(BE109=1,INT(N(H109))&lt;=Config!$B$5,DC109=1),1,0)</f>
        <v>0</v>
      </c>
      <c r="DL109" s="23" t="n">
        <f aca="false">IF(AND(BC109=1,INT(N(H109))&lt;=Config!$B$6,CZ109=0),1,0)</f>
        <v>0</v>
      </c>
      <c r="DM109" s="23" t="n">
        <f aca="false">IF(AND(BC109=1,INT(N(H109))&lt;=Config!$B$7,DA109=0),1,0)</f>
        <v>0</v>
      </c>
      <c r="DN109" s="23" t="n">
        <f aca="false">IF(AND(BC109=1,INT(N(H109))&lt;=Config!$B$8,DB109=0),1,0)</f>
        <v>0</v>
      </c>
      <c r="DO109" s="23" t="n">
        <f aca="false">IF(AND(BC109=1,INT(N(H109))&lt;=Config!$B$5,DC109=0),1,0)</f>
        <v>0</v>
      </c>
      <c r="DP109" s="23" t="n">
        <f aca="false">IF(TRIM($A109)="",0,ISTEXT(K109)+ISTEXT(L109)+ISTEXT(R109)+ISTEXT(V109)+ISTEXT(AP109)+ISTEXT(AS109))</f>
        <v>0</v>
      </c>
      <c r="DQ109" s="23" t="n">
        <f aca="false">IF(AY109=1,IF(H109&lt;&gt;INT(H109),1,0),0)</f>
        <v>0</v>
      </c>
      <c r="DR109" s="23" t="str">
        <f aca="false">IF(TRIM($A109)="","",IF(TRIM(B109)="",SUBSTITUTE(SUBSTITUTE(SUBSTITUTE(SUBSTITUTE(SUBSTITUTE(SUBSTITUTE(LOWER(TRIM($A109)),"~",""),"*",""),"?",""),"&lt;",""),"&gt;",""),"=",""),SUBSTITUTE(SUBSTITUTE(SUBSTITUTE(SUBSTITUTE(SUBSTITUTE(SUBSTITUTE(LOWER(TRIM(B109)),"~",""),"*",""),"?",""),"&lt;",""),"&gt;",""),"=","")))</f>
        <v/>
      </c>
      <c r="DS109" s="23" t="str">
        <f aca="false">IF(CM109="","",IFERROR(IF(LEFT(LOWER(TRIM(INDEX(Clay_Brands!$A$2:$FZ$601,CM109,Sync!$D$19)&amp;"")),4)="grp-",SUBSTITUTE(SUBSTITUTE(SUBSTITUTE(SUBSTITUTE(SUBSTITUTE(SUBSTITUTE(LOWER(TRIM(INDEX(Clay_Brands!$A$2:$FZ$601,CM109,Sync!$D$19)&amp;"")),"~",""),"*",""),"?",""),"&lt;",""),"&gt;",""),"=",""),""),""))</f>
        <v/>
      </c>
      <c r="DT109" s="23" t="str">
        <f aca="false">IF(DS109&lt;&gt;"",DR109,"")</f>
        <v/>
      </c>
      <c r="DU109" s="23" t="str">
        <f aca="false">IF(AZ109=1,AW109,"")</f>
        <v/>
      </c>
      <c r="DV109" s="23" t="str">
        <f aca="false">IF(TRIM($A109)="","",IFERROR(INDEX($A$2:$A$201,MATCH(AW109,$DU$2:$DU$201,0))&amp;"",$A109&amp;""))</f>
        <v/>
      </c>
      <c r="DW109" s="23" t="n">
        <f aca="false">IF(AY109=1,IF(COUNTIFS($A$2:$A$201,$A109,$AY$2:$AY$201,1,$H$2:$H$201,"&lt;"&amp;H109)+COUNTIFS($A$2:$A$201,$A109,$AY$2:$AY$201,1,$H$2:$H$201,H109,$AX$2:$AX$201,"&lt;"&amp;AX109)=0,1,0),0)</f>
        <v>0</v>
      </c>
      <c r="DX109" s="23" t="n">
        <f aca="false">IF(AZ109=1,IF(COUNTIFS($AW$2:$AW$201,AW109,$DW$2:$DW$201,1)&gt;1,1,0),0)</f>
        <v>0</v>
      </c>
    </row>
    <row r="110" customFormat="false" ht="15" hidden="false" customHeight="false" outlineLevel="0" collapsed="false">
      <c r="G110" s="32"/>
      <c r="H110" s="33"/>
      <c r="I110" s="32"/>
      <c r="O110" s="32"/>
      <c r="P110" s="32"/>
      <c r="U110" s="32"/>
      <c r="Y110" s="32"/>
      <c r="AB110" s="32"/>
      <c r="AC110" s="32"/>
      <c r="AD110" s="32"/>
      <c r="AE110" s="32"/>
      <c r="AF110" s="32"/>
      <c r="AG110" s="32"/>
      <c r="AI110" s="32"/>
      <c r="AJ110" s="32"/>
      <c r="AK110" s="32"/>
      <c r="AN110" s="32"/>
      <c r="AO110" s="32"/>
      <c r="AR110" s="32"/>
      <c r="AT110" s="32"/>
      <c r="AV110" s="34" t="str">
        <f aca="false">IF(TRIM($A110)="","",IF(AND(LEFT($A110,6)="SAMPLE",Config!$B$19&lt;&gt;"Y"),"",IF(NOT(ISNUMBER(H110)),"call_date is blank or not a date",IF(Sync!$D$5="","Clay paste is empty or has no row_id column: paste the Clay export on Clay_Brands",IF(CM110="","row_id not found in the Clay paste: add the Clay row or fix the row_id",IF(AND(ISNUMBER(CO110),CO110&gt;=1,CO110&lt;=5),"Clay status is "&amp;CN110&amp;": set call_done or later",IF(AND(BA110=1,CP110&lt;&gt;CB110),"Clay yes_in_principle should be "&amp;CB110,IF(AND(BA110=1,CQ110&lt;&gt;H110),"Clay call_date should be "&amp;TEXT(H110,"yyyy-mm-dd"),""))))))))</f>
        <v/>
      </c>
      <c r="AW110" s="23" t="str">
        <f aca="false">IF(TRIM($A110)="","",IF(TRIM(C110)&lt;&gt;"",SUBSTITUTE(SUBSTITUTE(SUBSTITUTE(SUBSTITUTE(SUBSTITUTE(SUBSTITUTE(LOWER(TRIM(C110)),"~",""),"*",""),"?",""),"&lt;",""),"&gt;",""),"=",""),IF(DS110&lt;&gt;"",DS110,IFERROR(INDEX($DS$2:$DS$201,MATCH(DR110,$DT$2:$DT$201,0)),DR110))))</f>
        <v/>
      </c>
      <c r="AX110" s="23" t="n">
        <f aca="false">ROW()</f>
        <v>110</v>
      </c>
      <c r="AY110" s="23" t="n">
        <f aca="false">IF(AND(TRIM($A110)&lt;&gt;"",ISNUMBER(H110)),IF(AND(LEFT($A110,6)="SAMPLE",Config!$B$19&lt;&gt;"Y"),0,1),0)</f>
        <v>0</v>
      </c>
      <c r="AZ110" s="23" t="n">
        <f aca="false">IF(AY110=1,IF(COUNTIFS($AW$2:$AW$201,AW110,$AY$2:$AY$201,1,$H$2:$H$201,"&lt;"&amp;H110)+COUNTIFS($AW$2:$AW$201,AW110,$AY$2:$AY$201,1,$H$2:$H$201,H110,$AX$2:$AX$201,"&lt;"&amp;AX110)=0,1,0),0)</f>
        <v>0</v>
      </c>
      <c r="BA110" s="23" t="n">
        <f aca="false">IF(AY110=1,IF(COUNTIFS($A$2:$A$201,$A110,$AY$2:$AY$201,1,$H$2:$H$201,"&gt;"&amp;H110)+COUNTIFS($A$2:$A$201,$A110,$AY$2:$AY$201,1,$H$2:$H$201,H110,$AX$2:$AX$201,"&gt;"&amp;AX110)=0,1,0),0)</f>
        <v>0</v>
      </c>
      <c r="BB110" s="23" t="n">
        <f aca="false">IF(AND(AY110=1,O110="Y",MAX(N(R110),N(V110))&gt;=Config!$B$14),1,0)</f>
        <v>0</v>
      </c>
      <c r="BC110" s="23" t="n">
        <f aca="false">IF(BB110=1,IF(COUNTIFS($AW$2:$AW$201,AW110,$BB$2:$BB$201,1,$H$2:$H$201,"&lt;"&amp;H110)+COUNTIFS($AW$2:$AW$201,AW110,$BB$2:$BB$201,1,$H$2:$H$201,H110,$AX$2:$AX$201,"&lt;"&amp;AX110)=0,1,0),0)</f>
        <v>0</v>
      </c>
      <c r="BD110" s="23" t="n">
        <f aca="false">IF(AND(AY110=1,O110="Y",ISNUMBER(R110)),IF(R110&gt;=Config!$B$14,1,0),0)</f>
        <v>0</v>
      </c>
      <c r="BE110" s="23" t="n">
        <f aca="false">IF(BD110=1,IF(COUNTIFS($AW$2:$AW$201,AW110,$BD$2:$BD$201,1,$H$2:$H$201,"&lt;"&amp;H110)+COUNTIFS($AW$2:$AW$201,AW110,$BD$2:$BD$201,1,$H$2:$H$201,H110,$AX$2:$AX$201,"&lt;"&amp;AX110)=0,1,0),0)</f>
        <v>0</v>
      </c>
      <c r="BF110" s="23" t="n">
        <f aca="false">IF(AND(AY110=1,O110&lt;&gt;"Y",MAX(N(R110),N(V110))&gt;=Config!$B$14),1,0)</f>
        <v>0</v>
      </c>
      <c r="BG110" s="23" t="n">
        <f aca="false">IF(BF110=1,IF(COUNTIFS($AW$2:$AW$201,AW110,$BF$2:$BF$201,1,$H$2:$H$201,"&lt;"&amp;H110)+COUNTIFS($AW$2:$AW$201,AW110,$BF$2:$BF$201,1,$H$2:$H$201,H110,$AX$2:$AX$201,"&lt;"&amp;AX110)=0,1,0),0)</f>
        <v>0</v>
      </c>
      <c r="BH110" s="23" t="n">
        <f aca="false">IF(AND(AY110=1,ISNUMBER(R110)),1,0)</f>
        <v>0</v>
      </c>
      <c r="BI110" s="23" t="n">
        <f aca="false">IF(BH110=1,IF(COUNTIFS($AW$2:$AW$201,AW110,$BH$2:$BH$201,1,$H$2:$H$201,"&lt;"&amp;H110)+COUNTIFS($AW$2:$AW$201,AW110,$BH$2:$BH$201,1,$H$2:$H$201,H110,$AX$2:$AX$201,"&lt;"&amp;AX110)=0,1,0),0)</f>
        <v>0</v>
      </c>
      <c r="BJ110" s="23" t="str">
        <f aca="false">IF(AND(BI110=1,INT(N(H110))&lt;=Config!$B$6),R110,"")</f>
        <v/>
      </c>
      <c r="BK110" s="23" t="str">
        <f aca="false">IF(AND(BI110=1,INT(N(H110))&lt;=Config!$B$7),R110,"")</f>
        <v/>
      </c>
      <c r="BL110" s="23" t="str">
        <f aca="false">IF(AND(BI110=1,INT(N(H110))&lt;=Config!$B$8),R110,"")</f>
        <v/>
      </c>
      <c r="BM110" s="23" t="str">
        <f aca="false">IF(AND(BI110=1,INT(N(H110))&lt;=Config!$B$5),R110,"")</f>
        <v/>
      </c>
      <c r="BN110" s="23" t="n">
        <f aca="false">IF(AND(AY110=1,ISNUMBER(V110)),1,0)</f>
        <v>0</v>
      </c>
      <c r="BO110" s="23" t="n">
        <f aca="false">IF(BN110=1,IF(COUNTIFS($AW$2:$AW$201,AW110,$BN$2:$BN$201,1,$H$2:$H$201,"&lt;"&amp;H110)+COUNTIFS($AW$2:$AW$201,AW110,$BN$2:$BN$201,1,$H$2:$H$201,H110,$AX$2:$AX$201,"&lt;"&amp;AX110)=0,1,0),0)</f>
        <v>0</v>
      </c>
      <c r="BP110" s="23" t="str">
        <f aca="false">IF(AND(BO110=1,INT(N(H110))&lt;=Config!$B$6),V110,"")</f>
        <v/>
      </c>
      <c r="BQ110" s="23" t="str">
        <f aca="false">IF(AND(BO110=1,INT(N(H110))&lt;=Config!$B$7),V110,"")</f>
        <v/>
      </c>
      <c r="BR110" s="23" t="str">
        <f aca="false">IF(AND(BO110=1,INT(N(H110))&lt;=Config!$B$8),V110,"")</f>
        <v/>
      </c>
      <c r="BS110" s="23" t="str">
        <f aca="false">IF(AND(BO110=1,INT(N(H110))&lt;=Config!$B$5),V110,"")</f>
        <v/>
      </c>
      <c r="BT110" s="23" t="n">
        <f aca="false">IF(AND(AY110=1,ISNUMBER(K110)),1,0)</f>
        <v>0</v>
      </c>
      <c r="BU110" s="23" t="n">
        <f aca="false">IF(BT110=1,IF(COUNTIFS($AW$2:$AW$201,AW110,$BT$2:$BT$201,1,$H$2:$H$201,"&lt;"&amp;H110)+COUNTIFS($AW$2:$AW$201,AW110,$BT$2:$BT$201,1,$H$2:$H$201,H110,$AX$2:$AX$201,"&lt;"&amp;AX110)=0,1,0),0)</f>
        <v>0</v>
      </c>
      <c r="BV110" s="23" t="str">
        <f aca="false">IF(AND(BU110=1,INT(N(H110))&lt;=Config!$B$5),K110,"")</f>
        <v/>
      </c>
      <c r="BW110" s="23" t="n">
        <f aca="false">IF(AND(AY110=1,OR(AND(ISNUMBER(R110),TRIM(S110)=""),AND(ISNUMBER(V110),TRIM(W110)=""))),1,0)</f>
        <v>0</v>
      </c>
      <c r="BX110" s="23" t="str">
        <f aca="false">IF(AY110=1,AJ110&amp;"","")</f>
        <v/>
      </c>
      <c r="BY110" s="23" t="str">
        <f aca="false">IF(AY110=1,AK110&amp;"","")</f>
        <v/>
      </c>
      <c r="BZ110" s="23" t="str">
        <f aca="false">IF(AY110=1,AL110&amp;"","")</f>
        <v/>
      </c>
      <c r="CA110" s="23" t="str">
        <f aca="false">IF(AND(AY110=1,ISNUMBER(AS110),INT(N(H110))&lt;=Config!$B$5),AS110,"")</f>
        <v/>
      </c>
      <c r="CB110" s="23" t="str">
        <f aca="false">IF(AY110=1,IF(COUNTIFS($A$2:$A$201,$A110,$CU$2:$CU$201,1,$AN$2:$AN$201,"Y")&gt;0,"Y","N"),"")</f>
        <v/>
      </c>
      <c r="CC110" s="23" t="n">
        <f aca="false">IF(AND(AY110=1,AN110="Y"),IF(COUNTIFS($AW$2:$AW$201,AW110,$AN$2:$AN$201,"Y",$AY$2:$AY$201,1,$H$2:$H$201,"&lt;"&amp;H110)+COUNTIFS($AW$2:$AW$201,AW110,$AN$2:$AN$201,"Y",$AY$2:$AY$201,1,$H$2:$H$201,H110,$AX$2:$AX$201,"&lt;"&amp;AX110)=0,1,0),0)</f>
        <v>0</v>
      </c>
      <c r="CD110" s="23" t="n">
        <f aca="false">IF(AND(AY110=1,AB110="Y",AC110="Y",AD110="Y",AE110="Y",AF110="Y",AG110="Y",AI110="Y",TRIM(AH110)&lt;&gt;""),1,0)</f>
        <v>0</v>
      </c>
      <c r="CE110" s="23" t="n">
        <f aca="false">IF(CD110=1,IF(COUNTIFS($AW$2:$AW$201,AW110,$CD$2:$CD$201,1,$H$2:$H$201,"&lt;"&amp;H110)+COUNTIFS($AW$2:$AW$201,AW110,$CD$2:$CD$201,1,$H$2:$H$201,H110,$AX$2:$AX$201,"&lt;"&amp;AX110)=0,1,0),0)</f>
        <v>0</v>
      </c>
      <c r="CF110" s="23" t="n">
        <f aca="false">IF(AND(AY110=1,AO110="Y"),1,0)</f>
        <v>0</v>
      </c>
      <c r="CG110" s="23" t="n">
        <f aca="false">IF(CF110=1,IF(COUNTIFS($AW$2:$AW$201,AW110,$CF$2:$CF$201,1,$H$2:$H$201,"&lt;"&amp;H110)+COUNTIFS($AW$2:$AW$201,AW110,$CF$2:$CF$201,1,$H$2:$H$201,H110,$AX$2:$AX$201,"&lt;"&amp;AX110)=0,1,0),0)</f>
        <v>0</v>
      </c>
      <c r="CH110" s="23" t="n">
        <f aca="false">IF(AND(AY110=1,P110="Y"),1,0)</f>
        <v>0</v>
      </c>
      <c r="CI110" s="23" t="n">
        <f aca="false">IF(CH110=1,IF(COUNTIFS($AW$2:$AW$201,AW110,$CH$2:$CH$201,1,$H$2:$H$201,"&lt;"&amp;H110)+COUNTIFS($AW$2:$AW$201,AW110,$CH$2:$CH$201,1,$H$2:$H$201,H110,$AX$2:$AX$201,"&lt;"&amp;AX110)=0,1,0),0)</f>
        <v>0</v>
      </c>
      <c r="CJ110" s="23" t="str">
        <f aca="false">IF(AND(BU110=1,INT(N(H110))&lt;=Config!$B$5),L110,"")</f>
        <v/>
      </c>
      <c r="CK110" s="23" t="n">
        <f aca="false">IF(AND(AY110=1,AR110="Y"),1,0)</f>
        <v>0</v>
      </c>
      <c r="CL110" s="23" t="n">
        <f aca="false">IF(CK110=1,IF(COUNTIFS($AW$2:$AW$201,AW110,$CK$2:$CK$201,1,$H$2:$H$201,"&lt;"&amp;H110)+COUNTIFS($AW$2:$AW$201,AW110,$CK$2:$CK$201,1,$H$2:$H$201,H110,$AX$2:$AX$201,"&lt;"&amp;AX110)=0,1,0),0)</f>
        <v>0</v>
      </c>
      <c r="CM110" s="23" t="str">
        <f aca="false">IF(AY110=1,IFERROR(MATCH($A110,INDEX(Clay_Brands!$A$2:$FZ$601,0,Sync!$D$5),0),""),"")</f>
        <v/>
      </c>
      <c r="CN110" s="23" t="str">
        <f aca="false">IF(CM110="","",IFERROR(INDEX(Clay_Brands!$A$2:$FZ$601,CM110,Sync!$D$7)&amp;"",""))</f>
        <v/>
      </c>
      <c r="CO110" s="23" t="str">
        <f aca="false">IF(CN110="","",IFERROR(INDEX(Lists!$K$2:$K$15,MATCH(CN110,Lists!$J$2:$J$15,0)),""))</f>
        <v/>
      </c>
      <c r="CP110" s="23" t="str">
        <f aca="false">IF(CM110="","",IFERROR(INDEX(Clay_Brands!$A$2:$FZ$601,CM110,Sync!$D$17)&amp;"",""))</f>
        <v/>
      </c>
      <c r="CQ110" s="35" t="str">
        <f aca="false">IF(CM110="","",IFERROR(N(INDEX(Clay_Brands!$A$2:$FZ$601,CM110,Sync!$D$16)),0))</f>
        <v/>
      </c>
      <c r="CR110" s="23" t="n">
        <f aca="false">IF(AND(AY110=1,OR(O110="N",AND(OR(ISNUMBER(R110),ISNUMBER(V110)),MAX(N(R110),N(V110))&lt;Config!$B$14))),1,0)</f>
        <v>0</v>
      </c>
      <c r="CS110" s="23" t="n">
        <f aca="false">IF(OR(BB110=1,CR110=1),1,0)</f>
        <v>0</v>
      </c>
      <c r="CT110" s="23" t="n">
        <f aca="false">IF(AND(AY110=1,OR(AN110="Y",AN110="N",AN110="maybe")),1,0)</f>
        <v>0</v>
      </c>
      <c r="CU110" s="23" t="n">
        <f aca="false">IF(AND(CT110=1),IF(COUNTIFS($A$2:$A$201,$A110,$CT$2:$CT$201,1,$H$2:$H$201,"&gt;"&amp;H110)+COUNTIFS($A$2:$A$201,$A110,$CT$2:$CT$201,1,$H$2:$H$201,H110,$AX$2:$AX$201,"&gt;"&amp;AX110)=0,1,0),0)</f>
        <v>0</v>
      </c>
      <c r="CV110" s="23" t="n">
        <f aca="false">IF(AND(CS110=1,INT(N(H110))&lt;=Config!$B$6),IF(COUNTIFS($AW$2:$AW$201,AW110,$CS$2:$CS$201,1,$H$2:$H$201,"&gt;"&amp;H110,$H$2:$H$201,"&lt;"&amp;(Config!$B$6+1))+COUNTIFS($AW$2:$AW$201,AW110,$CS$2:$CS$201,1,$H$2:$H$201,H110,$AX$2:$AX$201,"&gt;"&amp;AX110)=0,1,0),0)</f>
        <v>0</v>
      </c>
      <c r="CW110" s="23" t="n">
        <f aca="false">IF(AND(CS110=1,INT(N(H110))&lt;=Config!$B$7),IF(COUNTIFS($AW$2:$AW$201,AW110,$CS$2:$CS$201,1,$H$2:$H$201,"&gt;"&amp;H110,$H$2:$H$201,"&lt;"&amp;(Config!$B$7+1))+COUNTIFS($AW$2:$AW$201,AW110,$CS$2:$CS$201,1,$H$2:$H$201,H110,$AX$2:$AX$201,"&gt;"&amp;AX110)=0,1,0),0)</f>
        <v>0</v>
      </c>
      <c r="CX110" s="23" t="n">
        <f aca="false">IF(AND(CS110=1,INT(N(H110))&lt;=Config!$B$8),IF(COUNTIFS($AW$2:$AW$201,AW110,$CS$2:$CS$201,1,$H$2:$H$201,"&gt;"&amp;H110,$H$2:$H$201,"&lt;"&amp;(Config!$B$8+1))+COUNTIFS($AW$2:$AW$201,AW110,$CS$2:$CS$201,1,$H$2:$H$201,H110,$AX$2:$AX$201,"&gt;"&amp;AX110)=0,1,0),0)</f>
        <v>0</v>
      </c>
      <c r="CY110" s="23" t="n">
        <f aca="false">IF(AND(CS110=1,INT(N(H110))&lt;=Config!$B$5),IF(COUNTIFS($AW$2:$AW$201,AW110,$CS$2:$CS$201,1,$H$2:$H$201,"&gt;"&amp;H110,$H$2:$H$201,"&lt;"&amp;(Config!$B$5+1))+COUNTIFS($AW$2:$AW$201,AW110,$CS$2:$CS$201,1,$H$2:$H$201,H110,$AX$2:$AX$201,"&gt;"&amp;AX110)=0,1,0),0)</f>
        <v>0</v>
      </c>
      <c r="CZ110" s="23" t="n">
        <f aca="false">IF(AY110=1,IF(COUNTIFS($AW$2:$AW$201,AW110,$CV$2:$CV$201,1,$BB$2:$BB$201,1)&gt;0,1,0),0)</f>
        <v>0</v>
      </c>
      <c r="DA110" s="23" t="n">
        <f aca="false">IF(AY110=1,IF(COUNTIFS($AW$2:$AW$201,AW110,$CW$2:$CW$201,1,$BB$2:$BB$201,1)&gt;0,1,0),0)</f>
        <v>0</v>
      </c>
      <c r="DB110" s="23" t="n">
        <f aca="false">IF(AY110=1,IF(COUNTIFS($AW$2:$AW$201,AW110,$CX$2:$CX$201,1,$BB$2:$BB$201,1)&gt;0,1,0),0)</f>
        <v>0</v>
      </c>
      <c r="DC110" s="23" t="n">
        <f aca="false">IF(AY110=1,IF(COUNTIFS($AW$2:$AW$201,AW110,$CY$2:$CY$201,1,$BB$2:$BB$201,1)&gt;0,1,0),0)</f>
        <v>0</v>
      </c>
      <c r="DD110" s="23" t="n">
        <f aca="false">IF(AND(BC110=1,INT(N(H110))&lt;=Config!$B$6,CZ110=1),1,0)</f>
        <v>0</v>
      </c>
      <c r="DE110" s="23" t="n">
        <f aca="false">IF(AND(BC110=1,INT(N(H110))&lt;=Config!$B$7,DA110=1),1,0)</f>
        <v>0</v>
      </c>
      <c r="DF110" s="23" t="n">
        <f aca="false">IF(AND(BC110=1,INT(N(H110))&lt;=Config!$B$8,DB110=1),1,0)</f>
        <v>0</v>
      </c>
      <c r="DG110" s="23" t="n">
        <f aca="false">IF(AND(BC110=1,INT(N(H110))&lt;=Config!$B$5,DC110=1),1,0)</f>
        <v>0</v>
      </c>
      <c r="DH110" s="23" t="n">
        <f aca="false">IF(AND(BE110=1,INT(N(H110))&lt;=Config!$B$6,CZ110=1),1,0)</f>
        <v>0</v>
      </c>
      <c r="DI110" s="23" t="n">
        <f aca="false">IF(AND(BE110=1,INT(N(H110))&lt;=Config!$B$7,DA110=1),1,0)</f>
        <v>0</v>
      </c>
      <c r="DJ110" s="23" t="n">
        <f aca="false">IF(AND(BE110=1,INT(N(H110))&lt;=Config!$B$8,DB110=1),1,0)</f>
        <v>0</v>
      </c>
      <c r="DK110" s="23" t="n">
        <f aca="false">IF(AND(BE110=1,INT(N(H110))&lt;=Config!$B$5,DC110=1),1,0)</f>
        <v>0</v>
      </c>
      <c r="DL110" s="23" t="n">
        <f aca="false">IF(AND(BC110=1,INT(N(H110))&lt;=Config!$B$6,CZ110=0),1,0)</f>
        <v>0</v>
      </c>
      <c r="DM110" s="23" t="n">
        <f aca="false">IF(AND(BC110=1,INT(N(H110))&lt;=Config!$B$7,DA110=0),1,0)</f>
        <v>0</v>
      </c>
      <c r="DN110" s="23" t="n">
        <f aca="false">IF(AND(BC110=1,INT(N(H110))&lt;=Config!$B$8,DB110=0),1,0)</f>
        <v>0</v>
      </c>
      <c r="DO110" s="23" t="n">
        <f aca="false">IF(AND(BC110=1,INT(N(H110))&lt;=Config!$B$5,DC110=0),1,0)</f>
        <v>0</v>
      </c>
      <c r="DP110" s="23" t="n">
        <f aca="false">IF(TRIM($A110)="",0,ISTEXT(K110)+ISTEXT(L110)+ISTEXT(R110)+ISTEXT(V110)+ISTEXT(AP110)+ISTEXT(AS110))</f>
        <v>0</v>
      </c>
      <c r="DQ110" s="23" t="n">
        <f aca="false">IF(AY110=1,IF(H110&lt;&gt;INT(H110),1,0),0)</f>
        <v>0</v>
      </c>
      <c r="DR110" s="23" t="str">
        <f aca="false">IF(TRIM($A110)="","",IF(TRIM(B110)="",SUBSTITUTE(SUBSTITUTE(SUBSTITUTE(SUBSTITUTE(SUBSTITUTE(SUBSTITUTE(LOWER(TRIM($A110)),"~",""),"*",""),"?",""),"&lt;",""),"&gt;",""),"=",""),SUBSTITUTE(SUBSTITUTE(SUBSTITUTE(SUBSTITUTE(SUBSTITUTE(SUBSTITUTE(LOWER(TRIM(B110)),"~",""),"*",""),"?",""),"&lt;",""),"&gt;",""),"=","")))</f>
        <v/>
      </c>
      <c r="DS110" s="23" t="str">
        <f aca="false">IF(CM110="","",IFERROR(IF(LEFT(LOWER(TRIM(INDEX(Clay_Brands!$A$2:$FZ$601,CM110,Sync!$D$19)&amp;"")),4)="grp-",SUBSTITUTE(SUBSTITUTE(SUBSTITUTE(SUBSTITUTE(SUBSTITUTE(SUBSTITUTE(LOWER(TRIM(INDEX(Clay_Brands!$A$2:$FZ$601,CM110,Sync!$D$19)&amp;"")),"~",""),"*",""),"?",""),"&lt;",""),"&gt;",""),"=",""),""),""))</f>
        <v/>
      </c>
      <c r="DT110" s="23" t="str">
        <f aca="false">IF(DS110&lt;&gt;"",DR110,"")</f>
        <v/>
      </c>
      <c r="DU110" s="23" t="str">
        <f aca="false">IF(AZ110=1,AW110,"")</f>
        <v/>
      </c>
      <c r="DV110" s="23" t="str">
        <f aca="false">IF(TRIM($A110)="","",IFERROR(INDEX($A$2:$A$201,MATCH(AW110,$DU$2:$DU$201,0))&amp;"",$A110&amp;""))</f>
        <v/>
      </c>
      <c r="DW110" s="23" t="n">
        <f aca="false">IF(AY110=1,IF(COUNTIFS($A$2:$A$201,$A110,$AY$2:$AY$201,1,$H$2:$H$201,"&lt;"&amp;H110)+COUNTIFS($A$2:$A$201,$A110,$AY$2:$AY$201,1,$H$2:$H$201,H110,$AX$2:$AX$201,"&lt;"&amp;AX110)=0,1,0),0)</f>
        <v>0</v>
      </c>
      <c r="DX110" s="23" t="n">
        <f aca="false">IF(AZ110=1,IF(COUNTIFS($AW$2:$AW$201,AW110,$DW$2:$DW$201,1)&gt;1,1,0),0)</f>
        <v>0</v>
      </c>
    </row>
    <row r="111" customFormat="false" ht="15" hidden="false" customHeight="false" outlineLevel="0" collapsed="false">
      <c r="G111" s="32"/>
      <c r="H111" s="33"/>
      <c r="I111" s="32"/>
      <c r="O111" s="32"/>
      <c r="P111" s="32"/>
      <c r="U111" s="32"/>
      <c r="Y111" s="32"/>
      <c r="AB111" s="32"/>
      <c r="AC111" s="32"/>
      <c r="AD111" s="32"/>
      <c r="AE111" s="32"/>
      <c r="AF111" s="32"/>
      <c r="AG111" s="32"/>
      <c r="AI111" s="32"/>
      <c r="AJ111" s="32"/>
      <c r="AK111" s="32"/>
      <c r="AN111" s="32"/>
      <c r="AO111" s="32"/>
      <c r="AR111" s="32"/>
      <c r="AT111" s="32"/>
      <c r="AV111" s="34" t="str">
        <f aca="false">IF(TRIM($A111)="","",IF(AND(LEFT($A111,6)="SAMPLE",Config!$B$19&lt;&gt;"Y"),"",IF(NOT(ISNUMBER(H111)),"call_date is blank or not a date",IF(Sync!$D$5="","Clay paste is empty or has no row_id column: paste the Clay export on Clay_Brands",IF(CM111="","row_id not found in the Clay paste: add the Clay row or fix the row_id",IF(AND(ISNUMBER(CO111),CO111&gt;=1,CO111&lt;=5),"Clay status is "&amp;CN111&amp;": set call_done or later",IF(AND(BA111=1,CP111&lt;&gt;CB111),"Clay yes_in_principle should be "&amp;CB111,IF(AND(BA111=1,CQ111&lt;&gt;H111),"Clay call_date should be "&amp;TEXT(H111,"yyyy-mm-dd"),""))))))))</f>
        <v/>
      </c>
      <c r="AW111" s="23" t="str">
        <f aca="false">IF(TRIM($A111)="","",IF(TRIM(C111)&lt;&gt;"",SUBSTITUTE(SUBSTITUTE(SUBSTITUTE(SUBSTITUTE(SUBSTITUTE(SUBSTITUTE(LOWER(TRIM(C111)),"~",""),"*",""),"?",""),"&lt;",""),"&gt;",""),"=",""),IF(DS111&lt;&gt;"",DS111,IFERROR(INDEX($DS$2:$DS$201,MATCH(DR111,$DT$2:$DT$201,0)),DR111))))</f>
        <v/>
      </c>
      <c r="AX111" s="23" t="n">
        <f aca="false">ROW()</f>
        <v>111</v>
      </c>
      <c r="AY111" s="23" t="n">
        <f aca="false">IF(AND(TRIM($A111)&lt;&gt;"",ISNUMBER(H111)),IF(AND(LEFT($A111,6)="SAMPLE",Config!$B$19&lt;&gt;"Y"),0,1),0)</f>
        <v>0</v>
      </c>
      <c r="AZ111" s="23" t="n">
        <f aca="false">IF(AY111=1,IF(COUNTIFS($AW$2:$AW$201,AW111,$AY$2:$AY$201,1,$H$2:$H$201,"&lt;"&amp;H111)+COUNTIFS($AW$2:$AW$201,AW111,$AY$2:$AY$201,1,$H$2:$H$201,H111,$AX$2:$AX$201,"&lt;"&amp;AX111)=0,1,0),0)</f>
        <v>0</v>
      </c>
      <c r="BA111" s="23" t="n">
        <f aca="false">IF(AY111=1,IF(COUNTIFS($A$2:$A$201,$A111,$AY$2:$AY$201,1,$H$2:$H$201,"&gt;"&amp;H111)+COUNTIFS($A$2:$A$201,$A111,$AY$2:$AY$201,1,$H$2:$H$201,H111,$AX$2:$AX$201,"&gt;"&amp;AX111)=0,1,0),0)</f>
        <v>0</v>
      </c>
      <c r="BB111" s="23" t="n">
        <f aca="false">IF(AND(AY111=1,O111="Y",MAX(N(R111),N(V111))&gt;=Config!$B$14),1,0)</f>
        <v>0</v>
      </c>
      <c r="BC111" s="23" t="n">
        <f aca="false">IF(BB111=1,IF(COUNTIFS($AW$2:$AW$201,AW111,$BB$2:$BB$201,1,$H$2:$H$201,"&lt;"&amp;H111)+COUNTIFS($AW$2:$AW$201,AW111,$BB$2:$BB$201,1,$H$2:$H$201,H111,$AX$2:$AX$201,"&lt;"&amp;AX111)=0,1,0),0)</f>
        <v>0</v>
      </c>
      <c r="BD111" s="23" t="n">
        <f aca="false">IF(AND(AY111=1,O111="Y",ISNUMBER(R111)),IF(R111&gt;=Config!$B$14,1,0),0)</f>
        <v>0</v>
      </c>
      <c r="BE111" s="23" t="n">
        <f aca="false">IF(BD111=1,IF(COUNTIFS($AW$2:$AW$201,AW111,$BD$2:$BD$201,1,$H$2:$H$201,"&lt;"&amp;H111)+COUNTIFS($AW$2:$AW$201,AW111,$BD$2:$BD$201,1,$H$2:$H$201,H111,$AX$2:$AX$201,"&lt;"&amp;AX111)=0,1,0),0)</f>
        <v>0</v>
      </c>
      <c r="BF111" s="23" t="n">
        <f aca="false">IF(AND(AY111=1,O111&lt;&gt;"Y",MAX(N(R111),N(V111))&gt;=Config!$B$14),1,0)</f>
        <v>0</v>
      </c>
      <c r="BG111" s="23" t="n">
        <f aca="false">IF(BF111=1,IF(COUNTIFS($AW$2:$AW$201,AW111,$BF$2:$BF$201,1,$H$2:$H$201,"&lt;"&amp;H111)+COUNTIFS($AW$2:$AW$201,AW111,$BF$2:$BF$201,1,$H$2:$H$201,H111,$AX$2:$AX$201,"&lt;"&amp;AX111)=0,1,0),0)</f>
        <v>0</v>
      </c>
      <c r="BH111" s="23" t="n">
        <f aca="false">IF(AND(AY111=1,ISNUMBER(R111)),1,0)</f>
        <v>0</v>
      </c>
      <c r="BI111" s="23" t="n">
        <f aca="false">IF(BH111=1,IF(COUNTIFS($AW$2:$AW$201,AW111,$BH$2:$BH$201,1,$H$2:$H$201,"&lt;"&amp;H111)+COUNTIFS($AW$2:$AW$201,AW111,$BH$2:$BH$201,1,$H$2:$H$201,H111,$AX$2:$AX$201,"&lt;"&amp;AX111)=0,1,0),0)</f>
        <v>0</v>
      </c>
      <c r="BJ111" s="23" t="str">
        <f aca="false">IF(AND(BI111=1,INT(N(H111))&lt;=Config!$B$6),R111,"")</f>
        <v/>
      </c>
      <c r="BK111" s="23" t="str">
        <f aca="false">IF(AND(BI111=1,INT(N(H111))&lt;=Config!$B$7),R111,"")</f>
        <v/>
      </c>
      <c r="BL111" s="23" t="str">
        <f aca="false">IF(AND(BI111=1,INT(N(H111))&lt;=Config!$B$8),R111,"")</f>
        <v/>
      </c>
      <c r="BM111" s="23" t="str">
        <f aca="false">IF(AND(BI111=1,INT(N(H111))&lt;=Config!$B$5),R111,"")</f>
        <v/>
      </c>
      <c r="BN111" s="23" t="n">
        <f aca="false">IF(AND(AY111=1,ISNUMBER(V111)),1,0)</f>
        <v>0</v>
      </c>
      <c r="BO111" s="23" t="n">
        <f aca="false">IF(BN111=1,IF(COUNTIFS($AW$2:$AW$201,AW111,$BN$2:$BN$201,1,$H$2:$H$201,"&lt;"&amp;H111)+COUNTIFS($AW$2:$AW$201,AW111,$BN$2:$BN$201,1,$H$2:$H$201,H111,$AX$2:$AX$201,"&lt;"&amp;AX111)=0,1,0),0)</f>
        <v>0</v>
      </c>
      <c r="BP111" s="23" t="str">
        <f aca="false">IF(AND(BO111=1,INT(N(H111))&lt;=Config!$B$6),V111,"")</f>
        <v/>
      </c>
      <c r="BQ111" s="23" t="str">
        <f aca="false">IF(AND(BO111=1,INT(N(H111))&lt;=Config!$B$7),V111,"")</f>
        <v/>
      </c>
      <c r="BR111" s="23" t="str">
        <f aca="false">IF(AND(BO111=1,INT(N(H111))&lt;=Config!$B$8),V111,"")</f>
        <v/>
      </c>
      <c r="BS111" s="23" t="str">
        <f aca="false">IF(AND(BO111=1,INT(N(H111))&lt;=Config!$B$5),V111,"")</f>
        <v/>
      </c>
      <c r="BT111" s="23" t="n">
        <f aca="false">IF(AND(AY111=1,ISNUMBER(K111)),1,0)</f>
        <v>0</v>
      </c>
      <c r="BU111" s="23" t="n">
        <f aca="false">IF(BT111=1,IF(COUNTIFS($AW$2:$AW$201,AW111,$BT$2:$BT$201,1,$H$2:$H$201,"&lt;"&amp;H111)+COUNTIFS($AW$2:$AW$201,AW111,$BT$2:$BT$201,1,$H$2:$H$201,H111,$AX$2:$AX$201,"&lt;"&amp;AX111)=0,1,0),0)</f>
        <v>0</v>
      </c>
      <c r="BV111" s="23" t="str">
        <f aca="false">IF(AND(BU111=1,INT(N(H111))&lt;=Config!$B$5),K111,"")</f>
        <v/>
      </c>
      <c r="BW111" s="23" t="n">
        <f aca="false">IF(AND(AY111=1,OR(AND(ISNUMBER(R111),TRIM(S111)=""),AND(ISNUMBER(V111),TRIM(W111)=""))),1,0)</f>
        <v>0</v>
      </c>
      <c r="BX111" s="23" t="str">
        <f aca="false">IF(AY111=1,AJ111&amp;"","")</f>
        <v/>
      </c>
      <c r="BY111" s="23" t="str">
        <f aca="false">IF(AY111=1,AK111&amp;"","")</f>
        <v/>
      </c>
      <c r="BZ111" s="23" t="str">
        <f aca="false">IF(AY111=1,AL111&amp;"","")</f>
        <v/>
      </c>
      <c r="CA111" s="23" t="str">
        <f aca="false">IF(AND(AY111=1,ISNUMBER(AS111),INT(N(H111))&lt;=Config!$B$5),AS111,"")</f>
        <v/>
      </c>
      <c r="CB111" s="23" t="str">
        <f aca="false">IF(AY111=1,IF(COUNTIFS($A$2:$A$201,$A111,$CU$2:$CU$201,1,$AN$2:$AN$201,"Y")&gt;0,"Y","N"),"")</f>
        <v/>
      </c>
      <c r="CC111" s="23" t="n">
        <f aca="false">IF(AND(AY111=1,AN111="Y"),IF(COUNTIFS($AW$2:$AW$201,AW111,$AN$2:$AN$201,"Y",$AY$2:$AY$201,1,$H$2:$H$201,"&lt;"&amp;H111)+COUNTIFS($AW$2:$AW$201,AW111,$AN$2:$AN$201,"Y",$AY$2:$AY$201,1,$H$2:$H$201,H111,$AX$2:$AX$201,"&lt;"&amp;AX111)=0,1,0),0)</f>
        <v>0</v>
      </c>
      <c r="CD111" s="23" t="n">
        <f aca="false">IF(AND(AY111=1,AB111="Y",AC111="Y",AD111="Y",AE111="Y",AF111="Y",AG111="Y",AI111="Y",TRIM(AH111)&lt;&gt;""),1,0)</f>
        <v>0</v>
      </c>
      <c r="CE111" s="23" t="n">
        <f aca="false">IF(CD111=1,IF(COUNTIFS($AW$2:$AW$201,AW111,$CD$2:$CD$201,1,$H$2:$H$201,"&lt;"&amp;H111)+COUNTIFS($AW$2:$AW$201,AW111,$CD$2:$CD$201,1,$H$2:$H$201,H111,$AX$2:$AX$201,"&lt;"&amp;AX111)=0,1,0),0)</f>
        <v>0</v>
      </c>
      <c r="CF111" s="23" t="n">
        <f aca="false">IF(AND(AY111=1,AO111="Y"),1,0)</f>
        <v>0</v>
      </c>
      <c r="CG111" s="23" t="n">
        <f aca="false">IF(CF111=1,IF(COUNTIFS($AW$2:$AW$201,AW111,$CF$2:$CF$201,1,$H$2:$H$201,"&lt;"&amp;H111)+COUNTIFS($AW$2:$AW$201,AW111,$CF$2:$CF$201,1,$H$2:$H$201,H111,$AX$2:$AX$201,"&lt;"&amp;AX111)=0,1,0),0)</f>
        <v>0</v>
      </c>
      <c r="CH111" s="23" t="n">
        <f aca="false">IF(AND(AY111=1,P111="Y"),1,0)</f>
        <v>0</v>
      </c>
      <c r="CI111" s="23" t="n">
        <f aca="false">IF(CH111=1,IF(COUNTIFS($AW$2:$AW$201,AW111,$CH$2:$CH$201,1,$H$2:$H$201,"&lt;"&amp;H111)+COUNTIFS($AW$2:$AW$201,AW111,$CH$2:$CH$201,1,$H$2:$H$201,H111,$AX$2:$AX$201,"&lt;"&amp;AX111)=0,1,0),0)</f>
        <v>0</v>
      </c>
      <c r="CJ111" s="23" t="str">
        <f aca="false">IF(AND(BU111=1,INT(N(H111))&lt;=Config!$B$5),L111,"")</f>
        <v/>
      </c>
      <c r="CK111" s="23" t="n">
        <f aca="false">IF(AND(AY111=1,AR111="Y"),1,0)</f>
        <v>0</v>
      </c>
      <c r="CL111" s="23" t="n">
        <f aca="false">IF(CK111=1,IF(COUNTIFS($AW$2:$AW$201,AW111,$CK$2:$CK$201,1,$H$2:$H$201,"&lt;"&amp;H111)+COUNTIFS($AW$2:$AW$201,AW111,$CK$2:$CK$201,1,$H$2:$H$201,H111,$AX$2:$AX$201,"&lt;"&amp;AX111)=0,1,0),0)</f>
        <v>0</v>
      </c>
      <c r="CM111" s="23" t="str">
        <f aca="false">IF(AY111=1,IFERROR(MATCH($A111,INDEX(Clay_Brands!$A$2:$FZ$601,0,Sync!$D$5),0),""),"")</f>
        <v/>
      </c>
      <c r="CN111" s="23" t="str">
        <f aca="false">IF(CM111="","",IFERROR(INDEX(Clay_Brands!$A$2:$FZ$601,CM111,Sync!$D$7)&amp;"",""))</f>
        <v/>
      </c>
      <c r="CO111" s="23" t="str">
        <f aca="false">IF(CN111="","",IFERROR(INDEX(Lists!$K$2:$K$15,MATCH(CN111,Lists!$J$2:$J$15,0)),""))</f>
        <v/>
      </c>
      <c r="CP111" s="23" t="str">
        <f aca="false">IF(CM111="","",IFERROR(INDEX(Clay_Brands!$A$2:$FZ$601,CM111,Sync!$D$17)&amp;"",""))</f>
        <v/>
      </c>
      <c r="CQ111" s="35" t="str">
        <f aca="false">IF(CM111="","",IFERROR(N(INDEX(Clay_Brands!$A$2:$FZ$601,CM111,Sync!$D$16)),0))</f>
        <v/>
      </c>
      <c r="CR111" s="23" t="n">
        <f aca="false">IF(AND(AY111=1,OR(O111="N",AND(OR(ISNUMBER(R111),ISNUMBER(V111)),MAX(N(R111),N(V111))&lt;Config!$B$14))),1,0)</f>
        <v>0</v>
      </c>
      <c r="CS111" s="23" t="n">
        <f aca="false">IF(OR(BB111=1,CR111=1),1,0)</f>
        <v>0</v>
      </c>
      <c r="CT111" s="23" t="n">
        <f aca="false">IF(AND(AY111=1,OR(AN111="Y",AN111="N",AN111="maybe")),1,0)</f>
        <v>0</v>
      </c>
      <c r="CU111" s="23" t="n">
        <f aca="false">IF(AND(CT111=1),IF(COUNTIFS($A$2:$A$201,$A111,$CT$2:$CT$201,1,$H$2:$H$201,"&gt;"&amp;H111)+COUNTIFS($A$2:$A$201,$A111,$CT$2:$CT$201,1,$H$2:$H$201,H111,$AX$2:$AX$201,"&gt;"&amp;AX111)=0,1,0),0)</f>
        <v>0</v>
      </c>
      <c r="CV111" s="23" t="n">
        <f aca="false">IF(AND(CS111=1,INT(N(H111))&lt;=Config!$B$6),IF(COUNTIFS($AW$2:$AW$201,AW111,$CS$2:$CS$201,1,$H$2:$H$201,"&gt;"&amp;H111,$H$2:$H$201,"&lt;"&amp;(Config!$B$6+1))+COUNTIFS($AW$2:$AW$201,AW111,$CS$2:$CS$201,1,$H$2:$H$201,H111,$AX$2:$AX$201,"&gt;"&amp;AX111)=0,1,0),0)</f>
        <v>0</v>
      </c>
      <c r="CW111" s="23" t="n">
        <f aca="false">IF(AND(CS111=1,INT(N(H111))&lt;=Config!$B$7),IF(COUNTIFS($AW$2:$AW$201,AW111,$CS$2:$CS$201,1,$H$2:$H$201,"&gt;"&amp;H111,$H$2:$H$201,"&lt;"&amp;(Config!$B$7+1))+COUNTIFS($AW$2:$AW$201,AW111,$CS$2:$CS$201,1,$H$2:$H$201,H111,$AX$2:$AX$201,"&gt;"&amp;AX111)=0,1,0),0)</f>
        <v>0</v>
      </c>
      <c r="CX111" s="23" t="n">
        <f aca="false">IF(AND(CS111=1,INT(N(H111))&lt;=Config!$B$8),IF(COUNTIFS($AW$2:$AW$201,AW111,$CS$2:$CS$201,1,$H$2:$H$201,"&gt;"&amp;H111,$H$2:$H$201,"&lt;"&amp;(Config!$B$8+1))+COUNTIFS($AW$2:$AW$201,AW111,$CS$2:$CS$201,1,$H$2:$H$201,H111,$AX$2:$AX$201,"&gt;"&amp;AX111)=0,1,0),0)</f>
        <v>0</v>
      </c>
      <c r="CY111" s="23" t="n">
        <f aca="false">IF(AND(CS111=1,INT(N(H111))&lt;=Config!$B$5),IF(COUNTIFS($AW$2:$AW$201,AW111,$CS$2:$CS$201,1,$H$2:$H$201,"&gt;"&amp;H111,$H$2:$H$201,"&lt;"&amp;(Config!$B$5+1))+COUNTIFS($AW$2:$AW$201,AW111,$CS$2:$CS$201,1,$H$2:$H$201,H111,$AX$2:$AX$201,"&gt;"&amp;AX111)=0,1,0),0)</f>
        <v>0</v>
      </c>
      <c r="CZ111" s="23" t="n">
        <f aca="false">IF(AY111=1,IF(COUNTIFS($AW$2:$AW$201,AW111,$CV$2:$CV$201,1,$BB$2:$BB$201,1)&gt;0,1,0),0)</f>
        <v>0</v>
      </c>
      <c r="DA111" s="23" t="n">
        <f aca="false">IF(AY111=1,IF(COUNTIFS($AW$2:$AW$201,AW111,$CW$2:$CW$201,1,$BB$2:$BB$201,1)&gt;0,1,0),0)</f>
        <v>0</v>
      </c>
      <c r="DB111" s="23" t="n">
        <f aca="false">IF(AY111=1,IF(COUNTIFS($AW$2:$AW$201,AW111,$CX$2:$CX$201,1,$BB$2:$BB$201,1)&gt;0,1,0),0)</f>
        <v>0</v>
      </c>
      <c r="DC111" s="23" t="n">
        <f aca="false">IF(AY111=1,IF(COUNTIFS($AW$2:$AW$201,AW111,$CY$2:$CY$201,1,$BB$2:$BB$201,1)&gt;0,1,0),0)</f>
        <v>0</v>
      </c>
      <c r="DD111" s="23" t="n">
        <f aca="false">IF(AND(BC111=1,INT(N(H111))&lt;=Config!$B$6,CZ111=1),1,0)</f>
        <v>0</v>
      </c>
      <c r="DE111" s="23" t="n">
        <f aca="false">IF(AND(BC111=1,INT(N(H111))&lt;=Config!$B$7,DA111=1),1,0)</f>
        <v>0</v>
      </c>
      <c r="DF111" s="23" t="n">
        <f aca="false">IF(AND(BC111=1,INT(N(H111))&lt;=Config!$B$8,DB111=1),1,0)</f>
        <v>0</v>
      </c>
      <c r="DG111" s="23" t="n">
        <f aca="false">IF(AND(BC111=1,INT(N(H111))&lt;=Config!$B$5,DC111=1),1,0)</f>
        <v>0</v>
      </c>
      <c r="DH111" s="23" t="n">
        <f aca="false">IF(AND(BE111=1,INT(N(H111))&lt;=Config!$B$6,CZ111=1),1,0)</f>
        <v>0</v>
      </c>
      <c r="DI111" s="23" t="n">
        <f aca="false">IF(AND(BE111=1,INT(N(H111))&lt;=Config!$B$7,DA111=1),1,0)</f>
        <v>0</v>
      </c>
      <c r="DJ111" s="23" t="n">
        <f aca="false">IF(AND(BE111=1,INT(N(H111))&lt;=Config!$B$8,DB111=1),1,0)</f>
        <v>0</v>
      </c>
      <c r="DK111" s="23" t="n">
        <f aca="false">IF(AND(BE111=1,INT(N(H111))&lt;=Config!$B$5,DC111=1),1,0)</f>
        <v>0</v>
      </c>
      <c r="DL111" s="23" t="n">
        <f aca="false">IF(AND(BC111=1,INT(N(H111))&lt;=Config!$B$6,CZ111=0),1,0)</f>
        <v>0</v>
      </c>
      <c r="DM111" s="23" t="n">
        <f aca="false">IF(AND(BC111=1,INT(N(H111))&lt;=Config!$B$7,DA111=0),1,0)</f>
        <v>0</v>
      </c>
      <c r="DN111" s="23" t="n">
        <f aca="false">IF(AND(BC111=1,INT(N(H111))&lt;=Config!$B$8,DB111=0),1,0)</f>
        <v>0</v>
      </c>
      <c r="DO111" s="23" t="n">
        <f aca="false">IF(AND(BC111=1,INT(N(H111))&lt;=Config!$B$5,DC111=0),1,0)</f>
        <v>0</v>
      </c>
      <c r="DP111" s="23" t="n">
        <f aca="false">IF(TRIM($A111)="",0,ISTEXT(K111)+ISTEXT(L111)+ISTEXT(R111)+ISTEXT(V111)+ISTEXT(AP111)+ISTEXT(AS111))</f>
        <v>0</v>
      </c>
      <c r="DQ111" s="23" t="n">
        <f aca="false">IF(AY111=1,IF(H111&lt;&gt;INT(H111),1,0),0)</f>
        <v>0</v>
      </c>
      <c r="DR111" s="23" t="str">
        <f aca="false">IF(TRIM($A111)="","",IF(TRIM(B111)="",SUBSTITUTE(SUBSTITUTE(SUBSTITUTE(SUBSTITUTE(SUBSTITUTE(SUBSTITUTE(LOWER(TRIM($A111)),"~",""),"*",""),"?",""),"&lt;",""),"&gt;",""),"=",""),SUBSTITUTE(SUBSTITUTE(SUBSTITUTE(SUBSTITUTE(SUBSTITUTE(SUBSTITUTE(LOWER(TRIM(B111)),"~",""),"*",""),"?",""),"&lt;",""),"&gt;",""),"=","")))</f>
        <v/>
      </c>
      <c r="DS111" s="23" t="str">
        <f aca="false">IF(CM111="","",IFERROR(IF(LEFT(LOWER(TRIM(INDEX(Clay_Brands!$A$2:$FZ$601,CM111,Sync!$D$19)&amp;"")),4)="grp-",SUBSTITUTE(SUBSTITUTE(SUBSTITUTE(SUBSTITUTE(SUBSTITUTE(SUBSTITUTE(LOWER(TRIM(INDEX(Clay_Brands!$A$2:$FZ$601,CM111,Sync!$D$19)&amp;"")),"~",""),"*",""),"?",""),"&lt;",""),"&gt;",""),"=",""),""),""))</f>
        <v/>
      </c>
      <c r="DT111" s="23" t="str">
        <f aca="false">IF(DS111&lt;&gt;"",DR111,"")</f>
        <v/>
      </c>
      <c r="DU111" s="23" t="str">
        <f aca="false">IF(AZ111=1,AW111,"")</f>
        <v/>
      </c>
      <c r="DV111" s="23" t="str">
        <f aca="false">IF(TRIM($A111)="","",IFERROR(INDEX($A$2:$A$201,MATCH(AW111,$DU$2:$DU$201,0))&amp;"",$A111&amp;""))</f>
        <v/>
      </c>
      <c r="DW111" s="23" t="n">
        <f aca="false">IF(AY111=1,IF(COUNTIFS($A$2:$A$201,$A111,$AY$2:$AY$201,1,$H$2:$H$201,"&lt;"&amp;H111)+COUNTIFS($A$2:$A$201,$A111,$AY$2:$AY$201,1,$H$2:$H$201,H111,$AX$2:$AX$201,"&lt;"&amp;AX111)=0,1,0),0)</f>
        <v>0</v>
      </c>
      <c r="DX111" s="23" t="n">
        <f aca="false">IF(AZ111=1,IF(COUNTIFS($AW$2:$AW$201,AW111,$DW$2:$DW$201,1)&gt;1,1,0),0)</f>
        <v>0</v>
      </c>
    </row>
    <row r="112" customFormat="false" ht="15" hidden="false" customHeight="false" outlineLevel="0" collapsed="false">
      <c r="G112" s="32"/>
      <c r="H112" s="33"/>
      <c r="I112" s="32"/>
      <c r="O112" s="32"/>
      <c r="P112" s="32"/>
      <c r="U112" s="32"/>
      <c r="Y112" s="32"/>
      <c r="AB112" s="32"/>
      <c r="AC112" s="32"/>
      <c r="AD112" s="32"/>
      <c r="AE112" s="32"/>
      <c r="AF112" s="32"/>
      <c r="AG112" s="32"/>
      <c r="AI112" s="32"/>
      <c r="AJ112" s="32"/>
      <c r="AK112" s="32"/>
      <c r="AN112" s="32"/>
      <c r="AO112" s="32"/>
      <c r="AR112" s="32"/>
      <c r="AT112" s="32"/>
      <c r="AV112" s="34" t="str">
        <f aca="false">IF(TRIM($A112)="","",IF(AND(LEFT($A112,6)="SAMPLE",Config!$B$19&lt;&gt;"Y"),"",IF(NOT(ISNUMBER(H112)),"call_date is blank or not a date",IF(Sync!$D$5="","Clay paste is empty or has no row_id column: paste the Clay export on Clay_Brands",IF(CM112="","row_id not found in the Clay paste: add the Clay row or fix the row_id",IF(AND(ISNUMBER(CO112),CO112&gt;=1,CO112&lt;=5),"Clay status is "&amp;CN112&amp;": set call_done or later",IF(AND(BA112=1,CP112&lt;&gt;CB112),"Clay yes_in_principle should be "&amp;CB112,IF(AND(BA112=1,CQ112&lt;&gt;H112),"Clay call_date should be "&amp;TEXT(H112,"yyyy-mm-dd"),""))))))))</f>
        <v/>
      </c>
      <c r="AW112" s="23" t="str">
        <f aca="false">IF(TRIM($A112)="","",IF(TRIM(C112)&lt;&gt;"",SUBSTITUTE(SUBSTITUTE(SUBSTITUTE(SUBSTITUTE(SUBSTITUTE(SUBSTITUTE(LOWER(TRIM(C112)),"~",""),"*",""),"?",""),"&lt;",""),"&gt;",""),"=",""),IF(DS112&lt;&gt;"",DS112,IFERROR(INDEX($DS$2:$DS$201,MATCH(DR112,$DT$2:$DT$201,0)),DR112))))</f>
        <v/>
      </c>
      <c r="AX112" s="23" t="n">
        <f aca="false">ROW()</f>
        <v>112</v>
      </c>
      <c r="AY112" s="23" t="n">
        <f aca="false">IF(AND(TRIM($A112)&lt;&gt;"",ISNUMBER(H112)),IF(AND(LEFT($A112,6)="SAMPLE",Config!$B$19&lt;&gt;"Y"),0,1),0)</f>
        <v>0</v>
      </c>
      <c r="AZ112" s="23" t="n">
        <f aca="false">IF(AY112=1,IF(COUNTIFS($AW$2:$AW$201,AW112,$AY$2:$AY$201,1,$H$2:$H$201,"&lt;"&amp;H112)+COUNTIFS($AW$2:$AW$201,AW112,$AY$2:$AY$201,1,$H$2:$H$201,H112,$AX$2:$AX$201,"&lt;"&amp;AX112)=0,1,0),0)</f>
        <v>0</v>
      </c>
      <c r="BA112" s="23" t="n">
        <f aca="false">IF(AY112=1,IF(COUNTIFS($A$2:$A$201,$A112,$AY$2:$AY$201,1,$H$2:$H$201,"&gt;"&amp;H112)+COUNTIFS($A$2:$A$201,$A112,$AY$2:$AY$201,1,$H$2:$H$201,H112,$AX$2:$AX$201,"&gt;"&amp;AX112)=0,1,0),0)</f>
        <v>0</v>
      </c>
      <c r="BB112" s="23" t="n">
        <f aca="false">IF(AND(AY112=1,O112="Y",MAX(N(R112),N(V112))&gt;=Config!$B$14),1,0)</f>
        <v>0</v>
      </c>
      <c r="BC112" s="23" t="n">
        <f aca="false">IF(BB112=1,IF(COUNTIFS($AW$2:$AW$201,AW112,$BB$2:$BB$201,1,$H$2:$H$201,"&lt;"&amp;H112)+COUNTIFS($AW$2:$AW$201,AW112,$BB$2:$BB$201,1,$H$2:$H$201,H112,$AX$2:$AX$201,"&lt;"&amp;AX112)=0,1,0),0)</f>
        <v>0</v>
      </c>
      <c r="BD112" s="23" t="n">
        <f aca="false">IF(AND(AY112=1,O112="Y",ISNUMBER(R112)),IF(R112&gt;=Config!$B$14,1,0),0)</f>
        <v>0</v>
      </c>
      <c r="BE112" s="23" t="n">
        <f aca="false">IF(BD112=1,IF(COUNTIFS($AW$2:$AW$201,AW112,$BD$2:$BD$201,1,$H$2:$H$201,"&lt;"&amp;H112)+COUNTIFS($AW$2:$AW$201,AW112,$BD$2:$BD$201,1,$H$2:$H$201,H112,$AX$2:$AX$201,"&lt;"&amp;AX112)=0,1,0),0)</f>
        <v>0</v>
      </c>
      <c r="BF112" s="23" t="n">
        <f aca="false">IF(AND(AY112=1,O112&lt;&gt;"Y",MAX(N(R112),N(V112))&gt;=Config!$B$14),1,0)</f>
        <v>0</v>
      </c>
      <c r="BG112" s="23" t="n">
        <f aca="false">IF(BF112=1,IF(COUNTIFS($AW$2:$AW$201,AW112,$BF$2:$BF$201,1,$H$2:$H$201,"&lt;"&amp;H112)+COUNTIFS($AW$2:$AW$201,AW112,$BF$2:$BF$201,1,$H$2:$H$201,H112,$AX$2:$AX$201,"&lt;"&amp;AX112)=0,1,0),0)</f>
        <v>0</v>
      </c>
      <c r="BH112" s="23" t="n">
        <f aca="false">IF(AND(AY112=1,ISNUMBER(R112)),1,0)</f>
        <v>0</v>
      </c>
      <c r="BI112" s="23" t="n">
        <f aca="false">IF(BH112=1,IF(COUNTIFS($AW$2:$AW$201,AW112,$BH$2:$BH$201,1,$H$2:$H$201,"&lt;"&amp;H112)+COUNTIFS($AW$2:$AW$201,AW112,$BH$2:$BH$201,1,$H$2:$H$201,H112,$AX$2:$AX$201,"&lt;"&amp;AX112)=0,1,0),0)</f>
        <v>0</v>
      </c>
      <c r="BJ112" s="23" t="str">
        <f aca="false">IF(AND(BI112=1,INT(N(H112))&lt;=Config!$B$6),R112,"")</f>
        <v/>
      </c>
      <c r="BK112" s="23" t="str">
        <f aca="false">IF(AND(BI112=1,INT(N(H112))&lt;=Config!$B$7),R112,"")</f>
        <v/>
      </c>
      <c r="BL112" s="23" t="str">
        <f aca="false">IF(AND(BI112=1,INT(N(H112))&lt;=Config!$B$8),R112,"")</f>
        <v/>
      </c>
      <c r="BM112" s="23" t="str">
        <f aca="false">IF(AND(BI112=1,INT(N(H112))&lt;=Config!$B$5),R112,"")</f>
        <v/>
      </c>
      <c r="BN112" s="23" t="n">
        <f aca="false">IF(AND(AY112=1,ISNUMBER(V112)),1,0)</f>
        <v>0</v>
      </c>
      <c r="BO112" s="23" t="n">
        <f aca="false">IF(BN112=1,IF(COUNTIFS($AW$2:$AW$201,AW112,$BN$2:$BN$201,1,$H$2:$H$201,"&lt;"&amp;H112)+COUNTIFS($AW$2:$AW$201,AW112,$BN$2:$BN$201,1,$H$2:$H$201,H112,$AX$2:$AX$201,"&lt;"&amp;AX112)=0,1,0),0)</f>
        <v>0</v>
      </c>
      <c r="BP112" s="23" t="str">
        <f aca="false">IF(AND(BO112=1,INT(N(H112))&lt;=Config!$B$6),V112,"")</f>
        <v/>
      </c>
      <c r="BQ112" s="23" t="str">
        <f aca="false">IF(AND(BO112=1,INT(N(H112))&lt;=Config!$B$7),V112,"")</f>
        <v/>
      </c>
      <c r="BR112" s="23" t="str">
        <f aca="false">IF(AND(BO112=1,INT(N(H112))&lt;=Config!$B$8),V112,"")</f>
        <v/>
      </c>
      <c r="BS112" s="23" t="str">
        <f aca="false">IF(AND(BO112=1,INT(N(H112))&lt;=Config!$B$5),V112,"")</f>
        <v/>
      </c>
      <c r="BT112" s="23" t="n">
        <f aca="false">IF(AND(AY112=1,ISNUMBER(K112)),1,0)</f>
        <v>0</v>
      </c>
      <c r="BU112" s="23" t="n">
        <f aca="false">IF(BT112=1,IF(COUNTIFS($AW$2:$AW$201,AW112,$BT$2:$BT$201,1,$H$2:$H$201,"&lt;"&amp;H112)+COUNTIFS($AW$2:$AW$201,AW112,$BT$2:$BT$201,1,$H$2:$H$201,H112,$AX$2:$AX$201,"&lt;"&amp;AX112)=0,1,0),0)</f>
        <v>0</v>
      </c>
      <c r="BV112" s="23" t="str">
        <f aca="false">IF(AND(BU112=1,INT(N(H112))&lt;=Config!$B$5),K112,"")</f>
        <v/>
      </c>
      <c r="BW112" s="23" t="n">
        <f aca="false">IF(AND(AY112=1,OR(AND(ISNUMBER(R112),TRIM(S112)=""),AND(ISNUMBER(V112),TRIM(W112)=""))),1,0)</f>
        <v>0</v>
      </c>
      <c r="BX112" s="23" t="str">
        <f aca="false">IF(AY112=1,AJ112&amp;"","")</f>
        <v/>
      </c>
      <c r="BY112" s="23" t="str">
        <f aca="false">IF(AY112=1,AK112&amp;"","")</f>
        <v/>
      </c>
      <c r="BZ112" s="23" t="str">
        <f aca="false">IF(AY112=1,AL112&amp;"","")</f>
        <v/>
      </c>
      <c r="CA112" s="23" t="str">
        <f aca="false">IF(AND(AY112=1,ISNUMBER(AS112),INT(N(H112))&lt;=Config!$B$5),AS112,"")</f>
        <v/>
      </c>
      <c r="CB112" s="23" t="str">
        <f aca="false">IF(AY112=1,IF(COUNTIFS($A$2:$A$201,$A112,$CU$2:$CU$201,1,$AN$2:$AN$201,"Y")&gt;0,"Y","N"),"")</f>
        <v/>
      </c>
      <c r="CC112" s="23" t="n">
        <f aca="false">IF(AND(AY112=1,AN112="Y"),IF(COUNTIFS($AW$2:$AW$201,AW112,$AN$2:$AN$201,"Y",$AY$2:$AY$201,1,$H$2:$H$201,"&lt;"&amp;H112)+COUNTIFS($AW$2:$AW$201,AW112,$AN$2:$AN$201,"Y",$AY$2:$AY$201,1,$H$2:$H$201,H112,$AX$2:$AX$201,"&lt;"&amp;AX112)=0,1,0),0)</f>
        <v>0</v>
      </c>
      <c r="CD112" s="23" t="n">
        <f aca="false">IF(AND(AY112=1,AB112="Y",AC112="Y",AD112="Y",AE112="Y",AF112="Y",AG112="Y",AI112="Y",TRIM(AH112)&lt;&gt;""),1,0)</f>
        <v>0</v>
      </c>
      <c r="CE112" s="23" t="n">
        <f aca="false">IF(CD112=1,IF(COUNTIFS($AW$2:$AW$201,AW112,$CD$2:$CD$201,1,$H$2:$H$201,"&lt;"&amp;H112)+COUNTIFS($AW$2:$AW$201,AW112,$CD$2:$CD$201,1,$H$2:$H$201,H112,$AX$2:$AX$201,"&lt;"&amp;AX112)=0,1,0),0)</f>
        <v>0</v>
      </c>
      <c r="CF112" s="23" t="n">
        <f aca="false">IF(AND(AY112=1,AO112="Y"),1,0)</f>
        <v>0</v>
      </c>
      <c r="CG112" s="23" t="n">
        <f aca="false">IF(CF112=1,IF(COUNTIFS($AW$2:$AW$201,AW112,$CF$2:$CF$201,1,$H$2:$H$201,"&lt;"&amp;H112)+COUNTIFS($AW$2:$AW$201,AW112,$CF$2:$CF$201,1,$H$2:$H$201,H112,$AX$2:$AX$201,"&lt;"&amp;AX112)=0,1,0),0)</f>
        <v>0</v>
      </c>
      <c r="CH112" s="23" t="n">
        <f aca="false">IF(AND(AY112=1,P112="Y"),1,0)</f>
        <v>0</v>
      </c>
      <c r="CI112" s="23" t="n">
        <f aca="false">IF(CH112=1,IF(COUNTIFS($AW$2:$AW$201,AW112,$CH$2:$CH$201,1,$H$2:$H$201,"&lt;"&amp;H112)+COUNTIFS($AW$2:$AW$201,AW112,$CH$2:$CH$201,1,$H$2:$H$201,H112,$AX$2:$AX$201,"&lt;"&amp;AX112)=0,1,0),0)</f>
        <v>0</v>
      </c>
      <c r="CJ112" s="23" t="str">
        <f aca="false">IF(AND(BU112=1,INT(N(H112))&lt;=Config!$B$5),L112,"")</f>
        <v/>
      </c>
      <c r="CK112" s="23" t="n">
        <f aca="false">IF(AND(AY112=1,AR112="Y"),1,0)</f>
        <v>0</v>
      </c>
      <c r="CL112" s="23" t="n">
        <f aca="false">IF(CK112=1,IF(COUNTIFS($AW$2:$AW$201,AW112,$CK$2:$CK$201,1,$H$2:$H$201,"&lt;"&amp;H112)+COUNTIFS($AW$2:$AW$201,AW112,$CK$2:$CK$201,1,$H$2:$H$201,H112,$AX$2:$AX$201,"&lt;"&amp;AX112)=0,1,0),0)</f>
        <v>0</v>
      </c>
      <c r="CM112" s="23" t="str">
        <f aca="false">IF(AY112=1,IFERROR(MATCH($A112,INDEX(Clay_Brands!$A$2:$FZ$601,0,Sync!$D$5),0),""),"")</f>
        <v/>
      </c>
      <c r="CN112" s="23" t="str">
        <f aca="false">IF(CM112="","",IFERROR(INDEX(Clay_Brands!$A$2:$FZ$601,CM112,Sync!$D$7)&amp;"",""))</f>
        <v/>
      </c>
      <c r="CO112" s="23" t="str">
        <f aca="false">IF(CN112="","",IFERROR(INDEX(Lists!$K$2:$K$15,MATCH(CN112,Lists!$J$2:$J$15,0)),""))</f>
        <v/>
      </c>
      <c r="CP112" s="23" t="str">
        <f aca="false">IF(CM112="","",IFERROR(INDEX(Clay_Brands!$A$2:$FZ$601,CM112,Sync!$D$17)&amp;"",""))</f>
        <v/>
      </c>
      <c r="CQ112" s="35" t="str">
        <f aca="false">IF(CM112="","",IFERROR(N(INDEX(Clay_Brands!$A$2:$FZ$601,CM112,Sync!$D$16)),0))</f>
        <v/>
      </c>
      <c r="CR112" s="23" t="n">
        <f aca="false">IF(AND(AY112=1,OR(O112="N",AND(OR(ISNUMBER(R112),ISNUMBER(V112)),MAX(N(R112),N(V112))&lt;Config!$B$14))),1,0)</f>
        <v>0</v>
      </c>
      <c r="CS112" s="23" t="n">
        <f aca="false">IF(OR(BB112=1,CR112=1),1,0)</f>
        <v>0</v>
      </c>
      <c r="CT112" s="23" t="n">
        <f aca="false">IF(AND(AY112=1,OR(AN112="Y",AN112="N",AN112="maybe")),1,0)</f>
        <v>0</v>
      </c>
      <c r="CU112" s="23" t="n">
        <f aca="false">IF(AND(CT112=1),IF(COUNTIFS($A$2:$A$201,$A112,$CT$2:$CT$201,1,$H$2:$H$201,"&gt;"&amp;H112)+COUNTIFS($A$2:$A$201,$A112,$CT$2:$CT$201,1,$H$2:$H$201,H112,$AX$2:$AX$201,"&gt;"&amp;AX112)=0,1,0),0)</f>
        <v>0</v>
      </c>
      <c r="CV112" s="23" t="n">
        <f aca="false">IF(AND(CS112=1,INT(N(H112))&lt;=Config!$B$6),IF(COUNTIFS($AW$2:$AW$201,AW112,$CS$2:$CS$201,1,$H$2:$H$201,"&gt;"&amp;H112,$H$2:$H$201,"&lt;"&amp;(Config!$B$6+1))+COUNTIFS($AW$2:$AW$201,AW112,$CS$2:$CS$201,1,$H$2:$H$201,H112,$AX$2:$AX$201,"&gt;"&amp;AX112)=0,1,0),0)</f>
        <v>0</v>
      </c>
      <c r="CW112" s="23" t="n">
        <f aca="false">IF(AND(CS112=1,INT(N(H112))&lt;=Config!$B$7),IF(COUNTIFS($AW$2:$AW$201,AW112,$CS$2:$CS$201,1,$H$2:$H$201,"&gt;"&amp;H112,$H$2:$H$201,"&lt;"&amp;(Config!$B$7+1))+COUNTIFS($AW$2:$AW$201,AW112,$CS$2:$CS$201,1,$H$2:$H$201,H112,$AX$2:$AX$201,"&gt;"&amp;AX112)=0,1,0),0)</f>
        <v>0</v>
      </c>
      <c r="CX112" s="23" t="n">
        <f aca="false">IF(AND(CS112=1,INT(N(H112))&lt;=Config!$B$8),IF(COUNTIFS($AW$2:$AW$201,AW112,$CS$2:$CS$201,1,$H$2:$H$201,"&gt;"&amp;H112,$H$2:$H$201,"&lt;"&amp;(Config!$B$8+1))+COUNTIFS($AW$2:$AW$201,AW112,$CS$2:$CS$201,1,$H$2:$H$201,H112,$AX$2:$AX$201,"&gt;"&amp;AX112)=0,1,0),0)</f>
        <v>0</v>
      </c>
      <c r="CY112" s="23" t="n">
        <f aca="false">IF(AND(CS112=1,INT(N(H112))&lt;=Config!$B$5),IF(COUNTIFS($AW$2:$AW$201,AW112,$CS$2:$CS$201,1,$H$2:$H$201,"&gt;"&amp;H112,$H$2:$H$201,"&lt;"&amp;(Config!$B$5+1))+COUNTIFS($AW$2:$AW$201,AW112,$CS$2:$CS$201,1,$H$2:$H$201,H112,$AX$2:$AX$201,"&gt;"&amp;AX112)=0,1,0),0)</f>
        <v>0</v>
      </c>
      <c r="CZ112" s="23" t="n">
        <f aca="false">IF(AY112=1,IF(COUNTIFS($AW$2:$AW$201,AW112,$CV$2:$CV$201,1,$BB$2:$BB$201,1)&gt;0,1,0),0)</f>
        <v>0</v>
      </c>
      <c r="DA112" s="23" t="n">
        <f aca="false">IF(AY112=1,IF(COUNTIFS($AW$2:$AW$201,AW112,$CW$2:$CW$201,1,$BB$2:$BB$201,1)&gt;0,1,0),0)</f>
        <v>0</v>
      </c>
      <c r="DB112" s="23" t="n">
        <f aca="false">IF(AY112=1,IF(COUNTIFS($AW$2:$AW$201,AW112,$CX$2:$CX$201,1,$BB$2:$BB$201,1)&gt;0,1,0),0)</f>
        <v>0</v>
      </c>
      <c r="DC112" s="23" t="n">
        <f aca="false">IF(AY112=1,IF(COUNTIFS($AW$2:$AW$201,AW112,$CY$2:$CY$201,1,$BB$2:$BB$201,1)&gt;0,1,0),0)</f>
        <v>0</v>
      </c>
      <c r="DD112" s="23" t="n">
        <f aca="false">IF(AND(BC112=1,INT(N(H112))&lt;=Config!$B$6,CZ112=1),1,0)</f>
        <v>0</v>
      </c>
      <c r="DE112" s="23" t="n">
        <f aca="false">IF(AND(BC112=1,INT(N(H112))&lt;=Config!$B$7,DA112=1),1,0)</f>
        <v>0</v>
      </c>
      <c r="DF112" s="23" t="n">
        <f aca="false">IF(AND(BC112=1,INT(N(H112))&lt;=Config!$B$8,DB112=1),1,0)</f>
        <v>0</v>
      </c>
      <c r="DG112" s="23" t="n">
        <f aca="false">IF(AND(BC112=1,INT(N(H112))&lt;=Config!$B$5,DC112=1),1,0)</f>
        <v>0</v>
      </c>
      <c r="DH112" s="23" t="n">
        <f aca="false">IF(AND(BE112=1,INT(N(H112))&lt;=Config!$B$6,CZ112=1),1,0)</f>
        <v>0</v>
      </c>
      <c r="DI112" s="23" t="n">
        <f aca="false">IF(AND(BE112=1,INT(N(H112))&lt;=Config!$B$7,DA112=1),1,0)</f>
        <v>0</v>
      </c>
      <c r="DJ112" s="23" t="n">
        <f aca="false">IF(AND(BE112=1,INT(N(H112))&lt;=Config!$B$8,DB112=1),1,0)</f>
        <v>0</v>
      </c>
      <c r="DK112" s="23" t="n">
        <f aca="false">IF(AND(BE112=1,INT(N(H112))&lt;=Config!$B$5,DC112=1),1,0)</f>
        <v>0</v>
      </c>
      <c r="DL112" s="23" t="n">
        <f aca="false">IF(AND(BC112=1,INT(N(H112))&lt;=Config!$B$6,CZ112=0),1,0)</f>
        <v>0</v>
      </c>
      <c r="DM112" s="23" t="n">
        <f aca="false">IF(AND(BC112=1,INT(N(H112))&lt;=Config!$B$7,DA112=0),1,0)</f>
        <v>0</v>
      </c>
      <c r="DN112" s="23" t="n">
        <f aca="false">IF(AND(BC112=1,INT(N(H112))&lt;=Config!$B$8,DB112=0),1,0)</f>
        <v>0</v>
      </c>
      <c r="DO112" s="23" t="n">
        <f aca="false">IF(AND(BC112=1,INT(N(H112))&lt;=Config!$B$5,DC112=0),1,0)</f>
        <v>0</v>
      </c>
      <c r="DP112" s="23" t="n">
        <f aca="false">IF(TRIM($A112)="",0,ISTEXT(K112)+ISTEXT(L112)+ISTEXT(R112)+ISTEXT(V112)+ISTEXT(AP112)+ISTEXT(AS112))</f>
        <v>0</v>
      </c>
      <c r="DQ112" s="23" t="n">
        <f aca="false">IF(AY112=1,IF(H112&lt;&gt;INT(H112),1,0),0)</f>
        <v>0</v>
      </c>
      <c r="DR112" s="23" t="str">
        <f aca="false">IF(TRIM($A112)="","",IF(TRIM(B112)="",SUBSTITUTE(SUBSTITUTE(SUBSTITUTE(SUBSTITUTE(SUBSTITUTE(SUBSTITUTE(LOWER(TRIM($A112)),"~",""),"*",""),"?",""),"&lt;",""),"&gt;",""),"=",""),SUBSTITUTE(SUBSTITUTE(SUBSTITUTE(SUBSTITUTE(SUBSTITUTE(SUBSTITUTE(LOWER(TRIM(B112)),"~",""),"*",""),"?",""),"&lt;",""),"&gt;",""),"=","")))</f>
        <v/>
      </c>
      <c r="DS112" s="23" t="str">
        <f aca="false">IF(CM112="","",IFERROR(IF(LEFT(LOWER(TRIM(INDEX(Clay_Brands!$A$2:$FZ$601,CM112,Sync!$D$19)&amp;"")),4)="grp-",SUBSTITUTE(SUBSTITUTE(SUBSTITUTE(SUBSTITUTE(SUBSTITUTE(SUBSTITUTE(LOWER(TRIM(INDEX(Clay_Brands!$A$2:$FZ$601,CM112,Sync!$D$19)&amp;"")),"~",""),"*",""),"?",""),"&lt;",""),"&gt;",""),"=",""),""),""))</f>
        <v/>
      </c>
      <c r="DT112" s="23" t="str">
        <f aca="false">IF(DS112&lt;&gt;"",DR112,"")</f>
        <v/>
      </c>
      <c r="DU112" s="23" t="str">
        <f aca="false">IF(AZ112=1,AW112,"")</f>
        <v/>
      </c>
      <c r="DV112" s="23" t="str">
        <f aca="false">IF(TRIM($A112)="","",IFERROR(INDEX($A$2:$A$201,MATCH(AW112,$DU$2:$DU$201,0))&amp;"",$A112&amp;""))</f>
        <v/>
      </c>
      <c r="DW112" s="23" t="n">
        <f aca="false">IF(AY112=1,IF(COUNTIFS($A$2:$A$201,$A112,$AY$2:$AY$201,1,$H$2:$H$201,"&lt;"&amp;H112)+COUNTIFS($A$2:$A$201,$A112,$AY$2:$AY$201,1,$H$2:$H$201,H112,$AX$2:$AX$201,"&lt;"&amp;AX112)=0,1,0),0)</f>
        <v>0</v>
      </c>
      <c r="DX112" s="23" t="n">
        <f aca="false">IF(AZ112=1,IF(COUNTIFS($AW$2:$AW$201,AW112,$DW$2:$DW$201,1)&gt;1,1,0),0)</f>
        <v>0</v>
      </c>
    </row>
    <row r="113" customFormat="false" ht="15" hidden="false" customHeight="false" outlineLevel="0" collapsed="false">
      <c r="G113" s="32"/>
      <c r="H113" s="33"/>
      <c r="I113" s="32"/>
      <c r="O113" s="32"/>
      <c r="P113" s="32"/>
      <c r="U113" s="32"/>
      <c r="Y113" s="32"/>
      <c r="AB113" s="32"/>
      <c r="AC113" s="32"/>
      <c r="AD113" s="32"/>
      <c r="AE113" s="32"/>
      <c r="AF113" s="32"/>
      <c r="AG113" s="32"/>
      <c r="AI113" s="32"/>
      <c r="AJ113" s="32"/>
      <c r="AK113" s="32"/>
      <c r="AN113" s="32"/>
      <c r="AO113" s="32"/>
      <c r="AR113" s="32"/>
      <c r="AT113" s="32"/>
      <c r="AV113" s="34" t="str">
        <f aca="false">IF(TRIM($A113)="","",IF(AND(LEFT($A113,6)="SAMPLE",Config!$B$19&lt;&gt;"Y"),"",IF(NOT(ISNUMBER(H113)),"call_date is blank or not a date",IF(Sync!$D$5="","Clay paste is empty or has no row_id column: paste the Clay export on Clay_Brands",IF(CM113="","row_id not found in the Clay paste: add the Clay row or fix the row_id",IF(AND(ISNUMBER(CO113),CO113&gt;=1,CO113&lt;=5),"Clay status is "&amp;CN113&amp;": set call_done or later",IF(AND(BA113=1,CP113&lt;&gt;CB113),"Clay yes_in_principle should be "&amp;CB113,IF(AND(BA113=1,CQ113&lt;&gt;H113),"Clay call_date should be "&amp;TEXT(H113,"yyyy-mm-dd"),""))))))))</f>
        <v/>
      </c>
      <c r="AW113" s="23" t="str">
        <f aca="false">IF(TRIM($A113)="","",IF(TRIM(C113)&lt;&gt;"",SUBSTITUTE(SUBSTITUTE(SUBSTITUTE(SUBSTITUTE(SUBSTITUTE(SUBSTITUTE(LOWER(TRIM(C113)),"~",""),"*",""),"?",""),"&lt;",""),"&gt;",""),"=",""),IF(DS113&lt;&gt;"",DS113,IFERROR(INDEX($DS$2:$DS$201,MATCH(DR113,$DT$2:$DT$201,0)),DR113))))</f>
        <v/>
      </c>
      <c r="AX113" s="23" t="n">
        <f aca="false">ROW()</f>
        <v>113</v>
      </c>
      <c r="AY113" s="23" t="n">
        <f aca="false">IF(AND(TRIM($A113)&lt;&gt;"",ISNUMBER(H113)),IF(AND(LEFT($A113,6)="SAMPLE",Config!$B$19&lt;&gt;"Y"),0,1),0)</f>
        <v>0</v>
      </c>
      <c r="AZ113" s="23" t="n">
        <f aca="false">IF(AY113=1,IF(COUNTIFS($AW$2:$AW$201,AW113,$AY$2:$AY$201,1,$H$2:$H$201,"&lt;"&amp;H113)+COUNTIFS($AW$2:$AW$201,AW113,$AY$2:$AY$201,1,$H$2:$H$201,H113,$AX$2:$AX$201,"&lt;"&amp;AX113)=0,1,0),0)</f>
        <v>0</v>
      </c>
      <c r="BA113" s="23" t="n">
        <f aca="false">IF(AY113=1,IF(COUNTIFS($A$2:$A$201,$A113,$AY$2:$AY$201,1,$H$2:$H$201,"&gt;"&amp;H113)+COUNTIFS($A$2:$A$201,$A113,$AY$2:$AY$201,1,$H$2:$H$201,H113,$AX$2:$AX$201,"&gt;"&amp;AX113)=0,1,0),0)</f>
        <v>0</v>
      </c>
      <c r="BB113" s="23" t="n">
        <f aca="false">IF(AND(AY113=1,O113="Y",MAX(N(R113),N(V113))&gt;=Config!$B$14),1,0)</f>
        <v>0</v>
      </c>
      <c r="BC113" s="23" t="n">
        <f aca="false">IF(BB113=1,IF(COUNTIFS($AW$2:$AW$201,AW113,$BB$2:$BB$201,1,$H$2:$H$201,"&lt;"&amp;H113)+COUNTIFS($AW$2:$AW$201,AW113,$BB$2:$BB$201,1,$H$2:$H$201,H113,$AX$2:$AX$201,"&lt;"&amp;AX113)=0,1,0),0)</f>
        <v>0</v>
      </c>
      <c r="BD113" s="23" t="n">
        <f aca="false">IF(AND(AY113=1,O113="Y",ISNUMBER(R113)),IF(R113&gt;=Config!$B$14,1,0),0)</f>
        <v>0</v>
      </c>
      <c r="BE113" s="23" t="n">
        <f aca="false">IF(BD113=1,IF(COUNTIFS($AW$2:$AW$201,AW113,$BD$2:$BD$201,1,$H$2:$H$201,"&lt;"&amp;H113)+COUNTIFS($AW$2:$AW$201,AW113,$BD$2:$BD$201,1,$H$2:$H$201,H113,$AX$2:$AX$201,"&lt;"&amp;AX113)=0,1,0),0)</f>
        <v>0</v>
      </c>
      <c r="BF113" s="23" t="n">
        <f aca="false">IF(AND(AY113=1,O113&lt;&gt;"Y",MAX(N(R113),N(V113))&gt;=Config!$B$14),1,0)</f>
        <v>0</v>
      </c>
      <c r="BG113" s="23" t="n">
        <f aca="false">IF(BF113=1,IF(COUNTIFS($AW$2:$AW$201,AW113,$BF$2:$BF$201,1,$H$2:$H$201,"&lt;"&amp;H113)+COUNTIFS($AW$2:$AW$201,AW113,$BF$2:$BF$201,1,$H$2:$H$201,H113,$AX$2:$AX$201,"&lt;"&amp;AX113)=0,1,0),0)</f>
        <v>0</v>
      </c>
      <c r="BH113" s="23" t="n">
        <f aca="false">IF(AND(AY113=1,ISNUMBER(R113)),1,0)</f>
        <v>0</v>
      </c>
      <c r="BI113" s="23" t="n">
        <f aca="false">IF(BH113=1,IF(COUNTIFS($AW$2:$AW$201,AW113,$BH$2:$BH$201,1,$H$2:$H$201,"&lt;"&amp;H113)+COUNTIFS($AW$2:$AW$201,AW113,$BH$2:$BH$201,1,$H$2:$H$201,H113,$AX$2:$AX$201,"&lt;"&amp;AX113)=0,1,0),0)</f>
        <v>0</v>
      </c>
      <c r="BJ113" s="23" t="str">
        <f aca="false">IF(AND(BI113=1,INT(N(H113))&lt;=Config!$B$6),R113,"")</f>
        <v/>
      </c>
      <c r="BK113" s="23" t="str">
        <f aca="false">IF(AND(BI113=1,INT(N(H113))&lt;=Config!$B$7),R113,"")</f>
        <v/>
      </c>
      <c r="BL113" s="23" t="str">
        <f aca="false">IF(AND(BI113=1,INT(N(H113))&lt;=Config!$B$8),R113,"")</f>
        <v/>
      </c>
      <c r="BM113" s="23" t="str">
        <f aca="false">IF(AND(BI113=1,INT(N(H113))&lt;=Config!$B$5),R113,"")</f>
        <v/>
      </c>
      <c r="BN113" s="23" t="n">
        <f aca="false">IF(AND(AY113=1,ISNUMBER(V113)),1,0)</f>
        <v>0</v>
      </c>
      <c r="BO113" s="23" t="n">
        <f aca="false">IF(BN113=1,IF(COUNTIFS($AW$2:$AW$201,AW113,$BN$2:$BN$201,1,$H$2:$H$201,"&lt;"&amp;H113)+COUNTIFS($AW$2:$AW$201,AW113,$BN$2:$BN$201,1,$H$2:$H$201,H113,$AX$2:$AX$201,"&lt;"&amp;AX113)=0,1,0),0)</f>
        <v>0</v>
      </c>
      <c r="BP113" s="23" t="str">
        <f aca="false">IF(AND(BO113=1,INT(N(H113))&lt;=Config!$B$6),V113,"")</f>
        <v/>
      </c>
      <c r="BQ113" s="23" t="str">
        <f aca="false">IF(AND(BO113=1,INT(N(H113))&lt;=Config!$B$7),V113,"")</f>
        <v/>
      </c>
      <c r="BR113" s="23" t="str">
        <f aca="false">IF(AND(BO113=1,INT(N(H113))&lt;=Config!$B$8),V113,"")</f>
        <v/>
      </c>
      <c r="BS113" s="23" t="str">
        <f aca="false">IF(AND(BO113=1,INT(N(H113))&lt;=Config!$B$5),V113,"")</f>
        <v/>
      </c>
      <c r="BT113" s="23" t="n">
        <f aca="false">IF(AND(AY113=1,ISNUMBER(K113)),1,0)</f>
        <v>0</v>
      </c>
      <c r="BU113" s="23" t="n">
        <f aca="false">IF(BT113=1,IF(COUNTIFS($AW$2:$AW$201,AW113,$BT$2:$BT$201,1,$H$2:$H$201,"&lt;"&amp;H113)+COUNTIFS($AW$2:$AW$201,AW113,$BT$2:$BT$201,1,$H$2:$H$201,H113,$AX$2:$AX$201,"&lt;"&amp;AX113)=0,1,0),0)</f>
        <v>0</v>
      </c>
      <c r="BV113" s="23" t="str">
        <f aca="false">IF(AND(BU113=1,INT(N(H113))&lt;=Config!$B$5),K113,"")</f>
        <v/>
      </c>
      <c r="BW113" s="23" t="n">
        <f aca="false">IF(AND(AY113=1,OR(AND(ISNUMBER(R113),TRIM(S113)=""),AND(ISNUMBER(V113),TRIM(W113)=""))),1,0)</f>
        <v>0</v>
      </c>
      <c r="BX113" s="23" t="str">
        <f aca="false">IF(AY113=1,AJ113&amp;"","")</f>
        <v/>
      </c>
      <c r="BY113" s="23" t="str">
        <f aca="false">IF(AY113=1,AK113&amp;"","")</f>
        <v/>
      </c>
      <c r="BZ113" s="23" t="str">
        <f aca="false">IF(AY113=1,AL113&amp;"","")</f>
        <v/>
      </c>
      <c r="CA113" s="23" t="str">
        <f aca="false">IF(AND(AY113=1,ISNUMBER(AS113),INT(N(H113))&lt;=Config!$B$5),AS113,"")</f>
        <v/>
      </c>
      <c r="CB113" s="23" t="str">
        <f aca="false">IF(AY113=1,IF(COUNTIFS($A$2:$A$201,$A113,$CU$2:$CU$201,1,$AN$2:$AN$201,"Y")&gt;0,"Y","N"),"")</f>
        <v/>
      </c>
      <c r="CC113" s="23" t="n">
        <f aca="false">IF(AND(AY113=1,AN113="Y"),IF(COUNTIFS($AW$2:$AW$201,AW113,$AN$2:$AN$201,"Y",$AY$2:$AY$201,1,$H$2:$H$201,"&lt;"&amp;H113)+COUNTIFS($AW$2:$AW$201,AW113,$AN$2:$AN$201,"Y",$AY$2:$AY$201,1,$H$2:$H$201,H113,$AX$2:$AX$201,"&lt;"&amp;AX113)=0,1,0),0)</f>
        <v>0</v>
      </c>
      <c r="CD113" s="23" t="n">
        <f aca="false">IF(AND(AY113=1,AB113="Y",AC113="Y",AD113="Y",AE113="Y",AF113="Y",AG113="Y",AI113="Y",TRIM(AH113)&lt;&gt;""),1,0)</f>
        <v>0</v>
      </c>
      <c r="CE113" s="23" t="n">
        <f aca="false">IF(CD113=1,IF(COUNTIFS($AW$2:$AW$201,AW113,$CD$2:$CD$201,1,$H$2:$H$201,"&lt;"&amp;H113)+COUNTIFS($AW$2:$AW$201,AW113,$CD$2:$CD$201,1,$H$2:$H$201,H113,$AX$2:$AX$201,"&lt;"&amp;AX113)=0,1,0),0)</f>
        <v>0</v>
      </c>
      <c r="CF113" s="23" t="n">
        <f aca="false">IF(AND(AY113=1,AO113="Y"),1,0)</f>
        <v>0</v>
      </c>
      <c r="CG113" s="23" t="n">
        <f aca="false">IF(CF113=1,IF(COUNTIFS($AW$2:$AW$201,AW113,$CF$2:$CF$201,1,$H$2:$H$201,"&lt;"&amp;H113)+COUNTIFS($AW$2:$AW$201,AW113,$CF$2:$CF$201,1,$H$2:$H$201,H113,$AX$2:$AX$201,"&lt;"&amp;AX113)=0,1,0),0)</f>
        <v>0</v>
      </c>
      <c r="CH113" s="23" t="n">
        <f aca="false">IF(AND(AY113=1,P113="Y"),1,0)</f>
        <v>0</v>
      </c>
      <c r="CI113" s="23" t="n">
        <f aca="false">IF(CH113=1,IF(COUNTIFS($AW$2:$AW$201,AW113,$CH$2:$CH$201,1,$H$2:$H$201,"&lt;"&amp;H113)+COUNTIFS($AW$2:$AW$201,AW113,$CH$2:$CH$201,1,$H$2:$H$201,H113,$AX$2:$AX$201,"&lt;"&amp;AX113)=0,1,0),0)</f>
        <v>0</v>
      </c>
      <c r="CJ113" s="23" t="str">
        <f aca="false">IF(AND(BU113=1,INT(N(H113))&lt;=Config!$B$5),L113,"")</f>
        <v/>
      </c>
      <c r="CK113" s="23" t="n">
        <f aca="false">IF(AND(AY113=1,AR113="Y"),1,0)</f>
        <v>0</v>
      </c>
      <c r="CL113" s="23" t="n">
        <f aca="false">IF(CK113=1,IF(COUNTIFS($AW$2:$AW$201,AW113,$CK$2:$CK$201,1,$H$2:$H$201,"&lt;"&amp;H113)+COUNTIFS($AW$2:$AW$201,AW113,$CK$2:$CK$201,1,$H$2:$H$201,H113,$AX$2:$AX$201,"&lt;"&amp;AX113)=0,1,0),0)</f>
        <v>0</v>
      </c>
      <c r="CM113" s="23" t="str">
        <f aca="false">IF(AY113=1,IFERROR(MATCH($A113,INDEX(Clay_Brands!$A$2:$FZ$601,0,Sync!$D$5),0),""),"")</f>
        <v/>
      </c>
      <c r="CN113" s="23" t="str">
        <f aca="false">IF(CM113="","",IFERROR(INDEX(Clay_Brands!$A$2:$FZ$601,CM113,Sync!$D$7)&amp;"",""))</f>
        <v/>
      </c>
      <c r="CO113" s="23" t="str">
        <f aca="false">IF(CN113="","",IFERROR(INDEX(Lists!$K$2:$K$15,MATCH(CN113,Lists!$J$2:$J$15,0)),""))</f>
        <v/>
      </c>
      <c r="CP113" s="23" t="str">
        <f aca="false">IF(CM113="","",IFERROR(INDEX(Clay_Brands!$A$2:$FZ$601,CM113,Sync!$D$17)&amp;"",""))</f>
        <v/>
      </c>
      <c r="CQ113" s="35" t="str">
        <f aca="false">IF(CM113="","",IFERROR(N(INDEX(Clay_Brands!$A$2:$FZ$601,CM113,Sync!$D$16)),0))</f>
        <v/>
      </c>
      <c r="CR113" s="23" t="n">
        <f aca="false">IF(AND(AY113=1,OR(O113="N",AND(OR(ISNUMBER(R113),ISNUMBER(V113)),MAX(N(R113),N(V113))&lt;Config!$B$14))),1,0)</f>
        <v>0</v>
      </c>
      <c r="CS113" s="23" t="n">
        <f aca="false">IF(OR(BB113=1,CR113=1),1,0)</f>
        <v>0</v>
      </c>
      <c r="CT113" s="23" t="n">
        <f aca="false">IF(AND(AY113=1,OR(AN113="Y",AN113="N",AN113="maybe")),1,0)</f>
        <v>0</v>
      </c>
      <c r="CU113" s="23" t="n">
        <f aca="false">IF(AND(CT113=1),IF(COUNTIFS($A$2:$A$201,$A113,$CT$2:$CT$201,1,$H$2:$H$201,"&gt;"&amp;H113)+COUNTIFS($A$2:$A$201,$A113,$CT$2:$CT$201,1,$H$2:$H$201,H113,$AX$2:$AX$201,"&gt;"&amp;AX113)=0,1,0),0)</f>
        <v>0</v>
      </c>
      <c r="CV113" s="23" t="n">
        <f aca="false">IF(AND(CS113=1,INT(N(H113))&lt;=Config!$B$6),IF(COUNTIFS($AW$2:$AW$201,AW113,$CS$2:$CS$201,1,$H$2:$H$201,"&gt;"&amp;H113,$H$2:$H$201,"&lt;"&amp;(Config!$B$6+1))+COUNTIFS($AW$2:$AW$201,AW113,$CS$2:$CS$201,1,$H$2:$H$201,H113,$AX$2:$AX$201,"&gt;"&amp;AX113)=0,1,0),0)</f>
        <v>0</v>
      </c>
      <c r="CW113" s="23" t="n">
        <f aca="false">IF(AND(CS113=1,INT(N(H113))&lt;=Config!$B$7),IF(COUNTIFS($AW$2:$AW$201,AW113,$CS$2:$CS$201,1,$H$2:$H$201,"&gt;"&amp;H113,$H$2:$H$201,"&lt;"&amp;(Config!$B$7+1))+COUNTIFS($AW$2:$AW$201,AW113,$CS$2:$CS$201,1,$H$2:$H$201,H113,$AX$2:$AX$201,"&gt;"&amp;AX113)=0,1,0),0)</f>
        <v>0</v>
      </c>
      <c r="CX113" s="23" t="n">
        <f aca="false">IF(AND(CS113=1,INT(N(H113))&lt;=Config!$B$8),IF(COUNTIFS($AW$2:$AW$201,AW113,$CS$2:$CS$201,1,$H$2:$H$201,"&gt;"&amp;H113,$H$2:$H$201,"&lt;"&amp;(Config!$B$8+1))+COUNTIFS($AW$2:$AW$201,AW113,$CS$2:$CS$201,1,$H$2:$H$201,H113,$AX$2:$AX$201,"&gt;"&amp;AX113)=0,1,0),0)</f>
        <v>0</v>
      </c>
      <c r="CY113" s="23" t="n">
        <f aca="false">IF(AND(CS113=1,INT(N(H113))&lt;=Config!$B$5),IF(COUNTIFS($AW$2:$AW$201,AW113,$CS$2:$CS$201,1,$H$2:$H$201,"&gt;"&amp;H113,$H$2:$H$201,"&lt;"&amp;(Config!$B$5+1))+COUNTIFS($AW$2:$AW$201,AW113,$CS$2:$CS$201,1,$H$2:$H$201,H113,$AX$2:$AX$201,"&gt;"&amp;AX113)=0,1,0),0)</f>
        <v>0</v>
      </c>
      <c r="CZ113" s="23" t="n">
        <f aca="false">IF(AY113=1,IF(COUNTIFS($AW$2:$AW$201,AW113,$CV$2:$CV$201,1,$BB$2:$BB$201,1)&gt;0,1,0),0)</f>
        <v>0</v>
      </c>
      <c r="DA113" s="23" t="n">
        <f aca="false">IF(AY113=1,IF(COUNTIFS($AW$2:$AW$201,AW113,$CW$2:$CW$201,1,$BB$2:$BB$201,1)&gt;0,1,0),0)</f>
        <v>0</v>
      </c>
      <c r="DB113" s="23" t="n">
        <f aca="false">IF(AY113=1,IF(COUNTIFS($AW$2:$AW$201,AW113,$CX$2:$CX$201,1,$BB$2:$BB$201,1)&gt;0,1,0),0)</f>
        <v>0</v>
      </c>
      <c r="DC113" s="23" t="n">
        <f aca="false">IF(AY113=1,IF(COUNTIFS($AW$2:$AW$201,AW113,$CY$2:$CY$201,1,$BB$2:$BB$201,1)&gt;0,1,0),0)</f>
        <v>0</v>
      </c>
      <c r="DD113" s="23" t="n">
        <f aca="false">IF(AND(BC113=1,INT(N(H113))&lt;=Config!$B$6,CZ113=1),1,0)</f>
        <v>0</v>
      </c>
      <c r="DE113" s="23" t="n">
        <f aca="false">IF(AND(BC113=1,INT(N(H113))&lt;=Config!$B$7,DA113=1),1,0)</f>
        <v>0</v>
      </c>
      <c r="DF113" s="23" t="n">
        <f aca="false">IF(AND(BC113=1,INT(N(H113))&lt;=Config!$B$8,DB113=1),1,0)</f>
        <v>0</v>
      </c>
      <c r="DG113" s="23" t="n">
        <f aca="false">IF(AND(BC113=1,INT(N(H113))&lt;=Config!$B$5,DC113=1),1,0)</f>
        <v>0</v>
      </c>
      <c r="DH113" s="23" t="n">
        <f aca="false">IF(AND(BE113=1,INT(N(H113))&lt;=Config!$B$6,CZ113=1),1,0)</f>
        <v>0</v>
      </c>
      <c r="DI113" s="23" t="n">
        <f aca="false">IF(AND(BE113=1,INT(N(H113))&lt;=Config!$B$7,DA113=1),1,0)</f>
        <v>0</v>
      </c>
      <c r="DJ113" s="23" t="n">
        <f aca="false">IF(AND(BE113=1,INT(N(H113))&lt;=Config!$B$8,DB113=1),1,0)</f>
        <v>0</v>
      </c>
      <c r="DK113" s="23" t="n">
        <f aca="false">IF(AND(BE113=1,INT(N(H113))&lt;=Config!$B$5,DC113=1),1,0)</f>
        <v>0</v>
      </c>
      <c r="DL113" s="23" t="n">
        <f aca="false">IF(AND(BC113=1,INT(N(H113))&lt;=Config!$B$6,CZ113=0),1,0)</f>
        <v>0</v>
      </c>
      <c r="DM113" s="23" t="n">
        <f aca="false">IF(AND(BC113=1,INT(N(H113))&lt;=Config!$B$7,DA113=0),1,0)</f>
        <v>0</v>
      </c>
      <c r="DN113" s="23" t="n">
        <f aca="false">IF(AND(BC113=1,INT(N(H113))&lt;=Config!$B$8,DB113=0),1,0)</f>
        <v>0</v>
      </c>
      <c r="DO113" s="23" t="n">
        <f aca="false">IF(AND(BC113=1,INT(N(H113))&lt;=Config!$B$5,DC113=0),1,0)</f>
        <v>0</v>
      </c>
      <c r="DP113" s="23" t="n">
        <f aca="false">IF(TRIM($A113)="",0,ISTEXT(K113)+ISTEXT(L113)+ISTEXT(R113)+ISTEXT(V113)+ISTEXT(AP113)+ISTEXT(AS113))</f>
        <v>0</v>
      </c>
      <c r="DQ113" s="23" t="n">
        <f aca="false">IF(AY113=1,IF(H113&lt;&gt;INT(H113),1,0),0)</f>
        <v>0</v>
      </c>
      <c r="DR113" s="23" t="str">
        <f aca="false">IF(TRIM($A113)="","",IF(TRIM(B113)="",SUBSTITUTE(SUBSTITUTE(SUBSTITUTE(SUBSTITUTE(SUBSTITUTE(SUBSTITUTE(LOWER(TRIM($A113)),"~",""),"*",""),"?",""),"&lt;",""),"&gt;",""),"=",""),SUBSTITUTE(SUBSTITUTE(SUBSTITUTE(SUBSTITUTE(SUBSTITUTE(SUBSTITUTE(LOWER(TRIM(B113)),"~",""),"*",""),"?",""),"&lt;",""),"&gt;",""),"=","")))</f>
        <v/>
      </c>
      <c r="DS113" s="23" t="str">
        <f aca="false">IF(CM113="","",IFERROR(IF(LEFT(LOWER(TRIM(INDEX(Clay_Brands!$A$2:$FZ$601,CM113,Sync!$D$19)&amp;"")),4)="grp-",SUBSTITUTE(SUBSTITUTE(SUBSTITUTE(SUBSTITUTE(SUBSTITUTE(SUBSTITUTE(LOWER(TRIM(INDEX(Clay_Brands!$A$2:$FZ$601,CM113,Sync!$D$19)&amp;"")),"~",""),"*",""),"?",""),"&lt;",""),"&gt;",""),"=",""),""),""))</f>
        <v/>
      </c>
      <c r="DT113" s="23" t="str">
        <f aca="false">IF(DS113&lt;&gt;"",DR113,"")</f>
        <v/>
      </c>
      <c r="DU113" s="23" t="str">
        <f aca="false">IF(AZ113=1,AW113,"")</f>
        <v/>
      </c>
      <c r="DV113" s="23" t="str">
        <f aca="false">IF(TRIM($A113)="","",IFERROR(INDEX($A$2:$A$201,MATCH(AW113,$DU$2:$DU$201,0))&amp;"",$A113&amp;""))</f>
        <v/>
      </c>
      <c r="DW113" s="23" t="n">
        <f aca="false">IF(AY113=1,IF(COUNTIFS($A$2:$A$201,$A113,$AY$2:$AY$201,1,$H$2:$H$201,"&lt;"&amp;H113)+COUNTIFS($A$2:$A$201,$A113,$AY$2:$AY$201,1,$H$2:$H$201,H113,$AX$2:$AX$201,"&lt;"&amp;AX113)=0,1,0),0)</f>
        <v>0</v>
      </c>
      <c r="DX113" s="23" t="n">
        <f aca="false">IF(AZ113=1,IF(COUNTIFS($AW$2:$AW$201,AW113,$DW$2:$DW$201,1)&gt;1,1,0),0)</f>
        <v>0</v>
      </c>
    </row>
    <row r="114" customFormat="false" ht="15" hidden="false" customHeight="false" outlineLevel="0" collapsed="false">
      <c r="G114" s="32"/>
      <c r="H114" s="33"/>
      <c r="I114" s="32"/>
      <c r="O114" s="32"/>
      <c r="P114" s="32"/>
      <c r="U114" s="32"/>
      <c r="Y114" s="32"/>
      <c r="AB114" s="32"/>
      <c r="AC114" s="32"/>
      <c r="AD114" s="32"/>
      <c r="AE114" s="32"/>
      <c r="AF114" s="32"/>
      <c r="AG114" s="32"/>
      <c r="AI114" s="32"/>
      <c r="AJ114" s="32"/>
      <c r="AK114" s="32"/>
      <c r="AN114" s="32"/>
      <c r="AO114" s="32"/>
      <c r="AR114" s="32"/>
      <c r="AT114" s="32"/>
      <c r="AV114" s="34" t="str">
        <f aca="false">IF(TRIM($A114)="","",IF(AND(LEFT($A114,6)="SAMPLE",Config!$B$19&lt;&gt;"Y"),"",IF(NOT(ISNUMBER(H114)),"call_date is blank or not a date",IF(Sync!$D$5="","Clay paste is empty or has no row_id column: paste the Clay export on Clay_Brands",IF(CM114="","row_id not found in the Clay paste: add the Clay row or fix the row_id",IF(AND(ISNUMBER(CO114),CO114&gt;=1,CO114&lt;=5),"Clay status is "&amp;CN114&amp;": set call_done or later",IF(AND(BA114=1,CP114&lt;&gt;CB114),"Clay yes_in_principle should be "&amp;CB114,IF(AND(BA114=1,CQ114&lt;&gt;H114),"Clay call_date should be "&amp;TEXT(H114,"yyyy-mm-dd"),""))))))))</f>
        <v/>
      </c>
      <c r="AW114" s="23" t="str">
        <f aca="false">IF(TRIM($A114)="","",IF(TRIM(C114)&lt;&gt;"",SUBSTITUTE(SUBSTITUTE(SUBSTITUTE(SUBSTITUTE(SUBSTITUTE(SUBSTITUTE(LOWER(TRIM(C114)),"~",""),"*",""),"?",""),"&lt;",""),"&gt;",""),"=",""),IF(DS114&lt;&gt;"",DS114,IFERROR(INDEX($DS$2:$DS$201,MATCH(DR114,$DT$2:$DT$201,0)),DR114))))</f>
        <v/>
      </c>
      <c r="AX114" s="23" t="n">
        <f aca="false">ROW()</f>
        <v>114</v>
      </c>
      <c r="AY114" s="23" t="n">
        <f aca="false">IF(AND(TRIM($A114)&lt;&gt;"",ISNUMBER(H114)),IF(AND(LEFT($A114,6)="SAMPLE",Config!$B$19&lt;&gt;"Y"),0,1),0)</f>
        <v>0</v>
      </c>
      <c r="AZ114" s="23" t="n">
        <f aca="false">IF(AY114=1,IF(COUNTIFS($AW$2:$AW$201,AW114,$AY$2:$AY$201,1,$H$2:$H$201,"&lt;"&amp;H114)+COUNTIFS($AW$2:$AW$201,AW114,$AY$2:$AY$201,1,$H$2:$H$201,H114,$AX$2:$AX$201,"&lt;"&amp;AX114)=0,1,0),0)</f>
        <v>0</v>
      </c>
      <c r="BA114" s="23" t="n">
        <f aca="false">IF(AY114=1,IF(COUNTIFS($A$2:$A$201,$A114,$AY$2:$AY$201,1,$H$2:$H$201,"&gt;"&amp;H114)+COUNTIFS($A$2:$A$201,$A114,$AY$2:$AY$201,1,$H$2:$H$201,H114,$AX$2:$AX$201,"&gt;"&amp;AX114)=0,1,0),0)</f>
        <v>0</v>
      </c>
      <c r="BB114" s="23" t="n">
        <f aca="false">IF(AND(AY114=1,O114="Y",MAX(N(R114),N(V114))&gt;=Config!$B$14),1,0)</f>
        <v>0</v>
      </c>
      <c r="BC114" s="23" t="n">
        <f aca="false">IF(BB114=1,IF(COUNTIFS($AW$2:$AW$201,AW114,$BB$2:$BB$201,1,$H$2:$H$201,"&lt;"&amp;H114)+COUNTIFS($AW$2:$AW$201,AW114,$BB$2:$BB$201,1,$H$2:$H$201,H114,$AX$2:$AX$201,"&lt;"&amp;AX114)=0,1,0),0)</f>
        <v>0</v>
      </c>
      <c r="BD114" s="23" t="n">
        <f aca="false">IF(AND(AY114=1,O114="Y",ISNUMBER(R114)),IF(R114&gt;=Config!$B$14,1,0),0)</f>
        <v>0</v>
      </c>
      <c r="BE114" s="23" t="n">
        <f aca="false">IF(BD114=1,IF(COUNTIFS($AW$2:$AW$201,AW114,$BD$2:$BD$201,1,$H$2:$H$201,"&lt;"&amp;H114)+COUNTIFS($AW$2:$AW$201,AW114,$BD$2:$BD$201,1,$H$2:$H$201,H114,$AX$2:$AX$201,"&lt;"&amp;AX114)=0,1,0),0)</f>
        <v>0</v>
      </c>
      <c r="BF114" s="23" t="n">
        <f aca="false">IF(AND(AY114=1,O114&lt;&gt;"Y",MAX(N(R114),N(V114))&gt;=Config!$B$14),1,0)</f>
        <v>0</v>
      </c>
      <c r="BG114" s="23" t="n">
        <f aca="false">IF(BF114=1,IF(COUNTIFS($AW$2:$AW$201,AW114,$BF$2:$BF$201,1,$H$2:$H$201,"&lt;"&amp;H114)+COUNTIFS($AW$2:$AW$201,AW114,$BF$2:$BF$201,1,$H$2:$H$201,H114,$AX$2:$AX$201,"&lt;"&amp;AX114)=0,1,0),0)</f>
        <v>0</v>
      </c>
      <c r="BH114" s="23" t="n">
        <f aca="false">IF(AND(AY114=1,ISNUMBER(R114)),1,0)</f>
        <v>0</v>
      </c>
      <c r="BI114" s="23" t="n">
        <f aca="false">IF(BH114=1,IF(COUNTIFS($AW$2:$AW$201,AW114,$BH$2:$BH$201,1,$H$2:$H$201,"&lt;"&amp;H114)+COUNTIFS($AW$2:$AW$201,AW114,$BH$2:$BH$201,1,$H$2:$H$201,H114,$AX$2:$AX$201,"&lt;"&amp;AX114)=0,1,0),0)</f>
        <v>0</v>
      </c>
      <c r="BJ114" s="23" t="str">
        <f aca="false">IF(AND(BI114=1,INT(N(H114))&lt;=Config!$B$6),R114,"")</f>
        <v/>
      </c>
      <c r="BK114" s="23" t="str">
        <f aca="false">IF(AND(BI114=1,INT(N(H114))&lt;=Config!$B$7),R114,"")</f>
        <v/>
      </c>
      <c r="BL114" s="23" t="str">
        <f aca="false">IF(AND(BI114=1,INT(N(H114))&lt;=Config!$B$8),R114,"")</f>
        <v/>
      </c>
      <c r="BM114" s="23" t="str">
        <f aca="false">IF(AND(BI114=1,INT(N(H114))&lt;=Config!$B$5),R114,"")</f>
        <v/>
      </c>
      <c r="BN114" s="23" t="n">
        <f aca="false">IF(AND(AY114=1,ISNUMBER(V114)),1,0)</f>
        <v>0</v>
      </c>
      <c r="BO114" s="23" t="n">
        <f aca="false">IF(BN114=1,IF(COUNTIFS($AW$2:$AW$201,AW114,$BN$2:$BN$201,1,$H$2:$H$201,"&lt;"&amp;H114)+COUNTIFS($AW$2:$AW$201,AW114,$BN$2:$BN$201,1,$H$2:$H$201,H114,$AX$2:$AX$201,"&lt;"&amp;AX114)=0,1,0),0)</f>
        <v>0</v>
      </c>
      <c r="BP114" s="23" t="str">
        <f aca="false">IF(AND(BO114=1,INT(N(H114))&lt;=Config!$B$6),V114,"")</f>
        <v/>
      </c>
      <c r="BQ114" s="23" t="str">
        <f aca="false">IF(AND(BO114=1,INT(N(H114))&lt;=Config!$B$7),V114,"")</f>
        <v/>
      </c>
      <c r="BR114" s="23" t="str">
        <f aca="false">IF(AND(BO114=1,INT(N(H114))&lt;=Config!$B$8),V114,"")</f>
        <v/>
      </c>
      <c r="BS114" s="23" t="str">
        <f aca="false">IF(AND(BO114=1,INT(N(H114))&lt;=Config!$B$5),V114,"")</f>
        <v/>
      </c>
      <c r="BT114" s="23" t="n">
        <f aca="false">IF(AND(AY114=1,ISNUMBER(K114)),1,0)</f>
        <v>0</v>
      </c>
      <c r="BU114" s="23" t="n">
        <f aca="false">IF(BT114=1,IF(COUNTIFS($AW$2:$AW$201,AW114,$BT$2:$BT$201,1,$H$2:$H$201,"&lt;"&amp;H114)+COUNTIFS($AW$2:$AW$201,AW114,$BT$2:$BT$201,1,$H$2:$H$201,H114,$AX$2:$AX$201,"&lt;"&amp;AX114)=0,1,0),0)</f>
        <v>0</v>
      </c>
      <c r="BV114" s="23" t="str">
        <f aca="false">IF(AND(BU114=1,INT(N(H114))&lt;=Config!$B$5),K114,"")</f>
        <v/>
      </c>
      <c r="BW114" s="23" t="n">
        <f aca="false">IF(AND(AY114=1,OR(AND(ISNUMBER(R114),TRIM(S114)=""),AND(ISNUMBER(V114),TRIM(W114)=""))),1,0)</f>
        <v>0</v>
      </c>
      <c r="BX114" s="23" t="str">
        <f aca="false">IF(AY114=1,AJ114&amp;"","")</f>
        <v/>
      </c>
      <c r="BY114" s="23" t="str">
        <f aca="false">IF(AY114=1,AK114&amp;"","")</f>
        <v/>
      </c>
      <c r="BZ114" s="23" t="str">
        <f aca="false">IF(AY114=1,AL114&amp;"","")</f>
        <v/>
      </c>
      <c r="CA114" s="23" t="str">
        <f aca="false">IF(AND(AY114=1,ISNUMBER(AS114),INT(N(H114))&lt;=Config!$B$5),AS114,"")</f>
        <v/>
      </c>
      <c r="CB114" s="23" t="str">
        <f aca="false">IF(AY114=1,IF(COUNTIFS($A$2:$A$201,$A114,$CU$2:$CU$201,1,$AN$2:$AN$201,"Y")&gt;0,"Y","N"),"")</f>
        <v/>
      </c>
      <c r="CC114" s="23" t="n">
        <f aca="false">IF(AND(AY114=1,AN114="Y"),IF(COUNTIFS($AW$2:$AW$201,AW114,$AN$2:$AN$201,"Y",$AY$2:$AY$201,1,$H$2:$H$201,"&lt;"&amp;H114)+COUNTIFS($AW$2:$AW$201,AW114,$AN$2:$AN$201,"Y",$AY$2:$AY$201,1,$H$2:$H$201,H114,$AX$2:$AX$201,"&lt;"&amp;AX114)=0,1,0),0)</f>
        <v>0</v>
      </c>
      <c r="CD114" s="23" t="n">
        <f aca="false">IF(AND(AY114=1,AB114="Y",AC114="Y",AD114="Y",AE114="Y",AF114="Y",AG114="Y",AI114="Y",TRIM(AH114)&lt;&gt;""),1,0)</f>
        <v>0</v>
      </c>
      <c r="CE114" s="23" t="n">
        <f aca="false">IF(CD114=1,IF(COUNTIFS($AW$2:$AW$201,AW114,$CD$2:$CD$201,1,$H$2:$H$201,"&lt;"&amp;H114)+COUNTIFS($AW$2:$AW$201,AW114,$CD$2:$CD$201,1,$H$2:$H$201,H114,$AX$2:$AX$201,"&lt;"&amp;AX114)=0,1,0),0)</f>
        <v>0</v>
      </c>
      <c r="CF114" s="23" t="n">
        <f aca="false">IF(AND(AY114=1,AO114="Y"),1,0)</f>
        <v>0</v>
      </c>
      <c r="CG114" s="23" t="n">
        <f aca="false">IF(CF114=1,IF(COUNTIFS($AW$2:$AW$201,AW114,$CF$2:$CF$201,1,$H$2:$H$201,"&lt;"&amp;H114)+COUNTIFS($AW$2:$AW$201,AW114,$CF$2:$CF$201,1,$H$2:$H$201,H114,$AX$2:$AX$201,"&lt;"&amp;AX114)=0,1,0),0)</f>
        <v>0</v>
      </c>
      <c r="CH114" s="23" t="n">
        <f aca="false">IF(AND(AY114=1,P114="Y"),1,0)</f>
        <v>0</v>
      </c>
      <c r="CI114" s="23" t="n">
        <f aca="false">IF(CH114=1,IF(COUNTIFS($AW$2:$AW$201,AW114,$CH$2:$CH$201,1,$H$2:$H$201,"&lt;"&amp;H114)+COUNTIFS($AW$2:$AW$201,AW114,$CH$2:$CH$201,1,$H$2:$H$201,H114,$AX$2:$AX$201,"&lt;"&amp;AX114)=0,1,0),0)</f>
        <v>0</v>
      </c>
      <c r="CJ114" s="23" t="str">
        <f aca="false">IF(AND(BU114=1,INT(N(H114))&lt;=Config!$B$5),L114,"")</f>
        <v/>
      </c>
      <c r="CK114" s="23" t="n">
        <f aca="false">IF(AND(AY114=1,AR114="Y"),1,0)</f>
        <v>0</v>
      </c>
      <c r="CL114" s="23" t="n">
        <f aca="false">IF(CK114=1,IF(COUNTIFS($AW$2:$AW$201,AW114,$CK$2:$CK$201,1,$H$2:$H$201,"&lt;"&amp;H114)+COUNTIFS($AW$2:$AW$201,AW114,$CK$2:$CK$201,1,$H$2:$H$201,H114,$AX$2:$AX$201,"&lt;"&amp;AX114)=0,1,0),0)</f>
        <v>0</v>
      </c>
      <c r="CM114" s="23" t="str">
        <f aca="false">IF(AY114=1,IFERROR(MATCH($A114,INDEX(Clay_Brands!$A$2:$FZ$601,0,Sync!$D$5),0),""),"")</f>
        <v/>
      </c>
      <c r="CN114" s="23" t="str">
        <f aca="false">IF(CM114="","",IFERROR(INDEX(Clay_Brands!$A$2:$FZ$601,CM114,Sync!$D$7)&amp;"",""))</f>
        <v/>
      </c>
      <c r="CO114" s="23" t="str">
        <f aca="false">IF(CN114="","",IFERROR(INDEX(Lists!$K$2:$K$15,MATCH(CN114,Lists!$J$2:$J$15,0)),""))</f>
        <v/>
      </c>
      <c r="CP114" s="23" t="str">
        <f aca="false">IF(CM114="","",IFERROR(INDEX(Clay_Brands!$A$2:$FZ$601,CM114,Sync!$D$17)&amp;"",""))</f>
        <v/>
      </c>
      <c r="CQ114" s="35" t="str">
        <f aca="false">IF(CM114="","",IFERROR(N(INDEX(Clay_Brands!$A$2:$FZ$601,CM114,Sync!$D$16)),0))</f>
        <v/>
      </c>
      <c r="CR114" s="23" t="n">
        <f aca="false">IF(AND(AY114=1,OR(O114="N",AND(OR(ISNUMBER(R114),ISNUMBER(V114)),MAX(N(R114),N(V114))&lt;Config!$B$14))),1,0)</f>
        <v>0</v>
      </c>
      <c r="CS114" s="23" t="n">
        <f aca="false">IF(OR(BB114=1,CR114=1),1,0)</f>
        <v>0</v>
      </c>
      <c r="CT114" s="23" t="n">
        <f aca="false">IF(AND(AY114=1,OR(AN114="Y",AN114="N",AN114="maybe")),1,0)</f>
        <v>0</v>
      </c>
      <c r="CU114" s="23" t="n">
        <f aca="false">IF(AND(CT114=1),IF(COUNTIFS($A$2:$A$201,$A114,$CT$2:$CT$201,1,$H$2:$H$201,"&gt;"&amp;H114)+COUNTIFS($A$2:$A$201,$A114,$CT$2:$CT$201,1,$H$2:$H$201,H114,$AX$2:$AX$201,"&gt;"&amp;AX114)=0,1,0),0)</f>
        <v>0</v>
      </c>
      <c r="CV114" s="23" t="n">
        <f aca="false">IF(AND(CS114=1,INT(N(H114))&lt;=Config!$B$6),IF(COUNTIFS($AW$2:$AW$201,AW114,$CS$2:$CS$201,1,$H$2:$H$201,"&gt;"&amp;H114,$H$2:$H$201,"&lt;"&amp;(Config!$B$6+1))+COUNTIFS($AW$2:$AW$201,AW114,$CS$2:$CS$201,1,$H$2:$H$201,H114,$AX$2:$AX$201,"&gt;"&amp;AX114)=0,1,0),0)</f>
        <v>0</v>
      </c>
      <c r="CW114" s="23" t="n">
        <f aca="false">IF(AND(CS114=1,INT(N(H114))&lt;=Config!$B$7),IF(COUNTIFS($AW$2:$AW$201,AW114,$CS$2:$CS$201,1,$H$2:$H$201,"&gt;"&amp;H114,$H$2:$H$201,"&lt;"&amp;(Config!$B$7+1))+COUNTIFS($AW$2:$AW$201,AW114,$CS$2:$CS$201,1,$H$2:$H$201,H114,$AX$2:$AX$201,"&gt;"&amp;AX114)=0,1,0),0)</f>
        <v>0</v>
      </c>
      <c r="CX114" s="23" t="n">
        <f aca="false">IF(AND(CS114=1,INT(N(H114))&lt;=Config!$B$8),IF(COUNTIFS($AW$2:$AW$201,AW114,$CS$2:$CS$201,1,$H$2:$H$201,"&gt;"&amp;H114,$H$2:$H$201,"&lt;"&amp;(Config!$B$8+1))+COUNTIFS($AW$2:$AW$201,AW114,$CS$2:$CS$201,1,$H$2:$H$201,H114,$AX$2:$AX$201,"&gt;"&amp;AX114)=0,1,0),0)</f>
        <v>0</v>
      </c>
      <c r="CY114" s="23" t="n">
        <f aca="false">IF(AND(CS114=1,INT(N(H114))&lt;=Config!$B$5),IF(COUNTIFS($AW$2:$AW$201,AW114,$CS$2:$CS$201,1,$H$2:$H$201,"&gt;"&amp;H114,$H$2:$H$201,"&lt;"&amp;(Config!$B$5+1))+COUNTIFS($AW$2:$AW$201,AW114,$CS$2:$CS$201,1,$H$2:$H$201,H114,$AX$2:$AX$201,"&gt;"&amp;AX114)=0,1,0),0)</f>
        <v>0</v>
      </c>
      <c r="CZ114" s="23" t="n">
        <f aca="false">IF(AY114=1,IF(COUNTIFS($AW$2:$AW$201,AW114,$CV$2:$CV$201,1,$BB$2:$BB$201,1)&gt;0,1,0),0)</f>
        <v>0</v>
      </c>
      <c r="DA114" s="23" t="n">
        <f aca="false">IF(AY114=1,IF(COUNTIFS($AW$2:$AW$201,AW114,$CW$2:$CW$201,1,$BB$2:$BB$201,1)&gt;0,1,0),0)</f>
        <v>0</v>
      </c>
      <c r="DB114" s="23" t="n">
        <f aca="false">IF(AY114=1,IF(COUNTIFS($AW$2:$AW$201,AW114,$CX$2:$CX$201,1,$BB$2:$BB$201,1)&gt;0,1,0),0)</f>
        <v>0</v>
      </c>
      <c r="DC114" s="23" t="n">
        <f aca="false">IF(AY114=1,IF(COUNTIFS($AW$2:$AW$201,AW114,$CY$2:$CY$201,1,$BB$2:$BB$201,1)&gt;0,1,0),0)</f>
        <v>0</v>
      </c>
      <c r="DD114" s="23" t="n">
        <f aca="false">IF(AND(BC114=1,INT(N(H114))&lt;=Config!$B$6,CZ114=1),1,0)</f>
        <v>0</v>
      </c>
      <c r="DE114" s="23" t="n">
        <f aca="false">IF(AND(BC114=1,INT(N(H114))&lt;=Config!$B$7,DA114=1),1,0)</f>
        <v>0</v>
      </c>
      <c r="DF114" s="23" t="n">
        <f aca="false">IF(AND(BC114=1,INT(N(H114))&lt;=Config!$B$8,DB114=1),1,0)</f>
        <v>0</v>
      </c>
      <c r="DG114" s="23" t="n">
        <f aca="false">IF(AND(BC114=1,INT(N(H114))&lt;=Config!$B$5,DC114=1),1,0)</f>
        <v>0</v>
      </c>
      <c r="DH114" s="23" t="n">
        <f aca="false">IF(AND(BE114=1,INT(N(H114))&lt;=Config!$B$6,CZ114=1),1,0)</f>
        <v>0</v>
      </c>
      <c r="DI114" s="23" t="n">
        <f aca="false">IF(AND(BE114=1,INT(N(H114))&lt;=Config!$B$7,DA114=1),1,0)</f>
        <v>0</v>
      </c>
      <c r="DJ114" s="23" t="n">
        <f aca="false">IF(AND(BE114=1,INT(N(H114))&lt;=Config!$B$8,DB114=1),1,0)</f>
        <v>0</v>
      </c>
      <c r="DK114" s="23" t="n">
        <f aca="false">IF(AND(BE114=1,INT(N(H114))&lt;=Config!$B$5,DC114=1),1,0)</f>
        <v>0</v>
      </c>
      <c r="DL114" s="23" t="n">
        <f aca="false">IF(AND(BC114=1,INT(N(H114))&lt;=Config!$B$6,CZ114=0),1,0)</f>
        <v>0</v>
      </c>
      <c r="DM114" s="23" t="n">
        <f aca="false">IF(AND(BC114=1,INT(N(H114))&lt;=Config!$B$7,DA114=0),1,0)</f>
        <v>0</v>
      </c>
      <c r="DN114" s="23" t="n">
        <f aca="false">IF(AND(BC114=1,INT(N(H114))&lt;=Config!$B$8,DB114=0),1,0)</f>
        <v>0</v>
      </c>
      <c r="DO114" s="23" t="n">
        <f aca="false">IF(AND(BC114=1,INT(N(H114))&lt;=Config!$B$5,DC114=0),1,0)</f>
        <v>0</v>
      </c>
      <c r="DP114" s="23" t="n">
        <f aca="false">IF(TRIM($A114)="",0,ISTEXT(K114)+ISTEXT(L114)+ISTEXT(R114)+ISTEXT(V114)+ISTEXT(AP114)+ISTEXT(AS114))</f>
        <v>0</v>
      </c>
      <c r="DQ114" s="23" t="n">
        <f aca="false">IF(AY114=1,IF(H114&lt;&gt;INT(H114),1,0),0)</f>
        <v>0</v>
      </c>
      <c r="DR114" s="23" t="str">
        <f aca="false">IF(TRIM($A114)="","",IF(TRIM(B114)="",SUBSTITUTE(SUBSTITUTE(SUBSTITUTE(SUBSTITUTE(SUBSTITUTE(SUBSTITUTE(LOWER(TRIM($A114)),"~",""),"*",""),"?",""),"&lt;",""),"&gt;",""),"=",""),SUBSTITUTE(SUBSTITUTE(SUBSTITUTE(SUBSTITUTE(SUBSTITUTE(SUBSTITUTE(LOWER(TRIM(B114)),"~",""),"*",""),"?",""),"&lt;",""),"&gt;",""),"=","")))</f>
        <v/>
      </c>
      <c r="DS114" s="23" t="str">
        <f aca="false">IF(CM114="","",IFERROR(IF(LEFT(LOWER(TRIM(INDEX(Clay_Brands!$A$2:$FZ$601,CM114,Sync!$D$19)&amp;"")),4)="grp-",SUBSTITUTE(SUBSTITUTE(SUBSTITUTE(SUBSTITUTE(SUBSTITUTE(SUBSTITUTE(LOWER(TRIM(INDEX(Clay_Brands!$A$2:$FZ$601,CM114,Sync!$D$19)&amp;"")),"~",""),"*",""),"?",""),"&lt;",""),"&gt;",""),"=",""),""),""))</f>
        <v/>
      </c>
      <c r="DT114" s="23" t="str">
        <f aca="false">IF(DS114&lt;&gt;"",DR114,"")</f>
        <v/>
      </c>
      <c r="DU114" s="23" t="str">
        <f aca="false">IF(AZ114=1,AW114,"")</f>
        <v/>
      </c>
      <c r="DV114" s="23" t="str">
        <f aca="false">IF(TRIM($A114)="","",IFERROR(INDEX($A$2:$A$201,MATCH(AW114,$DU$2:$DU$201,0))&amp;"",$A114&amp;""))</f>
        <v/>
      </c>
      <c r="DW114" s="23" t="n">
        <f aca="false">IF(AY114=1,IF(COUNTIFS($A$2:$A$201,$A114,$AY$2:$AY$201,1,$H$2:$H$201,"&lt;"&amp;H114)+COUNTIFS($A$2:$A$201,$A114,$AY$2:$AY$201,1,$H$2:$H$201,H114,$AX$2:$AX$201,"&lt;"&amp;AX114)=0,1,0),0)</f>
        <v>0</v>
      </c>
      <c r="DX114" s="23" t="n">
        <f aca="false">IF(AZ114=1,IF(COUNTIFS($AW$2:$AW$201,AW114,$DW$2:$DW$201,1)&gt;1,1,0),0)</f>
        <v>0</v>
      </c>
    </row>
    <row r="115" customFormat="false" ht="15" hidden="false" customHeight="false" outlineLevel="0" collapsed="false">
      <c r="G115" s="32"/>
      <c r="H115" s="33"/>
      <c r="I115" s="32"/>
      <c r="O115" s="32"/>
      <c r="P115" s="32"/>
      <c r="U115" s="32"/>
      <c r="Y115" s="32"/>
      <c r="AB115" s="32"/>
      <c r="AC115" s="32"/>
      <c r="AD115" s="32"/>
      <c r="AE115" s="32"/>
      <c r="AF115" s="32"/>
      <c r="AG115" s="32"/>
      <c r="AI115" s="32"/>
      <c r="AJ115" s="32"/>
      <c r="AK115" s="32"/>
      <c r="AN115" s="32"/>
      <c r="AO115" s="32"/>
      <c r="AR115" s="32"/>
      <c r="AT115" s="32"/>
      <c r="AV115" s="34" t="str">
        <f aca="false">IF(TRIM($A115)="","",IF(AND(LEFT($A115,6)="SAMPLE",Config!$B$19&lt;&gt;"Y"),"",IF(NOT(ISNUMBER(H115)),"call_date is blank or not a date",IF(Sync!$D$5="","Clay paste is empty or has no row_id column: paste the Clay export on Clay_Brands",IF(CM115="","row_id not found in the Clay paste: add the Clay row or fix the row_id",IF(AND(ISNUMBER(CO115),CO115&gt;=1,CO115&lt;=5),"Clay status is "&amp;CN115&amp;": set call_done or later",IF(AND(BA115=1,CP115&lt;&gt;CB115),"Clay yes_in_principle should be "&amp;CB115,IF(AND(BA115=1,CQ115&lt;&gt;H115),"Clay call_date should be "&amp;TEXT(H115,"yyyy-mm-dd"),""))))))))</f>
        <v/>
      </c>
      <c r="AW115" s="23" t="str">
        <f aca="false">IF(TRIM($A115)="","",IF(TRIM(C115)&lt;&gt;"",SUBSTITUTE(SUBSTITUTE(SUBSTITUTE(SUBSTITUTE(SUBSTITUTE(SUBSTITUTE(LOWER(TRIM(C115)),"~",""),"*",""),"?",""),"&lt;",""),"&gt;",""),"=",""),IF(DS115&lt;&gt;"",DS115,IFERROR(INDEX($DS$2:$DS$201,MATCH(DR115,$DT$2:$DT$201,0)),DR115))))</f>
        <v/>
      </c>
      <c r="AX115" s="23" t="n">
        <f aca="false">ROW()</f>
        <v>115</v>
      </c>
      <c r="AY115" s="23" t="n">
        <f aca="false">IF(AND(TRIM($A115)&lt;&gt;"",ISNUMBER(H115)),IF(AND(LEFT($A115,6)="SAMPLE",Config!$B$19&lt;&gt;"Y"),0,1),0)</f>
        <v>0</v>
      </c>
      <c r="AZ115" s="23" t="n">
        <f aca="false">IF(AY115=1,IF(COUNTIFS($AW$2:$AW$201,AW115,$AY$2:$AY$201,1,$H$2:$H$201,"&lt;"&amp;H115)+COUNTIFS($AW$2:$AW$201,AW115,$AY$2:$AY$201,1,$H$2:$H$201,H115,$AX$2:$AX$201,"&lt;"&amp;AX115)=0,1,0),0)</f>
        <v>0</v>
      </c>
      <c r="BA115" s="23" t="n">
        <f aca="false">IF(AY115=1,IF(COUNTIFS($A$2:$A$201,$A115,$AY$2:$AY$201,1,$H$2:$H$201,"&gt;"&amp;H115)+COUNTIFS($A$2:$A$201,$A115,$AY$2:$AY$201,1,$H$2:$H$201,H115,$AX$2:$AX$201,"&gt;"&amp;AX115)=0,1,0),0)</f>
        <v>0</v>
      </c>
      <c r="BB115" s="23" t="n">
        <f aca="false">IF(AND(AY115=1,O115="Y",MAX(N(R115),N(V115))&gt;=Config!$B$14),1,0)</f>
        <v>0</v>
      </c>
      <c r="BC115" s="23" t="n">
        <f aca="false">IF(BB115=1,IF(COUNTIFS($AW$2:$AW$201,AW115,$BB$2:$BB$201,1,$H$2:$H$201,"&lt;"&amp;H115)+COUNTIFS($AW$2:$AW$201,AW115,$BB$2:$BB$201,1,$H$2:$H$201,H115,$AX$2:$AX$201,"&lt;"&amp;AX115)=0,1,0),0)</f>
        <v>0</v>
      </c>
      <c r="BD115" s="23" t="n">
        <f aca="false">IF(AND(AY115=1,O115="Y",ISNUMBER(R115)),IF(R115&gt;=Config!$B$14,1,0),0)</f>
        <v>0</v>
      </c>
      <c r="BE115" s="23" t="n">
        <f aca="false">IF(BD115=1,IF(COUNTIFS($AW$2:$AW$201,AW115,$BD$2:$BD$201,1,$H$2:$H$201,"&lt;"&amp;H115)+COUNTIFS($AW$2:$AW$201,AW115,$BD$2:$BD$201,1,$H$2:$H$201,H115,$AX$2:$AX$201,"&lt;"&amp;AX115)=0,1,0),0)</f>
        <v>0</v>
      </c>
      <c r="BF115" s="23" t="n">
        <f aca="false">IF(AND(AY115=1,O115&lt;&gt;"Y",MAX(N(R115),N(V115))&gt;=Config!$B$14),1,0)</f>
        <v>0</v>
      </c>
      <c r="BG115" s="23" t="n">
        <f aca="false">IF(BF115=1,IF(COUNTIFS($AW$2:$AW$201,AW115,$BF$2:$BF$201,1,$H$2:$H$201,"&lt;"&amp;H115)+COUNTIFS($AW$2:$AW$201,AW115,$BF$2:$BF$201,1,$H$2:$H$201,H115,$AX$2:$AX$201,"&lt;"&amp;AX115)=0,1,0),0)</f>
        <v>0</v>
      </c>
      <c r="BH115" s="23" t="n">
        <f aca="false">IF(AND(AY115=1,ISNUMBER(R115)),1,0)</f>
        <v>0</v>
      </c>
      <c r="BI115" s="23" t="n">
        <f aca="false">IF(BH115=1,IF(COUNTIFS($AW$2:$AW$201,AW115,$BH$2:$BH$201,1,$H$2:$H$201,"&lt;"&amp;H115)+COUNTIFS($AW$2:$AW$201,AW115,$BH$2:$BH$201,1,$H$2:$H$201,H115,$AX$2:$AX$201,"&lt;"&amp;AX115)=0,1,0),0)</f>
        <v>0</v>
      </c>
      <c r="BJ115" s="23" t="str">
        <f aca="false">IF(AND(BI115=1,INT(N(H115))&lt;=Config!$B$6),R115,"")</f>
        <v/>
      </c>
      <c r="BK115" s="23" t="str">
        <f aca="false">IF(AND(BI115=1,INT(N(H115))&lt;=Config!$B$7),R115,"")</f>
        <v/>
      </c>
      <c r="BL115" s="23" t="str">
        <f aca="false">IF(AND(BI115=1,INT(N(H115))&lt;=Config!$B$8),R115,"")</f>
        <v/>
      </c>
      <c r="BM115" s="23" t="str">
        <f aca="false">IF(AND(BI115=1,INT(N(H115))&lt;=Config!$B$5),R115,"")</f>
        <v/>
      </c>
      <c r="BN115" s="23" t="n">
        <f aca="false">IF(AND(AY115=1,ISNUMBER(V115)),1,0)</f>
        <v>0</v>
      </c>
      <c r="BO115" s="23" t="n">
        <f aca="false">IF(BN115=1,IF(COUNTIFS($AW$2:$AW$201,AW115,$BN$2:$BN$201,1,$H$2:$H$201,"&lt;"&amp;H115)+COUNTIFS($AW$2:$AW$201,AW115,$BN$2:$BN$201,1,$H$2:$H$201,H115,$AX$2:$AX$201,"&lt;"&amp;AX115)=0,1,0),0)</f>
        <v>0</v>
      </c>
      <c r="BP115" s="23" t="str">
        <f aca="false">IF(AND(BO115=1,INT(N(H115))&lt;=Config!$B$6),V115,"")</f>
        <v/>
      </c>
      <c r="BQ115" s="23" t="str">
        <f aca="false">IF(AND(BO115=1,INT(N(H115))&lt;=Config!$B$7),V115,"")</f>
        <v/>
      </c>
      <c r="BR115" s="23" t="str">
        <f aca="false">IF(AND(BO115=1,INT(N(H115))&lt;=Config!$B$8),V115,"")</f>
        <v/>
      </c>
      <c r="BS115" s="23" t="str">
        <f aca="false">IF(AND(BO115=1,INT(N(H115))&lt;=Config!$B$5),V115,"")</f>
        <v/>
      </c>
      <c r="BT115" s="23" t="n">
        <f aca="false">IF(AND(AY115=1,ISNUMBER(K115)),1,0)</f>
        <v>0</v>
      </c>
      <c r="BU115" s="23" t="n">
        <f aca="false">IF(BT115=1,IF(COUNTIFS($AW$2:$AW$201,AW115,$BT$2:$BT$201,1,$H$2:$H$201,"&lt;"&amp;H115)+COUNTIFS($AW$2:$AW$201,AW115,$BT$2:$BT$201,1,$H$2:$H$201,H115,$AX$2:$AX$201,"&lt;"&amp;AX115)=0,1,0),0)</f>
        <v>0</v>
      </c>
      <c r="BV115" s="23" t="str">
        <f aca="false">IF(AND(BU115=1,INT(N(H115))&lt;=Config!$B$5),K115,"")</f>
        <v/>
      </c>
      <c r="BW115" s="23" t="n">
        <f aca="false">IF(AND(AY115=1,OR(AND(ISNUMBER(R115),TRIM(S115)=""),AND(ISNUMBER(V115),TRIM(W115)=""))),1,0)</f>
        <v>0</v>
      </c>
      <c r="BX115" s="23" t="str">
        <f aca="false">IF(AY115=1,AJ115&amp;"","")</f>
        <v/>
      </c>
      <c r="BY115" s="23" t="str">
        <f aca="false">IF(AY115=1,AK115&amp;"","")</f>
        <v/>
      </c>
      <c r="BZ115" s="23" t="str">
        <f aca="false">IF(AY115=1,AL115&amp;"","")</f>
        <v/>
      </c>
      <c r="CA115" s="23" t="str">
        <f aca="false">IF(AND(AY115=1,ISNUMBER(AS115),INT(N(H115))&lt;=Config!$B$5),AS115,"")</f>
        <v/>
      </c>
      <c r="CB115" s="23" t="str">
        <f aca="false">IF(AY115=1,IF(COUNTIFS($A$2:$A$201,$A115,$CU$2:$CU$201,1,$AN$2:$AN$201,"Y")&gt;0,"Y","N"),"")</f>
        <v/>
      </c>
      <c r="CC115" s="23" t="n">
        <f aca="false">IF(AND(AY115=1,AN115="Y"),IF(COUNTIFS($AW$2:$AW$201,AW115,$AN$2:$AN$201,"Y",$AY$2:$AY$201,1,$H$2:$H$201,"&lt;"&amp;H115)+COUNTIFS($AW$2:$AW$201,AW115,$AN$2:$AN$201,"Y",$AY$2:$AY$201,1,$H$2:$H$201,H115,$AX$2:$AX$201,"&lt;"&amp;AX115)=0,1,0),0)</f>
        <v>0</v>
      </c>
      <c r="CD115" s="23" t="n">
        <f aca="false">IF(AND(AY115=1,AB115="Y",AC115="Y",AD115="Y",AE115="Y",AF115="Y",AG115="Y",AI115="Y",TRIM(AH115)&lt;&gt;""),1,0)</f>
        <v>0</v>
      </c>
      <c r="CE115" s="23" t="n">
        <f aca="false">IF(CD115=1,IF(COUNTIFS($AW$2:$AW$201,AW115,$CD$2:$CD$201,1,$H$2:$H$201,"&lt;"&amp;H115)+COUNTIFS($AW$2:$AW$201,AW115,$CD$2:$CD$201,1,$H$2:$H$201,H115,$AX$2:$AX$201,"&lt;"&amp;AX115)=0,1,0),0)</f>
        <v>0</v>
      </c>
      <c r="CF115" s="23" t="n">
        <f aca="false">IF(AND(AY115=1,AO115="Y"),1,0)</f>
        <v>0</v>
      </c>
      <c r="CG115" s="23" t="n">
        <f aca="false">IF(CF115=1,IF(COUNTIFS($AW$2:$AW$201,AW115,$CF$2:$CF$201,1,$H$2:$H$201,"&lt;"&amp;H115)+COUNTIFS($AW$2:$AW$201,AW115,$CF$2:$CF$201,1,$H$2:$H$201,H115,$AX$2:$AX$201,"&lt;"&amp;AX115)=0,1,0),0)</f>
        <v>0</v>
      </c>
      <c r="CH115" s="23" t="n">
        <f aca="false">IF(AND(AY115=1,P115="Y"),1,0)</f>
        <v>0</v>
      </c>
      <c r="CI115" s="23" t="n">
        <f aca="false">IF(CH115=1,IF(COUNTIFS($AW$2:$AW$201,AW115,$CH$2:$CH$201,1,$H$2:$H$201,"&lt;"&amp;H115)+COUNTIFS($AW$2:$AW$201,AW115,$CH$2:$CH$201,1,$H$2:$H$201,H115,$AX$2:$AX$201,"&lt;"&amp;AX115)=0,1,0),0)</f>
        <v>0</v>
      </c>
      <c r="CJ115" s="23" t="str">
        <f aca="false">IF(AND(BU115=1,INT(N(H115))&lt;=Config!$B$5),L115,"")</f>
        <v/>
      </c>
      <c r="CK115" s="23" t="n">
        <f aca="false">IF(AND(AY115=1,AR115="Y"),1,0)</f>
        <v>0</v>
      </c>
      <c r="CL115" s="23" t="n">
        <f aca="false">IF(CK115=1,IF(COUNTIFS($AW$2:$AW$201,AW115,$CK$2:$CK$201,1,$H$2:$H$201,"&lt;"&amp;H115)+COUNTIFS($AW$2:$AW$201,AW115,$CK$2:$CK$201,1,$H$2:$H$201,H115,$AX$2:$AX$201,"&lt;"&amp;AX115)=0,1,0),0)</f>
        <v>0</v>
      </c>
      <c r="CM115" s="23" t="str">
        <f aca="false">IF(AY115=1,IFERROR(MATCH($A115,INDEX(Clay_Brands!$A$2:$FZ$601,0,Sync!$D$5),0),""),"")</f>
        <v/>
      </c>
      <c r="CN115" s="23" t="str">
        <f aca="false">IF(CM115="","",IFERROR(INDEX(Clay_Brands!$A$2:$FZ$601,CM115,Sync!$D$7)&amp;"",""))</f>
        <v/>
      </c>
      <c r="CO115" s="23" t="str">
        <f aca="false">IF(CN115="","",IFERROR(INDEX(Lists!$K$2:$K$15,MATCH(CN115,Lists!$J$2:$J$15,0)),""))</f>
        <v/>
      </c>
      <c r="CP115" s="23" t="str">
        <f aca="false">IF(CM115="","",IFERROR(INDEX(Clay_Brands!$A$2:$FZ$601,CM115,Sync!$D$17)&amp;"",""))</f>
        <v/>
      </c>
      <c r="CQ115" s="35" t="str">
        <f aca="false">IF(CM115="","",IFERROR(N(INDEX(Clay_Brands!$A$2:$FZ$601,CM115,Sync!$D$16)),0))</f>
        <v/>
      </c>
      <c r="CR115" s="23" t="n">
        <f aca="false">IF(AND(AY115=1,OR(O115="N",AND(OR(ISNUMBER(R115),ISNUMBER(V115)),MAX(N(R115),N(V115))&lt;Config!$B$14))),1,0)</f>
        <v>0</v>
      </c>
      <c r="CS115" s="23" t="n">
        <f aca="false">IF(OR(BB115=1,CR115=1),1,0)</f>
        <v>0</v>
      </c>
      <c r="CT115" s="23" t="n">
        <f aca="false">IF(AND(AY115=1,OR(AN115="Y",AN115="N",AN115="maybe")),1,0)</f>
        <v>0</v>
      </c>
      <c r="CU115" s="23" t="n">
        <f aca="false">IF(AND(CT115=1),IF(COUNTIFS($A$2:$A$201,$A115,$CT$2:$CT$201,1,$H$2:$H$201,"&gt;"&amp;H115)+COUNTIFS($A$2:$A$201,$A115,$CT$2:$CT$201,1,$H$2:$H$201,H115,$AX$2:$AX$201,"&gt;"&amp;AX115)=0,1,0),0)</f>
        <v>0</v>
      </c>
      <c r="CV115" s="23" t="n">
        <f aca="false">IF(AND(CS115=1,INT(N(H115))&lt;=Config!$B$6),IF(COUNTIFS($AW$2:$AW$201,AW115,$CS$2:$CS$201,1,$H$2:$H$201,"&gt;"&amp;H115,$H$2:$H$201,"&lt;"&amp;(Config!$B$6+1))+COUNTIFS($AW$2:$AW$201,AW115,$CS$2:$CS$201,1,$H$2:$H$201,H115,$AX$2:$AX$201,"&gt;"&amp;AX115)=0,1,0),0)</f>
        <v>0</v>
      </c>
      <c r="CW115" s="23" t="n">
        <f aca="false">IF(AND(CS115=1,INT(N(H115))&lt;=Config!$B$7),IF(COUNTIFS($AW$2:$AW$201,AW115,$CS$2:$CS$201,1,$H$2:$H$201,"&gt;"&amp;H115,$H$2:$H$201,"&lt;"&amp;(Config!$B$7+1))+COUNTIFS($AW$2:$AW$201,AW115,$CS$2:$CS$201,1,$H$2:$H$201,H115,$AX$2:$AX$201,"&gt;"&amp;AX115)=0,1,0),0)</f>
        <v>0</v>
      </c>
      <c r="CX115" s="23" t="n">
        <f aca="false">IF(AND(CS115=1,INT(N(H115))&lt;=Config!$B$8),IF(COUNTIFS($AW$2:$AW$201,AW115,$CS$2:$CS$201,1,$H$2:$H$201,"&gt;"&amp;H115,$H$2:$H$201,"&lt;"&amp;(Config!$B$8+1))+COUNTIFS($AW$2:$AW$201,AW115,$CS$2:$CS$201,1,$H$2:$H$201,H115,$AX$2:$AX$201,"&gt;"&amp;AX115)=0,1,0),0)</f>
        <v>0</v>
      </c>
      <c r="CY115" s="23" t="n">
        <f aca="false">IF(AND(CS115=1,INT(N(H115))&lt;=Config!$B$5),IF(COUNTIFS($AW$2:$AW$201,AW115,$CS$2:$CS$201,1,$H$2:$H$201,"&gt;"&amp;H115,$H$2:$H$201,"&lt;"&amp;(Config!$B$5+1))+COUNTIFS($AW$2:$AW$201,AW115,$CS$2:$CS$201,1,$H$2:$H$201,H115,$AX$2:$AX$201,"&gt;"&amp;AX115)=0,1,0),0)</f>
        <v>0</v>
      </c>
      <c r="CZ115" s="23" t="n">
        <f aca="false">IF(AY115=1,IF(COUNTIFS($AW$2:$AW$201,AW115,$CV$2:$CV$201,1,$BB$2:$BB$201,1)&gt;0,1,0),0)</f>
        <v>0</v>
      </c>
      <c r="DA115" s="23" t="n">
        <f aca="false">IF(AY115=1,IF(COUNTIFS($AW$2:$AW$201,AW115,$CW$2:$CW$201,1,$BB$2:$BB$201,1)&gt;0,1,0),0)</f>
        <v>0</v>
      </c>
      <c r="DB115" s="23" t="n">
        <f aca="false">IF(AY115=1,IF(COUNTIFS($AW$2:$AW$201,AW115,$CX$2:$CX$201,1,$BB$2:$BB$201,1)&gt;0,1,0),0)</f>
        <v>0</v>
      </c>
      <c r="DC115" s="23" t="n">
        <f aca="false">IF(AY115=1,IF(COUNTIFS($AW$2:$AW$201,AW115,$CY$2:$CY$201,1,$BB$2:$BB$201,1)&gt;0,1,0),0)</f>
        <v>0</v>
      </c>
      <c r="DD115" s="23" t="n">
        <f aca="false">IF(AND(BC115=1,INT(N(H115))&lt;=Config!$B$6,CZ115=1),1,0)</f>
        <v>0</v>
      </c>
      <c r="DE115" s="23" t="n">
        <f aca="false">IF(AND(BC115=1,INT(N(H115))&lt;=Config!$B$7,DA115=1),1,0)</f>
        <v>0</v>
      </c>
      <c r="DF115" s="23" t="n">
        <f aca="false">IF(AND(BC115=1,INT(N(H115))&lt;=Config!$B$8,DB115=1),1,0)</f>
        <v>0</v>
      </c>
      <c r="DG115" s="23" t="n">
        <f aca="false">IF(AND(BC115=1,INT(N(H115))&lt;=Config!$B$5,DC115=1),1,0)</f>
        <v>0</v>
      </c>
      <c r="DH115" s="23" t="n">
        <f aca="false">IF(AND(BE115=1,INT(N(H115))&lt;=Config!$B$6,CZ115=1),1,0)</f>
        <v>0</v>
      </c>
      <c r="DI115" s="23" t="n">
        <f aca="false">IF(AND(BE115=1,INT(N(H115))&lt;=Config!$B$7,DA115=1),1,0)</f>
        <v>0</v>
      </c>
      <c r="DJ115" s="23" t="n">
        <f aca="false">IF(AND(BE115=1,INT(N(H115))&lt;=Config!$B$8,DB115=1),1,0)</f>
        <v>0</v>
      </c>
      <c r="DK115" s="23" t="n">
        <f aca="false">IF(AND(BE115=1,INT(N(H115))&lt;=Config!$B$5,DC115=1),1,0)</f>
        <v>0</v>
      </c>
      <c r="DL115" s="23" t="n">
        <f aca="false">IF(AND(BC115=1,INT(N(H115))&lt;=Config!$B$6,CZ115=0),1,0)</f>
        <v>0</v>
      </c>
      <c r="DM115" s="23" t="n">
        <f aca="false">IF(AND(BC115=1,INT(N(H115))&lt;=Config!$B$7,DA115=0),1,0)</f>
        <v>0</v>
      </c>
      <c r="DN115" s="23" t="n">
        <f aca="false">IF(AND(BC115=1,INT(N(H115))&lt;=Config!$B$8,DB115=0),1,0)</f>
        <v>0</v>
      </c>
      <c r="DO115" s="23" t="n">
        <f aca="false">IF(AND(BC115=1,INT(N(H115))&lt;=Config!$B$5,DC115=0),1,0)</f>
        <v>0</v>
      </c>
      <c r="DP115" s="23" t="n">
        <f aca="false">IF(TRIM($A115)="",0,ISTEXT(K115)+ISTEXT(L115)+ISTEXT(R115)+ISTEXT(V115)+ISTEXT(AP115)+ISTEXT(AS115))</f>
        <v>0</v>
      </c>
      <c r="DQ115" s="23" t="n">
        <f aca="false">IF(AY115=1,IF(H115&lt;&gt;INT(H115),1,0),0)</f>
        <v>0</v>
      </c>
      <c r="DR115" s="23" t="str">
        <f aca="false">IF(TRIM($A115)="","",IF(TRIM(B115)="",SUBSTITUTE(SUBSTITUTE(SUBSTITUTE(SUBSTITUTE(SUBSTITUTE(SUBSTITUTE(LOWER(TRIM($A115)),"~",""),"*",""),"?",""),"&lt;",""),"&gt;",""),"=",""),SUBSTITUTE(SUBSTITUTE(SUBSTITUTE(SUBSTITUTE(SUBSTITUTE(SUBSTITUTE(LOWER(TRIM(B115)),"~",""),"*",""),"?",""),"&lt;",""),"&gt;",""),"=","")))</f>
        <v/>
      </c>
      <c r="DS115" s="23" t="str">
        <f aca="false">IF(CM115="","",IFERROR(IF(LEFT(LOWER(TRIM(INDEX(Clay_Brands!$A$2:$FZ$601,CM115,Sync!$D$19)&amp;"")),4)="grp-",SUBSTITUTE(SUBSTITUTE(SUBSTITUTE(SUBSTITUTE(SUBSTITUTE(SUBSTITUTE(LOWER(TRIM(INDEX(Clay_Brands!$A$2:$FZ$601,CM115,Sync!$D$19)&amp;"")),"~",""),"*",""),"?",""),"&lt;",""),"&gt;",""),"=",""),""),""))</f>
        <v/>
      </c>
      <c r="DT115" s="23" t="str">
        <f aca="false">IF(DS115&lt;&gt;"",DR115,"")</f>
        <v/>
      </c>
      <c r="DU115" s="23" t="str">
        <f aca="false">IF(AZ115=1,AW115,"")</f>
        <v/>
      </c>
      <c r="DV115" s="23" t="str">
        <f aca="false">IF(TRIM($A115)="","",IFERROR(INDEX($A$2:$A$201,MATCH(AW115,$DU$2:$DU$201,0))&amp;"",$A115&amp;""))</f>
        <v/>
      </c>
      <c r="DW115" s="23" t="n">
        <f aca="false">IF(AY115=1,IF(COUNTIFS($A$2:$A$201,$A115,$AY$2:$AY$201,1,$H$2:$H$201,"&lt;"&amp;H115)+COUNTIFS($A$2:$A$201,$A115,$AY$2:$AY$201,1,$H$2:$H$201,H115,$AX$2:$AX$201,"&lt;"&amp;AX115)=0,1,0),0)</f>
        <v>0</v>
      </c>
      <c r="DX115" s="23" t="n">
        <f aca="false">IF(AZ115=1,IF(COUNTIFS($AW$2:$AW$201,AW115,$DW$2:$DW$201,1)&gt;1,1,0),0)</f>
        <v>0</v>
      </c>
    </row>
    <row r="116" customFormat="false" ht="15" hidden="false" customHeight="false" outlineLevel="0" collapsed="false">
      <c r="G116" s="32"/>
      <c r="H116" s="33"/>
      <c r="I116" s="32"/>
      <c r="O116" s="32"/>
      <c r="P116" s="32"/>
      <c r="U116" s="32"/>
      <c r="Y116" s="32"/>
      <c r="AB116" s="32"/>
      <c r="AC116" s="32"/>
      <c r="AD116" s="32"/>
      <c r="AE116" s="32"/>
      <c r="AF116" s="32"/>
      <c r="AG116" s="32"/>
      <c r="AI116" s="32"/>
      <c r="AJ116" s="32"/>
      <c r="AK116" s="32"/>
      <c r="AN116" s="32"/>
      <c r="AO116" s="32"/>
      <c r="AR116" s="32"/>
      <c r="AT116" s="32"/>
      <c r="AV116" s="34" t="str">
        <f aca="false">IF(TRIM($A116)="","",IF(AND(LEFT($A116,6)="SAMPLE",Config!$B$19&lt;&gt;"Y"),"",IF(NOT(ISNUMBER(H116)),"call_date is blank or not a date",IF(Sync!$D$5="","Clay paste is empty or has no row_id column: paste the Clay export on Clay_Brands",IF(CM116="","row_id not found in the Clay paste: add the Clay row or fix the row_id",IF(AND(ISNUMBER(CO116),CO116&gt;=1,CO116&lt;=5),"Clay status is "&amp;CN116&amp;": set call_done or later",IF(AND(BA116=1,CP116&lt;&gt;CB116),"Clay yes_in_principle should be "&amp;CB116,IF(AND(BA116=1,CQ116&lt;&gt;H116),"Clay call_date should be "&amp;TEXT(H116,"yyyy-mm-dd"),""))))))))</f>
        <v/>
      </c>
      <c r="AW116" s="23" t="str">
        <f aca="false">IF(TRIM($A116)="","",IF(TRIM(C116)&lt;&gt;"",SUBSTITUTE(SUBSTITUTE(SUBSTITUTE(SUBSTITUTE(SUBSTITUTE(SUBSTITUTE(LOWER(TRIM(C116)),"~",""),"*",""),"?",""),"&lt;",""),"&gt;",""),"=",""),IF(DS116&lt;&gt;"",DS116,IFERROR(INDEX($DS$2:$DS$201,MATCH(DR116,$DT$2:$DT$201,0)),DR116))))</f>
        <v/>
      </c>
      <c r="AX116" s="23" t="n">
        <f aca="false">ROW()</f>
        <v>116</v>
      </c>
      <c r="AY116" s="23" t="n">
        <f aca="false">IF(AND(TRIM($A116)&lt;&gt;"",ISNUMBER(H116)),IF(AND(LEFT($A116,6)="SAMPLE",Config!$B$19&lt;&gt;"Y"),0,1),0)</f>
        <v>0</v>
      </c>
      <c r="AZ116" s="23" t="n">
        <f aca="false">IF(AY116=1,IF(COUNTIFS($AW$2:$AW$201,AW116,$AY$2:$AY$201,1,$H$2:$H$201,"&lt;"&amp;H116)+COUNTIFS($AW$2:$AW$201,AW116,$AY$2:$AY$201,1,$H$2:$H$201,H116,$AX$2:$AX$201,"&lt;"&amp;AX116)=0,1,0),0)</f>
        <v>0</v>
      </c>
      <c r="BA116" s="23" t="n">
        <f aca="false">IF(AY116=1,IF(COUNTIFS($A$2:$A$201,$A116,$AY$2:$AY$201,1,$H$2:$H$201,"&gt;"&amp;H116)+COUNTIFS($A$2:$A$201,$A116,$AY$2:$AY$201,1,$H$2:$H$201,H116,$AX$2:$AX$201,"&gt;"&amp;AX116)=0,1,0),0)</f>
        <v>0</v>
      </c>
      <c r="BB116" s="23" t="n">
        <f aca="false">IF(AND(AY116=1,O116="Y",MAX(N(R116),N(V116))&gt;=Config!$B$14),1,0)</f>
        <v>0</v>
      </c>
      <c r="BC116" s="23" t="n">
        <f aca="false">IF(BB116=1,IF(COUNTIFS($AW$2:$AW$201,AW116,$BB$2:$BB$201,1,$H$2:$H$201,"&lt;"&amp;H116)+COUNTIFS($AW$2:$AW$201,AW116,$BB$2:$BB$201,1,$H$2:$H$201,H116,$AX$2:$AX$201,"&lt;"&amp;AX116)=0,1,0),0)</f>
        <v>0</v>
      </c>
      <c r="BD116" s="23" t="n">
        <f aca="false">IF(AND(AY116=1,O116="Y",ISNUMBER(R116)),IF(R116&gt;=Config!$B$14,1,0),0)</f>
        <v>0</v>
      </c>
      <c r="BE116" s="23" t="n">
        <f aca="false">IF(BD116=1,IF(COUNTIFS($AW$2:$AW$201,AW116,$BD$2:$BD$201,1,$H$2:$H$201,"&lt;"&amp;H116)+COUNTIFS($AW$2:$AW$201,AW116,$BD$2:$BD$201,1,$H$2:$H$201,H116,$AX$2:$AX$201,"&lt;"&amp;AX116)=0,1,0),0)</f>
        <v>0</v>
      </c>
      <c r="BF116" s="23" t="n">
        <f aca="false">IF(AND(AY116=1,O116&lt;&gt;"Y",MAX(N(R116),N(V116))&gt;=Config!$B$14),1,0)</f>
        <v>0</v>
      </c>
      <c r="BG116" s="23" t="n">
        <f aca="false">IF(BF116=1,IF(COUNTIFS($AW$2:$AW$201,AW116,$BF$2:$BF$201,1,$H$2:$H$201,"&lt;"&amp;H116)+COUNTIFS($AW$2:$AW$201,AW116,$BF$2:$BF$201,1,$H$2:$H$201,H116,$AX$2:$AX$201,"&lt;"&amp;AX116)=0,1,0),0)</f>
        <v>0</v>
      </c>
      <c r="BH116" s="23" t="n">
        <f aca="false">IF(AND(AY116=1,ISNUMBER(R116)),1,0)</f>
        <v>0</v>
      </c>
      <c r="BI116" s="23" t="n">
        <f aca="false">IF(BH116=1,IF(COUNTIFS($AW$2:$AW$201,AW116,$BH$2:$BH$201,1,$H$2:$H$201,"&lt;"&amp;H116)+COUNTIFS($AW$2:$AW$201,AW116,$BH$2:$BH$201,1,$H$2:$H$201,H116,$AX$2:$AX$201,"&lt;"&amp;AX116)=0,1,0),0)</f>
        <v>0</v>
      </c>
      <c r="BJ116" s="23" t="str">
        <f aca="false">IF(AND(BI116=1,INT(N(H116))&lt;=Config!$B$6),R116,"")</f>
        <v/>
      </c>
      <c r="BK116" s="23" t="str">
        <f aca="false">IF(AND(BI116=1,INT(N(H116))&lt;=Config!$B$7),R116,"")</f>
        <v/>
      </c>
      <c r="BL116" s="23" t="str">
        <f aca="false">IF(AND(BI116=1,INT(N(H116))&lt;=Config!$B$8),R116,"")</f>
        <v/>
      </c>
      <c r="BM116" s="23" t="str">
        <f aca="false">IF(AND(BI116=1,INT(N(H116))&lt;=Config!$B$5),R116,"")</f>
        <v/>
      </c>
      <c r="BN116" s="23" t="n">
        <f aca="false">IF(AND(AY116=1,ISNUMBER(V116)),1,0)</f>
        <v>0</v>
      </c>
      <c r="BO116" s="23" t="n">
        <f aca="false">IF(BN116=1,IF(COUNTIFS($AW$2:$AW$201,AW116,$BN$2:$BN$201,1,$H$2:$H$201,"&lt;"&amp;H116)+COUNTIFS($AW$2:$AW$201,AW116,$BN$2:$BN$201,1,$H$2:$H$201,H116,$AX$2:$AX$201,"&lt;"&amp;AX116)=0,1,0),0)</f>
        <v>0</v>
      </c>
      <c r="BP116" s="23" t="str">
        <f aca="false">IF(AND(BO116=1,INT(N(H116))&lt;=Config!$B$6),V116,"")</f>
        <v/>
      </c>
      <c r="BQ116" s="23" t="str">
        <f aca="false">IF(AND(BO116=1,INT(N(H116))&lt;=Config!$B$7),V116,"")</f>
        <v/>
      </c>
      <c r="BR116" s="23" t="str">
        <f aca="false">IF(AND(BO116=1,INT(N(H116))&lt;=Config!$B$8),V116,"")</f>
        <v/>
      </c>
      <c r="BS116" s="23" t="str">
        <f aca="false">IF(AND(BO116=1,INT(N(H116))&lt;=Config!$B$5),V116,"")</f>
        <v/>
      </c>
      <c r="BT116" s="23" t="n">
        <f aca="false">IF(AND(AY116=1,ISNUMBER(K116)),1,0)</f>
        <v>0</v>
      </c>
      <c r="BU116" s="23" t="n">
        <f aca="false">IF(BT116=1,IF(COUNTIFS($AW$2:$AW$201,AW116,$BT$2:$BT$201,1,$H$2:$H$201,"&lt;"&amp;H116)+COUNTIFS($AW$2:$AW$201,AW116,$BT$2:$BT$201,1,$H$2:$H$201,H116,$AX$2:$AX$201,"&lt;"&amp;AX116)=0,1,0),0)</f>
        <v>0</v>
      </c>
      <c r="BV116" s="23" t="str">
        <f aca="false">IF(AND(BU116=1,INT(N(H116))&lt;=Config!$B$5),K116,"")</f>
        <v/>
      </c>
      <c r="BW116" s="23" t="n">
        <f aca="false">IF(AND(AY116=1,OR(AND(ISNUMBER(R116),TRIM(S116)=""),AND(ISNUMBER(V116),TRIM(W116)=""))),1,0)</f>
        <v>0</v>
      </c>
      <c r="BX116" s="23" t="str">
        <f aca="false">IF(AY116=1,AJ116&amp;"","")</f>
        <v/>
      </c>
      <c r="BY116" s="23" t="str">
        <f aca="false">IF(AY116=1,AK116&amp;"","")</f>
        <v/>
      </c>
      <c r="BZ116" s="23" t="str">
        <f aca="false">IF(AY116=1,AL116&amp;"","")</f>
        <v/>
      </c>
      <c r="CA116" s="23" t="str">
        <f aca="false">IF(AND(AY116=1,ISNUMBER(AS116),INT(N(H116))&lt;=Config!$B$5),AS116,"")</f>
        <v/>
      </c>
      <c r="CB116" s="23" t="str">
        <f aca="false">IF(AY116=1,IF(COUNTIFS($A$2:$A$201,$A116,$CU$2:$CU$201,1,$AN$2:$AN$201,"Y")&gt;0,"Y","N"),"")</f>
        <v/>
      </c>
      <c r="CC116" s="23" t="n">
        <f aca="false">IF(AND(AY116=1,AN116="Y"),IF(COUNTIFS($AW$2:$AW$201,AW116,$AN$2:$AN$201,"Y",$AY$2:$AY$201,1,$H$2:$H$201,"&lt;"&amp;H116)+COUNTIFS($AW$2:$AW$201,AW116,$AN$2:$AN$201,"Y",$AY$2:$AY$201,1,$H$2:$H$201,H116,$AX$2:$AX$201,"&lt;"&amp;AX116)=0,1,0),0)</f>
        <v>0</v>
      </c>
      <c r="CD116" s="23" t="n">
        <f aca="false">IF(AND(AY116=1,AB116="Y",AC116="Y",AD116="Y",AE116="Y",AF116="Y",AG116="Y",AI116="Y",TRIM(AH116)&lt;&gt;""),1,0)</f>
        <v>0</v>
      </c>
      <c r="CE116" s="23" t="n">
        <f aca="false">IF(CD116=1,IF(COUNTIFS($AW$2:$AW$201,AW116,$CD$2:$CD$201,1,$H$2:$H$201,"&lt;"&amp;H116)+COUNTIFS($AW$2:$AW$201,AW116,$CD$2:$CD$201,1,$H$2:$H$201,H116,$AX$2:$AX$201,"&lt;"&amp;AX116)=0,1,0),0)</f>
        <v>0</v>
      </c>
      <c r="CF116" s="23" t="n">
        <f aca="false">IF(AND(AY116=1,AO116="Y"),1,0)</f>
        <v>0</v>
      </c>
      <c r="CG116" s="23" t="n">
        <f aca="false">IF(CF116=1,IF(COUNTIFS($AW$2:$AW$201,AW116,$CF$2:$CF$201,1,$H$2:$H$201,"&lt;"&amp;H116)+COUNTIFS($AW$2:$AW$201,AW116,$CF$2:$CF$201,1,$H$2:$H$201,H116,$AX$2:$AX$201,"&lt;"&amp;AX116)=0,1,0),0)</f>
        <v>0</v>
      </c>
      <c r="CH116" s="23" t="n">
        <f aca="false">IF(AND(AY116=1,P116="Y"),1,0)</f>
        <v>0</v>
      </c>
      <c r="CI116" s="23" t="n">
        <f aca="false">IF(CH116=1,IF(COUNTIFS($AW$2:$AW$201,AW116,$CH$2:$CH$201,1,$H$2:$H$201,"&lt;"&amp;H116)+COUNTIFS($AW$2:$AW$201,AW116,$CH$2:$CH$201,1,$H$2:$H$201,H116,$AX$2:$AX$201,"&lt;"&amp;AX116)=0,1,0),0)</f>
        <v>0</v>
      </c>
      <c r="CJ116" s="23" t="str">
        <f aca="false">IF(AND(BU116=1,INT(N(H116))&lt;=Config!$B$5),L116,"")</f>
        <v/>
      </c>
      <c r="CK116" s="23" t="n">
        <f aca="false">IF(AND(AY116=1,AR116="Y"),1,0)</f>
        <v>0</v>
      </c>
      <c r="CL116" s="23" t="n">
        <f aca="false">IF(CK116=1,IF(COUNTIFS($AW$2:$AW$201,AW116,$CK$2:$CK$201,1,$H$2:$H$201,"&lt;"&amp;H116)+COUNTIFS($AW$2:$AW$201,AW116,$CK$2:$CK$201,1,$H$2:$H$201,H116,$AX$2:$AX$201,"&lt;"&amp;AX116)=0,1,0),0)</f>
        <v>0</v>
      </c>
      <c r="CM116" s="23" t="str">
        <f aca="false">IF(AY116=1,IFERROR(MATCH($A116,INDEX(Clay_Brands!$A$2:$FZ$601,0,Sync!$D$5),0),""),"")</f>
        <v/>
      </c>
      <c r="CN116" s="23" t="str">
        <f aca="false">IF(CM116="","",IFERROR(INDEX(Clay_Brands!$A$2:$FZ$601,CM116,Sync!$D$7)&amp;"",""))</f>
        <v/>
      </c>
      <c r="CO116" s="23" t="str">
        <f aca="false">IF(CN116="","",IFERROR(INDEX(Lists!$K$2:$K$15,MATCH(CN116,Lists!$J$2:$J$15,0)),""))</f>
        <v/>
      </c>
      <c r="CP116" s="23" t="str">
        <f aca="false">IF(CM116="","",IFERROR(INDEX(Clay_Brands!$A$2:$FZ$601,CM116,Sync!$D$17)&amp;"",""))</f>
        <v/>
      </c>
      <c r="CQ116" s="35" t="str">
        <f aca="false">IF(CM116="","",IFERROR(N(INDEX(Clay_Brands!$A$2:$FZ$601,CM116,Sync!$D$16)),0))</f>
        <v/>
      </c>
      <c r="CR116" s="23" t="n">
        <f aca="false">IF(AND(AY116=1,OR(O116="N",AND(OR(ISNUMBER(R116),ISNUMBER(V116)),MAX(N(R116),N(V116))&lt;Config!$B$14))),1,0)</f>
        <v>0</v>
      </c>
      <c r="CS116" s="23" t="n">
        <f aca="false">IF(OR(BB116=1,CR116=1),1,0)</f>
        <v>0</v>
      </c>
      <c r="CT116" s="23" t="n">
        <f aca="false">IF(AND(AY116=1,OR(AN116="Y",AN116="N",AN116="maybe")),1,0)</f>
        <v>0</v>
      </c>
      <c r="CU116" s="23" t="n">
        <f aca="false">IF(AND(CT116=1),IF(COUNTIFS($A$2:$A$201,$A116,$CT$2:$CT$201,1,$H$2:$H$201,"&gt;"&amp;H116)+COUNTIFS($A$2:$A$201,$A116,$CT$2:$CT$201,1,$H$2:$H$201,H116,$AX$2:$AX$201,"&gt;"&amp;AX116)=0,1,0),0)</f>
        <v>0</v>
      </c>
      <c r="CV116" s="23" t="n">
        <f aca="false">IF(AND(CS116=1,INT(N(H116))&lt;=Config!$B$6),IF(COUNTIFS($AW$2:$AW$201,AW116,$CS$2:$CS$201,1,$H$2:$H$201,"&gt;"&amp;H116,$H$2:$H$201,"&lt;"&amp;(Config!$B$6+1))+COUNTIFS($AW$2:$AW$201,AW116,$CS$2:$CS$201,1,$H$2:$H$201,H116,$AX$2:$AX$201,"&gt;"&amp;AX116)=0,1,0),0)</f>
        <v>0</v>
      </c>
      <c r="CW116" s="23" t="n">
        <f aca="false">IF(AND(CS116=1,INT(N(H116))&lt;=Config!$B$7),IF(COUNTIFS($AW$2:$AW$201,AW116,$CS$2:$CS$201,1,$H$2:$H$201,"&gt;"&amp;H116,$H$2:$H$201,"&lt;"&amp;(Config!$B$7+1))+COUNTIFS($AW$2:$AW$201,AW116,$CS$2:$CS$201,1,$H$2:$H$201,H116,$AX$2:$AX$201,"&gt;"&amp;AX116)=0,1,0),0)</f>
        <v>0</v>
      </c>
      <c r="CX116" s="23" t="n">
        <f aca="false">IF(AND(CS116=1,INT(N(H116))&lt;=Config!$B$8),IF(COUNTIFS($AW$2:$AW$201,AW116,$CS$2:$CS$201,1,$H$2:$H$201,"&gt;"&amp;H116,$H$2:$H$201,"&lt;"&amp;(Config!$B$8+1))+COUNTIFS($AW$2:$AW$201,AW116,$CS$2:$CS$201,1,$H$2:$H$201,H116,$AX$2:$AX$201,"&gt;"&amp;AX116)=0,1,0),0)</f>
        <v>0</v>
      </c>
      <c r="CY116" s="23" t="n">
        <f aca="false">IF(AND(CS116=1,INT(N(H116))&lt;=Config!$B$5),IF(COUNTIFS($AW$2:$AW$201,AW116,$CS$2:$CS$201,1,$H$2:$H$201,"&gt;"&amp;H116,$H$2:$H$201,"&lt;"&amp;(Config!$B$5+1))+COUNTIFS($AW$2:$AW$201,AW116,$CS$2:$CS$201,1,$H$2:$H$201,H116,$AX$2:$AX$201,"&gt;"&amp;AX116)=0,1,0),0)</f>
        <v>0</v>
      </c>
      <c r="CZ116" s="23" t="n">
        <f aca="false">IF(AY116=1,IF(COUNTIFS($AW$2:$AW$201,AW116,$CV$2:$CV$201,1,$BB$2:$BB$201,1)&gt;0,1,0),0)</f>
        <v>0</v>
      </c>
      <c r="DA116" s="23" t="n">
        <f aca="false">IF(AY116=1,IF(COUNTIFS($AW$2:$AW$201,AW116,$CW$2:$CW$201,1,$BB$2:$BB$201,1)&gt;0,1,0),0)</f>
        <v>0</v>
      </c>
      <c r="DB116" s="23" t="n">
        <f aca="false">IF(AY116=1,IF(COUNTIFS($AW$2:$AW$201,AW116,$CX$2:$CX$201,1,$BB$2:$BB$201,1)&gt;0,1,0),0)</f>
        <v>0</v>
      </c>
      <c r="DC116" s="23" t="n">
        <f aca="false">IF(AY116=1,IF(COUNTIFS($AW$2:$AW$201,AW116,$CY$2:$CY$201,1,$BB$2:$BB$201,1)&gt;0,1,0),0)</f>
        <v>0</v>
      </c>
      <c r="DD116" s="23" t="n">
        <f aca="false">IF(AND(BC116=1,INT(N(H116))&lt;=Config!$B$6,CZ116=1),1,0)</f>
        <v>0</v>
      </c>
      <c r="DE116" s="23" t="n">
        <f aca="false">IF(AND(BC116=1,INT(N(H116))&lt;=Config!$B$7,DA116=1),1,0)</f>
        <v>0</v>
      </c>
      <c r="DF116" s="23" t="n">
        <f aca="false">IF(AND(BC116=1,INT(N(H116))&lt;=Config!$B$8,DB116=1),1,0)</f>
        <v>0</v>
      </c>
      <c r="DG116" s="23" t="n">
        <f aca="false">IF(AND(BC116=1,INT(N(H116))&lt;=Config!$B$5,DC116=1),1,0)</f>
        <v>0</v>
      </c>
      <c r="DH116" s="23" t="n">
        <f aca="false">IF(AND(BE116=1,INT(N(H116))&lt;=Config!$B$6,CZ116=1),1,0)</f>
        <v>0</v>
      </c>
      <c r="DI116" s="23" t="n">
        <f aca="false">IF(AND(BE116=1,INT(N(H116))&lt;=Config!$B$7,DA116=1),1,0)</f>
        <v>0</v>
      </c>
      <c r="DJ116" s="23" t="n">
        <f aca="false">IF(AND(BE116=1,INT(N(H116))&lt;=Config!$B$8,DB116=1),1,0)</f>
        <v>0</v>
      </c>
      <c r="DK116" s="23" t="n">
        <f aca="false">IF(AND(BE116=1,INT(N(H116))&lt;=Config!$B$5,DC116=1),1,0)</f>
        <v>0</v>
      </c>
      <c r="DL116" s="23" t="n">
        <f aca="false">IF(AND(BC116=1,INT(N(H116))&lt;=Config!$B$6,CZ116=0),1,0)</f>
        <v>0</v>
      </c>
      <c r="DM116" s="23" t="n">
        <f aca="false">IF(AND(BC116=1,INT(N(H116))&lt;=Config!$B$7,DA116=0),1,0)</f>
        <v>0</v>
      </c>
      <c r="DN116" s="23" t="n">
        <f aca="false">IF(AND(BC116=1,INT(N(H116))&lt;=Config!$B$8,DB116=0),1,0)</f>
        <v>0</v>
      </c>
      <c r="DO116" s="23" t="n">
        <f aca="false">IF(AND(BC116=1,INT(N(H116))&lt;=Config!$B$5,DC116=0),1,0)</f>
        <v>0</v>
      </c>
      <c r="DP116" s="23" t="n">
        <f aca="false">IF(TRIM($A116)="",0,ISTEXT(K116)+ISTEXT(L116)+ISTEXT(R116)+ISTEXT(V116)+ISTEXT(AP116)+ISTEXT(AS116))</f>
        <v>0</v>
      </c>
      <c r="DQ116" s="23" t="n">
        <f aca="false">IF(AY116=1,IF(H116&lt;&gt;INT(H116),1,0),0)</f>
        <v>0</v>
      </c>
      <c r="DR116" s="23" t="str">
        <f aca="false">IF(TRIM($A116)="","",IF(TRIM(B116)="",SUBSTITUTE(SUBSTITUTE(SUBSTITUTE(SUBSTITUTE(SUBSTITUTE(SUBSTITUTE(LOWER(TRIM($A116)),"~",""),"*",""),"?",""),"&lt;",""),"&gt;",""),"=",""),SUBSTITUTE(SUBSTITUTE(SUBSTITUTE(SUBSTITUTE(SUBSTITUTE(SUBSTITUTE(LOWER(TRIM(B116)),"~",""),"*",""),"?",""),"&lt;",""),"&gt;",""),"=","")))</f>
        <v/>
      </c>
      <c r="DS116" s="23" t="str">
        <f aca="false">IF(CM116="","",IFERROR(IF(LEFT(LOWER(TRIM(INDEX(Clay_Brands!$A$2:$FZ$601,CM116,Sync!$D$19)&amp;"")),4)="grp-",SUBSTITUTE(SUBSTITUTE(SUBSTITUTE(SUBSTITUTE(SUBSTITUTE(SUBSTITUTE(LOWER(TRIM(INDEX(Clay_Brands!$A$2:$FZ$601,CM116,Sync!$D$19)&amp;"")),"~",""),"*",""),"?",""),"&lt;",""),"&gt;",""),"=",""),""),""))</f>
        <v/>
      </c>
      <c r="DT116" s="23" t="str">
        <f aca="false">IF(DS116&lt;&gt;"",DR116,"")</f>
        <v/>
      </c>
      <c r="DU116" s="23" t="str">
        <f aca="false">IF(AZ116=1,AW116,"")</f>
        <v/>
      </c>
      <c r="DV116" s="23" t="str">
        <f aca="false">IF(TRIM($A116)="","",IFERROR(INDEX($A$2:$A$201,MATCH(AW116,$DU$2:$DU$201,0))&amp;"",$A116&amp;""))</f>
        <v/>
      </c>
      <c r="DW116" s="23" t="n">
        <f aca="false">IF(AY116=1,IF(COUNTIFS($A$2:$A$201,$A116,$AY$2:$AY$201,1,$H$2:$H$201,"&lt;"&amp;H116)+COUNTIFS($A$2:$A$201,$A116,$AY$2:$AY$201,1,$H$2:$H$201,H116,$AX$2:$AX$201,"&lt;"&amp;AX116)=0,1,0),0)</f>
        <v>0</v>
      </c>
      <c r="DX116" s="23" t="n">
        <f aca="false">IF(AZ116=1,IF(COUNTIFS($AW$2:$AW$201,AW116,$DW$2:$DW$201,1)&gt;1,1,0),0)</f>
        <v>0</v>
      </c>
    </row>
    <row r="117" customFormat="false" ht="15" hidden="false" customHeight="false" outlineLevel="0" collapsed="false">
      <c r="G117" s="32"/>
      <c r="H117" s="33"/>
      <c r="I117" s="32"/>
      <c r="O117" s="32"/>
      <c r="P117" s="32"/>
      <c r="U117" s="32"/>
      <c r="Y117" s="32"/>
      <c r="AB117" s="32"/>
      <c r="AC117" s="32"/>
      <c r="AD117" s="32"/>
      <c r="AE117" s="32"/>
      <c r="AF117" s="32"/>
      <c r="AG117" s="32"/>
      <c r="AI117" s="32"/>
      <c r="AJ117" s="32"/>
      <c r="AK117" s="32"/>
      <c r="AN117" s="32"/>
      <c r="AO117" s="32"/>
      <c r="AR117" s="32"/>
      <c r="AT117" s="32"/>
      <c r="AV117" s="34" t="str">
        <f aca="false">IF(TRIM($A117)="","",IF(AND(LEFT($A117,6)="SAMPLE",Config!$B$19&lt;&gt;"Y"),"",IF(NOT(ISNUMBER(H117)),"call_date is blank or not a date",IF(Sync!$D$5="","Clay paste is empty or has no row_id column: paste the Clay export on Clay_Brands",IF(CM117="","row_id not found in the Clay paste: add the Clay row or fix the row_id",IF(AND(ISNUMBER(CO117),CO117&gt;=1,CO117&lt;=5),"Clay status is "&amp;CN117&amp;": set call_done or later",IF(AND(BA117=1,CP117&lt;&gt;CB117),"Clay yes_in_principle should be "&amp;CB117,IF(AND(BA117=1,CQ117&lt;&gt;H117),"Clay call_date should be "&amp;TEXT(H117,"yyyy-mm-dd"),""))))))))</f>
        <v/>
      </c>
      <c r="AW117" s="23" t="str">
        <f aca="false">IF(TRIM($A117)="","",IF(TRIM(C117)&lt;&gt;"",SUBSTITUTE(SUBSTITUTE(SUBSTITUTE(SUBSTITUTE(SUBSTITUTE(SUBSTITUTE(LOWER(TRIM(C117)),"~",""),"*",""),"?",""),"&lt;",""),"&gt;",""),"=",""),IF(DS117&lt;&gt;"",DS117,IFERROR(INDEX($DS$2:$DS$201,MATCH(DR117,$DT$2:$DT$201,0)),DR117))))</f>
        <v/>
      </c>
      <c r="AX117" s="23" t="n">
        <f aca="false">ROW()</f>
        <v>117</v>
      </c>
      <c r="AY117" s="23" t="n">
        <f aca="false">IF(AND(TRIM($A117)&lt;&gt;"",ISNUMBER(H117)),IF(AND(LEFT($A117,6)="SAMPLE",Config!$B$19&lt;&gt;"Y"),0,1),0)</f>
        <v>0</v>
      </c>
      <c r="AZ117" s="23" t="n">
        <f aca="false">IF(AY117=1,IF(COUNTIFS($AW$2:$AW$201,AW117,$AY$2:$AY$201,1,$H$2:$H$201,"&lt;"&amp;H117)+COUNTIFS($AW$2:$AW$201,AW117,$AY$2:$AY$201,1,$H$2:$H$201,H117,$AX$2:$AX$201,"&lt;"&amp;AX117)=0,1,0),0)</f>
        <v>0</v>
      </c>
      <c r="BA117" s="23" t="n">
        <f aca="false">IF(AY117=1,IF(COUNTIFS($A$2:$A$201,$A117,$AY$2:$AY$201,1,$H$2:$H$201,"&gt;"&amp;H117)+COUNTIFS($A$2:$A$201,$A117,$AY$2:$AY$201,1,$H$2:$H$201,H117,$AX$2:$AX$201,"&gt;"&amp;AX117)=0,1,0),0)</f>
        <v>0</v>
      </c>
      <c r="BB117" s="23" t="n">
        <f aca="false">IF(AND(AY117=1,O117="Y",MAX(N(R117),N(V117))&gt;=Config!$B$14),1,0)</f>
        <v>0</v>
      </c>
      <c r="BC117" s="23" t="n">
        <f aca="false">IF(BB117=1,IF(COUNTIFS($AW$2:$AW$201,AW117,$BB$2:$BB$201,1,$H$2:$H$201,"&lt;"&amp;H117)+COUNTIFS($AW$2:$AW$201,AW117,$BB$2:$BB$201,1,$H$2:$H$201,H117,$AX$2:$AX$201,"&lt;"&amp;AX117)=0,1,0),0)</f>
        <v>0</v>
      </c>
      <c r="BD117" s="23" t="n">
        <f aca="false">IF(AND(AY117=1,O117="Y",ISNUMBER(R117)),IF(R117&gt;=Config!$B$14,1,0),0)</f>
        <v>0</v>
      </c>
      <c r="BE117" s="23" t="n">
        <f aca="false">IF(BD117=1,IF(COUNTIFS($AW$2:$AW$201,AW117,$BD$2:$BD$201,1,$H$2:$H$201,"&lt;"&amp;H117)+COUNTIFS($AW$2:$AW$201,AW117,$BD$2:$BD$201,1,$H$2:$H$201,H117,$AX$2:$AX$201,"&lt;"&amp;AX117)=0,1,0),0)</f>
        <v>0</v>
      </c>
      <c r="BF117" s="23" t="n">
        <f aca="false">IF(AND(AY117=1,O117&lt;&gt;"Y",MAX(N(R117),N(V117))&gt;=Config!$B$14),1,0)</f>
        <v>0</v>
      </c>
      <c r="BG117" s="23" t="n">
        <f aca="false">IF(BF117=1,IF(COUNTIFS($AW$2:$AW$201,AW117,$BF$2:$BF$201,1,$H$2:$H$201,"&lt;"&amp;H117)+COUNTIFS($AW$2:$AW$201,AW117,$BF$2:$BF$201,1,$H$2:$H$201,H117,$AX$2:$AX$201,"&lt;"&amp;AX117)=0,1,0),0)</f>
        <v>0</v>
      </c>
      <c r="BH117" s="23" t="n">
        <f aca="false">IF(AND(AY117=1,ISNUMBER(R117)),1,0)</f>
        <v>0</v>
      </c>
      <c r="BI117" s="23" t="n">
        <f aca="false">IF(BH117=1,IF(COUNTIFS($AW$2:$AW$201,AW117,$BH$2:$BH$201,1,$H$2:$H$201,"&lt;"&amp;H117)+COUNTIFS($AW$2:$AW$201,AW117,$BH$2:$BH$201,1,$H$2:$H$201,H117,$AX$2:$AX$201,"&lt;"&amp;AX117)=0,1,0),0)</f>
        <v>0</v>
      </c>
      <c r="BJ117" s="23" t="str">
        <f aca="false">IF(AND(BI117=1,INT(N(H117))&lt;=Config!$B$6),R117,"")</f>
        <v/>
      </c>
      <c r="BK117" s="23" t="str">
        <f aca="false">IF(AND(BI117=1,INT(N(H117))&lt;=Config!$B$7),R117,"")</f>
        <v/>
      </c>
      <c r="BL117" s="23" t="str">
        <f aca="false">IF(AND(BI117=1,INT(N(H117))&lt;=Config!$B$8),R117,"")</f>
        <v/>
      </c>
      <c r="BM117" s="23" t="str">
        <f aca="false">IF(AND(BI117=1,INT(N(H117))&lt;=Config!$B$5),R117,"")</f>
        <v/>
      </c>
      <c r="BN117" s="23" t="n">
        <f aca="false">IF(AND(AY117=1,ISNUMBER(V117)),1,0)</f>
        <v>0</v>
      </c>
      <c r="BO117" s="23" t="n">
        <f aca="false">IF(BN117=1,IF(COUNTIFS($AW$2:$AW$201,AW117,$BN$2:$BN$201,1,$H$2:$H$201,"&lt;"&amp;H117)+COUNTIFS($AW$2:$AW$201,AW117,$BN$2:$BN$201,1,$H$2:$H$201,H117,$AX$2:$AX$201,"&lt;"&amp;AX117)=0,1,0),0)</f>
        <v>0</v>
      </c>
      <c r="BP117" s="23" t="str">
        <f aca="false">IF(AND(BO117=1,INT(N(H117))&lt;=Config!$B$6),V117,"")</f>
        <v/>
      </c>
      <c r="BQ117" s="23" t="str">
        <f aca="false">IF(AND(BO117=1,INT(N(H117))&lt;=Config!$B$7),V117,"")</f>
        <v/>
      </c>
      <c r="BR117" s="23" t="str">
        <f aca="false">IF(AND(BO117=1,INT(N(H117))&lt;=Config!$B$8),V117,"")</f>
        <v/>
      </c>
      <c r="BS117" s="23" t="str">
        <f aca="false">IF(AND(BO117=1,INT(N(H117))&lt;=Config!$B$5),V117,"")</f>
        <v/>
      </c>
      <c r="BT117" s="23" t="n">
        <f aca="false">IF(AND(AY117=1,ISNUMBER(K117)),1,0)</f>
        <v>0</v>
      </c>
      <c r="BU117" s="23" t="n">
        <f aca="false">IF(BT117=1,IF(COUNTIFS($AW$2:$AW$201,AW117,$BT$2:$BT$201,1,$H$2:$H$201,"&lt;"&amp;H117)+COUNTIFS($AW$2:$AW$201,AW117,$BT$2:$BT$201,1,$H$2:$H$201,H117,$AX$2:$AX$201,"&lt;"&amp;AX117)=0,1,0),0)</f>
        <v>0</v>
      </c>
      <c r="BV117" s="23" t="str">
        <f aca="false">IF(AND(BU117=1,INT(N(H117))&lt;=Config!$B$5),K117,"")</f>
        <v/>
      </c>
      <c r="BW117" s="23" t="n">
        <f aca="false">IF(AND(AY117=1,OR(AND(ISNUMBER(R117),TRIM(S117)=""),AND(ISNUMBER(V117),TRIM(W117)=""))),1,0)</f>
        <v>0</v>
      </c>
      <c r="BX117" s="23" t="str">
        <f aca="false">IF(AY117=1,AJ117&amp;"","")</f>
        <v/>
      </c>
      <c r="BY117" s="23" t="str">
        <f aca="false">IF(AY117=1,AK117&amp;"","")</f>
        <v/>
      </c>
      <c r="BZ117" s="23" t="str">
        <f aca="false">IF(AY117=1,AL117&amp;"","")</f>
        <v/>
      </c>
      <c r="CA117" s="23" t="str">
        <f aca="false">IF(AND(AY117=1,ISNUMBER(AS117),INT(N(H117))&lt;=Config!$B$5),AS117,"")</f>
        <v/>
      </c>
      <c r="CB117" s="23" t="str">
        <f aca="false">IF(AY117=1,IF(COUNTIFS($A$2:$A$201,$A117,$CU$2:$CU$201,1,$AN$2:$AN$201,"Y")&gt;0,"Y","N"),"")</f>
        <v/>
      </c>
      <c r="CC117" s="23" t="n">
        <f aca="false">IF(AND(AY117=1,AN117="Y"),IF(COUNTIFS($AW$2:$AW$201,AW117,$AN$2:$AN$201,"Y",$AY$2:$AY$201,1,$H$2:$H$201,"&lt;"&amp;H117)+COUNTIFS($AW$2:$AW$201,AW117,$AN$2:$AN$201,"Y",$AY$2:$AY$201,1,$H$2:$H$201,H117,$AX$2:$AX$201,"&lt;"&amp;AX117)=0,1,0),0)</f>
        <v>0</v>
      </c>
      <c r="CD117" s="23" t="n">
        <f aca="false">IF(AND(AY117=1,AB117="Y",AC117="Y",AD117="Y",AE117="Y",AF117="Y",AG117="Y",AI117="Y",TRIM(AH117)&lt;&gt;""),1,0)</f>
        <v>0</v>
      </c>
      <c r="CE117" s="23" t="n">
        <f aca="false">IF(CD117=1,IF(COUNTIFS($AW$2:$AW$201,AW117,$CD$2:$CD$201,1,$H$2:$H$201,"&lt;"&amp;H117)+COUNTIFS($AW$2:$AW$201,AW117,$CD$2:$CD$201,1,$H$2:$H$201,H117,$AX$2:$AX$201,"&lt;"&amp;AX117)=0,1,0),0)</f>
        <v>0</v>
      </c>
      <c r="CF117" s="23" t="n">
        <f aca="false">IF(AND(AY117=1,AO117="Y"),1,0)</f>
        <v>0</v>
      </c>
      <c r="CG117" s="23" t="n">
        <f aca="false">IF(CF117=1,IF(COUNTIFS($AW$2:$AW$201,AW117,$CF$2:$CF$201,1,$H$2:$H$201,"&lt;"&amp;H117)+COUNTIFS($AW$2:$AW$201,AW117,$CF$2:$CF$201,1,$H$2:$H$201,H117,$AX$2:$AX$201,"&lt;"&amp;AX117)=0,1,0),0)</f>
        <v>0</v>
      </c>
      <c r="CH117" s="23" t="n">
        <f aca="false">IF(AND(AY117=1,P117="Y"),1,0)</f>
        <v>0</v>
      </c>
      <c r="CI117" s="23" t="n">
        <f aca="false">IF(CH117=1,IF(COUNTIFS($AW$2:$AW$201,AW117,$CH$2:$CH$201,1,$H$2:$H$201,"&lt;"&amp;H117)+COUNTIFS($AW$2:$AW$201,AW117,$CH$2:$CH$201,1,$H$2:$H$201,H117,$AX$2:$AX$201,"&lt;"&amp;AX117)=0,1,0),0)</f>
        <v>0</v>
      </c>
      <c r="CJ117" s="23" t="str">
        <f aca="false">IF(AND(BU117=1,INT(N(H117))&lt;=Config!$B$5),L117,"")</f>
        <v/>
      </c>
      <c r="CK117" s="23" t="n">
        <f aca="false">IF(AND(AY117=1,AR117="Y"),1,0)</f>
        <v>0</v>
      </c>
      <c r="CL117" s="23" t="n">
        <f aca="false">IF(CK117=1,IF(COUNTIFS($AW$2:$AW$201,AW117,$CK$2:$CK$201,1,$H$2:$H$201,"&lt;"&amp;H117)+COUNTIFS($AW$2:$AW$201,AW117,$CK$2:$CK$201,1,$H$2:$H$201,H117,$AX$2:$AX$201,"&lt;"&amp;AX117)=0,1,0),0)</f>
        <v>0</v>
      </c>
      <c r="CM117" s="23" t="str">
        <f aca="false">IF(AY117=1,IFERROR(MATCH($A117,INDEX(Clay_Brands!$A$2:$FZ$601,0,Sync!$D$5),0),""),"")</f>
        <v/>
      </c>
      <c r="CN117" s="23" t="str">
        <f aca="false">IF(CM117="","",IFERROR(INDEX(Clay_Brands!$A$2:$FZ$601,CM117,Sync!$D$7)&amp;"",""))</f>
        <v/>
      </c>
      <c r="CO117" s="23" t="str">
        <f aca="false">IF(CN117="","",IFERROR(INDEX(Lists!$K$2:$K$15,MATCH(CN117,Lists!$J$2:$J$15,0)),""))</f>
        <v/>
      </c>
      <c r="CP117" s="23" t="str">
        <f aca="false">IF(CM117="","",IFERROR(INDEX(Clay_Brands!$A$2:$FZ$601,CM117,Sync!$D$17)&amp;"",""))</f>
        <v/>
      </c>
      <c r="CQ117" s="35" t="str">
        <f aca="false">IF(CM117="","",IFERROR(N(INDEX(Clay_Brands!$A$2:$FZ$601,CM117,Sync!$D$16)),0))</f>
        <v/>
      </c>
      <c r="CR117" s="23" t="n">
        <f aca="false">IF(AND(AY117=1,OR(O117="N",AND(OR(ISNUMBER(R117),ISNUMBER(V117)),MAX(N(R117),N(V117))&lt;Config!$B$14))),1,0)</f>
        <v>0</v>
      </c>
      <c r="CS117" s="23" t="n">
        <f aca="false">IF(OR(BB117=1,CR117=1),1,0)</f>
        <v>0</v>
      </c>
      <c r="CT117" s="23" t="n">
        <f aca="false">IF(AND(AY117=1,OR(AN117="Y",AN117="N",AN117="maybe")),1,0)</f>
        <v>0</v>
      </c>
      <c r="CU117" s="23" t="n">
        <f aca="false">IF(AND(CT117=1),IF(COUNTIFS($A$2:$A$201,$A117,$CT$2:$CT$201,1,$H$2:$H$201,"&gt;"&amp;H117)+COUNTIFS($A$2:$A$201,$A117,$CT$2:$CT$201,1,$H$2:$H$201,H117,$AX$2:$AX$201,"&gt;"&amp;AX117)=0,1,0),0)</f>
        <v>0</v>
      </c>
      <c r="CV117" s="23" t="n">
        <f aca="false">IF(AND(CS117=1,INT(N(H117))&lt;=Config!$B$6),IF(COUNTIFS($AW$2:$AW$201,AW117,$CS$2:$CS$201,1,$H$2:$H$201,"&gt;"&amp;H117,$H$2:$H$201,"&lt;"&amp;(Config!$B$6+1))+COUNTIFS($AW$2:$AW$201,AW117,$CS$2:$CS$201,1,$H$2:$H$201,H117,$AX$2:$AX$201,"&gt;"&amp;AX117)=0,1,0),0)</f>
        <v>0</v>
      </c>
      <c r="CW117" s="23" t="n">
        <f aca="false">IF(AND(CS117=1,INT(N(H117))&lt;=Config!$B$7),IF(COUNTIFS($AW$2:$AW$201,AW117,$CS$2:$CS$201,1,$H$2:$H$201,"&gt;"&amp;H117,$H$2:$H$201,"&lt;"&amp;(Config!$B$7+1))+COUNTIFS($AW$2:$AW$201,AW117,$CS$2:$CS$201,1,$H$2:$H$201,H117,$AX$2:$AX$201,"&gt;"&amp;AX117)=0,1,0),0)</f>
        <v>0</v>
      </c>
      <c r="CX117" s="23" t="n">
        <f aca="false">IF(AND(CS117=1,INT(N(H117))&lt;=Config!$B$8),IF(COUNTIFS($AW$2:$AW$201,AW117,$CS$2:$CS$201,1,$H$2:$H$201,"&gt;"&amp;H117,$H$2:$H$201,"&lt;"&amp;(Config!$B$8+1))+COUNTIFS($AW$2:$AW$201,AW117,$CS$2:$CS$201,1,$H$2:$H$201,H117,$AX$2:$AX$201,"&gt;"&amp;AX117)=0,1,0),0)</f>
        <v>0</v>
      </c>
      <c r="CY117" s="23" t="n">
        <f aca="false">IF(AND(CS117=1,INT(N(H117))&lt;=Config!$B$5),IF(COUNTIFS($AW$2:$AW$201,AW117,$CS$2:$CS$201,1,$H$2:$H$201,"&gt;"&amp;H117,$H$2:$H$201,"&lt;"&amp;(Config!$B$5+1))+COUNTIFS($AW$2:$AW$201,AW117,$CS$2:$CS$201,1,$H$2:$H$201,H117,$AX$2:$AX$201,"&gt;"&amp;AX117)=0,1,0),0)</f>
        <v>0</v>
      </c>
      <c r="CZ117" s="23" t="n">
        <f aca="false">IF(AY117=1,IF(COUNTIFS($AW$2:$AW$201,AW117,$CV$2:$CV$201,1,$BB$2:$BB$201,1)&gt;0,1,0),0)</f>
        <v>0</v>
      </c>
      <c r="DA117" s="23" t="n">
        <f aca="false">IF(AY117=1,IF(COUNTIFS($AW$2:$AW$201,AW117,$CW$2:$CW$201,1,$BB$2:$BB$201,1)&gt;0,1,0),0)</f>
        <v>0</v>
      </c>
      <c r="DB117" s="23" t="n">
        <f aca="false">IF(AY117=1,IF(COUNTIFS($AW$2:$AW$201,AW117,$CX$2:$CX$201,1,$BB$2:$BB$201,1)&gt;0,1,0),0)</f>
        <v>0</v>
      </c>
      <c r="DC117" s="23" t="n">
        <f aca="false">IF(AY117=1,IF(COUNTIFS($AW$2:$AW$201,AW117,$CY$2:$CY$201,1,$BB$2:$BB$201,1)&gt;0,1,0),0)</f>
        <v>0</v>
      </c>
      <c r="DD117" s="23" t="n">
        <f aca="false">IF(AND(BC117=1,INT(N(H117))&lt;=Config!$B$6,CZ117=1),1,0)</f>
        <v>0</v>
      </c>
      <c r="DE117" s="23" t="n">
        <f aca="false">IF(AND(BC117=1,INT(N(H117))&lt;=Config!$B$7,DA117=1),1,0)</f>
        <v>0</v>
      </c>
      <c r="DF117" s="23" t="n">
        <f aca="false">IF(AND(BC117=1,INT(N(H117))&lt;=Config!$B$8,DB117=1),1,0)</f>
        <v>0</v>
      </c>
      <c r="DG117" s="23" t="n">
        <f aca="false">IF(AND(BC117=1,INT(N(H117))&lt;=Config!$B$5,DC117=1),1,0)</f>
        <v>0</v>
      </c>
      <c r="DH117" s="23" t="n">
        <f aca="false">IF(AND(BE117=1,INT(N(H117))&lt;=Config!$B$6,CZ117=1),1,0)</f>
        <v>0</v>
      </c>
      <c r="DI117" s="23" t="n">
        <f aca="false">IF(AND(BE117=1,INT(N(H117))&lt;=Config!$B$7,DA117=1),1,0)</f>
        <v>0</v>
      </c>
      <c r="DJ117" s="23" t="n">
        <f aca="false">IF(AND(BE117=1,INT(N(H117))&lt;=Config!$B$8,DB117=1),1,0)</f>
        <v>0</v>
      </c>
      <c r="DK117" s="23" t="n">
        <f aca="false">IF(AND(BE117=1,INT(N(H117))&lt;=Config!$B$5,DC117=1),1,0)</f>
        <v>0</v>
      </c>
      <c r="DL117" s="23" t="n">
        <f aca="false">IF(AND(BC117=1,INT(N(H117))&lt;=Config!$B$6,CZ117=0),1,0)</f>
        <v>0</v>
      </c>
      <c r="DM117" s="23" t="n">
        <f aca="false">IF(AND(BC117=1,INT(N(H117))&lt;=Config!$B$7,DA117=0),1,0)</f>
        <v>0</v>
      </c>
      <c r="DN117" s="23" t="n">
        <f aca="false">IF(AND(BC117=1,INT(N(H117))&lt;=Config!$B$8,DB117=0),1,0)</f>
        <v>0</v>
      </c>
      <c r="DO117" s="23" t="n">
        <f aca="false">IF(AND(BC117=1,INT(N(H117))&lt;=Config!$B$5,DC117=0),1,0)</f>
        <v>0</v>
      </c>
      <c r="DP117" s="23" t="n">
        <f aca="false">IF(TRIM($A117)="",0,ISTEXT(K117)+ISTEXT(L117)+ISTEXT(R117)+ISTEXT(V117)+ISTEXT(AP117)+ISTEXT(AS117))</f>
        <v>0</v>
      </c>
      <c r="DQ117" s="23" t="n">
        <f aca="false">IF(AY117=1,IF(H117&lt;&gt;INT(H117),1,0),0)</f>
        <v>0</v>
      </c>
      <c r="DR117" s="23" t="str">
        <f aca="false">IF(TRIM($A117)="","",IF(TRIM(B117)="",SUBSTITUTE(SUBSTITUTE(SUBSTITUTE(SUBSTITUTE(SUBSTITUTE(SUBSTITUTE(LOWER(TRIM($A117)),"~",""),"*",""),"?",""),"&lt;",""),"&gt;",""),"=",""),SUBSTITUTE(SUBSTITUTE(SUBSTITUTE(SUBSTITUTE(SUBSTITUTE(SUBSTITUTE(LOWER(TRIM(B117)),"~",""),"*",""),"?",""),"&lt;",""),"&gt;",""),"=","")))</f>
        <v/>
      </c>
      <c r="DS117" s="23" t="str">
        <f aca="false">IF(CM117="","",IFERROR(IF(LEFT(LOWER(TRIM(INDEX(Clay_Brands!$A$2:$FZ$601,CM117,Sync!$D$19)&amp;"")),4)="grp-",SUBSTITUTE(SUBSTITUTE(SUBSTITUTE(SUBSTITUTE(SUBSTITUTE(SUBSTITUTE(LOWER(TRIM(INDEX(Clay_Brands!$A$2:$FZ$601,CM117,Sync!$D$19)&amp;"")),"~",""),"*",""),"?",""),"&lt;",""),"&gt;",""),"=",""),""),""))</f>
        <v/>
      </c>
      <c r="DT117" s="23" t="str">
        <f aca="false">IF(DS117&lt;&gt;"",DR117,"")</f>
        <v/>
      </c>
      <c r="DU117" s="23" t="str">
        <f aca="false">IF(AZ117=1,AW117,"")</f>
        <v/>
      </c>
      <c r="DV117" s="23" t="str">
        <f aca="false">IF(TRIM($A117)="","",IFERROR(INDEX($A$2:$A$201,MATCH(AW117,$DU$2:$DU$201,0))&amp;"",$A117&amp;""))</f>
        <v/>
      </c>
      <c r="DW117" s="23" t="n">
        <f aca="false">IF(AY117=1,IF(COUNTIFS($A$2:$A$201,$A117,$AY$2:$AY$201,1,$H$2:$H$201,"&lt;"&amp;H117)+COUNTIFS($A$2:$A$201,$A117,$AY$2:$AY$201,1,$H$2:$H$201,H117,$AX$2:$AX$201,"&lt;"&amp;AX117)=0,1,0),0)</f>
        <v>0</v>
      </c>
      <c r="DX117" s="23" t="n">
        <f aca="false">IF(AZ117=1,IF(COUNTIFS($AW$2:$AW$201,AW117,$DW$2:$DW$201,1)&gt;1,1,0),0)</f>
        <v>0</v>
      </c>
    </row>
    <row r="118" customFormat="false" ht="15" hidden="false" customHeight="false" outlineLevel="0" collapsed="false">
      <c r="G118" s="32"/>
      <c r="H118" s="33"/>
      <c r="I118" s="32"/>
      <c r="O118" s="32"/>
      <c r="P118" s="32"/>
      <c r="U118" s="32"/>
      <c r="Y118" s="32"/>
      <c r="AB118" s="32"/>
      <c r="AC118" s="32"/>
      <c r="AD118" s="32"/>
      <c r="AE118" s="32"/>
      <c r="AF118" s="32"/>
      <c r="AG118" s="32"/>
      <c r="AI118" s="32"/>
      <c r="AJ118" s="32"/>
      <c r="AK118" s="32"/>
      <c r="AN118" s="32"/>
      <c r="AO118" s="32"/>
      <c r="AR118" s="32"/>
      <c r="AT118" s="32"/>
      <c r="AV118" s="34" t="str">
        <f aca="false">IF(TRIM($A118)="","",IF(AND(LEFT($A118,6)="SAMPLE",Config!$B$19&lt;&gt;"Y"),"",IF(NOT(ISNUMBER(H118)),"call_date is blank or not a date",IF(Sync!$D$5="","Clay paste is empty or has no row_id column: paste the Clay export on Clay_Brands",IF(CM118="","row_id not found in the Clay paste: add the Clay row or fix the row_id",IF(AND(ISNUMBER(CO118),CO118&gt;=1,CO118&lt;=5),"Clay status is "&amp;CN118&amp;": set call_done or later",IF(AND(BA118=1,CP118&lt;&gt;CB118),"Clay yes_in_principle should be "&amp;CB118,IF(AND(BA118=1,CQ118&lt;&gt;H118),"Clay call_date should be "&amp;TEXT(H118,"yyyy-mm-dd"),""))))))))</f>
        <v/>
      </c>
      <c r="AW118" s="23" t="str">
        <f aca="false">IF(TRIM($A118)="","",IF(TRIM(C118)&lt;&gt;"",SUBSTITUTE(SUBSTITUTE(SUBSTITUTE(SUBSTITUTE(SUBSTITUTE(SUBSTITUTE(LOWER(TRIM(C118)),"~",""),"*",""),"?",""),"&lt;",""),"&gt;",""),"=",""),IF(DS118&lt;&gt;"",DS118,IFERROR(INDEX($DS$2:$DS$201,MATCH(DR118,$DT$2:$DT$201,0)),DR118))))</f>
        <v/>
      </c>
      <c r="AX118" s="23" t="n">
        <f aca="false">ROW()</f>
        <v>118</v>
      </c>
      <c r="AY118" s="23" t="n">
        <f aca="false">IF(AND(TRIM($A118)&lt;&gt;"",ISNUMBER(H118)),IF(AND(LEFT($A118,6)="SAMPLE",Config!$B$19&lt;&gt;"Y"),0,1),0)</f>
        <v>0</v>
      </c>
      <c r="AZ118" s="23" t="n">
        <f aca="false">IF(AY118=1,IF(COUNTIFS($AW$2:$AW$201,AW118,$AY$2:$AY$201,1,$H$2:$H$201,"&lt;"&amp;H118)+COUNTIFS($AW$2:$AW$201,AW118,$AY$2:$AY$201,1,$H$2:$H$201,H118,$AX$2:$AX$201,"&lt;"&amp;AX118)=0,1,0),0)</f>
        <v>0</v>
      </c>
      <c r="BA118" s="23" t="n">
        <f aca="false">IF(AY118=1,IF(COUNTIFS($A$2:$A$201,$A118,$AY$2:$AY$201,1,$H$2:$H$201,"&gt;"&amp;H118)+COUNTIFS($A$2:$A$201,$A118,$AY$2:$AY$201,1,$H$2:$H$201,H118,$AX$2:$AX$201,"&gt;"&amp;AX118)=0,1,0),0)</f>
        <v>0</v>
      </c>
      <c r="BB118" s="23" t="n">
        <f aca="false">IF(AND(AY118=1,O118="Y",MAX(N(R118),N(V118))&gt;=Config!$B$14),1,0)</f>
        <v>0</v>
      </c>
      <c r="BC118" s="23" t="n">
        <f aca="false">IF(BB118=1,IF(COUNTIFS($AW$2:$AW$201,AW118,$BB$2:$BB$201,1,$H$2:$H$201,"&lt;"&amp;H118)+COUNTIFS($AW$2:$AW$201,AW118,$BB$2:$BB$201,1,$H$2:$H$201,H118,$AX$2:$AX$201,"&lt;"&amp;AX118)=0,1,0),0)</f>
        <v>0</v>
      </c>
      <c r="BD118" s="23" t="n">
        <f aca="false">IF(AND(AY118=1,O118="Y",ISNUMBER(R118)),IF(R118&gt;=Config!$B$14,1,0),0)</f>
        <v>0</v>
      </c>
      <c r="BE118" s="23" t="n">
        <f aca="false">IF(BD118=1,IF(COUNTIFS($AW$2:$AW$201,AW118,$BD$2:$BD$201,1,$H$2:$H$201,"&lt;"&amp;H118)+COUNTIFS($AW$2:$AW$201,AW118,$BD$2:$BD$201,1,$H$2:$H$201,H118,$AX$2:$AX$201,"&lt;"&amp;AX118)=0,1,0),0)</f>
        <v>0</v>
      </c>
      <c r="BF118" s="23" t="n">
        <f aca="false">IF(AND(AY118=1,O118&lt;&gt;"Y",MAX(N(R118),N(V118))&gt;=Config!$B$14),1,0)</f>
        <v>0</v>
      </c>
      <c r="BG118" s="23" t="n">
        <f aca="false">IF(BF118=1,IF(COUNTIFS($AW$2:$AW$201,AW118,$BF$2:$BF$201,1,$H$2:$H$201,"&lt;"&amp;H118)+COUNTIFS($AW$2:$AW$201,AW118,$BF$2:$BF$201,1,$H$2:$H$201,H118,$AX$2:$AX$201,"&lt;"&amp;AX118)=0,1,0),0)</f>
        <v>0</v>
      </c>
      <c r="BH118" s="23" t="n">
        <f aca="false">IF(AND(AY118=1,ISNUMBER(R118)),1,0)</f>
        <v>0</v>
      </c>
      <c r="BI118" s="23" t="n">
        <f aca="false">IF(BH118=1,IF(COUNTIFS($AW$2:$AW$201,AW118,$BH$2:$BH$201,1,$H$2:$H$201,"&lt;"&amp;H118)+COUNTIFS($AW$2:$AW$201,AW118,$BH$2:$BH$201,1,$H$2:$H$201,H118,$AX$2:$AX$201,"&lt;"&amp;AX118)=0,1,0),0)</f>
        <v>0</v>
      </c>
      <c r="BJ118" s="23" t="str">
        <f aca="false">IF(AND(BI118=1,INT(N(H118))&lt;=Config!$B$6),R118,"")</f>
        <v/>
      </c>
      <c r="BK118" s="23" t="str">
        <f aca="false">IF(AND(BI118=1,INT(N(H118))&lt;=Config!$B$7),R118,"")</f>
        <v/>
      </c>
      <c r="BL118" s="23" t="str">
        <f aca="false">IF(AND(BI118=1,INT(N(H118))&lt;=Config!$B$8),R118,"")</f>
        <v/>
      </c>
      <c r="BM118" s="23" t="str">
        <f aca="false">IF(AND(BI118=1,INT(N(H118))&lt;=Config!$B$5),R118,"")</f>
        <v/>
      </c>
      <c r="BN118" s="23" t="n">
        <f aca="false">IF(AND(AY118=1,ISNUMBER(V118)),1,0)</f>
        <v>0</v>
      </c>
      <c r="BO118" s="23" t="n">
        <f aca="false">IF(BN118=1,IF(COUNTIFS($AW$2:$AW$201,AW118,$BN$2:$BN$201,1,$H$2:$H$201,"&lt;"&amp;H118)+COUNTIFS($AW$2:$AW$201,AW118,$BN$2:$BN$201,1,$H$2:$H$201,H118,$AX$2:$AX$201,"&lt;"&amp;AX118)=0,1,0),0)</f>
        <v>0</v>
      </c>
      <c r="BP118" s="23" t="str">
        <f aca="false">IF(AND(BO118=1,INT(N(H118))&lt;=Config!$B$6),V118,"")</f>
        <v/>
      </c>
      <c r="BQ118" s="23" t="str">
        <f aca="false">IF(AND(BO118=1,INT(N(H118))&lt;=Config!$B$7),V118,"")</f>
        <v/>
      </c>
      <c r="BR118" s="23" t="str">
        <f aca="false">IF(AND(BO118=1,INT(N(H118))&lt;=Config!$B$8),V118,"")</f>
        <v/>
      </c>
      <c r="BS118" s="23" t="str">
        <f aca="false">IF(AND(BO118=1,INT(N(H118))&lt;=Config!$B$5),V118,"")</f>
        <v/>
      </c>
      <c r="BT118" s="23" t="n">
        <f aca="false">IF(AND(AY118=1,ISNUMBER(K118)),1,0)</f>
        <v>0</v>
      </c>
      <c r="BU118" s="23" t="n">
        <f aca="false">IF(BT118=1,IF(COUNTIFS($AW$2:$AW$201,AW118,$BT$2:$BT$201,1,$H$2:$H$201,"&lt;"&amp;H118)+COUNTIFS($AW$2:$AW$201,AW118,$BT$2:$BT$201,1,$H$2:$H$201,H118,$AX$2:$AX$201,"&lt;"&amp;AX118)=0,1,0),0)</f>
        <v>0</v>
      </c>
      <c r="BV118" s="23" t="str">
        <f aca="false">IF(AND(BU118=1,INT(N(H118))&lt;=Config!$B$5),K118,"")</f>
        <v/>
      </c>
      <c r="BW118" s="23" t="n">
        <f aca="false">IF(AND(AY118=1,OR(AND(ISNUMBER(R118),TRIM(S118)=""),AND(ISNUMBER(V118),TRIM(W118)=""))),1,0)</f>
        <v>0</v>
      </c>
      <c r="BX118" s="23" t="str">
        <f aca="false">IF(AY118=1,AJ118&amp;"","")</f>
        <v/>
      </c>
      <c r="BY118" s="23" t="str">
        <f aca="false">IF(AY118=1,AK118&amp;"","")</f>
        <v/>
      </c>
      <c r="BZ118" s="23" t="str">
        <f aca="false">IF(AY118=1,AL118&amp;"","")</f>
        <v/>
      </c>
      <c r="CA118" s="23" t="str">
        <f aca="false">IF(AND(AY118=1,ISNUMBER(AS118),INT(N(H118))&lt;=Config!$B$5),AS118,"")</f>
        <v/>
      </c>
      <c r="CB118" s="23" t="str">
        <f aca="false">IF(AY118=1,IF(COUNTIFS($A$2:$A$201,$A118,$CU$2:$CU$201,1,$AN$2:$AN$201,"Y")&gt;0,"Y","N"),"")</f>
        <v/>
      </c>
      <c r="CC118" s="23" t="n">
        <f aca="false">IF(AND(AY118=1,AN118="Y"),IF(COUNTIFS($AW$2:$AW$201,AW118,$AN$2:$AN$201,"Y",$AY$2:$AY$201,1,$H$2:$H$201,"&lt;"&amp;H118)+COUNTIFS($AW$2:$AW$201,AW118,$AN$2:$AN$201,"Y",$AY$2:$AY$201,1,$H$2:$H$201,H118,$AX$2:$AX$201,"&lt;"&amp;AX118)=0,1,0),0)</f>
        <v>0</v>
      </c>
      <c r="CD118" s="23" t="n">
        <f aca="false">IF(AND(AY118=1,AB118="Y",AC118="Y",AD118="Y",AE118="Y",AF118="Y",AG118="Y",AI118="Y",TRIM(AH118)&lt;&gt;""),1,0)</f>
        <v>0</v>
      </c>
      <c r="CE118" s="23" t="n">
        <f aca="false">IF(CD118=1,IF(COUNTIFS($AW$2:$AW$201,AW118,$CD$2:$CD$201,1,$H$2:$H$201,"&lt;"&amp;H118)+COUNTIFS($AW$2:$AW$201,AW118,$CD$2:$CD$201,1,$H$2:$H$201,H118,$AX$2:$AX$201,"&lt;"&amp;AX118)=0,1,0),0)</f>
        <v>0</v>
      </c>
      <c r="CF118" s="23" t="n">
        <f aca="false">IF(AND(AY118=1,AO118="Y"),1,0)</f>
        <v>0</v>
      </c>
      <c r="CG118" s="23" t="n">
        <f aca="false">IF(CF118=1,IF(COUNTIFS($AW$2:$AW$201,AW118,$CF$2:$CF$201,1,$H$2:$H$201,"&lt;"&amp;H118)+COUNTIFS($AW$2:$AW$201,AW118,$CF$2:$CF$201,1,$H$2:$H$201,H118,$AX$2:$AX$201,"&lt;"&amp;AX118)=0,1,0),0)</f>
        <v>0</v>
      </c>
      <c r="CH118" s="23" t="n">
        <f aca="false">IF(AND(AY118=1,P118="Y"),1,0)</f>
        <v>0</v>
      </c>
      <c r="CI118" s="23" t="n">
        <f aca="false">IF(CH118=1,IF(COUNTIFS($AW$2:$AW$201,AW118,$CH$2:$CH$201,1,$H$2:$H$201,"&lt;"&amp;H118)+COUNTIFS($AW$2:$AW$201,AW118,$CH$2:$CH$201,1,$H$2:$H$201,H118,$AX$2:$AX$201,"&lt;"&amp;AX118)=0,1,0),0)</f>
        <v>0</v>
      </c>
      <c r="CJ118" s="23" t="str">
        <f aca="false">IF(AND(BU118=1,INT(N(H118))&lt;=Config!$B$5),L118,"")</f>
        <v/>
      </c>
      <c r="CK118" s="23" t="n">
        <f aca="false">IF(AND(AY118=1,AR118="Y"),1,0)</f>
        <v>0</v>
      </c>
      <c r="CL118" s="23" t="n">
        <f aca="false">IF(CK118=1,IF(COUNTIFS($AW$2:$AW$201,AW118,$CK$2:$CK$201,1,$H$2:$H$201,"&lt;"&amp;H118)+COUNTIFS($AW$2:$AW$201,AW118,$CK$2:$CK$201,1,$H$2:$H$201,H118,$AX$2:$AX$201,"&lt;"&amp;AX118)=0,1,0),0)</f>
        <v>0</v>
      </c>
      <c r="CM118" s="23" t="str">
        <f aca="false">IF(AY118=1,IFERROR(MATCH($A118,INDEX(Clay_Brands!$A$2:$FZ$601,0,Sync!$D$5),0),""),"")</f>
        <v/>
      </c>
      <c r="CN118" s="23" t="str">
        <f aca="false">IF(CM118="","",IFERROR(INDEX(Clay_Brands!$A$2:$FZ$601,CM118,Sync!$D$7)&amp;"",""))</f>
        <v/>
      </c>
      <c r="CO118" s="23" t="str">
        <f aca="false">IF(CN118="","",IFERROR(INDEX(Lists!$K$2:$K$15,MATCH(CN118,Lists!$J$2:$J$15,0)),""))</f>
        <v/>
      </c>
      <c r="CP118" s="23" t="str">
        <f aca="false">IF(CM118="","",IFERROR(INDEX(Clay_Brands!$A$2:$FZ$601,CM118,Sync!$D$17)&amp;"",""))</f>
        <v/>
      </c>
      <c r="CQ118" s="35" t="str">
        <f aca="false">IF(CM118="","",IFERROR(N(INDEX(Clay_Brands!$A$2:$FZ$601,CM118,Sync!$D$16)),0))</f>
        <v/>
      </c>
      <c r="CR118" s="23" t="n">
        <f aca="false">IF(AND(AY118=1,OR(O118="N",AND(OR(ISNUMBER(R118),ISNUMBER(V118)),MAX(N(R118),N(V118))&lt;Config!$B$14))),1,0)</f>
        <v>0</v>
      </c>
      <c r="CS118" s="23" t="n">
        <f aca="false">IF(OR(BB118=1,CR118=1),1,0)</f>
        <v>0</v>
      </c>
      <c r="CT118" s="23" t="n">
        <f aca="false">IF(AND(AY118=1,OR(AN118="Y",AN118="N",AN118="maybe")),1,0)</f>
        <v>0</v>
      </c>
      <c r="CU118" s="23" t="n">
        <f aca="false">IF(AND(CT118=1),IF(COUNTIFS($A$2:$A$201,$A118,$CT$2:$CT$201,1,$H$2:$H$201,"&gt;"&amp;H118)+COUNTIFS($A$2:$A$201,$A118,$CT$2:$CT$201,1,$H$2:$H$201,H118,$AX$2:$AX$201,"&gt;"&amp;AX118)=0,1,0),0)</f>
        <v>0</v>
      </c>
      <c r="CV118" s="23" t="n">
        <f aca="false">IF(AND(CS118=1,INT(N(H118))&lt;=Config!$B$6),IF(COUNTIFS($AW$2:$AW$201,AW118,$CS$2:$CS$201,1,$H$2:$H$201,"&gt;"&amp;H118,$H$2:$H$201,"&lt;"&amp;(Config!$B$6+1))+COUNTIFS($AW$2:$AW$201,AW118,$CS$2:$CS$201,1,$H$2:$H$201,H118,$AX$2:$AX$201,"&gt;"&amp;AX118)=0,1,0),0)</f>
        <v>0</v>
      </c>
      <c r="CW118" s="23" t="n">
        <f aca="false">IF(AND(CS118=1,INT(N(H118))&lt;=Config!$B$7),IF(COUNTIFS($AW$2:$AW$201,AW118,$CS$2:$CS$201,1,$H$2:$H$201,"&gt;"&amp;H118,$H$2:$H$201,"&lt;"&amp;(Config!$B$7+1))+COUNTIFS($AW$2:$AW$201,AW118,$CS$2:$CS$201,1,$H$2:$H$201,H118,$AX$2:$AX$201,"&gt;"&amp;AX118)=0,1,0),0)</f>
        <v>0</v>
      </c>
      <c r="CX118" s="23" t="n">
        <f aca="false">IF(AND(CS118=1,INT(N(H118))&lt;=Config!$B$8),IF(COUNTIFS($AW$2:$AW$201,AW118,$CS$2:$CS$201,1,$H$2:$H$201,"&gt;"&amp;H118,$H$2:$H$201,"&lt;"&amp;(Config!$B$8+1))+COUNTIFS($AW$2:$AW$201,AW118,$CS$2:$CS$201,1,$H$2:$H$201,H118,$AX$2:$AX$201,"&gt;"&amp;AX118)=0,1,0),0)</f>
        <v>0</v>
      </c>
      <c r="CY118" s="23" t="n">
        <f aca="false">IF(AND(CS118=1,INT(N(H118))&lt;=Config!$B$5),IF(COUNTIFS($AW$2:$AW$201,AW118,$CS$2:$CS$201,1,$H$2:$H$201,"&gt;"&amp;H118,$H$2:$H$201,"&lt;"&amp;(Config!$B$5+1))+COUNTIFS($AW$2:$AW$201,AW118,$CS$2:$CS$201,1,$H$2:$H$201,H118,$AX$2:$AX$201,"&gt;"&amp;AX118)=0,1,0),0)</f>
        <v>0</v>
      </c>
      <c r="CZ118" s="23" t="n">
        <f aca="false">IF(AY118=1,IF(COUNTIFS($AW$2:$AW$201,AW118,$CV$2:$CV$201,1,$BB$2:$BB$201,1)&gt;0,1,0),0)</f>
        <v>0</v>
      </c>
      <c r="DA118" s="23" t="n">
        <f aca="false">IF(AY118=1,IF(COUNTIFS($AW$2:$AW$201,AW118,$CW$2:$CW$201,1,$BB$2:$BB$201,1)&gt;0,1,0),0)</f>
        <v>0</v>
      </c>
      <c r="DB118" s="23" t="n">
        <f aca="false">IF(AY118=1,IF(COUNTIFS($AW$2:$AW$201,AW118,$CX$2:$CX$201,1,$BB$2:$BB$201,1)&gt;0,1,0),0)</f>
        <v>0</v>
      </c>
      <c r="DC118" s="23" t="n">
        <f aca="false">IF(AY118=1,IF(COUNTIFS($AW$2:$AW$201,AW118,$CY$2:$CY$201,1,$BB$2:$BB$201,1)&gt;0,1,0),0)</f>
        <v>0</v>
      </c>
      <c r="DD118" s="23" t="n">
        <f aca="false">IF(AND(BC118=1,INT(N(H118))&lt;=Config!$B$6,CZ118=1),1,0)</f>
        <v>0</v>
      </c>
      <c r="DE118" s="23" t="n">
        <f aca="false">IF(AND(BC118=1,INT(N(H118))&lt;=Config!$B$7,DA118=1),1,0)</f>
        <v>0</v>
      </c>
      <c r="DF118" s="23" t="n">
        <f aca="false">IF(AND(BC118=1,INT(N(H118))&lt;=Config!$B$8,DB118=1),1,0)</f>
        <v>0</v>
      </c>
      <c r="DG118" s="23" t="n">
        <f aca="false">IF(AND(BC118=1,INT(N(H118))&lt;=Config!$B$5,DC118=1),1,0)</f>
        <v>0</v>
      </c>
      <c r="DH118" s="23" t="n">
        <f aca="false">IF(AND(BE118=1,INT(N(H118))&lt;=Config!$B$6,CZ118=1),1,0)</f>
        <v>0</v>
      </c>
      <c r="DI118" s="23" t="n">
        <f aca="false">IF(AND(BE118=1,INT(N(H118))&lt;=Config!$B$7,DA118=1),1,0)</f>
        <v>0</v>
      </c>
      <c r="DJ118" s="23" t="n">
        <f aca="false">IF(AND(BE118=1,INT(N(H118))&lt;=Config!$B$8,DB118=1),1,0)</f>
        <v>0</v>
      </c>
      <c r="DK118" s="23" t="n">
        <f aca="false">IF(AND(BE118=1,INT(N(H118))&lt;=Config!$B$5,DC118=1),1,0)</f>
        <v>0</v>
      </c>
      <c r="DL118" s="23" t="n">
        <f aca="false">IF(AND(BC118=1,INT(N(H118))&lt;=Config!$B$6,CZ118=0),1,0)</f>
        <v>0</v>
      </c>
      <c r="DM118" s="23" t="n">
        <f aca="false">IF(AND(BC118=1,INT(N(H118))&lt;=Config!$B$7,DA118=0),1,0)</f>
        <v>0</v>
      </c>
      <c r="DN118" s="23" t="n">
        <f aca="false">IF(AND(BC118=1,INT(N(H118))&lt;=Config!$B$8,DB118=0),1,0)</f>
        <v>0</v>
      </c>
      <c r="DO118" s="23" t="n">
        <f aca="false">IF(AND(BC118=1,INT(N(H118))&lt;=Config!$B$5,DC118=0),1,0)</f>
        <v>0</v>
      </c>
      <c r="DP118" s="23" t="n">
        <f aca="false">IF(TRIM($A118)="",0,ISTEXT(K118)+ISTEXT(L118)+ISTEXT(R118)+ISTEXT(V118)+ISTEXT(AP118)+ISTEXT(AS118))</f>
        <v>0</v>
      </c>
      <c r="DQ118" s="23" t="n">
        <f aca="false">IF(AY118=1,IF(H118&lt;&gt;INT(H118),1,0),0)</f>
        <v>0</v>
      </c>
      <c r="DR118" s="23" t="str">
        <f aca="false">IF(TRIM($A118)="","",IF(TRIM(B118)="",SUBSTITUTE(SUBSTITUTE(SUBSTITUTE(SUBSTITUTE(SUBSTITUTE(SUBSTITUTE(LOWER(TRIM($A118)),"~",""),"*",""),"?",""),"&lt;",""),"&gt;",""),"=",""),SUBSTITUTE(SUBSTITUTE(SUBSTITUTE(SUBSTITUTE(SUBSTITUTE(SUBSTITUTE(LOWER(TRIM(B118)),"~",""),"*",""),"?",""),"&lt;",""),"&gt;",""),"=","")))</f>
        <v/>
      </c>
      <c r="DS118" s="23" t="str">
        <f aca="false">IF(CM118="","",IFERROR(IF(LEFT(LOWER(TRIM(INDEX(Clay_Brands!$A$2:$FZ$601,CM118,Sync!$D$19)&amp;"")),4)="grp-",SUBSTITUTE(SUBSTITUTE(SUBSTITUTE(SUBSTITUTE(SUBSTITUTE(SUBSTITUTE(LOWER(TRIM(INDEX(Clay_Brands!$A$2:$FZ$601,CM118,Sync!$D$19)&amp;"")),"~",""),"*",""),"?",""),"&lt;",""),"&gt;",""),"=",""),""),""))</f>
        <v/>
      </c>
      <c r="DT118" s="23" t="str">
        <f aca="false">IF(DS118&lt;&gt;"",DR118,"")</f>
        <v/>
      </c>
      <c r="DU118" s="23" t="str">
        <f aca="false">IF(AZ118=1,AW118,"")</f>
        <v/>
      </c>
      <c r="DV118" s="23" t="str">
        <f aca="false">IF(TRIM($A118)="","",IFERROR(INDEX($A$2:$A$201,MATCH(AW118,$DU$2:$DU$201,0))&amp;"",$A118&amp;""))</f>
        <v/>
      </c>
      <c r="DW118" s="23" t="n">
        <f aca="false">IF(AY118=1,IF(COUNTIFS($A$2:$A$201,$A118,$AY$2:$AY$201,1,$H$2:$H$201,"&lt;"&amp;H118)+COUNTIFS($A$2:$A$201,$A118,$AY$2:$AY$201,1,$H$2:$H$201,H118,$AX$2:$AX$201,"&lt;"&amp;AX118)=0,1,0),0)</f>
        <v>0</v>
      </c>
      <c r="DX118" s="23" t="n">
        <f aca="false">IF(AZ118=1,IF(COUNTIFS($AW$2:$AW$201,AW118,$DW$2:$DW$201,1)&gt;1,1,0),0)</f>
        <v>0</v>
      </c>
    </row>
    <row r="119" customFormat="false" ht="15" hidden="false" customHeight="false" outlineLevel="0" collapsed="false">
      <c r="G119" s="32"/>
      <c r="H119" s="33"/>
      <c r="I119" s="32"/>
      <c r="O119" s="32"/>
      <c r="P119" s="32"/>
      <c r="U119" s="32"/>
      <c r="Y119" s="32"/>
      <c r="AB119" s="32"/>
      <c r="AC119" s="32"/>
      <c r="AD119" s="32"/>
      <c r="AE119" s="32"/>
      <c r="AF119" s="32"/>
      <c r="AG119" s="32"/>
      <c r="AI119" s="32"/>
      <c r="AJ119" s="32"/>
      <c r="AK119" s="32"/>
      <c r="AN119" s="32"/>
      <c r="AO119" s="32"/>
      <c r="AR119" s="32"/>
      <c r="AT119" s="32"/>
      <c r="AV119" s="34" t="str">
        <f aca="false">IF(TRIM($A119)="","",IF(AND(LEFT($A119,6)="SAMPLE",Config!$B$19&lt;&gt;"Y"),"",IF(NOT(ISNUMBER(H119)),"call_date is blank or not a date",IF(Sync!$D$5="","Clay paste is empty or has no row_id column: paste the Clay export on Clay_Brands",IF(CM119="","row_id not found in the Clay paste: add the Clay row or fix the row_id",IF(AND(ISNUMBER(CO119),CO119&gt;=1,CO119&lt;=5),"Clay status is "&amp;CN119&amp;": set call_done or later",IF(AND(BA119=1,CP119&lt;&gt;CB119),"Clay yes_in_principle should be "&amp;CB119,IF(AND(BA119=1,CQ119&lt;&gt;H119),"Clay call_date should be "&amp;TEXT(H119,"yyyy-mm-dd"),""))))))))</f>
        <v/>
      </c>
      <c r="AW119" s="23" t="str">
        <f aca="false">IF(TRIM($A119)="","",IF(TRIM(C119)&lt;&gt;"",SUBSTITUTE(SUBSTITUTE(SUBSTITUTE(SUBSTITUTE(SUBSTITUTE(SUBSTITUTE(LOWER(TRIM(C119)),"~",""),"*",""),"?",""),"&lt;",""),"&gt;",""),"=",""),IF(DS119&lt;&gt;"",DS119,IFERROR(INDEX($DS$2:$DS$201,MATCH(DR119,$DT$2:$DT$201,0)),DR119))))</f>
        <v/>
      </c>
      <c r="AX119" s="23" t="n">
        <f aca="false">ROW()</f>
        <v>119</v>
      </c>
      <c r="AY119" s="23" t="n">
        <f aca="false">IF(AND(TRIM($A119)&lt;&gt;"",ISNUMBER(H119)),IF(AND(LEFT($A119,6)="SAMPLE",Config!$B$19&lt;&gt;"Y"),0,1),0)</f>
        <v>0</v>
      </c>
      <c r="AZ119" s="23" t="n">
        <f aca="false">IF(AY119=1,IF(COUNTIFS($AW$2:$AW$201,AW119,$AY$2:$AY$201,1,$H$2:$H$201,"&lt;"&amp;H119)+COUNTIFS($AW$2:$AW$201,AW119,$AY$2:$AY$201,1,$H$2:$H$201,H119,$AX$2:$AX$201,"&lt;"&amp;AX119)=0,1,0),0)</f>
        <v>0</v>
      </c>
      <c r="BA119" s="23" t="n">
        <f aca="false">IF(AY119=1,IF(COUNTIFS($A$2:$A$201,$A119,$AY$2:$AY$201,1,$H$2:$H$201,"&gt;"&amp;H119)+COUNTIFS($A$2:$A$201,$A119,$AY$2:$AY$201,1,$H$2:$H$201,H119,$AX$2:$AX$201,"&gt;"&amp;AX119)=0,1,0),0)</f>
        <v>0</v>
      </c>
      <c r="BB119" s="23" t="n">
        <f aca="false">IF(AND(AY119=1,O119="Y",MAX(N(R119),N(V119))&gt;=Config!$B$14),1,0)</f>
        <v>0</v>
      </c>
      <c r="BC119" s="23" t="n">
        <f aca="false">IF(BB119=1,IF(COUNTIFS($AW$2:$AW$201,AW119,$BB$2:$BB$201,1,$H$2:$H$201,"&lt;"&amp;H119)+COUNTIFS($AW$2:$AW$201,AW119,$BB$2:$BB$201,1,$H$2:$H$201,H119,$AX$2:$AX$201,"&lt;"&amp;AX119)=0,1,0),0)</f>
        <v>0</v>
      </c>
      <c r="BD119" s="23" t="n">
        <f aca="false">IF(AND(AY119=1,O119="Y",ISNUMBER(R119)),IF(R119&gt;=Config!$B$14,1,0),0)</f>
        <v>0</v>
      </c>
      <c r="BE119" s="23" t="n">
        <f aca="false">IF(BD119=1,IF(COUNTIFS($AW$2:$AW$201,AW119,$BD$2:$BD$201,1,$H$2:$H$201,"&lt;"&amp;H119)+COUNTIFS($AW$2:$AW$201,AW119,$BD$2:$BD$201,1,$H$2:$H$201,H119,$AX$2:$AX$201,"&lt;"&amp;AX119)=0,1,0),0)</f>
        <v>0</v>
      </c>
      <c r="BF119" s="23" t="n">
        <f aca="false">IF(AND(AY119=1,O119&lt;&gt;"Y",MAX(N(R119),N(V119))&gt;=Config!$B$14),1,0)</f>
        <v>0</v>
      </c>
      <c r="BG119" s="23" t="n">
        <f aca="false">IF(BF119=1,IF(COUNTIFS($AW$2:$AW$201,AW119,$BF$2:$BF$201,1,$H$2:$H$201,"&lt;"&amp;H119)+COUNTIFS($AW$2:$AW$201,AW119,$BF$2:$BF$201,1,$H$2:$H$201,H119,$AX$2:$AX$201,"&lt;"&amp;AX119)=0,1,0),0)</f>
        <v>0</v>
      </c>
      <c r="BH119" s="23" t="n">
        <f aca="false">IF(AND(AY119=1,ISNUMBER(R119)),1,0)</f>
        <v>0</v>
      </c>
      <c r="BI119" s="23" t="n">
        <f aca="false">IF(BH119=1,IF(COUNTIFS($AW$2:$AW$201,AW119,$BH$2:$BH$201,1,$H$2:$H$201,"&lt;"&amp;H119)+COUNTIFS($AW$2:$AW$201,AW119,$BH$2:$BH$201,1,$H$2:$H$201,H119,$AX$2:$AX$201,"&lt;"&amp;AX119)=0,1,0),0)</f>
        <v>0</v>
      </c>
      <c r="BJ119" s="23" t="str">
        <f aca="false">IF(AND(BI119=1,INT(N(H119))&lt;=Config!$B$6),R119,"")</f>
        <v/>
      </c>
      <c r="BK119" s="23" t="str">
        <f aca="false">IF(AND(BI119=1,INT(N(H119))&lt;=Config!$B$7),R119,"")</f>
        <v/>
      </c>
      <c r="BL119" s="23" t="str">
        <f aca="false">IF(AND(BI119=1,INT(N(H119))&lt;=Config!$B$8),R119,"")</f>
        <v/>
      </c>
      <c r="BM119" s="23" t="str">
        <f aca="false">IF(AND(BI119=1,INT(N(H119))&lt;=Config!$B$5),R119,"")</f>
        <v/>
      </c>
      <c r="BN119" s="23" t="n">
        <f aca="false">IF(AND(AY119=1,ISNUMBER(V119)),1,0)</f>
        <v>0</v>
      </c>
      <c r="BO119" s="23" t="n">
        <f aca="false">IF(BN119=1,IF(COUNTIFS($AW$2:$AW$201,AW119,$BN$2:$BN$201,1,$H$2:$H$201,"&lt;"&amp;H119)+COUNTIFS($AW$2:$AW$201,AW119,$BN$2:$BN$201,1,$H$2:$H$201,H119,$AX$2:$AX$201,"&lt;"&amp;AX119)=0,1,0),0)</f>
        <v>0</v>
      </c>
      <c r="BP119" s="23" t="str">
        <f aca="false">IF(AND(BO119=1,INT(N(H119))&lt;=Config!$B$6),V119,"")</f>
        <v/>
      </c>
      <c r="BQ119" s="23" t="str">
        <f aca="false">IF(AND(BO119=1,INT(N(H119))&lt;=Config!$B$7),V119,"")</f>
        <v/>
      </c>
      <c r="BR119" s="23" t="str">
        <f aca="false">IF(AND(BO119=1,INT(N(H119))&lt;=Config!$B$8),V119,"")</f>
        <v/>
      </c>
      <c r="BS119" s="23" t="str">
        <f aca="false">IF(AND(BO119=1,INT(N(H119))&lt;=Config!$B$5),V119,"")</f>
        <v/>
      </c>
      <c r="BT119" s="23" t="n">
        <f aca="false">IF(AND(AY119=1,ISNUMBER(K119)),1,0)</f>
        <v>0</v>
      </c>
      <c r="BU119" s="23" t="n">
        <f aca="false">IF(BT119=1,IF(COUNTIFS($AW$2:$AW$201,AW119,$BT$2:$BT$201,1,$H$2:$H$201,"&lt;"&amp;H119)+COUNTIFS($AW$2:$AW$201,AW119,$BT$2:$BT$201,1,$H$2:$H$201,H119,$AX$2:$AX$201,"&lt;"&amp;AX119)=0,1,0),0)</f>
        <v>0</v>
      </c>
      <c r="BV119" s="23" t="str">
        <f aca="false">IF(AND(BU119=1,INT(N(H119))&lt;=Config!$B$5),K119,"")</f>
        <v/>
      </c>
      <c r="BW119" s="23" t="n">
        <f aca="false">IF(AND(AY119=1,OR(AND(ISNUMBER(R119),TRIM(S119)=""),AND(ISNUMBER(V119),TRIM(W119)=""))),1,0)</f>
        <v>0</v>
      </c>
      <c r="BX119" s="23" t="str">
        <f aca="false">IF(AY119=1,AJ119&amp;"","")</f>
        <v/>
      </c>
      <c r="BY119" s="23" t="str">
        <f aca="false">IF(AY119=1,AK119&amp;"","")</f>
        <v/>
      </c>
      <c r="BZ119" s="23" t="str">
        <f aca="false">IF(AY119=1,AL119&amp;"","")</f>
        <v/>
      </c>
      <c r="CA119" s="23" t="str">
        <f aca="false">IF(AND(AY119=1,ISNUMBER(AS119),INT(N(H119))&lt;=Config!$B$5),AS119,"")</f>
        <v/>
      </c>
      <c r="CB119" s="23" t="str">
        <f aca="false">IF(AY119=1,IF(COUNTIFS($A$2:$A$201,$A119,$CU$2:$CU$201,1,$AN$2:$AN$201,"Y")&gt;0,"Y","N"),"")</f>
        <v/>
      </c>
      <c r="CC119" s="23" t="n">
        <f aca="false">IF(AND(AY119=1,AN119="Y"),IF(COUNTIFS($AW$2:$AW$201,AW119,$AN$2:$AN$201,"Y",$AY$2:$AY$201,1,$H$2:$H$201,"&lt;"&amp;H119)+COUNTIFS($AW$2:$AW$201,AW119,$AN$2:$AN$201,"Y",$AY$2:$AY$201,1,$H$2:$H$201,H119,$AX$2:$AX$201,"&lt;"&amp;AX119)=0,1,0),0)</f>
        <v>0</v>
      </c>
      <c r="CD119" s="23" t="n">
        <f aca="false">IF(AND(AY119=1,AB119="Y",AC119="Y",AD119="Y",AE119="Y",AF119="Y",AG119="Y",AI119="Y",TRIM(AH119)&lt;&gt;""),1,0)</f>
        <v>0</v>
      </c>
      <c r="CE119" s="23" t="n">
        <f aca="false">IF(CD119=1,IF(COUNTIFS($AW$2:$AW$201,AW119,$CD$2:$CD$201,1,$H$2:$H$201,"&lt;"&amp;H119)+COUNTIFS($AW$2:$AW$201,AW119,$CD$2:$CD$201,1,$H$2:$H$201,H119,$AX$2:$AX$201,"&lt;"&amp;AX119)=0,1,0),0)</f>
        <v>0</v>
      </c>
      <c r="CF119" s="23" t="n">
        <f aca="false">IF(AND(AY119=1,AO119="Y"),1,0)</f>
        <v>0</v>
      </c>
      <c r="CG119" s="23" t="n">
        <f aca="false">IF(CF119=1,IF(COUNTIFS($AW$2:$AW$201,AW119,$CF$2:$CF$201,1,$H$2:$H$201,"&lt;"&amp;H119)+COUNTIFS($AW$2:$AW$201,AW119,$CF$2:$CF$201,1,$H$2:$H$201,H119,$AX$2:$AX$201,"&lt;"&amp;AX119)=0,1,0),0)</f>
        <v>0</v>
      </c>
      <c r="CH119" s="23" t="n">
        <f aca="false">IF(AND(AY119=1,P119="Y"),1,0)</f>
        <v>0</v>
      </c>
      <c r="CI119" s="23" t="n">
        <f aca="false">IF(CH119=1,IF(COUNTIFS($AW$2:$AW$201,AW119,$CH$2:$CH$201,1,$H$2:$H$201,"&lt;"&amp;H119)+COUNTIFS($AW$2:$AW$201,AW119,$CH$2:$CH$201,1,$H$2:$H$201,H119,$AX$2:$AX$201,"&lt;"&amp;AX119)=0,1,0),0)</f>
        <v>0</v>
      </c>
      <c r="CJ119" s="23" t="str">
        <f aca="false">IF(AND(BU119=1,INT(N(H119))&lt;=Config!$B$5),L119,"")</f>
        <v/>
      </c>
      <c r="CK119" s="23" t="n">
        <f aca="false">IF(AND(AY119=1,AR119="Y"),1,0)</f>
        <v>0</v>
      </c>
      <c r="CL119" s="23" t="n">
        <f aca="false">IF(CK119=1,IF(COUNTIFS($AW$2:$AW$201,AW119,$CK$2:$CK$201,1,$H$2:$H$201,"&lt;"&amp;H119)+COUNTIFS($AW$2:$AW$201,AW119,$CK$2:$CK$201,1,$H$2:$H$201,H119,$AX$2:$AX$201,"&lt;"&amp;AX119)=0,1,0),0)</f>
        <v>0</v>
      </c>
      <c r="CM119" s="23" t="str">
        <f aca="false">IF(AY119=1,IFERROR(MATCH($A119,INDEX(Clay_Brands!$A$2:$FZ$601,0,Sync!$D$5),0),""),"")</f>
        <v/>
      </c>
      <c r="CN119" s="23" t="str">
        <f aca="false">IF(CM119="","",IFERROR(INDEX(Clay_Brands!$A$2:$FZ$601,CM119,Sync!$D$7)&amp;"",""))</f>
        <v/>
      </c>
      <c r="CO119" s="23" t="str">
        <f aca="false">IF(CN119="","",IFERROR(INDEX(Lists!$K$2:$K$15,MATCH(CN119,Lists!$J$2:$J$15,0)),""))</f>
        <v/>
      </c>
      <c r="CP119" s="23" t="str">
        <f aca="false">IF(CM119="","",IFERROR(INDEX(Clay_Brands!$A$2:$FZ$601,CM119,Sync!$D$17)&amp;"",""))</f>
        <v/>
      </c>
      <c r="CQ119" s="35" t="str">
        <f aca="false">IF(CM119="","",IFERROR(N(INDEX(Clay_Brands!$A$2:$FZ$601,CM119,Sync!$D$16)),0))</f>
        <v/>
      </c>
      <c r="CR119" s="23" t="n">
        <f aca="false">IF(AND(AY119=1,OR(O119="N",AND(OR(ISNUMBER(R119),ISNUMBER(V119)),MAX(N(R119),N(V119))&lt;Config!$B$14))),1,0)</f>
        <v>0</v>
      </c>
      <c r="CS119" s="23" t="n">
        <f aca="false">IF(OR(BB119=1,CR119=1),1,0)</f>
        <v>0</v>
      </c>
      <c r="CT119" s="23" t="n">
        <f aca="false">IF(AND(AY119=1,OR(AN119="Y",AN119="N",AN119="maybe")),1,0)</f>
        <v>0</v>
      </c>
      <c r="CU119" s="23" t="n">
        <f aca="false">IF(AND(CT119=1),IF(COUNTIFS($A$2:$A$201,$A119,$CT$2:$CT$201,1,$H$2:$H$201,"&gt;"&amp;H119)+COUNTIFS($A$2:$A$201,$A119,$CT$2:$CT$201,1,$H$2:$H$201,H119,$AX$2:$AX$201,"&gt;"&amp;AX119)=0,1,0),0)</f>
        <v>0</v>
      </c>
      <c r="CV119" s="23" t="n">
        <f aca="false">IF(AND(CS119=1,INT(N(H119))&lt;=Config!$B$6),IF(COUNTIFS($AW$2:$AW$201,AW119,$CS$2:$CS$201,1,$H$2:$H$201,"&gt;"&amp;H119,$H$2:$H$201,"&lt;"&amp;(Config!$B$6+1))+COUNTIFS($AW$2:$AW$201,AW119,$CS$2:$CS$201,1,$H$2:$H$201,H119,$AX$2:$AX$201,"&gt;"&amp;AX119)=0,1,0),0)</f>
        <v>0</v>
      </c>
      <c r="CW119" s="23" t="n">
        <f aca="false">IF(AND(CS119=1,INT(N(H119))&lt;=Config!$B$7),IF(COUNTIFS($AW$2:$AW$201,AW119,$CS$2:$CS$201,1,$H$2:$H$201,"&gt;"&amp;H119,$H$2:$H$201,"&lt;"&amp;(Config!$B$7+1))+COUNTIFS($AW$2:$AW$201,AW119,$CS$2:$CS$201,1,$H$2:$H$201,H119,$AX$2:$AX$201,"&gt;"&amp;AX119)=0,1,0),0)</f>
        <v>0</v>
      </c>
      <c r="CX119" s="23" t="n">
        <f aca="false">IF(AND(CS119=1,INT(N(H119))&lt;=Config!$B$8),IF(COUNTIFS($AW$2:$AW$201,AW119,$CS$2:$CS$201,1,$H$2:$H$201,"&gt;"&amp;H119,$H$2:$H$201,"&lt;"&amp;(Config!$B$8+1))+COUNTIFS($AW$2:$AW$201,AW119,$CS$2:$CS$201,1,$H$2:$H$201,H119,$AX$2:$AX$201,"&gt;"&amp;AX119)=0,1,0),0)</f>
        <v>0</v>
      </c>
      <c r="CY119" s="23" t="n">
        <f aca="false">IF(AND(CS119=1,INT(N(H119))&lt;=Config!$B$5),IF(COUNTIFS($AW$2:$AW$201,AW119,$CS$2:$CS$201,1,$H$2:$H$201,"&gt;"&amp;H119,$H$2:$H$201,"&lt;"&amp;(Config!$B$5+1))+COUNTIFS($AW$2:$AW$201,AW119,$CS$2:$CS$201,1,$H$2:$H$201,H119,$AX$2:$AX$201,"&gt;"&amp;AX119)=0,1,0),0)</f>
        <v>0</v>
      </c>
      <c r="CZ119" s="23" t="n">
        <f aca="false">IF(AY119=1,IF(COUNTIFS($AW$2:$AW$201,AW119,$CV$2:$CV$201,1,$BB$2:$BB$201,1)&gt;0,1,0),0)</f>
        <v>0</v>
      </c>
      <c r="DA119" s="23" t="n">
        <f aca="false">IF(AY119=1,IF(COUNTIFS($AW$2:$AW$201,AW119,$CW$2:$CW$201,1,$BB$2:$BB$201,1)&gt;0,1,0),0)</f>
        <v>0</v>
      </c>
      <c r="DB119" s="23" t="n">
        <f aca="false">IF(AY119=1,IF(COUNTIFS($AW$2:$AW$201,AW119,$CX$2:$CX$201,1,$BB$2:$BB$201,1)&gt;0,1,0),0)</f>
        <v>0</v>
      </c>
      <c r="DC119" s="23" t="n">
        <f aca="false">IF(AY119=1,IF(COUNTIFS($AW$2:$AW$201,AW119,$CY$2:$CY$201,1,$BB$2:$BB$201,1)&gt;0,1,0),0)</f>
        <v>0</v>
      </c>
      <c r="DD119" s="23" t="n">
        <f aca="false">IF(AND(BC119=1,INT(N(H119))&lt;=Config!$B$6,CZ119=1),1,0)</f>
        <v>0</v>
      </c>
      <c r="DE119" s="23" t="n">
        <f aca="false">IF(AND(BC119=1,INT(N(H119))&lt;=Config!$B$7,DA119=1),1,0)</f>
        <v>0</v>
      </c>
      <c r="DF119" s="23" t="n">
        <f aca="false">IF(AND(BC119=1,INT(N(H119))&lt;=Config!$B$8,DB119=1),1,0)</f>
        <v>0</v>
      </c>
      <c r="DG119" s="23" t="n">
        <f aca="false">IF(AND(BC119=1,INT(N(H119))&lt;=Config!$B$5,DC119=1),1,0)</f>
        <v>0</v>
      </c>
      <c r="DH119" s="23" t="n">
        <f aca="false">IF(AND(BE119=1,INT(N(H119))&lt;=Config!$B$6,CZ119=1),1,0)</f>
        <v>0</v>
      </c>
      <c r="DI119" s="23" t="n">
        <f aca="false">IF(AND(BE119=1,INT(N(H119))&lt;=Config!$B$7,DA119=1),1,0)</f>
        <v>0</v>
      </c>
      <c r="DJ119" s="23" t="n">
        <f aca="false">IF(AND(BE119=1,INT(N(H119))&lt;=Config!$B$8,DB119=1),1,0)</f>
        <v>0</v>
      </c>
      <c r="DK119" s="23" t="n">
        <f aca="false">IF(AND(BE119=1,INT(N(H119))&lt;=Config!$B$5,DC119=1),1,0)</f>
        <v>0</v>
      </c>
      <c r="DL119" s="23" t="n">
        <f aca="false">IF(AND(BC119=1,INT(N(H119))&lt;=Config!$B$6,CZ119=0),1,0)</f>
        <v>0</v>
      </c>
      <c r="DM119" s="23" t="n">
        <f aca="false">IF(AND(BC119=1,INT(N(H119))&lt;=Config!$B$7,DA119=0),1,0)</f>
        <v>0</v>
      </c>
      <c r="DN119" s="23" t="n">
        <f aca="false">IF(AND(BC119=1,INT(N(H119))&lt;=Config!$B$8,DB119=0),1,0)</f>
        <v>0</v>
      </c>
      <c r="DO119" s="23" t="n">
        <f aca="false">IF(AND(BC119=1,INT(N(H119))&lt;=Config!$B$5,DC119=0),1,0)</f>
        <v>0</v>
      </c>
      <c r="DP119" s="23" t="n">
        <f aca="false">IF(TRIM($A119)="",0,ISTEXT(K119)+ISTEXT(L119)+ISTEXT(R119)+ISTEXT(V119)+ISTEXT(AP119)+ISTEXT(AS119))</f>
        <v>0</v>
      </c>
      <c r="DQ119" s="23" t="n">
        <f aca="false">IF(AY119=1,IF(H119&lt;&gt;INT(H119),1,0),0)</f>
        <v>0</v>
      </c>
      <c r="DR119" s="23" t="str">
        <f aca="false">IF(TRIM($A119)="","",IF(TRIM(B119)="",SUBSTITUTE(SUBSTITUTE(SUBSTITUTE(SUBSTITUTE(SUBSTITUTE(SUBSTITUTE(LOWER(TRIM($A119)),"~",""),"*",""),"?",""),"&lt;",""),"&gt;",""),"=",""),SUBSTITUTE(SUBSTITUTE(SUBSTITUTE(SUBSTITUTE(SUBSTITUTE(SUBSTITUTE(LOWER(TRIM(B119)),"~",""),"*",""),"?",""),"&lt;",""),"&gt;",""),"=","")))</f>
        <v/>
      </c>
      <c r="DS119" s="23" t="str">
        <f aca="false">IF(CM119="","",IFERROR(IF(LEFT(LOWER(TRIM(INDEX(Clay_Brands!$A$2:$FZ$601,CM119,Sync!$D$19)&amp;"")),4)="grp-",SUBSTITUTE(SUBSTITUTE(SUBSTITUTE(SUBSTITUTE(SUBSTITUTE(SUBSTITUTE(LOWER(TRIM(INDEX(Clay_Brands!$A$2:$FZ$601,CM119,Sync!$D$19)&amp;"")),"~",""),"*",""),"?",""),"&lt;",""),"&gt;",""),"=",""),""),""))</f>
        <v/>
      </c>
      <c r="DT119" s="23" t="str">
        <f aca="false">IF(DS119&lt;&gt;"",DR119,"")</f>
        <v/>
      </c>
      <c r="DU119" s="23" t="str">
        <f aca="false">IF(AZ119=1,AW119,"")</f>
        <v/>
      </c>
      <c r="DV119" s="23" t="str">
        <f aca="false">IF(TRIM($A119)="","",IFERROR(INDEX($A$2:$A$201,MATCH(AW119,$DU$2:$DU$201,0))&amp;"",$A119&amp;""))</f>
        <v/>
      </c>
      <c r="DW119" s="23" t="n">
        <f aca="false">IF(AY119=1,IF(COUNTIFS($A$2:$A$201,$A119,$AY$2:$AY$201,1,$H$2:$H$201,"&lt;"&amp;H119)+COUNTIFS($A$2:$A$201,$A119,$AY$2:$AY$201,1,$H$2:$H$201,H119,$AX$2:$AX$201,"&lt;"&amp;AX119)=0,1,0),0)</f>
        <v>0</v>
      </c>
      <c r="DX119" s="23" t="n">
        <f aca="false">IF(AZ119=1,IF(COUNTIFS($AW$2:$AW$201,AW119,$DW$2:$DW$201,1)&gt;1,1,0),0)</f>
        <v>0</v>
      </c>
    </row>
    <row r="120" customFormat="false" ht="15" hidden="false" customHeight="false" outlineLevel="0" collapsed="false">
      <c r="G120" s="32"/>
      <c r="H120" s="33"/>
      <c r="I120" s="32"/>
      <c r="O120" s="32"/>
      <c r="P120" s="32"/>
      <c r="U120" s="32"/>
      <c r="Y120" s="32"/>
      <c r="AB120" s="32"/>
      <c r="AC120" s="32"/>
      <c r="AD120" s="32"/>
      <c r="AE120" s="32"/>
      <c r="AF120" s="32"/>
      <c r="AG120" s="32"/>
      <c r="AI120" s="32"/>
      <c r="AJ120" s="32"/>
      <c r="AK120" s="32"/>
      <c r="AN120" s="32"/>
      <c r="AO120" s="32"/>
      <c r="AR120" s="32"/>
      <c r="AT120" s="32"/>
      <c r="AV120" s="34" t="str">
        <f aca="false">IF(TRIM($A120)="","",IF(AND(LEFT($A120,6)="SAMPLE",Config!$B$19&lt;&gt;"Y"),"",IF(NOT(ISNUMBER(H120)),"call_date is blank or not a date",IF(Sync!$D$5="","Clay paste is empty or has no row_id column: paste the Clay export on Clay_Brands",IF(CM120="","row_id not found in the Clay paste: add the Clay row or fix the row_id",IF(AND(ISNUMBER(CO120),CO120&gt;=1,CO120&lt;=5),"Clay status is "&amp;CN120&amp;": set call_done or later",IF(AND(BA120=1,CP120&lt;&gt;CB120),"Clay yes_in_principle should be "&amp;CB120,IF(AND(BA120=1,CQ120&lt;&gt;H120),"Clay call_date should be "&amp;TEXT(H120,"yyyy-mm-dd"),""))))))))</f>
        <v/>
      </c>
      <c r="AW120" s="23" t="str">
        <f aca="false">IF(TRIM($A120)="","",IF(TRIM(C120)&lt;&gt;"",SUBSTITUTE(SUBSTITUTE(SUBSTITUTE(SUBSTITUTE(SUBSTITUTE(SUBSTITUTE(LOWER(TRIM(C120)),"~",""),"*",""),"?",""),"&lt;",""),"&gt;",""),"=",""),IF(DS120&lt;&gt;"",DS120,IFERROR(INDEX($DS$2:$DS$201,MATCH(DR120,$DT$2:$DT$201,0)),DR120))))</f>
        <v/>
      </c>
      <c r="AX120" s="23" t="n">
        <f aca="false">ROW()</f>
        <v>120</v>
      </c>
      <c r="AY120" s="23" t="n">
        <f aca="false">IF(AND(TRIM($A120)&lt;&gt;"",ISNUMBER(H120)),IF(AND(LEFT($A120,6)="SAMPLE",Config!$B$19&lt;&gt;"Y"),0,1),0)</f>
        <v>0</v>
      </c>
      <c r="AZ120" s="23" t="n">
        <f aca="false">IF(AY120=1,IF(COUNTIFS($AW$2:$AW$201,AW120,$AY$2:$AY$201,1,$H$2:$H$201,"&lt;"&amp;H120)+COUNTIFS($AW$2:$AW$201,AW120,$AY$2:$AY$201,1,$H$2:$H$201,H120,$AX$2:$AX$201,"&lt;"&amp;AX120)=0,1,0),0)</f>
        <v>0</v>
      </c>
      <c r="BA120" s="23" t="n">
        <f aca="false">IF(AY120=1,IF(COUNTIFS($A$2:$A$201,$A120,$AY$2:$AY$201,1,$H$2:$H$201,"&gt;"&amp;H120)+COUNTIFS($A$2:$A$201,$A120,$AY$2:$AY$201,1,$H$2:$H$201,H120,$AX$2:$AX$201,"&gt;"&amp;AX120)=0,1,0),0)</f>
        <v>0</v>
      </c>
      <c r="BB120" s="23" t="n">
        <f aca="false">IF(AND(AY120=1,O120="Y",MAX(N(R120),N(V120))&gt;=Config!$B$14),1,0)</f>
        <v>0</v>
      </c>
      <c r="BC120" s="23" t="n">
        <f aca="false">IF(BB120=1,IF(COUNTIFS($AW$2:$AW$201,AW120,$BB$2:$BB$201,1,$H$2:$H$201,"&lt;"&amp;H120)+COUNTIFS($AW$2:$AW$201,AW120,$BB$2:$BB$201,1,$H$2:$H$201,H120,$AX$2:$AX$201,"&lt;"&amp;AX120)=0,1,0),0)</f>
        <v>0</v>
      </c>
      <c r="BD120" s="23" t="n">
        <f aca="false">IF(AND(AY120=1,O120="Y",ISNUMBER(R120)),IF(R120&gt;=Config!$B$14,1,0),0)</f>
        <v>0</v>
      </c>
      <c r="BE120" s="23" t="n">
        <f aca="false">IF(BD120=1,IF(COUNTIFS($AW$2:$AW$201,AW120,$BD$2:$BD$201,1,$H$2:$H$201,"&lt;"&amp;H120)+COUNTIFS($AW$2:$AW$201,AW120,$BD$2:$BD$201,1,$H$2:$H$201,H120,$AX$2:$AX$201,"&lt;"&amp;AX120)=0,1,0),0)</f>
        <v>0</v>
      </c>
      <c r="BF120" s="23" t="n">
        <f aca="false">IF(AND(AY120=1,O120&lt;&gt;"Y",MAX(N(R120),N(V120))&gt;=Config!$B$14),1,0)</f>
        <v>0</v>
      </c>
      <c r="BG120" s="23" t="n">
        <f aca="false">IF(BF120=1,IF(COUNTIFS($AW$2:$AW$201,AW120,$BF$2:$BF$201,1,$H$2:$H$201,"&lt;"&amp;H120)+COUNTIFS($AW$2:$AW$201,AW120,$BF$2:$BF$201,1,$H$2:$H$201,H120,$AX$2:$AX$201,"&lt;"&amp;AX120)=0,1,0),0)</f>
        <v>0</v>
      </c>
      <c r="BH120" s="23" t="n">
        <f aca="false">IF(AND(AY120=1,ISNUMBER(R120)),1,0)</f>
        <v>0</v>
      </c>
      <c r="BI120" s="23" t="n">
        <f aca="false">IF(BH120=1,IF(COUNTIFS($AW$2:$AW$201,AW120,$BH$2:$BH$201,1,$H$2:$H$201,"&lt;"&amp;H120)+COUNTIFS($AW$2:$AW$201,AW120,$BH$2:$BH$201,1,$H$2:$H$201,H120,$AX$2:$AX$201,"&lt;"&amp;AX120)=0,1,0),0)</f>
        <v>0</v>
      </c>
      <c r="BJ120" s="23" t="str">
        <f aca="false">IF(AND(BI120=1,INT(N(H120))&lt;=Config!$B$6),R120,"")</f>
        <v/>
      </c>
      <c r="BK120" s="23" t="str">
        <f aca="false">IF(AND(BI120=1,INT(N(H120))&lt;=Config!$B$7),R120,"")</f>
        <v/>
      </c>
      <c r="BL120" s="23" t="str">
        <f aca="false">IF(AND(BI120=1,INT(N(H120))&lt;=Config!$B$8),R120,"")</f>
        <v/>
      </c>
      <c r="BM120" s="23" t="str">
        <f aca="false">IF(AND(BI120=1,INT(N(H120))&lt;=Config!$B$5),R120,"")</f>
        <v/>
      </c>
      <c r="BN120" s="23" t="n">
        <f aca="false">IF(AND(AY120=1,ISNUMBER(V120)),1,0)</f>
        <v>0</v>
      </c>
      <c r="BO120" s="23" t="n">
        <f aca="false">IF(BN120=1,IF(COUNTIFS($AW$2:$AW$201,AW120,$BN$2:$BN$201,1,$H$2:$H$201,"&lt;"&amp;H120)+COUNTIFS($AW$2:$AW$201,AW120,$BN$2:$BN$201,1,$H$2:$H$201,H120,$AX$2:$AX$201,"&lt;"&amp;AX120)=0,1,0),0)</f>
        <v>0</v>
      </c>
      <c r="BP120" s="23" t="str">
        <f aca="false">IF(AND(BO120=1,INT(N(H120))&lt;=Config!$B$6),V120,"")</f>
        <v/>
      </c>
      <c r="BQ120" s="23" t="str">
        <f aca="false">IF(AND(BO120=1,INT(N(H120))&lt;=Config!$B$7),V120,"")</f>
        <v/>
      </c>
      <c r="BR120" s="23" t="str">
        <f aca="false">IF(AND(BO120=1,INT(N(H120))&lt;=Config!$B$8),V120,"")</f>
        <v/>
      </c>
      <c r="BS120" s="23" t="str">
        <f aca="false">IF(AND(BO120=1,INT(N(H120))&lt;=Config!$B$5),V120,"")</f>
        <v/>
      </c>
      <c r="BT120" s="23" t="n">
        <f aca="false">IF(AND(AY120=1,ISNUMBER(K120)),1,0)</f>
        <v>0</v>
      </c>
      <c r="BU120" s="23" t="n">
        <f aca="false">IF(BT120=1,IF(COUNTIFS($AW$2:$AW$201,AW120,$BT$2:$BT$201,1,$H$2:$H$201,"&lt;"&amp;H120)+COUNTIFS($AW$2:$AW$201,AW120,$BT$2:$BT$201,1,$H$2:$H$201,H120,$AX$2:$AX$201,"&lt;"&amp;AX120)=0,1,0),0)</f>
        <v>0</v>
      </c>
      <c r="BV120" s="23" t="str">
        <f aca="false">IF(AND(BU120=1,INT(N(H120))&lt;=Config!$B$5),K120,"")</f>
        <v/>
      </c>
      <c r="BW120" s="23" t="n">
        <f aca="false">IF(AND(AY120=1,OR(AND(ISNUMBER(R120),TRIM(S120)=""),AND(ISNUMBER(V120),TRIM(W120)=""))),1,0)</f>
        <v>0</v>
      </c>
      <c r="BX120" s="23" t="str">
        <f aca="false">IF(AY120=1,AJ120&amp;"","")</f>
        <v/>
      </c>
      <c r="BY120" s="23" t="str">
        <f aca="false">IF(AY120=1,AK120&amp;"","")</f>
        <v/>
      </c>
      <c r="BZ120" s="23" t="str">
        <f aca="false">IF(AY120=1,AL120&amp;"","")</f>
        <v/>
      </c>
      <c r="CA120" s="23" t="str">
        <f aca="false">IF(AND(AY120=1,ISNUMBER(AS120),INT(N(H120))&lt;=Config!$B$5),AS120,"")</f>
        <v/>
      </c>
      <c r="CB120" s="23" t="str">
        <f aca="false">IF(AY120=1,IF(COUNTIFS($A$2:$A$201,$A120,$CU$2:$CU$201,1,$AN$2:$AN$201,"Y")&gt;0,"Y","N"),"")</f>
        <v/>
      </c>
      <c r="CC120" s="23" t="n">
        <f aca="false">IF(AND(AY120=1,AN120="Y"),IF(COUNTIFS($AW$2:$AW$201,AW120,$AN$2:$AN$201,"Y",$AY$2:$AY$201,1,$H$2:$H$201,"&lt;"&amp;H120)+COUNTIFS($AW$2:$AW$201,AW120,$AN$2:$AN$201,"Y",$AY$2:$AY$201,1,$H$2:$H$201,H120,$AX$2:$AX$201,"&lt;"&amp;AX120)=0,1,0),0)</f>
        <v>0</v>
      </c>
      <c r="CD120" s="23" t="n">
        <f aca="false">IF(AND(AY120=1,AB120="Y",AC120="Y",AD120="Y",AE120="Y",AF120="Y",AG120="Y",AI120="Y",TRIM(AH120)&lt;&gt;""),1,0)</f>
        <v>0</v>
      </c>
      <c r="CE120" s="23" t="n">
        <f aca="false">IF(CD120=1,IF(COUNTIFS($AW$2:$AW$201,AW120,$CD$2:$CD$201,1,$H$2:$H$201,"&lt;"&amp;H120)+COUNTIFS($AW$2:$AW$201,AW120,$CD$2:$CD$201,1,$H$2:$H$201,H120,$AX$2:$AX$201,"&lt;"&amp;AX120)=0,1,0),0)</f>
        <v>0</v>
      </c>
      <c r="CF120" s="23" t="n">
        <f aca="false">IF(AND(AY120=1,AO120="Y"),1,0)</f>
        <v>0</v>
      </c>
      <c r="CG120" s="23" t="n">
        <f aca="false">IF(CF120=1,IF(COUNTIFS($AW$2:$AW$201,AW120,$CF$2:$CF$201,1,$H$2:$H$201,"&lt;"&amp;H120)+COUNTIFS($AW$2:$AW$201,AW120,$CF$2:$CF$201,1,$H$2:$H$201,H120,$AX$2:$AX$201,"&lt;"&amp;AX120)=0,1,0),0)</f>
        <v>0</v>
      </c>
      <c r="CH120" s="23" t="n">
        <f aca="false">IF(AND(AY120=1,P120="Y"),1,0)</f>
        <v>0</v>
      </c>
      <c r="CI120" s="23" t="n">
        <f aca="false">IF(CH120=1,IF(COUNTIFS($AW$2:$AW$201,AW120,$CH$2:$CH$201,1,$H$2:$H$201,"&lt;"&amp;H120)+COUNTIFS($AW$2:$AW$201,AW120,$CH$2:$CH$201,1,$H$2:$H$201,H120,$AX$2:$AX$201,"&lt;"&amp;AX120)=0,1,0),0)</f>
        <v>0</v>
      </c>
      <c r="CJ120" s="23" t="str">
        <f aca="false">IF(AND(BU120=1,INT(N(H120))&lt;=Config!$B$5),L120,"")</f>
        <v/>
      </c>
      <c r="CK120" s="23" t="n">
        <f aca="false">IF(AND(AY120=1,AR120="Y"),1,0)</f>
        <v>0</v>
      </c>
      <c r="CL120" s="23" t="n">
        <f aca="false">IF(CK120=1,IF(COUNTIFS($AW$2:$AW$201,AW120,$CK$2:$CK$201,1,$H$2:$H$201,"&lt;"&amp;H120)+COUNTIFS($AW$2:$AW$201,AW120,$CK$2:$CK$201,1,$H$2:$H$201,H120,$AX$2:$AX$201,"&lt;"&amp;AX120)=0,1,0),0)</f>
        <v>0</v>
      </c>
      <c r="CM120" s="23" t="str">
        <f aca="false">IF(AY120=1,IFERROR(MATCH($A120,INDEX(Clay_Brands!$A$2:$FZ$601,0,Sync!$D$5),0),""),"")</f>
        <v/>
      </c>
      <c r="CN120" s="23" t="str">
        <f aca="false">IF(CM120="","",IFERROR(INDEX(Clay_Brands!$A$2:$FZ$601,CM120,Sync!$D$7)&amp;"",""))</f>
        <v/>
      </c>
      <c r="CO120" s="23" t="str">
        <f aca="false">IF(CN120="","",IFERROR(INDEX(Lists!$K$2:$K$15,MATCH(CN120,Lists!$J$2:$J$15,0)),""))</f>
        <v/>
      </c>
      <c r="CP120" s="23" t="str">
        <f aca="false">IF(CM120="","",IFERROR(INDEX(Clay_Brands!$A$2:$FZ$601,CM120,Sync!$D$17)&amp;"",""))</f>
        <v/>
      </c>
      <c r="CQ120" s="35" t="str">
        <f aca="false">IF(CM120="","",IFERROR(N(INDEX(Clay_Brands!$A$2:$FZ$601,CM120,Sync!$D$16)),0))</f>
        <v/>
      </c>
      <c r="CR120" s="23" t="n">
        <f aca="false">IF(AND(AY120=1,OR(O120="N",AND(OR(ISNUMBER(R120),ISNUMBER(V120)),MAX(N(R120),N(V120))&lt;Config!$B$14))),1,0)</f>
        <v>0</v>
      </c>
      <c r="CS120" s="23" t="n">
        <f aca="false">IF(OR(BB120=1,CR120=1),1,0)</f>
        <v>0</v>
      </c>
      <c r="CT120" s="23" t="n">
        <f aca="false">IF(AND(AY120=1,OR(AN120="Y",AN120="N",AN120="maybe")),1,0)</f>
        <v>0</v>
      </c>
      <c r="CU120" s="23" t="n">
        <f aca="false">IF(AND(CT120=1),IF(COUNTIFS($A$2:$A$201,$A120,$CT$2:$CT$201,1,$H$2:$H$201,"&gt;"&amp;H120)+COUNTIFS($A$2:$A$201,$A120,$CT$2:$CT$201,1,$H$2:$H$201,H120,$AX$2:$AX$201,"&gt;"&amp;AX120)=0,1,0),0)</f>
        <v>0</v>
      </c>
      <c r="CV120" s="23" t="n">
        <f aca="false">IF(AND(CS120=1,INT(N(H120))&lt;=Config!$B$6),IF(COUNTIFS($AW$2:$AW$201,AW120,$CS$2:$CS$201,1,$H$2:$H$201,"&gt;"&amp;H120,$H$2:$H$201,"&lt;"&amp;(Config!$B$6+1))+COUNTIFS($AW$2:$AW$201,AW120,$CS$2:$CS$201,1,$H$2:$H$201,H120,$AX$2:$AX$201,"&gt;"&amp;AX120)=0,1,0),0)</f>
        <v>0</v>
      </c>
      <c r="CW120" s="23" t="n">
        <f aca="false">IF(AND(CS120=1,INT(N(H120))&lt;=Config!$B$7),IF(COUNTIFS($AW$2:$AW$201,AW120,$CS$2:$CS$201,1,$H$2:$H$201,"&gt;"&amp;H120,$H$2:$H$201,"&lt;"&amp;(Config!$B$7+1))+COUNTIFS($AW$2:$AW$201,AW120,$CS$2:$CS$201,1,$H$2:$H$201,H120,$AX$2:$AX$201,"&gt;"&amp;AX120)=0,1,0),0)</f>
        <v>0</v>
      </c>
      <c r="CX120" s="23" t="n">
        <f aca="false">IF(AND(CS120=1,INT(N(H120))&lt;=Config!$B$8),IF(COUNTIFS($AW$2:$AW$201,AW120,$CS$2:$CS$201,1,$H$2:$H$201,"&gt;"&amp;H120,$H$2:$H$201,"&lt;"&amp;(Config!$B$8+1))+COUNTIFS($AW$2:$AW$201,AW120,$CS$2:$CS$201,1,$H$2:$H$201,H120,$AX$2:$AX$201,"&gt;"&amp;AX120)=0,1,0),0)</f>
        <v>0</v>
      </c>
      <c r="CY120" s="23" t="n">
        <f aca="false">IF(AND(CS120=1,INT(N(H120))&lt;=Config!$B$5),IF(COUNTIFS($AW$2:$AW$201,AW120,$CS$2:$CS$201,1,$H$2:$H$201,"&gt;"&amp;H120,$H$2:$H$201,"&lt;"&amp;(Config!$B$5+1))+COUNTIFS($AW$2:$AW$201,AW120,$CS$2:$CS$201,1,$H$2:$H$201,H120,$AX$2:$AX$201,"&gt;"&amp;AX120)=0,1,0),0)</f>
        <v>0</v>
      </c>
      <c r="CZ120" s="23" t="n">
        <f aca="false">IF(AY120=1,IF(COUNTIFS($AW$2:$AW$201,AW120,$CV$2:$CV$201,1,$BB$2:$BB$201,1)&gt;0,1,0),0)</f>
        <v>0</v>
      </c>
      <c r="DA120" s="23" t="n">
        <f aca="false">IF(AY120=1,IF(COUNTIFS($AW$2:$AW$201,AW120,$CW$2:$CW$201,1,$BB$2:$BB$201,1)&gt;0,1,0),0)</f>
        <v>0</v>
      </c>
      <c r="DB120" s="23" t="n">
        <f aca="false">IF(AY120=1,IF(COUNTIFS($AW$2:$AW$201,AW120,$CX$2:$CX$201,1,$BB$2:$BB$201,1)&gt;0,1,0),0)</f>
        <v>0</v>
      </c>
      <c r="DC120" s="23" t="n">
        <f aca="false">IF(AY120=1,IF(COUNTIFS($AW$2:$AW$201,AW120,$CY$2:$CY$201,1,$BB$2:$BB$201,1)&gt;0,1,0),0)</f>
        <v>0</v>
      </c>
      <c r="DD120" s="23" t="n">
        <f aca="false">IF(AND(BC120=1,INT(N(H120))&lt;=Config!$B$6,CZ120=1),1,0)</f>
        <v>0</v>
      </c>
      <c r="DE120" s="23" t="n">
        <f aca="false">IF(AND(BC120=1,INT(N(H120))&lt;=Config!$B$7,DA120=1),1,0)</f>
        <v>0</v>
      </c>
      <c r="DF120" s="23" t="n">
        <f aca="false">IF(AND(BC120=1,INT(N(H120))&lt;=Config!$B$8,DB120=1),1,0)</f>
        <v>0</v>
      </c>
      <c r="DG120" s="23" t="n">
        <f aca="false">IF(AND(BC120=1,INT(N(H120))&lt;=Config!$B$5,DC120=1),1,0)</f>
        <v>0</v>
      </c>
      <c r="DH120" s="23" t="n">
        <f aca="false">IF(AND(BE120=1,INT(N(H120))&lt;=Config!$B$6,CZ120=1),1,0)</f>
        <v>0</v>
      </c>
      <c r="DI120" s="23" t="n">
        <f aca="false">IF(AND(BE120=1,INT(N(H120))&lt;=Config!$B$7,DA120=1),1,0)</f>
        <v>0</v>
      </c>
      <c r="DJ120" s="23" t="n">
        <f aca="false">IF(AND(BE120=1,INT(N(H120))&lt;=Config!$B$8,DB120=1),1,0)</f>
        <v>0</v>
      </c>
      <c r="DK120" s="23" t="n">
        <f aca="false">IF(AND(BE120=1,INT(N(H120))&lt;=Config!$B$5,DC120=1),1,0)</f>
        <v>0</v>
      </c>
      <c r="DL120" s="23" t="n">
        <f aca="false">IF(AND(BC120=1,INT(N(H120))&lt;=Config!$B$6,CZ120=0),1,0)</f>
        <v>0</v>
      </c>
      <c r="DM120" s="23" t="n">
        <f aca="false">IF(AND(BC120=1,INT(N(H120))&lt;=Config!$B$7,DA120=0),1,0)</f>
        <v>0</v>
      </c>
      <c r="DN120" s="23" t="n">
        <f aca="false">IF(AND(BC120=1,INT(N(H120))&lt;=Config!$B$8,DB120=0),1,0)</f>
        <v>0</v>
      </c>
      <c r="DO120" s="23" t="n">
        <f aca="false">IF(AND(BC120=1,INT(N(H120))&lt;=Config!$B$5,DC120=0),1,0)</f>
        <v>0</v>
      </c>
      <c r="DP120" s="23" t="n">
        <f aca="false">IF(TRIM($A120)="",0,ISTEXT(K120)+ISTEXT(L120)+ISTEXT(R120)+ISTEXT(V120)+ISTEXT(AP120)+ISTEXT(AS120))</f>
        <v>0</v>
      </c>
      <c r="DQ120" s="23" t="n">
        <f aca="false">IF(AY120=1,IF(H120&lt;&gt;INT(H120),1,0),0)</f>
        <v>0</v>
      </c>
      <c r="DR120" s="23" t="str">
        <f aca="false">IF(TRIM($A120)="","",IF(TRIM(B120)="",SUBSTITUTE(SUBSTITUTE(SUBSTITUTE(SUBSTITUTE(SUBSTITUTE(SUBSTITUTE(LOWER(TRIM($A120)),"~",""),"*",""),"?",""),"&lt;",""),"&gt;",""),"=",""),SUBSTITUTE(SUBSTITUTE(SUBSTITUTE(SUBSTITUTE(SUBSTITUTE(SUBSTITUTE(LOWER(TRIM(B120)),"~",""),"*",""),"?",""),"&lt;",""),"&gt;",""),"=","")))</f>
        <v/>
      </c>
      <c r="DS120" s="23" t="str">
        <f aca="false">IF(CM120="","",IFERROR(IF(LEFT(LOWER(TRIM(INDEX(Clay_Brands!$A$2:$FZ$601,CM120,Sync!$D$19)&amp;"")),4)="grp-",SUBSTITUTE(SUBSTITUTE(SUBSTITUTE(SUBSTITUTE(SUBSTITUTE(SUBSTITUTE(LOWER(TRIM(INDEX(Clay_Brands!$A$2:$FZ$601,CM120,Sync!$D$19)&amp;"")),"~",""),"*",""),"?",""),"&lt;",""),"&gt;",""),"=",""),""),""))</f>
        <v/>
      </c>
      <c r="DT120" s="23" t="str">
        <f aca="false">IF(DS120&lt;&gt;"",DR120,"")</f>
        <v/>
      </c>
      <c r="DU120" s="23" t="str">
        <f aca="false">IF(AZ120=1,AW120,"")</f>
        <v/>
      </c>
      <c r="DV120" s="23" t="str">
        <f aca="false">IF(TRIM($A120)="","",IFERROR(INDEX($A$2:$A$201,MATCH(AW120,$DU$2:$DU$201,0))&amp;"",$A120&amp;""))</f>
        <v/>
      </c>
      <c r="DW120" s="23" t="n">
        <f aca="false">IF(AY120=1,IF(COUNTIFS($A$2:$A$201,$A120,$AY$2:$AY$201,1,$H$2:$H$201,"&lt;"&amp;H120)+COUNTIFS($A$2:$A$201,$A120,$AY$2:$AY$201,1,$H$2:$H$201,H120,$AX$2:$AX$201,"&lt;"&amp;AX120)=0,1,0),0)</f>
        <v>0</v>
      </c>
      <c r="DX120" s="23" t="n">
        <f aca="false">IF(AZ120=1,IF(COUNTIFS($AW$2:$AW$201,AW120,$DW$2:$DW$201,1)&gt;1,1,0),0)</f>
        <v>0</v>
      </c>
    </row>
    <row r="121" customFormat="false" ht="15" hidden="false" customHeight="false" outlineLevel="0" collapsed="false">
      <c r="G121" s="32"/>
      <c r="H121" s="33"/>
      <c r="I121" s="32"/>
      <c r="O121" s="32"/>
      <c r="P121" s="32"/>
      <c r="U121" s="32"/>
      <c r="Y121" s="32"/>
      <c r="AB121" s="32"/>
      <c r="AC121" s="32"/>
      <c r="AD121" s="32"/>
      <c r="AE121" s="32"/>
      <c r="AF121" s="32"/>
      <c r="AG121" s="32"/>
      <c r="AI121" s="32"/>
      <c r="AJ121" s="32"/>
      <c r="AK121" s="32"/>
      <c r="AN121" s="32"/>
      <c r="AO121" s="32"/>
      <c r="AR121" s="32"/>
      <c r="AT121" s="32"/>
      <c r="AV121" s="34" t="str">
        <f aca="false">IF(TRIM($A121)="","",IF(AND(LEFT($A121,6)="SAMPLE",Config!$B$19&lt;&gt;"Y"),"",IF(NOT(ISNUMBER(H121)),"call_date is blank or not a date",IF(Sync!$D$5="","Clay paste is empty or has no row_id column: paste the Clay export on Clay_Brands",IF(CM121="","row_id not found in the Clay paste: add the Clay row or fix the row_id",IF(AND(ISNUMBER(CO121),CO121&gt;=1,CO121&lt;=5),"Clay status is "&amp;CN121&amp;": set call_done or later",IF(AND(BA121=1,CP121&lt;&gt;CB121),"Clay yes_in_principle should be "&amp;CB121,IF(AND(BA121=1,CQ121&lt;&gt;H121),"Clay call_date should be "&amp;TEXT(H121,"yyyy-mm-dd"),""))))))))</f>
        <v/>
      </c>
      <c r="AW121" s="23" t="str">
        <f aca="false">IF(TRIM($A121)="","",IF(TRIM(C121)&lt;&gt;"",SUBSTITUTE(SUBSTITUTE(SUBSTITUTE(SUBSTITUTE(SUBSTITUTE(SUBSTITUTE(LOWER(TRIM(C121)),"~",""),"*",""),"?",""),"&lt;",""),"&gt;",""),"=",""),IF(DS121&lt;&gt;"",DS121,IFERROR(INDEX($DS$2:$DS$201,MATCH(DR121,$DT$2:$DT$201,0)),DR121))))</f>
        <v/>
      </c>
      <c r="AX121" s="23" t="n">
        <f aca="false">ROW()</f>
        <v>121</v>
      </c>
      <c r="AY121" s="23" t="n">
        <f aca="false">IF(AND(TRIM($A121)&lt;&gt;"",ISNUMBER(H121)),IF(AND(LEFT($A121,6)="SAMPLE",Config!$B$19&lt;&gt;"Y"),0,1),0)</f>
        <v>0</v>
      </c>
      <c r="AZ121" s="23" t="n">
        <f aca="false">IF(AY121=1,IF(COUNTIFS($AW$2:$AW$201,AW121,$AY$2:$AY$201,1,$H$2:$H$201,"&lt;"&amp;H121)+COUNTIFS($AW$2:$AW$201,AW121,$AY$2:$AY$201,1,$H$2:$H$201,H121,$AX$2:$AX$201,"&lt;"&amp;AX121)=0,1,0),0)</f>
        <v>0</v>
      </c>
      <c r="BA121" s="23" t="n">
        <f aca="false">IF(AY121=1,IF(COUNTIFS($A$2:$A$201,$A121,$AY$2:$AY$201,1,$H$2:$H$201,"&gt;"&amp;H121)+COUNTIFS($A$2:$A$201,$A121,$AY$2:$AY$201,1,$H$2:$H$201,H121,$AX$2:$AX$201,"&gt;"&amp;AX121)=0,1,0),0)</f>
        <v>0</v>
      </c>
      <c r="BB121" s="23" t="n">
        <f aca="false">IF(AND(AY121=1,O121="Y",MAX(N(R121),N(V121))&gt;=Config!$B$14),1,0)</f>
        <v>0</v>
      </c>
      <c r="BC121" s="23" t="n">
        <f aca="false">IF(BB121=1,IF(COUNTIFS($AW$2:$AW$201,AW121,$BB$2:$BB$201,1,$H$2:$H$201,"&lt;"&amp;H121)+COUNTIFS($AW$2:$AW$201,AW121,$BB$2:$BB$201,1,$H$2:$H$201,H121,$AX$2:$AX$201,"&lt;"&amp;AX121)=0,1,0),0)</f>
        <v>0</v>
      </c>
      <c r="BD121" s="23" t="n">
        <f aca="false">IF(AND(AY121=1,O121="Y",ISNUMBER(R121)),IF(R121&gt;=Config!$B$14,1,0),0)</f>
        <v>0</v>
      </c>
      <c r="BE121" s="23" t="n">
        <f aca="false">IF(BD121=1,IF(COUNTIFS($AW$2:$AW$201,AW121,$BD$2:$BD$201,1,$H$2:$H$201,"&lt;"&amp;H121)+COUNTIFS($AW$2:$AW$201,AW121,$BD$2:$BD$201,1,$H$2:$H$201,H121,$AX$2:$AX$201,"&lt;"&amp;AX121)=0,1,0),0)</f>
        <v>0</v>
      </c>
      <c r="BF121" s="23" t="n">
        <f aca="false">IF(AND(AY121=1,O121&lt;&gt;"Y",MAX(N(R121),N(V121))&gt;=Config!$B$14),1,0)</f>
        <v>0</v>
      </c>
      <c r="BG121" s="23" t="n">
        <f aca="false">IF(BF121=1,IF(COUNTIFS($AW$2:$AW$201,AW121,$BF$2:$BF$201,1,$H$2:$H$201,"&lt;"&amp;H121)+COUNTIFS($AW$2:$AW$201,AW121,$BF$2:$BF$201,1,$H$2:$H$201,H121,$AX$2:$AX$201,"&lt;"&amp;AX121)=0,1,0),0)</f>
        <v>0</v>
      </c>
      <c r="BH121" s="23" t="n">
        <f aca="false">IF(AND(AY121=1,ISNUMBER(R121)),1,0)</f>
        <v>0</v>
      </c>
      <c r="BI121" s="23" t="n">
        <f aca="false">IF(BH121=1,IF(COUNTIFS($AW$2:$AW$201,AW121,$BH$2:$BH$201,1,$H$2:$H$201,"&lt;"&amp;H121)+COUNTIFS($AW$2:$AW$201,AW121,$BH$2:$BH$201,1,$H$2:$H$201,H121,$AX$2:$AX$201,"&lt;"&amp;AX121)=0,1,0),0)</f>
        <v>0</v>
      </c>
      <c r="BJ121" s="23" t="str">
        <f aca="false">IF(AND(BI121=1,INT(N(H121))&lt;=Config!$B$6),R121,"")</f>
        <v/>
      </c>
      <c r="BK121" s="23" t="str">
        <f aca="false">IF(AND(BI121=1,INT(N(H121))&lt;=Config!$B$7),R121,"")</f>
        <v/>
      </c>
      <c r="BL121" s="23" t="str">
        <f aca="false">IF(AND(BI121=1,INT(N(H121))&lt;=Config!$B$8),R121,"")</f>
        <v/>
      </c>
      <c r="BM121" s="23" t="str">
        <f aca="false">IF(AND(BI121=1,INT(N(H121))&lt;=Config!$B$5),R121,"")</f>
        <v/>
      </c>
      <c r="BN121" s="23" t="n">
        <f aca="false">IF(AND(AY121=1,ISNUMBER(V121)),1,0)</f>
        <v>0</v>
      </c>
      <c r="BO121" s="23" t="n">
        <f aca="false">IF(BN121=1,IF(COUNTIFS($AW$2:$AW$201,AW121,$BN$2:$BN$201,1,$H$2:$H$201,"&lt;"&amp;H121)+COUNTIFS($AW$2:$AW$201,AW121,$BN$2:$BN$201,1,$H$2:$H$201,H121,$AX$2:$AX$201,"&lt;"&amp;AX121)=0,1,0),0)</f>
        <v>0</v>
      </c>
      <c r="BP121" s="23" t="str">
        <f aca="false">IF(AND(BO121=1,INT(N(H121))&lt;=Config!$B$6),V121,"")</f>
        <v/>
      </c>
      <c r="BQ121" s="23" t="str">
        <f aca="false">IF(AND(BO121=1,INT(N(H121))&lt;=Config!$B$7),V121,"")</f>
        <v/>
      </c>
      <c r="BR121" s="23" t="str">
        <f aca="false">IF(AND(BO121=1,INT(N(H121))&lt;=Config!$B$8),V121,"")</f>
        <v/>
      </c>
      <c r="BS121" s="23" t="str">
        <f aca="false">IF(AND(BO121=1,INT(N(H121))&lt;=Config!$B$5),V121,"")</f>
        <v/>
      </c>
      <c r="BT121" s="23" t="n">
        <f aca="false">IF(AND(AY121=1,ISNUMBER(K121)),1,0)</f>
        <v>0</v>
      </c>
      <c r="BU121" s="23" t="n">
        <f aca="false">IF(BT121=1,IF(COUNTIFS($AW$2:$AW$201,AW121,$BT$2:$BT$201,1,$H$2:$H$201,"&lt;"&amp;H121)+COUNTIFS($AW$2:$AW$201,AW121,$BT$2:$BT$201,1,$H$2:$H$201,H121,$AX$2:$AX$201,"&lt;"&amp;AX121)=0,1,0),0)</f>
        <v>0</v>
      </c>
      <c r="BV121" s="23" t="str">
        <f aca="false">IF(AND(BU121=1,INT(N(H121))&lt;=Config!$B$5),K121,"")</f>
        <v/>
      </c>
      <c r="BW121" s="23" t="n">
        <f aca="false">IF(AND(AY121=1,OR(AND(ISNUMBER(R121),TRIM(S121)=""),AND(ISNUMBER(V121),TRIM(W121)=""))),1,0)</f>
        <v>0</v>
      </c>
      <c r="BX121" s="23" t="str">
        <f aca="false">IF(AY121=1,AJ121&amp;"","")</f>
        <v/>
      </c>
      <c r="BY121" s="23" t="str">
        <f aca="false">IF(AY121=1,AK121&amp;"","")</f>
        <v/>
      </c>
      <c r="BZ121" s="23" t="str">
        <f aca="false">IF(AY121=1,AL121&amp;"","")</f>
        <v/>
      </c>
      <c r="CA121" s="23" t="str">
        <f aca="false">IF(AND(AY121=1,ISNUMBER(AS121),INT(N(H121))&lt;=Config!$B$5),AS121,"")</f>
        <v/>
      </c>
      <c r="CB121" s="23" t="str">
        <f aca="false">IF(AY121=1,IF(COUNTIFS($A$2:$A$201,$A121,$CU$2:$CU$201,1,$AN$2:$AN$201,"Y")&gt;0,"Y","N"),"")</f>
        <v/>
      </c>
      <c r="CC121" s="23" t="n">
        <f aca="false">IF(AND(AY121=1,AN121="Y"),IF(COUNTIFS($AW$2:$AW$201,AW121,$AN$2:$AN$201,"Y",$AY$2:$AY$201,1,$H$2:$H$201,"&lt;"&amp;H121)+COUNTIFS($AW$2:$AW$201,AW121,$AN$2:$AN$201,"Y",$AY$2:$AY$201,1,$H$2:$H$201,H121,$AX$2:$AX$201,"&lt;"&amp;AX121)=0,1,0),0)</f>
        <v>0</v>
      </c>
      <c r="CD121" s="23" t="n">
        <f aca="false">IF(AND(AY121=1,AB121="Y",AC121="Y",AD121="Y",AE121="Y",AF121="Y",AG121="Y",AI121="Y",TRIM(AH121)&lt;&gt;""),1,0)</f>
        <v>0</v>
      </c>
      <c r="CE121" s="23" t="n">
        <f aca="false">IF(CD121=1,IF(COUNTIFS($AW$2:$AW$201,AW121,$CD$2:$CD$201,1,$H$2:$H$201,"&lt;"&amp;H121)+COUNTIFS($AW$2:$AW$201,AW121,$CD$2:$CD$201,1,$H$2:$H$201,H121,$AX$2:$AX$201,"&lt;"&amp;AX121)=0,1,0),0)</f>
        <v>0</v>
      </c>
      <c r="CF121" s="23" t="n">
        <f aca="false">IF(AND(AY121=1,AO121="Y"),1,0)</f>
        <v>0</v>
      </c>
      <c r="CG121" s="23" t="n">
        <f aca="false">IF(CF121=1,IF(COUNTIFS($AW$2:$AW$201,AW121,$CF$2:$CF$201,1,$H$2:$H$201,"&lt;"&amp;H121)+COUNTIFS($AW$2:$AW$201,AW121,$CF$2:$CF$201,1,$H$2:$H$201,H121,$AX$2:$AX$201,"&lt;"&amp;AX121)=0,1,0),0)</f>
        <v>0</v>
      </c>
      <c r="CH121" s="23" t="n">
        <f aca="false">IF(AND(AY121=1,P121="Y"),1,0)</f>
        <v>0</v>
      </c>
      <c r="CI121" s="23" t="n">
        <f aca="false">IF(CH121=1,IF(COUNTIFS($AW$2:$AW$201,AW121,$CH$2:$CH$201,1,$H$2:$H$201,"&lt;"&amp;H121)+COUNTIFS($AW$2:$AW$201,AW121,$CH$2:$CH$201,1,$H$2:$H$201,H121,$AX$2:$AX$201,"&lt;"&amp;AX121)=0,1,0),0)</f>
        <v>0</v>
      </c>
      <c r="CJ121" s="23" t="str">
        <f aca="false">IF(AND(BU121=1,INT(N(H121))&lt;=Config!$B$5),L121,"")</f>
        <v/>
      </c>
      <c r="CK121" s="23" t="n">
        <f aca="false">IF(AND(AY121=1,AR121="Y"),1,0)</f>
        <v>0</v>
      </c>
      <c r="CL121" s="23" t="n">
        <f aca="false">IF(CK121=1,IF(COUNTIFS($AW$2:$AW$201,AW121,$CK$2:$CK$201,1,$H$2:$H$201,"&lt;"&amp;H121)+COUNTIFS($AW$2:$AW$201,AW121,$CK$2:$CK$201,1,$H$2:$H$201,H121,$AX$2:$AX$201,"&lt;"&amp;AX121)=0,1,0),0)</f>
        <v>0</v>
      </c>
      <c r="CM121" s="23" t="str">
        <f aca="false">IF(AY121=1,IFERROR(MATCH($A121,INDEX(Clay_Brands!$A$2:$FZ$601,0,Sync!$D$5),0),""),"")</f>
        <v/>
      </c>
      <c r="CN121" s="23" t="str">
        <f aca="false">IF(CM121="","",IFERROR(INDEX(Clay_Brands!$A$2:$FZ$601,CM121,Sync!$D$7)&amp;"",""))</f>
        <v/>
      </c>
      <c r="CO121" s="23" t="str">
        <f aca="false">IF(CN121="","",IFERROR(INDEX(Lists!$K$2:$K$15,MATCH(CN121,Lists!$J$2:$J$15,0)),""))</f>
        <v/>
      </c>
      <c r="CP121" s="23" t="str">
        <f aca="false">IF(CM121="","",IFERROR(INDEX(Clay_Brands!$A$2:$FZ$601,CM121,Sync!$D$17)&amp;"",""))</f>
        <v/>
      </c>
      <c r="CQ121" s="35" t="str">
        <f aca="false">IF(CM121="","",IFERROR(N(INDEX(Clay_Brands!$A$2:$FZ$601,CM121,Sync!$D$16)),0))</f>
        <v/>
      </c>
      <c r="CR121" s="23" t="n">
        <f aca="false">IF(AND(AY121=1,OR(O121="N",AND(OR(ISNUMBER(R121),ISNUMBER(V121)),MAX(N(R121),N(V121))&lt;Config!$B$14))),1,0)</f>
        <v>0</v>
      </c>
      <c r="CS121" s="23" t="n">
        <f aca="false">IF(OR(BB121=1,CR121=1),1,0)</f>
        <v>0</v>
      </c>
      <c r="CT121" s="23" t="n">
        <f aca="false">IF(AND(AY121=1,OR(AN121="Y",AN121="N",AN121="maybe")),1,0)</f>
        <v>0</v>
      </c>
      <c r="CU121" s="23" t="n">
        <f aca="false">IF(AND(CT121=1),IF(COUNTIFS($A$2:$A$201,$A121,$CT$2:$CT$201,1,$H$2:$H$201,"&gt;"&amp;H121)+COUNTIFS($A$2:$A$201,$A121,$CT$2:$CT$201,1,$H$2:$H$201,H121,$AX$2:$AX$201,"&gt;"&amp;AX121)=0,1,0),0)</f>
        <v>0</v>
      </c>
      <c r="CV121" s="23" t="n">
        <f aca="false">IF(AND(CS121=1,INT(N(H121))&lt;=Config!$B$6),IF(COUNTIFS($AW$2:$AW$201,AW121,$CS$2:$CS$201,1,$H$2:$H$201,"&gt;"&amp;H121,$H$2:$H$201,"&lt;"&amp;(Config!$B$6+1))+COUNTIFS($AW$2:$AW$201,AW121,$CS$2:$CS$201,1,$H$2:$H$201,H121,$AX$2:$AX$201,"&gt;"&amp;AX121)=0,1,0),0)</f>
        <v>0</v>
      </c>
      <c r="CW121" s="23" t="n">
        <f aca="false">IF(AND(CS121=1,INT(N(H121))&lt;=Config!$B$7),IF(COUNTIFS($AW$2:$AW$201,AW121,$CS$2:$CS$201,1,$H$2:$H$201,"&gt;"&amp;H121,$H$2:$H$201,"&lt;"&amp;(Config!$B$7+1))+COUNTIFS($AW$2:$AW$201,AW121,$CS$2:$CS$201,1,$H$2:$H$201,H121,$AX$2:$AX$201,"&gt;"&amp;AX121)=0,1,0),0)</f>
        <v>0</v>
      </c>
      <c r="CX121" s="23" t="n">
        <f aca="false">IF(AND(CS121=1,INT(N(H121))&lt;=Config!$B$8),IF(COUNTIFS($AW$2:$AW$201,AW121,$CS$2:$CS$201,1,$H$2:$H$201,"&gt;"&amp;H121,$H$2:$H$201,"&lt;"&amp;(Config!$B$8+1))+COUNTIFS($AW$2:$AW$201,AW121,$CS$2:$CS$201,1,$H$2:$H$201,H121,$AX$2:$AX$201,"&gt;"&amp;AX121)=0,1,0),0)</f>
        <v>0</v>
      </c>
      <c r="CY121" s="23" t="n">
        <f aca="false">IF(AND(CS121=1,INT(N(H121))&lt;=Config!$B$5),IF(COUNTIFS($AW$2:$AW$201,AW121,$CS$2:$CS$201,1,$H$2:$H$201,"&gt;"&amp;H121,$H$2:$H$201,"&lt;"&amp;(Config!$B$5+1))+COUNTIFS($AW$2:$AW$201,AW121,$CS$2:$CS$201,1,$H$2:$H$201,H121,$AX$2:$AX$201,"&gt;"&amp;AX121)=0,1,0),0)</f>
        <v>0</v>
      </c>
      <c r="CZ121" s="23" t="n">
        <f aca="false">IF(AY121=1,IF(COUNTIFS($AW$2:$AW$201,AW121,$CV$2:$CV$201,1,$BB$2:$BB$201,1)&gt;0,1,0),0)</f>
        <v>0</v>
      </c>
      <c r="DA121" s="23" t="n">
        <f aca="false">IF(AY121=1,IF(COUNTIFS($AW$2:$AW$201,AW121,$CW$2:$CW$201,1,$BB$2:$BB$201,1)&gt;0,1,0),0)</f>
        <v>0</v>
      </c>
      <c r="DB121" s="23" t="n">
        <f aca="false">IF(AY121=1,IF(COUNTIFS($AW$2:$AW$201,AW121,$CX$2:$CX$201,1,$BB$2:$BB$201,1)&gt;0,1,0),0)</f>
        <v>0</v>
      </c>
      <c r="DC121" s="23" t="n">
        <f aca="false">IF(AY121=1,IF(COUNTIFS($AW$2:$AW$201,AW121,$CY$2:$CY$201,1,$BB$2:$BB$201,1)&gt;0,1,0),0)</f>
        <v>0</v>
      </c>
      <c r="DD121" s="23" t="n">
        <f aca="false">IF(AND(BC121=1,INT(N(H121))&lt;=Config!$B$6,CZ121=1),1,0)</f>
        <v>0</v>
      </c>
      <c r="DE121" s="23" t="n">
        <f aca="false">IF(AND(BC121=1,INT(N(H121))&lt;=Config!$B$7,DA121=1),1,0)</f>
        <v>0</v>
      </c>
      <c r="DF121" s="23" t="n">
        <f aca="false">IF(AND(BC121=1,INT(N(H121))&lt;=Config!$B$8,DB121=1),1,0)</f>
        <v>0</v>
      </c>
      <c r="DG121" s="23" t="n">
        <f aca="false">IF(AND(BC121=1,INT(N(H121))&lt;=Config!$B$5,DC121=1),1,0)</f>
        <v>0</v>
      </c>
      <c r="DH121" s="23" t="n">
        <f aca="false">IF(AND(BE121=1,INT(N(H121))&lt;=Config!$B$6,CZ121=1),1,0)</f>
        <v>0</v>
      </c>
      <c r="DI121" s="23" t="n">
        <f aca="false">IF(AND(BE121=1,INT(N(H121))&lt;=Config!$B$7,DA121=1),1,0)</f>
        <v>0</v>
      </c>
      <c r="DJ121" s="23" t="n">
        <f aca="false">IF(AND(BE121=1,INT(N(H121))&lt;=Config!$B$8,DB121=1),1,0)</f>
        <v>0</v>
      </c>
      <c r="DK121" s="23" t="n">
        <f aca="false">IF(AND(BE121=1,INT(N(H121))&lt;=Config!$B$5,DC121=1),1,0)</f>
        <v>0</v>
      </c>
      <c r="DL121" s="23" t="n">
        <f aca="false">IF(AND(BC121=1,INT(N(H121))&lt;=Config!$B$6,CZ121=0),1,0)</f>
        <v>0</v>
      </c>
      <c r="DM121" s="23" t="n">
        <f aca="false">IF(AND(BC121=1,INT(N(H121))&lt;=Config!$B$7,DA121=0),1,0)</f>
        <v>0</v>
      </c>
      <c r="DN121" s="23" t="n">
        <f aca="false">IF(AND(BC121=1,INT(N(H121))&lt;=Config!$B$8,DB121=0),1,0)</f>
        <v>0</v>
      </c>
      <c r="DO121" s="23" t="n">
        <f aca="false">IF(AND(BC121=1,INT(N(H121))&lt;=Config!$B$5,DC121=0),1,0)</f>
        <v>0</v>
      </c>
      <c r="DP121" s="23" t="n">
        <f aca="false">IF(TRIM($A121)="",0,ISTEXT(K121)+ISTEXT(L121)+ISTEXT(R121)+ISTEXT(V121)+ISTEXT(AP121)+ISTEXT(AS121))</f>
        <v>0</v>
      </c>
      <c r="DQ121" s="23" t="n">
        <f aca="false">IF(AY121=1,IF(H121&lt;&gt;INT(H121),1,0),0)</f>
        <v>0</v>
      </c>
      <c r="DR121" s="23" t="str">
        <f aca="false">IF(TRIM($A121)="","",IF(TRIM(B121)="",SUBSTITUTE(SUBSTITUTE(SUBSTITUTE(SUBSTITUTE(SUBSTITUTE(SUBSTITUTE(LOWER(TRIM($A121)),"~",""),"*",""),"?",""),"&lt;",""),"&gt;",""),"=",""),SUBSTITUTE(SUBSTITUTE(SUBSTITUTE(SUBSTITUTE(SUBSTITUTE(SUBSTITUTE(LOWER(TRIM(B121)),"~",""),"*",""),"?",""),"&lt;",""),"&gt;",""),"=","")))</f>
        <v/>
      </c>
      <c r="DS121" s="23" t="str">
        <f aca="false">IF(CM121="","",IFERROR(IF(LEFT(LOWER(TRIM(INDEX(Clay_Brands!$A$2:$FZ$601,CM121,Sync!$D$19)&amp;"")),4)="grp-",SUBSTITUTE(SUBSTITUTE(SUBSTITUTE(SUBSTITUTE(SUBSTITUTE(SUBSTITUTE(LOWER(TRIM(INDEX(Clay_Brands!$A$2:$FZ$601,CM121,Sync!$D$19)&amp;"")),"~",""),"*",""),"?",""),"&lt;",""),"&gt;",""),"=",""),""),""))</f>
        <v/>
      </c>
      <c r="DT121" s="23" t="str">
        <f aca="false">IF(DS121&lt;&gt;"",DR121,"")</f>
        <v/>
      </c>
      <c r="DU121" s="23" t="str">
        <f aca="false">IF(AZ121=1,AW121,"")</f>
        <v/>
      </c>
      <c r="DV121" s="23" t="str">
        <f aca="false">IF(TRIM($A121)="","",IFERROR(INDEX($A$2:$A$201,MATCH(AW121,$DU$2:$DU$201,0))&amp;"",$A121&amp;""))</f>
        <v/>
      </c>
      <c r="DW121" s="23" t="n">
        <f aca="false">IF(AY121=1,IF(COUNTIFS($A$2:$A$201,$A121,$AY$2:$AY$201,1,$H$2:$H$201,"&lt;"&amp;H121)+COUNTIFS($A$2:$A$201,$A121,$AY$2:$AY$201,1,$H$2:$H$201,H121,$AX$2:$AX$201,"&lt;"&amp;AX121)=0,1,0),0)</f>
        <v>0</v>
      </c>
      <c r="DX121" s="23" t="n">
        <f aca="false">IF(AZ121=1,IF(COUNTIFS($AW$2:$AW$201,AW121,$DW$2:$DW$201,1)&gt;1,1,0),0)</f>
        <v>0</v>
      </c>
    </row>
    <row r="122" customFormat="false" ht="15" hidden="false" customHeight="false" outlineLevel="0" collapsed="false">
      <c r="G122" s="32"/>
      <c r="H122" s="33"/>
      <c r="I122" s="32"/>
      <c r="O122" s="32"/>
      <c r="P122" s="32"/>
      <c r="U122" s="32"/>
      <c r="Y122" s="32"/>
      <c r="AB122" s="32"/>
      <c r="AC122" s="32"/>
      <c r="AD122" s="32"/>
      <c r="AE122" s="32"/>
      <c r="AF122" s="32"/>
      <c r="AG122" s="32"/>
      <c r="AI122" s="32"/>
      <c r="AJ122" s="32"/>
      <c r="AK122" s="32"/>
      <c r="AN122" s="32"/>
      <c r="AO122" s="32"/>
      <c r="AR122" s="32"/>
      <c r="AT122" s="32"/>
      <c r="AV122" s="34" t="str">
        <f aca="false">IF(TRIM($A122)="","",IF(AND(LEFT($A122,6)="SAMPLE",Config!$B$19&lt;&gt;"Y"),"",IF(NOT(ISNUMBER(H122)),"call_date is blank or not a date",IF(Sync!$D$5="","Clay paste is empty or has no row_id column: paste the Clay export on Clay_Brands",IF(CM122="","row_id not found in the Clay paste: add the Clay row or fix the row_id",IF(AND(ISNUMBER(CO122),CO122&gt;=1,CO122&lt;=5),"Clay status is "&amp;CN122&amp;": set call_done or later",IF(AND(BA122=1,CP122&lt;&gt;CB122),"Clay yes_in_principle should be "&amp;CB122,IF(AND(BA122=1,CQ122&lt;&gt;H122),"Clay call_date should be "&amp;TEXT(H122,"yyyy-mm-dd"),""))))))))</f>
        <v/>
      </c>
      <c r="AW122" s="23" t="str">
        <f aca="false">IF(TRIM($A122)="","",IF(TRIM(C122)&lt;&gt;"",SUBSTITUTE(SUBSTITUTE(SUBSTITUTE(SUBSTITUTE(SUBSTITUTE(SUBSTITUTE(LOWER(TRIM(C122)),"~",""),"*",""),"?",""),"&lt;",""),"&gt;",""),"=",""),IF(DS122&lt;&gt;"",DS122,IFERROR(INDEX($DS$2:$DS$201,MATCH(DR122,$DT$2:$DT$201,0)),DR122))))</f>
        <v/>
      </c>
      <c r="AX122" s="23" t="n">
        <f aca="false">ROW()</f>
        <v>122</v>
      </c>
      <c r="AY122" s="23" t="n">
        <f aca="false">IF(AND(TRIM($A122)&lt;&gt;"",ISNUMBER(H122)),IF(AND(LEFT($A122,6)="SAMPLE",Config!$B$19&lt;&gt;"Y"),0,1),0)</f>
        <v>0</v>
      </c>
      <c r="AZ122" s="23" t="n">
        <f aca="false">IF(AY122=1,IF(COUNTIFS($AW$2:$AW$201,AW122,$AY$2:$AY$201,1,$H$2:$H$201,"&lt;"&amp;H122)+COUNTIFS($AW$2:$AW$201,AW122,$AY$2:$AY$201,1,$H$2:$H$201,H122,$AX$2:$AX$201,"&lt;"&amp;AX122)=0,1,0),0)</f>
        <v>0</v>
      </c>
      <c r="BA122" s="23" t="n">
        <f aca="false">IF(AY122=1,IF(COUNTIFS($A$2:$A$201,$A122,$AY$2:$AY$201,1,$H$2:$H$201,"&gt;"&amp;H122)+COUNTIFS($A$2:$A$201,$A122,$AY$2:$AY$201,1,$H$2:$H$201,H122,$AX$2:$AX$201,"&gt;"&amp;AX122)=0,1,0),0)</f>
        <v>0</v>
      </c>
      <c r="BB122" s="23" t="n">
        <f aca="false">IF(AND(AY122=1,O122="Y",MAX(N(R122),N(V122))&gt;=Config!$B$14),1,0)</f>
        <v>0</v>
      </c>
      <c r="BC122" s="23" t="n">
        <f aca="false">IF(BB122=1,IF(COUNTIFS($AW$2:$AW$201,AW122,$BB$2:$BB$201,1,$H$2:$H$201,"&lt;"&amp;H122)+COUNTIFS($AW$2:$AW$201,AW122,$BB$2:$BB$201,1,$H$2:$H$201,H122,$AX$2:$AX$201,"&lt;"&amp;AX122)=0,1,0),0)</f>
        <v>0</v>
      </c>
      <c r="BD122" s="23" t="n">
        <f aca="false">IF(AND(AY122=1,O122="Y",ISNUMBER(R122)),IF(R122&gt;=Config!$B$14,1,0),0)</f>
        <v>0</v>
      </c>
      <c r="BE122" s="23" t="n">
        <f aca="false">IF(BD122=1,IF(COUNTIFS($AW$2:$AW$201,AW122,$BD$2:$BD$201,1,$H$2:$H$201,"&lt;"&amp;H122)+COUNTIFS($AW$2:$AW$201,AW122,$BD$2:$BD$201,1,$H$2:$H$201,H122,$AX$2:$AX$201,"&lt;"&amp;AX122)=0,1,0),0)</f>
        <v>0</v>
      </c>
      <c r="BF122" s="23" t="n">
        <f aca="false">IF(AND(AY122=1,O122&lt;&gt;"Y",MAX(N(R122),N(V122))&gt;=Config!$B$14),1,0)</f>
        <v>0</v>
      </c>
      <c r="BG122" s="23" t="n">
        <f aca="false">IF(BF122=1,IF(COUNTIFS($AW$2:$AW$201,AW122,$BF$2:$BF$201,1,$H$2:$H$201,"&lt;"&amp;H122)+COUNTIFS($AW$2:$AW$201,AW122,$BF$2:$BF$201,1,$H$2:$H$201,H122,$AX$2:$AX$201,"&lt;"&amp;AX122)=0,1,0),0)</f>
        <v>0</v>
      </c>
      <c r="BH122" s="23" t="n">
        <f aca="false">IF(AND(AY122=1,ISNUMBER(R122)),1,0)</f>
        <v>0</v>
      </c>
      <c r="BI122" s="23" t="n">
        <f aca="false">IF(BH122=1,IF(COUNTIFS($AW$2:$AW$201,AW122,$BH$2:$BH$201,1,$H$2:$H$201,"&lt;"&amp;H122)+COUNTIFS($AW$2:$AW$201,AW122,$BH$2:$BH$201,1,$H$2:$H$201,H122,$AX$2:$AX$201,"&lt;"&amp;AX122)=0,1,0),0)</f>
        <v>0</v>
      </c>
      <c r="BJ122" s="23" t="str">
        <f aca="false">IF(AND(BI122=1,INT(N(H122))&lt;=Config!$B$6),R122,"")</f>
        <v/>
      </c>
      <c r="BK122" s="23" t="str">
        <f aca="false">IF(AND(BI122=1,INT(N(H122))&lt;=Config!$B$7),R122,"")</f>
        <v/>
      </c>
      <c r="BL122" s="23" t="str">
        <f aca="false">IF(AND(BI122=1,INT(N(H122))&lt;=Config!$B$8),R122,"")</f>
        <v/>
      </c>
      <c r="BM122" s="23" t="str">
        <f aca="false">IF(AND(BI122=1,INT(N(H122))&lt;=Config!$B$5),R122,"")</f>
        <v/>
      </c>
      <c r="BN122" s="23" t="n">
        <f aca="false">IF(AND(AY122=1,ISNUMBER(V122)),1,0)</f>
        <v>0</v>
      </c>
      <c r="BO122" s="23" t="n">
        <f aca="false">IF(BN122=1,IF(COUNTIFS($AW$2:$AW$201,AW122,$BN$2:$BN$201,1,$H$2:$H$201,"&lt;"&amp;H122)+COUNTIFS($AW$2:$AW$201,AW122,$BN$2:$BN$201,1,$H$2:$H$201,H122,$AX$2:$AX$201,"&lt;"&amp;AX122)=0,1,0),0)</f>
        <v>0</v>
      </c>
      <c r="BP122" s="23" t="str">
        <f aca="false">IF(AND(BO122=1,INT(N(H122))&lt;=Config!$B$6),V122,"")</f>
        <v/>
      </c>
      <c r="BQ122" s="23" t="str">
        <f aca="false">IF(AND(BO122=1,INT(N(H122))&lt;=Config!$B$7),V122,"")</f>
        <v/>
      </c>
      <c r="BR122" s="23" t="str">
        <f aca="false">IF(AND(BO122=1,INT(N(H122))&lt;=Config!$B$8),V122,"")</f>
        <v/>
      </c>
      <c r="BS122" s="23" t="str">
        <f aca="false">IF(AND(BO122=1,INT(N(H122))&lt;=Config!$B$5),V122,"")</f>
        <v/>
      </c>
      <c r="BT122" s="23" t="n">
        <f aca="false">IF(AND(AY122=1,ISNUMBER(K122)),1,0)</f>
        <v>0</v>
      </c>
      <c r="BU122" s="23" t="n">
        <f aca="false">IF(BT122=1,IF(COUNTIFS($AW$2:$AW$201,AW122,$BT$2:$BT$201,1,$H$2:$H$201,"&lt;"&amp;H122)+COUNTIFS($AW$2:$AW$201,AW122,$BT$2:$BT$201,1,$H$2:$H$201,H122,$AX$2:$AX$201,"&lt;"&amp;AX122)=0,1,0),0)</f>
        <v>0</v>
      </c>
      <c r="BV122" s="23" t="str">
        <f aca="false">IF(AND(BU122=1,INT(N(H122))&lt;=Config!$B$5),K122,"")</f>
        <v/>
      </c>
      <c r="BW122" s="23" t="n">
        <f aca="false">IF(AND(AY122=1,OR(AND(ISNUMBER(R122),TRIM(S122)=""),AND(ISNUMBER(V122),TRIM(W122)=""))),1,0)</f>
        <v>0</v>
      </c>
      <c r="BX122" s="23" t="str">
        <f aca="false">IF(AY122=1,AJ122&amp;"","")</f>
        <v/>
      </c>
      <c r="BY122" s="23" t="str">
        <f aca="false">IF(AY122=1,AK122&amp;"","")</f>
        <v/>
      </c>
      <c r="BZ122" s="23" t="str">
        <f aca="false">IF(AY122=1,AL122&amp;"","")</f>
        <v/>
      </c>
      <c r="CA122" s="23" t="str">
        <f aca="false">IF(AND(AY122=1,ISNUMBER(AS122),INT(N(H122))&lt;=Config!$B$5),AS122,"")</f>
        <v/>
      </c>
      <c r="CB122" s="23" t="str">
        <f aca="false">IF(AY122=1,IF(COUNTIFS($A$2:$A$201,$A122,$CU$2:$CU$201,1,$AN$2:$AN$201,"Y")&gt;0,"Y","N"),"")</f>
        <v/>
      </c>
      <c r="CC122" s="23" t="n">
        <f aca="false">IF(AND(AY122=1,AN122="Y"),IF(COUNTIFS($AW$2:$AW$201,AW122,$AN$2:$AN$201,"Y",$AY$2:$AY$201,1,$H$2:$H$201,"&lt;"&amp;H122)+COUNTIFS($AW$2:$AW$201,AW122,$AN$2:$AN$201,"Y",$AY$2:$AY$201,1,$H$2:$H$201,H122,$AX$2:$AX$201,"&lt;"&amp;AX122)=0,1,0),0)</f>
        <v>0</v>
      </c>
      <c r="CD122" s="23" t="n">
        <f aca="false">IF(AND(AY122=1,AB122="Y",AC122="Y",AD122="Y",AE122="Y",AF122="Y",AG122="Y",AI122="Y",TRIM(AH122)&lt;&gt;""),1,0)</f>
        <v>0</v>
      </c>
      <c r="CE122" s="23" t="n">
        <f aca="false">IF(CD122=1,IF(COUNTIFS($AW$2:$AW$201,AW122,$CD$2:$CD$201,1,$H$2:$H$201,"&lt;"&amp;H122)+COUNTIFS($AW$2:$AW$201,AW122,$CD$2:$CD$201,1,$H$2:$H$201,H122,$AX$2:$AX$201,"&lt;"&amp;AX122)=0,1,0),0)</f>
        <v>0</v>
      </c>
      <c r="CF122" s="23" t="n">
        <f aca="false">IF(AND(AY122=1,AO122="Y"),1,0)</f>
        <v>0</v>
      </c>
      <c r="CG122" s="23" t="n">
        <f aca="false">IF(CF122=1,IF(COUNTIFS($AW$2:$AW$201,AW122,$CF$2:$CF$201,1,$H$2:$H$201,"&lt;"&amp;H122)+COUNTIFS($AW$2:$AW$201,AW122,$CF$2:$CF$201,1,$H$2:$H$201,H122,$AX$2:$AX$201,"&lt;"&amp;AX122)=0,1,0),0)</f>
        <v>0</v>
      </c>
      <c r="CH122" s="23" t="n">
        <f aca="false">IF(AND(AY122=1,P122="Y"),1,0)</f>
        <v>0</v>
      </c>
      <c r="CI122" s="23" t="n">
        <f aca="false">IF(CH122=1,IF(COUNTIFS($AW$2:$AW$201,AW122,$CH$2:$CH$201,1,$H$2:$H$201,"&lt;"&amp;H122)+COUNTIFS($AW$2:$AW$201,AW122,$CH$2:$CH$201,1,$H$2:$H$201,H122,$AX$2:$AX$201,"&lt;"&amp;AX122)=0,1,0),0)</f>
        <v>0</v>
      </c>
      <c r="CJ122" s="23" t="str">
        <f aca="false">IF(AND(BU122=1,INT(N(H122))&lt;=Config!$B$5),L122,"")</f>
        <v/>
      </c>
      <c r="CK122" s="23" t="n">
        <f aca="false">IF(AND(AY122=1,AR122="Y"),1,0)</f>
        <v>0</v>
      </c>
      <c r="CL122" s="23" t="n">
        <f aca="false">IF(CK122=1,IF(COUNTIFS($AW$2:$AW$201,AW122,$CK$2:$CK$201,1,$H$2:$H$201,"&lt;"&amp;H122)+COUNTIFS($AW$2:$AW$201,AW122,$CK$2:$CK$201,1,$H$2:$H$201,H122,$AX$2:$AX$201,"&lt;"&amp;AX122)=0,1,0),0)</f>
        <v>0</v>
      </c>
      <c r="CM122" s="23" t="str">
        <f aca="false">IF(AY122=1,IFERROR(MATCH($A122,INDEX(Clay_Brands!$A$2:$FZ$601,0,Sync!$D$5),0),""),"")</f>
        <v/>
      </c>
      <c r="CN122" s="23" t="str">
        <f aca="false">IF(CM122="","",IFERROR(INDEX(Clay_Brands!$A$2:$FZ$601,CM122,Sync!$D$7)&amp;"",""))</f>
        <v/>
      </c>
      <c r="CO122" s="23" t="str">
        <f aca="false">IF(CN122="","",IFERROR(INDEX(Lists!$K$2:$K$15,MATCH(CN122,Lists!$J$2:$J$15,0)),""))</f>
        <v/>
      </c>
      <c r="CP122" s="23" t="str">
        <f aca="false">IF(CM122="","",IFERROR(INDEX(Clay_Brands!$A$2:$FZ$601,CM122,Sync!$D$17)&amp;"",""))</f>
        <v/>
      </c>
      <c r="CQ122" s="35" t="str">
        <f aca="false">IF(CM122="","",IFERROR(N(INDEX(Clay_Brands!$A$2:$FZ$601,CM122,Sync!$D$16)),0))</f>
        <v/>
      </c>
      <c r="CR122" s="23" t="n">
        <f aca="false">IF(AND(AY122=1,OR(O122="N",AND(OR(ISNUMBER(R122),ISNUMBER(V122)),MAX(N(R122),N(V122))&lt;Config!$B$14))),1,0)</f>
        <v>0</v>
      </c>
      <c r="CS122" s="23" t="n">
        <f aca="false">IF(OR(BB122=1,CR122=1),1,0)</f>
        <v>0</v>
      </c>
      <c r="CT122" s="23" t="n">
        <f aca="false">IF(AND(AY122=1,OR(AN122="Y",AN122="N",AN122="maybe")),1,0)</f>
        <v>0</v>
      </c>
      <c r="CU122" s="23" t="n">
        <f aca="false">IF(AND(CT122=1),IF(COUNTIFS($A$2:$A$201,$A122,$CT$2:$CT$201,1,$H$2:$H$201,"&gt;"&amp;H122)+COUNTIFS($A$2:$A$201,$A122,$CT$2:$CT$201,1,$H$2:$H$201,H122,$AX$2:$AX$201,"&gt;"&amp;AX122)=0,1,0),0)</f>
        <v>0</v>
      </c>
      <c r="CV122" s="23" t="n">
        <f aca="false">IF(AND(CS122=1,INT(N(H122))&lt;=Config!$B$6),IF(COUNTIFS($AW$2:$AW$201,AW122,$CS$2:$CS$201,1,$H$2:$H$201,"&gt;"&amp;H122,$H$2:$H$201,"&lt;"&amp;(Config!$B$6+1))+COUNTIFS($AW$2:$AW$201,AW122,$CS$2:$CS$201,1,$H$2:$H$201,H122,$AX$2:$AX$201,"&gt;"&amp;AX122)=0,1,0),0)</f>
        <v>0</v>
      </c>
      <c r="CW122" s="23" t="n">
        <f aca="false">IF(AND(CS122=1,INT(N(H122))&lt;=Config!$B$7),IF(COUNTIFS($AW$2:$AW$201,AW122,$CS$2:$CS$201,1,$H$2:$H$201,"&gt;"&amp;H122,$H$2:$H$201,"&lt;"&amp;(Config!$B$7+1))+COUNTIFS($AW$2:$AW$201,AW122,$CS$2:$CS$201,1,$H$2:$H$201,H122,$AX$2:$AX$201,"&gt;"&amp;AX122)=0,1,0),0)</f>
        <v>0</v>
      </c>
      <c r="CX122" s="23" t="n">
        <f aca="false">IF(AND(CS122=1,INT(N(H122))&lt;=Config!$B$8),IF(COUNTIFS($AW$2:$AW$201,AW122,$CS$2:$CS$201,1,$H$2:$H$201,"&gt;"&amp;H122,$H$2:$H$201,"&lt;"&amp;(Config!$B$8+1))+COUNTIFS($AW$2:$AW$201,AW122,$CS$2:$CS$201,1,$H$2:$H$201,H122,$AX$2:$AX$201,"&gt;"&amp;AX122)=0,1,0),0)</f>
        <v>0</v>
      </c>
      <c r="CY122" s="23" t="n">
        <f aca="false">IF(AND(CS122=1,INT(N(H122))&lt;=Config!$B$5),IF(COUNTIFS($AW$2:$AW$201,AW122,$CS$2:$CS$201,1,$H$2:$H$201,"&gt;"&amp;H122,$H$2:$H$201,"&lt;"&amp;(Config!$B$5+1))+COUNTIFS($AW$2:$AW$201,AW122,$CS$2:$CS$201,1,$H$2:$H$201,H122,$AX$2:$AX$201,"&gt;"&amp;AX122)=0,1,0),0)</f>
        <v>0</v>
      </c>
      <c r="CZ122" s="23" t="n">
        <f aca="false">IF(AY122=1,IF(COUNTIFS($AW$2:$AW$201,AW122,$CV$2:$CV$201,1,$BB$2:$BB$201,1)&gt;0,1,0),0)</f>
        <v>0</v>
      </c>
      <c r="DA122" s="23" t="n">
        <f aca="false">IF(AY122=1,IF(COUNTIFS($AW$2:$AW$201,AW122,$CW$2:$CW$201,1,$BB$2:$BB$201,1)&gt;0,1,0),0)</f>
        <v>0</v>
      </c>
      <c r="DB122" s="23" t="n">
        <f aca="false">IF(AY122=1,IF(COUNTIFS($AW$2:$AW$201,AW122,$CX$2:$CX$201,1,$BB$2:$BB$201,1)&gt;0,1,0),0)</f>
        <v>0</v>
      </c>
      <c r="DC122" s="23" t="n">
        <f aca="false">IF(AY122=1,IF(COUNTIFS($AW$2:$AW$201,AW122,$CY$2:$CY$201,1,$BB$2:$BB$201,1)&gt;0,1,0),0)</f>
        <v>0</v>
      </c>
      <c r="DD122" s="23" t="n">
        <f aca="false">IF(AND(BC122=1,INT(N(H122))&lt;=Config!$B$6,CZ122=1),1,0)</f>
        <v>0</v>
      </c>
      <c r="DE122" s="23" t="n">
        <f aca="false">IF(AND(BC122=1,INT(N(H122))&lt;=Config!$B$7,DA122=1),1,0)</f>
        <v>0</v>
      </c>
      <c r="DF122" s="23" t="n">
        <f aca="false">IF(AND(BC122=1,INT(N(H122))&lt;=Config!$B$8,DB122=1),1,0)</f>
        <v>0</v>
      </c>
      <c r="DG122" s="23" t="n">
        <f aca="false">IF(AND(BC122=1,INT(N(H122))&lt;=Config!$B$5,DC122=1),1,0)</f>
        <v>0</v>
      </c>
      <c r="DH122" s="23" t="n">
        <f aca="false">IF(AND(BE122=1,INT(N(H122))&lt;=Config!$B$6,CZ122=1),1,0)</f>
        <v>0</v>
      </c>
      <c r="DI122" s="23" t="n">
        <f aca="false">IF(AND(BE122=1,INT(N(H122))&lt;=Config!$B$7,DA122=1),1,0)</f>
        <v>0</v>
      </c>
      <c r="DJ122" s="23" t="n">
        <f aca="false">IF(AND(BE122=1,INT(N(H122))&lt;=Config!$B$8,DB122=1),1,0)</f>
        <v>0</v>
      </c>
      <c r="DK122" s="23" t="n">
        <f aca="false">IF(AND(BE122=1,INT(N(H122))&lt;=Config!$B$5,DC122=1),1,0)</f>
        <v>0</v>
      </c>
      <c r="DL122" s="23" t="n">
        <f aca="false">IF(AND(BC122=1,INT(N(H122))&lt;=Config!$B$6,CZ122=0),1,0)</f>
        <v>0</v>
      </c>
      <c r="DM122" s="23" t="n">
        <f aca="false">IF(AND(BC122=1,INT(N(H122))&lt;=Config!$B$7,DA122=0),1,0)</f>
        <v>0</v>
      </c>
      <c r="DN122" s="23" t="n">
        <f aca="false">IF(AND(BC122=1,INT(N(H122))&lt;=Config!$B$8,DB122=0),1,0)</f>
        <v>0</v>
      </c>
      <c r="DO122" s="23" t="n">
        <f aca="false">IF(AND(BC122=1,INT(N(H122))&lt;=Config!$B$5,DC122=0),1,0)</f>
        <v>0</v>
      </c>
      <c r="DP122" s="23" t="n">
        <f aca="false">IF(TRIM($A122)="",0,ISTEXT(K122)+ISTEXT(L122)+ISTEXT(R122)+ISTEXT(V122)+ISTEXT(AP122)+ISTEXT(AS122))</f>
        <v>0</v>
      </c>
      <c r="DQ122" s="23" t="n">
        <f aca="false">IF(AY122=1,IF(H122&lt;&gt;INT(H122),1,0),0)</f>
        <v>0</v>
      </c>
      <c r="DR122" s="23" t="str">
        <f aca="false">IF(TRIM($A122)="","",IF(TRIM(B122)="",SUBSTITUTE(SUBSTITUTE(SUBSTITUTE(SUBSTITUTE(SUBSTITUTE(SUBSTITUTE(LOWER(TRIM($A122)),"~",""),"*",""),"?",""),"&lt;",""),"&gt;",""),"=",""),SUBSTITUTE(SUBSTITUTE(SUBSTITUTE(SUBSTITUTE(SUBSTITUTE(SUBSTITUTE(LOWER(TRIM(B122)),"~",""),"*",""),"?",""),"&lt;",""),"&gt;",""),"=","")))</f>
        <v/>
      </c>
      <c r="DS122" s="23" t="str">
        <f aca="false">IF(CM122="","",IFERROR(IF(LEFT(LOWER(TRIM(INDEX(Clay_Brands!$A$2:$FZ$601,CM122,Sync!$D$19)&amp;"")),4)="grp-",SUBSTITUTE(SUBSTITUTE(SUBSTITUTE(SUBSTITUTE(SUBSTITUTE(SUBSTITUTE(LOWER(TRIM(INDEX(Clay_Brands!$A$2:$FZ$601,CM122,Sync!$D$19)&amp;"")),"~",""),"*",""),"?",""),"&lt;",""),"&gt;",""),"=",""),""),""))</f>
        <v/>
      </c>
      <c r="DT122" s="23" t="str">
        <f aca="false">IF(DS122&lt;&gt;"",DR122,"")</f>
        <v/>
      </c>
      <c r="DU122" s="23" t="str">
        <f aca="false">IF(AZ122=1,AW122,"")</f>
        <v/>
      </c>
      <c r="DV122" s="23" t="str">
        <f aca="false">IF(TRIM($A122)="","",IFERROR(INDEX($A$2:$A$201,MATCH(AW122,$DU$2:$DU$201,0))&amp;"",$A122&amp;""))</f>
        <v/>
      </c>
      <c r="DW122" s="23" t="n">
        <f aca="false">IF(AY122=1,IF(COUNTIFS($A$2:$A$201,$A122,$AY$2:$AY$201,1,$H$2:$H$201,"&lt;"&amp;H122)+COUNTIFS($A$2:$A$201,$A122,$AY$2:$AY$201,1,$H$2:$H$201,H122,$AX$2:$AX$201,"&lt;"&amp;AX122)=0,1,0),0)</f>
        <v>0</v>
      </c>
      <c r="DX122" s="23" t="n">
        <f aca="false">IF(AZ122=1,IF(COUNTIFS($AW$2:$AW$201,AW122,$DW$2:$DW$201,1)&gt;1,1,0),0)</f>
        <v>0</v>
      </c>
    </row>
    <row r="123" customFormat="false" ht="15" hidden="false" customHeight="false" outlineLevel="0" collapsed="false">
      <c r="G123" s="32"/>
      <c r="H123" s="33"/>
      <c r="I123" s="32"/>
      <c r="O123" s="32"/>
      <c r="P123" s="32"/>
      <c r="U123" s="32"/>
      <c r="Y123" s="32"/>
      <c r="AB123" s="32"/>
      <c r="AC123" s="32"/>
      <c r="AD123" s="32"/>
      <c r="AE123" s="32"/>
      <c r="AF123" s="32"/>
      <c r="AG123" s="32"/>
      <c r="AI123" s="32"/>
      <c r="AJ123" s="32"/>
      <c r="AK123" s="32"/>
      <c r="AN123" s="32"/>
      <c r="AO123" s="32"/>
      <c r="AR123" s="32"/>
      <c r="AT123" s="32"/>
      <c r="AV123" s="34" t="str">
        <f aca="false">IF(TRIM($A123)="","",IF(AND(LEFT($A123,6)="SAMPLE",Config!$B$19&lt;&gt;"Y"),"",IF(NOT(ISNUMBER(H123)),"call_date is blank or not a date",IF(Sync!$D$5="","Clay paste is empty or has no row_id column: paste the Clay export on Clay_Brands",IF(CM123="","row_id not found in the Clay paste: add the Clay row or fix the row_id",IF(AND(ISNUMBER(CO123),CO123&gt;=1,CO123&lt;=5),"Clay status is "&amp;CN123&amp;": set call_done or later",IF(AND(BA123=1,CP123&lt;&gt;CB123),"Clay yes_in_principle should be "&amp;CB123,IF(AND(BA123=1,CQ123&lt;&gt;H123),"Clay call_date should be "&amp;TEXT(H123,"yyyy-mm-dd"),""))))))))</f>
        <v/>
      </c>
      <c r="AW123" s="23" t="str">
        <f aca="false">IF(TRIM($A123)="","",IF(TRIM(C123)&lt;&gt;"",SUBSTITUTE(SUBSTITUTE(SUBSTITUTE(SUBSTITUTE(SUBSTITUTE(SUBSTITUTE(LOWER(TRIM(C123)),"~",""),"*",""),"?",""),"&lt;",""),"&gt;",""),"=",""),IF(DS123&lt;&gt;"",DS123,IFERROR(INDEX($DS$2:$DS$201,MATCH(DR123,$DT$2:$DT$201,0)),DR123))))</f>
        <v/>
      </c>
      <c r="AX123" s="23" t="n">
        <f aca="false">ROW()</f>
        <v>123</v>
      </c>
      <c r="AY123" s="23" t="n">
        <f aca="false">IF(AND(TRIM($A123)&lt;&gt;"",ISNUMBER(H123)),IF(AND(LEFT($A123,6)="SAMPLE",Config!$B$19&lt;&gt;"Y"),0,1),0)</f>
        <v>0</v>
      </c>
      <c r="AZ123" s="23" t="n">
        <f aca="false">IF(AY123=1,IF(COUNTIFS($AW$2:$AW$201,AW123,$AY$2:$AY$201,1,$H$2:$H$201,"&lt;"&amp;H123)+COUNTIFS($AW$2:$AW$201,AW123,$AY$2:$AY$201,1,$H$2:$H$201,H123,$AX$2:$AX$201,"&lt;"&amp;AX123)=0,1,0),0)</f>
        <v>0</v>
      </c>
      <c r="BA123" s="23" t="n">
        <f aca="false">IF(AY123=1,IF(COUNTIFS($A$2:$A$201,$A123,$AY$2:$AY$201,1,$H$2:$H$201,"&gt;"&amp;H123)+COUNTIFS($A$2:$A$201,$A123,$AY$2:$AY$201,1,$H$2:$H$201,H123,$AX$2:$AX$201,"&gt;"&amp;AX123)=0,1,0),0)</f>
        <v>0</v>
      </c>
      <c r="BB123" s="23" t="n">
        <f aca="false">IF(AND(AY123=1,O123="Y",MAX(N(R123),N(V123))&gt;=Config!$B$14),1,0)</f>
        <v>0</v>
      </c>
      <c r="BC123" s="23" t="n">
        <f aca="false">IF(BB123=1,IF(COUNTIFS($AW$2:$AW$201,AW123,$BB$2:$BB$201,1,$H$2:$H$201,"&lt;"&amp;H123)+COUNTIFS($AW$2:$AW$201,AW123,$BB$2:$BB$201,1,$H$2:$H$201,H123,$AX$2:$AX$201,"&lt;"&amp;AX123)=0,1,0),0)</f>
        <v>0</v>
      </c>
      <c r="BD123" s="23" t="n">
        <f aca="false">IF(AND(AY123=1,O123="Y",ISNUMBER(R123)),IF(R123&gt;=Config!$B$14,1,0),0)</f>
        <v>0</v>
      </c>
      <c r="BE123" s="23" t="n">
        <f aca="false">IF(BD123=1,IF(COUNTIFS($AW$2:$AW$201,AW123,$BD$2:$BD$201,1,$H$2:$H$201,"&lt;"&amp;H123)+COUNTIFS($AW$2:$AW$201,AW123,$BD$2:$BD$201,1,$H$2:$H$201,H123,$AX$2:$AX$201,"&lt;"&amp;AX123)=0,1,0),0)</f>
        <v>0</v>
      </c>
      <c r="BF123" s="23" t="n">
        <f aca="false">IF(AND(AY123=1,O123&lt;&gt;"Y",MAX(N(R123),N(V123))&gt;=Config!$B$14),1,0)</f>
        <v>0</v>
      </c>
      <c r="BG123" s="23" t="n">
        <f aca="false">IF(BF123=1,IF(COUNTIFS($AW$2:$AW$201,AW123,$BF$2:$BF$201,1,$H$2:$H$201,"&lt;"&amp;H123)+COUNTIFS($AW$2:$AW$201,AW123,$BF$2:$BF$201,1,$H$2:$H$201,H123,$AX$2:$AX$201,"&lt;"&amp;AX123)=0,1,0),0)</f>
        <v>0</v>
      </c>
      <c r="BH123" s="23" t="n">
        <f aca="false">IF(AND(AY123=1,ISNUMBER(R123)),1,0)</f>
        <v>0</v>
      </c>
      <c r="BI123" s="23" t="n">
        <f aca="false">IF(BH123=1,IF(COUNTIFS($AW$2:$AW$201,AW123,$BH$2:$BH$201,1,$H$2:$H$201,"&lt;"&amp;H123)+COUNTIFS($AW$2:$AW$201,AW123,$BH$2:$BH$201,1,$H$2:$H$201,H123,$AX$2:$AX$201,"&lt;"&amp;AX123)=0,1,0),0)</f>
        <v>0</v>
      </c>
      <c r="BJ123" s="23" t="str">
        <f aca="false">IF(AND(BI123=1,INT(N(H123))&lt;=Config!$B$6),R123,"")</f>
        <v/>
      </c>
      <c r="BK123" s="23" t="str">
        <f aca="false">IF(AND(BI123=1,INT(N(H123))&lt;=Config!$B$7),R123,"")</f>
        <v/>
      </c>
      <c r="BL123" s="23" t="str">
        <f aca="false">IF(AND(BI123=1,INT(N(H123))&lt;=Config!$B$8),R123,"")</f>
        <v/>
      </c>
      <c r="BM123" s="23" t="str">
        <f aca="false">IF(AND(BI123=1,INT(N(H123))&lt;=Config!$B$5),R123,"")</f>
        <v/>
      </c>
      <c r="BN123" s="23" t="n">
        <f aca="false">IF(AND(AY123=1,ISNUMBER(V123)),1,0)</f>
        <v>0</v>
      </c>
      <c r="BO123" s="23" t="n">
        <f aca="false">IF(BN123=1,IF(COUNTIFS($AW$2:$AW$201,AW123,$BN$2:$BN$201,1,$H$2:$H$201,"&lt;"&amp;H123)+COUNTIFS($AW$2:$AW$201,AW123,$BN$2:$BN$201,1,$H$2:$H$201,H123,$AX$2:$AX$201,"&lt;"&amp;AX123)=0,1,0),0)</f>
        <v>0</v>
      </c>
      <c r="BP123" s="23" t="str">
        <f aca="false">IF(AND(BO123=1,INT(N(H123))&lt;=Config!$B$6),V123,"")</f>
        <v/>
      </c>
      <c r="BQ123" s="23" t="str">
        <f aca="false">IF(AND(BO123=1,INT(N(H123))&lt;=Config!$B$7),V123,"")</f>
        <v/>
      </c>
      <c r="BR123" s="23" t="str">
        <f aca="false">IF(AND(BO123=1,INT(N(H123))&lt;=Config!$B$8),V123,"")</f>
        <v/>
      </c>
      <c r="BS123" s="23" t="str">
        <f aca="false">IF(AND(BO123=1,INT(N(H123))&lt;=Config!$B$5),V123,"")</f>
        <v/>
      </c>
      <c r="BT123" s="23" t="n">
        <f aca="false">IF(AND(AY123=1,ISNUMBER(K123)),1,0)</f>
        <v>0</v>
      </c>
      <c r="BU123" s="23" t="n">
        <f aca="false">IF(BT123=1,IF(COUNTIFS($AW$2:$AW$201,AW123,$BT$2:$BT$201,1,$H$2:$H$201,"&lt;"&amp;H123)+COUNTIFS($AW$2:$AW$201,AW123,$BT$2:$BT$201,1,$H$2:$H$201,H123,$AX$2:$AX$201,"&lt;"&amp;AX123)=0,1,0),0)</f>
        <v>0</v>
      </c>
      <c r="BV123" s="23" t="str">
        <f aca="false">IF(AND(BU123=1,INT(N(H123))&lt;=Config!$B$5),K123,"")</f>
        <v/>
      </c>
      <c r="BW123" s="23" t="n">
        <f aca="false">IF(AND(AY123=1,OR(AND(ISNUMBER(R123),TRIM(S123)=""),AND(ISNUMBER(V123),TRIM(W123)=""))),1,0)</f>
        <v>0</v>
      </c>
      <c r="BX123" s="23" t="str">
        <f aca="false">IF(AY123=1,AJ123&amp;"","")</f>
        <v/>
      </c>
      <c r="BY123" s="23" t="str">
        <f aca="false">IF(AY123=1,AK123&amp;"","")</f>
        <v/>
      </c>
      <c r="BZ123" s="23" t="str">
        <f aca="false">IF(AY123=1,AL123&amp;"","")</f>
        <v/>
      </c>
      <c r="CA123" s="23" t="str">
        <f aca="false">IF(AND(AY123=1,ISNUMBER(AS123),INT(N(H123))&lt;=Config!$B$5),AS123,"")</f>
        <v/>
      </c>
      <c r="CB123" s="23" t="str">
        <f aca="false">IF(AY123=1,IF(COUNTIFS($A$2:$A$201,$A123,$CU$2:$CU$201,1,$AN$2:$AN$201,"Y")&gt;0,"Y","N"),"")</f>
        <v/>
      </c>
      <c r="CC123" s="23" t="n">
        <f aca="false">IF(AND(AY123=1,AN123="Y"),IF(COUNTIFS($AW$2:$AW$201,AW123,$AN$2:$AN$201,"Y",$AY$2:$AY$201,1,$H$2:$H$201,"&lt;"&amp;H123)+COUNTIFS($AW$2:$AW$201,AW123,$AN$2:$AN$201,"Y",$AY$2:$AY$201,1,$H$2:$H$201,H123,$AX$2:$AX$201,"&lt;"&amp;AX123)=0,1,0),0)</f>
        <v>0</v>
      </c>
      <c r="CD123" s="23" t="n">
        <f aca="false">IF(AND(AY123=1,AB123="Y",AC123="Y",AD123="Y",AE123="Y",AF123="Y",AG123="Y",AI123="Y",TRIM(AH123)&lt;&gt;""),1,0)</f>
        <v>0</v>
      </c>
      <c r="CE123" s="23" t="n">
        <f aca="false">IF(CD123=1,IF(COUNTIFS($AW$2:$AW$201,AW123,$CD$2:$CD$201,1,$H$2:$H$201,"&lt;"&amp;H123)+COUNTIFS($AW$2:$AW$201,AW123,$CD$2:$CD$201,1,$H$2:$H$201,H123,$AX$2:$AX$201,"&lt;"&amp;AX123)=0,1,0),0)</f>
        <v>0</v>
      </c>
      <c r="CF123" s="23" t="n">
        <f aca="false">IF(AND(AY123=1,AO123="Y"),1,0)</f>
        <v>0</v>
      </c>
      <c r="CG123" s="23" t="n">
        <f aca="false">IF(CF123=1,IF(COUNTIFS($AW$2:$AW$201,AW123,$CF$2:$CF$201,1,$H$2:$H$201,"&lt;"&amp;H123)+COUNTIFS($AW$2:$AW$201,AW123,$CF$2:$CF$201,1,$H$2:$H$201,H123,$AX$2:$AX$201,"&lt;"&amp;AX123)=0,1,0),0)</f>
        <v>0</v>
      </c>
      <c r="CH123" s="23" t="n">
        <f aca="false">IF(AND(AY123=1,P123="Y"),1,0)</f>
        <v>0</v>
      </c>
      <c r="CI123" s="23" t="n">
        <f aca="false">IF(CH123=1,IF(COUNTIFS($AW$2:$AW$201,AW123,$CH$2:$CH$201,1,$H$2:$H$201,"&lt;"&amp;H123)+COUNTIFS($AW$2:$AW$201,AW123,$CH$2:$CH$201,1,$H$2:$H$201,H123,$AX$2:$AX$201,"&lt;"&amp;AX123)=0,1,0),0)</f>
        <v>0</v>
      </c>
      <c r="CJ123" s="23" t="str">
        <f aca="false">IF(AND(BU123=1,INT(N(H123))&lt;=Config!$B$5),L123,"")</f>
        <v/>
      </c>
      <c r="CK123" s="23" t="n">
        <f aca="false">IF(AND(AY123=1,AR123="Y"),1,0)</f>
        <v>0</v>
      </c>
      <c r="CL123" s="23" t="n">
        <f aca="false">IF(CK123=1,IF(COUNTIFS($AW$2:$AW$201,AW123,$CK$2:$CK$201,1,$H$2:$H$201,"&lt;"&amp;H123)+COUNTIFS($AW$2:$AW$201,AW123,$CK$2:$CK$201,1,$H$2:$H$201,H123,$AX$2:$AX$201,"&lt;"&amp;AX123)=0,1,0),0)</f>
        <v>0</v>
      </c>
      <c r="CM123" s="23" t="str">
        <f aca="false">IF(AY123=1,IFERROR(MATCH($A123,INDEX(Clay_Brands!$A$2:$FZ$601,0,Sync!$D$5),0),""),"")</f>
        <v/>
      </c>
      <c r="CN123" s="23" t="str">
        <f aca="false">IF(CM123="","",IFERROR(INDEX(Clay_Brands!$A$2:$FZ$601,CM123,Sync!$D$7)&amp;"",""))</f>
        <v/>
      </c>
      <c r="CO123" s="23" t="str">
        <f aca="false">IF(CN123="","",IFERROR(INDEX(Lists!$K$2:$K$15,MATCH(CN123,Lists!$J$2:$J$15,0)),""))</f>
        <v/>
      </c>
      <c r="CP123" s="23" t="str">
        <f aca="false">IF(CM123="","",IFERROR(INDEX(Clay_Brands!$A$2:$FZ$601,CM123,Sync!$D$17)&amp;"",""))</f>
        <v/>
      </c>
      <c r="CQ123" s="35" t="str">
        <f aca="false">IF(CM123="","",IFERROR(N(INDEX(Clay_Brands!$A$2:$FZ$601,CM123,Sync!$D$16)),0))</f>
        <v/>
      </c>
      <c r="CR123" s="23" t="n">
        <f aca="false">IF(AND(AY123=1,OR(O123="N",AND(OR(ISNUMBER(R123),ISNUMBER(V123)),MAX(N(R123),N(V123))&lt;Config!$B$14))),1,0)</f>
        <v>0</v>
      </c>
      <c r="CS123" s="23" t="n">
        <f aca="false">IF(OR(BB123=1,CR123=1),1,0)</f>
        <v>0</v>
      </c>
      <c r="CT123" s="23" t="n">
        <f aca="false">IF(AND(AY123=1,OR(AN123="Y",AN123="N",AN123="maybe")),1,0)</f>
        <v>0</v>
      </c>
      <c r="CU123" s="23" t="n">
        <f aca="false">IF(AND(CT123=1),IF(COUNTIFS($A$2:$A$201,$A123,$CT$2:$CT$201,1,$H$2:$H$201,"&gt;"&amp;H123)+COUNTIFS($A$2:$A$201,$A123,$CT$2:$CT$201,1,$H$2:$H$201,H123,$AX$2:$AX$201,"&gt;"&amp;AX123)=0,1,0),0)</f>
        <v>0</v>
      </c>
      <c r="CV123" s="23" t="n">
        <f aca="false">IF(AND(CS123=1,INT(N(H123))&lt;=Config!$B$6),IF(COUNTIFS($AW$2:$AW$201,AW123,$CS$2:$CS$201,1,$H$2:$H$201,"&gt;"&amp;H123,$H$2:$H$201,"&lt;"&amp;(Config!$B$6+1))+COUNTIFS($AW$2:$AW$201,AW123,$CS$2:$CS$201,1,$H$2:$H$201,H123,$AX$2:$AX$201,"&gt;"&amp;AX123)=0,1,0),0)</f>
        <v>0</v>
      </c>
      <c r="CW123" s="23" t="n">
        <f aca="false">IF(AND(CS123=1,INT(N(H123))&lt;=Config!$B$7),IF(COUNTIFS($AW$2:$AW$201,AW123,$CS$2:$CS$201,1,$H$2:$H$201,"&gt;"&amp;H123,$H$2:$H$201,"&lt;"&amp;(Config!$B$7+1))+COUNTIFS($AW$2:$AW$201,AW123,$CS$2:$CS$201,1,$H$2:$H$201,H123,$AX$2:$AX$201,"&gt;"&amp;AX123)=0,1,0),0)</f>
        <v>0</v>
      </c>
      <c r="CX123" s="23" t="n">
        <f aca="false">IF(AND(CS123=1,INT(N(H123))&lt;=Config!$B$8),IF(COUNTIFS($AW$2:$AW$201,AW123,$CS$2:$CS$201,1,$H$2:$H$201,"&gt;"&amp;H123,$H$2:$H$201,"&lt;"&amp;(Config!$B$8+1))+COUNTIFS($AW$2:$AW$201,AW123,$CS$2:$CS$201,1,$H$2:$H$201,H123,$AX$2:$AX$201,"&gt;"&amp;AX123)=0,1,0),0)</f>
        <v>0</v>
      </c>
      <c r="CY123" s="23" t="n">
        <f aca="false">IF(AND(CS123=1,INT(N(H123))&lt;=Config!$B$5),IF(COUNTIFS($AW$2:$AW$201,AW123,$CS$2:$CS$201,1,$H$2:$H$201,"&gt;"&amp;H123,$H$2:$H$201,"&lt;"&amp;(Config!$B$5+1))+COUNTIFS($AW$2:$AW$201,AW123,$CS$2:$CS$201,1,$H$2:$H$201,H123,$AX$2:$AX$201,"&gt;"&amp;AX123)=0,1,0),0)</f>
        <v>0</v>
      </c>
      <c r="CZ123" s="23" t="n">
        <f aca="false">IF(AY123=1,IF(COUNTIFS($AW$2:$AW$201,AW123,$CV$2:$CV$201,1,$BB$2:$BB$201,1)&gt;0,1,0),0)</f>
        <v>0</v>
      </c>
      <c r="DA123" s="23" t="n">
        <f aca="false">IF(AY123=1,IF(COUNTIFS($AW$2:$AW$201,AW123,$CW$2:$CW$201,1,$BB$2:$BB$201,1)&gt;0,1,0),0)</f>
        <v>0</v>
      </c>
      <c r="DB123" s="23" t="n">
        <f aca="false">IF(AY123=1,IF(COUNTIFS($AW$2:$AW$201,AW123,$CX$2:$CX$201,1,$BB$2:$BB$201,1)&gt;0,1,0),0)</f>
        <v>0</v>
      </c>
      <c r="DC123" s="23" t="n">
        <f aca="false">IF(AY123=1,IF(COUNTIFS($AW$2:$AW$201,AW123,$CY$2:$CY$201,1,$BB$2:$BB$201,1)&gt;0,1,0),0)</f>
        <v>0</v>
      </c>
      <c r="DD123" s="23" t="n">
        <f aca="false">IF(AND(BC123=1,INT(N(H123))&lt;=Config!$B$6,CZ123=1),1,0)</f>
        <v>0</v>
      </c>
      <c r="DE123" s="23" t="n">
        <f aca="false">IF(AND(BC123=1,INT(N(H123))&lt;=Config!$B$7,DA123=1),1,0)</f>
        <v>0</v>
      </c>
      <c r="DF123" s="23" t="n">
        <f aca="false">IF(AND(BC123=1,INT(N(H123))&lt;=Config!$B$8,DB123=1),1,0)</f>
        <v>0</v>
      </c>
      <c r="DG123" s="23" t="n">
        <f aca="false">IF(AND(BC123=1,INT(N(H123))&lt;=Config!$B$5,DC123=1),1,0)</f>
        <v>0</v>
      </c>
      <c r="DH123" s="23" t="n">
        <f aca="false">IF(AND(BE123=1,INT(N(H123))&lt;=Config!$B$6,CZ123=1),1,0)</f>
        <v>0</v>
      </c>
      <c r="DI123" s="23" t="n">
        <f aca="false">IF(AND(BE123=1,INT(N(H123))&lt;=Config!$B$7,DA123=1),1,0)</f>
        <v>0</v>
      </c>
      <c r="DJ123" s="23" t="n">
        <f aca="false">IF(AND(BE123=1,INT(N(H123))&lt;=Config!$B$8,DB123=1),1,0)</f>
        <v>0</v>
      </c>
      <c r="DK123" s="23" t="n">
        <f aca="false">IF(AND(BE123=1,INT(N(H123))&lt;=Config!$B$5,DC123=1),1,0)</f>
        <v>0</v>
      </c>
      <c r="DL123" s="23" t="n">
        <f aca="false">IF(AND(BC123=1,INT(N(H123))&lt;=Config!$B$6,CZ123=0),1,0)</f>
        <v>0</v>
      </c>
      <c r="DM123" s="23" t="n">
        <f aca="false">IF(AND(BC123=1,INT(N(H123))&lt;=Config!$B$7,DA123=0),1,0)</f>
        <v>0</v>
      </c>
      <c r="DN123" s="23" t="n">
        <f aca="false">IF(AND(BC123=1,INT(N(H123))&lt;=Config!$B$8,DB123=0),1,0)</f>
        <v>0</v>
      </c>
      <c r="DO123" s="23" t="n">
        <f aca="false">IF(AND(BC123=1,INT(N(H123))&lt;=Config!$B$5,DC123=0),1,0)</f>
        <v>0</v>
      </c>
      <c r="DP123" s="23" t="n">
        <f aca="false">IF(TRIM($A123)="",0,ISTEXT(K123)+ISTEXT(L123)+ISTEXT(R123)+ISTEXT(V123)+ISTEXT(AP123)+ISTEXT(AS123))</f>
        <v>0</v>
      </c>
      <c r="DQ123" s="23" t="n">
        <f aca="false">IF(AY123=1,IF(H123&lt;&gt;INT(H123),1,0),0)</f>
        <v>0</v>
      </c>
      <c r="DR123" s="23" t="str">
        <f aca="false">IF(TRIM($A123)="","",IF(TRIM(B123)="",SUBSTITUTE(SUBSTITUTE(SUBSTITUTE(SUBSTITUTE(SUBSTITUTE(SUBSTITUTE(LOWER(TRIM($A123)),"~",""),"*",""),"?",""),"&lt;",""),"&gt;",""),"=",""),SUBSTITUTE(SUBSTITUTE(SUBSTITUTE(SUBSTITUTE(SUBSTITUTE(SUBSTITUTE(LOWER(TRIM(B123)),"~",""),"*",""),"?",""),"&lt;",""),"&gt;",""),"=","")))</f>
        <v/>
      </c>
      <c r="DS123" s="23" t="str">
        <f aca="false">IF(CM123="","",IFERROR(IF(LEFT(LOWER(TRIM(INDEX(Clay_Brands!$A$2:$FZ$601,CM123,Sync!$D$19)&amp;"")),4)="grp-",SUBSTITUTE(SUBSTITUTE(SUBSTITUTE(SUBSTITUTE(SUBSTITUTE(SUBSTITUTE(LOWER(TRIM(INDEX(Clay_Brands!$A$2:$FZ$601,CM123,Sync!$D$19)&amp;"")),"~",""),"*",""),"?",""),"&lt;",""),"&gt;",""),"=",""),""),""))</f>
        <v/>
      </c>
      <c r="DT123" s="23" t="str">
        <f aca="false">IF(DS123&lt;&gt;"",DR123,"")</f>
        <v/>
      </c>
      <c r="DU123" s="23" t="str">
        <f aca="false">IF(AZ123=1,AW123,"")</f>
        <v/>
      </c>
      <c r="DV123" s="23" t="str">
        <f aca="false">IF(TRIM($A123)="","",IFERROR(INDEX($A$2:$A$201,MATCH(AW123,$DU$2:$DU$201,0))&amp;"",$A123&amp;""))</f>
        <v/>
      </c>
      <c r="DW123" s="23" t="n">
        <f aca="false">IF(AY123=1,IF(COUNTIFS($A$2:$A$201,$A123,$AY$2:$AY$201,1,$H$2:$H$201,"&lt;"&amp;H123)+COUNTIFS($A$2:$A$201,$A123,$AY$2:$AY$201,1,$H$2:$H$201,H123,$AX$2:$AX$201,"&lt;"&amp;AX123)=0,1,0),0)</f>
        <v>0</v>
      </c>
      <c r="DX123" s="23" t="n">
        <f aca="false">IF(AZ123=1,IF(COUNTIFS($AW$2:$AW$201,AW123,$DW$2:$DW$201,1)&gt;1,1,0),0)</f>
        <v>0</v>
      </c>
    </row>
    <row r="124" customFormat="false" ht="15" hidden="false" customHeight="false" outlineLevel="0" collapsed="false">
      <c r="G124" s="32"/>
      <c r="H124" s="33"/>
      <c r="I124" s="32"/>
      <c r="O124" s="32"/>
      <c r="P124" s="32"/>
      <c r="U124" s="32"/>
      <c r="Y124" s="32"/>
      <c r="AB124" s="32"/>
      <c r="AC124" s="32"/>
      <c r="AD124" s="32"/>
      <c r="AE124" s="32"/>
      <c r="AF124" s="32"/>
      <c r="AG124" s="32"/>
      <c r="AI124" s="32"/>
      <c r="AJ124" s="32"/>
      <c r="AK124" s="32"/>
      <c r="AN124" s="32"/>
      <c r="AO124" s="32"/>
      <c r="AR124" s="32"/>
      <c r="AT124" s="32"/>
      <c r="AV124" s="34" t="str">
        <f aca="false">IF(TRIM($A124)="","",IF(AND(LEFT($A124,6)="SAMPLE",Config!$B$19&lt;&gt;"Y"),"",IF(NOT(ISNUMBER(H124)),"call_date is blank or not a date",IF(Sync!$D$5="","Clay paste is empty or has no row_id column: paste the Clay export on Clay_Brands",IF(CM124="","row_id not found in the Clay paste: add the Clay row or fix the row_id",IF(AND(ISNUMBER(CO124),CO124&gt;=1,CO124&lt;=5),"Clay status is "&amp;CN124&amp;": set call_done or later",IF(AND(BA124=1,CP124&lt;&gt;CB124),"Clay yes_in_principle should be "&amp;CB124,IF(AND(BA124=1,CQ124&lt;&gt;H124),"Clay call_date should be "&amp;TEXT(H124,"yyyy-mm-dd"),""))))))))</f>
        <v/>
      </c>
      <c r="AW124" s="23" t="str">
        <f aca="false">IF(TRIM($A124)="","",IF(TRIM(C124)&lt;&gt;"",SUBSTITUTE(SUBSTITUTE(SUBSTITUTE(SUBSTITUTE(SUBSTITUTE(SUBSTITUTE(LOWER(TRIM(C124)),"~",""),"*",""),"?",""),"&lt;",""),"&gt;",""),"=",""),IF(DS124&lt;&gt;"",DS124,IFERROR(INDEX($DS$2:$DS$201,MATCH(DR124,$DT$2:$DT$201,0)),DR124))))</f>
        <v/>
      </c>
      <c r="AX124" s="23" t="n">
        <f aca="false">ROW()</f>
        <v>124</v>
      </c>
      <c r="AY124" s="23" t="n">
        <f aca="false">IF(AND(TRIM($A124)&lt;&gt;"",ISNUMBER(H124)),IF(AND(LEFT($A124,6)="SAMPLE",Config!$B$19&lt;&gt;"Y"),0,1),0)</f>
        <v>0</v>
      </c>
      <c r="AZ124" s="23" t="n">
        <f aca="false">IF(AY124=1,IF(COUNTIFS($AW$2:$AW$201,AW124,$AY$2:$AY$201,1,$H$2:$H$201,"&lt;"&amp;H124)+COUNTIFS($AW$2:$AW$201,AW124,$AY$2:$AY$201,1,$H$2:$H$201,H124,$AX$2:$AX$201,"&lt;"&amp;AX124)=0,1,0),0)</f>
        <v>0</v>
      </c>
      <c r="BA124" s="23" t="n">
        <f aca="false">IF(AY124=1,IF(COUNTIFS($A$2:$A$201,$A124,$AY$2:$AY$201,1,$H$2:$H$201,"&gt;"&amp;H124)+COUNTIFS($A$2:$A$201,$A124,$AY$2:$AY$201,1,$H$2:$H$201,H124,$AX$2:$AX$201,"&gt;"&amp;AX124)=0,1,0),0)</f>
        <v>0</v>
      </c>
      <c r="BB124" s="23" t="n">
        <f aca="false">IF(AND(AY124=1,O124="Y",MAX(N(R124),N(V124))&gt;=Config!$B$14),1,0)</f>
        <v>0</v>
      </c>
      <c r="BC124" s="23" t="n">
        <f aca="false">IF(BB124=1,IF(COUNTIFS($AW$2:$AW$201,AW124,$BB$2:$BB$201,1,$H$2:$H$201,"&lt;"&amp;H124)+COUNTIFS($AW$2:$AW$201,AW124,$BB$2:$BB$201,1,$H$2:$H$201,H124,$AX$2:$AX$201,"&lt;"&amp;AX124)=0,1,0),0)</f>
        <v>0</v>
      </c>
      <c r="BD124" s="23" t="n">
        <f aca="false">IF(AND(AY124=1,O124="Y",ISNUMBER(R124)),IF(R124&gt;=Config!$B$14,1,0),0)</f>
        <v>0</v>
      </c>
      <c r="BE124" s="23" t="n">
        <f aca="false">IF(BD124=1,IF(COUNTIFS($AW$2:$AW$201,AW124,$BD$2:$BD$201,1,$H$2:$H$201,"&lt;"&amp;H124)+COUNTIFS($AW$2:$AW$201,AW124,$BD$2:$BD$201,1,$H$2:$H$201,H124,$AX$2:$AX$201,"&lt;"&amp;AX124)=0,1,0),0)</f>
        <v>0</v>
      </c>
      <c r="BF124" s="23" t="n">
        <f aca="false">IF(AND(AY124=1,O124&lt;&gt;"Y",MAX(N(R124),N(V124))&gt;=Config!$B$14),1,0)</f>
        <v>0</v>
      </c>
      <c r="BG124" s="23" t="n">
        <f aca="false">IF(BF124=1,IF(COUNTIFS($AW$2:$AW$201,AW124,$BF$2:$BF$201,1,$H$2:$H$201,"&lt;"&amp;H124)+COUNTIFS($AW$2:$AW$201,AW124,$BF$2:$BF$201,1,$H$2:$H$201,H124,$AX$2:$AX$201,"&lt;"&amp;AX124)=0,1,0),0)</f>
        <v>0</v>
      </c>
      <c r="BH124" s="23" t="n">
        <f aca="false">IF(AND(AY124=1,ISNUMBER(R124)),1,0)</f>
        <v>0</v>
      </c>
      <c r="BI124" s="23" t="n">
        <f aca="false">IF(BH124=1,IF(COUNTIFS($AW$2:$AW$201,AW124,$BH$2:$BH$201,1,$H$2:$H$201,"&lt;"&amp;H124)+COUNTIFS($AW$2:$AW$201,AW124,$BH$2:$BH$201,1,$H$2:$H$201,H124,$AX$2:$AX$201,"&lt;"&amp;AX124)=0,1,0),0)</f>
        <v>0</v>
      </c>
      <c r="BJ124" s="23" t="str">
        <f aca="false">IF(AND(BI124=1,INT(N(H124))&lt;=Config!$B$6),R124,"")</f>
        <v/>
      </c>
      <c r="BK124" s="23" t="str">
        <f aca="false">IF(AND(BI124=1,INT(N(H124))&lt;=Config!$B$7),R124,"")</f>
        <v/>
      </c>
      <c r="BL124" s="23" t="str">
        <f aca="false">IF(AND(BI124=1,INT(N(H124))&lt;=Config!$B$8),R124,"")</f>
        <v/>
      </c>
      <c r="BM124" s="23" t="str">
        <f aca="false">IF(AND(BI124=1,INT(N(H124))&lt;=Config!$B$5),R124,"")</f>
        <v/>
      </c>
      <c r="BN124" s="23" t="n">
        <f aca="false">IF(AND(AY124=1,ISNUMBER(V124)),1,0)</f>
        <v>0</v>
      </c>
      <c r="BO124" s="23" t="n">
        <f aca="false">IF(BN124=1,IF(COUNTIFS($AW$2:$AW$201,AW124,$BN$2:$BN$201,1,$H$2:$H$201,"&lt;"&amp;H124)+COUNTIFS($AW$2:$AW$201,AW124,$BN$2:$BN$201,1,$H$2:$H$201,H124,$AX$2:$AX$201,"&lt;"&amp;AX124)=0,1,0),0)</f>
        <v>0</v>
      </c>
      <c r="BP124" s="23" t="str">
        <f aca="false">IF(AND(BO124=1,INT(N(H124))&lt;=Config!$B$6),V124,"")</f>
        <v/>
      </c>
      <c r="BQ124" s="23" t="str">
        <f aca="false">IF(AND(BO124=1,INT(N(H124))&lt;=Config!$B$7),V124,"")</f>
        <v/>
      </c>
      <c r="BR124" s="23" t="str">
        <f aca="false">IF(AND(BO124=1,INT(N(H124))&lt;=Config!$B$8),V124,"")</f>
        <v/>
      </c>
      <c r="BS124" s="23" t="str">
        <f aca="false">IF(AND(BO124=1,INT(N(H124))&lt;=Config!$B$5),V124,"")</f>
        <v/>
      </c>
      <c r="BT124" s="23" t="n">
        <f aca="false">IF(AND(AY124=1,ISNUMBER(K124)),1,0)</f>
        <v>0</v>
      </c>
      <c r="BU124" s="23" t="n">
        <f aca="false">IF(BT124=1,IF(COUNTIFS($AW$2:$AW$201,AW124,$BT$2:$BT$201,1,$H$2:$H$201,"&lt;"&amp;H124)+COUNTIFS($AW$2:$AW$201,AW124,$BT$2:$BT$201,1,$H$2:$H$201,H124,$AX$2:$AX$201,"&lt;"&amp;AX124)=0,1,0),0)</f>
        <v>0</v>
      </c>
      <c r="BV124" s="23" t="str">
        <f aca="false">IF(AND(BU124=1,INT(N(H124))&lt;=Config!$B$5),K124,"")</f>
        <v/>
      </c>
      <c r="BW124" s="23" t="n">
        <f aca="false">IF(AND(AY124=1,OR(AND(ISNUMBER(R124),TRIM(S124)=""),AND(ISNUMBER(V124),TRIM(W124)=""))),1,0)</f>
        <v>0</v>
      </c>
      <c r="BX124" s="23" t="str">
        <f aca="false">IF(AY124=1,AJ124&amp;"","")</f>
        <v/>
      </c>
      <c r="BY124" s="23" t="str">
        <f aca="false">IF(AY124=1,AK124&amp;"","")</f>
        <v/>
      </c>
      <c r="BZ124" s="23" t="str">
        <f aca="false">IF(AY124=1,AL124&amp;"","")</f>
        <v/>
      </c>
      <c r="CA124" s="23" t="str">
        <f aca="false">IF(AND(AY124=1,ISNUMBER(AS124),INT(N(H124))&lt;=Config!$B$5),AS124,"")</f>
        <v/>
      </c>
      <c r="CB124" s="23" t="str">
        <f aca="false">IF(AY124=1,IF(COUNTIFS($A$2:$A$201,$A124,$CU$2:$CU$201,1,$AN$2:$AN$201,"Y")&gt;0,"Y","N"),"")</f>
        <v/>
      </c>
      <c r="CC124" s="23" t="n">
        <f aca="false">IF(AND(AY124=1,AN124="Y"),IF(COUNTIFS($AW$2:$AW$201,AW124,$AN$2:$AN$201,"Y",$AY$2:$AY$201,1,$H$2:$H$201,"&lt;"&amp;H124)+COUNTIFS($AW$2:$AW$201,AW124,$AN$2:$AN$201,"Y",$AY$2:$AY$201,1,$H$2:$H$201,H124,$AX$2:$AX$201,"&lt;"&amp;AX124)=0,1,0),0)</f>
        <v>0</v>
      </c>
      <c r="CD124" s="23" t="n">
        <f aca="false">IF(AND(AY124=1,AB124="Y",AC124="Y",AD124="Y",AE124="Y",AF124="Y",AG124="Y",AI124="Y",TRIM(AH124)&lt;&gt;""),1,0)</f>
        <v>0</v>
      </c>
      <c r="CE124" s="23" t="n">
        <f aca="false">IF(CD124=1,IF(COUNTIFS($AW$2:$AW$201,AW124,$CD$2:$CD$201,1,$H$2:$H$201,"&lt;"&amp;H124)+COUNTIFS($AW$2:$AW$201,AW124,$CD$2:$CD$201,1,$H$2:$H$201,H124,$AX$2:$AX$201,"&lt;"&amp;AX124)=0,1,0),0)</f>
        <v>0</v>
      </c>
      <c r="CF124" s="23" t="n">
        <f aca="false">IF(AND(AY124=1,AO124="Y"),1,0)</f>
        <v>0</v>
      </c>
      <c r="CG124" s="23" t="n">
        <f aca="false">IF(CF124=1,IF(COUNTIFS($AW$2:$AW$201,AW124,$CF$2:$CF$201,1,$H$2:$H$201,"&lt;"&amp;H124)+COUNTIFS($AW$2:$AW$201,AW124,$CF$2:$CF$201,1,$H$2:$H$201,H124,$AX$2:$AX$201,"&lt;"&amp;AX124)=0,1,0),0)</f>
        <v>0</v>
      </c>
      <c r="CH124" s="23" t="n">
        <f aca="false">IF(AND(AY124=1,P124="Y"),1,0)</f>
        <v>0</v>
      </c>
      <c r="CI124" s="23" t="n">
        <f aca="false">IF(CH124=1,IF(COUNTIFS($AW$2:$AW$201,AW124,$CH$2:$CH$201,1,$H$2:$H$201,"&lt;"&amp;H124)+COUNTIFS($AW$2:$AW$201,AW124,$CH$2:$CH$201,1,$H$2:$H$201,H124,$AX$2:$AX$201,"&lt;"&amp;AX124)=0,1,0),0)</f>
        <v>0</v>
      </c>
      <c r="CJ124" s="23" t="str">
        <f aca="false">IF(AND(BU124=1,INT(N(H124))&lt;=Config!$B$5),L124,"")</f>
        <v/>
      </c>
      <c r="CK124" s="23" t="n">
        <f aca="false">IF(AND(AY124=1,AR124="Y"),1,0)</f>
        <v>0</v>
      </c>
      <c r="CL124" s="23" t="n">
        <f aca="false">IF(CK124=1,IF(COUNTIFS($AW$2:$AW$201,AW124,$CK$2:$CK$201,1,$H$2:$H$201,"&lt;"&amp;H124)+COUNTIFS($AW$2:$AW$201,AW124,$CK$2:$CK$201,1,$H$2:$H$201,H124,$AX$2:$AX$201,"&lt;"&amp;AX124)=0,1,0),0)</f>
        <v>0</v>
      </c>
      <c r="CM124" s="23" t="str">
        <f aca="false">IF(AY124=1,IFERROR(MATCH($A124,INDEX(Clay_Brands!$A$2:$FZ$601,0,Sync!$D$5),0),""),"")</f>
        <v/>
      </c>
      <c r="CN124" s="23" t="str">
        <f aca="false">IF(CM124="","",IFERROR(INDEX(Clay_Brands!$A$2:$FZ$601,CM124,Sync!$D$7)&amp;"",""))</f>
        <v/>
      </c>
      <c r="CO124" s="23" t="str">
        <f aca="false">IF(CN124="","",IFERROR(INDEX(Lists!$K$2:$K$15,MATCH(CN124,Lists!$J$2:$J$15,0)),""))</f>
        <v/>
      </c>
      <c r="CP124" s="23" t="str">
        <f aca="false">IF(CM124="","",IFERROR(INDEX(Clay_Brands!$A$2:$FZ$601,CM124,Sync!$D$17)&amp;"",""))</f>
        <v/>
      </c>
      <c r="CQ124" s="35" t="str">
        <f aca="false">IF(CM124="","",IFERROR(N(INDEX(Clay_Brands!$A$2:$FZ$601,CM124,Sync!$D$16)),0))</f>
        <v/>
      </c>
      <c r="CR124" s="23" t="n">
        <f aca="false">IF(AND(AY124=1,OR(O124="N",AND(OR(ISNUMBER(R124),ISNUMBER(V124)),MAX(N(R124),N(V124))&lt;Config!$B$14))),1,0)</f>
        <v>0</v>
      </c>
      <c r="CS124" s="23" t="n">
        <f aca="false">IF(OR(BB124=1,CR124=1),1,0)</f>
        <v>0</v>
      </c>
      <c r="CT124" s="23" t="n">
        <f aca="false">IF(AND(AY124=1,OR(AN124="Y",AN124="N",AN124="maybe")),1,0)</f>
        <v>0</v>
      </c>
      <c r="CU124" s="23" t="n">
        <f aca="false">IF(AND(CT124=1),IF(COUNTIFS($A$2:$A$201,$A124,$CT$2:$CT$201,1,$H$2:$H$201,"&gt;"&amp;H124)+COUNTIFS($A$2:$A$201,$A124,$CT$2:$CT$201,1,$H$2:$H$201,H124,$AX$2:$AX$201,"&gt;"&amp;AX124)=0,1,0),0)</f>
        <v>0</v>
      </c>
      <c r="CV124" s="23" t="n">
        <f aca="false">IF(AND(CS124=1,INT(N(H124))&lt;=Config!$B$6),IF(COUNTIFS($AW$2:$AW$201,AW124,$CS$2:$CS$201,1,$H$2:$H$201,"&gt;"&amp;H124,$H$2:$H$201,"&lt;"&amp;(Config!$B$6+1))+COUNTIFS($AW$2:$AW$201,AW124,$CS$2:$CS$201,1,$H$2:$H$201,H124,$AX$2:$AX$201,"&gt;"&amp;AX124)=0,1,0),0)</f>
        <v>0</v>
      </c>
      <c r="CW124" s="23" t="n">
        <f aca="false">IF(AND(CS124=1,INT(N(H124))&lt;=Config!$B$7),IF(COUNTIFS($AW$2:$AW$201,AW124,$CS$2:$CS$201,1,$H$2:$H$201,"&gt;"&amp;H124,$H$2:$H$201,"&lt;"&amp;(Config!$B$7+1))+COUNTIFS($AW$2:$AW$201,AW124,$CS$2:$CS$201,1,$H$2:$H$201,H124,$AX$2:$AX$201,"&gt;"&amp;AX124)=0,1,0),0)</f>
        <v>0</v>
      </c>
      <c r="CX124" s="23" t="n">
        <f aca="false">IF(AND(CS124=1,INT(N(H124))&lt;=Config!$B$8),IF(COUNTIFS($AW$2:$AW$201,AW124,$CS$2:$CS$201,1,$H$2:$H$201,"&gt;"&amp;H124,$H$2:$H$201,"&lt;"&amp;(Config!$B$8+1))+COUNTIFS($AW$2:$AW$201,AW124,$CS$2:$CS$201,1,$H$2:$H$201,H124,$AX$2:$AX$201,"&gt;"&amp;AX124)=0,1,0),0)</f>
        <v>0</v>
      </c>
      <c r="CY124" s="23" t="n">
        <f aca="false">IF(AND(CS124=1,INT(N(H124))&lt;=Config!$B$5),IF(COUNTIFS($AW$2:$AW$201,AW124,$CS$2:$CS$201,1,$H$2:$H$201,"&gt;"&amp;H124,$H$2:$H$201,"&lt;"&amp;(Config!$B$5+1))+COUNTIFS($AW$2:$AW$201,AW124,$CS$2:$CS$201,1,$H$2:$H$201,H124,$AX$2:$AX$201,"&gt;"&amp;AX124)=0,1,0),0)</f>
        <v>0</v>
      </c>
      <c r="CZ124" s="23" t="n">
        <f aca="false">IF(AY124=1,IF(COUNTIFS($AW$2:$AW$201,AW124,$CV$2:$CV$201,1,$BB$2:$BB$201,1)&gt;0,1,0),0)</f>
        <v>0</v>
      </c>
      <c r="DA124" s="23" t="n">
        <f aca="false">IF(AY124=1,IF(COUNTIFS($AW$2:$AW$201,AW124,$CW$2:$CW$201,1,$BB$2:$BB$201,1)&gt;0,1,0),0)</f>
        <v>0</v>
      </c>
      <c r="DB124" s="23" t="n">
        <f aca="false">IF(AY124=1,IF(COUNTIFS($AW$2:$AW$201,AW124,$CX$2:$CX$201,1,$BB$2:$BB$201,1)&gt;0,1,0),0)</f>
        <v>0</v>
      </c>
      <c r="DC124" s="23" t="n">
        <f aca="false">IF(AY124=1,IF(COUNTIFS($AW$2:$AW$201,AW124,$CY$2:$CY$201,1,$BB$2:$BB$201,1)&gt;0,1,0),0)</f>
        <v>0</v>
      </c>
      <c r="DD124" s="23" t="n">
        <f aca="false">IF(AND(BC124=1,INT(N(H124))&lt;=Config!$B$6,CZ124=1),1,0)</f>
        <v>0</v>
      </c>
      <c r="DE124" s="23" t="n">
        <f aca="false">IF(AND(BC124=1,INT(N(H124))&lt;=Config!$B$7,DA124=1),1,0)</f>
        <v>0</v>
      </c>
      <c r="DF124" s="23" t="n">
        <f aca="false">IF(AND(BC124=1,INT(N(H124))&lt;=Config!$B$8,DB124=1),1,0)</f>
        <v>0</v>
      </c>
      <c r="DG124" s="23" t="n">
        <f aca="false">IF(AND(BC124=1,INT(N(H124))&lt;=Config!$B$5,DC124=1),1,0)</f>
        <v>0</v>
      </c>
      <c r="DH124" s="23" t="n">
        <f aca="false">IF(AND(BE124=1,INT(N(H124))&lt;=Config!$B$6,CZ124=1),1,0)</f>
        <v>0</v>
      </c>
      <c r="DI124" s="23" t="n">
        <f aca="false">IF(AND(BE124=1,INT(N(H124))&lt;=Config!$B$7,DA124=1),1,0)</f>
        <v>0</v>
      </c>
      <c r="DJ124" s="23" t="n">
        <f aca="false">IF(AND(BE124=1,INT(N(H124))&lt;=Config!$B$8,DB124=1),1,0)</f>
        <v>0</v>
      </c>
      <c r="DK124" s="23" t="n">
        <f aca="false">IF(AND(BE124=1,INT(N(H124))&lt;=Config!$B$5,DC124=1),1,0)</f>
        <v>0</v>
      </c>
      <c r="DL124" s="23" t="n">
        <f aca="false">IF(AND(BC124=1,INT(N(H124))&lt;=Config!$B$6,CZ124=0),1,0)</f>
        <v>0</v>
      </c>
      <c r="DM124" s="23" t="n">
        <f aca="false">IF(AND(BC124=1,INT(N(H124))&lt;=Config!$B$7,DA124=0),1,0)</f>
        <v>0</v>
      </c>
      <c r="DN124" s="23" t="n">
        <f aca="false">IF(AND(BC124=1,INT(N(H124))&lt;=Config!$B$8,DB124=0),1,0)</f>
        <v>0</v>
      </c>
      <c r="DO124" s="23" t="n">
        <f aca="false">IF(AND(BC124=1,INT(N(H124))&lt;=Config!$B$5,DC124=0),1,0)</f>
        <v>0</v>
      </c>
      <c r="DP124" s="23" t="n">
        <f aca="false">IF(TRIM($A124)="",0,ISTEXT(K124)+ISTEXT(L124)+ISTEXT(R124)+ISTEXT(V124)+ISTEXT(AP124)+ISTEXT(AS124))</f>
        <v>0</v>
      </c>
      <c r="DQ124" s="23" t="n">
        <f aca="false">IF(AY124=1,IF(H124&lt;&gt;INT(H124),1,0),0)</f>
        <v>0</v>
      </c>
      <c r="DR124" s="23" t="str">
        <f aca="false">IF(TRIM($A124)="","",IF(TRIM(B124)="",SUBSTITUTE(SUBSTITUTE(SUBSTITUTE(SUBSTITUTE(SUBSTITUTE(SUBSTITUTE(LOWER(TRIM($A124)),"~",""),"*",""),"?",""),"&lt;",""),"&gt;",""),"=",""),SUBSTITUTE(SUBSTITUTE(SUBSTITUTE(SUBSTITUTE(SUBSTITUTE(SUBSTITUTE(LOWER(TRIM(B124)),"~",""),"*",""),"?",""),"&lt;",""),"&gt;",""),"=","")))</f>
        <v/>
      </c>
      <c r="DS124" s="23" t="str">
        <f aca="false">IF(CM124="","",IFERROR(IF(LEFT(LOWER(TRIM(INDEX(Clay_Brands!$A$2:$FZ$601,CM124,Sync!$D$19)&amp;"")),4)="grp-",SUBSTITUTE(SUBSTITUTE(SUBSTITUTE(SUBSTITUTE(SUBSTITUTE(SUBSTITUTE(LOWER(TRIM(INDEX(Clay_Brands!$A$2:$FZ$601,CM124,Sync!$D$19)&amp;"")),"~",""),"*",""),"?",""),"&lt;",""),"&gt;",""),"=",""),""),""))</f>
        <v/>
      </c>
      <c r="DT124" s="23" t="str">
        <f aca="false">IF(DS124&lt;&gt;"",DR124,"")</f>
        <v/>
      </c>
      <c r="DU124" s="23" t="str">
        <f aca="false">IF(AZ124=1,AW124,"")</f>
        <v/>
      </c>
      <c r="DV124" s="23" t="str">
        <f aca="false">IF(TRIM($A124)="","",IFERROR(INDEX($A$2:$A$201,MATCH(AW124,$DU$2:$DU$201,0))&amp;"",$A124&amp;""))</f>
        <v/>
      </c>
      <c r="DW124" s="23" t="n">
        <f aca="false">IF(AY124=1,IF(COUNTIFS($A$2:$A$201,$A124,$AY$2:$AY$201,1,$H$2:$H$201,"&lt;"&amp;H124)+COUNTIFS($A$2:$A$201,$A124,$AY$2:$AY$201,1,$H$2:$H$201,H124,$AX$2:$AX$201,"&lt;"&amp;AX124)=0,1,0),0)</f>
        <v>0</v>
      </c>
      <c r="DX124" s="23" t="n">
        <f aca="false">IF(AZ124=1,IF(COUNTIFS($AW$2:$AW$201,AW124,$DW$2:$DW$201,1)&gt;1,1,0),0)</f>
        <v>0</v>
      </c>
    </row>
    <row r="125" customFormat="false" ht="15" hidden="false" customHeight="false" outlineLevel="0" collapsed="false">
      <c r="G125" s="32"/>
      <c r="H125" s="33"/>
      <c r="I125" s="32"/>
      <c r="O125" s="32"/>
      <c r="P125" s="32"/>
      <c r="U125" s="32"/>
      <c r="Y125" s="32"/>
      <c r="AB125" s="32"/>
      <c r="AC125" s="32"/>
      <c r="AD125" s="32"/>
      <c r="AE125" s="32"/>
      <c r="AF125" s="32"/>
      <c r="AG125" s="32"/>
      <c r="AI125" s="32"/>
      <c r="AJ125" s="32"/>
      <c r="AK125" s="32"/>
      <c r="AN125" s="32"/>
      <c r="AO125" s="32"/>
      <c r="AR125" s="32"/>
      <c r="AT125" s="32"/>
      <c r="AV125" s="34" t="str">
        <f aca="false">IF(TRIM($A125)="","",IF(AND(LEFT($A125,6)="SAMPLE",Config!$B$19&lt;&gt;"Y"),"",IF(NOT(ISNUMBER(H125)),"call_date is blank or not a date",IF(Sync!$D$5="","Clay paste is empty or has no row_id column: paste the Clay export on Clay_Brands",IF(CM125="","row_id not found in the Clay paste: add the Clay row or fix the row_id",IF(AND(ISNUMBER(CO125),CO125&gt;=1,CO125&lt;=5),"Clay status is "&amp;CN125&amp;": set call_done or later",IF(AND(BA125=1,CP125&lt;&gt;CB125),"Clay yes_in_principle should be "&amp;CB125,IF(AND(BA125=1,CQ125&lt;&gt;H125),"Clay call_date should be "&amp;TEXT(H125,"yyyy-mm-dd"),""))))))))</f>
        <v/>
      </c>
      <c r="AW125" s="23" t="str">
        <f aca="false">IF(TRIM($A125)="","",IF(TRIM(C125)&lt;&gt;"",SUBSTITUTE(SUBSTITUTE(SUBSTITUTE(SUBSTITUTE(SUBSTITUTE(SUBSTITUTE(LOWER(TRIM(C125)),"~",""),"*",""),"?",""),"&lt;",""),"&gt;",""),"=",""),IF(DS125&lt;&gt;"",DS125,IFERROR(INDEX($DS$2:$DS$201,MATCH(DR125,$DT$2:$DT$201,0)),DR125))))</f>
        <v/>
      </c>
      <c r="AX125" s="23" t="n">
        <f aca="false">ROW()</f>
        <v>125</v>
      </c>
      <c r="AY125" s="23" t="n">
        <f aca="false">IF(AND(TRIM($A125)&lt;&gt;"",ISNUMBER(H125)),IF(AND(LEFT($A125,6)="SAMPLE",Config!$B$19&lt;&gt;"Y"),0,1),0)</f>
        <v>0</v>
      </c>
      <c r="AZ125" s="23" t="n">
        <f aca="false">IF(AY125=1,IF(COUNTIFS($AW$2:$AW$201,AW125,$AY$2:$AY$201,1,$H$2:$H$201,"&lt;"&amp;H125)+COUNTIFS($AW$2:$AW$201,AW125,$AY$2:$AY$201,1,$H$2:$H$201,H125,$AX$2:$AX$201,"&lt;"&amp;AX125)=0,1,0),0)</f>
        <v>0</v>
      </c>
      <c r="BA125" s="23" t="n">
        <f aca="false">IF(AY125=1,IF(COUNTIFS($A$2:$A$201,$A125,$AY$2:$AY$201,1,$H$2:$H$201,"&gt;"&amp;H125)+COUNTIFS($A$2:$A$201,$A125,$AY$2:$AY$201,1,$H$2:$H$201,H125,$AX$2:$AX$201,"&gt;"&amp;AX125)=0,1,0),0)</f>
        <v>0</v>
      </c>
      <c r="BB125" s="23" t="n">
        <f aca="false">IF(AND(AY125=1,O125="Y",MAX(N(R125),N(V125))&gt;=Config!$B$14),1,0)</f>
        <v>0</v>
      </c>
      <c r="BC125" s="23" t="n">
        <f aca="false">IF(BB125=1,IF(COUNTIFS($AW$2:$AW$201,AW125,$BB$2:$BB$201,1,$H$2:$H$201,"&lt;"&amp;H125)+COUNTIFS($AW$2:$AW$201,AW125,$BB$2:$BB$201,1,$H$2:$H$201,H125,$AX$2:$AX$201,"&lt;"&amp;AX125)=0,1,0),0)</f>
        <v>0</v>
      </c>
      <c r="BD125" s="23" t="n">
        <f aca="false">IF(AND(AY125=1,O125="Y",ISNUMBER(R125)),IF(R125&gt;=Config!$B$14,1,0),0)</f>
        <v>0</v>
      </c>
      <c r="BE125" s="23" t="n">
        <f aca="false">IF(BD125=1,IF(COUNTIFS($AW$2:$AW$201,AW125,$BD$2:$BD$201,1,$H$2:$H$201,"&lt;"&amp;H125)+COUNTIFS($AW$2:$AW$201,AW125,$BD$2:$BD$201,1,$H$2:$H$201,H125,$AX$2:$AX$201,"&lt;"&amp;AX125)=0,1,0),0)</f>
        <v>0</v>
      </c>
      <c r="BF125" s="23" t="n">
        <f aca="false">IF(AND(AY125=1,O125&lt;&gt;"Y",MAX(N(R125),N(V125))&gt;=Config!$B$14),1,0)</f>
        <v>0</v>
      </c>
      <c r="BG125" s="23" t="n">
        <f aca="false">IF(BF125=1,IF(COUNTIFS($AW$2:$AW$201,AW125,$BF$2:$BF$201,1,$H$2:$H$201,"&lt;"&amp;H125)+COUNTIFS($AW$2:$AW$201,AW125,$BF$2:$BF$201,1,$H$2:$H$201,H125,$AX$2:$AX$201,"&lt;"&amp;AX125)=0,1,0),0)</f>
        <v>0</v>
      </c>
      <c r="BH125" s="23" t="n">
        <f aca="false">IF(AND(AY125=1,ISNUMBER(R125)),1,0)</f>
        <v>0</v>
      </c>
      <c r="BI125" s="23" t="n">
        <f aca="false">IF(BH125=1,IF(COUNTIFS($AW$2:$AW$201,AW125,$BH$2:$BH$201,1,$H$2:$H$201,"&lt;"&amp;H125)+COUNTIFS($AW$2:$AW$201,AW125,$BH$2:$BH$201,1,$H$2:$H$201,H125,$AX$2:$AX$201,"&lt;"&amp;AX125)=0,1,0),0)</f>
        <v>0</v>
      </c>
      <c r="BJ125" s="23" t="str">
        <f aca="false">IF(AND(BI125=1,INT(N(H125))&lt;=Config!$B$6),R125,"")</f>
        <v/>
      </c>
      <c r="BK125" s="23" t="str">
        <f aca="false">IF(AND(BI125=1,INT(N(H125))&lt;=Config!$B$7),R125,"")</f>
        <v/>
      </c>
      <c r="BL125" s="23" t="str">
        <f aca="false">IF(AND(BI125=1,INT(N(H125))&lt;=Config!$B$8),R125,"")</f>
        <v/>
      </c>
      <c r="BM125" s="23" t="str">
        <f aca="false">IF(AND(BI125=1,INT(N(H125))&lt;=Config!$B$5),R125,"")</f>
        <v/>
      </c>
      <c r="BN125" s="23" t="n">
        <f aca="false">IF(AND(AY125=1,ISNUMBER(V125)),1,0)</f>
        <v>0</v>
      </c>
      <c r="BO125" s="23" t="n">
        <f aca="false">IF(BN125=1,IF(COUNTIFS($AW$2:$AW$201,AW125,$BN$2:$BN$201,1,$H$2:$H$201,"&lt;"&amp;H125)+COUNTIFS($AW$2:$AW$201,AW125,$BN$2:$BN$201,1,$H$2:$H$201,H125,$AX$2:$AX$201,"&lt;"&amp;AX125)=0,1,0),0)</f>
        <v>0</v>
      </c>
      <c r="BP125" s="23" t="str">
        <f aca="false">IF(AND(BO125=1,INT(N(H125))&lt;=Config!$B$6),V125,"")</f>
        <v/>
      </c>
      <c r="BQ125" s="23" t="str">
        <f aca="false">IF(AND(BO125=1,INT(N(H125))&lt;=Config!$B$7),V125,"")</f>
        <v/>
      </c>
      <c r="BR125" s="23" t="str">
        <f aca="false">IF(AND(BO125=1,INT(N(H125))&lt;=Config!$B$8),V125,"")</f>
        <v/>
      </c>
      <c r="BS125" s="23" t="str">
        <f aca="false">IF(AND(BO125=1,INT(N(H125))&lt;=Config!$B$5),V125,"")</f>
        <v/>
      </c>
      <c r="BT125" s="23" t="n">
        <f aca="false">IF(AND(AY125=1,ISNUMBER(K125)),1,0)</f>
        <v>0</v>
      </c>
      <c r="BU125" s="23" t="n">
        <f aca="false">IF(BT125=1,IF(COUNTIFS($AW$2:$AW$201,AW125,$BT$2:$BT$201,1,$H$2:$H$201,"&lt;"&amp;H125)+COUNTIFS($AW$2:$AW$201,AW125,$BT$2:$BT$201,1,$H$2:$H$201,H125,$AX$2:$AX$201,"&lt;"&amp;AX125)=0,1,0),0)</f>
        <v>0</v>
      </c>
      <c r="BV125" s="23" t="str">
        <f aca="false">IF(AND(BU125=1,INT(N(H125))&lt;=Config!$B$5),K125,"")</f>
        <v/>
      </c>
      <c r="BW125" s="23" t="n">
        <f aca="false">IF(AND(AY125=1,OR(AND(ISNUMBER(R125),TRIM(S125)=""),AND(ISNUMBER(V125),TRIM(W125)=""))),1,0)</f>
        <v>0</v>
      </c>
      <c r="BX125" s="23" t="str">
        <f aca="false">IF(AY125=1,AJ125&amp;"","")</f>
        <v/>
      </c>
      <c r="BY125" s="23" t="str">
        <f aca="false">IF(AY125=1,AK125&amp;"","")</f>
        <v/>
      </c>
      <c r="BZ125" s="23" t="str">
        <f aca="false">IF(AY125=1,AL125&amp;"","")</f>
        <v/>
      </c>
      <c r="CA125" s="23" t="str">
        <f aca="false">IF(AND(AY125=1,ISNUMBER(AS125),INT(N(H125))&lt;=Config!$B$5),AS125,"")</f>
        <v/>
      </c>
      <c r="CB125" s="23" t="str">
        <f aca="false">IF(AY125=1,IF(COUNTIFS($A$2:$A$201,$A125,$CU$2:$CU$201,1,$AN$2:$AN$201,"Y")&gt;0,"Y","N"),"")</f>
        <v/>
      </c>
      <c r="CC125" s="23" t="n">
        <f aca="false">IF(AND(AY125=1,AN125="Y"),IF(COUNTIFS($AW$2:$AW$201,AW125,$AN$2:$AN$201,"Y",$AY$2:$AY$201,1,$H$2:$H$201,"&lt;"&amp;H125)+COUNTIFS($AW$2:$AW$201,AW125,$AN$2:$AN$201,"Y",$AY$2:$AY$201,1,$H$2:$H$201,H125,$AX$2:$AX$201,"&lt;"&amp;AX125)=0,1,0),0)</f>
        <v>0</v>
      </c>
      <c r="CD125" s="23" t="n">
        <f aca="false">IF(AND(AY125=1,AB125="Y",AC125="Y",AD125="Y",AE125="Y",AF125="Y",AG125="Y",AI125="Y",TRIM(AH125)&lt;&gt;""),1,0)</f>
        <v>0</v>
      </c>
      <c r="CE125" s="23" t="n">
        <f aca="false">IF(CD125=1,IF(COUNTIFS($AW$2:$AW$201,AW125,$CD$2:$CD$201,1,$H$2:$H$201,"&lt;"&amp;H125)+COUNTIFS($AW$2:$AW$201,AW125,$CD$2:$CD$201,1,$H$2:$H$201,H125,$AX$2:$AX$201,"&lt;"&amp;AX125)=0,1,0),0)</f>
        <v>0</v>
      </c>
      <c r="CF125" s="23" t="n">
        <f aca="false">IF(AND(AY125=1,AO125="Y"),1,0)</f>
        <v>0</v>
      </c>
      <c r="CG125" s="23" t="n">
        <f aca="false">IF(CF125=1,IF(COUNTIFS($AW$2:$AW$201,AW125,$CF$2:$CF$201,1,$H$2:$H$201,"&lt;"&amp;H125)+COUNTIFS($AW$2:$AW$201,AW125,$CF$2:$CF$201,1,$H$2:$H$201,H125,$AX$2:$AX$201,"&lt;"&amp;AX125)=0,1,0),0)</f>
        <v>0</v>
      </c>
      <c r="CH125" s="23" t="n">
        <f aca="false">IF(AND(AY125=1,P125="Y"),1,0)</f>
        <v>0</v>
      </c>
      <c r="CI125" s="23" t="n">
        <f aca="false">IF(CH125=1,IF(COUNTIFS($AW$2:$AW$201,AW125,$CH$2:$CH$201,1,$H$2:$H$201,"&lt;"&amp;H125)+COUNTIFS($AW$2:$AW$201,AW125,$CH$2:$CH$201,1,$H$2:$H$201,H125,$AX$2:$AX$201,"&lt;"&amp;AX125)=0,1,0),0)</f>
        <v>0</v>
      </c>
      <c r="CJ125" s="23" t="str">
        <f aca="false">IF(AND(BU125=1,INT(N(H125))&lt;=Config!$B$5),L125,"")</f>
        <v/>
      </c>
      <c r="CK125" s="23" t="n">
        <f aca="false">IF(AND(AY125=1,AR125="Y"),1,0)</f>
        <v>0</v>
      </c>
      <c r="CL125" s="23" t="n">
        <f aca="false">IF(CK125=1,IF(COUNTIFS($AW$2:$AW$201,AW125,$CK$2:$CK$201,1,$H$2:$H$201,"&lt;"&amp;H125)+COUNTIFS($AW$2:$AW$201,AW125,$CK$2:$CK$201,1,$H$2:$H$201,H125,$AX$2:$AX$201,"&lt;"&amp;AX125)=0,1,0),0)</f>
        <v>0</v>
      </c>
      <c r="CM125" s="23" t="str">
        <f aca="false">IF(AY125=1,IFERROR(MATCH($A125,INDEX(Clay_Brands!$A$2:$FZ$601,0,Sync!$D$5),0),""),"")</f>
        <v/>
      </c>
      <c r="CN125" s="23" t="str">
        <f aca="false">IF(CM125="","",IFERROR(INDEX(Clay_Brands!$A$2:$FZ$601,CM125,Sync!$D$7)&amp;"",""))</f>
        <v/>
      </c>
      <c r="CO125" s="23" t="str">
        <f aca="false">IF(CN125="","",IFERROR(INDEX(Lists!$K$2:$K$15,MATCH(CN125,Lists!$J$2:$J$15,0)),""))</f>
        <v/>
      </c>
      <c r="CP125" s="23" t="str">
        <f aca="false">IF(CM125="","",IFERROR(INDEX(Clay_Brands!$A$2:$FZ$601,CM125,Sync!$D$17)&amp;"",""))</f>
        <v/>
      </c>
      <c r="CQ125" s="35" t="str">
        <f aca="false">IF(CM125="","",IFERROR(N(INDEX(Clay_Brands!$A$2:$FZ$601,CM125,Sync!$D$16)),0))</f>
        <v/>
      </c>
      <c r="CR125" s="23" t="n">
        <f aca="false">IF(AND(AY125=1,OR(O125="N",AND(OR(ISNUMBER(R125),ISNUMBER(V125)),MAX(N(R125),N(V125))&lt;Config!$B$14))),1,0)</f>
        <v>0</v>
      </c>
      <c r="CS125" s="23" t="n">
        <f aca="false">IF(OR(BB125=1,CR125=1),1,0)</f>
        <v>0</v>
      </c>
      <c r="CT125" s="23" t="n">
        <f aca="false">IF(AND(AY125=1,OR(AN125="Y",AN125="N",AN125="maybe")),1,0)</f>
        <v>0</v>
      </c>
      <c r="CU125" s="23" t="n">
        <f aca="false">IF(AND(CT125=1),IF(COUNTIFS($A$2:$A$201,$A125,$CT$2:$CT$201,1,$H$2:$H$201,"&gt;"&amp;H125)+COUNTIFS($A$2:$A$201,$A125,$CT$2:$CT$201,1,$H$2:$H$201,H125,$AX$2:$AX$201,"&gt;"&amp;AX125)=0,1,0),0)</f>
        <v>0</v>
      </c>
      <c r="CV125" s="23" t="n">
        <f aca="false">IF(AND(CS125=1,INT(N(H125))&lt;=Config!$B$6),IF(COUNTIFS($AW$2:$AW$201,AW125,$CS$2:$CS$201,1,$H$2:$H$201,"&gt;"&amp;H125,$H$2:$H$201,"&lt;"&amp;(Config!$B$6+1))+COUNTIFS($AW$2:$AW$201,AW125,$CS$2:$CS$201,1,$H$2:$H$201,H125,$AX$2:$AX$201,"&gt;"&amp;AX125)=0,1,0),0)</f>
        <v>0</v>
      </c>
      <c r="CW125" s="23" t="n">
        <f aca="false">IF(AND(CS125=1,INT(N(H125))&lt;=Config!$B$7),IF(COUNTIFS($AW$2:$AW$201,AW125,$CS$2:$CS$201,1,$H$2:$H$201,"&gt;"&amp;H125,$H$2:$H$201,"&lt;"&amp;(Config!$B$7+1))+COUNTIFS($AW$2:$AW$201,AW125,$CS$2:$CS$201,1,$H$2:$H$201,H125,$AX$2:$AX$201,"&gt;"&amp;AX125)=0,1,0),0)</f>
        <v>0</v>
      </c>
      <c r="CX125" s="23" t="n">
        <f aca="false">IF(AND(CS125=1,INT(N(H125))&lt;=Config!$B$8),IF(COUNTIFS($AW$2:$AW$201,AW125,$CS$2:$CS$201,1,$H$2:$H$201,"&gt;"&amp;H125,$H$2:$H$201,"&lt;"&amp;(Config!$B$8+1))+COUNTIFS($AW$2:$AW$201,AW125,$CS$2:$CS$201,1,$H$2:$H$201,H125,$AX$2:$AX$201,"&gt;"&amp;AX125)=0,1,0),0)</f>
        <v>0</v>
      </c>
      <c r="CY125" s="23" t="n">
        <f aca="false">IF(AND(CS125=1,INT(N(H125))&lt;=Config!$B$5),IF(COUNTIFS($AW$2:$AW$201,AW125,$CS$2:$CS$201,1,$H$2:$H$201,"&gt;"&amp;H125,$H$2:$H$201,"&lt;"&amp;(Config!$B$5+1))+COUNTIFS($AW$2:$AW$201,AW125,$CS$2:$CS$201,1,$H$2:$H$201,H125,$AX$2:$AX$201,"&gt;"&amp;AX125)=0,1,0),0)</f>
        <v>0</v>
      </c>
      <c r="CZ125" s="23" t="n">
        <f aca="false">IF(AY125=1,IF(COUNTIFS($AW$2:$AW$201,AW125,$CV$2:$CV$201,1,$BB$2:$BB$201,1)&gt;0,1,0),0)</f>
        <v>0</v>
      </c>
      <c r="DA125" s="23" t="n">
        <f aca="false">IF(AY125=1,IF(COUNTIFS($AW$2:$AW$201,AW125,$CW$2:$CW$201,1,$BB$2:$BB$201,1)&gt;0,1,0),0)</f>
        <v>0</v>
      </c>
      <c r="DB125" s="23" t="n">
        <f aca="false">IF(AY125=1,IF(COUNTIFS($AW$2:$AW$201,AW125,$CX$2:$CX$201,1,$BB$2:$BB$201,1)&gt;0,1,0),0)</f>
        <v>0</v>
      </c>
      <c r="DC125" s="23" t="n">
        <f aca="false">IF(AY125=1,IF(COUNTIFS($AW$2:$AW$201,AW125,$CY$2:$CY$201,1,$BB$2:$BB$201,1)&gt;0,1,0),0)</f>
        <v>0</v>
      </c>
      <c r="DD125" s="23" t="n">
        <f aca="false">IF(AND(BC125=1,INT(N(H125))&lt;=Config!$B$6,CZ125=1),1,0)</f>
        <v>0</v>
      </c>
      <c r="DE125" s="23" t="n">
        <f aca="false">IF(AND(BC125=1,INT(N(H125))&lt;=Config!$B$7,DA125=1),1,0)</f>
        <v>0</v>
      </c>
      <c r="DF125" s="23" t="n">
        <f aca="false">IF(AND(BC125=1,INT(N(H125))&lt;=Config!$B$8,DB125=1),1,0)</f>
        <v>0</v>
      </c>
      <c r="DG125" s="23" t="n">
        <f aca="false">IF(AND(BC125=1,INT(N(H125))&lt;=Config!$B$5,DC125=1),1,0)</f>
        <v>0</v>
      </c>
      <c r="DH125" s="23" t="n">
        <f aca="false">IF(AND(BE125=1,INT(N(H125))&lt;=Config!$B$6,CZ125=1),1,0)</f>
        <v>0</v>
      </c>
      <c r="DI125" s="23" t="n">
        <f aca="false">IF(AND(BE125=1,INT(N(H125))&lt;=Config!$B$7,DA125=1),1,0)</f>
        <v>0</v>
      </c>
      <c r="DJ125" s="23" t="n">
        <f aca="false">IF(AND(BE125=1,INT(N(H125))&lt;=Config!$B$8,DB125=1),1,0)</f>
        <v>0</v>
      </c>
      <c r="DK125" s="23" t="n">
        <f aca="false">IF(AND(BE125=1,INT(N(H125))&lt;=Config!$B$5,DC125=1),1,0)</f>
        <v>0</v>
      </c>
      <c r="DL125" s="23" t="n">
        <f aca="false">IF(AND(BC125=1,INT(N(H125))&lt;=Config!$B$6,CZ125=0),1,0)</f>
        <v>0</v>
      </c>
      <c r="DM125" s="23" t="n">
        <f aca="false">IF(AND(BC125=1,INT(N(H125))&lt;=Config!$B$7,DA125=0),1,0)</f>
        <v>0</v>
      </c>
      <c r="DN125" s="23" t="n">
        <f aca="false">IF(AND(BC125=1,INT(N(H125))&lt;=Config!$B$8,DB125=0),1,0)</f>
        <v>0</v>
      </c>
      <c r="DO125" s="23" t="n">
        <f aca="false">IF(AND(BC125=1,INT(N(H125))&lt;=Config!$B$5,DC125=0),1,0)</f>
        <v>0</v>
      </c>
      <c r="DP125" s="23" t="n">
        <f aca="false">IF(TRIM($A125)="",0,ISTEXT(K125)+ISTEXT(L125)+ISTEXT(R125)+ISTEXT(V125)+ISTEXT(AP125)+ISTEXT(AS125))</f>
        <v>0</v>
      </c>
      <c r="DQ125" s="23" t="n">
        <f aca="false">IF(AY125=1,IF(H125&lt;&gt;INT(H125),1,0),0)</f>
        <v>0</v>
      </c>
      <c r="DR125" s="23" t="str">
        <f aca="false">IF(TRIM($A125)="","",IF(TRIM(B125)="",SUBSTITUTE(SUBSTITUTE(SUBSTITUTE(SUBSTITUTE(SUBSTITUTE(SUBSTITUTE(LOWER(TRIM($A125)),"~",""),"*",""),"?",""),"&lt;",""),"&gt;",""),"=",""),SUBSTITUTE(SUBSTITUTE(SUBSTITUTE(SUBSTITUTE(SUBSTITUTE(SUBSTITUTE(LOWER(TRIM(B125)),"~",""),"*",""),"?",""),"&lt;",""),"&gt;",""),"=","")))</f>
        <v/>
      </c>
      <c r="DS125" s="23" t="str">
        <f aca="false">IF(CM125="","",IFERROR(IF(LEFT(LOWER(TRIM(INDEX(Clay_Brands!$A$2:$FZ$601,CM125,Sync!$D$19)&amp;"")),4)="grp-",SUBSTITUTE(SUBSTITUTE(SUBSTITUTE(SUBSTITUTE(SUBSTITUTE(SUBSTITUTE(LOWER(TRIM(INDEX(Clay_Brands!$A$2:$FZ$601,CM125,Sync!$D$19)&amp;"")),"~",""),"*",""),"?",""),"&lt;",""),"&gt;",""),"=",""),""),""))</f>
        <v/>
      </c>
      <c r="DT125" s="23" t="str">
        <f aca="false">IF(DS125&lt;&gt;"",DR125,"")</f>
        <v/>
      </c>
      <c r="DU125" s="23" t="str">
        <f aca="false">IF(AZ125=1,AW125,"")</f>
        <v/>
      </c>
      <c r="DV125" s="23" t="str">
        <f aca="false">IF(TRIM($A125)="","",IFERROR(INDEX($A$2:$A$201,MATCH(AW125,$DU$2:$DU$201,0))&amp;"",$A125&amp;""))</f>
        <v/>
      </c>
      <c r="DW125" s="23" t="n">
        <f aca="false">IF(AY125=1,IF(COUNTIFS($A$2:$A$201,$A125,$AY$2:$AY$201,1,$H$2:$H$201,"&lt;"&amp;H125)+COUNTIFS($A$2:$A$201,$A125,$AY$2:$AY$201,1,$H$2:$H$201,H125,$AX$2:$AX$201,"&lt;"&amp;AX125)=0,1,0),0)</f>
        <v>0</v>
      </c>
      <c r="DX125" s="23" t="n">
        <f aca="false">IF(AZ125=1,IF(COUNTIFS($AW$2:$AW$201,AW125,$DW$2:$DW$201,1)&gt;1,1,0),0)</f>
        <v>0</v>
      </c>
    </row>
    <row r="126" customFormat="false" ht="15" hidden="false" customHeight="false" outlineLevel="0" collapsed="false">
      <c r="G126" s="32"/>
      <c r="H126" s="33"/>
      <c r="I126" s="32"/>
      <c r="O126" s="32"/>
      <c r="P126" s="32"/>
      <c r="U126" s="32"/>
      <c r="Y126" s="32"/>
      <c r="AB126" s="32"/>
      <c r="AC126" s="32"/>
      <c r="AD126" s="32"/>
      <c r="AE126" s="32"/>
      <c r="AF126" s="32"/>
      <c r="AG126" s="32"/>
      <c r="AI126" s="32"/>
      <c r="AJ126" s="32"/>
      <c r="AK126" s="32"/>
      <c r="AN126" s="32"/>
      <c r="AO126" s="32"/>
      <c r="AR126" s="32"/>
      <c r="AT126" s="32"/>
      <c r="AV126" s="34" t="str">
        <f aca="false">IF(TRIM($A126)="","",IF(AND(LEFT($A126,6)="SAMPLE",Config!$B$19&lt;&gt;"Y"),"",IF(NOT(ISNUMBER(H126)),"call_date is blank or not a date",IF(Sync!$D$5="","Clay paste is empty or has no row_id column: paste the Clay export on Clay_Brands",IF(CM126="","row_id not found in the Clay paste: add the Clay row or fix the row_id",IF(AND(ISNUMBER(CO126),CO126&gt;=1,CO126&lt;=5),"Clay status is "&amp;CN126&amp;": set call_done or later",IF(AND(BA126=1,CP126&lt;&gt;CB126),"Clay yes_in_principle should be "&amp;CB126,IF(AND(BA126=1,CQ126&lt;&gt;H126),"Clay call_date should be "&amp;TEXT(H126,"yyyy-mm-dd"),""))))))))</f>
        <v/>
      </c>
      <c r="AW126" s="23" t="str">
        <f aca="false">IF(TRIM($A126)="","",IF(TRIM(C126)&lt;&gt;"",SUBSTITUTE(SUBSTITUTE(SUBSTITUTE(SUBSTITUTE(SUBSTITUTE(SUBSTITUTE(LOWER(TRIM(C126)),"~",""),"*",""),"?",""),"&lt;",""),"&gt;",""),"=",""),IF(DS126&lt;&gt;"",DS126,IFERROR(INDEX($DS$2:$DS$201,MATCH(DR126,$DT$2:$DT$201,0)),DR126))))</f>
        <v/>
      </c>
      <c r="AX126" s="23" t="n">
        <f aca="false">ROW()</f>
        <v>126</v>
      </c>
      <c r="AY126" s="23" t="n">
        <f aca="false">IF(AND(TRIM($A126)&lt;&gt;"",ISNUMBER(H126)),IF(AND(LEFT($A126,6)="SAMPLE",Config!$B$19&lt;&gt;"Y"),0,1),0)</f>
        <v>0</v>
      </c>
      <c r="AZ126" s="23" t="n">
        <f aca="false">IF(AY126=1,IF(COUNTIFS($AW$2:$AW$201,AW126,$AY$2:$AY$201,1,$H$2:$H$201,"&lt;"&amp;H126)+COUNTIFS($AW$2:$AW$201,AW126,$AY$2:$AY$201,1,$H$2:$H$201,H126,$AX$2:$AX$201,"&lt;"&amp;AX126)=0,1,0),0)</f>
        <v>0</v>
      </c>
      <c r="BA126" s="23" t="n">
        <f aca="false">IF(AY126=1,IF(COUNTIFS($A$2:$A$201,$A126,$AY$2:$AY$201,1,$H$2:$H$201,"&gt;"&amp;H126)+COUNTIFS($A$2:$A$201,$A126,$AY$2:$AY$201,1,$H$2:$H$201,H126,$AX$2:$AX$201,"&gt;"&amp;AX126)=0,1,0),0)</f>
        <v>0</v>
      </c>
      <c r="BB126" s="23" t="n">
        <f aca="false">IF(AND(AY126=1,O126="Y",MAX(N(R126),N(V126))&gt;=Config!$B$14),1,0)</f>
        <v>0</v>
      </c>
      <c r="BC126" s="23" t="n">
        <f aca="false">IF(BB126=1,IF(COUNTIFS($AW$2:$AW$201,AW126,$BB$2:$BB$201,1,$H$2:$H$201,"&lt;"&amp;H126)+COUNTIFS($AW$2:$AW$201,AW126,$BB$2:$BB$201,1,$H$2:$H$201,H126,$AX$2:$AX$201,"&lt;"&amp;AX126)=0,1,0),0)</f>
        <v>0</v>
      </c>
      <c r="BD126" s="23" t="n">
        <f aca="false">IF(AND(AY126=1,O126="Y",ISNUMBER(R126)),IF(R126&gt;=Config!$B$14,1,0),0)</f>
        <v>0</v>
      </c>
      <c r="BE126" s="23" t="n">
        <f aca="false">IF(BD126=1,IF(COUNTIFS($AW$2:$AW$201,AW126,$BD$2:$BD$201,1,$H$2:$H$201,"&lt;"&amp;H126)+COUNTIFS($AW$2:$AW$201,AW126,$BD$2:$BD$201,1,$H$2:$H$201,H126,$AX$2:$AX$201,"&lt;"&amp;AX126)=0,1,0),0)</f>
        <v>0</v>
      </c>
      <c r="BF126" s="23" t="n">
        <f aca="false">IF(AND(AY126=1,O126&lt;&gt;"Y",MAX(N(R126),N(V126))&gt;=Config!$B$14),1,0)</f>
        <v>0</v>
      </c>
      <c r="BG126" s="23" t="n">
        <f aca="false">IF(BF126=1,IF(COUNTIFS($AW$2:$AW$201,AW126,$BF$2:$BF$201,1,$H$2:$H$201,"&lt;"&amp;H126)+COUNTIFS($AW$2:$AW$201,AW126,$BF$2:$BF$201,1,$H$2:$H$201,H126,$AX$2:$AX$201,"&lt;"&amp;AX126)=0,1,0),0)</f>
        <v>0</v>
      </c>
      <c r="BH126" s="23" t="n">
        <f aca="false">IF(AND(AY126=1,ISNUMBER(R126)),1,0)</f>
        <v>0</v>
      </c>
      <c r="BI126" s="23" t="n">
        <f aca="false">IF(BH126=1,IF(COUNTIFS($AW$2:$AW$201,AW126,$BH$2:$BH$201,1,$H$2:$H$201,"&lt;"&amp;H126)+COUNTIFS($AW$2:$AW$201,AW126,$BH$2:$BH$201,1,$H$2:$H$201,H126,$AX$2:$AX$201,"&lt;"&amp;AX126)=0,1,0),0)</f>
        <v>0</v>
      </c>
      <c r="BJ126" s="23" t="str">
        <f aca="false">IF(AND(BI126=1,INT(N(H126))&lt;=Config!$B$6),R126,"")</f>
        <v/>
      </c>
      <c r="BK126" s="23" t="str">
        <f aca="false">IF(AND(BI126=1,INT(N(H126))&lt;=Config!$B$7),R126,"")</f>
        <v/>
      </c>
      <c r="BL126" s="23" t="str">
        <f aca="false">IF(AND(BI126=1,INT(N(H126))&lt;=Config!$B$8),R126,"")</f>
        <v/>
      </c>
      <c r="BM126" s="23" t="str">
        <f aca="false">IF(AND(BI126=1,INT(N(H126))&lt;=Config!$B$5),R126,"")</f>
        <v/>
      </c>
      <c r="BN126" s="23" t="n">
        <f aca="false">IF(AND(AY126=1,ISNUMBER(V126)),1,0)</f>
        <v>0</v>
      </c>
      <c r="BO126" s="23" t="n">
        <f aca="false">IF(BN126=1,IF(COUNTIFS($AW$2:$AW$201,AW126,$BN$2:$BN$201,1,$H$2:$H$201,"&lt;"&amp;H126)+COUNTIFS($AW$2:$AW$201,AW126,$BN$2:$BN$201,1,$H$2:$H$201,H126,$AX$2:$AX$201,"&lt;"&amp;AX126)=0,1,0),0)</f>
        <v>0</v>
      </c>
      <c r="BP126" s="23" t="str">
        <f aca="false">IF(AND(BO126=1,INT(N(H126))&lt;=Config!$B$6),V126,"")</f>
        <v/>
      </c>
      <c r="BQ126" s="23" t="str">
        <f aca="false">IF(AND(BO126=1,INT(N(H126))&lt;=Config!$B$7),V126,"")</f>
        <v/>
      </c>
      <c r="BR126" s="23" t="str">
        <f aca="false">IF(AND(BO126=1,INT(N(H126))&lt;=Config!$B$8),V126,"")</f>
        <v/>
      </c>
      <c r="BS126" s="23" t="str">
        <f aca="false">IF(AND(BO126=1,INT(N(H126))&lt;=Config!$B$5),V126,"")</f>
        <v/>
      </c>
      <c r="BT126" s="23" t="n">
        <f aca="false">IF(AND(AY126=1,ISNUMBER(K126)),1,0)</f>
        <v>0</v>
      </c>
      <c r="BU126" s="23" t="n">
        <f aca="false">IF(BT126=1,IF(COUNTIFS($AW$2:$AW$201,AW126,$BT$2:$BT$201,1,$H$2:$H$201,"&lt;"&amp;H126)+COUNTIFS($AW$2:$AW$201,AW126,$BT$2:$BT$201,1,$H$2:$H$201,H126,$AX$2:$AX$201,"&lt;"&amp;AX126)=0,1,0),0)</f>
        <v>0</v>
      </c>
      <c r="BV126" s="23" t="str">
        <f aca="false">IF(AND(BU126=1,INT(N(H126))&lt;=Config!$B$5),K126,"")</f>
        <v/>
      </c>
      <c r="BW126" s="23" t="n">
        <f aca="false">IF(AND(AY126=1,OR(AND(ISNUMBER(R126),TRIM(S126)=""),AND(ISNUMBER(V126),TRIM(W126)=""))),1,0)</f>
        <v>0</v>
      </c>
      <c r="BX126" s="23" t="str">
        <f aca="false">IF(AY126=1,AJ126&amp;"","")</f>
        <v/>
      </c>
      <c r="BY126" s="23" t="str">
        <f aca="false">IF(AY126=1,AK126&amp;"","")</f>
        <v/>
      </c>
      <c r="BZ126" s="23" t="str">
        <f aca="false">IF(AY126=1,AL126&amp;"","")</f>
        <v/>
      </c>
      <c r="CA126" s="23" t="str">
        <f aca="false">IF(AND(AY126=1,ISNUMBER(AS126),INT(N(H126))&lt;=Config!$B$5),AS126,"")</f>
        <v/>
      </c>
      <c r="CB126" s="23" t="str">
        <f aca="false">IF(AY126=1,IF(COUNTIFS($A$2:$A$201,$A126,$CU$2:$CU$201,1,$AN$2:$AN$201,"Y")&gt;0,"Y","N"),"")</f>
        <v/>
      </c>
      <c r="CC126" s="23" t="n">
        <f aca="false">IF(AND(AY126=1,AN126="Y"),IF(COUNTIFS($AW$2:$AW$201,AW126,$AN$2:$AN$201,"Y",$AY$2:$AY$201,1,$H$2:$H$201,"&lt;"&amp;H126)+COUNTIFS($AW$2:$AW$201,AW126,$AN$2:$AN$201,"Y",$AY$2:$AY$201,1,$H$2:$H$201,H126,$AX$2:$AX$201,"&lt;"&amp;AX126)=0,1,0),0)</f>
        <v>0</v>
      </c>
      <c r="CD126" s="23" t="n">
        <f aca="false">IF(AND(AY126=1,AB126="Y",AC126="Y",AD126="Y",AE126="Y",AF126="Y",AG126="Y",AI126="Y",TRIM(AH126)&lt;&gt;""),1,0)</f>
        <v>0</v>
      </c>
      <c r="CE126" s="23" t="n">
        <f aca="false">IF(CD126=1,IF(COUNTIFS($AW$2:$AW$201,AW126,$CD$2:$CD$201,1,$H$2:$H$201,"&lt;"&amp;H126)+COUNTIFS($AW$2:$AW$201,AW126,$CD$2:$CD$201,1,$H$2:$H$201,H126,$AX$2:$AX$201,"&lt;"&amp;AX126)=0,1,0),0)</f>
        <v>0</v>
      </c>
      <c r="CF126" s="23" t="n">
        <f aca="false">IF(AND(AY126=1,AO126="Y"),1,0)</f>
        <v>0</v>
      </c>
      <c r="CG126" s="23" t="n">
        <f aca="false">IF(CF126=1,IF(COUNTIFS($AW$2:$AW$201,AW126,$CF$2:$CF$201,1,$H$2:$H$201,"&lt;"&amp;H126)+COUNTIFS($AW$2:$AW$201,AW126,$CF$2:$CF$201,1,$H$2:$H$201,H126,$AX$2:$AX$201,"&lt;"&amp;AX126)=0,1,0),0)</f>
        <v>0</v>
      </c>
      <c r="CH126" s="23" t="n">
        <f aca="false">IF(AND(AY126=1,P126="Y"),1,0)</f>
        <v>0</v>
      </c>
      <c r="CI126" s="23" t="n">
        <f aca="false">IF(CH126=1,IF(COUNTIFS($AW$2:$AW$201,AW126,$CH$2:$CH$201,1,$H$2:$H$201,"&lt;"&amp;H126)+COUNTIFS($AW$2:$AW$201,AW126,$CH$2:$CH$201,1,$H$2:$H$201,H126,$AX$2:$AX$201,"&lt;"&amp;AX126)=0,1,0),0)</f>
        <v>0</v>
      </c>
      <c r="CJ126" s="23" t="str">
        <f aca="false">IF(AND(BU126=1,INT(N(H126))&lt;=Config!$B$5),L126,"")</f>
        <v/>
      </c>
      <c r="CK126" s="23" t="n">
        <f aca="false">IF(AND(AY126=1,AR126="Y"),1,0)</f>
        <v>0</v>
      </c>
      <c r="CL126" s="23" t="n">
        <f aca="false">IF(CK126=1,IF(COUNTIFS($AW$2:$AW$201,AW126,$CK$2:$CK$201,1,$H$2:$H$201,"&lt;"&amp;H126)+COUNTIFS($AW$2:$AW$201,AW126,$CK$2:$CK$201,1,$H$2:$H$201,H126,$AX$2:$AX$201,"&lt;"&amp;AX126)=0,1,0),0)</f>
        <v>0</v>
      </c>
      <c r="CM126" s="23" t="str">
        <f aca="false">IF(AY126=1,IFERROR(MATCH($A126,INDEX(Clay_Brands!$A$2:$FZ$601,0,Sync!$D$5),0),""),"")</f>
        <v/>
      </c>
      <c r="CN126" s="23" t="str">
        <f aca="false">IF(CM126="","",IFERROR(INDEX(Clay_Brands!$A$2:$FZ$601,CM126,Sync!$D$7)&amp;"",""))</f>
        <v/>
      </c>
      <c r="CO126" s="23" t="str">
        <f aca="false">IF(CN126="","",IFERROR(INDEX(Lists!$K$2:$K$15,MATCH(CN126,Lists!$J$2:$J$15,0)),""))</f>
        <v/>
      </c>
      <c r="CP126" s="23" t="str">
        <f aca="false">IF(CM126="","",IFERROR(INDEX(Clay_Brands!$A$2:$FZ$601,CM126,Sync!$D$17)&amp;"",""))</f>
        <v/>
      </c>
      <c r="CQ126" s="35" t="str">
        <f aca="false">IF(CM126="","",IFERROR(N(INDEX(Clay_Brands!$A$2:$FZ$601,CM126,Sync!$D$16)),0))</f>
        <v/>
      </c>
      <c r="CR126" s="23" t="n">
        <f aca="false">IF(AND(AY126=1,OR(O126="N",AND(OR(ISNUMBER(R126),ISNUMBER(V126)),MAX(N(R126),N(V126))&lt;Config!$B$14))),1,0)</f>
        <v>0</v>
      </c>
      <c r="CS126" s="23" t="n">
        <f aca="false">IF(OR(BB126=1,CR126=1),1,0)</f>
        <v>0</v>
      </c>
      <c r="CT126" s="23" t="n">
        <f aca="false">IF(AND(AY126=1,OR(AN126="Y",AN126="N",AN126="maybe")),1,0)</f>
        <v>0</v>
      </c>
      <c r="CU126" s="23" t="n">
        <f aca="false">IF(AND(CT126=1),IF(COUNTIFS($A$2:$A$201,$A126,$CT$2:$CT$201,1,$H$2:$H$201,"&gt;"&amp;H126)+COUNTIFS($A$2:$A$201,$A126,$CT$2:$CT$201,1,$H$2:$H$201,H126,$AX$2:$AX$201,"&gt;"&amp;AX126)=0,1,0),0)</f>
        <v>0</v>
      </c>
      <c r="CV126" s="23" t="n">
        <f aca="false">IF(AND(CS126=1,INT(N(H126))&lt;=Config!$B$6),IF(COUNTIFS($AW$2:$AW$201,AW126,$CS$2:$CS$201,1,$H$2:$H$201,"&gt;"&amp;H126,$H$2:$H$201,"&lt;"&amp;(Config!$B$6+1))+COUNTIFS($AW$2:$AW$201,AW126,$CS$2:$CS$201,1,$H$2:$H$201,H126,$AX$2:$AX$201,"&gt;"&amp;AX126)=0,1,0),0)</f>
        <v>0</v>
      </c>
      <c r="CW126" s="23" t="n">
        <f aca="false">IF(AND(CS126=1,INT(N(H126))&lt;=Config!$B$7),IF(COUNTIFS($AW$2:$AW$201,AW126,$CS$2:$CS$201,1,$H$2:$H$201,"&gt;"&amp;H126,$H$2:$H$201,"&lt;"&amp;(Config!$B$7+1))+COUNTIFS($AW$2:$AW$201,AW126,$CS$2:$CS$201,1,$H$2:$H$201,H126,$AX$2:$AX$201,"&gt;"&amp;AX126)=0,1,0),0)</f>
        <v>0</v>
      </c>
      <c r="CX126" s="23" t="n">
        <f aca="false">IF(AND(CS126=1,INT(N(H126))&lt;=Config!$B$8),IF(COUNTIFS($AW$2:$AW$201,AW126,$CS$2:$CS$201,1,$H$2:$H$201,"&gt;"&amp;H126,$H$2:$H$201,"&lt;"&amp;(Config!$B$8+1))+COUNTIFS($AW$2:$AW$201,AW126,$CS$2:$CS$201,1,$H$2:$H$201,H126,$AX$2:$AX$201,"&gt;"&amp;AX126)=0,1,0),0)</f>
        <v>0</v>
      </c>
      <c r="CY126" s="23" t="n">
        <f aca="false">IF(AND(CS126=1,INT(N(H126))&lt;=Config!$B$5),IF(COUNTIFS($AW$2:$AW$201,AW126,$CS$2:$CS$201,1,$H$2:$H$201,"&gt;"&amp;H126,$H$2:$H$201,"&lt;"&amp;(Config!$B$5+1))+COUNTIFS($AW$2:$AW$201,AW126,$CS$2:$CS$201,1,$H$2:$H$201,H126,$AX$2:$AX$201,"&gt;"&amp;AX126)=0,1,0),0)</f>
        <v>0</v>
      </c>
      <c r="CZ126" s="23" t="n">
        <f aca="false">IF(AY126=1,IF(COUNTIFS($AW$2:$AW$201,AW126,$CV$2:$CV$201,1,$BB$2:$BB$201,1)&gt;0,1,0),0)</f>
        <v>0</v>
      </c>
      <c r="DA126" s="23" t="n">
        <f aca="false">IF(AY126=1,IF(COUNTIFS($AW$2:$AW$201,AW126,$CW$2:$CW$201,1,$BB$2:$BB$201,1)&gt;0,1,0),0)</f>
        <v>0</v>
      </c>
      <c r="DB126" s="23" t="n">
        <f aca="false">IF(AY126=1,IF(COUNTIFS($AW$2:$AW$201,AW126,$CX$2:$CX$201,1,$BB$2:$BB$201,1)&gt;0,1,0),0)</f>
        <v>0</v>
      </c>
      <c r="DC126" s="23" t="n">
        <f aca="false">IF(AY126=1,IF(COUNTIFS($AW$2:$AW$201,AW126,$CY$2:$CY$201,1,$BB$2:$BB$201,1)&gt;0,1,0),0)</f>
        <v>0</v>
      </c>
      <c r="DD126" s="23" t="n">
        <f aca="false">IF(AND(BC126=1,INT(N(H126))&lt;=Config!$B$6,CZ126=1),1,0)</f>
        <v>0</v>
      </c>
      <c r="DE126" s="23" t="n">
        <f aca="false">IF(AND(BC126=1,INT(N(H126))&lt;=Config!$B$7,DA126=1),1,0)</f>
        <v>0</v>
      </c>
      <c r="DF126" s="23" t="n">
        <f aca="false">IF(AND(BC126=1,INT(N(H126))&lt;=Config!$B$8,DB126=1),1,0)</f>
        <v>0</v>
      </c>
      <c r="DG126" s="23" t="n">
        <f aca="false">IF(AND(BC126=1,INT(N(H126))&lt;=Config!$B$5,DC126=1),1,0)</f>
        <v>0</v>
      </c>
      <c r="DH126" s="23" t="n">
        <f aca="false">IF(AND(BE126=1,INT(N(H126))&lt;=Config!$B$6,CZ126=1),1,0)</f>
        <v>0</v>
      </c>
      <c r="DI126" s="23" t="n">
        <f aca="false">IF(AND(BE126=1,INT(N(H126))&lt;=Config!$B$7,DA126=1),1,0)</f>
        <v>0</v>
      </c>
      <c r="DJ126" s="23" t="n">
        <f aca="false">IF(AND(BE126=1,INT(N(H126))&lt;=Config!$B$8,DB126=1),1,0)</f>
        <v>0</v>
      </c>
      <c r="DK126" s="23" t="n">
        <f aca="false">IF(AND(BE126=1,INT(N(H126))&lt;=Config!$B$5,DC126=1),1,0)</f>
        <v>0</v>
      </c>
      <c r="DL126" s="23" t="n">
        <f aca="false">IF(AND(BC126=1,INT(N(H126))&lt;=Config!$B$6,CZ126=0),1,0)</f>
        <v>0</v>
      </c>
      <c r="DM126" s="23" t="n">
        <f aca="false">IF(AND(BC126=1,INT(N(H126))&lt;=Config!$B$7,DA126=0),1,0)</f>
        <v>0</v>
      </c>
      <c r="DN126" s="23" t="n">
        <f aca="false">IF(AND(BC126=1,INT(N(H126))&lt;=Config!$B$8,DB126=0),1,0)</f>
        <v>0</v>
      </c>
      <c r="DO126" s="23" t="n">
        <f aca="false">IF(AND(BC126=1,INT(N(H126))&lt;=Config!$B$5,DC126=0),1,0)</f>
        <v>0</v>
      </c>
      <c r="DP126" s="23" t="n">
        <f aca="false">IF(TRIM($A126)="",0,ISTEXT(K126)+ISTEXT(L126)+ISTEXT(R126)+ISTEXT(V126)+ISTEXT(AP126)+ISTEXT(AS126))</f>
        <v>0</v>
      </c>
      <c r="DQ126" s="23" t="n">
        <f aca="false">IF(AY126=1,IF(H126&lt;&gt;INT(H126),1,0),0)</f>
        <v>0</v>
      </c>
      <c r="DR126" s="23" t="str">
        <f aca="false">IF(TRIM($A126)="","",IF(TRIM(B126)="",SUBSTITUTE(SUBSTITUTE(SUBSTITUTE(SUBSTITUTE(SUBSTITUTE(SUBSTITUTE(LOWER(TRIM($A126)),"~",""),"*",""),"?",""),"&lt;",""),"&gt;",""),"=",""),SUBSTITUTE(SUBSTITUTE(SUBSTITUTE(SUBSTITUTE(SUBSTITUTE(SUBSTITUTE(LOWER(TRIM(B126)),"~",""),"*",""),"?",""),"&lt;",""),"&gt;",""),"=","")))</f>
        <v/>
      </c>
      <c r="DS126" s="23" t="str">
        <f aca="false">IF(CM126="","",IFERROR(IF(LEFT(LOWER(TRIM(INDEX(Clay_Brands!$A$2:$FZ$601,CM126,Sync!$D$19)&amp;"")),4)="grp-",SUBSTITUTE(SUBSTITUTE(SUBSTITUTE(SUBSTITUTE(SUBSTITUTE(SUBSTITUTE(LOWER(TRIM(INDEX(Clay_Brands!$A$2:$FZ$601,CM126,Sync!$D$19)&amp;"")),"~",""),"*",""),"?",""),"&lt;",""),"&gt;",""),"=",""),""),""))</f>
        <v/>
      </c>
      <c r="DT126" s="23" t="str">
        <f aca="false">IF(DS126&lt;&gt;"",DR126,"")</f>
        <v/>
      </c>
      <c r="DU126" s="23" t="str">
        <f aca="false">IF(AZ126=1,AW126,"")</f>
        <v/>
      </c>
      <c r="DV126" s="23" t="str">
        <f aca="false">IF(TRIM($A126)="","",IFERROR(INDEX($A$2:$A$201,MATCH(AW126,$DU$2:$DU$201,0))&amp;"",$A126&amp;""))</f>
        <v/>
      </c>
      <c r="DW126" s="23" t="n">
        <f aca="false">IF(AY126=1,IF(COUNTIFS($A$2:$A$201,$A126,$AY$2:$AY$201,1,$H$2:$H$201,"&lt;"&amp;H126)+COUNTIFS($A$2:$A$201,$A126,$AY$2:$AY$201,1,$H$2:$H$201,H126,$AX$2:$AX$201,"&lt;"&amp;AX126)=0,1,0),0)</f>
        <v>0</v>
      </c>
      <c r="DX126" s="23" t="n">
        <f aca="false">IF(AZ126=1,IF(COUNTIFS($AW$2:$AW$201,AW126,$DW$2:$DW$201,1)&gt;1,1,0),0)</f>
        <v>0</v>
      </c>
    </row>
    <row r="127" customFormat="false" ht="15" hidden="false" customHeight="false" outlineLevel="0" collapsed="false">
      <c r="G127" s="32"/>
      <c r="H127" s="33"/>
      <c r="I127" s="32"/>
      <c r="O127" s="32"/>
      <c r="P127" s="32"/>
      <c r="U127" s="32"/>
      <c r="Y127" s="32"/>
      <c r="AB127" s="32"/>
      <c r="AC127" s="32"/>
      <c r="AD127" s="32"/>
      <c r="AE127" s="32"/>
      <c r="AF127" s="32"/>
      <c r="AG127" s="32"/>
      <c r="AI127" s="32"/>
      <c r="AJ127" s="32"/>
      <c r="AK127" s="32"/>
      <c r="AN127" s="32"/>
      <c r="AO127" s="32"/>
      <c r="AR127" s="32"/>
      <c r="AT127" s="32"/>
      <c r="AV127" s="34" t="str">
        <f aca="false">IF(TRIM($A127)="","",IF(AND(LEFT($A127,6)="SAMPLE",Config!$B$19&lt;&gt;"Y"),"",IF(NOT(ISNUMBER(H127)),"call_date is blank or not a date",IF(Sync!$D$5="","Clay paste is empty or has no row_id column: paste the Clay export on Clay_Brands",IF(CM127="","row_id not found in the Clay paste: add the Clay row or fix the row_id",IF(AND(ISNUMBER(CO127),CO127&gt;=1,CO127&lt;=5),"Clay status is "&amp;CN127&amp;": set call_done or later",IF(AND(BA127=1,CP127&lt;&gt;CB127),"Clay yes_in_principle should be "&amp;CB127,IF(AND(BA127=1,CQ127&lt;&gt;H127),"Clay call_date should be "&amp;TEXT(H127,"yyyy-mm-dd"),""))))))))</f>
        <v/>
      </c>
      <c r="AW127" s="23" t="str">
        <f aca="false">IF(TRIM($A127)="","",IF(TRIM(C127)&lt;&gt;"",SUBSTITUTE(SUBSTITUTE(SUBSTITUTE(SUBSTITUTE(SUBSTITUTE(SUBSTITUTE(LOWER(TRIM(C127)),"~",""),"*",""),"?",""),"&lt;",""),"&gt;",""),"=",""),IF(DS127&lt;&gt;"",DS127,IFERROR(INDEX($DS$2:$DS$201,MATCH(DR127,$DT$2:$DT$201,0)),DR127))))</f>
        <v/>
      </c>
      <c r="AX127" s="23" t="n">
        <f aca="false">ROW()</f>
        <v>127</v>
      </c>
      <c r="AY127" s="23" t="n">
        <f aca="false">IF(AND(TRIM($A127)&lt;&gt;"",ISNUMBER(H127)),IF(AND(LEFT($A127,6)="SAMPLE",Config!$B$19&lt;&gt;"Y"),0,1),0)</f>
        <v>0</v>
      </c>
      <c r="AZ127" s="23" t="n">
        <f aca="false">IF(AY127=1,IF(COUNTIFS($AW$2:$AW$201,AW127,$AY$2:$AY$201,1,$H$2:$H$201,"&lt;"&amp;H127)+COUNTIFS($AW$2:$AW$201,AW127,$AY$2:$AY$201,1,$H$2:$H$201,H127,$AX$2:$AX$201,"&lt;"&amp;AX127)=0,1,0),0)</f>
        <v>0</v>
      </c>
      <c r="BA127" s="23" t="n">
        <f aca="false">IF(AY127=1,IF(COUNTIFS($A$2:$A$201,$A127,$AY$2:$AY$201,1,$H$2:$H$201,"&gt;"&amp;H127)+COUNTIFS($A$2:$A$201,$A127,$AY$2:$AY$201,1,$H$2:$H$201,H127,$AX$2:$AX$201,"&gt;"&amp;AX127)=0,1,0),0)</f>
        <v>0</v>
      </c>
      <c r="BB127" s="23" t="n">
        <f aca="false">IF(AND(AY127=1,O127="Y",MAX(N(R127),N(V127))&gt;=Config!$B$14),1,0)</f>
        <v>0</v>
      </c>
      <c r="BC127" s="23" t="n">
        <f aca="false">IF(BB127=1,IF(COUNTIFS($AW$2:$AW$201,AW127,$BB$2:$BB$201,1,$H$2:$H$201,"&lt;"&amp;H127)+COUNTIFS($AW$2:$AW$201,AW127,$BB$2:$BB$201,1,$H$2:$H$201,H127,$AX$2:$AX$201,"&lt;"&amp;AX127)=0,1,0),0)</f>
        <v>0</v>
      </c>
      <c r="BD127" s="23" t="n">
        <f aca="false">IF(AND(AY127=1,O127="Y",ISNUMBER(R127)),IF(R127&gt;=Config!$B$14,1,0),0)</f>
        <v>0</v>
      </c>
      <c r="BE127" s="23" t="n">
        <f aca="false">IF(BD127=1,IF(COUNTIFS($AW$2:$AW$201,AW127,$BD$2:$BD$201,1,$H$2:$H$201,"&lt;"&amp;H127)+COUNTIFS($AW$2:$AW$201,AW127,$BD$2:$BD$201,1,$H$2:$H$201,H127,$AX$2:$AX$201,"&lt;"&amp;AX127)=0,1,0),0)</f>
        <v>0</v>
      </c>
      <c r="BF127" s="23" t="n">
        <f aca="false">IF(AND(AY127=1,O127&lt;&gt;"Y",MAX(N(R127),N(V127))&gt;=Config!$B$14),1,0)</f>
        <v>0</v>
      </c>
      <c r="BG127" s="23" t="n">
        <f aca="false">IF(BF127=1,IF(COUNTIFS($AW$2:$AW$201,AW127,$BF$2:$BF$201,1,$H$2:$H$201,"&lt;"&amp;H127)+COUNTIFS($AW$2:$AW$201,AW127,$BF$2:$BF$201,1,$H$2:$H$201,H127,$AX$2:$AX$201,"&lt;"&amp;AX127)=0,1,0),0)</f>
        <v>0</v>
      </c>
      <c r="BH127" s="23" t="n">
        <f aca="false">IF(AND(AY127=1,ISNUMBER(R127)),1,0)</f>
        <v>0</v>
      </c>
      <c r="BI127" s="23" t="n">
        <f aca="false">IF(BH127=1,IF(COUNTIFS($AW$2:$AW$201,AW127,$BH$2:$BH$201,1,$H$2:$H$201,"&lt;"&amp;H127)+COUNTIFS($AW$2:$AW$201,AW127,$BH$2:$BH$201,1,$H$2:$H$201,H127,$AX$2:$AX$201,"&lt;"&amp;AX127)=0,1,0),0)</f>
        <v>0</v>
      </c>
      <c r="BJ127" s="23" t="str">
        <f aca="false">IF(AND(BI127=1,INT(N(H127))&lt;=Config!$B$6),R127,"")</f>
        <v/>
      </c>
      <c r="BK127" s="23" t="str">
        <f aca="false">IF(AND(BI127=1,INT(N(H127))&lt;=Config!$B$7),R127,"")</f>
        <v/>
      </c>
      <c r="BL127" s="23" t="str">
        <f aca="false">IF(AND(BI127=1,INT(N(H127))&lt;=Config!$B$8),R127,"")</f>
        <v/>
      </c>
      <c r="BM127" s="23" t="str">
        <f aca="false">IF(AND(BI127=1,INT(N(H127))&lt;=Config!$B$5),R127,"")</f>
        <v/>
      </c>
      <c r="BN127" s="23" t="n">
        <f aca="false">IF(AND(AY127=1,ISNUMBER(V127)),1,0)</f>
        <v>0</v>
      </c>
      <c r="BO127" s="23" t="n">
        <f aca="false">IF(BN127=1,IF(COUNTIFS($AW$2:$AW$201,AW127,$BN$2:$BN$201,1,$H$2:$H$201,"&lt;"&amp;H127)+COUNTIFS($AW$2:$AW$201,AW127,$BN$2:$BN$201,1,$H$2:$H$201,H127,$AX$2:$AX$201,"&lt;"&amp;AX127)=0,1,0),0)</f>
        <v>0</v>
      </c>
      <c r="BP127" s="23" t="str">
        <f aca="false">IF(AND(BO127=1,INT(N(H127))&lt;=Config!$B$6),V127,"")</f>
        <v/>
      </c>
      <c r="BQ127" s="23" t="str">
        <f aca="false">IF(AND(BO127=1,INT(N(H127))&lt;=Config!$B$7),V127,"")</f>
        <v/>
      </c>
      <c r="BR127" s="23" t="str">
        <f aca="false">IF(AND(BO127=1,INT(N(H127))&lt;=Config!$B$8),V127,"")</f>
        <v/>
      </c>
      <c r="BS127" s="23" t="str">
        <f aca="false">IF(AND(BO127=1,INT(N(H127))&lt;=Config!$B$5),V127,"")</f>
        <v/>
      </c>
      <c r="BT127" s="23" t="n">
        <f aca="false">IF(AND(AY127=1,ISNUMBER(K127)),1,0)</f>
        <v>0</v>
      </c>
      <c r="BU127" s="23" t="n">
        <f aca="false">IF(BT127=1,IF(COUNTIFS($AW$2:$AW$201,AW127,$BT$2:$BT$201,1,$H$2:$H$201,"&lt;"&amp;H127)+COUNTIFS($AW$2:$AW$201,AW127,$BT$2:$BT$201,1,$H$2:$H$201,H127,$AX$2:$AX$201,"&lt;"&amp;AX127)=0,1,0),0)</f>
        <v>0</v>
      </c>
      <c r="BV127" s="23" t="str">
        <f aca="false">IF(AND(BU127=1,INT(N(H127))&lt;=Config!$B$5),K127,"")</f>
        <v/>
      </c>
      <c r="BW127" s="23" t="n">
        <f aca="false">IF(AND(AY127=1,OR(AND(ISNUMBER(R127),TRIM(S127)=""),AND(ISNUMBER(V127),TRIM(W127)=""))),1,0)</f>
        <v>0</v>
      </c>
      <c r="BX127" s="23" t="str">
        <f aca="false">IF(AY127=1,AJ127&amp;"","")</f>
        <v/>
      </c>
      <c r="BY127" s="23" t="str">
        <f aca="false">IF(AY127=1,AK127&amp;"","")</f>
        <v/>
      </c>
      <c r="BZ127" s="23" t="str">
        <f aca="false">IF(AY127=1,AL127&amp;"","")</f>
        <v/>
      </c>
      <c r="CA127" s="23" t="str">
        <f aca="false">IF(AND(AY127=1,ISNUMBER(AS127),INT(N(H127))&lt;=Config!$B$5),AS127,"")</f>
        <v/>
      </c>
      <c r="CB127" s="23" t="str">
        <f aca="false">IF(AY127=1,IF(COUNTIFS($A$2:$A$201,$A127,$CU$2:$CU$201,1,$AN$2:$AN$201,"Y")&gt;0,"Y","N"),"")</f>
        <v/>
      </c>
      <c r="CC127" s="23" t="n">
        <f aca="false">IF(AND(AY127=1,AN127="Y"),IF(COUNTIFS($AW$2:$AW$201,AW127,$AN$2:$AN$201,"Y",$AY$2:$AY$201,1,$H$2:$H$201,"&lt;"&amp;H127)+COUNTIFS($AW$2:$AW$201,AW127,$AN$2:$AN$201,"Y",$AY$2:$AY$201,1,$H$2:$H$201,H127,$AX$2:$AX$201,"&lt;"&amp;AX127)=0,1,0),0)</f>
        <v>0</v>
      </c>
      <c r="CD127" s="23" t="n">
        <f aca="false">IF(AND(AY127=1,AB127="Y",AC127="Y",AD127="Y",AE127="Y",AF127="Y",AG127="Y",AI127="Y",TRIM(AH127)&lt;&gt;""),1,0)</f>
        <v>0</v>
      </c>
      <c r="CE127" s="23" t="n">
        <f aca="false">IF(CD127=1,IF(COUNTIFS($AW$2:$AW$201,AW127,$CD$2:$CD$201,1,$H$2:$H$201,"&lt;"&amp;H127)+COUNTIFS($AW$2:$AW$201,AW127,$CD$2:$CD$201,1,$H$2:$H$201,H127,$AX$2:$AX$201,"&lt;"&amp;AX127)=0,1,0),0)</f>
        <v>0</v>
      </c>
      <c r="CF127" s="23" t="n">
        <f aca="false">IF(AND(AY127=1,AO127="Y"),1,0)</f>
        <v>0</v>
      </c>
      <c r="CG127" s="23" t="n">
        <f aca="false">IF(CF127=1,IF(COUNTIFS($AW$2:$AW$201,AW127,$CF$2:$CF$201,1,$H$2:$H$201,"&lt;"&amp;H127)+COUNTIFS($AW$2:$AW$201,AW127,$CF$2:$CF$201,1,$H$2:$H$201,H127,$AX$2:$AX$201,"&lt;"&amp;AX127)=0,1,0),0)</f>
        <v>0</v>
      </c>
      <c r="CH127" s="23" t="n">
        <f aca="false">IF(AND(AY127=1,P127="Y"),1,0)</f>
        <v>0</v>
      </c>
      <c r="CI127" s="23" t="n">
        <f aca="false">IF(CH127=1,IF(COUNTIFS($AW$2:$AW$201,AW127,$CH$2:$CH$201,1,$H$2:$H$201,"&lt;"&amp;H127)+COUNTIFS($AW$2:$AW$201,AW127,$CH$2:$CH$201,1,$H$2:$H$201,H127,$AX$2:$AX$201,"&lt;"&amp;AX127)=0,1,0),0)</f>
        <v>0</v>
      </c>
      <c r="CJ127" s="23" t="str">
        <f aca="false">IF(AND(BU127=1,INT(N(H127))&lt;=Config!$B$5),L127,"")</f>
        <v/>
      </c>
      <c r="CK127" s="23" t="n">
        <f aca="false">IF(AND(AY127=1,AR127="Y"),1,0)</f>
        <v>0</v>
      </c>
      <c r="CL127" s="23" t="n">
        <f aca="false">IF(CK127=1,IF(COUNTIFS($AW$2:$AW$201,AW127,$CK$2:$CK$201,1,$H$2:$H$201,"&lt;"&amp;H127)+COUNTIFS($AW$2:$AW$201,AW127,$CK$2:$CK$201,1,$H$2:$H$201,H127,$AX$2:$AX$201,"&lt;"&amp;AX127)=0,1,0),0)</f>
        <v>0</v>
      </c>
      <c r="CM127" s="23" t="str">
        <f aca="false">IF(AY127=1,IFERROR(MATCH($A127,INDEX(Clay_Brands!$A$2:$FZ$601,0,Sync!$D$5),0),""),"")</f>
        <v/>
      </c>
      <c r="CN127" s="23" t="str">
        <f aca="false">IF(CM127="","",IFERROR(INDEX(Clay_Brands!$A$2:$FZ$601,CM127,Sync!$D$7)&amp;"",""))</f>
        <v/>
      </c>
      <c r="CO127" s="23" t="str">
        <f aca="false">IF(CN127="","",IFERROR(INDEX(Lists!$K$2:$K$15,MATCH(CN127,Lists!$J$2:$J$15,0)),""))</f>
        <v/>
      </c>
      <c r="CP127" s="23" t="str">
        <f aca="false">IF(CM127="","",IFERROR(INDEX(Clay_Brands!$A$2:$FZ$601,CM127,Sync!$D$17)&amp;"",""))</f>
        <v/>
      </c>
      <c r="CQ127" s="35" t="str">
        <f aca="false">IF(CM127="","",IFERROR(N(INDEX(Clay_Brands!$A$2:$FZ$601,CM127,Sync!$D$16)),0))</f>
        <v/>
      </c>
      <c r="CR127" s="23" t="n">
        <f aca="false">IF(AND(AY127=1,OR(O127="N",AND(OR(ISNUMBER(R127),ISNUMBER(V127)),MAX(N(R127),N(V127))&lt;Config!$B$14))),1,0)</f>
        <v>0</v>
      </c>
      <c r="CS127" s="23" t="n">
        <f aca="false">IF(OR(BB127=1,CR127=1),1,0)</f>
        <v>0</v>
      </c>
      <c r="CT127" s="23" t="n">
        <f aca="false">IF(AND(AY127=1,OR(AN127="Y",AN127="N",AN127="maybe")),1,0)</f>
        <v>0</v>
      </c>
      <c r="CU127" s="23" t="n">
        <f aca="false">IF(AND(CT127=1),IF(COUNTIFS($A$2:$A$201,$A127,$CT$2:$CT$201,1,$H$2:$H$201,"&gt;"&amp;H127)+COUNTIFS($A$2:$A$201,$A127,$CT$2:$CT$201,1,$H$2:$H$201,H127,$AX$2:$AX$201,"&gt;"&amp;AX127)=0,1,0),0)</f>
        <v>0</v>
      </c>
      <c r="CV127" s="23" t="n">
        <f aca="false">IF(AND(CS127=1,INT(N(H127))&lt;=Config!$B$6),IF(COUNTIFS($AW$2:$AW$201,AW127,$CS$2:$CS$201,1,$H$2:$H$201,"&gt;"&amp;H127,$H$2:$H$201,"&lt;"&amp;(Config!$B$6+1))+COUNTIFS($AW$2:$AW$201,AW127,$CS$2:$CS$201,1,$H$2:$H$201,H127,$AX$2:$AX$201,"&gt;"&amp;AX127)=0,1,0),0)</f>
        <v>0</v>
      </c>
      <c r="CW127" s="23" t="n">
        <f aca="false">IF(AND(CS127=1,INT(N(H127))&lt;=Config!$B$7),IF(COUNTIFS($AW$2:$AW$201,AW127,$CS$2:$CS$201,1,$H$2:$H$201,"&gt;"&amp;H127,$H$2:$H$201,"&lt;"&amp;(Config!$B$7+1))+COUNTIFS($AW$2:$AW$201,AW127,$CS$2:$CS$201,1,$H$2:$H$201,H127,$AX$2:$AX$201,"&gt;"&amp;AX127)=0,1,0),0)</f>
        <v>0</v>
      </c>
      <c r="CX127" s="23" t="n">
        <f aca="false">IF(AND(CS127=1,INT(N(H127))&lt;=Config!$B$8),IF(COUNTIFS($AW$2:$AW$201,AW127,$CS$2:$CS$201,1,$H$2:$H$201,"&gt;"&amp;H127,$H$2:$H$201,"&lt;"&amp;(Config!$B$8+1))+COUNTIFS($AW$2:$AW$201,AW127,$CS$2:$CS$201,1,$H$2:$H$201,H127,$AX$2:$AX$201,"&gt;"&amp;AX127)=0,1,0),0)</f>
        <v>0</v>
      </c>
      <c r="CY127" s="23" t="n">
        <f aca="false">IF(AND(CS127=1,INT(N(H127))&lt;=Config!$B$5),IF(COUNTIFS($AW$2:$AW$201,AW127,$CS$2:$CS$201,1,$H$2:$H$201,"&gt;"&amp;H127,$H$2:$H$201,"&lt;"&amp;(Config!$B$5+1))+COUNTIFS($AW$2:$AW$201,AW127,$CS$2:$CS$201,1,$H$2:$H$201,H127,$AX$2:$AX$201,"&gt;"&amp;AX127)=0,1,0),0)</f>
        <v>0</v>
      </c>
      <c r="CZ127" s="23" t="n">
        <f aca="false">IF(AY127=1,IF(COUNTIFS($AW$2:$AW$201,AW127,$CV$2:$CV$201,1,$BB$2:$BB$201,1)&gt;0,1,0),0)</f>
        <v>0</v>
      </c>
      <c r="DA127" s="23" t="n">
        <f aca="false">IF(AY127=1,IF(COUNTIFS($AW$2:$AW$201,AW127,$CW$2:$CW$201,1,$BB$2:$BB$201,1)&gt;0,1,0),0)</f>
        <v>0</v>
      </c>
      <c r="DB127" s="23" t="n">
        <f aca="false">IF(AY127=1,IF(COUNTIFS($AW$2:$AW$201,AW127,$CX$2:$CX$201,1,$BB$2:$BB$201,1)&gt;0,1,0),0)</f>
        <v>0</v>
      </c>
      <c r="DC127" s="23" t="n">
        <f aca="false">IF(AY127=1,IF(COUNTIFS($AW$2:$AW$201,AW127,$CY$2:$CY$201,1,$BB$2:$BB$201,1)&gt;0,1,0),0)</f>
        <v>0</v>
      </c>
      <c r="DD127" s="23" t="n">
        <f aca="false">IF(AND(BC127=1,INT(N(H127))&lt;=Config!$B$6,CZ127=1),1,0)</f>
        <v>0</v>
      </c>
      <c r="DE127" s="23" t="n">
        <f aca="false">IF(AND(BC127=1,INT(N(H127))&lt;=Config!$B$7,DA127=1),1,0)</f>
        <v>0</v>
      </c>
      <c r="DF127" s="23" t="n">
        <f aca="false">IF(AND(BC127=1,INT(N(H127))&lt;=Config!$B$8,DB127=1),1,0)</f>
        <v>0</v>
      </c>
      <c r="DG127" s="23" t="n">
        <f aca="false">IF(AND(BC127=1,INT(N(H127))&lt;=Config!$B$5,DC127=1),1,0)</f>
        <v>0</v>
      </c>
      <c r="DH127" s="23" t="n">
        <f aca="false">IF(AND(BE127=1,INT(N(H127))&lt;=Config!$B$6,CZ127=1),1,0)</f>
        <v>0</v>
      </c>
      <c r="DI127" s="23" t="n">
        <f aca="false">IF(AND(BE127=1,INT(N(H127))&lt;=Config!$B$7,DA127=1),1,0)</f>
        <v>0</v>
      </c>
      <c r="DJ127" s="23" t="n">
        <f aca="false">IF(AND(BE127=1,INT(N(H127))&lt;=Config!$B$8,DB127=1),1,0)</f>
        <v>0</v>
      </c>
      <c r="DK127" s="23" t="n">
        <f aca="false">IF(AND(BE127=1,INT(N(H127))&lt;=Config!$B$5,DC127=1),1,0)</f>
        <v>0</v>
      </c>
      <c r="DL127" s="23" t="n">
        <f aca="false">IF(AND(BC127=1,INT(N(H127))&lt;=Config!$B$6,CZ127=0),1,0)</f>
        <v>0</v>
      </c>
      <c r="DM127" s="23" t="n">
        <f aca="false">IF(AND(BC127=1,INT(N(H127))&lt;=Config!$B$7,DA127=0),1,0)</f>
        <v>0</v>
      </c>
      <c r="DN127" s="23" t="n">
        <f aca="false">IF(AND(BC127=1,INT(N(H127))&lt;=Config!$B$8,DB127=0),1,0)</f>
        <v>0</v>
      </c>
      <c r="DO127" s="23" t="n">
        <f aca="false">IF(AND(BC127=1,INT(N(H127))&lt;=Config!$B$5,DC127=0),1,0)</f>
        <v>0</v>
      </c>
      <c r="DP127" s="23" t="n">
        <f aca="false">IF(TRIM($A127)="",0,ISTEXT(K127)+ISTEXT(L127)+ISTEXT(R127)+ISTEXT(V127)+ISTEXT(AP127)+ISTEXT(AS127))</f>
        <v>0</v>
      </c>
      <c r="DQ127" s="23" t="n">
        <f aca="false">IF(AY127=1,IF(H127&lt;&gt;INT(H127),1,0),0)</f>
        <v>0</v>
      </c>
      <c r="DR127" s="23" t="str">
        <f aca="false">IF(TRIM($A127)="","",IF(TRIM(B127)="",SUBSTITUTE(SUBSTITUTE(SUBSTITUTE(SUBSTITUTE(SUBSTITUTE(SUBSTITUTE(LOWER(TRIM($A127)),"~",""),"*",""),"?",""),"&lt;",""),"&gt;",""),"=",""),SUBSTITUTE(SUBSTITUTE(SUBSTITUTE(SUBSTITUTE(SUBSTITUTE(SUBSTITUTE(LOWER(TRIM(B127)),"~",""),"*",""),"?",""),"&lt;",""),"&gt;",""),"=","")))</f>
        <v/>
      </c>
      <c r="DS127" s="23" t="str">
        <f aca="false">IF(CM127="","",IFERROR(IF(LEFT(LOWER(TRIM(INDEX(Clay_Brands!$A$2:$FZ$601,CM127,Sync!$D$19)&amp;"")),4)="grp-",SUBSTITUTE(SUBSTITUTE(SUBSTITUTE(SUBSTITUTE(SUBSTITUTE(SUBSTITUTE(LOWER(TRIM(INDEX(Clay_Brands!$A$2:$FZ$601,CM127,Sync!$D$19)&amp;"")),"~",""),"*",""),"?",""),"&lt;",""),"&gt;",""),"=",""),""),""))</f>
        <v/>
      </c>
      <c r="DT127" s="23" t="str">
        <f aca="false">IF(DS127&lt;&gt;"",DR127,"")</f>
        <v/>
      </c>
      <c r="DU127" s="23" t="str">
        <f aca="false">IF(AZ127=1,AW127,"")</f>
        <v/>
      </c>
      <c r="DV127" s="23" t="str">
        <f aca="false">IF(TRIM($A127)="","",IFERROR(INDEX($A$2:$A$201,MATCH(AW127,$DU$2:$DU$201,0))&amp;"",$A127&amp;""))</f>
        <v/>
      </c>
      <c r="DW127" s="23" t="n">
        <f aca="false">IF(AY127=1,IF(COUNTIFS($A$2:$A$201,$A127,$AY$2:$AY$201,1,$H$2:$H$201,"&lt;"&amp;H127)+COUNTIFS($A$2:$A$201,$A127,$AY$2:$AY$201,1,$H$2:$H$201,H127,$AX$2:$AX$201,"&lt;"&amp;AX127)=0,1,0),0)</f>
        <v>0</v>
      </c>
      <c r="DX127" s="23" t="n">
        <f aca="false">IF(AZ127=1,IF(COUNTIFS($AW$2:$AW$201,AW127,$DW$2:$DW$201,1)&gt;1,1,0),0)</f>
        <v>0</v>
      </c>
    </row>
    <row r="128" customFormat="false" ht="15" hidden="false" customHeight="false" outlineLevel="0" collapsed="false">
      <c r="G128" s="32"/>
      <c r="H128" s="33"/>
      <c r="I128" s="32"/>
      <c r="O128" s="32"/>
      <c r="P128" s="32"/>
      <c r="U128" s="32"/>
      <c r="Y128" s="32"/>
      <c r="AB128" s="32"/>
      <c r="AC128" s="32"/>
      <c r="AD128" s="32"/>
      <c r="AE128" s="32"/>
      <c r="AF128" s="32"/>
      <c r="AG128" s="32"/>
      <c r="AI128" s="32"/>
      <c r="AJ128" s="32"/>
      <c r="AK128" s="32"/>
      <c r="AN128" s="32"/>
      <c r="AO128" s="32"/>
      <c r="AR128" s="32"/>
      <c r="AT128" s="32"/>
      <c r="AV128" s="34" t="str">
        <f aca="false">IF(TRIM($A128)="","",IF(AND(LEFT($A128,6)="SAMPLE",Config!$B$19&lt;&gt;"Y"),"",IF(NOT(ISNUMBER(H128)),"call_date is blank or not a date",IF(Sync!$D$5="","Clay paste is empty or has no row_id column: paste the Clay export on Clay_Brands",IF(CM128="","row_id not found in the Clay paste: add the Clay row or fix the row_id",IF(AND(ISNUMBER(CO128),CO128&gt;=1,CO128&lt;=5),"Clay status is "&amp;CN128&amp;": set call_done or later",IF(AND(BA128=1,CP128&lt;&gt;CB128),"Clay yes_in_principle should be "&amp;CB128,IF(AND(BA128=1,CQ128&lt;&gt;H128),"Clay call_date should be "&amp;TEXT(H128,"yyyy-mm-dd"),""))))))))</f>
        <v/>
      </c>
      <c r="AW128" s="23" t="str">
        <f aca="false">IF(TRIM($A128)="","",IF(TRIM(C128)&lt;&gt;"",SUBSTITUTE(SUBSTITUTE(SUBSTITUTE(SUBSTITUTE(SUBSTITUTE(SUBSTITUTE(LOWER(TRIM(C128)),"~",""),"*",""),"?",""),"&lt;",""),"&gt;",""),"=",""),IF(DS128&lt;&gt;"",DS128,IFERROR(INDEX($DS$2:$DS$201,MATCH(DR128,$DT$2:$DT$201,0)),DR128))))</f>
        <v/>
      </c>
      <c r="AX128" s="23" t="n">
        <f aca="false">ROW()</f>
        <v>128</v>
      </c>
      <c r="AY128" s="23" t="n">
        <f aca="false">IF(AND(TRIM($A128)&lt;&gt;"",ISNUMBER(H128)),IF(AND(LEFT($A128,6)="SAMPLE",Config!$B$19&lt;&gt;"Y"),0,1),0)</f>
        <v>0</v>
      </c>
      <c r="AZ128" s="23" t="n">
        <f aca="false">IF(AY128=1,IF(COUNTIFS($AW$2:$AW$201,AW128,$AY$2:$AY$201,1,$H$2:$H$201,"&lt;"&amp;H128)+COUNTIFS($AW$2:$AW$201,AW128,$AY$2:$AY$201,1,$H$2:$H$201,H128,$AX$2:$AX$201,"&lt;"&amp;AX128)=0,1,0),0)</f>
        <v>0</v>
      </c>
      <c r="BA128" s="23" t="n">
        <f aca="false">IF(AY128=1,IF(COUNTIFS($A$2:$A$201,$A128,$AY$2:$AY$201,1,$H$2:$H$201,"&gt;"&amp;H128)+COUNTIFS($A$2:$A$201,$A128,$AY$2:$AY$201,1,$H$2:$H$201,H128,$AX$2:$AX$201,"&gt;"&amp;AX128)=0,1,0),0)</f>
        <v>0</v>
      </c>
      <c r="BB128" s="23" t="n">
        <f aca="false">IF(AND(AY128=1,O128="Y",MAX(N(R128),N(V128))&gt;=Config!$B$14),1,0)</f>
        <v>0</v>
      </c>
      <c r="BC128" s="23" t="n">
        <f aca="false">IF(BB128=1,IF(COUNTIFS($AW$2:$AW$201,AW128,$BB$2:$BB$201,1,$H$2:$H$201,"&lt;"&amp;H128)+COUNTIFS($AW$2:$AW$201,AW128,$BB$2:$BB$201,1,$H$2:$H$201,H128,$AX$2:$AX$201,"&lt;"&amp;AX128)=0,1,0),0)</f>
        <v>0</v>
      </c>
      <c r="BD128" s="23" t="n">
        <f aca="false">IF(AND(AY128=1,O128="Y",ISNUMBER(R128)),IF(R128&gt;=Config!$B$14,1,0),0)</f>
        <v>0</v>
      </c>
      <c r="BE128" s="23" t="n">
        <f aca="false">IF(BD128=1,IF(COUNTIFS($AW$2:$AW$201,AW128,$BD$2:$BD$201,1,$H$2:$H$201,"&lt;"&amp;H128)+COUNTIFS($AW$2:$AW$201,AW128,$BD$2:$BD$201,1,$H$2:$H$201,H128,$AX$2:$AX$201,"&lt;"&amp;AX128)=0,1,0),0)</f>
        <v>0</v>
      </c>
      <c r="BF128" s="23" t="n">
        <f aca="false">IF(AND(AY128=1,O128&lt;&gt;"Y",MAX(N(R128),N(V128))&gt;=Config!$B$14),1,0)</f>
        <v>0</v>
      </c>
      <c r="BG128" s="23" t="n">
        <f aca="false">IF(BF128=1,IF(COUNTIFS($AW$2:$AW$201,AW128,$BF$2:$BF$201,1,$H$2:$H$201,"&lt;"&amp;H128)+COUNTIFS($AW$2:$AW$201,AW128,$BF$2:$BF$201,1,$H$2:$H$201,H128,$AX$2:$AX$201,"&lt;"&amp;AX128)=0,1,0),0)</f>
        <v>0</v>
      </c>
      <c r="BH128" s="23" t="n">
        <f aca="false">IF(AND(AY128=1,ISNUMBER(R128)),1,0)</f>
        <v>0</v>
      </c>
      <c r="BI128" s="23" t="n">
        <f aca="false">IF(BH128=1,IF(COUNTIFS($AW$2:$AW$201,AW128,$BH$2:$BH$201,1,$H$2:$H$201,"&lt;"&amp;H128)+COUNTIFS($AW$2:$AW$201,AW128,$BH$2:$BH$201,1,$H$2:$H$201,H128,$AX$2:$AX$201,"&lt;"&amp;AX128)=0,1,0),0)</f>
        <v>0</v>
      </c>
      <c r="BJ128" s="23" t="str">
        <f aca="false">IF(AND(BI128=1,INT(N(H128))&lt;=Config!$B$6),R128,"")</f>
        <v/>
      </c>
      <c r="BK128" s="23" t="str">
        <f aca="false">IF(AND(BI128=1,INT(N(H128))&lt;=Config!$B$7),R128,"")</f>
        <v/>
      </c>
      <c r="BL128" s="23" t="str">
        <f aca="false">IF(AND(BI128=1,INT(N(H128))&lt;=Config!$B$8),R128,"")</f>
        <v/>
      </c>
      <c r="BM128" s="23" t="str">
        <f aca="false">IF(AND(BI128=1,INT(N(H128))&lt;=Config!$B$5),R128,"")</f>
        <v/>
      </c>
      <c r="BN128" s="23" t="n">
        <f aca="false">IF(AND(AY128=1,ISNUMBER(V128)),1,0)</f>
        <v>0</v>
      </c>
      <c r="BO128" s="23" t="n">
        <f aca="false">IF(BN128=1,IF(COUNTIFS($AW$2:$AW$201,AW128,$BN$2:$BN$201,1,$H$2:$H$201,"&lt;"&amp;H128)+COUNTIFS($AW$2:$AW$201,AW128,$BN$2:$BN$201,1,$H$2:$H$201,H128,$AX$2:$AX$201,"&lt;"&amp;AX128)=0,1,0),0)</f>
        <v>0</v>
      </c>
      <c r="BP128" s="23" t="str">
        <f aca="false">IF(AND(BO128=1,INT(N(H128))&lt;=Config!$B$6),V128,"")</f>
        <v/>
      </c>
      <c r="BQ128" s="23" t="str">
        <f aca="false">IF(AND(BO128=1,INT(N(H128))&lt;=Config!$B$7),V128,"")</f>
        <v/>
      </c>
      <c r="BR128" s="23" t="str">
        <f aca="false">IF(AND(BO128=1,INT(N(H128))&lt;=Config!$B$8),V128,"")</f>
        <v/>
      </c>
      <c r="BS128" s="23" t="str">
        <f aca="false">IF(AND(BO128=1,INT(N(H128))&lt;=Config!$B$5),V128,"")</f>
        <v/>
      </c>
      <c r="BT128" s="23" t="n">
        <f aca="false">IF(AND(AY128=1,ISNUMBER(K128)),1,0)</f>
        <v>0</v>
      </c>
      <c r="BU128" s="23" t="n">
        <f aca="false">IF(BT128=1,IF(COUNTIFS($AW$2:$AW$201,AW128,$BT$2:$BT$201,1,$H$2:$H$201,"&lt;"&amp;H128)+COUNTIFS($AW$2:$AW$201,AW128,$BT$2:$BT$201,1,$H$2:$H$201,H128,$AX$2:$AX$201,"&lt;"&amp;AX128)=0,1,0),0)</f>
        <v>0</v>
      </c>
      <c r="BV128" s="23" t="str">
        <f aca="false">IF(AND(BU128=1,INT(N(H128))&lt;=Config!$B$5),K128,"")</f>
        <v/>
      </c>
      <c r="BW128" s="23" t="n">
        <f aca="false">IF(AND(AY128=1,OR(AND(ISNUMBER(R128),TRIM(S128)=""),AND(ISNUMBER(V128),TRIM(W128)=""))),1,0)</f>
        <v>0</v>
      </c>
      <c r="BX128" s="23" t="str">
        <f aca="false">IF(AY128=1,AJ128&amp;"","")</f>
        <v/>
      </c>
      <c r="BY128" s="23" t="str">
        <f aca="false">IF(AY128=1,AK128&amp;"","")</f>
        <v/>
      </c>
      <c r="BZ128" s="23" t="str">
        <f aca="false">IF(AY128=1,AL128&amp;"","")</f>
        <v/>
      </c>
      <c r="CA128" s="23" t="str">
        <f aca="false">IF(AND(AY128=1,ISNUMBER(AS128),INT(N(H128))&lt;=Config!$B$5),AS128,"")</f>
        <v/>
      </c>
      <c r="CB128" s="23" t="str">
        <f aca="false">IF(AY128=1,IF(COUNTIFS($A$2:$A$201,$A128,$CU$2:$CU$201,1,$AN$2:$AN$201,"Y")&gt;0,"Y","N"),"")</f>
        <v/>
      </c>
      <c r="CC128" s="23" t="n">
        <f aca="false">IF(AND(AY128=1,AN128="Y"),IF(COUNTIFS($AW$2:$AW$201,AW128,$AN$2:$AN$201,"Y",$AY$2:$AY$201,1,$H$2:$H$201,"&lt;"&amp;H128)+COUNTIFS($AW$2:$AW$201,AW128,$AN$2:$AN$201,"Y",$AY$2:$AY$201,1,$H$2:$H$201,H128,$AX$2:$AX$201,"&lt;"&amp;AX128)=0,1,0),0)</f>
        <v>0</v>
      </c>
      <c r="CD128" s="23" t="n">
        <f aca="false">IF(AND(AY128=1,AB128="Y",AC128="Y",AD128="Y",AE128="Y",AF128="Y",AG128="Y",AI128="Y",TRIM(AH128)&lt;&gt;""),1,0)</f>
        <v>0</v>
      </c>
      <c r="CE128" s="23" t="n">
        <f aca="false">IF(CD128=1,IF(COUNTIFS($AW$2:$AW$201,AW128,$CD$2:$CD$201,1,$H$2:$H$201,"&lt;"&amp;H128)+COUNTIFS($AW$2:$AW$201,AW128,$CD$2:$CD$201,1,$H$2:$H$201,H128,$AX$2:$AX$201,"&lt;"&amp;AX128)=0,1,0),0)</f>
        <v>0</v>
      </c>
      <c r="CF128" s="23" t="n">
        <f aca="false">IF(AND(AY128=1,AO128="Y"),1,0)</f>
        <v>0</v>
      </c>
      <c r="CG128" s="23" t="n">
        <f aca="false">IF(CF128=1,IF(COUNTIFS($AW$2:$AW$201,AW128,$CF$2:$CF$201,1,$H$2:$H$201,"&lt;"&amp;H128)+COUNTIFS($AW$2:$AW$201,AW128,$CF$2:$CF$201,1,$H$2:$H$201,H128,$AX$2:$AX$201,"&lt;"&amp;AX128)=0,1,0),0)</f>
        <v>0</v>
      </c>
      <c r="CH128" s="23" t="n">
        <f aca="false">IF(AND(AY128=1,P128="Y"),1,0)</f>
        <v>0</v>
      </c>
      <c r="CI128" s="23" t="n">
        <f aca="false">IF(CH128=1,IF(COUNTIFS($AW$2:$AW$201,AW128,$CH$2:$CH$201,1,$H$2:$H$201,"&lt;"&amp;H128)+COUNTIFS($AW$2:$AW$201,AW128,$CH$2:$CH$201,1,$H$2:$H$201,H128,$AX$2:$AX$201,"&lt;"&amp;AX128)=0,1,0),0)</f>
        <v>0</v>
      </c>
      <c r="CJ128" s="23" t="str">
        <f aca="false">IF(AND(BU128=1,INT(N(H128))&lt;=Config!$B$5),L128,"")</f>
        <v/>
      </c>
      <c r="CK128" s="23" t="n">
        <f aca="false">IF(AND(AY128=1,AR128="Y"),1,0)</f>
        <v>0</v>
      </c>
      <c r="CL128" s="23" t="n">
        <f aca="false">IF(CK128=1,IF(COUNTIFS($AW$2:$AW$201,AW128,$CK$2:$CK$201,1,$H$2:$H$201,"&lt;"&amp;H128)+COUNTIFS($AW$2:$AW$201,AW128,$CK$2:$CK$201,1,$H$2:$H$201,H128,$AX$2:$AX$201,"&lt;"&amp;AX128)=0,1,0),0)</f>
        <v>0</v>
      </c>
      <c r="CM128" s="23" t="str">
        <f aca="false">IF(AY128=1,IFERROR(MATCH($A128,INDEX(Clay_Brands!$A$2:$FZ$601,0,Sync!$D$5),0),""),"")</f>
        <v/>
      </c>
      <c r="CN128" s="23" t="str">
        <f aca="false">IF(CM128="","",IFERROR(INDEX(Clay_Brands!$A$2:$FZ$601,CM128,Sync!$D$7)&amp;"",""))</f>
        <v/>
      </c>
      <c r="CO128" s="23" t="str">
        <f aca="false">IF(CN128="","",IFERROR(INDEX(Lists!$K$2:$K$15,MATCH(CN128,Lists!$J$2:$J$15,0)),""))</f>
        <v/>
      </c>
      <c r="CP128" s="23" t="str">
        <f aca="false">IF(CM128="","",IFERROR(INDEX(Clay_Brands!$A$2:$FZ$601,CM128,Sync!$D$17)&amp;"",""))</f>
        <v/>
      </c>
      <c r="CQ128" s="35" t="str">
        <f aca="false">IF(CM128="","",IFERROR(N(INDEX(Clay_Brands!$A$2:$FZ$601,CM128,Sync!$D$16)),0))</f>
        <v/>
      </c>
      <c r="CR128" s="23" t="n">
        <f aca="false">IF(AND(AY128=1,OR(O128="N",AND(OR(ISNUMBER(R128),ISNUMBER(V128)),MAX(N(R128),N(V128))&lt;Config!$B$14))),1,0)</f>
        <v>0</v>
      </c>
      <c r="CS128" s="23" t="n">
        <f aca="false">IF(OR(BB128=1,CR128=1),1,0)</f>
        <v>0</v>
      </c>
      <c r="CT128" s="23" t="n">
        <f aca="false">IF(AND(AY128=1,OR(AN128="Y",AN128="N",AN128="maybe")),1,0)</f>
        <v>0</v>
      </c>
      <c r="CU128" s="23" t="n">
        <f aca="false">IF(AND(CT128=1),IF(COUNTIFS($A$2:$A$201,$A128,$CT$2:$CT$201,1,$H$2:$H$201,"&gt;"&amp;H128)+COUNTIFS($A$2:$A$201,$A128,$CT$2:$CT$201,1,$H$2:$H$201,H128,$AX$2:$AX$201,"&gt;"&amp;AX128)=0,1,0),0)</f>
        <v>0</v>
      </c>
      <c r="CV128" s="23" t="n">
        <f aca="false">IF(AND(CS128=1,INT(N(H128))&lt;=Config!$B$6),IF(COUNTIFS($AW$2:$AW$201,AW128,$CS$2:$CS$201,1,$H$2:$H$201,"&gt;"&amp;H128,$H$2:$H$201,"&lt;"&amp;(Config!$B$6+1))+COUNTIFS($AW$2:$AW$201,AW128,$CS$2:$CS$201,1,$H$2:$H$201,H128,$AX$2:$AX$201,"&gt;"&amp;AX128)=0,1,0),0)</f>
        <v>0</v>
      </c>
      <c r="CW128" s="23" t="n">
        <f aca="false">IF(AND(CS128=1,INT(N(H128))&lt;=Config!$B$7),IF(COUNTIFS($AW$2:$AW$201,AW128,$CS$2:$CS$201,1,$H$2:$H$201,"&gt;"&amp;H128,$H$2:$H$201,"&lt;"&amp;(Config!$B$7+1))+COUNTIFS($AW$2:$AW$201,AW128,$CS$2:$CS$201,1,$H$2:$H$201,H128,$AX$2:$AX$201,"&gt;"&amp;AX128)=0,1,0),0)</f>
        <v>0</v>
      </c>
      <c r="CX128" s="23" t="n">
        <f aca="false">IF(AND(CS128=1,INT(N(H128))&lt;=Config!$B$8),IF(COUNTIFS($AW$2:$AW$201,AW128,$CS$2:$CS$201,1,$H$2:$H$201,"&gt;"&amp;H128,$H$2:$H$201,"&lt;"&amp;(Config!$B$8+1))+COUNTIFS($AW$2:$AW$201,AW128,$CS$2:$CS$201,1,$H$2:$H$201,H128,$AX$2:$AX$201,"&gt;"&amp;AX128)=0,1,0),0)</f>
        <v>0</v>
      </c>
      <c r="CY128" s="23" t="n">
        <f aca="false">IF(AND(CS128=1,INT(N(H128))&lt;=Config!$B$5),IF(COUNTIFS($AW$2:$AW$201,AW128,$CS$2:$CS$201,1,$H$2:$H$201,"&gt;"&amp;H128,$H$2:$H$201,"&lt;"&amp;(Config!$B$5+1))+COUNTIFS($AW$2:$AW$201,AW128,$CS$2:$CS$201,1,$H$2:$H$201,H128,$AX$2:$AX$201,"&gt;"&amp;AX128)=0,1,0),0)</f>
        <v>0</v>
      </c>
      <c r="CZ128" s="23" t="n">
        <f aca="false">IF(AY128=1,IF(COUNTIFS($AW$2:$AW$201,AW128,$CV$2:$CV$201,1,$BB$2:$BB$201,1)&gt;0,1,0),0)</f>
        <v>0</v>
      </c>
      <c r="DA128" s="23" t="n">
        <f aca="false">IF(AY128=1,IF(COUNTIFS($AW$2:$AW$201,AW128,$CW$2:$CW$201,1,$BB$2:$BB$201,1)&gt;0,1,0),0)</f>
        <v>0</v>
      </c>
      <c r="DB128" s="23" t="n">
        <f aca="false">IF(AY128=1,IF(COUNTIFS($AW$2:$AW$201,AW128,$CX$2:$CX$201,1,$BB$2:$BB$201,1)&gt;0,1,0),0)</f>
        <v>0</v>
      </c>
      <c r="DC128" s="23" t="n">
        <f aca="false">IF(AY128=1,IF(COUNTIFS($AW$2:$AW$201,AW128,$CY$2:$CY$201,1,$BB$2:$BB$201,1)&gt;0,1,0),0)</f>
        <v>0</v>
      </c>
      <c r="DD128" s="23" t="n">
        <f aca="false">IF(AND(BC128=1,INT(N(H128))&lt;=Config!$B$6,CZ128=1),1,0)</f>
        <v>0</v>
      </c>
      <c r="DE128" s="23" t="n">
        <f aca="false">IF(AND(BC128=1,INT(N(H128))&lt;=Config!$B$7,DA128=1),1,0)</f>
        <v>0</v>
      </c>
      <c r="DF128" s="23" t="n">
        <f aca="false">IF(AND(BC128=1,INT(N(H128))&lt;=Config!$B$8,DB128=1),1,0)</f>
        <v>0</v>
      </c>
      <c r="DG128" s="23" t="n">
        <f aca="false">IF(AND(BC128=1,INT(N(H128))&lt;=Config!$B$5,DC128=1),1,0)</f>
        <v>0</v>
      </c>
      <c r="DH128" s="23" t="n">
        <f aca="false">IF(AND(BE128=1,INT(N(H128))&lt;=Config!$B$6,CZ128=1),1,0)</f>
        <v>0</v>
      </c>
      <c r="DI128" s="23" t="n">
        <f aca="false">IF(AND(BE128=1,INT(N(H128))&lt;=Config!$B$7,DA128=1),1,0)</f>
        <v>0</v>
      </c>
      <c r="DJ128" s="23" t="n">
        <f aca="false">IF(AND(BE128=1,INT(N(H128))&lt;=Config!$B$8,DB128=1),1,0)</f>
        <v>0</v>
      </c>
      <c r="DK128" s="23" t="n">
        <f aca="false">IF(AND(BE128=1,INT(N(H128))&lt;=Config!$B$5,DC128=1),1,0)</f>
        <v>0</v>
      </c>
      <c r="DL128" s="23" t="n">
        <f aca="false">IF(AND(BC128=1,INT(N(H128))&lt;=Config!$B$6,CZ128=0),1,0)</f>
        <v>0</v>
      </c>
      <c r="DM128" s="23" t="n">
        <f aca="false">IF(AND(BC128=1,INT(N(H128))&lt;=Config!$B$7,DA128=0),1,0)</f>
        <v>0</v>
      </c>
      <c r="DN128" s="23" t="n">
        <f aca="false">IF(AND(BC128=1,INT(N(H128))&lt;=Config!$B$8,DB128=0),1,0)</f>
        <v>0</v>
      </c>
      <c r="DO128" s="23" t="n">
        <f aca="false">IF(AND(BC128=1,INT(N(H128))&lt;=Config!$B$5,DC128=0),1,0)</f>
        <v>0</v>
      </c>
      <c r="DP128" s="23" t="n">
        <f aca="false">IF(TRIM($A128)="",0,ISTEXT(K128)+ISTEXT(L128)+ISTEXT(R128)+ISTEXT(V128)+ISTEXT(AP128)+ISTEXT(AS128))</f>
        <v>0</v>
      </c>
      <c r="DQ128" s="23" t="n">
        <f aca="false">IF(AY128=1,IF(H128&lt;&gt;INT(H128),1,0),0)</f>
        <v>0</v>
      </c>
      <c r="DR128" s="23" t="str">
        <f aca="false">IF(TRIM($A128)="","",IF(TRIM(B128)="",SUBSTITUTE(SUBSTITUTE(SUBSTITUTE(SUBSTITUTE(SUBSTITUTE(SUBSTITUTE(LOWER(TRIM($A128)),"~",""),"*",""),"?",""),"&lt;",""),"&gt;",""),"=",""),SUBSTITUTE(SUBSTITUTE(SUBSTITUTE(SUBSTITUTE(SUBSTITUTE(SUBSTITUTE(LOWER(TRIM(B128)),"~",""),"*",""),"?",""),"&lt;",""),"&gt;",""),"=","")))</f>
        <v/>
      </c>
      <c r="DS128" s="23" t="str">
        <f aca="false">IF(CM128="","",IFERROR(IF(LEFT(LOWER(TRIM(INDEX(Clay_Brands!$A$2:$FZ$601,CM128,Sync!$D$19)&amp;"")),4)="grp-",SUBSTITUTE(SUBSTITUTE(SUBSTITUTE(SUBSTITUTE(SUBSTITUTE(SUBSTITUTE(LOWER(TRIM(INDEX(Clay_Brands!$A$2:$FZ$601,CM128,Sync!$D$19)&amp;"")),"~",""),"*",""),"?",""),"&lt;",""),"&gt;",""),"=",""),""),""))</f>
        <v/>
      </c>
      <c r="DT128" s="23" t="str">
        <f aca="false">IF(DS128&lt;&gt;"",DR128,"")</f>
        <v/>
      </c>
      <c r="DU128" s="23" t="str">
        <f aca="false">IF(AZ128=1,AW128,"")</f>
        <v/>
      </c>
      <c r="DV128" s="23" t="str">
        <f aca="false">IF(TRIM($A128)="","",IFERROR(INDEX($A$2:$A$201,MATCH(AW128,$DU$2:$DU$201,0))&amp;"",$A128&amp;""))</f>
        <v/>
      </c>
      <c r="DW128" s="23" t="n">
        <f aca="false">IF(AY128=1,IF(COUNTIFS($A$2:$A$201,$A128,$AY$2:$AY$201,1,$H$2:$H$201,"&lt;"&amp;H128)+COUNTIFS($A$2:$A$201,$A128,$AY$2:$AY$201,1,$H$2:$H$201,H128,$AX$2:$AX$201,"&lt;"&amp;AX128)=0,1,0),0)</f>
        <v>0</v>
      </c>
      <c r="DX128" s="23" t="n">
        <f aca="false">IF(AZ128=1,IF(COUNTIFS($AW$2:$AW$201,AW128,$DW$2:$DW$201,1)&gt;1,1,0),0)</f>
        <v>0</v>
      </c>
    </row>
    <row r="129" customFormat="false" ht="15" hidden="false" customHeight="false" outlineLevel="0" collapsed="false">
      <c r="G129" s="32"/>
      <c r="H129" s="33"/>
      <c r="I129" s="32"/>
      <c r="O129" s="32"/>
      <c r="P129" s="32"/>
      <c r="U129" s="32"/>
      <c r="Y129" s="32"/>
      <c r="AB129" s="32"/>
      <c r="AC129" s="32"/>
      <c r="AD129" s="32"/>
      <c r="AE129" s="32"/>
      <c r="AF129" s="32"/>
      <c r="AG129" s="32"/>
      <c r="AI129" s="32"/>
      <c r="AJ129" s="32"/>
      <c r="AK129" s="32"/>
      <c r="AN129" s="32"/>
      <c r="AO129" s="32"/>
      <c r="AR129" s="32"/>
      <c r="AT129" s="32"/>
      <c r="AV129" s="34" t="str">
        <f aca="false">IF(TRIM($A129)="","",IF(AND(LEFT($A129,6)="SAMPLE",Config!$B$19&lt;&gt;"Y"),"",IF(NOT(ISNUMBER(H129)),"call_date is blank or not a date",IF(Sync!$D$5="","Clay paste is empty or has no row_id column: paste the Clay export on Clay_Brands",IF(CM129="","row_id not found in the Clay paste: add the Clay row or fix the row_id",IF(AND(ISNUMBER(CO129),CO129&gt;=1,CO129&lt;=5),"Clay status is "&amp;CN129&amp;": set call_done or later",IF(AND(BA129=1,CP129&lt;&gt;CB129),"Clay yes_in_principle should be "&amp;CB129,IF(AND(BA129=1,CQ129&lt;&gt;H129),"Clay call_date should be "&amp;TEXT(H129,"yyyy-mm-dd"),""))))))))</f>
        <v/>
      </c>
      <c r="AW129" s="23" t="str">
        <f aca="false">IF(TRIM($A129)="","",IF(TRIM(C129)&lt;&gt;"",SUBSTITUTE(SUBSTITUTE(SUBSTITUTE(SUBSTITUTE(SUBSTITUTE(SUBSTITUTE(LOWER(TRIM(C129)),"~",""),"*",""),"?",""),"&lt;",""),"&gt;",""),"=",""),IF(DS129&lt;&gt;"",DS129,IFERROR(INDEX($DS$2:$DS$201,MATCH(DR129,$DT$2:$DT$201,0)),DR129))))</f>
        <v/>
      </c>
      <c r="AX129" s="23" t="n">
        <f aca="false">ROW()</f>
        <v>129</v>
      </c>
      <c r="AY129" s="23" t="n">
        <f aca="false">IF(AND(TRIM($A129)&lt;&gt;"",ISNUMBER(H129)),IF(AND(LEFT($A129,6)="SAMPLE",Config!$B$19&lt;&gt;"Y"),0,1),0)</f>
        <v>0</v>
      </c>
      <c r="AZ129" s="23" t="n">
        <f aca="false">IF(AY129=1,IF(COUNTIFS($AW$2:$AW$201,AW129,$AY$2:$AY$201,1,$H$2:$H$201,"&lt;"&amp;H129)+COUNTIFS($AW$2:$AW$201,AW129,$AY$2:$AY$201,1,$H$2:$H$201,H129,$AX$2:$AX$201,"&lt;"&amp;AX129)=0,1,0),0)</f>
        <v>0</v>
      </c>
      <c r="BA129" s="23" t="n">
        <f aca="false">IF(AY129=1,IF(COUNTIFS($A$2:$A$201,$A129,$AY$2:$AY$201,1,$H$2:$H$201,"&gt;"&amp;H129)+COUNTIFS($A$2:$A$201,$A129,$AY$2:$AY$201,1,$H$2:$H$201,H129,$AX$2:$AX$201,"&gt;"&amp;AX129)=0,1,0),0)</f>
        <v>0</v>
      </c>
      <c r="BB129" s="23" t="n">
        <f aca="false">IF(AND(AY129=1,O129="Y",MAX(N(R129),N(V129))&gt;=Config!$B$14),1,0)</f>
        <v>0</v>
      </c>
      <c r="BC129" s="23" t="n">
        <f aca="false">IF(BB129=1,IF(COUNTIFS($AW$2:$AW$201,AW129,$BB$2:$BB$201,1,$H$2:$H$201,"&lt;"&amp;H129)+COUNTIFS($AW$2:$AW$201,AW129,$BB$2:$BB$201,1,$H$2:$H$201,H129,$AX$2:$AX$201,"&lt;"&amp;AX129)=0,1,0),0)</f>
        <v>0</v>
      </c>
      <c r="BD129" s="23" t="n">
        <f aca="false">IF(AND(AY129=1,O129="Y",ISNUMBER(R129)),IF(R129&gt;=Config!$B$14,1,0),0)</f>
        <v>0</v>
      </c>
      <c r="BE129" s="23" t="n">
        <f aca="false">IF(BD129=1,IF(COUNTIFS($AW$2:$AW$201,AW129,$BD$2:$BD$201,1,$H$2:$H$201,"&lt;"&amp;H129)+COUNTIFS($AW$2:$AW$201,AW129,$BD$2:$BD$201,1,$H$2:$H$201,H129,$AX$2:$AX$201,"&lt;"&amp;AX129)=0,1,0),0)</f>
        <v>0</v>
      </c>
      <c r="BF129" s="23" t="n">
        <f aca="false">IF(AND(AY129=1,O129&lt;&gt;"Y",MAX(N(R129),N(V129))&gt;=Config!$B$14),1,0)</f>
        <v>0</v>
      </c>
      <c r="BG129" s="23" t="n">
        <f aca="false">IF(BF129=1,IF(COUNTIFS($AW$2:$AW$201,AW129,$BF$2:$BF$201,1,$H$2:$H$201,"&lt;"&amp;H129)+COUNTIFS($AW$2:$AW$201,AW129,$BF$2:$BF$201,1,$H$2:$H$201,H129,$AX$2:$AX$201,"&lt;"&amp;AX129)=0,1,0),0)</f>
        <v>0</v>
      </c>
      <c r="BH129" s="23" t="n">
        <f aca="false">IF(AND(AY129=1,ISNUMBER(R129)),1,0)</f>
        <v>0</v>
      </c>
      <c r="BI129" s="23" t="n">
        <f aca="false">IF(BH129=1,IF(COUNTIFS($AW$2:$AW$201,AW129,$BH$2:$BH$201,1,$H$2:$H$201,"&lt;"&amp;H129)+COUNTIFS($AW$2:$AW$201,AW129,$BH$2:$BH$201,1,$H$2:$H$201,H129,$AX$2:$AX$201,"&lt;"&amp;AX129)=0,1,0),0)</f>
        <v>0</v>
      </c>
      <c r="BJ129" s="23" t="str">
        <f aca="false">IF(AND(BI129=1,INT(N(H129))&lt;=Config!$B$6),R129,"")</f>
        <v/>
      </c>
      <c r="BK129" s="23" t="str">
        <f aca="false">IF(AND(BI129=1,INT(N(H129))&lt;=Config!$B$7),R129,"")</f>
        <v/>
      </c>
      <c r="BL129" s="23" t="str">
        <f aca="false">IF(AND(BI129=1,INT(N(H129))&lt;=Config!$B$8),R129,"")</f>
        <v/>
      </c>
      <c r="BM129" s="23" t="str">
        <f aca="false">IF(AND(BI129=1,INT(N(H129))&lt;=Config!$B$5),R129,"")</f>
        <v/>
      </c>
      <c r="BN129" s="23" t="n">
        <f aca="false">IF(AND(AY129=1,ISNUMBER(V129)),1,0)</f>
        <v>0</v>
      </c>
      <c r="BO129" s="23" t="n">
        <f aca="false">IF(BN129=1,IF(COUNTIFS($AW$2:$AW$201,AW129,$BN$2:$BN$201,1,$H$2:$H$201,"&lt;"&amp;H129)+COUNTIFS($AW$2:$AW$201,AW129,$BN$2:$BN$201,1,$H$2:$H$201,H129,$AX$2:$AX$201,"&lt;"&amp;AX129)=0,1,0),0)</f>
        <v>0</v>
      </c>
      <c r="BP129" s="23" t="str">
        <f aca="false">IF(AND(BO129=1,INT(N(H129))&lt;=Config!$B$6),V129,"")</f>
        <v/>
      </c>
      <c r="BQ129" s="23" t="str">
        <f aca="false">IF(AND(BO129=1,INT(N(H129))&lt;=Config!$B$7),V129,"")</f>
        <v/>
      </c>
      <c r="BR129" s="23" t="str">
        <f aca="false">IF(AND(BO129=1,INT(N(H129))&lt;=Config!$B$8),V129,"")</f>
        <v/>
      </c>
      <c r="BS129" s="23" t="str">
        <f aca="false">IF(AND(BO129=1,INT(N(H129))&lt;=Config!$B$5),V129,"")</f>
        <v/>
      </c>
      <c r="BT129" s="23" t="n">
        <f aca="false">IF(AND(AY129=1,ISNUMBER(K129)),1,0)</f>
        <v>0</v>
      </c>
      <c r="BU129" s="23" t="n">
        <f aca="false">IF(BT129=1,IF(COUNTIFS($AW$2:$AW$201,AW129,$BT$2:$BT$201,1,$H$2:$H$201,"&lt;"&amp;H129)+COUNTIFS($AW$2:$AW$201,AW129,$BT$2:$BT$201,1,$H$2:$H$201,H129,$AX$2:$AX$201,"&lt;"&amp;AX129)=0,1,0),0)</f>
        <v>0</v>
      </c>
      <c r="BV129" s="23" t="str">
        <f aca="false">IF(AND(BU129=1,INT(N(H129))&lt;=Config!$B$5),K129,"")</f>
        <v/>
      </c>
      <c r="BW129" s="23" t="n">
        <f aca="false">IF(AND(AY129=1,OR(AND(ISNUMBER(R129),TRIM(S129)=""),AND(ISNUMBER(V129),TRIM(W129)=""))),1,0)</f>
        <v>0</v>
      </c>
      <c r="BX129" s="23" t="str">
        <f aca="false">IF(AY129=1,AJ129&amp;"","")</f>
        <v/>
      </c>
      <c r="BY129" s="23" t="str">
        <f aca="false">IF(AY129=1,AK129&amp;"","")</f>
        <v/>
      </c>
      <c r="BZ129" s="23" t="str">
        <f aca="false">IF(AY129=1,AL129&amp;"","")</f>
        <v/>
      </c>
      <c r="CA129" s="23" t="str">
        <f aca="false">IF(AND(AY129=1,ISNUMBER(AS129),INT(N(H129))&lt;=Config!$B$5),AS129,"")</f>
        <v/>
      </c>
      <c r="CB129" s="23" t="str">
        <f aca="false">IF(AY129=1,IF(COUNTIFS($A$2:$A$201,$A129,$CU$2:$CU$201,1,$AN$2:$AN$201,"Y")&gt;0,"Y","N"),"")</f>
        <v/>
      </c>
      <c r="CC129" s="23" t="n">
        <f aca="false">IF(AND(AY129=1,AN129="Y"),IF(COUNTIFS($AW$2:$AW$201,AW129,$AN$2:$AN$201,"Y",$AY$2:$AY$201,1,$H$2:$H$201,"&lt;"&amp;H129)+COUNTIFS($AW$2:$AW$201,AW129,$AN$2:$AN$201,"Y",$AY$2:$AY$201,1,$H$2:$H$201,H129,$AX$2:$AX$201,"&lt;"&amp;AX129)=0,1,0),0)</f>
        <v>0</v>
      </c>
      <c r="CD129" s="23" t="n">
        <f aca="false">IF(AND(AY129=1,AB129="Y",AC129="Y",AD129="Y",AE129="Y",AF129="Y",AG129="Y",AI129="Y",TRIM(AH129)&lt;&gt;""),1,0)</f>
        <v>0</v>
      </c>
      <c r="CE129" s="23" t="n">
        <f aca="false">IF(CD129=1,IF(COUNTIFS($AW$2:$AW$201,AW129,$CD$2:$CD$201,1,$H$2:$H$201,"&lt;"&amp;H129)+COUNTIFS($AW$2:$AW$201,AW129,$CD$2:$CD$201,1,$H$2:$H$201,H129,$AX$2:$AX$201,"&lt;"&amp;AX129)=0,1,0),0)</f>
        <v>0</v>
      </c>
      <c r="CF129" s="23" t="n">
        <f aca="false">IF(AND(AY129=1,AO129="Y"),1,0)</f>
        <v>0</v>
      </c>
      <c r="CG129" s="23" t="n">
        <f aca="false">IF(CF129=1,IF(COUNTIFS($AW$2:$AW$201,AW129,$CF$2:$CF$201,1,$H$2:$H$201,"&lt;"&amp;H129)+COUNTIFS($AW$2:$AW$201,AW129,$CF$2:$CF$201,1,$H$2:$H$201,H129,$AX$2:$AX$201,"&lt;"&amp;AX129)=0,1,0),0)</f>
        <v>0</v>
      </c>
      <c r="CH129" s="23" t="n">
        <f aca="false">IF(AND(AY129=1,P129="Y"),1,0)</f>
        <v>0</v>
      </c>
      <c r="CI129" s="23" t="n">
        <f aca="false">IF(CH129=1,IF(COUNTIFS($AW$2:$AW$201,AW129,$CH$2:$CH$201,1,$H$2:$H$201,"&lt;"&amp;H129)+COUNTIFS($AW$2:$AW$201,AW129,$CH$2:$CH$201,1,$H$2:$H$201,H129,$AX$2:$AX$201,"&lt;"&amp;AX129)=0,1,0),0)</f>
        <v>0</v>
      </c>
      <c r="CJ129" s="23" t="str">
        <f aca="false">IF(AND(BU129=1,INT(N(H129))&lt;=Config!$B$5),L129,"")</f>
        <v/>
      </c>
      <c r="CK129" s="23" t="n">
        <f aca="false">IF(AND(AY129=1,AR129="Y"),1,0)</f>
        <v>0</v>
      </c>
      <c r="CL129" s="23" t="n">
        <f aca="false">IF(CK129=1,IF(COUNTIFS($AW$2:$AW$201,AW129,$CK$2:$CK$201,1,$H$2:$H$201,"&lt;"&amp;H129)+COUNTIFS($AW$2:$AW$201,AW129,$CK$2:$CK$201,1,$H$2:$H$201,H129,$AX$2:$AX$201,"&lt;"&amp;AX129)=0,1,0),0)</f>
        <v>0</v>
      </c>
      <c r="CM129" s="23" t="str">
        <f aca="false">IF(AY129=1,IFERROR(MATCH($A129,INDEX(Clay_Brands!$A$2:$FZ$601,0,Sync!$D$5),0),""),"")</f>
        <v/>
      </c>
      <c r="CN129" s="23" t="str">
        <f aca="false">IF(CM129="","",IFERROR(INDEX(Clay_Brands!$A$2:$FZ$601,CM129,Sync!$D$7)&amp;"",""))</f>
        <v/>
      </c>
      <c r="CO129" s="23" t="str">
        <f aca="false">IF(CN129="","",IFERROR(INDEX(Lists!$K$2:$K$15,MATCH(CN129,Lists!$J$2:$J$15,0)),""))</f>
        <v/>
      </c>
      <c r="CP129" s="23" t="str">
        <f aca="false">IF(CM129="","",IFERROR(INDEX(Clay_Brands!$A$2:$FZ$601,CM129,Sync!$D$17)&amp;"",""))</f>
        <v/>
      </c>
      <c r="CQ129" s="35" t="str">
        <f aca="false">IF(CM129="","",IFERROR(N(INDEX(Clay_Brands!$A$2:$FZ$601,CM129,Sync!$D$16)),0))</f>
        <v/>
      </c>
      <c r="CR129" s="23" t="n">
        <f aca="false">IF(AND(AY129=1,OR(O129="N",AND(OR(ISNUMBER(R129),ISNUMBER(V129)),MAX(N(R129),N(V129))&lt;Config!$B$14))),1,0)</f>
        <v>0</v>
      </c>
      <c r="CS129" s="23" t="n">
        <f aca="false">IF(OR(BB129=1,CR129=1),1,0)</f>
        <v>0</v>
      </c>
      <c r="CT129" s="23" t="n">
        <f aca="false">IF(AND(AY129=1,OR(AN129="Y",AN129="N",AN129="maybe")),1,0)</f>
        <v>0</v>
      </c>
      <c r="CU129" s="23" t="n">
        <f aca="false">IF(AND(CT129=1),IF(COUNTIFS($A$2:$A$201,$A129,$CT$2:$CT$201,1,$H$2:$H$201,"&gt;"&amp;H129)+COUNTIFS($A$2:$A$201,$A129,$CT$2:$CT$201,1,$H$2:$H$201,H129,$AX$2:$AX$201,"&gt;"&amp;AX129)=0,1,0),0)</f>
        <v>0</v>
      </c>
      <c r="CV129" s="23" t="n">
        <f aca="false">IF(AND(CS129=1,INT(N(H129))&lt;=Config!$B$6),IF(COUNTIFS($AW$2:$AW$201,AW129,$CS$2:$CS$201,1,$H$2:$H$201,"&gt;"&amp;H129,$H$2:$H$201,"&lt;"&amp;(Config!$B$6+1))+COUNTIFS($AW$2:$AW$201,AW129,$CS$2:$CS$201,1,$H$2:$H$201,H129,$AX$2:$AX$201,"&gt;"&amp;AX129)=0,1,0),0)</f>
        <v>0</v>
      </c>
      <c r="CW129" s="23" t="n">
        <f aca="false">IF(AND(CS129=1,INT(N(H129))&lt;=Config!$B$7),IF(COUNTIFS($AW$2:$AW$201,AW129,$CS$2:$CS$201,1,$H$2:$H$201,"&gt;"&amp;H129,$H$2:$H$201,"&lt;"&amp;(Config!$B$7+1))+COUNTIFS($AW$2:$AW$201,AW129,$CS$2:$CS$201,1,$H$2:$H$201,H129,$AX$2:$AX$201,"&gt;"&amp;AX129)=0,1,0),0)</f>
        <v>0</v>
      </c>
      <c r="CX129" s="23" t="n">
        <f aca="false">IF(AND(CS129=1,INT(N(H129))&lt;=Config!$B$8),IF(COUNTIFS($AW$2:$AW$201,AW129,$CS$2:$CS$201,1,$H$2:$H$201,"&gt;"&amp;H129,$H$2:$H$201,"&lt;"&amp;(Config!$B$8+1))+COUNTIFS($AW$2:$AW$201,AW129,$CS$2:$CS$201,1,$H$2:$H$201,H129,$AX$2:$AX$201,"&gt;"&amp;AX129)=0,1,0),0)</f>
        <v>0</v>
      </c>
      <c r="CY129" s="23" t="n">
        <f aca="false">IF(AND(CS129=1,INT(N(H129))&lt;=Config!$B$5),IF(COUNTIFS($AW$2:$AW$201,AW129,$CS$2:$CS$201,1,$H$2:$H$201,"&gt;"&amp;H129,$H$2:$H$201,"&lt;"&amp;(Config!$B$5+1))+COUNTIFS($AW$2:$AW$201,AW129,$CS$2:$CS$201,1,$H$2:$H$201,H129,$AX$2:$AX$201,"&gt;"&amp;AX129)=0,1,0),0)</f>
        <v>0</v>
      </c>
      <c r="CZ129" s="23" t="n">
        <f aca="false">IF(AY129=1,IF(COUNTIFS($AW$2:$AW$201,AW129,$CV$2:$CV$201,1,$BB$2:$BB$201,1)&gt;0,1,0),0)</f>
        <v>0</v>
      </c>
      <c r="DA129" s="23" t="n">
        <f aca="false">IF(AY129=1,IF(COUNTIFS($AW$2:$AW$201,AW129,$CW$2:$CW$201,1,$BB$2:$BB$201,1)&gt;0,1,0),0)</f>
        <v>0</v>
      </c>
      <c r="DB129" s="23" t="n">
        <f aca="false">IF(AY129=1,IF(COUNTIFS($AW$2:$AW$201,AW129,$CX$2:$CX$201,1,$BB$2:$BB$201,1)&gt;0,1,0),0)</f>
        <v>0</v>
      </c>
      <c r="DC129" s="23" t="n">
        <f aca="false">IF(AY129=1,IF(COUNTIFS($AW$2:$AW$201,AW129,$CY$2:$CY$201,1,$BB$2:$BB$201,1)&gt;0,1,0),0)</f>
        <v>0</v>
      </c>
      <c r="DD129" s="23" t="n">
        <f aca="false">IF(AND(BC129=1,INT(N(H129))&lt;=Config!$B$6,CZ129=1),1,0)</f>
        <v>0</v>
      </c>
      <c r="DE129" s="23" t="n">
        <f aca="false">IF(AND(BC129=1,INT(N(H129))&lt;=Config!$B$7,DA129=1),1,0)</f>
        <v>0</v>
      </c>
      <c r="DF129" s="23" t="n">
        <f aca="false">IF(AND(BC129=1,INT(N(H129))&lt;=Config!$B$8,DB129=1),1,0)</f>
        <v>0</v>
      </c>
      <c r="DG129" s="23" t="n">
        <f aca="false">IF(AND(BC129=1,INT(N(H129))&lt;=Config!$B$5,DC129=1),1,0)</f>
        <v>0</v>
      </c>
      <c r="DH129" s="23" t="n">
        <f aca="false">IF(AND(BE129=1,INT(N(H129))&lt;=Config!$B$6,CZ129=1),1,0)</f>
        <v>0</v>
      </c>
      <c r="DI129" s="23" t="n">
        <f aca="false">IF(AND(BE129=1,INT(N(H129))&lt;=Config!$B$7,DA129=1),1,0)</f>
        <v>0</v>
      </c>
      <c r="DJ129" s="23" t="n">
        <f aca="false">IF(AND(BE129=1,INT(N(H129))&lt;=Config!$B$8,DB129=1),1,0)</f>
        <v>0</v>
      </c>
      <c r="DK129" s="23" t="n">
        <f aca="false">IF(AND(BE129=1,INT(N(H129))&lt;=Config!$B$5,DC129=1),1,0)</f>
        <v>0</v>
      </c>
      <c r="DL129" s="23" t="n">
        <f aca="false">IF(AND(BC129=1,INT(N(H129))&lt;=Config!$B$6,CZ129=0),1,0)</f>
        <v>0</v>
      </c>
      <c r="DM129" s="23" t="n">
        <f aca="false">IF(AND(BC129=1,INT(N(H129))&lt;=Config!$B$7,DA129=0),1,0)</f>
        <v>0</v>
      </c>
      <c r="DN129" s="23" t="n">
        <f aca="false">IF(AND(BC129=1,INT(N(H129))&lt;=Config!$B$8,DB129=0),1,0)</f>
        <v>0</v>
      </c>
      <c r="DO129" s="23" t="n">
        <f aca="false">IF(AND(BC129=1,INT(N(H129))&lt;=Config!$B$5,DC129=0),1,0)</f>
        <v>0</v>
      </c>
      <c r="DP129" s="23" t="n">
        <f aca="false">IF(TRIM($A129)="",0,ISTEXT(K129)+ISTEXT(L129)+ISTEXT(R129)+ISTEXT(V129)+ISTEXT(AP129)+ISTEXT(AS129))</f>
        <v>0</v>
      </c>
      <c r="DQ129" s="23" t="n">
        <f aca="false">IF(AY129=1,IF(H129&lt;&gt;INT(H129),1,0),0)</f>
        <v>0</v>
      </c>
      <c r="DR129" s="23" t="str">
        <f aca="false">IF(TRIM($A129)="","",IF(TRIM(B129)="",SUBSTITUTE(SUBSTITUTE(SUBSTITUTE(SUBSTITUTE(SUBSTITUTE(SUBSTITUTE(LOWER(TRIM($A129)),"~",""),"*",""),"?",""),"&lt;",""),"&gt;",""),"=",""),SUBSTITUTE(SUBSTITUTE(SUBSTITUTE(SUBSTITUTE(SUBSTITUTE(SUBSTITUTE(LOWER(TRIM(B129)),"~",""),"*",""),"?",""),"&lt;",""),"&gt;",""),"=","")))</f>
        <v/>
      </c>
      <c r="DS129" s="23" t="str">
        <f aca="false">IF(CM129="","",IFERROR(IF(LEFT(LOWER(TRIM(INDEX(Clay_Brands!$A$2:$FZ$601,CM129,Sync!$D$19)&amp;"")),4)="grp-",SUBSTITUTE(SUBSTITUTE(SUBSTITUTE(SUBSTITUTE(SUBSTITUTE(SUBSTITUTE(LOWER(TRIM(INDEX(Clay_Brands!$A$2:$FZ$601,CM129,Sync!$D$19)&amp;"")),"~",""),"*",""),"?",""),"&lt;",""),"&gt;",""),"=",""),""),""))</f>
        <v/>
      </c>
      <c r="DT129" s="23" t="str">
        <f aca="false">IF(DS129&lt;&gt;"",DR129,"")</f>
        <v/>
      </c>
      <c r="DU129" s="23" t="str">
        <f aca="false">IF(AZ129=1,AW129,"")</f>
        <v/>
      </c>
      <c r="DV129" s="23" t="str">
        <f aca="false">IF(TRIM($A129)="","",IFERROR(INDEX($A$2:$A$201,MATCH(AW129,$DU$2:$DU$201,0))&amp;"",$A129&amp;""))</f>
        <v/>
      </c>
      <c r="DW129" s="23" t="n">
        <f aca="false">IF(AY129=1,IF(COUNTIFS($A$2:$A$201,$A129,$AY$2:$AY$201,1,$H$2:$H$201,"&lt;"&amp;H129)+COUNTIFS($A$2:$A$201,$A129,$AY$2:$AY$201,1,$H$2:$H$201,H129,$AX$2:$AX$201,"&lt;"&amp;AX129)=0,1,0),0)</f>
        <v>0</v>
      </c>
      <c r="DX129" s="23" t="n">
        <f aca="false">IF(AZ129=1,IF(COUNTIFS($AW$2:$AW$201,AW129,$DW$2:$DW$201,1)&gt;1,1,0),0)</f>
        <v>0</v>
      </c>
    </row>
    <row r="130" customFormat="false" ht="15" hidden="false" customHeight="false" outlineLevel="0" collapsed="false">
      <c r="G130" s="32"/>
      <c r="H130" s="33"/>
      <c r="I130" s="32"/>
      <c r="O130" s="32"/>
      <c r="P130" s="32"/>
      <c r="U130" s="32"/>
      <c r="Y130" s="32"/>
      <c r="AB130" s="32"/>
      <c r="AC130" s="32"/>
      <c r="AD130" s="32"/>
      <c r="AE130" s="32"/>
      <c r="AF130" s="32"/>
      <c r="AG130" s="32"/>
      <c r="AI130" s="32"/>
      <c r="AJ130" s="32"/>
      <c r="AK130" s="32"/>
      <c r="AN130" s="32"/>
      <c r="AO130" s="32"/>
      <c r="AR130" s="32"/>
      <c r="AT130" s="32"/>
      <c r="AV130" s="34" t="str">
        <f aca="false">IF(TRIM($A130)="","",IF(AND(LEFT($A130,6)="SAMPLE",Config!$B$19&lt;&gt;"Y"),"",IF(NOT(ISNUMBER(H130)),"call_date is blank or not a date",IF(Sync!$D$5="","Clay paste is empty or has no row_id column: paste the Clay export on Clay_Brands",IF(CM130="","row_id not found in the Clay paste: add the Clay row or fix the row_id",IF(AND(ISNUMBER(CO130),CO130&gt;=1,CO130&lt;=5),"Clay status is "&amp;CN130&amp;": set call_done or later",IF(AND(BA130=1,CP130&lt;&gt;CB130),"Clay yes_in_principle should be "&amp;CB130,IF(AND(BA130=1,CQ130&lt;&gt;H130),"Clay call_date should be "&amp;TEXT(H130,"yyyy-mm-dd"),""))))))))</f>
        <v/>
      </c>
      <c r="AW130" s="23" t="str">
        <f aca="false">IF(TRIM($A130)="","",IF(TRIM(C130)&lt;&gt;"",SUBSTITUTE(SUBSTITUTE(SUBSTITUTE(SUBSTITUTE(SUBSTITUTE(SUBSTITUTE(LOWER(TRIM(C130)),"~",""),"*",""),"?",""),"&lt;",""),"&gt;",""),"=",""),IF(DS130&lt;&gt;"",DS130,IFERROR(INDEX($DS$2:$DS$201,MATCH(DR130,$DT$2:$DT$201,0)),DR130))))</f>
        <v/>
      </c>
      <c r="AX130" s="23" t="n">
        <f aca="false">ROW()</f>
        <v>130</v>
      </c>
      <c r="AY130" s="23" t="n">
        <f aca="false">IF(AND(TRIM($A130)&lt;&gt;"",ISNUMBER(H130)),IF(AND(LEFT($A130,6)="SAMPLE",Config!$B$19&lt;&gt;"Y"),0,1),0)</f>
        <v>0</v>
      </c>
      <c r="AZ130" s="23" t="n">
        <f aca="false">IF(AY130=1,IF(COUNTIFS($AW$2:$AW$201,AW130,$AY$2:$AY$201,1,$H$2:$H$201,"&lt;"&amp;H130)+COUNTIFS($AW$2:$AW$201,AW130,$AY$2:$AY$201,1,$H$2:$H$201,H130,$AX$2:$AX$201,"&lt;"&amp;AX130)=0,1,0),0)</f>
        <v>0</v>
      </c>
      <c r="BA130" s="23" t="n">
        <f aca="false">IF(AY130=1,IF(COUNTIFS($A$2:$A$201,$A130,$AY$2:$AY$201,1,$H$2:$H$201,"&gt;"&amp;H130)+COUNTIFS($A$2:$A$201,$A130,$AY$2:$AY$201,1,$H$2:$H$201,H130,$AX$2:$AX$201,"&gt;"&amp;AX130)=0,1,0),0)</f>
        <v>0</v>
      </c>
      <c r="BB130" s="23" t="n">
        <f aca="false">IF(AND(AY130=1,O130="Y",MAX(N(R130),N(V130))&gt;=Config!$B$14),1,0)</f>
        <v>0</v>
      </c>
      <c r="BC130" s="23" t="n">
        <f aca="false">IF(BB130=1,IF(COUNTIFS($AW$2:$AW$201,AW130,$BB$2:$BB$201,1,$H$2:$H$201,"&lt;"&amp;H130)+COUNTIFS($AW$2:$AW$201,AW130,$BB$2:$BB$201,1,$H$2:$H$201,H130,$AX$2:$AX$201,"&lt;"&amp;AX130)=0,1,0),0)</f>
        <v>0</v>
      </c>
      <c r="BD130" s="23" t="n">
        <f aca="false">IF(AND(AY130=1,O130="Y",ISNUMBER(R130)),IF(R130&gt;=Config!$B$14,1,0),0)</f>
        <v>0</v>
      </c>
      <c r="BE130" s="23" t="n">
        <f aca="false">IF(BD130=1,IF(COUNTIFS($AW$2:$AW$201,AW130,$BD$2:$BD$201,1,$H$2:$H$201,"&lt;"&amp;H130)+COUNTIFS($AW$2:$AW$201,AW130,$BD$2:$BD$201,1,$H$2:$H$201,H130,$AX$2:$AX$201,"&lt;"&amp;AX130)=0,1,0),0)</f>
        <v>0</v>
      </c>
      <c r="BF130" s="23" t="n">
        <f aca="false">IF(AND(AY130=1,O130&lt;&gt;"Y",MAX(N(R130),N(V130))&gt;=Config!$B$14),1,0)</f>
        <v>0</v>
      </c>
      <c r="BG130" s="23" t="n">
        <f aca="false">IF(BF130=1,IF(COUNTIFS($AW$2:$AW$201,AW130,$BF$2:$BF$201,1,$H$2:$H$201,"&lt;"&amp;H130)+COUNTIFS($AW$2:$AW$201,AW130,$BF$2:$BF$201,1,$H$2:$H$201,H130,$AX$2:$AX$201,"&lt;"&amp;AX130)=0,1,0),0)</f>
        <v>0</v>
      </c>
      <c r="BH130" s="23" t="n">
        <f aca="false">IF(AND(AY130=1,ISNUMBER(R130)),1,0)</f>
        <v>0</v>
      </c>
      <c r="BI130" s="23" t="n">
        <f aca="false">IF(BH130=1,IF(COUNTIFS($AW$2:$AW$201,AW130,$BH$2:$BH$201,1,$H$2:$H$201,"&lt;"&amp;H130)+COUNTIFS($AW$2:$AW$201,AW130,$BH$2:$BH$201,1,$H$2:$H$201,H130,$AX$2:$AX$201,"&lt;"&amp;AX130)=0,1,0),0)</f>
        <v>0</v>
      </c>
      <c r="BJ130" s="23" t="str">
        <f aca="false">IF(AND(BI130=1,INT(N(H130))&lt;=Config!$B$6),R130,"")</f>
        <v/>
      </c>
      <c r="BK130" s="23" t="str">
        <f aca="false">IF(AND(BI130=1,INT(N(H130))&lt;=Config!$B$7),R130,"")</f>
        <v/>
      </c>
      <c r="BL130" s="23" t="str">
        <f aca="false">IF(AND(BI130=1,INT(N(H130))&lt;=Config!$B$8),R130,"")</f>
        <v/>
      </c>
      <c r="BM130" s="23" t="str">
        <f aca="false">IF(AND(BI130=1,INT(N(H130))&lt;=Config!$B$5),R130,"")</f>
        <v/>
      </c>
      <c r="BN130" s="23" t="n">
        <f aca="false">IF(AND(AY130=1,ISNUMBER(V130)),1,0)</f>
        <v>0</v>
      </c>
      <c r="BO130" s="23" t="n">
        <f aca="false">IF(BN130=1,IF(COUNTIFS($AW$2:$AW$201,AW130,$BN$2:$BN$201,1,$H$2:$H$201,"&lt;"&amp;H130)+COUNTIFS($AW$2:$AW$201,AW130,$BN$2:$BN$201,1,$H$2:$H$201,H130,$AX$2:$AX$201,"&lt;"&amp;AX130)=0,1,0),0)</f>
        <v>0</v>
      </c>
      <c r="BP130" s="23" t="str">
        <f aca="false">IF(AND(BO130=1,INT(N(H130))&lt;=Config!$B$6),V130,"")</f>
        <v/>
      </c>
      <c r="BQ130" s="23" t="str">
        <f aca="false">IF(AND(BO130=1,INT(N(H130))&lt;=Config!$B$7),V130,"")</f>
        <v/>
      </c>
      <c r="BR130" s="23" t="str">
        <f aca="false">IF(AND(BO130=1,INT(N(H130))&lt;=Config!$B$8),V130,"")</f>
        <v/>
      </c>
      <c r="BS130" s="23" t="str">
        <f aca="false">IF(AND(BO130=1,INT(N(H130))&lt;=Config!$B$5),V130,"")</f>
        <v/>
      </c>
      <c r="BT130" s="23" t="n">
        <f aca="false">IF(AND(AY130=1,ISNUMBER(K130)),1,0)</f>
        <v>0</v>
      </c>
      <c r="BU130" s="23" t="n">
        <f aca="false">IF(BT130=1,IF(COUNTIFS($AW$2:$AW$201,AW130,$BT$2:$BT$201,1,$H$2:$H$201,"&lt;"&amp;H130)+COUNTIFS($AW$2:$AW$201,AW130,$BT$2:$BT$201,1,$H$2:$H$201,H130,$AX$2:$AX$201,"&lt;"&amp;AX130)=0,1,0),0)</f>
        <v>0</v>
      </c>
      <c r="BV130" s="23" t="str">
        <f aca="false">IF(AND(BU130=1,INT(N(H130))&lt;=Config!$B$5),K130,"")</f>
        <v/>
      </c>
      <c r="BW130" s="23" t="n">
        <f aca="false">IF(AND(AY130=1,OR(AND(ISNUMBER(R130),TRIM(S130)=""),AND(ISNUMBER(V130),TRIM(W130)=""))),1,0)</f>
        <v>0</v>
      </c>
      <c r="BX130" s="23" t="str">
        <f aca="false">IF(AY130=1,AJ130&amp;"","")</f>
        <v/>
      </c>
      <c r="BY130" s="23" t="str">
        <f aca="false">IF(AY130=1,AK130&amp;"","")</f>
        <v/>
      </c>
      <c r="BZ130" s="23" t="str">
        <f aca="false">IF(AY130=1,AL130&amp;"","")</f>
        <v/>
      </c>
      <c r="CA130" s="23" t="str">
        <f aca="false">IF(AND(AY130=1,ISNUMBER(AS130),INT(N(H130))&lt;=Config!$B$5),AS130,"")</f>
        <v/>
      </c>
      <c r="CB130" s="23" t="str">
        <f aca="false">IF(AY130=1,IF(COUNTIFS($A$2:$A$201,$A130,$CU$2:$CU$201,1,$AN$2:$AN$201,"Y")&gt;0,"Y","N"),"")</f>
        <v/>
      </c>
      <c r="CC130" s="23" t="n">
        <f aca="false">IF(AND(AY130=1,AN130="Y"),IF(COUNTIFS($AW$2:$AW$201,AW130,$AN$2:$AN$201,"Y",$AY$2:$AY$201,1,$H$2:$H$201,"&lt;"&amp;H130)+COUNTIFS($AW$2:$AW$201,AW130,$AN$2:$AN$201,"Y",$AY$2:$AY$201,1,$H$2:$H$201,H130,$AX$2:$AX$201,"&lt;"&amp;AX130)=0,1,0),0)</f>
        <v>0</v>
      </c>
      <c r="CD130" s="23" t="n">
        <f aca="false">IF(AND(AY130=1,AB130="Y",AC130="Y",AD130="Y",AE130="Y",AF130="Y",AG130="Y",AI130="Y",TRIM(AH130)&lt;&gt;""),1,0)</f>
        <v>0</v>
      </c>
      <c r="CE130" s="23" t="n">
        <f aca="false">IF(CD130=1,IF(COUNTIFS($AW$2:$AW$201,AW130,$CD$2:$CD$201,1,$H$2:$H$201,"&lt;"&amp;H130)+COUNTIFS($AW$2:$AW$201,AW130,$CD$2:$CD$201,1,$H$2:$H$201,H130,$AX$2:$AX$201,"&lt;"&amp;AX130)=0,1,0),0)</f>
        <v>0</v>
      </c>
      <c r="CF130" s="23" t="n">
        <f aca="false">IF(AND(AY130=1,AO130="Y"),1,0)</f>
        <v>0</v>
      </c>
      <c r="CG130" s="23" t="n">
        <f aca="false">IF(CF130=1,IF(COUNTIFS($AW$2:$AW$201,AW130,$CF$2:$CF$201,1,$H$2:$H$201,"&lt;"&amp;H130)+COUNTIFS($AW$2:$AW$201,AW130,$CF$2:$CF$201,1,$H$2:$H$201,H130,$AX$2:$AX$201,"&lt;"&amp;AX130)=0,1,0),0)</f>
        <v>0</v>
      </c>
      <c r="CH130" s="23" t="n">
        <f aca="false">IF(AND(AY130=1,P130="Y"),1,0)</f>
        <v>0</v>
      </c>
      <c r="CI130" s="23" t="n">
        <f aca="false">IF(CH130=1,IF(COUNTIFS($AW$2:$AW$201,AW130,$CH$2:$CH$201,1,$H$2:$H$201,"&lt;"&amp;H130)+COUNTIFS($AW$2:$AW$201,AW130,$CH$2:$CH$201,1,$H$2:$H$201,H130,$AX$2:$AX$201,"&lt;"&amp;AX130)=0,1,0),0)</f>
        <v>0</v>
      </c>
      <c r="CJ130" s="23" t="str">
        <f aca="false">IF(AND(BU130=1,INT(N(H130))&lt;=Config!$B$5),L130,"")</f>
        <v/>
      </c>
      <c r="CK130" s="23" t="n">
        <f aca="false">IF(AND(AY130=1,AR130="Y"),1,0)</f>
        <v>0</v>
      </c>
      <c r="CL130" s="23" t="n">
        <f aca="false">IF(CK130=1,IF(COUNTIFS($AW$2:$AW$201,AW130,$CK$2:$CK$201,1,$H$2:$H$201,"&lt;"&amp;H130)+COUNTIFS($AW$2:$AW$201,AW130,$CK$2:$CK$201,1,$H$2:$H$201,H130,$AX$2:$AX$201,"&lt;"&amp;AX130)=0,1,0),0)</f>
        <v>0</v>
      </c>
      <c r="CM130" s="23" t="str">
        <f aca="false">IF(AY130=1,IFERROR(MATCH($A130,INDEX(Clay_Brands!$A$2:$FZ$601,0,Sync!$D$5),0),""),"")</f>
        <v/>
      </c>
      <c r="CN130" s="23" t="str">
        <f aca="false">IF(CM130="","",IFERROR(INDEX(Clay_Brands!$A$2:$FZ$601,CM130,Sync!$D$7)&amp;"",""))</f>
        <v/>
      </c>
      <c r="CO130" s="23" t="str">
        <f aca="false">IF(CN130="","",IFERROR(INDEX(Lists!$K$2:$K$15,MATCH(CN130,Lists!$J$2:$J$15,0)),""))</f>
        <v/>
      </c>
      <c r="CP130" s="23" t="str">
        <f aca="false">IF(CM130="","",IFERROR(INDEX(Clay_Brands!$A$2:$FZ$601,CM130,Sync!$D$17)&amp;"",""))</f>
        <v/>
      </c>
      <c r="CQ130" s="35" t="str">
        <f aca="false">IF(CM130="","",IFERROR(N(INDEX(Clay_Brands!$A$2:$FZ$601,CM130,Sync!$D$16)),0))</f>
        <v/>
      </c>
      <c r="CR130" s="23" t="n">
        <f aca="false">IF(AND(AY130=1,OR(O130="N",AND(OR(ISNUMBER(R130),ISNUMBER(V130)),MAX(N(R130),N(V130))&lt;Config!$B$14))),1,0)</f>
        <v>0</v>
      </c>
      <c r="CS130" s="23" t="n">
        <f aca="false">IF(OR(BB130=1,CR130=1),1,0)</f>
        <v>0</v>
      </c>
      <c r="CT130" s="23" t="n">
        <f aca="false">IF(AND(AY130=1,OR(AN130="Y",AN130="N",AN130="maybe")),1,0)</f>
        <v>0</v>
      </c>
      <c r="CU130" s="23" t="n">
        <f aca="false">IF(AND(CT130=1),IF(COUNTIFS($A$2:$A$201,$A130,$CT$2:$CT$201,1,$H$2:$H$201,"&gt;"&amp;H130)+COUNTIFS($A$2:$A$201,$A130,$CT$2:$CT$201,1,$H$2:$H$201,H130,$AX$2:$AX$201,"&gt;"&amp;AX130)=0,1,0),0)</f>
        <v>0</v>
      </c>
      <c r="CV130" s="23" t="n">
        <f aca="false">IF(AND(CS130=1,INT(N(H130))&lt;=Config!$B$6),IF(COUNTIFS($AW$2:$AW$201,AW130,$CS$2:$CS$201,1,$H$2:$H$201,"&gt;"&amp;H130,$H$2:$H$201,"&lt;"&amp;(Config!$B$6+1))+COUNTIFS($AW$2:$AW$201,AW130,$CS$2:$CS$201,1,$H$2:$H$201,H130,$AX$2:$AX$201,"&gt;"&amp;AX130)=0,1,0),0)</f>
        <v>0</v>
      </c>
      <c r="CW130" s="23" t="n">
        <f aca="false">IF(AND(CS130=1,INT(N(H130))&lt;=Config!$B$7),IF(COUNTIFS($AW$2:$AW$201,AW130,$CS$2:$CS$201,1,$H$2:$H$201,"&gt;"&amp;H130,$H$2:$H$201,"&lt;"&amp;(Config!$B$7+1))+COUNTIFS($AW$2:$AW$201,AW130,$CS$2:$CS$201,1,$H$2:$H$201,H130,$AX$2:$AX$201,"&gt;"&amp;AX130)=0,1,0),0)</f>
        <v>0</v>
      </c>
      <c r="CX130" s="23" t="n">
        <f aca="false">IF(AND(CS130=1,INT(N(H130))&lt;=Config!$B$8),IF(COUNTIFS($AW$2:$AW$201,AW130,$CS$2:$CS$201,1,$H$2:$H$201,"&gt;"&amp;H130,$H$2:$H$201,"&lt;"&amp;(Config!$B$8+1))+COUNTIFS($AW$2:$AW$201,AW130,$CS$2:$CS$201,1,$H$2:$H$201,H130,$AX$2:$AX$201,"&gt;"&amp;AX130)=0,1,0),0)</f>
        <v>0</v>
      </c>
      <c r="CY130" s="23" t="n">
        <f aca="false">IF(AND(CS130=1,INT(N(H130))&lt;=Config!$B$5),IF(COUNTIFS($AW$2:$AW$201,AW130,$CS$2:$CS$201,1,$H$2:$H$201,"&gt;"&amp;H130,$H$2:$H$201,"&lt;"&amp;(Config!$B$5+1))+COUNTIFS($AW$2:$AW$201,AW130,$CS$2:$CS$201,1,$H$2:$H$201,H130,$AX$2:$AX$201,"&gt;"&amp;AX130)=0,1,0),0)</f>
        <v>0</v>
      </c>
      <c r="CZ130" s="23" t="n">
        <f aca="false">IF(AY130=1,IF(COUNTIFS($AW$2:$AW$201,AW130,$CV$2:$CV$201,1,$BB$2:$BB$201,1)&gt;0,1,0),0)</f>
        <v>0</v>
      </c>
      <c r="DA130" s="23" t="n">
        <f aca="false">IF(AY130=1,IF(COUNTIFS($AW$2:$AW$201,AW130,$CW$2:$CW$201,1,$BB$2:$BB$201,1)&gt;0,1,0),0)</f>
        <v>0</v>
      </c>
      <c r="DB130" s="23" t="n">
        <f aca="false">IF(AY130=1,IF(COUNTIFS($AW$2:$AW$201,AW130,$CX$2:$CX$201,1,$BB$2:$BB$201,1)&gt;0,1,0),0)</f>
        <v>0</v>
      </c>
      <c r="DC130" s="23" t="n">
        <f aca="false">IF(AY130=1,IF(COUNTIFS($AW$2:$AW$201,AW130,$CY$2:$CY$201,1,$BB$2:$BB$201,1)&gt;0,1,0),0)</f>
        <v>0</v>
      </c>
      <c r="DD130" s="23" t="n">
        <f aca="false">IF(AND(BC130=1,INT(N(H130))&lt;=Config!$B$6,CZ130=1),1,0)</f>
        <v>0</v>
      </c>
      <c r="DE130" s="23" t="n">
        <f aca="false">IF(AND(BC130=1,INT(N(H130))&lt;=Config!$B$7,DA130=1),1,0)</f>
        <v>0</v>
      </c>
      <c r="DF130" s="23" t="n">
        <f aca="false">IF(AND(BC130=1,INT(N(H130))&lt;=Config!$B$8,DB130=1),1,0)</f>
        <v>0</v>
      </c>
      <c r="DG130" s="23" t="n">
        <f aca="false">IF(AND(BC130=1,INT(N(H130))&lt;=Config!$B$5,DC130=1),1,0)</f>
        <v>0</v>
      </c>
      <c r="DH130" s="23" t="n">
        <f aca="false">IF(AND(BE130=1,INT(N(H130))&lt;=Config!$B$6,CZ130=1),1,0)</f>
        <v>0</v>
      </c>
      <c r="DI130" s="23" t="n">
        <f aca="false">IF(AND(BE130=1,INT(N(H130))&lt;=Config!$B$7,DA130=1),1,0)</f>
        <v>0</v>
      </c>
      <c r="DJ130" s="23" t="n">
        <f aca="false">IF(AND(BE130=1,INT(N(H130))&lt;=Config!$B$8,DB130=1),1,0)</f>
        <v>0</v>
      </c>
      <c r="DK130" s="23" t="n">
        <f aca="false">IF(AND(BE130=1,INT(N(H130))&lt;=Config!$B$5,DC130=1),1,0)</f>
        <v>0</v>
      </c>
      <c r="DL130" s="23" t="n">
        <f aca="false">IF(AND(BC130=1,INT(N(H130))&lt;=Config!$B$6,CZ130=0),1,0)</f>
        <v>0</v>
      </c>
      <c r="DM130" s="23" t="n">
        <f aca="false">IF(AND(BC130=1,INT(N(H130))&lt;=Config!$B$7,DA130=0),1,0)</f>
        <v>0</v>
      </c>
      <c r="DN130" s="23" t="n">
        <f aca="false">IF(AND(BC130=1,INT(N(H130))&lt;=Config!$B$8,DB130=0),1,0)</f>
        <v>0</v>
      </c>
      <c r="DO130" s="23" t="n">
        <f aca="false">IF(AND(BC130=1,INT(N(H130))&lt;=Config!$B$5,DC130=0),1,0)</f>
        <v>0</v>
      </c>
      <c r="DP130" s="23" t="n">
        <f aca="false">IF(TRIM($A130)="",0,ISTEXT(K130)+ISTEXT(L130)+ISTEXT(R130)+ISTEXT(V130)+ISTEXT(AP130)+ISTEXT(AS130))</f>
        <v>0</v>
      </c>
      <c r="DQ130" s="23" t="n">
        <f aca="false">IF(AY130=1,IF(H130&lt;&gt;INT(H130),1,0),0)</f>
        <v>0</v>
      </c>
      <c r="DR130" s="23" t="str">
        <f aca="false">IF(TRIM($A130)="","",IF(TRIM(B130)="",SUBSTITUTE(SUBSTITUTE(SUBSTITUTE(SUBSTITUTE(SUBSTITUTE(SUBSTITUTE(LOWER(TRIM($A130)),"~",""),"*",""),"?",""),"&lt;",""),"&gt;",""),"=",""),SUBSTITUTE(SUBSTITUTE(SUBSTITUTE(SUBSTITUTE(SUBSTITUTE(SUBSTITUTE(LOWER(TRIM(B130)),"~",""),"*",""),"?",""),"&lt;",""),"&gt;",""),"=","")))</f>
        <v/>
      </c>
      <c r="DS130" s="23" t="str">
        <f aca="false">IF(CM130="","",IFERROR(IF(LEFT(LOWER(TRIM(INDEX(Clay_Brands!$A$2:$FZ$601,CM130,Sync!$D$19)&amp;"")),4)="grp-",SUBSTITUTE(SUBSTITUTE(SUBSTITUTE(SUBSTITUTE(SUBSTITUTE(SUBSTITUTE(LOWER(TRIM(INDEX(Clay_Brands!$A$2:$FZ$601,CM130,Sync!$D$19)&amp;"")),"~",""),"*",""),"?",""),"&lt;",""),"&gt;",""),"=",""),""),""))</f>
        <v/>
      </c>
      <c r="DT130" s="23" t="str">
        <f aca="false">IF(DS130&lt;&gt;"",DR130,"")</f>
        <v/>
      </c>
      <c r="DU130" s="23" t="str">
        <f aca="false">IF(AZ130=1,AW130,"")</f>
        <v/>
      </c>
      <c r="DV130" s="23" t="str">
        <f aca="false">IF(TRIM($A130)="","",IFERROR(INDEX($A$2:$A$201,MATCH(AW130,$DU$2:$DU$201,0))&amp;"",$A130&amp;""))</f>
        <v/>
      </c>
      <c r="DW130" s="23" t="n">
        <f aca="false">IF(AY130=1,IF(COUNTIFS($A$2:$A$201,$A130,$AY$2:$AY$201,1,$H$2:$H$201,"&lt;"&amp;H130)+COUNTIFS($A$2:$A$201,$A130,$AY$2:$AY$201,1,$H$2:$H$201,H130,$AX$2:$AX$201,"&lt;"&amp;AX130)=0,1,0),0)</f>
        <v>0</v>
      </c>
      <c r="DX130" s="23" t="n">
        <f aca="false">IF(AZ130=1,IF(COUNTIFS($AW$2:$AW$201,AW130,$DW$2:$DW$201,1)&gt;1,1,0),0)</f>
        <v>0</v>
      </c>
    </row>
    <row r="131" customFormat="false" ht="15" hidden="false" customHeight="false" outlineLevel="0" collapsed="false">
      <c r="G131" s="32"/>
      <c r="H131" s="33"/>
      <c r="I131" s="32"/>
      <c r="O131" s="32"/>
      <c r="P131" s="32"/>
      <c r="U131" s="32"/>
      <c r="Y131" s="32"/>
      <c r="AB131" s="32"/>
      <c r="AC131" s="32"/>
      <c r="AD131" s="32"/>
      <c r="AE131" s="32"/>
      <c r="AF131" s="32"/>
      <c r="AG131" s="32"/>
      <c r="AI131" s="32"/>
      <c r="AJ131" s="32"/>
      <c r="AK131" s="32"/>
      <c r="AN131" s="32"/>
      <c r="AO131" s="32"/>
      <c r="AR131" s="32"/>
      <c r="AT131" s="32"/>
      <c r="AV131" s="34" t="str">
        <f aca="false">IF(TRIM($A131)="","",IF(AND(LEFT($A131,6)="SAMPLE",Config!$B$19&lt;&gt;"Y"),"",IF(NOT(ISNUMBER(H131)),"call_date is blank or not a date",IF(Sync!$D$5="","Clay paste is empty or has no row_id column: paste the Clay export on Clay_Brands",IF(CM131="","row_id not found in the Clay paste: add the Clay row or fix the row_id",IF(AND(ISNUMBER(CO131),CO131&gt;=1,CO131&lt;=5),"Clay status is "&amp;CN131&amp;": set call_done or later",IF(AND(BA131=1,CP131&lt;&gt;CB131),"Clay yes_in_principle should be "&amp;CB131,IF(AND(BA131=1,CQ131&lt;&gt;H131),"Clay call_date should be "&amp;TEXT(H131,"yyyy-mm-dd"),""))))))))</f>
        <v/>
      </c>
      <c r="AW131" s="23" t="str">
        <f aca="false">IF(TRIM($A131)="","",IF(TRIM(C131)&lt;&gt;"",SUBSTITUTE(SUBSTITUTE(SUBSTITUTE(SUBSTITUTE(SUBSTITUTE(SUBSTITUTE(LOWER(TRIM(C131)),"~",""),"*",""),"?",""),"&lt;",""),"&gt;",""),"=",""),IF(DS131&lt;&gt;"",DS131,IFERROR(INDEX($DS$2:$DS$201,MATCH(DR131,$DT$2:$DT$201,0)),DR131))))</f>
        <v/>
      </c>
      <c r="AX131" s="23" t="n">
        <f aca="false">ROW()</f>
        <v>131</v>
      </c>
      <c r="AY131" s="23" t="n">
        <f aca="false">IF(AND(TRIM($A131)&lt;&gt;"",ISNUMBER(H131)),IF(AND(LEFT($A131,6)="SAMPLE",Config!$B$19&lt;&gt;"Y"),0,1),0)</f>
        <v>0</v>
      </c>
      <c r="AZ131" s="23" t="n">
        <f aca="false">IF(AY131=1,IF(COUNTIFS($AW$2:$AW$201,AW131,$AY$2:$AY$201,1,$H$2:$H$201,"&lt;"&amp;H131)+COUNTIFS($AW$2:$AW$201,AW131,$AY$2:$AY$201,1,$H$2:$H$201,H131,$AX$2:$AX$201,"&lt;"&amp;AX131)=0,1,0),0)</f>
        <v>0</v>
      </c>
      <c r="BA131" s="23" t="n">
        <f aca="false">IF(AY131=1,IF(COUNTIFS($A$2:$A$201,$A131,$AY$2:$AY$201,1,$H$2:$H$201,"&gt;"&amp;H131)+COUNTIFS($A$2:$A$201,$A131,$AY$2:$AY$201,1,$H$2:$H$201,H131,$AX$2:$AX$201,"&gt;"&amp;AX131)=0,1,0),0)</f>
        <v>0</v>
      </c>
      <c r="BB131" s="23" t="n">
        <f aca="false">IF(AND(AY131=1,O131="Y",MAX(N(R131),N(V131))&gt;=Config!$B$14),1,0)</f>
        <v>0</v>
      </c>
      <c r="BC131" s="23" t="n">
        <f aca="false">IF(BB131=1,IF(COUNTIFS($AW$2:$AW$201,AW131,$BB$2:$BB$201,1,$H$2:$H$201,"&lt;"&amp;H131)+COUNTIFS($AW$2:$AW$201,AW131,$BB$2:$BB$201,1,$H$2:$H$201,H131,$AX$2:$AX$201,"&lt;"&amp;AX131)=0,1,0),0)</f>
        <v>0</v>
      </c>
      <c r="BD131" s="23" t="n">
        <f aca="false">IF(AND(AY131=1,O131="Y",ISNUMBER(R131)),IF(R131&gt;=Config!$B$14,1,0),0)</f>
        <v>0</v>
      </c>
      <c r="BE131" s="23" t="n">
        <f aca="false">IF(BD131=1,IF(COUNTIFS($AW$2:$AW$201,AW131,$BD$2:$BD$201,1,$H$2:$H$201,"&lt;"&amp;H131)+COUNTIFS($AW$2:$AW$201,AW131,$BD$2:$BD$201,1,$H$2:$H$201,H131,$AX$2:$AX$201,"&lt;"&amp;AX131)=0,1,0),0)</f>
        <v>0</v>
      </c>
      <c r="BF131" s="23" t="n">
        <f aca="false">IF(AND(AY131=1,O131&lt;&gt;"Y",MAX(N(R131),N(V131))&gt;=Config!$B$14),1,0)</f>
        <v>0</v>
      </c>
      <c r="BG131" s="23" t="n">
        <f aca="false">IF(BF131=1,IF(COUNTIFS($AW$2:$AW$201,AW131,$BF$2:$BF$201,1,$H$2:$H$201,"&lt;"&amp;H131)+COUNTIFS($AW$2:$AW$201,AW131,$BF$2:$BF$201,1,$H$2:$H$201,H131,$AX$2:$AX$201,"&lt;"&amp;AX131)=0,1,0),0)</f>
        <v>0</v>
      </c>
      <c r="BH131" s="23" t="n">
        <f aca="false">IF(AND(AY131=1,ISNUMBER(R131)),1,0)</f>
        <v>0</v>
      </c>
      <c r="BI131" s="23" t="n">
        <f aca="false">IF(BH131=1,IF(COUNTIFS($AW$2:$AW$201,AW131,$BH$2:$BH$201,1,$H$2:$H$201,"&lt;"&amp;H131)+COUNTIFS($AW$2:$AW$201,AW131,$BH$2:$BH$201,1,$H$2:$H$201,H131,$AX$2:$AX$201,"&lt;"&amp;AX131)=0,1,0),0)</f>
        <v>0</v>
      </c>
      <c r="BJ131" s="23" t="str">
        <f aca="false">IF(AND(BI131=1,INT(N(H131))&lt;=Config!$B$6),R131,"")</f>
        <v/>
      </c>
      <c r="BK131" s="23" t="str">
        <f aca="false">IF(AND(BI131=1,INT(N(H131))&lt;=Config!$B$7),R131,"")</f>
        <v/>
      </c>
      <c r="BL131" s="23" t="str">
        <f aca="false">IF(AND(BI131=1,INT(N(H131))&lt;=Config!$B$8),R131,"")</f>
        <v/>
      </c>
      <c r="BM131" s="23" t="str">
        <f aca="false">IF(AND(BI131=1,INT(N(H131))&lt;=Config!$B$5),R131,"")</f>
        <v/>
      </c>
      <c r="BN131" s="23" t="n">
        <f aca="false">IF(AND(AY131=1,ISNUMBER(V131)),1,0)</f>
        <v>0</v>
      </c>
      <c r="BO131" s="23" t="n">
        <f aca="false">IF(BN131=1,IF(COUNTIFS($AW$2:$AW$201,AW131,$BN$2:$BN$201,1,$H$2:$H$201,"&lt;"&amp;H131)+COUNTIFS($AW$2:$AW$201,AW131,$BN$2:$BN$201,1,$H$2:$H$201,H131,$AX$2:$AX$201,"&lt;"&amp;AX131)=0,1,0),0)</f>
        <v>0</v>
      </c>
      <c r="BP131" s="23" t="str">
        <f aca="false">IF(AND(BO131=1,INT(N(H131))&lt;=Config!$B$6),V131,"")</f>
        <v/>
      </c>
      <c r="BQ131" s="23" t="str">
        <f aca="false">IF(AND(BO131=1,INT(N(H131))&lt;=Config!$B$7),V131,"")</f>
        <v/>
      </c>
      <c r="BR131" s="23" t="str">
        <f aca="false">IF(AND(BO131=1,INT(N(H131))&lt;=Config!$B$8),V131,"")</f>
        <v/>
      </c>
      <c r="BS131" s="23" t="str">
        <f aca="false">IF(AND(BO131=1,INT(N(H131))&lt;=Config!$B$5),V131,"")</f>
        <v/>
      </c>
      <c r="BT131" s="23" t="n">
        <f aca="false">IF(AND(AY131=1,ISNUMBER(K131)),1,0)</f>
        <v>0</v>
      </c>
      <c r="BU131" s="23" t="n">
        <f aca="false">IF(BT131=1,IF(COUNTIFS($AW$2:$AW$201,AW131,$BT$2:$BT$201,1,$H$2:$H$201,"&lt;"&amp;H131)+COUNTIFS($AW$2:$AW$201,AW131,$BT$2:$BT$201,1,$H$2:$H$201,H131,$AX$2:$AX$201,"&lt;"&amp;AX131)=0,1,0),0)</f>
        <v>0</v>
      </c>
      <c r="BV131" s="23" t="str">
        <f aca="false">IF(AND(BU131=1,INT(N(H131))&lt;=Config!$B$5),K131,"")</f>
        <v/>
      </c>
      <c r="BW131" s="23" t="n">
        <f aca="false">IF(AND(AY131=1,OR(AND(ISNUMBER(R131),TRIM(S131)=""),AND(ISNUMBER(V131),TRIM(W131)=""))),1,0)</f>
        <v>0</v>
      </c>
      <c r="BX131" s="23" t="str">
        <f aca="false">IF(AY131=1,AJ131&amp;"","")</f>
        <v/>
      </c>
      <c r="BY131" s="23" t="str">
        <f aca="false">IF(AY131=1,AK131&amp;"","")</f>
        <v/>
      </c>
      <c r="BZ131" s="23" t="str">
        <f aca="false">IF(AY131=1,AL131&amp;"","")</f>
        <v/>
      </c>
      <c r="CA131" s="23" t="str">
        <f aca="false">IF(AND(AY131=1,ISNUMBER(AS131),INT(N(H131))&lt;=Config!$B$5),AS131,"")</f>
        <v/>
      </c>
      <c r="CB131" s="23" t="str">
        <f aca="false">IF(AY131=1,IF(COUNTIFS($A$2:$A$201,$A131,$CU$2:$CU$201,1,$AN$2:$AN$201,"Y")&gt;0,"Y","N"),"")</f>
        <v/>
      </c>
      <c r="CC131" s="23" t="n">
        <f aca="false">IF(AND(AY131=1,AN131="Y"),IF(COUNTIFS($AW$2:$AW$201,AW131,$AN$2:$AN$201,"Y",$AY$2:$AY$201,1,$H$2:$H$201,"&lt;"&amp;H131)+COUNTIFS($AW$2:$AW$201,AW131,$AN$2:$AN$201,"Y",$AY$2:$AY$201,1,$H$2:$H$201,H131,$AX$2:$AX$201,"&lt;"&amp;AX131)=0,1,0),0)</f>
        <v>0</v>
      </c>
      <c r="CD131" s="23" t="n">
        <f aca="false">IF(AND(AY131=1,AB131="Y",AC131="Y",AD131="Y",AE131="Y",AF131="Y",AG131="Y",AI131="Y",TRIM(AH131)&lt;&gt;""),1,0)</f>
        <v>0</v>
      </c>
      <c r="CE131" s="23" t="n">
        <f aca="false">IF(CD131=1,IF(COUNTIFS($AW$2:$AW$201,AW131,$CD$2:$CD$201,1,$H$2:$H$201,"&lt;"&amp;H131)+COUNTIFS($AW$2:$AW$201,AW131,$CD$2:$CD$201,1,$H$2:$H$201,H131,$AX$2:$AX$201,"&lt;"&amp;AX131)=0,1,0),0)</f>
        <v>0</v>
      </c>
      <c r="CF131" s="23" t="n">
        <f aca="false">IF(AND(AY131=1,AO131="Y"),1,0)</f>
        <v>0</v>
      </c>
      <c r="CG131" s="23" t="n">
        <f aca="false">IF(CF131=1,IF(COUNTIFS($AW$2:$AW$201,AW131,$CF$2:$CF$201,1,$H$2:$H$201,"&lt;"&amp;H131)+COUNTIFS($AW$2:$AW$201,AW131,$CF$2:$CF$201,1,$H$2:$H$201,H131,$AX$2:$AX$201,"&lt;"&amp;AX131)=0,1,0),0)</f>
        <v>0</v>
      </c>
      <c r="CH131" s="23" t="n">
        <f aca="false">IF(AND(AY131=1,P131="Y"),1,0)</f>
        <v>0</v>
      </c>
      <c r="CI131" s="23" t="n">
        <f aca="false">IF(CH131=1,IF(COUNTIFS($AW$2:$AW$201,AW131,$CH$2:$CH$201,1,$H$2:$H$201,"&lt;"&amp;H131)+COUNTIFS($AW$2:$AW$201,AW131,$CH$2:$CH$201,1,$H$2:$H$201,H131,$AX$2:$AX$201,"&lt;"&amp;AX131)=0,1,0),0)</f>
        <v>0</v>
      </c>
      <c r="CJ131" s="23" t="str">
        <f aca="false">IF(AND(BU131=1,INT(N(H131))&lt;=Config!$B$5),L131,"")</f>
        <v/>
      </c>
      <c r="CK131" s="23" t="n">
        <f aca="false">IF(AND(AY131=1,AR131="Y"),1,0)</f>
        <v>0</v>
      </c>
      <c r="CL131" s="23" t="n">
        <f aca="false">IF(CK131=1,IF(COUNTIFS($AW$2:$AW$201,AW131,$CK$2:$CK$201,1,$H$2:$H$201,"&lt;"&amp;H131)+COUNTIFS($AW$2:$AW$201,AW131,$CK$2:$CK$201,1,$H$2:$H$201,H131,$AX$2:$AX$201,"&lt;"&amp;AX131)=0,1,0),0)</f>
        <v>0</v>
      </c>
      <c r="CM131" s="23" t="str">
        <f aca="false">IF(AY131=1,IFERROR(MATCH($A131,INDEX(Clay_Brands!$A$2:$FZ$601,0,Sync!$D$5),0),""),"")</f>
        <v/>
      </c>
      <c r="CN131" s="23" t="str">
        <f aca="false">IF(CM131="","",IFERROR(INDEX(Clay_Brands!$A$2:$FZ$601,CM131,Sync!$D$7)&amp;"",""))</f>
        <v/>
      </c>
      <c r="CO131" s="23" t="str">
        <f aca="false">IF(CN131="","",IFERROR(INDEX(Lists!$K$2:$K$15,MATCH(CN131,Lists!$J$2:$J$15,0)),""))</f>
        <v/>
      </c>
      <c r="CP131" s="23" t="str">
        <f aca="false">IF(CM131="","",IFERROR(INDEX(Clay_Brands!$A$2:$FZ$601,CM131,Sync!$D$17)&amp;"",""))</f>
        <v/>
      </c>
      <c r="CQ131" s="35" t="str">
        <f aca="false">IF(CM131="","",IFERROR(N(INDEX(Clay_Brands!$A$2:$FZ$601,CM131,Sync!$D$16)),0))</f>
        <v/>
      </c>
      <c r="CR131" s="23" t="n">
        <f aca="false">IF(AND(AY131=1,OR(O131="N",AND(OR(ISNUMBER(R131),ISNUMBER(V131)),MAX(N(R131),N(V131))&lt;Config!$B$14))),1,0)</f>
        <v>0</v>
      </c>
      <c r="CS131" s="23" t="n">
        <f aca="false">IF(OR(BB131=1,CR131=1),1,0)</f>
        <v>0</v>
      </c>
      <c r="CT131" s="23" t="n">
        <f aca="false">IF(AND(AY131=1,OR(AN131="Y",AN131="N",AN131="maybe")),1,0)</f>
        <v>0</v>
      </c>
      <c r="CU131" s="23" t="n">
        <f aca="false">IF(AND(CT131=1),IF(COUNTIFS($A$2:$A$201,$A131,$CT$2:$CT$201,1,$H$2:$H$201,"&gt;"&amp;H131)+COUNTIFS($A$2:$A$201,$A131,$CT$2:$CT$201,1,$H$2:$H$201,H131,$AX$2:$AX$201,"&gt;"&amp;AX131)=0,1,0),0)</f>
        <v>0</v>
      </c>
      <c r="CV131" s="23" t="n">
        <f aca="false">IF(AND(CS131=1,INT(N(H131))&lt;=Config!$B$6),IF(COUNTIFS($AW$2:$AW$201,AW131,$CS$2:$CS$201,1,$H$2:$H$201,"&gt;"&amp;H131,$H$2:$H$201,"&lt;"&amp;(Config!$B$6+1))+COUNTIFS($AW$2:$AW$201,AW131,$CS$2:$CS$201,1,$H$2:$H$201,H131,$AX$2:$AX$201,"&gt;"&amp;AX131)=0,1,0),0)</f>
        <v>0</v>
      </c>
      <c r="CW131" s="23" t="n">
        <f aca="false">IF(AND(CS131=1,INT(N(H131))&lt;=Config!$B$7),IF(COUNTIFS($AW$2:$AW$201,AW131,$CS$2:$CS$201,1,$H$2:$H$201,"&gt;"&amp;H131,$H$2:$H$201,"&lt;"&amp;(Config!$B$7+1))+COUNTIFS($AW$2:$AW$201,AW131,$CS$2:$CS$201,1,$H$2:$H$201,H131,$AX$2:$AX$201,"&gt;"&amp;AX131)=0,1,0),0)</f>
        <v>0</v>
      </c>
      <c r="CX131" s="23" t="n">
        <f aca="false">IF(AND(CS131=1,INT(N(H131))&lt;=Config!$B$8),IF(COUNTIFS($AW$2:$AW$201,AW131,$CS$2:$CS$201,1,$H$2:$H$201,"&gt;"&amp;H131,$H$2:$H$201,"&lt;"&amp;(Config!$B$8+1))+COUNTIFS($AW$2:$AW$201,AW131,$CS$2:$CS$201,1,$H$2:$H$201,H131,$AX$2:$AX$201,"&gt;"&amp;AX131)=0,1,0),0)</f>
        <v>0</v>
      </c>
      <c r="CY131" s="23" t="n">
        <f aca="false">IF(AND(CS131=1,INT(N(H131))&lt;=Config!$B$5),IF(COUNTIFS($AW$2:$AW$201,AW131,$CS$2:$CS$201,1,$H$2:$H$201,"&gt;"&amp;H131,$H$2:$H$201,"&lt;"&amp;(Config!$B$5+1))+COUNTIFS($AW$2:$AW$201,AW131,$CS$2:$CS$201,1,$H$2:$H$201,H131,$AX$2:$AX$201,"&gt;"&amp;AX131)=0,1,0),0)</f>
        <v>0</v>
      </c>
      <c r="CZ131" s="23" t="n">
        <f aca="false">IF(AY131=1,IF(COUNTIFS($AW$2:$AW$201,AW131,$CV$2:$CV$201,1,$BB$2:$BB$201,1)&gt;0,1,0),0)</f>
        <v>0</v>
      </c>
      <c r="DA131" s="23" t="n">
        <f aca="false">IF(AY131=1,IF(COUNTIFS($AW$2:$AW$201,AW131,$CW$2:$CW$201,1,$BB$2:$BB$201,1)&gt;0,1,0),0)</f>
        <v>0</v>
      </c>
      <c r="DB131" s="23" t="n">
        <f aca="false">IF(AY131=1,IF(COUNTIFS($AW$2:$AW$201,AW131,$CX$2:$CX$201,1,$BB$2:$BB$201,1)&gt;0,1,0),0)</f>
        <v>0</v>
      </c>
      <c r="DC131" s="23" t="n">
        <f aca="false">IF(AY131=1,IF(COUNTIFS($AW$2:$AW$201,AW131,$CY$2:$CY$201,1,$BB$2:$BB$201,1)&gt;0,1,0),0)</f>
        <v>0</v>
      </c>
      <c r="DD131" s="23" t="n">
        <f aca="false">IF(AND(BC131=1,INT(N(H131))&lt;=Config!$B$6,CZ131=1),1,0)</f>
        <v>0</v>
      </c>
      <c r="DE131" s="23" t="n">
        <f aca="false">IF(AND(BC131=1,INT(N(H131))&lt;=Config!$B$7,DA131=1),1,0)</f>
        <v>0</v>
      </c>
      <c r="DF131" s="23" t="n">
        <f aca="false">IF(AND(BC131=1,INT(N(H131))&lt;=Config!$B$8,DB131=1),1,0)</f>
        <v>0</v>
      </c>
      <c r="DG131" s="23" t="n">
        <f aca="false">IF(AND(BC131=1,INT(N(H131))&lt;=Config!$B$5,DC131=1),1,0)</f>
        <v>0</v>
      </c>
      <c r="DH131" s="23" t="n">
        <f aca="false">IF(AND(BE131=1,INT(N(H131))&lt;=Config!$B$6,CZ131=1),1,0)</f>
        <v>0</v>
      </c>
      <c r="DI131" s="23" t="n">
        <f aca="false">IF(AND(BE131=1,INT(N(H131))&lt;=Config!$B$7,DA131=1),1,0)</f>
        <v>0</v>
      </c>
      <c r="DJ131" s="23" t="n">
        <f aca="false">IF(AND(BE131=1,INT(N(H131))&lt;=Config!$B$8,DB131=1),1,0)</f>
        <v>0</v>
      </c>
      <c r="DK131" s="23" t="n">
        <f aca="false">IF(AND(BE131=1,INT(N(H131))&lt;=Config!$B$5,DC131=1),1,0)</f>
        <v>0</v>
      </c>
      <c r="DL131" s="23" t="n">
        <f aca="false">IF(AND(BC131=1,INT(N(H131))&lt;=Config!$B$6,CZ131=0),1,0)</f>
        <v>0</v>
      </c>
      <c r="DM131" s="23" t="n">
        <f aca="false">IF(AND(BC131=1,INT(N(H131))&lt;=Config!$B$7,DA131=0),1,0)</f>
        <v>0</v>
      </c>
      <c r="DN131" s="23" t="n">
        <f aca="false">IF(AND(BC131=1,INT(N(H131))&lt;=Config!$B$8,DB131=0),1,0)</f>
        <v>0</v>
      </c>
      <c r="DO131" s="23" t="n">
        <f aca="false">IF(AND(BC131=1,INT(N(H131))&lt;=Config!$B$5,DC131=0),1,0)</f>
        <v>0</v>
      </c>
      <c r="DP131" s="23" t="n">
        <f aca="false">IF(TRIM($A131)="",0,ISTEXT(K131)+ISTEXT(L131)+ISTEXT(R131)+ISTEXT(V131)+ISTEXT(AP131)+ISTEXT(AS131))</f>
        <v>0</v>
      </c>
      <c r="DQ131" s="23" t="n">
        <f aca="false">IF(AY131=1,IF(H131&lt;&gt;INT(H131),1,0),0)</f>
        <v>0</v>
      </c>
      <c r="DR131" s="23" t="str">
        <f aca="false">IF(TRIM($A131)="","",IF(TRIM(B131)="",SUBSTITUTE(SUBSTITUTE(SUBSTITUTE(SUBSTITUTE(SUBSTITUTE(SUBSTITUTE(LOWER(TRIM($A131)),"~",""),"*",""),"?",""),"&lt;",""),"&gt;",""),"=",""),SUBSTITUTE(SUBSTITUTE(SUBSTITUTE(SUBSTITUTE(SUBSTITUTE(SUBSTITUTE(LOWER(TRIM(B131)),"~",""),"*",""),"?",""),"&lt;",""),"&gt;",""),"=","")))</f>
        <v/>
      </c>
      <c r="DS131" s="23" t="str">
        <f aca="false">IF(CM131="","",IFERROR(IF(LEFT(LOWER(TRIM(INDEX(Clay_Brands!$A$2:$FZ$601,CM131,Sync!$D$19)&amp;"")),4)="grp-",SUBSTITUTE(SUBSTITUTE(SUBSTITUTE(SUBSTITUTE(SUBSTITUTE(SUBSTITUTE(LOWER(TRIM(INDEX(Clay_Brands!$A$2:$FZ$601,CM131,Sync!$D$19)&amp;"")),"~",""),"*",""),"?",""),"&lt;",""),"&gt;",""),"=",""),""),""))</f>
        <v/>
      </c>
      <c r="DT131" s="23" t="str">
        <f aca="false">IF(DS131&lt;&gt;"",DR131,"")</f>
        <v/>
      </c>
      <c r="DU131" s="23" t="str">
        <f aca="false">IF(AZ131=1,AW131,"")</f>
        <v/>
      </c>
      <c r="DV131" s="23" t="str">
        <f aca="false">IF(TRIM($A131)="","",IFERROR(INDEX($A$2:$A$201,MATCH(AW131,$DU$2:$DU$201,0))&amp;"",$A131&amp;""))</f>
        <v/>
      </c>
      <c r="DW131" s="23" t="n">
        <f aca="false">IF(AY131=1,IF(COUNTIFS($A$2:$A$201,$A131,$AY$2:$AY$201,1,$H$2:$H$201,"&lt;"&amp;H131)+COUNTIFS($A$2:$A$201,$A131,$AY$2:$AY$201,1,$H$2:$H$201,H131,$AX$2:$AX$201,"&lt;"&amp;AX131)=0,1,0),0)</f>
        <v>0</v>
      </c>
      <c r="DX131" s="23" t="n">
        <f aca="false">IF(AZ131=1,IF(COUNTIFS($AW$2:$AW$201,AW131,$DW$2:$DW$201,1)&gt;1,1,0),0)</f>
        <v>0</v>
      </c>
    </row>
    <row r="132" customFormat="false" ht="15" hidden="false" customHeight="false" outlineLevel="0" collapsed="false">
      <c r="G132" s="32"/>
      <c r="H132" s="33"/>
      <c r="I132" s="32"/>
      <c r="O132" s="32"/>
      <c r="P132" s="32"/>
      <c r="U132" s="32"/>
      <c r="Y132" s="32"/>
      <c r="AB132" s="32"/>
      <c r="AC132" s="32"/>
      <c r="AD132" s="32"/>
      <c r="AE132" s="32"/>
      <c r="AF132" s="32"/>
      <c r="AG132" s="32"/>
      <c r="AI132" s="32"/>
      <c r="AJ132" s="32"/>
      <c r="AK132" s="32"/>
      <c r="AN132" s="32"/>
      <c r="AO132" s="32"/>
      <c r="AR132" s="32"/>
      <c r="AT132" s="32"/>
      <c r="AV132" s="34" t="str">
        <f aca="false">IF(TRIM($A132)="","",IF(AND(LEFT($A132,6)="SAMPLE",Config!$B$19&lt;&gt;"Y"),"",IF(NOT(ISNUMBER(H132)),"call_date is blank or not a date",IF(Sync!$D$5="","Clay paste is empty or has no row_id column: paste the Clay export on Clay_Brands",IF(CM132="","row_id not found in the Clay paste: add the Clay row or fix the row_id",IF(AND(ISNUMBER(CO132),CO132&gt;=1,CO132&lt;=5),"Clay status is "&amp;CN132&amp;": set call_done or later",IF(AND(BA132=1,CP132&lt;&gt;CB132),"Clay yes_in_principle should be "&amp;CB132,IF(AND(BA132=1,CQ132&lt;&gt;H132),"Clay call_date should be "&amp;TEXT(H132,"yyyy-mm-dd"),""))))))))</f>
        <v/>
      </c>
      <c r="AW132" s="23" t="str">
        <f aca="false">IF(TRIM($A132)="","",IF(TRIM(C132)&lt;&gt;"",SUBSTITUTE(SUBSTITUTE(SUBSTITUTE(SUBSTITUTE(SUBSTITUTE(SUBSTITUTE(LOWER(TRIM(C132)),"~",""),"*",""),"?",""),"&lt;",""),"&gt;",""),"=",""),IF(DS132&lt;&gt;"",DS132,IFERROR(INDEX($DS$2:$DS$201,MATCH(DR132,$DT$2:$DT$201,0)),DR132))))</f>
        <v/>
      </c>
      <c r="AX132" s="23" t="n">
        <f aca="false">ROW()</f>
        <v>132</v>
      </c>
      <c r="AY132" s="23" t="n">
        <f aca="false">IF(AND(TRIM($A132)&lt;&gt;"",ISNUMBER(H132)),IF(AND(LEFT($A132,6)="SAMPLE",Config!$B$19&lt;&gt;"Y"),0,1),0)</f>
        <v>0</v>
      </c>
      <c r="AZ132" s="23" t="n">
        <f aca="false">IF(AY132=1,IF(COUNTIFS($AW$2:$AW$201,AW132,$AY$2:$AY$201,1,$H$2:$H$201,"&lt;"&amp;H132)+COUNTIFS($AW$2:$AW$201,AW132,$AY$2:$AY$201,1,$H$2:$H$201,H132,$AX$2:$AX$201,"&lt;"&amp;AX132)=0,1,0),0)</f>
        <v>0</v>
      </c>
      <c r="BA132" s="23" t="n">
        <f aca="false">IF(AY132=1,IF(COUNTIFS($A$2:$A$201,$A132,$AY$2:$AY$201,1,$H$2:$H$201,"&gt;"&amp;H132)+COUNTIFS($A$2:$A$201,$A132,$AY$2:$AY$201,1,$H$2:$H$201,H132,$AX$2:$AX$201,"&gt;"&amp;AX132)=0,1,0),0)</f>
        <v>0</v>
      </c>
      <c r="BB132" s="23" t="n">
        <f aca="false">IF(AND(AY132=1,O132="Y",MAX(N(R132),N(V132))&gt;=Config!$B$14),1,0)</f>
        <v>0</v>
      </c>
      <c r="BC132" s="23" t="n">
        <f aca="false">IF(BB132=1,IF(COUNTIFS($AW$2:$AW$201,AW132,$BB$2:$BB$201,1,$H$2:$H$201,"&lt;"&amp;H132)+COUNTIFS($AW$2:$AW$201,AW132,$BB$2:$BB$201,1,$H$2:$H$201,H132,$AX$2:$AX$201,"&lt;"&amp;AX132)=0,1,0),0)</f>
        <v>0</v>
      </c>
      <c r="BD132" s="23" t="n">
        <f aca="false">IF(AND(AY132=1,O132="Y",ISNUMBER(R132)),IF(R132&gt;=Config!$B$14,1,0),0)</f>
        <v>0</v>
      </c>
      <c r="BE132" s="23" t="n">
        <f aca="false">IF(BD132=1,IF(COUNTIFS($AW$2:$AW$201,AW132,$BD$2:$BD$201,1,$H$2:$H$201,"&lt;"&amp;H132)+COUNTIFS($AW$2:$AW$201,AW132,$BD$2:$BD$201,1,$H$2:$H$201,H132,$AX$2:$AX$201,"&lt;"&amp;AX132)=0,1,0),0)</f>
        <v>0</v>
      </c>
      <c r="BF132" s="23" t="n">
        <f aca="false">IF(AND(AY132=1,O132&lt;&gt;"Y",MAX(N(R132),N(V132))&gt;=Config!$B$14),1,0)</f>
        <v>0</v>
      </c>
      <c r="BG132" s="23" t="n">
        <f aca="false">IF(BF132=1,IF(COUNTIFS($AW$2:$AW$201,AW132,$BF$2:$BF$201,1,$H$2:$H$201,"&lt;"&amp;H132)+COUNTIFS($AW$2:$AW$201,AW132,$BF$2:$BF$201,1,$H$2:$H$201,H132,$AX$2:$AX$201,"&lt;"&amp;AX132)=0,1,0),0)</f>
        <v>0</v>
      </c>
      <c r="BH132" s="23" t="n">
        <f aca="false">IF(AND(AY132=1,ISNUMBER(R132)),1,0)</f>
        <v>0</v>
      </c>
      <c r="BI132" s="23" t="n">
        <f aca="false">IF(BH132=1,IF(COUNTIFS($AW$2:$AW$201,AW132,$BH$2:$BH$201,1,$H$2:$H$201,"&lt;"&amp;H132)+COUNTIFS($AW$2:$AW$201,AW132,$BH$2:$BH$201,1,$H$2:$H$201,H132,$AX$2:$AX$201,"&lt;"&amp;AX132)=0,1,0),0)</f>
        <v>0</v>
      </c>
      <c r="BJ132" s="23" t="str">
        <f aca="false">IF(AND(BI132=1,INT(N(H132))&lt;=Config!$B$6),R132,"")</f>
        <v/>
      </c>
      <c r="BK132" s="23" t="str">
        <f aca="false">IF(AND(BI132=1,INT(N(H132))&lt;=Config!$B$7),R132,"")</f>
        <v/>
      </c>
      <c r="BL132" s="23" t="str">
        <f aca="false">IF(AND(BI132=1,INT(N(H132))&lt;=Config!$B$8),R132,"")</f>
        <v/>
      </c>
      <c r="BM132" s="23" t="str">
        <f aca="false">IF(AND(BI132=1,INT(N(H132))&lt;=Config!$B$5),R132,"")</f>
        <v/>
      </c>
      <c r="BN132" s="23" t="n">
        <f aca="false">IF(AND(AY132=1,ISNUMBER(V132)),1,0)</f>
        <v>0</v>
      </c>
      <c r="BO132" s="23" t="n">
        <f aca="false">IF(BN132=1,IF(COUNTIFS($AW$2:$AW$201,AW132,$BN$2:$BN$201,1,$H$2:$H$201,"&lt;"&amp;H132)+COUNTIFS($AW$2:$AW$201,AW132,$BN$2:$BN$201,1,$H$2:$H$201,H132,$AX$2:$AX$201,"&lt;"&amp;AX132)=0,1,0),0)</f>
        <v>0</v>
      </c>
      <c r="BP132" s="23" t="str">
        <f aca="false">IF(AND(BO132=1,INT(N(H132))&lt;=Config!$B$6),V132,"")</f>
        <v/>
      </c>
      <c r="BQ132" s="23" t="str">
        <f aca="false">IF(AND(BO132=1,INT(N(H132))&lt;=Config!$B$7),V132,"")</f>
        <v/>
      </c>
      <c r="BR132" s="23" t="str">
        <f aca="false">IF(AND(BO132=1,INT(N(H132))&lt;=Config!$B$8),V132,"")</f>
        <v/>
      </c>
      <c r="BS132" s="23" t="str">
        <f aca="false">IF(AND(BO132=1,INT(N(H132))&lt;=Config!$B$5),V132,"")</f>
        <v/>
      </c>
      <c r="BT132" s="23" t="n">
        <f aca="false">IF(AND(AY132=1,ISNUMBER(K132)),1,0)</f>
        <v>0</v>
      </c>
      <c r="BU132" s="23" t="n">
        <f aca="false">IF(BT132=1,IF(COUNTIFS($AW$2:$AW$201,AW132,$BT$2:$BT$201,1,$H$2:$H$201,"&lt;"&amp;H132)+COUNTIFS($AW$2:$AW$201,AW132,$BT$2:$BT$201,1,$H$2:$H$201,H132,$AX$2:$AX$201,"&lt;"&amp;AX132)=0,1,0),0)</f>
        <v>0</v>
      </c>
      <c r="BV132" s="23" t="str">
        <f aca="false">IF(AND(BU132=1,INT(N(H132))&lt;=Config!$B$5),K132,"")</f>
        <v/>
      </c>
      <c r="BW132" s="23" t="n">
        <f aca="false">IF(AND(AY132=1,OR(AND(ISNUMBER(R132),TRIM(S132)=""),AND(ISNUMBER(V132),TRIM(W132)=""))),1,0)</f>
        <v>0</v>
      </c>
      <c r="BX132" s="23" t="str">
        <f aca="false">IF(AY132=1,AJ132&amp;"","")</f>
        <v/>
      </c>
      <c r="BY132" s="23" t="str">
        <f aca="false">IF(AY132=1,AK132&amp;"","")</f>
        <v/>
      </c>
      <c r="BZ132" s="23" t="str">
        <f aca="false">IF(AY132=1,AL132&amp;"","")</f>
        <v/>
      </c>
      <c r="CA132" s="23" t="str">
        <f aca="false">IF(AND(AY132=1,ISNUMBER(AS132),INT(N(H132))&lt;=Config!$B$5),AS132,"")</f>
        <v/>
      </c>
      <c r="CB132" s="23" t="str">
        <f aca="false">IF(AY132=1,IF(COUNTIFS($A$2:$A$201,$A132,$CU$2:$CU$201,1,$AN$2:$AN$201,"Y")&gt;0,"Y","N"),"")</f>
        <v/>
      </c>
      <c r="CC132" s="23" t="n">
        <f aca="false">IF(AND(AY132=1,AN132="Y"),IF(COUNTIFS($AW$2:$AW$201,AW132,$AN$2:$AN$201,"Y",$AY$2:$AY$201,1,$H$2:$H$201,"&lt;"&amp;H132)+COUNTIFS($AW$2:$AW$201,AW132,$AN$2:$AN$201,"Y",$AY$2:$AY$201,1,$H$2:$H$201,H132,$AX$2:$AX$201,"&lt;"&amp;AX132)=0,1,0),0)</f>
        <v>0</v>
      </c>
      <c r="CD132" s="23" t="n">
        <f aca="false">IF(AND(AY132=1,AB132="Y",AC132="Y",AD132="Y",AE132="Y",AF132="Y",AG132="Y",AI132="Y",TRIM(AH132)&lt;&gt;""),1,0)</f>
        <v>0</v>
      </c>
      <c r="CE132" s="23" t="n">
        <f aca="false">IF(CD132=1,IF(COUNTIFS($AW$2:$AW$201,AW132,$CD$2:$CD$201,1,$H$2:$H$201,"&lt;"&amp;H132)+COUNTIFS($AW$2:$AW$201,AW132,$CD$2:$CD$201,1,$H$2:$H$201,H132,$AX$2:$AX$201,"&lt;"&amp;AX132)=0,1,0),0)</f>
        <v>0</v>
      </c>
      <c r="CF132" s="23" t="n">
        <f aca="false">IF(AND(AY132=1,AO132="Y"),1,0)</f>
        <v>0</v>
      </c>
      <c r="CG132" s="23" t="n">
        <f aca="false">IF(CF132=1,IF(COUNTIFS($AW$2:$AW$201,AW132,$CF$2:$CF$201,1,$H$2:$H$201,"&lt;"&amp;H132)+COUNTIFS($AW$2:$AW$201,AW132,$CF$2:$CF$201,1,$H$2:$H$201,H132,$AX$2:$AX$201,"&lt;"&amp;AX132)=0,1,0),0)</f>
        <v>0</v>
      </c>
      <c r="CH132" s="23" t="n">
        <f aca="false">IF(AND(AY132=1,P132="Y"),1,0)</f>
        <v>0</v>
      </c>
      <c r="CI132" s="23" t="n">
        <f aca="false">IF(CH132=1,IF(COUNTIFS($AW$2:$AW$201,AW132,$CH$2:$CH$201,1,$H$2:$H$201,"&lt;"&amp;H132)+COUNTIFS($AW$2:$AW$201,AW132,$CH$2:$CH$201,1,$H$2:$H$201,H132,$AX$2:$AX$201,"&lt;"&amp;AX132)=0,1,0),0)</f>
        <v>0</v>
      </c>
      <c r="CJ132" s="23" t="str">
        <f aca="false">IF(AND(BU132=1,INT(N(H132))&lt;=Config!$B$5),L132,"")</f>
        <v/>
      </c>
      <c r="CK132" s="23" t="n">
        <f aca="false">IF(AND(AY132=1,AR132="Y"),1,0)</f>
        <v>0</v>
      </c>
      <c r="CL132" s="23" t="n">
        <f aca="false">IF(CK132=1,IF(COUNTIFS($AW$2:$AW$201,AW132,$CK$2:$CK$201,1,$H$2:$H$201,"&lt;"&amp;H132)+COUNTIFS($AW$2:$AW$201,AW132,$CK$2:$CK$201,1,$H$2:$H$201,H132,$AX$2:$AX$201,"&lt;"&amp;AX132)=0,1,0),0)</f>
        <v>0</v>
      </c>
      <c r="CM132" s="23" t="str">
        <f aca="false">IF(AY132=1,IFERROR(MATCH($A132,INDEX(Clay_Brands!$A$2:$FZ$601,0,Sync!$D$5),0),""),"")</f>
        <v/>
      </c>
      <c r="CN132" s="23" t="str">
        <f aca="false">IF(CM132="","",IFERROR(INDEX(Clay_Brands!$A$2:$FZ$601,CM132,Sync!$D$7)&amp;"",""))</f>
        <v/>
      </c>
      <c r="CO132" s="23" t="str">
        <f aca="false">IF(CN132="","",IFERROR(INDEX(Lists!$K$2:$K$15,MATCH(CN132,Lists!$J$2:$J$15,0)),""))</f>
        <v/>
      </c>
      <c r="CP132" s="23" t="str">
        <f aca="false">IF(CM132="","",IFERROR(INDEX(Clay_Brands!$A$2:$FZ$601,CM132,Sync!$D$17)&amp;"",""))</f>
        <v/>
      </c>
      <c r="CQ132" s="35" t="str">
        <f aca="false">IF(CM132="","",IFERROR(N(INDEX(Clay_Brands!$A$2:$FZ$601,CM132,Sync!$D$16)),0))</f>
        <v/>
      </c>
      <c r="CR132" s="23" t="n">
        <f aca="false">IF(AND(AY132=1,OR(O132="N",AND(OR(ISNUMBER(R132),ISNUMBER(V132)),MAX(N(R132),N(V132))&lt;Config!$B$14))),1,0)</f>
        <v>0</v>
      </c>
      <c r="CS132" s="23" t="n">
        <f aca="false">IF(OR(BB132=1,CR132=1),1,0)</f>
        <v>0</v>
      </c>
      <c r="CT132" s="23" t="n">
        <f aca="false">IF(AND(AY132=1,OR(AN132="Y",AN132="N",AN132="maybe")),1,0)</f>
        <v>0</v>
      </c>
      <c r="CU132" s="23" t="n">
        <f aca="false">IF(AND(CT132=1),IF(COUNTIFS($A$2:$A$201,$A132,$CT$2:$CT$201,1,$H$2:$H$201,"&gt;"&amp;H132)+COUNTIFS($A$2:$A$201,$A132,$CT$2:$CT$201,1,$H$2:$H$201,H132,$AX$2:$AX$201,"&gt;"&amp;AX132)=0,1,0),0)</f>
        <v>0</v>
      </c>
      <c r="CV132" s="23" t="n">
        <f aca="false">IF(AND(CS132=1,INT(N(H132))&lt;=Config!$B$6),IF(COUNTIFS($AW$2:$AW$201,AW132,$CS$2:$CS$201,1,$H$2:$H$201,"&gt;"&amp;H132,$H$2:$H$201,"&lt;"&amp;(Config!$B$6+1))+COUNTIFS($AW$2:$AW$201,AW132,$CS$2:$CS$201,1,$H$2:$H$201,H132,$AX$2:$AX$201,"&gt;"&amp;AX132)=0,1,0),0)</f>
        <v>0</v>
      </c>
      <c r="CW132" s="23" t="n">
        <f aca="false">IF(AND(CS132=1,INT(N(H132))&lt;=Config!$B$7),IF(COUNTIFS($AW$2:$AW$201,AW132,$CS$2:$CS$201,1,$H$2:$H$201,"&gt;"&amp;H132,$H$2:$H$201,"&lt;"&amp;(Config!$B$7+1))+COUNTIFS($AW$2:$AW$201,AW132,$CS$2:$CS$201,1,$H$2:$H$201,H132,$AX$2:$AX$201,"&gt;"&amp;AX132)=0,1,0),0)</f>
        <v>0</v>
      </c>
      <c r="CX132" s="23" t="n">
        <f aca="false">IF(AND(CS132=1,INT(N(H132))&lt;=Config!$B$8),IF(COUNTIFS($AW$2:$AW$201,AW132,$CS$2:$CS$201,1,$H$2:$H$201,"&gt;"&amp;H132,$H$2:$H$201,"&lt;"&amp;(Config!$B$8+1))+COUNTIFS($AW$2:$AW$201,AW132,$CS$2:$CS$201,1,$H$2:$H$201,H132,$AX$2:$AX$201,"&gt;"&amp;AX132)=0,1,0),0)</f>
        <v>0</v>
      </c>
      <c r="CY132" s="23" t="n">
        <f aca="false">IF(AND(CS132=1,INT(N(H132))&lt;=Config!$B$5),IF(COUNTIFS($AW$2:$AW$201,AW132,$CS$2:$CS$201,1,$H$2:$H$201,"&gt;"&amp;H132,$H$2:$H$201,"&lt;"&amp;(Config!$B$5+1))+COUNTIFS($AW$2:$AW$201,AW132,$CS$2:$CS$201,1,$H$2:$H$201,H132,$AX$2:$AX$201,"&gt;"&amp;AX132)=0,1,0),0)</f>
        <v>0</v>
      </c>
      <c r="CZ132" s="23" t="n">
        <f aca="false">IF(AY132=1,IF(COUNTIFS($AW$2:$AW$201,AW132,$CV$2:$CV$201,1,$BB$2:$BB$201,1)&gt;0,1,0),0)</f>
        <v>0</v>
      </c>
      <c r="DA132" s="23" t="n">
        <f aca="false">IF(AY132=1,IF(COUNTIFS($AW$2:$AW$201,AW132,$CW$2:$CW$201,1,$BB$2:$BB$201,1)&gt;0,1,0),0)</f>
        <v>0</v>
      </c>
      <c r="DB132" s="23" t="n">
        <f aca="false">IF(AY132=1,IF(COUNTIFS($AW$2:$AW$201,AW132,$CX$2:$CX$201,1,$BB$2:$BB$201,1)&gt;0,1,0),0)</f>
        <v>0</v>
      </c>
      <c r="DC132" s="23" t="n">
        <f aca="false">IF(AY132=1,IF(COUNTIFS($AW$2:$AW$201,AW132,$CY$2:$CY$201,1,$BB$2:$BB$201,1)&gt;0,1,0),0)</f>
        <v>0</v>
      </c>
      <c r="DD132" s="23" t="n">
        <f aca="false">IF(AND(BC132=1,INT(N(H132))&lt;=Config!$B$6,CZ132=1),1,0)</f>
        <v>0</v>
      </c>
      <c r="DE132" s="23" t="n">
        <f aca="false">IF(AND(BC132=1,INT(N(H132))&lt;=Config!$B$7,DA132=1),1,0)</f>
        <v>0</v>
      </c>
      <c r="DF132" s="23" t="n">
        <f aca="false">IF(AND(BC132=1,INT(N(H132))&lt;=Config!$B$8,DB132=1),1,0)</f>
        <v>0</v>
      </c>
      <c r="DG132" s="23" t="n">
        <f aca="false">IF(AND(BC132=1,INT(N(H132))&lt;=Config!$B$5,DC132=1),1,0)</f>
        <v>0</v>
      </c>
      <c r="DH132" s="23" t="n">
        <f aca="false">IF(AND(BE132=1,INT(N(H132))&lt;=Config!$B$6,CZ132=1),1,0)</f>
        <v>0</v>
      </c>
      <c r="DI132" s="23" t="n">
        <f aca="false">IF(AND(BE132=1,INT(N(H132))&lt;=Config!$B$7,DA132=1),1,0)</f>
        <v>0</v>
      </c>
      <c r="DJ132" s="23" t="n">
        <f aca="false">IF(AND(BE132=1,INT(N(H132))&lt;=Config!$B$8,DB132=1),1,0)</f>
        <v>0</v>
      </c>
      <c r="DK132" s="23" t="n">
        <f aca="false">IF(AND(BE132=1,INT(N(H132))&lt;=Config!$B$5,DC132=1),1,0)</f>
        <v>0</v>
      </c>
      <c r="DL132" s="23" t="n">
        <f aca="false">IF(AND(BC132=1,INT(N(H132))&lt;=Config!$B$6,CZ132=0),1,0)</f>
        <v>0</v>
      </c>
      <c r="DM132" s="23" t="n">
        <f aca="false">IF(AND(BC132=1,INT(N(H132))&lt;=Config!$B$7,DA132=0),1,0)</f>
        <v>0</v>
      </c>
      <c r="DN132" s="23" t="n">
        <f aca="false">IF(AND(BC132=1,INT(N(H132))&lt;=Config!$B$8,DB132=0),1,0)</f>
        <v>0</v>
      </c>
      <c r="DO132" s="23" t="n">
        <f aca="false">IF(AND(BC132=1,INT(N(H132))&lt;=Config!$B$5,DC132=0),1,0)</f>
        <v>0</v>
      </c>
      <c r="DP132" s="23" t="n">
        <f aca="false">IF(TRIM($A132)="",0,ISTEXT(K132)+ISTEXT(L132)+ISTEXT(R132)+ISTEXT(V132)+ISTEXT(AP132)+ISTEXT(AS132))</f>
        <v>0</v>
      </c>
      <c r="DQ132" s="23" t="n">
        <f aca="false">IF(AY132=1,IF(H132&lt;&gt;INT(H132),1,0),0)</f>
        <v>0</v>
      </c>
      <c r="DR132" s="23" t="str">
        <f aca="false">IF(TRIM($A132)="","",IF(TRIM(B132)="",SUBSTITUTE(SUBSTITUTE(SUBSTITUTE(SUBSTITUTE(SUBSTITUTE(SUBSTITUTE(LOWER(TRIM($A132)),"~",""),"*",""),"?",""),"&lt;",""),"&gt;",""),"=",""),SUBSTITUTE(SUBSTITUTE(SUBSTITUTE(SUBSTITUTE(SUBSTITUTE(SUBSTITUTE(LOWER(TRIM(B132)),"~",""),"*",""),"?",""),"&lt;",""),"&gt;",""),"=","")))</f>
        <v/>
      </c>
      <c r="DS132" s="23" t="str">
        <f aca="false">IF(CM132="","",IFERROR(IF(LEFT(LOWER(TRIM(INDEX(Clay_Brands!$A$2:$FZ$601,CM132,Sync!$D$19)&amp;"")),4)="grp-",SUBSTITUTE(SUBSTITUTE(SUBSTITUTE(SUBSTITUTE(SUBSTITUTE(SUBSTITUTE(LOWER(TRIM(INDEX(Clay_Brands!$A$2:$FZ$601,CM132,Sync!$D$19)&amp;"")),"~",""),"*",""),"?",""),"&lt;",""),"&gt;",""),"=",""),""),""))</f>
        <v/>
      </c>
      <c r="DT132" s="23" t="str">
        <f aca="false">IF(DS132&lt;&gt;"",DR132,"")</f>
        <v/>
      </c>
      <c r="DU132" s="23" t="str">
        <f aca="false">IF(AZ132=1,AW132,"")</f>
        <v/>
      </c>
      <c r="DV132" s="23" t="str">
        <f aca="false">IF(TRIM($A132)="","",IFERROR(INDEX($A$2:$A$201,MATCH(AW132,$DU$2:$DU$201,0))&amp;"",$A132&amp;""))</f>
        <v/>
      </c>
      <c r="DW132" s="23" t="n">
        <f aca="false">IF(AY132=1,IF(COUNTIFS($A$2:$A$201,$A132,$AY$2:$AY$201,1,$H$2:$H$201,"&lt;"&amp;H132)+COUNTIFS($A$2:$A$201,$A132,$AY$2:$AY$201,1,$H$2:$H$201,H132,$AX$2:$AX$201,"&lt;"&amp;AX132)=0,1,0),0)</f>
        <v>0</v>
      </c>
      <c r="DX132" s="23" t="n">
        <f aca="false">IF(AZ132=1,IF(COUNTIFS($AW$2:$AW$201,AW132,$DW$2:$DW$201,1)&gt;1,1,0),0)</f>
        <v>0</v>
      </c>
    </row>
    <row r="133" customFormat="false" ht="15" hidden="false" customHeight="false" outlineLevel="0" collapsed="false">
      <c r="G133" s="32"/>
      <c r="H133" s="33"/>
      <c r="I133" s="32"/>
      <c r="O133" s="32"/>
      <c r="P133" s="32"/>
      <c r="U133" s="32"/>
      <c r="Y133" s="32"/>
      <c r="AB133" s="32"/>
      <c r="AC133" s="32"/>
      <c r="AD133" s="32"/>
      <c r="AE133" s="32"/>
      <c r="AF133" s="32"/>
      <c r="AG133" s="32"/>
      <c r="AI133" s="32"/>
      <c r="AJ133" s="32"/>
      <c r="AK133" s="32"/>
      <c r="AN133" s="32"/>
      <c r="AO133" s="32"/>
      <c r="AR133" s="32"/>
      <c r="AT133" s="32"/>
      <c r="AV133" s="34" t="str">
        <f aca="false">IF(TRIM($A133)="","",IF(AND(LEFT($A133,6)="SAMPLE",Config!$B$19&lt;&gt;"Y"),"",IF(NOT(ISNUMBER(H133)),"call_date is blank or not a date",IF(Sync!$D$5="","Clay paste is empty or has no row_id column: paste the Clay export on Clay_Brands",IF(CM133="","row_id not found in the Clay paste: add the Clay row or fix the row_id",IF(AND(ISNUMBER(CO133),CO133&gt;=1,CO133&lt;=5),"Clay status is "&amp;CN133&amp;": set call_done or later",IF(AND(BA133=1,CP133&lt;&gt;CB133),"Clay yes_in_principle should be "&amp;CB133,IF(AND(BA133=1,CQ133&lt;&gt;H133),"Clay call_date should be "&amp;TEXT(H133,"yyyy-mm-dd"),""))))))))</f>
        <v/>
      </c>
      <c r="AW133" s="23" t="str">
        <f aca="false">IF(TRIM($A133)="","",IF(TRIM(C133)&lt;&gt;"",SUBSTITUTE(SUBSTITUTE(SUBSTITUTE(SUBSTITUTE(SUBSTITUTE(SUBSTITUTE(LOWER(TRIM(C133)),"~",""),"*",""),"?",""),"&lt;",""),"&gt;",""),"=",""),IF(DS133&lt;&gt;"",DS133,IFERROR(INDEX($DS$2:$DS$201,MATCH(DR133,$DT$2:$DT$201,0)),DR133))))</f>
        <v/>
      </c>
      <c r="AX133" s="23" t="n">
        <f aca="false">ROW()</f>
        <v>133</v>
      </c>
      <c r="AY133" s="23" t="n">
        <f aca="false">IF(AND(TRIM($A133)&lt;&gt;"",ISNUMBER(H133)),IF(AND(LEFT($A133,6)="SAMPLE",Config!$B$19&lt;&gt;"Y"),0,1),0)</f>
        <v>0</v>
      </c>
      <c r="AZ133" s="23" t="n">
        <f aca="false">IF(AY133=1,IF(COUNTIFS($AW$2:$AW$201,AW133,$AY$2:$AY$201,1,$H$2:$H$201,"&lt;"&amp;H133)+COUNTIFS($AW$2:$AW$201,AW133,$AY$2:$AY$201,1,$H$2:$H$201,H133,$AX$2:$AX$201,"&lt;"&amp;AX133)=0,1,0),0)</f>
        <v>0</v>
      </c>
      <c r="BA133" s="23" t="n">
        <f aca="false">IF(AY133=1,IF(COUNTIFS($A$2:$A$201,$A133,$AY$2:$AY$201,1,$H$2:$H$201,"&gt;"&amp;H133)+COUNTIFS($A$2:$A$201,$A133,$AY$2:$AY$201,1,$H$2:$H$201,H133,$AX$2:$AX$201,"&gt;"&amp;AX133)=0,1,0),0)</f>
        <v>0</v>
      </c>
      <c r="BB133" s="23" t="n">
        <f aca="false">IF(AND(AY133=1,O133="Y",MAX(N(R133),N(V133))&gt;=Config!$B$14),1,0)</f>
        <v>0</v>
      </c>
      <c r="BC133" s="23" t="n">
        <f aca="false">IF(BB133=1,IF(COUNTIFS($AW$2:$AW$201,AW133,$BB$2:$BB$201,1,$H$2:$H$201,"&lt;"&amp;H133)+COUNTIFS($AW$2:$AW$201,AW133,$BB$2:$BB$201,1,$H$2:$H$201,H133,$AX$2:$AX$201,"&lt;"&amp;AX133)=0,1,0),0)</f>
        <v>0</v>
      </c>
      <c r="BD133" s="23" t="n">
        <f aca="false">IF(AND(AY133=1,O133="Y",ISNUMBER(R133)),IF(R133&gt;=Config!$B$14,1,0),0)</f>
        <v>0</v>
      </c>
      <c r="BE133" s="23" t="n">
        <f aca="false">IF(BD133=1,IF(COUNTIFS($AW$2:$AW$201,AW133,$BD$2:$BD$201,1,$H$2:$H$201,"&lt;"&amp;H133)+COUNTIFS($AW$2:$AW$201,AW133,$BD$2:$BD$201,1,$H$2:$H$201,H133,$AX$2:$AX$201,"&lt;"&amp;AX133)=0,1,0),0)</f>
        <v>0</v>
      </c>
      <c r="BF133" s="23" t="n">
        <f aca="false">IF(AND(AY133=1,O133&lt;&gt;"Y",MAX(N(R133),N(V133))&gt;=Config!$B$14),1,0)</f>
        <v>0</v>
      </c>
      <c r="BG133" s="23" t="n">
        <f aca="false">IF(BF133=1,IF(COUNTIFS($AW$2:$AW$201,AW133,$BF$2:$BF$201,1,$H$2:$H$201,"&lt;"&amp;H133)+COUNTIFS($AW$2:$AW$201,AW133,$BF$2:$BF$201,1,$H$2:$H$201,H133,$AX$2:$AX$201,"&lt;"&amp;AX133)=0,1,0),0)</f>
        <v>0</v>
      </c>
      <c r="BH133" s="23" t="n">
        <f aca="false">IF(AND(AY133=1,ISNUMBER(R133)),1,0)</f>
        <v>0</v>
      </c>
      <c r="BI133" s="23" t="n">
        <f aca="false">IF(BH133=1,IF(COUNTIFS($AW$2:$AW$201,AW133,$BH$2:$BH$201,1,$H$2:$H$201,"&lt;"&amp;H133)+COUNTIFS($AW$2:$AW$201,AW133,$BH$2:$BH$201,1,$H$2:$H$201,H133,$AX$2:$AX$201,"&lt;"&amp;AX133)=0,1,0),0)</f>
        <v>0</v>
      </c>
      <c r="BJ133" s="23" t="str">
        <f aca="false">IF(AND(BI133=1,INT(N(H133))&lt;=Config!$B$6),R133,"")</f>
        <v/>
      </c>
      <c r="BK133" s="23" t="str">
        <f aca="false">IF(AND(BI133=1,INT(N(H133))&lt;=Config!$B$7),R133,"")</f>
        <v/>
      </c>
      <c r="BL133" s="23" t="str">
        <f aca="false">IF(AND(BI133=1,INT(N(H133))&lt;=Config!$B$8),R133,"")</f>
        <v/>
      </c>
      <c r="BM133" s="23" t="str">
        <f aca="false">IF(AND(BI133=1,INT(N(H133))&lt;=Config!$B$5),R133,"")</f>
        <v/>
      </c>
      <c r="BN133" s="23" t="n">
        <f aca="false">IF(AND(AY133=1,ISNUMBER(V133)),1,0)</f>
        <v>0</v>
      </c>
      <c r="BO133" s="23" t="n">
        <f aca="false">IF(BN133=1,IF(COUNTIFS($AW$2:$AW$201,AW133,$BN$2:$BN$201,1,$H$2:$H$201,"&lt;"&amp;H133)+COUNTIFS($AW$2:$AW$201,AW133,$BN$2:$BN$201,1,$H$2:$H$201,H133,$AX$2:$AX$201,"&lt;"&amp;AX133)=0,1,0),0)</f>
        <v>0</v>
      </c>
      <c r="BP133" s="23" t="str">
        <f aca="false">IF(AND(BO133=1,INT(N(H133))&lt;=Config!$B$6),V133,"")</f>
        <v/>
      </c>
      <c r="BQ133" s="23" t="str">
        <f aca="false">IF(AND(BO133=1,INT(N(H133))&lt;=Config!$B$7),V133,"")</f>
        <v/>
      </c>
      <c r="BR133" s="23" t="str">
        <f aca="false">IF(AND(BO133=1,INT(N(H133))&lt;=Config!$B$8),V133,"")</f>
        <v/>
      </c>
      <c r="BS133" s="23" t="str">
        <f aca="false">IF(AND(BO133=1,INT(N(H133))&lt;=Config!$B$5),V133,"")</f>
        <v/>
      </c>
      <c r="BT133" s="23" t="n">
        <f aca="false">IF(AND(AY133=1,ISNUMBER(K133)),1,0)</f>
        <v>0</v>
      </c>
      <c r="BU133" s="23" t="n">
        <f aca="false">IF(BT133=1,IF(COUNTIFS($AW$2:$AW$201,AW133,$BT$2:$BT$201,1,$H$2:$H$201,"&lt;"&amp;H133)+COUNTIFS($AW$2:$AW$201,AW133,$BT$2:$BT$201,1,$H$2:$H$201,H133,$AX$2:$AX$201,"&lt;"&amp;AX133)=0,1,0),0)</f>
        <v>0</v>
      </c>
      <c r="BV133" s="23" t="str">
        <f aca="false">IF(AND(BU133=1,INT(N(H133))&lt;=Config!$B$5),K133,"")</f>
        <v/>
      </c>
      <c r="BW133" s="23" t="n">
        <f aca="false">IF(AND(AY133=1,OR(AND(ISNUMBER(R133),TRIM(S133)=""),AND(ISNUMBER(V133),TRIM(W133)=""))),1,0)</f>
        <v>0</v>
      </c>
      <c r="BX133" s="23" t="str">
        <f aca="false">IF(AY133=1,AJ133&amp;"","")</f>
        <v/>
      </c>
      <c r="BY133" s="23" t="str">
        <f aca="false">IF(AY133=1,AK133&amp;"","")</f>
        <v/>
      </c>
      <c r="BZ133" s="23" t="str">
        <f aca="false">IF(AY133=1,AL133&amp;"","")</f>
        <v/>
      </c>
      <c r="CA133" s="23" t="str">
        <f aca="false">IF(AND(AY133=1,ISNUMBER(AS133),INT(N(H133))&lt;=Config!$B$5),AS133,"")</f>
        <v/>
      </c>
      <c r="CB133" s="23" t="str">
        <f aca="false">IF(AY133=1,IF(COUNTIFS($A$2:$A$201,$A133,$CU$2:$CU$201,1,$AN$2:$AN$201,"Y")&gt;0,"Y","N"),"")</f>
        <v/>
      </c>
      <c r="CC133" s="23" t="n">
        <f aca="false">IF(AND(AY133=1,AN133="Y"),IF(COUNTIFS($AW$2:$AW$201,AW133,$AN$2:$AN$201,"Y",$AY$2:$AY$201,1,$H$2:$H$201,"&lt;"&amp;H133)+COUNTIFS($AW$2:$AW$201,AW133,$AN$2:$AN$201,"Y",$AY$2:$AY$201,1,$H$2:$H$201,H133,$AX$2:$AX$201,"&lt;"&amp;AX133)=0,1,0),0)</f>
        <v>0</v>
      </c>
      <c r="CD133" s="23" t="n">
        <f aca="false">IF(AND(AY133=1,AB133="Y",AC133="Y",AD133="Y",AE133="Y",AF133="Y",AG133="Y",AI133="Y",TRIM(AH133)&lt;&gt;""),1,0)</f>
        <v>0</v>
      </c>
      <c r="CE133" s="23" t="n">
        <f aca="false">IF(CD133=1,IF(COUNTIFS($AW$2:$AW$201,AW133,$CD$2:$CD$201,1,$H$2:$H$201,"&lt;"&amp;H133)+COUNTIFS($AW$2:$AW$201,AW133,$CD$2:$CD$201,1,$H$2:$H$201,H133,$AX$2:$AX$201,"&lt;"&amp;AX133)=0,1,0),0)</f>
        <v>0</v>
      </c>
      <c r="CF133" s="23" t="n">
        <f aca="false">IF(AND(AY133=1,AO133="Y"),1,0)</f>
        <v>0</v>
      </c>
      <c r="CG133" s="23" t="n">
        <f aca="false">IF(CF133=1,IF(COUNTIFS($AW$2:$AW$201,AW133,$CF$2:$CF$201,1,$H$2:$H$201,"&lt;"&amp;H133)+COUNTIFS($AW$2:$AW$201,AW133,$CF$2:$CF$201,1,$H$2:$H$201,H133,$AX$2:$AX$201,"&lt;"&amp;AX133)=0,1,0),0)</f>
        <v>0</v>
      </c>
      <c r="CH133" s="23" t="n">
        <f aca="false">IF(AND(AY133=1,P133="Y"),1,0)</f>
        <v>0</v>
      </c>
      <c r="CI133" s="23" t="n">
        <f aca="false">IF(CH133=1,IF(COUNTIFS($AW$2:$AW$201,AW133,$CH$2:$CH$201,1,$H$2:$H$201,"&lt;"&amp;H133)+COUNTIFS($AW$2:$AW$201,AW133,$CH$2:$CH$201,1,$H$2:$H$201,H133,$AX$2:$AX$201,"&lt;"&amp;AX133)=0,1,0),0)</f>
        <v>0</v>
      </c>
      <c r="CJ133" s="23" t="str">
        <f aca="false">IF(AND(BU133=1,INT(N(H133))&lt;=Config!$B$5),L133,"")</f>
        <v/>
      </c>
      <c r="CK133" s="23" t="n">
        <f aca="false">IF(AND(AY133=1,AR133="Y"),1,0)</f>
        <v>0</v>
      </c>
      <c r="CL133" s="23" t="n">
        <f aca="false">IF(CK133=1,IF(COUNTIFS($AW$2:$AW$201,AW133,$CK$2:$CK$201,1,$H$2:$H$201,"&lt;"&amp;H133)+COUNTIFS($AW$2:$AW$201,AW133,$CK$2:$CK$201,1,$H$2:$H$201,H133,$AX$2:$AX$201,"&lt;"&amp;AX133)=0,1,0),0)</f>
        <v>0</v>
      </c>
      <c r="CM133" s="23" t="str">
        <f aca="false">IF(AY133=1,IFERROR(MATCH($A133,INDEX(Clay_Brands!$A$2:$FZ$601,0,Sync!$D$5),0),""),"")</f>
        <v/>
      </c>
      <c r="CN133" s="23" t="str">
        <f aca="false">IF(CM133="","",IFERROR(INDEX(Clay_Brands!$A$2:$FZ$601,CM133,Sync!$D$7)&amp;"",""))</f>
        <v/>
      </c>
      <c r="CO133" s="23" t="str">
        <f aca="false">IF(CN133="","",IFERROR(INDEX(Lists!$K$2:$K$15,MATCH(CN133,Lists!$J$2:$J$15,0)),""))</f>
        <v/>
      </c>
      <c r="CP133" s="23" t="str">
        <f aca="false">IF(CM133="","",IFERROR(INDEX(Clay_Brands!$A$2:$FZ$601,CM133,Sync!$D$17)&amp;"",""))</f>
        <v/>
      </c>
      <c r="CQ133" s="35" t="str">
        <f aca="false">IF(CM133="","",IFERROR(N(INDEX(Clay_Brands!$A$2:$FZ$601,CM133,Sync!$D$16)),0))</f>
        <v/>
      </c>
      <c r="CR133" s="23" t="n">
        <f aca="false">IF(AND(AY133=1,OR(O133="N",AND(OR(ISNUMBER(R133),ISNUMBER(V133)),MAX(N(R133),N(V133))&lt;Config!$B$14))),1,0)</f>
        <v>0</v>
      </c>
      <c r="CS133" s="23" t="n">
        <f aca="false">IF(OR(BB133=1,CR133=1),1,0)</f>
        <v>0</v>
      </c>
      <c r="CT133" s="23" t="n">
        <f aca="false">IF(AND(AY133=1,OR(AN133="Y",AN133="N",AN133="maybe")),1,0)</f>
        <v>0</v>
      </c>
      <c r="CU133" s="23" t="n">
        <f aca="false">IF(AND(CT133=1),IF(COUNTIFS($A$2:$A$201,$A133,$CT$2:$CT$201,1,$H$2:$H$201,"&gt;"&amp;H133)+COUNTIFS($A$2:$A$201,$A133,$CT$2:$CT$201,1,$H$2:$H$201,H133,$AX$2:$AX$201,"&gt;"&amp;AX133)=0,1,0),0)</f>
        <v>0</v>
      </c>
      <c r="CV133" s="23" t="n">
        <f aca="false">IF(AND(CS133=1,INT(N(H133))&lt;=Config!$B$6),IF(COUNTIFS($AW$2:$AW$201,AW133,$CS$2:$CS$201,1,$H$2:$H$201,"&gt;"&amp;H133,$H$2:$H$201,"&lt;"&amp;(Config!$B$6+1))+COUNTIFS($AW$2:$AW$201,AW133,$CS$2:$CS$201,1,$H$2:$H$201,H133,$AX$2:$AX$201,"&gt;"&amp;AX133)=0,1,0),0)</f>
        <v>0</v>
      </c>
      <c r="CW133" s="23" t="n">
        <f aca="false">IF(AND(CS133=1,INT(N(H133))&lt;=Config!$B$7),IF(COUNTIFS($AW$2:$AW$201,AW133,$CS$2:$CS$201,1,$H$2:$H$201,"&gt;"&amp;H133,$H$2:$H$201,"&lt;"&amp;(Config!$B$7+1))+COUNTIFS($AW$2:$AW$201,AW133,$CS$2:$CS$201,1,$H$2:$H$201,H133,$AX$2:$AX$201,"&gt;"&amp;AX133)=0,1,0),0)</f>
        <v>0</v>
      </c>
      <c r="CX133" s="23" t="n">
        <f aca="false">IF(AND(CS133=1,INT(N(H133))&lt;=Config!$B$8),IF(COUNTIFS($AW$2:$AW$201,AW133,$CS$2:$CS$201,1,$H$2:$H$201,"&gt;"&amp;H133,$H$2:$H$201,"&lt;"&amp;(Config!$B$8+1))+COUNTIFS($AW$2:$AW$201,AW133,$CS$2:$CS$201,1,$H$2:$H$201,H133,$AX$2:$AX$201,"&gt;"&amp;AX133)=0,1,0),0)</f>
        <v>0</v>
      </c>
      <c r="CY133" s="23" t="n">
        <f aca="false">IF(AND(CS133=1,INT(N(H133))&lt;=Config!$B$5),IF(COUNTIFS($AW$2:$AW$201,AW133,$CS$2:$CS$201,1,$H$2:$H$201,"&gt;"&amp;H133,$H$2:$H$201,"&lt;"&amp;(Config!$B$5+1))+COUNTIFS($AW$2:$AW$201,AW133,$CS$2:$CS$201,1,$H$2:$H$201,H133,$AX$2:$AX$201,"&gt;"&amp;AX133)=0,1,0),0)</f>
        <v>0</v>
      </c>
      <c r="CZ133" s="23" t="n">
        <f aca="false">IF(AY133=1,IF(COUNTIFS($AW$2:$AW$201,AW133,$CV$2:$CV$201,1,$BB$2:$BB$201,1)&gt;0,1,0),0)</f>
        <v>0</v>
      </c>
      <c r="DA133" s="23" t="n">
        <f aca="false">IF(AY133=1,IF(COUNTIFS($AW$2:$AW$201,AW133,$CW$2:$CW$201,1,$BB$2:$BB$201,1)&gt;0,1,0),0)</f>
        <v>0</v>
      </c>
      <c r="DB133" s="23" t="n">
        <f aca="false">IF(AY133=1,IF(COUNTIFS($AW$2:$AW$201,AW133,$CX$2:$CX$201,1,$BB$2:$BB$201,1)&gt;0,1,0),0)</f>
        <v>0</v>
      </c>
      <c r="DC133" s="23" t="n">
        <f aca="false">IF(AY133=1,IF(COUNTIFS($AW$2:$AW$201,AW133,$CY$2:$CY$201,1,$BB$2:$BB$201,1)&gt;0,1,0),0)</f>
        <v>0</v>
      </c>
      <c r="DD133" s="23" t="n">
        <f aca="false">IF(AND(BC133=1,INT(N(H133))&lt;=Config!$B$6,CZ133=1),1,0)</f>
        <v>0</v>
      </c>
      <c r="DE133" s="23" t="n">
        <f aca="false">IF(AND(BC133=1,INT(N(H133))&lt;=Config!$B$7,DA133=1),1,0)</f>
        <v>0</v>
      </c>
      <c r="DF133" s="23" t="n">
        <f aca="false">IF(AND(BC133=1,INT(N(H133))&lt;=Config!$B$8,DB133=1),1,0)</f>
        <v>0</v>
      </c>
      <c r="DG133" s="23" t="n">
        <f aca="false">IF(AND(BC133=1,INT(N(H133))&lt;=Config!$B$5,DC133=1),1,0)</f>
        <v>0</v>
      </c>
      <c r="DH133" s="23" t="n">
        <f aca="false">IF(AND(BE133=1,INT(N(H133))&lt;=Config!$B$6,CZ133=1),1,0)</f>
        <v>0</v>
      </c>
      <c r="DI133" s="23" t="n">
        <f aca="false">IF(AND(BE133=1,INT(N(H133))&lt;=Config!$B$7,DA133=1),1,0)</f>
        <v>0</v>
      </c>
      <c r="DJ133" s="23" t="n">
        <f aca="false">IF(AND(BE133=1,INT(N(H133))&lt;=Config!$B$8,DB133=1),1,0)</f>
        <v>0</v>
      </c>
      <c r="DK133" s="23" t="n">
        <f aca="false">IF(AND(BE133=1,INT(N(H133))&lt;=Config!$B$5,DC133=1),1,0)</f>
        <v>0</v>
      </c>
      <c r="DL133" s="23" t="n">
        <f aca="false">IF(AND(BC133=1,INT(N(H133))&lt;=Config!$B$6,CZ133=0),1,0)</f>
        <v>0</v>
      </c>
      <c r="DM133" s="23" t="n">
        <f aca="false">IF(AND(BC133=1,INT(N(H133))&lt;=Config!$B$7,DA133=0),1,0)</f>
        <v>0</v>
      </c>
      <c r="DN133" s="23" t="n">
        <f aca="false">IF(AND(BC133=1,INT(N(H133))&lt;=Config!$B$8,DB133=0),1,0)</f>
        <v>0</v>
      </c>
      <c r="DO133" s="23" t="n">
        <f aca="false">IF(AND(BC133=1,INT(N(H133))&lt;=Config!$B$5,DC133=0),1,0)</f>
        <v>0</v>
      </c>
      <c r="DP133" s="23" t="n">
        <f aca="false">IF(TRIM($A133)="",0,ISTEXT(K133)+ISTEXT(L133)+ISTEXT(R133)+ISTEXT(V133)+ISTEXT(AP133)+ISTEXT(AS133))</f>
        <v>0</v>
      </c>
      <c r="DQ133" s="23" t="n">
        <f aca="false">IF(AY133=1,IF(H133&lt;&gt;INT(H133),1,0),0)</f>
        <v>0</v>
      </c>
      <c r="DR133" s="23" t="str">
        <f aca="false">IF(TRIM($A133)="","",IF(TRIM(B133)="",SUBSTITUTE(SUBSTITUTE(SUBSTITUTE(SUBSTITUTE(SUBSTITUTE(SUBSTITUTE(LOWER(TRIM($A133)),"~",""),"*",""),"?",""),"&lt;",""),"&gt;",""),"=",""),SUBSTITUTE(SUBSTITUTE(SUBSTITUTE(SUBSTITUTE(SUBSTITUTE(SUBSTITUTE(LOWER(TRIM(B133)),"~",""),"*",""),"?",""),"&lt;",""),"&gt;",""),"=","")))</f>
        <v/>
      </c>
      <c r="DS133" s="23" t="str">
        <f aca="false">IF(CM133="","",IFERROR(IF(LEFT(LOWER(TRIM(INDEX(Clay_Brands!$A$2:$FZ$601,CM133,Sync!$D$19)&amp;"")),4)="grp-",SUBSTITUTE(SUBSTITUTE(SUBSTITUTE(SUBSTITUTE(SUBSTITUTE(SUBSTITUTE(LOWER(TRIM(INDEX(Clay_Brands!$A$2:$FZ$601,CM133,Sync!$D$19)&amp;"")),"~",""),"*",""),"?",""),"&lt;",""),"&gt;",""),"=",""),""),""))</f>
        <v/>
      </c>
      <c r="DT133" s="23" t="str">
        <f aca="false">IF(DS133&lt;&gt;"",DR133,"")</f>
        <v/>
      </c>
      <c r="DU133" s="23" t="str">
        <f aca="false">IF(AZ133=1,AW133,"")</f>
        <v/>
      </c>
      <c r="DV133" s="23" t="str">
        <f aca="false">IF(TRIM($A133)="","",IFERROR(INDEX($A$2:$A$201,MATCH(AW133,$DU$2:$DU$201,0))&amp;"",$A133&amp;""))</f>
        <v/>
      </c>
      <c r="DW133" s="23" t="n">
        <f aca="false">IF(AY133=1,IF(COUNTIFS($A$2:$A$201,$A133,$AY$2:$AY$201,1,$H$2:$H$201,"&lt;"&amp;H133)+COUNTIFS($A$2:$A$201,$A133,$AY$2:$AY$201,1,$H$2:$H$201,H133,$AX$2:$AX$201,"&lt;"&amp;AX133)=0,1,0),0)</f>
        <v>0</v>
      </c>
      <c r="DX133" s="23" t="n">
        <f aca="false">IF(AZ133=1,IF(COUNTIFS($AW$2:$AW$201,AW133,$DW$2:$DW$201,1)&gt;1,1,0),0)</f>
        <v>0</v>
      </c>
    </row>
    <row r="134" customFormat="false" ht="15" hidden="false" customHeight="false" outlineLevel="0" collapsed="false">
      <c r="G134" s="32"/>
      <c r="H134" s="33"/>
      <c r="I134" s="32"/>
      <c r="O134" s="32"/>
      <c r="P134" s="32"/>
      <c r="U134" s="32"/>
      <c r="Y134" s="32"/>
      <c r="AB134" s="32"/>
      <c r="AC134" s="32"/>
      <c r="AD134" s="32"/>
      <c r="AE134" s="32"/>
      <c r="AF134" s="32"/>
      <c r="AG134" s="32"/>
      <c r="AI134" s="32"/>
      <c r="AJ134" s="32"/>
      <c r="AK134" s="32"/>
      <c r="AN134" s="32"/>
      <c r="AO134" s="32"/>
      <c r="AR134" s="32"/>
      <c r="AT134" s="32"/>
      <c r="AV134" s="34" t="str">
        <f aca="false">IF(TRIM($A134)="","",IF(AND(LEFT($A134,6)="SAMPLE",Config!$B$19&lt;&gt;"Y"),"",IF(NOT(ISNUMBER(H134)),"call_date is blank or not a date",IF(Sync!$D$5="","Clay paste is empty or has no row_id column: paste the Clay export on Clay_Brands",IF(CM134="","row_id not found in the Clay paste: add the Clay row or fix the row_id",IF(AND(ISNUMBER(CO134),CO134&gt;=1,CO134&lt;=5),"Clay status is "&amp;CN134&amp;": set call_done or later",IF(AND(BA134=1,CP134&lt;&gt;CB134),"Clay yes_in_principle should be "&amp;CB134,IF(AND(BA134=1,CQ134&lt;&gt;H134),"Clay call_date should be "&amp;TEXT(H134,"yyyy-mm-dd"),""))))))))</f>
        <v/>
      </c>
      <c r="AW134" s="23" t="str">
        <f aca="false">IF(TRIM($A134)="","",IF(TRIM(C134)&lt;&gt;"",SUBSTITUTE(SUBSTITUTE(SUBSTITUTE(SUBSTITUTE(SUBSTITUTE(SUBSTITUTE(LOWER(TRIM(C134)),"~",""),"*",""),"?",""),"&lt;",""),"&gt;",""),"=",""),IF(DS134&lt;&gt;"",DS134,IFERROR(INDEX($DS$2:$DS$201,MATCH(DR134,$DT$2:$DT$201,0)),DR134))))</f>
        <v/>
      </c>
      <c r="AX134" s="23" t="n">
        <f aca="false">ROW()</f>
        <v>134</v>
      </c>
      <c r="AY134" s="23" t="n">
        <f aca="false">IF(AND(TRIM($A134)&lt;&gt;"",ISNUMBER(H134)),IF(AND(LEFT($A134,6)="SAMPLE",Config!$B$19&lt;&gt;"Y"),0,1),0)</f>
        <v>0</v>
      </c>
      <c r="AZ134" s="23" t="n">
        <f aca="false">IF(AY134=1,IF(COUNTIFS($AW$2:$AW$201,AW134,$AY$2:$AY$201,1,$H$2:$H$201,"&lt;"&amp;H134)+COUNTIFS($AW$2:$AW$201,AW134,$AY$2:$AY$201,1,$H$2:$H$201,H134,$AX$2:$AX$201,"&lt;"&amp;AX134)=0,1,0),0)</f>
        <v>0</v>
      </c>
      <c r="BA134" s="23" t="n">
        <f aca="false">IF(AY134=1,IF(COUNTIFS($A$2:$A$201,$A134,$AY$2:$AY$201,1,$H$2:$H$201,"&gt;"&amp;H134)+COUNTIFS($A$2:$A$201,$A134,$AY$2:$AY$201,1,$H$2:$H$201,H134,$AX$2:$AX$201,"&gt;"&amp;AX134)=0,1,0),0)</f>
        <v>0</v>
      </c>
      <c r="BB134" s="23" t="n">
        <f aca="false">IF(AND(AY134=1,O134="Y",MAX(N(R134),N(V134))&gt;=Config!$B$14),1,0)</f>
        <v>0</v>
      </c>
      <c r="BC134" s="23" t="n">
        <f aca="false">IF(BB134=1,IF(COUNTIFS($AW$2:$AW$201,AW134,$BB$2:$BB$201,1,$H$2:$H$201,"&lt;"&amp;H134)+COUNTIFS($AW$2:$AW$201,AW134,$BB$2:$BB$201,1,$H$2:$H$201,H134,$AX$2:$AX$201,"&lt;"&amp;AX134)=0,1,0),0)</f>
        <v>0</v>
      </c>
      <c r="BD134" s="23" t="n">
        <f aca="false">IF(AND(AY134=1,O134="Y",ISNUMBER(R134)),IF(R134&gt;=Config!$B$14,1,0),0)</f>
        <v>0</v>
      </c>
      <c r="BE134" s="23" t="n">
        <f aca="false">IF(BD134=1,IF(COUNTIFS($AW$2:$AW$201,AW134,$BD$2:$BD$201,1,$H$2:$H$201,"&lt;"&amp;H134)+COUNTIFS($AW$2:$AW$201,AW134,$BD$2:$BD$201,1,$H$2:$H$201,H134,$AX$2:$AX$201,"&lt;"&amp;AX134)=0,1,0),0)</f>
        <v>0</v>
      </c>
      <c r="BF134" s="23" t="n">
        <f aca="false">IF(AND(AY134=1,O134&lt;&gt;"Y",MAX(N(R134),N(V134))&gt;=Config!$B$14),1,0)</f>
        <v>0</v>
      </c>
      <c r="BG134" s="23" t="n">
        <f aca="false">IF(BF134=1,IF(COUNTIFS($AW$2:$AW$201,AW134,$BF$2:$BF$201,1,$H$2:$H$201,"&lt;"&amp;H134)+COUNTIFS($AW$2:$AW$201,AW134,$BF$2:$BF$201,1,$H$2:$H$201,H134,$AX$2:$AX$201,"&lt;"&amp;AX134)=0,1,0),0)</f>
        <v>0</v>
      </c>
      <c r="BH134" s="23" t="n">
        <f aca="false">IF(AND(AY134=1,ISNUMBER(R134)),1,0)</f>
        <v>0</v>
      </c>
      <c r="BI134" s="23" t="n">
        <f aca="false">IF(BH134=1,IF(COUNTIFS($AW$2:$AW$201,AW134,$BH$2:$BH$201,1,$H$2:$H$201,"&lt;"&amp;H134)+COUNTIFS($AW$2:$AW$201,AW134,$BH$2:$BH$201,1,$H$2:$H$201,H134,$AX$2:$AX$201,"&lt;"&amp;AX134)=0,1,0),0)</f>
        <v>0</v>
      </c>
      <c r="BJ134" s="23" t="str">
        <f aca="false">IF(AND(BI134=1,INT(N(H134))&lt;=Config!$B$6),R134,"")</f>
        <v/>
      </c>
      <c r="BK134" s="23" t="str">
        <f aca="false">IF(AND(BI134=1,INT(N(H134))&lt;=Config!$B$7),R134,"")</f>
        <v/>
      </c>
      <c r="BL134" s="23" t="str">
        <f aca="false">IF(AND(BI134=1,INT(N(H134))&lt;=Config!$B$8),R134,"")</f>
        <v/>
      </c>
      <c r="BM134" s="23" t="str">
        <f aca="false">IF(AND(BI134=1,INT(N(H134))&lt;=Config!$B$5),R134,"")</f>
        <v/>
      </c>
      <c r="BN134" s="23" t="n">
        <f aca="false">IF(AND(AY134=1,ISNUMBER(V134)),1,0)</f>
        <v>0</v>
      </c>
      <c r="BO134" s="23" t="n">
        <f aca="false">IF(BN134=1,IF(COUNTIFS($AW$2:$AW$201,AW134,$BN$2:$BN$201,1,$H$2:$H$201,"&lt;"&amp;H134)+COUNTIFS($AW$2:$AW$201,AW134,$BN$2:$BN$201,1,$H$2:$H$201,H134,$AX$2:$AX$201,"&lt;"&amp;AX134)=0,1,0),0)</f>
        <v>0</v>
      </c>
      <c r="BP134" s="23" t="str">
        <f aca="false">IF(AND(BO134=1,INT(N(H134))&lt;=Config!$B$6),V134,"")</f>
        <v/>
      </c>
      <c r="BQ134" s="23" t="str">
        <f aca="false">IF(AND(BO134=1,INT(N(H134))&lt;=Config!$B$7),V134,"")</f>
        <v/>
      </c>
      <c r="BR134" s="23" t="str">
        <f aca="false">IF(AND(BO134=1,INT(N(H134))&lt;=Config!$B$8),V134,"")</f>
        <v/>
      </c>
      <c r="BS134" s="23" t="str">
        <f aca="false">IF(AND(BO134=1,INT(N(H134))&lt;=Config!$B$5),V134,"")</f>
        <v/>
      </c>
      <c r="BT134" s="23" t="n">
        <f aca="false">IF(AND(AY134=1,ISNUMBER(K134)),1,0)</f>
        <v>0</v>
      </c>
      <c r="BU134" s="23" t="n">
        <f aca="false">IF(BT134=1,IF(COUNTIFS($AW$2:$AW$201,AW134,$BT$2:$BT$201,1,$H$2:$H$201,"&lt;"&amp;H134)+COUNTIFS($AW$2:$AW$201,AW134,$BT$2:$BT$201,1,$H$2:$H$201,H134,$AX$2:$AX$201,"&lt;"&amp;AX134)=0,1,0),0)</f>
        <v>0</v>
      </c>
      <c r="BV134" s="23" t="str">
        <f aca="false">IF(AND(BU134=1,INT(N(H134))&lt;=Config!$B$5),K134,"")</f>
        <v/>
      </c>
      <c r="BW134" s="23" t="n">
        <f aca="false">IF(AND(AY134=1,OR(AND(ISNUMBER(R134),TRIM(S134)=""),AND(ISNUMBER(V134),TRIM(W134)=""))),1,0)</f>
        <v>0</v>
      </c>
      <c r="BX134" s="23" t="str">
        <f aca="false">IF(AY134=1,AJ134&amp;"","")</f>
        <v/>
      </c>
      <c r="BY134" s="23" t="str">
        <f aca="false">IF(AY134=1,AK134&amp;"","")</f>
        <v/>
      </c>
      <c r="BZ134" s="23" t="str">
        <f aca="false">IF(AY134=1,AL134&amp;"","")</f>
        <v/>
      </c>
      <c r="CA134" s="23" t="str">
        <f aca="false">IF(AND(AY134=1,ISNUMBER(AS134),INT(N(H134))&lt;=Config!$B$5),AS134,"")</f>
        <v/>
      </c>
      <c r="CB134" s="23" t="str">
        <f aca="false">IF(AY134=1,IF(COUNTIFS($A$2:$A$201,$A134,$CU$2:$CU$201,1,$AN$2:$AN$201,"Y")&gt;0,"Y","N"),"")</f>
        <v/>
      </c>
      <c r="CC134" s="23" t="n">
        <f aca="false">IF(AND(AY134=1,AN134="Y"),IF(COUNTIFS($AW$2:$AW$201,AW134,$AN$2:$AN$201,"Y",$AY$2:$AY$201,1,$H$2:$H$201,"&lt;"&amp;H134)+COUNTIFS($AW$2:$AW$201,AW134,$AN$2:$AN$201,"Y",$AY$2:$AY$201,1,$H$2:$H$201,H134,$AX$2:$AX$201,"&lt;"&amp;AX134)=0,1,0),0)</f>
        <v>0</v>
      </c>
      <c r="CD134" s="23" t="n">
        <f aca="false">IF(AND(AY134=1,AB134="Y",AC134="Y",AD134="Y",AE134="Y",AF134="Y",AG134="Y",AI134="Y",TRIM(AH134)&lt;&gt;""),1,0)</f>
        <v>0</v>
      </c>
      <c r="CE134" s="23" t="n">
        <f aca="false">IF(CD134=1,IF(COUNTIFS($AW$2:$AW$201,AW134,$CD$2:$CD$201,1,$H$2:$H$201,"&lt;"&amp;H134)+COUNTIFS($AW$2:$AW$201,AW134,$CD$2:$CD$201,1,$H$2:$H$201,H134,$AX$2:$AX$201,"&lt;"&amp;AX134)=0,1,0),0)</f>
        <v>0</v>
      </c>
      <c r="CF134" s="23" t="n">
        <f aca="false">IF(AND(AY134=1,AO134="Y"),1,0)</f>
        <v>0</v>
      </c>
      <c r="CG134" s="23" t="n">
        <f aca="false">IF(CF134=1,IF(COUNTIFS($AW$2:$AW$201,AW134,$CF$2:$CF$201,1,$H$2:$H$201,"&lt;"&amp;H134)+COUNTIFS($AW$2:$AW$201,AW134,$CF$2:$CF$201,1,$H$2:$H$201,H134,$AX$2:$AX$201,"&lt;"&amp;AX134)=0,1,0),0)</f>
        <v>0</v>
      </c>
      <c r="CH134" s="23" t="n">
        <f aca="false">IF(AND(AY134=1,P134="Y"),1,0)</f>
        <v>0</v>
      </c>
      <c r="CI134" s="23" t="n">
        <f aca="false">IF(CH134=1,IF(COUNTIFS($AW$2:$AW$201,AW134,$CH$2:$CH$201,1,$H$2:$H$201,"&lt;"&amp;H134)+COUNTIFS($AW$2:$AW$201,AW134,$CH$2:$CH$201,1,$H$2:$H$201,H134,$AX$2:$AX$201,"&lt;"&amp;AX134)=0,1,0),0)</f>
        <v>0</v>
      </c>
      <c r="CJ134" s="23" t="str">
        <f aca="false">IF(AND(BU134=1,INT(N(H134))&lt;=Config!$B$5),L134,"")</f>
        <v/>
      </c>
      <c r="CK134" s="23" t="n">
        <f aca="false">IF(AND(AY134=1,AR134="Y"),1,0)</f>
        <v>0</v>
      </c>
      <c r="CL134" s="23" t="n">
        <f aca="false">IF(CK134=1,IF(COUNTIFS($AW$2:$AW$201,AW134,$CK$2:$CK$201,1,$H$2:$H$201,"&lt;"&amp;H134)+COUNTIFS($AW$2:$AW$201,AW134,$CK$2:$CK$201,1,$H$2:$H$201,H134,$AX$2:$AX$201,"&lt;"&amp;AX134)=0,1,0),0)</f>
        <v>0</v>
      </c>
      <c r="CM134" s="23" t="str">
        <f aca="false">IF(AY134=1,IFERROR(MATCH($A134,INDEX(Clay_Brands!$A$2:$FZ$601,0,Sync!$D$5),0),""),"")</f>
        <v/>
      </c>
      <c r="CN134" s="23" t="str">
        <f aca="false">IF(CM134="","",IFERROR(INDEX(Clay_Brands!$A$2:$FZ$601,CM134,Sync!$D$7)&amp;"",""))</f>
        <v/>
      </c>
      <c r="CO134" s="23" t="str">
        <f aca="false">IF(CN134="","",IFERROR(INDEX(Lists!$K$2:$K$15,MATCH(CN134,Lists!$J$2:$J$15,0)),""))</f>
        <v/>
      </c>
      <c r="CP134" s="23" t="str">
        <f aca="false">IF(CM134="","",IFERROR(INDEX(Clay_Brands!$A$2:$FZ$601,CM134,Sync!$D$17)&amp;"",""))</f>
        <v/>
      </c>
      <c r="CQ134" s="35" t="str">
        <f aca="false">IF(CM134="","",IFERROR(N(INDEX(Clay_Brands!$A$2:$FZ$601,CM134,Sync!$D$16)),0))</f>
        <v/>
      </c>
      <c r="CR134" s="23" t="n">
        <f aca="false">IF(AND(AY134=1,OR(O134="N",AND(OR(ISNUMBER(R134),ISNUMBER(V134)),MAX(N(R134),N(V134))&lt;Config!$B$14))),1,0)</f>
        <v>0</v>
      </c>
      <c r="CS134" s="23" t="n">
        <f aca="false">IF(OR(BB134=1,CR134=1),1,0)</f>
        <v>0</v>
      </c>
      <c r="CT134" s="23" t="n">
        <f aca="false">IF(AND(AY134=1,OR(AN134="Y",AN134="N",AN134="maybe")),1,0)</f>
        <v>0</v>
      </c>
      <c r="CU134" s="23" t="n">
        <f aca="false">IF(AND(CT134=1),IF(COUNTIFS($A$2:$A$201,$A134,$CT$2:$CT$201,1,$H$2:$H$201,"&gt;"&amp;H134)+COUNTIFS($A$2:$A$201,$A134,$CT$2:$CT$201,1,$H$2:$H$201,H134,$AX$2:$AX$201,"&gt;"&amp;AX134)=0,1,0),0)</f>
        <v>0</v>
      </c>
      <c r="CV134" s="23" t="n">
        <f aca="false">IF(AND(CS134=1,INT(N(H134))&lt;=Config!$B$6),IF(COUNTIFS($AW$2:$AW$201,AW134,$CS$2:$CS$201,1,$H$2:$H$201,"&gt;"&amp;H134,$H$2:$H$201,"&lt;"&amp;(Config!$B$6+1))+COUNTIFS($AW$2:$AW$201,AW134,$CS$2:$CS$201,1,$H$2:$H$201,H134,$AX$2:$AX$201,"&gt;"&amp;AX134)=0,1,0),0)</f>
        <v>0</v>
      </c>
      <c r="CW134" s="23" t="n">
        <f aca="false">IF(AND(CS134=1,INT(N(H134))&lt;=Config!$B$7),IF(COUNTIFS($AW$2:$AW$201,AW134,$CS$2:$CS$201,1,$H$2:$H$201,"&gt;"&amp;H134,$H$2:$H$201,"&lt;"&amp;(Config!$B$7+1))+COUNTIFS($AW$2:$AW$201,AW134,$CS$2:$CS$201,1,$H$2:$H$201,H134,$AX$2:$AX$201,"&gt;"&amp;AX134)=0,1,0),0)</f>
        <v>0</v>
      </c>
      <c r="CX134" s="23" t="n">
        <f aca="false">IF(AND(CS134=1,INT(N(H134))&lt;=Config!$B$8),IF(COUNTIFS($AW$2:$AW$201,AW134,$CS$2:$CS$201,1,$H$2:$H$201,"&gt;"&amp;H134,$H$2:$H$201,"&lt;"&amp;(Config!$B$8+1))+COUNTIFS($AW$2:$AW$201,AW134,$CS$2:$CS$201,1,$H$2:$H$201,H134,$AX$2:$AX$201,"&gt;"&amp;AX134)=0,1,0),0)</f>
        <v>0</v>
      </c>
      <c r="CY134" s="23" t="n">
        <f aca="false">IF(AND(CS134=1,INT(N(H134))&lt;=Config!$B$5),IF(COUNTIFS($AW$2:$AW$201,AW134,$CS$2:$CS$201,1,$H$2:$H$201,"&gt;"&amp;H134,$H$2:$H$201,"&lt;"&amp;(Config!$B$5+1))+COUNTIFS($AW$2:$AW$201,AW134,$CS$2:$CS$201,1,$H$2:$H$201,H134,$AX$2:$AX$201,"&gt;"&amp;AX134)=0,1,0),0)</f>
        <v>0</v>
      </c>
      <c r="CZ134" s="23" t="n">
        <f aca="false">IF(AY134=1,IF(COUNTIFS($AW$2:$AW$201,AW134,$CV$2:$CV$201,1,$BB$2:$BB$201,1)&gt;0,1,0),0)</f>
        <v>0</v>
      </c>
      <c r="DA134" s="23" t="n">
        <f aca="false">IF(AY134=1,IF(COUNTIFS($AW$2:$AW$201,AW134,$CW$2:$CW$201,1,$BB$2:$BB$201,1)&gt;0,1,0),0)</f>
        <v>0</v>
      </c>
      <c r="DB134" s="23" t="n">
        <f aca="false">IF(AY134=1,IF(COUNTIFS($AW$2:$AW$201,AW134,$CX$2:$CX$201,1,$BB$2:$BB$201,1)&gt;0,1,0),0)</f>
        <v>0</v>
      </c>
      <c r="DC134" s="23" t="n">
        <f aca="false">IF(AY134=1,IF(COUNTIFS($AW$2:$AW$201,AW134,$CY$2:$CY$201,1,$BB$2:$BB$201,1)&gt;0,1,0),0)</f>
        <v>0</v>
      </c>
      <c r="DD134" s="23" t="n">
        <f aca="false">IF(AND(BC134=1,INT(N(H134))&lt;=Config!$B$6,CZ134=1),1,0)</f>
        <v>0</v>
      </c>
      <c r="DE134" s="23" t="n">
        <f aca="false">IF(AND(BC134=1,INT(N(H134))&lt;=Config!$B$7,DA134=1),1,0)</f>
        <v>0</v>
      </c>
      <c r="DF134" s="23" t="n">
        <f aca="false">IF(AND(BC134=1,INT(N(H134))&lt;=Config!$B$8,DB134=1),1,0)</f>
        <v>0</v>
      </c>
      <c r="DG134" s="23" t="n">
        <f aca="false">IF(AND(BC134=1,INT(N(H134))&lt;=Config!$B$5,DC134=1),1,0)</f>
        <v>0</v>
      </c>
      <c r="DH134" s="23" t="n">
        <f aca="false">IF(AND(BE134=1,INT(N(H134))&lt;=Config!$B$6,CZ134=1),1,0)</f>
        <v>0</v>
      </c>
      <c r="DI134" s="23" t="n">
        <f aca="false">IF(AND(BE134=1,INT(N(H134))&lt;=Config!$B$7,DA134=1),1,0)</f>
        <v>0</v>
      </c>
      <c r="DJ134" s="23" t="n">
        <f aca="false">IF(AND(BE134=1,INT(N(H134))&lt;=Config!$B$8,DB134=1),1,0)</f>
        <v>0</v>
      </c>
      <c r="DK134" s="23" t="n">
        <f aca="false">IF(AND(BE134=1,INT(N(H134))&lt;=Config!$B$5,DC134=1),1,0)</f>
        <v>0</v>
      </c>
      <c r="DL134" s="23" t="n">
        <f aca="false">IF(AND(BC134=1,INT(N(H134))&lt;=Config!$B$6,CZ134=0),1,0)</f>
        <v>0</v>
      </c>
      <c r="DM134" s="23" t="n">
        <f aca="false">IF(AND(BC134=1,INT(N(H134))&lt;=Config!$B$7,DA134=0),1,0)</f>
        <v>0</v>
      </c>
      <c r="DN134" s="23" t="n">
        <f aca="false">IF(AND(BC134=1,INT(N(H134))&lt;=Config!$B$8,DB134=0),1,0)</f>
        <v>0</v>
      </c>
      <c r="DO134" s="23" t="n">
        <f aca="false">IF(AND(BC134=1,INT(N(H134))&lt;=Config!$B$5,DC134=0),1,0)</f>
        <v>0</v>
      </c>
      <c r="DP134" s="23" t="n">
        <f aca="false">IF(TRIM($A134)="",0,ISTEXT(K134)+ISTEXT(L134)+ISTEXT(R134)+ISTEXT(V134)+ISTEXT(AP134)+ISTEXT(AS134))</f>
        <v>0</v>
      </c>
      <c r="DQ134" s="23" t="n">
        <f aca="false">IF(AY134=1,IF(H134&lt;&gt;INT(H134),1,0),0)</f>
        <v>0</v>
      </c>
      <c r="DR134" s="23" t="str">
        <f aca="false">IF(TRIM($A134)="","",IF(TRIM(B134)="",SUBSTITUTE(SUBSTITUTE(SUBSTITUTE(SUBSTITUTE(SUBSTITUTE(SUBSTITUTE(LOWER(TRIM($A134)),"~",""),"*",""),"?",""),"&lt;",""),"&gt;",""),"=",""),SUBSTITUTE(SUBSTITUTE(SUBSTITUTE(SUBSTITUTE(SUBSTITUTE(SUBSTITUTE(LOWER(TRIM(B134)),"~",""),"*",""),"?",""),"&lt;",""),"&gt;",""),"=","")))</f>
        <v/>
      </c>
      <c r="DS134" s="23" t="str">
        <f aca="false">IF(CM134="","",IFERROR(IF(LEFT(LOWER(TRIM(INDEX(Clay_Brands!$A$2:$FZ$601,CM134,Sync!$D$19)&amp;"")),4)="grp-",SUBSTITUTE(SUBSTITUTE(SUBSTITUTE(SUBSTITUTE(SUBSTITUTE(SUBSTITUTE(LOWER(TRIM(INDEX(Clay_Brands!$A$2:$FZ$601,CM134,Sync!$D$19)&amp;"")),"~",""),"*",""),"?",""),"&lt;",""),"&gt;",""),"=",""),""),""))</f>
        <v/>
      </c>
      <c r="DT134" s="23" t="str">
        <f aca="false">IF(DS134&lt;&gt;"",DR134,"")</f>
        <v/>
      </c>
      <c r="DU134" s="23" t="str">
        <f aca="false">IF(AZ134=1,AW134,"")</f>
        <v/>
      </c>
      <c r="DV134" s="23" t="str">
        <f aca="false">IF(TRIM($A134)="","",IFERROR(INDEX($A$2:$A$201,MATCH(AW134,$DU$2:$DU$201,0))&amp;"",$A134&amp;""))</f>
        <v/>
      </c>
      <c r="DW134" s="23" t="n">
        <f aca="false">IF(AY134=1,IF(COUNTIFS($A$2:$A$201,$A134,$AY$2:$AY$201,1,$H$2:$H$201,"&lt;"&amp;H134)+COUNTIFS($A$2:$A$201,$A134,$AY$2:$AY$201,1,$H$2:$H$201,H134,$AX$2:$AX$201,"&lt;"&amp;AX134)=0,1,0),0)</f>
        <v>0</v>
      </c>
      <c r="DX134" s="23" t="n">
        <f aca="false">IF(AZ134=1,IF(COUNTIFS($AW$2:$AW$201,AW134,$DW$2:$DW$201,1)&gt;1,1,0),0)</f>
        <v>0</v>
      </c>
    </row>
    <row r="135" customFormat="false" ht="15" hidden="false" customHeight="false" outlineLevel="0" collapsed="false">
      <c r="G135" s="32"/>
      <c r="H135" s="33"/>
      <c r="I135" s="32"/>
      <c r="O135" s="32"/>
      <c r="P135" s="32"/>
      <c r="U135" s="32"/>
      <c r="Y135" s="32"/>
      <c r="AB135" s="32"/>
      <c r="AC135" s="32"/>
      <c r="AD135" s="32"/>
      <c r="AE135" s="32"/>
      <c r="AF135" s="32"/>
      <c r="AG135" s="32"/>
      <c r="AI135" s="32"/>
      <c r="AJ135" s="32"/>
      <c r="AK135" s="32"/>
      <c r="AN135" s="32"/>
      <c r="AO135" s="32"/>
      <c r="AR135" s="32"/>
      <c r="AT135" s="32"/>
      <c r="AV135" s="34" t="str">
        <f aca="false">IF(TRIM($A135)="","",IF(AND(LEFT($A135,6)="SAMPLE",Config!$B$19&lt;&gt;"Y"),"",IF(NOT(ISNUMBER(H135)),"call_date is blank or not a date",IF(Sync!$D$5="","Clay paste is empty or has no row_id column: paste the Clay export on Clay_Brands",IF(CM135="","row_id not found in the Clay paste: add the Clay row or fix the row_id",IF(AND(ISNUMBER(CO135),CO135&gt;=1,CO135&lt;=5),"Clay status is "&amp;CN135&amp;": set call_done or later",IF(AND(BA135=1,CP135&lt;&gt;CB135),"Clay yes_in_principle should be "&amp;CB135,IF(AND(BA135=1,CQ135&lt;&gt;H135),"Clay call_date should be "&amp;TEXT(H135,"yyyy-mm-dd"),""))))))))</f>
        <v/>
      </c>
      <c r="AW135" s="23" t="str">
        <f aca="false">IF(TRIM($A135)="","",IF(TRIM(C135)&lt;&gt;"",SUBSTITUTE(SUBSTITUTE(SUBSTITUTE(SUBSTITUTE(SUBSTITUTE(SUBSTITUTE(LOWER(TRIM(C135)),"~",""),"*",""),"?",""),"&lt;",""),"&gt;",""),"=",""),IF(DS135&lt;&gt;"",DS135,IFERROR(INDEX($DS$2:$DS$201,MATCH(DR135,$DT$2:$DT$201,0)),DR135))))</f>
        <v/>
      </c>
      <c r="AX135" s="23" t="n">
        <f aca="false">ROW()</f>
        <v>135</v>
      </c>
      <c r="AY135" s="23" t="n">
        <f aca="false">IF(AND(TRIM($A135)&lt;&gt;"",ISNUMBER(H135)),IF(AND(LEFT($A135,6)="SAMPLE",Config!$B$19&lt;&gt;"Y"),0,1),0)</f>
        <v>0</v>
      </c>
      <c r="AZ135" s="23" t="n">
        <f aca="false">IF(AY135=1,IF(COUNTIFS($AW$2:$AW$201,AW135,$AY$2:$AY$201,1,$H$2:$H$201,"&lt;"&amp;H135)+COUNTIFS($AW$2:$AW$201,AW135,$AY$2:$AY$201,1,$H$2:$H$201,H135,$AX$2:$AX$201,"&lt;"&amp;AX135)=0,1,0),0)</f>
        <v>0</v>
      </c>
      <c r="BA135" s="23" t="n">
        <f aca="false">IF(AY135=1,IF(COUNTIFS($A$2:$A$201,$A135,$AY$2:$AY$201,1,$H$2:$H$201,"&gt;"&amp;H135)+COUNTIFS($A$2:$A$201,$A135,$AY$2:$AY$201,1,$H$2:$H$201,H135,$AX$2:$AX$201,"&gt;"&amp;AX135)=0,1,0),0)</f>
        <v>0</v>
      </c>
      <c r="BB135" s="23" t="n">
        <f aca="false">IF(AND(AY135=1,O135="Y",MAX(N(R135),N(V135))&gt;=Config!$B$14),1,0)</f>
        <v>0</v>
      </c>
      <c r="BC135" s="23" t="n">
        <f aca="false">IF(BB135=1,IF(COUNTIFS($AW$2:$AW$201,AW135,$BB$2:$BB$201,1,$H$2:$H$201,"&lt;"&amp;H135)+COUNTIFS($AW$2:$AW$201,AW135,$BB$2:$BB$201,1,$H$2:$H$201,H135,$AX$2:$AX$201,"&lt;"&amp;AX135)=0,1,0),0)</f>
        <v>0</v>
      </c>
      <c r="BD135" s="23" t="n">
        <f aca="false">IF(AND(AY135=1,O135="Y",ISNUMBER(R135)),IF(R135&gt;=Config!$B$14,1,0),0)</f>
        <v>0</v>
      </c>
      <c r="BE135" s="23" t="n">
        <f aca="false">IF(BD135=1,IF(COUNTIFS($AW$2:$AW$201,AW135,$BD$2:$BD$201,1,$H$2:$H$201,"&lt;"&amp;H135)+COUNTIFS($AW$2:$AW$201,AW135,$BD$2:$BD$201,1,$H$2:$H$201,H135,$AX$2:$AX$201,"&lt;"&amp;AX135)=0,1,0),0)</f>
        <v>0</v>
      </c>
      <c r="BF135" s="23" t="n">
        <f aca="false">IF(AND(AY135=1,O135&lt;&gt;"Y",MAX(N(R135),N(V135))&gt;=Config!$B$14),1,0)</f>
        <v>0</v>
      </c>
      <c r="BG135" s="23" t="n">
        <f aca="false">IF(BF135=1,IF(COUNTIFS($AW$2:$AW$201,AW135,$BF$2:$BF$201,1,$H$2:$H$201,"&lt;"&amp;H135)+COUNTIFS($AW$2:$AW$201,AW135,$BF$2:$BF$201,1,$H$2:$H$201,H135,$AX$2:$AX$201,"&lt;"&amp;AX135)=0,1,0),0)</f>
        <v>0</v>
      </c>
      <c r="BH135" s="23" t="n">
        <f aca="false">IF(AND(AY135=1,ISNUMBER(R135)),1,0)</f>
        <v>0</v>
      </c>
      <c r="BI135" s="23" t="n">
        <f aca="false">IF(BH135=1,IF(COUNTIFS($AW$2:$AW$201,AW135,$BH$2:$BH$201,1,$H$2:$H$201,"&lt;"&amp;H135)+COUNTIFS($AW$2:$AW$201,AW135,$BH$2:$BH$201,1,$H$2:$H$201,H135,$AX$2:$AX$201,"&lt;"&amp;AX135)=0,1,0),0)</f>
        <v>0</v>
      </c>
      <c r="BJ135" s="23" t="str">
        <f aca="false">IF(AND(BI135=1,INT(N(H135))&lt;=Config!$B$6),R135,"")</f>
        <v/>
      </c>
      <c r="BK135" s="23" t="str">
        <f aca="false">IF(AND(BI135=1,INT(N(H135))&lt;=Config!$B$7),R135,"")</f>
        <v/>
      </c>
      <c r="BL135" s="23" t="str">
        <f aca="false">IF(AND(BI135=1,INT(N(H135))&lt;=Config!$B$8),R135,"")</f>
        <v/>
      </c>
      <c r="BM135" s="23" t="str">
        <f aca="false">IF(AND(BI135=1,INT(N(H135))&lt;=Config!$B$5),R135,"")</f>
        <v/>
      </c>
      <c r="BN135" s="23" t="n">
        <f aca="false">IF(AND(AY135=1,ISNUMBER(V135)),1,0)</f>
        <v>0</v>
      </c>
      <c r="BO135" s="23" t="n">
        <f aca="false">IF(BN135=1,IF(COUNTIFS($AW$2:$AW$201,AW135,$BN$2:$BN$201,1,$H$2:$H$201,"&lt;"&amp;H135)+COUNTIFS($AW$2:$AW$201,AW135,$BN$2:$BN$201,1,$H$2:$H$201,H135,$AX$2:$AX$201,"&lt;"&amp;AX135)=0,1,0),0)</f>
        <v>0</v>
      </c>
      <c r="BP135" s="23" t="str">
        <f aca="false">IF(AND(BO135=1,INT(N(H135))&lt;=Config!$B$6),V135,"")</f>
        <v/>
      </c>
      <c r="BQ135" s="23" t="str">
        <f aca="false">IF(AND(BO135=1,INT(N(H135))&lt;=Config!$B$7),V135,"")</f>
        <v/>
      </c>
      <c r="BR135" s="23" t="str">
        <f aca="false">IF(AND(BO135=1,INT(N(H135))&lt;=Config!$B$8),V135,"")</f>
        <v/>
      </c>
      <c r="BS135" s="23" t="str">
        <f aca="false">IF(AND(BO135=1,INT(N(H135))&lt;=Config!$B$5),V135,"")</f>
        <v/>
      </c>
      <c r="BT135" s="23" t="n">
        <f aca="false">IF(AND(AY135=1,ISNUMBER(K135)),1,0)</f>
        <v>0</v>
      </c>
      <c r="BU135" s="23" t="n">
        <f aca="false">IF(BT135=1,IF(COUNTIFS($AW$2:$AW$201,AW135,$BT$2:$BT$201,1,$H$2:$H$201,"&lt;"&amp;H135)+COUNTIFS($AW$2:$AW$201,AW135,$BT$2:$BT$201,1,$H$2:$H$201,H135,$AX$2:$AX$201,"&lt;"&amp;AX135)=0,1,0),0)</f>
        <v>0</v>
      </c>
      <c r="BV135" s="23" t="str">
        <f aca="false">IF(AND(BU135=1,INT(N(H135))&lt;=Config!$B$5),K135,"")</f>
        <v/>
      </c>
      <c r="BW135" s="23" t="n">
        <f aca="false">IF(AND(AY135=1,OR(AND(ISNUMBER(R135),TRIM(S135)=""),AND(ISNUMBER(V135),TRIM(W135)=""))),1,0)</f>
        <v>0</v>
      </c>
      <c r="BX135" s="23" t="str">
        <f aca="false">IF(AY135=1,AJ135&amp;"","")</f>
        <v/>
      </c>
      <c r="BY135" s="23" t="str">
        <f aca="false">IF(AY135=1,AK135&amp;"","")</f>
        <v/>
      </c>
      <c r="BZ135" s="23" t="str">
        <f aca="false">IF(AY135=1,AL135&amp;"","")</f>
        <v/>
      </c>
      <c r="CA135" s="23" t="str">
        <f aca="false">IF(AND(AY135=1,ISNUMBER(AS135),INT(N(H135))&lt;=Config!$B$5),AS135,"")</f>
        <v/>
      </c>
      <c r="CB135" s="23" t="str">
        <f aca="false">IF(AY135=1,IF(COUNTIFS($A$2:$A$201,$A135,$CU$2:$CU$201,1,$AN$2:$AN$201,"Y")&gt;0,"Y","N"),"")</f>
        <v/>
      </c>
      <c r="CC135" s="23" t="n">
        <f aca="false">IF(AND(AY135=1,AN135="Y"),IF(COUNTIFS($AW$2:$AW$201,AW135,$AN$2:$AN$201,"Y",$AY$2:$AY$201,1,$H$2:$H$201,"&lt;"&amp;H135)+COUNTIFS($AW$2:$AW$201,AW135,$AN$2:$AN$201,"Y",$AY$2:$AY$201,1,$H$2:$H$201,H135,$AX$2:$AX$201,"&lt;"&amp;AX135)=0,1,0),0)</f>
        <v>0</v>
      </c>
      <c r="CD135" s="23" t="n">
        <f aca="false">IF(AND(AY135=1,AB135="Y",AC135="Y",AD135="Y",AE135="Y",AF135="Y",AG135="Y",AI135="Y",TRIM(AH135)&lt;&gt;""),1,0)</f>
        <v>0</v>
      </c>
      <c r="CE135" s="23" t="n">
        <f aca="false">IF(CD135=1,IF(COUNTIFS($AW$2:$AW$201,AW135,$CD$2:$CD$201,1,$H$2:$H$201,"&lt;"&amp;H135)+COUNTIFS($AW$2:$AW$201,AW135,$CD$2:$CD$201,1,$H$2:$H$201,H135,$AX$2:$AX$201,"&lt;"&amp;AX135)=0,1,0),0)</f>
        <v>0</v>
      </c>
      <c r="CF135" s="23" t="n">
        <f aca="false">IF(AND(AY135=1,AO135="Y"),1,0)</f>
        <v>0</v>
      </c>
      <c r="CG135" s="23" t="n">
        <f aca="false">IF(CF135=1,IF(COUNTIFS($AW$2:$AW$201,AW135,$CF$2:$CF$201,1,$H$2:$H$201,"&lt;"&amp;H135)+COUNTIFS($AW$2:$AW$201,AW135,$CF$2:$CF$201,1,$H$2:$H$201,H135,$AX$2:$AX$201,"&lt;"&amp;AX135)=0,1,0),0)</f>
        <v>0</v>
      </c>
      <c r="CH135" s="23" t="n">
        <f aca="false">IF(AND(AY135=1,P135="Y"),1,0)</f>
        <v>0</v>
      </c>
      <c r="CI135" s="23" t="n">
        <f aca="false">IF(CH135=1,IF(COUNTIFS($AW$2:$AW$201,AW135,$CH$2:$CH$201,1,$H$2:$H$201,"&lt;"&amp;H135)+COUNTIFS($AW$2:$AW$201,AW135,$CH$2:$CH$201,1,$H$2:$H$201,H135,$AX$2:$AX$201,"&lt;"&amp;AX135)=0,1,0),0)</f>
        <v>0</v>
      </c>
      <c r="CJ135" s="23" t="str">
        <f aca="false">IF(AND(BU135=1,INT(N(H135))&lt;=Config!$B$5),L135,"")</f>
        <v/>
      </c>
      <c r="CK135" s="23" t="n">
        <f aca="false">IF(AND(AY135=1,AR135="Y"),1,0)</f>
        <v>0</v>
      </c>
      <c r="CL135" s="23" t="n">
        <f aca="false">IF(CK135=1,IF(COUNTIFS($AW$2:$AW$201,AW135,$CK$2:$CK$201,1,$H$2:$H$201,"&lt;"&amp;H135)+COUNTIFS($AW$2:$AW$201,AW135,$CK$2:$CK$201,1,$H$2:$H$201,H135,$AX$2:$AX$201,"&lt;"&amp;AX135)=0,1,0),0)</f>
        <v>0</v>
      </c>
      <c r="CM135" s="23" t="str">
        <f aca="false">IF(AY135=1,IFERROR(MATCH($A135,INDEX(Clay_Brands!$A$2:$FZ$601,0,Sync!$D$5),0),""),"")</f>
        <v/>
      </c>
      <c r="CN135" s="23" t="str">
        <f aca="false">IF(CM135="","",IFERROR(INDEX(Clay_Brands!$A$2:$FZ$601,CM135,Sync!$D$7)&amp;"",""))</f>
        <v/>
      </c>
      <c r="CO135" s="23" t="str">
        <f aca="false">IF(CN135="","",IFERROR(INDEX(Lists!$K$2:$K$15,MATCH(CN135,Lists!$J$2:$J$15,0)),""))</f>
        <v/>
      </c>
      <c r="CP135" s="23" t="str">
        <f aca="false">IF(CM135="","",IFERROR(INDEX(Clay_Brands!$A$2:$FZ$601,CM135,Sync!$D$17)&amp;"",""))</f>
        <v/>
      </c>
      <c r="CQ135" s="35" t="str">
        <f aca="false">IF(CM135="","",IFERROR(N(INDEX(Clay_Brands!$A$2:$FZ$601,CM135,Sync!$D$16)),0))</f>
        <v/>
      </c>
      <c r="CR135" s="23" t="n">
        <f aca="false">IF(AND(AY135=1,OR(O135="N",AND(OR(ISNUMBER(R135),ISNUMBER(V135)),MAX(N(R135),N(V135))&lt;Config!$B$14))),1,0)</f>
        <v>0</v>
      </c>
      <c r="CS135" s="23" t="n">
        <f aca="false">IF(OR(BB135=1,CR135=1),1,0)</f>
        <v>0</v>
      </c>
      <c r="CT135" s="23" t="n">
        <f aca="false">IF(AND(AY135=1,OR(AN135="Y",AN135="N",AN135="maybe")),1,0)</f>
        <v>0</v>
      </c>
      <c r="CU135" s="23" t="n">
        <f aca="false">IF(AND(CT135=1),IF(COUNTIFS($A$2:$A$201,$A135,$CT$2:$CT$201,1,$H$2:$H$201,"&gt;"&amp;H135)+COUNTIFS($A$2:$A$201,$A135,$CT$2:$CT$201,1,$H$2:$H$201,H135,$AX$2:$AX$201,"&gt;"&amp;AX135)=0,1,0),0)</f>
        <v>0</v>
      </c>
      <c r="CV135" s="23" t="n">
        <f aca="false">IF(AND(CS135=1,INT(N(H135))&lt;=Config!$B$6),IF(COUNTIFS($AW$2:$AW$201,AW135,$CS$2:$CS$201,1,$H$2:$H$201,"&gt;"&amp;H135,$H$2:$H$201,"&lt;"&amp;(Config!$B$6+1))+COUNTIFS($AW$2:$AW$201,AW135,$CS$2:$CS$201,1,$H$2:$H$201,H135,$AX$2:$AX$201,"&gt;"&amp;AX135)=0,1,0),0)</f>
        <v>0</v>
      </c>
      <c r="CW135" s="23" t="n">
        <f aca="false">IF(AND(CS135=1,INT(N(H135))&lt;=Config!$B$7),IF(COUNTIFS($AW$2:$AW$201,AW135,$CS$2:$CS$201,1,$H$2:$H$201,"&gt;"&amp;H135,$H$2:$H$201,"&lt;"&amp;(Config!$B$7+1))+COUNTIFS($AW$2:$AW$201,AW135,$CS$2:$CS$201,1,$H$2:$H$201,H135,$AX$2:$AX$201,"&gt;"&amp;AX135)=0,1,0),0)</f>
        <v>0</v>
      </c>
      <c r="CX135" s="23" t="n">
        <f aca="false">IF(AND(CS135=1,INT(N(H135))&lt;=Config!$B$8),IF(COUNTIFS($AW$2:$AW$201,AW135,$CS$2:$CS$201,1,$H$2:$H$201,"&gt;"&amp;H135,$H$2:$H$201,"&lt;"&amp;(Config!$B$8+1))+COUNTIFS($AW$2:$AW$201,AW135,$CS$2:$CS$201,1,$H$2:$H$201,H135,$AX$2:$AX$201,"&gt;"&amp;AX135)=0,1,0),0)</f>
        <v>0</v>
      </c>
      <c r="CY135" s="23" t="n">
        <f aca="false">IF(AND(CS135=1,INT(N(H135))&lt;=Config!$B$5),IF(COUNTIFS($AW$2:$AW$201,AW135,$CS$2:$CS$201,1,$H$2:$H$201,"&gt;"&amp;H135,$H$2:$H$201,"&lt;"&amp;(Config!$B$5+1))+COUNTIFS($AW$2:$AW$201,AW135,$CS$2:$CS$201,1,$H$2:$H$201,H135,$AX$2:$AX$201,"&gt;"&amp;AX135)=0,1,0),0)</f>
        <v>0</v>
      </c>
      <c r="CZ135" s="23" t="n">
        <f aca="false">IF(AY135=1,IF(COUNTIFS($AW$2:$AW$201,AW135,$CV$2:$CV$201,1,$BB$2:$BB$201,1)&gt;0,1,0),0)</f>
        <v>0</v>
      </c>
      <c r="DA135" s="23" t="n">
        <f aca="false">IF(AY135=1,IF(COUNTIFS($AW$2:$AW$201,AW135,$CW$2:$CW$201,1,$BB$2:$BB$201,1)&gt;0,1,0),0)</f>
        <v>0</v>
      </c>
      <c r="DB135" s="23" t="n">
        <f aca="false">IF(AY135=1,IF(COUNTIFS($AW$2:$AW$201,AW135,$CX$2:$CX$201,1,$BB$2:$BB$201,1)&gt;0,1,0),0)</f>
        <v>0</v>
      </c>
      <c r="DC135" s="23" t="n">
        <f aca="false">IF(AY135=1,IF(COUNTIFS($AW$2:$AW$201,AW135,$CY$2:$CY$201,1,$BB$2:$BB$201,1)&gt;0,1,0),0)</f>
        <v>0</v>
      </c>
      <c r="DD135" s="23" t="n">
        <f aca="false">IF(AND(BC135=1,INT(N(H135))&lt;=Config!$B$6,CZ135=1),1,0)</f>
        <v>0</v>
      </c>
      <c r="DE135" s="23" t="n">
        <f aca="false">IF(AND(BC135=1,INT(N(H135))&lt;=Config!$B$7,DA135=1),1,0)</f>
        <v>0</v>
      </c>
      <c r="DF135" s="23" t="n">
        <f aca="false">IF(AND(BC135=1,INT(N(H135))&lt;=Config!$B$8,DB135=1),1,0)</f>
        <v>0</v>
      </c>
      <c r="DG135" s="23" t="n">
        <f aca="false">IF(AND(BC135=1,INT(N(H135))&lt;=Config!$B$5,DC135=1),1,0)</f>
        <v>0</v>
      </c>
      <c r="DH135" s="23" t="n">
        <f aca="false">IF(AND(BE135=1,INT(N(H135))&lt;=Config!$B$6,CZ135=1),1,0)</f>
        <v>0</v>
      </c>
      <c r="DI135" s="23" t="n">
        <f aca="false">IF(AND(BE135=1,INT(N(H135))&lt;=Config!$B$7,DA135=1),1,0)</f>
        <v>0</v>
      </c>
      <c r="DJ135" s="23" t="n">
        <f aca="false">IF(AND(BE135=1,INT(N(H135))&lt;=Config!$B$8,DB135=1),1,0)</f>
        <v>0</v>
      </c>
      <c r="DK135" s="23" t="n">
        <f aca="false">IF(AND(BE135=1,INT(N(H135))&lt;=Config!$B$5,DC135=1),1,0)</f>
        <v>0</v>
      </c>
      <c r="DL135" s="23" t="n">
        <f aca="false">IF(AND(BC135=1,INT(N(H135))&lt;=Config!$B$6,CZ135=0),1,0)</f>
        <v>0</v>
      </c>
      <c r="DM135" s="23" t="n">
        <f aca="false">IF(AND(BC135=1,INT(N(H135))&lt;=Config!$B$7,DA135=0),1,0)</f>
        <v>0</v>
      </c>
      <c r="DN135" s="23" t="n">
        <f aca="false">IF(AND(BC135=1,INT(N(H135))&lt;=Config!$B$8,DB135=0),1,0)</f>
        <v>0</v>
      </c>
      <c r="DO135" s="23" t="n">
        <f aca="false">IF(AND(BC135=1,INT(N(H135))&lt;=Config!$B$5,DC135=0),1,0)</f>
        <v>0</v>
      </c>
      <c r="DP135" s="23" t="n">
        <f aca="false">IF(TRIM($A135)="",0,ISTEXT(K135)+ISTEXT(L135)+ISTEXT(R135)+ISTEXT(V135)+ISTEXT(AP135)+ISTEXT(AS135))</f>
        <v>0</v>
      </c>
      <c r="DQ135" s="23" t="n">
        <f aca="false">IF(AY135=1,IF(H135&lt;&gt;INT(H135),1,0),0)</f>
        <v>0</v>
      </c>
      <c r="DR135" s="23" t="str">
        <f aca="false">IF(TRIM($A135)="","",IF(TRIM(B135)="",SUBSTITUTE(SUBSTITUTE(SUBSTITUTE(SUBSTITUTE(SUBSTITUTE(SUBSTITUTE(LOWER(TRIM($A135)),"~",""),"*",""),"?",""),"&lt;",""),"&gt;",""),"=",""),SUBSTITUTE(SUBSTITUTE(SUBSTITUTE(SUBSTITUTE(SUBSTITUTE(SUBSTITUTE(LOWER(TRIM(B135)),"~",""),"*",""),"?",""),"&lt;",""),"&gt;",""),"=","")))</f>
        <v/>
      </c>
      <c r="DS135" s="23" t="str">
        <f aca="false">IF(CM135="","",IFERROR(IF(LEFT(LOWER(TRIM(INDEX(Clay_Brands!$A$2:$FZ$601,CM135,Sync!$D$19)&amp;"")),4)="grp-",SUBSTITUTE(SUBSTITUTE(SUBSTITUTE(SUBSTITUTE(SUBSTITUTE(SUBSTITUTE(LOWER(TRIM(INDEX(Clay_Brands!$A$2:$FZ$601,CM135,Sync!$D$19)&amp;"")),"~",""),"*",""),"?",""),"&lt;",""),"&gt;",""),"=",""),""),""))</f>
        <v/>
      </c>
      <c r="DT135" s="23" t="str">
        <f aca="false">IF(DS135&lt;&gt;"",DR135,"")</f>
        <v/>
      </c>
      <c r="DU135" s="23" t="str">
        <f aca="false">IF(AZ135=1,AW135,"")</f>
        <v/>
      </c>
      <c r="DV135" s="23" t="str">
        <f aca="false">IF(TRIM($A135)="","",IFERROR(INDEX($A$2:$A$201,MATCH(AW135,$DU$2:$DU$201,0))&amp;"",$A135&amp;""))</f>
        <v/>
      </c>
      <c r="DW135" s="23" t="n">
        <f aca="false">IF(AY135=1,IF(COUNTIFS($A$2:$A$201,$A135,$AY$2:$AY$201,1,$H$2:$H$201,"&lt;"&amp;H135)+COUNTIFS($A$2:$A$201,$A135,$AY$2:$AY$201,1,$H$2:$H$201,H135,$AX$2:$AX$201,"&lt;"&amp;AX135)=0,1,0),0)</f>
        <v>0</v>
      </c>
      <c r="DX135" s="23" t="n">
        <f aca="false">IF(AZ135=1,IF(COUNTIFS($AW$2:$AW$201,AW135,$DW$2:$DW$201,1)&gt;1,1,0),0)</f>
        <v>0</v>
      </c>
    </row>
    <row r="136" customFormat="false" ht="15" hidden="false" customHeight="false" outlineLevel="0" collapsed="false">
      <c r="G136" s="32"/>
      <c r="H136" s="33"/>
      <c r="I136" s="32"/>
      <c r="O136" s="32"/>
      <c r="P136" s="32"/>
      <c r="U136" s="32"/>
      <c r="Y136" s="32"/>
      <c r="AB136" s="32"/>
      <c r="AC136" s="32"/>
      <c r="AD136" s="32"/>
      <c r="AE136" s="32"/>
      <c r="AF136" s="32"/>
      <c r="AG136" s="32"/>
      <c r="AI136" s="32"/>
      <c r="AJ136" s="32"/>
      <c r="AK136" s="32"/>
      <c r="AN136" s="32"/>
      <c r="AO136" s="32"/>
      <c r="AR136" s="32"/>
      <c r="AT136" s="32"/>
      <c r="AV136" s="34" t="str">
        <f aca="false">IF(TRIM($A136)="","",IF(AND(LEFT($A136,6)="SAMPLE",Config!$B$19&lt;&gt;"Y"),"",IF(NOT(ISNUMBER(H136)),"call_date is blank or not a date",IF(Sync!$D$5="","Clay paste is empty or has no row_id column: paste the Clay export on Clay_Brands",IF(CM136="","row_id not found in the Clay paste: add the Clay row or fix the row_id",IF(AND(ISNUMBER(CO136),CO136&gt;=1,CO136&lt;=5),"Clay status is "&amp;CN136&amp;": set call_done or later",IF(AND(BA136=1,CP136&lt;&gt;CB136),"Clay yes_in_principle should be "&amp;CB136,IF(AND(BA136=1,CQ136&lt;&gt;H136),"Clay call_date should be "&amp;TEXT(H136,"yyyy-mm-dd"),""))))))))</f>
        <v/>
      </c>
      <c r="AW136" s="23" t="str">
        <f aca="false">IF(TRIM($A136)="","",IF(TRIM(C136)&lt;&gt;"",SUBSTITUTE(SUBSTITUTE(SUBSTITUTE(SUBSTITUTE(SUBSTITUTE(SUBSTITUTE(LOWER(TRIM(C136)),"~",""),"*",""),"?",""),"&lt;",""),"&gt;",""),"=",""),IF(DS136&lt;&gt;"",DS136,IFERROR(INDEX($DS$2:$DS$201,MATCH(DR136,$DT$2:$DT$201,0)),DR136))))</f>
        <v/>
      </c>
      <c r="AX136" s="23" t="n">
        <f aca="false">ROW()</f>
        <v>136</v>
      </c>
      <c r="AY136" s="23" t="n">
        <f aca="false">IF(AND(TRIM($A136)&lt;&gt;"",ISNUMBER(H136)),IF(AND(LEFT($A136,6)="SAMPLE",Config!$B$19&lt;&gt;"Y"),0,1),0)</f>
        <v>0</v>
      </c>
      <c r="AZ136" s="23" t="n">
        <f aca="false">IF(AY136=1,IF(COUNTIFS($AW$2:$AW$201,AW136,$AY$2:$AY$201,1,$H$2:$H$201,"&lt;"&amp;H136)+COUNTIFS($AW$2:$AW$201,AW136,$AY$2:$AY$201,1,$H$2:$H$201,H136,$AX$2:$AX$201,"&lt;"&amp;AX136)=0,1,0),0)</f>
        <v>0</v>
      </c>
      <c r="BA136" s="23" t="n">
        <f aca="false">IF(AY136=1,IF(COUNTIFS($A$2:$A$201,$A136,$AY$2:$AY$201,1,$H$2:$H$201,"&gt;"&amp;H136)+COUNTIFS($A$2:$A$201,$A136,$AY$2:$AY$201,1,$H$2:$H$201,H136,$AX$2:$AX$201,"&gt;"&amp;AX136)=0,1,0),0)</f>
        <v>0</v>
      </c>
      <c r="BB136" s="23" t="n">
        <f aca="false">IF(AND(AY136=1,O136="Y",MAX(N(R136),N(V136))&gt;=Config!$B$14),1,0)</f>
        <v>0</v>
      </c>
      <c r="BC136" s="23" t="n">
        <f aca="false">IF(BB136=1,IF(COUNTIFS($AW$2:$AW$201,AW136,$BB$2:$BB$201,1,$H$2:$H$201,"&lt;"&amp;H136)+COUNTIFS($AW$2:$AW$201,AW136,$BB$2:$BB$201,1,$H$2:$H$201,H136,$AX$2:$AX$201,"&lt;"&amp;AX136)=0,1,0),0)</f>
        <v>0</v>
      </c>
      <c r="BD136" s="23" t="n">
        <f aca="false">IF(AND(AY136=1,O136="Y",ISNUMBER(R136)),IF(R136&gt;=Config!$B$14,1,0),0)</f>
        <v>0</v>
      </c>
      <c r="BE136" s="23" t="n">
        <f aca="false">IF(BD136=1,IF(COUNTIFS($AW$2:$AW$201,AW136,$BD$2:$BD$201,1,$H$2:$H$201,"&lt;"&amp;H136)+COUNTIFS($AW$2:$AW$201,AW136,$BD$2:$BD$201,1,$H$2:$H$201,H136,$AX$2:$AX$201,"&lt;"&amp;AX136)=0,1,0),0)</f>
        <v>0</v>
      </c>
      <c r="BF136" s="23" t="n">
        <f aca="false">IF(AND(AY136=1,O136&lt;&gt;"Y",MAX(N(R136),N(V136))&gt;=Config!$B$14),1,0)</f>
        <v>0</v>
      </c>
      <c r="BG136" s="23" t="n">
        <f aca="false">IF(BF136=1,IF(COUNTIFS($AW$2:$AW$201,AW136,$BF$2:$BF$201,1,$H$2:$H$201,"&lt;"&amp;H136)+COUNTIFS($AW$2:$AW$201,AW136,$BF$2:$BF$201,1,$H$2:$H$201,H136,$AX$2:$AX$201,"&lt;"&amp;AX136)=0,1,0),0)</f>
        <v>0</v>
      </c>
      <c r="BH136" s="23" t="n">
        <f aca="false">IF(AND(AY136=1,ISNUMBER(R136)),1,0)</f>
        <v>0</v>
      </c>
      <c r="BI136" s="23" t="n">
        <f aca="false">IF(BH136=1,IF(COUNTIFS($AW$2:$AW$201,AW136,$BH$2:$BH$201,1,$H$2:$H$201,"&lt;"&amp;H136)+COUNTIFS($AW$2:$AW$201,AW136,$BH$2:$BH$201,1,$H$2:$H$201,H136,$AX$2:$AX$201,"&lt;"&amp;AX136)=0,1,0),0)</f>
        <v>0</v>
      </c>
      <c r="BJ136" s="23" t="str">
        <f aca="false">IF(AND(BI136=1,INT(N(H136))&lt;=Config!$B$6),R136,"")</f>
        <v/>
      </c>
      <c r="BK136" s="23" t="str">
        <f aca="false">IF(AND(BI136=1,INT(N(H136))&lt;=Config!$B$7),R136,"")</f>
        <v/>
      </c>
      <c r="BL136" s="23" t="str">
        <f aca="false">IF(AND(BI136=1,INT(N(H136))&lt;=Config!$B$8),R136,"")</f>
        <v/>
      </c>
      <c r="BM136" s="23" t="str">
        <f aca="false">IF(AND(BI136=1,INT(N(H136))&lt;=Config!$B$5),R136,"")</f>
        <v/>
      </c>
      <c r="BN136" s="23" t="n">
        <f aca="false">IF(AND(AY136=1,ISNUMBER(V136)),1,0)</f>
        <v>0</v>
      </c>
      <c r="BO136" s="23" t="n">
        <f aca="false">IF(BN136=1,IF(COUNTIFS($AW$2:$AW$201,AW136,$BN$2:$BN$201,1,$H$2:$H$201,"&lt;"&amp;H136)+COUNTIFS($AW$2:$AW$201,AW136,$BN$2:$BN$201,1,$H$2:$H$201,H136,$AX$2:$AX$201,"&lt;"&amp;AX136)=0,1,0),0)</f>
        <v>0</v>
      </c>
      <c r="BP136" s="23" t="str">
        <f aca="false">IF(AND(BO136=1,INT(N(H136))&lt;=Config!$B$6),V136,"")</f>
        <v/>
      </c>
      <c r="BQ136" s="23" t="str">
        <f aca="false">IF(AND(BO136=1,INT(N(H136))&lt;=Config!$B$7),V136,"")</f>
        <v/>
      </c>
      <c r="BR136" s="23" t="str">
        <f aca="false">IF(AND(BO136=1,INT(N(H136))&lt;=Config!$B$8),V136,"")</f>
        <v/>
      </c>
      <c r="BS136" s="23" t="str">
        <f aca="false">IF(AND(BO136=1,INT(N(H136))&lt;=Config!$B$5),V136,"")</f>
        <v/>
      </c>
      <c r="BT136" s="23" t="n">
        <f aca="false">IF(AND(AY136=1,ISNUMBER(K136)),1,0)</f>
        <v>0</v>
      </c>
      <c r="BU136" s="23" t="n">
        <f aca="false">IF(BT136=1,IF(COUNTIFS($AW$2:$AW$201,AW136,$BT$2:$BT$201,1,$H$2:$H$201,"&lt;"&amp;H136)+COUNTIFS($AW$2:$AW$201,AW136,$BT$2:$BT$201,1,$H$2:$H$201,H136,$AX$2:$AX$201,"&lt;"&amp;AX136)=0,1,0),0)</f>
        <v>0</v>
      </c>
      <c r="BV136" s="23" t="str">
        <f aca="false">IF(AND(BU136=1,INT(N(H136))&lt;=Config!$B$5),K136,"")</f>
        <v/>
      </c>
      <c r="BW136" s="23" t="n">
        <f aca="false">IF(AND(AY136=1,OR(AND(ISNUMBER(R136),TRIM(S136)=""),AND(ISNUMBER(V136),TRIM(W136)=""))),1,0)</f>
        <v>0</v>
      </c>
      <c r="BX136" s="23" t="str">
        <f aca="false">IF(AY136=1,AJ136&amp;"","")</f>
        <v/>
      </c>
      <c r="BY136" s="23" t="str">
        <f aca="false">IF(AY136=1,AK136&amp;"","")</f>
        <v/>
      </c>
      <c r="BZ136" s="23" t="str">
        <f aca="false">IF(AY136=1,AL136&amp;"","")</f>
        <v/>
      </c>
      <c r="CA136" s="23" t="str">
        <f aca="false">IF(AND(AY136=1,ISNUMBER(AS136),INT(N(H136))&lt;=Config!$B$5),AS136,"")</f>
        <v/>
      </c>
      <c r="CB136" s="23" t="str">
        <f aca="false">IF(AY136=1,IF(COUNTIFS($A$2:$A$201,$A136,$CU$2:$CU$201,1,$AN$2:$AN$201,"Y")&gt;0,"Y","N"),"")</f>
        <v/>
      </c>
      <c r="CC136" s="23" t="n">
        <f aca="false">IF(AND(AY136=1,AN136="Y"),IF(COUNTIFS($AW$2:$AW$201,AW136,$AN$2:$AN$201,"Y",$AY$2:$AY$201,1,$H$2:$H$201,"&lt;"&amp;H136)+COUNTIFS($AW$2:$AW$201,AW136,$AN$2:$AN$201,"Y",$AY$2:$AY$201,1,$H$2:$H$201,H136,$AX$2:$AX$201,"&lt;"&amp;AX136)=0,1,0),0)</f>
        <v>0</v>
      </c>
      <c r="CD136" s="23" t="n">
        <f aca="false">IF(AND(AY136=1,AB136="Y",AC136="Y",AD136="Y",AE136="Y",AF136="Y",AG136="Y",AI136="Y",TRIM(AH136)&lt;&gt;""),1,0)</f>
        <v>0</v>
      </c>
      <c r="CE136" s="23" t="n">
        <f aca="false">IF(CD136=1,IF(COUNTIFS($AW$2:$AW$201,AW136,$CD$2:$CD$201,1,$H$2:$H$201,"&lt;"&amp;H136)+COUNTIFS($AW$2:$AW$201,AW136,$CD$2:$CD$201,1,$H$2:$H$201,H136,$AX$2:$AX$201,"&lt;"&amp;AX136)=0,1,0),0)</f>
        <v>0</v>
      </c>
      <c r="CF136" s="23" t="n">
        <f aca="false">IF(AND(AY136=1,AO136="Y"),1,0)</f>
        <v>0</v>
      </c>
      <c r="CG136" s="23" t="n">
        <f aca="false">IF(CF136=1,IF(COUNTIFS($AW$2:$AW$201,AW136,$CF$2:$CF$201,1,$H$2:$H$201,"&lt;"&amp;H136)+COUNTIFS($AW$2:$AW$201,AW136,$CF$2:$CF$201,1,$H$2:$H$201,H136,$AX$2:$AX$201,"&lt;"&amp;AX136)=0,1,0),0)</f>
        <v>0</v>
      </c>
      <c r="CH136" s="23" t="n">
        <f aca="false">IF(AND(AY136=1,P136="Y"),1,0)</f>
        <v>0</v>
      </c>
      <c r="CI136" s="23" t="n">
        <f aca="false">IF(CH136=1,IF(COUNTIFS($AW$2:$AW$201,AW136,$CH$2:$CH$201,1,$H$2:$H$201,"&lt;"&amp;H136)+COUNTIFS($AW$2:$AW$201,AW136,$CH$2:$CH$201,1,$H$2:$H$201,H136,$AX$2:$AX$201,"&lt;"&amp;AX136)=0,1,0),0)</f>
        <v>0</v>
      </c>
      <c r="CJ136" s="23" t="str">
        <f aca="false">IF(AND(BU136=1,INT(N(H136))&lt;=Config!$B$5),L136,"")</f>
        <v/>
      </c>
      <c r="CK136" s="23" t="n">
        <f aca="false">IF(AND(AY136=1,AR136="Y"),1,0)</f>
        <v>0</v>
      </c>
      <c r="CL136" s="23" t="n">
        <f aca="false">IF(CK136=1,IF(COUNTIFS($AW$2:$AW$201,AW136,$CK$2:$CK$201,1,$H$2:$H$201,"&lt;"&amp;H136)+COUNTIFS($AW$2:$AW$201,AW136,$CK$2:$CK$201,1,$H$2:$H$201,H136,$AX$2:$AX$201,"&lt;"&amp;AX136)=0,1,0),0)</f>
        <v>0</v>
      </c>
      <c r="CM136" s="23" t="str">
        <f aca="false">IF(AY136=1,IFERROR(MATCH($A136,INDEX(Clay_Brands!$A$2:$FZ$601,0,Sync!$D$5),0),""),"")</f>
        <v/>
      </c>
      <c r="CN136" s="23" t="str">
        <f aca="false">IF(CM136="","",IFERROR(INDEX(Clay_Brands!$A$2:$FZ$601,CM136,Sync!$D$7)&amp;"",""))</f>
        <v/>
      </c>
      <c r="CO136" s="23" t="str">
        <f aca="false">IF(CN136="","",IFERROR(INDEX(Lists!$K$2:$K$15,MATCH(CN136,Lists!$J$2:$J$15,0)),""))</f>
        <v/>
      </c>
      <c r="CP136" s="23" t="str">
        <f aca="false">IF(CM136="","",IFERROR(INDEX(Clay_Brands!$A$2:$FZ$601,CM136,Sync!$D$17)&amp;"",""))</f>
        <v/>
      </c>
      <c r="CQ136" s="35" t="str">
        <f aca="false">IF(CM136="","",IFERROR(N(INDEX(Clay_Brands!$A$2:$FZ$601,CM136,Sync!$D$16)),0))</f>
        <v/>
      </c>
      <c r="CR136" s="23" t="n">
        <f aca="false">IF(AND(AY136=1,OR(O136="N",AND(OR(ISNUMBER(R136),ISNUMBER(V136)),MAX(N(R136),N(V136))&lt;Config!$B$14))),1,0)</f>
        <v>0</v>
      </c>
      <c r="CS136" s="23" t="n">
        <f aca="false">IF(OR(BB136=1,CR136=1),1,0)</f>
        <v>0</v>
      </c>
      <c r="CT136" s="23" t="n">
        <f aca="false">IF(AND(AY136=1,OR(AN136="Y",AN136="N",AN136="maybe")),1,0)</f>
        <v>0</v>
      </c>
      <c r="CU136" s="23" t="n">
        <f aca="false">IF(AND(CT136=1),IF(COUNTIFS($A$2:$A$201,$A136,$CT$2:$CT$201,1,$H$2:$H$201,"&gt;"&amp;H136)+COUNTIFS($A$2:$A$201,$A136,$CT$2:$CT$201,1,$H$2:$H$201,H136,$AX$2:$AX$201,"&gt;"&amp;AX136)=0,1,0),0)</f>
        <v>0</v>
      </c>
      <c r="CV136" s="23" t="n">
        <f aca="false">IF(AND(CS136=1,INT(N(H136))&lt;=Config!$B$6),IF(COUNTIFS($AW$2:$AW$201,AW136,$CS$2:$CS$201,1,$H$2:$H$201,"&gt;"&amp;H136,$H$2:$H$201,"&lt;"&amp;(Config!$B$6+1))+COUNTIFS($AW$2:$AW$201,AW136,$CS$2:$CS$201,1,$H$2:$H$201,H136,$AX$2:$AX$201,"&gt;"&amp;AX136)=0,1,0),0)</f>
        <v>0</v>
      </c>
      <c r="CW136" s="23" t="n">
        <f aca="false">IF(AND(CS136=1,INT(N(H136))&lt;=Config!$B$7),IF(COUNTIFS($AW$2:$AW$201,AW136,$CS$2:$CS$201,1,$H$2:$H$201,"&gt;"&amp;H136,$H$2:$H$201,"&lt;"&amp;(Config!$B$7+1))+COUNTIFS($AW$2:$AW$201,AW136,$CS$2:$CS$201,1,$H$2:$H$201,H136,$AX$2:$AX$201,"&gt;"&amp;AX136)=0,1,0),0)</f>
        <v>0</v>
      </c>
      <c r="CX136" s="23" t="n">
        <f aca="false">IF(AND(CS136=1,INT(N(H136))&lt;=Config!$B$8),IF(COUNTIFS($AW$2:$AW$201,AW136,$CS$2:$CS$201,1,$H$2:$H$201,"&gt;"&amp;H136,$H$2:$H$201,"&lt;"&amp;(Config!$B$8+1))+COUNTIFS($AW$2:$AW$201,AW136,$CS$2:$CS$201,1,$H$2:$H$201,H136,$AX$2:$AX$201,"&gt;"&amp;AX136)=0,1,0),0)</f>
        <v>0</v>
      </c>
      <c r="CY136" s="23" t="n">
        <f aca="false">IF(AND(CS136=1,INT(N(H136))&lt;=Config!$B$5),IF(COUNTIFS($AW$2:$AW$201,AW136,$CS$2:$CS$201,1,$H$2:$H$201,"&gt;"&amp;H136,$H$2:$H$201,"&lt;"&amp;(Config!$B$5+1))+COUNTIFS($AW$2:$AW$201,AW136,$CS$2:$CS$201,1,$H$2:$H$201,H136,$AX$2:$AX$201,"&gt;"&amp;AX136)=0,1,0),0)</f>
        <v>0</v>
      </c>
      <c r="CZ136" s="23" t="n">
        <f aca="false">IF(AY136=1,IF(COUNTIFS($AW$2:$AW$201,AW136,$CV$2:$CV$201,1,$BB$2:$BB$201,1)&gt;0,1,0),0)</f>
        <v>0</v>
      </c>
      <c r="DA136" s="23" t="n">
        <f aca="false">IF(AY136=1,IF(COUNTIFS($AW$2:$AW$201,AW136,$CW$2:$CW$201,1,$BB$2:$BB$201,1)&gt;0,1,0),0)</f>
        <v>0</v>
      </c>
      <c r="DB136" s="23" t="n">
        <f aca="false">IF(AY136=1,IF(COUNTIFS($AW$2:$AW$201,AW136,$CX$2:$CX$201,1,$BB$2:$BB$201,1)&gt;0,1,0),0)</f>
        <v>0</v>
      </c>
      <c r="DC136" s="23" t="n">
        <f aca="false">IF(AY136=1,IF(COUNTIFS($AW$2:$AW$201,AW136,$CY$2:$CY$201,1,$BB$2:$BB$201,1)&gt;0,1,0),0)</f>
        <v>0</v>
      </c>
      <c r="DD136" s="23" t="n">
        <f aca="false">IF(AND(BC136=1,INT(N(H136))&lt;=Config!$B$6,CZ136=1),1,0)</f>
        <v>0</v>
      </c>
      <c r="DE136" s="23" t="n">
        <f aca="false">IF(AND(BC136=1,INT(N(H136))&lt;=Config!$B$7,DA136=1),1,0)</f>
        <v>0</v>
      </c>
      <c r="DF136" s="23" t="n">
        <f aca="false">IF(AND(BC136=1,INT(N(H136))&lt;=Config!$B$8,DB136=1),1,0)</f>
        <v>0</v>
      </c>
      <c r="DG136" s="23" t="n">
        <f aca="false">IF(AND(BC136=1,INT(N(H136))&lt;=Config!$B$5,DC136=1),1,0)</f>
        <v>0</v>
      </c>
      <c r="DH136" s="23" t="n">
        <f aca="false">IF(AND(BE136=1,INT(N(H136))&lt;=Config!$B$6,CZ136=1),1,0)</f>
        <v>0</v>
      </c>
      <c r="DI136" s="23" t="n">
        <f aca="false">IF(AND(BE136=1,INT(N(H136))&lt;=Config!$B$7,DA136=1),1,0)</f>
        <v>0</v>
      </c>
      <c r="DJ136" s="23" t="n">
        <f aca="false">IF(AND(BE136=1,INT(N(H136))&lt;=Config!$B$8,DB136=1),1,0)</f>
        <v>0</v>
      </c>
      <c r="DK136" s="23" t="n">
        <f aca="false">IF(AND(BE136=1,INT(N(H136))&lt;=Config!$B$5,DC136=1),1,0)</f>
        <v>0</v>
      </c>
      <c r="DL136" s="23" t="n">
        <f aca="false">IF(AND(BC136=1,INT(N(H136))&lt;=Config!$B$6,CZ136=0),1,0)</f>
        <v>0</v>
      </c>
      <c r="DM136" s="23" t="n">
        <f aca="false">IF(AND(BC136=1,INT(N(H136))&lt;=Config!$B$7,DA136=0),1,0)</f>
        <v>0</v>
      </c>
      <c r="DN136" s="23" t="n">
        <f aca="false">IF(AND(BC136=1,INT(N(H136))&lt;=Config!$B$8,DB136=0),1,0)</f>
        <v>0</v>
      </c>
      <c r="DO136" s="23" t="n">
        <f aca="false">IF(AND(BC136=1,INT(N(H136))&lt;=Config!$B$5,DC136=0),1,0)</f>
        <v>0</v>
      </c>
      <c r="DP136" s="23" t="n">
        <f aca="false">IF(TRIM($A136)="",0,ISTEXT(K136)+ISTEXT(L136)+ISTEXT(R136)+ISTEXT(V136)+ISTEXT(AP136)+ISTEXT(AS136))</f>
        <v>0</v>
      </c>
      <c r="DQ136" s="23" t="n">
        <f aca="false">IF(AY136=1,IF(H136&lt;&gt;INT(H136),1,0),0)</f>
        <v>0</v>
      </c>
      <c r="DR136" s="23" t="str">
        <f aca="false">IF(TRIM($A136)="","",IF(TRIM(B136)="",SUBSTITUTE(SUBSTITUTE(SUBSTITUTE(SUBSTITUTE(SUBSTITUTE(SUBSTITUTE(LOWER(TRIM($A136)),"~",""),"*",""),"?",""),"&lt;",""),"&gt;",""),"=",""),SUBSTITUTE(SUBSTITUTE(SUBSTITUTE(SUBSTITUTE(SUBSTITUTE(SUBSTITUTE(LOWER(TRIM(B136)),"~",""),"*",""),"?",""),"&lt;",""),"&gt;",""),"=","")))</f>
        <v/>
      </c>
      <c r="DS136" s="23" t="str">
        <f aca="false">IF(CM136="","",IFERROR(IF(LEFT(LOWER(TRIM(INDEX(Clay_Brands!$A$2:$FZ$601,CM136,Sync!$D$19)&amp;"")),4)="grp-",SUBSTITUTE(SUBSTITUTE(SUBSTITUTE(SUBSTITUTE(SUBSTITUTE(SUBSTITUTE(LOWER(TRIM(INDEX(Clay_Brands!$A$2:$FZ$601,CM136,Sync!$D$19)&amp;"")),"~",""),"*",""),"?",""),"&lt;",""),"&gt;",""),"=",""),""),""))</f>
        <v/>
      </c>
      <c r="DT136" s="23" t="str">
        <f aca="false">IF(DS136&lt;&gt;"",DR136,"")</f>
        <v/>
      </c>
      <c r="DU136" s="23" t="str">
        <f aca="false">IF(AZ136=1,AW136,"")</f>
        <v/>
      </c>
      <c r="DV136" s="23" t="str">
        <f aca="false">IF(TRIM($A136)="","",IFERROR(INDEX($A$2:$A$201,MATCH(AW136,$DU$2:$DU$201,0))&amp;"",$A136&amp;""))</f>
        <v/>
      </c>
      <c r="DW136" s="23" t="n">
        <f aca="false">IF(AY136=1,IF(COUNTIFS($A$2:$A$201,$A136,$AY$2:$AY$201,1,$H$2:$H$201,"&lt;"&amp;H136)+COUNTIFS($A$2:$A$201,$A136,$AY$2:$AY$201,1,$H$2:$H$201,H136,$AX$2:$AX$201,"&lt;"&amp;AX136)=0,1,0),0)</f>
        <v>0</v>
      </c>
      <c r="DX136" s="23" t="n">
        <f aca="false">IF(AZ136=1,IF(COUNTIFS($AW$2:$AW$201,AW136,$DW$2:$DW$201,1)&gt;1,1,0),0)</f>
        <v>0</v>
      </c>
    </row>
    <row r="137" customFormat="false" ht="15" hidden="false" customHeight="false" outlineLevel="0" collapsed="false">
      <c r="G137" s="32"/>
      <c r="H137" s="33"/>
      <c r="I137" s="32"/>
      <c r="O137" s="32"/>
      <c r="P137" s="32"/>
      <c r="U137" s="32"/>
      <c r="Y137" s="32"/>
      <c r="AB137" s="32"/>
      <c r="AC137" s="32"/>
      <c r="AD137" s="32"/>
      <c r="AE137" s="32"/>
      <c r="AF137" s="32"/>
      <c r="AG137" s="32"/>
      <c r="AI137" s="32"/>
      <c r="AJ137" s="32"/>
      <c r="AK137" s="32"/>
      <c r="AN137" s="32"/>
      <c r="AO137" s="32"/>
      <c r="AR137" s="32"/>
      <c r="AT137" s="32"/>
      <c r="AV137" s="34" t="str">
        <f aca="false">IF(TRIM($A137)="","",IF(AND(LEFT($A137,6)="SAMPLE",Config!$B$19&lt;&gt;"Y"),"",IF(NOT(ISNUMBER(H137)),"call_date is blank or not a date",IF(Sync!$D$5="","Clay paste is empty or has no row_id column: paste the Clay export on Clay_Brands",IF(CM137="","row_id not found in the Clay paste: add the Clay row or fix the row_id",IF(AND(ISNUMBER(CO137),CO137&gt;=1,CO137&lt;=5),"Clay status is "&amp;CN137&amp;": set call_done or later",IF(AND(BA137=1,CP137&lt;&gt;CB137),"Clay yes_in_principle should be "&amp;CB137,IF(AND(BA137=1,CQ137&lt;&gt;H137),"Clay call_date should be "&amp;TEXT(H137,"yyyy-mm-dd"),""))))))))</f>
        <v/>
      </c>
      <c r="AW137" s="23" t="str">
        <f aca="false">IF(TRIM($A137)="","",IF(TRIM(C137)&lt;&gt;"",SUBSTITUTE(SUBSTITUTE(SUBSTITUTE(SUBSTITUTE(SUBSTITUTE(SUBSTITUTE(LOWER(TRIM(C137)),"~",""),"*",""),"?",""),"&lt;",""),"&gt;",""),"=",""),IF(DS137&lt;&gt;"",DS137,IFERROR(INDEX($DS$2:$DS$201,MATCH(DR137,$DT$2:$DT$201,0)),DR137))))</f>
        <v/>
      </c>
      <c r="AX137" s="23" t="n">
        <f aca="false">ROW()</f>
        <v>137</v>
      </c>
      <c r="AY137" s="23" t="n">
        <f aca="false">IF(AND(TRIM($A137)&lt;&gt;"",ISNUMBER(H137)),IF(AND(LEFT($A137,6)="SAMPLE",Config!$B$19&lt;&gt;"Y"),0,1),0)</f>
        <v>0</v>
      </c>
      <c r="AZ137" s="23" t="n">
        <f aca="false">IF(AY137=1,IF(COUNTIFS($AW$2:$AW$201,AW137,$AY$2:$AY$201,1,$H$2:$H$201,"&lt;"&amp;H137)+COUNTIFS($AW$2:$AW$201,AW137,$AY$2:$AY$201,1,$H$2:$H$201,H137,$AX$2:$AX$201,"&lt;"&amp;AX137)=0,1,0),0)</f>
        <v>0</v>
      </c>
      <c r="BA137" s="23" t="n">
        <f aca="false">IF(AY137=1,IF(COUNTIFS($A$2:$A$201,$A137,$AY$2:$AY$201,1,$H$2:$H$201,"&gt;"&amp;H137)+COUNTIFS($A$2:$A$201,$A137,$AY$2:$AY$201,1,$H$2:$H$201,H137,$AX$2:$AX$201,"&gt;"&amp;AX137)=0,1,0),0)</f>
        <v>0</v>
      </c>
      <c r="BB137" s="23" t="n">
        <f aca="false">IF(AND(AY137=1,O137="Y",MAX(N(R137),N(V137))&gt;=Config!$B$14),1,0)</f>
        <v>0</v>
      </c>
      <c r="BC137" s="23" t="n">
        <f aca="false">IF(BB137=1,IF(COUNTIFS($AW$2:$AW$201,AW137,$BB$2:$BB$201,1,$H$2:$H$201,"&lt;"&amp;H137)+COUNTIFS($AW$2:$AW$201,AW137,$BB$2:$BB$201,1,$H$2:$H$201,H137,$AX$2:$AX$201,"&lt;"&amp;AX137)=0,1,0),0)</f>
        <v>0</v>
      </c>
      <c r="BD137" s="23" t="n">
        <f aca="false">IF(AND(AY137=1,O137="Y",ISNUMBER(R137)),IF(R137&gt;=Config!$B$14,1,0),0)</f>
        <v>0</v>
      </c>
      <c r="BE137" s="23" t="n">
        <f aca="false">IF(BD137=1,IF(COUNTIFS($AW$2:$AW$201,AW137,$BD$2:$BD$201,1,$H$2:$H$201,"&lt;"&amp;H137)+COUNTIFS($AW$2:$AW$201,AW137,$BD$2:$BD$201,1,$H$2:$H$201,H137,$AX$2:$AX$201,"&lt;"&amp;AX137)=0,1,0),0)</f>
        <v>0</v>
      </c>
      <c r="BF137" s="23" t="n">
        <f aca="false">IF(AND(AY137=1,O137&lt;&gt;"Y",MAX(N(R137),N(V137))&gt;=Config!$B$14),1,0)</f>
        <v>0</v>
      </c>
      <c r="BG137" s="23" t="n">
        <f aca="false">IF(BF137=1,IF(COUNTIFS($AW$2:$AW$201,AW137,$BF$2:$BF$201,1,$H$2:$H$201,"&lt;"&amp;H137)+COUNTIFS($AW$2:$AW$201,AW137,$BF$2:$BF$201,1,$H$2:$H$201,H137,$AX$2:$AX$201,"&lt;"&amp;AX137)=0,1,0),0)</f>
        <v>0</v>
      </c>
      <c r="BH137" s="23" t="n">
        <f aca="false">IF(AND(AY137=1,ISNUMBER(R137)),1,0)</f>
        <v>0</v>
      </c>
      <c r="BI137" s="23" t="n">
        <f aca="false">IF(BH137=1,IF(COUNTIFS($AW$2:$AW$201,AW137,$BH$2:$BH$201,1,$H$2:$H$201,"&lt;"&amp;H137)+COUNTIFS($AW$2:$AW$201,AW137,$BH$2:$BH$201,1,$H$2:$H$201,H137,$AX$2:$AX$201,"&lt;"&amp;AX137)=0,1,0),0)</f>
        <v>0</v>
      </c>
      <c r="BJ137" s="23" t="str">
        <f aca="false">IF(AND(BI137=1,INT(N(H137))&lt;=Config!$B$6),R137,"")</f>
        <v/>
      </c>
      <c r="BK137" s="23" t="str">
        <f aca="false">IF(AND(BI137=1,INT(N(H137))&lt;=Config!$B$7),R137,"")</f>
        <v/>
      </c>
      <c r="BL137" s="23" t="str">
        <f aca="false">IF(AND(BI137=1,INT(N(H137))&lt;=Config!$B$8),R137,"")</f>
        <v/>
      </c>
      <c r="BM137" s="23" t="str">
        <f aca="false">IF(AND(BI137=1,INT(N(H137))&lt;=Config!$B$5),R137,"")</f>
        <v/>
      </c>
      <c r="BN137" s="23" t="n">
        <f aca="false">IF(AND(AY137=1,ISNUMBER(V137)),1,0)</f>
        <v>0</v>
      </c>
      <c r="BO137" s="23" t="n">
        <f aca="false">IF(BN137=1,IF(COUNTIFS($AW$2:$AW$201,AW137,$BN$2:$BN$201,1,$H$2:$H$201,"&lt;"&amp;H137)+COUNTIFS($AW$2:$AW$201,AW137,$BN$2:$BN$201,1,$H$2:$H$201,H137,$AX$2:$AX$201,"&lt;"&amp;AX137)=0,1,0),0)</f>
        <v>0</v>
      </c>
      <c r="BP137" s="23" t="str">
        <f aca="false">IF(AND(BO137=1,INT(N(H137))&lt;=Config!$B$6),V137,"")</f>
        <v/>
      </c>
      <c r="BQ137" s="23" t="str">
        <f aca="false">IF(AND(BO137=1,INT(N(H137))&lt;=Config!$B$7),V137,"")</f>
        <v/>
      </c>
      <c r="BR137" s="23" t="str">
        <f aca="false">IF(AND(BO137=1,INT(N(H137))&lt;=Config!$B$8),V137,"")</f>
        <v/>
      </c>
      <c r="BS137" s="23" t="str">
        <f aca="false">IF(AND(BO137=1,INT(N(H137))&lt;=Config!$B$5),V137,"")</f>
        <v/>
      </c>
      <c r="BT137" s="23" t="n">
        <f aca="false">IF(AND(AY137=1,ISNUMBER(K137)),1,0)</f>
        <v>0</v>
      </c>
      <c r="BU137" s="23" t="n">
        <f aca="false">IF(BT137=1,IF(COUNTIFS($AW$2:$AW$201,AW137,$BT$2:$BT$201,1,$H$2:$H$201,"&lt;"&amp;H137)+COUNTIFS($AW$2:$AW$201,AW137,$BT$2:$BT$201,1,$H$2:$H$201,H137,$AX$2:$AX$201,"&lt;"&amp;AX137)=0,1,0),0)</f>
        <v>0</v>
      </c>
      <c r="BV137" s="23" t="str">
        <f aca="false">IF(AND(BU137=1,INT(N(H137))&lt;=Config!$B$5),K137,"")</f>
        <v/>
      </c>
      <c r="BW137" s="23" t="n">
        <f aca="false">IF(AND(AY137=1,OR(AND(ISNUMBER(R137),TRIM(S137)=""),AND(ISNUMBER(V137),TRIM(W137)=""))),1,0)</f>
        <v>0</v>
      </c>
      <c r="BX137" s="23" t="str">
        <f aca="false">IF(AY137=1,AJ137&amp;"","")</f>
        <v/>
      </c>
      <c r="BY137" s="23" t="str">
        <f aca="false">IF(AY137=1,AK137&amp;"","")</f>
        <v/>
      </c>
      <c r="BZ137" s="23" t="str">
        <f aca="false">IF(AY137=1,AL137&amp;"","")</f>
        <v/>
      </c>
      <c r="CA137" s="23" t="str">
        <f aca="false">IF(AND(AY137=1,ISNUMBER(AS137),INT(N(H137))&lt;=Config!$B$5),AS137,"")</f>
        <v/>
      </c>
      <c r="CB137" s="23" t="str">
        <f aca="false">IF(AY137=1,IF(COUNTIFS($A$2:$A$201,$A137,$CU$2:$CU$201,1,$AN$2:$AN$201,"Y")&gt;0,"Y","N"),"")</f>
        <v/>
      </c>
      <c r="CC137" s="23" t="n">
        <f aca="false">IF(AND(AY137=1,AN137="Y"),IF(COUNTIFS($AW$2:$AW$201,AW137,$AN$2:$AN$201,"Y",$AY$2:$AY$201,1,$H$2:$H$201,"&lt;"&amp;H137)+COUNTIFS($AW$2:$AW$201,AW137,$AN$2:$AN$201,"Y",$AY$2:$AY$201,1,$H$2:$H$201,H137,$AX$2:$AX$201,"&lt;"&amp;AX137)=0,1,0),0)</f>
        <v>0</v>
      </c>
      <c r="CD137" s="23" t="n">
        <f aca="false">IF(AND(AY137=1,AB137="Y",AC137="Y",AD137="Y",AE137="Y",AF137="Y",AG137="Y",AI137="Y",TRIM(AH137)&lt;&gt;""),1,0)</f>
        <v>0</v>
      </c>
      <c r="CE137" s="23" t="n">
        <f aca="false">IF(CD137=1,IF(COUNTIFS($AW$2:$AW$201,AW137,$CD$2:$CD$201,1,$H$2:$H$201,"&lt;"&amp;H137)+COUNTIFS($AW$2:$AW$201,AW137,$CD$2:$CD$201,1,$H$2:$H$201,H137,$AX$2:$AX$201,"&lt;"&amp;AX137)=0,1,0),0)</f>
        <v>0</v>
      </c>
      <c r="CF137" s="23" t="n">
        <f aca="false">IF(AND(AY137=1,AO137="Y"),1,0)</f>
        <v>0</v>
      </c>
      <c r="CG137" s="23" t="n">
        <f aca="false">IF(CF137=1,IF(COUNTIFS($AW$2:$AW$201,AW137,$CF$2:$CF$201,1,$H$2:$H$201,"&lt;"&amp;H137)+COUNTIFS($AW$2:$AW$201,AW137,$CF$2:$CF$201,1,$H$2:$H$201,H137,$AX$2:$AX$201,"&lt;"&amp;AX137)=0,1,0),0)</f>
        <v>0</v>
      </c>
      <c r="CH137" s="23" t="n">
        <f aca="false">IF(AND(AY137=1,P137="Y"),1,0)</f>
        <v>0</v>
      </c>
      <c r="CI137" s="23" t="n">
        <f aca="false">IF(CH137=1,IF(COUNTIFS($AW$2:$AW$201,AW137,$CH$2:$CH$201,1,$H$2:$H$201,"&lt;"&amp;H137)+COUNTIFS($AW$2:$AW$201,AW137,$CH$2:$CH$201,1,$H$2:$H$201,H137,$AX$2:$AX$201,"&lt;"&amp;AX137)=0,1,0),0)</f>
        <v>0</v>
      </c>
      <c r="CJ137" s="23" t="str">
        <f aca="false">IF(AND(BU137=1,INT(N(H137))&lt;=Config!$B$5),L137,"")</f>
        <v/>
      </c>
      <c r="CK137" s="23" t="n">
        <f aca="false">IF(AND(AY137=1,AR137="Y"),1,0)</f>
        <v>0</v>
      </c>
      <c r="CL137" s="23" t="n">
        <f aca="false">IF(CK137=1,IF(COUNTIFS($AW$2:$AW$201,AW137,$CK$2:$CK$201,1,$H$2:$H$201,"&lt;"&amp;H137)+COUNTIFS($AW$2:$AW$201,AW137,$CK$2:$CK$201,1,$H$2:$H$201,H137,$AX$2:$AX$201,"&lt;"&amp;AX137)=0,1,0),0)</f>
        <v>0</v>
      </c>
      <c r="CM137" s="23" t="str">
        <f aca="false">IF(AY137=1,IFERROR(MATCH($A137,INDEX(Clay_Brands!$A$2:$FZ$601,0,Sync!$D$5),0),""),"")</f>
        <v/>
      </c>
      <c r="CN137" s="23" t="str">
        <f aca="false">IF(CM137="","",IFERROR(INDEX(Clay_Brands!$A$2:$FZ$601,CM137,Sync!$D$7)&amp;"",""))</f>
        <v/>
      </c>
      <c r="CO137" s="23" t="str">
        <f aca="false">IF(CN137="","",IFERROR(INDEX(Lists!$K$2:$K$15,MATCH(CN137,Lists!$J$2:$J$15,0)),""))</f>
        <v/>
      </c>
      <c r="CP137" s="23" t="str">
        <f aca="false">IF(CM137="","",IFERROR(INDEX(Clay_Brands!$A$2:$FZ$601,CM137,Sync!$D$17)&amp;"",""))</f>
        <v/>
      </c>
      <c r="CQ137" s="35" t="str">
        <f aca="false">IF(CM137="","",IFERROR(N(INDEX(Clay_Brands!$A$2:$FZ$601,CM137,Sync!$D$16)),0))</f>
        <v/>
      </c>
      <c r="CR137" s="23" t="n">
        <f aca="false">IF(AND(AY137=1,OR(O137="N",AND(OR(ISNUMBER(R137),ISNUMBER(V137)),MAX(N(R137),N(V137))&lt;Config!$B$14))),1,0)</f>
        <v>0</v>
      </c>
      <c r="CS137" s="23" t="n">
        <f aca="false">IF(OR(BB137=1,CR137=1),1,0)</f>
        <v>0</v>
      </c>
      <c r="CT137" s="23" t="n">
        <f aca="false">IF(AND(AY137=1,OR(AN137="Y",AN137="N",AN137="maybe")),1,0)</f>
        <v>0</v>
      </c>
      <c r="CU137" s="23" t="n">
        <f aca="false">IF(AND(CT137=1),IF(COUNTIFS($A$2:$A$201,$A137,$CT$2:$CT$201,1,$H$2:$H$201,"&gt;"&amp;H137)+COUNTIFS($A$2:$A$201,$A137,$CT$2:$CT$201,1,$H$2:$H$201,H137,$AX$2:$AX$201,"&gt;"&amp;AX137)=0,1,0),0)</f>
        <v>0</v>
      </c>
      <c r="CV137" s="23" t="n">
        <f aca="false">IF(AND(CS137=1,INT(N(H137))&lt;=Config!$B$6),IF(COUNTIFS($AW$2:$AW$201,AW137,$CS$2:$CS$201,1,$H$2:$H$201,"&gt;"&amp;H137,$H$2:$H$201,"&lt;"&amp;(Config!$B$6+1))+COUNTIFS($AW$2:$AW$201,AW137,$CS$2:$CS$201,1,$H$2:$H$201,H137,$AX$2:$AX$201,"&gt;"&amp;AX137)=0,1,0),0)</f>
        <v>0</v>
      </c>
      <c r="CW137" s="23" t="n">
        <f aca="false">IF(AND(CS137=1,INT(N(H137))&lt;=Config!$B$7),IF(COUNTIFS($AW$2:$AW$201,AW137,$CS$2:$CS$201,1,$H$2:$H$201,"&gt;"&amp;H137,$H$2:$H$201,"&lt;"&amp;(Config!$B$7+1))+COUNTIFS($AW$2:$AW$201,AW137,$CS$2:$CS$201,1,$H$2:$H$201,H137,$AX$2:$AX$201,"&gt;"&amp;AX137)=0,1,0),0)</f>
        <v>0</v>
      </c>
      <c r="CX137" s="23" t="n">
        <f aca="false">IF(AND(CS137=1,INT(N(H137))&lt;=Config!$B$8),IF(COUNTIFS($AW$2:$AW$201,AW137,$CS$2:$CS$201,1,$H$2:$H$201,"&gt;"&amp;H137,$H$2:$H$201,"&lt;"&amp;(Config!$B$8+1))+COUNTIFS($AW$2:$AW$201,AW137,$CS$2:$CS$201,1,$H$2:$H$201,H137,$AX$2:$AX$201,"&gt;"&amp;AX137)=0,1,0),0)</f>
        <v>0</v>
      </c>
      <c r="CY137" s="23" t="n">
        <f aca="false">IF(AND(CS137=1,INT(N(H137))&lt;=Config!$B$5),IF(COUNTIFS($AW$2:$AW$201,AW137,$CS$2:$CS$201,1,$H$2:$H$201,"&gt;"&amp;H137,$H$2:$H$201,"&lt;"&amp;(Config!$B$5+1))+COUNTIFS($AW$2:$AW$201,AW137,$CS$2:$CS$201,1,$H$2:$H$201,H137,$AX$2:$AX$201,"&gt;"&amp;AX137)=0,1,0),0)</f>
        <v>0</v>
      </c>
      <c r="CZ137" s="23" t="n">
        <f aca="false">IF(AY137=1,IF(COUNTIFS($AW$2:$AW$201,AW137,$CV$2:$CV$201,1,$BB$2:$BB$201,1)&gt;0,1,0),0)</f>
        <v>0</v>
      </c>
      <c r="DA137" s="23" t="n">
        <f aca="false">IF(AY137=1,IF(COUNTIFS($AW$2:$AW$201,AW137,$CW$2:$CW$201,1,$BB$2:$BB$201,1)&gt;0,1,0),0)</f>
        <v>0</v>
      </c>
      <c r="DB137" s="23" t="n">
        <f aca="false">IF(AY137=1,IF(COUNTIFS($AW$2:$AW$201,AW137,$CX$2:$CX$201,1,$BB$2:$BB$201,1)&gt;0,1,0),0)</f>
        <v>0</v>
      </c>
      <c r="DC137" s="23" t="n">
        <f aca="false">IF(AY137=1,IF(COUNTIFS($AW$2:$AW$201,AW137,$CY$2:$CY$201,1,$BB$2:$BB$201,1)&gt;0,1,0),0)</f>
        <v>0</v>
      </c>
      <c r="DD137" s="23" t="n">
        <f aca="false">IF(AND(BC137=1,INT(N(H137))&lt;=Config!$B$6,CZ137=1),1,0)</f>
        <v>0</v>
      </c>
      <c r="DE137" s="23" t="n">
        <f aca="false">IF(AND(BC137=1,INT(N(H137))&lt;=Config!$B$7,DA137=1),1,0)</f>
        <v>0</v>
      </c>
      <c r="DF137" s="23" t="n">
        <f aca="false">IF(AND(BC137=1,INT(N(H137))&lt;=Config!$B$8,DB137=1),1,0)</f>
        <v>0</v>
      </c>
      <c r="DG137" s="23" t="n">
        <f aca="false">IF(AND(BC137=1,INT(N(H137))&lt;=Config!$B$5,DC137=1),1,0)</f>
        <v>0</v>
      </c>
      <c r="DH137" s="23" t="n">
        <f aca="false">IF(AND(BE137=1,INT(N(H137))&lt;=Config!$B$6,CZ137=1),1,0)</f>
        <v>0</v>
      </c>
      <c r="DI137" s="23" t="n">
        <f aca="false">IF(AND(BE137=1,INT(N(H137))&lt;=Config!$B$7,DA137=1),1,0)</f>
        <v>0</v>
      </c>
      <c r="DJ137" s="23" t="n">
        <f aca="false">IF(AND(BE137=1,INT(N(H137))&lt;=Config!$B$8,DB137=1),1,0)</f>
        <v>0</v>
      </c>
      <c r="DK137" s="23" t="n">
        <f aca="false">IF(AND(BE137=1,INT(N(H137))&lt;=Config!$B$5,DC137=1),1,0)</f>
        <v>0</v>
      </c>
      <c r="DL137" s="23" t="n">
        <f aca="false">IF(AND(BC137=1,INT(N(H137))&lt;=Config!$B$6,CZ137=0),1,0)</f>
        <v>0</v>
      </c>
      <c r="DM137" s="23" t="n">
        <f aca="false">IF(AND(BC137=1,INT(N(H137))&lt;=Config!$B$7,DA137=0),1,0)</f>
        <v>0</v>
      </c>
      <c r="DN137" s="23" t="n">
        <f aca="false">IF(AND(BC137=1,INT(N(H137))&lt;=Config!$B$8,DB137=0),1,0)</f>
        <v>0</v>
      </c>
      <c r="DO137" s="23" t="n">
        <f aca="false">IF(AND(BC137=1,INT(N(H137))&lt;=Config!$B$5,DC137=0),1,0)</f>
        <v>0</v>
      </c>
      <c r="DP137" s="23" t="n">
        <f aca="false">IF(TRIM($A137)="",0,ISTEXT(K137)+ISTEXT(L137)+ISTEXT(R137)+ISTEXT(V137)+ISTEXT(AP137)+ISTEXT(AS137))</f>
        <v>0</v>
      </c>
      <c r="DQ137" s="23" t="n">
        <f aca="false">IF(AY137=1,IF(H137&lt;&gt;INT(H137),1,0),0)</f>
        <v>0</v>
      </c>
      <c r="DR137" s="23" t="str">
        <f aca="false">IF(TRIM($A137)="","",IF(TRIM(B137)="",SUBSTITUTE(SUBSTITUTE(SUBSTITUTE(SUBSTITUTE(SUBSTITUTE(SUBSTITUTE(LOWER(TRIM($A137)),"~",""),"*",""),"?",""),"&lt;",""),"&gt;",""),"=",""),SUBSTITUTE(SUBSTITUTE(SUBSTITUTE(SUBSTITUTE(SUBSTITUTE(SUBSTITUTE(LOWER(TRIM(B137)),"~",""),"*",""),"?",""),"&lt;",""),"&gt;",""),"=","")))</f>
        <v/>
      </c>
      <c r="DS137" s="23" t="str">
        <f aca="false">IF(CM137="","",IFERROR(IF(LEFT(LOWER(TRIM(INDEX(Clay_Brands!$A$2:$FZ$601,CM137,Sync!$D$19)&amp;"")),4)="grp-",SUBSTITUTE(SUBSTITUTE(SUBSTITUTE(SUBSTITUTE(SUBSTITUTE(SUBSTITUTE(LOWER(TRIM(INDEX(Clay_Brands!$A$2:$FZ$601,CM137,Sync!$D$19)&amp;"")),"~",""),"*",""),"?",""),"&lt;",""),"&gt;",""),"=",""),""),""))</f>
        <v/>
      </c>
      <c r="DT137" s="23" t="str">
        <f aca="false">IF(DS137&lt;&gt;"",DR137,"")</f>
        <v/>
      </c>
      <c r="DU137" s="23" t="str">
        <f aca="false">IF(AZ137=1,AW137,"")</f>
        <v/>
      </c>
      <c r="DV137" s="23" t="str">
        <f aca="false">IF(TRIM($A137)="","",IFERROR(INDEX($A$2:$A$201,MATCH(AW137,$DU$2:$DU$201,0))&amp;"",$A137&amp;""))</f>
        <v/>
      </c>
      <c r="DW137" s="23" t="n">
        <f aca="false">IF(AY137=1,IF(COUNTIFS($A$2:$A$201,$A137,$AY$2:$AY$201,1,$H$2:$H$201,"&lt;"&amp;H137)+COUNTIFS($A$2:$A$201,$A137,$AY$2:$AY$201,1,$H$2:$H$201,H137,$AX$2:$AX$201,"&lt;"&amp;AX137)=0,1,0),0)</f>
        <v>0</v>
      </c>
      <c r="DX137" s="23" t="n">
        <f aca="false">IF(AZ137=1,IF(COUNTIFS($AW$2:$AW$201,AW137,$DW$2:$DW$201,1)&gt;1,1,0),0)</f>
        <v>0</v>
      </c>
    </row>
    <row r="138" customFormat="false" ht="15" hidden="false" customHeight="false" outlineLevel="0" collapsed="false">
      <c r="G138" s="32"/>
      <c r="H138" s="33"/>
      <c r="I138" s="32"/>
      <c r="O138" s="32"/>
      <c r="P138" s="32"/>
      <c r="U138" s="32"/>
      <c r="Y138" s="32"/>
      <c r="AB138" s="32"/>
      <c r="AC138" s="32"/>
      <c r="AD138" s="32"/>
      <c r="AE138" s="32"/>
      <c r="AF138" s="32"/>
      <c r="AG138" s="32"/>
      <c r="AI138" s="32"/>
      <c r="AJ138" s="32"/>
      <c r="AK138" s="32"/>
      <c r="AN138" s="32"/>
      <c r="AO138" s="32"/>
      <c r="AR138" s="32"/>
      <c r="AT138" s="32"/>
      <c r="AV138" s="34" t="str">
        <f aca="false">IF(TRIM($A138)="","",IF(AND(LEFT($A138,6)="SAMPLE",Config!$B$19&lt;&gt;"Y"),"",IF(NOT(ISNUMBER(H138)),"call_date is blank or not a date",IF(Sync!$D$5="","Clay paste is empty or has no row_id column: paste the Clay export on Clay_Brands",IF(CM138="","row_id not found in the Clay paste: add the Clay row or fix the row_id",IF(AND(ISNUMBER(CO138),CO138&gt;=1,CO138&lt;=5),"Clay status is "&amp;CN138&amp;": set call_done or later",IF(AND(BA138=1,CP138&lt;&gt;CB138),"Clay yes_in_principle should be "&amp;CB138,IF(AND(BA138=1,CQ138&lt;&gt;H138),"Clay call_date should be "&amp;TEXT(H138,"yyyy-mm-dd"),""))))))))</f>
        <v/>
      </c>
      <c r="AW138" s="23" t="str">
        <f aca="false">IF(TRIM($A138)="","",IF(TRIM(C138)&lt;&gt;"",SUBSTITUTE(SUBSTITUTE(SUBSTITUTE(SUBSTITUTE(SUBSTITUTE(SUBSTITUTE(LOWER(TRIM(C138)),"~",""),"*",""),"?",""),"&lt;",""),"&gt;",""),"=",""),IF(DS138&lt;&gt;"",DS138,IFERROR(INDEX($DS$2:$DS$201,MATCH(DR138,$DT$2:$DT$201,0)),DR138))))</f>
        <v/>
      </c>
      <c r="AX138" s="23" t="n">
        <f aca="false">ROW()</f>
        <v>138</v>
      </c>
      <c r="AY138" s="23" t="n">
        <f aca="false">IF(AND(TRIM($A138)&lt;&gt;"",ISNUMBER(H138)),IF(AND(LEFT($A138,6)="SAMPLE",Config!$B$19&lt;&gt;"Y"),0,1),0)</f>
        <v>0</v>
      </c>
      <c r="AZ138" s="23" t="n">
        <f aca="false">IF(AY138=1,IF(COUNTIFS($AW$2:$AW$201,AW138,$AY$2:$AY$201,1,$H$2:$H$201,"&lt;"&amp;H138)+COUNTIFS($AW$2:$AW$201,AW138,$AY$2:$AY$201,1,$H$2:$H$201,H138,$AX$2:$AX$201,"&lt;"&amp;AX138)=0,1,0),0)</f>
        <v>0</v>
      </c>
      <c r="BA138" s="23" t="n">
        <f aca="false">IF(AY138=1,IF(COUNTIFS($A$2:$A$201,$A138,$AY$2:$AY$201,1,$H$2:$H$201,"&gt;"&amp;H138)+COUNTIFS($A$2:$A$201,$A138,$AY$2:$AY$201,1,$H$2:$H$201,H138,$AX$2:$AX$201,"&gt;"&amp;AX138)=0,1,0),0)</f>
        <v>0</v>
      </c>
      <c r="BB138" s="23" t="n">
        <f aca="false">IF(AND(AY138=1,O138="Y",MAX(N(R138),N(V138))&gt;=Config!$B$14),1,0)</f>
        <v>0</v>
      </c>
      <c r="BC138" s="23" t="n">
        <f aca="false">IF(BB138=1,IF(COUNTIFS($AW$2:$AW$201,AW138,$BB$2:$BB$201,1,$H$2:$H$201,"&lt;"&amp;H138)+COUNTIFS($AW$2:$AW$201,AW138,$BB$2:$BB$201,1,$H$2:$H$201,H138,$AX$2:$AX$201,"&lt;"&amp;AX138)=0,1,0),0)</f>
        <v>0</v>
      </c>
      <c r="BD138" s="23" t="n">
        <f aca="false">IF(AND(AY138=1,O138="Y",ISNUMBER(R138)),IF(R138&gt;=Config!$B$14,1,0),0)</f>
        <v>0</v>
      </c>
      <c r="BE138" s="23" t="n">
        <f aca="false">IF(BD138=1,IF(COUNTIFS($AW$2:$AW$201,AW138,$BD$2:$BD$201,1,$H$2:$H$201,"&lt;"&amp;H138)+COUNTIFS($AW$2:$AW$201,AW138,$BD$2:$BD$201,1,$H$2:$H$201,H138,$AX$2:$AX$201,"&lt;"&amp;AX138)=0,1,0),0)</f>
        <v>0</v>
      </c>
      <c r="BF138" s="23" t="n">
        <f aca="false">IF(AND(AY138=1,O138&lt;&gt;"Y",MAX(N(R138),N(V138))&gt;=Config!$B$14),1,0)</f>
        <v>0</v>
      </c>
      <c r="BG138" s="23" t="n">
        <f aca="false">IF(BF138=1,IF(COUNTIFS($AW$2:$AW$201,AW138,$BF$2:$BF$201,1,$H$2:$H$201,"&lt;"&amp;H138)+COUNTIFS($AW$2:$AW$201,AW138,$BF$2:$BF$201,1,$H$2:$H$201,H138,$AX$2:$AX$201,"&lt;"&amp;AX138)=0,1,0),0)</f>
        <v>0</v>
      </c>
      <c r="BH138" s="23" t="n">
        <f aca="false">IF(AND(AY138=1,ISNUMBER(R138)),1,0)</f>
        <v>0</v>
      </c>
      <c r="BI138" s="23" t="n">
        <f aca="false">IF(BH138=1,IF(COUNTIFS($AW$2:$AW$201,AW138,$BH$2:$BH$201,1,$H$2:$H$201,"&lt;"&amp;H138)+COUNTIFS($AW$2:$AW$201,AW138,$BH$2:$BH$201,1,$H$2:$H$201,H138,$AX$2:$AX$201,"&lt;"&amp;AX138)=0,1,0),0)</f>
        <v>0</v>
      </c>
      <c r="BJ138" s="23" t="str">
        <f aca="false">IF(AND(BI138=1,INT(N(H138))&lt;=Config!$B$6),R138,"")</f>
        <v/>
      </c>
      <c r="BK138" s="23" t="str">
        <f aca="false">IF(AND(BI138=1,INT(N(H138))&lt;=Config!$B$7),R138,"")</f>
        <v/>
      </c>
      <c r="BL138" s="23" t="str">
        <f aca="false">IF(AND(BI138=1,INT(N(H138))&lt;=Config!$B$8),R138,"")</f>
        <v/>
      </c>
      <c r="BM138" s="23" t="str">
        <f aca="false">IF(AND(BI138=1,INT(N(H138))&lt;=Config!$B$5),R138,"")</f>
        <v/>
      </c>
      <c r="BN138" s="23" t="n">
        <f aca="false">IF(AND(AY138=1,ISNUMBER(V138)),1,0)</f>
        <v>0</v>
      </c>
      <c r="BO138" s="23" t="n">
        <f aca="false">IF(BN138=1,IF(COUNTIFS($AW$2:$AW$201,AW138,$BN$2:$BN$201,1,$H$2:$H$201,"&lt;"&amp;H138)+COUNTIFS($AW$2:$AW$201,AW138,$BN$2:$BN$201,1,$H$2:$H$201,H138,$AX$2:$AX$201,"&lt;"&amp;AX138)=0,1,0),0)</f>
        <v>0</v>
      </c>
      <c r="BP138" s="23" t="str">
        <f aca="false">IF(AND(BO138=1,INT(N(H138))&lt;=Config!$B$6),V138,"")</f>
        <v/>
      </c>
      <c r="BQ138" s="23" t="str">
        <f aca="false">IF(AND(BO138=1,INT(N(H138))&lt;=Config!$B$7),V138,"")</f>
        <v/>
      </c>
      <c r="BR138" s="23" t="str">
        <f aca="false">IF(AND(BO138=1,INT(N(H138))&lt;=Config!$B$8),V138,"")</f>
        <v/>
      </c>
      <c r="BS138" s="23" t="str">
        <f aca="false">IF(AND(BO138=1,INT(N(H138))&lt;=Config!$B$5),V138,"")</f>
        <v/>
      </c>
      <c r="BT138" s="23" t="n">
        <f aca="false">IF(AND(AY138=1,ISNUMBER(K138)),1,0)</f>
        <v>0</v>
      </c>
      <c r="BU138" s="23" t="n">
        <f aca="false">IF(BT138=1,IF(COUNTIFS($AW$2:$AW$201,AW138,$BT$2:$BT$201,1,$H$2:$H$201,"&lt;"&amp;H138)+COUNTIFS($AW$2:$AW$201,AW138,$BT$2:$BT$201,1,$H$2:$H$201,H138,$AX$2:$AX$201,"&lt;"&amp;AX138)=0,1,0),0)</f>
        <v>0</v>
      </c>
      <c r="BV138" s="23" t="str">
        <f aca="false">IF(AND(BU138=1,INT(N(H138))&lt;=Config!$B$5),K138,"")</f>
        <v/>
      </c>
      <c r="BW138" s="23" t="n">
        <f aca="false">IF(AND(AY138=1,OR(AND(ISNUMBER(R138),TRIM(S138)=""),AND(ISNUMBER(V138),TRIM(W138)=""))),1,0)</f>
        <v>0</v>
      </c>
      <c r="BX138" s="23" t="str">
        <f aca="false">IF(AY138=1,AJ138&amp;"","")</f>
        <v/>
      </c>
      <c r="BY138" s="23" t="str">
        <f aca="false">IF(AY138=1,AK138&amp;"","")</f>
        <v/>
      </c>
      <c r="BZ138" s="23" t="str">
        <f aca="false">IF(AY138=1,AL138&amp;"","")</f>
        <v/>
      </c>
      <c r="CA138" s="23" t="str">
        <f aca="false">IF(AND(AY138=1,ISNUMBER(AS138),INT(N(H138))&lt;=Config!$B$5),AS138,"")</f>
        <v/>
      </c>
      <c r="CB138" s="23" t="str">
        <f aca="false">IF(AY138=1,IF(COUNTIFS($A$2:$A$201,$A138,$CU$2:$CU$201,1,$AN$2:$AN$201,"Y")&gt;0,"Y","N"),"")</f>
        <v/>
      </c>
      <c r="CC138" s="23" t="n">
        <f aca="false">IF(AND(AY138=1,AN138="Y"),IF(COUNTIFS($AW$2:$AW$201,AW138,$AN$2:$AN$201,"Y",$AY$2:$AY$201,1,$H$2:$H$201,"&lt;"&amp;H138)+COUNTIFS($AW$2:$AW$201,AW138,$AN$2:$AN$201,"Y",$AY$2:$AY$201,1,$H$2:$H$201,H138,$AX$2:$AX$201,"&lt;"&amp;AX138)=0,1,0),0)</f>
        <v>0</v>
      </c>
      <c r="CD138" s="23" t="n">
        <f aca="false">IF(AND(AY138=1,AB138="Y",AC138="Y",AD138="Y",AE138="Y",AF138="Y",AG138="Y",AI138="Y",TRIM(AH138)&lt;&gt;""),1,0)</f>
        <v>0</v>
      </c>
      <c r="CE138" s="23" t="n">
        <f aca="false">IF(CD138=1,IF(COUNTIFS($AW$2:$AW$201,AW138,$CD$2:$CD$201,1,$H$2:$H$201,"&lt;"&amp;H138)+COUNTIFS($AW$2:$AW$201,AW138,$CD$2:$CD$201,1,$H$2:$H$201,H138,$AX$2:$AX$201,"&lt;"&amp;AX138)=0,1,0),0)</f>
        <v>0</v>
      </c>
      <c r="CF138" s="23" t="n">
        <f aca="false">IF(AND(AY138=1,AO138="Y"),1,0)</f>
        <v>0</v>
      </c>
      <c r="CG138" s="23" t="n">
        <f aca="false">IF(CF138=1,IF(COUNTIFS($AW$2:$AW$201,AW138,$CF$2:$CF$201,1,$H$2:$H$201,"&lt;"&amp;H138)+COUNTIFS($AW$2:$AW$201,AW138,$CF$2:$CF$201,1,$H$2:$H$201,H138,$AX$2:$AX$201,"&lt;"&amp;AX138)=0,1,0),0)</f>
        <v>0</v>
      </c>
      <c r="CH138" s="23" t="n">
        <f aca="false">IF(AND(AY138=1,P138="Y"),1,0)</f>
        <v>0</v>
      </c>
      <c r="CI138" s="23" t="n">
        <f aca="false">IF(CH138=1,IF(COUNTIFS($AW$2:$AW$201,AW138,$CH$2:$CH$201,1,$H$2:$H$201,"&lt;"&amp;H138)+COUNTIFS($AW$2:$AW$201,AW138,$CH$2:$CH$201,1,$H$2:$H$201,H138,$AX$2:$AX$201,"&lt;"&amp;AX138)=0,1,0),0)</f>
        <v>0</v>
      </c>
      <c r="CJ138" s="23" t="str">
        <f aca="false">IF(AND(BU138=1,INT(N(H138))&lt;=Config!$B$5),L138,"")</f>
        <v/>
      </c>
      <c r="CK138" s="23" t="n">
        <f aca="false">IF(AND(AY138=1,AR138="Y"),1,0)</f>
        <v>0</v>
      </c>
      <c r="CL138" s="23" t="n">
        <f aca="false">IF(CK138=1,IF(COUNTIFS($AW$2:$AW$201,AW138,$CK$2:$CK$201,1,$H$2:$H$201,"&lt;"&amp;H138)+COUNTIFS($AW$2:$AW$201,AW138,$CK$2:$CK$201,1,$H$2:$H$201,H138,$AX$2:$AX$201,"&lt;"&amp;AX138)=0,1,0),0)</f>
        <v>0</v>
      </c>
      <c r="CM138" s="23" t="str">
        <f aca="false">IF(AY138=1,IFERROR(MATCH($A138,INDEX(Clay_Brands!$A$2:$FZ$601,0,Sync!$D$5),0),""),"")</f>
        <v/>
      </c>
      <c r="CN138" s="23" t="str">
        <f aca="false">IF(CM138="","",IFERROR(INDEX(Clay_Brands!$A$2:$FZ$601,CM138,Sync!$D$7)&amp;"",""))</f>
        <v/>
      </c>
      <c r="CO138" s="23" t="str">
        <f aca="false">IF(CN138="","",IFERROR(INDEX(Lists!$K$2:$K$15,MATCH(CN138,Lists!$J$2:$J$15,0)),""))</f>
        <v/>
      </c>
      <c r="CP138" s="23" t="str">
        <f aca="false">IF(CM138="","",IFERROR(INDEX(Clay_Brands!$A$2:$FZ$601,CM138,Sync!$D$17)&amp;"",""))</f>
        <v/>
      </c>
      <c r="CQ138" s="35" t="str">
        <f aca="false">IF(CM138="","",IFERROR(N(INDEX(Clay_Brands!$A$2:$FZ$601,CM138,Sync!$D$16)),0))</f>
        <v/>
      </c>
      <c r="CR138" s="23" t="n">
        <f aca="false">IF(AND(AY138=1,OR(O138="N",AND(OR(ISNUMBER(R138),ISNUMBER(V138)),MAX(N(R138),N(V138))&lt;Config!$B$14))),1,0)</f>
        <v>0</v>
      </c>
      <c r="CS138" s="23" t="n">
        <f aca="false">IF(OR(BB138=1,CR138=1),1,0)</f>
        <v>0</v>
      </c>
      <c r="CT138" s="23" t="n">
        <f aca="false">IF(AND(AY138=1,OR(AN138="Y",AN138="N",AN138="maybe")),1,0)</f>
        <v>0</v>
      </c>
      <c r="CU138" s="23" t="n">
        <f aca="false">IF(AND(CT138=1),IF(COUNTIFS($A$2:$A$201,$A138,$CT$2:$CT$201,1,$H$2:$H$201,"&gt;"&amp;H138)+COUNTIFS($A$2:$A$201,$A138,$CT$2:$CT$201,1,$H$2:$H$201,H138,$AX$2:$AX$201,"&gt;"&amp;AX138)=0,1,0),0)</f>
        <v>0</v>
      </c>
      <c r="CV138" s="23" t="n">
        <f aca="false">IF(AND(CS138=1,INT(N(H138))&lt;=Config!$B$6),IF(COUNTIFS($AW$2:$AW$201,AW138,$CS$2:$CS$201,1,$H$2:$H$201,"&gt;"&amp;H138,$H$2:$H$201,"&lt;"&amp;(Config!$B$6+1))+COUNTIFS($AW$2:$AW$201,AW138,$CS$2:$CS$201,1,$H$2:$H$201,H138,$AX$2:$AX$201,"&gt;"&amp;AX138)=0,1,0),0)</f>
        <v>0</v>
      </c>
      <c r="CW138" s="23" t="n">
        <f aca="false">IF(AND(CS138=1,INT(N(H138))&lt;=Config!$B$7),IF(COUNTIFS($AW$2:$AW$201,AW138,$CS$2:$CS$201,1,$H$2:$H$201,"&gt;"&amp;H138,$H$2:$H$201,"&lt;"&amp;(Config!$B$7+1))+COUNTIFS($AW$2:$AW$201,AW138,$CS$2:$CS$201,1,$H$2:$H$201,H138,$AX$2:$AX$201,"&gt;"&amp;AX138)=0,1,0),0)</f>
        <v>0</v>
      </c>
      <c r="CX138" s="23" t="n">
        <f aca="false">IF(AND(CS138=1,INT(N(H138))&lt;=Config!$B$8),IF(COUNTIFS($AW$2:$AW$201,AW138,$CS$2:$CS$201,1,$H$2:$H$201,"&gt;"&amp;H138,$H$2:$H$201,"&lt;"&amp;(Config!$B$8+1))+COUNTIFS($AW$2:$AW$201,AW138,$CS$2:$CS$201,1,$H$2:$H$201,H138,$AX$2:$AX$201,"&gt;"&amp;AX138)=0,1,0),0)</f>
        <v>0</v>
      </c>
      <c r="CY138" s="23" t="n">
        <f aca="false">IF(AND(CS138=1,INT(N(H138))&lt;=Config!$B$5),IF(COUNTIFS($AW$2:$AW$201,AW138,$CS$2:$CS$201,1,$H$2:$H$201,"&gt;"&amp;H138,$H$2:$H$201,"&lt;"&amp;(Config!$B$5+1))+COUNTIFS($AW$2:$AW$201,AW138,$CS$2:$CS$201,1,$H$2:$H$201,H138,$AX$2:$AX$201,"&gt;"&amp;AX138)=0,1,0),0)</f>
        <v>0</v>
      </c>
      <c r="CZ138" s="23" t="n">
        <f aca="false">IF(AY138=1,IF(COUNTIFS($AW$2:$AW$201,AW138,$CV$2:$CV$201,1,$BB$2:$BB$201,1)&gt;0,1,0),0)</f>
        <v>0</v>
      </c>
      <c r="DA138" s="23" t="n">
        <f aca="false">IF(AY138=1,IF(COUNTIFS($AW$2:$AW$201,AW138,$CW$2:$CW$201,1,$BB$2:$BB$201,1)&gt;0,1,0),0)</f>
        <v>0</v>
      </c>
      <c r="DB138" s="23" t="n">
        <f aca="false">IF(AY138=1,IF(COUNTIFS($AW$2:$AW$201,AW138,$CX$2:$CX$201,1,$BB$2:$BB$201,1)&gt;0,1,0),0)</f>
        <v>0</v>
      </c>
      <c r="DC138" s="23" t="n">
        <f aca="false">IF(AY138=1,IF(COUNTIFS($AW$2:$AW$201,AW138,$CY$2:$CY$201,1,$BB$2:$BB$201,1)&gt;0,1,0),0)</f>
        <v>0</v>
      </c>
      <c r="DD138" s="23" t="n">
        <f aca="false">IF(AND(BC138=1,INT(N(H138))&lt;=Config!$B$6,CZ138=1),1,0)</f>
        <v>0</v>
      </c>
      <c r="DE138" s="23" t="n">
        <f aca="false">IF(AND(BC138=1,INT(N(H138))&lt;=Config!$B$7,DA138=1),1,0)</f>
        <v>0</v>
      </c>
      <c r="DF138" s="23" t="n">
        <f aca="false">IF(AND(BC138=1,INT(N(H138))&lt;=Config!$B$8,DB138=1),1,0)</f>
        <v>0</v>
      </c>
      <c r="DG138" s="23" t="n">
        <f aca="false">IF(AND(BC138=1,INT(N(H138))&lt;=Config!$B$5,DC138=1),1,0)</f>
        <v>0</v>
      </c>
      <c r="DH138" s="23" t="n">
        <f aca="false">IF(AND(BE138=1,INT(N(H138))&lt;=Config!$B$6,CZ138=1),1,0)</f>
        <v>0</v>
      </c>
      <c r="DI138" s="23" t="n">
        <f aca="false">IF(AND(BE138=1,INT(N(H138))&lt;=Config!$B$7,DA138=1),1,0)</f>
        <v>0</v>
      </c>
      <c r="DJ138" s="23" t="n">
        <f aca="false">IF(AND(BE138=1,INT(N(H138))&lt;=Config!$B$8,DB138=1),1,0)</f>
        <v>0</v>
      </c>
      <c r="DK138" s="23" t="n">
        <f aca="false">IF(AND(BE138=1,INT(N(H138))&lt;=Config!$B$5,DC138=1),1,0)</f>
        <v>0</v>
      </c>
      <c r="DL138" s="23" t="n">
        <f aca="false">IF(AND(BC138=1,INT(N(H138))&lt;=Config!$B$6,CZ138=0),1,0)</f>
        <v>0</v>
      </c>
      <c r="DM138" s="23" t="n">
        <f aca="false">IF(AND(BC138=1,INT(N(H138))&lt;=Config!$B$7,DA138=0),1,0)</f>
        <v>0</v>
      </c>
      <c r="DN138" s="23" t="n">
        <f aca="false">IF(AND(BC138=1,INT(N(H138))&lt;=Config!$B$8,DB138=0),1,0)</f>
        <v>0</v>
      </c>
      <c r="DO138" s="23" t="n">
        <f aca="false">IF(AND(BC138=1,INT(N(H138))&lt;=Config!$B$5,DC138=0),1,0)</f>
        <v>0</v>
      </c>
      <c r="DP138" s="23" t="n">
        <f aca="false">IF(TRIM($A138)="",0,ISTEXT(K138)+ISTEXT(L138)+ISTEXT(R138)+ISTEXT(V138)+ISTEXT(AP138)+ISTEXT(AS138))</f>
        <v>0</v>
      </c>
      <c r="DQ138" s="23" t="n">
        <f aca="false">IF(AY138=1,IF(H138&lt;&gt;INT(H138),1,0),0)</f>
        <v>0</v>
      </c>
      <c r="DR138" s="23" t="str">
        <f aca="false">IF(TRIM($A138)="","",IF(TRIM(B138)="",SUBSTITUTE(SUBSTITUTE(SUBSTITUTE(SUBSTITUTE(SUBSTITUTE(SUBSTITUTE(LOWER(TRIM($A138)),"~",""),"*",""),"?",""),"&lt;",""),"&gt;",""),"=",""),SUBSTITUTE(SUBSTITUTE(SUBSTITUTE(SUBSTITUTE(SUBSTITUTE(SUBSTITUTE(LOWER(TRIM(B138)),"~",""),"*",""),"?",""),"&lt;",""),"&gt;",""),"=","")))</f>
        <v/>
      </c>
      <c r="DS138" s="23" t="str">
        <f aca="false">IF(CM138="","",IFERROR(IF(LEFT(LOWER(TRIM(INDEX(Clay_Brands!$A$2:$FZ$601,CM138,Sync!$D$19)&amp;"")),4)="grp-",SUBSTITUTE(SUBSTITUTE(SUBSTITUTE(SUBSTITUTE(SUBSTITUTE(SUBSTITUTE(LOWER(TRIM(INDEX(Clay_Brands!$A$2:$FZ$601,CM138,Sync!$D$19)&amp;"")),"~",""),"*",""),"?",""),"&lt;",""),"&gt;",""),"=",""),""),""))</f>
        <v/>
      </c>
      <c r="DT138" s="23" t="str">
        <f aca="false">IF(DS138&lt;&gt;"",DR138,"")</f>
        <v/>
      </c>
      <c r="DU138" s="23" t="str">
        <f aca="false">IF(AZ138=1,AW138,"")</f>
        <v/>
      </c>
      <c r="DV138" s="23" t="str">
        <f aca="false">IF(TRIM($A138)="","",IFERROR(INDEX($A$2:$A$201,MATCH(AW138,$DU$2:$DU$201,0))&amp;"",$A138&amp;""))</f>
        <v/>
      </c>
      <c r="DW138" s="23" t="n">
        <f aca="false">IF(AY138=1,IF(COUNTIFS($A$2:$A$201,$A138,$AY$2:$AY$201,1,$H$2:$H$201,"&lt;"&amp;H138)+COUNTIFS($A$2:$A$201,$A138,$AY$2:$AY$201,1,$H$2:$H$201,H138,$AX$2:$AX$201,"&lt;"&amp;AX138)=0,1,0),0)</f>
        <v>0</v>
      </c>
      <c r="DX138" s="23" t="n">
        <f aca="false">IF(AZ138=1,IF(COUNTIFS($AW$2:$AW$201,AW138,$DW$2:$DW$201,1)&gt;1,1,0),0)</f>
        <v>0</v>
      </c>
    </row>
    <row r="139" customFormat="false" ht="15" hidden="false" customHeight="false" outlineLevel="0" collapsed="false">
      <c r="G139" s="32"/>
      <c r="H139" s="33"/>
      <c r="I139" s="32"/>
      <c r="O139" s="32"/>
      <c r="P139" s="32"/>
      <c r="U139" s="32"/>
      <c r="Y139" s="32"/>
      <c r="AB139" s="32"/>
      <c r="AC139" s="32"/>
      <c r="AD139" s="32"/>
      <c r="AE139" s="32"/>
      <c r="AF139" s="32"/>
      <c r="AG139" s="32"/>
      <c r="AI139" s="32"/>
      <c r="AJ139" s="32"/>
      <c r="AK139" s="32"/>
      <c r="AN139" s="32"/>
      <c r="AO139" s="32"/>
      <c r="AR139" s="32"/>
      <c r="AT139" s="32"/>
      <c r="AV139" s="34" t="str">
        <f aca="false">IF(TRIM($A139)="","",IF(AND(LEFT($A139,6)="SAMPLE",Config!$B$19&lt;&gt;"Y"),"",IF(NOT(ISNUMBER(H139)),"call_date is blank or not a date",IF(Sync!$D$5="","Clay paste is empty or has no row_id column: paste the Clay export on Clay_Brands",IF(CM139="","row_id not found in the Clay paste: add the Clay row or fix the row_id",IF(AND(ISNUMBER(CO139),CO139&gt;=1,CO139&lt;=5),"Clay status is "&amp;CN139&amp;": set call_done or later",IF(AND(BA139=1,CP139&lt;&gt;CB139),"Clay yes_in_principle should be "&amp;CB139,IF(AND(BA139=1,CQ139&lt;&gt;H139),"Clay call_date should be "&amp;TEXT(H139,"yyyy-mm-dd"),""))))))))</f>
        <v/>
      </c>
      <c r="AW139" s="23" t="str">
        <f aca="false">IF(TRIM($A139)="","",IF(TRIM(C139)&lt;&gt;"",SUBSTITUTE(SUBSTITUTE(SUBSTITUTE(SUBSTITUTE(SUBSTITUTE(SUBSTITUTE(LOWER(TRIM(C139)),"~",""),"*",""),"?",""),"&lt;",""),"&gt;",""),"=",""),IF(DS139&lt;&gt;"",DS139,IFERROR(INDEX($DS$2:$DS$201,MATCH(DR139,$DT$2:$DT$201,0)),DR139))))</f>
        <v/>
      </c>
      <c r="AX139" s="23" t="n">
        <f aca="false">ROW()</f>
        <v>139</v>
      </c>
      <c r="AY139" s="23" t="n">
        <f aca="false">IF(AND(TRIM($A139)&lt;&gt;"",ISNUMBER(H139)),IF(AND(LEFT($A139,6)="SAMPLE",Config!$B$19&lt;&gt;"Y"),0,1),0)</f>
        <v>0</v>
      </c>
      <c r="AZ139" s="23" t="n">
        <f aca="false">IF(AY139=1,IF(COUNTIFS($AW$2:$AW$201,AW139,$AY$2:$AY$201,1,$H$2:$H$201,"&lt;"&amp;H139)+COUNTIFS($AW$2:$AW$201,AW139,$AY$2:$AY$201,1,$H$2:$H$201,H139,$AX$2:$AX$201,"&lt;"&amp;AX139)=0,1,0),0)</f>
        <v>0</v>
      </c>
      <c r="BA139" s="23" t="n">
        <f aca="false">IF(AY139=1,IF(COUNTIFS($A$2:$A$201,$A139,$AY$2:$AY$201,1,$H$2:$H$201,"&gt;"&amp;H139)+COUNTIFS($A$2:$A$201,$A139,$AY$2:$AY$201,1,$H$2:$H$201,H139,$AX$2:$AX$201,"&gt;"&amp;AX139)=0,1,0),0)</f>
        <v>0</v>
      </c>
      <c r="BB139" s="23" t="n">
        <f aca="false">IF(AND(AY139=1,O139="Y",MAX(N(R139),N(V139))&gt;=Config!$B$14),1,0)</f>
        <v>0</v>
      </c>
      <c r="BC139" s="23" t="n">
        <f aca="false">IF(BB139=1,IF(COUNTIFS($AW$2:$AW$201,AW139,$BB$2:$BB$201,1,$H$2:$H$201,"&lt;"&amp;H139)+COUNTIFS($AW$2:$AW$201,AW139,$BB$2:$BB$201,1,$H$2:$H$201,H139,$AX$2:$AX$201,"&lt;"&amp;AX139)=0,1,0),0)</f>
        <v>0</v>
      </c>
      <c r="BD139" s="23" t="n">
        <f aca="false">IF(AND(AY139=1,O139="Y",ISNUMBER(R139)),IF(R139&gt;=Config!$B$14,1,0),0)</f>
        <v>0</v>
      </c>
      <c r="BE139" s="23" t="n">
        <f aca="false">IF(BD139=1,IF(COUNTIFS($AW$2:$AW$201,AW139,$BD$2:$BD$201,1,$H$2:$H$201,"&lt;"&amp;H139)+COUNTIFS($AW$2:$AW$201,AW139,$BD$2:$BD$201,1,$H$2:$H$201,H139,$AX$2:$AX$201,"&lt;"&amp;AX139)=0,1,0),0)</f>
        <v>0</v>
      </c>
      <c r="BF139" s="23" t="n">
        <f aca="false">IF(AND(AY139=1,O139&lt;&gt;"Y",MAX(N(R139),N(V139))&gt;=Config!$B$14),1,0)</f>
        <v>0</v>
      </c>
      <c r="BG139" s="23" t="n">
        <f aca="false">IF(BF139=1,IF(COUNTIFS($AW$2:$AW$201,AW139,$BF$2:$BF$201,1,$H$2:$H$201,"&lt;"&amp;H139)+COUNTIFS($AW$2:$AW$201,AW139,$BF$2:$BF$201,1,$H$2:$H$201,H139,$AX$2:$AX$201,"&lt;"&amp;AX139)=0,1,0),0)</f>
        <v>0</v>
      </c>
      <c r="BH139" s="23" t="n">
        <f aca="false">IF(AND(AY139=1,ISNUMBER(R139)),1,0)</f>
        <v>0</v>
      </c>
      <c r="BI139" s="23" t="n">
        <f aca="false">IF(BH139=1,IF(COUNTIFS($AW$2:$AW$201,AW139,$BH$2:$BH$201,1,$H$2:$H$201,"&lt;"&amp;H139)+COUNTIFS($AW$2:$AW$201,AW139,$BH$2:$BH$201,1,$H$2:$H$201,H139,$AX$2:$AX$201,"&lt;"&amp;AX139)=0,1,0),0)</f>
        <v>0</v>
      </c>
      <c r="BJ139" s="23" t="str">
        <f aca="false">IF(AND(BI139=1,INT(N(H139))&lt;=Config!$B$6),R139,"")</f>
        <v/>
      </c>
      <c r="BK139" s="23" t="str">
        <f aca="false">IF(AND(BI139=1,INT(N(H139))&lt;=Config!$B$7),R139,"")</f>
        <v/>
      </c>
      <c r="BL139" s="23" t="str">
        <f aca="false">IF(AND(BI139=1,INT(N(H139))&lt;=Config!$B$8),R139,"")</f>
        <v/>
      </c>
      <c r="BM139" s="23" t="str">
        <f aca="false">IF(AND(BI139=1,INT(N(H139))&lt;=Config!$B$5),R139,"")</f>
        <v/>
      </c>
      <c r="BN139" s="23" t="n">
        <f aca="false">IF(AND(AY139=1,ISNUMBER(V139)),1,0)</f>
        <v>0</v>
      </c>
      <c r="BO139" s="23" t="n">
        <f aca="false">IF(BN139=1,IF(COUNTIFS($AW$2:$AW$201,AW139,$BN$2:$BN$201,1,$H$2:$H$201,"&lt;"&amp;H139)+COUNTIFS($AW$2:$AW$201,AW139,$BN$2:$BN$201,1,$H$2:$H$201,H139,$AX$2:$AX$201,"&lt;"&amp;AX139)=0,1,0),0)</f>
        <v>0</v>
      </c>
      <c r="BP139" s="23" t="str">
        <f aca="false">IF(AND(BO139=1,INT(N(H139))&lt;=Config!$B$6),V139,"")</f>
        <v/>
      </c>
      <c r="BQ139" s="23" t="str">
        <f aca="false">IF(AND(BO139=1,INT(N(H139))&lt;=Config!$B$7),V139,"")</f>
        <v/>
      </c>
      <c r="BR139" s="23" t="str">
        <f aca="false">IF(AND(BO139=1,INT(N(H139))&lt;=Config!$B$8),V139,"")</f>
        <v/>
      </c>
      <c r="BS139" s="23" t="str">
        <f aca="false">IF(AND(BO139=1,INT(N(H139))&lt;=Config!$B$5),V139,"")</f>
        <v/>
      </c>
      <c r="BT139" s="23" t="n">
        <f aca="false">IF(AND(AY139=1,ISNUMBER(K139)),1,0)</f>
        <v>0</v>
      </c>
      <c r="BU139" s="23" t="n">
        <f aca="false">IF(BT139=1,IF(COUNTIFS($AW$2:$AW$201,AW139,$BT$2:$BT$201,1,$H$2:$H$201,"&lt;"&amp;H139)+COUNTIFS($AW$2:$AW$201,AW139,$BT$2:$BT$201,1,$H$2:$H$201,H139,$AX$2:$AX$201,"&lt;"&amp;AX139)=0,1,0),0)</f>
        <v>0</v>
      </c>
      <c r="BV139" s="23" t="str">
        <f aca="false">IF(AND(BU139=1,INT(N(H139))&lt;=Config!$B$5),K139,"")</f>
        <v/>
      </c>
      <c r="BW139" s="23" t="n">
        <f aca="false">IF(AND(AY139=1,OR(AND(ISNUMBER(R139),TRIM(S139)=""),AND(ISNUMBER(V139),TRIM(W139)=""))),1,0)</f>
        <v>0</v>
      </c>
      <c r="BX139" s="23" t="str">
        <f aca="false">IF(AY139=1,AJ139&amp;"","")</f>
        <v/>
      </c>
      <c r="BY139" s="23" t="str">
        <f aca="false">IF(AY139=1,AK139&amp;"","")</f>
        <v/>
      </c>
      <c r="BZ139" s="23" t="str">
        <f aca="false">IF(AY139=1,AL139&amp;"","")</f>
        <v/>
      </c>
      <c r="CA139" s="23" t="str">
        <f aca="false">IF(AND(AY139=1,ISNUMBER(AS139),INT(N(H139))&lt;=Config!$B$5),AS139,"")</f>
        <v/>
      </c>
      <c r="CB139" s="23" t="str">
        <f aca="false">IF(AY139=1,IF(COUNTIFS($A$2:$A$201,$A139,$CU$2:$CU$201,1,$AN$2:$AN$201,"Y")&gt;0,"Y","N"),"")</f>
        <v/>
      </c>
      <c r="CC139" s="23" t="n">
        <f aca="false">IF(AND(AY139=1,AN139="Y"),IF(COUNTIFS($AW$2:$AW$201,AW139,$AN$2:$AN$201,"Y",$AY$2:$AY$201,1,$H$2:$H$201,"&lt;"&amp;H139)+COUNTIFS($AW$2:$AW$201,AW139,$AN$2:$AN$201,"Y",$AY$2:$AY$201,1,$H$2:$H$201,H139,$AX$2:$AX$201,"&lt;"&amp;AX139)=0,1,0),0)</f>
        <v>0</v>
      </c>
      <c r="CD139" s="23" t="n">
        <f aca="false">IF(AND(AY139=1,AB139="Y",AC139="Y",AD139="Y",AE139="Y",AF139="Y",AG139="Y",AI139="Y",TRIM(AH139)&lt;&gt;""),1,0)</f>
        <v>0</v>
      </c>
      <c r="CE139" s="23" t="n">
        <f aca="false">IF(CD139=1,IF(COUNTIFS($AW$2:$AW$201,AW139,$CD$2:$CD$201,1,$H$2:$H$201,"&lt;"&amp;H139)+COUNTIFS($AW$2:$AW$201,AW139,$CD$2:$CD$201,1,$H$2:$H$201,H139,$AX$2:$AX$201,"&lt;"&amp;AX139)=0,1,0),0)</f>
        <v>0</v>
      </c>
      <c r="CF139" s="23" t="n">
        <f aca="false">IF(AND(AY139=1,AO139="Y"),1,0)</f>
        <v>0</v>
      </c>
      <c r="CG139" s="23" t="n">
        <f aca="false">IF(CF139=1,IF(COUNTIFS($AW$2:$AW$201,AW139,$CF$2:$CF$201,1,$H$2:$H$201,"&lt;"&amp;H139)+COUNTIFS($AW$2:$AW$201,AW139,$CF$2:$CF$201,1,$H$2:$H$201,H139,$AX$2:$AX$201,"&lt;"&amp;AX139)=0,1,0),0)</f>
        <v>0</v>
      </c>
      <c r="CH139" s="23" t="n">
        <f aca="false">IF(AND(AY139=1,P139="Y"),1,0)</f>
        <v>0</v>
      </c>
      <c r="CI139" s="23" t="n">
        <f aca="false">IF(CH139=1,IF(COUNTIFS($AW$2:$AW$201,AW139,$CH$2:$CH$201,1,$H$2:$H$201,"&lt;"&amp;H139)+COUNTIFS($AW$2:$AW$201,AW139,$CH$2:$CH$201,1,$H$2:$H$201,H139,$AX$2:$AX$201,"&lt;"&amp;AX139)=0,1,0),0)</f>
        <v>0</v>
      </c>
      <c r="CJ139" s="23" t="str">
        <f aca="false">IF(AND(BU139=1,INT(N(H139))&lt;=Config!$B$5),L139,"")</f>
        <v/>
      </c>
      <c r="CK139" s="23" t="n">
        <f aca="false">IF(AND(AY139=1,AR139="Y"),1,0)</f>
        <v>0</v>
      </c>
      <c r="CL139" s="23" t="n">
        <f aca="false">IF(CK139=1,IF(COUNTIFS($AW$2:$AW$201,AW139,$CK$2:$CK$201,1,$H$2:$H$201,"&lt;"&amp;H139)+COUNTIFS($AW$2:$AW$201,AW139,$CK$2:$CK$201,1,$H$2:$H$201,H139,$AX$2:$AX$201,"&lt;"&amp;AX139)=0,1,0),0)</f>
        <v>0</v>
      </c>
      <c r="CM139" s="23" t="str">
        <f aca="false">IF(AY139=1,IFERROR(MATCH($A139,INDEX(Clay_Brands!$A$2:$FZ$601,0,Sync!$D$5),0),""),"")</f>
        <v/>
      </c>
      <c r="CN139" s="23" t="str">
        <f aca="false">IF(CM139="","",IFERROR(INDEX(Clay_Brands!$A$2:$FZ$601,CM139,Sync!$D$7)&amp;"",""))</f>
        <v/>
      </c>
      <c r="CO139" s="23" t="str">
        <f aca="false">IF(CN139="","",IFERROR(INDEX(Lists!$K$2:$K$15,MATCH(CN139,Lists!$J$2:$J$15,0)),""))</f>
        <v/>
      </c>
      <c r="CP139" s="23" t="str">
        <f aca="false">IF(CM139="","",IFERROR(INDEX(Clay_Brands!$A$2:$FZ$601,CM139,Sync!$D$17)&amp;"",""))</f>
        <v/>
      </c>
      <c r="CQ139" s="35" t="str">
        <f aca="false">IF(CM139="","",IFERROR(N(INDEX(Clay_Brands!$A$2:$FZ$601,CM139,Sync!$D$16)),0))</f>
        <v/>
      </c>
      <c r="CR139" s="23" t="n">
        <f aca="false">IF(AND(AY139=1,OR(O139="N",AND(OR(ISNUMBER(R139),ISNUMBER(V139)),MAX(N(R139),N(V139))&lt;Config!$B$14))),1,0)</f>
        <v>0</v>
      </c>
      <c r="CS139" s="23" t="n">
        <f aca="false">IF(OR(BB139=1,CR139=1),1,0)</f>
        <v>0</v>
      </c>
      <c r="CT139" s="23" t="n">
        <f aca="false">IF(AND(AY139=1,OR(AN139="Y",AN139="N",AN139="maybe")),1,0)</f>
        <v>0</v>
      </c>
      <c r="CU139" s="23" t="n">
        <f aca="false">IF(AND(CT139=1),IF(COUNTIFS($A$2:$A$201,$A139,$CT$2:$CT$201,1,$H$2:$H$201,"&gt;"&amp;H139)+COUNTIFS($A$2:$A$201,$A139,$CT$2:$CT$201,1,$H$2:$H$201,H139,$AX$2:$AX$201,"&gt;"&amp;AX139)=0,1,0),0)</f>
        <v>0</v>
      </c>
      <c r="CV139" s="23" t="n">
        <f aca="false">IF(AND(CS139=1,INT(N(H139))&lt;=Config!$B$6),IF(COUNTIFS($AW$2:$AW$201,AW139,$CS$2:$CS$201,1,$H$2:$H$201,"&gt;"&amp;H139,$H$2:$H$201,"&lt;"&amp;(Config!$B$6+1))+COUNTIFS($AW$2:$AW$201,AW139,$CS$2:$CS$201,1,$H$2:$H$201,H139,$AX$2:$AX$201,"&gt;"&amp;AX139)=0,1,0),0)</f>
        <v>0</v>
      </c>
      <c r="CW139" s="23" t="n">
        <f aca="false">IF(AND(CS139=1,INT(N(H139))&lt;=Config!$B$7),IF(COUNTIFS($AW$2:$AW$201,AW139,$CS$2:$CS$201,1,$H$2:$H$201,"&gt;"&amp;H139,$H$2:$H$201,"&lt;"&amp;(Config!$B$7+1))+COUNTIFS($AW$2:$AW$201,AW139,$CS$2:$CS$201,1,$H$2:$H$201,H139,$AX$2:$AX$201,"&gt;"&amp;AX139)=0,1,0),0)</f>
        <v>0</v>
      </c>
      <c r="CX139" s="23" t="n">
        <f aca="false">IF(AND(CS139=1,INT(N(H139))&lt;=Config!$B$8),IF(COUNTIFS($AW$2:$AW$201,AW139,$CS$2:$CS$201,1,$H$2:$H$201,"&gt;"&amp;H139,$H$2:$H$201,"&lt;"&amp;(Config!$B$8+1))+COUNTIFS($AW$2:$AW$201,AW139,$CS$2:$CS$201,1,$H$2:$H$201,H139,$AX$2:$AX$201,"&gt;"&amp;AX139)=0,1,0),0)</f>
        <v>0</v>
      </c>
      <c r="CY139" s="23" t="n">
        <f aca="false">IF(AND(CS139=1,INT(N(H139))&lt;=Config!$B$5),IF(COUNTIFS($AW$2:$AW$201,AW139,$CS$2:$CS$201,1,$H$2:$H$201,"&gt;"&amp;H139,$H$2:$H$201,"&lt;"&amp;(Config!$B$5+1))+COUNTIFS($AW$2:$AW$201,AW139,$CS$2:$CS$201,1,$H$2:$H$201,H139,$AX$2:$AX$201,"&gt;"&amp;AX139)=0,1,0),0)</f>
        <v>0</v>
      </c>
      <c r="CZ139" s="23" t="n">
        <f aca="false">IF(AY139=1,IF(COUNTIFS($AW$2:$AW$201,AW139,$CV$2:$CV$201,1,$BB$2:$BB$201,1)&gt;0,1,0),0)</f>
        <v>0</v>
      </c>
      <c r="DA139" s="23" t="n">
        <f aca="false">IF(AY139=1,IF(COUNTIFS($AW$2:$AW$201,AW139,$CW$2:$CW$201,1,$BB$2:$BB$201,1)&gt;0,1,0),0)</f>
        <v>0</v>
      </c>
      <c r="DB139" s="23" t="n">
        <f aca="false">IF(AY139=1,IF(COUNTIFS($AW$2:$AW$201,AW139,$CX$2:$CX$201,1,$BB$2:$BB$201,1)&gt;0,1,0),0)</f>
        <v>0</v>
      </c>
      <c r="DC139" s="23" t="n">
        <f aca="false">IF(AY139=1,IF(COUNTIFS($AW$2:$AW$201,AW139,$CY$2:$CY$201,1,$BB$2:$BB$201,1)&gt;0,1,0),0)</f>
        <v>0</v>
      </c>
      <c r="DD139" s="23" t="n">
        <f aca="false">IF(AND(BC139=1,INT(N(H139))&lt;=Config!$B$6,CZ139=1),1,0)</f>
        <v>0</v>
      </c>
      <c r="DE139" s="23" t="n">
        <f aca="false">IF(AND(BC139=1,INT(N(H139))&lt;=Config!$B$7,DA139=1),1,0)</f>
        <v>0</v>
      </c>
      <c r="DF139" s="23" t="n">
        <f aca="false">IF(AND(BC139=1,INT(N(H139))&lt;=Config!$B$8,DB139=1),1,0)</f>
        <v>0</v>
      </c>
      <c r="DG139" s="23" t="n">
        <f aca="false">IF(AND(BC139=1,INT(N(H139))&lt;=Config!$B$5,DC139=1),1,0)</f>
        <v>0</v>
      </c>
      <c r="DH139" s="23" t="n">
        <f aca="false">IF(AND(BE139=1,INT(N(H139))&lt;=Config!$B$6,CZ139=1),1,0)</f>
        <v>0</v>
      </c>
      <c r="DI139" s="23" t="n">
        <f aca="false">IF(AND(BE139=1,INT(N(H139))&lt;=Config!$B$7,DA139=1),1,0)</f>
        <v>0</v>
      </c>
      <c r="DJ139" s="23" t="n">
        <f aca="false">IF(AND(BE139=1,INT(N(H139))&lt;=Config!$B$8,DB139=1),1,0)</f>
        <v>0</v>
      </c>
      <c r="DK139" s="23" t="n">
        <f aca="false">IF(AND(BE139=1,INT(N(H139))&lt;=Config!$B$5,DC139=1),1,0)</f>
        <v>0</v>
      </c>
      <c r="DL139" s="23" t="n">
        <f aca="false">IF(AND(BC139=1,INT(N(H139))&lt;=Config!$B$6,CZ139=0),1,0)</f>
        <v>0</v>
      </c>
      <c r="DM139" s="23" t="n">
        <f aca="false">IF(AND(BC139=1,INT(N(H139))&lt;=Config!$B$7,DA139=0),1,0)</f>
        <v>0</v>
      </c>
      <c r="DN139" s="23" t="n">
        <f aca="false">IF(AND(BC139=1,INT(N(H139))&lt;=Config!$B$8,DB139=0),1,0)</f>
        <v>0</v>
      </c>
      <c r="DO139" s="23" t="n">
        <f aca="false">IF(AND(BC139=1,INT(N(H139))&lt;=Config!$B$5,DC139=0),1,0)</f>
        <v>0</v>
      </c>
      <c r="DP139" s="23" t="n">
        <f aca="false">IF(TRIM($A139)="",0,ISTEXT(K139)+ISTEXT(L139)+ISTEXT(R139)+ISTEXT(V139)+ISTEXT(AP139)+ISTEXT(AS139))</f>
        <v>0</v>
      </c>
      <c r="DQ139" s="23" t="n">
        <f aca="false">IF(AY139=1,IF(H139&lt;&gt;INT(H139),1,0),0)</f>
        <v>0</v>
      </c>
      <c r="DR139" s="23" t="str">
        <f aca="false">IF(TRIM($A139)="","",IF(TRIM(B139)="",SUBSTITUTE(SUBSTITUTE(SUBSTITUTE(SUBSTITUTE(SUBSTITUTE(SUBSTITUTE(LOWER(TRIM($A139)),"~",""),"*",""),"?",""),"&lt;",""),"&gt;",""),"=",""),SUBSTITUTE(SUBSTITUTE(SUBSTITUTE(SUBSTITUTE(SUBSTITUTE(SUBSTITUTE(LOWER(TRIM(B139)),"~",""),"*",""),"?",""),"&lt;",""),"&gt;",""),"=","")))</f>
        <v/>
      </c>
      <c r="DS139" s="23" t="str">
        <f aca="false">IF(CM139="","",IFERROR(IF(LEFT(LOWER(TRIM(INDEX(Clay_Brands!$A$2:$FZ$601,CM139,Sync!$D$19)&amp;"")),4)="grp-",SUBSTITUTE(SUBSTITUTE(SUBSTITUTE(SUBSTITUTE(SUBSTITUTE(SUBSTITUTE(LOWER(TRIM(INDEX(Clay_Brands!$A$2:$FZ$601,CM139,Sync!$D$19)&amp;"")),"~",""),"*",""),"?",""),"&lt;",""),"&gt;",""),"=",""),""),""))</f>
        <v/>
      </c>
      <c r="DT139" s="23" t="str">
        <f aca="false">IF(DS139&lt;&gt;"",DR139,"")</f>
        <v/>
      </c>
      <c r="DU139" s="23" t="str">
        <f aca="false">IF(AZ139=1,AW139,"")</f>
        <v/>
      </c>
      <c r="DV139" s="23" t="str">
        <f aca="false">IF(TRIM($A139)="","",IFERROR(INDEX($A$2:$A$201,MATCH(AW139,$DU$2:$DU$201,0))&amp;"",$A139&amp;""))</f>
        <v/>
      </c>
      <c r="DW139" s="23" t="n">
        <f aca="false">IF(AY139=1,IF(COUNTIFS($A$2:$A$201,$A139,$AY$2:$AY$201,1,$H$2:$H$201,"&lt;"&amp;H139)+COUNTIFS($A$2:$A$201,$A139,$AY$2:$AY$201,1,$H$2:$H$201,H139,$AX$2:$AX$201,"&lt;"&amp;AX139)=0,1,0),0)</f>
        <v>0</v>
      </c>
      <c r="DX139" s="23" t="n">
        <f aca="false">IF(AZ139=1,IF(COUNTIFS($AW$2:$AW$201,AW139,$DW$2:$DW$201,1)&gt;1,1,0),0)</f>
        <v>0</v>
      </c>
    </row>
    <row r="140" customFormat="false" ht="15" hidden="false" customHeight="false" outlineLevel="0" collapsed="false">
      <c r="G140" s="32"/>
      <c r="H140" s="33"/>
      <c r="I140" s="32"/>
      <c r="O140" s="32"/>
      <c r="P140" s="32"/>
      <c r="U140" s="32"/>
      <c r="Y140" s="32"/>
      <c r="AB140" s="32"/>
      <c r="AC140" s="32"/>
      <c r="AD140" s="32"/>
      <c r="AE140" s="32"/>
      <c r="AF140" s="32"/>
      <c r="AG140" s="32"/>
      <c r="AI140" s="32"/>
      <c r="AJ140" s="32"/>
      <c r="AK140" s="32"/>
      <c r="AN140" s="32"/>
      <c r="AO140" s="32"/>
      <c r="AR140" s="32"/>
      <c r="AT140" s="32"/>
      <c r="AV140" s="34" t="str">
        <f aca="false">IF(TRIM($A140)="","",IF(AND(LEFT($A140,6)="SAMPLE",Config!$B$19&lt;&gt;"Y"),"",IF(NOT(ISNUMBER(H140)),"call_date is blank or not a date",IF(Sync!$D$5="","Clay paste is empty or has no row_id column: paste the Clay export on Clay_Brands",IF(CM140="","row_id not found in the Clay paste: add the Clay row or fix the row_id",IF(AND(ISNUMBER(CO140),CO140&gt;=1,CO140&lt;=5),"Clay status is "&amp;CN140&amp;": set call_done or later",IF(AND(BA140=1,CP140&lt;&gt;CB140),"Clay yes_in_principle should be "&amp;CB140,IF(AND(BA140=1,CQ140&lt;&gt;H140),"Clay call_date should be "&amp;TEXT(H140,"yyyy-mm-dd"),""))))))))</f>
        <v/>
      </c>
      <c r="AW140" s="23" t="str">
        <f aca="false">IF(TRIM($A140)="","",IF(TRIM(C140)&lt;&gt;"",SUBSTITUTE(SUBSTITUTE(SUBSTITUTE(SUBSTITUTE(SUBSTITUTE(SUBSTITUTE(LOWER(TRIM(C140)),"~",""),"*",""),"?",""),"&lt;",""),"&gt;",""),"=",""),IF(DS140&lt;&gt;"",DS140,IFERROR(INDEX($DS$2:$DS$201,MATCH(DR140,$DT$2:$DT$201,0)),DR140))))</f>
        <v/>
      </c>
      <c r="AX140" s="23" t="n">
        <f aca="false">ROW()</f>
        <v>140</v>
      </c>
      <c r="AY140" s="23" t="n">
        <f aca="false">IF(AND(TRIM($A140)&lt;&gt;"",ISNUMBER(H140)),IF(AND(LEFT($A140,6)="SAMPLE",Config!$B$19&lt;&gt;"Y"),0,1),0)</f>
        <v>0</v>
      </c>
      <c r="AZ140" s="23" t="n">
        <f aca="false">IF(AY140=1,IF(COUNTIFS($AW$2:$AW$201,AW140,$AY$2:$AY$201,1,$H$2:$H$201,"&lt;"&amp;H140)+COUNTIFS($AW$2:$AW$201,AW140,$AY$2:$AY$201,1,$H$2:$H$201,H140,$AX$2:$AX$201,"&lt;"&amp;AX140)=0,1,0),0)</f>
        <v>0</v>
      </c>
      <c r="BA140" s="23" t="n">
        <f aca="false">IF(AY140=1,IF(COUNTIFS($A$2:$A$201,$A140,$AY$2:$AY$201,1,$H$2:$H$201,"&gt;"&amp;H140)+COUNTIFS($A$2:$A$201,$A140,$AY$2:$AY$201,1,$H$2:$H$201,H140,$AX$2:$AX$201,"&gt;"&amp;AX140)=0,1,0),0)</f>
        <v>0</v>
      </c>
      <c r="BB140" s="23" t="n">
        <f aca="false">IF(AND(AY140=1,O140="Y",MAX(N(R140),N(V140))&gt;=Config!$B$14),1,0)</f>
        <v>0</v>
      </c>
      <c r="BC140" s="23" t="n">
        <f aca="false">IF(BB140=1,IF(COUNTIFS($AW$2:$AW$201,AW140,$BB$2:$BB$201,1,$H$2:$H$201,"&lt;"&amp;H140)+COUNTIFS($AW$2:$AW$201,AW140,$BB$2:$BB$201,1,$H$2:$H$201,H140,$AX$2:$AX$201,"&lt;"&amp;AX140)=0,1,0),0)</f>
        <v>0</v>
      </c>
      <c r="BD140" s="23" t="n">
        <f aca="false">IF(AND(AY140=1,O140="Y",ISNUMBER(R140)),IF(R140&gt;=Config!$B$14,1,0),0)</f>
        <v>0</v>
      </c>
      <c r="BE140" s="23" t="n">
        <f aca="false">IF(BD140=1,IF(COUNTIFS($AW$2:$AW$201,AW140,$BD$2:$BD$201,1,$H$2:$H$201,"&lt;"&amp;H140)+COUNTIFS($AW$2:$AW$201,AW140,$BD$2:$BD$201,1,$H$2:$H$201,H140,$AX$2:$AX$201,"&lt;"&amp;AX140)=0,1,0),0)</f>
        <v>0</v>
      </c>
      <c r="BF140" s="23" t="n">
        <f aca="false">IF(AND(AY140=1,O140&lt;&gt;"Y",MAX(N(R140),N(V140))&gt;=Config!$B$14),1,0)</f>
        <v>0</v>
      </c>
      <c r="BG140" s="23" t="n">
        <f aca="false">IF(BF140=1,IF(COUNTIFS($AW$2:$AW$201,AW140,$BF$2:$BF$201,1,$H$2:$H$201,"&lt;"&amp;H140)+COUNTIFS($AW$2:$AW$201,AW140,$BF$2:$BF$201,1,$H$2:$H$201,H140,$AX$2:$AX$201,"&lt;"&amp;AX140)=0,1,0),0)</f>
        <v>0</v>
      </c>
      <c r="BH140" s="23" t="n">
        <f aca="false">IF(AND(AY140=1,ISNUMBER(R140)),1,0)</f>
        <v>0</v>
      </c>
      <c r="BI140" s="23" t="n">
        <f aca="false">IF(BH140=1,IF(COUNTIFS($AW$2:$AW$201,AW140,$BH$2:$BH$201,1,$H$2:$H$201,"&lt;"&amp;H140)+COUNTIFS($AW$2:$AW$201,AW140,$BH$2:$BH$201,1,$H$2:$H$201,H140,$AX$2:$AX$201,"&lt;"&amp;AX140)=0,1,0),0)</f>
        <v>0</v>
      </c>
      <c r="BJ140" s="23" t="str">
        <f aca="false">IF(AND(BI140=1,INT(N(H140))&lt;=Config!$B$6),R140,"")</f>
        <v/>
      </c>
      <c r="BK140" s="23" t="str">
        <f aca="false">IF(AND(BI140=1,INT(N(H140))&lt;=Config!$B$7),R140,"")</f>
        <v/>
      </c>
      <c r="BL140" s="23" t="str">
        <f aca="false">IF(AND(BI140=1,INT(N(H140))&lt;=Config!$B$8),R140,"")</f>
        <v/>
      </c>
      <c r="BM140" s="23" t="str">
        <f aca="false">IF(AND(BI140=1,INT(N(H140))&lt;=Config!$B$5),R140,"")</f>
        <v/>
      </c>
      <c r="BN140" s="23" t="n">
        <f aca="false">IF(AND(AY140=1,ISNUMBER(V140)),1,0)</f>
        <v>0</v>
      </c>
      <c r="BO140" s="23" t="n">
        <f aca="false">IF(BN140=1,IF(COUNTIFS($AW$2:$AW$201,AW140,$BN$2:$BN$201,1,$H$2:$H$201,"&lt;"&amp;H140)+COUNTIFS($AW$2:$AW$201,AW140,$BN$2:$BN$201,1,$H$2:$H$201,H140,$AX$2:$AX$201,"&lt;"&amp;AX140)=0,1,0),0)</f>
        <v>0</v>
      </c>
      <c r="BP140" s="23" t="str">
        <f aca="false">IF(AND(BO140=1,INT(N(H140))&lt;=Config!$B$6),V140,"")</f>
        <v/>
      </c>
      <c r="BQ140" s="23" t="str">
        <f aca="false">IF(AND(BO140=1,INT(N(H140))&lt;=Config!$B$7),V140,"")</f>
        <v/>
      </c>
      <c r="BR140" s="23" t="str">
        <f aca="false">IF(AND(BO140=1,INT(N(H140))&lt;=Config!$B$8),V140,"")</f>
        <v/>
      </c>
      <c r="BS140" s="23" t="str">
        <f aca="false">IF(AND(BO140=1,INT(N(H140))&lt;=Config!$B$5),V140,"")</f>
        <v/>
      </c>
      <c r="BT140" s="23" t="n">
        <f aca="false">IF(AND(AY140=1,ISNUMBER(K140)),1,0)</f>
        <v>0</v>
      </c>
      <c r="BU140" s="23" t="n">
        <f aca="false">IF(BT140=1,IF(COUNTIFS($AW$2:$AW$201,AW140,$BT$2:$BT$201,1,$H$2:$H$201,"&lt;"&amp;H140)+COUNTIFS($AW$2:$AW$201,AW140,$BT$2:$BT$201,1,$H$2:$H$201,H140,$AX$2:$AX$201,"&lt;"&amp;AX140)=0,1,0),0)</f>
        <v>0</v>
      </c>
      <c r="BV140" s="23" t="str">
        <f aca="false">IF(AND(BU140=1,INT(N(H140))&lt;=Config!$B$5),K140,"")</f>
        <v/>
      </c>
      <c r="BW140" s="23" t="n">
        <f aca="false">IF(AND(AY140=1,OR(AND(ISNUMBER(R140),TRIM(S140)=""),AND(ISNUMBER(V140),TRIM(W140)=""))),1,0)</f>
        <v>0</v>
      </c>
      <c r="BX140" s="23" t="str">
        <f aca="false">IF(AY140=1,AJ140&amp;"","")</f>
        <v/>
      </c>
      <c r="BY140" s="23" t="str">
        <f aca="false">IF(AY140=1,AK140&amp;"","")</f>
        <v/>
      </c>
      <c r="BZ140" s="23" t="str">
        <f aca="false">IF(AY140=1,AL140&amp;"","")</f>
        <v/>
      </c>
      <c r="CA140" s="23" t="str">
        <f aca="false">IF(AND(AY140=1,ISNUMBER(AS140),INT(N(H140))&lt;=Config!$B$5),AS140,"")</f>
        <v/>
      </c>
      <c r="CB140" s="23" t="str">
        <f aca="false">IF(AY140=1,IF(COUNTIFS($A$2:$A$201,$A140,$CU$2:$CU$201,1,$AN$2:$AN$201,"Y")&gt;0,"Y","N"),"")</f>
        <v/>
      </c>
      <c r="CC140" s="23" t="n">
        <f aca="false">IF(AND(AY140=1,AN140="Y"),IF(COUNTIFS($AW$2:$AW$201,AW140,$AN$2:$AN$201,"Y",$AY$2:$AY$201,1,$H$2:$H$201,"&lt;"&amp;H140)+COUNTIFS($AW$2:$AW$201,AW140,$AN$2:$AN$201,"Y",$AY$2:$AY$201,1,$H$2:$H$201,H140,$AX$2:$AX$201,"&lt;"&amp;AX140)=0,1,0),0)</f>
        <v>0</v>
      </c>
      <c r="CD140" s="23" t="n">
        <f aca="false">IF(AND(AY140=1,AB140="Y",AC140="Y",AD140="Y",AE140="Y",AF140="Y",AG140="Y",AI140="Y",TRIM(AH140)&lt;&gt;""),1,0)</f>
        <v>0</v>
      </c>
      <c r="CE140" s="23" t="n">
        <f aca="false">IF(CD140=1,IF(COUNTIFS($AW$2:$AW$201,AW140,$CD$2:$CD$201,1,$H$2:$H$201,"&lt;"&amp;H140)+COUNTIFS($AW$2:$AW$201,AW140,$CD$2:$CD$201,1,$H$2:$H$201,H140,$AX$2:$AX$201,"&lt;"&amp;AX140)=0,1,0),0)</f>
        <v>0</v>
      </c>
      <c r="CF140" s="23" t="n">
        <f aca="false">IF(AND(AY140=1,AO140="Y"),1,0)</f>
        <v>0</v>
      </c>
      <c r="CG140" s="23" t="n">
        <f aca="false">IF(CF140=1,IF(COUNTIFS($AW$2:$AW$201,AW140,$CF$2:$CF$201,1,$H$2:$H$201,"&lt;"&amp;H140)+COUNTIFS($AW$2:$AW$201,AW140,$CF$2:$CF$201,1,$H$2:$H$201,H140,$AX$2:$AX$201,"&lt;"&amp;AX140)=0,1,0),0)</f>
        <v>0</v>
      </c>
      <c r="CH140" s="23" t="n">
        <f aca="false">IF(AND(AY140=1,P140="Y"),1,0)</f>
        <v>0</v>
      </c>
      <c r="CI140" s="23" t="n">
        <f aca="false">IF(CH140=1,IF(COUNTIFS($AW$2:$AW$201,AW140,$CH$2:$CH$201,1,$H$2:$H$201,"&lt;"&amp;H140)+COUNTIFS($AW$2:$AW$201,AW140,$CH$2:$CH$201,1,$H$2:$H$201,H140,$AX$2:$AX$201,"&lt;"&amp;AX140)=0,1,0),0)</f>
        <v>0</v>
      </c>
      <c r="CJ140" s="23" t="str">
        <f aca="false">IF(AND(BU140=1,INT(N(H140))&lt;=Config!$B$5),L140,"")</f>
        <v/>
      </c>
      <c r="CK140" s="23" t="n">
        <f aca="false">IF(AND(AY140=1,AR140="Y"),1,0)</f>
        <v>0</v>
      </c>
      <c r="CL140" s="23" t="n">
        <f aca="false">IF(CK140=1,IF(COUNTIFS($AW$2:$AW$201,AW140,$CK$2:$CK$201,1,$H$2:$H$201,"&lt;"&amp;H140)+COUNTIFS($AW$2:$AW$201,AW140,$CK$2:$CK$201,1,$H$2:$H$201,H140,$AX$2:$AX$201,"&lt;"&amp;AX140)=0,1,0),0)</f>
        <v>0</v>
      </c>
      <c r="CM140" s="23" t="str">
        <f aca="false">IF(AY140=1,IFERROR(MATCH($A140,INDEX(Clay_Brands!$A$2:$FZ$601,0,Sync!$D$5),0),""),"")</f>
        <v/>
      </c>
      <c r="CN140" s="23" t="str">
        <f aca="false">IF(CM140="","",IFERROR(INDEX(Clay_Brands!$A$2:$FZ$601,CM140,Sync!$D$7)&amp;"",""))</f>
        <v/>
      </c>
      <c r="CO140" s="23" t="str">
        <f aca="false">IF(CN140="","",IFERROR(INDEX(Lists!$K$2:$K$15,MATCH(CN140,Lists!$J$2:$J$15,0)),""))</f>
        <v/>
      </c>
      <c r="CP140" s="23" t="str">
        <f aca="false">IF(CM140="","",IFERROR(INDEX(Clay_Brands!$A$2:$FZ$601,CM140,Sync!$D$17)&amp;"",""))</f>
        <v/>
      </c>
      <c r="CQ140" s="35" t="str">
        <f aca="false">IF(CM140="","",IFERROR(N(INDEX(Clay_Brands!$A$2:$FZ$601,CM140,Sync!$D$16)),0))</f>
        <v/>
      </c>
      <c r="CR140" s="23" t="n">
        <f aca="false">IF(AND(AY140=1,OR(O140="N",AND(OR(ISNUMBER(R140),ISNUMBER(V140)),MAX(N(R140),N(V140))&lt;Config!$B$14))),1,0)</f>
        <v>0</v>
      </c>
      <c r="CS140" s="23" t="n">
        <f aca="false">IF(OR(BB140=1,CR140=1),1,0)</f>
        <v>0</v>
      </c>
      <c r="CT140" s="23" t="n">
        <f aca="false">IF(AND(AY140=1,OR(AN140="Y",AN140="N",AN140="maybe")),1,0)</f>
        <v>0</v>
      </c>
      <c r="CU140" s="23" t="n">
        <f aca="false">IF(AND(CT140=1),IF(COUNTIFS($A$2:$A$201,$A140,$CT$2:$CT$201,1,$H$2:$H$201,"&gt;"&amp;H140)+COUNTIFS($A$2:$A$201,$A140,$CT$2:$CT$201,1,$H$2:$H$201,H140,$AX$2:$AX$201,"&gt;"&amp;AX140)=0,1,0),0)</f>
        <v>0</v>
      </c>
      <c r="CV140" s="23" t="n">
        <f aca="false">IF(AND(CS140=1,INT(N(H140))&lt;=Config!$B$6),IF(COUNTIFS($AW$2:$AW$201,AW140,$CS$2:$CS$201,1,$H$2:$H$201,"&gt;"&amp;H140,$H$2:$H$201,"&lt;"&amp;(Config!$B$6+1))+COUNTIFS($AW$2:$AW$201,AW140,$CS$2:$CS$201,1,$H$2:$H$201,H140,$AX$2:$AX$201,"&gt;"&amp;AX140)=0,1,0),0)</f>
        <v>0</v>
      </c>
      <c r="CW140" s="23" t="n">
        <f aca="false">IF(AND(CS140=1,INT(N(H140))&lt;=Config!$B$7),IF(COUNTIFS($AW$2:$AW$201,AW140,$CS$2:$CS$201,1,$H$2:$H$201,"&gt;"&amp;H140,$H$2:$H$201,"&lt;"&amp;(Config!$B$7+1))+COUNTIFS($AW$2:$AW$201,AW140,$CS$2:$CS$201,1,$H$2:$H$201,H140,$AX$2:$AX$201,"&gt;"&amp;AX140)=0,1,0),0)</f>
        <v>0</v>
      </c>
      <c r="CX140" s="23" t="n">
        <f aca="false">IF(AND(CS140=1,INT(N(H140))&lt;=Config!$B$8),IF(COUNTIFS($AW$2:$AW$201,AW140,$CS$2:$CS$201,1,$H$2:$H$201,"&gt;"&amp;H140,$H$2:$H$201,"&lt;"&amp;(Config!$B$8+1))+COUNTIFS($AW$2:$AW$201,AW140,$CS$2:$CS$201,1,$H$2:$H$201,H140,$AX$2:$AX$201,"&gt;"&amp;AX140)=0,1,0),0)</f>
        <v>0</v>
      </c>
      <c r="CY140" s="23" t="n">
        <f aca="false">IF(AND(CS140=1,INT(N(H140))&lt;=Config!$B$5),IF(COUNTIFS($AW$2:$AW$201,AW140,$CS$2:$CS$201,1,$H$2:$H$201,"&gt;"&amp;H140,$H$2:$H$201,"&lt;"&amp;(Config!$B$5+1))+COUNTIFS($AW$2:$AW$201,AW140,$CS$2:$CS$201,1,$H$2:$H$201,H140,$AX$2:$AX$201,"&gt;"&amp;AX140)=0,1,0),0)</f>
        <v>0</v>
      </c>
      <c r="CZ140" s="23" t="n">
        <f aca="false">IF(AY140=1,IF(COUNTIFS($AW$2:$AW$201,AW140,$CV$2:$CV$201,1,$BB$2:$BB$201,1)&gt;0,1,0),0)</f>
        <v>0</v>
      </c>
      <c r="DA140" s="23" t="n">
        <f aca="false">IF(AY140=1,IF(COUNTIFS($AW$2:$AW$201,AW140,$CW$2:$CW$201,1,$BB$2:$BB$201,1)&gt;0,1,0),0)</f>
        <v>0</v>
      </c>
      <c r="DB140" s="23" t="n">
        <f aca="false">IF(AY140=1,IF(COUNTIFS($AW$2:$AW$201,AW140,$CX$2:$CX$201,1,$BB$2:$BB$201,1)&gt;0,1,0),0)</f>
        <v>0</v>
      </c>
      <c r="DC140" s="23" t="n">
        <f aca="false">IF(AY140=1,IF(COUNTIFS($AW$2:$AW$201,AW140,$CY$2:$CY$201,1,$BB$2:$BB$201,1)&gt;0,1,0),0)</f>
        <v>0</v>
      </c>
      <c r="DD140" s="23" t="n">
        <f aca="false">IF(AND(BC140=1,INT(N(H140))&lt;=Config!$B$6,CZ140=1),1,0)</f>
        <v>0</v>
      </c>
      <c r="DE140" s="23" t="n">
        <f aca="false">IF(AND(BC140=1,INT(N(H140))&lt;=Config!$B$7,DA140=1),1,0)</f>
        <v>0</v>
      </c>
      <c r="DF140" s="23" t="n">
        <f aca="false">IF(AND(BC140=1,INT(N(H140))&lt;=Config!$B$8,DB140=1),1,0)</f>
        <v>0</v>
      </c>
      <c r="DG140" s="23" t="n">
        <f aca="false">IF(AND(BC140=1,INT(N(H140))&lt;=Config!$B$5,DC140=1),1,0)</f>
        <v>0</v>
      </c>
      <c r="DH140" s="23" t="n">
        <f aca="false">IF(AND(BE140=1,INT(N(H140))&lt;=Config!$B$6,CZ140=1),1,0)</f>
        <v>0</v>
      </c>
      <c r="DI140" s="23" t="n">
        <f aca="false">IF(AND(BE140=1,INT(N(H140))&lt;=Config!$B$7,DA140=1),1,0)</f>
        <v>0</v>
      </c>
      <c r="DJ140" s="23" t="n">
        <f aca="false">IF(AND(BE140=1,INT(N(H140))&lt;=Config!$B$8,DB140=1),1,0)</f>
        <v>0</v>
      </c>
      <c r="DK140" s="23" t="n">
        <f aca="false">IF(AND(BE140=1,INT(N(H140))&lt;=Config!$B$5,DC140=1),1,0)</f>
        <v>0</v>
      </c>
      <c r="DL140" s="23" t="n">
        <f aca="false">IF(AND(BC140=1,INT(N(H140))&lt;=Config!$B$6,CZ140=0),1,0)</f>
        <v>0</v>
      </c>
      <c r="DM140" s="23" t="n">
        <f aca="false">IF(AND(BC140=1,INT(N(H140))&lt;=Config!$B$7,DA140=0),1,0)</f>
        <v>0</v>
      </c>
      <c r="DN140" s="23" t="n">
        <f aca="false">IF(AND(BC140=1,INT(N(H140))&lt;=Config!$B$8,DB140=0),1,0)</f>
        <v>0</v>
      </c>
      <c r="DO140" s="23" t="n">
        <f aca="false">IF(AND(BC140=1,INT(N(H140))&lt;=Config!$B$5,DC140=0),1,0)</f>
        <v>0</v>
      </c>
      <c r="DP140" s="23" t="n">
        <f aca="false">IF(TRIM($A140)="",0,ISTEXT(K140)+ISTEXT(L140)+ISTEXT(R140)+ISTEXT(V140)+ISTEXT(AP140)+ISTEXT(AS140))</f>
        <v>0</v>
      </c>
      <c r="DQ140" s="23" t="n">
        <f aca="false">IF(AY140=1,IF(H140&lt;&gt;INT(H140),1,0),0)</f>
        <v>0</v>
      </c>
      <c r="DR140" s="23" t="str">
        <f aca="false">IF(TRIM($A140)="","",IF(TRIM(B140)="",SUBSTITUTE(SUBSTITUTE(SUBSTITUTE(SUBSTITUTE(SUBSTITUTE(SUBSTITUTE(LOWER(TRIM($A140)),"~",""),"*",""),"?",""),"&lt;",""),"&gt;",""),"=",""),SUBSTITUTE(SUBSTITUTE(SUBSTITUTE(SUBSTITUTE(SUBSTITUTE(SUBSTITUTE(LOWER(TRIM(B140)),"~",""),"*",""),"?",""),"&lt;",""),"&gt;",""),"=","")))</f>
        <v/>
      </c>
      <c r="DS140" s="23" t="str">
        <f aca="false">IF(CM140="","",IFERROR(IF(LEFT(LOWER(TRIM(INDEX(Clay_Brands!$A$2:$FZ$601,CM140,Sync!$D$19)&amp;"")),4)="grp-",SUBSTITUTE(SUBSTITUTE(SUBSTITUTE(SUBSTITUTE(SUBSTITUTE(SUBSTITUTE(LOWER(TRIM(INDEX(Clay_Brands!$A$2:$FZ$601,CM140,Sync!$D$19)&amp;"")),"~",""),"*",""),"?",""),"&lt;",""),"&gt;",""),"=",""),""),""))</f>
        <v/>
      </c>
      <c r="DT140" s="23" t="str">
        <f aca="false">IF(DS140&lt;&gt;"",DR140,"")</f>
        <v/>
      </c>
      <c r="DU140" s="23" t="str">
        <f aca="false">IF(AZ140=1,AW140,"")</f>
        <v/>
      </c>
      <c r="DV140" s="23" t="str">
        <f aca="false">IF(TRIM($A140)="","",IFERROR(INDEX($A$2:$A$201,MATCH(AW140,$DU$2:$DU$201,0))&amp;"",$A140&amp;""))</f>
        <v/>
      </c>
      <c r="DW140" s="23" t="n">
        <f aca="false">IF(AY140=1,IF(COUNTIFS($A$2:$A$201,$A140,$AY$2:$AY$201,1,$H$2:$H$201,"&lt;"&amp;H140)+COUNTIFS($A$2:$A$201,$A140,$AY$2:$AY$201,1,$H$2:$H$201,H140,$AX$2:$AX$201,"&lt;"&amp;AX140)=0,1,0),0)</f>
        <v>0</v>
      </c>
      <c r="DX140" s="23" t="n">
        <f aca="false">IF(AZ140=1,IF(COUNTIFS($AW$2:$AW$201,AW140,$DW$2:$DW$201,1)&gt;1,1,0),0)</f>
        <v>0</v>
      </c>
    </row>
    <row r="141" customFormat="false" ht="15" hidden="false" customHeight="false" outlineLevel="0" collapsed="false">
      <c r="G141" s="32"/>
      <c r="H141" s="33"/>
      <c r="I141" s="32"/>
      <c r="O141" s="32"/>
      <c r="P141" s="32"/>
      <c r="U141" s="32"/>
      <c r="Y141" s="32"/>
      <c r="AB141" s="32"/>
      <c r="AC141" s="32"/>
      <c r="AD141" s="32"/>
      <c r="AE141" s="32"/>
      <c r="AF141" s="32"/>
      <c r="AG141" s="32"/>
      <c r="AI141" s="32"/>
      <c r="AJ141" s="32"/>
      <c r="AK141" s="32"/>
      <c r="AN141" s="32"/>
      <c r="AO141" s="32"/>
      <c r="AR141" s="32"/>
      <c r="AT141" s="32"/>
      <c r="AV141" s="34" t="str">
        <f aca="false">IF(TRIM($A141)="","",IF(AND(LEFT($A141,6)="SAMPLE",Config!$B$19&lt;&gt;"Y"),"",IF(NOT(ISNUMBER(H141)),"call_date is blank or not a date",IF(Sync!$D$5="","Clay paste is empty or has no row_id column: paste the Clay export on Clay_Brands",IF(CM141="","row_id not found in the Clay paste: add the Clay row or fix the row_id",IF(AND(ISNUMBER(CO141),CO141&gt;=1,CO141&lt;=5),"Clay status is "&amp;CN141&amp;": set call_done or later",IF(AND(BA141=1,CP141&lt;&gt;CB141),"Clay yes_in_principle should be "&amp;CB141,IF(AND(BA141=1,CQ141&lt;&gt;H141),"Clay call_date should be "&amp;TEXT(H141,"yyyy-mm-dd"),""))))))))</f>
        <v/>
      </c>
      <c r="AW141" s="23" t="str">
        <f aca="false">IF(TRIM($A141)="","",IF(TRIM(C141)&lt;&gt;"",SUBSTITUTE(SUBSTITUTE(SUBSTITUTE(SUBSTITUTE(SUBSTITUTE(SUBSTITUTE(LOWER(TRIM(C141)),"~",""),"*",""),"?",""),"&lt;",""),"&gt;",""),"=",""),IF(DS141&lt;&gt;"",DS141,IFERROR(INDEX($DS$2:$DS$201,MATCH(DR141,$DT$2:$DT$201,0)),DR141))))</f>
        <v/>
      </c>
      <c r="AX141" s="23" t="n">
        <f aca="false">ROW()</f>
        <v>141</v>
      </c>
      <c r="AY141" s="23" t="n">
        <f aca="false">IF(AND(TRIM($A141)&lt;&gt;"",ISNUMBER(H141)),IF(AND(LEFT($A141,6)="SAMPLE",Config!$B$19&lt;&gt;"Y"),0,1),0)</f>
        <v>0</v>
      </c>
      <c r="AZ141" s="23" t="n">
        <f aca="false">IF(AY141=1,IF(COUNTIFS($AW$2:$AW$201,AW141,$AY$2:$AY$201,1,$H$2:$H$201,"&lt;"&amp;H141)+COUNTIFS($AW$2:$AW$201,AW141,$AY$2:$AY$201,1,$H$2:$H$201,H141,$AX$2:$AX$201,"&lt;"&amp;AX141)=0,1,0),0)</f>
        <v>0</v>
      </c>
      <c r="BA141" s="23" t="n">
        <f aca="false">IF(AY141=1,IF(COUNTIFS($A$2:$A$201,$A141,$AY$2:$AY$201,1,$H$2:$H$201,"&gt;"&amp;H141)+COUNTIFS($A$2:$A$201,$A141,$AY$2:$AY$201,1,$H$2:$H$201,H141,$AX$2:$AX$201,"&gt;"&amp;AX141)=0,1,0),0)</f>
        <v>0</v>
      </c>
      <c r="BB141" s="23" t="n">
        <f aca="false">IF(AND(AY141=1,O141="Y",MAX(N(R141),N(V141))&gt;=Config!$B$14),1,0)</f>
        <v>0</v>
      </c>
      <c r="BC141" s="23" t="n">
        <f aca="false">IF(BB141=1,IF(COUNTIFS($AW$2:$AW$201,AW141,$BB$2:$BB$201,1,$H$2:$H$201,"&lt;"&amp;H141)+COUNTIFS($AW$2:$AW$201,AW141,$BB$2:$BB$201,1,$H$2:$H$201,H141,$AX$2:$AX$201,"&lt;"&amp;AX141)=0,1,0),0)</f>
        <v>0</v>
      </c>
      <c r="BD141" s="23" t="n">
        <f aca="false">IF(AND(AY141=1,O141="Y",ISNUMBER(R141)),IF(R141&gt;=Config!$B$14,1,0),0)</f>
        <v>0</v>
      </c>
      <c r="BE141" s="23" t="n">
        <f aca="false">IF(BD141=1,IF(COUNTIFS($AW$2:$AW$201,AW141,$BD$2:$BD$201,1,$H$2:$H$201,"&lt;"&amp;H141)+COUNTIFS($AW$2:$AW$201,AW141,$BD$2:$BD$201,1,$H$2:$H$201,H141,$AX$2:$AX$201,"&lt;"&amp;AX141)=0,1,0),0)</f>
        <v>0</v>
      </c>
      <c r="BF141" s="23" t="n">
        <f aca="false">IF(AND(AY141=1,O141&lt;&gt;"Y",MAX(N(R141),N(V141))&gt;=Config!$B$14),1,0)</f>
        <v>0</v>
      </c>
      <c r="BG141" s="23" t="n">
        <f aca="false">IF(BF141=1,IF(COUNTIFS($AW$2:$AW$201,AW141,$BF$2:$BF$201,1,$H$2:$H$201,"&lt;"&amp;H141)+COUNTIFS($AW$2:$AW$201,AW141,$BF$2:$BF$201,1,$H$2:$H$201,H141,$AX$2:$AX$201,"&lt;"&amp;AX141)=0,1,0),0)</f>
        <v>0</v>
      </c>
      <c r="BH141" s="23" t="n">
        <f aca="false">IF(AND(AY141=1,ISNUMBER(R141)),1,0)</f>
        <v>0</v>
      </c>
      <c r="BI141" s="23" t="n">
        <f aca="false">IF(BH141=1,IF(COUNTIFS($AW$2:$AW$201,AW141,$BH$2:$BH$201,1,$H$2:$H$201,"&lt;"&amp;H141)+COUNTIFS($AW$2:$AW$201,AW141,$BH$2:$BH$201,1,$H$2:$H$201,H141,$AX$2:$AX$201,"&lt;"&amp;AX141)=0,1,0),0)</f>
        <v>0</v>
      </c>
      <c r="BJ141" s="23" t="str">
        <f aca="false">IF(AND(BI141=1,INT(N(H141))&lt;=Config!$B$6),R141,"")</f>
        <v/>
      </c>
      <c r="BK141" s="23" t="str">
        <f aca="false">IF(AND(BI141=1,INT(N(H141))&lt;=Config!$B$7),R141,"")</f>
        <v/>
      </c>
      <c r="BL141" s="23" t="str">
        <f aca="false">IF(AND(BI141=1,INT(N(H141))&lt;=Config!$B$8),R141,"")</f>
        <v/>
      </c>
      <c r="BM141" s="23" t="str">
        <f aca="false">IF(AND(BI141=1,INT(N(H141))&lt;=Config!$B$5),R141,"")</f>
        <v/>
      </c>
      <c r="BN141" s="23" t="n">
        <f aca="false">IF(AND(AY141=1,ISNUMBER(V141)),1,0)</f>
        <v>0</v>
      </c>
      <c r="BO141" s="23" t="n">
        <f aca="false">IF(BN141=1,IF(COUNTIFS($AW$2:$AW$201,AW141,$BN$2:$BN$201,1,$H$2:$H$201,"&lt;"&amp;H141)+COUNTIFS($AW$2:$AW$201,AW141,$BN$2:$BN$201,1,$H$2:$H$201,H141,$AX$2:$AX$201,"&lt;"&amp;AX141)=0,1,0),0)</f>
        <v>0</v>
      </c>
      <c r="BP141" s="23" t="str">
        <f aca="false">IF(AND(BO141=1,INT(N(H141))&lt;=Config!$B$6),V141,"")</f>
        <v/>
      </c>
      <c r="BQ141" s="23" t="str">
        <f aca="false">IF(AND(BO141=1,INT(N(H141))&lt;=Config!$B$7),V141,"")</f>
        <v/>
      </c>
      <c r="BR141" s="23" t="str">
        <f aca="false">IF(AND(BO141=1,INT(N(H141))&lt;=Config!$B$8),V141,"")</f>
        <v/>
      </c>
      <c r="BS141" s="23" t="str">
        <f aca="false">IF(AND(BO141=1,INT(N(H141))&lt;=Config!$B$5),V141,"")</f>
        <v/>
      </c>
      <c r="BT141" s="23" t="n">
        <f aca="false">IF(AND(AY141=1,ISNUMBER(K141)),1,0)</f>
        <v>0</v>
      </c>
      <c r="BU141" s="23" t="n">
        <f aca="false">IF(BT141=1,IF(COUNTIFS($AW$2:$AW$201,AW141,$BT$2:$BT$201,1,$H$2:$H$201,"&lt;"&amp;H141)+COUNTIFS($AW$2:$AW$201,AW141,$BT$2:$BT$201,1,$H$2:$H$201,H141,$AX$2:$AX$201,"&lt;"&amp;AX141)=0,1,0),0)</f>
        <v>0</v>
      </c>
      <c r="BV141" s="23" t="str">
        <f aca="false">IF(AND(BU141=1,INT(N(H141))&lt;=Config!$B$5),K141,"")</f>
        <v/>
      </c>
      <c r="BW141" s="23" t="n">
        <f aca="false">IF(AND(AY141=1,OR(AND(ISNUMBER(R141),TRIM(S141)=""),AND(ISNUMBER(V141),TRIM(W141)=""))),1,0)</f>
        <v>0</v>
      </c>
      <c r="BX141" s="23" t="str">
        <f aca="false">IF(AY141=1,AJ141&amp;"","")</f>
        <v/>
      </c>
      <c r="BY141" s="23" t="str">
        <f aca="false">IF(AY141=1,AK141&amp;"","")</f>
        <v/>
      </c>
      <c r="BZ141" s="23" t="str">
        <f aca="false">IF(AY141=1,AL141&amp;"","")</f>
        <v/>
      </c>
      <c r="CA141" s="23" t="str">
        <f aca="false">IF(AND(AY141=1,ISNUMBER(AS141),INT(N(H141))&lt;=Config!$B$5),AS141,"")</f>
        <v/>
      </c>
      <c r="CB141" s="23" t="str">
        <f aca="false">IF(AY141=1,IF(COUNTIFS($A$2:$A$201,$A141,$CU$2:$CU$201,1,$AN$2:$AN$201,"Y")&gt;0,"Y","N"),"")</f>
        <v/>
      </c>
      <c r="CC141" s="23" t="n">
        <f aca="false">IF(AND(AY141=1,AN141="Y"),IF(COUNTIFS($AW$2:$AW$201,AW141,$AN$2:$AN$201,"Y",$AY$2:$AY$201,1,$H$2:$H$201,"&lt;"&amp;H141)+COUNTIFS($AW$2:$AW$201,AW141,$AN$2:$AN$201,"Y",$AY$2:$AY$201,1,$H$2:$H$201,H141,$AX$2:$AX$201,"&lt;"&amp;AX141)=0,1,0),0)</f>
        <v>0</v>
      </c>
      <c r="CD141" s="23" t="n">
        <f aca="false">IF(AND(AY141=1,AB141="Y",AC141="Y",AD141="Y",AE141="Y",AF141="Y",AG141="Y",AI141="Y",TRIM(AH141)&lt;&gt;""),1,0)</f>
        <v>0</v>
      </c>
      <c r="CE141" s="23" t="n">
        <f aca="false">IF(CD141=1,IF(COUNTIFS($AW$2:$AW$201,AW141,$CD$2:$CD$201,1,$H$2:$H$201,"&lt;"&amp;H141)+COUNTIFS($AW$2:$AW$201,AW141,$CD$2:$CD$201,1,$H$2:$H$201,H141,$AX$2:$AX$201,"&lt;"&amp;AX141)=0,1,0),0)</f>
        <v>0</v>
      </c>
      <c r="CF141" s="23" t="n">
        <f aca="false">IF(AND(AY141=1,AO141="Y"),1,0)</f>
        <v>0</v>
      </c>
      <c r="CG141" s="23" t="n">
        <f aca="false">IF(CF141=1,IF(COUNTIFS($AW$2:$AW$201,AW141,$CF$2:$CF$201,1,$H$2:$H$201,"&lt;"&amp;H141)+COUNTIFS($AW$2:$AW$201,AW141,$CF$2:$CF$201,1,$H$2:$H$201,H141,$AX$2:$AX$201,"&lt;"&amp;AX141)=0,1,0),0)</f>
        <v>0</v>
      </c>
      <c r="CH141" s="23" t="n">
        <f aca="false">IF(AND(AY141=1,P141="Y"),1,0)</f>
        <v>0</v>
      </c>
      <c r="CI141" s="23" t="n">
        <f aca="false">IF(CH141=1,IF(COUNTIFS($AW$2:$AW$201,AW141,$CH$2:$CH$201,1,$H$2:$H$201,"&lt;"&amp;H141)+COUNTIFS($AW$2:$AW$201,AW141,$CH$2:$CH$201,1,$H$2:$H$201,H141,$AX$2:$AX$201,"&lt;"&amp;AX141)=0,1,0),0)</f>
        <v>0</v>
      </c>
      <c r="CJ141" s="23" t="str">
        <f aca="false">IF(AND(BU141=1,INT(N(H141))&lt;=Config!$B$5),L141,"")</f>
        <v/>
      </c>
      <c r="CK141" s="23" t="n">
        <f aca="false">IF(AND(AY141=1,AR141="Y"),1,0)</f>
        <v>0</v>
      </c>
      <c r="CL141" s="23" t="n">
        <f aca="false">IF(CK141=1,IF(COUNTIFS($AW$2:$AW$201,AW141,$CK$2:$CK$201,1,$H$2:$H$201,"&lt;"&amp;H141)+COUNTIFS($AW$2:$AW$201,AW141,$CK$2:$CK$201,1,$H$2:$H$201,H141,$AX$2:$AX$201,"&lt;"&amp;AX141)=0,1,0),0)</f>
        <v>0</v>
      </c>
      <c r="CM141" s="23" t="str">
        <f aca="false">IF(AY141=1,IFERROR(MATCH($A141,INDEX(Clay_Brands!$A$2:$FZ$601,0,Sync!$D$5),0),""),"")</f>
        <v/>
      </c>
      <c r="CN141" s="23" t="str">
        <f aca="false">IF(CM141="","",IFERROR(INDEX(Clay_Brands!$A$2:$FZ$601,CM141,Sync!$D$7)&amp;"",""))</f>
        <v/>
      </c>
      <c r="CO141" s="23" t="str">
        <f aca="false">IF(CN141="","",IFERROR(INDEX(Lists!$K$2:$K$15,MATCH(CN141,Lists!$J$2:$J$15,0)),""))</f>
        <v/>
      </c>
      <c r="CP141" s="23" t="str">
        <f aca="false">IF(CM141="","",IFERROR(INDEX(Clay_Brands!$A$2:$FZ$601,CM141,Sync!$D$17)&amp;"",""))</f>
        <v/>
      </c>
      <c r="CQ141" s="35" t="str">
        <f aca="false">IF(CM141="","",IFERROR(N(INDEX(Clay_Brands!$A$2:$FZ$601,CM141,Sync!$D$16)),0))</f>
        <v/>
      </c>
      <c r="CR141" s="23" t="n">
        <f aca="false">IF(AND(AY141=1,OR(O141="N",AND(OR(ISNUMBER(R141),ISNUMBER(V141)),MAX(N(R141),N(V141))&lt;Config!$B$14))),1,0)</f>
        <v>0</v>
      </c>
      <c r="CS141" s="23" t="n">
        <f aca="false">IF(OR(BB141=1,CR141=1),1,0)</f>
        <v>0</v>
      </c>
      <c r="CT141" s="23" t="n">
        <f aca="false">IF(AND(AY141=1,OR(AN141="Y",AN141="N",AN141="maybe")),1,0)</f>
        <v>0</v>
      </c>
      <c r="CU141" s="23" t="n">
        <f aca="false">IF(AND(CT141=1),IF(COUNTIFS($A$2:$A$201,$A141,$CT$2:$CT$201,1,$H$2:$H$201,"&gt;"&amp;H141)+COUNTIFS($A$2:$A$201,$A141,$CT$2:$CT$201,1,$H$2:$H$201,H141,$AX$2:$AX$201,"&gt;"&amp;AX141)=0,1,0),0)</f>
        <v>0</v>
      </c>
      <c r="CV141" s="23" t="n">
        <f aca="false">IF(AND(CS141=1,INT(N(H141))&lt;=Config!$B$6),IF(COUNTIFS($AW$2:$AW$201,AW141,$CS$2:$CS$201,1,$H$2:$H$201,"&gt;"&amp;H141,$H$2:$H$201,"&lt;"&amp;(Config!$B$6+1))+COUNTIFS($AW$2:$AW$201,AW141,$CS$2:$CS$201,1,$H$2:$H$201,H141,$AX$2:$AX$201,"&gt;"&amp;AX141)=0,1,0),0)</f>
        <v>0</v>
      </c>
      <c r="CW141" s="23" t="n">
        <f aca="false">IF(AND(CS141=1,INT(N(H141))&lt;=Config!$B$7),IF(COUNTIFS($AW$2:$AW$201,AW141,$CS$2:$CS$201,1,$H$2:$H$201,"&gt;"&amp;H141,$H$2:$H$201,"&lt;"&amp;(Config!$B$7+1))+COUNTIFS($AW$2:$AW$201,AW141,$CS$2:$CS$201,1,$H$2:$H$201,H141,$AX$2:$AX$201,"&gt;"&amp;AX141)=0,1,0),0)</f>
        <v>0</v>
      </c>
      <c r="CX141" s="23" t="n">
        <f aca="false">IF(AND(CS141=1,INT(N(H141))&lt;=Config!$B$8),IF(COUNTIFS($AW$2:$AW$201,AW141,$CS$2:$CS$201,1,$H$2:$H$201,"&gt;"&amp;H141,$H$2:$H$201,"&lt;"&amp;(Config!$B$8+1))+COUNTIFS($AW$2:$AW$201,AW141,$CS$2:$CS$201,1,$H$2:$H$201,H141,$AX$2:$AX$201,"&gt;"&amp;AX141)=0,1,0),0)</f>
        <v>0</v>
      </c>
      <c r="CY141" s="23" t="n">
        <f aca="false">IF(AND(CS141=1,INT(N(H141))&lt;=Config!$B$5),IF(COUNTIFS($AW$2:$AW$201,AW141,$CS$2:$CS$201,1,$H$2:$H$201,"&gt;"&amp;H141,$H$2:$H$201,"&lt;"&amp;(Config!$B$5+1))+COUNTIFS($AW$2:$AW$201,AW141,$CS$2:$CS$201,1,$H$2:$H$201,H141,$AX$2:$AX$201,"&gt;"&amp;AX141)=0,1,0),0)</f>
        <v>0</v>
      </c>
      <c r="CZ141" s="23" t="n">
        <f aca="false">IF(AY141=1,IF(COUNTIFS($AW$2:$AW$201,AW141,$CV$2:$CV$201,1,$BB$2:$BB$201,1)&gt;0,1,0),0)</f>
        <v>0</v>
      </c>
      <c r="DA141" s="23" t="n">
        <f aca="false">IF(AY141=1,IF(COUNTIFS($AW$2:$AW$201,AW141,$CW$2:$CW$201,1,$BB$2:$BB$201,1)&gt;0,1,0),0)</f>
        <v>0</v>
      </c>
      <c r="DB141" s="23" t="n">
        <f aca="false">IF(AY141=1,IF(COUNTIFS($AW$2:$AW$201,AW141,$CX$2:$CX$201,1,$BB$2:$BB$201,1)&gt;0,1,0),0)</f>
        <v>0</v>
      </c>
      <c r="DC141" s="23" t="n">
        <f aca="false">IF(AY141=1,IF(COUNTIFS($AW$2:$AW$201,AW141,$CY$2:$CY$201,1,$BB$2:$BB$201,1)&gt;0,1,0),0)</f>
        <v>0</v>
      </c>
      <c r="DD141" s="23" t="n">
        <f aca="false">IF(AND(BC141=1,INT(N(H141))&lt;=Config!$B$6,CZ141=1),1,0)</f>
        <v>0</v>
      </c>
      <c r="DE141" s="23" t="n">
        <f aca="false">IF(AND(BC141=1,INT(N(H141))&lt;=Config!$B$7,DA141=1),1,0)</f>
        <v>0</v>
      </c>
      <c r="DF141" s="23" t="n">
        <f aca="false">IF(AND(BC141=1,INT(N(H141))&lt;=Config!$B$8,DB141=1),1,0)</f>
        <v>0</v>
      </c>
      <c r="DG141" s="23" t="n">
        <f aca="false">IF(AND(BC141=1,INT(N(H141))&lt;=Config!$B$5,DC141=1),1,0)</f>
        <v>0</v>
      </c>
      <c r="DH141" s="23" t="n">
        <f aca="false">IF(AND(BE141=1,INT(N(H141))&lt;=Config!$B$6,CZ141=1),1,0)</f>
        <v>0</v>
      </c>
      <c r="DI141" s="23" t="n">
        <f aca="false">IF(AND(BE141=1,INT(N(H141))&lt;=Config!$B$7,DA141=1),1,0)</f>
        <v>0</v>
      </c>
      <c r="DJ141" s="23" t="n">
        <f aca="false">IF(AND(BE141=1,INT(N(H141))&lt;=Config!$B$8,DB141=1),1,0)</f>
        <v>0</v>
      </c>
      <c r="DK141" s="23" t="n">
        <f aca="false">IF(AND(BE141=1,INT(N(H141))&lt;=Config!$B$5,DC141=1),1,0)</f>
        <v>0</v>
      </c>
      <c r="DL141" s="23" t="n">
        <f aca="false">IF(AND(BC141=1,INT(N(H141))&lt;=Config!$B$6,CZ141=0),1,0)</f>
        <v>0</v>
      </c>
      <c r="DM141" s="23" t="n">
        <f aca="false">IF(AND(BC141=1,INT(N(H141))&lt;=Config!$B$7,DA141=0),1,0)</f>
        <v>0</v>
      </c>
      <c r="DN141" s="23" t="n">
        <f aca="false">IF(AND(BC141=1,INT(N(H141))&lt;=Config!$B$8,DB141=0),1,0)</f>
        <v>0</v>
      </c>
      <c r="DO141" s="23" t="n">
        <f aca="false">IF(AND(BC141=1,INT(N(H141))&lt;=Config!$B$5,DC141=0),1,0)</f>
        <v>0</v>
      </c>
      <c r="DP141" s="23" t="n">
        <f aca="false">IF(TRIM($A141)="",0,ISTEXT(K141)+ISTEXT(L141)+ISTEXT(R141)+ISTEXT(V141)+ISTEXT(AP141)+ISTEXT(AS141))</f>
        <v>0</v>
      </c>
      <c r="DQ141" s="23" t="n">
        <f aca="false">IF(AY141=1,IF(H141&lt;&gt;INT(H141),1,0),0)</f>
        <v>0</v>
      </c>
      <c r="DR141" s="23" t="str">
        <f aca="false">IF(TRIM($A141)="","",IF(TRIM(B141)="",SUBSTITUTE(SUBSTITUTE(SUBSTITUTE(SUBSTITUTE(SUBSTITUTE(SUBSTITUTE(LOWER(TRIM($A141)),"~",""),"*",""),"?",""),"&lt;",""),"&gt;",""),"=",""),SUBSTITUTE(SUBSTITUTE(SUBSTITUTE(SUBSTITUTE(SUBSTITUTE(SUBSTITUTE(LOWER(TRIM(B141)),"~",""),"*",""),"?",""),"&lt;",""),"&gt;",""),"=","")))</f>
        <v/>
      </c>
      <c r="DS141" s="23" t="str">
        <f aca="false">IF(CM141="","",IFERROR(IF(LEFT(LOWER(TRIM(INDEX(Clay_Brands!$A$2:$FZ$601,CM141,Sync!$D$19)&amp;"")),4)="grp-",SUBSTITUTE(SUBSTITUTE(SUBSTITUTE(SUBSTITUTE(SUBSTITUTE(SUBSTITUTE(LOWER(TRIM(INDEX(Clay_Brands!$A$2:$FZ$601,CM141,Sync!$D$19)&amp;"")),"~",""),"*",""),"?",""),"&lt;",""),"&gt;",""),"=",""),""),""))</f>
        <v/>
      </c>
      <c r="DT141" s="23" t="str">
        <f aca="false">IF(DS141&lt;&gt;"",DR141,"")</f>
        <v/>
      </c>
      <c r="DU141" s="23" t="str">
        <f aca="false">IF(AZ141=1,AW141,"")</f>
        <v/>
      </c>
      <c r="DV141" s="23" t="str">
        <f aca="false">IF(TRIM($A141)="","",IFERROR(INDEX($A$2:$A$201,MATCH(AW141,$DU$2:$DU$201,0))&amp;"",$A141&amp;""))</f>
        <v/>
      </c>
      <c r="DW141" s="23" t="n">
        <f aca="false">IF(AY141=1,IF(COUNTIFS($A$2:$A$201,$A141,$AY$2:$AY$201,1,$H$2:$H$201,"&lt;"&amp;H141)+COUNTIFS($A$2:$A$201,$A141,$AY$2:$AY$201,1,$H$2:$H$201,H141,$AX$2:$AX$201,"&lt;"&amp;AX141)=0,1,0),0)</f>
        <v>0</v>
      </c>
      <c r="DX141" s="23" t="n">
        <f aca="false">IF(AZ141=1,IF(COUNTIFS($AW$2:$AW$201,AW141,$DW$2:$DW$201,1)&gt;1,1,0),0)</f>
        <v>0</v>
      </c>
    </row>
    <row r="142" customFormat="false" ht="15" hidden="false" customHeight="false" outlineLevel="0" collapsed="false">
      <c r="G142" s="32"/>
      <c r="H142" s="33"/>
      <c r="I142" s="32"/>
      <c r="O142" s="32"/>
      <c r="P142" s="32"/>
      <c r="U142" s="32"/>
      <c r="Y142" s="32"/>
      <c r="AB142" s="32"/>
      <c r="AC142" s="32"/>
      <c r="AD142" s="32"/>
      <c r="AE142" s="32"/>
      <c r="AF142" s="32"/>
      <c r="AG142" s="32"/>
      <c r="AI142" s="32"/>
      <c r="AJ142" s="32"/>
      <c r="AK142" s="32"/>
      <c r="AN142" s="32"/>
      <c r="AO142" s="32"/>
      <c r="AR142" s="32"/>
      <c r="AT142" s="32"/>
      <c r="AV142" s="34" t="str">
        <f aca="false">IF(TRIM($A142)="","",IF(AND(LEFT($A142,6)="SAMPLE",Config!$B$19&lt;&gt;"Y"),"",IF(NOT(ISNUMBER(H142)),"call_date is blank or not a date",IF(Sync!$D$5="","Clay paste is empty or has no row_id column: paste the Clay export on Clay_Brands",IF(CM142="","row_id not found in the Clay paste: add the Clay row or fix the row_id",IF(AND(ISNUMBER(CO142),CO142&gt;=1,CO142&lt;=5),"Clay status is "&amp;CN142&amp;": set call_done or later",IF(AND(BA142=1,CP142&lt;&gt;CB142),"Clay yes_in_principle should be "&amp;CB142,IF(AND(BA142=1,CQ142&lt;&gt;H142),"Clay call_date should be "&amp;TEXT(H142,"yyyy-mm-dd"),""))))))))</f>
        <v/>
      </c>
      <c r="AW142" s="23" t="str">
        <f aca="false">IF(TRIM($A142)="","",IF(TRIM(C142)&lt;&gt;"",SUBSTITUTE(SUBSTITUTE(SUBSTITUTE(SUBSTITUTE(SUBSTITUTE(SUBSTITUTE(LOWER(TRIM(C142)),"~",""),"*",""),"?",""),"&lt;",""),"&gt;",""),"=",""),IF(DS142&lt;&gt;"",DS142,IFERROR(INDEX($DS$2:$DS$201,MATCH(DR142,$DT$2:$DT$201,0)),DR142))))</f>
        <v/>
      </c>
      <c r="AX142" s="23" t="n">
        <f aca="false">ROW()</f>
        <v>142</v>
      </c>
      <c r="AY142" s="23" t="n">
        <f aca="false">IF(AND(TRIM($A142)&lt;&gt;"",ISNUMBER(H142)),IF(AND(LEFT($A142,6)="SAMPLE",Config!$B$19&lt;&gt;"Y"),0,1),0)</f>
        <v>0</v>
      </c>
      <c r="AZ142" s="23" t="n">
        <f aca="false">IF(AY142=1,IF(COUNTIFS($AW$2:$AW$201,AW142,$AY$2:$AY$201,1,$H$2:$H$201,"&lt;"&amp;H142)+COUNTIFS($AW$2:$AW$201,AW142,$AY$2:$AY$201,1,$H$2:$H$201,H142,$AX$2:$AX$201,"&lt;"&amp;AX142)=0,1,0),0)</f>
        <v>0</v>
      </c>
      <c r="BA142" s="23" t="n">
        <f aca="false">IF(AY142=1,IF(COUNTIFS($A$2:$A$201,$A142,$AY$2:$AY$201,1,$H$2:$H$201,"&gt;"&amp;H142)+COUNTIFS($A$2:$A$201,$A142,$AY$2:$AY$201,1,$H$2:$H$201,H142,$AX$2:$AX$201,"&gt;"&amp;AX142)=0,1,0),0)</f>
        <v>0</v>
      </c>
      <c r="BB142" s="23" t="n">
        <f aca="false">IF(AND(AY142=1,O142="Y",MAX(N(R142),N(V142))&gt;=Config!$B$14),1,0)</f>
        <v>0</v>
      </c>
      <c r="BC142" s="23" t="n">
        <f aca="false">IF(BB142=1,IF(COUNTIFS($AW$2:$AW$201,AW142,$BB$2:$BB$201,1,$H$2:$H$201,"&lt;"&amp;H142)+COUNTIFS($AW$2:$AW$201,AW142,$BB$2:$BB$201,1,$H$2:$H$201,H142,$AX$2:$AX$201,"&lt;"&amp;AX142)=0,1,0),0)</f>
        <v>0</v>
      </c>
      <c r="BD142" s="23" t="n">
        <f aca="false">IF(AND(AY142=1,O142="Y",ISNUMBER(R142)),IF(R142&gt;=Config!$B$14,1,0),0)</f>
        <v>0</v>
      </c>
      <c r="BE142" s="23" t="n">
        <f aca="false">IF(BD142=1,IF(COUNTIFS($AW$2:$AW$201,AW142,$BD$2:$BD$201,1,$H$2:$H$201,"&lt;"&amp;H142)+COUNTIFS($AW$2:$AW$201,AW142,$BD$2:$BD$201,1,$H$2:$H$201,H142,$AX$2:$AX$201,"&lt;"&amp;AX142)=0,1,0),0)</f>
        <v>0</v>
      </c>
      <c r="BF142" s="23" t="n">
        <f aca="false">IF(AND(AY142=1,O142&lt;&gt;"Y",MAX(N(R142),N(V142))&gt;=Config!$B$14),1,0)</f>
        <v>0</v>
      </c>
      <c r="BG142" s="23" t="n">
        <f aca="false">IF(BF142=1,IF(COUNTIFS($AW$2:$AW$201,AW142,$BF$2:$BF$201,1,$H$2:$H$201,"&lt;"&amp;H142)+COUNTIFS($AW$2:$AW$201,AW142,$BF$2:$BF$201,1,$H$2:$H$201,H142,$AX$2:$AX$201,"&lt;"&amp;AX142)=0,1,0),0)</f>
        <v>0</v>
      </c>
      <c r="BH142" s="23" t="n">
        <f aca="false">IF(AND(AY142=1,ISNUMBER(R142)),1,0)</f>
        <v>0</v>
      </c>
      <c r="BI142" s="23" t="n">
        <f aca="false">IF(BH142=1,IF(COUNTIFS($AW$2:$AW$201,AW142,$BH$2:$BH$201,1,$H$2:$H$201,"&lt;"&amp;H142)+COUNTIFS($AW$2:$AW$201,AW142,$BH$2:$BH$201,1,$H$2:$H$201,H142,$AX$2:$AX$201,"&lt;"&amp;AX142)=0,1,0),0)</f>
        <v>0</v>
      </c>
      <c r="BJ142" s="23" t="str">
        <f aca="false">IF(AND(BI142=1,INT(N(H142))&lt;=Config!$B$6),R142,"")</f>
        <v/>
      </c>
      <c r="BK142" s="23" t="str">
        <f aca="false">IF(AND(BI142=1,INT(N(H142))&lt;=Config!$B$7),R142,"")</f>
        <v/>
      </c>
      <c r="BL142" s="23" t="str">
        <f aca="false">IF(AND(BI142=1,INT(N(H142))&lt;=Config!$B$8),R142,"")</f>
        <v/>
      </c>
      <c r="BM142" s="23" t="str">
        <f aca="false">IF(AND(BI142=1,INT(N(H142))&lt;=Config!$B$5),R142,"")</f>
        <v/>
      </c>
      <c r="BN142" s="23" t="n">
        <f aca="false">IF(AND(AY142=1,ISNUMBER(V142)),1,0)</f>
        <v>0</v>
      </c>
      <c r="BO142" s="23" t="n">
        <f aca="false">IF(BN142=1,IF(COUNTIFS($AW$2:$AW$201,AW142,$BN$2:$BN$201,1,$H$2:$H$201,"&lt;"&amp;H142)+COUNTIFS($AW$2:$AW$201,AW142,$BN$2:$BN$201,1,$H$2:$H$201,H142,$AX$2:$AX$201,"&lt;"&amp;AX142)=0,1,0),0)</f>
        <v>0</v>
      </c>
      <c r="BP142" s="23" t="str">
        <f aca="false">IF(AND(BO142=1,INT(N(H142))&lt;=Config!$B$6),V142,"")</f>
        <v/>
      </c>
      <c r="BQ142" s="23" t="str">
        <f aca="false">IF(AND(BO142=1,INT(N(H142))&lt;=Config!$B$7),V142,"")</f>
        <v/>
      </c>
      <c r="BR142" s="23" t="str">
        <f aca="false">IF(AND(BO142=1,INT(N(H142))&lt;=Config!$B$8),V142,"")</f>
        <v/>
      </c>
      <c r="BS142" s="23" t="str">
        <f aca="false">IF(AND(BO142=1,INT(N(H142))&lt;=Config!$B$5),V142,"")</f>
        <v/>
      </c>
      <c r="BT142" s="23" t="n">
        <f aca="false">IF(AND(AY142=1,ISNUMBER(K142)),1,0)</f>
        <v>0</v>
      </c>
      <c r="BU142" s="23" t="n">
        <f aca="false">IF(BT142=1,IF(COUNTIFS($AW$2:$AW$201,AW142,$BT$2:$BT$201,1,$H$2:$H$201,"&lt;"&amp;H142)+COUNTIFS($AW$2:$AW$201,AW142,$BT$2:$BT$201,1,$H$2:$H$201,H142,$AX$2:$AX$201,"&lt;"&amp;AX142)=0,1,0),0)</f>
        <v>0</v>
      </c>
      <c r="BV142" s="23" t="str">
        <f aca="false">IF(AND(BU142=1,INT(N(H142))&lt;=Config!$B$5),K142,"")</f>
        <v/>
      </c>
      <c r="BW142" s="23" t="n">
        <f aca="false">IF(AND(AY142=1,OR(AND(ISNUMBER(R142),TRIM(S142)=""),AND(ISNUMBER(V142),TRIM(W142)=""))),1,0)</f>
        <v>0</v>
      </c>
      <c r="BX142" s="23" t="str">
        <f aca="false">IF(AY142=1,AJ142&amp;"","")</f>
        <v/>
      </c>
      <c r="BY142" s="23" t="str">
        <f aca="false">IF(AY142=1,AK142&amp;"","")</f>
        <v/>
      </c>
      <c r="BZ142" s="23" t="str">
        <f aca="false">IF(AY142=1,AL142&amp;"","")</f>
        <v/>
      </c>
      <c r="CA142" s="23" t="str">
        <f aca="false">IF(AND(AY142=1,ISNUMBER(AS142),INT(N(H142))&lt;=Config!$B$5),AS142,"")</f>
        <v/>
      </c>
      <c r="CB142" s="23" t="str">
        <f aca="false">IF(AY142=1,IF(COUNTIFS($A$2:$A$201,$A142,$CU$2:$CU$201,1,$AN$2:$AN$201,"Y")&gt;0,"Y","N"),"")</f>
        <v/>
      </c>
      <c r="CC142" s="23" t="n">
        <f aca="false">IF(AND(AY142=1,AN142="Y"),IF(COUNTIFS($AW$2:$AW$201,AW142,$AN$2:$AN$201,"Y",$AY$2:$AY$201,1,$H$2:$H$201,"&lt;"&amp;H142)+COUNTIFS($AW$2:$AW$201,AW142,$AN$2:$AN$201,"Y",$AY$2:$AY$201,1,$H$2:$H$201,H142,$AX$2:$AX$201,"&lt;"&amp;AX142)=0,1,0),0)</f>
        <v>0</v>
      </c>
      <c r="CD142" s="23" t="n">
        <f aca="false">IF(AND(AY142=1,AB142="Y",AC142="Y",AD142="Y",AE142="Y",AF142="Y",AG142="Y",AI142="Y",TRIM(AH142)&lt;&gt;""),1,0)</f>
        <v>0</v>
      </c>
      <c r="CE142" s="23" t="n">
        <f aca="false">IF(CD142=1,IF(COUNTIFS($AW$2:$AW$201,AW142,$CD$2:$CD$201,1,$H$2:$H$201,"&lt;"&amp;H142)+COUNTIFS($AW$2:$AW$201,AW142,$CD$2:$CD$201,1,$H$2:$H$201,H142,$AX$2:$AX$201,"&lt;"&amp;AX142)=0,1,0),0)</f>
        <v>0</v>
      </c>
      <c r="CF142" s="23" t="n">
        <f aca="false">IF(AND(AY142=1,AO142="Y"),1,0)</f>
        <v>0</v>
      </c>
      <c r="CG142" s="23" t="n">
        <f aca="false">IF(CF142=1,IF(COUNTIFS($AW$2:$AW$201,AW142,$CF$2:$CF$201,1,$H$2:$H$201,"&lt;"&amp;H142)+COUNTIFS($AW$2:$AW$201,AW142,$CF$2:$CF$201,1,$H$2:$H$201,H142,$AX$2:$AX$201,"&lt;"&amp;AX142)=0,1,0),0)</f>
        <v>0</v>
      </c>
      <c r="CH142" s="23" t="n">
        <f aca="false">IF(AND(AY142=1,P142="Y"),1,0)</f>
        <v>0</v>
      </c>
      <c r="CI142" s="23" t="n">
        <f aca="false">IF(CH142=1,IF(COUNTIFS($AW$2:$AW$201,AW142,$CH$2:$CH$201,1,$H$2:$H$201,"&lt;"&amp;H142)+COUNTIFS($AW$2:$AW$201,AW142,$CH$2:$CH$201,1,$H$2:$H$201,H142,$AX$2:$AX$201,"&lt;"&amp;AX142)=0,1,0),0)</f>
        <v>0</v>
      </c>
      <c r="CJ142" s="23" t="str">
        <f aca="false">IF(AND(BU142=1,INT(N(H142))&lt;=Config!$B$5),L142,"")</f>
        <v/>
      </c>
      <c r="CK142" s="23" t="n">
        <f aca="false">IF(AND(AY142=1,AR142="Y"),1,0)</f>
        <v>0</v>
      </c>
      <c r="CL142" s="23" t="n">
        <f aca="false">IF(CK142=1,IF(COUNTIFS($AW$2:$AW$201,AW142,$CK$2:$CK$201,1,$H$2:$H$201,"&lt;"&amp;H142)+COUNTIFS($AW$2:$AW$201,AW142,$CK$2:$CK$201,1,$H$2:$H$201,H142,$AX$2:$AX$201,"&lt;"&amp;AX142)=0,1,0),0)</f>
        <v>0</v>
      </c>
      <c r="CM142" s="23" t="str">
        <f aca="false">IF(AY142=1,IFERROR(MATCH($A142,INDEX(Clay_Brands!$A$2:$FZ$601,0,Sync!$D$5),0),""),"")</f>
        <v/>
      </c>
      <c r="CN142" s="23" t="str">
        <f aca="false">IF(CM142="","",IFERROR(INDEX(Clay_Brands!$A$2:$FZ$601,CM142,Sync!$D$7)&amp;"",""))</f>
        <v/>
      </c>
      <c r="CO142" s="23" t="str">
        <f aca="false">IF(CN142="","",IFERROR(INDEX(Lists!$K$2:$K$15,MATCH(CN142,Lists!$J$2:$J$15,0)),""))</f>
        <v/>
      </c>
      <c r="CP142" s="23" t="str">
        <f aca="false">IF(CM142="","",IFERROR(INDEX(Clay_Brands!$A$2:$FZ$601,CM142,Sync!$D$17)&amp;"",""))</f>
        <v/>
      </c>
      <c r="CQ142" s="35" t="str">
        <f aca="false">IF(CM142="","",IFERROR(N(INDEX(Clay_Brands!$A$2:$FZ$601,CM142,Sync!$D$16)),0))</f>
        <v/>
      </c>
      <c r="CR142" s="23" t="n">
        <f aca="false">IF(AND(AY142=1,OR(O142="N",AND(OR(ISNUMBER(R142),ISNUMBER(V142)),MAX(N(R142),N(V142))&lt;Config!$B$14))),1,0)</f>
        <v>0</v>
      </c>
      <c r="CS142" s="23" t="n">
        <f aca="false">IF(OR(BB142=1,CR142=1),1,0)</f>
        <v>0</v>
      </c>
      <c r="CT142" s="23" t="n">
        <f aca="false">IF(AND(AY142=1,OR(AN142="Y",AN142="N",AN142="maybe")),1,0)</f>
        <v>0</v>
      </c>
      <c r="CU142" s="23" t="n">
        <f aca="false">IF(AND(CT142=1),IF(COUNTIFS($A$2:$A$201,$A142,$CT$2:$CT$201,1,$H$2:$H$201,"&gt;"&amp;H142)+COUNTIFS($A$2:$A$201,$A142,$CT$2:$CT$201,1,$H$2:$H$201,H142,$AX$2:$AX$201,"&gt;"&amp;AX142)=0,1,0),0)</f>
        <v>0</v>
      </c>
      <c r="CV142" s="23" t="n">
        <f aca="false">IF(AND(CS142=1,INT(N(H142))&lt;=Config!$B$6),IF(COUNTIFS($AW$2:$AW$201,AW142,$CS$2:$CS$201,1,$H$2:$H$201,"&gt;"&amp;H142,$H$2:$H$201,"&lt;"&amp;(Config!$B$6+1))+COUNTIFS($AW$2:$AW$201,AW142,$CS$2:$CS$201,1,$H$2:$H$201,H142,$AX$2:$AX$201,"&gt;"&amp;AX142)=0,1,0),0)</f>
        <v>0</v>
      </c>
      <c r="CW142" s="23" t="n">
        <f aca="false">IF(AND(CS142=1,INT(N(H142))&lt;=Config!$B$7),IF(COUNTIFS($AW$2:$AW$201,AW142,$CS$2:$CS$201,1,$H$2:$H$201,"&gt;"&amp;H142,$H$2:$H$201,"&lt;"&amp;(Config!$B$7+1))+COUNTIFS($AW$2:$AW$201,AW142,$CS$2:$CS$201,1,$H$2:$H$201,H142,$AX$2:$AX$201,"&gt;"&amp;AX142)=0,1,0),0)</f>
        <v>0</v>
      </c>
      <c r="CX142" s="23" t="n">
        <f aca="false">IF(AND(CS142=1,INT(N(H142))&lt;=Config!$B$8),IF(COUNTIFS($AW$2:$AW$201,AW142,$CS$2:$CS$201,1,$H$2:$H$201,"&gt;"&amp;H142,$H$2:$H$201,"&lt;"&amp;(Config!$B$8+1))+COUNTIFS($AW$2:$AW$201,AW142,$CS$2:$CS$201,1,$H$2:$H$201,H142,$AX$2:$AX$201,"&gt;"&amp;AX142)=0,1,0),0)</f>
        <v>0</v>
      </c>
      <c r="CY142" s="23" t="n">
        <f aca="false">IF(AND(CS142=1,INT(N(H142))&lt;=Config!$B$5),IF(COUNTIFS($AW$2:$AW$201,AW142,$CS$2:$CS$201,1,$H$2:$H$201,"&gt;"&amp;H142,$H$2:$H$201,"&lt;"&amp;(Config!$B$5+1))+COUNTIFS($AW$2:$AW$201,AW142,$CS$2:$CS$201,1,$H$2:$H$201,H142,$AX$2:$AX$201,"&gt;"&amp;AX142)=0,1,0),0)</f>
        <v>0</v>
      </c>
      <c r="CZ142" s="23" t="n">
        <f aca="false">IF(AY142=1,IF(COUNTIFS($AW$2:$AW$201,AW142,$CV$2:$CV$201,1,$BB$2:$BB$201,1)&gt;0,1,0),0)</f>
        <v>0</v>
      </c>
      <c r="DA142" s="23" t="n">
        <f aca="false">IF(AY142=1,IF(COUNTIFS($AW$2:$AW$201,AW142,$CW$2:$CW$201,1,$BB$2:$BB$201,1)&gt;0,1,0),0)</f>
        <v>0</v>
      </c>
      <c r="DB142" s="23" t="n">
        <f aca="false">IF(AY142=1,IF(COUNTIFS($AW$2:$AW$201,AW142,$CX$2:$CX$201,1,$BB$2:$BB$201,1)&gt;0,1,0),0)</f>
        <v>0</v>
      </c>
      <c r="DC142" s="23" t="n">
        <f aca="false">IF(AY142=1,IF(COUNTIFS($AW$2:$AW$201,AW142,$CY$2:$CY$201,1,$BB$2:$BB$201,1)&gt;0,1,0),0)</f>
        <v>0</v>
      </c>
      <c r="DD142" s="23" t="n">
        <f aca="false">IF(AND(BC142=1,INT(N(H142))&lt;=Config!$B$6,CZ142=1),1,0)</f>
        <v>0</v>
      </c>
      <c r="DE142" s="23" t="n">
        <f aca="false">IF(AND(BC142=1,INT(N(H142))&lt;=Config!$B$7,DA142=1),1,0)</f>
        <v>0</v>
      </c>
      <c r="DF142" s="23" t="n">
        <f aca="false">IF(AND(BC142=1,INT(N(H142))&lt;=Config!$B$8,DB142=1),1,0)</f>
        <v>0</v>
      </c>
      <c r="DG142" s="23" t="n">
        <f aca="false">IF(AND(BC142=1,INT(N(H142))&lt;=Config!$B$5,DC142=1),1,0)</f>
        <v>0</v>
      </c>
      <c r="DH142" s="23" t="n">
        <f aca="false">IF(AND(BE142=1,INT(N(H142))&lt;=Config!$B$6,CZ142=1),1,0)</f>
        <v>0</v>
      </c>
      <c r="DI142" s="23" t="n">
        <f aca="false">IF(AND(BE142=1,INT(N(H142))&lt;=Config!$B$7,DA142=1),1,0)</f>
        <v>0</v>
      </c>
      <c r="DJ142" s="23" t="n">
        <f aca="false">IF(AND(BE142=1,INT(N(H142))&lt;=Config!$B$8,DB142=1),1,0)</f>
        <v>0</v>
      </c>
      <c r="DK142" s="23" t="n">
        <f aca="false">IF(AND(BE142=1,INT(N(H142))&lt;=Config!$B$5,DC142=1),1,0)</f>
        <v>0</v>
      </c>
      <c r="DL142" s="23" t="n">
        <f aca="false">IF(AND(BC142=1,INT(N(H142))&lt;=Config!$B$6,CZ142=0),1,0)</f>
        <v>0</v>
      </c>
      <c r="DM142" s="23" t="n">
        <f aca="false">IF(AND(BC142=1,INT(N(H142))&lt;=Config!$B$7,DA142=0),1,0)</f>
        <v>0</v>
      </c>
      <c r="DN142" s="23" t="n">
        <f aca="false">IF(AND(BC142=1,INT(N(H142))&lt;=Config!$B$8,DB142=0),1,0)</f>
        <v>0</v>
      </c>
      <c r="DO142" s="23" t="n">
        <f aca="false">IF(AND(BC142=1,INT(N(H142))&lt;=Config!$B$5,DC142=0),1,0)</f>
        <v>0</v>
      </c>
      <c r="DP142" s="23" t="n">
        <f aca="false">IF(TRIM($A142)="",0,ISTEXT(K142)+ISTEXT(L142)+ISTEXT(R142)+ISTEXT(V142)+ISTEXT(AP142)+ISTEXT(AS142))</f>
        <v>0</v>
      </c>
      <c r="DQ142" s="23" t="n">
        <f aca="false">IF(AY142=1,IF(H142&lt;&gt;INT(H142),1,0),0)</f>
        <v>0</v>
      </c>
      <c r="DR142" s="23" t="str">
        <f aca="false">IF(TRIM($A142)="","",IF(TRIM(B142)="",SUBSTITUTE(SUBSTITUTE(SUBSTITUTE(SUBSTITUTE(SUBSTITUTE(SUBSTITUTE(LOWER(TRIM($A142)),"~",""),"*",""),"?",""),"&lt;",""),"&gt;",""),"=",""),SUBSTITUTE(SUBSTITUTE(SUBSTITUTE(SUBSTITUTE(SUBSTITUTE(SUBSTITUTE(LOWER(TRIM(B142)),"~",""),"*",""),"?",""),"&lt;",""),"&gt;",""),"=","")))</f>
        <v/>
      </c>
      <c r="DS142" s="23" t="str">
        <f aca="false">IF(CM142="","",IFERROR(IF(LEFT(LOWER(TRIM(INDEX(Clay_Brands!$A$2:$FZ$601,CM142,Sync!$D$19)&amp;"")),4)="grp-",SUBSTITUTE(SUBSTITUTE(SUBSTITUTE(SUBSTITUTE(SUBSTITUTE(SUBSTITUTE(LOWER(TRIM(INDEX(Clay_Brands!$A$2:$FZ$601,CM142,Sync!$D$19)&amp;"")),"~",""),"*",""),"?",""),"&lt;",""),"&gt;",""),"=",""),""),""))</f>
        <v/>
      </c>
      <c r="DT142" s="23" t="str">
        <f aca="false">IF(DS142&lt;&gt;"",DR142,"")</f>
        <v/>
      </c>
      <c r="DU142" s="23" t="str">
        <f aca="false">IF(AZ142=1,AW142,"")</f>
        <v/>
      </c>
      <c r="DV142" s="23" t="str">
        <f aca="false">IF(TRIM($A142)="","",IFERROR(INDEX($A$2:$A$201,MATCH(AW142,$DU$2:$DU$201,0))&amp;"",$A142&amp;""))</f>
        <v/>
      </c>
      <c r="DW142" s="23" t="n">
        <f aca="false">IF(AY142=1,IF(COUNTIFS($A$2:$A$201,$A142,$AY$2:$AY$201,1,$H$2:$H$201,"&lt;"&amp;H142)+COUNTIFS($A$2:$A$201,$A142,$AY$2:$AY$201,1,$H$2:$H$201,H142,$AX$2:$AX$201,"&lt;"&amp;AX142)=0,1,0),0)</f>
        <v>0</v>
      </c>
      <c r="DX142" s="23" t="n">
        <f aca="false">IF(AZ142=1,IF(COUNTIFS($AW$2:$AW$201,AW142,$DW$2:$DW$201,1)&gt;1,1,0),0)</f>
        <v>0</v>
      </c>
    </row>
    <row r="143" customFormat="false" ht="15" hidden="false" customHeight="false" outlineLevel="0" collapsed="false">
      <c r="G143" s="32"/>
      <c r="H143" s="33"/>
      <c r="I143" s="32"/>
      <c r="O143" s="32"/>
      <c r="P143" s="32"/>
      <c r="U143" s="32"/>
      <c r="Y143" s="32"/>
      <c r="AB143" s="32"/>
      <c r="AC143" s="32"/>
      <c r="AD143" s="32"/>
      <c r="AE143" s="32"/>
      <c r="AF143" s="32"/>
      <c r="AG143" s="32"/>
      <c r="AI143" s="32"/>
      <c r="AJ143" s="32"/>
      <c r="AK143" s="32"/>
      <c r="AN143" s="32"/>
      <c r="AO143" s="32"/>
      <c r="AR143" s="32"/>
      <c r="AT143" s="32"/>
      <c r="AV143" s="34" t="str">
        <f aca="false">IF(TRIM($A143)="","",IF(AND(LEFT($A143,6)="SAMPLE",Config!$B$19&lt;&gt;"Y"),"",IF(NOT(ISNUMBER(H143)),"call_date is blank or not a date",IF(Sync!$D$5="","Clay paste is empty or has no row_id column: paste the Clay export on Clay_Brands",IF(CM143="","row_id not found in the Clay paste: add the Clay row or fix the row_id",IF(AND(ISNUMBER(CO143),CO143&gt;=1,CO143&lt;=5),"Clay status is "&amp;CN143&amp;": set call_done or later",IF(AND(BA143=1,CP143&lt;&gt;CB143),"Clay yes_in_principle should be "&amp;CB143,IF(AND(BA143=1,CQ143&lt;&gt;H143),"Clay call_date should be "&amp;TEXT(H143,"yyyy-mm-dd"),""))))))))</f>
        <v/>
      </c>
      <c r="AW143" s="23" t="str">
        <f aca="false">IF(TRIM($A143)="","",IF(TRIM(C143)&lt;&gt;"",SUBSTITUTE(SUBSTITUTE(SUBSTITUTE(SUBSTITUTE(SUBSTITUTE(SUBSTITUTE(LOWER(TRIM(C143)),"~",""),"*",""),"?",""),"&lt;",""),"&gt;",""),"=",""),IF(DS143&lt;&gt;"",DS143,IFERROR(INDEX($DS$2:$DS$201,MATCH(DR143,$DT$2:$DT$201,0)),DR143))))</f>
        <v/>
      </c>
      <c r="AX143" s="23" t="n">
        <f aca="false">ROW()</f>
        <v>143</v>
      </c>
      <c r="AY143" s="23" t="n">
        <f aca="false">IF(AND(TRIM($A143)&lt;&gt;"",ISNUMBER(H143)),IF(AND(LEFT($A143,6)="SAMPLE",Config!$B$19&lt;&gt;"Y"),0,1),0)</f>
        <v>0</v>
      </c>
      <c r="AZ143" s="23" t="n">
        <f aca="false">IF(AY143=1,IF(COUNTIFS($AW$2:$AW$201,AW143,$AY$2:$AY$201,1,$H$2:$H$201,"&lt;"&amp;H143)+COUNTIFS($AW$2:$AW$201,AW143,$AY$2:$AY$201,1,$H$2:$H$201,H143,$AX$2:$AX$201,"&lt;"&amp;AX143)=0,1,0),0)</f>
        <v>0</v>
      </c>
      <c r="BA143" s="23" t="n">
        <f aca="false">IF(AY143=1,IF(COUNTIFS($A$2:$A$201,$A143,$AY$2:$AY$201,1,$H$2:$H$201,"&gt;"&amp;H143)+COUNTIFS($A$2:$A$201,$A143,$AY$2:$AY$201,1,$H$2:$H$201,H143,$AX$2:$AX$201,"&gt;"&amp;AX143)=0,1,0),0)</f>
        <v>0</v>
      </c>
      <c r="BB143" s="23" t="n">
        <f aca="false">IF(AND(AY143=1,O143="Y",MAX(N(R143),N(V143))&gt;=Config!$B$14),1,0)</f>
        <v>0</v>
      </c>
      <c r="BC143" s="23" t="n">
        <f aca="false">IF(BB143=1,IF(COUNTIFS($AW$2:$AW$201,AW143,$BB$2:$BB$201,1,$H$2:$H$201,"&lt;"&amp;H143)+COUNTIFS($AW$2:$AW$201,AW143,$BB$2:$BB$201,1,$H$2:$H$201,H143,$AX$2:$AX$201,"&lt;"&amp;AX143)=0,1,0),0)</f>
        <v>0</v>
      </c>
      <c r="BD143" s="23" t="n">
        <f aca="false">IF(AND(AY143=1,O143="Y",ISNUMBER(R143)),IF(R143&gt;=Config!$B$14,1,0),0)</f>
        <v>0</v>
      </c>
      <c r="BE143" s="23" t="n">
        <f aca="false">IF(BD143=1,IF(COUNTIFS($AW$2:$AW$201,AW143,$BD$2:$BD$201,1,$H$2:$H$201,"&lt;"&amp;H143)+COUNTIFS($AW$2:$AW$201,AW143,$BD$2:$BD$201,1,$H$2:$H$201,H143,$AX$2:$AX$201,"&lt;"&amp;AX143)=0,1,0),0)</f>
        <v>0</v>
      </c>
      <c r="BF143" s="23" t="n">
        <f aca="false">IF(AND(AY143=1,O143&lt;&gt;"Y",MAX(N(R143),N(V143))&gt;=Config!$B$14),1,0)</f>
        <v>0</v>
      </c>
      <c r="BG143" s="23" t="n">
        <f aca="false">IF(BF143=1,IF(COUNTIFS($AW$2:$AW$201,AW143,$BF$2:$BF$201,1,$H$2:$H$201,"&lt;"&amp;H143)+COUNTIFS($AW$2:$AW$201,AW143,$BF$2:$BF$201,1,$H$2:$H$201,H143,$AX$2:$AX$201,"&lt;"&amp;AX143)=0,1,0),0)</f>
        <v>0</v>
      </c>
      <c r="BH143" s="23" t="n">
        <f aca="false">IF(AND(AY143=1,ISNUMBER(R143)),1,0)</f>
        <v>0</v>
      </c>
      <c r="BI143" s="23" t="n">
        <f aca="false">IF(BH143=1,IF(COUNTIFS($AW$2:$AW$201,AW143,$BH$2:$BH$201,1,$H$2:$H$201,"&lt;"&amp;H143)+COUNTIFS($AW$2:$AW$201,AW143,$BH$2:$BH$201,1,$H$2:$H$201,H143,$AX$2:$AX$201,"&lt;"&amp;AX143)=0,1,0),0)</f>
        <v>0</v>
      </c>
      <c r="BJ143" s="23" t="str">
        <f aca="false">IF(AND(BI143=1,INT(N(H143))&lt;=Config!$B$6),R143,"")</f>
        <v/>
      </c>
      <c r="BK143" s="23" t="str">
        <f aca="false">IF(AND(BI143=1,INT(N(H143))&lt;=Config!$B$7),R143,"")</f>
        <v/>
      </c>
      <c r="BL143" s="23" t="str">
        <f aca="false">IF(AND(BI143=1,INT(N(H143))&lt;=Config!$B$8),R143,"")</f>
        <v/>
      </c>
      <c r="BM143" s="23" t="str">
        <f aca="false">IF(AND(BI143=1,INT(N(H143))&lt;=Config!$B$5),R143,"")</f>
        <v/>
      </c>
      <c r="BN143" s="23" t="n">
        <f aca="false">IF(AND(AY143=1,ISNUMBER(V143)),1,0)</f>
        <v>0</v>
      </c>
      <c r="BO143" s="23" t="n">
        <f aca="false">IF(BN143=1,IF(COUNTIFS($AW$2:$AW$201,AW143,$BN$2:$BN$201,1,$H$2:$H$201,"&lt;"&amp;H143)+COUNTIFS($AW$2:$AW$201,AW143,$BN$2:$BN$201,1,$H$2:$H$201,H143,$AX$2:$AX$201,"&lt;"&amp;AX143)=0,1,0),0)</f>
        <v>0</v>
      </c>
      <c r="BP143" s="23" t="str">
        <f aca="false">IF(AND(BO143=1,INT(N(H143))&lt;=Config!$B$6),V143,"")</f>
        <v/>
      </c>
      <c r="BQ143" s="23" t="str">
        <f aca="false">IF(AND(BO143=1,INT(N(H143))&lt;=Config!$B$7),V143,"")</f>
        <v/>
      </c>
      <c r="BR143" s="23" t="str">
        <f aca="false">IF(AND(BO143=1,INT(N(H143))&lt;=Config!$B$8),V143,"")</f>
        <v/>
      </c>
      <c r="BS143" s="23" t="str">
        <f aca="false">IF(AND(BO143=1,INT(N(H143))&lt;=Config!$B$5),V143,"")</f>
        <v/>
      </c>
      <c r="BT143" s="23" t="n">
        <f aca="false">IF(AND(AY143=1,ISNUMBER(K143)),1,0)</f>
        <v>0</v>
      </c>
      <c r="BU143" s="23" t="n">
        <f aca="false">IF(BT143=1,IF(COUNTIFS($AW$2:$AW$201,AW143,$BT$2:$BT$201,1,$H$2:$H$201,"&lt;"&amp;H143)+COUNTIFS($AW$2:$AW$201,AW143,$BT$2:$BT$201,1,$H$2:$H$201,H143,$AX$2:$AX$201,"&lt;"&amp;AX143)=0,1,0),0)</f>
        <v>0</v>
      </c>
      <c r="BV143" s="23" t="str">
        <f aca="false">IF(AND(BU143=1,INT(N(H143))&lt;=Config!$B$5),K143,"")</f>
        <v/>
      </c>
      <c r="BW143" s="23" t="n">
        <f aca="false">IF(AND(AY143=1,OR(AND(ISNUMBER(R143),TRIM(S143)=""),AND(ISNUMBER(V143),TRIM(W143)=""))),1,0)</f>
        <v>0</v>
      </c>
      <c r="BX143" s="23" t="str">
        <f aca="false">IF(AY143=1,AJ143&amp;"","")</f>
        <v/>
      </c>
      <c r="BY143" s="23" t="str">
        <f aca="false">IF(AY143=1,AK143&amp;"","")</f>
        <v/>
      </c>
      <c r="BZ143" s="23" t="str">
        <f aca="false">IF(AY143=1,AL143&amp;"","")</f>
        <v/>
      </c>
      <c r="CA143" s="23" t="str">
        <f aca="false">IF(AND(AY143=1,ISNUMBER(AS143),INT(N(H143))&lt;=Config!$B$5),AS143,"")</f>
        <v/>
      </c>
      <c r="CB143" s="23" t="str">
        <f aca="false">IF(AY143=1,IF(COUNTIFS($A$2:$A$201,$A143,$CU$2:$CU$201,1,$AN$2:$AN$201,"Y")&gt;0,"Y","N"),"")</f>
        <v/>
      </c>
      <c r="CC143" s="23" t="n">
        <f aca="false">IF(AND(AY143=1,AN143="Y"),IF(COUNTIFS($AW$2:$AW$201,AW143,$AN$2:$AN$201,"Y",$AY$2:$AY$201,1,$H$2:$H$201,"&lt;"&amp;H143)+COUNTIFS($AW$2:$AW$201,AW143,$AN$2:$AN$201,"Y",$AY$2:$AY$201,1,$H$2:$H$201,H143,$AX$2:$AX$201,"&lt;"&amp;AX143)=0,1,0),0)</f>
        <v>0</v>
      </c>
      <c r="CD143" s="23" t="n">
        <f aca="false">IF(AND(AY143=1,AB143="Y",AC143="Y",AD143="Y",AE143="Y",AF143="Y",AG143="Y",AI143="Y",TRIM(AH143)&lt;&gt;""),1,0)</f>
        <v>0</v>
      </c>
      <c r="CE143" s="23" t="n">
        <f aca="false">IF(CD143=1,IF(COUNTIFS($AW$2:$AW$201,AW143,$CD$2:$CD$201,1,$H$2:$H$201,"&lt;"&amp;H143)+COUNTIFS($AW$2:$AW$201,AW143,$CD$2:$CD$201,1,$H$2:$H$201,H143,$AX$2:$AX$201,"&lt;"&amp;AX143)=0,1,0),0)</f>
        <v>0</v>
      </c>
      <c r="CF143" s="23" t="n">
        <f aca="false">IF(AND(AY143=1,AO143="Y"),1,0)</f>
        <v>0</v>
      </c>
      <c r="CG143" s="23" t="n">
        <f aca="false">IF(CF143=1,IF(COUNTIFS($AW$2:$AW$201,AW143,$CF$2:$CF$201,1,$H$2:$H$201,"&lt;"&amp;H143)+COUNTIFS($AW$2:$AW$201,AW143,$CF$2:$CF$201,1,$H$2:$H$201,H143,$AX$2:$AX$201,"&lt;"&amp;AX143)=0,1,0),0)</f>
        <v>0</v>
      </c>
      <c r="CH143" s="23" t="n">
        <f aca="false">IF(AND(AY143=1,P143="Y"),1,0)</f>
        <v>0</v>
      </c>
      <c r="CI143" s="23" t="n">
        <f aca="false">IF(CH143=1,IF(COUNTIFS($AW$2:$AW$201,AW143,$CH$2:$CH$201,1,$H$2:$H$201,"&lt;"&amp;H143)+COUNTIFS($AW$2:$AW$201,AW143,$CH$2:$CH$201,1,$H$2:$H$201,H143,$AX$2:$AX$201,"&lt;"&amp;AX143)=0,1,0),0)</f>
        <v>0</v>
      </c>
      <c r="CJ143" s="23" t="str">
        <f aca="false">IF(AND(BU143=1,INT(N(H143))&lt;=Config!$B$5),L143,"")</f>
        <v/>
      </c>
      <c r="CK143" s="23" t="n">
        <f aca="false">IF(AND(AY143=1,AR143="Y"),1,0)</f>
        <v>0</v>
      </c>
      <c r="CL143" s="23" t="n">
        <f aca="false">IF(CK143=1,IF(COUNTIFS($AW$2:$AW$201,AW143,$CK$2:$CK$201,1,$H$2:$H$201,"&lt;"&amp;H143)+COUNTIFS($AW$2:$AW$201,AW143,$CK$2:$CK$201,1,$H$2:$H$201,H143,$AX$2:$AX$201,"&lt;"&amp;AX143)=0,1,0),0)</f>
        <v>0</v>
      </c>
      <c r="CM143" s="23" t="str">
        <f aca="false">IF(AY143=1,IFERROR(MATCH($A143,INDEX(Clay_Brands!$A$2:$FZ$601,0,Sync!$D$5),0),""),"")</f>
        <v/>
      </c>
      <c r="CN143" s="23" t="str">
        <f aca="false">IF(CM143="","",IFERROR(INDEX(Clay_Brands!$A$2:$FZ$601,CM143,Sync!$D$7)&amp;"",""))</f>
        <v/>
      </c>
      <c r="CO143" s="23" t="str">
        <f aca="false">IF(CN143="","",IFERROR(INDEX(Lists!$K$2:$K$15,MATCH(CN143,Lists!$J$2:$J$15,0)),""))</f>
        <v/>
      </c>
      <c r="CP143" s="23" t="str">
        <f aca="false">IF(CM143="","",IFERROR(INDEX(Clay_Brands!$A$2:$FZ$601,CM143,Sync!$D$17)&amp;"",""))</f>
        <v/>
      </c>
      <c r="CQ143" s="35" t="str">
        <f aca="false">IF(CM143="","",IFERROR(N(INDEX(Clay_Brands!$A$2:$FZ$601,CM143,Sync!$D$16)),0))</f>
        <v/>
      </c>
      <c r="CR143" s="23" t="n">
        <f aca="false">IF(AND(AY143=1,OR(O143="N",AND(OR(ISNUMBER(R143),ISNUMBER(V143)),MAX(N(R143),N(V143))&lt;Config!$B$14))),1,0)</f>
        <v>0</v>
      </c>
      <c r="CS143" s="23" t="n">
        <f aca="false">IF(OR(BB143=1,CR143=1),1,0)</f>
        <v>0</v>
      </c>
      <c r="CT143" s="23" t="n">
        <f aca="false">IF(AND(AY143=1,OR(AN143="Y",AN143="N",AN143="maybe")),1,0)</f>
        <v>0</v>
      </c>
      <c r="CU143" s="23" t="n">
        <f aca="false">IF(AND(CT143=1),IF(COUNTIFS($A$2:$A$201,$A143,$CT$2:$CT$201,1,$H$2:$H$201,"&gt;"&amp;H143)+COUNTIFS($A$2:$A$201,$A143,$CT$2:$CT$201,1,$H$2:$H$201,H143,$AX$2:$AX$201,"&gt;"&amp;AX143)=0,1,0),0)</f>
        <v>0</v>
      </c>
      <c r="CV143" s="23" t="n">
        <f aca="false">IF(AND(CS143=1,INT(N(H143))&lt;=Config!$B$6),IF(COUNTIFS($AW$2:$AW$201,AW143,$CS$2:$CS$201,1,$H$2:$H$201,"&gt;"&amp;H143,$H$2:$H$201,"&lt;"&amp;(Config!$B$6+1))+COUNTIFS($AW$2:$AW$201,AW143,$CS$2:$CS$201,1,$H$2:$H$201,H143,$AX$2:$AX$201,"&gt;"&amp;AX143)=0,1,0),0)</f>
        <v>0</v>
      </c>
      <c r="CW143" s="23" t="n">
        <f aca="false">IF(AND(CS143=1,INT(N(H143))&lt;=Config!$B$7),IF(COUNTIFS($AW$2:$AW$201,AW143,$CS$2:$CS$201,1,$H$2:$H$201,"&gt;"&amp;H143,$H$2:$H$201,"&lt;"&amp;(Config!$B$7+1))+COUNTIFS($AW$2:$AW$201,AW143,$CS$2:$CS$201,1,$H$2:$H$201,H143,$AX$2:$AX$201,"&gt;"&amp;AX143)=0,1,0),0)</f>
        <v>0</v>
      </c>
      <c r="CX143" s="23" t="n">
        <f aca="false">IF(AND(CS143=1,INT(N(H143))&lt;=Config!$B$8),IF(COUNTIFS($AW$2:$AW$201,AW143,$CS$2:$CS$201,1,$H$2:$H$201,"&gt;"&amp;H143,$H$2:$H$201,"&lt;"&amp;(Config!$B$8+1))+COUNTIFS($AW$2:$AW$201,AW143,$CS$2:$CS$201,1,$H$2:$H$201,H143,$AX$2:$AX$201,"&gt;"&amp;AX143)=0,1,0),0)</f>
        <v>0</v>
      </c>
      <c r="CY143" s="23" t="n">
        <f aca="false">IF(AND(CS143=1,INT(N(H143))&lt;=Config!$B$5),IF(COUNTIFS($AW$2:$AW$201,AW143,$CS$2:$CS$201,1,$H$2:$H$201,"&gt;"&amp;H143,$H$2:$H$201,"&lt;"&amp;(Config!$B$5+1))+COUNTIFS($AW$2:$AW$201,AW143,$CS$2:$CS$201,1,$H$2:$H$201,H143,$AX$2:$AX$201,"&gt;"&amp;AX143)=0,1,0),0)</f>
        <v>0</v>
      </c>
      <c r="CZ143" s="23" t="n">
        <f aca="false">IF(AY143=1,IF(COUNTIFS($AW$2:$AW$201,AW143,$CV$2:$CV$201,1,$BB$2:$BB$201,1)&gt;0,1,0),0)</f>
        <v>0</v>
      </c>
      <c r="DA143" s="23" t="n">
        <f aca="false">IF(AY143=1,IF(COUNTIFS($AW$2:$AW$201,AW143,$CW$2:$CW$201,1,$BB$2:$BB$201,1)&gt;0,1,0),0)</f>
        <v>0</v>
      </c>
      <c r="DB143" s="23" t="n">
        <f aca="false">IF(AY143=1,IF(COUNTIFS($AW$2:$AW$201,AW143,$CX$2:$CX$201,1,$BB$2:$BB$201,1)&gt;0,1,0),0)</f>
        <v>0</v>
      </c>
      <c r="DC143" s="23" t="n">
        <f aca="false">IF(AY143=1,IF(COUNTIFS($AW$2:$AW$201,AW143,$CY$2:$CY$201,1,$BB$2:$BB$201,1)&gt;0,1,0),0)</f>
        <v>0</v>
      </c>
      <c r="DD143" s="23" t="n">
        <f aca="false">IF(AND(BC143=1,INT(N(H143))&lt;=Config!$B$6,CZ143=1),1,0)</f>
        <v>0</v>
      </c>
      <c r="DE143" s="23" t="n">
        <f aca="false">IF(AND(BC143=1,INT(N(H143))&lt;=Config!$B$7,DA143=1),1,0)</f>
        <v>0</v>
      </c>
      <c r="DF143" s="23" t="n">
        <f aca="false">IF(AND(BC143=1,INT(N(H143))&lt;=Config!$B$8,DB143=1),1,0)</f>
        <v>0</v>
      </c>
      <c r="DG143" s="23" t="n">
        <f aca="false">IF(AND(BC143=1,INT(N(H143))&lt;=Config!$B$5,DC143=1),1,0)</f>
        <v>0</v>
      </c>
      <c r="DH143" s="23" t="n">
        <f aca="false">IF(AND(BE143=1,INT(N(H143))&lt;=Config!$B$6,CZ143=1),1,0)</f>
        <v>0</v>
      </c>
      <c r="DI143" s="23" t="n">
        <f aca="false">IF(AND(BE143=1,INT(N(H143))&lt;=Config!$B$7,DA143=1),1,0)</f>
        <v>0</v>
      </c>
      <c r="DJ143" s="23" t="n">
        <f aca="false">IF(AND(BE143=1,INT(N(H143))&lt;=Config!$B$8,DB143=1),1,0)</f>
        <v>0</v>
      </c>
      <c r="DK143" s="23" t="n">
        <f aca="false">IF(AND(BE143=1,INT(N(H143))&lt;=Config!$B$5,DC143=1),1,0)</f>
        <v>0</v>
      </c>
      <c r="DL143" s="23" t="n">
        <f aca="false">IF(AND(BC143=1,INT(N(H143))&lt;=Config!$B$6,CZ143=0),1,0)</f>
        <v>0</v>
      </c>
      <c r="DM143" s="23" t="n">
        <f aca="false">IF(AND(BC143=1,INT(N(H143))&lt;=Config!$B$7,DA143=0),1,0)</f>
        <v>0</v>
      </c>
      <c r="DN143" s="23" t="n">
        <f aca="false">IF(AND(BC143=1,INT(N(H143))&lt;=Config!$B$8,DB143=0),1,0)</f>
        <v>0</v>
      </c>
      <c r="DO143" s="23" t="n">
        <f aca="false">IF(AND(BC143=1,INT(N(H143))&lt;=Config!$B$5,DC143=0),1,0)</f>
        <v>0</v>
      </c>
      <c r="DP143" s="23" t="n">
        <f aca="false">IF(TRIM($A143)="",0,ISTEXT(K143)+ISTEXT(L143)+ISTEXT(R143)+ISTEXT(V143)+ISTEXT(AP143)+ISTEXT(AS143))</f>
        <v>0</v>
      </c>
      <c r="DQ143" s="23" t="n">
        <f aca="false">IF(AY143=1,IF(H143&lt;&gt;INT(H143),1,0),0)</f>
        <v>0</v>
      </c>
      <c r="DR143" s="23" t="str">
        <f aca="false">IF(TRIM($A143)="","",IF(TRIM(B143)="",SUBSTITUTE(SUBSTITUTE(SUBSTITUTE(SUBSTITUTE(SUBSTITUTE(SUBSTITUTE(LOWER(TRIM($A143)),"~",""),"*",""),"?",""),"&lt;",""),"&gt;",""),"=",""),SUBSTITUTE(SUBSTITUTE(SUBSTITUTE(SUBSTITUTE(SUBSTITUTE(SUBSTITUTE(LOWER(TRIM(B143)),"~",""),"*",""),"?",""),"&lt;",""),"&gt;",""),"=","")))</f>
        <v/>
      </c>
      <c r="DS143" s="23" t="str">
        <f aca="false">IF(CM143="","",IFERROR(IF(LEFT(LOWER(TRIM(INDEX(Clay_Brands!$A$2:$FZ$601,CM143,Sync!$D$19)&amp;"")),4)="grp-",SUBSTITUTE(SUBSTITUTE(SUBSTITUTE(SUBSTITUTE(SUBSTITUTE(SUBSTITUTE(LOWER(TRIM(INDEX(Clay_Brands!$A$2:$FZ$601,CM143,Sync!$D$19)&amp;"")),"~",""),"*",""),"?",""),"&lt;",""),"&gt;",""),"=",""),""),""))</f>
        <v/>
      </c>
      <c r="DT143" s="23" t="str">
        <f aca="false">IF(DS143&lt;&gt;"",DR143,"")</f>
        <v/>
      </c>
      <c r="DU143" s="23" t="str">
        <f aca="false">IF(AZ143=1,AW143,"")</f>
        <v/>
      </c>
      <c r="DV143" s="23" t="str">
        <f aca="false">IF(TRIM($A143)="","",IFERROR(INDEX($A$2:$A$201,MATCH(AW143,$DU$2:$DU$201,0))&amp;"",$A143&amp;""))</f>
        <v/>
      </c>
      <c r="DW143" s="23" t="n">
        <f aca="false">IF(AY143=1,IF(COUNTIFS($A$2:$A$201,$A143,$AY$2:$AY$201,1,$H$2:$H$201,"&lt;"&amp;H143)+COUNTIFS($A$2:$A$201,$A143,$AY$2:$AY$201,1,$H$2:$H$201,H143,$AX$2:$AX$201,"&lt;"&amp;AX143)=0,1,0),0)</f>
        <v>0</v>
      </c>
      <c r="DX143" s="23" t="n">
        <f aca="false">IF(AZ143=1,IF(COUNTIFS($AW$2:$AW$201,AW143,$DW$2:$DW$201,1)&gt;1,1,0),0)</f>
        <v>0</v>
      </c>
    </row>
    <row r="144" customFormat="false" ht="15" hidden="false" customHeight="false" outlineLevel="0" collapsed="false">
      <c r="G144" s="32"/>
      <c r="H144" s="33"/>
      <c r="I144" s="32"/>
      <c r="O144" s="32"/>
      <c r="P144" s="32"/>
      <c r="U144" s="32"/>
      <c r="Y144" s="32"/>
      <c r="AB144" s="32"/>
      <c r="AC144" s="32"/>
      <c r="AD144" s="32"/>
      <c r="AE144" s="32"/>
      <c r="AF144" s="32"/>
      <c r="AG144" s="32"/>
      <c r="AI144" s="32"/>
      <c r="AJ144" s="32"/>
      <c r="AK144" s="32"/>
      <c r="AN144" s="32"/>
      <c r="AO144" s="32"/>
      <c r="AR144" s="32"/>
      <c r="AT144" s="32"/>
      <c r="AV144" s="34" t="str">
        <f aca="false">IF(TRIM($A144)="","",IF(AND(LEFT($A144,6)="SAMPLE",Config!$B$19&lt;&gt;"Y"),"",IF(NOT(ISNUMBER(H144)),"call_date is blank or not a date",IF(Sync!$D$5="","Clay paste is empty or has no row_id column: paste the Clay export on Clay_Brands",IF(CM144="","row_id not found in the Clay paste: add the Clay row or fix the row_id",IF(AND(ISNUMBER(CO144),CO144&gt;=1,CO144&lt;=5),"Clay status is "&amp;CN144&amp;": set call_done or later",IF(AND(BA144=1,CP144&lt;&gt;CB144),"Clay yes_in_principle should be "&amp;CB144,IF(AND(BA144=1,CQ144&lt;&gt;H144),"Clay call_date should be "&amp;TEXT(H144,"yyyy-mm-dd"),""))))))))</f>
        <v/>
      </c>
      <c r="AW144" s="23" t="str">
        <f aca="false">IF(TRIM($A144)="","",IF(TRIM(C144)&lt;&gt;"",SUBSTITUTE(SUBSTITUTE(SUBSTITUTE(SUBSTITUTE(SUBSTITUTE(SUBSTITUTE(LOWER(TRIM(C144)),"~",""),"*",""),"?",""),"&lt;",""),"&gt;",""),"=",""),IF(DS144&lt;&gt;"",DS144,IFERROR(INDEX($DS$2:$DS$201,MATCH(DR144,$DT$2:$DT$201,0)),DR144))))</f>
        <v/>
      </c>
      <c r="AX144" s="23" t="n">
        <f aca="false">ROW()</f>
        <v>144</v>
      </c>
      <c r="AY144" s="23" t="n">
        <f aca="false">IF(AND(TRIM($A144)&lt;&gt;"",ISNUMBER(H144)),IF(AND(LEFT($A144,6)="SAMPLE",Config!$B$19&lt;&gt;"Y"),0,1),0)</f>
        <v>0</v>
      </c>
      <c r="AZ144" s="23" t="n">
        <f aca="false">IF(AY144=1,IF(COUNTIFS($AW$2:$AW$201,AW144,$AY$2:$AY$201,1,$H$2:$H$201,"&lt;"&amp;H144)+COUNTIFS($AW$2:$AW$201,AW144,$AY$2:$AY$201,1,$H$2:$H$201,H144,$AX$2:$AX$201,"&lt;"&amp;AX144)=0,1,0),0)</f>
        <v>0</v>
      </c>
      <c r="BA144" s="23" t="n">
        <f aca="false">IF(AY144=1,IF(COUNTIFS($A$2:$A$201,$A144,$AY$2:$AY$201,1,$H$2:$H$201,"&gt;"&amp;H144)+COUNTIFS($A$2:$A$201,$A144,$AY$2:$AY$201,1,$H$2:$H$201,H144,$AX$2:$AX$201,"&gt;"&amp;AX144)=0,1,0),0)</f>
        <v>0</v>
      </c>
      <c r="BB144" s="23" t="n">
        <f aca="false">IF(AND(AY144=1,O144="Y",MAX(N(R144),N(V144))&gt;=Config!$B$14),1,0)</f>
        <v>0</v>
      </c>
      <c r="BC144" s="23" t="n">
        <f aca="false">IF(BB144=1,IF(COUNTIFS($AW$2:$AW$201,AW144,$BB$2:$BB$201,1,$H$2:$H$201,"&lt;"&amp;H144)+COUNTIFS($AW$2:$AW$201,AW144,$BB$2:$BB$201,1,$H$2:$H$201,H144,$AX$2:$AX$201,"&lt;"&amp;AX144)=0,1,0),0)</f>
        <v>0</v>
      </c>
      <c r="BD144" s="23" t="n">
        <f aca="false">IF(AND(AY144=1,O144="Y",ISNUMBER(R144)),IF(R144&gt;=Config!$B$14,1,0),0)</f>
        <v>0</v>
      </c>
      <c r="BE144" s="23" t="n">
        <f aca="false">IF(BD144=1,IF(COUNTIFS($AW$2:$AW$201,AW144,$BD$2:$BD$201,1,$H$2:$H$201,"&lt;"&amp;H144)+COUNTIFS($AW$2:$AW$201,AW144,$BD$2:$BD$201,1,$H$2:$H$201,H144,$AX$2:$AX$201,"&lt;"&amp;AX144)=0,1,0),0)</f>
        <v>0</v>
      </c>
      <c r="BF144" s="23" t="n">
        <f aca="false">IF(AND(AY144=1,O144&lt;&gt;"Y",MAX(N(R144),N(V144))&gt;=Config!$B$14),1,0)</f>
        <v>0</v>
      </c>
      <c r="BG144" s="23" t="n">
        <f aca="false">IF(BF144=1,IF(COUNTIFS($AW$2:$AW$201,AW144,$BF$2:$BF$201,1,$H$2:$H$201,"&lt;"&amp;H144)+COUNTIFS($AW$2:$AW$201,AW144,$BF$2:$BF$201,1,$H$2:$H$201,H144,$AX$2:$AX$201,"&lt;"&amp;AX144)=0,1,0),0)</f>
        <v>0</v>
      </c>
      <c r="BH144" s="23" t="n">
        <f aca="false">IF(AND(AY144=1,ISNUMBER(R144)),1,0)</f>
        <v>0</v>
      </c>
      <c r="BI144" s="23" t="n">
        <f aca="false">IF(BH144=1,IF(COUNTIFS($AW$2:$AW$201,AW144,$BH$2:$BH$201,1,$H$2:$H$201,"&lt;"&amp;H144)+COUNTIFS($AW$2:$AW$201,AW144,$BH$2:$BH$201,1,$H$2:$H$201,H144,$AX$2:$AX$201,"&lt;"&amp;AX144)=0,1,0),0)</f>
        <v>0</v>
      </c>
      <c r="BJ144" s="23" t="str">
        <f aca="false">IF(AND(BI144=1,INT(N(H144))&lt;=Config!$B$6),R144,"")</f>
        <v/>
      </c>
      <c r="BK144" s="23" t="str">
        <f aca="false">IF(AND(BI144=1,INT(N(H144))&lt;=Config!$B$7),R144,"")</f>
        <v/>
      </c>
      <c r="BL144" s="23" t="str">
        <f aca="false">IF(AND(BI144=1,INT(N(H144))&lt;=Config!$B$8),R144,"")</f>
        <v/>
      </c>
      <c r="BM144" s="23" t="str">
        <f aca="false">IF(AND(BI144=1,INT(N(H144))&lt;=Config!$B$5),R144,"")</f>
        <v/>
      </c>
      <c r="BN144" s="23" t="n">
        <f aca="false">IF(AND(AY144=1,ISNUMBER(V144)),1,0)</f>
        <v>0</v>
      </c>
      <c r="BO144" s="23" t="n">
        <f aca="false">IF(BN144=1,IF(COUNTIFS($AW$2:$AW$201,AW144,$BN$2:$BN$201,1,$H$2:$H$201,"&lt;"&amp;H144)+COUNTIFS($AW$2:$AW$201,AW144,$BN$2:$BN$201,1,$H$2:$H$201,H144,$AX$2:$AX$201,"&lt;"&amp;AX144)=0,1,0),0)</f>
        <v>0</v>
      </c>
      <c r="BP144" s="23" t="str">
        <f aca="false">IF(AND(BO144=1,INT(N(H144))&lt;=Config!$B$6),V144,"")</f>
        <v/>
      </c>
      <c r="BQ144" s="23" t="str">
        <f aca="false">IF(AND(BO144=1,INT(N(H144))&lt;=Config!$B$7),V144,"")</f>
        <v/>
      </c>
      <c r="BR144" s="23" t="str">
        <f aca="false">IF(AND(BO144=1,INT(N(H144))&lt;=Config!$B$8),V144,"")</f>
        <v/>
      </c>
      <c r="BS144" s="23" t="str">
        <f aca="false">IF(AND(BO144=1,INT(N(H144))&lt;=Config!$B$5),V144,"")</f>
        <v/>
      </c>
      <c r="BT144" s="23" t="n">
        <f aca="false">IF(AND(AY144=1,ISNUMBER(K144)),1,0)</f>
        <v>0</v>
      </c>
      <c r="BU144" s="23" t="n">
        <f aca="false">IF(BT144=1,IF(COUNTIFS($AW$2:$AW$201,AW144,$BT$2:$BT$201,1,$H$2:$H$201,"&lt;"&amp;H144)+COUNTIFS($AW$2:$AW$201,AW144,$BT$2:$BT$201,1,$H$2:$H$201,H144,$AX$2:$AX$201,"&lt;"&amp;AX144)=0,1,0),0)</f>
        <v>0</v>
      </c>
      <c r="BV144" s="23" t="str">
        <f aca="false">IF(AND(BU144=1,INT(N(H144))&lt;=Config!$B$5),K144,"")</f>
        <v/>
      </c>
      <c r="BW144" s="23" t="n">
        <f aca="false">IF(AND(AY144=1,OR(AND(ISNUMBER(R144),TRIM(S144)=""),AND(ISNUMBER(V144),TRIM(W144)=""))),1,0)</f>
        <v>0</v>
      </c>
      <c r="BX144" s="23" t="str">
        <f aca="false">IF(AY144=1,AJ144&amp;"","")</f>
        <v/>
      </c>
      <c r="BY144" s="23" t="str">
        <f aca="false">IF(AY144=1,AK144&amp;"","")</f>
        <v/>
      </c>
      <c r="BZ144" s="23" t="str">
        <f aca="false">IF(AY144=1,AL144&amp;"","")</f>
        <v/>
      </c>
      <c r="CA144" s="23" t="str">
        <f aca="false">IF(AND(AY144=1,ISNUMBER(AS144),INT(N(H144))&lt;=Config!$B$5),AS144,"")</f>
        <v/>
      </c>
      <c r="CB144" s="23" t="str">
        <f aca="false">IF(AY144=1,IF(COUNTIFS($A$2:$A$201,$A144,$CU$2:$CU$201,1,$AN$2:$AN$201,"Y")&gt;0,"Y","N"),"")</f>
        <v/>
      </c>
      <c r="CC144" s="23" t="n">
        <f aca="false">IF(AND(AY144=1,AN144="Y"),IF(COUNTIFS($AW$2:$AW$201,AW144,$AN$2:$AN$201,"Y",$AY$2:$AY$201,1,$H$2:$H$201,"&lt;"&amp;H144)+COUNTIFS($AW$2:$AW$201,AW144,$AN$2:$AN$201,"Y",$AY$2:$AY$201,1,$H$2:$H$201,H144,$AX$2:$AX$201,"&lt;"&amp;AX144)=0,1,0),0)</f>
        <v>0</v>
      </c>
      <c r="CD144" s="23" t="n">
        <f aca="false">IF(AND(AY144=1,AB144="Y",AC144="Y",AD144="Y",AE144="Y",AF144="Y",AG144="Y",AI144="Y",TRIM(AH144)&lt;&gt;""),1,0)</f>
        <v>0</v>
      </c>
      <c r="CE144" s="23" t="n">
        <f aca="false">IF(CD144=1,IF(COUNTIFS($AW$2:$AW$201,AW144,$CD$2:$CD$201,1,$H$2:$H$201,"&lt;"&amp;H144)+COUNTIFS($AW$2:$AW$201,AW144,$CD$2:$CD$201,1,$H$2:$H$201,H144,$AX$2:$AX$201,"&lt;"&amp;AX144)=0,1,0),0)</f>
        <v>0</v>
      </c>
      <c r="CF144" s="23" t="n">
        <f aca="false">IF(AND(AY144=1,AO144="Y"),1,0)</f>
        <v>0</v>
      </c>
      <c r="CG144" s="23" t="n">
        <f aca="false">IF(CF144=1,IF(COUNTIFS($AW$2:$AW$201,AW144,$CF$2:$CF$201,1,$H$2:$H$201,"&lt;"&amp;H144)+COUNTIFS($AW$2:$AW$201,AW144,$CF$2:$CF$201,1,$H$2:$H$201,H144,$AX$2:$AX$201,"&lt;"&amp;AX144)=0,1,0),0)</f>
        <v>0</v>
      </c>
      <c r="CH144" s="23" t="n">
        <f aca="false">IF(AND(AY144=1,P144="Y"),1,0)</f>
        <v>0</v>
      </c>
      <c r="CI144" s="23" t="n">
        <f aca="false">IF(CH144=1,IF(COUNTIFS($AW$2:$AW$201,AW144,$CH$2:$CH$201,1,$H$2:$H$201,"&lt;"&amp;H144)+COUNTIFS($AW$2:$AW$201,AW144,$CH$2:$CH$201,1,$H$2:$H$201,H144,$AX$2:$AX$201,"&lt;"&amp;AX144)=0,1,0),0)</f>
        <v>0</v>
      </c>
      <c r="CJ144" s="23" t="str">
        <f aca="false">IF(AND(BU144=1,INT(N(H144))&lt;=Config!$B$5),L144,"")</f>
        <v/>
      </c>
      <c r="CK144" s="23" t="n">
        <f aca="false">IF(AND(AY144=1,AR144="Y"),1,0)</f>
        <v>0</v>
      </c>
      <c r="CL144" s="23" t="n">
        <f aca="false">IF(CK144=1,IF(COUNTIFS($AW$2:$AW$201,AW144,$CK$2:$CK$201,1,$H$2:$H$201,"&lt;"&amp;H144)+COUNTIFS($AW$2:$AW$201,AW144,$CK$2:$CK$201,1,$H$2:$H$201,H144,$AX$2:$AX$201,"&lt;"&amp;AX144)=0,1,0),0)</f>
        <v>0</v>
      </c>
      <c r="CM144" s="23" t="str">
        <f aca="false">IF(AY144=1,IFERROR(MATCH($A144,INDEX(Clay_Brands!$A$2:$FZ$601,0,Sync!$D$5),0),""),"")</f>
        <v/>
      </c>
      <c r="CN144" s="23" t="str">
        <f aca="false">IF(CM144="","",IFERROR(INDEX(Clay_Brands!$A$2:$FZ$601,CM144,Sync!$D$7)&amp;"",""))</f>
        <v/>
      </c>
      <c r="CO144" s="23" t="str">
        <f aca="false">IF(CN144="","",IFERROR(INDEX(Lists!$K$2:$K$15,MATCH(CN144,Lists!$J$2:$J$15,0)),""))</f>
        <v/>
      </c>
      <c r="CP144" s="23" t="str">
        <f aca="false">IF(CM144="","",IFERROR(INDEX(Clay_Brands!$A$2:$FZ$601,CM144,Sync!$D$17)&amp;"",""))</f>
        <v/>
      </c>
      <c r="CQ144" s="35" t="str">
        <f aca="false">IF(CM144="","",IFERROR(N(INDEX(Clay_Brands!$A$2:$FZ$601,CM144,Sync!$D$16)),0))</f>
        <v/>
      </c>
      <c r="CR144" s="23" t="n">
        <f aca="false">IF(AND(AY144=1,OR(O144="N",AND(OR(ISNUMBER(R144),ISNUMBER(V144)),MAX(N(R144),N(V144))&lt;Config!$B$14))),1,0)</f>
        <v>0</v>
      </c>
      <c r="CS144" s="23" t="n">
        <f aca="false">IF(OR(BB144=1,CR144=1),1,0)</f>
        <v>0</v>
      </c>
      <c r="CT144" s="23" t="n">
        <f aca="false">IF(AND(AY144=1,OR(AN144="Y",AN144="N",AN144="maybe")),1,0)</f>
        <v>0</v>
      </c>
      <c r="CU144" s="23" t="n">
        <f aca="false">IF(AND(CT144=1),IF(COUNTIFS($A$2:$A$201,$A144,$CT$2:$CT$201,1,$H$2:$H$201,"&gt;"&amp;H144)+COUNTIFS($A$2:$A$201,$A144,$CT$2:$CT$201,1,$H$2:$H$201,H144,$AX$2:$AX$201,"&gt;"&amp;AX144)=0,1,0),0)</f>
        <v>0</v>
      </c>
      <c r="CV144" s="23" t="n">
        <f aca="false">IF(AND(CS144=1,INT(N(H144))&lt;=Config!$B$6),IF(COUNTIFS($AW$2:$AW$201,AW144,$CS$2:$CS$201,1,$H$2:$H$201,"&gt;"&amp;H144,$H$2:$H$201,"&lt;"&amp;(Config!$B$6+1))+COUNTIFS($AW$2:$AW$201,AW144,$CS$2:$CS$201,1,$H$2:$H$201,H144,$AX$2:$AX$201,"&gt;"&amp;AX144)=0,1,0),0)</f>
        <v>0</v>
      </c>
      <c r="CW144" s="23" t="n">
        <f aca="false">IF(AND(CS144=1,INT(N(H144))&lt;=Config!$B$7),IF(COUNTIFS($AW$2:$AW$201,AW144,$CS$2:$CS$201,1,$H$2:$H$201,"&gt;"&amp;H144,$H$2:$H$201,"&lt;"&amp;(Config!$B$7+1))+COUNTIFS($AW$2:$AW$201,AW144,$CS$2:$CS$201,1,$H$2:$H$201,H144,$AX$2:$AX$201,"&gt;"&amp;AX144)=0,1,0),0)</f>
        <v>0</v>
      </c>
      <c r="CX144" s="23" t="n">
        <f aca="false">IF(AND(CS144=1,INT(N(H144))&lt;=Config!$B$8),IF(COUNTIFS($AW$2:$AW$201,AW144,$CS$2:$CS$201,1,$H$2:$H$201,"&gt;"&amp;H144,$H$2:$H$201,"&lt;"&amp;(Config!$B$8+1))+COUNTIFS($AW$2:$AW$201,AW144,$CS$2:$CS$201,1,$H$2:$H$201,H144,$AX$2:$AX$201,"&gt;"&amp;AX144)=0,1,0),0)</f>
        <v>0</v>
      </c>
      <c r="CY144" s="23" t="n">
        <f aca="false">IF(AND(CS144=1,INT(N(H144))&lt;=Config!$B$5),IF(COUNTIFS($AW$2:$AW$201,AW144,$CS$2:$CS$201,1,$H$2:$H$201,"&gt;"&amp;H144,$H$2:$H$201,"&lt;"&amp;(Config!$B$5+1))+COUNTIFS($AW$2:$AW$201,AW144,$CS$2:$CS$201,1,$H$2:$H$201,H144,$AX$2:$AX$201,"&gt;"&amp;AX144)=0,1,0),0)</f>
        <v>0</v>
      </c>
      <c r="CZ144" s="23" t="n">
        <f aca="false">IF(AY144=1,IF(COUNTIFS($AW$2:$AW$201,AW144,$CV$2:$CV$201,1,$BB$2:$BB$201,1)&gt;0,1,0),0)</f>
        <v>0</v>
      </c>
      <c r="DA144" s="23" t="n">
        <f aca="false">IF(AY144=1,IF(COUNTIFS($AW$2:$AW$201,AW144,$CW$2:$CW$201,1,$BB$2:$BB$201,1)&gt;0,1,0),0)</f>
        <v>0</v>
      </c>
      <c r="DB144" s="23" t="n">
        <f aca="false">IF(AY144=1,IF(COUNTIFS($AW$2:$AW$201,AW144,$CX$2:$CX$201,1,$BB$2:$BB$201,1)&gt;0,1,0),0)</f>
        <v>0</v>
      </c>
      <c r="DC144" s="23" t="n">
        <f aca="false">IF(AY144=1,IF(COUNTIFS($AW$2:$AW$201,AW144,$CY$2:$CY$201,1,$BB$2:$BB$201,1)&gt;0,1,0),0)</f>
        <v>0</v>
      </c>
      <c r="DD144" s="23" t="n">
        <f aca="false">IF(AND(BC144=1,INT(N(H144))&lt;=Config!$B$6,CZ144=1),1,0)</f>
        <v>0</v>
      </c>
      <c r="DE144" s="23" t="n">
        <f aca="false">IF(AND(BC144=1,INT(N(H144))&lt;=Config!$B$7,DA144=1),1,0)</f>
        <v>0</v>
      </c>
      <c r="DF144" s="23" t="n">
        <f aca="false">IF(AND(BC144=1,INT(N(H144))&lt;=Config!$B$8,DB144=1),1,0)</f>
        <v>0</v>
      </c>
      <c r="DG144" s="23" t="n">
        <f aca="false">IF(AND(BC144=1,INT(N(H144))&lt;=Config!$B$5,DC144=1),1,0)</f>
        <v>0</v>
      </c>
      <c r="DH144" s="23" t="n">
        <f aca="false">IF(AND(BE144=1,INT(N(H144))&lt;=Config!$B$6,CZ144=1),1,0)</f>
        <v>0</v>
      </c>
      <c r="DI144" s="23" t="n">
        <f aca="false">IF(AND(BE144=1,INT(N(H144))&lt;=Config!$B$7,DA144=1),1,0)</f>
        <v>0</v>
      </c>
      <c r="DJ144" s="23" t="n">
        <f aca="false">IF(AND(BE144=1,INT(N(H144))&lt;=Config!$B$8,DB144=1),1,0)</f>
        <v>0</v>
      </c>
      <c r="DK144" s="23" t="n">
        <f aca="false">IF(AND(BE144=1,INT(N(H144))&lt;=Config!$B$5,DC144=1),1,0)</f>
        <v>0</v>
      </c>
      <c r="DL144" s="23" t="n">
        <f aca="false">IF(AND(BC144=1,INT(N(H144))&lt;=Config!$B$6,CZ144=0),1,0)</f>
        <v>0</v>
      </c>
      <c r="DM144" s="23" t="n">
        <f aca="false">IF(AND(BC144=1,INT(N(H144))&lt;=Config!$B$7,DA144=0),1,0)</f>
        <v>0</v>
      </c>
      <c r="DN144" s="23" t="n">
        <f aca="false">IF(AND(BC144=1,INT(N(H144))&lt;=Config!$B$8,DB144=0),1,0)</f>
        <v>0</v>
      </c>
      <c r="DO144" s="23" t="n">
        <f aca="false">IF(AND(BC144=1,INT(N(H144))&lt;=Config!$B$5,DC144=0),1,0)</f>
        <v>0</v>
      </c>
      <c r="DP144" s="23" t="n">
        <f aca="false">IF(TRIM($A144)="",0,ISTEXT(K144)+ISTEXT(L144)+ISTEXT(R144)+ISTEXT(V144)+ISTEXT(AP144)+ISTEXT(AS144))</f>
        <v>0</v>
      </c>
      <c r="DQ144" s="23" t="n">
        <f aca="false">IF(AY144=1,IF(H144&lt;&gt;INT(H144),1,0),0)</f>
        <v>0</v>
      </c>
      <c r="DR144" s="23" t="str">
        <f aca="false">IF(TRIM($A144)="","",IF(TRIM(B144)="",SUBSTITUTE(SUBSTITUTE(SUBSTITUTE(SUBSTITUTE(SUBSTITUTE(SUBSTITUTE(LOWER(TRIM($A144)),"~",""),"*",""),"?",""),"&lt;",""),"&gt;",""),"=",""),SUBSTITUTE(SUBSTITUTE(SUBSTITUTE(SUBSTITUTE(SUBSTITUTE(SUBSTITUTE(LOWER(TRIM(B144)),"~",""),"*",""),"?",""),"&lt;",""),"&gt;",""),"=","")))</f>
        <v/>
      </c>
      <c r="DS144" s="23" t="str">
        <f aca="false">IF(CM144="","",IFERROR(IF(LEFT(LOWER(TRIM(INDEX(Clay_Brands!$A$2:$FZ$601,CM144,Sync!$D$19)&amp;"")),4)="grp-",SUBSTITUTE(SUBSTITUTE(SUBSTITUTE(SUBSTITUTE(SUBSTITUTE(SUBSTITUTE(LOWER(TRIM(INDEX(Clay_Brands!$A$2:$FZ$601,CM144,Sync!$D$19)&amp;"")),"~",""),"*",""),"?",""),"&lt;",""),"&gt;",""),"=",""),""),""))</f>
        <v/>
      </c>
      <c r="DT144" s="23" t="str">
        <f aca="false">IF(DS144&lt;&gt;"",DR144,"")</f>
        <v/>
      </c>
      <c r="DU144" s="23" t="str">
        <f aca="false">IF(AZ144=1,AW144,"")</f>
        <v/>
      </c>
      <c r="DV144" s="23" t="str">
        <f aca="false">IF(TRIM($A144)="","",IFERROR(INDEX($A$2:$A$201,MATCH(AW144,$DU$2:$DU$201,0))&amp;"",$A144&amp;""))</f>
        <v/>
      </c>
      <c r="DW144" s="23" t="n">
        <f aca="false">IF(AY144=1,IF(COUNTIFS($A$2:$A$201,$A144,$AY$2:$AY$201,1,$H$2:$H$201,"&lt;"&amp;H144)+COUNTIFS($A$2:$A$201,$A144,$AY$2:$AY$201,1,$H$2:$H$201,H144,$AX$2:$AX$201,"&lt;"&amp;AX144)=0,1,0),0)</f>
        <v>0</v>
      </c>
      <c r="DX144" s="23" t="n">
        <f aca="false">IF(AZ144=1,IF(COUNTIFS($AW$2:$AW$201,AW144,$DW$2:$DW$201,1)&gt;1,1,0),0)</f>
        <v>0</v>
      </c>
    </row>
    <row r="145" customFormat="false" ht="15" hidden="false" customHeight="false" outlineLevel="0" collapsed="false">
      <c r="G145" s="32"/>
      <c r="H145" s="33"/>
      <c r="I145" s="32"/>
      <c r="O145" s="32"/>
      <c r="P145" s="32"/>
      <c r="U145" s="32"/>
      <c r="Y145" s="32"/>
      <c r="AB145" s="32"/>
      <c r="AC145" s="32"/>
      <c r="AD145" s="32"/>
      <c r="AE145" s="32"/>
      <c r="AF145" s="32"/>
      <c r="AG145" s="32"/>
      <c r="AI145" s="32"/>
      <c r="AJ145" s="32"/>
      <c r="AK145" s="32"/>
      <c r="AN145" s="32"/>
      <c r="AO145" s="32"/>
      <c r="AR145" s="32"/>
      <c r="AT145" s="32"/>
      <c r="AV145" s="34" t="str">
        <f aca="false">IF(TRIM($A145)="","",IF(AND(LEFT($A145,6)="SAMPLE",Config!$B$19&lt;&gt;"Y"),"",IF(NOT(ISNUMBER(H145)),"call_date is blank or not a date",IF(Sync!$D$5="","Clay paste is empty or has no row_id column: paste the Clay export on Clay_Brands",IF(CM145="","row_id not found in the Clay paste: add the Clay row or fix the row_id",IF(AND(ISNUMBER(CO145),CO145&gt;=1,CO145&lt;=5),"Clay status is "&amp;CN145&amp;": set call_done or later",IF(AND(BA145=1,CP145&lt;&gt;CB145),"Clay yes_in_principle should be "&amp;CB145,IF(AND(BA145=1,CQ145&lt;&gt;H145),"Clay call_date should be "&amp;TEXT(H145,"yyyy-mm-dd"),""))))))))</f>
        <v/>
      </c>
      <c r="AW145" s="23" t="str">
        <f aca="false">IF(TRIM($A145)="","",IF(TRIM(C145)&lt;&gt;"",SUBSTITUTE(SUBSTITUTE(SUBSTITUTE(SUBSTITUTE(SUBSTITUTE(SUBSTITUTE(LOWER(TRIM(C145)),"~",""),"*",""),"?",""),"&lt;",""),"&gt;",""),"=",""),IF(DS145&lt;&gt;"",DS145,IFERROR(INDEX($DS$2:$DS$201,MATCH(DR145,$DT$2:$DT$201,0)),DR145))))</f>
        <v/>
      </c>
      <c r="AX145" s="23" t="n">
        <f aca="false">ROW()</f>
        <v>145</v>
      </c>
      <c r="AY145" s="23" t="n">
        <f aca="false">IF(AND(TRIM($A145)&lt;&gt;"",ISNUMBER(H145)),IF(AND(LEFT($A145,6)="SAMPLE",Config!$B$19&lt;&gt;"Y"),0,1),0)</f>
        <v>0</v>
      </c>
      <c r="AZ145" s="23" t="n">
        <f aca="false">IF(AY145=1,IF(COUNTIFS($AW$2:$AW$201,AW145,$AY$2:$AY$201,1,$H$2:$H$201,"&lt;"&amp;H145)+COUNTIFS($AW$2:$AW$201,AW145,$AY$2:$AY$201,1,$H$2:$H$201,H145,$AX$2:$AX$201,"&lt;"&amp;AX145)=0,1,0),0)</f>
        <v>0</v>
      </c>
      <c r="BA145" s="23" t="n">
        <f aca="false">IF(AY145=1,IF(COUNTIFS($A$2:$A$201,$A145,$AY$2:$AY$201,1,$H$2:$H$201,"&gt;"&amp;H145)+COUNTIFS($A$2:$A$201,$A145,$AY$2:$AY$201,1,$H$2:$H$201,H145,$AX$2:$AX$201,"&gt;"&amp;AX145)=0,1,0),0)</f>
        <v>0</v>
      </c>
      <c r="BB145" s="23" t="n">
        <f aca="false">IF(AND(AY145=1,O145="Y",MAX(N(R145),N(V145))&gt;=Config!$B$14),1,0)</f>
        <v>0</v>
      </c>
      <c r="BC145" s="23" t="n">
        <f aca="false">IF(BB145=1,IF(COUNTIFS($AW$2:$AW$201,AW145,$BB$2:$BB$201,1,$H$2:$H$201,"&lt;"&amp;H145)+COUNTIFS($AW$2:$AW$201,AW145,$BB$2:$BB$201,1,$H$2:$H$201,H145,$AX$2:$AX$201,"&lt;"&amp;AX145)=0,1,0),0)</f>
        <v>0</v>
      </c>
      <c r="BD145" s="23" t="n">
        <f aca="false">IF(AND(AY145=1,O145="Y",ISNUMBER(R145)),IF(R145&gt;=Config!$B$14,1,0),0)</f>
        <v>0</v>
      </c>
      <c r="BE145" s="23" t="n">
        <f aca="false">IF(BD145=1,IF(COUNTIFS($AW$2:$AW$201,AW145,$BD$2:$BD$201,1,$H$2:$H$201,"&lt;"&amp;H145)+COUNTIFS($AW$2:$AW$201,AW145,$BD$2:$BD$201,1,$H$2:$H$201,H145,$AX$2:$AX$201,"&lt;"&amp;AX145)=0,1,0),0)</f>
        <v>0</v>
      </c>
      <c r="BF145" s="23" t="n">
        <f aca="false">IF(AND(AY145=1,O145&lt;&gt;"Y",MAX(N(R145),N(V145))&gt;=Config!$B$14),1,0)</f>
        <v>0</v>
      </c>
      <c r="BG145" s="23" t="n">
        <f aca="false">IF(BF145=1,IF(COUNTIFS($AW$2:$AW$201,AW145,$BF$2:$BF$201,1,$H$2:$H$201,"&lt;"&amp;H145)+COUNTIFS($AW$2:$AW$201,AW145,$BF$2:$BF$201,1,$H$2:$H$201,H145,$AX$2:$AX$201,"&lt;"&amp;AX145)=0,1,0),0)</f>
        <v>0</v>
      </c>
      <c r="BH145" s="23" t="n">
        <f aca="false">IF(AND(AY145=1,ISNUMBER(R145)),1,0)</f>
        <v>0</v>
      </c>
      <c r="BI145" s="23" t="n">
        <f aca="false">IF(BH145=1,IF(COUNTIFS($AW$2:$AW$201,AW145,$BH$2:$BH$201,1,$H$2:$H$201,"&lt;"&amp;H145)+COUNTIFS($AW$2:$AW$201,AW145,$BH$2:$BH$201,1,$H$2:$H$201,H145,$AX$2:$AX$201,"&lt;"&amp;AX145)=0,1,0),0)</f>
        <v>0</v>
      </c>
      <c r="BJ145" s="23" t="str">
        <f aca="false">IF(AND(BI145=1,INT(N(H145))&lt;=Config!$B$6),R145,"")</f>
        <v/>
      </c>
      <c r="BK145" s="23" t="str">
        <f aca="false">IF(AND(BI145=1,INT(N(H145))&lt;=Config!$B$7),R145,"")</f>
        <v/>
      </c>
      <c r="BL145" s="23" t="str">
        <f aca="false">IF(AND(BI145=1,INT(N(H145))&lt;=Config!$B$8),R145,"")</f>
        <v/>
      </c>
      <c r="BM145" s="23" t="str">
        <f aca="false">IF(AND(BI145=1,INT(N(H145))&lt;=Config!$B$5),R145,"")</f>
        <v/>
      </c>
      <c r="BN145" s="23" t="n">
        <f aca="false">IF(AND(AY145=1,ISNUMBER(V145)),1,0)</f>
        <v>0</v>
      </c>
      <c r="BO145" s="23" t="n">
        <f aca="false">IF(BN145=1,IF(COUNTIFS($AW$2:$AW$201,AW145,$BN$2:$BN$201,1,$H$2:$H$201,"&lt;"&amp;H145)+COUNTIFS($AW$2:$AW$201,AW145,$BN$2:$BN$201,1,$H$2:$H$201,H145,$AX$2:$AX$201,"&lt;"&amp;AX145)=0,1,0),0)</f>
        <v>0</v>
      </c>
      <c r="BP145" s="23" t="str">
        <f aca="false">IF(AND(BO145=1,INT(N(H145))&lt;=Config!$B$6),V145,"")</f>
        <v/>
      </c>
      <c r="BQ145" s="23" t="str">
        <f aca="false">IF(AND(BO145=1,INT(N(H145))&lt;=Config!$B$7),V145,"")</f>
        <v/>
      </c>
      <c r="BR145" s="23" t="str">
        <f aca="false">IF(AND(BO145=1,INT(N(H145))&lt;=Config!$B$8),V145,"")</f>
        <v/>
      </c>
      <c r="BS145" s="23" t="str">
        <f aca="false">IF(AND(BO145=1,INT(N(H145))&lt;=Config!$B$5),V145,"")</f>
        <v/>
      </c>
      <c r="BT145" s="23" t="n">
        <f aca="false">IF(AND(AY145=1,ISNUMBER(K145)),1,0)</f>
        <v>0</v>
      </c>
      <c r="BU145" s="23" t="n">
        <f aca="false">IF(BT145=1,IF(COUNTIFS($AW$2:$AW$201,AW145,$BT$2:$BT$201,1,$H$2:$H$201,"&lt;"&amp;H145)+COUNTIFS($AW$2:$AW$201,AW145,$BT$2:$BT$201,1,$H$2:$H$201,H145,$AX$2:$AX$201,"&lt;"&amp;AX145)=0,1,0),0)</f>
        <v>0</v>
      </c>
      <c r="BV145" s="23" t="str">
        <f aca="false">IF(AND(BU145=1,INT(N(H145))&lt;=Config!$B$5),K145,"")</f>
        <v/>
      </c>
      <c r="BW145" s="23" t="n">
        <f aca="false">IF(AND(AY145=1,OR(AND(ISNUMBER(R145),TRIM(S145)=""),AND(ISNUMBER(V145),TRIM(W145)=""))),1,0)</f>
        <v>0</v>
      </c>
      <c r="BX145" s="23" t="str">
        <f aca="false">IF(AY145=1,AJ145&amp;"","")</f>
        <v/>
      </c>
      <c r="BY145" s="23" t="str">
        <f aca="false">IF(AY145=1,AK145&amp;"","")</f>
        <v/>
      </c>
      <c r="BZ145" s="23" t="str">
        <f aca="false">IF(AY145=1,AL145&amp;"","")</f>
        <v/>
      </c>
      <c r="CA145" s="23" t="str">
        <f aca="false">IF(AND(AY145=1,ISNUMBER(AS145),INT(N(H145))&lt;=Config!$B$5),AS145,"")</f>
        <v/>
      </c>
      <c r="CB145" s="23" t="str">
        <f aca="false">IF(AY145=1,IF(COUNTIFS($A$2:$A$201,$A145,$CU$2:$CU$201,1,$AN$2:$AN$201,"Y")&gt;0,"Y","N"),"")</f>
        <v/>
      </c>
      <c r="CC145" s="23" t="n">
        <f aca="false">IF(AND(AY145=1,AN145="Y"),IF(COUNTIFS($AW$2:$AW$201,AW145,$AN$2:$AN$201,"Y",$AY$2:$AY$201,1,$H$2:$H$201,"&lt;"&amp;H145)+COUNTIFS($AW$2:$AW$201,AW145,$AN$2:$AN$201,"Y",$AY$2:$AY$201,1,$H$2:$H$201,H145,$AX$2:$AX$201,"&lt;"&amp;AX145)=0,1,0),0)</f>
        <v>0</v>
      </c>
      <c r="CD145" s="23" t="n">
        <f aca="false">IF(AND(AY145=1,AB145="Y",AC145="Y",AD145="Y",AE145="Y",AF145="Y",AG145="Y",AI145="Y",TRIM(AH145)&lt;&gt;""),1,0)</f>
        <v>0</v>
      </c>
      <c r="CE145" s="23" t="n">
        <f aca="false">IF(CD145=1,IF(COUNTIFS($AW$2:$AW$201,AW145,$CD$2:$CD$201,1,$H$2:$H$201,"&lt;"&amp;H145)+COUNTIFS($AW$2:$AW$201,AW145,$CD$2:$CD$201,1,$H$2:$H$201,H145,$AX$2:$AX$201,"&lt;"&amp;AX145)=0,1,0),0)</f>
        <v>0</v>
      </c>
      <c r="CF145" s="23" t="n">
        <f aca="false">IF(AND(AY145=1,AO145="Y"),1,0)</f>
        <v>0</v>
      </c>
      <c r="CG145" s="23" t="n">
        <f aca="false">IF(CF145=1,IF(COUNTIFS($AW$2:$AW$201,AW145,$CF$2:$CF$201,1,$H$2:$H$201,"&lt;"&amp;H145)+COUNTIFS($AW$2:$AW$201,AW145,$CF$2:$CF$201,1,$H$2:$H$201,H145,$AX$2:$AX$201,"&lt;"&amp;AX145)=0,1,0),0)</f>
        <v>0</v>
      </c>
      <c r="CH145" s="23" t="n">
        <f aca="false">IF(AND(AY145=1,P145="Y"),1,0)</f>
        <v>0</v>
      </c>
      <c r="CI145" s="23" t="n">
        <f aca="false">IF(CH145=1,IF(COUNTIFS($AW$2:$AW$201,AW145,$CH$2:$CH$201,1,$H$2:$H$201,"&lt;"&amp;H145)+COUNTIFS($AW$2:$AW$201,AW145,$CH$2:$CH$201,1,$H$2:$H$201,H145,$AX$2:$AX$201,"&lt;"&amp;AX145)=0,1,0),0)</f>
        <v>0</v>
      </c>
      <c r="CJ145" s="23" t="str">
        <f aca="false">IF(AND(BU145=1,INT(N(H145))&lt;=Config!$B$5),L145,"")</f>
        <v/>
      </c>
      <c r="CK145" s="23" t="n">
        <f aca="false">IF(AND(AY145=1,AR145="Y"),1,0)</f>
        <v>0</v>
      </c>
      <c r="CL145" s="23" t="n">
        <f aca="false">IF(CK145=1,IF(COUNTIFS($AW$2:$AW$201,AW145,$CK$2:$CK$201,1,$H$2:$H$201,"&lt;"&amp;H145)+COUNTIFS($AW$2:$AW$201,AW145,$CK$2:$CK$201,1,$H$2:$H$201,H145,$AX$2:$AX$201,"&lt;"&amp;AX145)=0,1,0),0)</f>
        <v>0</v>
      </c>
      <c r="CM145" s="23" t="str">
        <f aca="false">IF(AY145=1,IFERROR(MATCH($A145,INDEX(Clay_Brands!$A$2:$FZ$601,0,Sync!$D$5),0),""),"")</f>
        <v/>
      </c>
      <c r="CN145" s="23" t="str">
        <f aca="false">IF(CM145="","",IFERROR(INDEX(Clay_Brands!$A$2:$FZ$601,CM145,Sync!$D$7)&amp;"",""))</f>
        <v/>
      </c>
      <c r="CO145" s="23" t="str">
        <f aca="false">IF(CN145="","",IFERROR(INDEX(Lists!$K$2:$K$15,MATCH(CN145,Lists!$J$2:$J$15,0)),""))</f>
        <v/>
      </c>
      <c r="CP145" s="23" t="str">
        <f aca="false">IF(CM145="","",IFERROR(INDEX(Clay_Brands!$A$2:$FZ$601,CM145,Sync!$D$17)&amp;"",""))</f>
        <v/>
      </c>
      <c r="CQ145" s="35" t="str">
        <f aca="false">IF(CM145="","",IFERROR(N(INDEX(Clay_Brands!$A$2:$FZ$601,CM145,Sync!$D$16)),0))</f>
        <v/>
      </c>
      <c r="CR145" s="23" t="n">
        <f aca="false">IF(AND(AY145=1,OR(O145="N",AND(OR(ISNUMBER(R145),ISNUMBER(V145)),MAX(N(R145),N(V145))&lt;Config!$B$14))),1,0)</f>
        <v>0</v>
      </c>
      <c r="CS145" s="23" t="n">
        <f aca="false">IF(OR(BB145=1,CR145=1),1,0)</f>
        <v>0</v>
      </c>
      <c r="CT145" s="23" t="n">
        <f aca="false">IF(AND(AY145=1,OR(AN145="Y",AN145="N",AN145="maybe")),1,0)</f>
        <v>0</v>
      </c>
      <c r="CU145" s="23" t="n">
        <f aca="false">IF(AND(CT145=1),IF(COUNTIFS($A$2:$A$201,$A145,$CT$2:$CT$201,1,$H$2:$H$201,"&gt;"&amp;H145)+COUNTIFS($A$2:$A$201,$A145,$CT$2:$CT$201,1,$H$2:$H$201,H145,$AX$2:$AX$201,"&gt;"&amp;AX145)=0,1,0),0)</f>
        <v>0</v>
      </c>
      <c r="CV145" s="23" t="n">
        <f aca="false">IF(AND(CS145=1,INT(N(H145))&lt;=Config!$B$6),IF(COUNTIFS($AW$2:$AW$201,AW145,$CS$2:$CS$201,1,$H$2:$H$201,"&gt;"&amp;H145,$H$2:$H$201,"&lt;"&amp;(Config!$B$6+1))+COUNTIFS($AW$2:$AW$201,AW145,$CS$2:$CS$201,1,$H$2:$H$201,H145,$AX$2:$AX$201,"&gt;"&amp;AX145)=0,1,0),0)</f>
        <v>0</v>
      </c>
      <c r="CW145" s="23" t="n">
        <f aca="false">IF(AND(CS145=1,INT(N(H145))&lt;=Config!$B$7),IF(COUNTIFS($AW$2:$AW$201,AW145,$CS$2:$CS$201,1,$H$2:$H$201,"&gt;"&amp;H145,$H$2:$H$201,"&lt;"&amp;(Config!$B$7+1))+COUNTIFS($AW$2:$AW$201,AW145,$CS$2:$CS$201,1,$H$2:$H$201,H145,$AX$2:$AX$201,"&gt;"&amp;AX145)=0,1,0),0)</f>
        <v>0</v>
      </c>
      <c r="CX145" s="23" t="n">
        <f aca="false">IF(AND(CS145=1,INT(N(H145))&lt;=Config!$B$8),IF(COUNTIFS($AW$2:$AW$201,AW145,$CS$2:$CS$201,1,$H$2:$H$201,"&gt;"&amp;H145,$H$2:$H$201,"&lt;"&amp;(Config!$B$8+1))+COUNTIFS($AW$2:$AW$201,AW145,$CS$2:$CS$201,1,$H$2:$H$201,H145,$AX$2:$AX$201,"&gt;"&amp;AX145)=0,1,0),0)</f>
        <v>0</v>
      </c>
      <c r="CY145" s="23" t="n">
        <f aca="false">IF(AND(CS145=1,INT(N(H145))&lt;=Config!$B$5),IF(COUNTIFS($AW$2:$AW$201,AW145,$CS$2:$CS$201,1,$H$2:$H$201,"&gt;"&amp;H145,$H$2:$H$201,"&lt;"&amp;(Config!$B$5+1))+COUNTIFS($AW$2:$AW$201,AW145,$CS$2:$CS$201,1,$H$2:$H$201,H145,$AX$2:$AX$201,"&gt;"&amp;AX145)=0,1,0),0)</f>
        <v>0</v>
      </c>
      <c r="CZ145" s="23" t="n">
        <f aca="false">IF(AY145=1,IF(COUNTIFS($AW$2:$AW$201,AW145,$CV$2:$CV$201,1,$BB$2:$BB$201,1)&gt;0,1,0),0)</f>
        <v>0</v>
      </c>
      <c r="DA145" s="23" t="n">
        <f aca="false">IF(AY145=1,IF(COUNTIFS($AW$2:$AW$201,AW145,$CW$2:$CW$201,1,$BB$2:$BB$201,1)&gt;0,1,0),0)</f>
        <v>0</v>
      </c>
      <c r="DB145" s="23" t="n">
        <f aca="false">IF(AY145=1,IF(COUNTIFS($AW$2:$AW$201,AW145,$CX$2:$CX$201,1,$BB$2:$BB$201,1)&gt;0,1,0),0)</f>
        <v>0</v>
      </c>
      <c r="DC145" s="23" t="n">
        <f aca="false">IF(AY145=1,IF(COUNTIFS($AW$2:$AW$201,AW145,$CY$2:$CY$201,1,$BB$2:$BB$201,1)&gt;0,1,0),0)</f>
        <v>0</v>
      </c>
      <c r="DD145" s="23" t="n">
        <f aca="false">IF(AND(BC145=1,INT(N(H145))&lt;=Config!$B$6,CZ145=1),1,0)</f>
        <v>0</v>
      </c>
      <c r="DE145" s="23" t="n">
        <f aca="false">IF(AND(BC145=1,INT(N(H145))&lt;=Config!$B$7,DA145=1),1,0)</f>
        <v>0</v>
      </c>
      <c r="DF145" s="23" t="n">
        <f aca="false">IF(AND(BC145=1,INT(N(H145))&lt;=Config!$B$8,DB145=1),1,0)</f>
        <v>0</v>
      </c>
      <c r="DG145" s="23" t="n">
        <f aca="false">IF(AND(BC145=1,INT(N(H145))&lt;=Config!$B$5,DC145=1),1,0)</f>
        <v>0</v>
      </c>
      <c r="DH145" s="23" t="n">
        <f aca="false">IF(AND(BE145=1,INT(N(H145))&lt;=Config!$B$6,CZ145=1),1,0)</f>
        <v>0</v>
      </c>
      <c r="DI145" s="23" t="n">
        <f aca="false">IF(AND(BE145=1,INT(N(H145))&lt;=Config!$B$7,DA145=1),1,0)</f>
        <v>0</v>
      </c>
      <c r="DJ145" s="23" t="n">
        <f aca="false">IF(AND(BE145=1,INT(N(H145))&lt;=Config!$B$8,DB145=1),1,0)</f>
        <v>0</v>
      </c>
      <c r="DK145" s="23" t="n">
        <f aca="false">IF(AND(BE145=1,INT(N(H145))&lt;=Config!$B$5,DC145=1),1,0)</f>
        <v>0</v>
      </c>
      <c r="DL145" s="23" t="n">
        <f aca="false">IF(AND(BC145=1,INT(N(H145))&lt;=Config!$B$6,CZ145=0),1,0)</f>
        <v>0</v>
      </c>
      <c r="DM145" s="23" t="n">
        <f aca="false">IF(AND(BC145=1,INT(N(H145))&lt;=Config!$B$7,DA145=0),1,0)</f>
        <v>0</v>
      </c>
      <c r="DN145" s="23" t="n">
        <f aca="false">IF(AND(BC145=1,INT(N(H145))&lt;=Config!$B$8,DB145=0),1,0)</f>
        <v>0</v>
      </c>
      <c r="DO145" s="23" t="n">
        <f aca="false">IF(AND(BC145=1,INT(N(H145))&lt;=Config!$B$5,DC145=0),1,0)</f>
        <v>0</v>
      </c>
      <c r="DP145" s="23" t="n">
        <f aca="false">IF(TRIM($A145)="",0,ISTEXT(K145)+ISTEXT(L145)+ISTEXT(R145)+ISTEXT(V145)+ISTEXT(AP145)+ISTEXT(AS145))</f>
        <v>0</v>
      </c>
      <c r="DQ145" s="23" t="n">
        <f aca="false">IF(AY145=1,IF(H145&lt;&gt;INT(H145),1,0),0)</f>
        <v>0</v>
      </c>
      <c r="DR145" s="23" t="str">
        <f aca="false">IF(TRIM($A145)="","",IF(TRIM(B145)="",SUBSTITUTE(SUBSTITUTE(SUBSTITUTE(SUBSTITUTE(SUBSTITUTE(SUBSTITUTE(LOWER(TRIM($A145)),"~",""),"*",""),"?",""),"&lt;",""),"&gt;",""),"=",""),SUBSTITUTE(SUBSTITUTE(SUBSTITUTE(SUBSTITUTE(SUBSTITUTE(SUBSTITUTE(LOWER(TRIM(B145)),"~",""),"*",""),"?",""),"&lt;",""),"&gt;",""),"=","")))</f>
        <v/>
      </c>
      <c r="DS145" s="23" t="str">
        <f aca="false">IF(CM145="","",IFERROR(IF(LEFT(LOWER(TRIM(INDEX(Clay_Brands!$A$2:$FZ$601,CM145,Sync!$D$19)&amp;"")),4)="grp-",SUBSTITUTE(SUBSTITUTE(SUBSTITUTE(SUBSTITUTE(SUBSTITUTE(SUBSTITUTE(LOWER(TRIM(INDEX(Clay_Brands!$A$2:$FZ$601,CM145,Sync!$D$19)&amp;"")),"~",""),"*",""),"?",""),"&lt;",""),"&gt;",""),"=",""),""),""))</f>
        <v/>
      </c>
      <c r="DT145" s="23" t="str">
        <f aca="false">IF(DS145&lt;&gt;"",DR145,"")</f>
        <v/>
      </c>
      <c r="DU145" s="23" t="str">
        <f aca="false">IF(AZ145=1,AW145,"")</f>
        <v/>
      </c>
      <c r="DV145" s="23" t="str">
        <f aca="false">IF(TRIM($A145)="","",IFERROR(INDEX($A$2:$A$201,MATCH(AW145,$DU$2:$DU$201,0))&amp;"",$A145&amp;""))</f>
        <v/>
      </c>
      <c r="DW145" s="23" t="n">
        <f aca="false">IF(AY145=1,IF(COUNTIFS($A$2:$A$201,$A145,$AY$2:$AY$201,1,$H$2:$H$201,"&lt;"&amp;H145)+COUNTIFS($A$2:$A$201,$A145,$AY$2:$AY$201,1,$H$2:$H$201,H145,$AX$2:$AX$201,"&lt;"&amp;AX145)=0,1,0),0)</f>
        <v>0</v>
      </c>
      <c r="DX145" s="23" t="n">
        <f aca="false">IF(AZ145=1,IF(COUNTIFS($AW$2:$AW$201,AW145,$DW$2:$DW$201,1)&gt;1,1,0),0)</f>
        <v>0</v>
      </c>
    </row>
    <row r="146" customFormat="false" ht="15" hidden="false" customHeight="false" outlineLevel="0" collapsed="false">
      <c r="G146" s="32"/>
      <c r="H146" s="33"/>
      <c r="I146" s="32"/>
      <c r="O146" s="32"/>
      <c r="P146" s="32"/>
      <c r="U146" s="32"/>
      <c r="Y146" s="32"/>
      <c r="AB146" s="32"/>
      <c r="AC146" s="32"/>
      <c r="AD146" s="32"/>
      <c r="AE146" s="32"/>
      <c r="AF146" s="32"/>
      <c r="AG146" s="32"/>
      <c r="AI146" s="32"/>
      <c r="AJ146" s="32"/>
      <c r="AK146" s="32"/>
      <c r="AN146" s="32"/>
      <c r="AO146" s="32"/>
      <c r="AR146" s="32"/>
      <c r="AT146" s="32"/>
      <c r="AV146" s="34" t="str">
        <f aca="false">IF(TRIM($A146)="","",IF(AND(LEFT($A146,6)="SAMPLE",Config!$B$19&lt;&gt;"Y"),"",IF(NOT(ISNUMBER(H146)),"call_date is blank or not a date",IF(Sync!$D$5="","Clay paste is empty or has no row_id column: paste the Clay export on Clay_Brands",IF(CM146="","row_id not found in the Clay paste: add the Clay row or fix the row_id",IF(AND(ISNUMBER(CO146),CO146&gt;=1,CO146&lt;=5),"Clay status is "&amp;CN146&amp;": set call_done or later",IF(AND(BA146=1,CP146&lt;&gt;CB146),"Clay yes_in_principle should be "&amp;CB146,IF(AND(BA146=1,CQ146&lt;&gt;H146),"Clay call_date should be "&amp;TEXT(H146,"yyyy-mm-dd"),""))))))))</f>
        <v/>
      </c>
      <c r="AW146" s="23" t="str">
        <f aca="false">IF(TRIM($A146)="","",IF(TRIM(C146)&lt;&gt;"",SUBSTITUTE(SUBSTITUTE(SUBSTITUTE(SUBSTITUTE(SUBSTITUTE(SUBSTITUTE(LOWER(TRIM(C146)),"~",""),"*",""),"?",""),"&lt;",""),"&gt;",""),"=",""),IF(DS146&lt;&gt;"",DS146,IFERROR(INDEX($DS$2:$DS$201,MATCH(DR146,$DT$2:$DT$201,0)),DR146))))</f>
        <v/>
      </c>
      <c r="AX146" s="23" t="n">
        <f aca="false">ROW()</f>
        <v>146</v>
      </c>
      <c r="AY146" s="23" t="n">
        <f aca="false">IF(AND(TRIM($A146)&lt;&gt;"",ISNUMBER(H146)),IF(AND(LEFT($A146,6)="SAMPLE",Config!$B$19&lt;&gt;"Y"),0,1),0)</f>
        <v>0</v>
      </c>
      <c r="AZ146" s="23" t="n">
        <f aca="false">IF(AY146=1,IF(COUNTIFS($AW$2:$AW$201,AW146,$AY$2:$AY$201,1,$H$2:$H$201,"&lt;"&amp;H146)+COUNTIFS($AW$2:$AW$201,AW146,$AY$2:$AY$201,1,$H$2:$H$201,H146,$AX$2:$AX$201,"&lt;"&amp;AX146)=0,1,0),0)</f>
        <v>0</v>
      </c>
      <c r="BA146" s="23" t="n">
        <f aca="false">IF(AY146=1,IF(COUNTIFS($A$2:$A$201,$A146,$AY$2:$AY$201,1,$H$2:$H$201,"&gt;"&amp;H146)+COUNTIFS($A$2:$A$201,$A146,$AY$2:$AY$201,1,$H$2:$H$201,H146,$AX$2:$AX$201,"&gt;"&amp;AX146)=0,1,0),0)</f>
        <v>0</v>
      </c>
      <c r="BB146" s="23" t="n">
        <f aca="false">IF(AND(AY146=1,O146="Y",MAX(N(R146),N(V146))&gt;=Config!$B$14),1,0)</f>
        <v>0</v>
      </c>
      <c r="BC146" s="23" t="n">
        <f aca="false">IF(BB146=1,IF(COUNTIFS($AW$2:$AW$201,AW146,$BB$2:$BB$201,1,$H$2:$H$201,"&lt;"&amp;H146)+COUNTIFS($AW$2:$AW$201,AW146,$BB$2:$BB$201,1,$H$2:$H$201,H146,$AX$2:$AX$201,"&lt;"&amp;AX146)=0,1,0),0)</f>
        <v>0</v>
      </c>
      <c r="BD146" s="23" t="n">
        <f aca="false">IF(AND(AY146=1,O146="Y",ISNUMBER(R146)),IF(R146&gt;=Config!$B$14,1,0),0)</f>
        <v>0</v>
      </c>
      <c r="BE146" s="23" t="n">
        <f aca="false">IF(BD146=1,IF(COUNTIFS($AW$2:$AW$201,AW146,$BD$2:$BD$201,1,$H$2:$H$201,"&lt;"&amp;H146)+COUNTIFS($AW$2:$AW$201,AW146,$BD$2:$BD$201,1,$H$2:$H$201,H146,$AX$2:$AX$201,"&lt;"&amp;AX146)=0,1,0),0)</f>
        <v>0</v>
      </c>
      <c r="BF146" s="23" t="n">
        <f aca="false">IF(AND(AY146=1,O146&lt;&gt;"Y",MAX(N(R146),N(V146))&gt;=Config!$B$14),1,0)</f>
        <v>0</v>
      </c>
      <c r="BG146" s="23" t="n">
        <f aca="false">IF(BF146=1,IF(COUNTIFS($AW$2:$AW$201,AW146,$BF$2:$BF$201,1,$H$2:$H$201,"&lt;"&amp;H146)+COUNTIFS($AW$2:$AW$201,AW146,$BF$2:$BF$201,1,$H$2:$H$201,H146,$AX$2:$AX$201,"&lt;"&amp;AX146)=0,1,0),0)</f>
        <v>0</v>
      </c>
      <c r="BH146" s="23" t="n">
        <f aca="false">IF(AND(AY146=1,ISNUMBER(R146)),1,0)</f>
        <v>0</v>
      </c>
      <c r="BI146" s="23" t="n">
        <f aca="false">IF(BH146=1,IF(COUNTIFS($AW$2:$AW$201,AW146,$BH$2:$BH$201,1,$H$2:$H$201,"&lt;"&amp;H146)+COUNTIFS($AW$2:$AW$201,AW146,$BH$2:$BH$201,1,$H$2:$H$201,H146,$AX$2:$AX$201,"&lt;"&amp;AX146)=0,1,0),0)</f>
        <v>0</v>
      </c>
      <c r="BJ146" s="23" t="str">
        <f aca="false">IF(AND(BI146=1,INT(N(H146))&lt;=Config!$B$6),R146,"")</f>
        <v/>
      </c>
      <c r="BK146" s="23" t="str">
        <f aca="false">IF(AND(BI146=1,INT(N(H146))&lt;=Config!$B$7),R146,"")</f>
        <v/>
      </c>
      <c r="BL146" s="23" t="str">
        <f aca="false">IF(AND(BI146=1,INT(N(H146))&lt;=Config!$B$8),R146,"")</f>
        <v/>
      </c>
      <c r="BM146" s="23" t="str">
        <f aca="false">IF(AND(BI146=1,INT(N(H146))&lt;=Config!$B$5),R146,"")</f>
        <v/>
      </c>
      <c r="BN146" s="23" t="n">
        <f aca="false">IF(AND(AY146=1,ISNUMBER(V146)),1,0)</f>
        <v>0</v>
      </c>
      <c r="BO146" s="23" t="n">
        <f aca="false">IF(BN146=1,IF(COUNTIFS($AW$2:$AW$201,AW146,$BN$2:$BN$201,1,$H$2:$H$201,"&lt;"&amp;H146)+COUNTIFS($AW$2:$AW$201,AW146,$BN$2:$BN$201,1,$H$2:$H$201,H146,$AX$2:$AX$201,"&lt;"&amp;AX146)=0,1,0),0)</f>
        <v>0</v>
      </c>
      <c r="BP146" s="23" t="str">
        <f aca="false">IF(AND(BO146=1,INT(N(H146))&lt;=Config!$B$6),V146,"")</f>
        <v/>
      </c>
      <c r="BQ146" s="23" t="str">
        <f aca="false">IF(AND(BO146=1,INT(N(H146))&lt;=Config!$B$7),V146,"")</f>
        <v/>
      </c>
      <c r="BR146" s="23" t="str">
        <f aca="false">IF(AND(BO146=1,INT(N(H146))&lt;=Config!$B$8),V146,"")</f>
        <v/>
      </c>
      <c r="BS146" s="23" t="str">
        <f aca="false">IF(AND(BO146=1,INT(N(H146))&lt;=Config!$B$5),V146,"")</f>
        <v/>
      </c>
      <c r="BT146" s="23" t="n">
        <f aca="false">IF(AND(AY146=1,ISNUMBER(K146)),1,0)</f>
        <v>0</v>
      </c>
      <c r="BU146" s="23" t="n">
        <f aca="false">IF(BT146=1,IF(COUNTIFS($AW$2:$AW$201,AW146,$BT$2:$BT$201,1,$H$2:$H$201,"&lt;"&amp;H146)+COUNTIFS($AW$2:$AW$201,AW146,$BT$2:$BT$201,1,$H$2:$H$201,H146,$AX$2:$AX$201,"&lt;"&amp;AX146)=0,1,0),0)</f>
        <v>0</v>
      </c>
      <c r="BV146" s="23" t="str">
        <f aca="false">IF(AND(BU146=1,INT(N(H146))&lt;=Config!$B$5),K146,"")</f>
        <v/>
      </c>
      <c r="BW146" s="23" t="n">
        <f aca="false">IF(AND(AY146=1,OR(AND(ISNUMBER(R146),TRIM(S146)=""),AND(ISNUMBER(V146),TRIM(W146)=""))),1,0)</f>
        <v>0</v>
      </c>
      <c r="BX146" s="23" t="str">
        <f aca="false">IF(AY146=1,AJ146&amp;"","")</f>
        <v/>
      </c>
      <c r="BY146" s="23" t="str">
        <f aca="false">IF(AY146=1,AK146&amp;"","")</f>
        <v/>
      </c>
      <c r="BZ146" s="23" t="str">
        <f aca="false">IF(AY146=1,AL146&amp;"","")</f>
        <v/>
      </c>
      <c r="CA146" s="23" t="str">
        <f aca="false">IF(AND(AY146=1,ISNUMBER(AS146),INT(N(H146))&lt;=Config!$B$5),AS146,"")</f>
        <v/>
      </c>
      <c r="CB146" s="23" t="str">
        <f aca="false">IF(AY146=1,IF(COUNTIFS($A$2:$A$201,$A146,$CU$2:$CU$201,1,$AN$2:$AN$201,"Y")&gt;0,"Y","N"),"")</f>
        <v/>
      </c>
      <c r="CC146" s="23" t="n">
        <f aca="false">IF(AND(AY146=1,AN146="Y"),IF(COUNTIFS($AW$2:$AW$201,AW146,$AN$2:$AN$201,"Y",$AY$2:$AY$201,1,$H$2:$H$201,"&lt;"&amp;H146)+COUNTIFS($AW$2:$AW$201,AW146,$AN$2:$AN$201,"Y",$AY$2:$AY$201,1,$H$2:$H$201,H146,$AX$2:$AX$201,"&lt;"&amp;AX146)=0,1,0),0)</f>
        <v>0</v>
      </c>
      <c r="CD146" s="23" t="n">
        <f aca="false">IF(AND(AY146=1,AB146="Y",AC146="Y",AD146="Y",AE146="Y",AF146="Y",AG146="Y",AI146="Y",TRIM(AH146)&lt;&gt;""),1,0)</f>
        <v>0</v>
      </c>
      <c r="CE146" s="23" t="n">
        <f aca="false">IF(CD146=1,IF(COUNTIFS($AW$2:$AW$201,AW146,$CD$2:$CD$201,1,$H$2:$H$201,"&lt;"&amp;H146)+COUNTIFS($AW$2:$AW$201,AW146,$CD$2:$CD$201,1,$H$2:$H$201,H146,$AX$2:$AX$201,"&lt;"&amp;AX146)=0,1,0),0)</f>
        <v>0</v>
      </c>
      <c r="CF146" s="23" t="n">
        <f aca="false">IF(AND(AY146=1,AO146="Y"),1,0)</f>
        <v>0</v>
      </c>
      <c r="CG146" s="23" t="n">
        <f aca="false">IF(CF146=1,IF(COUNTIFS($AW$2:$AW$201,AW146,$CF$2:$CF$201,1,$H$2:$H$201,"&lt;"&amp;H146)+COUNTIFS($AW$2:$AW$201,AW146,$CF$2:$CF$201,1,$H$2:$H$201,H146,$AX$2:$AX$201,"&lt;"&amp;AX146)=0,1,0),0)</f>
        <v>0</v>
      </c>
      <c r="CH146" s="23" t="n">
        <f aca="false">IF(AND(AY146=1,P146="Y"),1,0)</f>
        <v>0</v>
      </c>
      <c r="CI146" s="23" t="n">
        <f aca="false">IF(CH146=1,IF(COUNTIFS($AW$2:$AW$201,AW146,$CH$2:$CH$201,1,$H$2:$H$201,"&lt;"&amp;H146)+COUNTIFS($AW$2:$AW$201,AW146,$CH$2:$CH$201,1,$H$2:$H$201,H146,$AX$2:$AX$201,"&lt;"&amp;AX146)=0,1,0),0)</f>
        <v>0</v>
      </c>
      <c r="CJ146" s="23" t="str">
        <f aca="false">IF(AND(BU146=1,INT(N(H146))&lt;=Config!$B$5),L146,"")</f>
        <v/>
      </c>
      <c r="CK146" s="23" t="n">
        <f aca="false">IF(AND(AY146=1,AR146="Y"),1,0)</f>
        <v>0</v>
      </c>
      <c r="CL146" s="23" t="n">
        <f aca="false">IF(CK146=1,IF(COUNTIFS($AW$2:$AW$201,AW146,$CK$2:$CK$201,1,$H$2:$H$201,"&lt;"&amp;H146)+COUNTIFS($AW$2:$AW$201,AW146,$CK$2:$CK$201,1,$H$2:$H$201,H146,$AX$2:$AX$201,"&lt;"&amp;AX146)=0,1,0),0)</f>
        <v>0</v>
      </c>
      <c r="CM146" s="23" t="str">
        <f aca="false">IF(AY146=1,IFERROR(MATCH($A146,INDEX(Clay_Brands!$A$2:$FZ$601,0,Sync!$D$5),0),""),"")</f>
        <v/>
      </c>
      <c r="CN146" s="23" t="str">
        <f aca="false">IF(CM146="","",IFERROR(INDEX(Clay_Brands!$A$2:$FZ$601,CM146,Sync!$D$7)&amp;"",""))</f>
        <v/>
      </c>
      <c r="CO146" s="23" t="str">
        <f aca="false">IF(CN146="","",IFERROR(INDEX(Lists!$K$2:$K$15,MATCH(CN146,Lists!$J$2:$J$15,0)),""))</f>
        <v/>
      </c>
      <c r="CP146" s="23" t="str">
        <f aca="false">IF(CM146="","",IFERROR(INDEX(Clay_Brands!$A$2:$FZ$601,CM146,Sync!$D$17)&amp;"",""))</f>
        <v/>
      </c>
      <c r="CQ146" s="35" t="str">
        <f aca="false">IF(CM146="","",IFERROR(N(INDEX(Clay_Brands!$A$2:$FZ$601,CM146,Sync!$D$16)),0))</f>
        <v/>
      </c>
      <c r="CR146" s="23" t="n">
        <f aca="false">IF(AND(AY146=1,OR(O146="N",AND(OR(ISNUMBER(R146),ISNUMBER(V146)),MAX(N(R146),N(V146))&lt;Config!$B$14))),1,0)</f>
        <v>0</v>
      </c>
      <c r="CS146" s="23" t="n">
        <f aca="false">IF(OR(BB146=1,CR146=1),1,0)</f>
        <v>0</v>
      </c>
      <c r="CT146" s="23" t="n">
        <f aca="false">IF(AND(AY146=1,OR(AN146="Y",AN146="N",AN146="maybe")),1,0)</f>
        <v>0</v>
      </c>
      <c r="CU146" s="23" t="n">
        <f aca="false">IF(AND(CT146=1),IF(COUNTIFS($A$2:$A$201,$A146,$CT$2:$CT$201,1,$H$2:$H$201,"&gt;"&amp;H146)+COUNTIFS($A$2:$A$201,$A146,$CT$2:$CT$201,1,$H$2:$H$201,H146,$AX$2:$AX$201,"&gt;"&amp;AX146)=0,1,0),0)</f>
        <v>0</v>
      </c>
      <c r="CV146" s="23" t="n">
        <f aca="false">IF(AND(CS146=1,INT(N(H146))&lt;=Config!$B$6),IF(COUNTIFS($AW$2:$AW$201,AW146,$CS$2:$CS$201,1,$H$2:$H$201,"&gt;"&amp;H146,$H$2:$H$201,"&lt;"&amp;(Config!$B$6+1))+COUNTIFS($AW$2:$AW$201,AW146,$CS$2:$CS$201,1,$H$2:$H$201,H146,$AX$2:$AX$201,"&gt;"&amp;AX146)=0,1,0),0)</f>
        <v>0</v>
      </c>
      <c r="CW146" s="23" t="n">
        <f aca="false">IF(AND(CS146=1,INT(N(H146))&lt;=Config!$B$7),IF(COUNTIFS($AW$2:$AW$201,AW146,$CS$2:$CS$201,1,$H$2:$H$201,"&gt;"&amp;H146,$H$2:$H$201,"&lt;"&amp;(Config!$B$7+1))+COUNTIFS($AW$2:$AW$201,AW146,$CS$2:$CS$201,1,$H$2:$H$201,H146,$AX$2:$AX$201,"&gt;"&amp;AX146)=0,1,0),0)</f>
        <v>0</v>
      </c>
      <c r="CX146" s="23" t="n">
        <f aca="false">IF(AND(CS146=1,INT(N(H146))&lt;=Config!$B$8),IF(COUNTIFS($AW$2:$AW$201,AW146,$CS$2:$CS$201,1,$H$2:$H$201,"&gt;"&amp;H146,$H$2:$H$201,"&lt;"&amp;(Config!$B$8+1))+COUNTIFS($AW$2:$AW$201,AW146,$CS$2:$CS$201,1,$H$2:$H$201,H146,$AX$2:$AX$201,"&gt;"&amp;AX146)=0,1,0),0)</f>
        <v>0</v>
      </c>
      <c r="CY146" s="23" t="n">
        <f aca="false">IF(AND(CS146=1,INT(N(H146))&lt;=Config!$B$5),IF(COUNTIFS($AW$2:$AW$201,AW146,$CS$2:$CS$201,1,$H$2:$H$201,"&gt;"&amp;H146,$H$2:$H$201,"&lt;"&amp;(Config!$B$5+1))+COUNTIFS($AW$2:$AW$201,AW146,$CS$2:$CS$201,1,$H$2:$H$201,H146,$AX$2:$AX$201,"&gt;"&amp;AX146)=0,1,0),0)</f>
        <v>0</v>
      </c>
      <c r="CZ146" s="23" t="n">
        <f aca="false">IF(AY146=1,IF(COUNTIFS($AW$2:$AW$201,AW146,$CV$2:$CV$201,1,$BB$2:$BB$201,1)&gt;0,1,0),0)</f>
        <v>0</v>
      </c>
      <c r="DA146" s="23" t="n">
        <f aca="false">IF(AY146=1,IF(COUNTIFS($AW$2:$AW$201,AW146,$CW$2:$CW$201,1,$BB$2:$BB$201,1)&gt;0,1,0),0)</f>
        <v>0</v>
      </c>
      <c r="DB146" s="23" t="n">
        <f aca="false">IF(AY146=1,IF(COUNTIFS($AW$2:$AW$201,AW146,$CX$2:$CX$201,1,$BB$2:$BB$201,1)&gt;0,1,0),0)</f>
        <v>0</v>
      </c>
      <c r="DC146" s="23" t="n">
        <f aca="false">IF(AY146=1,IF(COUNTIFS($AW$2:$AW$201,AW146,$CY$2:$CY$201,1,$BB$2:$BB$201,1)&gt;0,1,0),0)</f>
        <v>0</v>
      </c>
      <c r="DD146" s="23" t="n">
        <f aca="false">IF(AND(BC146=1,INT(N(H146))&lt;=Config!$B$6,CZ146=1),1,0)</f>
        <v>0</v>
      </c>
      <c r="DE146" s="23" t="n">
        <f aca="false">IF(AND(BC146=1,INT(N(H146))&lt;=Config!$B$7,DA146=1),1,0)</f>
        <v>0</v>
      </c>
      <c r="DF146" s="23" t="n">
        <f aca="false">IF(AND(BC146=1,INT(N(H146))&lt;=Config!$B$8,DB146=1),1,0)</f>
        <v>0</v>
      </c>
      <c r="DG146" s="23" t="n">
        <f aca="false">IF(AND(BC146=1,INT(N(H146))&lt;=Config!$B$5,DC146=1),1,0)</f>
        <v>0</v>
      </c>
      <c r="DH146" s="23" t="n">
        <f aca="false">IF(AND(BE146=1,INT(N(H146))&lt;=Config!$B$6,CZ146=1),1,0)</f>
        <v>0</v>
      </c>
      <c r="DI146" s="23" t="n">
        <f aca="false">IF(AND(BE146=1,INT(N(H146))&lt;=Config!$B$7,DA146=1),1,0)</f>
        <v>0</v>
      </c>
      <c r="DJ146" s="23" t="n">
        <f aca="false">IF(AND(BE146=1,INT(N(H146))&lt;=Config!$B$8,DB146=1),1,0)</f>
        <v>0</v>
      </c>
      <c r="DK146" s="23" t="n">
        <f aca="false">IF(AND(BE146=1,INT(N(H146))&lt;=Config!$B$5,DC146=1),1,0)</f>
        <v>0</v>
      </c>
      <c r="DL146" s="23" t="n">
        <f aca="false">IF(AND(BC146=1,INT(N(H146))&lt;=Config!$B$6,CZ146=0),1,0)</f>
        <v>0</v>
      </c>
      <c r="DM146" s="23" t="n">
        <f aca="false">IF(AND(BC146=1,INT(N(H146))&lt;=Config!$B$7,DA146=0),1,0)</f>
        <v>0</v>
      </c>
      <c r="DN146" s="23" t="n">
        <f aca="false">IF(AND(BC146=1,INT(N(H146))&lt;=Config!$B$8,DB146=0),1,0)</f>
        <v>0</v>
      </c>
      <c r="DO146" s="23" t="n">
        <f aca="false">IF(AND(BC146=1,INT(N(H146))&lt;=Config!$B$5,DC146=0),1,0)</f>
        <v>0</v>
      </c>
      <c r="DP146" s="23" t="n">
        <f aca="false">IF(TRIM($A146)="",0,ISTEXT(K146)+ISTEXT(L146)+ISTEXT(R146)+ISTEXT(V146)+ISTEXT(AP146)+ISTEXT(AS146))</f>
        <v>0</v>
      </c>
      <c r="DQ146" s="23" t="n">
        <f aca="false">IF(AY146=1,IF(H146&lt;&gt;INT(H146),1,0),0)</f>
        <v>0</v>
      </c>
      <c r="DR146" s="23" t="str">
        <f aca="false">IF(TRIM($A146)="","",IF(TRIM(B146)="",SUBSTITUTE(SUBSTITUTE(SUBSTITUTE(SUBSTITUTE(SUBSTITUTE(SUBSTITUTE(LOWER(TRIM($A146)),"~",""),"*",""),"?",""),"&lt;",""),"&gt;",""),"=",""),SUBSTITUTE(SUBSTITUTE(SUBSTITUTE(SUBSTITUTE(SUBSTITUTE(SUBSTITUTE(LOWER(TRIM(B146)),"~",""),"*",""),"?",""),"&lt;",""),"&gt;",""),"=","")))</f>
        <v/>
      </c>
      <c r="DS146" s="23" t="str">
        <f aca="false">IF(CM146="","",IFERROR(IF(LEFT(LOWER(TRIM(INDEX(Clay_Brands!$A$2:$FZ$601,CM146,Sync!$D$19)&amp;"")),4)="grp-",SUBSTITUTE(SUBSTITUTE(SUBSTITUTE(SUBSTITUTE(SUBSTITUTE(SUBSTITUTE(LOWER(TRIM(INDEX(Clay_Brands!$A$2:$FZ$601,CM146,Sync!$D$19)&amp;"")),"~",""),"*",""),"?",""),"&lt;",""),"&gt;",""),"=",""),""),""))</f>
        <v/>
      </c>
      <c r="DT146" s="23" t="str">
        <f aca="false">IF(DS146&lt;&gt;"",DR146,"")</f>
        <v/>
      </c>
      <c r="DU146" s="23" t="str">
        <f aca="false">IF(AZ146=1,AW146,"")</f>
        <v/>
      </c>
      <c r="DV146" s="23" t="str">
        <f aca="false">IF(TRIM($A146)="","",IFERROR(INDEX($A$2:$A$201,MATCH(AW146,$DU$2:$DU$201,0))&amp;"",$A146&amp;""))</f>
        <v/>
      </c>
      <c r="DW146" s="23" t="n">
        <f aca="false">IF(AY146=1,IF(COUNTIFS($A$2:$A$201,$A146,$AY$2:$AY$201,1,$H$2:$H$201,"&lt;"&amp;H146)+COUNTIFS($A$2:$A$201,$A146,$AY$2:$AY$201,1,$H$2:$H$201,H146,$AX$2:$AX$201,"&lt;"&amp;AX146)=0,1,0),0)</f>
        <v>0</v>
      </c>
      <c r="DX146" s="23" t="n">
        <f aca="false">IF(AZ146=1,IF(COUNTIFS($AW$2:$AW$201,AW146,$DW$2:$DW$201,1)&gt;1,1,0),0)</f>
        <v>0</v>
      </c>
    </row>
    <row r="147" customFormat="false" ht="15" hidden="false" customHeight="false" outlineLevel="0" collapsed="false">
      <c r="G147" s="32"/>
      <c r="H147" s="33"/>
      <c r="I147" s="32"/>
      <c r="O147" s="32"/>
      <c r="P147" s="32"/>
      <c r="U147" s="32"/>
      <c r="Y147" s="32"/>
      <c r="AB147" s="32"/>
      <c r="AC147" s="32"/>
      <c r="AD147" s="32"/>
      <c r="AE147" s="32"/>
      <c r="AF147" s="32"/>
      <c r="AG147" s="32"/>
      <c r="AI147" s="32"/>
      <c r="AJ147" s="32"/>
      <c r="AK147" s="32"/>
      <c r="AN147" s="32"/>
      <c r="AO147" s="32"/>
      <c r="AR147" s="32"/>
      <c r="AT147" s="32"/>
      <c r="AV147" s="34" t="str">
        <f aca="false">IF(TRIM($A147)="","",IF(AND(LEFT($A147,6)="SAMPLE",Config!$B$19&lt;&gt;"Y"),"",IF(NOT(ISNUMBER(H147)),"call_date is blank or not a date",IF(Sync!$D$5="","Clay paste is empty or has no row_id column: paste the Clay export on Clay_Brands",IF(CM147="","row_id not found in the Clay paste: add the Clay row or fix the row_id",IF(AND(ISNUMBER(CO147),CO147&gt;=1,CO147&lt;=5),"Clay status is "&amp;CN147&amp;": set call_done or later",IF(AND(BA147=1,CP147&lt;&gt;CB147),"Clay yes_in_principle should be "&amp;CB147,IF(AND(BA147=1,CQ147&lt;&gt;H147),"Clay call_date should be "&amp;TEXT(H147,"yyyy-mm-dd"),""))))))))</f>
        <v/>
      </c>
      <c r="AW147" s="23" t="str">
        <f aca="false">IF(TRIM($A147)="","",IF(TRIM(C147)&lt;&gt;"",SUBSTITUTE(SUBSTITUTE(SUBSTITUTE(SUBSTITUTE(SUBSTITUTE(SUBSTITUTE(LOWER(TRIM(C147)),"~",""),"*",""),"?",""),"&lt;",""),"&gt;",""),"=",""),IF(DS147&lt;&gt;"",DS147,IFERROR(INDEX($DS$2:$DS$201,MATCH(DR147,$DT$2:$DT$201,0)),DR147))))</f>
        <v/>
      </c>
      <c r="AX147" s="23" t="n">
        <f aca="false">ROW()</f>
        <v>147</v>
      </c>
      <c r="AY147" s="23" t="n">
        <f aca="false">IF(AND(TRIM($A147)&lt;&gt;"",ISNUMBER(H147)),IF(AND(LEFT($A147,6)="SAMPLE",Config!$B$19&lt;&gt;"Y"),0,1),0)</f>
        <v>0</v>
      </c>
      <c r="AZ147" s="23" t="n">
        <f aca="false">IF(AY147=1,IF(COUNTIFS($AW$2:$AW$201,AW147,$AY$2:$AY$201,1,$H$2:$H$201,"&lt;"&amp;H147)+COUNTIFS($AW$2:$AW$201,AW147,$AY$2:$AY$201,1,$H$2:$H$201,H147,$AX$2:$AX$201,"&lt;"&amp;AX147)=0,1,0),0)</f>
        <v>0</v>
      </c>
      <c r="BA147" s="23" t="n">
        <f aca="false">IF(AY147=1,IF(COUNTIFS($A$2:$A$201,$A147,$AY$2:$AY$201,1,$H$2:$H$201,"&gt;"&amp;H147)+COUNTIFS($A$2:$A$201,$A147,$AY$2:$AY$201,1,$H$2:$H$201,H147,$AX$2:$AX$201,"&gt;"&amp;AX147)=0,1,0),0)</f>
        <v>0</v>
      </c>
      <c r="BB147" s="23" t="n">
        <f aca="false">IF(AND(AY147=1,O147="Y",MAX(N(R147),N(V147))&gt;=Config!$B$14),1,0)</f>
        <v>0</v>
      </c>
      <c r="BC147" s="23" t="n">
        <f aca="false">IF(BB147=1,IF(COUNTIFS($AW$2:$AW$201,AW147,$BB$2:$BB$201,1,$H$2:$H$201,"&lt;"&amp;H147)+COUNTIFS($AW$2:$AW$201,AW147,$BB$2:$BB$201,1,$H$2:$H$201,H147,$AX$2:$AX$201,"&lt;"&amp;AX147)=0,1,0),0)</f>
        <v>0</v>
      </c>
      <c r="BD147" s="23" t="n">
        <f aca="false">IF(AND(AY147=1,O147="Y",ISNUMBER(R147)),IF(R147&gt;=Config!$B$14,1,0),0)</f>
        <v>0</v>
      </c>
      <c r="BE147" s="23" t="n">
        <f aca="false">IF(BD147=1,IF(COUNTIFS($AW$2:$AW$201,AW147,$BD$2:$BD$201,1,$H$2:$H$201,"&lt;"&amp;H147)+COUNTIFS($AW$2:$AW$201,AW147,$BD$2:$BD$201,1,$H$2:$H$201,H147,$AX$2:$AX$201,"&lt;"&amp;AX147)=0,1,0),0)</f>
        <v>0</v>
      </c>
      <c r="BF147" s="23" t="n">
        <f aca="false">IF(AND(AY147=1,O147&lt;&gt;"Y",MAX(N(R147),N(V147))&gt;=Config!$B$14),1,0)</f>
        <v>0</v>
      </c>
      <c r="BG147" s="23" t="n">
        <f aca="false">IF(BF147=1,IF(COUNTIFS($AW$2:$AW$201,AW147,$BF$2:$BF$201,1,$H$2:$H$201,"&lt;"&amp;H147)+COUNTIFS($AW$2:$AW$201,AW147,$BF$2:$BF$201,1,$H$2:$H$201,H147,$AX$2:$AX$201,"&lt;"&amp;AX147)=0,1,0),0)</f>
        <v>0</v>
      </c>
      <c r="BH147" s="23" t="n">
        <f aca="false">IF(AND(AY147=1,ISNUMBER(R147)),1,0)</f>
        <v>0</v>
      </c>
      <c r="BI147" s="23" t="n">
        <f aca="false">IF(BH147=1,IF(COUNTIFS($AW$2:$AW$201,AW147,$BH$2:$BH$201,1,$H$2:$H$201,"&lt;"&amp;H147)+COUNTIFS($AW$2:$AW$201,AW147,$BH$2:$BH$201,1,$H$2:$H$201,H147,$AX$2:$AX$201,"&lt;"&amp;AX147)=0,1,0),0)</f>
        <v>0</v>
      </c>
      <c r="BJ147" s="23" t="str">
        <f aca="false">IF(AND(BI147=1,INT(N(H147))&lt;=Config!$B$6),R147,"")</f>
        <v/>
      </c>
      <c r="BK147" s="23" t="str">
        <f aca="false">IF(AND(BI147=1,INT(N(H147))&lt;=Config!$B$7),R147,"")</f>
        <v/>
      </c>
      <c r="BL147" s="23" t="str">
        <f aca="false">IF(AND(BI147=1,INT(N(H147))&lt;=Config!$B$8),R147,"")</f>
        <v/>
      </c>
      <c r="BM147" s="23" t="str">
        <f aca="false">IF(AND(BI147=1,INT(N(H147))&lt;=Config!$B$5),R147,"")</f>
        <v/>
      </c>
      <c r="BN147" s="23" t="n">
        <f aca="false">IF(AND(AY147=1,ISNUMBER(V147)),1,0)</f>
        <v>0</v>
      </c>
      <c r="BO147" s="23" t="n">
        <f aca="false">IF(BN147=1,IF(COUNTIFS($AW$2:$AW$201,AW147,$BN$2:$BN$201,1,$H$2:$H$201,"&lt;"&amp;H147)+COUNTIFS($AW$2:$AW$201,AW147,$BN$2:$BN$201,1,$H$2:$H$201,H147,$AX$2:$AX$201,"&lt;"&amp;AX147)=0,1,0),0)</f>
        <v>0</v>
      </c>
      <c r="BP147" s="23" t="str">
        <f aca="false">IF(AND(BO147=1,INT(N(H147))&lt;=Config!$B$6),V147,"")</f>
        <v/>
      </c>
      <c r="BQ147" s="23" t="str">
        <f aca="false">IF(AND(BO147=1,INT(N(H147))&lt;=Config!$B$7),V147,"")</f>
        <v/>
      </c>
      <c r="BR147" s="23" t="str">
        <f aca="false">IF(AND(BO147=1,INT(N(H147))&lt;=Config!$B$8),V147,"")</f>
        <v/>
      </c>
      <c r="BS147" s="23" t="str">
        <f aca="false">IF(AND(BO147=1,INT(N(H147))&lt;=Config!$B$5),V147,"")</f>
        <v/>
      </c>
      <c r="BT147" s="23" t="n">
        <f aca="false">IF(AND(AY147=1,ISNUMBER(K147)),1,0)</f>
        <v>0</v>
      </c>
      <c r="BU147" s="23" t="n">
        <f aca="false">IF(BT147=1,IF(COUNTIFS($AW$2:$AW$201,AW147,$BT$2:$BT$201,1,$H$2:$H$201,"&lt;"&amp;H147)+COUNTIFS($AW$2:$AW$201,AW147,$BT$2:$BT$201,1,$H$2:$H$201,H147,$AX$2:$AX$201,"&lt;"&amp;AX147)=0,1,0),0)</f>
        <v>0</v>
      </c>
      <c r="BV147" s="23" t="str">
        <f aca="false">IF(AND(BU147=1,INT(N(H147))&lt;=Config!$B$5),K147,"")</f>
        <v/>
      </c>
      <c r="BW147" s="23" t="n">
        <f aca="false">IF(AND(AY147=1,OR(AND(ISNUMBER(R147),TRIM(S147)=""),AND(ISNUMBER(V147),TRIM(W147)=""))),1,0)</f>
        <v>0</v>
      </c>
      <c r="BX147" s="23" t="str">
        <f aca="false">IF(AY147=1,AJ147&amp;"","")</f>
        <v/>
      </c>
      <c r="BY147" s="23" t="str">
        <f aca="false">IF(AY147=1,AK147&amp;"","")</f>
        <v/>
      </c>
      <c r="BZ147" s="23" t="str">
        <f aca="false">IF(AY147=1,AL147&amp;"","")</f>
        <v/>
      </c>
      <c r="CA147" s="23" t="str">
        <f aca="false">IF(AND(AY147=1,ISNUMBER(AS147),INT(N(H147))&lt;=Config!$B$5),AS147,"")</f>
        <v/>
      </c>
      <c r="CB147" s="23" t="str">
        <f aca="false">IF(AY147=1,IF(COUNTIFS($A$2:$A$201,$A147,$CU$2:$CU$201,1,$AN$2:$AN$201,"Y")&gt;0,"Y","N"),"")</f>
        <v/>
      </c>
      <c r="CC147" s="23" t="n">
        <f aca="false">IF(AND(AY147=1,AN147="Y"),IF(COUNTIFS($AW$2:$AW$201,AW147,$AN$2:$AN$201,"Y",$AY$2:$AY$201,1,$H$2:$H$201,"&lt;"&amp;H147)+COUNTIFS($AW$2:$AW$201,AW147,$AN$2:$AN$201,"Y",$AY$2:$AY$201,1,$H$2:$H$201,H147,$AX$2:$AX$201,"&lt;"&amp;AX147)=0,1,0),0)</f>
        <v>0</v>
      </c>
      <c r="CD147" s="23" t="n">
        <f aca="false">IF(AND(AY147=1,AB147="Y",AC147="Y",AD147="Y",AE147="Y",AF147="Y",AG147="Y",AI147="Y",TRIM(AH147)&lt;&gt;""),1,0)</f>
        <v>0</v>
      </c>
      <c r="CE147" s="23" t="n">
        <f aca="false">IF(CD147=1,IF(COUNTIFS($AW$2:$AW$201,AW147,$CD$2:$CD$201,1,$H$2:$H$201,"&lt;"&amp;H147)+COUNTIFS($AW$2:$AW$201,AW147,$CD$2:$CD$201,1,$H$2:$H$201,H147,$AX$2:$AX$201,"&lt;"&amp;AX147)=0,1,0),0)</f>
        <v>0</v>
      </c>
      <c r="CF147" s="23" t="n">
        <f aca="false">IF(AND(AY147=1,AO147="Y"),1,0)</f>
        <v>0</v>
      </c>
      <c r="CG147" s="23" t="n">
        <f aca="false">IF(CF147=1,IF(COUNTIFS($AW$2:$AW$201,AW147,$CF$2:$CF$201,1,$H$2:$H$201,"&lt;"&amp;H147)+COUNTIFS($AW$2:$AW$201,AW147,$CF$2:$CF$201,1,$H$2:$H$201,H147,$AX$2:$AX$201,"&lt;"&amp;AX147)=0,1,0),0)</f>
        <v>0</v>
      </c>
      <c r="CH147" s="23" t="n">
        <f aca="false">IF(AND(AY147=1,P147="Y"),1,0)</f>
        <v>0</v>
      </c>
      <c r="CI147" s="23" t="n">
        <f aca="false">IF(CH147=1,IF(COUNTIFS($AW$2:$AW$201,AW147,$CH$2:$CH$201,1,$H$2:$H$201,"&lt;"&amp;H147)+COUNTIFS($AW$2:$AW$201,AW147,$CH$2:$CH$201,1,$H$2:$H$201,H147,$AX$2:$AX$201,"&lt;"&amp;AX147)=0,1,0),0)</f>
        <v>0</v>
      </c>
      <c r="CJ147" s="23" t="str">
        <f aca="false">IF(AND(BU147=1,INT(N(H147))&lt;=Config!$B$5),L147,"")</f>
        <v/>
      </c>
      <c r="CK147" s="23" t="n">
        <f aca="false">IF(AND(AY147=1,AR147="Y"),1,0)</f>
        <v>0</v>
      </c>
      <c r="CL147" s="23" t="n">
        <f aca="false">IF(CK147=1,IF(COUNTIFS($AW$2:$AW$201,AW147,$CK$2:$CK$201,1,$H$2:$H$201,"&lt;"&amp;H147)+COUNTIFS($AW$2:$AW$201,AW147,$CK$2:$CK$201,1,$H$2:$H$201,H147,$AX$2:$AX$201,"&lt;"&amp;AX147)=0,1,0),0)</f>
        <v>0</v>
      </c>
      <c r="CM147" s="23" t="str">
        <f aca="false">IF(AY147=1,IFERROR(MATCH($A147,INDEX(Clay_Brands!$A$2:$FZ$601,0,Sync!$D$5),0),""),"")</f>
        <v/>
      </c>
      <c r="CN147" s="23" t="str">
        <f aca="false">IF(CM147="","",IFERROR(INDEX(Clay_Brands!$A$2:$FZ$601,CM147,Sync!$D$7)&amp;"",""))</f>
        <v/>
      </c>
      <c r="CO147" s="23" t="str">
        <f aca="false">IF(CN147="","",IFERROR(INDEX(Lists!$K$2:$K$15,MATCH(CN147,Lists!$J$2:$J$15,0)),""))</f>
        <v/>
      </c>
      <c r="CP147" s="23" t="str">
        <f aca="false">IF(CM147="","",IFERROR(INDEX(Clay_Brands!$A$2:$FZ$601,CM147,Sync!$D$17)&amp;"",""))</f>
        <v/>
      </c>
      <c r="CQ147" s="35" t="str">
        <f aca="false">IF(CM147="","",IFERROR(N(INDEX(Clay_Brands!$A$2:$FZ$601,CM147,Sync!$D$16)),0))</f>
        <v/>
      </c>
      <c r="CR147" s="23" t="n">
        <f aca="false">IF(AND(AY147=1,OR(O147="N",AND(OR(ISNUMBER(R147),ISNUMBER(V147)),MAX(N(R147),N(V147))&lt;Config!$B$14))),1,0)</f>
        <v>0</v>
      </c>
      <c r="CS147" s="23" t="n">
        <f aca="false">IF(OR(BB147=1,CR147=1),1,0)</f>
        <v>0</v>
      </c>
      <c r="CT147" s="23" t="n">
        <f aca="false">IF(AND(AY147=1,OR(AN147="Y",AN147="N",AN147="maybe")),1,0)</f>
        <v>0</v>
      </c>
      <c r="CU147" s="23" t="n">
        <f aca="false">IF(AND(CT147=1),IF(COUNTIFS($A$2:$A$201,$A147,$CT$2:$CT$201,1,$H$2:$H$201,"&gt;"&amp;H147)+COUNTIFS($A$2:$A$201,$A147,$CT$2:$CT$201,1,$H$2:$H$201,H147,$AX$2:$AX$201,"&gt;"&amp;AX147)=0,1,0),0)</f>
        <v>0</v>
      </c>
      <c r="CV147" s="23" t="n">
        <f aca="false">IF(AND(CS147=1,INT(N(H147))&lt;=Config!$B$6),IF(COUNTIFS($AW$2:$AW$201,AW147,$CS$2:$CS$201,1,$H$2:$H$201,"&gt;"&amp;H147,$H$2:$H$201,"&lt;"&amp;(Config!$B$6+1))+COUNTIFS($AW$2:$AW$201,AW147,$CS$2:$CS$201,1,$H$2:$H$201,H147,$AX$2:$AX$201,"&gt;"&amp;AX147)=0,1,0),0)</f>
        <v>0</v>
      </c>
      <c r="CW147" s="23" t="n">
        <f aca="false">IF(AND(CS147=1,INT(N(H147))&lt;=Config!$B$7),IF(COUNTIFS($AW$2:$AW$201,AW147,$CS$2:$CS$201,1,$H$2:$H$201,"&gt;"&amp;H147,$H$2:$H$201,"&lt;"&amp;(Config!$B$7+1))+COUNTIFS($AW$2:$AW$201,AW147,$CS$2:$CS$201,1,$H$2:$H$201,H147,$AX$2:$AX$201,"&gt;"&amp;AX147)=0,1,0),0)</f>
        <v>0</v>
      </c>
      <c r="CX147" s="23" t="n">
        <f aca="false">IF(AND(CS147=1,INT(N(H147))&lt;=Config!$B$8),IF(COUNTIFS($AW$2:$AW$201,AW147,$CS$2:$CS$201,1,$H$2:$H$201,"&gt;"&amp;H147,$H$2:$H$201,"&lt;"&amp;(Config!$B$8+1))+COUNTIFS($AW$2:$AW$201,AW147,$CS$2:$CS$201,1,$H$2:$H$201,H147,$AX$2:$AX$201,"&gt;"&amp;AX147)=0,1,0),0)</f>
        <v>0</v>
      </c>
      <c r="CY147" s="23" t="n">
        <f aca="false">IF(AND(CS147=1,INT(N(H147))&lt;=Config!$B$5),IF(COUNTIFS($AW$2:$AW$201,AW147,$CS$2:$CS$201,1,$H$2:$H$201,"&gt;"&amp;H147,$H$2:$H$201,"&lt;"&amp;(Config!$B$5+1))+COUNTIFS($AW$2:$AW$201,AW147,$CS$2:$CS$201,1,$H$2:$H$201,H147,$AX$2:$AX$201,"&gt;"&amp;AX147)=0,1,0),0)</f>
        <v>0</v>
      </c>
      <c r="CZ147" s="23" t="n">
        <f aca="false">IF(AY147=1,IF(COUNTIFS($AW$2:$AW$201,AW147,$CV$2:$CV$201,1,$BB$2:$BB$201,1)&gt;0,1,0),0)</f>
        <v>0</v>
      </c>
      <c r="DA147" s="23" t="n">
        <f aca="false">IF(AY147=1,IF(COUNTIFS($AW$2:$AW$201,AW147,$CW$2:$CW$201,1,$BB$2:$BB$201,1)&gt;0,1,0),0)</f>
        <v>0</v>
      </c>
      <c r="DB147" s="23" t="n">
        <f aca="false">IF(AY147=1,IF(COUNTIFS($AW$2:$AW$201,AW147,$CX$2:$CX$201,1,$BB$2:$BB$201,1)&gt;0,1,0),0)</f>
        <v>0</v>
      </c>
      <c r="DC147" s="23" t="n">
        <f aca="false">IF(AY147=1,IF(COUNTIFS($AW$2:$AW$201,AW147,$CY$2:$CY$201,1,$BB$2:$BB$201,1)&gt;0,1,0),0)</f>
        <v>0</v>
      </c>
      <c r="DD147" s="23" t="n">
        <f aca="false">IF(AND(BC147=1,INT(N(H147))&lt;=Config!$B$6,CZ147=1),1,0)</f>
        <v>0</v>
      </c>
      <c r="DE147" s="23" t="n">
        <f aca="false">IF(AND(BC147=1,INT(N(H147))&lt;=Config!$B$7,DA147=1),1,0)</f>
        <v>0</v>
      </c>
      <c r="DF147" s="23" t="n">
        <f aca="false">IF(AND(BC147=1,INT(N(H147))&lt;=Config!$B$8,DB147=1),1,0)</f>
        <v>0</v>
      </c>
      <c r="DG147" s="23" t="n">
        <f aca="false">IF(AND(BC147=1,INT(N(H147))&lt;=Config!$B$5,DC147=1),1,0)</f>
        <v>0</v>
      </c>
      <c r="DH147" s="23" t="n">
        <f aca="false">IF(AND(BE147=1,INT(N(H147))&lt;=Config!$B$6,CZ147=1),1,0)</f>
        <v>0</v>
      </c>
      <c r="DI147" s="23" t="n">
        <f aca="false">IF(AND(BE147=1,INT(N(H147))&lt;=Config!$B$7,DA147=1),1,0)</f>
        <v>0</v>
      </c>
      <c r="DJ147" s="23" t="n">
        <f aca="false">IF(AND(BE147=1,INT(N(H147))&lt;=Config!$B$8,DB147=1),1,0)</f>
        <v>0</v>
      </c>
      <c r="DK147" s="23" t="n">
        <f aca="false">IF(AND(BE147=1,INT(N(H147))&lt;=Config!$B$5,DC147=1),1,0)</f>
        <v>0</v>
      </c>
      <c r="DL147" s="23" t="n">
        <f aca="false">IF(AND(BC147=1,INT(N(H147))&lt;=Config!$B$6,CZ147=0),1,0)</f>
        <v>0</v>
      </c>
      <c r="DM147" s="23" t="n">
        <f aca="false">IF(AND(BC147=1,INT(N(H147))&lt;=Config!$B$7,DA147=0),1,0)</f>
        <v>0</v>
      </c>
      <c r="DN147" s="23" t="n">
        <f aca="false">IF(AND(BC147=1,INT(N(H147))&lt;=Config!$B$8,DB147=0),1,0)</f>
        <v>0</v>
      </c>
      <c r="DO147" s="23" t="n">
        <f aca="false">IF(AND(BC147=1,INT(N(H147))&lt;=Config!$B$5,DC147=0),1,0)</f>
        <v>0</v>
      </c>
      <c r="DP147" s="23" t="n">
        <f aca="false">IF(TRIM($A147)="",0,ISTEXT(K147)+ISTEXT(L147)+ISTEXT(R147)+ISTEXT(V147)+ISTEXT(AP147)+ISTEXT(AS147))</f>
        <v>0</v>
      </c>
      <c r="DQ147" s="23" t="n">
        <f aca="false">IF(AY147=1,IF(H147&lt;&gt;INT(H147),1,0),0)</f>
        <v>0</v>
      </c>
      <c r="DR147" s="23" t="str">
        <f aca="false">IF(TRIM($A147)="","",IF(TRIM(B147)="",SUBSTITUTE(SUBSTITUTE(SUBSTITUTE(SUBSTITUTE(SUBSTITUTE(SUBSTITUTE(LOWER(TRIM($A147)),"~",""),"*",""),"?",""),"&lt;",""),"&gt;",""),"=",""),SUBSTITUTE(SUBSTITUTE(SUBSTITUTE(SUBSTITUTE(SUBSTITUTE(SUBSTITUTE(LOWER(TRIM(B147)),"~",""),"*",""),"?",""),"&lt;",""),"&gt;",""),"=","")))</f>
        <v/>
      </c>
      <c r="DS147" s="23" t="str">
        <f aca="false">IF(CM147="","",IFERROR(IF(LEFT(LOWER(TRIM(INDEX(Clay_Brands!$A$2:$FZ$601,CM147,Sync!$D$19)&amp;"")),4)="grp-",SUBSTITUTE(SUBSTITUTE(SUBSTITUTE(SUBSTITUTE(SUBSTITUTE(SUBSTITUTE(LOWER(TRIM(INDEX(Clay_Brands!$A$2:$FZ$601,CM147,Sync!$D$19)&amp;"")),"~",""),"*",""),"?",""),"&lt;",""),"&gt;",""),"=",""),""),""))</f>
        <v/>
      </c>
      <c r="DT147" s="23" t="str">
        <f aca="false">IF(DS147&lt;&gt;"",DR147,"")</f>
        <v/>
      </c>
      <c r="DU147" s="23" t="str">
        <f aca="false">IF(AZ147=1,AW147,"")</f>
        <v/>
      </c>
      <c r="DV147" s="23" t="str">
        <f aca="false">IF(TRIM($A147)="","",IFERROR(INDEX($A$2:$A$201,MATCH(AW147,$DU$2:$DU$201,0))&amp;"",$A147&amp;""))</f>
        <v/>
      </c>
      <c r="DW147" s="23" t="n">
        <f aca="false">IF(AY147=1,IF(COUNTIFS($A$2:$A$201,$A147,$AY$2:$AY$201,1,$H$2:$H$201,"&lt;"&amp;H147)+COUNTIFS($A$2:$A$201,$A147,$AY$2:$AY$201,1,$H$2:$H$201,H147,$AX$2:$AX$201,"&lt;"&amp;AX147)=0,1,0),0)</f>
        <v>0</v>
      </c>
      <c r="DX147" s="23" t="n">
        <f aca="false">IF(AZ147=1,IF(COUNTIFS($AW$2:$AW$201,AW147,$DW$2:$DW$201,1)&gt;1,1,0),0)</f>
        <v>0</v>
      </c>
    </row>
    <row r="148" customFormat="false" ht="15" hidden="false" customHeight="false" outlineLevel="0" collapsed="false">
      <c r="G148" s="32"/>
      <c r="H148" s="33"/>
      <c r="I148" s="32"/>
      <c r="O148" s="32"/>
      <c r="P148" s="32"/>
      <c r="U148" s="32"/>
      <c r="Y148" s="32"/>
      <c r="AB148" s="32"/>
      <c r="AC148" s="32"/>
      <c r="AD148" s="32"/>
      <c r="AE148" s="32"/>
      <c r="AF148" s="32"/>
      <c r="AG148" s="32"/>
      <c r="AI148" s="32"/>
      <c r="AJ148" s="32"/>
      <c r="AK148" s="32"/>
      <c r="AN148" s="32"/>
      <c r="AO148" s="32"/>
      <c r="AR148" s="32"/>
      <c r="AT148" s="32"/>
      <c r="AV148" s="34" t="str">
        <f aca="false">IF(TRIM($A148)="","",IF(AND(LEFT($A148,6)="SAMPLE",Config!$B$19&lt;&gt;"Y"),"",IF(NOT(ISNUMBER(H148)),"call_date is blank or not a date",IF(Sync!$D$5="","Clay paste is empty or has no row_id column: paste the Clay export on Clay_Brands",IF(CM148="","row_id not found in the Clay paste: add the Clay row or fix the row_id",IF(AND(ISNUMBER(CO148),CO148&gt;=1,CO148&lt;=5),"Clay status is "&amp;CN148&amp;": set call_done or later",IF(AND(BA148=1,CP148&lt;&gt;CB148),"Clay yes_in_principle should be "&amp;CB148,IF(AND(BA148=1,CQ148&lt;&gt;H148),"Clay call_date should be "&amp;TEXT(H148,"yyyy-mm-dd"),""))))))))</f>
        <v/>
      </c>
      <c r="AW148" s="23" t="str">
        <f aca="false">IF(TRIM($A148)="","",IF(TRIM(C148)&lt;&gt;"",SUBSTITUTE(SUBSTITUTE(SUBSTITUTE(SUBSTITUTE(SUBSTITUTE(SUBSTITUTE(LOWER(TRIM(C148)),"~",""),"*",""),"?",""),"&lt;",""),"&gt;",""),"=",""),IF(DS148&lt;&gt;"",DS148,IFERROR(INDEX($DS$2:$DS$201,MATCH(DR148,$DT$2:$DT$201,0)),DR148))))</f>
        <v/>
      </c>
      <c r="AX148" s="23" t="n">
        <f aca="false">ROW()</f>
        <v>148</v>
      </c>
      <c r="AY148" s="23" t="n">
        <f aca="false">IF(AND(TRIM($A148)&lt;&gt;"",ISNUMBER(H148)),IF(AND(LEFT($A148,6)="SAMPLE",Config!$B$19&lt;&gt;"Y"),0,1),0)</f>
        <v>0</v>
      </c>
      <c r="AZ148" s="23" t="n">
        <f aca="false">IF(AY148=1,IF(COUNTIFS($AW$2:$AW$201,AW148,$AY$2:$AY$201,1,$H$2:$H$201,"&lt;"&amp;H148)+COUNTIFS($AW$2:$AW$201,AW148,$AY$2:$AY$201,1,$H$2:$H$201,H148,$AX$2:$AX$201,"&lt;"&amp;AX148)=0,1,0),0)</f>
        <v>0</v>
      </c>
      <c r="BA148" s="23" t="n">
        <f aca="false">IF(AY148=1,IF(COUNTIFS($A$2:$A$201,$A148,$AY$2:$AY$201,1,$H$2:$H$201,"&gt;"&amp;H148)+COUNTIFS($A$2:$A$201,$A148,$AY$2:$AY$201,1,$H$2:$H$201,H148,$AX$2:$AX$201,"&gt;"&amp;AX148)=0,1,0),0)</f>
        <v>0</v>
      </c>
      <c r="BB148" s="23" t="n">
        <f aca="false">IF(AND(AY148=1,O148="Y",MAX(N(R148),N(V148))&gt;=Config!$B$14),1,0)</f>
        <v>0</v>
      </c>
      <c r="BC148" s="23" t="n">
        <f aca="false">IF(BB148=1,IF(COUNTIFS($AW$2:$AW$201,AW148,$BB$2:$BB$201,1,$H$2:$H$201,"&lt;"&amp;H148)+COUNTIFS($AW$2:$AW$201,AW148,$BB$2:$BB$201,1,$H$2:$H$201,H148,$AX$2:$AX$201,"&lt;"&amp;AX148)=0,1,0),0)</f>
        <v>0</v>
      </c>
      <c r="BD148" s="23" t="n">
        <f aca="false">IF(AND(AY148=1,O148="Y",ISNUMBER(R148)),IF(R148&gt;=Config!$B$14,1,0),0)</f>
        <v>0</v>
      </c>
      <c r="BE148" s="23" t="n">
        <f aca="false">IF(BD148=1,IF(COUNTIFS($AW$2:$AW$201,AW148,$BD$2:$BD$201,1,$H$2:$H$201,"&lt;"&amp;H148)+COUNTIFS($AW$2:$AW$201,AW148,$BD$2:$BD$201,1,$H$2:$H$201,H148,$AX$2:$AX$201,"&lt;"&amp;AX148)=0,1,0),0)</f>
        <v>0</v>
      </c>
      <c r="BF148" s="23" t="n">
        <f aca="false">IF(AND(AY148=1,O148&lt;&gt;"Y",MAX(N(R148),N(V148))&gt;=Config!$B$14),1,0)</f>
        <v>0</v>
      </c>
      <c r="BG148" s="23" t="n">
        <f aca="false">IF(BF148=1,IF(COUNTIFS($AW$2:$AW$201,AW148,$BF$2:$BF$201,1,$H$2:$H$201,"&lt;"&amp;H148)+COUNTIFS($AW$2:$AW$201,AW148,$BF$2:$BF$201,1,$H$2:$H$201,H148,$AX$2:$AX$201,"&lt;"&amp;AX148)=0,1,0),0)</f>
        <v>0</v>
      </c>
      <c r="BH148" s="23" t="n">
        <f aca="false">IF(AND(AY148=1,ISNUMBER(R148)),1,0)</f>
        <v>0</v>
      </c>
      <c r="BI148" s="23" t="n">
        <f aca="false">IF(BH148=1,IF(COUNTIFS($AW$2:$AW$201,AW148,$BH$2:$BH$201,1,$H$2:$H$201,"&lt;"&amp;H148)+COUNTIFS($AW$2:$AW$201,AW148,$BH$2:$BH$201,1,$H$2:$H$201,H148,$AX$2:$AX$201,"&lt;"&amp;AX148)=0,1,0),0)</f>
        <v>0</v>
      </c>
      <c r="BJ148" s="23" t="str">
        <f aca="false">IF(AND(BI148=1,INT(N(H148))&lt;=Config!$B$6),R148,"")</f>
        <v/>
      </c>
      <c r="BK148" s="23" t="str">
        <f aca="false">IF(AND(BI148=1,INT(N(H148))&lt;=Config!$B$7),R148,"")</f>
        <v/>
      </c>
      <c r="BL148" s="23" t="str">
        <f aca="false">IF(AND(BI148=1,INT(N(H148))&lt;=Config!$B$8),R148,"")</f>
        <v/>
      </c>
      <c r="BM148" s="23" t="str">
        <f aca="false">IF(AND(BI148=1,INT(N(H148))&lt;=Config!$B$5),R148,"")</f>
        <v/>
      </c>
      <c r="BN148" s="23" t="n">
        <f aca="false">IF(AND(AY148=1,ISNUMBER(V148)),1,0)</f>
        <v>0</v>
      </c>
      <c r="BO148" s="23" t="n">
        <f aca="false">IF(BN148=1,IF(COUNTIFS($AW$2:$AW$201,AW148,$BN$2:$BN$201,1,$H$2:$H$201,"&lt;"&amp;H148)+COUNTIFS($AW$2:$AW$201,AW148,$BN$2:$BN$201,1,$H$2:$H$201,H148,$AX$2:$AX$201,"&lt;"&amp;AX148)=0,1,0),0)</f>
        <v>0</v>
      </c>
      <c r="BP148" s="23" t="str">
        <f aca="false">IF(AND(BO148=1,INT(N(H148))&lt;=Config!$B$6),V148,"")</f>
        <v/>
      </c>
      <c r="BQ148" s="23" t="str">
        <f aca="false">IF(AND(BO148=1,INT(N(H148))&lt;=Config!$B$7),V148,"")</f>
        <v/>
      </c>
      <c r="BR148" s="23" t="str">
        <f aca="false">IF(AND(BO148=1,INT(N(H148))&lt;=Config!$B$8),V148,"")</f>
        <v/>
      </c>
      <c r="BS148" s="23" t="str">
        <f aca="false">IF(AND(BO148=1,INT(N(H148))&lt;=Config!$B$5),V148,"")</f>
        <v/>
      </c>
      <c r="BT148" s="23" t="n">
        <f aca="false">IF(AND(AY148=1,ISNUMBER(K148)),1,0)</f>
        <v>0</v>
      </c>
      <c r="BU148" s="23" t="n">
        <f aca="false">IF(BT148=1,IF(COUNTIFS($AW$2:$AW$201,AW148,$BT$2:$BT$201,1,$H$2:$H$201,"&lt;"&amp;H148)+COUNTIFS($AW$2:$AW$201,AW148,$BT$2:$BT$201,1,$H$2:$H$201,H148,$AX$2:$AX$201,"&lt;"&amp;AX148)=0,1,0),0)</f>
        <v>0</v>
      </c>
      <c r="BV148" s="23" t="str">
        <f aca="false">IF(AND(BU148=1,INT(N(H148))&lt;=Config!$B$5),K148,"")</f>
        <v/>
      </c>
      <c r="BW148" s="23" t="n">
        <f aca="false">IF(AND(AY148=1,OR(AND(ISNUMBER(R148),TRIM(S148)=""),AND(ISNUMBER(V148),TRIM(W148)=""))),1,0)</f>
        <v>0</v>
      </c>
      <c r="BX148" s="23" t="str">
        <f aca="false">IF(AY148=1,AJ148&amp;"","")</f>
        <v/>
      </c>
      <c r="BY148" s="23" t="str">
        <f aca="false">IF(AY148=1,AK148&amp;"","")</f>
        <v/>
      </c>
      <c r="BZ148" s="23" t="str">
        <f aca="false">IF(AY148=1,AL148&amp;"","")</f>
        <v/>
      </c>
      <c r="CA148" s="23" t="str">
        <f aca="false">IF(AND(AY148=1,ISNUMBER(AS148),INT(N(H148))&lt;=Config!$B$5),AS148,"")</f>
        <v/>
      </c>
      <c r="CB148" s="23" t="str">
        <f aca="false">IF(AY148=1,IF(COUNTIFS($A$2:$A$201,$A148,$CU$2:$CU$201,1,$AN$2:$AN$201,"Y")&gt;0,"Y","N"),"")</f>
        <v/>
      </c>
      <c r="CC148" s="23" t="n">
        <f aca="false">IF(AND(AY148=1,AN148="Y"),IF(COUNTIFS($AW$2:$AW$201,AW148,$AN$2:$AN$201,"Y",$AY$2:$AY$201,1,$H$2:$H$201,"&lt;"&amp;H148)+COUNTIFS($AW$2:$AW$201,AW148,$AN$2:$AN$201,"Y",$AY$2:$AY$201,1,$H$2:$H$201,H148,$AX$2:$AX$201,"&lt;"&amp;AX148)=0,1,0),0)</f>
        <v>0</v>
      </c>
      <c r="CD148" s="23" t="n">
        <f aca="false">IF(AND(AY148=1,AB148="Y",AC148="Y",AD148="Y",AE148="Y",AF148="Y",AG148="Y",AI148="Y",TRIM(AH148)&lt;&gt;""),1,0)</f>
        <v>0</v>
      </c>
      <c r="CE148" s="23" t="n">
        <f aca="false">IF(CD148=1,IF(COUNTIFS($AW$2:$AW$201,AW148,$CD$2:$CD$201,1,$H$2:$H$201,"&lt;"&amp;H148)+COUNTIFS($AW$2:$AW$201,AW148,$CD$2:$CD$201,1,$H$2:$H$201,H148,$AX$2:$AX$201,"&lt;"&amp;AX148)=0,1,0),0)</f>
        <v>0</v>
      </c>
      <c r="CF148" s="23" t="n">
        <f aca="false">IF(AND(AY148=1,AO148="Y"),1,0)</f>
        <v>0</v>
      </c>
      <c r="CG148" s="23" t="n">
        <f aca="false">IF(CF148=1,IF(COUNTIFS($AW$2:$AW$201,AW148,$CF$2:$CF$201,1,$H$2:$H$201,"&lt;"&amp;H148)+COUNTIFS($AW$2:$AW$201,AW148,$CF$2:$CF$201,1,$H$2:$H$201,H148,$AX$2:$AX$201,"&lt;"&amp;AX148)=0,1,0),0)</f>
        <v>0</v>
      </c>
      <c r="CH148" s="23" t="n">
        <f aca="false">IF(AND(AY148=1,P148="Y"),1,0)</f>
        <v>0</v>
      </c>
      <c r="CI148" s="23" t="n">
        <f aca="false">IF(CH148=1,IF(COUNTIFS($AW$2:$AW$201,AW148,$CH$2:$CH$201,1,$H$2:$H$201,"&lt;"&amp;H148)+COUNTIFS($AW$2:$AW$201,AW148,$CH$2:$CH$201,1,$H$2:$H$201,H148,$AX$2:$AX$201,"&lt;"&amp;AX148)=0,1,0),0)</f>
        <v>0</v>
      </c>
      <c r="CJ148" s="23" t="str">
        <f aca="false">IF(AND(BU148=1,INT(N(H148))&lt;=Config!$B$5),L148,"")</f>
        <v/>
      </c>
      <c r="CK148" s="23" t="n">
        <f aca="false">IF(AND(AY148=1,AR148="Y"),1,0)</f>
        <v>0</v>
      </c>
      <c r="CL148" s="23" t="n">
        <f aca="false">IF(CK148=1,IF(COUNTIFS($AW$2:$AW$201,AW148,$CK$2:$CK$201,1,$H$2:$H$201,"&lt;"&amp;H148)+COUNTIFS($AW$2:$AW$201,AW148,$CK$2:$CK$201,1,$H$2:$H$201,H148,$AX$2:$AX$201,"&lt;"&amp;AX148)=0,1,0),0)</f>
        <v>0</v>
      </c>
      <c r="CM148" s="23" t="str">
        <f aca="false">IF(AY148=1,IFERROR(MATCH($A148,INDEX(Clay_Brands!$A$2:$FZ$601,0,Sync!$D$5),0),""),"")</f>
        <v/>
      </c>
      <c r="CN148" s="23" t="str">
        <f aca="false">IF(CM148="","",IFERROR(INDEX(Clay_Brands!$A$2:$FZ$601,CM148,Sync!$D$7)&amp;"",""))</f>
        <v/>
      </c>
      <c r="CO148" s="23" t="str">
        <f aca="false">IF(CN148="","",IFERROR(INDEX(Lists!$K$2:$K$15,MATCH(CN148,Lists!$J$2:$J$15,0)),""))</f>
        <v/>
      </c>
      <c r="CP148" s="23" t="str">
        <f aca="false">IF(CM148="","",IFERROR(INDEX(Clay_Brands!$A$2:$FZ$601,CM148,Sync!$D$17)&amp;"",""))</f>
        <v/>
      </c>
      <c r="CQ148" s="35" t="str">
        <f aca="false">IF(CM148="","",IFERROR(N(INDEX(Clay_Brands!$A$2:$FZ$601,CM148,Sync!$D$16)),0))</f>
        <v/>
      </c>
      <c r="CR148" s="23" t="n">
        <f aca="false">IF(AND(AY148=1,OR(O148="N",AND(OR(ISNUMBER(R148),ISNUMBER(V148)),MAX(N(R148),N(V148))&lt;Config!$B$14))),1,0)</f>
        <v>0</v>
      </c>
      <c r="CS148" s="23" t="n">
        <f aca="false">IF(OR(BB148=1,CR148=1),1,0)</f>
        <v>0</v>
      </c>
      <c r="CT148" s="23" t="n">
        <f aca="false">IF(AND(AY148=1,OR(AN148="Y",AN148="N",AN148="maybe")),1,0)</f>
        <v>0</v>
      </c>
      <c r="CU148" s="23" t="n">
        <f aca="false">IF(AND(CT148=1),IF(COUNTIFS($A$2:$A$201,$A148,$CT$2:$CT$201,1,$H$2:$H$201,"&gt;"&amp;H148)+COUNTIFS($A$2:$A$201,$A148,$CT$2:$CT$201,1,$H$2:$H$201,H148,$AX$2:$AX$201,"&gt;"&amp;AX148)=0,1,0),0)</f>
        <v>0</v>
      </c>
      <c r="CV148" s="23" t="n">
        <f aca="false">IF(AND(CS148=1,INT(N(H148))&lt;=Config!$B$6),IF(COUNTIFS($AW$2:$AW$201,AW148,$CS$2:$CS$201,1,$H$2:$H$201,"&gt;"&amp;H148,$H$2:$H$201,"&lt;"&amp;(Config!$B$6+1))+COUNTIFS($AW$2:$AW$201,AW148,$CS$2:$CS$201,1,$H$2:$H$201,H148,$AX$2:$AX$201,"&gt;"&amp;AX148)=0,1,0),0)</f>
        <v>0</v>
      </c>
      <c r="CW148" s="23" t="n">
        <f aca="false">IF(AND(CS148=1,INT(N(H148))&lt;=Config!$B$7),IF(COUNTIFS($AW$2:$AW$201,AW148,$CS$2:$CS$201,1,$H$2:$H$201,"&gt;"&amp;H148,$H$2:$H$201,"&lt;"&amp;(Config!$B$7+1))+COUNTIFS($AW$2:$AW$201,AW148,$CS$2:$CS$201,1,$H$2:$H$201,H148,$AX$2:$AX$201,"&gt;"&amp;AX148)=0,1,0),0)</f>
        <v>0</v>
      </c>
      <c r="CX148" s="23" t="n">
        <f aca="false">IF(AND(CS148=1,INT(N(H148))&lt;=Config!$B$8),IF(COUNTIFS($AW$2:$AW$201,AW148,$CS$2:$CS$201,1,$H$2:$H$201,"&gt;"&amp;H148,$H$2:$H$201,"&lt;"&amp;(Config!$B$8+1))+COUNTIFS($AW$2:$AW$201,AW148,$CS$2:$CS$201,1,$H$2:$H$201,H148,$AX$2:$AX$201,"&gt;"&amp;AX148)=0,1,0),0)</f>
        <v>0</v>
      </c>
      <c r="CY148" s="23" t="n">
        <f aca="false">IF(AND(CS148=1,INT(N(H148))&lt;=Config!$B$5),IF(COUNTIFS($AW$2:$AW$201,AW148,$CS$2:$CS$201,1,$H$2:$H$201,"&gt;"&amp;H148,$H$2:$H$201,"&lt;"&amp;(Config!$B$5+1))+COUNTIFS($AW$2:$AW$201,AW148,$CS$2:$CS$201,1,$H$2:$H$201,H148,$AX$2:$AX$201,"&gt;"&amp;AX148)=0,1,0),0)</f>
        <v>0</v>
      </c>
      <c r="CZ148" s="23" t="n">
        <f aca="false">IF(AY148=1,IF(COUNTIFS($AW$2:$AW$201,AW148,$CV$2:$CV$201,1,$BB$2:$BB$201,1)&gt;0,1,0),0)</f>
        <v>0</v>
      </c>
      <c r="DA148" s="23" t="n">
        <f aca="false">IF(AY148=1,IF(COUNTIFS($AW$2:$AW$201,AW148,$CW$2:$CW$201,1,$BB$2:$BB$201,1)&gt;0,1,0),0)</f>
        <v>0</v>
      </c>
      <c r="DB148" s="23" t="n">
        <f aca="false">IF(AY148=1,IF(COUNTIFS($AW$2:$AW$201,AW148,$CX$2:$CX$201,1,$BB$2:$BB$201,1)&gt;0,1,0),0)</f>
        <v>0</v>
      </c>
      <c r="DC148" s="23" t="n">
        <f aca="false">IF(AY148=1,IF(COUNTIFS($AW$2:$AW$201,AW148,$CY$2:$CY$201,1,$BB$2:$BB$201,1)&gt;0,1,0),0)</f>
        <v>0</v>
      </c>
      <c r="DD148" s="23" t="n">
        <f aca="false">IF(AND(BC148=1,INT(N(H148))&lt;=Config!$B$6,CZ148=1),1,0)</f>
        <v>0</v>
      </c>
      <c r="DE148" s="23" t="n">
        <f aca="false">IF(AND(BC148=1,INT(N(H148))&lt;=Config!$B$7,DA148=1),1,0)</f>
        <v>0</v>
      </c>
      <c r="DF148" s="23" t="n">
        <f aca="false">IF(AND(BC148=1,INT(N(H148))&lt;=Config!$B$8,DB148=1),1,0)</f>
        <v>0</v>
      </c>
      <c r="DG148" s="23" t="n">
        <f aca="false">IF(AND(BC148=1,INT(N(H148))&lt;=Config!$B$5,DC148=1),1,0)</f>
        <v>0</v>
      </c>
      <c r="DH148" s="23" t="n">
        <f aca="false">IF(AND(BE148=1,INT(N(H148))&lt;=Config!$B$6,CZ148=1),1,0)</f>
        <v>0</v>
      </c>
      <c r="DI148" s="23" t="n">
        <f aca="false">IF(AND(BE148=1,INT(N(H148))&lt;=Config!$B$7,DA148=1),1,0)</f>
        <v>0</v>
      </c>
      <c r="DJ148" s="23" t="n">
        <f aca="false">IF(AND(BE148=1,INT(N(H148))&lt;=Config!$B$8,DB148=1),1,0)</f>
        <v>0</v>
      </c>
      <c r="DK148" s="23" t="n">
        <f aca="false">IF(AND(BE148=1,INT(N(H148))&lt;=Config!$B$5,DC148=1),1,0)</f>
        <v>0</v>
      </c>
      <c r="DL148" s="23" t="n">
        <f aca="false">IF(AND(BC148=1,INT(N(H148))&lt;=Config!$B$6,CZ148=0),1,0)</f>
        <v>0</v>
      </c>
      <c r="DM148" s="23" t="n">
        <f aca="false">IF(AND(BC148=1,INT(N(H148))&lt;=Config!$B$7,DA148=0),1,0)</f>
        <v>0</v>
      </c>
      <c r="DN148" s="23" t="n">
        <f aca="false">IF(AND(BC148=1,INT(N(H148))&lt;=Config!$B$8,DB148=0),1,0)</f>
        <v>0</v>
      </c>
      <c r="DO148" s="23" t="n">
        <f aca="false">IF(AND(BC148=1,INT(N(H148))&lt;=Config!$B$5,DC148=0),1,0)</f>
        <v>0</v>
      </c>
      <c r="DP148" s="23" t="n">
        <f aca="false">IF(TRIM($A148)="",0,ISTEXT(K148)+ISTEXT(L148)+ISTEXT(R148)+ISTEXT(V148)+ISTEXT(AP148)+ISTEXT(AS148))</f>
        <v>0</v>
      </c>
      <c r="DQ148" s="23" t="n">
        <f aca="false">IF(AY148=1,IF(H148&lt;&gt;INT(H148),1,0),0)</f>
        <v>0</v>
      </c>
      <c r="DR148" s="23" t="str">
        <f aca="false">IF(TRIM($A148)="","",IF(TRIM(B148)="",SUBSTITUTE(SUBSTITUTE(SUBSTITUTE(SUBSTITUTE(SUBSTITUTE(SUBSTITUTE(LOWER(TRIM($A148)),"~",""),"*",""),"?",""),"&lt;",""),"&gt;",""),"=",""),SUBSTITUTE(SUBSTITUTE(SUBSTITUTE(SUBSTITUTE(SUBSTITUTE(SUBSTITUTE(LOWER(TRIM(B148)),"~",""),"*",""),"?",""),"&lt;",""),"&gt;",""),"=","")))</f>
        <v/>
      </c>
      <c r="DS148" s="23" t="str">
        <f aca="false">IF(CM148="","",IFERROR(IF(LEFT(LOWER(TRIM(INDEX(Clay_Brands!$A$2:$FZ$601,CM148,Sync!$D$19)&amp;"")),4)="grp-",SUBSTITUTE(SUBSTITUTE(SUBSTITUTE(SUBSTITUTE(SUBSTITUTE(SUBSTITUTE(LOWER(TRIM(INDEX(Clay_Brands!$A$2:$FZ$601,CM148,Sync!$D$19)&amp;"")),"~",""),"*",""),"?",""),"&lt;",""),"&gt;",""),"=",""),""),""))</f>
        <v/>
      </c>
      <c r="DT148" s="23" t="str">
        <f aca="false">IF(DS148&lt;&gt;"",DR148,"")</f>
        <v/>
      </c>
      <c r="DU148" s="23" t="str">
        <f aca="false">IF(AZ148=1,AW148,"")</f>
        <v/>
      </c>
      <c r="DV148" s="23" t="str">
        <f aca="false">IF(TRIM($A148)="","",IFERROR(INDEX($A$2:$A$201,MATCH(AW148,$DU$2:$DU$201,0))&amp;"",$A148&amp;""))</f>
        <v/>
      </c>
      <c r="DW148" s="23" t="n">
        <f aca="false">IF(AY148=1,IF(COUNTIFS($A$2:$A$201,$A148,$AY$2:$AY$201,1,$H$2:$H$201,"&lt;"&amp;H148)+COUNTIFS($A$2:$A$201,$A148,$AY$2:$AY$201,1,$H$2:$H$201,H148,$AX$2:$AX$201,"&lt;"&amp;AX148)=0,1,0),0)</f>
        <v>0</v>
      </c>
      <c r="DX148" s="23" t="n">
        <f aca="false">IF(AZ148=1,IF(COUNTIFS($AW$2:$AW$201,AW148,$DW$2:$DW$201,1)&gt;1,1,0),0)</f>
        <v>0</v>
      </c>
    </row>
    <row r="149" customFormat="false" ht="15" hidden="false" customHeight="false" outlineLevel="0" collapsed="false">
      <c r="G149" s="32"/>
      <c r="H149" s="33"/>
      <c r="I149" s="32"/>
      <c r="O149" s="32"/>
      <c r="P149" s="32"/>
      <c r="U149" s="32"/>
      <c r="Y149" s="32"/>
      <c r="AB149" s="32"/>
      <c r="AC149" s="32"/>
      <c r="AD149" s="32"/>
      <c r="AE149" s="32"/>
      <c r="AF149" s="32"/>
      <c r="AG149" s="32"/>
      <c r="AI149" s="32"/>
      <c r="AJ149" s="32"/>
      <c r="AK149" s="32"/>
      <c r="AN149" s="32"/>
      <c r="AO149" s="32"/>
      <c r="AR149" s="32"/>
      <c r="AT149" s="32"/>
      <c r="AV149" s="34" t="str">
        <f aca="false">IF(TRIM($A149)="","",IF(AND(LEFT($A149,6)="SAMPLE",Config!$B$19&lt;&gt;"Y"),"",IF(NOT(ISNUMBER(H149)),"call_date is blank or not a date",IF(Sync!$D$5="","Clay paste is empty or has no row_id column: paste the Clay export on Clay_Brands",IF(CM149="","row_id not found in the Clay paste: add the Clay row or fix the row_id",IF(AND(ISNUMBER(CO149),CO149&gt;=1,CO149&lt;=5),"Clay status is "&amp;CN149&amp;": set call_done or later",IF(AND(BA149=1,CP149&lt;&gt;CB149),"Clay yes_in_principle should be "&amp;CB149,IF(AND(BA149=1,CQ149&lt;&gt;H149),"Clay call_date should be "&amp;TEXT(H149,"yyyy-mm-dd"),""))))))))</f>
        <v/>
      </c>
      <c r="AW149" s="23" t="str">
        <f aca="false">IF(TRIM($A149)="","",IF(TRIM(C149)&lt;&gt;"",SUBSTITUTE(SUBSTITUTE(SUBSTITUTE(SUBSTITUTE(SUBSTITUTE(SUBSTITUTE(LOWER(TRIM(C149)),"~",""),"*",""),"?",""),"&lt;",""),"&gt;",""),"=",""),IF(DS149&lt;&gt;"",DS149,IFERROR(INDEX($DS$2:$DS$201,MATCH(DR149,$DT$2:$DT$201,0)),DR149))))</f>
        <v/>
      </c>
      <c r="AX149" s="23" t="n">
        <f aca="false">ROW()</f>
        <v>149</v>
      </c>
      <c r="AY149" s="23" t="n">
        <f aca="false">IF(AND(TRIM($A149)&lt;&gt;"",ISNUMBER(H149)),IF(AND(LEFT($A149,6)="SAMPLE",Config!$B$19&lt;&gt;"Y"),0,1),0)</f>
        <v>0</v>
      </c>
      <c r="AZ149" s="23" t="n">
        <f aca="false">IF(AY149=1,IF(COUNTIFS($AW$2:$AW$201,AW149,$AY$2:$AY$201,1,$H$2:$H$201,"&lt;"&amp;H149)+COUNTIFS($AW$2:$AW$201,AW149,$AY$2:$AY$201,1,$H$2:$H$201,H149,$AX$2:$AX$201,"&lt;"&amp;AX149)=0,1,0),0)</f>
        <v>0</v>
      </c>
      <c r="BA149" s="23" t="n">
        <f aca="false">IF(AY149=1,IF(COUNTIFS($A$2:$A$201,$A149,$AY$2:$AY$201,1,$H$2:$H$201,"&gt;"&amp;H149)+COUNTIFS($A$2:$A$201,$A149,$AY$2:$AY$201,1,$H$2:$H$201,H149,$AX$2:$AX$201,"&gt;"&amp;AX149)=0,1,0),0)</f>
        <v>0</v>
      </c>
      <c r="BB149" s="23" t="n">
        <f aca="false">IF(AND(AY149=1,O149="Y",MAX(N(R149),N(V149))&gt;=Config!$B$14),1,0)</f>
        <v>0</v>
      </c>
      <c r="BC149" s="23" t="n">
        <f aca="false">IF(BB149=1,IF(COUNTIFS($AW$2:$AW$201,AW149,$BB$2:$BB$201,1,$H$2:$H$201,"&lt;"&amp;H149)+COUNTIFS($AW$2:$AW$201,AW149,$BB$2:$BB$201,1,$H$2:$H$201,H149,$AX$2:$AX$201,"&lt;"&amp;AX149)=0,1,0),0)</f>
        <v>0</v>
      </c>
      <c r="BD149" s="23" t="n">
        <f aca="false">IF(AND(AY149=1,O149="Y",ISNUMBER(R149)),IF(R149&gt;=Config!$B$14,1,0),0)</f>
        <v>0</v>
      </c>
      <c r="BE149" s="23" t="n">
        <f aca="false">IF(BD149=1,IF(COUNTIFS($AW$2:$AW$201,AW149,$BD$2:$BD$201,1,$H$2:$H$201,"&lt;"&amp;H149)+COUNTIFS($AW$2:$AW$201,AW149,$BD$2:$BD$201,1,$H$2:$H$201,H149,$AX$2:$AX$201,"&lt;"&amp;AX149)=0,1,0),0)</f>
        <v>0</v>
      </c>
      <c r="BF149" s="23" t="n">
        <f aca="false">IF(AND(AY149=1,O149&lt;&gt;"Y",MAX(N(R149),N(V149))&gt;=Config!$B$14),1,0)</f>
        <v>0</v>
      </c>
      <c r="BG149" s="23" t="n">
        <f aca="false">IF(BF149=1,IF(COUNTIFS($AW$2:$AW$201,AW149,$BF$2:$BF$201,1,$H$2:$H$201,"&lt;"&amp;H149)+COUNTIFS($AW$2:$AW$201,AW149,$BF$2:$BF$201,1,$H$2:$H$201,H149,$AX$2:$AX$201,"&lt;"&amp;AX149)=0,1,0),0)</f>
        <v>0</v>
      </c>
      <c r="BH149" s="23" t="n">
        <f aca="false">IF(AND(AY149=1,ISNUMBER(R149)),1,0)</f>
        <v>0</v>
      </c>
      <c r="BI149" s="23" t="n">
        <f aca="false">IF(BH149=1,IF(COUNTIFS($AW$2:$AW$201,AW149,$BH$2:$BH$201,1,$H$2:$H$201,"&lt;"&amp;H149)+COUNTIFS($AW$2:$AW$201,AW149,$BH$2:$BH$201,1,$H$2:$H$201,H149,$AX$2:$AX$201,"&lt;"&amp;AX149)=0,1,0),0)</f>
        <v>0</v>
      </c>
      <c r="BJ149" s="23" t="str">
        <f aca="false">IF(AND(BI149=1,INT(N(H149))&lt;=Config!$B$6),R149,"")</f>
        <v/>
      </c>
      <c r="BK149" s="23" t="str">
        <f aca="false">IF(AND(BI149=1,INT(N(H149))&lt;=Config!$B$7),R149,"")</f>
        <v/>
      </c>
      <c r="BL149" s="23" t="str">
        <f aca="false">IF(AND(BI149=1,INT(N(H149))&lt;=Config!$B$8),R149,"")</f>
        <v/>
      </c>
      <c r="BM149" s="23" t="str">
        <f aca="false">IF(AND(BI149=1,INT(N(H149))&lt;=Config!$B$5),R149,"")</f>
        <v/>
      </c>
      <c r="BN149" s="23" t="n">
        <f aca="false">IF(AND(AY149=1,ISNUMBER(V149)),1,0)</f>
        <v>0</v>
      </c>
      <c r="BO149" s="23" t="n">
        <f aca="false">IF(BN149=1,IF(COUNTIFS($AW$2:$AW$201,AW149,$BN$2:$BN$201,1,$H$2:$H$201,"&lt;"&amp;H149)+COUNTIFS($AW$2:$AW$201,AW149,$BN$2:$BN$201,1,$H$2:$H$201,H149,$AX$2:$AX$201,"&lt;"&amp;AX149)=0,1,0),0)</f>
        <v>0</v>
      </c>
      <c r="BP149" s="23" t="str">
        <f aca="false">IF(AND(BO149=1,INT(N(H149))&lt;=Config!$B$6),V149,"")</f>
        <v/>
      </c>
      <c r="BQ149" s="23" t="str">
        <f aca="false">IF(AND(BO149=1,INT(N(H149))&lt;=Config!$B$7),V149,"")</f>
        <v/>
      </c>
      <c r="BR149" s="23" t="str">
        <f aca="false">IF(AND(BO149=1,INT(N(H149))&lt;=Config!$B$8),V149,"")</f>
        <v/>
      </c>
      <c r="BS149" s="23" t="str">
        <f aca="false">IF(AND(BO149=1,INT(N(H149))&lt;=Config!$B$5),V149,"")</f>
        <v/>
      </c>
      <c r="BT149" s="23" t="n">
        <f aca="false">IF(AND(AY149=1,ISNUMBER(K149)),1,0)</f>
        <v>0</v>
      </c>
      <c r="BU149" s="23" t="n">
        <f aca="false">IF(BT149=1,IF(COUNTIFS($AW$2:$AW$201,AW149,$BT$2:$BT$201,1,$H$2:$H$201,"&lt;"&amp;H149)+COUNTIFS($AW$2:$AW$201,AW149,$BT$2:$BT$201,1,$H$2:$H$201,H149,$AX$2:$AX$201,"&lt;"&amp;AX149)=0,1,0),0)</f>
        <v>0</v>
      </c>
      <c r="BV149" s="23" t="str">
        <f aca="false">IF(AND(BU149=1,INT(N(H149))&lt;=Config!$B$5),K149,"")</f>
        <v/>
      </c>
      <c r="BW149" s="23" t="n">
        <f aca="false">IF(AND(AY149=1,OR(AND(ISNUMBER(R149),TRIM(S149)=""),AND(ISNUMBER(V149),TRIM(W149)=""))),1,0)</f>
        <v>0</v>
      </c>
      <c r="BX149" s="23" t="str">
        <f aca="false">IF(AY149=1,AJ149&amp;"","")</f>
        <v/>
      </c>
      <c r="BY149" s="23" t="str">
        <f aca="false">IF(AY149=1,AK149&amp;"","")</f>
        <v/>
      </c>
      <c r="BZ149" s="23" t="str">
        <f aca="false">IF(AY149=1,AL149&amp;"","")</f>
        <v/>
      </c>
      <c r="CA149" s="23" t="str">
        <f aca="false">IF(AND(AY149=1,ISNUMBER(AS149),INT(N(H149))&lt;=Config!$B$5),AS149,"")</f>
        <v/>
      </c>
      <c r="CB149" s="23" t="str">
        <f aca="false">IF(AY149=1,IF(COUNTIFS($A$2:$A$201,$A149,$CU$2:$CU$201,1,$AN$2:$AN$201,"Y")&gt;0,"Y","N"),"")</f>
        <v/>
      </c>
      <c r="CC149" s="23" t="n">
        <f aca="false">IF(AND(AY149=1,AN149="Y"),IF(COUNTIFS($AW$2:$AW$201,AW149,$AN$2:$AN$201,"Y",$AY$2:$AY$201,1,$H$2:$H$201,"&lt;"&amp;H149)+COUNTIFS($AW$2:$AW$201,AW149,$AN$2:$AN$201,"Y",$AY$2:$AY$201,1,$H$2:$H$201,H149,$AX$2:$AX$201,"&lt;"&amp;AX149)=0,1,0),0)</f>
        <v>0</v>
      </c>
      <c r="CD149" s="23" t="n">
        <f aca="false">IF(AND(AY149=1,AB149="Y",AC149="Y",AD149="Y",AE149="Y",AF149="Y",AG149="Y",AI149="Y",TRIM(AH149)&lt;&gt;""),1,0)</f>
        <v>0</v>
      </c>
      <c r="CE149" s="23" t="n">
        <f aca="false">IF(CD149=1,IF(COUNTIFS($AW$2:$AW$201,AW149,$CD$2:$CD$201,1,$H$2:$H$201,"&lt;"&amp;H149)+COUNTIFS($AW$2:$AW$201,AW149,$CD$2:$CD$201,1,$H$2:$H$201,H149,$AX$2:$AX$201,"&lt;"&amp;AX149)=0,1,0),0)</f>
        <v>0</v>
      </c>
      <c r="CF149" s="23" t="n">
        <f aca="false">IF(AND(AY149=1,AO149="Y"),1,0)</f>
        <v>0</v>
      </c>
      <c r="CG149" s="23" t="n">
        <f aca="false">IF(CF149=1,IF(COUNTIFS($AW$2:$AW$201,AW149,$CF$2:$CF$201,1,$H$2:$H$201,"&lt;"&amp;H149)+COUNTIFS($AW$2:$AW$201,AW149,$CF$2:$CF$201,1,$H$2:$H$201,H149,$AX$2:$AX$201,"&lt;"&amp;AX149)=0,1,0),0)</f>
        <v>0</v>
      </c>
      <c r="CH149" s="23" t="n">
        <f aca="false">IF(AND(AY149=1,P149="Y"),1,0)</f>
        <v>0</v>
      </c>
      <c r="CI149" s="23" t="n">
        <f aca="false">IF(CH149=1,IF(COUNTIFS($AW$2:$AW$201,AW149,$CH$2:$CH$201,1,$H$2:$H$201,"&lt;"&amp;H149)+COUNTIFS($AW$2:$AW$201,AW149,$CH$2:$CH$201,1,$H$2:$H$201,H149,$AX$2:$AX$201,"&lt;"&amp;AX149)=0,1,0),0)</f>
        <v>0</v>
      </c>
      <c r="CJ149" s="23" t="str">
        <f aca="false">IF(AND(BU149=1,INT(N(H149))&lt;=Config!$B$5),L149,"")</f>
        <v/>
      </c>
      <c r="CK149" s="23" t="n">
        <f aca="false">IF(AND(AY149=1,AR149="Y"),1,0)</f>
        <v>0</v>
      </c>
      <c r="CL149" s="23" t="n">
        <f aca="false">IF(CK149=1,IF(COUNTIFS($AW$2:$AW$201,AW149,$CK$2:$CK$201,1,$H$2:$H$201,"&lt;"&amp;H149)+COUNTIFS($AW$2:$AW$201,AW149,$CK$2:$CK$201,1,$H$2:$H$201,H149,$AX$2:$AX$201,"&lt;"&amp;AX149)=0,1,0),0)</f>
        <v>0</v>
      </c>
      <c r="CM149" s="23" t="str">
        <f aca="false">IF(AY149=1,IFERROR(MATCH($A149,INDEX(Clay_Brands!$A$2:$FZ$601,0,Sync!$D$5),0),""),"")</f>
        <v/>
      </c>
      <c r="CN149" s="23" t="str">
        <f aca="false">IF(CM149="","",IFERROR(INDEX(Clay_Brands!$A$2:$FZ$601,CM149,Sync!$D$7)&amp;"",""))</f>
        <v/>
      </c>
      <c r="CO149" s="23" t="str">
        <f aca="false">IF(CN149="","",IFERROR(INDEX(Lists!$K$2:$K$15,MATCH(CN149,Lists!$J$2:$J$15,0)),""))</f>
        <v/>
      </c>
      <c r="CP149" s="23" t="str">
        <f aca="false">IF(CM149="","",IFERROR(INDEX(Clay_Brands!$A$2:$FZ$601,CM149,Sync!$D$17)&amp;"",""))</f>
        <v/>
      </c>
      <c r="CQ149" s="35" t="str">
        <f aca="false">IF(CM149="","",IFERROR(N(INDEX(Clay_Brands!$A$2:$FZ$601,CM149,Sync!$D$16)),0))</f>
        <v/>
      </c>
      <c r="CR149" s="23" t="n">
        <f aca="false">IF(AND(AY149=1,OR(O149="N",AND(OR(ISNUMBER(R149),ISNUMBER(V149)),MAX(N(R149),N(V149))&lt;Config!$B$14))),1,0)</f>
        <v>0</v>
      </c>
      <c r="CS149" s="23" t="n">
        <f aca="false">IF(OR(BB149=1,CR149=1),1,0)</f>
        <v>0</v>
      </c>
      <c r="CT149" s="23" t="n">
        <f aca="false">IF(AND(AY149=1,OR(AN149="Y",AN149="N",AN149="maybe")),1,0)</f>
        <v>0</v>
      </c>
      <c r="CU149" s="23" t="n">
        <f aca="false">IF(AND(CT149=1),IF(COUNTIFS($A$2:$A$201,$A149,$CT$2:$CT$201,1,$H$2:$H$201,"&gt;"&amp;H149)+COUNTIFS($A$2:$A$201,$A149,$CT$2:$CT$201,1,$H$2:$H$201,H149,$AX$2:$AX$201,"&gt;"&amp;AX149)=0,1,0),0)</f>
        <v>0</v>
      </c>
      <c r="CV149" s="23" t="n">
        <f aca="false">IF(AND(CS149=1,INT(N(H149))&lt;=Config!$B$6),IF(COUNTIFS($AW$2:$AW$201,AW149,$CS$2:$CS$201,1,$H$2:$H$201,"&gt;"&amp;H149,$H$2:$H$201,"&lt;"&amp;(Config!$B$6+1))+COUNTIFS($AW$2:$AW$201,AW149,$CS$2:$CS$201,1,$H$2:$H$201,H149,$AX$2:$AX$201,"&gt;"&amp;AX149)=0,1,0),0)</f>
        <v>0</v>
      </c>
      <c r="CW149" s="23" t="n">
        <f aca="false">IF(AND(CS149=1,INT(N(H149))&lt;=Config!$B$7),IF(COUNTIFS($AW$2:$AW$201,AW149,$CS$2:$CS$201,1,$H$2:$H$201,"&gt;"&amp;H149,$H$2:$H$201,"&lt;"&amp;(Config!$B$7+1))+COUNTIFS($AW$2:$AW$201,AW149,$CS$2:$CS$201,1,$H$2:$H$201,H149,$AX$2:$AX$201,"&gt;"&amp;AX149)=0,1,0),0)</f>
        <v>0</v>
      </c>
      <c r="CX149" s="23" t="n">
        <f aca="false">IF(AND(CS149=1,INT(N(H149))&lt;=Config!$B$8),IF(COUNTIFS($AW$2:$AW$201,AW149,$CS$2:$CS$201,1,$H$2:$H$201,"&gt;"&amp;H149,$H$2:$H$201,"&lt;"&amp;(Config!$B$8+1))+COUNTIFS($AW$2:$AW$201,AW149,$CS$2:$CS$201,1,$H$2:$H$201,H149,$AX$2:$AX$201,"&gt;"&amp;AX149)=0,1,0),0)</f>
        <v>0</v>
      </c>
      <c r="CY149" s="23" t="n">
        <f aca="false">IF(AND(CS149=1,INT(N(H149))&lt;=Config!$B$5),IF(COUNTIFS($AW$2:$AW$201,AW149,$CS$2:$CS$201,1,$H$2:$H$201,"&gt;"&amp;H149,$H$2:$H$201,"&lt;"&amp;(Config!$B$5+1))+COUNTIFS($AW$2:$AW$201,AW149,$CS$2:$CS$201,1,$H$2:$H$201,H149,$AX$2:$AX$201,"&gt;"&amp;AX149)=0,1,0),0)</f>
        <v>0</v>
      </c>
      <c r="CZ149" s="23" t="n">
        <f aca="false">IF(AY149=1,IF(COUNTIFS($AW$2:$AW$201,AW149,$CV$2:$CV$201,1,$BB$2:$BB$201,1)&gt;0,1,0),0)</f>
        <v>0</v>
      </c>
      <c r="DA149" s="23" t="n">
        <f aca="false">IF(AY149=1,IF(COUNTIFS($AW$2:$AW$201,AW149,$CW$2:$CW$201,1,$BB$2:$BB$201,1)&gt;0,1,0),0)</f>
        <v>0</v>
      </c>
      <c r="DB149" s="23" t="n">
        <f aca="false">IF(AY149=1,IF(COUNTIFS($AW$2:$AW$201,AW149,$CX$2:$CX$201,1,$BB$2:$BB$201,1)&gt;0,1,0),0)</f>
        <v>0</v>
      </c>
      <c r="DC149" s="23" t="n">
        <f aca="false">IF(AY149=1,IF(COUNTIFS($AW$2:$AW$201,AW149,$CY$2:$CY$201,1,$BB$2:$BB$201,1)&gt;0,1,0),0)</f>
        <v>0</v>
      </c>
      <c r="DD149" s="23" t="n">
        <f aca="false">IF(AND(BC149=1,INT(N(H149))&lt;=Config!$B$6,CZ149=1),1,0)</f>
        <v>0</v>
      </c>
      <c r="DE149" s="23" t="n">
        <f aca="false">IF(AND(BC149=1,INT(N(H149))&lt;=Config!$B$7,DA149=1),1,0)</f>
        <v>0</v>
      </c>
      <c r="DF149" s="23" t="n">
        <f aca="false">IF(AND(BC149=1,INT(N(H149))&lt;=Config!$B$8,DB149=1),1,0)</f>
        <v>0</v>
      </c>
      <c r="DG149" s="23" t="n">
        <f aca="false">IF(AND(BC149=1,INT(N(H149))&lt;=Config!$B$5,DC149=1),1,0)</f>
        <v>0</v>
      </c>
      <c r="DH149" s="23" t="n">
        <f aca="false">IF(AND(BE149=1,INT(N(H149))&lt;=Config!$B$6,CZ149=1),1,0)</f>
        <v>0</v>
      </c>
      <c r="DI149" s="23" t="n">
        <f aca="false">IF(AND(BE149=1,INT(N(H149))&lt;=Config!$B$7,DA149=1),1,0)</f>
        <v>0</v>
      </c>
      <c r="DJ149" s="23" t="n">
        <f aca="false">IF(AND(BE149=1,INT(N(H149))&lt;=Config!$B$8,DB149=1),1,0)</f>
        <v>0</v>
      </c>
      <c r="DK149" s="23" t="n">
        <f aca="false">IF(AND(BE149=1,INT(N(H149))&lt;=Config!$B$5,DC149=1),1,0)</f>
        <v>0</v>
      </c>
      <c r="DL149" s="23" t="n">
        <f aca="false">IF(AND(BC149=1,INT(N(H149))&lt;=Config!$B$6,CZ149=0),1,0)</f>
        <v>0</v>
      </c>
      <c r="DM149" s="23" t="n">
        <f aca="false">IF(AND(BC149=1,INT(N(H149))&lt;=Config!$B$7,DA149=0),1,0)</f>
        <v>0</v>
      </c>
      <c r="DN149" s="23" t="n">
        <f aca="false">IF(AND(BC149=1,INT(N(H149))&lt;=Config!$B$8,DB149=0),1,0)</f>
        <v>0</v>
      </c>
      <c r="DO149" s="23" t="n">
        <f aca="false">IF(AND(BC149=1,INT(N(H149))&lt;=Config!$B$5,DC149=0),1,0)</f>
        <v>0</v>
      </c>
      <c r="DP149" s="23" t="n">
        <f aca="false">IF(TRIM($A149)="",0,ISTEXT(K149)+ISTEXT(L149)+ISTEXT(R149)+ISTEXT(V149)+ISTEXT(AP149)+ISTEXT(AS149))</f>
        <v>0</v>
      </c>
      <c r="DQ149" s="23" t="n">
        <f aca="false">IF(AY149=1,IF(H149&lt;&gt;INT(H149),1,0),0)</f>
        <v>0</v>
      </c>
      <c r="DR149" s="23" t="str">
        <f aca="false">IF(TRIM($A149)="","",IF(TRIM(B149)="",SUBSTITUTE(SUBSTITUTE(SUBSTITUTE(SUBSTITUTE(SUBSTITUTE(SUBSTITUTE(LOWER(TRIM($A149)),"~",""),"*",""),"?",""),"&lt;",""),"&gt;",""),"=",""),SUBSTITUTE(SUBSTITUTE(SUBSTITUTE(SUBSTITUTE(SUBSTITUTE(SUBSTITUTE(LOWER(TRIM(B149)),"~",""),"*",""),"?",""),"&lt;",""),"&gt;",""),"=","")))</f>
        <v/>
      </c>
      <c r="DS149" s="23" t="str">
        <f aca="false">IF(CM149="","",IFERROR(IF(LEFT(LOWER(TRIM(INDEX(Clay_Brands!$A$2:$FZ$601,CM149,Sync!$D$19)&amp;"")),4)="grp-",SUBSTITUTE(SUBSTITUTE(SUBSTITUTE(SUBSTITUTE(SUBSTITUTE(SUBSTITUTE(LOWER(TRIM(INDEX(Clay_Brands!$A$2:$FZ$601,CM149,Sync!$D$19)&amp;"")),"~",""),"*",""),"?",""),"&lt;",""),"&gt;",""),"=",""),""),""))</f>
        <v/>
      </c>
      <c r="DT149" s="23" t="str">
        <f aca="false">IF(DS149&lt;&gt;"",DR149,"")</f>
        <v/>
      </c>
      <c r="DU149" s="23" t="str">
        <f aca="false">IF(AZ149=1,AW149,"")</f>
        <v/>
      </c>
      <c r="DV149" s="23" t="str">
        <f aca="false">IF(TRIM($A149)="","",IFERROR(INDEX($A$2:$A$201,MATCH(AW149,$DU$2:$DU$201,0))&amp;"",$A149&amp;""))</f>
        <v/>
      </c>
      <c r="DW149" s="23" t="n">
        <f aca="false">IF(AY149=1,IF(COUNTIFS($A$2:$A$201,$A149,$AY$2:$AY$201,1,$H$2:$H$201,"&lt;"&amp;H149)+COUNTIFS($A$2:$A$201,$A149,$AY$2:$AY$201,1,$H$2:$H$201,H149,$AX$2:$AX$201,"&lt;"&amp;AX149)=0,1,0),0)</f>
        <v>0</v>
      </c>
      <c r="DX149" s="23" t="n">
        <f aca="false">IF(AZ149=1,IF(COUNTIFS($AW$2:$AW$201,AW149,$DW$2:$DW$201,1)&gt;1,1,0),0)</f>
        <v>0</v>
      </c>
    </row>
    <row r="150" customFormat="false" ht="15" hidden="false" customHeight="false" outlineLevel="0" collapsed="false">
      <c r="G150" s="32"/>
      <c r="H150" s="33"/>
      <c r="I150" s="32"/>
      <c r="O150" s="32"/>
      <c r="P150" s="32"/>
      <c r="U150" s="32"/>
      <c r="Y150" s="32"/>
      <c r="AB150" s="32"/>
      <c r="AC150" s="32"/>
      <c r="AD150" s="32"/>
      <c r="AE150" s="32"/>
      <c r="AF150" s="32"/>
      <c r="AG150" s="32"/>
      <c r="AI150" s="32"/>
      <c r="AJ150" s="32"/>
      <c r="AK150" s="32"/>
      <c r="AN150" s="32"/>
      <c r="AO150" s="32"/>
      <c r="AR150" s="32"/>
      <c r="AT150" s="32"/>
      <c r="AV150" s="34" t="str">
        <f aca="false">IF(TRIM($A150)="","",IF(AND(LEFT($A150,6)="SAMPLE",Config!$B$19&lt;&gt;"Y"),"",IF(NOT(ISNUMBER(H150)),"call_date is blank or not a date",IF(Sync!$D$5="","Clay paste is empty or has no row_id column: paste the Clay export on Clay_Brands",IF(CM150="","row_id not found in the Clay paste: add the Clay row or fix the row_id",IF(AND(ISNUMBER(CO150),CO150&gt;=1,CO150&lt;=5),"Clay status is "&amp;CN150&amp;": set call_done or later",IF(AND(BA150=1,CP150&lt;&gt;CB150),"Clay yes_in_principle should be "&amp;CB150,IF(AND(BA150=1,CQ150&lt;&gt;H150),"Clay call_date should be "&amp;TEXT(H150,"yyyy-mm-dd"),""))))))))</f>
        <v/>
      </c>
      <c r="AW150" s="23" t="str">
        <f aca="false">IF(TRIM($A150)="","",IF(TRIM(C150)&lt;&gt;"",SUBSTITUTE(SUBSTITUTE(SUBSTITUTE(SUBSTITUTE(SUBSTITUTE(SUBSTITUTE(LOWER(TRIM(C150)),"~",""),"*",""),"?",""),"&lt;",""),"&gt;",""),"=",""),IF(DS150&lt;&gt;"",DS150,IFERROR(INDEX($DS$2:$DS$201,MATCH(DR150,$DT$2:$DT$201,0)),DR150))))</f>
        <v/>
      </c>
      <c r="AX150" s="23" t="n">
        <f aca="false">ROW()</f>
        <v>150</v>
      </c>
      <c r="AY150" s="23" t="n">
        <f aca="false">IF(AND(TRIM($A150)&lt;&gt;"",ISNUMBER(H150)),IF(AND(LEFT($A150,6)="SAMPLE",Config!$B$19&lt;&gt;"Y"),0,1),0)</f>
        <v>0</v>
      </c>
      <c r="AZ150" s="23" t="n">
        <f aca="false">IF(AY150=1,IF(COUNTIFS($AW$2:$AW$201,AW150,$AY$2:$AY$201,1,$H$2:$H$201,"&lt;"&amp;H150)+COUNTIFS($AW$2:$AW$201,AW150,$AY$2:$AY$201,1,$H$2:$H$201,H150,$AX$2:$AX$201,"&lt;"&amp;AX150)=0,1,0),0)</f>
        <v>0</v>
      </c>
      <c r="BA150" s="23" t="n">
        <f aca="false">IF(AY150=1,IF(COUNTIFS($A$2:$A$201,$A150,$AY$2:$AY$201,1,$H$2:$H$201,"&gt;"&amp;H150)+COUNTIFS($A$2:$A$201,$A150,$AY$2:$AY$201,1,$H$2:$H$201,H150,$AX$2:$AX$201,"&gt;"&amp;AX150)=0,1,0),0)</f>
        <v>0</v>
      </c>
      <c r="BB150" s="23" t="n">
        <f aca="false">IF(AND(AY150=1,O150="Y",MAX(N(R150),N(V150))&gt;=Config!$B$14),1,0)</f>
        <v>0</v>
      </c>
      <c r="BC150" s="23" t="n">
        <f aca="false">IF(BB150=1,IF(COUNTIFS($AW$2:$AW$201,AW150,$BB$2:$BB$201,1,$H$2:$H$201,"&lt;"&amp;H150)+COUNTIFS($AW$2:$AW$201,AW150,$BB$2:$BB$201,1,$H$2:$H$201,H150,$AX$2:$AX$201,"&lt;"&amp;AX150)=0,1,0),0)</f>
        <v>0</v>
      </c>
      <c r="BD150" s="23" t="n">
        <f aca="false">IF(AND(AY150=1,O150="Y",ISNUMBER(R150)),IF(R150&gt;=Config!$B$14,1,0),0)</f>
        <v>0</v>
      </c>
      <c r="BE150" s="23" t="n">
        <f aca="false">IF(BD150=1,IF(COUNTIFS($AW$2:$AW$201,AW150,$BD$2:$BD$201,1,$H$2:$H$201,"&lt;"&amp;H150)+COUNTIFS($AW$2:$AW$201,AW150,$BD$2:$BD$201,1,$H$2:$H$201,H150,$AX$2:$AX$201,"&lt;"&amp;AX150)=0,1,0),0)</f>
        <v>0</v>
      </c>
      <c r="BF150" s="23" t="n">
        <f aca="false">IF(AND(AY150=1,O150&lt;&gt;"Y",MAX(N(R150),N(V150))&gt;=Config!$B$14),1,0)</f>
        <v>0</v>
      </c>
      <c r="BG150" s="23" t="n">
        <f aca="false">IF(BF150=1,IF(COUNTIFS($AW$2:$AW$201,AW150,$BF$2:$BF$201,1,$H$2:$H$201,"&lt;"&amp;H150)+COUNTIFS($AW$2:$AW$201,AW150,$BF$2:$BF$201,1,$H$2:$H$201,H150,$AX$2:$AX$201,"&lt;"&amp;AX150)=0,1,0),0)</f>
        <v>0</v>
      </c>
      <c r="BH150" s="23" t="n">
        <f aca="false">IF(AND(AY150=1,ISNUMBER(R150)),1,0)</f>
        <v>0</v>
      </c>
      <c r="BI150" s="23" t="n">
        <f aca="false">IF(BH150=1,IF(COUNTIFS($AW$2:$AW$201,AW150,$BH$2:$BH$201,1,$H$2:$H$201,"&lt;"&amp;H150)+COUNTIFS($AW$2:$AW$201,AW150,$BH$2:$BH$201,1,$H$2:$H$201,H150,$AX$2:$AX$201,"&lt;"&amp;AX150)=0,1,0),0)</f>
        <v>0</v>
      </c>
      <c r="BJ150" s="23" t="str">
        <f aca="false">IF(AND(BI150=1,INT(N(H150))&lt;=Config!$B$6),R150,"")</f>
        <v/>
      </c>
      <c r="BK150" s="23" t="str">
        <f aca="false">IF(AND(BI150=1,INT(N(H150))&lt;=Config!$B$7),R150,"")</f>
        <v/>
      </c>
      <c r="BL150" s="23" t="str">
        <f aca="false">IF(AND(BI150=1,INT(N(H150))&lt;=Config!$B$8),R150,"")</f>
        <v/>
      </c>
      <c r="BM150" s="23" t="str">
        <f aca="false">IF(AND(BI150=1,INT(N(H150))&lt;=Config!$B$5),R150,"")</f>
        <v/>
      </c>
      <c r="BN150" s="23" t="n">
        <f aca="false">IF(AND(AY150=1,ISNUMBER(V150)),1,0)</f>
        <v>0</v>
      </c>
      <c r="BO150" s="23" t="n">
        <f aca="false">IF(BN150=1,IF(COUNTIFS($AW$2:$AW$201,AW150,$BN$2:$BN$201,1,$H$2:$H$201,"&lt;"&amp;H150)+COUNTIFS($AW$2:$AW$201,AW150,$BN$2:$BN$201,1,$H$2:$H$201,H150,$AX$2:$AX$201,"&lt;"&amp;AX150)=0,1,0),0)</f>
        <v>0</v>
      </c>
      <c r="BP150" s="23" t="str">
        <f aca="false">IF(AND(BO150=1,INT(N(H150))&lt;=Config!$B$6),V150,"")</f>
        <v/>
      </c>
      <c r="BQ150" s="23" t="str">
        <f aca="false">IF(AND(BO150=1,INT(N(H150))&lt;=Config!$B$7),V150,"")</f>
        <v/>
      </c>
      <c r="BR150" s="23" t="str">
        <f aca="false">IF(AND(BO150=1,INT(N(H150))&lt;=Config!$B$8),V150,"")</f>
        <v/>
      </c>
      <c r="BS150" s="23" t="str">
        <f aca="false">IF(AND(BO150=1,INT(N(H150))&lt;=Config!$B$5),V150,"")</f>
        <v/>
      </c>
      <c r="BT150" s="23" t="n">
        <f aca="false">IF(AND(AY150=1,ISNUMBER(K150)),1,0)</f>
        <v>0</v>
      </c>
      <c r="BU150" s="23" t="n">
        <f aca="false">IF(BT150=1,IF(COUNTIFS($AW$2:$AW$201,AW150,$BT$2:$BT$201,1,$H$2:$H$201,"&lt;"&amp;H150)+COUNTIFS($AW$2:$AW$201,AW150,$BT$2:$BT$201,1,$H$2:$H$201,H150,$AX$2:$AX$201,"&lt;"&amp;AX150)=0,1,0),0)</f>
        <v>0</v>
      </c>
      <c r="BV150" s="23" t="str">
        <f aca="false">IF(AND(BU150=1,INT(N(H150))&lt;=Config!$B$5),K150,"")</f>
        <v/>
      </c>
      <c r="BW150" s="23" t="n">
        <f aca="false">IF(AND(AY150=1,OR(AND(ISNUMBER(R150),TRIM(S150)=""),AND(ISNUMBER(V150),TRIM(W150)=""))),1,0)</f>
        <v>0</v>
      </c>
      <c r="BX150" s="23" t="str">
        <f aca="false">IF(AY150=1,AJ150&amp;"","")</f>
        <v/>
      </c>
      <c r="BY150" s="23" t="str">
        <f aca="false">IF(AY150=1,AK150&amp;"","")</f>
        <v/>
      </c>
      <c r="BZ150" s="23" t="str">
        <f aca="false">IF(AY150=1,AL150&amp;"","")</f>
        <v/>
      </c>
      <c r="CA150" s="23" t="str">
        <f aca="false">IF(AND(AY150=1,ISNUMBER(AS150),INT(N(H150))&lt;=Config!$B$5),AS150,"")</f>
        <v/>
      </c>
      <c r="CB150" s="23" t="str">
        <f aca="false">IF(AY150=1,IF(COUNTIFS($A$2:$A$201,$A150,$CU$2:$CU$201,1,$AN$2:$AN$201,"Y")&gt;0,"Y","N"),"")</f>
        <v/>
      </c>
      <c r="CC150" s="23" t="n">
        <f aca="false">IF(AND(AY150=1,AN150="Y"),IF(COUNTIFS($AW$2:$AW$201,AW150,$AN$2:$AN$201,"Y",$AY$2:$AY$201,1,$H$2:$H$201,"&lt;"&amp;H150)+COUNTIFS($AW$2:$AW$201,AW150,$AN$2:$AN$201,"Y",$AY$2:$AY$201,1,$H$2:$H$201,H150,$AX$2:$AX$201,"&lt;"&amp;AX150)=0,1,0),0)</f>
        <v>0</v>
      </c>
      <c r="CD150" s="23" t="n">
        <f aca="false">IF(AND(AY150=1,AB150="Y",AC150="Y",AD150="Y",AE150="Y",AF150="Y",AG150="Y",AI150="Y",TRIM(AH150)&lt;&gt;""),1,0)</f>
        <v>0</v>
      </c>
      <c r="CE150" s="23" t="n">
        <f aca="false">IF(CD150=1,IF(COUNTIFS($AW$2:$AW$201,AW150,$CD$2:$CD$201,1,$H$2:$H$201,"&lt;"&amp;H150)+COUNTIFS($AW$2:$AW$201,AW150,$CD$2:$CD$201,1,$H$2:$H$201,H150,$AX$2:$AX$201,"&lt;"&amp;AX150)=0,1,0),0)</f>
        <v>0</v>
      </c>
      <c r="CF150" s="23" t="n">
        <f aca="false">IF(AND(AY150=1,AO150="Y"),1,0)</f>
        <v>0</v>
      </c>
      <c r="CG150" s="23" t="n">
        <f aca="false">IF(CF150=1,IF(COUNTIFS($AW$2:$AW$201,AW150,$CF$2:$CF$201,1,$H$2:$H$201,"&lt;"&amp;H150)+COUNTIFS($AW$2:$AW$201,AW150,$CF$2:$CF$201,1,$H$2:$H$201,H150,$AX$2:$AX$201,"&lt;"&amp;AX150)=0,1,0),0)</f>
        <v>0</v>
      </c>
      <c r="CH150" s="23" t="n">
        <f aca="false">IF(AND(AY150=1,P150="Y"),1,0)</f>
        <v>0</v>
      </c>
      <c r="CI150" s="23" t="n">
        <f aca="false">IF(CH150=1,IF(COUNTIFS($AW$2:$AW$201,AW150,$CH$2:$CH$201,1,$H$2:$H$201,"&lt;"&amp;H150)+COUNTIFS($AW$2:$AW$201,AW150,$CH$2:$CH$201,1,$H$2:$H$201,H150,$AX$2:$AX$201,"&lt;"&amp;AX150)=0,1,0),0)</f>
        <v>0</v>
      </c>
      <c r="CJ150" s="23" t="str">
        <f aca="false">IF(AND(BU150=1,INT(N(H150))&lt;=Config!$B$5),L150,"")</f>
        <v/>
      </c>
      <c r="CK150" s="23" t="n">
        <f aca="false">IF(AND(AY150=1,AR150="Y"),1,0)</f>
        <v>0</v>
      </c>
      <c r="CL150" s="23" t="n">
        <f aca="false">IF(CK150=1,IF(COUNTIFS($AW$2:$AW$201,AW150,$CK$2:$CK$201,1,$H$2:$H$201,"&lt;"&amp;H150)+COUNTIFS($AW$2:$AW$201,AW150,$CK$2:$CK$201,1,$H$2:$H$201,H150,$AX$2:$AX$201,"&lt;"&amp;AX150)=0,1,0),0)</f>
        <v>0</v>
      </c>
      <c r="CM150" s="23" t="str">
        <f aca="false">IF(AY150=1,IFERROR(MATCH($A150,INDEX(Clay_Brands!$A$2:$FZ$601,0,Sync!$D$5),0),""),"")</f>
        <v/>
      </c>
      <c r="CN150" s="23" t="str">
        <f aca="false">IF(CM150="","",IFERROR(INDEX(Clay_Brands!$A$2:$FZ$601,CM150,Sync!$D$7)&amp;"",""))</f>
        <v/>
      </c>
      <c r="CO150" s="23" t="str">
        <f aca="false">IF(CN150="","",IFERROR(INDEX(Lists!$K$2:$K$15,MATCH(CN150,Lists!$J$2:$J$15,0)),""))</f>
        <v/>
      </c>
      <c r="CP150" s="23" t="str">
        <f aca="false">IF(CM150="","",IFERROR(INDEX(Clay_Brands!$A$2:$FZ$601,CM150,Sync!$D$17)&amp;"",""))</f>
        <v/>
      </c>
      <c r="CQ150" s="35" t="str">
        <f aca="false">IF(CM150="","",IFERROR(N(INDEX(Clay_Brands!$A$2:$FZ$601,CM150,Sync!$D$16)),0))</f>
        <v/>
      </c>
      <c r="CR150" s="23" t="n">
        <f aca="false">IF(AND(AY150=1,OR(O150="N",AND(OR(ISNUMBER(R150),ISNUMBER(V150)),MAX(N(R150),N(V150))&lt;Config!$B$14))),1,0)</f>
        <v>0</v>
      </c>
      <c r="CS150" s="23" t="n">
        <f aca="false">IF(OR(BB150=1,CR150=1),1,0)</f>
        <v>0</v>
      </c>
      <c r="CT150" s="23" t="n">
        <f aca="false">IF(AND(AY150=1,OR(AN150="Y",AN150="N",AN150="maybe")),1,0)</f>
        <v>0</v>
      </c>
      <c r="CU150" s="23" t="n">
        <f aca="false">IF(AND(CT150=1),IF(COUNTIFS($A$2:$A$201,$A150,$CT$2:$CT$201,1,$H$2:$H$201,"&gt;"&amp;H150)+COUNTIFS($A$2:$A$201,$A150,$CT$2:$CT$201,1,$H$2:$H$201,H150,$AX$2:$AX$201,"&gt;"&amp;AX150)=0,1,0),0)</f>
        <v>0</v>
      </c>
      <c r="CV150" s="23" t="n">
        <f aca="false">IF(AND(CS150=1,INT(N(H150))&lt;=Config!$B$6),IF(COUNTIFS($AW$2:$AW$201,AW150,$CS$2:$CS$201,1,$H$2:$H$201,"&gt;"&amp;H150,$H$2:$H$201,"&lt;"&amp;(Config!$B$6+1))+COUNTIFS($AW$2:$AW$201,AW150,$CS$2:$CS$201,1,$H$2:$H$201,H150,$AX$2:$AX$201,"&gt;"&amp;AX150)=0,1,0),0)</f>
        <v>0</v>
      </c>
      <c r="CW150" s="23" t="n">
        <f aca="false">IF(AND(CS150=1,INT(N(H150))&lt;=Config!$B$7),IF(COUNTIFS($AW$2:$AW$201,AW150,$CS$2:$CS$201,1,$H$2:$H$201,"&gt;"&amp;H150,$H$2:$H$201,"&lt;"&amp;(Config!$B$7+1))+COUNTIFS($AW$2:$AW$201,AW150,$CS$2:$CS$201,1,$H$2:$H$201,H150,$AX$2:$AX$201,"&gt;"&amp;AX150)=0,1,0),0)</f>
        <v>0</v>
      </c>
      <c r="CX150" s="23" t="n">
        <f aca="false">IF(AND(CS150=1,INT(N(H150))&lt;=Config!$B$8),IF(COUNTIFS($AW$2:$AW$201,AW150,$CS$2:$CS$201,1,$H$2:$H$201,"&gt;"&amp;H150,$H$2:$H$201,"&lt;"&amp;(Config!$B$8+1))+COUNTIFS($AW$2:$AW$201,AW150,$CS$2:$CS$201,1,$H$2:$H$201,H150,$AX$2:$AX$201,"&gt;"&amp;AX150)=0,1,0),0)</f>
        <v>0</v>
      </c>
      <c r="CY150" s="23" t="n">
        <f aca="false">IF(AND(CS150=1,INT(N(H150))&lt;=Config!$B$5),IF(COUNTIFS($AW$2:$AW$201,AW150,$CS$2:$CS$201,1,$H$2:$H$201,"&gt;"&amp;H150,$H$2:$H$201,"&lt;"&amp;(Config!$B$5+1))+COUNTIFS($AW$2:$AW$201,AW150,$CS$2:$CS$201,1,$H$2:$H$201,H150,$AX$2:$AX$201,"&gt;"&amp;AX150)=0,1,0),0)</f>
        <v>0</v>
      </c>
      <c r="CZ150" s="23" t="n">
        <f aca="false">IF(AY150=1,IF(COUNTIFS($AW$2:$AW$201,AW150,$CV$2:$CV$201,1,$BB$2:$BB$201,1)&gt;0,1,0),0)</f>
        <v>0</v>
      </c>
      <c r="DA150" s="23" t="n">
        <f aca="false">IF(AY150=1,IF(COUNTIFS($AW$2:$AW$201,AW150,$CW$2:$CW$201,1,$BB$2:$BB$201,1)&gt;0,1,0),0)</f>
        <v>0</v>
      </c>
      <c r="DB150" s="23" t="n">
        <f aca="false">IF(AY150=1,IF(COUNTIFS($AW$2:$AW$201,AW150,$CX$2:$CX$201,1,$BB$2:$BB$201,1)&gt;0,1,0),0)</f>
        <v>0</v>
      </c>
      <c r="DC150" s="23" t="n">
        <f aca="false">IF(AY150=1,IF(COUNTIFS($AW$2:$AW$201,AW150,$CY$2:$CY$201,1,$BB$2:$BB$201,1)&gt;0,1,0),0)</f>
        <v>0</v>
      </c>
      <c r="DD150" s="23" t="n">
        <f aca="false">IF(AND(BC150=1,INT(N(H150))&lt;=Config!$B$6,CZ150=1),1,0)</f>
        <v>0</v>
      </c>
      <c r="DE150" s="23" t="n">
        <f aca="false">IF(AND(BC150=1,INT(N(H150))&lt;=Config!$B$7,DA150=1),1,0)</f>
        <v>0</v>
      </c>
      <c r="DF150" s="23" t="n">
        <f aca="false">IF(AND(BC150=1,INT(N(H150))&lt;=Config!$B$8,DB150=1),1,0)</f>
        <v>0</v>
      </c>
      <c r="DG150" s="23" t="n">
        <f aca="false">IF(AND(BC150=1,INT(N(H150))&lt;=Config!$B$5,DC150=1),1,0)</f>
        <v>0</v>
      </c>
      <c r="DH150" s="23" t="n">
        <f aca="false">IF(AND(BE150=1,INT(N(H150))&lt;=Config!$B$6,CZ150=1),1,0)</f>
        <v>0</v>
      </c>
      <c r="DI150" s="23" t="n">
        <f aca="false">IF(AND(BE150=1,INT(N(H150))&lt;=Config!$B$7,DA150=1),1,0)</f>
        <v>0</v>
      </c>
      <c r="DJ150" s="23" t="n">
        <f aca="false">IF(AND(BE150=1,INT(N(H150))&lt;=Config!$B$8,DB150=1),1,0)</f>
        <v>0</v>
      </c>
      <c r="DK150" s="23" t="n">
        <f aca="false">IF(AND(BE150=1,INT(N(H150))&lt;=Config!$B$5,DC150=1),1,0)</f>
        <v>0</v>
      </c>
      <c r="DL150" s="23" t="n">
        <f aca="false">IF(AND(BC150=1,INT(N(H150))&lt;=Config!$B$6,CZ150=0),1,0)</f>
        <v>0</v>
      </c>
      <c r="DM150" s="23" t="n">
        <f aca="false">IF(AND(BC150=1,INT(N(H150))&lt;=Config!$B$7,DA150=0),1,0)</f>
        <v>0</v>
      </c>
      <c r="DN150" s="23" t="n">
        <f aca="false">IF(AND(BC150=1,INT(N(H150))&lt;=Config!$B$8,DB150=0),1,0)</f>
        <v>0</v>
      </c>
      <c r="DO150" s="23" t="n">
        <f aca="false">IF(AND(BC150=1,INT(N(H150))&lt;=Config!$B$5,DC150=0),1,0)</f>
        <v>0</v>
      </c>
      <c r="DP150" s="23" t="n">
        <f aca="false">IF(TRIM($A150)="",0,ISTEXT(K150)+ISTEXT(L150)+ISTEXT(R150)+ISTEXT(V150)+ISTEXT(AP150)+ISTEXT(AS150))</f>
        <v>0</v>
      </c>
      <c r="DQ150" s="23" t="n">
        <f aca="false">IF(AY150=1,IF(H150&lt;&gt;INT(H150),1,0),0)</f>
        <v>0</v>
      </c>
      <c r="DR150" s="23" t="str">
        <f aca="false">IF(TRIM($A150)="","",IF(TRIM(B150)="",SUBSTITUTE(SUBSTITUTE(SUBSTITUTE(SUBSTITUTE(SUBSTITUTE(SUBSTITUTE(LOWER(TRIM($A150)),"~",""),"*",""),"?",""),"&lt;",""),"&gt;",""),"=",""),SUBSTITUTE(SUBSTITUTE(SUBSTITUTE(SUBSTITUTE(SUBSTITUTE(SUBSTITUTE(LOWER(TRIM(B150)),"~",""),"*",""),"?",""),"&lt;",""),"&gt;",""),"=","")))</f>
        <v/>
      </c>
      <c r="DS150" s="23" t="str">
        <f aca="false">IF(CM150="","",IFERROR(IF(LEFT(LOWER(TRIM(INDEX(Clay_Brands!$A$2:$FZ$601,CM150,Sync!$D$19)&amp;"")),4)="grp-",SUBSTITUTE(SUBSTITUTE(SUBSTITUTE(SUBSTITUTE(SUBSTITUTE(SUBSTITUTE(LOWER(TRIM(INDEX(Clay_Brands!$A$2:$FZ$601,CM150,Sync!$D$19)&amp;"")),"~",""),"*",""),"?",""),"&lt;",""),"&gt;",""),"=",""),""),""))</f>
        <v/>
      </c>
      <c r="DT150" s="23" t="str">
        <f aca="false">IF(DS150&lt;&gt;"",DR150,"")</f>
        <v/>
      </c>
      <c r="DU150" s="23" t="str">
        <f aca="false">IF(AZ150=1,AW150,"")</f>
        <v/>
      </c>
      <c r="DV150" s="23" t="str">
        <f aca="false">IF(TRIM($A150)="","",IFERROR(INDEX($A$2:$A$201,MATCH(AW150,$DU$2:$DU$201,0))&amp;"",$A150&amp;""))</f>
        <v/>
      </c>
      <c r="DW150" s="23" t="n">
        <f aca="false">IF(AY150=1,IF(COUNTIFS($A$2:$A$201,$A150,$AY$2:$AY$201,1,$H$2:$H$201,"&lt;"&amp;H150)+COUNTIFS($A$2:$A$201,$A150,$AY$2:$AY$201,1,$H$2:$H$201,H150,$AX$2:$AX$201,"&lt;"&amp;AX150)=0,1,0),0)</f>
        <v>0</v>
      </c>
      <c r="DX150" s="23" t="n">
        <f aca="false">IF(AZ150=1,IF(COUNTIFS($AW$2:$AW$201,AW150,$DW$2:$DW$201,1)&gt;1,1,0),0)</f>
        <v>0</v>
      </c>
    </row>
    <row r="151" customFormat="false" ht="15" hidden="false" customHeight="false" outlineLevel="0" collapsed="false">
      <c r="G151" s="32"/>
      <c r="H151" s="33"/>
      <c r="I151" s="32"/>
      <c r="O151" s="32"/>
      <c r="P151" s="32"/>
      <c r="U151" s="32"/>
      <c r="Y151" s="32"/>
      <c r="AB151" s="32"/>
      <c r="AC151" s="32"/>
      <c r="AD151" s="32"/>
      <c r="AE151" s="32"/>
      <c r="AF151" s="32"/>
      <c r="AG151" s="32"/>
      <c r="AI151" s="32"/>
      <c r="AJ151" s="32"/>
      <c r="AK151" s="32"/>
      <c r="AN151" s="32"/>
      <c r="AO151" s="32"/>
      <c r="AR151" s="32"/>
      <c r="AT151" s="32"/>
      <c r="AV151" s="34" t="str">
        <f aca="false">IF(TRIM($A151)="","",IF(AND(LEFT($A151,6)="SAMPLE",Config!$B$19&lt;&gt;"Y"),"",IF(NOT(ISNUMBER(H151)),"call_date is blank or not a date",IF(Sync!$D$5="","Clay paste is empty or has no row_id column: paste the Clay export on Clay_Brands",IF(CM151="","row_id not found in the Clay paste: add the Clay row or fix the row_id",IF(AND(ISNUMBER(CO151),CO151&gt;=1,CO151&lt;=5),"Clay status is "&amp;CN151&amp;": set call_done or later",IF(AND(BA151=1,CP151&lt;&gt;CB151),"Clay yes_in_principle should be "&amp;CB151,IF(AND(BA151=1,CQ151&lt;&gt;H151),"Clay call_date should be "&amp;TEXT(H151,"yyyy-mm-dd"),""))))))))</f>
        <v/>
      </c>
      <c r="AW151" s="23" t="str">
        <f aca="false">IF(TRIM($A151)="","",IF(TRIM(C151)&lt;&gt;"",SUBSTITUTE(SUBSTITUTE(SUBSTITUTE(SUBSTITUTE(SUBSTITUTE(SUBSTITUTE(LOWER(TRIM(C151)),"~",""),"*",""),"?",""),"&lt;",""),"&gt;",""),"=",""),IF(DS151&lt;&gt;"",DS151,IFERROR(INDEX($DS$2:$DS$201,MATCH(DR151,$DT$2:$DT$201,0)),DR151))))</f>
        <v/>
      </c>
      <c r="AX151" s="23" t="n">
        <f aca="false">ROW()</f>
        <v>151</v>
      </c>
      <c r="AY151" s="23" t="n">
        <f aca="false">IF(AND(TRIM($A151)&lt;&gt;"",ISNUMBER(H151)),IF(AND(LEFT($A151,6)="SAMPLE",Config!$B$19&lt;&gt;"Y"),0,1),0)</f>
        <v>0</v>
      </c>
      <c r="AZ151" s="23" t="n">
        <f aca="false">IF(AY151=1,IF(COUNTIFS($AW$2:$AW$201,AW151,$AY$2:$AY$201,1,$H$2:$H$201,"&lt;"&amp;H151)+COUNTIFS($AW$2:$AW$201,AW151,$AY$2:$AY$201,1,$H$2:$H$201,H151,$AX$2:$AX$201,"&lt;"&amp;AX151)=0,1,0),0)</f>
        <v>0</v>
      </c>
      <c r="BA151" s="23" t="n">
        <f aca="false">IF(AY151=1,IF(COUNTIFS($A$2:$A$201,$A151,$AY$2:$AY$201,1,$H$2:$H$201,"&gt;"&amp;H151)+COUNTIFS($A$2:$A$201,$A151,$AY$2:$AY$201,1,$H$2:$H$201,H151,$AX$2:$AX$201,"&gt;"&amp;AX151)=0,1,0),0)</f>
        <v>0</v>
      </c>
      <c r="BB151" s="23" t="n">
        <f aca="false">IF(AND(AY151=1,O151="Y",MAX(N(R151),N(V151))&gt;=Config!$B$14),1,0)</f>
        <v>0</v>
      </c>
      <c r="BC151" s="23" t="n">
        <f aca="false">IF(BB151=1,IF(COUNTIFS($AW$2:$AW$201,AW151,$BB$2:$BB$201,1,$H$2:$H$201,"&lt;"&amp;H151)+COUNTIFS($AW$2:$AW$201,AW151,$BB$2:$BB$201,1,$H$2:$H$201,H151,$AX$2:$AX$201,"&lt;"&amp;AX151)=0,1,0),0)</f>
        <v>0</v>
      </c>
      <c r="BD151" s="23" t="n">
        <f aca="false">IF(AND(AY151=1,O151="Y",ISNUMBER(R151)),IF(R151&gt;=Config!$B$14,1,0),0)</f>
        <v>0</v>
      </c>
      <c r="BE151" s="23" t="n">
        <f aca="false">IF(BD151=1,IF(COUNTIFS($AW$2:$AW$201,AW151,$BD$2:$BD$201,1,$H$2:$H$201,"&lt;"&amp;H151)+COUNTIFS($AW$2:$AW$201,AW151,$BD$2:$BD$201,1,$H$2:$H$201,H151,$AX$2:$AX$201,"&lt;"&amp;AX151)=0,1,0),0)</f>
        <v>0</v>
      </c>
      <c r="BF151" s="23" t="n">
        <f aca="false">IF(AND(AY151=1,O151&lt;&gt;"Y",MAX(N(R151),N(V151))&gt;=Config!$B$14),1,0)</f>
        <v>0</v>
      </c>
      <c r="BG151" s="23" t="n">
        <f aca="false">IF(BF151=1,IF(COUNTIFS($AW$2:$AW$201,AW151,$BF$2:$BF$201,1,$H$2:$H$201,"&lt;"&amp;H151)+COUNTIFS($AW$2:$AW$201,AW151,$BF$2:$BF$201,1,$H$2:$H$201,H151,$AX$2:$AX$201,"&lt;"&amp;AX151)=0,1,0),0)</f>
        <v>0</v>
      </c>
      <c r="BH151" s="23" t="n">
        <f aca="false">IF(AND(AY151=1,ISNUMBER(R151)),1,0)</f>
        <v>0</v>
      </c>
      <c r="BI151" s="23" t="n">
        <f aca="false">IF(BH151=1,IF(COUNTIFS($AW$2:$AW$201,AW151,$BH$2:$BH$201,1,$H$2:$H$201,"&lt;"&amp;H151)+COUNTIFS($AW$2:$AW$201,AW151,$BH$2:$BH$201,1,$H$2:$H$201,H151,$AX$2:$AX$201,"&lt;"&amp;AX151)=0,1,0),0)</f>
        <v>0</v>
      </c>
      <c r="BJ151" s="23" t="str">
        <f aca="false">IF(AND(BI151=1,INT(N(H151))&lt;=Config!$B$6),R151,"")</f>
        <v/>
      </c>
      <c r="BK151" s="23" t="str">
        <f aca="false">IF(AND(BI151=1,INT(N(H151))&lt;=Config!$B$7),R151,"")</f>
        <v/>
      </c>
      <c r="BL151" s="23" t="str">
        <f aca="false">IF(AND(BI151=1,INT(N(H151))&lt;=Config!$B$8),R151,"")</f>
        <v/>
      </c>
      <c r="BM151" s="23" t="str">
        <f aca="false">IF(AND(BI151=1,INT(N(H151))&lt;=Config!$B$5),R151,"")</f>
        <v/>
      </c>
      <c r="BN151" s="23" t="n">
        <f aca="false">IF(AND(AY151=1,ISNUMBER(V151)),1,0)</f>
        <v>0</v>
      </c>
      <c r="BO151" s="23" t="n">
        <f aca="false">IF(BN151=1,IF(COUNTIFS($AW$2:$AW$201,AW151,$BN$2:$BN$201,1,$H$2:$H$201,"&lt;"&amp;H151)+COUNTIFS($AW$2:$AW$201,AW151,$BN$2:$BN$201,1,$H$2:$H$201,H151,$AX$2:$AX$201,"&lt;"&amp;AX151)=0,1,0),0)</f>
        <v>0</v>
      </c>
      <c r="BP151" s="23" t="str">
        <f aca="false">IF(AND(BO151=1,INT(N(H151))&lt;=Config!$B$6),V151,"")</f>
        <v/>
      </c>
      <c r="BQ151" s="23" t="str">
        <f aca="false">IF(AND(BO151=1,INT(N(H151))&lt;=Config!$B$7),V151,"")</f>
        <v/>
      </c>
      <c r="BR151" s="23" t="str">
        <f aca="false">IF(AND(BO151=1,INT(N(H151))&lt;=Config!$B$8),V151,"")</f>
        <v/>
      </c>
      <c r="BS151" s="23" t="str">
        <f aca="false">IF(AND(BO151=1,INT(N(H151))&lt;=Config!$B$5),V151,"")</f>
        <v/>
      </c>
      <c r="BT151" s="23" t="n">
        <f aca="false">IF(AND(AY151=1,ISNUMBER(K151)),1,0)</f>
        <v>0</v>
      </c>
      <c r="BU151" s="23" t="n">
        <f aca="false">IF(BT151=1,IF(COUNTIFS($AW$2:$AW$201,AW151,$BT$2:$BT$201,1,$H$2:$H$201,"&lt;"&amp;H151)+COUNTIFS($AW$2:$AW$201,AW151,$BT$2:$BT$201,1,$H$2:$H$201,H151,$AX$2:$AX$201,"&lt;"&amp;AX151)=0,1,0),0)</f>
        <v>0</v>
      </c>
      <c r="BV151" s="23" t="str">
        <f aca="false">IF(AND(BU151=1,INT(N(H151))&lt;=Config!$B$5),K151,"")</f>
        <v/>
      </c>
      <c r="BW151" s="23" t="n">
        <f aca="false">IF(AND(AY151=1,OR(AND(ISNUMBER(R151),TRIM(S151)=""),AND(ISNUMBER(V151),TRIM(W151)=""))),1,0)</f>
        <v>0</v>
      </c>
      <c r="BX151" s="23" t="str">
        <f aca="false">IF(AY151=1,AJ151&amp;"","")</f>
        <v/>
      </c>
      <c r="BY151" s="23" t="str">
        <f aca="false">IF(AY151=1,AK151&amp;"","")</f>
        <v/>
      </c>
      <c r="BZ151" s="23" t="str">
        <f aca="false">IF(AY151=1,AL151&amp;"","")</f>
        <v/>
      </c>
      <c r="CA151" s="23" t="str">
        <f aca="false">IF(AND(AY151=1,ISNUMBER(AS151),INT(N(H151))&lt;=Config!$B$5),AS151,"")</f>
        <v/>
      </c>
      <c r="CB151" s="23" t="str">
        <f aca="false">IF(AY151=1,IF(COUNTIFS($A$2:$A$201,$A151,$CU$2:$CU$201,1,$AN$2:$AN$201,"Y")&gt;0,"Y","N"),"")</f>
        <v/>
      </c>
      <c r="CC151" s="23" t="n">
        <f aca="false">IF(AND(AY151=1,AN151="Y"),IF(COUNTIFS($AW$2:$AW$201,AW151,$AN$2:$AN$201,"Y",$AY$2:$AY$201,1,$H$2:$H$201,"&lt;"&amp;H151)+COUNTIFS($AW$2:$AW$201,AW151,$AN$2:$AN$201,"Y",$AY$2:$AY$201,1,$H$2:$H$201,H151,$AX$2:$AX$201,"&lt;"&amp;AX151)=0,1,0),0)</f>
        <v>0</v>
      </c>
      <c r="CD151" s="23" t="n">
        <f aca="false">IF(AND(AY151=1,AB151="Y",AC151="Y",AD151="Y",AE151="Y",AF151="Y",AG151="Y",AI151="Y",TRIM(AH151)&lt;&gt;""),1,0)</f>
        <v>0</v>
      </c>
      <c r="CE151" s="23" t="n">
        <f aca="false">IF(CD151=1,IF(COUNTIFS($AW$2:$AW$201,AW151,$CD$2:$CD$201,1,$H$2:$H$201,"&lt;"&amp;H151)+COUNTIFS($AW$2:$AW$201,AW151,$CD$2:$CD$201,1,$H$2:$H$201,H151,$AX$2:$AX$201,"&lt;"&amp;AX151)=0,1,0),0)</f>
        <v>0</v>
      </c>
      <c r="CF151" s="23" t="n">
        <f aca="false">IF(AND(AY151=1,AO151="Y"),1,0)</f>
        <v>0</v>
      </c>
      <c r="CG151" s="23" t="n">
        <f aca="false">IF(CF151=1,IF(COUNTIFS($AW$2:$AW$201,AW151,$CF$2:$CF$201,1,$H$2:$H$201,"&lt;"&amp;H151)+COUNTIFS($AW$2:$AW$201,AW151,$CF$2:$CF$201,1,$H$2:$H$201,H151,$AX$2:$AX$201,"&lt;"&amp;AX151)=0,1,0),0)</f>
        <v>0</v>
      </c>
      <c r="CH151" s="23" t="n">
        <f aca="false">IF(AND(AY151=1,P151="Y"),1,0)</f>
        <v>0</v>
      </c>
      <c r="CI151" s="23" t="n">
        <f aca="false">IF(CH151=1,IF(COUNTIFS($AW$2:$AW$201,AW151,$CH$2:$CH$201,1,$H$2:$H$201,"&lt;"&amp;H151)+COUNTIFS($AW$2:$AW$201,AW151,$CH$2:$CH$201,1,$H$2:$H$201,H151,$AX$2:$AX$201,"&lt;"&amp;AX151)=0,1,0),0)</f>
        <v>0</v>
      </c>
      <c r="CJ151" s="23" t="str">
        <f aca="false">IF(AND(BU151=1,INT(N(H151))&lt;=Config!$B$5),L151,"")</f>
        <v/>
      </c>
      <c r="CK151" s="23" t="n">
        <f aca="false">IF(AND(AY151=1,AR151="Y"),1,0)</f>
        <v>0</v>
      </c>
      <c r="CL151" s="23" t="n">
        <f aca="false">IF(CK151=1,IF(COUNTIFS($AW$2:$AW$201,AW151,$CK$2:$CK$201,1,$H$2:$H$201,"&lt;"&amp;H151)+COUNTIFS($AW$2:$AW$201,AW151,$CK$2:$CK$201,1,$H$2:$H$201,H151,$AX$2:$AX$201,"&lt;"&amp;AX151)=0,1,0),0)</f>
        <v>0</v>
      </c>
      <c r="CM151" s="23" t="str">
        <f aca="false">IF(AY151=1,IFERROR(MATCH($A151,INDEX(Clay_Brands!$A$2:$FZ$601,0,Sync!$D$5),0),""),"")</f>
        <v/>
      </c>
      <c r="CN151" s="23" t="str">
        <f aca="false">IF(CM151="","",IFERROR(INDEX(Clay_Brands!$A$2:$FZ$601,CM151,Sync!$D$7)&amp;"",""))</f>
        <v/>
      </c>
      <c r="CO151" s="23" t="str">
        <f aca="false">IF(CN151="","",IFERROR(INDEX(Lists!$K$2:$K$15,MATCH(CN151,Lists!$J$2:$J$15,0)),""))</f>
        <v/>
      </c>
      <c r="CP151" s="23" t="str">
        <f aca="false">IF(CM151="","",IFERROR(INDEX(Clay_Brands!$A$2:$FZ$601,CM151,Sync!$D$17)&amp;"",""))</f>
        <v/>
      </c>
      <c r="CQ151" s="35" t="str">
        <f aca="false">IF(CM151="","",IFERROR(N(INDEX(Clay_Brands!$A$2:$FZ$601,CM151,Sync!$D$16)),0))</f>
        <v/>
      </c>
      <c r="CR151" s="23" t="n">
        <f aca="false">IF(AND(AY151=1,OR(O151="N",AND(OR(ISNUMBER(R151),ISNUMBER(V151)),MAX(N(R151),N(V151))&lt;Config!$B$14))),1,0)</f>
        <v>0</v>
      </c>
      <c r="CS151" s="23" t="n">
        <f aca="false">IF(OR(BB151=1,CR151=1),1,0)</f>
        <v>0</v>
      </c>
      <c r="CT151" s="23" t="n">
        <f aca="false">IF(AND(AY151=1,OR(AN151="Y",AN151="N",AN151="maybe")),1,0)</f>
        <v>0</v>
      </c>
      <c r="CU151" s="23" t="n">
        <f aca="false">IF(AND(CT151=1),IF(COUNTIFS($A$2:$A$201,$A151,$CT$2:$CT$201,1,$H$2:$H$201,"&gt;"&amp;H151)+COUNTIFS($A$2:$A$201,$A151,$CT$2:$CT$201,1,$H$2:$H$201,H151,$AX$2:$AX$201,"&gt;"&amp;AX151)=0,1,0),0)</f>
        <v>0</v>
      </c>
      <c r="CV151" s="23" t="n">
        <f aca="false">IF(AND(CS151=1,INT(N(H151))&lt;=Config!$B$6),IF(COUNTIFS($AW$2:$AW$201,AW151,$CS$2:$CS$201,1,$H$2:$H$201,"&gt;"&amp;H151,$H$2:$H$201,"&lt;"&amp;(Config!$B$6+1))+COUNTIFS($AW$2:$AW$201,AW151,$CS$2:$CS$201,1,$H$2:$H$201,H151,$AX$2:$AX$201,"&gt;"&amp;AX151)=0,1,0),0)</f>
        <v>0</v>
      </c>
      <c r="CW151" s="23" t="n">
        <f aca="false">IF(AND(CS151=1,INT(N(H151))&lt;=Config!$B$7),IF(COUNTIFS($AW$2:$AW$201,AW151,$CS$2:$CS$201,1,$H$2:$H$201,"&gt;"&amp;H151,$H$2:$H$201,"&lt;"&amp;(Config!$B$7+1))+COUNTIFS($AW$2:$AW$201,AW151,$CS$2:$CS$201,1,$H$2:$H$201,H151,$AX$2:$AX$201,"&gt;"&amp;AX151)=0,1,0),0)</f>
        <v>0</v>
      </c>
      <c r="CX151" s="23" t="n">
        <f aca="false">IF(AND(CS151=1,INT(N(H151))&lt;=Config!$B$8),IF(COUNTIFS($AW$2:$AW$201,AW151,$CS$2:$CS$201,1,$H$2:$H$201,"&gt;"&amp;H151,$H$2:$H$201,"&lt;"&amp;(Config!$B$8+1))+COUNTIFS($AW$2:$AW$201,AW151,$CS$2:$CS$201,1,$H$2:$H$201,H151,$AX$2:$AX$201,"&gt;"&amp;AX151)=0,1,0),0)</f>
        <v>0</v>
      </c>
      <c r="CY151" s="23" t="n">
        <f aca="false">IF(AND(CS151=1,INT(N(H151))&lt;=Config!$B$5),IF(COUNTIFS($AW$2:$AW$201,AW151,$CS$2:$CS$201,1,$H$2:$H$201,"&gt;"&amp;H151,$H$2:$H$201,"&lt;"&amp;(Config!$B$5+1))+COUNTIFS($AW$2:$AW$201,AW151,$CS$2:$CS$201,1,$H$2:$H$201,H151,$AX$2:$AX$201,"&gt;"&amp;AX151)=0,1,0),0)</f>
        <v>0</v>
      </c>
      <c r="CZ151" s="23" t="n">
        <f aca="false">IF(AY151=1,IF(COUNTIFS($AW$2:$AW$201,AW151,$CV$2:$CV$201,1,$BB$2:$BB$201,1)&gt;0,1,0),0)</f>
        <v>0</v>
      </c>
      <c r="DA151" s="23" t="n">
        <f aca="false">IF(AY151=1,IF(COUNTIFS($AW$2:$AW$201,AW151,$CW$2:$CW$201,1,$BB$2:$BB$201,1)&gt;0,1,0),0)</f>
        <v>0</v>
      </c>
      <c r="DB151" s="23" t="n">
        <f aca="false">IF(AY151=1,IF(COUNTIFS($AW$2:$AW$201,AW151,$CX$2:$CX$201,1,$BB$2:$BB$201,1)&gt;0,1,0),0)</f>
        <v>0</v>
      </c>
      <c r="DC151" s="23" t="n">
        <f aca="false">IF(AY151=1,IF(COUNTIFS($AW$2:$AW$201,AW151,$CY$2:$CY$201,1,$BB$2:$BB$201,1)&gt;0,1,0),0)</f>
        <v>0</v>
      </c>
      <c r="DD151" s="23" t="n">
        <f aca="false">IF(AND(BC151=1,INT(N(H151))&lt;=Config!$B$6,CZ151=1),1,0)</f>
        <v>0</v>
      </c>
      <c r="DE151" s="23" t="n">
        <f aca="false">IF(AND(BC151=1,INT(N(H151))&lt;=Config!$B$7,DA151=1),1,0)</f>
        <v>0</v>
      </c>
      <c r="DF151" s="23" t="n">
        <f aca="false">IF(AND(BC151=1,INT(N(H151))&lt;=Config!$B$8,DB151=1),1,0)</f>
        <v>0</v>
      </c>
      <c r="DG151" s="23" t="n">
        <f aca="false">IF(AND(BC151=1,INT(N(H151))&lt;=Config!$B$5,DC151=1),1,0)</f>
        <v>0</v>
      </c>
      <c r="DH151" s="23" t="n">
        <f aca="false">IF(AND(BE151=1,INT(N(H151))&lt;=Config!$B$6,CZ151=1),1,0)</f>
        <v>0</v>
      </c>
      <c r="DI151" s="23" t="n">
        <f aca="false">IF(AND(BE151=1,INT(N(H151))&lt;=Config!$B$7,DA151=1),1,0)</f>
        <v>0</v>
      </c>
      <c r="DJ151" s="23" t="n">
        <f aca="false">IF(AND(BE151=1,INT(N(H151))&lt;=Config!$B$8,DB151=1),1,0)</f>
        <v>0</v>
      </c>
      <c r="DK151" s="23" t="n">
        <f aca="false">IF(AND(BE151=1,INT(N(H151))&lt;=Config!$B$5,DC151=1),1,0)</f>
        <v>0</v>
      </c>
      <c r="DL151" s="23" t="n">
        <f aca="false">IF(AND(BC151=1,INT(N(H151))&lt;=Config!$B$6,CZ151=0),1,0)</f>
        <v>0</v>
      </c>
      <c r="DM151" s="23" t="n">
        <f aca="false">IF(AND(BC151=1,INT(N(H151))&lt;=Config!$B$7,DA151=0),1,0)</f>
        <v>0</v>
      </c>
      <c r="DN151" s="23" t="n">
        <f aca="false">IF(AND(BC151=1,INT(N(H151))&lt;=Config!$B$8,DB151=0),1,0)</f>
        <v>0</v>
      </c>
      <c r="DO151" s="23" t="n">
        <f aca="false">IF(AND(BC151=1,INT(N(H151))&lt;=Config!$B$5,DC151=0),1,0)</f>
        <v>0</v>
      </c>
      <c r="DP151" s="23" t="n">
        <f aca="false">IF(TRIM($A151)="",0,ISTEXT(K151)+ISTEXT(L151)+ISTEXT(R151)+ISTEXT(V151)+ISTEXT(AP151)+ISTEXT(AS151))</f>
        <v>0</v>
      </c>
      <c r="DQ151" s="23" t="n">
        <f aca="false">IF(AY151=1,IF(H151&lt;&gt;INT(H151),1,0),0)</f>
        <v>0</v>
      </c>
      <c r="DR151" s="23" t="str">
        <f aca="false">IF(TRIM($A151)="","",IF(TRIM(B151)="",SUBSTITUTE(SUBSTITUTE(SUBSTITUTE(SUBSTITUTE(SUBSTITUTE(SUBSTITUTE(LOWER(TRIM($A151)),"~",""),"*",""),"?",""),"&lt;",""),"&gt;",""),"=",""),SUBSTITUTE(SUBSTITUTE(SUBSTITUTE(SUBSTITUTE(SUBSTITUTE(SUBSTITUTE(LOWER(TRIM(B151)),"~",""),"*",""),"?",""),"&lt;",""),"&gt;",""),"=","")))</f>
        <v/>
      </c>
      <c r="DS151" s="23" t="str">
        <f aca="false">IF(CM151="","",IFERROR(IF(LEFT(LOWER(TRIM(INDEX(Clay_Brands!$A$2:$FZ$601,CM151,Sync!$D$19)&amp;"")),4)="grp-",SUBSTITUTE(SUBSTITUTE(SUBSTITUTE(SUBSTITUTE(SUBSTITUTE(SUBSTITUTE(LOWER(TRIM(INDEX(Clay_Brands!$A$2:$FZ$601,CM151,Sync!$D$19)&amp;"")),"~",""),"*",""),"?",""),"&lt;",""),"&gt;",""),"=",""),""),""))</f>
        <v/>
      </c>
      <c r="DT151" s="23" t="str">
        <f aca="false">IF(DS151&lt;&gt;"",DR151,"")</f>
        <v/>
      </c>
      <c r="DU151" s="23" t="str">
        <f aca="false">IF(AZ151=1,AW151,"")</f>
        <v/>
      </c>
      <c r="DV151" s="23" t="str">
        <f aca="false">IF(TRIM($A151)="","",IFERROR(INDEX($A$2:$A$201,MATCH(AW151,$DU$2:$DU$201,0))&amp;"",$A151&amp;""))</f>
        <v/>
      </c>
      <c r="DW151" s="23" t="n">
        <f aca="false">IF(AY151=1,IF(COUNTIFS($A$2:$A$201,$A151,$AY$2:$AY$201,1,$H$2:$H$201,"&lt;"&amp;H151)+COUNTIFS($A$2:$A$201,$A151,$AY$2:$AY$201,1,$H$2:$H$201,H151,$AX$2:$AX$201,"&lt;"&amp;AX151)=0,1,0),0)</f>
        <v>0</v>
      </c>
      <c r="DX151" s="23" t="n">
        <f aca="false">IF(AZ151=1,IF(COUNTIFS($AW$2:$AW$201,AW151,$DW$2:$DW$201,1)&gt;1,1,0),0)</f>
        <v>0</v>
      </c>
    </row>
    <row r="152" customFormat="false" ht="15" hidden="false" customHeight="false" outlineLevel="0" collapsed="false">
      <c r="G152" s="32"/>
      <c r="H152" s="33"/>
      <c r="I152" s="32"/>
      <c r="O152" s="32"/>
      <c r="P152" s="32"/>
      <c r="U152" s="32"/>
      <c r="Y152" s="32"/>
      <c r="AB152" s="32"/>
      <c r="AC152" s="32"/>
      <c r="AD152" s="32"/>
      <c r="AE152" s="32"/>
      <c r="AF152" s="32"/>
      <c r="AG152" s="32"/>
      <c r="AI152" s="32"/>
      <c r="AJ152" s="32"/>
      <c r="AK152" s="32"/>
      <c r="AN152" s="32"/>
      <c r="AO152" s="32"/>
      <c r="AR152" s="32"/>
      <c r="AT152" s="32"/>
      <c r="AV152" s="34" t="str">
        <f aca="false">IF(TRIM($A152)="","",IF(AND(LEFT($A152,6)="SAMPLE",Config!$B$19&lt;&gt;"Y"),"",IF(NOT(ISNUMBER(H152)),"call_date is blank or not a date",IF(Sync!$D$5="","Clay paste is empty or has no row_id column: paste the Clay export on Clay_Brands",IF(CM152="","row_id not found in the Clay paste: add the Clay row or fix the row_id",IF(AND(ISNUMBER(CO152),CO152&gt;=1,CO152&lt;=5),"Clay status is "&amp;CN152&amp;": set call_done or later",IF(AND(BA152=1,CP152&lt;&gt;CB152),"Clay yes_in_principle should be "&amp;CB152,IF(AND(BA152=1,CQ152&lt;&gt;H152),"Clay call_date should be "&amp;TEXT(H152,"yyyy-mm-dd"),""))))))))</f>
        <v/>
      </c>
      <c r="AW152" s="23" t="str">
        <f aca="false">IF(TRIM($A152)="","",IF(TRIM(C152)&lt;&gt;"",SUBSTITUTE(SUBSTITUTE(SUBSTITUTE(SUBSTITUTE(SUBSTITUTE(SUBSTITUTE(LOWER(TRIM(C152)),"~",""),"*",""),"?",""),"&lt;",""),"&gt;",""),"=",""),IF(DS152&lt;&gt;"",DS152,IFERROR(INDEX($DS$2:$DS$201,MATCH(DR152,$DT$2:$DT$201,0)),DR152))))</f>
        <v/>
      </c>
      <c r="AX152" s="23" t="n">
        <f aca="false">ROW()</f>
        <v>152</v>
      </c>
      <c r="AY152" s="23" t="n">
        <f aca="false">IF(AND(TRIM($A152)&lt;&gt;"",ISNUMBER(H152)),IF(AND(LEFT($A152,6)="SAMPLE",Config!$B$19&lt;&gt;"Y"),0,1),0)</f>
        <v>0</v>
      </c>
      <c r="AZ152" s="23" t="n">
        <f aca="false">IF(AY152=1,IF(COUNTIFS($AW$2:$AW$201,AW152,$AY$2:$AY$201,1,$H$2:$H$201,"&lt;"&amp;H152)+COUNTIFS($AW$2:$AW$201,AW152,$AY$2:$AY$201,1,$H$2:$H$201,H152,$AX$2:$AX$201,"&lt;"&amp;AX152)=0,1,0),0)</f>
        <v>0</v>
      </c>
      <c r="BA152" s="23" t="n">
        <f aca="false">IF(AY152=1,IF(COUNTIFS($A$2:$A$201,$A152,$AY$2:$AY$201,1,$H$2:$H$201,"&gt;"&amp;H152)+COUNTIFS($A$2:$A$201,$A152,$AY$2:$AY$201,1,$H$2:$H$201,H152,$AX$2:$AX$201,"&gt;"&amp;AX152)=0,1,0),0)</f>
        <v>0</v>
      </c>
      <c r="BB152" s="23" t="n">
        <f aca="false">IF(AND(AY152=1,O152="Y",MAX(N(R152),N(V152))&gt;=Config!$B$14),1,0)</f>
        <v>0</v>
      </c>
      <c r="BC152" s="23" t="n">
        <f aca="false">IF(BB152=1,IF(COUNTIFS($AW$2:$AW$201,AW152,$BB$2:$BB$201,1,$H$2:$H$201,"&lt;"&amp;H152)+COUNTIFS($AW$2:$AW$201,AW152,$BB$2:$BB$201,1,$H$2:$H$201,H152,$AX$2:$AX$201,"&lt;"&amp;AX152)=0,1,0),0)</f>
        <v>0</v>
      </c>
      <c r="BD152" s="23" t="n">
        <f aca="false">IF(AND(AY152=1,O152="Y",ISNUMBER(R152)),IF(R152&gt;=Config!$B$14,1,0),0)</f>
        <v>0</v>
      </c>
      <c r="BE152" s="23" t="n">
        <f aca="false">IF(BD152=1,IF(COUNTIFS($AW$2:$AW$201,AW152,$BD$2:$BD$201,1,$H$2:$H$201,"&lt;"&amp;H152)+COUNTIFS($AW$2:$AW$201,AW152,$BD$2:$BD$201,1,$H$2:$H$201,H152,$AX$2:$AX$201,"&lt;"&amp;AX152)=0,1,0),0)</f>
        <v>0</v>
      </c>
      <c r="BF152" s="23" t="n">
        <f aca="false">IF(AND(AY152=1,O152&lt;&gt;"Y",MAX(N(R152),N(V152))&gt;=Config!$B$14),1,0)</f>
        <v>0</v>
      </c>
      <c r="BG152" s="23" t="n">
        <f aca="false">IF(BF152=1,IF(COUNTIFS($AW$2:$AW$201,AW152,$BF$2:$BF$201,1,$H$2:$H$201,"&lt;"&amp;H152)+COUNTIFS($AW$2:$AW$201,AW152,$BF$2:$BF$201,1,$H$2:$H$201,H152,$AX$2:$AX$201,"&lt;"&amp;AX152)=0,1,0),0)</f>
        <v>0</v>
      </c>
      <c r="BH152" s="23" t="n">
        <f aca="false">IF(AND(AY152=1,ISNUMBER(R152)),1,0)</f>
        <v>0</v>
      </c>
      <c r="BI152" s="23" t="n">
        <f aca="false">IF(BH152=1,IF(COUNTIFS($AW$2:$AW$201,AW152,$BH$2:$BH$201,1,$H$2:$H$201,"&lt;"&amp;H152)+COUNTIFS($AW$2:$AW$201,AW152,$BH$2:$BH$201,1,$H$2:$H$201,H152,$AX$2:$AX$201,"&lt;"&amp;AX152)=0,1,0),0)</f>
        <v>0</v>
      </c>
      <c r="BJ152" s="23" t="str">
        <f aca="false">IF(AND(BI152=1,INT(N(H152))&lt;=Config!$B$6),R152,"")</f>
        <v/>
      </c>
      <c r="BK152" s="23" t="str">
        <f aca="false">IF(AND(BI152=1,INT(N(H152))&lt;=Config!$B$7),R152,"")</f>
        <v/>
      </c>
      <c r="BL152" s="23" t="str">
        <f aca="false">IF(AND(BI152=1,INT(N(H152))&lt;=Config!$B$8),R152,"")</f>
        <v/>
      </c>
      <c r="BM152" s="23" t="str">
        <f aca="false">IF(AND(BI152=1,INT(N(H152))&lt;=Config!$B$5),R152,"")</f>
        <v/>
      </c>
      <c r="BN152" s="23" t="n">
        <f aca="false">IF(AND(AY152=1,ISNUMBER(V152)),1,0)</f>
        <v>0</v>
      </c>
      <c r="BO152" s="23" t="n">
        <f aca="false">IF(BN152=1,IF(COUNTIFS($AW$2:$AW$201,AW152,$BN$2:$BN$201,1,$H$2:$H$201,"&lt;"&amp;H152)+COUNTIFS($AW$2:$AW$201,AW152,$BN$2:$BN$201,1,$H$2:$H$201,H152,$AX$2:$AX$201,"&lt;"&amp;AX152)=0,1,0),0)</f>
        <v>0</v>
      </c>
      <c r="BP152" s="23" t="str">
        <f aca="false">IF(AND(BO152=1,INT(N(H152))&lt;=Config!$B$6),V152,"")</f>
        <v/>
      </c>
      <c r="BQ152" s="23" t="str">
        <f aca="false">IF(AND(BO152=1,INT(N(H152))&lt;=Config!$B$7),V152,"")</f>
        <v/>
      </c>
      <c r="BR152" s="23" t="str">
        <f aca="false">IF(AND(BO152=1,INT(N(H152))&lt;=Config!$B$8),V152,"")</f>
        <v/>
      </c>
      <c r="BS152" s="23" t="str">
        <f aca="false">IF(AND(BO152=1,INT(N(H152))&lt;=Config!$B$5),V152,"")</f>
        <v/>
      </c>
      <c r="BT152" s="23" t="n">
        <f aca="false">IF(AND(AY152=1,ISNUMBER(K152)),1,0)</f>
        <v>0</v>
      </c>
      <c r="BU152" s="23" t="n">
        <f aca="false">IF(BT152=1,IF(COUNTIFS($AW$2:$AW$201,AW152,$BT$2:$BT$201,1,$H$2:$H$201,"&lt;"&amp;H152)+COUNTIFS($AW$2:$AW$201,AW152,$BT$2:$BT$201,1,$H$2:$H$201,H152,$AX$2:$AX$201,"&lt;"&amp;AX152)=0,1,0),0)</f>
        <v>0</v>
      </c>
      <c r="BV152" s="23" t="str">
        <f aca="false">IF(AND(BU152=1,INT(N(H152))&lt;=Config!$B$5),K152,"")</f>
        <v/>
      </c>
      <c r="BW152" s="23" t="n">
        <f aca="false">IF(AND(AY152=1,OR(AND(ISNUMBER(R152),TRIM(S152)=""),AND(ISNUMBER(V152),TRIM(W152)=""))),1,0)</f>
        <v>0</v>
      </c>
      <c r="BX152" s="23" t="str">
        <f aca="false">IF(AY152=1,AJ152&amp;"","")</f>
        <v/>
      </c>
      <c r="BY152" s="23" t="str">
        <f aca="false">IF(AY152=1,AK152&amp;"","")</f>
        <v/>
      </c>
      <c r="BZ152" s="23" t="str">
        <f aca="false">IF(AY152=1,AL152&amp;"","")</f>
        <v/>
      </c>
      <c r="CA152" s="23" t="str">
        <f aca="false">IF(AND(AY152=1,ISNUMBER(AS152),INT(N(H152))&lt;=Config!$B$5),AS152,"")</f>
        <v/>
      </c>
      <c r="CB152" s="23" t="str">
        <f aca="false">IF(AY152=1,IF(COUNTIFS($A$2:$A$201,$A152,$CU$2:$CU$201,1,$AN$2:$AN$201,"Y")&gt;0,"Y","N"),"")</f>
        <v/>
      </c>
      <c r="CC152" s="23" t="n">
        <f aca="false">IF(AND(AY152=1,AN152="Y"),IF(COUNTIFS($AW$2:$AW$201,AW152,$AN$2:$AN$201,"Y",$AY$2:$AY$201,1,$H$2:$H$201,"&lt;"&amp;H152)+COUNTIFS($AW$2:$AW$201,AW152,$AN$2:$AN$201,"Y",$AY$2:$AY$201,1,$H$2:$H$201,H152,$AX$2:$AX$201,"&lt;"&amp;AX152)=0,1,0),0)</f>
        <v>0</v>
      </c>
      <c r="CD152" s="23" t="n">
        <f aca="false">IF(AND(AY152=1,AB152="Y",AC152="Y",AD152="Y",AE152="Y",AF152="Y",AG152="Y",AI152="Y",TRIM(AH152)&lt;&gt;""),1,0)</f>
        <v>0</v>
      </c>
      <c r="CE152" s="23" t="n">
        <f aca="false">IF(CD152=1,IF(COUNTIFS($AW$2:$AW$201,AW152,$CD$2:$CD$201,1,$H$2:$H$201,"&lt;"&amp;H152)+COUNTIFS($AW$2:$AW$201,AW152,$CD$2:$CD$201,1,$H$2:$H$201,H152,$AX$2:$AX$201,"&lt;"&amp;AX152)=0,1,0),0)</f>
        <v>0</v>
      </c>
      <c r="CF152" s="23" t="n">
        <f aca="false">IF(AND(AY152=1,AO152="Y"),1,0)</f>
        <v>0</v>
      </c>
      <c r="CG152" s="23" t="n">
        <f aca="false">IF(CF152=1,IF(COUNTIFS($AW$2:$AW$201,AW152,$CF$2:$CF$201,1,$H$2:$H$201,"&lt;"&amp;H152)+COUNTIFS($AW$2:$AW$201,AW152,$CF$2:$CF$201,1,$H$2:$H$201,H152,$AX$2:$AX$201,"&lt;"&amp;AX152)=0,1,0),0)</f>
        <v>0</v>
      </c>
      <c r="CH152" s="23" t="n">
        <f aca="false">IF(AND(AY152=1,P152="Y"),1,0)</f>
        <v>0</v>
      </c>
      <c r="CI152" s="23" t="n">
        <f aca="false">IF(CH152=1,IF(COUNTIFS($AW$2:$AW$201,AW152,$CH$2:$CH$201,1,$H$2:$H$201,"&lt;"&amp;H152)+COUNTIFS($AW$2:$AW$201,AW152,$CH$2:$CH$201,1,$H$2:$H$201,H152,$AX$2:$AX$201,"&lt;"&amp;AX152)=0,1,0),0)</f>
        <v>0</v>
      </c>
      <c r="CJ152" s="23" t="str">
        <f aca="false">IF(AND(BU152=1,INT(N(H152))&lt;=Config!$B$5),L152,"")</f>
        <v/>
      </c>
      <c r="CK152" s="23" t="n">
        <f aca="false">IF(AND(AY152=1,AR152="Y"),1,0)</f>
        <v>0</v>
      </c>
      <c r="CL152" s="23" t="n">
        <f aca="false">IF(CK152=1,IF(COUNTIFS($AW$2:$AW$201,AW152,$CK$2:$CK$201,1,$H$2:$H$201,"&lt;"&amp;H152)+COUNTIFS($AW$2:$AW$201,AW152,$CK$2:$CK$201,1,$H$2:$H$201,H152,$AX$2:$AX$201,"&lt;"&amp;AX152)=0,1,0),0)</f>
        <v>0</v>
      </c>
      <c r="CM152" s="23" t="str">
        <f aca="false">IF(AY152=1,IFERROR(MATCH($A152,INDEX(Clay_Brands!$A$2:$FZ$601,0,Sync!$D$5),0),""),"")</f>
        <v/>
      </c>
      <c r="CN152" s="23" t="str">
        <f aca="false">IF(CM152="","",IFERROR(INDEX(Clay_Brands!$A$2:$FZ$601,CM152,Sync!$D$7)&amp;"",""))</f>
        <v/>
      </c>
      <c r="CO152" s="23" t="str">
        <f aca="false">IF(CN152="","",IFERROR(INDEX(Lists!$K$2:$K$15,MATCH(CN152,Lists!$J$2:$J$15,0)),""))</f>
        <v/>
      </c>
      <c r="CP152" s="23" t="str">
        <f aca="false">IF(CM152="","",IFERROR(INDEX(Clay_Brands!$A$2:$FZ$601,CM152,Sync!$D$17)&amp;"",""))</f>
        <v/>
      </c>
      <c r="CQ152" s="35" t="str">
        <f aca="false">IF(CM152="","",IFERROR(N(INDEX(Clay_Brands!$A$2:$FZ$601,CM152,Sync!$D$16)),0))</f>
        <v/>
      </c>
      <c r="CR152" s="23" t="n">
        <f aca="false">IF(AND(AY152=1,OR(O152="N",AND(OR(ISNUMBER(R152),ISNUMBER(V152)),MAX(N(R152),N(V152))&lt;Config!$B$14))),1,0)</f>
        <v>0</v>
      </c>
      <c r="CS152" s="23" t="n">
        <f aca="false">IF(OR(BB152=1,CR152=1),1,0)</f>
        <v>0</v>
      </c>
      <c r="CT152" s="23" t="n">
        <f aca="false">IF(AND(AY152=1,OR(AN152="Y",AN152="N",AN152="maybe")),1,0)</f>
        <v>0</v>
      </c>
      <c r="CU152" s="23" t="n">
        <f aca="false">IF(AND(CT152=1),IF(COUNTIFS($A$2:$A$201,$A152,$CT$2:$CT$201,1,$H$2:$H$201,"&gt;"&amp;H152)+COUNTIFS($A$2:$A$201,$A152,$CT$2:$CT$201,1,$H$2:$H$201,H152,$AX$2:$AX$201,"&gt;"&amp;AX152)=0,1,0),0)</f>
        <v>0</v>
      </c>
      <c r="CV152" s="23" t="n">
        <f aca="false">IF(AND(CS152=1,INT(N(H152))&lt;=Config!$B$6),IF(COUNTIFS($AW$2:$AW$201,AW152,$CS$2:$CS$201,1,$H$2:$H$201,"&gt;"&amp;H152,$H$2:$H$201,"&lt;"&amp;(Config!$B$6+1))+COUNTIFS($AW$2:$AW$201,AW152,$CS$2:$CS$201,1,$H$2:$H$201,H152,$AX$2:$AX$201,"&gt;"&amp;AX152)=0,1,0),0)</f>
        <v>0</v>
      </c>
      <c r="CW152" s="23" t="n">
        <f aca="false">IF(AND(CS152=1,INT(N(H152))&lt;=Config!$B$7),IF(COUNTIFS($AW$2:$AW$201,AW152,$CS$2:$CS$201,1,$H$2:$H$201,"&gt;"&amp;H152,$H$2:$H$201,"&lt;"&amp;(Config!$B$7+1))+COUNTIFS($AW$2:$AW$201,AW152,$CS$2:$CS$201,1,$H$2:$H$201,H152,$AX$2:$AX$201,"&gt;"&amp;AX152)=0,1,0),0)</f>
        <v>0</v>
      </c>
      <c r="CX152" s="23" t="n">
        <f aca="false">IF(AND(CS152=1,INT(N(H152))&lt;=Config!$B$8),IF(COUNTIFS($AW$2:$AW$201,AW152,$CS$2:$CS$201,1,$H$2:$H$201,"&gt;"&amp;H152,$H$2:$H$201,"&lt;"&amp;(Config!$B$8+1))+COUNTIFS($AW$2:$AW$201,AW152,$CS$2:$CS$201,1,$H$2:$H$201,H152,$AX$2:$AX$201,"&gt;"&amp;AX152)=0,1,0),0)</f>
        <v>0</v>
      </c>
      <c r="CY152" s="23" t="n">
        <f aca="false">IF(AND(CS152=1,INT(N(H152))&lt;=Config!$B$5),IF(COUNTIFS($AW$2:$AW$201,AW152,$CS$2:$CS$201,1,$H$2:$H$201,"&gt;"&amp;H152,$H$2:$H$201,"&lt;"&amp;(Config!$B$5+1))+COUNTIFS($AW$2:$AW$201,AW152,$CS$2:$CS$201,1,$H$2:$H$201,H152,$AX$2:$AX$201,"&gt;"&amp;AX152)=0,1,0),0)</f>
        <v>0</v>
      </c>
      <c r="CZ152" s="23" t="n">
        <f aca="false">IF(AY152=1,IF(COUNTIFS($AW$2:$AW$201,AW152,$CV$2:$CV$201,1,$BB$2:$BB$201,1)&gt;0,1,0),0)</f>
        <v>0</v>
      </c>
      <c r="DA152" s="23" t="n">
        <f aca="false">IF(AY152=1,IF(COUNTIFS($AW$2:$AW$201,AW152,$CW$2:$CW$201,1,$BB$2:$BB$201,1)&gt;0,1,0),0)</f>
        <v>0</v>
      </c>
      <c r="DB152" s="23" t="n">
        <f aca="false">IF(AY152=1,IF(COUNTIFS($AW$2:$AW$201,AW152,$CX$2:$CX$201,1,$BB$2:$BB$201,1)&gt;0,1,0),0)</f>
        <v>0</v>
      </c>
      <c r="DC152" s="23" t="n">
        <f aca="false">IF(AY152=1,IF(COUNTIFS($AW$2:$AW$201,AW152,$CY$2:$CY$201,1,$BB$2:$BB$201,1)&gt;0,1,0),0)</f>
        <v>0</v>
      </c>
      <c r="DD152" s="23" t="n">
        <f aca="false">IF(AND(BC152=1,INT(N(H152))&lt;=Config!$B$6,CZ152=1),1,0)</f>
        <v>0</v>
      </c>
      <c r="DE152" s="23" t="n">
        <f aca="false">IF(AND(BC152=1,INT(N(H152))&lt;=Config!$B$7,DA152=1),1,0)</f>
        <v>0</v>
      </c>
      <c r="DF152" s="23" t="n">
        <f aca="false">IF(AND(BC152=1,INT(N(H152))&lt;=Config!$B$8,DB152=1),1,0)</f>
        <v>0</v>
      </c>
      <c r="DG152" s="23" t="n">
        <f aca="false">IF(AND(BC152=1,INT(N(H152))&lt;=Config!$B$5,DC152=1),1,0)</f>
        <v>0</v>
      </c>
      <c r="DH152" s="23" t="n">
        <f aca="false">IF(AND(BE152=1,INT(N(H152))&lt;=Config!$B$6,CZ152=1),1,0)</f>
        <v>0</v>
      </c>
      <c r="DI152" s="23" t="n">
        <f aca="false">IF(AND(BE152=1,INT(N(H152))&lt;=Config!$B$7,DA152=1),1,0)</f>
        <v>0</v>
      </c>
      <c r="DJ152" s="23" t="n">
        <f aca="false">IF(AND(BE152=1,INT(N(H152))&lt;=Config!$B$8,DB152=1),1,0)</f>
        <v>0</v>
      </c>
      <c r="DK152" s="23" t="n">
        <f aca="false">IF(AND(BE152=1,INT(N(H152))&lt;=Config!$B$5,DC152=1),1,0)</f>
        <v>0</v>
      </c>
      <c r="DL152" s="23" t="n">
        <f aca="false">IF(AND(BC152=1,INT(N(H152))&lt;=Config!$B$6,CZ152=0),1,0)</f>
        <v>0</v>
      </c>
      <c r="DM152" s="23" t="n">
        <f aca="false">IF(AND(BC152=1,INT(N(H152))&lt;=Config!$B$7,DA152=0),1,0)</f>
        <v>0</v>
      </c>
      <c r="DN152" s="23" t="n">
        <f aca="false">IF(AND(BC152=1,INT(N(H152))&lt;=Config!$B$8,DB152=0),1,0)</f>
        <v>0</v>
      </c>
      <c r="DO152" s="23" t="n">
        <f aca="false">IF(AND(BC152=1,INT(N(H152))&lt;=Config!$B$5,DC152=0),1,0)</f>
        <v>0</v>
      </c>
      <c r="DP152" s="23" t="n">
        <f aca="false">IF(TRIM($A152)="",0,ISTEXT(K152)+ISTEXT(L152)+ISTEXT(R152)+ISTEXT(V152)+ISTEXT(AP152)+ISTEXT(AS152))</f>
        <v>0</v>
      </c>
      <c r="DQ152" s="23" t="n">
        <f aca="false">IF(AY152=1,IF(H152&lt;&gt;INT(H152),1,0),0)</f>
        <v>0</v>
      </c>
      <c r="DR152" s="23" t="str">
        <f aca="false">IF(TRIM($A152)="","",IF(TRIM(B152)="",SUBSTITUTE(SUBSTITUTE(SUBSTITUTE(SUBSTITUTE(SUBSTITUTE(SUBSTITUTE(LOWER(TRIM($A152)),"~",""),"*",""),"?",""),"&lt;",""),"&gt;",""),"=",""),SUBSTITUTE(SUBSTITUTE(SUBSTITUTE(SUBSTITUTE(SUBSTITUTE(SUBSTITUTE(LOWER(TRIM(B152)),"~",""),"*",""),"?",""),"&lt;",""),"&gt;",""),"=","")))</f>
        <v/>
      </c>
      <c r="DS152" s="23" t="str">
        <f aca="false">IF(CM152="","",IFERROR(IF(LEFT(LOWER(TRIM(INDEX(Clay_Brands!$A$2:$FZ$601,CM152,Sync!$D$19)&amp;"")),4)="grp-",SUBSTITUTE(SUBSTITUTE(SUBSTITUTE(SUBSTITUTE(SUBSTITUTE(SUBSTITUTE(LOWER(TRIM(INDEX(Clay_Brands!$A$2:$FZ$601,CM152,Sync!$D$19)&amp;"")),"~",""),"*",""),"?",""),"&lt;",""),"&gt;",""),"=",""),""),""))</f>
        <v/>
      </c>
      <c r="DT152" s="23" t="str">
        <f aca="false">IF(DS152&lt;&gt;"",DR152,"")</f>
        <v/>
      </c>
      <c r="DU152" s="23" t="str">
        <f aca="false">IF(AZ152=1,AW152,"")</f>
        <v/>
      </c>
      <c r="DV152" s="23" t="str">
        <f aca="false">IF(TRIM($A152)="","",IFERROR(INDEX($A$2:$A$201,MATCH(AW152,$DU$2:$DU$201,0))&amp;"",$A152&amp;""))</f>
        <v/>
      </c>
      <c r="DW152" s="23" t="n">
        <f aca="false">IF(AY152=1,IF(COUNTIFS($A$2:$A$201,$A152,$AY$2:$AY$201,1,$H$2:$H$201,"&lt;"&amp;H152)+COUNTIFS($A$2:$A$201,$A152,$AY$2:$AY$201,1,$H$2:$H$201,H152,$AX$2:$AX$201,"&lt;"&amp;AX152)=0,1,0),0)</f>
        <v>0</v>
      </c>
      <c r="DX152" s="23" t="n">
        <f aca="false">IF(AZ152=1,IF(COUNTIFS($AW$2:$AW$201,AW152,$DW$2:$DW$201,1)&gt;1,1,0),0)</f>
        <v>0</v>
      </c>
    </row>
    <row r="153" customFormat="false" ht="15" hidden="false" customHeight="false" outlineLevel="0" collapsed="false">
      <c r="G153" s="32"/>
      <c r="H153" s="33"/>
      <c r="I153" s="32"/>
      <c r="O153" s="32"/>
      <c r="P153" s="32"/>
      <c r="U153" s="32"/>
      <c r="Y153" s="32"/>
      <c r="AB153" s="32"/>
      <c r="AC153" s="32"/>
      <c r="AD153" s="32"/>
      <c r="AE153" s="32"/>
      <c r="AF153" s="32"/>
      <c r="AG153" s="32"/>
      <c r="AI153" s="32"/>
      <c r="AJ153" s="32"/>
      <c r="AK153" s="32"/>
      <c r="AN153" s="32"/>
      <c r="AO153" s="32"/>
      <c r="AR153" s="32"/>
      <c r="AT153" s="32"/>
      <c r="AV153" s="34" t="str">
        <f aca="false">IF(TRIM($A153)="","",IF(AND(LEFT($A153,6)="SAMPLE",Config!$B$19&lt;&gt;"Y"),"",IF(NOT(ISNUMBER(H153)),"call_date is blank or not a date",IF(Sync!$D$5="","Clay paste is empty or has no row_id column: paste the Clay export on Clay_Brands",IF(CM153="","row_id not found in the Clay paste: add the Clay row or fix the row_id",IF(AND(ISNUMBER(CO153),CO153&gt;=1,CO153&lt;=5),"Clay status is "&amp;CN153&amp;": set call_done or later",IF(AND(BA153=1,CP153&lt;&gt;CB153),"Clay yes_in_principle should be "&amp;CB153,IF(AND(BA153=1,CQ153&lt;&gt;H153),"Clay call_date should be "&amp;TEXT(H153,"yyyy-mm-dd"),""))))))))</f>
        <v/>
      </c>
      <c r="AW153" s="23" t="str">
        <f aca="false">IF(TRIM($A153)="","",IF(TRIM(C153)&lt;&gt;"",SUBSTITUTE(SUBSTITUTE(SUBSTITUTE(SUBSTITUTE(SUBSTITUTE(SUBSTITUTE(LOWER(TRIM(C153)),"~",""),"*",""),"?",""),"&lt;",""),"&gt;",""),"=",""),IF(DS153&lt;&gt;"",DS153,IFERROR(INDEX($DS$2:$DS$201,MATCH(DR153,$DT$2:$DT$201,0)),DR153))))</f>
        <v/>
      </c>
      <c r="AX153" s="23" t="n">
        <f aca="false">ROW()</f>
        <v>153</v>
      </c>
      <c r="AY153" s="23" t="n">
        <f aca="false">IF(AND(TRIM($A153)&lt;&gt;"",ISNUMBER(H153)),IF(AND(LEFT($A153,6)="SAMPLE",Config!$B$19&lt;&gt;"Y"),0,1),0)</f>
        <v>0</v>
      </c>
      <c r="AZ153" s="23" t="n">
        <f aca="false">IF(AY153=1,IF(COUNTIFS($AW$2:$AW$201,AW153,$AY$2:$AY$201,1,$H$2:$H$201,"&lt;"&amp;H153)+COUNTIFS($AW$2:$AW$201,AW153,$AY$2:$AY$201,1,$H$2:$H$201,H153,$AX$2:$AX$201,"&lt;"&amp;AX153)=0,1,0),0)</f>
        <v>0</v>
      </c>
      <c r="BA153" s="23" t="n">
        <f aca="false">IF(AY153=1,IF(COUNTIFS($A$2:$A$201,$A153,$AY$2:$AY$201,1,$H$2:$H$201,"&gt;"&amp;H153)+COUNTIFS($A$2:$A$201,$A153,$AY$2:$AY$201,1,$H$2:$H$201,H153,$AX$2:$AX$201,"&gt;"&amp;AX153)=0,1,0),0)</f>
        <v>0</v>
      </c>
      <c r="BB153" s="23" t="n">
        <f aca="false">IF(AND(AY153=1,O153="Y",MAX(N(R153),N(V153))&gt;=Config!$B$14),1,0)</f>
        <v>0</v>
      </c>
      <c r="BC153" s="23" t="n">
        <f aca="false">IF(BB153=1,IF(COUNTIFS($AW$2:$AW$201,AW153,$BB$2:$BB$201,1,$H$2:$H$201,"&lt;"&amp;H153)+COUNTIFS($AW$2:$AW$201,AW153,$BB$2:$BB$201,1,$H$2:$H$201,H153,$AX$2:$AX$201,"&lt;"&amp;AX153)=0,1,0),0)</f>
        <v>0</v>
      </c>
      <c r="BD153" s="23" t="n">
        <f aca="false">IF(AND(AY153=1,O153="Y",ISNUMBER(R153)),IF(R153&gt;=Config!$B$14,1,0),0)</f>
        <v>0</v>
      </c>
      <c r="BE153" s="23" t="n">
        <f aca="false">IF(BD153=1,IF(COUNTIFS($AW$2:$AW$201,AW153,$BD$2:$BD$201,1,$H$2:$H$201,"&lt;"&amp;H153)+COUNTIFS($AW$2:$AW$201,AW153,$BD$2:$BD$201,1,$H$2:$H$201,H153,$AX$2:$AX$201,"&lt;"&amp;AX153)=0,1,0),0)</f>
        <v>0</v>
      </c>
      <c r="BF153" s="23" t="n">
        <f aca="false">IF(AND(AY153=1,O153&lt;&gt;"Y",MAX(N(R153),N(V153))&gt;=Config!$B$14),1,0)</f>
        <v>0</v>
      </c>
      <c r="BG153" s="23" t="n">
        <f aca="false">IF(BF153=1,IF(COUNTIFS($AW$2:$AW$201,AW153,$BF$2:$BF$201,1,$H$2:$H$201,"&lt;"&amp;H153)+COUNTIFS($AW$2:$AW$201,AW153,$BF$2:$BF$201,1,$H$2:$H$201,H153,$AX$2:$AX$201,"&lt;"&amp;AX153)=0,1,0),0)</f>
        <v>0</v>
      </c>
      <c r="BH153" s="23" t="n">
        <f aca="false">IF(AND(AY153=1,ISNUMBER(R153)),1,0)</f>
        <v>0</v>
      </c>
      <c r="BI153" s="23" t="n">
        <f aca="false">IF(BH153=1,IF(COUNTIFS($AW$2:$AW$201,AW153,$BH$2:$BH$201,1,$H$2:$H$201,"&lt;"&amp;H153)+COUNTIFS($AW$2:$AW$201,AW153,$BH$2:$BH$201,1,$H$2:$H$201,H153,$AX$2:$AX$201,"&lt;"&amp;AX153)=0,1,0),0)</f>
        <v>0</v>
      </c>
      <c r="BJ153" s="23" t="str">
        <f aca="false">IF(AND(BI153=1,INT(N(H153))&lt;=Config!$B$6),R153,"")</f>
        <v/>
      </c>
      <c r="BK153" s="23" t="str">
        <f aca="false">IF(AND(BI153=1,INT(N(H153))&lt;=Config!$B$7),R153,"")</f>
        <v/>
      </c>
      <c r="BL153" s="23" t="str">
        <f aca="false">IF(AND(BI153=1,INT(N(H153))&lt;=Config!$B$8),R153,"")</f>
        <v/>
      </c>
      <c r="BM153" s="23" t="str">
        <f aca="false">IF(AND(BI153=1,INT(N(H153))&lt;=Config!$B$5),R153,"")</f>
        <v/>
      </c>
      <c r="BN153" s="23" t="n">
        <f aca="false">IF(AND(AY153=1,ISNUMBER(V153)),1,0)</f>
        <v>0</v>
      </c>
      <c r="BO153" s="23" t="n">
        <f aca="false">IF(BN153=1,IF(COUNTIFS($AW$2:$AW$201,AW153,$BN$2:$BN$201,1,$H$2:$H$201,"&lt;"&amp;H153)+COUNTIFS($AW$2:$AW$201,AW153,$BN$2:$BN$201,1,$H$2:$H$201,H153,$AX$2:$AX$201,"&lt;"&amp;AX153)=0,1,0),0)</f>
        <v>0</v>
      </c>
      <c r="BP153" s="23" t="str">
        <f aca="false">IF(AND(BO153=1,INT(N(H153))&lt;=Config!$B$6),V153,"")</f>
        <v/>
      </c>
      <c r="BQ153" s="23" t="str">
        <f aca="false">IF(AND(BO153=1,INT(N(H153))&lt;=Config!$B$7),V153,"")</f>
        <v/>
      </c>
      <c r="BR153" s="23" t="str">
        <f aca="false">IF(AND(BO153=1,INT(N(H153))&lt;=Config!$B$8),V153,"")</f>
        <v/>
      </c>
      <c r="BS153" s="23" t="str">
        <f aca="false">IF(AND(BO153=1,INT(N(H153))&lt;=Config!$B$5),V153,"")</f>
        <v/>
      </c>
      <c r="BT153" s="23" t="n">
        <f aca="false">IF(AND(AY153=1,ISNUMBER(K153)),1,0)</f>
        <v>0</v>
      </c>
      <c r="BU153" s="23" t="n">
        <f aca="false">IF(BT153=1,IF(COUNTIFS($AW$2:$AW$201,AW153,$BT$2:$BT$201,1,$H$2:$H$201,"&lt;"&amp;H153)+COUNTIFS($AW$2:$AW$201,AW153,$BT$2:$BT$201,1,$H$2:$H$201,H153,$AX$2:$AX$201,"&lt;"&amp;AX153)=0,1,0),0)</f>
        <v>0</v>
      </c>
      <c r="BV153" s="23" t="str">
        <f aca="false">IF(AND(BU153=1,INT(N(H153))&lt;=Config!$B$5),K153,"")</f>
        <v/>
      </c>
      <c r="BW153" s="23" t="n">
        <f aca="false">IF(AND(AY153=1,OR(AND(ISNUMBER(R153),TRIM(S153)=""),AND(ISNUMBER(V153),TRIM(W153)=""))),1,0)</f>
        <v>0</v>
      </c>
      <c r="BX153" s="23" t="str">
        <f aca="false">IF(AY153=1,AJ153&amp;"","")</f>
        <v/>
      </c>
      <c r="BY153" s="23" t="str">
        <f aca="false">IF(AY153=1,AK153&amp;"","")</f>
        <v/>
      </c>
      <c r="BZ153" s="23" t="str">
        <f aca="false">IF(AY153=1,AL153&amp;"","")</f>
        <v/>
      </c>
      <c r="CA153" s="23" t="str">
        <f aca="false">IF(AND(AY153=1,ISNUMBER(AS153),INT(N(H153))&lt;=Config!$B$5),AS153,"")</f>
        <v/>
      </c>
      <c r="CB153" s="23" t="str">
        <f aca="false">IF(AY153=1,IF(COUNTIFS($A$2:$A$201,$A153,$CU$2:$CU$201,1,$AN$2:$AN$201,"Y")&gt;0,"Y","N"),"")</f>
        <v/>
      </c>
      <c r="CC153" s="23" t="n">
        <f aca="false">IF(AND(AY153=1,AN153="Y"),IF(COUNTIFS($AW$2:$AW$201,AW153,$AN$2:$AN$201,"Y",$AY$2:$AY$201,1,$H$2:$H$201,"&lt;"&amp;H153)+COUNTIFS($AW$2:$AW$201,AW153,$AN$2:$AN$201,"Y",$AY$2:$AY$201,1,$H$2:$H$201,H153,$AX$2:$AX$201,"&lt;"&amp;AX153)=0,1,0),0)</f>
        <v>0</v>
      </c>
      <c r="CD153" s="23" t="n">
        <f aca="false">IF(AND(AY153=1,AB153="Y",AC153="Y",AD153="Y",AE153="Y",AF153="Y",AG153="Y",AI153="Y",TRIM(AH153)&lt;&gt;""),1,0)</f>
        <v>0</v>
      </c>
      <c r="CE153" s="23" t="n">
        <f aca="false">IF(CD153=1,IF(COUNTIFS($AW$2:$AW$201,AW153,$CD$2:$CD$201,1,$H$2:$H$201,"&lt;"&amp;H153)+COUNTIFS($AW$2:$AW$201,AW153,$CD$2:$CD$201,1,$H$2:$H$201,H153,$AX$2:$AX$201,"&lt;"&amp;AX153)=0,1,0),0)</f>
        <v>0</v>
      </c>
      <c r="CF153" s="23" t="n">
        <f aca="false">IF(AND(AY153=1,AO153="Y"),1,0)</f>
        <v>0</v>
      </c>
      <c r="CG153" s="23" t="n">
        <f aca="false">IF(CF153=1,IF(COUNTIFS($AW$2:$AW$201,AW153,$CF$2:$CF$201,1,$H$2:$H$201,"&lt;"&amp;H153)+COUNTIFS($AW$2:$AW$201,AW153,$CF$2:$CF$201,1,$H$2:$H$201,H153,$AX$2:$AX$201,"&lt;"&amp;AX153)=0,1,0),0)</f>
        <v>0</v>
      </c>
      <c r="CH153" s="23" t="n">
        <f aca="false">IF(AND(AY153=1,P153="Y"),1,0)</f>
        <v>0</v>
      </c>
      <c r="CI153" s="23" t="n">
        <f aca="false">IF(CH153=1,IF(COUNTIFS($AW$2:$AW$201,AW153,$CH$2:$CH$201,1,$H$2:$H$201,"&lt;"&amp;H153)+COUNTIFS($AW$2:$AW$201,AW153,$CH$2:$CH$201,1,$H$2:$H$201,H153,$AX$2:$AX$201,"&lt;"&amp;AX153)=0,1,0),0)</f>
        <v>0</v>
      </c>
      <c r="CJ153" s="23" t="str">
        <f aca="false">IF(AND(BU153=1,INT(N(H153))&lt;=Config!$B$5),L153,"")</f>
        <v/>
      </c>
      <c r="CK153" s="23" t="n">
        <f aca="false">IF(AND(AY153=1,AR153="Y"),1,0)</f>
        <v>0</v>
      </c>
      <c r="CL153" s="23" t="n">
        <f aca="false">IF(CK153=1,IF(COUNTIFS($AW$2:$AW$201,AW153,$CK$2:$CK$201,1,$H$2:$H$201,"&lt;"&amp;H153)+COUNTIFS($AW$2:$AW$201,AW153,$CK$2:$CK$201,1,$H$2:$H$201,H153,$AX$2:$AX$201,"&lt;"&amp;AX153)=0,1,0),0)</f>
        <v>0</v>
      </c>
      <c r="CM153" s="23" t="str">
        <f aca="false">IF(AY153=1,IFERROR(MATCH($A153,INDEX(Clay_Brands!$A$2:$FZ$601,0,Sync!$D$5),0),""),"")</f>
        <v/>
      </c>
      <c r="CN153" s="23" t="str">
        <f aca="false">IF(CM153="","",IFERROR(INDEX(Clay_Brands!$A$2:$FZ$601,CM153,Sync!$D$7)&amp;"",""))</f>
        <v/>
      </c>
      <c r="CO153" s="23" t="str">
        <f aca="false">IF(CN153="","",IFERROR(INDEX(Lists!$K$2:$K$15,MATCH(CN153,Lists!$J$2:$J$15,0)),""))</f>
        <v/>
      </c>
      <c r="CP153" s="23" t="str">
        <f aca="false">IF(CM153="","",IFERROR(INDEX(Clay_Brands!$A$2:$FZ$601,CM153,Sync!$D$17)&amp;"",""))</f>
        <v/>
      </c>
      <c r="CQ153" s="35" t="str">
        <f aca="false">IF(CM153="","",IFERROR(N(INDEX(Clay_Brands!$A$2:$FZ$601,CM153,Sync!$D$16)),0))</f>
        <v/>
      </c>
      <c r="CR153" s="23" t="n">
        <f aca="false">IF(AND(AY153=1,OR(O153="N",AND(OR(ISNUMBER(R153),ISNUMBER(V153)),MAX(N(R153),N(V153))&lt;Config!$B$14))),1,0)</f>
        <v>0</v>
      </c>
      <c r="CS153" s="23" t="n">
        <f aca="false">IF(OR(BB153=1,CR153=1),1,0)</f>
        <v>0</v>
      </c>
      <c r="CT153" s="23" t="n">
        <f aca="false">IF(AND(AY153=1,OR(AN153="Y",AN153="N",AN153="maybe")),1,0)</f>
        <v>0</v>
      </c>
      <c r="CU153" s="23" t="n">
        <f aca="false">IF(AND(CT153=1),IF(COUNTIFS($A$2:$A$201,$A153,$CT$2:$CT$201,1,$H$2:$H$201,"&gt;"&amp;H153)+COUNTIFS($A$2:$A$201,$A153,$CT$2:$CT$201,1,$H$2:$H$201,H153,$AX$2:$AX$201,"&gt;"&amp;AX153)=0,1,0),0)</f>
        <v>0</v>
      </c>
      <c r="CV153" s="23" t="n">
        <f aca="false">IF(AND(CS153=1,INT(N(H153))&lt;=Config!$B$6),IF(COUNTIFS($AW$2:$AW$201,AW153,$CS$2:$CS$201,1,$H$2:$H$201,"&gt;"&amp;H153,$H$2:$H$201,"&lt;"&amp;(Config!$B$6+1))+COUNTIFS($AW$2:$AW$201,AW153,$CS$2:$CS$201,1,$H$2:$H$201,H153,$AX$2:$AX$201,"&gt;"&amp;AX153)=0,1,0),0)</f>
        <v>0</v>
      </c>
      <c r="CW153" s="23" t="n">
        <f aca="false">IF(AND(CS153=1,INT(N(H153))&lt;=Config!$B$7),IF(COUNTIFS($AW$2:$AW$201,AW153,$CS$2:$CS$201,1,$H$2:$H$201,"&gt;"&amp;H153,$H$2:$H$201,"&lt;"&amp;(Config!$B$7+1))+COUNTIFS($AW$2:$AW$201,AW153,$CS$2:$CS$201,1,$H$2:$H$201,H153,$AX$2:$AX$201,"&gt;"&amp;AX153)=0,1,0),0)</f>
        <v>0</v>
      </c>
      <c r="CX153" s="23" t="n">
        <f aca="false">IF(AND(CS153=1,INT(N(H153))&lt;=Config!$B$8),IF(COUNTIFS($AW$2:$AW$201,AW153,$CS$2:$CS$201,1,$H$2:$H$201,"&gt;"&amp;H153,$H$2:$H$201,"&lt;"&amp;(Config!$B$8+1))+COUNTIFS($AW$2:$AW$201,AW153,$CS$2:$CS$201,1,$H$2:$H$201,H153,$AX$2:$AX$201,"&gt;"&amp;AX153)=0,1,0),0)</f>
        <v>0</v>
      </c>
      <c r="CY153" s="23" t="n">
        <f aca="false">IF(AND(CS153=1,INT(N(H153))&lt;=Config!$B$5),IF(COUNTIFS($AW$2:$AW$201,AW153,$CS$2:$CS$201,1,$H$2:$H$201,"&gt;"&amp;H153,$H$2:$H$201,"&lt;"&amp;(Config!$B$5+1))+COUNTIFS($AW$2:$AW$201,AW153,$CS$2:$CS$201,1,$H$2:$H$201,H153,$AX$2:$AX$201,"&gt;"&amp;AX153)=0,1,0),0)</f>
        <v>0</v>
      </c>
      <c r="CZ153" s="23" t="n">
        <f aca="false">IF(AY153=1,IF(COUNTIFS($AW$2:$AW$201,AW153,$CV$2:$CV$201,1,$BB$2:$BB$201,1)&gt;0,1,0),0)</f>
        <v>0</v>
      </c>
      <c r="DA153" s="23" t="n">
        <f aca="false">IF(AY153=1,IF(COUNTIFS($AW$2:$AW$201,AW153,$CW$2:$CW$201,1,$BB$2:$BB$201,1)&gt;0,1,0),0)</f>
        <v>0</v>
      </c>
      <c r="DB153" s="23" t="n">
        <f aca="false">IF(AY153=1,IF(COUNTIFS($AW$2:$AW$201,AW153,$CX$2:$CX$201,1,$BB$2:$BB$201,1)&gt;0,1,0),0)</f>
        <v>0</v>
      </c>
      <c r="DC153" s="23" t="n">
        <f aca="false">IF(AY153=1,IF(COUNTIFS($AW$2:$AW$201,AW153,$CY$2:$CY$201,1,$BB$2:$BB$201,1)&gt;0,1,0),0)</f>
        <v>0</v>
      </c>
      <c r="DD153" s="23" t="n">
        <f aca="false">IF(AND(BC153=1,INT(N(H153))&lt;=Config!$B$6,CZ153=1),1,0)</f>
        <v>0</v>
      </c>
      <c r="DE153" s="23" t="n">
        <f aca="false">IF(AND(BC153=1,INT(N(H153))&lt;=Config!$B$7,DA153=1),1,0)</f>
        <v>0</v>
      </c>
      <c r="DF153" s="23" t="n">
        <f aca="false">IF(AND(BC153=1,INT(N(H153))&lt;=Config!$B$8,DB153=1),1,0)</f>
        <v>0</v>
      </c>
      <c r="DG153" s="23" t="n">
        <f aca="false">IF(AND(BC153=1,INT(N(H153))&lt;=Config!$B$5,DC153=1),1,0)</f>
        <v>0</v>
      </c>
      <c r="DH153" s="23" t="n">
        <f aca="false">IF(AND(BE153=1,INT(N(H153))&lt;=Config!$B$6,CZ153=1),1,0)</f>
        <v>0</v>
      </c>
      <c r="DI153" s="23" t="n">
        <f aca="false">IF(AND(BE153=1,INT(N(H153))&lt;=Config!$B$7,DA153=1),1,0)</f>
        <v>0</v>
      </c>
      <c r="DJ153" s="23" t="n">
        <f aca="false">IF(AND(BE153=1,INT(N(H153))&lt;=Config!$B$8,DB153=1),1,0)</f>
        <v>0</v>
      </c>
      <c r="DK153" s="23" t="n">
        <f aca="false">IF(AND(BE153=1,INT(N(H153))&lt;=Config!$B$5,DC153=1),1,0)</f>
        <v>0</v>
      </c>
      <c r="DL153" s="23" t="n">
        <f aca="false">IF(AND(BC153=1,INT(N(H153))&lt;=Config!$B$6,CZ153=0),1,0)</f>
        <v>0</v>
      </c>
      <c r="DM153" s="23" t="n">
        <f aca="false">IF(AND(BC153=1,INT(N(H153))&lt;=Config!$B$7,DA153=0),1,0)</f>
        <v>0</v>
      </c>
      <c r="DN153" s="23" t="n">
        <f aca="false">IF(AND(BC153=1,INT(N(H153))&lt;=Config!$B$8,DB153=0),1,0)</f>
        <v>0</v>
      </c>
      <c r="DO153" s="23" t="n">
        <f aca="false">IF(AND(BC153=1,INT(N(H153))&lt;=Config!$B$5,DC153=0),1,0)</f>
        <v>0</v>
      </c>
      <c r="DP153" s="23" t="n">
        <f aca="false">IF(TRIM($A153)="",0,ISTEXT(K153)+ISTEXT(L153)+ISTEXT(R153)+ISTEXT(V153)+ISTEXT(AP153)+ISTEXT(AS153))</f>
        <v>0</v>
      </c>
      <c r="DQ153" s="23" t="n">
        <f aca="false">IF(AY153=1,IF(H153&lt;&gt;INT(H153),1,0),0)</f>
        <v>0</v>
      </c>
      <c r="DR153" s="23" t="str">
        <f aca="false">IF(TRIM($A153)="","",IF(TRIM(B153)="",SUBSTITUTE(SUBSTITUTE(SUBSTITUTE(SUBSTITUTE(SUBSTITUTE(SUBSTITUTE(LOWER(TRIM($A153)),"~",""),"*",""),"?",""),"&lt;",""),"&gt;",""),"=",""),SUBSTITUTE(SUBSTITUTE(SUBSTITUTE(SUBSTITUTE(SUBSTITUTE(SUBSTITUTE(LOWER(TRIM(B153)),"~",""),"*",""),"?",""),"&lt;",""),"&gt;",""),"=","")))</f>
        <v/>
      </c>
      <c r="DS153" s="23" t="str">
        <f aca="false">IF(CM153="","",IFERROR(IF(LEFT(LOWER(TRIM(INDEX(Clay_Brands!$A$2:$FZ$601,CM153,Sync!$D$19)&amp;"")),4)="grp-",SUBSTITUTE(SUBSTITUTE(SUBSTITUTE(SUBSTITUTE(SUBSTITUTE(SUBSTITUTE(LOWER(TRIM(INDEX(Clay_Brands!$A$2:$FZ$601,CM153,Sync!$D$19)&amp;"")),"~",""),"*",""),"?",""),"&lt;",""),"&gt;",""),"=",""),""),""))</f>
        <v/>
      </c>
      <c r="DT153" s="23" t="str">
        <f aca="false">IF(DS153&lt;&gt;"",DR153,"")</f>
        <v/>
      </c>
      <c r="DU153" s="23" t="str">
        <f aca="false">IF(AZ153=1,AW153,"")</f>
        <v/>
      </c>
      <c r="DV153" s="23" t="str">
        <f aca="false">IF(TRIM($A153)="","",IFERROR(INDEX($A$2:$A$201,MATCH(AW153,$DU$2:$DU$201,0))&amp;"",$A153&amp;""))</f>
        <v/>
      </c>
      <c r="DW153" s="23" t="n">
        <f aca="false">IF(AY153=1,IF(COUNTIFS($A$2:$A$201,$A153,$AY$2:$AY$201,1,$H$2:$H$201,"&lt;"&amp;H153)+COUNTIFS($A$2:$A$201,$A153,$AY$2:$AY$201,1,$H$2:$H$201,H153,$AX$2:$AX$201,"&lt;"&amp;AX153)=0,1,0),0)</f>
        <v>0</v>
      </c>
      <c r="DX153" s="23" t="n">
        <f aca="false">IF(AZ153=1,IF(COUNTIFS($AW$2:$AW$201,AW153,$DW$2:$DW$201,1)&gt;1,1,0),0)</f>
        <v>0</v>
      </c>
    </row>
    <row r="154" customFormat="false" ht="15" hidden="false" customHeight="false" outlineLevel="0" collapsed="false">
      <c r="G154" s="32"/>
      <c r="H154" s="33"/>
      <c r="I154" s="32"/>
      <c r="O154" s="32"/>
      <c r="P154" s="32"/>
      <c r="U154" s="32"/>
      <c r="Y154" s="32"/>
      <c r="AB154" s="32"/>
      <c r="AC154" s="32"/>
      <c r="AD154" s="32"/>
      <c r="AE154" s="32"/>
      <c r="AF154" s="32"/>
      <c r="AG154" s="32"/>
      <c r="AI154" s="32"/>
      <c r="AJ154" s="32"/>
      <c r="AK154" s="32"/>
      <c r="AN154" s="32"/>
      <c r="AO154" s="32"/>
      <c r="AR154" s="32"/>
      <c r="AT154" s="32"/>
      <c r="AV154" s="34" t="str">
        <f aca="false">IF(TRIM($A154)="","",IF(AND(LEFT($A154,6)="SAMPLE",Config!$B$19&lt;&gt;"Y"),"",IF(NOT(ISNUMBER(H154)),"call_date is blank or not a date",IF(Sync!$D$5="","Clay paste is empty or has no row_id column: paste the Clay export on Clay_Brands",IF(CM154="","row_id not found in the Clay paste: add the Clay row or fix the row_id",IF(AND(ISNUMBER(CO154),CO154&gt;=1,CO154&lt;=5),"Clay status is "&amp;CN154&amp;": set call_done or later",IF(AND(BA154=1,CP154&lt;&gt;CB154),"Clay yes_in_principle should be "&amp;CB154,IF(AND(BA154=1,CQ154&lt;&gt;H154),"Clay call_date should be "&amp;TEXT(H154,"yyyy-mm-dd"),""))))))))</f>
        <v/>
      </c>
      <c r="AW154" s="23" t="str">
        <f aca="false">IF(TRIM($A154)="","",IF(TRIM(C154)&lt;&gt;"",SUBSTITUTE(SUBSTITUTE(SUBSTITUTE(SUBSTITUTE(SUBSTITUTE(SUBSTITUTE(LOWER(TRIM(C154)),"~",""),"*",""),"?",""),"&lt;",""),"&gt;",""),"=",""),IF(DS154&lt;&gt;"",DS154,IFERROR(INDEX($DS$2:$DS$201,MATCH(DR154,$DT$2:$DT$201,0)),DR154))))</f>
        <v/>
      </c>
      <c r="AX154" s="23" t="n">
        <f aca="false">ROW()</f>
        <v>154</v>
      </c>
      <c r="AY154" s="23" t="n">
        <f aca="false">IF(AND(TRIM($A154)&lt;&gt;"",ISNUMBER(H154)),IF(AND(LEFT($A154,6)="SAMPLE",Config!$B$19&lt;&gt;"Y"),0,1),0)</f>
        <v>0</v>
      </c>
      <c r="AZ154" s="23" t="n">
        <f aca="false">IF(AY154=1,IF(COUNTIFS($AW$2:$AW$201,AW154,$AY$2:$AY$201,1,$H$2:$H$201,"&lt;"&amp;H154)+COUNTIFS($AW$2:$AW$201,AW154,$AY$2:$AY$201,1,$H$2:$H$201,H154,$AX$2:$AX$201,"&lt;"&amp;AX154)=0,1,0),0)</f>
        <v>0</v>
      </c>
      <c r="BA154" s="23" t="n">
        <f aca="false">IF(AY154=1,IF(COUNTIFS($A$2:$A$201,$A154,$AY$2:$AY$201,1,$H$2:$H$201,"&gt;"&amp;H154)+COUNTIFS($A$2:$A$201,$A154,$AY$2:$AY$201,1,$H$2:$H$201,H154,$AX$2:$AX$201,"&gt;"&amp;AX154)=0,1,0),0)</f>
        <v>0</v>
      </c>
      <c r="BB154" s="23" t="n">
        <f aca="false">IF(AND(AY154=1,O154="Y",MAX(N(R154),N(V154))&gt;=Config!$B$14),1,0)</f>
        <v>0</v>
      </c>
      <c r="BC154" s="23" t="n">
        <f aca="false">IF(BB154=1,IF(COUNTIFS($AW$2:$AW$201,AW154,$BB$2:$BB$201,1,$H$2:$H$201,"&lt;"&amp;H154)+COUNTIFS($AW$2:$AW$201,AW154,$BB$2:$BB$201,1,$H$2:$H$201,H154,$AX$2:$AX$201,"&lt;"&amp;AX154)=0,1,0),0)</f>
        <v>0</v>
      </c>
      <c r="BD154" s="23" t="n">
        <f aca="false">IF(AND(AY154=1,O154="Y",ISNUMBER(R154)),IF(R154&gt;=Config!$B$14,1,0),0)</f>
        <v>0</v>
      </c>
      <c r="BE154" s="23" t="n">
        <f aca="false">IF(BD154=1,IF(COUNTIFS($AW$2:$AW$201,AW154,$BD$2:$BD$201,1,$H$2:$H$201,"&lt;"&amp;H154)+COUNTIFS($AW$2:$AW$201,AW154,$BD$2:$BD$201,1,$H$2:$H$201,H154,$AX$2:$AX$201,"&lt;"&amp;AX154)=0,1,0),0)</f>
        <v>0</v>
      </c>
      <c r="BF154" s="23" t="n">
        <f aca="false">IF(AND(AY154=1,O154&lt;&gt;"Y",MAX(N(R154),N(V154))&gt;=Config!$B$14),1,0)</f>
        <v>0</v>
      </c>
      <c r="BG154" s="23" t="n">
        <f aca="false">IF(BF154=1,IF(COUNTIFS($AW$2:$AW$201,AW154,$BF$2:$BF$201,1,$H$2:$H$201,"&lt;"&amp;H154)+COUNTIFS($AW$2:$AW$201,AW154,$BF$2:$BF$201,1,$H$2:$H$201,H154,$AX$2:$AX$201,"&lt;"&amp;AX154)=0,1,0),0)</f>
        <v>0</v>
      </c>
      <c r="BH154" s="23" t="n">
        <f aca="false">IF(AND(AY154=1,ISNUMBER(R154)),1,0)</f>
        <v>0</v>
      </c>
      <c r="BI154" s="23" t="n">
        <f aca="false">IF(BH154=1,IF(COUNTIFS($AW$2:$AW$201,AW154,$BH$2:$BH$201,1,$H$2:$H$201,"&lt;"&amp;H154)+COUNTIFS($AW$2:$AW$201,AW154,$BH$2:$BH$201,1,$H$2:$H$201,H154,$AX$2:$AX$201,"&lt;"&amp;AX154)=0,1,0),0)</f>
        <v>0</v>
      </c>
      <c r="BJ154" s="23" t="str">
        <f aca="false">IF(AND(BI154=1,INT(N(H154))&lt;=Config!$B$6),R154,"")</f>
        <v/>
      </c>
      <c r="BK154" s="23" t="str">
        <f aca="false">IF(AND(BI154=1,INT(N(H154))&lt;=Config!$B$7),R154,"")</f>
        <v/>
      </c>
      <c r="BL154" s="23" t="str">
        <f aca="false">IF(AND(BI154=1,INT(N(H154))&lt;=Config!$B$8),R154,"")</f>
        <v/>
      </c>
      <c r="BM154" s="23" t="str">
        <f aca="false">IF(AND(BI154=1,INT(N(H154))&lt;=Config!$B$5),R154,"")</f>
        <v/>
      </c>
      <c r="BN154" s="23" t="n">
        <f aca="false">IF(AND(AY154=1,ISNUMBER(V154)),1,0)</f>
        <v>0</v>
      </c>
      <c r="BO154" s="23" t="n">
        <f aca="false">IF(BN154=1,IF(COUNTIFS($AW$2:$AW$201,AW154,$BN$2:$BN$201,1,$H$2:$H$201,"&lt;"&amp;H154)+COUNTIFS($AW$2:$AW$201,AW154,$BN$2:$BN$201,1,$H$2:$H$201,H154,$AX$2:$AX$201,"&lt;"&amp;AX154)=0,1,0),0)</f>
        <v>0</v>
      </c>
      <c r="BP154" s="23" t="str">
        <f aca="false">IF(AND(BO154=1,INT(N(H154))&lt;=Config!$B$6),V154,"")</f>
        <v/>
      </c>
      <c r="BQ154" s="23" t="str">
        <f aca="false">IF(AND(BO154=1,INT(N(H154))&lt;=Config!$B$7),V154,"")</f>
        <v/>
      </c>
      <c r="BR154" s="23" t="str">
        <f aca="false">IF(AND(BO154=1,INT(N(H154))&lt;=Config!$B$8),V154,"")</f>
        <v/>
      </c>
      <c r="BS154" s="23" t="str">
        <f aca="false">IF(AND(BO154=1,INT(N(H154))&lt;=Config!$B$5),V154,"")</f>
        <v/>
      </c>
      <c r="BT154" s="23" t="n">
        <f aca="false">IF(AND(AY154=1,ISNUMBER(K154)),1,0)</f>
        <v>0</v>
      </c>
      <c r="BU154" s="23" t="n">
        <f aca="false">IF(BT154=1,IF(COUNTIFS($AW$2:$AW$201,AW154,$BT$2:$BT$201,1,$H$2:$H$201,"&lt;"&amp;H154)+COUNTIFS($AW$2:$AW$201,AW154,$BT$2:$BT$201,1,$H$2:$H$201,H154,$AX$2:$AX$201,"&lt;"&amp;AX154)=0,1,0),0)</f>
        <v>0</v>
      </c>
      <c r="BV154" s="23" t="str">
        <f aca="false">IF(AND(BU154=1,INT(N(H154))&lt;=Config!$B$5),K154,"")</f>
        <v/>
      </c>
      <c r="BW154" s="23" t="n">
        <f aca="false">IF(AND(AY154=1,OR(AND(ISNUMBER(R154),TRIM(S154)=""),AND(ISNUMBER(V154),TRIM(W154)=""))),1,0)</f>
        <v>0</v>
      </c>
      <c r="BX154" s="23" t="str">
        <f aca="false">IF(AY154=1,AJ154&amp;"","")</f>
        <v/>
      </c>
      <c r="BY154" s="23" t="str">
        <f aca="false">IF(AY154=1,AK154&amp;"","")</f>
        <v/>
      </c>
      <c r="BZ154" s="23" t="str">
        <f aca="false">IF(AY154=1,AL154&amp;"","")</f>
        <v/>
      </c>
      <c r="CA154" s="23" t="str">
        <f aca="false">IF(AND(AY154=1,ISNUMBER(AS154),INT(N(H154))&lt;=Config!$B$5),AS154,"")</f>
        <v/>
      </c>
      <c r="CB154" s="23" t="str">
        <f aca="false">IF(AY154=1,IF(COUNTIFS($A$2:$A$201,$A154,$CU$2:$CU$201,1,$AN$2:$AN$201,"Y")&gt;0,"Y","N"),"")</f>
        <v/>
      </c>
      <c r="CC154" s="23" t="n">
        <f aca="false">IF(AND(AY154=1,AN154="Y"),IF(COUNTIFS($AW$2:$AW$201,AW154,$AN$2:$AN$201,"Y",$AY$2:$AY$201,1,$H$2:$H$201,"&lt;"&amp;H154)+COUNTIFS($AW$2:$AW$201,AW154,$AN$2:$AN$201,"Y",$AY$2:$AY$201,1,$H$2:$H$201,H154,$AX$2:$AX$201,"&lt;"&amp;AX154)=0,1,0),0)</f>
        <v>0</v>
      </c>
      <c r="CD154" s="23" t="n">
        <f aca="false">IF(AND(AY154=1,AB154="Y",AC154="Y",AD154="Y",AE154="Y",AF154="Y",AG154="Y",AI154="Y",TRIM(AH154)&lt;&gt;""),1,0)</f>
        <v>0</v>
      </c>
      <c r="CE154" s="23" t="n">
        <f aca="false">IF(CD154=1,IF(COUNTIFS($AW$2:$AW$201,AW154,$CD$2:$CD$201,1,$H$2:$H$201,"&lt;"&amp;H154)+COUNTIFS($AW$2:$AW$201,AW154,$CD$2:$CD$201,1,$H$2:$H$201,H154,$AX$2:$AX$201,"&lt;"&amp;AX154)=0,1,0),0)</f>
        <v>0</v>
      </c>
      <c r="CF154" s="23" t="n">
        <f aca="false">IF(AND(AY154=1,AO154="Y"),1,0)</f>
        <v>0</v>
      </c>
      <c r="CG154" s="23" t="n">
        <f aca="false">IF(CF154=1,IF(COUNTIFS($AW$2:$AW$201,AW154,$CF$2:$CF$201,1,$H$2:$H$201,"&lt;"&amp;H154)+COUNTIFS($AW$2:$AW$201,AW154,$CF$2:$CF$201,1,$H$2:$H$201,H154,$AX$2:$AX$201,"&lt;"&amp;AX154)=0,1,0),0)</f>
        <v>0</v>
      </c>
      <c r="CH154" s="23" t="n">
        <f aca="false">IF(AND(AY154=1,P154="Y"),1,0)</f>
        <v>0</v>
      </c>
      <c r="CI154" s="23" t="n">
        <f aca="false">IF(CH154=1,IF(COUNTIFS($AW$2:$AW$201,AW154,$CH$2:$CH$201,1,$H$2:$H$201,"&lt;"&amp;H154)+COUNTIFS($AW$2:$AW$201,AW154,$CH$2:$CH$201,1,$H$2:$H$201,H154,$AX$2:$AX$201,"&lt;"&amp;AX154)=0,1,0),0)</f>
        <v>0</v>
      </c>
      <c r="CJ154" s="23" t="str">
        <f aca="false">IF(AND(BU154=1,INT(N(H154))&lt;=Config!$B$5),L154,"")</f>
        <v/>
      </c>
      <c r="CK154" s="23" t="n">
        <f aca="false">IF(AND(AY154=1,AR154="Y"),1,0)</f>
        <v>0</v>
      </c>
      <c r="CL154" s="23" t="n">
        <f aca="false">IF(CK154=1,IF(COUNTIFS($AW$2:$AW$201,AW154,$CK$2:$CK$201,1,$H$2:$H$201,"&lt;"&amp;H154)+COUNTIFS($AW$2:$AW$201,AW154,$CK$2:$CK$201,1,$H$2:$H$201,H154,$AX$2:$AX$201,"&lt;"&amp;AX154)=0,1,0),0)</f>
        <v>0</v>
      </c>
      <c r="CM154" s="23" t="str">
        <f aca="false">IF(AY154=1,IFERROR(MATCH($A154,INDEX(Clay_Brands!$A$2:$FZ$601,0,Sync!$D$5),0),""),"")</f>
        <v/>
      </c>
      <c r="CN154" s="23" t="str">
        <f aca="false">IF(CM154="","",IFERROR(INDEX(Clay_Brands!$A$2:$FZ$601,CM154,Sync!$D$7)&amp;"",""))</f>
        <v/>
      </c>
      <c r="CO154" s="23" t="str">
        <f aca="false">IF(CN154="","",IFERROR(INDEX(Lists!$K$2:$K$15,MATCH(CN154,Lists!$J$2:$J$15,0)),""))</f>
        <v/>
      </c>
      <c r="CP154" s="23" t="str">
        <f aca="false">IF(CM154="","",IFERROR(INDEX(Clay_Brands!$A$2:$FZ$601,CM154,Sync!$D$17)&amp;"",""))</f>
        <v/>
      </c>
      <c r="CQ154" s="35" t="str">
        <f aca="false">IF(CM154="","",IFERROR(N(INDEX(Clay_Brands!$A$2:$FZ$601,CM154,Sync!$D$16)),0))</f>
        <v/>
      </c>
      <c r="CR154" s="23" t="n">
        <f aca="false">IF(AND(AY154=1,OR(O154="N",AND(OR(ISNUMBER(R154),ISNUMBER(V154)),MAX(N(R154),N(V154))&lt;Config!$B$14))),1,0)</f>
        <v>0</v>
      </c>
      <c r="CS154" s="23" t="n">
        <f aca="false">IF(OR(BB154=1,CR154=1),1,0)</f>
        <v>0</v>
      </c>
      <c r="CT154" s="23" t="n">
        <f aca="false">IF(AND(AY154=1,OR(AN154="Y",AN154="N",AN154="maybe")),1,0)</f>
        <v>0</v>
      </c>
      <c r="CU154" s="23" t="n">
        <f aca="false">IF(AND(CT154=1),IF(COUNTIFS($A$2:$A$201,$A154,$CT$2:$CT$201,1,$H$2:$H$201,"&gt;"&amp;H154)+COUNTIFS($A$2:$A$201,$A154,$CT$2:$CT$201,1,$H$2:$H$201,H154,$AX$2:$AX$201,"&gt;"&amp;AX154)=0,1,0),0)</f>
        <v>0</v>
      </c>
      <c r="CV154" s="23" t="n">
        <f aca="false">IF(AND(CS154=1,INT(N(H154))&lt;=Config!$B$6),IF(COUNTIFS($AW$2:$AW$201,AW154,$CS$2:$CS$201,1,$H$2:$H$201,"&gt;"&amp;H154,$H$2:$H$201,"&lt;"&amp;(Config!$B$6+1))+COUNTIFS($AW$2:$AW$201,AW154,$CS$2:$CS$201,1,$H$2:$H$201,H154,$AX$2:$AX$201,"&gt;"&amp;AX154)=0,1,0),0)</f>
        <v>0</v>
      </c>
      <c r="CW154" s="23" t="n">
        <f aca="false">IF(AND(CS154=1,INT(N(H154))&lt;=Config!$B$7),IF(COUNTIFS($AW$2:$AW$201,AW154,$CS$2:$CS$201,1,$H$2:$H$201,"&gt;"&amp;H154,$H$2:$H$201,"&lt;"&amp;(Config!$B$7+1))+COUNTIFS($AW$2:$AW$201,AW154,$CS$2:$CS$201,1,$H$2:$H$201,H154,$AX$2:$AX$201,"&gt;"&amp;AX154)=0,1,0),0)</f>
        <v>0</v>
      </c>
      <c r="CX154" s="23" t="n">
        <f aca="false">IF(AND(CS154=1,INT(N(H154))&lt;=Config!$B$8),IF(COUNTIFS($AW$2:$AW$201,AW154,$CS$2:$CS$201,1,$H$2:$H$201,"&gt;"&amp;H154,$H$2:$H$201,"&lt;"&amp;(Config!$B$8+1))+COUNTIFS($AW$2:$AW$201,AW154,$CS$2:$CS$201,1,$H$2:$H$201,H154,$AX$2:$AX$201,"&gt;"&amp;AX154)=0,1,0),0)</f>
        <v>0</v>
      </c>
      <c r="CY154" s="23" t="n">
        <f aca="false">IF(AND(CS154=1,INT(N(H154))&lt;=Config!$B$5),IF(COUNTIFS($AW$2:$AW$201,AW154,$CS$2:$CS$201,1,$H$2:$H$201,"&gt;"&amp;H154,$H$2:$H$201,"&lt;"&amp;(Config!$B$5+1))+COUNTIFS($AW$2:$AW$201,AW154,$CS$2:$CS$201,1,$H$2:$H$201,H154,$AX$2:$AX$201,"&gt;"&amp;AX154)=0,1,0),0)</f>
        <v>0</v>
      </c>
      <c r="CZ154" s="23" t="n">
        <f aca="false">IF(AY154=1,IF(COUNTIFS($AW$2:$AW$201,AW154,$CV$2:$CV$201,1,$BB$2:$BB$201,1)&gt;0,1,0),0)</f>
        <v>0</v>
      </c>
      <c r="DA154" s="23" t="n">
        <f aca="false">IF(AY154=1,IF(COUNTIFS($AW$2:$AW$201,AW154,$CW$2:$CW$201,1,$BB$2:$BB$201,1)&gt;0,1,0),0)</f>
        <v>0</v>
      </c>
      <c r="DB154" s="23" t="n">
        <f aca="false">IF(AY154=1,IF(COUNTIFS($AW$2:$AW$201,AW154,$CX$2:$CX$201,1,$BB$2:$BB$201,1)&gt;0,1,0),0)</f>
        <v>0</v>
      </c>
      <c r="DC154" s="23" t="n">
        <f aca="false">IF(AY154=1,IF(COUNTIFS($AW$2:$AW$201,AW154,$CY$2:$CY$201,1,$BB$2:$BB$201,1)&gt;0,1,0),0)</f>
        <v>0</v>
      </c>
      <c r="DD154" s="23" t="n">
        <f aca="false">IF(AND(BC154=1,INT(N(H154))&lt;=Config!$B$6,CZ154=1),1,0)</f>
        <v>0</v>
      </c>
      <c r="DE154" s="23" t="n">
        <f aca="false">IF(AND(BC154=1,INT(N(H154))&lt;=Config!$B$7,DA154=1),1,0)</f>
        <v>0</v>
      </c>
      <c r="DF154" s="23" t="n">
        <f aca="false">IF(AND(BC154=1,INT(N(H154))&lt;=Config!$B$8,DB154=1),1,0)</f>
        <v>0</v>
      </c>
      <c r="DG154" s="23" t="n">
        <f aca="false">IF(AND(BC154=1,INT(N(H154))&lt;=Config!$B$5,DC154=1),1,0)</f>
        <v>0</v>
      </c>
      <c r="DH154" s="23" t="n">
        <f aca="false">IF(AND(BE154=1,INT(N(H154))&lt;=Config!$B$6,CZ154=1),1,0)</f>
        <v>0</v>
      </c>
      <c r="DI154" s="23" t="n">
        <f aca="false">IF(AND(BE154=1,INT(N(H154))&lt;=Config!$B$7,DA154=1),1,0)</f>
        <v>0</v>
      </c>
      <c r="DJ154" s="23" t="n">
        <f aca="false">IF(AND(BE154=1,INT(N(H154))&lt;=Config!$B$8,DB154=1),1,0)</f>
        <v>0</v>
      </c>
      <c r="DK154" s="23" t="n">
        <f aca="false">IF(AND(BE154=1,INT(N(H154))&lt;=Config!$B$5,DC154=1),1,0)</f>
        <v>0</v>
      </c>
      <c r="DL154" s="23" t="n">
        <f aca="false">IF(AND(BC154=1,INT(N(H154))&lt;=Config!$B$6,CZ154=0),1,0)</f>
        <v>0</v>
      </c>
      <c r="DM154" s="23" t="n">
        <f aca="false">IF(AND(BC154=1,INT(N(H154))&lt;=Config!$B$7,DA154=0),1,0)</f>
        <v>0</v>
      </c>
      <c r="DN154" s="23" t="n">
        <f aca="false">IF(AND(BC154=1,INT(N(H154))&lt;=Config!$B$8,DB154=0),1,0)</f>
        <v>0</v>
      </c>
      <c r="DO154" s="23" t="n">
        <f aca="false">IF(AND(BC154=1,INT(N(H154))&lt;=Config!$B$5,DC154=0),1,0)</f>
        <v>0</v>
      </c>
      <c r="DP154" s="23" t="n">
        <f aca="false">IF(TRIM($A154)="",0,ISTEXT(K154)+ISTEXT(L154)+ISTEXT(R154)+ISTEXT(V154)+ISTEXT(AP154)+ISTEXT(AS154))</f>
        <v>0</v>
      </c>
      <c r="DQ154" s="23" t="n">
        <f aca="false">IF(AY154=1,IF(H154&lt;&gt;INT(H154),1,0),0)</f>
        <v>0</v>
      </c>
      <c r="DR154" s="23" t="str">
        <f aca="false">IF(TRIM($A154)="","",IF(TRIM(B154)="",SUBSTITUTE(SUBSTITUTE(SUBSTITUTE(SUBSTITUTE(SUBSTITUTE(SUBSTITUTE(LOWER(TRIM($A154)),"~",""),"*",""),"?",""),"&lt;",""),"&gt;",""),"=",""),SUBSTITUTE(SUBSTITUTE(SUBSTITUTE(SUBSTITUTE(SUBSTITUTE(SUBSTITUTE(LOWER(TRIM(B154)),"~",""),"*",""),"?",""),"&lt;",""),"&gt;",""),"=","")))</f>
        <v/>
      </c>
      <c r="DS154" s="23" t="str">
        <f aca="false">IF(CM154="","",IFERROR(IF(LEFT(LOWER(TRIM(INDEX(Clay_Brands!$A$2:$FZ$601,CM154,Sync!$D$19)&amp;"")),4)="grp-",SUBSTITUTE(SUBSTITUTE(SUBSTITUTE(SUBSTITUTE(SUBSTITUTE(SUBSTITUTE(LOWER(TRIM(INDEX(Clay_Brands!$A$2:$FZ$601,CM154,Sync!$D$19)&amp;"")),"~",""),"*",""),"?",""),"&lt;",""),"&gt;",""),"=",""),""),""))</f>
        <v/>
      </c>
      <c r="DT154" s="23" t="str">
        <f aca="false">IF(DS154&lt;&gt;"",DR154,"")</f>
        <v/>
      </c>
      <c r="DU154" s="23" t="str">
        <f aca="false">IF(AZ154=1,AW154,"")</f>
        <v/>
      </c>
      <c r="DV154" s="23" t="str">
        <f aca="false">IF(TRIM($A154)="","",IFERROR(INDEX($A$2:$A$201,MATCH(AW154,$DU$2:$DU$201,0))&amp;"",$A154&amp;""))</f>
        <v/>
      </c>
      <c r="DW154" s="23" t="n">
        <f aca="false">IF(AY154=1,IF(COUNTIFS($A$2:$A$201,$A154,$AY$2:$AY$201,1,$H$2:$H$201,"&lt;"&amp;H154)+COUNTIFS($A$2:$A$201,$A154,$AY$2:$AY$201,1,$H$2:$H$201,H154,$AX$2:$AX$201,"&lt;"&amp;AX154)=0,1,0),0)</f>
        <v>0</v>
      </c>
      <c r="DX154" s="23" t="n">
        <f aca="false">IF(AZ154=1,IF(COUNTIFS($AW$2:$AW$201,AW154,$DW$2:$DW$201,1)&gt;1,1,0),0)</f>
        <v>0</v>
      </c>
    </row>
    <row r="155" customFormat="false" ht="15" hidden="false" customHeight="false" outlineLevel="0" collapsed="false">
      <c r="G155" s="32"/>
      <c r="H155" s="33"/>
      <c r="I155" s="32"/>
      <c r="O155" s="32"/>
      <c r="P155" s="32"/>
      <c r="U155" s="32"/>
      <c r="Y155" s="32"/>
      <c r="AB155" s="32"/>
      <c r="AC155" s="32"/>
      <c r="AD155" s="32"/>
      <c r="AE155" s="32"/>
      <c r="AF155" s="32"/>
      <c r="AG155" s="32"/>
      <c r="AI155" s="32"/>
      <c r="AJ155" s="32"/>
      <c r="AK155" s="32"/>
      <c r="AN155" s="32"/>
      <c r="AO155" s="32"/>
      <c r="AR155" s="32"/>
      <c r="AT155" s="32"/>
      <c r="AV155" s="34" t="str">
        <f aca="false">IF(TRIM($A155)="","",IF(AND(LEFT($A155,6)="SAMPLE",Config!$B$19&lt;&gt;"Y"),"",IF(NOT(ISNUMBER(H155)),"call_date is blank or not a date",IF(Sync!$D$5="","Clay paste is empty or has no row_id column: paste the Clay export on Clay_Brands",IF(CM155="","row_id not found in the Clay paste: add the Clay row or fix the row_id",IF(AND(ISNUMBER(CO155),CO155&gt;=1,CO155&lt;=5),"Clay status is "&amp;CN155&amp;": set call_done or later",IF(AND(BA155=1,CP155&lt;&gt;CB155),"Clay yes_in_principle should be "&amp;CB155,IF(AND(BA155=1,CQ155&lt;&gt;H155),"Clay call_date should be "&amp;TEXT(H155,"yyyy-mm-dd"),""))))))))</f>
        <v/>
      </c>
      <c r="AW155" s="23" t="str">
        <f aca="false">IF(TRIM($A155)="","",IF(TRIM(C155)&lt;&gt;"",SUBSTITUTE(SUBSTITUTE(SUBSTITUTE(SUBSTITUTE(SUBSTITUTE(SUBSTITUTE(LOWER(TRIM(C155)),"~",""),"*",""),"?",""),"&lt;",""),"&gt;",""),"=",""),IF(DS155&lt;&gt;"",DS155,IFERROR(INDEX($DS$2:$DS$201,MATCH(DR155,$DT$2:$DT$201,0)),DR155))))</f>
        <v/>
      </c>
      <c r="AX155" s="23" t="n">
        <f aca="false">ROW()</f>
        <v>155</v>
      </c>
      <c r="AY155" s="23" t="n">
        <f aca="false">IF(AND(TRIM($A155)&lt;&gt;"",ISNUMBER(H155)),IF(AND(LEFT($A155,6)="SAMPLE",Config!$B$19&lt;&gt;"Y"),0,1),0)</f>
        <v>0</v>
      </c>
      <c r="AZ155" s="23" t="n">
        <f aca="false">IF(AY155=1,IF(COUNTIFS($AW$2:$AW$201,AW155,$AY$2:$AY$201,1,$H$2:$H$201,"&lt;"&amp;H155)+COUNTIFS($AW$2:$AW$201,AW155,$AY$2:$AY$201,1,$H$2:$H$201,H155,$AX$2:$AX$201,"&lt;"&amp;AX155)=0,1,0),0)</f>
        <v>0</v>
      </c>
      <c r="BA155" s="23" t="n">
        <f aca="false">IF(AY155=1,IF(COUNTIFS($A$2:$A$201,$A155,$AY$2:$AY$201,1,$H$2:$H$201,"&gt;"&amp;H155)+COUNTIFS($A$2:$A$201,$A155,$AY$2:$AY$201,1,$H$2:$H$201,H155,$AX$2:$AX$201,"&gt;"&amp;AX155)=0,1,0),0)</f>
        <v>0</v>
      </c>
      <c r="BB155" s="23" t="n">
        <f aca="false">IF(AND(AY155=1,O155="Y",MAX(N(R155),N(V155))&gt;=Config!$B$14),1,0)</f>
        <v>0</v>
      </c>
      <c r="BC155" s="23" t="n">
        <f aca="false">IF(BB155=1,IF(COUNTIFS($AW$2:$AW$201,AW155,$BB$2:$BB$201,1,$H$2:$H$201,"&lt;"&amp;H155)+COUNTIFS($AW$2:$AW$201,AW155,$BB$2:$BB$201,1,$H$2:$H$201,H155,$AX$2:$AX$201,"&lt;"&amp;AX155)=0,1,0),0)</f>
        <v>0</v>
      </c>
      <c r="BD155" s="23" t="n">
        <f aca="false">IF(AND(AY155=1,O155="Y",ISNUMBER(R155)),IF(R155&gt;=Config!$B$14,1,0),0)</f>
        <v>0</v>
      </c>
      <c r="BE155" s="23" t="n">
        <f aca="false">IF(BD155=1,IF(COUNTIFS($AW$2:$AW$201,AW155,$BD$2:$BD$201,1,$H$2:$H$201,"&lt;"&amp;H155)+COUNTIFS($AW$2:$AW$201,AW155,$BD$2:$BD$201,1,$H$2:$H$201,H155,$AX$2:$AX$201,"&lt;"&amp;AX155)=0,1,0),0)</f>
        <v>0</v>
      </c>
      <c r="BF155" s="23" t="n">
        <f aca="false">IF(AND(AY155=1,O155&lt;&gt;"Y",MAX(N(R155),N(V155))&gt;=Config!$B$14),1,0)</f>
        <v>0</v>
      </c>
      <c r="BG155" s="23" t="n">
        <f aca="false">IF(BF155=1,IF(COUNTIFS($AW$2:$AW$201,AW155,$BF$2:$BF$201,1,$H$2:$H$201,"&lt;"&amp;H155)+COUNTIFS($AW$2:$AW$201,AW155,$BF$2:$BF$201,1,$H$2:$H$201,H155,$AX$2:$AX$201,"&lt;"&amp;AX155)=0,1,0),0)</f>
        <v>0</v>
      </c>
      <c r="BH155" s="23" t="n">
        <f aca="false">IF(AND(AY155=1,ISNUMBER(R155)),1,0)</f>
        <v>0</v>
      </c>
      <c r="BI155" s="23" t="n">
        <f aca="false">IF(BH155=1,IF(COUNTIFS($AW$2:$AW$201,AW155,$BH$2:$BH$201,1,$H$2:$H$201,"&lt;"&amp;H155)+COUNTIFS($AW$2:$AW$201,AW155,$BH$2:$BH$201,1,$H$2:$H$201,H155,$AX$2:$AX$201,"&lt;"&amp;AX155)=0,1,0),0)</f>
        <v>0</v>
      </c>
      <c r="BJ155" s="23" t="str">
        <f aca="false">IF(AND(BI155=1,INT(N(H155))&lt;=Config!$B$6),R155,"")</f>
        <v/>
      </c>
      <c r="BK155" s="23" t="str">
        <f aca="false">IF(AND(BI155=1,INT(N(H155))&lt;=Config!$B$7),R155,"")</f>
        <v/>
      </c>
      <c r="BL155" s="23" t="str">
        <f aca="false">IF(AND(BI155=1,INT(N(H155))&lt;=Config!$B$8),R155,"")</f>
        <v/>
      </c>
      <c r="BM155" s="23" t="str">
        <f aca="false">IF(AND(BI155=1,INT(N(H155))&lt;=Config!$B$5),R155,"")</f>
        <v/>
      </c>
      <c r="BN155" s="23" t="n">
        <f aca="false">IF(AND(AY155=1,ISNUMBER(V155)),1,0)</f>
        <v>0</v>
      </c>
      <c r="BO155" s="23" t="n">
        <f aca="false">IF(BN155=1,IF(COUNTIFS($AW$2:$AW$201,AW155,$BN$2:$BN$201,1,$H$2:$H$201,"&lt;"&amp;H155)+COUNTIFS($AW$2:$AW$201,AW155,$BN$2:$BN$201,1,$H$2:$H$201,H155,$AX$2:$AX$201,"&lt;"&amp;AX155)=0,1,0),0)</f>
        <v>0</v>
      </c>
      <c r="BP155" s="23" t="str">
        <f aca="false">IF(AND(BO155=1,INT(N(H155))&lt;=Config!$B$6),V155,"")</f>
        <v/>
      </c>
      <c r="BQ155" s="23" t="str">
        <f aca="false">IF(AND(BO155=1,INT(N(H155))&lt;=Config!$B$7),V155,"")</f>
        <v/>
      </c>
      <c r="BR155" s="23" t="str">
        <f aca="false">IF(AND(BO155=1,INT(N(H155))&lt;=Config!$B$8),V155,"")</f>
        <v/>
      </c>
      <c r="BS155" s="23" t="str">
        <f aca="false">IF(AND(BO155=1,INT(N(H155))&lt;=Config!$B$5),V155,"")</f>
        <v/>
      </c>
      <c r="BT155" s="23" t="n">
        <f aca="false">IF(AND(AY155=1,ISNUMBER(K155)),1,0)</f>
        <v>0</v>
      </c>
      <c r="BU155" s="23" t="n">
        <f aca="false">IF(BT155=1,IF(COUNTIFS($AW$2:$AW$201,AW155,$BT$2:$BT$201,1,$H$2:$H$201,"&lt;"&amp;H155)+COUNTIFS($AW$2:$AW$201,AW155,$BT$2:$BT$201,1,$H$2:$H$201,H155,$AX$2:$AX$201,"&lt;"&amp;AX155)=0,1,0),0)</f>
        <v>0</v>
      </c>
      <c r="BV155" s="23" t="str">
        <f aca="false">IF(AND(BU155=1,INT(N(H155))&lt;=Config!$B$5),K155,"")</f>
        <v/>
      </c>
      <c r="BW155" s="23" t="n">
        <f aca="false">IF(AND(AY155=1,OR(AND(ISNUMBER(R155),TRIM(S155)=""),AND(ISNUMBER(V155),TRIM(W155)=""))),1,0)</f>
        <v>0</v>
      </c>
      <c r="BX155" s="23" t="str">
        <f aca="false">IF(AY155=1,AJ155&amp;"","")</f>
        <v/>
      </c>
      <c r="BY155" s="23" t="str">
        <f aca="false">IF(AY155=1,AK155&amp;"","")</f>
        <v/>
      </c>
      <c r="BZ155" s="23" t="str">
        <f aca="false">IF(AY155=1,AL155&amp;"","")</f>
        <v/>
      </c>
      <c r="CA155" s="23" t="str">
        <f aca="false">IF(AND(AY155=1,ISNUMBER(AS155),INT(N(H155))&lt;=Config!$B$5),AS155,"")</f>
        <v/>
      </c>
      <c r="CB155" s="23" t="str">
        <f aca="false">IF(AY155=1,IF(COUNTIFS($A$2:$A$201,$A155,$CU$2:$CU$201,1,$AN$2:$AN$201,"Y")&gt;0,"Y","N"),"")</f>
        <v/>
      </c>
      <c r="CC155" s="23" t="n">
        <f aca="false">IF(AND(AY155=1,AN155="Y"),IF(COUNTIFS($AW$2:$AW$201,AW155,$AN$2:$AN$201,"Y",$AY$2:$AY$201,1,$H$2:$H$201,"&lt;"&amp;H155)+COUNTIFS($AW$2:$AW$201,AW155,$AN$2:$AN$201,"Y",$AY$2:$AY$201,1,$H$2:$H$201,H155,$AX$2:$AX$201,"&lt;"&amp;AX155)=0,1,0),0)</f>
        <v>0</v>
      </c>
      <c r="CD155" s="23" t="n">
        <f aca="false">IF(AND(AY155=1,AB155="Y",AC155="Y",AD155="Y",AE155="Y",AF155="Y",AG155="Y",AI155="Y",TRIM(AH155)&lt;&gt;""),1,0)</f>
        <v>0</v>
      </c>
      <c r="CE155" s="23" t="n">
        <f aca="false">IF(CD155=1,IF(COUNTIFS($AW$2:$AW$201,AW155,$CD$2:$CD$201,1,$H$2:$H$201,"&lt;"&amp;H155)+COUNTIFS($AW$2:$AW$201,AW155,$CD$2:$CD$201,1,$H$2:$H$201,H155,$AX$2:$AX$201,"&lt;"&amp;AX155)=0,1,0),0)</f>
        <v>0</v>
      </c>
      <c r="CF155" s="23" t="n">
        <f aca="false">IF(AND(AY155=1,AO155="Y"),1,0)</f>
        <v>0</v>
      </c>
      <c r="CG155" s="23" t="n">
        <f aca="false">IF(CF155=1,IF(COUNTIFS($AW$2:$AW$201,AW155,$CF$2:$CF$201,1,$H$2:$H$201,"&lt;"&amp;H155)+COUNTIFS($AW$2:$AW$201,AW155,$CF$2:$CF$201,1,$H$2:$H$201,H155,$AX$2:$AX$201,"&lt;"&amp;AX155)=0,1,0),0)</f>
        <v>0</v>
      </c>
      <c r="CH155" s="23" t="n">
        <f aca="false">IF(AND(AY155=1,P155="Y"),1,0)</f>
        <v>0</v>
      </c>
      <c r="CI155" s="23" t="n">
        <f aca="false">IF(CH155=1,IF(COUNTIFS($AW$2:$AW$201,AW155,$CH$2:$CH$201,1,$H$2:$H$201,"&lt;"&amp;H155)+COUNTIFS($AW$2:$AW$201,AW155,$CH$2:$CH$201,1,$H$2:$H$201,H155,$AX$2:$AX$201,"&lt;"&amp;AX155)=0,1,0),0)</f>
        <v>0</v>
      </c>
      <c r="CJ155" s="23" t="str">
        <f aca="false">IF(AND(BU155=1,INT(N(H155))&lt;=Config!$B$5),L155,"")</f>
        <v/>
      </c>
      <c r="CK155" s="23" t="n">
        <f aca="false">IF(AND(AY155=1,AR155="Y"),1,0)</f>
        <v>0</v>
      </c>
      <c r="CL155" s="23" t="n">
        <f aca="false">IF(CK155=1,IF(COUNTIFS($AW$2:$AW$201,AW155,$CK$2:$CK$201,1,$H$2:$H$201,"&lt;"&amp;H155)+COUNTIFS($AW$2:$AW$201,AW155,$CK$2:$CK$201,1,$H$2:$H$201,H155,$AX$2:$AX$201,"&lt;"&amp;AX155)=0,1,0),0)</f>
        <v>0</v>
      </c>
      <c r="CM155" s="23" t="str">
        <f aca="false">IF(AY155=1,IFERROR(MATCH($A155,INDEX(Clay_Brands!$A$2:$FZ$601,0,Sync!$D$5),0),""),"")</f>
        <v/>
      </c>
      <c r="CN155" s="23" t="str">
        <f aca="false">IF(CM155="","",IFERROR(INDEX(Clay_Brands!$A$2:$FZ$601,CM155,Sync!$D$7)&amp;"",""))</f>
        <v/>
      </c>
      <c r="CO155" s="23" t="str">
        <f aca="false">IF(CN155="","",IFERROR(INDEX(Lists!$K$2:$K$15,MATCH(CN155,Lists!$J$2:$J$15,0)),""))</f>
        <v/>
      </c>
      <c r="CP155" s="23" t="str">
        <f aca="false">IF(CM155="","",IFERROR(INDEX(Clay_Brands!$A$2:$FZ$601,CM155,Sync!$D$17)&amp;"",""))</f>
        <v/>
      </c>
      <c r="CQ155" s="35" t="str">
        <f aca="false">IF(CM155="","",IFERROR(N(INDEX(Clay_Brands!$A$2:$FZ$601,CM155,Sync!$D$16)),0))</f>
        <v/>
      </c>
      <c r="CR155" s="23" t="n">
        <f aca="false">IF(AND(AY155=1,OR(O155="N",AND(OR(ISNUMBER(R155),ISNUMBER(V155)),MAX(N(R155),N(V155))&lt;Config!$B$14))),1,0)</f>
        <v>0</v>
      </c>
      <c r="CS155" s="23" t="n">
        <f aca="false">IF(OR(BB155=1,CR155=1),1,0)</f>
        <v>0</v>
      </c>
      <c r="CT155" s="23" t="n">
        <f aca="false">IF(AND(AY155=1,OR(AN155="Y",AN155="N",AN155="maybe")),1,0)</f>
        <v>0</v>
      </c>
      <c r="CU155" s="23" t="n">
        <f aca="false">IF(AND(CT155=1),IF(COUNTIFS($A$2:$A$201,$A155,$CT$2:$CT$201,1,$H$2:$H$201,"&gt;"&amp;H155)+COUNTIFS($A$2:$A$201,$A155,$CT$2:$CT$201,1,$H$2:$H$201,H155,$AX$2:$AX$201,"&gt;"&amp;AX155)=0,1,0),0)</f>
        <v>0</v>
      </c>
      <c r="CV155" s="23" t="n">
        <f aca="false">IF(AND(CS155=1,INT(N(H155))&lt;=Config!$B$6),IF(COUNTIFS($AW$2:$AW$201,AW155,$CS$2:$CS$201,1,$H$2:$H$201,"&gt;"&amp;H155,$H$2:$H$201,"&lt;"&amp;(Config!$B$6+1))+COUNTIFS($AW$2:$AW$201,AW155,$CS$2:$CS$201,1,$H$2:$H$201,H155,$AX$2:$AX$201,"&gt;"&amp;AX155)=0,1,0),0)</f>
        <v>0</v>
      </c>
      <c r="CW155" s="23" t="n">
        <f aca="false">IF(AND(CS155=1,INT(N(H155))&lt;=Config!$B$7),IF(COUNTIFS($AW$2:$AW$201,AW155,$CS$2:$CS$201,1,$H$2:$H$201,"&gt;"&amp;H155,$H$2:$H$201,"&lt;"&amp;(Config!$B$7+1))+COUNTIFS($AW$2:$AW$201,AW155,$CS$2:$CS$201,1,$H$2:$H$201,H155,$AX$2:$AX$201,"&gt;"&amp;AX155)=0,1,0),0)</f>
        <v>0</v>
      </c>
      <c r="CX155" s="23" t="n">
        <f aca="false">IF(AND(CS155=1,INT(N(H155))&lt;=Config!$B$8),IF(COUNTIFS($AW$2:$AW$201,AW155,$CS$2:$CS$201,1,$H$2:$H$201,"&gt;"&amp;H155,$H$2:$H$201,"&lt;"&amp;(Config!$B$8+1))+COUNTIFS($AW$2:$AW$201,AW155,$CS$2:$CS$201,1,$H$2:$H$201,H155,$AX$2:$AX$201,"&gt;"&amp;AX155)=0,1,0),0)</f>
        <v>0</v>
      </c>
      <c r="CY155" s="23" t="n">
        <f aca="false">IF(AND(CS155=1,INT(N(H155))&lt;=Config!$B$5),IF(COUNTIFS($AW$2:$AW$201,AW155,$CS$2:$CS$201,1,$H$2:$H$201,"&gt;"&amp;H155,$H$2:$H$201,"&lt;"&amp;(Config!$B$5+1))+COUNTIFS($AW$2:$AW$201,AW155,$CS$2:$CS$201,1,$H$2:$H$201,H155,$AX$2:$AX$201,"&gt;"&amp;AX155)=0,1,0),0)</f>
        <v>0</v>
      </c>
      <c r="CZ155" s="23" t="n">
        <f aca="false">IF(AY155=1,IF(COUNTIFS($AW$2:$AW$201,AW155,$CV$2:$CV$201,1,$BB$2:$BB$201,1)&gt;0,1,0),0)</f>
        <v>0</v>
      </c>
      <c r="DA155" s="23" t="n">
        <f aca="false">IF(AY155=1,IF(COUNTIFS($AW$2:$AW$201,AW155,$CW$2:$CW$201,1,$BB$2:$BB$201,1)&gt;0,1,0),0)</f>
        <v>0</v>
      </c>
      <c r="DB155" s="23" t="n">
        <f aca="false">IF(AY155=1,IF(COUNTIFS($AW$2:$AW$201,AW155,$CX$2:$CX$201,1,$BB$2:$BB$201,1)&gt;0,1,0),0)</f>
        <v>0</v>
      </c>
      <c r="DC155" s="23" t="n">
        <f aca="false">IF(AY155=1,IF(COUNTIFS($AW$2:$AW$201,AW155,$CY$2:$CY$201,1,$BB$2:$BB$201,1)&gt;0,1,0),0)</f>
        <v>0</v>
      </c>
      <c r="DD155" s="23" t="n">
        <f aca="false">IF(AND(BC155=1,INT(N(H155))&lt;=Config!$B$6,CZ155=1),1,0)</f>
        <v>0</v>
      </c>
      <c r="DE155" s="23" t="n">
        <f aca="false">IF(AND(BC155=1,INT(N(H155))&lt;=Config!$B$7,DA155=1),1,0)</f>
        <v>0</v>
      </c>
      <c r="DF155" s="23" t="n">
        <f aca="false">IF(AND(BC155=1,INT(N(H155))&lt;=Config!$B$8,DB155=1),1,0)</f>
        <v>0</v>
      </c>
      <c r="DG155" s="23" t="n">
        <f aca="false">IF(AND(BC155=1,INT(N(H155))&lt;=Config!$B$5,DC155=1),1,0)</f>
        <v>0</v>
      </c>
      <c r="DH155" s="23" t="n">
        <f aca="false">IF(AND(BE155=1,INT(N(H155))&lt;=Config!$B$6,CZ155=1),1,0)</f>
        <v>0</v>
      </c>
      <c r="DI155" s="23" t="n">
        <f aca="false">IF(AND(BE155=1,INT(N(H155))&lt;=Config!$B$7,DA155=1),1,0)</f>
        <v>0</v>
      </c>
      <c r="DJ155" s="23" t="n">
        <f aca="false">IF(AND(BE155=1,INT(N(H155))&lt;=Config!$B$8,DB155=1),1,0)</f>
        <v>0</v>
      </c>
      <c r="DK155" s="23" t="n">
        <f aca="false">IF(AND(BE155=1,INT(N(H155))&lt;=Config!$B$5,DC155=1),1,0)</f>
        <v>0</v>
      </c>
      <c r="DL155" s="23" t="n">
        <f aca="false">IF(AND(BC155=1,INT(N(H155))&lt;=Config!$B$6,CZ155=0),1,0)</f>
        <v>0</v>
      </c>
      <c r="DM155" s="23" t="n">
        <f aca="false">IF(AND(BC155=1,INT(N(H155))&lt;=Config!$B$7,DA155=0),1,0)</f>
        <v>0</v>
      </c>
      <c r="DN155" s="23" t="n">
        <f aca="false">IF(AND(BC155=1,INT(N(H155))&lt;=Config!$B$8,DB155=0),1,0)</f>
        <v>0</v>
      </c>
      <c r="DO155" s="23" t="n">
        <f aca="false">IF(AND(BC155=1,INT(N(H155))&lt;=Config!$B$5,DC155=0),1,0)</f>
        <v>0</v>
      </c>
      <c r="DP155" s="23" t="n">
        <f aca="false">IF(TRIM($A155)="",0,ISTEXT(K155)+ISTEXT(L155)+ISTEXT(R155)+ISTEXT(V155)+ISTEXT(AP155)+ISTEXT(AS155))</f>
        <v>0</v>
      </c>
      <c r="DQ155" s="23" t="n">
        <f aca="false">IF(AY155=1,IF(H155&lt;&gt;INT(H155),1,0),0)</f>
        <v>0</v>
      </c>
      <c r="DR155" s="23" t="str">
        <f aca="false">IF(TRIM($A155)="","",IF(TRIM(B155)="",SUBSTITUTE(SUBSTITUTE(SUBSTITUTE(SUBSTITUTE(SUBSTITUTE(SUBSTITUTE(LOWER(TRIM($A155)),"~",""),"*",""),"?",""),"&lt;",""),"&gt;",""),"=",""),SUBSTITUTE(SUBSTITUTE(SUBSTITUTE(SUBSTITUTE(SUBSTITUTE(SUBSTITUTE(LOWER(TRIM(B155)),"~",""),"*",""),"?",""),"&lt;",""),"&gt;",""),"=","")))</f>
        <v/>
      </c>
      <c r="DS155" s="23" t="str">
        <f aca="false">IF(CM155="","",IFERROR(IF(LEFT(LOWER(TRIM(INDEX(Clay_Brands!$A$2:$FZ$601,CM155,Sync!$D$19)&amp;"")),4)="grp-",SUBSTITUTE(SUBSTITUTE(SUBSTITUTE(SUBSTITUTE(SUBSTITUTE(SUBSTITUTE(LOWER(TRIM(INDEX(Clay_Brands!$A$2:$FZ$601,CM155,Sync!$D$19)&amp;"")),"~",""),"*",""),"?",""),"&lt;",""),"&gt;",""),"=",""),""),""))</f>
        <v/>
      </c>
      <c r="DT155" s="23" t="str">
        <f aca="false">IF(DS155&lt;&gt;"",DR155,"")</f>
        <v/>
      </c>
      <c r="DU155" s="23" t="str">
        <f aca="false">IF(AZ155=1,AW155,"")</f>
        <v/>
      </c>
      <c r="DV155" s="23" t="str">
        <f aca="false">IF(TRIM($A155)="","",IFERROR(INDEX($A$2:$A$201,MATCH(AW155,$DU$2:$DU$201,0))&amp;"",$A155&amp;""))</f>
        <v/>
      </c>
      <c r="DW155" s="23" t="n">
        <f aca="false">IF(AY155=1,IF(COUNTIFS($A$2:$A$201,$A155,$AY$2:$AY$201,1,$H$2:$H$201,"&lt;"&amp;H155)+COUNTIFS($A$2:$A$201,$A155,$AY$2:$AY$201,1,$H$2:$H$201,H155,$AX$2:$AX$201,"&lt;"&amp;AX155)=0,1,0),0)</f>
        <v>0</v>
      </c>
      <c r="DX155" s="23" t="n">
        <f aca="false">IF(AZ155=1,IF(COUNTIFS($AW$2:$AW$201,AW155,$DW$2:$DW$201,1)&gt;1,1,0),0)</f>
        <v>0</v>
      </c>
    </row>
    <row r="156" customFormat="false" ht="15" hidden="false" customHeight="false" outlineLevel="0" collapsed="false">
      <c r="G156" s="32"/>
      <c r="H156" s="33"/>
      <c r="I156" s="32"/>
      <c r="O156" s="32"/>
      <c r="P156" s="32"/>
      <c r="U156" s="32"/>
      <c r="Y156" s="32"/>
      <c r="AB156" s="32"/>
      <c r="AC156" s="32"/>
      <c r="AD156" s="32"/>
      <c r="AE156" s="32"/>
      <c r="AF156" s="32"/>
      <c r="AG156" s="32"/>
      <c r="AI156" s="32"/>
      <c r="AJ156" s="32"/>
      <c r="AK156" s="32"/>
      <c r="AN156" s="32"/>
      <c r="AO156" s="32"/>
      <c r="AR156" s="32"/>
      <c r="AT156" s="32"/>
      <c r="AV156" s="34" t="str">
        <f aca="false">IF(TRIM($A156)="","",IF(AND(LEFT($A156,6)="SAMPLE",Config!$B$19&lt;&gt;"Y"),"",IF(NOT(ISNUMBER(H156)),"call_date is blank or not a date",IF(Sync!$D$5="","Clay paste is empty or has no row_id column: paste the Clay export on Clay_Brands",IF(CM156="","row_id not found in the Clay paste: add the Clay row or fix the row_id",IF(AND(ISNUMBER(CO156),CO156&gt;=1,CO156&lt;=5),"Clay status is "&amp;CN156&amp;": set call_done or later",IF(AND(BA156=1,CP156&lt;&gt;CB156),"Clay yes_in_principle should be "&amp;CB156,IF(AND(BA156=1,CQ156&lt;&gt;H156),"Clay call_date should be "&amp;TEXT(H156,"yyyy-mm-dd"),""))))))))</f>
        <v/>
      </c>
      <c r="AW156" s="23" t="str">
        <f aca="false">IF(TRIM($A156)="","",IF(TRIM(C156)&lt;&gt;"",SUBSTITUTE(SUBSTITUTE(SUBSTITUTE(SUBSTITUTE(SUBSTITUTE(SUBSTITUTE(LOWER(TRIM(C156)),"~",""),"*",""),"?",""),"&lt;",""),"&gt;",""),"=",""),IF(DS156&lt;&gt;"",DS156,IFERROR(INDEX($DS$2:$DS$201,MATCH(DR156,$DT$2:$DT$201,0)),DR156))))</f>
        <v/>
      </c>
      <c r="AX156" s="23" t="n">
        <f aca="false">ROW()</f>
        <v>156</v>
      </c>
      <c r="AY156" s="23" t="n">
        <f aca="false">IF(AND(TRIM($A156)&lt;&gt;"",ISNUMBER(H156)),IF(AND(LEFT($A156,6)="SAMPLE",Config!$B$19&lt;&gt;"Y"),0,1),0)</f>
        <v>0</v>
      </c>
      <c r="AZ156" s="23" t="n">
        <f aca="false">IF(AY156=1,IF(COUNTIFS($AW$2:$AW$201,AW156,$AY$2:$AY$201,1,$H$2:$H$201,"&lt;"&amp;H156)+COUNTIFS($AW$2:$AW$201,AW156,$AY$2:$AY$201,1,$H$2:$H$201,H156,$AX$2:$AX$201,"&lt;"&amp;AX156)=0,1,0),0)</f>
        <v>0</v>
      </c>
      <c r="BA156" s="23" t="n">
        <f aca="false">IF(AY156=1,IF(COUNTIFS($A$2:$A$201,$A156,$AY$2:$AY$201,1,$H$2:$H$201,"&gt;"&amp;H156)+COUNTIFS($A$2:$A$201,$A156,$AY$2:$AY$201,1,$H$2:$H$201,H156,$AX$2:$AX$201,"&gt;"&amp;AX156)=0,1,0),0)</f>
        <v>0</v>
      </c>
      <c r="BB156" s="23" t="n">
        <f aca="false">IF(AND(AY156=1,O156="Y",MAX(N(R156),N(V156))&gt;=Config!$B$14),1,0)</f>
        <v>0</v>
      </c>
      <c r="BC156" s="23" t="n">
        <f aca="false">IF(BB156=1,IF(COUNTIFS($AW$2:$AW$201,AW156,$BB$2:$BB$201,1,$H$2:$H$201,"&lt;"&amp;H156)+COUNTIFS($AW$2:$AW$201,AW156,$BB$2:$BB$201,1,$H$2:$H$201,H156,$AX$2:$AX$201,"&lt;"&amp;AX156)=0,1,0),0)</f>
        <v>0</v>
      </c>
      <c r="BD156" s="23" t="n">
        <f aca="false">IF(AND(AY156=1,O156="Y",ISNUMBER(R156)),IF(R156&gt;=Config!$B$14,1,0),0)</f>
        <v>0</v>
      </c>
      <c r="BE156" s="23" t="n">
        <f aca="false">IF(BD156=1,IF(COUNTIFS($AW$2:$AW$201,AW156,$BD$2:$BD$201,1,$H$2:$H$201,"&lt;"&amp;H156)+COUNTIFS($AW$2:$AW$201,AW156,$BD$2:$BD$201,1,$H$2:$H$201,H156,$AX$2:$AX$201,"&lt;"&amp;AX156)=0,1,0),0)</f>
        <v>0</v>
      </c>
      <c r="BF156" s="23" t="n">
        <f aca="false">IF(AND(AY156=1,O156&lt;&gt;"Y",MAX(N(R156),N(V156))&gt;=Config!$B$14),1,0)</f>
        <v>0</v>
      </c>
      <c r="BG156" s="23" t="n">
        <f aca="false">IF(BF156=1,IF(COUNTIFS($AW$2:$AW$201,AW156,$BF$2:$BF$201,1,$H$2:$H$201,"&lt;"&amp;H156)+COUNTIFS($AW$2:$AW$201,AW156,$BF$2:$BF$201,1,$H$2:$H$201,H156,$AX$2:$AX$201,"&lt;"&amp;AX156)=0,1,0),0)</f>
        <v>0</v>
      </c>
      <c r="BH156" s="23" t="n">
        <f aca="false">IF(AND(AY156=1,ISNUMBER(R156)),1,0)</f>
        <v>0</v>
      </c>
      <c r="BI156" s="23" t="n">
        <f aca="false">IF(BH156=1,IF(COUNTIFS($AW$2:$AW$201,AW156,$BH$2:$BH$201,1,$H$2:$H$201,"&lt;"&amp;H156)+COUNTIFS($AW$2:$AW$201,AW156,$BH$2:$BH$201,1,$H$2:$H$201,H156,$AX$2:$AX$201,"&lt;"&amp;AX156)=0,1,0),0)</f>
        <v>0</v>
      </c>
      <c r="BJ156" s="23" t="str">
        <f aca="false">IF(AND(BI156=1,INT(N(H156))&lt;=Config!$B$6),R156,"")</f>
        <v/>
      </c>
      <c r="BK156" s="23" t="str">
        <f aca="false">IF(AND(BI156=1,INT(N(H156))&lt;=Config!$B$7),R156,"")</f>
        <v/>
      </c>
      <c r="BL156" s="23" t="str">
        <f aca="false">IF(AND(BI156=1,INT(N(H156))&lt;=Config!$B$8),R156,"")</f>
        <v/>
      </c>
      <c r="BM156" s="23" t="str">
        <f aca="false">IF(AND(BI156=1,INT(N(H156))&lt;=Config!$B$5),R156,"")</f>
        <v/>
      </c>
      <c r="BN156" s="23" t="n">
        <f aca="false">IF(AND(AY156=1,ISNUMBER(V156)),1,0)</f>
        <v>0</v>
      </c>
      <c r="BO156" s="23" t="n">
        <f aca="false">IF(BN156=1,IF(COUNTIFS($AW$2:$AW$201,AW156,$BN$2:$BN$201,1,$H$2:$H$201,"&lt;"&amp;H156)+COUNTIFS($AW$2:$AW$201,AW156,$BN$2:$BN$201,1,$H$2:$H$201,H156,$AX$2:$AX$201,"&lt;"&amp;AX156)=0,1,0),0)</f>
        <v>0</v>
      </c>
      <c r="BP156" s="23" t="str">
        <f aca="false">IF(AND(BO156=1,INT(N(H156))&lt;=Config!$B$6),V156,"")</f>
        <v/>
      </c>
      <c r="BQ156" s="23" t="str">
        <f aca="false">IF(AND(BO156=1,INT(N(H156))&lt;=Config!$B$7),V156,"")</f>
        <v/>
      </c>
      <c r="BR156" s="23" t="str">
        <f aca="false">IF(AND(BO156=1,INT(N(H156))&lt;=Config!$B$8),V156,"")</f>
        <v/>
      </c>
      <c r="BS156" s="23" t="str">
        <f aca="false">IF(AND(BO156=1,INT(N(H156))&lt;=Config!$B$5),V156,"")</f>
        <v/>
      </c>
      <c r="BT156" s="23" t="n">
        <f aca="false">IF(AND(AY156=1,ISNUMBER(K156)),1,0)</f>
        <v>0</v>
      </c>
      <c r="BU156" s="23" t="n">
        <f aca="false">IF(BT156=1,IF(COUNTIFS($AW$2:$AW$201,AW156,$BT$2:$BT$201,1,$H$2:$H$201,"&lt;"&amp;H156)+COUNTIFS($AW$2:$AW$201,AW156,$BT$2:$BT$201,1,$H$2:$H$201,H156,$AX$2:$AX$201,"&lt;"&amp;AX156)=0,1,0),0)</f>
        <v>0</v>
      </c>
      <c r="BV156" s="23" t="str">
        <f aca="false">IF(AND(BU156=1,INT(N(H156))&lt;=Config!$B$5),K156,"")</f>
        <v/>
      </c>
      <c r="BW156" s="23" t="n">
        <f aca="false">IF(AND(AY156=1,OR(AND(ISNUMBER(R156),TRIM(S156)=""),AND(ISNUMBER(V156),TRIM(W156)=""))),1,0)</f>
        <v>0</v>
      </c>
      <c r="BX156" s="23" t="str">
        <f aca="false">IF(AY156=1,AJ156&amp;"","")</f>
        <v/>
      </c>
      <c r="BY156" s="23" t="str">
        <f aca="false">IF(AY156=1,AK156&amp;"","")</f>
        <v/>
      </c>
      <c r="BZ156" s="23" t="str">
        <f aca="false">IF(AY156=1,AL156&amp;"","")</f>
        <v/>
      </c>
      <c r="CA156" s="23" t="str">
        <f aca="false">IF(AND(AY156=1,ISNUMBER(AS156),INT(N(H156))&lt;=Config!$B$5),AS156,"")</f>
        <v/>
      </c>
      <c r="CB156" s="23" t="str">
        <f aca="false">IF(AY156=1,IF(COUNTIFS($A$2:$A$201,$A156,$CU$2:$CU$201,1,$AN$2:$AN$201,"Y")&gt;0,"Y","N"),"")</f>
        <v/>
      </c>
      <c r="CC156" s="23" t="n">
        <f aca="false">IF(AND(AY156=1,AN156="Y"),IF(COUNTIFS($AW$2:$AW$201,AW156,$AN$2:$AN$201,"Y",$AY$2:$AY$201,1,$H$2:$H$201,"&lt;"&amp;H156)+COUNTIFS($AW$2:$AW$201,AW156,$AN$2:$AN$201,"Y",$AY$2:$AY$201,1,$H$2:$H$201,H156,$AX$2:$AX$201,"&lt;"&amp;AX156)=0,1,0),0)</f>
        <v>0</v>
      </c>
      <c r="CD156" s="23" t="n">
        <f aca="false">IF(AND(AY156=1,AB156="Y",AC156="Y",AD156="Y",AE156="Y",AF156="Y",AG156="Y",AI156="Y",TRIM(AH156)&lt;&gt;""),1,0)</f>
        <v>0</v>
      </c>
      <c r="CE156" s="23" t="n">
        <f aca="false">IF(CD156=1,IF(COUNTIFS($AW$2:$AW$201,AW156,$CD$2:$CD$201,1,$H$2:$H$201,"&lt;"&amp;H156)+COUNTIFS($AW$2:$AW$201,AW156,$CD$2:$CD$201,1,$H$2:$H$201,H156,$AX$2:$AX$201,"&lt;"&amp;AX156)=0,1,0),0)</f>
        <v>0</v>
      </c>
      <c r="CF156" s="23" t="n">
        <f aca="false">IF(AND(AY156=1,AO156="Y"),1,0)</f>
        <v>0</v>
      </c>
      <c r="CG156" s="23" t="n">
        <f aca="false">IF(CF156=1,IF(COUNTIFS($AW$2:$AW$201,AW156,$CF$2:$CF$201,1,$H$2:$H$201,"&lt;"&amp;H156)+COUNTIFS($AW$2:$AW$201,AW156,$CF$2:$CF$201,1,$H$2:$H$201,H156,$AX$2:$AX$201,"&lt;"&amp;AX156)=0,1,0),0)</f>
        <v>0</v>
      </c>
      <c r="CH156" s="23" t="n">
        <f aca="false">IF(AND(AY156=1,P156="Y"),1,0)</f>
        <v>0</v>
      </c>
      <c r="CI156" s="23" t="n">
        <f aca="false">IF(CH156=1,IF(COUNTIFS($AW$2:$AW$201,AW156,$CH$2:$CH$201,1,$H$2:$H$201,"&lt;"&amp;H156)+COUNTIFS($AW$2:$AW$201,AW156,$CH$2:$CH$201,1,$H$2:$H$201,H156,$AX$2:$AX$201,"&lt;"&amp;AX156)=0,1,0),0)</f>
        <v>0</v>
      </c>
      <c r="CJ156" s="23" t="str">
        <f aca="false">IF(AND(BU156=1,INT(N(H156))&lt;=Config!$B$5),L156,"")</f>
        <v/>
      </c>
      <c r="CK156" s="23" t="n">
        <f aca="false">IF(AND(AY156=1,AR156="Y"),1,0)</f>
        <v>0</v>
      </c>
      <c r="CL156" s="23" t="n">
        <f aca="false">IF(CK156=1,IF(COUNTIFS($AW$2:$AW$201,AW156,$CK$2:$CK$201,1,$H$2:$H$201,"&lt;"&amp;H156)+COUNTIFS($AW$2:$AW$201,AW156,$CK$2:$CK$201,1,$H$2:$H$201,H156,$AX$2:$AX$201,"&lt;"&amp;AX156)=0,1,0),0)</f>
        <v>0</v>
      </c>
      <c r="CM156" s="23" t="str">
        <f aca="false">IF(AY156=1,IFERROR(MATCH($A156,INDEX(Clay_Brands!$A$2:$FZ$601,0,Sync!$D$5),0),""),"")</f>
        <v/>
      </c>
      <c r="CN156" s="23" t="str">
        <f aca="false">IF(CM156="","",IFERROR(INDEX(Clay_Brands!$A$2:$FZ$601,CM156,Sync!$D$7)&amp;"",""))</f>
        <v/>
      </c>
      <c r="CO156" s="23" t="str">
        <f aca="false">IF(CN156="","",IFERROR(INDEX(Lists!$K$2:$K$15,MATCH(CN156,Lists!$J$2:$J$15,0)),""))</f>
        <v/>
      </c>
      <c r="CP156" s="23" t="str">
        <f aca="false">IF(CM156="","",IFERROR(INDEX(Clay_Brands!$A$2:$FZ$601,CM156,Sync!$D$17)&amp;"",""))</f>
        <v/>
      </c>
      <c r="CQ156" s="35" t="str">
        <f aca="false">IF(CM156="","",IFERROR(N(INDEX(Clay_Brands!$A$2:$FZ$601,CM156,Sync!$D$16)),0))</f>
        <v/>
      </c>
      <c r="CR156" s="23" t="n">
        <f aca="false">IF(AND(AY156=1,OR(O156="N",AND(OR(ISNUMBER(R156),ISNUMBER(V156)),MAX(N(R156),N(V156))&lt;Config!$B$14))),1,0)</f>
        <v>0</v>
      </c>
      <c r="CS156" s="23" t="n">
        <f aca="false">IF(OR(BB156=1,CR156=1),1,0)</f>
        <v>0</v>
      </c>
      <c r="CT156" s="23" t="n">
        <f aca="false">IF(AND(AY156=1,OR(AN156="Y",AN156="N",AN156="maybe")),1,0)</f>
        <v>0</v>
      </c>
      <c r="CU156" s="23" t="n">
        <f aca="false">IF(AND(CT156=1),IF(COUNTIFS($A$2:$A$201,$A156,$CT$2:$CT$201,1,$H$2:$H$201,"&gt;"&amp;H156)+COUNTIFS($A$2:$A$201,$A156,$CT$2:$CT$201,1,$H$2:$H$201,H156,$AX$2:$AX$201,"&gt;"&amp;AX156)=0,1,0),0)</f>
        <v>0</v>
      </c>
      <c r="CV156" s="23" t="n">
        <f aca="false">IF(AND(CS156=1,INT(N(H156))&lt;=Config!$B$6),IF(COUNTIFS($AW$2:$AW$201,AW156,$CS$2:$CS$201,1,$H$2:$H$201,"&gt;"&amp;H156,$H$2:$H$201,"&lt;"&amp;(Config!$B$6+1))+COUNTIFS($AW$2:$AW$201,AW156,$CS$2:$CS$201,1,$H$2:$H$201,H156,$AX$2:$AX$201,"&gt;"&amp;AX156)=0,1,0),0)</f>
        <v>0</v>
      </c>
      <c r="CW156" s="23" t="n">
        <f aca="false">IF(AND(CS156=1,INT(N(H156))&lt;=Config!$B$7),IF(COUNTIFS($AW$2:$AW$201,AW156,$CS$2:$CS$201,1,$H$2:$H$201,"&gt;"&amp;H156,$H$2:$H$201,"&lt;"&amp;(Config!$B$7+1))+COUNTIFS($AW$2:$AW$201,AW156,$CS$2:$CS$201,1,$H$2:$H$201,H156,$AX$2:$AX$201,"&gt;"&amp;AX156)=0,1,0),0)</f>
        <v>0</v>
      </c>
      <c r="CX156" s="23" t="n">
        <f aca="false">IF(AND(CS156=1,INT(N(H156))&lt;=Config!$B$8),IF(COUNTIFS($AW$2:$AW$201,AW156,$CS$2:$CS$201,1,$H$2:$H$201,"&gt;"&amp;H156,$H$2:$H$201,"&lt;"&amp;(Config!$B$8+1))+COUNTIFS($AW$2:$AW$201,AW156,$CS$2:$CS$201,1,$H$2:$H$201,H156,$AX$2:$AX$201,"&gt;"&amp;AX156)=0,1,0),0)</f>
        <v>0</v>
      </c>
      <c r="CY156" s="23" t="n">
        <f aca="false">IF(AND(CS156=1,INT(N(H156))&lt;=Config!$B$5),IF(COUNTIFS($AW$2:$AW$201,AW156,$CS$2:$CS$201,1,$H$2:$H$201,"&gt;"&amp;H156,$H$2:$H$201,"&lt;"&amp;(Config!$B$5+1))+COUNTIFS($AW$2:$AW$201,AW156,$CS$2:$CS$201,1,$H$2:$H$201,H156,$AX$2:$AX$201,"&gt;"&amp;AX156)=0,1,0),0)</f>
        <v>0</v>
      </c>
      <c r="CZ156" s="23" t="n">
        <f aca="false">IF(AY156=1,IF(COUNTIFS($AW$2:$AW$201,AW156,$CV$2:$CV$201,1,$BB$2:$BB$201,1)&gt;0,1,0),0)</f>
        <v>0</v>
      </c>
      <c r="DA156" s="23" t="n">
        <f aca="false">IF(AY156=1,IF(COUNTIFS($AW$2:$AW$201,AW156,$CW$2:$CW$201,1,$BB$2:$BB$201,1)&gt;0,1,0),0)</f>
        <v>0</v>
      </c>
      <c r="DB156" s="23" t="n">
        <f aca="false">IF(AY156=1,IF(COUNTIFS($AW$2:$AW$201,AW156,$CX$2:$CX$201,1,$BB$2:$BB$201,1)&gt;0,1,0),0)</f>
        <v>0</v>
      </c>
      <c r="DC156" s="23" t="n">
        <f aca="false">IF(AY156=1,IF(COUNTIFS($AW$2:$AW$201,AW156,$CY$2:$CY$201,1,$BB$2:$BB$201,1)&gt;0,1,0),0)</f>
        <v>0</v>
      </c>
      <c r="DD156" s="23" t="n">
        <f aca="false">IF(AND(BC156=1,INT(N(H156))&lt;=Config!$B$6,CZ156=1),1,0)</f>
        <v>0</v>
      </c>
      <c r="DE156" s="23" t="n">
        <f aca="false">IF(AND(BC156=1,INT(N(H156))&lt;=Config!$B$7,DA156=1),1,0)</f>
        <v>0</v>
      </c>
      <c r="DF156" s="23" t="n">
        <f aca="false">IF(AND(BC156=1,INT(N(H156))&lt;=Config!$B$8,DB156=1),1,0)</f>
        <v>0</v>
      </c>
      <c r="DG156" s="23" t="n">
        <f aca="false">IF(AND(BC156=1,INT(N(H156))&lt;=Config!$B$5,DC156=1),1,0)</f>
        <v>0</v>
      </c>
      <c r="DH156" s="23" t="n">
        <f aca="false">IF(AND(BE156=1,INT(N(H156))&lt;=Config!$B$6,CZ156=1),1,0)</f>
        <v>0</v>
      </c>
      <c r="DI156" s="23" t="n">
        <f aca="false">IF(AND(BE156=1,INT(N(H156))&lt;=Config!$B$7,DA156=1),1,0)</f>
        <v>0</v>
      </c>
      <c r="DJ156" s="23" t="n">
        <f aca="false">IF(AND(BE156=1,INT(N(H156))&lt;=Config!$B$8,DB156=1),1,0)</f>
        <v>0</v>
      </c>
      <c r="DK156" s="23" t="n">
        <f aca="false">IF(AND(BE156=1,INT(N(H156))&lt;=Config!$B$5,DC156=1),1,0)</f>
        <v>0</v>
      </c>
      <c r="DL156" s="23" t="n">
        <f aca="false">IF(AND(BC156=1,INT(N(H156))&lt;=Config!$B$6,CZ156=0),1,0)</f>
        <v>0</v>
      </c>
      <c r="DM156" s="23" t="n">
        <f aca="false">IF(AND(BC156=1,INT(N(H156))&lt;=Config!$B$7,DA156=0),1,0)</f>
        <v>0</v>
      </c>
      <c r="DN156" s="23" t="n">
        <f aca="false">IF(AND(BC156=1,INT(N(H156))&lt;=Config!$B$8,DB156=0),1,0)</f>
        <v>0</v>
      </c>
      <c r="DO156" s="23" t="n">
        <f aca="false">IF(AND(BC156=1,INT(N(H156))&lt;=Config!$B$5,DC156=0),1,0)</f>
        <v>0</v>
      </c>
      <c r="DP156" s="23" t="n">
        <f aca="false">IF(TRIM($A156)="",0,ISTEXT(K156)+ISTEXT(L156)+ISTEXT(R156)+ISTEXT(V156)+ISTEXT(AP156)+ISTEXT(AS156))</f>
        <v>0</v>
      </c>
      <c r="DQ156" s="23" t="n">
        <f aca="false">IF(AY156=1,IF(H156&lt;&gt;INT(H156),1,0),0)</f>
        <v>0</v>
      </c>
      <c r="DR156" s="23" t="str">
        <f aca="false">IF(TRIM($A156)="","",IF(TRIM(B156)="",SUBSTITUTE(SUBSTITUTE(SUBSTITUTE(SUBSTITUTE(SUBSTITUTE(SUBSTITUTE(LOWER(TRIM($A156)),"~",""),"*",""),"?",""),"&lt;",""),"&gt;",""),"=",""),SUBSTITUTE(SUBSTITUTE(SUBSTITUTE(SUBSTITUTE(SUBSTITUTE(SUBSTITUTE(LOWER(TRIM(B156)),"~",""),"*",""),"?",""),"&lt;",""),"&gt;",""),"=","")))</f>
        <v/>
      </c>
      <c r="DS156" s="23" t="str">
        <f aca="false">IF(CM156="","",IFERROR(IF(LEFT(LOWER(TRIM(INDEX(Clay_Brands!$A$2:$FZ$601,CM156,Sync!$D$19)&amp;"")),4)="grp-",SUBSTITUTE(SUBSTITUTE(SUBSTITUTE(SUBSTITUTE(SUBSTITUTE(SUBSTITUTE(LOWER(TRIM(INDEX(Clay_Brands!$A$2:$FZ$601,CM156,Sync!$D$19)&amp;"")),"~",""),"*",""),"?",""),"&lt;",""),"&gt;",""),"=",""),""),""))</f>
        <v/>
      </c>
      <c r="DT156" s="23" t="str">
        <f aca="false">IF(DS156&lt;&gt;"",DR156,"")</f>
        <v/>
      </c>
      <c r="DU156" s="23" t="str">
        <f aca="false">IF(AZ156=1,AW156,"")</f>
        <v/>
      </c>
      <c r="DV156" s="23" t="str">
        <f aca="false">IF(TRIM($A156)="","",IFERROR(INDEX($A$2:$A$201,MATCH(AW156,$DU$2:$DU$201,0))&amp;"",$A156&amp;""))</f>
        <v/>
      </c>
      <c r="DW156" s="23" t="n">
        <f aca="false">IF(AY156=1,IF(COUNTIFS($A$2:$A$201,$A156,$AY$2:$AY$201,1,$H$2:$H$201,"&lt;"&amp;H156)+COUNTIFS($A$2:$A$201,$A156,$AY$2:$AY$201,1,$H$2:$H$201,H156,$AX$2:$AX$201,"&lt;"&amp;AX156)=0,1,0),0)</f>
        <v>0</v>
      </c>
      <c r="DX156" s="23" t="n">
        <f aca="false">IF(AZ156=1,IF(COUNTIFS($AW$2:$AW$201,AW156,$DW$2:$DW$201,1)&gt;1,1,0),0)</f>
        <v>0</v>
      </c>
    </row>
    <row r="157" customFormat="false" ht="15" hidden="false" customHeight="false" outlineLevel="0" collapsed="false">
      <c r="G157" s="32"/>
      <c r="H157" s="33"/>
      <c r="I157" s="32"/>
      <c r="O157" s="32"/>
      <c r="P157" s="32"/>
      <c r="U157" s="32"/>
      <c r="Y157" s="32"/>
      <c r="AB157" s="32"/>
      <c r="AC157" s="32"/>
      <c r="AD157" s="32"/>
      <c r="AE157" s="32"/>
      <c r="AF157" s="32"/>
      <c r="AG157" s="32"/>
      <c r="AI157" s="32"/>
      <c r="AJ157" s="32"/>
      <c r="AK157" s="32"/>
      <c r="AN157" s="32"/>
      <c r="AO157" s="32"/>
      <c r="AR157" s="32"/>
      <c r="AT157" s="32"/>
      <c r="AV157" s="34" t="str">
        <f aca="false">IF(TRIM($A157)="","",IF(AND(LEFT($A157,6)="SAMPLE",Config!$B$19&lt;&gt;"Y"),"",IF(NOT(ISNUMBER(H157)),"call_date is blank or not a date",IF(Sync!$D$5="","Clay paste is empty or has no row_id column: paste the Clay export on Clay_Brands",IF(CM157="","row_id not found in the Clay paste: add the Clay row or fix the row_id",IF(AND(ISNUMBER(CO157),CO157&gt;=1,CO157&lt;=5),"Clay status is "&amp;CN157&amp;": set call_done or later",IF(AND(BA157=1,CP157&lt;&gt;CB157),"Clay yes_in_principle should be "&amp;CB157,IF(AND(BA157=1,CQ157&lt;&gt;H157),"Clay call_date should be "&amp;TEXT(H157,"yyyy-mm-dd"),""))))))))</f>
        <v/>
      </c>
      <c r="AW157" s="23" t="str">
        <f aca="false">IF(TRIM($A157)="","",IF(TRIM(C157)&lt;&gt;"",SUBSTITUTE(SUBSTITUTE(SUBSTITUTE(SUBSTITUTE(SUBSTITUTE(SUBSTITUTE(LOWER(TRIM(C157)),"~",""),"*",""),"?",""),"&lt;",""),"&gt;",""),"=",""),IF(DS157&lt;&gt;"",DS157,IFERROR(INDEX($DS$2:$DS$201,MATCH(DR157,$DT$2:$DT$201,0)),DR157))))</f>
        <v/>
      </c>
      <c r="AX157" s="23" t="n">
        <f aca="false">ROW()</f>
        <v>157</v>
      </c>
      <c r="AY157" s="23" t="n">
        <f aca="false">IF(AND(TRIM($A157)&lt;&gt;"",ISNUMBER(H157)),IF(AND(LEFT($A157,6)="SAMPLE",Config!$B$19&lt;&gt;"Y"),0,1),0)</f>
        <v>0</v>
      </c>
      <c r="AZ157" s="23" t="n">
        <f aca="false">IF(AY157=1,IF(COUNTIFS($AW$2:$AW$201,AW157,$AY$2:$AY$201,1,$H$2:$H$201,"&lt;"&amp;H157)+COUNTIFS($AW$2:$AW$201,AW157,$AY$2:$AY$201,1,$H$2:$H$201,H157,$AX$2:$AX$201,"&lt;"&amp;AX157)=0,1,0),0)</f>
        <v>0</v>
      </c>
      <c r="BA157" s="23" t="n">
        <f aca="false">IF(AY157=1,IF(COUNTIFS($A$2:$A$201,$A157,$AY$2:$AY$201,1,$H$2:$H$201,"&gt;"&amp;H157)+COUNTIFS($A$2:$A$201,$A157,$AY$2:$AY$201,1,$H$2:$H$201,H157,$AX$2:$AX$201,"&gt;"&amp;AX157)=0,1,0),0)</f>
        <v>0</v>
      </c>
      <c r="BB157" s="23" t="n">
        <f aca="false">IF(AND(AY157=1,O157="Y",MAX(N(R157),N(V157))&gt;=Config!$B$14),1,0)</f>
        <v>0</v>
      </c>
      <c r="BC157" s="23" t="n">
        <f aca="false">IF(BB157=1,IF(COUNTIFS($AW$2:$AW$201,AW157,$BB$2:$BB$201,1,$H$2:$H$201,"&lt;"&amp;H157)+COUNTIFS($AW$2:$AW$201,AW157,$BB$2:$BB$201,1,$H$2:$H$201,H157,$AX$2:$AX$201,"&lt;"&amp;AX157)=0,1,0),0)</f>
        <v>0</v>
      </c>
      <c r="BD157" s="23" t="n">
        <f aca="false">IF(AND(AY157=1,O157="Y",ISNUMBER(R157)),IF(R157&gt;=Config!$B$14,1,0),0)</f>
        <v>0</v>
      </c>
      <c r="BE157" s="23" t="n">
        <f aca="false">IF(BD157=1,IF(COUNTIFS($AW$2:$AW$201,AW157,$BD$2:$BD$201,1,$H$2:$H$201,"&lt;"&amp;H157)+COUNTIFS($AW$2:$AW$201,AW157,$BD$2:$BD$201,1,$H$2:$H$201,H157,$AX$2:$AX$201,"&lt;"&amp;AX157)=0,1,0),0)</f>
        <v>0</v>
      </c>
      <c r="BF157" s="23" t="n">
        <f aca="false">IF(AND(AY157=1,O157&lt;&gt;"Y",MAX(N(R157),N(V157))&gt;=Config!$B$14),1,0)</f>
        <v>0</v>
      </c>
      <c r="BG157" s="23" t="n">
        <f aca="false">IF(BF157=1,IF(COUNTIFS($AW$2:$AW$201,AW157,$BF$2:$BF$201,1,$H$2:$H$201,"&lt;"&amp;H157)+COUNTIFS($AW$2:$AW$201,AW157,$BF$2:$BF$201,1,$H$2:$H$201,H157,$AX$2:$AX$201,"&lt;"&amp;AX157)=0,1,0),0)</f>
        <v>0</v>
      </c>
      <c r="BH157" s="23" t="n">
        <f aca="false">IF(AND(AY157=1,ISNUMBER(R157)),1,0)</f>
        <v>0</v>
      </c>
      <c r="BI157" s="23" t="n">
        <f aca="false">IF(BH157=1,IF(COUNTIFS($AW$2:$AW$201,AW157,$BH$2:$BH$201,1,$H$2:$H$201,"&lt;"&amp;H157)+COUNTIFS($AW$2:$AW$201,AW157,$BH$2:$BH$201,1,$H$2:$H$201,H157,$AX$2:$AX$201,"&lt;"&amp;AX157)=0,1,0),0)</f>
        <v>0</v>
      </c>
      <c r="BJ157" s="23" t="str">
        <f aca="false">IF(AND(BI157=1,INT(N(H157))&lt;=Config!$B$6),R157,"")</f>
        <v/>
      </c>
      <c r="BK157" s="23" t="str">
        <f aca="false">IF(AND(BI157=1,INT(N(H157))&lt;=Config!$B$7),R157,"")</f>
        <v/>
      </c>
      <c r="BL157" s="23" t="str">
        <f aca="false">IF(AND(BI157=1,INT(N(H157))&lt;=Config!$B$8),R157,"")</f>
        <v/>
      </c>
      <c r="BM157" s="23" t="str">
        <f aca="false">IF(AND(BI157=1,INT(N(H157))&lt;=Config!$B$5),R157,"")</f>
        <v/>
      </c>
      <c r="BN157" s="23" t="n">
        <f aca="false">IF(AND(AY157=1,ISNUMBER(V157)),1,0)</f>
        <v>0</v>
      </c>
      <c r="BO157" s="23" t="n">
        <f aca="false">IF(BN157=1,IF(COUNTIFS($AW$2:$AW$201,AW157,$BN$2:$BN$201,1,$H$2:$H$201,"&lt;"&amp;H157)+COUNTIFS($AW$2:$AW$201,AW157,$BN$2:$BN$201,1,$H$2:$H$201,H157,$AX$2:$AX$201,"&lt;"&amp;AX157)=0,1,0),0)</f>
        <v>0</v>
      </c>
      <c r="BP157" s="23" t="str">
        <f aca="false">IF(AND(BO157=1,INT(N(H157))&lt;=Config!$B$6),V157,"")</f>
        <v/>
      </c>
      <c r="BQ157" s="23" t="str">
        <f aca="false">IF(AND(BO157=1,INT(N(H157))&lt;=Config!$B$7),V157,"")</f>
        <v/>
      </c>
      <c r="BR157" s="23" t="str">
        <f aca="false">IF(AND(BO157=1,INT(N(H157))&lt;=Config!$B$8),V157,"")</f>
        <v/>
      </c>
      <c r="BS157" s="23" t="str">
        <f aca="false">IF(AND(BO157=1,INT(N(H157))&lt;=Config!$B$5),V157,"")</f>
        <v/>
      </c>
      <c r="BT157" s="23" t="n">
        <f aca="false">IF(AND(AY157=1,ISNUMBER(K157)),1,0)</f>
        <v>0</v>
      </c>
      <c r="BU157" s="23" t="n">
        <f aca="false">IF(BT157=1,IF(COUNTIFS($AW$2:$AW$201,AW157,$BT$2:$BT$201,1,$H$2:$H$201,"&lt;"&amp;H157)+COUNTIFS($AW$2:$AW$201,AW157,$BT$2:$BT$201,1,$H$2:$H$201,H157,$AX$2:$AX$201,"&lt;"&amp;AX157)=0,1,0),0)</f>
        <v>0</v>
      </c>
      <c r="BV157" s="23" t="str">
        <f aca="false">IF(AND(BU157=1,INT(N(H157))&lt;=Config!$B$5),K157,"")</f>
        <v/>
      </c>
      <c r="BW157" s="23" t="n">
        <f aca="false">IF(AND(AY157=1,OR(AND(ISNUMBER(R157),TRIM(S157)=""),AND(ISNUMBER(V157),TRIM(W157)=""))),1,0)</f>
        <v>0</v>
      </c>
      <c r="BX157" s="23" t="str">
        <f aca="false">IF(AY157=1,AJ157&amp;"","")</f>
        <v/>
      </c>
      <c r="BY157" s="23" t="str">
        <f aca="false">IF(AY157=1,AK157&amp;"","")</f>
        <v/>
      </c>
      <c r="BZ157" s="23" t="str">
        <f aca="false">IF(AY157=1,AL157&amp;"","")</f>
        <v/>
      </c>
      <c r="CA157" s="23" t="str">
        <f aca="false">IF(AND(AY157=1,ISNUMBER(AS157),INT(N(H157))&lt;=Config!$B$5),AS157,"")</f>
        <v/>
      </c>
      <c r="CB157" s="23" t="str">
        <f aca="false">IF(AY157=1,IF(COUNTIFS($A$2:$A$201,$A157,$CU$2:$CU$201,1,$AN$2:$AN$201,"Y")&gt;0,"Y","N"),"")</f>
        <v/>
      </c>
      <c r="CC157" s="23" t="n">
        <f aca="false">IF(AND(AY157=1,AN157="Y"),IF(COUNTIFS($AW$2:$AW$201,AW157,$AN$2:$AN$201,"Y",$AY$2:$AY$201,1,$H$2:$H$201,"&lt;"&amp;H157)+COUNTIFS($AW$2:$AW$201,AW157,$AN$2:$AN$201,"Y",$AY$2:$AY$201,1,$H$2:$H$201,H157,$AX$2:$AX$201,"&lt;"&amp;AX157)=0,1,0),0)</f>
        <v>0</v>
      </c>
      <c r="CD157" s="23" t="n">
        <f aca="false">IF(AND(AY157=1,AB157="Y",AC157="Y",AD157="Y",AE157="Y",AF157="Y",AG157="Y",AI157="Y",TRIM(AH157)&lt;&gt;""),1,0)</f>
        <v>0</v>
      </c>
      <c r="CE157" s="23" t="n">
        <f aca="false">IF(CD157=1,IF(COUNTIFS($AW$2:$AW$201,AW157,$CD$2:$CD$201,1,$H$2:$H$201,"&lt;"&amp;H157)+COUNTIFS($AW$2:$AW$201,AW157,$CD$2:$CD$201,1,$H$2:$H$201,H157,$AX$2:$AX$201,"&lt;"&amp;AX157)=0,1,0),0)</f>
        <v>0</v>
      </c>
      <c r="CF157" s="23" t="n">
        <f aca="false">IF(AND(AY157=1,AO157="Y"),1,0)</f>
        <v>0</v>
      </c>
      <c r="CG157" s="23" t="n">
        <f aca="false">IF(CF157=1,IF(COUNTIFS($AW$2:$AW$201,AW157,$CF$2:$CF$201,1,$H$2:$H$201,"&lt;"&amp;H157)+COUNTIFS($AW$2:$AW$201,AW157,$CF$2:$CF$201,1,$H$2:$H$201,H157,$AX$2:$AX$201,"&lt;"&amp;AX157)=0,1,0),0)</f>
        <v>0</v>
      </c>
      <c r="CH157" s="23" t="n">
        <f aca="false">IF(AND(AY157=1,P157="Y"),1,0)</f>
        <v>0</v>
      </c>
      <c r="CI157" s="23" t="n">
        <f aca="false">IF(CH157=1,IF(COUNTIFS($AW$2:$AW$201,AW157,$CH$2:$CH$201,1,$H$2:$H$201,"&lt;"&amp;H157)+COUNTIFS($AW$2:$AW$201,AW157,$CH$2:$CH$201,1,$H$2:$H$201,H157,$AX$2:$AX$201,"&lt;"&amp;AX157)=0,1,0),0)</f>
        <v>0</v>
      </c>
      <c r="CJ157" s="23" t="str">
        <f aca="false">IF(AND(BU157=1,INT(N(H157))&lt;=Config!$B$5),L157,"")</f>
        <v/>
      </c>
      <c r="CK157" s="23" t="n">
        <f aca="false">IF(AND(AY157=1,AR157="Y"),1,0)</f>
        <v>0</v>
      </c>
      <c r="CL157" s="23" t="n">
        <f aca="false">IF(CK157=1,IF(COUNTIFS($AW$2:$AW$201,AW157,$CK$2:$CK$201,1,$H$2:$H$201,"&lt;"&amp;H157)+COUNTIFS($AW$2:$AW$201,AW157,$CK$2:$CK$201,1,$H$2:$H$201,H157,$AX$2:$AX$201,"&lt;"&amp;AX157)=0,1,0),0)</f>
        <v>0</v>
      </c>
      <c r="CM157" s="23" t="str">
        <f aca="false">IF(AY157=1,IFERROR(MATCH($A157,INDEX(Clay_Brands!$A$2:$FZ$601,0,Sync!$D$5),0),""),"")</f>
        <v/>
      </c>
      <c r="CN157" s="23" t="str">
        <f aca="false">IF(CM157="","",IFERROR(INDEX(Clay_Brands!$A$2:$FZ$601,CM157,Sync!$D$7)&amp;"",""))</f>
        <v/>
      </c>
      <c r="CO157" s="23" t="str">
        <f aca="false">IF(CN157="","",IFERROR(INDEX(Lists!$K$2:$K$15,MATCH(CN157,Lists!$J$2:$J$15,0)),""))</f>
        <v/>
      </c>
      <c r="CP157" s="23" t="str">
        <f aca="false">IF(CM157="","",IFERROR(INDEX(Clay_Brands!$A$2:$FZ$601,CM157,Sync!$D$17)&amp;"",""))</f>
        <v/>
      </c>
      <c r="CQ157" s="35" t="str">
        <f aca="false">IF(CM157="","",IFERROR(N(INDEX(Clay_Brands!$A$2:$FZ$601,CM157,Sync!$D$16)),0))</f>
        <v/>
      </c>
      <c r="CR157" s="23" t="n">
        <f aca="false">IF(AND(AY157=1,OR(O157="N",AND(OR(ISNUMBER(R157),ISNUMBER(V157)),MAX(N(R157),N(V157))&lt;Config!$B$14))),1,0)</f>
        <v>0</v>
      </c>
      <c r="CS157" s="23" t="n">
        <f aca="false">IF(OR(BB157=1,CR157=1),1,0)</f>
        <v>0</v>
      </c>
      <c r="CT157" s="23" t="n">
        <f aca="false">IF(AND(AY157=1,OR(AN157="Y",AN157="N",AN157="maybe")),1,0)</f>
        <v>0</v>
      </c>
      <c r="CU157" s="23" t="n">
        <f aca="false">IF(AND(CT157=1),IF(COUNTIFS($A$2:$A$201,$A157,$CT$2:$CT$201,1,$H$2:$H$201,"&gt;"&amp;H157)+COUNTIFS($A$2:$A$201,$A157,$CT$2:$CT$201,1,$H$2:$H$201,H157,$AX$2:$AX$201,"&gt;"&amp;AX157)=0,1,0),0)</f>
        <v>0</v>
      </c>
      <c r="CV157" s="23" t="n">
        <f aca="false">IF(AND(CS157=1,INT(N(H157))&lt;=Config!$B$6),IF(COUNTIFS($AW$2:$AW$201,AW157,$CS$2:$CS$201,1,$H$2:$H$201,"&gt;"&amp;H157,$H$2:$H$201,"&lt;"&amp;(Config!$B$6+1))+COUNTIFS($AW$2:$AW$201,AW157,$CS$2:$CS$201,1,$H$2:$H$201,H157,$AX$2:$AX$201,"&gt;"&amp;AX157)=0,1,0),0)</f>
        <v>0</v>
      </c>
      <c r="CW157" s="23" t="n">
        <f aca="false">IF(AND(CS157=1,INT(N(H157))&lt;=Config!$B$7),IF(COUNTIFS($AW$2:$AW$201,AW157,$CS$2:$CS$201,1,$H$2:$H$201,"&gt;"&amp;H157,$H$2:$H$201,"&lt;"&amp;(Config!$B$7+1))+COUNTIFS($AW$2:$AW$201,AW157,$CS$2:$CS$201,1,$H$2:$H$201,H157,$AX$2:$AX$201,"&gt;"&amp;AX157)=0,1,0),0)</f>
        <v>0</v>
      </c>
      <c r="CX157" s="23" t="n">
        <f aca="false">IF(AND(CS157=1,INT(N(H157))&lt;=Config!$B$8),IF(COUNTIFS($AW$2:$AW$201,AW157,$CS$2:$CS$201,1,$H$2:$H$201,"&gt;"&amp;H157,$H$2:$H$201,"&lt;"&amp;(Config!$B$8+1))+COUNTIFS($AW$2:$AW$201,AW157,$CS$2:$CS$201,1,$H$2:$H$201,H157,$AX$2:$AX$201,"&gt;"&amp;AX157)=0,1,0),0)</f>
        <v>0</v>
      </c>
      <c r="CY157" s="23" t="n">
        <f aca="false">IF(AND(CS157=1,INT(N(H157))&lt;=Config!$B$5),IF(COUNTIFS($AW$2:$AW$201,AW157,$CS$2:$CS$201,1,$H$2:$H$201,"&gt;"&amp;H157,$H$2:$H$201,"&lt;"&amp;(Config!$B$5+1))+COUNTIFS($AW$2:$AW$201,AW157,$CS$2:$CS$201,1,$H$2:$H$201,H157,$AX$2:$AX$201,"&gt;"&amp;AX157)=0,1,0),0)</f>
        <v>0</v>
      </c>
      <c r="CZ157" s="23" t="n">
        <f aca="false">IF(AY157=1,IF(COUNTIFS($AW$2:$AW$201,AW157,$CV$2:$CV$201,1,$BB$2:$BB$201,1)&gt;0,1,0),0)</f>
        <v>0</v>
      </c>
      <c r="DA157" s="23" t="n">
        <f aca="false">IF(AY157=1,IF(COUNTIFS($AW$2:$AW$201,AW157,$CW$2:$CW$201,1,$BB$2:$BB$201,1)&gt;0,1,0),0)</f>
        <v>0</v>
      </c>
      <c r="DB157" s="23" t="n">
        <f aca="false">IF(AY157=1,IF(COUNTIFS($AW$2:$AW$201,AW157,$CX$2:$CX$201,1,$BB$2:$BB$201,1)&gt;0,1,0),0)</f>
        <v>0</v>
      </c>
      <c r="DC157" s="23" t="n">
        <f aca="false">IF(AY157=1,IF(COUNTIFS($AW$2:$AW$201,AW157,$CY$2:$CY$201,1,$BB$2:$BB$201,1)&gt;0,1,0),0)</f>
        <v>0</v>
      </c>
      <c r="DD157" s="23" t="n">
        <f aca="false">IF(AND(BC157=1,INT(N(H157))&lt;=Config!$B$6,CZ157=1),1,0)</f>
        <v>0</v>
      </c>
      <c r="DE157" s="23" t="n">
        <f aca="false">IF(AND(BC157=1,INT(N(H157))&lt;=Config!$B$7,DA157=1),1,0)</f>
        <v>0</v>
      </c>
      <c r="DF157" s="23" t="n">
        <f aca="false">IF(AND(BC157=1,INT(N(H157))&lt;=Config!$B$8,DB157=1),1,0)</f>
        <v>0</v>
      </c>
      <c r="DG157" s="23" t="n">
        <f aca="false">IF(AND(BC157=1,INT(N(H157))&lt;=Config!$B$5,DC157=1),1,0)</f>
        <v>0</v>
      </c>
      <c r="DH157" s="23" t="n">
        <f aca="false">IF(AND(BE157=1,INT(N(H157))&lt;=Config!$B$6,CZ157=1),1,0)</f>
        <v>0</v>
      </c>
      <c r="DI157" s="23" t="n">
        <f aca="false">IF(AND(BE157=1,INT(N(H157))&lt;=Config!$B$7,DA157=1),1,0)</f>
        <v>0</v>
      </c>
      <c r="DJ157" s="23" t="n">
        <f aca="false">IF(AND(BE157=1,INT(N(H157))&lt;=Config!$B$8,DB157=1),1,0)</f>
        <v>0</v>
      </c>
      <c r="DK157" s="23" t="n">
        <f aca="false">IF(AND(BE157=1,INT(N(H157))&lt;=Config!$B$5,DC157=1),1,0)</f>
        <v>0</v>
      </c>
      <c r="DL157" s="23" t="n">
        <f aca="false">IF(AND(BC157=1,INT(N(H157))&lt;=Config!$B$6,CZ157=0),1,0)</f>
        <v>0</v>
      </c>
      <c r="DM157" s="23" t="n">
        <f aca="false">IF(AND(BC157=1,INT(N(H157))&lt;=Config!$B$7,DA157=0),1,0)</f>
        <v>0</v>
      </c>
      <c r="DN157" s="23" t="n">
        <f aca="false">IF(AND(BC157=1,INT(N(H157))&lt;=Config!$B$8,DB157=0),1,0)</f>
        <v>0</v>
      </c>
      <c r="DO157" s="23" t="n">
        <f aca="false">IF(AND(BC157=1,INT(N(H157))&lt;=Config!$B$5,DC157=0),1,0)</f>
        <v>0</v>
      </c>
      <c r="DP157" s="23" t="n">
        <f aca="false">IF(TRIM($A157)="",0,ISTEXT(K157)+ISTEXT(L157)+ISTEXT(R157)+ISTEXT(V157)+ISTEXT(AP157)+ISTEXT(AS157))</f>
        <v>0</v>
      </c>
      <c r="DQ157" s="23" t="n">
        <f aca="false">IF(AY157=1,IF(H157&lt;&gt;INT(H157),1,0),0)</f>
        <v>0</v>
      </c>
      <c r="DR157" s="23" t="str">
        <f aca="false">IF(TRIM($A157)="","",IF(TRIM(B157)="",SUBSTITUTE(SUBSTITUTE(SUBSTITUTE(SUBSTITUTE(SUBSTITUTE(SUBSTITUTE(LOWER(TRIM($A157)),"~",""),"*",""),"?",""),"&lt;",""),"&gt;",""),"=",""),SUBSTITUTE(SUBSTITUTE(SUBSTITUTE(SUBSTITUTE(SUBSTITUTE(SUBSTITUTE(LOWER(TRIM(B157)),"~",""),"*",""),"?",""),"&lt;",""),"&gt;",""),"=","")))</f>
        <v/>
      </c>
      <c r="DS157" s="23" t="str">
        <f aca="false">IF(CM157="","",IFERROR(IF(LEFT(LOWER(TRIM(INDEX(Clay_Brands!$A$2:$FZ$601,CM157,Sync!$D$19)&amp;"")),4)="grp-",SUBSTITUTE(SUBSTITUTE(SUBSTITUTE(SUBSTITUTE(SUBSTITUTE(SUBSTITUTE(LOWER(TRIM(INDEX(Clay_Brands!$A$2:$FZ$601,CM157,Sync!$D$19)&amp;"")),"~",""),"*",""),"?",""),"&lt;",""),"&gt;",""),"=",""),""),""))</f>
        <v/>
      </c>
      <c r="DT157" s="23" t="str">
        <f aca="false">IF(DS157&lt;&gt;"",DR157,"")</f>
        <v/>
      </c>
      <c r="DU157" s="23" t="str">
        <f aca="false">IF(AZ157=1,AW157,"")</f>
        <v/>
      </c>
      <c r="DV157" s="23" t="str">
        <f aca="false">IF(TRIM($A157)="","",IFERROR(INDEX($A$2:$A$201,MATCH(AW157,$DU$2:$DU$201,0))&amp;"",$A157&amp;""))</f>
        <v/>
      </c>
      <c r="DW157" s="23" t="n">
        <f aca="false">IF(AY157=1,IF(COUNTIFS($A$2:$A$201,$A157,$AY$2:$AY$201,1,$H$2:$H$201,"&lt;"&amp;H157)+COUNTIFS($A$2:$A$201,$A157,$AY$2:$AY$201,1,$H$2:$H$201,H157,$AX$2:$AX$201,"&lt;"&amp;AX157)=0,1,0),0)</f>
        <v>0</v>
      </c>
      <c r="DX157" s="23" t="n">
        <f aca="false">IF(AZ157=1,IF(COUNTIFS($AW$2:$AW$201,AW157,$DW$2:$DW$201,1)&gt;1,1,0),0)</f>
        <v>0</v>
      </c>
    </row>
    <row r="158" customFormat="false" ht="15" hidden="false" customHeight="false" outlineLevel="0" collapsed="false">
      <c r="G158" s="32"/>
      <c r="H158" s="33"/>
      <c r="I158" s="32"/>
      <c r="O158" s="32"/>
      <c r="P158" s="32"/>
      <c r="U158" s="32"/>
      <c r="Y158" s="32"/>
      <c r="AB158" s="32"/>
      <c r="AC158" s="32"/>
      <c r="AD158" s="32"/>
      <c r="AE158" s="32"/>
      <c r="AF158" s="32"/>
      <c r="AG158" s="32"/>
      <c r="AI158" s="32"/>
      <c r="AJ158" s="32"/>
      <c r="AK158" s="32"/>
      <c r="AN158" s="32"/>
      <c r="AO158" s="32"/>
      <c r="AR158" s="32"/>
      <c r="AT158" s="32"/>
      <c r="AV158" s="34" t="str">
        <f aca="false">IF(TRIM($A158)="","",IF(AND(LEFT($A158,6)="SAMPLE",Config!$B$19&lt;&gt;"Y"),"",IF(NOT(ISNUMBER(H158)),"call_date is blank or not a date",IF(Sync!$D$5="","Clay paste is empty or has no row_id column: paste the Clay export on Clay_Brands",IF(CM158="","row_id not found in the Clay paste: add the Clay row or fix the row_id",IF(AND(ISNUMBER(CO158),CO158&gt;=1,CO158&lt;=5),"Clay status is "&amp;CN158&amp;": set call_done or later",IF(AND(BA158=1,CP158&lt;&gt;CB158),"Clay yes_in_principle should be "&amp;CB158,IF(AND(BA158=1,CQ158&lt;&gt;H158),"Clay call_date should be "&amp;TEXT(H158,"yyyy-mm-dd"),""))))))))</f>
        <v/>
      </c>
      <c r="AW158" s="23" t="str">
        <f aca="false">IF(TRIM($A158)="","",IF(TRIM(C158)&lt;&gt;"",SUBSTITUTE(SUBSTITUTE(SUBSTITUTE(SUBSTITUTE(SUBSTITUTE(SUBSTITUTE(LOWER(TRIM(C158)),"~",""),"*",""),"?",""),"&lt;",""),"&gt;",""),"=",""),IF(DS158&lt;&gt;"",DS158,IFERROR(INDEX($DS$2:$DS$201,MATCH(DR158,$DT$2:$DT$201,0)),DR158))))</f>
        <v/>
      </c>
      <c r="AX158" s="23" t="n">
        <f aca="false">ROW()</f>
        <v>158</v>
      </c>
      <c r="AY158" s="23" t="n">
        <f aca="false">IF(AND(TRIM($A158)&lt;&gt;"",ISNUMBER(H158)),IF(AND(LEFT($A158,6)="SAMPLE",Config!$B$19&lt;&gt;"Y"),0,1),0)</f>
        <v>0</v>
      </c>
      <c r="AZ158" s="23" t="n">
        <f aca="false">IF(AY158=1,IF(COUNTIFS($AW$2:$AW$201,AW158,$AY$2:$AY$201,1,$H$2:$H$201,"&lt;"&amp;H158)+COUNTIFS($AW$2:$AW$201,AW158,$AY$2:$AY$201,1,$H$2:$H$201,H158,$AX$2:$AX$201,"&lt;"&amp;AX158)=0,1,0),0)</f>
        <v>0</v>
      </c>
      <c r="BA158" s="23" t="n">
        <f aca="false">IF(AY158=1,IF(COUNTIFS($A$2:$A$201,$A158,$AY$2:$AY$201,1,$H$2:$H$201,"&gt;"&amp;H158)+COUNTIFS($A$2:$A$201,$A158,$AY$2:$AY$201,1,$H$2:$H$201,H158,$AX$2:$AX$201,"&gt;"&amp;AX158)=0,1,0),0)</f>
        <v>0</v>
      </c>
      <c r="BB158" s="23" t="n">
        <f aca="false">IF(AND(AY158=1,O158="Y",MAX(N(R158),N(V158))&gt;=Config!$B$14),1,0)</f>
        <v>0</v>
      </c>
      <c r="BC158" s="23" t="n">
        <f aca="false">IF(BB158=1,IF(COUNTIFS($AW$2:$AW$201,AW158,$BB$2:$BB$201,1,$H$2:$H$201,"&lt;"&amp;H158)+COUNTIFS($AW$2:$AW$201,AW158,$BB$2:$BB$201,1,$H$2:$H$201,H158,$AX$2:$AX$201,"&lt;"&amp;AX158)=0,1,0),0)</f>
        <v>0</v>
      </c>
      <c r="BD158" s="23" t="n">
        <f aca="false">IF(AND(AY158=1,O158="Y",ISNUMBER(R158)),IF(R158&gt;=Config!$B$14,1,0),0)</f>
        <v>0</v>
      </c>
      <c r="BE158" s="23" t="n">
        <f aca="false">IF(BD158=1,IF(COUNTIFS($AW$2:$AW$201,AW158,$BD$2:$BD$201,1,$H$2:$H$201,"&lt;"&amp;H158)+COUNTIFS($AW$2:$AW$201,AW158,$BD$2:$BD$201,1,$H$2:$H$201,H158,$AX$2:$AX$201,"&lt;"&amp;AX158)=0,1,0),0)</f>
        <v>0</v>
      </c>
      <c r="BF158" s="23" t="n">
        <f aca="false">IF(AND(AY158=1,O158&lt;&gt;"Y",MAX(N(R158),N(V158))&gt;=Config!$B$14),1,0)</f>
        <v>0</v>
      </c>
      <c r="BG158" s="23" t="n">
        <f aca="false">IF(BF158=1,IF(COUNTIFS($AW$2:$AW$201,AW158,$BF$2:$BF$201,1,$H$2:$H$201,"&lt;"&amp;H158)+COUNTIFS($AW$2:$AW$201,AW158,$BF$2:$BF$201,1,$H$2:$H$201,H158,$AX$2:$AX$201,"&lt;"&amp;AX158)=0,1,0),0)</f>
        <v>0</v>
      </c>
      <c r="BH158" s="23" t="n">
        <f aca="false">IF(AND(AY158=1,ISNUMBER(R158)),1,0)</f>
        <v>0</v>
      </c>
      <c r="BI158" s="23" t="n">
        <f aca="false">IF(BH158=1,IF(COUNTIFS($AW$2:$AW$201,AW158,$BH$2:$BH$201,1,$H$2:$H$201,"&lt;"&amp;H158)+COUNTIFS($AW$2:$AW$201,AW158,$BH$2:$BH$201,1,$H$2:$H$201,H158,$AX$2:$AX$201,"&lt;"&amp;AX158)=0,1,0),0)</f>
        <v>0</v>
      </c>
      <c r="BJ158" s="23" t="str">
        <f aca="false">IF(AND(BI158=1,INT(N(H158))&lt;=Config!$B$6),R158,"")</f>
        <v/>
      </c>
      <c r="BK158" s="23" t="str">
        <f aca="false">IF(AND(BI158=1,INT(N(H158))&lt;=Config!$B$7),R158,"")</f>
        <v/>
      </c>
      <c r="BL158" s="23" t="str">
        <f aca="false">IF(AND(BI158=1,INT(N(H158))&lt;=Config!$B$8),R158,"")</f>
        <v/>
      </c>
      <c r="BM158" s="23" t="str">
        <f aca="false">IF(AND(BI158=1,INT(N(H158))&lt;=Config!$B$5),R158,"")</f>
        <v/>
      </c>
      <c r="BN158" s="23" t="n">
        <f aca="false">IF(AND(AY158=1,ISNUMBER(V158)),1,0)</f>
        <v>0</v>
      </c>
      <c r="BO158" s="23" t="n">
        <f aca="false">IF(BN158=1,IF(COUNTIFS($AW$2:$AW$201,AW158,$BN$2:$BN$201,1,$H$2:$H$201,"&lt;"&amp;H158)+COUNTIFS($AW$2:$AW$201,AW158,$BN$2:$BN$201,1,$H$2:$H$201,H158,$AX$2:$AX$201,"&lt;"&amp;AX158)=0,1,0),0)</f>
        <v>0</v>
      </c>
      <c r="BP158" s="23" t="str">
        <f aca="false">IF(AND(BO158=1,INT(N(H158))&lt;=Config!$B$6),V158,"")</f>
        <v/>
      </c>
      <c r="BQ158" s="23" t="str">
        <f aca="false">IF(AND(BO158=1,INT(N(H158))&lt;=Config!$B$7),V158,"")</f>
        <v/>
      </c>
      <c r="BR158" s="23" t="str">
        <f aca="false">IF(AND(BO158=1,INT(N(H158))&lt;=Config!$B$8),V158,"")</f>
        <v/>
      </c>
      <c r="BS158" s="23" t="str">
        <f aca="false">IF(AND(BO158=1,INT(N(H158))&lt;=Config!$B$5),V158,"")</f>
        <v/>
      </c>
      <c r="BT158" s="23" t="n">
        <f aca="false">IF(AND(AY158=1,ISNUMBER(K158)),1,0)</f>
        <v>0</v>
      </c>
      <c r="BU158" s="23" t="n">
        <f aca="false">IF(BT158=1,IF(COUNTIFS($AW$2:$AW$201,AW158,$BT$2:$BT$201,1,$H$2:$H$201,"&lt;"&amp;H158)+COUNTIFS($AW$2:$AW$201,AW158,$BT$2:$BT$201,1,$H$2:$H$201,H158,$AX$2:$AX$201,"&lt;"&amp;AX158)=0,1,0),0)</f>
        <v>0</v>
      </c>
      <c r="BV158" s="23" t="str">
        <f aca="false">IF(AND(BU158=1,INT(N(H158))&lt;=Config!$B$5),K158,"")</f>
        <v/>
      </c>
      <c r="BW158" s="23" t="n">
        <f aca="false">IF(AND(AY158=1,OR(AND(ISNUMBER(R158),TRIM(S158)=""),AND(ISNUMBER(V158),TRIM(W158)=""))),1,0)</f>
        <v>0</v>
      </c>
      <c r="BX158" s="23" t="str">
        <f aca="false">IF(AY158=1,AJ158&amp;"","")</f>
        <v/>
      </c>
      <c r="BY158" s="23" t="str">
        <f aca="false">IF(AY158=1,AK158&amp;"","")</f>
        <v/>
      </c>
      <c r="BZ158" s="23" t="str">
        <f aca="false">IF(AY158=1,AL158&amp;"","")</f>
        <v/>
      </c>
      <c r="CA158" s="23" t="str">
        <f aca="false">IF(AND(AY158=1,ISNUMBER(AS158),INT(N(H158))&lt;=Config!$B$5),AS158,"")</f>
        <v/>
      </c>
      <c r="CB158" s="23" t="str">
        <f aca="false">IF(AY158=1,IF(COUNTIFS($A$2:$A$201,$A158,$CU$2:$CU$201,1,$AN$2:$AN$201,"Y")&gt;0,"Y","N"),"")</f>
        <v/>
      </c>
      <c r="CC158" s="23" t="n">
        <f aca="false">IF(AND(AY158=1,AN158="Y"),IF(COUNTIFS($AW$2:$AW$201,AW158,$AN$2:$AN$201,"Y",$AY$2:$AY$201,1,$H$2:$H$201,"&lt;"&amp;H158)+COUNTIFS($AW$2:$AW$201,AW158,$AN$2:$AN$201,"Y",$AY$2:$AY$201,1,$H$2:$H$201,H158,$AX$2:$AX$201,"&lt;"&amp;AX158)=0,1,0),0)</f>
        <v>0</v>
      </c>
      <c r="CD158" s="23" t="n">
        <f aca="false">IF(AND(AY158=1,AB158="Y",AC158="Y",AD158="Y",AE158="Y",AF158="Y",AG158="Y",AI158="Y",TRIM(AH158)&lt;&gt;""),1,0)</f>
        <v>0</v>
      </c>
      <c r="CE158" s="23" t="n">
        <f aca="false">IF(CD158=1,IF(COUNTIFS($AW$2:$AW$201,AW158,$CD$2:$CD$201,1,$H$2:$H$201,"&lt;"&amp;H158)+COUNTIFS($AW$2:$AW$201,AW158,$CD$2:$CD$201,1,$H$2:$H$201,H158,$AX$2:$AX$201,"&lt;"&amp;AX158)=0,1,0),0)</f>
        <v>0</v>
      </c>
      <c r="CF158" s="23" t="n">
        <f aca="false">IF(AND(AY158=1,AO158="Y"),1,0)</f>
        <v>0</v>
      </c>
      <c r="CG158" s="23" t="n">
        <f aca="false">IF(CF158=1,IF(COUNTIFS($AW$2:$AW$201,AW158,$CF$2:$CF$201,1,$H$2:$H$201,"&lt;"&amp;H158)+COUNTIFS($AW$2:$AW$201,AW158,$CF$2:$CF$201,1,$H$2:$H$201,H158,$AX$2:$AX$201,"&lt;"&amp;AX158)=0,1,0),0)</f>
        <v>0</v>
      </c>
      <c r="CH158" s="23" t="n">
        <f aca="false">IF(AND(AY158=1,P158="Y"),1,0)</f>
        <v>0</v>
      </c>
      <c r="CI158" s="23" t="n">
        <f aca="false">IF(CH158=1,IF(COUNTIFS($AW$2:$AW$201,AW158,$CH$2:$CH$201,1,$H$2:$H$201,"&lt;"&amp;H158)+COUNTIFS($AW$2:$AW$201,AW158,$CH$2:$CH$201,1,$H$2:$H$201,H158,$AX$2:$AX$201,"&lt;"&amp;AX158)=0,1,0),0)</f>
        <v>0</v>
      </c>
      <c r="CJ158" s="23" t="str">
        <f aca="false">IF(AND(BU158=1,INT(N(H158))&lt;=Config!$B$5),L158,"")</f>
        <v/>
      </c>
      <c r="CK158" s="23" t="n">
        <f aca="false">IF(AND(AY158=1,AR158="Y"),1,0)</f>
        <v>0</v>
      </c>
      <c r="CL158" s="23" t="n">
        <f aca="false">IF(CK158=1,IF(COUNTIFS($AW$2:$AW$201,AW158,$CK$2:$CK$201,1,$H$2:$H$201,"&lt;"&amp;H158)+COUNTIFS($AW$2:$AW$201,AW158,$CK$2:$CK$201,1,$H$2:$H$201,H158,$AX$2:$AX$201,"&lt;"&amp;AX158)=0,1,0),0)</f>
        <v>0</v>
      </c>
      <c r="CM158" s="23" t="str">
        <f aca="false">IF(AY158=1,IFERROR(MATCH($A158,INDEX(Clay_Brands!$A$2:$FZ$601,0,Sync!$D$5),0),""),"")</f>
        <v/>
      </c>
      <c r="CN158" s="23" t="str">
        <f aca="false">IF(CM158="","",IFERROR(INDEX(Clay_Brands!$A$2:$FZ$601,CM158,Sync!$D$7)&amp;"",""))</f>
        <v/>
      </c>
      <c r="CO158" s="23" t="str">
        <f aca="false">IF(CN158="","",IFERROR(INDEX(Lists!$K$2:$K$15,MATCH(CN158,Lists!$J$2:$J$15,0)),""))</f>
        <v/>
      </c>
      <c r="CP158" s="23" t="str">
        <f aca="false">IF(CM158="","",IFERROR(INDEX(Clay_Brands!$A$2:$FZ$601,CM158,Sync!$D$17)&amp;"",""))</f>
        <v/>
      </c>
      <c r="CQ158" s="35" t="str">
        <f aca="false">IF(CM158="","",IFERROR(N(INDEX(Clay_Brands!$A$2:$FZ$601,CM158,Sync!$D$16)),0))</f>
        <v/>
      </c>
      <c r="CR158" s="23" t="n">
        <f aca="false">IF(AND(AY158=1,OR(O158="N",AND(OR(ISNUMBER(R158),ISNUMBER(V158)),MAX(N(R158),N(V158))&lt;Config!$B$14))),1,0)</f>
        <v>0</v>
      </c>
      <c r="CS158" s="23" t="n">
        <f aca="false">IF(OR(BB158=1,CR158=1),1,0)</f>
        <v>0</v>
      </c>
      <c r="CT158" s="23" t="n">
        <f aca="false">IF(AND(AY158=1,OR(AN158="Y",AN158="N",AN158="maybe")),1,0)</f>
        <v>0</v>
      </c>
      <c r="CU158" s="23" t="n">
        <f aca="false">IF(AND(CT158=1),IF(COUNTIFS($A$2:$A$201,$A158,$CT$2:$CT$201,1,$H$2:$H$201,"&gt;"&amp;H158)+COUNTIFS($A$2:$A$201,$A158,$CT$2:$CT$201,1,$H$2:$H$201,H158,$AX$2:$AX$201,"&gt;"&amp;AX158)=0,1,0),0)</f>
        <v>0</v>
      </c>
      <c r="CV158" s="23" t="n">
        <f aca="false">IF(AND(CS158=1,INT(N(H158))&lt;=Config!$B$6),IF(COUNTIFS($AW$2:$AW$201,AW158,$CS$2:$CS$201,1,$H$2:$H$201,"&gt;"&amp;H158,$H$2:$H$201,"&lt;"&amp;(Config!$B$6+1))+COUNTIFS($AW$2:$AW$201,AW158,$CS$2:$CS$201,1,$H$2:$H$201,H158,$AX$2:$AX$201,"&gt;"&amp;AX158)=0,1,0),0)</f>
        <v>0</v>
      </c>
      <c r="CW158" s="23" t="n">
        <f aca="false">IF(AND(CS158=1,INT(N(H158))&lt;=Config!$B$7),IF(COUNTIFS($AW$2:$AW$201,AW158,$CS$2:$CS$201,1,$H$2:$H$201,"&gt;"&amp;H158,$H$2:$H$201,"&lt;"&amp;(Config!$B$7+1))+COUNTIFS($AW$2:$AW$201,AW158,$CS$2:$CS$201,1,$H$2:$H$201,H158,$AX$2:$AX$201,"&gt;"&amp;AX158)=0,1,0),0)</f>
        <v>0</v>
      </c>
      <c r="CX158" s="23" t="n">
        <f aca="false">IF(AND(CS158=1,INT(N(H158))&lt;=Config!$B$8),IF(COUNTIFS($AW$2:$AW$201,AW158,$CS$2:$CS$201,1,$H$2:$H$201,"&gt;"&amp;H158,$H$2:$H$201,"&lt;"&amp;(Config!$B$8+1))+COUNTIFS($AW$2:$AW$201,AW158,$CS$2:$CS$201,1,$H$2:$H$201,H158,$AX$2:$AX$201,"&gt;"&amp;AX158)=0,1,0),0)</f>
        <v>0</v>
      </c>
      <c r="CY158" s="23" t="n">
        <f aca="false">IF(AND(CS158=1,INT(N(H158))&lt;=Config!$B$5),IF(COUNTIFS($AW$2:$AW$201,AW158,$CS$2:$CS$201,1,$H$2:$H$201,"&gt;"&amp;H158,$H$2:$H$201,"&lt;"&amp;(Config!$B$5+1))+COUNTIFS($AW$2:$AW$201,AW158,$CS$2:$CS$201,1,$H$2:$H$201,H158,$AX$2:$AX$201,"&gt;"&amp;AX158)=0,1,0),0)</f>
        <v>0</v>
      </c>
      <c r="CZ158" s="23" t="n">
        <f aca="false">IF(AY158=1,IF(COUNTIFS($AW$2:$AW$201,AW158,$CV$2:$CV$201,1,$BB$2:$BB$201,1)&gt;0,1,0),0)</f>
        <v>0</v>
      </c>
      <c r="DA158" s="23" t="n">
        <f aca="false">IF(AY158=1,IF(COUNTIFS($AW$2:$AW$201,AW158,$CW$2:$CW$201,1,$BB$2:$BB$201,1)&gt;0,1,0),0)</f>
        <v>0</v>
      </c>
      <c r="DB158" s="23" t="n">
        <f aca="false">IF(AY158=1,IF(COUNTIFS($AW$2:$AW$201,AW158,$CX$2:$CX$201,1,$BB$2:$BB$201,1)&gt;0,1,0),0)</f>
        <v>0</v>
      </c>
      <c r="DC158" s="23" t="n">
        <f aca="false">IF(AY158=1,IF(COUNTIFS($AW$2:$AW$201,AW158,$CY$2:$CY$201,1,$BB$2:$BB$201,1)&gt;0,1,0),0)</f>
        <v>0</v>
      </c>
      <c r="DD158" s="23" t="n">
        <f aca="false">IF(AND(BC158=1,INT(N(H158))&lt;=Config!$B$6,CZ158=1),1,0)</f>
        <v>0</v>
      </c>
      <c r="DE158" s="23" t="n">
        <f aca="false">IF(AND(BC158=1,INT(N(H158))&lt;=Config!$B$7,DA158=1),1,0)</f>
        <v>0</v>
      </c>
      <c r="DF158" s="23" t="n">
        <f aca="false">IF(AND(BC158=1,INT(N(H158))&lt;=Config!$B$8,DB158=1),1,0)</f>
        <v>0</v>
      </c>
      <c r="DG158" s="23" t="n">
        <f aca="false">IF(AND(BC158=1,INT(N(H158))&lt;=Config!$B$5,DC158=1),1,0)</f>
        <v>0</v>
      </c>
      <c r="DH158" s="23" t="n">
        <f aca="false">IF(AND(BE158=1,INT(N(H158))&lt;=Config!$B$6,CZ158=1),1,0)</f>
        <v>0</v>
      </c>
      <c r="DI158" s="23" t="n">
        <f aca="false">IF(AND(BE158=1,INT(N(H158))&lt;=Config!$B$7,DA158=1),1,0)</f>
        <v>0</v>
      </c>
      <c r="DJ158" s="23" t="n">
        <f aca="false">IF(AND(BE158=1,INT(N(H158))&lt;=Config!$B$8,DB158=1),1,0)</f>
        <v>0</v>
      </c>
      <c r="DK158" s="23" t="n">
        <f aca="false">IF(AND(BE158=1,INT(N(H158))&lt;=Config!$B$5,DC158=1),1,0)</f>
        <v>0</v>
      </c>
      <c r="DL158" s="23" t="n">
        <f aca="false">IF(AND(BC158=1,INT(N(H158))&lt;=Config!$B$6,CZ158=0),1,0)</f>
        <v>0</v>
      </c>
      <c r="DM158" s="23" t="n">
        <f aca="false">IF(AND(BC158=1,INT(N(H158))&lt;=Config!$B$7,DA158=0),1,0)</f>
        <v>0</v>
      </c>
      <c r="DN158" s="23" t="n">
        <f aca="false">IF(AND(BC158=1,INT(N(H158))&lt;=Config!$B$8,DB158=0),1,0)</f>
        <v>0</v>
      </c>
      <c r="DO158" s="23" t="n">
        <f aca="false">IF(AND(BC158=1,INT(N(H158))&lt;=Config!$B$5,DC158=0),1,0)</f>
        <v>0</v>
      </c>
      <c r="DP158" s="23" t="n">
        <f aca="false">IF(TRIM($A158)="",0,ISTEXT(K158)+ISTEXT(L158)+ISTEXT(R158)+ISTEXT(V158)+ISTEXT(AP158)+ISTEXT(AS158))</f>
        <v>0</v>
      </c>
      <c r="DQ158" s="23" t="n">
        <f aca="false">IF(AY158=1,IF(H158&lt;&gt;INT(H158),1,0),0)</f>
        <v>0</v>
      </c>
      <c r="DR158" s="23" t="str">
        <f aca="false">IF(TRIM($A158)="","",IF(TRIM(B158)="",SUBSTITUTE(SUBSTITUTE(SUBSTITUTE(SUBSTITUTE(SUBSTITUTE(SUBSTITUTE(LOWER(TRIM($A158)),"~",""),"*",""),"?",""),"&lt;",""),"&gt;",""),"=",""),SUBSTITUTE(SUBSTITUTE(SUBSTITUTE(SUBSTITUTE(SUBSTITUTE(SUBSTITUTE(LOWER(TRIM(B158)),"~",""),"*",""),"?",""),"&lt;",""),"&gt;",""),"=","")))</f>
        <v/>
      </c>
      <c r="DS158" s="23" t="str">
        <f aca="false">IF(CM158="","",IFERROR(IF(LEFT(LOWER(TRIM(INDEX(Clay_Brands!$A$2:$FZ$601,CM158,Sync!$D$19)&amp;"")),4)="grp-",SUBSTITUTE(SUBSTITUTE(SUBSTITUTE(SUBSTITUTE(SUBSTITUTE(SUBSTITUTE(LOWER(TRIM(INDEX(Clay_Brands!$A$2:$FZ$601,CM158,Sync!$D$19)&amp;"")),"~",""),"*",""),"?",""),"&lt;",""),"&gt;",""),"=",""),""),""))</f>
        <v/>
      </c>
      <c r="DT158" s="23" t="str">
        <f aca="false">IF(DS158&lt;&gt;"",DR158,"")</f>
        <v/>
      </c>
      <c r="DU158" s="23" t="str">
        <f aca="false">IF(AZ158=1,AW158,"")</f>
        <v/>
      </c>
      <c r="DV158" s="23" t="str">
        <f aca="false">IF(TRIM($A158)="","",IFERROR(INDEX($A$2:$A$201,MATCH(AW158,$DU$2:$DU$201,0))&amp;"",$A158&amp;""))</f>
        <v/>
      </c>
      <c r="DW158" s="23" t="n">
        <f aca="false">IF(AY158=1,IF(COUNTIFS($A$2:$A$201,$A158,$AY$2:$AY$201,1,$H$2:$H$201,"&lt;"&amp;H158)+COUNTIFS($A$2:$A$201,$A158,$AY$2:$AY$201,1,$H$2:$H$201,H158,$AX$2:$AX$201,"&lt;"&amp;AX158)=0,1,0),0)</f>
        <v>0</v>
      </c>
      <c r="DX158" s="23" t="n">
        <f aca="false">IF(AZ158=1,IF(COUNTIFS($AW$2:$AW$201,AW158,$DW$2:$DW$201,1)&gt;1,1,0),0)</f>
        <v>0</v>
      </c>
    </row>
    <row r="159" customFormat="false" ht="15" hidden="false" customHeight="false" outlineLevel="0" collapsed="false">
      <c r="G159" s="32"/>
      <c r="H159" s="33"/>
      <c r="I159" s="32"/>
      <c r="O159" s="32"/>
      <c r="P159" s="32"/>
      <c r="U159" s="32"/>
      <c r="Y159" s="32"/>
      <c r="AB159" s="32"/>
      <c r="AC159" s="32"/>
      <c r="AD159" s="32"/>
      <c r="AE159" s="32"/>
      <c r="AF159" s="32"/>
      <c r="AG159" s="32"/>
      <c r="AI159" s="32"/>
      <c r="AJ159" s="32"/>
      <c r="AK159" s="32"/>
      <c r="AN159" s="32"/>
      <c r="AO159" s="32"/>
      <c r="AR159" s="32"/>
      <c r="AT159" s="32"/>
      <c r="AV159" s="34" t="str">
        <f aca="false">IF(TRIM($A159)="","",IF(AND(LEFT($A159,6)="SAMPLE",Config!$B$19&lt;&gt;"Y"),"",IF(NOT(ISNUMBER(H159)),"call_date is blank or not a date",IF(Sync!$D$5="","Clay paste is empty or has no row_id column: paste the Clay export on Clay_Brands",IF(CM159="","row_id not found in the Clay paste: add the Clay row or fix the row_id",IF(AND(ISNUMBER(CO159),CO159&gt;=1,CO159&lt;=5),"Clay status is "&amp;CN159&amp;": set call_done or later",IF(AND(BA159=1,CP159&lt;&gt;CB159),"Clay yes_in_principle should be "&amp;CB159,IF(AND(BA159=1,CQ159&lt;&gt;H159),"Clay call_date should be "&amp;TEXT(H159,"yyyy-mm-dd"),""))))))))</f>
        <v/>
      </c>
      <c r="AW159" s="23" t="str">
        <f aca="false">IF(TRIM($A159)="","",IF(TRIM(C159)&lt;&gt;"",SUBSTITUTE(SUBSTITUTE(SUBSTITUTE(SUBSTITUTE(SUBSTITUTE(SUBSTITUTE(LOWER(TRIM(C159)),"~",""),"*",""),"?",""),"&lt;",""),"&gt;",""),"=",""),IF(DS159&lt;&gt;"",DS159,IFERROR(INDEX($DS$2:$DS$201,MATCH(DR159,$DT$2:$DT$201,0)),DR159))))</f>
        <v/>
      </c>
      <c r="AX159" s="23" t="n">
        <f aca="false">ROW()</f>
        <v>159</v>
      </c>
      <c r="AY159" s="23" t="n">
        <f aca="false">IF(AND(TRIM($A159)&lt;&gt;"",ISNUMBER(H159)),IF(AND(LEFT($A159,6)="SAMPLE",Config!$B$19&lt;&gt;"Y"),0,1),0)</f>
        <v>0</v>
      </c>
      <c r="AZ159" s="23" t="n">
        <f aca="false">IF(AY159=1,IF(COUNTIFS($AW$2:$AW$201,AW159,$AY$2:$AY$201,1,$H$2:$H$201,"&lt;"&amp;H159)+COUNTIFS($AW$2:$AW$201,AW159,$AY$2:$AY$201,1,$H$2:$H$201,H159,$AX$2:$AX$201,"&lt;"&amp;AX159)=0,1,0),0)</f>
        <v>0</v>
      </c>
      <c r="BA159" s="23" t="n">
        <f aca="false">IF(AY159=1,IF(COUNTIFS($A$2:$A$201,$A159,$AY$2:$AY$201,1,$H$2:$H$201,"&gt;"&amp;H159)+COUNTIFS($A$2:$A$201,$A159,$AY$2:$AY$201,1,$H$2:$H$201,H159,$AX$2:$AX$201,"&gt;"&amp;AX159)=0,1,0),0)</f>
        <v>0</v>
      </c>
      <c r="BB159" s="23" t="n">
        <f aca="false">IF(AND(AY159=1,O159="Y",MAX(N(R159),N(V159))&gt;=Config!$B$14),1,0)</f>
        <v>0</v>
      </c>
      <c r="BC159" s="23" t="n">
        <f aca="false">IF(BB159=1,IF(COUNTIFS($AW$2:$AW$201,AW159,$BB$2:$BB$201,1,$H$2:$H$201,"&lt;"&amp;H159)+COUNTIFS($AW$2:$AW$201,AW159,$BB$2:$BB$201,1,$H$2:$H$201,H159,$AX$2:$AX$201,"&lt;"&amp;AX159)=0,1,0),0)</f>
        <v>0</v>
      </c>
      <c r="BD159" s="23" t="n">
        <f aca="false">IF(AND(AY159=1,O159="Y",ISNUMBER(R159)),IF(R159&gt;=Config!$B$14,1,0),0)</f>
        <v>0</v>
      </c>
      <c r="BE159" s="23" t="n">
        <f aca="false">IF(BD159=1,IF(COUNTIFS($AW$2:$AW$201,AW159,$BD$2:$BD$201,1,$H$2:$H$201,"&lt;"&amp;H159)+COUNTIFS($AW$2:$AW$201,AW159,$BD$2:$BD$201,1,$H$2:$H$201,H159,$AX$2:$AX$201,"&lt;"&amp;AX159)=0,1,0),0)</f>
        <v>0</v>
      </c>
      <c r="BF159" s="23" t="n">
        <f aca="false">IF(AND(AY159=1,O159&lt;&gt;"Y",MAX(N(R159),N(V159))&gt;=Config!$B$14),1,0)</f>
        <v>0</v>
      </c>
      <c r="BG159" s="23" t="n">
        <f aca="false">IF(BF159=1,IF(COUNTIFS($AW$2:$AW$201,AW159,$BF$2:$BF$201,1,$H$2:$H$201,"&lt;"&amp;H159)+COUNTIFS($AW$2:$AW$201,AW159,$BF$2:$BF$201,1,$H$2:$H$201,H159,$AX$2:$AX$201,"&lt;"&amp;AX159)=0,1,0),0)</f>
        <v>0</v>
      </c>
      <c r="BH159" s="23" t="n">
        <f aca="false">IF(AND(AY159=1,ISNUMBER(R159)),1,0)</f>
        <v>0</v>
      </c>
      <c r="BI159" s="23" t="n">
        <f aca="false">IF(BH159=1,IF(COUNTIFS($AW$2:$AW$201,AW159,$BH$2:$BH$201,1,$H$2:$H$201,"&lt;"&amp;H159)+COUNTIFS($AW$2:$AW$201,AW159,$BH$2:$BH$201,1,$H$2:$H$201,H159,$AX$2:$AX$201,"&lt;"&amp;AX159)=0,1,0),0)</f>
        <v>0</v>
      </c>
      <c r="BJ159" s="23" t="str">
        <f aca="false">IF(AND(BI159=1,INT(N(H159))&lt;=Config!$B$6),R159,"")</f>
        <v/>
      </c>
      <c r="BK159" s="23" t="str">
        <f aca="false">IF(AND(BI159=1,INT(N(H159))&lt;=Config!$B$7),R159,"")</f>
        <v/>
      </c>
      <c r="BL159" s="23" t="str">
        <f aca="false">IF(AND(BI159=1,INT(N(H159))&lt;=Config!$B$8),R159,"")</f>
        <v/>
      </c>
      <c r="BM159" s="23" t="str">
        <f aca="false">IF(AND(BI159=1,INT(N(H159))&lt;=Config!$B$5),R159,"")</f>
        <v/>
      </c>
      <c r="BN159" s="23" t="n">
        <f aca="false">IF(AND(AY159=1,ISNUMBER(V159)),1,0)</f>
        <v>0</v>
      </c>
      <c r="BO159" s="23" t="n">
        <f aca="false">IF(BN159=1,IF(COUNTIFS($AW$2:$AW$201,AW159,$BN$2:$BN$201,1,$H$2:$H$201,"&lt;"&amp;H159)+COUNTIFS($AW$2:$AW$201,AW159,$BN$2:$BN$201,1,$H$2:$H$201,H159,$AX$2:$AX$201,"&lt;"&amp;AX159)=0,1,0),0)</f>
        <v>0</v>
      </c>
      <c r="BP159" s="23" t="str">
        <f aca="false">IF(AND(BO159=1,INT(N(H159))&lt;=Config!$B$6),V159,"")</f>
        <v/>
      </c>
      <c r="BQ159" s="23" t="str">
        <f aca="false">IF(AND(BO159=1,INT(N(H159))&lt;=Config!$B$7),V159,"")</f>
        <v/>
      </c>
      <c r="BR159" s="23" t="str">
        <f aca="false">IF(AND(BO159=1,INT(N(H159))&lt;=Config!$B$8),V159,"")</f>
        <v/>
      </c>
      <c r="BS159" s="23" t="str">
        <f aca="false">IF(AND(BO159=1,INT(N(H159))&lt;=Config!$B$5),V159,"")</f>
        <v/>
      </c>
      <c r="BT159" s="23" t="n">
        <f aca="false">IF(AND(AY159=1,ISNUMBER(K159)),1,0)</f>
        <v>0</v>
      </c>
      <c r="BU159" s="23" t="n">
        <f aca="false">IF(BT159=1,IF(COUNTIFS($AW$2:$AW$201,AW159,$BT$2:$BT$201,1,$H$2:$H$201,"&lt;"&amp;H159)+COUNTIFS($AW$2:$AW$201,AW159,$BT$2:$BT$201,1,$H$2:$H$201,H159,$AX$2:$AX$201,"&lt;"&amp;AX159)=0,1,0),0)</f>
        <v>0</v>
      </c>
      <c r="BV159" s="23" t="str">
        <f aca="false">IF(AND(BU159=1,INT(N(H159))&lt;=Config!$B$5),K159,"")</f>
        <v/>
      </c>
      <c r="BW159" s="23" t="n">
        <f aca="false">IF(AND(AY159=1,OR(AND(ISNUMBER(R159),TRIM(S159)=""),AND(ISNUMBER(V159),TRIM(W159)=""))),1,0)</f>
        <v>0</v>
      </c>
      <c r="BX159" s="23" t="str">
        <f aca="false">IF(AY159=1,AJ159&amp;"","")</f>
        <v/>
      </c>
      <c r="BY159" s="23" t="str">
        <f aca="false">IF(AY159=1,AK159&amp;"","")</f>
        <v/>
      </c>
      <c r="BZ159" s="23" t="str">
        <f aca="false">IF(AY159=1,AL159&amp;"","")</f>
        <v/>
      </c>
      <c r="CA159" s="23" t="str">
        <f aca="false">IF(AND(AY159=1,ISNUMBER(AS159),INT(N(H159))&lt;=Config!$B$5),AS159,"")</f>
        <v/>
      </c>
      <c r="CB159" s="23" t="str">
        <f aca="false">IF(AY159=1,IF(COUNTIFS($A$2:$A$201,$A159,$CU$2:$CU$201,1,$AN$2:$AN$201,"Y")&gt;0,"Y","N"),"")</f>
        <v/>
      </c>
      <c r="CC159" s="23" t="n">
        <f aca="false">IF(AND(AY159=1,AN159="Y"),IF(COUNTIFS($AW$2:$AW$201,AW159,$AN$2:$AN$201,"Y",$AY$2:$AY$201,1,$H$2:$H$201,"&lt;"&amp;H159)+COUNTIFS($AW$2:$AW$201,AW159,$AN$2:$AN$201,"Y",$AY$2:$AY$201,1,$H$2:$H$201,H159,$AX$2:$AX$201,"&lt;"&amp;AX159)=0,1,0),0)</f>
        <v>0</v>
      </c>
      <c r="CD159" s="23" t="n">
        <f aca="false">IF(AND(AY159=1,AB159="Y",AC159="Y",AD159="Y",AE159="Y",AF159="Y",AG159="Y",AI159="Y",TRIM(AH159)&lt;&gt;""),1,0)</f>
        <v>0</v>
      </c>
      <c r="CE159" s="23" t="n">
        <f aca="false">IF(CD159=1,IF(COUNTIFS($AW$2:$AW$201,AW159,$CD$2:$CD$201,1,$H$2:$H$201,"&lt;"&amp;H159)+COUNTIFS($AW$2:$AW$201,AW159,$CD$2:$CD$201,1,$H$2:$H$201,H159,$AX$2:$AX$201,"&lt;"&amp;AX159)=0,1,0),0)</f>
        <v>0</v>
      </c>
      <c r="CF159" s="23" t="n">
        <f aca="false">IF(AND(AY159=1,AO159="Y"),1,0)</f>
        <v>0</v>
      </c>
      <c r="CG159" s="23" t="n">
        <f aca="false">IF(CF159=1,IF(COUNTIFS($AW$2:$AW$201,AW159,$CF$2:$CF$201,1,$H$2:$H$201,"&lt;"&amp;H159)+COUNTIFS($AW$2:$AW$201,AW159,$CF$2:$CF$201,1,$H$2:$H$201,H159,$AX$2:$AX$201,"&lt;"&amp;AX159)=0,1,0),0)</f>
        <v>0</v>
      </c>
      <c r="CH159" s="23" t="n">
        <f aca="false">IF(AND(AY159=1,P159="Y"),1,0)</f>
        <v>0</v>
      </c>
      <c r="CI159" s="23" t="n">
        <f aca="false">IF(CH159=1,IF(COUNTIFS($AW$2:$AW$201,AW159,$CH$2:$CH$201,1,$H$2:$H$201,"&lt;"&amp;H159)+COUNTIFS($AW$2:$AW$201,AW159,$CH$2:$CH$201,1,$H$2:$H$201,H159,$AX$2:$AX$201,"&lt;"&amp;AX159)=0,1,0),0)</f>
        <v>0</v>
      </c>
      <c r="CJ159" s="23" t="str">
        <f aca="false">IF(AND(BU159=1,INT(N(H159))&lt;=Config!$B$5),L159,"")</f>
        <v/>
      </c>
      <c r="CK159" s="23" t="n">
        <f aca="false">IF(AND(AY159=1,AR159="Y"),1,0)</f>
        <v>0</v>
      </c>
      <c r="CL159" s="23" t="n">
        <f aca="false">IF(CK159=1,IF(COUNTIFS($AW$2:$AW$201,AW159,$CK$2:$CK$201,1,$H$2:$H$201,"&lt;"&amp;H159)+COUNTIFS($AW$2:$AW$201,AW159,$CK$2:$CK$201,1,$H$2:$H$201,H159,$AX$2:$AX$201,"&lt;"&amp;AX159)=0,1,0),0)</f>
        <v>0</v>
      </c>
      <c r="CM159" s="23" t="str">
        <f aca="false">IF(AY159=1,IFERROR(MATCH($A159,INDEX(Clay_Brands!$A$2:$FZ$601,0,Sync!$D$5),0),""),"")</f>
        <v/>
      </c>
      <c r="CN159" s="23" t="str">
        <f aca="false">IF(CM159="","",IFERROR(INDEX(Clay_Brands!$A$2:$FZ$601,CM159,Sync!$D$7)&amp;"",""))</f>
        <v/>
      </c>
      <c r="CO159" s="23" t="str">
        <f aca="false">IF(CN159="","",IFERROR(INDEX(Lists!$K$2:$K$15,MATCH(CN159,Lists!$J$2:$J$15,0)),""))</f>
        <v/>
      </c>
      <c r="CP159" s="23" t="str">
        <f aca="false">IF(CM159="","",IFERROR(INDEX(Clay_Brands!$A$2:$FZ$601,CM159,Sync!$D$17)&amp;"",""))</f>
        <v/>
      </c>
      <c r="CQ159" s="35" t="str">
        <f aca="false">IF(CM159="","",IFERROR(N(INDEX(Clay_Brands!$A$2:$FZ$601,CM159,Sync!$D$16)),0))</f>
        <v/>
      </c>
      <c r="CR159" s="23" t="n">
        <f aca="false">IF(AND(AY159=1,OR(O159="N",AND(OR(ISNUMBER(R159),ISNUMBER(V159)),MAX(N(R159),N(V159))&lt;Config!$B$14))),1,0)</f>
        <v>0</v>
      </c>
      <c r="CS159" s="23" t="n">
        <f aca="false">IF(OR(BB159=1,CR159=1),1,0)</f>
        <v>0</v>
      </c>
      <c r="CT159" s="23" t="n">
        <f aca="false">IF(AND(AY159=1,OR(AN159="Y",AN159="N",AN159="maybe")),1,0)</f>
        <v>0</v>
      </c>
      <c r="CU159" s="23" t="n">
        <f aca="false">IF(AND(CT159=1),IF(COUNTIFS($A$2:$A$201,$A159,$CT$2:$CT$201,1,$H$2:$H$201,"&gt;"&amp;H159)+COUNTIFS($A$2:$A$201,$A159,$CT$2:$CT$201,1,$H$2:$H$201,H159,$AX$2:$AX$201,"&gt;"&amp;AX159)=0,1,0),0)</f>
        <v>0</v>
      </c>
      <c r="CV159" s="23" t="n">
        <f aca="false">IF(AND(CS159=1,INT(N(H159))&lt;=Config!$B$6),IF(COUNTIFS($AW$2:$AW$201,AW159,$CS$2:$CS$201,1,$H$2:$H$201,"&gt;"&amp;H159,$H$2:$H$201,"&lt;"&amp;(Config!$B$6+1))+COUNTIFS($AW$2:$AW$201,AW159,$CS$2:$CS$201,1,$H$2:$H$201,H159,$AX$2:$AX$201,"&gt;"&amp;AX159)=0,1,0),0)</f>
        <v>0</v>
      </c>
      <c r="CW159" s="23" t="n">
        <f aca="false">IF(AND(CS159=1,INT(N(H159))&lt;=Config!$B$7),IF(COUNTIFS($AW$2:$AW$201,AW159,$CS$2:$CS$201,1,$H$2:$H$201,"&gt;"&amp;H159,$H$2:$H$201,"&lt;"&amp;(Config!$B$7+1))+COUNTIFS($AW$2:$AW$201,AW159,$CS$2:$CS$201,1,$H$2:$H$201,H159,$AX$2:$AX$201,"&gt;"&amp;AX159)=0,1,0),0)</f>
        <v>0</v>
      </c>
      <c r="CX159" s="23" t="n">
        <f aca="false">IF(AND(CS159=1,INT(N(H159))&lt;=Config!$B$8),IF(COUNTIFS($AW$2:$AW$201,AW159,$CS$2:$CS$201,1,$H$2:$H$201,"&gt;"&amp;H159,$H$2:$H$201,"&lt;"&amp;(Config!$B$8+1))+COUNTIFS($AW$2:$AW$201,AW159,$CS$2:$CS$201,1,$H$2:$H$201,H159,$AX$2:$AX$201,"&gt;"&amp;AX159)=0,1,0),0)</f>
        <v>0</v>
      </c>
      <c r="CY159" s="23" t="n">
        <f aca="false">IF(AND(CS159=1,INT(N(H159))&lt;=Config!$B$5),IF(COUNTIFS($AW$2:$AW$201,AW159,$CS$2:$CS$201,1,$H$2:$H$201,"&gt;"&amp;H159,$H$2:$H$201,"&lt;"&amp;(Config!$B$5+1))+COUNTIFS($AW$2:$AW$201,AW159,$CS$2:$CS$201,1,$H$2:$H$201,H159,$AX$2:$AX$201,"&gt;"&amp;AX159)=0,1,0),0)</f>
        <v>0</v>
      </c>
      <c r="CZ159" s="23" t="n">
        <f aca="false">IF(AY159=1,IF(COUNTIFS($AW$2:$AW$201,AW159,$CV$2:$CV$201,1,$BB$2:$BB$201,1)&gt;0,1,0),0)</f>
        <v>0</v>
      </c>
      <c r="DA159" s="23" t="n">
        <f aca="false">IF(AY159=1,IF(COUNTIFS($AW$2:$AW$201,AW159,$CW$2:$CW$201,1,$BB$2:$BB$201,1)&gt;0,1,0),0)</f>
        <v>0</v>
      </c>
      <c r="DB159" s="23" t="n">
        <f aca="false">IF(AY159=1,IF(COUNTIFS($AW$2:$AW$201,AW159,$CX$2:$CX$201,1,$BB$2:$BB$201,1)&gt;0,1,0),0)</f>
        <v>0</v>
      </c>
      <c r="DC159" s="23" t="n">
        <f aca="false">IF(AY159=1,IF(COUNTIFS($AW$2:$AW$201,AW159,$CY$2:$CY$201,1,$BB$2:$BB$201,1)&gt;0,1,0),0)</f>
        <v>0</v>
      </c>
      <c r="DD159" s="23" t="n">
        <f aca="false">IF(AND(BC159=1,INT(N(H159))&lt;=Config!$B$6,CZ159=1),1,0)</f>
        <v>0</v>
      </c>
      <c r="DE159" s="23" t="n">
        <f aca="false">IF(AND(BC159=1,INT(N(H159))&lt;=Config!$B$7,DA159=1),1,0)</f>
        <v>0</v>
      </c>
      <c r="DF159" s="23" t="n">
        <f aca="false">IF(AND(BC159=1,INT(N(H159))&lt;=Config!$B$8,DB159=1),1,0)</f>
        <v>0</v>
      </c>
      <c r="DG159" s="23" t="n">
        <f aca="false">IF(AND(BC159=1,INT(N(H159))&lt;=Config!$B$5,DC159=1),1,0)</f>
        <v>0</v>
      </c>
      <c r="DH159" s="23" t="n">
        <f aca="false">IF(AND(BE159=1,INT(N(H159))&lt;=Config!$B$6,CZ159=1),1,0)</f>
        <v>0</v>
      </c>
      <c r="DI159" s="23" t="n">
        <f aca="false">IF(AND(BE159=1,INT(N(H159))&lt;=Config!$B$7,DA159=1),1,0)</f>
        <v>0</v>
      </c>
      <c r="DJ159" s="23" t="n">
        <f aca="false">IF(AND(BE159=1,INT(N(H159))&lt;=Config!$B$8,DB159=1),1,0)</f>
        <v>0</v>
      </c>
      <c r="DK159" s="23" t="n">
        <f aca="false">IF(AND(BE159=1,INT(N(H159))&lt;=Config!$B$5,DC159=1),1,0)</f>
        <v>0</v>
      </c>
      <c r="DL159" s="23" t="n">
        <f aca="false">IF(AND(BC159=1,INT(N(H159))&lt;=Config!$B$6,CZ159=0),1,0)</f>
        <v>0</v>
      </c>
      <c r="DM159" s="23" t="n">
        <f aca="false">IF(AND(BC159=1,INT(N(H159))&lt;=Config!$B$7,DA159=0),1,0)</f>
        <v>0</v>
      </c>
      <c r="DN159" s="23" t="n">
        <f aca="false">IF(AND(BC159=1,INT(N(H159))&lt;=Config!$B$8,DB159=0),1,0)</f>
        <v>0</v>
      </c>
      <c r="DO159" s="23" t="n">
        <f aca="false">IF(AND(BC159=1,INT(N(H159))&lt;=Config!$B$5,DC159=0),1,0)</f>
        <v>0</v>
      </c>
      <c r="DP159" s="23" t="n">
        <f aca="false">IF(TRIM($A159)="",0,ISTEXT(K159)+ISTEXT(L159)+ISTEXT(R159)+ISTEXT(V159)+ISTEXT(AP159)+ISTEXT(AS159))</f>
        <v>0</v>
      </c>
      <c r="DQ159" s="23" t="n">
        <f aca="false">IF(AY159=1,IF(H159&lt;&gt;INT(H159),1,0),0)</f>
        <v>0</v>
      </c>
      <c r="DR159" s="23" t="str">
        <f aca="false">IF(TRIM($A159)="","",IF(TRIM(B159)="",SUBSTITUTE(SUBSTITUTE(SUBSTITUTE(SUBSTITUTE(SUBSTITUTE(SUBSTITUTE(LOWER(TRIM($A159)),"~",""),"*",""),"?",""),"&lt;",""),"&gt;",""),"=",""),SUBSTITUTE(SUBSTITUTE(SUBSTITUTE(SUBSTITUTE(SUBSTITUTE(SUBSTITUTE(LOWER(TRIM(B159)),"~",""),"*",""),"?",""),"&lt;",""),"&gt;",""),"=","")))</f>
        <v/>
      </c>
      <c r="DS159" s="23" t="str">
        <f aca="false">IF(CM159="","",IFERROR(IF(LEFT(LOWER(TRIM(INDEX(Clay_Brands!$A$2:$FZ$601,CM159,Sync!$D$19)&amp;"")),4)="grp-",SUBSTITUTE(SUBSTITUTE(SUBSTITUTE(SUBSTITUTE(SUBSTITUTE(SUBSTITUTE(LOWER(TRIM(INDEX(Clay_Brands!$A$2:$FZ$601,CM159,Sync!$D$19)&amp;"")),"~",""),"*",""),"?",""),"&lt;",""),"&gt;",""),"=",""),""),""))</f>
        <v/>
      </c>
      <c r="DT159" s="23" t="str">
        <f aca="false">IF(DS159&lt;&gt;"",DR159,"")</f>
        <v/>
      </c>
      <c r="DU159" s="23" t="str">
        <f aca="false">IF(AZ159=1,AW159,"")</f>
        <v/>
      </c>
      <c r="DV159" s="23" t="str">
        <f aca="false">IF(TRIM($A159)="","",IFERROR(INDEX($A$2:$A$201,MATCH(AW159,$DU$2:$DU$201,0))&amp;"",$A159&amp;""))</f>
        <v/>
      </c>
      <c r="DW159" s="23" t="n">
        <f aca="false">IF(AY159=1,IF(COUNTIFS($A$2:$A$201,$A159,$AY$2:$AY$201,1,$H$2:$H$201,"&lt;"&amp;H159)+COUNTIFS($A$2:$A$201,$A159,$AY$2:$AY$201,1,$H$2:$H$201,H159,$AX$2:$AX$201,"&lt;"&amp;AX159)=0,1,0),0)</f>
        <v>0</v>
      </c>
      <c r="DX159" s="23" t="n">
        <f aca="false">IF(AZ159=1,IF(COUNTIFS($AW$2:$AW$201,AW159,$DW$2:$DW$201,1)&gt;1,1,0),0)</f>
        <v>0</v>
      </c>
    </row>
    <row r="160" customFormat="false" ht="15" hidden="false" customHeight="false" outlineLevel="0" collapsed="false">
      <c r="G160" s="32"/>
      <c r="H160" s="33"/>
      <c r="I160" s="32"/>
      <c r="O160" s="32"/>
      <c r="P160" s="32"/>
      <c r="U160" s="32"/>
      <c r="Y160" s="32"/>
      <c r="AB160" s="32"/>
      <c r="AC160" s="32"/>
      <c r="AD160" s="32"/>
      <c r="AE160" s="32"/>
      <c r="AF160" s="32"/>
      <c r="AG160" s="32"/>
      <c r="AI160" s="32"/>
      <c r="AJ160" s="32"/>
      <c r="AK160" s="32"/>
      <c r="AN160" s="32"/>
      <c r="AO160" s="32"/>
      <c r="AR160" s="32"/>
      <c r="AT160" s="32"/>
      <c r="AV160" s="34" t="str">
        <f aca="false">IF(TRIM($A160)="","",IF(AND(LEFT($A160,6)="SAMPLE",Config!$B$19&lt;&gt;"Y"),"",IF(NOT(ISNUMBER(H160)),"call_date is blank or not a date",IF(Sync!$D$5="","Clay paste is empty or has no row_id column: paste the Clay export on Clay_Brands",IF(CM160="","row_id not found in the Clay paste: add the Clay row or fix the row_id",IF(AND(ISNUMBER(CO160),CO160&gt;=1,CO160&lt;=5),"Clay status is "&amp;CN160&amp;": set call_done or later",IF(AND(BA160=1,CP160&lt;&gt;CB160),"Clay yes_in_principle should be "&amp;CB160,IF(AND(BA160=1,CQ160&lt;&gt;H160),"Clay call_date should be "&amp;TEXT(H160,"yyyy-mm-dd"),""))))))))</f>
        <v/>
      </c>
      <c r="AW160" s="23" t="str">
        <f aca="false">IF(TRIM($A160)="","",IF(TRIM(C160)&lt;&gt;"",SUBSTITUTE(SUBSTITUTE(SUBSTITUTE(SUBSTITUTE(SUBSTITUTE(SUBSTITUTE(LOWER(TRIM(C160)),"~",""),"*",""),"?",""),"&lt;",""),"&gt;",""),"=",""),IF(DS160&lt;&gt;"",DS160,IFERROR(INDEX($DS$2:$DS$201,MATCH(DR160,$DT$2:$DT$201,0)),DR160))))</f>
        <v/>
      </c>
      <c r="AX160" s="23" t="n">
        <f aca="false">ROW()</f>
        <v>160</v>
      </c>
      <c r="AY160" s="23" t="n">
        <f aca="false">IF(AND(TRIM($A160)&lt;&gt;"",ISNUMBER(H160)),IF(AND(LEFT($A160,6)="SAMPLE",Config!$B$19&lt;&gt;"Y"),0,1),0)</f>
        <v>0</v>
      </c>
      <c r="AZ160" s="23" t="n">
        <f aca="false">IF(AY160=1,IF(COUNTIFS($AW$2:$AW$201,AW160,$AY$2:$AY$201,1,$H$2:$H$201,"&lt;"&amp;H160)+COUNTIFS($AW$2:$AW$201,AW160,$AY$2:$AY$201,1,$H$2:$H$201,H160,$AX$2:$AX$201,"&lt;"&amp;AX160)=0,1,0),0)</f>
        <v>0</v>
      </c>
      <c r="BA160" s="23" t="n">
        <f aca="false">IF(AY160=1,IF(COUNTIFS($A$2:$A$201,$A160,$AY$2:$AY$201,1,$H$2:$H$201,"&gt;"&amp;H160)+COUNTIFS($A$2:$A$201,$A160,$AY$2:$AY$201,1,$H$2:$H$201,H160,$AX$2:$AX$201,"&gt;"&amp;AX160)=0,1,0),0)</f>
        <v>0</v>
      </c>
      <c r="BB160" s="23" t="n">
        <f aca="false">IF(AND(AY160=1,O160="Y",MAX(N(R160),N(V160))&gt;=Config!$B$14),1,0)</f>
        <v>0</v>
      </c>
      <c r="BC160" s="23" t="n">
        <f aca="false">IF(BB160=1,IF(COUNTIFS($AW$2:$AW$201,AW160,$BB$2:$BB$201,1,$H$2:$H$201,"&lt;"&amp;H160)+COUNTIFS($AW$2:$AW$201,AW160,$BB$2:$BB$201,1,$H$2:$H$201,H160,$AX$2:$AX$201,"&lt;"&amp;AX160)=0,1,0),0)</f>
        <v>0</v>
      </c>
      <c r="BD160" s="23" t="n">
        <f aca="false">IF(AND(AY160=1,O160="Y",ISNUMBER(R160)),IF(R160&gt;=Config!$B$14,1,0),0)</f>
        <v>0</v>
      </c>
      <c r="BE160" s="23" t="n">
        <f aca="false">IF(BD160=1,IF(COUNTIFS($AW$2:$AW$201,AW160,$BD$2:$BD$201,1,$H$2:$H$201,"&lt;"&amp;H160)+COUNTIFS($AW$2:$AW$201,AW160,$BD$2:$BD$201,1,$H$2:$H$201,H160,$AX$2:$AX$201,"&lt;"&amp;AX160)=0,1,0),0)</f>
        <v>0</v>
      </c>
      <c r="BF160" s="23" t="n">
        <f aca="false">IF(AND(AY160=1,O160&lt;&gt;"Y",MAX(N(R160),N(V160))&gt;=Config!$B$14),1,0)</f>
        <v>0</v>
      </c>
      <c r="BG160" s="23" t="n">
        <f aca="false">IF(BF160=1,IF(COUNTIFS($AW$2:$AW$201,AW160,$BF$2:$BF$201,1,$H$2:$H$201,"&lt;"&amp;H160)+COUNTIFS($AW$2:$AW$201,AW160,$BF$2:$BF$201,1,$H$2:$H$201,H160,$AX$2:$AX$201,"&lt;"&amp;AX160)=0,1,0),0)</f>
        <v>0</v>
      </c>
      <c r="BH160" s="23" t="n">
        <f aca="false">IF(AND(AY160=1,ISNUMBER(R160)),1,0)</f>
        <v>0</v>
      </c>
      <c r="BI160" s="23" t="n">
        <f aca="false">IF(BH160=1,IF(COUNTIFS($AW$2:$AW$201,AW160,$BH$2:$BH$201,1,$H$2:$H$201,"&lt;"&amp;H160)+COUNTIFS($AW$2:$AW$201,AW160,$BH$2:$BH$201,1,$H$2:$H$201,H160,$AX$2:$AX$201,"&lt;"&amp;AX160)=0,1,0),0)</f>
        <v>0</v>
      </c>
      <c r="BJ160" s="23" t="str">
        <f aca="false">IF(AND(BI160=1,INT(N(H160))&lt;=Config!$B$6),R160,"")</f>
        <v/>
      </c>
      <c r="BK160" s="23" t="str">
        <f aca="false">IF(AND(BI160=1,INT(N(H160))&lt;=Config!$B$7),R160,"")</f>
        <v/>
      </c>
      <c r="BL160" s="23" t="str">
        <f aca="false">IF(AND(BI160=1,INT(N(H160))&lt;=Config!$B$8),R160,"")</f>
        <v/>
      </c>
      <c r="BM160" s="23" t="str">
        <f aca="false">IF(AND(BI160=1,INT(N(H160))&lt;=Config!$B$5),R160,"")</f>
        <v/>
      </c>
      <c r="BN160" s="23" t="n">
        <f aca="false">IF(AND(AY160=1,ISNUMBER(V160)),1,0)</f>
        <v>0</v>
      </c>
      <c r="BO160" s="23" t="n">
        <f aca="false">IF(BN160=1,IF(COUNTIFS($AW$2:$AW$201,AW160,$BN$2:$BN$201,1,$H$2:$H$201,"&lt;"&amp;H160)+COUNTIFS($AW$2:$AW$201,AW160,$BN$2:$BN$201,1,$H$2:$H$201,H160,$AX$2:$AX$201,"&lt;"&amp;AX160)=0,1,0),0)</f>
        <v>0</v>
      </c>
      <c r="BP160" s="23" t="str">
        <f aca="false">IF(AND(BO160=1,INT(N(H160))&lt;=Config!$B$6),V160,"")</f>
        <v/>
      </c>
      <c r="BQ160" s="23" t="str">
        <f aca="false">IF(AND(BO160=1,INT(N(H160))&lt;=Config!$B$7),V160,"")</f>
        <v/>
      </c>
      <c r="BR160" s="23" t="str">
        <f aca="false">IF(AND(BO160=1,INT(N(H160))&lt;=Config!$B$8),V160,"")</f>
        <v/>
      </c>
      <c r="BS160" s="23" t="str">
        <f aca="false">IF(AND(BO160=1,INT(N(H160))&lt;=Config!$B$5),V160,"")</f>
        <v/>
      </c>
      <c r="BT160" s="23" t="n">
        <f aca="false">IF(AND(AY160=1,ISNUMBER(K160)),1,0)</f>
        <v>0</v>
      </c>
      <c r="BU160" s="23" t="n">
        <f aca="false">IF(BT160=1,IF(COUNTIFS($AW$2:$AW$201,AW160,$BT$2:$BT$201,1,$H$2:$H$201,"&lt;"&amp;H160)+COUNTIFS($AW$2:$AW$201,AW160,$BT$2:$BT$201,1,$H$2:$H$201,H160,$AX$2:$AX$201,"&lt;"&amp;AX160)=0,1,0),0)</f>
        <v>0</v>
      </c>
      <c r="BV160" s="23" t="str">
        <f aca="false">IF(AND(BU160=1,INT(N(H160))&lt;=Config!$B$5),K160,"")</f>
        <v/>
      </c>
      <c r="BW160" s="23" t="n">
        <f aca="false">IF(AND(AY160=1,OR(AND(ISNUMBER(R160),TRIM(S160)=""),AND(ISNUMBER(V160),TRIM(W160)=""))),1,0)</f>
        <v>0</v>
      </c>
      <c r="BX160" s="23" t="str">
        <f aca="false">IF(AY160=1,AJ160&amp;"","")</f>
        <v/>
      </c>
      <c r="BY160" s="23" t="str">
        <f aca="false">IF(AY160=1,AK160&amp;"","")</f>
        <v/>
      </c>
      <c r="BZ160" s="23" t="str">
        <f aca="false">IF(AY160=1,AL160&amp;"","")</f>
        <v/>
      </c>
      <c r="CA160" s="23" t="str">
        <f aca="false">IF(AND(AY160=1,ISNUMBER(AS160),INT(N(H160))&lt;=Config!$B$5),AS160,"")</f>
        <v/>
      </c>
      <c r="CB160" s="23" t="str">
        <f aca="false">IF(AY160=1,IF(COUNTIFS($A$2:$A$201,$A160,$CU$2:$CU$201,1,$AN$2:$AN$201,"Y")&gt;0,"Y","N"),"")</f>
        <v/>
      </c>
      <c r="CC160" s="23" t="n">
        <f aca="false">IF(AND(AY160=1,AN160="Y"),IF(COUNTIFS($AW$2:$AW$201,AW160,$AN$2:$AN$201,"Y",$AY$2:$AY$201,1,$H$2:$H$201,"&lt;"&amp;H160)+COUNTIFS($AW$2:$AW$201,AW160,$AN$2:$AN$201,"Y",$AY$2:$AY$201,1,$H$2:$H$201,H160,$AX$2:$AX$201,"&lt;"&amp;AX160)=0,1,0),0)</f>
        <v>0</v>
      </c>
      <c r="CD160" s="23" t="n">
        <f aca="false">IF(AND(AY160=1,AB160="Y",AC160="Y",AD160="Y",AE160="Y",AF160="Y",AG160="Y",AI160="Y",TRIM(AH160)&lt;&gt;""),1,0)</f>
        <v>0</v>
      </c>
      <c r="CE160" s="23" t="n">
        <f aca="false">IF(CD160=1,IF(COUNTIFS($AW$2:$AW$201,AW160,$CD$2:$CD$201,1,$H$2:$H$201,"&lt;"&amp;H160)+COUNTIFS($AW$2:$AW$201,AW160,$CD$2:$CD$201,1,$H$2:$H$201,H160,$AX$2:$AX$201,"&lt;"&amp;AX160)=0,1,0),0)</f>
        <v>0</v>
      </c>
      <c r="CF160" s="23" t="n">
        <f aca="false">IF(AND(AY160=1,AO160="Y"),1,0)</f>
        <v>0</v>
      </c>
      <c r="CG160" s="23" t="n">
        <f aca="false">IF(CF160=1,IF(COUNTIFS($AW$2:$AW$201,AW160,$CF$2:$CF$201,1,$H$2:$H$201,"&lt;"&amp;H160)+COUNTIFS($AW$2:$AW$201,AW160,$CF$2:$CF$201,1,$H$2:$H$201,H160,$AX$2:$AX$201,"&lt;"&amp;AX160)=0,1,0),0)</f>
        <v>0</v>
      </c>
      <c r="CH160" s="23" t="n">
        <f aca="false">IF(AND(AY160=1,P160="Y"),1,0)</f>
        <v>0</v>
      </c>
      <c r="CI160" s="23" t="n">
        <f aca="false">IF(CH160=1,IF(COUNTIFS($AW$2:$AW$201,AW160,$CH$2:$CH$201,1,$H$2:$H$201,"&lt;"&amp;H160)+COUNTIFS($AW$2:$AW$201,AW160,$CH$2:$CH$201,1,$H$2:$H$201,H160,$AX$2:$AX$201,"&lt;"&amp;AX160)=0,1,0),0)</f>
        <v>0</v>
      </c>
      <c r="CJ160" s="23" t="str">
        <f aca="false">IF(AND(BU160=1,INT(N(H160))&lt;=Config!$B$5),L160,"")</f>
        <v/>
      </c>
      <c r="CK160" s="23" t="n">
        <f aca="false">IF(AND(AY160=1,AR160="Y"),1,0)</f>
        <v>0</v>
      </c>
      <c r="CL160" s="23" t="n">
        <f aca="false">IF(CK160=1,IF(COUNTIFS($AW$2:$AW$201,AW160,$CK$2:$CK$201,1,$H$2:$H$201,"&lt;"&amp;H160)+COUNTIFS($AW$2:$AW$201,AW160,$CK$2:$CK$201,1,$H$2:$H$201,H160,$AX$2:$AX$201,"&lt;"&amp;AX160)=0,1,0),0)</f>
        <v>0</v>
      </c>
      <c r="CM160" s="23" t="str">
        <f aca="false">IF(AY160=1,IFERROR(MATCH($A160,INDEX(Clay_Brands!$A$2:$FZ$601,0,Sync!$D$5),0),""),"")</f>
        <v/>
      </c>
      <c r="CN160" s="23" t="str">
        <f aca="false">IF(CM160="","",IFERROR(INDEX(Clay_Brands!$A$2:$FZ$601,CM160,Sync!$D$7)&amp;"",""))</f>
        <v/>
      </c>
      <c r="CO160" s="23" t="str">
        <f aca="false">IF(CN160="","",IFERROR(INDEX(Lists!$K$2:$K$15,MATCH(CN160,Lists!$J$2:$J$15,0)),""))</f>
        <v/>
      </c>
      <c r="CP160" s="23" t="str">
        <f aca="false">IF(CM160="","",IFERROR(INDEX(Clay_Brands!$A$2:$FZ$601,CM160,Sync!$D$17)&amp;"",""))</f>
        <v/>
      </c>
      <c r="CQ160" s="35" t="str">
        <f aca="false">IF(CM160="","",IFERROR(N(INDEX(Clay_Brands!$A$2:$FZ$601,CM160,Sync!$D$16)),0))</f>
        <v/>
      </c>
      <c r="CR160" s="23" t="n">
        <f aca="false">IF(AND(AY160=1,OR(O160="N",AND(OR(ISNUMBER(R160),ISNUMBER(V160)),MAX(N(R160),N(V160))&lt;Config!$B$14))),1,0)</f>
        <v>0</v>
      </c>
      <c r="CS160" s="23" t="n">
        <f aca="false">IF(OR(BB160=1,CR160=1),1,0)</f>
        <v>0</v>
      </c>
      <c r="CT160" s="23" t="n">
        <f aca="false">IF(AND(AY160=1,OR(AN160="Y",AN160="N",AN160="maybe")),1,0)</f>
        <v>0</v>
      </c>
      <c r="CU160" s="23" t="n">
        <f aca="false">IF(AND(CT160=1),IF(COUNTIFS($A$2:$A$201,$A160,$CT$2:$CT$201,1,$H$2:$H$201,"&gt;"&amp;H160)+COUNTIFS($A$2:$A$201,$A160,$CT$2:$CT$201,1,$H$2:$H$201,H160,$AX$2:$AX$201,"&gt;"&amp;AX160)=0,1,0),0)</f>
        <v>0</v>
      </c>
      <c r="CV160" s="23" t="n">
        <f aca="false">IF(AND(CS160=1,INT(N(H160))&lt;=Config!$B$6),IF(COUNTIFS($AW$2:$AW$201,AW160,$CS$2:$CS$201,1,$H$2:$H$201,"&gt;"&amp;H160,$H$2:$H$201,"&lt;"&amp;(Config!$B$6+1))+COUNTIFS($AW$2:$AW$201,AW160,$CS$2:$CS$201,1,$H$2:$H$201,H160,$AX$2:$AX$201,"&gt;"&amp;AX160)=0,1,0),0)</f>
        <v>0</v>
      </c>
      <c r="CW160" s="23" t="n">
        <f aca="false">IF(AND(CS160=1,INT(N(H160))&lt;=Config!$B$7),IF(COUNTIFS($AW$2:$AW$201,AW160,$CS$2:$CS$201,1,$H$2:$H$201,"&gt;"&amp;H160,$H$2:$H$201,"&lt;"&amp;(Config!$B$7+1))+COUNTIFS($AW$2:$AW$201,AW160,$CS$2:$CS$201,1,$H$2:$H$201,H160,$AX$2:$AX$201,"&gt;"&amp;AX160)=0,1,0),0)</f>
        <v>0</v>
      </c>
      <c r="CX160" s="23" t="n">
        <f aca="false">IF(AND(CS160=1,INT(N(H160))&lt;=Config!$B$8),IF(COUNTIFS($AW$2:$AW$201,AW160,$CS$2:$CS$201,1,$H$2:$H$201,"&gt;"&amp;H160,$H$2:$H$201,"&lt;"&amp;(Config!$B$8+1))+COUNTIFS($AW$2:$AW$201,AW160,$CS$2:$CS$201,1,$H$2:$H$201,H160,$AX$2:$AX$201,"&gt;"&amp;AX160)=0,1,0),0)</f>
        <v>0</v>
      </c>
      <c r="CY160" s="23" t="n">
        <f aca="false">IF(AND(CS160=1,INT(N(H160))&lt;=Config!$B$5),IF(COUNTIFS($AW$2:$AW$201,AW160,$CS$2:$CS$201,1,$H$2:$H$201,"&gt;"&amp;H160,$H$2:$H$201,"&lt;"&amp;(Config!$B$5+1))+COUNTIFS($AW$2:$AW$201,AW160,$CS$2:$CS$201,1,$H$2:$H$201,H160,$AX$2:$AX$201,"&gt;"&amp;AX160)=0,1,0),0)</f>
        <v>0</v>
      </c>
      <c r="CZ160" s="23" t="n">
        <f aca="false">IF(AY160=1,IF(COUNTIFS($AW$2:$AW$201,AW160,$CV$2:$CV$201,1,$BB$2:$BB$201,1)&gt;0,1,0),0)</f>
        <v>0</v>
      </c>
      <c r="DA160" s="23" t="n">
        <f aca="false">IF(AY160=1,IF(COUNTIFS($AW$2:$AW$201,AW160,$CW$2:$CW$201,1,$BB$2:$BB$201,1)&gt;0,1,0),0)</f>
        <v>0</v>
      </c>
      <c r="DB160" s="23" t="n">
        <f aca="false">IF(AY160=1,IF(COUNTIFS($AW$2:$AW$201,AW160,$CX$2:$CX$201,1,$BB$2:$BB$201,1)&gt;0,1,0),0)</f>
        <v>0</v>
      </c>
      <c r="DC160" s="23" t="n">
        <f aca="false">IF(AY160=1,IF(COUNTIFS($AW$2:$AW$201,AW160,$CY$2:$CY$201,1,$BB$2:$BB$201,1)&gt;0,1,0),0)</f>
        <v>0</v>
      </c>
      <c r="DD160" s="23" t="n">
        <f aca="false">IF(AND(BC160=1,INT(N(H160))&lt;=Config!$B$6,CZ160=1),1,0)</f>
        <v>0</v>
      </c>
      <c r="DE160" s="23" t="n">
        <f aca="false">IF(AND(BC160=1,INT(N(H160))&lt;=Config!$B$7,DA160=1),1,0)</f>
        <v>0</v>
      </c>
      <c r="DF160" s="23" t="n">
        <f aca="false">IF(AND(BC160=1,INT(N(H160))&lt;=Config!$B$8,DB160=1),1,0)</f>
        <v>0</v>
      </c>
      <c r="DG160" s="23" t="n">
        <f aca="false">IF(AND(BC160=1,INT(N(H160))&lt;=Config!$B$5,DC160=1),1,0)</f>
        <v>0</v>
      </c>
      <c r="DH160" s="23" t="n">
        <f aca="false">IF(AND(BE160=1,INT(N(H160))&lt;=Config!$B$6,CZ160=1),1,0)</f>
        <v>0</v>
      </c>
      <c r="DI160" s="23" t="n">
        <f aca="false">IF(AND(BE160=1,INT(N(H160))&lt;=Config!$B$7,DA160=1),1,0)</f>
        <v>0</v>
      </c>
      <c r="DJ160" s="23" t="n">
        <f aca="false">IF(AND(BE160=1,INT(N(H160))&lt;=Config!$B$8,DB160=1),1,0)</f>
        <v>0</v>
      </c>
      <c r="DK160" s="23" t="n">
        <f aca="false">IF(AND(BE160=1,INT(N(H160))&lt;=Config!$B$5,DC160=1),1,0)</f>
        <v>0</v>
      </c>
      <c r="DL160" s="23" t="n">
        <f aca="false">IF(AND(BC160=1,INT(N(H160))&lt;=Config!$B$6,CZ160=0),1,0)</f>
        <v>0</v>
      </c>
      <c r="DM160" s="23" t="n">
        <f aca="false">IF(AND(BC160=1,INT(N(H160))&lt;=Config!$B$7,DA160=0),1,0)</f>
        <v>0</v>
      </c>
      <c r="DN160" s="23" t="n">
        <f aca="false">IF(AND(BC160=1,INT(N(H160))&lt;=Config!$B$8,DB160=0),1,0)</f>
        <v>0</v>
      </c>
      <c r="DO160" s="23" t="n">
        <f aca="false">IF(AND(BC160=1,INT(N(H160))&lt;=Config!$B$5,DC160=0),1,0)</f>
        <v>0</v>
      </c>
      <c r="DP160" s="23" t="n">
        <f aca="false">IF(TRIM($A160)="",0,ISTEXT(K160)+ISTEXT(L160)+ISTEXT(R160)+ISTEXT(V160)+ISTEXT(AP160)+ISTEXT(AS160))</f>
        <v>0</v>
      </c>
      <c r="DQ160" s="23" t="n">
        <f aca="false">IF(AY160=1,IF(H160&lt;&gt;INT(H160),1,0),0)</f>
        <v>0</v>
      </c>
      <c r="DR160" s="23" t="str">
        <f aca="false">IF(TRIM($A160)="","",IF(TRIM(B160)="",SUBSTITUTE(SUBSTITUTE(SUBSTITUTE(SUBSTITUTE(SUBSTITUTE(SUBSTITUTE(LOWER(TRIM($A160)),"~",""),"*",""),"?",""),"&lt;",""),"&gt;",""),"=",""),SUBSTITUTE(SUBSTITUTE(SUBSTITUTE(SUBSTITUTE(SUBSTITUTE(SUBSTITUTE(LOWER(TRIM(B160)),"~",""),"*",""),"?",""),"&lt;",""),"&gt;",""),"=","")))</f>
        <v/>
      </c>
      <c r="DS160" s="23" t="str">
        <f aca="false">IF(CM160="","",IFERROR(IF(LEFT(LOWER(TRIM(INDEX(Clay_Brands!$A$2:$FZ$601,CM160,Sync!$D$19)&amp;"")),4)="grp-",SUBSTITUTE(SUBSTITUTE(SUBSTITUTE(SUBSTITUTE(SUBSTITUTE(SUBSTITUTE(LOWER(TRIM(INDEX(Clay_Brands!$A$2:$FZ$601,CM160,Sync!$D$19)&amp;"")),"~",""),"*",""),"?",""),"&lt;",""),"&gt;",""),"=",""),""),""))</f>
        <v/>
      </c>
      <c r="DT160" s="23" t="str">
        <f aca="false">IF(DS160&lt;&gt;"",DR160,"")</f>
        <v/>
      </c>
      <c r="DU160" s="23" t="str">
        <f aca="false">IF(AZ160=1,AW160,"")</f>
        <v/>
      </c>
      <c r="DV160" s="23" t="str">
        <f aca="false">IF(TRIM($A160)="","",IFERROR(INDEX($A$2:$A$201,MATCH(AW160,$DU$2:$DU$201,0))&amp;"",$A160&amp;""))</f>
        <v/>
      </c>
      <c r="DW160" s="23" t="n">
        <f aca="false">IF(AY160=1,IF(COUNTIFS($A$2:$A$201,$A160,$AY$2:$AY$201,1,$H$2:$H$201,"&lt;"&amp;H160)+COUNTIFS($A$2:$A$201,$A160,$AY$2:$AY$201,1,$H$2:$H$201,H160,$AX$2:$AX$201,"&lt;"&amp;AX160)=0,1,0),0)</f>
        <v>0</v>
      </c>
      <c r="DX160" s="23" t="n">
        <f aca="false">IF(AZ160=1,IF(COUNTIFS($AW$2:$AW$201,AW160,$DW$2:$DW$201,1)&gt;1,1,0),0)</f>
        <v>0</v>
      </c>
    </row>
    <row r="161" customFormat="false" ht="15" hidden="false" customHeight="false" outlineLevel="0" collapsed="false">
      <c r="G161" s="32"/>
      <c r="H161" s="33"/>
      <c r="I161" s="32"/>
      <c r="O161" s="32"/>
      <c r="P161" s="32"/>
      <c r="U161" s="32"/>
      <c r="Y161" s="32"/>
      <c r="AB161" s="32"/>
      <c r="AC161" s="32"/>
      <c r="AD161" s="32"/>
      <c r="AE161" s="32"/>
      <c r="AF161" s="32"/>
      <c r="AG161" s="32"/>
      <c r="AI161" s="32"/>
      <c r="AJ161" s="32"/>
      <c r="AK161" s="32"/>
      <c r="AN161" s="32"/>
      <c r="AO161" s="32"/>
      <c r="AR161" s="32"/>
      <c r="AT161" s="32"/>
      <c r="AV161" s="34" t="str">
        <f aca="false">IF(TRIM($A161)="","",IF(AND(LEFT($A161,6)="SAMPLE",Config!$B$19&lt;&gt;"Y"),"",IF(NOT(ISNUMBER(H161)),"call_date is blank or not a date",IF(Sync!$D$5="","Clay paste is empty or has no row_id column: paste the Clay export on Clay_Brands",IF(CM161="","row_id not found in the Clay paste: add the Clay row or fix the row_id",IF(AND(ISNUMBER(CO161),CO161&gt;=1,CO161&lt;=5),"Clay status is "&amp;CN161&amp;": set call_done or later",IF(AND(BA161=1,CP161&lt;&gt;CB161),"Clay yes_in_principle should be "&amp;CB161,IF(AND(BA161=1,CQ161&lt;&gt;H161),"Clay call_date should be "&amp;TEXT(H161,"yyyy-mm-dd"),""))))))))</f>
        <v/>
      </c>
      <c r="AW161" s="23" t="str">
        <f aca="false">IF(TRIM($A161)="","",IF(TRIM(C161)&lt;&gt;"",SUBSTITUTE(SUBSTITUTE(SUBSTITUTE(SUBSTITUTE(SUBSTITUTE(SUBSTITUTE(LOWER(TRIM(C161)),"~",""),"*",""),"?",""),"&lt;",""),"&gt;",""),"=",""),IF(DS161&lt;&gt;"",DS161,IFERROR(INDEX($DS$2:$DS$201,MATCH(DR161,$DT$2:$DT$201,0)),DR161))))</f>
        <v/>
      </c>
      <c r="AX161" s="23" t="n">
        <f aca="false">ROW()</f>
        <v>161</v>
      </c>
      <c r="AY161" s="23" t="n">
        <f aca="false">IF(AND(TRIM($A161)&lt;&gt;"",ISNUMBER(H161)),IF(AND(LEFT($A161,6)="SAMPLE",Config!$B$19&lt;&gt;"Y"),0,1),0)</f>
        <v>0</v>
      </c>
      <c r="AZ161" s="23" t="n">
        <f aca="false">IF(AY161=1,IF(COUNTIFS($AW$2:$AW$201,AW161,$AY$2:$AY$201,1,$H$2:$H$201,"&lt;"&amp;H161)+COUNTIFS($AW$2:$AW$201,AW161,$AY$2:$AY$201,1,$H$2:$H$201,H161,$AX$2:$AX$201,"&lt;"&amp;AX161)=0,1,0),0)</f>
        <v>0</v>
      </c>
      <c r="BA161" s="23" t="n">
        <f aca="false">IF(AY161=1,IF(COUNTIFS($A$2:$A$201,$A161,$AY$2:$AY$201,1,$H$2:$H$201,"&gt;"&amp;H161)+COUNTIFS($A$2:$A$201,$A161,$AY$2:$AY$201,1,$H$2:$H$201,H161,$AX$2:$AX$201,"&gt;"&amp;AX161)=0,1,0),0)</f>
        <v>0</v>
      </c>
      <c r="BB161" s="23" t="n">
        <f aca="false">IF(AND(AY161=1,O161="Y",MAX(N(R161),N(V161))&gt;=Config!$B$14),1,0)</f>
        <v>0</v>
      </c>
      <c r="BC161" s="23" t="n">
        <f aca="false">IF(BB161=1,IF(COUNTIFS($AW$2:$AW$201,AW161,$BB$2:$BB$201,1,$H$2:$H$201,"&lt;"&amp;H161)+COUNTIFS($AW$2:$AW$201,AW161,$BB$2:$BB$201,1,$H$2:$H$201,H161,$AX$2:$AX$201,"&lt;"&amp;AX161)=0,1,0),0)</f>
        <v>0</v>
      </c>
      <c r="BD161" s="23" t="n">
        <f aca="false">IF(AND(AY161=1,O161="Y",ISNUMBER(R161)),IF(R161&gt;=Config!$B$14,1,0),0)</f>
        <v>0</v>
      </c>
      <c r="BE161" s="23" t="n">
        <f aca="false">IF(BD161=1,IF(COUNTIFS($AW$2:$AW$201,AW161,$BD$2:$BD$201,1,$H$2:$H$201,"&lt;"&amp;H161)+COUNTIFS($AW$2:$AW$201,AW161,$BD$2:$BD$201,1,$H$2:$H$201,H161,$AX$2:$AX$201,"&lt;"&amp;AX161)=0,1,0),0)</f>
        <v>0</v>
      </c>
      <c r="BF161" s="23" t="n">
        <f aca="false">IF(AND(AY161=1,O161&lt;&gt;"Y",MAX(N(R161),N(V161))&gt;=Config!$B$14),1,0)</f>
        <v>0</v>
      </c>
      <c r="BG161" s="23" t="n">
        <f aca="false">IF(BF161=1,IF(COUNTIFS($AW$2:$AW$201,AW161,$BF$2:$BF$201,1,$H$2:$H$201,"&lt;"&amp;H161)+COUNTIFS($AW$2:$AW$201,AW161,$BF$2:$BF$201,1,$H$2:$H$201,H161,$AX$2:$AX$201,"&lt;"&amp;AX161)=0,1,0),0)</f>
        <v>0</v>
      </c>
      <c r="BH161" s="23" t="n">
        <f aca="false">IF(AND(AY161=1,ISNUMBER(R161)),1,0)</f>
        <v>0</v>
      </c>
      <c r="BI161" s="23" t="n">
        <f aca="false">IF(BH161=1,IF(COUNTIFS($AW$2:$AW$201,AW161,$BH$2:$BH$201,1,$H$2:$H$201,"&lt;"&amp;H161)+COUNTIFS($AW$2:$AW$201,AW161,$BH$2:$BH$201,1,$H$2:$H$201,H161,$AX$2:$AX$201,"&lt;"&amp;AX161)=0,1,0),0)</f>
        <v>0</v>
      </c>
      <c r="BJ161" s="23" t="str">
        <f aca="false">IF(AND(BI161=1,INT(N(H161))&lt;=Config!$B$6),R161,"")</f>
        <v/>
      </c>
      <c r="BK161" s="23" t="str">
        <f aca="false">IF(AND(BI161=1,INT(N(H161))&lt;=Config!$B$7),R161,"")</f>
        <v/>
      </c>
      <c r="BL161" s="23" t="str">
        <f aca="false">IF(AND(BI161=1,INT(N(H161))&lt;=Config!$B$8),R161,"")</f>
        <v/>
      </c>
      <c r="BM161" s="23" t="str">
        <f aca="false">IF(AND(BI161=1,INT(N(H161))&lt;=Config!$B$5),R161,"")</f>
        <v/>
      </c>
      <c r="BN161" s="23" t="n">
        <f aca="false">IF(AND(AY161=1,ISNUMBER(V161)),1,0)</f>
        <v>0</v>
      </c>
      <c r="BO161" s="23" t="n">
        <f aca="false">IF(BN161=1,IF(COUNTIFS($AW$2:$AW$201,AW161,$BN$2:$BN$201,1,$H$2:$H$201,"&lt;"&amp;H161)+COUNTIFS($AW$2:$AW$201,AW161,$BN$2:$BN$201,1,$H$2:$H$201,H161,$AX$2:$AX$201,"&lt;"&amp;AX161)=0,1,0),0)</f>
        <v>0</v>
      </c>
      <c r="BP161" s="23" t="str">
        <f aca="false">IF(AND(BO161=1,INT(N(H161))&lt;=Config!$B$6),V161,"")</f>
        <v/>
      </c>
      <c r="BQ161" s="23" t="str">
        <f aca="false">IF(AND(BO161=1,INT(N(H161))&lt;=Config!$B$7),V161,"")</f>
        <v/>
      </c>
      <c r="BR161" s="23" t="str">
        <f aca="false">IF(AND(BO161=1,INT(N(H161))&lt;=Config!$B$8),V161,"")</f>
        <v/>
      </c>
      <c r="BS161" s="23" t="str">
        <f aca="false">IF(AND(BO161=1,INT(N(H161))&lt;=Config!$B$5),V161,"")</f>
        <v/>
      </c>
      <c r="BT161" s="23" t="n">
        <f aca="false">IF(AND(AY161=1,ISNUMBER(K161)),1,0)</f>
        <v>0</v>
      </c>
      <c r="BU161" s="23" t="n">
        <f aca="false">IF(BT161=1,IF(COUNTIFS($AW$2:$AW$201,AW161,$BT$2:$BT$201,1,$H$2:$H$201,"&lt;"&amp;H161)+COUNTIFS($AW$2:$AW$201,AW161,$BT$2:$BT$201,1,$H$2:$H$201,H161,$AX$2:$AX$201,"&lt;"&amp;AX161)=0,1,0),0)</f>
        <v>0</v>
      </c>
      <c r="BV161" s="23" t="str">
        <f aca="false">IF(AND(BU161=1,INT(N(H161))&lt;=Config!$B$5),K161,"")</f>
        <v/>
      </c>
      <c r="BW161" s="23" t="n">
        <f aca="false">IF(AND(AY161=1,OR(AND(ISNUMBER(R161),TRIM(S161)=""),AND(ISNUMBER(V161),TRIM(W161)=""))),1,0)</f>
        <v>0</v>
      </c>
      <c r="BX161" s="23" t="str">
        <f aca="false">IF(AY161=1,AJ161&amp;"","")</f>
        <v/>
      </c>
      <c r="BY161" s="23" t="str">
        <f aca="false">IF(AY161=1,AK161&amp;"","")</f>
        <v/>
      </c>
      <c r="BZ161" s="23" t="str">
        <f aca="false">IF(AY161=1,AL161&amp;"","")</f>
        <v/>
      </c>
      <c r="CA161" s="23" t="str">
        <f aca="false">IF(AND(AY161=1,ISNUMBER(AS161),INT(N(H161))&lt;=Config!$B$5),AS161,"")</f>
        <v/>
      </c>
      <c r="CB161" s="23" t="str">
        <f aca="false">IF(AY161=1,IF(COUNTIFS($A$2:$A$201,$A161,$CU$2:$CU$201,1,$AN$2:$AN$201,"Y")&gt;0,"Y","N"),"")</f>
        <v/>
      </c>
      <c r="CC161" s="23" t="n">
        <f aca="false">IF(AND(AY161=1,AN161="Y"),IF(COUNTIFS($AW$2:$AW$201,AW161,$AN$2:$AN$201,"Y",$AY$2:$AY$201,1,$H$2:$H$201,"&lt;"&amp;H161)+COUNTIFS($AW$2:$AW$201,AW161,$AN$2:$AN$201,"Y",$AY$2:$AY$201,1,$H$2:$H$201,H161,$AX$2:$AX$201,"&lt;"&amp;AX161)=0,1,0),0)</f>
        <v>0</v>
      </c>
      <c r="CD161" s="23" t="n">
        <f aca="false">IF(AND(AY161=1,AB161="Y",AC161="Y",AD161="Y",AE161="Y",AF161="Y",AG161="Y",AI161="Y",TRIM(AH161)&lt;&gt;""),1,0)</f>
        <v>0</v>
      </c>
      <c r="CE161" s="23" t="n">
        <f aca="false">IF(CD161=1,IF(COUNTIFS($AW$2:$AW$201,AW161,$CD$2:$CD$201,1,$H$2:$H$201,"&lt;"&amp;H161)+COUNTIFS($AW$2:$AW$201,AW161,$CD$2:$CD$201,1,$H$2:$H$201,H161,$AX$2:$AX$201,"&lt;"&amp;AX161)=0,1,0),0)</f>
        <v>0</v>
      </c>
      <c r="CF161" s="23" t="n">
        <f aca="false">IF(AND(AY161=1,AO161="Y"),1,0)</f>
        <v>0</v>
      </c>
      <c r="CG161" s="23" t="n">
        <f aca="false">IF(CF161=1,IF(COUNTIFS($AW$2:$AW$201,AW161,$CF$2:$CF$201,1,$H$2:$H$201,"&lt;"&amp;H161)+COUNTIFS($AW$2:$AW$201,AW161,$CF$2:$CF$201,1,$H$2:$H$201,H161,$AX$2:$AX$201,"&lt;"&amp;AX161)=0,1,0),0)</f>
        <v>0</v>
      </c>
      <c r="CH161" s="23" t="n">
        <f aca="false">IF(AND(AY161=1,P161="Y"),1,0)</f>
        <v>0</v>
      </c>
      <c r="CI161" s="23" t="n">
        <f aca="false">IF(CH161=1,IF(COUNTIFS($AW$2:$AW$201,AW161,$CH$2:$CH$201,1,$H$2:$H$201,"&lt;"&amp;H161)+COUNTIFS($AW$2:$AW$201,AW161,$CH$2:$CH$201,1,$H$2:$H$201,H161,$AX$2:$AX$201,"&lt;"&amp;AX161)=0,1,0),0)</f>
        <v>0</v>
      </c>
      <c r="CJ161" s="23" t="str">
        <f aca="false">IF(AND(BU161=1,INT(N(H161))&lt;=Config!$B$5),L161,"")</f>
        <v/>
      </c>
      <c r="CK161" s="23" t="n">
        <f aca="false">IF(AND(AY161=1,AR161="Y"),1,0)</f>
        <v>0</v>
      </c>
      <c r="CL161" s="23" t="n">
        <f aca="false">IF(CK161=1,IF(COUNTIFS($AW$2:$AW$201,AW161,$CK$2:$CK$201,1,$H$2:$H$201,"&lt;"&amp;H161)+COUNTIFS($AW$2:$AW$201,AW161,$CK$2:$CK$201,1,$H$2:$H$201,H161,$AX$2:$AX$201,"&lt;"&amp;AX161)=0,1,0),0)</f>
        <v>0</v>
      </c>
      <c r="CM161" s="23" t="str">
        <f aca="false">IF(AY161=1,IFERROR(MATCH($A161,INDEX(Clay_Brands!$A$2:$FZ$601,0,Sync!$D$5),0),""),"")</f>
        <v/>
      </c>
      <c r="CN161" s="23" t="str">
        <f aca="false">IF(CM161="","",IFERROR(INDEX(Clay_Brands!$A$2:$FZ$601,CM161,Sync!$D$7)&amp;"",""))</f>
        <v/>
      </c>
      <c r="CO161" s="23" t="str">
        <f aca="false">IF(CN161="","",IFERROR(INDEX(Lists!$K$2:$K$15,MATCH(CN161,Lists!$J$2:$J$15,0)),""))</f>
        <v/>
      </c>
      <c r="CP161" s="23" t="str">
        <f aca="false">IF(CM161="","",IFERROR(INDEX(Clay_Brands!$A$2:$FZ$601,CM161,Sync!$D$17)&amp;"",""))</f>
        <v/>
      </c>
      <c r="CQ161" s="35" t="str">
        <f aca="false">IF(CM161="","",IFERROR(N(INDEX(Clay_Brands!$A$2:$FZ$601,CM161,Sync!$D$16)),0))</f>
        <v/>
      </c>
      <c r="CR161" s="23" t="n">
        <f aca="false">IF(AND(AY161=1,OR(O161="N",AND(OR(ISNUMBER(R161),ISNUMBER(V161)),MAX(N(R161),N(V161))&lt;Config!$B$14))),1,0)</f>
        <v>0</v>
      </c>
      <c r="CS161" s="23" t="n">
        <f aca="false">IF(OR(BB161=1,CR161=1),1,0)</f>
        <v>0</v>
      </c>
      <c r="CT161" s="23" t="n">
        <f aca="false">IF(AND(AY161=1,OR(AN161="Y",AN161="N",AN161="maybe")),1,0)</f>
        <v>0</v>
      </c>
      <c r="CU161" s="23" t="n">
        <f aca="false">IF(AND(CT161=1),IF(COUNTIFS($A$2:$A$201,$A161,$CT$2:$CT$201,1,$H$2:$H$201,"&gt;"&amp;H161)+COUNTIFS($A$2:$A$201,$A161,$CT$2:$CT$201,1,$H$2:$H$201,H161,$AX$2:$AX$201,"&gt;"&amp;AX161)=0,1,0),0)</f>
        <v>0</v>
      </c>
      <c r="CV161" s="23" t="n">
        <f aca="false">IF(AND(CS161=1,INT(N(H161))&lt;=Config!$B$6),IF(COUNTIFS($AW$2:$AW$201,AW161,$CS$2:$CS$201,1,$H$2:$H$201,"&gt;"&amp;H161,$H$2:$H$201,"&lt;"&amp;(Config!$B$6+1))+COUNTIFS($AW$2:$AW$201,AW161,$CS$2:$CS$201,1,$H$2:$H$201,H161,$AX$2:$AX$201,"&gt;"&amp;AX161)=0,1,0),0)</f>
        <v>0</v>
      </c>
      <c r="CW161" s="23" t="n">
        <f aca="false">IF(AND(CS161=1,INT(N(H161))&lt;=Config!$B$7),IF(COUNTIFS($AW$2:$AW$201,AW161,$CS$2:$CS$201,1,$H$2:$H$201,"&gt;"&amp;H161,$H$2:$H$201,"&lt;"&amp;(Config!$B$7+1))+COUNTIFS($AW$2:$AW$201,AW161,$CS$2:$CS$201,1,$H$2:$H$201,H161,$AX$2:$AX$201,"&gt;"&amp;AX161)=0,1,0),0)</f>
        <v>0</v>
      </c>
      <c r="CX161" s="23" t="n">
        <f aca="false">IF(AND(CS161=1,INT(N(H161))&lt;=Config!$B$8),IF(COUNTIFS($AW$2:$AW$201,AW161,$CS$2:$CS$201,1,$H$2:$H$201,"&gt;"&amp;H161,$H$2:$H$201,"&lt;"&amp;(Config!$B$8+1))+COUNTIFS($AW$2:$AW$201,AW161,$CS$2:$CS$201,1,$H$2:$H$201,H161,$AX$2:$AX$201,"&gt;"&amp;AX161)=0,1,0),0)</f>
        <v>0</v>
      </c>
      <c r="CY161" s="23" t="n">
        <f aca="false">IF(AND(CS161=1,INT(N(H161))&lt;=Config!$B$5),IF(COUNTIFS($AW$2:$AW$201,AW161,$CS$2:$CS$201,1,$H$2:$H$201,"&gt;"&amp;H161,$H$2:$H$201,"&lt;"&amp;(Config!$B$5+1))+COUNTIFS($AW$2:$AW$201,AW161,$CS$2:$CS$201,1,$H$2:$H$201,H161,$AX$2:$AX$201,"&gt;"&amp;AX161)=0,1,0),0)</f>
        <v>0</v>
      </c>
      <c r="CZ161" s="23" t="n">
        <f aca="false">IF(AY161=1,IF(COUNTIFS($AW$2:$AW$201,AW161,$CV$2:$CV$201,1,$BB$2:$BB$201,1)&gt;0,1,0),0)</f>
        <v>0</v>
      </c>
      <c r="DA161" s="23" t="n">
        <f aca="false">IF(AY161=1,IF(COUNTIFS($AW$2:$AW$201,AW161,$CW$2:$CW$201,1,$BB$2:$BB$201,1)&gt;0,1,0),0)</f>
        <v>0</v>
      </c>
      <c r="DB161" s="23" t="n">
        <f aca="false">IF(AY161=1,IF(COUNTIFS($AW$2:$AW$201,AW161,$CX$2:$CX$201,1,$BB$2:$BB$201,1)&gt;0,1,0),0)</f>
        <v>0</v>
      </c>
      <c r="DC161" s="23" t="n">
        <f aca="false">IF(AY161=1,IF(COUNTIFS($AW$2:$AW$201,AW161,$CY$2:$CY$201,1,$BB$2:$BB$201,1)&gt;0,1,0),0)</f>
        <v>0</v>
      </c>
      <c r="DD161" s="23" t="n">
        <f aca="false">IF(AND(BC161=1,INT(N(H161))&lt;=Config!$B$6,CZ161=1),1,0)</f>
        <v>0</v>
      </c>
      <c r="DE161" s="23" t="n">
        <f aca="false">IF(AND(BC161=1,INT(N(H161))&lt;=Config!$B$7,DA161=1),1,0)</f>
        <v>0</v>
      </c>
      <c r="DF161" s="23" t="n">
        <f aca="false">IF(AND(BC161=1,INT(N(H161))&lt;=Config!$B$8,DB161=1),1,0)</f>
        <v>0</v>
      </c>
      <c r="DG161" s="23" t="n">
        <f aca="false">IF(AND(BC161=1,INT(N(H161))&lt;=Config!$B$5,DC161=1),1,0)</f>
        <v>0</v>
      </c>
      <c r="DH161" s="23" t="n">
        <f aca="false">IF(AND(BE161=1,INT(N(H161))&lt;=Config!$B$6,CZ161=1),1,0)</f>
        <v>0</v>
      </c>
      <c r="DI161" s="23" t="n">
        <f aca="false">IF(AND(BE161=1,INT(N(H161))&lt;=Config!$B$7,DA161=1),1,0)</f>
        <v>0</v>
      </c>
      <c r="DJ161" s="23" t="n">
        <f aca="false">IF(AND(BE161=1,INT(N(H161))&lt;=Config!$B$8,DB161=1),1,0)</f>
        <v>0</v>
      </c>
      <c r="DK161" s="23" t="n">
        <f aca="false">IF(AND(BE161=1,INT(N(H161))&lt;=Config!$B$5,DC161=1),1,0)</f>
        <v>0</v>
      </c>
      <c r="DL161" s="23" t="n">
        <f aca="false">IF(AND(BC161=1,INT(N(H161))&lt;=Config!$B$6,CZ161=0),1,0)</f>
        <v>0</v>
      </c>
      <c r="DM161" s="23" t="n">
        <f aca="false">IF(AND(BC161=1,INT(N(H161))&lt;=Config!$B$7,DA161=0),1,0)</f>
        <v>0</v>
      </c>
      <c r="DN161" s="23" t="n">
        <f aca="false">IF(AND(BC161=1,INT(N(H161))&lt;=Config!$B$8,DB161=0),1,0)</f>
        <v>0</v>
      </c>
      <c r="DO161" s="23" t="n">
        <f aca="false">IF(AND(BC161=1,INT(N(H161))&lt;=Config!$B$5,DC161=0),1,0)</f>
        <v>0</v>
      </c>
      <c r="DP161" s="23" t="n">
        <f aca="false">IF(TRIM($A161)="",0,ISTEXT(K161)+ISTEXT(L161)+ISTEXT(R161)+ISTEXT(V161)+ISTEXT(AP161)+ISTEXT(AS161))</f>
        <v>0</v>
      </c>
      <c r="DQ161" s="23" t="n">
        <f aca="false">IF(AY161=1,IF(H161&lt;&gt;INT(H161),1,0),0)</f>
        <v>0</v>
      </c>
      <c r="DR161" s="23" t="str">
        <f aca="false">IF(TRIM($A161)="","",IF(TRIM(B161)="",SUBSTITUTE(SUBSTITUTE(SUBSTITUTE(SUBSTITUTE(SUBSTITUTE(SUBSTITUTE(LOWER(TRIM($A161)),"~",""),"*",""),"?",""),"&lt;",""),"&gt;",""),"=",""),SUBSTITUTE(SUBSTITUTE(SUBSTITUTE(SUBSTITUTE(SUBSTITUTE(SUBSTITUTE(LOWER(TRIM(B161)),"~",""),"*",""),"?",""),"&lt;",""),"&gt;",""),"=","")))</f>
        <v/>
      </c>
      <c r="DS161" s="23" t="str">
        <f aca="false">IF(CM161="","",IFERROR(IF(LEFT(LOWER(TRIM(INDEX(Clay_Brands!$A$2:$FZ$601,CM161,Sync!$D$19)&amp;"")),4)="grp-",SUBSTITUTE(SUBSTITUTE(SUBSTITUTE(SUBSTITUTE(SUBSTITUTE(SUBSTITUTE(LOWER(TRIM(INDEX(Clay_Brands!$A$2:$FZ$601,CM161,Sync!$D$19)&amp;"")),"~",""),"*",""),"?",""),"&lt;",""),"&gt;",""),"=",""),""),""))</f>
        <v/>
      </c>
      <c r="DT161" s="23" t="str">
        <f aca="false">IF(DS161&lt;&gt;"",DR161,"")</f>
        <v/>
      </c>
      <c r="DU161" s="23" t="str">
        <f aca="false">IF(AZ161=1,AW161,"")</f>
        <v/>
      </c>
      <c r="DV161" s="23" t="str">
        <f aca="false">IF(TRIM($A161)="","",IFERROR(INDEX($A$2:$A$201,MATCH(AW161,$DU$2:$DU$201,0))&amp;"",$A161&amp;""))</f>
        <v/>
      </c>
      <c r="DW161" s="23" t="n">
        <f aca="false">IF(AY161=1,IF(COUNTIFS($A$2:$A$201,$A161,$AY$2:$AY$201,1,$H$2:$H$201,"&lt;"&amp;H161)+COUNTIFS($A$2:$A$201,$A161,$AY$2:$AY$201,1,$H$2:$H$201,H161,$AX$2:$AX$201,"&lt;"&amp;AX161)=0,1,0),0)</f>
        <v>0</v>
      </c>
      <c r="DX161" s="23" t="n">
        <f aca="false">IF(AZ161=1,IF(COUNTIFS($AW$2:$AW$201,AW161,$DW$2:$DW$201,1)&gt;1,1,0),0)</f>
        <v>0</v>
      </c>
    </row>
    <row r="162" customFormat="false" ht="15" hidden="false" customHeight="false" outlineLevel="0" collapsed="false">
      <c r="G162" s="32"/>
      <c r="H162" s="33"/>
      <c r="I162" s="32"/>
      <c r="O162" s="32"/>
      <c r="P162" s="32"/>
      <c r="U162" s="32"/>
      <c r="Y162" s="32"/>
      <c r="AB162" s="32"/>
      <c r="AC162" s="32"/>
      <c r="AD162" s="32"/>
      <c r="AE162" s="32"/>
      <c r="AF162" s="32"/>
      <c r="AG162" s="32"/>
      <c r="AI162" s="32"/>
      <c r="AJ162" s="32"/>
      <c r="AK162" s="32"/>
      <c r="AN162" s="32"/>
      <c r="AO162" s="32"/>
      <c r="AR162" s="32"/>
      <c r="AT162" s="32"/>
      <c r="AV162" s="34" t="str">
        <f aca="false">IF(TRIM($A162)="","",IF(AND(LEFT($A162,6)="SAMPLE",Config!$B$19&lt;&gt;"Y"),"",IF(NOT(ISNUMBER(H162)),"call_date is blank or not a date",IF(Sync!$D$5="","Clay paste is empty or has no row_id column: paste the Clay export on Clay_Brands",IF(CM162="","row_id not found in the Clay paste: add the Clay row or fix the row_id",IF(AND(ISNUMBER(CO162),CO162&gt;=1,CO162&lt;=5),"Clay status is "&amp;CN162&amp;": set call_done or later",IF(AND(BA162=1,CP162&lt;&gt;CB162),"Clay yes_in_principle should be "&amp;CB162,IF(AND(BA162=1,CQ162&lt;&gt;H162),"Clay call_date should be "&amp;TEXT(H162,"yyyy-mm-dd"),""))))))))</f>
        <v/>
      </c>
      <c r="AW162" s="23" t="str">
        <f aca="false">IF(TRIM($A162)="","",IF(TRIM(C162)&lt;&gt;"",SUBSTITUTE(SUBSTITUTE(SUBSTITUTE(SUBSTITUTE(SUBSTITUTE(SUBSTITUTE(LOWER(TRIM(C162)),"~",""),"*",""),"?",""),"&lt;",""),"&gt;",""),"=",""),IF(DS162&lt;&gt;"",DS162,IFERROR(INDEX($DS$2:$DS$201,MATCH(DR162,$DT$2:$DT$201,0)),DR162))))</f>
        <v/>
      </c>
      <c r="AX162" s="23" t="n">
        <f aca="false">ROW()</f>
        <v>162</v>
      </c>
      <c r="AY162" s="23" t="n">
        <f aca="false">IF(AND(TRIM($A162)&lt;&gt;"",ISNUMBER(H162)),IF(AND(LEFT($A162,6)="SAMPLE",Config!$B$19&lt;&gt;"Y"),0,1),0)</f>
        <v>0</v>
      </c>
      <c r="AZ162" s="23" t="n">
        <f aca="false">IF(AY162=1,IF(COUNTIFS($AW$2:$AW$201,AW162,$AY$2:$AY$201,1,$H$2:$H$201,"&lt;"&amp;H162)+COUNTIFS($AW$2:$AW$201,AW162,$AY$2:$AY$201,1,$H$2:$H$201,H162,$AX$2:$AX$201,"&lt;"&amp;AX162)=0,1,0),0)</f>
        <v>0</v>
      </c>
      <c r="BA162" s="23" t="n">
        <f aca="false">IF(AY162=1,IF(COUNTIFS($A$2:$A$201,$A162,$AY$2:$AY$201,1,$H$2:$H$201,"&gt;"&amp;H162)+COUNTIFS($A$2:$A$201,$A162,$AY$2:$AY$201,1,$H$2:$H$201,H162,$AX$2:$AX$201,"&gt;"&amp;AX162)=0,1,0),0)</f>
        <v>0</v>
      </c>
      <c r="BB162" s="23" t="n">
        <f aca="false">IF(AND(AY162=1,O162="Y",MAX(N(R162),N(V162))&gt;=Config!$B$14),1,0)</f>
        <v>0</v>
      </c>
      <c r="BC162" s="23" t="n">
        <f aca="false">IF(BB162=1,IF(COUNTIFS($AW$2:$AW$201,AW162,$BB$2:$BB$201,1,$H$2:$H$201,"&lt;"&amp;H162)+COUNTIFS($AW$2:$AW$201,AW162,$BB$2:$BB$201,1,$H$2:$H$201,H162,$AX$2:$AX$201,"&lt;"&amp;AX162)=0,1,0),0)</f>
        <v>0</v>
      </c>
      <c r="BD162" s="23" t="n">
        <f aca="false">IF(AND(AY162=1,O162="Y",ISNUMBER(R162)),IF(R162&gt;=Config!$B$14,1,0),0)</f>
        <v>0</v>
      </c>
      <c r="BE162" s="23" t="n">
        <f aca="false">IF(BD162=1,IF(COUNTIFS($AW$2:$AW$201,AW162,$BD$2:$BD$201,1,$H$2:$H$201,"&lt;"&amp;H162)+COUNTIFS($AW$2:$AW$201,AW162,$BD$2:$BD$201,1,$H$2:$H$201,H162,$AX$2:$AX$201,"&lt;"&amp;AX162)=0,1,0),0)</f>
        <v>0</v>
      </c>
      <c r="BF162" s="23" t="n">
        <f aca="false">IF(AND(AY162=1,O162&lt;&gt;"Y",MAX(N(R162),N(V162))&gt;=Config!$B$14),1,0)</f>
        <v>0</v>
      </c>
      <c r="BG162" s="23" t="n">
        <f aca="false">IF(BF162=1,IF(COUNTIFS($AW$2:$AW$201,AW162,$BF$2:$BF$201,1,$H$2:$H$201,"&lt;"&amp;H162)+COUNTIFS($AW$2:$AW$201,AW162,$BF$2:$BF$201,1,$H$2:$H$201,H162,$AX$2:$AX$201,"&lt;"&amp;AX162)=0,1,0),0)</f>
        <v>0</v>
      </c>
      <c r="BH162" s="23" t="n">
        <f aca="false">IF(AND(AY162=1,ISNUMBER(R162)),1,0)</f>
        <v>0</v>
      </c>
      <c r="BI162" s="23" t="n">
        <f aca="false">IF(BH162=1,IF(COUNTIFS($AW$2:$AW$201,AW162,$BH$2:$BH$201,1,$H$2:$H$201,"&lt;"&amp;H162)+COUNTIFS($AW$2:$AW$201,AW162,$BH$2:$BH$201,1,$H$2:$H$201,H162,$AX$2:$AX$201,"&lt;"&amp;AX162)=0,1,0),0)</f>
        <v>0</v>
      </c>
      <c r="BJ162" s="23" t="str">
        <f aca="false">IF(AND(BI162=1,INT(N(H162))&lt;=Config!$B$6),R162,"")</f>
        <v/>
      </c>
      <c r="BK162" s="23" t="str">
        <f aca="false">IF(AND(BI162=1,INT(N(H162))&lt;=Config!$B$7),R162,"")</f>
        <v/>
      </c>
      <c r="BL162" s="23" t="str">
        <f aca="false">IF(AND(BI162=1,INT(N(H162))&lt;=Config!$B$8),R162,"")</f>
        <v/>
      </c>
      <c r="BM162" s="23" t="str">
        <f aca="false">IF(AND(BI162=1,INT(N(H162))&lt;=Config!$B$5),R162,"")</f>
        <v/>
      </c>
      <c r="BN162" s="23" t="n">
        <f aca="false">IF(AND(AY162=1,ISNUMBER(V162)),1,0)</f>
        <v>0</v>
      </c>
      <c r="BO162" s="23" t="n">
        <f aca="false">IF(BN162=1,IF(COUNTIFS($AW$2:$AW$201,AW162,$BN$2:$BN$201,1,$H$2:$H$201,"&lt;"&amp;H162)+COUNTIFS($AW$2:$AW$201,AW162,$BN$2:$BN$201,1,$H$2:$H$201,H162,$AX$2:$AX$201,"&lt;"&amp;AX162)=0,1,0),0)</f>
        <v>0</v>
      </c>
      <c r="BP162" s="23" t="str">
        <f aca="false">IF(AND(BO162=1,INT(N(H162))&lt;=Config!$B$6),V162,"")</f>
        <v/>
      </c>
      <c r="BQ162" s="23" t="str">
        <f aca="false">IF(AND(BO162=1,INT(N(H162))&lt;=Config!$B$7),V162,"")</f>
        <v/>
      </c>
      <c r="BR162" s="23" t="str">
        <f aca="false">IF(AND(BO162=1,INT(N(H162))&lt;=Config!$B$8),V162,"")</f>
        <v/>
      </c>
      <c r="BS162" s="23" t="str">
        <f aca="false">IF(AND(BO162=1,INT(N(H162))&lt;=Config!$B$5),V162,"")</f>
        <v/>
      </c>
      <c r="BT162" s="23" t="n">
        <f aca="false">IF(AND(AY162=1,ISNUMBER(K162)),1,0)</f>
        <v>0</v>
      </c>
      <c r="BU162" s="23" t="n">
        <f aca="false">IF(BT162=1,IF(COUNTIFS($AW$2:$AW$201,AW162,$BT$2:$BT$201,1,$H$2:$H$201,"&lt;"&amp;H162)+COUNTIFS($AW$2:$AW$201,AW162,$BT$2:$BT$201,1,$H$2:$H$201,H162,$AX$2:$AX$201,"&lt;"&amp;AX162)=0,1,0),0)</f>
        <v>0</v>
      </c>
      <c r="BV162" s="23" t="str">
        <f aca="false">IF(AND(BU162=1,INT(N(H162))&lt;=Config!$B$5),K162,"")</f>
        <v/>
      </c>
      <c r="BW162" s="23" t="n">
        <f aca="false">IF(AND(AY162=1,OR(AND(ISNUMBER(R162),TRIM(S162)=""),AND(ISNUMBER(V162),TRIM(W162)=""))),1,0)</f>
        <v>0</v>
      </c>
      <c r="BX162" s="23" t="str">
        <f aca="false">IF(AY162=1,AJ162&amp;"","")</f>
        <v/>
      </c>
      <c r="BY162" s="23" t="str">
        <f aca="false">IF(AY162=1,AK162&amp;"","")</f>
        <v/>
      </c>
      <c r="BZ162" s="23" t="str">
        <f aca="false">IF(AY162=1,AL162&amp;"","")</f>
        <v/>
      </c>
      <c r="CA162" s="23" t="str">
        <f aca="false">IF(AND(AY162=1,ISNUMBER(AS162),INT(N(H162))&lt;=Config!$B$5),AS162,"")</f>
        <v/>
      </c>
      <c r="CB162" s="23" t="str">
        <f aca="false">IF(AY162=1,IF(COUNTIFS($A$2:$A$201,$A162,$CU$2:$CU$201,1,$AN$2:$AN$201,"Y")&gt;0,"Y","N"),"")</f>
        <v/>
      </c>
      <c r="CC162" s="23" t="n">
        <f aca="false">IF(AND(AY162=1,AN162="Y"),IF(COUNTIFS($AW$2:$AW$201,AW162,$AN$2:$AN$201,"Y",$AY$2:$AY$201,1,$H$2:$H$201,"&lt;"&amp;H162)+COUNTIFS($AW$2:$AW$201,AW162,$AN$2:$AN$201,"Y",$AY$2:$AY$201,1,$H$2:$H$201,H162,$AX$2:$AX$201,"&lt;"&amp;AX162)=0,1,0),0)</f>
        <v>0</v>
      </c>
      <c r="CD162" s="23" t="n">
        <f aca="false">IF(AND(AY162=1,AB162="Y",AC162="Y",AD162="Y",AE162="Y",AF162="Y",AG162="Y",AI162="Y",TRIM(AH162)&lt;&gt;""),1,0)</f>
        <v>0</v>
      </c>
      <c r="CE162" s="23" t="n">
        <f aca="false">IF(CD162=1,IF(COUNTIFS($AW$2:$AW$201,AW162,$CD$2:$CD$201,1,$H$2:$H$201,"&lt;"&amp;H162)+COUNTIFS($AW$2:$AW$201,AW162,$CD$2:$CD$201,1,$H$2:$H$201,H162,$AX$2:$AX$201,"&lt;"&amp;AX162)=0,1,0),0)</f>
        <v>0</v>
      </c>
      <c r="CF162" s="23" t="n">
        <f aca="false">IF(AND(AY162=1,AO162="Y"),1,0)</f>
        <v>0</v>
      </c>
      <c r="CG162" s="23" t="n">
        <f aca="false">IF(CF162=1,IF(COUNTIFS($AW$2:$AW$201,AW162,$CF$2:$CF$201,1,$H$2:$H$201,"&lt;"&amp;H162)+COUNTIFS($AW$2:$AW$201,AW162,$CF$2:$CF$201,1,$H$2:$H$201,H162,$AX$2:$AX$201,"&lt;"&amp;AX162)=0,1,0),0)</f>
        <v>0</v>
      </c>
      <c r="CH162" s="23" t="n">
        <f aca="false">IF(AND(AY162=1,P162="Y"),1,0)</f>
        <v>0</v>
      </c>
      <c r="CI162" s="23" t="n">
        <f aca="false">IF(CH162=1,IF(COUNTIFS($AW$2:$AW$201,AW162,$CH$2:$CH$201,1,$H$2:$H$201,"&lt;"&amp;H162)+COUNTIFS($AW$2:$AW$201,AW162,$CH$2:$CH$201,1,$H$2:$H$201,H162,$AX$2:$AX$201,"&lt;"&amp;AX162)=0,1,0),0)</f>
        <v>0</v>
      </c>
      <c r="CJ162" s="23" t="str">
        <f aca="false">IF(AND(BU162=1,INT(N(H162))&lt;=Config!$B$5),L162,"")</f>
        <v/>
      </c>
      <c r="CK162" s="23" t="n">
        <f aca="false">IF(AND(AY162=1,AR162="Y"),1,0)</f>
        <v>0</v>
      </c>
      <c r="CL162" s="23" t="n">
        <f aca="false">IF(CK162=1,IF(COUNTIFS($AW$2:$AW$201,AW162,$CK$2:$CK$201,1,$H$2:$H$201,"&lt;"&amp;H162)+COUNTIFS($AW$2:$AW$201,AW162,$CK$2:$CK$201,1,$H$2:$H$201,H162,$AX$2:$AX$201,"&lt;"&amp;AX162)=0,1,0),0)</f>
        <v>0</v>
      </c>
      <c r="CM162" s="23" t="str">
        <f aca="false">IF(AY162=1,IFERROR(MATCH($A162,INDEX(Clay_Brands!$A$2:$FZ$601,0,Sync!$D$5),0),""),"")</f>
        <v/>
      </c>
      <c r="CN162" s="23" t="str">
        <f aca="false">IF(CM162="","",IFERROR(INDEX(Clay_Brands!$A$2:$FZ$601,CM162,Sync!$D$7)&amp;"",""))</f>
        <v/>
      </c>
      <c r="CO162" s="23" t="str">
        <f aca="false">IF(CN162="","",IFERROR(INDEX(Lists!$K$2:$K$15,MATCH(CN162,Lists!$J$2:$J$15,0)),""))</f>
        <v/>
      </c>
      <c r="CP162" s="23" t="str">
        <f aca="false">IF(CM162="","",IFERROR(INDEX(Clay_Brands!$A$2:$FZ$601,CM162,Sync!$D$17)&amp;"",""))</f>
        <v/>
      </c>
      <c r="CQ162" s="35" t="str">
        <f aca="false">IF(CM162="","",IFERROR(N(INDEX(Clay_Brands!$A$2:$FZ$601,CM162,Sync!$D$16)),0))</f>
        <v/>
      </c>
      <c r="CR162" s="23" t="n">
        <f aca="false">IF(AND(AY162=1,OR(O162="N",AND(OR(ISNUMBER(R162),ISNUMBER(V162)),MAX(N(R162),N(V162))&lt;Config!$B$14))),1,0)</f>
        <v>0</v>
      </c>
      <c r="CS162" s="23" t="n">
        <f aca="false">IF(OR(BB162=1,CR162=1),1,0)</f>
        <v>0</v>
      </c>
      <c r="CT162" s="23" t="n">
        <f aca="false">IF(AND(AY162=1,OR(AN162="Y",AN162="N",AN162="maybe")),1,0)</f>
        <v>0</v>
      </c>
      <c r="CU162" s="23" t="n">
        <f aca="false">IF(AND(CT162=1),IF(COUNTIFS($A$2:$A$201,$A162,$CT$2:$CT$201,1,$H$2:$H$201,"&gt;"&amp;H162)+COUNTIFS($A$2:$A$201,$A162,$CT$2:$CT$201,1,$H$2:$H$201,H162,$AX$2:$AX$201,"&gt;"&amp;AX162)=0,1,0),0)</f>
        <v>0</v>
      </c>
      <c r="CV162" s="23" t="n">
        <f aca="false">IF(AND(CS162=1,INT(N(H162))&lt;=Config!$B$6),IF(COUNTIFS($AW$2:$AW$201,AW162,$CS$2:$CS$201,1,$H$2:$H$201,"&gt;"&amp;H162,$H$2:$H$201,"&lt;"&amp;(Config!$B$6+1))+COUNTIFS($AW$2:$AW$201,AW162,$CS$2:$CS$201,1,$H$2:$H$201,H162,$AX$2:$AX$201,"&gt;"&amp;AX162)=0,1,0),0)</f>
        <v>0</v>
      </c>
      <c r="CW162" s="23" t="n">
        <f aca="false">IF(AND(CS162=1,INT(N(H162))&lt;=Config!$B$7),IF(COUNTIFS($AW$2:$AW$201,AW162,$CS$2:$CS$201,1,$H$2:$H$201,"&gt;"&amp;H162,$H$2:$H$201,"&lt;"&amp;(Config!$B$7+1))+COUNTIFS($AW$2:$AW$201,AW162,$CS$2:$CS$201,1,$H$2:$H$201,H162,$AX$2:$AX$201,"&gt;"&amp;AX162)=0,1,0),0)</f>
        <v>0</v>
      </c>
      <c r="CX162" s="23" t="n">
        <f aca="false">IF(AND(CS162=1,INT(N(H162))&lt;=Config!$B$8),IF(COUNTIFS($AW$2:$AW$201,AW162,$CS$2:$CS$201,1,$H$2:$H$201,"&gt;"&amp;H162,$H$2:$H$201,"&lt;"&amp;(Config!$B$8+1))+COUNTIFS($AW$2:$AW$201,AW162,$CS$2:$CS$201,1,$H$2:$H$201,H162,$AX$2:$AX$201,"&gt;"&amp;AX162)=0,1,0),0)</f>
        <v>0</v>
      </c>
      <c r="CY162" s="23" t="n">
        <f aca="false">IF(AND(CS162=1,INT(N(H162))&lt;=Config!$B$5),IF(COUNTIFS($AW$2:$AW$201,AW162,$CS$2:$CS$201,1,$H$2:$H$201,"&gt;"&amp;H162,$H$2:$H$201,"&lt;"&amp;(Config!$B$5+1))+COUNTIFS($AW$2:$AW$201,AW162,$CS$2:$CS$201,1,$H$2:$H$201,H162,$AX$2:$AX$201,"&gt;"&amp;AX162)=0,1,0),0)</f>
        <v>0</v>
      </c>
      <c r="CZ162" s="23" t="n">
        <f aca="false">IF(AY162=1,IF(COUNTIFS($AW$2:$AW$201,AW162,$CV$2:$CV$201,1,$BB$2:$BB$201,1)&gt;0,1,0),0)</f>
        <v>0</v>
      </c>
      <c r="DA162" s="23" t="n">
        <f aca="false">IF(AY162=1,IF(COUNTIFS($AW$2:$AW$201,AW162,$CW$2:$CW$201,1,$BB$2:$BB$201,1)&gt;0,1,0),0)</f>
        <v>0</v>
      </c>
      <c r="DB162" s="23" t="n">
        <f aca="false">IF(AY162=1,IF(COUNTIFS($AW$2:$AW$201,AW162,$CX$2:$CX$201,1,$BB$2:$BB$201,1)&gt;0,1,0),0)</f>
        <v>0</v>
      </c>
      <c r="DC162" s="23" t="n">
        <f aca="false">IF(AY162=1,IF(COUNTIFS($AW$2:$AW$201,AW162,$CY$2:$CY$201,1,$BB$2:$BB$201,1)&gt;0,1,0),0)</f>
        <v>0</v>
      </c>
      <c r="DD162" s="23" t="n">
        <f aca="false">IF(AND(BC162=1,INT(N(H162))&lt;=Config!$B$6,CZ162=1),1,0)</f>
        <v>0</v>
      </c>
      <c r="DE162" s="23" t="n">
        <f aca="false">IF(AND(BC162=1,INT(N(H162))&lt;=Config!$B$7,DA162=1),1,0)</f>
        <v>0</v>
      </c>
      <c r="DF162" s="23" t="n">
        <f aca="false">IF(AND(BC162=1,INT(N(H162))&lt;=Config!$B$8,DB162=1),1,0)</f>
        <v>0</v>
      </c>
      <c r="DG162" s="23" t="n">
        <f aca="false">IF(AND(BC162=1,INT(N(H162))&lt;=Config!$B$5,DC162=1),1,0)</f>
        <v>0</v>
      </c>
      <c r="DH162" s="23" t="n">
        <f aca="false">IF(AND(BE162=1,INT(N(H162))&lt;=Config!$B$6,CZ162=1),1,0)</f>
        <v>0</v>
      </c>
      <c r="DI162" s="23" t="n">
        <f aca="false">IF(AND(BE162=1,INT(N(H162))&lt;=Config!$B$7,DA162=1),1,0)</f>
        <v>0</v>
      </c>
      <c r="DJ162" s="23" t="n">
        <f aca="false">IF(AND(BE162=1,INT(N(H162))&lt;=Config!$B$8,DB162=1),1,0)</f>
        <v>0</v>
      </c>
      <c r="DK162" s="23" t="n">
        <f aca="false">IF(AND(BE162=1,INT(N(H162))&lt;=Config!$B$5,DC162=1),1,0)</f>
        <v>0</v>
      </c>
      <c r="DL162" s="23" t="n">
        <f aca="false">IF(AND(BC162=1,INT(N(H162))&lt;=Config!$B$6,CZ162=0),1,0)</f>
        <v>0</v>
      </c>
      <c r="DM162" s="23" t="n">
        <f aca="false">IF(AND(BC162=1,INT(N(H162))&lt;=Config!$B$7,DA162=0),1,0)</f>
        <v>0</v>
      </c>
      <c r="DN162" s="23" t="n">
        <f aca="false">IF(AND(BC162=1,INT(N(H162))&lt;=Config!$B$8,DB162=0),1,0)</f>
        <v>0</v>
      </c>
      <c r="DO162" s="23" t="n">
        <f aca="false">IF(AND(BC162=1,INT(N(H162))&lt;=Config!$B$5,DC162=0),1,0)</f>
        <v>0</v>
      </c>
      <c r="DP162" s="23" t="n">
        <f aca="false">IF(TRIM($A162)="",0,ISTEXT(K162)+ISTEXT(L162)+ISTEXT(R162)+ISTEXT(V162)+ISTEXT(AP162)+ISTEXT(AS162))</f>
        <v>0</v>
      </c>
      <c r="DQ162" s="23" t="n">
        <f aca="false">IF(AY162=1,IF(H162&lt;&gt;INT(H162),1,0),0)</f>
        <v>0</v>
      </c>
      <c r="DR162" s="23" t="str">
        <f aca="false">IF(TRIM($A162)="","",IF(TRIM(B162)="",SUBSTITUTE(SUBSTITUTE(SUBSTITUTE(SUBSTITUTE(SUBSTITUTE(SUBSTITUTE(LOWER(TRIM($A162)),"~",""),"*",""),"?",""),"&lt;",""),"&gt;",""),"=",""),SUBSTITUTE(SUBSTITUTE(SUBSTITUTE(SUBSTITUTE(SUBSTITUTE(SUBSTITUTE(LOWER(TRIM(B162)),"~",""),"*",""),"?",""),"&lt;",""),"&gt;",""),"=","")))</f>
        <v/>
      </c>
      <c r="DS162" s="23" t="str">
        <f aca="false">IF(CM162="","",IFERROR(IF(LEFT(LOWER(TRIM(INDEX(Clay_Brands!$A$2:$FZ$601,CM162,Sync!$D$19)&amp;"")),4)="grp-",SUBSTITUTE(SUBSTITUTE(SUBSTITUTE(SUBSTITUTE(SUBSTITUTE(SUBSTITUTE(LOWER(TRIM(INDEX(Clay_Brands!$A$2:$FZ$601,CM162,Sync!$D$19)&amp;"")),"~",""),"*",""),"?",""),"&lt;",""),"&gt;",""),"=",""),""),""))</f>
        <v/>
      </c>
      <c r="DT162" s="23" t="str">
        <f aca="false">IF(DS162&lt;&gt;"",DR162,"")</f>
        <v/>
      </c>
      <c r="DU162" s="23" t="str">
        <f aca="false">IF(AZ162=1,AW162,"")</f>
        <v/>
      </c>
      <c r="DV162" s="23" t="str">
        <f aca="false">IF(TRIM($A162)="","",IFERROR(INDEX($A$2:$A$201,MATCH(AW162,$DU$2:$DU$201,0))&amp;"",$A162&amp;""))</f>
        <v/>
      </c>
      <c r="DW162" s="23" t="n">
        <f aca="false">IF(AY162=1,IF(COUNTIFS($A$2:$A$201,$A162,$AY$2:$AY$201,1,$H$2:$H$201,"&lt;"&amp;H162)+COUNTIFS($A$2:$A$201,$A162,$AY$2:$AY$201,1,$H$2:$H$201,H162,$AX$2:$AX$201,"&lt;"&amp;AX162)=0,1,0),0)</f>
        <v>0</v>
      </c>
      <c r="DX162" s="23" t="n">
        <f aca="false">IF(AZ162=1,IF(COUNTIFS($AW$2:$AW$201,AW162,$DW$2:$DW$201,1)&gt;1,1,0),0)</f>
        <v>0</v>
      </c>
    </row>
    <row r="163" customFormat="false" ht="15" hidden="false" customHeight="false" outlineLevel="0" collapsed="false">
      <c r="G163" s="32"/>
      <c r="H163" s="33"/>
      <c r="I163" s="32"/>
      <c r="O163" s="32"/>
      <c r="P163" s="32"/>
      <c r="U163" s="32"/>
      <c r="Y163" s="32"/>
      <c r="AB163" s="32"/>
      <c r="AC163" s="32"/>
      <c r="AD163" s="32"/>
      <c r="AE163" s="32"/>
      <c r="AF163" s="32"/>
      <c r="AG163" s="32"/>
      <c r="AI163" s="32"/>
      <c r="AJ163" s="32"/>
      <c r="AK163" s="32"/>
      <c r="AN163" s="32"/>
      <c r="AO163" s="32"/>
      <c r="AR163" s="32"/>
      <c r="AT163" s="32"/>
      <c r="AV163" s="34" t="str">
        <f aca="false">IF(TRIM($A163)="","",IF(AND(LEFT($A163,6)="SAMPLE",Config!$B$19&lt;&gt;"Y"),"",IF(NOT(ISNUMBER(H163)),"call_date is blank or not a date",IF(Sync!$D$5="","Clay paste is empty or has no row_id column: paste the Clay export on Clay_Brands",IF(CM163="","row_id not found in the Clay paste: add the Clay row or fix the row_id",IF(AND(ISNUMBER(CO163),CO163&gt;=1,CO163&lt;=5),"Clay status is "&amp;CN163&amp;": set call_done or later",IF(AND(BA163=1,CP163&lt;&gt;CB163),"Clay yes_in_principle should be "&amp;CB163,IF(AND(BA163=1,CQ163&lt;&gt;H163),"Clay call_date should be "&amp;TEXT(H163,"yyyy-mm-dd"),""))))))))</f>
        <v/>
      </c>
      <c r="AW163" s="23" t="str">
        <f aca="false">IF(TRIM($A163)="","",IF(TRIM(C163)&lt;&gt;"",SUBSTITUTE(SUBSTITUTE(SUBSTITUTE(SUBSTITUTE(SUBSTITUTE(SUBSTITUTE(LOWER(TRIM(C163)),"~",""),"*",""),"?",""),"&lt;",""),"&gt;",""),"=",""),IF(DS163&lt;&gt;"",DS163,IFERROR(INDEX($DS$2:$DS$201,MATCH(DR163,$DT$2:$DT$201,0)),DR163))))</f>
        <v/>
      </c>
      <c r="AX163" s="23" t="n">
        <f aca="false">ROW()</f>
        <v>163</v>
      </c>
      <c r="AY163" s="23" t="n">
        <f aca="false">IF(AND(TRIM($A163)&lt;&gt;"",ISNUMBER(H163)),IF(AND(LEFT($A163,6)="SAMPLE",Config!$B$19&lt;&gt;"Y"),0,1),0)</f>
        <v>0</v>
      </c>
      <c r="AZ163" s="23" t="n">
        <f aca="false">IF(AY163=1,IF(COUNTIFS($AW$2:$AW$201,AW163,$AY$2:$AY$201,1,$H$2:$H$201,"&lt;"&amp;H163)+COUNTIFS($AW$2:$AW$201,AW163,$AY$2:$AY$201,1,$H$2:$H$201,H163,$AX$2:$AX$201,"&lt;"&amp;AX163)=0,1,0),0)</f>
        <v>0</v>
      </c>
      <c r="BA163" s="23" t="n">
        <f aca="false">IF(AY163=1,IF(COUNTIFS($A$2:$A$201,$A163,$AY$2:$AY$201,1,$H$2:$H$201,"&gt;"&amp;H163)+COUNTIFS($A$2:$A$201,$A163,$AY$2:$AY$201,1,$H$2:$H$201,H163,$AX$2:$AX$201,"&gt;"&amp;AX163)=0,1,0),0)</f>
        <v>0</v>
      </c>
      <c r="BB163" s="23" t="n">
        <f aca="false">IF(AND(AY163=1,O163="Y",MAX(N(R163),N(V163))&gt;=Config!$B$14),1,0)</f>
        <v>0</v>
      </c>
      <c r="BC163" s="23" t="n">
        <f aca="false">IF(BB163=1,IF(COUNTIFS($AW$2:$AW$201,AW163,$BB$2:$BB$201,1,$H$2:$H$201,"&lt;"&amp;H163)+COUNTIFS($AW$2:$AW$201,AW163,$BB$2:$BB$201,1,$H$2:$H$201,H163,$AX$2:$AX$201,"&lt;"&amp;AX163)=0,1,0),0)</f>
        <v>0</v>
      </c>
      <c r="BD163" s="23" t="n">
        <f aca="false">IF(AND(AY163=1,O163="Y",ISNUMBER(R163)),IF(R163&gt;=Config!$B$14,1,0),0)</f>
        <v>0</v>
      </c>
      <c r="BE163" s="23" t="n">
        <f aca="false">IF(BD163=1,IF(COUNTIFS($AW$2:$AW$201,AW163,$BD$2:$BD$201,1,$H$2:$H$201,"&lt;"&amp;H163)+COUNTIFS($AW$2:$AW$201,AW163,$BD$2:$BD$201,1,$H$2:$H$201,H163,$AX$2:$AX$201,"&lt;"&amp;AX163)=0,1,0),0)</f>
        <v>0</v>
      </c>
      <c r="BF163" s="23" t="n">
        <f aca="false">IF(AND(AY163=1,O163&lt;&gt;"Y",MAX(N(R163),N(V163))&gt;=Config!$B$14),1,0)</f>
        <v>0</v>
      </c>
      <c r="BG163" s="23" t="n">
        <f aca="false">IF(BF163=1,IF(COUNTIFS($AW$2:$AW$201,AW163,$BF$2:$BF$201,1,$H$2:$H$201,"&lt;"&amp;H163)+COUNTIFS($AW$2:$AW$201,AW163,$BF$2:$BF$201,1,$H$2:$H$201,H163,$AX$2:$AX$201,"&lt;"&amp;AX163)=0,1,0),0)</f>
        <v>0</v>
      </c>
      <c r="BH163" s="23" t="n">
        <f aca="false">IF(AND(AY163=1,ISNUMBER(R163)),1,0)</f>
        <v>0</v>
      </c>
      <c r="BI163" s="23" t="n">
        <f aca="false">IF(BH163=1,IF(COUNTIFS($AW$2:$AW$201,AW163,$BH$2:$BH$201,1,$H$2:$H$201,"&lt;"&amp;H163)+COUNTIFS($AW$2:$AW$201,AW163,$BH$2:$BH$201,1,$H$2:$H$201,H163,$AX$2:$AX$201,"&lt;"&amp;AX163)=0,1,0),0)</f>
        <v>0</v>
      </c>
      <c r="BJ163" s="23" t="str">
        <f aca="false">IF(AND(BI163=1,INT(N(H163))&lt;=Config!$B$6),R163,"")</f>
        <v/>
      </c>
      <c r="BK163" s="23" t="str">
        <f aca="false">IF(AND(BI163=1,INT(N(H163))&lt;=Config!$B$7),R163,"")</f>
        <v/>
      </c>
      <c r="BL163" s="23" t="str">
        <f aca="false">IF(AND(BI163=1,INT(N(H163))&lt;=Config!$B$8),R163,"")</f>
        <v/>
      </c>
      <c r="BM163" s="23" t="str">
        <f aca="false">IF(AND(BI163=1,INT(N(H163))&lt;=Config!$B$5),R163,"")</f>
        <v/>
      </c>
      <c r="BN163" s="23" t="n">
        <f aca="false">IF(AND(AY163=1,ISNUMBER(V163)),1,0)</f>
        <v>0</v>
      </c>
      <c r="BO163" s="23" t="n">
        <f aca="false">IF(BN163=1,IF(COUNTIFS($AW$2:$AW$201,AW163,$BN$2:$BN$201,1,$H$2:$H$201,"&lt;"&amp;H163)+COUNTIFS($AW$2:$AW$201,AW163,$BN$2:$BN$201,1,$H$2:$H$201,H163,$AX$2:$AX$201,"&lt;"&amp;AX163)=0,1,0),0)</f>
        <v>0</v>
      </c>
      <c r="BP163" s="23" t="str">
        <f aca="false">IF(AND(BO163=1,INT(N(H163))&lt;=Config!$B$6),V163,"")</f>
        <v/>
      </c>
      <c r="BQ163" s="23" t="str">
        <f aca="false">IF(AND(BO163=1,INT(N(H163))&lt;=Config!$B$7),V163,"")</f>
        <v/>
      </c>
      <c r="BR163" s="23" t="str">
        <f aca="false">IF(AND(BO163=1,INT(N(H163))&lt;=Config!$B$8),V163,"")</f>
        <v/>
      </c>
      <c r="BS163" s="23" t="str">
        <f aca="false">IF(AND(BO163=1,INT(N(H163))&lt;=Config!$B$5),V163,"")</f>
        <v/>
      </c>
      <c r="BT163" s="23" t="n">
        <f aca="false">IF(AND(AY163=1,ISNUMBER(K163)),1,0)</f>
        <v>0</v>
      </c>
      <c r="BU163" s="23" t="n">
        <f aca="false">IF(BT163=1,IF(COUNTIFS($AW$2:$AW$201,AW163,$BT$2:$BT$201,1,$H$2:$H$201,"&lt;"&amp;H163)+COUNTIFS($AW$2:$AW$201,AW163,$BT$2:$BT$201,1,$H$2:$H$201,H163,$AX$2:$AX$201,"&lt;"&amp;AX163)=0,1,0),0)</f>
        <v>0</v>
      </c>
      <c r="BV163" s="23" t="str">
        <f aca="false">IF(AND(BU163=1,INT(N(H163))&lt;=Config!$B$5),K163,"")</f>
        <v/>
      </c>
      <c r="BW163" s="23" t="n">
        <f aca="false">IF(AND(AY163=1,OR(AND(ISNUMBER(R163),TRIM(S163)=""),AND(ISNUMBER(V163),TRIM(W163)=""))),1,0)</f>
        <v>0</v>
      </c>
      <c r="BX163" s="23" t="str">
        <f aca="false">IF(AY163=1,AJ163&amp;"","")</f>
        <v/>
      </c>
      <c r="BY163" s="23" t="str">
        <f aca="false">IF(AY163=1,AK163&amp;"","")</f>
        <v/>
      </c>
      <c r="BZ163" s="23" t="str">
        <f aca="false">IF(AY163=1,AL163&amp;"","")</f>
        <v/>
      </c>
      <c r="CA163" s="23" t="str">
        <f aca="false">IF(AND(AY163=1,ISNUMBER(AS163),INT(N(H163))&lt;=Config!$B$5),AS163,"")</f>
        <v/>
      </c>
      <c r="CB163" s="23" t="str">
        <f aca="false">IF(AY163=1,IF(COUNTIFS($A$2:$A$201,$A163,$CU$2:$CU$201,1,$AN$2:$AN$201,"Y")&gt;0,"Y","N"),"")</f>
        <v/>
      </c>
      <c r="CC163" s="23" t="n">
        <f aca="false">IF(AND(AY163=1,AN163="Y"),IF(COUNTIFS($AW$2:$AW$201,AW163,$AN$2:$AN$201,"Y",$AY$2:$AY$201,1,$H$2:$H$201,"&lt;"&amp;H163)+COUNTIFS($AW$2:$AW$201,AW163,$AN$2:$AN$201,"Y",$AY$2:$AY$201,1,$H$2:$H$201,H163,$AX$2:$AX$201,"&lt;"&amp;AX163)=0,1,0),0)</f>
        <v>0</v>
      </c>
      <c r="CD163" s="23" t="n">
        <f aca="false">IF(AND(AY163=1,AB163="Y",AC163="Y",AD163="Y",AE163="Y",AF163="Y",AG163="Y",AI163="Y",TRIM(AH163)&lt;&gt;""),1,0)</f>
        <v>0</v>
      </c>
      <c r="CE163" s="23" t="n">
        <f aca="false">IF(CD163=1,IF(COUNTIFS($AW$2:$AW$201,AW163,$CD$2:$CD$201,1,$H$2:$H$201,"&lt;"&amp;H163)+COUNTIFS($AW$2:$AW$201,AW163,$CD$2:$CD$201,1,$H$2:$H$201,H163,$AX$2:$AX$201,"&lt;"&amp;AX163)=0,1,0),0)</f>
        <v>0</v>
      </c>
      <c r="CF163" s="23" t="n">
        <f aca="false">IF(AND(AY163=1,AO163="Y"),1,0)</f>
        <v>0</v>
      </c>
      <c r="CG163" s="23" t="n">
        <f aca="false">IF(CF163=1,IF(COUNTIFS($AW$2:$AW$201,AW163,$CF$2:$CF$201,1,$H$2:$H$201,"&lt;"&amp;H163)+COUNTIFS($AW$2:$AW$201,AW163,$CF$2:$CF$201,1,$H$2:$H$201,H163,$AX$2:$AX$201,"&lt;"&amp;AX163)=0,1,0),0)</f>
        <v>0</v>
      </c>
      <c r="CH163" s="23" t="n">
        <f aca="false">IF(AND(AY163=1,P163="Y"),1,0)</f>
        <v>0</v>
      </c>
      <c r="CI163" s="23" t="n">
        <f aca="false">IF(CH163=1,IF(COUNTIFS($AW$2:$AW$201,AW163,$CH$2:$CH$201,1,$H$2:$H$201,"&lt;"&amp;H163)+COUNTIFS($AW$2:$AW$201,AW163,$CH$2:$CH$201,1,$H$2:$H$201,H163,$AX$2:$AX$201,"&lt;"&amp;AX163)=0,1,0),0)</f>
        <v>0</v>
      </c>
      <c r="CJ163" s="23" t="str">
        <f aca="false">IF(AND(BU163=1,INT(N(H163))&lt;=Config!$B$5),L163,"")</f>
        <v/>
      </c>
      <c r="CK163" s="23" t="n">
        <f aca="false">IF(AND(AY163=1,AR163="Y"),1,0)</f>
        <v>0</v>
      </c>
      <c r="CL163" s="23" t="n">
        <f aca="false">IF(CK163=1,IF(COUNTIFS($AW$2:$AW$201,AW163,$CK$2:$CK$201,1,$H$2:$H$201,"&lt;"&amp;H163)+COUNTIFS($AW$2:$AW$201,AW163,$CK$2:$CK$201,1,$H$2:$H$201,H163,$AX$2:$AX$201,"&lt;"&amp;AX163)=0,1,0),0)</f>
        <v>0</v>
      </c>
      <c r="CM163" s="23" t="str">
        <f aca="false">IF(AY163=1,IFERROR(MATCH($A163,INDEX(Clay_Brands!$A$2:$FZ$601,0,Sync!$D$5),0),""),"")</f>
        <v/>
      </c>
      <c r="CN163" s="23" t="str">
        <f aca="false">IF(CM163="","",IFERROR(INDEX(Clay_Brands!$A$2:$FZ$601,CM163,Sync!$D$7)&amp;"",""))</f>
        <v/>
      </c>
      <c r="CO163" s="23" t="str">
        <f aca="false">IF(CN163="","",IFERROR(INDEX(Lists!$K$2:$K$15,MATCH(CN163,Lists!$J$2:$J$15,0)),""))</f>
        <v/>
      </c>
      <c r="CP163" s="23" t="str">
        <f aca="false">IF(CM163="","",IFERROR(INDEX(Clay_Brands!$A$2:$FZ$601,CM163,Sync!$D$17)&amp;"",""))</f>
        <v/>
      </c>
      <c r="CQ163" s="35" t="str">
        <f aca="false">IF(CM163="","",IFERROR(N(INDEX(Clay_Brands!$A$2:$FZ$601,CM163,Sync!$D$16)),0))</f>
        <v/>
      </c>
      <c r="CR163" s="23" t="n">
        <f aca="false">IF(AND(AY163=1,OR(O163="N",AND(OR(ISNUMBER(R163),ISNUMBER(V163)),MAX(N(R163),N(V163))&lt;Config!$B$14))),1,0)</f>
        <v>0</v>
      </c>
      <c r="CS163" s="23" t="n">
        <f aca="false">IF(OR(BB163=1,CR163=1),1,0)</f>
        <v>0</v>
      </c>
      <c r="CT163" s="23" t="n">
        <f aca="false">IF(AND(AY163=1,OR(AN163="Y",AN163="N",AN163="maybe")),1,0)</f>
        <v>0</v>
      </c>
      <c r="CU163" s="23" t="n">
        <f aca="false">IF(AND(CT163=1),IF(COUNTIFS($A$2:$A$201,$A163,$CT$2:$CT$201,1,$H$2:$H$201,"&gt;"&amp;H163)+COUNTIFS($A$2:$A$201,$A163,$CT$2:$CT$201,1,$H$2:$H$201,H163,$AX$2:$AX$201,"&gt;"&amp;AX163)=0,1,0),0)</f>
        <v>0</v>
      </c>
      <c r="CV163" s="23" t="n">
        <f aca="false">IF(AND(CS163=1,INT(N(H163))&lt;=Config!$B$6),IF(COUNTIFS($AW$2:$AW$201,AW163,$CS$2:$CS$201,1,$H$2:$H$201,"&gt;"&amp;H163,$H$2:$H$201,"&lt;"&amp;(Config!$B$6+1))+COUNTIFS($AW$2:$AW$201,AW163,$CS$2:$CS$201,1,$H$2:$H$201,H163,$AX$2:$AX$201,"&gt;"&amp;AX163)=0,1,0),0)</f>
        <v>0</v>
      </c>
      <c r="CW163" s="23" t="n">
        <f aca="false">IF(AND(CS163=1,INT(N(H163))&lt;=Config!$B$7),IF(COUNTIFS($AW$2:$AW$201,AW163,$CS$2:$CS$201,1,$H$2:$H$201,"&gt;"&amp;H163,$H$2:$H$201,"&lt;"&amp;(Config!$B$7+1))+COUNTIFS($AW$2:$AW$201,AW163,$CS$2:$CS$201,1,$H$2:$H$201,H163,$AX$2:$AX$201,"&gt;"&amp;AX163)=0,1,0),0)</f>
        <v>0</v>
      </c>
      <c r="CX163" s="23" t="n">
        <f aca="false">IF(AND(CS163=1,INT(N(H163))&lt;=Config!$B$8),IF(COUNTIFS($AW$2:$AW$201,AW163,$CS$2:$CS$201,1,$H$2:$H$201,"&gt;"&amp;H163,$H$2:$H$201,"&lt;"&amp;(Config!$B$8+1))+COUNTIFS($AW$2:$AW$201,AW163,$CS$2:$CS$201,1,$H$2:$H$201,H163,$AX$2:$AX$201,"&gt;"&amp;AX163)=0,1,0),0)</f>
        <v>0</v>
      </c>
      <c r="CY163" s="23" t="n">
        <f aca="false">IF(AND(CS163=1,INT(N(H163))&lt;=Config!$B$5),IF(COUNTIFS($AW$2:$AW$201,AW163,$CS$2:$CS$201,1,$H$2:$H$201,"&gt;"&amp;H163,$H$2:$H$201,"&lt;"&amp;(Config!$B$5+1))+COUNTIFS($AW$2:$AW$201,AW163,$CS$2:$CS$201,1,$H$2:$H$201,H163,$AX$2:$AX$201,"&gt;"&amp;AX163)=0,1,0),0)</f>
        <v>0</v>
      </c>
      <c r="CZ163" s="23" t="n">
        <f aca="false">IF(AY163=1,IF(COUNTIFS($AW$2:$AW$201,AW163,$CV$2:$CV$201,1,$BB$2:$BB$201,1)&gt;0,1,0),0)</f>
        <v>0</v>
      </c>
      <c r="DA163" s="23" t="n">
        <f aca="false">IF(AY163=1,IF(COUNTIFS($AW$2:$AW$201,AW163,$CW$2:$CW$201,1,$BB$2:$BB$201,1)&gt;0,1,0),0)</f>
        <v>0</v>
      </c>
      <c r="DB163" s="23" t="n">
        <f aca="false">IF(AY163=1,IF(COUNTIFS($AW$2:$AW$201,AW163,$CX$2:$CX$201,1,$BB$2:$BB$201,1)&gt;0,1,0),0)</f>
        <v>0</v>
      </c>
      <c r="DC163" s="23" t="n">
        <f aca="false">IF(AY163=1,IF(COUNTIFS($AW$2:$AW$201,AW163,$CY$2:$CY$201,1,$BB$2:$BB$201,1)&gt;0,1,0),0)</f>
        <v>0</v>
      </c>
      <c r="DD163" s="23" t="n">
        <f aca="false">IF(AND(BC163=1,INT(N(H163))&lt;=Config!$B$6,CZ163=1),1,0)</f>
        <v>0</v>
      </c>
      <c r="DE163" s="23" t="n">
        <f aca="false">IF(AND(BC163=1,INT(N(H163))&lt;=Config!$B$7,DA163=1),1,0)</f>
        <v>0</v>
      </c>
      <c r="DF163" s="23" t="n">
        <f aca="false">IF(AND(BC163=1,INT(N(H163))&lt;=Config!$B$8,DB163=1),1,0)</f>
        <v>0</v>
      </c>
      <c r="DG163" s="23" t="n">
        <f aca="false">IF(AND(BC163=1,INT(N(H163))&lt;=Config!$B$5,DC163=1),1,0)</f>
        <v>0</v>
      </c>
      <c r="DH163" s="23" t="n">
        <f aca="false">IF(AND(BE163=1,INT(N(H163))&lt;=Config!$B$6,CZ163=1),1,0)</f>
        <v>0</v>
      </c>
      <c r="DI163" s="23" t="n">
        <f aca="false">IF(AND(BE163=1,INT(N(H163))&lt;=Config!$B$7,DA163=1),1,0)</f>
        <v>0</v>
      </c>
      <c r="DJ163" s="23" t="n">
        <f aca="false">IF(AND(BE163=1,INT(N(H163))&lt;=Config!$B$8,DB163=1),1,0)</f>
        <v>0</v>
      </c>
      <c r="DK163" s="23" t="n">
        <f aca="false">IF(AND(BE163=1,INT(N(H163))&lt;=Config!$B$5,DC163=1),1,0)</f>
        <v>0</v>
      </c>
      <c r="DL163" s="23" t="n">
        <f aca="false">IF(AND(BC163=1,INT(N(H163))&lt;=Config!$B$6,CZ163=0),1,0)</f>
        <v>0</v>
      </c>
      <c r="DM163" s="23" t="n">
        <f aca="false">IF(AND(BC163=1,INT(N(H163))&lt;=Config!$B$7,DA163=0),1,0)</f>
        <v>0</v>
      </c>
      <c r="DN163" s="23" t="n">
        <f aca="false">IF(AND(BC163=1,INT(N(H163))&lt;=Config!$B$8,DB163=0),1,0)</f>
        <v>0</v>
      </c>
      <c r="DO163" s="23" t="n">
        <f aca="false">IF(AND(BC163=1,INT(N(H163))&lt;=Config!$B$5,DC163=0),1,0)</f>
        <v>0</v>
      </c>
      <c r="DP163" s="23" t="n">
        <f aca="false">IF(TRIM($A163)="",0,ISTEXT(K163)+ISTEXT(L163)+ISTEXT(R163)+ISTEXT(V163)+ISTEXT(AP163)+ISTEXT(AS163))</f>
        <v>0</v>
      </c>
      <c r="DQ163" s="23" t="n">
        <f aca="false">IF(AY163=1,IF(H163&lt;&gt;INT(H163),1,0),0)</f>
        <v>0</v>
      </c>
      <c r="DR163" s="23" t="str">
        <f aca="false">IF(TRIM($A163)="","",IF(TRIM(B163)="",SUBSTITUTE(SUBSTITUTE(SUBSTITUTE(SUBSTITUTE(SUBSTITUTE(SUBSTITUTE(LOWER(TRIM($A163)),"~",""),"*",""),"?",""),"&lt;",""),"&gt;",""),"=",""),SUBSTITUTE(SUBSTITUTE(SUBSTITUTE(SUBSTITUTE(SUBSTITUTE(SUBSTITUTE(LOWER(TRIM(B163)),"~",""),"*",""),"?",""),"&lt;",""),"&gt;",""),"=","")))</f>
        <v/>
      </c>
      <c r="DS163" s="23" t="str">
        <f aca="false">IF(CM163="","",IFERROR(IF(LEFT(LOWER(TRIM(INDEX(Clay_Brands!$A$2:$FZ$601,CM163,Sync!$D$19)&amp;"")),4)="grp-",SUBSTITUTE(SUBSTITUTE(SUBSTITUTE(SUBSTITUTE(SUBSTITUTE(SUBSTITUTE(LOWER(TRIM(INDEX(Clay_Brands!$A$2:$FZ$601,CM163,Sync!$D$19)&amp;"")),"~",""),"*",""),"?",""),"&lt;",""),"&gt;",""),"=",""),""),""))</f>
        <v/>
      </c>
      <c r="DT163" s="23" t="str">
        <f aca="false">IF(DS163&lt;&gt;"",DR163,"")</f>
        <v/>
      </c>
      <c r="DU163" s="23" t="str">
        <f aca="false">IF(AZ163=1,AW163,"")</f>
        <v/>
      </c>
      <c r="DV163" s="23" t="str">
        <f aca="false">IF(TRIM($A163)="","",IFERROR(INDEX($A$2:$A$201,MATCH(AW163,$DU$2:$DU$201,0))&amp;"",$A163&amp;""))</f>
        <v/>
      </c>
      <c r="DW163" s="23" t="n">
        <f aca="false">IF(AY163=1,IF(COUNTIFS($A$2:$A$201,$A163,$AY$2:$AY$201,1,$H$2:$H$201,"&lt;"&amp;H163)+COUNTIFS($A$2:$A$201,$A163,$AY$2:$AY$201,1,$H$2:$H$201,H163,$AX$2:$AX$201,"&lt;"&amp;AX163)=0,1,0),0)</f>
        <v>0</v>
      </c>
      <c r="DX163" s="23" t="n">
        <f aca="false">IF(AZ163=1,IF(COUNTIFS($AW$2:$AW$201,AW163,$DW$2:$DW$201,1)&gt;1,1,0),0)</f>
        <v>0</v>
      </c>
    </row>
    <row r="164" customFormat="false" ht="15" hidden="false" customHeight="false" outlineLevel="0" collapsed="false">
      <c r="G164" s="32"/>
      <c r="H164" s="33"/>
      <c r="I164" s="32"/>
      <c r="O164" s="32"/>
      <c r="P164" s="32"/>
      <c r="U164" s="32"/>
      <c r="Y164" s="32"/>
      <c r="AB164" s="32"/>
      <c r="AC164" s="32"/>
      <c r="AD164" s="32"/>
      <c r="AE164" s="32"/>
      <c r="AF164" s="32"/>
      <c r="AG164" s="32"/>
      <c r="AI164" s="32"/>
      <c r="AJ164" s="32"/>
      <c r="AK164" s="32"/>
      <c r="AN164" s="32"/>
      <c r="AO164" s="32"/>
      <c r="AR164" s="32"/>
      <c r="AT164" s="32"/>
      <c r="AV164" s="34" t="str">
        <f aca="false">IF(TRIM($A164)="","",IF(AND(LEFT($A164,6)="SAMPLE",Config!$B$19&lt;&gt;"Y"),"",IF(NOT(ISNUMBER(H164)),"call_date is blank or not a date",IF(Sync!$D$5="","Clay paste is empty or has no row_id column: paste the Clay export on Clay_Brands",IF(CM164="","row_id not found in the Clay paste: add the Clay row or fix the row_id",IF(AND(ISNUMBER(CO164),CO164&gt;=1,CO164&lt;=5),"Clay status is "&amp;CN164&amp;": set call_done or later",IF(AND(BA164=1,CP164&lt;&gt;CB164),"Clay yes_in_principle should be "&amp;CB164,IF(AND(BA164=1,CQ164&lt;&gt;H164),"Clay call_date should be "&amp;TEXT(H164,"yyyy-mm-dd"),""))))))))</f>
        <v/>
      </c>
      <c r="AW164" s="23" t="str">
        <f aca="false">IF(TRIM($A164)="","",IF(TRIM(C164)&lt;&gt;"",SUBSTITUTE(SUBSTITUTE(SUBSTITUTE(SUBSTITUTE(SUBSTITUTE(SUBSTITUTE(LOWER(TRIM(C164)),"~",""),"*",""),"?",""),"&lt;",""),"&gt;",""),"=",""),IF(DS164&lt;&gt;"",DS164,IFERROR(INDEX($DS$2:$DS$201,MATCH(DR164,$DT$2:$DT$201,0)),DR164))))</f>
        <v/>
      </c>
      <c r="AX164" s="23" t="n">
        <f aca="false">ROW()</f>
        <v>164</v>
      </c>
      <c r="AY164" s="23" t="n">
        <f aca="false">IF(AND(TRIM($A164)&lt;&gt;"",ISNUMBER(H164)),IF(AND(LEFT($A164,6)="SAMPLE",Config!$B$19&lt;&gt;"Y"),0,1),0)</f>
        <v>0</v>
      </c>
      <c r="AZ164" s="23" t="n">
        <f aca="false">IF(AY164=1,IF(COUNTIFS($AW$2:$AW$201,AW164,$AY$2:$AY$201,1,$H$2:$H$201,"&lt;"&amp;H164)+COUNTIFS($AW$2:$AW$201,AW164,$AY$2:$AY$201,1,$H$2:$H$201,H164,$AX$2:$AX$201,"&lt;"&amp;AX164)=0,1,0),0)</f>
        <v>0</v>
      </c>
      <c r="BA164" s="23" t="n">
        <f aca="false">IF(AY164=1,IF(COUNTIFS($A$2:$A$201,$A164,$AY$2:$AY$201,1,$H$2:$H$201,"&gt;"&amp;H164)+COUNTIFS($A$2:$A$201,$A164,$AY$2:$AY$201,1,$H$2:$H$201,H164,$AX$2:$AX$201,"&gt;"&amp;AX164)=0,1,0),0)</f>
        <v>0</v>
      </c>
      <c r="BB164" s="23" t="n">
        <f aca="false">IF(AND(AY164=1,O164="Y",MAX(N(R164),N(V164))&gt;=Config!$B$14),1,0)</f>
        <v>0</v>
      </c>
      <c r="BC164" s="23" t="n">
        <f aca="false">IF(BB164=1,IF(COUNTIFS($AW$2:$AW$201,AW164,$BB$2:$BB$201,1,$H$2:$H$201,"&lt;"&amp;H164)+COUNTIFS($AW$2:$AW$201,AW164,$BB$2:$BB$201,1,$H$2:$H$201,H164,$AX$2:$AX$201,"&lt;"&amp;AX164)=0,1,0),0)</f>
        <v>0</v>
      </c>
      <c r="BD164" s="23" t="n">
        <f aca="false">IF(AND(AY164=1,O164="Y",ISNUMBER(R164)),IF(R164&gt;=Config!$B$14,1,0),0)</f>
        <v>0</v>
      </c>
      <c r="BE164" s="23" t="n">
        <f aca="false">IF(BD164=1,IF(COUNTIFS($AW$2:$AW$201,AW164,$BD$2:$BD$201,1,$H$2:$H$201,"&lt;"&amp;H164)+COUNTIFS($AW$2:$AW$201,AW164,$BD$2:$BD$201,1,$H$2:$H$201,H164,$AX$2:$AX$201,"&lt;"&amp;AX164)=0,1,0),0)</f>
        <v>0</v>
      </c>
      <c r="BF164" s="23" t="n">
        <f aca="false">IF(AND(AY164=1,O164&lt;&gt;"Y",MAX(N(R164),N(V164))&gt;=Config!$B$14),1,0)</f>
        <v>0</v>
      </c>
      <c r="BG164" s="23" t="n">
        <f aca="false">IF(BF164=1,IF(COUNTIFS($AW$2:$AW$201,AW164,$BF$2:$BF$201,1,$H$2:$H$201,"&lt;"&amp;H164)+COUNTIFS($AW$2:$AW$201,AW164,$BF$2:$BF$201,1,$H$2:$H$201,H164,$AX$2:$AX$201,"&lt;"&amp;AX164)=0,1,0),0)</f>
        <v>0</v>
      </c>
      <c r="BH164" s="23" t="n">
        <f aca="false">IF(AND(AY164=1,ISNUMBER(R164)),1,0)</f>
        <v>0</v>
      </c>
      <c r="BI164" s="23" t="n">
        <f aca="false">IF(BH164=1,IF(COUNTIFS($AW$2:$AW$201,AW164,$BH$2:$BH$201,1,$H$2:$H$201,"&lt;"&amp;H164)+COUNTIFS($AW$2:$AW$201,AW164,$BH$2:$BH$201,1,$H$2:$H$201,H164,$AX$2:$AX$201,"&lt;"&amp;AX164)=0,1,0),0)</f>
        <v>0</v>
      </c>
      <c r="BJ164" s="23" t="str">
        <f aca="false">IF(AND(BI164=1,INT(N(H164))&lt;=Config!$B$6),R164,"")</f>
        <v/>
      </c>
      <c r="BK164" s="23" t="str">
        <f aca="false">IF(AND(BI164=1,INT(N(H164))&lt;=Config!$B$7),R164,"")</f>
        <v/>
      </c>
      <c r="BL164" s="23" t="str">
        <f aca="false">IF(AND(BI164=1,INT(N(H164))&lt;=Config!$B$8),R164,"")</f>
        <v/>
      </c>
      <c r="BM164" s="23" t="str">
        <f aca="false">IF(AND(BI164=1,INT(N(H164))&lt;=Config!$B$5),R164,"")</f>
        <v/>
      </c>
      <c r="BN164" s="23" t="n">
        <f aca="false">IF(AND(AY164=1,ISNUMBER(V164)),1,0)</f>
        <v>0</v>
      </c>
      <c r="BO164" s="23" t="n">
        <f aca="false">IF(BN164=1,IF(COUNTIFS($AW$2:$AW$201,AW164,$BN$2:$BN$201,1,$H$2:$H$201,"&lt;"&amp;H164)+COUNTIFS($AW$2:$AW$201,AW164,$BN$2:$BN$201,1,$H$2:$H$201,H164,$AX$2:$AX$201,"&lt;"&amp;AX164)=0,1,0),0)</f>
        <v>0</v>
      </c>
      <c r="BP164" s="23" t="str">
        <f aca="false">IF(AND(BO164=1,INT(N(H164))&lt;=Config!$B$6),V164,"")</f>
        <v/>
      </c>
      <c r="BQ164" s="23" t="str">
        <f aca="false">IF(AND(BO164=1,INT(N(H164))&lt;=Config!$B$7),V164,"")</f>
        <v/>
      </c>
      <c r="BR164" s="23" t="str">
        <f aca="false">IF(AND(BO164=1,INT(N(H164))&lt;=Config!$B$8),V164,"")</f>
        <v/>
      </c>
      <c r="BS164" s="23" t="str">
        <f aca="false">IF(AND(BO164=1,INT(N(H164))&lt;=Config!$B$5),V164,"")</f>
        <v/>
      </c>
      <c r="BT164" s="23" t="n">
        <f aca="false">IF(AND(AY164=1,ISNUMBER(K164)),1,0)</f>
        <v>0</v>
      </c>
      <c r="BU164" s="23" t="n">
        <f aca="false">IF(BT164=1,IF(COUNTIFS($AW$2:$AW$201,AW164,$BT$2:$BT$201,1,$H$2:$H$201,"&lt;"&amp;H164)+COUNTIFS($AW$2:$AW$201,AW164,$BT$2:$BT$201,1,$H$2:$H$201,H164,$AX$2:$AX$201,"&lt;"&amp;AX164)=0,1,0),0)</f>
        <v>0</v>
      </c>
      <c r="BV164" s="23" t="str">
        <f aca="false">IF(AND(BU164=1,INT(N(H164))&lt;=Config!$B$5),K164,"")</f>
        <v/>
      </c>
      <c r="BW164" s="23" t="n">
        <f aca="false">IF(AND(AY164=1,OR(AND(ISNUMBER(R164),TRIM(S164)=""),AND(ISNUMBER(V164),TRIM(W164)=""))),1,0)</f>
        <v>0</v>
      </c>
      <c r="BX164" s="23" t="str">
        <f aca="false">IF(AY164=1,AJ164&amp;"","")</f>
        <v/>
      </c>
      <c r="BY164" s="23" t="str">
        <f aca="false">IF(AY164=1,AK164&amp;"","")</f>
        <v/>
      </c>
      <c r="BZ164" s="23" t="str">
        <f aca="false">IF(AY164=1,AL164&amp;"","")</f>
        <v/>
      </c>
      <c r="CA164" s="23" t="str">
        <f aca="false">IF(AND(AY164=1,ISNUMBER(AS164),INT(N(H164))&lt;=Config!$B$5),AS164,"")</f>
        <v/>
      </c>
      <c r="CB164" s="23" t="str">
        <f aca="false">IF(AY164=1,IF(COUNTIFS($A$2:$A$201,$A164,$CU$2:$CU$201,1,$AN$2:$AN$201,"Y")&gt;0,"Y","N"),"")</f>
        <v/>
      </c>
      <c r="CC164" s="23" t="n">
        <f aca="false">IF(AND(AY164=1,AN164="Y"),IF(COUNTIFS($AW$2:$AW$201,AW164,$AN$2:$AN$201,"Y",$AY$2:$AY$201,1,$H$2:$H$201,"&lt;"&amp;H164)+COUNTIFS($AW$2:$AW$201,AW164,$AN$2:$AN$201,"Y",$AY$2:$AY$201,1,$H$2:$H$201,H164,$AX$2:$AX$201,"&lt;"&amp;AX164)=0,1,0),0)</f>
        <v>0</v>
      </c>
      <c r="CD164" s="23" t="n">
        <f aca="false">IF(AND(AY164=1,AB164="Y",AC164="Y",AD164="Y",AE164="Y",AF164="Y",AG164="Y",AI164="Y",TRIM(AH164)&lt;&gt;""),1,0)</f>
        <v>0</v>
      </c>
      <c r="CE164" s="23" t="n">
        <f aca="false">IF(CD164=1,IF(COUNTIFS($AW$2:$AW$201,AW164,$CD$2:$CD$201,1,$H$2:$H$201,"&lt;"&amp;H164)+COUNTIFS($AW$2:$AW$201,AW164,$CD$2:$CD$201,1,$H$2:$H$201,H164,$AX$2:$AX$201,"&lt;"&amp;AX164)=0,1,0),0)</f>
        <v>0</v>
      </c>
      <c r="CF164" s="23" t="n">
        <f aca="false">IF(AND(AY164=1,AO164="Y"),1,0)</f>
        <v>0</v>
      </c>
      <c r="CG164" s="23" t="n">
        <f aca="false">IF(CF164=1,IF(COUNTIFS($AW$2:$AW$201,AW164,$CF$2:$CF$201,1,$H$2:$H$201,"&lt;"&amp;H164)+COUNTIFS($AW$2:$AW$201,AW164,$CF$2:$CF$201,1,$H$2:$H$201,H164,$AX$2:$AX$201,"&lt;"&amp;AX164)=0,1,0),0)</f>
        <v>0</v>
      </c>
      <c r="CH164" s="23" t="n">
        <f aca="false">IF(AND(AY164=1,P164="Y"),1,0)</f>
        <v>0</v>
      </c>
      <c r="CI164" s="23" t="n">
        <f aca="false">IF(CH164=1,IF(COUNTIFS($AW$2:$AW$201,AW164,$CH$2:$CH$201,1,$H$2:$H$201,"&lt;"&amp;H164)+COUNTIFS($AW$2:$AW$201,AW164,$CH$2:$CH$201,1,$H$2:$H$201,H164,$AX$2:$AX$201,"&lt;"&amp;AX164)=0,1,0),0)</f>
        <v>0</v>
      </c>
      <c r="CJ164" s="23" t="str">
        <f aca="false">IF(AND(BU164=1,INT(N(H164))&lt;=Config!$B$5),L164,"")</f>
        <v/>
      </c>
      <c r="CK164" s="23" t="n">
        <f aca="false">IF(AND(AY164=1,AR164="Y"),1,0)</f>
        <v>0</v>
      </c>
      <c r="CL164" s="23" t="n">
        <f aca="false">IF(CK164=1,IF(COUNTIFS($AW$2:$AW$201,AW164,$CK$2:$CK$201,1,$H$2:$H$201,"&lt;"&amp;H164)+COUNTIFS($AW$2:$AW$201,AW164,$CK$2:$CK$201,1,$H$2:$H$201,H164,$AX$2:$AX$201,"&lt;"&amp;AX164)=0,1,0),0)</f>
        <v>0</v>
      </c>
      <c r="CM164" s="23" t="str">
        <f aca="false">IF(AY164=1,IFERROR(MATCH($A164,INDEX(Clay_Brands!$A$2:$FZ$601,0,Sync!$D$5),0),""),"")</f>
        <v/>
      </c>
      <c r="CN164" s="23" t="str">
        <f aca="false">IF(CM164="","",IFERROR(INDEX(Clay_Brands!$A$2:$FZ$601,CM164,Sync!$D$7)&amp;"",""))</f>
        <v/>
      </c>
      <c r="CO164" s="23" t="str">
        <f aca="false">IF(CN164="","",IFERROR(INDEX(Lists!$K$2:$K$15,MATCH(CN164,Lists!$J$2:$J$15,0)),""))</f>
        <v/>
      </c>
      <c r="CP164" s="23" t="str">
        <f aca="false">IF(CM164="","",IFERROR(INDEX(Clay_Brands!$A$2:$FZ$601,CM164,Sync!$D$17)&amp;"",""))</f>
        <v/>
      </c>
      <c r="CQ164" s="35" t="str">
        <f aca="false">IF(CM164="","",IFERROR(N(INDEX(Clay_Brands!$A$2:$FZ$601,CM164,Sync!$D$16)),0))</f>
        <v/>
      </c>
      <c r="CR164" s="23" t="n">
        <f aca="false">IF(AND(AY164=1,OR(O164="N",AND(OR(ISNUMBER(R164),ISNUMBER(V164)),MAX(N(R164),N(V164))&lt;Config!$B$14))),1,0)</f>
        <v>0</v>
      </c>
      <c r="CS164" s="23" t="n">
        <f aca="false">IF(OR(BB164=1,CR164=1),1,0)</f>
        <v>0</v>
      </c>
      <c r="CT164" s="23" t="n">
        <f aca="false">IF(AND(AY164=1,OR(AN164="Y",AN164="N",AN164="maybe")),1,0)</f>
        <v>0</v>
      </c>
      <c r="CU164" s="23" t="n">
        <f aca="false">IF(AND(CT164=1),IF(COUNTIFS($A$2:$A$201,$A164,$CT$2:$CT$201,1,$H$2:$H$201,"&gt;"&amp;H164)+COUNTIFS($A$2:$A$201,$A164,$CT$2:$CT$201,1,$H$2:$H$201,H164,$AX$2:$AX$201,"&gt;"&amp;AX164)=0,1,0),0)</f>
        <v>0</v>
      </c>
      <c r="CV164" s="23" t="n">
        <f aca="false">IF(AND(CS164=1,INT(N(H164))&lt;=Config!$B$6),IF(COUNTIFS($AW$2:$AW$201,AW164,$CS$2:$CS$201,1,$H$2:$H$201,"&gt;"&amp;H164,$H$2:$H$201,"&lt;"&amp;(Config!$B$6+1))+COUNTIFS($AW$2:$AW$201,AW164,$CS$2:$CS$201,1,$H$2:$H$201,H164,$AX$2:$AX$201,"&gt;"&amp;AX164)=0,1,0),0)</f>
        <v>0</v>
      </c>
      <c r="CW164" s="23" t="n">
        <f aca="false">IF(AND(CS164=1,INT(N(H164))&lt;=Config!$B$7),IF(COUNTIFS($AW$2:$AW$201,AW164,$CS$2:$CS$201,1,$H$2:$H$201,"&gt;"&amp;H164,$H$2:$H$201,"&lt;"&amp;(Config!$B$7+1))+COUNTIFS($AW$2:$AW$201,AW164,$CS$2:$CS$201,1,$H$2:$H$201,H164,$AX$2:$AX$201,"&gt;"&amp;AX164)=0,1,0),0)</f>
        <v>0</v>
      </c>
      <c r="CX164" s="23" t="n">
        <f aca="false">IF(AND(CS164=1,INT(N(H164))&lt;=Config!$B$8),IF(COUNTIFS($AW$2:$AW$201,AW164,$CS$2:$CS$201,1,$H$2:$H$201,"&gt;"&amp;H164,$H$2:$H$201,"&lt;"&amp;(Config!$B$8+1))+COUNTIFS($AW$2:$AW$201,AW164,$CS$2:$CS$201,1,$H$2:$H$201,H164,$AX$2:$AX$201,"&gt;"&amp;AX164)=0,1,0),0)</f>
        <v>0</v>
      </c>
      <c r="CY164" s="23" t="n">
        <f aca="false">IF(AND(CS164=1,INT(N(H164))&lt;=Config!$B$5),IF(COUNTIFS($AW$2:$AW$201,AW164,$CS$2:$CS$201,1,$H$2:$H$201,"&gt;"&amp;H164,$H$2:$H$201,"&lt;"&amp;(Config!$B$5+1))+COUNTIFS($AW$2:$AW$201,AW164,$CS$2:$CS$201,1,$H$2:$H$201,H164,$AX$2:$AX$201,"&gt;"&amp;AX164)=0,1,0),0)</f>
        <v>0</v>
      </c>
      <c r="CZ164" s="23" t="n">
        <f aca="false">IF(AY164=1,IF(COUNTIFS($AW$2:$AW$201,AW164,$CV$2:$CV$201,1,$BB$2:$BB$201,1)&gt;0,1,0),0)</f>
        <v>0</v>
      </c>
      <c r="DA164" s="23" t="n">
        <f aca="false">IF(AY164=1,IF(COUNTIFS($AW$2:$AW$201,AW164,$CW$2:$CW$201,1,$BB$2:$BB$201,1)&gt;0,1,0),0)</f>
        <v>0</v>
      </c>
      <c r="DB164" s="23" t="n">
        <f aca="false">IF(AY164=1,IF(COUNTIFS($AW$2:$AW$201,AW164,$CX$2:$CX$201,1,$BB$2:$BB$201,1)&gt;0,1,0),0)</f>
        <v>0</v>
      </c>
      <c r="DC164" s="23" t="n">
        <f aca="false">IF(AY164=1,IF(COUNTIFS($AW$2:$AW$201,AW164,$CY$2:$CY$201,1,$BB$2:$BB$201,1)&gt;0,1,0),0)</f>
        <v>0</v>
      </c>
      <c r="DD164" s="23" t="n">
        <f aca="false">IF(AND(BC164=1,INT(N(H164))&lt;=Config!$B$6,CZ164=1),1,0)</f>
        <v>0</v>
      </c>
      <c r="DE164" s="23" t="n">
        <f aca="false">IF(AND(BC164=1,INT(N(H164))&lt;=Config!$B$7,DA164=1),1,0)</f>
        <v>0</v>
      </c>
      <c r="DF164" s="23" t="n">
        <f aca="false">IF(AND(BC164=1,INT(N(H164))&lt;=Config!$B$8,DB164=1),1,0)</f>
        <v>0</v>
      </c>
      <c r="DG164" s="23" t="n">
        <f aca="false">IF(AND(BC164=1,INT(N(H164))&lt;=Config!$B$5,DC164=1),1,0)</f>
        <v>0</v>
      </c>
      <c r="DH164" s="23" t="n">
        <f aca="false">IF(AND(BE164=1,INT(N(H164))&lt;=Config!$B$6,CZ164=1),1,0)</f>
        <v>0</v>
      </c>
      <c r="DI164" s="23" t="n">
        <f aca="false">IF(AND(BE164=1,INT(N(H164))&lt;=Config!$B$7,DA164=1),1,0)</f>
        <v>0</v>
      </c>
      <c r="DJ164" s="23" t="n">
        <f aca="false">IF(AND(BE164=1,INT(N(H164))&lt;=Config!$B$8,DB164=1),1,0)</f>
        <v>0</v>
      </c>
      <c r="DK164" s="23" t="n">
        <f aca="false">IF(AND(BE164=1,INT(N(H164))&lt;=Config!$B$5,DC164=1),1,0)</f>
        <v>0</v>
      </c>
      <c r="DL164" s="23" t="n">
        <f aca="false">IF(AND(BC164=1,INT(N(H164))&lt;=Config!$B$6,CZ164=0),1,0)</f>
        <v>0</v>
      </c>
      <c r="DM164" s="23" t="n">
        <f aca="false">IF(AND(BC164=1,INT(N(H164))&lt;=Config!$B$7,DA164=0),1,0)</f>
        <v>0</v>
      </c>
      <c r="DN164" s="23" t="n">
        <f aca="false">IF(AND(BC164=1,INT(N(H164))&lt;=Config!$B$8,DB164=0),1,0)</f>
        <v>0</v>
      </c>
      <c r="DO164" s="23" t="n">
        <f aca="false">IF(AND(BC164=1,INT(N(H164))&lt;=Config!$B$5,DC164=0),1,0)</f>
        <v>0</v>
      </c>
      <c r="DP164" s="23" t="n">
        <f aca="false">IF(TRIM($A164)="",0,ISTEXT(K164)+ISTEXT(L164)+ISTEXT(R164)+ISTEXT(V164)+ISTEXT(AP164)+ISTEXT(AS164))</f>
        <v>0</v>
      </c>
      <c r="DQ164" s="23" t="n">
        <f aca="false">IF(AY164=1,IF(H164&lt;&gt;INT(H164),1,0),0)</f>
        <v>0</v>
      </c>
      <c r="DR164" s="23" t="str">
        <f aca="false">IF(TRIM($A164)="","",IF(TRIM(B164)="",SUBSTITUTE(SUBSTITUTE(SUBSTITUTE(SUBSTITUTE(SUBSTITUTE(SUBSTITUTE(LOWER(TRIM($A164)),"~",""),"*",""),"?",""),"&lt;",""),"&gt;",""),"=",""),SUBSTITUTE(SUBSTITUTE(SUBSTITUTE(SUBSTITUTE(SUBSTITUTE(SUBSTITUTE(LOWER(TRIM(B164)),"~",""),"*",""),"?",""),"&lt;",""),"&gt;",""),"=","")))</f>
        <v/>
      </c>
      <c r="DS164" s="23" t="str">
        <f aca="false">IF(CM164="","",IFERROR(IF(LEFT(LOWER(TRIM(INDEX(Clay_Brands!$A$2:$FZ$601,CM164,Sync!$D$19)&amp;"")),4)="grp-",SUBSTITUTE(SUBSTITUTE(SUBSTITUTE(SUBSTITUTE(SUBSTITUTE(SUBSTITUTE(LOWER(TRIM(INDEX(Clay_Brands!$A$2:$FZ$601,CM164,Sync!$D$19)&amp;"")),"~",""),"*",""),"?",""),"&lt;",""),"&gt;",""),"=",""),""),""))</f>
        <v/>
      </c>
      <c r="DT164" s="23" t="str">
        <f aca="false">IF(DS164&lt;&gt;"",DR164,"")</f>
        <v/>
      </c>
      <c r="DU164" s="23" t="str">
        <f aca="false">IF(AZ164=1,AW164,"")</f>
        <v/>
      </c>
      <c r="DV164" s="23" t="str">
        <f aca="false">IF(TRIM($A164)="","",IFERROR(INDEX($A$2:$A$201,MATCH(AW164,$DU$2:$DU$201,0))&amp;"",$A164&amp;""))</f>
        <v/>
      </c>
      <c r="DW164" s="23" t="n">
        <f aca="false">IF(AY164=1,IF(COUNTIFS($A$2:$A$201,$A164,$AY$2:$AY$201,1,$H$2:$H$201,"&lt;"&amp;H164)+COUNTIFS($A$2:$A$201,$A164,$AY$2:$AY$201,1,$H$2:$H$201,H164,$AX$2:$AX$201,"&lt;"&amp;AX164)=0,1,0),0)</f>
        <v>0</v>
      </c>
      <c r="DX164" s="23" t="n">
        <f aca="false">IF(AZ164=1,IF(COUNTIFS($AW$2:$AW$201,AW164,$DW$2:$DW$201,1)&gt;1,1,0),0)</f>
        <v>0</v>
      </c>
    </row>
    <row r="165" customFormat="false" ht="15" hidden="false" customHeight="false" outlineLevel="0" collapsed="false">
      <c r="G165" s="32"/>
      <c r="H165" s="33"/>
      <c r="I165" s="32"/>
      <c r="O165" s="32"/>
      <c r="P165" s="32"/>
      <c r="U165" s="32"/>
      <c r="Y165" s="32"/>
      <c r="AB165" s="32"/>
      <c r="AC165" s="32"/>
      <c r="AD165" s="32"/>
      <c r="AE165" s="32"/>
      <c r="AF165" s="32"/>
      <c r="AG165" s="32"/>
      <c r="AI165" s="32"/>
      <c r="AJ165" s="32"/>
      <c r="AK165" s="32"/>
      <c r="AN165" s="32"/>
      <c r="AO165" s="32"/>
      <c r="AR165" s="32"/>
      <c r="AT165" s="32"/>
      <c r="AV165" s="34" t="str">
        <f aca="false">IF(TRIM($A165)="","",IF(AND(LEFT($A165,6)="SAMPLE",Config!$B$19&lt;&gt;"Y"),"",IF(NOT(ISNUMBER(H165)),"call_date is blank or not a date",IF(Sync!$D$5="","Clay paste is empty or has no row_id column: paste the Clay export on Clay_Brands",IF(CM165="","row_id not found in the Clay paste: add the Clay row or fix the row_id",IF(AND(ISNUMBER(CO165),CO165&gt;=1,CO165&lt;=5),"Clay status is "&amp;CN165&amp;": set call_done or later",IF(AND(BA165=1,CP165&lt;&gt;CB165),"Clay yes_in_principle should be "&amp;CB165,IF(AND(BA165=1,CQ165&lt;&gt;H165),"Clay call_date should be "&amp;TEXT(H165,"yyyy-mm-dd"),""))))))))</f>
        <v/>
      </c>
      <c r="AW165" s="23" t="str">
        <f aca="false">IF(TRIM($A165)="","",IF(TRIM(C165)&lt;&gt;"",SUBSTITUTE(SUBSTITUTE(SUBSTITUTE(SUBSTITUTE(SUBSTITUTE(SUBSTITUTE(LOWER(TRIM(C165)),"~",""),"*",""),"?",""),"&lt;",""),"&gt;",""),"=",""),IF(DS165&lt;&gt;"",DS165,IFERROR(INDEX($DS$2:$DS$201,MATCH(DR165,$DT$2:$DT$201,0)),DR165))))</f>
        <v/>
      </c>
      <c r="AX165" s="23" t="n">
        <f aca="false">ROW()</f>
        <v>165</v>
      </c>
      <c r="AY165" s="23" t="n">
        <f aca="false">IF(AND(TRIM($A165)&lt;&gt;"",ISNUMBER(H165)),IF(AND(LEFT($A165,6)="SAMPLE",Config!$B$19&lt;&gt;"Y"),0,1),0)</f>
        <v>0</v>
      </c>
      <c r="AZ165" s="23" t="n">
        <f aca="false">IF(AY165=1,IF(COUNTIFS($AW$2:$AW$201,AW165,$AY$2:$AY$201,1,$H$2:$H$201,"&lt;"&amp;H165)+COUNTIFS($AW$2:$AW$201,AW165,$AY$2:$AY$201,1,$H$2:$H$201,H165,$AX$2:$AX$201,"&lt;"&amp;AX165)=0,1,0),0)</f>
        <v>0</v>
      </c>
      <c r="BA165" s="23" t="n">
        <f aca="false">IF(AY165=1,IF(COUNTIFS($A$2:$A$201,$A165,$AY$2:$AY$201,1,$H$2:$H$201,"&gt;"&amp;H165)+COUNTIFS($A$2:$A$201,$A165,$AY$2:$AY$201,1,$H$2:$H$201,H165,$AX$2:$AX$201,"&gt;"&amp;AX165)=0,1,0),0)</f>
        <v>0</v>
      </c>
      <c r="BB165" s="23" t="n">
        <f aca="false">IF(AND(AY165=1,O165="Y",MAX(N(R165),N(V165))&gt;=Config!$B$14),1,0)</f>
        <v>0</v>
      </c>
      <c r="BC165" s="23" t="n">
        <f aca="false">IF(BB165=1,IF(COUNTIFS($AW$2:$AW$201,AW165,$BB$2:$BB$201,1,$H$2:$H$201,"&lt;"&amp;H165)+COUNTIFS($AW$2:$AW$201,AW165,$BB$2:$BB$201,1,$H$2:$H$201,H165,$AX$2:$AX$201,"&lt;"&amp;AX165)=0,1,0),0)</f>
        <v>0</v>
      </c>
      <c r="BD165" s="23" t="n">
        <f aca="false">IF(AND(AY165=1,O165="Y",ISNUMBER(R165)),IF(R165&gt;=Config!$B$14,1,0),0)</f>
        <v>0</v>
      </c>
      <c r="BE165" s="23" t="n">
        <f aca="false">IF(BD165=1,IF(COUNTIFS($AW$2:$AW$201,AW165,$BD$2:$BD$201,1,$H$2:$H$201,"&lt;"&amp;H165)+COUNTIFS($AW$2:$AW$201,AW165,$BD$2:$BD$201,1,$H$2:$H$201,H165,$AX$2:$AX$201,"&lt;"&amp;AX165)=0,1,0),0)</f>
        <v>0</v>
      </c>
      <c r="BF165" s="23" t="n">
        <f aca="false">IF(AND(AY165=1,O165&lt;&gt;"Y",MAX(N(R165),N(V165))&gt;=Config!$B$14),1,0)</f>
        <v>0</v>
      </c>
      <c r="BG165" s="23" t="n">
        <f aca="false">IF(BF165=1,IF(COUNTIFS($AW$2:$AW$201,AW165,$BF$2:$BF$201,1,$H$2:$H$201,"&lt;"&amp;H165)+COUNTIFS($AW$2:$AW$201,AW165,$BF$2:$BF$201,1,$H$2:$H$201,H165,$AX$2:$AX$201,"&lt;"&amp;AX165)=0,1,0),0)</f>
        <v>0</v>
      </c>
      <c r="BH165" s="23" t="n">
        <f aca="false">IF(AND(AY165=1,ISNUMBER(R165)),1,0)</f>
        <v>0</v>
      </c>
      <c r="BI165" s="23" t="n">
        <f aca="false">IF(BH165=1,IF(COUNTIFS($AW$2:$AW$201,AW165,$BH$2:$BH$201,1,$H$2:$H$201,"&lt;"&amp;H165)+COUNTIFS($AW$2:$AW$201,AW165,$BH$2:$BH$201,1,$H$2:$H$201,H165,$AX$2:$AX$201,"&lt;"&amp;AX165)=0,1,0),0)</f>
        <v>0</v>
      </c>
      <c r="BJ165" s="23" t="str">
        <f aca="false">IF(AND(BI165=1,INT(N(H165))&lt;=Config!$B$6),R165,"")</f>
        <v/>
      </c>
      <c r="BK165" s="23" t="str">
        <f aca="false">IF(AND(BI165=1,INT(N(H165))&lt;=Config!$B$7),R165,"")</f>
        <v/>
      </c>
      <c r="BL165" s="23" t="str">
        <f aca="false">IF(AND(BI165=1,INT(N(H165))&lt;=Config!$B$8),R165,"")</f>
        <v/>
      </c>
      <c r="BM165" s="23" t="str">
        <f aca="false">IF(AND(BI165=1,INT(N(H165))&lt;=Config!$B$5),R165,"")</f>
        <v/>
      </c>
      <c r="BN165" s="23" t="n">
        <f aca="false">IF(AND(AY165=1,ISNUMBER(V165)),1,0)</f>
        <v>0</v>
      </c>
      <c r="BO165" s="23" t="n">
        <f aca="false">IF(BN165=1,IF(COUNTIFS($AW$2:$AW$201,AW165,$BN$2:$BN$201,1,$H$2:$H$201,"&lt;"&amp;H165)+COUNTIFS($AW$2:$AW$201,AW165,$BN$2:$BN$201,1,$H$2:$H$201,H165,$AX$2:$AX$201,"&lt;"&amp;AX165)=0,1,0),0)</f>
        <v>0</v>
      </c>
      <c r="BP165" s="23" t="str">
        <f aca="false">IF(AND(BO165=1,INT(N(H165))&lt;=Config!$B$6),V165,"")</f>
        <v/>
      </c>
      <c r="BQ165" s="23" t="str">
        <f aca="false">IF(AND(BO165=1,INT(N(H165))&lt;=Config!$B$7),V165,"")</f>
        <v/>
      </c>
      <c r="BR165" s="23" t="str">
        <f aca="false">IF(AND(BO165=1,INT(N(H165))&lt;=Config!$B$8),V165,"")</f>
        <v/>
      </c>
      <c r="BS165" s="23" t="str">
        <f aca="false">IF(AND(BO165=1,INT(N(H165))&lt;=Config!$B$5),V165,"")</f>
        <v/>
      </c>
      <c r="BT165" s="23" t="n">
        <f aca="false">IF(AND(AY165=1,ISNUMBER(K165)),1,0)</f>
        <v>0</v>
      </c>
      <c r="BU165" s="23" t="n">
        <f aca="false">IF(BT165=1,IF(COUNTIFS($AW$2:$AW$201,AW165,$BT$2:$BT$201,1,$H$2:$H$201,"&lt;"&amp;H165)+COUNTIFS($AW$2:$AW$201,AW165,$BT$2:$BT$201,1,$H$2:$H$201,H165,$AX$2:$AX$201,"&lt;"&amp;AX165)=0,1,0),0)</f>
        <v>0</v>
      </c>
      <c r="BV165" s="23" t="str">
        <f aca="false">IF(AND(BU165=1,INT(N(H165))&lt;=Config!$B$5),K165,"")</f>
        <v/>
      </c>
      <c r="BW165" s="23" t="n">
        <f aca="false">IF(AND(AY165=1,OR(AND(ISNUMBER(R165),TRIM(S165)=""),AND(ISNUMBER(V165),TRIM(W165)=""))),1,0)</f>
        <v>0</v>
      </c>
      <c r="BX165" s="23" t="str">
        <f aca="false">IF(AY165=1,AJ165&amp;"","")</f>
        <v/>
      </c>
      <c r="BY165" s="23" t="str">
        <f aca="false">IF(AY165=1,AK165&amp;"","")</f>
        <v/>
      </c>
      <c r="BZ165" s="23" t="str">
        <f aca="false">IF(AY165=1,AL165&amp;"","")</f>
        <v/>
      </c>
      <c r="CA165" s="23" t="str">
        <f aca="false">IF(AND(AY165=1,ISNUMBER(AS165),INT(N(H165))&lt;=Config!$B$5),AS165,"")</f>
        <v/>
      </c>
      <c r="CB165" s="23" t="str">
        <f aca="false">IF(AY165=1,IF(COUNTIFS($A$2:$A$201,$A165,$CU$2:$CU$201,1,$AN$2:$AN$201,"Y")&gt;0,"Y","N"),"")</f>
        <v/>
      </c>
      <c r="CC165" s="23" t="n">
        <f aca="false">IF(AND(AY165=1,AN165="Y"),IF(COUNTIFS($AW$2:$AW$201,AW165,$AN$2:$AN$201,"Y",$AY$2:$AY$201,1,$H$2:$H$201,"&lt;"&amp;H165)+COUNTIFS($AW$2:$AW$201,AW165,$AN$2:$AN$201,"Y",$AY$2:$AY$201,1,$H$2:$H$201,H165,$AX$2:$AX$201,"&lt;"&amp;AX165)=0,1,0),0)</f>
        <v>0</v>
      </c>
      <c r="CD165" s="23" t="n">
        <f aca="false">IF(AND(AY165=1,AB165="Y",AC165="Y",AD165="Y",AE165="Y",AF165="Y",AG165="Y",AI165="Y",TRIM(AH165)&lt;&gt;""),1,0)</f>
        <v>0</v>
      </c>
      <c r="CE165" s="23" t="n">
        <f aca="false">IF(CD165=1,IF(COUNTIFS($AW$2:$AW$201,AW165,$CD$2:$CD$201,1,$H$2:$H$201,"&lt;"&amp;H165)+COUNTIFS($AW$2:$AW$201,AW165,$CD$2:$CD$201,1,$H$2:$H$201,H165,$AX$2:$AX$201,"&lt;"&amp;AX165)=0,1,0),0)</f>
        <v>0</v>
      </c>
      <c r="CF165" s="23" t="n">
        <f aca="false">IF(AND(AY165=1,AO165="Y"),1,0)</f>
        <v>0</v>
      </c>
      <c r="CG165" s="23" t="n">
        <f aca="false">IF(CF165=1,IF(COUNTIFS($AW$2:$AW$201,AW165,$CF$2:$CF$201,1,$H$2:$H$201,"&lt;"&amp;H165)+COUNTIFS($AW$2:$AW$201,AW165,$CF$2:$CF$201,1,$H$2:$H$201,H165,$AX$2:$AX$201,"&lt;"&amp;AX165)=0,1,0),0)</f>
        <v>0</v>
      </c>
      <c r="CH165" s="23" t="n">
        <f aca="false">IF(AND(AY165=1,P165="Y"),1,0)</f>
        <v>0</v>
      </c>
      <c r="CI165" s="23" t="n">
        <f aca="false">IF(CH165=1,IF(COUNTIFS($AW$2:$AW$201,AW165,$CH$2:$CH$201,1,$H$2:$H$201,"&lt;"&amp;H165)+COUNTIFS($AW$2:$AW$201,AW165,$CH$2:$CH$201,1,$H$2:$H$201,H165,$AX$2:$AX$201,"&lt;"&amp;AX165)=0,1,0),0)</f>
        <v>0</v>
      </c>
      <c r="CJ165" s="23" t="str">
        <f aca="false">IF(AND(BU165=1,INT(N(H165))&lt;=Config!$B$5),L165,"")</f>
        <v/>
      </c>
      <c r="CK165" s="23" t="n">
        <f aca="false">IF(AND(AY165=1,AR165="Y"),1,0)</f>
        <v>0</v>
      </c>
      <c r="CL165" s="23" t="n">
        <f aca="false">IF(CK165=1,IF(COUNTIFS($AW$2:$AW$201,AW165,$CK$2:$CK$201,1,$H$2:$H$201,"&lt;"&amp;H165)+COUNTIFS($AW$2:$AW$201,AW165,$CK$2:$CK$201,1,$H$2:$H$201,H165,$AX$2:$AX$201,"&lt;"&amp;AX165)=0,1,0),0)</f>
        <v>0</v>
      </c>
      <c r="CM165" s="23" t="str">
        <f aca="false">IF(AY165=1,IFERROR(MATCH($A165,INDEX(Clay_Brands!$A$2:$FZ$601,0,Sync!$D$5),0),""),"")</f>
        <v/>
      </c>
      <c r="CN165" s="23" t="str">
        <f aca="false">IF(CM165="","",IFERROR(INDEX(Clay_Brands!$A$2:$FZ$601,CM165,Sync!$D$7)&amp;"",""))</f>
        <v/>
      </c>
      <c r="CO165" s="23" t="str">
        <f aca="false">IF(CN165="","",IFERROR(INDEX(Lists!$K$2:$K$15,MATCH(CN165,Lists!$J$2:$J$15,0)),""))</f>
        <v/>
      </c>
      <c r="CP165" s="23" t="str">
        <f aca="false">IF(CM165="","",IFERROR(INDEX(Clay_Brands!$A$2:$FZ$601,CM165,Sync!$D$17)&amp;"",""))</f>
        <v/>
      </c>
      <c r="CQ165" s="35" t="str">
        <f aca="false">IF(CM165="","",IFERROR(N(INDEX(Clay_Brands!$A$2:$FZ$601,CM165,Sync!$D$16)),0))</f>
        <v/>
      </c>
      <c r="CR165" s="23" t="n">
        <f aca="false">IF(AND(AY165=1,OR(O165="N",AND(OR(ISNUMBER(R165),ISNUMBER(V165)),MAX(N(R165),N(V165))&lt;Config!$B$14))),1,0)</f>
        <v>0</v>
      </c>
      <c r="CS165" s="23" t="n">
        <f aca="false">IF(OR(BB165=1,CR165=1),1,0)</f>
        <v>0</v>
      </c>
      <c r="CT165" s="23" t="n">
        <f aca="false">IF(AND(AY165=1,OR(AN165="Y",AN165="N",AN165="maybe")),1,0)</f>
        <v>0</v>
      </c>
      <c r="CU165" s="23" t="n">
        <f aca="false">IF(AND(CT165=1),IF(COUNTIFS($A$2:$A$201,$A165,$CT$2:$CT$201,1,$H$2:$H$201,"&gt;"&amp;H165)+COUNTIFS($A$2:$A$201,$A165,$CT$2:$CT$201,1,$H$2:$H$201,H165,$AX$2:$AX$201,"&gt;"&amp;AX165)=0,1,0),0)</f>
        <v>0</v>
      </c>
      <c r="CV165" s="23" t="n">
        <f aca="false">IF(AND(CS165=1,INT(N(H165))&lt;=Config!$B$6),IF(COUNTIFS($AW$2:$AW$201,AW165,$CS$2:$CS$201,1,$H$2:$H$201,"&gt;"&amp;H165,$H$2:$H$201,"&lt;"&amp;(Config!$B$6+1))+COUNTIFS($AW$2:$AW$201,AW165,$CS$2:$CS$201,1,$H$2:$H$201,H165,$AX$2:$AX$201,"&gt;"&amp;AX165)=0,1,0),0)</f>
        <v>0</v>
      </c>
      <c r="CW165" s="23" t="n">
        <f aca="false">IF(AND(CS165=1,INT(N(H165))&lt;=Config!$B$7),IF(COUNTIFS($AW$2:$AW$201,AW165,$CS$2:$CS$201,1,$H$2:$H$201,"&gt;"&amp;H165,$H$2:$H$201,"&lt;"&amp;(Config!$B$7+1))+COUNTIFS($AW$2:$AW$201,AW165,$CS$2:$CS$201,1,$H$2:$H$201,H165,$AX$2:$AX$201,"&gt;"&amp;AX165)=0,1,0),0)</f>
        <v>0</v>
      </c>
      <c r="CX165" s="23" t="n">
        <f aca="false">IF(AND(CS165=1,INT(N(H165))&lt;=Config!$B$8),IF(COUNTIFS($AW$2:$AW$201,AW165,$CS$2:$CS$201,1,$H$2:$H$201,"&gt;"&amp;H165,$H$2:$H$201,"&lt;"&amp;(Config!$B$8+1))+COUNTIFS($AW$2:$AW$201,AW165,$CS$2:$CS$201,1,$H$2:$H$201,H165,$AX$2:$AX$201,"&gt;"&amp;AX165)=0,1,0),0)</f>
        <v>0</v>
      </c>
      <c r="CY165" s="23" t="n">
        <f aca="false">IF(AND(CS165=1,INT(N(H165))&lt;=Config!$B$5),IF(COUNTIFS($AW$2:$AW$201,AW165,$CS$2:$CS$201,1,$H$2:$H$201,"&gt;"&amp;H165,$H$2:$H$201,"&lt;"&amp;(Config!$B$5+1))+COUNTIFS($AW$2:$AW$201,AW165,$CS$2:$CS$201,1,$H$2:$H$201,H165,$AX$2:$AX$201,"&gt;"&amp;AX165)=0,1,0),0)</f>
        <v>0</v>
      </c>
      <c r="CZ165" s="23" t="n">
        <f aca="false">IF(AY165=1,IF(COUNTIFS($AW$2:$AW$201,AW165,$CV$2:$CV$201,1,$BB$2:$BB$201,1)&gt;0,1,0),0)</f>
        <v>0</v>
      </c>
      <c r="DA165" s="23" t="n">
        <f aca="false">IF(AY165=1,IF(COUNTIFS($AW$2:$AW$201,AW165,$CW$2:$CW$201,1,$BB$2:$BB$201,1)&gt;0,1,0),0)</f>
        <v>0</v>
      </c>
      <c r="DB165" s="23" t="n">
        <f aca="false">IF(AY165=1,IF(COUNTIFS($AW$2:$AW$201,AW165,$CX$2:$CX$201,1,$BB$2:$BB$201,1)&gt;0,1,0),0)</f>
        <v>0</v>
      </c>
      <c r="DC165" s="23" t="n">
        <f aca="false">IF(AY165=1,IF(COUNTIFS($AW$2:$AW$201,AW165,$CY$2:$CY$201,1,$BB$2:$BB$201,1)&gt;0,1,0),0)</f>
        <v>0</v>
      </c>
      <c r="DD165" s="23" t="n">
        <f aca="false">IF(AND(BC165=1,INT(N(H165))&lt;=Config!$B$6,CZ165=1),1,0)</f>
        <v>0</v>
      </c>
      <c r="DE165" s="23" t="n">
        <f aca="false">IF(AND(BC165=1,INT(N(H165))&lt;=Config!$B$7,DA165=1),1,0)</f>
        <v>0</v>
      </c>
      <c r="DF165" s="23" t="n">
        <f aca="false">IF(AND(BC165=1,INT(N(H165))&lt;=Config!$B$8,DB165=1),1,0)</f>
        <v>0</v>
      </c>
      <c r="DG165" s="23" t="n">
        <f aca="false">IF(AND(BC165=1,INT(N(H165))&lt;=Config!$B$5,DC165=1),1,0)</f>
        <v>0</v>
      </c>
      <c r="DH165" s="23" t="n">
        <f aca="false">IF(AND(BE165=1,INT(N(H165))&lt;=Config!$B$6,CZ165=1),1,0)</f>
        <v>0</v>
      </c>
      <c r="DI165" s="23" t="n">
        <f aca="false">IF(AND(BE165=1,INT(N(H165))&lt;=Config!$B$7,DA165=1),1,0)</f>
        <v>0</v>
      </c>
      <c r="DJ165" s="23" t="n">
        <f aca="false">IF(AND(BE165=1,INT(N(H165))&lt;=Config!$B$8,DB165=1),1,0)</f>
        <v>0</v>
      </c>
      <c r="DK165" s="23" t="n">
        <f aca="false">IF(AND(BE165=1,INT(N(H165))&lt;=Config!$B$5,DC165=1),1,0)</f>
        <v>0</v>
      </c>
      <c r="DL165" s="23" t="n">
        <f aca="false">IF(AND(BC165=1,INT(N(H165))&lt;=Config!$B$6,CZ165=0),1,0)</f>
        <v>0</v>
      </c>
      <c r="DM165" s="23" t="n">
        <f aca="false">IF(AND(BC165=1,INT(N(H165))&lt;=Config!$B$7,DA165=0),1,0)</f>
        <v>0</v>
      </c>
      <c r="DN165" s="23" t="n">
        <f aca="false">IF(AND(BC165=1,INT(N(H165))&lt;=Config!$B$8,DB165=0),1,0)</f>
        <v>0</v>
      </c>
      <c r="DO165" s="23" t="n">
        <f aca="false">IF(AND(BC165=1,INT(N(H165))&lt;=Config!$B$5,DC165=0),1,0)</f>
        <v>0</v>
      </c>
      <c r="DP165" s="23" t="n">
        <f aca="false">IF(TRIM($A165)="",0,ISTEXT(K165)+ISTEXT(L165)+ISTEXT(R165)+ISTEXT(V165)+ISTEXT(AP165)+ISTEXT(AS165))</f>
        <v>0</v>
      </c>
      <c r="DQ165" s="23" t="n">
        <f aca="false">IF(AY165=1,IF(H165&lt;&gt;INT(H165),1,0),0)</f>
        <v>0</v>
      </c>
      <c r="DR165" s="23" t="str">
        <f aca="false">IF(TRIM($A165)="","",IF(TRIM(B165)="",SUBSTITUTE(SUBSTITUTE(SUBSTITUTE(SUBSTITUTE(SUBSTITUTE(SUBSTITUTE(LOWER(TRIM($A165)),"~",""),"*",""),"?",""),"&lt;",""),"&gt;",""),"=",""),SUBSTITUTE(SUBSTITUTE(SUBSTITUTE(SUBSTITUTE(SUBSTITUTE(SUBSTITUTE(LOWER(TRIM(B165)),"~",""),"*",""),"?",""),"&lt;",""),"&gt;",""),"=","")))</f>
        <v/>
      </c>
      <c r="DS165" s="23" t="str">
        <f aca="false">IF(CM165="","",IFERROR(IF(LEFT(LOWER(TRIM(INDEX(Clay_Brands!$A$2:$FZ$601,CM165,Sync!$D$19)&amp;"")),4)="grp-",SUBSTITUTE(SUBSTITUTE(SUBSTITUTE(SUBSTITUTE(SUBSTITUTE(SUBSTITUTE(LOWER(TRIM(INDEX(Clay_Brands!$A$2:$FZ$601,CM165,Sync!$D$19)&amp;"")),"~",""),"*",""),"?",""),"&lt;",""),"&gt;",""),"=",""),""),""))</f>
        <v/>
      </c>
      <c r="DT165" s="23" t="str">
        <f aca="false">IF(DS165&lt;&gt;"",DR165,"")</f>
        <v/>
      </c>
      <c r="DU165" s="23" t="str">
        <f aca="false">IF(AZ165=1,AW165,"")</f>
        <v/>
      </c>
      <c r="DV165" s="23" t="str">
        <f aca="false">IF(TRIM($A165)="","",IFERROR(INDEX($A$2:$A$201,MATCH(AW165,$DU$2:$DU$201,0))&amp;"",$A165&amp;""))</f>
        <v/>
      </c>
      <c r="DW165" s="23" t="n">
        <f aca="false">IF(AY165=1,IF(COUNTIFS($A$2:$A$201,$A165,$AY$2:$AY$201,1,$H$2:$H$201,"&lt;"&amp;H165)+COUNTIFS($A$2:$A$201,$A165,$AY$2:$AY$201,1,$H$2:$H$201,H165,$AX$2:$AX$201,"&lt;"&amp;AX165)=0,1,0),0)</f>
        <v>0</v>
      </c>
      <c r="DX165" s="23" t="n">
        <f aca="false">IF(AZ165=1,IF(COUNTIFS($AW$2:$AW$201,AW165,$DW$2:$DW$201,1)&gt;1,1,0),0)</f>
        <v>0</v>
      </c>
    </row>
    <row r="166" customFormat="false" ht="15" hidden="false" customHeight="false" outlineLevel="0" collapsed="false">
      <c r="G166" s="32"/>
      <c r="H166" s="33"/>
      <c r="I166" s="32"/>
      <c r="O166" s="32"/>
      <c r="P166" s="32"/>
      <c r="U166" s="32"/>
      <c r="Y166" s="32"/>
      <c r="AB166" s="32"/>
      <c r="AC166" s="32"/>
      <c r="AD166" s="32"/>
      <c r="AE166" s="32"/>
      <c r="AF166" s="32"/>
      <c r="AG166" s="32"/>
      <c r="AI166" s="32"/>
      <c r="AJ166" s="32"/>
      <c r="AK166" s="32"/>
      <c r="AN166" s="32"/>
      <c r="AO166" s="32"/>
      <c r="AR166" s="32"/>
      <c r="AT166" s="32"/>
      <c r="AV166" s="34" t="str">
        <f aca="false">IF(TRIM($A166)="","",IF(AND(LEFT($A166,6)="SAMPLE",Config!$B$19&lt;&gt;"Y"),"",IF(NOT(ISNUMBER(H166)),"call_date is blank or not a date",IF(Sync!$D$5="","Clay paste is empty or has no row_id column: paste the Clay export on Clay_Brands",IF(CM166="","row_id not found in the Clay paste: add the Clay row or fix the row_id",IF(AND(ISNUMBER(CO166),CO166&gt;=1,CO166&lt;=5),"Clay status is "&amp;CN166&amp;": set call_done or later",IF(AND(BA166=1,CP166&lt;&gt;CB166),"Clay yes_in_principle should be "&amp;CB166,IF(AND(BA166=1,CQ166&lt;&gt;H166),"Clay call_date should be "&amp;TEXT(H166,"yyyy-mm-dd"),""))))))))</f>
        <v/>
      </c>
      <c r="AW166" s="23" t="str">
        <f aca="false">IF(TRIM($A166)="","",IF(TRIM(C166)&lt;&gt;"",SUBSTITUTE(SUBSTITUTE(SUBSTITUTE(SUBSTITUTE(SUBSTITUTE(SUBSTITUTE(LOWER(TRIM(C166)),"~",""),"*",""),"?",""),"&lt;",""),"&gt;",""),"=",""),IF(DS166&lt;&gt;"",DS166,IFERROR(INDEX($DS$2:$DS$201,MATCH(DR166,$DT$2:$DT$201,0)),DR166))))</f>
        <v/>
      </c>
      <c r="AX166" s="23" t="n">
        <f aca="false">ROW()</f>
        <v>166</v>
      </c>
      <c r="AY166" s="23" t="n">
        <f aca="false">IF(AND(TRIM($A166)&lt;&gt;"",ISNUMBER(H166)),IF(AND(LEFT($A166,6)="SAMPLE",Config!$B$19&lt;&gt;"Y"),0,1),0)</f>
        <v>0</v>
      </c>
      <c r="AZ166" s="23" t="n">
        <f aca="false">IF(AY166=1,IF(COUNTIFS($AW$2:$AW$201,AW166,$AY$2:$AY$201,1,$H$2:$H$201,"&lt;"&amp;H166)+COUNTIFS($AW$2:$AW$201,AW166,$AY$2:$AY$201,1,$H$2:$H$201,H166,$AX$2:$AX$201,"&lt;"&amp;AX166)=0,1,0),0)</f>
        <v>0</v>
      </c>
      <c r="BA166" s="23" t="n">
        <f aca="false">IF(AY166=1,IF(COUNTIFS($A$2:$A$201,$A166,$AY$2:$AY$201,1,$H$2:$H$201,"&gt;"&amp;H166)+COUNTIFS($A$2:$A$201,$A166,$AY$2:$AY$201,1,$H$2:$H$201,H166,$AX$2:$AX$201,"&gt;"&amp;AX166)=0,1,0),0)</f>
        <v>0</v>
      </c>
      <c r="BB166" s="23" t="n">
        <f aca="false">IF(AND(AY166=1,O166="Y",MAX(N(R166),N(V166))&gt;=Config!$B$14),1,0)</f>
        <v>0</v>
      </c>
      <c r="BC166" s="23" t="n">
        <f aca="false">IF(BB166=1,IF(COUNTIFS($AW$2:$AW$201,AW166,$BB$2:$BB$201,1,$H$2:$H$201,"&lt;"&amp;H166)+COUNTIFS($AW$2:$AW$201,AW166,$BB$2:$BB$201,1,$H$2:$H$201,H166,$AX$2:$AX$201,"&lt;"&amp;AX166)=0,1,0),0)</f>
        <v>0</v>
      </c>
      <c r="BD166" s="23" t="n">
        <f aca="false">IF(AND(AY166=1,O166="Y",ISNUMBER(R166)),IF(R166&gt;=Config!$B$14,1,0),0)</f>
        <v>0</v>
      </c>
      <c r="BE166" s="23" t="n">
        <f aca="false">IF(BD166=1,IF(COUNTIFS($AW$2:$AW$201,AW166,$BD$2:$BD$201,1,$H$2:$H$201,"&lt;"&amp;H166)+COUNTIFS($AW$2:$AW$201,AW166,$BD$2:$BD$201,1,$H$2:$H$201,H166,$AX$2:$AX$201,"&lt;"&amp;AX166)=0,1,0),0)</f>
        <v>0</v>
      </c>
      <c r="BF166" s="23" t="n">
        <f aca="false">IF(AND(AY166=1,O166&lt;&gt;"Y",MAX(N(R166),N(V166))&gt;=Config!$B$14),1,0)</f>
        <v>0</v>
      </c>
      <c r="BG166" s="23" t="n">
        <f aca="false">IF(BF166=1,IF(COUNTIFS($AW$2:$AW$201,AW166,$BF$2:$BF$201,1,$H$2:$H$201,"&lt;"&amp;H166)+COUNTIFS($AW$2:$AW$201,AW166,$BF$2:$BF$201,1,$H$2:$H$201,H166,$AX$2:$AX$201,"&lt;"&amp;AX166)=0,1,0),0)</f>
        <v>0</v>
      </c>
      <c r="BH166" s="23" t="n">
        <f aca="false">IF(AND(AY166=1,ISNUMBER(R166)),1,0)</f>
        <v>0</v>
      </c>
      <c r="BI166" s="23" t="n">
        <f aca="false">IF(BH166=1,IF(COUNTIFS($AW$2:$AW$201,AW166,$BH$2:$BH$201,1,$H$2:$H$201,"&lt;"&amp;H166)+COUNTIFS($AW$2:$AW$201,AW166,$BH$2:$BH$201,1,$H$2:$H$201,H166,$AX$2:$AX$201,"&lt;"&amp;AX166)=0,1,0),0)</f>
        <v>0</v>
      </c>
      <c r="BJ166" s="23" t="str">
        <f aca="false">IF(AND(BI166=1,INT(N(H166))&lt;=Config!$B$6),R166,"")</f>
        <v/>
      </c>
      <c r="BK166" s="23" t="str">
        <f aca="false">IF(AND(BI166=1,INT(N(H166))&lt;=Config!$B$7),R166,"")</f>
        <v/>
      </c>
      <c r="BL166" s="23" t="str">
        <f aca="false">IF(AND(BI166=1,INT(N(H166))&lt;=Config!$B$8),R166,"")</f>
        <v/>
      </c>
      <c r="BM166" s="23" t="str">
        <f aca="false">IF(AND(BI166=1,INT(N(H166))&lt;=Config!$B$5),R166,"")</f>
        <v/>
      </c>
      <c r="BN166" s="23" t="n">
        <f aca="false">IF(AND(AY166=1,ISNUMBER(V166)),1,0)</f>
        <v>0</v>
      </c>
      <c r="BO166" s="23" t="n">
        <f aca="false">IF(BN166=1,IF(COUNTIFS($AW$2:$AW$201,AW166,$BN$2:$BN$201,1,$H$2:$H$201,"&lt;"&amp;H166)+COUNTIFS($AW$2:$AW$201,AW166,$BN$2:$BN$201,1,$H$2:$H$201,H166,$AX$2:$AX$201,"&lt;"&amp;AX166)=0,1,0),0)</f>
        <v>0</v>
      </c>
      <c r="BP166" s="23" t="str">
        <f aca="false">IF(AND(BO166=1,INT(N(H166))&lt;=Config!$B$6),V166,"")</f>
        <v/>
      </c>
      <c r="BQ166" s="23" t="str">
        <f aca="false">IF(AND(BO166=1,INT(N(H166))&lt;=Config!$B$7),V166,"")</f>
        <v/>
      </c>
      <c r="BR166" s="23" t="str">
        <f aca="false">IF(AND(BO166=1,INT(N(H166))&lt;=Config!$B$8),V166,"")</f>
        <v/>
      </c>
      <c r="BS166" s="23" t="str">
        <f aca="false">IF(AND(BO166=1,INT(N(H166))&lt;=Config!$B$5),V166,"")</f>
        <v/>
      </c>
      <c r="BT166" s="23" t="n">
        <f aca="false">IF(AND(AY166=1,ISNUMBER(K166)),1,0)</f>
        <v>0</v>
      </c>
      <c r="BU166" s="23" t="n">
        <f aca="false">IF(BT166=1,IF(COUNTIFS($AW$2:$AW$201,AW166,$BT$2:$BT$201,1,$H$2:$H$201,"&lt;"&amp;H166)+COUNTIFS($AW$2:$AW$201,AW166,$BT$2:$BT$201,1,$H$2:$H$201,H166,$AX$2:$AX$201,"&lt;"&amp;AX166)=0,1,0),0)</f>
        <v>0</v>
      </c>
      <c r="BV166" s="23" t="str">
        <f aca="false">IF(AND(BU166=1,INT(N(H166))&lt;=Config!$B$5),K166,"")</f>
        <v/>
      </c>
      <c r="BW166" s="23" t="n">
        <f aca="false">IF(AND(AY166=1,OR(AND(ISNUMBER(R166),TRIM(S166)=""),AND(ISNUMBER(V166),TRIM(W166)=""))),1,0)</f>
        <v>0</v>
      </c>
      <c r="BX166" s="23" t="str">
        <f aca="false">IF(AY166=1,AJ166&amp;"","")</f>
        <v/>
      </c>
      <c r="BY166" s="23" t="str">
        <f aca="false">IF(AY166=1,AK166&amp;"","")</f>
        <v/>
      </c>
      <c r="BZ166" s="23" t="str">
        <f aca="false">IF(AY166=1,AL166&amp;"","")</f>
        <v/>
      </c>
      <c r="CA166" s="23" t="str">
        <f aca="false">IF(AND(AY166=1,ISNUMBER(AS166),INT(N(H166))&lt;=Config!$B$5),AS166,"")</f>
        <v/>
      </c>
      <c r="CB166" s="23" t="str">
        <f aca="false">IF(AY166=1,IF(COUNTIFS($A$2:$A$201,$A166,$CU$2:$CU$201,1,$AN$2:$AN$201,"Y")&gt;0,"Y","N"),"")</f>
        <v/>
      </c>
      <c r="CC166" s="23" t="n">
        <f aca="false">IF(AND(AY166=1,AN166="Y"),IF(COUNTIFS($AW$2:$AW$201,AW166,$AN$2:$AN$201,"Y",$AY$2:$AY$201,1,$H$2:$H$201,"&lt;"&amp;H166)+COUNTIFS($AW$2:$AW$201,AW166,$AN$2:$AN$201,"Y",$AY$2:$AY$201,1,$H$2:$H$201,H166,$AX$2:$AX$201,"&lt;"&amp;AX166)=0,1,0),0)</f>
        <v>0</v>
      </c>
      <c r="CD166" s="23" t="n">
        <f aca="false">IF(AND(AY166=1,AB166="Y",AC166="Y",AD166="Y",AE166="Y",AF166="Y",AG166="Y",AI166="Y",TRIM(AH166)&lt;&gt;""),1,0)</f>
        <v>0</v>
      </c>
      <c r="CE166" s="23" t="n">
        <f aca="false">IF(CD166=1,IF(COUNTIFS($AW$2:$AW$201,AW166,$CD$2:$CD$201,1,$H$2:$H$201,"&lt;"&amp;H166)+COUNTIFS($AW$2:$AW$201,AW166,$CD$2:$CD$201,1,$H$2:$H$201,H166,$AX$2:$AX$201,"&lt;"&amp;AX166)=0,1,0),0)</f>
        <v>0</v>
      </c>
      <c r="CF166" s="23" t="n">
        <f aca="false">IF(AND(AY166=1,AO166="Y"),1,0)</f>
        <v>0</v>
      </c>
      <c r="CG166" s="23" t="n">
        <f aca="false">IF(CF166=1,IF(COUNTIFS($AW$2:$AW$201,AW166,$CF$2:$CF$201,1,$H$2:$H$201,"&lt;"&amp;H166)+COUNTIFS($AW$2:$AW$201,AW166,$CF$2:$CF$201,1,$H$2:$H$201,H166,$AX$2:$AX$201,"&lt;"&amp;AX166)=0,1,0),0)</f>
        <v>0</v>
      </c>
      <c r="CH166" s="23" t="n">
        <f aca="false">IF(AND(AY166=1,P166="Y"),1,0)</f>
        <v>0</v>
      </c>
      <c r="CI166" s="23" t="n">
        <f aca="false">IF(CH166=1,IF(COUNTIFS($AW$2:$AW$201,AW166,$CH$2:$CH$201,1,$H$2:$H$201,"&lt;"&amp;H166)+COUNTIFS($AW$2:$AW$201,AW166,$CH$2:$CH$201,1,$H$2:$H$201,H166,$AX$2:$AX$201,"&lt;"&amp;AX166)=0,1,0),0)</f>
        <v>0</v>
      </c>
      <c r="CJ166" s="23" t="str">
        <f aca="false">IF(AND(BU166=1,INT(N(H166))&lt;=Config!$B$5),L166,"")</f>
        <v/>
      </c>
      <c r="CK166" s="23" t="n">
        <f aca="false">IF(AND(AY166=1,AR166="Y"),1,0)</f>
        <v>0</v>
      </c>
      <c r="CL166" s="23" t="n">
        <f aca="false">IF(CK166=1,IF(COUNTIFS($AW$2:$AW$201,AW166,$CK$2:$CK$201,1,$H$2:$H$201,"&lt;"&amp;H166)+COUNTIFS($AW$2:$AW$201,AW166,$CK$2:$CK$201,1,$H$2:$H$201,H166,$AX$2:$AX$201,"&lt;"&amp;AX166)=0,1,0),0)</f>
        <v>0</v>
      </c>
      <c r="CM166" s="23" t="str">
        <f aca="false">IF(AY166=1,IFERROR(MATCH($A166,INDEX(Clay_Brands!$A$2:$FZ$601,0,Sync!$D$5),0),""),"")</f>
        <v/>
      </c>
      <c r="CN166" s="23" t="str">
        <f aca="false">IF(CM166="","",IFERROR(INDEX(Clay_Brands!$A$2:$FZ$601,CM166,Sync!$D$7)&amp;"",""))</f>
        <v/>
      </c>
      <c r="CO166" s="23" t="str">
        <f aca="false">IF(CN166="","",IFERROR(INDEX(Lists!$K$2:$K$15,MATCH(CN166,Lists!$J$2:$J$15,0)),""))</f>
        <v/>
      </c>
      <c r="CP166" s="23" t="str">
        <f aca="false">IF(CM166="","",IFERROR(INDEX(Clay_Brands!$A$2:$FZ$601,CM166,Sync!$D$17)&amp;"",""))</f>
        <v/>
      </c>
      <c r="CQ166" s="35" t="str">
        <f aca="false">IF(CM166="","",IFERROR(N(INDEX(Clay_Brands!$A$2:$FZ$601,CM166,Sync!$D$16)),0))</f>
        <v/>
      </c>
      <c r="CR166" s="23" t="n">
        <f aca="false">IF(AND(AY166=1,OR(O166="N",AND(OR(ISNUMBER(R166),ISNUMBER(V166)),MAX(N(R166),N(V166))&lt;Config!$B$14))),1,0)</f>
        <v>0</v>
      </c>
      <c r="CS166" s="23" t="n">
        <f aca="false">IF(OR(BB166=1,CR166=1),1,0)</f>
        <v>0</v>
      </c>
      <c r="CT166" s="23" t="n">
        <f aca="false">IF(AND(AY166=1,OR(AN166="Y",AN166="N",AN166="maybe")),1,0)</f>
        <v>0</v>
      </c>
      <c r="CU166" s="23" t="n">
        <f aca="false">IF(AND(CT166=1),IF(COUNTIFS($A$2:$A$201,$A166,$CT$2:$CT$201,1,$H$2:$H$201,"&gt;"&amp;H166)+COUNTIFS($A$2:$A$201,$A166,$CT$2:$CT$201,1,$H$2:$H$201,H166,$AX$2:$AX$201,"&gt;"&amp;AX166)=0,1,0),0)</f>
        <v>0</v>
      </c>
      <c r="CV166" s="23" t="n">
        <f aca="false">IF(AND(CS166=1,INT(N(H166))&lt;=Config!$B$6),IF(COUNTIFS($AW$2:$AW$201,AW166,$CS$2:$CS$201,1,$H$2:$H$201,"&gt;"&amp;H166,$H$2:$H$201,"&lt;"&amp;(Config!$B$6+1))+COUNTIFS($AW$2:$AW$201,AW166,$CS$2:$CS$201,1,$H$2:$H$201,H166,$AX$2:$AX$201,"&gt;"&amp;AX166)=0,1,0),0)</f>
        <v>0</v>
      </c>
      <c r="CW166" s="23" t="n">
        <f aca="false">IF(AND(CS166=1,INT(N(H166))&lt;=Config!$B$7),IF(COUNTIFS($AW$2:$AW$201,AW166,$CS$2:$CS$201,1,$H$2:$H$201,"&gt;"&amp;H166,$H$2:$H$201,"&lt;"&amp;(Config!$B$7+1))+COUNTIFS($AW$2:$AW$201,AW166,$CS$2:$CS$201,1,$H$2:$H$201,H166,$AX$2:$AX$201,"&gt;"&amp;AX166)=0,1,0),0)</f>
        <v>0</v>
      </c>
      <c r="CX166" s="23" t="n">
        <f aca="false">IF(AND(CS166=1,INT(N(H166))&lt;=Config!$B$8),IF(COUNTIFS($AW$2:$AW$201,AW166,$CS$2:$CS$201,1,$H$2:$H$201,"&gt;"&amp;H166,$H$2:$H$201,"&lt;"&amp;(Config!$B$8+1))+COUNTIFS($AW$2:$AW$201,AW166,$CS$2:$CS$201,1,$H$2:$H$201,H166,$AX$2:$AX$201,"&gt;"&amp;AX166)=0,1,0),0)</f>
        <v>0</v>
      </c>
      <c r="CY166" s="23" t="n">
        <f aca="false">IF(AND(CS166=1,INT(N(H166))&lt;=Config!$B$5),IF(COUNTIFS($AW$2:$AW$201,AW166,$CS$2:$CS$201,1,$H$2:$H$201,"&gt;"&amp;H166,$H$2:$H$201,"&lt;"&amp;(Config!$B$5+1))+COUNTIFS($AW$2:$AW$201,AW166,$CS$2:$CS$201,1,$H$2:$H$201,H166,$AX$2:$AX$201,"&gt;"&amp;AX166)=0,1,0),0)</f>
        <v>0</v>
      </c>
      <c r="CZ166" s="23" t="n">
        <f aca="false">IF(AY166=1,IF(COUNTIFS($AW$2:$AW$201,AW166,$CV$2:$CV$201,1,$BB$2:$BB$201,1)&gt;0,1,0),0)</f>
        <v>0</v>
      </c>
      <c r="DA166" s="23" t="n">
        <f aca="false">IF(AY166=1,IF(COUNTIFS($AW$2:$AW$201,AW166,$CW$2:$CW$201,1,$BB$2:$BB$201,1)&gt;0,1,0),0)</f>
        <v>0</v>
      </c>
      <c r="DB166" s="23" t="n">
        <f aca="false">IF(AY166=1,IF(COUNTIFS($AW$2:$AW$201,AW166,$CX$2:$CX$201,1,$BB$2:$BB$201,1)&gt;0,1,0),0)</f>
        <v>0</v>
      </c>
      <c r="DC166" s="23" t="n">
        <f aca="false">IF(AY166=1,IF(COUNTIFS($AW$2:$AW$201,AW166,$CY$2:$CY$201,1,$BB$2:$BB$201,1)&gt;0,1,0),0)</f>
        <v>0</v>
      </c>
      <c r="DD166" s="23" t="n">
        <f aca="false">IF(AND(BC166=1,INT(N(H166))&lt;=Config!$B$6,CZ166=1),1,0)</f>
        <v>0</v>
      </c>
      <c r="DE166" s="23" t="n">
        <f aca="false">IF(AND(BC166=1,INT(N(H166))&lt;=Config!$B$7,DA166=1),1,0)</f>
        <v>0</v>
      </c>
      <c r="DF166" s="23" t="n">
        <f aca="false">IF(AND(BC166=1,INT(N(H166))&lt;=Config!$B$8,DB166=1),1,0)</f>
        <v>0</v>
      </c>
      <c r="DG166" s="23" t="n">
        <f aca="false">IF(AND(BC166=1,INT(N(H166))&lt;=Config!$B$5,DC166=1),1,0)</f>
        <v>0</v>
      </c>
      <c r="DH166" s="23" t="n">
        <f aca="false">IF(AND(BE166=1,INT(N(H166))&lt;=Config!$B$6,CZ166=1),1,0)</f>
        <v>0</v>
      </c>
      <c r="DI166" s="23" t="n">
        <f aca="false">IF(AND(BE166=1,INT(N(H166))&lt;=Config!$B$7,DA166=1),1,0)</f>
        <v>0</v>
      </c>
      <c r="DJ166" s="23" t="n">
        <f aca="false">IF(AND(BE166=1,INT(N(H166))&lt;=Config!$B$8,DB166=1),1,0)</f>
        <v>0</v>
      </c>
      <c r="DK166" s="23" t="n">
        <f aca="false">IF(AND(BE166=1,INT(N(H166))&lt;=Config!$B$5,DC166=1),1,0)</f>
        <v>0</v>
      </c>
      <c r="DL166" s="23" t="n">
        <f aca="false">IF(AND(BC166=1,INT(N(H166))&lt;=Config!$B$6,CZ166=0),1,0)</f>
        <v>0</v>
      </c>
      <c r="DM166" s="23" t="n">
        <f aca="false">IF(AND(BC166=1,INT(N(H166))&lt;=Config!$B$7,DA166=0),1,0)</f>
        <v>0</v>
      </c>
      <c r="DN166" s="23" t="n">
        <f aca="false">IF(AND(BC166=1,INT(N(H166))&lt;=Config!$B$8,DB166=0),1,0)</f>
        <v>0</v>
      </c>
      <c r="DO166" s="23" t="n">
        <f aca="false">IF(AND(BC166=1,INT(N(H166))&lt;=Config!$B$5,DC166=0),1,0)</f>
        <v>0</v>
      </c>
      <c r="DP166" s="23" t="n">
        <f aca="false">IF(TRIM($A166)="",0,ISTEXT(K166)+ISTEXT(L166)+ISTEXT(R166)+ISTEXT(V166)+ISTEXT(AP166)+ISTEXT(AS166))</f>
        <v>0</v>
      </c>
      <c r="DQ166" s="23" t="n">
        <f aca="false">IF(AY166=1,IF(H166&lt;&gt;INT(H166),1,0),0)</f>
        <v>0</v>
      </c>
      <c r="DR166" s="23" t="str">
        <f aca="false">IF(TRIM($A166)="","",IF(TRIM(B166)="",SUBSTITUTE(SUBSTITUTE(SUBSTITUTE(SUBSTITUTE(SUBSTITUTE(SUBSTITUTE(LOWER(TRIM($A166)),"~",""),"*",""),"?",""),"&lt;",""),"&gt;",""),"=",""),SUBSTITUTE(SUBSTITUTE(SUBSTITUTE(SUBSTITUTE(SUBSTITUTE(SUBSTITUTE(LOWER(TRIM(B166)),"~",""),"*",""),"?",""),"&lt;",""),"&gt;",""),"=","")))</f>
        <v/>
      </c>
      <c r="DS166" s="23" t="str">
        <f aca="false">IF(CM166="","",IFERROR(IF(LEFT(LOWER(TRIM(INDEX(Clay_Brands!$A$2:$FZ$601,CM166,Sync!$D$19)&amp;"")),4)="grp-",SUBSTITUTE(SUBSTITUTE(SUBSTITUTE(SUBSTITUTE(SUBSTITUTE(SUBSTITUTE(LOWER(TRIM(INDEX(Clay_Brands!$A$2:$FZ$601,CM166,Sync!$D$19)&amp;"")),"~",""),"*",""),"?",""),"&lt;",""),"&gt;",""),"=",""),""),""))</f>
        <v/>
      </c>
      <c r="DT166" s="23" t="str">
        <f aca="false">IF(DS166&lt;&gt;"",DR166,"")</f>
        <v/>
      </c>
      <c r="DU166" s="23" t="str">
        <f aca="false">IF(AZ166=1,AW166,"")</f>
        <v/>
      </c>
      <c r="DV166" s="23" t="str">
        <f aca="false">IF(TRIM($A166)="","",IFERROR(INDEX($A$2:$A$201,MATCH(AW166,$DU$2:$DU$201,0))&amp;"",$A166&amp;""))</f>
        <v/>
      </c>
      <c r="DW166" s="23" t="n">
        <f aca="false">IF(AY166=1,IF(COUNTIFS($A$2:$A$201,$A166,$AY$2:$AY$201,1,$H$2:$H$201,"&lt;"&amp;H166)+COUNTIFS($A$2:$A$201,$A166,$AY$2:$AY$201,1,$H$2:$H$201,H166,$AX$2:$AX$201,"&lt;"&amp;AX166)=0,1,0),0)</f>
        <v>0</v>
      </c>
      <c r="DX166" s="23" t="n">
        <f aca="false">IF(AZ166=1,IF(COUNTIFS($AW$2:$AW$201,AW166,$DW$2:$DW$201,1)&gt;1,1,0),0)</f>
        <v>0</v>
      </c>
    </row>
    <row r="167" customFormat="false" ht="15" hidden="false" customHeight="false" outlineLevel="0" collapsed="false">
      <c r="G167" s="32"/>
      <c r="H167" s="33"/>
      <c r="I167" s="32"/>
      <c r="O167" s="32"/>
      <c r="P167" s="32"/>
      <c r="U167" s="32"/>
      <c r="Y167" s="32"/>
      <c r="AB167" s="32"/>
      <c r="AC167" s="32"/>
      <c r="AD167" s="32"/>
      <c r="AE167" s="32"/>
      <c r="AF167" s="32"/>
      <c r="AG167" s="32"/>
      <c r="AI167" s="32"/>
      <c r="AJ167" s="32"/>
      <c r="AK167" s="32"/>
      <c r="AN167" s="32"/>
      <c r="AO167" s="32"/>
      <c r="AR167" s="32"/>
      <c r="AT167" s="32"/>
      <c r="AV167" s="34" t="str">
        <f aca="false">IF(TRIM($A167)="","",IF(AND(LEFT($A167,6)="SAMPLE",Config!$B$19&lt;&gt;"Y"),"",IF(NOT(ISNUMBER(H167)),"call_date is blank or not a date",IF(Sync!$D$5="","Clay paste is empty or has no row_id column: paste the Clay export on Clay_Brands",IF(CM167="","row_id not found in the Clay paste: add the Clay row or fix the row_id",IF(AND(ISNUMBER(CO167),CO167&gt;=1,CO167&lt;=5),"Clay status is "&amp;CN167&amp;": set call_done or later",IF(AND(BA167=1,CP167&lt;&gt;CB167),"Clay yes_in_principle should be "&amp;CB167,IF(AND(BA167=1,CQ167&lt;&gt;H167),"Clay call_date should be "&amp;TEXT(H167,"yyyy-mm-dd"),""))))))))</f>
        <v/>
      </c>
      <c r="AW167" s="23" t="str">
        <f aca="false">IF(TRIM($A167)="","",IF(TRIM(C167)&lt;&gt;"",SUBSTITUTE(SUBSTITUTE(SUBSTITUTE(SUBSTITUTE(SUBSTITUTE(SUBSTITUTE(LOWER(TRIM(C167)),"~",""),"*",""),"?",""),"&lt;",""),"&gt;",""),"=",""),IF(DS167&lt;&gt;"",DS167,IFERROR(INDEX($DS$2:$DS$201,MATCH(DR167,$DT$2:$DT$201,0)),DR167))))</f>
        <v/>
      </c>
      <c r="AX167" s="23" t="n">
        <f aca="false">ROW()</f>
        <v>167</v>
      </c>
      <c r="AY167" s="23" t="n">
        <f aca="false">IF(AND(TRIM($A167)&lt;&gt;"",ISNUMBER(H167)),IF(AND(LEFT($A167,6)="SAMPLE",Config!$B$19&lt;&gt;"Y"),0,1),0)</f>
        <v>0</v>
      </c>
      <c r="AZ167" s="23" t="n">
        <f aca="false">IF(AY167=1,IF(COUNTIFS($AW$2:$AW$201,AW167,$AY$2:$AY$201,1,$H$2:$H$201,"&lt;"&amp;H167)+COUNTIFS($AW$2:$AW$201,AW167,$AY$2:$AY$201,1,$H$2:$H$201,H167,$AX$2:$AX$201,"&lt;"&amp;AX167)=0,1,0),0)</f>
        <v>0</v>
      </c>
      <c r="BA167" s="23" t="n">
        <f aca="false">IF(AY167=1,IF(COUNTIFS($A$2:$A$201,$A167,$AY$2:$AY$201,1,$H$2:$H$201,"&gt;"&amp;H167)+COUNTIFS($A$2:$A$201,$A167,$AY$2:$AY$201,1,$H$2:$H$201,H167,$AX$2:$AX$201,"&gt;"&amp;AX167)=0,1,0),0)</f>
        <v>0</v>
      </c>
      <c r="BB167" s="23" t="n">
        <f aca="false">IF(AND(AY167=1,O167="Y",MAX(N(R167),N(V167))&gt;=Config!$B$14),1,0)</f>
        <v>0</v>
      </c>
      <c r="BC167" s="23" t="n">
        <f aca="false">IF(BB167=1,IF(COUNTIFS($AW$2:$AW$201,AW167,$BB$2:$BB$201,1,$H$2:$H$201,"&lt;"&amp;H167)+COUNTIFS($AW$2:$AW$201,AW167,$BB$2:$BB$201,1,$H$2:$H$201,H167,$AX$2:$AX$201,"&lt;"&amp;AX167)=0,1,0),0)</f>
        <v>0</v>
      </c>
      <c r="BD167" s="23" t="n">
        <f aca="false">IF(AND(AY167=1,O167="Y",ISNUMBER(R167)),IF(R167&gt;=Config!$B$14,1,0),0)</f>
        <v>0</v>
      </c>
      <c r="BE167" s="23" t="n">
        <f aca="false">IF(BD167=1,IF(COUNTIFS($AW$2:$AW$201,AW167,$BD$2:$BD$201,1,$H$2:$H$201,"&lt;"&amp;H167)+COUNTIFS($AW$2:$AW$201,AW167,$BD$2:$BD$201,1,$H$2:$H$201,H167,$AX$2:$AX$201,"&lt;"&amp;AX167)=0,1,0),0)</f>
        <v>0</v>
      </c>
      <c r="BF167" s="23" t="n">
        <f aca="false">IF(AND(AY167=1,O167&lt;&gt;"Y",MAX(N(R167),N(V167))&gt;=Config!$B$14),1,0)</f>
        <v>0</v>
      </c>
      <c r="BG167" s="23" t="n">
        <f aca="false">IF(BF167=1,IF(COUNTIFS($AW$2:$AW$201,AW167,$BF$2:$BF$201,1,$H$2:$H$201,"&lt;"&amp;H167)+COUNTIFS($AW$2:$AW$201,AW167,$BF$2:$BF$201,1,$H$2:$H$201,H167,$AX$2:$AX$201,"&lt;"&amp;AX167)=0,1,0),0)</f>
        <v>0</v>
      </c>
      <c r="BH167" s="23" t="n">
        <f aca="false">IF(AND(AY167=1,ISNUMBER(R167)),1,0)</f>
        <v>0</v>
      </c>
      <c r="BI167" s="23" t="n">
        <f aca="false">IF(BH167=1,IF(COUNTIFS($AW$2:$AW$201,AW167,$BH$2:$BH$201,1,$H$2:$H$201,"&lt;"&amp;H167)+COUNTIFS($AW$2:$AW$201,AW167,$BH$2:$BH$201,1,$H$2:$H$201,H167,$AX$2:$AX$201,"&lt;"&amp;AX167)=0,1,0),0)</f>
        <v>0</v>
      </c>
      <c r="BJ167" s="23" t="str">
        <f aca="false">IF(AND(BI167=1,INT(N(H167))&lt;=Config!$B$6),R167,"")</f>
        <v/>
      </c>
      <c r="BK167" s="23" t="str">
        <f aca="false">IF(AND(BI167=1,INT(N(H167))&lt;=Config!$B$7),R167,"")</f>
        <v/>
      </c>
      <c r="BL167" s="23" t="str">
        <f aca="false">IF(AND(BI167=1,INT(N(H167))&lt;=Config!$B$8),R167,"")</f>
        <v/>
      </c>
      <c r="BM167" s="23" t="str">
        <f aca="false">IF(AND(BI167=1,INT(N(H167))&lt;=Config!$B$5),R167,"")</f>
        <v/>
      </c>
      <c r="BN167" s="23" t="n">
        <f aca="false">IF(AND(AY167=1,ISNUMBER(V167)),1,0)</f>
        <v>0</v>
      </c>
      <c r="BO167" s="23" t="n">
        <f aca="false">IF(BN167=1,IF(COUNTIFS($AW$2:$AW$201,AW167,$BN$2:$BN$201,1,$H$2:$H$201,"&lt;"&amp;H167)+COUNTIFS($AW$2:$AW$201,AW167,$BN$2:$BN$201,1,$H$2:$H$201,H167,$AX$2:$AX$201,"&lt;"&amp;AX167)=0,1,0),0)</f>
        <v>0</v>
      </c>
      <c r="BP167" s="23" t="str">
        <f aca="false">IF(AND(BO167=1,INT(N(H167))&lt;=Config!$B$6),V167,"")</f>
        <v/>
      </c>
      <c r="BQ167" s="23" t="str">
        <f aca="false">IF(AND(BO167=1,INT(N(H167))&lt;=Config!$B$7),V167,"")</f>
        <v/>
      </c>
      <c r="BR167" s="23" t="str">
        <f aca="false">IF(AND(BO167=1,INT(N(H167))&lt;=Config!$B$8),V167,"")</f>
        <v/>
      </c>
      <c r="BS167" s="23" t="str">
        <f aca="false">IF(AND(BO167=1,INT(N(H167))&lt;=Config!$B$5),V167,"")</f>
        <v/>
      </c>
      <c r="BT167" s="23" t="n">
        <f aca="false">IF(AND(AY167=1,ISNUMBER(K167)),1,0)</f>
        <v>0</v>
      </c>
      <c r="BU167" s="23" t="n">
        <f aca="false">IF(BT167=1,IF(COUNTIFS($AW$2:$AW$201,AW167,$BT$2:$BT$201,1,$H$2:$H$201,"&lt;"&amp;H167)+COUNTIFS($AW$2:$AW$201,AW167,$BT$2:$BT$201,1,$H$2:$H$201,H167,$AX$2:$AX$201,"&lt;"&amp;AX167)=0,1,0),0)</f>
        <v>0</v>
      </c>
      <c r="BV167" s="23" t="str">
        <f aca="false">IF(AND(BU167=1,INT(N(H167))&lt;=Config!$B$5),K167,"")</f>
        <v/>
      </c>
      <c r="BW167" s="23" t="n">
        <f aca="false">IF(AND(AY167=1,OR(AND(ISNUMBER(R167),TRIM(S167)=""),AND(ISNUMBER(V167),TRIM(W167)=""))),1,0)</f>
        <v>0</v>
      </c>
      <c r="BX167" s="23" t="str">
        <f aca="false">IF(AY167=1,AJ167&amp;"","")</f>
        <v/>
      </c>
      <c r="BY167" s="23" t="str">
        <f aca="false">IF(AY167=1,AK167&amp;"","")</f>
        <v/>
      </c>
      <c r="BZ167" s="23" t="str">
        <f aca="false">IF(AY167=1,AL167&amp;"","")</f>
        <v/>
      </c>
      <c r="CA167" s="23" t="str">
        <f aca="false">IF(AND(AY167=1,ISNUMBER(AS167),INT(N(H167))&lt;=Config!$B$5),AS167,"")</f>
        <v/>
      </c>
      <c r="CB167" s="23" t="str">
        <f aca="false">IF(AY167=1,IF(COUNTIFS($A$2:$A$201,$A167,$CU$2:$CU$201,1,$AN$2:$AN$201,"Y")&gt;0,"Y","N"),"")</f>
        <v/>
      </c>
      <c r="CC167" s="23" t="n">
        <f aca="false">IF(AND(AY167=1,AN167="Y"),IF(COUNTIFS($AW$2:$AW$201,AW167,$AN$2:$AN$201,"Y",$AY$2:$AY$201,1,$H$2:$H$201,"&lt;"&amp;H167)+COUNTIFS($AW$2:$AW$201,AW167,$AN$2:$AN$201,"Y",$AY$2:$AY$201,1,$H$2:$H$201,H167,$AX$2:$AX$201,"&lt;"&amp;AX167)=0,1,0),0)</f>
        <v>0</v>
      </c>
      <c r="CD167" s="23" t="n">
        <f aca="false">IF(AND(AY167=1,AB167="Y",AC167="Y",AD167="Y",AE167="Y",AF167="Y",AG167="Y",AI167="Y",TRIM(AH167)&lt;&gt;""),1,0)</f>
        <v>0</v>
      </c>
      <c r="CE167" s="23" t="n">
        <f aca="false">IF(CD167=1,IF(COUNTIFS($AW$2:$AW$201,AW167,$CD$2:$CD$201,1,$H$2:$H$201,"&lt;"&amp;H167)+COUNTIFS($AW$2:$AW$201,AW167,$CD$2:$CD$201,1,$H$2:$H$201,H167,$AX$2:$AX$201,"&lt;"&amp;AX167)=0,1,0),0)</f>
        <v>0</v>
      </c>
      <c r="CF167" s="23" t="n">
        <f aca="false">IF(AND(AY167=1,AO167="Y"),1,0)</f>
        <v>0</v>
      </c>
      <c r="CG167" s="23" t="n">
        <f aca="false">IF(CF167=1,IF(COUNTIFS($AW$2:$AW$201,AW167,$CF$2:$CF$201,1,$H$2:$H$201,"&lt;"&amp;H167)+COUNTIFS($AW$2:$AW$201,AW167,$CF$2:$CF$201,1,$H$2:$H$201,H167,$AX$2:$AX$201,"&lt;"&amp;AX167)=0,1,0),0)</f>
        <v>0</v>
      </c>
      <c r="CH167" s="23" t="n">
        <f aca="false">IF(AND(AY167=1,P167="Y"),1,0)</f>
        <v>0</v>
      </c>
      <c r="CI167" s="23" t="n">
        <f aca="false">IF(CH167=1,IF(COUNTIFS($AW$2:$AW$201,AW167,$CH$2:$CH$201,1,$H$2:$H$201,"&lt;"&amp;H167)+COUNTIFS($AW$2:$AW$201,AW167,$CH$2:$CH$201,1,$H$2:$H$201,H167,$AX$2:$AX$201,"&lt;"&amp;AX167)=0,1,0),0)</f>
        <v>0</v>
      </c>
      <c r="CJ167" s="23" t="str">
        <f aca="false">IF(AND(BU167=1,INT(N(H167))&lt;=Config!$B$5),L167,"")</f>
        <v/>
      </c>
      <c r="CK167" s="23" t="n">
        <f aca="false">IF(AND(AY167=1,AR167="Y"),1,0)</f>
        <v>0</v>
      </c>
      <c r="CL167" s="23" t="n">
        <f aca="false">IF(CK167=1,IF(COUNTIFS($AW$2:$AW$201,AW167,$CK$2:$CK$201,1,$H$2:$H$201,"&lt;"&amp;H167)+COUNTIFS($AW$2:$AW$201,AW167,$CK$2:$CK$201,1,$H$2:$H$201,H167,$AX$2:$AX$201,"&lt;"&amp;AX167)=0,1,0),0)</f>
        <v>0</v>
      </c>
      <c r="CM167" s="23" t="str">
        <f aca="false">IF(AY167=1,IFERROR(MATCH($A167,INDEX(Clay_Brands!$A$2:$FZ$601,0,Sync!$D$5),0),""),"")</f>
        <v/>
      </c>
      <c r="CN167" s="23" t="str">
        <f aca="false">IF(CM167="","",IFERROR(INDEX(Clay_Brands!$A$2:$FZ$601,CM167,Sync!$D$7)&amp;"",""))</f>
        <v/>
      </c>
      <c r="CO167" s="23" t="str">
        <f aca="false">IF(CN167="","",IFERROR(INDEX(Lists!$K$2:$K$15,MATCH(CN167,Lists!$J$2:$J$15,0)),""))</f>
        <v/>
      </c>
      <c r="CP167" s="23" t="str">
        <f aca="false">IF(CM167="","",IFERROR(INDEX(Clay_Brands!$A$2:$FZ$601,CM167,Sync!$D$17)&amp;"",""))</f>
        <v/>
      </c>
      <c r="CQ167" s="35" t="str">
        <f aca="false">IF(CM167="","",IFERROR(N(INDEX(Clay_Brands!$A$2:$FZ$601,CM167,Sync!$D$16)),0))</f>
        <v/>
      </c>
      <c r="CR167" s="23" t="n">
        <f aca="false">IF(AND(AY167=1,OR(O167="N",AND(OR(ISNUMBER(R167),ISNUMBER(V167)),MAX(N(R167),N(V167))&lt;Config!$B$14))),1,0)</f>
        <v>0</v>
      </c>
      <c r="CS167" s="23" t="n">
        <f aca="false">IF(OR(BB167=1,CR167=1),1,0)</f>
        <v>0</v>
      </c>
      <c r="CT167" s="23" t="n">
        <f aca="false">IF(AND(AY167=1,OR(AN167="Y",AN167="N",AN167="maybe")),1,0)</f>
        <v>0</v>
      </c>
      <c r="CU167" s="23" t="n">
        <f aca="false">IF(AND(CT167=1),IF(COUNTIFS($A$2:$A$201,$A167,$CT$2:$CT$201,1,$H$2:$H$201,"&gt;"&amp;H167)+COUNTIFS($A$2:$A$201,$A167,$CT$2:$CT$201,1,$H$2:$H$201,H167,$AX$2:$AX$201,"&gt;"&amp;AX167)=0,1,0),0)</f>
        <v>0</v>
      </c>
      <c r="CV167" s="23" t="n">
        <f aca="false">IF(AND(CS167=1,INT(N(H167))&lt;=Config!$B$6),IF(COUNTIFS($AW$2:$AW$201,AW167,$CS$2:$CS$201,1,$H$2:$H$201,"&gt;"&amp;H167,$H$2:$H$201,"&lt;"&amp;(Config!$B$6+1))+COUNTIFS($AW$2:$AW$201,AW167,$CS$2:$CS$201,1,$H$2:$H$201,H167,$AX$2:$AX$201,"&gt;"&amp;AX167)=0,1,0),0)</f>
        <v>0</v>
      </c>
      <c r="CW167" s="23" t="n">
        <f aca="false">IF(AND(CS167=1,INT(N(H167))&lt;=Config!$B$7),IF(COUNTIFS($AW$2:$AW$201,AW167,$CS$2:$CS$201,1,$H$2:$H$201,"&gt;"&amp;H167,$H$2:$H$201,"&lt;"&amp;(Config!$B$7+1))+COUNTIFS($AW$2:$AW$201,AW167,$CS$2:$CS$201,1,$H$2:$H$201,H167,$AX$2:$AX$201,"&gt;"&amp;AX167)=0,1,0),0)</f>
        <v>0</v>
      </c>
      <c r="CX167" s="23" t="n">
        <f aca="false">IF(AND(CS167=1,INT(N(H167))&lt;=Config!$B$8),IF(COUNTIFS($AW$2:$AW$201,AW167,$CS$2:$CS$201,1,$H$2:$H$201,"&gt;"&amp;H167,$H$2:$H$201,"&lt;"&amp;(Config!$B$8+1))+COUNTIFS($AW$2:$AW$201,AW167,$CS$2:$CS$201,1,$H$2:$H$201,H167,$AX$2:$AX$201,"&gt;"&amp;AX167)=0,1,0),0)</f>
        <v>0</v>
      </c>
      <c r="CY167" s="23" t="n">
        <f aca="false">IF(AND(CS167=1,INT(N(H167))&lt;=Config!$B$5),IF(COUNTIFS($AW$2:$AW$201,AW167,$CS$2:$CS$201,1,$H$2:$H$201,"&gt;"&amp;H167,$H$2:$H$201,"&lt;"&amp;(Config!$B$5+1))+COUNTIFS($AW$2:$AW$201,AW167,$CS$2:$CS$201,1,$H$2:$H$201,H167,$AX$2:$AX$201,"&gt;"&amp;AX167)=0,1,0),0)</f>
        <v>0</v>
      </c>
      <c r="CZ167" s="23" t="n">
        <f aca="false">IF(AY167=1,IF(COUNTIFS($AW$2:$AW$201,AW167,$CV$2:$CV$201,1,$BB$2:$BB$201,1)&gt;0,1,0),0)</f>
        <v>0</v>
      </c>
      <c r="DA167" s="23" t="n">
        <f aca="false">IF(AY167=1,IF(COUNTIFS($AW$2:$AW$201,AW167,$CW$2:$CW$201,1,$BB$2:$BB$201,1)&gt;0,1,0),0)</f>
        <v>0</v>
      </c>
      <c r="DB167" s="23" t="n">
        <f aca="false">IF(AY167=1,IF(COUNTIFS($AW$2:$AW$201,AW167,$CX$2:$CX$201,1,$BB$2:$BB$201,1)&gt;0,1,0),0)</f>
        <v>0</v>
      </c>
      <c r="DC167" s="23" t="n">
        <f aca="false">IF(AY167=1,IF(COUNTIFS($AW$2:$AW$201,AW167,$CY$2:$CY$201,1,$BB$2:$BB$201,1)&gt;0,1,0),0)</f>
        <v>0</v>
      </c>
      <c r="DD167" s="23" t="n">
        <f aca="false">IF(AND(BC167=1,INT(N(H167))&lt;=Config!$B$6,CZ167=1),1,0)</f>
        <v>0</v>
      </c>
      <c r="DE167" s="23" t="n">
        <f aca="false">IF(AND(BC167=1,INT(N(H167))&lt;=Config!$B$7,DA167=1),1,0)</f>
        <v>0</v>
      </c>
      <c r="DF167" s="23" t="n">
        <f aca="false">IF(AND(BC167=1,INT(N(H167))&lt;=Config!$B$8,DB167=1),1,0)</f>
        <v>0</v>
      </c>
      <c r="DG167" s="23" t="n">
        <f aca="false">IF(AND(BC167=1,INT(N(H167))&lt;=Config!$B$5,DC167=1),1,0)</f>
        <v>0</v>
      </c>
      <c r="DH167" s="23" t="n">
        <f aca="false">IF(AND(BE167=1,INT(N(H167))&lt;=Config!$B$6,CZ167=1),1,0)</f>
        <v>0</v>
      </c>
      <c r="DI167" s="23" t="n">
        <f aca="false">IF(AND(BE167=1,INT(N(H167))&lt;=Config!$B$7,DA167=1),1,0)</f>
        <v>0</v>
      </c>
      <c r="DJ167" s="23" t="n">
        <f aca="false">IF(AND(BE167=1,INT(N(H167))&lt;=Config!$B$8,DB167=1),1,0)</f>
        <v>0</v>
      </c>
      <c r="DK167" s="23" t="n">
        <f aca="false">IF(AND(BE167=1,INT(N(H167))&lt;=Config!$B$5,DC167=1),1,0)</f>
        <v>0</v>
      </c>
      <c r="DL167" s="23" t="n">
        <f aca="false">IF(AND(BC167=1,INT(N(H167))&lt;=Config!$B$6,CZ167=0),1,0)</f>
        <v>0</v>
      </c>
      <c r="DM167" s="23" t="n">
        <f aca="false">IF(AND(BC167=1,INT(N(H167))&lt;=Config!$B$7,DA167=0),1,0)</f>
        <v>0</v>
      </c>
      <c r="DN167" s="23" t="n">
        <f aca="false">IF(AND(BC167=1,INT(N(H167))&lt;=Config!$B$8,DB167=0),1,0)</f>
        <v>0</v>
      </c>
      <c r="DO167" s="23" t="n">
        <f aca="false">IF(AND(BC167=1,INT(N(H167))&lt;=Config!$B$5,DC167=0),1,0)</f>
        <v>0</v>
      </c>
      <c r="DP167" s="23" t="n">
        <f aca="false">IF(TRIM($A167)="",0,ISTEXT(K167)+ISTEXT(L167)+ISTEXT(R167)+ISTEXT(V167)+ISTEXT(AP167)+ISTEXT(AS167))</f>
        <v>0</v>
      </c>
      <c r="DQ167" s="23" t="n">
        <f aca="false">IF(AY167=1,IF(H167&lt;&gt;INT(H167),1,0),0)</f>
        <v>0</v>
      </c>
      <c r="DR167" s="23" t="str">
        <f aca="false">IF(TRIM($A167)="","",IF(TRIM(B167)="",SUBSTITUTE(SUBSTITUTE(SUBSTITUTE(SUBSTITUTE(SUBSTITUTE(SUBSTITUTE(LOWER(TRIM($A167)),"~",""),"*",""),"?",""),"&lt;",""),"&gt;",""),"=",""),SUBSTITUTE(SUBSTITUTE(SUBSTITUTE(SUBSTITUTE(SUBSTITUTE(SUBSTITUTE(LOWER(TRIM(B167)),"~",""),"*",""),"?",""),"&lt;",""),"&gt;",""),"=","")))</f>
        <v/>
      </c>
      <c r="DS167" s="23" t="str">
        <f aca="false">IF(CM167="","",IFERROR(IF(LEFT(LOWER(TRIM(INDEX(Clay_Brands!$A$2:$FZ$601,CM167,Sync!$D$19)&amp;"")),4)="grp-",SUBSTITUTE(SUBSTITUTE(SUBSTITUTE(SUBSTITUTE(SUBSTITUTE(SUBSTITUTE(LOWER(TRIM(INDEX(Clay_Brands!$A$2:$FZ$601,CM167,Sync!$D$19)&amp;"")),"~",""),"*",""),"?",""),"&lt;",""),"&gt;",""),"=",""),""),""))</f>
        <v/>
      </c>
      <c r="DT167" s="23" t="str">
        <f aca="false">IF(DS167&lt;&gt;"",DR167,"")</f>
        <v/>
      </c>
      <c r="DU167" s="23" t="str">
        <f aca="false">IF(AZ167=1,AW167,"")</f>
        <v/>
      </c>
      <c r="DV167" s="23" t="str">
        <f aca="false">IF(TRIM($A167)="","",IFERROR(INDEX($A$2:$A$201,MATCH(AW167,$DU$2:$DU$201,0))&amp;"",$A167&amp;""))</f>
        <v/>
      </c>
      <c r="DW167" s="23" t="n">
        <f aca="false">IF(AY167=1,IF(COUNTIFS($A$2:$A$201,$A167,$AY$2:$AY$201,1,$H$2:$H$201,"&lt;"&amp;H167)+COUNTIFS($A$2:$A$201,$A167,$AY$2:$AY$201,1,$H$2:$H$201,H167,$AX$2:$AX$201,"&lt;"&amp;AX167)=0,1,0),0)</f>
        <v>0</v>
      </c>
      <c r="DX167" s="23" t="n">
        <f aca="false">IF(AZ167=1,IF(COUNTIFS($AW$2:$AW$201,AW167,$DW$2:$DW$201,1)&gt;1,1,0),0)</f>
        <v>0</v>
      </c>
    </row>
    <row r="168" customFormat="false" ht="15" hidden="false" customHeight="false" outlineLevel="0" collapsed="false">
      <c r="G168" s="32"/>
      <c r="H168" s="33"/>
      <c r="I168" s="32"/>
      <c r="O168" s="32"/>
      <c r="P168" s="32"/>
      <c r="U168" s="32"/>
      <c r="Y168" s="32"/>
      <c r="AB168" s="32"/>
      <c r="AC168" s="32"/>
      <c r="AD168" s="32"/>
      <c r="AE168" s="32"/>
      <c r="AF168" s="32"/>
      <c r="AG168" s="32"/>
      <c r="AI168" s="32"/>
      <c r="AJ168" s="32"/>
      <c r="AK168" s="32"/>
      <c r="AN168" s="32"/>
      <c r="AO168" s="32"/>
      <c r="AR168" s="32"/>
      <c r="AT168" s="32"/>
      <c r="AV168" s="34" t="str">
        <f aca="false">IF(TRIM($A168)="","",IF(AND(LEFT($A168,6)="SAMPLE",Config!$B$19&lt;&gt;"Y"),"",IF(NOT(ISNUMBER(H168)),"call_date is blank or not a date",IF(Sync!$D$5="","Clay paste is empty or has no row_id column: paste the Clay export on Clay_Brands",IF(CM168="","row_id not found in the Clay paste: add the Clay row or fix the row_id",IF(AND(ISNUMBER(CO168),CO168&gt;=1,CO168&lt;=5),"Clay status is "&amp;CN168&amp;": set call_done or later",IF(AND(BA168=1,CP168&lt;&gt;CB168),"Clay yes_in_principle should be "&amp;CB168,IF(AND(BA168=1,CQ168&lt;&gt;H168),"Clay call_date should be "&amp;TEXT(H168,"yyyy-mm-dd"),""))))))))</f>
        <v/>
      </c>
      <c r="AW168" s="23" t="str">
        <f aca="false">IF(TRIM($A168)="","",IF(TRIM(C168)&lt;&gt;"",SUBSTITUTE(SUBSTITUTE(SUBSTITUTE(SUBSTITUTE(SUBSTITUTE(SUBSTITUTE(LOWER(TRIM(C168)),"~",""),"*",""),"?",""),"&lt;",""),"&gt;",""),"=",""),IF(DS168&lt;&gt;"",DS168,IFERROR(INDEX($DS$2:$DS$201,MATCH(DR168,$DT$2:$DT$201,0)),DR168))))</f>
        <v/>
      </c>
      <c r="AX168" s="23" t="n">
        <f aca="false">ROW()</f>
        <v>168</v>
      </c>
      <c r="AY168" s="23" t="n">
        <f aca="false">IF(AND(TRIM($A168)&lt;&gt;"",ISNUMBER(H168)),IF(AND(LEFT($A168,6)="SAMPLE",Config!$B$19&lt;&gt;"Y"),0,1),0)</f>
        <v>0</v>
      </c>
      <c r="AZ168" s="23" t="n">
        <f aca="false">IF(AY168=1,IF(COUNTIFS($AW$2:$AW$201,AW168,$AY$2:$AY$201,1,$H$2:$H$201,"&lt;"&amp;H168)+COUNTIFS($AW$2:$AW$201,AW168,$AY$2:$AY$201,1,$H$2:$H$201,H168,$AX$2:$AX$201,"&lt;"&amp;AX168)=0,1,0),0)</f>
        <v>0</v>
      </c>
      <c r="BA168" s="23" t="n">
        <f aca="false">IF(AY168=1,IF(COUNTIFS($A$2:$A$201,$A168,$AY$2:$AY$201,1,$H$2:$H$201,"&gt;"&amp;H168)+COUNTIFS($A$2:$A$201,$A168,$AY$2:$AY$201,1,$H$2:$H$201,H168,$AX$2:$AX$201,"&gt;"&amp;AX168)=0,1,0),0)</f>
        <v>0</v>
      </c>
      <c r="BB168" s="23" t="n">
        <f aca="false">IF(AND(AY168=1,O168="Y",MAX(N(R168),N(V168))&gt;=Config!$B$14),1,0)</f>
        <v>0</v>
      </c>
      <c r="BC168" s="23" t="n">
        <f aca="false">IF(BB168=1,IF(COUNTIFS($AW$2:$AW$201,AW168,$BB$2:$BB$201,1,$H$2:$H$201,"&lt;"&amp;H168)+COUNTIFS($AW$2:$AW$201,AW168,$BB$2:$BB$201,1,$H$2:$H$201,H168,$AX$2:$AX$201,"&lt;"&amp;AX168)=0,1,0),0)</f>
        <v>0</v>
      </c>
      <c r="BD168" s="23" t="n">
        <f aca="false">IF(AND(AY168=1,O168="Y",ISNUMBER(R168)),IF(R168&gt;=Config!$B$14,1,0),0)</f>
        <v>0</v>
      </c>
      <c r="BE168" s="23" t="n">
        <f aca="false">IF(BD168=1,IF(COUNTIFS($AW$2:$AW$201,AW168,$BD$2:$BD$201,1,$H$2:$H$201,"&lt;"&amp;H168)+COUNTIFS($AW$2:$AW$201,AW168,$BD$2:$BD$201,1,$H$2:$H$201,H168,$AX$2:$AX$201,"&lt;"&amp;AX168)=0,1,0),0)</f>
        <v>0</v>
      </c>
      <c r="BF168" s="23" t="n">
        <f aca="false">IF(AND(AY168=1,O168&lt;&gt;"Y",MAX(N(R168),N(V168))&gt;=Config!$B$14),1,0)</f>
        <v>0</v>
      </c>
      <c r="BG168" s="23" t="n">
        <f aca="false">IF(BF168=1,IF(COUNTIFS($AW$2:$AW$201,AW168,$BF$2:$BF$201,1,$H$2:$H$201,"&lt;"&amp;H168)+COUNTIFS($AW$2:$AW$201,AW168,$BF$2:$BF$201,1,$H$2:$H$201,H168,$AX$2:$AX$201,"&lt;"&amp;AX168)=0,1,0),0)</f>
        <v>0</v>
      </c>
      <c r="BH168" s="23" t="n">
        <f aca="false">IF(AND(AY168=1,ISNUMBER(R168)),1,0)</f>
        <v>0</v>
      </c>
      <c r="BI168" s="23" t="n">
        <f aca="false">IF(BH168=1,IF(COUNTIFS($AW$2:$AW$201,AW168,$BH$2:$BH$201,1,$H$2:$H$201,"&lt;"&amp;H168)+COUNTIFS($AW$2:$AW$201,AW168,$BH$2:$BH$201,1,$H$2:$H$201,H168,$AX$2:$AX$201,"&lt;"&amp;AX168)=0,1,0),0)</f>
        <v>0</v>
      </c>
      <c r="BJ168" s="23" t="str">
        <f aca="false">IF(AND(BI168=1,INT(N(H168))&lt;=Config!$B$6),R168,"")</f>
        <v/>
      </c>
      <c r="BK168" s="23" t="str">
        <f aca="false">IF(AND(BI168=1,INT(N(H168))&lt;=Config!$B$7),R168,"")</f>
        <v/>
      </c>
      <c r="BL168" s="23" t="str">
        <f aca="false">IF(AND(BI168=1,INT(N(H168))&lt;=Config!$B$8),R168,"")</f>
        <v/>
      </c>
      <c r="BM168" s="23" t="str">
        <f aca="false">IF(AND(BI168=1,INT(N(H168))&lt;=Config!$B$5),R168,"")</f>
        <v/>
      </c>
      <c r="BN168" s="23" t="n">
        <f aca="false">IF(AND(AY168=1,ISNUMBER(V168)),1,0)</f>
        <v>0</v>
      </c>
      <c r="BO168" s="23" t="n">
        <f aca="false">IF(BN168=1,IF(COUNTIFS($AW$2:$AW$201,AW168,$BN$2:$BN$201,1,$H$2:$H$201,"&lt;"&amp;H168)+COUNTIFS($AW$2:$AW$201,AW168,$BN$2:$BN$201,1,$H$2:$H$201,H168,$AX$2:$AX$201,"&lt;"&amp;AX168)=0,1,0),0)</f>
        <v>0</v>
      </c>
      <c r="BP168" s="23" t="str">
        <f aca="false">IF(AND(BO168=1,INT(N(H168))&lt;=Config!$B$6),V168,"")</f>
        <v/>
      </c>
      <c r="BQ168" s="23" t="str">
        <f aca="false">IF(AND(BO168=1,INT(N(H168))&lt;=Config!$B$7),V168,"")</f>
        <v/>
      </c>
      <c r="BR168" s="23" t="str">
        <f aca="false">IF(AND(BO168=1,INT(N(H168))&lt;=Config!$B$8),V168,"")</f>
        <v/>
      </c>
      <c r="BS168" s="23" t="str">
        <f aca="false">IF(AND(BO168=1,INT(N(H168))&lt;=Config!$B$5),V168,"")</f>
        <v/>
      </c>
      <c r="BT168" s="23" t="n">
        <f aca="false">IF(AND(AY168=1,ISNUMBER(K168)),1,0)</f>
        <v>0</v>
      </c>
      <c r="BU168" s="23" t="n">
        <f aca="false">IF(BT168=1,IF(COUNTIFS($AW$2:$AW$201,AW168,$BT$2:$BT$201,1,$H$2:$H$201,"&lt;"&amp;H168)+COUNTIFS($AW$2:$AW$201,AW168,$BT$2:$BT$201,1,$H$2:$H$201,H168,$AX$2:$AX$201,"&lt;"&amp;AX168)=0,1,0),0)</f>
        <v>0</v>
      </c>
      <c r="BV168" s="23" t="str">
        <f aca="false">IF(AND(BU168=1,INT(N(H168))&lt;=Config!$B$5),K168,"")</f>
        <v/>
      </c>
      <c r="BW168" s="23" t="n">
        <f aca="false">IF(AND(AY168=1,OR(AND(ISNUMBER(R168),TRIM(S168)=""),AND(ISNUMBER(V168),TRIM(W168)=""))),1,0)</f>
        <v>0</v>
      </c>
      <c r="BX168" s="23" t="str">
        <f aca="false">IF(AY168=1,AJ168&amp;"","")</f>
        <v/>
      </c>
      <c r="BY168" s="23" t="str">
        <f aca="false">IF(AY168=1,AK168&amp;"","")</f>
        <v/>
      </c>
      <c r="BZ168" s="23" t="str">
        <f aca="false">IF(AY168=1,AL168&amp;"","")</f>
        <v/>
      </c>
      <c r="CA168" s="23" t="str">
        <f aca="false">IF(AND(AY168=1,ISNUMBER(AS168),INT(N(H168))&lt;=Config!$B$5),AS168,"")</f>
        <v/>
      </c>
      <c r="CB168" s="23" t="str">
        <f aca="false">IF(AY168=1,IF(COUNTIFS($A$2:$A$201,$A168,$CU$2:$CU$201,1,$AN$2:$AN$201,"Y")&gt;0,"Y","N"),"")</f>
        <v/>
      </c>
      <c r="CC168" s="23" t="n">
        <f aca="false">IF(AND(AY168=1,AN168="Y"),IF(COUNTIFS($AW$2:$AW$201,AW168,$AN$2:$AN$201,"Y",$AY$2:$AY$201,1,$H$2:$H$201,"&lt;"&amp;H168)+COUNTIFS($AW$2:$AW$201,AW168,$AN$2:$AN$201,"Y",$AY$2:$AY$201,1,$H$2:$H$201,H168,$AX$2:$AX$201,"&lt;"&amp;AX168)=0,1,0),0)</f>
        <v>0</v>
      </c>
      <c r="CD168" s="23" t="n">
        <f aca="false">IF(AND(AY168=1,AB168="Y",AC168="Y",AD168="Y",AE168="Y",AF168="Y",AG168="Y",AI168="Y",TRIM(AH168)&lt;&gt;""),1,0)</f>
        <v>0</v>
      </c>
      <c r="CE168" s="23" t="n">
        <f aca="false">IF(CD168=1,IF(COUNTIFS($AW$2:$AW$201,AW168,$CD$2:$CD$201,1,$H$2:$H$201,"&lt;"&amp;H168)+COUNTIFS($AW$2:$AW$201,AW168,$CD$2:$CD$201,1,$H$2:$H$201,H168,$AX$2:$AX$201,"&lt;"&amp;AX168)=0,1,0),0)</f>
        <v>0</v>
      </c>
      <c r="CF168" s="23" t="n">
        <f aca="false">IF(AND(AY168=1,AO168="Y"),1,0)</f>
        <v>0</v>
      </c>
      <c r="CG168" s="23" t="n">
        <f aca="false">IF(CF168=1,IF(COUNTIFS($AW$2:$AW$201,AW168,$CF$2:$CF$201,1,$H$2:$H$201,"&lt;"&amp;H168)+COUNTIFS($AW$2:$AW$201,AW168,$CF$2:$CF$201,1,$H$2:$H$201,H168,$AX$2:$AX$201,"&lt;"&amp;AX168)=0,1,0),0)</f>
        <v>0</v>
      </c>
      <c r="CH168" s="23" t="n">
        <f aca="false">IF(AND(AY168=1,P168="Y"),1,0)</f>
        <v>0</v>
      </c>
      <c r="CI168" s="23" t="n">
        <f aca="false">IF(CH168=1,IF(COUNTIFS($AW$2:$AW$201,AW168,$CH$2:$CH$201,1,$H$2:$H$201,"&lt;"&amp;H168)+COUNTIFS($AW$2:$AW$201,AW168,$CH$2:$CH$201,1,$H$2:$H$201,H168,$AX$2:$AX$201,"&lt;"&amp;AX168)=0,1,0),0)</f>
        <v>0</v>
      </c>
      <c r="CJ168" s="23" t="str">
        <f aca="false">IF(AND(BU168=1,INT(N(H168))&lt;=Config!$B$5),L168,"")</f>
        <v/>
      </c>
      <c r="CK168" s="23" t="n">
        <f aca="false">IF(AND(AY168=1,AR168="Y"),1,0)</f>
        <v>0</v>
      </c>
      <c r="CL168" s="23" t="n">
        <f aca="false">IF(CK168=1,IF(COUNTIFS($AW$2:$AW$201,AW168,$CK$2:$CK$201,1,$H$2:$H$201,"&lt;"&amp;H168)+COUNTIFS($AW$2:$AW$201,AW168,$CK$2:$CK$201,1,$H$2:$H$201,H168,$AX$2:$AX$201,"&lt;"&amp;AX168)=0,1,0),0)</f>
        <v>0</v>
      </c>
      <c r="CM168" s="23" t="str">
        <f aca="false">IF(AY168=1,IFERROR(MATCH($A168,INDEX(Clay_Brands!$A$2:$FZ$601,0,Sync!$D$5),0),""),"")</f>
        <v/>
      </c>
      <c r="CN168" s="23" t="str">
        <f aca="false">IF(CM168="","",IFERROR(INDEX(Clay_Brands!$A$2:$FZ$601,CM168,Sync!$D$7)&amp;"",""))</f>
        <v/>
      </c>
      <c r="CO168" s="23" t="str">
        <f aca="false">IF(CN168="","",IFERROR(INDEX(Lists!$K$2:$K$15,MATCH(CN168,Lists!$J$2:$J$15,0)),""))</f>
        <v/>
      </c>
      <c r="CP168" s="23" t="str">
        <f aca="false">IF(CM168="","",IFERROR(INDEX(Clay_Brands!$A$2:$FZ$601,CM168,Sync!$D$17)&amp;"",""))</f>
        <v/>
      </c>
      <c r="CQ168" s="35" t="str">
        <f aca="false">IF(CM168="","",IFERROR(N(INDEX(Clay_Brands!$A$2:$FZ$601,CM168,Sync!$D$16)),0))</f>
        <v/>
      </c>
      <c r="CR168" s="23" t="n">
        <f aca="false">IF(AND(AY168=1,OR(O168="N",AND(OR(ISNUMBER(R168),ISNUMBER(V168)),MAX(N(R168),N(V168))&lt;Config!$B$14))),1,0)</f>
        <v>0</v>
      </c>
      <c r="CS168" s="23" t="n">
        <f aca="false">IF(OR(BB168=1,CR168=1),1,0)</f>
        <v>0</v>
      </c>
      <c r="CT168" s="23" t="n">
        <f aca="false">IF(AND(AY168=1,OR(AN168="Y",AN168="N",AN168="maybe")),1,0)</f>
        <v>0</v>
      </c>
      <c r="CU168" s="23" t="n">
        <f aca="false">IF(AND(CT168=1),IF(COUNTIFS($A$2:$A$201,$A168,$CT$2:$CT$201,1,$H$2:$H$201,"&gt;"&amp;H168)+COUNTIFS($A$2:$A$201,$A168,$CT$2:$CT$201,1,$H$2:$H$201,H168,$AX$2:$AX$201,"&gt;"&amp;AX168)=0,1,0),0)</f>
        <v>0</v>
      </c>
      <c r="CV168" s="23" t="n">
        <f aca="false">IF(AND(CS168=1,INT(N(H168))&lt;=Config!$B$6),IF(COUNTIFS($AW$2:$AW$201,AW168,$CS$2:$CS$201,1,$H$2:$H$201,"&gt;"&amp;H168,$H$2:$H$201,"&lt;"&amp;(Config!$B$6+1))+COUNTIFS($AW$2:$AW$201,AW168,$CS$2:$CS$201,1,$H$2:$H$201,H168,$AX$2:$AX$201,"&gt;"&amp;AX168)=0,1,0),0)</f>
        <v>0</v>
      </c>
      <c r="CW168" s="23" t="n">
        <f aca="false">IF(AND(CS168=1,INT(N(H168))&lt;=Config!$B$7),IF(COUNTIFS($AW$2:$AW$201,AW168,$CS$2:$CS$201,1,$H$2:$H$201,"&gt;"&amp;H168,$H$2:$H$201,"&lt;"&amp;(Config!$B$7+1))+COUNTIFS($AW$2:$AW$201,AW168,$CS$2:$CS$201,1,$H$2:$H$201,H168,$AX$2:$AX$201,"&gt;"&amp;AX168)=0,1,0),0)</f>
        <v>0</v>
      </c>
      <c r="CX168" s="23" t="n">
        <f aca="false">IF(AND(CS168=1,INT(N(H168))&lt;=Config!$B$8),IF(COUNTIFS($AW$2:$AW$201,AW168,$CS$2:$CS$201,1,$H$2:$H$201,"&gt;"&amp;H168,$H$2:$H$201,"&lt;"&amp;(Config!$B$8+1))+COUNTIFS($AW$2:$AW$201,AW168,$CS$2:$CS$201,1,$H$2:$H$201,H168,$AX$2:$AX$201,"&gt;"&amp;AX168)=0,1,0),0)</f>
        <v>0</v>
      </c>
      <c r="CY168" s="23" t="n">
        <f aca="false">IF(AND(CS168=1,INT(N(H168))&lt;=Config!$B$5),IF(COUNTIFS($AW$2:$AW$201,AW168,$CS$2:$CS$201,1,$H$2:$H$201,"&gt;"&amp;H168,$H$2:$H$201,"&lt;"&amp;(Config!$B$5+1))+COUNTIFS($AW$2:$AW$201,AW168,$CS$2:$CS$201,1,$H$2:$H$201,H168,$AX$2:$AX$201,"&gt;"&amp;AX168)=0,1,0),0)</f>
        <v>0</v>
      </c>
      <c r="CZ168" s="23" t="n">
        <f aca="false">IF(AY168=1,IF(COUNTIFS($AW$2:$AW$201,AW168,$CV$2:$CV$201,1,$BB$2:$BB$201,1)&gt;0,1,0),0)</f>
        <v>0</v>
      </c>
      <c r="DA168" s="23" t="n">
        <f aca="false">IF(AY168=1,IF(COUNTIFS($AW$2:$AW$201,AW168,$CW$2:$CW$201,1,$BB$2:$BB$201,1)&gt;0,1,0),0)</f>
        <v>0</v>
      </c>
      <c r="DB168" s="23" t="n">
        <f aca="false">IF(AY168=1,IF(COUNTIFS($AW$2:$AW$201,AW168,$CX$2:$CX$201,1,$BB$2:$BB$201,1)&gt;0,1,0),0)</f>
        <v>0</v>
      </c>
      <c r="DC168" s="23" t="n">
        <f aca="false">IF(AY168=1,IF(COUNTIFS($AW$2:$AW$201,AW168,$CY$2:$CY$201,1,$BB$2:$BB$201,1)&gt;0,1,0),0)</f>
        <v>0</v>
      </c>
      <c r="DD168" s="23" t="n">
        <f aca="false">IF(AND(BC168=1,INT(N(H168))&lt;=Config!$B$6,CZ168=1),1,0)</f>
        <v>0</v>
      </c>
      <c r="DE168" s="23" t="n">
        <f aca="false">IF(AND(BC168=1,INT(N(H168))&lt;=Config!$B$7,DA168=1),1,0)</f>
        <v>0</v>
      </c>
      <c r="DF168" s="23" t="n">
        <f aca="false">IF(AND(BC168=1,INT(N(H168))&lt;=Config!$B$8,DB168=1),1,0)</f>
        <v>0</v>
      </c>
      <c r="DG168" s="23" t="n">
        <f aca="false">IF(AND(BC168=1,INT(N(H168))&lt;=Config!$B$5,DC168=1),1,0)</f>
        <v>0</v>
      </c>
      <c r="DH168" s="23" t="n">
        <f aca="false">IF(AND(BE168=1,INT(N(H168))&lt;=Config!$B$6,CZ168=1),1,0)</f>
        <v>0</v>
      </c>
      <c r="DI168" s="23" t="n">
        <f aca="false">IF(AND(BE168=1,INT(N(H168))&lt;=Config!$B$7,DA168=1),1,0)</f>
        <v>0</v>
      </c>
      <c r="DJ168" s="23" t="n">
        <f aca="false">IF(AND(BE168=1,INT(N(H168))&lt;=Config!$B$8,DB168=1),1,0)</f>
        <v>0</v>
      </c>
      <c r="DK168" s="23" t="n">
        <f aca="false">IF(AND(BE168=1,INT(N(H168))&lt;=Config!$B$5,DC168=1),1,0)</f>
        <v>0</v>
      </c>
      <c r="DL168" s="23" t="n">
        <f aca="false">IF(AND(BC168=1,INT(N(H168))&lt;=Config!$B$6,CZ168=0),1,0)</f>
        <v>0</v>
      </c>
      <c r="DM168" s="23" t="n">
        <f aca="false">IF(AND(BC168=1,INT(N(H168))&lt;=Config!$B$7,DA168=0),1,0)</f>
        <v>0</v>
      </c>
      <c r="DN168" s="23" t="n">
        <f aca="false">IF(AND(BC168=1,INT(N(H168))&lt;=Config!$B$8,DB168=0),1,0)</f>
        <v>0</v>
      </c>
      <c r="DO168" s="23" t="n">
        <f aca="false">IF(AND(BC168=1,INT(N(H168))&lt;=Config!$B$5,DC168=0),1,0)</f>
        <v>0</v>
      </c>
      <c r="DP168" s="23" t="n">
        <f aca="false">IF(TRIM($A168)="",0,ISTEXT(K168)+ISTEXT(L168)+ISTEXT(R168)+ISTEXT(V168)+ISTEXT(AP168)+ISTEXT(AS168))</f>
        <v>0</v>
      </c>
      <c r="DQ168" s="23" t="n">
        <f aca="false">IF(AY168=1,IF(H168&lt;&gt;INT(H168),1,0),0)</f>
        <v>0</v>
      </c>
      <c r="DR168" s="23" t="str">
        <f aca="false">IF(TRIM($A168)="","",IF(TRIM(B168)="",SUBSTITUTE(SUBSTITUTE(SUBSTITUTE(SUBSTITUTE(SUBSTITUTE(SUBSTITUTE(LOWER(TRIM($A168)),"~",""),"*",""),"?",""),"&lt;",""),"&gt;",""),"=",""),SUBSTITUTE(SUBSTITUTE(SUBSTITUTE(SUBSTITUTE(SUBSTITUTE(SUBSTITUTE(LOWER(TRIM(B168)),"~",""),"*",""),"?",""),"&lt;",""),"&gt;",""),"=","")))</f>
        <v/>
      </c>
      <c r="DS168" s="23" t="str">
        <f aca="false">IF(CM168="","",IFERROR(IF(LEFT(LOWER(TRIM(INDEX(Clay_Brands!$A$2:$FZ$601,CM168,Sync!$D$19)&amp;"")),4)="grp-",SUBSTITUTE(SUBSTITUTE(SUBSTITUTE(SUBSTITUTE(SUBSTITUTE(SUBSTITUTE(LOWER(TRIM(INDEX(Clay_Brands!$A$2:$FZ$601,CM168,Sync!$D$19)&amp;"")),"~",""),"*",""),"?",""),"&lt;",""),"&gt;",""),"=",""),""),""))</f>
        <v/>
      </c>
      <c r="DT168" s="23" t="str">
        <f aca="false">IF(DS168&lt;&gt;"",DR168,"")</f>
        <v/>
      </c>
      <c r="DU168" s="23" t="str">
        <f aca="false">IF(AZ168=1,AW168,"")</f>
        <v/>
      </c>
      <c r="DV168" s="23" t="str">
        <f aca="false">IF(TRIM($A168)="","",IFERROR(INDEX($A$2:$A$201,MATCH(AW168,$DU$2:$DU$201,0))&amp;"",$A168&amp;""))</f>
        <v/>
      </c>
      <c r="DW168" s="23" t="n">
        <f aca="false">IF(AY168=1,IF(COUNTIFS($A$2:$A$201,$A168,$AY$2:$AY$201,1,$H$2:$H$201,"&lt;"&amp;H168)+COUNTIFS($A$2:$A$201,$A168,$AY$2:$AY$201,1,$H$2:$H$201,H168,$AX$2:$AX$201,"&lt;"&amp;AX168)=0,1,0),0)</f>
        <v>0</v>
      </c>
      <c r="DX168" s="23" t="n">
        <f aca="false">IF(AZ168=1,IF(COUNTIFS($AW$2:$AW$201,AW168,$DW$2:$DW$201,1)&gt;1,1,0),0)</f>
        <v>0</v>
      </c>
    </row>
    <row r="169" customFormat="false" ht="15" hidden="false" customHeight="false" outlineLevel="0" collapsed="false">
      <c r="G169" s="32"/>
      <c r="H169" s="33"/>
      <c r="I169" s="32"/>
      <c r="O169" s="32"/>
      <c r="P169" s="32"/>
      <c r="U169" s="32"/>
      <c r="Y169" s="32"/>
      <c r="AB169" s="32"/>
      <c r="AC169" s="32"/>
      <c r="AD169" s="32"/>
      <c r="AE169" s="32"/>
      <c r="AF169" s="32"/>
      <c r="AG169" s="32"/>
      <c r="AI169" s="32"/>
      <c r="AJ169" s="32"/>
      <c r="AK169" s="32"/>
      <c r="AN169" s="32"/>
      <c r="AO169" s="32"/>
      <c r="AR169" s="32"/>
      <c r="AT169" s="32"/>
      <c r="AV169" s="34" t="str">
        <f aca="false">IF(TRIM($A169)="","",IF(AND(LEFT($A169,6)="SAMPLE",Config!$B$19&lt;&gt;"Y"),"",IF(NOT(ISNUMBER(H169)),"call_date is blank or not a date",IF(Sync!$D$5="","Clay paste is empty or has no row_id column: paste the Clay export on Clay_Brands",IF(CM169="","row_id not found in the Clay paste: add the Clay row or fix the row_id",IF(AND(ISNUMBER(CO169),CO169&gt;=1,CO169&lt;=5),"Clay status is "&amp;CN169&amp;": set call_done or later",IF(AND(BA169=1,CP169&lt;&gt;CB169),"Clay yes_in_principle should be "&amp;CB169,IF(AND(BA169=1,CQ169&lt;&gt;H169),"Clay call_date should be "&amp;TEXT(H169,"yyyy-mm-dd"),""))))))))</f>
        <v/>
      </c>
      <c r="AW169" s="23" t="str">
        <f aca="false">IF(TRIM($A169)="","",IF(TRIM(C169)&lt;&gt;"",SUBSTITUTE(SUBSTITUTE(SUBSTITUTE(SUBSTITUTE(SUBSTITUTE(SUBSTITUTE(LOWER(TRIM(C169)),"~",""),"*",""),"?",""),"&lt;",""),"&gt;",""),"=",""),IF(DS169&lt;&gt;"",DS169,IFERROR(INDEX($DS$2:$DS$201,MATCH(DR169,$DT$2:$DT$201,0)),DR169))))</f>
        <v/>
      </c>
      <c r="AX169" s="23" t="n">
        <f aca="false">ROW()</f>
        <v>169</v>
      </c>
      <c r="AY169" s="23" t="n">
        <f aca="false">IF(AND(TRIM($A169)&lt;&gt;"",ISNUMBER(H169)),IF(AND(LEFT($A169,6)="SAMPLE",Config!$B$19&lt;&gt;"Y"),0,1),0)</f>
        <v>0</v>
      </c>
      <c r="AZ169" s="23" t="n">
        <f aca="false">IF(AY169=1,IF(COUNTIFS($AW$2:$AW$201,AW169,$AY$2:$AY$201,1,$H$2:$H$201,"&lt;"&amp;H169)+COUNTIFS($AW$2:$AW$201,AW169,$AY$2:$AY$201,1,$H$2:$H$201,H169,$AX$2:$AX$201,"&lt;"&amp;AX169)=0,1,0),0)</f>
        <v>0</v>
      </c>
      <c r="BA169" s="23" t="n">
        <f aca="false">IF(AY169=1,IF(COUNTIFS($A$2:$A$201,$A169,$AY$2:$AY$201,1,$H$2:$H$201,"&gt;"&amp;H169)+COUNTIFS($A$2:$A$201,$A169,$AY$2:$AY$201,1,$H$2:$H$201,H169,$AX$2:$AX$201,"&gt;"&amp;AX169)=0,1,0),0)</f>
        <v>0</v>
      </c>
      <c r="BB169" s="23" t="n">
        <f aca="false">IF(AND(AY169=1,O169="Y",MAX(N(R169),N(V169))&gt;=Config!$B$14),1,0)</f>
        <v>0</v>
      </c>
      <c r="BC169" s="23" t="n">
        <f aca="false">IF(BB169=1,IF(COUNTIFS($AW$2:$AW$201,AW169,$BB$2:$BB$201,1,$H$2:$H$201,"&lt;"&amp;H169)+COUNTIFS($AW$2:$AW$201,AW169,$BB$2:$BB$201,1,$H$2:$H$201,H169,$AX$2:$AX$201,"&lt;"&amp;AX169)=0,1,0),0)</f>
        <v>0</v>
      </c>
      <c r="BD169" s="23" t="n">
        <f aca="false">IF(AND(AY169=1,O169="Y",ISNUMBER(R169)),IF(R169&gt;=Config!$B$14,1,0),0)</f>
        <v>0</v>
      </c>
      <c r="BE169" s="23" t="n">
        <f aca="false">IF(BD169=1,IF(COUNTIFS($AW$2:$AW$201,AW169,$BD$2:$BD$201,1,$H$2:$H$201,"&lt;"&amp;H169)+COUNTIFS($AW$2:$AW$201,AW169,$BD$2:$BD$201,1,$H$2:$H$201,H169,$AX$2:$AX$201,"&lt;"&amp;AX169)=0,1,0),0)</f>
        <v>0</v>
      </c>
      <c r="BF169" s="23" t="n">
        <f aca="false">IF(AND(AY169=1,O169&lt;&gt;"Y",MAX(N(R169),N(V169))&gt;=Config!$B$14),1,0)</f>
        <v>0</v>
      </c>
      <c r="BG169" s="23" t="n">
        <f aca="false">IF(BF169=1,IF(COUNTIFS($AW$2:$AW$201,AW169,$BF$2:$BF$201,1,$H$2:$H$201,"&lt;"&amp;H169)+COUNTIFS($AW$2:$AW$201,AW169,$BF$2:$BF$201,1,$H$2:$H$201,H169,$AX$2:$AX$201,"&lt;"&amp;AX169)=0,1,0),0)</f>
        <v>0</v>
      </c>
      <c r="BH169" s="23" t="n">
        <f aca="false">IF(AND(AY169=1,ISNUMBER(R169)),1,0)</f>
        <v>0</v>
      </c>
      <c r="BI169" s="23" t="n">
        <f aca="false">IF(BH169=1,IF(COUNTIFS($AW$2:$AW$201,AW169,$BH$2:$BH$201,1,$H$2:$H$201,"&lt;"&amp;H169)+COUNTIFS($AW$2:$AW$201,AW169,$BH$2:$BH$201,1,$H$2:$H$201,H169,$AX$2:$AX$201,"&lt;"&amp;AX169)=0,1,0),0)</f>
        <v>0</v>
      </c>
      <c r="BJ169" s="23" t="str">
        <f aca="false">IF(AND(BI169=1,INT(N(H169))&lt;=Config!$B$6),R169,"")</f>
        <v/>
      </c>
      <c r="BK169" s="23" t="str">
        <f aca="false">IF(AND(BI169=1,INT(N(H169))&lt;=Config!$B$7),R169,"")</f>
        <v/>
      </c>
      <c r="BL169" s="23" t="str">
        <f aca="false">IF(AND(BI169=1,INT(N(H169))&lt;=Config!$B$8),R169,"")</f>
        <v/>
      </c>
      <c r="BM169" s="23" t="str">
        <f aca="false">IF(AND(BI169=1,INT(N(H169))&lt;=Config!$B$5),R169,"")</f>
        <v/>
      </c>
      <c r="BN169" s="23" t="n">
        <f aca="false">IF(AND(AY169=1,ISNUMBER(V169)),1,0)</f>
        <v>0</v>
      </c>
      <c r="BO169" s="23" t="n">
        <f aca="false">IF(BN169=1,IF(COUNTIFS($AW$2:$AW$201,AW169,$BN$2:$BN$201,1,$H$2:$H$201,"&lt;"&amp;H169)+COUNTIFS($AW$2:$AW$201,AW169,$BN$2:$BN$201,1,$H$2:$H$201,H169,$AX$2:$AX$201,"&lt;"&amp;AX169)=0,1,0),0)</f>
        <v>0</v>
      </c>
      <c r="BP169" s="23" t="str">
        <f aca="false">IF(AND(BO169=1,INT(N(H169))&lt;=Config!$B$6),V169,"")</f>
        <v/>
      </c>
      <c r="BQ169" s="23" t="str">
        <f aca="false">IF(AND(BO169=1,INT(N(H169))&lt;=Config!$B$7),V169,"")</f>
        <v/>
      </c>
      <c r="BR169" s="23" t="str">
        <f aca="false">IF(AND(BO169=1,INT(N(H169))&lt;=Config!$B$8),V169,"")</f>
        <v/>
      </c>
      <c r="BS169" s="23" t="str">
        <f aca="false">IF(AND(BO169=1,INT(N(H169))&lt;=Config!$B$5),V169,"")</f>
        <v/>
      </c>
      <c r="BT169" s="23" t="n">
        <f aca="false">IF(AND(AY169=1,ISNUMBER(K169)),1,0)</f>
        <v>0</v>
      </c>
      <c r="BU169" s="23" t="n">
        <f aca="false">IF(BT169=1,IF(COUNTIFS($AW$2:$AW$201,AW169,$BT$2:$BT$201,1,$H$2:$H$201,"&lt;"&amp;H169)+COUNTIFS($AW$2:$AW$201,AW169,$BT$2:$BT$201,1,$H$2:$H$201,H169,$AX$2:$AX$201,"&lt;"&amp;AX169)=0,1,0),0)</f>
        <v>0</v>
      </c>
      <c r="BV169" s="23" t="str">
        <f aca="false">IF(AND(BU169=1,INT(N(H169))&lt;=Config!$B$5),K169,"")</f>
        <v/>
      </c>
      <c r="BW169" s="23" t="n">
        <f aca="false">IF(AND(AY169=1,OR(AND(ISNUMBER(R169),TRIM(S169)=""),AND(ISNUMBER(V169),TRIM(W169)=""))),1,0)</f>
        <v>0</v>
      </c>
      <c r="BX169" s="23" t="str">
        <f aca="false">IF(AY169=1,AJ169&amp;"","")</f>
        <v/>
      </c>
      <c r="BY169" s="23" t="str">
        <f aca="false">IF(AY169=1,AK169&amp;"","")</f>
        <v/>
      </c>
      <c r="BZ169" s="23" t="str">
        <f aca="false">IF(AY169=1,AL169&amp;"","")</f>
        <v/>
      </c>
      <c r="CA169" s="23" t="str">
        <f aca="false">IF(AND(AY169=1,ISNUMBER(AS169),INT(N(H169))&lt;=Config!$B$5),AS169,"")</f>
        <v/>
      </c>
      <c r="CB169" s="23" t="str">
        <f aca="false">IF(AY169=1,IF(COUNTIFS($A$2:$A$201,$A169,$CU$2:$CU$201,1,$AN$2:$AN$201,"Y")&gt;0,"Y","N"),"")</f>
        <v/>
      </c>
      <c r="CC169" s="23" t="n">
        <f aca="false">IF(AND(AY169=1,AN169="Y"),IF(COUNTIFS($AW$2:$AW$201,AW169,$AN$2:$AN$201,"Y",$AY$2:$AY$201,1,$H$2:$H$201,"&lt;"&amp;H169)+COUNTIFS($AW$2:$AW$201,AW169,$AN$2:$AN$201,"Y",$AY$2:$AY$201,1,$H$2:$H$201,H169,$AX$2:$AX$201,"&lt;"&amp;AX169)=0,1,0),0)</f>
        <v>0</v>
      </c>
      <c r="CD169" s="23" t="n">
        <f aca="false">IF(AND(AY169=1,AB169="Y",AC169="Y",AD169="Y",AE169="Y",AF169="Y",AG169="Y",AI169="Y",TRIM(AH169)&lt;&gt;""),1,0)</f>
        <v>0</v>
      </c>
      <c r="CE169" s="23" t="n">
        <f aca="false">IF(CD169=1,IF(COUNTIFS($AW$2:$AW$201,AW169,$CD$2:$CD$201,1,$H$2:$H$201,"&lt;"&amp;H169)+COUNTIFS($AW$2:$AW$201,AW169,$CD$2:$CD$201,1,$H$2:$H$201,H169,$AX$2:$AX$201,"&lt;"&amp;AX169)=0,1,0),0)</f>
        <v>0</v>
      </c>
      <c r="CF169" s="23" t="n">
        <f aca="false">IF(AND(AY169=1,AO169="Y"),1,0)</f>
        <v>0</v>
      </c>
      <c r="CG169" s="23" t="n">
        <f aca="false">IF(CF169=1,IF(COUNTIFS($AW$2:$AW$201,AW169,$CF$2:$CF$201,1,$H$2:$H$201,"&lt;"&amp;H169)+COUNTIFS($AW$2:$AW$201,AW169,$CF$2:$CF$201,1,$H$2:$H$201,H169,$AX$2:$AX$201,"&lt;"&amp;AX169)=0,1,0),0)</f>
        <v>0</v>
      </c>
      <c r="CH169" s="23" t="n">
        <f aca="false">IF(AND(AY169=1,P169="Y"),1,0)</f>
        <v>0</v>
      </c>
      <c r="CI169" s="23" t="n">
        <f aca="false">IF(CH169=1,IF(COUNTIFS($AW$2:$AW$201,AW169,$CH$2:$CH$201,1,$H$2:$H$201,"&lt;"&amp;H169)+COUNTIFS($AW$2:$AW$201,AW169,$CH$2:$CH$201,1,$H$2:$H$201,H169,$AX$2:$AX$201,"&lt;"&amp;AX169)=0,1,0),0)</f>
        <v>0</v>
      </c>
      <c r="CJ169" s="23" t="str">
        <f aca="false">IF(AND(BU169=1,INT(N(H169))&lt;=Config!$B$5),L169,"")</f>
        <v/>
      </c>
      <c r="CK169" s="23" t="n">
        <f aca="false">IF(AND(AY169=1,AR169="Y"),1,0)</f>
        <v>0</v>
      </c>
      <c r="CL169" s="23" t="n">
        <f aca="false">IF(CK169=1,IF(COUNTIFS($AW$2:$AW$201,AW169,$CK$2:$CK$201,1,$H$2:$H$201,"&lt;"&amp;H169)+COUNTIFS($AW$2:$AW$201,AW169,$CK$2:$CK$201,1,$H$2:$H$201,H169,$AX$2:$AX$201,"&lt;"&amp;AX169)=0,1,0),0)</f>
        <v>0</v>
      </c>
      <c r="CM169" s="23" t="str">
        <f aca="false">IF(AY169=1,IFERROR(MATCH($A169,INDEX(Clay_Brands!$A$2:$FZ$601,0,Sync!$D$5),0),""),"")</f>
        <v/>
      </c>
      <c r="CN169" s="23" t="str">
        <f aca="false">IF(CM169="","",IFERROR(INDEX(Clay_Brands!$A$2:$FZ$601,CM169,Sync!$D$7)&amp;"",""))</f>
        <v/>
      </c>
      <c r="CO169" s="23" t="str">
        <f aca="false">IF(CN169="","",IFERROR(INDEX(Lists!$K$2:$K$15,MATCH(CN169,Lists!$J$2:$J$15,0)),""))</f>
        <v/>
      </c>
      <c r="CP169" s="23" t="str">
        <f aca="false">IF(CM169="","",IFERROR(INDEX(Clay_Brands!$A$2:$FZ$601,CM169,Sync!$D$17)&amp;"",""))</f>
        <v/>
      </c>
      <c r="CQ169" s="35" t="str">
        <f aca="false">IF(CM169="","",IFERROR(N(INDEX(Clay_Brands!$A$2:$FZ$601,CM169,Sync!$D$16)),0))</f>
        <v/>
      </c>
      <c r="CR169" s="23" t="n">
        <f aca="false">IF(AND(AY169=1,OR(O169="N",AND(OR(ISNUMBER(R169),ISNUMBER(V169)),MAX(N(R169),N(V169))&lt;Config!$B$14))),1,0)</f>
        <v>0</v>
      </c>
      <c r="CS169" s="23" t="n">
        <f aca="false">IF(OR(BB169=1,CR169=1),1,0)</f>
        <v>0</v>
      </c>
      <c r="CT169" s="23" t="n">
        <f aca="false">IF(AND(AY169=1,OR(AN169="Y",AN169="N",AN169="maybe")),1,0)</f>
        <v>0</v>
      </c>
      <c r="CU169" s="23" t="n">
        <f aca="false">IF(AND(CT169=1),IF(COUNTIFS($A$2:$A$201,$A169,$CT$2:$CT$201,1,$H$2:$H$201,"&gt;"&amp;H169)+COUNTIFS($A$2:$A$201,$A169,$CT$2:$CT$201,1,$H$2:$H$201,H169,$AX$2:$AX$201,"&gt;"&amp;AX169)=0,1,0),0)</f>
        <v>0</v>
      </c>
      <c r="CV169" s="23" t="n">
        <f aca="false">IF(AND(CS169=1,INT(N(H169))&lt;=Config!$B$6),IF(COUNTIFS($AW$2:$AW$201,AW169,$CS$2:$CS$201,1,$H$2:$H$201,"&gt;"&amp;H169,$H$2:$H$201,"&lt;"&amp;(Config!$B$6+1))+COUNTIFS($AW$2:$AW$201,AW169,$CS$2:$CS$201,1,$H$2:$H$201,H169,$AX$2:$AX$201,"&gt;"&amp;AX169)=0,1,0),0)</f>
        <v>0</v>
      </c>
      <c r="CW169" s="23" t="n">
        <f aca="false">IF(AND(CS169=1,INT(N(H169))&lt;=Config!$B$7),IF(COUNTIFS($AW$2:$AW$201,AW169,$CS$2:$CS$201,1,$H$2:$H$201,"&gt;"&amp;H169,$H$2:$H$201,"&lt;"&amp;(Config!$B$7+1))+COUNTIFS($AW$2:$AW$201,AW169,$CS$2:$CS$201,1,$H$2:$H$201,H169,$AX$2:$AX$201,"&gt;"&amp;AX169)=0,1,0),0)</f>
        <v>0</v>
      </c>
      <c r="CX169" s="23" t="n">
        <f aca="false">IF(AND(CS169=1,INT(N(H169))&lt;=Config!$B$8),IF(COUNTIFS($AW$2:$AW$201,AW169,$CS$2:$CS$201,1,$H$2:$H$201,"&gt;"&amp;H169,$H$2:$H$201,"&lt;"&amp;(Config!$B$8+1))+COUNTIFS($AW$2:$AW$201,AW169,$CS$2:$CS$201,1,$H$2:$H$201,H169,$AX$2:$AX$201,"&gt;"&amp;AX169)=0,1,0),0)</f>
        <v>0</v>
      </c>
      <c r="CY169" s="23" t="n">
        <f aca="false">IF(AND(CS169=1,INT(N(H169))&lt;=Config!$B$5),IF(COUNTIFS($AW$2:$AW$201,AW169,$CS$2:$CS$201,1,$H$2:$H$201,"&gt;"&amp;H169,$H$2:$H$201,"&lt;"&amp;(Config!$B$5+1))+COUNTIFS($AW$2:$AW$201,AW169,$CS$2:$CS$201,1,$H$2:$H$201,H169,$AX$2:$AX$201,"&gt;"&amp;AX169)=0,1,0),0)</f>
        <v>0</v>
      </c>
      <c r="CZ169" s="23" t="n">
        <f aca="false">IF(AY169=1,IF(COUNTIFS($AW$2:$AW$201,AW169,$CV$2:$CV$201,1,$BB$2:$BB$201,1)&gt;0,1,0),0)</f>
        <v>0</v>
      </c>
      <c r="DA169" s="23" t="n">
        <f aca="false">IF(AY169=1,IF(COUNTIFS($AW$2:$AW$201,AW169,$CW$2:$CW$201,1,$BB$2:$BB$201,1)&gt;0,1,0),0)</f>
        <v>0</v>
      </c>
      <c r="DB169" s="23" t="n">
        <f aca="false">IF(AY169=1,IF(COUNTIFS($AW$2:$AW$201,AW169,$CX$2:$CX$201,1,$BB$2:$BB$201,1)&gt;0,1,0),0)</f>
        <v>0</v>
      </c>
      <c r="DC169" s="23" t="n">
        <f aca="false">IF(AY169=1,IF(COUNTIFS($AW$2:$AW$201,AW169,$CY$2:$CY$201,1,$BB$2:$BB$201,1)&gt;0,1,0),0)</f>
        <v>0</v>
      </c>
      <c r="DD169" s="23" t="n">
        <f aca="false">IF(AND(BC169=1,INT(N(H169))&lt;=Config!$B$6,CZ169=1),1,0)</f>
        <v>0</v>
      </c>
      <c r="DE169" s="23" t="n">
        <f aca="false">IF(AND(BC169=1,INT(N(H169))&lt;=Config!$B$7,DA169=1),1,0)</f>
        <v>0</v>
      </c>
      <c r="DF169" s="23" t="n">
        <f aca="false">IF(AND(BC169=1,INT(N(H169))&lt;=Config!$B$8,DB169=1),1,0)</f>
        <v>0</v>
      </c>
      <c r="DG169" s="23" t="n">
        <f aca="false">IF(AND(BC169=1,INT(N(H169))&lt;=Config!$B$5,DC169=1),1,0)</f>
        <v>0</v>
      </c>
      <c r="DH169" s="23" t="n">
        <f aca="false">IF(AND(BE169=1,INT(N(H169))&lt;=Config!$B$6,CZ169=1),1,0)</f>
        <v>0</v>
      </c>
      <c r="DI169" s="23" t="n">
        <f aca="false">IF(AND(BE169=1,INT(N(H169))&lt;=Config!$B$7,DA169=1),1,0)</f>
        <v>0</v>
      </c>
      <c r="DJ169" s="23" t="n">
        <f aca="false">IF(AND(BE169=1,INT(N(H169))&lt;=Config!$B$8,DB169=1),1,0)</f>
        <v>0</v>
      </c>
      <c r="DK169" s="23" t="n">
        <f aca="false">IF(AND(BE169=1,INT(N(H169))&lt;=Config!$B$5,DC169=1),1,0)</f>
        <v>0</v>
      </c>
      <c r="DL169" s="23" t="n">
        <f aca="false">IF(AND(BC169=1,INT(N(H169))&lt;=Config!$B$6,CZ169=0),1,0)</f>
        <v>0</v>
      </c>
      <c r="DM169" s="23" t="n">
        <f aca="false">IF(AND(BC169=1,INT(N(H169))&lt;=Config!$B$7,DA169=0),1,0)</f>
        <v>0</v>
      </c>
      <c r="DN169" s="23" t="n">
        <f aca="false">IF(AND(BC169=1,INT(N(H169))&lt;=Config!$B$8,DB169=0),1,0)</f>
        <v>0</v>
      </c>
      <c r="DO169" s="23" t="n">
        <f aca="false">IF(AND(BC169=1,INT(N(H169))&lt;=Config!$B$5,DC169=0),1,0)</f>
        <v>0</v>
      </c>
      <c r="DP169" s="23" t="n">
        <f aca="false">IF(TRIM($A169)="",0,ISTEXT(K169)+ISTEXT(L169)+ISTEXT(R169)+ISTEXT(V169)+ISTEXT(AP169)+ISTEXT(AS169))</f>
        <v>0</v>
      </c>
      <c r="DQ169" s="23" t="n">
        <f aca="false">IF(AY169=1,IF(H169&lt;&gt;INT(H169),1,0),0)</f>
        <v>0</v>
      </c>
      <c r="DR169" s="23" t="str">
        <f aca="false">IF(TRIM($A169)="","",IF(TRIM(B169)="",SUBSTITUTE(SUBSTITUTE(SUBSTITUTE(SUBSTITUTE(SUBSTITUTE(SUBSTITUTE(LOWER(TRIM($A169)),"~",""),"*",""),"?",""),"&lt;",""),"&gt;",""),"=",""),SUBSTITUTE(SUBSTITUTE(SUBSTITUTE(SUBSTITUTE(SUBSTITUTE(SUBSTITUTE(LOWER(TRIM(B169)),"~",""),"*",""),"?",""),"&lt;",""),"&gt;",""),"=","")))</f>
        <v/>
      </c>
      <c r="DS169" s="23" t="str">
        <f aca="false">IF(CM169="","",IFERROR(IF(LEFT(LOWER(TRIM(INDEX(Clay_Brands!$A$2:$FZ$601,CM169,Sync!$D$19)&amp;"")),4)="grp-",SUBSTITUTE(SUBSTITUTE(SUBSTITUTE(SUBSTITUTE(SUBSTITUTE(SUBSTITUTE(LOWER(TRIM(INDEX(Clay_Brands!$A$2:$FZ$601,CM169,Sync!$D$19)&amp;"")),"~",""),"*",""),"?",""),"&lt;",""),"&gt;",""),"=",""),""),""))</f>
        <v/>
      </c>
      <c r="DT169" s="23" t="str">
        <f aca="false">IF(DS169&lt;&gt;"",DR169,"")</f>
        <v/>
      </c>
      <c r="DU169" s="23" t="str">
        <f aca="false">IF(AZ169=1,AW169,"")</f>
        <v/>
      </c>
      <c r="DV169" s="23" t="str">
        <f aca="false">IF(TRIM($A169)="","",IFERROR(INDEX($A$2:$A$201,MATCH(AW169,$DU$2:$DU$201,0))&amp;"",$A169&amp;""))</f>
        <v/>
      </c>
      <c r="DW169" s="23" t="n">
        <f aca="false">IF(AY169=1,IF(COUNTIFS($A$2:$A$201,$A169,$AY$2:$AY$201,1,$H$2:$H$201,"&lt;"&amp;H169)+COUNTIFS($A$2:$A$201,$A169,$AY$2:$AY$201,1,$H$2:$H$201,H169,$AX$2:$AX$201,"&lt;"&amp;AX169)=0,1,0),0)</f>
        <v>0</v>
      </c>
      <c r="DX169" s="23" t="n">
        <f aca="false">IF(AZ169=1,IF(COUNTIFS($AW$2:$AW$201,AW169,$DW$2:$DW$201,1)&gt;1,1,0),0)</f>
        <v>0</v>
      </c>
    </row>
    <row r="170" customFormat="false" ht="15" hidden="false" customHeight="false" outlineLevel="0" collapsed="false">
      <c r="G170" s="32"/>
      <c r="H170" s="33"/>
      <c r="I170" s="32"/>
      <c r="O170" s="32"/>
      <c r="P170" s="32"/>
      <c r="U170" s="32"/>
      <c r="Y170" s="32"/>
      <c r="AB170" s="32"/>
      <c r="AC170" s="32"/>
      <c r="AD170" s="32"/>
      <c r="AE170" s="32"/>
      <c r="AF170" s="32"/>
      <c r="AG170" s="32"/>
      <c r="AI170" s="32"/>
      <c r="AJ170" s="32"/>
      <c r="AK170" s="32"/>
      <c r="AN170" s="32"/>
      <c r="AO170" s="32"/>
      <c r="AR170" s="32"/>
      <c r="AT170" s="32"/>
      <c r="AV170" s="34" t="str">
        <f aca="false">IF(TRIM($A170)="","",IF(AND(LEFT($A170,6)="SAMPLE",Config!$B$19&lt;&gt;"Y"),"",IF(NOT(ISNUMBER(H170)),"call_date is blank or not a date",IF(Sync!$D$5="","Clay paste is empty or has no row_id column: paste the Clay export on Clay_Brands",IF(CM170="","row_id not found in the Clay paste: add the Clay row or fix the row_id",IF(AND(ISNUMBER(CO170),CO170&gt;=1,CO170&lt;=5),"Clay status is "&amp;CN170&amp;": set call_done or later",IF(AND(BA170=1,CP170&lt;&gt;CB170),"Clay yes_in_principle should be "&amp;CB170,IF(AND(BA170=1,CQ170&lt;&gt;H170),"Clay call_date should be "&amp;TEXT(H170,"yyyy-mm-dd"),""))))))))</f>
        <v/>
      </c>
      <c r="AW170" s="23" t="str">
        <f aca="false">IF(TRIM($A170)="","",IF(TRIM(C170)&lt;&gt;"",SUBSTITUTE(SUBSTITUTE(SUBSTITUTE(SUBSTITUTE(SUBSTITUTE(SUBSTITUTE(LOWER(TRIM(C170)),"~",""),"*",""),"?",""),"&lt;",""),"&gt;",""),"=",""),IF(DS170&lt;&gt;"",DS170,IFERROR(INDEX($DS$2:$DS$201,MATCH(DR170,$DT$2:$DT$201,0)),DR170))))</f>
        <v/>
      </c>
      <c r="AX170" s="23" t="n">
        <f aca="false">ROW()</f>
        <v>170</v>
      </c>
      <c r="AY170" s="23" t="n">
        <f aca="false">IF(AND(TRIM($A170)&lt;&gt;"",ISNUMBER(H170)),IF(AND(LEFT($A170,6)="SAMPLE",Config!$B$19&lt;&gt;"Y"),0,1),0)</f>
        <v>0</v>
      </c>
      <c r="AZ170" s="23" t="n">
        <f aca="false">IF(AY170=1,IF(COUNTIFS($AW$2:$AW$201,AW170,$AY$2:$AY$201,1,$H$2:$H$201,"&lt;"&amp;H170)+COUNTIFS($AW$2:$AW$201,AW170,$AY$2:$AY$201,1,$H$2:$H$201,H170,$AX$2:$AX$201,"&lt;"&amp;AX170)=0,1,0),0)</f>
        <v>0</v>
      </c>
      <c r="BA170" s="23" t="n">
        <f aca="false">IF(AY170=1,IF(COUNTIFS($A$2:$A$201,$A170,$AY$2:$AY$201,1,$H$2:$H$201,"&gt;"&amp;H170)+COUNTIFS($A$2:$A$201,$A170,$AY$2:$AY$201,1,$H$2:$H$201,H170,$AX$2:$AX$201,"&gt;"&amp;AX170)=0,1,0),0)</f>
        <v>0</v>
      </c>
      <c r="BB170" s="23" t="n">
        <f aca="false">IF(AND(AY170=1,O170="Y",MAX(N(R170),N(V170))&gt;=Config!$B$14),1,0)</f>
        <v>0</v>
      </c>
      <c r="BC170" s="23" t="n">
        <f aca="false">IF(BB170=1,IF(COUNTIFS($AW$2:$AW$201,AW170,$BB$2:$BB$201,1,$H$2:$H$201,"&lt;"&amp;H170)+COUNTIFS($AW$2:$AW$201,AW170,$BB$2:$BB$201,1,$H$2:$H$201,H170,$AX$2:$AX$201,"&lt;"&amp;AX170)=0,1,0),0)</f>
        <v>0</v>
      </c>
      <c r="BD170" s="23" t="n">
        <f aca="false">IF(AND(AY170=1,O170="Y",ISNUMBER(R170)),IF(R170&gt;=Config!$B$14,1,0),0)</f>
        <v>0</v>
      </c>
      <c r="BE170" s="23" t="n">
        <f aca="false">IF(BD170=1,IF(COUNTIFS($AW$2:$AW$201,AW170,$BD$2:$BD$201,1,$H$2:$H$201,"&lt;"&amp;H170)+COUNTIFS($AW$2:$AW$201,AW170,$BD$2:$BD$201,1,$H$2:$H$201,H170,$AX$2:$AX$201,"&lt;"&amp;AX170)=0,1,0),0)</f>
        <v>0</v>
      </c>
      <c r="BF170" s="23" t="n">
        <f aca="false">IF(AND(AY170=1,O170&lt;&gt;"Y",MAX(N(R170),N(V170))&gt;=Config!$B$14),1,0)</f>
        <v>0</v>
      </c>
      <c r="BG170" s="23" t="n">
        <f aca="false">IF(BF170=1,IF(COUNTIFS($AW$2:$AW$201,AW170,$BF$2:$BF$201,1,$H$2:$H$201,"&lt;"&amp;H170)+COUNTIFS($AW$2:$AW$201,AW170,$BF$2:$BF$201,1,$H$2:$H$201,H170,$AX$2:$AX$201,"&lt;"&amp;AX170)=0,1,0),0)</f>
        <v>0</v>
      </c>
      <c r="BH170" s="23" t="n">
        <f aca="false">IF(AND(AY170=1,ISNUMBER(R170)),1,0)</f>
        <v>0</v>
      </c>
      <c r="BI170" s="23" t="n">
        <f aca="false">IF(BH170=1,IF(COUNTIFS($AW$2:$AW$201,AW170,$BH$2:$BH$201,1,$H$2:$H$201,"&lt;"&amp;H170)+COUNTIFS($AW$2:$AW$201,AW170,$BH$2:$BH$201,1,$H$2:$H$201,H170,$AX$2:$AX$201,"&lt;"&amp;AX170)=0,1,0),0)</f>
        <v>0</v>
      </c>
      <c r="BJ170" s="23" t="str">
        <f aca="false">IF(AND(BI170=1,INT(N(H170))&lt;=Config!$B$6),R170,"")</f>
        <v/>
      </c>
      <c r="BK170" s="23" t="str">
        <f aca="false">IF(AND(BI170=1,INT(N(H170))&lt;=Config!$B$7),R170,"")</f>
        <v/>
      </c>
      <c r="BL170" s="23" t="str">
        <f aca="false">IF(AND(BI170=1,INT(N(H170))&lt;=Config!$B$8),R170,"")</f>
        <v/>
      </c>
      <c r="BM170" s="23" t="str">
        <f aca="false">IF(AND(BI170=1,INT(N(H170))&lt;=Config!$B$5),R170,"")</f>
        <v/>
      </c>
      <c r="BN170" s="23" t="n">
        <f aca="false">IF(AND(AY170=1,ISNUMBER(V170)),1,0)</f>
        <v>0</v>
      </c>
      <c r="BO170" s="23" t="n">
        <f aca="false">IF(BN170=1,IF(COUNTIFS($AW$2:$AW$201,AW170,$BN$2:$BN$201,1,$H$2:$H$201,"&lt;"&amp;H170)+COUNTIFS($AW$2:$AW$201,AW170,$BN$2:$BN$201,1,$H$2:$H$201,H170,$AX$2:$AX$201,"&lt;"&amp;AX170)=0,1,0),0)</f>
        <v>0</v>
      </c>
      <c r="BP170" s="23" t="str">
        <f aca="false">IF(AND(BO170=1,INT(N(H170))&lt;=Config!$B$6),V170,"")</f>
        <v/>
      </c>
      <c r="BQ170" s="23" t="str">
        <f aca="false">IF(AND(BO170=1,INT(N(H170))&lt;=Config!$B$7),V170,"")</f>
        <v/>
      </c>
      <c r="BR170" s="23" t="str">
        <f aca="false">IF(AND(BO170=1,INT(N(H170))&lt;=Config!$B$8),V170,"")</f>
        <v/>
      </c>
      <c r="BS170" s="23" t="str">
        <f aca="false">IF(AND(BO170=1,INT(N(H170))&lt;=Config!$B$5),V170,"")</f>
        <v/>
      </c>
      <c r="BT170" s="23" t="n">
        <f aca="false">IF(AND(AY170=1,ISNUMBER(K170)),1,0)</f>
        <v>0</v>
      </c>
      <c r="BU170" s="23" t="n">
        <f aca="false">IF(BT170=1,IF(COUNTIFS($AW$2:$AW$201,AW170,$BT$2:$BT$201,1,$H$2:$H$201,"&lt;"&amp;H170)+COUNTIFS($AW$2:$AW$201,AW170,$BT$2:$BT$201,1,$H$2:$H$201,H170,$AX$2:$AX$201,"&lt;"&amp;AX170)=0,1,0),0)</f>
        <v>0</v>
      </c>
      <c r="BV170" s="23" t="str">
        <f aca="false">IF(AND(BU170=1,INT(N(H170))&lt;=Config!$B$5),K170,"")</f>
        <v/>
      </c>
      <c r="BW170" s="23" t="n">
        <f aca="false">IF(AND(AY170=1,OR(AND(ISNUMBER(R170),TRIM(S170)=""),AND(ISNUMBER(V170),TRIM(W170)=""))),1,0)</f>
        <v>0</v>
      </c>
      <c r="BX170" s="23" t="str">
        <f aca="false">IF(AY170=1,AJ170&amp;"","")</f>
        <v/>
      </c>
      <c r="BY170" s="23" t="str">
        <f aca="false">IF(AY170=1,AK170&amp;"","")</f>
        <v/>
      </c>
      <c r="BZ170" s="23" t="str">
        <f aca="false">IF(AY170=1,AL170&amp;"","")</f>
        <v/>
      </c>
      <c r="CA170" s="23" t="str">
        <f aca="false">IF(AND(AY170=1,ISNUMBER(AS170),INT(N(H170))&lt;=Config!$B$5),AS170,"")</f>
        <v/>
      </c>
      <c r="CB170" s="23" t="str">
        <f aca="false">IF(AY170=1,IF(COUNTIFS($A$2:$A$201,$A170,$CU$2:$CU$201,1,$AN$2:$AN$201,"Y")&gt;0,"Y","N"),"")</f>
        <v/>
      </c>
      <c r="CC170" s="23" t="n">
        <f aca="false">IF(AND(AY170=1,AN170="Y"),IF(COUNTIFS($AW$2:$AW$201,AW170,$AN$2:$AN$201,"Y",$AY$2:$AY$201,1,$H$2:$H$201,"&lt;"&amp;H170)+COUNTIFS($AW$2:$AW$201,AW170,$AN$2:$AN$201,"Y",$AY$2:$AY$201,1,$H$2:$H$201,H170,$AX$2:$AX$201,"&lt;"&amp;AX170)=0,1,0),0)</f>
        <v>0</v>
      </c>
      <c r="CD170" s="23" t="n">
        <f aca="false">IF(AND(AY170=1,AB170="Y",AC170="Y",AD170="Y",AE170="Y",AF170="Y",AG170="Y",AI170="Y",TRIM(AH170)&lt;&gt;""),1,0)</f>
        <v>0</v>
      </c>
      <c r="CE170" s="23" t="n">
        <f aca="false">IF(CD170=1,IF(COUNTIFS($AW$2:$AW$201,AW170,$CD$2:$CD$201,1,$H$2:$H$201,"&lt;"&amp;H170)+COUNTIFS($AW$2:$AW$201,AW170,$CD$2:$CD$201,1,$H$2:$H$201,H170,$AX$2:$AX$201,"&lt;"&amp;AX170)=0,1,0),0)</f>
        <v>0</v>
      </c>
      <c r="CF170" s="23" t="n">
        <f aca="false">IF(AND(AY170=1,AO170="Y"),1,0)</f>
        <v>0</v>
      </c>
      <c r="CG170" s="23" t="n">
        <f aca="false">IF(CF170=1,IF(COUNTIFS($AW$2:$AW$201,AW170,$CF$2:$CF$201,1,$H$2:$H$201,"&lt;"&amp;H170)+COUNTIFS($AW$2:$AW$201,AW170,$CF$2:$CF$201,1,$H$2:$H$201,H170,$AX$2:$AX$201,"&lt;"&amp;AX170)=0,1,0),0)</f>
        <v>0</v>
      </c>
      <c r="CH170" s="23" t="n">
        <f aca="false">IF(AND(AY170=1,P170="Y"),1,0)</f>
        <v>0</v>
      </c>
      <c r="CI170" s="23" t="n">
        <f aca="false">IF(CH170=1,IF(COUNTIFS($AW$2:$AW$201,AW170,$CH$2:$CH$201,1,$H$2:$H$201,"&lt;"&amp;H170)+COUNTIFS($AW$2:$AW$201,AW170,$CH$2:$CH$201,1,$H$2:$H$201,H170,$AX$2:$AX$201,"&lt;"&amp;AX170)=0,1,0),0)</f>
        <v>0</v>
      </c>
      <c r="CJ170" s="23" t="str">
        <f aca="false">IF(AND(BU170=1,INT(N(H170))&lt;=Config!$B$5),L170,"")</f>
        <v/>
      </c>
      <c r="CK170" s="23" t="n">
        <f aca="false">IF(AND(AY170=1,AR170="Y"),1,0)</f>
        <v>0</v>
      </c>
      <c r="CL170" s="23" t="n">
        <f aca="false">IF(CK170=1,IF(COUNTIFS($AW$2:$AW$201,AW170,$CK$2:$CK$201,1,$H$2:$H$201,"&lt;"&amp;H170)+COUNTIFS($AW$2:$AW$201,AW170,$CK$2:$CK$201,1,$H$2:$H$201,H170,$AX$2:$AX$201,"&lt;"&amp;AX170)=0,1,0),0)</f>
        <v>0</v>
      </c>
      <c r="CM170" s="23" t="str">
        <f aca="false">IF(AY170=1,IFERROR(MATCH($A170,INDEX(Clay_Brands!$A$2:$FZ$601,0,Sync!$D$5),0),""),"")</f>
        <v/>
      </c>
      <c r="CN170" s="23" t="str">
        <f aca="false">IF(CM170="","",IFERROR(INDEX(Clay_Brands!$A$2:$FZ$601,CM170,Sync!$D$7)&amp;"",""))</f>
        <v/>
      </c>
      <c r="CO170" s="23" t="str">
        <f aca="false">IF(CN170="","",IFERROR(INDEX(Lists!$K$2:$K$15,MATCH(CN170,Lists!$J$2:$J$15,0)),""))</f>
        <v/>
      </c>
      <c r="CP170" s="23" t="str">
        <f aca="false">IF(CM170="","",IFERROR(INDEX(Clay_Brands!$A$2:$FZ$601,CM170,Sync!$D$17)&amp;"",""))</f>
        <v/>
      </c>
      <c r="CQ170" s="35" t="str">
        <f aca="false">IF(CM170="","",IFERROR(N(INDEX(Clay_Brands!$A$2:$FZ$601,CM170,Sync!$D$16)),0))</f>
        <v/>
      </c>
      <c r="CR170" s="23" t="n">
        <f aca="false">IF(AND(AY170=1,OR(O170="N",AND(OR(ISNUMBER(R170),ISNUMBER(V170)),MAX(N(R170),N(V170))&lt;Config!$B$14))),1,0)</f>
        <v>0</v>
      </c>
      <c r="CS170" s="23" t="n">
        <f aca="false">IF(OR(BB170=1,CR170=1),1,0)</f>
        <v>0</v>
      </c>
      <c r="CT170" s="23" t="n">
        <f aca="false">IF(AND(AY170=1,OR(AN170="Y",AN170="N",AN170="maybe")),1,0)</f>
        <v>0</v>
      </c>
      <c r="CU170" s="23" t="n">
        <f aca="false">IF(AND(CT170=1),IF(COUNTIFS($A$2:$A$201,$A170,$CT$2:$CT$201,1,$H$2:$H$201,"&gt;"&amp;H170)+COUNTIFS($A$2:$A$201,$A170,$CT$2:$CT$201,1,$H$2:$H$201,H170,$AX$2:$AX$201,"&gt;"&amp;AX170)=0,1,0),0)</f>
        <v>0</v>
      </c>
      <c r="CV170" s="23" t="n">
        <f aca="false">IF(AND(CS170=1,INT(N(H170))&lt;=Config!$B$6),IF(COUNTIFS($AW$2:$AW$201,AW170,$CS$2:$CS$201,1,$H$2:$H$201,"&gt;"&amp;H170,$H$2:$H$201,"&lt;"&amp;(Config!$B$6+1))+COUNTIFS($AW$2:$AW$201,AW170,$CS$2:$CS$201,1,$H$2:$H$201,H170,$AX$2:$AX$201,"&gt;"&amp;AX170)=0,1,0),0)</f>
        <v>0</v>
      </c>
      <c r="CW170" s="23" t="n">
        <f aca="false">IF(AND(CS170=1,INT(N(H170))&lt;=Config!$B$7),IF(COUNTIFS($AW$2:$AW$201,AW170,$CS$2:$CS$201,1,$H$2:$H$201,"&gt;"&amp;H170,$H$2:$H$201,"&lt;"&amp;(Config!$B$7+1))+COUNTIFS($AW$2:$AW$201,AW170,$CS$2:$CS$201,1,$H$2:$H$201,H170,$AX$2:$AX$201,"&gt;"&amp;AX170)=0,1,0),0)</f>
        <v>0</v>
      </c>
      <c r="CX170" s="23" t="n">
        <f aca="false">IF(AND(CS170=1,INT(N(H170))&lt;=Config!$B$8),IF(COUNTIFS($AW$2:$AW$201,AW170,$CS$2:$CS$201,1,$H$2:$H$201,"&gt;"&amp;H170,$H$2:$H$201,"&lt;"&amp;(Config!$B$8+1))+COUNTIFS($AW$2:$AW$201,AW170,$CS$2:$CS$201,1,$H$2:$H$201,H170,$AX$2:$AX$201,"&gt;"&amp;AX170)=0,1,0),0)</f>
        <v>0</v>
      </c>
      <c r="CY170" s="23" t="n">
        <f aca="false">IF(AND(CS170=1,INT(N(H170))&lt;=Config!$B$5),IF(COUNTIFS($AW$2:$AW$201,AW170,$CS$2:$CS$201,1,$H$2:$H$201,"&gt;"&amp;H170,$H$2:$H$201,"&lt;"&amp;(Config!$B$5+1))+COUNTIFS($AW$2:$AW$201,AW170,$CS$2:$CS$201,1,$H$2:$H$201,H170,$AX$2:$AX$201,"&gt;"&amp;AX170)=0,1,0),0)</f>
        <v>0</v>
      </c>
      <c r="CZ170" s="23" t="n">
        <f aca="false">IF(AY170=1,IF(COUNTIFS($AW$2:$AW$201,AW170,$CV$2:$CV$201,1,$BB$2:$BB$201,1)&gt;0,1,0),0)</f>
        <v>0</v>
      </c>
      <c r="DA170" s="23" t="n">
        <f aca="false">IF(AY170=1,IF(COUNTIFS($AW$2:$AW$201,AW170,$CW$2:$CW$201,1,$BB$2:$BB$201,1)&gt;0,1,0),0)</f>
        <v>0</v>
      </c>
      <c r="DB170" s="23" t="n">
        <f aca="false">IF(AY170=1,IF(COUNTIFS($AW$2:$AW$201,AW170,$CX$2:$CX$201,1,$BB$2:$BB$201,1)&gt;0,1,0),0)</f>
        <v>0</v>
      </c>
      <c r="DC170" s="23" t="n">
        <f aca="false">IF(AY170=1,IF(COUNTIFS($AW$2:$AW$201,AW170,$CY$2:$CY$201,1,$BB$2:$BB$201,1)&gt;0,1,0),0)</f>
        <v>0</v>
      </c>
      <c r="DD170" s="23" t="n">
        <f aca="false">IF(AND(BC170=1,INT(N(H170))&lt;=Config!$B$6,CZ170=1),1,0)</f>
        <v>0</v>
      </c>
      <c r="DE170" s="23" t="n">
        <f aca="false">IF(AND(BC170=1,INT(N(H170))&lt;=Config!$B$7,DA170=1),1,0)</f>
        <v>0</v>
      </c>
      <c r="DF170" s="23" t="n">
        <f aca="false">IF(AND(BC170=1,INT(N(H170))&lt;=Config!$B$8,DB170=1),1,0)</f>
        <v>0</v>
      </c>
      <c r="DG170" s="23" t="n">
        <f aca="false">IF(AND(BC170=1,INT(N(H170))&lt;=Config!$B$5,DC170=1),1,0)</f>
        <v>0</v>
      </c>
      <c r="DH170" s="23" t="n">
        <f aca="false">IF(AND(BE170=1,INT(N(H170))&lt;=Config!$B$6,CZ170=1),1,0)</f>
        <v>0</v>
      </c>
      <c r="DI170" s="23" t="n">
        <f aca="false">IF(AND(BE170=1,INT(N(H170))&lt;=Config!$B$7,DA170=1),1,0)</f>
        <v>0</v>
      </c>
      <c r="DJ170" s="23" t="n">
        <f aca="false">IF(AND(BE170=1,INT(N(H170))&lt;=Config!$B$8,DB170=1),1,0)</f>
        <v>0</v>
      </c>
      <c r="DK170" s="23" t="n">
        <f aca="false">IF(AND(BE170=1,INT(N(H170))&lt;=Config!$B$5,DC170=1),1,0)</f>
        <v>0</v>
      </c>
      <c r="DL170" s="23" t="n">
        <f aca="false">IF(AND(BC170=1,INT(N(H170))&lt;=Config!$B$6,CZ170=0),1,0)</f>
        <v>0</v>
      </c>
      <c r="DM170" s="23" t="n">
        <f aca="false">IF(AND(BC170=1,INT(N(H170))&lt;=Config!$B$7,DA170=0),1,0)</f>
        <v>0</v>
      </c>
      <c r="DN170" s="23" t="n">
        <f aca="false">IF(AND(BC170=1,INT(N(H170))&lt;=Config!$B$8,DB170=0),1,0)</f>
        <v>0</v>
      </c>
      <c r="DO170" s="23" t="n">
        <f aca="false">IF(AND(BC170=1,INT(N(H170))&lt;=Config!$B$5,DC170=0),1,0)</f>
        <v>0</v>
      </c>
      <c r="DP170" s="23" t="n">
        <f aca="false">IF(TRIM($A170)="",0,ISTEXT(K170)+ISTEXT(L170)+ISTEXT(R170)+ISTEXT(V170)+ISTEXT(AP170)+ISTEXT(AS170))</f>
        <v>0</v>
      </c>
      <c r="DQ170" s="23" t="n">
        <f aca="false">IF(AY170=1,IF(H170&lt;&gt;INT(H170),1,0),0)</f>
        <v>0</v>
      </c>
      <c r="DR170" s="23" t="str">
        <f aca="false">IF(TRIM($A170)="","",IF(TRIM(B170)="",SUBSTITUTE(SUBSTITUTE(SUBSTITUTE(SUBSTITUTE(SUBSTITUTE(SUBSTITUTE(LOWER(TRIM($A170)),"~",""),"*",""),"?",""),"&lt;",""),"&gt;",""),"=",""),SUBSTITUTE(SUBSTITUTE(SUBSTITUTE(SUBSTITUTE(SUBSTITUTE(SUBSTITUTE(LOWER(TRIM(B170)),"~",""),"*",""),"?",""),"&lt;",""),"&gt;",""),"=","")))</f>
        <v/>
      </c>
      <c r="DS170" s="23" t="str">
        <f aca="false">IF(CM170="","",IFERROR(IF(LEFT(LOWER(TRIM(INDEX(Clay_Brands!$A$2:$FZ$601,CM170,Sync!$D$19)&amp;"")),4)="grp-",SUBSTITUTE(SUBSTITUTE(SUBSTITUTE(SUBSTITUTE(SUBSTITUTE(SUBSTITUTE(LOWER(TRIM(INDEX(Clay_Brands!$A$2:$FZ$601,CM170,Sync!$D$19)&amp;"")),"~",""),"*",""),"?",""),"&lt;",""),"&gt;",""),"=",""),""),""))</f>
        <v/>
      </c>
      <c r="DT170" s="23" t="str">
        <f aca="false">IF(DS170&lt;&gt;"",DR170,"")</f>
        <v/>
      </c>
      <c r="DU170" s="23" t="str">
        <f aca="false">IF(AZ170=1,AW170,"")</f>
        <v/>
      </c>
      <c r="DV170" s="23" t="str">
        <f aca="false">IF(TRIM($A170)="","",IFERROR(INDEX($A$2:$A$201,MATCH(AW170,$DU$2:$DU$201,0))&amp;"",$A170&amp;""))</f>
        <v/>
      </c>
      <c r="DW170" s="23" t="n">
        <f aca="false">IF(AY170=1,IF(COUNTIFS($A$2:$A$201,$A170,$AY$2:$AY$201,1,$H$2:$H$201,"&lt;"&amp;H170)+COUNTIFS($A$2:$A$201,$A170,$AY$2:$AY$201,1,$H$2:$H$201,H170,$AX$2:$AX$201,"&lt;"&amp;AX170)=0,1,0),0)</f>
        <v>0</v>
      </c>
      <c r="DX170" s="23" t="n">
        <f aca="false">IF(AZ170=1,IF(COUNTIFS($AW$2:$AW$201,AW170,$DW$2:$DW$201,1)&gt;1,1,0),0)</f>
        <v>0</v>
      </c>
    </row>
    <row r="171" customFormat="false" ht="15" hidden="false" customHeight="false" outlineLevel="0" collapsed="false">
      <c r="G171" s="32"/>
      <c r="H171" s="33"/>
      <c r="I171" s="32"/>
      <c r="O171" s="32"/>
      <c r="P171" s="32"/>
      <c r="U171" s="32"/>
      <c r="Y171" s="32"/>
      <c r="AB171" s="32"/>
      <c r="AC171" s="32"/>
      <c r="AD171" s="32"/>
      <c r="AE171" s="32"/>
      <c r="AF171" s="32"/>
      <c r="AG171" s="32"/>
      <c r="AI171" s="32"/>
      <c r="AJ171" s="32"/>
      <c r="AK171" s="32"/>
      <c r="AN171" s="32"/>
      <c r="AO171" s="32"/>
      <c r="AR171" s="32"/>
      <c r="AT171" s="32"/>
      <c r="AV171" s="34" t="str">
        <f aca="false">IF(TRIM($A171)="","",IF(AND(LEFT($A171,6)="SAMPLE",Config!$B$19&lt;&gt;"Y"),"",IF(NOT(ISNUMBER(H171)),"call_date is blank or not a date",IF(Sync!$D$5="","Clay paste is empty or has no row_id column: paste the Clay export on Clay_Brands",IF(CM171="","row_id not found in the Clay paste: add the Clay row or fix the row_id",IF(AND(ISNUMBER(CO171),CO171&gt;=1,CO171&lt;=5),"Clay status is "&amp;CN171&amp;": set call_done or later",IF(AND(BA171=1,CP171&lt;&gt;CB171),"Clay yes_in_principle should be "&amp;CB171,IF(AND(BA171=1,CQ171&lt;&gt;H171),"Clay call_date should be "&amp;TEXT(H171,"yyyy-mm-dd"),""))))))))</f>
        <v/>
      </c>
      <c r="AW171" s="23" t="str">
        <f aca="false">IF(TRIM($A171)="","",IF(TRIM(C171)&lt;&gt;"",SUBSTITUTE(SUBSTITUTE(SUBSTITUTE(SUBSTITUTE(SUBSTITUTE(SUBSTITUTE(LOWER(TRIM(C171)),"~",""),"*",""),"?",""),"&lt;",""),"&gt;",""),"=",""),IF(DS171&lt;&gt;"",DS171,IFERROR(INDEX($DS$2:$DS$201,MATCH(DR171,$DT$2:$DT$201,0)),DR171))))</f>
        <v/>
      </c>
      <c r="AX171" s="23" t="n">
        <f aca="false">ROW()</f>
        <v>171</v>
      </c>
      <c r="AY171" s="23" t="n">
        <f aca="false">IF(AND(TRIM($A171)&lt;&gt;"",ISNUMBER(H171)),IF(AND(LEFT($A171,6)="SAMPLE",Config!$B$19&lt;&gt;"Y"),0,1),0)</f>
        <v>0</v>
      </c>
      <c r="AZ171" s="23" t="n">
        <f aca="false">IF(AY171=1,IF(COUNTIFS($AW$2:$AW$201,AW171,$AY$2:$AY$201,1,$H$2:$H$201,"&lt;"&amp;H171)+COUNTIFS($AW$2:$AW$201,AW171,$AY$2:$AY$201,1,$H$2:$H$201,H171,$AX$2:$AX$201,"&lt;"&amp;AX171)=0,1,0),0)</f>
        <v>0</v>
      </c>
      <c r="BA171" s="23" t="n">
        <f aca="false">IF(AY171=1,IF(COUNTIFS($A$2:$A$201,$A171,$AY$2:$AY$201,1,$H$2:$H$201,"&gt;"&amp;H171)+COUNTIFS($A$2:$A$201,$A171,$AY$2:$AY$201,1,$H$2:$H$201,H171,$AX$2:$AX$201,"&gt;"&amp;AX171)=0,1,0),0)</f>
        <v>0</v>
      </c>
      <c r="BB171" s="23" t="n">
        <f aca="false">IF(AND(AY171=1,O171="Y",MAX(N(R171),N(V171))&gt;=Config!$B$14),1,0)</f>
        <v>0</v>
      </c>
      <c r="BC171" s="23" t="n">
        <f aca="false">IF(BB171=1,IF(COUNTIFS($AW$2:$AW$201,AW171,$BB$2:$BB$201,1,$H$2:$H$201,"&lt;"&amp;H171)+COUNTIFS($AW$2:$AW$201,AW171,$BB$2:$BB$201,1,$H$2:$H$201,H171,$AX$2:$AX$201,"&lt;"&amp;AX171)=0,1,0),0)</f>
        <v>0</v>
      </c>
      <c r="BD171" s="23" t="n">
        <f aca="false">IF(AND(AY171=1,O171="Y",ISNUMBER(R171)),IF(R171&gt;=Config!$B$14,1,0),0)</f>
        <v>0</v>
      </c>
      <c r="BE171" s="23" t="n">
        <f aca="false">IF(BD171=1,IF(COUNTIFS($AW$2:$AW$201,AW171,$BD$2:$BD$201,1,$H$2:$H$201,"&lt;"&amp;H171)+COUNTIFS($AW$2:$AW$201,AW171,$BD$2:$BD$201,1,$H$2:$H$201,H171,$AX$2:$AX$201,"&lt;"&amp;AX171)=0,1,0),0)</f>
        <v>0</v>
      </c>
      <c r="BF171" s="23" t="n">
        <f aca="false">IF(AND(AY171=1,O171&lt;&gt;"Y",MAX(N(R171),N(V171))&gt;=Config!$B$14),1,0)</f>
        <v>0</v>
      </c>
      <c r="BG171" s="23" t="n">
        <f aca="false">IF(BF171=1,IF(COUNTIFS($AW$2:$AW$201,AW171,$BF$2:$BF$201,1,$H$2:$H$201,"&lt;"&amp;H171)+COUNTIFS($AW$2:$AW$201,AW171,$BF$2:$BF$201,1,$H$2:$H$201,H171,$AX$2:$AX$201,"&lt;"&amp;AX171)=0,1,0),0)</f>
        <v>0</v>
      </c>
      <c r="BH171" s="23" t="n">
        <f aca="false">IF(AND(AY171=1,ISNUMBER(R171)),1,0)</f>
        <v>0</v>
      </c>
      <c r="BI171" s="23" t="n">
        <f aca="false">IF(BH171=1,IF(COUNTIFS($AW$2:$AW$201,AW171,$BH$2:$BH$201,1,$H$2:$H$201,"&lt;"&amp;H171)+COUNTIFS($AW$2:$AW$201,AW171,$BH$2:$BH$201,1,$H$2:$H$201,H171,$AX$2:$AX$201,"&lt;"&amp;AX171)=0,1,0),0)</f>
        <v>0</v>
      </c>
      <c r="BJ171" s="23" t="str">
        <f aca="false">IF(AND(BI171=1,INT(N(H171))&lt;=Config!$B$6),R171,"")</f>
        <v/>
      </c>
      <c r="BK171" s="23" t="str">
        <f aca="false">IF(AND(BI171=1,INT(N(H171))&lt;=Config!$B$7),R171,"")</f>
        <v/>
      </c>
      <c r="BL171" s="23" t="str">
        <f aca="false">IF(AND(BI171=1,INT(N(H171))&lt;=Config!$B$8),R171,"")</f>
        <v/>
      </c>
      <c r="BM171" s="23" t="str">
        <f aca="false">IF(AND(BI171=1,INT(N(H171))&lt;=Config!$B$5),R171,"")</f>
        <v/>
      </c>
      <c r="BN171" s="23" t="n">
        <f aca="false">IF(AND(AY171=1,ISNUMBER(V171)),1,0)</f>
        <v>0</v>
      </c>
      <c r="BO171" s="23" t="n">
        <f aca="false">IF(BN171=1,IF(COUNTIFS($AW$2:$AW$201,AW171,$BN$2:$BN$201,1,$H$2:$H$201,"&lt;"&amp;H171)+COUNTIFS($AW$2:$AW$201,AW171,$BN$2:$BN$201,1,$H$2:$H$201,H171,$AX$2:$AX$201,"&lt;"&amp;AX171)=0,1,0),0)</f>
        <v>0</v>
      </c>
      <c r="BP171" s="23" t="str">
        <f aca="false">IF(AND(BO171=1,INT(N(H171))&lt;=Config!$B$6),V171,"")</f>
        <v/>
      </c>
      <c r="BQ171" s="23" t="str">
        <f aca="false">IF(AND(BO171=1,INT(N(H171))&lt;=Config!$B$7),V171,"")</f>
        <v/>
      </c>
      <c r="BR171" s="23" t="str">
        <f aca="false">IF(AND(BO171=1,INT(N(H171))&lt;=Config!$B$8),V171,"")</f>
        <v/>
      </c>
      <c r="BS171" s="23" t="str">
        <f aca="false">IF(AND(BO171=1,INT(N(H171))&lt;=Config!$B$5),V171,"")</f>
        <v/>
      </c>
      <c r="BT171" s="23" t="n">
        <f aca="false">IF(AND(AY171=1,ISNUMBER(K171)),1,0)</f>
        <v>0</v>
      </c>
      <c r="BU171" s="23" t="n">
        <f aca="false">IF(BT171=1,IF(COUNTIFS($AW$2:$AW$201,AW171,$BT$2:$BT$201,1,$H$2:$H$201,"&lt;"&amp;H171)+COUNTIFS($AW$2:$AW$201,AW171,$BT$2:$BT$201,1,$H$2:$H$201,H171,$AX$2:$AX$201,"&lt;"&amp;AX171)=0,1,0),0)</f>
        <v>0</v>
      </c>
      <c r="BV171" s="23" t="str">
        <f aca="false">IF(AND(BU171=1,INT(N(H171))&lt;=Config!$B$5),K171,"")</f>
        <v/>
      </c>
      <c r="BW171" s="23" t="n">
        <f aca="false">IF(AND(AY171=1,OR(AND(ISNUMBER(R171),TRIM(S171)=""),AND(ISNUMBER(V171),TRIM(W171)=""))),1,0)</f>
        <v>0</v>
      </c>
      <c r="BX171" s="23" t="str">
        <f aca="false">IF(AY171=1,AJ171&amp;"","")</f>
        <v/>
      </c>
      <c r="BY171" s="23" t="str">
        <f aca="false">IF(AY171=1,AK171&amp;"","")</f>
        <v/>
      </c>
      <c r="BZ171" s="23" t="str">
        <f aca="false">IF(AY171=1,AL171&amp;"","")</f>
        <v/>
      </c>
      <c r="CA171" s="23" t="str">
        <f aca="false">IF(AND(AY171=1,ISNUMBER(AS171),INT(N(H171))&lt;=Config!$B$5),AS171,"")</f>
        <v/>
      </c>
      <c r="CB171" s="23" t="str">
        <f aca="false">IF(AY171=1,IF(COUNTIFS($A$2:$A$201,$A171,$CU$2:$CU$201,1,$AN$2:$AN$201,"Y")&gt;0,"Y","N"),"")</f>
        <v/>
      </c>
      <c r="CC171" s="23" t="n">
        <f aca="false">IF(AND(AY171=1,AN171="Y"),IF(COUNTIFS($AW$2:$AW$201,AW171,$AN$2:$AN$201,"Y",$AY$2:$AY$201,1,$H$2:$H$201,"&lt;"&amp;H171)+COUNTIFS($AW$2:$AW$201,AW171,$AN$2:$AN$201,"Y",$AY$2:$AY$201,1,$H$2:$H$201,H171,$AX$2:$AX$201,"&lt;"&amp;AX171)=0,1,0),0)</f>
        <v>0</v>
      </c>
      <c r="CD171" s="23" t="n">
        <f aca="false">IF(AND(AY171=1,AB171="Y",AC171="Y",AD171="Y",AE171="Y",AF171="Y",AG171="Y",AI171="Y",TRIM(AH171)&lt;&gt;""),1,0)</f>
        <v>0</v>
      </c>
      <c r="CE171" s="23" t="n">
        <f aca="false">IF(CD171=1,IF(COUNTIFS($AW$2:$AW$201,AW171,$CD$2:$CD$201,1,$H$2:$H$201,"&lt;"&amp;H171)+COUNTIFS($AW$2:$AW$201,AW171,$CD$2:$CD$201,1,$H$2:$H$201,H171,$AX$2:$AX$201,"&lt;"&amp;AX171)=0,1,0),0)</f>
        <v>0</v>
      </c>
      <c r="CF171" s="23" t="n">
        <f aca="false">IF(AND(AY171=1,AO171="Y"),1,0)</f>
        <v>0</v>
      </c>
      <c r="CG171" s="23" t="n">
        <f aca="false">IF(CF171=1,IF(COUNTIFS($AW$2:$AW$201,AW171,$CF$2:$CF$201,1,$H$2:$H$201,"&lt;"&amp;H171)+COUNTIFS($AW$2:$AW$201,AW171,$CF$2:$CF$201,1,$H$2:$H$201,H171,$AX$2:$AX$201,"&lt;"&amp;AX171)=0,1,0),0)</f>
        <v>0</v>
      </c>
      <c r="CH171" s="23" t="n">
        <f aca="false">IF(AND(AY171=1,P171="Y"),1,0)</f>
        <v>0</v>
      </c>
      <c r="CI171" s="23" t="n">
        <f aca="false">IF(CH171=1,IF(COUNTIFS($AW$2:$AW$201,AW171,$CH$2:$CH$201,1,$H$2:$H$201,"&lt;"&amp;H171)+COUNTIFS($AW$2:$AW$201,AW171,$CH$2:$CH$201,1,$H$2:$H$201,H171,$AX$2:$AX$201,"&lt;"&amp;AX171)=0,1,0),0)</f>
        <v>0</v>
      </c>
      <c r="CJ171" s="23" t="str">
        <f aca="false">IF(AND(BU171=1,INT(N(H171))&lt;=Config!$B$5),L171,"")</f>
        <v/>
      </c>
      <c r="CK171" s="23" t="n">
        <f aca="false">IF(AND(AY171=1,AR171="Y"),1,0)</f>
        <v>0</v>
      </c>
      <c r="CL171" s="23" t="n">
        <f aca="false">IF(CK171=1,IF(COUNTIFS($AW$2:$AW$201,AW171,$CK$2:$CK$201,1,$H$2:$H$201,"&lt;"&amp;H171)+COUNTIFS($AW$2:$AW$201,AW171,$CK$2:$CK$201,1,$H$2:$H$201,H171,$AX$2:$AX$201,"&lt;"&amp;AX171)=0,1,0),0)</f>
        <v>0</v>
      </c>
      <c r="CM171" s="23" t="str">
        <f aca="false">IF(AY171=1,IFERROR(MATCH($A171,INDEX(Clay_Brands!$A$2:$FZ$601,0,Sync!$D$5),0),""),"")</f>
        <v/>
      </c>
      <c r="CN171" s="23" t="str">
        <f aca="false">IF(CM171="","",IFERROR(INDEX(Clay_Brands!$A$2:$FZ$601,CM171,Sync!$D$7)&amp;"",""))</f>
        <v/>
      </c>
      <c r="CO171" s="23" t="str">
        <f aca="false">IF(CN171="","",IFERROR(INDEX(Lists!$K$2:$K$15,MATCH(CN171,Lists!$J$2:$J$15,0)),""))</f>
        <v/>
      </c>
      <c r="CP171" s="23" t="str">
        <f aca="false">IF(CM171="","",IFERROR(INDEX(Clay_Brands!$A$2:$FZ$601,CM171,Sync!$D$17)&amp;"",""))</f>
        <v/>
      </c>
      <c r="CQ171" s="35" t="str">
        <f aca="false">IF(CM171="","",IFERROR(N(INDEX(Clay_Brands!$A$2:$FZ$601,CM171,Sync!$D$16)),0))</f>
        <v/>
      </c>
      <c r="CR171" s="23" t="n">
        <f aca="false">IF(AND(AY171=1,OR(O171="N",AND(OR(ISNUMBER(R171),ISNUMBER(V171)),MAX(N(R171),N(V171))&lt;Config!$B$14))),1,0)</f>
        <v>0</v>
      </c>
      <c r="CS171" s="23" t="n">
        <f aca="false">IF(OR(BB171=1,CR171=1),1,0)</f>
        <v>0</v>
      </c>
      <c r="CT171" s="23" t="n">
        <f aca="false">IF(AND(AY171=1,OR(AN171="Y",AN171="N",AN171="maybe")),1,0)</f>
        <v>0</v>
      </c>
      <c r="CU171" s="23" t="n">
        <f aca="false">IF(AND(CT171=1),IF(COUNTIFS($A$2:$A$201,$A171,$CT$2:$CT$201,1,$H$2:$H$201,"&gt;"&amp;H171)+COUNTIFS($A$2:$A$201,$A171,$CT$2:$CT$201,1,$H$2:$H$201,H171,$AX$2:$AX$201,"&gt;"&amp;AX171)=0,1,0),0)</f>
        <v>0</v>
      </c>
      <c r="CV171" s="23" t="n">
        <f aca="false">IF(AND(CS171=1,INT(N(H171))&lt;=Config!$B$6),IF(COUNTIFS($AW$2:$AW$201,AW171,$CS$2:$CS$201,1,$H$2:$H$201,"&gt;"&amp;H171,$H$2:$H$201,"&lt;"&amp;(Config!$B$6+1))+COUNTIFS($AW$2:$AW$201,AW171,$CS$2:$CS$201,1,$H$2:$H$201,H171,$AX$2:$AX$201,"&gt;"&amp;AX171)=0,1,0),0)</f>
        <v>0</v>
      </c>
      <c r="CW171" s="23" t="n">
        <f aca="false">IF(AND(CS171=1,INT(N(H171))&lt;=Config!$B$7),IF(COUNTIFS($AW$2:$AW$201,AW171,$CS$2:$CS$201,1,$H$2:$H$201,"&gt;"&amp;H171,$H$2:$H$201,"&lt;"&amp;(Config!$B$7+1))+COUNTIFS($AW$2:$AW$201,AW171,$CS$2:$CS$201,1,$H$2:$H$201,H171,$AX$2:$AX$201,"&gt;"&amp;AX171)=0,1,0),0)</f>
        <v>0</v>
      </c>
      <c r="CX171" s="23" t="n">
        <f aca="false">IF(AND(CS171=1,INT(N(H171))&lt;=Config!$B$8),IF(COUNTIFS($AW$2:$AW$201,AW171,$CS$2:$CS$201,1,$H$2:$H$201,"&gt;"&amp;H171,$H$2:$H$201,"&lt;"&amp;(Config!$B$8+1))+COUNTIFS($AW$2:$AW$201,AW171,$CS$2:$CS$201,1,$H$2:$H$201,H171,$AX$2:$AX$201,"&gt;"&amp;AX171)=0,1,0),0)</f>
        <v>0</v>
      </c>
      <c r="CY171" s="23" t="n">
        <f aca="false">IF(AND(CS171=1,INT(N(H171))&lt;=Config!$B$5),IF(COUNTIFS($AW$2:$AW$201,AW171,$CS$2:$CS$201,1,$H$2:$H$201,"&gt;"&amp;H171,$H$2:$H$201,"&lt;"&amp;(Config!$B$5+1))+COUNTIFS($AW$2:$AW$201,AW171,$CS$2:$CS$201,1,$H$2:$H$201,H171,$AX$2:$AX$201,"&gt;"&amp;AX171)=0,1,0),0)</f>
        <v>0</v>
      </c>
      <c r="CZ171" s="23" t="n">
        <f aca="false">IF(AY171=1,IF(COUNTIFS($AW$2:$AW$201,AW171,$CV$2:$CV$201,1,$BB$2:$BB$201,1)&gt;0,1,0),0)</f>
        <v>0</v>
      </c>
      <c r="DA171" s="23" t="n">
        <f aca="false">IF(AY171=1,IF(COUNTIFS($AW$2:$AW$201,AW171,$CW$2:$CW$201,1,$BB$2:$BB$201,1)&gt;0,1,0),0)</f>
        <v>0</v>
      </c>
      <c r="DB171" s="23" t="n">
        <f aca="false">IF(AY171=1,IF(COUNTIFS($AW$2:$AW$201,AW171,$CX$2:$CX$201,1,$BB$2:$BB$201,1)&gt;0,1,0),0)</f>
        <v>0</v>
      </c>
      <c r="DC171" s="23" t="n">
        <f aca="false">IF(AY171=1,IF(COUNTIFS($AW$2:$AW$201,AW171,$CY$2:$CY$201,1,$BB$2:$BB$201,1)&gt;0,1,0),0)</f>
        <v>0</v>
      </c>
      <c r="DD171" s="23" t="n">
        <f aca="false">IF(AND(BC171=1,INT(N(H171))&lt;=Config!$B$6,CZ171=1),1,0)</f>
        <v>0</v>
      </c>
      <c r="DE171" s="23" t="n">
        <f aca="false">IF(AND(BC171=1,INT(N(H171))&lt;=Config!$B$7,DA171=1),1,0)</f>
        <v>0</v>
      </c>
      <c r="DF171" s="23" t="n">
        <f aca="false">IF(AND(BC171=1,INT(N(H171))&lt;=Config!$B$8,DB171=1),1,0)</f>
        <v>0</v>
      </c>
      <c r="DG171" s="23" t="n">
        <f aca="false">IF(AND(BC171=1,INT(N(H171))&lt;=Config!$B$5,DC171=1),1,0)</f>
        <v>0</v>
      </c>
      <c r="DH171" s="23" t="n">
        <f aca="false">IF(AND(BE171=1,INT(N(H171))&lt;=Config!$B$6,CZ171=1),1,0)</f>
        <v>0</v>
      </c>
      <c r="DI171" s="23" t="n">
        <f aca="false">IF(AND(BE171=1,INT(N(H171))&lt;=Config!$B$7,DA171=1),1,0)</f>
        <v>0</v>
      </c>
      <c r="DJ171" s="23" t="n">
        <f aca="false">IF(AND(BE171=1,INT(N(H171))&lt;=Config!$B$8,DB171=1),1,0)</f>
        <v>0</v>
      </c>
      <c r="DK171" s="23" t="n">
        <f aca="false">IF(AND(BE171=1,INT(N(H171))&lt;=Config!$B$5,DC171=1),1,0)</f>
        <v>0</v>
      </c>
      <c r="DL171" s="23" t="n">
        <f aca="false">IF(AND(BC171=1,INT(N(H171))&lt;=Config!$B$6,CZ171=0),1,0)</f>
        <v>0</v>
      </c>
      <c r="DM171" s="23" t="n">
        <f aca="false">IF(AND(BC171=1,INT(N(H171))&lt;=Config!$B$7,DA171=0),1,0)</f>
        <v>0</v>
      </c>
      <c r="DN171" s="23" t="n">
        <f aca="false">IF(AND(BC171=1,INT(N(H171))&lt;=Config!$B$8,DB171=0),1,0)</f>
        <v>0</v>
      </c>
      <c r="DO171" s="23" t="n">
        <f aca="false">IF(AND(BC171=1,INT(N(H171))&lt;=Config!$B$5,DC171=0),1,0)</f>
        <v>0</v>
      </c>
      <c r="DP171" s="23" t="n">
        <f aca="false">IF(TRIM($A171)="",0,ISTEXT(K171)+ISTEXT(L171)+ISTEXT(R171)+ISTEXT(V171)+ISTEXT(AP171)+ISTEXT(AS171))</f>
        <v>0</v>
      </c>
      <c r="DQ171" s="23" t="n">
        <f aca="false">IF(AY171=1,IF(H171&lt;&gt;INT(H171),1,0),0)</f>
        <v>0</v>
      </c>
      <c r="DR171" s="23" t="str">
        <f aca="false">IF(TRIM($A171)="","",IF(TRIM(B171)="",SUBSTITUTE(SUBSTITUTE(SUBSTITUTE(SUBSTITUTE(SUBSTITUTE(SUBSTITUTE(LOWER(TRIM($A171)),"~",""),"*",""),"?",""),"&lt;",""),"&gt;",""),"=",""),SUBSTITUTE(SUBSTITUTE(SUBSTITUTE(SUBSTITUTE(SUBSTITUTE(SUBSTITUTE(LOWER(TRIM(B171)),"~",""),"*",""),"?",""),"&lt;",""),"&gt;",""),"=","")))</f>
        <v/>
      </c>
      <c r="DS171" s="23" t="str">
        <f aca="false">IF(CM171="","",IFERROR(IF(LEFT(LOWER(TRIM(INDEX(Clay_Brands!$A$2:$FZ$601,CM171,Sync!$D$19)&amp;"")),4)="grp-",SUBSTITUTE(SUBSTITUTE(SUBSTITUTE(SUBSTITUTE(SUBSTITUTE(SUBSTITUTE(LOWER(TRIM(INDEX(Clay_Brands!$A$2:$FZ$601,CM171,Sync!$D$19)&amp;"")),"~",""),"*",""),"?",""),"&lt;",""),"&gt;",""),"=",""),""),""))</f>
        <v/>
      </c>
      <c r="DT171" s="23" t="str">
        <f aca="false">IF(DS171&lt;&gt;"",DR171,"")</f>
        <v/>
      </c>
      <c r="DU171" s="23" t="str">
        <f aca="false">IF(AZ171=1,AW171,"")</f>
        <v/>
      </c>
      <c r="DV171" s="23" t="str">
        <f aca="false">IF(TRIM($A171)="","",IFERROR(INDEX($A$2:$A$201,MATCH(AW171,$DU$2:$DU$201,0))&amp;"",$A171&amp;""))</f>
        <v/>
      </c>
      <c r="DW171" s="23" t="n">
        <f aca="false">IF(AY171=1,IF(COUNTIFS($A$2:$A$201,$A171,$AY$2:$AY$201,1,$H$2:$H$201,"&lt;"&amp;H171)+COUNTIFS($A$2:$A$201,$A171,$AY$2:$AY$201,1,$H$2:$H$201,H171,$AX$2:$AX$201,"&lt;"&amp;AX171)=0,1,0),0)</f>
        <v>0</v>
      </c>
      <c r="DX171" s="23" t="n">
        <f aca="false">IF(AZ171=1,IF(COUNTIFS($AW$2:$AW$201,AW171,$DW$2:$DW$201,1)&gt;1,1,0),0)</f>
        <v>0</v>
      </c>
    </row>
    <row r="172" customFormat="false" ht="15" hidden="false" customHeight="false" outlineLevel="0" collapsed="false">
      <c r="G172" s="32"/>
      <c r="H172" s="33"/>
      <c r="I172" s="32"/>
      <c r="O172" s="32"/>
      <c r="P172" s="32"/>
      <c r="U172" s="32"/>
      <c r="Y172" s="32"/>
      <c r="AB172" s="32"/>
      <c r="AC172" s="32"/>
      <c r="AD172" s="32"/>
      <c r="AE172" s="32"/>
      <c r="AF172" s="32"/>
      <c r="AG172" s="32"/>
      <c r="AI172" s="32"/>
      <c r="AJ172" s="32"/>
      <c r="AK172" s="32"/>
      <c r="AN172" s="32"/>
      <c r="AO172" s="32"/>
      <c r="AR172" s="32"/>
      <c r="AT172" s="32"/>
      <c r="AV172" s="34" t="str">
        <f aca="false">IF(TRIM($A172)="","",IF(AND(LEFT($A172,6)="SAMPLE",Config!$B$19&lt;&gt;"Y"),"",IF(NOT(ISNUMBER(H172)),"call_date is blank or not a date",IF(Sync!$D$5="","Clay paste is empty or has no row_id column: paste the Clay export on Clay_Brands",IF(CM172="","row_id not found in the Clay paste: add the Clay row or fix the row_id",IF(AND(ISNUMBER(CO172),CO172&gt;=1,CO172&lt;=5),"Clay status is "&amp;CN172&amp;": set call_done or later",IF(AND(BA172=1,CP172&lt;&gt;CB172),"Clay yes_in_principle should be "&amp;CB172,IF(AND(BA172=1,CQ172&lt;&gt;H172),"Clay call_date should be "&amp;TEXT(H172,"yyyy-mm-dd"),""))))))))</f>
        <v/>
      </c>
      <c r="AW172" s="23" t="str">
        <f aca="false">IF(TRIM($A172)="","",IF(TRIM(C172)&lt;&gt;"",SUBSTITUTE(SUBSTITUTE(SUBSTITUTE(SUBSTITUTE(SUBSTITUTE(SUBSTITUTE(LOWER(TRIM(C172)),"~",""),"*",""),"?",""),"&lt;",""),"&gt;",""),"=",""),IF(DS172&lt;&gt;"",DS172,IFERROR(INDEX($DS$2:$DS$201,MATCH(DR172,$DT$2:$DT$201,0)),DR172))))</f>
        <v/>
      </c>
      <c r="AX172" s="23" t="n">
        <f aca="false">ROW()</f>
        <v>172</v>
      </c>
      <c r="AY172" s="23" t="n">
        <f aca="false">IF(AND(TRIM($A172)&lt;&gt;"",ISNUMBER(H172)),IF(AND(LEFT($A172,6)="SAMPLE",Config!$B$19&lt;&gt;"Y"),0,1),0)</f>
        <v>0</v>
      </c>
      <c r="AZ172" s="23" t="n">
        <f aca="false">IF(AY172=1,IF(COUNTIFS($AW$2:$AW$201,AW172,$AY$2:$AY$201,1,$H$2:$H$201,"&lt;"&amp;H172)+COUNTIFS($AW$2:$AW$201,AW172,$AY$2:$AY$201,1,$H$2:$H$201,H172,$AX$2:$AX$201,"&lt;"&amp;AX172)=0,1,0),0)</f>
        <v>0</v>
      </c>
      <c r="BA172" s="23" t="n">
        <f aca="false">IF(AY172=1,IF(COUNTIFS($A$2:$A$201,$A172,$AY$2:$AY$201,1,$H$2:$H$201,"&gt;"&amp;H172)+COUNTIFS($A$2:$A$201,$A172,$AY$2:$AY$201,1,$H$2:$H$201,H172,$AX$2:$AX$201,"&gt;"&amp;AX172)=0,1,0),0)</f>
        <v>0</v>
      </c>
      <c r="BB172" s="23" t="n">
        <f aca="false">IF(AND(AY172=1,O172="Y",MAX(N(R172),N(V172))&gt;=Config!$B$14),1,0)</f>
        <v>0</v>
      </c>
      <c r="BC172" s="23" t="n">
        <f aca="false">IF(BB172=1,IF(COUNTIFS($AW$2:$AW$201,AW172,$BB$2:$BB$201,1,$H$2:$H$201,"&lt;"&amp;H172)+COUNTIFS($AW$2:$AW$201,AW172,$BB$2:$BB$201,1,$H$2:$H$201,H172,$AX$2:$AX$201,"&lt;"&amp;AX172)=0,1,0),0)</f>
        <v>0</v>
      </c>
      <c r="BD172" s="23" t="n">
        <f aca="false">IF(AND(AY172=1,O172="Y",ISNUMBER(R172)),IF(R172&gt;=Config!$B$14,1,0),0)</f>
        <v>0</v>
      </c>
      <c r="BE172" s="23" t="n">
        <f aca="false">IF(BD172=1,IF(COUNTIFS($AW$2:$AW$201,AW172,$BD$2:$BD$201,1,$H$2:$H$201,"&lt;"&amp;H172)+COUNTIFS($AW$2:$AW$201,AW172,$BD$2:$BD$201,1,$H$2:$H$201,H172,$AX$2:$AX$201,"&lt;"&amp;AX172)=0,1,0),0)</f>
        <v>0</v>
      </c>
      <c r="BF172" s="23" t="n">
        <f aca="false">IF(AND(AY172=1,O172&lt;&gt;"Y",MAX(N(R172),N(V172))&gt;=Config!$B$14),1,0)</f>
        <v>0</v>
      </c>
      <c r="BG172" s="23" t="n">
        <f aca="false">IF(BF172=1,IF(COUNTIFS($AW$2:$AW$201,AW172,$BF$2:$BF$201,1,$H$2:$H$201,"&lt;"&amp;H172)+COUNTIFS($AW$2:$AW$201,AW172,$BF$2:$BF$201,1,$H$2:$H$201,H172,$AX$2:$AX$201,"&lt;"&amp;AX172)=0,1,0),0)</f>
        <v>0</v>
      </c>
      <c r="BH172" s="23" t="n">
        <f aca="false">IF(AND(AY172=1,ISNUMBER(R172)),1,0)</f>
        <v>0</v>
      </c>
      <c r="BI172" s="23" t="n">
        <f aca="false">IF(BH172=1,IF(COUNTIFS($AW$2:$AW$201,AW172,$BH$2:$BH$201,1,$H$2:$H$201,"&lt;"&amp;H172)+COUNTIFS($AW$2:$AW$201,AW172,$BH$2:$BH$201,1,$H$2:$H$201,H172,$AX$2:$AX$201,"&lt;"&amp;AX172)=0,1,0),0)</f>
        <v>0</v>
      </c>
      <c r="BJ172" s="23" t="str">
        <f aca="false">IF(AND(BI172=1,INT(N(H172))&lt;=Config!$B$6),R172,"")</f>
        <v/>
      </c>
      <c r="BK172" s="23" t="str">
        <f aca="false">IF(AND(BI172=1,INT(N(H172))&lt;=Config!$B$7),R172,"")</f>
        <v/>
      </c>
      <c r="BL172" s="23" t="str">
        <f aca="false">IF(AND(BI172=1,INT(N(H172))&lt;=Config!$B$8),R172,"")</f>
        <v/>
      </c>
      <c r="BM172" s="23" t="str">
        <f aca="false">IF(AND(BI172=1,INT(N(H172))&lt;=Config!$B$5),R172,"")</f>
        <v/>
      </c>
      <c r="BN172" s="23" t="n">
        <f aca="false">IF(AND(AY172=1,ISNUMBER(V172)),1,0)</f>
        <v>0</v>
      </c>
      <c r="BO172" s="23" t="n">
        <f aca="false">IF(BN172=1,IF(COUNTIFS($AW$2:$AW$201,AW172,$BN$2:$BN$201,1,$H$2:$H$201,"&lt;"&amp;H172)+COUNTIFS($AW$2:$AW$201,AW172,$BN$2:$BN$201,1,$H$2:$H$201,H172,$AX$2:$AX$201,"&lt;"&amp;AX172)=0,1,0),0)</f>
        <v>0</v>
      </c>
      <c r="BP172" s="23" t="str">
        <f aca="false">IF(AND(BO172=1,INT(N(H172))&lt;=Config!$B$6),V172,"")</f>
        <v/>
      </c>
      <c r="BQ172" s="23" t="str">
        <f aca="false">IF(AND(BO172=1,INT(N(H172))&lt;=Config!$B$7),V172,"")</f>
        <v/>
      </c>
      <c r="BR172" s="23" t="str">
        <f aca="false">IF(AND(BO172=1,INT(N(H172))&lt;=Config!$B$8),V172,"")</f>
        <v/>
      </c>
      <c r="BS172" s="23" t="str">
        <f aca="false">IF(AND(BO172=1,INT(N(H172))&lt;=Config!$B$5),V172,"")</f>
        <v/>
      </c>
      <c r="BT172" s="23" t="n">
        <f aca="false">IF(AND(AY172=1,ISNUMBER(K172)),1,0)</f>
        <v>0</v>
      </c>
      <c r="BU172" s="23" t="n">
        <f aca="false">IF(BT172=1,IF(COUNTIFS($AW$2:$AW$201,AW172,$BT$2:$BT$201,1,$H$2:$H$201,"&lt;"&amp;H172)+COUNTIFS($AW$2:$AW$201,AW172,$BT$2:$BT$201,1,$H$2:$H$201,H172,$AX$2:$AX$201,"&lt;"&amp;AX172)=0,1,0),0)</f>
        <v>0</v>
      </c>
      <c r="BV172" s="23" t="str">
        <f aca="false">IF(AND(BU172=1,INT(N(H172))&lt;=Config!$B$5),K172,"")</f>
        <v/>
      </c>
      <c r="BW172" s="23" t="n">
        <f aca="false">IF(AND(AY172=1,OR(AND(ISNUMBER(R172),TRIM(S172)=""),AND(ISNUMBER(V172),TRIM(W172)=""))),1,0)</f>
        <v>0</v>
      </c>
      <c r="BX172" s="23" t="str">
        <f aca="false">IF(AY172=1,AJ172&amp;"","")</f>
        <v/>
      </c>
      <c r="BY172" s="23" t="str">
        <f aca="false">IF(AY172=1,AK172&amp;"","")</f>
        <v/>
      </c>
      <c r="BZ172" s="23" t="str">
        <f aca="false">IF(AY172=1,AL172&amp;"","")</f>
        <v/>
      </c>
      <c r="CA172" s="23" t="str">
        <f aca="false">IF(AND(AY172=1,ISNUMBER(AS172),INT(N(H172))&lt;=Config!$B$5),AS172,"")</f>
        <v/>
      </c>
      <c r="CB172" s="23" t="str">
        <f aca="false">IF(AY172=1,IF(COUNTIFS($A$2:$A$201,$A172,$CU$2:$CU$201,1,$AN$2:$AN$201,"Y")&gt;0,"Y","N"),"")</f>
        <v/>
      </c>
      <c r="CC172" s="23" t="n">
        <f aca="false">IF(AND(AY172=1,AN172="Y"),IF(COUNTIFS($AW$2:$AW$201,AW172,$AN$2:$AN$201,"Y",$AY$2:$AY$201,1,$H$2:$H$201,"&lt;"&amp;H172)+COUNTIFS($AW$2:$AW$201,AW172,$AN$2:$AN$201,"Y",$AY$2:$AY$201,1,$H$2:$H$201,H172,$AX$2:$AX$201,"&lt;"&amp;AX172)=0,1,0),0)</f>
        <v>0</v>
      </c>
      <c r="CD172" s="23" t="n">
        <f aca="false">IF(AND(AY172=1,AB172="Y",AC172="Y",AD172="Y",AE172="Y",AF172="Y",AG172="Y",AI172="Y",TRIM(AH172)&lt;&gt;""),1,0)</f>
        <v>0</v>
      </c>
      <c r="CE172" s="23" t="n">
        <f aca="false">IF(CD172=1,IF(COUNTIFS($AW$2:$AW$201,AW172,$CD$2:$CD$201,1,$H$2:$H$201,"&lt;"&amp;H172)+COUNTIFS($AW$2:$AW$201,AW172,$CD$2:$CD$201,1,$H$2:$H$201,H172,$AX$2:$AX$201,"&lt;"&amp;AX172)=0,1,0),0)</f>
        <v>0</v>
      </c>
      <c r="CF172" s="23" t="n">
        <f aca="false">IF(AND(AY172=1,AO172="Y"),1,0)</f>
        <v>0</v>
      </c>
      <c r="CG172" s="23" t="n">
        <f aca="false">IF(CF172=1,IF(COUNTIFS($AW$2:$AW$201,AW172,$CF$2:$CF$201,1,$H$2:$H$201,"&lt;"&amp;H172)+COUNTIFS($AW$2:$AW$201,AW172,$CF$2:$CF$201,1,$H$2:$H$201,H172,$AX$2:$AX$201,"&lt;"&amp;AX172)=0,1,0),0)</f>
        <v>0</v>
      </c>
      <c r="CH172" s="23" t="n">
        <f aca="false">IF(AND(AY172=1,P172="Y"),1,0)</f>
        <v>0</v>
      </c>
      <c r="CI172" s="23" t="n">
        <f aca="false">IF(CH172=1,IF(COUNTIFS($AW$2:$AW$201,AW172,$CH$2:$CH$201,1,$H$2:$H$201,"&lt;"&amp;H172)+COUNTIFS($AW$2:$AW$201,AW172,$CH$2:$CH$201,1,$H$2:$H$201,H172,$AX$2:$AX$201,"&lt;"&amp;AX172)=0,1,0),0)</f>
        <v>0</v>
      </c>
      <c r="CJ172" s="23" t="str">
        <f aca="false">IF(AND(BU172=1,INT(N(H172))&lt;=Config!$B$5),L172,"")</f>
        <v/>
      </c>
      <c r="CK172" s="23" t="n">
        <f aca="false">IF(AND(AY172=1,AR172="Y"),1,0)</f>
        <v>0</v>
      </c>
      <c r="CL172" s="23" t="n">
        <f aca="false">IF(CK172=1,IF(COUNTIFS($AW$2:$AW$201,AW172,$CK$2:$CK$201,1,$H$2:$H$201,"&lt;"&amp;H172)+COUNTIFS($AW$2:$AW$201,AW172,$CK$2:$CK$201,1,$H$2:$H$201,H172,$AX$2:$AX$201,"&lt;"&amp;AX172)=0,1,0),0)</f>
        <v>0</v>
      </c>
      <c r="CM172" s="23" t="str">
        <f aca="false">IF(AY172=1,IFERROR(MATCH($A172,INDEX(Clay_Brands!$A$2:$FZ$601,0,Sync!$D$5),0),""),"")</f>
        <v/>
      </c>
      <c r="CN172" s="23" t="str">
        <f aca="false">IF(CM172="","",IFERROR(INDEX(Clay_Brands!$A$2:$FZ$601,CM172,Sync!$D$7)&amp;"",""))</f>
        <v/>
      </c>
      <c r="CO172" s="23" t="str">
        <f aca="false">IF(CN172="","",IFERROR(INDEX(Lists!$K$2:$K$15,MATCH(CN172,Lists!$J$2:$J$15,0)),""))</f>
        <v/>
      </c>
      <c r="CP172" s="23" t="str">
        <f aca="false">IF(CM172="","",IFERROR(INDEX(Clay_Brands!$A$2:$FZ$601,CM172,Sync!$D$17)&amp;"",""))</f>
        <v/>
      </c>
      <c r="CQ172" s="35" t="str">
        <f aca="false">IF(CM172="","",IFERROR(N(INDEX(Clay_Brands!$A$2:$FZ$601,CM172,Sync!$D$16)),0))</f>
        <v/>
      </c>
      <c r="CR172" s="23" t="n">
        <f aca="false">IF(AND(AY172=1,OR(O172="N",AND(OR(ISNUMBER(R172),ISNUMBER(V172)),MAX(N(R172),N(V172))&lt;Config!$B$14))),1,0)</f>
        <v>0</v>
      </c>
      <c r="CS172" s="23" t="n">
        <f aca="false">IF(OR(BB172=1,CR172=1),1,0)</f>
        <v>0</v>
      </c>
      <c r="CT172" s="23" t="n">
        <f aca="false">IF(AND(AY172=1,OR(AN172="Y",AN172="N",AN172="maybe")),1,0)</f>
        <v>0</v>
      </c>
      <c r="CU172" s="23" t="n">
        <f aca="false">IF(AND(CT172=1),IF(COUNTIFS($A$2:$A$201,$A172,$CT$2:$CT$201,1,$H$2:$H$201,"&gt;"&amp;H172)+COUNTIFS($A$2:$A$201,$A172,$CT$2:$CT$201,1,$H$2:$H$201,H172,$AX$2:$AX$201,"&gt;"&amp;AX172)=0,1,0),0)</f>
        <v>0</v>
      </c>
      <c r="CV172" s="23" t="n">
        <f aca="false">IF(AND(CS172=1,INT(N(H172))&lt;=Config!$B$6),IF(COUNTIFS($AW$2:$AW$201,AW172,$CS$2:$CS$201,1,$H$2:$H$201,"&gt;"&amp;H172,$H$2:$H$201,"&lt;"&amp;(Config!$B$6+1))+COUNTIFS($AW$2:$AW$201,AW172,$CS$2:$CS$201,1,$H$2:$H$201,H172,$AX$2:$AX$201,"&gt;"&amp;AX172)=0,1,0),0)</f>
        <v>0</v>
      </c>
      <c r="CW172" s="23" t="n">
        <f aca="false">IF(AND(CS172=1,INT(N(H172))&lt;=Config!$B$7),IF(COUNTIFS($AW$2:$AW$201,AW172,$CS$2:$CS$201,1,$H$2:$H$201,"&gt;"&amp;H172,$H$2:$H$201,"&lt;"&amp;(Config!$B$7+1))+COUNTIFS($AW$2:$AW$201,AW172,$CS$2:$CS$201,1,$H$2:$H$201,H172,$AX$2:$AX$201,"&gt;"&amp;AX172)=0,1,0),0)</f>
        <v>0</v>
      </c>
      <c r="CX172" s="23" t="n">
        <f aca="false">IF(AND(CS172=1,INT(N(H172))&lt;=Config!$B$8),IF(COUNTIFS($AW$2:$AW$201,AW172,$CS$2:$CS$201,1,$H$2:$H$201,"&gt;"&amp;H172,$H$2:$H$201,"&lt;"&amp;(Config!$B$8+1))+COUNTIFS($AW$2:$AW$201,AW172,$CS$2:$CS$201,1,$H$2:$H$201,H172,$AX$2:$AX$201,"&gt;"&amp;AX172)=0,1,0),0)</f>
        <v>0</v>
      </c>
      <c r="CY172" s="23" t="n">
        <f aca="false">IF(AND(CS172=1,INT(N(H172))&lt;=Config!$B$5),IF(COUNTIFS($AW$2:$AW$201,AW172,$CS$2:$CS$201,1,$H$2:$H$201,"&gt;"&amp;H172,$H$2:$H$201,"&lt;"&amp;(Config!$B$5+1))+COUNTIFS($AW$2:$AW$201,AW172,$CS$2:$CS$201,1,$H$2:$H$201,H172,$AX$2:$AX$201,"&gt;"&amp;AX172)=0,1,0),0)</f>
        <v>0</v>
      </c>
      <c r="CZ172" s="23" t="n">
        <f aca="false">IF(AY172=1,IF(COUNTIFS($AW$2:$AW$201,AW172,$CV$2:$CV$201,1,$BB$2:$BB$201,1)&gt;0,1,0),0)</f>
        <v>0</v>
      </c>
      <c r="DA172" s="23" t="n">
        <f aca="false">IF(AY172=1,IF(COUNTIFS($AW$2:$AW$201,AW172,$CW$2:$CW$201,1,$BB$2:$BB$201,1)&gt;0,1,0),0)</f>
        <v>0</v>
      </c>
      <c r="DB172" s="23" t="n">
        <f aca="false">IF(AY172=1,IF(COUNTIFS($AW$2:$AW$201,AW172,$CX$2:$CX$201,1,$BB$2:$BB$201,1)&gt;0,1,0),0)</f>
        <v>0</v>
      </c>
      <c r="DC172" s="23" t="n">
        <f aca="false">IF(AY172=1,IF(COUNTIFS($AW$2:$AW$201,AW172,$CY$2:$CY$201,1,$BB$2:$BB$201,1)&gt;0,1,0),0)</f>
        <v>0</v>
      </c>
      <c r="DD172" s="23" t="n">
        <f aca="false">IF(AND(BC172=1,INT(N(H172))&lt;=Config!$B$6,CZ172=1),1,0)</f>
        <v>0</v>
      </c>
      <c r="DE172" s="23" t="n">
        <f aca="false">IF(AND(BC172=1,INT(N(H172))&lt;=Config!$B$7,DA172=1),1,0)</f>
        <v>0</v>
      </c>
      <c r="DF172" s="23" t="n">
        <f aca="false">IF(AND(BC172=1,INT(N(H172))&lt;=Config!$B$8,DB172=1),1,0)</f>
        <v>0</v>
      </c>
      <c r="DG172" s="23" t="n">
        <f aca="false">IF(AND(BC172=1,INT(N(H172))&lt;=Config!$B$5,DC172=1),1,0)</f>
        <v>0</v>
      </c>
      <c r="DH172" s="23" t="n">
        <f aca="false">IF(AND(BE172=1,INT(N(H172))&lt;=Config!$B$6,CZ172=1),1,0)</f>
        <v>0</v>
      </c>
      <c r="DI172" s="23" t="n">
        <f aca="false">IF(AND(BE172=1,INT(N(H172))&lt;=Config!$B$7,DA172=1),1,0)</f>
        <v>0</v>
      </c>
      <c r="DJ172" s="23" t="n">
        <f aca="false">IF(AND(BE172=1,INT(N(H172))&lt;=Config!$B$8,DB172=1),1,0)</f>
        <v>0</v>
      </c>
      <c r="DK172" s="23" t="n">
        <f aca="false">IF(AND(BE172=1,INT(N(H172))&lt;=Config!$B$5,DC172=1),1,0)</f>
        <v>0</v>
      </c>
      <c r="DL172" s="23" t="n">
        <f aca="false">IF(AND(BC172=1,INT(N(H172))&lt;=Config!$B$6,CZ172=0),1,0)</f>
        <v>0</v>
      </c>
      <c r="DM172" s="23" t="n">
        <f aca="false">IF(AND(BC172=1,INT(N(H172))&lt;=Config!$B$7,DA172=0),1,0)</f>
        <v>0</v>
      </c>
      <c r="DN172" s="23" t="n">
        <f aca="false">IF(AND(BC172=1,INT(N(H172))&lt;=Config!$B$8,DB172=0),1,0)</f>
        <v>0</v>
      </c>
      <c r="DO172" s="23" t="n">
        <f aca="false">IF(AND(BC172=1,INT(N(H172))&lt;=Config!$B$5,DC172=0),1,0)</f>
        <v>0</v>
      </c>
      <c r="DP172" s="23" t="n">
        <f aca="false">IF(TRIM($A172)="",0,ISTEXT(K172)+ISTEXT(L172)+ISTEXT(R172)+ISTEXT(V172)+ISTEXT(AP172)+ISTEXT(AS172))</f>
        <v>0</v>
      </c>
      <c r="DQ172" s="23" t="n">
        <f aca="false">IF(AY172=1,IF(H172&lt;&gt;INT(H172),1,0),0)</f>
        <v>0</v>
      </c>
      <c r="DR172" s="23" t="str">
        <f aca="false">IF(TRIM($A172)="","",IF(TRIM(B172)="",SUBSTITUTE(SUBSTITUTE(SUBSTITUTE(SUBSTITUTE(SUBSTITUTE(SUBSTITUTE(LOWER(TRIM($A172)),"~",""),"*",""),"?",""),"&lt;",""),"&gt;",""),"=",""),SUBSTITUTE(SUBSTITUTE(SUBSTITUTE(SUBSTITUTE(SUBSTITUTE(SUBSTITUTE(LOWER(TRIM(B172)),"~",""),"*",""),"?",""),"&lt;",""),"&gt;",""),"=","")))</f>
        <v/>
      </c>
      <c r="DS172" s="23" t="str">
        <f aca="false">IF(CM172="","",IFERROR(IF(LEFT(LOWER(TRIM(INDEX(Clay_Brands!$A$2:$FZ$601,CM172,Sync!$D$19)&amp;"")),4)="grp-",SUBSTITUTE(SUBSTITUTE(SUBSTITUTE(SUBSTITUTE(SUBSTITUTE(SUBSTITUTE(LOWER(TRIM(INDEX(Clay_Brands!$A$2:$FZ$601,CM172,Sync!$D$19)&amp;"")),"~",""),"*",""),"?",""),"&lt;",""),"&gt;",""),"=",""),""),""))</f>
        <v/>
      </c>
      <c r="DT172" s="23" t="str">
        <f aca="false">IF(DS172&lt;&gt;"",DR172,"")</f>
        <v/>
      </c>
      <c r="DU172" s="23" t="str">
        <f aca="false">IF(AZ172=1,AW172,"")</f>
        <v/>
      </c>
      <c r="DV172" s="23" t="str">
        <f aca="false">IF(TRIM($A172)="","",IFERROR(INDEX($A$2:$A$201,MATCH(AW172,$DU$2:$DU$201,0))&amp;"",$A172&amp;""))</f>
        <v/>
      </c>
      <c r="DW172" s="23" t="n">
        <f aca="false">IF(AY172=1,IF(COUNTIFS($A$2:$A$201,$A172,$AY$2:$AY$201,1,$H$2:$H$201,"&lt;"&amp;H172)+COUNTIFS($A$2:$A$201,$A172,$AY$2:$AY$201,1,$H$2:$H$201,H172,$AX$2:$AX$201,"&lt;"&amp;AX172)=0,1,0),0)</f>
        <v>0</v>
      </c>
      <c r="DX172" s="23" t="n">
        <f aca="false">IF(AZ172=1,IF(COUNTIFS($AW$2:$AW$201,AW172,$DW$2:$DW$201,1)&gt;1,1,0),0)</f>
        <v>0</v>
      </c>
    </row>
    <row r="173" customFormat="false" ht="15" hidden="false" customHeight="false" outlineLevel="0" collapsed="false">
      <c r="G173" s="32"/>
      <c r="H173" s="33"/>
      <c r="I173" s="32"/>
      <c r="O173" s="32"/>
      <c r="P173" s="32"/>
      <c r="U173" s="32"/>
      <c r="Y173" s="32"/>
      <c r="AB173" s="32"/>
      <c r="AC173" s="32"/>
      <c r="AD173" s="32"/>
      <c r="AE173" s="32"/>
      <c r="AF173" s="32"/>
      <c r="AG173" s="32"/>
      <c r="AI173" s="32"/>
      <c r="AJ173" s="32"/>
      <c r="AK173" s="32"/>
      <c r="AN173" s="32"/>
      <c r="AO173" s="32"/>
      <c r="AR173" s="32"/>
      <c r="AT173" s="32"/>
      <c r="AV173" s="34" t="str">
        <f aca="false">IF(TRIM($A173)="","",IF(AND(LEFT($A173,6)="SAMPLE",Config!$B$19&lt;&gt;"Y"),"",IF(NOT(ISNUMBER(H173)),"call_date is blank or not a date",IF(Sync!$D$5="","Clay paste is empty or has no row_id column: paste the Clay export on Clay_Brands",IF(CM173="","row_id not found in the Clay paste: add the Clay row or fix the row_id",IF(AND(ISNUMBER(CO173),CO173&gt;=1,CO173&lt;=5),"Clay status is "&amp;CN173&amp;": set call_done or later",IF(AND(BA173=1,CP173&lt;&gt;CB173),"Clay yes_in_principle should be "&amp;CB173,IF(AND(BA173=1,CQ173&lt;&gt;H173),"Clay call_date should be "&amp;TEXT(H173,"yyyy-mm-dd"),""))))))))</f>
        <v/>
      </c>
      <c r="AW173" s="23" t="str">
        <f aca="false">IF(TRIM($A173)="","",IF(TRIM(C173)&lt;&gt;"",SUBSTITUTE(SUBSTITUTE(SUBSTITUTE(SUBSTITUTE(SUBSTITUTE(SUBSTITUTE(LOWER(TRIM(C173)),"~",""),"*",""),"?",""),"&lt;",""),"&gt;",""),"=",""),IF(DS173&lt;&gt;"",DS173,IFERROR(INDEX($DS$2:$DS$201,MATCH(DR173,$DT$2:$DT$201,0)),DR173))))</f>
        <v/>
      </c>
      <c r="AX173" s="23" t="n">
        <f aca="false">ROW()</f>
        <v>173</v>
      </c>
      <c r="AY173" s="23" t="n">
        <f aca="false">IF(AND(TRIM($A173)&lt;&gt;"",ISNUMBER(H173)),IF(AND(LEFT($A173,6)="SAMPLE",Config!$B$19&lt;&gt;"Y"),0,1),0)</f>
        <v>0</v>
      </c>
      <c r="AZ173" s="23" t="n">
        <f aca="false">IF(AY173=1,IF(COUNTIFS($AW$2:$AW$201,AW173,$AY$2:$AY$201,1,$H$2:$H$201,"&lt;"&amp;H173)+COUNTIFS($AW$2:$AW$201,AW173,$AY$2:$AY$201,1,$H$2:$H$201,H173,$AX$2:$AX$201,"&lt;"&amp;AX173)=0,1,0),0)</f>
        <v>0</v>
      </c>
      <c r="BA173" s="23" t="n">
        <f aca="false">IF(AY173=1,IF(COUNTIFS($A$2:$A$201,$A173,$AY$2:$AY$201,1,$H$2:$H$201,"&gt;"&amp;H173)+COUNTIFS($A$2:$A$201,$A173,$AY$2:$AY$201,1,$H$2:$H$201,H173,$AX$2:$AX$201,"&gt;"&amp;AX173)=0,1,0),0)</f>
        <v>0</v>
      </c>
      <c r="BB173" s="23" t="n">
        <f aca="false">IF(AND(AY173=1,O173="Y",MAX(N(R173),N(V173))&gt;=Config!$B$14),1,0)</f>
        <v>0</v>
      </c>
      <c r="BC173" s="23" t="n">
        <f aca="false">IF(BB173=1,IF(COUNTIFS($AW$2:$AW$201,AW173,$BB$2:$BB$201,1,$H$2:$H$201,"&lt;"&amp;H173)+COUNTIFS($AW$2:$AW$201,AW173,$BB$2:$BB$201,1,$H$2:$H$201,H173,$AX$2:$AX$201,"&lt;"&amp;AX173)=0,1,0),0)</f>
        <v>0</v>
      </c>
      <c r="BD173" s="23" t="n">
        <f aca="false">IF(AND(AY173=1,O173="Y",ISNUMBER(R173)),IF(R173&gt;=Config!$B$14,1,0),0)</f>
        <v>0</v>
      </c>
      <c r="BE173" s="23" t="n">
        <f aca="false">IF(BD173=1,IF(COUNTIFS($AW$2:$AW$201,AW173,$BD$2:$BD$201,1,$H$2:$H$201,"&lt;"&amp;H173)+COUNTIFS($AW$2:$AW$201,AW173,$BD$2:$BD$201,1,$H$2:$H$201,H173,$AX$2:$AX$201,"&lt;"&amp;AX173)=0,1,0),0)</f>
        <v>0</v>
      </c>
      <c r="BF173" s="23" t="n">
        <f aca="false">IF(AND(AY173=1,O173&lt;&gt;"Y",MAX(N(R173),N(V173))&gt;=Config!$B$14),1,0)</f>
        <v>0</v>
      </c>
      <c r="BG173" s="23" t="n">
        <f aca="false">IF(BF173=1,IF(COUNTIFS($AW$2:$AW$201,AW173,$BF$2:$BF$201,1,$H$2:$H$201,"&lt;"&amp;H173)+COUNTIFS($AW$2:$AW$201,AW173,$BF$2:$BF$201,1,$H$2:$H$201,H173,$AX$2:$AX$201,"&lt;"&amp;AX173)=0,1,0),0)</f>
        <v>0</v>
      </c>
      <c r="BH173" s="23" t="n">
        <f aca="false">IF(AND(AY173=1,ISNUMBER(R173)),1,0)</f>
        <v>0</v>
      </c>
      <c r="BI173" s="23" t="n">
        <f aca="false">IF(BH173=1,IF(COUNTIFS($AW$2:$AW$201,AW173,$BH$2:$BH$201,1,$H$2:$H$201,"&lt;"&amp;H173)+COUNTIFS($AW$2:$AW$201,AW173,$BH$2:$BH$201,1,$H$2:$H$201,H173,$AX$2:$AX$201,"&lt;"&amp;AX173)=0,1,0),0)</f>
        <v>0</v>
      </c>
      <c r="BJ173" s="23" t="str">
        <f aca="false">IF(AND(BI173=1,INT(N(H173))&lt;=Config!$B$6),R173,"")</f>
        <v/>
      </c>
      <c r="BK173" s="23" t="str">
        <f aca="false">IF(AND(BI173=1,INT(N(H173))&lt;=Config!$B$7),R173,"")</f>
        <v/>
      </c>
      <c r="BL173" s="23" t="str">
        <f aca="false">IF(AND(BI173=1,INT(N(H173))&lt;=Config!$B$8),R173,"")</f>
        <v/>
      </c>
      <c r="BM173" s="23" t="str">
        <f aca="false">IF(AND(BI173=1,INT(N(H173))&lt;=Config!$B$5),R173,"")</f>
        <v/>
      </c>
      <c r="BN173" s="23" t="n">
        <f aca="false">IF(AND(AY173=1,ISNUMBER(V173)),1,0)</f>
        <v>0</v>
      </c>
      <c r="BO173" s="23" t="n">
        <f aca="false">IF(BN173=1,IF(COUNTIFS($AW$2:$AW$201,AW173,$BN$2:$BN$201,1,$H$2:$H$201,"&lt;"&amp;H173)+COUNTIFS($AW$2:$AW$201,AW173,$BN$2:$BN$201,1,$H$2:$H$201,H173,$AX$2:$AX$201,"&lt;"&amp;AX173)=0,1,0),0)</f>
        <v>0</v>
      </c>
      <c r="BP173" s="23" t="str">
        <f aca="false">IF(AND(BO173=1,INT(N(H173))&lt;=Config!$B$6),V173,"")</f>
        <v/>
      </c>
      <c r="BQ173" s="23" t="str">
        <f aca="false">IF(AND(BO173=1,INT(N(H173))&lt;=Config!$B$7),V173,"")</f>
        <v/>
      </c>
      <c r="BR173" s="23" t="str">
        <f aca="false">IF(AND(BO173=1,INT(N(H173))&lt;=Config!$B$8),V173,"")</f>
        <v/>
      </c>
      <c r="BS173" s="23" t="str">
        <f aca="false">IF(AND(BO173=1,INT(N(H173))&lt;=Config!$B$5),V173,"")</f>
        <v/>
      </c>
      <c r="BT173" s="23" t="n">
        <f aca="false">IF(AND(AY173=1,ISNUMBER(K173)),1,0)</f>
        <v>0</v>
      </c>
      <c r="BU173" s="23" t="n">
        <f aca="false">IF(BT173=1,IF(COUNTIFS($AW$2:$AW$201,AW173,$BT$2:$BT$201,1,$H$2:$H$201,"&lt;"&amp;H173)+COUNTIFS($AW$2:$AW$201,AW173,$BT$2:$BT$201,1,$H$2:$H$201,H173,$AX$2:$AX$201,"&lt;"&amp;AX173)=0,1,0),0)</f>
        <v>0</v>
      </c>
      <c r="BV173" s="23" t="str">
        <f aca="false">IF(AND(BU173=1,INT(N(H173))&lt;=Config!$B$5),K173,"")</f>
        <v/>
      </c>
      <c r="BW173" s="23" t="n">
        <f aca="false">IF(AND(AY173=1,OR(AND(ISNUMBER(R173),TRIM(S173)=""),AND(ISNUMBER(V173),TRIM(W173)=""))),1,0)</f>
        <v>0</v>
      </c>
      <c r="BX173" s="23" t="str">
        <f aca="false">IF(AY173=1,AJ173&amp;"","")</f>
        <v/>
      </c>
      <c r="BY173" s="23" t="str">
        <f aca="false">IF(AY173=1,AK173&amp;"","")</f>
        <v/>
      </c>
      <c r="BZ173" s="23" t="str">
        <f aca="false">IF(AY173=1,AL173&amp;"","")</f>
        <v/>
      </c>
      <c r="CA173" s="23" t="str">
        <f aca="false">IF(AND(AY173=1,ISNUMBER(AS173),INT(N(H173))&lt;=Config!$B$5),AS173,"")</f>
        <v/>
      </c>
      <c r="CB173" s="23" t="str">
        <f aca="false">IF(AY173=1,IF(COUNTIFS($A$2:$A$201,$A173,$CU$2:$CU$201,1,$AN$2:$AN$201,"Y")&gt;0,"Y","N"),"")</f>
        <v/>
      </c>
      <c r="CC173" s="23" t="n">
        <f aca="false">IF(AND(AY173=1,AN173="Y"),IF(COUNTIFS($AW$2:$AW$201,AW173,$AN$2:$AN$201,"Y",$AY$2:$AY$201,1,$H$2:$H$201,"&lt;"&amp;H173)+COUNTIFS($AW$2:$AW$201,AW173,$AN$2:$AN$201,"Y",$AY$2:$AY$201,1,$H$2:$H$201,H173,$AX$2:$AX$201,"&lt;"&amp;AX173)=0,1,0),0)</f>
        <v>0</v>
      </c>
      <c r="CD173" s="23" t="n">
        <f aca="false">IF(AND(AY173=1,AB173="Y",AC173="Y",AD173="Y",AE173="Y",AF173="Y",AG173="Y",AI173="Y",TRIM(AH173)&lt;&gt;""),1,0)</f>
        <v>0</v>
      </c>
      <c r="CE173" s="23" t="n">
        <f aca="false">IF(CD173=1,IF(COUNTIFS($AW$2:$AW$201,AW173,$CD$2:$CD$201,1,$H$2:$H$201,"&lt;"&amp;H173)+COUNTIFS($AW$2:$AW$201,AW173,$CD$2:$CD$201,1,$H$2:$H$201,H173,$AX$2:$AX$201,"&lt;"&amp;AX173)=0,1,0),0)</f>
        <v>0</v>
      </c>
      <c r="CF173" s="23" t="n">
        <f aca="false">IF(AND(AY173=1,AO173="Y"),1,0)</f>
        <v>0</v>
      </c>
      <c r="CG173" s="23" t="n">
        <f aca="false">IF(CF173=1,IF(COUNTIFS($AW$2:$AW$201,AW173,$CF$2:$CF$201,1,$H$2:$H$201,"&lt;"&amp;H173)+COUNTIFS($AW$2:$AW$201,AW173,$CF$2:$CF$201,1,$H$2:$H$201,H173,$AX$2:$AX$201,"&lt;"&amp;AX173)=0,1,0),0)</f>
        <v>0</v>
      </c>
      <c r="CH173" s="23" t="n">
        <f aca="false">IF(AND(AY173=1,P173="Y"),1,0)</f>
        <v>0</v>
      </c>
      <c r="CI173" s="23" t="n">
        <f aca="false">IF(CH173=1,IF(COUNTIFS($AW$2:$AW$201,AW173,$CH$2:$CH$201,1,$H$2:$H$201,"&lt;"&amp;H173)+COUNTIFS($AW$2:$AW$201,AW173,$CH$2:$CH$201,1,$H$2:$H$201,H173,$AX$2:$AX$201,"&lt;"&amp;AX173)=0,1,0),0)</f>
        <v>0</v>
      </c>
      <c r="CJ173" s="23" t="str">
        <f aca="false">IF(AND(BU173=1,INT(N(H173))&lt;=Config!$B$5),L173,"")</f>
        <v/>
      </c>
      <c r="CK173" s="23" t="n">
        <f aca="false">IF(AND(AY173=1,AR173="Y"),1,0)</f>
        <v>0</v>
      </c>
      <c r="CL173" s="23" t="n">
        <f aca="false">IF(CK173=1,IF(COUNTIFS($AW$2:$AW$201,AW173,$CK$2:$CK$201,1,$H$2:$H$201,"&lt;"&amp;H173)+COUNTIFS($AW$2:$AW$201,AW173,$CK$2:$CK$201,1,$H$2:$H$201,H173,$AX$2:$AX$201,"&lt;"&amp;AX173)=0,1,0),0)</f>
        <v>0</v>
      </c>
      <c r="CM173" s="23" t="str">
        <f aca="false">IF(AY173=1,IFERROR(MATCH($A173,INDEX(Clay_Brands!$A$2:$FZ$601,0,Sync!$D$5),0),""),"")</f>
        <v/>
      </c>
      <c r="CN173" s="23" t="str">
        <f aca="false">IF(CM173="","",IFERROR(INDEX(Clay_Brands!$A$2:$FZ$601,CM173,Sync!$D$7)&amp;"",""))</f>
        <v/>
      </c>
      <c r="CO173" s="23" t="str">
        <f aca="false">IF(CN173="","",IFERROR(INDEX(Lists!$K$2:$K$15,MATCH(CN173,Lists!$J$2:$J$15,0)),""))</f>
        <v/>
      </c>
      <c r="CP173" s="23" t="str">
        <f aca="false">IF(CM173="","",IFERROR(INDEX(Clay_Brands!$A$2:$FZ$601,CM173,Sync!$D$17)&amp;"",""))</f>
        <v/>
      </c>
      <c r="CQ173" s="35" t="str">
        <f aca="false">IF(CM173="","",IFERROR(N(INDEX(Clay_Brands!$A$2:$FZ$601,CM173,Sync!$D$16)),0))</f>
        <v/>
      </c>
      <c r="CR173" s="23" t="n">
        <f aca="false">IF(AND(AY173=1,OR(O173="N",AND(OR(ISNUMBER(R173),ISNUMBER(V173)),MAX(N(R173),N(V173))&lt;Config!$B$14))),1,0)</f>
        <v>0</v>
      </c>
      <c r="CS173" s="23" t="n">
        <f aca="false">IF(OR(BB173=1,CR173=1),1,0)</f>
        <v>0</v>
      </c>
      <c r="CT173" s="23" t="n">
        <f aca="false">IF(AND(AY173=1,OR(AN173="Y",AN173="N",AN173="maybe")),1,0)</f>
        <v>0</v>
      </c>
      <c r="CU173" s="23" t="n">
        <f aca="false">IF(AND(CT173=1),IF(COUNTIFS($A$2:$A$201,$A173,$CT$2:$CT$201,1,$H$2:$H$201,"&gt;"&amp;H173)+COUNTIFS($A$2:$A$201,$A173,$CT$2:$CT$201,1,$H$2:$H$201,H173,$AX$2:$AX$201,"&gt;"&amp;AX173)=0,1,0),0)</f>
        <v>0</v>
      </c>
      <c r="CV173" s="23" t="n">
        <f aca="false">IF(AND(CS173=1,INT(N(H173))&lt;=Config!$B$6),IF(COUNTIFS($AW$2:$AW$201,AW173,$CS$2:$CS$201,1,$H$2:$H$201,"&gt;"&amp;H173,$H$2:$H$201,"&lt;"&amp;(Config!$B$6+1))+COUNTIFS($AW$2:$AW$201,AW173,$CS$2:$CS$201,1,$H$2:$H$201,H173,$AX$2:$AX$201,"&gt;"&amp;AX173)=0,1,0),0)</f>
        <v>0</v>
      </c>
      <c r="CW173" s="23" t="n">
        <f aca="false">IF(AND(CS173=1,INT(N(H173))&lt;=Config!$B$7),IF(COUNTIFS($AW$2:$AW$201,AW173,$CS$2:$CS$201,1,$H$2:$H$201,"&gt;"&amp;H173,$H$2:$H$201,"&lt;"&amp;(Config!$B$7+1))+COUNTIFS($AW$2:$AW$201,AW173,$CS$2:$CS$201,1,$H$2:$H$201,H173,$AX$2:$AX$201,"&gt;"&amp;AX173)=0,1,0),0)</f>
        <v>0</v>
      </c>
      <c r="CX173" s="23" t="n">
        <f aca="false">IF(AND(CS173=1,INT(N(H173))&lt;=Config!$B$8),IF(COUNTIFS($AW$2:$AW$201,AW173,$CS$2:$CS$201,1,$H$2:$H$201,"&gt;"&amp;H173,$H$2:$H$201,"&lt;"&amp;(Config!$B$8+1))+COUNTIFS($AW$2:$AW$201,AW173,$CS$2:$CS$201,1,$H$2:$H$201,H173,$AX$2:$AX$201,"&gt;"&amp;AX173)=0,1,0),0)</f>
        <v>0</v>
      </c>
      <c r="CY173" s="23" t="n">
        <f aca="false">IF(AND(CS173=1,INT(N(H173))&lt;=Config!$B$5),IF(COUNTIFS($AW$2:$AW$201,AW173,$CS$2:$CS$201,1,$H$2:$H$201,"&gt;"&amp;H173,$H$2:$H$201,"&lt;"&amp;(Config!$B$5+1))+COUNTIFS($AW$2:$AW$201,AW173,$CS$2:$CS$201,1,$H$2:$H$201,H173,$AX$2:$AX$201,"&gt;"&amp;AX173)=0,1,0),0)</f>
        <v>0</v>
      </c>
      <c r="CZ173" s="23" t="n">
        <f aca="false">IF(AY173=1,IF(COUNTIFS($AW$2:$AW$201,AW173,$CV$2:$CV$201,1,$BB$2:$BB$201,1)&gt;0,1,0),0)</f>
        <v>0</v>
      </c>
      <c r="DA173" s="23" t="n">
        <f aca="false">IF(AY173=1,IF(COUNTIFS($AW$2:$AW$201,AW173,$CW$2:$CW$201,1,$BB$2:$BB$201,1)&gt;0,1,0),0)</f>
        <v>0</v>
      </c>
      <c r="DB173" s="23" t="n">
        <f aca="false">IF(AY173=1,IF(COUNTIFS($AW$2:$AW$201,AW173,$CX$2:$CX$201,1,$BB$2:$BB$201,1)&gt;0,1,0),0)</f>
        <v>0</v>
      </c>
      <c r="DC173" s="23" t="n">
        <f aca="false">IF(AY173=1,IF(COUNTIFS($AW$2:$AW$201,AW173,$CY$2:$CY$201,1,$BB$2:$BB$201,1)&gt;0,1,0),0)</f>
        <v>0</v>
      </c>
      <c r="DD173" s="23" t="n">
        <f aca="false">IF(AND(BC173=1,INT(N(H173))&lt;=Config!$B$6,CZ173=1),1,0)</f>
        <v>0</v>
      </c>
      <c r="DE173" s="23" t="n">
        <f aca="false">IF(AND(BC173=1,INT(N(H173))&lt;=Config!$B$7,DA173=1),1,0)</f>
        <v>0</v>
      </c>
      <c r="DF173" s="23" t="n">
        <f aca="false">IF(AND(BC173=1,INT(N(H173))&lt;=Config!$B$8,DB173=1),1,0)</f>
        <v>0</v>
      </c>
      <c r="DG173" s="23" t="n">
        <f aca="false">IF(AND(BC173=1,INT(N(H173))&lt;=Config!$B$5,DC173=1),1,0)</f>
        <v>0</v>
      </c>
      <c r="DH173" s="23" t="n">
        <f aca="false">IF(AND(BE173=1,INT(N(H173))&lt;=Config!$B$6,CZ173=1),1,0)</f>
        <v>0</v>
      </c>
      <c r="DI173" s="23" t="n">
        <f aca="false">IF(AND(BE173=1,INT(N(H173))&lt;=Config!$B$7,DA173=1),1,0)</f>
        <v>0</v>
      </c>
      <c r="DJ173" s="23" t="n">
        <f aca="false">IF(AND(BE173=1,INT(N(H173))&lt;=Config!$B$8,DB173=1),1,0)</f>
        <v>0</v>
      </c>
      <c r="DK173" s="23" t="n">
        <f aca="false">IF(AND(BE173=1,INT(N(H173))&lt;=Config!$B$5,DC173=1),1,0)</f>
        <v>0</v>
      </c>
      <c r="DL173" s="23" t="n">
        <f aca="false">IF(AND(BC173=1,INT(N(H173))&lt;=Config!$B$6,CZ173=0),1,0)</f>
        <v>0</v>
      </c>
      <c r="DM173" s="23" t="n">
        <f aca="false">IF(AND(BC173=1,INT(N(H173))&lt;=Config!$B$7,DA173=0),1,0)</f>
        <v>0</v>
      </c>
      <c r="DN173" s="23" t="n">
        <f aca="false">IF(AND(BC173=1,INT(N(H173))&lt;=Config!$B$8,DB173=0),1,0)</f>
        <v>0</v>
      </c>
      <c r="DO173" s="23" t="n">
        <f aca="false">IF(AND(BC173=1,INT(N(H173))&lt;=Config!$B$5,DC173=0),1,0)</f>
        <v>0</v>
      </c>
      <c r="DP173" s="23" t="n">
        <f aca="false">IF(TRIM($A173)="",0,ISTEXT(K173)+ISTEXT(L173)+ISTEXT(R173)+ISTEXT(V173)+ISTEXT(AP173)+ISTEXT(AS173))</f>
        <v>0</v>
      </c>
      <c r="DQ173" s="23" t="n">
        <f aca="false">IF(AY173=1,IF(H173&lt;&gt;INT(H173),1,0),0)</f>
        <v>0</v>
      </c>
      <c r="DR173" s="23" t="str">
        <f aca="false">IF(TRIM($A173)="","",IF(TRIM(B173)="",SUBSTITUTE(SUBSTITUTE(SUBSTITUTE(SUBSTITUTE(SUBSTITUTE(SUBSTITUTE(LOWER(TRIM($A173)),"~",""),"*",""),"?",""),"&lt;",""),"&gt;",""),"=",""),SUBSTITUTE(SUBSTITUTE(SUBSTITUTE(SUBSTITUTE(SUBSTITUTE(SUBSTITUTE(LOWER(TRIM(B173)),"~",""),"*",""),"?",""),"&lt;",""),"&gt;",""),"=","")))</f>
        <v/>
      </c>
      <c r="DS173" s="23" t="str">
        <f aca="false">IF(CM173="","",IFERROR(IF(LEFT(LOWER(TRIM(INDEX(Clay_Brands!$A$2:$FZ$601,CM173,Sync!$D$19)&amp;"")),4)="grp-",SUBSTITUTE(SUBSTITUTE(SUBSTITUTE(SUBSTITUTE(SUBSTITUTE(SUBSTITUTE(LOWER(TRIM(INDEX(Clay_Brands!$A$2:$FZ$601,CM173,Sync!$D$19)&amp;"")),"~",""),"*",""),"?",""),"&lt;",""),"&gt;",""),"=",""),""),""))</f>
        <v/>
      </c>
      <c r="DT173" s="23" t="str">
        <f aca="false">IF(DS173&lt;&gt;"",DR173,"")</f>
        <v/>
      </c>
      <c r="DU173" s="23" t="str">
        <f aca="false">IF(AZ173=1,AW173,"")</f>
        <v/>
      </c>
      <c r="DV173" s="23" t="str">
        <f aca="false">IF(TRIM($A173)="","",IFERROR(INDEX($A$2:$A$201,MATCH(AW173,$DU$2:$DU$201,0))&amp;"",$A173&amp;""))</f>
        <v/>
      </c>
      <c r="DW173" s="23" t="n">
        <f aca="false">IF(AY173=1,IF(COUNTIFS($A$2:$A$201,$A173,$AY$2:$AY$201,1,$H$2:$H$201,"&lt;"&amp;H173)+COUNTIFS($A$2:$A$201,$A173,$AY$2:$AY$201,1,$H$2:$H$201,H173,$AX$2:$AX$201,"&lt;"&amp;AX173)=0,1,0),0)</f>
        <v>0</v>
      </c>
      <c r="DX173" s="23" t="n">
        <f aca="false">IF(AZ173=1,IF(COUNTIFS($AW$2:$AW$201,AW173,$DW$2:$DW$201,1)&gt;1,1,0),0)</f>
        <v>0</v>
      </c>
    </row>
    <row r="174" customFormat="false" ht="15" hidden="false" customHeight="false" outlineLevel="0" collapsed="false">
      <c r="G174" s="32"/>
      <c r="H174" s="33"/>
      <c r="I174" s="32"/>
      <c r="O174" s="32"/>
      <c r="P174" s="32"/>
      <c r="U174" s="32"/>
      <c r="Y174" s="32"/>
      <c r="AB174" s="32"/>
      <c r="AC174" s="32"/>
      <c r="AD174" s="32"/>
      <c r="AE174" s="32"/>
      <c r="AF174" s="32"/>
      <c r="AG174" s="32"/>
      <c r="AI174" s="32"/>
      <c r="AJ174" s="32"/>
      <c r="AK174" s="32"/>
      <c r="AN174" s="32"/>
      <c r="AO174" s="32"/>
      <c r="AR174" s="32"/>
      <c r="AT174" s="32"/>
      <c r="AV174" s="34" t="str">
        <f aca="false">IF(TRIM($A174)="","",IF(AND(LEFT($A174,6)="SAMPLE",Config!$B$19&lt;&gt;"Y"),"",IF(NOT(ISNUMBER(H174)),"call_date is blank or not a date",IF(Sync!$D$5="","Clay paste is empty or has no row_id column: paste the Clay export on Clay_Brands",IF(CM174="","row_id not found in the Clay paste: add the Clay row or fix the row_id",IF(AND(ISNUMBER(CO174),CO174&gt;=1,CO174&lt;=5),"Clay status is "&amp;CN174&amp;": set call_done or later",IF(AND(BA174=1,CP174&lt;&gt;CB174),"Clay yes_in_principle should be "&amp;CB174,IF(AND(BA174=1,CQ174&lt;&gt;H174),"Clay call_date should be "&amp;TEXT(H174,"yyyy-mm-dd"),""))))))))</f>
        <v/>
      </c>
      <c r="AW174" s="23" t="str">
        <f aca="false">IF(TRIM($A174)="","",IF(TRIM(C174)&lt;&gt;"",SUBSTITUTE(SUBSTITUTE(SUBSTITUTE(SUBSTITUTE(SUBSTITUTE(SUBSTITUTE(LOWER(TRIM(C174)),"~",""),"*",""),"?",""),"&lt;",""),"&gt;",""),"=",""),IF(DS174&lt;&gt;"",DS174,IFERROR(INDEX($DS$2:$DS$201,MATCH(DR174,$DT$2:$DT$201,0)),DR174))))</f>
        <v/>
      </c>
      <c r="AX174" s="23" t="n">
        <f aca="false">ROW()</f>
        <v>174</v>
      </c>
      <c r="AY174" s="23" t="n">
        <f aca="false">IF(AND(TRIM($A174)&lt;&gt;"",ISNUMBER(H174)),IF(AND(LEFT($A174,6)="SAMPLE",Config!$B$19&lt;&gt;"Y"),0,1),0)</f>
        <v>0</v>
      </c>
      <c r="AZ174" s="23" t="n">
        <f aca="false">IF(AY174=1,IF(COUNTIFS($AW$2:$AW$201,AW174,$AY$2:$AY$201,1,$H$2:$H$201,"&lt;"&amp;H174)+COUNTIFS($AW$2:$AW$201,AW174,$AY$2:$AY$201,1,$H$2:$H$201,H174,$AX$2:$AX$201,"&lt;"&amp;AX174)=0,1,0),0)</f>
        <v>0</v>
      </c>
      <c r="BA174" s="23" t="n">
        <f aca="false">IF(AY174=1,IF(COUNTIFS($A$2:$A$201,$A174,$AY$2:$AY$201,1,$H$2:$H$201,"&gt;"&amp;H174)+COUNTIFS($A$2:$A$201,$A174,$AY$2:$AY$201,1,$H$2:$H$201,H174,$AX$2:$AX$201,"&gt;"&amp;AX174)=0,1,0),0)</f>
        <v>0</v>
      </c>
      <c r="BB174" s="23" t="n">
        <f aca="false">IF(AND(AY174=1,O174="Y",MAX(N(R174),N(V174))&gt;=Config!$B$14),1,0)</f>
        <v>0</v>
      </c>
      <c r="BC174" s="23" t="n">
        <f aca="false">IF(BB174=1,IF(COUNTIFS($AW$2:$AW$201,AW174,$BB$2:$BB$201,1,$H$2:$H$201,"&lt;"&amp;H174)+COUNTIFS($AW$2:$AW$201,AW174,$BB$2:$BB$201,1,$H$2:$H$201,H174,$AX$2:$AX$201,"&lt;"&amp;AX174)=0,1,0),0)</f>
        <v>0</v>
      </c>
      <c r="BD174" s="23" t="n">
        <f aca="false">IF(AND(AY174=1,O174="Y",ISNUMBER(R174)),IF(R174&gt;=Config!$B$14,1,0),0)</f>
        <v>0</v>
      </c>
      <c r="BE174" s="23" t="n">
        <f aca="false">IF(BD174=1,IF(COUNTIFS($AW$2:$AW$201,AW174,$BD$2:$BD$201,1,$H$2:$H$201,"&lt;"&amp;H174)+COUNTIFS($AW$2:$AW$201,AW174,$BD$2:$BD$201,1,$H$2:$H$201,H174,$AX$2:$AX$201,"&lt;"&amp;AX174)=0,1,0),0)</f>
        <v>0</v>
      </c>
      <c r="BF174" s="23" t="n">
        <f aca="false">IF(AND(AY174=1,O174&lt;&gt;"Y",MAX(N(R174),N(V174))&gt;=Config!$B$14),1,0)</f>
        <v>0</v>
      </c>
      <c r="BG174" s="23" t="n">
        <f aca="false">IF(BF174=1,IF(COUNTIFS($AW$2:$AW$201,AW174,$BF$2:$BF$201,1,$H$2:$H$201,"&lt;"&amp;H174)+COUNTIFS($AW$2:$AW$201,AW174,$BF$2:$BF$201,1,$H$2:$H$201,H174,$AX$2:$AX$201,"&lt;"&amp;AX174)=0,1,0),0)</f>
        <v>0</v>
      </c>
      <c r="BH174" s="23" t="n">
        <f aca="false">IF(AND(AY174=1,ISNUMBER(R174)),1,0)</f>
        <v>0</v>
      </c>
      <c r="BI174" s="23" t="n">
        <f aca="false">IF(BH174=1,IF(COUNTIFS($AW$2:$AW$201,AW174,$BH$2:$BH$201,1,$H$2:$H$201,"&lt;"&amp;H174)+COUNTIFS($AW$2:$AW$201,AW174,$BH$2:$BH$201,1,$H$2:$H$201,H174,$AX$2:$AX$201,"&lt;"&amp;AX174)=0,1,0),0)</f>
        <v>0</v>
      </c>
      <c r="BJ174" s="23" t="str">
        <f aca="false">IF(AND(BI174=1,INT(N(H174))&lt;=Config!$B$6),R174,"")</f>
        <v/>
      </c>
      <c r="BK174" s="23" t="str">
        <f aca="false">IF(AND(BI174=1,INT(N(H174))&lt;=Config!$B$7),R174,"")</f>
        <v/>
      </c>
      <c r="BL174" s="23" t="str">
        <f aca="false">IF(AND(BI174=1,INT(N(H174))&lt;=Config!$B$8),R174,"")</f>
        <v/>
      </c>
      <c r="BM174" s="23" t="str">
        <f aca="false">IF(AND(BI174=1,INT(N(H174))&lt;=Config!$B$5),R174,"")</f>
        <v/>
      </c>
      <c r="BN174" s="23" t="n">
        <f aca="false">IF(AND(AY174=1,ISNUMBER(V174)),1,0)</f>
        <v>0</v>
      </c>
      <c r="BO174" s="23" t="n">
        <f aca="false">IF(BN174=1,IF(COUNTIFS($AW$2:$AW$201,AW174,$BN$2:$BN$201,1,$H$2:$H$201,"&lt;"&amp;H174)+COUNTIFS($AW$2:$AW$201,AW174,$BN$2:$BN$201,1,$H$2:$H$201,H174,$AX$2:$AX$201,"&lt;"&amp;AX174)=0,1,0),0)</f>
        <v>0</v>
      </c>
      <c r="BP174" s="23" t="str">
        <f aca="false">IF(AND(BO174=1,INT(N(H174))&lt;=Config!$B$6),V174,"")</f>
        <v/>
      </c>
      <c r="BQ174" s="23" t="str">
        <f aca="false">IF(AND(BO174=1,INT(N(H174))&lt;=Config!$B$7),V174,"")</f>
        <v/>
      </c>
      <c r="BR174" s="23" t="str">
        <f aca="false">IF(AND(BO174=1,INT(N(H174))&lt;=Config!$B$8),V174,"")</f>
        <v/>
      </c>
      <c r="BS174" s="23" t="str">
        <f aca="false">IF(AND(BO174=1,INT(N(H174))&lt;=Config!$B$5),V174,"")</f>
        <v/>
      </c>
      <c r="BT174" s="23" t="n">
        <f aca="false">IF(AND(AY174=1,ISNUMBER(K174)),1,0)</f>
        <v>0</v>
      </c>
      <c r="BU174" s="23" t="n">
        <f aca="false">IF(BT174=1,IF(COUNTIFS($AW$2:$AW$201,AW174,$BT$2:$BT$201,1,$H$2:$H$201,"&lt;"&amp;H174)+COUNTIFS($AW$2:$AW$201,AW174,$BT$2:$BT$201,1,$H$2:$H$201,H174,$AX$2:$AX$201,"&lt;"&amp;AX174)=0,1,0),0)</f>
        <v>0</v>
      </c>
      <c r="BV174" s="23" t="str">
        <f aca="false">IF(AND(BU174=1,INT(N(H174))&lt;=Config!$B$5),K174,"")</f>
        <v/>
      </c>
      <c r="BW174" s="23" t="n">
        <f aca="false">IF(AND(AY174=1,OR(AND(ISNUMBER(R174),TRIM(S174)=""),AND(ISNUMBER(V174),TRIM(W174)=""))),1,0)</f>
        <v>0</v>
      </c>
      <c r="BX174" s="23" t="str">
        <f aca="false">IF(AY174=1,AJ174&amp;"","")</f>
        <v/>
      </c>
      <c r="BY174" s="23" t="str">
        <f aca="false">IF(AY174=1,AK174&amp;"","")</f>
        <v/>
      </c>
      <c r="BZ174" s="23" t="str">
        <f aca="false">IF(AY174=1,AL174&amp;"","")</f>
        <v/>
      </c>
      <c r="CA174" s="23" t="str">
        <f aca="false">IF(AND(AY174=1,ISNUMBER(AS174),INT(N(H174))&lt;=Config!$B$5),AS174,"")</f>
        <v/>
      </c>
      <c r="CB174" s="23" t="str">
        <f aca="false">IF(AY174=1,IF(COUNTIFS($A$2:$A$201,$A174,$CU$2:$CU$201,1,$AN$2:$AN$201,"Y")&gt;0,"Y","N"),"")</f>
        <v/>
      </c>
      <c r="CC174" s="23" t="n">
        <f aca="false">IF(AND(AY174=1,AN174="Y"),IF(COUNTIFS($AW$2:$AW$201,AW174,$AN$2:$AN$201,"Y",$AY$2:$AY$201,1,$H$2:$H$201,"&lt;"&amp;H174)+COUNTIFS($AW$2:$AW$201,AW174,$AN$2:$AN$201,"Y",$AY$2:$AY$201,1,$H$2:$H$201,H174,$AX$2:$AX$201,"&lt;"&amp;AX174)=0,1,0),0)</f>
        <v>0</v>
      </c>
      <c r="CD174" s="23" t="n">
        <f aca="false">IF(AND(AY174=1,AB174="Y",AC174="Y",AD174="Y",AE174="Y",AF174="Y",AG174="Y",AI174="Y",TRIM(AH174)&lt;&gt;""),1,0)</f>
        <v>0</v>
      </c>
      <c r="CE174" s="23" t="n">
        <f aca="false">IF(CD174=1,IF(COUNTIFS($AW$2:$AW$201,AW174,$CD$2:$CD$201,1,$H$2:$H$201,"&lt;"&amp;H174)+COUNTIFS($AW$2:$AW$201,AW174,$CD$2:$CD$201,1,$H$2:$H$201,H174,$AX$2:$AX$201,"&lt;"&amp;AX174)=0,1,0),0)</f>
        <v>0</v>
      </c>
      <c r="CF174" s="23" t="n">
        <f aca="false">IF(AND(AY174=1,AO174="Y"),1,0)</f>
        <v>0</v>
      </c>
      <c r="CG174" s="23" t="n">
        <f aca="false">IF(CF174=1,IF(COUNTIFS($AW$2:$AW$201,AW174,$CF$2:$CF$201,1,$H$2:$H$201,"&lt;"&amp;H174)+COUNTIFS($AW$2:$AW$201,AW174,$CF$2:$CF$201,1,$H$2:$H$201,H174,$AX$2:$AX$201,"&lt;"&amp;AX174)=0,1,0),0)</f>
        <v>0</v>
      </c>
      <c r="CH174" s="23" t="n">
        <f aca="false">IF(AND(AY174=1,P174="Y"),1,0)</f>
        <v>0</v>
      </c>
      <c r="CI174" s="23" t="n">
        <f aca="false">IF(CH174=1,IF(COUNTIFS($AW$2:$AW$201,AW174,$CH$2:$CH$201,1,$H$2:$H$201,"&lt;"&amp;H174)+COUNTIFS($AW$2:$AW$201,AW174,$CH$2:$CH$201,1,$H$2:$H$201,H174,$AX$2:$AX$201,"&lt;"&amp;AX174)=0,1,0),0)</f>
        <v>0</v>
      </c>
      <c r="CJ174" s="23" t="str">
        <f aca="false">IF(AND(BU174=1,INT(N(H174))&lt;=Config!$B$5),L174,"")</f>
        <v/>
      </c>
      <c r="CK174" s="23" t="n">
        <f aca="false">IF(AND(AY174=1,AR174="Y"),1,0)</f>
        <v>0</v>
      </c>
      <c r="CL174" s="23" t="n">
        <f aca="false">IF(CK174=1,IF(COUNTIFS($AW$2:$AW$201,AW174,$CK$2:$CK$201,1,$H$2:$H$201,"&lt;"&amp;H174)+COUNTIFS($AW$2:$AW$201,AW174,$CK$2:$CK$201,1,$H$2:$H$201,H174,$AX$2:$AX$201,"&lt;"&amp;AX174)=0,1,0),0)</f>
        <v>0</v>
      </c>
      <c r="CM174" s="23" t="str">
        <f aca="false">IF(AY174=1,IFERROR(MATCH($A174,INDEX(Clay_Brands!$A$2:$FZ$601,0,Sync!$D$5),0),""),"")</f>
        <v/>
      </c>
      <c r="CN174" s="23" t="str">
        <f aca="false">IF(CM174="","",IFERROR(INDEX(Clay_Brands!$A$2:$FZ$601,CM174,Sync!$D$7)&amp;"",""))</f>
        <v/>
      </c>
      <c r="CO174" s="23" t="str">
        <f aca="false">IF(CN174="","",IFERROR(INDEX(Lists!$K$2:$K$15,MATCH(CN174,Lists!$J$2:$J$15,0)),""))</f>
        <v/>
      </c>
      <c r="CP174" s="23" t="str">
        <f aca="false">IF(CM174="","",IFERROR(INDEX(Clay_Brands!$A$2:$FZ$601,CM174,Sync!$D$17)&amp;"",""))</f>
        <v/>
      </c>
      <c r="CQ174" s="35" t="str">
        <f aca="false">IF(CM174="","",IFERROR(N(INDEX(Clay_Brands!$A$2:$FZ$601,CM174,Sync!$D$16)),0))</f>
        <v/>
      </c>
      <c r="CR174" s="23" t="n">
        <f aca="false">IF(AND(AY174=1,OR(O174="N",AND(OR(ISNUMBER(R174),ISNUMBER(V174)),MAX(N(R174),N(V174))&lt;Config!$B$14))),1,0)</f>
        <v>0</v>
      </c>
      <c r="CS174" s="23" t="n">
        <f aca="false">IF(OR(BB174=1,CR174=1),1,0)</f>
        <v>0</v>
      </c>
      <c r="CT174" s="23" t="n">
        <f aca="false">IF(AND(AY174=1,OR(AN174="Y",AN174="N",AN174="maybe")),1,0)</f>
        <v>0</v>
      </c>
      <c r="CU174" s="23" t="n">
        <f aca="false">IF(AND(CT174=1),IF(COUNTIFS($A$2:$A$201,$A174,$CT$2:$CT$201,1,$H$2:$H$201,"&gt;"&amp;H174)+COUNTIFS($A$2:$A$201,$A174,$CT$2:$CT$201,1,$H$2:$H$201,H174,$AX$2:$AX$201,"&gt;"&amp;AX174)=0,1,0),0)</f>
        <v>0</v>
      </c>
      <c r="CV174" s="23" t="n">
        <f aca="false">IF(AND(CS174=1,INT(N(H174))&lt;=Config!$B$6),IF(COUNTIFS($AW$2:$AW$201,AW174,$CS$2:$CS$201,1,$H$2:$H$201,"&gt;"&amp;H174,$H$2:$H$201,"&lt;"&amp;(Config!$B$6+1))+COUNTIFS($AW$2:$AW$201,AW174,$CS$2:$CS$201,1,$H$2:$H$201,H174,$AX$2:$AX$201,"&gt;"&amp;AX174)=0,1,0),0)</f>
        <v>0</v>
      </c>
      <c r="CW174" s="23" t="n">
        <f aca="false">IF(AND(CS174=1,INT(N(H174))&lt;=Config!$B$7),IF(COUNTIFS($AW$2:$AW$201,AW174,$CS$2:$CS$201,1,$H$2:$H$201,"&gt;"&amp;H174,$H$2:$H$201,"&lt;"&amp;(Config!$B$7+1))+COUNTIFS($AW$2:$AW$201,AW174,$CS$2:$CS$201,1,$H$2:$H$201,H174,$AX$2:$AX$201,"&gt;"&amp;AX174)=0,1,0),0)</f>
        <v>0</v>
      </c>
      <c r="CX174" s="23" t="n">
        <f aca="false">IF(AND(CS174=1,INT(N(H174))&lt;=Config!$B$8),IF(COUNTIFS($AW$2:$AW$201,AW174,$CS$2:$CS$201,1,$H$2:$H$201,"&gt;"&amp;H174,$H$2:$H$201,"&lt;"&amp;(Config!$B$8+1))+COUNTIFS($AW$2:$AW$201,AW174,$CS$2:$CS$201,1,$H$2:$H$201,H174,$AX$2:$AX$201,"&gt;"&amp;AX174)=0,1,0),0)</f>
        <v>0</v>
      </c>
      <c r="CY174" s="23" t="n">
        <f aca="false">IF(AND(CS174=1,INT(N(H174))&lt;=Config!$B$5),IF(COUNTIFS($AW$2:$AW$201,AW174,$CS$2:$CS$201,1,$H$2:$H$201,"&gt;"&amp;H174,$H$2:$H$201,"&lt;"&amp;(Config!$B$5+1))+COUNTIFS($AW$2:$AW$201,AW174,$CS$2:$CS$201,1,$H$2:$H$201,H174,$AX$2:$AX$201,"&gt;"&amp;AX174)=0,1,0),0)</f>
        <v>0</v>
      </c>
      <c r="CZ174" s="23" t="n">
        <f aca="false">IF(AY174=1,IF(COUNTIFS($AW$2:$AW$201,AW174,$CV$2:$CV$201,1,$BB$2:$BB$201,1)&gt;0,1,0),0)</f>
        <v>0</v>
      </c>
      <c r="DA174" s="23" t="n">
        <f aca="false">IF(AY174=1,IF(COUNTIFS($AW$2:$AW$201,AW174,$CW$2:$CW$201,1,$BB$2:$BB$201,1)&gt;0,1,0),0)</f>
        <v>0</v>
      </c>
      <c r="DB174" s="23" t="n">
        <f aca="false">IF(AY174=1,IF(COUNTIFS($AW$2:$AW$201,AW174,$CX$2:$CX$201,1,$BB$2:$BB$201,1)&gt;0,1,0),0)</f>
        <v>0</v>
      </c>
      <c r="DC174" s="23" t="n">
        <f aca="false">IF(AY174=1,IF(COUNTIFS($AW$2:$AW$201,AW174,$CY$2:$CY$201,1,$BB$2:$BB$201,1)&gt;0,1,0),0)</f>
        <v>0</v>
      </c>
      <c r="DD174" s="23" t="n">
        <f aca="false">IF(AND(BC174=1,INT(N(H174))&lt;=Config!$B$6,CZ174=1),1,0)</f>
        <v>0</v>
      </c>
      <c r="DE174" s="23" t="n">
        <f aca="false">IF(AND(BC174=1,INT(N(H174))&lt;=Config!$B$7,DA174=1),1,0)</f>
        <v>0</v>
      </c>
      <c r="DF174" s="23" t="n">
        <f aca="false">IF(AND(BC174=1,INT(N(H174))&lt;=Config!$B$8,DB174=1),1,0)</f>
        <v>0</v>
      </c>
      <c r="DG174" s="23" t="n">
        <f aca="false">IF(AND(BC174=1,INT(N(H174))&lt;=Config!$B$5,DC174=1),1,0)</f>
        <v>0</v>
      </c>
      <c r="DH174" s="23" t="n">
        <f aca="false">IF(AND(BE174=1,INT(N(H174))&lt;=Config!$B$6,CZ174=1),1,0)</f>
        <v>0</v>
      </c>
      <c r="DI174" s="23" t="n">
        <f aca="false">IF(AND(BE174=1,INT(N(H174))&lt;=Config!$B$7,DA174=1),1,0)</f>
        <v>0</v>
      </c>
      <c r="DJ174" s="23" t="n">
        <f aca="false">IF(AND(BE174=1,INT(N(H174))&lt;=Config!$B$8,DB174=1),1,0)</f>
        <v>0</v>
      </c>
      <c r="DK174" s="23" t="n">
        <f aca="false">IF(AND(BE174=1,INT(N(H174))&lt;=Config!$B$5,DC174=1),1,0)</f>
        <v>0</v>
      </c>
      <c r="DL174" s="23" t="n">
        <f aca="false">IF(AND(BC174=1,INT(N(H174))&lt;=Config!$B$6,CZ174=0),1,0)</f>
        <v>0</v>
      </c>
      <c r="DM174" s="23" t="n">
        <f aca="false">IF(AND(BC174=1,INT(N(H174))&lt;=Config!$B$7,DA174=0),1,0)</f>
        <v>0</v>
      </c>
      <c r="DN174" s="23" t="n">
        <f aca="false">IF(AND(BC174=1,INT(N(H174))&lt;=Config!$B$8,DB174=0),1,0)</f>
        <v>0</v>
      </c>
      <c r="DO174" s="23" t="n">
        <f aca="false">IF(AND(BC174=1,INT(N(H174))&lt;=Config!$B$5,DC174=0),1,0)</f>
        <v>0</v>
      </c>
      <c r="DP174" s="23" t="n">
        <f aca="false">IF(TRIM($A174)="",0,ISTEXT(K174)+ISTEXT(L174)+ISTEXT(R174)+ISTEXT(V174)+ISTEXT(AP174)+ISTEXT(AS174))</f>
        <v>0</v>
      </c>
      <c r="DQ174" s="23" t="n">
        <f aca="false">IF(AY174=1,IF(H174&lt;&gt;INT(H174),1,0),0)</f>
        <v>0</v>
      </c>
      <c r="DR174" s="23" t="str">
        <f aca="false">IF(TRIM($A174)="","",IF(TRIM(B174)="",SUBSTITUTE(SUBSTITUTE(SUBSTITUTE(SUBSTITUTE(SUBSTITUTE(SUBSTITUTE(LOWER(TRIM($A174)),"~",""),"*",""),"?",""),"&lt;",""),"&gt;",""),"=",""),SUBSTITUTE(SUBSTITUTE(SUBSTITUTE(SUBSTITUTE(SUBSTITUTE(SUBSTITUTE(LOWER(TRIM(B174)),"~",""),"*",""),"?",""),"&lt;",""),"&gt;",""),"=","")))</f>
        <v/>
      </c>
      <c r="DS174" s="23" t="str">
        <f aca="false">IF(CM174="","",IFERROR(IF(LEFT(LOWER(TRIM(INDEX(Clay_Brands!$A$2:$FZ$601,CM174,Sync!$D$19)&amp;"")),4)="grp-",SUBSTITUTE(SUBSTITUTE(SUBSTITUTE(SUBSTITUTE(SUBSTITUTE(SUBSTITUTE(LOWER(TRIM(INDEX(Clay_Brands!$A$2:$FZ$601,CM174,Sync!$D$19)&amp;"")),"~",""),"*",""),"?",""),"&lt;",""),"&gt;",""),"=",""),""),""))</f>
        <v/>
      </c>
      <c r="DT174" s="23" t="str">
        <f aca="false">IF(DS174&lt;&gt;"",DR174,"")</f>
        <v/>
      </c>
      <c r="DU174" s="23" t="str">
        <f aca="false">IF(AZ174=1,AW174,"")</f>
        <v/>
      </c>
      <c r="DV174" s="23" t="str">
        <f aca="false">IF(TRIM($A174)="","",IFERROR(INDEX($A$2:$A$201,MATCH(AW174,$DU$2:$DU$201,0))&amp;"",$A174&amp;""))</f>
        <v/>
      </c>
      <c r="DW174" s="23" t="n">
        <f aca="false">IF(AY174=1,IF(COUNTIFS($A$2:$A$201,$A174,$AY$2:$AY$201,1,$H$2:$H$201,"&lt;"&amp;H174)+COUNTIFS($A$2:$A$201,$A174,$AY$2:$AY$201,1,$H$2:$H$201,H174,$AX$2:$AX$201,"&lt;"&amp;AX174)=0,1,0),0)</f>
        <v>0</v>
      </c>
      <c r="DX174" s="23" t="n">
        <f aca="false">IF(AZ174=1,IF(COUNTIFS($AW$2:$AW$201,AW174,$DW$2:$DW$201,1)&gt;1,1,0),0)</f>
        <v>0</v>
      </c>
    </row>
    <row r="175" customFormat="false" ht="15" hidden="false" customHeight="false" outlineLevel="0" collapsed="false">
      <c r="G175" s="32"/>
      <c r="H175" s="33"/>
      <c r="I175" s="32"/>
      <c r="O175" s="32"/>
      <c r="P175" s="32"/>
      <c r="U175" s="32"/>
      <c r="Y175" s="32"/>
      <c r="AB175" s="32"/>
      <c r="AC175" s="32"/>
      <c r="AD175" s="32"/>
      <c r="AE175" s="32"/>
      <c r="AF175" s="32"/>
      <c r="AG175" s="32"/>
      <c r="AI175" s="32"/>
      <c r="AJ175" s="32"/>
      <c r="AK175" s="32"/>
      <c r="AN175" s="32"/>
      <c r="AO175" s="32"/>
      <c r="AR175" s="32"/>
      <c r="AT175" s="32"/>
      <c r="AV175" s="34" t="str">
        <f aca="false">IF(TRIM($A175)="","",IF(AND(LEFT($A175,6)="SAMPLE",Config!$B$19&lt;&gt;"Y"),"",IF(NOT(ISNUMBER(H175)),"call_date is blank or not a date",IF(Sync!$D$5="","Clay paste is empty or has no row_id column: paste the Clay export on Clay_Brands",IF(CM175="","row_id not found in the Clay paste: add the Clay row or fix the row_id",IF(AND(ISNUMBER(CO175),CO175&gt;=1,CO175&lt;=5),"Clay status is "&amp;CN175&amp;": set call_done or later",IF(AND(BA175=1,CP175&lt;&gt;CB175),"Clay yes_in_principle should be "&amp;CB175,IF(AND(BA175=1,CQ175&lt;&gt;H175),"Clay call_date should be "&amp;TEXT(H175,"yyyy-mm-dd"),""))))))))</f>
        <v/>
      </c>
      <c r="AW175" s="23" t="str">
        <f aca="false">IF(TRIM($A175)="","",IF(TRIM(C175)&lt;&gt;"",SUBSTITUTE(SUBSTITUTE(SUBSTITUTE(SUBSTITUTE(SUBSTITUTE(SUBSTITUTE(LOWER(TRIM(C175)),"~",""),"*",""),"?",""),"&lt;",""),"&gt;",""),"=",""),IF(DS175&lt;&gt;"",DS175,IFERROR(INDEX($DS$2:$DS$201,MATCH(DR175,$DT$2:$DT$201,0)),DR175))))</f>
        <v/>
      </c>
      <c r="AX175" s="23" t="n">
        <f aca="false">ROW()</f>
        <v>175</v>
      </c>
      <c r="AY175" s="23" t="n">
        <f aca="false">IF(AND(TRIM($A175)&lt;&gt;"",ISNUMBER(H175)),IF(AND(LEFT($A175,6)="SAMPLE",Config!$B$19&lt;&gt;"Y"),0,1),0)</f>
        <v>0</v>
      </c>
      <c r="AZ175" s="23" t="n">
        <f aca="false">IF(AY175=1,IF(COUNTIFS($AW$2:$AW$201,AW175,$AY$2:$AY$201,1,$H$2:$H$201,"&lt;"&amp;H175)+COUNTIFS($AW$2:$AW$201,AW175,$AY$2:$AY$201,1,$H$2:$H$201,H175,$AX$2:$AX$201,"&lt;"&amp;AX175)=0,1,0),0)</f>
        <v>0</v>
      </c>
      <c r="BA175" s="23" t="n">
        <f aca="false">IF(AY175=1,IF(COUNTIFS($A$2:$A$201,$A175,$AY$2:$AY$201,1,$H$2:$H$201,"&gt;"&amp;H175)+COUNTIFS($A$2:$A$201,$A175,$AY$2:$AY$201,1,$H$2:$H$201,H175,$AX$2:$AX$201,"&gt;"&amp;AX175)=0,1,0),0)</f>
        <v>0</v>
      </c>
      <c r="BB175" s="23" t="n">
        <f aca="false">IF(AND(AY175=1,O175="Y",MAX(N(R175),N(V175))&gt;=Config!$B$14),1,0)</f>
        <v>0</v>
      </c>
      <c r="BC175" s="23" t="n">
        <f aca="false">IF(BB175=1,IF(COUNTIFS($AW$2:$AW$201,AW175,$BB$2:$BB$201,1,$H$2:$H$201,"&lt;"&amp;H175)+COUNTIFS($AW$2:$AW$201,AW175,$BB$2:$BB$201,1,$H$2:$H$201,H175,$AX$2:$AX$201,"&lt;"&amp;AX175)=0,1,0),0)</f>
        <v>0</v>
      </c>
      <c r="BD175" s="23" t="n">
        <f aca="false">IF(AND(AY175=1,O175="Y",ISNUMBER(R175)),IF(R175&gt;=Config!$B$14,1,0),0)</f>
        <v>0</v>
      </c>
      <c r="BE175" s="23" t="n">
        <f aca="false">IF(BD175=1,IF(COUNTIFS($AW$2:$AW$201,AW175,$BD$2:$BD$201,1,$H$2:$H$201,"&lt;"&amp;H175)+COUNTIFS($AW$2:$AW$201,AW175,$BD$2:$BD$201,1,$H$2:$H$201,H175,$AX$2:$AX$201,"&lt;"&amp;AX175)=0,1,0),0)</f>
        <v>0</v>
      </c>
      <c r="BF175" s="23" t="n">
        <f aca="false">IF(AND(AY175=1,O175&lt;&gt;"Y",MAX(N(R175),N(V175))&gt;=Config!$B$14),1,0)</f>
        <v>0</v>
      </c>
      <c r="BG175" s="23" t="n">
        <f aca="false">IF(BF175=1,IF(COUNTIFS($AW$2:$AW$201,AW175,$BF$2:$BF$201,1,$H$2:$H$201,"&lt;"&amp;H175)+COUNTIFS($AW$2:$AW$201,AW175,$BF$2:$BF$201,1,$H$2:$H$201,H175,$AX$2:$AX$201,"&lt;"&amp;AX175)=0,1,0),0)</f>
        <v>0</v>
      </c>
      <c r="BH175" s="23" t="n">
        <f aca="false">IF(AND(AY175=1,ISNUMBER(R175)),1,0)</f>
        <v>0</v>
      </c>
      <c r="BI175" s="23" t="n">
        <f aca="false">IF(BH175=1,IF(COUNTIFS($AW$2:$AW$201,AW175,$BH$2:$BH$201,1,$H$2:$H$201,"&lt;"&amp;H175)+COUNTIFS($AW$2:$AW$201,AW175,$BH$2:$BH$201,1,$H$2:$H$201,H175,$AX$2:$AX$201,"&lt;"&amp;AX175)=0,1,0),0)</f>
        <v>0</v>
      </c>
      <c r="BJ175" s="23" t="str">
        <f aca="false">IF(AND(BI175=1,INT(N(H175))&lt;=Config!$B$6),R175,"")</f>
        <v/>
      </c>
      <c r="BK175" s="23" t="str">
        <f aca="false">IF(AND(BI175=1,INT(N(H175))&lt;=Config!$B$7),R175,"")</f>
        <v/>
      </c>
      <c r="BL175" s="23" t="str">
        <f aca="false">IF(AND(BI175=1,INT(N(H175))&lt;=Config!$B$8),R175,"")</f>
        <v/>
      </c>
      <c r="BM175" s="23" t="str">
        <f aca="false">IF(AND(BI175=1,INT(N(H175))&lt;=Config!$B$5),R175,"")</f>
        <v/>
      </c>
      <c r="BN175" s="23" t="n">
        <f aca="false">IF(AND(AY175=1,ISNUMBER(V175)),1,0)</f>
        <v>0</v>
      </c>
      <c r="BO175" s="23" t="n">
        <f aca="false">IF(BN175=1,IF(COUNTIFS($AW$2:$AW$201,AW175,$BN$2:$BN$201,1,$H$2:$H$201,"&lt;"&amp;H175)+COUNTIFS($AW$2:$AW$201,AW175,$BN$2:$BN$201,1,$H$2:$H$201,H175,$AX$2:$AX$201,"&lt;"&amp;AX175)=0,1,0),0)</f>
        <v>0</v>
      </c>
      <c r="BP175" s="23" t="str">
        <f aca="false">IF(AND(BO175=1,INT(N(H175))&lt;=Config!$B$6),V175,"")</f>
        <v/>
      </c>
      <c r="BQ175" s="23" t="str">
        <f aca="false">IF(AND(BO175=1,INT(N(H175))&lt;=Config!$B$7),V175,"")</f>
        <v/>
      </c>
      <c r="BR175" s="23" t="str">
        <f aca="false">IF(AND(BO175=1,INT(N(H175))&lt;=Config!$B$8),V175,"")</f>
        <v/>
      </c>
      <c r="BS175" s="23" t="str">
        <f aca="false">IF(AND(BO175=1,INT(N(H175))&lt;=Config!$B$5),V175,"")</f>
        <v/>
      </c>
      <c r="BT175" s="23" t="n">
        <f aca="false">IF(AND(AY175=1,ISNUMBER(K175)),1,0)</f>
        <v>0</v>
      </c>
      <c r="BU175" s="23" t="n">
        <f aca="false">IF(BT175=1,IF(COUNTIFS($AW$2:$AW$201,AW175,$BT$2:$BT$201,1,$H$2:$H$201,"&lt;"&amp;H175)+COUNTIFS($AW$2:$AW$201,AW175,$BT$2:$BT$201,1,$H$2:$H$201,H175,$AX$2:$AX$201,"&lt;"&amp;AX175)=0,1,0),0)</f>
        <v>0</v>
      </c>
      <c r="BV175" s="23" t="str">
        <f aca="false">IF(AND(BU175=1,INT(N(H175))&lt;=Config!$B$5),K175,"")</f>
        <v/>
      </c>
      <c r="BW175" s="23" t="n">
        <f aca="false">IF(AND(AY175=1,OR(AND(ISNUMBER(R175),TRIM(S175)=""),AND(ISNUMBER(V175),TRIM(W175)=""))),1,0)</f>
        <v>0</v>
      </c>
      <c r="BX175" s="23" t="str">
        <f aca="false">IF(AY175=1,AJ175&amp;"","")</f>
        <v/>
      </c>
      <c r="BY175" s="23" t="str">
        <f aca="false">IF(AY175=1,AK175&amp;"","")</f>
        <v/>
      </c>
      <c r="BZ175" s="23" t="str">
        <f aca="false">IF(AY175=1,AL175&amp;"","")</f>
        <v/>
      </c>
      <c r="CA175" s="23" t="str">
        <f aca="false">IF(AND(AY175=1,ISNUMBER(AS175),INT(N(H175))&lt;=Config!$B$5),AS175,"")</f>
        <v/>
      </c>
      <c r="CB175" s="23" t="str">
        <f aca="false">IF(AY175=1,IF(COUNTIFS($A$2:$A$201,$A175,$CU$2:$CU$201,1,$AN$2:$AN$201,"Y")&gt;0,"Y","N"),"")</f>
        <v/>
      </c>
      <c r="CC175" s="23" t="n">
        <f aca="false">IF(AND(AY175=1,AN175="Y"),IF(COUNTIFS($AW$2:$AW$201,AW175,$AN$2:$AN$201,"Y",$AY$2:$AY$201,1,$H$2:$H$201,"&lt;"&amp;H175)+COUNTIFS($AW$2:$AW$201,AW175,$AN$2:$AN$201,"Y",$AY$2:$AY$201,1,$H$2:$H$201,H175,$AX$2:$AX$201,"&lt;"&amp;AX175)=0,1,0),0)</f>
        <v>0</v>
      </c>
      <c r="CD175" s="23" t="n">
        <f aca="false">IF(AND(AY175=1,AB175="Y",AC175="Y",AD175="Y",AE175="Y",AF175="Y",AG175="Y",AI175="Y",TRIM(AH175)&lt;&gt;""),1,0)</f>
        <v>0</v>
      </c>
      <c r="CE175" s="23" t="n">
        <f aca="false">IF(CD175=1,IF(COUNTIFS($AW$2:$AW$201,AW175,$CD$2:$CD$201,1,$H$2:$H$201,"&lt;"&amp;H175)+COUNTIFS($AW$2:$AW$201,AW175,$CD$2:$CD$201,1,$H$2:$H$201,H175,$AX$2:$AX$201,"&lt;"&amp;AX175)=0,1,0),0)</f>
        <v>0</v>
      </c>
      <c r="CF175" s="23" t="n">
        <f aca="false">IF(AND(AY175=1,AO175="Y"),1,0)</f>
        <v>0</v>
      </c>
      <c r="CG175" s="23" t="n">
        <f aca="false">IF(CF175=1,IF(COUNTIFS($AW$2:$AW$201,AW175,$CF$2:$CF$201,1,$H$2:$H$201,"&lt;"&amp;H175)+COUNTIFS($AW$2:$AW$201,AW175,$CF$2:$CF$201,1,$H$2:$H$201,H175,$AX$2:$AX$201,"&lt;"&amp;AX175)=0,1,0),0)</f>
        <v>0</v>
      </c>
      <c r="CH175" s="23" t="n">
        <f aca="false">IF(AND(AY175=1,P175="Y"),1,0)</f>
        <v>0</v>
      </c>
      <c r="CI175" s="23" t="n">
        <f aca="false">IF(CH175=1,IF(COUNTIFS($AW$2:$AW$201,AW175,$CH$2:$CH$201,1,$H$2:$H$201,"&lt;"&amp;H175)+COUNTIFS($AW$2:$AW$201,AW175,$CH$2:$CH$201,1,$H$2:$H$201,H175,$AX$2:$AX$201,"&lt;"&amp;AX175)=0,1,0),0)</f>
        <v>0</v>
      </c>
      <c r="CJ175" s="23" t="str">
        <f aca="false">IF(AND(BU175=1,INT(N(H175))&lt;=Config!$B$5),L175,"")</f>
        <v/>
      </c>
      <c r="CK175" s="23" t="n">
        <f aca="false">IF(AND(AY175=1,AR175="Y"),1,0)</f>
        <v>0</v>
      </c>
      <c r="CL175" s="23" t="n">
        <f aca="false">IF(CK175=1,IF(COUNTIFS($AW$2:$AW$201,AW175,$CK$2:$CK$201,1,$H$2:$H$201,"&lt;"&amp;H175)+COUNTIFS($AW$2:$AW$201,AW175,$CK$2:$CK$201,1,$H$2:$H$201,H175,$AX$2:$AX$201,"&lt;"&amp;AX175)=0,1,0),0)</f>
        <v>0</v>
      </c>
      <c r="CM175" s="23" t="str">
        <f aca="false">IF(AY175=1,IFERROR(MATCH($A175,INDEX(Clay_Brands!$A$2:$FZ$601,0,Sync!$D$5),0),""),"")</f>
        <v/>
      </c>
      <c r="CN175" s="23" t="str">
        <f aca="false">IF(CM175="","",IFERROR(INDEX(Clay_Brands!$A$2:$FZ$601,CM175,Sync!$D$7)&amp;"",""))</f>
        <v/>
      </c>
      <c r="CO175" s="23" t="str">
        <f aca="false">IF(CN175="","",IFERROR(INDEX(Lists!$K$2:$K$15,MATCH(CN175,Lists!$J$2:$J$15,0)),""))</f>
        <v/>
      </c>
      <c r="CP175" s="23" t="str">
        <f aca="false">IF(CM175="","",IFERROR(INDEX(Clay_Brands!$A$2:$FZ$601,CM175,Sync!$D$17)&amp;"",""))</f>
        <v/>
      </c>
      <c r="CQ175" s="35" t="str">
        <f aca="false">IF(CM175="","",IFERROR(N(INDEX(Clay_Brands!$A$2:$FZ$601,CM175,Sync!$D$16)),0))</f>
        <v/>
      </c>
      <c r="CR175" s="23" t="n">
        <f aca="false">IF(AND(AY175=1,OR(O175="N",AND(OR(ISNUMBER(R175),ISNUMBER(V175)),MAX(N(R175),N(V175))&lt;Config!$B$14))),1,0)</f>
        <v>0</v>
      </c>
      <c r="CS175" s="23" t="n">
        <f aca="false">IF(OR(BB175=1,CR175=1),1,0)</f>
        <v>0</v>
      </c>
      <c r="CT175" s="23" t="n">
        <f aca="false">IF(AND(AY175=1,OR(AN175="Y",AN175="N",AN175="maybe")),1,0)</f>
        <v>0</v>
      </c>
      <c r="CU175" s="23" t="n">
        <f aca="false">IF(AND(CT175=1),IF(COUNTIFS($A$2:$A$201,$A175,$CT$2:$CT$201,1,$H$2:$H$201,"&gt;"&amp;H175)+COUNTIFS($A$2:$A$201,$A175,$CT$2:$CT$201,1,$H$2:$H$201,H175,$AX$2:$AX$201,"&gt;"&amp;AX175)=0,1,0),0)</f>
        <v>0</v>
      </c>
      <c r="CV175" s="23" t="n">
        <f aca="false">IF(AND(CS175=1,INT(N(H175))&lt;=Config!$B$6),IF(COUNTIFS($AW$2:$AW$201,AW175,$CS$2:$CS$201,1,$H$2:$H$201,"&gt;"&amp;H175,$H$2:$H$201,"&lt;"&amp;(Config!$B$6+1))+COUNTIFS($AW$2:$AW$201,AW175,$CS$2:$CS$201,1,$H$2:$H$201,H175,$AX$2:$AX$201,"&gt;"&amp;AX175)=0,1,0),0)</f>
        <v>0</v>
      </c>
      <c r="CW175" s="23" t="n">
        <f aca="false">IF(AND(CS175=1,INT(N(H175))&lt;=Config!$B$7),IF(COUNTIFS($AW$2:$AW$201,AW175,$CS$2:$CS$201,1,$H$2:$H$201,"&gt;"&amp;H175,$H$2:$H$201,"&lt;"&amp;(Config!$B$7+1))+COUNTIFS($AW$2:$AW$201,AW175,$CS$2:$CS$201,1,$H$2:$H$201,H175,$AX$2:$AX$201,"&gt;"&amp;AX175)=0,1,0),0)</f>
        <v>0</v>
      </c>
      <c r="CX175" s="23" t="n">
        <f aca="false">IF(AND(CS175=1,INT(N(H175))&lt;=Config!$B$8),IF(COUNTIFS($AW$2:$AW$201,AW175,$CS$2:$CS$201,1,$H$2:$H$201,"&gt;"&amp;H175,$H$2:$H$201,"&lt;"&amp;(Config!$B$8+1))+COUNTIFS($AW$2:$AW$201,AW175,$CS$2:$CS$201,1,$H$2:$H$201,H175,$AX$2:$AX$201,"&gt;"&amp;AX175)=0,1,0),0)</f>
        <v>0</v>
      </c>
      <c r="CY175" s="23" t="n">
        <f aca="false">IF(AND(CS175=1,INT(N(H175))&lt;=Config!$B$5),IF(COUNTIFS($AW$2:$AW$201,AW175,$CS$2:$CS$201,1,$H$2:$H$201,"&gt;"&amp;H175,$H$2:$H$201,"&lt;"&amp;(Config!$B$5+1))+COUNTIFS($AW$2:$AW$201,AW175,$CS$2:$CS$201,1,$H$2:$H$201,H175,$AX$2:$AX$201,"&gt;"&amp;AX175)=0,1,0),0)</f>
        <v>0</v>
      </c>
      <c r="CZ175" s="23" t="n">
        <f aca="false">IF(AY175=1,IF(COUNTIFS($AW$2:$AW$201,AW175,$CV$2:$CV$201,1,$BB$2:$BB$201,1)&gt;0,1,0),0)</f>
        <v>0</v>
      </c>
      <c r="DA175" s="23" t="n">
        <f aca="false">IF(AY175=1,IF(COUNTIFS($AW$2:$AW$201,AW175,$CW$2:$CW$201,1,$BB$2:$BB$201,1)&gt;0,1,0),0)</f>
        <v>0</v>
      </c>
      <c r="DB175" s="23" t="n">
        <f aca="false">IF(AY175=1,IF(COUNTIFS($AW$2:$AW$201,AW175,$CX$2:$CX$201,1,$BB$2:$BB$201,1)&gt;0,1,0),0)</f>
        <v>0</v>
      </c>
      <c r="DC175" s="23" t="n">
        <f aca="false">IF(AY175=1,IF(COUNTIFS($AW$2:$AW$201,AW175,$CY$2:$CY$201,1,$BB$2:$BB$201,1)&gt;0,1,0),0)</f>
        <v>0</v>
      </c>
      <c r="DD175" s="23" t="n">
        <f aca="false">IF(AND(BC175=1,INT(N(H175))&lt;=Config!$B$6,CZ175=1),1,0)</f>
        <v>0</v>
      </c>
      <c r="DE175" s="23" t="n">
        <f aca="false">IF(AND(BC175=1,INT(N(H175))&lt;=Config!$B$7,DA175=1),1,0)</f>
        <v>0</v>
      </c>
      <c r="DF175" s="23" t="n">
        <f aca="false">IF(AND(BC175=1,INT(N(H175))&lt;=Config!$B$8,DB175=1),1,0)</f>
        <v>0</v>
      </c>
      <c r="DG175" s="23" t="n">
        <f aca="false">IF(AND(BC175=1,INT(N(H175))&lt;=Config!$B$5,DC175=1),1,0)</f>
        <v>0</v>
      </c>
      <c r="DH175" s="23" t="n">
        <f aca="false">IF(AND(BE175=1,INT(N(H175))&lt;=Config!$B$6,CZ175=1),1,0)</f>
        <v>0</v>
      </c>
      <c r="DI175" s="23" t="n">
        <f aca="false">IF(AND(BE175=1,INT(N(H175))&lt;=Config!$B$7,DA175=1),1,0)</f>
        <v>0</v>
      </c>
      <c r="DJ175" s="23" t="n">
        <f aca="false">IF(AND(BE175=1,INT(N(H175))&lt;=Config!$B$8,DB175=1),1,0)</f>
        <v>0</v>
      </c>
      <c r="DK175" s="23" t="n">
        <f aca="false">IF(AND(BE175=1,INT(N(H175))&lt;=Config!$B$5,DC175=1),1,0)</f>
        <v>0</v>
      </c>
      <c r="DL175" s="23" t="n">
        <f aca="false">IF(AND(BC175=1,INT(N(H175))&lt;=Config!$B$6,CZ175=0),1,0)</f>
        <v>0</v>
      </c>
      <c r="DM175" s="23" t="n">
        <f aca="false">IF(AND(BC175=1,INT(N(H175))&lt;=Config!$B$7,DA175=0),1,0)</f>
        <v>0</v>
      </c>
      <c r="DN175" s="23" t="n">
        <f aca="false">IF(AND(BC175=1,INT(N(H175))&lt;=Config!$B$8,DB175=0),1,0)</f>
        <v>0</v>
      </c>
      <c r="DO175" s="23" t="n">
        <f aca="false">IF(AND(BC175=1,INT(N(H175))&lt;=Config!$B$5,DC175=0),1,0)</f>
        <v>0</v>
      </c>
      <c r="DP175" s="23" t="n">
        <f aca="false">IF(TRIM($A175)="",0,ISTEXT(K175)+ISTEXT(L175)+ISTEXT(R175)+ISTEXT(V175)+ISTEXT(AP175)+ISTEXT(AS175))</f>
        <v>0</v>
      </c>
      <c r="DQ175" s="23" t="n">
        <f aca="false">IF(AY175=1,IF(H175&lt;&gt;INT(H175),1,0),0)</f>
        <v>0</v>
      </c>
      <c r="DR175" s="23" t="str">
        <f aca="false">IF(TRIM($A175)="","",IF(TRIM(B175)="",SUBSTITUTE(SUBSTITUTE(SUBSTITUTE(SUBSTITUTE(SUBSTITUTE(SUBSTITUTE(LOWER(TRIM($A175)),"~",""),"*",""),"?",""),"&lt;",""),"&gt;",""),"=",""),SUBSTITUTE(SUBSTITUTE(SUBSTITUTE(SUBSTITUTE(SUBSTITUTE(SUBSTITUTE(LOWER(TRIM(B175)),"~",""),"*",""),"?",""),"&lt;",""),"&gt;",""),"=","")))</f>
        <v/>
      </c>
      <c r="DS175" s="23" t="str">
        <f aca="false">IF(CM175="","",IFERROR(IF(LEFT(LOWER(TRIM(INDEX(Clay_Brands!$A$2:$FZ$601,CM175,Sync!$D$19)&amp;"")),4)="grp-",SUBSTITUTE(SUBSTITUTE(SUBSTITUTE(SUBSTITUTE(SUBSTITUTE(SUBSTITUTE(LOWER(TRIM(INDEX(Clay_Brands!$A$2:$FZ$601,CM175,Sync!$D$19)&amp;"")),"~",""),"*",""),"?",""),"&lt;",""),"&gt;",""),"=",""),""),""))</f>
        <v/>
      </c>
      <c r="DT175" s="23" t="str">
        <f aca="false">IF(DS175&lt;&gt;"",DR175,"")</f>
        <v/>
      </c>
      <c r="DU175" s="23" t="str">
        <f aca="false">IF(AZ175=1,AW175,"")</f>
        <v/>
      </c>
      <c r="DV175" s="23" t="str">
        <f aca="false">IF(TRIM($A175)="","",IFERROR(INDEX($A$2:$A$201,MATCH(AW175,$DU$2:$DU$201,0))&amp;"",$A175&amp;""))</f>
        <v/>
      </c>
      <c r="DW175" s="23" t="n">
        <f aca="false">IF(AY175=1,IF(COUNTIFS($A$2:$A$201,$A175,$AY$2:$AY$201,1,$H$2:$H$201,"&lt;"&amp;H175)+COUNTIFS($A$2:$A$201,$A175,$AY$2:$AY$201,1,$H$2:$H$201,H175,$AX$2:$AX$201,"&lt;"&amp;AX175)=0,1,0),0)</f>
        <v>0</v>
      </c>
      <c r="DX175" s="23" t="n">
        <f aca="false">IF(AZ175=1,IF(COUNTIFS($AW$2:$AW$201,AW175,$DW$2:$DW$201,1)&gt;1,1,0),0)</f>
        <v>0</v>
      </c>
    </row>
    <row r="176" customFormat="false" ht="15" hidden="false" customHeight="false" outlineLevel="0" collapsed="false">
      <c r="G176" s="32"/>
      <c r="H176" s="33"/>
      <c r="I176" s="32"/>
      <c r="O176" s="32"/>
      <c r="P176" s="32"/>
      <c r="U176" s="32"/>
      <c r="Y176" s="32"/>
      <c r="AB176" s="32"/>
      <c r="AC176" s="32"/>
      <c r="AD176" s="32"/>
      <c r="AE176" s="32"/>
      <c r="AF176" s="32"/>
      <c r="AG176" s="32"/>
      <c r="AI176" s="32"/>
      <c r="AJ176" s="32"/>
      <c r="AK176" s="32"/>
      <c r="AN176" s="32"/>
      <c r="AO176" s="32"/>
      <c r="AR176" s="32"/>
      <c r="AT176" s="32"/>
      <c r="AV176" s="34" t="str">
        <f aca="false">IF(TRIM($A176)="","",IF(AND(LEFT($A176,6)="SAMPLE",Config!$B$19&lt;&gt;"Y"),"",IF(NOT(ISNUMBER(H176)),"call_date is blank or not a date",IF(Sync!$D$5="","Clay paste is empty or has no row_id column: paste the Clay export on Clay_Brands",IF(CM176="","row_id not found in the Clay paste: add the Clay row or fix the row_id",IF(AND(ISNUMBER(CO176),CO176&gt;=1,CO176&lt;=5),"Clay status is "&amp;CN176&amp;": set call_done or later",IF(AND(BA176=1,CP176&lt;&gt;CB176),"Clay yes_in_principle should be "&amp;CB176,IF(AND(BA176=1,CQ176&lt;&gt;H176),"Clay call_date should be "&amp;TEXT(H176,"yyyy-mm-dd"),""))))))))</f>
        <v/>
      </c>
      <c r="AW176" s="23" t="str">
        <f aca="false">IF(TRIM($A176)="","",IF(TRIM(C176)&lt;&gt;"",SUBSTITUTE(SUBSTITUTE(SUBSTITUTE(SUBSTITUTE(SUBSTITUTE(SUBSTITUTE(LOWER(TRIM(C176)),"~",""),"*",""),"?",""),"&lt;",""),"&gt;",""),"=",""),IF(DS176&lt;&gt;"",DS176,IFERROR(INDEX($DS$2:$DS$201,MATCH(DR176,$DT$2:$DT$201,0)),DR176))))</f>
        <v/>
      </c>
      <c r="AX176" s="23" t="n">
        <f aca="false">ROW()</f>
        <v>176</v>
      </c>
      <c r="AY176" s="23" t="n">
        <f aca="false">IF(AND(TRIM($A176)&lt;&gt;"",ISNUMBER(H176)),IF(AND(LEFT($A176,6)="SAMPLE",Config!$B$19&lt;&gt;"Y"),0,1),0)</f>
        <v>0</v>
      </c>
      <c r="AZ176" s="23" t="n">
        <f aca="false">IF(AY176=1,IF(COUNTIFS($AW$2:$AW$201,AW176,$AY$2:$AY$201,1,$H$2:$H$201,"&lt;"&amp;H176)+COUNTIFS($AW$2:$AW$201,AW176,$AY$2:$AY$201,1,$H$2:$H$201,H176,$AX$2:$AX$201,"&lt;"&amp;AX176)=0,1,0),0)</f>
        <v>0</v>
      </c>
      <c r="BA176" s="23" t="n">
        <f aca="false">IF(AY176=1,IF(COUNTIFS($A$2:$A$201,$A176,$AY$2:$AY$201,1,$H$2:$H$201,"&gt;"&amp;H176)+COUNTIFS($A$2:$A$201,$A176,$AY$2:$AY$201,1,$H$2:$H$201,H176,$AX$2:$AX$201,"&gt;"&amp;AX176)=0,1,0),0)</f>
        <v>0</v>
      </c>
      <c r="BB176" s="23" t="n">
        <f aca="false">IF(AND(AY176=1,O176="Y",MAX(N(R176),N(V176))&gt;=Config!$B$14),1,0)</f>
        <v>0</v>
      </c>
      <c r="BC176" s="23" t="n">
        <f aca="false">IF(BB176=1,IF(COUNTIFS($AW$2:$AW$201,AW176,$BB$2:$BB$201,1,$H$2:$H$201,"&lt;"&amp;H176)+COUNTIFS($AW$2:$AW$201,AW176,$BB$2:$BB$201,1,$H$2:$H$201,H176,$AX$2:$AX$201,"&lt;"&amp;AX176)=0,1,0),0)</f>
        <v>0</v>
      </c>
      <c r="BD176" s="23" t="n">
        <f aca="false">IF(AND(AY176=1,O176="Y",ISNUMBER(R176)),IF(R176&gt;=Config!$B$14,1,0),0)</f>
        <v>0</v>
      </c>
      <c r="BE176" s="23" t="n">
        <f aca="false">IF(BD176=1,IF(COUNTIFS($AW$2:$AW$201,AW176,$BD$2:$BD$201,1,$H$2:$H$201,"&lt;"&amp;H176)+COUNTIFS($AW$2:$AW$201,AW176,$BD$2:$BD$201,1,$H$2:$H$201,H176,$AX$2:$AX$201,"&lt;"&amp;AX176)=0,1,0),0)</f>
        <v>0</v>
      </c>
      <c r="BF176" s="23" t="n">
        <f aca="false">IF(AND(AY176=1,O176&lt;&gt;"Y",MAX(N(R176),N(V176))&gt;=Config!$B$14),1,0)</f>
        <v>0</v>
      </c>
      <c r="BG176" s="23" t="n">
        <f aca="false">IF(BF176=1,IF(COUNTIFS($AW$2:$AW$201,AW176,$BF$2:$BF$201,1,$H$2:$H$201,"&lt;"&amp;H176)+COUNTIFS($AW$2:$AW$201,AW176,$BF$2:$BF$201,1,$H$2:$H$201,H176,$AX$2:$AX$201,"&lt;"&amp;AX176)=0,1,0),0)</f>
        <v>0</v>
      </c>
      <c r="BH176" s="23" t="n">
        <f aca="false">IF(AND(AY176=1,ISNUMBER(R176)),1,0)</f>
        <v>0</v>
      </c>
      <c r="BI176" s="23" t="n">
        <f aca="false">IF(BH176=1,IF(COUNTIFS($AW$2:$AW$201,AW176,$BH$2:$BH$201,1,$H$2:$H$201,"&lt;"&amp;H176)+COUNTIFS($AW$2:$AW$201,AW176,$BH$2:$BH$201,1,$H$2:$H$201,H176,$AX$2:$AX$201,"&lt;"&amp;AX176)=0,1,0),0)</f>
        <v>0</v>
      </c>
      <c r="BJ176" s="23" t="str">
        <f aca="false">IF(AND(BI176=1,INT(N(H176))&lt;=Config!$B$6),R176,"")</f>
        <v/>
      </c>
      <c r="BK176" s="23" t="str">
        <f aca="false">IF(AND(BI176=1,INT(N(H176))&lt;=Config!$B$7),R176,"")</f>
        <v/>
      </c>
      <c r="BL176" s="23" t="str">
        <f aca="false">IF(AND(BI176=1,INT(N(H176))&lt;=Config!$B$8),R176,"")</f>
        <v/>
      </c>
      <c r="BM176" s="23" t="str">
        <f aca="false">IF(AND(BI176=1,INT(N(H176))&lt;=Config!$B$5),R176,"")</f>
        <v/>
      </c>
      <c r="BN176" s="23" t="n">
        <f aca="false">IF(AND(AY176=1,ISNUMBER(V176)),1,0)</f>
        <v>0</v>
      </c>
      <c r="BO176" s="23" t="n">
        <f aca="false">IF(BN176=1,IF(COUNTIFS($AW$2:$AW$201,AW176,$BN$2:$BN$201,1,$H$2:$H$201,"&lt;"&amp;H176)+COUNTIFS($AW$2:$AW$201,AW176,$BN$2:$BN$201,1,$H$2:$H$201,H176,$AX$2:$AX$201,"&lt;"&amp;AX176)=0,1,0),0)</f>
        <v>0</v>
      </c>
      <c r="BP176" s="23" t="str">
        <f aca="false">IF(AND(BO176=1,INT(N(H176))&lt;=Config!$B$6),V176,"")</f>
        <v/>
      </c>
      <c r="BQ176" s="23" t="str">
        <f aca="false">IF(AND(BO176=1,INT(N(H176))&lt;=Config!$B$7),V176,"")</f>
        <v/>
      </c>
      <c r="BR176" s="23" t="str">
        <f aca="false">IF(AND(BO176=1,INT(N(H176))&lt;=Config!$B$8),V176,"")</f>
        <v/>
      </c>
      <c r="BS176" s="23" t="str">
        <f aca="false">IF(AND(BO176=1,INT(N(H176))&lt;=Config!$B$5),V176,"")</f>
        <v/>
      </c>
      <c r="BT176" s="23" t="n">
        <f aca="false">IF(AND(AY176=1,ISNUMBER(K176)),1,0)</f>
        <v>0</v>
      </c>
      <c r="BU176" s="23" t="n">
        <f aca="false">IF(BT176=1,IF(COUNTIFS($AW$2:$AW$201,AW176,$BT$2:$BT$201,1,$H$2:$H$201,"&lt;"&amp;H176)+COUNTIFS($AW$2:$AW$201,AW176,$BT$2:$BT$201,1,$H$2:$H$201,H176,$AX$2:$AX$201,"&lt;"&amp;AX176)=0,1,0),0)</f>
        <v>0</v>
      </c>
      <c r="BV176" s="23" t="str">
        <f aca="false">IF(AND(BU176=1,INT(N(H176))&lt;=Config!$B$5),K176,"")</f>
        <v/>
      </c>
      <c r="BW176" s="23" t="n">
        <f aca="false">IF(AND(AY176=1,OR(AND(ISNUMBER(R176),TRIM(S176)=""),AND(ISNUMBER(V176),TRIM(W176)=""))),1,0)</f>
        <v>0</v>
      </c>
      <c r="BX176" s="23" t="str">
        <f aca="false">IF(AY176=1,AJ176&amp;"","")</f>
        <v/>
      </c>
      <c r="BY176" s="23" t="str">
        <f aca="false">IF(AY176=1,AK176&amp;"","")</f>
        <v/>
      </c>
      <c r="BZ176" s="23" t="str">
        <f aca="false">IF(AY176=1,AL176&amp;"","")</f>
        <v/>
      </c>
      <c r="CA176" s="23" t="str">
        <f aca="false">IF(AND(AY176=1,ISNUMBER(AS176),INT(N(H176))&lt;=Config!$B$5),AS176,"")</f>
        <v/>
      </c>
      <c r="CB176" s="23" t="str">
        <f aca="false">IF(AY176=1,IF(COUNTIFS($A$2:$A$201,$A176,$CU$2:$CU$201,1,$AN$2:$AN$201,"Y")&gt;0,"Y","N"),"")</f>
        <v/>
      </c>
      <c r="CC176" s="23" t="n">
        <f aca="false">IF(AND(AY176=1,AN176="Y"),IF(COUNTIFS($AW$2:$AW$201,AW176,$AN$2:$AN$201,"Y",$AY$2:$AY$201,1,$H$2:$H$201,"&lt;"&amp;H176)+COUNTIFS($AW$2:$AW$201,AW176,$AN$2:$AN$201,"Y",$AY$2:$AY$201,1,$H$2:$H$201,H176,$AX$2:$AX$201,"&lt;"&amp;AX176)=0,1,0),0)</f>
        <v>0</v>
      </c>
      <c r="CD176" s="23" t="n">
        <f aca="false">IF(AND(AY176=1,AB176="Y",AC176="Y",AD176="Y",AE176="Y",AF176="Y",AG176="Y",AI176="Y",TRIM(AH176)&lt;&gt;""),1,0)</f>
        <v>0</v>
      </c>
      <c r="CE176" s="23" t="n">
        <f aca="false">IF(CD176=1,IF(COUNTIFS($AW$2:$AW$201,AW176,$CD$2:$CD$201,1,$H$2:$H$201,"&lt;"&amp;H176)+COUNTIFS($AW$2:$AW$201,AW176,$CD$2:$CD$201,1,$H$2:$H$201,H176,$AX$2:$AX$201,"&lt;"&amp;AX176)=0,1,0),0)</f>
        <v>0</v>
      </c>
      <c r="CF176" s="23" t="n">
        <f aca="false">IF(AND(AY176=1,AO176="Y"),1,0)</f>
        <v>0</v>
      </c>
      <c r="CG176" s="23" t="n">
        <f aca="false">IF(CF176=1,IF(COUNTIFS($AW$2:$AW$201,AW176,$CF$2:$CF$201,1,$H$2:$H$201,"&lt;"&amp;H176)+COUNTIFS($AW$2:$AW$201,AW176,$CF$2:$CF$201,1,$H$2:$H$201,H176,$AX$2:$AX$201,"&lt;"&amp;AX176)=0,1,0),0)</f>
        <v>0</v>
      </c>
      <c r="CH176" s="23" t="n">
        <f aca="false">IF(AND(AY176=1,P176="Y"),1,0)</f>
        <v>0</v>
      </c>
      <c r="CI176" s="23" t="n">
        <f aca="false">IF(CH176=1,IF(COUNTIFS($AW$2:$AW$201,AW176,$CH$2:$CH$201,1,$H$2:$H$201,"&lt;"&amp;H176)+COUNTIFS($AW$2:$AW$201,AW176,$CH$2:$CH$201,1,$H$2:$H$201,H176,$AX$2:$AX$201,"&lt;"&amp;AX176)=0,1,0),0)</f>
        <v>0</v>
      </c>
      <c r="CJ176" s="23" t="str">
        <f aca="false">IF(AND(BU176=1,INT(N(H176))&lt;=Config!$B$5),L176,"")</f>
        <v/>
      </c>
      <c r="CK176" s="23" t="n">
        <f aca="false">IF(AND(AY176=1,AR176="Y"),1,0)</f>
        <v>0</v>
      </c>
      <c r="CL176" s="23" t="n">
        <f aca="false">IF(CK176=1,IF(COUNTIFS($AW$2:$AW$201,AW176,$CK$2:$CK$201,1,$H$2:$H$201,"&lt;"&amp;H176)+COUNTIFS($AW$2:$AW$201,AW176,$CK$2:$CK$201,1,$H$2:$H$201,H176,$AX$2:$AX$201,"&lt;"&amp;AX176)=0,1,0),0)</f>
        <v>0</v>
      </c>
      <c r="CM176" s="23" t="str">
        <f aca="false">IF(AY176=1,IFERROR(MATCH($A176,INDEX(Clay_Brands!$A$2:$FZ$601,0,Sync!$D$5),0),""),"")</f>
        <v/>
      </c>
      <c r="CN176" s="23" t="str">
        <f aca="false">IF(CM176="","",IFERROR(INDEX(Clay_Brands!$A$2:$FZ$601,CM176,Sync!$D$7)&amp;"",""))</f>
        <v/>
      </c>
      <c r="CO176" s="23" t="str">
        <f aca="false">IF(CN176="","",IFERROR(INDEX(Lists!$K$2:$K$15,MATCH(CN176,Lists!$J$2:$J$15,0)),""))</f>
        <v/>
      </c>
      <c r="CP176" s="23" t="str">
        <f aca="false">IF(CM176="","",IFERROR(INDEX(Clay_Brands!$A$2:$FZ$601,CM176,Sync!$D$17)&amp;"",""))</f>
        <v/>
      </c>
      <c r="CQ176" s="35" t="str">
        <f aca="false">IF(CM176="","",IFERROR(N(INDEX(Clay_Brands!$A$2:$FZ$601,CM176,Sync!$D$16)),0))</f>
        <v/>
      </c>
      <c r="CR176" s="23" t="n">
        <f aca="false">IF(AND(AY176=1,OR(O176="N",AND(OR(ISNUMBER(R176),ISNUMBER(V176)),MAX(N(R176),N(V176))&lt;Config!$B$14))),1,0)</f>
        <v>0</v>
      </c>
      <c r="CS176" s="23" t="n">
        <f aca="false">IF(OR(BB176=1,CR176=1),1,0)</f>
        <v>0</v>
      </c>
      <c r="CT176" s="23" t="n">
        <f aca="false">IF(AND(AY176=1,OR(AN176="Y",AN176="N",AN176="maybe")),1,0)</f>
        <v>0</v>
      </c>
      <c r="CU176" s="23" t="n">
        <f aca="false">IF(AND(CT176=1),IF(COUNTIFS($A$2:$A$201,$A176,$CT$2:$CT$201,1,$H$2:$H$201,"&gt;"&amp;H176)+COUNTIFS($A$2:$A$201,$A176,$CT$2:$CT$201,1,$H$2:$H$201,H176,$AX$2:$AX$201,"&gt;"&amp;AX176)=0,1,0),0)</f>
        <v>0</v>
      </c>
      <c r="CV176" s="23" t="n">
        <f aca="false">IF(AND(CS176=1,INT(N(H176))&lt;=Config!$B$6),IF(COUNTIFS($AW$2:$AW$201,AW176,$CS$2:$CS$201,1,$H$2:$H$201,"&gt;"&amp;H176,$H$2:$H$201,"&lt;"&amp;(Config!$B$6+1))+COUNTIFS($AW$2:$AW$201,AW176,$CS$2:$CS$201,1,$H$2:$H$201,H176,$AX$2:$AX$201,"&gt;"&amp;AX176)=0,1,0),0)</f>
        <v>0</v>
      </c>
      <c r="CW176" s="23" t="n">
        <f aca="false">IF(AND(CS176=1,INT(N(H176))&lt;=Config!$B$7),IF(COUNTIFS($AW$2:$AW$201,AW176,$CS$2:$CS$201,1,$H$2:$H$201,"&gt;"&amp;H176,$H$2:$H$201,"&lt;"&amp;(Config!$B$7+1))+COUNTIFS($AW$2:$AW$201,AW176,$CS$2:$CS$201,1,$H$2:$H$201,H176,$AX$2:$AX$201,"&gt;"&amp;AX176)=0,1,0),0)</f>
        <v>0</v>
      </c>
      <c r="CX176" s="23" t="n">
        <f aca="false">IF(AND(CS176=1,INT(N(H176))&lt;=Config!$B$8),IF(COUNTIFS($AW$2:$AW$201,AW176,$CS$2:$CS$201,1,$H$2:$H$201,"&gt;"&amp;H176,$H$2:$H$201,"&lt;"&amp;(Config!$B$8+1))+COUNTIFS($AW$2:$AW$201,AW176,$CS$2:$CS$201,1,$H$2:$H$201,H176,$AX$2:$AX$201,"&gt;"&amp;AX176)=0,1,0),0)</f>
        <v>0</v>
      </c>
      <c r="CY176" s="23" t="n">
        <f aca="false">IF(AND(CS176=1,INT(N(H176))&lt;=Config!$B$5),IF(COUNTIFS($AW$2:$AW$201,AW176,$CS$2:$CS$201,1,$H$2:$H$201,"&gt;"&amp;H176,$H$2:$H$201,"&lt;"&amp;(Config!$B$5+1))+COUNTIFS($AW$2:$AW$201,AW176,$CS$2:$CS$201,1,$H$2:$H$201,H176,$AX$2:$AX$201,"&gt;"&amp;AX176)=0,1,0),0)</f>
        <v>0</v>
      </c>
      <c r="CZ176" s="23" t="n">
        <f aca="false">IF(AY176=1,IF(COUNTIFS($AW$2:$AW$201,AW176,$CV$2:$CV$201,1,$BB$2:$BB$201,1)&gt;0,1,0),0)</f>
        <v>0</v>
      </c>
      <c r="DA176" s="23" t="n">
        <f aca="false">IF(AY176=1,IF(COUNTIFS($AW$2:$AW$201,AW176,$CW$2:$CW$201,1,$BB$2:$BB$201,1)&gt;0,1,0),0)</f>
        <v>0</v>
      </c>
      <c r="DB176" s="23" t="n">
        <f aca="false">IF(AY176=1,IF(COUNTIFS($AW$2:$AW$201,AW176,$CX$2:$CX$201,1,$BB$2:$BB$201,1)&gt;0,1,0),0)</f>
        <v>0</v>
      </c>
      <c r="DC176" s="23" t="n">
        <f aca="false">IF(AY176=1,IF(COUNTIFS($AW$2:$AW$201,AW176,$CY$2:$CY$201,1,$BB$2:$BB$201,1)&gt;0,1,0),0)</f>
        <v>0</v>
      </c>
      <c r="DD176" s="23" t="n">
        <f aca="false">IF(AND(BC176=1,INT(N(H176))&lt;=Config!$B$6,CZ176=1),1,0)</f>
        <v>0</v>
      </c>
      <c r="DE176" s="23" t="n">
        <f aca="false">IF(AND(BC176=1,INT(N(H176))&lt;=Config!$B$7,DA176=1),1,0)</f>
        <v>0</v>
      </c>
      <c r="DF176" s="23" t="n">
        <f aca="false">IF(AND(BC176=1,INT(N(H176))&lt;=Config!$B$8,DB176=1),1,0)</f>
        <v>0</v>
      </c>
      <c r="DG176" s="23" t="n">
        <f aca="false">IF(AND(BC176=1,INT(N(H176))&lt;=Config!$B$5,DC176=1),1,0)</f>
        <v>0</v>
      </c>
      <c r="DH176" s="23" t="n">
        <f aca="false">IF(AND(BE176=1,INT(N(H176))&lt;=Config!$B$6,CZ176=1),1,0)</f>
        <v>0</v>
      </c>
      <c r="DI176" s="23" t="n">
        <f aca="false">IF(AND(BE176=1,INT(N(H176))&lt;=Config!$B$7,DA176=1),1,0)</f>
        <v>0</v>
      </c>
      <c r="DJ176" s="23" t="n">
        <f aca="false">IF(AND(BE176=1,INT(N(H176))&lt;=Config!$B$8,DB176=1),1,0)</f>
        <v>0</v>
      </c>
      <c r="DK176" s="23" t="n">
        <f aca="false">IF(AND(BE176=1,INT(N(H176))&lt;=Config!$B$5,DC176=1),1,0)</f>
        <v>0</v>
      </c>
      <c r="DL176" s="23" t="n">
        <f aca="false">IF(AND(BC176=1,INT(N(H176))&lt;=Config!$B$6,CZ176=0),1,0)</f>
        <v>0</v>
      </c>
      <c r="DM176" s="23" t="n">
        <f aca="false">IF(AND(BC176=1,INT(N(H176))&lt;=Config!$B$7,DA176=0),1,0)</f>
        <v>0</v>
      </c>
      <c r="DN176" s="23" t="n">
        <f aca="false">IF(AND(BC176=1,INT(N(H176))&lt;=Config!$B$8,DB176=0),1,0)</f>
        <v>0</v>
      </c>
      <c r="DO176" s="23" t="n">
        <f aca="false">IF(AND(BC176=1,INT(N(H176))&lt;=Config!$B$5,DC176=0),1,0)</f>
        <v>0</v>
      </c>
      <c r="DP176" s="23" t="n">
        <f aca="false">IF(TRIM($A176)="",0,ISTEXT(K176)+ISTEXT(L176)+ISTEXT(R176)+ISTEXT(V176)+ISTEXT(AP176)+ISTEXT(AS176))</f>
        <v>0</v>
      </c>
      <c r="DQ176" s="23" t="n">
        <f aca="false">IF(AY176=1,IF(H176&lt;&gt;INT(H176),1,0),0)</f>
        <v>0</v>
      </c>
      <c r="DR176" s="23" t="str">
        <f aca="false">IF(TRIM($A176)="","",IF(TRIM(B176)="",SUBSTITUTE(SUBSTITUTE(SUBSTITUTE(SUBSTITUTE(SUBSTITUTE(SUBSTITUTE(LOWER(TRIM($A176)),"~",""),"*",""),"?",""),"&lt;",""),"&gt;",""),"=",""),SUBSTITUTE(SUBSTITUTE(SUBSTITUTE(SUBSTITUTE(SUBSTITUTE(SUBSTITUTE(LOWER(TRIM(B176)),"~",""),"*",""),"?",""),"&lt;",""),"&gt;",""),"=","")))</f>
        <v/>
      </c>
      <c r="DS176" s="23" t="str">
        <f aca="false">IF(CM176="","",IFERROR(IF(LEFT(LOWER(TRIM(INDEX(Clay_Brands!$A$2:$FZ$601,CM176,Sync!$D$19)&amp;"")),4)="grp-",SUBSTITUTE(SUBSTITUTE(SUBSTITUTE(SUBSTITUTE(SUBSTITUTE(SUBSTITUTE(LOWER(TRIM(INDEX(Clay_Brands!$A$2:$FZ$601,CM176,Sync!$D$19)&amp;"")),"~",""),"*",""),"?",""),"&lt;",""),"&gt;",""),"=",""),""),""))</f>
        <v/>
      </c>
      <c r="DT176" s="23" t="str">
        <f aca="false">IF(DS176&lt;&gt;"",DR176,"")</f>
        <v/>
      </c>
      <c r="DU176" s="23" t="str">
        <f aca="false">IF(AZ176=1,AW176,"")</f>
        <v/>
      </c>
      <c r="DV176" s="23" t="str">
        <f aca="false">IF(TRIM($A176)="","",IFERROR(INDEX($A$2:$A$201,MATCH(AW176,$DU$2:$DU$201,0))&amp;"",$A176&amp;""))</f>
        <v/>
      </c>
      <c r="DW176" s="23" t="n">
        <f aca="false">IF(AY176=1,IF(COUNTIFS($A$2:$A$201,$A176,$AY$2:$AY$201,1,$H$2:$H$201,"&lt;"&amp;H176)+COUNTIFS($A$2:$A$201,$A176,$AY$2:$AY$201,1,$H$2:$H$201,H176,$AX$2:$AX$201,"&lt;"&amp;AX176)=0,1,0),0)</f>
        <v>0</v>
      </c>
      <c r="DX176" s="23" t="n">
        <f aca="false">IF(AZ176=1,IF(COUNTIFS($AW$2:$AW$201,AW176,$DW$2:$DW$201,1)&gt;1,1,0),0)</f>
        <v>0</v>
      </c>
    </row>
    <row r="177" customFormat="false" ht="15" hidden="false" customHeight="false" outlineLevel="0" collapsed="false">
      <c r="G177" s="32"/>
      <c r="H177" s="33"/>
      <c r="I177" s="32"/>
      <c r="O177" s="32"/>
      <c r="P177" s="32"/>
      <c r="U177" s="32"/>
      <c r="Y177" s="32"/>
      <c r="AB177" s="32"/>
      <c r="AC177" s="32"/>
      <c r="AD177" s="32"/>
      <c r="AE177" s="32"/>
      <c r="AF177" s="32"/>
      <c r="AG177" s="32"/>
      <c r="AI177" s="32"/>
      <c r="AJ177" s="32"/>
      <c r="AK177" s="32"/>
      <c r="AN177" s="32"/>
      <c r="AO177" s="32"/>
      <c r="AR177" s="32"/>
      <c r="AT177" s="32"/>
      <c r="AV177" s="34" t="str">
        <f aca="false">IF(TRIM($A177)="","",IF(AND(LEFT($A177,6)="SAMPLE",Config!$B$19&lt;&gt;"Y"),"",IF(NOT(ISNUMBER(H177)),"call_date is blank or not a date",IF(Sync!$D$5="","Clay paste is empty or has no row_id column: paste the Clay export on Clay_Brands",IF(CM177="","row_id not found in the Clay paste: add the Clay row or fix the row_id",IF(AND(ISNUMBER(CO177),CO177&gt;=1,CO177&lt;=5),"Clay status is "&amp;CN177&amp;": set call_done or later",IF(AND(BA177=1,CP177&lt;&gt;CB177),"Clay yes_in_principle should be "&amp;CB177,IF(AND(BA177=1,CQ177&lt;&gt;H177),"Clay call_date should be "&amp;TEXT(H177,"yyyy-mm-dd"),""))))))))</f>
        <v/>
      </c>
      <c r="AW177" s="23" t="str">
        <f aca="false">IF(TRIM($A177)="","",IF(TRIM(C177)&lt;&gt;"",SUBSTITUTE(SUBSTITUTE(SUBSTITUTE(SUBSTITUTE(SUBSTITUTE(SUBSTITUTE(LOWER(TRIM(C177)),"~",""),"*",""),"?",""),"&lt;",""),"&gt;",""),"=",""),IF(DS177&lt;&gt;"",DS177,IFERROR(INDEX($DS$2:$DS$201,MATCH(DR177,$DT$2:$DT$201,0)),DR177))))</f>
        <v/>
      </c>
      <c r="AX177" s="23" t="n">
        <f aca="false">ROW()</f>
        <v>177</v>
      </c>
      <c r="AY177" s="23" t="n">
        <f aca="false">IF(AND(TRIM($A177)&lt;&gt;"",ISNUMBER(H177)),IF(AND(LEFT($A177,6)="SAMPLE",Config!$B$19&lt;&gt;"Y"),0,1),0)</f>
        <v>0</v>
      </c>
      <c r="AZ177" s="23" t="n">
        <f aca="false">IF(AY177=1,IF(COUNTIFS($AW$2:$AW$201,AW177,$AY$2:$AY$201,1,$H$2:$H$201,"&lt;"&amp;H177)+COUNTIFS($AW$2:$AW$201,AW177,$AY$2:$AY$201,1,$H$2:$H$201,H177,$AX$2:$AX$201,"&lt;"&amp;AX177)=0,1,0),0)</f>
        <v>0</v>
      </c>
      <c r="BA177" s="23" t="n">
        <f aca="false">IF(AY177=1,IF(COUNTIFS($A$2:$A$201,$A177,$AY$2:$AY$201,1,$H$2:$H$201,"&gt;"&amp;H177)+COUNTIFS($A$2:$A$201,$A177,$AY$2:$AY$201,1,$H$2:$H$201,H177,$AX$2:$AX$201,"&gt;"&amp;AX177)=0,1,0),0)</f>
        <v>0</v>
      </c>
      <c r="BB177" s="23" t="n">
        <f aca="false">IF(AND(AY177=1,O177="Y",MAX(N(R177),N(V177))&gt;=Config!$B$14),1,0)</f>
        <v>0</v>
      </c>
      <c r="BC177" s="23" t="n">
        <f aca="false">IF(BB177=1,IF(COUNTIFS($AW$2:$AW$201,AW177,$BB$2:$BB$201,1,$H$2:$H$201,"&lt;"&amp;H177)+COUNTIFS($AW$2:$AW$201,AW177,$BB$2:$BB$201,1,$H$2:$H$201,H177,$AX$2:$AX$201,"&lt;"&amp;AX177)=0,1,0),0)</f>
        <v>0</v>
      </c>
      <c r="BD177" s="23" t="n">
        <f aca="false">IF(AND(AY177=1,O177="Y",ISNUMBER(R177)),IF(R177&gt;=Config!$B$14,1,0),0)</f>
        <v>0</v>
      </c>
      <c r="BE177" s="23" t="n">
        <f aca="false">IF(BD177=1,IF(COUNTIFS($AW$2:$AW$201,AW177,$BD$2:$BD$201,1,$H$2:$H$201,"&lt;"&amp;H177)+COUNTIFS($AW$2:$AW$201,AW177,$BD$2:$BD$201,1,$H$2:$H$201,H177,$AX$2:$AX$201,"&lt;"&amp;AX177)=0,1,0),0)</f>
        <v>0</v>
      </c>
      <c r="BF177" s="23" t="n">
        <f aca="false">IF(AND(AY177=1,O177&lt;&gt;"Y",MAX(N(R177),N(V177))&gt;=Config!$B$14),1,0)</f>
        <v>0</v>
      </c>
      <c r="BG177" s="23" t="n">
        <f aca="false">IF(BF177=1,IF(COUNTIFS($AW$2:$AW$201,AW177,$BF$2:$BF$201,1,$H$2:$H$201,"&lt;"&amp;H177)+COUNTIFS($AW$2:$AW$201,AW177,$BF$2:$BF$201,1,$H$2:$H$201,H177,$AX$2:$AX$201,"&lt;"&amp;AX177)=0,1,0),0)</f>
        <v>0</v>
      </c>
      <c r="BH177" s="23" t="n">
        <f aca="false">IF(AND(AY177=1,ISNUMBER(R177)),1,0)</f>
        <v>0</v>
      </c>
      <c r="BI177" s="23" t="n">
        <f aca="false">IF(BH177=1,IF(COUNTIFS($AW$2:$AW$201,AW177,$BH$2:$BH$201,1,$H$2:$H$201,"&lt;"&amp;H177)+COUNTIFS($AW$2:$AW$201,AW177,$BH$2:$BH$201,1,$H$2:$H$201,H177,$AX$2:$AX$201,"&lt;"&amp;AX177)=0,1,0),0)</f>
        <v>0</v>
      </c>
      <c r="BJ177" s="23" t="str">
        <f aca="false">IF(AND(BI177=1,INT(N(H177))&lt;=Config!$B$6),R177,"")</f>
        <v/>
      </c>
      <c r="BK177" s="23" t="str">
        <f aca="false">IF(AND(BI177=1,INT(N(H177))&lt;=Config!$B$7),R177,"")</f>
        <v/>
      </c>
      <c r="BL177" s="23" t="str">
        <f aca="false">IF(AND(BI177=1,INT(N(H177))&lt;=Config!$B$8),R177,"")</f>
        <v/>
      </c>
      <c r="BM177" s="23" t="str">
        <f aca="false">IF(AND(BI177=1,INT(N(H177))&lt;=Config!$B$5),R177,"")</f>
        <v/>
      </c>
      <c r="BN177" s="23" t="n">
        <f aca="false">IF(AND(AY177=1,ISNUMBER(V177)),1,0)</f>
        <v>0</v>
      </c>
      <c r="BO177" s="23" t="n">
        <f aca="false">IF(BN177=1,IF(COUNTIFS($AW$2:$AW$201,AW177,$BN$2:$BN$201,1,$H$2:$H$201,"&lt;"&amp;H177)+COUNTIFS($AW$2:$AW$201,AW177,$BN$2:$BN$201,1,$H$2:$H$201,H177,$AX$2:$AX$201,"&lt;"&amp;AX177)=0,1,0),0)</f>
        <v>0</v>
      </c>
      <c r="BP177" s="23" t="str">
        <f aca="false">IF(AND(BO177=1,INT(N(H177))&lt;=Config!$B$6),V177,"")</f>
        <v/>
      </c>
      <c r="BQ177" s="23" t="str">
        <f aca="false">IF(AND(BO177=1,INT(N(H177))&lt;=Config!$B$7),V177,"")</f>
        <v/>
      </c>
      <c r="BR177" s="23" t="str">
        <f aca="false">IF(AND(BO177=1,INT(N(H177))&lt;=Config!$B$8),V177,"")</f>
        <v/>
      </c>
      <c r="BS177" s="23" t="str">
        <f aca="false">IF(AND(BO177=1,INT(N(H177))&lt;=Config!$B$5),V177,"")</f>
        <v/>
      </c>
      <c r="BT177" s="23" t="n">
        <f aca="false">IF(AND(AY177=1,ISNUMBER(K177)),1,0)</f>
        <v>0</v>
      </c>
      <c r="BU177" s="23" t="n">
        <f aca="false">IF(BT177=1,IF(COUNTIFS($AW$2:$AW$201,AW177,$BT$2:$BT$201,1,$H$2:$H$201,"&lt;"&amp;H177)+COUNTIFS($AW$2:$AW$201,AW177,$BT$2:$BT$201,1,$H$2:$H$201,H177,$AX$2:$AX$201,"&lt;"&amp;AX177)=0,1,0),0)</f>
        <v>0</v>
      </c>
      <c r="BV177" s="23" t="str">
        <f aca="false">IF(AND(BU177=1,INT(N(H177))&lt;=Config!$B$5),K177,"")</f>
        <v/>
      </c>
      <c r="BW177" s="23" t="n">
        <f aca="false">IF(AND(AY177=1,OR(AND(ISNUMBER(R177),TRIM(S177)=""),AND(ISNUMBER(V177),TRIM(W177)=""))),1,0)</f>
        <v>0</v>
      </c>
      <c r="BX177" s="23" t="str">
        <f aca="false">IF(AY177=1,AJ177&amp;"","")</f>
        <v/>
      </c>
      <c r="BY177" s="23" t="str">
        <f aca="false">IF(AY177=1,AK177&amp;"","")</f>
        <v/>
      </c>
      <c r="BZ177" s="23" t="str">
        <f aca="false">IF(AY177=1,AL177&amp;"","")</f>
        <v/>
      </c>
      <c r="CA177" s="23" t="str">
        <f aca="false">IF(AND(AY177=1,ISNUMBER(AS177),INT(N(H177))&lt;=Config!$B$5),AS177,"")</f>
        <v/>
      </c>
      <c r="CB177" s="23" t="str">
        <f aca="false">IF(AY177=1,IF(COUNTIFS($A$2:$A$201,$A177,$CU$2:$CU$201,1,$AN$2:$AN$201,"Y")&gt;0,"Y","N"),"")</f>
        <v/>
      </c>
      <c r="CC177" s="23" t="n">
        <f aca="false">IF(AND(AY177=1,AN177="Y"),IF(COUNTIFS($AW$2:$AW$201,AW177,$AN$2:$AN$201,"Y",$AY$2:$AY$201,1,$H$2:$H$201,"&lt;"&amp;H177)+COUNTIFS($AW$2:$AW$201,AW177,$AN$2:$AN$201,"Y",$AY$2:$AY$201,1,$H$2:$H$201,H177,$AX$2:$AX$201,"&lt;"&amp;AX177)=0,1,0),0)</f>
        <v>0</v>
      </c>
      <c r="CD177" s="23" t="n">
        <f aca="false">IF(AND(AY177=1,AB177="Y",AC177="Y",AD177="Y",AE177="Y",AF177="Y",AG177="Y",AI177="Y",TRIM(AH177)&lt;&gt;""),1,0)</f>
        <v>0</v>
      </c>
      <c r="CE177" s="23" t="n">
        <f aca="false">IF(CD177=1,IF(COUNTIFS($AW$2:$AW$201,AW177,$CD$2:$CD$201,1,$H$2:$H$201,"&lt;"&amp;H177)+COUNTIFS($AW$2:$AW$201,AW177,$CD$2:$CD$201,1,$H$2:$H$201,H177,$AX$2:$AX$201,"&lt;"&amp;AX177)=0,1,0),0)</f>
        <v>0</v>
      </c>
      <c r="CF177" s="23" t="n">
        <f aca="false">IF(AND(AY177=1,AO177="Y"),1,0)</f>
        <v>0</v>
      </c>
      <c r="CG177" s="23" t="n">
        <f aca="false">IF(CF177=1,IF(COUNTIFS($AW$2:$AW$201,AW177,$CF$2:$CF$201,1,$H$2:$H$201,"&lt;"&amp;H177)+COUNTIFS($AW$2:$AW$201,AW177,$CF$2:$CF$201,1,$H$2:$H$201,H177,$AX$2:$AX$201,"&lt;"&amp;AX177)=0,1,0),0)</f>
        <v>0</v>
      </c>
      <c r="CH177" s="23" t="n">
        <f aca="false">IF(AND(AY177=1,P177="Y"),1,0)</f>
        <v>0</v>
      </c>
      <c r="CI177" s="23" t="n">
        <f aca="false">IF(CH177=1,IF(COUNTIFS($AW$2:$AW$201,AW177,$CH$2:$CH$201,1,$H$2:$H$201,"&lt;"&amp;H177)+COUNTIFS($AW$2:$AW$201,AW177,$CH$2:$CH$201,1,$H$2:$H$201,H177,$AX$2:$AX$201,"&lt;"&amp;AX177)=0,1,0),0)</f>
        <v>0</v>
      </c>
      <c r="CJ177" s="23" t="str">
        <f aca="false">IF(AND(BU177=1,INT(N(H177))&lt;=Config!$B$5),L177,"")</f>
        <v/>
      </c>
      <c r="CK177" s="23" t="n">
        <f aca="false">IF(AND(AY177=1,AR177="Y"),1,0)</f>
        <v>0</v>
      </c>
      <c r="CL177" s="23" t="n">
        <f aca="false">IF(CK177=1,IF(COUNTIFS($AW$2:$AW$201,AW177,$CK$2:$CK$201,1,$H$2:$H$201,"&lt;"&amp;H177)+COUNTIFS($AW$2:$AW$201,AW177,$CK$2:$CK$201,1,$H$2:$H$201,H177,$AX$2:$AX$201,"&lt;"&amp;AX177)=0,1,0),0)</f>
        <v>0</v>
      </c>
      <c r="CM177" s="23" t="str">
        <f aca="false">IF(AY177=1,IFERROR(MATCH($A177,INDEX(Clay_Brands!$A$2:$FZ$601,0,Sync!$D$5),0),""),"")</f>
        <v/>
      </c>
      <c r="CN177" s="23" t="str">
        <f aca="false">IF(CM177="","",IFERROR(INDEX(Clay_Brands!$A$2:$FZ$601,CM177,Sync!$D$7)&amp;"",""))</f>
        <v/>
      </c>
      <c r="CO177" s="23" t="str">
        <f aca="false">IF(CN177="","",IFERROR(INDEX(Lists!$K$2:$K$15,MATCH(CN177,Lists!$J$2:$J$15,0)),""))</f>
        <v/>
      </c>
      <c r="CP177" s="23" t="str">
        <f aca="false">IF(CM177="","",IFERROR(INDEX(Clay_Brands!$A$2:$FZ$601,CM177,Sync!$D$17)&amp;"",""))</f>
        <v/>
      </c>
      <c r="CQ177" s="35" t="str">
        <f aca="false">IF(CM177="","",IFERROR(N(INDEX(Clay_Brands!$A$2:$FZ$601,CM177,Sync!$D$16)),0))</f>
        <v/>
      </c>
      <c r="CR177" s="23" t="n">
        <f aca="false">IF(AND(AY177=1,OR(O177="N",AND(OR(ISNUMBER(R177),ISNUMBER(V177)),MAX(N(R177),N(V177))&lt;Config!$B$14))),1,0)</f>
        <v>0</v>
      </c>
      <c r="CS177" s="23" t="n">
        <f aca="false">IF(OR(BB177=1,CR177=1),1,0)</f>
        <v>0</v>
      </c>
      <c r="CT177" s="23" t="n">
        <f aca="false">IF(AND(AY177=1,OR(AN177="Y",AN177="N",AN177="maybe")),1,0)</f>
        <v>0</v>
      </c>
      <c r="CU177" s="23" t="n">
        <f aca="false">IF(AND(CT177=1),IF(COUNTIFS($A$2:$A$201,$A177,$CT$2:$CT$201,1,$H$2:$H$201,"&gt;"&amp;H177)+COUNTIFS($A$2:$A$201,$A177,$CT$2:$CT$201,1,$H$2:$H$201,H177,$AX$2:$AX$201,"&gt;"&amp;AX177)=0,1,0),0)</f>
        <v>0</v>
      </c>
      <c r="CV177" s="23" t="n">
        <f aca="false">IF(AND(CS177=1,INT(N(H177))&lt;=Config!$B$6),IF(COUNTIFS($AW$2:$AW$201,AW177,$CS$2:$CS$201,1,$H$2:$H$201,"&gt;"&amp;H177,$H$2:$H$201,"&lt;"&amp;(Config!$B$6+1))+COUNTIFS($AW$2:$AW$201,AW177,$CS$2:$CS$201,1,$H$2:$H$201,H177,$AX$2:$AX$201,"&gt;"&amp;AX177)=0,1,0),0)</f>
        <v>0</v>
      </c>
      <c r="CW177" s="23" t="n">
        <f aca="false">IF(AND(CS177=1,INT(N(H177))&lt;=Config!$B$7),IF(COUNTIFS($AW$2:$AW$201,AW177,$CS$2:$CS$201,1,$H$2:$H$201,"&gt;"&amp;H177,$H$2:$H$201,"&lt;"&amp;(Config!$B$7+1))+COUNTIFS($AW$2:$AW$201,AW177,$CS$2:$CS$201,1,$H$2:$H$201,H177,$AX$2:$AX$201,"&gt;"&amp;AX177)=0,1,0),0)</f>
        <v>0</v>
      </c>
      <c r="CX177" s="23" t="n">
        <f aca="false">IF(AND(CS177=1,INT(N(H177))&lt;=Config!$B$8),IF(COUNTIFS($AW$2:$AW$201,AW177,$CS$2:$CS$201,1,$H$2:$H$201,"&gt;"&amp;H177,$H$2:$H$201,"&lt;"&amp;(Config!$B$8+1))+COUNTIFS($AW$2:$AW$201,AW177,$CS$2:$CS$201,1,$H$2:$H$201,H177,$AX$2:$AX$201,"&gt;"&amp;AX177)=0,1,0),0)</f>
        <v>0</v>
      </c>
      <c r="CY177" s="23" t="n">
        <f aca="false">IF(AND(CS177=1,INT(N(H177))&lt;=Config!$B$5),IF(COUNTIFS($AW$2:$AW$201,AW177,$CS$2:$CS$201,1,$H$2:$H$201,"&gt;"&amp;H177,$H$2:$H$201,"&lt;"&amp;(Config!$B$5+1))+COUNTIFS($AW$2:$AW$201,AW177,$CS$2:$CS$201,1,$H$2:$H$201,H177,$AX$2:$AX$201,"&gt;"&amp;AX177)=0,1,0),0)</f>
        <v>0</v>
      </c>
      <c r="CZ177" s="23" t="n">
        <f aca="false">IF(AY177=1,IF(COUNTIFS($AW$2:$AW$201,AW177,$CV$2:$CV$201,1,$BB$2:$BB$201,1)&gt;0,1,0),0)</f>
        <v>0</v>
      </c>
      <c r="DA177" s="23" t="n">
        <f aca="false">IF(AY177=1,IF(COUNTIFS($AW$2:$AW$201,AW177,$CW$2:$CW$201,1,$BB$2:$BB$201,1)&gt;0,1,0),0)</f>
        <v>0</v>
      </c>
      <c r="DB177" s="23" t="n">
        <f aca="false">IF(AY177=1,IF(COUNTIFS($AW$2:$AW$201,AW177,$CX$2:$CX$201,1,$BB$2:$BB$201,1)&gt;0,1,0),0)</f>
        <v>0</v>
      </c>
      <c r="DC177" s="23" t="n">
        <f aca="false">IF(AY177=1,IF(COUNTIFS($AW$2:$AW$201,AW177,$CY$2:$CY$201,1,$BB$2:$BB$201,1)&gt;0,1,0),0)</f>
        <v>0</v>
      </c>
      <c r="DD177" s="23" t="n">
        <f aca="false">IF(AND(BC177=1,INT(N(H177))&lt;=Config!$B$6,CZ177=1),1,0)</f>
        <v>0</v>
      </c>
      <c r="DE177" s="23" t="n">
        <f aca="false">IF(AND(BC177=1,INT(N(H177))&lt;=Config!$B$7,DA177=1),1,0)</f>
        <v>0</v>
      </c>
      <c r="DF177" s="23" t="n">
        <f aca="false">IF(AND(BC177=1,INT(N(H177))&lt;=Config!$B$8,DB177=1),1,0)</f>
        <v>0</v>
      </c>
      <c r="DG177" s="23" t="n">
        <f aca="false">IF(AND(BC177=1,INT(N(H177))&lt;=Config!$B$5,DC177=1),1,0)</f>
        <v>0</v>
      </c>
      <c r="DH177" s="23" t="n">
        <f aca="false">IF(AND(BE177=1,INT(N(H177))&lt;=Config!$B$6,CZ177=1),1,0)</f>
        <v>0</v>
      </c>
      <c r="DI177" s="23" t="n">
        <f aca="false">IF(AND(BE177=1,INT(N(H177))&lt;=Config!$B$7,DA177=1),1,0)</f>
        <v>0</v>
      </c>
      <c r="DJ177" s="23" t="n">
        <f aca="false">IF(AND(BE177=1,INT(N(H177))&lt;=Config!$B$8,DB177=1),1,0)</f>
        <v>0</v>
      </c>
      <c r="DK177" s="23" t="n">
        <f aca="false">IF(AND(BE177=1,INT(N(H177))&lt;=Config!$B$5,DC177=1),1,0)</f>
        <v>0</v>
      </c>
      <c r="DL177" s="23" t="n">
        <f aca="false">IF(AND(BC177=1,INT(N(H177))&lt;=Config!$B$6,CZ177=0),1,0)</f>
        <v>0</v>
      </c>
      <c r="DM177" s="23" t="n">
        <f aca="false">IF(AND(BC177=1,INT(N(H177))&lt;=Config!$B$7,DA177=0),1,0)</f>
        <v>0</v>
      </c>
      <c r="DN177" s="23" t="n">
        <f aca="false">IF(AND(BC177=1,INT(N(H177))&lt;=Config!$B$8,DB177=0),1,0)</f>
        <v>0</v>
      </c>
      <c r="DO177" s="23" t="n">
        <f aca="false">IF(AND(BC177=1,INT(N(H177))&lt;=Config!$B$5,DC177=0),1,0)</f>
        <v>0</v>
      </c>
      <c r="DP177" s="23" t="n">
        <f aca="false">IF(TRIM($A177)="",0,ISTEXT(K177)+ISTEXT(L177)+ISTEXT(R177)+ISTEXT(V177)+ISTEXT(AP177)+ISTEXT(AS177))</f>
        <v>0</v>
      </c>
      <c r="DQ177" s="23" t="n">
        <f aca="false">IF(AY177=1,IF(H177&lt;&gt;INT(H177),1,0),0)</f>
        <v>0</v>
      </c>
      <c r="DR177" s="23" t="str">
        <f aca="false">IF(TRIM($A177)="","",IF(TRIM(B177)="",SUBSTITUTE(SUBSTITUTE(SUBSTITUTE(SUBSTITUTE(SUBSTITUTE(SUBSTITUTE(LOWER(TRIM($A177)),"~",""),"*",""),"?",""),"&lt;",""),"&gt;",""),"=",""),SUBSTITUTE(SUBSTITUTE(SUBSTITUTE(SUBSTITUTE(SUBSTITUTE(SUBSTITUTE(LOWER(TRIM(B177)),"~",""),"*",""),"?",""),"&lt;",""),"&gt;",""),"=","")))</f>
        <v/>
      </c>
      <c r="DS177" s="23" t="str">
        <f aca="false">IF(CM177="","",IFERROR(IF(LEFT(LOWER(TRIM(INDEX(Clay_Brands!$A$2:$FZ$601,CM177,Sync!$D$19)&amp;"")),4)="grp-",SUBSTITUTE(SUBSTITUTE(SUBSTITUTE(SUBSTITUTE(SUBSTITUTE(SUBSTITUTE(LOWER(TRIM(INDEX(Clay_Brands!$A$2:$FZ$601,CM177,Sync!$D$19)&amp;"")),"~",""),"*",""),"?",""),"&lt;",""),"&gt;",""),"=",""),""),""))</f>
        <v/>
      </c>
      <c r="DT177" s="23" t="str">
        <f aca="false">IF(DS177&lt;&gt;"",DR177,"")</f>
        <v/>
      </c>
      <c r="DU177" s="23" t="str">
        <f aca="false">IF(AZ177=1,AW177,"")</f>
        <v/>
      </c>
      <c r="DV177" s="23" t="str">
        <f aca="false">IF(TRIM($A177)="","",IFERROR(INDEX($A$2:$A$201,MATCH(AW177,$DU$2:$DU$201,0))&amp;"",$A177&amp;""))</f>
        <v/>
      </c>
      <c r="DW177" s="23" t="n">
        <f aca="false">IF(AY177=1,IF(COUNTIFS($A$2:$A$201,$A177,$AY$2:$AY$201,1,$H$2:$H$201,"&lt;"&amp;H177)+COUNTIFS($A$2:$A$201,$A177,$AY$2:$AY$201,1,$H$2:$H$201,H177,$AX$2:$AX$201,"&lt;"&amp;AX177)=0,1,0),0)</f>
        <v>0</v>
      </c>
      <c r="DX177" s="23" t="n">
        <f aca="false">IF(AZ177=1,IF(COUNTIFS($AW$2:$AW$201,AW177,$DW$2:$DW$201,1)&gt;1,1,0),0)</f>
        <v>0</v>
      </c>
    </row>
    <row r="178" customFormat="false" ht="15" hidden="false" customHeight="false" outlineLevel="0" collapsed="false">
      <c r="G178" s="32"/>
      <c r="H178" s="33"/>
      <c r="I178" s="32"/>
      <c r="O178" s="32"/>
      <c r="P178" s="32"/>
      <c r="U178" s="32"/>
      <c r="Y178" s="32"/>
      <c r="AB178" s="32"/>
      <c r="AC178" s="32"/>
      <c r="AD178" s="32"/>
      <c r="AE178" s="32"/>
      <c r="AF178" s="32"/>
      <c r="AG178" s="32"/>
      <c r="AI178" s="32"/>
      <c r="AJ178" s="32"/>
      <c r="AK178" s="32"/>
      <c r="AN178" s="32"/>
      <c r="AO178" s="32"/>
      <c r="AR178" s="32"/>
      <c r="AT178" s="32"/>
      <c r="AV178" s="34" t="str">
        <f aca="false">IF(TRIM($A178)="","",IF(AND(LEFT($A178,6)="SAMPLE",Config!$B$19&lt;&gt;"Y"),"",IF(NOT(ISNUMBER(H178)),"call_date is blank or not a date",IF(Sync!$D$5="","Clay paste is empty or has no row_id column: paste the Clay export on Clay_Brands",IF(CM178="","row_id not found in the Clay paste: add the Clay row or fix the row_id",IF(AND(ISNUMBER(CO178),CO178&gt;=1,CO178&lt;=5),"Clay status is "&amp;CN178&amp;": set call_done or later",IF(AND(BA178=1,CP178&lt;&gt;CB178),"Clay yes_in_principle should be "&amp;CB178,IF(AND(BA178=1,CQ178&lt;&gt;H178),"Clay call_date should be "&amp;TEXT(H178,"yyyy-mm-dd"),""))))))))</f>
        <v/>
      </c>
      <c r="AW178" s="23" t="str">
        <f aca="false">IF(TRIM($A178)="","",IF(TRIM(C178)&lt;&gt;"",SUBSTITUTE(SUBSTITUTE(SUBSTITUTE(SUBSTITUTE(SUBSTITUTE(SUBSTITUTE(LOWER(TRIM(C178)),"~",""),"*",""),"?",""),"&lt;",""),"&gt;",""),"=",""),IF(DS178&lt;&gt;"",DS178,IFERROR(INDEX($DS$2:$DS$201,MATCH(DR178,$DT$2:$DT$201,0)),DR178))))</f>
        <v/>
      </c>
      <c r="AX178" s="23" t="n">
        <f aca="false">ROW()</f>
        <v>178</v>
      </c>
      <c r="AY178" s="23" t="n">
        <f aca="false">IF(AND(TRIM($A178)&lt;&gt;"",ISNUMBER(H178)),IF(AND(LEFT($A178,6)="SAMPLE",Config!$B$19&lt;&gt;"Y"),0,1),0)</f>
        <v>0</v>
      </c>
      <c r="AZ178" s="23" t="n">
        <f aca="false">IF(AY178=1,IF(COUNTIFS($AW$2:$AW$201,AW178,$AY$2:$AY$201,1,$H$2:$H$201,"&lt;"&amp;H178)+COUNTIFS($AW$2:$AW$201,AW178,$AY$2:$AY$201,1,$H$2:$H$201,H178,$AX$2:$AX$201,"&lt;"&amp;AX178)=0,1,0),0)</f>
        <v>0</v>
      </c>
      <c r="BA178" s="23" t="n">
        <f aca="false">IF(AY178=1,IF(COUNTIFS($A$2:$A$201,$A178,$AY$2:$AY$201,1,$H$2:$H$201,"&gt;"&amp;H178)+COUNTIFS($A$2:$A$201,$A178,$AY$2:$AY$201,1,$H$2:$H$201,H178,$AX$2:$AX$201,"&gt;"&amp;AX178)=0,1,0),0)</f>
        <v>0</v>
      </c>
      <c r="BB178" s="23" t="n">
        <f aca="false">IF(AND(AY178=1,O178="Y",MAX(N(R178),N(V178))&gt;=Config!$B$14),1,0)</f>
        <v>0</v>
      </c>
      <c r="BC178" s="23" t="n">
        <f aca="false">IF(BB178=1,IF(COUNTIFS($AW$2:$AW$201,AW178,$BB$2:$BB$201,1,$H$2:$H$201,"&lt;"&amp;H178)+COUNTIFS($AW$2:$AW$201,AW178,$BB$2:$BB$201,1,$H$2:$H$201,H178,$AX$2:$AX$201,"&lt;"&amp;AX178)=0,1,0),0)</f>
        <v>0</v>
      </c>
      <c r="BD178" s="23" t="n">
        <f aca="false">IF(AND(AY178=1,O178="Y",ISNUMBER(R178)),IF(R178&gt;=Config!$B$14,1,0),0)</f>
        <v>0</v>
      </c>
      <c r="BE178" s="23" t="n">
        <f aca="false">IF(BD178=1,IF(COUNTIFS($AW$2:$AW$201,AW178,$BD$2:$BD$201,1,$H$2:$H$201,"&lt;"&amp;H178)+COUNTIFS($AW$2:$AW$201,AW178,$BD$2:$BD$201,1,$H$2:$H$201,H178,$AX$2:$AX$201,"&lt;"&amp;AX178)=0,1,0),0)</f>
        <v>0</v>
      </c>
      <c r="BF178" s="23" t="n">
        <f aca="false">IF(AND(AY178=1,O178&lt;&gt;"Y",MAX(N(R178),N(V178))&gt;=Config!$B$14),1,0)</f>
        <v>0</v>
      </c>
      <c r="BG178" s="23" t="n">
        <f aca="false">IF(BF178=1,IF(COUNTIFS($AW$2:$AW$201,AW178,$BF$2:$BF$201,1,$H$2:$H$201,"&lt;"&amp;H178)+COUNTIFS($AW$2:$AW$201,AW178,$BF$2:$BF$201,1,$H$2:$H$201,H178,$AX$2:$AX$201,"&lt;"&amp;AX178)=0,1,0),0)</f>
        <v>0</v>
      </c>
      <c r="BH178" s="23" t="n">
        <f aca="false">IF(AND(AY178=1,ISNUMBER(R178)),1,0)</f>
        <v>0</v>
      </c>
      <c r="BI178" s="23" t="n">
        <f aca="false">IF(BH178=1,IF(COUNTIFS($AW$2:$AW$201,AW178,$BH$2:$BH$201,1,$H$2:$H$201,"&lt;"&amp;H178)+COUNTIFS($AW$2:$AW$201,AW178,$BH$2:$BH$201,1,$H$2:$H$201,H178,$AX$2:$AX$201,"&lt;"&amp;AX178)=0,1,0),0)</f>
        <v>0</v>
      </c>
      <c r="BJ178" s="23" t="str">
        <f aca="false">IF(AND(BI178=1,INT(N(H178))&lt;=Config!$B$6),R178,"")</f>
        <v/>
      </c>
      <c r="BK178" s="23" t="str">
        <f aca="false">IF(AND(BI178=1,INT(N(H178))&lt;=Config!$B$7),R178,"")</f>
        <v/>
      </c>
      <c r="BL178" s="23" t="str">
        <f aca="false">IF(AND(BI178=1,INT(N(H178))&lt;=Config!$B$8),R178,"")</f>
        <v/>
      </c>
      <c r="BM178" s="23" t="str">
        <f aca="false">IF(AND(BI178=1,INT(N(H178))&lt;=Config!$B$5),R178,"")</f>
        <v/>
      </c>
      <c r="BN178" s="23" t="n">
        <f aca="false">IF(AND(AY178=1,ISNUMBER(V178)),1,0)</f>
        <v>0</v>
      </c>
      <c r="BO178" s="23" t="n">
        <f aca="false">IF(BN178=1,IF(COUNTIFS($AW$2:$AW$201,AW178,$BN$2:$BN$201,1,$H$2:$H$201,"&lt;"&amp;H178)+COUNTIFS($AW$2:$AW$201,AW178,$BN$2:$BN$201,1,$H$2:$H$201,H178,$AX$2:$AX$201,"&lt;"&amp;AX178)=0,1,0),0)</f>
        <v>0</v>
      </c>
      <c r="BP178" s="23" t="str">
        <f aca="false">IF(AND(BO178=1,INT(N(H178))&lt;=Config!$B$6),V178,"")</f>
        <v/>
      </c>
      <c r="BQ178" s="23" t="str">
        <f aca="false">IF(AND(BO178=1,INT(N(H178))&lt;=Config!$B$7),V178,"")</f>
        <v/>
      </c>
      <c r="BR178" s="23" t="str">
        <f aca="false">IF(AND(BO178=1,INT(N(H178))&lt;=Config!$B$8),V178,"")</f>
        <v/>
      </c>
      <c r="BS178" s="23" t="str">
        <f aca="false">IF(AND(BO178=1,INT(N(H178))&lt;=Config!$B$5),V178,"")</f>
        <v/>
      </c>
      <c r="BT178" s="23" t="n">
        <f aca="false">IF(AND(AY178=1,ISNUMBER(K178)),1,0)</f>
        <v>0</v>
      </c>
      <c r="BU178" s="23" t="n">
        <f aca="false">IF(BT178=1,IF(COUNTIFS($AW$2:$AW$201,AW178,$BT$2:$BT$201,1,$H$2:$H$201,"&lt;"&amp;H178)+COUNTIFS($AW$2:$AW$201,AW178,$BT$2:$BT$201,1,$H$2:$H$201,H178,$AX$2:$AX$201,"&lt;"&amp;AX178)=0,1,0),0)</f>
        <v>0</v>
      </c>
      <c r="BV178" s="23" t="str">
        <f aca="false">IF(AND(BU178=1,INT(N(H178))&lt;=Config!$B$5),K178,"")</f>
        <v/>
      </c>
      <c r="BW178" s="23" t="n">
        <f aca="false">IF(AND(AY178=1,OR(AND(ISNUMBER(R178),TRIM(S178)=""),AND(ISNUMBER(V178),TRIM(W178)=""))),1,0)</f>
        <v>0</v>
      </c>
      <c r="BX178" s="23" t="str">
        <f aca="false">IF(AY178=1,AJ178&amp;"","")</f>
        <v/>
      </c>
      <c r="BY178" s="23" t="str">
        <f aca="false">IF(AY178=1,AK178&amp;"","")</f>
        <v/>
      </c>
      <c r="BZ178" s="23" t="str">
        <f aca="false">IF(AY178=1,AL178&amp;"","")</f>
        <v/>
      </c>
      <c r="CA178" s="23" t="str">
        <f aca="false">IF(AND(AY178=1,ISNUMBER(AS178),INT(N(H178))&lt;=Config!$B$5),AS178,"")</f>
        <v/>
      </c>
      <c r="CB178" s="23" t="str">
        <f aca="false">IF(AY178=1,IF(COUNTIFS($A$2:$A$201,$A178,$CU$2:$CU$201,1,$AN$2:$AN$201,"Y")&gt;0,"Y","N"),"")</f>
        <v/>
      </c>
      <c r="CC178" s="23" t="n">
        <f aca="false">IF(AND(AY178=1,AN178="Y"),IF(COUNTIFS($AW$2:$AW$201,AW178,$AN$2:$AN$201,"Y",$AY$2:$AY$201,1,$H$2:$H$201,"&lt;"&amp;H178)+COUNTIFS($AW$2:$AW$201,AW178,$AN$2:$AN$201,"Y",$AY$2:$AY$201,1,$H$2:$H$201,H178,$AX$2:$AX$201,"&lt;"&amp;AX178)=0,1,0),0)</f>
        <v>0</v>
      </c>
      <c r="CD178" s="23" t="n">
        <f aca="false">IF(AND(AY178=1,AB178="Y",AC178="Y",AD178="Y",AE178="Y",AF178="Y",AG178="Y",AI178="Y",TRIM(AH178)&lt;&gt;""),1,0)</f>
        <v>0</v>
      </c>
      <c r="CE178" s="23" t="n">
        <f aca="false">IF(CD178=1,IF(COUNTIFS($AW$2:$AW$201,AW178,$CD$2:$CD$201,1,$H$2:$H$201,"&lt;"&amp;H178)+COUNTIFS($AW$2:$AW$201,AW178,$CD$2:$CD$201,1,$H$2:$H$201,H178,$AX$2:$AX$201,"&lt;"&amp;AX178)=0,1,0),0)</f>
        <v>0</v>
      </c>
      <c r="CF178" s="23" t="n">
        <f aca="false">IF(AND(AY178=1,AO178="Y"),1,0)</f>
        <v>0</v>
      </c>
      <c r="CG178" s="23" t="n">
        <f aca="false">IF(CF178=1,IF(COUNTIFS($AW$2:$AW$201,AW178,$CF$2:$CF$201,1,$H$2:$H$201,"&lt;"&amp;H178)+COUNTIFS($AW$2:$AW$201,AW178,$CF$2:$CF$201,1,$H$2:$H$201,H178,$AX$2:$AX$201,"&lt;"&amp;AX178)=0,1,0),0)</f>
        <v>0</v>
      </c>
      <c r="CH178" s="23" t="n">
        <f aca="false">IF(AND(AY178=1,P178="Y"),1,0)</f>
        <v>0</v>
      </c>
      <c r="CI178" s="23" t="n">
        <f aca="false">IF(CH178=1,IF(COUNTIFS($AW$2:$AW$201,AW178,$CH$2:$CH$201,1,$H$2:$H$201,"&lt;"&amp;H178)+COUNTIFS($AW$2:$AW$201,AW178,$CH$2:$CH$201,1,$H$2:$H$201,H178,$AX$2:$AX$201,"&lt;"&amp;AX178)=0,1,0),0)</f>
        <v>0</v>
      </c>
      <c r="CJ178" s="23" t="str">
        <f aca="false">IF(AND(BU178=1,INT(N(H178))&lt;=Config!$B$5),L178,"")</f>
        <v/>
      </c>
      <c r="CK178" s="23" t="n">
        <f aca="false">IF(AND(AY178=1,AR178="Y"),1,0)</f>
        <v>0</v>
      </c>
      <c r="CL178" s="23" t="n">
        <f aca="false">IF(CK178=1,IF(COUNTIFS($AW$2:$AW$201,AW178,$CK$2:$CK$201,1,$H$2:$H$201,"&lt;"&amp;H178)+COUNTIFS($AW$2:$AW$201,AW178,$CK$2:$CK$201,1,$H$2:$H$201,H178,$AX$2:$AX$201,"&lt;"&amp;AX178)=0,1,0),0)</f>
        <v>0</v>
      </c>
      <c r="CM178" s="23" t="str">
        <f aca="false">IF(AY178=1,IFERROR(MATCH($A178,INDEX(Clay_Brands!$A$2:$FZ$601,0,Sync!$D$5),0),""),"")</f>
        <v/>
      </c>
      <c r="CN178" s="23" t="str">
        <f aca="false">IF(CM178="","",IFERROR(INDEX(Clay_Brands!$A$2:$FZ$601,CM178,Sync!$D$7)&amp;"",""))</f>
        <v/>
      </c>
      <c r="CO178" s="23" t="str">
        <f aca="false">IF(CN178="","",IFERROR(INDEX(Lists!$K$2:$K$15,MATCH(CN178,Lists!$J$2:$J$15,0)),""))</f>
        <v/>
      </c>
      <c r="CP178" s="23" t="str">
        <f aca="false">IF(CM178="","",IFERROR(INDEX(Clay_Brands!$A$2:$FZ$601,CM178,Sync!$D$17)&amp;"",""))</f>
        <v/>
      </c>
      <c r="CQ178" s="35" t="str">
        <f aca="false">IF(CM178="","",IFERROR(N(INDEX(Clay_Brands!$A$2:$FZ$601,CM178,Sync!$D$16)),0))</f>
        <v/>
      </c>
      <c r="CR178" s="23" t="n">
        <f aca="false">IF(AND(AY178=1,OR(O178="N",AND(OR(ISNUMBER(R178),ISNUMBER(V178)),MAX(N(R178),N(V178))&lt;Config!$B$14))),1,0)</f>
        <v>0</v>
      </c>
      <c r="CS178" s="23" t="n">
        <f aca="false">IF(OR(BB178=1,CR178=1),1,0)</f>
        <v>0</v>
      </c>
      <c r="CT178" s="23" t="n">
        <f aca="false">IF(AND(AY178=1,OR(AN178="Y",AN178="N",AN178="maybe")),1,0)</f>
        <v>0</v>
      </c>
      <c r="CU178" s="23" t="n">
        <f aca="false">IF(AND(CT178=1),IF(COUNTIFS($A$2:$A$201,$A178,$CT$2:$CT$201,1,$H$2:$H$201,"&gt;"&amp;H178)+COUNTIFS($A$2:$A$201,$A178,$CT$2:$CT$201,1,$H$2:$H$201,H178,$AX$2:$AX$201,"&gt;"&amp;AX178)=0,1,0),0)</f>
        <v>0</v>
      </c>
      <c r="CV178" s="23" t="n">
        <f aca="false">IF(AND(CS178=1,INT(N(H178))&lt;=Config!$B$6),IF(COUNTIFS($AW$2:$AW$201,AW178,$CS$2:$CS$201,1,$H$2:$H$201,"&gt;"&amp;H178,$H$2:$H$201,"&lt;"&amp;(Config!$B$6+1))+COUNTIFS($AW$2:$AW$201,AW178,$CS$2:$CS$201,1,$H$2:$H$201,H178,$AX$2:$AX$201,"&gt;"&amp;AX178)=0,1,0),0)</f>
        <v>0</v>
      </c>
      <c r="CW178" s="23" t="n">
        <f aca="false">IF(AND(CS178=1,INT(N(H178))&lt;=Config!$B$7),IF(COUNTIFS($AW$2:$AW$201,AW178,$CS$2:$CS$201,1,$H$2:$H$201,"&gt;"&amp;H178,$H$2:$H$201,"&lt;"&amp;(Config!$B$7+1))+COUNTIFS($AW$2:$AW$201,AW178,$CS$2:$CS$201,1,$H$2:$H$201,H178,$AX$2:$AX$201,"&gt;"&amp;AX178)=0,1,0),0)</f>
        <v>0</v>
      </c>
      <c r="CX178" s="23" t="n">
        <f aca="false">IF(AND(CS178=1,INT(N(H178))&lt;=Config!$B$8),IF(COUNTIFS($AW$2:$AW$201,AW178,$CS$2:$CS$201,1,$H$2:$H$201,"&gt;"&amp;H178,$H$2:$H$201,"&lt;"&amp;(Config!$B$8+1))+COUNTIFS($AW$2:$AW$201,AW178,$CS$2:$CS$201,1,$H$2:$H$201,H178,$AX$2:$AX$201,"&gt;"&amp;AX178)=0,1,0),0)</f>
        <v>0</v>
      </c>
      <c r="CY178" s="23" t="n">
        <f aca="false">IF(AND(CS178=1,INT(N(H178))&lt;=Config!$B$5),IF(COUNTIFS($AW$2:$AW$201,AW178,$CS$2:$CS$201,1,$H$2:$H$201,"&gt;"&amp;H178,$H$2:$H$201,"&lt;"&amp;(Config!$B$5+1))+COUNTIFS($AW$2:$AW$201,AW178,$CS$2:$CS$201,1,$H$2:$H$201,H178,$AX$2:$AX$201,"&gt;"&amp;AX178)=0,1,0),0)</f>
        <v>0</v>
      </c>
      <c r="CZ178" s="23" t="n">
        <f aca="false">IF(AY178=1,IF(COUNTIFS($AW$2:$AW$201,AW178,$CV$2:$CV$201,1,$BB$2:$BB$201,1)&gt;0,1,0),0)</f>
        <v>0</v>
      </c>
      <c r="DA178" s="23" t="n">
        <f aca="false">IF(AY178=1,IF(COUNTIFS($AW$2:$AW$201,AW178,$CW$2:$CW$201,1,$BB$2:$BB$201,1)&gt;0,1,0),0)</f>
        <v>0</v>
      </c>
      <c r="DB178" s="23" t="n">
        <f aca="false">IF(AY178=1,IF(COUNTIFS($AW$2:$AW$201,AW178,$CX$2:$CX$201,1,$BB$2:$BB$201,1)&gt;0,1,0),0)</f>
        <v>0</v>
      </c>
      <c r="DC178" s="23" t="n">
        <f aca="false">IF(AY178=1,IF(COUNTIFS($AW$2:$AW$201,AW178,$CY$2:$CY$201,1,$BB$2:$BB$201,1)&gt;0,1,0),0)</f>
        <v>0</v>
      </c>
      <c r="DD178" s="23" t="n">
        <f aca="false">IF(AND(BC178=1,INT(N(H178))&lt;=Config!$B$6,CZ178=1),1,0)</f>
        <v>0</v>
      </c>
      <c r="DE178" s="23" t="n">
        <f aca="false">IF(AND(BC178=1,INT(N(H178))&lt;=Config!$B$7,DA178=1),1,0)</f>
        <v>0</v>
      </c>
      <c r="DF178" s="23" t="n">
        <f aca="false">IF(AND(BC178=1,INT(N(H178))&lt;=Config!$B$8,DB178=1),1,0)</f>
        <v>0</v>
      </c>
      <c r="DG178" s="23" t="n">
        <f aca="false">IF(AND(BC178=1,INT(N(H178))&lt;=Config!$B$5,DC178=1),1,0)</f>
        <v>0</v>
      </c>
      <c r="DH178" s="23" t="n">
        <f aca="false">IF(AND(BE178=1,INT(N(H178))&lt;=Config!$B$6,CZ178=1),1,0)</f>
        <v>0</v>
      </c>
      <c r="DI178" s="23" t="n">
        <f aca="false">IF(AND(BE178=1,INT(N(H178))&lt;=Config!$B$7,DA178=1),1,0)</f>
        <v>0</v>
      </c>
      <c r="DJ178" s="23" t="n">
        <f aca="false">IF(AND(BE178=1,INT(N(H178))&lt;=Config!$B$8,DB178=1),1,0)</f>
        <v>0</v>
      </c>
      <c r="DK178" s="23" t="n">
        <f aca="false">IF(AND(BE178=1,INT(N(H178))&lt;=Config!$B$5,DC178=1),1,0)</f>
        <v>0</v>
      </c>
      <c r="DL178" s="23" t="n">
        <f aca="false">IF(AND(BC178=1,INT(N(H178))&lt;=Config!$B$6,CZ178=0),1,0)</f>
        <v>0</v>
      </c>
      <c r="DM178" s="23" t="n">
        <f aca="false">IF(AND(BC178=1,INT(N(H178))&lt;=Config!$B$7,DA178=0),1,0)</f>
        <v>0</v>
      </c>
      <c r="DN178" s="23" t="n">
        <f aca="false">IF(AND(BC178=1,INT(N(H178))&lt;=Config!$B$8,DB178=0),1,0)</f>
        <v>0</v>
      </c>
      <c r="DO178" s="23" t="n">
        <f aca="false">IF(AND(BC178=1,INT(N(H178))&lt;=Config!$B$5,DC178=0),1,0)</f>
        <v>0</v>
      </c>
      <c r="DP178" s="23" t="n">
        <f aca="false">IF(TRIM($A178)="",0,ISTEXT(K178)+ISTEXT(L178)+ISTEXT(R178)+ISTEXT(V178)+ISTEXT(AP178)+ISTEXT(AS178))</f>
        <v>0</v>
      </c>
      <c r="DQ178" s="23" t="n">
        <f aca="false">IF(AY178=1,IF(H178&lt;&gt;INT(H178),1,0),0)</f>
        <v>0</v>
      </c>
      <c r="DR178" s="23" t="str">
        <f aca="false">IF(TRIM($A178)="","",IF(TRIM(B178)="",SUBSTITUTE(SUBSTITUTE(SUBSTITUTE(SUBSTITUTE(SUBSTITUTE(SUBSTITUTE(LOWER(TRIM($A178)),"~",""),"*",""),"?",""),"&lt;",""),"&gt;",""),"=",""),SUBSTITUTE(SUBSTITUTE(SUBSTITUTE(SUBSTITUTE(SUBSTITUTE(SUBSTITUTE(LOWER(TRIM(B178)),"~",""),"*",""),"?",""),"&lt;",""),"&gt;",""),"=","")))</f>
        <v/>
      </c>
      <c r="DS178" s="23" t="str">
        <f aca="false">IF(CM178="","",IFERROR(IF(LEFT(LOWER(TRIM(INDEX(Clay_Brands!$A$2:$FZ$601,CM178,Sync!$D$19)&amp;"")),4)="grp-",SUBSTITUTE(SUBSTITUTE(SUBSTITUTE(SUBSTITUTE(SUBSTITUTE(SUBSTITUTE(LOWER(TRIM(INDEX(Clay_Brands!$A$2:$FZ$601,CM178,Sync!$D$19)&amp;"")),"~",""),"*",""),"?",""),"&lt;",""),"&gt;",""),"=",""),""),""))</f>
        <v/>
      </c>
      <c r="DT178" s="23" t="str">
        <f aca="false">IF(DS178&lt;&gt;"",DR178,"")</f>
        <v/>
      </c>
      <c r="DU178" s="23" t="str">
        <f aca="false">IF(AZ178=1,AW178,"")</f>
        <v/>
      </c>
      <c r="DV178" s="23" t="str">
        <f aca="false">IF(TRIM($A178)="","",IFERROR(INDEX($A$2:$A$201,MATCH(AW178,$DU$2:$DU$201,0))&amp;"",$A178&amp;""))</f>
        <v/>
      </c>
      <c r="DW178" s="23" t="n">
        <f aca="false">IF(AY178=1,IF(COUNTIFS($A$2:$A$201,$A178,$AY$2:$AY$201,1,$H$2:$H$201,"&lt;"&amp;H178)+COUNTIFS($A$2:$A$201,$A178,$AY$2:$AY$201,1,$H$2:$H$201,H178,$AX$2:$AX$201,"&lt;"&amp;AX178)=0,1,0),0)</f>
        <v>0</v>
      </c>
      <c r="DX178" s="23" t="n">
        <f aca="false">IF(AZ178=1,IF(COUNTIFS($AW$2:$AW$201,AW178,$DW$2:$DW$201,1)&gt;1,1,0),0)</f>
        <v>0</v>
      </c>
    </row>
    <row r="179" customFormat="false" ht="15" hidden="false" customHeight="false" outlineLevel="0" collapsed="false">
      <c r="G179" s="32"/>
      <c r="H179" s="33"/>
      <c r="I179" s="32"/>
      <c r="O179" s="32"/>
      <c r="P179" s="32"/>
      <c r="U179" s="32"/>
      <c r="Y179" s="32"/>
      <c r="AB179" s="32"/>
      <c r="AC179" s="32"/>
      <c r="AD179" s="32"/>
      <c r="AE179" s="32"/>
      <c r="AF179" s="32"/>
      <c r="AG179" s="32"/>
      <c r="AI179" s="32"/>
      <c r="AJ179" s="32"/>
      <c r="AK179" s="32"/>
      <c r="AN179" s="32"/>
      <c r="AO179" s="32"/>
      <c r="AR179" s="32"/>
      <c r="AT179" s="32"/>
      <c r="AV179" s="34" t="str">
        <f aca="false">IF(TRIM($A179)="","",IF(AND(LEFT($A179,6)="SAMPLE",Config!$B$19&lt;&gt;"Y"),"",IF(NOT(ISNUMBER(H179)),"call_date is blank or not a date",IF(Sync!$D$5="","Clay paste is empty or has no row_id column: paste the Clay export on Clay_Brands",IF(CM179="","row_id not found in the Clay paste: add the Clay row or fix the row_id",IF(AND(ISNUMBER(CO179),CO179&gt;=1,CO179&lt;=5),"Clay status is "&amp;CN179&amp;": set call_done or later",IF(AND(BA179=1,CP179&lt;&gt;CB179),"Clay yes_in_principle should be "&amp;CB179,IF(AND(BA179=1,CQ179&lt;&gt;H179),"Clay call_date should be "&amp;TEXT(H179,"yyyy-mm-dd"),""))))))))</f>
        <v/>
      </c>
      <c r="AW179" s="23" t="str">
        <f aca="false">IF(TRIM($A179)="","",IF(TRIM(C179)&lt;&gt;"",SUBSTITUTE(SUBSTITUTE(SUBSTITUTE(SUBSTITUTE(SUBSTITUTE(SUBSTITUTE(LOWER(TRIM(C179)),"~",""),"*",""),"?",""),"&lt;",""),"&gt;",""),"=",""),IF(DS179&lt;&gt;"",DS179,IFERROR(INDEX($DS$2:$DS$201,MATCH(DR179,$DT$2:$DT$201,0)),DR179))))</f>
        <v/>
      </c>
      <c r="AX179" s="23" t="n">
        <f aca="false">ROW()</f>
        <v>179</v>
      </c>
      <c r="AY179" s="23" t="n">
        <f aca="false">IF(AND(TRIM($A179)&lt;&gt;"",ISNUMBER(H179)),IF(AND(LEFT($A179,6)="SAMPLE",Config!$B$19&lt;&gt;"Y"),0,1),0)</f>
        <v>0</v>
      </c>
      <c r="AZ179" s="23" t="n">
        <f aca="false">IF(AY179=1,IF(COUNTIFS($AW$2:$AW$201,AW179,$AY$2:$AY$201,1,$H$2:$H$201,"&lt;"&amp;H179)+COUNTIFS($AW$2:$AW$201,AW179,$AY$2:$AY$201,1,$H$2:$H$201,H179,$AX$2:$AX$201,"&lt;"&amp;AX179)=0,1,0),0)</f>
        <v>0</v>
      </c>
      <c r="BA179" s="23" t="n">
        <f aca="false">IF(AY179=1,IF(COUNTIFS($A$2:$A$201,$A179,$AY$2:$AY$201,1,$H$2:$H$201,"&gt;"&amp;H179)+COUNTIFS($A$2:$A$201,$A179,$AY$2:$AY$201,1,$H$2:$H$201,H179,$AX$2:$AX$201,"&gt;"&amp;AX179)=0,1,0),0)</f>
        <v>0</v>
      </c>
      <c r="BB179" s="23" t="n">
        <f aca="false">IF(AND(AY179=1,O179="Y",MAX(N(R179),N(V179))&gt;=Config!$B$14),1,0)</f>
        <v>0</v>
      </c>
      <c r="BC179" s="23" t="n">
        <f aca="false">IF(BB179=1,IF(COUNTIFS($AW$2:$AW$201,AW179,$BB$2:$BB$201,1,$H$2:$H$201,"&lt;"&amp;H179)+COUNTIFS($AW$2:$AW$201,AW179,$BB$2:$BB$201,1,$H$2:$H$201,H179,$AX$2:$AX$201,"&lt;"&amp;AX179)=0,1,0),0)</f>
        <v>0</v>
      </c>
      <c r="BD179" s="23" t="n">
        <f aca="false">IF(AND(AY179=1,O179="Y",ISNUMBER(R179)),IF(R179&gt;=Config!$B$14,1,0),0)</f>
        <v>0</v>
      </c>
      <c r="BE179" s="23" t="n">
        <f aca="false">IF(BD179=1,IF(COUNTIFS($AW$2:$AW$201,AW179,$BD$2:$BD$201,1,$H$2:$H$201,"&lt;"&amp;H179)+COUNTIFS($AW$2:$AW$201,AW179,$BD$2:$BD$201,1,$H$2:$H$201,H179,$AX$2:$AX$201,"&lt;"&amp;AX179)=0,1,0),0)</f>
        <v>0</v>
      </c>
      <c r="BF179" s="23" t="n">
        <f aca="false">IF(AND(AY179=1,O179&lt;&gt;"Y",MAX(N(R179),N(V179))&gt;=Config!$B$14),1,0)</f>
        <v>0</v>
      </c>
      <c r="BG179" s="23" t="n">
        <f aca="false">IF(BF179=1,IF(COUNTIFS($AW$2:$AW$201,AW179,$BF$2:$BF$201,1,$H$2:$H$201,"&lt;"&amp;H179)+COUNTIFS($AW$2:$AW$201,AW179,$BF$2:$BF$201,1,$H$2:$H$201,H179,$AX$2:$AX$201,"&lt;"&amp;AX179)=0,1,0),0)</f>
        <v>0</v>
      </c>
      <c r="BH179" s="23" t="n">
        <f aca="false">IF(AND(AY179=1,ISNUMBER(R179)),1,0)</f>
        <v>0</v>
      </c>
      <c r="BI179" s="23" t="n">
        <f aca="false">IF(BH179=1,IF(COUNTIFS($AW$2:$AW$201,AW179,$BH$2:$BH$201,1,$H$2:$H$201,"&lt;"&amp;H179)+COUNTIFS($AW$2:$AW$201,AW179,$BH$2:$BH$201,1,$H$2:$H$201,H179,$AX$2:$AX$201,"&lt;"&amp;AX179)=0,1,0),0)</f>
        <v>0</v>
      </c>
      <c r="BJ179" s="23" t="str">
        <f aca="false">IF(AND(BI179=1,INT(N(H179))&lt;=Config!$B$6),R179,"")</f>
        <v/>
      </c>
      <c r="BK179" s="23" t="str">
        <f aca="false">IF(AND(BI179=1,INT(N(H179))&lt;=Config!$B$7),R179,"")</f>
        <v/>
      </c>
      <c r="BL179" s="23" t="str">
        <f aca="false">IF(AND(BI179=1,INT(N(H179))&lt;=Config!$B$8),R179,"")</f>
        <v/>
      </c>
      <c r="BM179" s="23" t="str">
        <f aca="false">IF(AND(BI179=1,INT(N(H179))&lt;=Config!$B$5),R179,"")</f>
        <v/>
      </c>
      <c r="BN179" s="23" t="n">
        <f aca="false">IF(AND(AY179=1,ISNUMBER(V179)),1,0)</f>
        <v>0</v>
      </c>
      <c r="BO179" s="23" t="n">
        <f aca="false">IF(BN179=1,IF(COUNTIFS($AW$2:$AW$201,AW179,$BN$2:$BN$201,1,$H$2:$H$201,"&lt;"&amp;H179)+COUNTIFS($AW$2:$AW$201,AW179,$BN$2:$BN$201,1,$H$2:$H$201,H179,$AX$2:$AX$201,"&lt;"&amp;AX179)=0,1,0),0)</f>
        <v>0</v>
      </c>
      <c r="BP179" s="23" t="str">
        <f aca="false">IF(AND(BO179=1,INT(N(H179))&lt;=Config!$B$6),V179,"")</f>
        <v/>
      </c>
      <c r="BQ179" s="23" t="str">
        <f aca="false">IF(AND(BO179=1,INT(N(H179))&lt;=Config!$B$7),V179,"")</f>
        <v/>
      </c>
      <c r="BR179" s="23" t="str">
        <f aca="false">IF(AND(BO179=1,INT(N(H179))&lt;=Config!$B$8),V179,"")</f>
        <v/>
      </c>
      <c r="BS179" s="23" t="str">
        <f aca="false">IF(AND(BO179=1,INT(N(H179))&lt;=Config!$B$5),V179,"")</f>
        <v/>
      </c>
      <c r="BT179" s="23" t="n">
        <f aca="false">IF(AND(AY179=1,ISNUMBER(K179)),1,0)</f>
        <v>0</v>
      </c>
      <c r="BU179" s="23" t="n">
        <f aca="false">IF(BT179=1,IF(COUNTIFS($AW$2:$AW$201,AW179,$BT$2:$BT$201,1,$H$2:$H$201,"&lt;"&amp;H179)+COUNTIFS($AW$2:$AW$201,AW179,$BT$2:$BT$201,1,$H$2:$H$201,H179,$AX$2:$AX$201,"&lt;"&amp;AX179)=0,1,0),0)</f>
        <v>0</v>
      </c>
      <c r="BV179" s="23" t="str">
        <f aca="false">IF(AND(BU179=1,INT(N(H179))&lt;=Config!$B$5),K179,"")</f>
        <v/>
      </c>
      <c r="BW179" s="23" t="n">
        <f aca="false">IF(AND(AY179=1,OR(AND(ISNUMBER(R179),TRIM(S179)=""),AND(ISNUMBER(V179),TRIM(W179)=""))),1,0)</f>
        <v>0</v>
      </c>
      <c r="BX179" s="23" t="str">
        <f aca="false">IF(AY179=1,AJ179&amp;"","")</f>
        <v/>
      </c>
      <c r="BY179" s="23" t="str">
        <f aca="false">IF(AY179=1,AK179&amp;"","")</f>
        <v/>
      </c>
      <c r="BZ179" s="23" t="str">
        <f aca="false">IF(AY179=1,AL179&amp;"","")</f>
        <v/>
      </c>
      <c r="CA179" s="23" t="str">
        <f aca="false">IF(AND(AY179=1,ISNUMBER(AS179),INT(N(H179))&lt;=Config!$B$5),AS179,"")</f>
        <v/>
      </c>
      <c r="CB179" s="23" t="str">
        <f aca="false">IF(AY179=1,IF(COUNTIFS($A$2:$A$201,$A179,$CU$2:$CU$201,1,$AN$2:$AN$201,"Y")&gt;0,"Y","N"),"")</f>
        <v/>
      </c>
      <c r="CC179" s="23" t="n">
        <f aca="false">IF(AND(AY179=1,AN179="Y"),IF(COUNTIFS($AW$2:$AW$201,AW179,$AN$2:$AN$201,"Y",$AY$2:$AY$201,1,$H$2:$H$201,"&lt;"&amp;H179)+COUNTIFS($AW$2:$AW$201,AW179,$AN$2:$AN$201,"Y",$AY$2:$AY$201,1,$H$2:$H$201,H179,$AX$2:$AX$201,"&lt;"&amp;AX179)=0,1,0),0)</f>
        <v>0</v>
      </c>
      <c r="CD179" s="23" t="n">
        <f aca="false">IF(AND(AY179=1,AB179="Y",AC179="Y",AD179="Y",AE179="Y",AF179="Y",AG179="Y",AI179="Y",TRIM(AH179)&lt;&gt;""),1,0)</f>
        <v>0</v>
      </c>
      <c r="CE179" s="23" t="n">
        <f aca="false">IF(CD179=1,IF(COUNTIFS($AW$2:$AW$201,AW179,$CD$2:$CD$201,1,$H$2:$H$201,"&lt;"&amp;H179)+COUNTIFS($AW$2:$AW$201,AW179,$CD$2:$CD$201,1,$H$2:$H$201,H179,$AX$2:$AX$201,"&lt;"&amp;AX179)=0,1,0),0)</f>
        <v>0</v>
      </c>
      <c r="CF179" s="23" t="n">
        <f aca="false">IF(AND(AY179=1,AO179="Y"),1,0)</f>
        <v>0</v>
      </c>
      <c r="CG179" s="23" t="n">
        <f aca="false">IF(CF179=1,IF(COUNTIFS($AW$2:$AW$201,AW179,$CF$2:$CF$201,1,$H$2:$H$201,"&lt;"&amp;H179)+COUNTIFS($AW$2:$AW$201,AW179,$CF$2:$CF$201,1,$H$2:$H$201,H179,$AX$2:$AX$201,"&lt;"&amp;AX179)=0,1,0),0)</f>
        <v>0</v>
      </c>
      <c r="CH179" s="23" t="n">
        <f aca="false">IF(AND(AY179=1,P179="Y"),1,0)</f>
        <v>0</v>
      </c>
      <c r="CI179" s="23" t="n">
        <f aca="false">IF(CH179=1,IF(COUNTIFS($AW$2:$AW$201,AW179,$CH$2:$CH$201,1,$H$2:$H$201,"&lt;"&amp;H179)+COUNTIFS($AW$2:$AW$201,AW179,$CH$2:$CH$201,1,$H$2:$H$201,H179,$AX$2:$AX$201,"&lt;"&amp;AX179)=0,1,0),0)</f>
        <v>0</v>
      </c>
      <c r="CJ179" s="23" t="str">
        <f aca="false">IF(AND(BU179=1,INT(N(H179))&lt;=Config!$B$5),L179,"")</f>
        <v/>
      </c>
      <c r="CK179" s="23" t="n">
        <f aca="false">IF(AND(AY179=1,AR179="Y"),1,0)</f>
        <v>0</v>
      </c>
      <c r="CL179" s="23" t="n">
        <f aca="false">IF(CK179=1,IF(COUNTIFS($AW$2:$AW$201,AW179,$CK$2:$CK$201,1,$H$2:$H$201,"&lt;"&amp;H179)+COUNTIFS($AW$2:$AW$201,AW179,$CK$2:$CK$201,1,$H$2:$H$201,H179,$AX$2:$AX$201,"&lt;"&amp;AX179)=0,1,0),0)</f>
        <v>0</v>
      </c>
      <c r="CM179" s="23" t="str">
        <f aca="false">IF(AY179=1,IFERROR(MATCH($A179,INDEX(Clay_Brands!$A$2:$FZ$601,0,Sync!$D$5),0),""),"")</f>
        <v/>
      </c>
      <c r="CN179" s="23" t="str">
        <f aca="false">IF(CM179="","",IFERROR(INDEX(Clay_Brands!$A$2:$FZ$601,CM179,Sync!$D$7)&amp;"",""))</f>
        <v/>
      </c>
      <c r="CO179" s="23" t="str">
        <f aca="false">IF(CN179="","",IFERROR(INDEX(Lists!$K$2:$K$15,MATCH(CN179,Lists!$J$2:$J$15,0)),""))</f>
        <v/>
      </c>
      <c r="CP179" s="23" t="str">
        <f aca="false">IF(CM179="","",IFERROR(INDEX(Clay_Brands!$A$2:$FZ$601,CM179,Sync!$D$17)&amp;"",""))</f>
        <v/>
      </c>
      <c r="CQ179" s="35" t="str">
        <f aca="false">IF(CM179="","",IFERROR(N(INDEX(Clay_Brands!$A$2:$FZ$601,CM179,Sync!$D$16)),0))</f>
        <v/>
      </c>
      <c r="CR179" s="23" t="n">
        <f aca="false">IF(AND(AY179=1,OR(O179="N",AND(OR(ISNUMBER(R179),ISNUMBER(V179)),MAX(N(R179),N(V179))&lt;Config!$B$14))),1,0)</f>
        <v>0</v>
      </c>
      <c r="CS179" s="23" t="n">
        <f aca="false">IF(OR(BB179=1,CR179=1),1,0)</f>
        <v>0</v>
      </c>
      <c r="CT179" s="23" t="n">
        <f aca="false">IF(AND(AY179=1,OR(AN179="Y",AN179="N",AN179="maybe")),1,0)</f>
        <v>0</v>
      </c>
      <c r="CU179" s="23" t="n">
        <f aca="false">IF(AND(CT179=1),IF(COUNTIFS($A$2:$A$201,$A179,$CT$2:$CT$201,1,$H$2:$H$201,"&gt;"&amp;H179)+COUNTIFS($A$2:$A$201,$A179,$CT$2:$CT$201,1,$H$2:$H$201,H179,$AX$2:$AX$201,"&gt;"&amp;AX179)=0,1,0),0)</f>
        <v>0</v>
      </c>
      <c r="CV179" s="23" t="n">
        <f aca="false">IF(AND(CS179=1,INT(N(H179))&lt;=Config!$B$6),IF(COUNTIFS($AW$2:$AW$201,AW179,$CS$2:$CS$201,1,$H$2:$H$201,"&gt;"&amp;H179,$H$2:$H$201,"&lt;"&amp;(Config!$B$6+1))+COUNTIFS($AW$2:$AW$201,AW179,$CS$2:$CS$201,1,$H$2:$H$201,H179,$AX$2:$AX$201,"&gt;"&amp;AX179)=0,1,0),0)</f>
        <v>0</v>
      </c>
      <c r="CW179" s="23" t="n">
        <f aca="false">IF(AND(CS179=1,INT(N(H179))&lt;=Config!$B$7),IF(COUNTIFS($AW$2:$AW$201,AW179,$CS$2:$CS$201,1,$H$2:$H$201,"&gt;"&amp;H179,$H$2:$H$201,"&lt;"&amp;(Config!$B$7+1))+COUNTIFS($AW$2:$AW$201,AW179,$CS$2:$CS$201,1,$H$2:$H$201,H179,$AX$2:$AX$201,"&gt;"&amp;AX179)=0,1,0),0)</f>
        <v>0</v>
      </c>
      <c r="CX179" s="23" t="n">
        <f aca="false">IF(AND(CS179=1,INT(N(H179))&lt;=Config!$B$8),IF(COUNTIFS($AW$2:$AW$201,AW179,$CS$2:$CS$201,1,$H$2:$H$201,"&gt;"&amp;H179,$H$2:$H$201,"&lt;"&amp;(Config!$B$8+1))+COUNTIFS($AW$2:$AW$201,AW179,$CS$2:$CS$201,1,$H$2:$H$201,H179,$AX$2:$AX$201,"&gt;"&amp;AX179)=0,1,0),0)</f>
        <v>0</v>
      </c>
      <c r="CY179" s="23" t="n">
        <f aca="false">IF(AND(CS179=1,INT(N(H179))&lt;=Config!$B$5),IF(COUNTIFS($AW$2:$AW$201,AW179,$CS$2:$CS$201,1,$H$2:$H$201,"&gt;"&amp;H179,$H$2:$H$201,"&lt;"&amp;(Config!$B$5+1))+COUNTIFS($AW$2:$AW$201,AW179,$CS$2:$CS$201,1,$H$2:$H$201,H179,$AX$2:$AX$201,"&gt;"&amp;AX179)=0,1,0),0)</f>
        <v>0</v>
      </c>
      <c r="CZ179" s="23" t="n">
        <f aca="false">IF(AY179=1,IF(COUNTIFS($AW$2:$AW$201,AW179,$CV$2:$CV$201,1,$BB$2:$BB$201,1)&gt;0,1,0),0)</f>
        <v>0</v>
      </c>
      <c r="DA179" s="23" t="n">
        <f aca="false">IF(AY179=1,IF(COUNTIFS($AW$2:$AW$201,AW179,$CW$2:$CW$201,1,$BB$2:$BB$201,1)&gt;0,1,0),0)</f>
        <v>0</v>
      </c>
      <c r="DB179" s="23" t="n">
        <f aca="false">IF(AY179=1,IF(COUNTIFS($AW$2:$AW$201,AW179,$CX$2:$CX$201,1,$BB$2:$BB$201,1)&gt;0,1,0),0)</f>
        <v>0</v>
      </c>
      <c r="DC179" s="23" t="n">
        <f aca="false">IF(AY179=1,IF(COUNTIFS($AW$2:$AW$201,AW179,$CY$2:$CY$201,1,$BB$2:$BB$201,1)&gt;0,1,0),0)</f>
        <v>0</v>
      </c>
      <c r="DD179" s="23" t="n">
        <f aca="false">IF(AND(BC179=1,INT(N(H179))&lt;=Config!$B$6,CZ179=1),1,0)</f>
        <v>0</v>
      </c>
      <c r="DE179" s="23" t="n">
        <f aca="false">IF(AND(BC179=1,INT(N(H179))&lt;=Config!$B$7,DA179=1),1,0)</f>
        <v>0</v>
      </c>
      <c r="DF179" s="23" t="n">
        <f aca="false">IF(AND(BC179=1,INT(N(H179))&lt;=Config!$B$8,DB179=1),1,0)</f>
        <v>0</v>
      </c>
      <c r="DG179" s="23" t="n">
        <f aca="false">IF(AND(BC179=1,INT(N(H179))&lt;=Config!$B$5,DC179=1),1,0)</f>
        <v>0</v>
      </c>
      <c r="DH179" s="23" t="n">
        <f aca="false">IF(AND(BE179=1,INT(N(H179))&lt;=Config!$B$6,CZ179=1),1,0)</f>
        <v>0</v>
      </c>
      <c r="DI179" s="23" t="n">
        <f aca="false">IF(AND(BE179=1,INT(N(H179))&lt;=Config!$B$7,DA179=1),1,0)</f>
        <v>0</v>
      </c>
      <c r="DJ179" s="23" t="n">
        <f aca="false">IF(AND(BE179=1,INT(N(H179))&lt;=Config!$B$8,DB179=1),1,0)</f>
        <v>0</v>
      </c>
      <c r="DK179" s="23" t="n">
        <f aca="false">IF(AND(BE179=1,INT(N(H179))&lt;=Config!$B$5,DC179=1),1,0)</f>
        <v>0</v>
      </c>
      <c r="DL179" s="23" t="n">
        <f aca="false">IF(AND(BC179=1,INT(N(H179))&lt;=Config!$B$6,CZ179=0),1,0)</f>
        <v>0</v>
      </c>
      <c r="DM179" s="23" t="n">
        <f aca="false">IF(AND(BC179=1,INT(N(H179))&lt;=Config!$B$7,DA179=0),1,0)</f>
        <v>0</v>
      </c>
      <c r="DN179" s="23" t="n">
        <f aca="false">IF(AND(BC179=1,INT(N(H179))&lt;=Config!$B$8,DB179=0),1,0)</f>
        <v>0</v>
      </c>
      <c r="DO179" s="23" t="n">
        <f aca="false">IF(AND(BC179=1,INT(N(H179))&lt;=Config!$B$5,DC179=0),1,0)</f>
        <v>0</v>
      </c>
      <c r="DP179" s="23" t="n">
        <f aca="false">IF(TRIM($A179)="",0,ISTEXT(K179)+ISTEXT(L179)+ISTEXT(R179)+ISTEXT(V179)+ISTEXT(AP179)+ISTEXT(AS179))</f>
        <v>0</v>
      </c>
      <c r="DQ179" s="23" t="n">
        <f aca="false">IF(AY179=1,IF(H179&lt;&gt;INT(H179),1,0),0)</f>
        <v>0</v>
      </c>
      <c r="DR179" s="23" t="str">
        <f aca="false">IF(TRIM($A179)="","",IF(TRIM(B179)="",SUBSTITUTE(SUBSTITUTE(SUBSTITUTE(SUBSTITUTE(SUBSTITUTE(SUBSTITUTE(LOWER(TRIM($A179)),"~",""),"*",""),"?",""),"&lt;",""),"&gt;",""),"=",""),SUBSTITUTE(SUBSTITUTE(SUBSTITUTE(SUBSTITUTE(SUBSTITUTE(SUBSTITUTE(LOWER(TRIM(B179)),"~",""),"*",""),"?",""),"&lt;",""),"&gt;",""),"=","")))</f>
        <v/>
      </c>
      <c r="DS179" s="23" t="str">
        <f aca="false">IF(CM179="","",IFERROR(IF(LEFT(LOWER(TRIM(INDEX(Clay_Brands!$A$2:$FZ$601,CM179,Sync!$D$19)&amp;"")),4)="grp-",SUBSTITUTE(SUBSTITUTE(SUBSTITUTE(SUBSTITUTE(SUBSTITUTE(SUBSTITUTE(LOWER(TRIM(INDEX(Clay_Brands!$A$2:$FZ$601,CM179,Sync!$D$19)&amp;"")),"~",""),"*",""),"?",""),"&lt;",""),"&gt;",""),"=",""),""),""))</f>
        <v/>
      </c>
      <c r="DT179" s="23" t="str">
        <f aca="false">IF(DS179&lt;&gt;"",DR179,"")</f>
        <v/>
      </c>
      <c r="DU179" s="23" t="str">
        <f aca="false">IF(AZ179=1,AW179,"")</f>
        <v/>
      </c>
      <c r="DV179" s="23" t="str">
        <f aca="false">IF(TRIM($A179)="","",IFERROR(INDEX($A$2:$A$201,MATCH(AW179,$DU$2:$DU$201,0))&amp;"",$A179&amp;""))</f>
        <v/>
      </c>
      <c r="DW179" s="23" t="n">
        <f aca="false">IF(AY179=1,IF(COUNTIFS($A$2:$A$201,$A179,$AY$2:$AY$201,1,$H$2:$H$201,"&lt;"&amp;H179)+COUNTIFS($A$2:$A$201,$A179,$AY$2:$AY$201,1,$H$2:$H$201,H179,$AX$2:$AX$201,"&lt;"&amp;AX179)=0,1,0),0)</f>
        <v>0</v>
      </c>
      <c r="DX179" s="23" t="n">
        <f aca="false">IF(AZ179=1,IF(COUNTIFS($AW$2:$AW$201,AW179,$DW$2:$DW$201,1)&gt;1,1,0),0)</f>
        <v>0</v>
      </c>
    </row>
    <row r="180" customFormat="false" ht="15" hidden="false" customHeight="false" outlineLevel="0" collapsed="false">
      <c r="G180" s="32"/>
      <c r="H180" s="33"/>
      <c r="I180" s="32"/>
      <c r="O180" s="32"/>
      <c r="P180" s="32"/>
      <c r="U180" s="32"/>
      <c r="Y180" s="32"/>
      <c r="AB180" s="32"/>
      <c r="AC180" s="32"/>
      <c r="AD180" s="32"/>
      <c r="AE180" s="32"/>
      <c r="AF180" s="32"/>
      <c r="AG180" s="32"/>
      <c r="AI180" s="32"/>
      <c r="AJ180" s="32"/>
      <c r="AK180" s="32"/>
      <c r="AN180" s="32"/>
      <c r="AO180" s="32"/>
      <c r="AR180" s="32"/>
      <c r="AT180" s="32"/>
      <c r="AV180" s="34" t="str">
        <f aca="false">IF(TRIM($A180)="","",IF(AND(LEFT($A180,6)="SAMPLE",Config!$B$19&lt;&gt;"Y"),"",IF(NOT(ISNUMBER(H180)),"call_date is blank or not a date",IF(Sync!$D$5="","Clay paste is empty or has no row_id column: paste the Clay export on Clay_Brands",IF(CM180="","row_id not found in the Clay paste: add the Clay row or fix the row_id",IF(AND(ISNUMBER(CO180),CO180&gt;=1,CO180&lt;=5),"Clay status is "&amp;CN180&amp;": set call_done or later",IF(AND(BA180=1,CP180&lt;&gt;CB180),"Clay yes_in_principle should be "&amp;CB180,IF(AND(BA180=1,CQ180&lt;&gt;H180),"Clay call_date should be "&amp;TEXT(H180,"yyyy-mm-dd"),""))))))))</f>
        <v/>
      </c>
      <c r="AW180" s="23" t="str">
        <f aca="false">IF(TRIM($A180)="","",IF(TRIM(C180)&lt;&gt;"",SUBSTITUTE(SUBSTITUTE(SUBSTITUTE(SUBSTITUTE(SUBSTITUTE(SUBSTITUTE(LOWER(TRIM(C180)),"~",""),"*",""),"?",""),"&lt;",""),"&gt;",""),"=",""),IF(DS180&lt;&gt;"",DS180,IFERROR(INDEX($DS$2:$DS$201,MATCH(DR180,$DT$2:$DT$201,0)),DR180))))</f>
        <v/>
      </c>
      <c r="AX180" s="23" t="n">
        <f aca="false">ROW()</f>
        <v>180</v>
      </c>
      <c r="AY180" s="23" t="n">
        <f aca="false">IF(AND(TRIM($A180)&lt;&gt;"",ISNUMBER(H180)),IF(AND(LEFT($A180,6)="SAMPLE",Config!$B$19&lt;&gt;"Y"),0,1),0)</f>
        <v>0</v>
      </c>
      <c r="AZ180" s="23" t="n">
        <f aca="false">IF(AY180=1,IF(COUNTIFS($AW$2:$AW$201,AW180,$AY$2:$AY$201,1,$H$2:$H$201,"&lt;"&amp;H180)+COUNTIFS($AW$2:$AW$201,AW180,$AY$2:$AY$201,1,$H$2:$H$201,H180,$AX$2:$AX$201,"&lt;"&amp;AX180)=0,1,0),0)</f>
        <v>0</v>
      </c>
      <c r="BA180" s="23" t="n">
        <f aca="false">IF(AY180=1,IF(COUNTIFS($A$2:$A$201,$A180,$AY$2:$AY$201,1,$H$2:$H$201,"&gt;"&amp;H180)+COUNTIFS($A$2:$A$201,$A180,$AY$2:$AY$201,1,$H$2:$H$201,H180,$AX$2:$AX$201,"&gt;"&amp;AX180)=0,1,0),0)</f>
        <v>0</v>
      </c>
      <c r="BB180" s="23" t="n">
        <f aca="false">IF(AND(AY180=1,O180="Y",MAX(N(R180),N(V180))&gt;=Config!$B$14),1,0)</f>
        <v>0</v>
      </c>
      <c r="BC180" s="23" t="n">
        <f aca="false">IF(BB180=1,IF(COUNTIFS($AW$2:$AW$201,AW180,$BB$2:$BB$201,1,$H$2:$H$201,"&lt;"&amp;H180)+COUNTIFS($AW$2:$AW$201,AW180,$BB$2:$BB$201,1,$H$2:$H$201,H180,$AX$2:$AX$201,"&lt;"&amp;AX180)=0,1,0),0)</f>
        <v>0</v>
      </c>
      <c r="BD180" s="23" t="n">
        <f aca="false">IF(AND(AY180=1,O180="Y",ISNUMBER(R180)),IF(R180&gt;=Config!$B$14,1,0),0)</f>
        <v>0</v>
      </c>
      <c r="BE180" s="23" t="n">
        <f aca="false">IF(BD180=1,IF(COUNTIFS($AW$2:$AW$201,AW180,$BD$2:$BD$201,1,$H$2:$H$201,"&lt;"&amp;H180)+COUNTIFS($AW$2:$AW$201,AW180,$BD$2:$BD$201,1,$H$2:$H$201,H180,$AX$2:$AX$201,"&lt;"&amp;AX180)=0,1,0),0)</f>
        <v>0</v>
      </c>
      <c r="BF180" s="23" t="n">
        <f aca="false">IF(AND(AY180=1,O180&lt;&gt;"Y",MAX(N(R180),N(V180))&gt;=Config!$B$14),1,0)</f>
        <v>0</v>
      </c>
      <c r="BG180" s="23" t="n">
        <f aca="false">IF(BF180=1,IF(COUNTIFS($AW$2:$AW$201,AW180,$BF$2:$BF$201,1,$H$2:$H$201,"&lt;"&amp;H180)+COUNTIFS($AW$2:$AW$201,AW180,$BF$2:$BF$201,1,$H$2:$H$201,H180,$AX$2:$AX$201,"&lt;"&amp;AX180)=0,1,0),0)</f>
        <v>0</v>
      </c>
      <c r="BH180" s="23" t="n">
        <f aca="false">IF(AND(AY180=1,ISNUMBER(R180)),1,0)</f>
        <v>0</v>
      </c>
      <c r="BI180" s="23" t="n">
        <f aca="false">IF(BH180=1,IF(COUNTIFS($AW$2:$AW$201,AW180,$BH$2:$BH$201,1,$H$2:$H$201,"&lt;"&amp;H180)+COUNTIFS($AW$2:$AW$201,AW180,$BH$2:$BH$201,1,$H$2:$H$201,H180,$AX$2:$AX$201,"&lt;"&amp;AX180)=0,1,0),0)</f>
        <v>0</v>
      </c>
      <c r="BJ180" s="23" t="str">
        <f aca="false">IF(AND(BI180=1,INT(N(H180))&lt;=Config!$B$6),R180,"")</f>
        <v/>
      </c>
      <c r="BK180" s="23" t="str">
        <f aca="false">IF(AND(BI180=1,INT(N(H180))&lt;=Config!$B$7),R180,"")</f>
        <v/>
      </c>
      <c r="BL180" s="23" t="str">
        <f aca="false">IF(AND(BI180=1,INT(N(H180))&lt;=Config!$B$8),R180,"")</f>
        <v/>
      </c>
      <c r="BM180" s="23" t="str">
        <f aca="false">IF(AND(BI180=1,INT(N(H180))&lt;=Config!$B$5),R180,"")</f>
        <v/>
      </c>
      <c r="BN180" s="23" t="n">
        <f aca="false">IF(AND(AY180=1,ISNUMBER(V180)),1,0)</f>
        <v>0</v>
      </c>
      <c r="BO180" s="23" t="n">
        <f aca="false">IF(BN180=1,IF(COUNTIFS($AW$2:$AW$201,AW180,$BN$2:$BN$201,1,$H$2:$H$201,"&lt;"&amp;H180)+COUNTIFS($AW$2:$AW$201,AW180,$BN$2:$BN$201,1,$H$2:$H$201,H180,$AX$2:$AX$201,"&lt;"&amp;AX180)=0,1,0),0)</f>
        <v>0</v>
      </c>
      <c r="BP180" s="23" t="str">
        <f aca="false">IF(AND(BO180=1,INT(N(H180))&lt;=Config!$B$6),V180,"")</f>
        <v/>
      </c>
      <c r="BQ180" s="23" t="str">
        <f aca="false">IF(AND(BO180=1,INT(N(H180))&lt;=Config!$B$7),V180,"")</f>
        <v/>
      </c>
      <c r="BR180" s="23" t="str">
        <f aca="false">IF(AND(BO180=1,INT(N(H180))&lt;=Config!$B$8),V180,"")</f>
        <v/>
      </c>
      <c r="BS180" s="23" t="str">
        <f aca="false">IF(AND(BO180=1,INT(N(H180))&lt;=Config!$B$5),V180,"")</f>
        <v/>
      </c>
      <c r="BT180" s="23" t="n">
        <f aca="false">IF(AND(AY180=1,ISNUMBER(K180)),1,0)</f>
        <v>0</v>
      </c>
      <c r="BU180" s="23" t="n">
        <f aca="false">IF(BT180=1,IF(COUNTIFS($AW$2:$AW$201,AW180,$BT$2:$BT$201,1,$H$2:$H$201,"&lt;"&amp;H180)+COUNTIFS($AW$2:$AW$201,AW180,$BT$2:$BT$201,1,$H$2:$H$201,H180,$AX$2:$AX$201,"&lt;"&amp;AX180)=0,1,0),0)</f>
        <v>0</v>
      </c>
      <c r="BV180" s="23" t="str">
        <f aca="false">IF(AND(BU180=1,INT(N(H180))&lt;=Config!$B$5),K180,"")</f>
        <v/>
      </c>
      <c r="BW180" s="23" t="n">
        <f aca="false">IF(AND(AY180=1,OR(AND(ISNUMBER(R180),TRIM(S180)=""),AND(ISNUMBER(V180),TRIM(W180)=""))),1,0)</f>
        <v>0</v>
      </c>
      <c r="BX180" s="23" t="str">
        <f aca="false">IF(AY180=1,AJ180&amp;"","")</f>
        <v/>
      </c>
      <c r="BY180" s="23" t="str">
        <f aca="false">IF(AY180=1,AK180&amp;"","")</f>
        <v/>
      </c>
      <c r="BZ180" s="23" t="str">
        <f aca="false">IF(AY180=1,AL180&amp;"","")</f>
        <v/>
      </c>
      <c r="CA180" s="23" t="str">
        <f aca="false">IF(AND(AY180=1,ISNUMBER(AS180),INT(N(H180))&lt;=Config!$B$5),AS180,"")</f>
        <v/>
      </c>
      <c r="CB180" s="23" t="str">
        <f aca="false">IF(AY180=1,IF(COUNTIFS($A$2:$A$201,$A180,$CU$2:$CU$201,1,$AN$2:$AN$201,"Y")&gt;0,"Y","N"),"")</f>
        <v/>
      </c>
      <c r="CC180" s="23" t="n">
        <f aca="false">IF(AND(AY180=1,AN180="Y"),IF(COUNTIFS($AW$2:$AW$201,AW180,$AN$2:$AN$201,"Y",$AY$2:$AY$201,1,$H$2:$H$201,"&lt;"&amp;H180)+COUNTIFS($AW$2:$AW$201,AW180,$AN$2:$AN$201,"Y",$AY$2:$AY$201,1,$H$2:$H$201,H180,$AX$2:$AX$201,"&lt;"&amp;AX180)=0,1,0),0)</f>
        <v>0</v>
      </c>
      <c r="CD180" s="23" t="n">
        <f aca="false">IF(AND(AY180=1,AB180="Y",AC180="Y",AD180="Y",AE180="Y",AF180="Y",AG180="Y",AI180="Y",TRIM(AH180)&lt;&gt;""),1,0)</f>
        <v>0</v>
      </c>
      <c r="CE180" s="23" t="n">
        <f aca="false">IF(CD180=1,IF(COUNTIFS($AW$2:$AW$201,AW180,$CD$2:$CD$201,1,$H$2:$H$201,"&lt;"&amp;H180)+COUNTIFS($AW$2:$AW$201,AW180,$CD$2:$CD$201,1,$H$2:$H$201,H180,$AX$2:$AX$201,"&lt;"&amp;AX180)=0,1,0),0)</f>
        <v>0</v>
      </c>
      <c r="CF180" s="23" t="n">
        <f aca="false">IF(AND(AY180=1,AO180="Y"),1,0)</f>
        <v>0</v>
      </c>
      <c r="CG180" s="23" t="n">
        <f aca="false">IF(CF180=1,IF(COUNTIFS($AW$2:$AW$201,AW180,$CF$2:$CF$201,1,$H$2:$H$201,"&lt;"&amp;H180)+COUNTIFS($AW$2:$AW$201,AW180,$CF$2:$CF$201,1,$H$2:$H$201,H180,$AX$2:$AX$201,"&lt;"&amp;AX180)=0,1,0),0)</f>
        <v>0</v>
      </c>
      <c r="CH180" s="23" t="n">
        <f aca="false">IF(AND(AY180=1,P180="Y"),1,0)</f>
        <v>0</v>
      </c>
      <c r="CI180" s="23" t="n">
        <f aca="false">IF(CH180=1,IF(COUNTIFS($AW$2:$AW$201,AW180,$CH$2:$CH$201,1,$H$2:$H$201,"&lt;"&amp;H180)+COUNTIFS($AW$2:$AW$201,AW180,$CH$2:$CH$201,1,$H$2:$H$201,H180,$AX$2:$AX$201,"&lt;"&amp;AX180)=0,1,0),0)</f>
        <v>0</v>
      </c>
      <c r="CJ180" s="23" t="str">
        <f aca="false">IF(AND(BU180=1,INT(N(H180))&lt;=Config!$B$5),L180,"")</f>
        <v/>
      </c>
      <c r="CK180" s="23" t="n">
        <f aca="false">IF(AND(AY180=1,AR180="Y"),1,0)</f>
        <v>0</v>
      </c>
      <c r="CL180" s="23" t="n">
        <f aca="false">IF(CK180=1,IF(COUNTIFS($AW$2:$AW$201,AW180,$CK$2:$CK$201,1,$H$2:$H$201,"&lt;"&amp;H180)+COUNTIFS($AW$2:$AW$201,AW180,$CK$2:$CK$201,1,$H$2:$H$201,H180,$AX$2:$AX$201,"&lt;"&amp;AX180)=0,1,0),0)</f>
        <v>0</v>
      </c>
      <c r="CM180" s="23" t="str">
        <f aca="false">IF(AY180=1,IFERROR(MATCH($A180,INDEX(Clay_Brands!$A$2:$FZ$601,0,Sync!$D$5),0),""),"")</f>
        <v/>
      </c>
      <c r="CN180" s="23" t="str">
        <f aca="false">IF(CM180="","",IFERROR(INDEX(Clay_Brands!$A$2:$FZ$601,CM180,Sync!$D$7)&amp;"",""))</f>
        <v/>
      </c>
      <c r="CO180" s="23" t="str">
        <f aca="false">IF(CN180="","",IFERROR(INDEX(Lists!$K$2:$K$15,MATCH(CN180,Lists!$J$2:$J$15,0)),""))</f>
        <v/>
      </c>
      <c r="CP180" s="23" t="str">
        <f aca="false">IF(CM180="","",IFERROR(INDEX(Clay_Brands!$A$2:$FZ$601,CM180,Sync!$D$17)&amp;"",""))</f>
        <v/>
      </c>
      <c r="CQ180" s="35" t="str">
        <f aca="false">IF(CM180="","",IFERROR(N(INDEX(Clay_Brands!$A$2:$FZ$601,CM180,Sync!$D$16)),0))</f>
        <v/>
      </c>
      <c r="CR180" s="23" t="n">
        <f aca="false">IF(AND(AY180=1,OR(O180="N",AND(OR(ISNUMBER(R180),ISNUMBER(V180)),MAX(N(R180),N(V180))&lt;Config!$B$14))),1,0)</f>
        <v>0</v>
      </c>
      <c r="CS180" s="23" t="n">
        <f aca="false">IF(OR(BB180=1,CR180=1),1,0)</f>
        <v>0</v>
      </c>
      <c r="CT180" s="23" t="n">
        <f aca="false">IF(AND(AY180=1,OR(AN180="Y",AN180="N",AN180="maybe")),1,0)</f>
        <v>0</v>
      </c>
      <c r="CU180" s="23" t="n">
        <f aca="false">IF(AND(CT180=1),IF(COUNTIFS($A$2:$A$201,$A180,$CT$2:$CT$201,1,$H$2:$H$201,"&gt;"&amp;H180)+COUNTIFS($A$2:$A$201,$A180,$CT$2:$CT$201,1,$H$2:$H$201,H180,$AX$2:$AX$201,"&gt;"&amp;AX180)=0,1,0),0)</f>
        <v>0</v>
      </c>
      <c r="CV180" s="23" t="n">
        <f aca="false">IF(AND(CS180=1,INT(N(H180))&lt;=Config!$B$6),IF(COUNTIFS($AW$2:$AW$201,AW180,$CS$2:$CS$201,1,$H$2:$H$201,"&gt;"&amp;H180,$H$2:$H$201,"&lt;"&amp;(Config!$B$6+1))+COUNTIFS($AW$2:$AW$201,AW180,$CS$2:$CS$201,1,$H$2:$H$201,H180,$AX$2:$AX$201,"&gt;"&amp;AX180)=0,1,0),0)</f>
        <v>0</v>
      </c>
      <c r="CW180" s="23" t="n">
        <f aca="false">IF(AND(CS180=1,INT(N(H180))&lt;=Config!$B$7),IF(COUNTIFS($AW$2:$AW$201,AW180,$CS$2:$CS$201,1,$H$2:$H$201,"&gt;"&amp;H180,$H$2:$H$201,"&lt;"&amp;(Config!$B$7+1))+COUNTIFS($AW$2:$AW$201,AW180,$CS$2:$CS$201,1,$H$2:$H$201,H180,$AX$2:$AX$201,"&gt;"&amp;AX180)=0,1,0),0)</f>
        <v>0</v>
      </c>
      <c r="CX180" s="23" t="n">
        <f aca="false">IF(AND(CS180=1,INT(N(H180))&lt;=Config!$B$8),IF(COUNTIFS($AW$2:$AW$201,AW180,$CS$2:$CS$201,1,$H$2:$H$201,"&gt;"&amp;H180,$H$2:$H$201,"&lt;"&amp;(Config!$B$8+1))+COUNTIFS($AW$2:$AW$201,AW180,$CS$2:$CS$201,1,$H$2:$H$201,H180,$AX$2:$AX$201,"&gt;"&amp;AX180)=0,1,0),0)</f>
        <v>0</v>
      </c>
      <c r="CY180" s="23" t="n">
        <f aca="false">IF(AND(CS180=1,INT(N(H180))&lt;=Config!$B$5),IF(COUNTIFS($AW$2:$AW$201,AW180,$CS$2:$CS$201,1,$H$2:$H$201,"&gt;"&amp;H180,$H$2:$H$201,"&lt;"&amp;(Config!$B$5+1))+COUNTIFS($AW$2:$AW$201,AW180,$CS$2:$CS$201,1,$H$2:$H$201,H180,$AX$2:$AX$201,"&gt;"&amp;AX180)=0,1,0),0)</f>
        <v>0</v>
      </c>
      <c r="CZ180" s="23" t="n">
        <f aca="false">IF(AY180=1,IF(COUNTIFS($AW$2:$AW$201,AW180,$CV$2:$CV$201,1,$BB$2:$BB$201,1)&gt;0,1,0),0)</f>
        <v>0</v>
      </c>
      <c r="DA180" s="23" t="n">
        <f aca="false">IF(AY180=1,IF(COUNTIFS($AW$2:$AW$201,AW180,$CW$2:$CW$201,1,$BB$2:$BB$201,1)&gt;0,1,0),0)</f>
        <v>0</v>
      </c>
      <c r="DB180" s="23" t="n">
        <f aca="false">IF(AY180=1,IF(COUNTIFS($AW$2:$AW$201,AW180,$CX$2:$CX$201,1,$BB$2:$BB$201,1)&gt;0,1,0),0)</f>
        <v>0</v>
      </c>
      <c r="DC180" s="23" t="n">
        <f aca="false">IF(AY180=1,IF(COUNTIFS($AW$2:$AW$201,AW180,$CY$2:$CY$201,1,$BB$2:$BB$201,1)&gt;0,1,0),0)</f>
        <v>0</v>
      </c>
      <c r="DD180" s="23" t="n">
        <f aca="false">IF(AND(BC180=1,INT(N(H180))&lt;=Config!$B$6,CZ180=1),1,0)</f>
        <v>0</v>
      </c>
      <c r="DE180" s="23" t="n">
        <f aca="false">IF(AND(BC180=1,INT(N(H180))&lt;=Config!$B$7,DA180=1),1,0)</f>
        <v>0</v>
      </c>
      <c r="DF180" s="23" t="n">
        <f aca="false">IF(AND(BC180=1,INT(N(H180))&lt;=Config!$B$8,DB180=1),1,0)</f>
        <v>0</v>
      </c>
      <c r="DG180" s="23" t="n">
        <f aca="false">IF(AND(BC180=1,INT(N(H180))&lt;=Config!$B$5,DC180=1),1,0)</f>
        <v>0</v>
      </c>
      <c r="DH180" s="23" t="n">
        <f aca="false">IF(AND(BE180=1,INT(N(H180))&lt;=Config!$B$6,CZ180=1),1,0)</f>
        <v>0</v>
      </c>
      <c r="DI180" s="23" t="n">
        <f aca="false">IF(AND(BE180=1,INT(N(H180))&lt;=Config!$B$7,DA180=1),1,0)</f>
        <v>0</v>
      </c>
      <c r="DJ180" s="23" t="n">
        <f aca="false">IF(AND(BE180=1,INT(N(H180))&lt;=Config!$B$8,DB180=1),1,0)</f>
        <v>0</v>
      </c>
      <c r="DK180" s="23" t="n">
        <f aca="false">IF(AND(BE180=1,INT(N(H180))&lt;=Config!$B$5,DC180=1),1,0)</f>
        <v>0</v>
      </c>
      <c r="DL180" s="23" t="n">
        <f aca="false">IF(AND(BC180=1,INT(N(H180))&lt;=Config!$B$6,CZ180=0),1,0)</f>
        <v>0</v>
      </c>
      <c r="DM180" s="23" t="n">
        <f aca="false">IF(AND(BC180=1,INT(N(H180))&lt;=Config!$B$7,DA180=0),1,0)</f>
        <v>0</v>
      </c>
      <c r="DN180" s="23" t="n">
        <f aca="false">IF(AND(BC180=1,INT(N(H180))&lt;=Config!$B$8,DB180=0),1,0)</f>
        <v>0</v>
      </c>
      <c r="DO180" s="23" t="n">
        <f aca="false">IF(AND(BC180=1,INT(N(H180))&lt;=Config!$B$5,DC180=0),1,0)</f>
        <v>0</v>
      </c>
      <c r="DP180" s="23" t="n">
        <f aca="false">IF(TRIM($A180)="",0,ISTEXT(K180)+ISTEXT(L180)+ISTEXT(R180)+ISTEXT(V180)+ISTEXT(AP180)+ISTEXT(AS180))</f>
        <v>0</v>
      </c>
      <c r="DQ180" s="23" t="n">
        <f aca="false">IF(AY180=1,IF(H180&lt;&gt;INT(H180),1,0),0)</f>
        <v>0</v>
      </c>
      <c r="DR180" s="23" t="str">
        <f aca="false">IF(TRIM($A180)="","",IF(TRIM(B180)="",SUBSTITUTE(SUBSTITUTE(SUBSTITUTE(SUBSTITUTE(SUBSTITUTE(SUBSTITUTE(LOWER(TRIM($A180)),"~",""),"*",""),"?",""),"&lt;",""),"&gt;",""),"=",""),SUBSTITUTE(SUBSTITUTE(SUBSTITUTE(SUBSTITUTE(SUBSTITUTE(SUBSTITUTE(LOWER(TRIM(B180)),"~",""),"*",""),"?",""),"&lt;",""),"&gt;",""),"=","")))</f>
        <v/>
      </c>
      <c r="DS180" s="23" t="str">
        <f aca="false">IF(CM180="","",IFERROR(IF(LEFT(LOWER(TRIM(INDEX(Clay_Brands!$A$2:$FZ$601,CM180,Sync!$D$19)&amp;"")),4)="grp-",SUBSTITUTE(SUBSTITUTE(SUBSTITUTE(SUBSTITUTE(SUBSTITUTE(SUBSTITUTE(LOWER(TRIM(INDEX(Clay_Brands!$A$2:$FZ$601,CM180,Sync!$D$19)&amp;"")),"~",""),"*",""),"?",""),"&lt;",""),"&gt;",""),"=",""),""),""))</f>
        <v/>
      </c>
      <c r="DT180" s="23" t="str">
        <f aca="false">IF(DS180&lt;&gt;"",DR180,"")</f>
        <v/>
      </c>
      <c r="DU180" s="23" t="str">
        <f aca="false">IF(AZ180=1,AW180,"")</f>
        <v/>
      </c>
      <c r="DV180" s="23" t="str">
        <f aca="false">IF(TRIM($A180)="","",IFERROR(INDEX($A$2:$A$201,MATCH(AW180,$DU$2:$DU$201,0))&amp;"",$A180&amp;""))</f>
        <v/>
      </c>
      <c r="DW180" s="23" t="n">
        <f aca="false">IF(AY180=1,IF(COUNTIFS($A$2:$A$201,$A180,$AY$2:$AY$201,1,$H$2:$H$201,"&lt;"&amp;H180)+COUNTIFS($A$2:$A$201,$A180,$AY$2:$AY$201,1,$H$2:$H$201,H180,$AX$2:$AX$201,"&lt;"&amp;AX180)=0,1,0),0)</f>
        <v>0</v>
      </c>
      <c r="DX180" s="23" t="n">
        <f aca="false">IF(AZ180=1,IF(COUNTIFS($AW$2:$AW$201,AW180,$DW$2:$DW$201,1)&gt;1,1,0),0)</f>
        <v>0</v>
      </c>
    </row>
    <row r="181" customFormat="false" ht="15" hidden="false" customHeight="false" outlineLevel="0" collapsed="false">
      <c r="G181" s="32"/>
      <c r="H181" s="33"/>
      <c r="I181" s="32"/>
      <c r="O181" s="32"/>
      <c r="P181" s="32"/>
      <c r="U181" s="32"/>
      <c r="Y181" s="32"/>
      <c r="AB181" s="32"/>
      <c r="AC181" s="32"/>
      <c r="AD181" s="32"/>
      <c r="AE181" s="32"/>
      <c r="AF181" s="32"/>
      <c r="AG181" s="32"/>
      <c r="AI181" s="32"/>
      <c r="AJ181" s="32"/>
      <c r="AK181" s="32"/>
      <c r="AN181" s="32"/>
      <c r="AO181" s="32"/>
      <c r="AR181" s="32"/>
      <c r="AT181" s="32"/>
      <c r="AV181" s="34" t="str">
        <f aca="false">IF(TRIM($A181)="","",IF(AND(LEFT($A181,6)="SAMPLE",Config!$B$19&lt;&gt;"Y"),"",IF(NOT(ISNUMBER(H181)),"call_date is blank or not a date",IF(Sync!$D$5="","Clay paste is empty or has no row_id column: paste the Clay export on Clay_Brands",IF(CM181="","row_id not found in the Clay paste: add the Clay row or fix the row_id",IF(AND(ISNUMBER(CO181),CO181&gt;=1,CO181&lt;=5),"Clay status is "&amp;CN181&amp;": set call_done or later",IF(AND(BA181=1,CP181&lt;&gt;CB181),"Clay yes_in_principle should be "&amp;CB181,IF(AND(BA181=1,CQ181&lt;&gt;H181),"Clay call_date should be "&amp;TEXT(H181,"yyyy-mm-dd"),""))))))))</f>
        <v/>
      </c>
      <c r="AW181" s="23" t="str">
        <f aca="false">IF(TRIM($A181)="","",IF(TRIM(C181)&lt;&gt;"",SUBSTITUTE(SUBSTITUTE(SUBSTITUTE(SUBSTITUTE(SUBSTITUTE(SUBSTITUTE(LOWER(TRIM(C181)),"~",""),"*",""),"?",""),"&lt;",""),"&gt;",""),"=",""),IF(DS181&lt;&gt;"",DS181,IFERROR(INDEX($DS$2:$DS$201,MATCH(DR181,$DT$2:$DT$201,0)),DR181))))</f>
        <v/>
      </c>
      <c r="AX181" s="23" t="n">
        <f aca="false">ROW()</f>
        <v>181</v>
      </c>
      <c r="AY181" s="23" t="n">
        <f aca="false">IF(AND(TRIM($A181)&lt;&gt;"",ISNUMBER(H181)),IF(AND(LEFT($A181,6)="SAMPLE",Config!$B$19&lt;&gt;"Y"),0,1),0)</f>
        <v>0</v>
      </c>
      <c r="AZ181" s="23" t="n">
        <f aca="false">IF(AY181=1,IF(COUNTIFS($AW$2:$AW$201,AW181,$AY$2:$AY$201,1,$H$2:$H$201,"&lt;"&amp;H181)+COUNTIFS($AW$2:$AW$201,AW181,$AY$2:$AY$201,1,$H$2:$H$201,H181,$AX$2:$AX$201,"&lt;"&amp;AX181)=0,1,0),0)</f>
        <v>0</v>
      </c>
      <c r="BA181" s="23" t="n">
        <f aca="false">IF(AY181=1,IF(COUNTIFS($A$2:$A$201,$A181,$AY$2:$AY$201,1,$H$2:$H$201,"&gt;"&amp;H181)+COUNTIFS($A$2:$A$201,$A181,$AY$2:$AY$201,1,$H$2:$H$201,H181,$AX$2:$AX$201,"&gt;"&amp;AX181)=0,1,0),0)</f>
        <v>0</v>
      </c>
      <c r="BB181" s="23" t="n">
        <f aca="false">IF(AND(AY181=1,O181="Y",MAX(N(R181),N(V181))&gt;=Config!$B$14),1,0)</f>
        <v>0</v>
      </c>
      <c r="BC181" s="23" t="n">
        <f aca="false">IF(BB181=1,IF(COUNTIFS($AW$2:$AW$201,AW181,$BB$2:$BB$201,1,$H$2:$H$201,"&lt;"&amp;H181)+COUNTIFS($AW$2:$AW$201,AW181,$BB$2:$BB$201,1,$H$2:$H$201,H181,$AX$2:$AX$201,"&lt;"&amp;AX181)=0,1,0),0)</f>
        <v>0</v>
      </c>
      <c r="BD181" s="23" t="n">
        <f aca="false">IF(AND(AY181=1,O181="Y",ISNUMBER(R181)),IF(R181&gt;=Config!$B$14,1,0),0)</f>
        <v>0</v>
      </c>
      <c r="BE181" s="23" t="n">
        <f aca="false">IF(BD181=1,IF(COUNTIFS($AW$2:$AW$201,AW181,$BD$2:$BD$201,1,$H$2:$H$201,"&lt;"&amp;H181)+COUNTIFS($AW$2:$AW$201,AW181,$BD$2:$BD$201,1,$H$2:$H$201,H181,$AX$2:$AX$201,"&lt;"&amp;AX181)=0,1,0),0)</f>
        <v>0</v>
      </c>
      <c r="BF181" s="23" t="n">
        <f aca="false">IF(AND(AY181=1,O181&lt;&gt;"Y",MAX(N(R181),N(V181))&gt;=Config!$B$14),1,0)</f>
        <v>0</v>
      </c>
      <c r="BG181" s="23" t="n">
        <f aca="false">IF(BF181=1,IF(COUNTIFS($AW$2:$AW$201,AW181,$BF$2:$BF$201,1,$H$2:$H$201,"&lt;"&amp;H181)+COUNTIFS($AW$2:$AW$201,AW181,$BF$2:$BF$201,1,$H$2:$H$201,H181,$AX$2:$AX$201,"&lt;"&amp;AX181)=0,1,0),0)</f>
        <v>0</v>
      </c>
      <c r="BH181" s="23" t="n">
        <f aca="false">IF(AND(AY181=1,ISNUMBER(R181)),1,0)</f>
        <v>0</v>
      </c>
      <c r="BI181" s="23" t="n">
        <f aca="false">IF(BH181=1,IF(COUNTIFS($AW$2:$AW$201,AW181,$BH$2:$BH$201,1,$H$2:$H$201,"&lt;"&amp;H181)+COUNTIFS($AW$2:$AW$201,AW181,$BH$2:$BH$201,1,$H$2:$H$201,H181,$AX$2:$AX$201,"&lt;"&amp;AX181)=0,1,0),0)</f>
        <v>0</v>
      </c>
      <c r="BJ181" s="23" t="str">
        <f aca="false">IF(AND(BI181=1,INT(N(H181))&lt;=Config!$B$6),R181,"")</f>
        <v/>
      </c>
      <c r="BK181" s="23" t="str">
        <f aca="false">IF(AND(BI181=1,INT(N(H181))&lt;=Config!$B$7),R181,"")</f>
        <v/>
      </c>
      <c r="BL181" s="23" t="str">
        <f aca="false">IF(AND(BI181=1,INT(N(H181))&lt;=Config!$B$8),R181,"")</f>
        <v/>
      </c>
      <c r="BM181" s="23" t="str">
        <f aca="false">IF(AND(BI181=1,INT(N(H181))&lt;=Config!$B$5),R181,"")</f>
        <v/>
      </c>
      <c r="BN181" s="23" t="n">
        <f aca="false">IF(AND(AY181=1,ISNUMBER(V181)),1,0)</f>
        <v>0</v>
      </c>
      <c r="BO181" s="23" t="n">
        <f aca="false">IF(BN181=1,IF(COUNTIFS($AW$2:$AW$201,AW181,$BN$2:$BN$201,1,$H$2:$H$201,"&lt;"&amp;H181)+COUNTIFS($AW$2:$AW$201,AW181,$BN$2:$BN$201,1,$H$2:$H$201,H181,$AX$2:$AX$201,"&lt;"&amp;AX181)=0,1,0),0)</f>
        <v>0</v>
      </c>
      <c r="BP181" s="23" t="str">
        <f aca="false">IF(AND(BO181=1,INT(N(H181))&lt;=Config!$B$6),V181,"")</f>
        <v/>
      </c>
      <c r="BQ181" s="23" t="str">
        <f aca="false">IF(AND(BO181=1,INT(N(H181))&lt;=Config!$B$7),V181,"")</f>
        <v/>
      </c>
      <c r="BR181" s="23" t="str">
        <f aca="false">IF(AND(BO181=1,INT(N(H181))&lt;=Config!$B$8),V181,"")</f>
        <v/>
      </c>
      <c r="BS181" s="23" t="str">
        <f aca="false">IF(AND(BO181=1,INT(N(H181))&lt;=Config!$B$5),V181,"")</f>
        <v/>
      </c>
      <c r="BT181" s="23" t="n">
        <f aca="false">IF(AND(AY181=1,ISNUMBER(K181)),1,0)</f>
        <v>0</v>
      </c>
      <c r="BU181" s="23" t="n">
        <f aca="false">IF(BT181=1,IF(COUNTIFS($AW$2:$AW$201,AW181,$BT$2:$BT$201,1,$H$2:$H$201,"&lt;"&amp;H181)+COUNTIFS($AW$2:$AW$201,AW181,$BT$2:$BT$201,1,$H$2:$H$201,H181,$AX$2:$AX$201,"&lt;"&amp;AX181)=0,1,0),0)</f>
        <v>0</v>
      </c>
      <c r="BV181" s="23" t="str">
        <f aca="false">IF(AND(BU181=1,INT(N(H181))&lt;=Config!$B$5),K181,"")</f>
        <v/>
      </c>
      <c r="BW181" s="23" t="n">
        <f aca="false">IF(AND(AY181=1,OR(AND(ISNUMBER(R181),TRIM(S181)=""),AND(ISNUMBER(V181),TRIM(W181)=""))),1,0)</f>
        <v>0</v>
      </c>
      <c r="BX181" s="23" t="str">
        <f aca="false">IF(AY181=1,AJ181&amp;"","")</f>
        <v/>
      </c>
      <c r="BY181" s="23" t="str">
        <f aca="false">IF(AY181=1,AK181&amp;"","")</f>
        <v/>
      </c>
      <c r="BZ181" s="23" t="str">
        <f aca="false">IF(AY181=1,AL181&amp;"","")</f>
        <v/>
      </c>
      <c r="CA181" s="23" t="str">
        <f aca="false">IF(AND(AY181=1,ISNUMBER(AS181),INT(N(H181))&lt;=Config!$B$5),AS181,"")</f>
        <v/>
      </c>
      <c r="CB181" s="23" t="str">
        <f aca="false">IF(AY181=1,IF(COUNTIFS($A$2:$A$201,$A181,$CU$2:$CU$201,1,$AN$2:$AN$201,"Y")&gt;0,"Y","N"),"")</f>
        <v/>
      </c>
      <c r="CC181" s="23" t="n">
        <f aca="false">IF(AND(AY181=1,AN181="Y"),IF(COUNTIFS($AW$2:$AW$201,AW181,$AN$2:$AN$201,"Y",$AY$2:$AY$201,1,$H$2:$H$201,"&lt;"&amp;H181)+COUNTIFS($AW$2:$AW$201,AW181,$AN$2:$AN$201,"Y",$AY$2:$AY$201,1,$H$2:$H$201,H181,$AX$2:$AX$201,"&lt;"&amp;AX181)=0,1,0),0)</f>
        <v>0</v>
      </c>
      <c r="CD181" s="23" t="n">
        <f aca="false">IF(AND(AY181=1,AB181="Y",AC181="Y",AD181="Y",AE181="Y",AF181="Y",AG181="Y",AI181="Y",TRIM(AH181)&lt;&gt;""),1,0)</f>
        <v>0</v>
      </c>
      <c r="CE181" s="23" t="n">
        <f aca="false">IF(CD181=1,IF(COUNTIFS($AW$2:$AW$201,AW181,$CD$2:$CD$201,1,$H$2:$H$201,"&lt;"&amp;H181)+COUNTIFS($AW$2:$AW$201,AW181,$CD$2:$CD$201,1,$H$2:$H$201,H181,$AX$2:$AX$201,"&lt;"&amp;AX181)=0,1,0),0)</f>
        <v>0</v>
      </c>
      <c r="CF181" s="23" t="n">
        <f aca="false">IF(AND(AY181=1,AO181="Y"),1,0)</f>
        <v>0</v>
      </c>
      <c r="CG181" s="23" t="n">
        <f aca="false">IF(CF181=1,IF(COUNTIFS($AW$2:$AW$201,AW181,$CF$2:$CF$201,1,$H$2:$H$201,"&lt;"&amp;H181)+COUNTIFS($AW$2:$AW$201,AW181,$CF$2:$CF$201,1,$H$2:$H$201,H181,$AX$2:$AX$201,"&lt;"&amp;AX181)=0,1,0),0)</f>
        <v>0</v>
      </c>
      <c r="CH181" s="23" t="n">
        <f aca="false">IF(AND(AY181=1,P181="Y"),1,0)</f>
        <v>0</v>
      </c>
      <c r="CI181" s="23" t="n">
        <f aca="false">IF(CH181=1,IF(COUNTIFS($AW$2:$AW$201,AW181,$CH$2:$CH$201,1,$H$2:$H$201,"&lt;"&amp;H181)+COUNTIFS($AW$2:$AW$201,AW181,$CH$2:$CH$201,1,$H$2:$H$201,H181,$AX$2:$AX$201,"&lt;"&amp;AX181)=0,1,0),0)</f>
        <v>0</v>
      </c>
      <c r="CJ181" s="23" t="str">
        <f aca="false">IF(AND(BU181=1,INT(N(H181))&lt;=Config!$B$5),L181,"")</f>
        <v/>
      </c>
      <c r="CK181" s="23" t="n">
        <f aca="false">IF(AND(AY181=1,AR181="Y"),1,0)</f>
        <v>0</v>
      </c>
      <c r="CL181" s="23" t="n">
        <f aca="false">IF(CK181=1,IF(COUNTIFS($AW$2:$AW$201,AW181,$CK$2:$CK$201,1,$H$2:$H$201,"&lt;"&amp;H181)+COUNTIFS($AW$2:$AW$201,AW181,$CK$2:$CK$201,1,$H$2:$H$201,H181,$AX$2:$AX$201,"&lt;"&amp;AX181)=0,1,0),0)</f>
        <v>0</v>
      </c>
      <c r="CM181" s="23" t="str">
        <f aca="false">IF(AY181=1,IFERROR(MATCH($A181,INDEX(Clay_Brands!$A$2:$FZ$601,0,Sync!$D$5),0),""),"")</f>
        <v/>
      </c>
      <c r="CN181" s="23" t="str">
        <f aca="false">IF(CM181="","",IFERROR(INDEX(Clay_Brands!$A$2:$FZ$601,CM181,Sync!$D$7)&amp;"",""))</f>
        <v/>
      </c>
      <c r="CO181" s="23" t="str">
        <f aca="false">IF(CN181="","",IFERROR(INDEX(Lists!$K$2:$K$15,MATCH(CN181,Lists!$J$2:$J$15,0)),""))</f>
        <v/>
      </c>
      <c r="CP181" s="23" t="str">
        <f aca="false">IF(CM181="","",IFERROR(INDEX(Clay_Brands!$A$2:$FZ$601,CM181,Sync!$D$17)&amp;"",""))</f>
        <v/>
      </c>
      <c r="CQ181" s="35" t="str">
        <f aca="false">IF(CM181="","",IFERROR(N(INDEX(Clay_Brands!$A$2:$FZ$601,CM181,Sync!$D$16)),0))</f>
        <v/>
      </c>
      <c r="CR181" s="23" t="n">
        <f aca="false">IF(AND(AY181=1,OR(O181="N",AND(OR(ISNUMBER(R181),ISNUMBER(V181)),MAX(N(R181),N(V181))&lt;Config!$B$14))),1,0)</f>
        <v>0</v>
      </c>
      <c r="CS181" s="23" t="n">
        <f aca="false">IF(OR(BB181=1,CR181=1),1,0)</f>
        <v>0</v>
      </c>
      <c r="CT181" s="23" t="n">
        <f aca="false">IF(AND(AY181=1,OR(AN181="Y",AN181="N",AN181="maybe")),1,0)</f>
        <v>0</v>
      </c>
      <c r="CU181" s="23" t="n">
        <f aca="false">IF(AND(CT181=1),IF(COUNTIFS($A$2:$A$201,$A181,$CT$2:$CT$201,1,$H$2:$H$201,"&gt;"&amp;H181)+COUNTIFS($A$2:$A$201,$A181,$CT$2:$CT$201,1,$H$2:$H$201,H181,$AX$2:$AX$201,"&gt;"&amp;AX181)=0,1,0),0)</f>
        <v>0</v>
      </c>
      <c r="CV181" s="23" t="n">
        <f aca="false">IF(AND(CS181=1,INT(N(H181))&lt;=Config!$B$6),IF(COUNTIFS($AW$2:$AW$201,AW181,$CS$2:$CS$201,1,$H$2:$H$201,"&gt;"&amp;H181,$H$2:$H$201,"&lt;"&amp;(Config!$B$6+1))+COUNTIFS($AW$2:$AW$201,AW181,$CS$2:$CS$201,1,$H$2:$H$201,H181,$AX$2:$AX$201,"&gt;"&amp;AX181)=0,1,0),0)</f>
        <v>0</v>
      </c>
      <c r="CW181" s="23" t="n">
        <f aca="false">IF(AND(CS181=1,INT(N(H181))&lt;=Config!$B$7),IF(COUNTIFS($AW$2:$AW$201,AW181,$CS$2:$CS$201,1,$H$2:$H$201,"&gt;"&amp;H181,$H$2:$H$201,"&lt;"&amp;(Config!$B$7+1))+COUNTIFS($AW$2:$AW$201,AW181,$CS$2:$CS$201,1,$H$2:$H$201,H181,$AX$2:$AX$201,"&gt;"&amp;AX181)=0,1,0),0)</f>
        <v>0</v>
      </c>
      <c r="CX181" s="23" t="n">
        <f aca="false">IF(AND(CS181=1,INT(N(H181))&lt;=Config!$B$8),IF(COUNTIFS($AW$2:$AW$201,AW181,$CS$2:$CS$201,1,$H$2:$H$201,"&gt;"&amp;H181,$H$2:$H$201,"&lt;"&amp;(Config!$B$8+1))+COUNTIFS($AW$2:$AW$201,AW181,$CS$2:$CS$201,1,$H$2:$H$201,H181,$AX$2:$AX$201,"&gt;"&amp;AX181)=0,1,0),0)</f>
        <v>0</v>
      </c>
      <c r="CY181" s="23" t="n">
        <f aca="false">IF(AND(CS181=1,INT(N(H181))&lt;=Config!$B$5),IF(COUNTIFS($AW$2:$AW$201,AW181,$CS$2:$CS$201,1,$H$2:$H$201,"&gt;"&amp;H181,$H$2:$H$201,"&lt;"&amp;(Config!$B$5+1))+COUNTIFS($AW$2:$AW$201,AW181,$CS$2:$CS$201,1,$H$2:$H$201,H181,$AX$2:$AX$201,"&gt;"&amp;AX181)=0,1,0),0)</f>
        <v>0</v>
      </c>
      <c r="CZ181" s="23" t="n">
        <f aca="false">IF(AY181=1,IF(COUNTIFS($AW$2:$AW$201,AW181,$CV$2:$CV$201,1,$BB$2:$BB$201,1)&gt;0,1,0),0)</f>
        <v>0</v>
      </c>
      <c r="DA181" s="23" t="n">
        <f aca="false">IF(AY181=1,IF(COUNTIFS($AW$2:$AW$201,AW181,$CW$2:$CW$201,1,$BB$2:$BB$201,1)&gt;0,1,0),0)</f>
        <v>0</v>
      </c>
      <c r="DB181" s="23" t="n">
        <f aca="false">IF(AY181=1,IF(COUNTIFS($AW$2:$AW$201,AW181,$CX$2:$CX$201,1,$BB$2:$BB$201,1)&gt;0,1,0),0)</f>
        <v>0</v>
      </c>
      <c r="DC181" s="23" t="n">
        <f aca="false">IF(AY181=1,IF(COUNTIFS($AW$2:$AW$201,AW181,$CY$2:$CY$201,1,$BB$2:$BB$201,1)&gt;0,1,0),0)</f>
        <v>0</v>
      </c>
      <c r="DD181" s="23" t="n">
        <f aca="false">IF(AND(BC181=1,INT(N(H181))&lt;=Config!$B$6,CZ181=1),1,0)</f>
        <v>0</v>
      </c>
      <c r="DE181" s="23" t="n">
        <f aca="false">IF(AND(BC181=1,INT(N(H181))&lt;=Config!$B$7,DA181=1),1,0)</f>
        <v>0</v>
      </c>
      <c r="DF181" s="23" t="n">
        <f aca="false">IF(AND(BC181=1,INT(N(H181))&lt;=Config!$B$8,DB181=1),1,0)</f>
        <v>0</v>
      </c>
      <c r="DG181" s="23" t="n">
        <f aca="false">IF(AND(BC181=1,INT(N(H181))&lt;=Config!$B$5,DC181=1),1,0)</f>
        <v>0</v>
      </c>
      <c r="DH181" s="23" t="n">
        <f aca="false">IF(AND(BE181=1,INT(N(H181))&lt;=Config!$B$6,CZ181=1),1,0)</f>
        <v>0</v>
      </c>
      <c r="DI181" s="23" t="n">
        <f aca="false">IF(AND(BE181=1,INT(N(H181))&lt;=Config!$B$7,DA181=1),1,0)</f>
        <v>0</v>
      </c>
      <c r="DJ181" s="23" t="n">
        <f aca="false">IF(AND(BE181=1,INT(N(H181))&lt;=Config!$B$8,DB181=1),1,0)</f>
        <v>0</v>
      </c>
      <c r="DK181" s="23" t="n">
        <f aca="false">IF(AND(BE181=1,INT(N(H181))&lt;=Config!$B$5,DC181=1),1,0)</f>
        <v>0</v>
      </c>
      <c r="DL181" s="23" t="n">
        <f aca="false">IF(AND(BC181=1,INT(N(H181))&lt;=Config!$B$6,CZ181=0),1,0)</f>
        <v>0</v>
      </c>
      <c r="DM181" s="23" t="n">
        <f aca="false">IF(AND(BC181=1,INT(N(H181))&lt;=Config!$B$7,DA181=0),1,0)</f>
        <v>0</v>
      </c>
      <c r="DN181" s="23" t="n">
        <f aca="false">IF(AND(BC181=1,INT(N(H181))&lt;=Config!$B$8,DB181=0),1,0)</f>
        <v>0</v>
      </c>
      <c r="DO181" s="23" t="n">
        <f aca="false">IF(AND(BC181=1,INT(N(H181))&lt;=Config!$B$5,DC181=0),1,0)</f>
        <v>0</v>
      </c>
      <c r="DP181" s="23" t="n">
        <f aca="false">IF(TRIM($A181)="",0,ISTEXT(K181)+ISTEXT(L181)+ISTEXT(R181)+ISTEXT(V181)+ISTEXT(AP181)+ISTEXT(AS181))</f>
        <v>0</v>
      </c>
      <c r="DQ181" s="23" t="n">
        <f aca="false">IF(AY181=1,IF(H181&lt;&gt;INT(H181),1,0),0)</f>
        <v>0</v>
      </c>
      <c r="DR181" s="23" t="str">
        <f aca="false">IF(TRIM($A181)="","",IF(TRIM(B181)="",SUBSTITUTE(SUBSTITUTE(SUBSTITUTE(SUBSTITUTE(SUBSTITUTE(SUBSTITUTE(LOWER(TRIM($A181)),"~",""),"*",""),"?",""),"&lt;",""),"&gt;",""),"=",""),SUBSTITUTE(SUBSTITUTE(SUBSTITUTE(SUBSTITUTE(SUBSTITUTE(SUBSTITUTE(LOWER(TRIM(B181)),"~",""),"*",""),"?",""),"&lt;",""),"&gt;",""),"=","")))</f>
        <v/>
      </c>
      <c r="DS181" s="23" t="str">
        <f aca="false">IF(CM181="","",IFERROR(IF(LEFT(LOWER(TRIM(INDEX(Clay_Brands!$A$2:$FZ$601,CM181,Sync!$D$19)&amp;"")),4)="grp-",SUBSTITUTE(SUBSTITUTE(SUBSTITUTE(SUBSTITUTE(SUBSTITUTE(SUBSTITUTE(LOWER(TRIM(INDEX(Clay_Brands!$A$2:$FZ$601,CM181,Sync!$D$19)&amp;"")),"~",""),"*",""),"?",""),"&lt;",""),"&gt;",""),"=",""),""),""))</f>
        <v/>
      </c>
      <c r="DT181" s="23" t="str">
        <f aca="false">IF(DS181&lt;&gt;"",DR181,"")</f>
        <v/>
      </c>
      <c r="DU181" s="23" t="str">
        <f aca="false">IF(AZ181=1,AW181,"")</f>
        <v/>
      </c>
      <c r="DV181" s="23" t="str">
        <f aca="false">IF(TRIM($A181)="","",IFERROR(INDEX($A$2:$A$201,MATCH(AW181,$DU$2:$DU$201,0))&amp;"",$A181&amp;""))</f>
        <v/>
      </c>
      <c r="DW181" s="23" t="n">
        <f aca="false">IF(AY181=1,IF(COUNTIFS($A$2:$A$201,$A181,$AY$2:$AY$201,1,$H$2:$H$201,"&lt;"&amp;H181)+COUNTIFS($A$2:$A$201,$A181,$AY$2:$AY$201,1,$H$2:$H$201,H181,$AX$2:$AX$201,"&lt;"&amp;AX181)=0,1,0),0)</f>
        <v>0</v>
      </c>
      <c r="DX181" s="23" t="n">
        <f aca="false">IF(AZ181=1,IF(COUNTIFS($AW$2:$AW$201,AW181,$DW$2:$DW$201,1)&gt;1,1,0),0)</f>
        <v>0</v>
      </c>
    </row>
    <row r="182" customFormat="false" ht="15" hidden="false" customHeight="false" outlineLevel="0" collapsed="false">
      <c r="G182" s="32"/>
      <c r="H182" s="33"/>
      <c r="I182" s="32"/>
      <c r="O182" s="32"/>
      <c r="P182" s="32"/>
      <c r="U182" s="32"/>
      <c r="Y182" s="32"/>
      <c r="AB182" s="32"/>
      <c r="AC182" s="32"/>
      <c r="AD182" s="32"/>
      <c r="AE182" s="32"/>
      <c r="AF182" s="32"/>
      <c r="AG182" s="32"/>
      <c r="AI182" s="32"/>
      <c r="AJ182" s="32"/>
      <c r="AK182" s="32"/>
      <c r="AN182" s="32"/>
      <c r="AO182" s="32"/>
      <c r="AR182" s="32"/>
      <c r="AT182" s="32"/>
      <c r="AV182" s="34" t="str">
        <f aca="false">IF(TRIM($A182)="","",IF(AND(LEFT($A182,6)="SAMPLE",Config!$B$19&lt;&gt;"Y"),"",IF(NOT(ISNUMBER(H182)),"call_date is blank or not a date",IF(Sync!$D$5="","Clay paste is empty or has no row_id column: paste the Clay export on Clay_Brands",IF(CM182="","row_id not found in the Clay paste: add the Clay row or fix the row_id",IF(AND(ISNUMBER(CO182),CO182&gt;=1,CO182&lt;=5),"Clay status is "&amp;CN182&amp;": set call_done or later",IF(AND(BA182=1,CP182&lt;&gt;CB182),"Clay yes_in_principle should be "&amp;CB182,IF(AND(BA182=1,CQ182&lt;&gt;H182),"Clay call_date should be "&amp;TEXT(H182,"yyyy-mm-dd"),""))))))))</f>
        <v/>
      </c>
      <c r="AW182" s="23" t="str">
        <f aca="false">IF(TRIM($A182)="","",IF(TRIM(C182)&lt;&gt;"",SUBSTITUTE(SUBSTITUTE(SUBSTITUTE(SUBSTITUTE(SUBSTITUTE(SUBSTITUTE(LOWER(TRIM(C182)),"~",""),"*",""),"?",""),"&lt;",""),"&gt;",""),"=",""),IF(DS182&lt;&gt;"",DS182,IFERROR(INDEX($DS$2:$DS$201,MATCH(DR182,$DT$2:$DT$201,0)),DR182))))</f>
        <v/>
      </c>
      <c r="AX182" s="23" t="n">
        <f aca="false">ROW()</f>
        <v>182</v>
      </c>
      <c r="AY182" s="23" t="n">
        <f aca="false">IF(AND(TRIM($A182)&lt;&gt;"",ISNUMBER(H182)),IF(AND(LEFT($A182,6)="SAMPLE",Config!$B$19&lt;&gt;"Y"),0,1),0)</f>
        <v>0</v>
      </c>
      <c r="AZ182" s="23" t="n">
        <f aca="false">IF(AY182=1,IF(COUNTIFS($AW$2:$AW$201,AW182,$AY$2:$AY$201,1,$H$2:$H$201,"&lt;"&amp;H182)+COUNTIFS($AW$2:$AW$201,AW182,$AY$2:$AY$201,1,$H$2:$H$201,H182,$AX$2:$AX$201,"&lt;"&amp;AX182)=0,1,0),0)</f>
        <v>0</v>
      </c>
      <c r="BA182" s="23" t="n">
        <f aca="false">IF(AY182=1,IF(COUNTIFS($A$2:$A$201,$A182,$AY$2:$AY$201,1,$H$2:$H$201,"&gt;"&amp;H182)+COUNTIFS($A$2:$A$201,$A182,$AY$2:$AY$201,1,$H$2:$H$201,H182,$AX$2:$AX$201,"&gt;"&amp;AX182)=0,1,0),0)</f>
        <v>0</v>
      </c>
      <c r="BB182" s="23" t="n">
        <f aca="false">IF(AND(AY182=1,O182="Y",MAX(N(R182),N(V182))&gt;=Config!$B$14),1,0)</f>
        <v>0</v>
      </c>
      <c r="BC182" s="23" t="n">
        <f aca="false">IF(BB182=1,IF(COUNTIFS($AW$2:$AW$201,AW182,$BB$2:$BB$201,1,$H$2:$H$201,"&lt;"&amp;H182)+COUNTIFS($AW$2:$AW$201,AW182,$BB$2:$BB$201,1,$H$2:$H$201,H182,$AX$2:$AX$201,"&lt;"&amp;AX182)=0,1,0),0)</f>
        <v>0</v>
      </c>
      <c r="BD182" s="23" t="n">
        <f aca="false">IF(AND(AY182=1,O182="Y",ISNUMBER(R182)),IF(R182&gt;=Config!$B$14,1,0),0)</f>
        <v>0</v>
      </c>
      <c r="BE182" s="23" t="n">
        <f aca="false">IF(BD182=1,IF(COUNTIFS($AW$2:$AW$201,AW182,$BD$2:$BD$201,1,$H$2:$H$201,"&lt;"&amp;H182)+COUNTIFS($AW$2:$AW$201,AW182,$BD$2:$BD$201,1,$H$2:$H$201,H182,$AX$2:$AX$201,"&lt;"&amp;AX182)=0,1,0),0)</f>
        <v>0</v>
      </c>
      <c r="BF182" s="23" t="n">
        <f aca="false">IF(AND(AY182=1,O182&lt;&gt;"Y",MAX(N(R182),N(V182))&gt;=Config!$B$14),1,0)</f>
        <v>0</v>
      </c>
      <c r="BG182" s="23" t="n">
        <f aca="false">IF(BF182=1,IF(COUNTIFS($AW$2:$AW$201,AW182,$BF$2:$BF$201,1,$H$2:$H$201,"&lt;"&amp;H182)+COUNTIFS($AW$2:$AW$201,AW182,$BF$2:$BF$201,1,$H$2:$H$201,H182,$AX$2:$AX$201,"&lt;"&amp;AX182)=0,1,0),0)</f>
        <v>0</v>
      </c>
      <c r="BH182" s="23" t="n">
        <f aca="false">IF(AND(AY182=1,ISNUMBER(R182)),1,0)</f>
        <v>0</v>
      </c>
      <c r="BI182" s="23" t="n">
        <f aca="false">IF(BH182=1,IF(COUNTIFS($AW$2:$AW$201,AW182,$BH$2:$BH$201,1,$H$2:$H$201,"&lt;"&amp;H182)+COUNTIFS($AW$2:$AW$201,AW182,$BH$2:$BH$201,1,$H$2:$H$201,H182,$AX$2:$AX$201,"&lt;"&amp;AX182)=0,1,0),0)</f>
        <v>0</v>
      </c>
      <c r="BJ182" s="23" t="str">
        <f aca="false">IF(AND(BI182=1,INT(N(H182))&lt;=Config!$B$6),R182,"")</f>
        <v/>
      </c>
      <c r="BK182" s="23" t="str">
        <f aca="false">IF(AND(BI182=1,INT(N(H182))&lt;=Config!$B$7),R182,"")</f>
        <v/>
      </c>
      <c r="BL182" s="23" t="str">
        <f aca="false">IF(AND(BI182=1,INT(N(H182))&lt;=Config!$B$8),R182,"")</f>
        <v/>
      </c>
      <c r="BM182" s="23" t="str">
        <f aca="false">IF(AND(BI182=1,INT(N(H182))&lt;=Config!$B$5),R182,"")</f>
        <v/>
      </c>
      <c r="BN182" s="23" t="n">
        <f aca="false">IF(AND(AY182=1,ISNUMBER(V182)),1,0)</f>
        <v>0</v>
      </c>
      <c r="BO182" s="23" t="n">
        <f aca="false">IF(BN182=1,IF(COUNTIFS($AW$2:$AW$201,AW182,$BN$2:$BN$201,1,$H$2:$H$201,"&lt;"&amp;H182)+COUNTIFS($AW$2:$AW$201,AW182,$BN$2:$BN$201,1,$H$2:$H$201,H182,$AX$2:$AX$201,"&lt;"&amp;AX182)=0,1,0),0)</f>
        <v>0</v>
      </c>
      <c r="BP182" s="23" t="str">
        <f aca="false">IF(AND(BO182=1,INT(N(H182))&lt;=Config!$B$6),V182,"")</f>
        <v/>
      </c>
      <c r="BQ182" s="23" t="str">
        <f aca="false">IF(AND(BO182=1,INT(N(H182))&lt;=Config!$B$7),V182,"")</f>
        <v/>
      </c>
      <c r="BR182" s="23" t="str">
        <f aca="false">IF(AND(BO182=1,INT(N(H182))&lt;=Config!$B$8),V182,"")</f>
        <v/>
      </c>
      <c r="BS182" s="23" t="str">
        <f aca="false">IF(AND(BO182=1,INT(N(H182))&lt;=Config!$B$5),V182,"")</f>
        <v/>
      </c>
      <c r="BT182" s="23" t="n">
        <f aca="false">IF(AND(AY182=1,ISNUMBER(K182)),1,0)</f>
        <v>0</v>
      </c>
      <c r="BU182" s="23" t="n">
        <f aca="false">IF(BT182=1,IF(COUNTIFS($AW$2:$AW$201,AW182,$BT$2:$BT$201,1,$H$2:$H$201,"&lt;"&amp;H182)+COUNTIFS($AW$2:$AW$201,AW182,$BT$2:$BT$201,1,$H$2:$H$201,H182,$AX$2:$AX$201,"&lt;"&amp;AX182)=0,1,0),0)</f>
        <v>0</v>
      </c>
      <c r="BV182" s="23" t="str">
        <f aca="false">IF(AND(BU182=1,INT(N(H182))&lt;=Config!$B$5),K182,"")</f>
        <v/>
      </c>
      <c r="BW182" s="23" t="n">
        <f aca="false">IF(AND(AY182=1,OR(AND(ISNUMBER(R182),TRIM(S182)=""),AND(ISNUMBER(V182),TRIM(W182)=""))),1,0)</f>
        <v>0</v>
      </c>
      <c r="BX182" s="23" t="str">
        <f aca="false">IF(AY182=1,AJ182&amp;"","")</f>
        <v/>
      </c>
      <c r="BY182" s="23" t="str">
        <f aca="false">IF(AY182=1,AK182&amp;"","")</f>
        <v/>
      </c>
      <c r="BZ182" s="23" t="str">
        <f aca="false">IF(AY182=1,AL182&amp;"","")</f>
        <v/>
      </c>
      <c r="CA182" s="23" t="str">
        <f aca="false">IF(AND(AY182=1,ISNUMBER(AS182),INT(N(H182))&lt;=Config!$B$5),AS182,"")</f>
        <v/>
      </c>
      <c r="CB182" s="23" t="str">
        <f aca="false">IF(AY182=1,IF(COUNTIFS($A$2:$A$201,$A182,$CU$2:$CU$201,1,$AN$2:$AN$201,"Y")&gt;0,"Y","N"),"")</f>
        <v/>
      </c>
      <c r="CC182" s="23" t="n">
        <f aca="false">IF(AND(AY182=1,AN182="Y"),IF(COUNTIFS($AW$2:$AW$201,AW182,$AN$2:$AN$201,"Y",$AY$2:$AY$201,1,$H$2:$H$201,"&lt;"&amp;H182)+COUNTIFS($AW$2:$AW$201,AW182,$AN$2:$AN$201,"Y",$AY$2:$AY$201,1,$H$2:$H$201,H182,$AX$2:$AX$201,"&lt;"&amp;AX182)=0,1,0),0)</f>
        <v>0</v>
      </c>
      <c r="CD182" s="23" t="n">
        <f aca="false">IF(AND(AY182=1,AB182="Y",AC182="Y",AD182="Y",AE182="Y",AF182="Y",AG182="Y",AI182="Y",TRIM(AH182)&lt;&gt;""),1,0)</f>
        <v>0</v>
      </c>
      <c r="CE182" s="23" t="n">
        <f aca="false">IF(CD182=1,IF(COUNTIFS($AW$2:$AW$201,AW182,$CD$2:$CD$201,1,$H$2:$H$201,"&lt;"&amp;H182)+COUNTIFS($AW$2:$AW$201,AW182,$CD$2:$CD$201,1,$H$2:$H$201,H182,$AX$2:$AX$201,"&lt;"&amp;AX182)=0,1,0),0)</f>
        <v>0</v>
      </c>
      <c r="CF182" s="23" t="n">
        <f aca="false">IF(AND(AY182=1,AO182="Y"),1,0)</f>
        <v>0</v>
      </c>
      <c r="CG182" s="23" t="n">
        <f aca="false">IF(CF182=1,IF(COUNTIFS($AW$2:$AW$201,AW182,$CF$2:$CF$201,1,$H$2:$H$201,"&lt;"&amp;H182)+COUNTIFS($AW$2:$AW$201,AW182,$CF$2:$CF$201,1,$H$2:$H$201,H182,$AX$2:$AX$201,"&lt;"&amp;AX182)=0,1,0),0)</f>
        <v>0</v>
      </c>
      <c r="CH182" s="23" t="n">
        <f aca="false">IF(AND(AY182=1,P182="Y"),1,0)</f>
        <v>0</v>
      </c>
      <c r="CI182" s="23" t="n">
        <f aca="false">IF(CH182=1,IF(COUNTIFS($AW$2:$AW$201,AW182,$CH$2:$CH$201,1,$H$2:$H$201,"&lt;"&amp;H182)+COUNTIFS($AW$2:$AW$201,AW182,$CH$2:$CH$201,1,$H$2:$H$201,H182,$AX$2:$AX$201,"&lt;"&amp;AX182)=0,1,0),0)</f>
        <v>0</v>
      </c>
      <c r="CJ182" s="23" t="str">
        <f aca="false">IF(AND(BU182=1,INT(N(H182))&lt;=Config!$B$5),L182,"")</f>
        <v/>
      </c>
      <c r="CK182" s="23" t="n">
        <f aca="false">IF(AND(AY182=1,AR182="Y"),1,0)</f>
        <v>0</v>
      </c>
      <c r="CL182" s="23" t="n">
        <f aca="false">IF(CK182=1,IF(COUNTIFS($AW$2:$AW$201,AW182,$CK$2:$CK$201,1,$H$2:$H$201,"&lt;"&amp;H182)+COUNTIFS($AW$2:$AW$201,AW182,$CK$2:$CK$201,1,$H$2:$H$201,H182,$AX$2:$AX$201,"&lt;"&amp;AX182)=0,1,0),0)</f>
        <v>0</v>
      </c>
      <c r="CM182" s="23" t="str">
        <f aca="false">IF(AY182=1,IFERROR(MATCH($A182,INDEX(Clay_Brands!$A$2:$FZ$601,0,Sync!$D$5),0),""),"")</f>
        <v/>
      </c>
      <c r="CN182" s="23" t="str">
        <f aca="false">IF(CM182="","",IFERROR(INDEX(Clay_Brands!$A$2:$FZ$601,CM182,Sync!$D$7)&amp;"",""))</f>
        <v/>
      </c>
      <c r="CO182" s="23" t="str">
        <f aca="false">IF(CN182="","",IFERROR(INDEX(Lists!$K$2:$K$15,MATCH(CN182,Lists!$J$2:$J$15,0)),""))</f>
        <v/>
      </c>
      <c r="CP182" s="23" t="str">
        <f aca="false">IF(CM182="","",IFERROR(INDEX(Clay_Brands!$A$2:$FZ$601,CM182,Sync!$D$17)&amp;"",""))</f>
        <v/>
      </c>
      <c r="CQ182" s="35" t="str">
        <f aca="false">IF(CM182="","",IFERROR(N(INDEX(Clay_Brands!$A$2:$FZ$601,CM182,Sync!$D$16)),0))</f>
        <v/>
      </c>
      <c r="CR182" s="23" t="n">
        <f aca="false">IF(AND(AY182=1,OR(O182="N",AND(OR(ISNUMBER(R182),ISNUMBER(V182)),MAX(N(R182),N(V182))&lt;Config!$B$14))),1,0)</f>
        <v>0</v>
      </c>
      <c r="CS182" s="23" t="n">
        <f aca="false">IF(OR(BB182=1,CR182=1),1,0)</f>
        <v>0</v>
      </c>
      <c r="CT182" s="23" t="n">
        <f aca="false">IF(AND(AY182=1,OR(AN182="Y",AN182="N",AN182="maybe")),1,0)</f>
        <v>0</v>
      </c>
      <c r="CU182" s="23" t="n">
        <f aca="false">IF(AND(CT182=1),IF(COUNTIFS($A$2:$A$201,$A182,$CT$2:$CT$201,1,$H$2:$H$201,"&gt;"&amp;H182)+COUNTIFS($A$2:$A$201,$A182,$CT$2:$CT$201,1,$H$2:$H$201,H182,$AX$2:$AX$201,"&gt;"&amp;AX182)=0,1,0),0)</f>
        <v>0</v>
      </c>
      <c r="CV182" s="23" t="n">
        <f aca="false">IF(AND(CS182=1,INT(N(H182))&lt;=Config!$B$6),IF(COUNTIFS($AW$2:$AW$201,AW182,$CS$2:$CS$201,1,$H$2:$H$201,"&gt;"&amp;H182,$H$2:$H$201,"&lt;"&amp;(Config!$B$6+1))+COUNTIFS($AW$2:$AW$201,AW182,$CS$2:$CS$201,1,$H$2:$H$201,H182,$AX$2:$AX$201,"&gt;"&amp;AX182)=0,1,0),0)</f>
        <v>0</v>
      </c>
      <c r="CW182" s="23" t="n">
        <f aca="false">IF(AND(CS182=1,INT(N(H182))&lt;=Config!$B$7),IF(COUNTIFS($AW$2:$AW$201,AW182,$CS$2:$CS$201,1,$H$2:$H$201,"&gt;"&amp;H182,$H$2:$H$201,"&lt;"&amp;(Config!$B$7+1))+COUNTIFS($AW$2:$AW$201,AW182,$CS$2:$CS$201,1,$H$2:$H$201,H182,$AX$2:$AX$201,"&gt;"&amp;AX182)=0,1,0),0)</f>
        <v>0</v>
      </c>
      <c r="CX182" s="23" t="n">
        <f aca="false">IF(AND(CS182=1,INT(N(H182))&lt;=Config!$B$8),IF(COUNTIFS($AW$2:$AW$201,AW182,$CS$2:$CS$201,1,$H$2:$H$201,"&gt;"&amp;H182,$H$2:$H$201,"&lt;"&amp;(Config!$B$8+1))+COUNTIFS($AW$2:$AW$201,AW182,$CS$2:$CS$201,1,$H$2:$H$201,H182,$AX$2:$AX$201,"&gt;"&amp;AX182)=0,1,0),0)</f>
        <v>0</v>
      </c>
      <c r="CY182" s="23" t="n">
        <f aca="false">IF(AND(CS182=1,INT(N(H182))&lt;=Config!$B$5),IF(COUNTIFS($AW$2:$AW$201,AW182,$CS$2:$CS$201,1,$H$2:$H$201,"&gt;"&amp;H182,$H$2:$H$201,"&lt;"&amp;(Config!$B$5+1))+COUNTIFS($AW$2:$AW$201,AW182,$CS$2:$CS$201,1,$H$2:$H$201,H182,$AX$2:$AX$201,"&gt;"&amp;AX182)=0,1,0),0)</f>
        <v>0</v>
      </c>
      <c r="CZ182" s="23" t="n">
        <f aca="false">IF(AY182=1,IF(COUNTIFS($AW$2:$AW$201,AW182,$CV$2:$CV$201,1,$BB$2:$BB$201,1)&gt;0,1,0),0)</f>
        <v>0</v>
      </c>
      <c r="DA182" s="23" t="n">
        <f aca="false">IF(AY182=1,IF(COUNTIFS($AW$2:$AW$201,AW182,$CW$2:$CW$201,1,$BB$2:$BB$201,1)&gt;0,1,0),0)</f>
        <v>0</v>
      </c>
      <c r="DB182" s="23" t="n">
        <f aca="false">IF(AY182=1,IF(COUNTIFS($AW$2:$AW$201,AW182,$CX$2:$CX$201,1,$BB$2:$BB$201,1)&gt;0,1,0),0)</f>
        <v>0</v>
      </c>
      <c r="DC182" s="23" t="n">
        <f aca="false">IF(AY182=1,IF(COUNTIFS($AW$2:$AW$201,AW182,$CY$2:$CY$201,1,$BB$2:$BB$201,1)&gt;0,1,0),0)</f>
        <v>0</v>
      </c>
      <c r="DD182" s="23" t="n">
        <f aca="false">IF(AND(BC182=1,INT(N(H182))&lt;=Config!$B$6,CZ182=1),1,0)</f>
        <v>0</v>
      </c>
      <c r="DE182" s="23" t="n">
        <f aca="false">IF(AND(BC182=1,INT(N(H182))&lt;=Config!$B$7,DA182=1),1,0)</f>
        <v>0</v>
      </c>
      <c r="DF182" s="23" t="n">
        <f aca="false">IF(AND(BC182=1,INT(N(H182))&lt;=Config!$B$8,DB182=1),1,0)</f>
        <v>0</v>
      </c>
      <c r="DG182" s="23" t="n">
        <f aca="false">IF(AND(BC182=1,INT(N(H182))&lt;=Config!$B$5,DC182=1),1,0)</f>
        <v>0</v>
      </c>
      <c r="DH182" s="23" t="n">
        <f aca="false">IF(AND(BE182=1,INT(N(H182))&lt;=Config!$B$6,CZ182=1),1,0)</f>
        <v>0</v>
      </c>
      <c r="DI182" s="23" t="n">
        <f aca="false">IF(AND(BE182=1,INT(N(H182))&lt;=Config!$B$7,DA182=1),1,0)</f>
        <v>0</v>
      </c>
      <c r="DJ182" s="23" t="n">
        <f aca="false">IF(AND(BE182=1,INT(N(H182))&lt;=Config!$B$8,DB182=1),1,0)</f>
        <v>0</v>
      </c>
      <c r="DK182" s="23" t="n">
        <f aca="false">IF(AND(BE182=1,INT(N(H182))&lt;=Config!$B$5,DC182=1),1,0)</f>
        <v>0</v>
      </c>
      <c r="DL182" s="23" t="n">
        <f aca="false">IF(AND(BC182=1,INT(N(H182))&lt;=Config!$B$6,CZ182=0),1,0)</f>
        <v>0</v>
      </c>
      <c r="DM182" s="23" t="n">
        <f aca="false">IF(AND(BC182=1,INT(N(H182))&lt;=Config!$B$7,DA182=0),1,0)</f>
        <v>0</v>
      </c>
      <c r="DN182" s="23" t="n">
        <f aca="false">IF(AND(BC182=1,INT(N(H182))&lt;=Config!$B$8,DB182=0),1,0)</f>
        <v>0</v>
      </c>
      <c r="DO182" s="23" t="n">
        <f aca="false">IF(AND(BC182=1,INT(N(H182))&lt;=Config!$B$5,DC182=0),1,0)</f>
        <v>0</v>
      </c>
      <c r="DP182" s="23" t="n">
        <f aca="false">IF(TRIM($A182)="",0,ISTEXT(K182)+ISTEXT(L182)+ISTEXT(R182)+ISTEXT(V182)+ISTEXT(AP182)+ISTEXT(AS182))</f>
        <v>0</v>
      </c>
      <c r="DQ182" s="23" t="n">
        <f aca="false">IF(AY182=1,IF(H182&lt;&gt;INT(H182),1,0),0)</f>
        <v>0</v>
      </c>
      <c r="DR182" s="23" t="str">
        <f aca="false">IF(TRIM($A182)="","",IF(TRIM(B182)="",SUBSTITUTE(SUBSTITUTE(SUBSTITUTE(SUBSTITUTE(SUBSTITUTE(SUBSTITUTE(LOWER(TRIM($A182)),"~",""),"*",""),"?",""),"&lt;",""),"&gt;",""),"=",""),SUBSTITUTE(SUBSTITUTE(SUBSTITUTE(SUBSTITUTE(SUBSTITUTE(SUBSTITUTE(LOWER(TRIM(B182)),"~",""),"*",""),"?",""),"&lt;",""),"&gt;",""),"=","")))</f>
        <v/>
      </c>
      <c r="DS182" s="23" t="str">
        <f aca="false">IF(CM182="","",IFERROR(IF(LEFT(LOWER(TRIM(INDEX(Clay_Brands!$A$2:$FZ$601,CM182,Sync!$D$19)&amp;"")),4)="grp-",SUBSTITUTE(SUBSTITUTE(SUBSTITUTE(SUBSTITUTE(SUBSTITUTE(SUBSTITUTE(LOWER(TRIM(INDEX(Clay_Brands!$A$2:$FZ$601,CM182,Sync!$D$19)&amp;"")),"~",""),"*",""),"?",""),"&lt;",""),"&gt;",""),"=",""),""),""))</f>
        <v/>
      </c>
      <c r="DT182" s="23" t="str">
        <f aca="false">IF(DS182&lt;&gt;"",DR182,"")</f>
        <v/>
      </c>
      <c r="DU182" s="23" t="str">
        <f aca="false">IF(AZ182=1,AW182,"")</f>
        <v/>
      </c>
      <c r="DV182" s="23" t="str">
        <f aca="false">IF(TRIM($A182)="","",IFERROR(INDEX($A$2:$A$201,MATCH(AW182,$DU$2:$DU$201,0))&amp;"",$A182&amp;""))</f>
        <v/>
      </c>
      <c r="DW182" s="23" t="n">
        <f aca="false">IF(AY182=1,IF(COUNTIFS($A$2:$A$201,$A182,$AY$2:$AY$201,1,$H$2:$H$201,"&lt;"&amp;H182)+COUNTIFS($A$2:$A$201,$A182,$AY$2:$AY$201,1,$H$2:$H$201,H182,$AX$2:$AX$201,"&lt;"&amp;AX182)=0,1,0),0)</f>
        <v>0</v>
      </c>
      <c r="DX182" s="23" t="n">
        <f aca="false">IF(AZ182=1,IF(COUNTIFS($AW$2:$AW$201,AW182,$DW$2:$DW$201,1)&gt;1,1,0),0)</f>
        <v>0</v>
      </c>
    </row>
    <row r="183" customFormat="false" ht="15" hidden="false" customHeight="false" outlineLevel="0" collapsed="false">
      <c r="G183" s="32"/>
      <c r="H183" s="33"/>
      <c r="I183" s="32"/>
      <c r="O183" s="32"/>
      <c r="P183" s="32"/>
      <c r="U183" s="32"/>
      <c r="Y183" s="32"/>
      <c r="AB183" s="32"/>
      <c r="AC183" s="32"/>
      <c r="AD183" s="32"/>
      <c r="AE183" s="32"/>
      <c r="AF183" s="32"/>
      <c r="AG183" s="32"/>
      <c r="AI183" s="32"/>
      <c r="AJ183" s="32"/>
      <c r="AK183" s="32"/>
      <c r="AN183" s="32"/>
      <c r="AO183" s="32"/>
      <c r="AR183" s="32"/>
      <c r="AT183" s="32"/>
      <c r="AV183" s="34" t="str">
        <f aca="false">IF(TRIM($A183)="","",IF(AND(LEFT($A183,6)="SAMPLE",Config!$B$19&lt;&gt;"Y"),"",IF(NOT(ISNUMBER(H183)),"call_date is blank or not a date",IF(Sync!$D$5="","Clay paste is empty or has no row_id column: paste the Clay export on Clay_Brands",IF(CM183="","row_id not found in the Clay paste: add the Clay row or fix the row_id",IF(AND(ISNUMBER(CO183),CO183&gt;=1,CO183&lt;=5),"Clay status is "&amp;CN183&amp;": set call_done or later",IF(AND(BA183=1,CP183&lt;&gt;CB183),"Clay yes_in_principle should be "&amp;CB183,IF(AND(BA183=1,CQ183&lt;&gt;H183),"Clay call_date should be "&amp;TEXT(H183,"yyyy-mm-dd"),""))))))))</f>
        <v/>
      </c>
      <c r="AW183" s="23" t="str">
        <f aca="false">IF(TRIM($A183)="","",IF(TRIM(C183)&lt;&gt;"",SUBSTITUTE(SUBSTITUTE(SUBSTITUTE(SUBSTITUTE(SUBSTITUTE(SUBSTITUTE(LOWER(TRIM(C183)),"~",""),"*",""),"?",""),"&lt;",""),"&gt;",""),"=",""),IF(DS183&lt;&gt;"",DS183,IFERROR(INDEX($DS$2:$DS$201,MATCH(DR183,$DT$2:$DT$201,0)),DR183))))</f>
        <v/>
      </c>
      <c r="AX183" s="23" t="n">
        <f aca="false">ROW()</f>
        <v>183</v>
      </c>
      <c r="AY183" s="23" t="n">
        <f aca="false">IF(AND(TRIM($A183)&lt;&gt;"",ISNUMBER(H183)),IF(AND(LEFT($A183,6)="SAMPLE",Config!$B$19&lt;&gt;"Y"),0,1),0)</f>
        <v>0</v>
      </c>
      <c r="AZ183" s="23" t="n">
        <f aca="false">IF(AY183=1,IF(COUNTIFS($AW$2:$AW$201,AW183,$AY$2:$AY$201,1,$H$2:$H$201,"&lt;"&amp;H183)+COUNTIFS($AW$2:$AW$201,AW183,$AY$2:$AY$201,1,$H$2:$H$201,H183,$AX$2:$AX$201,"&lt;"&amp;AX183)=0,1,0),0)</f>
        <v>0</v>
      </c>
      <c r="BA183" s="23" t="n">
        <f aca="false">IF(AY183=1,IF(COUNTIFS($A$2:$A$201,$A183,$AY$2:$AY$201,1,$H$2:$H$201,"&gt;"&amp;H183)+COUNTIFS($A$2:$A$201,$A183,$AY$2:$AY$201,1,$H$2:$H$201,H183,$AX$2:$AX$201,"&gt;"&amp;AX183)=0,1,0),0)</f>
        <v>0</v>
      </c>
      <c r="BB183" s="23" t="n">
        <f aca="false">IF(AND(AY183=1,O183="Y",MAX(N(R183),N(V183))&gt;=Config!$B$14),1,0)</f>
        <v>0</v>
      </c>
      <c r="BC183" s="23" t="n">
        <f aca="false">IF(BB183=1,IF(COUNTIFS($AW$2:$AW$201,AW183,$BB$2:$BB$201,1,$H$2:$H$201,"&lt;"&amp;H183)+COUNTIFS($AW$2:$AW$201,AW183,$BB$2:$BB$201,1,$H$2:$H$201,H183,$AX$2:$AX$201,"&lt;"&amp;AX183)=0,1,0),0)</f>
        <v>0</v>
      </c>
      <c r="BD183" s="23" t="n">
        <f aca="false">IF(AND(AY183=1,O183="Y",ISNUMBER(R183)),IF(R183&gt;=Config!$B$14,1,0),0)</f>
        <v>0</v>
      </c>
      <c r="BE183" s="23" t="n">
        <f aca="false">IF(BD183=1,IF(COUNTIFS($AW$2:$AW$201,AW183,$BD$2:$BD$201,1,$H$2:$H$201,"&lt;"&amp;H183)+COUNTIFS($AW$2:$AW$201,AW183,$BD$2:$BD$201,1,$H$2:$H$201,H183,$AX$2:$AX$201,"&lt;"&amp;AX183)=0,1,0),0)</f>
        <v>0</v>
      </c>
      <c r="BF183" s="23" t="n">
        <f aca="false">IF(AND(AY183=1,O183&lt;&gt;"Y",MAX(N(R183),N(V183))&gt;=Config!$B$14),1,0)</f>
        <v>0</v>
      </c>
      <c r="BG183" s="23" t="n">
        <f aca="false">IF(BF183=1,IF(COUNTIFS($AW$2:$AW$201,AW183,$BF$2:$BF$201,1,$H$2:$H$201,"&lt;"&amp;H183)+COUNTIFS($AW$2:$AW$201,AW183,$BF$2:$BF$201,1,$H$2:$H$201,H183,$AX$2:$AX$201,"&lt;"&amp;AX183)=0,1,0),0)</f>
        <v>0</v>
      </c>
      <c r="BH183" s="23" t="n">
        <f aca="false">IF(AND(AY183=1,ISNUMBER(R183)),1,0)</f>
        <v>0</v>
      </c>
      <c r="BI183" s="23" t="n">
        <f aca="false">IF(BH183=1,IF(COUNTIFS($AW$2:$AW$201,AW183,$BH$2:$BH$201,1,$H$2:$H$201,"&lt;"&amp;H183)+COUNTIFS($AW$2:$AW$201,AW183,$BH$2:$BH$201,1,$H$2:$H$201,H183,$AX$2:$AX$201,"&lt;"&amp;AX183)=0,1,0),0)</f>
        <v>0</v>
      </c>
      <c r="BJ183" s="23" t="str">
        <f aca="false">IF(AND(BI183=1,INT(N(H183))&lt;=Config!$B$6),R183,"")</f>
        <v/>
      </c>
      <c r="BK183" s="23" t="str">
        <f aca="false">IF(AND(BI183=1,INT(N(H183))&lt;=Config!$B$7),R183,"")</f>
        <v/>
      </c>
      <c r="BL183" s="23" t="str">
        <f aca="false">IF(AND(BI183=1,INT(N(H183))&lt;=Config!$B$8),R183,"")</f>
        <v/>
      </c>
      <c r="BM183" s="23" t="str">
        <f aca="false">IF(AND(BI183=1,INT(N(H183))&lt;=Config!$B$5),R183,"")</f>
        <v/>
      </c>
      <c r="BN183" s="23" t="n">
        <f aca="false">IF(AND(AY183=1,ISNUMBER(V183)),1,0)</f>
        <v>0</v>
      </c>
      <c r="BO183" s="23" t="n">
        <f aca="false">IF(BN183=1,IF(COUNTIFS($AW$2:$AW$201,AW183,$BN$2:$BN$201,1,$H$2:$H$201,"&lt;"&amp;H183)+COUNTIFS($AW$2:$AW$201,AW183,$BN$2:$BN$201,1,$H$2:$H$201,H183,$AX$2:$AX$201,"&lt;"&amp;AX183)=0,1,0),0)</f>
        <v>0</v>
      </c>
      <c r="BP183" s="23" t="str">
        <f aca="false">IF(AND(BO183=1,INT(N(H183))&lt;=Config!$B$6),V183,"")</f>
        <v/>
      </c>
      <c r="BQ183" s="23" t="str">
        <f aca="false">IF(AND(BO183=1,INT(N(H183))&lt;=Config!$B$7),V183,"")</f>
        <v/>
      </c>
      <c r="BR183" s="23" t="str">
        <f aca="false">IF(AND(BO183=1,INT(N(H183))&lt;=Config!$B$8),V183,"")</f>
        <v/>
      </c>
      <c r="BS183" s="23" t="str">
        <f aca="false">IF(AND(BO183=1,INT(N(H183))&lt;=Config!$B$5),V183,"")</f>
        <v/>
      </c>
      <c r="BT183" s="23" t="n">
        <f aca="false">IF(AND(AY183=1,ISNUMBER(K183)),1,0)</f>
        <v>0</v>
      </c>
      <c r="BU183" s="23" t="n">
        <f aca="false">IF(BT183=1,IF(COUNTIFS($AW$2:$AW$201,AW183,$BT$2:$BT$201,1,$H$2:$H$201,"&lt;"&amp;H183)+COUNTIFS($AW$2:$AW$201,AW183,$BT$2:$BT$201,1,$H$2:$H$201,H183,$AX$2:$AX$201,"&lt;"&amp;AX183)=0,1,0),0)</f>
        <v>0</v>
      </c>
      <c r="BV183" s="23" t="str">
        <f aca="false">IF(AND(BU183=1,INT(N(H183))&lt;=Config!$B$5),K183,"")</f>
        <v/>
      </c>
      <c r="BW183" s="23" t="n">
        <f aca="false">IF(AND(AY183=1,OR(AND(ISNUMBER(R183),TRIM(S183)=""),AND(ISNUMBER(V183),TRIM(W183)=""))),1,0)</f>
        <v>0</v>
      </c>
      <c r="BX183" s="23" t="str">
        <f aca="false">IF(AY183=1,AJ183&amp;"","")</f>
        <v/>
      </c>
      <c r="BY183" s="23" t="str">
        <f aca="false">IF(AY183=1,AK183&amp;"","")</f>
        <v/>
      </c>
      <c r="BZ183" s="23" t="str">
        <f aca="false">IF(AY183=1,AL183&amp;"","")</f>
        <v/>
      </c>
      <c r="CA183" s="23" t="str">
        <f aca="false">IF(AND(AY183=1,ISNUMBER(AS183),INT(N(H183))&lt;=Config!$B$5),AS183,"")</f>
        <v/>
      </c>
      <c r="CB183" s="23" t="str">
        <f aca="false">IF(AY183=1,IF(COUNTIFS($A$2:$A$201,$A183,$CU$2:$CU$201,1,$AN$2:$AN$201,"Y")&gt;0,"Y","N"),"")</f>
        <v/>
      </c>
      <c r="CC183" s="23" t="n">
        <f aca="false">IF(AND(AY183=1,AN183="Y"),IF(COUNTIFS($AW$2:$AW$201,AW183,$AN$2:$AN$201,"Y",$AY$2:$AY$201,1,$H$2:$H$201,"&lt;"&amp;H183)+COUNTIFS($AW$2:$AW$201,AW183,$AN$2:$AN$201,"Y",$AY$2:$AY$201,1,$H$2:$H$201,H183,$AX$2:$AX$201,"&lt;"&amp;AX183)=0,1,0),0)</f>
        <v>0</v>
      </c>
      <c r="CD183" s="23" t="n">
        <f aca="false">IF(AND(AY183=1,AB183="Y",AC183="Y",AD183="Y",AE183="Y",AF183="Y",AG183="Y",AI183="Y",TRIM(AH183)&lt;&gt;""),1,0)</f>
        <v>0</v>
      </c>
      <c r="CE183" s="23" t="n">
        <f aca="false">IF(CD183=1,IF(COUNTIFS($AW$2:$AW$201,AW183,$CD$2:$CD$201,1,$H$2:$H$201,"&lt;"&amp;H183)+COUNTIFS($AW$2:$AW$201,AW183,$CD$2:$CD$201,1,$H$2:$H$201,H183,$AX$2:$AX$201,"&lt;"&amp;AX183)=0,1,0),0)</f>
        <v>0</v>
      </c>
      <c r="CF183" s="23" t="n">
        <f aca="false">IF(AND(AY183=1,AO183="Y"),1,0)</f>
        <v>0</v>
      </c>
      <c r="CG183" s="23" t="n">
        <f aca="false">IF(CF183=1,IF(COUNTIFS($AW$2:$AW$201,AW183,$CF$2:$CF$201,1,$H$2:$H$201,"&lt;"&amp;H183)+COUNTIFS($AW$2:$AW$201,AW183,$CF$2:$CF$201,1,$H$2:$H$201,H183,$AX$2:$AX$201,"&lt;"&amp;AX183)=0,1,0),0)</f>
        <v>0</v>
      </c>
      <c r="CH183" s="23" t="n">
        <f aca="false">IF(AND(AY183=1,P183="Y"),1,0)</f>
        <v>0</v>
      </c>
      <c r="CI183" s="23" t="n">
        <f aca="false">IF(CH183=1,IF(COUNTIFS($AW$2:$AW$201,AW183,$CH$2:$CH$201,1,$H$2:$H$201,"&lt;"&amp;H183)+COUNTIFS($AW$2:$AW$201,AW183,$CH$2:$CH$201,1,$H$2:$H$201,H183,$AX$2:$AX$201,"&lt;"&amp;AX183)=0,1,0),0)</f>
        <v>0</v>
      </c>
      <c r="CJ183" s="23" t="str">
        <f aca="false">IF(AND(BU183=1,INT(N(H183))&lt;=Config!$B$5),L183,"")</f>
        <v/>
      </c>
      <c r="CK183" s="23" t="n">
        <f aca="false">IF(AND(AY183=1,AR183="Y"),1,0)</f>
        <v>0</v>
      </c>
      <c r="CL183" s="23" t="n">
        <f aca="false">IF(CK183=1,IF(COUNTIFS($AW$2:$AW$201,AW183,$CK$2:$CK$201,1,$H$2:$H$201,"&lt;"&amp;H183)+COUNTIFS($AW$2:$AW$201,AW183,$CK$2:$CK$201,1,$H$2:$H$201,H183,$AX$2:$AX$201,"&lt;"&amp;AX183)=0,1,0),0)</f>
        <v>0</v>
      </c>
      <c r="CM183" s="23" t="str">
        <f aca="false">IF(AY183=1,IFERROR(MATCH($A183,INDEX(Clay_Brands!$A$2:$FZ$601,0,Sync!$D$5),0),""),"")</f>
        <v/>
      </c>
      <c r="CN183" s="23" t="str">
        <f aca="false">IF(CM183="","",IFERROR(INDEX(Clay_Brands!$A$2:$FZ$601,CM183,Sync!$D$7)&amp;"",""))</f>
        <v/>
      </c>
      <c r="CO183" s="23" t="str">
        <f aca="false">IF(CN183="","",IFERROR(INDEX(Lists!$K$2:$K$15,MATCH(CN183,Lists!$J$2:$J$15,0)),""))</f>
        <v/>
      </c>
      <c r="CP183" s="23" t="str">
        <f aca="false">IF(CM183="","",IFERROR(INDEX(Clay_Brands!$A$2:$FZ$601,CM183,Sync!$D$17)&amp;"",""))</f>
        <v/>
      </c>
      <c r="CQ183" s="35" t="str">
        <f aca="false">IF(CM183="","",IFERROR(N(INDEX(Clay_Brands!$A$2:$FZ$601,CM183,Sync!$D$16)),0))</f>
        <v/>
      </c>
      <c r="CR183" s="23" t="n">
        <f aca="false">IF(AND(AY183=1,OR(O183="N",AND(OR(ISNUMBER(R183),ISNUMBER(V183)),MAX(N(R183),N(V183))&lt;Config!$B$14))),1,0)</f>
        <v>0</v>
      </c>
      <c r="CS183" s="23" t="n">
        <f aca="false">IF(OR(BB183=1,CR183=1),1,0)</f>
        <v>0</v>
      </c>
      <c r="CT183" s="23" t="n">
        <f aca="false">IF(AND(AY183=1,OR(AN183="Y",AN183="N",AN183="maybe")),1,0)</f>
        <v>0</v>
      </c>
      <c r="CU183" s="23" t="n">
        <f aca="false">IF(AND(CT183=1),IF(COUNTIFS($A$2:$A$201,$A183,$CT$2:$CT$201,1,$H$2:$H$201,"&gt;"&amp;H183)+COUNTIFS($A$2:$A$201,$A183,$CT$2:$CT$201,1,$H$2:$H$201,H183,$AX$2:$AX$201,"&gt;"&amp;AX183)=0,1,0),0)</f>
        <v>0</v>
      </c>
      <c r="CV183" s="23" t="n">
        <f aca="false">IF(AND(CS183=1,INT(N(H183))&lt;=Config!$B$6),IF(COUNTIFS($AW$2:$AW$201,AW183,$CS$2:$CS$201,1,$H$2:$H$201,"&gt;"&amp;H183,$H$2:$H$201,"&lt;"&amp;(Config!$B$6+1))+COUNTIFS($AW$2:$AW$201,AW183,$CS$2:$CS$201,1,$H$2:$H$201,H183,$AX$2:$AX$201,"&gt;"&amp;AX183)=0,1,0),0)</f>
        <v>0</v>
      </c>
      <c r="CW183" s="23" t="n">
        <f aca="false">IF(AND(CS183=1,INT(N(H183))&lt;=Config!$B$7),IF(COUNTIFS($AW$2:$AW$201,AW183,$CS$2:$CS$201,1,$H$2:$H$201,"&gt;"&amp;H183,$H$2:$H$201,"&lt;"&amp;(Config!$B$7+1))+COUNTIFS($AW$2:$AW$201,AW183,$CS$2:$CS$201,1,$H$2:$H$201,H183,$AX$2:$AX$201,"&gt;"&amp;AX183)=0,1,0),0)</f>
        <v>0</v>
      </c>
      <c r="CX183" s="23" t="n">
        <f aca="false">IF(AND(CS183=1,INT(N(H183))&lt;=Config!$B$8),IF(COUNTIFS($AW$2:$AW$201,AW183,$CS$2:$CS$201,1,$H$2:$H$201,"&gt;"&amp;H183,$H$2:$H$201,"&lt;"&amp;(Config!$B$8+1))+COUNTIFS($AW$2:$AW$201,AW183,$CS$2:$CS$201,1,$H$2:$H$201,H183,$AX$2:$AX$201,"&gt;"&amp;AX183)=0,1,0),0)</f>
        <v>0</v>
      </c>
      <c r="CY183" s="23" t="n">
        <f aca="false">IF(AND(CS183=1,INT(N(H183))&lt;=Config!$B$5),IF(COUNTIFS($AW$2:$AW$201,AW183,$CS$2:$CS$201,1,$H$2:$H$201,"&gt;"&amp;H183,$H$2:$H$201,"&lt;"&amp;(Config!$B$5+1))+COUNTIFS($AW$2:$AW$201,AW183,$CS$2:$CS$201,1,$H$2:$H$201,H183,$AX$2:$AX$201,"&gt;"&amp;AX183)=0,1,0),0)</f>
        <v>0</v>
      </c>
      <c r="CZ183" s="23" t="n">
        <f aca="false">IF(AY183=1,IF(COUNTIFS($AW$2:$AW$201,AW183,$CV$2:$CV$201,1,$BB$2:$BB$201,1)&gt;0,1,0),0)</f>
        <v>0</v>
      </c>
      <c r="DA183" s="23" t="n">
        <f aca="false">IF(AY183=1,IF(COUNTIFS($AW$2:$AW$201,AW183,$CW$2:$CW$201,1,$BB$2:$BB$201,1)&gt;0,1,0),0)</f>
        <v>0</v>
      </c>
      <c r="DB183" s="23" t="n">
        <f aca="false">IF(AY183=1,IF(COUNTIFS($AW$2:$AW$201,AW183,$CX$2:$CX$201,1,$BB$2:$BB$201,1)&gt;0,1,0),0)</f>
        <v>0</v>
      </c>
      <c r="DC183" s="23" t="n">
        <f aca="false">IF(AY183=1,IF(COUNTIFS($AW$2:$AW$201,AW183,$CY$2:$CY$201,1,$BB$2:$BB$201,1)&gt;0,1,0),0)</f>
        <v>0</v>
      </c>
      <c r="DD183" s="23" t="n">
        <f aca="false">IF(AND(BC183=1,INT(N(H183))&lt;=Config!$B$6,CZ183=1),1,0)</f>
        <v>0</v>
      </c>
      <c r="DE183" s="23" t="n">
        <f aca="false">IF(AND(BC183=1,INT(N(H183))&lt;=Config!$B$7,DA183=1),1,0)</f>
        <v>0</v>
      </c>
      <c r="DF183" s="23" t="n">
        <f aca="false">IF(AND(BC183=1,INT(N(H183))&lt;=Config!$B$8,DB183=1),1,0)</f>
        <v>0</v>
      </c>
      <c r="DG183" s="23" t="n">
        <f aca="false">IF(AND(BC183=1,INT(N(H183))&lt;=Config!$B$5,DC183=1),1,0)</f>
        <v>0</v>
      </c>
      <c r="DH183" s="23" t="n">
        <f aca="false">IF(AND(BE183=1,INT(N(H183))&lt;=Config!$B$6,CZ183=1),1,0)</f>
        <v>0</v>
      </c>
      <c r="DI183" s="23" t="n">
        <f aca="false">IF(AND(BE183=1,INT(N(H183))&lt;=Config!$B$7,DA183=1),1,0)</f>
        <v>0</v>
      </c>
      <c r="DJ183" s="23" t="n">
        <f aca="false">IF(AND(BE183=1,INT(N(H183))&lt;=Config!$B$8,DB183=1),1,0)</f>
        <v>0</v>
      </c>
      <c r="DK183" s="23" t="n">
        <f aca="false">IF(AND(BE183=1,INT(N(H183))&lt;=Config!$B$5,DC183=1),1,0)</f>
        <v>0</v>
      </c>
      <c r="DL183" s="23" t="n">
        <f aca="false">IF(AND(BC183=1,INT(N(H183))&lt;=Config!$B$6,CZ183=0),1,0)</f>
        <v>0</v>
      </c>
      <c r="DM183" s="23" t="n">
        <f aca="false">IF(AND(BC183=1,INT(N(H183))&lt;=Config!$B$7,DA183=0),1,0)</f>
        <v>0</v>
      </c>
      <c r="DN183" s="23" t="n">
        <f aca="false">IF(AND(BC183=1,INT(N(H183))&lt;=Config!$B$8,DB183=0),1,0)</f>
        <v>0</v>
      </c>
      <c r="DO183" s="23" t="n">
        <f aca="false">IF(AND(BC183=1,INT(N(H183))&lt;=Config!$B$5,DC183=0),1,0)</f>
        <v>0</v>
      </c>
      <c r="DP183" s="23" t="n">
        <f aca="false">IF(TRIM($A183)="",0,ISTEXT(K183)+ISTEXT(L183)+ISTEXT(R183)+ISTEXT(V183)+ISTEXT(AP183)+ISTEXT(AS183))</f>
        <v>0</v>
      </c>
      <c r="DQ183" s="23" t="n">
        <f aca="false">IF(AY183=1,IF(H183&lt;&gt;INT(H183),1,0),0)</f>
        <v>0</v>
      </c>
      <c r="DR183" s="23" t="str">
        <f aca="false">IF(TRIM($A183)="","",IF(TRIM(B183)="",SUBSTITUTE(SUBSTITUTE(SUBSTITUTE(SUBSTITUTE(SUBSTITUTE(SUBSTITUTE(LOWER(TRIM($A183)),"~",""),"*",""),"?",""),"&lt;",""),"&gt;",""),"=",""),SUBSTITUTE(SUBSTITUTE(SUBSTITUTE(SUBSTITUTE(SUBSTITUTE(SUBSTITUTE(LOWER(TRIM(B183)),"~",""),"*",""),"?",""),"&lt;",""),"&gt;",""),"=","")))</f>
        <v/>
      </c>
      <c r="DS183" s="23" t="str">
        <f aca="false">IF(CM183="","",IFERROR(IF(LEFT(LOWER(TRIM(INDEX(Clay_Brands!$A$2:$FZ$601,CM183,Sync!$D$19)&amp;"")),4)="grp-",SUBSTITUTE(SUBSTITUTE(SUBSTITUTE(SUBSTITUTE(SUBSTITUTE(SUBSTITUTE(LOWER(TRIM(INDEX(Clay_Brands!$A$2:$FZ$601,CM183,Sync!$D$19)&amp;"")),"~",""),"*",""),"?",""),"&lt;",""),"&gt;",""),"=",""),""),""))</f>
        <v/>
      </c>
      <c r="DT183" s="23" t="str">
        <f aca="false">IF(DS183&lt;&gt;"",DR183,"")</f>
        <v/>
      </c>
      <c r="DU183" s="23" t="str">
        <f aca="false">IF(AZ183=1,AW183,"")</f>
        <v/>
      </c>
      <c r="DV183" s="23" t="str">
        <f aca="false">IF(TRIM($A183)="","",IFERROR(INDEX($A$2:$A$201,MATCH(AW183,$DU$2:$DU$201,0))&amp;"",$A183&amp;""))</f>
        <v/>
      </c>
      <c r="DW183" s="23" t="n">
        <f aca="false">IF(AY183=1,IF(COUNTIFS($A$2:$A$201,$A183,$AY$2:$AY$201,1,$H$2:$H$201,"&lt;"&amp;H183)+COUNTIFS($A$2:$A$201,$A183,$AY$2:$AY$201,1,$H$2:$H$201,H183,$AX$2:$AX$201,"&lt;"&amp;AX183)=0,1,0),0)</f>
        <v>0</v>
      </c>
      <c r="DX183" s="23" t="n">
        <f aca="false">IF(AZ183=1,IF(COUNTIFS($AW$2:$AW$201,AW183,$DW$2:$DW$201,1)&gt;1,1,0),0)</f>
        <v>0</v>
      </c>
    </row>
    <row r="184" customFormat="false" ht="15" hidden="false" customHeight="false" outlineLevel="0" collapsed="false">
      <c r="G184" s="32"/>
      <c r="H184" s="33"/>
      <c r="I184" s="32"/>
      <c r="O184" s="32"/>
      <c r="P184" s="32"/>
      <c r="U184" s="32"/>
      <c r="Y184" s="32"/>
      <c r="AB184" s="32"/>
      <c r="AC184" s="32"/>
      <c r="AD184" s="32"/>
      <c r="AE184" s="32"/>
      <c r="AF184" s="32"/>
      <c r="AG184" s="32"/>
      <c r="AI184" s="32"/>
      <c r="AJ184" s="32"/>
      <c r="AK184" s="32"/>
      <c r="AN184" s="32"/>
      <c r="AO184" s="32"/>
      <c r="AR184" s="32"/>
      <c r="AT184" s="32"/>
      <c r="AV184" s="34" t="str">
        <f aca="false">IF(TRIM($A184)="","",IF(AND(LEFT($A184,6)="SAMPLE",Config!$B$19&lt;&gt;"Y"),"",IF(NOT(ISNUMBER(H184)),"call_date is blank or not a date",IF(Sync!$D$5="","Clay paste is empty or has no row_id column: paste the Clay export on Clay_Brands",IF(CM184="","row_id not found in the Clay paste: add the Clay row or fix the row_id",IF(AND(ISNUMBER(CO184),CO184&gt;=1,CO184&lt;=5),"Clay status is "&amp;CN184&amp;": set call_done or later",IF(AND(BA184=1,CP184&lt;&gt;CB184),"Clay yes_in_principle should be "&amp;CB184,IF(AND(BA184=1,CQ184&lt;&gt;H184),"Clay call_date should be "&amp;TEXT(H184,"yyyy-mm-dd"),""))))))))</f>
        <v/>
      </c>
      <c r="AW184" s="23" t="str">
        <f aca="false">IF(TRIM($A184)="","",IF(TRIM(C184)&lt;&gt;"",SUBSTITUTE(SUBSTITUTE(SUBSTITUTE(SUBSTITUTE(SUBSTITUTE(SUBSTITUTE(LOWER(TRIM(C184)),"~",""),"*",""),"?",""),"&lt;",""),"&gt;",""),"=",""),IF(DS184&lt;&gt;"",DS184,IFERROR(INDEX($DS$2:$DS$201,MATCH(DR184,$DT$2:$DT$201,0)),DR184))))</f>
        <v/>
      </c>
      <c r="AX184" s="23" t="n">
        <f aca="false">ROW()</f>
        <v>184</v>
      </c>
      <c r="AY184" s="23" t="n">
        <f aca="false">IF(AND(TRIM($A184)&lt;&gt;"",ISNUMBER(H184)),IF(AND(LEFT($A184,6)="SAMPLE",Config!$B$19&lt;&gt;"Y"),0,1),0)</f>
        <v>0</v>
      </c>
      <c r="AZ184" s="23" t="n">
        <f aca="false">IF(AY184=1,IF(COUNTIFS($AW$2:$AW$201,AW184,$AY$2:$AY$201,1,$H$2:$H$201,"&lt;"&amp;H184)+COUNTIFS($AW$2:$AW$201,AW184,$AY$2:$AY$201,1,$H$2:$H$201,H184,$AX$2:$AX$201,"&lt;"&amp;AX184)=0,1,0),0)</f>
        <v>0</v>
      </c>
      <c r="BA184" s="23" t="n">
        <f aca="false">IF(AY184=1,IF(COUNTIFS($A$2:$A$201,$A184,$AY$2:$AY$201,1,$H$2:$H$201,"&gt;"&amp;H184)+COUNTIFS($A$2:$A$201,$A184,$AY$2:$AY$201,1,$H$2:$H$201,H184,$AX$2:$AX$201,"&gt;"&amp;AX184)=0,1,0),0)</f>
        <v>0</v>
      </c>
      <c r="BB184" s="23" t="n">
        <f aca="false">IF(AND(AY184=1,O184="Y",MAX(N(R184),N(V184))&gt;=Config!$B$14),1,0)</f>
        <v>0</v>
      </c>
      <c r="BC184" s="23" t="n">
        <f aca="false">IF(BB184=1,IF(COUNTIFS($AW$2:$AW$201,AW184,$BB$2:$BB$201,1,$H$2:$H$201,"&lt;"&amp;H184)+COUNTIFS($AW$2:$AW$201,AW184,$BB$2:$BB$201,1,$H$2:$H$201,H184,$AX$2:$AX$201,"&lt;"&amp;AX184)=0,1,0),0)</f>
        <v>0</v>
      </c>
      <c r="BD184" s="23" t="n">
        <f aca="false">IF(AND(AY184=1,O184="Y",ISNUMBER(R184)),IF(R184&gt;=Config!$B$14,1,0),0)</f>
        <v>0</v>
      </c>
      <c r="BE184" s="23" t="n">
        <f aca="false">IF(BD184=1,IF(COUNTIFS($AW$2:$AW$201,AW184,$BD$2:$BD$201,1,$H$2:$H$201,"&lt;"&amp;H184)+COUNTIFS($AW$2:$AW$201,AW184,$BD$2:$BD$201,1,$H$2:$H$201,H184,$AX$2:$AX$201,"&lt;"&amp;AX184)=0,1,0),0)</f>
        <v>0</v>
      </c>
      <c r="BF184" s="23" t="n">
        <f aca="false">IF(AND(AY184=1,O184&lt;&gt;"Y",MAX(N(R184),N(V184))&gt;=Config!$B$14),1,0)</f>
        <v>0</v>
      </c>
      <c r="BG184" s="23" t="n">
        <f aca="false">IF(BF184=1,IF(COUNTIFS($AW$2:$AW$201,AW184,$BF$2:$BF$201,1,$H$2:$H$201,"&lt;"&amp;H184)+COUNTIFS($AW$2:$AW$201,AW184,$BF$2:$BF$201,1,$H$2:$H$201,H184,$AX$2:$AX$201,"&lt;"&amp;AX184)=0,1,0),0)</f>
        <v>0</v>
      </c>
      <c r="BH184" s="23" t="n">
        <f aca="false">IF(AND(AY184=1,ISNUMBER(R184)),1,0)</f>
        <v>0</v>
      </c>
      <c r="BI184" s="23" t="n">
        <f aca="false">IF(BH184=1,IF(COUNTIFS($AW$2:$AW$201,AW184,$BH$2:$BH$201,1,$H$2:$H$201,"&lt;"&amp;H184)+COUNTIFS($AW$2:$AW$201,AW184,$BH$2:$BH$201,1,$H$2:$H$201,H184,$AX$2:$AX$201,"&lt;"&amp;AX184)=0,1,0),0)</f>
        <v>0</v>
      </c>
      <c r="BJ184" s="23" t="str">
        <f aca="false">IF(AND(BI184=1,INT(N(H184))&lt;=Config!$B$6),R184,"")</f>
        <v/>
      </c>
      <c r="BK184" s="23" t="str">
        <f aca="false">IF(AND(BI184=1,INT(N(H184))&lt;=Config!$B$7),R184,"")</f>
        <v/>
      </c>
      <c r="BL184" s="23" t="str">
        <f aca="false">IF(AND(BI184=1,INT(N(H184))&lt;=Config!$B$8),R184,"")</f>
        <v/>
      </c>
      <c r="BM184" s="23" t="str">
        <f aca="false">IF(AND(BI184=1,INT(N(H184))&lt;=Config!$B$5),R184,"")</f>
        <v/>
      </c>
      <c r="BN184" s="23" t="n">
        <f aca="false">IF(AND(AY184=1,ISNUMBER(V184)),1,0)</f>
        <v>0</v>
      </c>
      <c r="BO184" s="23" t="n">
        <f aca="false">IF(BN184=1,IF(COUNTIFS($AW$2:$AW$201,AW184,$BN$2:$BN$201,1,$H$2:$H$201,"&lt;"&amp;H184)+COUNTIFS($AW$2:$AW$201,AW184,$BN$2:$BN$201,1,$H$2:$H$201,H184,$AX$2:$AX$201,"&lt;"&amp;AX184)=0,1,0),0)</f>
        <v>0</v>
      </c>
      <c r="BP184" s="23" t="str">
        <f aca="false">IF(AND(BO184=1,INT(N(H184))&lt;=Config!$B$6),V184,"")</f>
        <v/>
      </c>
      <c r="BQ184" s="23" t="str">
        <f aca="false">IF(AND(BO184=1,INT(N(H184))&lt;=Config!$B$7),V184,"")</f>
        <v/>
      </c>
      <c r="BR184" s="23" t="str">
        <f aca="false">IF(AND(BO184=1,INT(N(H184))&lt;=Config!$B$8),V184,"")</f>
        <v/>
      </c>
      <c r="BS184" s="23" t="str">
        <f aca="false">IF(AND(BO184=1,INT(N(H184))&lt;=Config!$B$5),V184,"")</f>
        <v/>
      </c>
      <c r="BT184" s="23" t="n">
        <f aca="false">IF(AND(AY184=1,ISNUMBER(K184)),1,0)</f>
        <v>0</v>
      </c>
      <c r="BU184" s="23" t="n">
        <f aca="false">IF(BT184=1,IF(COUNTIFS($AW$2:$AW$201,AW184,$BT$2:$BT$201,1,$H$2:$H$201,"&lt;"&amp;H184)+COUNTIFS($AW$2:$AW$201,AW184,$BT$2:$BT$201,1,$H$2:$H$201,H184,$AX$2:$AX$201,"&lt;"&amp;AX184)=0,1,0),0)</f>
        <v>0</v>
      </c>
      <c r="BV184" s="23" t="str">
        <f aca="false">IF(AND(BU184=1,INT(N(H184))&lt;=Config!$B$5),K184,"")</f>
        <v/>
      </c>
      <c r="BW184" s="23" t="n">
        <f aca="false">IF(AND(AY184=1,OR(AND(ISNUMBER(R184),TRIM(S184)=""),AND(ISNUMBER(V184),TRIM(W184)=""))),1,0)</f>
        <v>0</v>
      </c>
      <c r="BX184" s="23" t="str">
        <f aca="false">IF(AY184=1,AJ184&amp;"","")</f>
        <v/>
      </c>
      <c r="BY184" s="23" t="str">
        <f aca="false">IF(AY184=1,AK184&amp;"","")</f>
        <v/>
      </c>
      <c r="BZ184" s="23" t="str">
        <f aca="false">IF(AY184=1,AL184&amp;"","")</f>
        <v/>
      </c>
      <c r="CA184" s="23" t="str">
        <f aca="false">IF(AND(AY184=1,ISNUMBER(AS184),INT(N(H184))&lt;=Config!$B$5),AS184,"")</f>
        <v/>
      </c>
      <c r="CB184" s="23" t="str">
        <f aca="false">IF(AY184=1,IF(COUNTIFS($A$2:$A$201,$A184,$CU$2:$CU$201,1,$AN$2:$AN$201,"Y")&gt;0,"Y","N"),"")</f>
        <v/>
      </c>
      <c r="CC184" s="23" t="n">
        <f aca="false">IF(AND(AY184=1,AN184="Y"),IF(COUNTIFS($AW$2:$AW$201,AW184,$AN$2:$AN$201,"Y",$AY$2:$AY$201,1,$H$2:$H$201,"&lt;"&amp;H184)+COUNTIFS($AW$2:$AW$201,AW184,$AN$2:$AN$201,"Y",$AY$2:$AY$201,1,$H$2:$H$201,H184,$AX$2:$AX$201,"&lt;"&amp;AX184)=0,1,0),0)</f>
        <v>0</v>
      </c>
      <c r="CD184" s="23" t="n">
        <f aca="false">IF(AND(AY184=1,AB184="Y",AC184="Y",AD184="Y",AE184="Y",AF184="Y",AG184="Y",AI184="Y",TRIM(AH184)&lt;&gt;""),1,0)</f>
        <v>0</v>
      </c>
      <c r="CE184" s="23" t="n">
        <f aca="false">IF(CD184=1,IF(COUNTIFS($AW$2:$AW$201,AW184,$CD$2:$CD$201,1,$H$2:$H$201,"&lt;"&amp;H184)+COUNTIFS($AW$2:$AW$201,AW184,$CD$2:$CD$201,1,$H$2:$H$201,H184,$AX$2:$AX$201,"&lt;"&amp;AX184)=0,1,0),0)</f>
        <v>0</v>
      </c>
      <c r="CF184" s="23" t="n">
        <f aca="false">IF(AND(AY184=1,AO184="Y"),1,0)</f>
        <v>0</v>
      </c>
      <c r="CG184" s="23" t="n">
        <f aca="false">IF(CF184=1,IF(COUNTIFS($AW$2:$AW$201,AW184,$CF$2:$CF$201,1,$H$2:$H$201,"&lt;"&amp;H184)+COUNTIFS($AW$2:$AW$201,AW184,$CF$2:$CF$201,1,$H$2:$H$201,H184,$AX$2:$AX$201,"&lt;"&amp;AX184)=0,1,0),0)</f>
        <v>0</v>
      </c>
      <c r="CH184" s="23" t="n">
        <f aca="false">IF(AND(AY184=1,P184="Y"),1,0)</f>
        <v>0</v>
      </c>
      <c r="CI184" s="23" t="n">
        <f aca="false">IF(CH184=1,IF(COUNTIFS($AW$2:$AW$201,AW184,$CH$2:$CH$201,1,$H$2:$H$201,"&lt;"&amp;H184)+COUNTIFS($AW$2:$AW$201,AW184,$CH$2:$CH$201,1,$H$2:$H$201,H184,$AX$2:$AX$201,"&lt;"&amp;AX184)=0,1,0),0)</f>
        <v>0</v>
      </c>
      <c r="CJ184" s="23" t="str">
        <f aca="false">IF(AND(BU184=1,INT(N(H184))&lt;=Config!$B$5),L184,"")</f>
        <v/>
      </c>
      <c r="CK184" s="23" t="n">
        <f aca="false">IF(AND(AY184=1,AR184="Y"),1,0)</f>
        <v>0</v>
      </c>
      <c r="CL184" s="23" t="n">
        <f aca="false">IF(CK184=1,IF(COUNTIFS($AW$2:$AW$201,AW184,$CK$2:$CK$201,1,$H$2:$H$201,"&lt;"&amp;H184)+COUNTIFS($AW$2:$AW$201,AW184,$CK$2:$CK$201,1,$H$2:$H$201,H184,$AX$2:$AX$201,"&lt;"&amp;AX184)=0,1,0),0)</f>
        <v>0</v>
      </c>
      <c r="CM184" s="23" t="str">
        <f aca="false">IF(AY184=1,IFERROR(MATCH($A184,INDEX(Clay_Brands!$A$2:$FZ$601,0,Sync!$D$5),0),""),"")</f>
        <v/>
      </c>
      <c r="CN184" s="23" t="str">
        <f aca="false">IF(CM184="","",IFERROR(INDEX(Clay_Brands!$A$2:$FZ$601,CM184,Sync!$D$7)&amp;"",""))</f>
        <v/>
      </c>
      <c r="CO184" s="23" t="str">
        <f aca="false">IF(CN184="","",IFERROR(INDEX(Lists!$K$2:$K$15,MATCH(CN184,Lists!$J$2:$J$15,0)),""))</f>
        <v/>
      </c>
      <c r="CP184" s="23" t="str">
        <f aca="false">IF(CM184="","",IFERROR(INDEX(Clay_Brands!$A$2:$FZ$601,CM184,Sync!$D$17)&amp;"",""))</f>
        <v/>
      </c>
      <c r="CQ184" s="35" t="str">
        <f aca="false">IF(CM184="","",IFERROR(N(INDEX(Clay_Brands!$A$2:$FZ$601,CM184,Sync!$D$16)),0))</f>
        <v/>
      </c>
      <c r="CR184" s="23" t="n">
        <f aca="false">IF(AND(AY184=1,OR(O184="N",AND(OR(ISNUMBER(R184),ISNUMBER(V184)),MAX(N(R184),N(V184))&lt;Config!$B$14))),1,0)</f>
        <v>0</v>
      </c>
      <c r="CS184" s="23" t="n">
        <f aca="false">IF(OR(BB184=1,CR184=1),1,0)</f>
        <v>0</v>
      </c>
      <c r="CT184" s="23" t="n">
        <f aca="false">IF(AND(AY184=1,OR(AN184="Y",AN184="N",AN184="maybe")),1,0)</f>
        <v>0</v>
      </c>
      <c r="CU184" s="23" t="n">
        <f aca="false">IF(AND(CT184=1),IF(COUNTIFS($A$2:$A$201,$A184,$CT$2:$CT$201,1,$H$2:$H$201,"&gt;"&amp;H184)+COUNTIFS($A$2:$A$201,$A184,$CT$2:$CT$201,1,$H$2:$H$201,H184,$AX$2:$AX$201,"&gt;"&amp;AX184)=0,1,0),0)</f>
        <v>0</v>
      </c>
      <c r="CV184" s="23" t="n">
        <f aca="false">IF(AND(CS184=1,INT(N(H184))&lt;=Config!$B$6),IF(COUNTIFS($AW$2:$AW$201,AW184,$CS$2:$CS$201,1,$H$2:$H$201,"&gt;"&amp;H184,$H$2:$H$201,"&lt;"&amp;(Config!$B$6+1))+COUNTIFS($AW$2:$AW$201,AW184,$CS$2:$CS$201,1,$H$2:$H$201,H184,$AX$2:$AX$201,"&gt;"&amp;AX184)=0,1,0),0)</f>
        <v>0</v>
      </c>
      <c r="CW184" s="23" t="n">
        <f aca="false">IF(AND(CS184=1,INT(N(H184))&lt;=Config!$B$7),IF(COUNTIFS($AW$2:$AW$201,AW184,$CS$2:$CS$201,1,$H$2:$H$201,"&gt;"&amp;H184,$H$2:$H$201,"&lt;"&amp;(Config!$B$7+1))+COUNTIFS($AW$2:$AW$201,AW184,$CS$2:$CS$201,1,$H$2:$H$201,H184,$AX$2:$AX$201,"&gt;"&amp;AX184)=0,1,0),0)</f>
        <v>0</v>
      </c>
      <c r="CX184" s="23" t="n">
        <f aca="false">IF(AND(CS184=1,INT(N(H184))&lt;=Config!$B$8),IF(COUNTIFS($AW$2:$AW$201,AW184,$CS$2:$CS$201,1,$H$2:$H$201,"&gt;"&amp;H184,$H$2:$H$201,"&lt;"&amp;(Config!$B$8+1))+COUNTIFS($AW$2:$AW$201,AW184,$CS$2:$CS$201,1,$H$2:$H$201,H184,$AX$2:$AX$201,"&gt;"&amp;AX184)=0,1,0),0)</f>
        <v>0</v>
      </c>
      <c r="CY184" s="23" t="n">
        <f aca="false">IF(AND(CS184=1,INT(N(H184))&lt;=Config!$B$5),IF(COUNTIFS($AW$2:$AW$201,AW184,$CS$2:$CS$201,1,$H$2:$H$201,"&gt;"&amp;H184,$H$2:$H$201,"&lt;"&amp;(Config!$B$5+1))+COUNTIFS($AW$2:$AW$201,AW184,$CS$2:$CS$201,1,$H$2:$H$201,H184,$AX$2:$AX$201,"&gt;"&amp;AX184)=0,1,0),0)</f>
        <v>0</v>
      </c>
      <c r="CZ184" s="23" t="n">
        <f aca="false">IF(AY184=1,IF(COUNTIFS($AW$2:$AW$201,AW184,$CV$2:$CV$201,1,$BB$2:$BB$201,1)&gt;0,1,0),0)</f>
        <v>0</v>
      </c>
      <c r="DA184" s="23" t="n">
        <f aca="false">IF(AY184=1,IF(COUNTIFS($AW$2:$AW$201,AW184,$CW$2:$CW$201,1,$BB$2:$BB$201,1)&gt;0,1,0),0)</f>
        <v>0</v>
      </c>
      <c r="DB184" s="23" t="n">
        <f aca="false">IF(AY184=1,IF(COUNTIFS($AW$2:$AW$201,AW184,$CX$2:$CX$201,1,$BB$2:$BB$201,1)&gt;0,1,0),0)</f>
        <v>0</v>
      </c>
      <c r="DC184" s="23" t="n">
        <f aca="false">IF(AY184=1,IF(COUNTIFS($AW$2:$AW$201,AW184,$CY$2:$CY$201,1,$BB$2:$BB$201,1)&gt;0,1,0),0)</f>
        <v>0</v>
      </c>
      <c r="DD184" s="23" t="n">
        <f aca="false">IF(AND(BC184=1,INT(N(H184))&lt;=Config!$B$6,CZ184=1),1,0)</f>
        <v>0</v>
      </c>
      <c r="DE184" s="23" t="n">
        <f aca="false">IF(AND(BC184=1,INT(N(H184))&lt;=Config!$B$7,DA184=1),1,0)</f>
        <v>0</v>
      </c>
      <c r="DF184" s="23" t="n">
        <f aca="false">IF(AND(BC184=1,INT(N(H184))&lt;=Config!$B$8,DB184=1),1,0)</f>
        <v>0</v>
      </c>
      <c r="DG184" s="23" t="n">
        <f aca="false">IF(AND(BC184=1,INT(N(H184))&lt;=Config!$B$5,DC184=1),1,0)</f>
        <v>0</v>
      </c>
      <c r="DH184" s="23" t="n">
        <f aca="false">IF(AND(BE184=1,INT(N(H184))&lt;=Config!$B$6,CZ184=1),1,0)</f>
        <v>0</v>
      </c>
      <c r="DI184" s="23" t="n">
        <f aca="false">IF(AND(BE184=1,INT(N(H184))&lt;=Config!$B$7,DA184=1),1,0)</f>
        <v>0</v>
      </c>
      <c r="DJ184" s="23" t="n">
        <f aca="false">IF(AND(BE184=1,INT(N(H184))&lt;=Config!$B$8,DB184=1),1,0)</f>
        <v>0</v>
      </c>
      <c r="DK184" s="23" t="n">
        <f aca="false">IF(AND(BE184=1,INT(N(H184))&lt;=Config!$B$5,DC184=1),1,0)</f>
        <v>0</v>
      </c>
      <c r="DL184" s="23" t="n">
        <f aca="false">IF(AND(BC184=1,INT(N(H184))&lt;=Config!$B$6,CZ184=0),1,0)</f>
        <v>0</v>
      </c>
      <c r="DM184" s="23" t="n">
        <f aca="false">IF(AND(BC184=1,INT(N(H184))&lt;=Config!$B$7,DA184=0),1,0)</f>
        <v>0</v>
      </c>
      <c r="DN184" s="23" t="n">
        <f aca="false">IF(AND(BC184=1,INT(N(H184))&lt;=Config!$B$8,DB184=0),1,0)</f>
        <v>0</v>
      </c>
      <c r="DO184" s="23" t="n">
        <f aca="false">IF(AND(BC184=1,INT(N(H184))&lt;=Config!$B$5,DC184=0),1,0)</f>
        <v>0</v>
      </c>
      <c r="DP184" s="23" t="n">
        <f aca="false">IF(TRIM($A184)="",0,ISTEXT(K184)+ISTEXT(L184)+ISTEXT(R184)+ISTEXT(V184)+ISTEXT(AP184)+ISTEXT(AS184))</f>
        <v>0</v>
      </c>
      <c r="DQ184" s="23" t="n">
        <f aca="false">IF(AY184=1,IF(H184&lt;&gt;INT(H184),1,0),0)</f>
        <v>0</v>
      </c>
      <c r="DR184" s="23" t="str">
        <f aca="false">IF(TRIM($A184)="","",IF(TRIM(B184)="",SUBSTITUTE(SUBSTITUTE(SUBSTITUTE(SUBSTITUTE(SUBSTITUTE(SUBSTITUTE(LOWER(TRIM($A184)),"~",""),"*",""),"?",""),"&lt;",""),"&gt;",""),"=",""),SUBSTITUTE(SUBSTITUTE(SUBSTITUTE(SUBSTITUTE(SUBSTITUTE(SUBSTITUTE(LOWER(TRIM(B184)),"~",""),"*",""),"?",""),"&lt;",""),"&gt;",""),"=","")))</f>
        <v/>
      </c>
      <c r="DS184" s="23" t="str">
        <f aca="false">IF(CM184="","",IFERROR(IF(LEFT(LOWER(TRIM(INDEX(Clay_Brands!$A$2:$FZ$601,CM184,Sync!$D$19)&amp;"")),4)="grp-",SUBSTITUTE(SUBSTITUTE(SUBSTITUTE(SUBSTITUTE(SUBSTITUTE(SUBSTITUTE(LOWER(TRIM(INDEX(Clay_Brands!$A$2:$FZ$601,CM184,Sync!$D$19)&amp;"")),"~",""),"*",""),"?",""),"&lt;",""),"&gt;",""),"=",""),""),""))</f>
        <v/>
      </c>
      <c r="DT184" s="23" t="str">
        <f aca="false">IF(DS184&lt;&gt;"",DR184,"")</f>
        <v/>
      </c>
      <c r="DU184" s="23" t="str">
        <f aca="false">IF(AZ184=1,AW184,"")</f>
        <v/>
      </c>
      <c r="DV184" s="23" t="str">
        <f aca="false">IF(TRIM($A184)="","",IFERROR(INDEX($A$2:$A$201,MATCH(AW184,$DU$2:$DU$201,0))&amp;"",$A184&amp;""))</f>
        <v/>
      </c>
      <c r="DW184" s="23" t="n">
        <f aca="false">IF(AY184=1,IF(COUNTIFS($A$2:$A$201,$A184,$AY$2:$AY$201,1,$H$2:$H$201,"&lt;"&amp;H184)+COUNTIFS($A$2:$A$201,$A184,$AY$2:$AY$201,1,$H$2:$H$201,H184,$AX$2:$AX$201,"&lt;"&amp;AX184)=0,1,0),0)</f>
        <v>0</v>
      </c>
      <c r="DX184" s="23" t="n">
        <f aca="false">IF(AZ184=1,IF(COUNTIFS($AW$2:$AW$201,AW184,$DW$2:$DW$201,1)&gt;1,1,0),0)</f>
        <v>0</v>
      </c>
    </row>
    <row r="185" customFormat="false" ht="15" hidden="false" customHeight="false" outlineLevel="0" collapsed="false">
      <c r="G185" s="32"/>
      <c r="H185" s="33"/>
      <c r="I185" s="32"/>
      <c r="O185" s="32"/>
      <c r="P185" s="32"/>
      <c r="U185" s="32"/>
      <c r="Y185" s="32"/>
      <c r="AB185" s="32"/>
      <c r="AC185" s="32"/>
      <c r="AD185" s="32"/>
      <c r="AE185" s="32"/>
      <c r="AF185" s="32"/>
      <c r="AG185" s="32"/>
      <c r="AI185" s="32"/>
      <c r="AJ185" s="32"/>
      <c r="AK185" s="32"/>
      <c r="AN185" s="32"/>
      <c r="AO185" s="32"/>
      <c r="AR185" s="32"/>
      <c r="AT185" s="32"/>
      <c r="AV185" s="34" t="str">
        <f aca="false">IF(TRIM($A185)="","",IF(AND(LEFT($A185,6)="SAMPLE",Config!$B$19&lt;&gt;"Y"),"",IF(NOT(ISNUMBER(H185)),"call_date is blank or not a date",IF(Sync!$D$5="","Clay paste is empty or has no row_id column: paste the Clay export on Clay_Brands",IF(CM185="","row_id not found in the Clay paste: add the Clay row or fix the row_id",IF(AND(ISNUMBER(CO185),CO185&gt;=1,CO185&lt;=5),"Clay status is "&amp;CN185&amp;": set call_done or later",IF(AND(BA185=1,CP185&lt;&gt;CB185),"Clay yes_in_principle should be "&amp;CB185,IF(AND(BA185=1,CQ185&lt;&gt;H185),"Clay call_date should be "&amp;TEXT(H185,"yyyy-mm-dd"),""))))))))</f>
        <v/>
      </c>
      <c r="AW185" s="23" t="str">
        <f aca="false">IF(TRIM($A185)="","",IF(TRIM(C185)&lt;&gt;"",SUBSTITUTE(SUBSTITUTE(SUBSTITUTE(SUBSTITUTE(SUBSTITUTE(SUBSTITUTE(LOWER(TRIM(C185)),"~",""),"*",""),"?",""),"&lt;",""),"&gt;",""),"=",""),IF(DS185&lt;&gt;"",DS185,IFERROR(INDEX($DS$2:$DS$201,MATCH(DR185,$DT$2:$DT$201,0)),DR185))))</f>
        <v/>
      </c>
      <c r="AX185" s="23" t="n">
        <f aca="false">ROW()</f>
        <v>185</v>
      </c>
      <c r="AY185" s="23" t="n">
        <f aca="false">IF(AND(TRIM($A185)&lt;&gt;"",ISNUMBER(H185)),IF(AND(LEFT($A185,6)="SAMPLE",Config!$B$19&lt;&gt;"Y"),0,1),0)</f>
        <v>0</v>
      </c>
      <c r="AZ185" s="23" t="n">
        <f aca="false">IF(AY185=1,IF(COUNTIFS($AW$2:$AW$201,AW185,$AY$2:$AY$201,1,$H$2:$H$201,"&lt;"&amp;H185)+COUNTIFS($AW$2:$AW$201,AW185,$AY$2:$AY$201,1,$H$2:$H$201,H185,$AX$2:$AX$201,"&lt;"&amp;AX185)=0,1,0),0)</f>
        <v>0</v>
      </c>
      <c r="BA185" s="23" t="n">
        <f aca="false">IF(AY185=1,IF(COUNTIFS($A$2:$A$201,$A185,$AY$2:$AY$201,1,$H$2:$H$201,"&gt;"&amp;H185)+COUNTIFS($A$2:$A$201,$A185,$AY$2:$AY$201,1,$H$2:$H$201,H185,$AX$2:$AX$201,"&gt;"&amp;AX185)=0,1,0),0)</f>
        <v>0</v>
      </c>
      <c r="BB185" s="23" t="n">
        <f aca="false">IF(AND(AY185=1,O185="Y",MAX(N(R185),N(V185))&gt;=Config!$B$14),1,0)</f>
        <v>0</v>
      </c>
      <c r="BC185" s="23" t="n">
        <f aca="false">IF(BB185=1,IF(COUNTIFS($AW$2:$AW$201,AW185,$BB$2:$BB$201,1,$H$2:$H$201,"&lt;"&amp;H185)+COUNTIFS($AW$2:$AW$201,AW185,$BB$2:$BB$201,1,$H$2:$H$201,H185,$AX$2:$AX$201,"&lt;"&amp;AX185)=0,1,0),0)</f>
        <v>0</v>
      </c>
      <c r="BD185" s="23" t="n">
        <f aca="false">IF(AND(AY185=1,O185="Y",ISNUMBER(R185)),IF(R185&gt;=Config!$B$14,1,0),0)</f>
        <v>0</v>
      </c>
      <c r="BE185" s="23" t="n">
        <f aca="false">IF(BD185=1,IF(COUNTIFS($AW$2:$AW$201,AW185,$BD$2:$BD$201,1,$H$2:$H$201,"&lt;"&amp;H185)+COUNTIFS($AW$2:$AW$201,AW185,$BD$2:$BD$201,1,$H$2:$H$201,H185,$AX$2:$AX$201,"&lt;"&amp;AX185)=0,1,0),0)</f>
        <v>0</v>
      </c>
      <c r="BF185" s="23" t="n">
        <f aca="false">IF(AND(AY185=1,O185&lt;&gt;"Y",MAX(N(R185),N(V185))&gt;=Config!$B$14),1,0)</f>
        <v>0</v>
      </c>
      <c r="BG185" s="23" t="n">
        <f aca="false">IF(BF185=1,IF(COUNTIFS($AW$2:$AW$201,AW185,$BF$2:$BF$201,1,$H$2:$H$201,"&lt;"&amp;H185)+COUNTIFS($AW$2:$AW$201,AW185,$BF$2:$BF$201,1,$H$2:$H$201,H185,$AX$2:$AX$201,"&lt;"&amp;AX185)=0,1,0),0)</f>
        <v>0</v>
      </c>
      <c r="BH185" s="23" t="n">
        <f aca="false">IF(AND(AY185=1,ISNUMBER(R185)),1,0)</f>
        <v>0</v>
      </c>
      <c r="BI185" s="23" t="n">
        <f aca="false">IF(BH185=1,IF(COUNTIFS($AW$2:$AW$201,AW185,$BH$2:$BH$201,1,$H$2:$H$201,"&lt;"&amp;H185)+COUNTIFS($AW$2:$AW$201,AW185,$BH$2:$BH$201,1,$H$2:$H$201,H185,$AX$2:$AX$201,"&lt;"&amp;AX185)=0,1,0),0)</f>
        <v>0</v>
      </c>
      <c r="BJ185" s="23" t="str">
        <f aca="false">IF(AND(BI185=1,INT(N(H185))&lt;=Config!$B$6),R185,"")</f>
        <v/>
      </c>
      <c r="BK185" s="23" t="str">
        <f aca="false">IF(AND(BI185=1,INT(N(H185))&lt;=Config!$B$7),R185,"")</f>
        <v/>
      </c>
      <c r="BL185" s="23" t="str">
        <f aca="false">IF(AND(BI185=1,INT(N(H185))&lt;=Config!$B$8),R185,"")</f>
        <v/>
      </c>
      <c r="BM185" s="23" t="str">
        <f aca="false">IF(AND(BI185=1,INT(N(H185))&lt;=Config!$B$5),R185,"")</f>
        <v/>
      </c>
      <c r="BN185" s="23" t="n">
        <f aca="false">IF(AND(AY185=1,ISNUMBER(V185)),1,0)</f>
        <v>0</v>
      </c>
      <c r="BO185" s="23" t="n">
        <f aca="false">IF(BN185=1,IF(COUNTIFS($AW$2:$AW$201,AW185,$BN$2:$BN$201,1,$H$2:$H$201,"&lt;"&amp;H185)+COUNTIFS($AW$2:$AW$201,AW185,$BN$2:$BN$201,1,$H$2:$H$201,H185,$AX$2:$AX$201,"&lt;"&amp;AX185)=0,1,0),0)</f>
        <v>0</v>
      </c>
      <c r="BP185" s="23" t="str">
        <f aca="false">IF(AND(BO185=1,INT(N(H185))&lt;=Config!$B$6),V185,"")</f>
        <v/>
      </c>
      <c r="BQ185" s="23" t="str">
        <f aca="false">IF(AND(BO185=1,INT(N(H185))&lt;=Config!$B$7),V185,"")</f>
        <v/>
      </c>
      <c r="BR185" s="23" t="str">
        <f aca="false">IF(AND(BO185=1,INT(N(H185))&lt;=Config!$B$8),V185,"")</f>
        <v/>
      </c>
      <c r="BS185" s="23" t="str">
        <f aca="false">IF(AND(BO185=1,INT(N(H185))&lt;=Config!$B$5),V185,"")</f>
        <v/>
      </c>
      <c r="BT185" s="23" t="n">
        <f aca="false">IF(AND(AY185=1,ISNUMBER(K185)),1,0)</f>
        <v>0</v>
      </c>
      <c r="BU185" s="23" t="n">
        <f aca="false">IF(BT185=1,IF(COUNTIFS($AW$2:$AW$201,AW185,$BT$2:$BT$201,1,$H$2:$H$201,"&lt;"&amp;H185)+COUNTIFS($AW$2:$AW$201,AW185,$BT$2:$BT$201,1,$H$2:$H$201,H185,$AX$2:$AX$201,"&lt;"&amp;AX185)=0,1,0),0)</f>
        <v>0</v>
      </c>
      <c r="BV185" s="23" t="str">
        <f aca="false">IF(AND(BU185=1,INT(N(H185))&lt;=Config!$B$5),K185,"")</f>
        <v/>
      </c>
      <c r="BW185" s="23" t="n">
        <f aca="false">IF(AND(AY185=1,OR(AND(ISNUMBER(R185),TRIM(S185)=""),AND(ISNUMBER(V185),TRIM(W185)=""))),1,0)</f>
        <v>0</v>
      </c>
      <c r="BX185" s="23" t="str">
        <f aca="false">IF(AY185=1,AJ185&amp;"","")</f>
        <v/>
      </c>
      <c r="BY185" s="23" t="str">
        <f aca="false">IF(AY185=1,AK185&amp;"","")</f>
        <v/>
      </c>
      <c r="BZ185" s="23" t="str">
        <f aca="false">IF(AY185=1,AL185&amp;"","")</f>
        <v/>
      </c>
      <c r="CA185" s="23" t="str">
        <f aca="false">IF(AND(AY185=1,ISNUMBER(AS185),INT(N(H185))&lt;=Config!$B$5),AS185,"")</f>
        <v/>
      </c>
      <c r="CB185" s="23" t="str">
        <f aca="false">IF(AY185=1,IF(COUNTIFS($A$2:$A$201,$A185,$CU$2:$CU$201,1,$AN$2:$AN$201,"Y")&gt;0,"Y","N"),"")</f>
        <v/>
      </c>
      <c r="CC185" s="23" t="n">
        <f aca="false">IF(AND(AY185=1,AN185="Y"),IF(COUNTIFS($AW$2:$AW$201,AW185,$AN$2:$AN$201,"Y",$AY$2:$AY$201,1,$H$2:$H$201,"&lt;"&amp;H185)+COUNTIFS($AW$2:$AW$201,AW185,$AN$2:$AN$201,"Y",$AY$2:$AY$201,1,$H$2:$H$201,H185,$AX$2:$AX$201,"&lt;"&amp;AX185)=0,1,0),0)</f>
        <v>0</v>
      </c>
      <c r="CD185" s="23" t="n">
        <f aca="false">IF(AND(AY185=1,AB185="Y",AC185="Y",AD185="Y",AE185="Y",AF185="Y",AG185="Y",AI185="Y",TRIM(AH185)&lt;&gt;""),1,0)</f>
        <v>0</v>
      </c>
      <c r="CE185" s="23" t="n">
        <f aca="false">IF(CD185=1,IF(COUNTIFS($AW$2:$AW$201,AW185,$CD$2:$CD$201,1,$H$2:$H$201,"&lt;"&amp;H185)+COUNTIFS($AW$2:$AW$201,AW185,$CD$2:$CD$201,1,$H$2:$H$201,H185,$AX$2:$AX$201,"&lt;"&amp;AX185)=0,1,0),0)</f>
        <v>0</v>
      </c>
      <c r="CF185" s="23" t="n">
        <f aca="false">IF(AND(AY185=1,AO185="Y"),1,0)</f>
        <v>0</v>
      </c>
      <c r="CG185" s="23" t="n">
        <f aca="false">IF(CF185=1,IF(COUNTIFS($AW$2:$AW$201,AW185,$CF$2:$CF$201,1,$H$2:$H$201,"&lt;"&amp;H185)+COUNTIFS($AW$2:$AW$201,AW185,$CF$2:$CF$201,1,$H$2:$H$201,H185,$AX$2:$AX$201,"&lt;"&amp;AX185)=0,1,0),0)</f>
        <v>0</v>
      </c>
      <c r="CH185" s="23" t="n">
        <f aca="false">IF(AND(AY185=1,P185="Y"),1,0)</f>
        <v>0</v>
      </c>
      <c r="CI185" s="23" t="n">
        <f aca="false">IF(CH185=1,IF(COUNTIFS($AW$2:$AW$201,AW185,$CH$2:$CH$201,1,$H$2:$H$201,"&lt;"&amp;H185)+COUNTIFS($AW$2:$AW$201,AW185,$CH$2:$CH$201,1,$H$2:$H$201,H185,$AX$2:$AX$201,"&lt;"&amp;AX185)=0,1,0),0)</f>
        <v>0</v>
      </c>
      <c r="CJ185" s="23" t="str">
        <f aca="false">IF(AND(BU185=1,INT(N(H185))&lt;=Config!$B$5),L185,"")</f>
        <v/>
      </c>
      <c r="CK185" s="23" t="n">
        <f aca="false">IF(AND(AY185=1,AR185="Y"),1,0)</f>
        <v>0</v>
      </c>
      <c r="CL185" s="23" t="n">
        <f aca="false">IF(CK185=1,IF(COUNTIFS($AW$2:$AW$201,AW185,$CK$2:$CK$201,1,$H$2:$H$201,"&lt;"&amp;H185)+COUNTIFS($AW$2:$AW$201,AW185,$CK$2:$CK$201,1,$H$2:$H$201,H185,$AX$2:$AX$201,"&lt;"&amp;AX185)=0,1,0),0)</f>
        <v>0</v>
      </c>
      <c r="CM185" s="23" t="str">
        <f aca="false">IF(AY185=1,IFERROR(MATCH($A185,INDEX(Clay_Brands!$A$2:$FZ$601,0,Sync!$D$5),0),""),"")</f>
        <v/>
      </c>
      <c r="CN185" s="23" t="str">
        <f aca="false">IF(CM185="","",IFERROR(INDEX(Clay_Brands!$A$2:$FZ$601,CM185,Sync!$D$7)&amp;"",""))</f>
        <v/>
      </c>
      <c r="CO185" s="23" t="str">
        <f aca="false">IF(CN185="","",IFERROR(INDEX(Lists!$K$2:$K$15,MATCH(CN185,Lists!$J$2:$J$15,0)),""))</f>
        <v/>
      </c>
      <c r="CP185" s="23" t="str">
        <f aca="false">IF(CM185="","",IFERROR(INDEX(Clay_Brands!$A$2:$FZ$601,CM185,Sync!$D$17)&amp;"",""))</f>
        <v/>
      </c>
      <c r="CQ185" s="35" t="str">
        <f aca="false">IF(CM185="","",IFERROR(N(INDEX(Clay_Brands!$A$2:$FZ$601,CM185,Sync!$D$16)),0))</f>
        <v/>
      </c>
      <c r="CR185" s="23" t="n">
        <f aca="false">IF(AND(AY185=1,OR(O185="N",AND(OR(ISNUMBER(R185),ISNUMBER(V185)),MAX(N(R185),N(V185))&lt;Config!$B$14))),1,0)</f>
        <v>0</v>
      </c>
      <c r="CS185" s="23" t="n">
        <f aca="false">IF(OR(BB185=1,CR185=1),1,0)</f>
        <v>0</v>
      </c>
      <c r="CT185" s="23" t="n">
        <f aca="false">IF(AND(AY185=1,OR(AN185="Y",AN185="N",AN185="maybe")),1,0)</f>
        <v>0</v>
      </c>
      <c r="CU185" s="23" t="n">
        <f aca="false">IF(AND(CT185=1),IF(COUNTIFS($A$2:$A$201,$A185,$CT$2:$CT$201,1,$H$2:$H$201,"&gt;"&amp;H185)+COUNTIFS($A$2:$A$201,$A185,$CT$2:$CT$201,1,$H$2:$H$201,H185,$AX$2:$AX$201,"&gt;"&amp;AX185)=0,1,0),0)</f>
        <v>0</v>
      </c>
      <c r="CV185" s="23" t="n">
        <f aca="false">IF(AND(CS185=1,INT(N(H185))&lt;=Config!$B$6),IF(COUNTIFS($AW$2:$AW$201,AW185,$CS$2:$CS$201,1,$H$2:$H$201,"&gt;"&amp;H185,$H$2:$H$201,"&lt;"&amp;(Config!$B$6+1))+COUNTIFS($AW$2:$AW$201,AW185,$CS$2:$CS$201,1,$H$2:$H$201,H185,$AX$2:$AX$201,"&gt;"&amp;AX185)=0,1,0),0)</f>
        <v>0</v>
      </c>
      <c r="CW185" s="23" t="n">
        <f aca="false">IF(AND(CS185=1,INT(N(H185))&lt;=Config!$B$7),IF(COUNTIFS($AW$2:$AW$201,AW185,$CS$2:$CS$201,1,$H$2:$H$201,"&gt;"&amp;H185,$H$2:$H$201,"&lt;"&amp;(Config!$B$7+1))+COUNTIFS($AW$2:$AW$201,AW185,$CS$2:$CS$201,1,$H$2:$H$201,H185,$AX$2:$AX$201,"&gt;"&amp;AX185)=0,1,0),0)</f>
        <v>0</v>
      </c>
      <c r="CX185" s="23" t="n">
        <f aca="false">IF(AND(CS185=1,INT(N(H185))&lt;=Config!$B$8),IF(COUNTIFS($AW$2:$AW$201,AW185,$CS$2:$CS$201,1,$H$2:$H$201,"&gt;"&amp;H185,$H$2:$H$201,"&lt;"&amp;(Config!$B$8+1))+COUNTIFS($AW$2:$AW$201,AW185,$CS$2:$CS$201,1,$H$2:$H$201,H185,$AX$2:$AX$201,"&gt;"&amp;AX185)=0,1,0),0)</f>
        <v>0</v>
      </c>
      <c r="CY185" s="23" t="n">
        <f aca="false">IF(AND(CS185=1,INT(N(H185))&lt;=Config!$B$5),IF(COUNTIFS($AW$2:$AW$201,AW185,$CS$2:$CS$201,1,$H$2:$H$201,"&gt;"&amp;H185,$H$2:$H$201,"&lt;"&amp;(Config!$B$5+1))+COUNTIFS($AW$2:$AW$201,AW185,$CS$2:$CS$201,1,$H$2:$H$201,H185,$AX$2:$AX$201,"&gt;"&amp;AX185)=0,1,0),0)</f>
        <v>0</v>
      </c>
      <c r="CZ185" s="23" t="n">
        <f aca="false">IF(AY185=1,IF(COUNTIFS($AW$2:$AW$201,AW185,$CV$2:$CV$201,1,$BB$2:$BB$201,1)&gt;0,1,0),0)</f>
        <v>0</v>
      </c>
      <c r="DA185" s="23" t="n">
        <f aca="false">IF(AY185=1,IF(COUNTIFS($AW$2:$AW$201,AW185,$CW$2:$CW$201,1,$BB$2:$BB$201,1)&gt;0,1,0),0)</f>
        <v>0</v>
      </c>
      <c r="DB185" s="23" t="n">
        <f aca="false">IF(AY185=1,IF(COUNTIFS($AW$2:$AW$201,AW185,$CX$2:$CX$201,1,$BB$2:$BB$201,1)&gt;0,1,0),0)</f>
        <v>0</v>
      </c>
      <c r="DC185" s="23" t="n">
        <f aca="false">IF(AY185=1,IF(COUNTIFS($AW$2:$AW$201,AW185,$CY$2:$CY$201,1,$BB$2:$BB$201,1)&gt;0,1,0),0)</f>
        <v>0</v>
      </c>
      <c r="DD185" s="23" t="n">
        <f aca="false">IF(AND(BC185=1,INT(N(H185))&lt;=Config!$B$6,CZ185=1),1,0)</f>
        <v>0</v>
      </c>
      <c r="DE185" s="23" t="n">
        <f aca="false">IF(AND(BC185=1,INT(N(H185))&lt;=Config!$B$7,DA185=1),1,0)</f>
        <v>0</v>
      </c>
      <c r="DF185" s="23" t="n">
        <f aca="false">IF(AND(BC185=1,INT(N(H185))&lt;=Config!$B$8,DB185=1),1,0)</f>
        <v>0</v>
      </c>
      <c r="DG185" s="23" t="n">
        <f aca="false">IF(AND(BC185=1,INT(N(H185))&lt;=Config!$B$5,DC185=1),1,0)</f>
        <v>0</v>
      </c>
      <c r="DH185" s="23" t="n">
        <f aca="false">IF(AND(BE185=1,INT(N(H185))&lt;=Config!$B$6,CZ185=1),1,0)</f>
        <v>0</v>
      </c>
      <c r="DI185" s="23" t="n">
        <f aca="false">IF(AND(BE185=1,INT(N(H185))&lt;=Config!$B$7,DA185=1),1,0)</f>
        <v>0</v>
      </c>
      <c r="DJ185" s="23" t="n">
        <f aca="false">IF(AND(BE185=1,INT(N(H185))&lt;=Config!$B$8,DB185=1),1,0)</f>
        <v>0</v>
      </c>
      <c r="DK185" s="23" t="n">
        <f aca="false">IF(AND(BE185=1,INT(N(H185))&lt;=Config!$B$5,DC185=1),1,0)</f>
        <v>0</v>
      </c>
      <c r="DL185" s="23" t="n">
        <f aca="false">IF(AND(BC185=1,INT(N(H185))&lt;=Config!$B$6,CZ185=0),1,0)</f>
        <v>0</v>
      </c>
      <c r="DM185" s="23" t="n">
        <f aca="false">IF(AND(BC185=1,INT(N(H185))&lt;=Config!$B$7,DA185=0),1,0)</f>
        <v>0</v>
      </c>
      <c r="DN185" s="23" t="n">
        <f aca="false">IF(AND(BC185=1,INT(N(H185))&lt;=Config!$B$8,DB185=0),1,0)</f>
        <v>0</v>
      </c>
      <c r="DO185" s="23" t="n">
        <f aca="false">IF(AND(BC185=1,INT(N(H185))&lt;=Config!$B$5,DC185=0),1,0)</f>
        <v>0</v>
      </c>
      <c r="DP185" s="23" t="n">
        <f aca="false">IF(TRIM($A185)="",0,ISTEXT(K185)+ISTEXT(L185)+ISTEXT(R185)+ISTEXT(V185)+ISTEXT(AP185)+ISTEXT(AS185))</f>
        <v>0</v>
      </c>
      <c r="DQ185" s="23" t="n">
        <f aca="false">IF(AY185=1,IF(H185&lt;&gt;INT(H185),1,0),0)</f>
        <v>0</v>
      </c>
      <c r="DR185" s="23" t="str">
        <f aca="false">IF(TRIM($A185)="","",IF(TRIM(B185)="",SUBSTITUTE(SUBSTITUTE(SUBSTITUTE(SUBSTITUTE(SUBSTITUTE(SUBSTITUTE(LOWER(TRIM($A185)),"~",""),"*",""),"?",""),"&lt;",""),"&gt;",""),"=",""),SUBSTITUTE(SUBSTITUTE(SUBSTITUTE(SUBSTITUTE(SUBSTITUTE(SUBSTITUTE(LOWER(TRIM(B185)),"~",""),"*",""),"?",""),"&lt;",""),"&gt;",""),"=","")))</f>
        <v/>
      </c>
      <c r="DS185" s="23" t="str">
        <f aca="false">IF(CM185="","",IFERROR(IF(LEFT(LOWER(TRIM(INDEX(Clay_Brands!$A$2:$FZ$601,CM185,Sync!$D$19)&amp;"")),4)="grp-",SUBSTITUTE(SUBSTITUTE(SUBSTITUTE(SUBSTITUTE(SUBSTITUTE(SUBSTITUTE(LOWER(TRIM(INDEX(Clay_Brands!$A$2:$FZ$601,CM185,Sync!$D$19)&amp;"")),"~",""),"*",""),"?",""),"&lt;",""),"&gt;",""),"=",""),""),""))</f>
        <v/>
      </c>
      <c r="DT185" s="23" t="str">
        <f aca="false">IF(DS185&lt;&gt;"",DR185,"")</f>
        <v/>
      </c>
      <c r="DU185" s="23" t="str">
        <f aca="false">IF(AZ185=1,AW185,"")</f>
        <v/>
      </c>
      <c r="DV185" s="23" t="str">
        <f aca="false">IF(TRIM($A185)="","",IFERROR(INDEX($A$2:$A$201,MATCH(AW185,$DU$2:$DU$201,0))&amp;"",$A185&amp;""))</f>
        <v/>
      </c>
      <c r="DW185" s="23" t="n">
        <f aca="false">IF(AY185=1,IF(COUNTIFS($A$2:$A$201,$A185,$AY$2:$AY$201,1,$H$2:$H$201,"&lt;"&amp;H185)+COUNTIFS($A$2:$A$201,$A185,$AY$2:$AY$201,1,$H$2:$H$201,H185,$AX$2:$AX$201,"&lt;"&amp;AX185)=0,1,0),0)</f>
        <v>0</v>
      </c>
      <c r="DX185" s="23" t="n">
        <f aca="false">IF(AZ185=1,IF(COUNTIFS($AW$2:$AW$201,AW185,$DW$2:$DW$201,1)&gt;1,1,0),0)</f>
        <v>0</v>
      </c>
    </row>
    <row r="186" customFormat="false" ht="15" hidden="false" customHeight="false" outlineLevel="0" collapsed="false">
      <c r="G186" s="32"/>
      <c r="H186" s="33"/>
      <c r="I186" s="32"/>
      <c r="O186" s="32"/>
      <c r="P186" s="32"/>
      <c r="U186" s="32"/>
      <c r="Y186" s="32"/>
      <c r="AB186" s="32"/>
      <c r="AC186" s="32"/>
      <c r="AD186" s="32"/>
      <c r="AE186" s="32"/>
      <c r="AF186" s="32"/>
      <c r="AG186" s="32"/>
      <c r="AI186" s="32"/>
      <c r="AJ186" s="32"/>
      <c r="AK186" s="32"/>
      <c r="AN186" s="32"/>
      <c r="AO186" s="32"/>
      <c r="AR186" s="32"/>
      <c r="AT186" s="32"/>
      <c r="AV186" s="34" t="str">
        <f aca="false">IF(TRIM($A186)="","",IF(AND(LEFT($A186,6)="SAMPLE",Config!$B$19&lt;&gt;"Y"),"",IF(NOT(ISNUMBER(H186)),"call_date is blank or not a date",IF(Sync!$D$5="","Clay paste is empty or has no row_id column: paste the Clay export on Clay_Brands",IF(CM186="","row_id not found in the Clay paste: add the Clay row or fix the row_id",IF(AND(ISNUMBER(CO186),CO186&gt;=1,CO186&lt;=5),"Clay status is "&amp;CN186&amp;": set call_done or later",IF(AND(BA186=1,CP186&lt;&gt;CB186),"Clay yes_in_principle should be "&amp;CB186,IF(AND(BA186=1,CQ186&lt;&gt;H186),"Clay call_date should be "&amp;TEXT(H186,"yyyy-mm-dd"),""))))))))</f>
        <v/>
      </c>
      <c r="AW186" s="23" t="str">
        <f aca="false">IF(TRIM($A186)="","",IF(TRIM(C186)&lt;&gt;"",SUBSTITUTE(SUBSTITUTE(SUBSTITUTE(SUBSTITUTE(SUBSTITUTE(SUBSTITUTE(LOWER(TRIM(C186)),"~",""),"*",""),"?",""),"&lt;",""),"&gt;",""),"=",""),IF(DS186&lt;&gt;"",DS186,IFERROR(INDEX($DS$2:$DS$201,MATCH(DR186,$DT$2:$DT$201,0)),DR186))))</f>
        <v/>
      </c>
      <c r="AX186" s="23" t="n">
        <f aca="false">ROW()</f>
        <v>186</v>
      </c>
      <c r="AY186" s="23" t="n">
        <f aca="false">IF(AND(TRIM($A186)&lt;&gt;"",ISNUMBER(H186)),IF(AND(LEFT($A186,6)="SAMPLE",Config!$B$19&lt;&gt;"Y"),0,1),0)</f>
        <v>0</v>
      </c>
      <c r="AZ186" s="23" t="n">
        <f aca="false">IF(AY186=1,IF(COUNTIFS($AW$2:$AW$201,AW186,$AY$2:$AY$201,1,$H$2:$H$201,"&lt;"&amp;H186)+COUNTIFS($AW$2:$AW$201,AW186,$AY$2:$AY$201,1,$H$2:$H$201,H186,$AX$2:$AX$201,"&lt;"&amp;AX186)=0,1,0),0)</f>
        <v>0</v>
      </c>
      <c r="BA186" s="23" t="n">
        <f aca="false">IF(AY186=1,IF(COUNTIFS($A$2:$A$201,$A186,$AY$2:$AY$201,1,$H$2:$H$201,"&gt;"&amp;H186)+COUNTIFS($A$2:$A$201,$A186,$AY$2:$AY$201,1,$H$2:$H$201,H186,$AX$2:$AX$201,"&gt;"&amp;AX186)=0,1,0),0)</f>
        <v>0</v>
      </c>
      <c r="BB186" s="23" t="n">
        <f aca="false">IF(AND(AY186=1,O186="Y",MAX(N(R186),N(V186))&gt;=Config!$B$14),1,0)</f>
        <v>0</v>
      </c>
      <c r="BC186" s="23" t="n">
        <f aca="false">IF(BB186=1,IF(COUNTIFS($AW$2:$AW$201,AW186,$BB$2:$BB$201,1,$H$2:$H$201,"&lt;"&amp;H186)+COUNTIFS($AW$2:$AW$201,AW186,$BB$2:$BB$201,1,$H$2:$H$201,H186,$AX$2:$AX$201,"&lt;"&amp;AX186)=0,1,0),0)</f>
        <v>0</v>
      </c>
      <c r="BD186" s="23" t="n">
        <f aca="false">IF(AND(AY186=1,O186="Y",ISNUMBER(R186)),IF(R186&gt;=Config!$B$14,1,0),0)</f>
        <v>0</v>
      </c>
      <c r="BE186" s="23" t="n">
        <f aca="false">IF(BD186=1,IF(COUNTIFS($AW$2:$AW$201,AW186,$BD$2:$BD$201,1,$H$2:$H$201,"&lt;"&amp;H186)+COUNTIFS($AW$2:$AW$201,AW186,$BD$2:$BD$201,1,$H$2:$H$201,H186,$AX$2:$AX$201,"&lt;"&amp;AX186)=0,1,0),0)</f>
        <v>0</v>
      </c>
      <c r="BF186" s="23" t="n">
        <f aca="false">IF(AND(AY186=1,O186&lt;&gt;"Y",MAX(N(R186),N(V186))&gt;=Config!$B$14),1,0)</f>
        <v>0</v>
      </c>
      <c r="BG186" s="23" t="n">
        <f aca="false">IF(BF186=1,IF(COUNTIFS($AW$2:$AW$201,AW186,$BF$2:$BF$201,1,$H$2:$H$201,"&lt;"&amp;H186)+COUNTIFS($AW$2:$AW$201,AW186,$BF$2:$BF$201,1,$H$2:$H$201,H186,$AX$2:$AX$201,"&lt;"&amp;AX186)=0,1,0),0)</f>
        <v>0</v>
      </c>
      <c r="BH186" s="23" t="n">
        <f aca="false">IF(AND(AY186=1,ISNUMBER(R186)),1,0)</f>
        <v>0</v>
      </c>
      <c r="BI186" s="23" t="n">
        <f aca="false">IF(BH186=1,IF(COUNTIFS($AW$2:$AW$201,AW186,$BH$2:$BH$201,1,$H$2:$H$201,"&lt;"&amp;H186)+COUNTIFS($AW$2:$AW$201,AW186,$BH$2:$BH$201,1,$H$2:$H$201,H186,$AX$2:$AX$201,"&lt;"&amp;AX186)=0,1,0),0)</f>
        <v>0</v>
      </c>
      <c r="BJ186" s="23" t="str">
        <f aca="false">IF(AND(BI186=1,INT(N(H186))&lt;=Config!$B$6),R186,"")</f>
        <v/>
      </c>
      <c r="BK186" s="23" t="str">
        <f aca="false">IF(AND(BI186=1,INT(N(H186))&lt;=Config!$B$7),R186,"")</f>
        <v/>
      </c>
      <c r="BL186" s="23" t="str">
        <f aca="false">IF(AND(BI186=1,INT(N(H186))&lt;=Config!$B$8),R186,"")</f>
        <v/>
      </c>
      <c r="BM186" s="23" t="str">
        <f aca="false">IF(AND(BI186=1,INT(N(H186))&lt;=Config!$B$5),R186,"")</f>
        <v/>
      </c>
      <c r="BN186" s="23" t="n">
        <f aca="false">IF(AND(AY186=1,ISNUMBER(V186)),1,0)</f>
        <v>0</v>
      </c>
      <c r="BO186" s="23" t="n">
        <f aca="false">IF(BN186=1,IF(COUNTIFS($AW$2:$AW$201,AW186,$BN$2:$BN$201,1,$H$2:$H$201,"&lt;"&amp;H186)+COUNTIFS($AW$2:$AW$201,AW186,$BN$2:$BN$201,1,$H$2:$H$201,H186,$AX$2:$AX$201,"&lt;"&amp;AX186)=0,1,0),0)</f>
        <v>0</v>
      </c>
      <c r="BP186" s="23" t="str">
        <f aca="false">IF(AND(BO186=1,INT(N(H186))&lt;=Config!$B$6),V186,"")</f>
        <v/>
      </c>
      <c r="BQ186" s="23" t="str">
        <f aca="false">IF(AND(BO186=1,INT(N(H186))&lt;=Config!$B$7),V186,"")</f>
        <v/>
      </c>
      <c r="BR186" s="23" t="str">
        <f aca="false">IF(AND(BO186=1,INT(N(H186))&lt;=Config!$B$8),V186,"")</f>
        <v/>
      </c>
      <c r="BS186" s="23" t="str">
        <f aca="false">IF(AND(BO186=1,INT(N(H186))&lt;=Config!$B$5),V186,"")</f>
        <v/>
      </c>
      <c r="BT186" s="23" t="n">
        <f aca="false">IF(AND(AY186=1,ISNUMBER(K186)),1,0)</f>
        <v>0</v>
      </c>
      <c r="BU186" s="23" t="n">
        <f aca="false">IF(BT186=1,IF(COUNTIFS($AW$2:$AW$201,AW186,$BT$2:$BT$201,1,$H$2:$H$201,"&lt;"&amp;H186)+COUNTIFS($AW$2:$AW$201,AW186,$BT$2:$BT$201,1,$H$2:$H$201,H186,$AX$2:$AX$201,"&lt;"&amp;AX186)=0,1,0),0)</f>
        <v>0</v>
      </c>
      <c r="BV186" s="23" t="str">
        <f aca="false">IF(AND(BU186=1,INT(N(H186))&lt;=Config!$B$5),K186,"")</f>
        <v/>
      </c>
      <c r="BW186" s="23" t="n">
        <f aca="false">IF(AND(AY186=1,OR(AND(ISNUMBER(R186),TRIM(S186)=""),AND(ISNUMBER(V186),TRIM(W186)=""))),1,0)</f>
        <v>0</v>
      </c>
      <c r="BX186" s="23" t="str">
        <f aca="false">IF(AY186=1,AJ186&amp;"","")</f>
        <v/>
      </c>
      <c r="BY186" s="23" t="str">
        <f aca="false">IF(AY186=1,AK186&amp;"","")</f>
        <v/>
      </c>
      <c r="BZ186" s="23" t="str">
        <f aca="false">IF(AY186=1,AL186&amp;"","")</f>
        <v/>
      </c>
      <c r="CA186" s="23" t="str">
        <f aca="false">IF(AND(AY186=1,ISNUMBER(AS186),INT(N(H186))&lt;=Config!$B$5),AS186,"")</f>
        <v/>
      </c>
      <c r="CB186" s="23" t="str">
        <f aca="false">IF(AY186=1,IF(COUNTIFS($A$2:$A$201,$A186,$CU$2:$CU$201,1,$AN$2:$AN$201,"Y")&gt;0,"Y","N"),"")</f>
        <v/>
      </c>
      <c r="CC186" s="23" t="n">
        <f aca="false">IF(AND(AY186=1,AN186="Y"),IF(COUNTIFS($AW$2:$AW$201,AW186,$AN$2:$AN$201,"Y",$AY$2:$AY$201,1,$H$2:$H$201,"&lt;"&amp;H186)+COUNTIFS($AW$2:$AW$201,AW186,$AN$2:$AN$201,"Y",$AY$2:$AY$201,1,$H$2:$H$201,H186,$AX$2:$AX$201,"&lt;"&amp;AX186)=0,1,0),0)</f>
        <v>0</v>
      </c>
      <c r="CD186" s="23" t="n">
        <f aca="false">IF(AND(AY186=1,AB186="Y",AC186="Y",AD186="Y",AE186="Y",AF186="Y",AG186="Y",AI186="Y",TRIM(AH186)&lt;&gt;""),1,0)</f>
        <v>0</v>
      </c>
      <c r="CE186" s="23" t="n">
        <f aca="false">IF(CD186=1,IF(COUNTIFS($AW$2:$AW$201,AW186,$CD$2:$CD$201,1,$H$2:$H$201,"&lt;"&amp;H186)+COUNTIFS($AW$2:$AW$201,AW186,$CD$2:$CD$201,1,$H$2:$H$201,H186,$AX$2:$AX$201,"&lt;"&amp;AX186)=0,1,0),0)</f>
        <v>0</v>
      </c>
      <c r="CF186" s="23" t="n">
        <f aca="false">IF(AND(AY186=1,AO186="Y"),1,0)</f>
        <v>0</v>
      </c>
      <c r="CG186" s="23" t="n">
        <f aca="false">IF(CF186=1,IF(COUNTIFS($AW$2:$AW$201,AW186,$CF$2:$CF$201,1,$H$2:$H$201,"&lt;"&amp;H186)+COUNTIFS($AW$2:$AW$201,AW186,$CF$2:$CF$201,1,$H$2:$H$201,H186,$AX$2:$AX$201,"&lt;"&amp;AX186)=0,1,0),0)</f>
        <v>0</v>
      </c>
      <c r="CH186" s="23" t="n">
        <f aca="false">IF(AND(AY186=1,P186="Y"),1,0)</f>
        <v>0</v>
      </c>
      <c r="CI186" s="23" t="n">
        <f aca="false">IF(CH186=1,IF(COUNTIFS($AW$2:$AW$201,AW186,$CH$2:$CH$201,1,$H$2:$H$201,"&lt;"&amp;H186)+COUNTIFS($AW$2:$AW$201,AW186,$CH$2:$CH$201,1,$H$2:$H$201,H186,$AX$2:$AX$201,"&lt;"&amp;AX186)=0,1,0),0)</f>
        <v>0</v>
      </c>
      <c r="CJ186" s="23" t="str">
        <f aca="false">IF(AND(BU186=1,INT(N(H186))&lt;=Config!$B$5),L186,"")</f>
        <v/>
      </c>
      <c r="CK186" s="23" t="n">
        <f aca="false">IF(AND(AY186=1,AR186="Y"),1,0)</f>
        <v>0</v>
      </c>
      <c r="CL186" s="23" t="n">
        <f aca="false">IF(CK186=1,IF(COUNTIFS($AW$2:$AW$201,AW186,$CK$2:$CK$201,1,$H$2:$H$201,"&lt;"&amp;H186)+COUNTIFS($AW$2:$AW$201,AW186,$CK$2:$CK$201,1,$H$2:$H$201,H186,$AX$2:$AX$201,"&lt;"&amp;AX186)=0,1,0),0)</f>
        <v>0</v>
      </c>
      <c r="CM186" s="23" t="str">
        <f aca="false">IF(AY186=1,IFERROR(MATCH($A186,INDEX(Clay_Brands!$A$2:$FZ$601,0,Sync!$D$5),0),""),"")</f>
        <v/>
      </c>
      <c r="CN186" s="23" t="str">
        <f aca="false">IF(CM186="","",IFERROR(INDEX(Clay_Brands!$A$2:$FZ$601,CM186,Sync!$D$7)&amp;"",""))</f>
        <v/>
      </c>
      <c r="CO186" s="23" t="str">
        <f aca="false">IF(CN186="","",IFERROR(INDEX(Lists!$K$2:$K$15,MATCH(CN186,Lists!$J$2:$J$15,0)),""))</f>
        <v/>
      </c>
      <c r="CP186" s="23" t="str">
        <f aca="false">IF(CM186="","",IFERROR(INDEX(Clay_Brands!$A$2:$FZ$601,CM186,Sync!$D$17)&amp;"",""))</f>
        <v/>
      </c>
      <c r="CQ186" s="35" t="str">
        <f aca="false">IF(CM186="","",IFERROR(N(INDEX(Clay_Brands!$A$2:$FZ$601,CM186,Sync!$D$16)),0))</f>
        <v/>
      </c>
      <c r="CR186" s="23" t="n">
        <f aca="false">IF(AND(AY186=1,OR(O186="N",AND(OR(ISNUMBER(R186),ISNUMBER(V186)),MAX(N(R186),N(V186))&lt;Config!$B$14))),1,0)</f>
        <v>0</v>
      </c>
      <c r="CS186" s="23" t="n">
        <f aca="false">IF(OR(BB186=1,CR186=1),1,0)</f>
        <v>0</v>
      </c>
      <c r="CT186" s="23" t="n">
        <f aca="false">IF(AND(AY186=1,OR(AN186="Y",AN186="N",AN186="maybe")),1,0)</f>
        <v>0</v>
      </c>
      <c r="CU186" s="23" t="n">
        <f aca="false">IF(AND(CT186=1),IF(COUNTIFS($A$2:$A$201,$A186,$CT$2:$CT$201,1,$H$2:$H$201,"&gt;"&amp;H186)+COUNTIFS($A$2:$A$201,$A186,$CT$2:$CT$201,1,$H$2:$H$201,H186,$AX$2:$AX$201,"&gt;"&amp;AX186)=0,1,0),0)</f>
        <v>0</v>
      </c>
      <c r="CV186" s="23" t="n">
        <f aca="false">IF(AND(CS186=1,INT(N(H186))&lt;=Config!$B$6),IF(COUNTIFS($AW$2:$AW$201,AW186,$CS$2:$CS$201,1,$H$2:$H$201,"&gt;"&amp;H186,$H$2:$H$201,"&lt;"&amp;(Config!$B$6+1))+COUNTIFS($AW$2:$AW$201,AW186,$CS$2:$CS$201,1,$H$2:$H$201,H186,$AX$2:$AX$201,"&gt;"&amp;AX186)=0,1,0),0)</f>
        <v>0</v>
      </c>
      <c r="CW186" s="23" t="n">
        <f aca="false">IF(AND(CS186=1,INT(N(H186))&lt;=Config!$B$7),IF(COUNTIFS($AW$2:$AW$201,AW186,$CS$2:$CS$201,1,$H$2:$H$201,"&gt;"&amp;H186,$H$2:$H$201,"&lt;"&amp;(Config!$B$7+1))+COUNTIFS($AW$2:$AW$201,AW186,$CS$2:$CS$201,1,$H$2:$H$201,H186,$AX$2:$AX$201,"&gt;"&amp;AX186)=0,1,0),0)</f>
        <v>0</v>
      </c>
      <c r="CX186" s="23" t="n">
        <f aca="false">IF(AND(CS186=1,INT(N(H186))&lt;=Config!$B$8),IF(COUNTIFS($AW$2:$AW$201,AW186,$CS$2:$CS$201,1,$H$2:$H$201,"&gt;"&amp;H186,$H$2:$H$201,"&lt;"&amp;(Config!$B$8+1))+COUNTIFS($AW$2:$AW$201,AW186,$CS$2:$CS$201,1,$H$2:$H$201,H186,$AX$2:$AX$201,"&gt;"&amp;AX186)=0,1,0),0)</f>
        <v>0</v>
      </c>
      <c r="CY186" s="23" t="n">
        <f aca="false">IF(AND(CS186=1,INT(N(H186))&lt;=Config!$B$5),IF(COUNTIFS($AW$2:$AW$201,AW186,$CS$2:$CS$201,1,$H$2:$H$201,"&gt;"&amp;H186,$H$2:$H$201,"&lt;"&amp;(Config!$B$5+1))+COUNTIFS($AW$2:$AW$201,AW186,$CS$2:$CS$201,1,$H$2:$H$201,H186,$AX$2:$AX$201,"&gt;"&amp;AX186)=0,1,0),0)</f>
        <v>0</v>
      </c>
      <c r="CZ186" s="23" t="n">
        <f aca="false">IF(AY186=1,IF(COUNTIFS($AW$2:$AW$201,AW186,$CV$2:$CV$201,1,$BB$2:$BB$201,1)&gt;0,1,0),0)</f>
        <v>0</v>
      </c>
      <c r="DA186" s="23" t="n">
        <f aca="false">IF(AY186=1,IF(COUNTIFS($AW$2:$AW$201,AW186,$CW$2:$CW$201,1,$BB$2:$BB$201,1)&gt;0,1,0),0)</f>
        <v>0</v>
      </c>
      <c r="DB186" s="23" t="n">
        <f aca="false">IF(AY186=1,IF(COUNTIFS($AW$2:$AW$201,AW186,$CX$2:$CX$201,1,$BB$2:$BB$201,1)&gt;0,1,0),0)</f>
        <v>0</v>
      </c>
      <c r="DC186" s="23" t="n">
        <f aca="false">IF(AY186=1,IF(COUNTIFS($AW$2:$AW$201,AW186,$CY$2:$CY$201,1,$BB$2:$BB$201,1)&gt;0,1,0),0)</f>
        <v>0</v>
      </c>
      <c r="DD186" s="23" t="n">
        <f aca="false">IF(AND(BC186=1,INT(N(H186))&lt;=Config!$B$6,CZ186=1),1,0)</f>
        <v>0</v>
      </c>
      <c r="DE186" s="23" t="n">
        <f aca="false">IF(AND(BC186=1,INT(N(H186))&lt;=Config!$B$7,DA186=1),1,0)</f>
        <v>0</v>
      </c>
      <c r="DF186" s="23" t="n">
        <f aca="false">IF(AND(BC186=1,INT(N(H186))&lt;=Config!$B$8,DB186=1),1,0)</f>
        <v>0</v>
      </c>
      <c r="DG186" s="23" t="n">
        <f aca="false">IF(AND(BC186=1,INT(N(H186))&lt;=Config!$B$5,DC186=1),1,0)</f>
        <v>0</v>
      </c>
      <c r="DH186" s="23" t="n">
        <f aca="false">IF(AND(BE186=1,INT(N(H186))&lt;=Config!$B$6,CZ186=1),1,0)</f>
        <v>0</v>
      </c>
      <c r="DI186" s="23" t="n">
        <f aca="false">IF(AND(BE186=1,INT(N(H186))&lt;=Config!$B$7,DA186=1),1,0)</f>
        <v>0</v>
      </c>
      <c r="DJ186" s="23" t="n">
        <f aca="false">IF(AND(BE186=1,INT(N(H186))&lt;=Config!$B$8,DB186=1),1,0)</f>
        <v>0</v>
      </c>
      <c r="DK186" s="23" t="n">
        <f aca="false">IF(AND(BE186=1,INT(N(H186))&lt;=Config!$B$5,DC186=1),1,0)</f>
        <v>0</v>
      </c>
      <c r="DL186" s="23" t="n">
        <f aca="false">IF(AND(BC186=1,INT(N(H186))&lt;=Config!$B$6,CZ186=0),1,0)</f>
        <v>0</v>
      </c>
      <c r="DM186" s="23" t="n">
        <f aca="false">IF(AND(BC186=1,INT(N(H186))&lt;=Config!$B$7,DA186=0),1,0)</f>
        <v>0</v>
      </c>
      <c r="DN186" s="23" t="n">
        <f aca="false">IF(AND(BC186=1,INT(N(H186))&lt;=Config!$B$8,DB186=0),1,0)</f>
        <v>0</v>
      </c>
      <c r="DO186" s="23" t="n">
        <f aca="false">IF(AND(BC186=1,INT(N(H186))&lt;=Config!$B$5,DC186=0),1,0)</f>
        <v>0</v>
      </c>
      <c r="DP186" s="23" t="n">
        <f aca="false">IF(TRIM($A186)="",0,ISTEXT(K186)+ISTEXT(L186)+ISTEXT(R186)+ISTEXT(V186)+ISTEXT(AP186)+ISTEXT(AS186))</f>
        <v>0</v>
      </c>
      <c r="DQ186" s="23" t="n">
        <f aca="false">IF(AY186=1,IF(H186&lt;&gt;INT(H186),1,0),0)</f>
        <v>0</v>
      </c>
      <c r="DR186" s="23" t="str">
        <f aca="false">IF(TRIM($A186)="","",IF(TRIM(B186)="",SUBSTITUTE(SUBSTITUTE(SUBSTITUTE(SUBSTITUTE(SUBSTITUTE(SUBSTITUTE(LOWER(TRIM($A186)),"~",""),"*",""),"?",""),"&lt;",""),"&gt;",""),"=",""),SUBSTITUTE(SUBSTITUTE(SUBSTITUTE(SUBSTITUTE(SUBSTITUTE(SUBSTITUTE(LOWER(TRIM(B186)),"~",""),"*",""),"?",""),"&lt;",""),"&gt;",""),"=","")))</f>
        <v/>
      </c>
      <c r="DS186" s="23" t="str">
        <f aca="false">IF(CM186="","",IFERROR(IF(LEFT(LOWER(TRIM(INDEX(Clay_Brands!$A$2:$FZ$601,CM186,Sync!$D$19)&amp;"")),4)="grp-",SUBSTITUTE(SUBSTITUTE(SUBSTITUTE(SUBSTITUTE(SUBSTITUTE(SUBSTITUTE(LOWER(TRIM(INDEX(Clay_Brands!$A$2:$FZ$601,CM186,Sync!$D$19)&amp;"")),"~",""),"*",""),"?",""),"&lt;",""),"&gt;",""),"=",""),""),""))</f>
        <v/>
      </c>
      <c r="DT186" s="23" t="str">
        <f aca="false">IF(DS186&lt;&gt;"",DR186,"")</f>
        <v/>
      </c>
      <c r="DU186" s="23" t="str">
        <f aca="false">IF(AZ186=1,AW186,"")</f>
        <v/>
      </c>
      <c r="DV186" s="23" t="str">
        <f aca="false">IF(TRIM($A186)="","",IFERROR(INDEX($A$2:$A$201,MATCH(AW186,$DU$2:$DU$201,0))&amp;"",$A186&amp;""))</f>
        <v/>
      </c>
      <c r="DW186" s="23" t="n">
        <f aca="false">IF(AY186=1,IF(COUNTIFS($A$2:$A$201,$A186,$AY$2:$AY$201,1,$H$2:$H$201,"&lt;"&amp;H186)+COUNTIFS($A$2:$A$201,$A186,$AY$2:$AY$201,1,$H$2:$H$201,H186,$AX$2:$AX$201,"&lt;"&amp;AX186)=0,1,0),0)</f>
        <v>0</v>
      </c>
      <c r="DX186" s="23" t="n">
        <f aca="false">IF(AZ186=1,IF(COUNTIFS($AW$2:$AW$201,AW186,$DW$2:$DW$201,1)&gt;1,1,0),0)</f>
        <v>0</v>
      </c>
    </row>
    <row r="187" customFormat="false" ht="15" hidden="false" customHeight="false" outlineLevel="0" collapsed="false">
      <c r="G187" s="32"/>
      <c r="H187" s="33"/>
      <c r="I187" s="32"/>
      <c r="O187" s="32"/>
      <c r="P187" s="32"/>
      <c r="U187" s="32"/>
      <c r="Y187" s="32"/>
      <c r="AB187" s="32"/>
      <c r="AC187" s="32"/>
      <c r="AD187" s="32"/>
      <c r="AE187" s="32"/>
      <c r="AF187" s="32"/>
      <c r="AG187" s="32"/>
      <c r="AI187" s="32"/>
      <c r="AJ187" s="32"/>
      <c r="AK187" s="32"/>
      <c r="AN187" s="32"/>
      <c r="AO187" s="32"/>
      <c r="AR187" s="32"/>
      <c r="AT187" s="32"/>
      <c r="AV187" s="34" t="str">
        <f aca="false">IF(TRIM($A187)="","",IF(AND(LEFT($A187,6)="SAMPLE",Config!$B$19&lt;&gt;"Y"),"",IF(NOT(ISNUMBER(H187)),"call_date is blank or not a date",IF(Sync!$D$5="","Clay paste is empty or has no row_id column: paste the Clay export on Clay_Brands",IF(CM187="","row_id not found in the Clay paste: add the Clay row or fix the row_id",IF(AND(ISNUMBER(CO187),CO187&gt;=1,CO187&lt;=5),"Clay status is "&amp;CN187&amp;": set call_done or later",IF(AND(BA187=1,CP187&lt;&gt;CB187),"Clay yes_in_principle should be "&amp;CB187,IF(AND(BA187=1,CQ187&lt;&gt;H187),"Clay call_date should be "&amp;TEXT(H187,"yyyy-mm-dd"),""))))))))</f>
        <v/>
      </c>
      <c r="AW187" s="23" t="str">
        <f aca="false">IF(TRIM($A187)="","",IF(TRIM(C187)&lt;&gt;"",SUBSTITUTE(SUBSTITUTE(SUBSTITUTE(SUBSTITUTE(SUBSTITUTE(SUBSTITUTE(LOWER(TRIM(C187)),"~",""),"*",""),"?",""),"&lt;",""),"&gt;",""),"=",""),IF(DS187&lt;&gt;"",DS187,IFERROR(INDEX($DS$2:$DS$201,MATCH(DR187,$DT$2:$DT$201,0)),DR187))))</f>
        <v/>
      </c>
      <c r="AX187" s="23" t="n">
        <f aca="false">ROW()</f>
        <v>187</v>
      </c>
      <c r="AY187" s="23" t="n">
        <f aca="false">IF(AND(TRIM($A187)&lt;&gt;"",ISNUMBER(H187)),IF(AND(LEFT($A187,6)="SAMPLE",Config!$B$19&lt;&gt;"Y"),0,1),0)</f>
        <v>0</v>
      </c>
      <c r="AZ187" s="23" t="n">
        <f aca="false">IF(AY187=1,IF(COUNTIFS($AW$2:$AW$201,AW187,$AY$2:$AY$201,1,$H$2:$H$201,"&lt;"&amp;H187)+COUNTIFS($AW$2:$AW$201,AW187,$AY$2:$AY$201,1,$H$2:$H$201,H187,$AX$2:$AX$201,"&lt;"&amp;AX187)=0,1,0),0)</f>
        <v>0</v>
      </c>
      <c r="BA187" s="23" t="n">
        <f aca="false">IF(AY187=1,IF(COUNTIFS($A$2:$A$201,$A187,$AY$2:$AY$201,1,$H$2:$H$201,"&gt;"&amp;H187)+COUNTIFS($A$2:$A$201,$A187,$AY$2:$AY$201,1,$H$2:$H$201,H187,$AX$2:$AX$201,"&gt;"&amp;AX187)=0,1,0),0)</f>
        <v>0</v>
      </c>
      <c r="BB187" s="23" t="n">
        <f aca="false">IF(AND(AY187=1,O187="Y",MAX(N(R187),N(V187))&gt;=Config!$B$14),1,0)</f>
        <v>0</v>
      </c>
      <c r="BC187" s="23" t="n">
        <f aca="false">IF(BB187=1,IF(COUNTIFS($AW$2:$AW$201,AW187,$BB$2:$BB$201,1,$H$2:$H$201,"&lt;"&amp;H187)+COUNTIFS($AW$2:$AW$201,AW187,$BB$2:$BB$201,1,$H$2:$H$201,H187,$AX$2:$AX$201,"&lt;"&amp;AX187)=0,1,0),0)</f>
        <v>0</v>
      </c>
      <c r="BD187" s="23" t="n">
        <f aca="false">IF(AND(AY187=1,O187="Y",ISNUMBER(R187)),IF(R187&gt;=Config!$B$14,1,0),0)</f>
        <v>0</v>
      </c>
      <c r="BE187" s="23" t="n">
        <f aca="false">IF(BD187=1,IF(COUNTIFS($AW$2:$AW$201,AW187,$BD$2:$BD$201,1,$H$2:$H$201,"&lt;"&amp;H187)+COUNTIFS($AW$2:$AW$201,AW187,$BD$2:$BD$201,1,$H$2:$H$201,H187,$AX$2:$AX$201,"&lt;"&amp;AX187)=0,1,0),0)</f>
        <v>0</v>
      </c>
      <c r="BF187" s="23" t="n">
        <f aca="false">IF(AND(AY187=1,O187&lt;&gt;"Y",MAX(N(R187),N(V187))&gt;=Config!$B$14),1,0)</f>
        <v>0</v>
      </c>
      <c r="BG187" s="23" t="n">
        <f aca="false">IF(BF187=1,IF(COUNTIFS($AW$2:$AW$201,AW187,$BF$2:$BF$201,1,$H$2:$H$201,"&lt;"&amp;H187)+COUNTIFS($AW$2:$AW$201,AW187,$BF$2:$BF$201,1,$H$2:$H$201,H187,$AX$2:$AX$201,"&lt;"&amp;AX187)=0,1,0),0)</f>
        <v>0</v>
      </c>
      <c r="BH187" s="23" t="n">
        <f aca="false">IF(AND(AY187=1,ISNUMBER(R187)),1,0)</f>
        <v>0</v>
      </c>
      <c r="BI187" s="23" t="n">
        <f aca="false">IF(BH187=1,IF(COUNTIFS($AW$2:$AW$201,AW187,$BH$2:$BH$201,1,$H$2:$H$201,"&lt;"&amp;H187)+COUNTIFS($AW$2:$AW$201,AW187,$BH$2:$BH$201,1,$H$2:$H$201,H187,$AX$2:$AX$201,"&lt;"&amp;AX187)=0,1,0),0)</f>
        <v>0</v>
      </c>
      <c r="BJ187" s="23" t="str">
        <f aca="false">IF(AND(BI187=1,INT(N(H187))&lt;=Config!$B$6),R187,"")</f>
        <v/>
      </c>
      <c r="BK187" s="23" t="str">
        <f aca="false">IF(AND(BI187=1,INT(N(H187))&lt;=Config!$B$7),R187,"")</f>
        <v/>
      </c>
      <c r="BL187" s="23" t="str">
        <f aca="false">IF(AND(BI187=1,INT(N(H187))&lt;=Config!$B$8),R187,"")</f>
        <v/>
      </c>
      <c r="BM187" s="23" t="str">
        <f aca="false">IF(AND(BI187=1,INT(N(H187))&lt;=Config!$B$5),R187,"")</f>
        <v/>
      </c>
      <c r="BN187" s="23" t="n">
        <f aca="false">IF(AND(AY187=1,ISNUMBER(V187)),1,0)</f>
        <v>0</v>
      </c>
      <c r="BO187" s="23" t="n">
        <f aca="false">IF(BN187=1,IF(COUNTIFS($AW$2:$AW$201,AW187,$BN$2:$BN$201,1,$H$2:$H$201,"&lt;"&amp;H187)+COUNTIFS($AW$2:$AW$201,AW187,$BN$2:$BN$201,1,$H$2:$H$201,H187,$AX$2:$AX$201,"&lt;"&amp;AX187)=0,1,0),0)</f>
        <v>0</v>
      </c>
      <c r="BP187" s="23" t="str">
        <f aca="false">IF(AND(BO187=1,INT(N(H187))&lt;=Config!$B$6),V187,"")</f>
        <v/>
      </c>
      <c r="BQ187" s="23" t="str">
        <f aca="false">IF(AND(BO187=1,INT(N(H187))&lt;=Config!$B$7),V187,"")</f>
        <v/>
      </c>
      <c r="BR187" s="23" t="str">
        <f aca="false">IF(AND(BO187=1,INT(N(H187))&lt;=Config!$B$8),V187,"")</f>
        <v/>
      </c>
      <c r="BS187" s="23" t="str">
        <f aca="false">IF(AND(BO187=1,INT(N(H187))&lt;=Config!$B$5),V187,"")</f>
        <v/>
      </c>
      <c r="BT187" s="23" t="n">
        <f aca="false">IF(AND(AY187=1,ISNUMBER(K187)),1,0)</f>
        <v>0</v>
      </c>
      <c r="BU187" s="23" t="n">
        <f aca="false">IF(BT187=1,IF(COUNTIFS($AW$2:$AW$201,AW187,$BT$2:$BT$201,1,$H$2:$H$201,"&lt;"&amp;H187)+COUNTIFS($AW$2:$AW$201,AW187,$BT$2:$BT$201,1,$H$2:$H$201,H187,$AX$2:$AX$201,"&lt;"&amp;AX187)=0,1,0),0)</f>
        <v>0</v>
      </c>
      <c r="BV187" s="23" t="str">
        <f aca="false">IF(AND(BU187=1,INT(N(H187))&lt;=Config!$B$5),K187,"")</f>
        <v/>
      </c>
      <c r="BW187" s="23" t="n">
        <f aca="false">IF(AND(AY187=1,OR(AND(ISNUMBER(R187),TRIM(S187)=""),AND(ISNUMBER(V187),TRIM(W187)=""))),1,0)</f>
        <v>0</v>
      </c>
      <c r="BX187" s="23" t="str">
        <f aca="false">IF(AY187=1,AJ187&amp;"","")</f>
        <v/>
      </c>
      <c r="BY187" s="23" t="str">
        <f aca="false">IF(AY187=1,AK187&amp;"","")</f>
        <v/>
      </c>
      <c r="BZ187" s="23" t="str">
        <f aca="false">IF(AY187=1,AL187&amp;"","")</f>
        <v/>
      </c>
      <c r="CA187" s="23" t="str">
        <f aca="false">IF(AND(AY187=1,ISNUMBER(AS187),INT(N(H187))&lt;=Config!$B$5),AS187,"")</f>
        <v/>
      </c>
      <c r="CB187" s="23" t="str">
        <f aca="false">IF(AY187=1,IF(COUNTIFS($A$2:$A$201,$A187,$CU$2:$CU$201,1,$AN$2:$AN$201,"Y")&gt;0,"Y","N"),"")</f>
        <v/>
      </c>
      <c r="CC187" s="23" t="n">
        <f aca="false">IF(AND(AY187=1,AN187="Y"),IF(COUNTIFS($AW$2:$AW$201,AW187,$AN$2:$AN$201,"Y",$AY$2:$AY$201,1,$H$2:$H$201,"&lt;"&amp;H187)+COUNTIFS($AW$2:$AW$201,AW187,$AN$2:$AN$201,"Y",$AY$2:$AY$201,1,$H$2:$H$201,H187,$AX$2:$AX$201,"&lt;"&amp;AX187)=0,1,0),0)</f>
        <v>0</v>
      </c>
      <c r="CD187" s="23" t="n">
        <f aca="false">IF(AND(AY187=1,AB187="Y",AC187="Y",AD187="Y",AE187="Y",AF187="Y",AG187="Y",AI187="Y",TRIM(AH187)&lt;&gt;""),1,0)</f>
        <v>0</v>
      </c>
      <c r="CE187" s="23" t="n">
        <f aca="false">IF(CD187=1,IF(COUNTIFS($AW$2:$AW$201,AW187,$CD$2:$CD$201,1,$H$2:$H$201,"&lt;"&amp;H187)+COUNTIFS($AW$2:$AW$201,AW187,$CD$2:$CD$201,1,$H$2:$H$201,H187,$AX$2:$AX$201,"&lt;"&amp;AX187)=0,1,0),0)</f>
        <v>0</v>
      </c>
      <c r="CF187" s="23" t="n">
        <f aca="false">IF(AND(AY187=1,AO187="Y"),1,0)</f>
        <v>0</v>
      </c>
      <c r="CG187" s="23" t="n">
        <f aca="false">IF(CF187=1,IF(COUNTIFS($AW$2:$AW$201,AW187,$CF$2:$CF$201,1,$H$2:$H$201,"&lt;"&amp;H187)+COUNTIFS($AW$2:$AW$201,AW187,$CF$2:$CF$201,1,$H$2:$H$201,H187,$AX$2:$AX$201,"&lt;"&amp;AX187)=0,1,0),0)</f>
        <v>0</v>
      </c>
      <c r="CH187" s="23" t="n">
        <f aca="false">IF(AND(AY187=1,P187="Y"),1,0)</f>
        <v>0</v>
      </c>
      <c r="CI187" s="23" t="n">
        <f aca="false">IF(CH187=1,IF(COUNTIFS($AW$2:$AW$201,AW187,$CH$2:$CH$201,1,$H$2:$H$201,"&lt;"&amp;H187)+COUNTIFS($AW$2:$AW$201,AW187,$CH$2:$CH$201,1,$H$2:$H$201,H187,$AX$2:$AX$201,"&lt;"&amp;AX187)=0,1,0),0)</f>
        <v>0</v>
      </c>
      <c r="CJ187" s="23" t="str">
        <f aca="false">IF(AND(BU187=1,INT(N(H187))&lt;=Config!$B$5),L187,"")</f>
        <v/>
      </c>
      <c r="CK187" s="23" t="n">
        <f aca="false">IF(AND(AY187=1,AR187="Y"),1,0)</f>
        <v>0</v>
      </c>
      <c r="CL187" s="23" t="n">
        <f aca="false">IF(CK187=1,IF(COUNTIFS($AW$2:$AW$201,AW187,$CK$2:$CK$201,1,$H$2:$H$201,"&lt;"&amp;H187)+COUNTIFS($AW$2:$AW$201,AW187,$CK$2:$CK$201,1,$H$2:$H$201,H187,$AX$2:$AX$201,"&lt;"&amp;AX187)=0,1,0),0)</f>
        <v>0</v>
      </c>
      <c r="CM187" s="23" t="str">
        <f aca="false">IF(AY187=1,IFERROR(MATCH($A187,INDEX(Clay_Brands!$A$2:$FZ$601,0,Sync!$D$5),0),""),"")</f>
        <v/>
      </c>
      <c r="CN187" s="23" t="str">
        <f aca="false">IF(CM187="","",IFERROR(INDEX(Clay_Brands!$A$2:$FZ$601,CM187,Sync!$D$7)&amp;"",""))</f>
        <v/>
      </c>
      <c r="CO187" s="23" t="str">
        <f aca="false">IF(CN187="","",IFERROR(INDEX(Lists!$K$2:$K$15,MATCH(CN187,Lists!$J$2:$J$15,0)),""))</f>
        <v/>
      </c>
      <c r="CP187" s="23" t="str">
        <f aca="false">IF(CM187="","",IFERROR(INDEX(Clay_Brands!$A$2:$FZ$601,CM187,Sync!$D$17)&amp;"",""))</f>
        <v/>
      </c>
      <c r="CQ187" s="35" t="str">
        <f aca="false">IF(CM187="","",IFERROR(N(INDEX(Clay_Brands!$A$2:$FZ$601,CM187,Sync!$D$16)),0))</f>
        <v/>
      </c>
      <c r="CR187" s="23" t="n">
        <f aca="false">IF(AND(AY187=1,OR(O187="N",AND(OR(ISNUMBER(R187),ISNUMBER(V187)),MAX(N(R187),N(V187))&lt;Config!$B$14))),1,0)</f>
        <v>0</v>
      </c>
      <c r="CS187" s="23" t="n">
        <f aca="false">IF(OR(BB187=1,CR187=1),1,0)</f>
        <v>0</v>
      </c>
      <c r="CT187" s="23" t="n">
        <f aca="false">IF(AND(AY187=1,OR(AN187="Y",AN187="N",AN187="maybe")),1,0)</f>
        <v>0</v>
      </c>
      <c r="CU187" s="23" t="n">
        <f aca="false">IF(AND(CT187=1),IF(COUNTIFS($A$2:$A$201,$A187,$CT$2:$CT$201,1,$H$2:$H$201,"&gt;"&amp;H187)+COUNTIFS($A$2:$A$201,$A187,$CT$2:$CT$201,1,$H$2:$H$201,H187,$AX$2:$AX$201,"&gt;"&amp;AX187)=0,1,0),0)</f>
        <v>0</v>
      </c>
      <c r="CV187" s="23" t="n">
        <f aca="false">IF(AND(CS187=1,INT(N(H187))&lt;=Config!$B$6),IF(COUNTIFS($AW$2:$AW$201,AW187,$CS$2:$CS$201,1,$H$2:$H$201,"&gt;"&amp;H187,$H$2:$H$201,"&lt;"&amp;(Config!$B$6+1))+COUNTIFS($AW$2:$AW$201,AW187,$CS$2:$CS$201,1,$H$2:$H$201,H187,$AX$2:$AX$201,"&gt;"&amp;AX187)=0,1,0),0)</f>
        <v>0</v>
      </c>
      <c r="CW187" s="23" t="n">
        <f aca="false">IF(AND(CS187=1,INT(N(H187))&lt;=Config!$B$7),IF(COUNTIFS($AW$2:$AW$201,AW187,$CS$2:$CS$201,1,$H$2:$H$201,"&gt;"&amp;H187,$H$2:$H$201,"&lt;"&amp;(Config!$B$7+1))+COUNTIFS($AW$2:$AW$201,AW187,$CS$2:$CS$201,1,$H$2:$H$201,H187,$AX$2:$AX$201,"&gt;"&amp;AX187)=0,1,0),0)</f>
        <v>0</v>
      </c>
      <c r="CX187" s="23" t="n">
        <f aca="false">IF(AND(CS187=1,INT(N(H187))&lt;=Config!$B$8),IF(COUNTIFS($AW$2:$AW$201,AW187,$CS$2:$CS$201,1,$H$2:$H$201,"&gt;"&amp;H187,$H$2:$H$201,"&lt;"&amp;(Config!$B$8+1))+COUNTIFS($AW$2:$AW$201,AW187,$CS$2:$CS$201,1,$H$2:$H$201,H187,$AX$2:$AX$201,"&gt;"&amp;AX187)=0,1,0),0)</f>
        <v>0</v>
      </c>
      <c r="CY187" s="23" t="n">
        <f aca="false">IF(AND(CS187=1,INT(N(H187))&lt;=Config!$B$5),IF(COUNTIFS($AW$2:$AW$201,AW187,$CS$2:$CS$201,1,$H$2:$H$201,"&gt;"&amp;H187,$H$2:$H$201,"&lt;"&amp;(Config!$B$5+1))+COUNTIFS($AW$2:$AW$201,AW187,$CS$2:$CS$201,1,$H$2:$H$201,H187,$AX$2:$AX$201,"&gt;"&amp;AX187)=0,1,0),0)</f>
        <v>0</v>
      </c>
      <c r="CZ187" s="23" t="n">
        <f aca="false">IF(AY187=1,IF(COUNTIFS($AW$2:$AW$201,AW187,$CV$2:$CV$201,1,$BB$2:$BB$201,1)&gt;0,1,0),0)</f>
        <v>0</v>
      </c>
      <c r="DA187" s="23" t="n">
        <f aca="false">IF(AY187=1,IF(COUNTIFS($AW$2:$AW$201,AW187,$CW$2:$CW$201,1,$BB$2:$BB$201,1)&gt;0,1,0),0)</f>
        <v>0</v>
      </c>
      <c r="DB187" s="23" t="n">
        <f aca="false">IF(AY187=1,IF(COUNTIFS($AW$2:$AW$201,AW187,$CX$2:$CX$201,1,$BB$2:$BB$201,1)&gt;0,1,0),0)</f>
        <v>0</v>
      </c>
      <c r="DC187" s="23" t="n">
        <f aca="false">IF(AY187=1,IF(COUNTIFS($AW$2:$AW$201,AW187,$CY$2:$CY$201,1,$BB$2:$BB$201,1)&gt;0,1,0),0)</f>
        <v>0</v>
      </c>
      <c r="DD187" s="23" t="n">
        <f aca="false">IF(AND(BC187=1,INT(N(H187))&lt;=Config!$B$6,CZ187=1),1,0)</f>
        <v>0</v>
      </c>
      <c r="DE187" s="23" t="n">
        <f aca="false">IF(AND(BC187=1,INT(N(H187))&lt;=Config!$B$7,DA187=1),1,0)</f>
        <v>0</v>
      </c>
      <c r="DF187" s="23" t="n">
        <f aca="false">IF(AND(BC187=1,INT(N(H187))&lt;=Config!$B$8,DB187=1),1,0)</f>
        <v>0</v>
      </c>
      <c r="DG187" s="23" t="n">
        <f aca="false">IF(AND(BC187=1,INT(N(H187))&lt;=Config!$B$5,DC187=1),1,0)</f>
        <v>0</v>
      </c>
      <c r="DH187" s="23" t="n">
        <f aca="false">IF(AND(BE187=1,INT(N(H187))&lt;=Config!$B$6,CZ187=1),1,0)</f>
        <v>0</v>
      </c>
      <c r="DI187" s="23" t="n">
        <f aca="false">IF(AND(BE187=1,INT(N(H187))&lt;=Config!$B$7,DA187=1),1,0)</f>
        <v>0</v>
      </c>
      <c r="DJ187" s="23" t="n">
        <f aca="false">IF(AND(BE187=1,INT(N(H187))&lt;=Config!$B$8,DB187=1),1,0)</f>
        <v>0</v>
      </c>
      <c r="DK187" s="23" t="n">
        <f aca="false">IF(AND(BE187=1,INT(N(H187))&lt;=Config!$B$5,DC187=1),1,0)</f>
        <v>0</v>
      </c>
      <c r="DL187" s="23" t="n">
        <f aca="false">IF(AND(BC187=1,INT(N(H187))&lt;=Config!$B$6,CZ187=0),1,0)</f>
        <v>0</v>
      </c>
      <c r="DM187" s="23" t="n">
        <f aca="false">IF(AND(BC187=1,INT(N(H187))&lt;=Config!$B$7,DA187=0),1,0)</f>
        <v>0</v>
      </c>
      <c r="DN187" s="23" t="n">
        <f aca="false">IF(AND(BC187=1,INT(N(H187))&lt;=Config!$B$8,DB187=0),1,0)</f>
        <v>0</v>
      </c>
      <c r="DO187" s="23" t="n">
        <f aca="false">IF(AND(BC187=1,INT(N(H187))&lt;=Config!$B$5,DC187=0),1,0)</f>
        <v>0</v>
      </c>
      <c r="DP187" s="23" t="n">
        <f aca="false">IF(TRIM($A187)="",0,ISTEXT(K187)+ISTEXT(L187)+ISTEXT(R187)+ISTEXT(V187)+ISTEXT(AP187)+ISTEXT(AS187))</f>
        <v>0</v>
      </c>
      <c r="DQ187" s="23" t="n">
        <f aca="false">IF(AY187=1,IF(H187&lt;&gt;INT(H187),1,0),0)</f>
        <v>0</v>
      </c>
      <c r="DR187" s="23" t="str">
        <f aca="false">IF(TRIM($A187)="","",IF(TRIM(B187)="",SUBSTITUTE(SUBSTITUTE(SUBSTITUTE(SUBSTITUTE(SUBSTITUTE(SUBSTITUTE(LOWER(TRIM($A187)),"~",""),"*",""),"?",""),"&lt;",""),"&gt;",""),"=",""),SUBSTITUTE(SUBSTITUTE(SUBSTITUTE(SUBSTITUTE(SUBSTITUTE(SUBSTITUTE(LOWER(TRIM(B187)),"~",""),"*",""),"?",""),"&lt;",""),"&gt;",""),"=","")))</f>
        <v/>
      </c>
      <c r="DS187" s="23" t="str">
        <f aca="false">IF(CM187="","",IFERROR(IF(LEFT(LOWER(TRIM(INDEX(Clay_Brands!$A$2:$FZ$601,CM187,Sync!$D$19)&amp;"")),4)="grp-",SUBSTITUTE(SUBSTITUTE(SUBSTITUTE(SUBSTITUTE(SUBSTITUTE(SUBSTITUTE(LOWER(TRIM(INDEX(Clay_Brands!$A$2:$FZ$601,CM187,Sync!$D$19)&amp;"")),"~",""),"*",""),"?",""),"&lt;",""),"&gt;",""),"=",""),""),""))</f>
        <v/>
      </c>
      <c r="DT187" s="23" t="str">
        <f aca="false">IF(DS187&lt;&gt;"",DR187,"")</f>
        <v/>
      </c>
      <c r="DU187" s="23" t="str">
        <f aca="false">IF(AZ187=1,AW187,"")</f>
        <v/>
      </c>
      <c r="DV187" s="23" t="str">
        <f aca="false">IF(TRIM($A187)="","",IFERROR(INDEX($A$2:$A$201,MATCH(AW187,$DU$2:$DU$201,0))&amp;"",$A187&amp;""))</f>
        <v/>
      </c>
      <c r="DW187" s="23" t="n">
        <f aca="false">IF(AY187=1,IF(COUNTIFS($A$2:$A$201,$A187,$AY$2:$AY$201,1,$H$2:$H$201,"&lt;"&amp;H187)+COUNTIFS($A$2:$A$201,$A187,$AY$2:$AY$201,1,$H$2:$H$201,H187,$AX$2:$AX$201,"&lt;"&amp;AX187)=0,1,0),0)</f>
        <v>0</v>
      </c>
      <c r="DX187" s="23" t="n">
        <f aca="false">IF(AZ187=1,IF(COUNTIFS($AW$2:$AW$201,AW187,$DW$2:$DW$201,1)&gt;1,1,0),0)</f>
        <v>0</v>
      </c>
    </row>
    <row r="188" customFormat="false" ht="15" hidden="false" customHeight="false" outlineLevel="0" collapsed="false">
      <c r="G188" s="32"/>
      <c r="H188" s="33"/>
      <c r="I188" s="32"/>
      <c r="O188" s="32"/>
      <c r="P188" s="32"/>
      <c r="U188" s="32"/>
      <c r="Y188" s="32"/>
      <c r="AB188" s="32"/>
      <c r="AC188" s="32"/>
      <c r="AD188" s="32"/>
      <c r="AE188" s="32"/>
      <c r="AF188" s="32"/>
      <c r="AG188" s="32"/>
      <c r="AI188" s="32"/>
      <c r="AJ188" s="32"/>
      <c r="AK188" s="32"/>
      <c r="AN188" s="32"/>
      <c r="AO188" s="32"/>
      <c r="AR188" s="32"/>
      <c r="AT188" s="32"/>
      <c r="AV188" s="34" t="str">
        <f aca="false">IF(TRIM($A188)="","",IF(AND(LEFT($A188,6)="SAMPLE",Config!$B$19&lt;&gt;"Y"),"",IF(NOT(ISNUMBER(H188)),"call_date is blank or not a date",IF(Sync!$D$5="","Clay paste is empty or has no row_id column: paste the Clay export on Clay_Brands",IF(CM188="","row_id not found in the Clay paste: add the Clay row or fix the row_id",IF(AND(ISNUMBER(CO188),CO188&gt;=1,CO188&lt;=5),"Clay status is "&amp;CN188&amp;": set call_done or later",IF(AND(BA188=1,CP188&lt;&gt;CB188),"Clay yes_in_principle should be "&amp;CB188,IF(AND(BA188=1,CQ188&lt;&gt;H188),"Clay call_date should be "&amp;TEXT(H188,"yyyy-mm-dd"),""))))))))</f>
        <v/>
      </c>
      <c r="AW188" s="23" t="str">
        <f aca="false">IF(TRIM($A188)="","",IF(TRIM(C188)&lt;&gt;"",SUBSTITUTE(SUBSTITUTE(SUBSTITUTE(SUBSTITUTE(SUBSTITUTE(SUBSTITUTE(LOWER(TRIM(C188)),"~",""),"*",""),"?",""),"&lt;",""),"&gt;",""),"=",""),IF(DS188&lt;&gt;"",DS188,IFERROR(INDEX($DS$2:$DS$201,MATCH(DR188,$DT$2:$DT$201,0)),DR188))))</f>
        <v/>
      </c>
      <c r="AX188" s="23" t="n">
        <f aca="false">ROW()</f>
        <v>188</v>
      </c>
      <c r="AY188" s="23" t="n">
        <f aca="false">IF(AND(TRIM($A188)&lt;&gt;"",ISNUMBER(H188)),IF(AND(LEFT($A188,6)="SAMPLE",Config!$B$19&lt;&gt;"Y"),0,1),0)</f>
        <v>0</v>
      </c>
      <c r="AZ188" s="23" t="n">
        <f aca="false">IF(AY188=1,IF(COUNTIFS($AW$2:$AW$201,AW188,$AY$2:$AY$201,1,$H$2:$H$201,"&lt;"&amp;H188)+COUNTIFS($AW$2:$AW$201,AW188,$AY$2:$AY$201,1,$H$2:$H$201,H188,$AX$2:$AX$201,"&lt;"&amp;AX188)=0,1,0),0)</f>
        <v>0</v>
      </c>
      <c r="BA188" s="23" t="n">
        <f aca="false">IF(AY188=1,IF(COUNTIFS($A$2:$A$201,$A188,$AY$2:$AY$201,1,$H$2:$H$201,"&gt;"&amp;H188)+COUNTIFS($A$2:$A$201,$A188,$AY$2:$AY$201,1,$H$2:$H$201,H188,$AX$2:$AX$201,"&gt;"&amp;AX188)=0,1,0),0)</f>
        <v>0</v>
      </c>
      <c r="BB188" s="23" t="n">
        <f aca="false">IF(AND(AY188=1,O188="Y",MAX(N(R188),N(V188))&gt;=Config!$B$14),1,0)</f>
        <v>0</v>
      </c>
      <c r="BC188" s="23" t="n">
        <f aca="false">IF(BB188=1,IF(COUNTIFS($AW$2:$AW$201,AW188,$BB$2:$BB$201,1,$H$2:$H$201,"&lt;"&amp;H188)+COUNTIFS($AW$2:$AW$201,AW188,$BB$2:$BB$201,1,$H$2:$H$201,H188,$AX$2:$AX$201,"&lt;"&amp;AX188)=0,1,0),0)</f>
        <v>0</v>
      </c>
      <c r="BD188" s="23" t="n">
        <f aca="false">IF(AND(AY188=1,O188="Y",ISNUMBER(R188)),IF(R188&gt;=Config!$B$14,1,0),0)</f>
        <v>0</v>
      </c>
      <c r="BE188" s="23" t="n">
        <f aca="false">IF(BD188=1,IF(COUNTIFS($AW$2:$AW$201,AW188,$BD$2:$BD$201,1,$H$2:$H$201,"&lt;"&amp;H188)+COUNTIFS($AW$2:$AW$201,AW188,$BD$2:$BD$201,1,$H$2:$H$201,H188,$AX$2:$AX$201,"&lt;"&amp;AX188)=0,1,0),0)</f>
        <v>0</v>
      </c>
      <c r="BF188" s="23" t="n">
        <f aca="false">IF(AND(AY188=1,O188&lt;&gt;"Y",MAX(N(R188),N(V188))&gt;=Config!$B$14),1,0)</f>
        <v>0</v>
      </c>
      <c r="BG188" s="23" t="n">
        <f aca="false">IF(BF188=1,IF(COUNTIFS($AW$2:$AW$201,AW188,$BF$2:$BF$201,1,$H$2:$H$201,"&lt;"&amp;H188)+COUNTIFS($AW$2:$AW$201,AW188,$BF$2:$BF$201,1,$H$2:$H$201,H188,$AX$2:$AX$201,"&lt;"&amp;AX188)=0,1,0),0)</f>
        <v>0</v>
      </c>
      <c r="BH188" s="23" t="n">
        <f aca="false">IF(AND(AY188=1,ISNUMBER(R188)),1,0)</f>
        <v>0</v>
      </c>
      <c r="BI188" s="23" t="n">
        <f aca="false">IF(BH188=1,IF(COUNTIFS($AW$2:$AW$201,AW188,$BH$2:$BH$201,1,$H$2:$H$201,"&lt;"&amp;H188)+COUNTIFS($AW$2:$AW$201,AW188,$BH$2:$BH$201,1,$H$2:$H$201,H188,$AX$2:$AX$201,"&lt;"&amp;AX188)=0,1,0),0)</f>
        <v>0</v>
      </c>
      <c r="BJ188" s="23" t="str">
        <f aca="false">IF(AND(BI188=1,INT(N(H188))&lt;=Config!$B$6),R188,"")</f>
        <v/>
      </c>
      <c r="BK188" s="23" t="str">
        <f aca="false">IF(AND(BI188=1,INT(N(H188))&lt;=Config!$B$7),R188,"")</f>
        <v/>
      </c>
      <c r="BL188" s="23" t="str">
        <f aca="false">IF(AND(BI188=1,INT(N(H188))&lt;=Config!$B$8),R188,"")</f>
        <v/>
      </c>
      <c r="BM188" s="23" t="str">
        <f aca="false">IF(AND(BI188=1,INT(N(H188))&lt;=Config!$B$5),R188,"")</f>
        <v/>
      </c>
      <c r="BN188" s="23" t="n">
        <f aca="false">IF(AND(AY188=1,ISNUMBER(V188)),1,0)</f>
        <v>0</v>
      </c>
      <c r="BO188" s="23" t="n">
        <f aca="false">IF(BN188=1,IF(COUNTIFS($AW$2:$AW$201,AW188,$BN$2:$BN$201,1,$H$2:$H$201,"&lt;"&amp;H188)+COUNTIFS($AW$2:$AW$201,AW188,$BN$2:$BN$201,1,$H$2:$H$201,H188,$AX$2:$AX$201,"&lt;"&amp;AX188)=0,1,0),0)</f>
        <v>0</v>
      </c>
      <c r="BP188" s="23" t="str">
        <f aca="false">IF(AND(BO188=1,INT(N(H188))&lt;=Config!$B$6),V188,"")</f>
        <v/>
      </c>
      <c r="BQ188" s="23" t="str">
        <f aca="false">IF(AND(BO188=1,INT(N(H188))&lt;=Config!$B$7),V188,"")</f>
        <v/>
      </c>
      <c r="BR188" s="23" t="str">
        <f aca="false">IF(AND(BO188=1,INT(N(H188))&lt;=Config!$B$8),V188,"")</f>
        <v/>
      </c>
      <c r="BS188" s="23" t="str">
        <f aca="false">IF(AND(BO188=1,INT(N(H188))&lt;=Config!$B$5),V188,"")</f>
        <v/>
      </c>
      <c r="BT188" s="23" t="n">
        <f aca="false">IF(AND(AY188=1,ISNUMBER(K188)),1,0)</f>
        <v>0</v>
      </c>
      <c r="BU188" s="23" t="n">
        <f aca="false">IF(BT188=1,IF(COUNTIFS($AW$2:$AW$201,AW188,$BT$2:$BT$201,1,$H$2:$H$201,"&lt;"&amp;H188)+COUNTIFS($AW$2:$AW$201,AW188,$BT$2:$BT$201,1,$H$2:$H$201,H188,$AX$2:$AX$201,"&lt;"&amp;AX188)=0,1,0),0)</f>
        <v>0</v>
      </c>
      <c r="BV188" s="23" t="str">
        <f aca="false">IF(AND(BU188=1,INT(N(H188))&lt;=Config!$B$5),K188,"")</f>
        <v/>
      </c>
      <c r="BW188" s="23" t="n">
        <f aca="false">IF(AND(AY188=1,OR(AND(ISNUMBER(R188),TRIM(S188)=""),AND(ISNUMBER(V188),TRIM(W188)=""))),1,0)</f>
        <v>0</v>
      </c>
      <c r="BX188" s="23" t="str">
        <f aca="false">IF(AY188=1,AJ188&amp;"","")</f>
        <v/>
      </c>
      <c r="BY188" s="23" t="str">
        <f aca="false">IF(AY188=1,AK188&amp;"","")</f>
        <v/>
      </c>
      <c r="BZ188" s="23" t="str">
        <f aca="false">IF(AY188=1,AL188&amp;"","")</f>
        <v/>
      </c>
      <c r="CA188" s="23" t="str">
        <f aca="false">IF(AND(AY188=1,ISNUMBER(AS188),INT(N(H188))&lt;=Config!$B$5),AS188,"")</f>
        <v/>
      </c>
      <c r="CB188" s="23" t="str">
        <f aca="false">IF(AY188=1,IF(COUNTIFS($A$2:$A$201,$A188,$CU$2:$CU$201,1,$AN$2:$AN$201,"Y")&gt;0,"Y","N"),"")</f>
        <v/>
      </c>
      <c r="CC188" s="23" t="n">
        <f aca="false">IF(AND(AY188=1,AN188="Y"),IF(COUNTIFS($AW$2:$AW$201,AW188,$AN$2:$AN$201,"Y",$AY$2:$AY$201,1,$H$2:$H$201,"&lt;"&amp;H188)+COUNTIFS($AW$2:$AW$201,AW188,$AN$2:$AN$201,"Y",$AY$2:$AY$201,1,$H$2:$H$201,H188,$AX$2:$AX$201,"&lt;"&amp;AX188)=0,1,0),0)</f>
        <v>0</v>
      </c>
      <c r="CD188" s="23" t="n">
        <f aca="false">IF(AND(AY188=1,AB188="Y",AC188="Y",AD188="Y",AE188="Y",AF188="Y",AG188="Y",AI188="Y",TRIM(AH188)&lt;&gt;""),1,0)</f>
        <v>0</v>
      </c>
      <c r="CE188" s="23" t="n">
        <f aca="false">IF(CD188=1,IF(COUNTIFS($AW$2:$AW$201,AW188,$CD$2:$CD$201,1,$H$2:$H$201,"&lt;"&amp;H188)+COUNTIFS($AW$2:$AW$201,AW188,$CD$2:$CD$201,1,$H$2:$H$201,H188,$AX$2:$AX$201,"&lt;"&amp;AX188)=0,1,0),0)</f>
        <v>0</v>
      </c>
      <c r="CF188" s="23" t="n">
        <f aca="false">IF(AND(AY188=1,AO188="Y"),1,0)</f>
        <v>0</v>
      </c>
      <c r="CG188" s="23" t="n">
        <f aca="false">IF(CF188=1,IF(COUNTIFS($AW$2:$AW$201,AW188,$CF$2:$CF$201,1,$H$2:$H$201,"&lt;"&amp;H188)+COUNTIFS($AW$2:$AW$201,AW188,$CF$2:$CF$201,1,$H$2:$H$201,H188,$AX$2:$AX$201,"&lt;"&amp;AX188)=0,1,0),0)</f>
        <v>0</v>
      </c>
      <c r="CH188" s="23" t="n">
        <f aca="false">IF(AND(AY188=1,P188="Y"),1,0)</f>
        <v>0</v>
      </c>
      <c r="CI188" s="23" t="n">
        <f aca="false">IF(CH188=1,IF(COUNTIFS($AW$2:$AW$201,AW188,$CH$2:$CH$201,1,$H$2:$H$201,"&lt;"&amp;H188)+COUNTIFS($AW$2:$AW$201,AW188,$CH$2:$CH$201,1,$H$2:$H$201,H188,$AX$2:$AX$201,"&lt;"&amp;AX188)=0,1,0),0)</f>
        <v>0</v>
      </c>
      <c r="CJ188" s="23" t="str">
        <f aca="false">IF(AND(BU188=1,INT(N(H188))&lt;=Config!$B$5),L188,"")</f>
        <v/>
      </c>
      <c r="CK188" s="23" t="n">
        <f aca="false">IF(AND(AY188=1,AR188="Y"),1,0)</f>
        <v>0</v>
      </c>
      <c r="CL188" s="23" t="n">
        <f aca="false">IF(CK188=1,IF(COUNTIFS($AW$2:$AW$201,AW188,$CK$2:$CK$201,1,$H$2:$H$201,"&lt;"&amp;H188)+COUNTIFS($AW$2:$AW$201,AW188,$CK$2:$CK$201,1,$H$2:$H$201,H188,$AX$2:$AX$201,"&lt;"&amp;AX188)=0,1,0),0)</f>
        <v>0</v>
      </c>
      <c r="CM188" s="23" t="str">
        <f aca="false">IF(AY188=1,IFERROR(MATCH($A188,INDEX(Clay_Brands!$A$2:$FZ$601,0,Sync!$D$5),0),""),"")</f>
        <v/>
      </c>
      <c r="CN188" s="23" t="str">
        <f aca="false">IF(CM188="","",IFERROR(INDEX(Clay_Brands!$A$2:$FZ$601,CM188,Sync!$D$7)&amp;"",""))</f>
        <v/>
      </c>
      <c r="CO188" s="23" t="str">
        <f aca="false">IF(CN188="","",IFERROR(INDEX(Lists!$K$2:$K$15,MATCH(CN188,Lists!$J$2:$J$15,0)),""))</f>
        <v/>
      </c>
      <c r="CP188" s="23" t="str">
        <f aca="false">IF(CM188="","",IFERROR(INDEX(Clay_Brands!$A$2:$FZ$601,CM188,Sync!$D$17)&amp;"",""))</f>
        <v/>
      </c>
      <c r="CQ188" s="35" t="str">
        <f aca="false">IF(CM188="","",IFERROR(N(INDEX(Clay_Brands!$A$2:$FZ$601,CM188,Sync!$D$16)),0))</f>
        <v/>
      </c>
      <c r="CR188" s="23" t="n">
        <f aca="false">IF(AND(AY188=1,OR(O188="N",AND(OR(ISNUMBER(R188),ISNUMBER(V188)),MAX(N(R188),N(V188))&lt;Config!$B$14))),1,0)</f>
        <v>0</v>
      </c>
      <c r="CS188" s="23" t="n">
        <f aca="false">IF(OR(BB188=1,CR188=1),1,0)</f>
        <v>0</v>
      </c>
      <c r="CT188" s="23" t="n">
        <f aca="false">IF(AND(AY188=1,OR(AN188="Y",AN188="N",AN188="maybe")),1,0)</f>
        <v>0</v>
      </c>
      <c r="CU188" s="23" t="n">
        <f aca="false">IF(AND(CT188=1),IF(COUNTIFS($A$2:$A$201,$A188,$CT$2:$CT$201,1,$H$2:$H$201,"&gt;"&amp;H188)+COUNTIFS($A$2:$A$201,$A188,$CT$2:$CT$201,1,$H$2:$H$201,H188,$AX$2:$AX$201,"&gt;"&amp;AX188)=0,1,0),0)</f>
        <v>0</v>
      </c>
      <c r="CV188" s="23" t="n">
        <f aca="false">IF(AND(CS188=1,INT(N(H188))&lt;=Config!$B$6),IF(COUNTIFS($AW$2:$AW$201,AW188,$CS$2:$CS$201,1,$H$2:$H$201,"&gt;"&amp;H188,$H$2:$H$201,"&lt;"&amp;(Config!$B$6+1))+COUNTIFS($AW$2:$AW$201,AW188,$CS$2:$CS$201,1,$H$2:$H$201,H188,$AX$2:$AX$201,"&gt;"&amp;AX188)=0,1,0),0)</f>
        <v>0</v>
      </c>
      <c r="CW188" s="23" t="n">
        <f aca="false">IF(AND(CS188=1,INT(N(H188))&lt;=Config!$B$7),IF(COUNTIFS($AW$2:$AW$201,AW188,$CS$2:$CS$201,1,$H$2:$H$201,"&gt;"&amp;H188,$H$2:$H$201,"&lt;"&amp;(Config!$B$7+1))+COUNTIFS($AW$2:$AW$201,AW188,$CS$2:$CS$201,1,$H$2:$H$201,H188,$AX$2:$AX$201,"&gt;"&amp;AX188)=0,1,0),0)</f>
        <v>0</v>
      </c>
      <c r="CX188" s="23" t="n">
        <f aca="false">IF(AND(CS188=1,INT(N(H188))&lt;=Config!$B$8),IF(COUNTIFS($AW$2:$AW$201,AW188,$CS$2:$CS$201,1,$H$2:$H$201,"&gt;"&amp;H188,$H$2:$H$201,"&lt;"&amp;(Config!$B$8+1))+COUNTIFS($AW$2:$AW$201,AW188,$CS$2:$CS$201,1,$H$2:$H$201,H188,$AX$2:$AX$201,"&gt;"&amp;AX188)=0,1,0),0)</f>
        <v>0</v>
      </c>
      <c r="CY188" s="23" t="n">
        <f aca="false">IF(AND(CS188=1,INT(N(H188))&lt;=Config!$B$5),IF(COUNTIFS($AW$2:$AW$201,AW188,$CS$2:$CS$201,1,$H$2:$H$201,"&gt;"&amp;H188,$H$2:$H$201,"&lt;"&amp;(Config!$B$5+1))+COUNTIFS($AW$2:$AW$201,AW188,$CS$2:$CS$201,1,$H$2:$H$201,H188,$AX$2:$AX$201,"&gt;"&amp;AX188)=0,1,0),0)</f>
        <v>0</v>
      </c>
      <c r="CZ188" s="23" t="n">
        <f aca="false">IF(AY188=1,IF(COUNTIFS($AW$2:$AW$201,AW188,$CV$2:$CV$201,1,$BB$2:$BB$201,1)&gt;0,1,0),0)</f>
        <v>0</v>
      </c>
      <c r="DA188" s="23" t="n">
        <f aca="false">IF(AY188=1,IF(COUNTIFS($AW$2:$AW$201,AW188,$CW$2:$CW$201,1,$BB$2:$BB$201,1)&gt;0,1,0),0)</f>
        <v>0</v>
      </c>
      <c r="DB188" s="23" t="n">
        <f aca="false">IF(AY188=1,IF(COUNTIFS($AW$2:$AW$201,AW188,$CX$2:$CX$201,1,$BB$2:$BB$201,1)&gt;0,1,0),0)</f>
        <v>0</v>
      </c>
      <c r="DC188" s="23" t="n">
        <f aca="false">IF(AY188=1,IF(COUNTIFS($AW$2:$AW$201,AW188,$CY$2:$CY$201,1,$BB$2:$BB$201,1)&gt;0,1,0),0)</f>
        <v>0</v>
      </c>
      <c r="DD188" s="23" t="n">
        <f aca="false">IF(AND(BC188=1,INT(N(H188))&lt;=Config!$B$6,CZ188=1),1,0)</f>
        <v>0</v>
      </c>
      <c r="DE188" s="23" t="n">
        <f aca="false">IF(AND(BC188=1,INT(N(H188))&lt;=Config!$B$7,DA188=1),1,0)</f>
        <v>0</v>
      </c>
      <c r="DF188" s="23" t="n">
        <f aca="false">IF(AND(BC188=1,INT(N(H188))&lt;=Config!$B$8,DB188=1),1,0)</f>
        <v>0</v>
      </c>
      <c r="DG188" s="23" t="n">
        <f aca="false">IF(AND(BC188=1,INT(N(H188))&lt;=Config!$B$5,DC188=1),1,0)</f>
        <v>0</v>
      </c>
      <c r="DH188" s="23" t="n">
        <f aca="false">IF(AND(BE188=1,INT(N(H188))&lt;=Config!$B$6,CZ188=1),1,0)</f>
        <v>0</v>
      </c>
      <c r="DI188" s="23" t="n">
        <f aca="false">IF(AND(BE188=1,INT(N(H188))&lt;=Config!$B$7,DA188=1),1,0)</f>
        <v>0</v>
      </c>
      <c r="DJ188" s="23" t="n">
        <f aca="false">IF(AND(BE188=1,INT(N(H188))&lt;=Config!$B$8,DB188=1),1,0)</f>
        <v>0</v>
      </c>
      <c r="DK188" s="23" t="n">
        <f aca="false">IF(AND(BE188=1,INT(N(H188))&lt;=Config!$B$5,DC188=1),1,0)</f>
        <v>0</v>
      </c>
      <c r="DL188" s="23" t="n">
        <f aca="false">IF(AND(BC188=1,INT(N(H188))&lt;=Config!$B$6,CZ188=0),1,0)</f>
        <v>0</v>
      </c>
      <c r="DM188" s="23" t="n">
        <f aca="false">IF(AND(BC188=1,INT(N(H188))&lt;=Config!$B$7,DA188=0),1,0)</f>
        <v>0</v>
      </c>
      <c r="DN188" s="23" t="n">
        <f aca="false">IF(AND(BC188=1,INT(N(H188))&lt;=Config!$B$8,DB188=0),1,0)</f>
        <v>0</v>
      </c>
      <c r="DO188" s="23" t="n">
        <f aca="false">IF(AND(BC188=1,INT(N(H188))&lt;=Config!$B$5,DC188=0),1,0)</f>
        <v>0</v>
      </c>
      <c r="DP188" s="23" t="n">
        <f aca="false">IF(TRIM($A188)="",0,ISTEXT(K188)+ISTEXT(L188)+ISTEXT(R188)+ISTEXT(V188)+ISTEXT(AP188)+ISTEXT(AS188))</f>
        <v>0</v>
      </c>
      <c r="DQ188" s="23" t="n">
        <f aca="false">IF(AY188=1,IF(H188&lt;&gt;INT(H188),1,0),0)</f>
        <v>0</v>
      </c>
      <c r="DR188" s="23" t="str">
        <f aca="false">IF(TRIM($A188)="","",IF(TRIM(B188)="",SUBSTITUTE(SUBSTITUTE(SUBSTITUTE(SUBSTITUTE(SUBSTITUTE(SUBSTITUTE(LOWER(TRIM($A188)),"~",""),"*",""),"?",""),"&lt;",""),"&gt;",""),"=",""),SUBSTITUTE(SUBSTITUTE(SUBSTITUTE(SUBSTITUTE(SUBSTITUTE(SUBSTITUTE(LOWER(TRIM(B188)),"~",""),"*",""),"?",""),"&lt;",""),"&gt;",""),"=","")))</f>
        <v/>
      </c>
      <c r="DS188" s="23" t="str">
        <f aca="false">IF(CM188="","",IFERROR(IF(LEFT(LOWER(TRIM(INDEX(Clay_Brands!$A$2:$FZ$601,CM188,Sync!$D$19)&amp;"")),4)="grp-",SUBSTITUTE(SUBSTITUTE(SUBSTITUTE(SUBSTITUTE(SUBSTITUTE(SUBSTITUTE(LOWER(TRIM(INDEX(Clay_Brands!$A$2:$FZ$601,CM188,Sync!$D$19)&amp;"")),"~",""),"*",""),"?",""),"&lt;",""),"&gt;",""),"=",""),""),""))</f>
        <v/>
      </c>
      <c r="DT188" s="23" t="str">
        <f aca="false">IF(DS188&lt;&gt;"",DR188,"")</f>
        <v/>
      </c>
      <c r="DU188" s="23" t="str">
        <f aca="false">IF(AZ188=1,AW188,"")</f>
        <v/>
      </c>
      <c r="DV188" s="23" t="str">
        <f aca="false">IF(TRIM($A188)="","",IFERROR(INDEX($A$2:$A$201,MATCH(AW188,$DU$2:$DU$201,0))&amp;"",$A188&amp;""))</f>
        <v/>
      </c>
      <c r="DW188" s="23" t="n">
        <f aca="false">IF(AY188=1,IF(COUNTIFS($A$2:$A$201,$A188,$AY$2:$AY$201,1,$H$2:$H$201,"&lt;"&amp;H188)+COUNTIFS($A$2:$A$201,$A188,$AY$2:$AY$201,1,$H$2:$H$201,H188,$AX$2:$AX$201,"&lt;"&amp;AX188)=0,1,0),0)</f>
        <v>0</v>
      </c>
      <c r="DX188" s="23" t="n">
        <f aca="false">IF(AZ188=1,IF(COUNTIFS($AW$2:$AW$201,AW188,$DW$2:$DW$201,1)&gt;1,1,0),0)</f>
        <v>0</v>
      </c>
    </row>
    <row r="189" customFormat="false" ht="15" hidden="false" customHeight="false" outlineLevel="0" collapsed="false">
      <c r="G189" s="32"/>
      <c r="H189" s="33"/>
      <c r="I189" s="32"/>
      <c r="O189" s="32"/>
      <c r="P189" s="32"/>
      <c r="U189" s="32"/>
      <c r="Y189" s="32"/>
      <c r="AB189" s="32"/>
      <c r="AC189" s="32"/>
      <c r="AD189" s="32"/>
      <c r="AE189" s="32"/>
      <c r="AF189" s="32"/>
      <c r="AG189" s="32"/>
      <c r="AI189" s="32"/>
      <c r="AJ189" s="32"/>
      <c r="AK189" s="32"/>
      <c r="AN189" s="32"/>
      <c r="AO189" s="32"/>
      <c r="AR189" s="32"/>
      <c r="AT189" s="32"/>
      <c r="AV189" s="34" t="str">
        <f aca="false">IF(TRIM($A189)="","",IF(AND(LEFT($A189,6)="SAMPLE",Config!$B$19&lt;&gt;"Y"),"",IF(NOT(ISNUMBER(H189)),"call_date is blank or not a date",IF(Sync!$D$5="","Clay paste is empty or has no row_id column: paste the Clay export on Clay_Brands",IF(CM189="","row_id not found in the Clay paste: add the Clay row or fix the row_id",IF(AND(ISNUMBER(CO189),CO189&gt;=1,CO189&lt;=5),"Clay status is "&amp;CN189&amp;": set call_done or later",IF(AND(BA189=1,CP189&lt;&gt;CB189),"Clay yes_in_principle should be "&amp;CB189,IF(AND(BA189=1,CQ189&lt;&gt;H189),"Clay call_date should be "&amp;TEXT(H189,"yyyy-mm-dd"),""))))))))</f>
        <v/>
      </c>
      <c r="AW189" s="23" t="str">
        <f aca="false">IF(TRIM($A189)="","",IF(TRIM(C189)&lt;&gt;"",SUBSTITUTE(SUBSTITUTE(SUBSTITUTE(SUBSTITUTE(SUBSTITUTE(SUBSTITUTE(LOWER(TRIM(C189)),"~",""),"*",""),"?",""),"&lt;",""),"&gt;",""),"=",""),IF(DS189&lt;&gt;"",DS189,IFERROR(INDEX($DS$2:$DS$201,MATCH(DR189,$DT$2:$DT$201,0)),DR189))))</f>
        <v/>
      </c>
      <c r="AX189" s="23" t="n">
        <f aca="false">ROW()</f>
        <v>189</v>
      </c>
      <c r="AY189" s="23" t="n">
        <f aca="false">IF(AND(TRIM($A189)&lt;&gt;"",ISNUMBER(H189)),IF(AND(LEFT($A189,6)="SAMPLE",Config!$B$19&lt;&gt;"Y"),0,1),0)</f>
        <v>0</v>
      </c>
      <c r="AZ189" s="23" t="n">
        <f aca="false">IF(AY189=1,IF(COUNTIFS($AW$2:$AW$201,AW189,$AY$2:$AY$201,1,$H$2:$H$201,"&lt;"&amp;H189)+COUNTIFS($AW$2:$AW$201,AW189,$AY$2:$AY$201,1,$H$2:$H$201,H189,$AX$2:$AX$201,"&lt;"&amp;AX189)=0,1,0),0)</f>
        <v>0</v>
      </c>
      <c r="BA189" s="23" t="n">
        <f aca="false">IF(AY189=1,IF(COUNTIFS($A$2:$A$201,$A189,$AY$2:$AY$201,1,$H$2:$H$201,"&gt;"&amp;H189)+COUNTIFS($A$2:$A$201,$A189,$AY$2:$AY$201,1,$H$2:$H$201,H189,$AX$2:$AX$201,"&gt;"&amp;AX189)=0,1,0),0)</f>
        <v>0</v>
      </c>
      <c r="BB189" s="23" t="n">
        <f aca="false">IF(AND(AY189=1,O189="Y",MAX(N(R189),N(V189))&gt;=Config!$B$14),1,0)</f>
        <v>0</v>
      </c>
      <c r="BC189" s="23" t="n">
        <f aca="false">IF(BB189=1,IF(COUNTIFS($AW$2:$AW$201,AW189,$BB$2:$BB$201,1,$H$2:$H$201,"&lt;"&amp;H189)+COUNTIFS($AW$2:$AW$201,AW189,$BB$2:$BB$201,1,$H$2:$H$201,H189,$AX$2:$AX$201,"&lt;"&amp;AX189)=0,1,0),0)</f>
        <v>0</v>
      </c>
      <c r="BD189" s="23" t="n">
        <f aca="false">IF(AND(AY189=1,O189="Y",ISNUMBER(R189)),IF(R189&gt;=Config!$B$14,1,0),0)</f>
        <v>0</v>
      </c>
      <c r="BE189" s="23" t="n">
        <f aca="false">IF(BD189=1,IF(COUNTIFS($AW$2:$AW$201,AW189,$BD$2:$BD$201,1,$H$2:$H$201,"&lt;"&amp;H189)+COUNTIFS($AW$2:$AW$201,AW189,$BD$2:$BD$201,1,$H$2:$H$201,H189,$AX$2:$AX$201,"&lt;"&amp;AX189)=0,1,0),0)</f>
        <v>0</v>
      </c>
      <c r="BF189" s="23" t="n">
        <f aca="false">IF(AND(AY189=1,O189&lt;&gt;"Y",MAX(N(R189),N(V189))&gt;=Config!$B$14),1,0)</f>
        <v>0</v>
      </c>
      <c r="BG189" s="23" t="n">
        <f aca="false">IF(BF189=1,IF(COUNTIFS($AW$2:$AW$201,AW189,$BF$2:$BF$201,1,$H$2:$H$201,"&lt;"&amp;H189)+COUNTIFS($AW$2:$AW$201,AW189,$BF$2:$BF$201,1,$H$2:$H$201,H189,$AX$2:$AX$201,"&lt;"&amp;AX189)=0,1,0),0)</f>
        <v>0</v>
      </c>
      <c r="BH189" s="23" t="n">
        <f aca="false">IF(AND(AY189=1,ISNUMBER(R189)),1,0)</f>
        <v>0</v>
      </c>
      <c r="BI189" s="23" t="n">
        <f aca="false">IF(BH189=1,IF(COUNTIFS($AW$2:$AW$201,AW189,$BH$2:$BH$201,1,$H$2:$H$201,"&lt;"&amp;H189)+COUNTIFS($AW$2:$AW$201,AW189,$BH$2:$BH$201,1,$H$2:$H$201,H189,$AX$2:$AX$201,"&lt;"&amp;AX189)=0,1,0),0)</f>
        <v>0</v>
      </c>
      <c r="BJ189" s="23" t="str">
        <f aca="false">IF(AND(BI189=1,INT(N(H189))&lt;=Config!$B$6),R189,"")</f>
        <v/>
      </c>
      <c r="BK189" s="23" t="str">
        <f aca="false">IF(AND(BI189=1,INT(N(H189))&lt;=Config!$B$7),R189,"")</f>
        <v/>
      </c>
      <c r="BL189" s="23" t="str">
        <f aca="false">IF(AND(BI189=1,INT(N(H189))&lt;=Config!$B$8),R189,"")</f>
        <v/>
      </c>
      <c r="BM189" s="23" t="str">
        <f aca="false">IF(AND(BI189=1,INT(N(H189))&lt;=Config!$B$5),R189,"")</f>
        <v/>
      </c>
      <c r="BN189" s="23" t="n">
        <f aca="false">IF(AND(AY189=1,ISNUMBER(V189)),1,0)</f>
        <v>0</v>
      </c>
      <c r="BO189" s="23" t="n">
        <f aca="false">IF(BN189=1,IF(COUNTIFS($AW$2:$AW$201,AW189,$BN$2:$BN$201,1,$H$2:$H$201,"&lt;"&amp;H189)+COUNTIFS($AW$2:$AW$201,AW189,$BN$2:$BN$201,1,$H$2:$H$201,H189,$AX$2:$AX$201,"&lt;"&amp;AX189)=0,1,0),0)</f>
        <v>0</v>
      </c>
      <c r="BP189" s="23" t="str">
        <f aca="false">IF(AND(BO189=1,INT(N(H189))&lt;=Config!$B$6),V189,"")</f>
        <v/>
      </c>
      <c r="BQ189" s="23" t="str">
        <f aca="false">IF(AND(BO189=1,INT(N(H189))&lt;=Config!$B$7),V189,"")</f>
        <v/>
      </c>
      <c r="BR189" s="23" t="str">
        <f aca="false">IF(AND(BO189=1,INT(N(H189))&lt;=Config!$B$8),V189,"")</f>
        <v/>
      </c>
      <c r="BS189" s="23" t="str">
        <f aca="false">IF(AND(BO189=1,INT(N(H189))&lt;=Config!$B$5),V189,"")</f>
        <v/>
      </c>
      <c r="BT189" s="23" t="n">
        <f aca="false">IF(AND(AY189=1,ISNUMBER(K189)),1,0)</f>
        <v>0</v>
      </c>
      <c r="BU189" s="23" t="n">
        <f aca="false">IF(BT189=1,IF(COUNTIFS($AW$2:$AW$201,AW189,$BT$2:$BT$201,1,$H$2:$H$201,"&lt;"&amp;H189)+COUNTIFS($AW$2:$AW$201,AW189,$BT$2:$BT$201,1,$H$2:$H$201,H189,$AX$2:$AX$201,"&lt;"&amp;AX189)=0,1,0),0)</f>
        <v>0</v>
      </c>
      <c r="BV189" s="23" t="str">
        <f aca="false">IF(AND(BU189=1,INT(N(H189))&lt;=Config!$B$5),K189,"")</f>
        <v/>
      </c>
      <c r="BW189" s="23" t="n">
        <f aca="false">IF(AND(AY189=1,OR(AND(ISNUMBER(R189),TRIM(S189)=""),AND(ISNUMBER(V189),TRIM(W189)=""))),1,0)</f>
        <v>0</v>
      </c>
      <c r="BX189" s="23" t="str">
        <f aca="false">IF(AY189=1,AJ189&amp;"","")</f>
        <v/>
      </c>
      <c r="BY189" s="23" t="str">
        <f aca="false">IF(AY189=1,AK189&amp;"","")</f>
        <v/>
      </c>
      <c r="BZ189" s="23" t="str">
        <f aca="false">IF(AY189=1,AL189&amp;"","")</f>
        <v/>
      </c>
      <c r="CA189" s="23" t="str">
        <f aca="false">IF(AND(AY189=1,ISNUMBER(AS189),INT(N(H189))&lt;=Config!$B$5),AS189,"")</f>
        <v/>
      </c>
      <c r="CB189" s="23" t="str">
        <f aca="false">IF(AY189=1,IF(COUNTIFS($A$2:$A$201,$A189,$CU$2:$CU$201,1,$AN$2:$AN$201,"Y")&gt;0,"Y","N"),"")</f>
        <v/>
      </c>
      <c r="CC189" s="23" t="n">
        <f aca="false">IF(AND(AY189=1,AN189="Y"),IF(COUNTIFS($AW$2:$AW$201,AW189,$AN$2:$AN$201,"Y",$AY$2:$AY$201,1,$H$2:$H$201,"&lt;"&amp;H189)+COUNTIFS($AW$2:$AW$201,AW189,$AN$2:$AN$201,"Y",$AY$2:$AY$201,1,$H$2:$H$201,H189,$AX$2:$AX$201,"&lt;"&amp;AX189)=0,1,0),0)</f>
        <v>0</v>
      </c>
      <c r="CD189" s="23" t="n">
        <f aca="false">IF(AND(AY189=1,AB189="Y",AC189="Y",AD189="Y",AE189="Y",AF189="Y",AG189="Y",AI189="Y",TRIM(AH189)&lt;&gt;""),1,0)</f>
        <v>0</v>
      </c>
      <c r="CE189" s="23" t="n">
        <f aca="false">IF(CD189=1,IF(COUNTIFS($AW$2:$AW$201,AW189,$CD$2:$CD$201,1,$H$2:$H$201,"&lt;"&amp;H189)+COUNTIFS($AW$2:$AW$201,AW189,$CD$2:$CD$201,1,$H$2:$H$201,H189,$AX$2:$AX$201,"&lt;"&amp;AX189)=0,1,0),0)</f>
        <v>0</v>
      </c>
      <c r="CF189" s="23" t="n">
        <f aca="false">IF(AND(AY189=1,AO189="Y"),1,0)</f>
        <v>0</v>
      </c>
      <c r="CG189" s="23" t="n">
        <f aca="false">IF(CF189=1,IF(COUNTIFS($AW$2:$AW$201,AW189,$CF$2:$CF$201,1,$H$2:$H$201,"&lt;"&amp;H189)+COUNTIFS($AW$2:$AW$201,AW189,$CF$2:$CF$201,1,$H$2:$H$201,H189,$AX$2:$AX$201,"&lt;"&amp;AX189)=0,1,0),0)</f>
        <v>0</v>
      </c>
      <c r="CH189" s="23" t="n">
        <f aca="false">IF(AND(AY189=1,P189="Y"),1,0)</f>
        <v>0</v>
      </c>
      <c r="CI189" s="23" t="n">
        <f aca="false">IF(CH189=1,IF(COUNTIFS($AW$2:$AW$201,AW189,$CH$2:$CH$201,1,$H$2:$H$201,"&lt;"&amp;H189)+COUNTIFS($AW$2:$AW$201,AW189,$CH$2:$CH$201,1,$H$2:$H$201,H189,$AX$2:$AX$201,"&lt;"&amp;AX189)=0,1,0),0)</f>
        <v>0</v>
      </c>
      <c r="CJ189" s="23" t="str">
        <f aca="false">IF(AND(BU189=1,INT(N(H189))&lt;=Config!$B$5),L189,"")</f>
        <v/>
      </c>
      <c r="CK189" s="23" t="n">
        <f aca="false">IF(AND(AY189=1,AR189="Y"),1,0)</f>
        <v>0</v>
      </c>
      <c r="CL189" s="23" t="n">
        <f aca="false">IF(CK189=1,IF(COUNTIFS($AW$2:$AW$201,AW189,$CK$2:$CK$201,1,$H$2:$H$201,"&lt;"&amp;H189)+COUNTIFS($AW$2:$AW$201,AW189,$CK$2:$CK$201,1,$H$2:$H$201,H189,$AX$2:$AX$201,"&lt;"&amp;AX189)=0,1,0),0)</f>
        <v>0</v>
      </c>
      <c r="CM189" s="23" t="str">
        <f aca="false">IF(AY189=1,IFERROR(MATCH($A189,INDEX(Clay_Brands!$A$2:$FZ$601,0,Sync!$D$5),0),""),"")</f>
        <v/>
      </c>
      <c r="CN189" s="23" t="str">
        <f aca="false">IF(CM189="","",IFERROR(INDEX(Clay_Brands!$A$2:$FZ$601,CM189,Sync!$D$7)&amp;"",""))</f>
        <v/>
      </c>
      <c r="CO189" s="23" t="str">
        <f aca="false">IF(CN189="","",IFERROR(INDEX(Lists!$K$2:$K$15,MATCH(CN189,Lists!$J$2:$J$15,0)),""))</f>
        <v/>
      </c>
      <c r="CP189" s="23" t="str">
        <f aca="false">IF(CM189="","",IFERROR(INDEX(Clay_Brands!$A$2:$FZ$601,CM189,Sync!$D$17)&amp;"",""))</f>
        <v/>
      </c>
      <c r="CQ189" s="35" t="str">
        <f aca="false">IF(CM189="","",IFERROR(N(INDEX(Clay_Brands!$A$2:$FZ$601,CM189,Sync!$D$16)),0))</f>
        <v/>
      </c>
      <c r="CR189" s="23" t="n">
        <f aca="false">IF(AND(AY189=1,OR(O189="N",AND(OR(ISNUMBER(R189),ISNUMBER(V189)),MAX(N(R189),N(V189))&lt;Config!$B$14))),1,0)</f>
        <v>0</v>
      </c>
      <c r="CS189" s="23" t="n">
        <f aca="false">IF(OR(BB189=1,CR189=1),1,0)</f>
        <v>0</v>
      </c>
      <c r="CT189" s="23" t="n">
        <f aca="false">IF(AND(AY189=1,OR(AN189="Y",AN189="N",AN189="maybe")),1,0)</f>
        <v>0</v>
      </c>
      <c r="CU189" s="23" t="n">
        <f aca="false">IF(AND(CT189=1),IF(COUNTIFS($A$2:$A$201,$A189,$CT$2:$CT$201,1,$H$2:$H$201,"&gt;"&amp;H189)+COUNTIFS($A$2:$A$201,$A189,$CT$2:$CT$201,1,$H$2:$H$201,H189,$AX$2:$AX$201,"&gt;"&amp;AX189)=0,1,0),0)</f>
        <v>0</v>
      </c>
      <c r="CV189" s="23" t="n">
        <f aca="false">IF(AND(CS189=1,INT(N(H189))&lt;=Config!$B$6),IF(COUNTIFS($AW$2:$AW$201,AW189,$CS$2:$CS$201,1,$H$2:$H$201,"&gt;"&amp;H189,$H$2:$H$201,"&lt;"&amp;(Config!$B$6+1))+COUNTIFS($AW$2:$AW$201,AW189,$CS$2:$CS$201,1,$H$2:$H$201,H189,$AX$2:$AX$201,"&gt;"&amp;AX189)=0,1,0),0)</f>
        <v>0</v>
      </c>
      <c r="CW189" s="23" t="n">
        <f aca="false">IF(AND(CS189=1,INT(N(H189))&lt;=Config!$B$7),IF(COUNTIFS($AW$2:$AW$201,AW189,$CS$2:$CS$201,1,$H$2:$H$201,"&gt;"&amp;H189,$H$2:$H$201,"&lt;"&amp;(Config!$B$7+1))+COUNTIFS($AW$2:$AW$201,AW189,$CS$2:$CS$201,1,$H$2:$H$201,H189,$AX$2:$AX$201,"&gt;"&amp;AX189)=0,1,0),0)</f>
        <v>0</v>
      </c>
      <c r="CX189" s="23" t="n">
        <f aca="false">IF(AND(CS189=1,INT(N(H189))&lt;=Config!$B$8),IF(COUNTIFS($AW$2:$AW$201,AW189,$CS$2:$CS$201,1,$H$2:$H$201,"&gt;"&amp;H189,$H$2:$H$201,"&lt;"&amp;(Config!$B$8+1))+COUNTIFS($AW$2:$AW$201,AW189,$CS$2:$CS$201,1,$H$2:$H$201,H189,$AX$2:$AX$201,"&gt;"&amp;AX189)=0,1,0),0)</f>
        <v>0</v>
      </c>
      <c r="CY189" s="23" t="n">
        <f aca="false">IF(AND(CS189=1,INT(N(H189))&lt;=Config!$B$5),IF(COUNTIFS($AW$2:$AW$201,AW189,$CS$2:$CS$201,1,$H$2:$H$201,"&gt;"&amp;H189,$H$2:$H$201,"&lt;"&amp;(Config!$B$5+1))+COUNTIFS($AW$2:$AW$201,AW189,$CS$2:$CS$201,1,$H$2:$H$201,H189,$AX$2:$AX$201,"&gt;"&amp;AX189)=0,1,0),0)</f>
        <v>0</v>
      </c>
      <c r="CZ189" s="23" t="n">
        <f aca="false">IF(AY189=1,IF(COUNTIFS($AW$2:$AW$201,AW189,$CV$2:$CV$201,1,$BB$2:$BB$201,1)&gt;0,1,0),0)</f>
        <v>0</v>
      </c>
      <c r="DA189" s="23" t="n">
        <f aca="false">IF(AY189=1,IF(COUNTIFS($AW$2:$AW$201,AW189,$CW$2:$CW$201,1,$BB$2:$BB$201,1)&gt;0,1,0),0)</f>
        <v>0</v>
      </c>
      <c r="DB189" s="23" t="n">
        <f aca="false">IF(AY189=1,IF(COUNTIFS($AW$2:$AW$201,AW189,$CX$2:$CX$201,1,$BB$2:$BB$201,1)&gt;0,1,0),0)</f>
        <v>0</v>
      </c>
      <c r="DC189" s="23" t="n">
        <f aca="false">IF(AY189=1,IF(COUNTIFS($AW$2:$AW$201,AW189,$CY$2:$CY$201,1,$BB$2:$BB$201,1)&gt;0,1,0),0)</f>
        <v>0</v>
      </c>
      <c r="DD189" s="23" t="n">
        <f aca="false">IF(AND(BC189=1,INT(N(H189))&lt;=Config!$B$6,CZ189=1),1,0)</f>
        <v>0</v>
      </c>
      <c r="DE189" s="23" t="n">
        <f aca="false">IF(AND(BC189=1,INT(N(H189))&lt;=Config!$B$7,DA189=1),1,0)</f>
        <v>0</v>
      </c>
      <c r="DF189" s="23" t="n">
        <f aca="false">IF(AND(BC189=1,INT(N(H189))&lt;=Config!$B$8,DB189=1),1,0)</f>
        <v>0</v>
      </c>
      <c r="DG189" s="23" t="n">
        <f aca="false">IF(AND(BC189=1,INT(N(H189))&lt;=Config!$B$5,DC189=1),1,0)</f>
        <v>0</v>
      </c>
      <c r="DH189" s="23" t="n">
        <f aca="false">IF(AND(BE189=1,INT(N(H189))&lt;=Config!$B$6,CZ189=1),1,0)</f>
        <v>0</v>
      </c>
      <c r="DI189" s="23" t="n">
        <f aca="false">IF(AND(BE189=1,INT(N(H189))&lt;=Config!$B$7,DA189=1),1,0)</f>
        <v>0</v>
      </c>
      <c r="DJ189" s="23" t="n">
        <f aca="false">IF(AND(BE189=1,INT(N(H189))&lt;=Config!$B$8,DB189=1),1,0)</f>
        <v>0</v>
      </c>
      <c r="DK189" s="23" t="n">
        <f aca="false">IF(AND(BE189=1,INT(N(H189))&lt;=Config!$B$5,DC189=1),1,0)</f>
        <v>0</v>
      </c>
      <c r="DL189" s="23" t="n">
        <f aca="false">IF(AND(BC189=1,INT(N(H189))&lt;=Config!$B$6,CZ189=0),1,0)</f>
        <v>0</v>
      </c>
      <c r="DM189" s="23" t="n">
        <f aca="false">IF(AND(BC189=1,INT(N(H189))&lt;=Config!$B$7,DA189=0),1,0)</f>
        <v>0</v>
      </c>
      <c r="DN189" s="23" t="n">
        <f aca="false">IF(AND(BC189=1,INT(N(H189))&lt;=Config!$B$8,DB189=0),1,0)</f>
        <v>0</v>
      </c>
      <c r="DO189" s="23" t="n">
        <f aca="false">IF(AND(BC189=1,INT(N(H189))&lt;=Config!$B$5,DC189=0),1,0)</f>
        <v>0</v>
      </c>
      <c r="DP189" s="23" t="n">
        <f aca="false">IF(TRIM($A189)="",0,ISTEXT(K189)+ISTEXT(L189)+ISTEXT(R189)+ISTEXT(V189)+ISTEXT(AP189)+ISTEXT(AS189))</f>
        <v>0</v>
      </c>
      <c r="DQ189" s="23" t="n">
        <f aca="false">IF(AY189=1,IF(H189&lt;&gt;INT(H189),1,0),0)</f>
        <v>0</v>
      </c>
      <c r="DR189" s="23" t="str">
        <f aca="false">IF(TRIM($A189)="","",IF(TRIM(B189)="",SUBSTITUTE(SUBSTITUTE(SUBSTITUTE(SUBSTITUTE(SUBSTITUTE(SUBSTITUTE(LOWER(TRIM($A189)),"~",""),"*",""),"?",""),"&lt;",""),"&gt;",""),"=",""),SUBSTITUTE(SUBSTITUTE(SUBSTITUTE(SUBSTITUTE(SUBSTITUTE(SUBSTITUTE(LOWER(TRIM(B189)),"~",""),"*",""),"?",""),"&lt;",""),"&gt;",""),"=","")))</f>
        <v/>
      </c>
      <c r="DS189" s="23" t="str">
        <f aca="false">IF(CM189="","",IFERROR(IF(LEFT(LOWER(TRIM(INDEX(Clay_Brands!$A$2:$FZ$601,CM189,Sync!$D$19)&amp;"")),4)="grp-",SUBSTITUTE(SUBSTITUTE(SUBSTITUTE(SUBSTITUTE(SUBSTITUTE(SUBSTITUTE(LOWER(TRIM(INDEX(Clay_Brands!$A$2:$FZ$601,CM189,Sync!$D$19)&amp;"")),"~",""),"*",""),"?",""),"&lt;",""),"&gt;",""),"=",""),""),""))</f>
        <v/>
      </c>
      <c r="DT189" s="23" t="str">
        <f aca="false">IF(DS189&lt;&gt;"",DR189,"")</f>
        <v/>
      </c>
      <c r="DU189" s="23" t="str">
        <f aca="false">IF(AZ189=1,AW189,"")</f>
        <v/>
      </c>
      <c r="DV189" s="23" t="str">
        <f aca="false">IF(TRIM($A189)="","",IFERROR(INDEX($A$2:$A$201,MATCH(AW189,$DU$2:$DU$201,0))&amp;"",$A189&amp;""))</f>
        <v/>
      </c>
      <c r="DW189" s="23" t="n">
        <f aca="false">IF(AY189=1,IF(COUNTIFS($A$2:$A$201,$A189,$AY$2:$AY$201,1,$H$2:$H$201,"&lt;"&amp;H189)+COUNTIFS($A$2:$A$201,$A189,$AY$2:$AY$201,1,$H$2:$H$201,H189,$AX$2:$AX$201,"&lt;"&amp;AX189)=0,1,0),0)</f>
        <v>0</v>
      </c>
      <c r="DX189" s="23" t="n">
        <f aca="false">IF(AZ189=1,IF(COUNTIFS($AW$2:$AW$201,AW189,$DW$2:$DW$201,1)&gt;1,1,0),0)</f>
        <v>0</v>
      </c>
    </row>
    <row r="190" customFormat="false" ht="15" hidden="false" customHeight="false" outlineLevel="0" collapsed="false">
      <c r="G190" s="32"/>
      <c r="H190" s="33"/>
      <c r="I190" s="32"/>
      <c r="O190" s="32"/>
      <c r="P190" s="32"/>
      <c r="U190" s="32"/>
      <c r="Y190" s="32"/>
      <c r="AB190" s="32"/>
      <c r="AC190" s="32"/>
      <c r="AD190" s="32"/>
      <c r="AE190" s="32"/>
      <c r="AF190" s="32"/>
      <c r="AG190" s="32"/>
      <c r="AI190" s="32"/>
      <c r="AJ190" s="32"/>
      <c r="AK190" s="32"/>
      <c r="AN190" s="32"/>
      <c r="AO190" s="32"/>
      <c r="AR190" s="32"/>
      <c r="AT190" s="32"/>
      <c r="AV190" s="34" t="str">
        <f aca="false">IF(TRIM($A190)="","",IF(AND(LEFT($A190,6)="SAMPLE",Config!$B$19&lt;&gt;"Y"),"",IF(NOT(ISNUMBER(H190)),"call_date is blank or not a date",IF(Sync!$D$5="","Clay paste is empty or has no row_id column: paste the Clay export on Clay_Brands",IF(CM190="","row_id not found in the Clay paste: add the Clay row or fix the row_id",IF(AND(ISNUMBER(CO190),CO190&gt;=1,CO190&lt;=5),"Clay status is "&amp;CN190&amp;": set call_done or later",IF(AND(BA190=1,CP190&lt;&gt;CB190),"Clay yes_in_principle should be "&amp;CB190,IF(AND(BA190=1,CQ190&lt;&gt;H190),"Clay call_date should be "&amp;TEXT(H190,"yyyy-mm-dd"),""))))))))</f>
        <v/>
      </c>
      <c r="AW190" s="23" t="str">
        <f aca="false">IF(TRIM($A190)="","",IF(TRIM(C190)&lt;&gt;"",SUBSTITUTE(SUBSTITUTE(SUBSTITUTE(SUBSTITUTE(SUBSTITUTE(SUBSTITUTE(LOWER(TRIM(C190)),"~",""),"*",""),"?",""),"&lt;",""),"&gt;",""),"=",""),IF(DS190&lt;&gt;"",DS190,IFERROR(INDEX($DS$2:$DS$201,MATCH(DR190,$DT$2:$DT$201,0)),DR190))))</f>
        <v/>
      </c>
      <c r="AX190" s="23" t="n">
        <f aca="false">ROW()</f>
        <v>190</v>
      </c>
      <c r="AY190" s="23" t="n">
        <f aca="false">IF(AND(TRIM($A190)&lt;&gt;"",ISNUMBER(H190)),IF(AND(LEFT($A190,6)="SAMPLE",Config!$B$19&lt;&gt;"Y"),0,1),0)</f>
        <v>0</v>
      </c>
      <c r="AZ190" s="23" t="n">
        <f aca="false">IF(AY190=1,IF(COUNTIFS($AW$2:$AW$201,AW190,$AY$2:$AY$201,1,$H$2:$H$201,"&lt;"&amp;H190)+COUNTIFS($AW$2:$AW$201,AW190,$AY$2:$AY$201,1,$H$2:$H$201,H190,$AX$2:$AX$201,"&lt;"&amp;AX190)=0,1,0),0)</f>
        <v>0</v>
      </c>
      <c r="BA190" s="23" t="n">
        <f aca="false">IF(AY190=1,IF(COUNTIFS($A$2:$A$201,$A190,$AY$2:$AY$201,1,$H$2:$H$201,"&gt;"&amp;H190)+COUNTIFS($A$2:$A$201,$A190,$AY$2:$AY$201,1,$H$2:$H$201,H190,$AX$2:$AX$201,"&gt;"&amp;AX190)=0,1,0),0)</f>
        <v>0</v>
      </c>
      <c r="BB190" s="23" t="n">
        <f aca="false">IF(AND(AY190=1,O190="Y",MAX(N(R190),N(V190))&gt;=Config!$B$14),1,0)</f>
        <v>0</v>
      </c>
      <c r="BC190" s="23" t="n">
        <f aca="false">IF(BB190=1,IF(COUNTIFS($AW$2:$AW$201,AW190,$BB$2:$BB$201,1,$H$2:$H$201,"&lt;"&amp;H190)+COUNTIFS($AW$2:$AW$201,AW190,$BB$2:$BB$201,1,$H$2:$H$201,H190,$AX$2:$AX$201,"&lt;"&amp;AX190)=0,1,0),0)</f>
        <v>0</v>
      </c>
      <c r="BD190" s="23" t="n">
        <f aca="false">IF(AND(AY190=1,O190="Y",ISNUMBER(R190)),IF(R190&gt;=Config!$B$14,1,0),0)</f>
        <v>0</v>
      </c>
      <c r="BE190" s="23" t="n">
        <f aca="false">IF(BD190=1,IF(COUNTIFS($AW$2:$AW$201,AW190,$BD$2:$BD$201,1,$H$2:$H$201,"&lt;"&amp;H190)+COUNTIFS($AW$2:$AW$201,AW190,$BD$2:$BD$201,1,$H$2:$H$201,H190,$AX$2:$AX$201,"&lt;"&amp;AX190)=0,1,0),0)</f>
        <v>0</v>
      </c>
      <c r="BF190" s="23" t="n">
        <f aca="false">IF(AND(AY190=1,O190&lt;&gt;"Y",MAX(N(R190),N(V190))&gt;=Config!$B$14),1,0)</f>
        <v>0</v>
      </c>
      <c r="BG190" s="23" t="n">
        <f aca="false">IF(BF190=1,IF(COUNTIFS($AW$2:$AW$201,AW190,$BF$2:$BF$201,1,$H$2:$H$201,"&lt;"&amp;H190)+COUNTIFS($AW$2:$AW$201,AW190,$BF$2:$BF$201,1,$H$2:$H$201,H190,$AX$2:$AX$201,"&lt;"&amp;AX190)=0,1,0),0)</f>
        <v>0</v>
      </c>
      <c r="BH190" s="23" t="n">
        <f aca="false">IF(AND(AY190=1,ISNUMBER(R190)),1,0)</f>
        <v>0</v>
      </c>
      <c r="BI190" s="23" t="n">
        <f aca="false">IF(BH190=1,IF(COUNTIFS($AW$2:$AW$201,AW190,$BH$2:$BH$201,1,$H$2:$H$201,"&lt;"&amp;H190)+COUNTIFS($AW$2:$AW$201,AW190,$BH$2:$BH$201,1,$H$2:$H$201,H190,$AX$2:$AX$201,"&lt;"&amp;AX190)=0,1,0),0)</f>
        <v>0</v>
      </c>
      <c r="BJ190" s="23" t="str">
        <f aca="false">IF(AND(BI190=1,INT(N(H190))&lt;=Config!$B$6),R190,"")</f>
        <v/>
      </c>
      <c r="BK190" s="23" t="str">
        <f aca="false">IF(AND(BI190=1,INT(N(H190))&lt;=Config!$B$7),R190,"")</f>
        <v/>
      </c>
      <c r="BL190" s="23" t="str">
        <f aca="false">IF(AND(BI190=1,INT(N(H190))&lt;=Config!$B$8),R190,"")</f>
        <v/>
      </c>
      <c r="BM190" s="23" t="str">
        <f aca="false">IF(AND(BI190=1,INT(N(H190))&lt;=Config!$B$5),R190,"")</f>
        <v/>
      </c>
      <c r="BN190" s="23" t="n">
        <f aca="false">IF(AND(AY190=1,ISNUMBER(V190)),1,0)</f>
        <v>0</v>
      </c>
      <c r="BO190" s="23" t="n">
        <f aca="false">IF(BN190=1,IF(COUNTIFS($AW$2:$AW$201,AW190,$BN$2:$BN$201,1,$H$2:$H$201,"&lt;"&amp;H190)+COUNTIFS($AW$2:$AW$201,AW190,$BN$2:$BN$201,1,$H$2:$H$201,H190,$AX$2:$AX$201,"&lt;"&amp;AX190)=0,1,0),0)</f>
        <v>0</v>
      </c>
      <c r="BP190" s="23" t="str">
        <f aca="false">IF(AND(BO190=1,INT(N(H190))&lt;=Config!$B$6),V190,"")</f>
        <v/>
      </c>
      <c r="BQ190" s="23" t="str">
        <f aca="false">IF(AND(BO190=1,INT(N(H190))&lt;=Config!$B$7),V190,"")</f>
        <v/>
      </c>
      <c r="BR190" s="23" t="str">
        <f aca="false">IF(AND(BO190=1,INT(N(H190))&lt;=Config!$B$8),V190,"")</f>
        <v/>
      </c>
      <c r="BS190" s="23" t="str">
        <f aca="false">IF(AND(BO190=1,INT(N(H190))&lt;=Config!$B$5),V190,"")</f>
        <v/>
      </c>
      <c r="BT190" s="23" t="n">
        <f aca="false">IF(AND(AY190=1,ISNUMBER(K190)),1,0)</f>
        <v>0</v>
      </c>
      <c r="BU190" s="23" t="n">
        <f aca="false">IF(BT190=1,IF(COUNTIFS($AW$2:$AW$201,AW190,$BT$2:$BT$201,1,$H$2:$H$201,"&lt;"&amp;H190)+COUNTIFS($AW$2:$AW$201,AW190,$BT$2:$BT$201,1,$H$2:$H$201,H190,$AX$2:$AX$201,"&lt;"&amp;AX190)=0,1,0),0)</f>
        <v>0</v>
      </c>
      <c r="BV190" s="23" t="str">
        <f aca="false">IF(AND(BU190=1,INT(N(H190))&lt;=Config!$B$5),K190,"")</f>
        <v/>
      </c>
      <c r="BW190" s="23" t="n">
        <f aca="false">IF(AND(AY190=1,OR(AND(ISNUMBER(R190),TRIM(S190)=""),AND(ISNUMBER(V190),TRIM(W190)=""))),1,0)</f>
        <v>0</v>
      </c>
      <c r="BX190" s="23" t="str">
        <f aca="false">IF(AY190=1,AJ190&amp;"","")</f>
        <v/>
      </c>
      <c r="BY190" s="23" t="str">
        <f aca="false">IF(AY190=1,AK190&amp;"","")</f>
        <v/>
      </c>
      <c r="BZ190" s="23" t="str">
        <f aca="false">IF(AY190=1,AL190&amp;"","")</f>
        <v/>
      </c>
      <c r="CA190" s="23" t="str">
        <f aca="false">IF(AND(AY190=1,ISNUMBER(AS190),INT(N(H190))&lt;=Config!$B$5),AS190,"")</f>
        <v/>
      </c>
      <c r="CB190" s="23" t="str">
        <f aca="false">IF(AY190=1,IF(COUNTIFS($A$2:$A$201,$A190,$CU$2:$CU$201,1,$AN$2:$AN$201,"Y")&gt;0,"Y","N"),"")</f>
        <v/>
      </c>
      <c r="CC190" s="23" t="n">
        <f aca="false">IF(AND(AY190=1,AN190="Y"),IF(COUNTIFS($AW$2:$AW$201,AW190,$AN$2:$AN$201,"Y",$AY$2:$AY$201,1,$H$2:$H$201,"&lt;"&amp;H190)+COUNTIFS($AW$2:$AW$201,AW190,$AN$2:$AN$201,"Y",$AY$2:$AY$201,1,$H$2:$H$201,H190,$AX$2:$AX$201,"&lt;"&amp;AX190)=0,1,0),0)</f>
        <v>0</v>
      </c>
      <c r="CD190" s="23" t="n">
        <f aca="false">IF(AND(AY190=1,AB190="Y",AC190="Y",AD190="Y",AE190="Y",AF190="Y",AG190="Y",AI190="Y",TRIM(AH190)&lt;&gt;""),1,0)</f>
        <v>0</v>
      </c>
      <c r="CE190" s="23" t="n">
        <f aca="false">IF(CD190=1,IF(COUNTIFS($AW$2:$AW$201,AW190,$CD$2:$CD$201,1,$H$2:$H$201,"&lt;"&amp;H190)+COUNTIFS($AW$2:$AW$201,AW190,$CD$2:$CD$201,1,$H$2:$H$201,H190,$AX$2:$AX$201,"&lt;"&amp;AX190)=0,1,0),0)</f>
        <v>0</v>
      </c>
      <c r="CF190" s="23" t="n">
        <f aca="false">IF(AND(AY190=1,AO190="Y"),1,0)</f>
        <v>0</v>
      </c>
      <c r="CG190" s="23" t="n">
        <f aca="false">IF(CF190=1,IF(COUNTIFS($AW$2:$AW$201,AW190,$CF$2:$CF$201,1,$H$2:$H$201,"&lt;"&amp;H190)+COUNTIFS($AW$2:$AW$201,AW190,$CF$2:$CF$201,1,$H$2:$H$201,H190,$AX$2:$AX$201,"&lt;"&amp;AX190)=0,1,0),0)</f>
        <v>0</v>
      </c>
      <c r="CH190" s="23" t="n">
        <f aca="false">IF(AND(AY190=1,P190="Y"),1,0)</f>
        <v>0</v>
      </c>
      <c r="CI190" s="23" t="n">
        <f aca="false">IF(CH190=1,IF(COUNTIFS($AW$2:$AW$201,AW190,$CH$2:$CH$201,1,$H$2:$H$201,"&lt;"&amp;H190)+COUNTIFS($AW$2:$AW$201,AW190,$CH$2:$CH$201,1,$H$2:$H$201,H190,$AX$2:$AX$201,"&lt;"&amp;AX190)=0,1,0),0)</f>
        <v>0</v>
      </c>
      <c r="CJ190" s="23" t="str">
        <f aca="false">IF(AND(BU190=1,INT(N(H190))&lt;=Config!$B$5),L190,"")</f>
        <v/>
      </c>
      <c r="CK190" s="23" t="n">
        <f aca="false">IF(AND(AY190=1,AR190="Y"),1,0)</f>
        <v>0</v>
      </c>
      <c r="CL190" s="23" t="n">
        <f aca="false">IF(CK190=1,IF(COUNTIFS($AW$2:$AW$201,AW190,$CK$2:$CK$201,1,$H$2:$H$201,"&lt;"&amp;H190)+COUNTIFS($AW$2:$AW$201,AW190,$CK$2:$CK$201,1,$H$2:$H$201,H190,$AX$2:$AX$201,"&lt;"&amp;AX190)=0,1,0),0)</f>
        <v>0</v>
      </c>
      <c r="CM190" s="23" t="str">
        <f aca="false">IF(AY190=1,IFERROR(MATCH($A190,INDEX(Clay_Brands!$A$2:$FZ$601,0,Sync!$D$5),0),""),"")</f>
        <v/>
      </c>
      <c r="CN190" s="23" t="str">
        <f aca="false">IF(CM190="","",IFERROR(INDEX(Clay_Brands!$A$2:$FZ$601,CM190,Sync!$D$7)&amp;"",""))</f>
        <v/>
      </c>
      <c r="CO190" s="23" t="str">
        <f aca="false">IF(CN190="","",IFERROR(INDEX(Lists!$K$2:$K$15,MATCH(CN190,Lists!$J$2:$J$15,0)),""))</f>
        <v/>
      </c>
      <c r="CP190" s="23" t="str">
        <f aca="false">IF(CM190="","",IFERROR(INDEX(Clay_Brands!$A$2:$FZ$601,CM190,Sync!$D$17)&amp;"",""))</f>
        <v/>
      </c>
      <c r="CQ190" s="35" t="str">
        <f aca="false">IF(CM190="","",IFERROR(N(INDEX(Clay_Brands!$A$2:$FZ$601,CM190,Sync!$D$16)),0))</f>
        <v/>
      </c>
      <c r="CR190" s="23" t="n">
        <f aca="false">IF(AND(AY190=1,OR(O190="N",AND(OR(ISNUMBER(R190),ISNUMBER(V190)),MAX(N(R190),N(V190))&lt;Config!$B$14))),1,0)</f>
        <v>0</v>
      </c>
      <c r="CS190" s="23" t="n">
        <f aca="false">IF(OR(BB190=1,CR190=1),1,0)</f>
        <v>0</v>
      </c>
      <c r="CT190" s="23" t="n">
        <f aca="false">IF(AND(AY190=1,OR(AN190="Y",AN190="N",AN190="maybe")),1,0)</f>
        <v>0</v>
      </c>
      <c r="CU190" s="23" t="n">
        <f aca="false">IF(AND(CT190=1),IF(COUNTIFS($A$2:$A$201,$A190,$CT$2:$CT$201,1,$H$2:$H$201,"&gt;"&amp;H190)+COUNTIFS($A$2:$A$201,$A190,$CT$2:$CT$201,1,$H$2:$H$201,H190,$AX$2:$AX$201,"&gt;"&amp;AX190)=0,1,0),0)</f>
        <v>0</v>
      </c>
      <c r="CV190" s="23" t="n">
        <f aca="false">IF(AND(CS190=1,INT(N(H190))&lt;=Config!$B$6),IF(COUNTIFS($AW$2:$AW$201,AW190,$CS$2:$CS$201,1,$H$2:$H$201,"&gt;"&amp;H190,$H$2:$H$201,"&lt;"&amp;(Config!$B$6+1))+COUNTIFS($AW$2:$AW$201,AW190,$CS$2:$CS$201,1,$H$2:$H$201,H190,$AX$2:$AX$201,"&gt;"&amp;AX190)=0,1,0),0)</f>
        <v>0</v>
      </c>
      <c r="CW190" s="23" t="n">
        <f aca="false">IF(AND(CS190=1,INT(N(H190))&lt;=Config!$B$7),IF(COUNTIFS($AW$2:$AW$201,AW190,$CS$2:$CS$201,1,$H$2:$H$201,"&gt;"&amp;H190,$H$2:$H$201,"&lt;"&amp;(Config!$B$7+1))+COUNTIFS($AW$2:$AW$201,AW190,$CS$2:$CS$201,1,$H$2:$H$201,H190,$AX$2:$AX$201,"&gt;"&amp;AX190)=0,1,0),0)</f>
        <v>0</v>
      </c>
      <c r="CX190" s="23" t="n">
        <f aca="false">IF(AND(CS190=1,INT(N(H190))&lt;=Config!$B$8),IF(COUNTIFS($AW$2:$AW$201,AW190,$CS$2:$CS$201,1,$H$2:$H$201,"&gt;"&amp;H190,$H$2:$H$201,"&lt;"&amp;(Config!$B$8+1))+COUNTIFS($AW$2:$AW$201,AW190,$CS$2:$CS$201,1,$H$2:$H$201,H190,$AX$2:$AX$201,"&gt;"&amp;AX190)=0,1,0),0)</f>
        <v>0</v>
      </c>
      <c r="CY190" s="23" t="n">
        <f aca="false">IF(AND(CS190=1,INT(N(H190))&lt;=Config!$B$5),IF(COUNTIFS($AW$2:$AW$201,AW190,$CS$2:$CS$201,1,$H$2:$H$201,"&gt;"&amp;H190,$H$2:$H$201,"&lt;"&amp;(Config!$B$5+1))+COUNTIFS($AW$2:$AW$201,AW190,$CS$2:$CS$201,1,$H$2:$H$201,H190,$AX$2:$AX$201,"&gt;"&amp;AX190)=0,1,0),0)</f>
        <v>0</v>
      </c>
      <c r="CZ190" s="23" t="n">
        <f aca="false">IF(AY190=1,IF(COUNTIFS($AW$2:$AW$201,AW190,$CV$2:$CV$201,1,$BB$2:$BB$201,1)&gt;0,1,0),0)</f>
        <v>0</v>
      </c>
      <c r="DA190" s="23" t="n">
        <f aca="false">IF(AY190=1,IF(COUNTIFS($AW$2:$AW$201,AW190,$CW$2:$CW$201,1,$BB$2:$BB$201,1)&gt;0,1,0),0)</f>
        <v>0</v>
      </c>
      <c r="DB190" s="23" t="n">
        <f aca="false">IF(AY190=1,IF(COUNTIFS($AW$2:$AW$201,AW190,$CX$2:$CX$201,1,$BB$2:$BB$201,1)&gt;0,1,0),0)</f>
        <v>0</v>
      </c>
      <c r="DC190" s="23" t="n">
        <f aca="false">IF(AY190=1,IF(COUNTIFS($AW$2:$AW$201,AW190,$CY$2:$CY$201,1,$BB$2:$BB$201,1)&gt;0,1,0),0)</f>
        <v>0</v>
      </c>
      <c r="DD190" s="23" t="n">
        <f aca="false">IF(AND(BC190=1,INT(N(H190))&lt;=Config!$B$6,CZ190=1),1,0)</f>
        <v>0</v>
      </c>
      <c r="DE190" s="23" t="n">
        <f aca="false">IF(AND(BC190=1,INT(N(H190))&lt;=Config!$B$7,DA190=1),1,0)</f>
        <v>0</v>
      </c>
      <c r="DF190" s="23" t="n">
        <f aca="false">IF(AND(BC190=1,INT(N(H190))&lt;=Config!$B$8,DB190=1),1,0)</f>
        <v>0</v>
      </c>
      <c r="DG190" s="23" t="n">
        <f aca="false">IF(AND(BC190=1,INT(N(H190))&lt;=Config!$B$5,DC190=1),1,0)</f>
        <v>0</v>
      </c>
      <c r="DH190" s="23" t="n">
        <f aca="false">IF(AND(BE190=1,INT(N(H190))&lt;=Config!$B$6,CZ190=1),1,0)</f>
        <v>0</v>
      </c>
      <c r="DI190" s="23" t="n">
        <f aca="false">IF(AND(BE190=1,INT(N(H190))&lt;=Config!$B$7,DA190=1),1,0)</f>
        <v>0</v>
      </c>
      <c r="DJ190" s="23" t="n">
        <f aca="false">IF(AND(BE190=1,INT(N(H190))&lt;=Config!$B$8,DB190=1),1,0)</f>
        <v>0</v>
      </c>
      <c r="DK190" s="23" t="n">
        <f aca="false">IF(AND(BE190=1,INT(N(H190))&lt;=Config!$B$5,DC190=1),1,0)</f>
        <v>0</v>
      </c>
      <c r="DL190" s="23" t="n">
        <f aca="false">IF(AND(BC190=1,INT(N(H190))&lt;=Config!$B$6,CZ190=0),1,0)</f>
        <v>0</v>
      </c>
      <c r="DM190" s="23" t="n">
        <f aca="false">IF(AND(BC190=1,INT(N(H190))&lt;=Config!$B$7,DA190=0),1,0)</f>
        <v>0</v>
      </c>
      <c r="DN190" s="23" t="n">
        <f aca="false">IF(AND(BC190=1,INT(N(H190))&lt;=Config!$B$8,DB190=0),1,0)</f>
        <v>0</v>
      </c>
      <c r="DO190" s="23" t="n">
        <f aca="false">IF(AND(BC190=1,INT(N(H190))&lt;=Config!$B$5,DC190=0),1,0)</f>
        <v>0</v>
      </c>
      <c r="DP190" s="23" t="n">
        <f aca="false">IF(TRIM($A190)="",0,ISTEXT(K190)+ISTEXT(L190)+ISTEXT(R190)+ISTEXT(V190)+ISTEXT(AP190)+ISTEXT(AS190))</f>
        <v>0</v>
      </c>
      <c r="DQ190" s="23" t="n">
        <f aca="false">IF(AY190=1,IF(H190&lt;&gt;INT(H190),1,0),0)</f>
        <v>0</v>
      </c>
      <c r="DR190" s="23" t="str">
        <f aca="false">IF(TRIM($A190)="","",IF(TRIM(B190)="",SUBSTITUTE(SUBSTITUTE(SUBSTITUTE(SUBSTITUTE(SUBSTITUTE(SUBSTITUTE(LOWER(TRIM($A190)),"~",""),"*",""),"?",""),"&lt;",""),"&gt;",""),"=",""),SUBSTITUTE(SUBSTITUTE(SUBSTITUTE(SUBSTITUTE(SUBSTITUTE(SUBSTITUTE(LOWER(TRIM(B190)),"~",""),"*",""),"?",""),"&lt;",""),"&gt;",""),"=","")))</f>
        <v/>
      </c>
      <c r="DS190" s="23" t="str">
        <f aca="false">IF(CM190="","",IFERROR(IF(LEFT(LOWER(TRIM(INDEX(Clay_Brands!$A$2:$FZ$601,CM190,Sync!$D$19)&amp;"")),4)="grp-",SUBSTITUTE(SUBSTITUTE(SUBSTITUTE(SUBSTITUTE(SUBSTITUTE(SUBSTITUTE(LOWER(TRIM(INDEX(Clay_Brands!$A$2:$FZ$601,CM190,Sync!$D$19)&amp;"")),"~",""),"*",""),"?",""),"&lt;",""),"&gt;",""),"=",""),""),""))</f>
        <v/>
      </c>
      <c r="DT190" s="23" t="str">
        <f aca="false">IF(DS190&lt;&gt;"",DR190,"")</f>
        <v/>
      </c>
      <c r="DU190" s="23" t="str">
        <f aca="false">IF(AZ190=1,AW190,"")</f>
        <v/>
      </c>
      <c r="DV190" s="23" t="str">
        <f aca="false">IF(TRIM($A190)="","",IFERROR(INDEX($A$2:$A$201,MATCH(AW190,$DU$2:$DU$201,0))&amp;"",$A190&amp;""))</f>
        <v/>
      </c>
      <c r="DW190" s="23" t="n">
        <f aca="false">IF(AY190=1,IF(COUNTIFS($A$2:$A$201,$A190,$AY$2:$AY$201,1,$H$2:$H$201,"&lt;"&amp;H190)+COUNTIFS($A$2:$A$201,$A190,$AY$2:$AY$201,1,$H$2:$H$201,H190,$AX$2:$AX$201,"&lt;"&amp;AX190)=0,1,0),0)</f>
        <v>0</v>
      </c>
      <c r="DX190" s="23" t="n">
        <f aca="false">IF(AZ190=1,IF(COUNTIFS($AW$2:$AW$201,AW190,$DW$2:$DW$201,1)&gt;1,1,0),0)</f>
        <v>0</v>
      </c>
    </row>
    <row r="191" customFormat="false" ht="15" hidden="false" customHeight="false" outlineLevel="0" collapsed="false">
      <c r="G191" s="32"/>
      <c r="H191" s="33"/>
      <c r="I191" s="32"/>
      <c r="O191" s="32"/>
      <c r="P191" s="32"/>
      <c r="U191" s="32"/>
      <c r="Y191" s="32"/>
      <c r="AB191" s="32"/>
      <c r="AC191" s="32"/>
      <c r="AD191" s="32"/>
      <c r="AE191" s="32"/>
      <c r="AF191" s="32"/>
      <c r="AG191" s="32"/>
      <c r="AI191" s="32"/>
      <c r="AJ191" s="32"/>
      <c r="AK191" s="32"/>
      <c r="AN191" s="32"/>
      <c r="AO191" s="32"/>
      <c r="AR191" s="32"/>
      <c r="AT191" s="32"/>
      <c r="AV191" s="34" t="str">
        <f aca="false">IF(TRIM($A191)="","",IF(AND(LEFT($A191,6)="SAMPLE",Config!$B$19&lt;&gt;"Y"),"",IF(NOT(ISNUMBER(H191)),"call_date is blank or not a date",IF(Sync!$D$5="","Clay paste is empty or has no row_id column: paste the Clay export on Clay_Brands",IF(CM191="","row_id not found in the Clay paste: add the Clay row or fix the row_id",IF(AND(ISNUMBER(CO191),CO191&gt;=1,CO191&lt;=5),"Clay status is "&amp;CN191&amp;": set call_done or later",IF(AND(BA191=1,CP191&lt;&gt;CB191),"Clay yes_in_principle should be "&amp;CB191,IF(AND(BA191=1,CQ191&lt;&gt;H191),"Clay call_date should be "&amp;TEXT(H191,"yyyy-mm-dd"),""))))))))</f>
        <v/>
      </c>
      <c r="AW191" s="23" t="str">
        <f aca="false">IF(TRIM($A191)="","",IF(TRIM(C191)&lt;&gt;"",SUBSTITUTE(SUBSTITUTE(SUBSTITUTE(SUBSTITUTE(SUBSTITUTE(SUBSTITUTE(LOWER(TRIM(C191)),"~",""),"*",""),"?",""),"&lt;",""),"&gt;",""),"=",""),IF(DS191&lt;&gt;"",DS191,IFERROR(INDEX($DS$2:$DS$201,MATCH(DR191,$DT$2:$DT$201,0)),DR191))))</f>
        <v/>
      </c>
      <c r="AX191" s="23" t="n">
        <f aca="false">ROW()</f>
        <v>191</v>
      </c>
      <c r="AY191" s="23" t="n">
        <f aca="false">IF(AND(TRIM($A191)&lt;&gt;"",ISNUMBER(H191)),IF(AND(LEFT($A191,6)="SAMPLE",Config!$B$19&lt;&gt;"Y"),0,1),0)</f>
        <v>0</v>
      </c>
      <c r="AZ191" s="23" t="n">
        <f aca="false">IF(AY191=1,IF(COUNTIFS($AW$2:$AW$201,AW191,$AY$2:$AY$201,1,$H$2:$H$201,"&lt;"&amp;H191)+COUNTIFS($AW$2:$AW$201,AW191,$AY$2:$AY$201,1,$H$2:$H$201,H191,$AX$2:$AX$201,"&lt;"&amp;AX191)=0,1,0),0)</f>
        <v>0</v>
      </c>
      <c r="BA191" s="23" t="n">
        <f aca="false">IF(AY191=1,IF(COUNTIFS($A$2:$A$201,$A191,$AY$2:$AY$201,1,$H$2:$H$201,"&gt;"&amp;H191)+COUNTIFS($A$2:$A$201,$A191,$AY$2:$AY$201,1,$H$2:$H$201,H191,$AX$2:$AX$201,"&gt;"&amp;AX191)=0,1,0),0)</f>
        <v>0</v>
      </c>
      <c r="BB191" s="23" t="n">
        <f aca="false">IF(AND(AY191=1,O191="Y",MAX(N(R191),N(V191))&gt;=Config!$B$14),1,0)</f>
        <v>0</v>
      </c>
      <c r="BC191" s="23" t="n">
        <f aca="false">IF(BB191=1,IF(COUNTIFS($AW$2:$AW$201,AW191,$BB$2:$BB$201,1,$H$2:$H$201,"&lt;"&amp;H191)+COUNTIFS($AW$2:$AW$201,AW191,$BB$2:$BB$201,1,$H$2:$H$201,H191,$AX$2:$AX$201,"&lt;"&amp;AX191)=0,1,0),0)</f>
        <v>0</v>
      </c>
      <c r="BD191" s="23" t="n">
        <f aca="false">IF(AND(AY191=1,O191="Y",ISNUMBER(R191)),IF(R191&gt;=Config!$B$14,1,0),0)</f>
        <v>0</v>
      </c>
      <c r="BE191" s="23" t="n">
        <f aca="false">IF(BD191=1,IF(COUNTIFS($AW$2:$AW$201,AW191,$BD$2:$BD$201,1,$H$2:$H$201,"&lt;"&amp;H191)+COUNTIFS($AW$2:$AW$201,AW191,$BD$2:$BD$201,1,$H$2:$H$201,H191,$AX$2:$AX$201,"&lt;"&amp;AX191)=0,1,0),0)</f>
        <v>0</v>
      </c>
      <c r="BF191" s="23" t="n">
        <f aca="false">IF(AND(AY191=1,O191&lt;&gt;"Y",MAX(N(R191),N(V191))&gt;=Config!$B$14),1,0)</f>
        <v>0</v>
      </c>
      <c r="BG191" s="23" t="n">
        <f aca="false">IF(BF191=1,IF(COUNTIFS($AW$2:$AW$201,AW191,$BF$2:$BF$201,1,$H$2:$H$201,"&lt;"&amp;H191)+COUNTIFS($AW$2:$AW$201,AW191,$BF$2:$BF$201,1,$H$2:$H$201,H191,$AX$2:$AX$201,"&lt;"&amp;AX191)=0,1,0),0)</f>
        <v>0</v>
      </c>
      <c r="BH191" s="23" t="n">
        <f aca="false">IF(AND(AY191=1,ISNUMBER(R191)),1,0)</f>
        <v>0</v>
      </c>
      <c r="BI191" s="23" t="n">
        <f aca="false">IF(BH191=1,IF(COUNTIFS($AW$2:$AW$201,AW191,$BH$2:$BH$201,1,$H$2:$H$201,"&lt;"&amp;H191)+COUNTIFS($AW$2:$AW$201,AW191,$BH$2:$BH$201,1,$H$2:$H$201,H191,$AX$2:$AX$201,"&lt;"&amp;AX191)=0,1,0),0)</f>
        <v>0</v>
      </c>
      <c r="BJ191" s="23" t="str">
        <f aca="false">IF(AND(BI191=1,INT(N(H191))&lt;=Config!$B$6),R191,"")</f>
        <v/>
      </c>
      <c r="BK191" s="23" t="str">
        <f aca="false">IF(AND(BI191=1,INT(N(H191))&lt;=Config!$B$7),R191,"")</f>
        <v/>
      </c>
      <c r="BL191" s="23" t="str">
        <f aca="false">IF(AND(BI191=1,INT(N(H191))&lt;=Config!$B$8),R191,"")</f>
        <v/>
      </c>
      <c r="BM191" s="23" t="str">
        <f aca="false">IF(AND(BI191=1,INT(N(H191))&lt;=Config!$B$5),R191,"")</f>
        <v/>
      </c>
      <c r="BN191" s="23" t="n">
        <f aca="false">IF(AND(AY191=1,ISNUMBER(V191)),1,0)</f>
        <v>0</v>
      </c>
      <c r="BO191" s="23" t="n">
        <f aca="false">IF(BN191=1,IF(COUNTIFS($AW$2:$AW$201,AW191,$BN$2:$BN$201,1,$H$2:$H$201,"&lt;"&amp;H191)+COUNTIFS($AW$2:$AW$201,AW191,$BN$2:$BN$201,1,$H$2:$H$201,H191,$AX$2:$AX$201,"&lt;"&amp;AX191)=0,1,0),0)</f>
        <v>0</v>
      </c>
      <c r="BP191" s="23" t="str">
        <f aca="false">IF(AND(BO191=1,INT(N(H191))&lt;=Config!$B$6),V191,"")</f>
        <v/>
      </c>
      <c r="BQ191" s="23" t="str">
        <f aca="false">IF(AND(BO191=1,INT(N(H191))&lt;=Config!$B$7),V191,"")</f>
        <v/>
      </c>
      <c r="BR191" s="23" t="str">
        <f aca="false">IF(AND(BO191=1,INT(N(H191))&lt;=Config!$B$8),V191,"")</f>
        <v/>
      </c>
      <c r="BS191" s="23" t="str">
        <f aca="false">IF(AND(BO191=1,INT(N(H191))&lt;=Config!$B$5),V191,"")</f>
        <v/>
      </c>
      <c r="BT191" s="23" t="n">
        <f aca="false">IF(AND(AY191=1,ISNUMBER(K191)),1,0)</f>
        <v>0</v>
      </c>
      <c r="BU191" s="23" t="n">
        <f aca="false">IF(BT191=1,IF(COUNTIFS($AW$2:$AW$201,AW191,$BT$2:$BT$201,1,$H$2:$H$201,"&lt;"&amp;H191)+COUNTIFS($AW$2:$AW$201,AW191,$BT$2:$BT$201,1,$H$2:$H$201,H191,$AX$2:$AX$201,"&lt;"&amp;AX191)=0,1,0),0)</f>
        <v>0</v>
      </c>
      <c r="BV191" s="23" t="str">
        <f aca="false">IF(AND(BU191=1,INT(N(H191))&lt;=Config!$B$5),K191,"")</f>
        <v/>
      </c>
      <c r="BW191" s="23" t="n">
        <f aca="false">IF(AND(AY191=1,OR(AND(ISNUMBER(R191),TRIM(S191)=""),AND(ISNUMBER(V191),TRIM(W191)=""))),1,0)</f>
        <v>0</v>
      </c>
      <c r="BX191" s="23" t="str">
        <f aca="false">IF(AY191=1,AJ191&amp;"","")</f>
        <v/>
      </c>
      <c r="BY191" s="23" t="str">
        <f aca="false">IF(AY191=1,AK191&amp;"","")</f>
        <v/>
      </c>
      <c r="BZ191" s="23" t="str">
        <f aca="false">IF(AY191=1,AL191&amp;"","")</f>
        <v/>
      </c>
      <c r="CA191" s="23" t="str">
        <f aca="false">IF(AND(AY191=1,ISNUMBER(AS191),INT(N(H191))&lt;=Config!$B$5),AS191,"")</f>
        <v/>
      </c>
      <c r="CB191" s="23" t="str">
        <f aca="false">IF(AY191=1,IF(COUNTIFS($A$2:$A$201,$A191,$CU$2:$CU$201,1,$AN$2:$AN$201,"Y")&gt;0,"Y","N"),"")</f>
        <v/>
      </c>
      <c r="CC191" s="23" t="n">
        <f aca="false">IF(AND(AY191=1,AN191="Y"),IF(COUNTIFS($AW$2:$AW$201,AW191,$AN$2:$AN$201,"Y",$AY$2:$AY$201,1,$H$2:$H$201,"&lt;"&amp;H191)+COUNTIFS($AW$2:$AW$201,AW191,$AN$2:$AN$201,"Y",$AY$2:$AY$201,1,$H$2:$H$201,H191,$AX$2:$AX$201,"&lt;"&amp;AX191)=0,1,0),0)</f>
        <v>0</v>
      </c>
      <c r="CD191" s="23" t="n">
        <f aca="false">IF(AND(AY191=1,AB191="Y",AC191="Y",AD191="Y",AE191="Y",AF191="Y",AG191="Y",AI191="Y",TRIM(AH191)&lt;&gt;""),1,0)</f>
        <v>0</v>
      </c>
      <c r="CE191" s="23" t="n">
        <f aca="false">IF(CD191=1,IF(COUNTIFS($AW$2:$AW$201,AW191,$CD$2:$CD$201,1,$H$2:$H$201,"&lt;"&amp;H191)+COUNTIFS($AW$2:$AW$201,AW191,$CD$2:$CD$201,1,$H$2:$H$201,H191,$AX$2:$AX$201,"&lt;"&amp;AX191)=0,1,0),0)</f>
        <v>0</v>
      </c>
      <c r="CF191" s="23" t="n">
        <f aca="false">IF(AND(AY191=1,AO191="Y"),1,0)</f>
        <v>0</v>
      </c>
      <c r="CG191" s="23" t="n">
        <f aca="false">IF(CF191=1,IF(COUNTIFS($AW$2:$AW$201,AW191,$CF$2:$CF$201,1,$H$2:$H$201,"&lt;"&amp;H191)+COUNTIFS($AW$2:$AW$201,AW191,$CF$2:$CF$201,1,$H$2:$H$201,H191,$AX$2:$AX$201,"&lt;"&amp;AX191)=0,1,0),0)</f>
        <v>0</v>
      </c>
      <c r="CH191" s="23" t="n">
        <f aca="false">IF(AND(AY191=1,P191="Y"),1,0)</f>
        <v>0</v>
      </c>
      <c r="CI191" s="23" t="n">
        <f aca="false">IF(CH191=1,IF(COUNTIFS($AW$2:$AW$201,AW191,$CH$2:$CH$201,1,$H$2:$H$201,"&lt;"&amp;H191)+COUNTIFS($AW$2:$AW$201,AW191,$CH$2:$CH$201,1,$H$2:$H$201,H191,$AX$2:$AX$201,"&lt;"&amp;AX191)=0,1,0),0)</f>
        <v>0</v>
      </c>
      <c r="CJ191" s="23" t="str">
        <f aca="false">IF(AND(BU191=1,INT(N(H191))&lt;=Config!$B$5),L191,"")</f>
        <v/>
      </c>
      <c r="CK191" s="23" t="n">
        <f aca="false">IF(AND(AY191=1,AR191="Y"),1,0)</f>
        <v>0</v>
      </c>
      <c r="CL191" s="23" t="n">
        <f aca="false">IF(CK191=1,IF(COUNTIFS($AW$2:$AW$201,AW191,$CK$2:$CK$201,1,$H$2:$H$201,"&lt;"&amp;H191)+COUNTIFS($AW$2:$AW$201,AW191,$CK$2:$CK$201,1,$H$2:$H$201,H191,$AX$2:$AX$201,"&lt;"&amp;AX191)=0,1,0),0)</f>
        <v>0</v>
      </c>
      <c r="CM191" s="23" t="str">
        <f aca="false">IF(AY191=1,IFERROR(MATCH($A191,INDEX(Clay_Brands!$A$2:$FZ$601,0,Sync!$D$5),0),""),"")</f>
        <v/>
      </c>
      <c r="CN191" s="23" t="str">
        <f aca="false">IF(CM191="","",IFERROR(INDEX(Clay_Brands!$A$2:$FZ$601,CM191,Sync!$D$7)&amp;"",""))</f>
        <v/>
      </c>
      <c r="CO191" s="23" t="str">
        <f aca="false">IF(CN191="","",IFERROR(INDEX(Lists!$K$2:$K$15,MATCH(CN191,Lists!$J$2:$J$15,0)),""))</f>
        <v/>
      </c>
      <c r="CP191" s="23" t="str">
        <f aca="false">IF(CM191="","",IFERROR(INDEX(Clay_Brands!$A$2:$FZ$601,CM191,Sync!$D$17)&amp;"",""))</f>
        <v/>
      </c>
      <c r="CQ191" s="35" t="str">
        <f aca="false">IF(CM191="","",IFERROR(N(INDEX(Clay_Brands!$A$2:$FZ$601,CM191,Sync!$D$16)),0))</f>
        <v/>
      </c>
      <c r="CR191" s="23" t="n">
        <f aca="false">IF(AND(AY191=1,OR(O191="N",AND(OR(ISNUMBER(R191),ISNUMBER(V191)),MAX(N(R191),N(V191))&lt;Config!$B$14))),1,0)</f>
        <v>0</v>
      </c>
      <c r="CS191" s="23" t="n">
        <f aca="false">IF(OR(BB191=1,CR191=1),1,0)</f>
        <v>0</v>
      </c>
      <c r="CT191" s="23" t="n">
        <f aca="false">IF(AND(AY191=1,OR(AN191="Y",AN191="N",AN191="maybe")),1,0)</f>
        <v>0</v>
      </c>
      <c r="CU191" s="23" t="n">
        <f aca="false">IF(AND(CT191=1),IF(COUNTIFS($A$2:$A$201,$A191,$CT$2:$CT$201,1,$H$2:$H$201,"&gt;"&amp;H191)+COUNTIFS($A$2:$A$201,$A191,$CT$2:$CT$201,1,$H$2:$H$201,H191,$AX$2:$AX$201,"&gt;"&amp;AX191)=0,1,0),0)</f>
        <v>0</v>
      </c>
      <c r="CV191" s="23" t="n">
        <f aca="false">IF(AND(CS191=1,INT(N(H191))&lt;=Config!$B$6),IF(COUNTIFS($AW$2:$AW$201,AW191,$CS$2:$CS$201,1,$H$2:$H$201,"&gt;"&amp;H191,$H$2:$H$201,"&lt;"&amp;(Config!$B$6+1))+COUNTIFS($AW$2:$AW$201,AW191,$CS$2:$CS$201,1,$H$2:$H$201,H191,$AX$2:$AX$201,"&gt;"&amp;AX191)=0,1,0),0)</f>
        <v>0</v>
      </c>
      <c r="CW191" s="23" t="n">
        <f aca="false">IF(AND(CS191=1,INT(N(H191))&lt;=Config!$B$7),IF(COUNTIFS($AW$2:$AW$201,AW191,$CS$2:$CS$201,1,$H$2:$H$201,"&gt;"&amp;H191,$H$2:$H$201,"&lt;"&amp;(Config!$B$7+1))+COUNTIFS($AW$2:$AW$201,AW191,$CS$2:$CS$201,1,$H$2:$H$201,H191,$AX$2:$AX$201,"&gt;"&amp;AX191)=0,1,0),0)</f>
        <v>0</v>
      </c>
      <c r="CX191" s="23" t="n">
        <f aca="false">IF(AND(CS191=1,INT(N(H191))&lt;=Config!$B$8),IF(COUNTIFS($AW$2:$AW$201,AW191,$CS$2:$CS$201,1,$H$2:$H$201,"&gt;"&amp;H191,$H$2:$H$201,"&lt;"&amp;(Config!$B$8+1))+COUNTIFS($AW$2:$AW$201,AW191,$CS$2:$CS$201,1,$H$2:$H$201,H191,$AX$2:$AX$201,"&gt;"&amp;AX191)=0,1,0),0)</f>
        <v>0</v>
      </c>
      <c r="CY191" s="23" t="n">
        <f aca="false">IF(AND(CS191=1,INT(N(H191))&lt;=Config!$B$5),IF(COUNTIFS($AW$2:$AW$201,AW191,$CS$2:$CS$201,1,$H$2:$H$201,"&gt;"&amp;H191,$H$2:$H$201,"&lt;"&amp;(Config!$B$5+1))+COUNTIFS($AW$2:$AW$201,AW191,$CS$2:$CS$201,1,$H$2:$H$201,H191,$AX$2:$AX$201,"&gt;"&amp;AX191)=0,1,0),0)</f>
        <v>0</v>
      </c>
      <c r="CZ191" s="23" t="n">
        <f aca="false">IF(AY191=1,IF(COUNTIFS($AW$2:$AW$201,AW191,$CV$2:$CV$201,1,$BB$2:$BB$201,1)&gt;0,1,0),0)</f>
        <v>0</v>
      </c>
      <c r="DA191" s="23" t="n">
        <f aca="false">IF(AY191=1,IF(COUNTIFS($AW$2:$AW$201,AW191,$CW$2:$CW$201,1,$BB$2:$BB$201,1)&gt;0,1,0),0)</f>
        <v>0</v>
      </c>
      <c r="DB191" s="23" t="n">
        <f aca="false">IF(AY191=1,IF(COUNTIFS($AW$2:$AW$201,AW191,$CX$2:$CX$201,1,$BB$2:$BB$201,1)&gt;0,1,0),0)</f>
        <v>0</v>
      </c>
      <c r="DC191" s="23" t="n">
        <f aca="false">IF(AY191=1,IF(COUNTIFS($AW$2:$AW$201,AW191,$CY$2:$CY$201,1,$BB$2:$BB$201,1)&gt;0,1,0),0)</f>
        <v>0</v>
      </c>
      <c r="DD191" s="23" t="n">
        <f aca="false">IF(AND(BC191=1,INT(N(H191))&lt;=Config!$B$6,CZ191=1),1,0)</f>
        <v>0</v>
      </c>
      <c r="DE191" s="23" t="n">
        <f aca="false">IF(AND(BC191=1,INT(N(H191))&lt;=Config!$B$7,DA191=1),1,0)</f>
        <v>0</v>
      </c>
      <c r="DF191" s="23" t="n">
        <f aca="false">IF(AND(BC191=1,INT(N(H191))&lt;=Config!$B$8,DB191=1),1,0)</f>
        <v>0</v>
      </c>
      <c r="DG191" s="23" t="n">
        <f aca="false">IF(AND(BC191=1,INT(N(H191))&lt;=Config!$B$5,DC191=1),1,0)</f>
        <v>0</v>
      </c>
      <c r="DH191" s="23" t="n">
        <f aca="false">IF(AND(BE191=1,INT(N(H191))&lt;=Config!$B$6,CZ191=1),1,0)</f>
        <v>0</v>
      </c>
      <c r="DI191" s="23" t="n">
        <f aca="false">IF(AND(BE191=1,INT(N(H191))&lt;=Config!$B$7,DA191=1),1,0)</f>
        <v>0</v>
      </c>
      <c r="DJ191" s="23" t="n">
        <f aca="false">IF(AND(BE191=1,INT(N(H191))&lt;=Config!$B$8,DB191=1),1,0)</f>
        <v>0</v>
      </c>
      <c r="DK191" s="23" t="n">
        <f aca="false">IF(AND(BE191=1,INT(N(H191))&lt;=Config!$B$5,DC191=1),1,0)</f>
        <v>0</v>
      </c>
      <c r="DL191" s="23" t="n">
        <f aca="false">IF(AND(BC191=1,INT(N(H191))&lt;=Config!$B$6,CZ191=0),1,0)</f>
        <v>0</v>
      </c>
      <c r="DM191" s="23" t="n">
        <f aca="false">IF(AND(BC191=1,INT(N(H191))&lt;=Config!$B$7,DA191=0),1,0)</f>
        <v>0</v>
      </c>
      <c r="DN191" s="23" t="n">
        <f aca="false">IF(AND(BC191=1,INT(N(H191))&lt;=Config!$B$8,DB191=0),1,0)</f>
        <v>0</v>
      </c>
      <c r="DO191" s="23" t="n">
        <f aca="false">IF(AND(BC191=1,INT(N(H191))&lt;=Config!$B$5,DC191=0),1,0)</f>
        <v>0</v>
      </c>
      <c r="DP191" s="23" t="n">
        <f aca="false">IF(TRIM($A191)="",0,ISTEXT(K191)+ISTEXT(L191)+ISTEXT(R191)+ISTEXT(V191)+ISTEXT(AP191)+ISTEXT(AS191))</f>
        <v>0</v>
      </c>
      <c r="DQ191" s="23" t="n">
        <f aca="false">IF(AY191=1,IF(H191&lt;&gt;INT(H191),1,0),0)</f>
        <v>0</v>
      </c>
      <c r="DR191" s="23" t="str">
        <f aca="false">IF(TRIM($A191)="","",IF(TRIM(B191)="",SUBSTITUTE(SUBSTITUTE(SUBSTITUTE(SUBSTITUTE(SUBSTITUTE(SUBSTITUTE(LOWER(TRIM($A191)),"~",""),"*",""),"?",""),"&lt;",""),"&gt;",""),"=",""),SUBSTITUTE(SUBSTITUTE(SUBSTITUTE(SUBSTITUTE(SUBSTITUTE(SUBSTITUTE(LOWER(TRIM(B191)),"~",""),"*",""),"?",""),"&lt;",""),"&gt;",""),"=","")))</f>
        <v/>
      </c>
      <c r="DS191" s="23" t="str">
        <f aca="false">IF(CM191="","",IFERROR(IF(LEFT(LOWER(TRIM(INDEX(Clay_Brands!$A$2:$FZ$601,CM191,Sync!$D$19)&amp;"")),4)="grp-",SUBSTITUTE(SUBSTITUTE(SUBSTITUTE(SUBSTITUTE(SUBSTITUTE(SUBSTITUTE(LOWER(TRIM(INDEX(Clay_Brands!$A$2:$FZ$601,CM191,Sync!$D$19)&amp;"")),"~",""),"*",""),"?",""),"&lt;",""),"&gt;",""),"=",""),""),""))</f>
        <v/>
      </c>
      <c r="DT191" s="23" t="str">
        <f aca="false">IF(DS191&lt;&gt;"",DR191,"")</f>
        <v/>
      </c>
      <c r="DU191" s="23" t="str">
        <f aca="false">IF(AZ191=1,AW191,"")</f>
        <v/>
      </c>
      <c r="DV191" s="23" t="str">
        <f aca="false">IF(TRIM($A191)="","",IFERROR(INDEX($A$2:$A$201,MATCH(AW191,$DU$2:$DU$201,0))&amp;"",$A191&amp;""))</f>
        <v/>
      </c>
      <c r="DW191" s="23" t="n">
        <f aca="false">IF(AY191=1,IF(COUNTIFS($A$2:$A$201,$A191,$AY$2:$AY$201,1,$H$2:$H$201,"&lt;"&amp;H191)+COUNTIFS($A$2:$A$201,$A191,$AY$2:$AY$201,1,$H$2:$H$201,H191,$AX$2:$AX$201,"&lt;"&amp;AX191)=0,1,0),0)</f>
        <v>0</v>
      </c>
      <c r="DX191" s="23" t="n">
        <f aca="false">IF(AZ191=1,IF(COUNTIFS($AW$2:$AW$201,AW191,$DW$2:$DW$201,1)&gt;1,1,0),0)</f>
        <v>0</v>
      </c>
    </row>
    <row r="192" customFormat="false" ht="15" hidden="false" customHeight="false" outlineLevel="0" collapsed="false">
      <c r="G192" s="32"/>
      <c r="H192" s="33"/>
      <c r="I192" s="32"/>
      <c r="O192" s="32"/>
      <c r="P192" s="32"/>
      <c r="U192" s="32"/>
      <c r="Y192" s="32"/>
      <c r="AB192" s="32"/>
      <c r="AC192" s="32"/>
      <c r="AD192" s="32"/>
      <c r="AE192" s="32"/>
      <c r="AF192" s="32"/>
      <c r="AG192" s="32"/>
      <c r="AI192" s="32"/>
      <c r="AJ192" s="32"/>
      <c r="AK192" s="32"/>
      <c r="AN192" s="32"/>
      <c r="AO192" s="32"/>
      <c r="AR192" s="32"/>
      <c r="AT192" s="32"/>
      <c r="AV192" s="34" t="str">
        <f aca="false">IF(TRIM($A192)="","",IF(AND(LEFT($A192,6)="SAMPLE",Config!$B$19&lt;&gt;"Y"),"",IF(NOT(ISNUMBER(H192)),"call_date is blank or not a date",IF(Sync!$D$5="","Clay paste is empty or has no row_id column: paste the Clay export on Clay_Brands",IF(CM192="","row_id not found in the Clay paste: add the Clay row or fix the row_id",IF(AND(ISNUMBER(CO192),CO192&gt;=1,CO192&lt;=5),"Clay status is "&amp;CN192&amp;": set call_done or later",IF(AND(BA192=1,CP192&lt;&gt;CB192),"Clay yes_in_principle should be "&amp;CB192,IF(AND(BA192=1,CQ192&lt;&gt;H192),"Clay call_date should be "&amp;TEXT(H192,"yyyy-mm-dd"),""))))))))</f>
        <v/>
      </c>
      <c r="AW192" s="23" t="str">
        <f aca="false">IF(TRIM($A192)="","",IF(TRIM(C192)&lt;&gt;"",SUBSTITUTE(SUBSTITUTE(SUBSTITUTE(SUBSTITUTE(SUBSTITUTE(SUBSTITUTE(LOWER(TRIM(C192)),"~",""),"*",""),"?",""),"&lt;",""),"&gt;",""),"=",""),IF(DS192&lt;&gt;"",DS192,IFERROR(INDEX($DS$2:$DS$201,MATCH(DR192,$DT$2:$DT$201,0)),DR192))))</f>
        <v/>
      </c>
      <c r="AX192" s="23" t="n">
        <f aca="false">ROW()</f>
        <v>192</v>
      </c>
      <c r="AY192" s="23" t="n">
        <f aca="false">IF(AND(TRIM($A192)&lt;&gt;"",ISNUMBER(H192)),IF(AND(LEFT($A192,6)="SAMPLE",Config!$B$19&lt;&gt;"Y"),0,1),0)</f>
        <v>0</v>
      </c>
      <c r="AZ192" s="23" t="n">
        <f aca="false">IF(AY192=1,IF(COUNTIFS($AW$2:$AW$201,AW192,$AY$2:$AY$201,1,$H$2:$H$201,"&lt;"&amp;H192)+COUNTIFS($AW$2:$AW$201,AW192,$AY$2:$AY$201,1,$H$2:$H$201,H192,$AX$2:$AX$201,"&lt;"&amp;AX192)=0,1,0),0)</f>
        <v>0</v>
      </c>
      <c r="BA192" s="23" t="n">
        <f aca="false">IF(AY192=1,IF(COUNTIFS($A$2:$A$201,$A192,$AY$2:$AY$201,1,$H$2:$H$201,"&gt;"&amp;H192)+COUNTIFS($A$2:$A$201,$A192,$AY$2:$AY$201,1,$H$2:$H$201,H192,$AX$2:$AX$201,"&gt;"&amp;AX192)=0,1,0),0)</f>
        <v>0</v>
      </c>
      <c r="BB192" s="23" t="n">
        <f aca="false">IF(AND(AY192=1,O192="Y",MAX(N(R192),N(V192))&gt;=Config!$B$14),1,0)</f>
        <v>0</v>
      </c>
      <c r="BC192" s="23" t="n">
        <f aca="false">IF(BB192=1,IF(COUNTIFS($AW$2:$AW$201,AW192,$BB$2:$BB$201,1,$H$2:$H$201,"&lt;"&amp;H192)+COUNTIFS($AW$2:$AW$201,AW192,$BB$2:$BB$201,1,$H$2:$H$201,H192,$AX$2:$AX$201,"&lt;"&amp;AX192)=0,1,0),0)</f>
        <v>0</v>
      </c>
      <c r="BD192" s="23" t="n">
        <f aca="false">IF(AND(AY192=1,O192="Y",ISNUMBER(R192)),IF(R192&gt;=Config!$B$14,1,0),0)</f>
        <v>0</v>
      </c>
      <c r="BE192" s="23" t="n">
        <f aca="false">IF(BD192=1,IF(COUNTIFS($AW$2:$AW$201,AW192,$BD$2:$BD$201,1,$H$2:$H$201,"&lt;"&amp;H192)+COUNTIFS($AW$2:$AW$201,AW192,$BD$2:$BD$201,1,$H$2:$H$201,H192,$AX$2:$AX$201,"&lt;"&amp;AX192)=0,1,0),0)</f>
        <v>0</v>
      </c>
      <c r="BF192" s="23" t="n">
        <f aca="false">IF(AND(AY192=1,O192&lt;&gt;"Y",MAX(N(R192),N(V192))&gt;=Config!$B$14),1,0)</f>
        <v>0</v>
      </c>
      <c r="BG192" s="23" t="n">
        <f aca="false">IF(BF192=1,IF(COUNTIFS($AW$2:$AW$201,AW192,$BF$2:$BF$201,1,$H$2:$H$201,"&lt;"&amp;H192)+COUNTIFS($AW$2:$AW$201,AW192,$BF$2:$BF$201,1,$H$2:$H$201,H192,$AX$2:$AX$201,"&lt;"&amp;AX192)=0,1,0),0)</f>
        <v>0</v>
      </c>
      <c r="BH192" s="23" t="n">
        <f aca="false">IF(AND(AY192=1,ISNUMBER(R192)),1,0)</f>
        <v>0</v>
      </c>
      <c r="BI192" s="23" t="n">
        <f aca="false">IF(BH192=1,IF(COUNTIFS($AW$2:$AW$201,AW192,$BH$2:$BH$201,1,$H$2:$H$201,"&lt;"&amp;H192)+COUNTIFS($AW$2:$AW$201,AW192,$BH$2:$BH$201,1,$H$2:$H$201,H192,$AX$2:$AX$201,"&lt;"&amp;AX192)=0,1,0),0)</f>
        <v>0</v>
      </c>
      <c r="BJ192" s="23" t="str">
        <f aca="false">IF(AND(BI192=1,INT(N(H192))&lt;=Config!$B$6),R192,"")</f>
        <v/>
      </c>
      <c r="BK192" s="23" t="str">
        <f aca="false">IF(AND(BI192=1,INT(N(H192))&lt;=Config!$B$7),R192,"")</f>
        <v/>
      </c>
      <c r="BL192" s="23" t="str">
        <f aca="false">IF(AND(BI192=1,INT(N(H192))&lt;=Config!$B$8),R192,"")</f>
        <v/>
      </c>
      <c r="BM192" s="23" t="str">
        <f aca="false">IF(AND(BI192=1,INT(N(H192))&lt;=Config!$B$5),R192,"")</f>
        <v/>
      </c>
      <c r="BN192" s="23" t="n">
        <f aca="false">IF(AND(AY192=1,ISNUMBER(V192)),1,0)</f>
        <v>0</v>
      </c>
      <c r="BO192" s="23" t="n">
        <f aca="false">IF(BN192=1,IF(COUNTIFS($AW$2:$AW$201,AW192,$BN$2:$BN$201,1,$H$2:$H$201,"&lt;"&amp;H192)+COUNTIFS($AW$2:$AW$201,AW192,$BN$2:$BN$201,1,$H$2:$H$201,H192,$AX$2:$AX$201,"&lt;"&amp;AX192)=0,1,0),0)</f>
        <v>0</v>
      </c>
      <c r="BP192" s="23" t="str">
        <f aca="false">IF(AND(BO192=1,INT(N(H192))&lt;=Config!$B$6),V192,"")</f>
        <v/>
      </c>
      <c r="BQ192" s="23" t="str">
        <f aca="false">IF(AND(BO192=1,INT(N(H192))&lt;=Config!$B$7),V192,"")</f>
        <v/>
      </c>
      <c r="BR192" s="23" t="str">
        <f aca="false">IF(AND(BO192=1,INT(N(H192))&lt;=Config!$B$8),V192,"")</f>
        <v/>
      </c>
      <c r="BS192" s="23" t="str">
        <f aca="false">IF(AND(BO192=1,INT(N(H192))&lt;=Config!$B$5),V192,"")</f>
        <v/>
      </c>
      <c r="BT192" s="23" t="n">
        <f aca="false">IF(AND(AY192=1,ISNUMBER(K192)),1,0)</f>
        <v>0</v>
      </c>
      <c r="BU192" s="23" t="n">
        <f aca="false">IF(BT192=1,IF(COUNTIFS($AW$2:$AW$201,AW192,$BT$2:$BT$201,1,$H$2:$H$201,"&lt;"&amp;H192)+COUNTIFS($AW$2:$AW$201,AW192,$BT$2:$BT$201,1,$H$2:$H$201,H192,$AX$2:$AX$201,"&lt;"&amp;AX192)=0,1,0),0)</f>
        <v>0</v>
      </c>
      <c r="BV192" s="23" t="str">
        <f aca="false">IF(AND(BU192=1,INT(N(H192))&lt;=Config!$B$5),K192,"")</f>
        <v/>
      </c>
      <c r="BW192" s="23" t="n">
        <f aca="false">IF(AND(AY192=1,OR(AND(ISNUMBER(R192),TRIM(S192)=""),AND(ISNUMBER(V192),TRIM(W192)=""))),1,0)</f>
        <v>0</v>
      </c>
      <c r="BX192" s="23" t="str">
        <f aca="false">IF(AY192=1,AJ192&amp;"","")</f>
        <v/>
      </c>
      <c r="BY192" s="23" t="str">
        <f aca="false">IF(AY192=1,AK192&amp;"","")</f>
        <v/>
      </c>
      <c r="BZ192" s="23" t="str">
        <f aca="false">IF(AY192=1,AL192&amp;"","")</f>
        <v/>
      </c>
      <c r="CA192" s="23" t="str">
        <f aca="false">IF(AND(AY192=1,ISNUMBER(AS192),INT(N(H192))&lt;=Config!$B$5),AS192,"")</f>
        <v/>
      </c>
      <c r="CB192" s="23" t="str">
        <f aca="false">IF(AY192=1,IF(COUNTIFS($A$2:$A$201,$A192,$CU$2:$CU$201,1,$AN$2:$AN$201,"Y")&gt;0,"Y","N"),"")</f>
        <v/>
      </c>
      <c r="CC192" s="23" t="n">
        <f aca="false">IF(AND(AY192=1,AN192="Y"),IF(COUNTIFS($AW$2:$AW$201,AW192,$AN$2:$AN$201,"Y",$AY$2:$AY$201,1,$H$2:$H$201,"&lt;"&amp;H192)+COUNTIFS($AW$2:$AW$201,AW192,$AN$2:$AN$201,"Y",$AY$2:$AY$201,1,$H$2:$H$201,H192,$AX$2:$AX$201,"&lt;"&amp;AX192)=0,1,0),0)</f>
        <v>0</v>
      </c>
      <c r="CD192" s="23" t="n">
        <f aca="false">IF(AND(AY192=1,AB192="Y",AC192="Y",AD192="Y",AE192="Y",AF192="Y",AG192="Y",AI192="Y",TRIM(AH192)&lt;&gt;""),1,0)</f>
        <v>0</v>
      </c>
      <c r="CE192" s="23" t="n">
        <f aca="false">IF(CD192=1,IF(COUNTIFS($AW$2:$AW$201,AW192,$CD$2:$CD$201,1,$H$2:$H$201,"&lt;"&amp;H192)+COUNTIFS($AW$2:$AW$201,AW192,$CD$2:$CD$201,1,$H$2:$H$201,H192,$AX$2:$AX$201,"&lt;"&amp;AX192)=0,1,0),0)</f>
        <v>0</v>
      </c>
      <c r="CF192" s="23" t="n">
        <f aca="false">IF(AND(AY192=1,AO192="Y"),1,0)</f>
        <v>0</v>
      </c>
      <c r="CG192" s="23" t="n">
        <f aca="false">IF(CF192=1,IF(COUNTIFS($AW$2:$AW$201,AW192,$CF$2:$CF$201,1,$H$2:$H$201,"&lt;"&amp;H192)+COUNTIFS($AW$2:$AW$201,AW192,$CF$2:$CF$201,1,$H$2:$H$201,H192,$AX$2:$AX$201,"&lt;"&amp;AX192)=0,1,0),0)</f>
        <v>0</v>
      </c>
      <c r="CH192" s="23" t="n">
        <f aca="false">IF(AND(AY192=1,P192="Y"),1,0)</f>
        <v>0</v>
      </c>
      <c r="CI192" s="23" t="n">
        <f aca="false">IF(CH192=1,IF(COUNTIFS($AW$2:$AW$201,AW192,$CH$2:$CH$201,1,$H$2:$H$201,"&lt;"&amp;H192)+COUNTIFS($AW$2:$AW$201,AW192,$CH$2:$CH$201,1,$H$2:$H$201,H192,$AX$2:$AX$201,"&lt;"&amp;AX192)=0,1,0),0)</f>
        <v>0</v>
      </c>
      <c r="CJ192" s="23" t="str">
        <f aca="false">IF(AND(BU192=1,INT(N(H192))&lt;=Config!$B$5),L192,"")</f>
        <v/>
      </c>
      <c r="CK192" s="23" t="n">
        <f aca="false">IF(AND(AY192=1,AR192="Y"),1,0)</f>
        <v>0</v>
      </c>
      <c r="CL192" s="23" t="n">
        <f aca="false">IF(CK192=1,IF(COUNTIFS($AW$2:$AW$201,AW192,$CK$2:$CK$201,1,$H$2:$H$201,"&lt;"&amp;H192)+COUNTIFS($AW$2:$AW$201,AW192,$CK$2:$CK$201,1,$H$2:$H$201,H192,$AX$2:$AX$201,"&lt;"&amp;AX192)=0,1,0),0)</f>
        <v>0</v>
      </c>
      <c r="CM192" s="23" t="str">
        <f aca="false">IF(AY192=1,IFERROR(MATCH($A192,INDEX(Clay_Brands!$A$2:$FZ$601,0,Sync!$D$5),0),""),"")</f>
        <v/>
      </c>
      <c r="CN192" s="23" t="str">
        <f aca="false">IF(CM192="","",IFERROR(INDEX(Clay_Brands!$A$2:$FZ$601,CM192,Sync!$D$7)&amp;"",""))</f>
        <v/>
      </c>
      <c r="CO192" s="23" t="str">
        <f aca="false">IF(CN192="","",IFERROR(INDEX(Lists!$K$2:$K$15,MATCH(CN192,Lists!$J$2:$J$15,0)),""))</f>
        <v/>
      </c>
      <c r="CP192" s="23" t="str">
        <f aca="false">IF(CM192="","",IFERROR(INDEX(Clay_Brands!$A$2:$FZ$601,CM192,Sync!$D$17)&amp;"",""))</f>
        <v/>
      </c>
      <c r="CQ192" s="35" t="str">
        <f aca="false">IF(CM192="","",IFERROR(N(INDEX(Clay_Brands!$A$2:$FZ$601,CM192,Sync!$D$16)),0))</f>
        <v/>
      </c>
      <c r="CR192" s="23" t="n">
        <f aca="false">IF(AND(AY192=1,OR(O192="N",AND(OR(ISNUMBER(R192),ISNUMBER(V192)),MAX(N(R192),N(V192))&lt;Config!$B$14))),1,0)</f>
        <v>0</v>
      </c>
      <c r="CS192" s="23" t="n">
        <f aca="false">IF(OR(BB192=1,CR192=1),1,0)</f>
        <v>0</v>
      </c>
      <c r="CT192" s="23" t="n">
        <f aca="false">IF(AND(AY192=1,OR(AN192="Y",AN192="N",AN192="maybe")),1,0)</f>
        <v>0</v>
      </c>
      <c r="CU192" s="23" t="n">
        <f aca="false">IF(AND(CT192=1),IF(COUNTIFS($A$2:$A$201,$A192,$CT$2:$CT$201,1,$H$2:$H$201,"&gt;"&amp;H192)+COUNTIFS($A$2:$A$201,$A192,$CT$2:$CT$201,1,$H$2:$H$201,H192,$AX$2:$AX$201,"&gt;"&amp;AX192)=0,1,0),0)</f>
        <v>0</v>
      </c>
      <c r="CV192" s="23" t="n">
        <f aca="false">IF(AND(CS192=1,INT(N(H192))&lt;=Config!$B$6),IF(COUNTIFS($AW$2:$AW$201,AW192,$CS$2:$CS$201,1,$H$2:$H$201,"&gt;"&amp;H192,$H$2:$H$201,"&lt;"&amp;(Config!$B$6+1))+COUNTIFS($AW$2:$AW$201,AW192,$CS$2:$CS$201,1,$H$2:$H$201,H192,$AX$2:$AX$201,"&gt;"&amp;AX192)=0,1,0),0)</f>
        <v>0</v>
      </c>
      <c r="CW192" s="23" t="n">
        <f aca="false">IF(AND(CS192=1,INT(N(H192))&lt;=Config!$B$7),IF(COUNTIFS($AW$2:$AW$201,AW192,$CS$2:$CS$201,1,$H$2:$H$201,"&gt;"&amp;H192,$H$2:$H$201,"&lt;"&amp;(Config!$B$7+1))+COUNTIFS($AW$2:$AW$201,AW192,$CS$2:$CS$201,1,$H$2:$H$201,H192,$AX$2:$AX$201,"&gt;"&amp;AX192)=0,1,0),0)</f>
        <v>0</v>
      </c>
      <c r="CX192" s="23" t="n">
        <f aca="false">IF(AND(CS192=1,INT(N(H192))&lt;=Config!$B$8),IF(COUNTIFS($AW$2:$AW$201,AW192,$CS$2:$CS$201,1,$H$2:$H$201,"&gt;"&amp;H192,$H$2:$H$201,"&lt;"&amp;(Config!$B$8+1))+COUNTIFS($AW$2:$AW$201,AW192,$CS$2:$CS$201,1,$H$2:$H$201,H192,$AX$2:$AX$201,"&gt;"&amp;AX192)=0,1,0),0)</f>
        <v>0</v>
      </c>
      <c r="CY192" s="23" t="n">
        <f aca="false">IF(AND(CS192=1,INT(N(H192))&lt;=Config!$B$5),IF(COUNTIFS($AW$2:$AW$201,AW192,$CS$2:$CS$201,1,$H$2:$H$201,"&gt;"&amp;H192,$H$2:$H$201,"&lt;"&amp;(Config!$B$5+1))+COUNTIFS($AW$2:$AW$201,AW192,$CS$2:$CS$201,1,$H$2:$H$201,H192,$AX$2:$AX$201,"&gt;"&amp;AX192)=0,1,0),0)</f>
        <v>0</v>
      </c>
      <c r="CZ192" s="23" t="n">
        <f aca="false">IF(AY192=1,IF(COUNTIFS($AW$2:$AW$201,AW192,$CV$2:$CV$201,1,$BB$2:$BB$201,1)&gt;0,1,0),0)</f>
        <v>0</v>
      </c>
      <c r="DA192" s="23" t="n">
        <f aca="false">IF(AY192=1,IF(COUNTIFS($AW$2:$AW$201,AW192,$CW$2:$CW$201,1,$BB$2:$BB$201,1)&gt;0,1,0),0)</f>
        <v>0</v>
      </c>
      <c r="DB192" s="23" t="n">
        <f aca="false">IF(AY192=1,IF(COUNTIFS($AW$2:$AW$201,AW192,$CX$2:$CX$201,1,$BB$2:$BB$201,1)&gt;0,1,0),0)</f>
        <v>0</v>
      </c>
      <c r="DC192" s="23" t="n">
        <f aca="false">IF(AY192=1,IF(COUNTIFS($AW$2:$AW$201,AW192,$CY$2:$CY$201,1,$BB$2:$BB$201,1)&gt;0,1,0),0)</f>
        <v>0</v>
      </c>
      <c r="DD192" s="23" t="n">
        <f aca="false">IF(AND(BC192=1,INT(N(H192))&lt;=Config!$B$6,CZ192=1),1,0)</f>
        <v>0</v>
      </c>
      <c r="DE192" s="23" t="n">
        <f aca="false">IF(AND(BC192=1,INT(N(H192))&lt;=Config!$B$7,DA192=1),1,0)</f>
        <v>0</v>
      </c>
      <c r="DF192" s="23" t="n">
        <f aca="false">IF(AND(BC192=1,INT(N(H192))&lt;=Config!$B$8,DB192=1),1,0)</f>
        <v>0</v>
      </c>
      <c r="DG192" s="23" t="n">
        <f aca="false">IF(AND(BC192=1,INT(N(H192))&lt;=Config!$B$5,DC192=1),1,0)</f>
        <v>0</v>
      </c>
      <c r="DH192" s="23" t="n">
        <f aca="false">IF(AND(BE192=1,INT(N(H192))&lt;=Config!$B$6,CZ192=1),1,0)</f>
        <v>0</v>
      </c>
      <c r="DI192" s="23" t="n">
        <f aca="false">IF(AND(BE192=1,INT(N(H192))&lt;=Config!$B$7,DA192=1),1,0)</f>
        <v>0</v>
      </c>
      <c r="DJ192" s="23" t="n">
        <f aca="false">IF(AND(BE192=1,INT(N(H192))&lt;=Config!$B$8,DB192=1),1,0)</f>
        <v>0</v>
      </c>
      <c r="DK192" s="23" t="n">
        <f aca="false">IF(AND(BE192=1,INT(N(H192))&lt;=Config!$B$5,DC192=1),1,0)</f>
        <v>0</v>
      </c>
      <c r="DL192" s="23" t="n">
        <f aca="false">IF(AND(BC192=1,INT(N(H192))&lt;=Config!$B$6,CZ192=0),1,0)</f>
        <v>0</v>
      </c>
      <c r="DM192" s="23" t="n">
        <f aca="false">IF(AND(BC192=1,INT(N(H192))&lt;=Config!$B$7,DA192=0),1,0)</f>
        <v>0</v>
      </c>
      <c r="DN192" s="23" t="n">
        <f aca="false">IF(AND(BC192=1,INT(N(H192))&lt;=Config!$B$8,DB192=0),1,0)</f>
        <v>0</v>
      </c>
      <c r="DO192" s="23" t="n">
        <f aca="false">IF(AND(BC192=1,INT(N(H192))&lt;=Config!$B$5,DC192=0),1,0)</f>
        <v>0</v>
      </c>
      <c r="DP192" s="23" t="n">
        <f aca="false">IF(TRIM($A192)="",0,ISTEXT(K192)+ISTEXT(L192)+ISTEXT(R192)+ISTEXT(V192)+ISTEXT(AP192)+ISTEXT(AS192))</f>
        <v>0</v>
      </c>
      <c r="DQ192" s="23" t="n">
        <f aca="false">IF(AY192=1,IF(H192&lt;&gt;INT(H192),1,0),0)</f>
        <v>0</v>
      </c>
      <c r="DR192" s="23" t="str">
        <f aca="false">IF(TRIM($A192)="","",IF(TRIM(B192)="",SUBSTITUTE(SUBSTITUTE(SUBSTITUTE(SUBSTITUTE(SUBSTITUTE(SUBSTITUTE(LOWER(TRIM($A192)),"~",""),"*",""),"?",""),"&lt;",""),"&gt;",""),"=",""),SUBSTITUTE(SUBSTITUTE(SUBSTITUTE(SUBSTITUTE(SUBSTITUTE(SUBSTITUTE(LOWER(TRIM(B192)),"~",""),"*",""),"?",""),"&lt;",""),"&gt;",""),"=","")))</f>
        <v/>
      </c>
      <c r="DS192" s="23" t="str">
        <f aca="false">IF(CM192="","",IFERROR(IF(LEFT(LOWER(TRIM(INDEX(Clay_Brands!$A$2:$FZ$601,CM192,Sync!$D$19)&amp;"")),4)="grp-",SUBSTITUTE(SUBSTITUTE(SUBSTITUTE(SUBSTITUTE(SUBSTITUTE(SUBSTITUTE(LOWER(TRIM(INDEX(Clay_Brands!$A$2:$FZ$601,CM192,Sync!$D$19)&amp;"")),"~",""),"*",""),"?",""),"&lt;",""),"&gt;",""),"=",""),""),""))</f>
        <v/>
      </c>
      <c r="DT192" s="23" t="str">
        <f aca="false">IF(DS192&lt;&gt;"",DR192,"")</f>
        <v/>
      </c>
      <c r="DU192" s="23" t="str">
        <f aca="false">IF(AZ192=1,AW192,"")</f>
        <v/>
      </c>
      <c r="DV192" s="23" t="str">
        <f aca="false">IF(TRIM($A192)="","",IFERROR(INDEX($A$2:$A$201,MATCH(AW192,$DU$2:$DU$201,0))&amp;"",$A192&amp;""))</f>
        <v/>
      </c>
      <c r="DW192" s="23" t="n">
        <f aca="false">IF(AY192=1,IF(COUNTIFS($A$2:$A$201,$A192,$AY$2:$AY$201,1,$H$2:$H$201,"&lt;"&amp;H192)+COUNTIFS($A$2:$A$201,$A192,$AY$2:$AY$201,1,$H$2:$H$201,H192,$AX$2:$AX$201,"&lt;"&amp;AX192)=0,1,0),0)</f>
        <v>0</v>
      </c>
      <c r="DX192" s="23" t="n">
        <f aca="false">IF(AZ192=1,IF(COUNTIFS($AW$2:$AW$201,AW192,$DW$2:$DW$201,1)&gt;1,1,0),0)</f>
        <v>0</v>
      </c>
    </row>
    <row r="193" customFormat="false" ht="15" hidden="false" customHeight="false" outlineLevel="0" collapsed="false">
      <c r="G193" s="32"/>
      <c r="H193" s="33"/>
      <c r="I193" s="32"/>
      <c r="O193" s="32"/>
      <c r="P193" s="32"/>
      <c r="U193" s="32"/>
      <c r="Y193" s="32"/>
      <c r="AB193" s="32"/>
      <c r="AC193" s="32"/>
      <c r="AD193" s="32"/>
      <c r="AE193" s="32"/>
      <c r="AF193" s="32"/>
      <c r="AG193" s="32"/>
      <c r="AI193" s="32"/>
      <c r="AJ193" s="32"/>
      <c r="AK193" s="32"/>
      <c r="AN193" s="32"/>
      <c r="AO193" s="32"/>
      <c r="AR193" s="32"/>
      <c r="AT193" s="32"/>
      <c r="AV193" s="34" t="str">
        <f aca="false">IF(TRIM($A193)="","",IF(AND(LEFT($A193,6)="SAMPLE",Config!$B$19&lt;&gt;"Y"),"",IF(NOT(ISNUMBER(H193)),"call_date is blank or not a date",IF(Sync!$D$5="","Clay paste is empty or has no row_id column: paste the Clay export on Clay_Brands",IF(CM193="","row_id not found in the Clay paste: add the Clay row or fix the row_id",IF(AND(ISNUMBER(CO193),CO193&gt;=1,CO193&lt;=5),"Clay status is "&amp;CN193&amp;": set call_done or later",IF(AND(BA193=1,CP193&lt;&gt;CB193),"Clay yes_in_principle should be "&amp;CB193,IF(AND(BA193=1,CQ193&lt;&gt;H193),"Clay call_date should be "&amp;TEXT(H193,"yyyy-mm-dd"),""))))))))</f>
        <v/>
      </c>
      <c r="AW193" s="23" t="str">
        <f aca="false">IF(TRIM($A193)="","",IF(TRIM(C193)&lt;&gt;"",SUBSTITUTE(SUBSTITUTE(SUBSTITUTE(SUBSTITUTE(SUBSTITUTE(SUBSTITUTE(LOWER(TRIM(C193)),"~",""),"*",""),"?",""),"&lt;",""),"&gt;",""),"=",""),IF(DS193&lt;&gt;"",DS193,IFERROR(INDEX($DS$2:$DS$201,MATCH(DR193,$DT$2:$DT$201,0)),DR193))))</f>
        <v/>
      </c>
      <c r="AX193" s="23" t="n">
        <f aca="false">ROW()</f>
        <v>193</v>
      </c>
      <c r="AY193" s="23" t="n">
        <f aca="false">IF(AND(TRIM($A193)&lt;&gt;"",ISNUMBER(H193)),IF(AND(LEFT($A193,6)="SAMPLE",Config!$B$19&lt;&gt;"Y"),0,1),0)</f>
        <v>0</v>
      </c>
      <c r="AZ193" s="23" t="n">
        <f aca="false">IF(AY193=1,IF(COUNTIFS($AW$2:$AW$201,AW193,$AY$2:$AY$201,1,$H$2:$H$201,"&lt;"&amp;H193)+COUNTIFS($AW$2:$AW$201,AW193,$AY$2:$AY$201,1,$H$2:$H$201,H193,$AX$2:$AX$201,"&lt;"&amp;AX193)=0,1,0),0)</f>
        <v>0</v>
      </c>
      <c r="BA193" s="23" t="n">
        <f aca="false">IF(AY193=1,IF(COUNTIFS($A$2:$A$201,$A193,$AY$2:$AY$201,1,$H$2:$H$201,"&gt;"&amp;H193)+COUNTIFS($A$2:$A$201,$A193,$AY$2:$AY$201,1,$H$2:$H$201,H193,$AX$2:$AX$201,"&gt;"&amp;AX193)=0,1,0),0)</f>
        <v>0</v>
      </c>
      <c r="BB193" s="23" t="n">
        <f aca="false">IF(AND(AY193=1,O193="Y",MAX(N(R193),N(V193))&gt;=Config!$B$14),1,0)</f>
        <v>0</v>
      </c>
      <c r="BC193" s="23" t="n">
        <f aca="false">IF(BB193=1,IF(COUNTIFS($AW$2:$AW$201,AW193,$BB$2:$BB$201,1,$H$2:$H$201,"&lt;"&amp;H193)+COUNTIFS($AW$2:$AW$201,AW193,$BB$2:$BB$201,1,$H$2:$H$201,H193,$AX$2:$AX$201,"&lt;"&amp;AX193)=0,1,0),0)</f>
        <v>0</v>
      </c>
      <c r="BD193" s="23" t="n">
        <f aca="false">IF(AND(AY193=1,O193="Y",ISNUMBER(R193)),IF(R193&gt;=Config!$B$14,1,0),0)</f>
        <v>0</v>
      </c>
      <c r="BE193" s="23" t="n">
        <f aca="false">IF(BD193=1,IF(COUNTIFS($AW$2:$AW$201,AW193,$BD$2:$BD$201,1,$H$2:$H$201,"&lt;"&amp;H193)+COUNTIFS($AW$2:$AW$201,AW193,$BD$2:$BD$201,1,$H$2:$H$201,H193,$AX$2:$AX$201,"&lt;"&amp;AX193)=0,1,0),0)</f>
        <v>0</v>
      </c>
      <c r="BF193" s="23" t="n">
        <f aca="false">IF(AND(AY193=1,O193&lt;&gt;"Y",MAX(N(R193),N(V193))&gt;=Config!$B$14),1,0)</f>
        <v>0</v>
      </c>
      <c r="BG193" s="23" t="n">
        <f aca="false">IF(BF193=1,IF(COUNTIFS($AW$2:$AW$201,AW193,$BF$2:$BF$201,1,$H$2:$H$201,"&lt;"&amp;H193)+COUNTIFS($AW$2:$AW$201,AW193,$BF$2:$BF$201,1,$H$2:$H$201,H193,$AX$2:$AX$201,"&lt;"&amp;AX193)=0,1,0),0)</f>
        <v>0</v>
      </c>
      <c r="BH193" s="23" t="n">
        <f aca="false">IF(AND(AY193=1,ISNUMBER(R193)),1,0)</f>
        <v>0</v>
      </c>
      <c r="BI193" s="23" t="n">
        <f aca="false">IF(BH193=1,IF(COUNTIFS($AW$2:$AW$201,AW193,$BH$2:$BH$201,1,$H$2:$H$201,"&lt;"&amp;H193)+COUNTIFS($AW$2:$AW$201,AW193,$BH$2:$BH$201,1,$H$2:$H$201,H193,$AX$2:$AX$201,"&lt;"&amp;AX193)=0,1,0),0)</f>
        <v>0</v>
      </c>
      <c r="BJ193" s="23" t="str">
        <f aca="false">IF(AND(BI193=1,INT(N(H193))&lt;=Config!$B$6),R193,"")</f>
        <v/>
      </c>
      <c r="BK193" s="23" t="str">
        <f aca="false">IF(AND(BI193=1,INT(N(H193))&lt;=Config!$B$7),R193,"")</f>
        <v/>
      </c>
      <c r="BL193" s="23" t="str">
        <f aca="false">IF(AND(BI193=1,INT(N(H193))&lt;=Config!$B$8),R193,"")</f>
        <v/>
      </c>
      <c r="BM193" s="23" t="str">
        <f aca="false">IF(AND(BI193=1,INT(N(H193))&lt;=Config!$B$5),R193,"")</f>
        <v/>
      </c>
      <c r="BN193" s="23" t="n">
        <f aca="false">IF(AND(AY193=1,ISNUMBER(V193)),1,0)</f>
        <v>0</v>
      </c>
      <c r="BO193" s="23" t="n">
        <f aca="false">IF(BN193=1,IF(COUNTIFS($AW$2:$AW$201,AW193,$BN$2:$BN$201,1,$H$2:$H$201,"&lt;"&amp;H193)+COUNTIFS($AW$2:$AW$201,AW193,$BN$2:$BN$201,1,$H$2:$H$201,H193,$AX$2:$AX$201,"&lt;"&amp;AX193)=0,1,0),0)</f>
        <v>0</v>
      </c>
      <c r="BP193" s="23" t="str">
        <f aca="false">IF(AND(BO193=1,INT(N(H193))&lt;=Config!$B$6),V193,"")</f>
        <v/>
      </c>
      <c r="BQ193" s="23" t="str">
        <f aca="false">IF(AND(BO193=1,INT(N(H193))&lt;=Config!$B$7),V193,"")</f>
        <v/>
      </c>
      <c r="BR193" s="23" t="str">
        <f aca="false">IF(AND(BO193=1,INT(N(H193))&lt;=Config!$B$8),V193,"")</f>
        <v/>
      </c>
      <c r="BS193" s="23" t="str">
        <f aca="false">IF(AND(BO193=1,INT(N(H193))&lt;=Config!$B$5),V193,"")</f>
        <v/>
      </c>
      <c r="BT193" s="23" t="n">
        <f aca="false">IF(AND(AY193=1,ISNUMBER(K193)),1,0)</f>
        <v>0</v>
      </c>
      <c r="BU193" s="23" t="n">
        <f aca="false">IF(BT193=1,IF(COUNTIFS($AW$2:$AW$201,AW193,$BT$2:$BT$201,1,$H$2:$H$201,"&lt;"&amp;H193)+COUNTIFS($AW$2:$AW$201,AW193,$BT$2:$BT$201,1,$H$2:$H$201,H193,$AX$2:$AX$201,"&lt;"&amp;AX193)=0,1,0),0)</f>
        <v>0</v>
      </c>
      <c r="BV193" s="23" t="str">
        <f aca="false">IF(AND(BU193=1,INT(N(H193))&lt;=Config!$B$5),K193,"")</f>
        <v/>
      </c>
      <c r="BW193" s="23" t="n">
        <f aca="false">IF(AND(AY193=1,OR(AND(ISNUMBER(R193),TRIM(S193)=""),AND(ISNUMBER(V193),TRIM(W193)=""))),1,0)</f>
        <v>0</v>
      </c>
      <c r="BX193" s="23" t="str">
        <f aca="false">IF(AY193=1,AJ193&amp;"","")</f>
        <v/>
      </c>
      <c r="BY193" s="23" t="str">
        <f aca="false">IF(AY193=1,AK193&amp;"","")</f>
        <v/>
      </c>
      <c r="BZ193" s="23" t="str">
        <f aca="false">IF(AY193=1,AL193&amp;"","")</f>
        <v/>
      </c>
      <c r="CA193" s="23" t="str">
        <f aca="false">IF(AND(AY193=1,ISNUMBER(AS193),INT(N(H193))&lt;=Config!$B$5),AS193,"")</f>
        <v/>
      </c>
      <c r="CB193" s="23" t="str">
        <f aca="false">IF(AY193=1,IF(COUNTIFS($A$2:$A$201,$A193,$CU$2:$CU$201,1,$AN$2:$AN$201,"Y")&gt;0,"Y","N"),"")</f>
        <v/>
      </c>
      <c r="CC193" s="23" t="n">
        <f aca="false">IF(AND(AY193=1,AN193="Y"),IF(COUNTIFS($AW$2:$AW$201,AW193,$AN$2:$AN$201,"Y",$AY$2:$AY$201,1,$H$2:$H$201,"&lt;"&amp;H193)+COUNTIFS($AW$2:$AW$201,AW193,$AN$2:$AN$201,"Y",$AY$2:$AY$201,1,$H$2:$H$201,H193,$AX$2:$AX$201,"&lt;"&amp;AX193)=0,1,0),0)</f>
        <v>0</v>
      </c>
      <c r="CD193" s="23" t="n">
        <f aca="false">IF(AND(AY193=1,AB193="Y",AC193="Y",AD193="Y",AE193="Y",AF193="Y",AG193="Y",AI193="Y",TRIM(AH193)&lt;&gt;""),1,0)</f>
        <v>0</v>
      </c>
      <c r="CE193" s="23" t="n">
        <f aca="false">IF(CD193=1,IF(COUNTIFS($AW$2:$AW$201,AW193,$CD$2:$CD$201,1,$H$2:$H$201,"&lt;"&amp;H193)+COUNTIFS($AW$2:$AW$201,AW193,$CD$2:$CD$201,1,$H$2:$H$201,H193,$AX$2:$AX$201,"&lt;"&amp;AX193)=0,1,0),0)</f>
        <v>0</v>
      </c>
      <c r="CF193" s="23" t="n">
        <f aca="false">IF(AND(AY193=1,AO193="Y"),1,0)</f>
        <v>0</v>
      </c>
      <c r="CG193" s="23" t="n">
        <f aca="false">IF(CF193=1,IF(COUNTIFS($AW$2:$AW$201,AW193,$CF$2:$CF$201,1,$H$2:$H$201,"&lt;"&amp;H193)+COUNTIFS($AW$2:$AW$201,AW193,$CF$2:$CF$201,1,$H$2:$H$201,H193,$AX$2:$AX$201,"&lt;"&amp;AX193)=0,1,0),0)</f>
        <v>0</v>
      </c>
      <c r="CH193" s="23" t="n">
        <f aca="false">IF(AND(AY193=1,P193="Y"),1,0)</f>
        <v>0</v>
      </c>
      <c r="CI193" s="23" t="n">
        <f aca="false">IF(CH193=1,IF(COUNTIFS($AW$2:$AW$201,AW193,$CH$2:$CH$201,1,$H$2:$H$201,"&lt;"&amp;H193)+COUNTIFS($AW$2:$AW$201,AW193,$CH$2:$CH$201,1,$H$2:$H$201,H193,$AX$2:$AX$201,"&lt;"&amp;AX193)=0,1,0),0)</f>
        <v>0</v>
      </c>
      <c r="CJ193" s="23" t="str">
        <f aca="false">IF(AND(BU193=1,INT(N(H193))&lt;=Config!$B$5),L193,"")</f>
        <v/>
      </c>
      <c r="CK193" s="23" t="n">
        <f aca="false">IF(AND(AY193=1,AR193="Y"),1,0)</f>
        <v>0</v>
      </c>
      <c r="CL193" s="23" t="n">
        <f aca="false">IF(CK193=1,IF(COUNTIFS($AW$2:$AW$201,AW193,$CK$2:$CK$201,1,$H$2:$H$201,"&lt;"&amp;H193)+COUNTIFS($AW$2:$AW$201,AW193,$CK$2:$CK$201,1,$H$2:$H$201,H193,$AX$2:$AX$201,"&lt;"&amp;AX193)=0,1,0),0)</f>
        <v>0</v>
      </c>
      <c r="CM193" s="23" t="str">
        <f aca="false">IF(AY193=1,IFERROR(MATCH($A193,INDEX(Clay_Brands!$A$2:$FZ$601,0,Sync!$D$5),0),""),"")</f>
        <v/>
      </c>
      <c r="CN193" s="23" t="str">
        <f aca="false">IF(CM193="","",IFERROR(INDEX(Clay_Brands!$A$2:$FZ$601,CM193,Sync!$D$7)&amp;"",""))</f>
        <v/>
      </c>
      <c r="CO193" s="23" t="str">
        <f aca="false">IF(CN193="","",IFERROR(INDEX(Lists!$K$2:$K$15,MATCH(CN193,Lists!$J$2:$J$15,0)),""))</f>
        <v/>
      </c>
      <c r="CP193" s="23" t="str">
        <f aca="false">IF(CM193="","",IFERROR(INDEX(Clay_Brands!$A$2:$FZ$601,CM193,Sync!$D$17)&amp;"",""))</f>
        <v/>
      </c>
      <c r="CQ193" s="35" t="str">
        <f aca="false">IF(CM193="","",IFERROR(N(INDEX(Clay_Brands!$A$2:$FZ$601,CM193,Sync!$D$16)),0))</f>
        <v/>
      </c>
      <c r="CR193" s="23" t="n">
        <f aca="false">IF(AND(AY193=1,OR(O193="N",AND(OR(ISNUMBER(R193),ISNUMBER(V193)),MAX(N(R193),N(V193))&lt;Config!$B$14))),1,0)</f>
        <v>0</v>
      </c>
      <c r="CS193" s="23" t="n">
        <f aca="false">IF(OR(BB193=1,CR193=1),1,0)</f>
        <v>0</v>
      </c>
      <c r="CT193" s="23" t="n">
        <f aca="false">IF(AND(AY193=1,OR(AN193="Y",AN193="N",AN193="maybe")),1,0)</f>
        <v>0</v>
      </c>
      <c r="CU193" s="23" t="n">
        <f aca="false">IF(AND(CT193=1),IF(COUNTIFS($A$2:$A$201,$A193,$CT$2:$CT$201,1,$H$2:$H$201,"&gt;"&amp;H193)+COUNTIFS($A$2:$A$201,$A193,$CT$2:$CT$201,1,$H$2:$H$201,H193,$AX$2:$AX$201,"&gt;"&amp;AX193)=0,1,0),0)</f>
        <v>0</v>
      </c>
      <c r="CV193" s="23" t="n">
        <f aca="false">IF(AND(CS193=1,INT(N(H193))&lt;=Config!$B$6),IF(COUNTIFS($AW$2:$AW$201,AW193,$CS$2:$CS$201,1,$H$2:$H$201,"&gt;"&amp;H193,$H$2:$H$201,"&lt;"&amp;(Config!$B$6+1))+COUNTIFS($AW$2:$AW$201,AW193,$CS$2:$CS$201,1,$H$2:$H$201,H193,$AX$2:$AX$201,"&gt;"&amp;AX193)=0,1,0),0)</f>
        <v>0</v>
      </c>
      <c r="CW193" s="23" t="n">
        <f aca="false">IF(AND(CS193=1,INT(N(H193))&lt;=Config!$B$7),IF(COUNTIFS($AW$2:$AW$201,AW193,$CS$2:$CS$201,1,$H$2:$H$201,"&gt;"&amp;H193,$H$2:$H$201,"&lt;"&amp;(Config!$B$7+1))+COUNTIFS($AW$2:$AW$201,AW193,$CS$2:$CS$201,1,$H$2:$H$201,H193,$AX$2:$AX$201,"&gt;"&amp;AX193)=0,1,0),0)</f>
        <v>0</v>
      </c>
      <c r="CX193" s="23" t="n">
        <f aca="false">IF(AND(CS193=1,INT(N(H193))&lt;=Config!$B$8),IF(COUNTIFS($AW$2:$AW$201,AW193,$CS$2:$CS$201,1,$H$2:$H$201,"&gt;"&amp;H193,$H$2:$H$201,"&lt;"&amp;(Config!$B$8+1))+COUNTIFS($AW$2:$AW$201,AW193,$CS$2:$CS$201,1,$H$2:$H$201,H193,$AX$2:$AX$201,"&gt;"&amp;AX193)=0,1,0),0)</f>
        <v>0</v>
      </c>
      <c r="CY193" s="23" t="n">
        <f aca="false">IF(AND(CS193=1,INT(N(H193))&lt;=Config!$B$5),IF(COUNTIFS($AW$2:$AW$201,AW193,$CS$2:$CS$201,1,$H$2:$H$201,"&gt;"&amp;H193,$H$2:$H$201,"&lt;"&amp;(Config!$B$5+1))+COUNTIFS($AW$2:$AW$201,AW193,$CS$2:$CS$201,1,$H$2:$H$201,H193,$AX$2:$AX$201,"&gt;"&amp;AX193)=0,1,0),0)</f>
        <v>0</v>
      </c>
      <c r="CZ193" s="23" t="n">
        <f aca="false">IF(AY193=1,IF(COUNTIFS($AW$2:$AW$201,AW193,$CV$2:$CV$201,1,$BB$2:$BB$201,1)&gt;0,1,0),0)</f>
        <v>0</v>
      </c>
      <c r="DA193" s="23" t="n">
        <f aca="false">IF(AY193=1,IF(COUNTIFS($AW$2:$AW$201,AW193,$CW$2:$CW$201,1,$BB$2:$BB$201,1)&gt;0,1,0),0)</f>
        <v>0</v>
      </c>
      <c r="DB193" s="23" t="n">
        <f aca="false">IF(AY193=1,IF(COUNTIFS($AW$2:$AW$201,AW193,$CX$2:$CX$201,1,$BB$2:$BB$201,1)&gt;0,1,0),0)</f>
        <v>0</v>
      </c>
      <c r="DC193" s="23" t="n">
        <f aca="false">IF(AY193=1,IF(COUNTIFS($AW$2:$AW$201,AW193,$CY$2:$CY$201,1,$BB$2:$BB$201,1)&gt;0,1,0),0)</f>
        <v>0</v>
      </c>
      <c r="DD193" s="23" t="n">
        <f aca="false">IF(AND(BC193=1,INT(N(H193))&lt;=Config!$B$6,CZ193=1),1,0)</f>
        <v>0</v>
      </c>
      <c r="DE193" s="23" t="n">
        <f aca="false">IF(AND(BC193=1,INT(N(H193))&lt;=Config!$B$7,DA193=1),1,0)</f>
        <v>0</v>
      </c>
      <c r="DF193" s="23" t="n">
        <f aca="false">IF(AND(BC193=1,INT(N(H193))&lt;=Config!$B$8,DB193=1),1,0)</f>
        <v>0</v>
      </c>
      <c r="DG193" s="23" t="n">
        <f aca="false">IF(AND(BC193=1,INT(N(H193))&lt;=Config!$B$5,DC193=1),1,0)</f>
        <v>0</v>
      </c>
      <c r="DH193" s="23" t="n">
        <f aca="false">IF(AND(BE193=1,INT(N(H193))&lt;=Config!$B$6,CZ193=1),1,0)</f>
        <v>0</v>
      </c>
      <c r="DI193" s="23" t="n">
        <f aca="false">IF(AND(BE193=1,INT(N(H193))&lt;=Config!$B$7,DA193=1),1,0)</f>
        <v>0</v>
      </c>
      <c r="DJ193" s="23" t="n">
        <f aca="false">IF(AND(BE193=1,INT(N(H193))&lt;=Config!$B$8,DB193=1),1,0)</f>
        <v>0</v>
      </c>
      <c r="DK193" s="23" t="n">
        <f aca="false">IF(AND(BE193=1,INT(N(H193))&lt;=Config!$B$5,DC193=1),1,0)</f>
        <v>0</v>
      </c>
      <c r="DL193" s="23" t="n">
        <f aca="false">IF(AND(BC193=1,INT(N(H193))&lt;=Config!$B$6,CZ193=0),1,0)</f>
        <v>0</v>
      </c>
      <c r="DM193" s="23" t="n">
        <f aca="false">IF(AND(BC193=1,INT(N(H193))&lt;=Config!$B$7,DA193=0),1,0)</f>
        <v>0</v>
      </c>
      <c r="DN193" s="23" t="n">
        <f aca="false">IF(AND(BC193=1,INT(N(H193))&lt;=Config!$B$8,DB193=0),1,0)</f>
        <v>0</v>
      </c>
      <c r="DO193" s="23" t="n">
        <f aca="false">IF(AND(BC193=1,INT(N(H193))&lt;=Config!$B$5,DC193=0),1,0)</f>
        <v>0</v>
      </c>
      <c r="DP193" s="23" t="n">
        <f aca="false">IF(TRIM($A193)="",0,ISTEXT(K193)+ISTEXT(L193)+ISTEXT(R193)+ISTEXT(V193)+ISTEXT(AP193)+ISTEXT(AS193))</f>
        <v>0</v>
      </c>
      <c r="DQ193" s="23" t="n">
        <f aca="false">IF(AY193=1,IF(H193&lt;&gt;INT(H193),1,0),0)</f>
        <v>0</v>
      </c>
      <c r="DR193" s="23" t="str">
        <f aca="false">IF(TRIM($A193)="","",IF(TRIM(B193)="",SUBSTITUTE(SUBSTITUTE(SUBSTITUTE(SUBSTITUTE(SUBSTITUTE(SUBSTITUTE(LOWER(TRIM($A193)),"~",""),"*",""),"?",""),"&lt;",""),"&gt;",""),"=",""),SUBSTITUTE(SUBSTITUTE(SUBSTITUTE(SUBSTITUTE(SUBSTITUTE(SUBSTITUTE(LOWER(TRIM(B193)),"~",""),"*",""),"?",""),"&lt;",""),"&gt;",""),"=","")))</f>
        <v/>
      </c>
      <c r="DS193" s="23" t="str">
        <f aca="false">IF(CM193="","",IFERROR(IF(LEFT(LOWER(TRIM(INDEX(Clay_Brands!$A$2:$FZ$601,CM193,Sync!$D$19)&amp;"")),4)="grp-",SUBSTITUTE(SUBSTITUTE(SUBSTITUTE(SUBSTITUTE(SUBSTITUTE(SUBSTITUTE(LOWER(TRIM(INDEX(Clay_Brands!$A$2:$FZ$601,CM193,Sync!$D$19)&amp;"")),"~",""),"*",""),"?",""),"&lt;",""),"&gt;",""),"=",""),""),""))</f>
        <v/>
      </c>
      <c r="DT193" s="23" t="str">
        <f aca="false">IF(DS193&lt;&gt;"",DR193,"")</f>
        <v/>
      </c>
      <c r="DU193" s="23" t="str">
        <f aca="false">IF(AZ193=1,AW193,"")</f>
        <v/>
      </c>
      <c r="DV193" s="23" t="str">
        <f aca="false">IF(TRIM($A193)="","",IFERROR(INDEX($A$2:$A$201,MATCH(AW193,$DU$2:$DU$201,0))&amp;"",$A193&amp;""))</f>
        <v/>
      </c>
      <c r="DW193" s="23" t="n">
        <f aca="false">IF(AY193=1,IF(COUNTIFS($A$2:$A$201,$A193,$AY$2:$AY$201,1,$H$2:$H$201,"&lt;"&amp;H193)+COUNTIFS($A$2:$A$201,$A193,$AY$2:$AY$201,1,$H$2:$H$201,H193,$AX$2:$AX$201,"&lt;"&amp;AX193)=0,1,0),0)</f>
        <v>0</v>
      </c>
      <c r="DX193" s="23" t="n">
        <f aca="false">IF(AZ193=1,IF(COUNTIFS($AW$2:$AW$201,AW193,$DW$2:$DW$201,1)&gt;1,1,0),0)</f>
        <v>0</v>
      </c>
    </row>
    <row r="194" customFormat="false" ht="15" hidden="false" customHeight="false" outlineLevel="0" collapsed="false">
      <c r="G194" s="32"/>
      <c r="H194" s="33"/>
      <c r="I194" s="32"/>
      <c r="O194" s="32"/>
      <c r="P194" s="32"/>
      <c r="U194" s="32"/>
      <c r="Y194" s="32"/>
      <c r="AB194" s="32"/>
      <c r="AC194" s="32"/>
      <c r="AD194" s="32"/>
      <c r="AE194" s="32"/>
      <c r="AF194" s="32"/>
      <c r="AG194" s="32"/>
      <c r="AI194" s="32"/>
      <c r="AJ194" s="32"/>
      <c r="AK194" s="32"/>
      <c r="AN194" s="32"/>
      <c r="AO194" s="32"/>
      <c r="AR194" s="32"/>
      <c r="AT194" s="32"/>
      <c r="AV194" s="34" t="str">
        <f aca="false">IF(TRIM($A194)="","",IF(AND(LEFT($A194,6)="SAMPLE",Config!$B$19&lt;&gt;"Y"),"",IF(NOT(ISNUMBER(H194)),"call_date is blank or not a date",IF(Sync!$D$5="","Clay paste is empty or has no row_id column: paste the Clay export on Clay_Brands",IF(CM194="","row_id not found in the Clay paste: add the Clay row or fix the row_id",IF(AND(ISNUMBER(CO194),CO194&gt;=1,CO194&lt;=5),"Clay status is "&amp;CN194&amp;": set call_done or later",IF(AND(BA194=1,CP194&lt;&gt;CB194),"Clay yes_in_principle should be "&amp;CB194,IF(AND(BA194=1,CQ194&lt;&gt;H194),"Clay call_date should be "&amp;TEXT(H194,"yyyy-mm-dd"),""))))))))</f>
        <v/>
      </c>
      <c r="AW194" s="23" t="str">
        <f aca="false">IF(TRIM($A194)="","",IF(TRIM(C194)&lt;&gt;"",SUBSTITUTE(SUBSTITUTE(SUBSTITUTE(SUBSTITUTE(SUBSTITUTE(SUBSTITUTE(LOWER(TRIM(C194)),"~",""),"*",""),"?",""),"&lt;",""),"&gt;",""),"=",""),IF(DS194&lt;&gt;"",DS194,IFERROR(INDEX($DS$2:$DS$201,MATCH(DR194,$DT$2:$DT$201,0)),DR194))))</f>
        <v/>
      </c>
      <c r="AX194" s="23" t="n">
        <f aca="false">ROW()</f>
        <v>194</v>
      </c>
      <c r="AY194" s="23" t="n">
        <f aca="false">IF(AND(TRIM($A194)&lt;&gt;"",ISNUMBER(H194)),IF(AND(LEFT($A194,6)="SAMPLE",Config!$B$19&lt;&gt;"Y"),0,1),0)</f>
        <v>0</v>
      </c>
      <c r="AZ194" s="23" t="n">
        <f aca="false">IF(AY194=1,IF(COUNTIFS($AW$2:$AW$201,AW194,$AY$2:$AY$201,1,$H$2:$H$201,"&lt;"&amp;H194)+COUNTIFS($AW$2:$AW$201,AW194,$AY$2:$AY$201,1,$H$2:$H$201,H194,$AX$2:$AX$201,"&lt;"&amp;AX194)=0,1,0),0)</f>
        <v>0</v>
      </c>
      <c r="BA194" s="23" t="n">
        <f aca="false">IF(AY194=1,IF(COUNTIFS($A$2:$A$201,$A194,$AY$2:$AY$201,1,$H$2:$H$201,"&gt;"&amp;H194)+COUNTIFS($A$2:$A$201,$A194,$AY$2:$AY$201,1,$H$2:$H$201,H194,$AX$2:$AX$201,"&gt;"&amp;AX194)=0,1,0),0)</f>
        <v>0</v>
      </c>
      <c r="BB194" s="23" t="n">
        <f aca="false">IF(AND(AY194=1,O194="Y",MAX(N(R194),N(V194))&gt;=Config!$B$14),1,0)</f>
        <v>0</v>
      </c>
      <c r="BC194" s="23" t="n">
        <f aca="false">IF(BB194=1,IF(COUNTIFS($AW$2:$AW$201,AW194,$BB$2:$BB$201,1,$H$2:$H$201,"&lt;"&amp;H194)+COUNTIFS($AW$2:$AW$201,AW194,$BB$2:$BB$201,1,$H$2:$H$201,H194,$AX$2:$AX$201,"&lt;"&amp;AX194)=0,1,0),0)</f>
        <v>0</v>
      </c>
      <c r="BD194" s="23" t="n">
        <f aca="false">IF(AND(AY194=1,O194="Y",ISNUMBER(R194)),IF(R194&gt;=Config!$B$14,1,0),0)</f>
        <v>0</v>
      </c>
      <c r="BE194" s="23" t="n">
        <f aca="false">IF(BD194=1,IF(COUNTIFS($AW$2:$AW$201,AW194,$BD$2:$BD$201,1,$H$2:$H$201,"&lt;"&amp;H194)+COUNTIFS($AW$2:$AW$201,AW194,$BD$2:$BD$201,1,$H$2:$H$201,H194,$AX$2:$AX$201,"&lt;"&amp;AX194)=0,1,0),0)</f>
        <v>0</v>
      </c>
      <c r="BF194" s="23" t="n">
        <f aca="false">IF(AND(AY194=1,O194&lt;&gt;"Y",MAX(N(R194),N(V194))&gt;=Config!$B$14),1,0)</f>
        <v>0</v>
      </c>
      <c r="BG194" s="23" t="n">
        <f aca="false">IF(BF194=1,IF(COUNTIFS($AW$2:$AW$201,AW194,$BF$2:$BF$201,1,$H$2:$H$201,"&lt;"&amp;H194)+COUNTIFS($AW$2:$AW$201,AW194,$BF$2:$BF$201,1,$H$2:$H$201,H194,$AX$2:$AX$201,"&lt;"&amp;AX194)=0,1,0),0)</f>
        <v>0</v>
      </c>
      <c r="BH194" s="23" t="n">
        <f aca="false">IF(AND(AY194=1,ISNUMBER(R194)),1,0)</f>
        <v>0</v>
      </c>
      <c r="BI194" s="23" t="n">
        <f aca="false">IF(BH194=1,IF(COUNTIFS($AW$2:$AW$201,AW194,$BH$2:$BH$201,1,$H$2:$H$201,"&lt;"&amp;H194)+COUNTIFS($AW$2:$AW$201,AW194,$BH$2:$BH$201,1,$H$2:$H$201,H194,$AX$2:$AX$201,"&lt;"&amp;AX194)=0,1,0),0)</f>
        <v>0</v>
      </c>
      <c r="BJ194" s="23" t="str">
        <f aca="false">IF(AND(BI194=1,INT(N(H194))&lt;=Config!$B$6),R194,"")</f>
        <v/>
      </c>
      <c r="BK194" s="23" t="str">
        <f aca="false">IF(AND(BI194=1,INT(N(H194))&lt;=Config!$B$7),R194,"")</f>
        <v/>
      </c>
      <c r="BL194" s="23" t="str">
        <f aca="false">IF(AND(BI194=1,INT(N(H194))&lt;=Config!$B$8),R194,"")</f>
        <v/>
      </c>
      <c r="BM194" s="23" t="str">
        <f aca="false">IF(AND(BI194=1,INT(N(H194))&lt;=Config!$B$5),R194,"")</f>
        <v/>
      </c>
      <c r="BN194" s="23" t="n">
        <f aca="false">IF(AND(AY194=1,ISNUMBER(V194)),1,0)</f>
        <v>0</v>
      </c>
      <c r="BO194" s="23" t="n">
        <f aca="false">IF(BN194=1,IF(COUNTIFS($AW$2:$AW$201,AW194,$BN$2:$BN$201,1,$H$2:$H$201,"&lt;"&amp;H194)+COUNTIFS($AW$2:$AW$201,AW194,$BN$2:$BN$201,1,$H$2:$H$201,H194,$AX$2:$AX$201,"&lt;"&amp;AX194)=0,1,0),0)</f>
        <v>0</v>
      </c>
      <c r="BP194" s="23" t="str">
        <f aca="false">IF(AND(BO194=1,INT(N(H194))&lt;=Config!$B$6),V194,"")</f>
        <v/>
      </c>
      <c r="BQ194" s="23" t="str">
        <f aca="false">IF(AND(BO194=1,INT(N(H194))&lt;=Config!$B$7),V194,"")</f>
        <v/>
      </c>
      <c r="BR194" s="23" t="str">
        <f aca="false">IF(AND(BO194=1,INT(N(H194))&lt;=Config!$B$8),V194,"")</f>
        <v/>
      </c>
      <c r="BS194" s="23" t="str">
        <f aca="false">IF(AND(BO194=1,INT(N(H194))&lt;=Config!$B$5),V194,"")</f>
        <v/>
      </c>
      <c r="BT194" s="23" t="n">
        <f aca="false">IF(AND(AY194=1,ISNUMBER(K194)),1,0)</f>
        <v>0</v>
      </c>
      <c r="BU194" s="23" t="n">
        <f aca="false">IF(BT194=1,IF(COUNTIFS($AW$2:$AW$201,AW194,$BT$2:$BT$201,1,$H$2:$H$201,"&lt;"&amp;H194)+COUNTIFS($AW$2:$AW$201,AW194,$BT$2:$BT$201,1,$H$2:$H$201,H194,$AX$2:$AX$201,"&lt;"&amp;AX194)=0,1,0),0)</f>
        <v>0</v>
      </c>
      <c r="BV194" s="23" t="str">
        <f aca="false">IF(AND(BU194=1,INT(N(H194))&lt;=Config!$B$5),K194,"")</f>
        <v/>
      </c>
      <c r="BW194" s="23" t="n">
        <f aca="false">IF(AND(AY194=1,OR(AND(ISNUMBER(R194),TRIM(S194)=""),AND(ISNUMBER(V194),TRIM(W194)=""))),1,0)</f>
        <v>0</v>
      </c>
      <c r="BX194" s="23" t="str">
        <f aca="false">IF(AY194=1,AJ194&amp;"","")</f>
        <v/>
      </c>
      <c r="BY194" s="23" t="str">
        <f aca="false">IF(AY194=1,AK194&amp;"","")</f>
        <v/>
      </c>
      <c r="BZ194" s="23" t="str">
        <f aca="false">IF(AY194=1,AL194&amp;"","")</f>
        <v/>
      </c>
      <c r="CA194" s="23" t="str">
        <f aca="false">IF(AND(AY194=1,ISNUMBER(AS194),INT(N(H194))&lt;=Config!$B$5),AS194,"")</f>
        <v/>
      </c>
      <c r="CB194" s="23" t="str">
        <f aca="false">IF(AY194=1,IF(COUNTIFS($A$2:$A$201,$A194,$CU$2:$CU$201,1,$AN$2:$AN$201,"Y")&gt;0,"Y","N"),"")</f>
        <v/>
      </c>
      <c r="CC194" s="23" t="n">
        <f aca="false">IF(AND(AY194=1,AN194="Y"),IF(COUNTIFS($AW$2:$AW$201,AW194,$AN$2:$AN$201,"Y",$AY$2:$AY$201,1,$H$2:$H$201,"&lt;"&amp;H194)+COUNTIFS($AW$2:$AW$201,AW194,$AN$2:$AN$201,"Y",$AY$2:$AY$201,1,$H$2:$H$201,H194,$AX$2:$AX$201,"&lt;"&amp;AX194)=0,1,0),0)</f>
        <v>0</v>
      </c>
      <c r="CD194" s="23" t="n">
        <f aca="false">IF(AND(AY194=1,AB194="Y",AC194="Y",AD194="Y",AE194="Y",AF194="Y",AG194="Y",AI194="Y",TRIM(AH194)&lt;&gt;""),1,0)</f>
        <v>0</v>
      </c>
      <c r="CE194" s="23" t="n">
        <f aca="false">IF(CD194=1,IF(COUNTIFS($AW$2:$AW$201,AW194,$CD$2:$CD$201,1,$H$2:$H$201,"&lt;"&amp;H194)+COUNTIFS($AW$2:$AW$201,AW194,$CD$2:$CD$201,1,$H$2:$H$201,H194,$AX$2:$AX$201,"&lt;"&amp;AX194)=0,1,0),0)</f>
        <v>0</v>
      </c>
      <c r="CF194" s="23" t="n">
        <f aca="false">IF(AND(AY194=1,AO194="Y"),1,0)</f>
        <v>0</v>
      </c>
      <c r="CG194" s="23" t="n">
        <f aca="false">IF(CF194=1,IF(COUNTIFS($AW$2:$AW$201,AW194,$CF$2:$CF$201,1,$H$2:$H$201,"&lt;"&amp;H194)+COUNTIFS($AW$2:$AW$201,AW194,$CF$2:$CF$201,1,$H$2:$H$201,H194,$AX$2:$AX$201,"&lt;"&amp;AX194)=0,1,0),0)</f>
        <v>0</v>
      </c>
      <c r="CH194" s="23" t="n">
        <f aca="false">IF(AND(AY194=1,P194="Y"),1,0)</f>
        <v>0</v>
      </c>
      <c r="CI194" s="23" t="n">
        <f aca="false">IF(CH194=1,IF(COUNTIFS($AW$2:$AW$201,AW194,$CH$2:$CH$201,1,$H$2:$H$201,"&lt;"&amp;H194)+COUNTIFS($AW$2:$AW$201,AW194,$CH$2:$CH$201,1,$H$2:$H$201,H194,$AX$2:$AX$201,"&lt;"&amp;AX194)=0,1,0),0)</f>
        <v>0</v>
      </c>
      <c r="CJ194" s="23" t="str">
        <f aca="false">IF(AND(BU194=1,INT(N(H194))&lt;=Config!$B$5),L194,"")</f>
        <v/>
      </c>
      <c r="CK194" s="23" t="n">
        <f aca="false">IF(AND(AY194=1,AR194="Y"),1,0)</f>
        <v>0</v>
      </c>
      <c r="CL194" s="23" t="n">
        <f aca="false">IF(CK194=1,IF(COUNTIFS($AW$2:$AW$201,AW194,$CK$2:$CK$201,1,$H$2:$H$201,"&lt;"&amp;H194)+COUNTIFS($AW$2:$AW$201,AW194,$CK$2:$CK$201,1,$H$2:$H$201,H194,$AX$2:$AX$201,"&lt;"&amp;AX194)=0,1,0),0)</f>
        <v>0</v>
      </c>
      <c r="CM194" s="23" t="str">
        <f aca="false">IF(AY194=1,IFERROR(MATCH($A194,INDEX(Clay_Brands!$A$2:$FZ$601,0,Sync!$D$5),0),""),"")</f>
        <v/>
      </c>
      <c r="CN194" s="23" t="str">
        <f aca="false">IF(CM194="","",IFERROR(INDEX(Clay_Brands!$A$2:$FZ$601,CM194,Sync!$D$7)&amp;"",""))</f>
        <v/>
      </c>
      <c r="CO194" s="23" t="str">
        <f aca="false">IF(CN194="","",IFERROR(INDEX(Lists!$K$2:$K$15,MATCH(CN194,Lists!$J$2:$J$15,0)),""))</f>
        <v/>
      </c>
      <c r="CP194" s="23" t="str">
        <f aca="false">IF(CM194="","",IFERROR(INDEX(Clay_Brands!$A$2:$FZ$601,CM194,Sync!$D$17)&amp;"",""))</f>
        <v/>
      </c>
      <c r="CQ194" s="35" t="str">
        <f aca="false">IF(CM194="","",IFERROR(N(INDEX(Clay_Brands!$A$2:$FZ$601,CM194,Sync!$D$16)),0))</f>
        <v/>
      </c>
      <c r="CR194" s="23" t="n">
        <f aca="false">IF(AND(AY194=1,OR(O194="N",AND(OR(ISNUMBER(R194),ISNUMBER(V194)),MAX(N(R194),N(V194))&lt;Config!$B$14))),1,0)</f>
        <v>0</v>
      </c>
      <c r="CS194" s="23" t="n">
        <f aca="false">IF(OR(BB194=1,CR194=1),1,0)</f>
        <v>0</v>
      </c>
      <c r="CT194" s="23" t="n">
        <f aca="false">IF(AND(AY194=1,OR(AN194="Y",AN194="N",AN194="maybe")),1,0)</f>
        <v>0</v>
      </c>
      <c r="CU194" s="23" t="n">
        <f aca="false">IF(AND(CT194=1),IF(COUNTIFS($A$2:$A$201,$A194,$CT$2:$CT$201,1,$H$2:$H$201,"&gt;"&amp;H194)+COUNTIFS($A$2:$A$201,$A194,$CT$2:$CT$201,1,$H$2:$H$201,H194,$AX$2:$AX$201,"&gt;"&amp;AX194)=0,1,0),0)</f>
        <v>0</v>
      </c>
      <c r="CV194" s="23" t="n">
        <f aca="false">IF(AND(CS194=1,INT(N(H194))&lt;=Config!$B$6),IF(COUNTIFS($AW$2:$AW$201,AW194,$CS$2:$CS$201,1,$H$2:$H$201,"&gt;"&amp;H194,$H$2:$H$201,"&lt;"&amp;(Config!$B$6+1))+COUNTIFS($AW$2:$AW$201,AW194,$CS$2:$CS$201,1,$H$2:$H$201,H194,$AX$2:$AX$201,"&gt;"&amp;AX194)=0,1,0),0)</f>
        <v>0</v>
      </c>
      <c r="CW194" s="23" t="n">
        <f aca="false">IF(AND(CS194=1,INT(N(H194))&lt;=Config!$B$7),IF(COUNTIFS($AW$2:$AW$201,AW194,$CS$2:$CS$201,1,$H$2:$H$201,"&gt;"&amp;H194,$H$2:$H$201,"&lt;"&amp;(Config!$B$7+1))+COUNTIFS($AW$2:$AW$201,AW194,$CS$2:$CS$201,1,$H$2:$H$201,H194,$AX$2:$AX$201,"&gt;"&amp;AX194)=0,1,0),0)</f>
        <v>0</v>
      </c>
      <c r="CX194" s="23" t="n">
        <f aca="false">IF(AND(CS194=1,INT(N(H194))&lt;=Config!$B$8),IF(COUNTIFS($AW$2:$AW$201,AW194,$CS$2:$CS$201,1,$H$2:$H$201,"&gt;"&amp;H194,$H$2:$H$201,"&lt;"&amp;(Config!$B$8+1))+COUNTIFS($AW$2:$AW$201,AW194,$CS$2:$CS$201,1,$H$2:$H$201,H194,$AX$2:$AX$201,"&gt;"&amp;AX194)=0,1,0),0)</f>
        <v>0</v>
      </c>
      <c r="CY194" s="23" t="n">
        <f aca="false">IF(AND(CS194=1,INT(N(H194))&lt;=Config!$B$5),IF(COUNTIFS($AW$2:$AW$201,AW194,$CS$2:$CS$201,1,$H$2:$H$201,"&gt;"&amp;H194,$H$2:$H$201,"&lt;"&amp;(Config!$B$5+1))+COUNTIFS($AW$2:$AW$201,AW194,$CS$2:$CS$201,1,$H$2:$H$201,H194,$AX$2:$AX$201,"&gt;"&amp;AX194)=0,1,0),0)</f>
        <v>0</v>
      </c>
      <c r="CZ194" s="23" t="n">
        <f aca="false">IF(AY194=1,IF(COUNTIFS($AW$2:$AW$201,AW194,$CV$2:$CV$201,1,$BB$2:$BB$201,1)&gt;0,1,0),0)</f>
        <v>0</v>
      </c>
      <c r="DA194" s="23" t="n">
        <f aca="false">IF(AY194=1,IF(COUNTIFS($AW$2:$AW$201,AW194,$CW$2:$CW$201,1,$BB$2:$BB$201,1)&gt;0,1,0),0)</f>
        <v>0</v>
      </c>
      <c r="DB194" s="23" t="n">
        <f aca="false">IF(AY194=1,IF(COUNTIFS($AW$2:$AW$201,AW194,$CX$2:$CX$201,1,$BB$2:$BB$201,1)&gt;0,1,0),0)</f>
        <v>0</v>
      </c>
      <c r="DC194" s="23" t="n">
        <f aca="false">IF(AY194=1,IF(COUNTIFS($AW$2:$AW$201,AW194,$CY$2:$CY$201,1,$BB$2:$BB$201,1)&gt;0,1,0),0)</f>
        <v>0</v>
      </c>
      <c r="DD194" s="23" t="n">
        <f aca="false">IF(AND(BC194=1,INT(N(H194))&lt;=Config!$B$6,CZ194=1),1,0)</f>
        <v>0</v>
      </c>
      <c r="DE194" s="23" t="n">
        <f aca="false">IF(AND(BC194=1,INT(N(H194))&lt;=Config!$B$7,DA194=1),1,0)</f>
        <v>0</v>
      </c>
      <c r="DF194" s="23" t="n">
        <f aca="false">IF(AND(BC194=1,INT(N(H194))&lt;=Config!$B$8,DB194=1),1,0)</f>
        <v>0</v>
      </c>
      <c r="DG194" s="23" t="n">
        <f aca="false">IF(AND(BC194=1,INT(N(H194))&lt;=Config!$B$5,DC194=1),1,0)</f>
        <v>0</v>
      </c>
      <c r="DH194" s="23" t="n">
        <f aca="false">IF(AND(BE194=1,INT(N(H194))&lt;=Config!$B$6,CZ194=1),1,0)</f>
        <v>0</v>
      </c>
      <c r="DI194" s="23" t="n">
        <f aca="false">IF(AND(BE194=1,INT(N(H194))&lt;=Config!$B$7,DA194=1),1,0)</f>
        <v>0</v>
      </c>
      <c r="DJ194" s="23" t="n">
        <f aca="false">IF(AND(BE194=1,INT(N(H194))&lt;=Config!$B$8,DB194=1),1,0)</f>
        <v>0</v>
      </c>
      <c r="DK194" s="23" t="n">
        <f aca="false">IF(AND(BE194=1,INT(N(H194))&lt;=Config!$B$5,DC194=1),1,0)</f>
        <v>0</v>
      </c>
      <c r="DL194" s="23" t="n">
        <f aca="false">IF(AND(BC194=1,INT(N(H194))&lt;=Config!$B$6,CZ194=0),1,0)</f>
        <v>0</v>
      </c>
      <c r="DM194" s="23" t="n">
        <f aca="false">IF(AND(BC194=1,INT(N(H194))&lt;=Config!$B$7,DA194=0),1,0)</f>
        <v>0</v>
      </c>
      <c r="DN194" s="23" t="n">
        <f aca="false">IF(AND(BC194=1,INT(N(H194))&lt;=Config!$B$8,DB194=0),1,0)</f>
        <v>0</v>
      </c>
      <c r="DO194" s="23" t="n">
        <f aca="false">IF(AND(BC194=1,INT(N(H194))&lt;=Config!$B$5,DC194=0),1,0)</f>
        <v>0</v>
      </c>
      <c r="DP194" s="23" t="n">
        <f aca="false">IF(TRIM($A194)="",0,ISTEXT(K194)+ISTEXT(L194)+ISTEXT(R194)+ISTEXT(V194)+ISTEXT(AP194)+ISTEXT(AS194))</f>
        <v>0</v>
      </c>
      <c r="DQ194" s="23" t="n">
        <f aca="false">IF(AY194=1,IF(H194&lt;&gt;INT(H194),1,0),0)</f>
        <v>0</v>
      </c>
      <c r="DR194" s="23" t="str">
        <f aca="false">IF(TRIM($A194)="","",IF(TRIM(B194)="",SUBSTITUTE(SUBSTITUTE(SUBSTITUTE(SUBSTITUTE(SUBSTITUTE(SUBSTITUTE(LOWER(TRIM($A194)),"~",""),"*",""),"?",""),"&lt;",""),"&gt;",""),"=",""),SUBSTITUTE(SUBSTITUTE(SUBSTITUTE(SUBSTITUTE(SUBSTITUTE(SUBSTITUTE(LOWER(TRIM(B194)),"~",""),"*",""),"?",""),"&lt;",""),"&gt;",""),"=","")))</f>
        <v/>
      </c>
      <c r="DS194" s="23" t="str">
        <f aca="false">IF(CM194="","",IFERROR(IF(LEFT(LOWER(TRIM(INDEX(Clay_Brands!$A$2:$FZ$601,CM194,Sync!$D$19)&amp;"")),4)="grp-",SUBSTITUTE(SUBSTITUTE(SUBSTITUTE(SUBSTITUTE(SUBSTITUTE(SUBSTITUTE(LOWER(TRIM(INDEX(Clay_Brands!$A$2:$FZ$601,CM194,Sync!$D$19)&amp;"")),"~",""),"*",""),"?",""),"&lt;",""),"&gt;",""),"=",""),""),""))</f>
        <v/>
      </c>
      <c r="DT194" s="23" t="str">
        <f aca="false">IF(DS194&lt;&gt;"",DR194,"")</f>
        <v/>
      </c>
      <c r="DU194" s="23" t="str">
        <f aca="false">IF(AZ194=1,AW194,"")</f>
        <v/>
      </c>
      <c r="DV194" s="23" t="str">
        <f aca="false">IF(TRIM($A194)="","",IFERROR(INDEX($A$2:$A$201,MATCH(AW194,$DU$2:$DU$201,0))&amp;"",$A194&amp;""))</f>
        <v/>
      </c>
      <c r="DW194" s="23" t="n">
        <f aca="false">IF(AY194=1,IF(COUNTIFS($A$2:$A$201,$A194,$AY$2:$AY$201,1,$H$2:$H$201,"&lt;"&amp;H194)+COUNTIFS($A$2:$A$201,$A194,$AY$2:$AY$201,1,$H$2:$H$201,H194,$AX$2:$AX$201,"&lt;"&amp;AX194)=0,1,0),0)</f>
        <v>0</v>
      </c>
      <c r="DX194" s="23" t="n">
        <f aca="false">IF(AZ194=1,IF(COUNTIFS($AW$2:$AW$201,AW194,$DW$2:$DW$201,1)&gt;1,1,0),0)</f>
        <v>0</v>
      </c>
    </row>
    <row r="195" customFormat="false" ht="15" hidden="false" customHeight="false" outlineLevel="0" collapsed="false">
      <c r="G195" s="32"/>
      <c r="H195" s="33"/>
      <c r="I195" s="32"/>
      <c r="O195" s="32"/>
      <c r="P195" s="32"/>
      <c r="U195" s="32"/>
      <c r="Y195" s="32"/>
      <c r="AB195" s="32"/>
      <c r="AC195" s="32"/>
      <c r="AD195" s="32"/>
      <c r="AE195" s="32"/>
      <c r="AF195" s="32"/>
      <c r="AG195" s="32"/>
      <c r="AI195" s="32"/>
      <c r="AJ195" s="32"/>
      <c r="AK195" s="32"/>
      <c r="AN195" s="32"/>
      <c r="AO195" s="32"/>
      <c r="AR195" s="32"/>
      <c r="AT195" s="32"/>
      <c r="AV195" s="34" t="str">
        <f aca="false">IF(TRIM($A195)="","",IF(AND(LEFT($A195,6)="SAMPLE",Config!$B$19&lt;&gt;"Y"),"",IF(NOT(ISNUMBER(H195)),"call_date is blank or not a date",IF(Sync!$D$5="","Clay paste is empty or has no row_id column: paste the Clay export on Clay_Brands",IF(CM195="","row_id not found in the Clay paste: add the Clay row or fix the row_id",IF(AND(ISNUMBER(CO195),CO195&gt;=1,CO195&lt;=5),"Clay status is "&amp;CN195&amp;": set call_done or later",IF(AND(BA195=1,CP195&lt;&gt;CB195),"Clay yes_in_principle should be "&amp;CB195,IF(AND(BA195=1,CQ195&lt;&gt;H195),"Clay call_date should be "&amp;TEXT(H195,"yyyy-mm-dd"),""))))))))</f>
        <v/>
      </c>
      <c r="AW195" s="23" t="str">
        <f aca="false">IF(TRIM($A195)="","",IF(TRIM(C195)&lt;&gt;"",SUBSTITUTE(SUBSTITUTE(SUBSTITUTE(SUBSTITUTE(SUBSTITUTE(SUBSTITUTE(LOWER(TRIM(C195)),"~",""),"*",""),"?",""),"&lt;",""),"&gt;",""),"=",""),IF(DS195&lt;&gt;"",DS195,IFERROR(INDEX($DS$2:$DS$201,MATCH(DR195,$DT$2:$DT$201,0)),DR195))))</f>
        <v/>
      </c>
      <c r="AX195" s="23" t="n">
        <f aca="false">ROW()</f>
        <v>195</v>
      </c>
      <c r="AY195" s="23" t="n">
        <f aca="false">IF(AND(TRIM($A195)&lt;&gt;"",ISNUMBER(H195)),IF(AND(LEFT($A195,6)="SAMPLE",Config!$B$19&lt;&gt;"Y"),0,1),0)</f>
        <v>0</v>
      </c>
      <c r="AZ195" s="23" t="n">
        <f aca="false">IF(AY195=1,IF(COUNTIFS($AW$2:$AW$201,AW195,$AY$2:$AY$201,1,$H$2:$H$201,"&lt;"&amp;H195)+COUNTIFS($AW$2:$AW$201,AW195,$AY$2:$AY$201,1,$H$2:$H$201,H195,$AX$2:$AX$201,"&lt;"&amp;AX195)=0,1,0),0)</f>
        <v>0</v>
      </c>
      <c r="BA195" s="23" t="n">
        <f aca="false">IF(AY195=1,IF(COUNTIFS($A$2:$A$201,$A195,$AY$2:$AY$201,1,$H$2:$H$201,"&gt;"&amp;H195)+COUNTIFS($A$2:$A$201,$A195,$AY$2:$AY$201,1,$H$2:$H$201,H195,$AX$2:$AX$201,"&gt;"&amp;AX195)=0,1,0),0)</f>
        <v>0</v>
      </c>
      <c r="BB195" s="23" t="n">
        <f aca="false">IF(AND(AY195=1,O195="Y",MAX(N(R195),N(V195))&gt;=Config!$B$14),1,0)</f>
        <v>0</v>
      </c>
      <c r="BC195" s="23" t="n">
        <f aca="false">IF(BB195=1,IF(COUNTIFS($AW$2:$AW$201,AW195,$BB$2:$BB$201,1,$H$2:$H$201,"&lt;"&amp;H195)+COUNTIFS($AW$2:$AW$201,AW195,$BB$2:$BB$201,1,$H$2:$H$201,H195,$AX$2:$AX$201,"&lt;"&amp;AX195)=0,1,0),0)</f>
        <v>0</v>
      </c>
      <c r="BD195" s="23" t="n">
        <f aca="false">IF(AND(AY195=1,O195="Y",ISNUMBER(R195)),IF(R195&gt;=Config!$B$14,1,0),0)</f>
        <v>0</v>
      </c>
      <c r="BE195" s="23" t="n">
        <f aca="false">IF(BD195=1,IF(COUNTIFS($AW$2:$AW$201,AW195,$BD$2:$BD$201,1,$H$2:$H$201,"&lt;"&amp;H195)+COUNTIFS($AW$2:$AW$201,AW195,$BD$2:$BD$201,1,$H$2:$H$201,H195,$AX$2:$AX$201,"&lt;"&amp;AX195)=0,1,0),0)</f>
        <v>0</v>
      </c>
      <c r="BF195" s="23" t="n">
        <f aca="false">IF(AND(AY195=1,O195&lt;&gt;"Y",MAX(N(R195),N(V195))&gt;=Config!$B$14),1,0)</f>
        <v>0</v>
      </c>
      <c r="BG195" s="23" t="n">
        <f aca="false">IF(BF195=1,IF(COUNTIFS($AW$2:$AW$201,AW195,$BF$2:$BF$201,1,$H$2:$H$201,"&lt;"&amp;H195)+COUNTIFS($AW$2:$AW$201,AW195,$BF$2:$BF$201,1,$H$2:$H$201,H195,$AX$2:$AX$201,"&lt;"&amp;AX195)=0,1,0),0)</f>
        <v>0</v>
      </c>
      <c r="BH195" s="23" t="n">
        <f aca="false">IF(AND(AY195=1,ISNUMBER(R195)),1,0)</f>
        <v>0</v>
      </c>
      <c r="BI195" s="23" t="n">
        <f aca="false">IF(BH195=1,IF(COUNTIFS($AW$2:$AW$201,AW195,$BH$2:$BH$201,1,$H$2:$H$201,"&lt;"&amp;H195)+COUNTIFS($AW$2:$AW$201,AW195,$BH$2:$BH$201,1,$H$2:$H$201,H195,$AX$2:$AX$201,"&lt;"&amp;AX195)=0,1,0),0)</f>
        <v>0</v>
      </c>
      <c r="BJ195" s="23" t="str">
        <f aca="false">IF(AND(BI195=1,INT(N(H195))&lt;=Config!$B$6),R195,"")</f>
        <v/>
      </c>
      <c r="BK195" s="23" t="str">
        <f aca="false">IF(AND(BI195=1,INT(N(H195))&lt;=Config!$B$7),R195,"")</f>
        <v/>
      </c>
      <c r="BL195" s="23" t="str">
        <f aca="false">IF(AND(BI195=1,INT(N(H195))&lt;=Config!$B$8),R195,"")</f>
        <v/>
      </c>
      <c r="BM195" s="23" t="str">
        <f aca="false">IF(AND(BI195=1,INT(N(H195))&lt;=Config!$B$5),R195,"")</f>
        <v/>
      </c>
      <c r="BN195" s="23" t="n">
        <f aca="false">IF(AND(AY195=1,ISNUMBER(V195)),1,0)</f>
        <v>0</v>
      </c>
      <c r="BO195" s="23" t="n">
        <f aca="false">IF(BN195=1,IF(COUNTIFS($AW$2:$AW$201,AW195,$BN$2:$BN$201,1,$H$2:$H$201,"&lt;"&amp;H195)+COUNTIFS($AW$2:$AW$201,AW195,$BN$2:$BN$201,1,$H$2:$H$201,H195,$AX$2:$AX$201,"&lt;"&amp;AX195)=0,1,0),0)</f>
        <v>0</v>
      </c>
      <c r="BP195" s="23" t="str">
        <f aca="false">IF(AND(BO195=1,INT(N(H195))&lt;=Config!$B$6),V195,"")</f>
        <v/>
      </c>
      <c r="BQ195" s="23" t="str">
        <f aca="false">IF(AND(BO195=1,INT(N(H195))&lt;=Config!$B$7),V195,"")</f>
        <v/>
      </c>
      <c r="BR195" s="23" t="str">
        <f aca="false">IF(AND(BO195=1,INT(N(H195))&lt;=Config!$B$8),V195,"")</f>
        <v/>
      </c>
      <c r="BS195" s="23" t="str">
        <f aca="false">IF(AND(BO195=1,INT(N(H195))&lt;=Config!$B$5),V195,"")</f>
        <v/>
      </c>
      <c r="BT195" s="23" t="n">
        <f aca="false">IF(AND(AY195=1,ISNUMBER(K195)),1,0)</f>
        <v>0</v>
      </c>
      <c r="BU195" s="23" t="n">
        <f aca="false">IF(BT195=1,IF(COUNTIFS($AW$2:$AW$201,AW195,$BT$2:$BT$201,1,$H$2:$H$201,"&lt;"&amp;H195)+COUNTIFS($AW$2:$AW$201,AW195,$BT$2:$BT$201,1,$H$2:$H$201,H195,$AX$2:$AX$201,"&lt;"&amp;AX195)=0,1,0),0)</f>
        <v>0</v>
      </c>
      <c r="BV195" s="23" t="str">
        <f aca="false">IF(AND(BU195=1,INT(N(H195))&lt;=Config!$B$5),K195,"")</f>
        <v/>
      </c>
      <c r="BW195" s="23" t="n">
        <f aca="false">IF(AND(AY195=1,OR(AND(ISNUMBER(R195),TRIM(S195)=""),AND(ISNUMBER(V195),TRIM(W195)=""))),1,0)</f>
        <v>0</v>
      </c>
      <c r="BX195" s="23" t="str">
        <f aca="false">IF(AY195=1,AJ195&amp;"","")</f>
        <v/>
      </c>
      <c r="BY195" s="23" t="str">
        <f aca="false">IF(AY195=1,AK195&amp;"","")</f>
        <v/>
      </c>
      <c r="BZ195" s="23" t="str">
        <f aca="false">IF(AY195=1,AL195&amp;"","")</f>
        <v/>
      </c>
      <c r="CA195" s="23" t="str">
        <f aca="false">IF(AND(AY195=1,ISNUMBER(AS195),INT(N(H195))&lt;=Config!$B$5),AS195,"")</f>
        <v/>
      </c>
      <c r="CB195" s="23" t="str">
        <f aca="false">IF(AY195=1,IF(COUNTIFS($A$2:$A$201,$A195,$CU$2:$CU$201,1,$AN$2:$AN$201,"Y")&gt;0,"Y","N"),"")</f>
        <v/>
      </c>
      <c r="CC195" s="23" t="n">
        <f aca="false">IF(AND(AY195=1,AN195="Y"),IF(COUNTIFS($AW$2:$AW$201,AW195,$AN$2:$AN$201,"Y",$AY$2:$AY$201,1,$H$2:$H$201,"&lt;"&amp;H195)+COUNTIFS($AW$2:$AW$201,AW195,$AN$2:$AN$201,"Y",$AY$2:$AY$201,1,$H$2:$H$201,H195,$AX$2:$AX$201,"&lt;"&amp;AX195)=0,1,0),0)</f>
        <v>0</v>
      </c>
      <c r="CD195" s="23" t="n">
        <f aca="false">IF(AND(AY195=1,AB195="Y",AC195="Y",AD195="Y",AE195="Y",AF195="Y",AG195="Y",AI195="Y",TRIM(AH195)&lt;&gt;""),1,0)</f>
        <v>0</v>
      </c>
      <c r="CE195" s="23" t="n">
        <f aca="false">IF(CD195=1,IF(COUNTIFS($AW$2:$AW$201,AW195,$CD$2:$CD$201,1,$H$2:$H$201,"&lt;"&amp;H195)+COUNTIFS($AW$2:$AW$201,AW195,$CD$2:$CD$201,1,$H$2:$H$201,H195,$AX$2:$AX$201,"&lt;"&amp;AX195)=0,1,0),0)</f>
        <v>0</v>
      </c>
      <c r="CF195" s="23" t="n">
        <f aca="false">IF(AND(AY195=1,AO195="Y"),1,0)</f>
        <v>0</v>
      </c>
      <c r="CG195" s="23" t="n">
        <f aca="false">IF(CF195=1,IF(COUNTIFS($AW$2:$AW$201,AW195,$CF$2:$CF$201,1,$H$2:$H$201,"&lt;"&amp;H195)+COUNTIFS($AW$2:$AW$201,AW195,$CF$2:$CF$201,1,$H$2:$H$201,H195,$AX$2:$AX$201,"&lt;"&amp;AX195)=0,1,0),0)</f>
        <v>0</v>
      </c>
      <c r="CH195" s="23" t="n">
        <f aca="false">IF(AND(AY195=1,P195="Y"),1,0)</f>
        <v>0</v>
      </c>
      <c r="CI195" s="23" t="n">
        <f aca="false">IF(CH195=1,IF(COUNTIFS($AW$2:$AW$201,AW195,$CH$2:$CH$201,1,$H$2:$H$201,"&lt;"&amp;H195)+COUNTIFS($AW$2:$AW$201,AW195,$CH$2:$CH$201,1,$H$2:$H$201,H195,$AX$2:$AX$201,"&lt;"&amp;AX195)=0,1,0),0)</f>
        <v>0</v>
      </c>
      <c r="CJ195" s="23" t="str">
        <f aca="false">IF(AND(BU195=1,INT(N(H195))&lt;=Config!$B$5),L195,"")</f>
        <v/>
      </c>
      <c r="CK195" s="23" t="n">
        <f aca="false">IF(AND(AY195=1,AR195="Y"),1,0)</f>
        <v>0</v>
      </c>
      <c r="CL195" s="23" t="n">
        <f aca="false">IF(CK195=1,IF(COUNTIFS($AW$2:$AW$201,AW195,$CK$2:$CK$201,1,$H$2:$H$201,"&lt;"&amp;H195)+COUNTIFS($AW$2:$AW$201,AW195,$CK$2:$CK$201,1,$H$2:$H$201,H195,$AX$2:$AX$201,"&lt;"&amp;AX195)=0,1,0),0)</f>
        <v>0</v>
      </c>
      <c r="CM195" s="23" t="str">
        <f aca="false">IF(AY195=1,IFERROR(MATCH($A195,INDEX(Clay_Brands!$A$2:$FZ$601,0,Sync!$D$5),0),""),"")</f>
        <v/>
      </c>
      <c r="CN195" s="23" t="str">
        <f aca="false">IF(CM195="","",IFERROR(INDEX(Clay_Brands!$A$2:$FZ$601,CM195,Sync!$D$7)&amp;"",""))</f>
        <v/>
      </c>
      <c r="CO195" s="23" t="str">
        <f aca="false">IF(CN195="","",IFERROR(INDEX(Lists!$K$2:$K$15,MATCH(CN195,Lists!$J$2:$J$15,0)),""))</f>
        <v/>
      </c>
      <c r="CP195" s="23" t="str">
        <f aca="false">IF(CM195="","",IFERROR(INDEX(Clay_Brands!$A$2:$FZ$601,CM195,Sync!$D$17)&amp;"",""))</f>
        <v/>
      </c>
      <c r="CQ195" s="35" t="str">
        <f aca="false">IF(CM195="","",IFERROR(N(INDEX(Clay_Brands!$A$2:$FZ$601,CM195,Sync!$D$16)),0))</f>
        <v/>
      </c>
      <c r="CR195" s="23" t="n">
        <f aca="false">IF(AND(AY195=1,OR(O195="N",AND(OR(ISNUMBER(R195),ISNUMBER(V195)),MAX(N(R195),N(V195))&lt;Config!$B$14))),1,0)</f>
        <v>0</v>
      </c>
      <c r="CS195" s="23" t="n">
        <f aca="false">IF(OR(BB195=1,CR195=1),1,0)</f>
        <v>0</v>
      </c>
      <c r="CT195" s="23" t="n">
        <f aca="false">IF(AND(AY195=1,OR(AN195="Y",AN195="N",AN195="maybe")),1,0)</f>
        <v>0</v>
      </c>
      <c r="CU195" s="23" t="n">
        <f aca="false">IF(AND(CT195=1),IF(COUNTIFS($A$2:$A$201,$A195,$CT$2:$CT$201,1,$H$2:$H$201,"&gt;"&amp;H195)+COUNTIFS($A$2:$A$201,$A195,$CT$2:$CT$201,1,$H$2:$H$201,H195,$AX$2:$AX$201,"&gt;"&amp;AX195)=0,1,0),0)</f>
        <v>0</v>
      </c>
      <c r="CV195" s="23" t="n">
        <f aca="false">IF(AND(CS195=1,INT(N(H195))&lt;=Config!$B$6),IF(COUNTIFS($AW$2:$AW$201,AW195,$CS$2:$CS$201,1,$H$2:$H$201,"&gt;"&amp;H195,$H$2:$H$201,"&lt;"&amp;(Config!$B$6+1))+COUNTIFS($AW$2:$AW$201,AW195,$CS$2:$CS$201,1,$H$2:$H$201,H195,$AX$2:$AX$201,"&gt;"&amp;AX195)=0,1,0),0)</f>
        <v>0</v>
      </c>
      <c r="CW195" s="23" t="n">
        <f aca="false">IF(AND(CS195=1,INT(N(H195))&lt;=Config!$B$7),IF(COUNTIFS($AW$2:$AW$201,AW195,$CS$2:$CS$201,1,$H$2:$H$201,"&gt;"&amp;H195,$H$2:$H$201,"&lt;"&amp;(Config!$B$7+1))+COUNTIFS($AW$2:$AW$201,AW195,$CS$2:$CS$201,1,$H$2:$H$201,H195,$AX$2:$AX$201,"&gt;"&amp;AX195)=0,1,0),0)</f>
        <v>0</v>
      </c>
      <c r="CX195" s="23" t="n">
        <f aca="false">IF(AND(CS195=1,INT(N(H195))&lt;=Config!$B$8),IF(COUNTIFS($AW$2:$AW$201,AW195,$CS$2:$CS$201,1,$H$2:$H$201,"&gt;"&amp;H195,$H$2:$H$201,"&lt;"&amp;(Config!$B$8+1))+COUNTIFS($AW$2:$AW$201,AW195,$CS$2:$CS$201,1,$H$2:$H$201,H195,$AX$2:$AX$201,"&gt;"&amp;AX195)=0,1,0),0)</f>
        <v>0</v>
      </c>
      <c r="CY195" s="23" t="n">
        <f aca="false">IF(AND(CS195=1,INT(N(H195))&lt;=Config!$B$5),IF(COUNTIFS($AW$2:$AW$201,AW195,$CS$2:$CS$201,1,$H$2:$H$201,"&gt;"&amp;H195,$H$2:$H$201,"&lt;"&amp;(Config!$B$5+1))+COUNTIFS($AW$2:$AW$201,AW195,$CS$2:$CS$201,1,$H$2:$H$201,H195,$AX$2:$AX$201,"&gt;"&amp;AX195)=0,1,0),0)</f>
        <v>0</v>
      </c>
      <c r="CZ195" s="23" t="n">
        <f aca="false">IF(AY195=1,IF(COUNTIFS($AW$2:$AW$201,AW195,$CV$2:$CV$201,1,$BB$2:$BB$201,1)&gt;0,1,0),0)</f>
        <v>0</v>
      </c>
      <c r="DA195" s="23" t="n">
        <f aca="false">IF(AY195=1,IF(COUNTIFS($AW$2:$AW$201,AW195,$CW$2:$CW$201,1,$BB$2:$BB$201,1)&gt;0,1,0),0)</f>
        <v>0</v>
      </c>
      <c r="DB195" s="23" t="n">
        <f aca="false">IF(AY195=1,IF(COUNTIFS($AW$2:$AW$201,AW195,$CX$2:$CX$201,1,$BB$2:$BB$201,1)&gt;0,1,0),0)</f>
        <v>0</v>
      </c>
      <c r="DC195" s="23" t="n">
        <f aca="false">IF(AY195=1,IF(COUNTIFS($AW$2:$AW$201,AW195,$CY$2:$CY$201,1,$BB$2:$BB$201,1)&gt;0,1,0),0)</f>
        <v>0</v>
      </c>
      <c r="DD195" s="23" t="n">
        <f aca="false">IF(AND(BC195=1,INT(N(H195))&lt;=Config!$B$6,CZ195=1),1,0)</f>
        <v>0</v>
      </c>
      <c r="DE195" s="23" t="n">
        <f aca="false">IF(AND(BC195=1,INT(N(H195))&lt;=Config!$B$7,DA195=1),1,0)</f>
        <v>0</v>
      </c>
      <c r="DF195" s="23" t="n">
        <f aca="false">IF(AND(BC195=1,INT(N(H195))&lt;=Config!$B$8,DB195=1),1,0)</f>
        <v>0</v>
      </c>
      <c r="DG195" s="23" t="n">
        <f aca="false">IF(AND(BC195=1,INT(N(H195))&lt;=Config!$B$5,DC195=1),1,0)</f>
        <v>0</v>
      </c>
      <c r="DH195" s="23" t="n">
        <f aca="false">IF(AND(BE195=1,INT(N(H195))&lt;=Config!$B$6,CZ195=1),1,0)</f>
        <v>0</v>
      </c>
      <c r="DI195" s="23" t="n">
        <f aca="false">IF(AND(BE195=1,INT(N(H195))&lt;=Config!$B$7,DA195=1),1,0)</f>
        <v>0</v>
      </c>
      <c r="DJ195" s="23" t="n">
        <f aca="false">IF(AND(BE195=1,INT(N(H195))&lt;=Config!$B$8,DB195=1),1,0)</f>
        <v>0</v>
      </c>
      <c r="DK195" s="23" t="n">
        <f aca="false">IF(AND(BE195=1,INT(N(H195))&lt;=Config!$B$5,DC195=1),1,0)</f>
        <v>0</v>
      </c>
      <c r="DL195" s="23" t="n">
        <f aca="false">IF(AND(BC195=1,INT(N(H195))&lt;=Config!$B$6,CZ195=0),1,0)</f>
        <v>0</v>
      </c>
      <c r="DM195" s="23" t="n">
        <f aca="false">IF(AND(BC195=1,INT(N(H195))&lt;=Config!$B$7,DA195=0),1,0)</f>
        <v>0</v>
      </c>
      <c r="DN195" s="23" t="n">
        <f aca="false">IF(AND(BC195=1,INT(N(H195))&lt;=Config!$B$8,DB195=0),1,0)</f>
        <v>0</v>
      </c>
      <c r="DO195" s="23" t="n">
        <f aca="false">IF(AND(BC195=1,INT(N(H195))&lt;=Config!$B$5,DC195=0),1,0)</f>
        <v>0</v>
      </c>
      <c r="DP195" s="23" t="n">
        <f aca="false">IF(TRIM($A195)="",0,ISTEXT(K195)+ISTEXT(L195)+ISTEXT(R195)+ISTEXT(V195)+ISTEXT(AP195)+ISTEXT(AS195))</f>
        <v>0</v>
      </c>
      <c r="DQ195" s="23" t="n">
        <f aca="false">IF(AY195=1,IF(H195&lt;&gt;INT(H195),1,0),0)</f>
        <v>0</v>
      </c>
      <c r="DR195" s="23" t="str">
        <f aca="false">IF(TRIM($A195)="","",IF(TRIM(B195)="",SUBSTITUTE(SUBSTITUTE(SUBSTITUTE(SUBSTITUTE(SUBSTITUTE(SUBSTITUTE(LOWER(TRIM($A195)),"~",""),"*",""),"?",""),"&lt;",""),"&gt;",""),"=",""),SUBSTITUTE(SUBSTITUTE(SUBSTITUTE(SUBSTITUTE(SUBSTITUTE(SUBSTITUTE(LOWER(TRIM(B195)),"~",""),"*",""),"?",""),"&lt;",""),"&gt;",""),"=","")))</f>
        <v/>
      </c>
      <c r="DS195" s="23" t="str">
        <f aca="false">IF(CM195="","",IFERROR(IF(LEFT(LOWER(TRIM(INDEX(Clay_Brands!$A$2:$FZ$601,CM195,Sync!$D$19)&amp;"")),4)="grp-",SUBSTITUTE(SUBSTITUTE(SUBSTITUTE(SUBSTITUTE(SUBSTITUTE(SUBSTITUTE(LOWER(TRIM(INDEX(Clay_Brands!$A$2:$FZ$601,CM195,Sync!$D$19)&amp;"")),"~",""),"*",""),"?",""),"&lt;",""),"&gt;",""),"=",""),""),""))</f>
        <v/>
      </c>
      <c r="DT195" s="23" t="str">
        <f aca="false">IF(DS195&lt;&gt;"",DR195,"")</f>
        <v/>
      </c>
      <c r="DU195" s="23" t="str">
        <f aca="false">IF(AZ195=1,AW195,"")</f>
        <v/>
      </c>
      <c r="DV195" s="23" t="str">
        <f aca="false">IF(TRIM($A195)="","",IFERROR(INDEX($A$2:$A$201,MATCH(AW195,$DU$2:$DU$201,0))&amp;"",$A195&amp;""))</f>
        <v/>
      </c>
      <c r="DW195" s="23" t="n">
        <f aca="false">IF(AY195=1,IF(COUNTIFS($A$2:$A$201,$A195,$AY$2:$AY$201,1,$H$2:$H$201,"&lt;"&amp;H195)+COUNTIFS($A$2:$A$201,$A195,$AY$2:$AY$201,1,$H$2:$H$201,H195,$AX$2:$AX$201,"&lt;"&amp;AX195)=0,1,0),0)</f>
        <v>0</v>
      </c>
      <c r="DX195" s="23" t="n">
        <f aca="false">IF(AZ195=1,IF(COUNTIFS($AW$2:$AW$201,AW195,$DW$2:$DW$201,1)&gt;1,1,0),0)</f>
        <v>0</v>
      </c>
    </row>
    <row r="196" customFormat="false" ht="15" hidden="false" customHeight="false" outlineLevel="0" collapsed="false">
      <c r="G196" s="32"/>
      <c r="H196" s="33"/>
      <c r="I196" s="32"/>
      <c r="O196" s="32"/>
      <c r="P196" s="32"/>
      <c r="U196" s="32"/>
      <c r="Y196" s="32"/>
      <c r="AB196" s="32"/>
      <c r="AC196" s="32"/>
      <c r="AD196" s="32"/>
      <c r="AE196" s="32"/>
      <c r="AF196" s="32"/>
      <c r="AG196" s="32"/>
      <c r="AI196" s="32"/>
      <c r="AJ196" s="32"/>
      <c r="AK196" s="32"/>
      <c r="AN196" s="32"/>
      <c r="AO196" s="32"/>
      <c r="AR196" s="32"/>
      <c r="AT196" s="32"/>
      <c r="AV196" s="34" t="str">
        <f aca="false">IF(TRIM($A196)="","",IF(AND(LEFT($A196,6)="SAMPLE",Config!$B$19&lt;&gt;"Y"),"",IF(NOT(ISNUMBER(H196)),"call_date is blank or not a date",IF(Sync!$D$5="","Clay paste is empty or has no row_id column: paste the Clay export on Clay_Brands",IF(CM196="","row_id not found in the Clay paste: add the Clay row or fix the row_id",IF(AND(ISNUMBER(CO196),CO196&gt;=1,CO196&lt;=5),"Clay status is "&amp;CN196&amp;": set call_done or later",IF(AND(BA196=1,CP196&lt;&gt;CB196),"Clay yes_in_principle should be "&amp;CB196,IF(AND(BA196=1,CQ196&lt;&gt;H196),"Clay call_date should be "&amp;TEXT(H196,"yyyy-mm-dd"),""))))))))</f>
        <v/>
      </c>
      <c r="AW196" s="23" t="str">
        <f aca="false">IF(TRIM($A196)="","",IF(TRIM(C196)&lt;&gt;"",SUBSTITUTE(SUBSTITUTE(SUBSTITUTE(SUBSTITUTE(SUBSTITUTE(SUBSTITUTE(LOWER(TRIM(C196)),"~",""),"*",""),"?",""),"&lt;",""),"&gt;",""),"=",""),IF(DS196&lt;&gt;"",DS196,IFERROR(INDEX($DS$2:$DS$201,MATCH(DR196,$DT$2:$DT$201,0)),DR196))))</f>
        <v/>
      </c>
      <c r="AX196" s="23" t="n">
        <f aca="false">ROW()</f>
        <v>196</v>
      </c>
      <c r="AY196" s="23" t="n">
        <f aca="false">IF(AND(TRIM($A196)&lt;&gt;"",ISNUMBER(H196)),IF(AND(LEFT($A196,6)="SAMPLE",Config!$B$19&lt;&gt;"Y"),0,1),0)</f>
        <v>0</v>
      </c>
      <c r="AZ196" s="23" t="n">
        <f aca="false">IF(AY196=1,IF(COUNTIFS($AW$2:$AW$201,AW196,$AY$2:$AY$201,1,$H$2:$H$201,"&lt;"&amp;H196)+COUNTIFS($AW$2:$AW$201,AW196,$AY$2:$AY$201,1,$H$2:$H$201,H196,$AX$2:$AX$201,"&lt;"&amp;AX196)=0,1,0),0)</f>
        <v>0</v>
      </c>
      <c r="BA196" s="23" t="n">
        <f aca="false">IF(AY196=1,IF(COUNTIFS($A$2:$A$201,$A196,$AY$2:$AY$201,1,$H$2:$H$201,"&gt;"&amp;H196)+COUNTIFS($A$2:$A$201,$A196,$AY$2:$AY$201,1,$H$2:$H$201,H196,$AX$2:$AX$201,"&gt;"&amp;AX196)=0,1,0),0)</f>
        <v>0</v>
      </c>
      <c r="BB196" s="23" t="n">
        <f aca="false">IF(AND(AY196=1,O196="Y",MAX(N(R196),N(V196))&gt;=Config!$B$14),1,0)</f>
        <v>0</v>
      </c>
      <c r="BC196" s="23" t="n">
        <f aca="false">IF(BB196=1,IF(COUNTIFS($AW$2:$AW$201,AW196,$BB$2:$BB$201,1,$H$2:$H$201,"&lt;"&amp;H196)+COUNTIFS($AW$2:$AW$201,AW196,$BB$2:$BB$201,1,$H$2:$H$201,H196,$AX$2:$AX$201,"&lt;"&amp;AX196)=0,1,0),0)</f>
        <v>0</v>
      </c>
      <c r="BD196" s="23" t="n">
        <f aca="false">IF(AND(AY196=1,O196="Y",ISNUMBER(R196)),IF(R196&gt;=Config!$B$14,1,0),0)</f>
        <v>0</v>
      </c>
      <c r="BE196" s="23" t="n">
        <f aca="false">IF(BD196=1,IF(COUNTIFS($AW$2:$AW$201,AW196,$BD$2:$BD$201,1,$H$2:$H$201,"&lt;"&amp;H196)+COUNTIFS($AW$2:$AW$201,AW196,$BD$2:$BD$201,1,$H$2:$H$201,H196,$AX$2:$AX$201,"&lt;"&amp;AX196)=0,1,0),0)</f>
        <v>0</v>
      </c>
      <c r="BF196" s="23" t="n">
        <f aca="false">IF(AND(AY196=1,O196&lt;&gt;"Y",MAX(N(R196),N(V196))&gt;=Config!$B$14),1,0)</f>
        <v>0</v>
      </c>
      <c r="BG196" s="23" t="n">
        <f aca="false">IF(BF196=1,IF(COUNTIFS($AW$2:$AW$201,AW196,$BF$2:$BF$201,1,$H$2:$H$201,"&lt;"&amp;H196)+COUNTIFS($AW$2:$AW$201,AW196,$BF$2:$BF$201,1,$H$2:$H$201,H196,$AX$2:$AX$201,"&lt;"&amp;AX196)=0,1,0),0)</f>
        <v>0</v>
      </c>
      <c r="BH196" s="23" t="n">
        <f aca="false">IF(AND(AY196=1,ISNUMBER(R196)),1,0)</f>
        <v>0</v>
      </c>
      <c r="BI196" s="23" t="n">
        <f aca="false">IF(BH196=1,IF(COUNTIFS($AW$2:$AW$201,AW196,$BH$2:$BH$201,1,$H$2:$H$201,"&lt;"&amp;H196)+COUNTIFS($AW$2:$AW$201,AW196,$BH$2:$BH$201,1,$H$2:$H$201,H196,$AX$2:$AX$201,"&lt;"&amp;AX196)=0,1,0),0)</f>
        <v>0</v>
      </c>
      <c r="BJ196" s="23" t="str">
        <f aca="false">IF(AND(BI196=1,INT(N(H196))&lt;=Config!$B$6),R196,"")</f>
        <v/>
      </c>
      <c r="BK196" s="23" t="str">
        <f aca="false">IF(AND(BI196=1,INT(N(H196))&lt;=Config!$B$7),R196,"")</f>
        <v/>
      </c>
      <c r="BL196" s="23" t="str">
        <f aca="false">IF(AND(BI196=1,INT(N(H196))&lt;=Config!$B$8),R196,"")</f>
        <v/>
      </c>
      <c r="BM196" s="23" t="str">
        <f aca="false">IF(AND(BI196=1,INT(N(H196))&lt;=Config!$B$5),R196,"")</f>
        <v/>
      </c>
      <c r="BN196" s="23" t="n">
        <f aca="false">IF(AND(AY196=1,ISNUMBER(V196)),1,0)</f>
        <v>0</v>
      </c>
      <c r="BO196" s="23" t="n">
        <f aca="false">IF(BN196=1,IF(COUNTIFS($AW$2:$AW$201,AW196,$BN$2:$BN$201,1,$H$2:$H$201,"&lt;"&amp;H196)+COUNTIFS($AW$2:$AW$201,AW196,$BN$2:$BN$201,1,$H$2:$H$201,H196,$AX$2:$AX$201,"&lt;"&amp;AX196)=0,1,0),0)</f>
        <v>0</v>
      </c>
      <c r="BP196" s="23" t="str">
        <f aca="false">IF(AND(BO196=1,INT(N(H196))&lt;=Config!$B$6),V196,"")</f>
        <v/>
      </c>
      <c r="BQ196" s="23" t="str">
        <f aca="false">IF(AND(BO196=1,INT(N(H196))&lt;=Config!$B$7),V196,"")</f>
        <v/>
      </c>
      <c r="BR196" s="23" t="str">
        <f aca="false">IF(AND(BO196=1,INT(N(H196))&lt;=Config!$B$8),V196,"")</f>
        <v/>
      </c>
      <c r="BS196" s="23" t="str">
        <f aca="false">IF(AND(BO196=1,INT(N(H196))&lt;=Config!$B$5),V196,"")</f>
        <v/>
      </c>
      <c r="BT196" s="23" t="n">
        <f aca="false">IF(AND(AY196=1,ISNUMBER(K196)),1,0)</f>
        <v>0</v>
      </c>
      <c r="BU196" s="23" t="n">
        <f aca="false">IF(BT196=1,IF(COUNTIFS($AW$2:$AW$201,AW196,$BT$2:$BT$201,1,$H$2:$H$201,"&lt;"&amp;H196)+COUNTIFS($AW$2:$AW$201,AW196,$BT$2:$BT$201,1,$H$2:$H$201,H196,$AX$2:$AX$201,"&lt;"&amp;AX196)=0,1,0),0)</f>
        <v>0</v>
      </c>
      <c r="BV196" s="23" t="str">
        <f aca="false">IF(AND(BU196=1,INT(N(H196))&lt;=Config!$B$5),K196,"")</f>
        <v/>
      </c>
      <c r="BW196" s="23" t="n">
        <f aca="false">IF(AND(AY196=1,OR(AND(ISNUMBER(R196),TRIM(S196)=""),AND(ISNUMBER(V196),TRIM(W196)=""))),1,0)</f>
        <v>0</v>
      </c>
      <c r="BX196" s="23" t="str">
        <f aca="false">IF(AY196=1,AJ196&amp;"","")</f>
        <v/>
      </c>
      <c r="BY196" s="23" t="str">
        <f aca="false">IF(AY196=1,AK196&amp;"","")</f>
        <v/>
      </c>
      <c r="BZ196" s="23" t="str">
        <f aca="false">IF(AY196=1,AL196&amp;"","")</f>
        <v/>
      </c>
      <c r="CA196" s="23" t="str">
        <f aca="false">IF(AND(AY196=1,ISNUMBER(AS196),INT(N(H196))&lt;=Config!$B$5),AS196,"")</f>
        <v/>
      </c>
      <c r="CB196" s="23" t="str">
        <f aca="false">IF(AY196=1,IF(COUNTIFS($A$2:$A$201,$A196,$CU$2:$CU$201,1,$AN$2:$AN$201,"Y")&gt;0,"Y","N"),"")</f>
        <v/>
      </c>
      <c r="CC196" s="23" t="n">
        <f aca="false">IF(AND(AY196=1,AN196="Y"),IF(COUNTIFS($AW$2:$AW$201,AW196,$AN$2:$AN$201,"Y",$AY$2:$AY$201,1,$H$2:$H$201,"&lt;"&amp;H196)+COUNTIFS($AW$2:$AW$201,AW196,$AN$2:$AN$201,"Y",$AY$2:$AY$201,1,$H$2:$H$201,H196,$AX$2:$AX$201,"&lt;"&amp;AX196)=0,1,0),0)</f>
        <v>0</v>
      </c>
      <c r="CD196" s="23" t="n">
        <f aca="false">IF(AND(AY196=1,AB196="Y",AC196="Y",AD196="Y",AE196="Y",AF196="Y",AG196="Y",AI196="Y",TRIM(AH196)&lt;&gt;""),1,0)</f>
        <v>0</v>
      </c>
      <c r="CE196" s="23" t="n">
        <f aca="false">IF(CD196=1,IF(COUNTIFS($AW$2:$AW$201,AW196,$CD$2:$CD$201,1,$H$2:$H$201,"&lt;"&amp;H196)+COUNTIFS($AW$2:$AW$201,AW196,$CD$2:$CD$201,1,$H$2:$H$201,H196,$AX$2:$AX$201,"&lt;"&amp;AX196)=0,1,0),0)</f>
        <v>0</v>
      </c>
      <c r="CF196" s="23" t="n">
        <f aca="false">IF(AND(AY196=1,AO196="Y"),1,0)</f>
        <v>0</v>
      </c>
      <c r="CG196" s="23" t="n">
        <f aca="false">IF(CF196=1,IF(COUNTIFS($AW$2:$AW$201,AW196,$CF$2:$CF$201,1,$H$2:$H$201,"&lt;"&amp;H196)+COUNTIFS($AW$2:$AW$201,AW196,$CF$2:$CF$201,1,$H$2:$H$201,H196,$AX$2:$AX$201,"&lt;"&amp;AX196)=0,1,0),0)</f>
        <v>0</v>
      </c>
      <c r="CH196" s="23" t="n">
        <f aca="false">IF(AND(AY196=1,P196="Y"),1,0)</f>
        <v>0</v>
      </c>
      <c r="CI196" s="23" t="n">
        <f aca="false">IF(CH196=1,IF(COUNTIFS($AW$2:$AW$201,AW196,$CH$2:$CH$201,1,$H$2:$H$201,"&lt;"&amp;H196)+COUNTIFS($AW$2:$AW$201,AW196,$CH$2:$CH$201,1,$H$2:$H$201,H196,$AX$2:$AX$201,"&lt;"&amp;AX196)=0,1,0),0)</f>
        <v>0</v>
      </c>
      <c r="CJ196" s="23" t="str">
        <f aca="false">IF(AND(BU196=1,INT(N(H196))&lt;=Config!$B$5),L196,"")</f>
        <v/>
      </c>
      <c r="CK196" s="23" t="n">
        <f aca="false">IF(AND(AY196=1,AR196="Y"),1,0)</f>
        <v>0</v>
      </c>
      <c r="CL196" s="23" t="n">
        <f aca="false">IF(CK196=1,IF(COUNTIFS($AW$2:$AW$201,AW196,$CK$2:$CK$201,1,$H$2:$H$201,"&lt;"&amp;H196)+COUNTIFS($AW$2:$AW$201,AW196,$CK$2:$CK$201,1,$H$2:$H$201,H196,$AX$2:$AX$201,"&lt;"&amp;AX196)=0,1,0),0)</f>
        <v>0</v>
      </c>
      <c r="CM196" s="23" t="str">
        <f aca="false">IF(AY196=1,IFERROR(MATCH($A196,INDEX(Clay_Brands!$A$2:$FZ$601,0,Sync!$D$5),0),""),"")</f>
        <v/>
      </c>
      <c r="CN196" s="23" t="str">
        <f aca="false">IF(CM196="","",IFERROR(INDEX(Clay_Brands!$A$2:$FZ$601,CM196,Sync!$D$7)&amp;"",""))</f>
        <v/>
      </c>
      <c r="CO196" s="23" t="str">
        <f aca="false">IF(CN196="","",IFERROR(INDEX(Lists!$K$2:$K$15,MATCH(CN196,Lists!$J$2:$J$15,0)),""))</f>
        <v/>
      </c>
      <c r="CP196" s="23" t="str">
        <f aca="false">IF(CM196="","",IFERROR(INDEX(Clay_Brands!$A$2:$FZ$601,CM196,Sync!$D$17)&amp;"",""))</f>
        <v/>
      </c>
      <c r="CQ196" s="35" t="str">
        <f aca="false">IF(CM196="","",IFERROR(N(INDEX(Clay_Brands!$A$2:$FZ$601,CM196,Sync!$D$16)),0))</f>
        <v/>
      </c>
      <c r="CR196" s="23" t="n">
        <f aca="false">IF(AND(AY196=1,OR(O196="N",AND(OR(ISNUMBER(R196),ISNUMBER(V196)),MAX(N(R196),N(V196))&lt;Config!$B$14))),1,0)</f>
        <v>0</v>
      </c>
      <c r="CS196" s="23" t="n">
        <f aca="false">IF(OR(BB196=1,CR196=1),1,0)</f>
        <v>0</v>
      </c>
      <c r="CT196" s="23" t="n">
        <f aca="false">IF(AND(AY196=1,OR(AN196="Y",AN196="N",AN196="maybe")),1,0)</f>
        <v>0</v>
      </c>
      <c r="CU196" s="23" t="n">
        <f aca="false">IF(AND(CT196=1),IF(COUNTIFS($A$2:$A$201,$A196,$CT$2:$CT$201,1,$H$2:$H$201,"&gt;"&amp;H196)+COUNTIFS($A$2:$A$201,$A196,$CT$2:$CT$201,1,$H$2:$H$201,H196,$AX$2:$AX$201,"&gt;"&amp;AX196)=0,1,0),0)</f>
        <v>0</v>
      </c>
      <c r="CV196" s="23" t="n">
        <f aca="false">IF(AND(CS196=1,INT(N(H196))&lt;=Config!$B$6),IF(COUNTIFS($AW$2:$AW$201,AW196,$CS$2:$CS$201,1,$H$2:$H$201,"&gt;"&amp;H196,$H$2:$H$201,"&lt;"&amp;(Config!$B$6+1))+COUNTIFS($AW$2:$AW$201,AW196,$CS$2:$CS$201,1,$H$2:$H$201,H196,$AX$2:$AX$201,"&gt;"&amp;AX196)=0,1,0),0)</f>
        <v>0</v>
      </c>
      <c r="CW196" s="23" t="n">
        <f aca="false">IF(AND(CS196=1,INT(N(H196))&lt;=Config!$B$7),IF(COUNTIFS($AW$2:$AW$201,AW196,$CS$2:$CS$201,1,$H$2:$H$201,"&gt;"&amp;H196,$H$2:$H$201,"&lt;"&amp;(Config!$B$7+1))+COUNTIFS($AW$2:$AW$201,AW196,$CS$2:$CS$201,1,$H$2:$H$201,H196,$AX$2:$AX$201,"&gt;"&amp;AX196)=0,1,0),0)</f>
        <v>0</v>
      </c>
      <c r="CX196" s="23" t="n">
        <f aca="false">IF(AND(CS196=1,INT(N(H196))&lt;=Config!$B$8),IF(COUNTIFS($AW$2:$AW$201,AW196,$CS$2:$CS$201,1,$H$2:$H$201,"&gt;"&amp;H196,$H$2:$H$201,"&lt;"&amp;(Config!$B$8+1))+COUNTIFS($AW$2:$AW$201,AW196,$CS$2:$CS$201,1,$H$2:$H$201,H196,$AX$2:$AX$201,"&gt;"&amp;AX196)=0,1,0),0)</f>
        <v>0</v>
      </c>
      <c r="CY196" s="23" t="n">
        <f aca="false">IF(AND(CS196=1,INT(N(H196))&lt;=Config!$B$5),IF(COUNTIFS($AW$2:$AW$201,AW196,$CS$2:$CS$201,1,$H$2:$H$201,"&gt;"&amp;H196,$H$2:$H$201,"&lt;"&amp;(Config!$B$5+1))+COUNTIFS($AW$2:$AW$201,AW196,$CS$2:$CS$201,1,$H$2:$H$201,H196,$AX$2:$AX$201,"&gt;"&amp;AX196)=0,1,0),0)</f>
        <v>0</v>
      </c>
      <c r="CZ196" s="23" t="n">
        <f aca="false">IF(AY196=1,IF(COUNTIFS($AW$2:$AW$201,AW196,$CV$2:$CV$201,1,$BB$2:$BB$201,1)&gt;0,1,0),0)</f>
        <v>0</v>
      </c>
      <c r="DA196" s="23" t="n">
        <f aca="false">IF(AY196=1,IF(COUNTIFS($AW$2:$AW$201,AW196,$CW$2:$CW$201,1,$BB$2:$BB$201,1)&gt;0,1,0),0)</f>
        <v>0</v>
      </c>
      <c r="DB196" s="23" t="n">
        <f aca="false">IF(AY196=1,IF(COUNTIFS($AW$2:$AW$201,AW196,$CX$2:$CX$201,1,$BB$2:$BB$201,1)&gt;0,1,0),0)</f>
        <v>0</v>
      </c>
      <c r="DC196" s="23" t="n">
        <f aca="false">IF(AY196=1,IF(COUNTIFS($AW$2:$AW$201,AW196,$CY$2:$CY$201,1,$BB$2:$BB$201,1)&gt;0,1,0),0)</f>
        <v>0</v>
      </c>
      <c r="DD196" s="23" t="n">
        <f aca="false">IF(AND(BC196=1,INT(N(H196))&lt;=Config!$B$6,CZ196=1),1,0)</f>
        <v>0</v>
      </c>
      <c r="DE196" s="23" t="n">
        <f aca="false">IF(AND(BC196=1,INT(N(H196))&lt;=Config!$B$7,DA196=1),1,0)</f>
        <v>0</v>
      </c>
      <c r="DF196" s="23" t="n">
        <f aca="false">IF(AND(BC196=1,INT(N(H196))&lt;=Config!$B$8,DB196=1),1,0)</f>
        <v>0</v>
      </c>
      <c r="DG196" s="23" t="n">
        <f aca="false">IF(AND(BC196=1,INT(N(H196))&lt;=Config!$B$5,DC196=1),1,0)</f>
        <v>0</v>
      </c>
      <c r="DH196" s="23" t="n">
        <f aca="false">IF(AND(BE196=1,INT(N(H196))&lt;=Config!$B$6,CZ196=1),1,0)</f>
        <v>0</v>
      </c>
      <c r="DI196" s="23" t="n">
        <f aca="false">IF(AND(BE196=1,INT(N(H196))&lt;=Config!$B$7,DA196=1),1,0)</f>
        <v>0</v>
      </c>
      <c r="DJ196" s="23" t="n">
        <f aca="false">IF(AND(BE196=1,INT(N(H196))&lt;=Config!$B$8,DB196=1),1,0)</f>
        <v>0</v>
      </c>
      <c r="DK196" s="23" t="n">
        <f aca="false">IF(AND(BE196=1,INT(N(H196))&lt;=Config!$B$5,DC196=1),1,0)</f>
        <v>0</v>
      </c>
      <c r="DL196" s="23" t="n">
        <f aca="false">IF(AND(BC196=1,INT(N(H196))&lt;=Config!$B$6,CZ196=0),1,0)</f>
        <v>0</v>
      </c>
      <c r="DM196" s="23" t="n">
        <f aca="false">IF(AND(BC196=1,INT(N(H196))&lt;=Config!$B$7,DA196=0),1,0)</f>
        <v>0</v>
      </c>
      <c r="DN196" s="23" t="n">
        <f aca="false">IF(AND(BC196=1,INT(N(H196))&lt;=Config!$B$8,DB196=0),1,0)</f>
        <v>0</v>
      </c>
      <c r="DO196" s="23" t="n">
        <f aca="false">IF(AND(BC196=1,INT(N(H196))&lt;=Config!$B$5,DC196=0),1,0)</f>
        <v>0</v>
      </c>
      <c r="DP196" s="23" t="n">
        <f aca="false">IF(TRIM($A196)="",0,ISTEXT(K196)+ISTEXT(L196)+ISTEXT(R196)+ISTEXT(V196)+ISTEXT(AP196)+ISTEXT(AS196))</f>
        <v>0</v>
      </c>
      <c r="DQ196" s="23" t="n">
        <f aca="false">IF(AY196=1,IF(H196&lt;&gt;INT(H196),1,0),0)</f>
        <v>0</v>
      </c>
      <c r="DR196" s="23" t="str">
        <f aca="false">IF(TRIM($A196)="","",IF(TRIM(B196)="",SUBSTITUTE(SUBSTITUTE(SUBSTITUTE(SUBSTITUTE(SUBSTITUTE(SUBSTITUTE(LOWER(TRIM($A196)),"~",""),"*",""),"?",""),"&lt;",""),"&gt;",""),"=",""),SUBSTITUTE(SUBSTITUTE(SUBSTITUTE(SUBSTITUTE(SUBSTITUTE(SUBSTITUTE(LOWER(TRIM(B196)),"~",""),"*",""),"?",""),"&lt;",""),"&gt;",""),"=","")))</f>
        <v/>
      </c>
      <c r="DS196" s="23" t="str">
        <f aca="false">IF(CM196="","",IFERROR(IF(LEFT(LOWER(TRIM(INDEX(Clay_Brands!$A$2:$FZ$601,CM196,Sync!$D$19)&amp;"")),4)="grp-",SUBSTITUTE(SUBSTITUTE(SUBSTITUTE(SUBSTITUTE(SUBSTITUTE(SUBSTITUTE(LOWER(TRIM(INDEX(Clay_Brands!$A$2:$FZ$601,CM196,Sync!$D$19)&amp;"")),"~",""),"*",""),"?",""),"&lt;",""),"&gt;",""),"=",""),""),""))</f>
        <v/>
      </c>
      <c r="DT196" s="23" t="str">
        <f aca="false">IF(DS196&lt;&gt;"",DR196,"")</f>
        <v/>
      </c>
      <c r="DU196" s="23" t="str">
        <f aca="false">IF(AZ196=1,AW196,"")</f>
        <v/>
      </c>
      <c r="DV196" s="23" t="str">
        <f aca="false">IF(TRIM($A196)="","",IFERROR(INDEX($A$2:$A$201,MATCH(AW196,$DU$2:$DU$201,0))&amp;"",$A196&amp;""))</f>
        <v/>
      </c>
      <c r="DW196" s="23" t="n">
        <f aca="false">IF(AY196=1,IF(COUNTIFS($A$2:$A$201,$A196,$AY$2:$AY$201,1,$H$2:$H$201,"&lt;"&amp;H196)+COUNTIFS($A$2:$A$201,$A196,$AY$2:$AY$201,1,$H$2:$H$201,H196,$AX$2:$AX$201,"&lt;"&amp;AX196)=0,1,0),0)</f>
        <v>0</v>
      </c>
      <c r="DX196" s="23" t="n">
        <f aca="false">IF(AZ196=1,IF(COUNTIFS($AW$2:$AW$201,AW196,$DW$2:$DW$201,1)&gt;1,1,0),0)</f>
        <v>0</v>
      </c>
    </row>
    <row r="197" customFormat="false" ht="15" hidden="false" customHeight="false" outlineLevel="0" collapsed="false">
      <c r="G197" s="32"/>
      <c r="H197" s="33"/>
      <c r="I197" s="32"/>
      <c r="O197" s="32"/>
      <c r="P197" s="32"/>
      <c r="U197" s="32"/>
      <c r="Y197" s="32"/>
      <c r="AB197" s="32"/>
      <c r="AC197" s="32"/>
      <c r="AD197" s="32"/>
      <c r="AE197" s="32"/>
      <c r="AF197" s="32"/>
      <c r="AG197" s="32"/>
      <c r="AI197" s="32"/>
      <c r="AJ197" s="32"/>
      <c r="AK197" s="32"/>
      <c r="AN197" s="32"/>
      <c r="AO197" s="32"/>
      <c r="AR197" s="32"/>
      <c r="AT197" s="32"/>
      <c r="AV197" s="34" t="str">
        <f aca="false">IF(TRIM($A197)="","",IF(AND(LEFT($A197,6)="SAMPLE",Config!$B$19&lt;&gt;"Y"),"",IF(NOT(ISNUMBER(H197)),"call_date is blank or not a date",IF(Sync!$D$5="","Clay paste is empty or has no row_id column: paste the Clay export on Clay_Brands",IF(CM197="","row_id not found in the Clay paste: add the Clay row or fix the row_id",IF(AND(ISNUMBER(CO197),CO197&gt;=1,CO197&lt;=5),"Clay status is "&amp;CN197&amp;": set call_done or later",IF(AND(BA197=1,CP197&lt;&gt;CB197),"Clay yes_in_principle should be "&amp;CB197,IF(AND(BA197=1,CQ197&lt;&gt;H197),"Clay call_date should be "&amp;TEXT(H197,"yyyy-mm-dd"),""))))))))</f>
        <v/>
      </c>
      <c r="AW197" s="23" t="str">
        <f aca="false">IF(TRIM($A197)="","",IF(TRIM(C197)&lt;&gt;"",SUBSTITUTE(SUBSTITUTE(SUBSTITUTE(SUBSTITUTE(SUBSTITUTE(SUBSTITUTE(LOWER(TRIM(C197)),"~",""),"*",""),"?",""),"&lt;",""),"&gt;",""),"=",""),IF(DS197&lt;&gt;"",DS197,IFERROR(INDEX($DS$2:$DS$201,MATCH(DR197,$DT$2:$DT$201,0)),DR197))))</f>
        <v/>
      </c>
      <c r="AX197" s="23" t="n">
        <f aca="false">ROW()</f>
        <v>197</v>
      </c>
      <c r="AY197" s="23" t="n">
        <f aca="false">IF(AND(TRIM($A197)&lt;&gt;"",ISNUMBER(H197)),IF(AND(LEFT($A197,6)="SAMPLE",Config!$B$19&lt;&gt;"Y"),0,1),0)</f>
        <v>0</v>
      </c>
      <c r="AZ197" s="23" t="n">
        <f aca="false">IF(AY197=1,IF(COUNTIFS($AW$2:$AW$201,AW197,$AY$2:$AY$201,1,$H$2:$H$201,"&lt;"&amp;H197)+COUNTIFS($AW$2:$AW$201,AW197,$AY$2:$AY$201,1,$H$2:$H$201,H197,$AX$2:$AX$201,"&lt;"&amp;AX197)=0,1,0),0)</f>
        <v>0</v>
      </c>
      <c r="BA197" s="23" t="n">
        <f aca="false">IF(AY197=1,IF(COUNTIFS($A$2:$A$201,$A197,$AY$2:$AY$201,1,$H$2:$H$201,"&gt;"&amp;H197)+COUNTIFS($A$2:$A$201,$A197,$AY$2:$AY$201,1,$H$2:$H$201,H197,$AX$2:$AX$201,"&gt;"&amp;AX197)=0,1,0),0)</f>
        <v>0</v>
      </c>
      <c r="BB197" s="23" t="n">
        <f aca="false">IF(AND(AY197=1,O197="Y",MAX(N(R197),N(V197))&gt;=Config!$B$14),1,0)</f>
        <v>0</v>
      </c>
      <c r="BC197" s="23" t="n">
        <f aca="false">IF(BB197=1,IF(COUNTIFS($AW$2:$AW$201,AW197,$BB$2:$BB$201,1,$H$2:$H$201,"&lt;"&amp;H197)+COUNTIFS($AW$2:$AW$201,AW197,$BB$2:$BB$201,1,$H$2:$H$201,H197,$AX$2:$AX$201,"&lt;"&amp;AX197)=0,1,0),0)</f>
        <v>0</v>
      </c>
      <c r="BD197" s="23" t="n">
        <f aca="false">IF(AND(AY197=1,O197="Y",ISNUMBER(R197)),IF(R197&gt;=Config!$B$14,1,0),0)</f>
        <v>0</v>
      </c>
      <c r="BE197" s="23" t="n">
        <f aca="false">IF(BD197=1,IF(COUNTIFS($AW$2:$AW$201,AW197,$BD$2:$BD$201,1,$H$2:$H$201,"&lt;"&amp;H197)+COUNTIFS($AW$2:$AW$201,AW197,$BD$2:$BD$201,1,$H$2:$H$201,H197,$AX$2:$AX$201,"&lt;"&amp;AX197)=0,1,0),0)</f>
        <v>0</v>
      </c>
      <c r="BF197" s="23" t="n">
        <f aca="false">IF(AND(AY197=1,O197&lt;&gt;"Y",MAX(N(R197),N(V197))&gt;=Config!$B$14),1,0)</f>
        <v>0</v>
      </c>
      <c r="BG197" s="23" t="n">
        <f aca="false">IF(BF197=1,IF(COUNTIFS($AW$2:$AW$201,AW197,$BF$2:$BF$201,1,$H$2:$H$201,"&lt;"&amp;H197)+COUNTIFS($AW$2:$AW$201,AW197,$BF$2:$BF$201,1,$H$2:$H$201,H197,$AX$2:$AX$201,"&lt;"&amp;AX197)=0,1,0),0)</f>
        <v>0</v>
      </c>
      <c r="BH197" s="23" t="n">
        <f aca="false">IF(AND(AY197=1,ISNUMBER(R197)),1,0)</f>
        <v>0</v>
      </c>
      <c r="BI197" s="23" t="n">
        <f aca="false">IF(BH197=1,IF(COUNTIFS($AW$2:$AW$201,AW197,$BH$2:$BH$201,1,$H$2:$H$201,"&lt;"&amp;H197)+COUNTIFS($AW$2:$AW$201,AW197,$BH$2:$BH$201,1,$H$2:$H$201,H197,$AX$2:$AX$201,"&lt;"&amp;AX197)=0,1,0),0)</f>
        <v>0</v>
      </c>
      <c r="BJ197" s="23" t="str">
        <f aca="false">IF(AND(BI197=1,INT(N(H197))&lt;=Config!$B$6),R197,"")</f>
        <v/>
      </c>
      <c r="BK197" s="23" t="str">
        <f aca="false">IF(AND(BI197=1,INT(N(H197))&lt;=Config!$B$7),R197,"")</f>
        <v/>
      </c>
      <c r="BL197" s="23" t="str">
        <f aca="false">IF(AND(BI197=1,INT(N(H197))&lt;=Config!$B$8),R197,"")</f>
        <v/>
      </c>
      <c r="BM197" s="23" t="str">
        <f aca="false">IF(AND(BI197=1,INT(N(H197))&lt;=Config!$B$5),R197,"")</f>
        <v/>
      </c>
      <c r="BN197" s="23" t="n">
        <f aca="false">IF(AND(AY197=1,ISNUMBER(V197)),1,0)</f>
        <v>0</v>
      </c>
      <c r="BO197" s="23" t="n">
        <f aca="false">IF(BN197=1,IF(COUNTIFS($AW$2:$AW$201,AW197,$BN$2:$BN$201,1,$H$2:$H$201,"&lt;"&amp;H197)+COUNTIFS($AW$2:$AW$201,AW197,$BN$2:$BN$201,1,$H$2:$H$201,H197,$AX$2:$AX$201,"&lt;"&amp;AX197)=0,1,0),0)</f>
        <v>0</v>
      </c>
      <c r="BP197" s="23" t="str">
        <f aca="false">IF(AND(BO197=1,INT(N(H197))&lt;=Config!$B$6),V197,"")</f>
        <v/>
      </c>
      <c r="BQ197" s="23" t="str">
        <f aca="false">IF(AND(BO197=1,INT(N(H197))&lt;=Config!$B$7),V197,"")</f>
        <v/>
      </c>
      <c r="BR197" s="23" t="str">
        <f aca="false">IF(AND(BO197=1,INT(N(H197))&lt;=Config!$B$8),V197,"")</f>
        <v/>
      </c>
      <c r="BS197" s="23" t="str">
        <f aca="false">IF(AND(BO197=1,INT(N(H197))&lt;=Config!$B$5),V197,"")</f>
        <v/>
      </c>
      <c r="BT197" s="23" t="n">
        <f aca="false">IF(AND(AY197=1,ISNUMBER(K197)),1,0)</f>
        <v>0</v>
      </c>
      <c r="BU197" s="23" t="n">
        <f aca="false">IF(BT197=1,IF(COUNTIFS($AW$2:$AW$201,AW197,$BT$2:$BT$201,1,$H$2:$H$201,"&lt;"&amp;H197)+COUNTIFS($AW$2:$AW$201,AW197,$BT$2:$BT$201,1,$H$2:$H$201,H197,$AX$2:$AX$201,"&lt;"&amp;AX197)=0,1,0),0)</f>
        <v>0</v>
      </c>
      <c r="BV197" s="23" t="str">
        <f aca="false">IF(AND(BU197=1,INT(N(H197))&lt;=Config!$B$5),K197,"")</f>
        <v/>
      </c>
      <c r="BW197" s="23" t="n">
        <f aca="false">IF(AND(AY197=1,OR(AND(ISNUMBER(R197),TRIM(S197)=""),AND(ISNUMBER(V197),TRIM(W197)=""))),1,0)</f>
        <v>0</v>
      </c>
      <c r="BX197" s="23" t="str">
        <f aca="false">IF(AY197=1,AJ197&amp;"","")</f>
        <v/>
      </c>
      <c r="BY197" s="23" t="str">
        <f aca="false">IF(AY197=1,AK197&amp;"","")</f>
        <v/>
      </c>
      <c r="BZ197" s="23" t="str">
        <f aca="false">IF(AY197=1,AL197&amp;"","")</f>
        <v/>
      </c>
      <c r="CA197" s="23" t="str">
        <f aca="false">IF(AND(AY197=1,ISNUMBER(AS197),INT(N(H197))&lt;=Config!$B$5),AS197,"")</f>
        <v/>
      </c>
      <c r="CB197" s="23" t="str">
        <f aca="false">IF(AY197=1,IF(COUNTIFS($A$2:$A$201,$A197,$CU$2:$CU$201,1,$AN$2:$AN$201,"Y")&gt;0,"Y","N"),"")</f>
        <v/>
      </c>
      <c r="CC197" s="23" t="n">
        <f aca="false">IF(AND(AY197=1,AN197="Y"),IF(COUNTIFS($AW$2:$AW$201,AW197,$AN$2:$AN$201,"Y",$AY$2:$AY$201,1,$H$2:$H$201,"&lt;"&amp;H197)+COUNTIFS($AW$2:$AW$201,AW197,$AN$2:$AN$201,"Y",$AY$2:$AY$201,1,$H$2:$H$201,H197,$AX$2:$AX$201,"&lt;"&amp;AX197)=0,1,0),0)</f>
        <v>0</v>
      </c>
      <c r="CD197" s="23" t="n">
        <f aca="false">IF(AND(AY197=1,AB197="Y",AC197="Y",AD197="Y",AE197="Y",AF197="Y",AG197="Y",AI197="Y",TRIM(AH197)&lt;&gt;""),1,0)</f>
        <v>0</v>
      </c>
      <c r="CE197" s="23" t="n">
        <f aca="false">IF(CD197=1,IF(COUNTIFS($AW$2:$AW$201,AW197,$CD$2:$CD$201,1,$H$2:$H$201,"&lt;"&amp;H197)+COUNTIFS($AW$2:$AW$201,AW197,$CD$2:$CD$201,1,$H$2:$H$201,H197,$AX$2:$AX$201,"&lt;"&amp;AX197)=0,1,0),0)</f>
        <v>0</v>
      </c>
      <c r="CF197" s="23" t="n">
        <f aca="false">IF(AND(AY197=1,AO197="Y"),1,0)</f>
        <v>0</v>
      </c>
      <c r="CG197" s="23" t="n">
        <f aca="false">IF(CF197=1,IF(COUNTIFS($AW$2:$AW$201,AW197,$CF$2:$CF$201,1,$H$2:$H$201,"&lt;"&amp;H197)+COUNTIFS($AW$2:$AW$201,AW197,$CF$2:$CF$201,1,$H$2:$H$201,H197,$AX$2:$AX$201,"&lt;"&amp;AX197)=0,1,0),0)</f>
        <v>0</v>
      </c>
      <c r="CH197" s="23" t="n">
        <f aca="false">IF(AND(AY197=1,P197="Y"),1,0)</f>
        <v>0</v>
      </c>
      <c r="CI197" s="23" t="n">
        <f aca="false">IF(CH197=1,IF(COUNTIFS($AW$2:$AW$201,AW197,$CH$2:$CH$201,1,$H$2:$H$201,"&lt;"&amp;H197)+COUNTIFS($AW$2:$AW$201,AW197,$CH$2:$CH$201,1,$H$2:$H$201,H197,$AX$2:$AX$201,"&lt;"&amp;AX197)=0,1,0),0)</f>
        <v>0</v>
      </c>
      <c r="CJ197" s="23" t="str">
        <f aca="false">IF(AND(BU197=1,INT(N(H197))&lt;=Config!$B$5),L197,"")</f>
        <v/>
      </c>
      <c r="CK197" s="23" t="n">
        <f aca="false">IF(AND(AY197=1,AR197="Y"),1,0)</f>
        <v>0</v>
      </c>
      <c r="CL197" s="23" t="n">
        <f aca="false">IF(CK197=1,IF(COUNTIFS($AW$2:$AW$201,AW197,$CK$2:$CK$201,1,$H$2:$H$201,"&lt;"&amp;H197)+COUNTIFS($AW$2:$AW$201,AW197,$CK$2:$CK$201,1,$H$2:$H$201,H197,$AX$2:$AX$201,"&lt;"&amp;AX197)=0,1,0),0)</f>
        <v>0</v>
      </c>
      <c r="CM197" s="23" t="str">
        <f aca="false">IF(AY197=1,IFERROR(MATCH($A197,INDEX(Clay_Brands!$A$2:$FZ$601,0,Sync!$D$5),0),""),"")</f>
        <v/>
      </c>
      <c r="CN197" s="23" t="str">
        <f aca="false">IF(CM197="","",IFERROR(INDEX(Clay_Brands!$A$2:$FZ$601,CM197,Sync!$D$7)&amp;"",""))</f>
        <v/>
      </c>
      <c r="CO197" s="23" t="str">
        <f aca="false">IF(CN197="","",IFERROR(INDEX(Lists!$K$2:$K$15,MATCH(CN197,Lists!$J$2:$J$15,0)),""))</f>
        <v/>
      </c>
      <c r="CP197" s="23" t="str">
        <f aca="false">IF(CM197="","",IFERROR(INDEX(Clay_Brands!$A$2:$FZ$601,CM197,Sync!$D$17)&amp;"",""))</f>
        <v/>
      </c>
      <c r="CQ197" s="35" t="str">
        <f aca="false">IF(CM197="","",IFERROR(N(INDEX(Clay_Brands!$A$2:$FZ$601,CM197,Sync!$D$16)),0))</f>
        <v/>
      </c>
      <c r="CR197" s="23" t="n">
        <f aca="false">IF(AND(AY197=1,OR(O197="N",AND(OR(ISNUMBER(R197),ISNUMBER(V197)),MAX(N(R197),N(V197))&lt;Config!$B$14))),1,0)</f>
        <v>0</v>
      </c>
      <c r="CS197" s="23" t="n">
        <f aca="false">IF(OR(BB197=1,CR197=1),1,0)</f>
        <v>0</v>
      </c>
      <c r="CT197" s="23" t="n">
        <f aca="false">IF(AND(AY197=1,OR(AN197="Y",AN197="N",AN197="maybe")),1,0)</f>
        <v>0</v>
      </c>
      <c r="CU197" s="23" t="n">
        <f aca="false">IF(AND(CT197=1),IF(COUNTIFS($A$2:$A$201,$A197,$CT$2:$CT$201,1,$H$2:$H$201,"&gt;"&amp;H197)+COUNTIFS($A$2:$A$201,$A197,$CT$2:$CT$201,1,$H$2:$H$201,H197,$AX$2:$AX$201,"&gt;"&amp;AX197)=0,1,0),0)</f>
        <v>0</v>
      </c>
      <c r="CV197" s="23" t="n">
        <f aca="false">IF(AND(CS197=1,INT(N(H197))&lt;=Config!$B$6),IF(COUNTIFS($AW$2:$AW$201,AW197,$CS$2:$CS$201,1,$H$2:$H$201,"&gt;"&amp;H197,$H$2:$H$201,"&lt;"&amp;(Config!$B$6+1))+COUNTIFS($AW$2:$AW$201,AW197,$CS$2:$CS$201,1,$H$2:$H$201,H197,$AX$2:$AX$201,"&gt;"&amp;AX197)=0,1,0),0)</f>
        <v>0</v>
      </c>
      <c r="CW197" s="23" t="n">
        <f aca="false">IF(AND(CS197=1,INT(N(H197))&lt;=Config!$B$7),IF(COUNTIFS($AW$2:$AW$201,AW197,$CS$2:$CS$201,1,$H$2:$H$201,"&gt;"&amp;H197,$H$2:$H$201,"&lt;"&amp;(Config!$B$7+1))+COUNTIFS($AW$2:$AW$201,AW197,$CS$2:$CS$201,1,$H$2:$H$201,H197,$AX$2:$AX$201,"&gt;"&amp;AX197)=0,1,0),0)</f>
        <v>0</v>
      </c>
      <c r="CX197" s="23" t="n">
        <f aca="false">IF(AND(CS197=1,INT(N(H197))&lt;=Config!$B$8),IF(COUNTIFS($AW$2:$AW$201,AW197,$CS$2:$CS$201,1,$H$2:$H$201,"&gt;"&amp;H197,$H$2:$H$201,"&lt;"&amp;(Config!$B$8+1))+COUNTIFS($AW$2:$AW$201,AW197,$CS$2:$CS$201,1,$H$2:$H$201,H197,$AX$2:$AX$201,"&gt;"&amp;AX197)=0,1,0),0)</f>
        <v>0</v>
      </c>
      <c r="CY197" s="23" t="n">
        <f aca="false">IF(AND(CS197=1,INT(N(H197))&lt;=Config!$B$5),IF(COUNTIFS($AW$2:$AW$201,AW197,$CS$2:$CS$201,1,$H$2:$H$201,"&gt;"&amp;H197,$H$2:$H$201,"&lt;"&amp;(Config!$B$5+1))+COUNTIFS($AW$2:$AW$201,AW197,$CS$2:$CS$201,1,$H$2:$H$201,H197,$AX$2:$AX$201,"&gt;"&amp;AX197)=0,1,0),0)</f>
        <v>0</v>
      </c>
      <c r="CZ197" s="23" t="n">
        <f aca="false">IF(AY197=1,IF(COUNTIFS($AW$2:$AW$201,AW197,$CV$2:$CV$201,1,$BB$2:$BB$201,1)&gt;0,1,0),0)</f>
        <v>0</v>
      </c>
      <c r="DA197" s="23" t="n">
        <f aca="false">IF(AY197=1,IF(COUNTIFS($AW$2:$AW$201,AW197,$CW$2:$CW$201,1,$BB$2:$BB$201,1)&gt;0,1,0),0)</f>
        <v>0</v>
      </c>
      <c r="DB197" s="23" t="n">
        <f aca="false">IF(AY197=1,IF(COUNTIFS($AW$2:$AW$201,AW197,$CX$2:$CX$201,1,$BB$2:$BB$201,1)&gt;0,1,0),0)</f>
        <v>0</v>
      </c>
      <c r="DC197" s="23" t="n">
        <f aca="false">IF(AY197=1,IF(COUNTIFS($AW$2:$AW$201,AW197,$CY$2:$CY$201,1,$BB$2:$BB$201,1)&gt;0,1,0),0)</f>
        <v>0</v>
      </c>
      <c r="DD197" s="23" t="n">
        <f aca="false">IF(AND(BC197=1,INT(N(H197))&lt;=Config!$B$6,CZ197=1),1,0)</f>
        <v>0</v>
      </c>
      <c r="DE197" s="23" t="n">
        <f aca="false">IF(AND(BC197=1,INT(N(H197))&lt;=Config!$B$7,DA197=1),1,0)</f>
        <v>0</v>
      </c>
      <c r="DF197" s="23" t="n">
        <f aca="false">IF(AND(BC197=1,INT(N(H197))&lt;=Config!$B$8,DB197=1),1,0)</f>
        <v>0</v>
      </c>
      <c r="DG197" s="23" t="n">
        <f aca="false">IF(AND(BC197=1,INT(N(H197))&lt;=Config!$B$5,DC197=1),1,0)</f>
        <v>0</v>
      </c>
      <c r="DH197" s="23" t="n">
        <f aca="false">IF(AND(BE197=1,INT(N(H197))&lt;=Config!$B$6,CZ197=1),1,0)</f>
        <v>0</v>
      </c>
      <c r="DI197" s="23" t="n">
        <f aca="false">IF(AND(BE197=1,INT(N(H197))&lt;=Config!$B$7,DA197=1),1,0)</f>
        <v>0</v>
      </c>
      <c r="DJ197" s="23" t="n">
        <f aca="false">IF(AND(BE197=1,INT(N(H197))&lt;=Config!$B$8,DB197=1),1,0)</f>
        <v>0</v>
      </c>
      <c r="DK197" s="23" t="n">
        <f aca="false">IF(AND(BE197=1,INT(N(H197))&lt;=Config!$B$5,DC197=1),1,0)</f>
        <v>0</v>
      </c>
      <c r="DL197" s="23" t="n">
        <f aca="false">IF(AND(BC197=1,INT(N(H197))&lt;=Config!$B$6,CZ197=0),1,0)</f>
        <v>0</v>
      </c>
      <c r="DM197" s="23" t="n">
        <f aca="false">IF(AND(BC197=1,INT(N(H197))&lt;=Config!$B$7,DA197=0),1,0)</f>
        <v>0</v>
      </c>
      <c r="DN197" s="23" t="n">
        <f aca="false">IF(AND(BC197=1,INT(N(H197))&lt;=Config!$B$8,DB197=0),1,0)</f>
        <v>0</v>
      </c>
      <c r="DO197" s="23" t="n">
        <f aca="false">IF(AND(BC197=1,INT(N(H197))&lt;=Config!$B$5,DC197=0),1,0)</f>
        <v>0</v>
      </c>
      <c r="DP197" s="23" t="n">
        <f aca="false">IF(TRIM($A197)="",0,ISTEXT(K197)+ISTEXT(L197)+ISTEXT(R197)+ISTEXT(V197)+ISTEXT(AP197)+ISTEXT(AS197))</f>
        <v>0</v>
      </c>
      <c r="DQ197" s="23" t="n">
        <f aca="false">IF(AY197=1,IF(H197&lt;&gt;INT(H197),1,0),0)</f>
        <v>0</v>
      </c>
      <c r="DR197" s="23" t="str">
        <f aca="false">IF(TRIM($A197)="","",IF(TRIM(B197)="",SUBSTITUTE(SUBSTITUTE(SUBSTITUTE(SUBSTITUTE(SUBSTITUTE(SUBSTITUTE(LOWER(TRIM($A197)),"~",""),"*",""),"?",""),"&lt;",""),"&gt;",""),"=",""),SUBSTITUTE(SUBSTITUTE(SUBSTITUTE(SUBSTITUTE(SUBSTITUTE(SUBSTITUTE(LOWER(TRIM(B197)),"~",""),"*",""),"?",""),"&lt;",""),"&gt;",""),"=","")))</f>
        <v/>
      </c>
      <c r="DS197" s="23" t="str">
        <f aca="false">IF(CM197="","",IFERROR(IF(LEFT(LOWER(TRIM(INDEX(Clay_Brands!$A$2:$FZ$601,CM197,Sync!$D$19)&amp;"")),4)="grp-",SUBSTITUTE(SUBSTITUTE(SUBSTITUTE(SUBSTITUTE(SUBSTITUTE(SUBSTITUTE(LOWER(TRIM(INDEX(Clay_Brands!$A$2:$FZ$601,CM197,Sync!$D$19)&amp;"")),"~",""),"*",""),"?",""),"&lt;",""),"&gt;",""),"=",""),""),""))</f>
        <v/>
      </c>
      <c r="DT197" s="23" t="str">
        <f aca="false">IF(DS197&lt;&gt;"",DR197,"")</f>
        <v/>
      </c>
      <c r="DU197" s="23" t="str">
        <f aca="false">IF(AZ197=1,AW197,"")</f>
        <v/>
      </c>
      <c r="DV197" s="23" t="str">
        <f aca="false">IF(TRIM($A197)="","",IFERROR(INDEX($A$2:$A$201,MATCH(AW197,$DU$2:$DU$201,0))&amp;"",$A197&amp;""))</f>
        <v/>
      </c>
      <c r="DW197" s="23" t="n">
        <f aca="false">IF(AY197=1,IF(COUNTIFS($A$2:$A$201,$A197,$AY$2:$AY$201,1,$H$2:$H$201,"&lt;"&amp;H197)+COUNTIFS($A$2:$A$201,$A197,$AY$2:$AY$201,1,$H$2:$H$201,H197,$AX$2:$AX$201,"&lt;"&amp;AX197)=0,1,0),0)</f>
        <v>0</v>
      </c>
      <c r="DX197" s="23" t="n">
        <f aca="false">IF(AZ197=1,IF(COUNTIFS($AW$2:$AW$201,AW197,$DW$2:$DW$201,1)&gt;1,1,0),0)</f>
        <v>0</v>
      </c>
    </row>
    <row r="198" customFormat="false" ht="15" hidden="false" customHeight="false" outlineLevel="0" collapsed="false">
      <c r="G198" s="32"/>
      <c r="H198" s="33"/>
      <c r="I198" s="32"/>
      <c r="O198" s="32"/>
      <c r="P198" s="32"/>
      <c r="U198" s="32"/>
      <c r="Y198" s="32"/>
      <c r="AB198" s="32"/>
      <c r="AC198" s="32"/>
      <c r="AD198" s="32"/>
      <c r="AE198" s="32"/>
      <c r="AF198" s="32"/>
      <c r="AG198" s="32"/>
      <c r="AI198" s="32"/>
      <c r="AJ198" s="32"/>
      <c r="AK198" s="32"/>
      <c r="AN198" s="32"/>
      <c r="AO198" s="32"/>
      <c r="AR198" s="32"/>
      <c r="AT198" s="32"/>
      <c r="AV198" s="34" t="str">
        <f aca="false">IF(TRIM($A198)="","",IF(AND(LEFT($A198,6)="SAMPLE",Config!$B$19&lt;&gt;"Y"),"",IF(NOT(ISNUMBER(H198)),"call_date is blank or not a date",IF(Sync!$D$5="","Clay paste is empty or has no row_id column: paste the Clay export on Clay_Brands",IF(CM198="","row_id not found in the Clay paste: add the Clay row or fix the row_id",IF(AND(ISNUMBER(CO198),CO198&gt;=1,CO198&lt;=5),"Clay status is "&amp;CN198&amp;": set call_done or later",IF(AND(BA198=1,CP198&lt;&gt;CB198),"Clay yes_in_principle should be "&amp;CB198,IF(AND(BA198=1,CQ198&lt;&gt;H198),"Clay call_date should be "&amp;TEXT(H198,"yyyy-mm-dd"),""))))))))</f>
        <v/>
      </c>
      <c r="AW198" s="23" t="str">
        <f aca="false">IF(TRIM($A198)="","",IF(TRIM(C198)&lt;&gt;"",SUBSTITUTE(SUBSTITUTE(SUBSTITUTE(SUBSTITUTE(SUBSTITUTE(SUBSTITUTE(LOWER(TRIM(C198)),"~",""),"*",""),"?",""),"&lt;",""),"&gt;",""),"=",""),IF(DS198&lt;&gt;"",DS198,IFERROR(INDEX($DS$2:$DS$201,MATCH(DR198,$DT$2:$DT$201,0)),DR198))))</f>
        <v/>
      </c>
      <c r="AX198" s="23" t="n">
        <f aca="false">ROW()</f>
        <v>198</v>
      </c>
      <c r="AY198" s="23" t="n">
        <f aca="false">IF(AND(TRIM($A198)&lt;&gt;"",ISNUMBER(H198)),IF(AND(LEFT($A198,6)="SAMPLE",Config!$B$19&lt;&gt;"Y"),0,1),0)</f>
        <v>0</v>
      </c>
      <c r="AZ198" s="23" t="n">
        <f aca="false">IF(AY198=1,IF(COUNTIFS($AW$2:$AW$201,AW198,$AY$2:$AY$201,1,$H$2:$H$201,"&lt;"&amp;H198)+COUNTIFS($AW$2:$AW$201,AW198,$AY$2:$AY$201,1,$H$2:$H$201,H198,$AX$2:$AX$201,"&lt;"&amp;AX198)=0,1,0),0)</f>
        <v>0</v>
      </c>
      <c r="BA198" s="23" t="n">
        <f aca="false">IF(AY198=1,IF(COUNTIFS($A$2:$A$201,$A198,$AY$2:$AY$201,1,$H$2:$H$201,"&gt;"&amp;H198)+COUNTIFS($A$2:$A$201,$A198,$AY$2:$AY$201,1,$H$2:$H$201,H198,$AX$2:$AX$201,"&gt;"&amp;AX198)=0,1,0),0)</f>
        <v>0</v>
      </c>
      <c r="BB198" s="23" t="n">
        <f aca="false">IF(AND(AY198=1,O198="Y",MAX(N(R198),N(V198))&gt;=Config!$B$14),1,0)</f>
        <v>0</v>
      </c>
      <c r="BC198" s="23" t="n">
        <f aca="false">IF(BB198=1,IF(COUNTIFS($AW$2:$AW$201,AW198,$BB$2:$BB$201,1,$H$2:$H$201,"&lt;"&amp;H198)+COUNTIFS($AW$2:$AW$201,AW198,$BB$2:$BB$201,1,$H$2:$H$201,H198,$AX$2:$AX$201,"&lt;"&amp;AX198)=0,1,0),0)</f>
        <v>0</v>
      </c>
      <c r="BD198" s="23" t="n">
        <f aca="false">IF(AND(AY198=1,O198="Y",ISNUMBER(R198)),IF(R198&gt;=Config!$B$14,1,0),0)</f>
        <v>0</v>
      </c>
      <c r="BE198" s="23" t="n">
        <f aca="false">IF(BD198=1,IF(COUNTIFS($AW$2:$AW$201,AW198,$BD$2:$BD$201,1,$H$2:$H$201,"&lt;"&amp;H198)+COUNTIFS($AW$2:$AW$201,AW198,$BD$2:$BD$201,1,$H$2:$H$201,H198,$AX$2:$AX$201,"&lt;"&amp;AX198)=0,1,0),0)</f>
        <v>0</v>
      </c>
      <c r="BF198" s="23" t="n">
        <f aca="false">IF(AND(AY198=1,O198&lt;&gt;"Y",MAX(N(R198),N(V198))&gt;=Config!$B$14),1,0)</f>
        <v>0</v>
      </c>
      <c r="BG198" s="23" t="n">
        <f aca="false">IF(BF198=1,IF(COUNTIFS($AW$2:$AW$201,AW198,$BF$2:$BF$201,1,$H$2:$H$201,"&lt;"&amp;H198)+COUNTIFS($AW$2:$AW$201,AW198,$BF$2:$BF$201,1,$H$2:$H$201,H198,$AX$2:$AX$201,"&lt;"&amp;AX198)=0,1,0),0)</f>
        <v>0</v>
      </c>
      <c r="BH198" s="23" t="n">
        <f aca="false">IF(AND(AY198=1,ISNUMBER(R198)),1,0)</f>
        <v>0</v>
      </c>
      <c r="BI198" s="23" t="n">
        <f aca="false">IF(BH198=1,IF(COUNTIFS($AW$2:$AW$201,AW198,$BH$2:$BH$201,1,$H$2:$H$201,"&lt;"&amp;H198)+COUNTIFS($AW$2:$AW$201,AW198,$BH$2:$BH$201,1,$H$2:$H$201,H198,$AX$2:$AX$201,"&lt;"&amp;AX198)=0,1,0),0)</f>
        <v>0</v>
      </c>
      <c r="BJ198" s="23" t="str">
        <f aca="false">IF(AND(BI198=1,INT(N(H198))&lt;=Config!$B$6),R198,"")</f>
        <v/>
      </c>
      <c r="BK198" s="23" t="str">
        <f aca="false">IF(AND(BI198=1,INT(N(H198))&lt;=Config!$B$7),R198,"")</f>
        <v/>
      </c>
      <c r="BL198" s="23" t="str">
        <f aca="false">IF(AND(BI198=1,INT(N(H198))&lt;=Config!$B$8),R198,"")</f>
        <v/>
      </c>
      <c r="BM198" s="23" t="str">
        <f aca="false">IF(AND(BI198=1,INT(N(H198))&lt;=Config!$B$5),R198,"")</f>
        <v/>
      </c>
      <c r="BN198" s="23" t="n">
        <f aca="false">IF(AND(AY198=1,ISNUMBER(V198)),1,0)</f>
        <v>0</v>
      </c>
      <c r="BO198" s="23" t="n">
        <f aca="false">IF(BN198=1,IF(COUNTIFS($AW$2:$AW$201,AW198,$BN$2:$BN$201,1,$H$2:$H$201,"&lt;"&amp;H198)+COUNTIFS($AW$2:$AW$201,AW198,$BN$2:$BN$201,1,$H$2:$H$201,H198,$AX$2:$AX$201,"&lt;"&amp;AX198)=0,1,0),0)</f>
        <v>0</v>
      </c>
      <c r="BP198" s="23" t="str">
        <f aca="false">IF(AND(BO198=1,INT(N(H198))&lt;=Config!$B$6),V198,"")</f>
        <v/>
      </c>
      <c r="BQ198" s="23" t="str">
        <f aca="false">IF(AND(BO198=1,INT(N(H198))&lt;=Config!$B$7),V198,"")</f>
        <v/>
      </c>
      <c r="BR198" s="23" t="str">
        <f aca="false">IF(AND(BO198=1,INT(N(H198))&lt;=Config!$B$8),V198,"")</f>
        <v/>
      </c>
      <c r="BS198" s="23" t="str">
        <f aca="false">IF(AND(BO198=1,INT(N(H198))&lt;=Config!$B$5),V198,"")</f>
        <v/>
      </c>
      <c r="BT198" s="23" t="n">
        <f aca="false">IF(AND(AY198=1,ISNUMBER(K198)),1,0)</f>
        <v>0</v>
      </c>
      <c r="BU198" s="23" t="n">
        <f aca="false">IF(BT198=1,IF(COUNTIFS($AW$2:$AW$201,AW198,$BT$2:$BT$201,1,$H$2:$H$201,"&lt;"&amp;H198)+COUNTIFS($AW$2:$AW$201,AW198,$BT$2:$BT$201,1,$H$2:$H$201,H198,$AX$2:$AX$201,"&lt;"&amp;AX198)=0,1,0),0)</f>
        <v>0</v>
      </c>
      <c r="BV198" s="23" t="str">
        <f aca="false">IF(AND(BU198=1,INT(N(H198))&lt;=Config!$B$5),K198,"")</f>
        <v/>
      </c>
      <c r="BW198" s="23" t="n">
        <f aca="false">IF(AND(AY198=1,OR(AND(ISNUMBER(R198),TRIM(S198)=""),AND(ISNUMBER(V198),TRIM(W198)=""))),1,0)</f>
        <v>0</v>
      </c>
      <c r="BX198" s="23" t="str">
        <f aca="false">IF(AY198=1,AJ198&amp;"","")</f>
        <v/>
      </c>
      <c r="BY198" s="23" t="str">
        <f aca="false">IF(AY198=1,AK198&amp;"","")</f>
        <v/>
      </c>
      <c r="BZ198" s="23" t="str">
        <f aca="false">IF(AY198=1,AL198&amp;"","")</f>
        <v/>
      </c>
      <c r="CA198" s="23" t="str">
        <f aca="false">IF(AND(AY198=1,ISNUMBER(AS198),INT(N(H198))&lt;=Config!$B$5),AS198,"")</f>
        <v/>
      </c>
      <c r="CB198" s="23" t="str">
        <f aca="false">IF(AY198=1,IF(COUNTIFS($A$2:$A$201,$A198,$CU$2:$CU$201,1,$AN$2:$AN$201,"Y")&gt;0,"Y","N"),"")</f>
        <v/>
      </c>
      <c r="CC198" s="23" t="n">
        <f aca="false">IF(AND(AY198=1,AN198="Y"),IF(COUNTIFS($AW$2:$AW$201,AW198,$AN$2:$AN$201,"Y",$AY$2:$AY$201,1,$H$2:$H$201,"&lt;"&amp;H198)+COUNTIFS($AW$2:$AW$201,AW198,$AN$2:$AN$201,"Y",$AY$2:$AY$201,1,$H$2:$H$201,H198,$AX$2:$AX$201,"&lt;"&amp;AX198)=0,1,0),0)</f>
        <v>0</v>
      </c>
      <c r="CD198" s="23" t="n">
        <f aca="false">IF(AND(AY198=1,AB198="Y",AC198="Y",AD198="Y",AE198="Y",AF198="Y",AG198="Y",AI198="Y",TRIM(AH198)&lt;&gt;""),1,0)</f>
        <v>0</v>
      </c>
      <c r="CE198" s="23" t="n">
        <f aca="false">IF(CD198=1,IF(COUNTIFS($AW$2:$AW$201,AW198,$CD$2:$CD$201,1,$H$2:$H$201,"&lt;"&amp;H198)+COUNTIFS($AW$2:$AW$201,AW198,$CD$2:$CD$201,1,$H$2:$H$201,H198,$AX$2:$AX$201,"&lt;"&amp;AX198)=0,1,0),0)</f>
        <v>0</v>
      </c>
      <c r="CF198" s="23" t="n">
        <f aca="false">IF(AND(AY198=1,AO198="Y"),1,0)</f>
        <v>0</v>
      </c>
      <c r="CG198" s="23" t="n">
        <f aca="false">IF(CF198=1,IF(COUNTIFS($AW$2:$AW$201,AW198,$CF$2:$CF$201,1,$H$2:$H$201,"&lt;"&amp;H198)+COUNTIFS($AW$2:$AW$201,AW198,$CF$2:$CF$201,1,$H$2:$H$201,H198,$AX$2:$AX$201,"&lt;"&amp;AX198)=0,1,0),0)</f>
        <v>0</v>
      </c>
      <c r="CH198" s="23" t="n">
        <f aca="false">IF(AND(AY198=1,P198="Y"),1,0)</f>
        <v>0</v>
      </c>
      <c r="CI198" s="23" t="n">
        <f aca="false">IF(CH198=1,IF(COUNTIFS($AW$2:$AW$201,AW198,$CH$2:$CH$201,1,$H$2:$H$201,"&lt;"&amp;H198)+COUNTIFS($AW$2:$AW$201,AW198,$CH$2:$CH$201,1,$H$2:$H$201,H198,$AX$2:$AX$201,"&lt;"&amp;AX198)=0,1,0),0)</f>
        <v>0</v>
      </c>
      <c r="CJ198" s="23" t="str">
        <f aca="false">IF(AND(BU198=1,INT(N(H198))&lt;=Config!$B$5),L198,"")</f>
        <v/>
      </c>
      <c r="CK198" s="23" t="n">
        <f aca="false">IF(AND(AY198=1,AR198="Y"),1,0)</f>
        <v>0</v>
      </c>
      <c r="CL198" s="23" t="n">
        <f aca="false">IF(CK198=1,IF(COUNTIFS($AW$2:$AW$201,AW198,$CK$2:$CK$201,1,$H$2:$H$201,"&lt;"&amp;H198)+COUNTIFS($AW$2:$AW$201,AW198,$CK$2:$CK$201,1,$H$2:$H$201,H198,$AX$2:$AX$201,"&lt;"&amp;AX198)=0,1,0),0)</f>
        <v>0</v>
      </c>
      <c r="CM198" s="23" t="str">
        <f aca="false">IF(AY198=1,IFERROR(MATCH($A198,INDEX(Clay_Brands!$A$2:$FZ$601,0,Sync!$D$5),0),""),"")</f>
        <v/>
      </c>
      <c r="CN198" s="23" t="str">
        <f aca="false">IF(CM198="","",IFERROR(INDEX(Clay_Brands!$A$2:$FZ$601,CM198,Sync!$D$7)&amp;"",""))</f>
        <v/>
      </c>
      <c r="CO198" s="23" t="str">
        <f aca="false">IF(CN198="","",IFERROR(INDEX(Lists!$K$2:$K$15,MATCH(CN198,Lists!$J$2:$J$15,0)),""))</f>
        <v/>
      </c>
      <c r="CP198" s="23" t="str">
        <f aca="false">IF(CM198="","",IFERROR(INDEX(Clay_Brands!$A$2:$FZ$601,CM198,Sync!$D$17)&amp;"",""))</f>
        <v/>
      </c>
      <c r="CQ198" s="35" t="str">
        <f aca="false">IF(CM198="","",IFERROR(N(INDEX(Clay_Brands!$A$2:$FZ$601,CM198,Sync!$D$16)),0))</f>
        <v/>
      </c>
      <c r="CR198" s="23" t="n">
        <f aca="false">IF(AND(AY198=1,OR(O198="N",AND(OR(ISNUMBER(R198),ISNUMBER(V198)),MAX(N(R198),N(V198))&lt;Config!$B$14))),1,0)</f>
        <v>0</v>
      </c>
      <c r="CS198" s="23" t="n">
        <f aca="false">IF(OR(BB198=1,CR198=1),1,0)</f>
        <v>0</v>
      </c>
      <c r="CT198" s="23" t="n">
        <f aca="false">IF(AND(AY198=1,OR(AN198="Y",AN198="N",AN198="maybe")),1,0)</f>
        <v>0</v>
      </c>
      <c r="CU198" s="23" t="n">
        <f aca="false">IF(AND(CT198=1),IF(COUNTIFS($A$2:$A$201,$A198,$CT$2:$CT$201,1,$H$2:$H$201,"&gt;"&amp;H198)+COUNTIFS($A$2:$A$201,$A198,$CT$2:$CT$201,1,$H$2:$H$201,H198,$AX$2:$AX$201,"&gt;"&amp;AX198)=0,1,0),0)</f>
        <v>0</v>
      </c>
      <c r="CV198" s="23" t="n">
        <f aca="false">IF(AND(CS198=1,INT(N(H198))&lt;=Config!$B$6),IF(COUNTIFS($AW$2:$AW$201,AW198,$CS$2:$CS$201,1,$H$2:$H$201,"&gt;"&amp;H198,$H$2:$H$201,"&lt;"&amp;(Config!$B$6+1))+COUNTIFS($AW$2:$AW$201,AW198,$CS$2:$CS$201,1,$H$2:$H$201,H198,$AX$2:$AX$201,"&gt;"&amp;AX198)=0,1,0),0)</f>
        <v>0</v>
      </c>
      <c r="CW198" s="23" t="n">
        <f aca="false">IF(AND(CS198=1,INT(N(H198))&lt;=Config!$B$7),IF(COUNTIFS($AW$2:$AW$201,AW198,$CS$2:$CS$201,1,$H$2:$H$201,"&gt;"&amp;H198,$H$2:$H$201,"&lt;"&amp;(Config!$B$7+1))+COUNTIFS($AW$2:$AW$201,AW198,$CS$2:$CS$201,1,$H$2:$H$201,H198,$AX$2:$AX$201,"&gt;"&amp;AX198)=0,1,0),0)</f>
        <v>0</v>
      </c>
      <c r="CX198" s="23" t="n">
        <f aca="false">IF(AND(CS198=1,INT(N(H198))&lt;=Config!$B$8),IF(COUNTIFS($AW$2:$AW$201,AW198,$CS$2:$CS$201,1,$H$2:$H$201,"&gt;"&amp;H198,$H$2:$H$201,"&lt;"&amp;(Config!$B$8+1))+COUNTIFS($AW$2:$AW$201,AW198,$CS$2:$CS$201,1,$H$2:$H$201,H198,$AX$2:$AX$201,"&gt;"&amp;AX198)=0,1,0),0)</f>
        <v>0</v>
      </c>
      <c r="CY198" s="23" t="n">
        <f aca="false">IF(AND(CS198=1,INT(N(H198))&lt;=Config!$B$5),IF(COUNTIFS($AW$2:$AW$201,AW198,$CS$2:$CS$201,1,$H$2:$H$201,"&gt;"&amp;H198,$H$2:$H$201,"&lt;"&amp;(Config!$B$5+1))+COUNTIFS($AW$2:$AW$201,AW198,$CS$2:$CS$201,1,$H$2:$H$201,H198,$AX$2:$AX$201,"&gt;"&amp;AX198)=0,1,0),0)</f>
        <v>0</v>
      </c>
      <c r="CZ198" s="23" t="n">
        <f aca="false">IF(AY198=1,IF(COUNTIFS($AW$2:$AW$201,AW198,$CV$2:$CV$201,1,$BB$2:$BB$201,1)&gt;0,1,0),0)</f>
        <v>0</v>
      </c>
      <c r="DA198" s="23" t="n">
        <f aca="false">IF(AY198=1,IF(COUNTIFS($AW$2:$AW$201,AW198,$CW$2:$CW$201,1,$BB$2:$BB$201,1)&gt;0,1,0),0)</f>
        <v>0</v>
      </c>
      <c r="DB198" s="23" t="n">
        <f aca="false">IF(AY198=1,IF(COUNTIFS($AW$2:$AW$201,AW198,$CX$2:$CX$201,1,$BB$2:$BB$201,1)&gt;0,1,0),0)</f>
        <v>0</v>
      </c>
      <c r="DC198" s="23" t="n">
        <f aca="false">IF(AY198=1,IF(COUNTIFS($AW$2:$AW$201,AW198,$CY$2:$CY$201,1,$BB$2:$BB$201,1)&gt;0,1,0),0)</f>
        <v>0</v>
      </c>
      <c r="DD198" s="23" t="n">
        <f aca="false">IF(AND(BC198=1,INT(N(H198))&lt;=Config!$B$6,CZ198=1),1,0)</f>
        <v>0</v>
      </c>
      <c r="DE198" s="23" t="n">
        <f aca="false">IF(AND(BC198=1,INT(N(H198))&lt;=Config!$B$7,DA198=1),1,0)</f>
        <v>0</v>
      </c>
      <c r="DF198" s="23" t="n">
        <f aca="false">IF(AND(BC198=1,INT(N(H198))&lt;=Config!$B$8,DB198=1),1,0)</f>
        <v>0</v>
      </c>
      <c r="DG198" s="23" t="n">
        <f aca="false">IF(AND(BC198=1,INT(N(H198))&lt;=Config!$B$5,DC198=1),1,0)</f>
        <v>0</v>
      </c>
      <c r="DH198" s="23" t="n">
        <f aca="false">IF(AND(BE198=1,INT(N(H198))&lt;=Config!$B$6,CZ198=1),1,0)</f>
        <v>0</v>
      </c>
      <c r="DI198" s="23" t="n">
        <f aca="false">IF(AND(BE198=1,INT(N(H198))&lt;=Config!$B$7,DA198=1),1,0)</f>
        <v>0</v>
      </c>
      <c r="DJ198" s="23" t="n">
        <f aca="false">IF(AND(BE198=1,INT(N(H198))&lt;=Config!$B$8,DB198=1),1,0)</f>
        <v>0</v>
      </c>
      <c r="DK198" s="23" t="n">
        <f aca="false">IF(AND(BE198=1,INT(N(H198))&lt;=Config!$B$5,DC198=1),1,0)</f>
        <v>0</v>
      </c>
      <c r="DL198" s="23" t="n">
        <f aca="false">IF(AND(BC198=1,INT(N(H198))&lt;=Config!$B$6,CZ198=0),1,0)</f>
        <v>0</v>
      </c>
      <c r="DM198" s="23" t="n">
        <f aca="false">IF(AND(BC198=1,INT(N(H198))&lt;=Config!$B$7,DA198=0),1,0)</f>
        <v>0</v>
      </c>
      <c r="DN198" s="23" t="n">
        <f aca="false">IF(AND(BC198=1,INT(N(H198))&lt;=Config!$B$8,DB198=0),1,0)</f>
        <v>0</v>
      </c>
      <c r="DO198" s="23" t="n">
        <f aca="false">IF(AND(BC198=1,INT(N(H198))&lt;=Config!$B$5,DC198=0),1,0)</f>
        <v>0</v>
      </c>
      <c r="DP198" s="23" t="n">
        <f aca="false">IF(TRIM($A198)="",0,ISTEXT(K198)+ISTEXT(L198)+ISTEXT(R198)+ISTEXT(V198)+ISTEXT(AP198)+ISTEXT(AS198))</f>
        <v>0</v>
      </c>
      <c r="DQ198" s="23" t="n">
        <f aca="false">IF(AY198=1,IF(H198&lt;&gt;INT(H198),1,0),0)</f>
        <v>0</v>
      </c>
      <c r="DR198" s="23" t="str">
        <f aca="false">IF(TRIM($A198)="","",IF(TRIM(B198)="",SUBSTITUTE(SUBSTITUTE(SUBSTITUTE(SUBSTITUTE(SUBSTITUTE(SUBSTITUTE(LOWER(TRIM($A198)),"~",""),"*",""),"?",""),"&lt;",""),"&gt;",""),"=",""),SUBSTITUTE(SUBSTITUTE(SUBSTITUTE(SUBSTITUTE(SUBSTITUTE(SUBSTITUTE(LOWER(TRIM(B198)),"~",""),"*",""),"?",""),"&lt;",""),"&gt;",""),"=","")))</f>
        <v/>
      </c>
      <c r="DS198" s="23" t="str">
        <f aca="false">IF(CM198="","",IFERROR(IF(LEFT(LOWER(TRIM(INDEX(Clay_Brands!$A$2:$FZ$601,CM198,Sync!$D$19)&amp;"")),4)="grp-",SUBSTITUTE(SUBSTITUTE(SUBSTITUTE(SUBSTITUTE(SUBSTITUTE(SUBSTITUTE(LOWER(TRIM(INDEX(Clay_Brands!$A$2:$FZ$601,CM198,Sync!$D$19)&amp;"")),"~",""),"*",""),"?",""),"&lt;",""),"&gt;",""),"=",""),""),""))</f>
        <v/>
      </c>
      <c r="DT198" s="23" t="str">
        <f aca="false">IF(DS198&lt;&gt;"",DR198,"")</f>
        <v/>
      </c>
      <c r="DU198" s="23" t="str">
        <f aca="false">IF(AZ198=1,AW198,"")</f>
        <v/>
      </c>
      <c r="DV198" s="23" t="str">
        <f aca="false">IF(TRIM($A198)="","",IFERROR(INDEX($A$2:$A$201,MATCH(AW198,$DU$2:$DU$201,0))&amp;"",$A198&amp;""))</f>
        <v/>
      </c>
      <c r="DW198" s="23" t="n">
        <f aca="false">IF(AY198=1,IF(COUNTIFS($A$2:$A$201,$A198,$AY$2:$AY$201,1,$H$2:$H$201,"&lt;"&amp;H198)+COUNTIFS($A$2:$A$201,$A198,$AY$2:$AY$201,1,$H$2:$H$201,H198,$AX$2:$AX$201,"&lt;"&amp;AX198)=0,1,0),0)</f>
        <v>0</v>
      </c>
      <c r="DX198" s="23" t="n">
        <f aca="false">IF(AZ198=1,IF(COUNTIFS($AW$2:$AW$201,AW198,$DW$2:$DW$201,1)&gt;1,1,0),0)</f>
        <v>0</v>
      </c>
    </row>
    <row r="199" customFormat="false" ht="15" hidden="false" customHeight="false" outlineLevel="0" collapsed="false">
      <c r="G199" s="32"/>
      <c r="H199" s="33"/>
      <c r="I199" s="32"/>
      <c r="O199" s="32"/>
      <c r="P199" s="32"/>
      <c r="U199" s="32"/>
      <c r="Y199" s="32"/>
      <c r="AB199" s="32"/>
      <c r="AC199" s="32"/>
      <c r="AD199" s="32"/>
      <c r="AE199" s="32"/>
      <c r="AF199" s="32"/>
      <c r="AG199" s="32"/>
      <c r="AI199" s="32"/>
      <c r="AJ199" s="32"/>
      <c r="AK199" s="32"/>
      <c r="AN199" s="32"/>
      <c r="AO199" s="32"/>
      <c r="AR199" s="32"/>
      <c r="AT199" s="32"/>
      <c r="AV199" s="34" t="str">
        <f aca="false">IF(TRIM($A199)="","",IF(AND(LEFT($A199,6)="SAMPLE",Config!$B$19&lt;&gt;"Y"),"",IF(NOT(ISNUMBER(H199)),"call_date is blank or not a date",IF(Sync!$D$5="","Clay paste is empty or has no row_id column: paste the Clay export on Clay_Brands",IF(CM199="","row_id not found in the Clay paste: add the Clay row or fix the row_id",IF(AND(ISNUMBER(CO199),CO199&gt;=1,CO199&lt;=5),"Clay status is "&amp;CN199&amp;": set call_done or later",IF(AND(BA199=1,CP199&lt;&gt;CB199),"Clay yes_in_principle should be "&amp;CB199,IF(AND(BA199=1,CQ199&lt;&gt;H199),"Clay call_date should be "&amp;TEXT(H199,"yyyy-mm-dd"),""))))))))</f>
        <v/>
      </c>
      <c r="AW199" s="23" t="str">
        <f aca="false">IF(TRIM($A199)="","",IF(TRIM(C199)&lt;&gt;"",SUBSTITUTE(SUBSTITUTE(SUBSTITUTE(SUBSTITUTE(SUBSTITUTE(SUBSTITUTE(LOWER(TRIM(C199)),"~",""),"*",""),"?",""),"&lt;",""),"&gt;",""),"=",""),IF(DS199&lt;&gt;"",DS199,IFERROR(INDEX($DS$2:$DS$201,MATCH(DR199,$DT$2:$DT$201,0)),DR199))))</f>
        <v/>
      </c>
      <c r="AX199" s="23" t="n">
        <f aca="false">ROW()</f>
        <v>199</v>
      </c>
      <c r="AY199" s="23" t="n">
        <f aca="false">IF(AND(TRIM($A199)&lt;&gt;"",ISNUMBER(H199)),IF(AND(LEFT($A199,6)="SAMPLE",Config!$B$19&lt;&gt;"Y"),0,1),0)</f>
        <v>0</v>
      </c>
      <c r="AZ199" s="23" t="n">
        <f aca="false">IF(AY199=1,IF(COUNTIFS($AW$2:$AW$201,AW199,$AY$2:$AY$201,1,$H$2:$H$201,"&lt;"&amp;H199)+COUNTIFS($AW$2:$AW$201,AW199,$AY$2:$AY$201,1,$H$2:$H$201,H199,$AX$2:$AX$201,"&lt;"&amp;AX199)=0,1,0),0)</f>
        <v>0</v>
      </c>
      <c r="BA199" s="23" t="n">
        <f aca="false">IF(AY199=1,IF(COUNTIFS($A$2:$A$201,$A199,$AY$2:$AY$201,1,$H$2:$H$201,"&gt;"&amp;H199)+COUNTIFS($A$2:$A$201,$A199,$AY$2:$AY$201,1,$H$2:$H$201,H199,$AX$2:$AX$201,"&gt;"&amp;AX199)=0,1,0),0)</f>
        <v>0</v>
      </c>
      <c r="BB199" s="23" t="n">
        <f aca="false">IF(AND(AY199=1,O199="Y",MAX(N(R199),N(V199))&gt;=Config!$B$14),1,0)</f>
        <v>0</v>
      </c>
      <c r="BC199" s="23" t="n">
        <f aca="false">IF(BB199=1,IF(COUNTIFS($AW$2:$AW$201,AW199,$BB$2:$BB$201,1,$H$2:$H$201,"&lt;"&amp;H199)+COUNTIFS($AW$2:$AW$201,AW199,$BB$2:$BB$201,1,$H$2:$H$201,H199,$AX$2:$AX$201,"&lt;"&amp;AX199)=0,1,0),0)</f>
        <v>0</v>
      </c>
      <c r="BD199" s="23" t="n">
        <f aca="false">IF(AND(AY199=1,O199="Y",ISNUMBER(R199)),IF(R199&gt;=Config!$B$14,1,0),0)</f>
        <v>0</v>
      </c>
      <c r="BE199" s="23" t="n">
        <f aca="false">IF(BD199=1,IF(COUNTIFS($AW$2:$AW$201,AW199,$BD$2:$BD$201,1,$H$2:$H$201,"&lt;"&amp;H199)+COUNTIFS($AW$2:$AW$201,AW199,$BD$2:$BD$201,1,$H$2:$H$201,H199,$AX$2:$AX$201,"&lt;"&amp;AX199)=0,1,0),0)</f>
        <v>0</v>
      </c>
      <c r="BF199" s="23" t="n">
        <f aca="false">IF(AND(AY199=1,O199&lt;&gt;"Y",MAX(N(R199),N(V199))&gt;=Config!$B$14),1,0)</f>
        <v>0</v>
      </c>
      <c r="BG199" s="23" t="n">
        <f aca="false">IF(BF199=1,IF(COUNTIFS($AW$2:$AW$201,AW199,$BF$2:$BF$201,1,$H$2:$H$201,"&lt;"&amp;H199)+COUNTIFS($AW$2:$AW$201,AW199,$BF$2:$BF$201,1,$H$2:$H$201,H199,$AX$2:$AX$201,"&lt;"&amp;AX199)=0,1,0),0)</f>
        <v>0</v>
      </c>
      <c r="BH199" s="23" t="n">
        <f aca="false">IF(AND(AY199=1,ISNUMBER(R199)),1,0)</f>
        <v>0</v>
      </c>
      <c r="BI199" s="23" t="n">
        <f aca="false">IF(BH199=1,IF(COUNTIFS($AW$2:$AW$201,AW199,$BH$2:$BH$201,1,$H$2:$H$201,"&lt;"&amp;H199)+COUNTIFS($AW$2:$AW$201,AW199,$BH$2:$BH$201,1,$H$2:$H$201,H199,$AX$2:$AX$201,"&lt;"&amp;AX199)=0,1,0),0)</f>
        <v>0</v>
      </c>
      <c r="BJ199" s="23" t="str">
        <f aca="false">IF(AND(BI199=1,INT(N(H199))&lt;=Config!$B$6),R199,"")</f>
        <v/>
      </c>
      <c r="BK199" s="23" t="str">
        <f aca="false">IF(AND(BI199=1,INT(N(H199))&lt;=Config!$B$7),R199,"")</f>
        <v/>
      </c>
      <c r="BL199" s="23" t="str">
        <f aca="false">IF(AND(BI199=1,INT(N(H199))&lt;=Config!$B$8),R199,"")</f>
        <v/>
      </c>
      <c r="BM199" s="23" t="str">
        <f aca="false">IF(AND(BI199=1,INT(N(H199))&lt;=Config!$B$5),R199,"")</f>
        <v/>
      </c>
      <c r="BN199" s="23" t="n">
        <f aca="false">IF(AND(AY199=1,ISNUMBER(V199)),1,0)</f>
        <v>0</v>
      </c>
      <c r="BO199" s="23" t="n">
        <f aca="false">IF(BN199=1,IF(COUNTIFS($AW$2:$AW$201,AW199,$BN$2:$BN$201,1,$H$2:$H$201,"&lt;"&amp;H199)+COUNTIFS($AW$2:$AW$201,AW199,$BN$2:$BN$201,1,$H$2:$H$201,H199,$AX$2:$AX$201,"&lt;"&amp;AX199)=0,1,0),0)</f>
        <v>0</v>
      </c>
      <c r="BP199" s="23" t="str">
        <f aca="false">IF(AND(BO199=1,INT(N(H199))&lt;=Config!$B$6),V199,"")</f>
        <v/>
      </c>
      <c r="BQ199" s="23" t="str">
        <f aca="false">IF(AND(BO199=1,INT(N(H199))&lt;=Config!$B$7),V199,"")</f>
        <v/>
      </c>
      <c r="BR199" s="23" t="str">
        <f aca="false">IF(AND(BO199=1,INT(N(H199))&lt;=Config!$B$8),V199,"")</f>
        <v/>
      </c>
      <c r="BS199" s="23" t="str">
        <f aca="false">IF(AND(BO199=1,INT(N(H199))&lt;=Config!$B$5),V199,"")</f>
        <v/>
      </c>
      <c r="BT199" s="23" t="n">
        <f aca="false">IF(AND(AY199=1,ISNUMBER(K199)),1,0)</f>
        <v>0</v>
      </c>
      <c r="BU199" s="23" t="n">
        <f aca="false">IF(BT199=1,IF(COUNTIFS($AW$2:$AW$201,AW199,$BT$2:$BT$201,1,$H$2:$H$201,"&lt;"&amp;H199)+COUNTIFS($AW$2:$AW$201,AW199,$BT$2:$BT$201,1,$H$2:$H$201,H199,$AX$2:$AX$201,"&lt;"&amp;AX199)=0,1,0),0)</f>
        <v>0</v>
      </c>
      <c r="BV199" s="23" t="str">
        <f aca="false">IF(AND(BU199=1,INT(N(H199))&lt;=Config!$B$5),K199,"")</f>
        <v/>
      </c>
      <c r="BW199" s="23" t="n">
        <f aca="false">IF(AND(AY199=1,OR(AND(ISNUMBER(R199),TRIM(S199)=""),AND(ISNUMBER(V199),TRIM(W199)=""))),1,0)</f>
        <v>0</v>
      </c>
      <c r="BX199" s="23" t="str">
        <f aca="false">IF(AY199=1,AJ199&amp;"","")</f>
        <v/>
      </c>
      <c r="BY199" s="23" t="str">
        <f aca="false">IF(AY199=1,AK199&amp;"","")</f>
        <v/>
      </c>
      <c r="BZ199" s="23" t="str">
        <f aca="false">IF(AY199=1,AL199&amp;"","")</f>
        <v/>
      </c>
      <c r="CA199" s="23" t="str">
        <f aca="false">IF(AND(AY199=1,ISNUMBER(AS199),INT(N(H199))&lt;=Config!$B$5),AS199,"")</f>
        <v/>
      </c>
      <c r="CB199" s="23" t="str">
        <f aca="false">IF(AY199=1,IF(COUNTIFS($A$2:$A$201,$A199,$CU$2:$CU$201,1,$AN$2:$AN$201,"Y")&gt;0,"Y","N"),"")</f>
        <v/>
      </c>
      <c r="CC199" s="23" t="n">
        <f aca="false">IF(AND(AY199=1,AN199="Y"),IF(COUNTIFS($AW$2:$AW$201,AW199,$AN$2:$AN$201,"Y",$AY$2:$AY$201,1,$H$2:$H$201,"&lt;"&amp;H199)+COUNTIFS($AW$2:$AW$201,AW199,$AN$2:$AN$201,"Y",$AY$2:$AY$201,1,$H$2:$H$201,H199,$AX$2:$AX$201,"&lt;"&amp;AX199)=0,1,0),0)</f>
        <v>0</v>
      </c>
      <c r="CD199" s="23" t="n">
        <f aca="false">IF(AND(AY199=1,AB199="Y",AC199="Y",AD199="Y",AE199="Y",AF199="Y",AG199="Y",AI199="Y",TRIM(AH199)&lt;&gt;""),1,0)</f>
        <v>0</v>
      </c>
      <c r="CE199" s="23" t="n">
        <f aca="false">IF(CD199=1,IF(COUNTIFS($AW$2:$AW$201,AW199,$CD$2:$CD$201,1,$H$2:$H$201,"&lt;"&amp;H199)+COUNTIFS($AW$2:$AW$201,AW199,$CD$2:$CD$201,1,$H$2:$H$201,H199,$AX$2:$AX$201,"&lt;"&amp;AX199)=0,1,0),0)</f>
        <v>0</v>
      </c>
      <c r="CF199" s="23" t="n">
        <f aca="false">IF(AND(AY199=1,AO199="Y"),1,0)</f>
        <v>0</v>
      </c>
      <c r="CG199" s="23" t="n">
        <f aca="false">IF(CF199=1,IF(COUNTIFS($AW$2:$AW$201,AW199,$CF$2:$CF$201,1,$H$2:$H$201,"&lt;"&amp;H199)+COUNTIFS($AW$2:$AW$201,AW199,$CF$2:$CF$201,1,$H$2:$H$201,H199,$AX$2:$AX$201,"&lt;"&amp;AX199)=0,1,0),0)</f>
        <v>0</v>
      </c>
      <c r="CH199" s="23" t="n">
        <f aca="false">IF(AND(AY199=1,P199="Y"),1,0)</f>
        <v>0</v>
      </c>
      <c r="CI199" s="23" t="n">
        <f aca="false">IF(CH199=1,IF(COUNTIFS($AW$2:$AW$201,AW199,$CH$2:$CH$201,1,$H$2:$H$201,"&lt;"&amp;H199)+COUNTIFS($AW$2:$AW$201,AW199,$CH$2:$CH$201,1,$H$2:$H$201,H199,$AX$2:$AX$201,"&lt;"&amp;AX199)=0,1,0),0)</f>
        <v>0</v>
      </c>
      <c r="CJ199" s="23" t="str">
        <f aca="false">IF(AND(BU199=1,INT(N(H199))&lt;=Config!$B$5),L199,"")</f>
        <v/>
      </c>
      <c r="CK199" s="23" t="n">
        <f aca="false">IF(AND(AY199=1,AR199="Y"),1,0)</f>
        <v>0</v>
      </c>
      <c r="CL199" s="23" t="n">
        <f aca="false">IF(CK199=1,IF(COUNTIFS($AW$2:$AW$201,AW199,$CK$2:$CK$201,1,$H$2:$H$201,"&lt;"&amp;H199)+COUNTIFS($AW$2:$AW$201,AW199,$CK$2:$CK$201,1,$H$2:$H$201,H199,$AX$2:$AX$201,"&lt;"&amp;AX199)=0,1,0),0)</f>
        <v>0</v>
      </c>
      <c r="CM199" s="23" t="str">
        <f aca="false">IF(AY199=1,IFERROR(MATCH($A199,INDEX(Clay_Brands!$A$2:$FZ$601,0,Sync!$D$5),0),""),"")</f>
        <v/>
      </c>
      <c r="CN199" s="23" t="str">
        <f aca="false">IF(CM199="","",IFERROR(INDEX(Clay_Brands!$A$2:$FZ$601,CM199,Sync!$D$7)&amp;"",""))</f>
        <v/>
      </c>
      <c r="CO199" s="23" t="str">
        <f aca="false">IF(CN199="","",IFERROR(INDEX(Lists!$K$2:$K$15,MATCH(CN199,Lists!$J$2:$J$15,0)),""))</f>
        <v/>
      </c>
      <c r="CP199" s="23" t="str">
        <f aca="false">IF(CM199="","",IFERROR(INDEX(Clay_Brands!$A$2:$FZ$601,CM199,Sync!$D$17)&amp;"",""))</f>
        <v/>
      </c>
      <c r="CQ199" s="35" t="str">
        <f aca="false">IF(CM199="","",IFERROR(N(INDEX(Clay_Brands!$A$2:$FZ$601,CM199,Sync!$D$16)),0))</f>
        <v/>
      </c>
      <c r="CR199" s="23" t="n">
        <f aca="false">IF(AND(AY199=1,OR(O199="N",AND(OR(ISNUMBER(R199),ISNUMBER(V199)),MAX(N(R199),N(V199))&lt;Config!$B$14))),1,0)</f>
        <v>0</v>
      </c>
      <c r="CS199" s="23" t="n">
        <f aca="false">IF(OR(BB199=1,CR199=1),1,0)</f>
        <v>0</v>
      </c>
      <c r="CT199" s="23" t="n">
        <f aca="false">IF(AND(AY199=1,OR(AN199="Y",AN199="N",AN199="maybe")),1,0)</f>
        <v>0</v>
      </c>
      <c r="CU199" s="23" t="n">
        <f aca="false">IF(AND(CT199=1),IF(COUNTIFS($A$2:$A$201,$A199,$CT$2:$CT$201,1,$H$2:$H$201,"&gt;"&amp;H199)+COUNTIFS($A$2:$A$201,$A199,$CT$2:$CT$201,1,$H$2:$H$201,H199,$AX$2:$AX$201,"&gt;"&amp;AX199)=0,1,0),0)</f>
        <v>0</v>
      </c>
      <c r="CV199" s="23" t="n">
        <f aca="false">IF(AND(CS199=1,INT(N(H199))&lt;=Config!$B$6),IF(COUNTIFS($AW$2:$AW$201,AW199,$CS$2:$CS$201,1,$H$2:$H$201,"&gt;"&amp;H199,$H$2:$H$201,"&lt;"&amp;(Config!$B$6+1))+COUNTIFS($AW$2:$AW$201,AW199,$CS$2:$CS$201,1,$H$2:$H$201,H199,$AX$2:$AX$201,"&gt;"&amp;AX199)=0,1,0),0)</f>
        <v>0</v>
      </c>
      <c r="CW199" s="23" t="n">
        <f aca="false">IF(AND(CS199=1,INT(N(H199))&lt;=Config!$B$7),IF(COUNTIFS($AW$2:$AW$201,AW199,$CS$2:$CS$201,1,$H$2:$H$201,"&gt;"&amp;H199,$H$2:$H$201,"&lt;"&amp;(Config!$B$7+1))+COUNTIFS($AW$2:$AW$201,AW199,$CS$2:$CS$201,1,$H$2:$H$201,H199,$AX$2:$AX$201,"&gt;"&amp;AX199)=0,1,0),0)</f>
        <v>0</v>
      </c>
      <c r="CX199" s="23" t="n">
        <f aca="false">IF(AND(CS199=1,INT(N(H199))&lt;=Config!$B$8),IF(COUNTIFS($AW$2:$AW$201,AW199,$CS$2:$CS$201,1,$H$2:$H$201,"&gt;"&amp;H199,$H$2:$H$201,"&lt;"&amp;(Config!$B$8+1))+COUNTIFS($AW$2:$AW$201,AW199,$CS$2:$CS$201,1,$H$2:$H$201,H199,$AX$2:$AX$201,"&gt;"&amp;AX199)=0,1,0),0)</f>
        <v>0</v>
      </c>
      <c r="CY199" s="23" t="n">
        <f aca="false">IF(AND(CS199=1,INT(N(H199))&lt;=Config!$B$5),IF(COUNTIFS($AW$2:$AW$201,AW199,$CS$2:$CS$201,1,$H$2:$H$201,"&gt;"&amp;H199,$H$2:$H$201,"&lt;"&amp;(Config!$B$5+1))+COUNTIFS($AW$2:$AW$201,AW199,$CS$2:$CS$201,1,$H$2:$H$201,H199,$AX$2:$AX$201,"&gt;"&amp;AX199)=0,1,0),0)</f>
        <v>0</v>
      </c>
      <c r="CZ199" s="23" t="n">
        <f aca="false">IF(AY199=1,IF(COUNTIFS($AW$2:$AW$201,AW199,$CV$2:$CV$201,1,$BB$2:$BB$201,1)&gt;0,1,0),0)</f>
        <v>0</v>
      </c>
      <c r="DA199" s="23" t="n">
        <f aca="false">IF(AY199=1,IF(COUNTIFS($AW$2:$AW$201,AW199,$CW$2:$CW$201,1,$BB$2:$BB$201,1)&gt;0,1,0),0)</f>
        <v>0</v>
      </c>
      <c r="DB199" s="23" t="n">
        <f aca="false">IF(AY199=1,IF(COUNTIFS($AW$2:$AW$201,AW199,$CX$2:$CX$201,1,$BB$2:$BB$201,1)&gt;0,1,0),0)</f>
        <v>0</v>
      </c>
      <c r="DC199" s="23" t="n">
        <f aca="false">IF(AY199=1,IF(COUNTIFS($AW$2:$AW$201,AW199,$CY$2:$CY$201,1,$BB$2:$BB$201,1)&gt;0,1,0),0)</f>
        <v>0</v>
      </c>
      <c r="DD199" s="23" t="n">
        <f aca="false">IF(AND(BC199=1,INT(N(H199))&lt;=Config!$B$6,CZ199=1),1,0)</f>
        <v>0</v>
      </c>
      <c r="DE199" s="23" t="n">
        <f aca="false">IF(AND(BC199=1,INT(N(H199))&lt;=Config!$B$7,DA199=1),1,0)</f>
        <v>0</v>
      </c>
      <c r="DF199" s="23" t="n">
        <f aca="false">IF(AND(BC199=1,INT(N(H199))&lt;=Config!$B$8,DB199=1),1,0)</f>
        <v>0</v>
      </c>
      <c r="DG199" s="23" t="n">
        <f aca="false">IF(AND(BC199=1,INT(N(H199))&lt;=Config!$B$5,DC199=1),1,0)</f>
        <v>0</v>
      </c>
      <c r="DH199" s="23" t="n">
        <f aca="false">IF(AND(BE199=1,INT(N(H199))&lt;=Config!$B$6,CZ199=1),1,0)</f>
        <v>0</v>
      </c>
      <c r="DI199" s="23" t="n">
        <f aca="false">IF(AND(BE199=1,INT(N(H199))&lt;=Config!$B$7,DA199=1),1,0)</f>
        <v>0</v>
      </c>
      <c r="DJ199" s="23" t="n">
        <f aca="false">IF(AND(BE199=1,INT(N(H199))&lt;=Config!$B$8,DB199=1),1,0)</f>
        <v>0</v>
      </c>
      <c r="DK199" s="23" t="n">
        <f aca="false">IF(AND(BE199=1,INT(N(H199))&lt;=Config!$B$5,DC199=1),1,0)</f>
        <v>0</v>
      </c>
      <c r="DL199" s="23" t="n">
        <f aca="false">IF(AND(BC199=1,INT(N(H199))&lt;=Config!$B$6,CZ199=0),1,0)</f>
        <v>0</v>
      </c>
      <c r="DM199" s="23" t="n">
        <f aca="false">IF(AND(BC199=1,INT(N(H199))&lt;=Config!$B$7,DA199=0),1,0)</f>
        <v>0</v>
      </c>
      <c r="DN199" s="23" t="n">
        <f aca="false">IF(AND(BC199=1,INT(N(H199))&lt;=Config!$B$8,DB199=0),1,0)</f>
        <v>0</v>
      </c>
      <c r="DO199" s="23" t="n">
        <f aca="false">IF(AND(BC199=1,INT(N(H199))&lt;=Config!$B$5,DC199=0),1,0)</f>
        <v>0</v>
      </c>
      <c r="DP199" s="23" t="n">
        <f aca="false">IF(TRIM($A199)="",0,ISTEXT(K199)+ISTEXT(L199)+ISTEXT(R199)+ISTEXT(V199)+ISTEXT(AP199)+ISTEXT(AS199))</f>
        <v>0</v>
      </c>
      <c r="DQ199" s="23" t="n">
        <f aca="false">IF(AY199=1,IF(H199&lt;&gt;INT(H199),1,0),0)</f>
        <v>0</v>
      </c>
      <c r="DR199" s="23" t="str">
        <f aca="false">IF(TRIM($A199)="","",IF(TRIM(B199)="",SUBSTITUTE(SUBSTITUTE(SUBSTITUTE(SUBSTITUTE(SUBSTITUTE(SUBSTITUTE(LOWER(TRIM($A199)),"~",""),"*",""),"?",""),"&lt;",""),"&gt;",""),"=",""),SUBSTITUTE(SUBSTITUTE(SUBSTITUTE(SUBSTITUTE(SUBSTITUTE(SUBSTITUTE(LOWER(TRIM(B199)),"~",""),"*",""),"?",""),"&lt;",""),"&gt;",""),"=","")))</f>
        <v/>
      </c>
      <c r="DS199" s="23" t="str">
        <f aca="false">IF(CM199="","",IFERROR(IF(LEFT(LOWER(TRIM(INDEX(Clay_Brands!$A$2:$FZ$601,CM199,Sync!$D$19)&amp;"")),4)="grp-",SUBSTITUTE(SUBSTITUTE(SUBSTITUTE(SUBSTITUTE(SUBSTITUTE(SUBSTITUTE(LOWER(TRIM(INDEX(Clay_Brands!$A$2:$FZ$601,CM199,Sync!$D$19)&amp;"")),"~",""),"*",""),"?",""),"&lt;",""),"&gt;",""),"=",""),""),""))</f>
        <v/>
      </c>
      <c r="DT199" s="23" t="str">
        <f aca="false">IF(DS199&lt;&gt;"",DR199,"")</f>
        <v/>
      </c>
      <c r="DU199" s="23" t="str">
        <f aca="false">IF(AZ199=1,AW199,"")</f>
        <v/>
      </c>
      <c r="DV199" s="23" t="str">
        <f aca="false">IF(TRIM($A199)="","",IFERROR(INDEX($A$2:$A$201,MATCH(AW199,$DU$2:$DU$201,0))&amp;"",$A199&amp;""))</f>
        <v/>
      </c>
      <c r="DW199" s="23" t="n">
        <f aca="false">IF(AY199=1,IF(COUNTIFS($A$2:$A$201,$A199,$AY$2:$AY$201,1,$H$2:$H$201,"&lt;"&amp;H199)+COUNTIFS($A$2:$A$201,$A199,$AY$2:$AY$201,1,$H$2:$H$201,H199,$AX$2:$AX$201,"&lt;"&amp;AX199)=0,1,0),0)</f>
        <v>0</v>
      </c>
      <c r="DX199" s="23" t="n">
        <f aca="false">IF(AZ199=1,IF(COUNTIFS($AW$2:$AW$201,AW199,$DW$2:$DW$201,1)&gt;1,1,0),0)</f>
        <v>0</v>
      </c>
    </row>
    <row r="200" customFormat="false" ht="15" hidden="false" customHeight="false" outlineLevel="0" collapsed="false">
      <c r="G200" s="32"/>
      <c r="H200" s="33"/>
      <c r="I200" s="32"/>
      <c r="O200" s="32"/>
      <c r="P200" s="32"/>
      <c r="U200" s="32"/>
      <c r="Y200" s="32"/>
      <c r="AB200" s="32"/>
      <c r="AC200" s="32"/>
      <c r="AD200" s="32"/>
      <c r="AE200" s="32"/>
      <c r="AF200" s="32"/>
      <c r="AG200" s="32"/>
      <c r="AI200" s="32"/>
      <c r="AJ200" s="32"/>
      <c r="AK200" s="32"/>
      <c r="AN200" s="32"/>
      <c r="AO200" s="32"/>
      <c r="AR200" s="32"/>
      <c r="AT200" s="32"/>
      <c r="AV200" s="34" t="str">
        <f aca="false">IF(TRIM($A200)="","",IF(AND(LEFT($A200,6)="SAMPLE",Config!$B$19&lt;&gt;"Y"),"",IF(NOT(ISNUMBER(H200)),"call_date is blank or not a date",IF(Sync!$D$5="","Clay paste is empty or has no row_id column: paste the Clay export on Clay_Brands",IF(CM200="","row_id not found in the Clay paste: add the Clay row or fix the row_id",IF(AND(ISNUMBER(CO200),CO200&gt;=1,CO200&lt;=5),"Clay status is "&amp;CN200&amp;": set call_done or later",IF(AND(BA200=1,CP200&lt;&gt;CB200),"Clay yes_in_principle should be "&amp;CB200,IF(AND(BA200=1,CQ200&lt;&gt;H200),"Clay call_date should be "&amp;TEXT(H200,"yyyy-mm-dd"),""))))))))</f>
        <v/>
      </c>
      <c r="AW200" s="23" t="str">
        <f aca="false">IF(TRIM($A200)="","",IF(TRIM(C200)&lt;&gt;"",SUBSTITUTE(SUBSTITUTE(SUBSTITUTE(SUBSTITUTE(SUBSTITUTE(SUBSTITUTE(LOWER(TRIM(C200)),"~",""),"*",""),"?",""),"&lt;",""),"&gt;",""),"=",""),IF(DS200&lt;&gt;"",DS200,IFERROR(INDEX($DS$2:$DS$201,MATCH(DR200,$DT$2:$DT$201,0)),DR200))))</f>
        <v/>
      </c>
      <c r="AX200" s="23" t="n">
        <f aca="false">ROW()</f>
        <v>200</v>
      </c>
      <c r="AY200" s="23" t="n">
        <f aca="false">IF(AND(TRIM($A200)&lt;&gt;"",ISNUMBER(H200)),IF(AND(LEFT($A200,6)="SAMPLE",Config!$B$19&lt;&gt;"Y"),0,1),0)</f>
        <v>0</v>
      </c>
      <c r="AZ200" s="23" t="n">
        <f aca="false">IF(AY200=1,IF(COUNTIFS($AW$2:$AW$201,AW200,$AY$2:$AY$201,1,$H$2:$H$201,"&lt;"&amp;H200)+COUNTIFS($AW$2:$AW$201,AW200,$AY$2:$AY$201,1,$H$2:$H$201,H200,$AX$2:$AX$201,"&lt;"&amp;AX200)=0,1,0),0)</f>
        <v>0</v>
      </c>
      <c r="BA200" s="23" t="n">
        <f aca="false">IF(AY200=1,IF(COUNTIFS($A$2:$A$201,$A200,$AY$2:$AY$201,1,$H$2:$H$201,"&gt;"&amp;H200)+COUNTIFS($A$2:$A$201,$A200,$AY$2:$AY$201,1,$H$2:$H$201,H200,$AX$2:$AX$201,"&gt;"&amp;AX200)=0,1,0),0)</f>
        <v>0</v>
      </c>
      <c r="BB200" s="23" t="n">
        <f aca="false">IF(AND(AY200=1,O200="Y",MAX(N(R200),N(V200))&gt;=Config!$B$14),1,0)</f>
        <v>0</v>
      </c>
      <c r="BC200" s="23" t="n">
        <f aca="false">IF(BB200=1,IF(COUNTIFS($AW$2:$AW$201,AW200,$BB$2:$BB$201,1,$H$2:$H$201,"&lt;"&amp;H200)+COUNTIFS($AW$2:$AW$201,AW200,$BB$2:$BB$201,1,$H$2:$H$201,H200,$AX$2:$AX$201,"&lt;"&amp;AX200)=0,1,0),0)</f>
        <v>0</v>
      </c>
      <c r="BD200" s="23" t="n">
        <f aca="false">IF(AND(AY200=1,O200="Y",ISNUMBER(R200)),IF(R200&gt;=Config!$B$14,1,0),0)</f>
        <v>0</v>
      </c>
      <c r="BE200" s="23" t="n">
        <f aca="false">IF(BD200=1,IF(COUNTIFS($AW$2:$AW$201,AW200,$BD$2:$BD$201,1,$H$2:$H$201,"&lt;"&amp;H200)+COUNTIFS($AW$2:$AW$201,AW200,$BD$2:$BD$201,1,$H$2:$H$201,H200,$AX$2:$AX$201,"&lt;"&amp;AX200)=0,1,0),0)</f>
        <v>0</v>
      </c>
      <c r="BF200" s="23" t="n">
        <f aca="false">IF(AND(AY200=1,O200&lt;&gt;"Y",MAX(N(R200),N(V200))&gt;=Config!$B$14),1,0)</f>
        <v>0</v>
      </c>
      <c r="BG200" s="23" t="n">
        <f aca="false">IF(BF200=1,IF(COUNTIFS($AW$2:$AW$201,AW200,$BF$2:$BF$201,1,$H$2:$H$201,"&lt;"&amp;H200)+COUNTIFS($AW$2:$AW$201,AW200,$BF$2:$BF$201,1,$H$2:$H$201,H200,$AX$2:$AX$201,"&lt;"&amp;AX200)=0,1,0),0)</f>
        <v>0</v>
      </c>
      <c r="BH200" s="23" t="n">
        <f aca="false">IF(AND(AY200=1,ISNUMBER(R200)),1,0)</f>
        <v>0</v>
      </c>
      <c r="BI200" s="23" t="n">
        <f aca="false">IF(BH200=1,IF(COUNTIFS($AW$2:$AW$201,AW200,$BH$2:$BH$201,1,$H$2:$H$201,"&lt;"&amp;H200)+COUNTIFS($AW$2:$AW$201,AW200,$BH$2:$BH$201,1,$H$2:$H$201,H200,$AX$2:$AX$201,"&lt;"&amp;AX200)=0,1,0),0)</f>
        <v>0</v>
      </c>
      <c r="BJ200" s="23" t="str">
        <f aca="false">IF(AND(BI200=1,INT(N(H200))&lt;=Config!$B$6),R200,"")</f>
        <v/>
      </c>
      <c r="BK200" s="23" t="str">
        <f aca="false">IF(AND(BI200=1,INT(N(H200))&lt;=Config!$B$7),R200,"")</f>
        <v/>
      </c>
      <c r="BL200" s="23" t="str">
        <f aca="false">IF(AND(BI200=1,INT(N(H200))&lt;=Config!$B$8),R200,"")</f>
        <v/>
      </c>
      <c r="BM200" s="23" t="str">
        <f aca="false">IF(AND(BI200=1,INT(N(H200))&lt;=Config!$B$5),R200,"")</f>
        <v/>
      </c>
      <c r="BN200" s="23" t="n">
        <f aca="false">IF(AND(AY200=1,ISNUMBER(V200)),1,0)</f>
        <v>0</v>
      </c>
      <c r="BO200" s="23" t="n">
        <f aca="false">IF(BN200=1,IF(COUNTIFS($AW$2:$AW$201,AW200,$BN$2:$BN$201,1,$H$2:$H$201,"&lt;"&amp;H200)+COUNTIFS($AW$2:$AW$201,AW200,$BN$2:$BN$201,1,$H$2:$H$201,H200,$AX$2:$AX$201,"&lt;"&amp;AX200)=0,1,0),0)</f>
        <v>0</v>
      </c>
      <c r="BP200" s="23" t="str">
        <f aca="false">IF(AND(BO200=1,INT(N(H200))&lt;=Config!$B$6),V200,"")</f>
        <v/>
      </c>
      <c r="BQ200" s="23" t="str">
        <f aca="false">IF(AND(BO200=1,INT(N(H200))&lt;=Config!$B$7),V200,"")</f>
        <v/>
      </c>
      <c r="BR200" s="23" t="str">
        <f aca="false">IF(AND(BO200=1,INT(N(H200))&lt;=Config!$B$8),V200,"")</f>
        <v/>
      </c>
      <c r="BS200" s="23" t="str">
        <f aca="false">IF(AND(BO200=1,INT(N(H200))&lt;=Config!$B$5),V200,"")</f>
        <v/>
      </c>
      <c r="BT200" s="23" t="n">
        <f aca="false">IF(AND(AY200=1,ISNUMBER(K200)),1,0)</f>
        <v>0</v>
      </c>
      <c r="BU200" s="23" t="n">
        <f aca="false">IF(BT200=1,IF(COUNTIFS($AW$2:$AW$201,AW200,$BT$2:$BT$201,1,$H$2:$H$201,"&lt;"&amp;H200)+COUNTIFS($AW$2:$AW$201,AW200,$BT$2:$BT$201,1,$H$2:$H$201,H200,$AX$2:$AX$201,"&lt;"&amp;AX200)=0,1,0),0)</f>
        <v>0</v>
      </c>
      <c r="BV200" s="23" t="str">
        <f aca="false">IF(AND(BU200=1,INT(N(H200))&lt;=Config!$B$5),K200,"")</f>
        <v/>
      </c>
      <c r="BW200" s="23" t="n">
        <f aca="false">IF(AND(AY200=1,OR(AND(ISNUMBER(R200),TRIM(S200)=""),AND(ISNUMBER(V200),TRIM(W200)=""))),1,0)</f>
        <v>0</v>
      </c>
      <c r="BX200" s="23" t="str">
        <f aca="false">IF(AY200=1,AJ200&amp;"","")</f>
        <v/>
      </c>
      <c r="BY200" s="23" t="str">
        <f aca="false">IF(AY200=1,AK200&amp;"","")</f>
        <v/>
      </c>
      <c r="BZ200" s="23" t="str">
        <f aca="false">IF(AY200=1,AL200&amp;"","")</f>
        <v/>
      </c>
      <c r="CA200" s="23" t="str">
        <f aca="false">IF(AND(AY200=1,ISNUMBER(AS200),INT(N(H200))&lt;=Config!$B$5),AS200,"")</f>
        <v/>
      </c>
      <c r="CB200" s="23" t="str">
        <f aca="false">IF(AY200=1,IF(COUNTIFS($A$2:$A$201,$A200,$CU$2:$CU$201,1,$AN$2:$AN$201,"Y")&gt;0,"Y","N"),"")</f>
        <v/>
      </c>
      <c r="CC200" s="23" t="n">
        <f aca="false">IF(AND(AY200=1,AN200="Y"),IF(COUNTIFS($AW$2:$AW$201,AW200,$AN$2:$AN$201,"Y",$AY$2:$AY$201,1,$H$2:$H$201,"&lt;"&amp;H200)+COUNTIFS($AW$2:$AW$201,AW200,$AN$2:$AN$201,"Y",$AY$2:$AY$201,1,$H$2:$H$201,H200,$AX$2:$AX$201,"&lt;"&amp;AX200)=0,1,0),0)</f>
        <v>0</v>
      </c>
      <c r="CD200" s="23" t="n">
        <f aca="false">IF(AND(AY200=1,AB200="Y",AC200="Y",AD200="Y",AE200="Y",AF200="Y",AG200="Y",AI200="Y",TRIM(AH200)&lt;&gt;""),1,0)</f>
        <v>0</v>
      </c>
      <c r="CE200" s="23" t="n">
        <f aca="false">IF(CD200=1,IF(COUNTIFS($AW$2:$AW$201,AW200,$CD$2:$CD$201,1,$H$2:$H$201,"&lt;"&amp;H200)+COUNTIFS($AW$2:$AW$201,AW200,$CD$2:$CD$201,1,$H$2:$H$201,H200,$AX$2:$AX$201,"&lt;"&amp;AX200)=0,1,0),0)</f>
        <v>0</v>
      </c>
      <c r="CF200" s="23" t="n">
        <f aca="false">IF(AND(AY200=1,AO200="Y"),1,0)</f>
        <v>0</v>
      </c>
      <c r="CG200" s="23" t="n">
        <f aca="false">IF(CF200=1,IF(COUNTIFS($AW$2:$AW$201,AW200,$CF$2:$CF$201,1,$H$2:$H$201,"&lt;"&amp;H200)+COUNTIFS($AW$2:$AW$201,AW200,$CF$2:$CF$201,1,$H$2:$H$201,H200,$AX$2:$AX$201,"&lt;"&amp;AX200)=0,1,0),0)</f>
        <v>0</v>
      </c>
      <c r="CH200" s="23" t="n">
        <f aca="false">IF(AND(AY200=1,P200="Y"),1,0)</f>
        <v>0</v>
      </c>
      <c r="CI200" s="23" t="n">
        <f aca="false">IF(CH200=1,IF(COUNTIFS($AW$2:$AW$201,AW200,$CH$2:$CH$201,1,$H$2:$H$201,"&lt;"&amp;H200)+COUNTIFS($AW$2:$AW$201,AW200,$CH$2:$CH$201,1,$H$2:$H$201,H200,$AX$2:$AX$201,"&lt;"&amp;AX200)=0,1,0),0)</f>
        <v>0</v>
      </c>
      <c r="CJ200" s="23" t="str">
        <f aca="false">IF(AND(BU200=1,INT(N(H200))&lt;=Config!$B$5),L200,"")</f>
        <v/>
      </c>
      <c r="CK200" s="23" t="n">
        <f aca="false">IF(AND(AY200=1,AR200="Y"),1,0)</f>
        <v>0</v>
      </c>
      <c r="CL200" s="23" t="n">
        <f aca="false">IF(CK200=1,IF(COUNTIFS($AW$2:$AW$201,AW200,$CK$2:$CK$201,1,$H$2:$H$201,"&lt;"&amp;H200)+COUNTIFS($AW$2:$AW$201,AW200,$CK$2:$CK$201,1,$H$2:$H$201,H200,$AX$2:$AX$201,"&lt;"&amp;AX200)=0,1,0),0)</f>
        <v>0</v>
      </c>
      <c r="CM200" s="23" t="str">
        <f aca="false">IF(AY200=1,IFERROR(MATCH($A200,INDEX(Clay_Brands!$A$2:$FZ$601,0,Sync!$D$5),0),""),"")</f>
        <v/>
      </c>
      <c r="CN200" s="23" t="str">
        <f aca="false">IF(CM200="","",IFERROR(INDEX(Clay_Brands!$A$2:$FZ$601,CM200,Sync!$D$7)&amp;"",""))</f>
        <v/>
      </c>
      <c r="CO200" s="23" t="str">
        <f aca="false">IF(CN200="","",IFERROR(INDEX(Lists!$K$2:$K$15,MATCH(CN200,Lists!$J$2:$J$15,0)),""))</f>
        <v/>
      </c>
      <c r="CP200" s="23" t="str">
        <f aca="false">IF(CM200="","",IFERROR(INDEX(Clay_Brands!$A$2:$FZ$601,CM200,Sync!$D$17)&amp;"",""))</f>
        <v/>
      </c>
      <c r="CQ200" s="35" t="str">
        <f aca="false">IF(CM200="","",IFERROR(N(INDEX(Clay_Brands!$A$2:$FZ$601,CM200,Sync!$D$16)),0))</f>
        <v/>
      </c>
      <c r="CR200" s="23" t="n">
        <f aca="false">IF(AND(AY200=1,OR(O200="N",AND(OR(ISNUMBER(R200),ISNUMBER(V200)),MAX(N(R200),N(V200))&lt;Config!$B$14))),1,0)</f>
        <v>0</v>
      </c>
      <c r="CS200" s="23" t="n">
        <f aca="false">IF(OR(BB200=1,CR200=1),1,0)</f>
        <v>0</v>
      </c>
      <c r="CT200" s="23" t="n">
        <f aca="false">IF(AND(AY200=1,OR(AN200="Y",AN200="N",AN200="maybe")),1,0)</f>
        <v>0</v>
      </c>
      <c r="CU200" s="23" t="n">
        <f aca="false">IF(AND(CT200=1),IF(COUNTIFS($A$2:$A$201,$A200,$CT$2:$CT$201,1,$H$2:$H$201,"&gt;"&amp;H200)+COUNTIFS($A$2:$A$201,$A200,$CT$2:$CT$201,1,$H$2:$H$201,H200,$AX$2:$AX$201,"&gt;"&amp;AX200)=0,1,0),0)</f>
        <v>0</v>
      </c>
      <c r="CV200" s="23" t="n">
        <f aca="false">IF(AND(CS200=1,INT(N(H200))&lt;=Config!$B$6),IF(COUNTIFS($AW$2:$AW$201,AW200,$CS$2:$CS$201,1,$H$2:$H$201,"&gt;"&amp;H200,$H$2:$H$201,"&lt;"&amp;(Config!$B$6+1))+COUNTIFS($AW$2:$AW$201,AW200,$CS$2:$CS$201,1,$H$2:$H$201,H200,$AX$2:$AX$201,"&gt;"&amp;AX200)=0,1,0),0)</f>
        <v>0</v>
      </c>
      <c r="CW200" s="23" t="n">
        <f aca="false">IF(AND(CS200=1,INT(N(H200))&lt;=Config!$B$7),IF(COUNTIFS($AW$2:$AW$201,AW200,$CS$2:$CS$201,1,$H$2:$H$201,"&gt;"&amp;H200,$H$2:$H$201,"&lt;"&amp;(Config!$B$7+1))+COUNTIFS($AW$2:$AW$201,AW200,$CS$2:$CS$201,1,$H$2:$H$201,H200,$AX$2:$AX$201,"&gt;"&amp;AX200)=0,1,0),0)</f>
        <v>0</v>
      </c>
      <c r="CX200" s="23" t="n">
        <f aca="false">IF(AND(CS200=1,INT(N(H200))&lt;=Config!$B$8),IF(COUNTIFS($AW$2:$AW$201,AW200,$CS$2:$CS$201,1,$H$2:$H$201,"&gt;"&amp;H200,$H$2:$H$201,"&lt;"&amp;(Config!$B$8+1))+COUNTIFS($AW$2:$AW$201,AW200,$CS$2:$CS$201,1,$H$2:$H$201,H200,$AX$2:$AX$201,"&gt;"&amp;AX200)=0,1,0),0)</f>
        <v>0</v>
      </c>
      <c r="CY200" s="23" t="n">
        <f aca="false">IF(AND(CS200=1,INT(N(H200))&lt;=Config!$B$5),IF(COUNTIFS($AW$2:$AW$201,AW200,$CS$2:$CS$201,1,$H$2:$H$201,"&gt;"&amp;H200,$H$2:$H$201,"&lt;"&amp;(Config!$B$5+1))+COUNTIFS($AW$2:$AW$201,AW200,$CS$2:$CS$201,1,$H$2:$H$201,H200,$AX$2:$AX$201,"&gt;"&amp;AX200)=0,1,0),0)</f>
        <v>0</v>
      </c>
      <c r="CZ200" s="23" t="n">
        <f aca="false">IF(AY200=1,IF(COUNTIFS($AW$2:$AW$201,AW200,$CV$2:$CV$201,1,$BB$2:$BB$201,1)&gt;0,1,0),0)</f>
        <v>0</v>
      </c>
      <c r="DA200" s="23" t="n">
        <f aca="false">IF(AY200=1,IF(COUNTIFS($AW$2:$AW$201,AW200,$CW$2:$CW$201,1,$BB$2:$BB$201,1)&gt;0,1,0),0)</f>
        <v>0</v>
      </c>
      <c r="DB200" s="23" t="n">
        <f aca="false">IF(AY200=1,IF(COUNTIFS($AW$2:$AW$201,AW200,$CX$2:$CX$201,1,$BB$2:$BB$201,1)&gt;0,1,0),0)</f>
        <v>0</v>
      </c>
      <c r="DC200" s="23" t="n">
        <f aca="false">IF(AY200=1,IF(COUNTIFS($AW$2:$AW$201,AW200,$CY$2:$CY$201,1,$BB$2:$BB$201,1)&gt;0,1,0),0)</f>
        <v>0</v>
      </c>
      <c r="DD200" s="23" t="n">
        <f aca="false">IF(AND(BC200=1,INT(N(H200))&lt;=Config!$B$6,CZ200=1),1,0)</f>
        <v>0</v>
      </c>
      <c r="DE200" s="23" t="n">
        <f aca="false">IF(AND(BC200=1,INT(N(H200))&lt;=Config!$B$7,DA200=1),1,0)</f>
        <v>0</v>
      </c>
      <c r="DF200" s="23" t="n">
        <f aca="false">IF(AND(BC200=1,INT(N(H200))&lt;=Config!$B$8,DB200=1),1,0)</f>
        <v>0</v>
      </c>
      <c r="DG200" s="23" t="n">
        <f aca="false">IF(AND(BC200=1,INT(N(H200))&lt;=Config!$B$5,DC200=1),1,0)</f>
        <v>0</v>
      </c>
      <c r="DH200" s="23" t="n">
        <f aca="false">IF(AND(BE200=1,INT(N(H200))&lt;=Config!$B$6,CZ200=1),1,0)</f>
        <v>0</v>
      </c>
      <c r="DI200" s="23" t="n">
        <f aca="false">IF(AND(BE200=1,INT(N(H200))&lt;=Config!$B$7,DA200=1),1,0)</f>
        <v>0</v>
      </c>
      <c r="DJ200" s="23" t="n">
        <f aca="false">IF(AND(BE200=1,INT(N(H200))&lt;=Config!$B$8,DB200=1),1,0)</f>
        <v>0</v>
      </c>
      <c r="DK200" s="23" t="n">
        <f aca="false">IF(AND(BE200=1,INT(N(H200))&lt;=Config!$B$5,DC200=1),1,0)</f>
        <v>0</v>
      </c>
      <c r="DL200" s="23" t="n">
        <f aca="false">IF(AND(BC200=1,INT(N(H200))&lt;=Config!$B$6,CZ200=0),1,0)</f>
        <v>0</v>
      </c>
      <c r="DM200" s="23" t="n">
        <f aca="false">IF(AND(BC200=1,INT(N(H200))&lt;=Config!$B$7,DA200=0),1,0)</f>
        <v>0</v>
      </c>
      <c r="DN200" s="23" t="n">
        <f aca="false">IF(AND(BC200=1,INT(N(H200))&lt;=Config!$B$8,DB200=0),1,0)</f>
        <v>0</v>
      </c>
      <c r="DO200" s="23" t="n">
        <f aca="false">IF(AND(BC200=1,INT(N(H200))&lt;=Config!$B$5,DC200=0),1,0)</f>
        <v>0</v>
      </c>
      <c r="DP200" s="23" t="n">
        <f aca="false">IF(TRIM($A200)="",0,ISTEXT(K200)+ISTEXT(L200)+ISTEXT(R200)+ISTEXT(V200)+ISTEXT(AP200)+ISTEXT(AS200))</f>
        <v>0</v>
      </c>
      <c r="DQ200" s="23" t="n">
        <f aca="false">IF(AY200=1,IF(H200&lt;&gt;INT(H200),1,0),0)</f>
        <v>0</v>
      </c>
      <c r="DR200" s="23" t="str">
        <f aca="false">IF(TRIM($A200)="","",IF(TRIM(B200)="",SUBSTITUTE(SUBSTITUTE(SUBSTITUTE(SUBSTITUTE(SUBSTITUTE(SUBSTITUTE(LOWER(TRIM($A200)),"~",""),"*",""),"?",""),"&lt;",""),"&gt;",""),"=",""),SUBSTITUTE(SUBSTITUTE(SUBSTITUTE(SUBSTITUTE(SUBSTITUTE(SUBSTITUTE(LOWER(TRIM(B200)),"~",""),"*",""),"?",""),"&lt;",""),"&gt;",""),"=","")))</f>
        <v/>
      </c>
      <c r="DS200" s="23" t="str">
        <f aca="false">IF(CM200="","",IFERROR(IF(LEFT(LOWER(TRIM(INDEX(Clay_Brands!$A$2:$FZ$601,CM200,Sync!$D$19)&amp;"")),4)="grp-",SUBSTITUTE(SUBSTITUTE(SUBSTITUTE(SUBSTITUTE(SUBSTITUTE(SUBSTITUTE(LOWER(TRIM(INDEX(Clay_Brands!$A$2:$FZ$601,CM200,Sync!$D$19)&amp;"")),"~",""),"*",""),"?",""),"&lt;",""),"&gt;",""),"=",""),""),""))</f>
        <v/>
      </c>
      <c r="DT200" s="23" t="str">
        <f aca="false">IF(DS200&lt;&gt;"",DR200,"")</f>
        <v/>
      </c>
      <c r="DU200" s="23" t="str">
        <f aca="false">IF(AZ200=1,AW200,"")</f>
        <v/>
      </c>
      <c r="DV200" s="23" t="str">
        <f aca="false">IF(TRIM($A200)="","",IFERROR(INDEX($A$2:$A$201,MATCH(AW200,$DU$2:$DU$201,0))&amp;"",$A200&amp;""))</f>
        <v/>
      </c>
      <c r="DW200" s="23" t="n">
        <f aca="false">IF(AY200=1,IF(COUNTIFS($A$2:$A$201,$A200,$AY$2:$AY$201,1,$H$2:$H$201,"&lt;"&amp;H200)+COUNTIFS($A$2:$A$201,$A200,$AY$2:$AY$201,1,$H$2:$H$201,H200,$AX$2:$AX$201,"&lt;"&amp;AX200)=0,1,0),0)</f>
        <v>0</v>
      </c>
      <c r="DX200" s="23" t="n">
        <f aca="false">IF(AZ200=1,IF(COUNTIFS($AW$2:$AW$201,AW200,$DW$2:$DW$201,1)&gt;1,1,0),0)</f>
        <v>0</v>
      </c>
    </row>
    <row r="201" customFormat="false" ht="15" hidden="false" customHeight="false" outlineLevel="0" collapsed="false">
      <c r="G201" s="32"/>
      <c r="H201" s="33"/>
      <c r="I201" s="32"/>
      <c r="O201" s="32"/>
      <c r="P201" s="32"/>
      <c r="U201" s="32"/>
      <c r="Y201" s="32"/>
      <c r="AB201" s="32"/>
      <c r="AC201" s="32"/>
      <c r="AD201" s="32"/>
      <c r="AE201" s="32"/>
      <c r="AF201" s="32"/>
      <c r="AG201" s="32"/>
      <c r="AI201" s="32"/>
      <c r="AJ201" s="32"/>
      <c r="AK201" s="32"/>
      <c r="AN201" s="32"/>
      <c r="AO201" s="32"/>
      <c r="AR201" s="32"/>
      <c r="AT201" s="32"/>
      <c r="AV201" s="34" t="str">
        <f aca="false">IF(TRIM($A201)="","",IF(AND(LEFT($A201,6)="SAMPLE",Config!$B$19&lt;&gt;"Y"),"",IF(NOT(ISNUMBER(H201)),"call_date is blank or not a date",IF(Sync!$D$5="","Clay paste is empty or has no row_id column: paste the Clay export on Clay_Brands",IF(CM201="","row_id not found in the Clay paste: add the Clay row or fix the row_id",IF(AND(ISNUMBER(CO201),CO201&gt;=1,CO201&lt;=5),"Clay status is "&amp;CN201&amp;": set call_done or later",IF(AND(BA201=1,CP201&lt;&gt;CB201),"Clay yes_in_principle should be "&amp;CB201,IF(AND(BA201=1,CQ201&lt;&gt;H201),"Clay call_date should be "&amp;TEXT(H201,"yyyy-mm-dd"),""))))))))</f>
        <v/>
      </c>
      <c r="AW201" s="23" t="str">
        <f aca="false">IF(TRIM($A201)="","",IF(TRIM(C201)&lt;&gt;"",SUBSTITUTE(SUBSTITUTE(SUBSTITUTE(SUBSTITUTE(SUBSTITUTE(SUBSTITUTE(LOWER(TRIM(C201)),"~",""),"*",""),"?",""),"&lt;",""),"&gt;",""),"=",""),IF(DS201&lt;&gt;"",DS201,IFERROR(INDEX($DS$2:$DS$201,MATCH(DR201,$DT$2:$DT$201,0)),DR201))))</f>
        <v/>
      </c>
      <c r="AX201" s="23" t="n">
        <f aca="false">ROW()</f>
        <v>201</v>
      </c>
      <c r="AY201" s="23" t="n">
        <f aca="false">IF(AND(TRIM($A201)&lt;&gt;"",ISNUMBER(H201)),IF(AND(LEFT($A201,6)="SAMPLE",Config!$B$19&lt;&gt;"Y"),0,1),0)</f>
        <v>0</v>
      </c>
      <c r="AZ201" s="23" t="n">
        <f aca="false">IF(AY201=1,IF(COUNTIFS($AW$2:$AW$201,AW201,$AY$2:$AY$201,1,$H$2:$H$201,"&lt;"&amp;H201)+COUNTIFS($AW$2:$AW$201,AW201,$AY$2:$AY$201,1,$H$2:$H$201,H201,$AX$2:$AX$201,"&lt;"&amp;AX201)=0,1,0),0)</f>
        <v>0</v>
      </c>
      <c r="BA201" s="23" t="n">
        <f aca="false">IF(AY201=1,IF(COUNTIFS($A$2:$A$201,$A201,$AY$2:$AY$201,1,$H$2:$H$201,"&gt;"&amp;H201)+COUNTIFS($A$2:$A$201,$A201,$AY$2:$AY$201,1,$H$2:$H$201,H201,$AX$2:$AX$201,"&gt;"&amp;AX201)=0,1,0),0)</f>
        <v>0</v>
      </c>
      <c r="BB201" s="23" t="n">
        <f aca="false">IF(AND(AY201=1,O201="Y",MAX(N(R201),N(V201))&gt;=Config!$B$14),1,0)</f>
        <v>0</v>
      </c>
      <c r="BC201" s="23" t="n">
        <f aca="false">IF(BB201=1,IF(COUNTIFS($AW$2:$AW$201,AW201,$BB$2:$BB$201,1,$H$2:$H$201,"&lt;"&amp;H201)+COUNTIFS($AW$2:$AW$201,AW201,$BB$2:$BB$201,1,$H$2:$H$201,H201,$AX$2:$AX$201,"&lt;"&amp;AX201)=0,1,0),0)</f>
        <v>0</v>
      </c>
      <c r="BD201" s="23" t="n">
        <f aca="false">IF(AND(AY201=1,O201="Y",ISNUMBER(R201)),IF(R201&gt;=Config!$B$14,1,0),0)</f>
        <v>0</v>
      </c>
      <c r="BE201" s="23" t="n">
        <f aca="false">IF(BD201=1,IF(COUNTIFS($AW$2:$AW$201,AW201,$BD$2:$BD$201,1,$H$2:$H$201,"&lt;"&amp;H201)+COUNTIFS($AW$2:$AW$201,AW201,$BD$2:$BD$201,1,$H$2:$H$201,H201,$AX$2:$AX$201,"&lt;"&amp;AX201)=0,1,0),0)</f>
        <v>0</v>
      </c>
      <c r="BF201" s="23" t="n">
        <f aca="false">IF(AND(AY201=1,O201&lt;&gt;"Y",MAX(N(R201),N(V201))&gt;=Config!$B$14),1,0)</f>
        <v>0</v>
      </c>
      <c r="BG201" s="23" t="n">
        <f aca="false">IF(BF201=1,IF(COUNTIFS($AW$2:$AW$201,AW201,$BF$2:$BF$201,1,$H$2:$H$201,"&lt;"&amp;H201)+COUNTIFS($AW$2:$AW$201,AW201,$BF$2:$BF$201,1,$H$2:$H$201,H201,$AX$2:$AX$201,"&lt;"&amp;AX201)=0,1,0),0)</f>
        <v>0</v>
      </c>
      <c r="BH201" s="23" t="n">
        <f aca="false">IF(AND(AY201=1,ISNUMBER(R201)),1,0)</f>
        <v>0</v>
      </c>
      <c r="BI201" s="23" t="n">
        <f aca="false">IF(BH201=1,IF(COUNTIFS($AW$2:$AW$201,AW201,$BH$2:$BH$201,1,$H$2:$H$201,"&lt;"&amp;H201)+COUNTIFS($AW$2:$AW$201,AW201,$BH$2:$BH$201,1,$H$2:$H$201,H201,$AX$2:$AX$201,"&lt;"&amp;AX201)=0,1,0),0)</f>
        <v>0</v>
      </c>
      <c r="BJ201" s="23" t="str">
        <f aca="false">IF(AND(BI201=1,INT(N(H201))&lt;=Config!$B$6),R201,"")</f>
        <v/>
      </c>
      <c r="BK201" s="23" t="str">
        <f aca="false">IF(AND(BI201=1,INT(N(H201))&lt;=Config!$B$7),R201,"")</f>
        <v/>
      </c>
      <c r="BL201" s="23" t="str">
        <f aca="false">IF(AND(BI201=1,INT(N(H201))&lt;=Config!$B$8),R201,"")</f>
        <v/>
      </c>
      <c r="BM201" s="23" t="str">
        <f aca="false">IF(AND(BI201=1,INT(N(H201))&lt;=Config!$B$5),R201,"")</f>
        <v/>
      </c>
      <c r="BN201" s="23" t="n">
        <f aca="false">IF(AND(AY201=1,ISNUMBER(V201)),1,0)</f>
        <v>0</v>
      </c>
      <c r="BO201" s="23" t="n">
        <f aca="false">IF(BN201=1,IF(COUNTIFS($AW$2:$AW$201,AW201,$BN$2:$BN$201,1,$H$2:$H$201,"&lt;"&amp;H201)+COUNTIFS($AW$2:$AW$201,AW201,$BN$2:$BN$201,1,$H$2:$H$201,H201,$AX$2:$AX$201,"&lt;"&amp;AX201)=0,1,0),0)</f>
        <v>0</v>
      </c>
      <c r="BP201" s="23" t="str">
        <f aca="false">IF(AND(BO201=1,INT(N(H201))&lt;=Config!$B$6),V201,"")</f>
        <v/>
      </c>
      <c r="BQ201" s="23" t="str">
        <f aca="false">IF(AND(BO201=1,INT(N(H201))&lt;=Config!$B$7),V201,"")</f>
        <v/>
      </c>
      <c r="BR201" s="23" t="str">
        <f aca="false">IF(AND(BO201=1,INT(N(H201))&lt;=Config!$B$8),V201,"")</f>
        <v/>
      </c>
      <c r="BS201" s="23" t="str">
        <f aca="false">IF(AND(BO201=1,INT(N(H201))&lt;=Config!$B$5),V201,"")</f>
        <v/>
      </c>
      <c r="BT201" s="23" t="n">
        <f aca="false">IF(AND(AY201=1,ISNUMBER(K201)),1,0)</f>
        <v>0</v>
      </c>
      <c r="BU201" s="23" t="n">
        <f aca="false">IF(BT201=1,IF(COUNTIFS($AW$2:$AW$201,AW201,$BT$2:$BT$201,1,$H$2:$H$201,"&lt;"&amp;H201)+COUNTIFS($AW$2:$AW$201,AW201,$BT$2:$BT$201,1,$H$2:$H$201,H201,$AX$2:$AX$201,"&lt;"&amp;AX201)=0,1,0),0)</f>
        <v>0</v>
      </c>
      <c r="BV201" s="23" t="str">
        <f aca="false">IF(AND(BU201=1,INT(N(H201))&lt;=Config!$B$5),K201,"")</f>
        <v/>
      </c>
      <c r="BW201" s="23" t="n">
        <f aca="false">IF(AND(AY201=1,OR(AND(ISNUMBER(R201),TRIM(S201)=""),AND(ISNUMBER(V201),TRIM(W201)=""))),1,0)</f>
        <v>0</v>
      </c>
      <c r="BX201" s="23" t="str">
        <f aca="false">IF(AY201=1,AJ201&amp;"","")</f>
        <v/>
      </c>
      <c r="BY201" s="23" t="str">
        <f aca="false">IF(AY201=1,AK201&amp;"","")</f>
        <v/>
      </c>
      <c r="BZ201" s="23" t="str">
        <f aca="false">IF(AY201=1,AL201&amp;"","")</f>
        <v/>
      </c>
      <c r="CA201" s="23" t="str">
        <f aca="false">IF(AND(AY201=1,ISNUMBER(AS201),INT(N(H201))&lt;=Config!$B$5),AS201,"")</f>
        <v/>
      </c>
      <c r="CB201" s="23" t="str">
        <f aca="false">IF(AY201=1,IF(COUNTIFS($A$2:$A$201,$A201,$CU$2:$CU$201,1,$AN$2:$AN$201,"Y")&gt;0,"Y","N"),"")</f>
        <v/>
      </c>
      <c r="CC201" s="23" t="n">
        <f aca="false">IF(AND(AY201=1,AN201="Y"),IF(COUNTIFS($AW$2:$AW$201,AW201,$AN$2:$AN$201,"Y",$AY$2:$AY$201,1,$H$2:$H$201,"&lt;"&amp;H201)+COUNTIFS($AW$2:$AW$201,AW201,$AN$2:$AN$201,"Y",$AY$2:$AY$201,1,$H$2:$H$201,H201,$AX$2:$AX$201,"&lt;"&amp;AX201)=0,1,0),0)</f>
        <v>0</v>
      </c>
      <c r="CD201" s="23" t="n">
        <f aca="false">IF(AND(AY201=1,AB201="Y",AC201="Y",AD201="Y",AE201="Y",AF201="Y",AG201="Y",AI201="Y",TRIM(AH201)&lt;&gt;""),1,0)</f>
        <v>0</v>
      </c>
      <c r="CE201" s="23" t="n">
        <f aca="false">IF(CD201=1,IF(COUNTIFS($AW$2:$AW$201,AW201,$CD$2:$CD$201,1,$H$2:$H$201,"&lt;"&amp;H201)+COUNTIFS($AW$2:$AW$201,AW201,$CD$2:$CD$201,1,$H$2:$H$201,H201,$AX$2:$AX$201,"&lt;"&amp;AX201)=0,1,0),0)</f>
        <v>0</v>
      </c>
      <c r="CF201" s="23" t="n">
        <f aca="false">IF(AND(AY201=1,AO201="Y"),1,0)</f>
        <v>0</v>
      </c>
      <c r="CG201" s="23" t="n">
        <f aca="false">IF(CF201=1,IF(COUNTIFS($AW$2:$AW$201,AW201,$CF$2:$CF$201,1,$H$2:$H$201,"&lt;"&amp;H201)+COUNTIFS($AW$2:$AW$201,AW201,$CF$2:$CF$201,1,$H$2:$H$201,H201,$AX$2:$AX$201,"&lt;"&amp;AX201)=0,1,0),0)</f>
        <v>0</v>
      </c>
      <c r="CH201" s="23" t="n">
        <f aca="false">IF(AND(AY201=1,P201="Y"),1,0)</f>
        <v>0</v>
      </c>
      <c r="CI201" s="23" t="n">
        <f aca="false">IF(CH201=1,IF(COUNTIFS($AW$2:$AW$201,AW201,$CH$2:$CH$201,1,$H$2:$H$201,"&lt;"&amp;H201)+COUNTIFS($AW$2:$AW$201,AW201,$CH$2:$CH$201,1,$H$2:$H$201,H201,$AX$2:$AX$201,"&lt;"&amp;AX201)=0,1,0),0)</f>
        <v>0</v>
      </c>
      <c r="CJ201" s="23" t="str">
        <f aca="false">IF(AND(BU201=1,INT(N(H201))&lt;=Config!$B$5),L201,"")</f>
        <v/>
      </c>
      <c r="CK201" s="23" t="n">
        <f aca="false">IF(AND(AY201=1,AR201="Y"),1,0)</f>
        <v>0</v>
      </c>
      <c r="CL201" s="23" t="n">
        <f aca="false">IF(CK201=1,IF(COUNTIFS($AW$2:$AW$201,AW201,$CK$2:$CK$201,1,$H$2:$H$201,"&lt;"&amp;H201)+COUNTIFS($AW$2:$AW$201,AW201,$CK$2:$CK$201,1,$H$2:$H$201,H201,$AX$2:$AX$201,"&lt;"&amp;AX201)=0,1,0),0)</f>
        <v>0</v>
      </c>
      <c r="CM201" s="23" t="str">
        <f aca="false">IF(AY201=1,IFERROR(MATCH($A201,INDEX(Clay_Brands!$A$2:$FZ$601,0,Sync!$D$5),0),""),"")</f>
        <v/>
      </c>
      <c r="CN201" s="23" t="str">
        <f aca="false">IF(CM201="","",IFERROR(INDEX(Clay_Brands!$A$2:$FZ$601,CM201,Sync!$D$7)&amp;"",""))</f>
        <v/>
      </c>
      <c r="CO201" s="23" t="str">
        <f aca="false">IF(CN201="","",IFERROR(INDEX(Lists!$K$2:$K$15,MATCH(CN201,Lists!$J$2:$J$15,0)),""))</f>
        <v/>
      </c>
      <c r="CP201" s="23" t="str">
        <f aca="false">IF(CM201="","",IFERROR(INDEX(Clay_Brands!$A$2:$FZ$601,CM201,Sync!$D$17)&amp;"",""))</f>
        <v/>
      </c>
      <c r="CQ201" s="35" t="str">
        <f aca="false">IF(CM201="","",IFERROR(N(INDEX(Clay_Brands!$A$2:$FZ$601,CM201,Sync!$D$16)),0))</f>
        <v/>
      </c>
      <c r="CR201" s="23" t="n">
        <f aca="false">IF(AND(AY201=1,OR(O201="N",AND(OR(ISNUMBER(R201),ISNUMBER(V201)),MAX(N(R201),N(V201))&lt;Config!$B$14))),1,0)</f>
        <v>0</v>
      </c>
      <c r="CS201" s="23" t="n">
        <f aca="false">IF(OR(BB201=1,CR201=1),1,0)</f>
        <v>0</v>
      </c>
      <c r="CT201" s="23" t="n">
        <f aca="false">IF(AND(AY201=1,OR(AN201="Y",AN201="N",AN201="maybe")),1,0)</f>
        <v>0</v>
      </c>
      <c r="CU201" s="23" t="n">
        <f aca="false">IF(AND(CT201=1),IF(COUNTIFS($A$2:$A$201,$A201,$CT$2:$CT$201,1,$H$2:$H$201,"&gt;"&amp;H201)+COUNTIFS($A$2:$A$201,$A201,$CT$2:$CT$201,1,$H$2:$H$201,H201,$AX$2:$AX$201,"&gt;"&amp;AX201)=0,1,0),0)</f>
        <v>0</v>
      </c>
      <c r="CV201" s="23" t="n">
        <f aca="false">IF(AND(CS201=1,INT(N(H201))&lt;=Config!$B$6),IF(COUNTIFS($AW$2:$AW$201,AW201,$CS$2:$CS$201,1,$H$2:$H$201,"&gt;"&amp;H201,$H$2:$H$201,"&lt;"&amp;(Config!$B$6+1))+COUNTIFS($AW$2:$AW$201,AW201,$CS$2:$CS$201,1,$H$2:$H$201,H201,$AX$2:$AX$201,"&gt;"&amp;AX201)=0,1,0),0)</f>
        <v>0</v>
      </c>
      <c r="CW201" s="23" t="n">
        <f aca="false">IF(AND(CS201=1,INT(N(H201))&lt;=Config!$B$7),IF(COUNTIFS($AW$2:$AW$201,AW201,$CS$2:$CS$201,1,$H$2:$H$201,"&gt;"&amp;H201,$H$2:$H$201,"&lt;"&amp;(Config!$B$7+1))+COUNTIFS($AW$2:$AW$201,AW201,$CS$2:$CS$201,1,$H$2:$H$201,H201,$AX$2:$AX$201,"&gt;"&amp;AX201)=0,1,0),0)</f>
        <v>0</v>
      </c>
      <c r="CX201" s="23" t="n">
        <f aca="false">IF(AND(CS201=1,INT(N(H201))&lt;=Config!$B$8),IF(COUNTIFS($AW$2:$AW$201,AW201,$CS$2:$CS$201,1,$H$2:$H$201,"&gt;"&amp;H201,$H$2:$H$201,"&lt;"&amp;(Config!$B$8+1))+COUNTIFS($AW$2:$AW$201,AW201,$CS$2:$CS$201,1,$H$2:$H$201,H201,$AX$2:$AX$201,"&gt;"&amp;AX201)=0,1,0),0)</f>
        <v>0</v>
      </c>
      <c r="CY201" s="23" t="n">
        <f aca="false">IF(AND(CS201=1,INT(N(H201))&lt;=Config!$B$5),IF(COUNTIFS($AW$2:$AW$201,AW201,$CS$2:$CS$201,1,$H$2:$H$201,"&gt;"&amp;H201,$H$2:$H$201,"&lt;"&amp;(Config!$B$5+1))+COUNTIFS($AW$2:$AW$201,AW201,$CS$2:$CS$201,1,$H$2:$H$201,H201,$AX$2:$AX$201,"&gt;"&amp;AX201)=0,1,0),0)</f>
        <v>0</v>
      </c>
      <c r="CZ201" s="23" t="n">
        <f aca="false">IF(AY201=1,IF(COUNTIFS($AW$2:$AW$201,AW201,$CV$2:$CV$201,1,$BB$2:$BB$201,1)&gt;0,1,0),0)</f>
        <v>0</v>
      </c>
      <c r="DA201" s="23" t="n">
        <f aca="false">IF(AY201=1,IF(COUNTIFS($AW$2:$AW$201,AW201,$CW$2:$CW$201,1,$BB$2:$BB$201,1)&gt;0,1,0),0)</f>
        <v>0</v>
      </c>
      <c r="DB201" s="23" t="n">
        <f aca="false">IF(AY201=1,IF(COUNTIFS($AW$2:$AW$201,AW201,$CX$2:$CX$201,1,$BB$2:$BB$201,1)&gt;0,1,0),0)</f>
        <v>0</v>
      </c>
      <c r="DC201" s="23" t="n">
        <f aca="false">IF(AY201=1,IF(COUNTIFS($AW$2:$AW$201,AW201,$CY$2:$CY$201,1,$BB$2:$BB$201,1)&gt;0,1,0),0)</f>
        <v>0</v>
      </c>
      <c r="DD201" s="23" t="n">
        <f aca="false">IF(AND(BC201=1,INT(N(H201))&lt;=Config!$B$6,CZ201=1),1,0)</f>
        <v>0</v>
      </c>
      <c r="DE201" s="23" t="n">
        <f aca="false">IF(AND(BC201=1,INT(N(H201))&lt;=Config!$B$7,DA201=1),1,0)</f>
        <v>0</v>
      </c>
      <c r="DF201" s="23" t="n">
        <f aca="false">IF(AND(BC201=1,INT(N(H201))&lt;=Config!$B$8,DB201=1),1,0)</f>
        <v>0</v>
      </c>
      <c r="DG201" s="23" t="n">
        <f aca="false">IF(AND(BC201=1,INT(N(H201))&lt;=Config!$B$5,DC201=1),1,0)</f>
        <v>0</v>
      </c>
      <c r="DH201" s="23" t="n">
        <f aca="false">IF(AND(BE201=1,INT(N(H201))&lt;=Config!$B$6,CZ201=1),1,0)</f>
        <v>0</v>
      </c>
      <c r="DI201" s="23" t="n">
        <f aca="false">IF(AND(BE201=1,INT(N(H201))&lt;=Config!$B$7,DA201=1),1,0)</f>
        <v>0</v>
      </c>
      <c r="DJ201" s="23" t="n">
        <f aca="false">IF(AND(BE201=1,INT(N(H201))&lt;=Config!$B$8,DB201=1),1,0)</f>
        <v>0</v>
      </c>
      <c r="DK201" s="23" t="n">
        <f aca="false">IF(AND(BE201=1,INT(N(H201))&lt;=Config!$B$5,DC201=1),1,0)</f>
        <v>0</v>
      </c>
      <c r="DL201" s="23" t="n">
        <f aca="false">IF(AND(BC201=1,INT(N(H201))&lt;=Config!$B$6,CZ201=0),1,0)</f>
        <v>0</v>
      </c>
      <c r="DM201" s="23" t="n">
        <f aca="false">IF(AND(BC201=1,INT(N(H201))&lt;=Config!$B$7,DA201=0),1,0)</f>
        <v>0</v>
      </c>
      <c r="DN201" s="23" t="n">
        <f aca="false">IF(AND(BC201=1,INT(N(H201))&lt;=Config!$B$8,DB201=0),1,0)</f>
        <v>0</v>
      </c>
      <c r="DO201" s="23" t="n">
        <f aca="false">IF(AND(BC201=1,INT(N(H201))&lt;=Config!$B$5,DC201=0),1,0)</f>
        <v>0</v>
      </c>
      <c r="DP201" s="23" t="n">
        <f aca="false">IF(TRIM($A201)="",0,ISTEXT(K201)+ISTEXT(L201)+ISTEXT(R201)+ISTEXT(V201)+ISTEXT(AP201)+ISTEXT(AS201))</f>
        <v>0</v>
      </c>
      <c r="DQ201" s="23" t="n">
        <f aca="false">IF(AY201=1,IF(H201&lt;&gt;INT(H201),1,0),0)</f>
        <v>0</v>
      </c>
      <c r="DR201" s="23" t="str">
        <f aca="false">IF(TRIM($A201)="","",IF(TRIM(B201)="",SUBSTITUTE(SUBSTITUTE(SUBSTITUTE(SUBSTITUTE(SUBSTITUTE(SUBSTITUTE(LOWER(TRIM($A201)),"~",""),"*",""),"?",""),"&lt;",""),"&gt;",""),"=",""),SUBSTITUTE(SUBSTITUTE(SUBSTITUTE(SUBSTITUTE(SUBSTITUTE(SUBSTITUTE(LOWER(TRIM(B201)),"~",""),"*",""),"?",""),"&lt;",""),"&gt;",""),"=","")))</f>
        <v/>
      </c>
      <c r="DS201" s="23" t="str">
        <f aca="false">IF(CM201="","",IFERROR(IF(LEFT(LOWER(TRIM(INDEX(Clay_Brands!$A$2:$FZ$601,CM201,Sync!$D$19)&amp;"")),4)="grp-",SUBSTITUTE(SUBSTITUTE(SUBSTITUTE(SUBSTITUTE(SUBSTITUTE(SUBSTITUTE(LOWER(TRIM(INDEX(Clay_Brands!$A$2:$FZ$601,CM201,Sync!$D$19)&amp;"")),"~",""),"*",""),"?",""),"&lt;",""),"&gt;",""),"=",""),""),""))</f>
        <v/>
      </c>
      <c r="DT201" s="23" t="str">
        <f aca="false">IF(DS201&lt;&gt;"",DR201,"")</f>
        <v/>
      </c>
      <c r="DU201" s="23" t="str">
        <f aca="false">IF(AZ201=1,AW201,"")</f>
        <v/>
      </c>
      <c r="DV201" s="23" t="str">
        <f aca="false">IF(TRIM($A201)="","",IFERROR(INDEX($A$2:$A$201,MATCH(AW201,$DU$2:$DU$201,0))&amp;"",$A201&amp;""))</f>
        <v/>
      </c>
      <c r="DW201" s="23" t="n">
        <f aca="false">IF(AY201=1,IF(COUNTIFS($A$2:$A$201,$A201,$AY$2:$AY$201,1,$H$2:$H$201,"&lt;"&amp;H201)+COUNTIFS($A$2:$A$201,$A201,$AY$2:$AY$201,1,$H$2:$H$201,H201,$AX$2:$AX$201,"&lt;"&amp;AX201)=0,1,0),0)</f>
        <v>0</v>
      </c>
      <c r="DX201" s="23" t="n">
        <f aca="false">IF(AZ201=1,IF(COUNTIFS($AW$2:$AW$201,AW201,$DW$2:$DW$201,1)&gt;1,1,0),0)</f>
        <v>0</v>
      </c>
    </row>
  </sheetData>
  <conditionalFormatting sqref="AV2:AV201">
    <cfRule type="expression" priority="2" aboveAverage="0" equalAverage="0" bottom="0" percent="0" rank="0" text="" dxfId="2">
      <formula>LEN(AV2)&gt;0</formula>
    </cfRule>
  </conditionalFormatting>
  <dataValidations count="20">
    <dataValidation allowBlank="true" errorStyle="stop" operator="between" showDropDown="false" showErrorMessage="false" showInputMessage="false" sqref="G2:G201" type="list">
      <formula1>Lists!$E$2:$E$5</formula1>
      <formula2>0</formula2>
    </dataValidation>
    <dataValidation allowBlank="true" errorStyle="stop" operator="between" showDropDown="false" showErrorMessage="false" showInputMessage="false" sqref="I2:I201" type="list">
      <formula1>Lists!$F$2:$F$5</formula1>
      <formula2>0</formula2>
    </dataValidation>
    <dataValidation allowBlank="true" errorStyle="stop" operator="between" showDropDown="false" showErrorMessage="false" showInputMessage="false" sqref="O2:O201" type="list">
      <formula1>Lists!$A$2:$A$3</formula1>
      <formula2>0</formula2>
    </dataValidation>
    <dataValidation allowBlank="true" errorStyle="stop" operator="between" showDropDown="false" showErrorMessage="false" showInputMessage="false" sqref="P2:P201" type="list">
      <formula1>Lists!$A$2:$A$3</formula1>
      <formula2>0</formula2>
    </dataValidation>
    <dataValidation allowBlank="true" errorStyle="stop" operator="between" showDropDown="false" showErrorMessage="false" showInputMessage="false" sqref="U2:U201" type="list">
      <formula1>Lists!$A$2:$A$3</formula1>
      <formula2>0</formula2>
    </dataValidation>
    <dataValidation allowBlank="true" errorStyle="stop" operator="between" showDropDown="false" showErrorMessage="false" showInputMessage="false" sqref="Y2:Y201" type="list">
      <formula1>Lists!$I$2:$I$7</formula1>
      <formula2>0</formula2>
    </dataValidation>
    <dataValidation allowBlank="true" errorStyle="stop" operator="between" showDropDown="false" showErrorMessage="false" showInputMessage="false" sqref="AB2:AB201" type="list">
      <formula1>Lists!$D$2:$D$4</formula1>
      <formula2>0</formula2>
    </dataValidation>
    <dataValidation allowBlank="true" errorStyle="stop" operator="between" showDropDown="false" showErrorMessage="false" showInputMessage="false" sqref="AC2:AC201" type="list">
      <formula1>Lists!$D$2:$D$4</formula1>
      <formula2>0</formula2>
    </dataValidation>
    <dataValidation allowBlank="true" errorStyle="stop" operator="between" showDropDown="false" showErrorMessage="false" showInputMessage="false" sqref="AD2:AD201" type="list">
      <formula1>Lists!$D$2:$D$4</formula1>
      <formula2>0</formula2>
    </dataValidation>
    <dataValidation allowBlank="true" errorStyle="stop" operator="between" showDropDown="false" showErrorMessage="false" showInputMessage="false" sqref="AE2:AE201" type="list">
      <formula1>Lists!$D$2:$D$4</formula1>
      <formula2>0</formula2>
    </dataValidation>
    <dataValidation allowBlank="true" errorStyle="stop" operator="between" showDropDown="false" showErrorMessage="false" showInputMessage="false" sqref="AF2:AF201" type="list">
      <formula1>Lists!$D$2:$D$4</formula1>
      <formula2>0</formula2>
    </dataValidation>
    <dataValidation allowBlank="true" errorStyle="stop" operator="between" showDropDown="false" showErrorMessage="false" showInputMessage="false" sqref="AG2:AG201" type="list">
      <formula1>Lists!$D$2:$D$4</formula1>
      <formula2>0</formula2>
    </dataValidation>
    <dataValidation allowBlank="true" errorStyle="stop" operator="between" showDropDown="false" showErrorMessage="false" showInputMessage="false" sqref="AI2:AI201" type="list">
      <formula1>Lists!$A$2:$A$3</formula1>
      <formula2>0</formula2>
    </dataValidation>
    <dataValidation allowBlank="true" errorStyle="stop" operator="between" showDropDown="false" showErrorMessage="false" showInputMessage="false" sqref="AJ2:AJ201" type="list">
      <formula1>Lists!$P$2:$P$14</formula1>
      <formula2>0</formula2>
    </dataValidation>
    <dataValidation allowBlank="true" errorStyle="stop" operator="between" showDropDown="false" showErrorMessage="false" showInputMessage="false" sqref="AK2:AK201" type="list">
      <formula1>Lists!$P$2:$P$14</formula1>
      <formula2>0</formula2>
    </dataValidation>
    <dataValidation allowBlank="true" errorStyle="stop" operator="between" showDropDown="false" showErrorMessage="false" showInputMessage="false" sqref="AL2:AL201" type="list">
      <formula1>Lists!$P$2:$P$14</formula1>
      <formula2>0</formula2>
    </dataValidation>
    <dataValidation allowBlank="true" errorStyle="stop" operator="between" showDropDown="false" showErrorMessage="false" showInputMessage="false" sqref="AN2:AN201" type="list">
      <formula1>Lists!$B$2:$B$4</formula1>
      <formula2>0</formula2>
    </dataValidation>
    <dataValidation allowBlank="true" errorStyle="stop" operator="between" showDropDown="false" showErrorMessage="false" showInputMessage="false" sqref="AO2:AO201" type="list">
      <formula1>Lists!$A$2:$A$3</formula1>
      <formula2>0</formula2>
    </dataValidation>
    <dataValidation allowBlank="true" errorStyle="stop" operator="between" showDropDown="false" showErrorMessage="false" showInputMessage="false" sqref="AR2:AR201" type="list">
      <formula1>Lists!$A$2:$A$3</formula1>
      <formula2>0</formula2>
    </dataValidation>
    <dataValidation allowBlank="true" errorStyle="stop" operator="between" showDropDown="false" showErrorMessage="false" showInputMessage="false" sqref="AT2:AT201"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X5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80"/>
  </cols>
  <sheetData>
    <row r="1" customFormat="false" ht="17.35" hidden="false" customHeight="false" outlineLevel="0" collapsed="false">
      <c r="A1" s="6" t="s">
        <v>769</v>
      </c>
    </row>
    <row r="2" customFormat="false" ht="43.5" hidden="false" customHeight="true" outlineLevel="0" collapsed="false">
      <c r="A2" s="36" t="s">
        <v>770</v>
      </c>
      <c r="B2" s="36"/>
      <c r="C2" s="36"/>
    </row>
    <row r="3" customFormat="false" ht="15" hidden="false" customHeight="false" outlineLevel="0" collapsed="false">
      <c r="A3" s="8" t="s">
        <v>771</v>
      </c>
      <c r="B3" s="8" t="s">
        <v>772</v>
      </c>
      <c r="C3" s="8" t="s">
        <v>773</v>
      </c>
    </row>
    <row r="4" customFormat="false" ht="28.35" hidden="false" customHeight="false" outlineLevel="0" collapsed="false">
      <c r="A4" s="37" t="s">
        <v>300</v>
      </c>
      <c r="B4" s="38" t="s">
        <v>448</v>
      </c>
      <c r="C4" s="39" t="s">
        <v>774</v>
      </c>
    </row>
    <row r="5" customFormat="false" ht="28.35" hidden="false" customHeight="false" outlineLevel="0" collapsed="false">
      <c r="A5" s="37" t="s">
        <v>301</v>
      </c>
      <c r="B5" s="38" t="s">
        <v>449</v>
      </c>
      <c r="C5" s="39" t="s">
        <v>775</v>
      </c>
    </row>
    <row r="6" customFormat="false" ht="68.65" hidden="false" customHeight="false" outlineLevel="0" collapsed="false">
      <c r="A6" s="37" t="s">
        <v>302</v>
      </c>
      <c r="B6" s="38"/>
      <c r="C6" s="39" t="s">
        <v>776</v>
      </c>
    </row>
    <row r="7" customFormat="false" ht="15" hidden="false" customHeight="false" outlineLevel="0" collapsed="false">
      <c r="A7" s="37" t="s">
        <v>303</v>
      </c>
      <c r="B7" s="38" t="s">
        <v>450</v>
      </c>
      <c r="C7" s="39" t="s">
        <v>777</v>
      </c>
    </row>
    <row r="8" customFormat="false" ht="15" hidden="false" customHeight="false" outlineLevel="0" collapsed="false">
      <c r="A8" s="37" t="s">
        <v>304</v>
      </c>
      <c r="B8" s="38" t="s">
        <v>451</v>
      </c>
      <c r="C8" s="39" t="s">
        <v>778</v>
      </c>
    </row>
    <row r="9" customFormat="false" ht="28.35" hidden="false" customHeight="false" outlineLevel="0" collapsed="false">
      <c r="A9" s="37" t="s">
        <v>305</v>
      </c>
      <c r="B9" s="38" t="s">
        <v>452</v>
      </c>
      <c r="C9" s="39" t="s">
        <v>779</v>
      </c>
    </row>
    <row r="10" customFormat="false" ht="15" hidden="false" customHeight="false" outlineLevel="0" collapsed="false">
      <c r="A10" s="37" t="s">
        <v>306</v>
      </c>
      <c r="B10" s="38" t="s">
        <v>453</v>
      </c>
      <c r="C10" s="39" t="s">
        <v>780</v>
      </c>
    </row>
    <row r="11" customFormat="false" ht="15" hidden="false" customHeight="false" outlineLevel="0" collapsed="false">
      <c r="A11" s="37" t="s">
        <v>307</v>
      </c>
      <c r="B11" s="40" t="n">
        <v>46322</v>
      </c>
      <c r="C11" s="39" t="s">
        <v>781</v>
      </c>
    </row>
    <row r="12" customFormat="false" ht="15" hidden="false" customHeight="false" outlineLevel="0" collapsed="false">
      <c r="A12" s="37" t="s">
        <v>308</v>
      </c>
      <c r="B12" s="38" t="s">
        <v>454</v>
      </c>
      <c r="C12" s="39" t="s">
        <v>782</v>
      </c>
    </row>
    <row r="13" customFormat="false" ht="15" hidden="false" customHeight="false" outlineLevel="0" collapsed="false">
      <c r="A13" s="37" t="s">
        <v>309</v>
      </c>
      <c r="B13" s="38" t="s">
        <v>455</v>
      </c>
      <c r="C13" s="39" t="s">
        <v>783</v>
      </c>
    </row>
    <row r="14" customFormat="false" ht="15" hidden="false" customHeight="false" outlineLevel="0" collapsed="false">
      <c r="A14" s="37" t="s">
        <v>310</v>
      </c>
      <c r="B14" s="38" t="s">
        <v>456</v>
      </c>
      <c r="C14" s="39" t="s">
        <v>784</v>
      </c>
    </row>
    <row r="15" customFormat="false" ht="15" hidden="false" customHeight="false" outlineLevel="0" collapsed="false">
      <c r="A15" s="37" t="s">
        <v>311</v>
      </c>
      <c r="B15" s="38" t="s">
        <v>457</v>
      </c>
      <c r="C15" s="39" t="s">
        <v>785</v>
      </c>
    </row>
    <row r="16" customFormat="false" ht="28.35" hidden="false" customHeight="false" outlineLevel="0" collapsed="false">
      <c r="A16" s="37" t="s">
        <v>312</v>
      </c>
      <c r="B16" s="38" t="n">
        <v>800</v>
      </c>
      <c r="C16" s="39" t="s">
        <v>786</v>
      </c>
    </row>
    <row r="17" customFormat="false" ht="15" hidden="false" customHeight="false" outlineLevel="0" collapsed="false">
      <c r="A17" s="37" t="s">
        <v>313</v>
      </c>
      <c r="B17" s="38" t="s">
        <v>458</v>
      </c>
      <c r="C17" s="39" t="s">
        <v>787</v>
      </c>
    </row>
    <row r="18" customFormat="false" ht="28.35" hidden="false" customHeight="false" outlineLevel="0" collapsed="false">
      <c r="A18" s="37" t="s">
        <v>314</v>
      </c>
      <c r="B18" s="38" t="n">
        <v>60</v>
      </c>
      <c r="C18" s="39" t="s">
        <v>788</v>
      </c>
    </row>
    <row r="19" customFormat="false" ht="15" hidden="false" customHeight="false" outlineLevel="0" collapsed="false">
      <c r="A19" s="37" t="s">
        <v>315</v>
      </c>
      <c r="B19" s="38" t="s">
        <v>459</v>
      </c>
      <c r="C19" s="39" t="s">
        <v>789</v>
      </c>
    </row>
    <row r="20" customFormat="false" ht="15" hidden="false" customHeight="false" outlineLevel="0" collapsed="false">
      <c r="A20" s="37" t="s">
        <v>316</v>
      </c>
      <c r="B20" s="38" t="s">
        <v>460</v>
      </c>
      <c r="C20" s="39" t="s">
        <v>790</v>
      </c>
    </row>
    <row r="21" customFormat="false" ht="15" hidden="false" customHeight="false" outlineLevel="0" collapsed="false">
      <c r="A21" s="37" t="s">
        <v>317</v>
      </c>
      <c r="B21" s="38" t="s">
        <v>461</v>
      </c>
      <c r="C21" s="39" t="s">
        <v>791</v>
      </c>
    </row>
    <row r="22" customFormat="false" ht="15" hidden="false" customHeight="false" outlineLevel="0" collapsed="false">
      <c r="A22" s="37" t="s">
        <v>318</v>
      </c>
      <c r="B22" s="38" t="s">
        <v>462</v>
      </c>
      <c r="C22" s="39" t="s">
        <v>792</v>
      </c>
    </row>
    <row r="23" customFormat="false" ht="15" hidden="false" customHeight="false" outlineLevel="0" collapsed="false">
      <c r="A23" s="37" t="s">
        <v>319</v>
      </c>
      <c r="B23" s="38" t="s">
        <v>463</v>
      </c>
      <c r="C23" s="39" t="s">
        <v>793</v>
      </c>
    </row>
    <row r="24" customFormat="false" ht="28.35" hidden="false" customHeight="false" outlineLevel="0" collapsed="false">
      <c r="A24" s="37" t="s">
        <v>320</v>
      </c>
      <c r="B24" s="38" t="s">
        <v>460</v>
      </c>
      <c r="C24" s="39" t="s">
        <v>794</v>
      </c>
    </row>
    <row r="25" customFormat="false" ht="15" hidden="false" customHeight="false" outlineLevel="0" collapsed="false">
      <c r="A25" s="37" t="s">
        <v>321</v>
      </c>
      <c r="B25" s="38" t="s">
        <v>464</v>
      </c>
      <c r="C25" s="39" t="s">
        <v>795</v>
      </c>
    </row>
    <row r="26" customFormat="false" ht="15" hidden="false" customHeight="false" outlineLevel="0" collapsed="false">
      <c r="A26" s="37" t="s">
        <v>322</v>
      </c>
      <c r="B26" s="38" t="s">
        <v>460</v>
      </c>
      <c r="C26" s="39" t="s">
        <v>796</v>
      </c>
    </row>
    <row r="27" customFormat="false" ht="15" hidden="false" customHeight="false" outlineLevel="0" collapsed="false">
      <c r="A27" s="37" t="s">
        <v>323</v>
      </c>
      <c r="B27" s="38" t="s">
        <v>465</v>
      </c>
      <c r="C27" s="39" t="s">
        <v>797</v>
      </c>
    </row>
    <row r="28" customFormat="false" ht="28.35" hidden="false" customHeight="false" outlineLevel="0" collapsed="false">
      <c r="A28" s="37" t="s">
        <v>324</v>
      </c>
      <c r="B28" s="38" t="n">
        <v>100</v>
      </c>
      <c r="C28" s="39" t="s">
        <v>798</v>
      </c>
    </row>
    <row r="29" customFormat="false" ht="15" hidden="false" customHeight="false" outlineLevel="0" collapsed="false">
      <c r="A29" s="37" t="s">
        <v>325</v>
      </c>
      <c r="B29" s="38" t="n">
        <v>200</v>
      </c>
      <c r="C29" s="39" t="s">
        <v>799</v>
      </c>
    </row>
    <row r="30" customFormat="false" ht="15" hidden="false" customHeight="false" outlineLevel="0" collapsed="false">
      <c r="A30" s="37" t="s">
        <v>326</v>
      </c>
      <c r="B30" s="38" t="n">
        <v>1</v>
      </c>
      <c r="C30" s="39" t="s">
        <v>800</v>
      </c>
    </row>
    <row r="31" customFormat="false" ht="28.35" hidden="false" customHeight="false" outlineLevel="0" collapsed="false">
      <c r="A31" s="37" t="s">
        <v>327</v>
      </c>
      <c r="B31" s="38" t="s">
        <v>466</v>
      </c>
      <c r="C31" s="39" t="s">
        <v>801</v>
      </c>
    </row>
    <row r="32" customFormat="false" ht="15" hidden="false" customHeight="false" outlineLevel="0" collapsed="false">
      <c r="A32" s="37" t="s">
        <v>328</v>
      </c>
      <c r="B32" s="38" t="s">
        <v>460</v>
      </c>
      <c r="C32" s="39" t="s">
        <v>802</v>
      </c>
    </row>
    <row r="33" customFormat="false" ht="15" hidden="false" customHeight="false" outlineLevel="0" collapsed="false">
      <c r="A33" s="37" t="s">
        <v>329</v>
      </c>
      <c r="B33" s="38" t="s">
        <v>467</v>
      </c>
      <c r="C33" s="39" t="s">
        <v>803</v>
      </c>
    </row>
    <row r="34" customFormat="false" ht="15" hidden="false" customHeight="false" outlineLevel="0" collapsed="false">
      <c r="A34" s="37" t="s">
        <v>330</v>
      </c>
      <c r="B34" s="38" t="s">
        <v>451</v>
      </c>
      <c r="C34" s="39" t="s">
        <v>804</v>
      </c>
    </row>
    <row r="35" customFormat="false" ht="15" hidden="false" customHeight="false" outlineLevel="0" collapsed="false">
      <c r="A35" s="37" t="s">
        <v>331</v>
      </c>
      <c r="B35" s="38" t="s">
        <v>460</v>
      </c>
      <c r="C35" s="39" t="s">
        <v>805</v>
      </c>
    </row>
    <row r="36" customFormat="false" ht="28.35" hidden="false" customHeight="false" outlineLevel="0" collapsed="false">
      <c r="A36" s="37" t="s">
        <v>332</v>
      </c>
      <c r="B36" s="41"/>
      <c r="C36" s="39" t="s">
        <v>806</v>
      </c>
    </row>
    <row r="37" customFormat="false" ht="15" hidden="false" customHeight="false" outlineLevel="0" collapsed="false">
      <c r="A37" s="37" t="s">
        <v>333</v>
      </c>
      <c r="B37" s="38" t="s">
        <v>468</v>
      </c>
      <c r="C37" s="39" t="s">
        <v>807</v>
      </c>
    </row>
    <row r="38" customFormat="false" ht="15" hidden="false" customHeight="false" outlineLevel="0" collapsed="false">
      <c r="A38" s="37" t="s">
        <v>334</v>
      </c>
      <c r="B38" s="38" t="s">
        <v>469</v>
      </c>
      <c r="C38" s="39" t="s">
        <v>808</v>
      </c>
    </row>
    <row r="39" customFormat="false" ht="15" hidden="false" customHeight="false" outlineLevel="0" collapsed="false">
      <c r="A39" s="37" t="s">
        <v>335</v>
      </c>
      <c r="B39" s="38" t="s">
        <v>470</v>
      </c>
      <c r="C39" s="39" t="s">
        <v>809</v>
      </c>
    </row>
    <row r="40" customFormat="false" ht="15" hidden="false" customHeight="false" outlineLevel="0" collapsed="false">
      <c r="A40" s="37" t="s">
        <v>336</v>
      </c>
      <c r="B40" s="38" t="s">
        <v>471</v>
      </c>
      <c r="C40" s="39" t="s">
        <v>810</v>
      </c>
    </row>
    <row r="41" customFormat="false" ht="15" hidden="false" customHeight="false" outlineLevel="0" collapsed="false">
      <c r="A41" s="37" t="s">
        <v>337</v>
      </c>
      <c r="B41" s="38" t="s">
        <v>472</v>
      </c>
      <c r="C41" s="39" t="s">
        <v>811</v>
      </c>
    </row>
    <row r="42" customFormat="false" ht="15" hidden="false" customHeight="false" outlineLevel="0" collapsed="false">
      <c r="A42" s="37" t="s">
        <v>338</v>
      </c>
      <c r="B42" s="38" t="s">
        <v>473</v>
      </c>
      <c r="C42" s="39" t="s">
        <v>812</v>
      </c>
    </row>
    <row r="43" customFormat="false" ht="15" hidden="false" customHeight="false" outlineLevel="0" collapsed="false">
      <c r="A43" s="37" t="s">
        <v>339</v>
      </c>
      <c r="B43" s="38" t="s">
        <v>110</v>
      </c>
      <c r="C43" s="39" t="s">
        <v>813</v>
      </c>
    </row>
    <row r="44" customFormat="false" ht="15" hidden="false" customHeight="false" outlineLevel="0" collapsed="false">
      <c r="A44" s="37" t="s">
        <v>340</v>
      </c>
      <c r="B44" s="41"/>
      <c r="C44" s="39" t="s">
        <v>814</v>
      </c>
    </row>
    <row r="45" customFormat="false" ht="15" hidden="false" customHeight="false" outlineLevel="0" collapsed="false">
      <c r="A45" s="37" t="s">
        <v>341</v>
      </c>
      <c r="B45" s="41"/>
      <c r="C45" s="39" t="s">
        <v>815</v>
      </c>
    </row>
    <row r="46" customFormat="false" ht="15" hidden="false" customHeight="false" outlineLevel="0" collapsed="false">
      <c r="A46" s="37" t="s">
        <v>342</v>
      </c>
      <c r="B46" s="38" t="s">
        <v>474</v>
      </c>
      <c r="C46" s="39" t="s">
        <v>816</v>
      </c>
    </row>
    <row r="47" customFormat="false" ht="15" hidden="false" customHeight="false" outlineLevel="0" collapsed="false">
      <c r="A47" s="37" t="s">
        <v>343</v>
      </c>
      <c r="B47" s="38" t="s">
        <v>460</v>
      </c>
      <c r="C47" s="39" t="s">
        <v>817</v>
      </c>
    </row>
    <row r="48" customFormat="false" ht="15" hidden="false" customHeight="false" outlineLevel="0" collapsed="false">
      <c r="A48" s="37" t="s">
        <v>344</v>
      </c>
      <c r="B48" s="38" t="s">
        <v>475</v>
      </c>
      <c r="C48" s="39" t="s">
        <v>818</v>
      </c>
    </row>
    <row r="49" customFormat="false" ht="15" hidden="false" customHeight="false" outlineLevel="0" collapsed="false">
      <c r="A49" s="37" t="s">
        <v>345</v>
      </c>
      <c r="B49" s="38" t="s">
        <v>460</v>
      </c>
      <c r="C49" s="39" t="s">
        <v>819</v>
      </c>
    </row>
    <row r="50" customFormat="false" ht="28.35" hidden="false" customHeight="false" outlineLevel="0" collapsed="false">
      <c r="A50" s="37" t="s">
        <v>346</v>
      </c>
      <c r="B50" s="38" t="s">
        <v>460</v>
      </c>
      <c r="C50" s="39" t="s">
        <v>820</v>
      </c>
    </row>
    <row r="51" customFormat="false" ht="15" hidden="false" customHeight="false" outlineLevel="0" collapsed="false">
      <c r="A51" s="37" t="s">
        <v>347</v>
      </c>
      <c r="B51" s="38" t="n">
        <v>9</v>
      </c>
      <c r="C51" s="39" t="s">
        <v>821</v>
      </c>
    </row>
    <row r="52" customFormat="false" ht="28.35" hidden="false" customHeight="false" outlineLevel="0" collapsed="false">
      <c r="A52" s="37" t="s">
        <v>348</v>
      </c>
      <c r="B52" s="38" t="s">
        <v>460</v>
      </c>
      <c r="C52" s="39" t="s">
        <v>822</v>
      </c>
    </row>
    <row r="53" customFormat="false" ht="15" hidden="false" customHeight="false" outlineLevel="0" collapsed="false">
      <c r="A53" s="37" t="s">
        <v>349</v>
      </c>
      <c r="B53" s="38"/>
      <c r="C53" s="39" t="s">
        <v>823</v>
      </c>
    </row>
    <row r="55" customFormat="false" ht="15" hidden="false" customHeight="false" outlineLevel="0" collapsed="false">
      <c r="A55" s="37" t="s">
        <v>824</v>
      </c>
      <c r="B55" s="37" t="str">
        <f aca="false">IF(OR(TRIM(B4)="",NOT(ISNUMBER(B11))),"row_id and a real call_date are required","OK to paste")</f>
        <v>OK to paste</v>
      </c>
    </row>
    <row r="56" customFormat="false" ht="15" hidden="false" customHeight="false" outlineLevel="0" collapsed="false">
      <c r="A56" s="37" t="s">
        <v>825</v>
      </c>
    </row>
    <row r="57" customFormat="false" ht="15" hidden="false" customHeight="false" outlineLevel="0" collapsed="false">
      <c r="A57" s="23" t="str">
        <f aca="false">IF(Note_Office!$B$4="","",Note_Office!$B$4)</f>
        <v>SAMPLE-O-001</v>
      </c>
      <c r="B57" s="23" t="str">
        <f aca="false">IF(Note_Office!$B$5="","",Note_Office!$B$5)</f>
        <v>SAMPLE Office 01</v>
      </c>
      <c r="C57" s="23" t="str">
        <f aca="false">IF(Note_Office!$B$6="","",Note_Office!$B$6)</f>
        <v/>
      </c>
      <c r="D57" s="23" t="str">
        <f aca="false">IF(Note_Office!$B$7="","",Note_Office!$B$7)</f>
        <v>SAMPLE Contact O01</v>
      </c>
      <c r="E57" s="23" t="str">
        <f aca="false">IF(Note_Office!$B$8="","",Note_Office!$B$8)</f>
        <v>Office Manager</v>
      </c>
      <c r="F57" s="23" t="str">
        <f aca="false">IF(Note_Office!$B$9="","",Note_Office!$B$9)</f>
        <v>SAMPLE warm network</v>
      </c>
      <c r="G57" s="23" t="str">
        <f aca="false">IF(Note_Office!$B$10="","",Note_Office!$B$10)</f>
        <v>warm-intro</v>
      </c>
      <c r="H57" s="35" t="n">
        <f aca="false">IF(Note_Office!$B$11="","",Note_Office!$B$11)</f>
        <v>46322</v>
      </c>
      <c r="I57" s="23" t="str">
        <f aca="false">IF(Note_Office!$B$12="","",Note_Office!$B$12)</f>
        <v>video</v>
      </c>
      <c r="J57" s="23" t="str">
        <f aca="false">IF(Note_Office!$B$13="","",Note_Office!$B$13)</f>
        <v>SAMPLE: pantry answer 01</v>
      </c>
      <c r="K57" s="23" t="str">
        <f aca="false">IF(Note_Office!$B$14="","",Note_Office!$B$14)</f>
        <v>SAMPLE grocery order</v>
      </c>
      <c r="L57" s="23" t="str">
        <f aca="false">IF(Note_Office!$B$15="","",Note_Office!$B$15)</f>
        <v>N</v>
      </c>
      <c r="M57" s="23" t="n">
        <f aca="false">IF(Note_Office!$B$16="","",Note_Office!$B$16)</f>
        <v>800</v>
      </c>
      <c r="N57" s="23" t="str">
        <f aca="false">IF(Note_Office!$B$17="","",Note_Office!$B$17)</f>
        <v>SAMPLE: about $800 a month</v>
      </c>
      <c r="O57" s="23" t="n">
        <f aca="false">IF(Note_Office!$B$18="","",Note_Office!$B$18)</f>
        <v>60</v>
      </c>
      <c r="P57" s="23" t="str">
        <f aca="false">IF(Note_Office!$B$19="","",Note_Office!$B$19)</f>
        <v>SAMPLE: around 60 on a Tuesday</v>
      </c>
      <c r="Q57" s="23" t="str">
        <f aca="false">IF(Note_Office!$B$20="","",Note_Office!$B$20)</f>
        <v>Y</v>
      </c>
      <c r="R57" s="23" t="str">
        <f aca="false">IF(Note_Office!$B$21="","",Note_Office!$B$21)</f>
        <v>SAMPLE: brands email us, we ignore most</v>
      </c>
      <c r="S57" s="23" t="str">
        <f aca="false">IF(Note_Office!$B$22="","",Note_Office!$B$22)</f>
        <v>SAMPLE: allergen info and no work for me</v>
      </c>
      <c r="T57" s="23" t="str">
        <f aca="false">IF(Note_Office!$B$23="","",Note_Office!$B$23)</f>
        <v>SAMPLE: anything with nuts</v>
      </c>
      <c r="U57" s="23" t="str">
        <f aca="false">IF(Note_Office!$B$24="","",Note_Office!$B$24)</f>
        <v>Y</v>
      </c>
      <c r="V57" s="23" t="str">
        <f aca="false">IF(Note_Office!$B$25="","",Note_Office!$B$25)</f>
        <v>SAMPLE: a photo is fine</v>
      </c>
      <c r="W57" s="23" t="str">
        <f aca="false">IF(Note_Office!$B$26="","",Note_Office!$B$26)</f>
        <v>Y</v>
      </c>
      <c r="X57" s="23" t="str">
        <f aca="false">IF(Note_Office!$B$27="","",Note_Office!$B$27)</f>
        <v>SAMPLE: maybe $100 to $200 a month</v>
      </c>
      <c r="Y57" s="23" t="n">
        <f aca="false">IF(Note_Office!$B$28="","",Note_Office!$B$28)</f>
        <v>100</v>
      </c>
      <c r="Z57" s="23" t="n">
        <f aca="false">IF(Note_Office!$B$29="","",Note_Office!$B$29)</f>
        <v>200</v>
      </c>
      <c r="AA57" s="23" t="n">
        <f aca="false">IF(Note_Office!$B$30="","",Note_Office!$B$30)</f>
        <v>1</v>
      </c>
      <c r="AB57" s="23" t="str">
        <f aca="false">IF(Note_Office!$B$31="","",Note_Office!$B$31)</f>
        <v>SAMPLE Office 30 - Office Manager</v>
      </c>
      <c r="AC57" s="23" t="str">
        <f aca="false">IF(Note_Office!$B$32="","",Note_Office!$B$32)</f>
        <v>Y</v>
      </c>
      <c r="AD57" s="23" t="str">
        <f aca="false">IF(Note_Office!$B$33="","",Note_Office!$B$33)</f>
        <v>SAMPLE Owner O01</v>
      </c>
      <c r="AE57" s="23" t="str">
        <f aca="false">IF(Note_Office!$B$34="","",Note_Office!$B$34)</f>
        <v>Office Manager</v>
      </c>
      <c r="AF57" s="23" t="str">
        <f aca="false">IF(Note_Office!$B$35="","",Note_Office!$B$35)</f>
        <v>Y</v>
      </c>
      <c r="AG57" s="23" t="str">
        <f aca="false">IF(Note_Office!$B$36="","",Note_Office!$B$36)</f>
        <v/>
      </c>
      <c r="AH57" s="23" t="str">
        <f aca="false">IF(Note_Office!$B$37="","",Note_Office!$B$37)</f>
        <v>SAMPLE Tue-Wed 9-11am</v>
      </c>
      <c r="AI57" s="23" t="str">
        <f aca="false">IF(Note_Office!$B$38="","",Note_Office!$B$38)</f>
        <v>front desk</v>
      </c>
      <c r="AJ57" s="23" t="str">
        <f aca="false">IF(Note_Office!$B$39="","",Note_Office!$B$39)</f>
        <v>no</v>
      </c>
      <c r="AK57" s="23" t="str">
        <f aca="false">IF(Note_Office!$B$40="","",Note_Office!$B$40)</f>
        <v>SAMPLE: sign in at desk</v>
      </c>
      <c r="AL57" s="23" t="str">
        <f aca="false">IF(Note_Office!$B$41="","",Note_Office!$B$41)</f>
        <v>meat-snacks</v>
      </c>
      <c r="AM57" s="23" t="str">
        <f aca="false">IF(Note_Office!$B$42="","",Note_Office!$B$42)</f>
        <v>SAMPLE: no jerky</v>
      </c>
      <c r="AN57" s="23" t="str">
        <f aca="false">IF(Note_Office!$B$43="","",Note_Office!$B$43)</f>
        <v>allergy_policy</v>
      </c>
      <c r="AO57" s="23" t="str">
        <f aca="false">IF(Note_Office!$B$44="","",Note_Office!$B$44)</f>
        <v/>
      </c>
      <c r="AP57" s="23" t="str">
        <f aca="false">IF(Note_Office!$B$45="","",Note_Office!$B$45)</f>
        <v/>
      </c>
      <c r="AQ57" s="23" t="str">
        <f aca="false">IF(Note_Office!$B$46="","",Note_Office!$B$46)</f>
        <v>SAMPLE: allergy_policy (office 01)</v>
      </c>
      <c r="AR57" s="23" t="str">
        <f aca="false">IF(Note_Office!$B$47="","",Note_Office!$B$47)</f>
        <v>Y</v>
      </c>
      <c r="AS57" s="23" t="str">
        <f aca="false">IF(Note_Office!$B$48="","",Note_Office!$B$48)</f>
        <v>asked_when</v>
      </c>
      <c r="AT57" s="23" t="str">
        <f aca="false">IF(Note_Office!$B$49="","",Note_Office!$B$49)</f>
        <v>Y</v>
      </c>
      <c r="AU57" s="23" t="str">
        <f aca="false">IF(Note_Office!$B$50="","",Note_Office!$B$50)</f>
        <v>Y</v>
      </c>
      <c r="AV57" s="23" t="n">
        <f aca="false">IF(Note_Office!$B$51="","",Note_Office!$B$51)</f>
        <v>9</v>
      </c>
      <c r="AW57" s="23" t="str">
        <f aca="false">IF(Note_Office!$B$52="","",Note_Office!$B$52)</f>
        <v>Y</v>
      </c>
      <c r="AX57" s="23" t="str">
        <f aca="false">IF(Note_Office!$B$53="","",Note_Office!$B$53)</f>
        <v/>
      </c>
    </row>
  </sheetData>
  <mergeCells count="1">
    <mergeCell ref="A2:C2"/>
  </mergeCells>
  <dataValidations count="18">
    <dataValidation allowBlank="true" errorStyle="stop" operator="between" showDropDown="false" showErrorMessage="false" showInputMessage="false" sqref="B10" type="list">
      <formula1>Lists!$E$2:$E$5</formula1>
      <formula2>0</formula2>
    </dataValidation>
    <dataValidation allowBlank="true" errorStyle="stop" operator="between" showDropDown="false" showErrorMessage="false" showInputMessage="false" sqref="B12" type="list">
      <formula1>Lists!$F$2:$F$5</formula1>
      <formula2>0</formula2>
    </dataValidation>
    <dataValidation allowBlank="true" errorStyle="stop" operator="between" showDropDown="false" showErrorMessage="false" showInputMessage="false" sqref="B15" type="list">
      <formula1>Lists!$A$2:$A$3</formula1>
      <formula2>0</formula2>
    </dataValidation>
    <dataValidation allowBlank="true" errorStyle="stop" operator="between" showDropDown="false" showErrorMessage="false" showInputMessage="false" sqref="B20" type="list">
      <formula1>Lists!$A$2:$A$3</formula1>
      <formula2>0</formula2>
    </dataValidation>
    <dataValidation allowBlank="true" errorStyle="stop" operator="between" showDropDown="false" showErrorMessage="false" showInputMessage="false" sqref="B24" type="list">
      <formula1>Lists!$B$2:$B$4</formula1>
      <formula2>0</formula2>
    </dataValidation>
    <dataValidation allowBlank="true" errorStyle="stop" operator="between" showDropDown="false" showErrorMessage="false" showInputMessage="false" sqref="B26" type="list">
      <formula1>Lists!$A$2:$A$3</formula1>
      <formula2>0</formula2>
    </dataValidation>
    <dataValidation allowBlank="true" errorStyle="stop" operator="between" showDropDown="false" showErrorMessage="false" showInputMessage="false" sqref="B32" type="list">
      <formula1>Lists!$A$2:$A$3</formula1>
      <formula2>0</formula2>
    </dataValidation>
    <dataValidation allowBlank="true" errorStyle="stop" operator="between" showDropDown="false" showErrorMessage="false" showInputMessage="false" sqref="B35" type="list">
      <formula1>Lists!$B$2:$B$4</formula1>
      <formula2>0</formula2>
    </dataValidation>
    <dataValidation allowBlank="true" errorStyle="stop" operator="between" showDropDown="false" showErrorMessage="false" showInputMessage="false" sqref="B36" type="list">
      <formula1>Lists!$AB$2:$AB$7</formula1>
      <formula2>0</formula2>
    </dataValidation>
    <dataValidation allowBlank="true" errorStyle="stop" operator="between" showDropDown="false" showErrorMessage="false" showInputMessage="false" sqref="B38" type="list">
      <formula1>Lists!$G$2:$G$7</formula1>
      <formula2>0</formula2>
    </dataValidation>
    <dataValidation allowBlank="true" errorStyle="stop" operator="between" showDropDown="false" showErrorMessage="false" showInputMessage="false" sqref="B39" type="list">
      <formula1>Lists!$C$2:$C$4</formula1>
      <formula2>0</formula2>
    </dataValidation>
    <dataValidation allowBlank="true" errorStyle="stop" operator="between" showDropDown="false" showErrorMessage="false" showInputMessage="false" sqref="B43" type="list">
      <formula1>Lists!$N$2:$N$14</formula1>
      <formula2>0</formula2>
    </dataValidation>
    <dataValidation allowBlank="true" errorStyle="stop" operator="between" showDropDown="false" showErrorMessage="false" showInputMessage="false" sqref="B44" type="list">
      <formula1>Lists!$N$2:$N$14</formula1>
      <formula2>0</formula2>
    </dataValidation>
    <dataValidation allowBlank="true" errorStyle="stop" operator="between" showDropDown="false" showErrorMessage="false" showInputMessage="false" sqref="B45" type="list">
      <formula1>Lists!$N$2:$N$14</formula1>
      <formula2>0</formula2>
    </dataValidation>
    <dataValidation allowBlank="true" errorStyle="stop" operator="between" showDropDown="false" showErrorMessage="false" showInputMessage="false" sqref="B47" type="list">
      <formula1>Lists!$B$2:$B$4</formula1>
      <formula2>0</formula2>
    </dataValidation>
    <dataValidation allowBlank="true" errorStyle="stop" operator="between" showDropDown="false" showErrorMessage="false" showInputMessage="false" sqref="B49" type="list">
      <formula1>Lists!$A$2:$A$3</formula1>
      <formula2>0</formula2>
    </dataValidation>
    <dataValidation allowBlank="true" errorStyle="stop" operator="between" showDropDown="false" showErrorMessage="false" showInputMessage="false" sqref="B50" type="list">
      <formula1>Lists!$A$2:$A$3</formula1>
      <formula2>0</formula2>
    </dataValidation>
    <dataValidation allowBlank="true" errorStyle="stop" operator="between" showDropDown="false" showErrorMessage="false" showInputMessage="false" sqref="B52"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3" topLeftCell="B4" activePane="bottomRight" state="frozen"/>
      <selection pane="topLeft" activeCell="A1" activeCellId="0" sqref="A1"/>
      <selection pane="topRight" activeCell="B1" activeCellId="0" sqref="B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3" min="3" style="0" width="80"/>
  </cols>
  <sheetData>
    <row r="1" customFormat="false" ht="17.35" hidden="false" customHeight="false" outlineLevel="0" collapsed="false">
      <c r="A1" s="6" t="s">
        <v>826</v>
      </c>
    </row>
    <row r="2" customFormat="false" ht="43.5" hidden="false" customHeight="true" outlineLevel="0" collapsed="false">
      <c r="A2" s="36" t="s">
        <v>827</v>
      </c>
      <c r="B2" s="36"/>
      <c r="C2" s="36"/>
    </row>
    <row r="3" customFormat="false" ht="15" hidden="false" customHeight="false" outlineLevel="0" collapsed="false">
      <c r="A3" s="8" t="s">
        <v>771</v>
      </c>
      <c r="B3" s="8" t="s">
        <v>772</v>
      </c>
      <c r="C3" s="8" t="s">
        <v>773</v>
      </c>
    </row>
    <row r="4" customFormat="false" ht="28.35" hidden="false" customHeight="false" outlineLevel="0" collapsed="false">
      <c r="A4" s="37" t="s">
        <v>300</v>
      </c>
      <c r="B4" s="38"/>
      <c r="C4" s="39" t="s">
        <v>828</v>
      </c>
    </row>
    <row r="5" customFormat="false" ht="28.35" hidden="false" customHeight="false" outlineLevel="0" collapsed="false">
      <c r="A5" s="37" t="s">
        <v>301</v>
      </c>
      <c r="B5" s="38"/>
      <c r="C5" s="39" t="s">
        <v>829</v>
      </c>
    </row>
    <row r="6" customFormat="false" ht="68.65" hidden="false" customHeight="false" outlineLevel="0" collapsed="false">
      <c r="A6" s="37" t="s">
        <v>302</v>
      </c>
      <c r="B6" s="38"/>
      <c r="C6" s="39" t="s">
        <v>776</v>
      </c>
    </row>
    <row r="7" customFormat="false" ht="15" hidden="false" customHeight="false" outlineLevel="0" collapsed="false">
      <c r="A7" s="37" t="s">
        <v>303</v>
      </c>
      <c r="B7" s="38"/>
      <c r="C7" s="39" t="s">
        <v>830</v>
      </c>
    </row>
    <row r="8" customFormat="false" ht="15" hidden="false" customHeight="false" outlineLevel="0" collapsed="false">
      <c r="A8" s="37" t="s">
        <v>304</v>
      </c>
      <c r="B8" s="38"/>
      <c r="C8" s="39" t="s">
        <v>778</v>
      </c>
    </row>
    <row r="9" customFormat="false" ht="28.35" hidden="false" customHeight="false" outlineLevel="0" collapsed="false">
      <c r="A9" s="37" t="s">
        <v>305</v>
      </c>
      <c r="B9" s="38"/>
      <c r="C9" s="39" t="s">
        <v>831</v>
      </c>
    </row>
    <row r="10" customFormat="false" ht="15" hidden="false" customHeight="false" outlineLevel="0" collapsed="false">
      <c r="A10" s="37" t="s">
        <v>306</v>
      </c>
      <c r="B10" s="41"/>
      <c r="C10" s="39" t="s">
        <v>832</v>
      </c>
    </row>
    <row r="11" customFormat="false" ht="15" hidden="false" customHeight="false" outlineLevel="0" collapsed="false">
      <c r="A11" s="37" t="s">
        <v>307</v>
      </c>
      <c r="B11" s="40"/>
      <c r="C11" s="39" t="s">
        <v>833</v>
      </c>
    </row>
    <row r="12" customFormat="false" ht="15" hidden="false" customHeight="false" outlineLevel="0" collapsed="false">
      <c r="A12" s="37" t="s">
        <v>308</v>
      </c>
      <c r="B12" s="41"/>
      <c r="C12" s="39" t="s">
        <v>782</v>
      </c>
    </row>
    <row r="13" customFormat="false" ht="15" hidden="false" customHeight="false" outlineLevel="0" collapsed="false">
      <c r="A13" s="37" t="s">
        <v>600</v>
      </c>
      <c r="B13" s="38"/>
      <c r="C13" s="39" t="s">
        <v>834</v>
      </c>
    </row>
    <row r="14" customFormat="false" ht="15" hidden="false" customHeight="false" outlineLevel="0" collapsed="false">
      <c r="A14" s="37" t="s">
        <v>601</v>
      </c>
      <c r="B14" s="38"/>
      <c r="C14" s="39" t="s">
        <v>835</v>
      </c>
    </row>
    <row r="15" customFormat="false" ht="15" hidden="false" customHeight="false" outlineLevel="0" collapsed="false">
      <c r="A15" s="37" t="s">
        <v>602</v>
      </c>
      <c r="B15" s="38"/>
      <c r="C15" s="39" t="s">
        <v>836</v>
      </c>
    </row>
    <row r="16" customFormat="false" ht="15" hidden="false" customHeight="false" outlineLevel="0" collapsed="false">
      <c r="A16" s="37" t="s">
        <v>603</v>
      </c>
      <c r="B16" s="38"/>
      <c r="C16" s="39" t="s">
        <v>837</v>
      </c>
    </row>
    <row r="17" customFormat="false" ht="15" hidden="false" customHeight="false" outlineLevel="0" collapsed="false">
      <c r="A17" s="37" t="s">
        <v>604</v>
      </c>
      <c r="B17" s="38"/>
      <c r="C17" s="39" t="s">
        <v>838</v>
      </c>
    </row>
    <row r="18" customFormat="false" ht="15" hidden="false" customHeight="false" outlineLevel="0" collapsed="false">
      <c r="A18" s="37" t="s">
        <v>605</v>
      </c>
      <c r="B18" s="41"/>
      <c r="C18" s="39" t="s">
        <v>839</v>
      </c>
    </row>
    <row r="19" customFormat="false" ht="15" hidden="false" customHeight="false" outlineLevel="0" collapsed="false">
      <c r="A19" s="37" t="s">
        <v>606</v>
      </c>
      <c r="B19" s="41"/>
      <c r="C19" s="39" t="s">
        <v>840</v>
      </c>
    </row>
    <row r="20" customFormat="false" ht="15" hidden="false" customHeight="false" outlineLevel="0" collapsed="false">
      <c r="A20" s="37" t="s">
        <v>607</v>
      </c>
      <c r="B20" s="38"/>
      <c r="C20" s="39" t="s">
        <v>841</v>
      </c>
    </row>
    <row r="21" customFormat="false" ht="28.35" hidden="false" customHeight="false" outlineLevel="0" collapsed="false">
      <c r="A21" s="37" t="s">
        <v>608</v>
      </c>
      <c r="B21" s="38"/>
      <c r="C21" s="39" t="s">
        <v>842</v>
      </c>
    </row>
    <row r="22" customFormat="false" ht="15" hidden="false" customHeight="false" outlineLevel="0" collapsed="false">
      <c r="A22" s="37" t="s">
        <v>609</v>
      </c>
      <c r="B22" s="38"/>
      <c r="C22" s="39" t="s">
        <v>843</v>
      </c>
    </row>
    <row r="23" customFormat="false" ht="28.35" hidden="false" customHeight="false" outlineLevel="0" collapsed="false">
      <c r="A23" s="37" t="s">
        <v>610</v>
      </c>
      <c r="B23" s="38"/>
      <c r="C23" s="39" t="s">
        <v>844</v>
      </c>
    </row>
    <row r="24" customFormat="false" ht="15" hidden="false" customHeight="false" outlineLevel="0" collapsed="false">
      <c r="A24" s="37" t="s">
        <v>611</v>
      </c>
      <c r="B24" s="41"/>
      <c r="C24" s="39" t="s">
        <v>845</v>
      </c>
    </row>
    <row r="25" customFormat="false" ht="15" hidden="false" customHeight="false" outlineLevel="0" collapsed="false">
      <c r="A25" s="37" t="s">
        <v>612</v>
      </c>
      <c r="B25" s="38"/>
      <c r="C25" s="39" t="s">
        <v>846</v>
      </c>
    </row>
    <row r="26" customFormat="false" ht="15" hidden="false" customHeight="false" outlineLevel="0" collapsed="false">
      <c r="A26" s="37" t="s">
        <v>613</v>
      </c>
      <c r="B26" s="38"/>
      <c r="C26" s="39" t="s">
        <v>847</v>
      </c>
    </row>
    <row r="27" customFormat="false" ht="15" hidden="false" customHeight="false" outlineLevel="0" collapsed="false">
      <c r="A27" s="37" t="s">
        <v>614</v>
      </c>
      <c r="B27" s="38"/>
      <c r="C27" s="39" t="s">
        <v>848</v>
      </c>
    </row>
    <row r="28" customFormat="false" ht="15" hidden="false" customHeight="false" outlineLevel="0" collapsed="false">
      <c r="A28" s="37" t="s">
        <v>615</v>
      </c>
      <c r="B28" s="41"/>
      <c r="C28" s="39" t="s">
        <v>849</v>
      </c>
    </row>
    <row r="29" customFormat="false" ht="15" hidden="false" customHeight="false" outlineLevel="0" collapsed="false">
      <c r="A29" s="37" t="s">
        <v>616</v>
      </c>
      <c r="B29" s="38"/>
      <c r="C29" s="39" t="s">
        <v>850</v>
      </c>
    </row>
    <row r="30" customFormat="false" ht="15" hidden="false" customHeight="false" outlineLevel="0" collapsed="false">
      <c r="A30" s="37" t="s">
        <v>617</v>
      </c>
      <c r="B30" s="38"/>
      <c r="C30" s="39" t="s">
        <v>851</v>
      </c>
    </row>
    <row r="31" customFormat="false" ht="28.35" hidden="false" customHeight="false" outlineLevel="0" collapsed="false">
      <c r="A31" s="37" t="s">
        <v>618</v>
      </c>
      <c r="B31" s="41"/>
      <c r="C31" s="39" t="s">
        <v>852</v>
      </c>
    </row>
    <row r="32" customFormat="false" ht="15" hidden="false" customHeight="false" outlineLevel="0" collapsed="false">
      <c r="A32" s="37" t="s">
        <v>619</v>
      </c>
      <c r="B32" s="41"/>
      <c r="C32" s="39" t="s">
        <v>853</v>
      </c>
    </row>
    <row r="33" customFormat="false" ht="15" hidden="false" customHeight="false" outlineLevel="0" collapsed="false">
      <c r="A33" s="37" t="s">
        <v>620</v>
      </c>
      <c r="B33" s="41"/>
      <c r="C33" s="39" t="s">
        <v>854</v>
      </c>
    </row>
    <row r="34" customFormat="false" ht="28.35" hidden="false" customHeight="false" outlineLevel="0" collapsed="false">
      <c r="A34" s="37" t="s">
        <v>621</v>
      </c>
      <c r="B34" s="41"/>
      <c r="C34" s="39" t="s">
        <v>855</v>
      </c>
    </row>
    <row r="35" customFormat="false" ht="28.35" hidden="false" customHeight="false" outlineLevel="0" collapsed="false">
      <c r="A35" s="37" t="s">
        <v>622</v>
      </c>
      <c r="B35" s="41"/>
      <c r="C35" s="39" t="s">
        <v>856</v>
      </c>
    </row>
    <row r="36" customFormat="false" ht="15" hidden="false" customHeight="false" outlineLevel="0" collapsed="false">
      <c r="A36" s="37" t="s">
        <v>623</v>
      </c>
      <c r="B36" s="41"/>
      <c r="C36" s="39" t="s">
        <v>857</v>
      </c>
    </row>
    <row r="37" customFormat="false" ht="28.35" hidden="false" customHeight="false" outlineLevel="0" collapsed="false">
      <c r="A37" s="37" t="s">
        <v>624</v>
      </c>
      <c r="B37" s="38"/>
      <c r="C37" s="39" t="s">
        <v>858</v>
      </c>
    </row>
    <row r="38" customFormat="false" ht="28.35" hidden="false" customHeight="false" outlineLevel="0" collapsed="false">
      <c r="A38" s="37" t="s">
        <v>625</v>
      </c>
      <c r="B38" s="41"/>
      <c r="C38" s="39" t="s">
        <v>859</v>
      </c>
    </row>
    <row r="39" customFormat="false" ht="15" hidden="false" customHeight="false" outlineLevel="0" collapsed="false">
      <c r="A39" s="37" t="s">
        <v>339</v>
      </c>
      <c r="B39" s="41"/>
      <c r="C39" s="39" t="s">
        <v>860</v>
      </c>
    </row>
    <row r="40" customFormat="false" ht="15" hidden="false" customHeight="false" outlineLevel="0" collapsed="false">
      <c r="A40" s="37" t="s">
        <v>340</v>
      </c>
      <c r="B40" s="41"/>
      <c r="C40" s="39" t="s">
        <v>814</v>
      </c>
    </row>
    <row r="41" customFormat="false" ht="15" hidden="false" customHeight="false" outlineLevel="0" collapsed="false">
      <c r="A41" s="37" t="s">
        <v>341</v>
      </c>
      <c r="B41" s="41"/>
      <c r="C41" s="39" t="s">
        <v>815</v>
      </c>
    </row>
    <row r="42" customFormat="false" ht="15" hidden="false" customHeight="false" outlineLevel="0" collapsed="false">
      <c r="A42" s="37" t="s">
        <v>342</v>
      </c>
      <c r="B42" s="38"/>
      <c r="C42" s="39" t="s">
        <v>816</v>
      </c>
    </row>
    <row r="43" customFormat="false" ht="15" hidden="false" customHeight="false" outlineLevel="0" collapsed="false">
      <c r="A43" s="37" t="s">
        <v>343</v>
      </c>
      <c r="B43" s="41"/>
      <c r="C43" s="39" t="s">
        <v>861</v>
      </c>
    </row>
    <row r="44" customFormat="false" ht="15" hidden="false" customHeight="false" outlineLevel="0" collapsed="false">
      <c r="A44" s="37" t="s">
        <v>345</v>
      </c>
      <c r="B44" s="41"/>
      <c r="C44" s="39" t="s">
        <v>862</v>
      </c>
    </row>
    <row r="45" customFormat="false" ht="15" hidden="false" customHeight="false" outlineLevel="0" collapsed="false">
      <c r="A45" s="37" t="s">
        <v>326</v>
      </c>
      <c r="B45" s="38"/>
      <c r="C45" s="39" t="s">
        <v>863</v>
      </c>
    </row>
    <row r="46" customFormat="false" ht="28.35" hidden="false" customHeight="false" outlineLevel="0" collapsed="false">
      <c r="A46" s="37" t="s">
        <v>327</v>
      </c>
      <c r="B46" s="38"/>
      <c r="C46" s="39" t="s">
        <v>864</v>
      </c>
    </row>
    <row r="47" customFormat="false" ht="28.35" hidden="false" customHeight="false" outlineLevel="0" collapsed="false">
      <c r="A47" s="37" t="s">
        <v>346</v>
      </c>
      <c r="B47" s="41"/>
      <c r="C47" s="39" t="s">
        <v>820</v>
      </c>
    </row>
    <row r="48" customFormat="false" ht="15" hidden="false" customHeight="false" outlineLevel="0" collapsed="false">
      <c r="A48" s="37" t="s">
        <v>347</v>
      </c>
      <c r="B48" s="38"/>
      <c r="C48" s="39" t="s">
        <v>821</v>
      </c>
    </row>
    <row r="49" customFormat="false" ht="28.35" hidden="false" customHeight="false" outlineLevel="0" collapsed="false">
      <c r="A49" s="37" t="s">
        <v>348</v>
      </c>
      <c r="B49" s="41"/>
      <c r="C49" s="39" t="s">
        <v>865</v>
      </c>
    </row>
    <row r="50" customFormat="false" ht="15" hidden="false" customHeight="false" outlineLevel="0" collapsed="false">
      <c r="A50" s="37" t="s">
        <v>349</v>
      </c>
      <c r="B50" s="38"/>
      <c r="C50" s="39" t="s">
        <v>823</v>
      </c>
    </row>
    <row r="52" customFormat="false" ht="15" hidden="false" customHeight="false" outlineLevel="0" collapsed="false">
      <c r="A52" s="37" t="s">
        <v>824</v>
      </c>
      <c r="B52" s="37" t="str">
        <f aca="false">IF(OR(TRIM(B4)="",NOT(ISNUMBER(B11))),"row_id and a real call_date are required","OK to paste")</f>
        <v>row_id and a real call_date are required</v>
      </c>
    </row>
    <row r="53" customFormat="false" ht="15" hidden="false" customHeight="false" outlineLevel="0" collapsed="false">
      <c r="A53" s="37" t="s">
        <v>866</v>
      </c>
    </row>
    <row r="54" customFormat="false" ht="15" hidden="false" customHeight="false" outlineLevel="0" collapsed="false">
      <c r="A54" s="23" t="str">
        <f aca="false">IF(Note_Brand!$B$4="","",Note_Brand!$B$4)</f>
        <v/>
      </c>
      <c r="B54" s="23" t="str">
        <f aca="false">IF(Note_Brand!$B$5="","",Note_Brand!$B$5)</f>
        <v/>
      </c>
      <c r="C54" s="23" t="str">
        <f aca="false">IF(Note_Brand!$B$6="","",Note_Brand!$B$6)</f>
        <v/>
      </c>
      <c r="D54" s="23" t="str">
        <f aca="false">IF(Note_Brand!$B$7="","",Note_Brand!$B$7)</f>
        <v/>
      </c>
      <c r="E54" s="23" t="str">
        <f aca="false">IF(Note_Brand!$B$8="","",Note_Brand!$B$8)</f>
        <v/>
      </c>
      <c r="F54" s="23" t="str">
        <f aca="false">IF(Note_Brand!$B$9="","",Note_Brand!$B$9)</f>
        <v/>
      </c>
      <c r="G54" s="23" t="str">
        <f aca="false">IF(Note_Brand!$B$10="","",Note_Brand!$B$10)</f>
        <v/>
      </c>
      <c r="H54" s="35" t="str">
        <f aca="false">IF(Note_Brand!$B$11="","",Note_Brand!$B$11)</f>
        <v/>
      </c>
      <c r="I54" s="23" t="str">
        <f aca="false">IF(Note_Brand!$B$12="","",Note_Brand!$B$12)</f>
        <v/>
      </c>
      <c r="J54" s="23" t="str">
        <f aca="false">IF(Note_Brand!$B$13="","",Note_Brand!$B$13)</f>
        <v/>
      </c>
      <c r="K54" s="23" t="str">
        <f aca="false">IF(Note_Brand!$B$14="","",Note_Brand!$B$14)</f>
        <v/>
      </c>
      <c r="L54" s="23" t="str">
        <f aca="false">IF(Note_Brand!$B$15="","",Note_Brand!$B$15)</f>
        <v/>
      </c>
      <c r="M54" s="23" t="str">
        <f aca="false">IF(Note_Brand!$B$16="","",Note_Brand!$B$16)</f>
        <v/>
      </c>
      <c r="N54" s="23" t="str">
        <f aca="false">IF(Note_Brand!$B$17="","",Note_Brand!$B$17)</f>
        <v/>
      </c>
      <c r="O54" s="23" t="str">
        <f aca="false">IF(Note_Brand!$B$18="","",Note_Brand!$B$18)</f>
        <v/>
      </c>
      <c r="P54" s="23" t="str">
        <f aca="false">IF(Note_Brand!$B$19="","",Note_Brand!$B$19)</f>
        <v/>
      </c>
      <c r="Q54" s="23" t="str">
        <f aca="false">IF(Note_Brand!$B$20="","",Note_Brand!$B$20)</f>
        <v/>
      </c>
      <c r="R54" s="23" t="str">
        <f aca="false">IF(Note_Brand!$B$21="","",Note_Brand!$B$21)</f>
        <v/>
      </c>
      <c r="S54" s="23" t="str">
        <f aca="false">IF(Note_Brand!$B$22="","",Note_Brand!$B$22)</f>
        <v/>
      </c>
      <c r="T54" s="23" t="str">
        <f aca="false">IF(Note_Brand!$B$23="","",Note_Brand!$B$23)</f>
        <v/>
      </c>
      <c r="U54" s="23" t="str">
        <f aca="false">IF(Note_Brand!$B$24="","",Note_Brand!$B$24)</f>
        <v/>
      </c>
      <c r="V54" s="23" t="str">
        <f aca="false">IF(Note_Brand!$B$25="","",Note_Brand!$B$25)</f>
        <v/>
      </c>
      <c r="W54" s="23" t="str">
        <f aca="false">IF(Note_Brand!$B$26="","",Note_Brand!$B$26)</f>
        <v/>
      </c>
      <c r="X54" s="23" t="str">
        <f aca="false">IF(Note_Brand!$B$27="","",Note_Brand!$B$27)</f>
        <v/>
      </c>
      <c r="Y54" s="23" t="str">
        <f aca="false">IF(Note_Brand!$B$28="","",Note_Brand!$B$28)</f>
        <v/>
      </c>
      <c r="Z54" s="23" t="str">
        <f aca="false">IF(Note_Brand!$B$29="","",Note_Brand!$B$29)</f>
        <v/>
      </c>
      <c r="AA54" s="23" t="str">
        <f aca="false">IF(Note_Brand!$B$30="","",Note_Brand!$B$30)</f>
        <v/>
      </c>
      <c r="AB54" s="23" t="str">
        <f aca="false">IF(Note_Brand!$B$31="","",Note_Brand!$B$31)</f>
        <v/>
      </c>
      <c r="AC54" s="23" t="str">
        <f aca="false">IF(Note_Brand!$B$32="","",Note_Brand!$B$32)</f>
        <v/>
      </c>
      <c r="AD54" s="23" t="str">
        <f aca="false">IF(Note_Brand!$B$33="","",Note_Brand!$B$33)</f>
        <v/>
      </c>
      <c r="AE54" s="23" t="str">
        <f aca="false">IF(Note_Brand!$B$34="","",Note_Brand!$B$34)</f>
        <v/>
      </c>
      <c r="AF54" s="23" t="str">
        <f aca="false">IF(Note_Brand!$B$35="","",Note_Brand!$B$35)</f>
        <v/>
      </c>
      <c r="AG54" s="23" t="str">
        <f aca="false">IF(Note_Brand!$B$36="","",Note_Brand!$B$36)</f>
        <v/>
      </c>
      <c r="AH54" s="23" t="str">
        <f aca="false">IF(Note_Brand!$B$37="","",Note_Brand!$B$37)</f>
        <v/>
      </c>
      <c r="AI54" s="23" t="str">
        <f aca="false">IF(Note_Brand!$B$38="","",Note_Brand!$B$38)</f>
        <v/>
      </c>
      <c r="AJ54" s="23" t="str">
        <f aca="false">IF(Note_Brand!$B$39="","",Note_Brand!$B$39)</f>
        <v/>
      </c>
      <c r="AK54" s="23" t="str">
        <f aca="false">IF(Note_Brand!$B$40="","",Note_Brand!$B$40)</f>
        <v/>
      </c>
      <c r="AL54" s="23" t="str">
        <f aca="false">IF(Note_Brand!$B$41="","",Note_Brand!$B$41)</f>
        <v/>
      </c>
      <c r="AM54" s="23" t="str">
        <f aca="false">IF(Note_Brand!$B$42="","",Note_Brand!$B$42)</f>
        <v/>
      </c>
      <c r="AN54" s="23" t="str">
        <f aca="false">IF(Note_Brand!$B$43="","",Note_Brand!$B$43)</f>
        <v/>
      </c>
      <c r="AO54" s="23" t="str">
        <f aca="false">IF(Note_Brand!$B$44="","",Note_Brand!$B$44)</f>
        <v/>
      </c>
      <c r="AP54" s="23" t="str">
        <f aca="false">IF(Note_Brand!$B$45="","",Note_Brand!$B$45)</f>
        <v/>
      </c>
      <c r="AQ54" s="23" t="str">
        <f aca="false">IF(Note_Brand!$B$46="","",Note_Brand!$B$46)</f>
        <v/>
      </c>
      <c r="AR54" s="23" t="str">
        <f aca="false">IF(Note_Brand!$B$47="","",Note_Brand!$B$47)</f>
        <v/>
      </c>
      <c r="AS54" s="23" t="str">
        <f aca="false">IF(Note_Brand!$B$48="","",Note_Brand!$B$48)</f>
        <v/>
      </c>
      <c r="AT54" s="23" t="str">
        <f aca="false">IF(Note_Brand!$B$49="","",Note_Brand!$B$49)</f>
        <v/>
      </c>
      <c r="AU54" s="23" t="str">
        <f aca="false">IF(Note_Brand!$B$50="","",Note_Brand!$B$50)</f>
        <v/>
      </c>
    </row>
  </sheetData>
  <mergeCells count="1">
    <mergeCell ref="A2:C2"/>
  </mergeCells>
  <dataValidations count="20">
    <dataValidation allowBlank="true" errorStyle="stop" operator="between" showDropDown="false" showErrorMessage="false" showInputMessage="false" sqref="B10" type="list">
      <formula1>Lists!$E$2:$E$5</formula1>
      <formula2>0</formula2>
    </dataValidation>
    <dataValidation allowBlank="true" errorStyle="stop" operator="between" showDropDown="false" showErrorMessage="false" showInputMessage="false" sqref="B12" type="list">
      <formula1>Lists!$F$2:$F$5</formula1>
      <formula2>0</formula2>
    </dataValidation>
    <dataValidation allowBlank="true" errorStyle="stop" operator="between" showDropDown="false" showErrorMessage="false" showInputMessage="false" sqref="B18" type="list">
      <formula1>Lists!$A$2:$A$3</formula1>
      <formula2>0</formula2>
    </dataValidation>
    <dataValidation allowBlank="true" errorStyle="stop" operator="between" showDropDown="false" showErrorMessage="false" showInputMessage="false" sqref="B19" type="list">
      <formula1>Lists!$A$2:$A$3</formula1>
      <formula2>0</formula2>
    </dataValidation>
    <dataValidation allowBlank="true" errorStyle="stop" operator="between" showDropDown="false" showErrorMessage="false" showInputMessage="false" sqref="B24" type="list">
      <formula1>Lists!$A$2:$A$3</formula1>
      <formula2>0</formula2>
    </dataValidation>
    <dataValidation allowBlank="true" errorStyle="stop" operator="between" showDropDown="false" showErrorMessage="false" showInputMessage="false" sqref="B28" type="list">
      <formula1>Lists!$I$2:$I$7</formula1>
      <formula2>0</formula2>
    </dataValidation>
    <dataValidation allowBlank="true" errorStyle="stop" operator="between" showDropDown="false" showErrorMessage="false" showInputMessage="false" sqref="B31" type="list">
      <formula1>Lists!$D$2:$D$4</formula1>
      <formula2>0</formula2>
    </dataValidation>
    <dataValidation allowBlank="true" errorStyle="stop" operator="between" showDropDown="false" showErrorMessage="false" showInputMessage="false" sqref="B32" type="list">
      <formula1>Lists!$D$2:$D$4</formula1>
      <formula2>0</formula2>
    </dataValidation>
    <dataValidation allowBlank="true" errorStyle="stop" operator="between" showDropDown="false" showErrorMessage="false" showInputMessage="false" sqref="B33" type="list">
      <formula1>Lists!$D$2:$D$4</formula1>
      <formula2>0</formula2>
    </dataValidation>
    <dataValidation allowBlank="true" errorStyle="stop" operator="between" showDropDown="false" showErrorMessage="false" showInputMessage="false" sqref="B34" type="list">
      <formula1>Lists!$D$2:$D$4</formula1>
      <formula2>0</formula2>
    </dataValidation>
    <dataValidation allowBlank="true" errorStyle="stop" operator="between" showDropDown="false" showErrorMessage="false" showInputMessage="false" sqref="B35" type="list">
      <formula1>Lists!$D$2:$D$4</formula1>
      <formula2>0</formula2>
    </dataValidation>
    <dataValidation allowBlank="true" errorStyle="stop" operator="between" showDropDown="false" showErrorMessage="false" showInputMessage="false" sqref="B36" type="list">
      <formula1>Lists!$D$2:$D$4</formula1>
      <formula2>0</formula2>
    </dataValidation>
    <dataValidation allowBlank="true" errorStyle="stop" operator="between" showDropDown="false" showErrorMessage="false" showInputMessage="false" sqref="B38" type="list">
      <formula1>Lists!$A$2:$A$3</formula1>
      <formula2>0</formula2>
    </dataValidation>
    <dataValidation allowBlank="true" errorStyle="stop" operator="between" showDropDown="false" showErrorMessage="false" showInputMessage="false" sqref="B39" type="list">
      <formula1>Lists!$P$2:$P$14</formula1>
      <formula2>0</formula2>
    </dataValidation>
    <dataValidation allowBlank="true" errorStyle="stop" operator="between" showDropDown="false" showErrorMessage="false" showInputMessage="false" sqref="B40" type="list">
      <formula1>Lists!$P$2:$P$14</formula1>
      <formula2>0</formula2>
    </dataValidation>
    <dataValidation allowBlank="true" errorStyle="stop" operator="between" showDropDown="false" showErrorMessage="false" showInputMessage="false" sqref="B41" type="list">
      <formula1>Lists!$P$2:$P$14</formula1>
      <formula2>0</formula2>
    </dataValidation>
    <dataValidation allowBlank="true" errorStyle="stop" operator="between" showDropDown="false" showErrorMessage="false" showInputMessage="false" sqref="B43" type="list">
      <formula1>Lists!$B$2:$B$4</formula1>
      <formula2>0</formula2>
    </dataValidation>
    <dataValidation allowBlank="true" errorStyle="stop" operator="between" showDropDown="false" showErrorMessage="false" showInputMessage="false" sqref="B44" type="list">
      <formula1>Lists!$A$2:$A$3</formula1>
      <formula2>0</formula2>
    </dataValidation>
    <dataValidation allowBlank="true" errorStyle="stop" operator="between" showDropDown="false" showErrorMessage="false" showInputMessage="false" sqref="B47" type="list">
      <formula1>Lists!$A$2:$A$3</formula1>
      <formula2>0</formula2>
    </dataValidation>
    <dataValidation allowBlank="true" errorStyle="stop" operator="between" showDropDown="false" showErrorMessage="false" showInputMessage="false" sqref="B49"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J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1" min="1" style="0" width="14"/>
    <col collapsed="false" customWidth="true" hidden="false" outlineLevel="0" max="22" min="22" style="0" width="10"/>
    <col collapsed="false" customWidth="true" hidden="false" outlineLevel="0" max="23" min="23" style="0" width="15"/>
    <col collapsed="false" customWidth="true" hidden="false" outlineLevel="0" max="24" min="24" style="0" width="11"/>
    <col collapsed="false" customWidth="true" hidden="false" outlineLevel="0" max="25" min="25" style="0" width="24"/>
    <col collapsed="false" customWidth="true" hidden="false" outlineLevel="0" max="26" min="26" style="0" width="7"/>
    <col collapsed="false" customWidth="true" hidden="false" outlineLevel="0" max="27" min="27" style="0" width="28"/>
    <col collapsed="false" customWidth="true" hidden="false" outlineLevel="0" max="28" min="28" style="0" width="11"/>
    <col collapsed="false" customWidth="true" hidden="false" outlineLevel="0" max="29" min="29" style="0" width="9"/>
    <col collapsed="false" customWidth="true" hidden="false" outlineLevel="0" max="30" min="30" style="0" width="8"/>
    <col collapsed="false" customWidth="true" hidden="false" outlineLevel="0" max="31" min="31" style="0" width="7"/>
    <col collapsed="false" customWidth="true" hidden="false" outlineLevel="0" max="33" min="32" style="0" width="14"/>
    <col collapsed="false" customWidth="true" hidden="false" outlineLevel="0" max="34" min="34" style="0" width="20"/>
    <col collapsed="false" customWidth="true" hidden="false" outlineLevel="0" max="35" min="35" style="0" width="7"/>
    <col collapsed="false" customWidth="true" hidden="false" outlineLevel="0" max="36" min="36" style="0" width="10"/>
  </cols>
  <sheetData>
    <row r="1" customFormat="false" ht="42" hidden="false" customHeight="true" outlineLevel="0" collapsed="false">
      <c r="A1" s="8" t="s">
        <v>867</v>
      </c>
      <c r="B1" s="8" t="s">
        <v>868</v>
      </c>
      <c r="C1" s="8" t="s">
        <v>301</v>
      </c>
      <c r="D1" s="8" t="s">
        <v>303</v>
      </c>
      <c r="E1" s="8" t="s">
        <v>304</v>
      </c>
      <c r="F1" s="8" t="s">
        <v>869</v>
      </c>
      <c r="G1" s="8" t="s">
        <v>870</v>
      </c>
      <c r="H1" s="8" t="s">
        <v>871</v>
      </c>
      <c r="I1" s="8" t="s">
        <v>872</v>
      </c>
      <c r="J1" s="8" t="s">
        <v>314</v>
      </c>
      <c r="K1" s="8" t="s">
        <v>329</v>
      </c>
      <c r="L1" s="8" t="s">
        <v>330</v>
      </c>
      <c r="M1" s="8" t="s">
        <v>873</v>
      </c>
      <c r="N1" s="8" t="s">
        <v>334</v>
      </c>
      <c r="O1" s="8" t="s">
        <v>333</v>
      </c>
      <c r="P1" s="8" t="s">
        <v>335</v>
      </c>
      <c r="Q1" s="8" t="s">
        <v>874</v>
      </c>
      <c r="R1" s="8" t="s">
        <v>875</v>
      </c>
      <c r="S1" s="8" t="s">
        <v>876</v>
      </c>
      <c r="T1" s="8" t="s">
        <v>349</v>
      </c>
      <c r="U1" s="8" t="s">
        <v>305</v>
      </c>
      <c r="V1" s="8" t="s">
        <v>877</v>
      </c>
      <c r="W1" s="8" t="s">
        <v>878</v>
      </c>
      <c r="X1" s="8" t="s">
        <v>879</v>
      </c>
      <c r="Y1" s="8" t="s">
        <v>880</v>
      </c>
      <c r="Z1" s="8" t="s">
        <v>881</v>
      </c>
      <c r="AA1" s="21" t="s">
        <v>323</v>
      </c>
      <c r="AB1" s="21" t="s">
        <v>882</v>
      </c>
      <c r="AC1" s="21" t="s">
        <v>883</v>
      </c>
      <c r="AD1" s="8" t="s">
        <v>884</v>
      </c>
      <c r="AE1" s="8" t="s">
        <v>331</v>
      </c>
      <c r="AF1" s="8" t="s">
        <v>885</v>
      </c>
      <c r="AG1" s="8" t="s">
        <v>886</v>
      </c>
      <c r="AH1" s="8" t="s">
        <v>887</v>
      </c>
      <c r="AI1" s="8" t="s">
        <v>888</v>
      </c>
      <c r="AJ1" s="8" t="s">
        <v>889</v>
      </c>
    </row>
    <row r="2" customFormat="false" ht="15" hidden="false" customHeight="false" outlineLevel="0" collapsed="false">
      <c r="A2" s="0" t="s">
        <v>890</v>
      </c>
      <c r="B2" s="0" t="s">
        <v>891</v>
      </c>
      <c r="C2" s="0" t="s">
        <v>449</v>
      </c>
      <c r="D2" s="0" t="s">
        <v>450</v>
      </c>
      <c r="E2" s="0" t="s">
        <v>451</v>
      </c>
      <c r="F2" s="0" t="s">
        <v>892</v>
      </c>
      <c r="G2" s="0" t="s">
        <v>893</v>
      </c>
      <c r="H2" s="0" t="s">
        <v>894</v>
      </c>
      <c r="I2" s="0" t="s">
        <v>895</v>
      </c>
      <c r="J2" s="0" t="n">
        <v>62</v>
      </c>
      <c r="K2" s="0" t="s">
        <v>467</v>
      </c>
      <c r="L2" s="0" t="s">
        <v>451</v>
      </c>
      <c r="M2" s="32" t="s">
        <v>457</v>
      </c>
      <c r="N2" s="32" t="s">
        <v>469</v>
      </c>
      <c r="O2" s="0" t="s">
        <v>468</v>
      </c>
      <c r="P2" s="32" t="s">
        <v>470</v>
      </c>
      <c r="Q2" s="32" t="s">
        <v>896</v>
      </c>
      <c r="R2" s="0" t="s">
        <v>897</v>
      </c>
      <c r="S2" s="0" t="s">
        <v>472</v>
      </c>
      <c r="T2" s="0" t="s">
        <v>898</v>
      </c>
      <c r="U2" s="32" t="s">
        <v>899</v>
      </c>
      <c r="V2" s="0" t="s">
        <v>900</v>
      </c>
      <c r="W2" s="0" t="s">
        <v>448</v>
      </c>
      <c r="X2" s="33" t="n">
        <v>46350</v>
      </c>
      <c r="Y2" s="32" t="s">
        <v>901</v>
      </c>
      <c r="Z2" s="32" t="s">
        <v>457</v>
      </c>
      <c r="AA2" s="23" t="str">
        <f aca="false">IF(W2="","",IFERROR(INDEX(Office_Log!$X$2:$X$201,MATCH(IFERROR(INDEX(Office_Log!$AZ$2:$AZ$201,MATCH(W2,Office_Log!$A$2:$A$201,0)),"(no log row)"),Office_Log!$BT$2:$BT$201,0))&amp;"",""))</f>
        <v>SAMPLE: maybe $100 to $200 a month</v>
      </c>
      <c r="AB2" s="35" t="n">
        <f aca="false">IF(W2="","",IFERROR(IF(ISNUMBER(INDEX(Office_Log!$H$2:$H$201,MATCH(IFERROR(INDEX(Office_Log!$AZ$2:$AZ$201,MATCH(W2,Office_Log!$A$2:$A$201,0)),"(no log row)"),Office_Log!$BT$2:$BT$201,0))),INDEX(Office_Log!$H$2:$H$201,MATCH(IFERROR(INDEX(Office_Log!$AZ$2:$AZ$201,MATCH(W2,Office_Log!$A$2:$A$201,0)),"(no log row)"),Office_Log!$BT$2:$BT$201,0)),""),""))</f>
        <v>46322</v>
      </c>
      <c r="AC2" s="23" t="n">
        <f aca="false">IF(W2="","",IFERROR(IF(ISNUMBER(INDEX(Office_Log!$Y$2:$Y$201,MATCH(IFERROR(INDEX(Office_Log!$AZ$2:$AZ$201,MATCH(W2,Office_Log!$A$2:$A$201,0)),"(no log row)"),Office_Log!$BT$2:$BT$201,0))),INDEX(Office_Log!$Y$2:$Y$201,MATCH(IFERROR(INDEX(Office_Log!$AZ$2:$AZ$201,MATCH(W2,Office_Log!$A$2:$A$201,0)),"(no log row)"),Office_Log!$BT$2:$BT$201,0)),""),""))</f>
        <v>100</v>
      </c>
      <c r="AD2" s="32" t="s">
        <v>902</v>
      </c>
      <c r="AE2" s="32" t="s">
        <v>460</v>
      </c>
      <c r="AF2" s="32" t="s">
        <v>903</v>
      </c>
      <c r="AG2" s="32" t="s">
        <v>904</v>
      </c>
      <c r="AH2" s="32" t="s">
        <v>905</v>
      </c>
      <c r="AI2" s="32" t="s">
        <v>457</v>
      </c>
      <c r="AJ2" s="32" t="s">
        <v>906</v>
      </c>
    </row>
    <row r="3" customFormat="false" ht="15" hidden="false" customHeight="false" outlineLevel="0" collapsed="false">
      <c r="A3" s="0" t="s">
        <v>907</v>
      </c>
      <c r="B3" s="0" t="s">
        <v>891</v>
      </c>
      <c r="C3" s="0" t="s">
        <v>521</v>
      </c>
      <c r="D3" s="0" t="s">
        <v>522</v>
      </c>
      <c r="E3" s="0" t="s">
        <v>451</v>
      </c>
      <c r="F3" s="0" t="s">
        <v>908</v>
      </c>
      <c r="G3" s="0" t="s">
        <v>893</v>
      </c>
      <c r="H3" s="0" t="s">
        <v>909</v>
      </c>
      <c r="I3" s="0" t="s">
        <v>895</v>
      </c>
      <c r="J3" s="0" t="n">
        <v>55</v>
      </c>
      <c r="K3" s="0" t="s">
        <v>528</v>
      </c>
      <c r="L3" s="0" t="s">
        <v>451</v>
      </c>
      <c r="M3" s="32" t="s">
        <v>457</v>
      </c>
      <c r="N3" s="32" t="s">
        <v>469</v>
      </c>
      <c r="O3" s="0" t="s">
        <v>529</v>
      </c>
      <c r="P3" s="32" t="s">
        <v>470</v>
      </c>
      <c r="Q3" s="32" t="s">
        <v>896</v>
      </c>
      <c r="R3" s="0" t="s">
        <v>897</v>
      </c>
      <c r="S3" s="0" t="s">
        <v>472</v>
      </c>
      <c r="T3" s="0" t="s">
        <v>898</v>
      </c>
      <c r="U3" s="32" t="s">
        <v>899</v>
      </c>
      <c r="V3" s="0" t="s">
        <v>910</v>
      </c>
      <c r="W3" s="0" t="s">
        <v>520</v>
      </c>
      <c r="X3" s="33" t="n">
        <v>46349</v>
      </c>
      <c r="Y3" s="32" t="s">
        <v>911</v>
      </c>
      <c r="Z3" s="32" t="s">
        <v>457</v>
      </c>
      <c r="AA3" s="23" t="str">
        <f aca="false">IF(W3="","",IFERROR(INDEX(Office_Log!$X$2:$X$201,MATCH(IFERROR(INDEX(Office_Log!$AZ$2:$AZ$201,MATCH(W3,Office_Log!$A$2:$A$201,0)),"(no log row)"),Office_Log!$BT$2:$BT$201,0))&amp;"",""))</f>
        <v>SAMPLE: fifty dollars, maybe</v>
      </c>
      <c r="AB3" s="35" t="n">
        <f aca="false">IF(W3="","",IFERROR(IF(ISNUMBER(INDEX(Office_Log!$H$2:$H$201,MATCH(IFERROR(INDEX(Office_Log!$AZ$2:$AZ$201,MATCH(W3,Office_Log!$A$2:$A$201,0)),"(no log row)"),Office_Log!$BT$2:$BT$201,0))),INDEX(Office_Log!$H$2:$H$201,MATCH(IFERROR(INDEX(Office_Log!$AZ$2:$AZ$201,MATCH(W3,Office_Log!$A$2:$A$201,0)),"(no log row)"),Office_Log!$BT$2:$BT$201,0)),""),""))</f>
        <v>46330</v>
      </c>
      <c r="AC3" s="23" t="n">
        <f aca="false">IF(W3="","",IFERROR(IF(ISNUMBER(INDEX(Office_Log!$Y$2:$Y$201,MATCH(IFERROR(INDEX(Office_Log!$AZ$2:$AZ$201,MATCH(W3,Office_Log!$A$2:$A$201,0)),"(no log row)"),Office_Log!$BT$2:$BT$201,0))),INDEX(Office_Log!$Y$2:$Y$201,MATCH(IFERROR(INDEX(Office_Log!$AZ$2:$AZ$201,MATCH(W3,Office_Log!$A$2:$A$201,0)),"(no log row)"),Office_Log!$BT$2:$BT$201,0)),""),""))</f>
        <v>50</v>
      </c>
      <c r="AD3" s="32" t="s">
        <v>902</v>
      </c>
      <c r="AE3" s="32" t="s">
        <v>460</v>
      </c>
      <c r="AF3" s="32" t="s">
        <v>903</v>
      </c>
      <c r="AG3" s="32" t="s">
        <v>904</v>
      </c>
      <c r="AH3" s="32" t="s">
        <v>912</v>
      </c>
      <c r="AI3" s="32" t="s">
        <v>457</v>
      </c>
      <c r="AJ3" s="32" t="s">
        <v>913</v>
      </c>
    </row>
    <row r="4" customFormat="false" ht="15" hidden="false" customHeight="false" outlineLevel="0" collapsed="false">
      <c r="A4" s="0" t="s">
        <v>914</v>
      </c>
      <c r="B4" s="0" t="s">
        <v>891</v>
      </c>
      <c r="C4" s="0" t="s">
        <v>541</v>
      </c>
      <c r="D4" s="0" t="s">
        <v>542</v>
      </c>
      <c r="E4" s="0" t="s">
        <v>451</v>
      </c>
      <c r="F4" s="0" t="s">
        <v>915</v>
      </c>
      <c r="G4" s="0" t="s">
        <v>893</v>
      </c>
      <c r="H4" s="0" t="s">
        <v>916</v>
      </c>
      <c r="I4" s="0" t="s">
        <v>917</v>
      </c>
      <c r="J4" s="0" t="n">
        <v>70</v>
      </c>
      <c r="K4" s="0" t="s">
        <v>547</v>
      </c>
      <c r="L4" s="0" t="s">
        <v>451</v>
      </c>
      <c r="M4" s="32" t="s">
        <v>457</v>
      </c>
      <c r="N4" s="32" t="s">
        <v>469</v>
      </c>
      <c r="O4" s="0" t="s">
        <v>548</v>
      </c>
      <c r="P4" s="32" t="s">
        <v>470</v>
      </c>
      <c r="Q4" s="32" t="s">
        <v>896</v>
      </c>
      <c r="R4" s="0" t="s">
        <v>897</v>
      </c>
      <c r="S4" s="0" t="s">
        <v>472</v>
      </c>
      <c r="T4" s="0" t="s">
        <v>898</v>
      </c>
      <c r="U4" s="32" t="s">
        <v>899</v>
      </c>
      <c r="V4" s="0" t="s">
        <v>918</v>
      </c>
      <c r="W4" s="0" t="s">
        <v>540</v>
      </c>
      <c r="X4" s="33" t="n">
        <v>46350</v>
      </c>
      <c r="Y4" s="32" t="s">
        <v>919</v>
      </c>
      <c r="Z4" s="32" t="s">
        <v>457</v>
      </c>
      <c r="AA4" s="23" t="str">
        <f aca="false">IF(W4="","",IFERROR(INDEX(Office_Log!$X$2:$X$201,MATCH(IFERROR(INDEX(Office_Log!$AZ$2:$AZ$201,MATCH(W4,Office_Log!$A$2:$A$201,0)),"(no log row)"),Office_Log!$BT$2:$BT$201,0))&amp;"",""))</f>
        <v>SAMPLE: we would not pay</v>
      </c>
      <c r="AB4" s="35" t="n">
        <f aca="false">IF(W4="","",IFERROR(IF(ISNUMBER(INDEX(Office_Log!$H$2:$H$201,MATCH(IFERROR(INDEX(Office_Log!$AZ$2:$AZ$201,MATCH(W4,Office_Log!$A$2:$A$201,0)),"(no log row)"),Office_Log!$BT$2:$BT$201,0))),INDEX(Office_Log!$H$2:$H$201,MATCH(IFERROR(INDEX(Office_Log!$AZ$2:$AZ$201,MATCH(W4,Office_Log!$A$2:$A$201,0)),"(no log row)"),Office_Log!$BT$2:$BT$201,0)),""),""))</f>
        <v>46335</v>
      </c>
      <c r="AC4" s="23" t="n">
        <f aca="false">IF(W4="","",IFERROR(IF(ISNUMBER(INDEX(Office_Log!$Y$2:$Y$201,MATCH(IFERROR(INDEX(Office_Log!$AZ$2:$AZ$201,MATCH(W4,Office_Log!$A$2:$A$201,0)),"(no log row)"),Office_Log!$BT$2:$BT$201,0))),INDEX(Office_Log!$Y$2:$Y$201,MATCH(IFERROR(INDEX(Office_Log!$AZ$2:$AZ$201,MATCH(W4,Office_Log!$A$2:$A$201,0)),"(no log row)"),Office_Log!$BT$2:$BT$201,0)),""),""))</f>
        <v>0</v>
      </c>
      <c r="AD4" s="32" t="s">
        <v>902</v>
      </c>
      <c r="AE4" s="32" t="s">
        <v>460</v>
      </c>
      <c r="AF4" s="32" t="s">
        <v>903</v>
      </c>
      <c r="AG4" s="32" t="s">
        <v>904</v>
      </c>
      <c r="AH4" s="32" t="s">
        <v>920</v>
      </c>
      <c r="AI4" s="32" t="s">
        <v>457</v>
      </c>
      <c r="AJ4" s="32" t="s">
        <v>921</v>
      </c>
    </row>
    <row r="5" customFormat="false" ht="15" hidden="false" customHeight="false" outlineLevel="0" collapsed="false">
      <c r="A5" s="0" t="s">
        <v>922</v>
      </c>
      <c r="B5" s="0" t="s">
        <v>891</v>
      </c>
      <c r="C5" s="0" t="s">
        <v>557</v>
      </c>
      <c r="D5" s="0" t="s">
        <v>558</v>
      </c>
      <c r="E5" s="0" t="s">
        <v>451</v>
      </c>
      <c r="F5" s="0" t="s">
        <v>923</v>
      </c>
      <c r="G5" s="0" t="s">
        <v>893</v>
      </c>
      <c r="H5" s="0" t="s">
        <v>924</v>
      </c>
      <c r="I5" s="0" t="s">
        <v>925</v>
      </c>
      <c r="J5" s="0" t="n">
        <v>110</v>
      </c>
      <c r="K5" s="0" t="s">
        <v>563</v>
      </c>
      <c r="L5" s="0" t="s">
        <v>451</v>
      </c>
      <c r="M5" s="32" t="s">
        <v>457</v>
      </c>
      <c r="N5" s="32" t="s">
        <v>469</v>
      </c>
      <c r="O5" s="0" t="s">
        <v>564</v>
      </c>
      <c r="P5" s="32" t="s">
        <v>470</v>
      </c>
      <c r="Q5" s="32" t="s">
        <v>896</v>
      </c>
      <c r="R5" s="0" t="s">
        <v>897</v>
      </c>
      <c r="S5" s="0" t="s">
        <v>472</v>
      </c>
      <c r="T5" s="0" t="s">
        <v>898</v>
      </c>
      <c r="U5" s="32" t="s">
        <v>899</v>
      </c>
      <c r="V5" s="0" t="s">
        <v>926</v>
      </c>
      <c r="W5" s="0" t="s">
        <v>556</v>
      </c>
      <c r="X5" s="33" t="n">
        <v>46351</v>
      </c>
      <c r="Y5" s="32" t="s">
        <v>927</v>
      </c>
      <c r="Z5" s="32" t="s">
        <v>457</v>
      </c>
      <c r="AA5" s="23" t="str">
        <f aca="false">IF(W5="","",IFERROR(INDEX(Office_Log!$X$2:$X$201,MATCH(IFERROR(INDEX(Office_Log!$AZ$2:$AZ$201,MATCH(W5,Office_Log!$A$2:$A$201,0)),"(no log row)"),Office_Log!$BT$2:$BT$201,0))&amp;"",""))</f>
        <v>SAMPLE: $200 to $400 if the team votes on it</v>
      </c>
      <c r="AB5" s="35" t="n">
        <f aca="false">IF(W5="","",IFERROR(IF(ISNUMBER(INDEX(Office_Log!$H$2:$H$201,MATCH(IFERROR(INDEX(Office_Log!$AZ$2:$AZ$201,MATCH(W5,Office_Log!$A$2:$A$201,0)),"(no log row)"),Office_Log!$BT$2:$BT$201,0))),INDEX(Office_Log!$H$2:$H$201,MATCH(IFERROR(INDEX(Office_Log!$AZ$2:$AZ$201,MATCH(W5,Office_Log!$A$2:$A$201,0)),"(no log row)"),Office_Log!$BT$2:$BT$201,0)),""),""))</f>
        <v>46336</v>
      </c>
      <c r="AC5" s="23" t="n">
        <f aca="false">IF(W5="","",IFERROR(IF(ISNUMBER(INDEX(Office_Log!$Y$2:$Y$201,MATCH(IFERROR(INDEX(Office_Log!$AZ$2:$AZ$201,MATCH(W5,Office_Log!$A$2:$A$201,0)),"(no log row)"),Office_Log!$BT$2:$BT$201,0))),INDEX(Office_Log!$Y$2:$Y$201,MATCH(IFERROR(INDEX(Office_Log!$AZ$2:$AZ$201,MATCH(W5,Office_Log!$A$2:$A$201,0)),"(no log row)"),Office_Log!$BT$2:$BT$201,0)),""),""))</f>
        <v>200</v>
      </c>
      <c r="AD5" s="32" t="s">
        <v>902</v>
      </c>
      <c r="AE5" s="32" t="s">
        <v>460</v>
      </c>
      <c r="AF5" s="32" t="s">
        <v>903</v>
      </c>
      <c r="AG5" s="32" t="s">
        <v>904</v>
      </c>
      <c r="AH5" s="32" t="s">
        <v>928</v>
      </c>
      <c r="AI5" s="32" t="s">
        <v>457</v>
      </c>
      <c r="AJ5" s="32" t="s">
        <v>929</v>
      </c>
    </row>
    <row r="6" customFormat="false" ht="15" hidden="false" customHeight="false" outlineLevel="0" collapsed="false">
      <c r="A6" s="0" t="s">
        <v>930</v>
      </c>
      <c r="B6" s="0" t="s">
        <v>891</v>
      </c>
      <c r="C6" s="0" t="s">
        <v>583</v>
      </c>
      <c r="D6" s="0" t="s">
        <v>584</v>
      </c>
      <c r="E6" s="0" t="s">
        <v>451</v>
      </c>
      <c r="F6" s="0" t="s">
        <v>931</v>
      </c>
      <c r="G6" s="0" t="s">
        <v>893</v>
      </c>
      <c r="H6" s="0" t="s">
        <v>932</v>
      </c>
      <c r="I6" s="0" t="s">
        <v>933</v>
      </c>
      <c r="J6" s="0" t="n">
        <v>65</v>
      </c>
      <c r="K6" s="0" t="s">
        <v>587</v>
      </c>
      <c r="L6" s="0" t="s">
        <v>451</v>
      </c>
      <c r="M6" s="32" t="s">
        <v>457</v>
      </c>
      <c r="N6" s="32" t="s">
        <v>469</v>
      </c>
      <c r="O6" s="0" t="s">
        <v>588</v>
      </c>
      <c r="P6" s="32" t="s">
        <v>470</v>
      </c>
      <c r="Q6" s="32" t="s">
        <v>896</v>
      </c>
      <c r="R6" s="0" t="s">
        <v>897</v>
      </c>
      <c r="S6" s="0" t="s">
        <v>472</v>
      </c>
      <c r="T6" s="0" t="s">
        <v>898</v>
      </c>
      <c r="U6" s="32" t="s">
        <v>899</v>
      </c>
      <c r="V6" s="0" t="s">
        <v>934</v>
      </c>
      <c r="W6" s="0" t="s">
        <v>582</v>
      </c>
      <c r="X6" s="33" t="n">
        <v>46356</v>
      </c>
      <c r="Y6" s="32" t="s">
        <v>935</v>
      </c>
      <c r="Z6" s="32" t="s">
        <v>457</v>
      </c>
      <c r="AA6" s="23" t="str">
        <f aca="false">IF(W6="","",IFERROR(INDEX(Office_Log!$X$2:$X$201,MATCH(IFERROR(INDEX(Office_Log!$AZ$2:$AZ$201,MATCH(W6,Office_Log!$A$2:$A$201,0)),"(no log row)"),Office_Log!$BT$2:$BT$201,0))&amp;"",""))</f>
        <v/>
      </c>
      <c r="AB6" s="35" t="str">
        <f aca="false">IF(W6="","",IFERROR(IF(ISNUMBER(INDEX(Office_Log!$H$2:$H$201,MATCH(IFERROR(INDEX(Office_Log!$AZ$2:$AZ$201,MATCH(W6,Office_Log!$A$2:$A$201,0)),"(no log row)"),Office_Log!$BT$2:$BT$201,0))),INDEX(Office_Log!$H$2:$H$201,MATCH(IFERROR(INDEX(Office_Log!$AZ$2:$AZ$201,MATCH(W6,Office_Log!$A$2:$A$201,0)),"(no log row)"),Office_Log!$BT$2:$BT$201,0)),""),""))</f>
        <v/>
      </c>
      <c r="AC6" s="23" t="str">
        <f aca="false">IF(W6="","",IFERROR(IF(ISNUMBER(INDEX(Office_Log!$Y$2:$Y$201,MATCH(IFERROR(INDEX(Office_Log!$AZ$2:$AZ$201,MATCH(W6,Office_Log!$A$2:$A$201,0)),"(no log row)"),Office_Log!$BT$2:$BT$201,0))),INDEX(Office_Log!$Y$2:$Y$201,MATCH(IFERROR(INDEX(Office_Log!$AZ$2:$AZ$201,MATCH(W6,Office_Log!$A$2:$A$201,0)),"(no log row)"),Office_Log!$BT$2:$BT$201,0)),""),""))</f>
        <v/>
      </c>
      <c r="AD6" s="32" t="s">
        <v>902</v>
      </c>
      <c r="AE6" s="32" t="s">
        <v>460</v>
      </c>
      <c r="AF6" s="32" t="s">
        <v>903</v>
      </c>
      <c r="AG6" s="32" t="s">
        <v>904</v>
      </c>
      <c r="AH6" s="32" t="s">
        <v>936</v>
      </c>
      <c r="AI6" s="32" t="s">
        <v>457</v>
      </c>
      <c r="AJ6" s="32" t="s">
        <v>937</v>
      </c>
    </row>
    <row r="7" customFormat="false" ht="15" hidden="false" customHeight="false" outlineLevel="0" collapsed="false">
      <c r="M7" s="32"/>
      <c r="N7" s="32"/>
      <c r="P7" s="32"/>
      <c r="Q7" s="32"/>
      <c r="U7" s="32"/>
      <c r="X7" s="33"/>
      <c r="Z7" s="32"/>
      <c r="AA7" s="23" t="str">
        <f aca="false">IF(W7="","",IFERROR(INDEX(Office_Log!$X$2:$X$201,MATCH(IFERROR(INDEX(Office_Log!$AZ$2:$AZ$201,MATCH(W7,Office_Log!$A$2:$A$201,0)),"(no log row)"),Office_Log!$BT$2:$BT$201,0))&amp;"",""))</f>
        <v/>
      </c>
      <c r="AB7" s="35" t="str">
        <f aca="false">IF(W7="","",IFERROR(IF(ISNUMBER(INDEX(Office_Log!$H$2:$H$201,MATCH(IFERROR(INDEX(Office_Log!$AZ$2:$AZ$201,MATCH(W7,Office_Log!$A$2:$A$201,0)),"(no log row)"),Office_Log!$BT$2:$BT$201,0))),INDEX(Office_Log!$H$2:$H$201,MATCH(IFERROR(INDEX(Office_Log!$AZ$2:$AZ$201,MATCH(W7,Office_Log!$A$2:$A$201,0)),"(no log row)"),Office_Log!$BT$2:$BT$201,0)),""),""))</f>
        <v/>
      </c>
      <c r="AC7" s="23" t="str">
        <f aca="false">IF(W7="","",IFERROR(IF(ISNUMBER(INDEX(Office_Log!$Y$2:$Y$201,MATCH(IFERROR(INDEX(Office_Log!$AZ$2:$AZ$201,MATCH(W7,Office_Log!$A$2:$A$201,0)),"(no log row)"),Office_Log!$BT$2:$BT$201,0))),INDEX(Office_Log!$Y$2:$Y$201,MATCH(IFERROR(INDEX(Office_Log!$AZ$2:$AZ$201,MATCH(W7,Office_Log!$A$2:$A$201,0)),"(no log row)"),Office_Log!$BT$2:$BT$201,0)),""),""))</f>
        <v/>
      </c>
      <c r="AE7" s="32"/>
      <c r="AI7" s="32"/>
    </row>
    <row r="8" customFormat="false" ht="15" hidden="false" customHeight="false" outlineLevel="0" collapsed="false">
      <c r="M8" s="32"/>
      <c r="N8" s="32"/>
      <c r="P8" s="32"/>
      <c r="Q8" s="32"/>
      <c r="U8" s="32"/>
      <c r="X8" s="33"/>
      <c r="Z8" s="32"/>
      <c r="AA8" s="23" t="str">
        <f aca="false">IF(W8="","",IFERROR(INDEX(Office_Log!$X$2:$X$201,MATCH(IFERROR(INDEX(Office_Log!$AZ$2:$AZ$201,MATCH(W8,Office_Log!$A$2:$A$201,0)),"(no log row)"),Office_Log!$BT$2:$BT$201,0))&amp;"",""))</f>
        <v/>
      </c>
      <c r="AB8" s="35" t="str">
        <f aca="false">IF(W8="","",IFERROR(IF(ISNUMBER(INDEX(Office_Log!$H$2:$H$201,MATCH(IFERROR(INDEX(Office_Log!$AZ$2:$AZ$201,MATCH(W8,Office_Log!$A$2:$A$201,0)),"(no log row)"),Office_Log!$BT$2:$BT$201,0))),INDEX(Office_Log!$H$2:$H$201,MATCH(IFERROR(INDEX(Office_Log!$AZ$2:$AZ$201,MATCH(W8,Office_Log!$A$2:$A$201,0)),"(no log row)"),Office_Log!$BT$2:$BT$201,0)),""),""))</f>
        <v/>
      </c>
      <c r="AC8" s="23" t="str">
        <f aca="false">IF(W8="","",IFERROR(IF(ISNUMBER(INDEX(Office_Log!$Y$2:$Y$201,MATCH(IFERROR(INDEX(Office_Log!$AZ$2:$AZ$201,MATCH(W8,Office_Log!$A$2:$A$201,0)),"(no log row)"),Office_Log!$BT$2:$BT$201,0))),INDEX(Office_Log!$Y$2:$Y$201,MATCH(IFERROR(INDEX(Office_Log!$AZ$2:$AZ$201,MATCH(W8,Office_Log!$A$2:$A$201,0)),"(no log row)"),Office_Log!$BT$2:$BT$201,0)),""),""))</f>
        <v/>
      </c>
      <c r="AE8" s="32"/>
      <c r="AI8" s="32"/>
    </row>
    <row r="9" customFormat="false" ht="15" hidden="false" customHeight="false" outlineLevel="0" collapsed="false">
      <c r="M9" s="32"/>
      <c r="N9" s="32"/>
      <c r="P9" s="32"/>
      <c r="Q9" s="32"/>
      <c r="U9" s="32"/>
      <c r="X9" s="33"/>
      <c r="Z9" s="32"/>
      <c r="AA9" s="23" t="str">
        <f aca="false">IF(W9="","",IFERROR(INDEX(Office_Log!$X$2:$X$201,MATCH(IFERROR(INDEX(Office_Log!$AZ$2:$AZ$201,MATCH(W9,Office_Log!$A$2:$A$201,0)),"(no log row)"),Office_Log!$BT$2:$BT$201,0))&amp;"",""))</f>
        <v/>
      </c>
      <c r="AB9" s="35" t="str">
        <f aca="false">IF(W9="","",IFERROR(IF(ISNUMBER(INDEX(Office_Log!$H$2:$H$201,MATCH(IFERROR(INDEX(Office_Log!$AZ$2:$AZ$201,MATCH(W9,Office_Log!$A$2:$A$201,0)),"(no log row)"),Office_Log!$BT$2:$BT$201,0))),INDEX(Office_Log!$H$2:$H$201,MATCH(IFERROR(INDEX(Office_Log!$AZ$2:$AZ$201,MATCH(W9,Office_Log!$A$2:$A$201,0)),"(no log row)"),Office_Log!$BT$2:$BT$201,0)),""),""))</f>
        <v/>
      </c>
      <c r="AC9" s="23" t="str">
        <f aca="false">IF(W9="","",IFERROR(IF(ISNUMBER(INDEX(Office_Log!$Y$2:$Y$201,MATCH(IFERROR(INDEX(Office_Log!$AZ$2:$AZ$201,MATCH(W9,Office_Log!$A$2:$A$201,0)),"(no log row)"),Office_Log!$BT$2:$BT$201,0))),INDEX(Office_Log!$Y$2:$Y$201,MATCH(IFERROR(INDEX(Office_Log!$AZ$2:$AZ$201,MATCH(W9,Office_Log!$A$2:$A$201,0)),"(no log row)"),Office_Log!$BT$2:$BT$201,0)),""),""))</f>
        <v/>
      </c>
      <c r="AE9" s="32"/>
      <c r="AI9" s="32"/>
    </row>
    <row r="10" customFormat="false" ht="15" hidden="false" customHeight="false" outlineLevel="0" collapsed="false">
      <c r="M10" s="32"/>
      <c r="N10" s="32"/>
      <c r="P10" s="32"/>
      <c r="Q10" s="32"/>
      <c r="U10" s="32"/>
      <c r="X10" s="33"/>
      <c r="Z10" s="32"/>
      <c r="AA10" s="23" t="str">
        <f aca="false">IF(W10="","",IFERROR(INDEX(Office_Log!$X$2:$X$201,MATCH(IFERROR(INDEX(Office_Log!$AZ$2:$AZ$201,MATCH(W10,Office_Log!$A$2:$A$201,0)),"(no log row)"),Office_Log!$BT$2:$BT$201,0))&amp;"",""))</f>
        <v/>
      </c>
      <c r="AB10" s="35" t="str">
        <f aca="false">IF(W10="","",IFERROR(IF(ISNUMBER(INDEX(Office_Log!$H$2:$H$201,MATCH(IFERROR(INDEX(Office_Log!$AZ$2:$AZ$201,MATCH(W10,Office_Log!$A$2:$A$201,0)),"(no log row)"),Office_Log!$BT$2:$BT$201,0))),INDEX(Office_Log!$H$2:$H$201,MATCH(IFERROR(INDEX(Office_Log!$AZ$2:$AZ$201,MATCH(W10,Office_Log!$A$2:$A$201,0)),"(no log row)"),Office_Log!$BT$2:$BT$201,0)),""),""))</f>
        <v/>
      </c>
      <c r="AC10" s="23" t="str">
        <f aca="false">IF(W10="","",IFERROR(IF(ISNUMBER(INDEX(Office_Log!$Y$2:$Y$201,MATCH(IFERROR(INDEX(Office_Log!$AZ$2:$AZ$201,MATCH(W10,Office_Log!$A$2:$A$201,0)),"(no log row)"),Office_Log!$BT$2:$BT$201,0))),INDEX(Office_Log!$Y$2:$Y$201,MATCH(IFERROR(INDEX(Office_Log!$AZ$2:$AZ$201,MATCH(W10,Office_Log!$A$2:$A$201,0)),"(no log row)"),Office_Log!$BT$2:$BT$201,0)),""),""))</f>
        <v/>
      </c>
      <c r="AE10" s="32"/>
      <c r="AI10" s="32"/>
    </row>
    <row r="11" customFormat="false" ht="15" hidden="false" customHeight="false" outlineLevel="0" collapsed="false">
      <c r="M11" s="32"/>
      <c r="N11" s="32"/>
      <c r="P11" s="32"/>
      <c r="Q11" s="32"/>
      <c r="U11" s="32"/>
      <c r="X11" s="33"/>
      <c r="Z11" s="32"/>
      <c r="AA11" s="23" t="str">
        <f aca="false">IF(W11="","",IFERROR(INDEX(Office_Log!$X$2:$X$201,MATCH(IFERROR(INDEX(Office_Log!$AZ$2:$AZ$201,MATCH(W11,Office_Log!$A$2:$A$201,0)),"(no log row)"),Office_Log!$BT$2:$BT$201,0))&amp;"",""))</f>
        <v/>
      </c>
      <c r="AB11" s="35" t="str">
        <f aca="false">IF(W11="","",IFERROR(IF(ISNUMBER(INDEX(Office_Log!$H$2:$H$201,MATCH(IFERROR(INDEX(Office_Log!$AZ$2:$AZ$201,MATCH(W11,Office_Log!$A$2:$A$201,0)),"(no log row)"),Office_Log!$BT$2:$BT$201,0))),INDEX(Office_Log!$H$2:$H$201,MATCH(IFERROR(INDEX(Office_Log!$AZ$2:$AZ$201,MATCH(W11,Office_Log!$A$2:$A$201,0)),"(no log row)"),Office_Log!$BT$2:$BT$201,0)),""),""))</f>
        <v/>
      </c>
      <c r="AC11" s="23" t="str">
        <f aca="false">IF(W11="","",IFERROR(IF(ISNUMBER(INDEX(Office_Log!$Y$2:$Y$201,MATCH(IFERROR(INDEX(Office_Log!$AZ$2:$AZ$201,MATCH(W11,Office_Log!$A$2:$A$201,0)),"(no log row)"),Office_Log!$BT$2:$BT$201,0))),INDEX(Office_Log!$Y$2:$Y$201,MATCH(IFERROR(INDEX(Office_Log!$AZ$2:$AZ$201,MATCH(W11,Office_Log!$A$2:$A$201,0)),"(no log row)"),Office_Log!$BT$2:$BT$201,0)),""),""))</f>
        <v/>
      </c>
      <c r="AE11" s="32"/>
      <c r="AI11" s="32"/>
    </row>
    <row r="12" customFormat="false" ht="15" hidden="false" customHeight="false" outlineLevel="0" collapsed="false">
      <c r="M12" s="32"/>
      <c r="N12" s="32"/>
      <c r="P12" s="32"/>
      <c r="Q12" s="32"/>
      <c r="U12" s="32"/>
      <c r="X12" s="33"/>
      <c r="Z12" s="32"/>
      <c r="AA12" s="23" t="str">
        <f aca="false">IF(W12="","",IFERROR(INDEX(Office_Log!$X$2:$X$201,MATCH(IFERROR(INDEX(Office_Log!$AZ$2:$AZ$201,MATCH(W12,Office_Log!$A$2:$A$201,0)),"(no log row)"),Office_Log!$BT$2:$BT$201,0))&amp;"",""))</f>
        <v/>
      </c>
      <c r="AB12" s="35" t="str">
        <f aca="false">IF(W12="","",IFERROR(IF(ISNUMBER(INDEX(Office_Log!$H$2:$H$201,MATCH(IFERROR(INDEX(Office_Log!$AZ$2:$AZ$201,MATCH(W12,Office_Log!$A$2:$A$201,0)),"(no log row)"),Office_Log!$BT$2:$BT$201,0))),INDEX(Office_Log!$H$2:$H$201,MATCH(IFERROR(INDEX(Office_Log!$AZ$2:$AZ$201,MATCH(W12,Office_Log!$A$2:$A$201,0)),"(no log row)"),Office_Log!$BT$2:$BT$201,0)),""),""))</f>
        <v/>
      </c>
      <c r="AC12" s="23" t="str">
        <f aca="false">IF(W12="","",IFERROR(IF(ISNUMBER(INDEX(Office_Log!$Y$2:$Y$201,MATCH(IFERROR(INDEX(Office_Log!$AZ$2:$AZ$201,MATCH(W12,Office_Log!$A$2:$A$201,0)),"(no log row)"),Office_Log!$BT$2:$BT$201,0))),INDEX(Office_Log!$Y$2:$Y$201,MATCH(IFERROR(INDEX(Office_Log!$AZ$2:$AZ$201,MATCH(W12,Office_Log!$A$2:$A$201,0)),"(no log row)"),Office_Log!$BT$2:$BT$201,0)),""),""))</f>
        <v/>
      </c>
      <c r="AE12" s="32"/>
      <c r="AI12" s="32"/>
    </row>
    <row r="13" customFormat="false" ht="15" hidden="false" customHeight="false" outlineLevel="0" collapsed="false">
      <c r="M13" s="32"/>
      <c r="N13" s="32"/>
      <c r="P13" s="32"/>
      <c r="Q13" s="32"/>
      <c r="U13" s="32"/>
      <c r="X13" s="33"/>
      <c r="Z13" s="32"/>
      <c r="AA13" s="23" t="str">
        <f aca="false">IF(W13="","",IFERROR(INDEX(Office_Log!$X$2:$X$201,MATCH(IFERROR(INDEX(Office_Log!$AZ$2:$AZ$201,MATCH(W13,Office_Log!$A$2:$A$201,0)),"(no log row)"),Office_Log!$BT$2:$BT$201,0))&amp;"",""))</f>
        <v/>
      </c>
      <c r="AB13" s="35" t="str">
        <f aca="false">IF(W13="","",IFERROR(IF(ISNUMBER(INDEX(Office_Log!$H$2:$H$201,MATCH(IFERROR(INDEX(Office_Log!$AZ$2:$AZ$201,MATCH(W13,Office_Log!$A$2:$A$201,0)),"(no log row)"),Office_Log!$BT$2:$BT$201,0))),INDEX(Office_Log!$H$2:$H$201,MATCH(IFERROR(INDEX(Office_Log!$AZ$2:$AZ$201,MATCH(W13,Office_Log!$A$2:$A$201,0)),"(no log row)"),Office_Log!$BT$2:$BT$201,0)),""),""))</f>
        <v/>
      </c>
      <c r="AC13" s="23" t="str">
        <f aca="false">IF(W13="","",IFERROR(IF(ISNUMBER(INDEX(Office_Log!$Y$2:$Y$201,MATCH(IFERROR(INDEX(Office_Log!$AZ$2:$AZ$201,MATCH(W13,Office_Log!$A$2:$A$201,0)),"(no log row)"),Office_Log!$BT$2:$BT$201,0))),INDEX(Office_Log!$Y$2:$Y$201,MATCH(IFERROR(INDEX(Office_Log!$AZ$2:$AZ$201,MATCH(W13,Office_Log!$A$2:$A$201,0)),"(no log row)"),Office_Log!$BT$2:$BT$201,0)),""),""))</f>
        <v/>
      </c>
      <c r="AE13" s="32"/>
      <c r="AI13" s="32"/>
    </row>
    <row r="14" customFormat="false" ht="15" hidden="false" customHeight="false" outlineLevel="0" collapsed="false">
      <c r="M14" s="32"/>
      <c r="N14" s="32"/>
      <c r="P14" s="32"/>
      <c r="Q14" s="32"/>
      <c r="U14" s="32"/>
      <c r="X14" s="33"/>
      <c r="Z14" s="32"/>
      <c r="AA14" s="23" t="str">
        <f aca="false">IF(W14="","",IFERROR(INDEX(Office_Log!$X$2:$X$201,MATCH(IFERROR(INDEX(Office_Log!$AZ$2:$AZ$201,MATCH(W14,Office_Log!$A$2:$A$201,0)),"(no log row)"),Office_Log!$BT$2:$BT$201,0))&amp;"",""))</f>
        <v/>
      </c>
      <c r="AB14" s="35" t="str">
        <f aca="false">IF(W14="","",IFERROR(IF(ISNUMBER(INDEX(Office_Log!$H$2:$H$201,MATCH(IFERROR(INDEX(Office_Log!$AZ$2:$AZ$201,MATCH(W14,Office_Log!$A$2:$A$201,0)),"(no log row)"),Office_Log!$BT$2:$BT$201,0))),INDEX(Office_Log!$H$2:$H$201,MATCH(IFERROR(INDEX(Office_Log!$AZ$2:$AZ$201,MATCH(W14,Office_Log!$A$2:$A$201,0)),"(no log row)"),Office_Log!$BT$2:$BT$201,0)),""),""))</f>
        <v/>
      </c>
      <c r="AC14" s="23" t="str">
        <f aca="false">IF(W14="","",IFERROR(IF(ISNUMBER(INDEX(Office_Log!$Y$2:$Y$201,MATCH(IFERROR(INDEX(Office_Log!$AZ$2:$AZ$201,MATCH(W14,Office_Log!$A$2:$A$201,0)),"(no log row)"),Office_Log!$BT$2:$BT$201,0))),INDEX(Office_Log!$Y$2:$Y$201,MATCH(IFERROR(INDEX(Office_Log!$AZ$2:$AZ$201,MATCH(W14,Office_Log!$A$2:$A$201,0)),"(no log row)"),Office_Log!$BT$2:$BT$201,0)),""),""))</f>
        <v/>
      </c>
      <c r="AE14" s="32"/>
      <c r="AI14" s="32"/>
    </row>
    <row r="15" customFormat="false" ht="15" hidden="false" customHeight="false" outlineLevel="0" collapsed="false">
      <c r="M15" s="32"/>
      <c r="N15" s="32"/>
      <c r="P15" s="32"/>
      <c r="Q15" s="32"/>
      <c r="U15" s="32"/>
      <c r="X15" s="33"/>
      <c r="Z15" s="32"/>
      <c r="AA15" s="23" t="str">
        <f aca="false">IF(W15="","",IFERROR(INDEX(Office_Log!$X$2:$X$201,MATCH(IFERROR(INDEX(Office_Log!$AZ$2:$AZ$201,MATCH(W15,Office_Log!$A$2:$A$201,0)),"(no log row)"),Office_Log!$BT$2:$BT$201,0))&amp;"",""))</f>
        <v/>
      </c>
      <c r="AB15" s="35" t="str">
        <f aca="false">IF(W15="","",IFERROR(IF(ISNUMBER(INDEX(Office_Log!$H$2:$H$201,MATCH(IFERROR(INDEX(Office_Log!$AZ$2:$AZ$201,MATCH(W15,Office_Log!$A$2:$A$201,0)),"(no log row)"),Office_Log!$BT$2:$BT$201,0))),INDEX(Office_Log!$H$2:$H$201,MATCH(IFERROR(INDEX(Office_Log!$AZ$2:$AZ$201,MATCH(W15,Office_Log!$A$2:$A$201,0)),"(no log row)"),Office_Log!$BT$2:$BT$201,0)),""),""))</f>
        <v/>
      </c>
      <c r="AC15" s="23" t="str">
        <f aca="false">IF(W15="","",IFERROR(IF(ISNUMBER(INDEX(Office_Log!$Y$2:$Y$201,MATCH(IFERROR(INDEX(Office_Log!$AZ$2:$AZ$201,MATCH(W15,Office_Log!$A$2:$A$201,0)),"(no log row)"),Office_Log!$BT$2:$BT$201,0))),INDEX(Office_Log!$Y$2:$Y$201,MATCH(IFERROR(INDEX(Office_Log!$AZ$2:$AZ$201,MATCH(W15,Office_Log!$A$2:$A$201,0)),"(no log row)"),Office_Log!$BT$2:$BT$201,0)),""),""))</f>
        <v/>
      </c>
      <c r="AE15" s="32"/>
      <c r="AI15" s="32"/>
    </row>
    <row r="16" customFormat="false" ht="15" hidden="false" customHeight="false" outlineLevel="0" collapsed="false">
      <c r="M16" s="32"/>
      <c r="N16" s="32"/>
      <c r="P16" s="32"/>
      <c r="Q16" s="32"/>
      <c r="U16" s="32"/>
      <c r="X16" s="33"/>
      <c r="Z16" s="32"/>
      <c r="AA16" s="23" t="str">
        <f aca="false">IF(W16="","",IFERROR(INDEX(Office_Log!$X$2:$X$201,MATCH(IFERROR(INDEX(Office_Log!$AZ$2:$AZ$201,MATCH(W16,Office_Log!$A$2:$A$201,0)),"(no log row)"),Office_Log!$BT$2:$BT$201,0))&amp;"",""))</f>
        <v/>
      </c>
      <c r="AB16" s="35" t="str">
        <f aca="false">IF(W16="","",IFERROR(IF(ISNUMBER(INDEX(Office_Log!$H$2:$H$201,MATCH(IFERROR(INDEX(Office_Log!$AZ$2:$AZ$201,MATCH(W16,Office_Log!$A$2:$A$201,0)),"(no log row)"),Office_Log!$BT$2:$BT$201,0))),INDEX(Office_Log!$H$2:$H$201,MATCH(IFERROR(INDEX(Office_Log!$AZ$2:$AZ$201,MATCH(W16,Office_Log!$A$2:$A$201,0)),"(no log row)"),Office_Log!$BT$2:$BT$201,0)),""),""))</f>
        <v/>
      </c>
      <c r="AC16" s="23" t="str">
        <f aca="false">IF(W16="","",IFERROR(IF(ISNUMBER(INDEX(Office_Log!$Y$2:$Y$201,MATCH(IFERROR(INDEX(Office_Log!$AZ$2:$AZ$201,MATCH(W16,Office_Log!$A$2:$A$201,0)),"(no log row)"),Office_Log!$BT$2:$BT$201,0))),INDEX(Office_Log!$Y$2:$Y$201,MATCH(IFERROR(INDEX(Office_Log!$AZ$2:$AZ$201,MATCH(W16,Office_Log!$A$2:$A$201,0)),"(no log row)"),Office_Log!$BT$2:$BT$201,0)),""),""))</f>
        <v/>
      </c>
      <c r="AE16" s="32"/>
      <c r="AI16" s="32"/>
    </row>
    <row r="17" customFormat="false" ht="15" hidden="false" customHeight="false" outlineLevel="0" collapsed="false">
      <c r="M17" s="32"/>
      <c r="N17" s="32"/>
      <c r="P17" s="32"/>
      <c r="Q17" s="32"/>
      <c r="U17" s="32"/>
      <c r="X17" s="33"/>
      <c r="Z17" s="32"/>
      <c r="AA17" s="23" t="str">
        <f aca="false">IF(W17="","",IFERROR(INDEX(Office_Log!$X$2:$X$201,MATCH(IFERROR(INDEX(Office_Log!$AZ$2:$AZ$201,MATCH(W17,Office_Log!$A$2:$A$201,0)),"(no log row)"),Office_Log!$BT$2:$BT$201,0))&amp;"",""))</f>
        <v/>
      </c>
      <c r="AB17" s="35" t="str">
        <f aca="false">IF(W17="","",IFERROR(IF(ISNUMBER(INDEX(Office_Log!$H$2:$H$201,MATCH(IFERROR(INDEX(Office_Log!$AZ$2:$AZ$201,MATCH(W17,Office_Log!$A$2:$A$201,0)),"(no log row)"),Office_Log!$BT$2:$BT$201,0))),INDEX(Office_Log!$H$2:$H$201,MATCH(IFERROR(INDEX(Office_Log!$AZ$2:$AZ$201,MATCH(W17,Office_Log!$A$2:$A$201,0)),"(no log row)"),Office_Log!$BT$2:$BT$201,0)),""),""))</f>
        <v/>
      </c>
      <c r="AC17" s="23" t="str">
        <f aca="false">IF(W17="","",IFERROR(IF(ISNUMBER(INDEX(Office_Log!$Y$2:$Y$201,MATCH(IFERROR(INDEX(Office_Log!$AZ$2:$AZ$201,MATCH(W17,Office_Log!$A$2:$A$201,0)),"(no log row)"),Office_Log!$BT$2:$BT$201,0))),INDEX(Office_Log!$Y$2:$Y$201,MATCH(IFERROR(INDEX(Office_Log!$AZ$2:$AZ$201,MATCH(W17,Office_Log!$A$2:$A$201,0)),"(no log row)"),Office_Log!$BT$2:$BT$201,0)),""),""))</f>
        <v/>
      </c>
      <c r="AE17" s="32"/>
      <c r="AI17" s="32"/>
    </row>
    <row r="18" customFormat="false" ht="15" hidden="false" customHeight="false" outlineLevel="0" collapsed="false">
      <c r="M18" s="32"/>
      <c r="N18" s="32"/>
      <c r="P18" s="32"/>
      <c r="Q18" s="32"/>
      <c r="U18" s="32"/>
      <c r="X18" s="33"/>
      <c r="Z18" s="32"/>
      <c r="AA18" s="23" t="str">
        <f aca="false">IF(W18="","",IFERROR(INDEX(Office_Log!$X$2:$X$201,MATCH(IFERROR(INDEX(Office_Log!$AZ$2:$AZ$201,MATCH(W18,Office_Log!$A$2:$A$201,0)),"(no log row)"),Office_Log!$BT$2:$BT$201,0))&amp;"",""))</f>
        <v/>
      </c>
      <c r="AB18" s="35" t="str">
        <f aca="false">IF(W18="","",IFERROR(IF(ISNUMBER(INDEX(Office_Log!$H$2:$H$201,MATCH(IFERROR(INDEX(Office_Log!$AZ$2:$AZ$201,MATCH(W18,Office_Log!$A$2:$A$201,0)),"(no log row)"),Office_Log!$BT$2:$BT$201,0))),INDEX(Office_Log!$H$2:$H$201,MATCH(IFERROR(INDEX(Office_Log!$AZ$2:$AZ$201,MATCH(W18,Office_Log!$A$2:$A$201,0)),"(no log row)"),Office_Log!$BT$2:$BT$201,0)),""),""))</f>
        <v/>
      </c>
      <c r="AC18" s="23" t="str">
        <f aca="false">IF(W18="","",IFERROR(IF(ISNUMBER(INDEX(Office_Log!$Y$2:$Y$201,MATCH(IFERROR(INDEX(Office_Log!$AZ$2:$AZ$201,MATCH(W18,Office_Log!$A$2:$A$201,0)),"(no log row)"),Office_Log!$BT$2:$BT$201,0))),INDEX(Office_Log!$Y$2:$Y$201,MATCH(IFERROR(INDEX(Office_Log!$AZ$2:$AZ$201,MATCH(W18,Office_Log!$A$2:$A$201,0)),"(no log row)"),Office_Log!$BT$2:$BT$201,0)),""),""))</f>
        <v/>
      </c>
      <c r="AE18" s="32"/>
      <c r="AI18" s="32"/>
    </row>
    <row r="19" customFormat="false" ht="15" hidden="false" customHeight="false" outlineLevel="0" collapsed="false">
      <c r="M19" s="32"/>
      <c r="N19" s="32"/>
      <c r="P19" s="32"/>
      <c r="Q19" s="32"/>
      <c r="U19" s="32"/>
      <c r="X19" s="33"/>
      <c r="Z19" s="32"/>
      <c r="AA19" s="23" t="str">
        <f aca="false">IF(W19="","",IFERROR(INDEX(Office_Log!$X$2:$X$201,MATCH(IFERROR(INDEX(Office_Log!$AZ$2:$AZ$201,MATCH(W19,Office_Log!$A$2:$A$201,0)),"(no log row)"),Office_Log!$BT$2:$BT$201,0))&amp;"",""))</f>
        <v/>
      </c>
      <c r="AB19" s="35" t="str">
        <f aca="false">IF(W19="","",IFERROR(IF(ISNUMBER(INDEX(Office_Log!$H$2:$H$201,MATCH(IFERROR(INDEX(Office_Log!$AZ$2:$AZ$201,MATCH(W19,Office_Log!$A$2:$A$201,0)),"(no log row)"),Office_Log!$BT$2:$BT$201,0))),INDEX(Office_Log!$H$2:$H$201,MATCH(IFERROR(INDEX(Office_Log!$AZ$2:$AZ$201,MATCH(W19,Office_Log!$A$2:$A$201,0)),"(no log row)"),Office_Log!$BT$2:$BT$201,0)),""),""))</f>
        <v/>
      </c>
      <c r="AC19" s="23" t="str">
        <f aca="false">IF(W19="","",IFERROR(IF(ISNUMBER(INDEX(Office_Log!$Y$2:$Y$201,MATCH(IFERROR(INDEX(Office_Log!$AZ$2:$AZ$201,MATCH(W19,Office_Log!$A$2:$A$201,0)),"(no log row)"),Office_Log!$BT$2:$BT$201,0))),INDEX(Office_Log!$Y$2:$Y$201,MATCH(IFERROR(INDEX(Office_Log!$AZ$2:$AZ$201,MATCH(W19,Office_Log!$A$2:$A$201,0)),"(no log row)"),Office_Log!$BT$2:$BT$201,0)),""),""))</f>
        <v/>
      </c>
      <c r="AE19" s="32"/>
      <c r="AI19" s="32"/>
    </row>
    <row r="20" customFormat="false" ht="15" hidden="false" customHeight="false" outlineLevel="0" collapsed="false">
      <c r="M20" s="32"/>
      <c r="N20" s="32"/>
      <c r="P20" s="32"/>
      <c r="Q20" s="32"/>
      <c r="U20" s="32"/>
      <c r="X20" s="33"/>
      <c r="Z20" s="32"/>
      <c r="AA20" s="23" t="str">
        <f aca="false">IF(W20="","",IFERROR(INDEX(Office_Log!$X$2:$X$201,MATCH(IFERROR(INDEX(Office_Log!$AZ$2:$AZ$201,MATCH(W20,Office_Log!$A$2:$A$201,0)),"(no log row)"),Office_Log!$BT$2:$BT$201,0))&amp;"",""))</f>
        <v/>
      </c>
      <c r="AB20" s="35" t="str">
        <f aca="false">IF(W20="","",IFERROR(IF(ISNUMBER(INDEX(Office_Log!$H$2:$H$201,MATCH(IFERROR(INDEX(Office_Log!$AZ$2:$AZ$201,MATCH(W20,Office_Log!$A$2:$A$201,0)),"(no log row)"),Office_Log!$BT$2:$BT$201,0))),INDEX(Office_Log!$H$2:$H$201,MATCH(IFERROR(INDEX(Office_Log!$AZ$2:$AZ$201,MATCH(W20,Office_Log!$A$2:$A$201,0)),"(no log row)"),Office_Log!$BT$2:$BT$201,0)),""),""))</f>
        <v/>
      </c>
      <c r="AC20" s="23" t="str">
        <f aca="false">IF(W20="","",IFERROR(IF(ISNUMBER(INDEX(Office_Log!$Y$2:$Y$201,MATCH(IFERROR(INDEX(Office_Log!$AZ$2:$AZ$201,MATCH(W20,Office_Log!$A$2:$A$201,0)),"(no log row)"),Office_Log!$BT$2:$BT$201,0))),INDEX(Office_Log!$Y$2:$Y$201,MATCH(IFERROR(INDEX(Office_Log!$AZ$2:$AZ$201,MATCH(W20,Office_Log!$A$2:$A$201,0)),"(no log row)"),Office_Log!$BT$2:$BT$201,0)),""),""))</f>
        <v/>
      </c>
      <c r="AE20" s="32"/>
      <c r="AI20" s="32"/>
    </row>
    <row r="21" customFormat="false" ht="15" hidden="false" customHeight="false" outlineLevel="0" collapsed="false">
      <c r="M21" s="32"/>
      <c r="N21" s="32"/>
      <c r="P21" s="32"/>
      <c r="Q21" s="32"/>
      <c r="U21" s="32"/>
      <c r="X21" s="33"/>
      <c r="Z21" s="32"/>
      <c r="AA21" s="23" t="str">
        <f aca="false">IF(W21="","",IFERROR(INDEX(Office_Log!$X$2:$X$201,MATCH(IFERROR(INDEX(Office_Log!$AZ$2:$AZ$201,MATCH(W21,Office_Log!$A$2:$A$201,0)),"(no log row)"),Office_Log!$BT$2:$BT$201,0))&amp;"",""))</f>
        <v/>
      </c>
      <c r="AB21" s="35" t="str">
        <f aca="false">IF(W21="","",IFERROR(IF(ISNUMBER(INDEX(Office_Log!$H$2:$H$201,MATCH(IFERROR(INDEX(Office_Log!$AZ$2:$AZ$201,MATCH(W21,Office_Log!$A$2:$A$201,0)),"(no log row)"),Office_Log!$BT$2:$BT$201,0))),INDEX(Office_Log!$H$2:$H$201,MATCH(IFERROR(INDEX(Office_Log!$AZ$2:$AZ$201,MATCH(W21,Office_Log!$A$2:$A$201,0)),"(no log row)"),Office_Log!$BT$2:$BT$201,0)),""),""))</f>
        <v/>
      </c>
      <c r="AC21" s="23" t="str">
        <f aca="false">IF(W21="","",IFERROR(IF(ISNUMBER(INDEX(Office_Log!$Y$2:$Y$201,MATCH(IFERROR(INDEX(Office_Log!$AZ$2:$AZ$201,MATCH(W21,Office_Log!$A$2:$A$201,0)),"(no log row)"),Office_Log!$BT$2:$BT$201,0))),INDEX(Office_Log!$Y$2:$Y$201,MATCH(IFERROR(INDEX(Office_Log!$AZ$2:$AZ$201,MATCH(W21,Office_Log!$A$2:$A$201,0)),"(no log row)"),Office_Log!$BT$2:$BT$201,0)),""),""))</f>
        <v/>
      </c>
      <c r="AE21" s="32"/>
      <c r="AI21" s="32"/>
    </row>
    <row r="22" customFormat="false" ht="15" hidden="false" customHeight="false" outlineLevel="0" collapsed="false">
      <c r="M22" s="32"/>
      <c r="N22" s="32"/>
      <c r="P22" s="32"/>
      <c r="Q22" s="32"/>
      <c r="U22" s="32"/>
      <c r="X22" s="33"/>
      <c r="Z22" s="32"/>
      <c r="AA22" s="23" t="str">
        <f aca="false">IF(W22="","",IFERROR(INDEX(Office_Log!$X$2:$X$201,MATCH(IFERROR(INDEX(Office_Log!$AZ$2:$AZ$201,MATCH(W22,Office_Log!$A$2:$A$201,0)),"(no log row)"),Office_Log!$BT$2:$BT$201,0))&amp;"",""))</f>
        <v/>
      </c>
      <c r="AB22" s="35" t="str">
        <f aca="false">IF(W22="","",IFERROR(IF(ISNUMBER(INDEX(Office_Log!$H$2:$H$201,MATCH(IFERROR(INDEX(Office_Log!$AZ$2:$AZ$201,MATCH(W22,Office_Log!$A$2:$A$201,0)),"(no log row)"),Office_Log!$BT$2:$BT$201,0))),INDEX(Office_Log!$H$2:$H$201,MATCH(IFERROR(INDEX(Office_Log!$AZ$2:$AZ$201,MATCH(W22,Office_Log!$A$2:$A$201,0)),"(no log row)"),Office_Log!$BT$2:$BT$201,0)),""),""))</f>
        <v/>
      </c>
      <c r="AC22" s="23" t="str">
        <f aca="false">IF(W22="","",IFERROR(IF(ISNUMBER(INDEX(Office_Log!$Y$2:$Y$201,MATCH(IFERROR(INDEX(Office_Log!$AZ$2:$AZ$201,MATCH(W22,Office_Log!$A$2:$A$201,0)),"(no log row)"),Office_Log!$BT$2:$BT$201,0))),INDEX(Office_Log!$Y$2:$Y$201,MATCH(IFERROR(INDEX(Office_Log!$AZ$2:$AZ$201,MATCH(W22,Office_Log!$A$2:$A$201,0)),"(no log row)"),Office_Log!$BT$2:$BT$201,0)),""),""))</f>
        <v/>
      </c>
      <c r="AE22" s="32"/>
      <c r="AI22" s="32"/>
    </row>
    <row r="23" customFormat="false" ht="15" hidden="false" customHeight="false" outlineLevel="0" collapsed="false">
      <c r="M23" s="32"/>
      <c r="N23" s="32"/>
      <c r="P23" s="32"/>
      <c r="Q23" s="32"/>
      <c r="U23" s="32"/>
      <c r="X23" s="33"/>
      <c r="Z23" s="32"/>
      <c r="AA23" s="23" t="str">
        <f aca="false">IF(W23="","",IFERROR(INDEX(Office_Log!$X$2:$X$201,MATCH(IFERROR(INDEX(Office_Log!$AZ$2:$AZ$201,MATCH(W23,Office_Log!$A$2:$A$201,0)),"(no log row)"),Office_Log!$BT$2:$BT$201,0))&amp;"",""))</f>
        <v/>
      </c>
      <c r="AB23" s="35" t="str">
        <f aca="false">IF(W23="","",IFERROR(IF(ISNUMBER(INDEX(Office_Log!$H$2:$H$201,MATCH(IFERROR(INDEX(Office_Log!$AZ$2:$AZ$201,MATCH(W23,Office_Log!$A$2:$A$201,0)),"(no log row)"),Office_Log!$BT$2:$BT$201,0))),INDEX(Office_Log!$H$2:$H$201,MATCH(IFERROR(INDEX(Office_Log!$AZ$2:$AZ$201,MATCH(W23,Office_Log!$A$2:$A$201,0)),"(no log row)"),Office_Log!$BT$2:$BT$201,0)),""),""))</f>
        <v/>
      </c>
      <c r="AC23" s="23" t="str">
        <f aca="false">IF(W23="","",IFERROR(IF(ISNUMBER(INDEX(Office_Log!$Y$2:$Y$201,MATCH(IFERROR(INDEX(Office_Log!$AZ$2:$AZ$201,MATCH(W23,Office_Log!$A$2:$A$201,0)),"(no log row)"),Office_Log!$BT$2:$BT$201,0))),INDEX(Office_Log!$Y$2:$Y$201,MATCH(IFERROR(INDEX(Office_Log!$AZ$2:$AZ$201,MATCH(W23,Office_Log!$A$2:$A$201,0)),"(no log row)"),Office_Log!$BT$2:$BT$201,0)),""),""))</f>
        <v/>
      </c>
      <c r="AE23" s="32"/>
      <c r="AI23" s="32"/>
    </row>
    <row r="24" customFormat="false" ht="15" hidden="false" customHeight="false" outlineLevel="0" collapsed="false">
      <c r="M24" s="32"/>
      <c r="N24" s="32"/>
      <c r="P24" s="32"/>
      <c r="Q24" s="32"/>
      <c r="U24" s="32"/>
      <c r="X24" s="33"/>
      <c r="Z24" s="32"/>
      <c r="AA24" s="23" t="str">
        <f aca="false">IF(W24="","",IFERROR(INDEX(Office_Log!$X$2:$X$201,MATCH(IFERROR(INDEX(Office_Log!$AZ$2:$AZ$201,MATCH(W24,Office_Log!$A$2:$A$201,0)),"(no log row)"),Office_Log!$BT$2:$BT$201,0))&amp;"",""))</f>
        <v/>
      </c>
      <c r="AB24" s="35" t="str">
        <f aca="false">IF(W24="","",IFERROR(IF(ISNUMBER(INDEX(Office_Log!$H$2:$H$201,MATCH(IFERROR(INDEX(Office_Log!$AZ$2:$AZ$201,MATCH(W24,Office_Log!$A$2:$A$201,0)),"(no log row)"),Office_Log!$BT$2:$BT$201,0))),INDEX(Office_Log!$H$2:$H$201,MATCH(IFERROR(INDEX(Office_Log!$AZ$2:$AZ$201,MATCH(W24,Office_Log!$A$2:$A$201,0)),"(no log row)"),Office_Log!$BT$2:$BT$201,0)),""),""))</f>
        <v/>
      </c>
      <c r="AC24" s="23" t="str">
        <f aca="false">IF(W24="","",IFERROR(IF(ISNUMBER(INDEX(Office_Log!$Y$2:$Y$201,MATCH(IFERROR(INDEX(Office_Log!$AZ$2:$AZ$201,MATCH(W24,Office_Log!$A$2:$A$201,0)),"(no log row)"),Office_Log!$BT$2:$BT$201,0))),INDEX(Office_Log!$Y$2:$Y$201,MATCH(IFERROR(INDEX(Office_Log!$AZ$2:$AZ$201,MATCH(W24,Office_Log!$A$2:$A$201,0)),"(no log row)"),Office_Log!$BT$2:$BT$201,0)),""),""))</f>
        <v/>
      </c>
      <c r="AE24" s="32"/>
      <c r="AI24" s="32"/>
    </row>
    <row r="25" customFormat="false" ht="15" hidden="false" customHeight="false" outlineLevel="0" collapsed="false">
      <c r="M25" s="32"/>
      <c r="N25" s="32"/>
      <c r="P25" s="32"/>
      <c r="Q25" s="32"/>
      <c r="U25" s="32"/>
      <c r="X25" s="33"/>
      <c r="Z25" s="32"/>
      <c r="AA25" s="23" t="str">
        <f aca="false">IF(W25="","",IFERROR(INDEX(Office_Log!$X$2:$X$201,MATCH(IFERROR(INDEX(Office_Log!$AZ$2:$AZ$201,MATCH(W25,Office_Log!$A$2:$A$201,0)),"(no log row)"),Office_Log!$BT$2:$BT$201,0))&amp;"",""))</f>
        <v/>
      </c>
      <c r="AB25" s="35" t="str">
        <f aca="false">IF(W25="","",IFERROR(IF(ISNUMBER(INDEX(Office_Log!$H$2:$H$201,MATCH(IFERROR(INDEX(Office_Log!$AZ$2:$AZ$201,MATCH(W25,Office_Log!$A$2:$A$201,0)),"(no log row)"),Office_Log!$BT$2:$BT$201,0))),INDEX(Office_Log!$H$2:$H$201,MATCH(IFERROR(INDEX(Office_Log!$AZ$2:$AZ$201,MATCH(W25,Office_Log!$A$2:$A$201,0)),"(no log row)"),Office_Log!$BT$2:$BT$201,0)),""),""))</f>
        <v/>
      </c>
      <c r="AC25" s="23" t="str">
        <f aca="false">IF(W25="","",IFERROR(IF(ISNUMBER(INDEX(Office_Log!$Y$2:$Y$201,MATCH(IFERROR(INDEX(Office_Log!$AZ$2:$AZ$201,MATCH(W25,Office_Log!$A$2:$A$201,0)),"(no log row)"),Office_Log!$BT$2:$BT$201,0))),INDEX(Office_Log!$Y$2:$Y$201,MATCH(IFERROR(INDEX(Office_Log!$AZ$2:$AZ$201,MATCH(W25,Office_Log!$A$2:$A$201,0)),"(no log row)"),Office_Log!$BT$2:$BT$201,0)),""),""))</f>
        <v/>
      </c>
      <c r="AE25" s="32"/>
      <c r="AI25" s="32"/>
    </row>
    <row r="26" customFormat="false" ht="15" hidden="false" customHeight="false" outlineLevel="0" collapsed="false">
      <c r="M26" s="32"/>
      <c r="N26" s="32"/>
      <c r="P26" s="32"/>
      <c r="Q26" s="32"/>
      <c r="U26" s="32"/>
      <c r="X26" s="33"/>
      <c r="Z26" s="32"/>
      <c r="AA26" s="23" t="str">
        <f aca="false">IF(W26="","",IFERROR(INDEX(Office_Log!$X$2:$X$201,MATCH(IFERROR(INDEX(Office_Log!$AZ$2:$AZ$201,MATCH(W26,Office_Log!$A$2:$A$201,0)),"(no log row)"),Office_Log!$BT$2:$BT$201,0))&amp;"",""))</f>
        <v/>
      </c>
      <c r="AB26" s="35" t="str">
        <f aca="false">IF(W26="","",IFERROR(IF(ISNUMBER(INDEX(Office_Log!$H$2:$H$201,MATCH(IFERROR(INDEX(Office_Log!$AZ$2:$AZ$201,MATCH(W26,Office_Log!$A$2:$A$201,0)),"(no log row)"),Office_Log!$BT$2:$BT$201,0))),INDEX(Office_Log!$H$2:$H$201,MATCH(IFERROR(INDEX(Office_Log!$AZ$2:$AZ$201,MATCH(W26,Office_Log!$A$2:$A$201,0)),"(no log row)"),Office_Log!$BT$2:$BT$201,0)),""),""))</f>
        <v/>
      </c>
      <c r="AC26" s="23" t="str">
        <f aca="false">IF(W26="","",IFERROR(IF(ISNUMBER(INDEX(Office_Log!$Y$2:$Y$201,MATCH(IFERROR(INDEX(Office_Log!$AZ$2:$AZ$201,MATCH(W26,Office_Log!$A$2:$A$201,0)),"(no log row)"),Office_Log!$BT$2:$BT$201,0))),INDEX(Office_Log!$Y$2:$Y$201,MATCH(IFERROR(INDEX(Office_Log!$AZ$2:$AZ$201,MATCH(W26,Office_Log!$A$2:$A$201,0)),"(no log row)"),Office_Log!$BT$2:$BT$201,0)),""),""))</f>
        <v/>
      </c>
      <c r="AE26" s="32"/>
      <c r="AI26" s="32"/>
    </row>
    <row r="27" customFormat="false" ht="15" hidden="false" customHeight="false" outlineLevel="0" collapsed="false">
      <c r="M27" s="32"/>
      <c r="N27" s="32"/>
      <c r="P27" s="32"/>
      <c r="Q27" s="32"/>
      <c r="U27" s="32"/>
      <c r="X27" s="33"/>
      <c r="Z27" s="32"/>
      <c r="AA27" s="23" t="str">
        <f aca="false">IF(W27="","",IFERROR(INDEX(Office_Log!$X$2:$X$201,MATCH(IFERROR(INDEX(Office_Log!$AZ$2:$AZ$201,MATCH(W27,Office_Log!$A$2:$A$201,0)),"(no log row)"),Office_Log!$BT$2:$BT$201,0))&amp;"",""))</f>
        <v/>
      </c>
      <c r="AB27" s="35" t="str">
        <f aca="false">IF(W27="","",IFERROR(IF(ISNUMBER(INDEX(Office_Log!$H$2:$H$201,MATCH(IFERROR(INDEX(Office_Log!$AZ$2:$AZ$201,MATCH(W27,Office_Log!$A$2:$A$201,0)),"(no log row)"),Office_Log!$BT$2:$BT$201,0))),INDEX(Office_Log!$H$2:$H$201,MATCH(IFERROR(INDEX(Office_Log!$AZ$2:$AZ$201,MATCH(W27,Office_Log!$A$2:$A$201,0)),"(no log row)"),Office_Log!$BT$2:$BT$201,0)),""),""))</f>
        <v/>
      </c>
      <c r="AC27" s="23" t="str">
        <f aca="false">IF(W27="","",IFERROR(IF(ISNUMBER(INDEX(Office_Log!$Y$2:$Y$201,MATCH(IFERROR(INDEX(Office_Log!$AZ$2:$AZ$201,MATCH(W27,Office_Log!$A$2:$A$201,0)),"(no log row)"),Office_Log!$BT$2:$BT$201,0))),INDEX(Office_Log!$Y$2:$Y$201,MATCH(IFERROR(INDEX(Office_Log!$AZ$2:$AZ$201,MATCH(W27,Office_Log!$A$2:$A$201,0)),"(no log row)"),Office_Log!$BT$2:$BT$201,0)),""),""))</f>
        <v/>
      </c>
      <c r="AE27" s="32"/>
      <c r="AI27" s="32"/>
    </row>
    <row r="28" customFormat="false" ht="15" hidden="false" customHeight="false" outlineLevel="0" collapsed="false">
      <c r="M28" s="32"/>
      <c r="N28" s="32"/>
      <c r="P28" s="32"/>
      <c r="Q28" s="32"/>
      <c r="U28" s="32"/>
      <c r="X28" s="33"/>
      <c r="Z28" s="32"/>
      <c r="AA28" s="23" t="str">
        <f aca="false">IF(W28="","",IFERROR(INDEX(Office_Log!$X$2:$X$201,MATCH(IFERROR(INDEX(Office_Log!$AZ$2:$AZ$201,MATCH(W28,Office_Log!$A$2:$A$201,0)),"(no log row)"),Office_Log!$BT$2:$BT$201,0))&amp;"",""))</f>
        <v/>
      </c>
      <c r="AB28" s="35" t="str">
        <f aca="false">IF(W28="","",IFERROR(IF(ISNUMBER(INDEX(Office_Log!$H$2:$H$201,MATCH(IFERROR(INDEX(Office_Log!$AZ$2:$AZ$201,MATCH(W28,Office_Log!$A$2:$A$201,0)),"(no log row)"),Office_Log!$BT$2:$BT$201,0))),INDEX(Office_Log!$H$2:$H$201,MATCH(IFERROR(INDEX(Office_Log!$AZ$2:$AZ$201,MATCH(W28,Office_Log!$A$2:$A$201,0)),"(no log row)"),Office_Log!$BT$2:$BT$201,0)),""),""))</f>
        <v/>
      </c>
      <c r="AC28" s="23" t="str">
        <f aca="false">IF(W28="","",IFERROR(IF(ISNUMBER(INDEX(Office_Log!$Y$2:$Y$201,MATCH(IFERROR(INDEX(Office_Log!$AZ$2:$AZ$201,MATCH(W28,Office_Log!$A$2:$A$201,0)),"(no log row)"),Office_Log!$BT$2:$BT$201,0))),INDEX(Office_Log!$Y$2:$Y$201,MATCH(IFERROR(INDEX(Office_Log!$AZ$2:$AZ$201,MATCH(W28,Office_Log!$A$2:$A$201,0)),"(no log row)"),Office_Log!$BT$2:$BT$201,0)),""),""))</f>
        <v/>
      </c>
      <c r="AE28" s="32"/>
      <c r="AI28" s="32"/>
    </row>
    <row r="29" customFormat="false" ht="15" hidden="false" customHeight="false" outlineLevel="0" collapsed="false">
      <c r="M29" s="32"/>
      <c r="N29" s="32"/>
      <c r="P29" s="32"/>
      <c r="Q29" s="32"/>
      <c r="U29" s="32"/>
      <c r="X29" s="33"/>
      <c r="Z29" s="32"/>
      <c r="AA29" s="23" t="str">
        <f aca="false">IF(W29="","",IFERROR(INDEX(Office_Log!$X$2:$X$201,MATCH(IFERROR(INDEX(Office_Log!$AZ$2:$AZ$201,MATCH(W29,Office_Log!$A$2:$A$201,0)),"(no log row)"),Office_Log!$BT$2:$BT$201,0))&amp;"",""))</f>
        <v/>
      </c>
      <c r="AB29" s="35" t="str">
        <f aca="false">IF(W29="","",IFERROR(IF(ISNUMBER(INDEX(Office_Log!$H$2:$H$201,MATCH(IFERROR(INDEX(Office_Log!$AZ$2:$AZ$201,MATCH(W29,Office_Log!$A$2:$A$201,0)),"(no log row)"),Office_Log!$BT$2:$BT$201,0))),INDEX(Office_Log!$H$2:$H$201,MATCH(IFERROR(INDEX(Office_Log!$AZ$2:$AZ$201,MATCH(W29,Office_Log!$A$2:$A$201,0)),"(no log row)"),Office_Log!$BT$2:$BT$201,0)),""),""))</f>
        <v/>
      </c>
      <c r="AC29" s="23" t="str">
        <f aca="false">IF(W29="","",IFERROR(IF(ISNUMBER(INDEX(Office_Log!$Y$2:$Y$201,MATCH(IFERROR(INDEX(Office_Log!$AZ$2:$AZ$201,MATCH(W29,Office_Log!$A$2:$A$201,0)),"(no log row)"),Office_Log!$BT$2:$BT$201,0))),INDEX(Office_Log!$Y$2:$Y$201,MATCH(IFERROR(INDEX(Office_Log!$AZ$2:$AZ$201,MATCH(W29,Office_Log!$A$2:$A$201,0)),"(no log row)"),Office_Log!$BT$2:$BT$201,0)),""),""))</f>
        <v/>
      </c>
      <c r="AE29" s="32"/>
      <c r="AI29" s="32"/>
    </row>
    <row r="30" customFormat="false" ht="15" hidden="false" customHeight="false" outlineLevel="0" collapsed="false">
      <c r="M30" s="32"/>
      <c r="N30" s="32"/>
      <c r="P30" s="32"/>
      <c r="Q30" s="32"/>
      <c r="U30" s="32"/>
      <c r="X30" s="33"/>
      <c r="Z30" s="32"/>
      <c r="AA30" s="23" t="str">
        <f aca="false">IF(W30="","",IFERROR(INDEX(Office_Log!$X$2:$X$201,MATCH(IFERROR(INDEX(Office_Log!$AZ$2:$AZ$201,MATCH(W30,Office_Log!$A$2:$A$201,0)),"(no log row)"),Office_Log!$BT$2:$BT$201,0))&amp;"",""))</f>
        <v/>
      </c>
      <c r="AB30" s="35" t="str">
        <f aca="false">IF(W30="","",IFERROR(IF(ISNUMBER(INDEX(Office_Log!$H$2:$H$201,MATCH(IFERROR(INDEX(Office_Log!$AZ$2:$AZ$201,MATCH(W30,Office_Log!$A$2:$A$201,0)),"(no log row)"),Office_Log!$BT$2:$BT$201,0))),INDEX(Office_Log!$H$2:$H$201,MATCH(IFERROR(INDEX(Office_Log!$AZ$2:$AZ$201,MATCH(W30,Office_Log!$A$2:$A$201,0)),"(no log row)"),Office_Log!$BT$2:$BT$201,0)),""),""))</f>
        <v/>
      </c>
      <c r="AC30" s="23" t="str">
        <f aca="false">IF(W30="","",IFERROR(IF(ISNUMBER(INDEX(Office_Log!$Y$2:$Y$201,MATCH(IFERROR(INDEX(Office_Log!$AZ$2:$AZ$201,MATCH(W30,Office_Log!$A$2:$A$201,0)),"(no log row)"),Office_Log!$BT$2:$BT$201,0))),INDEX(Office_Log!$Y$2:$Y$201,MATCH(IFERROR(INDEX(Office_Log!$AZ$2:$AZ$201,MATCH(W30,Office_Log!$A$2:$A$201,0)),"(no log row)"),Office_Log!$BT$2:$BT$201,0)),""),""))</f>
        <v/>
      </c>
      <c r="AE30" s="32"/>
      <c r="AI30" s="32"/>
    </row>
    <row r="31" customFormat="false" ht="15" hidden="false" customHeight="false" outlineLevel="0" collapsed="false">
      <c r="M31" s="32"/>
      <c r="N31" s="32"/>
      <c r="P31" s="32"/>
      <c r="Q31" s="32"/>
      <c r="U31" s="32"/>
      <c r="X31" s="33"/>
      <c r="Z31" s="32"/>
      <c r="AA31" s="23" t="str">
        <f aca="false">IF(W31="","",IFERROR(INDEX(Office_Log!$X$2:$X$201,MATCH(IFERROR(INDEX(Office_Log!$AZ$2:$AZ$201,MATCH(W31,Office_Log!$A$2:$A$201,0)),"(no log row)"),Office_Log!$BT$2:$BT$201,0))&amp;"",""))</f>
        <v/>
      </c>
      <c r="AB31" s="35" t="str">
        <f aca="false">IF(W31="","",IFERROR(IF(ISNUMBER(INDEX(Office_Log!$H$2:$H$201,MATCH(IFERROR(INDEX(Office_Log!$AZ$2:$AZ$201,MATCH(W31,Office_Log!$A$2:$A$201,0)),"(no log row)"),Office_Log!$BT$2:$BT$201,0))),INDEX(Office_Log!$H$2:$H$201,MATCH(IFERROR(INDEX(Office_Log!$AZ$2:$AZ$201,MATCH(W31,Office_Log!$A$2:$A$201,0)),"(no log row)"),Office_Log!$BT$2:$BT$201,0)),""),""))</f>
        <v/>
      </c>
      <c r="AC31" s="23" t="str">
        <f aca="false">IF(W31="","",IFERROR(IF(ISNUMBER(INDEX(Office_Log!$Y$2:$Y$201,MATCH(IFERROR(INDEX(Office_Log!$AZ$2:$AZ$201,MATCH(W31,Office_Log!$A$2:$A$201,0)),"(no log row)"),Office_Log!$BT$2:$BT$201,0))),INDEX(Office_Log!$Y$2:$Y$201,MATCH(IFERROR(INDEX(Office_Log!$AZ$2:$AZ$201,MATCH(W31,Office_Log!$A$2:$A$201,0)),"(no log row)"),Office_Log!$BT$2:$BT$201,0)),""),""))</f>
        <v/>
      </c>
      <c r="AE31" s="32"/>
      <c r="AI31" s="32"/>
    </row>
    <row r="32" customFormat="false" ht="15" hidden="false" customHeight="false" outlineLevel="0" collapsed="false">
      <c r="M32" s="32"/>
      <c r="N32" s="32"/>
      <c r="P32" s="32"/>
      <c r="Q32" s="32"/>
      <c r="U32" s="32"/>
      <c r="X32" s="33"/>
      <c r="Z32" s="32"/>
      <c r="AA32" s="23" t="str">
        <f aca="false">IF(W32="","",IFERROR(INDEX(Office_Log!$X$2:$X$201,MATCH(IFERROR(INDEX(Office_Log!$AZ$2:$AZ$201,MATCH(W32,Office_Log!$A$2:$A$201,0)),"(no log row)"),Office_Log!$BT$2:$BT$201,0))&amp;"",""))</f>
        <v/>
      </c>
      <c r="AB32" s="35" t="str">
        <f aca="false">IF(W32="","",IFERROR(IF(ISNUMBER(INDEX(Office_Log!$H$2:$H$201,MATCH(IFERROR(INDEX(Office_Log!$AZ$2:$AZ$201,MATCH(W32,Office_Log!$A$2:$A$201,0)),"(no log row)"),Office_Log!$BT$2:$BT$201,0))),INDEX(Office_Log!$H$2:$H$201,MATCH(IFERROR(INDEX(Office_Log!$AZ$2:$AZ$201,MATCH(W32,Office_Log!$A$2:$A$201,0)),"(no log row)"),Office_Log!$BT$2:$BT$201,0)),""),""))</f>
        <v/>
      </c>
      <c r="AC32" s="23" t="str">
        <f aca="false">IF(W32="","",IFERROR(IF(ISNUMBER(INDEX(Office_Log!$Y$2:$Y$201,MATCH(IFERROR(INDEX(Office_Log!$AZ$2:$AZ$201,MATCH(W32,Office_Log!$A$2:$A$201,0)),"(no log row)"),Office_Log!$BT$2:$BT$201,0))),INDEX(Office_Log!$Y$2:$Y$201,MATCH(IFERROR(INDEX(Office_Log!$AZ$2:$AZ$201,MATCH(W32,Office_Log!$A$2:$A$201,0)),"(no log row)"),Office_Log!$BT$2:$BT$201,0)),""),""))</f>
        <v/>
      </c>
      <c r="AE32" s="32"/>
      <c r="AI32" s="32"/>
    </row>
    <row r="33" customFormat="false" ht="15" hidden="false" customHeight="false" outlineLevel="0" collapsed="false">
      <c r="M33" s="32"/>
      <c r="N33" s="32"/>
      <c r="P33" s="32"/>
      <c r="Q33" s="32"/>
      <c r="U33" s="32"/>
      <c r="X33" s="33"/>
      <c r="Z33" s="32"/>
      <c r="AA33" s="23" t="str">
        <f aca="false">IF(W33="","",IFERROR(INDEX(Office_Log!$X$2:$X$201,MATCH(IFERROR(INDEX(Office_Log!$AZ$2:$AZ$201,MATCH(W33,Office_Log!$A$2:$A$201,0)),"(no log row)"),Office_Log!$BT$2:$BT$201,0))&amp;"",""))</f>
        <v/>
      </c>
      <c r="AB33" s="35" t="str">
        <f aca="false">IF(W33="","",IFERROR(IF(ISNUMBER(INDEX(Office_Log!$H$2:$H$201,MATCH(IFERROR(INDEX(Office_Log!$AZ$2:$AZ$201,MATCH(W33,Office_Log!$A$2:$A$201,0)),"(no log row)"),Office_Log!$BT$2:$BT$201,0))),INDEX(Office_Log!$H$2:$H$201,MATCH(IFERROR(INDEX(Office_Log!$AZ$2:$AZ$201,MATCH(W33,Office_Log!$A$2:$A$201,0)),"(no log row)"),Office_Log!$BT$2:$BT$201,0)),""),""))</f>
        <v/>
      </c>
      <c r="AC33" s="23" t="str">
        <f aca="false">IF(W33="","",IFERROR(IF(ISNUMBER(INDEX(Office_Log!$Y$2:$Y$201,MATCH(IFERROR(INDEX(Office_Log!$AZ$2:$AZ$201,MATCH(W33,Office_Log!$A$2:$A$201,0)),"(no log row)"),Office_Log!$BT$2:$BT$201,0))),INDEX(Office_Log!$Y$2:$Y$201,MATCH(IFERROR(INDEX(Office_Log!$AZ$2:$AZ$201,MATCH(W33,Office_Log!$A$2:$A$201,0)),"(no log row)"),Office_Log!$BT$2:$BT$201,0)),""),""))</f>
        <v/>
      </c>
      <c r="AE33" s="32"/>
      <c r="AI33" s="32"/>
    </row>
    <row r="34" customFormat="false" ht="15" hidden="false" customHeight="false" outlineLevel="0" collapsed="false">
      <c r="M34" s="32"/>
      <c r="N34" s="32"/>
      <c r="P34" s="32"/>
      <c r="Q34" s="32"/>
      <c r="U34" s="32"/>
      <c r="X34" s="33"/>
      <c r="Z34" s="32"/>
      <c r="AA34" s="23" t="str">
        <f aca="false">IF(W34="","",IFERROR(INDEX(Office_Log!$X$2:$X$201,MATCH(IFERROR(INDEX(Office_Log!$AZ$2:$AZ$201,MATCH(W34,Office_Log!$A$2:$A$201,0)),"(no log row)"),Office_Log!$BT$2:$BT$201,0))&amp;"",""))</f>
        <v/>
      </c>
      <c r="AB34" s="35" t="str">
        <f aca="false">IF(W34="","",IFERROR(IF(ISNUMBER(INDEX(Office_Log!$H$2:$H$201,MATCH(IFERROR(INDEX(Office_Log!$AZ$2:$AZ$201,MATCH(W34,Office_Log!$A$2:$A$201,0)),"(no log row)"),Office_Log!$BT$2:$BT$201,0))),INDEX(Office_Log!$H$2:$H$201,MATCH(IFERROR(INDEX(Office_Log!$AZ$2:$AZ$201,MATCH(W34,Office_Log!$A$2:$A$201,0)),"(no log row)"),Office_Log!$BT$2:$BT$201,0)),""),""))</f>
        <v/>
      </c>
      <c r="AC34" s="23" t="str">
        <f aca="false">IF(W34="","",IFERROR(IF(ISNUMBER(INDEX(Office_Log!$Y$2:$Y$201,MATCH(IFERROR(INDEX(Office_Log!$AZ$2:$AZ$201,MATCH(W34,Office_Log!$A$2:$A$201,0)),"(no log row)"),Office_Log!$BT$2:$BT$201,0))),INDEX(Office_Log!$Y$2:$Y$201,MATCH(IFERROR(INDEX(Office_Log!$AZ$2:$AZ$201,MATCH(W34,Office_Log!$A$2:$A$201,0)),"(no log row)"),Office_Log!$BT$2:$BT$201,0)),""),""))</f>
        <v/>
      </c>
      <c r="AE34" s="32"/>
      <c r="AI34" s="32"/>
    </row>
    <row r="35" customFormat="false" ht="15" hidden="false" customHeight="false" outlineLevel="0" collapsed="false">
      <c r="M35" s="32"/>
      <c r="N35" s="32"/>
      <c r="P35" s="32"/>
      <c r="Q35" s="32"/>
      <c r="U35" s="32"/>
      <c r="X35" s="33"/>
      <c r="Z35" s="32"/>
      <c r="AA35" s="23" t="str">
        <f aca="false">IF(W35="","",IFERROR(INDEX(Office_Log!$X$2:$X$201,MATCH(IFERROR(INDEX(Office_Log!$AZ$2:$AZ$201,MATCH(W35,Office_Log!$A$2:$A$201,0)),"(no log row)"),Office_Log!$BT$2:$BT$201,0))&amp;"",""))</f>
        <v/>
      </c>
      <c r="AB35" s="35" t="str">
        <f aca="false">IF(W35="","",IFERROR(IF(ISNUMBER(INDEX(Office_Log!$H$2:$H$201,MATCH(IFERROR(INDEX(Office_Log!$AZ$2:$AZ$201,MATCH(W35,Office_Log!$A$2:$A$201,0)),"(no log row)"),Office_Log!$BT$2:$BT$201,0))),INDEX(Office_Log!$H$2:$H$201,MATCH(IFERROR(INDEX(Office_Log!$AZ$2:$AZ$201,MATCH(W35,Office_Log!$A$2:$A$201,0)),"(no log row)"),Office_Log!$BT$2:$BT$201,0)),""),""))</f>
        <v/>
      </c>
      <c r="AC35" s="23" t="str">
        <f aca="false">IF(W35="","",IFERROR(IF(ISNUMBER(INDEX(Office_Log!$Y$2:$Y$201,MATCH(IFERROR(INDEX(Office_Log!$AZ$2:$AZ$201,MATCH(W35,Office_Log!$A$2:$A$201,0)),"(no log row)"),Office_Log!$BT$2:$BT$201,0))),INDEX(Office_Log!$Y$2:$Y$201,MATCH(IFERROR(INDEX(Office_Log!$AZ$2:$AZ$201,MATCH(W35,Office_Log!$A$2:$A$201,0)),"(no log row)"),Office_Log!$BT$2:$BT$201,0)),""),""))</f>
        <v/>
      </c>
      <c r="AE35" s="32"/>
      <c r="AI35" s="32"/>
    </row>
    <row r="36" customFormat="false" ht="15" hidden="false" customHeight="false" outlineLevel="0" collapsed="false">
      <c r="M36" s="32"/>
      <c r="N36" s="32"/>
      <c r="P36" s="32"/>
      <c r="Q36" s="32"/>
      <c r="U36" s="32"/>
      <c r="X36" s="33"/>
      <c r="Z36" s="32"/>
      <c r="AA36" s="23" t="str">
        <f aca="false">IF(W36="","",IFERROR(INDEX(Office_Log!$X$2:$X$201,MATCH(IFERROR(INDEX(Office_Log!$AZ$2:$AZ$201,MATCH(W36,Office_Log!$A$2:$A$201,0)),"(no log row)"),Office_Log!$BT$2:$BT$201,0))&amp;"",""))</f>
        <v/>
      </c>
      <c r="AB36" s="35" t="str">
        <f aca="false">IF(W36="","",IFERROR(IF(ISNUMBER(INDEX(Office_Log!$H$2:$H$201,MATCH(IFERROR(INDEX(Office_Log!$AZ$2:$AZ$201,MATCH(W36,Office_Log!$A$2:$A$201,0)),"(no log row)"),Office_Log!$BT$2:$BT$201,0))),INDEX(Office_Log!$H$2:$H$201,MATCH(IFERROR(INDEX(Office_Log!$AZ$2:$AZ$201,MATCH(W36,Office_Log!$A$2:$A$201,0)),"(no log row)"),Office_Log!$BT$2:$BT$201,0)),""),""))</f>
        <v/>
      </c>
      <c r="AC36" s="23" t="str">
        <f aca="false">IF(W36="","",IFERROR(IF(ISNUMBER(INDEX(Office_Log!$Y$2:$Y$201,MATCH(IFERROR(INDEX(Office_Log!$AZ$2:$AZ$201,MATCH(W36,Office_Log!$A$2:$A$201,0)),"(no log row)"),Office_Log!$BT$2:$BT$201,0))),INDEX(Office_Log!$Y$2:$Y$201,MATCH(IFERROR(INDEX(Office_Log!$AZ$2:$AZ$201,MATCH(W36,Office_Log!$A$2:$A$201,0)),"(no log row)"),Office_Log!$BT$2:$BT$201,0)),""),""))</f>
        <v/>
      </c>
      <c r="AE36" s="32"/>
      <c r="AI36" s="32"/>
    </row>
    <row r="37" customFormat="false" ht="15" hidden="false" customHeight="false" outlineLevel="0" collapsed="false">
      <c r="M37" s="32"/>
      <c r="N37" s="32"/>
      <c r="P37" s="32"/>
      <c r="Q37" s="32"/>
      <c r="U37" s="32"/>
      <c r="X37" s="33"/>
      <c r="Z37" s="32"/>
      <c r="AA37" s="23" t="str">
        <f aca="false">IF(W37="","",IFERROR(INDEX(Office_Log!$X$2:$X$201,MATCH(IFERROR(INDEX(Office_Log!$AZ$2:$AZ$201,MATCH(W37,Office_Log!$A$2:$A$201,0)),"(no log row)"),Office_Log!$BT$2:$BT$201,0))&amp;"",""))</f>
        <v/>
      </c>
      <c r="AB37" s="35" t="str">
        <f aca="false">IF(W37="","",IFERROR(IF(ISNUMBER(INDEX(Office_Log!$H$2:$H$201,MATCH(IFERROR(INDEX(Office_Log!$AZ$2:$AZ$201,MATCH(W37,Office_Log!$A$2:$A$201,0)),"(no log row)"),Office_Log!$BT$2:$BT$201,0))),INDEX(Office_Log!$H$2:$H$201,MATCH(IFERROR(INDEX(Office_Log!$AZ$2:$AZ$201,MATCH(W37,Office_Log!$A$2:$A$201,0)),"(no log row)"),Office_Log!$BT$2:$BT$201,0)),""),""))</f>
        <v/>
      </c>
      <c r="AC37" s="23" t="str">
        <f aca="false">IF(W37="","",IFERROR(IF(ISNUMBER(INDEX(Office_Log!$Y$2:$Y$201,MATCH(IFERROR(INDEX(Office_Log!$AZ$2:$AZ$201,MATCH(W37,Office_Log!$A$2:$A$201,0)),"(no log row)"),Office_Log!$BT$2:$BT$201,0))),INDEX(Office_Log!$Y$2:$Y$201,MATCH(IFERROR(INDEX(Office_Log!$AZ$2:$AZ$201,MATCH(W37,Office_Log!$A$2:$A$201,0)),"(no log row)"),Office_Log!$BT$2:$BT$201,0)),""),""))</f>
        <v/>
      </c>
      <c r="AE37" s="32"/>
      <c r="AI37" s="32"/>
    </row>
    <row r="38" customFormat="false" ht="15" hidden="false" customHeight="false" outlineLevel="0" collapsed="false">
      <c r="M38" s="32"/>
      <c r="N38" s="32"/>
      <c r="P38" s="32"/>
      <c r="Q38" s="32"/>
      <c r="U38" s="32"/>
      <c r="X38" s="33"/>
      <c r="Z38" s="32"/>
      <c r="AA38" s="23" t="str">
        <f aca="false">IF(W38="","",IFERROR(INDEX(Office_Log!$X$2:$X$201,MATCH(IFERROR(INDEX(Office_Log!$AZ$2:$AZ$201,MATCH(W38,Office_Log!$A$2:$A$201,0)),"(no log row)"),Office_Log!$BT$2:$BT$201,0))&amp;"",""))</f>
        <v/>
      </c>
      <c r="AB38" s="35" t="str">
        <f aca="false">IF(W38="","",IFERROR(IF(ISNUMBER(INDEX(Office_Log!$H$2:$H$201,MATCH(IFERROR(INDEX(Office_Log!$AZ$2:$AZ$201,MATCH(W38,Office_Log!$A$2:$A$201,0)),"(no log row)"),Office_Log!$BT$2:$BT$201,0))),INDEX(Office_Log!$H$2:$H$201,MATCH(IFERROR(INDEX(Office_Log!$AZ$2:$AZ$201,MATCH(W38,Office_Log!$A$2:$A$201,0)),"(no log row)"),Office_Log!$BT$2:$BT$201,0)),""),""))</f>
        <v/>
      </c>
      <c r="AC38" s="23" t="str">
        <f aca="false">IF(W38="","",IFERROR(IF(ISNUMBER(INDEX(Office_Log!$Y$2:$Y$201,MATCH(IFERROR(INDEX(Office_Log!$AZ$2:$AZ$201,MATCH(W38,Office_Log!$A$2:$A$201,0)),"(no log row)"),Office_Log!$BT$2:$BT$201,0))),INDEX(Office_Log!$Y$2:$Y$201,MATCH(IFERROR(INDEX(Office_Log!$AZ$2:$AZ$201,MATCH(W38,Office_Log!$A$2:$A$201,0)),"(no log row)"),Office_Log!$BT$2:$BT$201,0)),""),""))</f>
        <v/>
      </c>
      <c r="AE38" s="32"/>
      <c r="AI38" s="32"/>
    </row>
    <row r="39" customFormat="false" ht="15" hidden="false" customHeight="false" outlineLevel="0" collapsed="false">
      <c r="M39" s="32"/>
      <c r="N39" s="32"/>
      <c r="P39" s="32"/>
      <c r="Q39" s="32"/>
      <c r="U39" s="32"/>
      <c r="X39" s="33"/>
      <c r="Z39" s="32"/>
      <c r="AA39" s="23" t="str">
        <f aca="false">IF(W39="","",IFERROR(INDEX(Office_Log!$X$2:$X$201,MATCH(IFERROR(INDEX(Office_Log!$AZ$2:$AZ$201,MATCH(W39,Office_Log!$A$2:$A$201,0)),"(no log row)"),Office_Log!$BT$2:$BT$201,0))&amp;"",""))</f>
        <v/>
      </c>
      <c r="AB39" s="35" t="str">
        <f aca="false">IF(W39="","",IFERROR(IF(ISNUMBER(INDEX(Office_Log!$H$2:$H$201,MATCH(IFERROR(INDEX(Office_Log!$AZ$2:$AZ$201,MATCH(W39,Office_Log!$A$2:$A$201,0)),"(no log row)"),Office_Log!$BT$2:$BT$201,0))),INDEX(Office_Log!$H$2:$H$201,MATCH(IFERROR(INDEX(Office_Log!$AZ$2:$AZ$201,MATCH(W39,Office_Log!$A$2:$A$201,0)),"(no log row)"),Office_Log!$BT$2:$BT$201,0)),""),""))</f>
        <v/>
      </c>
      <c r="AC39" s="23" t="str">
        <f aca="false">IF(W39="","",IFERROR(IF(ISNUMBER(INDEX(Office_Log!$Y$2:$Y$201,MATCH(IFERROR(INDEX(Office_Log!$AZ$2:$AZ$201,MATCH(W39,Office_Log!$A$2:$A$201,0)),"(no log row)"),Office_Log!$BT$2:$BT$201,0))),INDEX(Office_Log!$Y$2:$Y$201,MATCH(IFERROR(INDEX(Office_Log!$AZ$2:$AZ$201,MATCH(W39,Office_Log!$A$2:$A$201,0)),"(no log row)"),Office_Log!$BT$2:$BT$201,0)),""),""))</f>
        <v/>
      </c>
      <c r="AE39" s="32"/>
      <c r="AI39" s="32"/>
    </row>
    <row r="40" customFormat="false" ht="15" hidden="false" customHeight="false" outlineLevel="0" collapsed="false">
      <c r="M40" s="32"/>
      <c r="N40" s="32"/>
      <c r="P40" s="32"/>
      <c r="Q40" s="32"/>
      <c r="U40" s="32"/>
      <c r="X40" s="33"/>
      <c r="Z40" s="32"/>
      <c r="AA40" s="23" t="str">
        <f aca="false">IF(W40="","",IFERROR(INDEX(Office_Log!$X$2:$X$201,MATCH(IFERROR(INDEX(Office_Log!$AZ$2:$AZ$201,MATCH(W40,Office_Log!$A$2:$A$201,0)),"(no log row)"),Office_Log!$BT$2:$BT$201,0))&amp;"",""))</f>
        <v/>
      </c>
      <c r="AB40" s="35" t="str">
        <f aca="false">IF(W40="","",IFERROR(IF(ISNUMBER(INDEX(Office_Log!$H$2:$H$201,MATCH(IFERROR(INDEX(Office_Log!$AZ$2:$AZ$201,MATCH(W40,Office_Log!$A$2:$A$201,0)),"(no log row)"),Office_Log!$BT$2:$BT$201,0))),INDEX(Office_Log!$H$2:$H$201,MATCH(IFERROR(INDEX(Office_Log!$AZ$2:$AZ$201,MATCH(W40,Office_Log!$A$2:$A$201,0)),"(no log row)"),Office_Log!$BT$2:$BT$201,0)),""),""))</f>
        <v/>
      </c>
      <c r="AC40" s="23" t="str">
        <f aca="false">IF(W40="","",IFERROR(IF(ISNUMBER(INDEX(Office_Log!$Y$2:$Y$201,MATCH(IFERROR(INDEX(Office_Log!$AZ$2:$AZ$201,MATCH(W40,Office_Log!$A$2:$A$201,0)),"(no log row)"),Office_Log!$BT$2:$BT$201,0))),INDEX(Office_Log!$Y$2:$Y$201,MATCH(IFERROR(INDEX(Office_Log!$AZ$2:$AZ$201,MATCH(W40,Office_Log!$A$2:$A$201,0)),"(no log row)"),Office_Log!$BT$2:$BT$201,0)),""),""))</f>
        <v/>
      </c>
      <c r="AE40" s="32"/>
      <c r="AI40" s="32"/>
    </row>
    <row r="41" customFormat="false" ht="15" hidden="false" customHeight="false" outlineLevel="0" collapsed="false">
      <c r="M41" s="32"/>
      <c r="N41" s="32"/>
      <c r="P41" s="32"/>
      <c r="Q41" s="32"/>
      <c r="U41" s="32"/>
      <c r="X41" s="33"/>
      <c r="Z41" s="32"/>
      <c r="AA41" s="23" t="str">
        <f aca="false">IF(W41="","",IFERROR(INDEX(Office_Log!$X$2:$X$201,MATCH(IFERROR(INDEX(Office_Log!$AZ$2:$AZ$201,MATCH(W41,Office_Log!$A$2:$A$201,0)),"(no log row)"),Office_Log!$BT$2:$BT$201,0))&amp;"",""))</f>
        <v/>
      </c>
      <c r="AB41" s="35" t="str">
        <f aca="false">IF(W41="","",IFERROR(IF(ISNUMBER(INDEX(Office_Log!$H$2:$H$201,MATCH(IFERROR(INDEX(Office_Log!$AZ$2:$AZ$201,MATCH(W41,Office_Log!$A$2:$A$201,0)),"(no log row)"),Office_Log!$BT$2:$BT$201,0))),INDEX(Office_Log!$H$2:$H$201,MATCH(IFERROR(INDEX(Office_Log!$AZ$2:$AZ$201,MATCH(W41,Office_Log!$A$2:$A$201,0)),"(no log row)"),Office_Log!$BT$2:$BT$201,0)),""),""))</f>
        <v/>
      </c>
      <c r="AC41" s="23" t="str">
        <f aca="false">IF(W41="","",IFERROR(IF(ISNUMBER(INDEX(Office_Log!$Y$2:$Y$201,MATCH(IFERROR(INDEX(Office_Log!$AZ$2:$AZ$201,MATCH(W41,Office_Log!$A$2:$A$201,0)),"(no log row)"),Office_Log!$BT$2:$BT$201,0))),INDEX(Office_Log!$Y$2:$Y$201,MATCH(IFERROR(INDEX(Office_Log!$AZ$2:$AZ$201,MATCH(W41,Office_Log!$A$2:$A$201,0)),"(no log row)"),Office_Log!$BT$2:$BT$201,0)),""),""))</f>
        <v/>
      </c>
      <c r="AE41" s="32"/>
      <c r="AI41" s="32"/>
    </row>
    <row r="42" customFormat="false" ht="15" hidden="false" customHeight="false" outlineLevel="0" collapsed="false">
      <c r="M42" s="32"/>
      <c r="N42" s="32"/>
      <c r="P42" s="32"/>
      <c r="Q42" s="32"/>
      <c r="U42" s="32"/>
      <c r="X42" s="33"/>
      <c r="Z42" s="32"/>
      <c r="AA42" s="23" t="str">
        <f aca="false">IF(W42="","",IFERROR(INDEX(Office_Log!$X$2:$X$201,MATCH(IFERROR(INDEX(Office_Log!$AZ$2:$AZ$201,MATCH(W42,Office_Log!$A$2:$A$201,0)),"(no log row)"),Office_Log!$BT$2:$BT$201,0))&amp;"",""))</f>
        <v/>
      </c>
      <c r="AB42" s="35" t="str">
        <f aca="false">IF(W42="","",IFERROR(IF(ISNUMBER(INDEX(Office_Log!$H$2:$H$201,MATCH(IFERROR(INDEX(Office_Log!$AZ$2:$AZ$201,MATCH(W42,Office_Log!$A$2:$A$201,0)),"(no log row)"),Office_Log!$BT$2:$BT$201,0))),INDEX(Office_Log!$H$2:$H$201,MATCH(IFERROR(INDEX(Office_Log!$AZ$2:$AZ$201,MATCH(W42,Office_Log!$A$2:$A$201,0)),"(no log row)"),Office_Log!$BT$2:$BT$201,0)),""),""))</f>
        <v/>
      </c>
      <c r="AC42" s="23" t="str">
        <f aca="false">IF(W42="","",IFERROR(IF(ISNUMBER(INDEX(Office_Log!$Y$2:$Y$201,MATCH(IFERROR(INDEX(Office_Log!$AZ$2:$AZ$201,MATCH(W42,Office_Log!$A$2:$A$201,0)),"(no log row)"),Office_Log!$BT$2:$BT$201,0))),INDEX(Office_Log!$Y$2:$Y$201,MATCH(IFERROR(INDEX(Office_Log!$AZ$2:$AZ$201,MATCH(W42,Office_Log!$A$2:$A$201,0)),"(no log row)"),Office_Log!$BT$2:$BT$201,0)),""),""))</f>
        <v/>
      </c>
      <c r="AE42" s="32"/>
      <c r="AI42" s="32"/>
    </row>
    <row r="43" customFormat="false" ht="15" hidden="false" customHeight="false" outlineLevel="0" collapsed="false">
      <c r="M43" s="32"/>
      <c r="N43" s="32"/>
      <c r="P43" s="32"/>
      <c r="Q43" s="32"/>
      <c r="U43" s="32"/>
      <c r="X43" s="33"/>
      <c r="Z43" s="32"/>
      <c r="AA43" s="23" t="str">
        <f aca="false">IF(W43="","",IFERROR(INDEX(Office_Log!$X$2:$X$201,MATCH(IFERROR(INDEX(Office_Log!$AZ$2:$AZ$201,MATCH(W43,Office_Log!$A$2:$A$201,0)),"(no log row)"),Office_Log!$BT$2:$BT$201,0))&amp;"",""))</f>
        <v/>
      </c>
      <c r="AB43" s="35" t="str">
        <f aca="false">IF(W43="","",IFERROR(IF(ISNUMBER(INDEX(Office_Log!$H$2:$H$201,MATCH(IFERROR(INDEX(Office_Log!$AZ$2:$AZ$201,MATCH(W43,Office_Log!$A$2:$A$201,0)),"(no log row)"),Office_Log!$BT$2:$BT$201,0))),INDEX(Office_Log!$H$2:$H$201,MATCH(IFERROR(INDEX(Office_Log!$AZ$2:$AZ$201,MATCH(W43,Office_Log!$A$2:$A$201,0)),"(no log row)"),Office_Log!$BT$2:$BT$201,0)),""),""))</f>
        <v/>
      </c>
      <c r="AC43" s="23" t="str">
        <f aca="false">IF(W43="","",IFERROR(IF(ISNUMBER(INDEX(Office_Log!$Y$2:$Y$201,MATCH(IFERROR(INDEX(Office_Log!$AZ$2:$AZ$201,MATCH(W43,Office_Log!$A$2:$A$201,0)),"(no log row)"),Office_Log!$BT$2:$BT$201,0))),INDEX(Office_Log!$Y$2:$Y$201,MATCH(IFERROR(INDEX(Office_Log!$AZ$2:$AZ$201,MATCH(W43,Office_Log!$A$2:$A$201,0)),"(no log row)"),Office_Log!$BT$2:$BT$201,0)),""),""))</f>
        <v/>
      </c>
      <c r="AE43" s="32"/>
      <c r="AI43" s="32"/>
    </row>
    <row r="44" customFormat="false" ht="15" hidden="false" customHeight="false" outlineLevel="0" collapsed="false">
      <c r="M44" s="32"/>
      <c r="N44" s="32"/>
      <c r="P44" s="32"/>
      <c r="Q44" s="32"/>
      <c r="U44" s="32"/>
      <c r="X44" s="33"/>
      <c r="Z44" s="32"/>
      <c r="AA44" s="23" t="str">
        <f aca="false">IF(W44="","",IFERROR(INDEX(Office_Log!$X$2:$X$201,MATCH(IFERROR(INDEX(Office_Log!$AZ$2:$AZ$201,MATCH(W44,Office_Log!$A$2:$A$201,0)),"(no log row)"),Office_Log!$BT$2:$BT$201,0))&amp;"",""))</f>
        <v/>
      </c>
      <c r="AB44" s="35" t="str">
        <f aca="false">IF(W44="","",IFERROR(IF(ISNUMBER(INDEX(Office_Log!$H$2:$H$201,MATCH(IFERROR(INDEX(Office_Log!$AZ$2:$AZ$201,MATCH(W44,Office_Log!$A$2:$A$201,0)),"(no log row)"),Office_Log!$BT$2:$BT$201,0))),INDEX(Office_Log!$H$2:$H$201,MATCH(IFERROR(INDEX(Office_Log!$AZ$2:$AZ$201,MATCH(W44,Office_Log!$A$2:$A$201,0)),"(no log row)"),Office_Log!$BT$2:$BT$201,0)),""),""))</f>
        <v/>
      </c>
      <c r="AC44" s="23" t="str">
        <f aca="false">IF(W44="","",IFERROR(IF(ISNUMBER(INDEX(Office_Log!$Y$2:$Y$201,MATCH(IFERROR(INDEX(Office_Log!$AZ$2:$AZ$201,MATCH(W44,Office_Log!$A$2:$A$201,0)),"(no log row)"),Office_Log!$BT$2:$BT$201,0))),INDEX(Office_Log!$Y$2:$Y$201,MATCH(IFERROR(INDEX(Office_Log!$AZ$2:$AZ$201,MATCH(W44,Office_Log!$A$2:$A$201,0)),"(no log row)"),Office_Log!$BT$2:$BT$201,0)),""),""))</f>
        <v/>
      </c>
      <c r="AE44" s="32"/>
      <c r="AI44" s="32"/>
    </row>
    <row r="45" customFormat="false" ht="15" hidden="false" customHeight="false" outlineLevel="0" collapsed="false">
      <c r="M45" s="32"/>
      <c r="N45" s="32"/>
      <c r="P45" s="32"/>
      <c r="Q45" s="32"/>
      <c r="U45" s="32"/>
      <c r="X45" s="33"/>
      <c r="Z45" s="32"/>
      <c r="AA45" s="23" t="str">
        <f aca="false">IF(W45="","",IFERROR(INDEX(Office_Log!$X$2:$X$201,MATCH(IFERROR(INDEX(Office_Log!$AZ$2:$AZ$201,MATCH(W45,Office_Log!$A$2:$A$201,0)),"(no log row)"),Office_Log!$BT$2:$BT$201,0))&amp;"",""))</f>
        <v/>
      </c>
      <c r="AB45" s="35" t="str">
        <f aca="false">IF(W45="","",IFERROR(IF(ISNUMBER(INDEX(Office_Log!$H$2:$H$201,MATCH(IFERROR(INDEX(Office_Log!$AZ$2:$AZ$201,MATCH(W45,Office_Log!$A$2:$A$201,0)),"(no log row)"),Office_Log!$BT$2:$BT$201,0))),INDEX(Office_Log!$H$2:$H$201,MATCH(IFERROR(INDEX(Office_Log!$AZ$2:$AZ$201,MATCH(W45,Office_Log!$A$2:$A$201,0)),"(no log row)"),Office_Log!$BT$2:$BT$201,0)),""),""))</f>
        <v/>
      </c>
      <c r="AC45" s="23" t="str">
        <f aca="false">IF(W45="","",IFERROR(IF(ISNUMBER(INDEX(Office_Log!$Y$2:$Y$201,MATCH(IFERROR(INDEX(Office_Log!$AZ$2:$AZ$201,MATCH(W45,Office_Log!$A$2:$A$201,0)),"(no log row)"),Office_Log!$BT$2:$BT$201,0))),INDEX(Office_Log!$Y$2:$Y$201,MATCH(IFERROR(INDEX(Office_Log!$AZ$2:$AZ$201,MATCH(W45,Office_Log!$A$2:$A$201,0)),"(no log row)"),Office_Log!$BT$2:$BT$201,0)),""),""))</f>
        <v/>
      </c>
      <c r="AE45" s="32"/>
      <c r="AI45" s="32"/>
    </row>
    <row r="46" customFormat="false" ht="15" hidden="false" customHeight="false" outlineLevel="0" collapsed="false">
      <c r="M46" s="32"/>
      <c r="N46" s="32"/>
      <c r="P46" s="32"/>
      <c r="Q46" s="32"/>
      <c r="U46" s="32"/>
      <c r="X46" s="33"/>
      <c r="Z46" s="32"/>
      <c r="AA46" s="23" t="str">
        <f aca="false">IF(W46="","",IFERROR(INDEX(Office_Log!$X$2:$X$201,MATCH(IFERROR(INDEX(Office_Log!$AZ$2:$AZ$201,MATCH(W46,Office_Log!$A$2:$A$201,0)),"(no log row)"),Office_Log!$BT$2:$BT$201,0))&amp;"",""))</f>
        <v/>
      </c>
      <c r="AB46" s="35" t="str">
        <f aca="false">IF(W46="","",IFERROR(IF(ISNUMBER(INDEX(Office_Log!$H$2:$H$201,MATCH(IFERROR(INDEX(Office_Log!$AZ$2:$AZ$201,MATCH(W46,Office_Log!$A$2:$A$201,0)),"(no log row)"),Office_Log!$BT$2:$BT$201,0))),INDEX(Office_Log!$H$2:$H$201,MATCH(IFERROR(INDEX(Office_Log!$AZ$2:$AZ$201,MATCH(W46,Office_Log!$A$2:$A$201,0)),"(no log row)"),Office_Log!$BT$2:$BT$201,0)),""),""))</f>
        <v/>
      </c>
      <c r="AC46" s="23" t="str">
        <f aca="false">IF(W46="","",IFERROR(IF(ISNUMBER(INDEX(Office_Log!$Y$2:$Y$201,MATCH(IFERROR(INDEX(Office_Log!$AZ$2:$AZ$201,MATCH(W46,Office_Log!$A$2:$A$201,0)),"(no log row)"),Office_Log!$BT$2:$BT$201,0))),INDEX(Office_Log!$Y$2:$Y$201,MATCH(IFERROR(INDEX(Office_Log!$AZ$2:$AZ$201,MATCH(W46,Office_Log!$A$2:$A$201,0)),"(no log row)"),Office_Log!$BT$2:$BT$201,0)),""),""))</f>
        <v/>
      </c>
      <c r="AE46" s="32"/>
      <c r="AI46" s="32"/>
    </row>
    <row r="47" customFormat="false" ht="15" hidden="false" customHeight="false" outlineLevel="0" collapsed="false">
      <c r="M47" s="32"/>
      <c r="N47" s="32"/>
      <c r="P47" s="32"/>
      <c r="Q47" s="32"/>
      <c r="U47" s="32"/>
      <c r="X47" s="33"/>
      <c r="Z47" s="32"/>
      <c r="AA47" s="23" t="str">
        <f aca="false">IF(W47="","",IFERROR(INDEX(Office_Log!$X$2:$X$201,MATCH(IFERROR(INDEX(Office_Log!$AZ$2:$AZ$201,MATCH(W47,Office_Log!$A$2:$A$201,0)),"(no log row)"),Office_Log!$BT$2:$BT$201,0))&amp;"",""))</f>
        <v/>
      </c>
      <c r="AB47" s="35" t="str">
        <f aca="false">IF(W47="","",IFERROR(IF(ISNUMBER(INDEX(Office_Log!$H$2:$H$201,MATCH(IFERROR(INDEX(Office_Log!$AZ$2:$AZ$201,MATCH(W47,Office_Log!$A$2:$A$201,0)),"(no log row)"),Office_Log!$BT$2:$BT$201,0))),INDEX(Office_Log!$H$2:$H$201,MATCH(IFERROR(INDEX(Office_Log!$AZ$2:$AZ$201,MATCH(W47,Office_Log!$A$2:$A$201,0)),"(no log row)"),Office_Log!$BT$2:$BT$201,0)),""),""))</f>
        <v/>
      </c>
      <c r="AC47" s="23" t="str">
        <f aca="false">IF(W47="","",IFERROR(IF(ISNUMBER(INDEX(Office_Log!$Y$2:$Y$201,MATCH(IFERROR(INDEX(Office_Log!$AZ$2:$AZ$201,MATCH(W47,Office_Log!$A$2:$A$201,0)),"(no log row)"),Office_Log!$BT$2:$BT$201,0))),INDEX(Office_Log!$Y$2:$Y$201,MATCH(IFERROR(INDEX(Office_Log!$AZ$2:$AZ$201,MATCH(W47,Office_Log!$A$2:$A$201,0)),"(no log row)"),Office_Log!$BT$2:$BT$201,0)),""),""))</f>
        <v/>
      </c>
      <c r="AE47" s="32"/>
      <c r="AI47" s="32"/>
    </row>
    <row r="48" customFormat="false" ht="15" hidden="false" customHeight="false" outlineLevel="0" collapsed="false">
      <c r="M48" s="32"/>
      <c r="N48" s="32"/>
      <c r="P48" s="32"/>
      <c r="Q48" s="32"/>
      <c r="U48" s="32"/>
      <c r="X48" s="33"/>
      <c r="Z48" s="32"/>
      <c r="AA48" s="23" t="str">
        <f aca="false">IF(W48="","",IFERROR(INDEX(Office_Log!$X$2:$X$201,MATCH(IFERROR(INDEX(Office_Log!$AZ$2:$AZ$201,MATCH(W48,Office_Log!$A$2:$A$201,0)),"(no log row)"),Office_Log!$BT$2:$BT$201,0))&amp;"",""))</f>
        <v/>
      </c>
      <c r="AB48" s="35" t="str">
        <f aca="false">IF(W48="","",IFERROR(IF(ISNUMBER(INDEX(Office_Log!$H$2:$H$201,MATCH(IFERROR(INDEX(Office_Log!$AZ$2:$AZ$201,MATCH(W48,Office_Log!$A$2:$A$201,0)),"(no log row)"),Office_Log!$BT$2:$BT$201,0))),INDEX(Office_Log!$H$2:$H$201,MATCH(IFERROR(INDEX(Office_Log!$AZ$2:$AZ$201,MATCH(W48,Office_Log!$A$2:$A$201,0)),"(no log row)"),Office_Log!$BT$2:$BT$201,0)),""),""))</f>
        <v/>
      </c>
      <c r="AC48" s="23" t="str">
        <f aca="false">IF(W48="","",IFERROR(IF(ISNUMBER(INDEX(Office_Log!$Y$2:$Y$201,MATCH(IFERROR(INDEX(Office_Log!$AZ$2:$AZ$201,MATCH(W48,Office_Log!$A$2:$A$201,0)),"(no log row)"),Office_Log!$BT$2:$BT$201,0))),INDEX(Office_Log!$Y$2:$Y$201,MATCH(IFERROR(INDEX(Office_Log!$AZ$2:$AZ$201,MATCH(W48,Office_Log!$A$2:$A$201,0)),"(no log row)"),Office_Log!$BT$2:$BT$201,0)),""),""))</f>
        <v/>
      </c>
      <c r="AE48" s="32"/>
      <c r="AI48" s="32"/>
    </row>
    <row r="49" customFormat="false" ht="15" hidden="false" customHeight="false" outlineLevel="0" collapsed="false">
      <c r="M49" s="32"/>
      <c r="N49" s="32"/>
      <c r="P49" s="32"/>
      <c r="Q49" s="32"/>
      <c r="U49" s="32"/>
      <c r="X49" s="33"/>
      <c r="Z49" s="32"/>
      <c r="AA49" s="23" t="str">
        <f aca="false">IF(W49="","",IFERROR(INDEX(Office_Log!$X$2:$X$201,MATCH(IFERROR(INDEX(Office_Log!$AZ$2:$AZ$201,MATCH(W49,Office_Log!$A$2:$A$201,0)),"(no log row)"),Office_Log!$BT$2:$BT$201,0))&amp;"",""))</f>
        <v/>
      </c>
      <c r="AB49" s="35" t="str">
        <f aca="false">IF(W49="","",IFERROR(IF(ISNUMBER(INDEX(Office_Log!$H$2:$H$201,MATCH(IFERROR(INDEX(Office_Log!$AZ$2:$AZ$201,MATCH(W49,Office_Log!$A$2:$A$201,0)),"(no log row)"),Office_Log!$BT$2:$BT$201,0))),INDEX(Office_Log!$H$2:$H$201,MATCH(IFERROR(INDEX(Office_Log!$AZ$2:$AZ$201,MATCH(W49,Office_Log!$A$2:$A$201,0)),"(no log row)"),Office_Log!$BT$2:$BT$201,0)),""),""))</f>
        <v/>
      </c>
      <c r="AC49" s="23" t="str">
        <f aca="false">IF(W49="","",IFERROR(IF(ISNUMBER(INDEX(Office_Log!$Y$2:$Y$201,MATCH(IFERROR(INDEX(Office_Log!$AZ$2:$AZ$201,MATCH(W49,Office_Log!$A$2:$A$201,0)),"(no log row)"),Office_Log!$BT$2:$BT$201,0))),INDEX(Office_Log!$Y$2:$Y$201,MATCH(IFERROR(INDEX(Office_Log!$AZ$2:$AZ$201,MATCH(W49,Office_Log!$A$2:$A$201,0)),"(no log row)"),Office_Log!$BT$2:$BT$201,0)),""),""))</f>
        <v/>
      </c>
      <c r="AE49" s="32"/>
      <c r="AI49" s="32"/>
    </row>
    <row r="50" customFormat="false" ht="15" hidden="false" customHeight="false" outlineLevel="0" collapsed="false">
      <c r="M50" s="32"/>
      <c r="N50" s="32"/>
      <c r="P50" s="32"/>
      <c r="Q50" s="32"/>
      <c r="U50" s="32"/>
      <c r="X50" s="33"/>
      <c r="Z50" s="32"/>
      <c r="AA50" s="23" t="str">
        <f aca="false">IF(W50="","",IFERROR(INDEX(Office_Log!$X$2:$X$201,MATCH(IFERROR(INDEX(Office_Log!$AZ$2:$AZ$201,MATCH(W50,Office_Log!$A$2:$A$201,0)),"(no log row)"),Office_Log!$BT$2:$BT$201,0))&amp;"",""))</f>
        <v/>
      </c>
      <c r="AB50" s="35" t="str">
        <f aca="false">IF(W50="","",IFERROR(IF(ISNUMBER(INDEX(Office_Log!$H$2:$H$201,MATCH(IFERROR(INDEX(Office_Log!$AZ$2:$AZ$201,MATCH(W50,Office_Log!$A$2:$A$201,0)),"(no log row)"),Office_Log!$BT$2:$BT$201,0))),INDEX(Office_Log!$H$2:$H$201,MATCH(IFERROR(INDEX(Office_Log!$AZ$2:$AZ$201,MATCH(W50,Office_Log!$A$2:$A$201,0)),"(no log row)"),Office_Log!$BT$2:$BT$201,0)),""),""))</f>
        <v/>
      </c>
      <c r="AC50" s="23" t="str">
        <f aca="false">IF(W50="","",IFERROR(IF(ISNUMBER(INDEX(Office_Log!$Y$2:$Y$201,MATCH(IFERROR(INDEX(Office_Log!$AZ$2:$AZ$201,MATCH(W50,Office_Log!$A$2:$A$201,0)),"(no log row)"),Office_Log!$BT$2:$BT$201,0))),INDEX(Office_Log!$Y$2:$Y$201,MATCH(IFERROR(INDEX(Office_Log!$AZ$2:$AZ$201,MATCH(W50,Office_Log!$A$2:$A$201,0)),"(no log row)"),Office_Log!$BT$2:$BT$201,0)),""),""))</f>
        <v/>
      </c>
      <c r="AE50" s="32"/>
      <c r="AI50" s="32"/>
    </row>
    <row r="51" customFormat="false" ht="15" hidden="false" customHeight="false" outlineLevel="0" collapsed="false">
      <c r="M51" s="32"/>
      <c r="N51" s="32"/>
      <c r="P51" s="32"/>
      <c r="Q51" s="32"/>
      <c r="U51" s="32"/>
      <c r="X51" s="33"/>
      <c r="Z51" s="32"/>
      <c r="AA51" s="23" t="str">
        <f aca="false">IF(W51="","",IFERROR(INDEX(Office_Log!$X$2:$X$201,MATCH(IFERROR(INDEX(Office_Log!$AZ$2:$AZ$201,MATCH(W51,Office_Log!$A$2:$A$201,0)),"(no log row)"),Office_Log!$BT$2:$BT$201,0))&amp;"",""))</f>
        <v/>
      </c>
      <c r="AB51" s="35" t="str">
        <f aca="false">IF(W51="","",IFERROR(IF(ISNUMBER(INDEX(Office_Log!$H$2:$H$201,MATCH(IFERROR(INDEX(Office_Log!$AZ$2:$AZ$201,MATCH(W51,Office_Log!$A$2:$A$201,0)),"(no log row)"),Office_Log!$BT$2:$BT$201,0))),INDEX(Office_Log!$H$2:$H$201,MATCH(IFERROR(INDEX(Office_Log!$AZ$2:$AZ$201,MATCH(W51,Office_Log!$A$2:$A$201,0)),"(no log row)"),Office_Log!$BT$2:$BT$201,0)),""),""))</f>
        <v/>
      </c>
      <c r="AC51" s="23" t="str">
        <f aca="false">IF(W51="","",IFERROR(IF(ISNUMBER(INDEX(Office_Log!$Y$2:$Y$201,MATCH(IFERROR(INDEX(Office_Log!$AZ$2:$AZ$201,MATCH(W51,Office_Log!$A$2:$A$201,0)),"(no log row)"),Office_Log!$BT$2:$BT$201,0))),INDEX(Office_Log!$Y$2:$Y$201,MATCH(IFERROR(INDEX(Office_Log!$AZ$2:$AZ$201,MATCH(W51,Office_Log!$A$2:$A$201,0)),"(no log row)"),Office_Log!$BT$2:$BT$201,0)),""),""))</f>
        <v/>
      </c>
      <c r="AE51" s="32"/>
      <c r="AI51" s="32"/>
    </row>
  </sheetData>
  <dataValidations count="8">
    <dataValidation allowBlank="true" errorStyle="stop" operator="between" showDropDown="false" showErrorMessage="false" showInputMessage="false" sqref="M2:M51" type="list">
      <formula1>Lists!$A$2:$A$3</formula1>
      <formula2>0</formula2>
    </dataValidation>
    <dataValidation allowBlank="true" errorStyle="stop" operator="between" showDropDown="false" showErrorMessage="false" showInputMessage="false" sqref="N2:N51" type="list">
      <formula1>Lists!$H$2:$H$5</formula1>
      <formula2>0</formula2>
    </dataValidation>
    <dataValidation allowBlank="true" errorStyle="stop" operator="between" showDropDown="false" showErrorMessage="false" showInputMessage="false" sqref="P2:P51" type="list">
      <formula1>Lists!$C$2:$C$4</formula1>
      <formula2>0</formula2>
    </dataValidation>
    <dataValidation allowBlank="true" errorStyle="stop" operator="between" showDropDown="false" showErrorMessage="false" showInputMessage="false" sqref="Q2:Q51" type="list">
      <formula1>Lists!$U$2:$U$4</formula1>
      <formula2>0</formula2>
    </dataValidation>
    <dataValidation allowBlank="true" errorStyle="stop" operator="between" showDropDown="false" showErrorMessage="false" showInputMessage="false" sqref="U2:U51" type="list">
      <formula1>Lists!$V$2:$V$3</formula1>
      <formula2>0</formula2>
    </dataValidation>
    <dataValidation allowBlank="true" errorStyle="stop" operator="between" showDropDown="false" showErrorMessage="false" showInputMessage="false" sqref="Z2:Z51" type="list">
      <formula1>Lists!$A$2:$A$3</formula1>
      <formula2>0</formula2>
    </dataValidation>
    <dataValidation allowBlank="true" errorStyle="stop" operator="between" showDropDown="false" showErrorMessage="false" showInputMessage="false" sqref="AE2:AE51" type="list">
      <formula1>Lists!$A$2:$A$3</formula1>
      <formula2>0</formula2>
    </dataValidation>
    <dataValidation allowBlank="true" errorStyle="stop" operator="between" showDropDown="false" showErrorMessage="false" showInputMessage="false" sqref="AI2:AI51"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Y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27" min="1" style="0" width="14"/>
    <col collapsed="false" customWidth="true" hidden="false" outlineLevel="0" max="28" min="28" style="0" width="11"/>
    <col collapsed="false" customWidth="true" hidden="false" outlineLevel="0" max="29" min="29" style="0" width="15"/>
    <col collapsed="false" customWidth="true" hidden="false" outlineLevel="0" max="30" min="30" style="0" width="9"/>
    <col collapsed="false" customWidth="true" hidden="false" outlineLevel="0" max="31" min="31" style="0" width="8"/>
    <col collapsed="false" customWidth="true" hidden="false" outlineLevel="0" max="32" min="32" style="0" width="7"/>
    <col collapsed="false" customWidth="true" hidden="false" outlineLevel="0" max="33" min="33" style="0" width="24"/>
    <col collapsed="false" customWidth="true" hidden="false" outlineLevel="0" max="34" min="34" style="0" width="11"/>
    <col collapsed="false" customWidth="true" hidden="false" outlineLevel="0" max="35" min="35" style="0" width="12"/>
    <col collapsed="false" customWidth="true" hidden="false" outlineLevel="0" max="40" min="36" style="0" width="11"/>
    <col collapsed="false" customWidth="true" hidden="false" outlineLevel="0" max="41" min="41" style="0" width="30"/>
    <col collapsed="false" customWidth="true" hidden="false" outlineLevel="0" max="43" min="42" style="0" width="26"/>
    <col collapsed="false" customWidth="true" hidden="false" outlineLevel="0" max="44" min="44" style="0" width="12"/>
    <col collapsed="false" customWidth="true" hidden="false" outlineLevel="0" max="45" min="45" style="0" width="22"/>
    <col collapsed="false" customWidth="true" hidden="false" outlineLevel="0" max="46" min="46" style="0" width="9"/>
    <col collapsed="false" customWidth="true" hidden="false" outlineLevel="0" max="47" min="47" style="0" width="18"/>
    <col collapsed="false" customWidth="true" hidden="false" outlineLevel="0" max="48" min="48" style="0" width="8"/>
    <col collapsed="false" customWidth="true" hidden="false" outlineLevel="0" max="49" min="49" style="0" width="11"/>
    <col collapsed="false" customWidth="true" hidden="false" outlineLevel="0" max="50" min="50" style="0" width="8"/>
    <col collapsed="false" customWidth="true" hidden="false" outlineLevel="0" max="51" min="51" style="0" width="11"/>
    <col collapsed="false" customWidth="true" hidden="false" outlineLevel="0" max="52" min="52" style="0" width="8"/>
    <col collapsed="false" customWidth="true" hidden="false" outlineLevel="0" max="53" min="53" style="0" width="11"/>
    <col collapsed="false" customWidth="true" hidden="false" outlineLevel="0" max="54" min="54" style="0" width="7"/>
    <col collapsed="false" customWidth="true" hidden="false" outlineLevel="0" max="55" min="55" style="0" width="22"/>
    <col collapsed="false" customWidth="true" hidden="false" outlineLevel="0" max="56" min="56" style="0" width="14"/>
    <col collapsed="false" customWidth="true" hidden="false" outlineLevel="0" max="57" min="57" style="0" width="22"/>
    <col collapsed="false" customWidth="true" hidden="false" outlineLevel="0" max="59" min="58" style="0" width="12"/>
    <col collapsed="false" customWidth="true" hidden="false" outlineLevel="0" max="60" min="60" style="0" width="14"/>
    <col collapsed="false" customWidth="true" hidden="false" outlineLevel="0" max="62" min="61" style="0" width="22"/>
    <col collapsed="false" customWidth="true" hidden="false" outlineLevel="0" max="70" min="63" style="0" width="7"/>
    <col collapsed="false" customWidth="true" hidden="false" outlineLevel="0" max="71" min="71" style="0" width="11"/>
    <col collapsed="false" customWidth="true" hidden="false" outlineLevel="0" max="72" min="72" style="0" width="30"/>
    <col collapsed="false" customWidth="true" hidden="false" outlineLevel="0" max="73" min="73" style="0" width="10"/>
    <col collapsed="false" customWidth="true" hidden="false" outlineLevel="0" max="74" min="74" style="0" width="20"/>
    <col collapsed="false" customWidth="true" hidden="false" outlineLevel="0" max="75" min="75" style="0" width="24"/>
    <col collapsed="false" customWidth="true" hidden="false" outlineLevel="0" max="76" min="76" style="0" width="22"/>
    <col collapsed="false" customWidth="true" hidden="false" outlineLevel="0" max="77" min="77" style="0" width="18"/>
  </cols>
  <sheetData>
    <row r="1" customFormat="false" ht="42" hidden="false" customHeight="true" outlineLevel="0" collapsed="false">
      <c r="A1" s="8" t="s">
        <v>867</v>
      </c>
      <c r="B1" s="8" t="s">
        <v>868</v>
      </c>
      <c r="C1" s="8" t="s">
        <v>938</v>
      </c>
      <c r="D1" s="8" t="s">
        <v>939</v>
      </c>
      <c r="E1" s="8" t="s">
        <v>303</v>
      </c>
      <c r="F1" s="8" t="s">
        <v>304</v>
      </c>
      <c r="G1" s="8" t="s">
        <v>869</v>
      </c>
      <c r="H1" s="8" t="s">
        <v>870</v>
      </c>
      <c r="I1" s="8" t="s">
        <v>940</v>
      </c>
      <c r="J1" s="8" t="s">
        <v>941</v>
      </c>
      <c r="K1" s="8" t="s">
        <v>942</v>
      </c>
      <c r="L1" s="8" t="s">
        <v>943</v>
      </c>
      <c r="M1" s="8" t="s">
        <v>944</v>
      </c>
      <c r="N1" s="8" t="s">
        <v>945</v>
      </c>
      <c r="O1" s="8" t="s">
        <v>946</v>
      </c>
      <c r="P1" s="8" t="s">
        <v>947</v>
      </c>
      <c r="Q1" s="8" t="s">
        <v>948</v>
      </c>
      <c r="R1" s="8" t="s">
        <v>949</v>
      </c>
      <c r="S1" s="8" t="s">
        <v>950</v>
      </c>
      <c r="T1" s="8" t="s">
        <v>951</v>
      </c>
      <c r="U1" s="8" t="s">
        <v>952</v>
      </c>
      <c r="V1" s="8" t="s">
        <v>953</v>
      </c>
      <c r="W1" s="8" t="s">
        <v>954</v>
      </c>
      <c r="X1" s="8" t="s">
        <v>955</v>
      </c>
      <c r="Y1" s="8" t="s">
        <v>956</v>
      </c>
      <c r="Z1" s="8" t="s">
        <v>349</v>
      </c>
      <c r="AA1" s="8" t="s">
        <v>305</v>
      </c>
      <c r="AB1" s="8" t="s">
        <v>957</v>
      </c>
      <c r="AC1" s="8" t="s">
        <v>878</v>
      </c>
      <c r="AD1" s="8" t="s">
        <v>958</v>
      </c>
      <c r="AE1" s="8" t="s">
        <v>959</v>
      </c>
      <c r="AF1" s="8" t="s">
        <v>960</v>
      </c>
      <c r="AG1" s="8" t="s">
        <v>961</v>
      </c>
      <c r="AH1" s="8" t="s">
        <v>879</v>
      </c>
      <c r="AI1" s="8" t="s">
        <v>962</v>
      </c>
      <c r="AJ1" s="8" t="s">
        <v>963</v>
      </c>
      <c r="AK1" s="21" t="s">
        <v>964</v>
      </c>
      <c r="AL1" s="8" t="s">
        <v>965</v>
      </c>
      <c r="AM1" s="8" t="s">
        <v>966</v>
      </c>
      <c r="AN1" s="8" t="s">
        <v>967</v>
      </c>
      <c r="AO1" s="8" t="s">
        <v>968</v>
      </c>
      <c r="AP1" s="8" t="s">
        <v>969</v>
      </c>
      <c r="AQ1" s="8" t="s">
        <v>970</v>
      </c>
      <c r="AR1" s="8" t="s">
        <v>971</v>
      </c>
      <c r="AS1" s="8" t="s">
        <v>972</v>
      </c>
      <c r="AT1" s="8" t="s">
        <v>973</v>
      </c>
      <c r="AU1" s="8" t="s">
        <v>974</v>
      </c>
      <c r="AV1" s="8" t="s">
        <v>975</v>
      </c>
      <c r="AW1" s="8" t="s">
        <v>976</v>
      </c>
      <c r="AX1" s="8" t="s">
        <v>977</v>
      </c>
      <c r="AY1" s="8" t="s">
        <v>978</v>
      </c>
      <c r="AZ1" s="8" t="s">
        <v>884</v>
      </c>
      <c r="BA1" s="8" t="s">
        <v>979</v>
      </c>
      <c r="BB1" s="8" t="s">
        <v>980</v>
      </c>
      <c r="BC1" s="8" t="s">
        <v>981</v>
      </c>
      <c r="BD1" s="8" t="s">
        <v>982</v>
      </c>
      <c r="BE1" s="8" t="s">
        <v>983</v>
      </c>
      <c r="BF1" s="8" t="s">
        <v>984</v>
      </c>
      <c r="BG1" s="8" t="s">
        <v>985</v>
      </c>
      <c r="BH1" s="8" t="s">
        <v>986</v>
      </c>
      <c r="BI1" s="8" t="s">
        <v>987</v>
      </c>
      <c r="BJ1" s="8" t="s">
        <v>988</v>
      </c>
      <c r="BK1" s="8" t="s">
        <v>989</v>
      </c>
      <c r="BL1" s="8" t="s">
        <v>990</v>
      </c>
      <c r="BM1" s="8" t="s">
        <v>991</v>
      </c>
      <c r="BN1" s="8" t="s">
        <v>992</v>
      </c>
      <c r="BO1" s="8" t="s">
        <v>993</v>
      </c>
      <c r="BP1" s="8" t="s">
        <v>994</v>
      </c>
      <c r="BQ1" s="8" t="s">
        <v>995</v>
      </c>
      <c r="BR1" s="8" t="s">
        <v>996</v>
      </c>
      <c r="BS1" s="8" t="s">
        <v>997</v>
      </c>
      <c r="BT1" s="8" t="s">
        <v>998</v>
      </c>
      <c r="BU1" s="8" t="s">
        <v>999</v>
      </c>
      <c r="BV1" s="8" t="s">
        <v>1000</v>
      </c>
      <c r="BW1" s="8" t="s">
        <v>1001</v>
      </c>
      <c r="BX1" s="8" t="s">
        <v>1002</v>
      </c>
      <c r="BY1" s="8" t="s">
        <v>1003</v>
      </c>
    </row>
    <row r="2" customFormat="false" ht="15" hidden="false" customHeight="false" outlineLevel="0" collapsed="false">
      <c r="A2" s="0" t="s">
        <v>1004</v>
      </c>
      <c r="B2" s="0" t="s">
        <v>1005</v>
      </c>
      <c r="C2" s="0" t="s">
        <v>676</v>
      </c>
      <c r="D2" s="0" t="s">
        <v>1006</v>
      </c>
      <c r="E2" s="0" t="s">
        <v>677</v>
      </c>
      <c r="F2" s="0" t="s">
        <v>678</v>
      </c>
      <c r="G2" s="0" t="s">
        <v>1007</v>
      </c>
      <c r="H2" s="0" t="s">
        <v>1008</v>
      </c>
      <c r="I2" s="0" t="s">
        <v>1009</v>
      </c>
      <c r="J2" s="32" t="s">
        <v>1010</v>
      </c>
      <c r="K2" s="0" t="s">
        <v>1011</v>
      </c>
      <c r="L2" s="0" t="s">
        <v>688</v>
      </c>
      <c r="M2" s="0" t="s">
        <v>1012</v>
      </c>
      <c r="N2" s="32" t="s">
        <v>460</v>
      </c>
      <c r="O2" s="0" t="s">
        <v>1013</v>
      </c>
      <c r="P2" s="32" t="s">
        <v>460</v>
      </c>
      <c r="Q2" s="0" t="s">
        <v>1014</v>
      </c>
      <c r="R2" s="32" t="s">
        <v>460</v>
      </c>
      <c r="S2" s="32" t="s">
        <v>460</v>
      </c>
      <c r="T2" s="32" t="s">
        <v>460</v>
      </c>
      <c r="U2" s="32" t="s">
        <v>460</v>
      </c>
      <c r="V2" s="32" t="s">
        <v>460</v>
      </c>
      <c r="W2" s="32" t="s">
        <v>460</v>
      </c>
      <c r="X2" s="0" t="s">
        <v>1015</v>
      </c>
      <c r="Y2" s="32" t="s">
        <v>460</v>
      </c>
      <c r="Z2" s="0" t="s">
        <v>1016</v>
      </c>
      <c r="AA2" s="32" t="s">
        <v>899</v>
      </c>
      <c r="AB2" s="0" t="s">
        <v>1017</v>
      </c>
      <c r="AC2" s="0" t="s">
        <v>675</v>
      </c>
      <c r="AD2" s="32" t="s">
        <v>1018</v>
      </c>
      <c r="AE2" s="0" t="n">
        <v>600</v>
      </c>
      <c r="AF2" s="0" t="n">
        <v>5</v>
      </c>
      <c r="AG2" s="0" t="s">
        <v>1019</v>
      </c>
      <c r="AH2" s="33" t="n">
        <v>46357</v>
      </c>
      <c r="AI2" s="32" t="s">
        <v>1020</v>
      </c>
      <c r="AJ2" s="33" t="n">
        <v>46357</v>
      </c>
      <c r="AK2" s="35" t="n">
        <f aca="false">IF(ISNUMBER(AW2),AW2,"")</f>
        <v>46359</v>
      </c>
      <c r="AL2" s="33" t="n">
        <v>46360</v>
      </c>
      <c r="AM2" s="33" t="n">
        <v>46358</v>
      </c>
      <c r="AN2" s="33" t="n">
        <v>46358</v>
      </c>
      <c r="AO2" s="32" t="s">
        <v>1021</v>
      </c>
      <c r="AP2" s="32" t="s">
        <v>1022</v>
      </c>
      <c r="AQ2" s="32" t="s">
        <v>1023</v>
      </c>
      <c r="AR2" s="32" t="s">
        <v>1024</v>
      </c>
      <c r="AS2" s="32" t="s">
        <v>1025</v>
      </c>
      <c r="AT2" s="32" t="s">
        <v>1026</v>
      </c>
      <c r="AU2" s="32" t="s">
        <v>1027</v>
      </c>
      <c r="AV2" s="0" t="n">
        <v>600</v>
      </c>
      <c r="AW2" s="33" t="n">
        <v>46359</v>
      </c>
      <c r="AY2" s="33"/>
      <c r="AZ2" s="32" t="s">
        <v>902</v>
      </c>
      <c r="BA2" s="33" t="n">
        <v>46660</v>
      </c>
      <c r="BB2" s="32" t="s">
        <v>457</v>
      </c>
      <c r="BC2" s="32" t="s">
        <v>1028</v>
      </c>
      <c r="BD2" s="32" t="s">
        <v>1029</v>
      </c>
      <c r="BE2" s="32" t="s">
        <v>1030</v>
      </c>
      <c r="BK2" s="32" t="s">
        <v>460</v>
      </c>
      <c r="BL2" s="32" t="s">
        <v>460</v>
      </c>
      <c r="BM2" s="32" t="s">
        <v>460</v>
      </c>
      <c r="BN2" s="32" t="s">
        <v>460</v>
      </c>
      <c r="BO2" s="32" t="s">
        <v>460</v>
      </c>
      <c r="BP2" s="32" t="s">
        <v>460</v>
      </c>
      <c r="BQ2" s="32" t="s">
        <v>460</v>
      </c>
      <c r="BR2" s="32" t="s">
        <v>460</v>
      </c>
      <c r="BS2" s="33" t="n">
        <v>46360</v>
      </c>
      <c r="BT2" s="32" t="s">
        <v>1031</v>
      </c>
      <c r="BU2" s="32" t="s">
        <v>1032</v>
      </c>
      <c r="BV2" s="32" t="s">
        <v>1033</v>
      </c>
      <c r="BW2" s="32" t="s">
        <v>1034</v>
      </c>
      <c r="BX2" s="32" t="s">
        <v>1035</v>
      </c>
      <c r="BY2" s="32" t="s">
        <v>1036</v>
      </c>
    </row>
    <row r="3" customFormat="false" ht="15" hidden="false" customHeight="false" outlineLevel="0" collapsed="false">
      <c r="J3" s="32"/>
      <c r="N3" s="32"/>
      <c r="P3" s="32"/>
      <c r="R3" s="32"/>
      <c r="S3" s="32"/>
      <c r="T3" s="32"/>
      <c r="U3" s="32"/>
      <c r="V3" s="32"/>
      <c r="W3" s="32"/>
      <c r="Y3" s="32"/>
      <c r="AA3" s="32"/>
      <c r="AD3" s="32"/>
      <c r="AH3" s="33"/>
      <c r="AJ3" s="33"/>
      <c r="AK3" s="35" t="str">
        <f aca="false">IF(ISNUMBER(AW3),AW3,"")</f>
        <v/>
      </c>
      <c r="AL3" s="33"/>
      <c r="AM3" s="33"/>
      <c r="AN3" s="33"/>
      <c r="AT3" s="32"/>
      <c r="AW3" s="33"/>
      <c r="AY3" s="33"/>
      <c r="BA3" s="33"/>
      <c r="BB3" s="32"/>
      <c r="BD3" s="32"/>
      <c r="BK3" s="32"/>
      <c r="BL3" s="32"/>
      <c r="BM3" s="32"/>
      <c r="BN3" s="32"/>
      <c r="BO3" s="32"/>
      <c r="BP3" s="32"/>
      <c r="BQ3" s="32"/>
      <c r="BR3" s="32"/>
      <c r="BS3" s="33"/>
    </row>
    <row r="4" customFormat="false" ht="15" hidden="false" customHeight="false" outlineLevel="0" collapsed="false">
      <c r="J4" s="32"/>
      <c r="N4" s="32"/>
      <c r="P4" s="32"/>
      <c r="R4" s="32"/>
      <c r="S4" s="32"/>
      <c r="T4" s="32"/>
      <c r="U4" s="32"/>
      <c r="V4" s="32"/>
      <c r="W4" s="32"/>
      <c r="Y4" s="32"/>
      <c r="AA4" s="32"/>
      <c r="AD4" s="32"/>
      <c r="AH4" s="33"/>
      <c r="AJ4" s="33"/>
      <c r="AK4" s="35" t="str">
        <f aca="false">IF(ISNUMBER(AW4),AW4,"")</f>
        <v/>
      </c>
      <c r="AL4" s="33"/>
      <c r="AM4" s="33"/>
      <c r="AN4" s="33"/>
      <c r="AT4" s="32"/>
      <c r="AW4" s="33"/>
      <c r="AY4" s="33"/>
      <c r="BA4" s="33"/>
      <c r="BB4" s="32"/>
      <c r="BD4" s="32"/>
      <c r="BK4" s="32"/>
      <c r="BL4" s="32"/>
      <c r="BM4" s="32"/>
      <c r="BN4" s="32"/>
      <c r="BO4" s="32"/>
      <c r="BP4" s="32"/>
      <c r="BQ4" s="32"/>
      <c r="BR4" s="32"/>
      <c r="BS4" s="33"/>
    </row>
    <row r="5" customFormat="false" ht="15" hidden="false" customHeight="false" outlineLevel="0" collapsed="false">
      <c r="J5" s="32"/>
      <c r="N5" s="32"/>
      <c r="P5" s="32"/>
      <c r="R5" s="32"/>
      <c r="S5" s="32"/>
      <c r="T5" s="32"/>
      <c r="U5" s="32"/>
      <c r="V5" s="32"/>
      <c r="W5" s="32"/>
      <c r="Y5" s="32"/>
      <c r="AA5" s="32"/>
      <c r="AD5" s="32"/>
      <c r="AH5" s="33"/>
      <c r="AJ5" s="33"/>
      <c r="AK5" s="35" t="str">
        <f aca="false">IF(ISNUMBER(AW5),AW5,"")</f>
        <v/>
      </c>
      <c r="AL5" s="33"/>
      <c r="AM5" s="33"/>
      <c r="AN5" s="33"/>
      <c r="AT5" s="32"/>
      <c r="AW5" s="33"/>
      <c r="AY5" s="33"/>
      <c r="BA5" s="33"/>
      <c r="BB5" s="32"/>
      <c r="BD5" s="32"/>
      <c r="BK5" s="32"/>
      <c r="BL5" s="32"/>
      <c r="BM5" s="32"/>
      <c r="BN5" s="32"/>
      <c r="BO5" s="32"/>
      <c r="BP5" s="32"/>
      <c r="BQ5" s="32"/>
      <c r="BR5" s="32"/>
      <c r="BS5" s="33"/>
    </row>
    <row r="6" customFormat="false" ht="15" hidden="false" customHeight="false" outlineLevel="0" collapsed="false">
      <c r="J6" s="32"/>
      <c r="N6" s="32"/>
      <c r="P6" s="32"/>
      <c r="R6" s="32"/>
      <c r="S6" s="32"/>
      <c r="T6" s="32"/>
      <c r="U6" s="32"/>
      <c r="V6" s="32"/>
      <c r="W6" s="32"/>
      <c r="Y6" s="32"/>
      <c r="AA6" s="32"/>
      <c r="AD6" s="32"/>
      <c r="AH6" s="33"/>
      <c r="AJ6" s="33"/>
      <c r="AK6" s="35" t="str">
        <f aca="false">IF(ISNUMBER(AW6),AW6,"")</f>
        <v/>
      </c>
      <c r="AL6" s="33"/>
      <c r="AM6" s="33"/>
      <c r="AN6" s="33"/>
      <c r="AT6" s="32"/>
      <c r="AW6" s="33"/>
      <c r="AY6" s="33"/>
      <c r="BA6" s="33"/>
      <c r="BB6" s="32"/>
      <c r="BD6" s="32"/>
      <c r="BK6" s="32"/>
      <c r="BL6" s="32"/>
      <c r="BM6" s="32"/>
      <c r="BN6" s="32"/>
      <c r="BO6" s="32"/>
      <c r="BP6" s="32"/>
      <c r="BQ6" s="32"/>
      <c r="BR6" s="32"/>
      <c r="BS6" s="33"/>
    </row>
    <row r="7" customFormat="false" ht="15" hidden="false" customHeight="false" outlineLevel="0" collapsed="false">
      <c r="J7" s="32"/>
      <c r="N7" s="32"/>
      <c r="P7" s="32"/>
      <c r="R7" s="32"/>
      <c r="S7" s="32"/>
      <c r="T7" s="32"/>
      <c r="U7" s="32"/>
      <c r="V7" s="32"/>
      <c r="W7" s="32"/>
      <c r="Y7" s="32"/>
      <c r="AA7" s="32"/>
      <c r="AD7" s="32"/>
      <c r="AH7" s="33"/>
      <c r="AJ7" s="33"/>
      <c r="AK7" s="35" t="str">
        <f aca="false">IF(ISNUMBER(AW7),AW7,"")</f>
        <v/>
      </c>
      <c r="AL7" s="33"/>
      <c r="AM7" s="33"/>
      <c r="AN7" s="33"/>
      <c r="AT7" s="32"/>
      <c r="AW7" s="33"/>
      <c r="AY7" s="33"/>
      <c r="BA7" s="33"/>
      <c r="BB7" s="32"/>
      <c r="BD7" s="32"/>
      <c r="BK7" s="32"/>
      <c r="BL7" s="32"/>
      <c r="BM7" s="32"/>
      <c r="BN7" s="32"/>
      <c r="BO7" s="32"/>
      <c r="BP7" s="32"/>
      <c r="BQ7" s="32"/>
      <c r="BR7" s="32"/>
      <c r="BS7" s="33"/>
    </row>
    <row r="8" customFormat="false" ht="15" hidden="false" customHeight="false" outlineLevel="0" collapsed="false">
      <c r="J8" s="32"/>
      <c r="N8" s="32"/>
      <c r="P8" s="32"/>
      <c r="R8" s="32"/>
      <c r="S8" s="32"/>
      <c r="T8" s="32"/>
      <c r="U8" s="32"/>
      <c r="V8" s="32"/>
      <c r="W8" s="32"/>
      <c r="Y8" s="32"/>
      <c r="AA8" s="32"/>
      <c r="AD8" s="32"/>
      <c r="AH8" s="33"/>
      <c r="AJ8" s="33"/>
      <c r="AK8" s="35" t="str">
        <f aca="false">IF(ISNUMBER(AW8),AW8,"")</f>
        <v/>
      </c>
      <c r="AL8" s="33"/>
      <c r="AM8" s="33"/>
      <c r="AN8" s="33"/>
      <c r="AT8" s="32"/>
      <c r="AW8" s="33"/>
      <c r="AY8" s="33"/>
      <c r="BA8" s="33"/>
      <c r="BB8" s="32"/>
      <c r="BD8" s="32"/>
      <c r="BK8" s="32"/>
      <c r="BL8" s="32"/>
      <c r="BM8" s="32"/>
      <c r="BN8" s="32"/>
      <c r="BO8" s="32"/>
      <c r="BP8" s="32"/>
      <c r="BQ8" s="32"/>
      <c r="BR8" s="32"/>
      <c r="BS8" s="33"/>
    </row>
    <row r="9" customFormat="false" ht="15" hidden="false" customHeight="false" outlineLevel="0" collapsed="false">
      <c r="J9" s="32"/>
      <c r="N9" s="32"/>
      <c r="P9" s="32"/>
      <c r="R9" s="32"/>
      <c r="S9" s="32"/>
      <c r="T9" s="32"/>
      <c r="U9" s="32"/>
      <c r="V9" s="32"/>
      <c r="W9" s="32"/>
      <c r="Y9" s="32"/>
      <c r="AA9" s="32"/>
      <c r="AD9" s="32"/>
      <c r="AH9" s="33"/>
      <c r="AJ9" s="33"/>
      <c r="AK9" s="35" t="str">
        <f aca="false">IF(ISNUMBER(AW9),AW9,"")</f>
        <v/>
      </c>
      <c r="AL9" s="33"/>
      <c r="AM9" s="33"/>
      <c r="AN9" s="33"/>
      <c r="AT9" s="32"/>
      <c r="AW9" s="33"/>
      <c r="AY9" s="33"/>
      <c r="BA9" s="33"/>
      <c r="BB9" s="32"/>
      <c r="BD9" s="32"/>
      <c r="BK9" s="32"/>
      <c r="BL9" s="32"/>
      <c r="BM9" s="32"/>
      <c r="BN9" s="32"/>
      <c r="BO9" s="32"/>
      <c r="BP9" s="32"/>
      <c r="BQ9" s="32"/>
      <c r="BR9" s="32"/>
      <c r="BS9" s="33"/>
    </row>
    <row r="10" customFormat="false" ht="15" hidden="false" customHeight="false" outlineLevel="0" collapsed="false">
      <c r="J10" s="32"/>
      <c r="N10" s="32"/>
      <c r="P10" s="32"/>
      <c r="R10" s="32"/>
      <c r="S10" s="32"/>
      <c r="T10" s="32"/>
      <c r="U10" s="32"/>
      <c r="V10" s="32"/>
      <c r="W10" s="32"/>
      <c r="Y10" s="32"/>
      <c r="AA10" s="32"/>
      <c r="AD10" s="32"/>
      <c r="AH10" s="33"/>
      <c r="AJ10" s="33"/>
      <c r="AK10" s="35" t="str">
        <f aca="false">IF(ISNUMBER(AW10),AW10,"")</f>
        <v/>
      </c>
      <c r="AL10" s="33"/>
      <c r="AM10" s="33"/>
      <c r="AN10" s="33"/>
      <c r="AT10" s="32"/>
      <c r="AW10" s="33"/>
      <c r="AY10" s="33"/>
      <c r="BA10" s="33"/>
      <c r="BB10" s="32"/>
      <c r="BD10" s="32"/>
      <c r="BK10" s="32"/>
      <c r="BL10" s="32"/>
      <c r="BM10" s="32"/>
      <c r="BN10" s="32"/>
      <c r="BO10" s="32"/>
      <c r="BP10" s="32"/>
      <c r="BQ10" s="32"/>
      <c r="BR10" s="32"/>
      <c r="BS10" s="33"/>
    </row>
    <row r="11" customFormat="false" ht="15" hidden="false" customHeight="false" outlineLevel="0" collapsed="false">
      <c r="J11" s="32"/>
      <c r="N11" s="32"/>
      <c r="P11" s="32"/>
      <c r="R11" s="32"/>
      <c r="S11" s="32"/>
      <c r="T11" s="32"/>
      <c r="U11" s="32"/>
      <c r="V11" s="32"/>
      <c r="W11" s="32"/>
      <c r="Y11" s="32"/>
      <c r="AA11" s="32"/>
      <c r="AD11" s="32"/>
      <c r="AH11" s="33"/>
      <c r="AJ11" s="33"/>
      <c r="AK11" s="35" t="str">
        <f aca="false">IF(ISNUMBER(AW11),AW11,"")</f>
        <v/>
      </c>
      <c r="AL11" s="33"/>
      <c r="AM11" s="33"/>
      <c r="AN11" s="33"/>
      <c r="AT11" s="32"/>
      <c r="AW11" s="33"/>
      <c r="AY11" s="33"/>
      <c r="BA11" s="33"/>
      <c r="BB11" s="32"/>
      <c r="BD11" s="32"/>
      <c r="BK11" s="32"/>
      <c r="BL11" s="32"/>
      <c r="BM11" s="32"/>
      <c r="BN11" s="32"/>
      <c r="BO11" s="32"/>
      <c r="BP11" s="32"/>
      <c r="BQ11" s="32"/>
      <c r="BR11" s="32"/>
      <c r="BS11" s="33"/>
    </row>
    <row r="12" customFormat="false" ht="15" hidden="false" customHeight="false" outlineLevel="0" collapsed="false">
      <c r="J12" s="32"/>
      <c r="N12" s="32"/>
      <c r="P12" s="32"/>
      <c r="R12" s="32"/>
      <c r="S12" s="32"/>
      <c r="T12" s="32"/>
      <c r="U12" s="32"/>
      <c r="V12" s="32"/>
      <c r="W12" s="32"/>
      <c r="Y12" s="32"/>
      <c r="AA12" s="32"/>
      <c r="AD12" s="32"/>
      <c r="AH12" s="33"/>
      <c r="AJ12" s="33"/>
      <c r="AK12" s="35" t="str">
        <f aca="false">IF(ISNUMBER(AW12),AW12,"")</f>
        <v/>
      </c>
      <c r="AL12" s="33"/>
      <c r="AM12" s="33"/>
      <c r="AN12" s="33"/>
      <c r="AT12" s="32"/>
      <c r="AW12" s="33"/>
      <c r="AY12" s="33"/>
      <c r="BA12" s="33"/>
      <c r="BB12" s="32"/>
      <c r="BD12" s="32"/>
      <c r="BK12" s="32"/>
      <c r="BL12" s="32"/>
      <c r="BM12" s="32"/>
      <c r="BN12" s="32"/>
      <c r="BO12" s="32"/>
      <c r="BP12" s="32"/>
      <c r="BQ12" s="32"/>
      <c r="BR12" s="32"/>
      <c r="BS12" s="33"/>
    </row>
    <row r="13" customFormat="false" ht="15" hidden="false" customHeight="false" outlineLevel="0" collapsed="false">
      <c r="J13" s="32"/>
      <c r="N13" s="32"/>
      <c r="P13" s="32"/>
      <c r="R13" s="32"/>
      <c r="S13" s="32"/>
      <c r="T13" s="32"/>
      <c r="U13" s="32"/>
      <c r="V13" s="32"/>
      <c r="W13" s="32"/>
      <c r="Y13" s="32"/>
      <c r="AA13" s="32"/>
      <c r="AD13" s="32"/>
      <c r="AH13" s="33"/>
      <c r="AJ13" s="33"/>
      <c r="AK13" s="35" t="str">
        <f aca="false">IF(ISNUMBER(AW13),AW13,"")</f>
        <v/>
      </c>
      <c r="AL13" s="33"/>
      <c r="AM13" s="33"/>
      <c r="AN13" s="33"/>
      <c r="AT13" s="32"/>
      <c r="AW13" s="33"/>
      <c r="AY13" s="33"/>
      <c r="BA13" s="33"/>
      <c r="BB13" s="32"/>
      <c r="BD13" s="32"/>
      <c r="BK13" s="32"/>
      <c r="BL13" s="32"/>
      <c r="BM13" s="32"/>
      <c r="BN13" s="32"/>
      <c r="BO13" s="32"/>
      <c r="BP13" s="32"/>
      <c r="BQ13" s="32"/>
      <c r="BR13" s="32"/>
      <c r="BS13" s="33"/>
    </row>
    <row r="14" customFormat="false" ht="15" hidden="false" customHeight="false" outlineLevel="0" collapsed="false">
      <c r="J14" s="32"/>
      <c r="N14" s="32"/>
      <c r="P14" s="32"/>
      <c r="R14" s="32"/>
      <c r="S14" s="32"/>
      <c r="T14" s="32"/>
      <c r="U14" s="32"/>
      <c r="V14" s="32"/>
      <c r="W14" s="32"/>
      <c r="Y14" s="32"/>
      <c r="AA14" s="32"/>
      <c r="AD14" s="32"/>
      <c r="AH14" s="33"/>
      <c r="AJ14" s="33"/>
      <c r="AK14" s="35" t="str">
        <f aca="false">IF(ISNUMBER(AW14),AW14,"")</f>
        <v/>
      </c>
      <c r="AL14" s="33"/>
      <c r="AM14" s="33"/>
      <c r="AN14" s="33"/>
      <c r="AT14" s="32"/>
      <c r="AW14" s="33"/>
      <c r="AY14" s="33"/>
      <c r="BA14" s="33"/>
      <c r="BB14" s="32"/>
      <c r="BD14" s="32"/>
      <c r="BK14" s="32"/>
      <c r="BL14" s="32"/>
      <c r="BM14" s="32"/>
      <c r="BN14" s="32"/>
      <c r="BO14" s="32"/>
      <c r="BP14" s="32"/>
      <c r="BQ14" s="32"/>
      <c r="BR14" s="32"/>
      <c r="BS14" s="33"/>
    </row>
    <row r="15" customFormat="false" ht="15" hidden="false" customHeight="false" outlineLevel="0" collapsed="false">
      <c r="J15" s="32"/>
      <c r="N15" s="32"/>
      <c r="P15" s="32"/>
      <c r="R15" s="32"/>
      <c r="S15" s="32"/>
      <c r="T15" s="32"/>
      <c r="U15" s="32"/>
      <c r="V15" s="32"/>
      <c r="W15" s="32"/>
      <c r="Y15" s="32"/>
      <c r="AA15" s="32"/>
      <c r="AD15" s="32"/>
      <c r="AH15" s="33"/>
      <c r="AJ15" s="33"/>
      <c r="AK15" s="35" t="str">
        <f aca="false">IF(ISNUMBER(AW15),AW15,"")</f>
        <v/>
      </c>
      <c r="AL15" s="33"/>
      <c r="AM15" s="33"/>
      <c r="AN15" s="33"/>
      <c r="AT15" s="32"/>
      <c r="AW15" s="33"/>
      <c r="AY15" s="33"/>
      <c r="BA15" s="33"/>
      <c r="BB15" s="32"/>
      <c r="BD15" s="32"/>
      <c r="BK15" s="32"/>
      <c r="BL15" s="32"/>
      <c r="BM15" s="32"/>
      <c r="BN15" s="32"/>
      <c r="BO15" s="32"/>
      <c r="BP15" s="32"/>
      <c r="BQ15" s="32"/>
      <c r="BR15" s="32"/>
      <c r="BS15" s="33"/>
    </row>
    <row r="16" customFormat="false" ht="15" hidden="false" customHeight="false" outlineLevel="0" collapsed="false">
      <c r="J16" s="32"/>
      <c r="N16" s="32"/>
      <c r="P16" s="32"/>
      <c r="R16" s="32"/>
      <c r="S16" s="32"/>
      <c r="T16" s="32"/>
      <c r="U16" s="32"/>
      <c r="V16" s="32"/>
      <c r="W16" s="32"/>
      <c r="Y16" s="32"/>
      <c r="AA16" s="32"/>
      <c r="AD16" s="32"/>
      <c r="AH16" s="33"/>
      <c r="AJ16" s="33"/>
      <c r="AK16" s="35" t="str">
        <f aca="false">IF(ISNUMBER(AW16),AW16,"")</f>
        <v/>
      </c>
      <c r="AL16" s="33"/>
      <c r="AM16" s="33"/>
      <c r="AN16" s="33"/>
      <c r="AT16" s="32"/>
      <c r="AW16" s="33"/>
      <c r="AY16" s="33"/>
      <c r="BA16" s="33"/>
      <c r="BB16" s="32"/>
      <c r="BD16" s="32"/>
      <c r="BK16" s="32"/>
      <c r="BL16" s="32"/>
      <c r="BM16" s="32"/>
      <c r="BN16" s="32"/>
      <c r="BO16" s="32"/>
      <c r="BP16" s="32"/>
      <c r="BQ16" s="32"/>
      <c r="BR16" s="32"/>
      <c r="BS16" s="33"/>
    </row>
    <row r="17" customFormat="false" ht="15" hidden="false" customHeight="false" outlineLevel="0" collapsed="false">
      <c r="J17" s="32"/>
      <c r="N17" s="32"/>
      <c r="P17" s="32"/>
      <c r="R17" s="32"/>
      <c r="S17" s="32"/>
      <c r="T17" s="32"/>
      <c r="U17" s="32"/>
      <c r="V17" s="32"/>
      <c r="W17" s="32"/>
      <c r="Y17" s="32"/>
      <c r="AA17" s="32"/>
      <c r="AD17" s="32"/>
      <c r="AH17" s="33"/>
      <c r="AJ17" s="33"/>
      <c r="AK17" s="35" t="str">
        <f aca="false">IF(ISNUMBER(AW17),AW17,"")</f>
        <v/>
      </c>
      <c r="AL17" s="33"/>
      <c r="AM17" s="33"/>
      <c r="AN17" s="33"/>
      <c r="AT17" s="32"/>
      <c r="AW17" s="33"/>
      <c r="AY17" s="33"/>
      <c r="BA17" s="33"/>
      <c r="BB17" s="32"/>
      <c r="BD17" s="32"/>
      <c r="BK17" s="32"/>
      <c r="BL17" s="32"/>
      <c r="BM17" s="32"/>
      <c r="BN17" s="32"/>
      <c r="BO17" s="32"/>
      <c r="BP17" s="32"/>
      <c r="BQ17" s="32"/>
      <c r="BR17" s="32"/>
      <c r="BS17" s="33"/>
    </row>
    <row r="18" customFormat="false" ht="15" hidden="false" customHeight="false" outlineLevel="0" collapsed="false">
      <c r="J18" s="32"/>
      <c r="N18" s="32"/>
      <c r="P18" s="32"/>
      <c r="R18" s="32"/>
      <c r="S18" s="32"/>
      <c r="T18" s="32"/>
      <c r="U18" s="32"/>
      <c r="V18" s="32"/>
      <c r="W18" s="32"/>
      <c r="Y18" s="32"/>
      <c r="AA18" s="32"/>
      <c r="AD18" s="32"/>
      <c r="AH18" s="33"/>
      <c r="AJ18" s="33"/>
      <c r="AK18" s="35" t="str">
        <f aca="false">IF(ISNUMBER(AW18),AW18,"")</f>
        <v/>
      </c>
      <c r="AL18" s="33"/>
      <c r="AM18" s="33"/>
      <c r="AN18" s="33"/>
      <c r="AT18" s="32"/>
      <c r="AW18" s="33"/>
      <c r="AY18" s="33"/>
      <c r="BA18" s="33"/>
      <c r="BB18" s="32"/>
      <c r="BD18" s="32"/>
      <c r="BK18" s="32"/>
      <c r="BL18" s="32"/>
      <c r="BM18" s="32"/>
      <c r="BN18" s="32"/>
      <c r="BO18" s="32"/>
      <c r="BP18" s="32"/>
      <c r="BQ18" s="32"/>
      <c r="BR18" s="32"/>
      <c r="BS18" s="33"/>
    </row>
    <row r="19" customFormat="false" ht="15" hidden="false" customHeight="false" outlineLevel="0" collapsed="false">
      <c r="J19" s="32"/>
      <c r="N19" s="32"/>
      <c r="P19" s="32"/>
      <c r="R19" s="32"/>
      <c r="S19" s="32"/>
      <c r="T19" s="32"/>
      <c r="U19" s="32"/>
      <c r="V19" s="32"/>
      <c r="W19" s="32"/>
      <c r="Y19" s="32"/>
      <c r="AA19" s="32"/>
      <c r="AD19" s="32"/>
      <c r="AH19" s="33"/>
      <c r="AJ19" s="33"/>
      <c r="AK19" s="35" t="str">
        <f aca="false">IF(ISNUMBER(AW19),AW19,"")</f>
        <v/>
      </c>
      <c r="AL19" s="33"/>
      <c r="AM19" s="33"/>
      <c r="AN19" s="33"/>
      <c r="AT19" s="32"/>
      <c r="AW19" s="33"/>
      <c r="AY19" s="33"/>
      <c r="BA19" s="33"/>
      <c r="BB19" s="32"/>
      <c r="BD19" s="32"/>
      <c r="BK19" s="32"/>
      <c r="BL19" s="32"/>
      <c r="BM19" s="32"/>
      <c r="BN19" s="32"/>
      <c r="BO19" s="32"/>
      <c r="BP19" s="32"/>
      <c r="BQ19" s="32"/>
      <c r="BR19" s="32"/>
      <c r="BS19" s="33"/>
    </row>
    <row r="20" customFormat="false" ht="15" hidden="false" customHeight="false" outlineLevel="0" collapsed="false">
      <c r="J20" s="32"/>
      <c r="N20" s="32"/>
      <c r="P20" s="32"/>
      <c r="R20" s="32"/>
      <c r="S20" s="32"/>
      <c r="T20" s="32"/>
      <c r="U20" s="32"/>
      <c r="V20" s="32"/>
      <c r="W20" s="32"/>
      <c r="Y20" s="32"/>
      <c r="AA20" s="32"/>
      <c r="AD20" s="32"/>
      <c r="AH20" s="33"/>
      <c r="AJ20" s="33"/>
      <c r="AK20" s="35" t="str">
        <f aca="false">IF(ISNUMBER(AW20),AW20,"")</f>
        <v/>
      </c>
      <c r="AL20" s="33"/>
      <c r="AM20" s="33"/>
      <c r="AN20" s="33"/>
      <c r="AT20" s="32"/>
      <c r="AW20" s="33"/>
      <c r="AY20" s="33"/>
      <c r="BA20" s="33"/>
      <c r="BB20" s="32"/>
      <c r="BD20" s="32"/>
      <c r="BK20" s="32"/>
      <c r="BL20" s="32"/>
      <c r="BM20" s="32"/>
      <c r="BN20" s="32"/>
      <c r="BO20" s="32"/>
      <c r="BP20" s="32"/>
      <c r="BQ20" s="32"/>
      <c r="BR20" s="32"/>
      <c r="BS20" s="33"/>
    </row>
    <row r="21" customFormat="false" ht="15" hidden="false" customHeight="false" outlineLevel="0" collapsed="false">
      <c r="J21" s="32"/>
      <c r="N21" s="32"/>
      <c r="P21" s="32"/>
      <c r="R21" s="32"/>
      <c r="S21" s="32"/>
      <c r="T21" s="32"/>
      <c r="U21" s="32"/>
      <c r="V21" s="32"/>
      <c r="W21" s="32"/>
      <c r="Y21" s="32"/>
      <c r="AA21" s="32"/>
      <c r="AD21" s="32"/>
      <c r="AH21" s="33"/>
      <c r="AJ21" s="33"/>
      <c r="AK21" s="35" t="str">
        <f aca="false">IF(ISNUMBER(AW21),AW21,"")</f>
        <v/>
      </c>
      <c r="AL21" s="33"/>
      <c r="AM21" s="33"/>
      <c r="AN21" s="33"/>
      <c r="AT21" s="32"/>
      <c r="AW21" s="33"/>
      <c r="AY21" s="33"/>
      <c r="BA21" s="33"/>
      <c r="BB21" s="32"/>
      <c r="BD21" s="32"/>
      <c r="BK21" s="32"/>
      <c r="BL21" s="32"/>
      <c r="BM21" s="32"/>
      <c r="BN21" s="32"/>
      <c r="BO21" s="32"/>
      <c r="BP21" s="32"/>
      <c r="BQ21" s="32"/>
      <c r="BR21" s="32"/>
      <c r="BS21" s="33"/>
    </row>
    <row r="22" customFormat="false" ht="15" hidden="false" customHeight="false" outlineLevel="0" collapsed="false">
      <c r="J22" s="32"/>
      <c r="N22" s="32"/>
      <c r="P22" s="32"/>
      <c r="R22" s="32"/>
      <c r="S22" s="32"/>
      <c r="T22" s="32"/>
      <c r="U22" s="32"/>
      <c r="V22" s="32"/>
      <c r="W22" s="32"/>
      <c r="Y22" s="32"/>
      <c r="AA22" s="32"/>
      <c r="AD22" s="32"/>
      <c r="AH22" s="33"/>
      <c r="AJ22" s="33"/>
      <c r="AK22" s="35" t="str">
        <f aca="false">IF(ISNUMBER(AW22),AW22,"")</f>
        <v/>
      </c>
      <c r="AL22" s="33"/>
      <c r="AM22" s="33"/>
      <c r="AN22" s="33"/>
      <c r="AT22" s="32"/>
      <c r="AW22" s="33"/>
      <c r="AY22" s="33"/>
      <c r="BA22" s="33"/>
      <c r="BB22" s="32"/>
      <c r="BD22" s="32"/>
      <c r="BK22" s="32"/>
      <c r="BL22" s="32"/>
      <c r="BM22" s="32"/>
      <c r="BN22" s="32"/>
      <c r="BO22" s="32"/>
      <c r="BP22" s="32"/>
      <c r="BQ22" s="32"/>
      <c r="BR22" s="32"/>
      <c r="BS22" s="33"/>
    </row>
    <row r="23" customFormat="false" ht="15" hidden="false" customHeight="false" outlineLevel="0" collapsed="false">
      <c r="J23" s="32"/>
      <c r="N23" s="32"/>
      <c r="P23" s="32"/>
      <c r="R23" s="32"/>
      <c r="S23" s="32"/>
      <c r="T23" s="32"/>
      <c r="U23" s="32"/>
      <c r="V23" s="32"/>
      <c r="W23" s="32"/>
      <c r="Y23" s="32"/>
      <c r="AA23" s="32"/>
      <c r="AD23" s="32"/>
      <c r="AH23" s="33"/>
      <c r="AJ23" s="33"/>
      <c r="AK23" s="35" t="str">
        <f aca="false">IF(ISNUMBER(AW23),AW23,"")</f>
        <v/>
      </c>
      <c r="AL23" s="33"/>
      <c r="AM23" s="33"/>
      <c r="AN23" s="33"/>
      <c r="AT23" s="32"/>
      <c r="AW23" s="33"/>
      <c r="AY23" s="33"/>
      <c r="BA23" s="33"/>
      <c r="BB23" s="32"/>
      <c r="BD23" s="32"/>
      <c r="BK23" s="32"/>
      <c r="BL23" s="32"/>
      <c r="BM23" s="32"/>
      <c r="BN23" s="32"/>
      <c r="BO23" s="32"/>
      <c r="BP23" s="32"/>
      <c r="BQ23" s="32"/>
      <c r="BR23" s="32"/>
      <c r="BS23" s="33"/>
    </row>
    <row r="24" customFormat="false" ht="15" hidden="false" customHeight="false" outlineLevel="0" collapsed="false">
      <c r="J24" s="32"/>
      <c r="N24" s="32"/>
      <c r="P24" s="32"/>
      <c r="R24" s="32"/>
      <c r="S24" s="32"/>
      <c r="T24" s="32"/>
      <c r="U24" s="32"/>
      <c r="V24" s="32"/>
      <c r="W24" s="32"/>
      <c r="Y24" s="32"/>
      <c r="AA24" s="32"/>
      <c r="AD24" s="32"/>
      <c r="AH24" s="33"/>
      <c r="AJ24" s="33"/>
      <c r="AK24" s="35" t="str">
        <f aca="false">IF(ISNUMBER(AW24),AW24,"")</f>
        <v/>
      </c>
      <c r="AL24" s="33"/>
      <c r="AM24" s="33"/>
      <c r="AN24" s="33"/>
      <c r="AT24" s="32"/>
      <c r="AW24" s="33"/>
      <c r="AY24" s="33"/>
      <c r="BA24" s="33"/>
      <c r="BB24" s="32"/>
      <c r="BD24" s="32"/>
      <c r="BK24" s="32"/>
      <c r="BL24" s="32"/>
      <c r="BM24" s="32"/>
      <c r="BN24" s="32"/>
      <c r="BO24" s="32"/>
      <c r="BP24" s="32"/>
      <c r="BQ24" s="32"/>
      <c r="BR24" s="32"/>
      <c r="BS24" s="33"/>
    </row>
    <row r="25" customFormat="false" ht="15" hidden="false" customHeight="false" outlineLevel="0" collapsed="false">
      <c r="J25" s="32"/>
      <c r="N25" s="32"/>
      <c r="P25" s="32"/>
      <c r="R25" s="32"/>
      <c r="S25" s="32"/>
      <c r="T25" s="32"/>
      <c r="U25" s="32"/>
      <c r="V25" s="32"/>
      <c r="W25" s="32"/>
      <c r="Y25" s="32"/>
      <c r="AA25" s="32"/>
      <c r="AD25" s="32"/>
      <c r="AH25" s="33"/>
      <c r="AJ25" s="33"/>
      <c r="AK25" s="35" t="str">
        <f aca="false">IF(ISNUMBER(AW25),AW25,"")</f>
        <v/>
      </c>
      <c r="AL25" s="33"/>
      <c r="AM25" s="33"/>
      <c r="AN25" s="33"/>
      <c r="AT25" s="32"/>
      <c r="AW25" s="33"/>
      <c r="AY25" s="33"/>
      <c r="BA25" s="33"/>
      <c r="BB25" s="32"/>
      <c r="BD25" s="32"/>
      <c r="BK25" s="32"/>
      <c r="BL25" s="32"/>
      <c r="BM25" s="32"/>
      <c r="BN25" s="32"/>
      <c r="BO25" s="32"/>
      <c r="BP25" s="32"/>
      <c r="BQ25" s="32"/>
      <c r="BR25" s="32"/>
      <c r="BS25" s="33"/>
    </row>
    <row r="26" customFormat="false" ht="15" hidden="false" customHeight="false" outlineLevel="0" collapsed="false">
      <c r="J26" s="32"/>
      <c r="N26" s="32"/>
      <c r="P26" s="32"/>
      <c r="R26" s="32"/>
      <c r="S26" s="32"/>
      <c r="T26" s="32"/>
      <c r="U26" s="32"/>
      <c r="V26" s="32"/>
      <c r="W26" s="32"/>
      <c r="Y26" s="32"/>
      <c r="AA26" s="32"/>
      <c r="AD26" s="32"/>
      <c r="AH26" s="33"/>
      <c r="AJ26" s="33"/>
      <c r="AK26" s="35" t="str">
        <f aca="false">IF(ISNUMBER(AW26),AW26,"")</f>
        <v/>
      </c>
      <c r="AL26" s="33"/>
      <c r="AM26" s="33"/>
      <c r="AN26" s="33"/>
      <c r="AT26" s="32"/>
      <c r="AW26" s="33"/>
      <c r="AY26" s="33"/>
      <c r="BA26" s="33"/>
      <c r="BB26" s="32"/>
      <c r="BD26" s="32"/>
      <c r="BK26" s="32"/>
      <c r="BL26" s="32"/>
      <c r="BM26" s="32"/>
      <c r="BN26" s="32"/>
      <c r="BO26" s="32"/>
      <c r="BP26" s="32"/>
      <c r="BQ26" s="32"/>
      <c r="BR26" s="32"/>
      <c r="BS26" s="33"/>
    </row>
    <row r="27" customFormat="false" ht="15" hidden="false" customHeight="false" outlineLevel="0" collapsed="false">
      <c r="J27" s="32"/>
      <c r="N27" s="32"/>
      <c r="P27" s="32"/>
      <c r="R27" s="32"/>
      <c r="S27" s="32"/>
      <c r="T27" s="32"/>
      <c r="U27" s="32"/>
      <c r="V27" s="32"/>
      <c r="W27" s="32"/>
      <c r="Y27" s="32"/>
      <c r="AA27" s="32"/>
      <c r="AD27" s="32"/>
      <c r="AH27" s="33"/>
      <c r="AJ27" s="33"/>
      <c r="AK27" s="35" t="str">
        <f aca="false">IF(ISNUMBER(AW27),AW27,"")</f>
        <v/>
      </c>
      <c r="AL27" s="33"/>
      <c r="AM27" s="33"/>
      <c r="AN27" s="33"/>
      <c r="AT27" s="32"/>
      <c r="AW27" s="33"/>
      <c r="AY27" s="33"/>
      <c r="BA27" s="33"/>
      <c r="BB27" s="32"/>
      <c r="BD27" s="32"/>
      <c r="BK27" s="32"/>
      <c r="BL27" s="32"/>
      <c r="BM27" s="32"/>
      <c r="BN27" s="32"/>
      <c r="BO27" s="32"/>
      <c r="BP27" s="32"/>
      <c r="BQ27" s="32"/>
      <c r="BR27" s="32"/>
      <c r="BS27" s="33"/>
    </row>
    <row r="28" customFormat="false" ht="15" hidden="false" customHeight="false" outlineLevel="0" collapsed="false">
      <c r="J28" s="32"/>
      <c r="N28" s="32"/>
      <c r="P28" s="32"/>
      <c r="R28" s="32"/>
      <c r="S28" s="32"/>
      <c r="T28" s="32"/>
      <c r="U28" s="32"/>
      <c r="V28" s="32"/>
      <c r="W28" s="32"/>
      <c r="Y28" s="32"/>
      <c r="AA28" s="32"/>
      <c r="AD28" s="32"/>
      <c r="AH28" s="33"/>
      <c r="AJ28" s="33"/>
      <c r="AK28" s="35" t="str">
        <f aca="false">IF(ISNUMBER(AW28),AW28,"")</f>
        <v/>
      </c>
      <c r="AL28" s="33"/>
      <c r="AM28" s="33"/>
      <c r="AN28" s="33"/>
      <c r="AT28" s="32"/>
      <c r="AW28" s="33"/>
      <c r="AY28" s="33"/>
      <c r="BA28" s="33"/>
      <c r="BB28" s="32"/>
      <c r="BD28" s="32"/>
      <c r="BK28" s="32"/>
      <c r="BL28" s="32"/>
      <c r="BM28" s="32"/>
      <c r="BN28" s="32"/>
      <c r="BO28" s="32"/>
      <c r="BP28" s="32"/>
      <c r="BQ28" s="32"/>
      <c r="BR28" s="32"/>
      <c r="BS28" s="33"/>
    </row>
    <row r="29" customFormat="false" ht="15" hidden="false" customHeight="false" outlineLevel="0" collapsed="false">
      <c r="J29" s="32"/>
      <c r="N29" s="32"/>
      <c r="P29" s="32"/>
      <c r="R29" s="32"/>
      <c r="S29" s="32"/>
      <c r="T29" s="32"/>
      <c r="U29" s="32"/>
      <c r="V29" s="32"/>
      <c r="W29" s="32"/>
      <c r="Y29" s="32"/>
      <c r="AA29" s="32"/>
      <c r="AD29" s="32"/>
      <c r="AH29" s="33"/>
      <c r="AJ29" s="33"/>
      <c r="AK29" s="35" t="str">
        <f aca="false">IF(ISNUMBER(AW29),AW29,"")</f>
        <v/>
      </c>
      <c r="AL29" s="33"/>
      <c r="AM29" s="33"/>
      <c r="AN29" s="33"/>
      <c r="AT29" s="32"/>
      <c r="AW29" s="33"/>
      <c r="AY29" s="33"/>
      <c r="BA29" s="33"/>
      <c r="BB29" s="32"/>
      <c r="BD29" s="32"/>
      <c r="BK29" s="32"/>
      <c r="BL29" s="32"/>
      <c r="BM29" s="32"/>
      <c r="BN29" s="32"/>
      <c r="BO29" s="32"/>
      <c r="BP29" s="32"/>
      <c r="BQ29" s="32"/>
      <c r="BR29" s="32"/>
      <c r="BS29" s="33"/>
    </row>
    <row r="30" customFormat="false" ht="15" hidden="false" customHeight="false" outlineLevel="0" collapsed="false">
      <c r="J30" s="32"/>
      <c r="N30" s="32"/>
      <c r="P30" s="32"/>
      <c r="R30" s="32"/>
      <c r="S30" s="32"/>
      <c r="T30" s="32"/>
      <c r="U30" s="32"/>
      <c r="V30" s="32"/>
      <c r="W30" s="32"/>
      <c r="Y30" s="32"/>
      <c r="AA30" s="32"/>
      <c r="AD30" s="32"/>
      <c r="AH30" s="33"/>
      <c r="AJ30" s="33"/>
      <c r="AK30" s="35" t="str">
        <f aca="false">IF(ISNUMBER(AW30),AW30,"")</f>
        <v/>
      </c>
      <c r="AL30" s="33"/>
      <c r="AM30" s="33"/>
      <c r="AN30" s="33"/>
      <c r="AT30" s="32"/>
      <c r="AW30" s="33"/>
      <c r="AY30" s="33"/>
      <c r="BA30" s="33"/>
      <c r="BB30" s="32"/>
      <c r="BD30" s="32"/>
      <c r="BK30" s="32"/>
      <c r="BL30" s="32"/>
      <c r="BM30" s="32"/>
      <c r="BN30" s="32"/>
      <c r="BO30" s="32"/>
      <c r="BP30" s="32"/>
      <c r="BQ30" s="32"/>
      <c r="BR30" s="32"/>
      <c r="BS30" s="33"/>
    </row>
    <row r="31" customFormat="false" ht="15" hidden="false" customHeight="false" outlineLevel="0" collapsed="false">
      <c r="J31" s="32"/>
      <c r="N31" s="32"/>
      <c r="P31" s="32"/>
      <c r="R31" s="32"/>
      <c r="S31" s="32"/>
      <c r="T31" s="32"/>
      <c r="U31" s="32"/>
      <c r="V31" s="32"/>
      <c r="W31" s="32"/>
      <c r="Y31" s="32"/>
      <c r="AA31" s="32"/>
      <c r="AD31" s="32"/>
      <c r="AH31" s="33"/>
      <c r="AJ31" s="33"/>
      <c r="AK31" s="35" t="str">
        <f aca="false">IF(ISNUMBER(AW31),AW31,"")</f>
        <v/>
      </c>
      <c r="AL31" s="33"/>
      <c r="AM31" s="33"/>
      <c r="AN31" s="33"/>
      <c r="AT31" s="32"/>
      <c r="AW31" s="33"/>
      <c r="AY31" s="33"/>
      <c r="BA31" s="33"/>
      <c r="BB31" s="32"/>
      <c r="BD31" s="32"/>
      <c r="BK31" s="32"/>
      <c r="BL31" s="32"/>
      <c r="BM31" s="32"/>
      <c r="BN31" s="32"/>
      <c r="BO31" s="32"/>
      <c r="BP31" s="32"/>
      <c r="BQ31" s="32"/>
      <c r="BR31" s="32"/>
      <c r="BS31" s="33"/>
    </row>
    <row r="32" customFormat="false" ht="15" hidden="false" customHeight="false" outlineLevel="0" collapsed="false">
      <c r="J32" s="32"/>
      <c r="N32" s="32"/>
      <c r="P32" s="32"/>
      <c r="R32" s="32"/>
      <c r="S32" s="32"/>
      <c r="T32" s="32"/>
      <c r="U32" s="32"/>
      <c r="V32" s="32"/>
      <c r="W32" s="32"/>
      <c r="Y32" s="32"/>
      <c r="AA32" s="32"/>
      <c r="AD32" s="32"/>
      <c r="AH32" s="33"/>
      <c r="AJ32" s="33"/>
      <c r="AK32" s="35" t="str">
        <f aca="false">IF(ISNUMBER(AW32),AW32,"")</f>
        <v/>
      </c>
      <c r="AL32" s="33"/>
      <c r="AM32" s="33"/>
      <c r="AN32" s="33"/>
      <c r="AT32" s="32"/>
      <c r="AW32" s="33"/>
      <c r="AY32" s="33"/>
      <c r="BA32" s="33"/>
      <c r="BB32" s="32"/>
      <c r="BD32" s="32"/>
      <c r="BK32" s="32"/>
      <c r="BL32" s="32"/>
      <c r="BM32" s="32"/>
      <c r="BN32" s="32"/>
      <c r="BO32" s="32"/>
      <c r="BP32" s="32"/>
      <c r="BQ32" s="32"/>
      <c r="BR32" s="32"/>
      <c r="BS32" s="33"/>
    </row>
    <row r="33" customFormat="false" ht="15" hidden="false" customHeight="false" outlineLevel="0" collapsed="false">
      <c r="J33" s="32"/>
      <c r="N33" s="32"/>
      <c r="P33" s="32"/>
      <c r="R33" s="32"/>
      <c r="S33" s="32"/>
      <c r="T33" s="32"/>
      <c r="U33" s="32"/>
      <c r="V33" s="32"/>
      <c r="W33" s="32"/>
      <c r="Y33" s="32"/>
      <c r="AA33" s="32"/>
      <c r="AD33" s="32"/>
      <c r="AH33" s="33"/>
      <c r="AJ33" s="33"/>
      <c r="AK33" s="35" t="str">
        <f aca="false">IF(ISNUMBER(AW33),AW33,"")</f>
        <v/>
      </c>
      <c r="AL33" s="33"/>
      <c r="AM33" s="33"/>
      <c r="AN33" s="33"/>
      <c r="AT33" s="32"/>
      <c r="AW33" s="33"/>
      <c r="AY33" s="33"/>
      <c r="BA33" s="33"/>
      <c r="BB33" s="32"/>
      <c r="BD33" s="32"/>
      <c r="BK33" s="32"/>
      <c r="BL33" s="32"/>
      <c r="BM33" s="32"/>
      <c r="BN33" s="32"/>
      <c r="BO33" s="32"/>
      <c r="BP33" s="32"/>
      <c r="BQ33" s="32"/>
      <c r="BR33" s="32"/>
      <c r="BS33" s="33"/>
    </row>
    <row r="34" customFormat="false" ht="15" hidden="false" customHeight="false" outlineLevel="0" collapsed="false">
      <c r="J34" s="32"/>
      <c r="N34" s="32"/>
      <c r="P34" s="32"/>
      <c r="R34" s="32"/>
      <c r="S34" s="32"/>
      <c r="T34" s="32"/>
      <c r="U34" s="32"/>
      <c r="V34" s="32"/>
      <c r="W34" s="32"/>
      <c r="Y34" s="32"/>
      <c r="AA34" s="32"/>
      <c r="AD34" s="32"/>
      <c r="AH34" s="33"/>
      <c r="AJ34" s="33"/>
      <c r="AK34" s="35" t="str">
        <f aca="false">IF(ISNUMBER(AW34),AW34,"")</f>
        <v/>
      </c>
      <c r="AL34" s="33"/>
      <c r="AM34" s="33"/>
      <c r="AN34" s="33"/>
      <c r="AT34" s="32"/>
      <c r="AW34" s="33"/>
      <c r="AY34" s="33"/>
      <c r="BA34" s="33"/>
      <c r="BB34" s="32"/>
      <c r="BD34" s="32"/>
      <c r="BK34" s="32"/>
      <c r="BL34" s="32"/>
      <c r="BM34" s="32"/>
      <c r="BN34" s="32"/>
      <c r="BO34" s="32"/>
      <c r="BP34" s="32"/>
      <c r="BQ34" s="32"/>
      <c r="BR34" s="32"/>
      <c r="BS34" s="33"/>
    </row>
    <row r="35" customFormat="false" ht="15" hidden="false" customHeight="false" outlineLevel="0" collapsed="false">
      <c r="J35" s="32"/>
      <c r="N35" s="32"/>
      <c r="P35" s="32"/>
      <c r="R35" s="32"/>
      <c r="S35" s="32"/>
      <c r="T35" s="32"/>
      <c r="U35" s="32"/>
      <c r="V35" s="32"/>
      <c r="W35" s="32"/>
      <c r="Y35" s="32"/>
      <c r="AA35" s="32"/>
      <c r="AD35" s="32"/>
      <c r="AH35" s="33"/>
      <c r="AJ35" s="33"/>
      <c r="AK35" s="35" t="str">
        <f aca="false">IF(ISNUMBER(AW35),AW35,"")</f>
        <v/>
      </c>
      <c r="AL35" s="33"/>
      <c r="AM35" s="33"/>
      <c r="AN35" s="33"/>
      <c r="AT35" s="32"/>
      <c r="AW35" s="33"/>
      <c r="AY35" s="33"/>
      <c r="BA35" s="33"/>
      <c r="BB35" s="32"/>
      <c r="BD35" s="32"/>
      <c r="BK35" s="32"/>
      <c r="BL35" s="32"/>
      <c r="BM35" s="32"/>
      <c r="BN35" s="32"/>
      <c r="BO35" s="32"/>
      <c r="BP35" s="32"/>
      <c r="BQ35" s="32"/>
      <c r="BR35" s="32"/>
      <c r="BS35" s="33"/>
    </row>
    <row r="36" customFormat="false" ht="15" hidden="false" customHeight="false" outlineLevel="0" collapsed="false">
      <c r="J36" s="32"/>
      <c r="N36" s="32"/>
      <c r="P36" s="32"/>
      <c r="R36" s="32"/>
      <c r="S36" s="32"/>
      <c r="T36" s="32"/>
      <c r="U36" s="32"/>
      <c r="V36" s="32"/>
      <c r="W36" s="32"/>
      <c r="Y36" s="32"/>
      <c r="AA36" s="32"/>
      <c r="AD36" s="32"/>
      <c r="AH36" s="33"/>
      <c r="AJ36" s="33"/>
      <c r="AK36" s="35" t="str">
        <f aca="false">IF(ISNUMBER(AW36),AW36,"")</f>
        <v/>
      </c>
      <c r="AL36" s="33"/>
      <c r="AM36" s="33"/>
      <c r="AN36" s="33"/>
      <c r="AT36" s="32"/>
      <c r="AW36" s="33"/>
      <c r="AY36" s="33"/>
      <c r="BA36" s="33"/>
      <c r="BB36" s="32"/>
      <c r="BD36" s="32"/>
      <c r="BK36" s="32"/>
      <c r="BL36" s="32"/>
      <c r="BM36" s="32"/>
      <c r="BN36" s="32"/>
      <c r="BO36" s="32"/>
      <c r="BP36" s="32"/>
      <c r="BQ36" s="32"/>
      <c r="BR36" s="32"/>
      <c r="BS36" s="33"/>
    </row>
    <row r="37" customFormat="false" ht="15" hidden="false" customHeight="false" outlineLevel="0" collapsed="false">
      <c r="J37" s="32"/>
      <c r="N37" s="32"/>
      <c r="P37" s="32"/>
      <c r="R37" s="32"/>
      <c r="S37" s="32"/>
      <c r="T37" s="32"/>
      <c r="U37" s="32"/>
      <c r="V37" s="32"/>
      <c r="W37" s="32"/>
      <c r="Y37" s="32"/>
      <c r="AA37" s="32"/>
      <c r="AD37" s="32"/>
      <c r="AH37" s="33"/>
      <c r="AJ37" s="33"/>
      <c r="AK37" s="35" t="str">
        <f aca="false">IF(ISNUMBER(AW37),AW37,"")</f>
        <v/>
      </c>
      <c r="AL37" s="33"/>
      <c r="AM37" s="33"/>
      <c r="AN37" s="33"/>
      <c r="AT37" s="32"/>
      <c r="AW37" s="33"/>
      <c r="AY37" s="33"/>
      <c r="BA37" s="33"/>
      <c r="BB37" s="32"/>
      <c r="BD37" s="32"/>
      <c r="BK37" s="32"/>
      <c r="BL37" s="32"/>
      <c r="BM37" s="32"/>
      <c r="BN37" s="32"/>
      <c r="BO37" s="32"/>
      <c r="BP37" s="32"/>
      <c r="BQ37" s="32"/>
      <c r="BR37" s="32"/>
      <c r="BS37" s="33"/>
    </row>
    <row r="38" customFormat="false" ht="15" hidden="false" customHeight="false" outlineLevel="0" collapsed="false">
      <c r="J38" s="32"/>
      <c r="N38" s="32"/>
      <c r="P38" s="32"/>
      <c r="R38" s="32"/>
      <c r="S38" s="32"/>
      <c r="T38" s="32"/>
      <c r="U38" s="32"/>
      <c r="V38" s="32"/>
      <c r="W38" s="32"/>
      <c r="Y38" s="32"/>
      <c r="AA38" s="32"/>
      <c r="AD38" s="32"/>
      <c r="AH38" s="33"/>
      <c r="AJ38" s="33"/>
      <c r="AK38" s="35" t="str">
        <f aca="false">IF(ISNUMBER(AW38),AW38,"")</f>
        <v/>
      </c>
      <c r="AL38" s="33"/>
      <c r="AM38" s="33"/>
      <c r="AN38" s="33"/>
      <c r="AT38" s="32"/>
      <c r="AW38" s="33"/>
      <c r="AY38" s="33"/>
      <c r="BA38" s="33"/>
      <c r="BB38" s="32"/>
      <c r="BD38" s="32"/>
      <c r="BK38" s="32"/>
      <c r="BL38" s="32"/>
      <c r="BM38" s="32"/>
      <c r="BN38" s="32"/>
      <c r="BO38" s="32"/>
      <c r="BP38" s="32"/>
      <c r="BQ38" s="32"/>
      <c r="BR38" s="32"/>
      <c r="BS38" s="33"/>
    </row>
    <row r="39" customFormat="false" ht="15" hidden="false" customHeight="false" outlineLevel="0" collapsed="false">
      <c r="J39" s="32"/>
      <c r="N39" s="32"/>
      <c r="P39" s="32"/>
      <c r="R39" s="32"/>
      <c r="S39" s="32"/>
      <c r="T39" s="32"/>
      <c r="U39" s="32"/>
      <c r="V39" s="32"/>
      <c r="W39" s="32"/>
      <c r="Y39" s="32"/>
      <c r="AA39" s="32"/>
      <c r="AD39" s="32"/>
      <c r="AH39" s="33"/>
      <c r="AJ39" s="33"/>
      <c r="AK39" s="35" t="str">
        <f aca="false">IF(ISNUMBER(AW39),AW39,"")</f>
        <v/>
      </c>
      <c r="AL39" s="33"/>
      <c r="AM39" s="33"/>
      <c r="AN39" s="33"/>
      <c r="AT39" s="32"/>
      <c r="AW39" s="33"/>
      <c r="AY39" s="33"/>
      <c r="BA39" s="33"/>
      <c r="BB39" s="32"/>
      <c r="BD39" s="32"/>
      <c r="BK39" s="32"/>
      <c r="BL39" s="32"/>
      <c r="BM39" s="32"/>
      <c r="BN39" s="32"/>
      <c r="BO39" s="32"/>
      <c r="BP39" s="32"/>
      <c r="BQ39" s="32"/>
      <c r="BR39" s="32"/>
      <c r="BS39" s="33"/>
    </row>
    <row r="40" customFormat="false" ht="15" hidden="false" customHeight="false" outlineLevel="0" collapsed="false">
      <c r="J40" s="32"/>
      <c r="N40" s="32"/>
      <c r="P40" s="32"/>
      <c r="R40" s="32"/>
      <c r="S40" s="32"/>
      <c r="T40" s="32"/>
      <c r="U40" s="32"/>
      <c r="V40" s="32"/>
      <c r="W40" s="32"/>
      <c r="Y40" s="32"/>
      <c r="AA40" s="32"/>
      <c r="AD40" s="32"/>
      <c r="AH40" s="33"/>
      <c r="AJ40" s="33"/>
      <c r="AK40" s="35" t="str">
        <f aca="false">IF(ISNUMBER(AW40),AW40,"")</f>
        <v/>
      </c>
      <c r="AL40" s="33"/>
      <c r="AM40" s="33"/>
      <c r="AN40" s="33"/>
      <c r="AT40" s="32"/>
      <c r="AW40" s="33"/>
      <c r="AY40" s="33"/>
      <c r="BA40" s="33"/>
      <c r="BB40" s="32"/>
      <c r="BD40" s="32"/>
      <c r="BK40" s="32"/>
      <c r="BL40" s="32"/>
      <c r="BM40" s="32"/>
      <c r="BN40" s="32"/>
      <c r="BO40" s="32"/>
      <c r="BP40" s="32"/>
      <c r="BQ40" s="32"/>
      <c r="BR40" s="32"/>
      <c r="BS40" s="33"/>
    </row>
    <row r="41" customFormat="false" ht="15" hidden="false" customHeight="false" outlineLevel="0" collapsed="false">
      <c r="J41" s="32"/>
      <c r="N41" s="32"/>
      <c r="P41" s="32"/>
      <c r="R41" s="32"/>
      <c r="S41" s="32"/>
      <c r="T41" s="32"/>
      <c r="U41" s="32"/>
      <c r="V41" s="32"/>
      <c r="W41" s="32"/>
      <c r="Y41" s="32"/>
      <c r="AA41" s="32"/>
      <c r="AD41" s="32"/>
      <c r="AH41" s="33"/>
      <c r="AJ41" s="33"/>
      <c r="AK41" s="35" t="str">
        <f aca="false">IF(ISNUMBER(AW41),AW41,"")</f>
        <v/>
      </c>
      <c r="AL41" s="33"/>
      <c r="AM41" s="33"/>
      <c r="AN41" s="33"/>
      <c r="AT41" s="32"/>
      <c r="AW41" s="33"/>
      <c r="AY41" s="33"/>
      <c r="BA41" s="33"/>
      <c r="BB41" s="32"/>
      <c r="BD41" s="32"/>
      <c r="BK41" s="32"/>
      <c r="BL41" s="32"/>
      <c r="BM41" s="32"/>
      <c r="BN41" s="32"/>
      <c r="BO41" s="32"/>
      <c r="BP41" s="32"/>
      <c r="BQ41" s="32"/>
      <c r="BR41" s="32"/>
      <c r="BS41" s="33"/>
    </row>
    <row r="42" customFormat="false" ht="15" hidden="false" customHeight="false" outlineLevel="0" collapsed="false">
      <c r="J42" s="32"/>
      <c r="N42" s="32"/>
      <c r="P42" s="32"/>
      <c r="R42" s="32"/>
      <c r="S42" s="32"/>
      <c r="T42" s="32"/>
      <c r="U42" s="32"/>
      <c r="V42" s="32"/>
      <c r="W42" s="32"/>
      <c r="Y42" s="32"/>
      <c r="AA42" s="32"/>
      <c r="AD42" s="32"/>
      <c r="AH42" s="33"/>
      <c r="AJ42" s="33"/>
      <c r="AK42" s="35" t="str">
        <f aca="false">IF(ISNUMBER(AW42),AW42,"")</f>
        <v/>
      </c>
      <c r="AL42" s="33"/>
      <c r="AM42" s="33"/>
      <c r="AN42" s="33"/>
      <c r="AT42" s="32"/>
      <c r="AW42" s="33"/>
      <c r="AY42" s="33"/>
      <c r="BA42" s="33"/>
      <c r="BB42" s="32"/>
      <c r="BD42" s="32"/>
      <c r="BK42" s="32"/>
      <c r="BL42" s="32"/>
      <c r="BM42" s="32"/>
      <c r="BN42" s="32"/>
      <c r="BO42" s="32"/>
      <c r="BP42" s="32"/>
      <c r="BQ42" s="32"/>
      <c r="BR42" s="32"/>
      <c r="BS42" s="33"/>
    </row>
    <row r="43" customFormat="false" ht="15" hidden="false" customHeight="false" outlineLevel="0" collapsed="false">
      <c r="J43" s="32"/>
      <c r="N43" s="32"/>
      <c r="P43" s="32"/>
      <c r="R43" s="32"/>
      <c r="S43" s="32"/>
      <c r="T43" s="32"/>
      <c r="U43" s="32"/>
      <c r="V43" s="32"/>
      <c r="W43" s="32"/>
      <c r="Y43" s="32"/>
      <c r="AA43" s="32"/>
      <c r="AD43" s="32"/>
      <c r="AH43" s="33"/>
      <c r="AJ43" s="33"/>
      <c r="AK43" s="35" t="str">
        <f aca="false">IF(ISNUMBER(AW43),AW43,"")</f>
        <v/>
      </c>
      <c r="AL43" s="33"/>
      <c r="AM43" s="33"/>
      <c r="AN43" s="33"/>
      <c r="AT43" s="32"/>
      <c r="AW43" s="33"/>
      <c r="AY43" s="33"/>
      <c r="BA43" s="33"/>
      <c r="BB43" s="32"/>
      <c r="BD43" s="32"/>
      <c r="BK43" s="32"/>
      <c r="BL43" s="32"/>
      <c r="BM43" s="32"/>
      <c r="BN43" s="32"/>
      <c r="BO43" s="32"/>
      <c r="BP43" s="32"/>
      <c r="BQ43" s="32"/>
      <c r="BR43" s="32"/>
      <c r="BS43" s="33"/>
    </row>
    <row r="44" customFormat="false" ht="15" hidden="false" customHeight="false" outlineLevel="0" collapsed="false">
      <c r="J44" s="32"/>
      <c r="N44" s="32"/>
      <c r="P44" s="32"/>
      <c r="R44" s="32"/>
      <c r="S44" s="32"/>
      <c r="T44" s="32"/>
      <c r="U44" s="32"/>
      <c r="V44" s="32"/>
      <c r="W44" s="32"/>
      <c r="Y44" s="32"/>
      <c r="AA44" s="32"/>
      <c r="AD44" s="32"/>
      <c r="AH44" s="33"/>
      <c r="AJ44" s="33"/>
      <c r="AK44" s="35" t="str">
        <f aca="false">IF(ISNUMBER(AW44),AW44,"")</f>
        <v/>
      </c>
      <c r="AL44" s="33"/>
      <c r="AM44" s="33"/>
      <c r="AN44" s="33"/>
      <c r="AT44" s="32"/>
      <c r="AW44" s="33"/>
      <c r="AY44" s="33"/>
      <c r="BA44" s="33"/>
      <c r="BB44" s="32"/>
      <c r="BD44" s="32"/>
      <c r="BK44" s="32"/>
      <c r="BL44" s="32"/>
      <c r="BM44" s="32"/>
      <c r="BN44" s="32"/>
      <c r="BO44" s="32"/>
      <c r="BP44" s="32"/>
      <c r="BQ44" s="32"/>
      <c r="BR44" s="32"/>
      <c r="BS44" s="33"/>
    </row>
    <row r="45" customFormat="false" ht="15" hidden="false" customHeight="false" outlineLevel="0" collapsed="false">
      <c r="J45" s="32"/>
      <c r="N45" s="32"/>
      <c r="P45" s="32"/>
      <c r="R45" s="32"/>
      <c r="S45" s="32"/>
      <c r="T45" s="32"/>
      <c r="U45" s="32"/>
      <c r="V45" s="32"/>
      <c r="W45" s="32"/>
      <c r="Y45" s="32"/>
      <c r="AA45" s="32"/>
      <c r="AD45" s="32"/>
      <c r="AH45" s="33"/>
      <c r="AJ45" s="33"/>
      <c r="AK45" s="35" t="str">
        <f aca="false">IF(ISNUMBER(AW45),AW45,"")</f>
        <v/>
      </c>
      <c r="AL45" s="33"/>
      <c r="AM45" s="33"/>
      <c r="AN45" s="33"/>
      <c r="AT45" s="32"/>
      <c r="AW45" s="33"/>
      <c r="AY45" s="33"/>
      <c r="BA45" s="33"/>
      <c r="BB45" s="32"/>
      <c r="BD45" s="32"/>
      <c r="BK45" s="32"/>
      <c r="BL45" s="32"/>
      <c r="BM45" s="32"/>
      <c r="BN45" s="32"/>
      <c r="BO45" s="32"/>
      <c r="BP45" s="32"/>
      <c r="BQ45" s="32"/>
      <c r="BR45" s="32"/>
      <c r="BS45" s="33"/>
    </row>
    <row r="46" customFormat="false" ht="15" hidden="false" customHeight="false" outlineLevel="0" collapsed="false">
      <c r="J46" s="32"/>
      <c r="N46" s="32"/>
      <c r="P46" s="32"/>
      <c r="R46" s="32"/>
      <c r="S46" s="32"/>
      <c r="T46" s="32"/>
      <c r="U46" s="32"/>
      <c r="V46" s="32"/>
      <c r="W46" s="32"/>
      <c r="Y46" s="32"/>
      <c r="AA46" s="32"/>
      <c r="AD46" s="32"/>
      <c r="AH46" s="33"/>
      <c r="AJ46" s="33"/>
      <c r="AK46" s="35" t="str">
        <f aca="false">IF(ISNUMBER(AW46),AW46,"")</f>
        <v/>
      </c>
      <c r="AL46" s="33"/>
      <c r="AM46" s="33"/>
      <c r="AN46" s="33"/>
      <c r="AT46" s="32"/>
      <c r="AW46" s="33"/>
      <c r="AY46" s="33"/>
      <c r="BA46" s="33"/>
      <c r="BB46" s="32"/>
      <c r="BD46" s="32"/>
      <c r="BK46" s="32"/>
      <c r="BL46" s="32"/>
      <c r="BM46" s="32"/>
      <c r="BN46" s="32"/>
      <c r="BO46" s="32"/>
      <c r="BP46" s="32"/>
      <c r="BQ46" s="32"/>
      <c r="BR46" s="32"/>
      <c r="BS46" s="33"/>
    </row>
    <row r="47" customFormat="false" ht="15" hidden="false" customHeight="false" outlineLevel="0" collapsed="false">
      <c r="J47" s="32"/>
      <c r="N47" s="32"/>
      <c r="P47" s="32"/>
      <c r="R47" s="32"/>
      <c r="S47" s="32"/>
      <c r="T47" s="32"/>
      <c r="U47" s="32"/>
      <c r="V47" s="32"/>
      <c r="W47" s="32"/>
      <c r="Y47" s="32"/>
      <c r="AA47" s="32"/>
      <c r="AD47" s="32"/>
      <c r="AH47" s="33"/>
      <c r="AJ47" s="33"/>
      <c r="AK47" s="35" t="str">
        <f aca="false">IF(ISNUMBER(AW47),AW47,"")</f>
        <v/>
      </c>
      <c r="AL47" s="33"/>
      <c r="AM47" s="33"/>
      <c r="AN47" s="33"/>
      <c r="AT47" s="32"/>
      <c r="AW47" s="33"/>
      <c r="AY47" s="33"/>
      <c r="BA47" s="33"/>
      <c r="BB47" s="32"/>
      <c r="BD47" s="32"/>
      <c r="BK47" s="32"/>
      <c r="BL47" s="32"/>
      <c r="BM47" s="32"/>
      <c r="BN47" s="32"/>
      <c r="BO47" s="32"/>
      <c r="BP47" s="32"/>
      <c r="BQ47" s="32"/>
      <c r="BR47" s="32"/>
      <c r="BS47" s="33"/>
    </row>
    <row r="48" customFormat="false" ht="15" hidden="false" customHeight="false" outlineLevel="0" collapsed="false">
      <c r="J48" s="32"/>
      <c r="N48" s="32"/>
      <c r="P48" s="32"/>
      <c r="R48" s="32"/>
      <c r="S48" s="32"/>
      <c r="T48" s="32"/>
      <c r="U48" s="32"/>
      <c r="V48" s="32"/>
      <c r="W48" s="32"/>
      <c r="Y48" s="32"/>
      <c r="AA48" s="32"/>
      <c r="AD48" s="32"/>
      <c r="AH48" s="33"/>
      <c r="AJ48" s="33"/>
      <c r="AK48" s="35" t="str">
        <f aca="false">IF(ISNUMBER(AW48),AW48,"")</f>
        <v/>
      </c>
      <c r="AL48" s="33"/>
      <c r="AM48" s="33"/>
      <c r="AN48" s="33"/>
      <c r="AT48" s="32"/>
      <c r="AW48" s="33"/>
      <c r="AY48" s="33"/>
      <c r="BA48" s="33"/>
      <c r="BB48" s="32"/>
      <c r="BD48" s="32"/>
      <c r="BK48" s="32"/>
      <c r="BL48" s="32"/>
      <c r="BM48" s="32"/>
      <c r="BN48" s="32"/>
      <c r="BO48" s="32"/>
      <c r="BP48" s="32"/>
      <c r="BQ48" s="32"/>
      <c r="BR48" s="32"/>
      <c r="BS48" s="33"/>
    </row>
    <row r="49" customFormat="false" ht="15" hidden="false" customHeight="false" outlineLevel="0" collapsed="false">
      <c r="J49" s="32"/>
      <c r="N49" s="32"/>
      <c r="P49" s="32"/>
      <c r="R49" s="32"/>
      <c r="S49" s="32"/>
      <c r="T49" s="32"/>
      <c r="U49" s="32"/>
      <c r="V49" s="32"/>
      <c r="W49" s="32"/>
      <c r="Y49" s="32"/>
      <c r="AA49" s="32"/>
      <c r="AD49" s="32"/>
      <c r="AH49" s="33"/>
      <c r="AJ49" s="33"/>
      <c r="AK49" s="35" t="str">
        <f aca="false">IF(ISNUMBER(AW49),AW49,"")</f>
        <v/>
      </c>
      <c r="AL49" s="33"/>
      <c r="AM49" s="33"/>
      <c r="AN49" s="33"/>
      <c r="AT49" s="32"/>
      <c r="AW49" s="33"/>
      <c r="AY49" s="33"/>
      <c r="BA49" s="33"/>
      <c r="BB49" s="32"/>
      <c r="BD49" s="32"/>
      <c r="BK49" s="32"/>
      <c r="BL49" s="32"/>
      <c r="BM49" s="32"/>
      <c r="BN49" s="32"/>
      <c r="BO49" s="32"/>
      <c r="BP49" s="32"/>
      <c r="BQ49" s="32"/>
      <c r="BR49" s="32"/>
      <c r="BS49" s="33"/>
    </row>
    <row r="50" customFormat="false" ht="15" hidden="false" customHeight="false" outlineLevel="0" collapsed="false">
      <c r="J50" s="32"/>
      <c r="N50" s="32"/>
      <c r="P50" s="32"/>
      <c r="R50" s="32"/>
      <c r="S50" s="32"/>
      <c r="T50" s="32"/>
      <c r="U50" s="32"/>
      <c r="V50" s="32"/>
      <c r="W50" s="32"/>
      <c r="Y50" s="32"/>
      <c r="AA50" s="32"/>
      <c r="AD50" s="32"/>
      <c r="AH50" s="33"/>
      <c r="AJ50" s="33"/>
      <c r="AK50" s="35" t="str">
        <f aca="false">IF(ISNUMBER(AW50),AW50,"")</f>
        <v/>
      </c>
      <c r="AL50" s="33"/>
      <c r="AM50" s="33"/>
      <c r="AN50" s="33"/>
      <c r="AT50" s="32"/>
      <c r="AW50" s="33"/>
      <c r="AY50" s="33"/>
      <c r="BA50" s="33"/>
      <c r="BB50" s="32"/>
      <c r="BD50" s="32"/>
      <c r="BK50" s="32"/>
      <c r="BL50" s="32"/>
      <c r="BM50" s="32"/>
      <c r="BN50" s="32"/>
      <c r="BO50" s="32"/>
      <c r="BP50" s="32"/>
      <c r="BQ50" s="32"/>
      <c r="BR50" s="32"/>
      <c r="BS50" s="33"/>
    </row>
    <row r="51" customFormat="false" ht="15" hidden="false" customHeight="false" outlineLevel="0" collapsed="false">
      <c r="J51" s="32"/>
      <c r="N51" s="32"/>
      <c r="P51" s="32"/>
      <c r="R51" s="32"/>
      <c r="S51" s="32"/>
      <c r="T51" s="32"/>
      <c r="U51" s="32"/>
      <c r="V51" s="32"/>
      <c r="W51" s="32"/>
      <c r="Y51" s="32"/>
      <c r="AA51" s="32"/>
      <c r="AD51" s="32"/>
      <c r="AH51" s="33"/>
      <c r="AJ51" s="33"/>
      <c r="AK51" s="35" t="str">
        <f aca="false">IF(ISNUMBER(AW51),AW51,"")</f>
        <v/>
      </c>
      <c r="AL51" s="33"/>
      <c r="AM51" s="33"/>
      <c r="AN51" s="33"/>
      <c r="AT51" s="32"/>
      <c r="AW51" s="33"/>
      <c r="AY51" s="33"/>
      <c r="BA51" s="33"/>
      <c r="BB51" s="32"/>
      <c r="BD51" s="32"/>
      <c r="BK51" s="32"/>
      <c r="BL51" s="32"/>
      <c r="BM51" s="32"/>
      <c r="BN51" s="32"/>
      <c r="BO51" s="32"/>
      <c r="BP51" s="32"/>
      <c r="BQ51" s="32"/>
      <c r="BR51" s="32"/>
      <c r="BS51" s="33"/>
    </row>
  </sheetData>
  <dataValidations count="24">
    <dataValidation allowBlank="true" errorStyle="stop" operator="between" showDropDown="false" showErrorMessage="false" showInputMessage="false" sqref="J2:J51" type="list">
      <formula1>Lists!$R$2:$R$15</formula1>
      <formula2>0</formula2>
    </dataValidation>
    <dataValidation allowBlank="true" errorStyle="stop" operator="between" showDropDown="false" showErrorMessage="false" showInputMessage="false" sqref="N2:N51" type="list">
      <formula1>Lists!$A$2:$A$3</formula1>
      <formula2>0</formula2>
    </dataValidation>
    <dataValidation allowBlank="true" errorStyle="stop" operator="between" showDropDown="false" showErrorMessage="false" showInputMessage="false" sqref="P2:P51" type="list">
      <formula1>Lists!$A$2:$A$3</formula1>
      <formula2>0</formula2>
    </dataValidation>
    <dataValidation allowBlank="true" errorStyle="stop" operator="between" showDropDown="false" showErrorMessage="false" showInputMessage="false" sqref="R2:R51" type="list">
      <formula1>Lists!$D$2:$D$4</formula1>
      <formula2>0</formula2>
    </dataValidation>
    <dataValidation allowBlank="true" errorStyle="stop" operator="between" showDropDown="false" showErrorMessage="false" showInputMessage="false" sqref="S2:S51" type="list">
      <formula1>Lists!$D$2:$D$4</formula1>
      <formula2>0</formula2>
    </dataValidation>
    <dataValidation allowBlank="true" errorStyle="stop" operator="between" showDropDown="false" showErrorMessage="false" showInputMessage="false" sqref="T2:T51" type="list">
      <formula1>Lists!$D$2:$D$4</formula1>
      <formula2>0</formula2>
    </dataValidation>
    <dataValidation allowBlank="true" errorStyle="stop" operator="between" showDropDown="false" showErrorMessage="false" showInputMessage="false" sqref="U2:U51" type="list">
      <formula1>Lists!$D$2:$D$4</formula1>
      <formula2>0</formula2>
    </dataValidation>
    <dataValidation allowBlank="true" errorStyle="stop" operator="between" showDropDown="false" showErrorMessage="false" showInputMessage="false" sqref="V2:V51" type="list">
      <formula1>Lists!$D$2:$D$4</formula1>
      <formula2>0</formula2>
    </dataValidation>
    <dataValidation allowBlank="true" errorStyle="stop" operator="between" showDropDown="false" showErrorMessage="false" showInputMessage="false" sqref="W2:W51" type="list">
      <formula1>Lists!$D$2:$D$4</formula1>
      <formula2>0</formula2>
    </dataValidation>
    <dataValidation allowBlank="true" errorStyle="stop" operator="between" showDropDown="false" showErrorMessage="false" showInputMessage="false" sqref="Y2:Y51" type="list">
      <formula1>Lists!$A$2:$A$3</formula1>
      <formula2>0</formula2>
    </dataValidation>
    <dataValidation allowBlank="true" errorStyle="stop" operator="between" showDropDown="false" showErrorMessage="false" showInputMessage="false" sqref="AA2:AA51" type="list">
      <formula1>Lists!$V$2:$V$3</formula1>
      <formula2>0</formula2>
    </dataValidation>
    <dataValidation allowBlank="true" errorStyle="stop" operator="between" showDropDown="false" showErrorMessage="false" showInputMessage="false" sqref="AD2:AD51" type="list">
      <formula1>Lists!$S$2:$S$3</formula1>
      <formula2>0</formula2>
    </dataValidation>
    <dataValidation allowBlank="true" errorStyle="stop" operator="between" showDropDown="false" showErrorMessage="false" showInputMessage="false" sqref="AT2:AT51" type="list">
      <formula1>Lists!$T$2:$T$3</formula1>
      <formula2>0</formula2>
    </dataValidation>
    <dataValidation allowBlank="true" errorStyle="stop" operator="between" showDropDown="false" showErrorMessage="false" showInputMessage="false" sqref="BB2:BB51" type="list">
      <formula1>Lists!$A$2:$A$3</formula1>
      <formula2>0</formula2>
    </dataValidation>
    <dataValidation allowBlank="true" errorStyle="stop" operator="between" showDropDown="false" showErrorMessage="false" showInputMessage="false" sqref="BD2:BD51" type="list">
      <formula1>Lists!$Z$2:$Z$4</formula1>
      <formula2>0</formula2>
    </dataValidation>
    <dataValidation allowBlank="true" errorStyle="stop" operator="between" showDropDown="false" showErrorMessage="false" showInputMessage="false" sqref="BH2:BH51" type="list">
      <formula1>Lists!$Z$2:$Z$4</formula1>
      <formula2>0</formula2>
    </dataValidation>
    <dataValidation allowBlank="true" errorStyle="stop" operator="between" showDropDown="false" showErrorMessage="false" showInputMessage="false" sqref="BK2:BK51" type="list">
      <formula1>Lists!$A$2:$A$3</formula1>
      <formula2>0</formula2>
    </dataValidation>
    <dataValidation allowBlank="true" errorStyle="stop" operator="between" showDropDown="false" showErrorMessage="false" showInputMessage="false" sqref="BL2:BL51" type="list">
      <formula1>Lists!$A$2:$A$3</formula1>
      <formula2>0</formula2>
    </dataValidation>
    <dataValidation allowBlank="true" errorStyle="stop" operator="between" showDropDown="false" showErrorMessage="false" showInputMessage="false" sqref="BM2:BM51" type="list">
      <formula1>Lists!$A$2:$A$3</formula1>
      <formula2>0</formula2>
    </dataValidation>
    <dataValidation allowBlank="true" errorStyle="stop" operator="between" showDropDown="false" showErrorMessage="false" showInputMessage="false" sqref="BN2:BN51" type="list">
      <formula1>Lists!$A$2:$A$3</formula1>
      <formula2>0</formula2>
    </dataValidation>
    <dataValidation allowBlank="true" errorStyle="stop" operator="between" showDropDown="false" showErrorMessage="false" showInputMessage="false" sqref="BO2:BO51" type="list">
      <formula1>Lists!$A$2:$A$3</formula1>
      <formula2>0</formula2>
    </dataValidation>
    <dataValidation allowBlank="true" errorStyle="stop" operator="between" showDropDown="false" showErrorMessage="false" showInputMessage="false" sqref="BP2:BP51" type="list">
      <formula1>Lists!$A$2:$A$3</formula1>
      <formula2>0</formula2>
    </dataValidation>
    <dataValidation allowBlank="true" errorStyle="stop" operator="between" showDropDown="false" showErrorMessage="false" showInputMessage="false" sqref="BQ2:BQ51" type="list">
      <formula1>Lists!$A$2:$A$3</formula1>
      <formula2>0</formula2>
    </dataValidation>
    <dataValidation allowBlank="true" errorStyle="stop" operator="between" showDropDown="false" showErrorMessage="false" showInputMessage="false" sqref="BR2:BR51" type="list">
      <formula1>Lists!$A$2:$A$3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5"/>
    <col collapsed="false" customWidth="true" hidden="false" outlineLevel="0" max="4" min="4" style="0" width="20"/>
    <col collapsed="false" customWidth="true" hidden="false" outlineLevel="0" max="5" min="5" style="0" width="14"/>
    <col collapsed="false" customWidth="true" hidden="false" outlineLevel="0" max="6" min="6" style="0" width="9"/>
    <col collapsed="false" customWidth="true" hidden="false" outlineLevel="0" max="7" min="7" style="0" width="22"/>
    <col collapsed="false" customWidth="true" hidden="false" outlineLevel="0" max="8" min="8" style="0" width="24"/>
  </cols>
  <sheetData>
    <row r="1" customFormat="false" ht="42" hidden="false" customHeight="true" outlineLevel="0" collapsed="false">
      <c r="A1" s="8" t="s">
        <v>1037</v>
      </c>
      <c r="B1" s="8" t="s">
        <v>1038</v>
      </c>
      <c r="C1" s="8" t="s">
        <v>878</v>
      </c>
      <c r="D1" s="8" t="s">
        <v>1039</v>
      </c>
      <c r="E1" s="8" t="s">
        <v>1040</v>
      </c>
      <c r="F1" s="8" t="s">
        <v>1041</v>
      </c>
      <c r="G1" s="8" t="s">
        <v>1042</v>
      </c>
      <c r="H1" s="8" t="s">
        <v>349</v>
      </c>
    </row>
    <row r="2" customFormat="false" ht="15" hidden="false" customHeight="false" outlineLevel="0" collapsed="false">
      <c r="A2" s="33" t="n">
        <v>46414</v>
      </c>
      <c r="B2" s="32" t="s">
        <v>202</v>
      </c>
      <c r="C2" s="32" t="s">
        <v>675</v>
      </c>
      <c r="D2" s="32" t="s">
        <v>676</v>
      </c>
      <c r="E2" s="32" t="s">
        <v>1043</v>
      </c>
      <c r="G2" s="32" t="s">
        <v>497</v>
      </c>
      <c r="H2" s="32" t="s">
        <v>1044</v>
      </c>
    </row>
    <row r="3" customFormat="false" ht="15" hidden="false" customHeight="false" outlineLevel="0" collapsed="false">
      <c r="A3" s="33"/>
      <c r="B3" s="32"/>
      <c r="E3" s="32"/>
    </row>
    <row r="4" customFormat="false" ht="15" hidden="false" customHeight="false" outlineLevel="0" collapsed="false">
      <c r="A4" s="33"/>
      <c r="B4" s="32"/>
      <c r="E4" s="32"/>
    </row>
    <row r="5" customFormat="false" ht="15" hidden="false" customHeight="false" outlineLevel="0" collapsed="false">
      <c r="A5" s="33"/>
      <c r="B5" s="32"/>
      <c r="E5" s="32"/>
    </row>
    <row r="6" customFormat="false" ht="15" hidden="false" customHeight="false" outlineLevel="0" collapsed="false">
      <c r="A6" s="33"/>
      <c r="B6" s="32"/>
      <c r="E6" s="32"/>
    </row>
    <row r="7" customFormat="false" ht="15" hidden="false" customHeight="false" outlineLevel="0" collapsed="false">
      <c r="A7" s="33"/>
      <c r="B7" s="32"/>
      <c r="E7" s="32"/>
    </row>
    <row r="8" customFormat="false" ht="15" hidden="false" customHeight="false" outlineLevel="0" collapsed="false">
      <c r="A8" s="33"/>
      <c r="B8" s="32"/>
      <c r="E8" s="32"/>
    </row>
    <row r="9" customFormat="false" ht="15" hidden="false" customHeight="false" outlineLevel="0" collapsed="false">
      <c r="A9" s="33"/>
      <c r="B9" s="32"/>
      <c r="E9" s="32"/>
    </row>
    <row r="10" customFormat="false" ht="15" hidden="false" customHeight="false" outlineLevel="0" collapsed="false">
      <c r="A10" s="33"/>
      <c r="B10" s="32"/>
      <c r="E10" s="32"/>
    </row>
    <row r="11" customFormat="false" ht="15" hidden="false" customHeight="false" outlineLevel="0" collapsed="false">
      <c r="A11" s="33"/>
      <c r="B11" s="32"/>
      <c r="E11" s="32"/>
    </row>
    <row r="12" customFormat="false" ht="15" hidden="false" customHeight="false" outlineLevel="0" collapsed="false">
      <c r="A12" s="33"/>
      <c r="B12" s="32"/>
      <c r="E12" s="32"/>
    </row>
    <row r="13" customFormat="false" ht="15" hidden="false" customHeight="false" outlineLevel="0" collapsed="false">
      <c r="A13" s="33"/>
      <c r="B13" s="32"/>
      <c r="E13" s="32"/>
    </row>
    <row r="14" customFormat="false" ht="15" hidden="false" customHeight="false" outlineLevel="0" collapsed="false">
      <c r="A14" s="33"/>
      <c r="B14" s="32"/>
      <c r="E14" s="32"/>
    </row>
    <row r="15" customFormat="false" ht="15" hidden="false" customHeight="false" outlineLevel="0" collapsed="false">
      <c r="A15" s="33"/>
      <c r="B15" s="32"/>
      <c r="E15" s="32"/>
    </row>
    <row r="16" customFormat="false" ht="15" hidden="false" customHeight="false" outlineLevel="0" collapsed="false">
      <c r="A16" s="33"/>
      <c r="B16" s="32"/>
      <c r="E16" s="32"/>
    </row>
    <row r="17" customFormat="false" ht="15" hidden="false" customHeight="false" outlineLevel="0" collapsed="false">
      <c r="A17" s="33"/>
      <c r="B17" s="32"/>
      <c r="E17" s="32"/>
    </row>
    <row r="18" customFormat="false" ht="15" hidden="false" customHeight="false" outlineLevel="0" collapsed="false">
      <c r="A18" s="33"/>
      <c r="B18" s="32"/>
      <c r="E18" s="32"/>
    </row>
    <row r="19" customFormat="false" ht="15" hidden="false" customHeight="false" outlineLevel="0" collapsed="false">
      <c r="A19" s="33"/>
      <c r="B19" s="32"/>
      <c r="E19" s="32"/>
    </row>
    <row r="20" customFormat="false" ht="15" hidden="false" customHeight="false" outlineLevel="0" collapsed="false">
      <c r="A20" s="33"/>
      <c r="B20" s="32"/>
      <c r="E20" s="32"/>
    </row>
    <row r="21" customFormat="false" ht="15" hidden="false" customHeight="false" outlineLevel="0" collapsed="false">
      <c r="A21" s="33"/>
      <c r="B21" s="32"/>
      <c r="E21" s="32"/>
    </row>
    <row r="22" customFormat="false" ht="15" hidden="false" customHeight="false" outlineLevel="0" collapsed="false">
      <c r="A22" s="33"/>
      <c r="B22" s="32"/>
      <c r="E22" s="32"/>
    </row>
    <row r="23" customFormat="false" ht="15" hidden="false" customHeight="false" outlineLevel="0" collapsed="false">
      <c r="A23" s="33"/>
      <c r="B23" s="32"/>
      <c r="E23" s="32"/>
    </row>
    <row r="24" customFormat="false" ht="15" hidden="false" customHeight="false" outlineLevel="0" collapsed="false">
      <c r="A24" s="33"/>
      <c r="B24" s="32"/>
      <c r="E24" s="32"/>
    </row>
    <row r="25" customFormat="false" ht="15" hidden="false" customHeight="false" outlineLevel="0" collapsed="false">
      <c r="A25" s="33"/>
      <c r="B25" s="32"/>
      <c r="E25" s="32"/>
    </row>
    <row r="26" customFormat="false" ht="15" hidden="false" customHeight="false" outlineLevel="0" collapsed="false">
      <c r="A26" s="33"/>
      <c r="B26" s="32"/>
      <c r="E26" s="32"/>
    </row>
    <row r="27" customFormat="false" ht="15" hidden="false" customHeight="false" outlineLevel="0" collapsed="false">
      <c r="A27" s="33"/>
      <c r="B27" s="32"/>
      <c r="E27" s="32"/>
    </row>
    <row r="28" customFormat="false" ht="15" hidden="false" customHeight="false" outlineLevel="0" collapsed="false">
      <c r="A28" s="33"/>
      <c r="B28" s="32"/>
      <c r="E28" s="32"/>
    </row>
    <row r="29" customFormat="false" ht="15" hidden="false" customHeight="false" outlineLevel="0" collapsed="false">
      <c r="A29" s="33"/>
      <c r="B29" s="32"/>
      <c r="E29" s="32"/>
    </row>
    <row r="30" customFormat="false" ht="15" hidden="false" customHeight="false" outlineLevel="0" collapsed="false">
      <c r="A30" s="33"/>
      <c r="B30" s="32"/>
      <c r="E30" s="32"/>
    </row>
    <row r="31" customFormat="false" ht="15" hidden="false" customHeight="false" outlineLevel="0" collapsed="false">
      <c r="A31" s="33"/>
      <c r="B31" s="32"/>
      <c r="E31" s="32"/>
    </row>
    <row r="32" customFormat="false" ht="15" hidden="false" customHeight="false" outlineLevel="0" collapsed="false">
      <c r="A32" s="33"/>
      <c r="B32" s="32"/>
      <c r="E32" s="32"/>
    </row>
    <row r="33" customFormat="false" ht="15" hidden="false" customHeight="false" outlineLevel="0" collapsed="false">
      <c r="A33" s="33"/>
      <c r="B33" s="32"/>
      <c r="E33" s="32"/>
    </row>
    <row r="34" customFormat="false" ht="15" hidden="false" customHeight="false" outlineLevel="0" collapsed="false">
      <c r="A34" s="33"/>
      <c r="B34" s="32"/>
      <c r="E34" s="32"/>
    </row>
    <row r="35" customFormat="false" ht="15" hidden="false" customHeight="false" outlineLevel="0" collapsed="false">
      <c r="A35" s="33"/>
      <c r="B35" s="32"/>
      <c r="E35" s="32"/>
    </row>
    <row r="36" customFormat="false" ht="15" hidden="false" customHeight="false" outlineLevel="0" collapsed="false">
      <c r="A36" s="33"/>
      <c r="B36" s="32"/>
      <c r="E36" s="32"/>
    </row>
    <row r="37" customFormat="false" ht="15" hidden="false" customHeight="false" outlineLevel="0" collapsed="false">
      <c r="A37" s="33"/>
      <c r="B37" s="32"/>
      <c r="E37" s="32"/>
    </row>
    <row r="38" customFormat="false" ht="15" hidden="false" customHeight="false" outlineLevel="0" collapsed="false">
      <c r="A38" s="33"/>
      <c r="B38" s="32"/>
      <c r="E38" s="32"/>
    </row>
    <row r="39" customFormat="false" ht="15" hidden="false" customHeight="false" outlineLevel="0" collapsed="false">
      <c r="A39" s="33"/>
      <c r="B39" s="32"/>
      <c r="E39" s="32"/>
    </row>
    <row r="40" customFormat="false" ht="15" hidden="false" customHeight="false" outlineLevel="0" collapsed="false">
      <c r="A40" s="33"/>
      <c r="B40" s="32"/>
      <c r="E40" s="32"/>
    </row>
    <row r="41" customFormat="false" ht="15" hidden="false" customHeight="false" outlineLevel="0" collapsed="false">
      <c r="A41" s="33"/>
      <c r="B41" s="32"/>
      <c r="E41" s="32"/>
    </row>
    <row r="42" customFormat="false" ht="15" hidden="false" customHeight="false" outlineLevel="0" collapsed="false">
      <c r="A42" s="33"/>
      <c r="B42" s="32"/>
      <c r="E42" s="32"/>
    </row>
    <row r="43" customFormat="false" ht="15" hidden="false" customHeight="false" outlineLevel="0" collapsed="false">
      <c r="A43" s="33"/>
      <c r="B43" s="32"/>
      <c r="E43" s="32"/>
    </row>
    <row r="44" customFormat="false" ht="15" hidden="false" customHeight="false" outlineLevel="0" collapsed="false">
      <c r="A44" s="33"/>
      <c r="B44" s="32"/>
      <c r="E44" s="32"/>
    </row>
    <row r="45" customFormat="false" ht="15" hidden="false" customHeight="false" outlineLevel="0" collapsed="false">
      <c r="A45" s="33"/>
      <c r="B45" s="32"/>
      <c r="E45" s="32"/>
    </row>
    <row r="46" customFormat="false" ht="15" hidden="false" customHeight="false" outlineLevel="0" collapsed="false">
      <c r="A46" s="33"/>
      <c r="B46" s="32"/>
      <c r="E46" s="32"/>
    </row>
    <row r="47" customFormat="false" ht="15" hidden="false" customHeight="false" outlineLevel="0" collapsed="false">
      <c r="A47" s="33"/>
      <c r="B47" s="32"/>
      <c r="E47" s="32"/>
    </row>
    <row r="48" customFormat="false" ht="15" hidden="false" customHeight="false" outlineLevel="0" collapsed="false">
      <c r="A48" s="33"/>
      <c r="B48" s="32"/>
      <c r="E48" s="32"/>
    </row>
    <row r="49" customFormat="false" ht="15" hidden="false" customHeight="false" outlineLevel="0" collapsed="false">
      <c r="A49" s="33"/>
      <c r="B49" s="32"/>
      <c r="E49" s="32"/>
    </row>
    <row r="50" customFormat="false" ht="15" hidden="false" customHeight="false" outlineLevel="0" collapsed="false">
      <c r="A50" s="33"/>
      <c r="B50" s="32"/>
      <c r="E50" s="32"/>
    </row>
    <row r="51" customFormat="false" ht="15" hidden="false" customHeight="false" outlineLevel="0" collapsed="false">
      <c r="A51" s="33"/>
      <c r="B51" s="32"/>
      <c r="E51" s="32"/>
    </row>
    <row r="52" customFormat="false" ht="15" hidden="false" customHeight="false" outlineLevel="0" collapsed="false">
      <c r="A52" s="33"/>
      <c r="B52" s="32"/>
      <c r="E52" s="32"/>
    </row>
    <row r="53" customFormat="false" ht="15" hidden="false" customHeight="false" outlineLevel="0" collapsed="false">
      <c r="A53" s="33"/>
      <c r="B53" s="32"/>
      <c r="E53" s="32"/>
    </row>
    <row r="54" customFormat="false" ht="15" hidden="false" customHeight="false" outlineLevel="0" collapsed="false">
      <c r="A54" s="33"/>
      <c r="B54" s="32"/>
      <c r="E54" s="32"/>
    </row>
    <row r="55" customFormat="false" ht="15" hidden="false" customHeight="false" outlineLevel="0" collapsed="false">
      <c r="A55" s="33"/>
      <c r="B55" s="32"/>
      <c r="E55" s="32"/>
    </row>
    <row r="56" customFormat="false" ht="15" hidden="false" customHeight="false" outlineLevel="0" collapsed="false">
      <c r="A56" s="33"/>
      <c r="B56" s="32"/>
      <c r="E56" s="32"/>
    </row>
    <row r="57" customFormat="false" ht="15" hidden="false" customHeight="false" outlineLevel="0" collapsed="false">
      <c r="A57" s="33"/>
      <c r="B57" s="32"/>
      <c r="E57" s="32"/>
    </row>
    <row r="58" customFormat="false" ht="15" hidden="false" customHeight="false" outlineLevel="0" collapsed="false">
      <c r="A58" s="33"/>
      <c r="B58" s="32"/>
      <c r="E58" s="32"/>
    </row>
    <row r="59" customFormat="false" ht="15" hidden="false" customHeight="false" outlineLevel="0" collapsed="false">
      <c r="A59" s="33"/>
      <c r="B59" s="32"/>
      <c r="E59" s="32"/>
    </row>
    <row r="60" customFormat="false" ht="15" hidden="false" customHeight="false" outlineLevel="0" collapsed="false">
      <c r="A60" s="33"/>
      <c r="B60" s="32"/>
      <c r="E60" s="32"/>
    </row>
    <row r="61" customFormat="false" ht="15" hidden="false" customHeight="false" outlineLevel="0" collapsed="false">
      <c r="A61" s="33"/>
      <c r="B61" s="32"/>
      <c r="E61" s="32"/>
    </row>
    <row r="62" customFormat="false" ht="15" hidden="false" customHeight="false" outlineLevel="0" collapsed="false">
      <c r="A62" s="33"/>
      <c r="B62" s="32"/>
      <c r="E62" s="32"/>
    </row>
    <row r="63" customFormat="false" ht="15" hidden="false" customHeight="false" outlineLevel="0" collapsed="false">
      <c r="A63" s="33"/>
      <c r="B63" s="32"/>
      <c r="E63" s="32"/>
    </row>
    <row r="64" customFormat="false" ht="15" hidden="false" customHeight="false" outlineLevel="0" collapsed="false">
      <c r="A64" s="33"/>
      <c r="B64" s="32"/>
      <c r="E64" s="32"/>
    </row>
    <row r="65" customFormat="false" ht="15" hidden="false" customHeight="false" outlineLevel="0" collapsed="false">
      <c r="A65" s="33"/>
      <c r="B65" s="32"/>
      <c r="E65" s="32"/>
    </row>
    <row r="66" customFormat="false" ht="15" hidden="false" customHeight="false" outlineLevel="0" collapsed="false">
      <c r="A66" s="33"/>
      <c r="B66" s="32"/>
      <c r="E66" s="32"/>
    </row>
    <row r="67" customFormat="false" ht="15" hidden="false" customHeight="false" outlineLevel="0" collapsed="false">
      <c r="A67" s="33"/>
      <c r="B67" s="32"/>
      <c r="E67" s="32"/>
    </row>
    <row r="68" customFormat="false" ht="15" hidden="false" customHeight="false" outlineLevel="0" collapsed="false">
      <c r="A68" s="33"/>
      <c r="B68" s="32"/>
      <c r="E68" s="32"/>
    </row>
    <row r="69" customFormat="false" ht="15" hidden="false" customHeight="false" outlineLevel="0" collapsed="false">
      <c r="A69" s="33"/>
      <c r="B69" s="32"/>
      <c r="E69" s="32"/>
    </row>
    <row r="70" customFormat="false" ht="15" hidden="false" customHeight="false" outlineLevel="0" collapsed="false">
      <c r="A70" s="33"/>
      <c r="B70" s="32"/>
      <c r="E70" s="32"/>
    </row>
    <row r="71" customFormat="false" ht="15" hidden="false" customHeight="false" outlineLevel="0" collapsed="false">
      <c r="A71" s="33"/>
      <c r="B71" s="32"/>
      <c r="E71" s="32"/>
    </row>
    <row r="72" customFormat="false" ht="15" hidden="false" customHeight="false" outlineLevel="0" collapsed="false">
      <c r="A72" s="33"/>
      <c r="B72" s="32"/>
      <c r="E72" s="32"/>
    </row>
    <row r="73" customFormat="false" ht="15" hidden="false" customHeight="false" outlineLevel="0" collapsed="false">
      <c r="A73" s="33"/>
      <c r="B73" s="32"/>
      <c r="E73" s="32"/>
    </row>
    <row r="74" customFormat="false" ht="15" hidden="false" customHeight="false" outlineLevel="0" collapsed="false">
      <c r="A74" s="33"/>
      <c r="B74" s="32"/>
      <c r="E74" s="32"/>
    </row>
    <row r="75" customFormat="false" ht="15" hidden="false" customHeight="false" outlineLevel="0" collapsed="false">
      <c r="A75" s="33"/>
      <c r="B75" s="32"/>
      <c r="E75" s="32"/>
    </row>
    <row r="76" customFormat="false" ht="15" hidden="false" customHeight="false" outlineLevel="0" collapsed="false">
      <c r="A76" s="33"/>
      <c r="B76" s="32"/>
      <c r="E76" s="32"/>
    </row>
    <row r="77" customFormat="false" ht="15" hidden="false" customHeight="false" outlineLevel="0" collapsed="false">
      <c r="A77" s="33"/>
      <c r="B77" s="32"/>
      <c r="E77" s="32"/>
    </row>
    <row r="78" customFormat="false" ht="15" hidden="false" customHeight="false" outlineLevel="0" collapsed="false">
      <c r="A78" s="33"/>
      <c r="B78" s="32"/>
      <c r="E78" s="32"/>
    </row>
    <row r="79" customFormat="false" ht="15" hidden="false" customHeight="false" outlineLevel="0" collapsed="false">
      <c r="A79" s="33"/>
      <c r="B79" s="32"/>
      <c r="E79" s="32"/>
    </row>
    <row r="80" customFormat="false" ht="15" hidden="false" customHeight="false" outlineLevel="0" collapsed="false">
      <c r="A80" s="33"/>
      <c r="B80" s="32"/>
      <c r="E80" s="32"/>
    </row>
    <row r="81" customFormat="false" ht="15" hidden="false" customHeight="false" outlineLevel="0" collapsed="false">
      <c r="A81" s="33"/>
      <c r="B81" s="32"/>
      <c r="E81" s="32"/>
    </row>
    <row r="82" customFormat="false" ht="15" hidden="false" customHeight="false" outlineLevel="0" collapsed="false">
      <c r="A82" s="33"/>
      <c r="B82" s="32"/>
      <c r="E82" s="32"/>
    </row>
    <row r="83" customFormat="false" ht="15" hidden="false" customHeight="false" outlineLevel="0" collapsed="false">
      <c r="A83" s="33"/>
      <c r="B83" s="32"/>
      <c r="E83" s="32"/>
    </row>
    <row r="84" customFormat="false" ht="15" hidden="false" customHeight="false" outlineLevel="0" collapsed="false">
      <c r="A84" s="33"/>
      <c r="B84" s="32"/>
      <c r="E84" s="32"/>
    </row>
    <row r="85" customFormat="false" ht="15" hidden="false" customHeight="false" outlineLevel="0" collapsed="false">
      <c r="A85" s="33"/>
      <c r="B85" s="32"/>
      <c r="E85" s="32"/>
    </row>
    <row r="86" customFormat="false" ht="15" hidden="false" customHeight="false" outlineLevel="0" collapsed="false">
      <c r="A86" s="33"/>
      <c r="B86" s="32"/>
      <c r="E86" s="32"/>
    </row>
    <row r="87" customFormat="false" ht="15" hidden="false" customHeight="false" outlineLevel="0" collapsed="false">
      <c r="A87" s="33"/>
      <c r="B87" s="32"/>
      <c r="E87" s="32"/>
    </row>
    <row r="88" customFormat="false" ht="15" hidden="false" customHeight="false" outlineLevel="0" collapsed="false">
      <c r="A88" s="33"/>
      <c r="B88" s="32"/>
      <c r="E88" s="32"/>
    </row>
    <row r="89" customFormat="false" ht="15" hidden="false" customHeight="false" outlineLevel="0" collapsed="false">
      <c r="A89" s="33"/>
      <c r="B89" s="32"/>
      <c r="E89" s="32"/>
    </row>
    <row r="90" customFormat="false" ht="15" hidden="false" customHeight="false" outlineLevel="0" collapsed="false">
      <c r="A90" s="33"/>
      <c r="B90" s="32"/>
      <c r="E90" s="32"/>
    </row>
    <row r="91" customFormat="false" ht="15" hidden="false" customHeight="false" outlineLevel="0" collapsed="false">
      <c r="A91" s="33"/>
      <c r="B91" s="32"/>
      <c r="E91" s="32"/>
    </row>
    <row r="92" customFormat="false" ht="15" hidden="false" customHeight="false" outlineLevel="0" collapsed="false">
      <c r="A92" s="33"/>
      <c r="B92" s="32"/>
      <c r="E92" s="32"/>
    </row>
    <row r="93" customFormat="false" ht="15" hidden="false" customHeight="false" outlineLevel="0" collapsed="false">
      <c r="A93" s="33"/>
      <c r="B93" s="32"/>
      <c r="E93" s="32"/>
    </row>
    <row r="94" customFormat="false" ht="15" hidden="false" customHeight="false" outlineLevel="0" collapsed="false">
      <c r="A94" s="33"/>
      <c r="B94" s="32"/>
      <c r="E94" s="32"/>
    </row>
    <row r="95" customFormat="false" ht="15" hidden="false" customHeight="false" outlineLevel="0" collapsed="false">
      <c r="A95" s="33"/>
      <c r="B95" s="32"/>
      <c r="E95" s="32"/>
    </row>
    <row r="96" customFormat="false" ht="15" hidden="false" customHeight="false" outlineLevel="0" collapsed="false">
      <c r="A96" s="33"/>
      <c r="B96" s="32"/>
      <c r="E96" s="32"/>
    </row>
    <row r="97" customFormat="false" ht="15" hidden="false" customHeight="false" outlineLevel="0" collapsed="false">
      <c r="A97" s="33"/>
      <c r="B97" s="32"/>
      <c r="E97" s="32"/>
    </row>
    <row r="98" customFormat="false" ht="15" hidden="false" customHeight="false" outlineLevel="0" collapsed="false">
      <c r="A98" s="33"/>
      <c r="B98" s="32"/>
      <c r="E98" s="32"/>
    </row>
    <row r="99" customFormat="false" ht="15" hidden="false" customHeight="false" outlineLevel="0" collapsed="false">
      <c r="A99" s="33"/>
      <c r="B99" s="32"/>
      <c r="E99" s="32"/>
    </row>
    <row r="100" customFormat="false" ht="15" hidden="false" customHeight="false" outlineLevel="0" collapsed="false">
      <c r="A100" s="33"/>
      <c r="B100" s="32"/>
      <c r="E100" s="32"/>
    </row>
    <row r="101" customFormat="false" ht="15" hidden="false" customHeight="false" outlineLevel="0" collapsed="false">
      <c r="A101" s="33"/>
      <c r="B101" s="32"/>
      <c r="E101" s="32"/>
    </row>
  </sheetData>
  <dataValidations count="2">
    <dataValidation allowBlank="true" errorStyle="stop" operator="between" showDropDown="false" showErrorMessage="false" showInputMessage="false" sqref="B2:B101" type="list">
      <formula1>Lists!$X$2:$X$3</formula1>
      <formula2>0</formula2>
    </dataValidation>
    <dataValidation allowBlank="true" errorStyle="stop" operator="between" showDropDown="false" showErrorMessage="false" showInputMessage="false" sqref="E2:E101" type="list">
      <formula1>Lists!$W$2:$W$3</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37" t="s">
        <v>1045</v>
      </c>
      <c r="B1" s="37" t="s">
        <v>301</v>
      </c>
      <c r="C1" s="37" t="s">
        <v>300</v>
      </c>
      <c r="D1" s="37" t="s">
        <v>1046</v>
      </c>
      <c r="E1" s="37" t="s">
        <v>1047</v>
      </c>
      <c r="F1" s="37" t="s">
        <v>1048</v>
      </c>
      <c r="G1" s="37" t="s">
        <v>1049</v>
      </c>
      <c r="H1" s="37" t="s">
        <v>1050</v>
      </c>
      <c r="I1" s="37" t="s">
        <v>1051</v>
      </c>
      <c r="J1" s="37" t="s">
        <v>306</v>
      </c>
      <c r="K1" s="37" t="s">
        <v>1052</v>
      </c>
      <c r="L1" s="37" t="s">
        <v>1053</v>
      </c>
      <c r="M1" s="37" t="s">
        <v>1054</v>
      </c>
      <c r="N1" s="37" t="s">
        <v>1055</v>
      </c>
      <c r="O1" s="37" t="s">
        <v>1056</v>
      </c>
      <c r="P1" s="37" t="s">
        <v>1057</v>
      </c>
      <c r="Q1" s="37" t="s">
        <v>1058</v>
      </c>
      <c r="R1" s="37" t="s">
        <v>1059</v>
      </c>
      <c r="S1" s="37" t="s">
        <v>1060</v>
      </c>
      <c r="T1" s="37" t="s">
        <v>1061</v>
      </c>
      <c r="U1" s="37" t="s">
        <v>1062</v>
      </c>
      <c r="V1" s="37" t="s">
        <v>1063</v>
      </c>
      <c r="W1" s="37" t="s">
        <v>1064</v>
      </c>
      <c r="X1" s="37" t="s">
        <v>1065</v>
      </c>
      <c r="Y1" s="37" t="s">
        <v>1066</v>
      </c>
      <c r="Z1" s="37" t="s">
        <v>1067</v>
      </c>
      <c r="AA1" s="37" t="s">
        <v>1068</v>
      </c>
      <c r="AB1" s="37" t="s">
        <v>1069</v>
      </c>
      <c r="AC1" s="37" t="s">
        <v>1070</v>
      </c>
      <c r="AD1" s="37" t="s">
        <v>1071</v>
      </c>
      <c r="AE1" s="37" t="s">
        <v>307</v>
      </c>
      <c r="AF1" s="37" t="s">
        <v>1072</v>
      </c>
      <c r="AG1" s="37" t="s">
        <v>343</v>
      </c>
      <c r="AH1" s="37" t="s">
        <v>1073</v>
      </c>
      <c r="AI1" s="37" t="s">
        <v>1074</v>
      </c>
      <c r="AJ1" s="37" t="s">
        <v>1075</v>
      </c>
      <c r="AK1" s="37" t="s">
        <v>1076</v>
      </c>
      <c r="AL1" s="37" t="s">
        <v>1077</v>
      </c>
    </row>
    <row r="2" customFormat="false" ht="15" hidden="false" customHeight="false" outlineLevel="0" collapsed="false">
      <c r="A2" s="0" t="s">
        <v>1078</v>
      </c>
      <c r="B2" s="0" t="s">
        <v>449</v>
      </c>
      <c r="C2" s="0" t="s">
        <v>448</v>
      </c>
      <c r="D2" s="0" t="s">
        <v>1016</v>
      </c>
      <c r="E2" s="0" t="s">
        <v>1079</v>
      </c>
      <c r="F2" s="0" t="s">
        <v>451</v>
      </c>
      <c r="I2" s="0" t="s">
        <v>1080</v>
      </c>
      <c r="J2" s="0" t="s">
        <v>453</v>
      </c>
      <c r="K2" s="0" t="n">
        <v>99</v>
      </c>
      <c r="L2" s="0" t="s">
        <v>1081</v>
      </c>
      <c r="U2" s="0" t="s">
        <v>1082</v>
      </c>
      <c r="V2" s="0" t="s">
        <v>457</v>
      </c>
      <c r="X2" s="33" t="n">
        <v>46317</v>
      </c>
      <c r="Y2" s="33" t="n">
        <v>46321</v>
      </c>
      <c r="Z2" s="32" t="s">
        <v>196</v>
      </c>
      <c r="AC2" s="33" t="n">
        <v>46322</v>
      </c>
      <c r="AD2" s="32" t="s">
        <v>1083</v>
      </c>
      <c r="AE2" s="33" t="n">
        <v>46332</v>
      </c>
      <c r="AF2" s="32" t="s">
        <v>1084</v>
      </c>
      <c r="AG2" s="32" t="s">
        <v>460</v>
      </c>
      <c r="AL2" s="32" t="s">
        <v>448</v>
      </c>
    </row>
    <row r="3" customFormat="false" ht="15" hidden="false" customHeight="false" outlineLevel="0" collapsed="false">
      <c r="A3" s="0" t="s">
        <v>1085</v>
      </c>
      <c r="B3" s="0" t="s">
        <v>477</v>
      </c>
      <c r="C3" s="0" t="s">
        <v>476</v>
      </c>
      <c r="D3" s="0" t="s">
        <v>1016</v>
      </c>
      <c r="E3" s="0" t="s">
        <v>1086</v>
      </c>
      <c r="F3" s="0" t="s">
        <v>451</v>
      </c>
      <c r="I3" s="0" t="s">
        <v>1080</v>
      </c>
      <c r="J3" s="0" t="s">
        <v>481</v>
      </c>
      <c r="K3" s="0" t="n">
        <v>98</v>
      </c>
      <c r="L3" s="0" t="s">
        <v>1081</v>
      </c>
      <c r="U3" s="0" t="s">
        <v>343</v>
      </c>
      <c r="V3" s="0" t="s">
        <v>457</v>
      </c>
      <c r="X3" s="33" t="n">
        <v>46317</v>
      </c>
      <c r="Y3" s="33" t="n">
        <v>46321</v>
      </c>
      <c r="Z3" s="32" t="s">
        <v>198</v>
      </c>
      <c r="AC3" s="33" t="n">
        <v>46322</v>
      </c>
      <c r="AD3" s="32" t="s">
        <v>1083</v>
      </c>
      <c r="AE3" s="33" t="n">
        <v>46323</v>
      </c>
      <c r="AF3" s="32" t="s">
        <v>1087</v>
      </c>
      <c r="AG3" s="32" t="s">
        <v>460</v>
      </c>
      <c r="AL3" s="32" t="s">
        <v>476</v>
      </c>
    </row>
    <row r="4" customFormat="false" ht="15" hidden="false" customHeight="false" outlineLevel="0" collapsed="false">
      <c r="A4" s="0" t="s">
        <v>1088</v>
      </c>
      <c r="B4" s="0" t="s">
        <v>491</v>
      </c>
      <c r="C4" s="0" t="s">
        <v>490</v>
      </c>
      <c r="D4" s="0" t="s">
        <v>1016</v>
      </c>
      <c r="E4" s="0" t="s">
        <v>1089</v>
      </c>
      <c r="F4" s="0" t="s">
        <v>451</v>
      </c>
      <c r="I4" s="0" t="s">
        <v>1080</v>
      </c>
      <c r="J4" s="0" t="s">
        <v>493</v>
      </c>
      <c r="K4" s="0" t="n">
        <v>97</v>
      </c>
      <c r="L4" s="0" t="s">
        <v>1081</v>
      </c>
      <c r="U4" s="0" t="s">
        <v>1090</v>
      </c>
      <c r="V4" s="0" t="s">
        <v>457</v>
      </c>
      <c r="X4" s="33" t="n">
        <v>46317</v>
      </c>
      <c r="Y4" s="33" t="n">
        <v>46321</v>
      </c>
      <c r="Z4" s="32" t="s">
        <v>196</v>
      </c>
      <c r="AC4" s="33" t="n">
        <v>46322</v>
      </c>
      <c r="AD4" s="32" t="s">
        <v>1083</v>
      </c>
      <c r="AE4" s="33" t="n">
        <v>46324</v>
      </c>
      <c r="AF4" s="32" t="s">
        <v>1091</v>
      </c>
      <c r="AG4" s="32" t="s">
        <v>457</v>
      </c>
      <c r="AL4" s="32" t="s">
        <v>490</v>
      </c>
    </row>
    <row r="5" customFormat="false" ht="15" hidden="false" customHeight="false" outlineLevel="0" collapsed="false">
      <c r="A5" s="0" t="s">
        <v>1092</v>
      </c>
      <c r="B5" s="0" t="s">
        <v>503</v>
      </c>
      <c r="C5" s="0" t="s">
        <v>502</v>
      </c>
      <c r="D5" s="0" t="s">
        <v>1016</v>
      </c>
      <c r="E5" s="0" t="s">
        <v>1093</v>
      </c>
      <c r="F5" s="0" t="s">
        <v>451</v>
      </c>
      <c r="I5" s="0" t="s">
        <v>1080</v>
      </c>
      <c r="J5" s="0" t="s">
        <v>481</v>
      </c>
      <c r="K5" s="0" t="n">
        <v>96</v>
      </c>
      <c r="L5" s="0" t="s">
        <v>1081</v>
      </c>
      <c r="U5" s="0" t="s">
        <v>1094</v>
      </c>
      <c r="V5" s="0" t="s">
        <v>457</v>
      </c>
      <c r="X5" s="33" t="n">
        <v>46317</v>
      </c>
      <c r="Y5" s="33" t="n">
        <v>46322</v>
      </c>
      <c r="Z5" s="32" t="s">
        <v>198</v>
      </c>
      <c r="AC5" s="33" t="n">
        <v>46323</v>
      </c>
      <c r="AD5" s="32" t="s">
        <v>1083</v>
      </c>
      <c r="AE5" s="33" t="n">
        <v>46338</v>
      </c>
      <c r="AF5" s="32" t="s">
        <v>1095</v>
      </c>
      <c r="AG5" s="32" t="s">
        <v>457</v>
      </c>
      <c r="AL5" s="32" t="s">
        <v>502</v>
      </c>
    </row>
    <row r="6" customFormat="false" ht="15" hidden="false" customHeight="false" outlineLevel="0" collapsed="false">
      <c r="A6" s="0" t="s">
        <v>1096</v>
      </c>
      <c r="B6" s="0" t="s">
        <v>514</v>
      </c>
      <c r="C6" s="0" t="s">
        <v>513</v>
      </c>
      <c r="D6" s="0" t="s">
        <v>1016</v>
      </c>
      <c r="E6" s="0" t="s">
        <v>1097</v>
      </c>
      <c r="F6" s="0" t="s">
        <v>451</v>
      </c>
      <c r="I6" s="0" t="s">
        <v>1080</v>
      </c>
      <c r="J6" s="0" t="s">
        <v>481</v>
      </c>
      <c r="K6" s="0" t="n">
        <v>95</v>
      </c>
      <c r="L6" s="0" t="s">
        <v>1081</v>
      </c>
      <c r="U6" s="0" t="s">
        <v>1090</v>
      </c>
      <c r="V6" s="0" t="s">
        <v>457</v>
      </c>
      <c r="X6" s="33" t="n">
        <v>46317</v>
      </c>
      <c r="Y6" s="33" t="n">
        <v>46323</v>
      </c>
      <c r="Z6" s="32" t="s">
        <v>196</v>
      </c>
      <c r="AC6" s="33" t="n">
        <v>46324</v>
      </c>
      <c r="AD6" s="32" t="s">
        <v>1083</v>
      </c>
      <c r="AE6" s="33" t="n">
        <v>46329</v>
      </c>
      <c r="AF6" s="32" t="s">
        <v>1098</v>
      </c>
      <c r="AG6" s="32" t="s">
        <v>457</v>
      </c>
      <c r="AL6" s="32" t="s">
        <v>513</v>
      </c>
    </row>
    <row r="7" customFormat="false" ht="15" hidden="false" customHeight="false" outlineLevel="0" collapsed="false">
      <c r="A7" s="0" t="s">
        <v>1099</v>
      </c>
      <c r="B7" s="0" t="s">
        <v>521</v>
      </c>
      <c r="C7" s="0" t="s">
        <v>520</v>
      </c>
      <c r="D7" s="0" t="s">
        <v>1016</v>
      </c>
      <c r="E7" s="0" t="s">
        <v>1100</v>
      </c>
      <c r="F7" s="0" t="s">
        <v>451</v>
      </c>
      <c r="I7" s="0" t="s">
        <v>1080</v>
      </c>
      <c r="J7" s="0" t="s">
        <v>493</v>
      </c>
      <c r="K7" s="0" t="n">
        <v>94</v>
      </c>
      <c r="L7" s="0" t="s">
        <v>1081</v>
      </c>
      <c r="U7" s="0" t="s">
        <v>1082</v>
      </c>
      <c r="V7" s="0" t="s">
        <v>457</v>
      </c>
      <c r="X7" s="33" t="n">
        <v>46317</v>
      </c>
      <c r="Y7" s="33" t="n">
        <v>46324</v>
      </c>
      <c r="Z7" s="32" t="s">
        <v>198</v>
      </c>
      <c r="AC7" s="33" t="n">
        <v>46325</v>
      </c>
      <c r="AD7" s="32" t="s">
        <v>1083</v>
      </c>
      <c r="AE7" s="33" t="n">
        <v>46330</v>
      </c>
      <c r="AF7" s="32" t="s">
        <v>1101</v>
      </c>
      <c r="AL7" s="32" t="s">
        <v>520</v>
      </c>
    </row>
    <row r="8" customFormat="false" ht="15" hidden="false" customHeight="false" outlineLevel="0" collapsed="false">
      <c r="A8" s="0" t="s">
        <v>1102</v>
      </c>
      <c r="B8" s="0" t="s">
        <v>532</v>
      </c>
      <c r="C8" s="0" t="s">
        <v>531</v>
      </c>
      <c r="D8" s="0" t="s">
        <v>1016</v>
      </c>
      <c r="E8" s="0" t="s">
        <v>1103</v>
      </c>
      <c r="F8" s="0" t="s">
        <v>451</v>
      </c>
      <c r="I8" s="0" t="s">
        <v>1080</v>
      </c>
      <c r="J8" s="0" t="s">
        <v>481</v>
      </c>
      <c r="K8" s="0" t="n">
        <v>93</v>
      </c>
      <c r="L8" s="0" t="s">
        <v>1081</v>
      </c>
      <c r="U8" s="0" t="s">
        <v>1090</v>
      </c>
      <c r="V8" s="0" t="s">
        <v>457</v>
      </c>
      <c r="X8" s="33" t="n">
        <v>46317</v>
      </c>
      <c r="Y8" s="33" t="n">
        <v>46325</v>
      </c>
      <c r="Z8" s="32" t="s">
        <v>196</v>
      </c>
      <c r="AC8" s="33" t="n">
        <v>46328</v>
      </c>
      <c r="AD8" s="32" t="s">
        <v>1083</v>
      </c>
      <c r="AE8" s="33" t="n">
        <v>46331</v>
      </c>
      <c r="AF8" s="32" t="s">
        <v>1104</v>
      </c>
      <c r="AG8" s="32" t="s">
        <v>457</v>
      </c>
      <c r="AL8" s="32" t="s">
        <v>531</v>
      </c>
    </row>
    <row r="9" customFormat="false" ht="15" hidden="false" customHeight="false" outlineLevel="0" collapsed="false">
      <c r="A9" s="0" t="s">
        <v>1105</v>
      </c>
      <c r="B9" s="0" t="s">
        <v>541</v>
      </c>
      <c r="C9" s="0" t="s">
        <v>540</v>
      </c>
      <c r="D9" s="0" t="s">
        <v>1016</v>
      </c>
      <c r="E9" s="0" t="s">
        <v>1106</v>
      </c>
      <c r="F9" s="0" t="s">
        <v>451</v>
      </c>
      <c r="I9" s="0" t="s">
        <v>1080</v>
      </c>
      <c r="J9" s="0" t="s">
        <v>453</v>
      </c>
      <c r="K9" s="0" t="n">
        <v>92</v>
      </c>
      <c r="L9" s="0" t="s">
        <v>1081</v>
      </c>
      <c r="U9" s="0" t="s">
        <v>1082</v>
      </c>
      <c r="V9" s="0" t="s">
        <v>457</v>
      </c>
      <c r="X9" s="33" t="n">
        <v>46317</v>
      </c>
      <c r="Y9" s="33" t="n">
        <v>46329</v>
      </c>
      <c r="Z9" s="32" t="s">
        <v>198</v>
      </c>
      <c r="AC9" s="33" t="n">
        <v>46330</v>
      </c>
      <c r="AD9" s="32" t="s">
        <v>1083</v>
      </c>
      <c r="AE9" s="33" t="n">
        <v>46335</v>
      </c>
      <c r="AF9" s="32" t="s">
        <v>1107</v>
      </c>
      <c r="AG9" s="32" t="s">
        <v>460</v>
      </c>
      <c r="AL9" s="32" t="s">
        <v>540</v>
      </c>
    </row>
    <row r="10" customFormat="false" ht="15" hidden="false" customHeight="false" outlineLevel="0" collapsed="false">
      <c r="A10" s="0" t="s">
        <v>1108</v>
      </c>
      <c r="B10" s="0" t="s">
        <v>551</v>
      </c>
      <c r="C10" s="0" t="s">
        <v>550</v>
      </c>
      <c r="D10" s="0" t="s">
        <v>1016</v>
      </c>
      <c r="E10" s="0" t="s">
        <v>1109</v>
      </c>
      <c r="F10" s="0" t="s">
        <v>451</v>
      </c>
      <c r="I10" s="0" t="s">
        <v>1080</v>
      </c>
      <c r="J10" s="0" t="s">
        <v>481</v>
      </c>
      <c r="K10" s="0" t="n">
        <v>91</v>
      </c>
      <c r="L10" s="0" t="s">
        <v>1081</v>
      </c>
      <c r="U10" s="0" t="s">
        <v>1090</v>
      </c>
      <c r="V10" s="0" t="s">
        <v>457</v>
      </c>
      <c r="X10" s="33" t="n">
        <v>46317</v>
      </c>
      <c r="Y10" s="33" t="n">
        <v>46330</v>
      </c>
      <c r="Z10" s="32" t="s">
        <v>196</v>
      </c>
      <c r="AC10" s="33" t="n">
        <v>46331</v>
      </c>
      <c r="AD10" s="32" t="s">
        <v>1083</v>
      </c>
      <c r="AE10" s="33" t="n">
        <v>46336</v>
      </c>
      <c r="AF10" s="32" t="s">
        <v>1110</v>
      </c>
      <c r="AG10" s="32" t="s">
        <v>457</v>
      </c>
      <c r="AL10" s="32" t="s">
        <v>550</v>
      </c>
    </row>
    <row r="11" customFormat="false" ht="15" hidden="false" customHeight="false" outlineLevel="0" collapsed="false">
      <c r="A11" s="0" t="s">
        <v>1111</v>
      </c>
      <c r="B11" s="0" t="s">
        <v>557</v>
      </c>
      <c r="C11" s="0" t="s">
        <v>556</v>
      </c>
      <c r="D11" s="0" t="s">
        <v>1016</v>
      </c>
      <c r="E11" s="0" t="s">
        <v>1112</v>
      </c>
      <c r="F11" s="0" t="s">
        <v>451</v>
      </c>
      <c r="I11" s="0" t="s">
        <v>1080</v>
      </c>
      <c r="J11" s="0" t="s">
        <v>453</v>
      </c>
      <c r="K11" s="0" t="n">
        <v>90</v>
      </c>
      <c r="L11" s="0" t="s">
        <v>1081</v>
      </c>
      <c r="U11" s="0" t="s">
        <v>1082</v>
      </c>
      <c r="V11" s="0" t="s">
        <v>457</v>
      </c>
      <c r="X11" s="33" t="n">
        <v>46317</v>
      </c>
      <c r="Y11" s="33" t="n">
        <v>46330</v>
      </c>
      <c r="Z11" s="32" t="s">
        <v>198</v>
      </c>
      <c r="AC11" s="33" t="n">
        <v>46331</v>
      </c>
      <c r="AD11" s="32" t="s">
        <v>1083</v>
      </c>
      <c r="AE11" s="33" t="n">
        <v>46336</v>
      </c>
      <c r="AF11" s="32" t="s">
        <v>1110</v>
      </c>
      <c r="AG11" s="32" t="s">
        <v>460</v>
      </c>
      <c r="AL11" s="32" t="s">
        <v>556</v>
      </c>
    </row>
    <row r="12" customFormat="false" ht="15" hidden="false" customHeight="false" outlineLevel="0" collapsed="false">
      <c r="A12" s="0" t="s">
        <v>1113</v>
      </c>
      <c r="B12" s="0" t="s">
        <v>566</v>
      </c>
      <c r="C12" s="0" t="s">
        <v>565</v>
      </c>
      <c r="D12" s="0" t="s">
        <v>1016</v>
      </c>
      <c r="E12" s="0" t="s">
        <v>1114</v>
      </c>
      <c r="F12" s="0" t="s">
        <v>451</v>
      </c>
      <c r="I12" s="0" t="s">
        <v>1080</v>
      </c>
      <c r="J12" s="0" t="s">
        <v>481</v>
      </c>
      <c r="K12" s="0" t="n">
        <v>89</v>
      </c>
      <c r="L12" s="0" t="s">
        <v>1081</v>
      </c>
      <c r="U12" s="0" t="s">
        <v>343</v>
      </c>
      <c r="V12" s="0" t="s">
        <v>457</v>
      </c>
      <c r="X12" s="33" t="n">
        <v>46317</v>
      </c>
      <c r="Y12" s="33" t="n">
        <v>46331</v>
      </c>
      <c r="Z12" s="32" t="s">
        <v>196</v>
      </c>
      <c r="AC12" s="33" t="n">
        <v>46332</v>
      </c>
      <c r="AD12" s="32" t="s">
        <v>1083</v>
      </c>
      <c r="AE12" s="33" t="n">
        <v>46338</v>
      </c>
      <c r="AF12" s="32" t="s">
        <v>1095</v>
      </c>
      <c r="AG12" s="32" t="s">
        <v>460</v>
      </c>
      <c r="AL12" s="32" t="s">
        <v>565</v>
      </c>
    </row>
    <row r="13" customFormat="false" ht="15" hidden="false" customHeight="false" outlineLevel="0" collapsed="false">
      <c r="A13" s="0" t="s">
        <v>1115</v>
      </c>
      <c r="B13" s="0" t="s">
        <v>573</v>
      </c>
      <c r="C13" s="0" t="s">
        <v>572</v>
      </c>
      <c r="D13" s="0" t="s">
        <v>1016</v>
      </c>
      <c r="E13" s="0" t="s">
        <v>1116</v>
      </c>
      <c r="F13" s="0" t="s">
        <v>451</v>
      </c>
      <c r="I13" s="0" t="s">
        <v>1080</v>
      </c>
      <c r="J13" s="0" t="s">
        <v>481</v>
      </c>
      <c r="K13" s="0" t="n">
        <v>88</v>
      </c>
      <c r="L13" s="0" t="s">
        <v>1081</v>
      </c>
      <c r="U13" s="0" t="s">
        <v>1090</v>
      </c>
      <c r="V13" s="0" t="s">
        <v>457</v>
      </c>
      <c r="X13" s="33" t="n">
        <v>46317</v>
      </c>
      <c r="Y13" s="33" t="n">
        <v>46331</v>
      </c>
      <c r="Z13" s="32" t="s">
        <v>198</v>
      </c>
      <c r="AC13" s="33" t="n">
        <v>46332</v>
      </c>
      <c r="AD13" s="32" t="s">
        <v>1083</v>
      </c>
      <c r="AE13" s="33" t="n">
        <v>46338</v>
      </c>
      <c r="AF13" s="32" t="s">
        <v>1095</v>
      </c>
      <c r="AG13" s="32" t="s">
        <v>457</v>
      </c>
      <c r="AL13" s="32" t="s">
        <v>572</v>
      </c>
    </row>
    <row r="14" customFormat="false" ht="15" hidden="false" customHeight="false" outlineLevel="0" collapsed="false">
      <c r="A14" s="0" t="s">
        <v>1117</v>
      </c>
      <c r="B14" s="0" t="s">
        <v>583</v>
      </c>
      <c r="C14" s="0" t="s">
        <v>582</v>
      </c>
      <c r="D14" s="0" t="s">
        <v>1016</v>
      </c>
      <c r="E14" s="0" t="s">
        <v>1118</v>
      </c>
      <c r="F14" s="0" t="s">
        <v>451</v>
      </c>
      <c r="I14" s="0" t="s">
        <v>1080</v>
      </c>
      <c r="J14" s="0" t="s">
        <v>493</v>
      </c>
      <c r="K14" s="0" t="n">
        <v>87</v>
      </c>
      <c r="L14" s="0" t="s">
        <v>1081</v>
      </c>
      <c r="U14" s="0" t="s">
        <v>1082</v>
      </c>
      <c r="V14" s="0" t="s">
        <v>457</v>
      </c>
      <c r="X14" s="33" t="n">
        <v>46317</v>
      </c>
      <c r="Y14" s="33" t="n">
        <v>46332</v>
      </c>
      <c r="Z14" s="32" t="s">
        <v>196</v>
      </c>
      <c r="AC14" s="33" t="n">
        <v>46335</v>
      </c>
      <c r="AD14" s="32" t="s">
        <v>1083</v>
      </c>
      <c r="AE14" s="33" t="n">
        <v>46339</v>
      </c>
      <c r="AF14" s="32" t="s">
        <v>1119</v>
      </c>
      <c r="AG14" s="32" t="s">
        <v>460</v>
      </c>
      <c r="AL14" s="32" t="s">
        <v>582</v>
      </c>
    </row>
    <row r="15" customFormat="false" ht="15" hidden="false" customHeight="false" outlineLevel="0" collapsed="false">
      <c r="A15" s="0" t="s">
        <v>1120</v>
      </c>
      <c r="B15" s="0" t="s">
        <v>1121</v>
      </c>
      <c r="C15" s="0" t="s">
        <v>1122</v>
      </c>
      <c r="D15" s="0" t="s">
        <v>1016</v>
      </c>
      <c r="E15" s="0" t="s">
        <v>1123</v>
      </c>
      <c r="F15" s="0" t="s">
        <v>451</v>
      </c>
      <c r="I15" s="0" t="s">
        <v>1080</v>
      </c>
      <c r="J15" s="0" t="s">
        <v>481</v>
      </c>
      <c r="K15" s="0" t="n">
        <v>85</v>
      </c>
      <c r="L15" s="0" t="s">
        <v>1081</v>
      </c>
      <c r="U15" s="0" t="s">
        <v>1124</v>
      </c>
      <c r="V15" s="0" t="s">
        <v>457</v>
      </c>
      <c r="X15" s="33" t="n">
        <v>46317</v>
      </c>
      <c r="Y15" s="33" t="n">
        <v>46330</v>
      </c>
      <c r="Z15" s="32" t="s">
        <v>196</v>
      </c>
      <c r="AB15" s="33" t="n">
        <v>46342</v>
      </c>
      <c r="AC15" s="33" t="n">
        <v>46331</v>
      </c>
      <c r="AD15" s="32" t="s">
        <v>1125</v>
      </c>
      <c r="AL15" s="32" t="s">
        <v>1122</v>
      </c>
    </row>
    <row r="16" customFormat="false" ht="15" hidden="false" customHeight="false" outlineLevel="0" collapsed="false">
      <c r="A16" s="0" t="s">
        <v>1126</v>
      </c>
      <c r="B16" s="0" t="s">
        <v>1127</v>
      </c>
      <c r="C16" s="0" t="s">
        <v>1128</v>
      </c>
      <c r="D16" s="0" t="s">
        <v>1016</v>
      </c>
      <c r="E16" s="0" t="s">
        <v>1129</v>
      </c>
      <c r="F16" s="0" t="s">
        <v>451</v>
      </c>
      <c r="I16" s="0" t="s">
        <v>1080</v>
      </c>
      <c r="J16" s="0" t="s">
        <v>481</v>
      </c>
      <c r="K16" s="0" t="n">
        <v>84</v>
      </c>
      <c r="L16" s="0" t="s">
        <v>1081</v>
      </c>
      <c r="U16" s="0" t="s">
        <v>1130</v>
      </c>
      <c r="V16" s="0" t="s">
        <v>457</v>
      </c>
      <c r="X16" s="33" t="n">
        <v>46317</v>
      </c>
      <c r="Y16" s="33" t="n">
        <v>46335</v>
      </c>
      <c r="Z16" s="32" t="s">
        <v>198</v>
      </c>
      <c r="AA16" s="33" t="n">
        <v>46339</v>
      </c>
      <c r="AC16" s="33" t="n">
        <v>46336</v>
      </c>
      <c r="AD16" s="32" t="s">
        <v>1130</v>
      </c>
      <c r="AH16" s="32" t="s">
        <v>1131</v>
      </c>
      <c r="AI16" s="33" t="n">
        <v>46406</v>
      </c>
      <c r="AL16" s="32" t="s">
        <v>1128</v>
      </c>
    </row>
    <row r="17" customFormat="false" ht="15" hidden="false" customHeight="false" outlineLevel="0" collapsed="false">
      <c r="A17" s="0" t="s">
        <v>1132</v>
      </c>
      <c r="B17" s="0" t="s">
        <v>1133</v>
      </c>
      <c r="C17" s="0" t="s">
        <v>1134</v>
      </c>
      <c r="D17" s="0" t="s">
        <v>1016</v>
      </c>
      <c r="E17" s="0" t="s">
        <v>1135</v>
      </c>
      <c r="F17" s="0" t="s">
        <v>451</v>
      </c>
      <c r="I17" s="0" t="s">
        <v>1080</v>
      </c>
      <c r="J17" s="0" t="s">
        <v>594</v>
      </c>
      <c r="K17" s="0" t="n">
        <v>83</v>
      </c>
      <c r="L17" s="0" t="s">
        <v>1081</v>
      </c>
      <c r="U17" s="0" t="s">
        <v>1124</v>
      </c>
      <c r="V17" s="0" t="s">
        <v>457</v>
      </c>
      <c r="X17" s="33" t="n">
        <v>46317</v>
      </c>
      <c r="Y17" s="33" t="n">
        <v>46339</v>
      </c>
      <c r="Z17" s="32" t="s">
        <v>196</v>
      </c>
      <c r="AA17" s="33" t="n">
        <v>46344</v>
      </c>
      <c r="AL17" s="32" t="s">
        <v>1134</v>
      </c>
    </row>
    <row r="18" customFormat="false" ht="15" hidden="false" customHeight="false" outlineLevel="0" collapsed="false">
      <c r="A18" s="0" t="s">
        <v>1136</v>
      </c>
      <c r="B18" s="0" t="s">
        <v>1137</v>
      </c>
      <c r="C18" s="0" t="s">
        <v>1138</v>
      </c>
      <c r="D18" s="0" t="s">
        <v>1016</v>
      </c>
      <c r="E18" s="0" t="s">
        <v>1139</v>
      </c>
      <c r="F18" s="0" t="s">
        <v>451</v>
      </c>
      <c r="I18" s="0" t="s">
        <v>1080</v>
      </c>
      <c r="J18" s="0" t="s">
        <v>594</v>
      </c>
      <c r="K18" s="0" t="n">
        <v>82</v>
      </c>
      <c r="L18" s="0" t="s">
        <v>1081</v>
      </c>
      <c r="U18" s="0" t="s">
        <v>1094</v>
      </c>
      <c r="V18" s="0" t="s">
        <v>457</v>
      </c>
      <c r="X18" s="33" t="n">
        <v>46317</v>
      </c>
      <c r="Y18" s="33" t="n">
        <v>46344</v>
      </c>
      <c r="Z18" s="32" t="s">
        <v>198</v>
      </c>
      <c r="AA18" s="33" t="n">
        <v>46349</v>
      </c>
      <c r="AC18" s="33" t="n">
        <v>46345</v>
      </c>
      <c r="AD18" s="32" t="s">
        <v>497</v>
      </c>
      <c r="AL18" s="32" t="s">
        <v>1138</v>
      </c>
    </row>
    <row r="19" customFormat="false" ht="15" hidden="false" customHeight="false" outlineLevel="0" collapsed="false">
      <c r="A19" s="0" t="s">
        <v>1140</v>
      </c>
      <c r="B19" s="0" t="s">
        <v>1141</v>
      </c>
      <c r="C19" s="0" t="s">
        <v>1142</v>
      </c>
      <c r="D19" s="0" t="s">
        <v>1016</v>
      </c>
      <c r="E19" s="0" t="s">
        <v>1143</v>
      </c>
      <c r="F19" s="0" t="s">
        <v>451</v>
      </c>
      <c r="I19" s="0" t="s">
        <v>1080</v>
      </c>
      <c r="J19" s="0" t="s">
        <v>481</v>
      </c>
      <c r="K19" s="0" t="n">
        <v>81</v>
      </c>
      <c r="L19" s="0" t="s">
        <v>1081</v>
      </c>
      <c r="U19" s="0" t="s">
        <v>1124</v>
      </c>
      <c r="V19" s="0" t="s">
        <v>457</v>
      </c>
      <c r="X19" s="33" t="n">
        <v>46317</v>
      </c>
      <c r="Y19" s="33" t="n">
        <v>46321</v>
      </c>
      <c r="Z19" s="32" t="s">
        <v>196</v>
      </c>
      <c r="AA19" s="33" t="n">
        <v>46324</v>
      </c>
      <c r="AL19" s="32" t="s">
        <v>1142</v>
      </c>
    </row>
    <row r="20" customFormat="false" ht="15" hidden="false" customHeight="false" outlineLevel="0" collapsed="false">
      <c r="A20" s="0" t="s">
        <v>1144</v>
      </c>
      <c r="B20" s="0" t="s">
        <v>1145</v>
      </c>
      <c r="C20" s="0" t="s">
        <v>1146</v>
      </c>
      <c r="D20" s="0" t="s">
        <v>1016</v>
      </c>
      <c r="E20" s="0" t="s">
        <v>1147</v>
      </c>
      <c r="F20" s="0" t="s">
        <v>451</v>
      </c>
      <c r="I20" s="0" t="s">
        <v>1080</v>
      </c>
      <c r="J20" s="0" t="s">
        <v>481</v>
      </c>
      <c r="K20" s="0" t="n">
        <v>80</v>
      </c>
      <c r="L20" s="0" t="s">
        <v>1081</v>
      </c>
      <c r="U20" s="0" t="s">
        <v>1090</v>
      </c>
      <c r="V20" s="0" t="s">
        <v>457</v>
      </c>
      <c r="X20" s="33" t="n">
        <v>46317</v>
      </c>
      <c r="Y20" s="33" t="n">
        <v>46324</v>
      </c>
      <c r="Z20" s="32" t="s">
        <v>198</v>
      </c>
      <c r="AC20" s="33" t="n">
        <v>46329</v>
      </c>
      <c r="AD20" s="32" t="s">
        <v>1083</v>
      </c>
      <c r="AL20" s="32" t="s">
        <v>1146</v>
      </c>
    </row>
    <row r="21" customFormat="false" ht="15" hidden="false" customHeight="false" outlineLevel="0" collapsed="false">
      <c r="A21" s="0" t="s">
        <v>1148</v>
      </c>
      <c r="B21" s="0" t="s">
        <v>1149</v>
      </c>
      <c r="C21" s="0" t="s">
        <v>1150</v>
      </c>
      <c r="D21" s="0" t="s">
        <v>1016</v>
      </c>
      <c r="E21" s="0" t="s">
        <v>1151</v>
      </c>
      <c r="F21" s="0" t="s">
        <v>451</v>
      </c>
      <c r="I21" s="0" t="s">
        <v>1080</v>
      </c>
      <c r="J21" s="0" t="s">
        <v>481</v>
      </c>
      <c r="K21" s="0" t="n">
        <v>79</v>
      </c>
      <c r="L21" s="0" t="s">
        <v>1081</v>
      </c>
      <c r="U21" s="0" t="s">
        <v>1124</v>
      </c>
      <c r="V21" s="0" t="s">
        <v>457</v>
      </c>
      <c r="X21" s="33" t="n">
        <v>46317</v>
      </c>
      <c r="Y21" s="33" t="n">
        <v>46329</v>
      </c>
      <c r="Z21" s="32" t="s">
        <v>196</v>
      </c>
      <c r="AA21" s="33" t="n">
        <v>46332</v>
      </c>
      <c r="AL21" s="32" t="s">
        <v>1150</v>
      </c>
    </row>
    <row r="22" customFormat="false" ht="15" hidden="false" customHeight="false" outlineLevel="0" collapsed="false">
      <c r="A22" s="0" t="s">
        <v>1152</v>
      </c>
      <c r="B22" s="0" t="s">
        <v>1153</v>
      </c>
      <c r="C22" s="0" t="s">
        <v>1154</v>
      </c>
      <c r="D22" s="0" t="s">
        <v>1016</v>
      </c>
      <c r="E22" s="0" t="s">
        <v>1155</v>
      </c>
      <c r="F22" s="0" t="s">
        <v>451</v>
      </c>
      <c r="I22" s="0" t="s">
        <v>1080</v>
      </c>
      <c r="J22" s="0" t="s">
        <v>481</v>
      </c>
      <c r="K22" s="0" t="n">
        <v>78</v>
      </c>
      <c r="L22" s="0" t="s">
        <v>1081</v>
      </c>
      <c r="U22" s="0" t="s">
        <v>470</v>
      </c>
      <c r="V22" s="0" t="s">
        <v>457</v>
      </c>
      <c r="X22" s="33" t="n">
        <v>46317</v>
      </c>
      <c r="Y22" s="33" t="n">
        <v>46332</v>
      </c>
      <c r="Z22" s="32" t="s">
        <v>198</v>
      </c>
      <c r="AA22" s="33" t="n">
        <v>46338</v>
      </c>
      <c r="AB22" s="33" t="n">
        <v>46344</v>
      </c>
      <c r="AC22" s="33" t="n">
        <v>46335</v>
      </c>
      <c r="AD22" s="32" t="s">
        <v>470</v>
      </c>
      <c r="AL22" s="32" t="s">
        <v>1154</v>
      </c>
    </row>
    <row r="23" customFormat="false" ht="15" hidden="false" customHeight="false" outlineLevel="0" collapsed="false">
      <c r="A23" s="0" t="s">
        <v>1156</v>
      </c>
      <c r="B23" s="0" t="s">
        <v>1157</v>
      </c>
      <c r="C23" s="0" t="s">
        <v>1158</v>
      </c>
      <c r="D23" s="0" t="s">
        <v>1016</v>
      </c>
      <c r="E23" s="0" t="s">
        <v>1159</v>
      </c>
      <c r="F23" s="0" t="s">
        <v>451</v>
      </c>
      <c r="I23" s="0" t="s">
        <v>1080</v>
      </c>
      <c r="J23" s="0" t="s">
        <v>594</v>
      </c>
      <c r="K23" s="0" t="n">
        <v>77</v>
      </c>
      <c r="L23" s="0" t="s">
        <v>1081</v>
      </c>
      <c r="U23" s="0" t="s">
        <v>1063</v>
      </c>
      <c r="V23" s="0" t="s">
        <v>460</v>
      </c>
      <c r="X23" s="33" t="n">
        <v>46317</v>
      </c>
      <c r="Y23" s="33" t="n">
        <v>46338</v>
      </c>
      <c r="Z23" s="32" t="s">
        <v>196</v>
      </c>
      <c r="AA23" s="33" t="n">
        <v>46343</v>
      </c>
      <c r="AC23" s="33" t="n">
        <v>46339</v>
      </c>
      <c r="AD23" s="32" t="s">
        <v>1160</v>
      </c>
      <c r="AJ23" s="33" t="n">
        <v>46339</v>
      </c>
      <c r="AL23" s="32" t="s">
        <v>1158</v>
      </c>
    </row>
    <row r="24" customFormat="false" ht="15" hidden="false" customHeight="false" outlineLevel="0" collapsed="false">
      <c r="A24" s="0" t="s">
        <v>1161</v>
      </c>
      <c r="B24" s="0" t="s">
        <v>1162</v>
      </c>
      <c r="C24" s="0" t="s">
        <v>1163</v>
      </c>
      <c r="D24" s="0" t="s">
        <v>1016</v>
      </c>
      <c r="E24" s="0" t="s">
        <v>1164</v>
      </c>
      <c r="F24" s="0" t="s">
        <v>451</v>
      </c>
      <c r="I24" s="0" t="s">
        <v>1165</v>
      </c>
      <c r="J24" s="0" t="s">
        <v>481</v>
      </c>
      <c r="K24" s="0" t="n">
        <v>76</v>
      </c>
      <c r="L24" s="0" t="s">
        <v>1081</v>
      </c>
      <c r="U24" s="0" t="s">
        <v>1124</v>
      </c>
      <c r="V24" s="0" t="s">
        <v>457</v>
      </c>
      <c r="X24" s="33" t="n">
        <v>46317</v>
      </c>
      <c r="Y24" s="33" t="n">
        <v>46343</v>
      </c>
      <c r="Z24" s="32" t="s">
        <v>198</v>
      </c>
      <c r="AA24" s="33" t="n">
        <v>46346</v>
      </c>
      <c r="AD24" s="32" t="s">
        <v>1166</v>
      </c>
      <c r="AL24" s="32" t="s">
        <v>1163</v>
      </c>
    </row>
    <row r="25" customFormat="false" ht="15" hidden="false" customHeight="false" outlineLevel="0" collapsed="false">
      <c r="A25" s="0" t="s">
        <v>1167</v>
      </c>
      <c r="B25" s="0" t="s">
        <v>1168</v>
      </c>
      <c r="C25" s="0" t="s">
        <v>1169</v>
      </c>
      <c r="D25" s="0" t="s">
        <v>1016</v>
      </c>
      <c r="E25" s="0" t="s">
        <v>1170</v>
      </c>
      <c r="F25" s="0" t="s">
        <v>451</v>
      </c>
      <c r="I25" s="0" t="s">
        <v>1080</v>
      </c>
      <c r="J25" s="0" t="s">
        <v>594</v>
      </c>
      <c r="K25" s="0" t="n">
        <v>75</v>
      </c>
      <c r="L25" s="0" t="s">
        <v>1081</v>
      </c>
      <c r="U25" s="0" t="s">
        <v>1124</v>
      </c>
      <c r="V25" s="0" t="s">
        <v>457</v>
      </c>
      <c r="X25" s="33" t="n">
        <v>46317</v>
      </c>
      <c r="Y25" s="33" t="n">
        <v>46346</v>
      </c>
      <c r="Z25" s="32" t="s">
        <v>196</v>
      </c>
      <c r="AC25" s="33" t="n">
        <v>46349</v>
      </c>
      <c r="AD25" s="32" t="s">
        <v>1125</v>
      </c>
      <c r="AL25" s="32" t="s">
        <v>1169</v>
      </c>
    </row>
    <row r="26" customFormat="false" ht="15" hidden="false" customHeight="false" outlineLevel="0" collapsed="false">
      <c r="A26" s="0" t="s">
        <v>1171</v>
      </c>
      <c r="B26" s="0" t="s">
        <v>1172</v>
      </c>
      <c r="C26" s="0" t="s">
        <v>1173</v>
      </c>
      <c r="D26" s="0" t="s">
        <v>1016</v>
      </c>
      <c r="E26" s="0" t="s">
        <v>1174</v>
      </c>
      <c r="F26" s="0" t="s">
        <v>451</v>
      </c>
      <c r="I26" s="0" t="s">
        <v>1080</v>
      </c>
      <c r="J26" s="0" t="s">
        <v>481</v>
      </c>
      <c r="K26" s="0" t="n">
        <v>74</v>
      </c>
      <c r="L26" s="0" t="s">
        <v>1081</v>
      </c>
      <c r="U26" s="0" t="s">
        <v>1130</v>
      </c>
      <c r="V26" s="0" t="s">
        <v>457</v>
      </c>
      <c r="X26" s="33" t="n">
        <v>46317</v>
      </c>
      <c r="Y26" s="33" t="n">
        <v>46323</v>
      </c>
      <c r="Z26" s="32" t="s">
        <v>198</v>
      </c>
      <c r="AA26" s="33" t="n">
        <v>46328</v>
      </c>
      <c r="AC26" s="33" t="n">
        <v>46324</v>
      </c>
      <c r="AD26" s="32" t="s">
        <v>1130</v>
      </c>
      <c r="AH26" s="32" t="s">
        <v>1131</v>
      </c>
      <c r="AI26" s="33" t="n">
        <v>46406</v>
      </c>
      <c r="AL26" s="32" t="s">
        <v>1173</v>
      </c>
    </row>
    <row r="27" customFormat="false" ht="15" hidden="false" customHeight="false" outlineLevel="0" collapsed="false">
      <c r="A27" s="0" t="s">
        <v>1175</v>
      </c>
      <c r="B27" s="0" t="s">
        <v>1176</v>
      </c>
      <c r="C27" s="0" t="s">
        <v>1177</v>
      </c>
      <c r="D27" s="0" t="s">
        <v>1016</v>
      </c>
      <c r="E27" s="0" t="s">
        <v>1178</v>
      </c>
      <c r="F27" s="0" t="s">
        <v>451</v>
      </c>
      <c r="I27" s="0" t="s">
        <v>1080</v>
      </c>
      <c r="J27" s="0" t="s">
        <v>481</v>
      </c>
      <c r="K27" s="0" t="n">
        <v>73</v>
      </c>
      <c r="L27" s="0" t="s">
        <v>1081</v>
      </c>
      <c r="U27" s="0" t="s">
        <v>1124</v>
      </c>
      <c r="V27" s="0" t="s">
        <v>457</v>
      </c>
      <c r="X27" s="33" t="n">
        <v>46317</v>
      </c>
      <c r="Y27" s="33" t="n">
        <v>46328</v>
      </c>
      <c r="Z27" s="32" t="s">
        <v>196</v>
      </c>
      <c r="AA27" s="33" t="n">
        <v>46331</v>
      </c>
      <c r="AL27" s="32" t="s">
        <v>1177</v>
      </c>
    </row>
    <row r="28" customFormat="false" ht="15" hidden="false" customHeight="false" outlineLevel="0" collapsed="false">
      <c r="A28" s="0" t="s">
        <v>1179</v>
      </c>
      <c r="B28" s="0" t="s">
        <v>1180</v>
      </c>
      <c r="C28" s="0" t="s">
        <v>1181</v>
      </c>
      <c r="D28" s="0" t="s">
        <v>1016</v>
      </c>
      <c r="E28" s="0" t="s">
        <v>1182</v>
      </c>
      <c r="F28" s="0" t="s">
        <v>451</v>
      </c>
      <c r="I28" s="0" t="s">
        <v>1080</v>
      </c>
      <c r="J28" s="0" t="s">
        <v>481</v>
      </c>
      <c r="K28" s="0" t="n">
        <v>72</v>
      </c>
      <c r="L28" s="0" t="s">
        <v>1081</v>
      </c>
      <c r="U28" s="0" t="s">
        <v>1094</v>
      </c>
      <c r="V28" s="0" t="s">
        <v>457</v>
      </c>
      <c r="X28" s="33" t="n">
        <v>46317</v>
      </c>
      <c r="Y28" s="33" t="n">
        <v>46331</v>
      </c>
      <c r="Z28" s="32" t="s">
        <v>198</v>
      </c>
      <c r="AA28" s="33" t="n">
        <v>46336</v>
      </c>
      <c r="AC28" s="33" t="n">
        <v>46332</v>
      </c>
      <c r="AD28" s="32" t="s">
        <v>497</v>
      </c>
      <c r="AL28" s="32" t="s">
        <v>1181</v>
      </c>
    </row>
    <row r="29" customFormat="false" ht="15" hidden="false" customHeight="false" outlineLevel="0" collapsed="false">
      <c r="A29" s="0" t="s">
        <v>1183</v>
      </c>
      <c r="B29" s="0" t="s">
        <v>1184</v>
      </c>
      <c r="C29" s="0" t="s">
        <v>1185</v>
      </c>
      <c r="D29" s="0" t="s">
        <v>1016</v>
      </c>
      <c r="E29" s="0" t="s">
        <v>1186</v>
      </c>
      <c r="F29" s="0" t="s">
        <v>451</v>
      </c>
      <c r="I29" s="0" t="s">
        <v>1080</v>
      </c>
      <c r="J29" s="0" t="s">
        <v>594</v>
      </c>
      <c r="K29" s="0" t="n">
        <v>71</v>
      </c>
      <c r="L29" s="0" t="s">
        <v>1081</v>
      </c>
      <c r="U29" s="0" t="s">
        <v>1124</v>
      </c>
      <c r="V29" s="0" t="s">
        <v>457</v>
      </c>
      <c r="X29" s="33" t="n">
        <v>46317</v>
      </c>
      <c r="Y29" s="33" t="n">
        <v>46336</v>
      </c>
      <c r="Z29" s="32" t="s">
        <v>196</v>
      </c>
      <c r="AA29" s="33" t="n">
        <v>46342</v>
      </c>
      <c r="AB29" s="33" t="n">
        <v>46346</v>
      </c>
      <c r="AL29" s="32" t="s">
        <v>1185</v>
      </c>
    </row>
    <row r="30" customFormat="false" ht="15" hidden="false" customHeight="false" outlineLevel="0" collapsed="false">
      <c r="A30" s="0" t="s">
        <v>1187</v>
      </c>
      <c r="B30" s="0" t="s">
        <v>1188</v>
      </c>
      <c r="C30" s="0" t="s">
        <v>1189</v>
      </c>
      <c r="D30" s="0" t="s">
        <v>1016</v>
      </c>
      <c r="E30" s="0" t="s">
        <v>1190</v>
      </c>
      <c r="F30" s="0" t="s">
        <v>451</v>
      </c>
      <c r="I30" s="0" t="s">
        <v>1080</v>
      </c>
      <c r="J30" s="0" t="s">
        <v>594</v>
      </c>
      <c r="K30" s="0" t="n">
        <v>70</v>
      </c>
      <c r="L30" s="0" t="s">
        <v>1081</v>
      </c>
      <c r="U30" s="0" t="s">
        <v>1124</v>
      </c>
      <c r="V30" s="0" t="s">
        <v>460</v>
      </c>
      <c r="X30" s="33" t="n">
        <v>46317</v>
      </c>
      <c r="Y30" s="33" t="n">
        <v>46342</v>
      </c>
      <c r="Z30" s="32" t="s">
        <v>198</v>
      </c>
      <c r="AL30" s="32" t="s">
        <v>1189</v>
      </c>
    </row>
    <row r="31" customFormat="false" ht="15" hidden="false" customHeight="false" outlineLevel="0" collapsed="false">
      <c r="A31" s="0" t="s">
        <v>1191</v>
      </c>
      <c r="B31" s="0" t="s">
        <v>1192</v>
      </c>
      <c r="C31" s="0" t="s">
        <v>1193</v>
      </c>
      <c r="D31" s="0" t="s">
        <v>1016</v>
      </c>
      <c r="E31" s="0" t="s">
        <v>1194</v>
      </c>
      <c r="F31" s="0" t="s">
        <v>451</v>
      </c>
      <c r="I31" s="0" t="s">
        <v>1080</v>
      </c>
      <c r="J31" s="0" t="s">
        <v>594</v>
      </c>
      <c r="K31" s="0" t="n">
        <v>69</v>
      </c>
      <c r="L31" s="0" t="s">
        <v>1081</v>
      </c>
      <c r="U31" s="0" t="s">
        <v>1124</v>
      </c>
      <c r="V31" s="0" t="s">
        <v>457</v>
      </c>
      <c r="X31" s="33" t="n">
        <v>46317</v>
      </c>
      <c r="Y31" s="33" t="n">
        <v>46345</v>
      </c>
      <c r="Z31" s="32" t="s">
        <v>196</v>
      </c>
      <c r="AA31" s="33" t="n">
        <v>46350</v>
      </c>
      <c r="AL31" s="32" t="s">
        <v>1193</v>
      </c>
    </row>
    <row r="32" customFormat="false" ht="15" hidden="false" customHeight="false" outlineLevel="0" collapsed="false">
      <c r="A32" s="0" t="s">
        <v>1195</v>
      </c>
      <c r="B32" s="0" t="s">
        <v>1196</v>
      </c>
      <c r="C32" s="0" t="s">
        <v>1197</v>
      </c>
      <c r="D32" s="0" t="s">
        <v>1016</v>
      </c>
      <c r="E32" s="0" t="s">
        <v>1198</v>
      </c>
      <c r="F32" s="0" t="s">
        <v>451</v>
      </c>
      <c r="I32" s="0" t="s">
        <v>1080</v>
      </c>
      <c r="J32" s="0" t="s">
        <v>481</v>
      </c>
      <c r="K32" s="0" t="n">
        <v>68</v>
      </c>
      <c r="L32" s="0" t="s">
        <v>1081</v>
      </c>
      <c r="U32" s="0" t="s">
        <v>470</v>
      </c>
      <c r="V32" s="0" t="s">
        <v>457</v>
      </c>
      <c r="X32" s="33" t="n">
        <v>46317</v>
      </c>
      <c r="Y32" s="33" t="n">
        <v>46322</v>
      </c>
      <c r="Z32" s="32" t="s">
        <v>198</v>
      </c>
      <c r="AA32" s="33" t="n">
        <v>46325</v>
      </c>
      <c r="AC32" s="33" t="n">
        <v>46323</v>
      </c>
      <c r="AD32" s="32" t="s">
        <v>470</v>
      </c>
      <c r="AL32" s="32" t="s">
        <v>1197</v>
      </c>
    </row>
    <row r="33" customFormat="false" ht="15" hidden="false" customHeight="false" outlineLevel="0" collapsed="false">
      <c r="A33" s="0" t="s">
        <v>1199</v>
      </c>
      <c r="B33" s="0" t="s">
        <v>1200</v>
      </c>
      <c r="C33" s="0" t="s">
        <v>1201</v>
      </c>
      <c r="D33" s="0" t="s">
        <v>1016</v>
      </c>
      <c r="E33" s="0" t="s">
        <v>1202</v>
      </c>
      <c r="F33" s="0" t="s">
        <v>451</v>
      </c>
      <c r="I33" s="0" t="s">
        <v>1080</v>
      </c>
      <c r="J33" s="0" t="s">
        <v>481</v>
      </c>
      <c r="K33" s="0" t="n">
        <v>67</v>
      </c>
      <c r="L33" s="0" t="s">
        <v>1081</v>
      </c>
      <c r="U33" s="0" t="s">
        <v>1063</v>
      </c>
      <c r="V33" s="0" t="s">
        <v>460</v>
      </c>
      <c r="X33" s="33" t="n">
        <v>46317</v>
      </c>
      <c r="Y33" s="33" t="n">
        <v>46325</v>
      </c>
      <c r="Z33" s="32" t="s">
        <v>196</v>
      </c>
      <c r="AA33" s="33" t="n">
        <v>46330</v>
      </c>
      <c r="AC33" s="33" t="n">
        <v>46328</v>
      </c>
      <c r="AD33" s="32" t="s">
        <v>1160</v>
      </c>
      <c r="AJ33" s="33" t="n">
        <v>46328</v>
      </c>
      <c r="AL33" s="32" t="s">
        <v>1201</v>
      </c>
    </row>
    <row r="34" customFormat="false" ht="15" hidden="false" customHeight="false" outlineLevel="0" collapsed="false">
      <c r="A34" s="0" t="s">
        <v>1203</v>
      </c>
      <c r="B34" s="0" t="s">
        <v>1204</v>
      </c>
      <c r="C34" s="0" t="s">
        <v>1205</v>
      </c>
      <c r="D34" s="0" t="s">
        <v>1016</v>
      </c>
      <c r="E34" s="0" t="s">
        <v>1206</v>
      </c>
      <c r="F34" s="0" t="s">
        <v>451</v>
      </c>
      <c r="I34" s="0" t="s">
        <v>1165</v>
      </c>
      <c r="J34" s="0" t="s">
        <v>481</v>
      </c>
      <c r="K34" s="0" t="n">
        <v>66</v>
      </c>
      <c r="L34" s="0" t="s">
        <v>1081</v>
      </c>
      <c r="U34" s="0" t="s">
        <v>1124</v>
      </c>
      <c r="V34" s="0" t="s">
        <v>457</v>
      </c>
      <c r="X34" s="33" t="n">
        <v>46317</v>
      </c>
      <c r="Y34" s="33" t="n">
        <v>46330</v>
      </c>
      <c r="Z34" s="32" t="s">
        <v>198</v>
      </c>
      <c r="AA34" s="33" t="n">
        <v>46335</v>
      </c>
      <c r="AD34" s="32" t="s">
        <v>1166</v>
      </c>
      <c r="AL34" s="32" t="s">
        <v>1205</v>
      </c>
    </row>
    <row r="35" customFormat="false" ht="15" hidden="false" customHeight="false" outlineLevel="0" collapsed="false">
      <c r="A35" s="0" t="s">
        <v>1207</v>
      </c>
      <c r="B35" s="0" t="s">
        <v>1208</v>
      </c>
      <c r="C35" s="0" t="s">
        <v>1209</v>
      </c>
      <c r="D35" s="0" t="s">
        <v>1016</v>
      </c>
      <c r="E35" s="0" t="s">
        <v>1210</v>
      </c>
      <c r="F35" s="0" t="s">
        <v>451</v>
      </c>
      <c r="I35" s="0" t="s">
        <v>1080</v>
      </c>
      <c r="J35" s="0" t="s">
        <v>594</v>
      </c>
      <c r="K35" s="0" t="n">
        <v>65</v>
      </c>
      <c r="L35" s="0" t="s">
        <v>1081</v>
      </c>
      <c r="U35" s="0" t="s">
        <v>1124</v>
      </c>
      <c r="V35" s="0" t="s">
        <v>457</v>
      </c>
      <c r="X35" s="33" t="n">
        <v>46317</v>
      </c>
      <c r="Y35" s="33" t="n">
        <v>46335</v>
      </c>
      <c r="Z35" s="32" t="s">
        <v>196</v>
      </c>
      <c r="AC35" s="33" t="n">
        <v>46336</v>
      </c>
      <c r="AD35" s="32" t="s">
        <v>1125</v>
      </c>
      <c r="AL35" s="32" t="s">
        <v>1209</v>
      </c>
    </row>
    <row r="36" customFormat="false" ht="15" hidden="false" customHeight="false" outlineLevel="0" collapsed="false">
      <c r="A36" s="0" t="s">
        <v>1211</v>
      </c>
      <c r="B36" s="0" t="s">
        <v>1212</v>
      </c>
      <c r="C36" s="0" t="s">
        <v>1213</v>
      </c>
      <c r="D36" s="0" t="s">
        <v>1016</v>
      </c>
      <c r="E36" s="0" t="s">
        <v>1214</v>
      </c>
      <c r="F36" s="0" t="s">
        <v>451</v>
      </c>
      <c r="I36" s="0" t="s">
        <v>1080</v>
      </c>
      <c r="J36" s="0" t="s">
        <v>481</v>
      </c>
      <c r="K36" s="0" t="n">
        <v>64</v>
      </c>
      <c r="L36" s="0" t="s">
        <v>1081</v>
      </c>
      <c r="U36" s="0" t="s">
        <v>1130</v>
      </c>
      <c r="V36" s="0" t="s">
        <v>457</v>
      </c>
      <c r="X36" s="33" t="n">
        <v>46317</v>
      </c>
      <c r="Y36" s="33" t="n">
        <v>46339</v>
      </c>
      <c r="Z36" s="32" t="s">
        <v>198</v>
      </c>
      <c r="AA36" s="33" t="n">
        <v>46344</v>
      </c>
      <c r="AB36" s="33" t="n">
        <v>46350</v>
      </c>
      <c r="AC36" s="33" t="n">
        <v>46342</v>
      </c>
      <c r="AD36" s="32" t="s">
        <v>1130</v>
      </c>
      <c r="AH36" s="32" t="s">
        <v>1131</v>
      </c>
      <c r="AI36" s="33" t="n">
        <v>46406</v>
      </c>
      <c r="AL36" s="32" t="s">
        <v>1213</v>
      </c>
    </row>
    <row r="37" customFormat="false" ht="15" hidden="false" customHeight="false" outlineLevel="0" collapsed="false">
      <c r="A37" s="0" t="s">
        <v>1215</v>
      </c>
      <c r="B37" s="0" t="s">
        <v>1216</v>
      </c>
      <c r="C37" s="0" t="s">
        <v>1217</v>
      </c>
      <c r="D37" s="0" t="s">
        <v>1016</v>
      </c>
      <c r="E37" s="0" t="s">
        <v>1218</v>
      </c>
      <c r="F37" s="0" t="s">
        <v>451</v>
      </c>
      <c r="I37" s="0" t="s">
        <v>1080</v>
      </c>
      <c r="J37" s="0" t="s">
        <v>594</v>
      </c>
      <c r="K37" s="0" t="n">
        <v>63</v>
      </c>
      <c r="L37" s="0" t="s">
        <v>1081</v>
      </c>
      <c r="U37" s="0" t="s">
        <v>1124</v>
      </c>
      <c r="V37" s="0" t="s">
        <v>457</v>
      </c>
      <c r="X37" s="33" t="n">
        <v>46317</v>
      </c>
      <c r="Y37" s="33" t="n">
        <v>46344</v>
      </c>
      <c r="Z37" s="32" t="s">
        <v>196</v>
      </c>
      <c r="AA37" s="33" t="n">
        <v>46349</v>
      </c>
      <c r="AL37" s="32" t="s">
        <v>1217</v>
      </c>
    </row>
    <row r="38" customFormat="false" ht="15" hidden="false" customHeight="false" outlineLevel="0" collapsed="false">
      <c r="A38" s="0" t="s">
        <v>1219</v>
      </c>
      <c r="B38" s="0" t="s">
        <v>1220</v>
      </c>
      <c r="C38" s="0" t="s">
        <v>1221</v>
      </c>
      <c r="D38" s="0" t="s">
        <v>1016</v>
      </c>
      <c r="E38" s="0" t="s">
        <v>1222</v>
      </c>
      <c r="F38" s="0" t="s">
        <v>451</v>
      </c>
      <c r="I38" s="0" t="s">
        <v>1080</v>
      </c>
      <c r="J38" s="0" t="s">
        <v>481</v>
      </c>
      <c r="K38" s="0" t="n">
        <v>62</v>
      </c>
      <c r="L38" s="0" t="s">
        <v>1081</v>
      </c>
      <c r="U38" s="0" t="s">
        <v>1094</v>
      </c>
      <c r="V38" s="0" t="s">
        <v>457</v>
      </c>
      <c r="X38" s="33" t="n">
        <v>46317</v>
      </c>
      <c r="Y38" s="33" t="n">
        <v>46321</v>
      </c>
      <c r="Z38" s="32" t="s">
        <v>198</v>
      </c>
      <c r="AA38" s="33" t="n">
        <v>46324</v>
      </c>
      <c r="AC38" s="33" t="n">
        <v>46322</v>
      </c>
      <c r="AD38" s="32" t="s">
        <v>497</v>
      </c>
      <c r="AL38" s="32" t="s">
        <v>1221</v>
      </c>
    </row>
    <row r="39" customFormat="false" ht="15" hidden="false" customHeight="false" outlineLevel="0" collapsed="false">
      <c r="A39" s="0" t="s">
        <v>1223</v>
      </c>
      <c r="B39" s="0" t="s">
        <v>1224</v>
      </c>
      <c r="C39" s="0" t="s">
        <v>1225</v>
      </c>
      <c r="D39" s="0" t="s">
        <v>1016</v>
      </c>
      <c r="E39" s="0" t="s">
        <v>1226</v>
      </c>
      <c r="F39" s="0" t="s">
        <v>451</v>
      </c>
      <c r="I39" s="0" t="s">
        <v>1080</v>
      </c>
      <c r="J39" s="0" t="s">
        <v>481</v>
      </c>
      <c r="K39" s="0" t="n">
        <v>61</v>
      </c>
      <c r="L39" s="0" t="s">
        <v>1081</v>
      </c>
      <c r="U39" s="0" t="s">
        <v>1124</v>
      </c>
      <c r="V39" s="0" t="s">
        <v>457</v>
      </c>
      <c r="X39" s="33" t="n">
        <v>46317</v>
      </c>
      <c r="Y39" s="33" t="n">
        <v>46324</v>
      </c>
      <c r="Z39" s="32" t="s">
        <v>196</v>
      </c>
      <c r="AA39" s="33" t="n">
        <v>46329</v>
      </c>
      <c r="AL39" s="32" t="s">
        <v>1225</v>
      </c>
    </row>
    <row r="40" customFormat="false" ht="15" hidden="false" customHeight="false" outlineLevel="0" collapsed="false">
      <c r="A40" s="0" t="s">
        <v>1227</v>
      </c>
      <c r="B40" s="0" t="s">
        <v>1228</v>
      </c>
      <c r="C40" s="0" t="s">
        <v>1229</v>
      </c>
      <c r="D40" s="0" t="s">
        <v>1016</v>
      </c>
      <c r="E40" s="0" t="s">
        <v>1230</v>
      </c>
      <c r="F40" s="0" t="s">
        <v>451</v>
      </c>
      <c r="I40" s="0" t="s">
        <v>1080</v>
      </c>
      <c r="J40" s="0" t="s">
        <v>481</v>
      </c>
      <c r="K40" s="0" t="n">
        <v>60</v>
      </c>
      <c r="L40" s="0" t="s">
        <v>1081</v>
      </c>
      <c r="U40" s="0" t="s">
        <v>1124</v>
      </c>
      <c r="V40" s="0" t="s">
        <v>457</v>
      </c>
      <c r="X40" s="33" t="n">
        <v>46317</v>
      </c>
      <c r="Y40" s="33" t="n">
        <v>46329</v>
      </c>
      <c r="Z40" s="32" t="s">
        <v>198</v>
      </c>
      <c r="AL40" s="32" t="s">
        <v>1229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L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sheetData>
    <row r="1" customFormat="false" ht="15" hidden="false" customHeight="false" outlineLevel="0" collapsed="false">
      <c r="A1" s="37" t="s">
        <v>1045</v>
      </c>
      <c r="B1" s="37" t="s">
        <v>301</v>
      </c>
      <c r="C1" s="37" t="s">
        <v>300</v>
      </c>
      <c r="D1" s="37" t="s">
        <v>1046</v>
      </c>
      <c r="E1" s="37" t="s">
        <v>1047</v>
      </c>
      <c r="F1" s="37" t="s">
        <v>1048</v>
      </c>
      <c r="G1" s="37" t="s">
        <v>1049</v>
      </c>
      <c r="H1" s="37" t="s">
        <v>1050</v>
      </c>
      <c r="I1" s="37" t="s">
        <v>1051</v>
      </c>
      <c r="J1" s="37" t="s">
        <v>306</v>
      </c>
      <c r="K1" s="37" t="s">
        <v>1052</v>
      </c>
      <c r="L1" s="37" t="s">
        <v>1053</v>
      </c>
      <c r="M1" s="37" t="s">
        <v>1054</v>
      </c>
      <c r="N1" s="37" t="s">
        <v>1055</v>
      </c>
      <c r="O1" s="37" t="s">
        <v>1056</v>
      </c>
      <c r="P1" s="37" t="s">
        <v>1057</v>
      </c>
      <c r="Q1" s="37" t="s">
        <v>1058</v>
      </c>
      <c r="R1" s="37" t="s">
        <v>1059</v>
      </c>
      <c r="S1" s="37" t="s">
        <v>1060</v>
      </c>
      <c r="T1" s="37" t="s">
        <v>1061</v>
      </c>
      <c r="U1" s="37" t="s">
        <v>1062</v>
      </c>
      <c r="V1" s="37" t="s">
        <v>1063</v>
      </c>
      <c r="W1" s="37" t="s">
        <v>1064</v>
      </c>
      <c r="X1" s="37" t="s">
        <v>1065</v>
      </c>
      <c r="Y1" s="37" t="s">
        <v>1066</v>
      </c>
      <c r="Z1" s="37" t="s">
        <v>1067</v>
      </c>
      <c r="AA1" s="37" t="s">
        <v>1068</v>
      </c>
      <c r="AB1" s="37" t="s">
        <v>1069</v>
      </c>
      <c r="AC1" s="37" t="s">
        <v>1070</v>
      </c>
      <c r="AD1" s="37" t="s">
        <v>1071</v>
      </c>
      <c r="AE1" s="37" t="s">
        <v>307</v>
      </c>
      <c r="AF1" s="37" t="s">
        <v>1072</v>
      </c>
      <c r="AG1" s="37" t="s">
        <v>343</v>
      </c>
      <c r="AH1" s="37" t="s">
        <v>1073</v>
      </c>
      <c r="AI1" s="37" t="s">
        <v>1074</v>
      </c>
      <c r="AJ1" s="37" t="s">
        <v>1075</v>
      </c>
      <c r="AK1" s="37" t="s">
        <v>1076</v>
      </c>
      <c r="AL1" s="37" t="s">
        <v>1077</v>
      </c>
    </row>
    <row r="2" customFormat="false" ht="15" hidden="false" customHeight="false" outlineLevel="0" collapsed="false">
      <c r="A2" s="0" t="s">
        <v>1078</v>
      </c>
      <c r="B2" s="0" t="s">
        <v>676</v>
      </c>
      <c r="C2" s="0" t="s">
        <v>675</v>
      </c>
      <c r="D2" s="0" t="s">
        <v>1016</v>
      </c>
      <c r="E2" s="0" t="s">
        <v>1231</v>
      </c>
      <c r="F2" s="0" t="s">
        <v>678</v>
      </c>
      <c r="I2" s="0" t="s">
        <v>1080</v>
      </c>
      <c r="J2" s="0" t="s">
        <v>453</v>
      </c>
      <c r="K2" s="0" t="n">
        <v>99</v>
      </c>
      <c r="L2" s="0" t="s">
        <v>1081</v>
      </c>
      <c r="U2" s="0" t="s">
        <v>1232</v>
      </c>
      <c r="V2" s="0" t="s">
        <v>457</v>
      </c>
      <c r="X2" s="33" t="n">
        <v>46317</v>
      </c>
      <c r="Y2" s="33" t="n">
        <v>46321</v>
      </c>
      <c r="Z2" s="32" t="s">
        <v>201</v>
      </c>
      <c r="AC2" s="33" t="n">
        <v>46322</v>
      </c>
      <c r="AD2" s="32" t="s">
        <v>1083</v>
      </c>
      <c r="AE2" s="33" t="n">
        <v>46322</v>
      </c>
      <c r="AF2" s="32" t="s">
        <v>1233</v>
      </c>
      <c r="AG2" s="32" t="s">
        <v>460</v>
      </c>
      <c r="AL2" s="32" t="s">
        <v>675</v>
      </c>
    </row>
    <row r="3" customFormat="false" ht="15" hidden="false" customHeight="false" outlineLevel="0" collapsed="false">
      <c r="A3" s="0" t="s">
        <v>1085</v>
      </c>
      <c r="B3" s="0" t="s">
        <v>693</v>
      </c>
      <c r="C3" s="0" t="s">
        <v>692</v>
      </c>
      <c r="D3" s="0" t="s">
        <v>1016</v>
      </c>
      <c r="E3" s="0" t="s">
        <v>1234</v>
      </c>
      <c r="F3" s="0" t="s">
        <v>678</v>
      </c>
      <c r="I3" s="0" t="s">
        <v>1080</v>
      </c>
      <c r="J3" s="0" t="s">
        <v>453</v>
      </c>
      <c r="K3" s="0" t="n">
        <v>98</v>
      </c>
      <c r="L3" s="0" t="s">
        <v>1081</v>
      </c>
      <c r="U3" s="0" t="s">
        <v>343</v>
      </c>
      <c r="V3" s="0" t="s">
        <v>457</v>
      </c>
      <c r="X3" s="33" t="n">
        <v>46317</v>
      </c>
      <c r="Y3" s="33" t="n">
        <v>46321</v>
      </c>
      <c r="Z3" s="32" t="s">
        <v>203</v>
      </c>
      <c r="AC3" s="33" t="n">
        <v>46322</v>
      </c>
      <c r="AD3" s="32" t="s">
        <v>1083</v>
      </c>
      <c r="AE3" s="33" t="n">
        <v>46338</v>
      </c>
      <c r="AF3" s="32" t="s">
        <v>1095</v>
      </c>
      <c r="AG3" s="32" t="s">
        <v>460</v>
      </c>
      <c r="AL3" s="32" t="s">
        <v>692</v>
      </c>
    </row>
    <row r="4" customFormat="false" ht="15" hidden="false" customHeight="false" outlineLevel="0" collapsed="false">
      <c r="A4" s="0" t="s">
        <v>1088</v>
      </c>
      <c r="B4" s="0" t="s">
        <v>701</v>
      </c>
      <c r="C4" s="0" t="s">
        <v>700</v>
      </c>
      <c r="D4" s="0" t="s">
        <v>1016</v>
      </c>
      <c r="E4" s="0" t="s">
        <v>1235</v>
      </c>
      <c r="F4" s="0" t="s">
        <v>678</v>
      </c>
      <c r="I4" s="0" t="s">
        <v>1080</v>
      </c>
      <c r="J4" s="0" t="s">
        <v>481</v>
      </c>
      <c r="K4" s="0" t="n">
        <v>97</v>
      </c>
      <c r="L4" s="0" t="s">
        <v>1081</v>
      </c>
      <c r="U4" s="0" t="s">
        <v>1090</v>
      </c>
      <c r="V4" s="0" t="s">
        <v>457</v>
      </c>
      <c r="X4" s="33" t="n">
        <v>46317</v>
      </c>
      <c r="Y4" s="33" t="n">
        <v>46321</v>
      </c>
      <c r="Z4" s="32" t="s">
        <v>201</v>
      </c>
      <c r="AC4" s="33" t="n">
        <v>46322</v>
      </c>
      <c r="AD4" s="32" t="s">
        <v>1083</v>
      </c>
      <c r="AE4" s="33" t="n">
        <v>46324</v>
      </c>
      <c r="AF4" s="32" t="s">
        <v>1091</v>
      </c>
      <c r="AG4" s="32" t="s">
        <v>457</v>
      </c>
      <c r="AL4" s="32" t="s">
        <v>700</v>
      </c>
    </row>
    <row r="5" customFormat="false" ht="15" hidden="false" customHeight="false" outlineLevel="0" collapsed="false">
      <c r="A5" s="0" t="s">
        <v>1092</v>
      </c>
      <c r="B5" s="0" t="s">
        <v>707</v>
      </c>
      <c r="C5" s="0" t="s">
        <v>706</v>
      </c>
      <c r="D5" s="0" t="s">
        <v>1016</v>
      </c>
      <c r="E5" s="0" t="s">
        <v>1236</v>
      </c>
      <c r="F5" s="0" t="s">
        <v>678</v>
      </c>
      <c r="I5" s="0" t="s">
        <v>1080</v>
      </c>
      <c r="J5" s="0" t="s">
        <v>453</v>
      </c>
      <c r="K5" s="0" t="n">
        <v>96</v>
      </c>
      <c r="L5" s="0" t="s">
        <v>1081</v>
      </c>
      <c r="U5" s="0" t="s">
        <v>1090</v>
      </c>
      <c r="V5" s="0" t="s">
        <v>457</v>
      </c>
      <c r="X5" s="33" t="n">
        <v>46317</v>
      </c>
      <c r="Y5" s="33" t="n">
        <v>46322</v>
      </c>
      <c r="Z5" s="32" t="s">
        <v>203</v>
      </c>
      <c r="AC5" s="33" t="n">
        <v>46323</v>
      </c>
      <c r="AD5" s="32" t="s">
        <v>1083</v>
      </c>
      <c r="AE5" s="33" t="n">
        <v>46328</v>
      </c>
      <c r="AF5" s="32" t="s">
        <v>1237</v>
      </c>
      <c r="AG5" s="32" t="s">
        <v>457</v>
      </c>
      <c r="AL5" s="32" t="s">
        <v>706</v>
      </c>
    </row>
    <row r="6" customFormat="false" ht="15" hidden="false" customHeight="false" outlineLevel="0" collapsed="false">
      <c r="A6" s="0" t="s">
        <v>1096</v>
      </c>
      <c r="B6" s="0" t="s">
        <v>714</v>
      </c>
      <c r="C6" s="0" t="s">
        <v>713</v>
      </c>
      <c r="D6" s="0" t="s">
        <v>1016</v>
      </c>
      <c r="E6" s="0" t="s">
        <v>1238</v>
      </c>
      <c r="F6" s="0" t="s">
        <v>678</v>
      </c>
      <c r="I6" s="0" t="s">
        <v>1080</v>
      </c>
      <c r="J6" s="0" t="s">
        <v>453</v>
      </c>
      <c r="K6" s="0" t="n">
        <v>95</v>
      </c>
      <c r="L6" s="0" t="s">
        <v>1081</v>
      </c>
      <c r="U6" s="0" t="s">
        <v>1090</v>
      </c>
      <c r="V6" s="0" t="s">
        <v>457</v>
      </c>
      <c r="X6" s="33" t="n">
        <v>46317</v>
      </c>
      <c r="Y6" s="33" t="n">
        <v>46323</v>
      </c>
      <c r="Z6" s="32" t="s">
        <v>201</v>
      </c>
      <c r="AC6" s="33" t="n">
        <v>46324</v>
      </c>
      <c r="AD6" s="32" t="s">
        <v>1083</v>
      </c>
      <c r="AE6" s="33" t="n">
        <v>46329</v>
      </c>
      <c r="AF6" s="32" t="s">
        <v>1098</v>
      </c>
      <c r="AG6" s="32" t="s">
        <v>457</v>
      </c>
      <c r="AL6" s="32" t="s">
        <v>713</v>
      </c>
    </row>
    <row r="7" customFormat="false" ht="15" hidden="false" customHeight="false" outlineLevel="0" collapsed="false">
      <c r="A7" s="0" t="s">
        <v>1099</v>
      </c>
      <c r="B7" s="0" t="s">
        <v>719</v>
      </c>
      <c r="C7" s="0" t="s">
        <v>718</v>
      </c>
      <c r="D7" s="0" t="s">
        <v>1016</v>
      </c>
      <c r="E7" s="0" t="s">
        <v>1239</v>
      </c>
      <c r="F7" s="0" t="s">
        <v>678</v>
      </c>
      <c r="I7" s="0" t="s">
        <v>1080</v>
      </c>
      <c r="J7" s="0" t="s">
        <v>481</v>
      </c>
      <c r="K7" s="0" t="n">
        <v>94</v>
      </c>
      <c r="L7" s="0" t="s">
        <v>1081</v>
      </c>
      <c r="U7" s="0" t="s">
        <v>343</v>
      </c>
      <c r="V7" s="0" t="s">
        <v>457</v>
      </c>
      <c r="X7" s="33" t="n">
        <v>46317</v>
      </c>
      <c r="Y7" s="33" t="n">
        <v>46324</v>
      </c>
      <c r="Z7" s="32" t="s">
        <v>203</v>
      </c>
      <c r="AC7" s="33" t="n">
        <v>46325</v>
      </c>
      <c r="AD7" s="32" t="s">
        <v>1083</v>
      </c>
      <c r="AE7" s="33" t="n">
        <v>46330</v>
      </c>
      <c r="AF7" s="32" t="s">
        <v>1101</v>
      </c>
      <c r="AG7" s="32" t="s">
        <v>460</v>
      </c>
      <c r="AL7" s="32" t="s">
        <v>718</v>
      </c>
    </row>
    <row r="8" customFormat="false" ht="15" hidden="false" customHeight="false" outlineLevel="0" collapsed="false">
      <c r="A8" s="0" t="s">
        <v>1102</v>
      </c>
      <c r="B8" s="0" t="s">
        <v>725</v>
      </c>
      <c r="C8" s="0" t="s">
        <v>724</v>
      </c>
      <c r="D8" s="0" t="s">
        <v>1016</v>
      </c>
      <c r="E8" s="0" t="s">
        <v>1240</v>
      </c>
      <c r="F8" s="0" t="s">
        <v>678</v>
      </c>
      <c r="I8" s="0" t="s">
        <v>1080</v>
      </c>
      <c r="J8" s="0" t="s">
        <v>453</v>
      </c>
      <c r="K8" s="0" t="n">
        <v>93</v>
      </c>
      <c r="L8" s="0" t="s">
        <v>1081</v>
      </c>
      <c r="U8" s="0" t="s">
        <v>1090</v>
      </c>
      <c r="V8" s="0" t="s">
        <v>457</v>
      </c>
      <c r="X8" s="33" t="n">
        <v>46317</v>
      </c>
      <c r="Y8" s="33" t="n">
        <v>46325</v>
      </c>
      <c r="Z8" s="32" t="s">
        <v>201</v>
      </c>
      <c r="AC8" s="33" t="n">
        <v>46328</v>
      </c>
      <c r="AD8" s="32" t="s">
        <v>1083</v>
      </c>
      <c r="AE8" s="33" t="n">
        <v>46331</v>
      </c>
      <c r="AF8" s="32" t="s">
        <v>1104</v>
      </c>
      <c r="AG8" s="32" t="s">
        <v>457</v>
      </c>
      <c r="AL8" s="32" t="s">
        <v>724</v>
      </c>
    </row>
    <row r="9" customFormat="false" ht="15" hidden="false" customHeight="false" outlineLevel="0" collapsed="false">
      <c r="A9" s="0" t="s">
        <v>1105</v>
      </c>
      <c r="B9" s="0" t="s">
        <v>731</v>
      </c>
      <c r="C9" s="0" t="s">
        <v>730</v>
      </c>
      <c r="D9" s="0" t="s">
        <v>1016</v>
      </c>
      <c r="E9" s="0" t="s">
        <v>1241</v>
      </c>
      <c r="F9" s="0" t="s">
        <v>678</v>
      </c>
      <c r="I9" s="0" t="s">
        <v>1080</v>
      </c>
      <c r="J9" s="0" t="s">
        <v>453</v>
      </c>
      <c r="K9" s="0" t="n">
        <v>92</v>
      </c>
      <c r="L9" s="0" t="s">
        <v>1081</v>
      </c>
      <c r="U9" s="0" t="s">
        <v>343</v>
      </c>
      <c r="V9" s="0" t="s">
        <v>457</v>
      </c>
      <c r="X9" s="33" t="n">
        <v>46317</v>
      </c>
      <c r="Y9" s="33" t="n">
        <v>46329</v>
      </c>
      <c r="Z9" s="32" t="s">
        <v>203</v>
      </c>
      <c r="AC9" s="33" t="n">
        <v>46330</v>
      </c>
      <c r="AD9" s="32" t="s">
        <v>1083</v>
      </c>
      <c r="AE9" s="33" t="n">
        <v>46335</v>
      </c>
      <c r="AF9" s="32" t="s">
        <v>1107</v>
      </c>
      <c r="AG9" s="32" t="s">
        <v>460</v>
      </c>
      <c r="AL9" s="32" t="s">
        <v>730</v>
      </c>
    </row>
    <row r="10" customFormat="false" ht="15" hidden="false" customHeight="false" outlineLevel="0" collapsed="false">
      <c r="A10" s="0" t="s">
        <v>1108</v>
      </c>
      <c r="B10" s="0" t="s">
        <v>736</v>
      </c>
      <c r="C10" s="0" t="s">
        <v>735</v>
      </c>
      <c r="D10" s="0" t="s">
        <v>1016</v>
      </c>
      <c r="E10" s="0" t="s">
        <v>1242</v>
      </c>
      <c r="F10" s="0" t="s">
        <v>678</v>
      </c>
      <c r="I10" s="0" t="s">
        <v>1080</v>
      </c>
      <c r="J10" s="0" t="s">
        <v>481</v>
      </c>
      <c r="K10" s="0" t="n">
        <v>91</v>
      </c>
      <c r="L10" s="0" t="s">
        <v>1081</v>
      </c>
      <c r="U10" s="0" t="s">
        <v>1243</v>
      </c>
      <c r="V10" s="0" t="s">
        <v>457</v>
      </c>
      <c r="X10" s="33" t="n">
        <v>46317</v>
      </c>
      <c r="Y10" s="33" t="n">
        <v>46330</v>
      </c>
      <c r="Z10" s="32" t="s">
        <v>201</v>
      </c>
      <c r="AC10" s="33" t="n">
        <v>46331</v>
      </c>
      <c r="AD10" s="32" t="s">
        <v>1083</v>
      </c>
      <c r="AE10" s="33" t="n">
        <v>46336</v>
      </c>
      <c r="AF10" s="32" t="s">
        <v>1110</v>
      </c>
      <c r="AG10" s="32" t="s">
        <v>457</v>
      </c>
      <c r="AL10" s="32" t="s">
        <v>735</v>
      </c>
    </row>
    <row r="11" customFormat="false" ht="15" hidden="false" customHeight="false" outlineLevel="0" collapsed="false">
      <c r="A11" s="0" t="s">
        <v>1111</v>
      </c>
      <c r="B11" s="0" t="s">
        <v>739</v>
      </c>
      <c r="C11" s="0" t="s">
        <v>738</v>
      </c>
      <c r="D11" s="0" t="s">
        <v>1016</v>
      </c>
      <c r="E11" s="0" t="s">
        <v>1244</v>
      </c>
      <c r="F11" s="0" t="s">
        <v>678</v>
      </c>
      <c r="I11" s="0" t="s">
        <v>1080</v>
      </c>
      <c r="J11" s="0" t="s">
        <v>453</v>
      </c>
      <c r="K11" s="0" t="n">
        <v>90</v>
      </c>
      <c r="L11" s="0" t="s">
        <v>1081</v>
      </c>
      <c r="U11" s="0" t="s">
        <v>1090</v>
      </c>
      <c r="V11" s="0" t="s">
        <v>457</v>
      </c>
      <c r="X11" s="33" t="n">
        <v>46317</v>
      </c>
      <c r="Y11" s="33" t="n">
        <v>46331</v>
      </c>
      <c r="Z11" s="32" t="s">
        <v>203</v>
      </c>
      <c r="AC11" s="33" t="n">
        <v>46332</v>
      </c>
      <c r="AD11" s="32" t="s">
        <v>1083</v>
      </c>
      <c r="AE11" s="33" t="n">
        <v>46337</v>
      </c>
      <c r="AF11" s="32" t="s">
        <v>1245</v>
      </c>
      <c r="AG11" s="32" t="s">
        <v>457</v>
      </c>
      <c r="AL11" s="32" t="s">
        <v>738</v>
      </c>
    </row>
    <row r="12" customFormat="false" ht="15" hidden="false" customHeight="false" outlineLevel="0" collapsed="false">
      <c r="A12" s="0" t="s">
        <v>1113</v>
      </c>
      <c r="B12" s="0" t="s">
        <v>744</v>
      </c>
      <c r="C12" s="0" t="s">
        <v>743</v>
      </c>
      <c r="D12" s="0" t="s">
        <v>1016</v>
      </c>
      <c r="E12" s="0" t="s">
        <v>1246</v>
      </c>
      <c r="F12" s="0" t="s">
        <v>678</v>
      </c>
      <c r="I12" s="0" t="s">
        <v>1080</v>
      </c>
      <c r="J12" s="0" t="s">
        <v>453</v>
      </c>
      <c r="K12" s="0" t="n">
        <v>89</v>
      </c>
      <c r="L12" s="0" t="s">
        <v>1081</v>
      </c>
      <c r="U12" s="0" t="s">
        <v>343</v>
      </c>
      <c r="V12" s="0" t="s">
        <v>457</v>
      </c>
      <c r="X12" s="33" t="n">
        <v>46317</v>
      </c>
      <c r="Y12" s="33" t="n">
        <v>46331</v>
      </c>
      <c r="Z12" s="32" t="s">
        <v>201</v>
      </c>
      <c r="AC12" s="33" t="n">
        <v>46332</v>
      </c>
      <c r="AD12" s="32" t="s">
        <v>1083</v>
      </c>
      <c r="AE12" s="33" t="n">
        <v>46338</v>
      </c>
      <c r="AF12" s="32" t="s">
        <v>1095</v>
      </c>
      <c r="AG12" s="32" t="s">
        <v>460</v>
      </c>
      <c r="AL12" s="32" t="s">
        <v>743</v>
      </c>
    </row>
    <row r="13" customFormat="false" ht="15" hidden="false" customHeight="false" outlineLevel="0" collapsed="false">
      <c r="A13" s="0" t="s">
        <v>1115</v>
      </c>
      <c r="B13" s="0" t="s">
        <v>751</v>
      </c>
      <c r="C13" s="0" t="s">
        <v>750</v>
      </c>
      <c r="D13" s="0" t="s">
        <v>1016</v>
      </c>
      <c r="E13" s="0" t="s">
        <v>1247</v>
      </c>
      <c r="F13" s="0" t="s">
        <v>678</v>
      </c>
      <c r="I13" s="0" t="s">
        <v>1080</v>
      </c>
      <c r="J13" s="0" t="s">
        <v>481</v>
      </c>
      <c r="K13" s="0" t="n">
        <v>88</v>
      </c>
      <c r="L13" s="0" t="s">
        <v>1081</v>
      </c>
      <c r="U13" s="0" t="s">
        <v>1090</v>
      </c>
      <c r="V13" s="0" t="s">
        <v>457</v>
      </c>
      <c r="X13" s="33" t="n">
        <v>46317</v>
      </c>
      <c r="Y13" s="33" t="n">
        <v>46332</v>
      </c>
      <c r="Z13" s="32" t="s">
        <v>203</v>
      </c>
      <c r="AC13" s="33" t="n">
        <v>46335</v>
      </c>
      <c r="AD13" s="32" t="s">
        <v>1083</v>
      </c>
      <c r="AE13" s="33" t="n">
        <v>46339</v>
      </c>
      <c r="AF13" s="32" t="s">
        <v>1119</v>
      </c>
      <c r="AG13" s="32" t="s">
        <v>457</v>
      </c>
      <c r="AL13" s="32" t="s">
        <v>750</v>
      </c>
    </row>
    <row r="14" customFormat="false" ht="15" hidden="false" customHeight="false" outlineLevel="0" collapsed="false">
      <c r="A14" s="0" t="s">
        <v>1117</v>
      </c>
      <c r="B14" s="0" t="s">
        <v>756</v>
      </c>
      <c r="C14" s="0" t="s">
        <v>755</v>
      </c>
      <c r="D14" s="0" t="s">
        <v>1016</v>
      </c>
      <c r="E14" s="0" t="s">
        <v>1248</v>
      </c>
      <c r="F14" s="0" t="s">
        <v>678</v>
      </c>
      <c r="I14" s="0" t="s">
        <v>1080</v>
      </c>
      <c r="J14" s="0" t="s">
        <v>453</v>
      </c>
      <c r="K14" s="0" t="n">
        <v>87</v>
      </c>
      <c r="L14" s="0" t="s">
        <v>1081</v>
      </c>
      <c r="U14" s="0" t="s">
        <v>343</v>
      </c>
      <c r="V14" s="0" t="s">
        <v>457</v>
      </c>
      <c r="X14" s="33" t="n">
        <v>46317</v>
      </c>
      <c r="Y14" s="33" t="n">
        <v>46332</v>
      </c>
      <c r="Z14" s="32" t="s">
        <v>201</v>
      </c>
      <c r="AC14" s="33" t="n">
        <v>46335</v>
      </c>
      <c r="AD14" s="32" t="s">
        <v>1083</v>
      </c>
      <c r="AE14" s="33" t="n">
        <v>46339</v>
      </c>
      <c r="AF14" s="32" t="s">
        <v>1119</v>
      </c>
      <c r="AG14" s="32" t="s">
        <v>460</v>
      </c>
      <c r="AL14" s="32" t="s">
        <v>755</v>
      </c>
    </row>
    <row r="15" customFormat="false" ht="15" hidden="false" customHeight="false" outlineLevel="0" collapsed="false">
      <c r="A15" s="0" t="s">
        <v>1249</v>
      </c>
      <c r="B15" s="0" t="s">
        <v>760</v>
      </c>
      <c r="C15" s="0" t="s">
        <v>759</v>
      </c>
      <c r="D15" s="0" t="s">
        <v>1016</v>
      </c>
      <c r="E15" s="0" t="s">
        <v>1250</v>
      </c>
      <c r="F15" s="0" t="s">
        <v>678</v>
      </c>
      <c r="I15" s="0" t="s">
        <v>1080</v>
      </c>
      <c r="J15" s="0" t="s">
        <v>594</v>
      </c>
      <c r="K15" s="0" t="n">
        <v>86</v>
      </c>
      <c r="L15" s="0" t="s">
        <v>1081</v>
      </c>
      <c r="U15" s="0" t="s">
        <v>343</v>
      </c>
      <c r="V15" s="0" t="s">
        <v>457</v>
      </c>
      <c r="X15" s="33" t="n">
        <v>46317</v>
      </c>
      <c r="Y15" s="33" t="n">
        <v>46336</v>
      </c>
      <c r="Z15" s="32" t="s">
        <v>203</v>
      </c>
      <c r="AC15" s="33" t="n">
        <v>46338</v>
      </c>
      <c r="AD15" s="32" t="s">
        <v>1083</v>
      </c>
      <c r="AE15" s="33" t="n">
        <v>46343</v>
      </c>
      <c r="AF15" s="32" t="s">
        <v>1251</v>
      </c>
      <c r="AG15" s="32" t="s">
        <v>460</v>
      </c>
      <c r="AL15" s="32" t="s">
        <v>759</v>
      </c>
    </row>
    <row r="16" customFormat="false" ht="15" hidden="false" customHeight="false" outlineLevel="0" collapsed="false">
      <c r="A16" s="0" t="s">
        <v>1120</v>
      </c>
      <c r="B16" s="0" t="s">
        <v>765</v>
      </c>
      <c r="C16" s="0" t="s">
        <v>764</v>
      </c>
      <c r="D16" s="0" t="s">
        <v>1016</v>
      </c>
      <c r="E16" s="0" t="s">
        <v>1252</v>
      </c>
      <c r="F16" s="0" t="s">
        <v>678</v>
      </c>
      <c r="I16" s="0" t="s">
        <v>1080</v>
      </c>
      <c r="J16" s="0" t="s">
        <v>481</v>
      </c>
      <c r="K16" s="0" t="n">
        <v>85</v>
      </c>
      <c r="L16" s="0" t="s">
        <v>1081</v>
      </c>
      <c r="U16" s="0" t="s">
        <v>1090</v>
      </c>
      <c r="V16" s="0" t="s">
        <v>457</v>
      </c>
      <c r="X16" s="33" t="n">
        <v>46317</v>
      </c>
      <c r="Y16" s="33" t="n">
        <v>46338</v>
      </c>
      <c r="Z16" s="32" t="s">
        <v>201</v>
      </c>
      <c r="AC16" s="33" t="n">
        <v>46339</v>
      </c>
      <c r="AD16" s="32" t="s">
        <v>1083</v>
      </c>
      <c r="AE16" s="33" t="n">
        <v>46344</v>
      </c>
      <c r="AF16" s="32" t="s">
        <v>1253</v>
      </c>
      <c r="AG16" s="32" t="s">
        <v>457</v>
      </c>
      <c r="AL16" s="32" t="s">
        <v>764</v>
      </c>
    </row>
    <row r="17" customFormat="false" ht="15" hidden="false" customHeight="false" outlineLevel="0" collapsed="false">
      <c r="A17" s="0" t="s">
        <v>1126</v>
      </c>
      <c r="B17" s="0" t="s">
        <v>1254</v>
      </c>
      <c r="C17" s="0" t="s">
        <v>1255</v>
      </c>
      <c r="D17" s="0" t="s">
        <v>1016</v>
      </c>
      <c r="E17" s="0" t="s">
        <v>1256</v>
      </c>
      <c r="F17" s="0" t="s">
        <v>678</v>
      </c>
      <c r="I17" s="0" t="s">
        <v>1080</v>
      </c>
      <c r="J17" s="0" t="s">
        <v>481</v>
      </c>
      <c r="K17" s="0" t="n">
        <v>84</v>
      </c>
      <c r="L17" s="0" t="s">
        <v>1081</v>
      </c>
      <c r="U17" s="0" t="s">
        <v>1130</v>
      </c>
      <c r="V17" s="0" t="s">
        <v>457</v>
      </c>
      <c r="X17" s="33" t="n">
        <v>46317</v>
      </c>
      <c r="Y17" s="33" t="n">
        <v>46335</v>
      </c>
      <c r="Z17" s="32" t="s">
        <v>203</v>
      </c>
      <c r="AA17" s="33" t="n">
        <v>46339</v>
      </c>
      <c r="AC17" s="33" t="n">
        <v>46336</v>
      </c>
      <c r="AD17" s="32" t="s">
        <v>1130</v>
      </c>
      <c r="AH17" s="32" t="s">
        <v>1131</v>
      </c>
      <c r="AI17" s="33" t="n">
        <v>46406</v>
      </c>
      <c r="AL17" s="32" t="s">
        <v>1255</v>
      </c>
    </row>
    <row r="18" customFormat="false" ht="15" hidden="false" customHeight="false" outlineLevel="0" collapsed="false">
      <c r="A18" s="0" t="s">
        <v>1132</v>
      </c>
      <c r="B18" s="0" t="s">
        <v>1257</v>
      </c>
      <c r="C18" s="0" t="s">
        <v>1258</v>
      </c>
      <c r="D18" s="0" t="s">
        <v>1016</v>
      </c>
      <c r="E18" s="0" t="s">
        <v>1259</v>
      </c>
      <c r="F18" s="0" t="s">
        <v>678</v>
      </c>
      <c r="I18" s="0" t="s">
        <v>1080</v>
      </c>
      <c r="J18" s="0" t="s">
        <v>594</v>
      </c>
      <c r="K18" s="0" t="n">
        <v>83</v>
      </c>
      <c r="L18" s="0" t="s">
        <v>1081</v>
      </c>
      <c r="U18" s="0" t="s">
        <v>1124</v>
      </c>
      <c r="V18" s="0" t="s">
        <v>457</v>
      </c>
      <c r="X18" s="33" t="n">
        <v>46317</v>
      </c>
      <c r="Y18" s="33" t="n">
        <v>46339</v>
      </c>
      <c r="Z18" s="32" t="s">
        <v>201</v>
      </c>
      <c r="AA18" s="33" t="n">
        <v>46344</v>
      </c>
      <c r="AL18" s="32" t="s">
        <v>1258</v>
      </c>
    </row>
    <row r="19" customFormat="false" ht="15" hidden="false" customHeight="false" outlineLevel="0" collapsed="false">
      <c r="A19" s="0" t="s">
        <v>1136</v>
      </c>
      <c r="B19" s="0" t="s">
        <v>1260</v>
      </c>
      <c r="C19" s="0" t="s">
        <v>1261</v>
      </c>
      <c r="D19" s="0" t="s">
        <v>1016</v>
      </c>
      <c r="E19" s="0" t="s">
        <v>1262</v>
      </c>
      <c r="F19" s="0" t="s">
        <v>678</v>
      </c>
      <c r="I19" s="0" t="s">
        <v>1080</v>
      </c>
      <c r="J19" s="0" t="s">
        <v>594</v>
      </c>
      <c r="K19" s="0" t="n">
        <v>82</v>
      </c>
      <c r="L19" s="0" t="s">
        <v>1081</v>
      </c>
      <c r="U19" s="0" t="s">
        <v>1094</v>
      </c>
      <c r="V19" s="0" t="s">
        <v>457</v>
      </c>
      <c r="X19" s="33" t="n">
        <v>46317</v>
      </c>
      <c r="Y19" s="33" t="n">
        <v>46344</v>
      </c>
      <c r="Z19" s="32" t="s">
        <v>203</v>
      </c>
      <c r="AA19" s="33" t="n">
        <v>46349</v>
      </c>
      <c r="AC19" s="33" t="n">
        <v>46345</v>
      </c>
      <c r="AD19" s="32" t="s">
        <v>497</v>
      </c>
      <c r="AL19" s="32" t="s">
        <v>1261</v>
      </c>
    </row>
    <row r="20" customFormat="false" ht="15" hidden="false" customHeight="false" outlineLevel="0" collapsed="false">
      <c r="A20" s="0" t="s">
        <v>1140</v>
      </c>
      <c r="B20" s="0" t="s">
        <v>1263</v>
      </c>
      <c r="C20" s="0" t="s">
        <v>1264</v>
      </c>
      <c r="D20" s="0" t="s">
        <v>1016</v>
      </c>
      <c r="E20" s="0" t="s">
        <v>1265</v>
      </c>
      <c r="F20" s="0" t="s">
        <v>678</v>
      </c>
      <c r="I20" s="0" t="s">
        <v>1080</v>
      </c>
      <c r="J20" s="0" t="s">
        <v>481</v>
      </c>
      <c r="K20" s="0" t="n">
        <v>81</v>
      </c>
      <c r="L20" s="0" t="s">
        <v>1081</v>
      </c>
      <c r="U20" s="0" t="s">
        <v>1124</v>
      </c>
      <c r="V20" s="0" t="s">
        <v>457</v>
      </c>
      <c r="X20" s="33" t="n">
        <v>46317</v>
      </c>
      <c r="Y20" s="33" t="n">
        <v>46321</v>
      </c>
      <c r="Z20" s="32" t="s">
        <v>201</v>
      </c>
      <c r="AA20" s="33" t="n">
        <v>46324</v>
      </c>
      <c r="AL20" s="32" t="s">
        <v>1264</v>
      </c>
    </row>
    <row r="21" customFormat="false" ht="15" hidden="false" customHeight="false" outlineLevel="0" collapsed="false">
      <c r="A21" s="0" t="s">
        <v>1144</v>
      </c>
      <c r="B21" s="0" t="s">
        <v>1266</v>
      </c>
      <c r="C21" s="0" t="s">
        <v>1267</v>
      </c>
      <c r="D21" s="0" t="s">
        <v>1016</v>
      </c>
      <c r="E21" s="0" t="s">
        <v>1268</v>
      </c>
      <c r="F21" s="0" t="s">
        <v>678</v>
      </c>
      <c r="I21" s="0" t="s">
        <v>1080</v>
      </c>
      <c r="J21" s="0" t="s">
        <v>481</v>
      </c>
      <c r="K21" s="0" t="n">
        <v>80</v>
      </c>
      <c r="L21" s="0" t="s">
        <v>1081</v>
      </c>
      <c r="U21" s="0" t="s">
        <v>1124</v>
      </c>
      <c r="V21" s="0" t="s">
        <v>457</v>
      </c>
      <c r="X21" s="33" t="n">
        <v>46317</v>
      </c>
      <c r="Y21" s="33" t="n">
        <v>46324</v>
      </c>
      <c r="Z21" s="32" t="s">
        <v>203</v>
      </c>
      <c r="AL21" s="32" t="s">
        <v>1267</v>
      </c>
    </row>
    <row r="22" customFormat="false" ht="15" hidden="false" customHeight="false" outlineLevel="0" collapsed="false">
      <c r="A22" s="0" t="s">
        <v>1148</v>
      </c>
      <c r="B22" s="0" t="s">
        <v>1269</v>
      </c>
      <c r="C22" s="0" t="s">
        <v>1270</v>
      </c>
      <c r="D22" s="0" t="s">
        <v>1016</v>
      </c>
      <c r="E22" s="0" t="s">
        <v>1271</v>
      </c>
      <c r="F22" s="0" t="s">
        <v>678</v>
      </c>
      <c r="I22" s="0" t="s">
        <v>1080</v>
      </c>
      <c r="J22" s="0" t="s">
        <v>481</v>
      </c>
      <c r="K22" s="0" t="n">
        <v>79</v>
      </c>
      <c r="L22" s="0" t="s">
        <v>1081</v>
      </c>
      <c r="U22" s="0" t="s">
        <v>1232</v>
      </c>
      <c r="V22" s="0" t="s">
        <v>457</v>
      </c>
      <c r="X22" s="33" t="n">
        <v>46317</v>
      </c>
      <c r="Y22" s="33" t="n">
        <v>46329</v>
      </c>
      <c r="Z22" s="32" t="s">
        <v>201</v>
      </c>
      <c r="AA22" s="33" t="n">
        <v>46332</v>
      </c>
      <c r="AL22" s="32" t="s">
        <v>1270</v>
      </c>
    </row>
    <row r="23" customFormat="false" ht="15" hidden="false" customHeight="false" outlineLevel="0" collapsed="false">
      <c r="A23" s="0" t="s">
        <v>1152</v>
      </c>
      <c r="B23" s="0" t="s">
        <v>1272</v>
      </c>
      <c r="C23" s="0" t="s">
        <v>1273</v>
      </c>
      <c r="D23" s="0" t="s">
        <v>1016</v>
      </c>
      <c r="E23" s="0" t="s">
        <v>1274</v>
      </c>
      <c r="F23" s="0" t="s">
        <v>678</v>
      </c>
      <c r="I23" s="0" t="s">
        <v>1080</v>
      </c>
      <c r="J23" s="0" t="s">
        <v>481</v>
      </c>
      <c r="K23" s="0" t="n">
        <v>78</v>
      </c>
      <c r="L23" s="0" t="s">
        <v>1081</v>
      </c>
      <c r="U23" s="0" t="s">
        <v>470</v>
      </c>
      <c r="V23" s="0" t="s">
        <v>457</v>
      </c>
      <c r="X23" s="33" t="n">
        <v>46317</v>
      </c>
      <c r="Y23" s="33" t="n">
        <v>46332</v>
      </c>
      <c r="Z23" s="32" t="s">
        <v>203</v>
      </c>
      <c r="AA23" s="33" t="n">
        <v>46338</v>
      </c>
      <c r="AB23" s="33" t="n">
        <v>46344</v>
      </c>
      <c r="AC23" s="33" t="n">
        <v>46335</v>
      </c>
      <c r="AD23" s="32" t="s">
        <v>470</v>
      </c>
      <c r="AL23" s="32" t="s">
        <v>1273</v>
      </c>
    </row>
    <row r="24" customFormat="false" ht="15" hidden="false" customHeight="false" outlineLevel="0" collapsed="false">
      <c r="A24" s="0" t="s">
        <v>1156</v>
      </c>
      <c r="B24" s="0" t="s">
        <v>1275</v>
      </c>
      <c r="C24" s="0" t="s">
        <v>1276</v>
      </c>
      <c r="D24" s="0" t="s">
        <v>1016</v>
      </c>
      <c r="E24" s="0" t="s">
        <v>1277</v>
      </c>
      <c r="F24" s="0" t="s">
        <v>678</v>
      </c>
      <c r="I24" s="0" t="s">
        <v>1080</v>
      </c>
      <c r="J24" s="0" t="s">
        <v>594</v>
      </c>
      <c r="K24" s="0" t="n">
        <v>77</v>
      </c>
      <c r="L24" s="0" t="s">
        <v>1081</v>
      </c>
      <c r="U24" s="0" t="s">
        <v>1063</v>
      </c>
      <c r="V24" s="0" t="s">
        <v>460</v>
      </c>
      <c r="X24" s="33" t="n">
        <v>46317</v>
      </c>
      <c r="Y24" s="33" t="n">
        <v>46338</v>
      </c>
      <c r="Z24" s="32" t="s">
        <v>201</v>
      </c>
      <c r="AA24" s="33" t="n">
        <v>46343</v>
      </c>
      <c r="AC24" s="33" t="n">
        <v>46339</v>
      </c>
      <c r="AD24" s="32" t="s">
        <v>1160</v>
      </c>
      <c r="AJ24" s="33" t="n">
        <v>46339</v>
      </c>
      <c r="AL24" s="32" t="s">
        <v>1276</v>
      </c>
    </row>
    <row r="25" customFormat="false" ht="15" hidden="false" customHeight="false" outlineLevel="0" collapsed="false">
      <c r="A25" s="0" t="s">
        <v>1161</v>
      </c>
      <c r="B25" s="0" t="s">
        <v>1278</v>
      </c>
      <c r="C25" s="0" t="s">
        <v>1279</v>
      </c>
      <c r="D25" s="0" t="s">
        <v>1016</v>
      </c>
      <c r="E25" s="0" t="s">
        <v>1280</v>
      </c>
      <c r="F25" s="0" t="s">
        <v>678</v>
      </c>
      <c r="I25" s="0" t="s">
        <v>1165</v>
      </c>
      <c r="J25" s="0" t="s">
        <v>481</v>
      </c>
      <c r="K25" s="0" t="n">
        <v>76</v>
      </c>
      <c r="L25" s="0" t="s">
        <v>1081</v>
      </c>
      <c r="U25" s="0" t="s">
        <v>1124</v>
      </c>
      <c r="V25" s="0" t="s">
        <v>457</v>
      </c>
      <c r="X25" s="33" t="n">
        <v>46317</v>
      </c>
      <c r="Y25" s="33" t="n">
        <v>46343</v>
      </c>
      <c r="Z25" s="32" t="s">
        <v>203</v>
      </c>
      <c r="AA25" s="33" t="n">
        <v>46346</v>
      </c>
      <c r="AD25" s="32" t="s">
        <v>1166</v>
      </c>
      <c r="AL25" s="32" t="s">
        <v>1279</v>
      </c>
    </row>
    <row r="26" customFormat="false" ht="15" hidden="false" customHeight="false" outlineLevel="0" collapsed="false">
      <c r="A26" s="0" t="s">
        <v>1167</v>
      </c>
      <c r="B26" s="0" t="s">
        <v>1281</v>
      </c>
      <c r="C26" s="0" t="s">
        <v>1282</v>
      </c>
      <c r="D26" s="0" t="s">
        <v>1016</v>
      </c>
      <c r="E26" s="0" t="s">
        <v>1283</v>
      </c>
      <c r="F26" s="0" t="s">
        <v>678</v>
      </c>
      <c r="I26" s="0" t="s">
        <v>1080</v>
      </c>
      <c r="J26" s="0" t="s">
        <v>594</v>
      </c>
      <c r="K26" s="0" t="n">
        <v>75</v>
      </c>
      <c r="L26" s="0" t="s">
        <v>1081</v>
      </c>
      <c r="U26" s="0" t="s">
        <v>1124</v>
      </c>
      <c r="V26" s="0" t="s">
        <v>457</v>
      </c>
      <c r="X26" s="33" t="n">
        <v>46317</v>
      </c>
      <c r="Y26" s="33" t="n">
        <v>46346</v>
      </c>
      <c r="Z26" s="32" t="s">
        <v>201</v>
      </c>
      <c r="AC26" s="33" t="n">
        <v>46349</v>
      </c>
      <c r="AD26" s="32" t="s">
        <v>1125</v>
      </c>
      <c r="AL26" s="32" t="s">
        <v>1282</v>
      </c>
    </row>
    <row r="27" customFormat="false" ht="15" hidden="false" customHeight="false" outlineLevel="0" collapsed="false">
      <c r="A27" s="0" t="s">
        <v>1171</v>
      </c>
      <c r="B27" s="0" t="s">
        <v>1284</v>
      </c>
      <c r="C27" s="0" t="s">
        <v>1285</v>
      </c>
      <c r="D27" s="0" t="s">
        <v>1016</v>
      </c>
      <c r="E27" s="0" t="s">
        <v>1286</v>
      </c>
      <c r="F27" s="0" t="s">
        <v>678</v>
      </c>
      <c r="I27" s="0" t="s">
        <v>1080</v>
      </c>
      <c r="J27" s="0" t="s">
        <v>481</v>
      </c>
      <c r="K27" s="0" t="n">
        <v>74</v>
      </c>
      <c r="L27" s="0" t="s">
        <v>1081</v>
      </c>
      <c r="U27" s="0" t="s">
        <v>1130</v>
      </c>
      <c r="V27" s="0" t="s">
        <v>457</v>
      </c>
      <c r="X27" s="33" t="n">
        <v>46317</v>
      </c>
      <c r="Y27" s="33" t="n">
        <v>46323</v>
      </c>
      <c r="Z27" s="32" t="s">
        <v>203</v>
      </c>
      <c r="AA27" s="33" t="n">
        <v>46328</v>
      </c>
      <c r="AC27" s="33" t="n">
        <v>46324</v>
      </c>
      <c r="AD27" s="32" t="s">
        <v>1130</v>
      </c>
      <c r="AH27" s="32" t="s">
        <v>1131</v>
      </c>
      <c r="AI27" s="33" t="n">
        <v>46406</v>
      </c>
      <c r="AL27" s="32" t="s">
        <v>1285</v>
      </c>
    </row>
    <row r="28" customFormat="false" ht="15" hidden="false" customHeight="false" outlineLevel="0" collapsed="false">
      <c r="A28" s="0" t="s">
        <v>1175</v>
      </c>
      <c r="B28" s="0" t="s">
        <v>1287</v>
      </c>
      <c r="C28" s="0" t="s">
        <v>1288</v>
      </c>
      <c r="D28" s="0" t="s">
        <v>1016</v>
      </c>
      <c r="E28" s="0" t="s">
        <v>1289</v>
      </c>
      <c r="F28" s="0" t="s">
        <v>678</v>
      </c>
      <c r="I28" s="0" t="s">
        <v>1080</v>
      </c>
      <c r="J28" s="0" t="s">
        <v>481</v>
      </c>
      <c r="K28" s="0" t="n">
        <v>73</v>
      </c>
      <c r="L28" s="0" t="s">
        <v>1081</v>
      </c>
      <c r="U28" s="0" t="s">
        <v>1124</v>
      </c>
      <c r="V28" s="0" t="s">
        <v>457</v>
      </c>
      <c r="X28" s="33" t="n">
        <v>46317</v>
      </c>
      <c r="Y28" s="33" t="n">
        <v>46328</v>
      </c>
      <c r="Z28" s="32" t="s">
        <v>201</v>
      </c>
      <c r="AA28" s="33" t="n">
        <v>46331</v>
      </c>
      <c r="AL28" s="32" t="s">
        <v>1288</v>
      </c>
    </row>
    <row r="29" customFormat="false" ht="15" hidden="false" customHeight="false" outlineLevel="0" collapsed="false">
      <c r="A29" s="0" t="s">
        <v>1179</v>
      </c>
      <c r="B29" s="0" t="s">
        <v>1290</v>
      </c>
      <c r="C29" s="0" t="s">
        <v>1291</v>
      </c>
      <c r="D29" s="0" t="s">
        <v>1016</v>
      </c>
      <c r="E29" s="0" t="s">
        <v>1292</v>
      </c>
      <c r="F29" s="0" t="s">
        <v>678</v>
      </c>
      <c r="I29" s="0" t="s">
        <v>1080</v>
      </c>
      <c r="J29" s="0" t="s">
        <v>481</v>
      </c>
      <c r="K29" s="0" t="n">
        <v>72</v>
      </c>
      <c r="L29" s="0" t="s">
        <v>1081</v>
      </c>
      <c r="U29" s="0" t="s">
        <v>1094</v>
      </c>
      <c r="V29" s="0" t="s">
        <v>457</v>
      </c>
      <c r="X29" s="33" t="n">
        <v>46317</v>
      </c>
      <c r="Y29" s="33" t="n">
        <v>46331</v>
      </c>
      <c r="Z29" s="32" t="s">
        <v>203</v>
      </c>
      <c r="AA29" s="33" t="n">
        <v>46336</v>
      </c>
      <c r="AC29" s="33" t="n">
        <v>46332</v>
      </c>
      <c r="AD29" s="32" t="s">
        <v>497</v>
      </c>
      <c r="AL29" s="32" t="s">
        <v>1291</v>
      </c>
    </row>
    <row r="30" customFormat="false" ht="15" hidden="false" customHeight="false" outlineLevel="0" collapsed="false">
      <c r="A30" s="0" t="s">
        <v>1183</v>
      </c>
      <c r="B30" s="0" t="s">
        <v>1293</v>
      </c>
      <c r="C30" s="0" t="s">
        <v>1294</v>
      </c>
      <c r="D30" s="0" t="s">
        <v>1016</v>
      </c>
      <c r="E30" s="0" t="s">
        <v>1295</v>
      </c>
      <c r="F30" s="0" t="s">
        <v>678</v>
      </c>
      <c r="I30" s="0" t="s">
        <v>1080</v>
      </c>
      <c r="J30" s="0" t="s">
        <v>594</v>
      </c>
      <c r="K30" s="0" t="n">
        <v>71</v>
      </c>
      <c r="L30" s="0" t="s">
        <v>1081</v>
      </c>
      <c r="U30" s="0" t="s">
        <v>1124</v>
      </c>
      <c r="V30" s="0" t="s">
        <v>457</v>
      </c>
      <c r="X30" s="33" t="n">
        <v>46317</v>
      </c>
      <c r="Y30" s="33" t="n">
        <v>46336</v>
      </c>
      <c r="Z30" s="32" t="s">
        <v>201</v>
      </c>
      <c r="AA30" s="33" t="n">
        <v>46342</v>
      </c>
      <c r="AB30" s="33" t="n">
        <v>46346</v>
      </c>
      <c r="AL30" s="32" t="s">
        <v>1294</v>
      </c>
    </row>
    <row r="31" customFormat="false" ht="15" hidden="false" customHeight="false" outlineLevel="0" collapsed="false">
      <c r="A31" s="0" t="s">
        <v>1187</v>
      </c>
      <c r="B31" s="0" t="s">
        <v>1296</v>
      </c>
      <c r="C31" s="0" t="s">
        <v>1297</v>
      </c>
      <c r="D31" s="0" t="s">
        <v>1016</v>
      </c>
      <c r="E31" s="0" t="s">
        <v>1298</v>
      </c>
      <c r="F31" s="0" t="s">
        <v>678</v>
      </c>
      <c r="I31" s="0" t="s">
        <v>1080</v>
      </c>
      <c r="J31" s="0" t="s">
        <v>594</v>
      </c>
      <c r="K31" s="0" t="n">
        <v>70</v>
      </c>
      <c r="L31" s="0" t="s">
        <v>1081</v>
      </c>
      <c r="U31" s="0" t="s">
        <v>1124</v>
      </c>
      <c r="V31" s="0" t="s">
        <v>457</v>
      </c>
      <c r="X31" s="33" t="n">
        <v>46317</v>
      </c>
      <c r="Y31" s="33" t="n">
        <v>46342</v>
      </c>
      <c r="Z31" s="32" t="s">
        <v>203</v>
      </c>
      <c r="AL31" s="32" t="s">
        <v>1297</v>
      </c>
    </row>
    <row r="32" customFormat="false" ht="15" hidden="false" customHeight="false" outlineLevel="0" collapsed="false">
      <c r="A32" s="0" t="s">
        <v>1191</v>
      </c>
      <c r="B32" s="0" t="s">
        <v>1299</v>
      </c>
      <c r="C32" s="0" t="s">
        <v>1300</v>
      </c>
      <c r="D32" s="0" t="s">
        <v>1016</v>
      </c>
      <c r="E32" s="0" t="s">
        <v>1301</v>
      </c>
      <c r="F32" s="0" t="s">
        <v>678</v>
      </c>
      <c r="I32" s="0" t="s">
        <v>1080</v>
      </c>
      <c r="J32" s="0" t="s">
        <v>594</v>
      </c>
      <c r="K32" s="0" t="n">
        <v>69</v>
      </c>
      <c r="L32" s="0" t="s">
        <v>1081</v>
      </c>
      <c r="U32" s="0" t="s">
        <v>1124</v>
      </c>
      <c r="V32" s="0" t="s">
        <v>457</v>
      </c>
      <c r="X32" s="33" t="n">
        <v>46317</v>
      </c>
      <c r="Y32" s="33" t="n">
        <v>46345</v>
      </c>
      <c r="Z32" s="32" t="s">
        <v>201</v>
      </c>
      <c r="AA32" s="33" t="n">
        <v>46350</v>
      </c>
      <c r="AL32" s="32" t="s">
        <v>1300</v>
      </c>
    </row>
    <row r="33" customFormat="false" ht="15" hidden="false" customHeight="false" outlineLevel="0" collapsed="false">
      <c r="A33" s="0" t="s">
        <v>1195</v>
      </c>
      <c r="B33" s="0" t="s">
        <v>1302</v>
      </c>
      <c r="C33" s="0" t="s">
        <v>1303</v>
      </c>
      <c r="D33" s="0" t="s">
        <v>1016</v>
      </c>
      <c r="E33" s="0" t="s">
        <v>1304</v>
      </c>
      <c r="F33" s="0" t="s">
        <v>678</v>
      </c>
      <c r="I33" s="0" t="s">
        <v>1080</v>
      </c>
      <c r="J33" s="0" t="s">
        <v>481</v>
      </c>
      <c r="K33" s="0" t="n">
        <v>68</v>
      </c>
      <c r="L33" s="0" t="s">
        <v>1081</v>
      </c>
      <c r="U33" s="0" t="s">
        <v>470</v>
      </c>
      <c r="V33" s="0" t="s">
        <v>457</v>
      </c>
      <c r="X33" s="33" t="n">
        <v>46317</v>
      </c>
      <c r="Y33" s="33" t="n">
        <v>46322</v>
      </c>
      <c r="Z33" s="32" t="s">
        <v>203</v>
      </c>
      <c r="AA33" s="33" t="n">
        <v>46325</v>
      </c>
      <c r="AC33" s="33" t="n">
        <v>46323</v>
      </c>
      <c r="AD33" s="32" t="s">
        <v>470</v>
      </c>
      <c r="AL33" s="32" t="s">
        <v>1303</v>
      </c>
    </row>
    <row r="34" customFormat="false" ht="15" hidden="false" customHeight="false" outlineLevel="0" collapsed="false">
      <c r="A34" s="0" t="s">
        <v>1199</v>
      </c>
      <c r="B34" s="0" t="s">
        <v>1305</v>
      </c>
      <c r="C34" s="0" t="s">
        <v>1306</v>
      </c>
      <c r="D34" s="0" t="s">
        <v>1016</v>
      </c>
      <c r="E34" s="0" t="s">
        <v>1307</v>
      </c>
      <c r="F34" s="0" t="s">
        <v>678</v>
      </c>
      <c r="I34" s="0" t="s">
        <v>1080</v>
      </c>
      <c r="J34" s="0" t="s">
        <v>481</v>
      </c>
      <c r="K34" s="0" t="n">
        <v>67</v>
      </c>
      <c r="L34" s="0" t="s">
        <v>1081</v>
      </c>
      <c r="U34" s="0" t="s">
        <v>1063</v>
      </c>
      <c r="V34" s="0" t="s">
        <v>460</v>
      </c>
      <c r="X34" s="33" t="n">
        <v>46317</v>
      </c>
      <c r="Y34" s="33" t="n">
        <v>46325</v>
      </c>
      <c r="Z34" s="32" t="s">
        <v>201</v>
      </c>
      <c r="AA34" s="33" t="n">
        <v>46330</v>
      </c>
      <c r="AC34" s="33" t="n">
        <v>46328</v>
      </c>
      <c r="AD34" s="32" t="s">
        <v>1160</v>
      </c>
      <c r="AJ34" s="33" t="n">
        <v>46328</v>
      </c>
      <c r="AL34" s="32" t="s">
        <v>1306</v>
      </c>
    </row>
    <row r="35" customFormat="false" ht="15" hidden="false" customHeight="false" outlineLevel="0" collapsed="false">
      <c r="A35" s="0" t="s">
        <v>1203</v>
      </c>
      <c r="B35" s="0" t="s">
        <v>1308</v>
      </c>
      <c r="C35" s="0" t="s">
        <v>1309</v>
      </c>
      <c r="D35" s="0" t="s">
        <v>1016</v>
      </c>
      <c r="E35" s="0" t="s">
        <v>1310</v>
      </c>
      <c r="F35" s="0" t="s">
        <v>678</v>
      </c>
      <c r="I35" s="0" t="s">
        <v>1165</v>
      </c>
      <c r="J35" s="0" t="s">
        <v>481</v>
      </c>
      <c r="K35" s="0" t="n">
        <v>66</v>
      </c>
      <c r="L35" s="0" t="s">
        <v>1081</v>
      </c>
      <c r="U35" s="0" t="s">
        <v>1124</v>
      </c>
      <c r="V35" s="0" t="s">
        <v>457</v>
      </c>
      <c r="X35" s="33" t="n">
        <v>46317</v>
      </c>
      <c r="Y35" s="33" t="n">
        <v>46330</v>
      </c>
      <c r="Z35" s="32" t="s">
        <v>203</v>
      </c>
      <c r="AA35" s="33" t="n">
        <v>46335</v>
      </c>
      <c r="AD35" s="32" t="s">
        <v>1166</v>
      </c>
      <c r="AL35" s="32" t="s">
        <v>1309</v>
      </c>
    </row>
    <row r="36" customFormat="false" ht="15" hidden="false" customHeight="false" outlineLevel="0" collapsed="false">
      <c r="A36" s="0" t="s">
        <v>1207</v>
      </c>
      <c r="B36" s="0" t="s">
        <v>1311</v>
      </c>
      <c r="C36" s="0" t="s">
        <v>1312</v>
      </c>
      <c r="D36" s="0" t="s">
        <v>1016</v>
      </c>
      <c r="E36" s="0" t="s">
        <v>1313</v>
      </c>
      <c r="F36" s="0" t="s">
        <v>678</v>
      </c>
      <c r="I36" s="0" t="s">
        <v>1080</v>
      </c>
      <c r="J36" s="0" t="s">
        <v>594</v>
      </c>
      <c r="K36" s="0" t="n">
        <v>65</v>
      </c>
      <c r="L36" s="0" t="s">
        <v>1081</v>
      </c>
      <c r="U36" s="0" t="s">
        <v>1124</v>
      </c>
      <c r="V36" s="0" t="s">
        <v>457</v>
      </c>
      <c r="X36" s="33" t="n">
        <v>46317</v>
      </c>
      <c r="Y36" s="33" t="n">
        <v>46335</v>
      </c>
      <c r="Z36" s="32" t="s">
        <v>201</v>
      </c>
      <c r="AC36" s="33" t="n">
        <v>46336</v>
      </c>
      <c r="AD36" s="32" t="s">
        <v>1125</v>
      </c>
      <c r="AL36" s="32" t="s">
        <v>1312</v>
      </c>
    </row>
    <row r="37" customFormat="false" ht="15" hidden="false" customHeight="false" outlineLevel="0" collapsed="false">
      <c r="A37" s="0" t="s">
        <v>1211</v>
      </c>
      <c r="B37" s="0" t="s">
        <v>1314</v>
      </c>
      <c r="C37" s="0" t="s">
        <v>1315</v>
      </c>
      <c r="D37" s="0" t="s">
        <v>1016</v>
      </c>
      <c r="E37" s="0" t="s">
        <v>1316</v>
      </c>
      <c r="F37" s="0" t="s">
        <v>678</v>
      </c>
      <c r="I37" s="0" t="s">
        <v>1080</v>
      </c>
      <c r="J37" s="0" t="s">
        <v>481</v>
      </c>
      <c r="K37" s="0" t="n">
        <v>64</v>
      </c>
      <c r="L37" s="0" t="s">
        <v>1081</v>
      </c>
      <c r="U37" s="0" t="s">
        <v>1130</v>
      </c>
      <c r="V37" s="0" t="s">
        <v>457</v>
      </c>
      <c r="X37" s="33" t="n">
        <v>46317</v>
      </c>
      <c r="Y37" s="33" t="n">
        <v>46339</v>
      </c>
      <c r="Z37" s="32" t="s">
        <v>203</v>
      </c>
      <c r="AA37" s="33" t="n">
        <v>46344</v>
      </c>
      <c r="AB37" s="33" t="n">
        <v>46350</v>
      </c>
      <c r="AC37" s="33" t="n">
        <v>46342</v>
      </c>
      <c r="AD37" s="32" t="s">
        <v>1130</v>
      </c>
      <c r="AH37" s="32" t="s">
        <v>1131</v>
      </c>
      <c r="AI37" s="33" t="n">
        <v>46406</v>
      </c>
      <c r="AL37" s="32" t="s">
        <v>1315</v>
      </c>
    </row>
    <row r="38" customFormat="false" ht="15" hidden="false" customHeight="false" outlineLevel="0" collapsed="false">
      <c r="A38" s="0" t="s">
        <v>1215</v>
      </c>
      <c r="B38" s="0" t="s">
        <v>1317</v>
      </c>
      <c r="C38" s="0" t="s">
        <v>1318</v>
      </c>
      <c r="D38" s="0" t="s">
        <v>1016</v>
      </c>
      <c r="E38" s="0" t="s">
        <v>1319</v>
      </c>
      <c r="F38" s="0" t="s">
        <v>678</v>
      </c>
      <c r="I38" s="0" t="s">
        <v>1080</v>
      </c>
      <c r="J38" s="0" t="s">
        <v>594</v>
      </c>
      <c r="K38" s="0" t="n">
        <v>63</v>
      </c>
      <c r="L38" s="0" t="s">
        <v>1081</v>
      </c>
      <c r="U38" s="0" t="s">
        <v>1124</v>
      </c>
      <c r="V38" s="0" t="s">
        <v>457</v>
      </c>
      <c r="X38" s="33" t="n">
        <v>46317</v>
      </c>
      <c r="Y38" s="33" t="n">
        <v>46344</v>
      </c>
      <c r="Z38" s="32" t="s">
        <v>201</v>
      </c>
      <c r="AA38" s="33" t="n">
        <v>46349</v>
      </c>
      <c r="AL38" s="32" t="s">
        <v>1318</v>
      </c>
    </row>
    <row r="39" customFormat="false" ht="15" hidden="false" customHeight="false" outlineLevel="0" collapsed="false">
      <c r="A39" s="0" t="s">
        <v>1219</v>
      </c>
      <c r="B39" s="0" t="s">
        <v>1320</v>
      </c>
      <c r="C39" s="0" t="s">
        <v>1321</v>
      </c>
      <c r="D39" s="0" t="s">
        <v>1016</v>
      </c>
      <c r="E39" s="0" t="s">
        <v>1322</v>
      </c>
      <c r="F39" s="0" t="s">
        <v>678</v>
      </c>
      <c r="I39" s="0" t="s">
        <v>1080</v>
      </c>
      <c r="J39" s="0" t="s">
        <v>481</v>
      </c>
      <c r="K39" s="0" t="n">
        <v>62</v>
      </c>
      <c r="L39" s="0" t="s">
        <v>1081</v>
      </c>
      <c r="U39" s="0" t="s">
        <v>1094</v>
      </c>
      <c r="V39" s="0" t="s">
        <v>457</v>
      </c>
      <c r="X39" s="33" t="n">
        <v>46317</v>
      </c>
      <c r="Y39" s="33" t="n">
        <v>46321</v>
      </c>
      <c r="Z39" s="32" t="s">
        <v>203</v>
      </c>
      <c r="AA39" s="33" t="n">
        <v>46324</v>
      </c>
      <c r="AC39" s="33" t="n">
        <v>46322</v>
      </c>
      <c r="AD39" s="32" t="s">
        <v>497</v>
      </c>
      <c r="AL39" s="32" t="s">
        <v>1321</v>
      </c>
    </row>
    <row r="40" customFormat="false" ht="15" hidden="false" customHeight="false" outlineLevel="0" collapsed="false">
      <c r="A40" s="0" t="s">
        <v>1223</v>
      </c>
      <c r="B40" s="0" t="s">
        <v>1323</v>
      </c>
      <c r="C40" s="0" t="s">
        <v>1324</v>
      </c>
      <c r="D40" s="0" t="s">
        <v>1016</v>
      </c>
      <c r="E40" s="0" t="s">
        <v>1325</v>
      </c>
      <c r="F40" s="0" t="s">
        <v>678</v>
      </c>
      <c r="I40" s="0" t="s">
        <v>1080</v>
      </c>
      <c r="J40" s="0" t="s">
        <v>481</v>
      </c>
      <c r="K40" s="0" t="n">
        <v>61</v>
      </c>
      <c r="L40" s="0" t="s">
        <v>1081</v>
      </c>
      <c r="U40" s="0" t="s">
        <v>1124</v>
      </c>
      <c r="V40" s="0" t="s">
        <v>457</v>
      </c>
      <c r="X40" s="33" t="n">
        <v>46317</v>
      </c>
      <c r="Y40" s="33" t="n">
        <v>46324</v>
      </c>
      <c r="Z40" s="32" t="s">
        <v>201</v>
      </c>
      <c r="AA40" s="33" t="n">
        <v>46329</v>
      </c>
      <c r="AL40" s="32" t="s">
        <v>1324</v>
      </c>
    </row>
    <row r="41" customFormat="false" ht="15" hidden="false" customHeight="false" outlineLevel="0" collapsed="false">
      <c r="A41" s="0" t="s">
        <v>1227</v>
      </c>
      <c r="B41" s="0" t="s">
        <v>1326</v>
      </c>
      <c r="C41" s="0" t="s">
        <v>1327</v>
      </c>
      <c r="D41" s="0" t="s">
        <v>1016</v>
      </c>
      <c r="E41" s="0" t="s">
        <v>1328</v>
      </c>
      <c r="F41" s="0" t="s">
        <v>678</v>
      </c>
      <c r="I41" s="0" t="s">
        <v>1080</v>
      </c>
      <c r="J41" s="0" t="s">
        <v>481</v>
      </c>
      <c r="K41" s="0" t="n">
        <v>60</v>
      </c>
      <c r="L41" s="0" t="s">
        <v>1081</v>
      </c>
      <c r="U41" s="0" t="s">
        <v>1124</v>
      </c>
      <c r="V41" s="0" t="s">
        <v>457</v>
      </c>
      <c r="X41" s="33" t="n">
        <v>46317</v>
      </c>
      <c r="Y41" s="33" t="n">
        <v>46329</v>
      </c>
      <c r="Z41" s="32" t="s">
        <v>203</v>
      </c>
      <c r="AL41" s="32" t="s">
        <v>1327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6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5"/>
    <col collapsed="false" customWidth="true" hidden="false" outlineLevel="0" max="3" min="3" style="0" width="16"/>
    <col collapsed="false" customWidth="true" hidden="false" outlineLevel="0" max="4" min="4" style="0" width="14"/>
    <col collapsed="false" customWidth="true" hidden="false" outlineLevel="0" max="6" min="5" style="0" width="8"/>
    <col collapsed="false" customWidth="true" hidden="false" outlineLevel="0" max="7" min="7" style="0" width="40"/>
    <col collapsed="false" customWidth="true" hidden="false" outlineLevel="0" max="9" min="9" style="0" width="5"/>
    <col collapsed="false" customWidth="true" hidden="false" outlineLevel="0" max="10" min="10" style="0" width="16"/>
    <col collapsed="false" customWidth="true" hidden="false" outlineLevel="0" max="11" min="11" style="0" width="14"/>
    <col collapsed="false" customWidth="true" hidden="false" outlineLevel="0" max="13" min="12" style="0" width="8"/>
    <col collapsed="false" customWidth="true" hidden="false" outlineLevel="0" max="14" min="14" style="0" width="40"/>
    <col collapsed="false" customWidth="true" hidden="false" outlineLevel="0" max="16" min="16" style="0" width="18"/>
    <col collapsed="false" customWidth="true" hidden="false" outlineLevel="0" max="17" min="17" style="0" width="14"/>
    <col collapsed="false" customWidth="true" hidden="false" outlineLevel="0" max="18" min="18" style="0" width="36"/>
    <col collapsed="false" customWidth="true" hidden="false" outlineLevel="0" max="20" min="20" style="0" width="18"/>
    <col collapsed="false" customWidth="true" hidden="false" outlineLevel="0" max="21" min="21" style="0" width="14"/>
    <col collapsed="false" customWidth="true" hidden="false" outlineLevel="0" max="22" min="22" style="0" width="36"/>
    <col collapsed="false" customWidth="true" hidden="false" outlineLevel="0" max="24" min="24" style="0" width="10"/>
    <col collapsed="false" customWidth="true" hidden="false" outlineLevel="0" max="25" min="25" style="0" width="12"/>
  </cols>
  <sheetData>
    <row r="1" customFormat="false" ht="17.35" hidden="false" customHeight="false" outlineLevel="0" collapsed="false">
      <c r="A1" s="6" t="s">
        <v>1329</v>
      </c>
    </row>
    <row r="2" customFormat="false" ht="15" hidden="false" customHeight="false" outlineLevel="0" collapsed="false">
      <c r="A2" s="7" t="s">
        <v>1330</v>
      </c>
    </row>
    <row r="4" customFormat="false" ht="41.75" hidden="false" customHeight="false" outlineLevel="0" collapsed="false">
      <c r="B4" s="8" t="s">
        <v>1331</v>
      </c>
      <c r="C4" s="8" t="s">
        <v>1332</v>
      </c>
      <c r="D4" s="8" t="s">
        <v>1333</v>
      </c>
      <c r="E4" s="8" t="s">
        <v>1334</v>
      </c>
    </row>
    <row r="5" customFormat="false" ht="15" hidden="false" customHeight="false" outlineLevel="0" collapsed="false">
      <c r="B5" s="0" t="s">
        <v>300</v>
      </c>
      <c r="C5" s="23" t="n">
        <f aca="false">IFERROR(MATCH(B5,Clay_Offices!$A$1:$FZ$1,0),"")</f>
        <v>3</v>
      </c>
      <c r="D5" s="23" t="n">
        <f aca="false">IFERROR(MATCH(B5,Clay_Brands!$A$1:$FZ$1,0),"")</f>
        <v>3</v>
      </c>
      <c r="E5" s="23" t="str">
        <f aca="false">IF(AND(C5="",D5=""),"missing in both pastes",IF(C5="","missing in Clay_Offices",IF(D5="","missing in Clay_Brands","")))</f>
        <v/>
      </c>
    </row>
    <row r="6" customFormat="false" ht="15" hidden="false" customHeight="false" outlineLevel="0" collapsed="false">
      <c r="B6" s="0" t="s">
        <v>301</v>
      </c>
      <c r="C6" s="23" t="n">
        <f aca="false">IFERROR(MATCH(B6,Clay_Offices!$A$1:$FZ$1,0),"")</f>
        <v>2</v>
      </c>
      <c r="D6" s="23" t="n">
        <f aca="false">IFERROR(MATCH(B6,Clay_Brands!$A$1:$FZ$1,0),"")</f>
        <v>2</v>
      </c>
      <c r="E6" s="23" t="str">
        <f aca="false">IF(AND(C6="",D6=""),"missing in both pastes",IF(C6="","missing in Clay_Offices",IF(D6="","missing in Clay_Brands","")))</f>
        <v/>
      </c>
    </row>
    <row r="7" customFormat="false" ht="15" hidden="false" customHeight="false" outlineLevel="0" collapsed="false">
      <c r="B7" s="0" t="s">
        <v>1062</v>
      </c>
      <c r="C7" s="23" t="n">
        <f aca="false">IFERROR(MATCH(B7,Clay_Offices!$A$1:$FZ$1,0),"")</f>
        <v>21</v>
      </c>
      <c r="D7" s="23" t="n">
        <f aca="false">IFERROR(MATCH(B7,Clay_Brands!$A$1:$FZ$1,0),"")</f>
        <v>21</v>
      </c>
      <c r="E7" s="23" t="str">
        <f aca="false">IF(AND(C7="",D7=""),"missing in both pastes",IF(C7="","missing in Clay_Offices",IF(D7="","missing in Clay_Brands","")))</f>
        <v/>
      </c>
    </row>
    <row r="8" customFormat="false" ht="15" hidden="false" customHeight="false" outlineLevel="0" collapsed="false">
      <c r="B8" s="0" t="s">
        <v>1063</v>
      </c>
      <c r="C8" s="23" t="n">
        <f aca="false">IFERROR(MATCH(B8,Clay_Offices!$A$1:$FZ$1,0),"")</f>
        <v>22</v>
      </c>
      <c r="D8" s="23" t="n">
        <f aca="false">IFERROR(MATCH(B8,Clay_Brands!$A$1:$FZ$1,0),"")</f>
        <v>22</v>
      </c>
      <c r="E8" s="23" t="str">
        <f aca="false">IF(AND(C8="",D8=""),"missing in both pastes",IF(C8="","missing in Clay_Offices",IF(D8="","missing in Clay_Brands","")))</f>
        <v/>
      </c>
    </row>
    <row r="9" customFormat="false" ht="15" hidden="false" customHeight="false" outlineLevel="0" collapsed="false">
      <c r="B9" s="0" t="s">
        <v>306</v>
      </c>
      <c r="C9" s="23" t="n">
        <f aca="false">IFERROR(MATCH(B9,Clay_Offices!$A$1:$FZ$1,0),"")</f>
        <v>10</v>
      </c>
      <c r="D9" s="23" t="n">
        <f aca="false">IFERROR(MATCH(B9,Clay_Brands!$A$1:$FZ$1,0),"")</f>
        <v>10</v>
      </c>
      <c r="E9" s="23" t="str">
        <f aca="false">IF(AND(C9="",D9=""),"missing in both pastes",IF(C9="","missing in Clay_Offices",IF(D9="","missing in Clay_Brands","")))</f>
        <v/>
      </c>
    </row>
    <row r="10" customFormat="false" ht="15" hidden="false" customHeight="false" outlineLevel="0" collapsed="false">
      <c r="B10" s="0" t="s">
        <v>1067</v>
      </c>
      <c r="C10" s="23" t="n">
        <f aca="false">IFERROR(MATCH(B10,Clay_Offices!$A$1:$FZ$1,0),"")</f>
        <v>26</v>
      </c>
      <c r="D10" s="23" t="n">
        <f aca="false">IFERROR(MATCH(B10,Clay_Brands!$A$1:$FZ$1,0),"")</f>
        <v>26</v>
      </c>
      <c r="E10" s="23" t="str">
        <f aca="false">IF(AND(C10="",D10=""),"missing in both pastes",IF(C10="","missing in Clay_Offices",IF(D10="","missing in Clay_Brands","")))</f>
        <v/>
      </c>
    </row>
    <row r="11" customFormat="false" ht="15" hidden="false" customHeight="false" outlineLevel="0" collapsed="false">
      <c r="B11" s="0" t="s">
        <v>1066</v>
      </c>
      <c r="C11" s="23" t="n">
        <f aca="false">IFERROR(MATCH(B11,Clay_Offices!$A$1:$FZ$1,0),"")</f>
        <v>25</v>
      </c>
      <c r="D11" s="23" t="n">
        <f aca="false">IFERROR(MATCH(B11,Clay_Brands!$A$1:$FZ$1,0),"")</f>
        <v>25</v>
      </c>
      <c r="E11" s="23" t="str">
        <f aca="false">IF(AND(C11="",D11=""),"missing in both pastes",IF(C11="","missing in Clay_Offices",IF(D11="","missing in Clay_Brands","")))</f>
        <v/>
      </c>
    </row>
    <row r="12" customFormat="false" ht="15" hidden="false" customHeight="false" outlineLevel="0" collapsed="false">
      <c r="B12" s="0" t="s">
        <v>1068</v>
      </c>
      <c r="C12" s="23" t="n">
        <f aca="false">IFERROR(MATCH(B12,Clay_Offices!$A$1:$FZ$1,0),"")</f>
        <v>27</v>
      </c>
      <c r="D12" s="23" t="n">
        <f aca="false">IFERROR(MATCH(B12,Clay_Brands!$A$1:$FZ$1,0),"")</f>
        <v>27</v>
      </c>
      <c r="E12" s="23" t="str">
        <f aca="false">IF(AND(C12="",D12=""),"missing in both pastes",IF(C12="","missing in Clay_Offices",IF(D12="","missing in Clay_Brands","")))</f>
        <v/>
      </c>
    </row>
    <row r="13" customFormat="false" ht="15" hidden="false" customHeight="false" outlineLevel="0" collapsed="false">
      <c r="B13" s="0" t="s">
        <v>1069</v>
      </c>
      <c r="C13" s="23" t="n">
        <f aca="false">IFERROR(MATCH(B13,Clay_Offices!$A$1:$FZ$1,0),"")</f>
        <v>28</v>
      </c>
      <c r="D13" s="23" t="n">
        <f aca="false">IFERROR(MATCH(B13,Clay_Brands!$A$1:$FZ$1,0),"")</f>
        <v>28</v>
      </c>
      <c r="E13" s="23" t="str">
        <f aca="false">IF(AND(C13="",D13=""),"missing in both pastes",IF(C13="","missing in Clay_Offices",IF(D13="","missing in Clay_Brands","")))</f>
        <v/>
      </c>
    </row>
    <row r="14" customFormat="false" ht="15" hidden="false" customHeight="false" outlineLevel="0" collapsed="false">
      <c r="B14" s="0" t="s">
        <v>1070</v>
      </c>
      <c r="C14" s="23" t="n">
        <f aca="false">IFERROR(MATCH(B14,Clay_Offices!$A$1:$FZ$1,0),"")</f>
        <v>29</v>
      </c>
      <c r="D14" s="23" t="n">
        <f aca="false">IFERROR(MATCH(B14,Clay_Brands!$A$1:$FZ$1,0),"")</f>
        <v>29</v>
      </c>
      <c r="E14" s="23" t="str">
        <f aca="false">IF(AND(C14="",D14=""),"missing in both pastes",IF(C14="","missing in Clay_Offices",IF(D14="","missing in Clay_Brands","")))</f>
        <v/>
      </c>
    </row>
    <row r="15" customFormat="false" ht="15" hidden="false" customHeight="false" outlineLevel="0" collapsed="false">
      <c r="B15" s="0" t="s">
        <v>1071</v>
      </c>
      <c r="C15" s="23" t="n">
        <f aca="false">IFERROR(MATCH(B15,Clay_Offices!$A$1:$FZ$1,0),"")</f>
        <v>30</v>
      </c>
      <c r="D15" s="23" t="n">
        <f aca="false">IFERROR(MATCH(B15,Clay_Brands!$A$1:$FZ$1,0),"")</f>
        <v>30</v>
      </c>
      <c r="E15" s="23" t="str">
        <f aca="false">IF(AND(C15="",D15=""),"missing in both pastes",IF(C15="","missing in Clay_Offices",IF(D15="","missing in Clay_Brands","")))</f>
        <v/>
      </c>
    </row>
    <row r="16" customFormat="false" ht="15" hidden="false" customHeight="false" outlineLevel="0" collapsed="false">
      <c r="B16" s="0" t="s">
        <v>307</v>
      </c>
      <c r="C16" s="23" t="n">
        <f aca="false">IFERROR(MATCH(B16,Clay_Offices!$A$1:$FZ$1,0),"")</f>
        <v>31</v>
      </c>
      <c r="D16" s="23" t="n">
        <f aca="false">IFERROR(MATCH(B16,Clay_Brands!$A$1:$FZ$1,0),"")</f>
        <v>31</v>
      </c>
      <c r="E16" s="23" t="str">
        <f aca="false">IF(AND(C16="",D16=""),"missing in both pastes",IF(C16="","missing in Clay_Offices",IF(D16="","missing in Clay_Brands","")))</f>
        <v/>
      </c>
    </row>
    <row r="17" customFormat="false" ht="15" hidden="false" customHeight="false" outlineLevel="0" collapsed="false">
      <c r="B17" s="0" t="s">
        <v>343</v>
      </c>
      <c r="C17" s="23" t="n">
        <f aca="false">IFERROR(MATCH(B17,Clay_Offices!$A$1:$FZ$1,0),"")</f>
        <v>33</v>
      </c>
      <c r="D17" s="23" t="n">
        <f aca="false">IFERROR(MATCH(B17,Clay_Brands!$A$1:$FZ$1,0),"")</f>
        <v>33</v>
      </c>
      <c r="E17" s="23" t="str">
        <f aca="false">IF(AND(C17="",D17=""),"missing in both pastes",IF(C17="","missing in Clay_Offices",IF(D17="","missing in Clay_Brands","")))</f>
        <v/>
      </c>
    </row>
    <row r="18" customFormat="false" ht="15" hidden="false" customHeight="false" outlineLevel="0" collapsed="false">
      <c r="B18" s="0" t="s">
        <v>1075</v>
      </c>
      <c r="C18" s="23" t="n">
        <f aca="false">IFERROR(MATCH(B18,Clay_Offices!$A$1:$FZ$1,0),"")</f>
        <v>36</v>
      </c>
      <c r="D18" s="23" t="n">
        <f aca="false">IFERROR(MATCH(B18,Clay_Brands!$A$1:$FZ$1,0),"")</f>
        <v>36</v>
      </c>
      <c r="E18" s="23" t="str">
        <f aca="false">IF(AND(C18="",D18=""),"missing in both pastes",IF(C18="","missing in Clay_Offices",IF(D18="","missing in Clay_Brands","")))</f>
        <v/>
      </c>
    </row>
    <row r="19" customFormat="false" ht="15" hidden="false" customHeight="false" outlineLevel="0" collapsed="false">
      <c r="B19" s="0" t="s">
        <v>1077</v>
      </c>
      <c r="C19" s="23" t="n">
        <f aca="false">IFERROR(MATCH(B19,Clay_Offices!$A$1:$FZ$1,0),"")</f>
        <v>38</v>
      </c>
      <c r="D19" s="23" t="n">
        <f aca="false">IFERROR(MATCH(B19,Clay_Brands!$A$1:$FZ$1,0),"")</f>
        <v>38</v>
      </c>
      <c r="E19" s="23" t="str">
        <f aca="false">IF(AND(C19="",D19=""),"missing in both pastes",IF(C19="","missing in Clay_Offices",IF(D19="","missing in Clay_Brands","")))</f>
        <v/>
      </c>
    </row>
    <row r="20" customFormat="false" ht="15" hidden="false" customHeight="false" outlineLevel="0" collapsed="false">
      <c r="A20" s="37" t="s">
        <v>1335</v>
      </c>
      <c r="P20" s="37" t="s">
        <v>263</v>
      </c>
    </row>
    <row r="21" customFormat="false" ht="28.35" hidden="false" customHeight="false" outlineLevel="0" collapsed="false">
      <c r="B21" s="21" t="s">
        <v>1336</v>
      </c>
      <c r="C21" s="21" t="s">
        <v>1337</v>
      </c>
      <c r="D21" s="21" t="s">
        <v>1062</v>
      </c>
      <c r="E21" s="21" t="s">
        <v>1063</v>
      </c>
      <c r="F21" s="21" t="s">
        <v>1338</v>
      </c>
      <c r="G21" s="21" t="s">
        <v>1339</v>
      </c>
      <c r="I21" s="21" t="s">
        <v>1336</v>
      </c>
      <c r="J21" s="21" t="s">
        <v>1340</v>
      </c>
      <c r="K21" s="21" t="s">
        <v>1062</v>
      </c>
      <c r="L21" s="21" t="s">
        <v>1063</v>
      </c>
      <c r="M21" s="21" t="s">
        <v>1338</v>
      </c>
      <c r="N21" s="21" t="s">
        <v>1339</v>
      </c>
      <c r="P21" s="21" t="s">
        <v>1341</v>
      </c>
      <c r="Q21" s="21" t="s">
        <v>1342</v>
      </c>
      <c r="R21" s="21" t="s">
        <v>1339</v>
      </c>
      <c r="T21" s="21" t="s">
        <v>1343</v>
      </c>
      <c r="U21" s="21" t="s">
        <v>1342</v>
      </c>
      <c r="V21" s="21" t="s">
        <v>1339</v>
      </c>
      <c r="X21" s="21" t="s">
        <v>1344</v>
      </c>
      <c r="Y21" s="21" t="s">
        <v>1345</v>
      </c>
    </row>
    <row r="22" customFormat="false" ht="15" hidden="false" customHeight="false" outlineLevel="0" collapsed="false">
      <c r="B22" s="23" t="n">
        <v>1</v>
      </c>
      <c r="C22" s="23" t="str">
        <f aca="false">IFERROR(INDEX(Clay_Offices!$A$2:$FZ$601,B22,$C$5)&amp;"","")</f>
        <v>SAMPLE-O-001</v>
      </c>
      <c r="D22" s="23" t="str">
        <f aca="false">IFERROR(INDEX(Clay_Offices!$A$2:$FZ$601,B22,$C$7)&amp;"","")</f>
        <v>signed</v>
      </c>
      <c r="E22" s="23" t="str">
        <f aca="false">IFERROR(INDEX(Clay_Offices!$A$2:$FZ$601,B22,$C$8)&amp;"","")</f>
        <v>N</v>
      </c>
      <c r="F22" s="23" t="str">
        <f aca="false">IF(C22="","",IF(COUNTIF(Office_Log!$A$2:$A$201,C22)&gt;0,"Y","N"))</f>
        <v>Y</v>
      </c>
      <c r="G22" s="34" t="str">
        <f aca="false">IF(OR(C22="",AND(LEFT(C22,6)="SAMPLE",Config!$B$19&lt;&gt;"Y")),"",IF(IFERROR(INDEX(Lists!$K$2:$K$15,MATCH(D22,Lists!$J$2:$J$15,0)),-1)=-1,"status '"&amp;D22&amp;"' is not a CONTRACTS status",IF(AND(D22="signed",COUNTIF(signed_offices!$W$2:$W$51,C22)=0),"status signed but no signed_offices row"&amp;IF(F22="N"," and no tracker row",""),IF(AND(IFERROR(INDEX(Lists!$K$2:$K$15,MATCH(D22,Lists!$J$2:$J$15,0)),-1)&gt;=6,F22="N"),"status "&amp;D22&amp;" but no tracker row",IF(AND(E22="Y",D22&lt;&gt;"do_not_contact"),"do_not_contact = Y but status is "&amp;D22,IF(AND(D22="do_not_contact",E22&lt;&gt;"Y"),"status do_not_contact but do_not_contact is not Y",""))))))</f>
        <v/>
      </c>
      <c r="I22" s="23" t="n">
        <v>1</v>
      </c>
      <c r="J22" s="23" t="str">
        <f aca="false">IFERROR(INDEX(Clay_Brands!$A$2:$FZ$601,I22,$D$5)&amp;"","")</f>
        <v>SAMPLE-B-001</v>
      </c>
      <c r="K22" s="23" t="str">
        <f aca="false">IFERROR(INDEX(Clay_Brands!$A$2:$FZ$601,I22,$D$7)&amp;"","")</f>
        <v>paid</v>
      </c>
      <c r="L22" s="23" t="str">
        <f aca="false">IFERROR(INDEX(Clay_Brands!$A$2:$FZ$601,I22,$D$8)&amp;"","")</f>
        <v>N</v>
      </c>
      <c r="M22" s="23" t="str">
        <f aca="false">IF(J22="","",IF(COUNTIF(Brand_Log!$A$2:$A$201,J22)&gt;0,"Y","N"))</f>
        <v>Y</v>
      </c>
      <c r="N22" s="34" t="str">
        <f aca="false">IF(OR(J22="",AND(LEFT(J22,6)="SAMPLE",Config!$B$19&lt;&gt;"Y")),"",IF(IFERROR(INDEX(Lists!$K$2:$K$15,MATCH(K22,Lists!$J$2:$J$15,0)),-1)=-1,"status '"&amp;K22&amp;"' is not a CONTRACTS status",IF(AND(K22="paid",COUNTIF(paid_brands!$AC$2:$AC$51,J22)=0),"status paid but no paid_brands row"&amp;IF(M22="N"," and no tracker row",""),IF(AND(IFERROR(INDEX(Lists!$K$2:$K$15,MATCH(K22,Lists!$J$2:$J$15,0)),-1)&gt;=6,M22="N"),"status "&amp;K22&amp;" but no tracker row",IF(AND(L22="Y",K22&lt;&gt;"do_not_contact"),"do_not_contact = Y but status is "&amp;K22,IF(AND(K22="do_not_contact",L22&lt;&gt;"Y"),"status do_not_contact but do_not_contact is not Y",""))))))</f>
        <v/>
      </c>
      <c r="P22" s="23" t="str">
        <f aca="false">IF(signed_offices!W2="","",signed_offices!W2&amp;"")</f>
        <v>SAMPLE-O-001</v>
      </c>
      <c r="Q22" s="23" t="str">
        <f aca="false">IF(P22="","",IFERROR(INDEX(Clay_Offices!$A$2:$FZ$601,MATCH(P22,INDEX(Clay_Offices!$A$2:$FZ$601,0,$C$5),0),$C$7)&amp;"","not in Clay"))</f>
        <v>signed</v>
      </c>
      <c r="R22" s="23" t="str">
        <f aca="false">IF(OR(P22="",AND(LEFT(P22,6)="SAMPLE",Config!$B$19&lt;&gt;"Y")),"",IF(Q22="signed","","Clay status is "&amp;Q22&amp;": set signed"))</f>
        <v/>
      </c>
      <c r="T22" s="23" t="str">
        <f aca="false">IF(paid_brands!AC2="","",paid_brands!AC2&amp;"")</f>
        <v>SAMPLE-B-001</v>
      </c>
      <c r="U22" s="23" t="str">
        <f aca="false">IF(T22="","",IFERROR(INDEX(Clay_Brands!$A$2:$FZ$601,MATCH(T22,INDEX(Clay_Brands!$A$2:$FZ$601,0,$D$5),0),$D$7)&amp;"","not in Clay"))</f>
        <v>paid</v>
      </c>
      <c r="V22" s="23" t="str">
        <f aca="false">IF(OR(T22="",AND(LEFT(T22,6)="SAMPLE",Config!$B$19&lt;&gt;"Y")),"",IF(U22="paid","","Clay status is "&amp;U22&amp;": set paid"))</f>
        <v/>
      </c>
      <c r="X22" s="23" t="n">
        <v>2</v>
      </c>
      <c r="Y22" s="35" t="n">
        <f aca="false">IF(OR(TRIM(paid_brands!AC2)="",AND(LEFT(paid_brands!AC2,6)="SAMPLE",Config!$B$19&lt;&gt;"Y")),"",IF(AND(N(paid_brands!AE2)&gt;0,N(paid_brands!AV2)+N(paid_brands!AX2)&gt;=N(paid_brands!AE2)),IF(N(paid_brands!AX2)&gt;0,MAX(N(paid_brands!AW2),N(paid_brands!AY2)),N(paid_brands!AW2)),""))</f>
        <v>46359</v>
      </c>
    </row>
    <row r="23" customFormat="false" ht="15" hidden="false" customHeight="false" outlineLevel="0" collapsed="false">
      <c r="B23" s="23" t="n">
        <v>2</v>
      </c>
      <c r="C23" s="23" t="str">
        <f aca="false">IFERROR(INDEX(Clay_Offices!$A$2:$FZ$601,B23,$C$5)&amp;"","")</f>
        <v>SAMPLE-O-002</v>
      </c>
      <c r="D23" s="23" t="str">
        <f aca="false">IFERROR(INDEX(Clay_Offices!$A$2:$FZ$601,B23,$C$7)&amp;"","")</f>
        <v>yes_in_principle</v>
      </c>
      <c r="E23" s="23" t="str">
        <f aca="false">IFERROR(INDEX(Clay_Offices!$A$2:$FZ$601,B23,$C$8)&amp;"","")</f>
        <v>N</v>
      </c>
      <c r="F23" s="23" t="str">
        <f aca="false">IF(C23="","",IF(COUNTIF(Office_Log!$A$2:$A$201,C23)&gt;0,"Y","N"))</f>
        <v>Y</v>
      </c>
      <c r="G23" s="34" t="str">
        <f aca="false">IF(OR(C23="",AND(LEFT(C23,6)="SAMPLE",Config!$B$19&lt;&gt;"Y")),"",IF(IFERROR(INDEX(Lists!$K$2:$K$15,MATCH(D23,Lists!$J$2:$J$15,0)),-1)=-1,"status '"&amp;D23&amp;"' is not a CONTRACTS status",IF(AND(D23="signed",COUNTIF(signed_offices!$W$2:$W$51,C23)=0),"status signed but no signed_offices row"&amp;IF(F23="N"," and no tracker row",""),IF(AND(IFERROR(INDEX(Lists!$K$2:$K$15,MATCH(D23,Lists!$J$2:$J$15,0)),-1)&gt;=6,F23="N"),"status "&amp;D23&amp;" but no tracker row",IF(AND(E23="Y",D23&lt;&gt;"do_not_contact"),"do_not_contact = Y but status is "&amp;D23,IF(AND(D23="do_not_contact",E23&lt;&gt;"Y"),"status do_not_contact but do_not_contact is not Y",""))))))</f>
        <v/>
      </c>
      <c r="I23" s="23" t="n">
        <v>2</v>
      </c>
      <c r="J23" s="23" t="str">
        <f aca="false">IFERROR(INDEX(Clay_Brands!$A$2:$FZ$601,I23,$D$5)&amp;"","")</f>
        <v>SAMPLE-B-002</v>
      </c>
      <c r="K23" s="23" t="str">
        <f aca="false">IFERROR(INDEX(Clay_Brands!$A$2:$FZ$601,I23,$D$7)&amp;"","")</f>
        <v>yes_in_principle</v>
      </c>
      <c r="L23" s="23" t="str">
        <f aca="false">IFERROR(INDEX(Clay_Brands!$A$2:$FZ$601,I23,$D$8)&amp;"","")</f>
        <v>N</v>
      </c>
      <c r="M23" s="23" t="str">
        <f aca="false">IF(J23="","",IF(COUNTIF(Brand_Log!$A$2:$A$201,J23)&gt;0,"Y","N"))</f>
        <v>Y</v>
      </c>
      <c r="N23" s="34" t="str">
        <f aca="false">IF(OR(J23="",AND(LEFT(J23,6)="SAMPLE",Config!$B$19&lt;&gt;"Y")),"",IF(IFERROR(INDEX(Lists!$K$2:$K$15,MATCH(K23,Lists!$J$2:$J$15,0)),-1)=-1,"status '"&amp;K23&amp;"' is not a CONTRACTS status",IF(AND(K23="paid",COUNTIF(paid_brands!$AC$2:$AC$51,J23)=0),"status paid but no paid_brands row"&amp;IF(M23="N"," and no tracker row",""),IF(AND(IFERROR(INDEX(Lists!$K$2:$K$15,MATCH(K23,Lists!$J$2:$J$15,0)),-1)&gt;=6,M23="N"),"status "&amp;K23&amp;" but no tracker row",IF(AND(L23="Y",K23&lt;&gt;"do_not_contact"),"do_not_contact = Y but status is "&amp;K23,IF(AND(K23="do_not_contact",L23&lt;&gt;"Y"),"status do_not_contact but do_not_contact is not Y",""))))))</f>
        <v/>
      </c>
      <c r="P23" s="23" t="str">
        <f aca="false">IF(signed_offices!W3="","",signed_offices!W3&amp;"")</f>
        <v>SAMPLE-O-006</v>
      </c>
      <c r="Q23" s="23" t="str">
        <f aca="false">IF(P23="","",IFERROR(INDEX(Clay_Offices!$A$2:$FZ$601,MATCH(P23,INDEX(Clay_Offices!$A$2:$FZ$601,0,$C$5),0),$C$7)&amp;"","not in Clay"))</f>
        <v>signed</v>
      </c>
      <c r="R23" s="23" t="str">
        <f aca="false">IF(OR(P23="",AND(LEFT(P23,6)="SAMPLE",Config!$B$19&lt;&gt;"Y")),"",IF(Q23="signed","","Clay status is "&amp;Q23&amp;": set signed"))</f>
        <v/>
      </c>
      <c r="T23" s="23" t="str">
        <f aca="false">IF(paid_brands!AC3="","",paid_brands!AC3&amp;"")</f>
        <v/>
      </c>
      <c r="U23" s="23" t="str">
        <f aca="false">IF(T23="","",IFERROR(INDEX(Clay_Brands!$A$2:$FZ$601,MATCH(T23,INDEX(Clay_Brands!$A$2:$FZ$601,0,$D$5),0),$D$7)&amp;"","not in Clay"))</f>
        <v/>
      </c>
      <c r="V23" s="23" t="str">
        <f aca="false">IF(OR(T23="",AND(LEFT(T23,6)="SAMPLE",Config!$B$19&lt;&gt;"Y")),"",IF(U23="paid","","Clay status is "&amp;U23&amp;": set paid"))</f>
        <v/>
      </c>
      <c r="X23" s="23" t="n">
        <v>3</v>
      </c>
      <c r="Y23" s="35" t="str">
        <f aca="false">IF(OR(TRIM(paid_brands!AC3)="",AND(LEFT(paid_brands!AC3,6)="SAMPLE",Config!$B$19&lt;&gt;"Y")),"",IF(AND(N(paid_brands!AE3)&gt;0,N(paid_brands!AV3)+N(paid_brands!AX3)&gt;=N(paid_brands!AE3)),IF(N(paid_brands!AX3)&gt;0,MAX(N(paid_brands!AW3),N(paid_brands!AY3)),N(paid_brands!AW3)),""))</f>
        <v/>
      </c>
    </row>
    <row r="24" customFormat="false" ht="15" hidden="false" customHeight="false" outlineLevel="0" collapsed="false">
      <c r="B24" s="23" t="n">
        <v>3</v>
      </c>
      <c r="C24" s="23" t="str">
        <f aca="false">IFERROR(INDEX(Clay_Offices!$A$2:$FZ$601,B24,$C$5)&amp;"","")</f>
        <v>SAMPLE-O-003</v>
      </c>
      <c r="D24" s="23" t="str">
        <f aca="false">IFERROR(INDEX(Clay_Offices!$A$2:$FZ$601,B24,$C$7)&amp;"","")</f>
        <v>call_done</v>
      </c>
      <c r="E24" s="23" t="str">
        <f aca="false">IFERROR(INDEX(Clay_Offices!$A$2:$FZ$601,B24,$C$8)&amp;"","")</f>
        <v>N</v>
      </c>
      <c r="F24" s="23" t="str">
        <f aca="false">IF(C24="","",IF(COUNTIF(Office_Log!$A$2:$A$201,C24)&gt;0,"Y","N"))</f>
        <v>Y</v>
      </c>
      <c r="G24" s="34" t="str">
        <f aca="false">IF(OR(C24="",AND(LEFT(C24,6)="SAMPLE",Config!$B$19&lt;&gt;"Y")),"",IF(IFERROR(INDEX(Lists!$K$2:$K$15,MATCH(D24,Lists!$J$2:$J$15,0)),-1)=-1,"status '"&amp;D24&amp;"' is not a CONTRACTS status",IF(AND(D24="signed",COUNTIF(signed_offices!$W$2:$W$51,C24)=0),"status signed but no signed_offices row"&amp;IF(F24="N"," and no tracker row",""),IF(AND(IFERROR(INDEX(Lists!$K$2:$K$15,MATCH(D24,Lists!$J$2:$J$15,0)),-1)&gt;=6,F24="N"),"status "&amp;D24&amp;" but no tracker row",IF(AND(E24="Y",D24&lt;&gt;"do_not_contact"),"do_not_contact = Y but status is "&amp;D24,IF(AND(D24="do_not_contact",E24&lt;&gt;"Y"),"status do_not_contact but do_not_contact is not Y",""))))))</f>
        <v/>
      </c>
      <c r="I24" s="23" t="n">
        <v>3</v>
      </c>
      <c r="J24" s="23" t="str">
        <f aca="false">IFERROR(INDEX(Clay_Brands!$A$2:$FZ$601,I24,$D$5)&amp;"","")</f>
        <v>SAMPLE-B-003</v>
      </c>
      <c r="K24" s="23" t="str">
        <f aca="false">IFERROR(INDEX(Clay_Brands!$A$2:$FZ$601,I24,$D$7)&amp;"","")</f>
        <v>call_done</v>
      </c>
      <c r="L24" s="23" t="str">
        <f aca="false">IFERROR(INDEX(Clay_Brands!$A$2:$FZ$601,I24,$D$8)&amp;"","")</f>
        <v>N</v>
      </c>
      <c r="M24" s="23" t="str">
        <f aca="false">IF(J24="","",IF(COUNTIF(Brand_Log!$A$2:$A$201,J24)&gt;0,"Y","N"))</f>
        <v>Y</v>
      </c>
      <c r="N24" s="34" t="str">
        <f aca="false">IF(OR(J24="",AND(LEFT(J24,6)="SAMPLE",Config!$B$19&lt;&gt;"Y")),"",IF(IFERROR(INDEX(Lists!$K$2:$K$15,MATCH(K24,Lists!$J$2:$J$15,0)),-1)=-1,"status '"&amp;K24&amp;"' is not a CONTRACTS status",IF(AND(K24="paid",COUNTIF(paid_brands!$AC$2:$AC$51,J24)=0),"status paid but no paid_brands row"&amp;IF(M24="N"," and no tracker row",""),IF(AND(IFERROR(INDEX(Lists!$K$2:$K$15,MATCH(K24,Lists!$J$2:$J$15,0)),-1)&gt;=6,M24="N"),"status "&amp;K24&amp;" but no tracker row",IF(AND(L24="Y",K24&lt;&gt;"do_not_contact"),"do_not_contact = Y but status is "&amp;K24,IF(AND(K24="do_not_contact",L24&lt;&gt;"Y"),"status do_not_contact but do_not_contact is not Y",""))))))</f>
        <v/>
      </c>
      <c r="P24" s="23" t="str">
        <f aca="false">IF(signed_offices!W4="","",signed_offices!W4&amp;"")</f>
        <v>SAMPLE-O-008</v>
      </c>
      <c r="Q24" s="23" t="str">
        <f aca="false">IF(P24="","",IFERROR(INDEX(Clay_Offices!$A$2:$FZ$601,MATCH(P24,INDEX(Clay_Offices!$A$2:$FZ$601,0,$C$5),0),$C$7)&amp;"","not in Clay"))</f>
        <v>signed</v>
      </c>
      <c r="R24" s="23" t="str">
        <f aca="false">IF(OR(P24="",AND(LEFT(P24,6)="SAMPLE",Config!$B$19&lt;&gt;"Y")),"",IF(Q24="signed","","Clay status is "&amp;Q24&amp;": set signed"))</f>
        <v/>
      </c>
      <c r="T24" s="23" t="str">
        <f aca="false">IF(paid_brands!AC4="","",paid_brands!AC4&amp;"")</f>
        <v/>
      </c>
      <c r="U24" s="23" t="str">
        <f aca="false">IF(T24="","",IFERROR(INDEX(Clay_Brands!$A$2:$FZ$601,MATCH(T24,INDEX(Clay_Brands!$A$2:$FZ$601,0,$D$5),0),$D$7)&amp;"","not in Clay"))</f>
        <v/>
      </c>
      <c r="V24" s="23" t="str">
        <f aca="false">IF(OR(T24="",AND(LEFT(T24,6)="SAMPLE",Config!$B$19&lt;&gt;"Y")),"",IF(U24="paid","","Clay status is "&amp;U24&amp;": set paid"))</f>
        <v/>
      </c>
      <c r="X24" s="23" t="n">
        <v>4</v>
      </c>
      <c r="Y24" s="35" t="str">
        <f aca="false">IF(OR(TRIM(paid_brands!AC4)="",AND(LEFT(paid_brands!AC4,6)="SAMPLE",Config!$B$19&lt;&gt;"Y")),"",IF(AND(N(paid_brands!AE4)&gt;0,N(paid_brands!AV4)+N(paid_brands!AX4)&gt;=N(paid_brands!AE4)),IF(N(paid_brands!AX4)&gt;0,MAX(N(paid_brands!AW4),N(paid_brands!AY4)),N(paid_brands!AW4)),""))</f>
        <v/>
      </c>
    </row>
    <row r="25" customFormat="false" ht="15" hidden="false" customHeight="false" outlineLevel="0" collapsed="false">
      <c r="B25" s="23" t="n">
        <v>4</v>
      </c>
      <c r="C25" s="23" t="str">
        <f aca="false">IFERROR(INDEX(Clay_Offices!$A$2:$FZ$601,B25,$C$5)&amp;"","")</f>
        <v>SAMPLE-O-004</v>
      </c>
      <c r="D25" s="23" t="str">
        <f aca="false">IFERROR(INDEX(Clay_Offices!$A$2:$FZ$601,B25,$C$7)&amp;"","")</f>
        <v>replied</v>
      </c>
      <c r="E25" s="23" t="str">
        <f aca="false">IFERROR(INDEX(Clay_Offices!$A$2:$FZ$601,B25,$C$8)&amp;"","")</f>
        <v>N</v>
      </c>
      <c r="F25" s="23" t="str">
        <f aca="false">IF(C25="","",IF(COUNTIF(Office_Log!$A$2:$A$201,C25)&gt;0,"Y","N"))</f>
        <v>Y</v>
      </c>
      <c r="G25" s="34" t="str">
        <f aca="false">IF(OR(C25="",AND(LEFT(C25,6)="SAMPLE",Config!$B$19&lt;&gt;"Y")),"",IF(IFERROR(INDEX(Lists!$K$2:$K$15,MATCH(D25,Lists!$J$2:$J$15,0)),-1)=-1,"status '"&amp;D25&amp;"' is not a CONTRACTS status",IF(AND(D25="signed",COUNTIF(signed_offices!$W$2:$W$51,C25)=0),"status signed but no signed_offices row"&amp;IF(F25="N"," and no tracker row",""),IF(AND(IFERROR(INDEX(Lists!$K$2:$K$15,MATCH(D25,Lists!$J$2:$J$15,0)),-1)&gt;=6,F25="N"),"status "&amp;D25&amp;" but no tracker row",IF(AND(E25="Y",D25&lt;&gt;"do_not_contact"),"do_not_contact = Y but status is "&amp;D25,IF(AND(D25="do_not_contact",E25&lt;&gt;"Y"),"status do_not_contact but do_not_contact is not Y",""))))))</f>
        <v/>
      </c>
      <c r="I25" s="23" t="n">
        <v>4</v>
      </c>
      <c r="J25" s="23" t="str">
        <f aca="false">IFERROR(INDEX(Clay_Brands!$A$2:$FZ$601,I25,$D$5)&amp;"","")</f>
        <v>SAMPLE-B-004</v>
      </c>
      <c r="K25" s="23" t="str">
        <f aca="false">IFERROR(INDEX(Clay_Brands!$A$2:$FZ$601,I25,$D$7)&amp;"","")</f>
        <v>call_done</v>
      </c>
      <c r="L25" s="23" t="str">
        <f aca="false">IFERROR(INDEX(Clay_Brands!$A$2:$FZ$601,I25,$D$8)&amp;"","")</f>
        <v>N</v>
      </c>
      <c r="M25" s="23" t="str">
        <f aca="false">IF(J25="","",IF(COUNTIF(Brand_Log!$A$2:$A$201,J25)&gt;0,"Y","N"))</f>
        <v>Y</v>
      </c>
      <c r="N25" s="34" t="str">
        <f aca="false">IF(OR(J25="",AND(LEFT(J25,6)="SAMPLE",Config!$B$19&lt;&gt;"Y")),"",IF(IFERROR(INDEX(Lists!$K$2:$K$15,MATCH(K25,Lists!$J$2:$J$15,0)),-1)=-1,"status '"&amp;K25&amp;"' is not a CONTRACTS status",IF(AND(K25="paid",COUNTIF(paid_brands!$AC$2:$AC$51,J25)=0),"status paid but no paid_brands row"&amp;IF(M25="N"," and no tracker row",""),IF(AND(IFERROR(INDEX(Lists!$K$2:$K$15,MATCH(K25,Lists!$J$2:$J$15,0)),-1)&gt;=6,M25="N"),"status "&amp;K25&amp;" but no tracker row",IF(AND(L25="Y",K25&lt;&gt;"do_not_contact"),"do_not_contact = Y but status is "&amp;K25,IF(AND(K25="do_not_contact",L25&lt;&gt;"Y"),"status do_not_contact but do_not_contact is not Y",""))))))</f>
        <v/>
      </c>
      <c r="P25" s="23" t="str">
        <f aca="false">IF(signed_offices!W5="","",signed_offices!W5&amp;"")</f>
        <v>SAMPLE-O-010</v>
      </c>
      <c r="Q25" s="23" t="str">
        <f aca="false">IF(P25="","",IFERROR(INDEX(Clay_Offices!$A$2:$FZ$601,MATCH(P25,INDEX(Clay_Offices!$A$2:$FZ$601,0,$C$5),0),$C$7)&amp;"","not in Clay"))</f>
        <v>signed</v>
      </c>
      <c r="R25" s="23" t="str">
        <f aca="false">IF(OR(P25="",AND(LEFT(P25,6)="SAMPLE",Config!$B$19&lt;&gt;"Y")),"",IF(Q25="signed","","Clay status is "&amp;Q25&amp;": set signed"))</f>
        <v/>
      </c>
      <c r="T25" s="23" t="str">
        <f aca="false">IF(paid_brands!AC5="","",paid_brands!AC5&amp;"")</f>
        <v/>
      </c>
      <c r="U25" s="23" t="str">
        <f aca="false">IF(T25="","",IFERROR(INDEX(Clay_Brands!$A$2:$FZ$601,MATCH(T25,INDEX(Clay_Brands!$A$2:$FZ$601,0,$D$5),0),$D$7)&amp;"","not in Clay"))</f>
        <v/>
      </c>
      <c r="V25" s="23" t="str">
        <f aca="false">IF(OR(T25="",AND(LEFT(T25,6)="SAMPLE",Config!$B$19&lt;&gt;"Y")),"",IF(U25="paid","","Clay status is "&amp;U25&amp;": set paid"))</f>
        <v/>
      </c>
      <c r="X25" s="23" t="n">
        <v>5</v>
      </c>
      <c r="Y25" s="35" t="str">
        <f aca="false">IF(OR(TRIM(paid_brands!AC5)="",AND(LEFT(paid_brands!AC5,6)="SAMPLE",Config!$B$19&lt;&gt;"Y")),"",IF(AND(N(paid_brands!AE5)&gt;0,N(paid_brands!AV5)+N(paid_brands!AX5)&gt;=N(paid_brands!AE5)),IF(N(paid_brands!AX5)&gt;0,MAX(N(paid_brands!AW5),N(paid_brands!AY5)),N(paid_brands!AW5)),""))</f>
        <v/>
      </c>
    </row>
    <row r="26" customFormat="false" ht="15" hidden="false" customHeight="false" outlineLevel="0" collapsed="false">
      <c r="B26" s="23" t="n">
        <v>5</v>
      </c>
      <c r="C26" s="23" t="str">
        <f aca="false">IFERROR(INDEX(Clay_Offices!$A$2:$FZ$601,B26,$C$5)&amp;"","")</f>
        <v>SAMPLE-O-005</v>
      </c>
      <c r="D26" s="23" t="str">
        <f aca="false">IFERROR(INDEX(Clay_Offices!$A$2:$FZ$601,B26,$C$7)&amp;"","")</f>
        <v>call_done</v>
      </c>
      <c r="E26" s="23" t="str">
        <f aca="false">IFERROR(INDEX(Clay_Offices!$A$2:$FZ$601,B26,$C$8)&amp;"","")</f>
        <v>N</v>
      </c>
      <c r="F26" s="23" t="str">
        <f aca="false">IF(C26="","",IF(COUNTIF(Office_Log!$A$2:$A$201,C26)&gt;0,"Y","N"))</f>
        <v>Y</v>
      </c>
      <c r="G26" s="34" t="str">
        <f aca="false">IF(OR(C26="",AND(LEFT(C26,6)="SAMPLE",Config!$B$19&lt;&gt;"Y")),"",IF(IFERROR(INDEX(Lists!$K$2:$K$15,MATCH(D26,Lists!$J$2:$J$15,0)),-1)=-1,"status '"&amp;D26&amp;"' is not a CONTRACTS status",IF(AND(D26="signed",COUNTIF(signed_offices!$W$2:$W$51,C26)=0),"status signed but no signed_offices row"&amp;IF(F26="N"," and no tracker row",""),IF(AND(IFERROR(INDEX(Lists!$K$2:$K$15,MATCH(D26,Lists!$J$2:$J$15,0)),-1)&gt;=6,F26="N"),"status "&amp;D26&amp;" but no tracker row",IF(AND(E26="Y",D26&lt;&gt;"do_not_contact"),"do_not_contact = Y but status is "&amp;D26,IF(AND(D26="do_not_contact",E26&lt;&gt;"Y"),"status do_not_contact but do_not_contact is not Y",""))))))</f>
        <v/>
      </c>
      <c r="I26" s="23" t="n">
        <v>5</v>
      </c>
      <c r="J26" s="23" t="str">
        <f aca="false">IFERROR(INDEX(Clay_Brands!$A$2:$FZ$601,I26,$D$5)&amp;"","")</f>
        <v>SAMPLE-B-005</v>
      </c>
      <c r="K26" s="23" t="str">
        <f aca="false">IFERROR(INDEX(Clay_Brands!$A$2:$FZ$601,I26,$D$7)&amp;"","")</f>
        <v>call_done</v>
      </c>
      <c r="L26" s="23" t="str">
        <f aca="false">IFERROR(INDEX(Clay_Brands!$A$2:$FZ$601,I26,$D$8)&amp;"","")</f>
        <v>N</v>
      </c>
      <c r="M26" s="23" t="str">
        <f aca="false">IF(J26="","",IF(COUNTIF(Brand_Log!$A$2:$A$201,J26)&gt;0,"Y","N"))</f>
        <v>Y</v>
      </c>
      <c r="N26" s="34" t="str">
        <f aca="false">IF(OR(J26="",AND(LEFT(J26,6)="SAMPLE",Config!$B$19&lt;&gt;"Y")),"",IF(IFERROR(INDEX(Lists!$K$2:$K$15,MATCH(K26,Lists!$J$2:$J$15,0)),-1)=-1,"status '"&amp;K26&amp;"' is not a CONTRACTS status",IF(AND(K26="paid",COUNTIF(paid_brands!$AC$2:$AC$51,J26)=0),"status paid but no paid_brands row"&amp;IF(M26="N"," and no tracker row",""),IF(AND(IFERROR(INDEX(Lists!$K$2:$K$15,MATCH(K26,Lists!$J$2:$J$15,0)),-1)&gt;=6,M26="N"),"status "&amp;K26&amp;" but no tracker row",IF(AND(L26="Y",K26&lt;&gt;"do_not_contact"),"do_not_contact = Y but status is "&amp;K26,IF(AND(K26="do_not_contact",L26&lt;&gt;"Y"),"status do_not_contact but do_not_contact is not Y",""))))))</f>
        <v/>
      </c>
      <c r="P26" s="23" t="str">
        <f aca="false">IF(signed_offices!W6="","",signed_offices!W6&amp;"")</f>
        <v>SAMPLE-O-013</v>
      </c>
      <c r="Q26" s="23" t="str">
        <f aca="false">IF(P26="","",IFERROR(INDEX(Clay_Offices!$A$2:$FZ$601,MATCH(P26,INDEX(Clay_Offices!$A$2:$FZ$601,0,$C$5),0),$C$7)&amp;"","not in Clay"))</f>
        <v>signed</v>
      </c>
      <c r="R26" s="23" t="str">
        <f aca="false">IF(OR(P26="",AND(LEFT(P26,6)="SAMPLE",Config!$B$19&lt;&gt;"Y")),"",IF(Q26="signed","","Clay status is "&amp;Q26&amp;": set signed"))</f>
        <v/>
      </c>
      <c r="T26" s="23" t="str">
        <f aca="false">IF(paid_brands!AC6="","",paid_brands!AC6&amp;"")</f>
        <v/>
      </c>
      <c r="U26" s="23" t="str">
        <f aca="false">IF(T26="","",IFERROR(INDEX(Clay_Brands!$A$2:$FZ$601,MATCH(T26,INDEX(Clay_Brands!$A$2:$FZ$601,0,$D$5),0),$D$7)&amp;"","not in Clay"))</f>
        <v/>
      </c>
      <c r="V26" s="23" t="str">
        <f aca="false">IF(OR(T26="",AND(LEFT(T26,6)="SAMPLE",Config!$B$19&lt;&gt;"Y")),"",IF(U26="paid","","Clay status is "&amp;U26&amp;": set paid"))</f>
        <v/>
      </c>
      <c r="X26" s="23" t="n">
        <v>6</v>
      </c>
      <c r="Y26" s="35" t="str">
        <f aca="false">IF(OR(TRIM(paid_brands!AC6)="",AND(LEFT(paid_brands!AC6,6)="SAMPLE",Config!$B$19&lt;&gt;"Y")),"",IF(AND(N(paid_brands!AE6)&gt;0,N(paid_brands!AV6)+N(paid_brands!AX6)&gt;=N(paid_brands!AE6)),IF(N(paid_brands!AX6)&gt;0,MAX(N(paid_brands!AW6),N(paid_brands!AY6)),N(paid_brands!AW6)),""))</f>
        <v/>
      </c>
    </row>
    <row r="27" customFormat="false" ht="15" hidden="false" customHeight="false" outlineLevel="0" collapsed="false">
      <c r="B27" s="23" t="n">
        <v>6</v>
      </c>
      <c r="C27" s="23" t="str">
        <f aca="false">IFERROR(INDEX(Clay_Offices!$A$2:$FZ$601,B27,$C$5)&amp;"","")</f>
        <v>SAMPLE-O-006</v>
      </c>
      <c r="D27" s="23" t="str">
        <f aca="false">IFERROR(INDEX(Clay_Offices!$A$2:$FZ$601,B27,$C$7)&amp;"","")</f>
        <v>signed</v>
      </c>
      <c r="E27" s="23" t="str">
        <f aca="false">IFERROR(INDEX(Clay_Offices!$A$2:$FZ$601,B27,$C$8)&amp;"","")</f>
        <v>N</v>
      </c>
      <c r="F27" s="23" t="str">
        <f aca="false">IF(C27="","",IF(COUNTIF(Office_Log!$A$2:$A$201,C27)&gt;0,"Y","N"))</f>
        <v>Y</v>
      </c>
      <c r="G27" s="34" t="str">
        <f aca="false">IF(OR(C27="",AND(LEFT(C27,6)="SAMPLE",Config!$B$19&lt;&gt;"Y")),"",IF(IFERROR(INDEX(Lists!$K$2:$K$15,MATCH(D27,Lists!$J$2:$J$15,0)),-1)=-1,"status '"&amp;D27&amp;"' is not a CONTRACTS status",IF(AND(D27="signed",COUNTIF(signed_offices!$W$2:$W$51,C27)=0),"status signed but no signed_offices row"&amp;IF(F27="N"," and no tracker row",""),IF(AND(IFERROR(INDEX(Lists!$K$2:$K$15,MATCH(D27,Lists!$J$2:$J$15,0)),-1)&gt;=6,F27="N"),"status "&amp;D27&amp;" but no tracker row",IF(AND(E27="Y",D27&lt;&gt;"do_not_contact"),"do_not_contact = Y but status is "&amp;D27,IF(AND(D27="do_not_contact",E27&lt;&gt;"Y"),"status do_not_contact but do_not_contact is not Y",""))))))</f>
        <v/>
      </c>
      <c r="I27" s="23" t="n">
        <v>6</v>
      </c>
      <c r="J27" s="23" t="str">
        <f aca="false">IFERROR(INDEX(Clay_Brands!$A$2:$FZ$601,I27,$D$5)&amp;"","")</f>
        <v>SAMPLE-B-006</v>
      </c>
      <c r="K27" s="23" t="str">
        <f aca="false">IFERROR(INDEX(Clay_Brands!$A$2:$FZ$601,I27,$D$7)&amp;"","")</f>
        <v>yes_in_principle</v>
      </c>
      <c r="L27" s="23" t="str">
        <f aca="false">IFERROR(INDEX(Clay_Brands!$A$2:$FZ$601,I27,$D$8)&amp;"","")</f>
        <v>N</v>
      </c>
      <c r="M27" s="23" t="str">
        <f aca="false">IF(J27="","",IF(COUNTIF(Brand_Log!$A$2:$A$201,J27)&gt;0,"Y","N"))</f>
        <v>Y</v>
      </c>
      <c r="N27" s="34" t="str">
        <f aca="false">IF(OR(J27="",AND(LEFT(J27,6)="SAMPLE",Config!$B$19&lt;&gt;"Y")),"",IF(IFERROR(INDEX(Lists!$K$2:$K$15,MATCH(K27,Lists!$J$2:$J$15,0)),-1)=-1,"status '"&amp;K27&amp;"' is not a CONTRACTS status",IF(AND(K27="paid",COUNTIF(paid_brands!$AC$2:$AC$51,J27)=0),"status paid but no paid_brands row"&amp;IF(M27="N"," and no tracker row",""),IF(AND(IFERROR(INDEX(Lists!$K$2:$K$15,MATCH(K27,Lists!$J$2:$J$15,0)),-1)&gt;=6,M27="N"),"status "&amp;K27&amp;" but no tracker row",IF(AND(L27="Y",K27&lt;&gt;"do_not_contact"),"do_not_contact = Y but status is "&amp;K27,IF(AND(K27="do_not_contact",L27&lt;&gt;"Y"),"status do_not_contact but do_not_contact is not Y",""))))))</f>
        <v/>
      </c>
      <c r="P27" s="23" t="str">
        <f aca="false">IF(signed_offices!W7="","",signed_offices!W7&amp;"")</f>
        <v/>
      </c>
      <c r="Q27" s="23" t="str">
        <f aca="false">IF(P27="","",IFERROR(INDEX(Clay_Offices!$A$2:$FZ$601,MATCH(P27,INDEX(Clay_Offices!$A$2:$FZ$601,0,$C$5),0),$C$7)&amp;"","not in Clay"))</f>
        <v/>
      </c>
      <c r="R27" s="23" t="str">
        <f aca="false">IF(OR(P27="",AND(LEFT(P27,6)="SAMPLE",Config!$B$19&lt;&gt;"Y")),"",IF(Q27="signed","","Clay status is "&amp;Q27&amp;": set signed"))</f>
        <v/>
      </c>
      <c r="T27" s="23" t="str">
        <f aca="false">IF(paid_brands!AC7="","",paid_brands!AC7&amp;"")</f>
        <v/>
      </c>
      <c r="U27" s="23" t="str">
        <f aca="false">IF(T27="","",IFERROR(INDEX(Clay_Brands!$A$2:$FZ$601,MATCH(T27,INDEX(Clay_Brands!$A$2:$FZ$601,0,$D$5),0),$D$7)&amp;"","not in Clay"))</f>
        <v/>
      </c>
      <c r="V27" s="23" t="str">
        <f aca="false">IF(OR(T27="",AND(LEFT(T27,6)="SAMPLE",Config!$B$19&lt;&gt;"Y")),"",IF(U27="paid","","Clay status is "&amp;U27&amp;": set paid"))</f>
        <v/>
      </c>
      <c r="X27" s="23" t="n">
        <v>7</v>
      </c>
      <c r="Y27" s="35" t="str">
        <f aca="false">IF(OR(TRIM(paid_brands!AC7)="",AND(LEFT(paid_brands!AC7,6)="SAMPLE",Config!$B$19&lt;&gt;"Y")),"",IF(AND(N(paid_brands!AE7)&gt;0,N(paid_brands!AV7)+N(paid_brands!AX7)&gt;=N(paid_brands!AE7)),IF(N(paid_brands!AX7)&gt;0,MAX(N(paid_brands!AW7),N(paid_brands!AY7)),N(paid_brands!AW7)),""))</f>
        <v/>
      </c>
    </row>
    <row r="28" customFormat="false" ht="15" hidden="false" customHeight="false" outlineLevel="0" collapsed="false">
      <c r="B28" s="23" t="n">
        <v>7</v>
      </c>
      <c r="C28" s="23" t="str">
        <f aca="false">IFERROR(INDEX(Clay_Offices!$A$2:$FZ$601,B28,$C$5)&amp;"","")</f>
        <v>SAMPLE-O-007</v>
      </c>
      <c r="D28" s="23" t="str">
        <f aca="false">IFERROR(INDEX(Clay_Offices!$A$2:$FZ$601,B28,$C$7)&amp;"","")</f>
        <v>call_done</v>
      </c>
      <c r="E28" s="23" t="str">
        <f aca="false">IFERROR(INDEX(Clay_Offices!$A$2:$FZ$601,B28,$C$8)&amp;"","")</f>
        <v>N</v>
      </c>
      <c r="F28" s="23" t="str">
        <f aca="false">IF(C28="","",IF(COUNTIF(Office_Log!$A$2:$A$201,C28)&gt;0,"Y","N"))</f>
        <v>Y</v>
      </c>
      <c r="G28" s="34" t="str">
        <f aca="false">IF(OR(C28="",AND(LEFT(C28,6)="SAMPLE",Config!$B$19&lt;&gt;"Y")),"",IF(IFERROR(INDEX(Lists!$K$2:$K$15,MATCH(D28,Lists!$J$2:$J$15,0)),-1)=-1,"status '"&amp;D28&amp;"' is not a CONTRACTS status",IF(AND(D28="signed",COUNTIF(signed_offices!$W$2:$W$51,C28)=0),"status signed but no signed_offices row"&amp;IF(F28="N"," and no tracker row",""),IF(AND(IFERROR(INDEX(Lists!$K$2:$K$15,MATCH(D28,Lists!$J$2:$J$15,0)),-1)&gt;=6,F28="N"),"status "&amp;D28&amp;" but no tracker row",IF(AND(E28="Y",D28&lt;&gt;"do_not_contact"),"do_not_contact = Y but status is "&amp;D28,IF(AND(D28="do_not_contact",E28&lt;&gt;"Y"),"status do_not_contact but do_not_contact is not Y",""))))))</f>
        <v/>
      </c>
      <c r="I28" s="23" t="n">
        <v>7</v>
      </c>
      <c r="J28" s="23" t="str">
        <f aca="false">IFERROR(INDEX(Clay_Brands!$A$2:$FZ$601,I28,$D$5)&amp;"","")</f>
        <v>SAMPLE-B-007</v>
      </c>
      <c r="K28" s="23" t="str">
        <f aca="false">IFERROR(INDEX(Clay_Brands!$A$2:$FZ$601,I28,$D$7)&amp;"","")</f>
        <v>call_done</v>
      </c>
      <c r="L28" s="23" t="str">
        <f aca="false">IFERROR(INDEX(Clay_Brands!$A$2:$FZ$601,I28,$D$8)&amp;"","")</f>
        <v>N</v>
      </c>
      <c r="M28" s="23" t="str">
        <f aca="false">IF(J28="","",IF(COUNTIF(Brand_Log!$A$2:$A$201,J28)&gt;0,"Y","N"))</f>
        <v>Y</v>
      </c>
      <c r="N28" s="34" t="str">
        <f aca="false">IF(OR(J28="",AND(LEFT(J28,6)="SAMPLE",Config!$B$19&lt;&gt;"Y")),"",IF(IFERROR(INDEX(Lists!$K$2:$K$15,MATCH(K28,Lists!$J$2:$J$15,0)),-1)=-1,"status '"&amp;K28&amp;"' is not a CONTRACTS status",IF(AND(K28="paid",COUNTIF(paid_brands!$AC$2:$AC$51,J28)=0),"status paid but no paid_brands row"&amp;IF(M28="N"," and no tracker row",""),IF(AND(IFERROR(INDEX(Lists!$K$2:$K$15,MATCH(K28,Lists!$J$2:$J$15,0)),-1)&gt;=6,M28="N"),"status "&amp;K28&amp;" but no tracker row",IF(AND(L28="Y",K28&lt;&gt;"do_not_contact"),"do_not_contact = Y but status is "&amp;K28,IF(AND(K28="do_not_contact",L28&lt;&gt;"Y"),"status do_not_contact but do_not_contact is not Y",""))))))</f>
        <v/>
      </c>
      <c r="P28" s="23" t="str">
        <f aca="false">IF(signed_offices!W8="","",signed_offices!W8&amp;"")</f>
        <v/>
      </c>
      <c r="Q28" s="23" t="str">
        <f aca="false">IF(P28="","",IFERROR(INDEX(Clay_Offices!$A$2:$FZ$601,MATCH(P28,INDEX(Clay_Offices!$A$2:$FZ$601,0,$C$5),0),$C$7)&amp;"","not in Clay"))</f>
        <v/>
      </c>
      <c r="R28" s="23" t="str">
        <f aca="false">IF(OR(P28="",AND(LEFT(P28,6)="SAMPLE",Config!$B$19&lt;&gt;"Y")),"",IF(Q28="signed","","Clay status is "&amp;Q28&amp;": set signed"))</f>
        <v/>
      </c>
      <c r="T28" s="23" t="str">
        <f aca="false">IF(paid_brands!AC8="","",paid_brands!AC8&amp;"")</f>
        <v/>
      </c>
      <c r="U28" s="23" t="str">
        <f aca="false">IF(T28="","",IFERROR(INDEX(Clay_Brands!$A$2:$FZ$601,MATCH(T28,INDEX(Clay_Brands!$A$2:$FZ$601,0,$D$5),0),$D$7)&amp;"","not in Clay"))</f>
        <v/>
      </c>
      <c r="V28" s="23" t="str">
        <f aca="false">IF(OR(T28="",AND(LEFT(T28,6)="SAMPLE",Config!$B$19&lt;&gt;"Y")),"",IF(U28="paid","","Clay status is "&amp;U28&amp;": set paid"))</f>
        <v/>
      </c>
      <c r="X28" s="23" t="n">
        <v>8</v>
      </c>
      <c r="Y28" s="35" t="str">
        <f aca="false">IF(OR(TRIM(paid_brands!AC8)="",AND(LEFT(paid_brands!AC8,6)="SAMPLE",Config!$B$19&lt;&gt;"Y")),"",IF(AND(N(paid_brands!AE8)&gt;0,N(paid_brands!AV8)+N(paid_brands!AX8)&gt;=N(paid_brands!AE8)),IF(N(paid_brands!AX8)&gt;0,MAX(N(paid_brands!AW8),N(paid_brands!AY8)),N(paid_brands!AW8)),""))</f>
        <v/>
      </c>
    </row>
    <row r="29" customFormat="false" ht="15" hidden="false" customHeight="false" outlineLevel="0" collapsed="false">
      <c r="B29" s="23" t="n">
        <v>8</v>
      </c>
      <c r="C29" s="23" t="str">
        <f aca="false">IFERROR(INDEX(Clay_Offices!$A$2:$FZ$601,B29,$C$5)&amp;"","")</f>
        <v>SAMPLE-O-008</v>
      </c>
      <c r="D29" s="23" t="str">
        <f aca="false">IFERROR(INDEX(Clay_Offices!$A$2:$FZ$601,B29,$C$7)&amp;"","")</f>
        <v>signed</v>
      </c>
      <c r="E29" s="23" t="str">
        <f aca="false">IFERROR(INDEX(Clay_Offices!$A$2:$FZ$601,B29,$C$8)&amp;"","")</f>
        <v>N</v>
      </c>
      <c r="F29" s="23" t="str">
        <f aca="false">IF(C29="","",IF(COUNTIF(Office_Log!$A$2:$A$201,C29)&gt;0,"Y","N"))</f>
        <v>Y</v>
      </c>
      <c r="G29" s="34" t="str">
        <f aca="false">IF(OR(C29="",AND(LEFT(C29,6)="SAMPLE",Config!$B$19&lt;&gt;"Y")),"",IF(IFERROR(INDEX(Lists!$K$2:$K$15,MATCH(D29,Lists!$J$2:$J$15,0)),-1)=-1,"status '"&amp;D29&amp;"' is not a CONTRACTS status",IF(AND(D29="signed",COUNTIF(signed_offices!$W$2:$W$51,C29)=0),"status signed but no signed_offices row"&amp;IF(F29="N"," and no tracker row",""),IF(AND(IFERROR(INDEX(Lists!$K$2:$K$15,MATCH(D29,Lists!$J$2:$J$15,0)),-1)&gt;=6,F29="N"),"status "&amp;D29&amp;" but no tracker row",IF(AND(E29="Y",D29&lt;&gt;"do_not_contact"),"do_not_contact = Y but status is "&amp;D29,IF(AND(D29="do_not_contact",E29&lt;&gt;"Y"),"status do_not_contact but do_not_contact is not Y",""))))))</f>
        <v/>
      </c>
      <c r="I29" s="23" t="n">
        <v>8</v>
      </c>
      <c r="J29" s="23" t="str">
        <f aca="false">IFERROR(INDEX(Clay_Brands!$A$2:$FZ$601,I29,$D$5)&amp;"","")</f>
        <v>SAMPLE-B-008</v>
      </c>
      <c r="K29" s="23" t="str">
        <f aca="false">IFERROR(INDEX(Clay_Brands!$A$2:$FZ$601,I29,$D$7)&amp;"","")</f>
        <v>yes_in_principle</v>
      </c>
      <c r="L29" s="23" t="str">
        <f aca="false">IFERROR(INDEX(Clay_Brands!$A$2:$FZ$601,I29,$D$8)&amp;"","")</f>
        <v>N</v>
      </c>
      <c r="M29" s="23" t="str">
        <f aca="false">IF(J29="","",IF(COUNTIF(Brand_Log!$A$2:$A$201,J29)&gt;0,"Y","N"))</f>
        <v>Y</v>
      </c>
      <c r="N29" s="34" t="str">
        <f aca="false">IF(OR(J29="",AND(LEFT(J29,6)="SAMPLE",Config!$B$19&lt;&gt;"Y")),"",IF(IFERROR(INDEX(Lists!$K$2:$K$15,MATCH(K29,Lists!$J$2:$J$15,0)),-1)=-1,"status '"&amp;K29&amp;"' is not a CONTRACTS status",IF(AND(K29="paid",COUNTIF(paid_brands!$AC$2:$AC$51,J29)=0),"status paid but no paid_brands row"&amp;IF(M29="N"," and no tracker row",""),IF(AND(IFERROR(INDEX(Lists!$K$2:$K$15,MATCH(K29,Lists!$J$2:$J$15,0)),-1)&gt;=6,M29="N"),"status "&amp;K29&amp;" but no tracker row",IF(AND(L29="Y",K29&lt;&gt;"do_not_contact"),"do_not_contact = Y but status is "&amp;K29,IF(AND(K29="do_not_contact",L29&lt;&gt;"Y"),"status do_not_contact but do_not_contact is not Y",""))))))</f>
        <v/>
      </c>
      <c r="P29" s="23" t="str">
        <f aca="false">IF(signed_offices!W9="","",signed_offices!W9&amp;"")</f>
        <v/>
      </c>
      <c r="Q29" s="23" t="str">
        <f aca="false">IF(P29="","",IFERROR(INDEX(Clay_Offices!$A$2:$FZ$601,MATCH(P29,INDEX(Clay_Offices!$A$2:$FZ$601,0,$C$5),0),$C$7)&amp;"","not in Clay"))</f>
        <v/>
      </c>
      <c r="R29" s="23" t="str">
        <f aca="false">IF(OR(P29="",AND(LEFT(P29,6)="SAMPLE",Config!$B$19&lt;&gt;"Y")),"",IF(Q29="signed","","Clay status is "&amp;Q29&amp;": set signed"))</f>
        <v/>
      </c>
      <c r="T29" s="23" t="str">
        <f aca="false">IF(paid_brands!AC9="","",paid_brands!AC9&amp;"")</f>
        <v/>
      </c>
      <c r="U29" s="23" t="str">
        <f aca="false">IF(T29="","",IFERROR(INDEX(Clay_Brands!$A$2:$FZ$601,MATCH(T29,INDEX(Clay_Brands!$A$2:$FZ$601,0,$D$5),0),$D$7)&amp;"","not in Clay"))</f>
        <v/>
      </c>
      <c r="V29" s="23" t="str">
        <f aca="false">IF(OR(T29="",AND(LEFT(T29,6)="SAMPLE",Config!$B$19&lt;&gt;"Y")),"",IF(U29="paid","","Clay status is "&amp;U29&amp;": set paid"))</f>
        <v/>
      </c>
      <c r="X29" s="23" t="n">
        <v>9</v>
      </c>
      <c r="Y29" s="35" t="str">
        <f aca="false">IF(OR(TRIM(paid_brands!AC9)="",AND(LEFT(paid_brands!AC9,6)="SAMPLE",Config!$B$19&lt;&gt;"Y")),"",IF(AND(N(paid_brands!AE9)&gt;0,N(paid_brands!AV9)+N(paid_brands!AX9)&gt;=N(paid_brands!AE9)),IF(N(paid_brands!AX9)&gt;0,MAX(N(paid_brands!AW9),N(paid_brands!AY9)),N(paid_brands!AW9)),""))</f>
        <v/>
      </c>
    </row>
    <row r="30" customFormat="false" ht="15" hidden="false" customHeight="false" outlineLevel="0" collapsed="false">
      <c r="B30" s="23" t="n">
        <v>9</v>
      </c>
      <c r="C30" s="23" t="str">
        <f aca="false">IFERROR(INDEX(Clay_Offices!$A$2:$FZ$601,B30,$C$5)&amp;"","")</f>
        <v>SAMPLE-O-009</v>
      </c>
      <c r="D30" s="23" t="str">
        <f aca="false">IFERROR(INDEX(Clay_Offices!$A$2:$FZ$601,B30,$C$7)&amp;"","")</f>
        <v>call_done</v>
      </c>
      <c r="E30" s="23" t="str">
        <f aca="false">IFERROR(INDEX(Clay_Offices!$A$2:$FZ$601,B30,$C$8)&amp;"","")</f>
        <v>N</v>
      </c>
      <c r="F30" s="23" t="str">
        <f aca="false">IF(C30="","",IF(COUNTIF(Office_Log!$A$2:$A$201,C30)&gt;0,"Y","N"))</f>
        <v>Y</v>
      </c>
      <c r="G30" s="34" t="str">
        <f aca="false">IF(OR(C30="",AND(LEFT(C30,6)="SAMPLE",Config!$B$19&lt;&gt;"Y")),"",IF(IFERROR(INDEX(Lists!$K$2:$K$15,MATCH(D30,Lists!$J$2:$J$15,0)),-1)=-1,"status '"&amp;D30&amp;"' is not a CONTRACTS status",IF(AND(D30="signed",COUNTIF(signed_offices!$W$2:$W$51,C30)=0),"status signed but no signed_offices row"&amp;IF(F30="N"," and no tracker row",""),IF(AND(IFERROR(INDEX(Lists!$K$2:$K$15,MATCH(D30,Lists!$J$2:$J$15,0)),-1)&gt;=6,F30="N"),"status "&amp;D30&amp;" but no tracker row",IF(AND(E30="Y",D30&lt;&gt;"do_not_contact"),"do_not_contact = Y but status is "&amp;D30,IF(AND(D30="do_not_contact",E30&lt;&gt;"Y"),"status do_not_contact but do_not_contact is not Y",""))))))</f>
        <v/>
      </c>
      <c r="I30" s="23" t="n">
        <v>9</v>
      </c>
      <c r="J30" s="23" t="str">
        <f aca="false">IFERROR(INDEX(Clay_Brands!$A$2:$FZ$601,I30,$D$5)&amp;"","")</f>
        <v>SAMPLE-B-009</v>
      </c>
      <c r="K30" s="23" t="str">
        <f aca="false">IFERROR(INDEX(Clay_Brands!$A$2:$FZ$601,I30,$D$7)&amp;"","")</f>
        <v>call_booked</v>
      </c>
      <c r="L30" s="23" t="str">
        <f aca="false">IFERROR(INDEX(Clay_Brands!$A$2:$FZ$601,I30,$D$8)&amp;"","")</f>
        <v>N</v>
      </c>
      <c r="M30" s="23" t="str">
        <f aca="false">IF(J30="","",IF(COUNTIF(Brand_Log!$A$2:$A$201,J30)&gt;0,"Y","N"))</f>
        <v>Y</v>
      </c>
      <c r="N30" s="34" t="str">
        <f aca="false">IF(OR(J30="",AND(LEFT(J30,6)="SAMPLE",Config!$B$19&lt;&gt;"Y")),"",IF(IFERROR(INDEX(Lists!$K$2:$K$15,MATCH(K30,Lists!$J$2:$J$15,0)),-1)=-1,"status '"&amp;K30&amp;"' is not a CONTRACTS status",IF(AND(K30="paid",COUNTIF(paid_brands!$AC$2:$AC$51,J30)=0),"status paid but no paid_brands row"&amp;IF(M30="N"," and no tracker row",""),IF(AND(IFERROR(INDEX(Lists!$K$2:$K$15,MATCH(K30,Lists!$J$2:$J$15,0)),-1)&gt;=6,M30="N"),"status "&amp;K30&amp;" but no tracker row",IF(AND(L30="Y",K30&lt;&gt;"do_not_contact"),"do_not_contact = Y but status is "&amp;K30,IF(AND(K30="do_not_contact",L30&lt;&gt;"Y"),"status do_not_contact but do_not_contact is not Y",""))))))</f>
        <v/>
      </c>
      <c r="P30" s="23" t="str">
        <f aca="false">IF(signed_offices!W10="","",signed_offices!W10&amp;"")</f>
        <v/>
      </c>
      <c r="Q30" s="23" t="str">
        <f aca="false">IF(P30="","",IFERROR(INDEX(Clay_Offices!$A$2:$FZ$601,MATCH(P30,INDEX(Clay_Offices!$A$2:$FZ$601,0,$C$5),0),$C$7)&amp;"","not in Clay"))</f>
        <v/>
      </c>
      <c r="R30" s="23" t="str">
        <f aca="false">IF(OR(P30="",AND(LEFT(P30,6)="SAMPLE",Config!$B$19&lt;&gt;"Y")),"",IF(Q30="signed","","Clay status is "&amp;Q30&amp;": set signed"))</f>
        <v/>
      </c>
      <c r="T30" s="23" t="str">
        <f aca="false">IF(paid_brands!AC10="","",paid_brands!AC10&amp;"")</f>
        <v/>
      </c>
      <c r="U30" s="23" t="str">
        <f aca="false">IF(T30="","",IFERROR(INDEX(Clay_Brands!$A$2:$FZ$601,MATCH(T30,INDEX(Clay_Brands!$A$2:$FZ$601,0,$D$5),0),$D$7)&amp;"","not in Clay"))</f>
        <v/>
      </c>
      <c r="V30" s="23" t="str">
        <f aca="false">IF(OR(T30="",AND(LEFT(T30,6)="SAMPLE",Config!$B$19&lt;&gt;"Y")),"",IF(U30="paid","","Clay status is "&amp;U30&amp;": set paid"))</f>
        <v/>
      </c>
      <c r="X30" s="23" t="n">
        <v>10</v>
      </c>
      <c r="Y30" s="35" t="str">
        <f aca="false">IF(OR(TRIM(paid_brands!AC10)="",AND(LEFT(paid_brands!AC10,6)="SAMPLE",Config!$B$19&lt;&gt;"Y")),"",IF(AND(N(paid_brands!AE10)&gt;0,N(paid_brands!AV10)+N(paid_brands!AX10)&gt;=N(paid_brands!AE10)),IF(N(paid_brands!AX10)&gt;0,MAX(N(paid_brands!AW10),N(paid_brands!AY10)),N(paid_brands!AW10)),""))</f>
        <v/>
      </c>
    </row>
    <row r="31" customFormat="false" ht="15" hidden="false" customHeight="false" outlineLevel="0" collapsed="false">
      <c r="B31" s="23" t="n">
        <v>10</v>
      </c>
      <c r="C31" s="23" t="str">
        <f aca="false">IFERROR(INDEX(Clay_Offices!$A$2:$FZ$601,B31,$C$5)&amp;"","")</f>
        <v>SAMPLE-O-010</v>
      </c>
      <c r="D31" s="23" t="str">
        <f aca="false">IFERROR(INDEX(Clay_Offices!$A$2:$FZ$601,B31,$C$7)&amp;"","")</f>
        <v>signed</v>
      </c>
      <c r="E31" s="23" t="str">
        <f aca="false">IFERROR(INDEX(Clay_Offices!$A$2:$FZ$601,B31,$C$8)&amp;"","")</f>
        <v>N</v>
      </c>
      <c r="F31" s="23" t="str">
        <f aca="false">IF(C31="","",IF(COUNTIF(Office_Log!$A$2:$A$201,C31)&gt;0,"Y","N"))</f>
        <v>Y</v>
      </c>
      <c r="G31" s="34" t="str">
        <f aca="false">IF(OR(C31="",AND(LEFT(C31,6)="SAMPLE",Config!$B$19&lt;&gt;"Y")),"",IF(IFERROR(INDEX(Lists!$K$2:$K$15,MATCH(D31,Lists!$J$2:$J$15,0)),-1)=-1,"status '"&amp;D31&amp;"' is not a CONTRACTS status",IF(AND(D31="signed",COUNTIF(signed_offices!$W$2:$W$51,C31)=0),"status signed but no signed_offices row"&amp;IF(F31="N"," and no tracker row",""),IF(AND(IFERROR(INDEX(Lists!$K$2:$K$15,MATCH(D31,Lists!$J$2:$J$15,0)),-1)&gt;=6,F31="N"),"status "&amp;D31&amp;" but no tracker row",IF(AND(E31="Y",D31&lt;&gt;"do_not_contact"),"do_not_contact = Y but status is "&amp;D31,IF(AND(D31="do_not_contact",E31&lt;&gt;"Y"),"status do_not_contact but do_not_contact is not Y",""))))))</f>
        <v/>
      </c>
      <c r="I31" s="23" t="n">
        <v>10</v>
      </c>
      <c r="J31" s="23" t="str">
        <f aca="false">IFERROR(INDEX(Clay_Brands!$A$2:$FZ$601,I31,$D$5)&amp;"","")</f>
        <v>SAMPLE-B-010</v>
      </c>
      <c r="K31" s="23" t="str">
        <f aca="false">IFERROR(INDEX(Clay_Brands!$A$2:$FZ$601,I31,$D$7)&amp;"","")</f>
        <v>call_done</v>
      </c>
      <c r="L31" s="23" t="str">
        <f aca="false">IFERROR(INDEX(Clay_Brands!$A$2:$FZ$601,I31,$D$8)&amp;"","")</f>
        <v>N</v>
      </c>
      <c r="M31" s="23" t="str">
        <f aca="false">IF(J31="","",IF(COUNTIF(Brand_Log!$A$2:$A$201,J31)&gt;0,"Y","N"))</f>
        <v>Y</v>
      </c>
      <c r="N31" s="34" t="str">
        <f aca="false">IF(OR(J31="",AND(LEFT(J31,6)="SAMPLE",Config!$B$19&lt;&gt;"Y")),"",IF(IFERROR(INDEX(Lists!$K$2:$K$15,MATCH(K31,Lists!$J$2:$J$15,0)),-1)=-1,"status '"&amp;K31&amp;"' is not a CONTRACTS status",IF(AND(K31="paid",COUNTIF(paid_brands!$AC$2:$AC$51,J31)=0),"status paid but no paid_brands row"&amp;IF(M31="N"," and no tracker row",""),IF(AND(IFERROR(INDEX(Lists!$K$2:$K$15,MATCH(K31,Lists!$J$2:$J$15,0)),-1)&gt;=6,M31="N"),"status "&amp;K31&amp;" but no tracker row",IF(AND(L31="Y",K31&lt;&gt;"do_not_contact"),"do_not_contact = Y but status is "&amp;K31,IF(AND(K31="do_not_contact",L31&lt;&gt;"Y"),"status do_not_contact but do_not_contact is not Y",""))))))</f>
        <v/>
      </c>
      <c r="P31" s="23" t="str">
        <f aca="false">IF(signed_offices!W11="","",signed_offices!W11&amp;"")</f>
        <v/>
      </c>
      <c r="Q31" s="23" t="str">
        <f aca="false">IF(P31="","",IFERROR(INDEX(Clay_Offices!$A$2:$FZ$601,MATCH(P31,INDEX(Clay_Offices!$A$2:$FZ$601,0,$C$5),0),$C$7)&amp;"","not in Clay"))</f>
        <v/>
      </c>
      <c r="R31" s="23" t="str">
        <f aca="false">IF(OR(P31="",AND(LEFT(P31,6)="SAMPLE",Config!$B$19&lt;&gt;"Y")),"",IF(Q31="signed","","Clay status is "&amp;Q31&amp;": set signed"))</f>
        <v/>
      </c>
      <c r="T31" s="23" t="str">
        <f aca="false">IF(paid_brands!AC11="","",paid_brands!AC11&amp;"")</f>
        <v/>
      </c>
      <c r="U31" s="23" t="str">
        <f aca="false">IF(T31="","",IFERROR(INDEX(Clay_Brands!$A$2:$FZ$601,MATCH(T31,INDEX(Clay_Brands!$A$2:$FZ$601,0,$D$5),0),$D$7)&amp;"","not in Clay"))</f>
        <v/>
      </c>
      <c r="V31" s="23" t="str">
        <f aca="false">IF(OR(T31="",AND(LEFT(T31,6)="SAMPLE",Config!$B$19&lt;&gt;"Y")),"",IF(U31="paid","","Clay status is "&amp;U31&amp;": set paid"))</f>
        <v/>
      </c>
      <c r="X31" s="23" t="n">
        <v>11</v>
      </c>
      <c r="Y31" s="35" t="str">
        <f aca="false">IF(OR(TRIM(paid_brands!AC11)="",AND(LEFT(paid_brands!AC11,6)="SAMPLE",Config!$B$19&lt;&gt;"Y")),"",IF(AND(N(paid_brands!AE11)&gt;0,N(paid_brands!AV11)+N(paid_brands!AX11)&gt;=N(paid_brands!AE11)),IF(N(paid_brands!AX11)&gt;0,MAX(N(paid_brands!AW11),N(paid_brands!AY11)),N(paid_brands!AW11)),""))</f>
        <v/>
      </c>
    </row>
    <row r="32" customFormat="false" ht="15" hidden="false" customHeight="false" outlineLevel="0" collapsed="false">
      <c r="B32" s="23" t="n">
        <v>11</v>
      </c>
      <c r="C32" s="23" t="str">
        <f aca="false">IFERROR(INDEX(Clay_Offices!$A$2:$FZ$601,B32,$C$5)&amp;"","")</f>
        <v>SAMPLE-O-011</v>
      </c>
      <c r="D32" s="23" t="str">
        <f aca="false">IFERROR(INDEX(Clay_Offices!$A$2:$FZ$601,B32,$C$7)&amp;"","")</f>
        <v>yes_in_principle</v>
      </c>
      <c r="E32" s="23" t="str">
        <f aca="false">IFERROR(INDEX(Clay_Offices!$A$2:$FZ$601,B32,$C$8)&amp;"","")</f>
        <v>N</v>
      </c>
      <c r="F32" s="23" t="str">
        <f aca="false">IF(C32="","",IF(COUNTIF(Office_Log!$A$2:$A$201,C32)&gt;0,"Y","N"))</f>
        <v>Y</v>
      </c>
      <c r="G32" s="34" t="str">
        <f aca="false">IF(OR(C32="",AND(LEFT(C32,6)="SAMPLE",Config!$B$19&lt;&gt;"Y")),"",IF(IFERROR(INDEX(Lists!$K$2:$K$15,MATCH(D32,Lists!$J$2:$J$15,0)),-1)=-1,"status '"&amp;D32&amp;"' is not a CONTRACTS status",IF(AND(D32="signed",COUNTIF(signed_offices!$W$2:$W$51,C32)=0),"status signed but no signed_offices row"&amp;IF(F32="N"," and no tracker row",""),IF(AND(IFERROR(INDEX(Lists!$K$2:$K$15,MATCH(D32,Lists!$J$2:$J$15,0)),-1)&gt;=6,F32="N"),"status "&amp;D32&amp;" but no tracker row",IF(AND(E32="Y",D32&lt;&gt;"do_not_contact"),"do_not_contact = Y but status is "&amp;D32,IF(AND(D32="do_not_contact",E32&lt;&gt;"Y"),"status do_not_contact but do_not_contact is not Y",""))))))</f>
        <v/>
      </c>
      <c r="I32" s="23" t="n">
        <v>11</v>
      </c>
      <c r="J32" s="23" t="str">
        <f aca="false">IFERROR(INDEX(Clay_Brands!$A$2:$FZ$601,I32,$D$5)&amp;"","")</f>
        <v>SAMPLE-B-011</v>
      </c>
      <c r="K32" s="23" t="str">
        <f aca="false">IFERROR(INDEX(Clay_Brands!$A$2:$FZ$601,I32,$D$7)&amp;"","")</f>
        <v>yes_in_principle</v>
      </c>
      <c r="L32" s="23" t="str">
        <f aca="false">IFERROR(INDEX(Clay_Brands!$A$2:$FZ$601,I32,$D$8)&amp;"","")</f>
        <v>N</v>
      </c>
      <c r="M32" s="23" t="str">
        <f aca="false">IF(J32="","",IF(COUNTIF(Brand_Log!$A$2:$A$201,J32)&gt;0,"Y","N"))</f>
        <v>Y</v>
      </c>
      <c r="N32" s="34" t="str">
        <f aca="false">IF(OR(J32="",AND(LEFT(J32,6)="SAMPLE",Config!$B$19&lt;&gt;"Y")),"",IF(IFERROR(INDEX(Lists!$K$2:$K$15,MATCH(K32,Lists!$J$2:$J$15,0)),-1)=-1,"status '"&amp;K32&amp;"' is not a CONTRACTS status",IF(AND(K32="paid",COUNTIF(paid_brands!$AC$2:$AC$51,J32)=0),"status paid but no paid_brands row"&amp;IF(M32="N"," and no tracker row",""),IF(AND(IFERROR(INDEX(Lists!$K$2:$K$15,MATCH(K32,Lists!$J$2:$J$15,0)),-1)&gt;=6,M32="N"),"status "&amp;K32&amp;" but no tracker row",IF(AND(L32="Y",K32&lt;&gt;"do_not_contact"),"do_not_contact = Y but status is "&amp;K32,IF(AND(K32="do_not_contact",L32&lt;&gt;"Y"),"status do_not_contact but do_not_contact is not Y",""))))))</f>
        <v/>
      </c>
      <c r="P32" s="23" t="str">
        <f aca="false">IF(signed_offices!W12="","",signed_offices!W12&amp;"")</f>
        <v/>
      </c>
      <c r="Q32" s="23" t="str">
        <f aca="false">IF(P32="","",IFERROR(INDEX(Clay_Offices!$A$2:$FZ$601,MATCH(P32,INDEX(Clay_Offices!$A$2:$FZ$601,0,$C$5),0),$C$7)&amp;"","not in Clay"))</f>
        <v/>
      </c>
      <c r="R32" s="23" t="str">
        <f aca="false">IF(OR(P32="",AND(LEFT(P32,6)="SAMPLE",Config!$B$19&lt;&gt;"Y")),"",IF(Q32="signed","","Clay status is "&amp;Q32&amp;": set signed"))</f>
        <v/>
      </c>
      <c r="T32" s="23" t="str">
        <f aca="false">IF(paid_brands!AC12="","",paid_brands!AC12&amp;"")</f>
        <v/>
      </c>
      <c r="U32" s="23" t="str">
        <f aca="false">IF(T32="","",IFERROR(INDEX(Clay_Brands!$A$2:$FZ$601,MATCH(T32,INDEX(Clay_Brands!$A$2:$FZ$601,0,$D$5),0),$D$7)&amp;"","not in Clay"))</f>
        <v/>
      </c>
      <c r="V32" s="23" t="str">
        <f aca="false">IF(OR(T32="",AND(LEFT(T32,6)="SAMPLE",Config!$B$19&lt;&gt;"Y")),"",IF(U32="paid","","Clay status is "&amp;U32&amp;": set paid"))</f>
        <v/>
      </c>
      <c r="X32" s="23" t="n">
        <v>12</v>
      </c>
      <c r="Y32" s="35" t="str">
        <f aca="false">IF(OR(TRIM(paid_brands!AC12)="",AND(LEFT(paid_brands!AC12,6)="SAMPLE",Config!$B$19&lt;&gt;"Y")),"",IF(AND(N(paid_brands!AE12)&gt;0,N(paid_brands!AV12)+N(paid_brands!AX12)&gt;=N(paid_brands!AE12)),IF(N(paid_brands!AX12)&gt;0,MAX(N(paid_brands!AW12),N(paid_brands!AY12)),N(paid_brands!AW12)),""))</f>
        <v/>
      </c>
    </row>
    <row r="33" customFormat="false" ht="15" hidden="false" customHeight="false" outlineLevel="0" collapsed="false">
      <c r="B33" s="23" t="n">
        <v>12</v>
      </c>
      <c r="C33" s="23" t="str">
        <f aca="false">IFERROR(INDEX(Clay_Offices!$A$2:$FZ$601,B33,$C$5)&amp;"","")</f>
        <v>SAMPLE-O-012</v>
      </c>
      <c r="D33" s="23" t="str">
        <f aca="false">IFERROR(INDEX(Clay_Offices!$A$2:$FZ$601,B33,$C$7)&amp;"","")</f>
        <v>call_done</v>
      </c>
      <c r="E33" s="23" t="str">
        <f aca="false">IFERROR(INDEX(Clay_Offices!$A$2:$FZ$601,B33,$C$8)&amp;"","")</f>
        <v>N</v>
      </c>
      <c r="F33" s="23" t="str">
        <f aca="false">IF(C33="","",IF(COUNTIF(Office_Log!$A$2:$A$201,C33)&gt;0,"Y","N"))</f>
        <v>Y</v>
      </c>
      <c r="G33" s="34" t="str">
        <f aca="false">IF(OR(C33="",AND(LEFT(C33,6)="SAMPLE",Config!$B$19&lt;&gt;"Y")),"",IF(IFERROR(INDEX(Lists!$K$2:$K$15,MATCH(D33,Lists!$J$2:$J$15,0)),-1)=-1,"status '"&amp;D33&amp;"' is not a CONTRACTS status",IF(AND(D33="signed",COUNTIF(signed_offices!$W$2:$W$51,C33)=0),"status signed but no signed_offices row"&amp;IF(F33="N"," and no tracker row",""),IF(AND(IFERROR(INDEX(Lists!$K$2:$K$15,MATCH(D33,Lists!$J$2:$J$15,0)),-1)&gt;=6,F33="N"),"status "&amp;D33&amp;" but no tracker row",IF(AND(E33="Y",D33&lt;&gt;"do_not_contact"),"do_not_contact = Y but status is "&amp;D33,IF(AND(D33="do_not_contact",E33&lt;&gt;"Y"),"status do_not_contact but do_not_contact is not Y",""))))))</f>
        <v/>
      </c>
      <c r="I33" s="23" t="n">
        <v>12</v>
      </c>
      <c r="J33" s="23" t="str">
        <f aca="false">IFERROR(INDEX(Clay_Brands!$A$2:$FZ$601,I33,$D$5)&amp;"","")</f>
        <v>SAMPLE-B-012</v>
      </c>
      <c r="K33" s="23" t="str">
        <f aca="false">IFERROR(INDEX(Clay_Brands!$A$2:$FZ$601,I33,$D$7)&amp;"","")</f>
        <v>call_done</v>
      </c>
      <c r="L33" s="23" t="str">
        <f aca="false">IFERROR(INDEX(Clay_Brands!$A$2:$FZ$601,I33,$D$8)&amp;"","")</f>
        <v>N</v>
      </c>
      <c r="M33" s="23" t="str">
        <f aca="false">IF(J33="","",IF(COUNTIF(Brand_Log!$A$2:$A$201,J33)&gt;0,"Y","N"))</f>
        <v>Y</v>
      </c>
      <c r="N33" s="34" t="str">
        <f aca="false">IF(OR(J33="",AND(LEFT(J33,6)="SAMPLE",Config!$B$19&lt;&gt;"Y")),"",IF(IFERROR(INDEX(Lists!$K$2:$K$15,MATCH(K33,Lists!$J$2:$J$15,0)),-1)=-1,"status '"&amp;K33&amp;"' is not a CONTRACTS status",IF(AND(K33="paid",COUNTIF(paid_brands!$AC$2:$AC$51,J33)=0),"status paid but no paid_brands row"&amp;IF(M33="N"," and no tracker row",""),IF(AND(IFERROR(INDEX(Lists!$K$2:$K$15,MATCH(K33,Lists!$J$2:$J$15,0)),-1)&gt;=6,M33="N"),"status "&amp;K33&amp;" but no tracker row",IF(AND(L33="Y",K33&lt;&gt;"do_not_contact"),"do_not_contact = Y but status is "&amp;K33,IF(AND(K33="do_not_contact",L33&lt;&gt;"Y"),"status do_not_contact but do_not_contact is not Y",""))))))</f>
        <v/>
      </c>
      <c r="P33" s="23" t="str">
        <f aca="false">IF(signed_offices!W13="","",signed_offices!W13&amp;"")</f>
        <v/>
      </c>
      <c r="Q33" s="23" t="str">
        <f aca="false">IF(P33="","",IFERROR(INDEX(Clay_Offices!$A$2:$FZ$601,MATCH(P33,INDEX(Clay_Offices!$A$2:$FZ$601,0,$C$5),0),$C$7)&amp;"","not in Clay"))</f>
        <v/>
      </c>
      <c r="R33" s="23" t="str">
        <f aca="false">IF(OR(P33="",AND(LEFT(P33,6)="SAMPLE",Config!$B$19&lt;&gt;"Y")),"",IF(Q33="signed","","Clay status is "&amp;Q33&amp;": set signed"))</f>
        <v/>
      </c>
      <c r="T33" s="23" t="str">
        <f aca="false">IF(paid_brands!AC13="","",paid_brands!AC13&amp;"")</f>
        <v/>
      </c>
      <c r="U33" s="23" t="str">
        <f aca="false">IF(T33="","",IFERROR(INDEX(Clay_Brands!$A$2:$FZ$601,MATCH(T33,INDEX(Clay_Brands!$A$2:$FZ$601,0,$D$5),0),$D$7)&amp;"","not in Clay"))</f>
        <v/>
      </c>
      <c r="V33" s="23" t="str">
        <f aca="false">IF(OR(T33="",AND(LEFT(T33,6)="SAMPLE",Config!$B$19&lt;&gt;"Y")),"",IF(U33="paid","","Clay status is "&amp;U33&amp;": set paid"))</f>
        <v/>
      </c>
      <c r="X33" s="23" t="n">
        <v>13</v>
      </c>
      <c r="Y33" s="35" t="str">
        <f aca="false">IF(OR(TRIM(paid_brands!AC13)="",AND(LEFT(paid_brands!AC13,6)="SAMPLE",Config!$B$19&lt;&gt;"Y")),"",IF(AND(N(paid_brands!AE13)&gt;0,N(paid_brands!AV13)+N(paid_brands!AX13)&gt;=N(paid_brands!AE13)),IF(N(paid_brands!AX13)&gt;0,MAX(N(paid_brands!AW13),N(paid_brands!AY13)),N(paid_brands!AW13)),""))</f>
        <v/>
      </c>
    </row>
    <row r="34" customFormat="false" ht="15" hidden="false" customHeight="false" outlineLevel="0" collapsed="false">
      <c r="B34" s="23" t="n">
        <v>13</v>
      </c>
      <c r="C34" s="23" t="str">
        <f aca="false">IFERROR(INDEX(Clay_Offices!$A$2:$FZ$601,B34,$C$5)&amp;"","")</f>
        <v>SAMPLE-O-013</v>
      </c>
      <c r="D34" s="23" t="str">
        <f aca="false">IFERROR(INDEX(Clay_Offices!$A$2:$FZ$601,B34,$C$7)&amp;"","")</f>
        <v>signed</v>
      </c>
      <c r="E34" s="23" t="str">
        <f aca="false">IFERROR(INDEX(Clay_Offices!$A$2:$FZ$601,B34,$C$8)&amp;"","")</f>
        <v>N</v>
      </c>
      <c r="F34" s="23" t="str">
        <f aca="false">IF(C34="","",IF(COUNTIF(Office_Log!$A$2:$A$201,C34)&gt;0,"Y","N"))</f>
        <v>Y</v>
      </c>
      <c r="G34" s="34" t="str">
        <f aca="false">IF(OR(C34="",AND(LEFT(C34,6)="SAMPLE",Config!$B$19&lt;&gt;"Y")),"",IF(IFERROR(INDEX(Lists!$K$2:$K$15,MATCH(D34,Lists!$J$2:$J$15,0)),-1)=-1,"status '"&amp;D34&amp;"' is not a CONTRACTS status",IF(AND(D34="signed",COUNTIF(signed_offices!$W$2:$W$51,C34)=0),"status signed but no signed_offices row"&amp;IF(F34="N"," and no tracker row",""),IF(AND(IFERROR(INDEX(Lists!$K$2:$K$15,MATCH(D34,Lists!$J$2:$J$15,0)),-1)&gt;=6,F34="N"),"status "&amp;D34&amp;" but no tracker row",IF(AND(E34="Y",D34&lt;&gt;"do_not_contact"),"do_not_contact = Y but status is "&amp;D34,IF(AND(D34="do_not_contact",E34&lt;&gt;"Y"),"status do_not_contact but do_not_contact is not Y",""))))))</f>
        <v/>
      </c>
      <c r="I34" s="23" t="n">
        <v>13</v>
      </c>
      <c r="J34" s="23" t="str">
        <f aca="false">IFERROR(INDEX(Clay_Brands!$A$2:$FZ$601,I34,$D$5)&amp;"","")</f>
        <v>SAMPLE-B-013</v>
      </c>
      <c r="K34" s="23" t="str">
        <f aca="false">IFERROR(INDEX(Clay_Brands!$A$2:$FZ$601,I34,$D$7)&amp;"","")</f>
        <v>yes_in_principle</v>
      </c>
      <c r="L34" s="23" t="str">
        <f aca="false">IFERROR(INDEX(Clay_Brands!$A$2:$FZ$601,I34,$D$8)&amp;"","")</f>
        <v>N</v>
      </c>
      <c r="M34" s="23" t="str">
        <f aca="false">IF(J34="","",IF(COUNTIF(Brand_Log!$A$2:$A$201,J34)&gt;0,"Y","N"))</f>
        <v>Y</v>
      </c>
      <c r="N34" s="34" t="str">
        <f aca="false">IF(OR(J34="",AND(LEFT(J34,6)="SAMPLE",Config!$B$19&lt;&gt;"Y")),"",IF(IFERROR(INDEX(Lists!$K$2:$K$15,MATCH(K34,Lists!$J$2:$J$15,0)),-1)=-1,"status '"&amp;K34&amp;"' is not a CONTRACTS status",IF(AND(K34="paid",COUNTIF(paid_brands!$AC$2:$AC$51,J34)=0),"status paid but no paid_brands row"&amp;IF(M34="N"," and no tracker row",""),IF(AND(IFERROR(INDEX(Lists!$K$2:$K$15,MATCH(K34,Lists!$J$2:$J$15,0)),-1)&gt;=6,M34="N"),"status "&amp;K34&amp;" but no tracker row",IF(AND(L34="Y",K34&lt;&gt;"do_not_contact"),"do_not_contact = Y but status is "&amp;K34,IF(AND(K34="do_not_contact",L34&lt;&gt;"Y"),"status do_not_contact but do_not_contact is not Y",""))))))</f>
        <v/>
      </c>
      <c r="P34" s="23" t="str">
        <f aca="false">IF(signed_offices!W14="","",signed_offices!W14&amp;"")</f>
        <v/>
      </c>
      <c r="Q34" s="23" t="str">
        <f aca="false">IF(P34="","",IFERROR(INDEX(Clay_Offices!$A$2:$FZ$601,MATCH(P34,INDEX(Clay_Offices!$A$2:$FZ$601,0,$C$5),0),$C$7)&amp;"","not in Clay"))</f>
        <v/>
      </c>
      <c r="R34" s="23" t="str">
        <f aca="false">IF(OR(P34="",AND(LEFT(P34,6)="SAMPLE",Config!$B$19&lt;&gt;"Y")),"",IF(Q34="signed","","Clay status is "&amp;Q34&amp;": set signed"))</f>
        <v/>
      </c>
      <c r="T34" s="23" t="str">
        <f aca="false">IF(paid_brands!AC14="","",paid_brands!AC14&amp;"")</f>
        <v/>
      </c>
      <c r="U34" s="23" t="str">
        <f aca="false">IF(T34="","",IFERROR(INDEX(Clay_Brands!$A$2:$FZ$601,MATCH(T34,INDEX(Clay_Brands!$A$2:$FZ$601,0,$D$5),0),$D$7)&amp;"","not in Clay"))</f>
        <v/>
      </c>
      <c r="V34" s="23" t="str">
        <f aca="false">IF(OR(T34="",AND(LEFT(T34,6)="SAMPLE",Config!$B$19&lt;&gt;"Y")),"",IF(U34="paid","","Clay status is "&amp;U34&amp;": set paid"))</f>
        <v/>
      </c>
      <c r="X34" s="23" t="n">
        <v>14</v>
      </c>
      <c r="Y34" s="35" t="str">
        <f aca="false">IF(OR(TRIM(paid_brands!AC14)="",AND(LEFT(paid_brands!AC14,6)="SAMPLE",Config!$B$19&lt;&gt;"Y")),"",IF(AND(N(paid_brands!AE14)&gt;0,N(paid_brands!AV14)+N(paid_brands!AX14)&gt;=N(paid_brands!AE14)),IF(N(paid_brands!AX14)&gt;0,MAX(N(paid_brands!AW14),N(paid_brands!AY14)),N(paid_brands!AW14)),""))</f>
        <v/>
      </c>
    </row>
    <row r="35" customFormat="false" ht="15" hidden="false" customHeight="false" outlineLevel="0" collapsed="false">
      <c r="B35" s="23" t="n">
        <v>14</v>
      </c>
      <c r="C35" s="23" t="str">
        <f aca="false">IFERROR(INDEX(Clay_Offices!$A$2:$FZ$601,B35,$C$5)&amp;"","")</f>
        <v>SAMPLE-O-015</v>
      </c>
      <c r="D35" s="23" t="str">
        <f aca="false">IFERROR(INDEX(Clay_Offices!$A$2:$FZ$601,B35,$C$7)&amp;"","")</f>
        <v>contacted</v>
      </c>
      <c r="E35" s="23" t="str">
        <f aca="false">IFERROR(INDEX(Clay_Offices!$A$2:$FZ$601,B35,$C$8)&amp;"","")</f>
        <v>N</v>
      </c>
      <c r="F35" s="23" t="str">
        <f aca="false">IF(C35="","",IF(COUNTIF(Office_Log!$A$2:$A$201,C35)&gt;0,"Y","N"))</f>
        <v>N</v>
      </c>
      <c r="G35" s="34" t="str">
        <f aca="false">IF(OR(C35="",AND(LEFT(C35,6)="SAMPLE",Config!$B$19&lt;&gt;"Y")),"",IF(IFERROR(INDEX(Lists!$K$2:$K$15,MATCH(D35,Lists!$J$2:$J$15,0)),-1)=-1,"status '"&amp;D35&amp;"' is not a CONTRACTS status",IF(AND(D35="signed",COUNTIF(signed_offices!$W$2:$W$51,C35)=0),"status signed but no signed_offices row"&amp;IF(F35="N"," and no tracker row",""),IF(AND(IFERROR(INDEX(Lists!$K$2:$K$15,MATCH(D35,Lists!$J$2:$J$15,0)),-1)&gt;=6,F35="N"),"status "&amp;D35&amp;" but no tracker row",IF(AND(E35="Y",D35&lt;&gt;"do_not_contact"),"do_not_contact = Y but status is "&amp;D35,IF(AND(D35="do_not_contact",E35&lt;&gt;"Y"),"status do_not_contact but do_not_contact is not Y",""))))))</f>
        <v/>
      </c>
      <c r="I35" s="23" t="n">
        <v>14</v>
      </c>
      <c r="J35" s="23" t="str">
        <f aca="false">IFERROR(INDEX(Clay_Brands!$A$2:$FZ$601,I35,$D$5)&amp;"","")</f>
        <v>SAMPLE-B-014</v>
      </c>
      <c r="K35" s="23" t="str">
        <f aca="false">IFERROR(INDEX(Clay_Brands!$A$2:$FZ$601,I35,$D$7)&amp;"","")</f>
        <v>yes_in_principle</v>
      </c>
      <c r="L35" s="23" t="str">
        <f aca="false">IFERROR(INDEX(Clay_Brands!$A$2:$FZ$601,I35,$D$8)&amp;"","")</f>
        <v>N</v>
      </c>
      <c r="M35" s="23" t="str">
        <f aca="false">IF(J35="","",IF(COUNTIF(Brand_Log!$A$2:$A$201,J35)&gt;0,"Y","N"))</f>
        <v>Y</v>
      </c>
      <c r="N35" s="34" t="str">
        <f aca="false">IF(OR(J35="",AND(LEFT(J35,6)="SAMPLE",Config!$B$19&lt;&gt;"Y")),"",IF(IFERROR(INDEX(Lists!$K$2:$K$15,MATCH(K35,Lists!$J$2:$J$15,0)),-1)=-1,"status '"&amp;K35&amp;"' is not a CONTRACTS status",IF(AND(K35="paid",COUNTIF(paid_brands!$AC$2:$AC$51,J35)=0),"status paid but no paid_brands row"&amp;IF(M35="N"," and no tracker row",""),IF(AND(IFERROR(INDEX(Lists!$K$2:$K$15,MATCH(K35,Lists!$J$2:$J$15,0)),-1)&gt;=6,M35="N"),"status "&amp;K35&amp;" but no tracker row",IF(AND(L35="Y",K35&lt;&gt;"do_not_contact"),"do_not_contact = Y but status is "&amp;K35,IF(AND(K35="do_not_contact",L35&lt;&gt;"Y"),"status do_not_contact but do_not_contact is not Y",""))))))</f>
        <v/>
      </c>
      <c r="P35" s="23" t="str">
        <f aca="false">IF(signed_offices!W15="","",signed_offices!W15&amp;"")</f>
        <v/>
      </c>
      <c r="Q35" s="23" t="str">
        <f aca="false">IF(P35="","",IFERROR(INDEX(Clay_Offices!$A$2:$FZ$601,MATCH(P35,INDEX(Clay_Offices!$A$2:$FZ$601,0,$C$5),0),$C$7)&amp;"","not in Clay"))</f>
        <v/>
      </c>
      <c r="R35" s="23" t="str">
        <f aca="false">IF(OR(P35="",AND(LEFT(P35,6)="SAMPLE",Config!$B$19&lt;&gt;"Y")),"",IF(Q35="signed","","Clay status is "&amp;Q35&amp;": set signed"))</f>
        <v/>
      </c>
      <c r="T35" s="23" t="str">
        <f aca="false">IF(paid_brands!AC15="","",paid_brands!AC15&amp;"")</f>
        <v/>
      </c>
      <c r="U35" s="23" t="str">
        <f aca="false">IF(T35="","",IFERROR(INDEX(Clay_Brands!$A$2:$FZ$601,MATCH(T35,INDEX(Clay_Brands!$A$2:$FZ$601,0,$D$5),0),$D$7)&amp;"","not in Clay"))</f>
        <v/>
      </c>
      <c r="V35" s="23" t="str">
        <f aca="false">IF(OR(T35="",AND(LEFT(T35,6)="SAMPLE",Config!$B$19&lt;&gt;"Y")),"",IF(U35="paid","","Clay status is "&amp;U35&amp;": set paid"))</f>
        <v/>
      </c>
      <c r="X35" s="23" t="n">
        <v>15</v>
      </c>
      <c r="Y35" s="35" t="str">
        <f aca="false">IF(OR(TRIM(paid_brands!AC15)="",AND(LEFT(paid_brands!AC15,6)="SAMPLE",Config!$B$19&lt;&gt;"Y")),"",IF(AND(N(paid_brands!AE15)&gt;0,N(paid_brands!AV15)+N(paid_brands!AX15)&gt;=N(paid_brands!AE15)),IF(N(paid_brands!AX15)&gt;0,MAX(N(paid_brands!AW15),N(paid_brands!AY15)),N(paid_brands!AW15)),""))</f>
        <v/>
      </c>
    </row>
    <row r="36" customFormat="false" ht="15" hidden="false" customHeight="false" outlineLevel="0" collapsed="false">
      <c r="B36" s="23" t="n">
        <v>15</v>
      </c>
      <c r="C36" s="23" t="str">
        <f aca="false">IFERROR(INDEX(Clay_Offices!$A$2:$FZ$601,B36,$C$5)&amp;"","")</f>
        <v>SAMPLE-O-016</v>
      </c>
      <c r="D36" s="23" t="str">
        <f aca="false">IFERROR(INDEX(Clay_Offices!$A$2:$FZ$601,B36,$C$7)&amp;"","")</f>
        <v>not_now</v>
      </c>
      <c r="E36" s="23" t="str">
        <f aca="false">IFERROR(INDEX(Clay_Offices!$A$2:$FZ$601,B36,$C$8)&amp;"","")</f>
        <v>N</v>
      </c>
      <c r="F36" s="23" t="str">
        <f aca="false">IF(C36="","",IF(COUNTIF(Office_Log!$A$2:$A$201,C36)&gt;0,"Y","N"))</f>
        <v>N</v>
      </c>
      <c r="G36" s="34" t="str">
        <f aca="false">IF(OR(C36="",AND(LEFT(C36,6)="SAMPLE",Config!$B$19&lt;&gt;"Y")),"",IF(IFERROR(INDEX(Lists!$K$2:$K$15,MATCH(D36,Lists!$J$2:$J$15,0)),-1)=-1,"status '"&amp;D36&amp;"' is not a CONTRACTS status",IF(AND(D36="signed",COUNTIF(signed_offices!$W$2:$W$51,C36)=0),"status signed but no signed_offices row"&amp;IF(F36="N"," and no tracker row",""),IF(AND(IFERROR(INDEX(Lists!$K$2:$K$15,MATCH(D36,Lists!$J$2:$J$15,0)),-1)&gt;=6,F36="N"),"status "&amp;D36&amp;" but no tracker row",IF(AND(E36="Y",D36&lt;&gt;"do_not_contact"),"do_not_contact = Y but status is "&amp;D36,IF(AND(D36="do_not_contact",E36&lt;&gt;"Y"),"status do_not_contact but do_not_contact is not Y",""))))))</f>
        <v/>
      </c>
      <c r="I36" s="23" t="n">
        <v>15</v>
      </c>
      <c r="J36" s="23" t="str">
        <f aca="false">IFERROR(INDEX(Clay_Brands!$A$2:$FZ$601,I36,$D$5)&amp;"","")</f>
        <v>SAMPLE-B-015</v>
      </c>
      <c r="K36" s="23" t="str">
        <f aca="false">IFERROR(INDEX(Clay_Brands!$A$2:$FZ$601,I36,$D$7)&amp;"","")</f>
        <v>call_done</v>
      </c>
      <c r="L36" s="23" t="str">
        <f aca="false">IFERROR(INDEX(Clay_Brands!$A$2:$FZ$601,I36,$D$8)&amp;"","")</f>
        <v>N</v>
      </c>
      <c r="M36" s="23" t="str">
        <f aca="false">IF(J36="","",IF(COUNTIF(Brand_Log!$A$2:$A$201,J36)&gt;0,"Y","N"))</f>
        <v>Y</v>
      </c>
      <c r="N36" s="34" t="str">
        <f aca="false">IF(OR(J36="",AND(LEFT(J36,6)="SAMPLE",Config!$B$19&lt;&gt;"Y")),"",IF(IFERROR(INDEX(Lists!$K$2:$K$15,MATCH(K36,Lists!$J$2:$J$15,0)),-1)=-1,"status '"&amp;K36&amp;"' is not a CONTRACTS status",IF(AND(K36="paid",COUNTIF(paid_brands!$AC$2:$AC$51,J36)=0),"status paid but no paid_brands row"&amp;IF(M36="N"," and no tracker row",""),IF(AND(IFERROR(INDEX(Lists!$K$2:$K$15,MATCH(K36,Lists!$J$2:$J$15,0)),-1)&gt;=6,M36="N"),"status "&amp;K36&amp;" but no tracker row",IF(AND(L36="Y",K36&lt;&gt;"do_not_contact"),"do_not_contact = Y but status is "&amp;K36,IF(AND(K36="do_not_contact",L36&lt;&gt;"Y"),"status do_not_contact but do_not_contact is not Y",""))))))</f>
        <v/>
      </c>
      <c r="P36" s="23" t="str">
        <f aca="false">IF(signed_offices!W16="","",signed_offices!W16&amp;"")</f>
        <v/>
      </c>
      <c r="Q36" s="23" t="str">
        <f aca="false">IF(P36="","",IFERROR(INDEX(Clay_Offices!$A$2:$FZ$601,MATCH(P36,INDEX(Clay_Offices!$A$2:$FZ$601,0,$C$5),0),$C$7)&amp;"","not in Clay"))</f>
        <v/>
      </c>
      <c r="R36" s="23" t="str">
        <f aca="false">IF(OR(P36="",AND(LEFT(P36,6)="SAMPLE",Config!$B$19&lt;&gt;"Y")),"",IF(Q36="signed","","Clay status is "&amp;Q36&amp;": set signed"))</f>
        <v/>
      </c>
      <c r="T36" s="23" t="str">
        <f aca="false">IF(paid_brands!AC16="","",paid_brands!AC16&amp;"")</f>
        <v/>
      </c>
      <c r="U36" s="23" t="str">
        <f aca="false">IF(T36="","",IFERROR(INDEX(Clay_Brands!$A$2:$FZ$601,MATCH(T36,INDEX(Clay_Brands!$A$2:$FZ$601,0,$D$5),0),$D$7)&amp;"","not in Clay"))</f>
        <v/>
      </c>
      <c r="V36" s="23" t="str">
        <f aca="false">IF(OR(T36="",AND(LEFT(T36,6)="SAMPLE",Config!$B$19&lt;&gt;"Y")),"",IF(U36="paid","","Clay status is "&amp;U36&amp;": set paid"))</f>
        <v/>
      </c>
      <c r="X36" s="23" t="n">
        <v>16</v>
      </c>
      <c r="Y36" s="35" t="str">
        <f aca="false">IF(OR(TRIM(paid_brands!AC16)="",AND(LEFT(paid_brands!AC16,6)="SAMPLE",Config!$B$19&lt;&gt;"Y")),"",IF(AND(N(paid_brands!AE16)&gt;0,N(paid_brands!AV16)+N(paid_brands!AX16)&gt;=N(paid_brands!AE16)),IF(N(paid_brands!AX16)&gt;0,MAX(N(paid_brands!AW16),N(paid_brands!AY16)),N(paid_brands!AW16)),""))</f>
        <v/>
      </c>
    </row>
    <row r="37" customFormat="false" ht="15" hidden="false" customHeight="false" outlineLevel="0" collapsed="false">
      <c r="B37" s="23" t="n">
        <v>16</v>
      </c>
      <c r="C37" s="23" t="str">
        <f aca="false">IFERROR(INDEX(Clay_Offices!$A$2:$FZ$601,B37,$C$5)&amp;"","")</f>
        <v>SAMPLE-O-017</v>
      </c>
      <c r="D37" s="23" t="str">
        <f aca="false">IFERROR(INDEX(Clay_Offices!$A$2:$FZ$601,B37,$C$7)&amp;"","")</f>
        <v>contacted</v>
      </c>
      <c r="E37" s="23" t="str">
        <f aca="false">IFERROR(INDEX(Clay_Offices!$A$2:$FZ$601,B37,$C$8)&amp;"","")</f>
        <v>N</v>
      </c>
      <c r="F37" s="23" t="str">
        <f aca="false">IF(C37="","",IF(COUNTIF(Office_Log!$A$2:$A$201,C37)&gt;0,"Y","N"))</f>
        <v>N</v>
      </c>
      <c r="G37" s="34" t="str">
        <f aca="false">IF(OR(C37="",AND(LEFT(C37,6)="SAMPLE",Config!$B$19&lt;&gt;"Y")),"",IF(IFERROR(INDEX(Lists!$K$2:$K$15,MATCH(D37,Lists!$J$2:$J$15,0)),-1)=-1,"status '"&amp;D37&amp;"' is not a CONTRACTS status",IF(AND(D37="signed",COUNTIF(signed_offices!$W$2:$W$51,C37)=0),"status signed but no signed_offices row"&amp;IF(F37="N"," and no tracker row",""),IF(AND(IFERROR(INDEX(Lists!$K$2:$K$15,MATCH(D37,Lists!$J$2:$J$15,0)),-1)&gt;=6,F37="N"),"status "&amp;D37&amp;" but no tracker row",IF(AND(E37="Y",D37&lt;&gt;"do_not_contact"),"do_not_contact = Y but status is "&amp;D37,IF(AND(D37="do_not_contact",E37&lt;&gt;"Y"),"status do_not_contact but do_not_contact is not Y",""))))))</f>
        <v/>
      </c>
      <c r="I37" s="23" t="n">
        <v>16</v>
      </c>
      <c r="J37" s="23" t="str">
        <f aca="false">IFERROR(INDEX(Clay_Brands!$A$2:$FZ$601,I37,$D$5)&amp;"","")</f>
        <v>SAMPLE-B-016</v>
      </c>
      <c r="K37" s="23" t="str">
        <f aca="false">IFERROR(INDEX(Clay_Brands!$A$2:$FZ$601,I37,$D$7)&amp;"","")</f>
        <v>not_now</v>
      </c>
      <c r="L37" s="23" t="str">
        <f aca="false">IFERROR(INDEX(Clay_Brands!$A$2:$FZ$601,I37,$D$8)&amp;"","")</f>
        <v>N</v>
      </c>
      <c r="M37" s="23" t="str">
        <f aca="false">IF(J37="","",IF(COUNTIF(Brand_Log!$A$2:$A$201,J37)&gt;0,"Y","N"))</f>
        <v>N</v>
      </c>
      <c r="N37" s="34" t="str">
        <f aca="false">IF(OR(J37="",AND(LEFT(J37,6)="SAMPLE",Config!$B$19&lt;&gt;"Y")),"",IF(IFERROR(INDEX(Lists!$K$2:$K$15,MATCH(K37,Lists!$J$2:$J$15,0)),-1)=-1,"status '"&amp;K37&amp;"' is not a CONTRACTS status",IF(AND(K37="paid",COUNTIF(paid_brands!$AC$2:$AC$51,J37)=0),"status paid but no paid_brands row"&amp;IF(M37="N"," and no tracker row",""),IF(AND(IFERROR(INDEX(Lists!$K$2:$K$15,MATCH(K37,Lists!$J$2:$J$15,0)),-1)&gt;=6,M37="N"),"status "&amp;K37&amp;" but no tracker row",IF(AND(L37="Y",K37&lt;&gt;"do_not_contact"),"do_not_contact = Y but status is "&amp;K37,IF(AND(K37="do_not_contact",L37&lt;&gt;"Y"),"status do_not_contact but do_not_contact is not Y",""))))))</f>
        <v/>
      </c>
      <c r="P37" s="23" t="str">
        <f aca="false">IF(signed_offices!W17="","",signed_offices!W17&amp;"")</f>
        <v/>
      </c>
      <c r="Q37" s="23" t="str">
        <f aca="false">IF(P37="","",IFERROR(INDEX(Clay_Offices!$A$2:$FZ$601,MATCH(P37,INDEX(Clay_Offices!$A$2:$FZ$601,0,$C$5),0),$C$7)&amp;"","not in Clay"))</f>
        <v/>
      </c>
      <c r="R37" s="23" t="str">
        <f aca="false">IF(OR(P37="",AND(LEFT(P37,6)="SAMPLE",Config!$B$19&lt;&gt;"Y")),"",IF(Q37="signed","","Clay status is "&amp;Q37&amp;": set signed"))</f>
        <v/>
      </c>
      <c r="T37" s="23" t="str">
        <f aca="false">IF(paid_brands!AC17="","",paid_brands!AC17&amp;"")</f>
        <v/>
      </c>
      <c r="U37" s="23" t="str">
        <f aca="false">IF(T37="","",IFERROR(INDEX(Clay_Brands!$A$2:$FZ$601,MATCH(T37,INDEX(Clay_Brands!$A$2:$FZ$601,0,$D$5),0),$D$7)&amp;"","not in Clay"))</f>
        <v/>
      </c>
      <c r="V37" s="23" t="str">
        <f aca="false">IF(OR(T37="",AND(LEFT(T37,6)="SAMPLE",Config!$B$19&lt;&gt;"Y")),"",IF(U37="paid","","Clay status is "&amp;U37&amp;": set paid"))</f>
        <v/>
      </c>
      <c r="X37" s="23" t="n">
        <v>17</v>
      </c>
      <c r="Y37" s="35" t="str">
        <f aca="false">IF(OR(TRIM(paid_brands!AC17)="",AND(LEFT(paid_brands!AC17,6)="SAMPLE",Config!$B$19&lt;&gt;"Y")),"",IF(AND(N(paid_brands!AE17)&gt;0,N(paid_brands!AV17)+N(paid_brands!AX17)&gt;=N(paid_brands!AE17)),IF(N(paid_brands!AX17)&gt;0,MAX(N(paid_brands!AW17),N(paid_brands!AY17)),N(paid_brands!AW17)),""))</f>
        <v/>
      </c>
    </row>
    <row r="38" customFormat="false" ht="15" hidden="false" customHeight="false" outlineLevel="0" collapsed="false">
      <c r="B38" s="23" t="n">
        <v>17</v>
      </c>
      <c r="C38" s="23" t="str">
        <f aca="false">IFERROR(INDEX(Clay_Offices!$A$2:$FZ$601,B38,$C$5)&amp;"","")</f>
        <v>SAMPLE-O-018</v>
      </c>
      <c r="D38" s="23" t="str">
        <f aca="false">IFERROR(INDEX(Clay_Offices!$A$2:$FZ$601,B38,$C$7)&amp;"","")</f>
        <v>replied</v>
      </c>
      <c r="E38" s="23" t="str">
        <f aca="false">IFERROR(INDEX(Clay_Offices!$A$2:$FZ$601,B38,$C$8)&amp;"","")</f>
        <v>N</v>
      </c>
      <c r="F38" s="23" t="str">
        <f aca="false">IF(C38="","",IF(COUNTIF(Office_Log!$A$2:$A$201,C38)&gt;0,"Y","N"))</f>
        <v>N</v>
      </c>
      <c r="G38" s="34" t="str">
        <f aca="false">IF(OR(C38="",AND(LEFT(C38,6)="SAMPLE",Config!$B$19&lt;&gt;"Y")),"",IF(IFERROR(INDEX(Lists!$K$2:$K$15,MATCH(D38,Lists!$J$2:$J$15,0)),-1)=-1,"status '"&amp;D38&amp;"' is not a CONTRACTS status",IF(AND(D38="signed",COUNTIF(signed_offices!$W$2:$W$51,C38)=0),"status signed but no signed_offices row"&amp;IF(F38="N"," and no tracker row",""),IF(AND(IFERROR(INDEX(Lists!$K$2:$K$15,MATCH(D38,Lists!$J$2:$J$15,0)),-1)&gt;=6,F38="N"),"status "&amp;D38&amp;" but no tracker row",IF(AND(E38="Y",D38&lt;&gt;"do_not_contact"),"do_not_contact = Y but status is "&amp;D38,IF(AND(D38="do_not_contact",E38&lt;&gt;"Y"),"status do_not_contact but do_not_contact is not Y",""))))))</f>
        <v/>
      </c>
      <c r="I38" s="23" t="n">
        <v>17</v>
      </c>
      <c r="J38" s="23" t="str">
        <f aca="false">IFERROR(INDEX(Clay_Brands!$A$2:$FZ$601,I38,$D$5)&amp;"","")</f>
        <v>SAMPLE-B-017</v>
      </c>
      <c r="K38" s="23" t="str">
        <f aca="false">IFERROR(INDEX(Clay_Brands!$A$2:$FZ$601,I38,$D$7)&amp;"","")</f>
        <v>contacted</v>
      </c>
      <c r="L38" s="23" t="str">
        <f aca="false">IFERROR(INDEX(Clay_Brands!$A$2:$FZ$601,I38,$D$8)&amp;"","")</f>
        <v>N</v>
      </c>
      <c r="M38" s="23" t="str">
        <f aca="false">IF(J38="","",IF(COUNTIF(Brand_Log!$A$2:$A$201,J38)&gt;0,"Y","N"))</f>
        <v>N</v>
      </c>
      <c r="N38" s="34" t="str">
        <f aca="false">IF(OR(J38="",AND(LEFT(J38,6)="SAMPLE",Config!$B$19&lt;&gt;"Y")),"",IF(IFERROR(INDEX(Lists!$K$2:$K$15,MATCH(K38,Lists!$J$2:$J$15,0)),-1)=-1,"status '"&amp;K38&amp;"' is not a CONTRACTS status",IF(AND(K38="paid",COUNTIF(paid_brands!$AC$2:$AC$51,J38)=0),"status paid but no paid_brands row"&amp;IF(M38="N"," and no tracker row",""),IF(AND(IFERROR(INDEX(Lists!$K$2:$K$15,MATCH(K38,Lists!$J$2:$J$15,0)),-1)&gt;=6,M38="N"),"status "&amp;K38&amp;" but no tracker row",IF(AND(L38="Y",K38&lt;&gt;"do_not_contact"),"do_not_contact = Y but status is "&amp;K38,IF(AND(K38="do_not_contact",L38&lt;&gt;"Y"),"status do_not_contact but do_not_contact is not Y",""))))))</f>
        <v/>
      </c>
      <c r="P38" s="23" t="str">
        <f aca="false">IF(signed_offices!W18="","",signed_offices!W18&amp;"")</f>
        <v/>
      </c>
      <c r="Q38" s="23" t="str">
        <f aca="false">IF(P38="","",IFERROR(INDEX(Clay_Offices!$A$2:$FZ$601,MATCH(P38,INDEX(Clay_Offices!$A$2:$FZ$601,0,$C$5),0),$C$7)&amp;"","not in Clay"))</f>
        <v/>
      </c>
      <c r="R38" s="23" t="str">
        <f aca="false">IF(OR(P38="",AND(LEFT(P38,6)="SAMPLE",Config!$B$19&lt;&gt;"Y")),"",IF(Q38="signed","","Clay status is "&amp;Q38&amp;": set signed"))</f>
        <v/>
      </c>
      <c r="T38" s="23" t="str">
        <f aca="false">IF(paid_brands!AC18="","",paid_brands!AC18&amp;"")</f>
        <v/>
      </c>
      <c r="U38" s="23" t="str">
        <f aca="false">IF(T38="","",IFERROR(INDEX(Clay_Brands!$A$2:$FZ$601,MATCH(T38,INDEX(Clay_Brands!$A$2:$FZ$601,0,$D$5),0),$D$7)&amp;"","not in Clay"))</f>
        <v/>
      </c>
      <c r="V38" s="23" t="str">
        <f aca="false">IF(OR(T38="",AND(LEFT(T38,6)="SAMPLE",Config!$B$19&lt;&gt;"Y")),"",IF(U38="paid","","Clay status is "&amp;U38&amp;": set paid"))</f>
        <v/>
      </c>
      <c r="X38" s="23" t="n">
        <v>18</v>
      </c>
      <c r="Y38" s="35" t="str">
        <f aca="false">IF(OR(TRIM(paid_brands!AC18)="",AND(LEFT(paid_brands!AC18,6)="SAMPLE",Config!$B$19&lt;&gt;"Y")),"",IF(AND(N(paid_brands!AE18)&gt;0,N(paid_brands!AV18)+N(paid_brands!AX18)&gt;=N(paid_brands!AE18)),IF(N(paid_brands!AX18)&gt;0,MAX(N(paid_brands!AW18),N(paid_brands!AY18)),N(paid_brands!AW18)),""))</f>
        <v/>
      </c>
    </row>
    <row r="39" customFormat="false" ht="15" hidden="false" customHeight="false" outlineLevel="0" collapsed="false">
      <c r="B39" s="23" t="n">
        <v>18</v>
      </c>
      <c r="C39" s="23" t="str">
        <f aca="false">IFERROR(INDEX(Clay_Offices!$A$2:$FZ$601,B39,$C$5)&amp;"","")</f>
        <v>SAMPLE-O-019</v>
      </c>
      <c r="D39" s="23" t="str">
        <f aca="false">IFERROR(INDEX(Clay_Offices!$A$2:$FZ$601,B39,$C$7)&amp;"","")</f>
        <v>contacted</v>
      </c>
      <c r="E39" s="23" t="str">
        <f aca="false">IFERROR(INDEX(Clay_Offices!$A$2:$FZ$601,B39,$C$8)&amp;"","")</f>
        <v>N</v>
      </c>
      <c r="F39" s="23" t="str">
        <f aca="false">IF(C39="","",IF(COUNTIF(Office_Log!$A$2:$A$201,C39)&gt;0,"Y","N"))</f>
        <v>N</v>
      </c>
      <c r="G39" s="34" t="str">
        <f aca="false">IF(OR(C39="",AND(LEFT(C39,6)="SAMPLE",Config!$B$19&lt;&gt;"Y")),"",IF(IFERROR(INDEX(Lists!$K$2:$K$15,MATCH(D39,Lists!$J$2:$J$15,0)),-1)=-1,"status '"&amp;D39&amp;"' is not a CONTRACTS status",IF(AND(D39="signed",COUNTIF(signed_offices!$W$2:$W$51,C39)=0),"status signed but no signed_offices row"&amp;IF(F39="N"," and no tracker row",""),IF(AND(IFERROR(INDEX(Lists!$K$2:$K$15,MATCH(D39,Lists!$J$2:$J$15,0)),-1)&gt;=6,F39="N"),"status "&amp;D39&amp;" but no tracker row",IF(AND(E39="Y",D39&lt;&gt;"do_not_contact"),"do_not_contact = Y but status is "&amp;D39,IF(AND(D39="do_not_contact",E39&lt;&gt;"Y"),"status do_not_contact but do_not_contact is not Y",""))))))</f>
        <v/>
      </c>
      <c r="I39" s="23" t="n">
        <v>18</v>
      </c>
      <c r="J39" s="23" t="str">
        <f aca="false">IFERROR(INDEX(Clay_Brands!$A$2:$FZ$601,I39,$D$5)&amp;"","")</f>
        <v>SAMPLE-B-018</v>
      </c>
      <c r="K39" s="23" t="str">
        <f aca="false">IFERROR(INDEX(Clay_Brands!$A$2:$FZ$601,I39,$D$7)&amp;"","")</f>
        <v>replied</v>
      </c>
      <c r="L39" s="23" t="str">
        <f aca="false">IFERROR(INDEX(Clay_Brands!$A$2:$FZ$601,I39,$D$8)&amp;"","")</f>
        <v>N</v>
      </c>
      <c r="M39" s="23" t="str">
        <f aca="false">IF(J39="","",IF(COUNTIF(Brand_Log!$A$2:$A$201,J39)&gt;0,"Y","N"))</f>
        <v>N</v>
      </c>
      <c r="N39" s="34" t="str">
        <f aca="false">IF(OR(J39="",AND(LEFT(J39,6)="SAMPLE",Config!$B$19&lt;&gt;"Y")),"",IF(IFERROR(INDEX(Lists!$K$2:$K$15,MATCH(K39,Lists!$J$2:$J$15,0)),-1)=-1,"status '"&amp;K39&amp;"' is not a CONTRACTS status",IF(AND(K39="paid",COUNTIF(paid_brands!$AC$2:$AC$51,J39)=0),"status paid but no paid_brands row"&amp;IF(M39="N"," and no tracker row",""),IF(AND(IFERROR(INDEX(Lists!$K$2:$K$15,MATCH(K39,Lists!$J$2:$J$15,0)),-1)&gt;=6,M39="N"),"status "&amp;K39&amp;" but no tracker row",IF(AND(L39="Y",K39&lt;&gt;"do_not_contact"),"do_not_contact = Y but status is "&amp;K39,IF(AND(K39="do_not_contact",L39&lt;&gt;"Y"),"status do_not_contact but do_not_contact is not Y",""))))))</f>
        <v/>
      </c>
      <c r="P39" s="23" t="str">
        <f aca="false">IF(signed_offices!W19="","",signed_offices!W19&amp;"")</f>
        <v/>
      </c>
      <c r="Q39" s="23" t="str">
        <f aca="false">IF(P39="","",IFERROR(INDEX(Clay_Offices!$A$2:$FZ$601,MATCH(P39,INDEX(Clay_Offices!$A$2:$FZ$601,0,$C$5),0),$C$7)&amp;"","not in Clay"))</f>
        <v/>
      </c>
      <c r="R39" s="23" t="str">
        <f aca="false">IF(OR(P39="",AND(LEFT(P39,6)="SAMPLE",Config!$B$19&lt;&gt;"Y")),"",IF(Q39="signed","","Clay status is "&amp;Q39&amp;": set signed"))</f>
        <v/>
      </c>
      <c r="T39" s="23" t="str">
        <f aca="false">IF(paid_brands!AC19="","",paid_brands!AC19&amp;"")</f>
        <v/>
      </c>
      <c r="U39" s="23" t="str">
        <f aca="false">IF(T39="","",IFERROR(INDEX(Clay_Brands!$A$2:$FZ$601,MATCH(T39,INDEX(Clay_Brands!$A$2:$FZ$601,0,$D$5),0),$D$7)&amp;"","not in Clay"))</f>
        <v/>
      </c>
      <c r="V39" s="23" t="str">
        <f aca="false">IF(OR(T39="",AND(LEFT(T39,6)="SAMPLE",Config!$B$19&lt;&gt;"Y")),"",IF(U39="paid","","Clay status is "&amp;U39&amp;": set paid"))</f>
        <v/>
      </c>
      <c r="X39" s="23" t="n">
        <v>19</v>
      </c>
      <c r="Y39" s="35" t="str">
        <f aca="false">IF(OR(TRIM(paid_brands!AC19)="",AND(LEFT(paid_brands!AC19,6)="SAMPLE",Config!$B$19&lt;&gt;"Y")),"",IF(AND(N(paid_brands!AE19)&gt;0,N(paid_brands!AV19)+N(paid_brands!AX19)&gt;=N(paid_brands!AE19)),IF(N(paid_brands!AX19)&gt;0,MAX(N(paid_brands!AW19),N(paid_brands!AY19)),N(paid_brands!AW19)),""))</f>
        <v/>
      </c>
    </row>
    <row r="40" customFormat="false" ht="15" hidden="false" customHeight="false" outlineLevel="0" collapsed="false">
      <c r="B40" s="23" t="n">
        <v>19</v>
      </c>
      <c r="C40" s="23" t="str">
        <f aca="false">IFERROR(INDEX(Clay_Offices!$A$2:$FZ$601,B40,$C$5)&amp;"","")</f>
        <v>SAMPLE-O-020</v>
      </c>
      <c r="D40" s="23" t="str">
        <f aca="false">IFERROR(INDEX(Clay_Offices!$A$2:$FZ$601,B40,$C$7)&amp;"","")</f>
        <v>call_done</v>
      </c>
      <c r="E40" s="23" t="str">
        <f aca="false">IFERROR(INDEX(Clay_Offices!$A$2:$FZ$601,B40,$C$8)&amp;"","")</f>
        <v>N</v>
      </c>
      <c r="F40" s="23" t="str">
        <f aca="false">IF(C40="","",IF(COUNTIF(Office_Log!$A$2:$A$201,C40)&gt;0,"Y","N"))</f>
        <v>N</v>
      </c>
      <c r="G40" s="34" t="str">
        <f aca="false">IF(OR(C40="",AND(LEFT(C40,6)="SAMPLE",Config!$B$19&lt;&gt;"Y")),"",IF(IFERROR(INDEX(Lists!$K$2:$K$15,MATCH(D40,Lists!$J$2:$J$15,0)),-1)=-1,"status '"&amp;D40&amp;"' is not a CONTRACTS status",IF(AND(D40="signed",COUNTIF(signed_offices!$W$2:$W$51,C40)=0),"status signed but no signed_offices row"&amp;IF(F40="N"," and no tracker row",""),IF(AND(IFERROR(INDEX(Lists!$K$2:$K$15,MATCH(D40,Lists!$J$2:$J$15,0)),-1)&gt;=6,F40="N"),"status "&amp;D40&amp;" but no tracker row",IF(AND(E40="Y",D40&lt;&gt;"do_not_contact"),"do_not_contact = Y but status is "&amp;D40,IF(AND(D40="do_not_contact",E40&lt;&gt;"Y"),"status do_not_contact but do_not_contact is not Y",""))))))</f>
        <v>status call_done but no tracker row</v>
      </c>
      <c r="I40" s="23" t="n">
        <v>19</v>
      </c>
      <c r="J40" s="23" t="str">
        <f aca="false">IFERROR(INDEX(Clay_Brands!$A$2:$FZ$601,I40,$D$5)&amp;"","")</f>
        <v>SAMPLE-B-019</v>
      </c>
      <c r="K40" s="23" t="str">
        <f aca="false">IFERROR(INDEX(Clay_Brands!$A$2:$FZ$601,I40,$D$7)&amp;"","")</f>
        <v>contacted</v>
      </c>
      <c r="L40" s="23" t="str">
        <f aca="false">IFERROR(INDEX(Clay_Brands!$A$2:$FZ$601,I40,$D$8)&amp;"","")</f>
        <v>N</v>
      </c>
      <c r="M40" s="23" t="str">
        <f aca="false">IF(J40="","",IF(COUNTIF(Brand_Log!$A$2:$A$201,J40)&gt;0,"Y","N"))</f>
        <v>N</v>
      </c>
      <c r="N40" s="34" t="str">
        <f aca="false">IF(OR(J40="",AND(LEFT(J40,6)="SAMPLE",Config!$B$19&lt;&gt;"Y")),"",IF(IFERROR(INDEX(Lists!$K$2:$K$15,MATCH(K40,Lists!$J$2:$J$15,0)),-1)=-1,"status '"&amp;K40&amp;"' is not a CONTRACTS status",IF(AND(K40="paid",COUNTIF(paid_brands!$AC$2:$AC$51,J40)=0),"status paid but no paid_brands row"&amp;IF(M40="N"," and no tracker row",""),IF(AND(IFERROR(INDEX(Lists!$K$2:$K$15,MATCH(K40,Lists!$J$2:$J$15,0)),-1)&gt;=6,M40="N"),"status "&amp;K40&amp;" but no tracker row",IF(AND(L40="Y",K40&lt;&gt;"do_not_contact"),"do_not_contact = Y but status is "&amp;K40,IF(AND(K40="do_not_contact",L40&lt;&gt;"Y"),"status do_not_contact but do_not_contact is not Y",""))))))</f>
        <v/>
      </c>
      <c r="P40" s="23" t="str">
        <f aca="false">IF(signed_offices!W20="","",signed_offices!W20&amp;"")</f>
        <v/>
      </c>
      <c r="Q40" s="23" t="str">
        <f aca="false">IF(P40="","",IFERROR(INDEX(Clay_Offices!$A$2:$FZ$601,MATCH(P40,INDEX(Clay_Offices!$A$2:$FZ$601,0,$C$5),0),$C$7)&amp;"","not in Clay"))</f>
        <v/>
      </c>
      <c r="R40" s="23" t="str">
        <f aca="false">IF(OR(P40="",AND(LEFT(P40,6)="SAMPLE",Config!$B$19&lt;&gt;"Y")),"",IF(Q40="signed","","Clay status is "&amp;Q40&amp;": set signed"))</f>
        <v/>
      </c>
      <c r="T40" s="23" t="str">
        <f aca="false">IF(paid_brands!AC20="","",paid_brands!AC20&amp;"")</f>
        <v/>
      </c>
      <c r="U40" s="23" t="str">
        <f aca="false">IF(T40="","",IFERROR(INDEX(Clay_Brands!$A$2:$FZ$601,MATCH(T40,INDEX(Clay_Brands!$A$2:$FZ$601,0,$D$5),0),$D$7)&amp;"","not in Clay"))</f>
        <v/>
      </c>
      <c r="V40" s="23" t="str">
        <f aca="false">IF(OR(T40="",AND(LEFT(T40,6)="SAMPLE",Config!$B$19&lt;&gt;"Y")),"",IF(U40="paid","","Clay status is "&amp;U40&amp;": set paid"))</f>
        <v/>
      </c>
      <c r="X40" s="23" t="n">
        <v>20</v>
      </c>
      <c r="Y40" s="35" t="str">
        <f aca="false">IF(OR(TRIM(paid_brands!AC20)="",AND(LEFT(paid_brands!AC20,6)="SAMPLE",Config!$B$19&lt;&gt;"Y")),"",IF(AND(N(paid_brands!AE20)&gt;0,N(paid_brands!AV20)+N(paid_brands!AX20)&gt;=N(paid_brands!AE20)),IF(N(paid_brands!AX20)&gt;0,MAX(N(paid_brands!AW20),N(paid_brands!AY20)),N(paid_brands!AW20)),""))</f>
        <v/>
      </c>
    </row>
    <row r="41" customFormat="false" ht="15" hidden="false" customHeight="false" outlineLevel="0" collapsed="false">
      <c r="B41" s="23" t="n">
        <v>20</v>
      </c>
      <c r="C41" s="23" t="str">
        <f aca="false">IFERROR(INDEX(Clay_Offices!$A$2:$FZ$601,B41,$C$5)&amp;"","")</f>
        <v>SAMPLE-O-021</v>
      </c>
      <c r="D41" s="23" t="str">
        <f aca="false">IFERROR(INDEX(Clay_Offices!$A$2:$FZ$601,B41,$C$7)&amp;"","")</f>
        <v>contacted</v>
      </c>
      <c r="E41" s="23" t="str">
        <f aca="false">IFERROR(INDEX(Clay_Offices!$A$2:$FZ$601,B41,$C$8)&amp;"","")</f>
        <v>N</v>
      </c>
      <c r="F41" s="23" t="str">
        <f aca="false">IF(C41="","",IF(COUNTIF(Office_Log!$A$2:$A$201,C41)&gt;0,"Y","N"))</f>
        <v>N</v>
      </c>
      <c r="G41" s="34" t="str">
        <f aca="false">IF(OR(C41="",AND(LEFT(C41,6)="SAMPLE",Config!$B$19&lt;&gt;"Y")),"",IF(IFERROR(INDEX(Lists!$K$2:$K$15,MATCH(D41,Lists!$J$2:$J$15,0)),-1)=-1,"status '"&amp;D41&amp;"' is not a CONTRACTS status",IF(AND(D41="signed",COUNTIF(signed_offices!$W$2:$W$51,C41)=0),"status signed but no signed_offices row"&amp;IF(F41="N"," and no tracker row",""),IF(AND(IFERROR(INDEX(Lists!$K$2:$K$15,MATCH(D41,Lists!$J$2:$J$15,0)),-1)&gt;=6,F41="N"),"status "&amp;D41&amp;" but no tracker row",IF(AND(E41="Y",D41&lt;&gt;"do_not_contact"),"do_not_contact = Y but status is "&amp;D41,IF(AND(D41="do_not_contact",E41&lt;&gt;"Y"),"status do_not_contact but do_not_contact is not Y",""))))))</f>
        <v/>
      </c>
      <c r="I41" s="23" t="n">
        <v>20</v>
      </c>
      <c r="J41" s="23" t="str">
        <f aca="false">IFERROR(INDEX(Clay_Brands!$A$2:$FZ$601,I41,$D$5)&amp;"","")</f>
        <v>SAMPLE-B-020</v>
      </c>
      <c r="K41" s="23" t="str">
        <f aca="false">IFERROR(INDEX(Clay_Brands!$A$2:$FZ$601,I41,$D$7)&amp;"","")</f>
        <v>contacted</v>
      </c>
      <c r="L41" s="23" t="str">
        <f aca="false">IFERROR(INDEX(Clay_Brands!$A$2:$FZ$601,I41,$D$8)&amp;"","")</f>
        <v>N</v>
      </c>
      <c r="M41" s="23" t="str">
        <f aca="false">IF(J41="","",IF(COUNTIF(Brand_Log!$A$2:$A$201,J41)&gt;0,"Y","N"))</f>
        <v>N</v>
      </c>
      <c r="N41" s="34" t="str">
        <f aca="false">IF(OR(J41="",AND(LEFT(J41,6)="SAMPLE",Config!$B$19&lt;&gt;"Y")),"",IF(IFERROR(INDEX(Lists!$K$2:$K$15,MATCH(K41,Lists!$J$2:$J$15,0)),-1)=-1,"status '"&amp;K41&amp;"' is not a CONTRACTS status",IF(AND(K41="paid",COUNTIF(paid_brands!$AC$2:$AC$51,J41)=0),"status paid but no paid_brands row"&amp;IF(M41="N"," and no tracker row",""),IF(AND(IFERROR(INDEX(Lists!$K$2:$K$15,MATCH(K41,Lists!$J$2:$J$15,0)),-1)&gt;=6,M41="N"),"status "&amp;K41&amp;" but no tracker row",IF(AND(L41="Y",K41&lt;&gt;"do_not_contact"),"do_not_contact = Y but status is "&amp;K41,IF(AND(K41="do_not_contact",L41&lt;&gt;"Y"),"status do_not_contact but do_not_contact is not Y",""))))))</f>
        <v/>
      </c>
      <c r="P41" s="23" t="str">
        <f aca="false">IF(signed_offices!W21="","",signed_offices!W21&amp;"")</f>
        <v/>
      </c>
      <c r="Q41" s="23" t="str">
        <f aca="false">IF(P41="","",IFERROR(INDEX(Clay_Offices!$A$2:$FZ$601,MATCH(P41,INDEX(Clay_Offices!$A$2:$FZ$601,0,$C$5),0),$C$7)&amp;"","not in Clay"))</f>
        <v/>
      </c>
      <c r="R41" s="23" t="str">
        <f aca="false">IF(OR(P41="",AND(LEFT(P41,6)="SAMPLE",Config!$B$19&lt;&gt;"Y")),"",IF(Q41="signed","","Clay status is "&amp;Q41&amp;": set signed"))</f>
        <v/>
      </c>
      <c r="T41" s="23" t="str">
        <f aca="false">IF(paid_brands!AC21="","",paid_brands!AC21&amp;"")</f>
        <v/>
      </c>
      <c r="U41" s="23" t="str">
        <f aca="false">IF(T41="","",IFERROR(INDEX(Clay_Brands!$A$2:$FZ$601,MATCH(T41,INDEX(Clay_Brands!$A$2:$FZ$601,0,$D$5),0),$D$7)&amp;"","not in Clay"))</f>
        <v/>
      </c>
      <c r="V41" s="23" t="str">
        <f aca="false">IF(OR(T41="",AND(LEFT(T41,6)="SAMPLE",Config!$B$19&lt;&gt;"Y")),"",IF(U41="paid","","Clay status is "&amp;U41&amp;": set paid"))</f>
        <v/>
      </c>
      <c r="X41" s="23" t="n">
        <v>21</v>
      </c>
      <c r="Y41" s="35" t="str">
        <f aca="false">IF(OR(TRIM(paid_brands!AC21)="",AND(LEFT(paid_brands!AC21,6)="SAMPLE",Config!$B$19&lt;&gt;"Y")),"",IF(AND(N(paid_brands!AE21)&gt;0,N(paid_brands!AV21)+N(paid_brands!AX21)&gt;=N(paid_brands!AE21)),IF(N(paid_brands!AX21)&gt;0,MAX(N(paid_brands!AW21),N(paid_brands!AY21)),N(paid_brands!AW21)),""))</f>
        <v/>
      </c>
    </row>
    <row r="42" customFormat="false" ht="15" hidden="false" customHeight="false" outlineLevel="0" collapsed="false">
      <c r="B42" s="23" t="n">
        <v>21</v>
      </c>
      <c r="C42" s="23" t="str">
        <f aca="false">IFERROR(INDEX(Clay_Offices!$A$2:$FZ$601,B42,$C$5)&amp;"","")</f>
        <v>SAMPLE-O-022</v>
      </c>
      <c r="D42" s="23" t="str">
        <f aca="false">IFERROR(INDEX(Clay_Offices!$A$2:$FZ$601,B42,$C$7)&amp;"","")</f>
        <v>no</v>
      </c>
      <c r="E42" s="23" t="str">
        <f aca="false">IFERROR(INDEX(Clay_Offices!$A$2:$FZ$601,B42,$C$8)&amp;"","")</f>
        <v>N</v>
      </c>
      <c r="F42" s="23" t="str">
        <f aca="false">IF(C42="","",IF(COUNTIF(Office_Log!$A$2:$A$201,C42)&gt;0,"Y","N"))</f>
        <v>N</v>
      </c>
      <c r="G42" s="34" t="str">
        <f aca="false">IF(OR(C42="",AND(LEFT(C42,6)="SAMPLE",Config!$B$19&lt;&gt;"Y")),"",IF(IFERROR(INDEX(Lists!$K$2:$K$15,MATCH(D42,Lists!$J$2:$J$15,0)),-1)=-1,"status '"&amp;D42&amp;"' is not a CONTRACTS status",IF(AND(D42="signed",COUNTIF(signed_offices!$W$2:$W$51,C42)=0),"status signed but no signed_offices row"&amp;IF(F42="N"," and no tracker row",""),IF(AND(IFERROR(INDEX(Lists!$K$2:$K$15,MATCH(D42,Lists!$J$2:$J$15,0)),-1)&gt;=6,F42="N"),"status "&amp;D42&amp;" but no tracker row",IF(AND(E42="Y",D42&lt;&gt;"do_not_contact"),"do_not_contact = Y but status is "&amp;D42,IF(AND(D42="do_not_contact",E42&lt;&gt;"Y"),"status do_not_contact but do_not_contact is not Y",""))))))</f>
        <v/>
      </c>
      <c r="I42" s="23" t="n">
        <v>21</v>
      </c>
      <c r="J42" s="23" t="str">
        <f aca="false">IFERROR(INDEX(Clay_Brands!$A$2:$FZ$601,I42,$D$5)&amp;"","")</f>
        <v>SAMPLE-B-021</v>
      </c>
      <c r="K42" s="23" t="str">
        <f aca="false">IFERROR(INDEX(Clay_Brands!$A$2:$FZ$601,I42,$D$7)&amp;"","")</f>
        <v>paid</v>
      </c>
      <c r="L42" s="23" t="str">
        <f aca="false">IFERROR(INDEX(Clay_Brands!$A$2:$FZ$601,I42,$D$8)&amp;"","")</f>
        <v>N</v>
      </c>
      <c r="M42" s="23" t="str">
        <f aca="false">IF(J42="","",IF(COUNTIF(Brand_Log!$A$2:$A$201,J42)&gt;0,"Y","N"))</f>
        <v>N</v>
      </c>
      <c r="N42" s="34" t="str">
        <f aca="false">IF(OR(J42="",AND(LEFT(J42,6)="SAMPLE",Config!$B$19&lt;&gt;"Y")),"",IF(IFERROR(INDEX(Lists!$K$2:$K$15,MATCH(K42,Lists!$J$2:$J$15,0)),-1)=-1,"status '"&amp;K42&amp;"' is not a CONTRACTS status",IF(AND(K42="paid",COUNTIF(paid_brands!$AC$2:$AC$51,J42)=0),"status paid but no paid_brands row"&amp;IF(M42="N"," and no tracker row",""),IF(AND(IFERROR(INDEX(Lists!$K$2:$K$15,MATCH(K42,Lists!$J$2:$J$15,0)),-1)&gt;=6,M42="N"),"status "&amp;K42&amp;" but no tracker row",IF(AND(L42="Y",K42&lt;&gt;"do_not_contact"),"do_not_contact = Y but status is "&amp;K42,IF(AND(K42="do_not_contact",L42&lt;&gt;"Y"),"status do_not_contact but do_not_contact is not Y",""))))))</f>
        <v>status paid but no paid_brands row and no tracker row</v>
      </c>
      <c r="P42" s="23" t="str">
        <f aca="false">IF(signed_offices!W22="","",signed_offices!W22&amp;"")</f>
        <v/>
      </c>
      <c r="Q42" s="23" t="str">
        <f aca="false">IF(P42="","",IFERROR(INDEX(Clay_Offices!$A$2:$FZ$601,MATCH(P42,INDEX(Clay_Offices!$A$2:$FZ$601,0,$C$5),0),$C$7)&amp;"","not in Clay"))</f>
        <v/>
      </c>
      <c r="R42" s="23" t="str">
        <f aca="false">IF(OR(P42="",AND(LEFT(P42,6)="SAMPLE",Config!$B$19&lt;&gt;"Y")),"",IF(Q42="signed","","Clay status is "&amp;Q42&amp;": set signed"))</f>
        <v/>
      </c>
      <c r="T42" s="23" t="str">
        <f aca="false">IF(paid_brands!AC22="","",paid_brands!AC22&amp;"")</f>
        <v/>
      </c>
      <c r="U42" s="23" t="str">
        <f aca="false">IF(T42="","",IFERROR(INDEX(Clay_Brands!$A$2:$FZ$601,MATCH(T42,INDEX(Clay_Brands!$A$2:$FZ$601,0,$D$5),0),$D$7)&amp;"","not in Clay"))</f>
        <v/>
      </c>
      <c r="V42" s="23" t="str">
        <f aca="false">IF(OR(T42="",AND(LEFT(T42,6)="SAMPLE",Config!$B$19&lt;&gt;"Y")),"",IF(U42="paid","","Clay status is "&amp;U42&amp;": set paid"))</f>
        <v/>
      </c>
      <c r="X42" s="23" t="n">
        <v>22</v>
      </c>
      <c r="Y42" s="35" t="str">
        <f aca="false">IF(OR(TRIM(paid_brands!AC22)="",AND(LEFT(paid_brands!AC22,6)="SAMPLE",Config!$B$19&lt;&gt;"Y")),"",IF(AND(N(paid_brands!AE22)&gt;0,N(paid_brands!AV22)+N(paid_brands!AX22)&gt;=N(paid_brands!AE22)),IF(N(paid_brands!AX22)&gt;0,MAX(N(paid_brands!AW22),N(paid_brands!AY22)),N(paid_brands!AW22)),""))</f>
        <v/>
      </c>
    </row>
    <row r="43" customFormat="false" ht="15" hidden="false" customHeight="false" outlineLevel="0" collapsed="false">
      <c r="B43" s="23" t="n">
        <v>22</v>
      </c>
      <c r="C43" s="23" t="str">
        <f aca="false">IFERROR(INDEX(Clay_Offices!$A$2:$FZ$601,B43,$C$5)&amp;"","")</f>
        <v>SAMPLE-O-023</v>
      </c>
      <c r="D43" s="23" t="str">
        <f aca="false">IFERROR(INDEX(Clay_Offices!$A$2:$FZ$601,B43,$C$7)&amp;"","")</f>
        <v>do_not_contact</v>
      </c>
      <c r="E43" s="23" t="str">
        <f aca="false">IFERROR(INDEX(Clay_Offices!$A$2:$FZ$601,B43,$C$8)&amp;"","")</f>
        <v>Y</v>
      </c>
      <c r="F43" s="23" t="str">
        <f aca="false">IF(C43="","",IF(COUNTIF(Office_Log!$A$2:$A$201,C43)&gt;0,"Y","N"))</f>
        <v>N</v>
      </c>
      <c r="G43" s="34" t="str">
        <f aca="false">IF(OR(C43="",AND(LEFT(C43,6)="SAMPLE",Config!$B$19&lt;&gt;"Y")),"",IF(IFERROR(INDEX(Lists!$K$2:$K$15,MATCH(D43,Lists!$J$2:$J$15,0)),-1)=-1,"status '"&amp;D43&amp;"' is not a CONTRACTS status",IF(AND(D43="signed",COUNTIF(signed_offices!$W$2:$W$51,C43)=0),"status signed but no signed_offices row"&amp;IF(F43="N"," and no tracker row",""),IF(AND(IFERROR(INDEX(Lists!$K$2:$K$15,MATCH(D43,Lists!$J$2:$J$15,0)),-1)&gt;=6,F43="N"),"status "&amp;D43&amp;" but no tracker row",IF(AND(E43="Y",D43&lt;&gt;"do_not_contact"),"do_not_contact = Y but status is "&amp;D43,IF(AND(D43="do_not_contact",E43&lt;&gt;"Y"),"status do_not_contact but do_not_contact is not Y",""))))))</f>
        <v/>
      </c>
      <c r="I43" s="23" t="n">
        <v>22</v>
      </c>
      <c r="J43" s="23" t="str">
        <f aca="false">IFERROR(INDEX(Clay_Brands!$A$2:$FZ$601,I43,$D$5)&amp;"","")</f>
        <v>SAMPLE-B-022</v>
      </c>
      <c r="K43" s="23" t="str">
        <f aca="false">IFERROR(INDEX(Clay_Brands!$A$2:$FZ$601,I43,$D$7)&amp;"","")</f>
        <v>no</v>
      </c>
      <c r="L43" s="23" t="str">
        <f aca="false">IFERROR(INDEX(Clay_Brands!$A$2:$FZ$601,I43,$D$8)&amp;"","")</f>
        <v>N</v>
      </c>
      <c r="M43" s="23" t="str">
        <f aca="false">IF(J43="","",IF(COUNTIF(Brand_Log!$A$2:$A$201,J43)&gt;0,"Y","N"))</f>
        <v>N</v>
      </c>
      <c r="N43" s="34" t="str">
        <f aca="false">IF(OR(J43="",AND(LEFT(J43,6)="SAMPLE",Config!$B$19&lt;&gt;"Y")),"",IF(IFERROR(INDEX(Lists!$K$2:$K$15,MATCH(K43,Lists!$J$2:$J$15,0)),-1)=-1,"status '"&amp;K43&amp;"' is not a CONTRACTS status",IF(AND(K43="paid",COUNTIF(paid_brands!$AC$2:$AC$51,J43)=0),"status paid but no paid_brands row"&amp;IF(M43="N"," and no tracker row",""),IF(AND(IFERROR(INDEX(Lists!$K$2:$K$15,MATCH(K43,Lists!$J$2:$J$15,0)),-1)&gt;=6,M43="N"),"status "&amp;K43&amp;" but no tracker row",IF(AND(L43="Y",K43&lt;&gt;"do_not_contact"),"do_not_contact = Y but status is "&amp;K43,IF(AND(K43="do_not_contact",L43&lt;&gt;"Y"),"status do_not_contact but do_not_contact is not Y",""))))))</f>
        <v/>
      </c>
      <c r="P43" s="23" t="str">
        <f aca="false">IF(signed_offices!W23="","",signed_offices!W23&amp;"")</f>
        <v/>
      </c>
      <c r="Q43" s="23" t="str">
        <f aca="false">IF(P43="","",IFERROR(INDEX(Clay_Offices!$A$2:$FZ$601,MATCH(P43,INDEX(Clay_Offices!$A$2:$FZ$601,0,$C$5),0),$C$7)&amp;"","not in Clay"))</f>
        <v/>
      </c>
      <c r="R43" s="23" t="str">
        <f aca="false">IF(OR(P43="",AND(LEFT(P43,6)="SAMPLE",Config!$B$19&lt;&gt;"Y")),"",IF(Q43="signed","","Clay status is "&amp;Q43&amp;": set signed"))</f>
        <v/>
      </c>
      <c r="T43" s="23" t="str">
        <f aca="false">IF(paid_brands!AC23="","",paid_brands!AC23&amp;"")</f>
        <v/>
      </c>
      <c r="U43" s="23" t="str">
        <f aca="false">IF(T43="","",IFERROR(INDEX(Clay_Brands!$A$2:$FZ$601,MATCH(T43,INDEX(Clay_Brands!$A$2:$FZ$601,0,$D$5),0),$D$7)&amp;"","not in Clay"))</f>
        <v/>
      </c>
      <c r="V43" s="23" t="str">
        <f aca="false">IF(OR(T43="",AND(LEFT(T43,6)="SAMPLE",Config!$B$19&lt;&gt;"Y")),"",IF(U43="paid","","Clay status is "&amp;U43&amp;": set paid"))</f>
        <v/>
      </c>
      <c r="X43" s="23" t="n">
        <v>23</v>
      </c>
      <c r="Y43" s="35" t="str">
        <f aca="false">IF(OR(TRIM(paid_brands!AC23)="",AND(LEFT(paid_brands!AC23,6)="SAMPLE",Config!$B$19&lt;&gt;"Y")),"",IF(AND(N(paid_brands!AE23)&gt;0,N(paid_brands!AV23)+N(paid_brands!AX23)&gt;=N(paid_brands!AE23)),IF(N(paid_brands!AX23)&gt;0,MAX(N(paid_brands!AW23),N(paid_brands!AY23)),N(paid_brands!AW23)),""))</f>
        <v/>
      </c>
    </row>
    <row r="44" customFormat="false" ht="15" hidden="false" customHeight="false" outlineLevel="0" collapsed="false">
      <c r="B44" s="23" t="n">
        <v>23</v>
      </c>
      <c r="C44" s="23" t="str">
        <f aca="false">IFERROR(INDEX(Clay_Offices!$A$2:$FZ$601,B44,$C$5)&amp;"","")</f>
        <v>SAMPLE-O-024</v>
      </c>
      <c r="D44" s="23" t="str">
        <f aca="false">IFERROR(INDEX(Clay_Offices!$A$2:$FZ$601,B44,$C$7)&amp;"","")</f>
        <v>contacted</v>
      </c>
      <c r="E44" s="23" t="str">
        <f aca="false">IFERROR(INDEX(Clay_Offices!$A$2:$FZ$601,B44,$C$8)&amp;"","")</f>
        <v>N</v>
      </c>
      <c r="F44" s="23" t="str">
        <f aca="false">IF(C44="","",IF(COUNTIF(Office_Log!$A$2:$A$201,C44)&gt;0,"Y","N"))</f>
        <v>N</v>
      </c>
      <c r="G44" s="34" t="str">
        <f aca="false">IF(OR(C44="",AND(LEFT(C44,6)="SAMPLE",Config!$B$19&lt;&gt;"Y")),"",IF(IFERROR(INDEX(Lists!$K$2:$K$15,MATCH(D44,Lists!$J$2:$J$15,0)),-1)=-1,"status '"&amp;D44&amp;"' is not a CONTRACTS status",IF(AND(D44="signed",COUNTIF(signed_offices!$W$2:$W$51,C44)=0),"status signed but no signed_offices row"&amp;IF(F44="N"," and no tracker row",""),IF(AND(IFERROR(INDEX(Lists!$K$2:$K$15,MATCH(D44,Lists!$J$2:$J$15,0)),-1)&gt;=6,F44="N"),"status "&amp;D44&amp;" but no tracker row",IF(AND(E44="Y",D44&lt;&gt;"do_not_contact"),"do_not_contact = Y but status is "&amp;D44,IF(AND(D44="do_not_contact",E44&lt;&gt;"Y"),"status do_not_contact but do_not_contact is not Y",""))))))</f>
        <v/>
      </c>
      <c r="I44" s="23" t="n">
        <v>23</v>
      </c>
      <c r="J44" s="23" t="str">
        <f aca="false">IFERROR(INDEX(Clay_Brands!$A$2:$FZ$601,I44,$D$5)&amp;"","")</f>
        <v>SAMPLE-B-023</v>
      </c>
      <c r="K44" s="23" t="str">
        <f aca="false">IFERROR(INDEX(Clay_Brands!$A$2:$FZ$601,I44,$D$7)&amp;"","")</f>
        <v>do_not_contact</v>
      </c>
      <c r="L44" s="23" t="str">
        <f aca="false">IFERROR(INDEX(Clay_Brands!$A$2:$FZ$601,I44,$D$8)&amp;"","")</f>
        <v>Y</v>
      </c>
      <c r="M44" s="23" t="str">
        <f aca="false">IF(J44="","",IF(COUNTIF(Brand_Log!$A$2:$A$201,J44)&gt;0,"Y","N"))</f>
        <v>N</v>
      </c>
      <c r="N44" s="34" t="str">
        <f aca="false">IF(OR(J44="",AND(LEFT(J44,6)="SAMPLE",Config!$B$19&lt;&gt;"Y")),"",IF(IFERROR(INDEX(Lists!$K$2:$K$15,MATCH(K44,Lists!$J$2:$J$15,0)),-1)=-1,"status '"&amp;K44&amp;"' is not a CONTRACTS status",IF(AND(K44="paid",COUNTIF(paid_brands!$AC$2:$AC$51,J44)=0),"status paid but no paid_brands row"&amp;IF(M44="N"," and no tracker row",""),IF(AND(IFERROR(INDEX(Lists!$K$2:$K$15,MATCH(K44,Lists!$J$2:$J$15,0)),-1)&gt;=6,M44="N"),"status "&amp;K44&amp;" but no tracker row",IF(AND(L44="Y",K44&lt;&gt;"do_not_contact"),"do_not_contact = Y but status is "&amp;K44,IF(AND(K44="do_not_contact",L44&lt;&gt;"Y"),"status do_not_contact but do_not_contact is not Y",""))))))</f>
        <v/>
      </c>
      <c r="P44" s="23" t="str">
        <f aca="false">IF(signed_offices!W24="","",signed_offices!W24&amp;"")</f>
        <v/>
      </c>
      <c r="Q44" s="23" t="str">
        <f aca="false">IF(P44="","",IFERROR(INDEX(Clay_Offices!$A$2:$FZ$601,MATCH(P44,INDEX(Clay_Offices!$A$2:$FZ$601,0,$C$5),0),$C$7)&amp;"","not in Clay"))</f>
        <v/>
      </c>
      <c r="R44" s="23" t="str">
        <f aca="false">IF(OR(P44="",AND(LEFT(P44,6)="SAMPLE",Config!$B$19&lt;&gt;"Y")),"",IF(Q44="signed","","Clay status is "&amp;Q44&amp;": set signed"))</f>
        <v/>
      </c>
      <c r="T44" s="23" t="str">
        <f aca="false">IF(paid_brands!AC24="","",paid_brands!AC24&amp;"")</f>
        <v/>
      </c>
      <c r="U44" s="23" t="str">
        <f aca="false">IF(T44="","",IFERROR(INDEX(Clay_Brands!$A$2:$FZ$601,MATCH(T44,INDEX(Clay_Brands!$A$2:$FZ$601,0,$D$5),0),$D$7)&amp;"","not in Clay"))</f>
        <v/>
      </c>
      <c r="V44" s="23" t="str">
        <f aca="false">IF(OR(T44="",AND(LEFT(T44,6)="SAMPLE",Config!$B$19&lt;&gt;"Y")),"",IF(U44="paid","","Clay status is "&amp;U44&amp;": set paid"))</f>
        <v/>
      </c>
      <c r="X44" s="23" t="n">
        <v>24</v>
      </c>
      <c r="Y44" s="35" t="str">
        <f aca="false">IF(OR(TRIM(paid_brands!AC24)="",AND(LEFT(paid_brands!AC24,6)="SAMPLE",Config!$B$19&lt;&gt;"Y")),"",IF(AND(N(paid_brands!AE24)&gt;0,N(paid_brands!AV24)+N(paid_brands!AX24)&gt;=N(paid_brands!AE24)),IF(N(paid_brands!AX24)&gt;0,MAX(N(paid_brands!AW24),N(paid_brands!AY24)),N(paid_brands!AW24)),""))</f>
        <v/>
      </c>
    </row>
    <row r="45" customFormat="false" ht="15" hidden="false" customHeight="false" outlineLevel="0" collapsed="false">
      <c r="B45" s="23" t="n">
        <v>24</v>
      </c>
      <c r="C45" s="23" t="str">
        <f aca="false">IFERROR(INDEX(Clay_Offices!$A$2:$FZ$601,B45,$C$5)&amp;"","")</f>
        <v>SAMPLE-O-025</v>
      </c>
      <c r="D45" s="23" t="str">
        <f aca="false">IFERROR(INDEX(Clay_Offices!$A$2:$FZ$601,B45,$C$7)&amp;"","")</f>
        <v>contacted</v>
      </c>
      <c r="E45" s="23" t="str">
        <f aca="false">IFERROR(INDEX(Clay_Offices!$A$2:$FZ$601,B45,$C$8)&amp;"","")</f>
        <v>N</v>
      </c>
      <c r="F45" s="23" t="str">
        <f aca="false">IF(C45="","",IF(COUNTIF(Office_Log!$A$2:$A$201,C45)&gt;0,"Y","N"))</f>
        <v>N</v>
      </c>
      <c r="G45" s="34" t="str">
        <f aca="false">IF(OR(C45="",AND(LEFT(C45,6)="SAMPLE",Config!$B$19&lt;&gt;"Y")),"",IF(IFERROR(INDEX(Lists!$K$2:$K$15,MATCH(D45,Lists!$J$2:$J$15,0)),-1)=-1,"status '"&amp;D45&amp;"' is not a CONTRACTS status",IF(AND(D45="signed",COUNTIF(signed_offices!$W$2:$W$51,C45)=0),"status signed but no signed_offices row"&amp;IF(F45="N"," and no tracker row",""),IF(AND(IFERROR(INDEX(Lists!$K$2:$K$15,MATCH(D45,Lists!$J$2:$J$15,0)),-1)&gt;=6,F45="N"),"status "&amp;D45&amp;" but no tracker row",IF(AND(E45="Y",D45&lt;&gt;"do_not_contact"),"do_not_contact = Y but status is "&amp;D45,IF(AND(D45="do_not_contact",E45&lt;&gt;"Y"),"status do_not_contact but do_not_contact is not Y",""))))))</f>
        <v/>
      </c>
      <c r="I45" s="23" t="n">
        <v>24</v>
      </c>
      <c r="J45" s="23" t="str">
        <f aca="false">IFERROR(INDEX(Clay_Brands!$A$2:$FZ$601,I45,$D$5)&amp;"","")</f>
        <v>SAMPLE-B-024</v>
      </c>
      <c r="K45" s="23" t="str">
        <f aca="false">IFERROR(INDEX(Clay_Brands!$A$2:$FZ$601,I45,$D$7)&amp;"","")</f>
        <v>contacted</v>
      </c>
      <c r="L45" s="23" t="str">
        <f aca="false">IFERROR(INDEX(Clay_Brands!$A$2:$FZ$601,I45,$D$8)&amp;"","")</f>
        <v>N</v>
      </c>
      <c r="M45" s="23" t="str">
        <f aca="false">IF(J45="","",IF(COUNTIF(Brand_Log!$A$2:$A$201,J45)&gt;0,"Y","N"))</f>
        <v>N</v>
      </c>
      <c r="N45" s="34" t="str">
        <f aca="false">IF(OR(J45="",AND(LEFT(J45,6)="SAMPLE",Config!$B$19&lt;&gt;"Y")),"",IF(IFERROR(INDEX(Lists!$K$2:$K$15,MATCH(K45,Lists!$J$2:$J$15,0)),-1)=-1,"status '"&amp;K45&amp;"' is not a CONTRACTS status",IF(AND(K45="paid",COUNTIF(paid_brands!$AC$2:$AC$51,J45)=0),"status paid but no paid_brands row"&amp;IF(M45="N"," and no tracker row",""),IF(AND(IFERROR(INDEX(Lists!$K$2:$K$15,MATCH(K45,Lists!$J$2:$J$15,0)),-1)&gt;=6,M45="N"),"status "&amp;K45&amp;" but no tracker row",IF(AND(L45="Y",K45&lt;&gt;"do_not_contact"),"do_not_contact = Y but status is "&amp;K45,IF(AND(K45="do_not_contact",L45&lt;&gt;"Y"),"status do_not_contact but do_not_contact is not Y",""))))))</f>
        <v/>
      </c>
      <c r="P45" s="23" t="str">
        <f aca="false">IF(signed_offices!W25="","",signed_offices!W25&amp;"")</f>
        <v/>
      </c>
      <c r="Q45" s="23" t="str">
        <f aca="false">IF(P45="","",IFERROR(INDEX(Clay_Offices!$A$2:$FZ$601,MATCH(P45,INDEX(Clay_Offices!$A$2:$FZ$601,0,$C$5),0),$C$7)&amp;"","not in Clay"))</f>
        <v/>
      </c>
      <c r="R45" s="23" t="str">
        <f aca="false">IF(OR(P45="",AND(LEFT(P45,6)="SAMPLE",Config!$B$19&lt;&gt;"Y")),"",IF(Q45="signed","","Clay status is "&amp;Q45&amp;": set signed"))</f>
        <v/>
      </c>
      <c r="T45" s="23" t="str">
        <f aca="false">IF(paid_brands!AC25="","",paid_brands!AC25&amp;"")</f>
        <v/>
      </c>
      <c r="U45" s="23" t="str">
        <f aca="false">IF(T45="","",IFERROR(INDEX(Clay_Brands!$A$2:$FZ$601,MATCH(T45,INDEX(Clay_Brands!$A$2:$FZ$601,0,$D$5),0),$D$7)&amp;"","not in Clay"))</f>
        <v/>
      </c>
      <c r="V45" s="23" t="str">
        <f aca="false">IF(OR(T45="",AND(LEFT(T45,6)="SAMPLE",Config!$B$19&lt;&gt;"Y")),"",IF(U45="paid","","Clay status is "&amp;U45&amp;": set paid"))</f>
        <v/>
      </c>
      <c r="X45" s="23" t="n">
        <v>25</v>
      </c>
      <c r="Y45" s="35" t="str">
        <f aca="false">IF(OR(TRIM(paid_brands!AC25)="",AND(LEFT(paid_brands!AC25,6)="SAMPLE",Config!$B$19&lt;&gt;"Y")),"",IF(AND(N(paid_brands!AE25)&gt;0,N(paid_brands!AV25)+N(paid_brands!AX25)&gt;=N(paid_brands!AE25)),IF(N(paid_brands!AX25)&gt;0,MAX(N(paid_brands!AW25),N(paid_brands!AY25)),N(paid_brands!AW25)),""))</f>
        <v/>
      </c>
    </row>
    <row r="46" customFormat="false" ht="15" hidden="false" customHeight="false" outlineLevel="0" collapsed="false">
      <c r="B46" s="23" t="n">
        <v>25</v>
      </c>
      <c r="C46" s="23" t="str">
        <f aca="false">IFERROR(INDEX(Clay_Offices!$A$2:$FZ$601,B46,$C$5)&amp;"","")</f>
        <v>SAMPLE-O-026</v>
      </c>
      <c r="D46" s="23" t="str">
        <f aca="false">IFERROR(INDEX(Clay_Offices!$A$2:$FZ$601,B46,$C$7)&amp;"","")</f>
        <v>not_now</v>
      </c>
      <c r="E46" s="23" t="str">
        <f aca="false">IFERROR(INDEX(Clay_Offices!$A$2:$FZ$601,B46,$C$8)&amp;"","")</f>
        <v>N</v>
      </c>
      <c r="F46" s="23" t="str">
        <f aca="false">IF(C46="","",IF(COUNTIF(Office_Log!$A$2:$A$201,C46)&gt;0,"Y","N"))</f>
        <v>N</v>
      </c>
      <c r="G46" s="34" t="str">
        <f aca="false">IF(OR(C46="",AND(LEFT(C46,6)="SAMPLE",Config!$B$19&lt;&gt;"Y")),"",IF(IFERROR(INDEX(Lists!$K$2:$K$15,MATCH(D46,Lists!$J$2:$J$15,0)),-1)=-1,"status '"&amp;D46&amp;"' is not a CONTRACTS status",IF(AND(D46="signed",COUNTIF(signed_offices!$W$2:$W$51,C46)=0),"status signed but no signed_offices row"&amp;IF(F46="N"," and no tracker row",""),IF(AND(IFERROR(INDEX(Lists!$K$2:$K$15,MATCH(D46,Lists!$J$2:$J$15,0)),-1)&gt;=6,F46="N"),"status "&amp;D46&amp;" but no tracker row",IF(AND(E46="Y",D46&lt;&gt;"do_not_contact"),"do_not_contact = Y but status is "&amp;D46,IF(AND(D46="do_not_contact",E46&lt;&gt;"Y"),"status do_not_contact but do_not_contact is not Y",""))))))</f>
        <v/>
      </c>
      <c r="I46" s="23" t="n">
        <v>25</v>
      </c>
      <c r="J46" s="23" t="str">
        <f aca="false">IFERROR(INDEX(Clay_Brands!$A$2:$FZ$601,I46,$D$5)&amp;"","")</f>
        <v>SAMPLE-B-025</v>
      </c>
      <c r="K46" s="23" t="str">
        <f aca="false">IFERROR(INDEX(Clay_Brands!$A$2:$FZ$601,I46,$D$7)&amp;"","")</f>
        <v>contacted</v>
      </c>
      <c r="L46" s="23" t="str">
        <f aca="false">IFERROR(INDEX(Clay_Brands!$A$2:$FZ$601,I46,$D$8)&amp;"","")</f>
        <v>N</v>
      </c>
      <c r="M46" s="23" t="str">
        <f aca="false">IF(J46="","",IF(COUNTIF(Brand_Log!$A$2:$A$201,J46)&gt;0,"Y","N"))</f>
        <v>N</v>
      </c>
      <c r="N46" s="34" t="str">
        <f aca="false">IF(OR(J46="",AND(LEFT(J46,6)="SAMPLE",Config!$B$19&lt;&gt;"Y")),"",IF(IFERROR(INDEX(Lists!$K$2:$K$15,MATCH(K46,Lists!$J$2:$J$15,0)),-1)=-1,"status '"&amp;K46&amp;"' is not a CONTRACTS status",IF(AND(K46="paid",COUNTIF(paid_brands!$AC$2:$AC$51,J46)=0),"status paid but no paid_brands row"&amp;IF(M46="N"," and no tracker row",""),IF(AND(IFERROR(INDEX(Lists!$K$2:$K$15,MATCH(K46,Lists!$J$2:$J$15,0)),-1)&gt;=6,M46="N"),"status "&amp;K46&amp;" but no tracker row",IF(AND(L46="Y",K46&lt;&gt;"do_not_contact"),"do_not_contact = Y but status is "&amp;K46,IF(AND(K46="do_not_contact",L46&lt;&gt;"Y"),"status do_not_contact but do_not_contact is not Y",""))))))</f>
        <v/>
      </c>
      <c r="P46" s="23" t="str">
        <f aca="false">IF(signed_offices!W26="","",signed_offices!W26&amp;"")</f>
        <v/>
      </c>
      <c r="Q46" s="23" t="str">
        <f aca="false">IF(P46="","",IFERROR(INDEX(Clay_Offices!$A$2:$FZ$601,MATCH(P46,INDEX(Clay_Offices!$A$2:$FZ$601,0,$C$5),0),$C$7)&amp;"","not in Clay"))</f>
        <v/>
      </c>
      <c r="R46" s="23" t="str">
        <f aca="false">IF(OR(P46="",AND(LEFT(P46,6)="SAMPLE",Config!$B$19&lt;&gt;"Y")),"",IF(Q46="signed","","Clay status is "&amp;Q46&amp;": set signed"))</f>
        <v/>
      </c>
      <c r="T46" s="23" t="str">
        <f aca="false">IF(paid_brands!AC26="","",paid_brands!AC26&amp;"")</f>
        <v/>
      </c>
      <c r="U46" s="23" t="str">
        <f aca="false">IF(T46="","",IFERROR(INDEX(Clay_Brands!$A$2:$FZ$601,MATCH(T46,INDEX(Clay_Brands!$A$2:$FZ$601,0,$D$5),0),$D$7)&amp;"","not in Clay"))</f>
        <v/>
      </c>
      <c r="V46" s="23" t="str">
        <f aca="false">IF(OR(T46="",AND(LEFT(T46,6)="SAMPLE",Config!$B$19&lt;&gt;"Y")),"",IF(U46="paid","","Clay status is "&amp;U46&amp;": set paid"))</f>
        <v/>
      </c>
      <c r="X46" s="23" t="n">
        <v>26</v>
      </c>
      <c r="Y46" s="35" t="str">
        <f aca="false">IF(OR(TRIM(paid_brands!AC26)="",AND(LEFT(paid_brands!AC26,6)="SAMPLE",Config!$B$19&lt;&gt;"Y")),"",IF(AND(N(paid_brands!AE26)&gt;0,N(paid_brands!AV26)+N(paid_brands!AX26)&gt;=N(paid_brands!AE26)),IF(N(paid_brands!AX26)&gt;0,MAX(N(paid_brands!AW26),N(paid_brands!AY26)),N(paid_brands!AW26)),""))</f>
        <v/>
      </c>
    </row>
    <row r="47" customFormat="false" ht="15" hidden="false" customHeight="false" outlineLevel="0" collapsed="false">
      <c r="B47" s="23" t="n">
        <v>26</v>
      </c>
      <c r="C47" s="23" t="str">
        <f aca="false">IFERROR(INDEX(Clay_Offices!$A$2:$FZ$601,B47,$C$5)&amp;"","")</f>
        <v>SAMPLE-O-027</v>
      </c>
      <c r="D47" s="23" t="str">
        <f aca="false">IFERROR(INDEX(Clay_Offices!$A$2:$FZ$601,B47,$C$7)&amp;"","")</f>
        <v>contacted</v>
      </c>
      <c r="E47" s="23" t="str">
        <f aca="false">IFERROR(INDEX(Clay_Offices!$A$2:$FZ$601,B47,$C$8)&amp;"","")</f>
        <v>N</v>
      </c>
      <c r="F47" s="23" t="str">
        <f aca="false">IF(C47="","",IF(COUNTIF(Office_Log!$A$2:$A$201,C47)&gt;0,"Y","N"))</f>
        <v>N</v>
      </c>
      <c r="G47" s="34" t="str">
        <f aca="false">IF(OR(C47="",AND(LEFT(C47,6)="SAMPLE",Config!$B$19&lt;&gt;"Y")),"",IF(IFERROR(INDEX(Lists!$K$2:$K$15,MATCH(D47,Lists!$J$2:$J$15,0)),-1)=-1,"status '"&amp;D47&amp;"' is not a CONTRACTS status",IF(AND(D47="signed",COUNTIF(signed_offices!$W$2:$W$51,C47)=0),"status signed but no signed_offices row"&amp;IF(F47="N"," and no tracker row",""),IF(AND(IFERROR(INDEX(Lists!$K$2:$K$15,MATCH(D47,Lists!$J$2:$J$15,0)),-1)&gt;=6,F47="N"),"status "&amp;D47&amp;" but no tracker row",IF(AND(E47="Y",D47&lt;&gt;"do_not_contact"),"do_not_contact = Y but status is "&amp;D47,IF(AND(D47="do_not_contact",E47&lt;&gt;"Y"),"status do_not_contact but do_not_contact is not Y",""))))))</f>
        <v/>
      </c>
      <c r="I47" s="23" t="n">
        <v>26</v>
      </c>
      <c r="J47" s="23" t="str">
        <f aca="false">IFERROR(INDEX(Clay_Brands!$A$2:$FZ$601,I47,$D$5)&amp;"","")</f>
        <v>SAMPLE-B-026</v>
      </c>
      <c r="K47" s="23" t="str">
        <f aca="false">IFERROR(INDEX(Clay_Brands!$A$2:$FZ$601,I47,$D$7)&amp;"","")</f>
        <v>not_now</v>
      </c>
      <c r="L47" s="23" t="str">
        <f aca="false">IFERROR(INDEX(Clay_Brands!$A$2:$FZ$601,I47,$D$8)&amp;"","")</f>
        <v>N</v>
      </c>
      <c r="M47" s="23" t="str">
        <f aca="false">IF(J47="","",IF(COUNTIF(Brand_Log!$A$2:$A$201,J47)&gt;0,"Y","N"))</f>
        <v>N</v>
      </c>
      <c r="N47" s="34" t="str">
        <f aca="false">IF(OR(J47="",AND(LEFT(J47,6)="SAMPLE",Config!$B$19&lt;&gt;"Y")),"",IF(IFERROR(INDEX(Lists!$K$2:$K$15,MATCH(K47,Lists!$J$2:$J$15,0)),-1)=-1,"status '"&amp;K47&amp;"' is not a CONTRACTS status",IF(AND(K47="paid",COUNTIF(paid_brands!$AC$2:$AC$51,J47)=0),"status paid but no paid_brands row"&amp;IF(M47="N"," and no tracker row",""),IF(AND(IFERROR(INDEX(Lists!$K$2:$K$15,MATCH(K47,Lists!$J$2:$J$15,0)),-1)&gt;=6,M47="N"),"status "&amp;K47&amp;" but no tracker row",IF(AND(L47="Y",K47&lt;&gt;"do_not_contact"),"do_not_contact = Y but status is "&amp;K47,IF(AND(K47="do_not_contact",L47&lt;&gt;"Y"),"status do_not_contact but do_not_contact is not Y",""))))))</f>
        <v/>
      </c>
      <c r="P47" s="23" t="str">
        <f aca="false">IF(signed_offices!W27="","",signed_offices!W27&amp;"")</f>
        <v/>
      </c>
      <c r="Q47" s="23" t="str">
        <f aca="false">IF(P47="","",IFERROR(INDEX(Clay_Offices!$A$2:$FZ$601,MATCH(P47,INDEX(Clay_Offices!$A$2:$FZ$601,0,$C$5),0),$C$7)&amp;"","not in Clay"))</f>
        <v/>
      </c>
      <c r="R47" s="23" t="str">
        <f aca="false">IF(OR(P47="",AND(LEFT(P47,6)="SAMPLE",Config!$B$19&lt;&gt;"Y")),"",IF(Q47="signed","","Clay status is "&amp;Q47&amp;": set signed"))</f>
        <v/>
      </c>
      <c r="T47" s="23" t="str">
        <f aca="false">IF(paid_brands!AC27="","",paid_brands!AC27&amp;"")</f>
        <v/>
      </c>
      <c r="U47" s="23" t="str">
        <f aca="false">IF(T47="","",IFERROR(INDEX(Clay_Brands!$A$2:$FZ$601,MATCH(T47,INDEX(Clay_Brands!$A$2:$FZ$601,0,$D$5),0),$D$7)&amp;"","not in Clay"))</f>
        <v/>
      </c>
      <c r="V47" s="23" t="str">
        <f aca="false">IF(OR(T47="",AND(LEFT(T47,6)="SAMPLE",Config!$B$19&lt;&gt;"Y")),"",IF(U47="paid","","Clay status is "&amp;U47&amp;": set paid"))</f>
        <v/>
      </c>
      <c r="X47" s="23" t="n">
        <v>27</v>
      </c>
      <c r="Y47" s="35" t="str">
        <f aca="false">IF(OR(TRIM(paid_brands!AC27)="",AND(LEFT(paid_brands!AC27,6)="SAMPLE",Config!$B$19&lt;&gt;"Y")),"",IF(AND(N(paid_brands!AE27)&gt;0,N(paid_brands!AV27)+N(paid_brands!AX27)&gt;=N(paid_brands!AE27)),IF(N(paid_brands!AX27)&gt;0,MAX(N(paid_brands!AW27),N(paid_brands!AY27)),N(paid_brands!AW27)),""))</f>
        <v/>
      </c>
    </row>
    <row r="48" customFormat="false" ht="15" hidden="false" customHeight="false" outlineLevel="0" collapsed="false">
      <c r="B48" s="23" t="n">
        <v>27</v>
      </c>
      <c r="C48" s="23" t="str">
        <f aca="false">IFERROR(INDEX(Clay_Offices!$A$2:$FZ$601,B48,$C$5)&amp;"","")</f>
        <v>SAMPLE-O-028</v>
      </c>
      <c r="D48" s="23" t="str">
        <f aca="false">IFERROR(INDEX(Clay_Offices!$A$2:$FZ$601,B48,$C$7)&amp;"","")</f>
        <v>replied</v>
      </c>
      <c r="E48" s="23" t="str">
        <f aca="false">IFERROR(INDEX(Clay_Offices!$A$2:$FZ$601,B48,$C$8)&amp;"","")</f>
        <v>N</v>
      </c>
      <c r="F48" s="23" t="str">
        <f aca="false">IF(C48="","",IF(COUNTIF(Office_Log!$A$2:$A$201,C48)&gt;0,"Y","N"))</f>
        <v>N</v>
      </c>
      <c r="G48" s="34" t="str">
        <f aca="false">IF(OR(C48="",AND(LEFT(C48,6)="SAMPLE",Config!$B$19&lt;&gt;"Y")),"",IF(IFERROR(INDEX(Lists!$K$2:$K$15,MATCH(D48,Lists!$J$2:$J$15,0)),-1)=-1,"status '"&amp;D48&amp;"' is not a CONTRACTS status",IF(AND(D48="signed",COUNTIF(signed_offices!$W$2:$W$51,C48)=0),"status signed but no signed_offices row"&amp;IF(F48="N"," and no tracker row",""),IF(AND(IFERROR(INDEX(Lists!$K$2:$K$15,MATCH(D48,Lists!$J$2:$J$15,0)),-1)&gt;=6,F48="N"),"status "&amp;D48&amp;" but no tracker row",IF(AND(E48="Y",D48&lt;&gt;"do_not_contact"),"do_not_contact = Y but status is "&amp;D48,IF(AND(D48="do_not_contact",E48&lt;&gt;"Y"),"status do_not_contact but do_not_contact is not Y",""))))))</f>
        <v/>
      </c>
      <c r="I48" s="23" t="n">
        <v>27</v>
      </c>
      <c r="J48" s="23" t="str">
        <f aca="false">IFERROR(INDEX(Clay_Brands!$A$2:$FZ$601,I48,$D$5)&amp;"","")</f>
        <v>SAMPLE-B-027</v>
      </c>
      <c r="K48" s="23" t="str">
        <f aca="false">IFERROR(INDEX(Clay_Brands!$A$2:$FZ$601,I48,$D$7)&amp;"","")</f>
        <v>contacted</v>
      </c>
      <c r="L48" s="23" t="str">
        <f aca="false">IFERROR(INDEX(Clay_Brands!$A$2:$FZ$601,I48,$D$8)&amp;"","")</f>
        <v>N</v>
      </c>
      <c r="M48" s="23" t="str">
        <f aca="false">IF(J48="","",IF(COUNTIF(Brand_Log!$A$2:$A$201,J48)&gt;0,"Y","N"))</f>
        <v>N</v>
      </c>
      <c r="N48" s="34" t="str">
        <f aca="false">IF(OR(J48="",AND(LEFT(J48,6)="SAMPLE",Config!$B$19&lt;&gt;"Y")),"",IF(IFERROR(INDEX(Lists!$K$2:$K$15,MATCH(K48,Lists!$J$2:$J$15,0)),-1)=-1,"status '"&amp;K48&amp;"' is not a CONTRACTS status",IF(AND(K48="paid",COUNTIF(paid_brands!$AC$2:$AC$51,J48)=0),"status paid but no paid_brands row"&amp;IF(M48="N"," and no tracker row",""),IF(AND(IFERROR(INDEX(Lists!$K$2:$K$15,MATCH(K48,Lists!$J$2:$J$15,0)),-1)&gt;=6,M48="N"),"status "&amp;K48&amp;" but no tracker row",IF(AND(L48="Y",K48&lt;&gt;"do_not_contact"),"do_not_contact = Y but status is "&amp;K48,IF(AND(K48="do_not_contact",L48&lt;&gt;"Y"),"status do_not_contact but do_not_contact is not Y",""))))))</f>
        <v/>
      </c>
      <c r="P48" s="23" t="str">
        <f aca="false">IF(signed_offices!W28="","",signed_offices!W28&amp;"")</f>
        <v/>
      </c>
      <c r="Q48" s="23" t="str">
        <f aca="false">IF(P48="","",IFERROR(INDEX(Clay_Offices!$A$2:$FZ$601,MATCH(P48,INDEX(Clay_Offices!$A$2:$FZ$601,0,$C$5),0),$C$7)&amp;"","not in Clay"))</f>
        <v/>
      </c>
      <c r="R48" s="23" t="str">
        <f aca="false">IF(OR(P48="",AND(LEFT(P48,6)="SAMPLE",Config!$B$19&lt;&gt;"Y")),"",IF(Q48="signed","","Clay status is "&amp;Q48&amp;": set signed"))</f>
        <v/>
      </c>
      <c r="T48" s="23" t="str">
        <f aca="false">IF(paid_brands!AC28="","",paid_brands!AC28&amp;"")</f>
        <v/>
      </c>
      <c r="U48" s="23" t="str">
        <f aca="false">IF(T48="","",IFERROR(INDEX(Clay_Brands!$A$2:$FZ$601,MATCH(T48,INDEX(Clay_Brands!$A$2:$FZ$601,0,$D$5),0),$D$7)&amp;"","not in Clay"))</f>
        <v/>
      </c>
      <c r="V48" s="23" t="str">
        <f aca="false">IF(OR(T48="",AND(LEFT(T48,6)="SAMPLE",Config!$B$19&lt;&gt;"Y")),"",IF(U48="paid","","Clay status is "&amp;U48&amp;": set paid"))</f>
        <v/>
      </c>
      <c r="X48" s="23" t="n">
        <v>28</v>
      </c>
      <c r="Y48" s="35" t="str">
        <f aca="false">IF(OR(TRIM(paid_brands!AC28)="",AND(LEFT(paid_brands!AC28,6)="SAMPLE",Config!$B$19&lt;&gt;"Y")),"",IF(AND(N(paid_brands!AE28)&gt;0,N(paid_brands!AV28)+N(paid_brands!AX28)&gt;=N(paid_brands!AE28)),IF(N(paid_brands!AX28)&gt;0,MAX(N(paid_brands!AW28),N(paid_brands!AY28)),N(paid_brands!AW28)),""))</f>
        <v/>
      </c>
    </row>
    <row r="49" customFormat="false" ht="15" hidden="false" customHeight="false" outlineLevel="0" collapsed="false">
      <c r="B49" s="23" t="n">
        <v>28</v>
      </c>
      <c r="C49" s="23" t="str">
        <f aca="false">IFERROR(INDEX(Clay_Offices!$A$2:$FZ$601,B49,$C$5)&amp;"","")</f>
        <v>SAMPLE-O-029</v>
      </c>
      <c r="D49" s="23" t="str">
        <f aca="false">IFERROR(INDEX(Clay_Offices!$A$2:$FZ$601,B49,$C$7)&amp;"","")</f>
        <v>contacted</v>
      </c>
      <c r="E49" s="23" t="str">
        <f aca="false">IFERROR(INDEX(Clay_Offices!$A$2:$FZ$601,B49,$C$8)&amp;"","")</f>
        <v>N</v>
      </c>
      <c r="F49" s="23" t="str">
        <f aca="false">IF(C49="","",IF(COUNTIF(Office_Log!$A$2:$A$201,C49)&gt;0,"Y","N"))</f>
        <v>N</v>
      </c>
      <c r="G49" s="34" t="str">
        <f aca="false">IF(OR(C49="",AND(LEFT(C49,6)="SAMPLE",Config!$B$19&lt;&gt;"Y")),"",IF(IFERROR(INDEX(Lists!$K$2:$K$15,MATCH(D49,Lists!$J$2:$J$15,0)),-1)=-1,"status '"&amp;D49&amp;"' is not a CONTRACTS status",IF(AND(D49="signed",COUNTIF(signed_offices!$W$2:$W$51,C49)=0),"status signed but no signed_offices row"&amp;IF(F49="N"," and no tracker row",""),IF(AND(IFERROR(INDEX(Lists!$K$2:$K$15,MATCH(D49,Lists!$J$2:$J$15,0)),-1)&gt;=6,F49="N"),"status "&amp;D49&amp;" but no tracker row",IF(AND(E49="Y",D49&lt;&gt;"do_not_contact"),"do_not_contact = Y but status is "&amp;D49,IF(AND(D49="do_not_contact",E49&lt;&gt;"Y"),"status do_not_contact but do_not_contact is not Y",""))))))</f>
        <v/>
      </c>
      <c r="I49" s="23" t="n">
        <v>28</v>
      </c>
      <c r="J49" s="23" t="str">
        <f aca="false">IFERROR(INDEX(Clay_Brands!$A$2:$FZ$601,I49,$D$5)&amp;"","")</f>
        <v>SAMPLE-B-028</v>
      </c>
      <c r="K49" s="23" t="str">
        <f aca="false">IFERROR(INDEX(Clay_Brands!$A$2:$FZ$601,I49,$D$7)&amp;"","")</f>
        <v>replied</v>
      </c>
      <c r="L49" s="23" t="str">
        <f aca="false">IFERROR(INDEX(Clay_Brands!$A$2:$FZ$601,I49,$D$8)&amp;"","")</f>
        <v>N</v>
      </c>
      <c r="M49" s="23" t="str">
        <f aca="false">IF(J49="","",IF(COUNTIF(Brand_Log!$A$2:$A$201,J49)&gt;0,"Y","N"))</f>
        <v>N</v>
      </c>
      <c r="N49" s="34" t="str">
        <f aca="false">IF(OR(J49="",AND(LEFT(J49,6)="SAMPLE",Config!$B$19&lt;&gt;"Y")),"",IF(IFERROR(INDEX(Lists!$K$2:$K$15,MATCH(K49,Lists!$J$2:$J$15,0)),-1)=-1,"status '"&amp;K49&amp;"' is not a CONTRACTS status",IF(AND(K49="paid",COUNTIF(paid_brands!$AC$2:$AC$51,J49)=0),"status paid but no paid_brands row"&amp;IF(M49="N"," and no tracker row",""),IF(AND(IFERROR(INDEX(Lists!$K$2:$K$15,MATCH(K49,Lists!$J$2:$J$15,0)),-1)&gt;=6,M49="N"),"status "&amp;K49&amp;" but no tracker row",IF(AND(L49="Y",K49&lt;&gt;"do_not_contact"),"do_not_contact = Y but status is "&amp;K49,IF(AND(K49="do_not_contact",L49&lt;&gt;"Y"),"status do_not_contact but do_not_contact is not Y",""))))))</f>
        <v/>
      </c>
      <c r="P49" s="23" t="str">
        <f aca="false">IF(signed_offices!W29="","",signed_offices!W29&amp;"")</f>
        <v/>
      </c>
      <c r="Q49" s="23" t="str">
        <f aca="false">IF(P49="","",IFERROR(INDEX(Clay_Offices!$A$2:$FZ$601,MATCH(P49,INDEX(Clay_Offices!$A$2:$FZ$601,0,$C$5),0),$C$7)&amp;"","not in Clay"))</f>
        <v/>
      </c>
      <c r="R49" s="23" t="str">
        <f aca="false">IF(OR(P49="",AND(LEFT(P49,6)="SAMPLE",Config!$B$19&lt;&gt;"Y")),"",IF(Q49="signed","","Clay status is "&amp;Q49&amp;": set signed"))</f>
        <v/>
      </c>
      <c r="T49" s="23" t="str">
        <f aca="false">IF(paid_brands!AC29="","",paid_brands!AC29&amp;"")</f>
        <v/>
      </c>
      <c r="U49" s="23" t="str">
        <f aca="false">IF(T49="","",IFERROR(INDEX(Clay_Brands!$A$2:$FZ$601,MATCH(T49,INDEX(Clay_Brands!$A$2:$FZ$601,0,$D$5),0),$D$7)&amp;"","not in Clay"))</f>
        <v/>
      </c>
      <c r="V49" s="23" t="str">
        <f aca="false">IF(OR(T49="",AND(LEFT(T49,6)="SAMPLE",Config!$B$19&lt;&gt;"Y")),"",IF(U49="paid","","Clay status is "&amp;U49&amp;": set paid"))</f>
        <v/>
      </c>
      <c r="X49" s="23" t="n">
        <v>29</v>
      </c>
      <c r="Y49" s="35" t="str">
        <f aca="false">IF(OR(TRIM(paid_brands!AC29)="",AND(LEFT(paid_brands!AC29,6)="SAMPLE",Config!$B$19&lt;&gt;"Y")),"",IF(AND(N(paid_brands!AE29)&gt;0,N(paid_brands!AV29)+N(paid_brands!AX29)&gt;=N(paid_brands!AE29)),IF(N(paid_brands!AX29)&gt;0,MAX(N(paid_brands!AW29),N(paid_brands!AY29)),N(paid_brands!AW29)),""))</f>
        <v/>
      </c>
    </row>
    <row r="50" customFormat="false" ht="15" hidden="false" customHeight="false" outlineLevel="0" collapsed="false">
      <c r="B50" s="23" t="n">
        <v>29</v>
      </c>
      <c r="C50" s="23" t="str">
        <f aca="false">IFERROR(INDEX(Clay_Offices!$A$2:$FZ$601,B50,$C$5)&amp;"","")</f>
        <v>SAMPLE-O-030</v>
      </c>
      <c r="D50" s="23" t="str">
        <f aca="false">IFERROR(INDEX(Clay_Offices!$A$2:$FZ$601,B50,$C$7)&amp;"","")</f>
        <v>contacted</v>
      </c>
      <c r="E50" s="23" t="str">
        <f aca="false">IFERROR(INDEX(Clay_Offices!$A$2:$FZ$601,B50,$C$8)&amp;"","")</f>
        <v>Y</v>
      </c>
      <c r="F50" s="23" t="str">
        <f aca="false">IF(C50="","",IF(COUNTIF(Office_Log!$A$2:$A$201,C50)&gt;0,"Y","N"))</f>
        <v>N</v>
      </c>
      <c r="G50" s="34" t="str">
        <f aca="false">IF(OR(C50="",AND(LEFT(C50,6)="SAMPLE",Config!$B$19&lt;&gt;"Y")),"",IF(IFERROR(INDEX(Lists!$K$2:$K$15,MATCH(D50,Lists!$J$2:$J$15,0)),-1)=-1,"status '"&amp;D50&amp;"' is not a CONTRACTS status",IF(AND(D50="signed",COUNTIF(signed_offices!$W$2:$W$51,C50)=0),"status signed but no signed_offices row"&amp;IF(F50="N"," and no tracker row",""),IF(AND(IFERROR(INDEX(Lists!$K$2:$K$15,MATCH(D50,Lists!$J$2:$J$15,0)),-1)&gt;=6,F50="N"),"status "&amp;D50&amp;" but no tracker row",IF(AND(E50="Y",D50&lt;&gt;"do_not_contact"),"do_not_contact = Y but status is "&amp;D50,IF(AND(D50="do_not_contact",E50&lt;&gt;"Y"),"status do_not_contact but do_not_contact is not Y",""))))))</f>
        <v>do_not_contact = Y but status is contacted</v>
      </c>
      <c r="I50" s="23" t="n">
        <v>29</v>
      </c>
      <c r="J50" s="23" t="str">
        <f aca="false">IFERROR(INDEX(Clay_Brands!$A$2:$FZ$601,I50,$D$5)&amp;"","")</f>
        <v>SAMPLE-B-029</v>
      </c>
      <c r="K50" s="23" t="str">
        <f aca="false">IFERROR(INDEX(Clay_Brands!$A$2:$FZ$601,I50,$D$7)&amp;"","")</f>
        <v>contacted</v>
      </c>
      <c r="L50" s="23" t="str">
        <f aca="false">IFERROR(INDEX(Clay_Brands!$A$2:$FZ$601,I50,$D$8)&amp;"","")</f>
        <v>N</v>
      </c>
      <c r="M50" s="23" t="str">
        <f aca="false">IF(J50="","",IF(COUNTIF(Brand_Log!$A$2:$A$201,J50)&gt;0,"Y","N"))</f>
        <v>N</v>
      </c>
      <c r="N50" s="34" t="str">
        <f aca="false">IF(OR(J50="",AND(LEFT(J50,6)="SAMPLE",Config!$B$19&lt;&gt;"Y")),"",IF(IFERROR(INDEX(Lists!$K$2:$K$15,MATCH(K50,Lists!$J$2:$J$15,0)),-1)=-1,"status '"&amp;K50&amp;"' is not a CONTRACTS status",IF(AND(K50="paid",COUNTIF(paid_brands!$AC$2:$AC$51,J50)=0),"status paid but no paid_brands row"&amp;IF(M50="N"," and no tracker row",""),IF(AND(IFERROR(INDEX(Lists!$K$2:$K$15,MATCH(K50,Lists!$J$2:$J$15,0)),-1)&gt;=6,M50="N"),"status "&amp;K50&amp;" but no tracker row",IF(AND(L50="Y",K50&lt;&gt;"do_not_contact"),"do_not_contact = Y but status is "&amp;K50,IF(AND(K50="do_not_contact",L50&lt;&gt;"Y"),"status do_not_contact but do_not_contact is not Y",""))))))</f>
        <v/>
      </c>
      <c r="P50" s="23" t="str">
        <f aca="false">IF(signed_offices!W30="","",signed_offices!W30&amp;"")</f>
        <v/>
      </c>
      <c r="Q50" s="23" t="str">
        <f aca="false">IF(P50="","",IFERROR(INDEX(Clay_Offices!$A$2:$FZ$601,MATCH(P50,INDEX(Clay_Offices!$A$2:$FZ$601,0,$C$5),0),$C$7)&amp;"","not in Clay"))</f>
        <v/>
      </c>
      <c r="R50" s="23" t="str">
        <f aca="false">IF(OR(P50="",AND(LEFT(P50,6)="SAMPLE",Config!$B$19&lt;&gt;"Y")),"",IF(Q50="signed","","Clay status is "&amp;Q50&amp;": set signed"))</f>
        <v/>
      </c>
      <c r="T50" s="23" t="str">
        <f aca="false">IF(paid_brands!AC30="","",paid_brands!AC30&amp;"")</f>
        <v/>
      </c>
      <c r="U50" s="23" t="str">
        <f aca="false">IF(T50="","",IFERROR(INDEX(Clay_Brands!$A$2:$FZ$601,MATCH(T50,INDEX(Clay_Brands!$A$2:$FZ$601,0,$D$5),0),$D$7)&amp;"","not in Clay"))</f>
        <v/>
      </c>
      <c r="V50" s="23" t="str">
        <f aca="false">IF(OR(T50="",AND(LEFT(T50,6)="SAMPLE",Config!$B$19&lt;&gt;"Y")),"",IF(U50="paid","","Clay status is "&amp;U50&amp;": set paid"))</f>
        <v/>
      </c>
      <c r="X50" s="23" t="n">
        <v>30</v>
      </c>
      <c r="Y50" s="35" t="str">
        <f aca="false">IF(OR(TRIM(paid_brands!AC30)="",AND(LEFT(paid_brands!AC30,6)="SAMPLE",Config!$B$19&lt;&gt;"Y")),"",IF(AND(N(paid_brands!AE30)&gt;0,N(paid_brands!AV30)+N(paid_brands!AX30)&gt;=N(paid_brands!AE30)),IF(N(paid_brands!AX30)&gt;0,MAX(N(paid_brands!AW30),N(paid_brands!AY30)),N(paid_brands!AW30)),""))</f>
        <v/>
      </c>
    </row>
    <row r="51" customFormat="false" ht="15" hidden="false" customHeight="false" outlineLevel="0" collapsed="false">
      <c r="B51" s="23" t="n">
        <v>30</v>
      </c>
      <c r="C51" s="23" t="str">
        <f aca="false">IFERROR(INDEX(Clay_Offices!$A$2:$FZ$601,B51,$C$5)&amp;"","")</f>
        <v>SAMPLE-O-031</v>
      </c>
      <c r="D51" s="23" t="str">
        <f aca="false">IFERROR(INDEX(Clay_Offices!$A$2:$FZ$601,B51,$C$7)&amp;"","")</f>
        <v>contacted</v>
      </c>
      <c r="E51" s="23" t="str">
        <f aca="false">IFERROR(INDEX(Clay_Offices!$A$2:$FZ$601,B51,$C$8)&amp;"","")</f>
        <v>N</v>
      </c>
      <c r="F51" s="23" t="str">
        <f aca="false">IF(C51="","",IF(COUNTIF(Office_Log!$A$2:$A$201,C51)&gt;0,"Y","N"))</f>
        <v>N</v>
      </c>
      <c r="G51" s="34" t="str">
        <f aca="false">IF(OR(C51="",AND(LEFT(C51,6)="SAMPLE",Config!$B$19&lt;&gt;"Y")),"",IF(IFERROR(INDEX(Lists!$K$2:$K$15,MATCH(D51,Lists!$J$2:$J$15,0)),-1)=-1,"status '"&amp;D51&amp;"' is not a CONTRACTS status",IF(AND(D51="signed",COUNTIF(signed_offices!$W$2:$W$51,C51)=0),"status signed but no signed_offices row"&amp;IF(F51="N"," and no tracker row",""),IF(AND(IFERROR(INDEX(Lists!$K$2:$K$15,MATCH(D51,Lists!$J$2:$J$15,0)),-1)&gt;=6,F51="N"),"status "&amp;D51&amp;" but no tracker row",IF(AND(E51="Y",D51&lt;&gt;"do_not_contact"),"do_not_contact = Y but status is "&amp;D51,IF(AND(D51="do_not_contact",E51&lt;&gt;"Y"),"status do_not_contact but do_not_contact is not Y",""))))))</f>
        <v/>
      </c>
      <c r="I51" s="23" t="n">
        <v>30</v>
      </c>
      <c r="J51" s="23" t="str">
        <f aca="false">IFERROR(INDEX(Clay_Brands!$A$2:$FZ$601,I51,$D$5)&amp;"","")</f>
        <v>SAMPLE-B-030</v>
      </c>
      <c r="K51" s="23" t="str">
        <f aca="false">IFERROR(INDEX(Clay_Brands!$A$2:$FZ$601,I51,$D$7)&amp;"","")</f>
        <v>contacted</v>
      </c>
      <c r="L51" s="23" t="str">
        <f aca="false">IFERROR(INDEX(Clay_Brands!$A$2:$FZ$601,I51,$D$8)&amp;"","")</f>
        <v>N</v>
      </c>
      <c r="M51" s="23" t="str">
        <f aca="false">IF(J51="","",IF(COUNTIF(Brand_Log!$A$2:$A$201,J51)&gt;0,"Y","N"))</f>
        <v>N</v>
      </c>
      <c r="N51" s="34" t="str">
        <f aca="false">IF(OR(J51="",AND(LEFT(J51,6)="SAMPLE",Config!$B$19&lt;&gt;"Y")),"",IF(IFERROR(INDEX(Lists!$K$2:$K$15,MATCH(K51,Lists!$J$2:$J$15,0)),-1)=-1,"status '"&amp;K51&amp;"' is not a CONTRACTS status",IF(AND(K51="paid",COUNTIF(paid_brands!$AC$2:$AC$51,J51)=0),"status paid but no paid_brands row"&amp;IF(M51="N"," and no tracker row",""),IF(AND(IFERROR(INDEX(Lists!$K$2:$K$15,MATCH(K51,Lists!$J$2:$J$15,0)),-1)&gt;=6,M51="N"),"status "&amp;K51&amp;" but no tracker row",IF(AND(L51="Y",K51&lt;&gt;"do_not_contact"),"do_not_contact = Y but status is "&amp;K51,IF(AND(K51="do_not_contact",L51&lt;&gt;"Y"),"status do_not_contact but do_not_contact is not Y",""))))))</f>
        <v/>
      </c>
      <c r="P51" s="23" t="str">
        <f aca="false">IF(signed_offices!W31="","",signed_offices!W31&amp;"")</f>
        <v/>
      </c>
      <c r="Q51" s="23" t="str">
        <f aca="false">IF(P51="","",IFERROR(INDEX(Clay_Offices!$A$2:$FZ$601,MATCH(P51,INDEX(Clay_Offices!$A$2:$FZ$601,0,$C$5),0),$C$7)&amp;"","not in Clay"))</f>
        <v/>
      </c>
      <c r="R51" s="23" t="str">
        <f aca="false">IF(OR(P51="",AND(LEFT(P51,6)="SAMPLE",Config!$B$19&lt;&gt;"Y")),"",IF(Q51="signed","","Clay status is "&amp;Q51&amp;": set signed"))</f>
        <v/>
      </c>
      <c r="T51" s="23" t="str">
        <f aca="false">IF(paid_brands!AC31="","",paid_brands!AC31&amp;"")</f>
        <v/>
      </c>
      <c r="U51" s="23" t="str">
        <f aca="false">IF(T51="","",IFERROR(INDEX(Clay_Brands!$A$2:$FZ$601,MATCH(T51,INDEX(Clay_Brands!$A$2:$FZ$601,0,$D$5),0),$D$7)&amp;"","not in Clay"))</f>
        <v/>
      </c>
      <c r="V51" s="23" t="str">
        <f aca="false">IF(OR(T51="",AND(LEFT(T51,6)="SAMPLE",Config!$B$19&lt;&gt;"Y")),"",IF(U51="paid","","Clay status is "&amp;U51&amp;": set paid"))</f>
        <v/>
      </c>
      <c r="X51" s="23" t="n">
        <v>31</v>
      </c>
      <c r="Y51" s="35" t="str">
        <f aca="false">IF(OR(TRIM(paid_brands!AC31)="",AND(LEFT(paid_brands!AC31,6)="SAMPLE",Config!$B$19&lt;&gt;"Y")),"",IF(AND(N(paid_brands!AE31)&gt;0,N(paid_brands!AV31)+N(paid_brands!AX31)&gt;=N(paid_brands!AE31)),IF(N(paid_brands!AX31)&gt;0,MAX(N(paid_brands!AW31),N(paid_brands!AY31)),N(paid_brands!AW31)),""))</f>
        <v/>
      </c>
    </row>
    <row r="52" customFormat="false" ht="15" hidden="false" customHeight="false" outlineLevel="0" collapsed="false">
      <c r="B52" s="23" t="n">
        <v>31</v>
      </c>
      <c r="C52" s="23" t="str">
        <f aca="false">IFERROR(INDEX(Clay_Offices!$A$2:$FZ$601,B52,$C$5)&amp;"","")</f>
        <v>SAMPLE-O-032</v>
      </c>
      <c r="D52" s="23" t="str">
        <f aca="false">IFERROR(INDEX(Clay_Offices!$A$2:$FZ$601,B52,$C$7)&amp;"","")</f>
        <v>no</v>
      </c>
      <c r="E52" s="23" t="str">
        <f aca="false">IFERROR(INDEX(Clay_Offices!$A$2:$FZ$601,B52,$C$8)&amp;"","")</f>
        <v>N</v>
      </c>
      <c r="F52" s="23" t="str">
        <f aca="false">IF(C52="","",IF(COUNTIF(Office_Log!$A$2:$A$201,C52)&gt;0,"Y","N"))</f>
        <v>N</v>
      </c>
      <c r="G52" s="34" t="str">
        <f aca="false">IF(OR(C52="",AND(LEFT(C52,6)="SAMPLE",Config!$B$19&lt;&gt;"Y")),"",IF(IFERROR(INDEX(Lists!$K$2:$K$15,MATCH(D52,Lists!$J$2:$J$15,0)),-1)=-1,"status '"&amp;D52&amp;"' is not a CONTRACTS status",IF(AND(D52="signed",COUNTIF(signed_offices!$W$2:$W$51,C52)=0),"status signed but no signed_offices row"&amp;IF(F52="N"," and no tracker row",""),IF(AND(IFERROR(INDEX(Lists!$K$2:$K$15,MATCH(D52,Lists!$J$2:$J$15,0)),-1)&gt;=6,F52="N"),"status "&amp;D52&amp;" but no tracker row",IF(AND(E52="Y",D52&lt;&gt;"do_not_contact"),"do_not_contact = Y but status is "&amp;D52,IF(AND(D52="do_not_contact",E52&lt;&gt;"Y"),"status do_not_contact but do_not_contact is not Y",""))))))</f>
        <v/>
      </c>
      <c r="I52" s="23" t="n">
        <v>31</v>
      </c>
      <c r="J52" s="23" t="str">
        <f aca="false">IFERROR(INDEX(Clay_Brands!$A$2:$FZ$601,I52,$D$5)&amp;"","")</f>
        <v>SAMPLE-B-031</v>
      </c>
      <c r="K52" s="23" t="str">
        <f aca="false">IFERROR(INDEX(Clay_Brands!$A$2:$FZ$601,I52,$D$7)&amp;"","")</f>
        <v>contacted</v>
      </c>
      <c r="L52" s="23" t="str">
        <f aca="false">IFERROR(INDEX(Clay_Brands!$A$2:$FZ$601,I52,$D$8)&amp;"","")</f>
        <v>N</v>
      </c>
      <c r="M52" s="23" t="str">
        <f aca="false">IF(J52="","",IF(COUNTIF(Brand_Log!$A$2:$A$201,J52)&gt;0,"Y","N"))</f>
        <v>N</v>
      </c>
      <c r="N52" s="34" t="str">
        <f aca="false">IF(OR(J52="",AND(LEFT(J52,6)="SAMPLE",Config!$B$19&lt;&gt;"Y")),"",IF(IFERROR(INDEX(Lists!$K$2:$K$15,MATCH(K52,Lists!$J$2:$J$15,0)),-1)=-1,"status '"&amp;K52&amp;"' is not a CONTRACTS status",IF(AND(K52="paid",COUNTIF(paid_brands!$AC$2:$AC$51,J52)=0),"status paid but no paid_brands row"&amp;IF(M52="N"," and no tracker row",""),IF(AND(IFERROR(INDEX(Lists!$K$2:$K$15,MATCH(K52,Lists!$J$2:$J$15,0)),-1)&gt;=6,M52="N"),"status "&amp;K52&amp;" but no tracker row",IF(AND(L52="Y",K52&lt;&gt;"do_not_contact"),"do_not_contact = Y but status is "&amp;K52,IF(AND(K52="do_not_contact",L52&lt;&gt;"Y"),"status do_not_contact but do_not_contact is not Y",""))))))</f>
        <v/>
      </c>
      <c r="P52" s="23" t="str">
        <f aca="false">IF(signed_offices!W32="","",signed_offices!W32&amp;"")</f>
        <v/>
      </c>
      <c r="Q52" s="23" t="str">
        <f aca="false">IF(P52="","",IFERROR(INDEX(Clay_Offices!$A$2:$FZ$601,MATCH(P52,INDEX(Clay_Offices!$A$2:$FZ$601,0,$C$5),0),$C$7)&amp;"","not in Clay"))</f>
        <v/>
      </c>
      <c r="R52" s="23" t="str">
        <f aca="false">IF(OR(P52="",AND(LEFT(P52,6)="SAMPLE",Config!$B$19&lt;&gt;"Y")),"",IF(Q52="signed","","Clay status is "&amp;Q52&amp;": set signed"))</f>
        <v/>
      </c>
      <c r="T52" s="23" t="str">
        <f aca="false">IF(paid_brands!AC32="","",paid_brands!AC32&amp;"")</f>
        <v/>
      </c>
      <c r="U52" s="23" t="str">
        <f aca="false">IF(T52="","",IFERROR(INDEX(Clay_Brands!$A$2:$FZ$601,MATCH(T52,INDEX(Clay_Brands!$A$2:$FZ$601,0,$D$5),0),$D$7)&amp;"","not in Clay"))</f>
        <v/>
      </c>
      <c r="V52" s="23" t="str">
        <f aca="false">IF(OR(T52="",AND(LEFT(T52,6)="SAMPLE",Config!$B$19&lt;&gt;"Y")),"",IF(U52="paid","","Clay status is "&amp;U52&amp;": set paid"))</f>
        <v/>
      </c>
      <c r="X52" s="23" t="n">
        <v>32</v>
      </c>
      <c r="Y52" s="35" t="str">
        <f aca="false">IF(OR(TRIM(paid_brands!AC32)="",AND(LEFT(paid_brands!AC32,6)="SAMPLE",Config!$B$19&lt;&gt;"Y")),"",IF(AND(N(paid_brands!AE32)&gt;0,N(paid_brands!AV32)+N(paid_brands!AX32)&gt;=N(paid_brands!AE32)),IF(N(paid_brands!AX32)&gt;0,MAX(N(paid_brands!AW32),N(paid_brands!AY32)),N(paid_brands!AW32)),""))</f>
        <v/>
      </c>
    </row>
    <row r="53" customFormat="false" ht="15" hidden="false" customHeight="false" outlineLevel="0" collapsed="false">
      <c r="B53" s="23" t="n">
        <v>32</v>
      </c>
      <c r="C53" s="23" t="str">
        <f aca="false">IFERROR(INDEX(Clay_Offices!$A$2:$FZ$601,B53,$C$5)&amp;"","")</f>
        <v>SAMPLE-O-033</v>
      </c>
      <c r="D53" s="23" t="str">
        <f aca="false">IFERROR(INDEX(Clay_Offices!$A$2:$FZ$601,B53,$C$7)&amp;"","")</f>
        <v>do_not_contact</v>
      </c>
      <c r="E53" s="23" t="str">
        <f aca="false">IFERROR(INDEX(Clay_Offices!$A$2:$FZ$601,B53,$C$8)&amp;"","")</f>
        <v>Y</v>
      </c>
      <c r="F53" s="23" t="str">
        <f aca="false">IF(C53="","",IF(COUNTIF(Office_Log!$A$2:$A$201,C53)&gt;0,"Y","N"))</f>
        <v>N</v>
      </c>
      <c r="G53" s="34" t="str">
        <f aca="false">IF(OR(C53="",AND(LEFT(C53,6)="SAMPLE",Config!$B$19&lt;&gt;"Y")),"",IF(IFERROR(INDEX(Lists!$K$2:$K$15,MATCH(D53,Lists!$J$2:$J$15,0)),-1)=-1,"status '"&amp;D53&amp;"' is not a CONTRACTS status",IF(AND(D53="signed",COUNTIF(signed_offices!$W$2:$W$51,C53)=0),"status signed but no signed_offices row"&amp;IF(F53="N"," and no tracker row",""),IF(AND(IFERROR(INDEX(Lists!$K$2:$K$15,MATCH(D53,Lists!$J$2:$J$15,0)),-1)&gt;=6,F53="N"),"status "&amp;D53&amp;" but no tracker row",IF(AND(E53="Y",D53&lt;&gt;"do_not_contact"),"do_not_contact = Y but status is "&amp;D53,IF(AND(D53="do_not_contact",E53&lt;&gt;"Y"),"status do_not_contact but do_not_contact is not Y",""))))))</f>
        <v/>
      </c>
      <c r="I53" s="23" t="n">
        <v>32</v>
      </c>
      <c r="J53" s="23" t="str">
        <f aca="false">IFERROR(INDEX(Clay_Brands!$A$2:$FZ$601,I53,$D$5)&amp;"","")</f>
        <v>SAMPLE-B-032</v>
      </c>
      <c r="K53" s="23" t="str">
        <f aca="false">IFERROR(INDEX(Clay_Brands!$A$2:$FZ$601,I53,$D$7)&amp;"","")</f>
        <v>no</v>
      </c>
      <c r="L53" s="23" t="str">
        <f aca="false">IFERROR(INDEX(Clay_Brands!$A$2:$FZ$601,I53,$D$8)&amp;"","")</f>
        <v>N</v>
      </c>
      <c r="M53" s="23" t="str">
        <f aca="false">IF(J53="","",IF(COUNTIF(Brand_Log!$A$2:$A$201,J53)&gt;0,"Y","N"))</f>
        <v>N</v>
      </c>
      <c r="N53" s="34" t="str">
        <f aca="false">IF(OR(J53="",AND(LEFT(J53,6)="SAMPLE",Config!$B$19&lt;&gt;"Y")),"",IF(IFERROR(INDEX(Lists!$K$2:$K$15,MATCH(K53,Lists!$J$2:$J$15,0)),-1)=-1,"status '"&amp;K53&amp;"' is not a CONTRACTS status",IF(AND(K53="paid",COUNTIF(paid_brands!$AC$2:$AC$51,J53)=0),"status paid but no paid_brands row"&amp;IF(M53="N"," and no tracker row",""),IF(AND(IFERROR(INDEX(Lists!$K$2:$K$15,MATCH(K53,Lists!$J$2:$J$15,0)),-1)&gt;=6,M53="N"),"status "&amp;K53&amp;" but no tracker row",IF(AND(L53="Y",K53&lt;&gt;"do_not_contact"),"do_not_contact = Y but status is "&amp;K53,IF(AND(K53="do_not_contact",L53&lt;&gt;"Y"),"status do_not_contact but do_not_contact is not Y",""))))))</f>
        <v/>
      </c>
      <c r="P53" s="23" t="str">
        <f aca="false">IF(signed_offices!W33="","",signed_offices!W33&amp;"")</f>
        <v/>
      </c>
      <c r="Q53" s="23" t="str">
        <f aca="false">IF(P53="","",IFERROR(INDEX(Clay_Offices!$A$2:$FZ$601,MATCH(P53,INDEX(Clay_Offices!$A$2:$FZ$601,0,$C$5),0),$C$7)&amp;"","not in Clay"))</f>
        <v/>
      </c>
      <c r="R53" s="23" t="str">
        <f aca="false">IF(OR(P53="",AND(LEFT(P53,6)="SAMPLE",Config!$B$19&lt;&gt;"Y")),"",IF(Q53="signed","","Clay status is "&amp;Q53&amp;": set signed"))</f>
        <v/>
      </c>
      <c r="T53" s="23" t="str">
        <f aca="false">IF(paid_brands!AC33="","",paid_brands!AC33&amp;"")</f>
        <v/>
      </c>
      <c r="U53" s="23" t="str">
        <f aca="false">IF(T53="","",IFERROR(INDEX(Clay_Brands!$A$2:$FZ$601,MATCH(T53,INDEX(Clay_Brands!$A$2:$FZ$601,0,$D$5),0),$D$7)&amp;"","not in Clay"))</f>
        <v/>
      </c>
      <c r="V53" s="23" t="str">
        <f aca="false">IF(OR(T53="",AND(LEFT(T53,6)="SAMPLE",Config!$B$19&lt;&gt;"Y")),"",IF(U53="paid","","Clay status is "&amp;U53&amp;": set paid"))</f>
        <v/>
      </c>
      <c r="X53" s="23" t="n">
        <v>33</v>
      </c>
      <c r="Y53" s="35" t="str">
        <f aca="false">IF(OR(TRIM(paid_brands!AC33)="",AND(LEFT(paid_brands!AC33,6)="SAMPLE",Config!$B$19&lt;&gt;"Y")),"",IF(AND(N(paid_brands!AE33)&gt;0,N(paid_brands!AV33)+N(paid_brands!AX33)&gt;=N(paid_brands!AE33)),IF(N(paid_brands!AX33)&gt;0,MAX(N(paid_brands!AW33),N(paid_brands!AY33)),N(paid_brands!AW33)),""))</f>
        <v/>
      </c>
    </row>
    <row r="54" customFormat="false" ht="15" hidden="false" customHeight="false" outlineLevel="0" collapsed="false">
      <c r="B54" s="23" t="n">
        <v>33</v>
      </c>
      <c r="C54" s="23" t="str">
        <f aca="false">IFERROR(INDEX(Clay_Offices!$A$2:$FZ$601,B54,$C$5)&amp;"","")</f>
        <v>SAMPLE-O-034</v>
      </c>
      <c r="D54" s="23" t="str">
        <f aca="false">IFERROR(INDEX(Clay_Offices!$A$2:$FZ$601,B54,$C$7)&amp;"","")</f>
        <v>contacted</v>
      </c>
      <c r="E54" s="23" t="str">
        <f aca="false">IFERROR(INDEX(Clay_Offices!$A$2:$FZ$601,B54,$C$8)&amp;"","")</f>
        <v>N</v>
      </c>
      <c r="F54" s="23" t="str">
        <f aca="false">IF(C54="","",IF(COUNTIF(Office_Log!$A$2:$A$201,C54)&gt;0,"Y","N"))</f>
        <v>N</v>
      </c>
      <c r="G54" s="34" t="str">
        <f aca="false">IF(OR(C54="",AND(LEFT(C54,6)="SAMPLE",Config!$B$19&lt;&gt;"Y")),"",IF(IFERROR(INDEX(Lists!$K$2:$K$15,MATCH(D54,Lists!$J$2:$J$15,0)),-1)=-1,"status '"&amp;D54&amp;"' is not a CONTRACTS status",IF(AND(D54="signed",COUNTIF(signed_offices!$W$2:$W$51,C54)=0),"status signed but no signed_offices row"&amp;IF(F54="N"," and no tracker row",""),IF(AND(IFERROR(INDEX(Lists!$K$2:$K$15,MATCH(D54,Lists!$J$2:$J$15,0)),-1)&gt;=6,F54="N"),"status "&amp;D54&amp;" but no tracker row",IF(AND(E54="Y",D54&lt;&gt;"do_not_contact"),"do_not_contact = Y but status is "&amp;D54,IF(AND(D54="do_not_contact",E54&lt;&gt;"Y"),"status do_not_contact but do_not_contact is not Y",""))))))</f>
        <v/>
      </c>
      <c r="I54" s="23" t="n">
        <v>33</v>
      </c>
      <c r="J54" s="23" t="str">
        <f aca="false">IFERROR(INDEX(Clay_Brands!$A$2:$FZ$601,I54,$D$5)&amp;"","")</f>
        <v>SAMPLE-B-033</v>
      </c>
      <c r="K54" s="23" t="str">
        <f aca="false">IFERROR(INDEX(Clay_Brands!$A$2:$FZ$601,I54,$D$7)&amp;"","")</f>
        <v>do_not_contact</v>
      </c>
      <c r="L54" s="23" t="str">
        <f aca="false">IFERROR(INDEX(Clay_Brands!$A$2:$FZ$601,I54,$D$8)&amp;"","")</f>
        <v>Y</v>
      </c>
      <c r="M54" s="23" t="str">
        <f aca="false">IF(J54="","",IF(COUNTIF(Brand_Log!$A$2:$A$201,J54)&gt;0,"Y","N"))</f>
        <v>N</v>
      </c>
      <c r="N54" s="34" t="str">
        <f aca="false">IF(OR(J54="",AND(LEFT(J54,6)="SAMPLE",Config!$B$19&lt;&gt;"Y")),"",IF(IFERROR(INDEX(Lists!$K$2:$K$15,MATCH(K54,Lists!$J$2:$J$15,0)),-1)=-1,"status '"&amp;K54&amp;"' is not a CONTRACTS status",IF(AND(K54="paid",COUNTIF(paid_brands!$AC$2:$AC$51,J54)=0),"status paid but no paid_brands row"&amp;IF(M54="N"," and no tracker row",""),IF(AND(IFERROR(INDEX(Lists!$K$2:$K$15,MATCH(K54,Lists!$J$2:$J$15,0)),-1)&gt;=6,M54="N"),"status "&amp;K54&amp;" but no tracker row",IF(AND(L54="Y",K54&lt;&gt;"do_not_contact"),"do_not_contact = Y but status is "&amp;K54,IF(AND(K54="do_not_contact",L54&lt;&gt;"Y"),"status do_not_contact but do_not_contact is not Y",""))))))</f>
        <v/>
      </c>
      <c r="P54" s="23" t="str">
        <f aca="false">IF(signed_offices!W34="","",signed_offices!W34&amp;"")</f>
        <v/>
      </c>
      <c r="Q54" s="23" t="str">
        <f aca="false">IF(P54="","",IFERROR(INDEX(Clay_Offices!$A$2:$FZ$601,MATCH(P54,INDEX(Clay_Offices!$A$2:$FZ$601,0,$C$5),0),$C$7)&amp;"","not in Clay"))</f>
        <v/>
      </c>
      <c r="R54" s="23" t="str">
        <f aca="false">IF(OR(P54="",AND(LEFT(P54,6)="SAMPLE",Config!$B$19&lt;&gt;"Y")),"",IF(Q54="signed","","Clay status is "&amp;Q54&amp;": set signed"))</f>
        <v/>
      </c>
      <c r="T54" s="23" t="str">
        <f aca="false">IF(paid_brands!AC34="","",paid_brands!AC34&amp;"")</f>
        <v/>
      </c>
      <c r="U54" s="23" t="str">
        <f aca="false">IF(T54="","",IFERROR(INDEX(Clay_Brands!$A$2:$FZ$601,MATCH(T54,INDEX(Clay_Brands!$A$2:$FZ$601,0,$D$5),0),$D$7)&amp;"","not in Clay"))</f>
        <v/>
      </c>
      <c r="V54" s="23" t="str">
        <f aca="false">IF(OR(T54="",AND(LEFT(T54,6)="SAMPLE",Config!$B$19&lt;&gt;"Y")),"",IF(U54="paid","","Clay status is "&amp;U54&amp;": set paid"))</f>
        <v/>
      </c>
      <c r="X54" s="23" t="n">
        <v>34</v>
      </c>
      <c r="Y54" s="35" t="str">
        <f aca="false">IF(OR(TRIM(paid_brands!AC34)="",AND(LEFT(paid_brands!AC34,6)="SAMPLE",Config!$B$19&lt;&gt;"Y")),"",IF(AND(N(paid_brands!AE34)&gt;0,N(paid_brands!AV34)+N(paid_brands!AX34)&gt;=N(paid_brands!AE34)),IF(N(paid_brands!AX34)&gt;0,MAX(N(paid_brands!AW34),N(paid_brands!AY34)),N(paid_brands!AW34)),""))</f>
        <v/>
      </c>
    </row>
    <row r="55" customFormat="false" ht="15" hidden="false" customHeight="false" outlineLevel="0" collapsed="false">
      <c r="B55" s="23" t="n">
        <v>34</v>
      </c>
      <c r="C55" s="23" t="str">
        <f aca="false">IFERROR(INDEX(Clay_Offices!$A$2:$FZ$601,B55,$C$5)&amp;"","")</f>
        <v>SAMPLE-O-035</v>
      </c>
      <c r="D55" s="23" t="str">
        <f aca="false">IFERROR(INDEX(Clay_Offices!$A$2:$FZ$601,B55,$C$7)&amp;"","")</f>
        <v>contacted</v>
      </c>
      <c r="E55" s="23" t="str">
        <f aca="false">IFERROR(INDEX(Clay_Offices!$A$2:$FZ$601,B55,$C$8)&amp;"","")</f>
        <v>N</v>
      </c>
      <c r="F55" s="23" t="str">
        <f aca="false">IF(C55="","",IF(COUNTIF(Office_Log!$A$2:$A$201,C55)&gt;0,"Y","N"))</f>
        <v>N</v>
      </c>
      <c r="G55" s="34" t="str">
        <f aca="false">IF(OR(C55="",AND(LEFT(C55,6)="SAMPLE",Config!$B$19&lt;&gt;"Y")),"",IF(IFERROR(INDEX(Lists!$K$2:$K$15,MATCH(D55,Lists!$J$2:$J$15,0)),-1)=-1,"status '"&amp;D55&amp;"' is not a CONTRACTS status",IF(AND(D55="signed",COUNTIF(signed_offices!$W$2:$W$51,C55)=0),"status signed but no signed_offices row"&amp;IF(F55="N"," and no tracker row",""),IF(AND(IFERROR(INDEX(Lists!$K$2:$K$15,MATCH(D55,Lists!$J$2:$J$15,0)),-1)&gt;=6,F55="N"),"status "&amp;D55&amp;" but no tracker row",IF(AND(E55="Y",D55&lt;&gt;"do_not_contact"),"do_not_contact = Y but status is "&amp;D55,IF(AND(D55="do_not_contact",E55&lt;&gt;"Y"),"status do_not_contact but do_not_contact is not Y",""))))))</f>
        <v/>
      </c>
      <c r="I55" s="23" t="n">
        <v>34</v>
      </c>
      <c r="J55" s="23" t="str">
        <f aca="false">IFERROR(INDEX(Clay_Brands!$A$2:$FZ$601,I55,$D$5)&amp;"","")</f>
        <v>SAMPLE-B-034</v>
      </c>
      <c r="K55" s="23" t="str">
        <f aca="false">IFERROR(INDEX(Clay_Brands!$A$2:$FZ$601,I55,$D$7)&amp;"","")</f>
        <v>contacted</v>
      </c>
      <c r="L55" s="23" t="str">
        <f aca="false">IFERROR(INDEX(Clay_Brands!$A$2:$FZ$601,I55,$D$8)&amp;"","")</f>
        <v>N</v>
      </c>
      <c r="M55" s="23" t="str">
        <f aca="false">IF(J55="","",IF(COUNTIF(Brand_Log!$A$2:$A$201,J55)&gt;0,"Y","N"))</f>
        <v>N</v>
      </c>
      <c r="N55" s="34" t="str">
        <f aca="false">IF(OR(J55="",AND(LEFT(J55,6)="SAMPLE",Config!$B$19&lt;&gt;"Y")),"",IF(IFERROR(INDEX(Lists!$K$2:$K$15,MATCH(K55,Lists!$J$2:$J$15,0)),-1)=-1,"status '"&amp;K55&amp;"' is not a CONTRACTS status",IF(AND(K55="paid",COUNTIF(paid_brands!$AC$2:$AC$51,J55)=0),"status paid but no paid_brands row"&amp;IF(M55="N"," and no tracker row",""),IF(AND(IFERROR(INDEX(Lists!$K$2:$K$15,MATCH(K55,Lists!$J$2:$J$15,0)),-1)&gt;=6,M55="N"),"status "&amp;K55&amp;" but no tracker row",IF(AND(L55="Y",K55&lt;&gt;"do_not_contact"),"do_not_contact = Y but status is "&amp;K55,IF(AND(K55="do_not_contact",L55&lt;&gt;"Y"),"status do_not_contact but do_not_contact is not Y",""))))))</f>
        <v/>
      </c>
      <c r="P55" s="23" t="str">
        <f aca="false">IF(signed_offices!W35="","",signed_offices!W35&amp;"")</f>
        <v/>
      </c>
      <c r="Q55" s="23" t="str">
        <f aca="false">IF(P55="","",IFERROR(INDEX(Clay_Offices!$A$2:$FZ$601,MATCH(P55,INDEX(Clay_Offices!$A$2:$FZ$601,0,$C$5),0),$C$7)&amp;"","not in Clay"))</f>
        <v/>
      </c>
      <c r="R55" s="23" t="str">
        <f aca="false">IF(OR(P55="",AND(LEFT(P55,6)="SAMPLE",Config!$B$19&lt;&gt;"Y")),"",IF(Q55="signed","","Clay status is "&amp;Q55&amp;": set signed"))</f>
        <v/>
      </c>
      <c r="T55" s="23" t="str">
        <f aca="false">IF(paid_brands!AC35="","",paid_brands!AC35&amp;"")</f>
        <v/>
      </c>
      <c r="U55" s="23" t="str">
        <f aca="false">IF(T55="","",IFERROR(INDEX(Clay_Brands!$A$2:$FZ$601,MATCH(T55,INDEX(Clay_Brands!$A$2:$FZ$601,0,$D$5),0),$D$7)&amp;"","not in Clay"))</f>
        <v/>
      </c>
      <c r="V55" s="23" t="str">
        <f aca="false">IF(OR(T55="",AND(LEFT(T55,6)="SAMPLE",Config!$B$19&lt;&gt;"Y")),"",IF(U55="paid","","Clay status is "&amp;U55&amp;": set paid"))</f>
        <v/>
      </c>
      <c r="X55" s="23" t="n">
        <v>35</v>
      </c>
      <c r="Y55" s="35" t="str">
        <f aca="false">IF(OR(TRIM(paid_brands!AC35)="",AND(LEFT(paid_brands!AC35,6)="SAMPLE",Config!$B$19&lt;&gt;"Y")),"",IF(AND(N(paid_brands!AE35)&gt;0,N(paid_brands!AV35)+N(paid_brands!AX35)&gt;=N(paid_brands!AE35)),IF(N(paid_brands!AX35)&gt;0,MAX(N(paid_brands!AW35),N(paid_brands!AY35)),N(paid_brands!AW35)),""))</f>
        <v/>
      </c>
    </row>
    <row r="56" customFormat="false" ht="15" hidden="false" customHeight="false" outlineLevel="0" collapsed="false">
      <c r="B56" s="23" t="n">
        <v>35</v>
      </c>
      <c r="C56" s="23" t="str">
        <f aca="false">IFERROR(INDEX(Clay_Offices!$A$2:$FZ$601,B56,$C$5)&amp;"","")</f>
        <v>SAMPLE-O-036</v>
      </c>
      <c r="D56" s="23" t="str">
        <f aca="false">IFERROR(INDEX(Clay_Offices!$A$2:$FZ$601,B56,$C$7)&amp;"","")</f>
        <v>not_now</v>
      </c>
      <c r="E56" s="23" t="str">
        <f aca="false">IFERROR(INDEX(Clay_Offices!$A$2:$FZ$601,B56,$C$8)&amp;"","")</f>
        <v>N</v>
      </c>
      <c r="F56" s="23" t="str">
        <f aca="false">IF(C56="","",IF(COUNTIF(Office_Log!$A$2:$A$201,C56)&gt;0,"Y","N"))</f>
        <v>N</v>
      </c>
      <c r="G56" s="34" t="str">
        <f aca="false">IF(OR(C56="",AND(LEFT(C56,6)="SAMPLE",Config!$B$19&lt;&gt;"Y")),"",IF(IFERROR(INDEX(Lists!$K$2:$K$15,MATCH(D56,Lists!$J$2:$J$15,0)),-1)=-1,"status '"&amp;D56&amp;"' is not a CONTRACTS status",IF(AND(D56="signed",COUNTIF(signed_offices!$W$2:$W$51,C56)=0),"status signed but no signed_offices row"&amp;IF(F56="N"," and no tracker row",""),IF(AND(IFERROR(INDEX(Lists!$K$2:$K$15,MATCH(D56,Lists!$J$2:$J$15,0)),-1)&gt;=6,F56="N"),"status "&amp;D56&amp;" but no tracker row",IF(AND(E56="Y",D56&lt;&gt;"do_not_contact"),"do_not_contact = Y but status is "&amp;D56,IF(AND(D56="do_not_contact",E56&lt;&gt;"Y"),"status do_not_contact but do_not_contact is not Y",""))))))</f>
        <v/>
      </c>
      <c r="I56" s="23" t="n">
        <v>35</v>
      </c>
      <c r="J56" s="23" t="str">
        <f aca="false">IFERROR(INDEX(Clay_Brands!$A$2:$FZ$601,I56,$D$5)&amp;"","")</f>
        <v>SAMPLE-B-035</v>
      </c>
      <c r="K56" s="23" t="str">
        <f aca="false">IFERROR(INDEX(Clay_Brands!$A$2:$FZ$601,I56,$D$7)&amp;"","")</f>
        <v>contacted</v>
      </c>
      <c r="L56" s="23" t="str">
        <f aca="false">IFERROR(INDEX(Clay_Brands!$A$2:$FZ$601,I56,$D$8)&amp;"","")</f>
        <v>N</v>
      </c>
      <c r="M56" s="23" t="str">
        <f aca="false">IF(J56="","",IF(COUNTIF(Brand_Log!$A$2:$A$201,J56)&gt;0,"Y","N"))</f>
        <v>N</v>
      </c>
      <c r="N56" s="34" t="str">
        <f aca="false">IF(OR(J56="",AND(LEFT(J56,6)="SAMPLE",Config!$B$19&lt;&gt;"Y")),"",IF(IFERROR(INDEX(Lists!$K$2:$K$15,MATCH(K56,Lists!$J$2:$J$15,0)),-1)=-1,"status '"&amp;K56&amp;"' is not a CONTRACTS status",IF(AND(K56="paid",COUNTIF(paid_brands!$AC$2:$AC$51,J56)=0),"status paid but no paid_brands row"&amp;IF(M56="N"," and no tracker row",""),IF(AND(IFERROR(INDEX(Lists!$K$2:$K$15,MATCH(K56,Lists!$J$2:$J$15,0)),-1)&gt;=6,M56="N"),"status "&amp;K56&amp;" but no tracker row",IF(AND(L56="Y",K56&lt;&gt;"do_not_contact"),"do_not_contact = Y but status is "&amp;K56,IF(AND(K56="do_not_contact",L56&lt;&gt;"Y"),"status do_not_contact but do_not_contact is not Y",""))))))</f>
        <v/>
      </c>
      <c r="P56" s="23" t="str">
        <f aca="false">IF(signed_offices!W36="","",signed_offices!W36&amp;"")</f>
        <v/>
      </c>
      <c r="Q56" s="23" t="str">
        <f aca="false">IF(P56="","",IFERROR(INDEX(Clay_Offices!$A$2:$FZ$601,MATCH(P56,INDEX(Clay_Offices!$A$2:$FZ$601,0,$C$5),0),$C$7)&amp;"","not in Clay"))</f>
        <v/>
      </c>
      <c r="R56" s="23" t="str">
        <f aca="false">IF(OR(P56="",AND(LEFT(P56,6)="SAMPLE",Config!$B$19&lt;&gt;"Y")),"",IF(Q56="signed","","Clay status is "&amp;Q56&amp;": set signed"))</f>
        <v/>
      </c>
      <c r="T56" s="23" t="str">
        <f aca="false">IF(paid_brands!AC36="","",paid_brands!AC36&amp;"")</f>
        <v/>
      </c>
      <c r="U56" s="23" t="str">
        <f aca="false">IF(T56="","",IFERROR(INDEX(Clay_Brands!$A$2:$FZ$601,MATCH(T56,INDEX(Clay_Brands!$A$2:$FZ$601,0,$D$5),0),$D$7)&amp;"","not in Clay"))</f>
        <v/>
      </c>
      <c r="V56" s="23" t="str">
        <f aca="false">IF(OR(T56="",AND(LEFT(T56,6)="SAMPLE",Config!$B$19&lt;&gt;"Y")),"",IF(U56="paid","","Clay status is "&amp;U56&amp;": set paid"))</f>
        <v/>
      </c>
      <c r="X56" s="23" t="n">
        <v>36</v>
      </c>
      <c r="Y56" s="35" t="str">
        <f aca="false">IF(OR(TRIM(paid_brands!AC36)="",AND(LEFT(paid_brands!AC36,6)="SAMPLE",Config!$B$19&lt;&gt;"Y")),"",IF(AND(N(paid_brands!AE36)&gt;0,N(paid_brands!AV36)+N(paid_brands!AX36)&gt;=N(paid_brands!AE36)),IF(N(paid_brands!AX36)&gt;0,MAX(N(paid_brands!AW36),N(paid_brands!AY36)),N(paid_brands!AW36)),""))</f>
        <v/>
      </c>
    </row>
    <row r="57" customFormat="false" ht="15" hidden="false" customHeight="false" outlineLevel="0" collapsed="false">
      <c r="B57" s="23" t="n">
        <v>36</v>
      </c>
      <c r="C57" s="23" t="str">
        <f aca="false">IFERROR(INDEX(Clay_Offices!$A$2:$FZ$601,B57,$C$5)&amp;"","")</f>
        <v>SAMPLE-O-037</v>
      </c>
      <c r="D57" s="23" t="str">
        <f aca="false">IFERROR(INDEX(Clay_Offices!$A$2:$FZ$601,B57,$C$7)&amp;"","")</f>
        <v>contacted</v>
      </c>
      <c r="E57" s="23" t="str">
        <f aca="false">IFERROR(INDEX(Clay_Offices!$A$2:$FZ$601,B57,$C$8)&amp;"","")</f>
        <v>N</v>
      </c>
      <c r="F57" s="23" t="str">
        <f aca="false">IF(C57="","",IF(COUNTIF(Office_Log!$A$2:$A$201,C57)&gt;0,"Y","N"))</f>
        <v>N</v>
      </c>
      <c r="G57" s="34" t="str">
        <f aca="false">IF(OR(C57="",AND(LEFT(C57,6)="SAMPLE",Config!$B$19&lt;&gt;"Y")),"",IF(IFERROR(INDEX(Lists!$K$2:$K$15,MATCH(D57,Lists!$J$2:$J$15,0)),-1)=-1,"status '"&amp;D57&amp;"' is not a CONTRACTS status",IF(AND(D57="signed",COUNTIF(signed_offices!$W$2:$W$51,C57)=0),"status signed but no signed_offices row"&amp;IF(F57="N"," and no tracker row",""),IF(AND(IFERROR(INDEX(Lists!$K$2:$K$15,MATCH(D57,Lists!$J$2:$J$15,0)),-1)&gt;=6,F57="N"),"status "&amp;D57&amp;" but no tracker row",IF(AND(E57="Y",D57&lt;&gt;"do_not_contact"),"do_not_contact = Y but status is "&amp;D57,IF(AND(D57="do_not_contact",E57&lt;&gt;"Y"),"status do_not_contact but do_not_contact is not Y",""))))))</f>
        <v/>
      </c>
      <c r="I57" s="23" t="n">
        <v>36</v>
      </c>
      <c r="J57" s="23" t="str">
        <f aca="false">IFERROR(INDEX(Clay_Brands!$A$2:$FZ$601,I57,$D$5)&amp;"","")</f>
        <v>SAMPLE-B-036</v>
      </c>
      <c r="K57" s="23" t="str">
        <f aca="false">IFERROR(INDEX(Clay_Brands!$A$2:$FZ$601,I57,$D$7)&amp;"","")</f>
        <v>not_now</v>
      </c>
      <c r="L57" s="23" t="str">
        <f aca="false">IFERROR(INDEX(Clay_Brands!$A$2:$FZ$601,I57,$D$8)&amp;"","")</f>
        <v>N</v>
      </c>
      <c r="M57" s="23" t="str">
        <f aca="false">IF(J57="","",IF(COUNTIF(Brand_Log!$A$2:$A$201,J57)&gt;0,"Y","N"))</f>
        <v>N</v>
      </c>
      <c r="N57" s="34" t="str">
        <f aca="false">IF(OR(J57="",AND(LEFT(J57,6)="SAMPLE",Config!$B$19&lt;&gt;"Y")),"",IF(IFERROR(INDEX(Lists!$K$2:$K$15,MATCH(K57,Lists!$J$2:$J$15,0)),-1)=-1,"status '"&amp;K57&amp;"' is not a CONTRACTS status",IF(AND(K57="paid",COUNTIF(paid_brands!$AC$2:$AC$51,J57)=0),"status paid but no paid_brands row"&amp;IF(M57="N"," and no tracker row",""),IF(AND(IFERROR(INDEX(Lists!$K$2:$K$15,MATCH(K57,Lists!$J$2:$J$15,0)),-1)&gt;=6,M57="N"),"status "&amp;K57&amp;" but no tracker row",IF(AND(L57="Y",K57&lt;&gt;"do_not_contact"),"do_not_contact = Y but status is "&amp;K57,IF(AND(K57="do_not_contact",L57&lt;&gt;"Y"),"status do_not_contact but do_not_contact is not Y",""))))))</f>
        <v/>
      </c>
      <c r="P57" s="23" t="str">
        <f aca="false">IF(signed_offices!W37="","",signed_offices!W37&amp;"")</f>
        <v/>
      </c>
      <c r="Q57" s="23" t="str">
        <f aca="false">IF(P57="","",IFERROR(INDEX(Clay_Offices!$A$2:$FZ$601,MATCH(P57,INDEX(Clay_Offices!$A$2:$FZ$601,0,$C$5),0),$C$7)&amp;"","not in Clay"))</f>
        <v/>
      </c>
      <c r="R57" s="23" t="str">
        <f aca="false">IF(OR(P57="",AND(LEFT(P57,6)="SAMPLE",Config!$B$19&lt;&gt;"Y")),"",IF(Q57="signed","","Clay status is "&amp;Q57&amp;": set signed"))</f>
        <v/>
      </c>
      <c r="T57" s="23" t="str">
        <f aca="false">IF(paid_brands!AC37="","",paid_brands!AC37&amp;"")</f>
        <v/>
      </c>
      <c r="U57" s="23" t="str">
        <f aca="false">IF(T57="","",IFERROR(INDEX(Clay_Brands!$A$2:$FZ$601,MATCH(T57,INDEX(Clay_Brands!$A$2:$FZ$601,0,$D$5),0),$D$7)&amp;"","not in Clay"))</f>
        <v/>
      </c>
      <c r="V57" s="23" t="str">
        <f aca="false">IF(OR(T57="",AND(LEFT(T57,6)="SAMPLE",Config!$B$19&lt;&gt;"Y")),"",IF(U57="paid","","Clay status is "&amp;U57&amp;": set paid"))</f>
        <v/>
      </c>
      <c r="X57" s="23" t="n">
        <v>37</v>
      </c>
      <c r="Y57" s="35" t="str">
        <f aca="false">IF(OR(TRIM(paid_brands!AC37)="",AND(LEFT(paid_brands!AC37,6)="SAMPLE",Config!$B$19&lt;&gt;"Y")),"",IF(AND(N(paid_brands!AE37)&gt;0,N(paid_brands!AV37)+N(paid_brands!AX37)&gt;=N(paid_brands!AE37)),IF(N(paid_brands!AX37)&gt;0,MAX(N(paid_brands!AW37),N(paid_brands!AY37)),N(paid_brands!AW37)),""))</f>
        <v/>
      </c>
    </row>
    <row r="58" customFormat="false" ht="15" hidden="false" customHeight="false" outlineLevel="0" collapsed="false">
      <c r="B58" s="23" t="n">
        <v>37</v>
      </c>
      <c r="C58" s="23" t="str">
        <f aca="false">IFERROR(INDEX(Clay_Offices!$A$2:$FZ$601,B58,$C$5)&amp;"","")</f>
        <v>SAMPLE-O-038</v>
      </c>
      <c r="D58" s="23" t="str">
        <f aca="false">IFERROR(INDEX(Clay_Offices!$A$2:$FZ$601,B58,$C$7)&amp;"","")</f>
        <v>replied</v>
      </c>
      <c r="E58" s="23" t="str">
        <f aca="false">IFERROR(INDEX(Clay_Offices!$A$2:$FZ$601,B58,$C$8)&amp;"","")</f>
        <v>N</v>
      </c>
      <c r="F58" s="23" t="str">
        <f aca="false">IF(C58="","",IF(COUNTIF(Office_Log!$A$2:$A$201,C58)&gt;0,"Y","N"))</f>
        <v>N</v>
      </c>
      <c r="G58" s="34" t="str">
        <f aca="false">IF(OR(C58="",AND(LEFT(C58,6)="SAMPLE",Config!$B$19&lt;&gt;"Y")),"",IF(IFERROR(INDEX(Lists!$K$2:$K$15,MATCH(D58,Lists!$J$2:$J$15,0)),-1)=-1,"status '"&amp;D58&amp;"' is not a CONTRACTS status",IF(AND(D58="signed",COUNTIF(signed_offices!$W$2:$W$51,C58)=0),"status signed but no signed_offices row"&amp;IF(F58="N"," and no tracker row",""),IF(AND(IFERROR(INDEX(Lists!$K$2:$K$15,MATCH(D58,Lists!$J$2:$J$15,0)),-1)&gt;=6,F58="N"),"status "&amp;D58&amp;" but no tracker row",IF(AND(E58="Y",D58&lt;&gt;"do_not_contact"),"do_not_contact = Y but status is "&amp;D58,IF(AND(D58="do_not_contact",E58&lt;&gt;"Y"),"status do_not_contact but do_not_contact is not Y",""))))))</f>
        <v/>
      </c>
      <c r="I58" s="23" t="n">
        <v>37</v>
      </c>
      <c r="J58" s="23" t="str">
        <f aca="false">IFERROR(INDEX(Clay_Brands!$A$2:$FZ$601,I58,$D$5)&amp;"","")</f>
        <v>SAMPLE-B-037</v>
      </c>
      <c r="K58" s="23" t="str">
        <f aca="false">IFERROR(INDEX(Clay_Brands!$A$2:$FZ$601,I58,$D$7)&amp;"","")</f>
        <v>contacted</v>
      </c>
      <c r="L58" s="23" t="str">
        <f aca="false">IFERROR(INDEX(Clay_Brands!$A$2:$FZ$601,I58,$D$8)&amp;"","")</f>
        <v>N</v>
      </c>
      <c r="M58" s="23" t="str">
        <f aca="false">IF(J58="","",IF(COUNTIF(Brand_Log!$A$2:$A$201,J58)&gt;0,"Y","N"))</f>
        <v>N</v>
      </c>
      <c r="N58" s="34" t="str">
        <f aca="false">IF(OR(J58="",AND(LEFT(J58,6)="SAMPLE",Config!$B$19&lt;&gt;"Y")),"",IF(IFERROR(INDEX(Lists!$K$2:$K$15,MATCH(K58,Lists!$J$2:$J$15,0)),-1)=-1,"status '"&amp;K58&amp;"' is not a CONTRACTS status",IF(AND(K58="paid",COUNTIF(paid_brands!$AC$2:$AC$51,J58)=0),"status paid but no paid_brands row"&amp;IF(M58="N"," and no tracker row",""),IF(AND(IFERROR(INDEX(Lists!$K$2:$K$15,MATCH(K58,Lists!$J$2:$J$15,0)),-1)&gt;=6,M58="N"),"status "&amp;K58&amp;" but no tracker row",IF(AND(L58="Y",K58&lt;&gt;"do_not_contact"),"do_not_contact = Y but status is "&amp;K58,IF(AND(K58="do_not_contact",L58&lt;&gt;"Y"),"status do_not_contact but do_not_contact is not Y",""))))))</f>
        <v/>
      </c>
      <c r="P58" s="23" t="str">
        <f aca="false">IF(signed_offices!W38="","",signed_offices!W38&amp;"")</f>
        <v/>
      </c>
      <c r="Q58" s="23" t="str">
        <f aca="false">IF(P58="","",IFERROR(INDEX(Clay_Offices!$A$2:$FZ$601,MATCH(P58,INDEX(Clay_Offices!$A$2:$FZ$601,0,$C$5),0),$C$7)&amp;"","not in Clay"))</f>
        <v/>
      </c>
      <c r="R58" s="23" t="str">
        <f aca="false">IF(OR(P58="",AND(LEFT(P58,6)="SAMPLE",Config!$B$19&lt;&gt;"Y")),"",IF(Q58="signed","","Clay status is "&amp;Q58&amp;": set signed"))</f>
        <v/>
      </c>
      <c r="T58" s="23" t="str">
        <f aca="false">IF(paid_brands!AC38="","",paid_brands!AC38&amp;"")</f>
        <v/>
      </c>
      <c r="U58" s="23" t="str">
        <f aca="false">IF(T58="","",IFERROR(INDEX(Clay_Brands!$A$2:$FZ$601,MATCH(T58,INDEX(Clay_Brands!$A$2:$FZ$601,0,$D$5),0),$D$7)&amp;"","not in Clay"))</f>
        <v/>
      </c>
      <c r="V58" s="23" t="str">
        <f aca="false">IF(OR(T58="",AND(LEFT(T58,6)="SAMPLE",Config!$B$19&lt;&gt;"Y")),"",IF(U58="paid","","Clay status is "&amp;U58&amp;": set paid"))</f>
        <v/>
      </c>
      <c r="X58" s="23" t="n">
        <v>38</v>
      </c>
      <c r="Y58" s="35" t="str">
        <f aca="false">IF(OR(TRIM(paid_brands!AC38)="",AND(LEFT(paid_brands!AC38,6)="SAMPLE",Config!$B$19&lt;&gt;"Y")),"",IF(AND(N(paid_brands!AE38)&gt;0,N(paid_brands!AV38)+N(paid_brands!AX38)&gt;=N(paid_brands!AE38)),IF(N(paid_brands!AX38)&gt;0,MAX(N(paid_brands!AW38),N(paid_brands!AY38)),N(paid_brands!AW38)),""))</f>
        <v/>
      </c>
    </row>
    <row r="59" customFormat="false" ht="15" hidden="false" customHeight="false" outlineLevel="0" collapsed="false">
      <c r="B59" s="23" t="n">
        <v>38</v>
      </c>
      <c r="C59" s="23" t="str">
        <f aca="false">IFERROR(INDEX(Clay_Offices!$A$2:$FZ$601,B59,$C$5)&amp;"","")</f>
        <v>SAMPLE-O-039</v>
      </c>
      <c r="D59" s="23" t="str">
        <f aca="false">IFERROR(INDEX(Clay_Offices!$A$2:$FZ$601,B59,$C$7)&amp;"","")</f>
        <v>contacted</v>
      </c>
      <c r="E59" s="23" t="str">
        <f aca="false">IFERROR(INDEX(Clay_Offices!$A$2:$FZ$601,B59,$C$8)&amp;"","")</f>
        <v>N</v>
      </c>
      <c r="F59" s="23" t="str">
        <f aca="false">IF(C59="","",IF(COUNTIF(Office_Log!$A$2:$A$201,C59)&gt;0,"Y","N"))</f>
        <v>N</v>
      </c>
      <c r="G59" s="34" t="str">
        <f aca="false">IF(OR(C59="",AND(LEFT(C59,6)="SAMPLE",Config!$B$19&lt;&gt;"Y")),"",IF(IFERROR(INDEX(Lists!$K$2:$K$15,MATCH(D59,Lists!$J$2:$J$15,0)),-1)=-1,"status '"&amp;D59&amp;"' is not a CONTRACTS status",IF(AND(D59="signed",COUNTIF(signed_offices!$W$2:$W$51,C59)=0),"status signed but no signed_offices row"&amp;IF(F59="N"," and no tracker row",""),IF(AND(IFERROR(INDEX(Lists!$K$2:$K$15,MATCH(D59,Lists!$J$2:$J$15,0)),-1)&gt;=6,F59="N"),"status "&amp;D59&amp;" but no tracker row",IF(AND(E59="Y",D59&lt;&gt;"do_not_contact"),"do_not_contact = Y but status is "&amp;D59,IF(AND(D59="do_not_contact",E59&lt;&gt;"Y"),"status do_not_contact but do_not_contact is not Y",""))))))</f>
        <v/>
      </c>
      <c r="I59" s="23" t="n">
        <v>38</v>
      </c>
      <c r="J59" s="23" t="str">
        <f aca="false">IFERROR(INDEX(Clay_Brands!$A$2:$FZ$601,I59,$D$5)&amp;"","")</f>
        <v>SAMPLE-B-038</v>
      </c>
      <c r="K59" s="23" t="str">
        <f aca="false">IFERROR(INDEX(Clay_Brands!$A$2:$FZ$601,I59,$D$7)&amp;"","")</f>
        <v>replied</v>
      </c>
      <c r="L59" s="23" t="str">
        <f aca="false">IFERROR(INDEX(Clay_Brands!$A$2:$FZ$601,I59,$D$8)&amp;"","")</f>
        <v>N</v>
      </c>
      <c r="M59" s="23" t="str">
        <f aca="false">IF(J59="","",IF(COUNTIF(Brand_Log!$A$2:$A$201,J59)&gt;0,"Y","N"))</f>
        <v>N</v>
      </c>
      <c r="N59" s="34" t="str">
        <f aca="false">IF(OR(J59="",AND(LEFT(J59,6)="SAMPLE",Config!$B$19&lt;&gt;"Y")),"",IF(IFERROR(INDEX(Lists!$K$2:$K$15,MATCH(K59,Lists!$J$2:$J$15,0)),-1)=-1,"status '"&amp;K59&amp;"' is not a CONTRACTS status",IF(AND(K59="paid",COUNTIF(paid_brands!$AC$2:$AC$51,J59)=0),"status paid but no paid_brands row"&amp;IF(M59="N"," and no tracker row",""),IF(AND(IFERROR(INDEX(Lists!$K$2:$K$15,MATCH(K59,Lists!$J$2:$J$15,0)),-1)&gt;=6,M59="N"),"status "&amp;K59&amp;" but no tracker row",IF(AND(L59="Y",K59&lt;&gt;"do_not_contact"),"do_not_contact = Y but status is "&amp;K59,IF(AND(K59="do_not_contact",L59&lt;&gt;"Y"),"status do_not_contact but do_not_contact is not Y",""))))))</f>
        <v/>
      </c>
      <c r="P59" s="23" t="str">
        <f aca="false">IF(signed_offices!W39="","",signed_offices!W39&amp;"")</f>
        <v/>
      </c>
      <c r="Q59" s="23" t="str">
        <f aca="false">IF(P59="","",IFERROR(INDEX(Clay_Offices!$A$2:$FZ$601,MATCH(P59,INDEX(Clay_Offices!$A$2:$FZ$601,0,$C$5),0),$C$7)&amp;"","not in Clay"))</f>
        <v/>
      </c>
      <c r="R59" s="23" t="str">
        <f aca="false">IF(OR(P59="",AND(LEFT(P59,6)="SAMPLE",Config!$B$19&lt;&gt;"Y")),"",IF(Q59="signed","","Clay status is "&amp;Q59&amp;": set signed"))</f>
        <v/>
      </c>
      <c r="T59" s="23" t="str">
        <f aca="false">IF(paid_brands!AC39="","",paid_brands!AC39&amp;"")</f>
        <v/>
      </c>
      <c r="U59" s="23" t="str">
        <f aca="false">IF(T59="","",IFERROR(INDEX(Clay_Brands!$A$2:$FZ$601,MATCH(T59,INDEX(Clay_Brands!$A$2:$FZ$601,0,$D$5),0),$D$7)&amp;"","not in Clay"))</f>
        <v/>
      </c>
      <c r="V59" s="23" t="str">
        <f aca="false">IF(OR(T59="",AND(LEFT(T59,6)="SAMPLE",Config!$B$19&lt;&gt;"Y")),"",IF(U59="paid","","Clay status is "&amp;U59&amp;": set paid"))</f>
        <v/>
      </c>
      <c r="X59" s="23" t="n">
        <v>39</v>
      </c>
      <c r="Y59" s="35" t="str">
        <f aca="false">IF(OR(TRIM(paid_brands!AC39)="",AND(LEFT(paid_brands!AC39,6)="SAMPLE",Config!$B$19&lt;&gt;"Y")),"",IF(AND(N(paid_brands!AE39)&gt;0,N(paid_brands!AV39)+N(paid_brands!AX39)&gt;=N(paid_brands!AE39)),IF(N(paid_brands!AX39)&gt;0,MAX(N(paid_brands!AW39),N(paid_brands!AY39)),N(paid_brands!AW39)),""))</f>
        <v/>
      </c>
    </row>
    <row r="60" customFormat="false" ht="15" hidden="false" customHeight="false" outlineLevel="0" collapsed="false">
      <c r="B60" s="23" t="n">
        <v>39</v>
      </c>
      <c r="C60" s="23" t="str">
        <f aca="false">IFERROR(INDEX(Clay_Offices!$A$2:$FZ$601,B60,$C$5)&amp;"","")</f>
        <v>SAMPLE-O-040</v>
      </c>
      <c r="D60" s="23" t="str">
        <f aca="false">IFERROR(INDEX(Clay_Offices!$A$2:$FZ$601,B60,$C$7)&amp;"","")</f>
        <v>contacted</v>
      </c>
      <c r="E60" s="23" t="str">
        <f aca="false">IFERROR(INDEX(Clay_Offices!$A$2:$FZ$601,B60,$C$8)&amp;"","")</f>
        <v>N</v>
      </c>
      <c r="F60" s="23" t="str">
        <f aca="false">IF(C60="","",IF(COUNTIF(Office_Log!$A$2:$A$201,C60)&gt;0,"Y","N"))</f>
        <v>N</v>
      </c>
      <c r="G60" s="34" t="str">
        <f aca="false">IF(OR(C60="",AND(LEFT(C60,6)="SAMPLE",Config!$B$19&lt;&gt;"Y")),"",IF(IFERROR(INDEX(Lists!$K$2:$K$15,MATCH(D60,Lists!$J$2:$J$15,0)),-1)=-1,"status '"&amp;D60&amp;"' is not a CONTRACTS status",IF(AND(D60="signed",COUNTIF(signed_offices!$W$2:$W$51,C60)=0),"status signed but no signed_offices row"&amp;IF(F60="N"," and no tracker row",""),IF(AND(IFERROR(INDEX(Lists!$K$2:$K$15,MATCH(D60,Lists!$J$2:$J$15,0)),-1)&gt;=6,F60="N"),"status "&amp;D60&amp;" but no tracker row",IF(AND(E60="Y",D60&lt;&gt;"do_not_contact"),"do_not_contact = Y but status is "&amp;D60,IF(AND(D60="do_not_contact",E60&lt;&gt;"Y"),"status do_not_contact but do_not_contact is not Y",""))))))</f>
        <v/>
      </c>
      <c r="I60" s="23" t="n">
        <v>39</v>
      </c>
      <c r="J60" s="23" t="str">
        <f aca="false">IFERROR(INDEX(Clay_Brands!$A$2:$FZ$601,I60,$D$5)&amp;"","")</f>
        <v>SAMPLE-B-039</v>
      </c>
      <c r="K60" s="23" t="str">
        <f aca="false">IFERROR(INDEX(Clay_Brands!$A$2:$FZ$601,I60,$D$7)&amp;"","")</f>
        <v>contacted</v>
      </c>
      <c r="L60" s="23" t="str">
        <f aca="false">IFERROR(INDEX(Clay_Brands!$A$2:$FZ$601,I60,$D$8)&amp;"","")</f>
        <v>N</v>
      </c>
      <c r="M60" s="23" t="str">
        <f aca="false">IF(J60="","",IF(COUNTIF(Brand_Log!$A$2:$A$201,J60)&gt;0,"Y","N"))</f>
        <v>N</v>
      </c>
      <c r="N60" s="34" t="str">
        <f aca="false">IF(OR(J60="",AND(LEFT(J60,6)="SAMPLE",Config!$B$19&lt;&gt;"Y")),"",IF(IFERROR(INDEX(Lists!$K$2:$K$15,MATCH(K60,Lists!$J$2:$J$15,0)),-1)=-1,"status '"&amp;K60&amp;"' is not a CONTRACTS status",IF(AND(K60="paid",COUNTIF(paid_brands!$AC$2:$AC$51,J60)=0),"status paid but no paid_brands row"&amp;IF(M60="N"," and no tracker row",""),IF(AND(IFERROR(INDEX(Lists!$K$2:$K$15,MATCH(K60,Lists!$J$2:$J$15,0)),-1)&gt;=6,M60="N"),"status "&amp;K60&amp;" but no tracker row",IF(AND(L60="Y",K60&lt;&gt;"do_not_contact"),"do_not_contact = Y but status is "&amp;K60,IF(AND(K60="do_not_contact",L60&lt;&gt;"Y"),"status do_not_contact but do_not_contact is not Y",""))))))</f>
        <v/>
      </c>
      <c r="P60" s="23" t="str">
        <f aca="false">IF(signed_offices!W40="","",signed_offices!W40&amp;"")</f>
        <v/>
      </c>
      <c r="Q60" s="23" t="str">
        <f aca="false">IF(P60="","",IFERROR(INDEX(Clay_Offices!$A$2:$FZ$601,MATCH(P60,INDEX(Clay_Offices!$A$2:$FZ$601,0,$C$5),0),$C$7)&amp;"","not in Clay"))</f>
        <v/>
      </c>
      <c r="R60" s="23" t="str">
        <f aca="false">IF(OR(P60="",AND(LEFT(P60,6)="SAMPLE",Config!$B$19&lt;&gt;"Y")),"",IF(Q60="signed","","Clay status is "&amp;Q60&amp;": set signed"))</f>
        <v/>
      </c>
      <c r="T60" s="23" t="str">
        <f aca="false">IF(paid_brands!AC40="","",paid_brands!AC40&amp;"")</f>
        <v/>
      </c>
      <c r="U60" s="23" t="str">
        <f aca="false">IF(T60="","",IFERROR(INDEX(Clay_Brands!$A$2:$FZ$601,MATCH(T60,INDEX(Clay_Brands!$A$2:$FZ$601,0,$D$5),0),$D$7)&amp;"","not in Clay"))</f>
        <v/>
      </c>
      <c r="V60" s="23" t="str">
        <f aca="false">IF(OR(T60="",AND(LEFT(T60,6)="SAMPLE",Config!$B$19&lt;&gt;"Y")),"",IF(U60="paid","","Clay status is "&amp;U60&amp;": set paid"))</f>
        <v/>
      </c>
      <c r="X60" s="23" t="n">
        <v>40</v>
      </c>
      <c r="Y60" s="35" t="str">
        <f aca="false">IF(OR(TRIM(paid_brands!AC40)="",AND(LEFT(paid_brands!AC40,6)="SAMPLE",Config!$B$19&lt;&gt;"Y")),"",IF(AND(N(paid_brands!AE40)&gt;0,N(paid_brands!AV40)+N(paid_brands!AX40)&gt;=N(paid_brands!AE40)),IF(N(paid_brands!AX40)&gt;0,MAX(N(paid_brands!AW40),N(paid_brands!AY40)),N(paid_brands!AW40)),""))</f>
        <v/>
      </c>
    </row>
    <row r="61" customFormat="false" ht="15" hidden="false" customHeight="false" outlineLevel="0" collapsed="false">
      <c r="B61" s="23" t="n">
        <v>40</v>
      </c>
      <c r="C61" s="23" t="str">
        <f aca="false">IFERROR(INDEX(Clay_Offices!$A$2:$FZ$601,B61,$C$5)&amp;"","")</f>
        <v/>
      </c>
      <c r="D61" s="23" t="str">
        <f aca="false">IFERROR(INDEX(Clay_Offices!$A$2:$FZ$601,B61,$C$7)&amp;"","")</f>
        <v/>
      </c>
      <c r="E61" s="23" t="str">
        <f aca="false">IFERROR(INDEX(Clay_Offices!$A$2:$FZ$601,B61,$C$8)&amp;"","")</f>
        <v/>
      </c>
      <c r="F61" s="23" t="str">
        <f aca="false">IF(C61="","",IF(COUNTIF(Office_Log!$A$2:$A$201,C61)&gt;0,"Y","N"))</f>
        <v/>
      </c>
      <c r="G61" s="34" t="str">
        <f aca="false">IF(OR(C61="",AND(LEFT(C61,6)="SAMPLE",Config!$B$19&lt;&gt;"Y")),"",IF(IFERROR(INDEX(Lists!$K$2:$K$15,MATCH(D61,Lists!$J$2:$J$15,0)),-1)=-1,"status '"&amp;D61&amp;"' is not a CONTRACTS status",IF(AND(D61="signed",COUNTIF(signed_offices!$W$2:$W$51,C61)=0),"status signed but no signed_offices row"&amp;IF(F61="N"," and no tracker row",""),IF(AND(IFERROR(INDEX(Lists!$K$2:$K$15,MATCH(D61,Lists!$J$2:$J$15,0)),-1)&gt;=6,F61="N"),"status "&amp;D61&amp;" but no tracker row",IF(AND(E61="Y",D61&lt;&gt;"do_not_contact"),"do_not_contact = Y but status is "&amp;D61,IF(AND(D61="do_not_contact",E61&lt;&gt;"Y"),"status do_not_contact but do_not_contact is not Y",""))))))</f>
        <v/>
      </c>
      <c r="I61" s="23" t="n">
        <v>40</v>
      </c>
      <c r="J61" s="23" t="str">
        <f aca="false">IFERROR(INDEX(Clay_Brands!$A$2:$FZ$601,I61,$D$5)&amp;"","")</f>
        <v>SAMPLE-B-040</v>
      </c>
      <c r="K61" s="23" t="str">
        <f aca="false">IFERROR(INDEX(Clay_Brands!$A$2:$FZ$601,I61,$D$7)&amp;"","")</f>
        <v>contacted</v>
      </c>
      <c r="L61" s="23" t="str">
        <f aca="false">IFERROR(INDEX(Clay_Brands!$A$2:$FZ$601,I61,$D$8)&amp;"","")</f>
        <v>N</v>
      </c>
      <c r="M61" s="23" t="str">
        <f aca="false">IF(J61="","",IF(COUNTIF(Brand_Log!$A$2:$A$201,J61)&gt;0,"Y","N"))</f>
        <v>N</v>
      </c>
      <c r="N61" s="34" t="str">
        <f aca="false">IF(OR(J61="",AND(LEFT(J61,6)="SAMPLE",Config!$B$19&lt;&gt;"Y")),"",IF(IFERROR(INDEX(Lists!$K$2:$K$15,MATCH(K61,Lists!$J$2:$J$15,0)),-1)=-1,"status '"&amp;K61&amp;"' is not a CONTRACTS status",IF(AND(K61="paid",COUNTIF(paid_brands!$AC$2:$AC$51,J61)=0),"status paid but no paid_brands row"&amp;IF(M61="N"," and no tracker row",""),IF(AND(IFERROR(INDEX(Lists!$K$2:$K$15,MATCH(K61,Lists!$J$2:$J$15,0)),-1)&gt;=6,M61="N"),"status "&amp;K61&amp;" but no tracker row",IF(AND(L61="Y",K61&lt;&gt;"do_not_contact"),"do_not_contact = Y but status is "&amp;K61,IF(AND(K61="do_not_contact",L61&lt;&gt;"Y"),"status do_not_contact but do_not_contact is not Y",""))))))</f>
        <v/>
      </c>
      <c r="P61" s="23" t="str">
        <f aca="false">IF(signed_offices!W41="","",signed_offices!W41&amp;"")</f>
        <v/>
      </c>
      <c r="Q61" s="23" t="str">
        <f aca="false">IF(P61="","",IFERROR(INDEX(Clay_Offices!$A$2:$FZ$601,MATCH(P61,INDEX(Clay_Offices!$A$2:$FZ$601,0,$C$5),0),$C$7)&amp;"","not in Clay"))</f>
        <v/>
      </c>
      <c r="R61" s="23" t="str">
        <f aca="false">IF(OR(P61="",AND(LEFT(P61,6)="SAMPLE",Config!$B$19&lt;&gt;"Y")),"",IF(Q61="signed","","Clay status is "&amp;Q61&amp;": set signed"))</f>
        <v/>
      </c>
      <c r="T61" s="23" t="str">
        <f aca="false">IF(paid_brands!AC41="","",paid_brands!AC41&amp;"")</f>
        <v/>
      </c>
      <c r="U61" s="23" t="str">
        <f aca="false">IF(T61="","",IFERROR(INDEX(Clay_Brands!$A$2:$FZ$601,MATCH(T61,INDEX(Clay_Brands!$A$2:$FZ$601,0,$D$5),0),$D$7)&amp;"","not in Clay"))</f>
        <v/>
      </c>
      <c r="V61" s="23" t="str">
        <f aca="false">IF(OR(T61="",AND(LEFT(T61,6)="SAMPLE",Config!$B$19&lt;&gt;"Y")),"",IF(U61="paid","","Clay status is "&amp;U61&amp;": set paid"))</f>
        <v/>
      </c>
      <c r="X61" s="23" t="n">
        <v>41</v>
      </c>
      <c r="Y61" s="35" t="str">
        <f aca="false">IF(OR(TRIM(paid_brands!AC41)="",AND(LEFT(paid_brands!AC41,6)="SAMPLE",Config!$B$19&lt;&gt;"Y")),"",IF(AND(N(paid_brands!AE41)&gt;0,N(paid_brands!AV41)+N(paid_brands!AX41)&gt;=N(paid_brands!AE41)),IF(N(paid_brands!AX41)&gt;0,MAX(N(paid_brands!AW41),N(paid_brands!AY41)),N(paid_brands!AW41)),""))</f>
        <v/>
      </c>
    </row>
    <row r="62" customFormat="false" ht="15" hidden="false" customHeight="false" outlineLevel="0" collapsed="false">
      <c r="B62" s="23" t="n">
        <v>41</v>
      </c>
      <c r="C62" s="23" t="str">
        <f aca="false">IFERROR(INDEX(Clay_Offices!$A$2:$FZ$601,B62,$C$5)&amp;"","")</f>
        <v/>
      </c>
      <c r="D62" s="23" t="str">
        <f aca="false">IFERROR(INDEX(Clay_Offices!$A$2:$FZ$601,B62,$C$7)&amp;"","")</f>
        <v/>
      </c>
      <c r="E62" s="23" t="str">
        <f aca="false">IFERROR(INDEX(Clay_Offices!$A$2:$FZ$601,B62,$C$8)&amp;"","")</f>
        <v/>
      </c>
      <c r="F62" s="23" t="str">
        <f aca="false">IF(C62="","",IF(COUNTIF(Office_Log!$A$2:$A$201,C62)&gt;0,"Y","N"))</f>
        <v/>
      </c>
      <c r="G62" s="34" t="str">
        <f aca="false">IF(OR(C62="",AND(LEFT(C62,6)="SAMPLE",Config!$B$19&lt;&gt;"Y")),"",IF(IFERROR(INDEX(Lists!$K$2:$K$15,MATCH(D62,Lists!$J$2:$J$15,0)),-1)=-1,"status '"&amp;D62&amp;"' is not a CONTRACTS status",IF(AND(D62="signed",COUNTIF(signed_offices!$W$2:$W$51,C62)=0),"status signed but no signed_offices row"&amp;IF(F62="N"," and no tracker row",""),IF(AND(IFERROR(INDEX(Lists!$K$2:$K$15,MATCH(D62,Lists!$J$2:$J$15,0)),-1)&gt;=6,F62="N"),"status "&amp;D62&amp;" but no tracker row",IF(AND(E62="Y",D62&lt;&gt;"do_not_contact"),"do_not_contact = Y but status is "&amp;D62,IF(AND(D62="do_not_contact",E62&lt;&gt;"Y"),"status do_not_contact but do_not_contact is not Y",""))))))</f>
        <v/>
      </c>
      <c r="I62" s="23" t="n">
        <v>41</v>
      </c>
      <c r="J62" s="23" t="str">
        <f aca="false">IFERROR(INDEX(Clay_Brands!$A$2:$FZ$601,I62,$D$5)&amp;"","")</f>
        <v/>
      </c>
      <c r="K62" s="23" t="str">
        <f aca="false">IFERROR(INDEX(Clay_Brands!$A$2:$FZ$601,I62,$D$7)&amp;"","")</f>
        <v/>
      </c>
      <c r="L62" s="23" t="str">
        <f aca="false">IFERROR(INDEX(Clay_Brands!$A$2:$FZ$601,I62,$D$8)&amp;"","")</f>
        <v/>
      </c>
      <c r="M62" s="23" t="str">
        <f aca="false">IF(J62="","",IF(COUNTIF(Brand_Log!$A$2:$A$201,J62)&gt;0,"Y","N"))</f>
        <v/>
      </c>
      <c r="N62" s="34" t="str">
        <f aca="false">IF(OR(J62="",AND(LEFT(J62,6)="SAMPLE",Config!$B$19&lt;&gt;"Y")),"",IF(IFERROR(INDEX(Lists!$K$2:$K$15,MATCH(K62,Lists!$J$2:$J$15,0)),-1)=-1,"status '"&amp;K62&amp;"' is not a CONTRACTS status",IF(AND(K62="paid",COUNTIF(paid_brands!$AC$2:$AC$51,J62)=0),"status paid but no paid_brands row"&amp;IF(M62="N"," and no tracker row",""),IF(AND(IFERROR(INDEX(Lists!$K$2:$K$15,MATCH(K62,Lists!$J$2:$J$15,0)),-1)&gt;=6,M62="N"),"status "&amp;K62&amp;" but no tracker row",IF(AND(L62="Y",K62&lt;&gt;"do_not_contact"),"do_not_contact = Y but status is "&amp;K62,IF(AND(K62="do_not_contact",L62&lt;&gt;"Y"),"status do_not_contact but do_not_contact is not Y",""))))))</f>
        <v/>
      </c>
      <c r="P62" s="23" t="str">
        <f aca="false">IF(signed_offices!W42="","",signed_offices!W42&amp;"")</f>
        <v/>
      </c>
      <c r="Q62" s="23" t="str">
        <f aca="false">IF(P62="","",IFERROR(INDEX(Clay_Offices!$A$2:$FZ$601,MATCH(P62,INDEX(Clay_Offices!$A$2:$FZ$601,0,$C$5),0),$C$7)&amp;"","not in Clay"))</f>
        <v/>
      </c>
      <c r="R62" s="23" t="str">
        <f aca="false">IF(OR(P62="",AND(LEFT(P62,6)="SAMPLE",Config!$B$19&lt;&gt;"Y")),"",IF(Q62="signed","","Clay status is "&amp;Q62&amp;": set signed"))</f>
        <v/>
      </c>
      <c r="T62" s="23" t="str">
        <f aca="false">IF(paid_brands!AC42="","",paid_brands!AC42&amp;"")</f>
        <v/>
      </c>
      <c r="U62" s="23" t="str">
        <f aca="false">IF(T62="","",IFERROR(INDEX(Clay_Brands!$A$2:$FZ$601,MATCH(T62,INDEX(Clay_Brands!$A$2:$FZ$601,0,$D$5),0),$D$7)&amp;"","not in Clay"))</f>
        <v/>
      </c>
      <c r="V62" s="23" t="str">
        <f aca="false">IF(OR(T62="",AND(LEFT(T62,6)="SAMPLE",Config!$B$19&lt;&gt;"Y")),"",IF(U62="paid","","Clay status is "&amp;U62&amp;": set paid"))</f>
        <v/>
      </c>
      <c r="X62" s="23" t="n">
        <v>42</v>
      </c>
      <c r="Y62" s="35" t="str">
        <f aca="false">IF(OR(TRIM(paid_brands!AC42)="",AND(LEFT(paid_brands!AC42,6)="SAMPLE",Config!$B$19&lt;&gt;"Y")),"",IF(AND(N(paid_brands!AE42)&gt;0,N(paid_brands!AV42)+N(paid_brands!AX42)&gt;=N(paid_brands!AE42)),IF(N(paid_brands!AX42)&gt;0,MAX(N(paid_brands!AW42),N(paid_brands!AY42)),N(paid_brands!AW42)),""))</f>
        <v/>
      </c>
    </row>
    <row r="63" customFormat="false" ht="15" hidden="false" customHeight="false" outlineLevel="0" collapsed="false">
      <c r="B63" s="23" t="n">
        <v>42</v>
      </c>
      <c r="C63" s="23" t="str">
        <f aca="false">IFERROR(INDEX(Clay_Offices!$A$2:$FZ$601,B63,$C$5)&amp;"","")</f>
        <v/>
      </c>
      <c r="D63" s="23" t="str">
        <f aca="false">IFERROR(INDEX(Clay_Offices!$A$2:$FZ$601,B63,$C$7)&amp;"","")</f>
        <v/>
      </c>
      <c r="E63" s="23" t="str">
        <f aca="false">IFERROR(INDEX(Clay_Offices!$A$2:$FZ$601,B63,$C$8)&amp;"","")</f>
        <v/>
      </c>
      <c r="F63" s="23" t="str">
        <f aca="false">IF(C63="","",IF(COUNTIF(Office_Log!$A$2:$A$201,C63)&gt;0,"Y","N"))</f>
        <v/>
      </c>
      <c r="G63" s="34" t="str">
        <f aca="false">IF(OR(C63="",AND(LEFT(C63,6)="SAMPLE",Config!$B$19&lt;&gt;"Y")),"",IF(IFERROR(INDEX(Lists!$K$2:$K$15,MATCH(D63,Lists!$J$2:$J$15,0)),-1)=-1,"status '"&amp;D63&amp;"' is not a CONTRACTS status",IF(AND(D63="signed",COUNTIF(signed_offices!$W$2:$W$51,C63)=0),"status signed but no signed_offices row"&amp;IF(F63="N"," and no tracker row",""),IF(AND(IFERROR(INDEX(Lists!$K$2:$K$15,MATCH(D63,Lists!$J$2:$J$15,0)),-1)&gt;=6,F63="N"),"status "&amp;D63&amp;" but no tracker row",IF(AND(E63="Y",D63&lt;&gt;"do_not_contact"),"do_not_contact = Y but status is "&amp;D63,IF(AND(D63="do_not_contact",E63&lt;&gt;"Y"),"status do_not_contact but do_not_contact is not Y",""))))))</f>
        <v/>
      </c>
      <c r="I63" s="23" t="n">
        <v>42</v>
      </c>
      <c r="J63" s="23" t="str">
        <f aca="false">IFERROR(INDEX(Clay_Brands!$A$2:$FZ$601,I63,$D$5)&amp;"","")</f>
        <v/>
      </c>
      <c r="K63" s="23" t="str">
        <f aca="false">IFERROR(INDEX(Clay_Brands!$A$2:$FZ$601,I63,$D$7)&amp;"","")</f>
        <v/>
      </c>
      <c r="L63" s="23" t="str">
        <f aca="false">IFERROR(INDEX(Clay_Brands!$A$2:$FZ$601,I63,$D$8)&amp;"","")</f>
        <v/>
      </c>
      <c r="M63" s="23" t="str">
        <f aca="false">IF(J63="","",IF(COUNTIF(Brand_Log!$A$2:$A$201,J63)&gt;0,"Y","N"))</f>
        <v/>
      </c>
      <c r="N63" s="34" t="str">
        <f aca="false">IF(OR(J63="",AND(LEFT(J63,6)="SAMPLE",Config!$B$19&lt;&gt;"Y")),"",IF(IFERROR(INDEX(Lists!$K$2:$K$15,MATCH(K63,Lists!$J$2:$J$15,0)),-1)=-1,"status '"&amp;K63&amp;"' is not a CONTRACTS status",IF(AND(K63="paid",COUNTIF(paid_brands!$AC$2:$AC$51,J63)=0),"status paid but no paid_brands row"&amp;IF(M63="N"," and no tracker row",""),IF(AND(IFERROR(INDEX(Lists!$K$2:$K$15,MATCH(K63,Lists!$J$2:$J$15,0)),-1)&gt;=6,M63="N"),"status "&amp;K63&amp;" but no tracker row",IF(AND(L63="Y",K63&lt;&gt;"do_not_contact"),"do_not_contact = Y but status is "&amp;K63,IF(AND(K63="do_not_contact",L63&lt;&gt;"Y"),"status do_not_contact but do_not_contact is not Y",""))))))</f>
        <v/>
      </c>
      <c r="P63" s="23" t="str">
        <f aca="false">IF(signed_offices!W43="","",signed_offices!W43&amp;"")</f>
        <v/>
      </c>
      <c r="Q63" s="23" t="str">
        <f aca="false">IF(P63="","",IFERROR(INDEX(Clay_Offices!$A$2:$FZ$601,MATCH(P63,INDEX(Clay_Offices!$A$2:$FZ$601,0,$C$5),0),$C$7)&amp;"","not in Clay"))</f>
        <v/>
      </c>
      <c r="R63" s="23" t="str">
        <f aca="false">IF(OR(P63="",AND(LEFT(P63,6)="SAMPLE",Config!$B$19&lt;&gt;"Y")),"",IF(Q63="signed","","Clay status is "&amp;Q63&amp;": set signed"))</f>
        <v/>
      </c>
      <c r="T63" s="23" t="str">
        <f aca="false">IF(paid_brands!AC43="","",paid_brands!AC43&amp;"")</f>
        <v/>
      </c>
      <c r="U63" s="23" t="str">
        <f aca="false">IF(T63="","",IFERROR(INDEX(Clay_Brands!$A$2:$FZ$601,MATCH(T63,INDEX(Clay_Brands!$A$2:$FZ$601,0,$D$5),0),$D$7)&amp;"","not in Clay"))</f>
        <v/>
      </c>
      <c r="V63" s="23" t="str">
        <f aca="false">IF(OR(T63="",AND(LEFT(T63,6)="SAMPLE",Config!$B$19&lt;&gt;"Y")),"",IF(U63="paid","","Clay status is "&amp;U63&amp;": set paid"))</f>
        <v/>
      </c>
      <c r="X63" s="23" t="n">
        <v>43</v>
      </c>
      <c r="Y63" s="35" t="str">
        <f aca="false">IF(OR(TRIM(paid_brands!AC43)="",AND(LEFT(paid_brands!AC43,6)="SAMPLE",Config!$B$19&lt;&gt;"Y")),"",IF(AND(N(paid_brands!AE43)&gt;0,N(paid_brands!AV43)+N(paid_brands!AX43)&gt;=N(paid_brands!AE43)),IF(N(paid_brands!AX43)&gt;0,MAX(N(paid_brands!AW43),N(paid_brands!AY43)),N(paid_brands!AW43)),""))</f>
        <v/>
      </c>
    </row>
    <row r="64" customFormat="false" ht="15" hidden="false" customHeight="false" outlineLevel="0" collapsed="false">
      <c r="B64" s="23" t="n">
        <v>43</v>
      </c>
      <c r="C64" s="23" t="str">
        <f aca="false">IFERROR(INDEX(Clay_Offices!$A$2:$FZ$601,B64,$C$5)&amp;"","")</f>
        <v/>
      </c>
      <c r="D64" s="23" t="str">
        <f aca="false">IFERROR(INDEX(Clay_Offices!$A$2:$FZ$601,B64,$C$7)&amp;"","")</f>
        <v/>
      </c>
      <c r="E64" s="23" t="str">
        <f aca="false">IFERROR(INDEX(Clay_Offices!$A$2:$FZ$601,B64,$C$8)&amp;"","")</f>
        <v/>
      </c>
      <c r="F64" s="23" t="str">
        <f aca="false">IF(C64="","",IF(COUNTIF(Office_Log!$A$2:$A$201,C64)&gt;0,"Y","N"))</f>
        <v/>
      </c>
      <c r="G64" s="34" t="str">
        <f aca="false">IF(OR(C64="",AND(LEFT(C64,6)="SAMPLE",Config!$B$19&lt;&gt;"Y")),"",IF(IFERROR(INDEX(Lists!$K$2:$K$15,MATCH(D64,Lists!$J$2:$J$15,0)),-1)=-1,"status '"&amp;D64&amp;"' is not a CONTRACTS status",IF(AND(D64="signed",COUNTIF(signed_offices!$W$2:$W$51,C64)=0),"status signed but no signed_offices row"&amp;IF(F64="N"," and no tracker row",""),IF(AND(IFERROR(INDEX(Lists!$K$2:$K$15,MATCH(D64,Lists!$J$2:$J$15,0)),-1)&gt;=6,F64="N"),"status "&amp;D64&amp;" but no tracker row",IF(AND(E64="Y",D64&lt;&gt;"do_not_contact"),"do_not_contact = Y but status is "&amp;D64,IF(AND(D64="do_not_contact",E64&lt;&gt;"Y"),"status do_not_contact but do_not_contact is not Y",""))))))</f>
        <v/>
      </c>
      <c r="I64" s="23" t="n">
        <v>43</v>
      </c>
      <c r="J64" s="23" t="str">
        <f aca="false">IFERROR(INDEX(Clay_Brands!$A$2:$FZ$601,I64,$D$5)&amp;"","")</f>
        <v/>
      </c>
      <c r="K64" s="23" t="str">
        <f aca="false">IFERROR(INDEX(Clay_Brands!$A$2:$FZ$601,I64,$D$7)&amp;"","")</f>
        <v/>
      </c>
      <c r="L64" s="23" t="str">
        <f aca="false">IFERROR(INDEX(Clay_Brands!$A$2:$FZ$601,I64,$D$8)&amp;"","")</f>
        <v/>
      </c>
      <c r="M64" s="23" t="str">
        <f aca="false">IF(J64="","",IF(COUNTIF(Brand_Log!$A$2:$A$201,J64)&gt;0,"Y","N"))</f>
        <v/>
      </c>
      <c r="N64" s="34" t="str">
        <f aca="false">IF(OR(J64="",AND(LEFT(J64,6)="SAMPLE",Config!$B$19&lt;&gt;"Y")),"",IF(IFERROR(INDEX(Lists!$K$2:$K$15,MATCH(K64,Lists!$J$2:$J$15,0)),-1)=-1,"status '"&amp;K64&amp;"' is not a CONTRACTS status",IF(AND(K64="paid",COUNTIF(paid_brands!$AC$2:$AC$51,J64)=0),"status paid but no paid_brands row"&amp;IF(M64="N"," and no tracker row",""),IF(AND(IFERROR(INDEX(Lists!$K$2:$K$15,MATCH(K64,Lists!$J$2:$J$15,0)),-1)&gt;=6,M64="N"),"status "&amp;K64&amp;" but no tracker row",IF(AND(L64="Y",K64&lt;&gt;"do_not_contact"),"do_not_contact = Y but status is "&amp;K64,IF(AND(K64="do_not_contact",L64&lt;&gt;"Y"),"status do_not_contact but do_not_contact is not Y",""))))))</f>
        <v/>
      </c>
      <c r="P64" s="23" t="str">
        <f aca="false">IF(signed_offices!W44="","",signed_offices!W44&amp;"")</f>
        <v/>
      </c>
      <c r="Q64" s="23" t="str">
        <f aca="false">IF(P64="","",IFERROR(INDEX(Clay_Offices!$A$2:$FZ$601,MATCH(P64,INDEX(Clay_Offices!$A$2:$FZ$601,0,$C$5),0),$C$7)&amp;"","not in Clay"))</f>
        <v/>
      </c>
      <c r="R64" s="23" t="str">
        <f aca="false">IF(OR(P64="",AND(LEFT(P64,6)="SAMPLE",Config!$B$19&lt;&gt;"Y")),"",IF(Q64="signed","","Clay status is "&amp;Q64&amp;": set signed"))</f>
        <v/>
      </c>
      <c r="T64" s="23" t="str">
        <f aca="false">IF(paid_brands!AC44="","",paid_brands!AC44&amp;"")</f>
        <v/>
      </c>
      <c r="U64" s="23" t="str">
        <f aca="false">IF(T64="","",IFERROR(INDEX(Clay_Brands!$A$2:$FZ$601,MATCH(T64,INDEX(Clay_Brands!$A$2:$FZ$601,0,$D$5),0),$D$7)&amp;"","not in Clay"))</f>
        <v/>
      </c>
      <c r="V64" s="23" t="str">
        <f aca="false">IF(OR(T64="",AND(LEFT(T64,6)="SAMPLE",Config!$B$19&lt;&gt;"Y")),"",IF(U64="paid","","Clay status is "&amp;U64&amp;": set paid"))</f>
        <v/>
      </c>
      <c r="X64" s="23" t="n">
        <v>44</v>
      </c>
      <c r="Y64" s="35" t="str">
        <f aca="false">IF(OR(TRIM(paid_brands!AC44)="",AND(LEFT(paid_brands!AC44,6)="SAMPLE",Config!$B$19&lt;&gt;"Y")),"",IF(AND(N(paid_brands!AE44)&gt;0,N(paid_brands!AV44)+N(paid_brands!AX44)&gt;=N(paid_brands!AE44)),IF(N(paid_brands!AX44)&gt;0,MAX(N(paid_brands!AW44),N(paid_brands!AY44)),N(paid_brands!AW44)),""))</f>
        <v/>
      </c>
    </row>
    <row r="65" customFormat="false" ht="15" hidden="false" customHeight="false" outlineLevel="0" collapsed="false">
      <c r="B65" s="23" t="n">
        <v>44</v>
      </c>
      <c r="C65" s="23" t="str">
        <f aca="false">IFERROR(INDEX(Clay_Offices!$A$2:$FZ$601,B65,$C$5)&amp;"","")</f>
        <v/>
      </c>
      <c r="D65" s="23" t="str">
        <f aca="false">IFERROR(INDEX(Clay_Offices!$A$2:$FZ$601,B65,$C$7)&amp;"","")</f>
        <v/>
      </c>
      <c r="E65" s="23" t="str">
        <f aca="false">IFERROR(INDEX(Clay_Offices!$A$2:$FZ$601,B65,$C$8)&amp;"","")</f>
        <v/>
      </c>
      <c r="F65" s="23" t="str">
        <f aca="false">IF(C65="","",IF(COUNTIF(Office_Log!$A$2:$A$201,C65)&gt;0,"Y","N"))</f>
        <v/>
      </c>
      <c r="G65" s="34" t="str">
        <f aca="false">IF(OR(C65="",AND(LEFT(C65,6)="SAMPLE",Config!$B$19&lt;&gt;"Y")),"",IF(IFERROR(INDEX(Lists!$K$2:$K$15,MATCH(D65,Lists!$J$2:$J$15,0)),-1)=-1,"status '"&amp;D65&amp;"' is not a CONTRACTS status",IF(AND(D65="signed",COUNTIF(signed_offices!$W$2:$W$51,C65)=0),"status signed but no signed_offices row"&amp;IF(F65="N"," and no tracker row",""),IF(AND(IFERROR(INDEX(Lists!$K$2:$K$15,MATCH(D65,Lists!$J$2:$J$15,0)),-1)&gt;=6,F65="N"),"status "&amp;D65&amp;" but no tracker row",IF(AND(E65="Y",D65&lt;&gt;"do_not_contact"),"do_not_contact = Y but status is "&amp;D65,IF(AND(D65="do_not_contact",E65&lt;&gt;"Y"),"status do_not_contact but do_not_contact is not Y",""))))))</f>
        <v/>
      </c>
      <c r="I65" s="23" t="n">
        <v>44</v>
      </c>
      <c r="J65" s="23" t="str">
        <f aca="false">IFERROR(INDEX(Clay_Brands!$A$2:$FZ$601,I65,$D$5)&amp;"","")</f>
        <v/>
      </c>
      <c r="K65" s="23" t="str">
        <f aca="false">IFERROR(INDEX(Clay_Brands!$A$2:$FZ$601,I65,$D$7)&amp;"","")</f>
        <v/>
      </c>
      <c r="L65" s="23" t="str">
        <f aca="false">IFERROR(INDEX(Clay_Brands!$A$2:$FZ$601,I65,$D$8)&amp;"","")</f>
        <v/>
      </c>
      <c r="M65" s="23" t="str">
        <f aca="false">IF(J65="","",IF(COUNTIF(Brand_Log!$A$2:$A$201,J65)&gt;0,"Y","N"))</f>
        <v/>
      </c>
      <c r="N65" s="34" t="str">
        <f aca="false">IF(OR(J65="",AND(LEFT(J65,6)="SAMPLE",Config!$B$19&lt;&gt;"Y")),"",IF(IFERROR(INDEX(Lists!$K$2:$K$15,MATCH(K65,Lists!$J$2:$J$15,0)),-1)=-1,"status '"&amp;K65&amp;"' is not a CONTRACTS status",IF(AND(K65="paid",COUNTIF(paid_brands!$AC$2:$AC$51,J65)=0),"status paid but no paid_brands row"&amp;IF(M65="N"," and no tracker row",""),IF(AND(IFERROR(INDEX(Lists!$K$2:$K$15,MATCH(K65,Lists!$J$2:$J$15,0)),-1)&gt;=6,M65="N"),"status "&amp;K65&amp;" but no tracker row",IF(AND(L65="Y",K65&lt;&gt;"do_not_contact"),"do_not_contact = Y but status is "&amp;K65,IF(AND(K65="do_not_contact",L65&lt;&gt;"Y"),"status do_not_contact but do_not_contact is not Y",""))))))</f>
        <v/>
      </c>
      <c r="P65" s="23" t="str">
        <f aca="false">IF(signed_offices!W45="","",signed_offices!W45&amp;"")</f>
        <v/>
      </c>
      <c r="Q65" s="23" t="str">
        <f aca="false">IF(P65="","",IFERROR(INDEX(Clay_Offices!$A$2:$FZ$601,MATCH(P65,INDEX(Clay_Offices!$A$2:$FZ$601,0,$C$5),0),$C$7)&amp;"","not in Clay"))</f>
        <v/>
      </c>
      <c r="R65" s="23" t="str">
        <f aca="false">IF(OR(P65="",AND(LEFT(P65,6)="SAMPLE",Config!$B$19&lt;&gt;"Y")),"",IF(Q65="signed","","Clay status is "&amp;Q65&amp;": set signed"))</f>
        <v/>
      </c>
      <c r="T65" s="23" t="str">
        <f aca="false">IF(paid_brands!AC45="","",paid_brands!AC45&amp;"")</f>
        <v/>
      </c>
      <c r="U65" s="23" t="str">
        <f aca="false">IF(T65="","",IFERROR(INDEX(Clay_Brands!$A$2:$FZ$601,MATCH(T65,INDEX(Clay_Brands!$A$2:$FZ$601,0,$D$5),0),$D$7)&amp;"","not in Clay"))</f>
        <v/>
      </c>
      <c r="V65" s="23" t="str">
        <f aca="false">IF(OR(T65="",AND(LEFT(T65,6)="SAMPLE",Config!$B$19&lt;&gt;"Y")),"",IF(U65="paid","","Clay status is "&amp;U65&amp;": set paid"))</f>
        <v/>
      </c>
      <c r="X65" s="23" t="n">
        <v>45</v>
      </c>
      <c r="Y65" s="35" t="str">
        <f aca="false">IF(OR(TRIM(paid_brands!AC45)="",AND(LEFT(paid_brands!AC45,6)="SAMPLE",Config!$B$19&lt;&gt;"Y")),"",IF(AND(N(paid_brands!AE45)&gt;0,N(paid_brands!AV45)+N(paid_brands!AX45)&gt;=N(paid_brands!AE45)),IF(N(paid_brands!AX45)&gt;0,MAX(N(paid_brands!AW45),N(paid_brands!AY45)),N(paid_brands!AW45)),""))</f>
        <v/>
      </c>
    </row>
    <row r="66" customFormat="false" ht="15" hidden="false" customHeight="false" outlineLevel="0" collapsed="false">
      <c r="B66" s="23" t="n">
        <v>45</v>
      </c>
      <c r="C66" s="23" t="str">
        <f aca="false">IFERROR(INDEX(Clay_Offices!$A$2:$FZ$601,B66,$C$5)&amp;"","")</f>
        <v/>
      </c>
      <c r="D66" s="23" t="str">
        <f aca="false">IFERROR(INDEX(Clay_Offices!$A$2:$FZ$601,B66,$C$7)&amp;"","")</f>
        <v/>
      </c>
      <c r="E66" s="23" t="str">
        <f aca="false">IFERROR(INDEX(Clay_Offices!$A$2:$FZ$601,B66,$C$8)&amp;"","")</f>
        <v/>
      </c>
      <c r="F66" s="23" t="str">
        <f aca="false">IF(C66="","",IF(COUNTIF(Office_Log!$A$2:$A$201,C66)&gt;0,"Y","N"))</f>
        <v/>
      </c>
      <c r="G66" s="34" t="str">
        <f aca="false">IF(OR(C66="",AND(LEFT(C66,6)="SAMPLE",Config!$B$19&lt;&gt;"Y")),"",IF(IFERROR(INDEX(Lists!$K$2:$K$15,MATCH(D66,Lists!$J$2:$J$15,0)),-1)=-1,"status '"&amp;D66&amp;"' is not a CONTRACTS status",IF(AND(D66="signed",COUNTIF(signed_offices!$W$2:$W$51,C66)=0),"status signed but no signed_offices row"&amp;IF(F66="N"," and no tracker row",""),IF(AND(IFERROR(INDEX(Lists!$K$2:$K$15,MATCH(D66,Lists!$J$2:$J$15,0)),-1)&gt;=6,F66="N"),"status "&amp;D66&amp;" but no tracker row",IF(AND(E66="Y",D66&lt;&gt;"do_not_contact"),"do_not_contact = Y but status is "&amp;D66,IF(AND(D66="do_not_contact",E66&lt;&gt;"Y"),"status do_not_contact but do_not_contact is not Y",""))))))</f>
        <v/>
      </c>
      <c r="I66" s="23" t="n">
        <v>45</v>
      </c>
      <c r="J66" s="23" t="str">
        <f aca="false">IFERROR(INDEX(Clay_Brands!$A$2:$FZ$601,I66,$D$5)&amp;"","")</f>
        <v/>
      </c>
      <c r="K66" s="23" t="str">
        <f aca="false">IFERROR(INDEX(Clay_Brands!$A$2:$FZ$601,I66,$D$7)&amp;"","")</f>
        <v/>
      </c>
      <c r="L66" s="23" t="str">
        <f aca="false">IFERROR(INDEX(Clay_Brands!$A$2:$FZ$601,I66,$D$8)&amp;"","")</f>
        <v/>
      </c>
      <c r="M66" s="23" t="str">
        <f aca="false">IF(J66="","",IF(COUNTIF(Brand_Log!$A$2:$A$201,J66)&gt;0,"Y","N"))</f>
        <v/>
      </c>
      <c r="N66" s="34" t="str">
        <f aca="false">IF(OR(J66="",AND(LEFT(J66,6)="SAMPLE",Config!$B$19&lt;&gt;"Y")),"",IF(IFERROR(INDEX(Lists!$K$2:$K$15,MATCH(K66,Lists!$J$2:$J$15,0)),-1)=-1,"status '"&amp;K66&amp;"' is not a CONTRACTS status",IF(AND(K66="paid",COUNTIF(paid_brands!$AC$2:$AC$51,J66)=0),"status paid but no paid_brands row"&amp;IF(M66="N"," and no tracker row",""),IF(AND(IFERROR(INDEX(Lists!$K$2:$K$15,MATCH(K66,Lists!$J$2:$J$15,0)),-1)&gt;=6,M66="N"),"status "&amp;K66&amp;" but no tracker row",IF(AND(L66="Y",K66&lt;&gt;"do_not_contact"),"do_not_contact = Y but status is "&amp;K66,IF(AND(K66="do_not_contact",L66&lt;&gt;"Y"),"status do_not_contact but do_not_contact is not Y",""))))))</f>
        <v/>
      </c>
      <c r="P66" s="23" t="str">
        <f aca="false">IF(signed_offices!W46="","",signed_offices!W46&amp;"")</f>
        <v/>
      </c>
      <c r="Q66" s="23" t="str">
        <f aca="false">IF(P66="","",IFERROR(INDEX(Clay_Offices!$A$2:$FZ$601,MATCH(P66,INDEX(Clay_Offices!$A$2:$FZ$601,0,$C$5),0),$C$7)&amp;"","not in Clay"))</f>
        <v/>
      </c>
      <c r="R66" s="23" t="str">
        <f aca="false">IF(OR(P66="",AND(LEFT(P66,6)="SAMPLE",Config!$B$19&lt;&gt;"Y")),"",IF(Q66="signed","","Clay status is "&amp;Q66&amp;": set signed"))</f>
        <v/>
      </c>
      <c r="T66" s="23" t="str">
        <f aca="false">IF(paid_brands!AC46="","",paid_brands!AC46&amp;"")</f>
        <v/>
      </c>
      <c r="U66" s="23" t="str">
        <f aca="false">IF(T66="","",IFERROR(INDEX(Clay_Brands!$A$2:$FZ$601,MATCH(T66,INDEX(Clay_Brands!$A$2:$FZ$601,0,$D$5),0),$D$7)&amp;"","not in Clay"))</f>
        <v/>
      </c>
      <c r="V66" s="23" t="str">
        <f aca="false">IF(OR(T66="",AND(LEFT(T66,6)="SAMPLE",Config!$B$19&lt;&gt;"Y")),"",IF(U66="paid","","Clay status is "&amp;U66&amp;": set paid"))</f>
        <v/>
      </c>
      <c r="X66" s="23" t="n">
        <v>46</v>
      </c>
      <c r="Y66" s="35" t="str">
        <f aca="false">IF(OR(TRIM(paid_brands!AC46)="",AND(LEFT(paid_brands!AC46,6)="SAMPLE",Config!$B$19&lt;&gt;"Y")),"",IF(AND(N(paid_brands!AE46)&gt;0,N(paid_brands!AV46)+N(paid_brands!AX46)&gt;=N(paid_brands!AE46)),IF(N(paid_brands!AX46)&gt;0,MAX(N(paid_brands!AW46),N(paid_brands!AY46)),N(paid_brands!AW46)),""))</f>
        <v/>
      </c>
    </row>
    <row r="67" customFormat="false" ht="15" hidden="false" customHeight="false" outlineLevel="0" collapsed="false">
      <c r="B67" s="23" t="n">
        <v>46</v>
      </c>
      <c r="C67" s="23" t="str">
        <f aca="false">IFERROR(INDEX(Clay_Offices!$A$2:$FZ$601,B67,$C$5)&amp;"","")</f>
        <v/>
      </c>
      <c r="D67" s="23" t="str">
        <f aca="false">IFERROR(INDEX(Clay_Offices!$A$2:$FZ$601,B67,$C$7)&amp;"","")</f>
        <v/>
      </c>
      <c r="E67" s="23" t="str">
        <f aca="false">IFERROR(INDEX(Clay_Offices!$A$2:$FZ$601,B67,$C$8)&amp;"","")</f>
        <v/>
      </c>
      <c r="F67" s="23" t="str">
        <f aca="false">IF(C67="","",IF(COUNTIF(Office_Log!$A$2:$A$201,C67)&gt;0,"Y","N"))</f>
        <v/>
      </c>
      <c r="G67" s="34" t="str">
        <f aca="false">IF(OR(C67="",AND(LEFT(C67,6)="SAMPLE",Config!$B$19&lt;&gt;"Y")),"",IF(IFERROR(INDEX(Lists!$K$2:$K$15,MATCH(D67,Lists!$J$2:$J$15,0)),-1)=-1,"status '"&amp;D67&amp;"' is not a CONTRACTS status",IF(AND(D67="signed",COUNTIF(signed_offices!$W$2:$W$51,C67)=0),"status signed but no signed_offices row"&amp;IF(F67="N"," and no tracker row",""),IF(AND(IFERROR(INDEX(Lists!$K$2:$K$15,MATCH(D67,Lists!$J$2:$J$15,0)),-1)&gt;=6,F67="N"),"status "&amp;D67&amp;" but no tracker row",IF(AND(E67="Y",D67&lt;&gt;"do_not_contact"),"do_not_contact = Y but status is "&amp;D67,IF(AND(D67="do_not_contact",E67&lt;&gt;"Y"),"status do_not_contact but do_not_contact is not Y",""))))))</f>
        <v/>
      </c>
      <c r="I67" s="23" t="n">
        <v>46</v>
      </c>
      <c r="J67" s="23" t="str">
        <f aca="false">IFERROR(INDEX(Clay_Brands!$A$2:$FZ$601,I67,$D$5)&amp;"","")</f>
        <v/>
      </c>
      <c r="K67" s="23" t="str">
        <f aca="false">IFERROR(INDEX(Clay_Brands!$A$2:$FZ$601,I67,$D$7)&amp;"","")</f>
        <v/>
      </c>
      <c r="L67" s="23" t="str">
        <f aca="false">IFERROR(INDEX(Clay_Brands!$A$2:$FZ$601,I67,$D$8)&amp;"","")</f>
        <v/>
      </c>
      <c r="M67" s="23" t="str">
        <f aca="false">IF(J67="","",IF(COUNTIF(Brand_Log!$A$2:$A$201,J67)&gt;0,"Y","N"))</f>
        <v/>
      </c>
      <c r="N67" s="34" t="str">
        <f aca="false">IF(OR(J67="",AND(LEFT(J67,6)="SAMPLE",Config!$B$19&lt;&gt;"Y")),"",IF(IFERROR(INDEX(Lists!$K$2:$K$15,MATCH(K67,Lists!$J$2:$J$15,0)),-1)=-1,"status '"&amp;K67&amp;"' is not a CONTRACTS status",IF(AND(K67="paid",COUNTIF(paid_brands!$AC$2:$AC$51,J67)=0),"status paid but no paid_brands row"&amp;IF(M67="N"," and no tracker row",""),IF(AND(IFERROR(INDEX(Lists!$K$2:$K$15,MATCH(K67,Lists!$J$2:$J$15,0)),-1)&gt;=6,M67="N"),"status "&amp;K67&amp;" but no tracker row",IF(AND(L67="Y",K67&lt;&gt;"do_not_contact"),"do_not_contact = Y but status is "&amp;K67,IF(AND(K67="do_not_contact",L67&lt;&gt;"Y"),"status do_not_contact but do_not_contact is not Y",""))))))</f>
        <v/>
      </c>
      <c r="P67" s="23" t="str">
        <f aca="false">IF(signed_offices!W47="","",signed_offices!W47&amp;"")</f>
        <v/>
      </c>
      <c r="Q67" s="23" t="str">
        <f aca="false">IF(P67="","",IFERROR(INDEX(Clay_Offices!$A$2:$FZ$601,MATCH(P67,INDEX(Clay_Offices!$A$2:$FZ$601,0,$C$5),0),$C$7)&amp;"","not in Clay"))</f>
        <v/>
      </c>
      <c r="R67" s="23" t="str">
        <f aca="false">IF(OR(P67="",AND(LEFT(P67,6)="SAMPLE",Config!$B$19&lt;&gt;"Y")),"",IF(Q67="signed","","Clay status is "&amp;Q67&amp;": set signed"))</f>
        <v/>
      </c>
      <c r="T67" s="23" t="str">
        <f aca="false">IF(paid_brands!AC47="","",paid_brands!AC47&amp;"")</f>
        <v/>
      </c>
      <c r="U67" s="23" t="str">
        <f aca="false">IF(T67="","",IFERROR(INDEX(Clay_Brands!$A$2:$FZ$601,MATCH(T67,INDEX(Clay_Brands!$A$2:$FZ$601,0,$D$5),0),$D$7)&amp;"","not in Clay"))</f>
        <v/>
      </c>
      <c r="V67" s="23" t="str">
        <f aca="false">IF(OR(T67="",AND(LEFT(T67,6)="SAMPLE",Config!$B$19&lt;&gt;"Y")),"",IF(U67="paid","","Clay status is "&amp;U67&amp;": set paid"))</f>
        <v/>
      </c>
      <c r="X67" s="23" t="n">
        <v>47</v>
      </c>
      <c r="Y67" s="35" t="str">
        <f aca="false">IF(OR(TRIM(paid_brands!AC47)="",AND(LEFT(paid_brands!AC47,6)="SAMPLE",Config!$B$19&lt;&gt;"Y")),"",IF(AND(N(paid_brands!AE47)&gt;0,N(paid_brands!AV47)+N(paid_brands!AX47)&gt;=N(paid_brands!AE47)),IF(N(paid_brands!AX47)&gt;0,MAX(N(paid_brands!AW47),N(paid_brands!AY47)),N(paid_brands!AW47)),""))</f>
        <v/>
      </c>
    </row>
    <row r="68" customFormat="false" ht="15" hidden="false" customHeight="false" outlineLevel="0" collapsed="false">
      <c r="B68" s="23" t="n">
        <v>47</v>
      </c>
      <c r="C68" s="23" t="str">
        <f aca="false">IFERROR(INDEX(Clay_Offices!$A$2:$FZ$601,B68,$C$5)&amp;"","")</f>
        <v/>
      </c>
      <c r="D68" s="23" t="str">
        <f aca="false">IFERROR(INDEX(Clay_Offices!$A$2:$FZ$601,B68,$C$7)&amp;"","")</f>
        <v/>
      </c>
      <c r="E68" s="23" t="str">
        <f aca="false">IFERROR(INDEX(Clay_Offices!$A$2:$FZ$601,B68,$C$8)&amp;"","")</f>
        <v/>
      </c>
      <c r="F68" s="23" t="str">
        <f aca="false">IF(C68="","",IF(COUNTIF(Office_Log!$A$2:$A$201,C68)&gt;0,"Y","N"))</f>
        <v/>
      </c>
      <c r="G68" s="34" t="str">
        <f aca="false">IF(OR(C68="",AND(LEFT(C68,6)="SAMPLE",Config!$B$19&lt;&gt;"Y")),"",IF(IFERROR(INDEX(Lists!$K$2:$K$15,MATCH(D68,Lists!$J$2:$J$15,0)),-1)=-1,"status '"&amp;D68&amp;"' is not a CONTRACTS status",IF(AND(D68="signed",COUNTIF(signed_offices!$W$2:$W$51,C68)=0),"status signed but no signed_offices row"&amp;IF(F68="N"," and no tracker row",""),IF(AND(IFERROR(INDEX(Lists!$K$2:$K$15,MATCH(D68,Lists!$J$2:$J$15,0)),-1)&gt;=6,F68="N"),"status "&amp;D68&amp;" but no tracker row",IF(AND(E68="Y",D68&lt;&gt;"do_not_contact"),"do_not_contact = Y but status is "&amp;D68,IF(AND(D68="do_not_contact",E68&lt;&gt;"Y"),"status do_not_contact but do_not_contact is not Y",""))))))</f>
        <v/>
      </c>
      <c r="I68" s="23" t="n">
        <v>47</v>
      </c>
      <c r="J68" s="23" t="str">
        <f aca="false">IFERROR(INDEX(Clay_Brands!$A$2:$FZ$601,I68,$D$5)&amp;"","")</f>
        <v/>
      </c>
      <c r="K68" s="23" t="str">
        <f aca="false">IFERROR(INDEX(Clay_Brands!$A$2:$FZ$601,I68,$D$7)&amp;"","")</f>
        <v/>
      </c>
      <c r="L68" s="23" t="str">
        <f aca="false">IFERROR(INDEX(Clay_Brands!$A$2:$FZ$601,I68,$D$8)&amp;"","")</f>
        <v/>
      </c>
      <c r="M68" s="23" t="str">
        <f aca="false">IF(J68="","",IF(COUNTIF(Brand_Log!$A$2:$A$201,J68)&gt;0,"Y","N"))</f>
        <v/>
      </c>
      <c r="N68" s="34" t="str">
        <f aca="false">IF(OR(J68="",AND(LEFT(J68,6)="SAMPLE",Config!$B$19&lt;&gt;"Y")),"",IF(IFERROR(INDEX(Lists!$K$2:$K$15,MATCH(K68,Lists!$J$2:$J$15,0)),-1)=-1,"status '"&amp;K68&amp;"' is not a CONTRACTS status",IF(AND(K68="paid",COUNTIF(paid_brands!$AC$2:$AC$51,J68)=0),"status paid but no paid_brands row"&amp;IF(M68="N"," and no tracker row",""),IF(AND(IFERROR(INDEX(Lists!$K$2:$K$15,MATCH(K68,Lists!$J$2:$J$15,0)),-1)&gt;=6,M68="N"),"status "&amp;K68&amp;" but no tracker row",IF(AND(L68="Y",K68&lt;&gt;"do_not_contact"),"do_not_contact = Y but status is "&amp;K68,IF(AND(K68="do_not_contact",L68&lt;&gt;"Y"),"status do_not_contact but do_not_contact is not Y",""))))))</f>
        <v/>
      </c>
      <c r="P68" s="23" t="str">
        <f aca="false">IF(signed_offices!W48="","",signed_offices!W48&amp;"")</f>
        <v/>
      </c>
      <c r="Q68" s="23" t="str">
        <f aca="false">IF(P68="","",IFERROR(INDEX(Clay_Offices!$A$2:$FZ$601,MATCH(P68,INDEX(Clay_Offices!$A$2:$FZ$601,0,$C$5),0),$C$7)&amp;"","not in Clay"))</f>
        <v/>
      </c>
      <c r="R68" s="23" t="str">
        <f aca="false">IF(OR(P68="",AND(LEFT(P68,6)="SAMPLE",Config!$B$19&lt;&gt;"Y")),"",IF(Q68="signed","","Clay status is "&amp;Q68&amp;": set signed"))</f>
        <v/>
      </c>
      <c r="T68" s="23" t="str">
        <f aca="false">IF(paid_brands!AC48="","",paid_brands!AC48&amp;"")</f>
        <v/>
      </c>
      <c r="U68" s="23" t="str">
        <f aca="false">IF(T68="","",IFERROR(INDEX(Clay_Brands!$A$2:$FZ$601,MATCH(T68,INDEX(Clay_Brands!$A$2:$FZ$601,0,$D$5),0),$D$7)&amp;"","not in Clay"))</f>
        <v/>
      </c>
      <c r="V68" s="23" t="str">
        <f aca="false">IF(OR(T68="",AND(LEFT(T68,6)="SAMPLE",Config!$B$19&lt;&gt;"Y")),"",IF(U68="paid","","Clay status is "&amp;U68&amp;": set paid"))</f>
        <v/>
      </c>
      <c r="X68" s="23" t="n">
        <v>48</v>
      </c>
      <c r="Y68" s="35" t="str">
        <f aca="false">IF(OR(TRIM(paid_brands!AC48)="",AND(LEFT(paid_brands!AC48,6)="SAMPLE",Config!$B$19&lt;&gt;"Y")),"",IF(AND(N(paid_brands!AE48)&gt;0,N(paid_brands!AV48)+N(paid_brands!AX48)&gt;=N(paid_brands!AE48)),IF(N(paid_brands!AX48)&gt;0,MAX(N(paid_brands!AW48),N(paid_brands!AY48)),N(paid_brands!AW48)),""))</f>
        <v/>
      </c>
    </row>
    <row r="69" customFormat="false" ht="15" hidden="false" customHeight="false" outlineLevel="0" collapsed="false">
      <c r="B69" s="23" t="n">
        <v>48</v>
      </c>
      <c r="C69" s="23" t="str">
        <f aca="false">IFERROR(INDEX(Clay_Offices!$A$2:$FZ$601,B69,$C$5)&amp;"","")</f>
        <v/>
      </c>
      <c r="D69" s="23" t="str">
        <f aca="false">IFERROR(INDEX(Clay_Offices!$A$2:$FZ$601,B69,$C$7)&amp;"","")</f>
        <v/>
      </c>
      <c r="E69" s="23" t="str">
        <f aca="false">IFERROR(INDEX(Clay_Offices!$A$2:$FZ$601,B69,$C$8)&amp;"","")</f>
        <v/>
      </c>
      <c r="F69" s="23" t="str">
        <f aca="false">IF(C69="","",IF(COUNTIF(Office_Log!$A$2:$A$201,C69)&gt;0,"Y","N"))</f>
        <v/>
      </c>
      <c r="G69" s="34" t="str">
        <f aca="false">IF(OR(C69="",AND(LEFT(C69,6)="SAMPLE",Config!$B$19&lt;&gt;"Y")),"",IF(IFERROR(INDEX(Lists!$K$2:$K$15,MATCH(D69,Lists!$J$2:$J$15,0)),-1)=-1,"status '"&amp;D69&amp;"' is not a CONTRACTS status",IF(AND(D69="signed",COUNTIF(signed_offices!$W$2:$W$51,C69)=0),"status signed but no signed_offices row"&amp;IF(F69="N"," and no tracker row",""),IF(AND(IFERROR(INDEX(Lists!$K$2:$K$15,MATCH(D69,Lists!$J$2:$J$15,0)),-1)&gt;=6,F69="N"),"status "&amp;D69&amp;" but no tracker row",IF(AND(E69="Y",D69&lt;&gt;"do_not_contact"),"do_not_contact = Y but status is "&amp;D69,IF(AND(D69="do_not_contact",E69&lt;&gt;"Y"),"status do_not_contact but do_not_contact is not Y",""))))))</f>
        <v/>
      </c>
      <c r="I69" s="23" t="n">
        <v>48</v>
      </c>
      <c r="J69" s="23" t="str">
        <f aca="false">IFERROR(INDEX(Clay_Brands!$A$2:$FZ$601,I69,$D$5)&amp;"","")</f>
        <v/>
      </c>
      <c r="K69" s="23" t="str">
        <f aca="false">IFERROR(INDEX(Clay_Brands!$A$2:$FZ$601,I69,$D$7)&amp;"","")</f>
        <v/>
      </c>
      <c r="L69" s="23" t="str">
        <f aca="false">IFERROR(INDEX(Clay_Brands!$A$2:$FZ$601,I69,$D$8)&amp;"","")</f>
        <v/>
      </c>
      <c r="M69" s="23" t="str">
        <f aca="false">IF(J69="","",IF(COUNTIF(Brand_Log!$A$2:$A$201,J69)&gt;0,"Y","N"))</f>
        <v/>
      </c>
      <c r="N69" s="34" t="str">
        <f aca="false">IF(OR(J69="",AND(LEFT(J69,6)="SAMPLE",Config!$B$19&lt;&gt;"Y")),"",IF(IFERROR(INDEX(Lists!$K$2:$K$15,MATCH(K69,Lists!$J$2:$J$15,0)),-1)=-1,"status '"&amp;K69&amp;"' is not a CONTRACTS status",IF(AND(K69="paid",COUNTIF(paid_brands!$AC$2:$AC$51,J69)=0),"status paid but no paid_brands row"&amp;IF(M69="N"," and no tracker row",""),IF(AND(IFERROR(INDEX(Lists!$K$2:$K$15,MATCH(K69,Lists!$J$2:$J$15,0)),-1)&gt;=6,M69="N"),"status "&amp;K69&amp;" but no tracker row",IF(AND(L69="Y",K69&lt;&gt;"do_not_contact"),"do_not_contact = Y but status is "&amp;K69,IF(AND(K69="do_not_contact",L69&lt;&gt;"Y"),"status do_not_contact but do_not_contact is not Y",""))))))</f>
        <v/>
      </c>
      <c r="P69" s="23" t="str">
        <f aca="false">IF(signed_offices!W49="","",signed_offices!W49&amp;"")</f>
        <v/>
      </c>
      <c r="Q69" s="23" t="str">
        <f aca="false">IF(P69="","",IFERROR(INDEX(Clay_Offices!$A$2:$FZ$601,MATCH(P69,INDEX(Clay_Offices!$A$2:$FZ$601,0,$C$5),0),$C$7)&amp;"","not in Clay"))</f>
        <v/>
      </c>
      <c r="R69" s="23" t="str">
        <f aca="false">IF(OR(P69="",AND(LEFT(P69,6)="SAMPLE",Config!$B$19&lt;&gt;"Y")),"",IF(Q69="signed","","Clay status is "&amp;Q69&amp;": set signed"))</f>
        <v/>
      </c>
      <c r="T69" s="23" t="str">
        <f aca="false">IF(paid_brands!AC49="","",paid_brands!AC49&amp;"")</f>
        <v/>
      </c>
      <c r="U69" s="23" t="str">
        <f aca="false">IF(T69="","",IFERROR(INDEX(Clay_Brands!$A$2:$FZ$601,MATCH(T69,INDEX(Clay_Brands!$A$2:$FZ$601,0,$D$5),0),$D$7)&amp;"","not in Clay"))</f>
        <v/>
      </c>
      <c r="V69" s="23" t="str">
        <f aca="false">IF(OR(T69="",AND(LEFT(T69,6)="SAMPLE",Config!$B$19&lt;&gt;"Y")),"",IF(U69="paid","","Clay status is "&amp;U69&amp;": set paid"))</f>
        <v/>
      </c>
      <c r="X69" s="23" t="n">
        <v>49</v>
      </c>
      <c r="Y69" s="35" t="str">
        <f aca="false">IF(OR(TRIM(paid_brands!AC49)="",AND(LEFT(paid_brands!AC49,6)="SAMPLE",Config!$B$19&lt;&gt;"Y")),"",IF(AND(N(paid_brands!AE49)&gt;0,N(paid_brands!AV49)+N(paid_brands!AX49)&gt;=N(paid_brands!AE49)),IF(N(paid_brands!AX49)&gt;0,MAX(N(paid_brands!AW49),N(paid_brands!AY49)),N(paid_brands!AW49)),""))</f>
        <v/>
      </c>
    </row>
    <row r="70" customFormat="false" ht="15" hidden="false" customHeight="false" outlineLevel="0" collapsed="false">
      <c r="B70" s="23" t="n">
        <v>49</v>
      </c>
      <c r="C70" s="23" t="str">
        <f aca="false">IFERROR(INDEX(Clay_Offices!$A$2:$FZ$601,B70,$C$5)&amp;"","")</f>
        <v/>
      </c>
      <c r="D70" s="23" t="str">
        <f aca="false">IFERROR(INDEX(Clay_Offices!$A$2:$FZ$601,B70,$C$7)&amp;"","")</f>
        <v/>
      </c>
      <c r="E70" s="23" t="str">
        <f aca="false">IFERROR(INDEX(Clay_Offices!$A$2:$FZ$601,B70,$C$8)&amp;"","")</f>
        <v/>
      </c>
      <c r="F70" s="23" t="str">
        <f aca="false">IF(C70="","",IF(COUNTIF(Office_Log!$A$2:$A$201,C70)&gt;0,"Y","N"))</f>
        <v/>
      </c>
      <c r="G70" s="34" t="str">
        <f aca="false">IF(OR(C70="",AND(LEFT(C70,6)="SAMPLE",Config!$B$19&lt;&gt;"Y")),"",IF(IFERROR(INDEX(Lists!$K$2:$K$15,MATCH(D70,Lists!$J$2:$J$15,0)),-1)=-1,"status '"&amp;D70&amp;"' is not a CONTRACTS status",IF(AND(D70="signed",COUNTIF(signed_offices!$W$2:$W$51,C70)=0),"status signed but no signed_offices row"&amp;IF(F70="N"," and no tracker row",""),IF(AND(IFERROR(INDEX(Lists!$K$2:$K$15,MATCH(D70,Lists!$J$2:$J$15,0)),-1)&gt;=6,F70="N"),"status "&amp;D70&amp;" but no tracker row",IF(AND(E70="Y",D70&lt;&gt;"do_not_contact"),"do_not_contact = Y but status is "&amp;D70,IF(AND(D70="do_not_contact",E70&lt;&gt;"Y"),"status do_not_contact but do_not_contact is not Y",""))))))</f>
        <v/>
      </c>
      <c r="I70" s="23" t="n">
        <v>49</v>
      </c>
      <c r="J70" s="23" t="str">
        <f aca="false">IFERROR(INDEX(Clay_Brands!$A$2:$FZ$601,I70,$D$5)&amp;"","")</f>
        <v/>
      </c>
      <c r="K70" s="23" t="str">
        <f aca="false">IFERROR(INDEX(Clay_Brands!$A$2:$FZ$601,I70,$D$7)&amp;"","")</f>
        <v/>
      </c>
      <c r="L70" s="23" t="str">
        <f aca="false">IFERROR(INDEX(Clay_Brands!$A$2:$FZ$601,I70,$D$8)&amp;"","")</f>
        <v/>
      </c>
      <c r="M70" s="23" t="str">
        <f aca="false">IF(J70="","",IF(COUNTIF(Brand_Log!$A$2:$A$201,J70)&gt;0,"Y","N"))</f>
        <v/>
      </c>
      <c r="N70" s="34" t="str">
        <f aca="false">IF(OR(J70="",AND(LEFT(J70,6)="SAMPLE",Config!$B$19&lt;&gt;"Y")),"",IF(IFERROR(INDEX(Lists!$K$2:$K$15,MATCH(K70,Lists!$J$2:$J$15,0)),-1)=-1,"status '"&amp;K70&amp;"' is not a CONTRACTS status",IF(AND(K70="paid",COUNTIF(paid_brands!$AC$2:$AC$51,J70)=0),"status paid but no paid_brands row"&amp;IF(M70="N"," and no tracker row",""),IF(AND(IFERROR(INDEX(Lists!$K$2:$K$15,MATCH(K70,Lists!$J$2:$J$15,0)),-1)&gt;=6,M70="N"),"status "&amp;K70&amp;" but no tracker row",IF(AND(L70="Y",K70&lt;&gt;"do_not_contact"),"do_not_contact = Y but status is "&amp;K70,IF(AND(K70="do_not_contact",L70&lt;&gt;"Y"),"status do_not_contact but do_not_contact is not Y",""))))))</f>
        <v/>
      </c>
      <c r="P70" s="23" t="str">
        <f aca="false">IF(signed_offices!W50="","",signed_offices!W50&amp;"")</f>
        <v/>
      </c>
      <c r="Q70" s="23" t="str">
        <f aca="false">IF(P70="","",IFERROR(INDEX(Clay_Offices!$A$2:$FZ$601,MATCH(P70,INDEX(Clay_Offices!$A$2:$FZ$601,0,$C$5),0),$C$7)&amp;"","not in Clay"))</f>
        <v/>
      </c>
      <c r="R70" s="23" t="str">
        <f aca="false">IF(OR(P70="",AND(LEFT(P70,6)="SAMPLE",Config!$B$19&lt;&gt;"Y")),"",IF(Q70="signed","","Clay status is "&amp;Q70&amp;": set signed"))</f>
        <v/>
      </c>
      <c r="T70" s="23" t="str">
        <f aca="false">IF(paid_brands!AC50="","",paid_brands!AC50&amp;"")</f>
        <v/>
      </c>
      <c r="U70" s="23" t="str">
        <f aca="false">IF(T70="","",IFERROR(INDEX(Clay_Brands!$A$2:$FZ$601,MATCH(T70,INDEX(Clay_Brands!$A$2:$FZ$601,0,$D$5),0),$D$7)&amp;"","not in Clay"))</f>
        <v/>
      </c>
      <c r="V70" s="23" t="str">
        <f aca="false">IF(OR(T70="",AND(LEFT(T70,6)="SAMPLE",Config!$B$19&lt;&gt;"Y")),"",IF(U70="paid","","Clay status is "&amp;U70&amp;": set paid"))</f>
        <v/>
      </c>
      <c r="X70" s="23" t="n">
        <v>50</v>
      </c>
      <c r="Y70" s="35" t="str">
        <f aca="false">IF(OR(TRIM(paid_brands!AC50)="",AND(LEFT(paid_brands!AC50,6)="SAMPLE",Config!$B$19&lt;&gt;"Y")),"",IF(AND(N(paid_brands!AE50)&gt;0,N(paid_brands!AV50)+N(paid_brands!AX50)&gt;=N(paid_brands!AE50)),IF(N(paid_brands!AX50)&gt;0,MAX(N(paid_brands!AW50),N(paid_brands!AY50)),N(paid_brands!AW50)),""))</f>
        <v/>
      </c>
    </row>
    <row r="71" customFormat="false" ht="15" hidden="false" customHeight="false" outlineLevel="0" collapsed="false">
      <c r="B71" s="23" t="n">
        <v>50</v>
      </c>
      <c r="C71" s="23" t="str">
        <f aca="false">IFERROR(INDEX(Clay_Offices!$A$2:$FZ$601,B71,$C$5)&amp;"","")</f>
        <v/>
      </c>
      <c r="D71" s="23" t="str">
        <f aca="false">IFERROR(INDEX(Clay_Offices!$A$2:$FZ$601,B71,$C$7)&amp;"","")</f>
        <v/>
      </c>
      <c r="E71" s="23" t="str">
        <f aca="false">IFERROR(INDEX(Clay_Offices!$A$2:$FZ$601,B71,$C$8)&amp;"","")</f>
        <v/>
      </c>
      <c r="F71" s="23" t="str">
        <f aca="false">IF(C71="","",IF(COUNTIF(Office_Log!$A$2:$A$201,C71)&gt;0,"Y","N"))</f>
        <v/>
      </c>
      <c r="G71" s="34" t="str">
        <f aca="false">IF(OR(C71="",AND(LEFT(C71,6)="SAMPLE",Config!$B$19&lt;&gt;"Y")),"",IF(IFERROR(INDEX(Lists!$K$2:$K$15,MATCH(D71,Lists!$J$2:$J$15,0)),-1)=-1,"status '"&amp;D71&amp;"' is not a CONTRACTS status",IF(AND(D71="signed",COUNTIF(signed_offices!$W$2:$W$51,C71)=0),"status signed but no signed_offices row"&amp;IF(F71="N"," and no tracker row",""),IF(AND(IFERROR(INDEX(Lists!$K$2:$K$15,MATCH(D71,Lists!$J$2:$J$15,0)),-1)&gt;=6,F71="N"),"status "&amp;D71&amp;" but no tracker row",IF(AND(E71="Y",D71&lt;&gt;"do_not_contact"),"do_not_contact = Y but status is "&amp;D71,IF(AND(D71="do_not_contact",E71&lt;&gt;"Y"),"status do_not_contact but do_not_contact is not Y",""))))))</f>
        <v/>
      </c>
      <c r="I71" s="23" t="n">
        <v>50</v>
      </c>
      <c r="J71" s="23" t="str">
        <f aca="false">IFERROR(INDEX(Clay_Brands!$A$2:$FZ$601,I71,$D$5)&amp;"","")</f>
        <v/>
      </c>
      <c r="K71" s="23" t="str">
        <f aca="false">IFERROR(INDEX(Clay_Brands!$A$2:$FZ$601,I71,$D$7)&amp;"","")</f>
        <v/>
      </c>
      <c r="L71" s="23" t="str">
        <f aca="false">IFERROR(INDEX(Clay_Brands!$A$2:$FZ$601,I71,$D$8)&amp;"","")</f>
        <v/>
      </c>
      <c r="M71" s="23" t="str">
        <f aca="false">IF(J71="","",IF(COUNTIF(Brand_Log!$A$2:$A$201,J71)&gt;0,"Y","N"))</f>
        <v/>
      </c>
      <c r="N71" s="34" t="str">
        <f aca="false">IF(OR(J71="",AND(LEFT(J71,6)="SAMPLE",Config!$B$19&lt;&gt;"Y")),"",IF(IFERROR(INDEX(Lists!$K$2:$K$15,MATCH(K71,Lists!$J$2:$J$15,0)),-1)=-1,"status '"&amp;K71&amp;"' is not a CONTRACTS status",IF(AND(K71="paid",COUNTIF(paid_brands!$AC$2:$AC$51,J71)=0),"status paid but no paid_brands row"&amp;IF(M71="N"," and no tracker row",""),IF(AND(IFERROR(INDEX(Lists!$K$2:$K$15,MATCH(K71,Lists!$J$2:$J$15,0)),-1)&gt;=6,M71="N"),"status "&amp;K71&amp;" but no tracker row",IF(AND(L71="Y",K71&lt;&gt;"do_not_contact"),"do_not_contact = Y but status is "&amp;K71,IF(AND(K71="do_not_contact",L71&lt;&gt;"Y"),"status do_not_contact but do_not_contact is not Y",""))))))</f>
        <v/>
      </c>
      <c r="P71" s="23" t="str">
        <f aca="false">IF(signed_offices!W51="","",signed_offices!W51&amp;"")</f>
        <v/>
      </c>
      <c r="Q71" s="23" t="str">
        <f aca="false">IF(P71="","",IFERROR(INDEX(Clay_Offices!$A$2:$FZ$601,MATCH(P71,INDEX(Clay_Offices!$A$2:$FZ$601,0,$C$5),0),$C$7)&amp;"","not in Clay"))</f>
        <v/>
      </c>
      <c r="R71" s="23" t="str">
        <f aca="false">IF(OR(P71="",AND(LEFT(P71,6)="SAMPLE",Config!$B$19&lt;&gt;"Y")),"",IF(Q71="signed","","Clay status is "&amp;Q71&amp;": set signed"))</f>
        <v/>
      </c>
      <c r="T71" s="23" t="str">
        <f aca="false">IF(paid_brands!AC51="","",paid_brands!AC51&amp;"")</f>
        <v/>
      </c>
      <c r="U71" s="23" t="str">
        <f aca="false">IF(T71="","",IFERROR(INDEX(Clay_Brands!$A$2:$FZ$601,MATCH(T71,INDEX(Clay_Brands!$A$2:$FZ$601,0,$D$5),0),$D$7)&amp;"","not in Clay"))</f>
        <v/>
      </c>
      <c r="V71" s="23" t="str">
        <f aca="false">IF(OR(T71="",AND(LEFT(T71,6)="SAMPLE",Config!$B$19&lt;&gt;"Y")),"",IF(U71="paid","","Clay status is "&amp;U71&amp;": set paid"))</f>
        <v/>
      </c>
      <c r="X71" s="23" t="n">
        <v>51</v>
      </c>
      <c r="Y71" s="35" t="str">
        <f aca="false">IF(OR(TRIM(paid_brands!AC51)="",AND(LEFT(paid_brands!AC51,6)="SAMPLE",Config!$B$19&lt;&gt;"Y")),"",IF(AND(N(paid_brands!AE51)&gt;0,N(paid_brands!AV51)+N(paid_brands!AX51)&gt;=N(paid_brands!AE51)),IF(N(paid_brands!AX51)&gt;0,MAX(N(paid_brands!AW51),N(paid_brands!AY51)),N(paid_brands!AW51)),""))</f>
        <v/>
      </c>
    </row>
    <row r="72" customFormat="false" ht="15" hidden="false" customHeight="false" outlineLevel="0" collapsed="false">
      <c r="B72" s="23" t="n">
        <v>51</v>
      </c>
      <c r="C72" s="23" t="str">
        <f aca="false">IFERROR(INDEX(Clay_Offices!$A$2:$FZ$601,B72,$C$5)&amp;"","")</f>
        <v/>
      </c>
      <c r="D72" s="23" t="str">
        <f aca="false">IFERROR(INDEX(Clay_Offices!$A$2:$FZ$601,B72,$C$7)&amp;"","")</f>
        <v/>
      </c>
      <c r="E72" s="23" t="str">
        <f aca="false">IFERROR(INDEX(Clay_Offices!$A$2:$FZ$601,B72,$C$8)&amp;"","")</f>
        <v/>
      </c>
      <c r="F72" s="23" t="str">
        <f aca="false">IF(C72="","",IF(COUNTIF(Office_Log!$A$2:$A$201,C72)&gt;0,"Y","N"))</f>
        <v/>
      </c>
      <c r="G72" s="34" t="str">
        <f aca="false">IF(OR(C72="",AND(LEFT(C72,6)="SAMPLE",Config!$B$19&lt;&gt;"Y")),"",IF(IFERROR(INDEX(Lists!$K$2:$K$15,MATCH(D72,Lists!$J$2:$J$15,0)),-1)=-1,"status '"&amp;D72&amp;"' is not a CONTRACTS status",IF(AND(D72="signed",COUNTIF(signed_offices!$W$2:$W$51,C72)=0),"status signed but no signed_offices row"&amp;IF(F72="N"," and no tracker row",""),IF(AND(IFERROR(INDEX(Lists!$K$2:$K$15,MATCH(D72,Lists!$J$2:$J$15,0)),-1)&gt;=6,F72="N"),"status "&amp;D72&amp;" but no tracker row",IF(AND(E72="Y",D72&lt;&gt;"do_not_contact"),"do_not_contact = Y but status is "&amp;D72,IF(AND(D72="do_not_contact",E72&lt;&gt;"Y"),"status do_not_contact but do_not_contact is not Y",""))))))</f>
        <v/>
      </c>
      <c r="I72" s="23" t="n">
        <v>51</v>
      </c>
      <c r="J72" s="23" t="str">
        <f aca="false">IFERROR(INDEX(Clay_Brands!$A$2:$FZ$601,I72,$D$5)&amp;"","")</f>
        <v/>
      </c>
      <c r="K72" s="23" t="str">
        <f aca="false">IFERROR(INDEX(Clay_Brands!$A$2:$FZ$601,I72,$D$7)&amp;"","")</f>
        <v/>
      </c>
      <c r="L72" s="23" t="str">
        <f aca="false">IFERROR(INDEX(Clay_Brands!$A$2:$FZ$601,I72,$D$8)&amp;"","")</f>
        <v/>
      </c>
      <c r="M72" s="23" t="str">
        <f aca="false">IF(J72="","",IF(COUNTIF(Brand_Log!$A$2:$A$201,J72)&gt;0,"Y","N"))</f>
        <v/>
      </c>
      <c r="N72" s="34" t="str">
        <f aca="false">IF(OR(J72="",AND(LEFT(J72,6)="SAMPLE",Config!$B$19&lt;&gt;"Y")),"",IF(IFERROR(INDEX(Lists!$K$2:$K$15,MATCH(K72,Lists!$J$2:$J$15,0)),-1)=-1,"status '"&amp;K72&amp;"' is not a CONTRACTS status",IF(AND(K72="paid",COUNTIF(paid_brands!$AC$2:$AC$51,J72)=0),"status paid but no paid_brands row"&amp;IF(M72="N"," and no tracker row",""),IF(AND(IFERROR(INDEX(Lists!$K$2:$K$15,MATCH(K72,Lists!$J$2:$J$15,0)),-1)&gt;=6,M72="N"),"status "&amp;K72&amp;" but no tracker row",IF(AND(L72="Y",K72&lt;&gt;"do_not_contact"),"do_not_contact = Y but status is "&amp;K72,IF(AND(K72="do_not_contact",L72&lt;&gt;"Y"),"status do_not_contact but do_not_contact is not Y",""))))))</f>
        <v/>
      </c>
    </row>
    <row r="73" customFormat="false" ht="15" hidden="false" customHeight="false" outlineLevel="0" collapsed="false">
      <c r="B73" s="23" t="n">
        <v>52</v>
      </c>
      <c r="C73" s="23" t="str">
        <f aca="false">IFERROR(INDEX(Clay_Offices!$A$2:$FZ$601,B73,$C$5)&amp;"","")</f>
        <v/>
      </c>
      <c r="D73" s="23" t="str">
        <f aca="false">IFERROR(INDEX(Clay_Offices!$A$2:$FZ$601,B73,$C$7)&amp;"","")</f>
        <v/>
      </c>
      <c r="E73" s="23" t="str">
        <f aca="false">IFERROR(INDEX(Clay_Offices!$A$2:$FZ$601,B73,$C$8)&amp;"","")</f>
        <v/>
      </c>
      <c r="F73" s="23" t="str">
        <f aca="false">IF(C73="","",IF(COUNTIF(Office_Log!$A$2:$A$201,C73)&gt;0,"Y","N"))</f>
        <v/>
      </c>
      <c r="G73" s="34" t="str">
        <f aca="false">IF(OR(C73="",AND(LEFT(C73,6)="SAMPLE",Config!$B$19&lt;&gt;"Y")),"",IF(IFERROR(INDEX(Lists!$K$2:$K$15,MATCH(D73,Lists!$J$2:$J$15,0)),-1)=-1,"status '"&amp;D73&amp;"' is not a CONTRACTS status",IF(AND(D73="signed",COUNTIF(signed_offices!$W$2:$W$51,C73)=0),"status signed but no signed_offices row"&amp;IF(F73="N"," and no tracker row",""),IF(AND(IFERROR(INDEX(Lists!$K$2:$K$15,MATCH(D73,Lists!$J$2:$J$15,0)),-1)&gt;=6,F73="N"),"status "&amp;D73&amp;" but no tracker row",IF(AND(E73="Y",D73&lt;&gt;"do_not_contact"),"do_not_contact = Y but status is "&amp;D73,IF(AND(D73="do_not_contact",E73&lt;&gt;"Y"),"status do_not_contact but do_not_contact is not Y",""))))))</f>
        <v/>
      </c>
      <c r="I73" s="23" t="n">
        <v>52</v>
      </c>
      <c r="J73" s="23" t="str">
        <f aca="false">IFERROR(INDEX(Clay_Brands!$A$2:$FZ$601,I73,$D$5)&amp;"","")</f>
        <v/>
      </c>
      <c r="K73" s="23" t="str">
        <f aca="false">IFERROR(INDEX(Clay_Brands!$A$2:$FZ$601,I73,$D$7)&amp;"","")</f>
        <v/>
      </c>
      <c r="L73" s="23" t="str">
        <f aca="false">IFERROR(INDEX(Clay_Brands!$A$2:$FZ$601,I73,$D$8)&amp;"","")</f>
        <v/>
      </c>
      <c r="M73" s="23" t="str">
        <f aca="false">IF(J73="","",IF(COUNTIF(Brand_Log!$A$2:$A$201,J73)&gt;0,"Y","N"))</f>
        <v/>
      </c>
      <c r="N73" s="34" t="str">
        <f aca="false">IF(OR(J73="",AND(LEFT(J73,6)="SAMPLE",Config!$B$19&lt;&gt;"Y")),"",IF(IFERROR(INDEX(Lists!$K$2:$K$15,MATCH(K73,Lists!$J$2:$J$15,0)),-1)=-1,"status '"&amp;K73&amp;"' is not a CONTRACTS status",IF(AND(K73="paid",COUNTIF(paid_brands!$AC$2:$AC$51,J73)=0),"status paid but no paid_brands row"&amp;IF(M73="N"," and no tracker row",""),IF(AND(IFERROR(INDEX(Lists!$K$2:$K$15,MATCH(K73,Lists!$J$2:$J$15,0)),-1)&gt;=6,M73="N"),"status "&amp;K73&amp;" but no tracker row",IF(AND(L73="Y",K73&lt;&gt;"do_not_contact"),"do_not_contact = Y but status is "&amp;K73,IF(AND(K73="do_not_contact",L73&lt;&gt;"Y"),"status do_not_contact but do_not_contact is not Y",""))))))</f>
        <v/>
      </c>
    </row>
    <row r="74" customFormat="false" ht="15" hidden="false" customHeight="false" outlineLevel="0" collapsed="false">
      <c r="B74" s="23" t="n">
        <v>53</v>
      </c>
      <c r="C74" s="23" t="str">
        <f aca="false">IFERROR(INDEX(Clay_Offices!$A$2:$FZ$601,B74,$C$5)&amp;"","")</f>
        <v/>
      </c>
      <c r="D74" s="23" t="str">
        <f aca="false">IFERROR(INDEX(Clay_Offices!$A$2:$FZ$601,B74,$C$7)&amp;"","")</f>
        <v/>
      </c>
      <c r="E74" s="23" t="str">
        <f aca="false">IFERROR(INDEX(Clay_Offices!$A$2:$FZ$601,B74,$C$8)&amp;"","")</f>
        <v/>
      </c>
      <c r="F74" s="23" t="str">
        <f aca="false">IF(C74="","",IF(COUNTIF(Office_Log!$A$2:$A$201,C74)&gt;0,"Y","N"))</f>
        <v/>
      </c>
      <c r="G74" s="34" t="str">
        <f aca="false">IF(OR(C74="",AND(LEFT(C74,6)="SAMPLE",Config!$B$19&lt;&gt;"Y")),"",IF(IFERROR(INDEX(Lists!$K$2:$K$15,MATCH(D74,Lists!$J$2:$J$15,0)),-1)=-1,"status '"&amp;D74&amp;"' is not a CONTRACTS status",IF(AND(D74="signed",COUNTIF(signed_offices!$W$2:$W$51,C74)=0),"status signed but no signed_offices row"&amp;IF(F74="N"," and no tracker row",""),IF(AND(IFERROR(INDEX(Lists!$K$2:$K$15,MATCH(D74,Lists!$J$2:$J$15,0)),-1)&gt;=6,F74="N"),"status "&amp;D74&amp;" but no tracker row",IF(AND(E74="Y",D74&lt;&gt;"do_not_contact"),"do_not_contact = Y but status is "&amp;D74,IF(AND(D74="do_not_contact",E74&lt;&gt;"Y"),"status do_not_contact but do_not_contact is not Y",""))))))</f>
        <v/>
      </c>
      <c r="I74" s="23" t="n">
        <v>53</v>
      </c>
      <c r="J74" s="23" t="str">
        <f aca="false">IFERROR(INDEX(Clay_Brands!$A$2:$FZ$601,I74,$D$5)&amp;"","")</f>
        <v/>
      </c>
      <c r="K74" s="23" t="str">
        <f aca="false">IFERROR(INDEX(Clay_Brands!$A$2:$FZ$601,I74,$D$7)&amp;"","")</f>
        <v/>
      </c>
      <c r="L74" s="23" t="str">
        <f aca="false">IFERROR(INDEX(Clay_Brands!$A$2:$FZ$601,I74,$D$8)&amp;"","")</f>
        <v/>
      </c>
      <c r="M74" s="23" t="str">
        <f aca="false">IF(J74="","",IF(COUNTIF(Brand_Log!$A$2:$A$201,J74)&gt;0,"Y","N"))</f>
        <v/>
      </c>
      <c r="N74" s="34" t="str">
        <f aca="false">IF(OR(J74="",AND(LEFT(J74,6)="SAMPLE",Config!$B$19&lt;&gt;"Y")),"",IF(IFERROR(INDEX(Lists!$K$2:$K$15,MATCH(K74,Lists!$J$2:$J$15,0)),-1)=-1,"status '"&amp;K74&amp;"' is not a CONTRACTS status",IF(AND(K74="paid",COUNTIF(paid_brands!$AC$2:$AC$51,J74)=0),"status paid but no paid_brands row"&amp;IF(M74="N"," and no tracker row",""),IF(AND(IFERROR(INDEX(Lists!$K$2:$K$15,MATCH(K74,Lists!$J$2:$J$15,0)),-1)&gt;=6,M74="N"),"status "&amp;K74&amp;" but no tracker row",IF(AND(L74="Y",K74&lt;&gt;"do_not_contact"),"do_not_contact = Y but status is "&amp;K74,IF(AND(K74="do_not_contact",L74&lt;&gt;"Y"),"status do_not_contact but do_not_contact is not Y",""))))))</f>
        <v/>
      </c>
    </row>
    <row r="75" customFormat="false" ht="15" hidden="false" customHeight="false" outlineLevel="0" collapsed="false">
      <c r="B75" s="23" t="n">
        <v>54</v>
      </c>
      <c r="C75" s="23" t="str">
        <f aca="false">IFERROR(INDEX(Clay_Offices!$A$2:$FZ$601,B75,$C$5)&amp;"","")</f>
        <v/>
      </c>
      <c r="D75" s="23" t="str">
        <f aca="false">IFERROR(INDEX(Clay_Offices!$A$2:$FZ$601,B75,$C$7)&amp;"","")</f>
        <v/>
      </c>
      <c r="E75" s="23" t="str">
        <f aca="false">IFERROR(INDEX(Clay_Offices!$A$2:$FZ$601,B75,$C$8)&amp;"","")</f>
        <v/>
      </c>
      <c r="F75" s="23" t="str">
        <f aca="false">IF(C75="","",IF(COUNTIF(Office_Log!$A$2:$A$201,C75)&gt;0,"Y","N"))</f>
        <v/>
      </c>
      <c r="G75" s="34" t="str">
        <f aca="false">IF(OR(C75="",AND(LEFT(C75,6)="SAMPLE",Config!$B$19&lt;&gt;"Y")),"",IF(IFERROR(INDEX(Lists!$K$2:$K$15,MATCH(D75,Lists!$J$2:$J$15,0)),-1)=-1,"status '"&amp;D75&amp;"' is not a CONTRACTS status",IF(AND(D75="signed",COUNTIF(signed_offices!$W$2:$W$51,C75)=0),"status signed but no signed_offices row"&amp;IF(F75="N"," and no tracker row",""),IF(AND(IFERROR(INDEX(Lists!$K$2:$K$15,MATCH(D75,Lists!$J$2:$J$15,0)),-1)&gt;=6,F75="N"),"status "&amp;D75&amp;" but no tracker row",IF(AND(E75="Y",D75&lt;&gt;"do_not_contact"),"do_not_contact = Y but status is "&amp;D75,IF(AND(D75="do_not_contact",E75&lt;&gt;"Y"),"status do_not_contact but do_not_contact is not Y",""))))))</f>
        <v/>
      </c>
      <c r="I75" s="23" t="n">
        <v>54</v>
      </c>
      <c r="J75" s="23" t="str">
        <f aca="false">IFERROR(INDEX(Clay_Brands!$A$2:$FZ$601,I75,$D$5)&amp;"","")</f>
        <v/>
      </c>
      <c r="K75" s="23" t="str">
        <f aca="false">IFERROR(INDEX(Clay_Brands!$A$2:$FZ$601,I75,$D$7)&amp;"","")</f>
        <v/>
      </c>
      <c r="L75" s="23" t="str">
        <f aca="false">IFERROR(INDEX(Clay_Brands!$A$2:$FZ$601,I75,$D$8)&amp;"","")</f>
        <v/>
      </c>
      <c r="M75" s="23" t="str">
        <f aca="false">IF(J75="","",IF(COUNTIF(Brand_Log!$A$2:$A$201,J75)&gt;0,"Y","N"))</f>
        <v/>
      </c>
      <c r="N75" s="34" t="str">
        <f aca="false">IF(OR(J75="",AND(LEFT(J75,6)="SAMPLE",Config!$B$19&lt;&gt;"Y")),"",IF(IFERROR(INDEX(Lists!$K$2:$K$15,MATCH(K75,Lists!$J$2:$J$15,0)),-1)=-1,"status '"&amp;K75&amp;"' is not a CONTRACTS status",IF(AND(K75="paid",COUNTIF(paid_brands!$AC$2:$AC$51,J75)=0),"status paid but no paid_brands row"&amp;IF(M75="N"," and no tracker row",""),IF(AND(IFERROR(INDEX(Lists!$K$2:$K$15,MATCH(K75,Lists!$J$2:$J$15,0)),-1)&gt;=6,M75="N"),"status "&amp;K75&amp;" but no tracker row",IF(AND(L75="Y",K75&lt;&gt;"do_not_contact"),"do_not_contact = Y but status is "&amp;K75,IF(AND(K75="do_not_contact",L75&lt;&gt;"Y"),"status do_not_contact but do_not_contact is not Y",""))))))</f>
        <v/>
      </c>
    </row>
    <row r="76" customFormat="false" ht="15" hidden="false" customHeight="false" outlineLevel="0" collapsed="false">
      <c r="B76" s="23" t="n">
        <v>55</v>
      </c>
      <c r="C76" s="23" t="str">
        <f aca="false">IFERROR(INDEX(Clay_Offices!$A$2:$FZ$601,B76,$C$5)&amp;"","")</f>
        <v/>
      </c>
      <c r="D76" s="23" t="str">
        <f aca="false">IFERROR(INDEX(Clay_Offices!$A$2:$FZ$601,B76,$C$7)&amp;"","")</f>
        <v/>
      </c>
      <c r="E76" s="23" t="str">
        <f aca="false">IFERROR(INDEX(Clay_Offices!$A$2:$FZ$601,B76,$C$8)&amp;"","")</f>
        <v/>
      </c>
      <c r="F76" s="23" t="str">
        <f aca="false">IF(C76="","",IF(COUNTIF(Office_Log!$A$2:$A$201,C76)&gt;0,"Y","N"))</f>
        <v/>
      </c>
      <c r="G76" s="34" t="str">
        <f aca="false">IF(OR(C76="",AND(LEFT(C76,6)="SAMPLE",Config!$B$19&lt;&gt;"Y")),"",IF(IFERROR(INDEX(Lists!$K$2:$K$15,MATCH(D76,Lists!$J$2:$J$15,0)),-1)=-1,"status '"&amp;D76&amp;"' is not a CONTRACTS status",IF(AND(D76="signed",COUNTIF(signed_offices!$W$2:$W$51,C76)=0),"status signed but no signed_offices row"&amp;IF(F76="N"," and no tracker row",""),IF(AND(IFERROR(INDEX(Lists!$K$2:$K$15,MATCH(D76,Lists!$J$2:$J$15,0)),-1)&gt;=6,F76="N"),"status "&amp;D76&amp;" but no tracker row",IF(AND(E76="Y",D76&lt;&gt;"do_not_contact"),"do_not_contact = Y but status is "&amp;D76,IF(AND(D76="do_not_contact",E76&lt;&gt;"Y"),"status do_not_contact but do_not_contact is not Y",""))))))</f>
        <v/>
      </c>
      <c r="I76" s="23" t="n">
        <v>55</v>
      </c>
      <c r="J76" s="23" t="str">
        <f aca="false">IFERROR(INDEX(Clay_Brands!$A$2:$FZ$601,I76,$D$5)&amp;"","")</f>
        <v/>
      </c>
      <c r="K76" s="23" t="str">
        <f aca="false">IFERROR(INDEX(Clay_Brands!$A$2:$FZ$601,I76,$D$7)&amp;"","")</f>
        <v/>
      </c>
      <c r="L76" s="23" t="str">
        <f aca="false">IFERROR(INDEX(Clay_Brands!$A$2:$FZ$601,I76,$D$8)&amp;"","")</f>
        <v/>
      </c>
      <c r="M76" s="23" t="str">
        <f aca="false">IF(J76="","",IF(COUNTIF(Brand_Log!$A$2:$A$201,J76)&gt;0,"Y","N"))</f>
        <v/>
      </c>
      <c r="N76" s="34" t="str">
        <f aca="false">IF(OR(J76="",AND(LEFT(J76,6)="SAMPLE",Config!$B$19&lt;&gt;"Y")),"",IF(IFERROR(INDEX(Lists!$K$2:$K$15,MATCH(K76,Lists!$J$2:$J$15,0)),-1)=-1,"status '"&amp;K76&amp;"' is not a CONTRACTS status",IF(AND(K76="paid",COUNTIF(paid_brands!$AC$2:$AC$51,J76)=0),"status paid but no paid_brands row"&amp;IF(M76="N"," and no tracker row",""),IF(AND(IFERROR(INDEX(Lists!$K$2:$K$15,MATCH(K76,Lists!$J$2:$J$15,0)),-1)&gt;=6,M76="N"),"status "&amp;K76&amp;" but no tracker row",IF(AND(L76="Y",K76&lt;&gt;"do_not_contact"),"do_not_contact = Y but status is "&amp;K76,IF(AND(K76="do_not_contact",L76&lt;&gt;"Y"),"status do_not_contact but do_not_contact is not Y",""))))))</f>
        <v/>
      </c>
    </row>
    <row r="77" customFormat="false" ht="15" hidden="false" customHeight="false" outlineLevel="0" collapsed="false">
      <c r="B77" s="23" t="n">
        <v>56</v>
      </c>
      <c r="C77" s="23" t="str">
        <f aca="false">IFERROR(INDEX(Clay_Offices!$A$2:$FZ$601,B77,$C$5)&amp;"","")</f>
        <v/>
      </c>
      <c r="D77" s="23" t="str">
        <f aca="false">IFERROR(INDEX(Clay_Offices!$A$2:$FZ$601,B77,$C$7)&amp;"","")</f>
        <v/>
      </c>
      <c r="E77" s="23" t="str">
        <f aca="false">IFERROR(INDEX(Clay_Offices!$A$2:$FZ$601,B77,$C$8)&amp;"","")</f>
        <v/>
      </c>
      <c r="F77" s="23" t="str">
        <f aca="false">IF(C77="","",IF(COUNTIF(Office_Log!$A$2:$A$201,C77)&gt;0,"Y","N"))</f>
        <v/>
      </c>
      <c r="G77" s="34" t="str">
        <f aca="false">IF(OR(C77="",AND(LEFT(C77,6)="SAMPLE",Config!$B$19&lt;&gt;"Y")),"",IF(IFERROR(INDEX(Lists!$K$2:$K$15,MATCH(D77,Lists!$J$2:$J$15,0)),-1)=-1,"status '"&amp;D77&amp;"' is not a CONTRACTS status",IF(AND(D77="signed",COUNTIF(signed_offices!$W$2:$W$51,C77)=0),"status signed but no signed_offices row"&amp;IF(F77="N"," and no tracker row",""),IF(AND(IFERROR(INDEX(Lists!$K$2:$K$15,MATCH(D77,Lists!$J$2:$J$15,0)),-1)&gt;=6,F77="N"),"status "&amp;D77&amp;" but no tracker row",IF(AND(E77="Y",D77&lt;&gt;"do_not_contact"),"do_not_contact = Y but status is "&amp;D77,IF(AND(D77="do_not_contact",E77&lt;&gt;"Y"),"status do_not_contact but do_not_contact is not Y",""))))))</f>
        <v/>
      </c>
      <c r="I77" s="23" t="n">
        <v>56</v>
      </c>
      <c r="J77" s="23" t="str">
        <f aca="false">IFERROR(INDEX(Clay_Brands!$A$2:$FZ$601,I77,$D$5)&amp;"","")</f>
        <v/>
      </c>
      <c r="K77" s="23" t="str">
        <f aca="false">IFERROR(INDEX(Clay_Brands!$A$2:$FZ$601,I77,$D$7)&amp;"","")</f>
        <v/>
      </c>
      <c r="L77" s="23" t="str">
        <f aca="false">IFERROR(INDEX(Clay_Brands!$A$2:$FZ$601,I77,$D$8)&amp;"","")</f>
        <v/>
      </c>
      <c r="M77" s="23" t="str">
        <f aca="false">IF(J77="","",IF(COUNTIF(Brand_Log!$A$2:$A$201,J77)&gt;0,"Y","N"))</f>
        <v/>
      </c>
      <c r="N77" s="34" t="str">
        <f aca="false">IF(OR(J77="",AND(LEFT(J77,6)="SAMPLE",Config!$B$19&lt;&gt;"Y")),"",IF(IFERROR(INDEX(Lists!$K$2:$K$15,MATCH(K77,Lists!$J$2:$J$15,0)),-1)=-1,"status '"&amp;K77&amp;"' is not a CONTRACTS status",IF(AND(K77="paid",COUNTIF(paid_brands!$AC$2:$AC$51,J77)=0),"status paid but no paid_brands row"&amp;IF(M77="N"," and no tracker row",""),IF(AND(IFERROR(INDEX(Lists!$K$2:$K$15,MATCH(K77,Lists!$J$2:$J$15,0)),-1)&gt;=6,M77="N"),"status "&amp;K77&amp;" but no tracker row",IF(AND(L77="Y",K77&lt;&gt;"do_not_contact"),"do_not_contact = Y but status is "&amp;K77,IF(AND(K77="do_not_contact",L77&lt;&gt;"Y"),"status do_not_contact but do_not_contact is not Y",""))))))</f>
        <v/>
      </c>
    </row>
    <row r="78" customFormat="false" ht="15" hidden="false" customHeight="false" outlineLevel="0" collapsed="false">
      <c r="B78" s="23" t="n">
        <v>57</v>
      </c>
      <c r="C78" s="23" t="str">
        <f aca="false">IFERROR(INDEX(Clay_Offices!$A$2:$FZ$601,B78,$C$5)&amp;"","")</f>
        <v/>
      </c>
      <c r="D78" s="23" t="str">
        <f aca="false">IFERROR(INDEX(Clay_Offices!$A$2:$FZ$601,B78,$C$7)&amp;"","")</f>
        <v/>
      </c>
      <c r="E78" s="23" t="str">
        <f aca="false">IFERROR(INDEX(Clay_Offices!$A$2:$FZ$601,B78,$C$8)&amp;"","")</f>
        <v/>
      </c>
      <c r="F78" s="23" t="str">
        <f aca="false">IF(C78="","",IF(COUNTIF(Office_Log!$A$2:$A$201,C78)&gt;0,"Y","N"))</f>
        <v/>
      </c>
      <c r="G78" s="34" t="str">
        <f aca="false">IF(OR(C78="",AND(LEFT(C78,6)="SAMPLE",Config!$B$19&lt;&gt;"Y")),"",IF(IFERROR(INDEX(Lists!$K$2:$K$15,MATCH(D78,Lists!$J$2:$J$15,0)),-1)=-1,"status '"&amp;D78&amp;"' is not a CONTRACTS status",IF(AND(D78="signed",COUNTIF(signed_offices!$W$2:$W$51,C78)=0),"status signed but no signed_offices row"&amp;IF(F78="N"," and no tracker row",""),IF(AND(IFERROR(INDEX(Lists!$K$2:$K$15,MATCH(D78,Lists!$J$2:$J$15,0)),-1)&gt;=6,F78="N"),"status "&amp;D78&amp;" but no tracker row",IF(AND(E78="Y",D78&lt;&gt;"do_not_contact"),"do_not_contact = Y but status is "&amp;D78,IF(AND(D78="do_not_contact",E78&lt;&gt;"Y"),"status do_not_contact but do_not_contact is not Y",""))))))</f>
        <v/>
      </c>
      <c r="I78" s="23" t="n">
        <v>57</v>
      </c>
      <c r="J78" s="23" t="str">
        <f aca="false">IFERROR(INDEX(Clay_Brands!$A$2:$FZ$601,I78,$D$5)&amp;"","")</f>
        <v/>
      </c>
      <c r="K78" s="23" t="str">
        <f aca="false">IFERROR(INDEX(Clay_Brands!$A$2:$FZ$601,I78,$D$7)&amp;"","")</f>
        <v/>
      </c>
      <c r="L78" s="23" t="str">
        <f aca="false">IFERROR(INDEX(Clay_Brands!$A$2:$FZ$601,I78,$D$8)&amp;"","")</f>
        <v/>
      </c>
      <c r="M78" s="23" t="str">
        <f aca="false">IF(J78="","",IF(COUNTIF(Brand_Log!$A$2:$A$201,J78)&gt;0,"Y","N"))</f>
        <v/>
      </c>
      <c r="N78" s="34" t="str">
        <f aca="false">IF(OR(J78="",AND(LEFT(J78,6)="SAMPLE",Config!$B$19&lt;&gt;"Y")),"",IF(IFERROR(INDEX(Lists!$K$2:$K$15,MATCH(K78,Lists!$J$2:$J$15,0)),-1)=-1,"status '"&amp;K78&amp;"' is not a CONTRACTS status",IF(AND(K78="paid",COUNTIF(paid_brands!$AC$2:$AC$51,J78)=0),"status paid but no paid_brands row"&amp;IF(M78="N"," and no tracker row",""),IF(AND(IFERROR(INDEX(Lists!$K$2:$K$15,MATCH(K78,Lists!$J$2:$J$15,0)),-1)&gt;=6,M78="N"),"status "&amp;K78&amp;" but no tracker row",IF(AND(L78="Y",K78&lt;&gt;"do_not_contact"),"do_not_contact = Y but status is "&amp;K78,IF(AND(K78="do_not_contact",L78&lt;&gt;"Y"),"status do_not_contact but do_not_contact is not Y",""))))))</f>
        <v/>
      </c>
    </row>
    <row r="79" customFormat="false" ht="15" hidden="false" customHeight="false" outlineLevel="0" collapsed="false">
      <c r="B79" s="23" t="n">
        <v>58</v>
      </c>
      <c r="C79" s="23" t="str">
        <f aca="false">IFERROR(INDEX(Clay_Offices!$A$2:$FZ$601,B79,$C$5)&amp;"","")</f>
        <v/>
      </c>
      <c r="D79" s="23" t="str">
        <f aca="false">IFERROR(INDEX(Clay_Offices!$A$2:$FZ$601,B79,$C$7)&amp;"","")</f>
        <v/>
      </c>
      <c r="E79" s="23" t="str">
        <f aca="false">IFERROR(INDEX(Clay_Offices!$A$2:$FZ$601,B79,$C$8)&amp;"","")</f>
        <v/>
      </c>
      <c r="F79" s="23" t="str">
        <f aca="false">IF(C79="","",IF(COUNTIF(Office_Log!$A$2:$A$201,C79)&gt;0,"Y","N"))</f>
        <v/>
      </c>
      <c r="G79" s="34" t="str">
        <f aca="false">IF(OR(C79="",AND(LEFT(C79,6)="SAMPLE",Config!$B$19&lt;&gt;"Y")),"",IF(IFERROR(INDEX(Lists!$K$2:$K$15,MATCH(D79,Lists!$J$2:$J$15,0)),-1)=-1,"status '"&amp;D79&amp;"' is not a CONTRACTS status",IF(AND(D79="signed",COUNTIF(signed_offices!$W$2:$W$51,C79)=0),"status signed but no signed_offices row"&amp;IF(F79="N"," and no tracker row",""),IF(AND(IFERROR(INDEX(Lists!$K$2:$K$15,MATCH(D79,Lists!$J$2:$J$15,0)),-1)&gt;=6,F79="N"),"status "&amp;D79&amp;" but no tracker row",IF(AND(E79="Y",D79&lt;&gt;"do_not_contact"),"do_not_contact = Y but status is "&amp;D79,IF(AND(D79="do_not_contact",E79&lt;&gt;"Y"),"status do_not_contact but do_not_contact is not Y",""))))))</f>
        <v/>
      </c>
      <c r="I79" s="23" t="n">
        <v>58</v>
      </c>
      <c r="J79" s="23" t="str">
        <f aca="false">IFERROR(INDEX(Clay_Brands!$A$2:$FZ$601,I79,$D$5)&amp;"","")</f>
        <v/>
      </c>
      <c r="K79" s="23" t="str">
        <f aca="false">IFERROR(INDEX(Clay_Brands!$A$2:$FZ$601,I79,$D$7)&amp;"","")</f>
        <v/>
      </c>
      <c r="L79" s="23" t="str">
        <f aca="false">IFERROR(INDEX(Clay_Brands!$A$2:$FZ$601,I79,$D$8)&amp;"","")</f>
        <v/>
      </c>
      <c r="M79" s="23" t="str">
        <f aca="false">IF(J79="","",IF(COUNTIF(Brand_Log!$A$2:$A$201,J79)&gt;0,"Y","N"))</f>
        <v/>
      </c>
      <c r="N79" s="34" t="str">
        <f aca="false">IF(OR(J79="",AND(LEFT(J79,6)="SAMPLE",Config!$B$19&lt;&gt;"Y")),"",IF(IFERROR(INDEX(Lists!$K$2:$K$15,MATCH(K79,Lists!$J$2:$J$15,0)),-1)=-1,"status '"&amp;K79&amp;"' is not a CONTRACTS status",IF(AND(K79="paid",COUNTIF(paid_brands!$AC$2:$AC$51,J79)=0),"status paid but no paid_brands row"&amp;IF(M79="N"," and no tracker row",""),IF(AND(IFERROR(INDEX(Lists!$K$2:$K$15,MATCH(K79,Lists!$J$2:$J$15,0)),-1)&gt;=6,M79="N"),"status "&amp;K79&amp;" but no tracker row",IF(AND(L79="Y",K79&lt;&gt;"do_not_contact"),"do_not_contact = Y but status is "&amp;K79,IF(AND(K79="do_not_contact",L79&lt;&gt;"Y"),"status do_not_contact but do_not_contact is not Y",""))))))</f>
        <v/>
      </c>
    </row>
    <row r="80" customFormat="false" ht="15" hidden="false" customHeight="false" outlineLevel="0" collapsed="false">
      <c r="B80" s="23" t="n">
        <v>59</v>
      </c>
      <c r="C80" s="23" t="str">
        <f aca="false">IFERROR(INDEX(Clay_Offices!$A$2:$FZ$601,B80,$C$5)&amp;"","")</f>
        <v/>
      </c>
      <c r="D80" s="23" t="str">
        <f aca="false">IFERROR(INDEX(Clay_Offices!$A$2:$FZ$601,B80,$C$7)&amp;"","")</f>
        <v/>
      </c>
      <c r="E80" s="23" t="str">
        <f aca="false">IFERROR(INDEX(Clay_Offices!$A$2:$FZ$601,B80,$C$8)&amp;"","")</f>
        <v/>
      </c>
      <c r="F80" s="23" t="str">
        <f aca="false">IF(C80="","",IF(COUNTIF(Office_Log!$A$2:$A$201,C80)&gt;0,"Y","N"))</f>
        <v/>
      </c>
      <c r="G80" s="34" t="str">
        <f aca="false">IF(OR(C80="",AND(LEFT(C80,6)="SAMPLE",Config!$B$19&lt;&gt;"Y")),"",IF(IFERROR(INDEX(Lists!$K$2:$K$15,MATCH(D80,Lists!$J$2:$J$15,0)),-1)=-1,"status '"&amp;D80&amp;"' is not a CONTRACTS status",IF(AND(D80="signed",COUNTIF(signed_offices!$W$2:$W$51,C80)=0),"status signed but no signed_offices row"&amp;IF(F80="N"," and no tracker row",""),IF(AND(IFERROR(INDEX(Lists!$K$2:$K$15,MATCH(D80,Lists!$J$2:$J$15,0)),-1)&gt;=6,F80="N"),"status "&amp;D80&amp;" but no tracker row",IF(AND(E80="Y",D80&lt;&gt;"do_not_contact"),"do_not_contact = Y but status is "&amp;D80,IF(AND(D80="do_not_contact",E80&lt;&gt;"Y"),"status do_not_contact but do_not_contact is not Y",""))))))</f>
        <v/>
      </c>
      <c r="I80" s="23" t="n">
        <v>59</v>
      </c>
      <c r="J80" s="23" t="str">
        <f aca="false">IFERROR(INDEX(Clay_Brands!$A$2:$FZ$601,I80,$D$5)&amp;"","")</f>
        <v/>
      </c>
      <c r="K80" s="23" t="str">
        <f aca="false">IFERROR(INDEX(Clay_Brands!$A$2:$FZ$601,I80,$D$7)&amp;"","")</f>
        <v/>
      </c>
      <c r="L80" s="23" t="str">
        <f aca="false">IFERROR(INDEX(Clay_Brands!$A$2:$FZ$601,I80,$D$8)&amp;"","")</f>
        <v/>
      </c>
      <c r="M80" s="23" t="str">
        <f aca="false">IF(J80="","",IF(COUNTIF(Brand_Log!$A$2:$A$201,J80)&gt;0,"Y","N"))</f>
        <v/>
      </c>
      <c r="N80" s="34" t="str">
        <f aca="false">IF(OR(J80="",AND(LEFT(J80,6)="SAMPLE",Config!$B$19&lt;&gt;"Y")),"",IF(IFERROR(INDEX(Lists!$K$2:$K$15,MATCH(K80,Lists!$J$2:$J$15,0)),-1)=-1,"status '"&amp;K80&amp;"' is not a CONTRACTS status",IF(AND(K80="paid",COUNTIF(paid_brands!$AC$2:$AC$51,J80)=0),"status paid but no paid_brands row"&amp;IF(M80="N"," and no tracker row",""),IF(AND(IFERROR(INDEX(Lists!$K$2:$K$15,MATCH(K80,Lists!$J$2:$J$15,0)),-1)&gt;=6,M80="N"),"status "&amp;K80&amp;" but no tracker row",IF(AND(L80="Y",K80&lt;&gt;"do_not_contact"),"do_not_contact = Y but status is "&amp;K80,IF(AND(K80="do_not_contact",L80&lt;&gt;"Y"),"status do_not_contact but do_not_contact is not Y",""))))))</f>
        <v/>
      </c>
    </row>
    <row r="81" customFormat="false" ht="15" hidden="false" customHeight="false" outlineLevel="0" collapsed="false">
      <c r="B81" s="23" t="n">
        <v>60</v>
      </c>
      <c r="C81" s="23" t="str">
        <f aca="false">IFERROR(INDEX(Clay_Offices!$A$2:$FZ$601,B81,$C$5)&amp;"","")</f>
        <v/>
      </c>
      <c r="D81" s="23" t="str">
        <f aca="false">IFERROR(INDEX(Clay_Offices!$A$2:$FZ$601,B81,$C$7)&amp;"","")</f>
        <v/>
      </c>
      <c r="E81" s="23" t="str">
        <f aca="false">IFERROR(INDEX(Clay_Offices!$A$2:$FZ$601,B81,$C$8)&amp;"","")</f>
        <v/>
      </c>
      <c r="F81" s="23" t="str">
        <f aca="false">IF(C81="","",IF(COUNTIF(Office_Log!$A$2:$A$201,C81)&gt;0,"Y","N"))</f>
        <v/>
      </c>
      <c r="G81" s="34" t="str">
        <f aca="false">IF(OR(C81="",AND(LEFT(C81,6)="SAMPLE",Config!$B$19&lt;&gt;"Y")),"",IF(IFERROR(INDEX(Lists!$K$2:$K$15,MATCH(D81,Lists!$J$2:$J$15,0)),-1)=-1,"status '"&amp;D81&amp;"' is not a CONTRACTS status",IF(AND(D81="signed",COUNTIF(signed_offices!$W$2:$W$51,C81)=0),"status signed but no signed_offices row"&amp;IF(F81="N"," and no tracker row",""),IF(AND(IFERROR(INDEX(Lists!$K$2:$K$15,MATCH(D81,Lists!$J$2:$J$15,0)),-1)&gt;=6,F81="N"),"status "&amp;D81&amp;" but no tracker row",IF(AND(E81="Y",D81&lt;&gt;"do_not_contact"),"do_not_contact = Y but status is "&amp;D81,IF(AND(D81="do_not_contact",E81&lt;&gt;"Y"),"status do_not_contact but do_not_contact is not Y",""))))))</f>
        <v/>
      </c>
      <c r="I81" s="23" t="n">
        <v>60</v>
      </c>
      <c r="J81" s="23" t="str">
        <f aca="false">IFERROR(INDEX(Clay_Brands!$A$2:$FZ$601,I81,$D$5)&amp;"","")</f>
        <v/>
      </c>
      <c r="K81" s="23" t="str">
        <f aca="false">IFERROR(INDEX(Clay_Brands!$A$2:$FZ$601,I81,$D$7)&amp;"","")</f>
        <v/>
      </c>
      <c r="L81" s="23" t="str">
        <f aca="false">IFERROR(INDEX(Clay_Brands!$A$2:$FZ$601,I81,$D$8)&amp;"","")</f>
        <v/>
      </c>
      <c r="M81" s="23" t="str">
        <f aca="false">IF(J81="","",IF(COUNTIF(Brand_Log!$A$2:$A$201,J81)&gt;0,"Y","N"))</f>
        <v/>
      </c>
      <c r="N81" s="34" t="str">
        <f aca="false">IF(OR(J81="",AND(LEFT(J81,6)="SAMPLE",Config!$B$19&lt;&gt;"Y")),"",IF(IFERROR(INDEX(Lists!$K$2:$K$15,MATCH(K81,Lists!$J$2:$J$15,0)),-1)=-1,"status '"&amp;K81&amp;"' is not a CONTRACTS status",IF(AND(K81="paid",COUNTIF(paid_brands!$AC$2:$AC$51,J81)=0),"status paid but no paid_brands row"&amp;IF(M81="N"," and no tracker row",""),IF(AND(IFERROR(INDEX(Lists!$K$2:$K$15,MATCH(K81,Lists!$J$2:$J$15,0)),-1)&gt;=6,M81="N"),"status "&amp;K81&amp;" but no tracker row",IF(AND(L81="Y",K81&lt;&gt;"do_not_contact"),"do_not_contact = Y but status is "&amp;K81,IF(AND(K81="do_not_contact",L81&lt;&gt;"Y"),"status do_not_contact but do_not_contact is not Y",""))))))</f>
        <v/>
      </c>
    </row>
    <row r="82" customFormat="false" ht="15" hidden="false" customHeight="false" outlineLevel="0" collapsed="false">
      <c r="B82" s="23" t="n">
        <v>61</v>
      </c>
      <c r="C82" s="23" t="str">
        <f aca="false">IFERROR(INDEX(Clay_Offices!$A$2:$FZ$601,B82,$C$5)&amp;"","")</f>
        <v/>
      </c>
      <c r="D82" s="23" t="str">
        <f aca="false">IFERROR(INDEX(Clay_Offices!$A$2:$FZ$601,B82,$C$7)&amp;"","")</f>
        <v/>
      </c>
      <c r="E82" s="23" t="str">
        <f aca="false">IFERROR(INDEX(Clay_Offices!$A$2:$FZ$601,B82,$C$8)&amp;"","")</f>
        <v/>
      </c>
      <c r="F82" s="23" t="str">
        <f aca="false">IF(C82="","",IF(COUNTIF(Office_Log!$A$2:$A$201,C82)&gt;0,"Y","N"))</f>
        <v/>
      </c>
      <c r="G82" s="34" t="str">
        <f aca="false">IF(OR(C82="",AND(LEFT(C82,6)="SAMPLE",Config!$B$19&lt;&gt;"Y")),"",IF(IFERROR(INDEX(Lists!$K$2:$K$15,MATCH(D82,Lists!$J$2:$J$15,0)),-1)=-1,"status '"&amp;D82&amp;"' is not a CONTRACTS status",IF(AND(D82="signed",COUNTIF(signed_offices!$W$2:$W$51,C82)=0),"status signed but no signed_offices row"&amp;IF(F82="N"," and no tracker row",""),IF(AND(IFERROR(INDEX(Lists!$K$2:$K$15,MATCH(D82,Lists!$J$2:$J$15,0)),-1)&gt;=6,F82="N"),"status "&amp;D82&amp;" but no tracker row",IF(AND(E82="Y",D82&lt;&gt;"do_not_contact"),"do_not_contact = Y but status is "&amp;D82,IF(AND(D82="do_not_contact",E82&lt;&gt;"Y"),"status do_not_contact but do_not_contact is not Y",""))))))</f>
        <v/>
      </c>
      <c r="I82" s="23" t="n">
        <v>61</v>
      </c>
      <c r="J82" s="23" t="str">
        <f aca="false">IFERROR(INDEX(Clay_Brands!$A$2:$FZ$601,I82,$D$5)&amp;"","")</f>
        <v/>
      </c>
      <c r="K82" s="23" t="str">
        <f aca="false">IFERROR(INDEX(Clay_Brands!$A$2:$FZ$601,I82,$D$7)&amp;"","")</f>
        <v/>
      </c>
      <c r="L82" s="23" t="str">
        <f aca="false">IFERROR(INDEX(Clay_Brands!$A$2:$FZ$601,I82,$D$8)&amp;"","")</f>
        <v/>
      </c>
      <c r="M82" s="23" t="str">
        <f aca="false">IF(J82="","",IF(COUNTIF(Brand_Log!$A$2:$A$201,J82)&gt;0,"Y","N"))</f>
        <v/>
      </c>
      <c r="N82" s="34" t="str">
        <f aca="false">IF(OR(J82="",AND(LEFT(J82,6)="SAMPLE",Config!$B$19&lt;&gt;"Y")),"",IF(IFERROR(INDEX(Lists!$K$2:$K$15,MATCH(K82,Lists!$J$2:$J$15,0)),-1)=-1,"status '"&amp;K82&amp;"' is not a CONTRACTS status",IF(AND(K82="paid",COUNTIF(paid_brands!$AC$2:$AC$51,J82)=0),"status paid but no paid_brands row"&amp;IF(M82="N"," and no tracker row",""),IF(AND(IFERROR(INDEX(Lists!$K$2:$K$15,MATCH(K82,Lists!$J$2:$J$15,0)),-1)&gt;=6,M82="N"),"status "&amp;K82&amp;" but no tracker row",IF(AND(L82="Y",K82&lt;&gt;"do_not_contact"),"do_not_contact = Y but status is "&amp;K82,IF(AND(K82="do_not_contact",L82&lt;&gt;"Y"),"status do_not_contact but do_not_contact is not Y",""))))))</f>
        <v/>
      </c>
    </row>
    <row r="83" customFormat="false" ht="15" hidden="false" customHeight="false" outlineLevel="0" collapsed="false">
      <c r="B83" s="23" t="n">
        <v>62</v>
      </c>
      <c r="C83" s="23" t="str">
        <f aca="false">IFERROR(INDEX(Clay_Offices!$A$2:$FZ$601,B83,$C$5)&amp;"","")</f>
        <v/>
      </c>
      <c r="D83" s="23" t="str">
        <f aca="false">IFERROR(INDEX(Clay_Offices!$A$2:$FZ$601,B83,$C$7)&amp;"","")</f>
        <v/>
      </c>
      <c r="E83" s="23" t="str">
        <f aca="false">IFERROR(INDEX(Clay_Offices!$A$2:$FZ$601,B83,$C$8)&amp;"","")</f>
        <v/>
      </c>
      <c r="F83" s="23" t="str">
        <f aca="false">IF(C83="","",IF(COUNTIF(Office_Log!$A$2:$A$201,C83)&gt;0,"Y","N"))</f>
        <v/>
      </c>
      <c r="G83" s="34" t="str">
        <f aca="false">IF(OR(C83="",AND(LEFT(C83,6)="SAMPLE",Config!$B$19&lt;&gt;"Y")),"",IF(IFERROR(INDEX(Lists!$K$2:$K$15,MATCH(D83,Lists!$J$2:$J$15,0)),-1)=-1,"status '"&amp;D83&amp;"' is not a CONTRACTS status",IF(AND(D83="signed",COUNTIF(signed_offices!$W$2:$W$51,C83)=0),"status signed but no signed_offices row"&amp;IF(F83="N"," and no tracker row",""),IF(AND(IFERROR(INDEX(Lists!$K$2:$K$15,MATCH(D83,Lists!$J$2:$J$15,0)),-1)&gt;=6,F83="N"),"status "&amp;D83&amp;" but no tracker row",IF(AND(E83="Y",D83&lt;&gt;"do_not_contact"),"do_not_contact = Y but status is "&amp;D83,IF(AND(D83="do_not_contact",E83&lt;&gt;"Y"),"status do_not_contact but do_not_contact is not Y",""))))))</f>
        <v/>
      </c>
      <c r="I83" s="23" t="n">
        <v>62</v>
      </c>
      <c r="J83" s="23" t="str">
        <f aca="false">IFERROR(INDEX(Clay_Brands!$A$2:$FZ$601,I83,$D$5)&amp;"","")</f>
        <v/>
      </c>
      <c r="K83" s="23" t="str">
        <f aca="false">IFERROR(INDEX(Clay_Brands!$A$2:$FZ$601,I83,$D$7)&amp;"","")</f>
        <v/>
      </c>
      <c r="L83" s="23" t="str">
        <f aca="false">IFERROR(INDEX(Clay_Brands!$A$2:$FZ$601,I83,$D$8)&amp;"","")</f>
        <v/>
      </c>
      <c r="M83" s="23" t="str">
        <f aca="false">IF(J83="","",IF(COUNTIF(Brand_Log!$A$2:$A$201,J83)&gt;0,"Y","N"))</f>
        <v/>
      </c>
      <c r="N83" s="34" t="str">
        <f aca="false">IF(OR(J83="",AND(LEFT(J83,6)="SAMPLE",Config!$B$19&lt;&gt;"Y")),"",IF(IFERROR(INDEX(Lists!$K$2:$K$15,MATCH(K83,Lists!$J$2:$J$15,0)),-1)=-1,"status '"&amp;K83&amp;"' is not a CONTRACTS status",IF(AND(K83="paid",COUNTIF(paid_brands!$AC$2:$AC$51,J83)=0),"status paid but no paid_brands row"&amp;IF(M83="N"," and no tracker row",""),IF(AND(IFERROR(INDEX(Lists!$K$2:$K$15,MATCH(K83,Lists!$J$2:$J$15,0)),-1)&gt;=6,M83="N"),"status "&amp;K83&amp;" but no tracker row",IF(AND(L83="Y",K83&lt;&gt;"do_not_contact"),"do_not_contact = Y but status is "&amp;K83,IF(AND(K83="do_not_contact",L83&lt;&gt;"Y"),"status do_not_contact but do_not_contact is not Y",""))))))</f>
        <v/>
      </c>
    </row>
    <row r="84" customFormat="false" ht="15" hidden="false" customHeight="false" outlineLevel="0" collapsed="false">
      <c r="B84" s="23" t="n">
        <v>63</v>
      </c>
      <c r="C84" s="23" t="str">
        <f aca="false">IFERROR(INDEX(Clay_Offices!$A$2:$FZ$601,B84,$C$5)&amp;"","")</f>
        <v/>
      </c>
      <c r="D84" s="23" t="str">
        <f aca="false">IFERROR(INDEX(Clay_Offices!$A$2:$FZ$601,B84,$C$7)&amp;"","")</f>
        <v/>
      </c>
      <c r="E84" s="23" t="str">
        <f aca="false">IFERROR(INDEX(Clay_Offices!$A$2:$FZ$601,B84,$C$8)&amp;"","")</f>
        <v/>
      </c>
      <c r="F84" s="23" t="str">
        <f aca="false">IF(C84="","",IF(COUNTIF(Office_Log!$A$2:$A$201,C84)&gt;0,"Y","N"))</f>
        <v/>
      </c>
      <c r="G84" s="34" t="str">
        <f aca="false">IF(OR(C84="",AND(LEFT(C84,6)="SAMPLE",Config!$B$19&lt;&gt;"Y")),"",IF(IFERROR(INDEX(Lists!$K$2:$K$15,MATCH(D84,Lists!$J$2:$J$15,0)),-1)=-1,"status '"&amp;D84&amp;"' is not a CONTRACTS status",IF(AND(D84="signed",COUNTIF(signed_offices!$W$2:$W$51,C84)=0),"status signed but no signed_offices row"&amp;IF(F84="N"," and no tracker row",""),IF(AND(IFERROR(INDEX(Lists!$K$2:$K$15,MATCH(D84,Lists!$J$2:$J$15,0)),-1)&gt;=6,F84="N"),"status "&amp;D84&amp;" but no tracker row",IF(AND(E84="Y",D84&lt;&gt;"do_not_contact"),"do_not_contact = Y but status is "&amp;D84,IF(AND(D84="do_not_contact",E84&lt;&gt;"Y"),"status do_not_contact but do_not_contact is not Y",""))))))</f>
        <v/>
      </c>
      <c r="I84" s="23" t="n">
        <v>63</v>
      </c>
      <c r="J84" s="23" t="str">
        <f aca="false">IFERROR(INDEX(Clay_Brands!$A$2:$FZ$601,I84,$D$5)&amp;"","")</f>
        <v/>
      </c>
      <c r="K84" s="23" t="str">
        <f aca="false">IFERROR(INDEX(Clay_Brands!$A$2:$FZ$601,I84,$D$7)&amp;"","")</f>
        <v/>
      </c>
      <c r="L84" s="23" t="str">
        <f aca="false">IFERROR(INDEX(Clay_Brands!$A$2:$FZ$601,I84,$D$8)&amp;"","")</f>
        <v/>
      </c>
      <c r="M84" s="23" t="str">
        <f aca="false">IF(J84="","",IF(COUNTIF(Brand_Log!$A$2:$A$201,J84)&gt;0,"Y","N"))</f>
        <v/>
      </c>
      <c r="N84" s="34" t="str">
        <f aca="false">IF(OR(J84="",AND(LEFT(J84,6)="SAMPLE",Config!$B$19&lt;&gt;"Y")),"",IF(IFERROR(INDEX(Lists!$K$2:$K$15,MATCH(K84,Lists!$J$2:$J$15,0)),-1)=-1,"status '"&amp;K84&amp;"' is not a CONTRACTS status",IF(AND(K84="paid",COUNTIF(paid_brands!$AC$2:$AC$51,J84)=0),"status paid but no paid_brands row"&amp;IF(M84="N"," and no tracker row",""),IF(AND(IFERROR(INDEX(Lists!$K$2:$K$15,MATCH(K84,Lists!$J$2:$J$15,0)),-1)&gt;=6,M84="N"),"status "&amp;K84&amp;" but no tracker row",IF(AND(L84="Y",K84&lt;&gt;"do_not_contact"),"do_not_contact = Y but status is "&amp;K84,IF(AND(K84="do_not_contact",L84&lt;&gt;"Y"),"status do_not_contact but do_not_contact is not Y",""))))))</f>
        <v/>
      </c>
    </row>
    <row r="85" customFormat="false" ht="15" hidden="false" customHeight="false" outlineLevel="0" collapsed="false">
      <c r="B85" s="23" t="n">
        <v>64</v>
      </c>
      <c r="C85" s="23" t="str">
        <f aca="false">IFERROR(INDEX(Clay_Offices!$A$2:$FZ$601,B85,$C$5)&amp;"","")</f>
        <v/>
      </c>
      <c r="D85" s="23" t="str">
        <f aca="false">IFERROR(INDEX(Clay_Offices!$A$2:$FZ$601,B85,$C$7)&amp;"","")</f>
        <v/>
      </c>
      <c r="E85" s="23" t="str">
        <f aca="false">IFERROR(INDEX(Clay_Offices!$A$2:$FZ$601,B85,$C$8)&amp;"","")</f>
        <v/>
      </c>
      <c r="F85" s="23" t="str">
        <f aca="false">IF(C85="","",IF(COUNTIF(Office_Log!$A$2:$A$201,C85)&gt;0,"Y","N"))</f>
        <v/>
      </c>
      <c r="G85" s="34" t="str">
        <f aca="false">IF(OR(C85="",AND(LEFT(C85,6)="SAMPLE",Config!$B$19&lt;&gt;"Y")),"",IF(IFERROR(INDEX(Lists!$K$2:$K$15,MATCH(D85,Lists!$J$2:$J$15,0)),-1)=-1,"status '"&amp;D85&amp;"' is not a CONTRACTS status",IF(AND(D85="signed",COUNTIF(signed_offices!$W$2:$W$51,C85)=0),"status signed but no signed_offices row"&amp;IF(F85="N"," and no tracker row",""),IF(AND(IFERROR(INDEX(Lists!$K$2:$K$15,MATCH(D85,Lists!$J$2:$J$15,0)),-1)&gt;=6,F85="N"),"status "&amp;D85&amp;" but no tracker row",IF(AND(E85="Y",D85&lt;&gt;"do_not_contact"),"do_not_contact = Y but status is "&amp;D85,IF(AND(D85="do_not_contact",E85&lt;&gt;"Y"),"status do_not_contact but do_not_contact is not Y",""))))))</f>
        <v/>
      </c>
      <c r="I85" s="23" t="n">
        <v>64</v>
      </c>
      <c r="J85" s="23" t="str">
        <f aca="false">IFERROR(INDEX(Clay_Brands!$A$2:$FZ$601,I85,$D$5)&amp;"","")</f>
        <v/>
      </c>
      <c r="K85" s="23" t="str">
        <f aca="false">IFERROR(INDEX(Clay_Brands!$A$2:$FZ$601,I85,$D$7)&amp;"","")</f>
        <v/>
      </c>
      <c r="L85" s="23" t="str">
        <f aca="false">IFERROR(INDEX(Clay_Brands!$A$2:$FZ$601,I85,$D$8)&amp;"","")</f>
        <v/>
      </c>
      <c r="M85" s="23" t="str">
        <f aca="false">IF(J85="","",IF(COUNTIF(Brand_Log!$A$2:$A$201,J85)&gt;0,"Y","N"))</f>
        <v/>
      </c>
      <c r="N85" s="34" t="str">
        <f aca="false">IF(OR(J85="",AND(LEFT(J85,6)="SAMPLE",Config!$B$19&lt;&gt;"Y")),"",IF(IFERROR(INDEX(Lists!$K$2:$K$15,MATCH(K85,Lists!$J$2:$J$15,0)),-1)=-1,"status '"&amp;K85&amp;"' is not a CONTRACTS status",IF(AND(K85="paid",COUNTIF(paid_brands!$AC$2:$AC$51,J85)=0),"status paid but no paid_brands row"&amp;IF(M85="N"," and no tracker row",""),IF(AND(IFERROR(INDEX(Lists!$K$2:$K$15,MATCH(K85,Lists!$J$2:$J$15,0)),-1)&gt;=6,M85="N"),"status "&amp;K85&amp;" but no tracker row",IF(AND(L85="Y",K85&lt;&gt;"do_not_contact"),"do_not_contact = Y but status is "&amp;K85,IF(AND(K85="do_not_contact",L85&lt;&gt;"Y"),"status do_not_contact but do_not_contact is not Y",""))))))</f>
        <v/>
      </c>
    </row>
    <row r="86" customFormat="false" ht="15" hidden="false" customHeight="false" outlineLevel="0" collapsed="false">
      <c r="B86" s="23" t="n">
        <v>65</v>
      </c>
      <c r="C86" s="23" t="str">
        <f aca="false">IFERROR(INDEX(Clay_Offices!$A$2:$FZ$601,B86,$C$5)&amp;"","")</f>
        <v/>
      </c>
      <c r="D86" s="23" t="str">
        <f aca="false">IFERROR(INDEX(Clay_Offices!$A$2:$FZ$601,B86,$C$7)&amp;"","")</f>
        <v/>
      </c>
      <c r="E86" s="23" t="str">
        <f aca="false">IFERROR(INDEX(Clay_Offices!$A$2:$FZ$601,B86,$C$8)&amp;"","")</f>
        <v/>
      </c>
      <c r="F86" s="23" t="str">
        <f aca="false">IF(C86="","",IF(COUNTIF(Office_Log!$A$2:$A$201,C86)&gt;0,"Y","N"))</f>
        <v/>
      </c>
      <c r="G86" s="34" t="str">
        <f aca="false">IF(OR(C86="",AND(LEFT(C86,6)="SAMPLE",Config!$B$19&lt;&gt;"Y")),"",IF(IFERROR(INDEX(Lists!$K$2:$K$15,MATCH(D86,Lists!$J$2:$J$15,0)),-1)=-1,"status '"&amp;D86&amp;"' is not a CONTRACTS status",IF(AND(D86="signed",COUNTIF(signed_offices!$W$2:$W$51,C86)=0),"status signed but no signed_offices row"&amp;IF(F86="N"," and no tracker row",""),IF(AND(IFERROR(INDEX(Lists!$K$2:$K$15,MATCH(D86,Lists!$J$2:$J$15,0)),-1)&gt;=6,F86="N"),"status "&amp;D86&amp;" but no tracker row",IF(AND(E86="Y",D86&lt;&gt;"do_not_contact"),"do_not_contact = Y but status is "&amp;D86,IF(AND(D86="do_not_contact",E86&lt;&gt;"Y"),"status do_not_contact but do_not_contact is not Y",""))))))</f>
        <v/>
      </c>
      <c r="I86" s="23" t="n">
        <v>65</v>
      </c>
      <c r="J86" s="23" t="str">
        <f aca="false">IFERROR(INDEX(Clay_Brands!$A$2:$FZ$601,I86,$D$5)&amp;"","")</f>
        <v/>
      </c>
      <c r="K86" s="23" t="str">
        <f aca="false">IFERROR(INDEX(Clay_Brands!$A$2:$FZ$601,I86,$D$7)&amp;"","")</f>
        <v/>
      </c>
      <c r="L86" s="23" t="str">
        <f aca="false">IFERROR(INDEX(Clay_Brands!$A$2:$FZ$601,I86,$D$8)&amp;"","")</f>
        <v/>
      </c>
      <c r="M86" s="23" t="str">
        <f aca="false">IF(J86="","",IF(COUNTIF(Brand_Log!$A$2:$A$201,J86)&gt;0,"Y","N"))</f>
        <v/>
      </c>
      <c r="N86" s="34" t="str">
        <f aca="false">IF(OR(J86="",AND(LEFT(J86,6)="SAMPLE",Config!$B$19&lt;&gt;"Y")),"",IF(IFERROR(INDEX(Lists!$K$2:$K$15,MATCH(K86,Lists!$J$2:$J$15,0)),-1)=-1,"status '"&amp;K86&amp;"' is not a CONTRACTS status",IF(AND(K86="paid",COUNTIF(paid_brands!$AC$2:$AC$51,J86)=0),"status paid but no paid_brands row"&amp;IF(M86="N"," and no tracker row",""),IF(AND(IFERROR(INDEX(Lists!$K$2:$K$15,MATCH(K86,Lists!$J$2:$J$15,0)),-1)&gt;=6,M86="N"),"status "&amp;K86&amp;" but no tracker row",IF(AND(L86="Y",K86&lt;&gt;"do_not_contact"),"do_not_contact = Y but status is "&amp;K86,IF(AND(K86="do_not_contact",L86&lt;&gt;"Y"),"status do_not_contact but do_not_contact is not Y",""))))))</f>
        <v/>
      </c>
    </row>
    <row r="87" customFormat="false" ht="15" hidden="false" customHeight="false" outlineLevel="0" collapsed="false">
      <c r="B87" s="23" t="n">
        <v>66</v>
      </c>
      <c r="C87" s="23" t="str">
        <f aca="false">IFERROR(INDEX(Clay_Offices!$A$2:$FZ$601,B87,$C$5)&amp;"","")</f>
        <v/>
      </c>
      <c r="D87" s="23" t="str">
        <f aca="false">IFERROR(INDEX(Clay_Offices!$A$2:$FZ$601,B87,$C$7)&amp;"","")</f>
        <v/>
      </c>
      <c r="E87" s="23" t="str">
        <f aca="false">IFERROR(INDEX(Clay_Offices!$A$2:$FZ$601,B87,$C$8)&amp;"","")</f>
        <v/>
      </c>
      <c r="F87" s="23" t="str">
        <f aca="false">IF(C87="","",IF(COUNTIF(Office_Log!$A$2:$A$201,C87)&gt;0,"Y","N"))</f>
        <v/>
      </c>
      <c r="G87" s="34" t="str">
        <f aca="false">IF(OR(C87="",AND(LEFT(C87,6)="SAMPLE",Config!$B$19&lt;&gt;"Y")),"",IF(IFERROR(INDEX(Lists!$K$2:$K$15,MATCH(D87,Lists!$J$2:$J$15,0)),-1)=-1,"status '"&amp;D87&amp;"' is not a CONTRACTS status",IF(AND(D87="signed",COUNTIF(signed_offices!$W$2:$W$51,C87)=0),"status signed but no signed_offices row"&amp;IF(F87="N"," and no tracker row",""),IF(AND(IFERROR(INDEX(Lists!$K$2:$K$15,MATCH(D87,Lists!$J$2:$J$15,0)),-1)&gt;=6,F87="N"),"status "&amp;D87&amp;" but no tracker row",IF(AND(E87="Y",D87&lt;&gt;"do_not_contact"),"do_not_contact = Y but status is "&amp;D87,IF(AND(D87="do_not_contact",E87&lt;&gt;"Y"),"status do_not_contact but do_not_contact is not Y",""))))))</f>
        <v/>
      </c>
      <c r="I87" s="23" t="n">
        <v>66</v>
      </c>
      <c r="J87" s="23" t="str">
        <f aca="false">IFERROR(INDEX(Clay_Brands!$A$2:$FZ$601,I87,$D$5)&amp;"","")</f>
        <v/>
      </c>
      <c r="K87" s="23" t="str">
        <f aca="false">IFERROR(INDEX(Clay_Brands!$A$2:$FZ$601,I87,$D$7)&amp;"","")</f>
        <v/>
      </c>
      <c r="L87" s="23" t="str">
        <f aca="false">IFERROR(INDEX(Clay_Brands!$A$2:$FZ$601,I87,$D$8)&amp;"","")</f>
        <v/>
      </c>
      <c r="M87" s="23" t="str">
        <f aca="false">IF(J87="","",IF(COUNTIF(Brand_Log!$A$2:$A$201,J87)&gt;0,"Y","N"))</f>
        <v/>
      </c>
      <c r="N87" s="34" t="str">
        <f aca="false">IF(OR(J87="",AND(LEFT(J87,6)="SAMPLE",Config!$B$19&lt;&gt;"Y")),"",IF(IFERROR(INDEX(Lists!$K$2:$K$15,MATCH(K87,Lists!$J$2:$J$15,0)),-1)=-1,"status '"&amp;K87&amp;"' is not a CONTRACTS status",IF(AND(K87="paid",COUNTIF(paid_brands!$AC$2:$AC$51,J87)=0),"status paid but no paid_brands row"&amp;IF(M87="N"," and no tracker row",""),IF(AND(IFERROR(INDEX(Lists!$K$2:$K$15,MATCH(K87,Lists!$J$2:$J$15,0)),-1)&gt;=6,M87="N"),"status "&amp;K87&amp;" but no tracker row",IF(AND(L87="Y",K87&lt;&gt;"do_not_contact"),"do_not_contact = Y but status is "&amp;K87,IF(AND(K87="do_not_contact",L87&lt;&gt;"Y"),"status do_not_contact but do_not_contact is not Y",""))))))</f>
        <v/>
      </c>
    </row>
    <row r="88" customFormat="false" ht="15" hidden="false" customHeight="false" outlineLevel="0" collapsed="false">
      <c r="B88" s="23" t="n">
        <v>67</v>
      </c>
      <c r="C88" s="23" t="str">
        <f aca="false">IFERROR(INDEX(Clay_Offices!$A$2:$FZ$601,B88,$C$5)&amp;"","")</f>
        <v/>
      </c>
      <c r="D88" s="23" t="str">
        <f aca="false">IFERROR(INDEX(Clay_Offices!$A$2:$FZ$601,B88,$C$7)&amp;"","")</f>
        <v/>
      </c>
      <c r="E88" s="23" t="str">
        <f aca="false">IFERROR(INDEX(Clay_Offices!$A$2:$FZ$601,B88,$C$8)&amp;"","")</f>
        <v/>
      </c>
      <c r="F88" s="23" t="str">
        <f aca="false">IF(C88="","",IF(COUNTIF(Office_Log!$A$2:$A$201,C88)&gt;0,"Y","N"))</f>
        <v/>
      </c>
      <c r="G88" s="34" t="str">
        <f aca="false">IF(OR(C88="",AND(LEFT(C88,6)="SAMPLE",Config!$B$19&lt;&gt;"Y")),"",IF(IFERROR(INDEX(Lists!$K$2:$K$15,MATCH(D88,Lists!$J$2:$J$15,0)),-1)=-1,"status '"&amp;D88&amp;"' is not a CONTRACTS status",IF(AND(D88="signed",COUNTIF(signed_offices!$W$2:$W$51,C88)=0),"status signed but no signed_offices row"&amp;IF(F88="N"," and no tracker row",""),IF(AND(IFERROR(INDEX(Lists!$K$2:$K$15,MATCH(D88,Lists!$J$2:$J$15,0)),-1)&gt;=6,F88="N"),"status "&amp;D88&amp;" but no tracker row",IF(AND(E88="Y",D88&lt;&gt;"do_not_contact"),"do_not_contact = Y but status is "&amp;D88,IF(AND(D88="do_not_contact",E88&lt;&gt;"Y"),"status do_not_contact but do_not_contact is not Y",""))))))</f>
        <v/>
      </c>
      <c r="I88" s="23" t="n">
        <v>67</v>
      </c>
      <c r="J88" s="23" t="str">
        <f aca="false">IFERROR(INDEX(Clay_Brands!$A$2:$FZ$601,I88,$D$5)&amp;"","")</f>
        <v/>
      </c>
      <c r="K88" s="23" t="str">
        <f aca="false">IFERROR(INDEX(Clay_Brands!$A$2:$FZ$601,I88,$D$7)&amp;"","")</f>
        <v/>
      </c>
      <c r="L88" s="23" t="str">
        <f aca="false">IFERROR(INDEX(Clay_Brands!$A$2:$FZ$601,I88,$D$8)&amp;"","")</f>
        <v/>
      </c>
      <c r="M88" s="23" t="str">
        <f aca="false">IF(J88="","",IF(COUNTIF(Brand_Log!$A$2:$A$201,J88)&gt;0,"Y","N"))</f>
        <v/>
      </c>
      <c r="N88" s="34" t="str">
        <f aca="false">IF(OR(J88="",AND(LEFT(J88,6)="SAMPLE",Config!$B$19&lt;&gt;"Y")),"",IF(IFERROR(INDEX(Lists!$K$2:$K$15,MATCH(K88,Lists!$J$2:$J$15,0)),-1)=-1,"status '"&amp;K88&amp;"' is not a CONTRACTS status",IF(AND(K88="paid",COUNTIF(paid_brands!$AC$2:$AC$51,J88)=0),"status paid but no paid_brands row"&amp;IF(M88="N"," and no tracker row",""),IF(AND(IFERROR(INDEX(Lists!$K$2:$K$15,MATCH(K88,Lists!$J$2:$J$15,0)),-1)&gt;=6,M88="N"),"status "&amp;K88&amp;" but no tracker row",IF(AND(L88="Y",K88&lt;&gt;"do_not_contact"),"do_not_contact = Y but status is "&amp;K88,IF(AND(K88="do_not_contact",L88&lt;&gt;"Y"),"status do_not_contact but do_not_contact is not Y",""))))))</f>
        <v/>
      </c>
    </row>
    <row r="89" customFormat="false" ht="15" hidden="false" customHeight="false" outlineLevel="0" collapsed="false">
      <c r="B89" s="23" t="n">
        <v>68</v>
      </c>
      <c r="C89" s="23" t="str">
        <f aca="false">IFERROR(INDEX(Clay_Offices!$A$2:$FZ$601,B89,$C$5)&amp;"","")</f>
        <v/>
      </c>
      <c r="D89" s="23" t="str">
        <f aca="false">IFERROR(INDEX(Clay_Offices!$A$2:$FZ$601,B89,$C$7)&amp;"","")</f>
        <v/>
      </c>
      <c r="E89" s="23" t="str">
        <f aca="false">IFERROR(INDEX(Clay_Offices!$A$2:$FZ$601,B89,$C$8)&amp;"","")</f>
        <v/>
      </c>
      <c r="F89" s="23" t="str">
        <f aca="false">IF(C89="","",IF(COUNTIF(Office_Log!$A$2:$A$201,C89)&gt;0,"Y","N"))</f>
        <v/>
      </c>
      <c r="G89" s="34" t="str">
        <f aca="false">IF(OR(C89="",AND(LEFT(C89,6)="SAMPLE",Config!$B$19&lt;&gt;"Y")),"",IF(IFERROR(INDEX(Lists!$K$2:$K$15,MATCH(D89,Lists!$J$2:$J$15,0)),-1)=-1,"status '"&amp;D89&amp;"' is not a CONTRACTS status",IF(AND(D89="signed",COUNTIF(signed_offices!$W$2:$W$51,C89)=0),"status signed but no signed_offices row"&amp;IF(F89="N"," and no tracker row",""),IF(AND(IFERROR(INDEX(Lists!$K$2:$K$15,MATCH(D89,Lists!$J$2:$J$15,0)),-1)&gt;=6,F89="N"),"status "&amp;D89&amp;" but no tracker row",IF(AND(E89="Y",D89&lt;&gt;"do_not_contact"),"do_not_contact = Y but status is "&amp;D89,IF(AND(D89="do_not_contact",E89&lt;&gt;"Y"),"status do_not_contact but do_not_contact is not Y",""))))))</f>
        <v/>
      </c>
      <c r="I89" s="23" t="n">
        <v>68</v>
      </c>
      <c r="J89" s="23" t="str">
        <f aca="false">IFERROR(INDEX(Clay_Brands!$A$2:$FZ$601,I89,$D$5)&amp;"","")</f>
        <v/>
      </c>
      <c r="K89" s="23" t="str">
        <f aca="false">IFERROR(INDEX(Clay_Brands!$A$2:$FZ$601,I89,$D$7)&amp;"","")</f>
        <v/>
      </c>
      <c r="L89" s="23" t="str">
        <f aca="false">IFERROR(INDEX(Clay_Brands!$A$2:$FZ$601,I89,$D$8)&amp;"","")</f>
        <v/>
      </c>
      <c r="M89" s="23" t="str">
        <f aca="false">IF(J89="","",IF(COUNTIF(Brand_Log!$A$2:$A$201,J89)&gt;0,"Y","N"))</f>
        <v/>
      </c>
      <c r="N89" s="34" t="str">
        <f aca="false">IF(OR(J89="",AND(LEFT(J89,6)="SAMPLE",Config!$B$19&lt;&gt;"Y")),"",IF(IFERROR(INDEX(Lists!$K$2:$K$15,MATCH(K89,Lists!$J$2:$J$15,0)),-1)=-1,"status '"&amp;K89&amp;"' is not a CONTRACTS status",IF(AND(K89="paid",COUNTIF(paid_brands!$AC$2:$AC$51,J89)=0),"status paid but no paid_brands row"&amp;IF(M89="N"," and no tracker row",""),IF(AND(IFERROR(INDEX(Lists!$K$2:$K$15,MATCH(K89,Lists!$J$2:$J$15,0)),-1)&gt;=6,M89="N"),"status "&amp;K89&amp;" but no tracker row",IF(AND(L89="Y",K89&lt;&gt;"do_not_contact"),"do_not_contact = Y but status is "&amp;K89,IF(AND(K89="do_not_contact",L89&lt;&gt;"Y"),"status do_not_contact but do_not_contact is not Y",""))))))</f>
        <v/>
      </c>
    </row>
    <row r="90" customFormat="false" ht="15" hidden="false" customHeight="false" outlineLevel="0" collapsed="false">
      <c r="B90" s="23" t="n">
        <v>69</v>
      </c>
      <c r="C90" s="23" t="str">
        <f aca="false">IFERROR(INDEX(Clay_Offices!$A$2:$FZ$601,B90,$C$5)&amp;"","")</f>
        <v/>
      </c>
      <c r="D90" s="23" t="str">
        <f aca="false">IFERROR(INDEX(Clay_Offices!$A$2:$FZ$601,B90,$C$7)&amp;"","")</f>
        <v/>
      </c>
      <c r="E90" s="23" t="str">
        <f aca="false">IFERROR(INDEX(Clay_Offices!$A$2:$FZ$601,B90,$C$8)&amp;"","")</f>
        <v/>
      </c>
      <c r="F90" s="23" t="str">
        <f aca="false">IF(C90="","",IF(COUNTIF(Office_Log!$A$2:$A$201,C90)&gt;0,"Y","N"))</f>
        <v/>
      </c>
      <c r="G90" s="34" t="str">
        <f aca="false">IF(OR(C90="",AND(LEFT(C90,6)="SAMPLE",Config!$B$19&lt;&gt;"Y")),"",IF(IFERROR(INDEX(Lists!$K$2:$K$15,MATCH(D90,Lists!$J$2:$J$15,0)),-1)=-1,"status '"&amp;D90&amp;"' is not a CONTRACTS status",IF(AND(D90="signed",COUNTIF(signed_offices!$W$2:$W$51,C90)=0),"status signed but no signed_offices row"&amp;IF(F90="N"," and no tracker row",""),IF(AND(IFERROR(INDEX(Lists!$K$2:$K$15,MATCH(D90,Lists!$J$2:$J$15,0)),-1)&gt;=6,F90="N"),"status "&amp;D90&amp;" but no tracker row",IF(AND(E90="Y",D90&lt;&gt;"do_not_contact"),"do_not_contact = Y but status is "&amp;D90,IF(AND(D90="do_not_contact",E90&lt;&gt;"Y"),"status do_not_contact but do_not_contact is not Y",""))))))</f>
        <v/>
      </c>
      <c r="I90" s="23" t="n">
        <v>69</v>
      </c>
      <c r="J90" s="23" t="str">
        <f aca="false">IFERROR(INDEX(Clay_Brands!$A$2:$FZ$601,I90,$D$5)&amp;"","")</f>
        <v/>
      </c>
      <c r="K90" s="23" t="str">
        <f aca="false">IFERROR(INDEX(Clay_Brands!$A$2:$FZ$601,I90,$D$7)&amp;"","")</f>
        <v/>
      </c>
      <c r="L90" s="23" t="str">
        <f aca="false">IFERROR(INDEX(Clay_Brands!$A$2:$FZ$601,I90,$D$8)&amp;"","")</f>
        <v/>
      </c>
      <c r="M90" s="23" t="str">
        <f aca="false">IF(J90="","",IF(COUNTIF(Brand_Log!$A$2:$A$201,J90)&gt;0,"Y","N"))</f>
        <v/>
      </c>
      <c r="N90" s="34" t="str">
        <f aca="false">IF(OR(J90="",AND(LEFT(J90,6)="SAMPLE",Config!$B$19&lt;&gt;"Y")),"",IF(IFERROR(INDEX(Lists!$K$2:$K$15,MATCH(K90,Lists!$J$2:$J$15,0)),-1)=-1,"status '"&amp;K90&amp;"' is not a CONTRACTS status",IF(AND(K90="paid",COUNTIF(paid_brands!$AC$2:$AC$51,J90)=0),"status paid but no paid_brands row"&amp;IF(M90="N"," and no tracker row",""),IF(AND(IFERROR(INDEX(Lists!$K$2:$K$15,MATCH(K90,Lists!$J$2:$J$15,0)),-1)&gt;=6,M90="N"),"status "&amp;K90&amp;" but no tracker row",IF(AND(L90="Y",K90&lt;&gt;"do_not_contact"),"do_not_contact = Y but status is "&amp;K90,IF(AND(K90="do_not_contact",L90&lt;&gt;"Y"),"status do_not_contact but do_not_contact is not Y",""))))))</f>
        <v/>
      </c>
    </row>
    <row r="91" customFormat="false" ht="15" hidden="false" customHeight="false" outlineLevel="0" collapsed="false">
      <c r="B91" s="23" t="n">
        <v>70</v>
      </c>
      <c r="C91" s="23" t="str">
        <f aca="false">IFERROR(INDEX(Clay_Offices!$A$2:$FZ$601,B91,$C$5)&amp;"","")</f>
        <v/>
      </c>
      <c r="D91" s="23" t="str">
        <f aca="false">IFERROR(INDEX(Clay_Offices!$A$2:$FZ$601,B91,$C$7)&amp;"","")</f>
        <v/>
      </c>
      <c r="E91" s="23" t="str">
        <f aca="false">IFERROR(INDEX(Clay_Offices!$A$2:$FZ$601,B91,$C$8)&amp;"","")</f>
        <v/>
      </c>
      <c r="F91" s="23" t="str">
        <f aca="false">IF(C91="","",IF(COUNTIF(Office_Log!$A$2:$A$201,C91)&gt;0,"Y","N"))</f>
        <v/>
      </c>
      <c r="G91" s="34" t="str">
        <f aca="false">IF(OR(C91="",AND(LEFT(C91,6)="SAMPLE",Config!$B$19&lt;&gt;"Y")),"",IF(IFERROR(INDEX(Lists!$K$2:$K$15,MATCH(D91,Lists!$J$2:$J$15,0)),-1)=-1,"status '"&amp;D91&amp;"' is not a CONTRACTS status",IF(AND(D91="signed",COUNTIF(signed_offices!$W$2:$W$51,C91)=0),"status signed but no signed_offices row"&amp;IF(F91="N"," and no tracker row",""),IF(AND(IFERROR(INDEX(Lists!$K$2:$K$15,MATCH(D91,Lists!$J$2:$J$15,0)),-1)&gt;=6,F91="N"),"status "&amp;D91&amp;" but no tracker row",IF(AND(E91="Y",D91&lt;&gt;"do_not_contact"),"do_not_contact = Y but status is "&amp;D91,IF(AND(D91="do_not_contact",E91&lt;&gt;"Y"),"status do_not_contact but do_not_contact is not Y",""))))))</f>
        <v/>
      </c>
      <c r="I91" s="23" t="n">
        <v>70</v>
      </c>
      <c r="J91" s="23" t="str">
        <f aca="false">IFERROR(INDEX(Clay_Brands!$A$2:$FZ$601,I91,$D$5)&amp;"","")</f>
        <v/>
      </c>
      <c r="K91" s="23" t="str">
        <f aca="false">IFERROR(INDEX(Clay_Brands!$A$2:$FZ$601,I91,$D$7)&amp;"","")</f>
        <v/>
      </c>
      <c r="L91" s="23" t="str">
        <f aca="false">IFERROR(INDEX(Clay_Brands!$A$2:$FZ$601,I91,$D$8)&amp;"","")</f>
        <v/>
      </c>
      <c r="M91" s="23" t="str">
        <f aca="false">IF(J91="","",IF(COUNTIF(Brand_Log!$A$2:$A$201,J91)&gt;0,"Y","N"))</f>
        <v/>
      </c>
      <c r="N91" s="34" t="str">
        <f aca="false">IF(OR(J91="",AND(LEFT(J91,6)="SAMPLE",Config!$B$19&lt;&gt;"Y")),"",IF(IFERROR(INDEX(Lists!$K$2:$K$15,MATCH(K91,Lists!$J$2:$J$15,0)),-1)=-1,"status '"&amp;K91&amp;"' is not a CONTRACTS status",IF(AND(K91="paid",COUNTIF(paid_brands!$AC$2:$AC$51,J91)=0),"status paid but no paid_brands row"&amp;IF(M91="N"," and no tracker row",""),IF(AND(IFERROR(INDEX(Lists!$K$2:$K$15,MATCH(K91,Lists!$J$2:$J$15,0)),-1)&gt;=6,M91="N"),"status "&amp;K91&amp;" but no tracker row",IF(AND(L91="Y",K91&lt;&gt;"do_not_contact"),"do_not_contact = Y but status is "&amp;K91,IF(AND(K91="do_not_contact",L91&lt;&gt;"Y"),"status do_not_contact but do_not_contact is not Y",""))))))</f>
        <v/>
      </c>
    </row>
    <row r="92" customFormat="false" ht="15" hidden="false" customHeight="false" outlineLevel="0" collapsed="false">
      <c r="B92" s="23" t="n">
        <v>71</v>
      </c>
      <c r="C92" s="23" t="str">
        <f aca="false">IFERROR(INDEX(Clay_Offices!$A$2:$FZ$601,B92,$C$5)&amp;"","")</f>
        <v/>
      </c>
      <c r="D92" s="23" t="str">
        <f aca="false">IFERROR(INDEX(Clay_Offices!$A$2:$FZ$601,B92,$C$7)&amp;"","")</f>
        <v/>
      </c>
      <c r="E92" s="23" t="str">
        <f aca="false">IFERROR(INDEX(Clay_Offices!$A$2:$FZ$601,B92,$C$8)&amp;"","")</f>
        <v/>
      </c>
      <c r="F92" s="23" t="str">
        <f aca="false">IF(C92="","",IF(COUNTIF(Office_Log!$A$2:$A$201,C92)&gt;0,"Y","N"))</f>
        <v/>
      </c>
      <c r="G92" s="34" t="str">
        <f aca="false">IF(OR(C92="",AND(LEFT(C92,6)="SAMPLE",Config!$B$19&lt;&gt;"Y")),"",IF(IFERROR(INDEX(Lists!$K$2:$K$15,MATCH(D92,Lists!$J$2:$J$15,0)),-1)=-1,"status '"&amp;D92&amp;"' is not a CONTRACTS status",IF(AND(D92="signed",COUNTIF(signed_offices!$W$2:$W$51,C92)=0),"status signed but no signed_offices row"&amp;IF(F92="N"," and no tracker row",""),IF(AND(IFERROR(INDEX(Lists!$K$2:$K$15,MATCH(D92,Lists!$J$2:$J$15,0)),-1)&gt;=6,F92="N"),"status "&amp;D92&amp;" but no tracker row",IF(AND(E92="Y",D92&lt;&gt;"do_not_contact"),"do_not_contact = Y but status is "&amp;D92,IF(AND(D92="do_not_contact",E92&lt;&gt;"Y"),"status do_not_contact but do_not_contact is not Y",""))))))</f>
        <v/>
      </c>
      <c r="I92" s="23" t="n">
        <v>71</v>
      </c>
      <c r="J92" s="23" t="str">
        <f aca="false">IFERROR(INDEX(Clay_Brands!$A$2:$FZ$601,I92,$D$5)&amp;"","")</f>
        <v/>
      </c>
      <c r="K92" s="23" t="str">
        <f aca="false">IFERROR(INDEX(Clay_Brands!$A$2:$FZ$601,I92,$D$7)&amp;"","")</f>
        <v/>
      </c>
      <c r="L92" s="23" t="str">
        <f aca="false">IFERROR(INDEX(Clay_Brands!$A$2:$FZ$601,I92,$D$8)&amp;"","")</f>
        <v/>
      </c>
      <c r="M92" s="23" t="str">
        <f aca="false">IF(J92="","",IF(COUNTIF(Brand_Log!$A$2:$A$201,J92)&gt;0,"Y","N"))</f>
        <v/>
      </c>
      <c r="N92" s="34" t="str">
        <f aca="false">IF(OR(J92="",AND(LEFT(J92,6)="SAMPLE",Config!$B$19&lt;&gt;"Y")),"",IF(IFERROR(INDEX(Lists!$K$2:$K$15,MATCH(K92,Lists!$J$2:$J$15,0)),-1)=-1,"status '"&amp;K92&amp;"' is not a CONTRACTS status",IF(AND(K92="paid",COUNTIF(paid_brands!$AC$2:$AC$51,J92)=0),"status paid but no paid_brands row"&amp;IF(M92="N"," and no tracker row",""),IF(AND(IFERROR(INDEX(Lists!$K$2:$K$15,MATCH(K92,Lists!$J$2:$J$15,0)),-1)&gt;=6,M92="N"),"status "&amp;K92&amp;" but no tracker row",IF(AND(L92="Y",K92&lt;&gt;"do_not_contact"),"do_not_contact = Y but status is "&amp;K92,IF(AND(K92="do_not_contact",L92&lt;&gt;"Y"),"status do_not_contact but do_not_contact is not Y",""))))))</f>
        <v/>
      </c>
    </row>
    <row r="93" customFormat="false" ht="15" hidden="false" customHeight="false" outlineLevel="0" collapsed="false">
      <c r="B93" s="23" t="n">
        <v>72</v>
      </c>
      <c r="C93" s="23" t="str">
        <f aca="false">IFERROR(INDEX(Clay_Offices!$A$2:$FZ$601,B93,$C$5)&amp;"","")</f>
        <v/>
      </c>
      <c r="D93" s="23" t="str">
        <f aca="false">IFERROR(INDEX(Clay_Offices!$A$2:$FZ$601,B93,$C$7)&amp;"","")</f>
        <v/>
      </c>
      <c r="E93" s="23" t="str">
        <f aca="false">IFERROR(INDEX(Clay_Offices!$A$2:$FZ$601,B93,$C$8)&amp;"","")</f>
        <v/>
      </c>
      <c r="F93" s="23" t="str">
        <f aca="false">IF(C93="","",IF(COUNTIF(Office_Log!$A$2:$A$201,C93)&gt;0,"Y","N"))</f>
        <v/>
      </c>
      <c r="G93" s="34" t="str">
        <f aca="false">IF(OR(C93="",AND(LEFT(C93,6)="SAMPLE",Config!$B$19&lt;&gt;"Y")),"",IF(IFERROR(INDEX(Lists!$K$2:$K$15,MATCH(D93,Lists!$J$2:$J$15,0)),-1)=-1,"status '"&amp;D93&amp;"' is not a CONTRACTS status",IF(AND(D93="signed",COUNTIF(signed_offices!$W$2:$W$51,C93)=0),"status signed but no signed_offices row"&amp;IF(F93="N"," and no tracker row",""),IF(AND(IFERROR(INDEX(Lists!$K$2:$K$15,MATCH(D93,Lists!$J$2:$J$15,0)),-1)&gt;=6,F93="N"),"status "&amp;D93&amp;" but no tracker row",IF(AND(E93="Y",D93&lt;&gt;"do_not_contact"),"do_not_contact = Y but status is "&amp;D93,IF(AND(D93="do_not_contact",E93&lt;&gt;"Y"),"status do_not_contact but do_not_contact is not Y",""))))))</f>
        <v/>
      </c>
      <c r="I93" s="23" t="n">
        <v>72</v>
      </c>
      <c r="J93" s="23" t="str">
        <f aca="false">IFERROR(INDEX(Clay_Brands!$A$2:$FZ$601,I93,$D$5)&amp;"","")</f>
        <v/>
      </c>
      <c r="K93" s="23" t="str">
        <f aca="false">IFERROR(INDEX(Clay_Brands!$A$2:$FZ$601,I93,$D$7)&amp;"","")</f>
        <v/>
      </c>
      <c r="L93" s="23" t="str">
        <f aca="false">IFERROR(INDEX(Clay_Brands!$A$2:$FZ$601,I93,$D$8)&amp;"","")</f>
        <v/>
      </c>
      <c r="M93" s="23" t="str">
        <f aca="false">IF(J93="","",IF(COUNTIF(Brand_Log!$A$2:$A$201,J93)&gt;0,"Y","N"))</f>
        <v/>
      </c>
      <c r="N93" s="34" t="str">
        <f aca="false">IF(OR(J93="",AND(LEFT(J93,6)="SAMPLE",Config!$B$19&lt;&gt;"Y")),"",IF(IFERROR(INDEX(Lists!$K$2:$K$15,MATCH(K93,Lists!$J$2:$J$15,0)),-1)=-1,"status '"&amp;K93&amp;"' is not a CONTRACTS status",IF(AND(K93="paid",COUNTIF(paid_brands!$AC$2:$AC$51,J93)=0),"status paid but no paid_brands row"&amp;IF(M93="N"," and no tracker row",""),IF(AND(IFERROR(INDEX(Lists!$K$2:$K$15,MATCH(K93,Lists!$J$2:$J$15,0)),-1)&gt;=6,M93="N"),"status "&amp;K93&amp;" but no tracker row",IF(AND(L93="Y",K93&lt;&gt;"do_not_contact"),"do_not_contact = Y but status is "&amp;K93,IF(AND(K93="do_not_contact",L93&lt;&gt;"Y"),"status do_not_contact but do_not_contact is not Y",""))))))</f>
        <v/>
      </c>
    </row>
    <row r="94" customFormat="false" ht="15" hidden="false" customHeight="false" outlineLevel="0" collapsed="false">
      <c r="B94" s="23" t="n">
        <v>73</v>
      </c>
      <c r="C94" s="23" t="str">
        <f aca="false">IFERROR(INDEX(Clay_Offices!$A$2:$FZ$601,B94,$C$5)&amp;"","")</f>
        <v/>
      </c>
      <c r="D94" s="23" t="str">
        <f aca="false">IFERROR(INDEX(Clay_Offices!$A$2:$FZ$601,B94,$C$7)&amp;"","")</f>
        <v/>
      </c>
      <c r="E94" s="23" t="str">
        <f aca="false">IFERROR(INDEX(Clay_Offices!$A$2:$FZ$601,B94,$C$8)&amp;"","")</f>
        <v/>
      </c>
      <c r="F94" s="23" t="str">
        <f aca="false">IF(C94="","",IF(COUNTIF(Office_Log!$A$2:$A$201,C94)&gt;0,"Y","N"))</f>
        <v/>
      </c>
      <c r="G94" s="34" t="str">
        <f aca="false">IF(OR(C94="",AND(LEFT(C94,6)="SAMPLE",Config!$B$19&lt;&gt;"Y")),"",IF(IFERROR(INDEX(Lists!$K$2:$K$15,MATCH(D94,Lists!$J$2:$J$15,0)),-1)=-1,"status '"&amp;D94&amp;"' is not a CONTRACTS status",IF(AND(D94="signed",COUNTIF(signed_offices!$W$2:$W$51,C94)=0),"status signed but no signed_offices row"&amp;IF(F94="N"," and no tracker row",""),IF(AND(IFERROR(INDEX(Lists!$K$2:$K$15,MATCH(D94,Lists!$J$2:$J$15,0)),-1)&gt;=6,F94="N"),"status "&amp;D94&amp;" but no tracker row",IF(AND(E94="Y",D94&lt;&gt;"do_not_contact"),"do_not_contact = Y but status is "&amp;D94,IF(AND(D94="do_not_contact",E94&lt;&gt;"Y"),"status do_not_contact but do_not_contact is not Y",""))))))</f>
        <v/>
      </c>
      <c r="I94" s="23" t="n">
        <v>73</v>
      </c>
      <c r="J94" s="23" t="str">
        <f aca="false">IFERROR(INDEX(Clay_Brands!$A$2:$FZ$601,I94,$D$5)&amp;"","")</f>
        <v/>
      </c>
      <c r="K94" s="23" t="str">
        <f aca="false">IFERROR(INDEX(Clay_Brands!$A$2:$FZ$601,I94,$D$7)&amp;"","")</f>
        <v/>
      </c>
      <c r="L94" s="23" t="str">
        <f aca="false">IFERROR(INDEX(Clay_Brands!$A$2:$FZ$601,I94,$D$8)&amp;"","")</f>
        <v/>
      </c>
      <c r="M94" s="23" t="str">
        <f aca="false">IF(J94="","",IF(COUNTIF(Brand_Log!$A$2:$A$201,J94)&gt;0,"Y","N"))</f>
        <v/>
      </c>
      <c r="N94" s="34" t="str">
        <f aca="false">IF(OR(J94="",AND(LEFT(J94,6)="SAMPLE",Config!$B$19&lt;&gt;"Y")),"",IF(IFERROR(INDEX(Lists!$K$2:$K$15,MATCH(K94,Lists!$J$2:$J$15,0)),-1)=-1,"status '"&amp;K94&amp;"' is not a CONTRACTS status",IF(AND(K94="paid",COUNTIF(paid_brands!$AC$2:$AC$51,J94)=0),"status paid but no paid_brands row"&amp;IF(M94="N"," and no tracker row",""),IF(AND(IFERROR(INDEX(Lists!$K$2:$K$15,MATCH(K94,Lists!$J$2:$J$15,0)),-1)&gt;=6,M94="N"),"status "&amp;K94&amp;" but no tracker row",IF(AND(L94="Y",K94&lt;&gt;"do_not_contact"),"do_not_contact = Y but status is "&amp;K94,IF(AND(K94="do_not_contact",L94&lt;&gt;"Y"),"status do_not_contact but do_not_contact is not Y",""))))))</f>
        <v/>
      </c>
    </row>
    <row r="95" customFormat="false" ht="15" hidden="false" customHeight="false" outlineLevel="0" collapsed="false">
      <c r="B95" s="23" t="n">
        <v>74</v>
      </c>
      <c r="C95" s="23" t="str">
        <f aca="false">IFERROR(INDEX(Clay_Offices!$A$2:$FZ$601,B95,$C$5)&amp;"","")</f>
        <v/>
      </c>
      <c r="D95" s="23" t="str">
        <f aca="false">IFERROR(INDEX(Clay_Offices!$A$2:$FZ$601,B95,$C$7)&amp;"","")</f>
        <v/>
      </c>
      <c r="E95" s="23" t="str">
        <f aca="false">IFERROR(INDEX(Clay_Offices!$A$2:$FZ$601,B95,$C$8)&amp;"","")</f>
        <v/>
      </c>
      <c r="F95" s="23" t="str">
        <f aca="false">IF(C95="","",IF(COUNTIF(Office_Log!$A$2:$A$201,C95)&gt;0,"Y","N"))</f>
        <v/>
      </c>
      <c r="G95" s="34" t="str">
        <f aca="false">IF(OR(C95="",AND(LEFT(C95,6)="SAMPLE",Config!$B$19&lt;&gt;"Y")),"",IF(IFERROR(INDEX(Lists!$K$2:$K$15,MATCH(D95,Lists!$J$2:$J$15,0)),-1)=-1,"status '"&amp;D95&amp;"' is not a CONTRACTS status",IF(AND(D95="signed",COUNTIF(signed_offices!$W$2:$W$51,C95)=0),"status signed but no signed_offices row"&amp;IF(F95="N"," and no tracker row",""),IF(AND(IFERROR(INDEX(Lists!$K$2:$K$15,MATCH(D95,Lists!$J$2:$J$15,0)),-1)&gt;=6,F95="N"),"status "&amp;D95&amp;" but no tracker row",IF(AND(E95="Y",D95&lt;&gt;"do_not_contact"),"do_not_contact = Y but status is "&amp;D95,IF(AND(D95="do_not_contact",E95&lt;&gt;"Y"),"status do_not_contact but do_not_contact is not Y",""))))))</f>
        <v/>
      </c>
      <c r="I95" s="23" t="n">
        <v>74</v>
      </c>
      <c r="J95" s="23" t="str">
        <f aca="false">IFERROR(INDEX(Clay_Brands!$A$2:$FZ$601,I95,$D$5)&amp;"","")</f>
        <v/>
      </c>
      <c r="K95" s="23" t="str">
        <f aca="false">IFERROR(INDEX(Clay_Brands!$A$2:$FZ$601,I95,$D$7)&amp;"","")</f>
        <v/>
      </c>
      <c r="L95" s="23" t="str">
        <f aca="false">IFERROR(INDEX(Clay_Brands!$A$2:$FZ$601,I95,$D$8)&amp;"","")</f>
        <v/>
      </c>
      <c r="M95" s="23" t="str">
        <f aca="false">IF(J95="","",IF(COUNTIF(Brand_Log!$A$2:$A$201,J95)&gt;0,"Y","N"))</f>
        <v/>
      </c>
      <c r="N95" s="34" t="str">
        <f aca="false">IF(OR(J95="",AND(LEFT(J95,6)="SAMPLE",Config!$B$19&lt;&gt;"Y")),"",IF(IFERROR(INDEX(Lists!$K$2:$K$15,MATCH(K95,Lists!$J$2:$J$15,0)),-1)=-1,"status '"&amp;K95&amp;"' is not a CONTRACTS status",IF(AND(K95="paid",COUNTIF(paid_brands!$AC$2:$AC$51,J95)=0),"status paid but no paid_brands row"&amp;IF(M95="N"," and no tracker row",""),IF(AND(IFERROR(INDEX(Lists!$K$2:$K$15,MATCH(K95,Lists!$J$2:$J$15,0)),-1)&gt;=6,M95="N"),"status "&amp;K95&amp;" but no tracker row",IF(AND(L95="Y",K95&lt;&gt;"do_not_contact"),"do_not_contact = Y but status is "&amp;K95,IF(AND(K95="do_not_contact",L95&lt;&gt;"Y"),"status do_not_contact but do_not_contact is not Y",""))))))</f>
        <v/>
      </c>
    </row>
    <row r="96" customFormat="false" ht="15" hidden="false" customHeight="false" outlineLevel="0" collapsed="false">
      <c r="B96" s="23" t="n">
        <v>75</v>
      </c>
      <c r="C96" s="23" t="str">
        <f aca="false">IFERROR(INDEX(Clay_Offices!$A$2:$FZ$601,B96,$C$5)&amp;"","")</f>
        <v/>
      </c>
      <c r="D96" s="23" t="str">
        <f aca="false">IFERROR(INDEX(Clay_Offices!$A$2:$FZ$601,B96,$C$7)&amp;"","")</f>
        <v/>
      </c>
      <c r="E96" s="23" t="str">
        <f aca="false">IFERROR(INDEX(Clay_Offices!$A$2:$FZ$601,B96,$C$8)&amp;"","")</f>
        <v/>
      </c>
      <c r="F96" s="23" t="str">
        <f aca="false">IF(C96="","",IF(COUNTIF(Office_Log!$A$2:$A$201,C96)&gt;0,"Y","N"))</f>
        <v/>
      </c>
      <c r="G96" s="34" t="str">
        <f aca="false">IF(OR(C96="",AND(LEFT(C96,6)="SAMPLE",Config!$B$19&lt;&gt;"Y")),"",IF(IFERROR(INDEX(Lists!$K$2:$K$15,MATCH(D96,Lists!$J$2:$J$15,0)),-1)=-1,"status '"&amp;D96&amp;"' is not a CONTRACTS status",IF(AND(D96="signed",COUNTIF(signed_offices!$W$2:$W$51,C96)=0),"status signed but no signed_offices row"&amp;IF(F96="N"," and no tracker row",""),IF(AND(IFERROR(INDEX(Lists!$K$2:$K$15,MATCH(D96,Lists!$J$2:$J$15,0)),-1)&gt;=6,F96="N"),"status "&amp;D96&amp;" but no tracker row",IF(AND(E96="Y",D96&lt;&gt;"do_not_contact"),"do_not_contact = Y but status is "&amp;D96,IF(AND(D96="do_not_contact",E96&lt;&gt;"Y"),"status do_not_contact but do_not_contact is not Y",""))))))</f>
        <v/>
      </c>
      <c r="I96" s="23" t="n">
        <v>75</v>
      </c>
      <c r="J96" s="23" t="str">
        <f aca="false">IFERROR(INDEX(Clay_Brands!$A$2:$FZ$601,I96,$D$5)&amp;"","")</f>
        <v/>
      </c>
      <c r="K96" s="23" t="str">
        <f aca="false">IFERROR(INDEX(Clay_Brands!$A$2:$FZ$601,I96,$D$7)&amp;"","")</f>
        <v/>
      </c>
      <c r="L96" s="23" t="str">
        <f aca="false">IFERROR(INDEX(Clay_Brands!$A$2:$FZ$601,I96,$D$8)&amp;"","")</f>
        <v/>
      </c>
      <c r="M96" s="23" t="str">
        <f aca="false">IF(J96="","",IF(COUNTIF(Brand_Log!$A$2:$A$201,J96)&gt;0,"Y","N"))</f>
        <v/>
      </c>
      <c r="N96" s="34" t="str">
        <f aca="false">IF(OR(J96="",AND(LEFT(J96,6)="SAMPLE",Config!$B$19&lt;&gt;"Y")),"",IF(IFERROR(INDEX(Lists!$K$2:$K$15,MATCH(K96,Lists!$J$2:$J$15,0)),-1)=-1,"status '"&amp;K96&amp;"' is not a CONTRACTS status",IF(AND(K96="paid",COUNTIF(paid_brands!$AC$2:$AC$51,J96)=0),"status paid but no paid_brands row"&amp;IF(M96="N"," and no tracker row",""),IF(AND(IFERROR(INDEX(Lists!$K$2:$K$15,MATCH(K96,Lists!$J$2:$J$15,0)),-1)&gt;=6,M96="N"),"status "&amp;K96&amp;" but no tracker row",IF(AND(L96="Y",K96&lt;&gt;"do_not_contact"),"do_not_contact = Y but status is "&amp;K96,IF(AND(K96="do_not_contact",L96&lt;&gt;"Y"),"status do_not_contact but do_not_contact is not Y",""))))))</f>
        <v/>
      </c>
    </row>
    <row r="97" customFormat="false" ht="15" hidden="false" customHeight="false" outlineLevel="0" collapsed="false">
      <c r="B97" s="23" t="n">
        <v>76</v>
      </c>
      <c r="C97" s="23" t="str">
        <f aca="false">IFERROR(INDEX(Clay_Offices!$A$2:$FZ$601,B97,$C$5)&amp;"","")</f>
        <v/>
      </c>
      <c r="D97" s="23" t="str">
        <f aca="false">IFERROR(INDEX(Clay_Offices!$A$2:$FZ$601,B97,$C$7)&amp;"","")</f>
        <v/>
      </c>
      <c r="E97" s="23" t="str">
        <f aca="false">IFERROR(INDEX(Clay_Offices!$A$2:$FZ$601,B97,$C$8)&amp;"","")</f>
        <v/>
      </c>
      <c r="F97" s="23" t="str">
        <f aca="false">IF(C97="","",IF(COUNTIF(Office_Log!$A$2:$A$201,C97)&gt;0,"Y","N"))</f>
        <v/>
      </c>
      <c r="G97" s="34" t="str">
        <f aca="false">IF(OR(C97="",AND(LEFT(C97,6)="SAMPLE",Config!$B$19&lt;&gt;"Y")),"",IF(IFERROR(INDEX(Lists!$K$2:$K$15,MATCH(D97,Lists!$J$2:$J$15,0)),-1)=-1,"status '"&amp;D97&amp;"' is not a CONTRACTS status",IF(AND(D97="signed",COUNTIF(signed_offices!$W$2:$W$51,C97)=0),"status signed but no signed_offices row"&amp;IF(F97="N"," and no tracker row",""),IF(AND(IFERROR(INDEX(Lists!$K$2:$K$15,MATCH(D97,Lists!$J$2:$J$15,0)),-1)&gt;=6,F97="N"),"status "&amp;D97&amp;" but no tracker row",IF(AND(E97="Y",D97&lt;&gt;"do_not_contact"),"do_not_contact = Y but status is "&amp;D97,IF(AND(D97="do_not_contact",E97&lt;&gt;"Y"),"status do_not_contact but do_not_contact is not Y",""))))))</f>
        <v/>
      </c>
      <c r="I97" s="23" t="n">
        <v>76</v>
      </c>
      <c r="J97" s="23" t="str">
        <f aca="false">IFERROR(INDEX(Clay_Brands!$A$2:$FZ$601,I97,$D$5)&amp;"","")</f>
        <v/>
      </c>
      <c r="K97" s="23" t="str">
        <f aca="false">IFERROR(INDEX(Clay_Brands!$A$2:$FZ$601,I97,$D$7)&amp;"","")</f>
        <v/>
      </c>
      <c r="L97" s="23" t="str">
        <f aca="false">IFERROR(INDEX(Clay_Brands!$A$2:$FZ$601,I97,$D$8)&amp;"","")</f>
        <v/>
      </c>
      <c r="M97" s="23" t="str">
        <f aca="false">IF(J97="","",IF(COUNTIF(Brand_Log!$A$2:$A$201,J97)&gt;0,"Y","N"))</f>
        <v/>
      </c>
      <c r="N97" s="34" t="str">
        <f aca="false">IF(OR(J97="",AND(LEFT(J97,6)="SAMPLE",Config!$B$19&lt;&gt;"Y")),"",IF(IFERROR(INDEX(Lists!$K$2:$K$15,MATCH(K97,Lists!$J$2:$J$15,0)),-1)=-1,"status '"&amp;K97&amp;"' is not a CONTRACTS status",IF(AND(K97="paid",COUNTIF(paid_brands!$AC$2:$AC$51,J97)=0),"status paid but no paid_brands row"&amp;IF(M97="N"," and no tracker row",""),IF(AND(IFERROR(INDEX(Lists!$K$2:$K$15,MATCH(K97,Lists!$J$2:$J$15,0)),-1)&gt;=6,M97="N"),"status "&amp;K97&amp;" but no tracker row",IF(AND(L97="Y",K97&lt;&gt;"do_not_contact"),"do_not_contact = Y but status is "&amp;K97,IF(AND(K97="do_not_contact",L97&lt;&gt;"Y"),"status do_not_contact but do_not_contact is not Y",""))))))</f>
        <v/>
      </c>
    </row>
    <row r="98" customFormat="false" ht="15" hidden="false" customHeight="false" outlineLevel="0" collapsed="false">
      <c r="B98" s="23" t="n">
        <v>77</v>
      </c>
      <c r="C98" s="23" t="str">
        <f aca="false">IFERROR(INDEX(Clay_Offices!$A$2:$FZ$601,B98,$C$5)&amp;"","")</f>
        <v/>
      </c>
      <c r="D98" s="23" t="str">
        <f aca="false">IFERROR(INDEX(Clay_Offices!$A$2:$FZ$601,B98,$C$7)&amp;"","")</f>
        <v/>
      </c>
      <c r="E98" s="23" t="str">
        <f aca="false">IFERROR(INDEX(Clay_Offices!$A$2:$FZ$601,B98,$C$8)&amp;"","")</f>
        <v/>
      </c>
      <c r="F98" s="23" t="str">
        <f aca="false">IF(C98="","",IF(COUNTIF(Office_Log!$A$2:$A$201,C98)&gt;0,"Y","N"))</f>
        <v/>
      </c>
      <c r="G98" s="34" t="str">
        <f aca="false">IF(OR(C98="",AND(LEFT(C98,6)="SAMPLE",Config!$B$19&lt;&gt;"Y")),"",IF(IFERROR(INDEX(Lists!$K$2:$K$15,MATCH(D98,Lists!$J$2:$J$15,0)),-1)=-1,"status '"&amp;D98&amp;"' is not a CONTRACTS status",IF(AND(D98="signed",COUNTIF(signed_offices!$W$2:$W$51,C98)=0),"status signed but no signed_offices row"&amp;IF(F98="N"," and no tracker row",""),IF(AND(IFERROR(INDEX(Lists!$K$2:$K$15,MATCH(D98,Lists!$J$2:$J$15,0)),-1)&gt;=6,F98="N"),"status "&amp;D98&amp;" but no tracker row",IF(AND(E98="Y",D98&lt;&gt;"do_not_contact"),"do_not_contact = Y but status is "&amp;D98,IF(AND(D98="do_not_contact",E98&lt;&gt;"Y"),"status do_not_contact but do_not_contact is not Y",""))))))</f>
        <v/>
      </c>
      <c r="I98" s="23" t="n">
        <v>77</v>
      </c>
      <c r="J98" s="23" t="str">
        <f aca="false">IFERROR(INDEX(Clay_Brands!$A$2:$FZ$601,I98,$D$5)&amp;"","")</f>
        <v/>
      </c>
      <c r="K98" s="23" t="str">
        <f aca="false">IFERROR(INDEX(Clay_Brands!$A$2:$FZ$601,I98,$D$7)&amp;"","")</f>
        <v/>
      </c>
      <c r="L98" s="23" t="str">
        <f aca="false">IFERROR(INDEX(Clay_Brands!$A$2:$FZ$601,I98,$D$8)&amp;"","")</f>
        <v/>
      </c>
      <c r="M98" s="23" t="str">
        <f aca="false">IF(J98="","",IF(COUNTIF(Brand_Log!$A$2:$A$201,J98)&gt;0,"Y","N"))</f>
        <v/>
      </c>
      <c r="N98" s="34" t="str">
        <f aca="false">IF(OR(J98="",AND(LEFT(J98,6)="SAMPLE",Config!$B$19&lt;&gt;"Y")),"",IF(IFERROR(INDEX(Lists!$K$2:$K$15,MATCH(K98,Lists!$J$2:$J$15,0)),-1)=-1,"status '"&amp;K98&amp;"' is not a CONTRACTS status",IF(AND(K98="paid",COUNTIF(paid_brands!$AC$2:$AC$51,J98)=0),"status paid but no paid_brands row"&amp;IF(M98="N"," and no tracker row",""),IF(AND(IFERROR(INDEX(Lists!$K$2:$K$15,MATCH(K98,Lists!$J$2:$J$15,0)),-1)&gt;=6,M98="N"),"status "&amp;K98&amp;" but no tracker row",IF(AND(L98="Y",K98&lt;&gt;"do_not_contact"),"do_not_contact = Y but status is "&amp;K98,IF(AND(K98="do_not_contact",L98&lt;&gt;"Y"),"status do_not_contact but do_not_contact is not Y",""))))))</f>
        <v/>
      </c>
    </row>
    <row r="99" customFormat="false" ht="15" hidden="false" customHeight="false" outlineLevel="0" collapsed="false">
      <c r="B99" s="23" t="n">
        <v>78</v>
      </c>
      <c r="C99" s="23" t="str">
        <f aca="false">IFERROR(INDEX(Clay_Offices!$A$2:$FZ$601,B99,$C$5)&amp;"","")</f>
        <v/>
      </c>
      <c r="D99" s="23" t="str">
        <f aca="false">IFERROR(INDEX(Clay_Offices!$A$2:$FZ$601,B99,$C$7)&amp;"","")</f>
        <v/>
      </c>
      <c r="E99" s="23" t="str">
        <f aca="false">IFERROR(INDEX(Clay_Offices!$A$2:$FZ$601,B99,$C$8)&amp;"","")</f>
        <v/>
      </c>
      <c r="F99" s="23" t="str">
        <f aca="false">IF(C99="","",IF(COUNTIF(Office_Log!$A$2:$A$201,C99)&gt;0,"Y","N"))</f>
        <v/>
      </c>
      <c r="G99" s="34" t="str">
        <f aca="false">IF(OR(C99="",AND(LEFT(C99,6)="SAMPLE",Config!$B$19&lt;&gt;"Y")),"",IF(IFERROR(INDEX(Lists!$K$2:$K$15,MATCH(D99,Lists!$J$2:$J$15,0)),-1)=-1,"status '"&amp;D99&amp;"' is not a CONTRACTS status",IF(AND(D99="signed",COUNTIF(signed_offices!$W$2:$W$51,C99)=0),"status signed but no signed_offices row"&amp;IF(F99="N"," and no tracker row",""),IF(AND(IFERROR(INDEX(Lists!$K$2:$K$15,MATCH(D99,Lists!$J$2:$J$15,0)),-1)&gt;=6,F99="N"),"status "&amp;D99&amp;" but no tracker row",IF(AND(E99="Y",D99&lt;&gt;"do_not_contact"),"do_not_contact = Y but status is "&amp;D99,IF(AND(D99="do_not_contact",E99&lt;&gt;"Y"),"status do_not_contact but do_not_contact is not Y",""))))))</f>
        <v/>
      </c>
      <c r="I99" s="23" t="n">
        <v>78</v>
      </c>
      <c r="J99" s="23" t="str">
        <f aca="false">IFERROR(INDEX(Clay_Brands!$A$2:$FZ$601,I99,$D$5)&amp;"","")</f>
        <v/>
      </c>
      <c r="K99" s="23" t="str">
        <f aca="false">IFERROR(INDEX(Clay_Brands!$A$2:$FZ$601,I99,$D$7)&amp;"","")</f>
        <v/>
      </c>
      <c r="L99" s="23" t="str">
        <f aca="false">IFERROR(INDEX(Clay_Brands!$A$2:$FZ$601,I99,$D$8)&amp;"","")</f>
        <v/>
      </c>
      <c r="M99" s="23" t="str">
        <f aca="false">IF(J99="","",IF(COUNTIF(Brand_Log!$A$2:$A$201,J99)&gt;0,"Y","N"))</f>
        <v/>
      </c>
      <c r="N99" s="34" t="str">
        <f aca="false">IF(OR(J99="",AND(LEFT(J99,6)="SAMPLE",Config!$B$19&lt;&gt;"Y")),"",IF(IFERROR(INDEX(Lists!$K$2:$K$15,MATCH(K99,Lists!$J$2:$J$15,0)),-1)=-1,"status '"&amp;K99&amp;"' is not a CONTRACTS status",IF(AND(K99="paid",COUNTIF(paid_brands!$AC$2:$AC$51,J99)=0),"status paid but no paid_brands row"&amp;IF(M99="N"," and no tracker row",""),IF(AND(IFERROR(INDEX(Lists!$K$2:$K$15,MATCH(K99,Lists!$J$2:$J$15,0)),-1)&gt;=6,M99="N"),"status "&amp;K99&amp;" but no tracker row",IF(AND(L99="Y",K99&lt;&gt;"do_not_contact"),"do_not_contact = Y but status is "&amp;K99,IF(AND(K99="do_not_contact",L99&lt;&gt;"Y"),"status do_not_contact but do_not_contact is not Y",""))))))</f>
        <v/>
      </c>
    </row>
    <row r="100" customFormat="false" ht="15" hidden="false" customHeight="false" outlineLevel="0" collapsed="false">
      <c r="B100" s="23" t="n">
        <v>79</v>
      </c>
      <c r="C100" s="23" t="str">
        <f aca="false">IFERROR(INDEX(Clay_Offices!$A$2:$FZ$601,B100,$C$5)&amp;"","")</f>
        <v/>
      </c>
      <c r="D100" s="23" t="str">
        <f aca="false">IFERROR(INDEX(Clay_Offices!$A$2:$FZ$601,B100,$C$7)&amp;"","")</f>
        <v/>
      </c>
      <c r="E100" s="23" t="str">
        <f aca="false">IFERROR(INDEX(Clay_Offices!$A$2:$FZ$601,B100,$C$8)&amp;"","")</f>
        <v/>
      </c>
      <c r="F100" s="23" t="str">
        <f aca="false">IF(C100="","",IF(COUNTIF(Office_Log!$A$2:$A$201,C100)&gt;0,"Y","N"))</f>
        <v/>
      </c>
      <c r="G100" s="34" t="str">
        <f aca="false">IF(OR(C100="",AND(LEFT(C100,6)="SAMPLE",Config!$B$19&lt;&gt;"Y")),"",IF(IFERROR(INDEX(Lists!$K$2:$K$15,MATCH(D100,Lists!$J$2:$J$15,0)),-1)=-1,"status '"&amp;D100&amp;"' is not a CONTRACTS status",IF(AND(D100="signed",COUNTIF(signed_offices!$W$2:$W$51,C100)=0),"status signed but no signed_offices row"&amp;IF(F100="N"," and no tracker row",""),IF(AND(IFERROR(INDEX(Lists!$K$2:$K$15,MATCH(D100,Lists!$J$2:$J$15,0)),-1)&gt;=6,F100="N"),"status "&amp;D100&amp;" but no tracker row",IF(AND(E100="Y",D100&lt;&gt;"do_not_contact"),"do_not_contact = Y but status is "&amp;D100,IF(AND(D100="do_not_contact",E100&lt;&gt;"Y"),"status do_not_contact but do_not_contact is not Y",""))))))</f>
        <v/>
      </c>
      <c r="I100" s="23" t="n">
        <v>79</v>
      </c>
      <c r="J100" s="23" t="str">
        <f aca="false">IFERROR(INDEX(Clay_Brands!$A$2:$FZ$601,I100,$D$5)&amp;"","")</f>
        <v/>
      </c>
      <c r="K100" s="23" t="str">
        <f aca="false">IFERROR(INDEX(Clay_Brands!$A$2:$FZ$601,I100,$D$7)&amp;"","")</f>
        <v/>
      </c>
      <c r="L100" s="23" t="str">
        <f aca="false">IFERROR(INDEX(Clay_Brands!$A$2:$FZ$601,I100,$D$8)&amp;"","")</f>
        <v/>
      </c>
      <c r="M100" s="23" t="str">
        <f aca="false">IF(J100="","",IF(COUNTIF(Brand_Log!$A$2:$A$201,J100)&gt;0,"Y","N"))</f>
        <v/>
      </c>
      <c r="N100" s="34" t="str">
        <f aca="false">IF(OR(J100="",AND(LEFT(J100,6)="SAMPLE",Config!$B$19&lt;&gt;"Y")),"",IF(IFERROR(INDEX(Lists!$K$2:$K$15,MATCH(K100,Lists!$J$2:$J$15,0)),-1)=-1,"status '"&amp;K100&amp;"' is not a CONTRACTS status",IF(AND(K100="paid",COUNTIF(paid_brands!$AC$2:$AC$51,J100)=0),"status paid but no paid_brands row"&amp;IF(M100="N"," and no tracker row",""),IF(AND(IFERROR(INDEX(Lists!$K$2:$K$15,MATCH(K100,Lists!$J$2:$J$15,0)),-1)&gt;=6,M100="N"),"status "&amp;K100&amp;" but no tracker row",IF(AND(L100="Y",K100&lt;&gt;"do_not_contact"),"do_not_contact = Y but status is "&amp;K100,IF(AND(K100="do_not_contact",L100&lt;&gt;"Y"),"status do_not_contact but do_not_contact is not Y",""))))))</f>
        <v/>
      </c>
    </row>
    <row r="101" customFormat="false" ht="15" hidden="false" customHeight="false" outlineLevel="0" collapsed="false">
      <c r="B101" s="23" t="n">
        <v>80</v>
      </c>
      <c r="C101" s="23" t="str">
        <f aca="false">IFERROR(INDEX(Clay_Offices!$A$2:$FZ$601,B101,$C$5)&amp;"","")</f>
        <v/>
      </c>
      <c r="D101" s="23" t="str">
        <f aca="false">IFERROR(INDEX(Clay_Offices!$A$2:$FZ$601,B101,$C$7)&amp;"","")</f>
        <v/>
      </c>
      <c r="E101" s="23" t="str">
        <f aca="false">IFERROR(INDEX(Clay_Offices!$A$2:$FZ$601,B101,$C$8)&amp;"","")</f>
        <v/>
      </c>
      <c r="F101" s="23" t="str">
        <f aca="false">IF(C101="","",IF(COUNTIF(Office_Log!$A$2:$A$201,C101)&gt;0,"Y","N"))</f>
        <v/>
      </c>
      <c r="G101" s="34" t="str">
        <f aca="false">IF(OR(C101="",AND(LEFT(C101,6)="SAMPLE",Config!$B$19&lt;&gt;"Y")),"",IF(IFERROR(INDEX(Lists!$K$2:$K$15,MATCH(D101,Lists!$J$2:$J$15,0)),-1)=-1,"status '"&amp;D101&amp;"' is not a CONTRACTS status",IF(AND(D101="signed",COUNTIF(signed_offices!$W$2:$W$51,C101)=0),"status signed but no signed_offices row"&amp;IF(F101="N"," and no tracker row",""),IF(AND(IFERROR(INDEX(Lists!$K$2:$K$15,MATCH(D101,Lists!$J$2:$J$15,0)),-1)&gt;=6,F101="N"),"status "&amp;D101&amp;" but no tracker row",IF(AND(E101="Y",D101&lt;&gt;"do_not_contact"),"do_not_contact = Y but status is "&amp;D101,IF(AND(D101="do_not_contact",E101&lt;&gt;"Y"),"status do_not_contact but do_not_contact is not Y",""))))))</f>
        <v/>
      </c>
      <c r="I101" s="23" t="n">
        <v>80</v>
      </c>
      <c r="J101" s="23" t="str">
        <f aca="false">IFERROR(INDEX(Clay_Brands!$A$2:$FZ$601,I101,$D$5)&amp;"","")</f>
        <v/>
      </c>
      <c r="K101" s="23" t="str">
        <f aca="false">IFERROR(INDEX(Clay_Brands!$A$2:$FZ$601,I101,$D$7)&amp;"","")</f>
        <v/>
      </c>
      <c r="L101" s="23" t="str">
        <f aca="false">IFERROR(INDEX(Clay_Brands!$A$2:$FZ$601,I101,$D$8)&amp;"","")</f>
        <v/>
      </c>
      <c r="M101" s="23" t="str">
        <f aca="false">IF(J101="","",IF(COUNTIF(Brand_Log!$A$2:$A$201,J101)&gt;0,"Y","N"))</f>
        <v/>
      </c>
      <c r="N101" s="34" t="str">
        <f aca="false">IF(OR(J101="",AND(LEFT(J101,6)="SAMPLE",Config!$B$19&lt;&gt;"Y")),"",IF(IFERROR(INDEX(Lists!$K$2:$K$15,MATCH(K101,Lists!$J$2:$J$15,0)),-1)=-1,"status '"&amp;K101&amp;"' is not a CONTRACTS status",IF(AND(K101="paid",COUNTIF(paid_brands!$AC$2:$AC$51,J101)=0),"status paid but no paid_brands row"&amp;IF(M101="N"," and no tracker row",""),IF(AND(IFERROR(INDEX(Lists!$K$2:$K$15,MATCH(K101,Lists!$J$2:$J$15,0)),-1)&gt;=6,M101="N"),"status "&amp;K101&amp;" but no tracker row",IF(AND(L101="Y",K101&lt;&gt;"do_not_contact"),"do_not_contact = Y but status is "&amp;K101,IF(AND(K101="do_not_contact",L101&lt;&gt;"Y"),"status do_not_contact but do_not_contact is not Y",""))))))</f>
        <v/>
      </c>
    </row>
    <row r="102" customFormat="false" ht="15" hidden="false" customHeight="false" outlineLevel="0" collapsed="false">
      <c r="B102" s="23" t="n">
        <v>81</v>
      </c>
      <c r="C102" s="23" t="str">
        <f aca="false">IFERROR(INDEX(Clay_Offices!$A$2:$FZ$601,B102,$C$5)&amp;"","")</f>
        <v/>
      </c>
      <c r="D102" s="23" t="str">
        <f aca="false">IFERROR(INDEX(Clay_Offices!$A$2:$FZ$601,B102,$C$7)&amp;"","")</f>
        <v/>
      </c>
      <c r="E102" s="23" t="str">
        <f aca="false">IFERROR(INDEX(Clay_Offices!$A$2:$FZ$601,B102,$C$8)&amp;"","")</f>
        <v/>
      </c>
      <c r="F102" s="23" t="str">
        <f aca="false">IF(C102="","",IF(COUNTIF(Office_Log!$A$2:$A$201,C102)&gt;0,"Y","N"))</f>
        <v/>
      </c>
      <c r="G102" s="34" t="str">
        <f aca="false">IF(OR(C102="",AND(LEFT(C102,6)="SAMPLE",Config!$B$19&lt;&gt;"Y")),"",IF(IFERROR(INDEX(Lists!$K$2:$K$15,MATCH(D102,Lists!$J$2:$J$15,0)),-1)=-1,"status '"&amp;D102&amp;"' is not a CONTRACTS status",IF(AND(D102="signed",COUNTIF(signed_offices!$W$2:$W$51,C102)=0),"status signed but no signed_offices row"&amp;IF(F102="N"," and no tracker row",""),IF(AND(IFERROR(INDEX(Lists!$K$2:$K$15,MATCH(D102,Lists!$J$2:$J$15,0)),-1)&gt;=6,F102="N"),"status "&amp;D102&amp;" but no tracker row",IF(AND(E102="Y",D102&lt;&gt;"do_not_contact"),"do_not_contact = Y but status is "&amp;D102,IF(AND(D102="do_not_contact",E102&lt;&gt;"Y"),"status do_not_contact but do_not_contact is not Y",""))))))</f>
        <v/>
      </c>
      <c r="I102" s="23" t="n">
        <v>81</v>
      </c>
      <c r="J102" s="23" t="str">
        <f aca="false">IFERROR(INDEX(Clay_Brands!$A$2:$FZ$601,I102,$D$5)&amp;"","")</f>
        <v/>
      </c>
      <c r="K102" s="23" t="str">
        <f aca="false">IFERROR(INDEX(Clay_Brands!$A$2:$FZ$601,I102,$D$7)&amp;"","")</f>
        <v/>
      </c>
      <c r="L102" s="23" t="str">
        <f aca="false">IFERROR(INDEX(Clay_Brands!$A$2:$FZ$601,I102,$D$8)&amp;"","")</f>
        <v/>
      </c>
      <c r="M102" s="23" t="str">
        <f aca="false">IF(J102="","",IF(COUNTIF(Brand_Log!$A$2:$A$201,J102)&gt;0,"Y","N"))</f>
        <v/>
      </c>
      <c r="N102" s="34" t="str">
        <f aca="false">IF(OR(J102="",AND(LEFT(J102,6)="SAMPLE",Config!$B$19&lt;&gt;"Y")),"",IF(IFERROR(INDEX(Lists!$K$2:$K$15,MATCH(K102,Lists!$J$2:$J$15,0)),-1)=-1,"status '"&amp;K102&amp;"' is not a CONTRACTS status",IF(AND(K102="paid",COUNTIF(paid_brands!$AC$2:$AC$51,J102)=0),"status paid but no paid_brands row"&amp;IF(M102="N"," and no tracker row",""),IF(AND(IFERROR(INDEX(Lists!$K$2:$K$15,MATCH(K102,Lists!$J$2:$J$15,0)),-1)&gt;=6,M102="N"),"status "&amp;K102&amp;" but no tracker row",IF(AND(L102="Y",K102&lt;&gt;"do_not_contact"),"do_not_contact = Y but status is "&amp;K102,IF(AND(K102="do_not_contact",L102&lt;&gt;"Y"),"status do_not_contact but do_not_contact is not Y",""))))))</f>
        <v/>
      </c>
    </row>
    <row r="103" customFormat="false" ht="15" hidden="false" customHeight="false" outlineLevel="0" collapsed="false">
      <c r="B103" s="23" t="n">
        <v>82</v>
      </c>
      <c r="C103" s="23" t="str">
        <f aca="false">IFERROR(INDEX(Clay_Offices!$A$2:$FZ$601,B103,$C$5)&amp;"","")</f>
        <v/>
      </c>
      <c r="D103" s="23" t="str">
        <f aca="false">IFERROR(INDEX(Clay_Offices!$A$2:$FZ$601,B103,$C$7)&amp;"","")</f>
        <v/>
      </c>
      <c r="E103" s="23" t="str">
        <f aca="false">IFERROR(INDEX(Clay_Offices!$A$2:$FZ$601,B103,$C$8)&amp;"","")</f>
        <v/>
      </c>
      <c r="F103" s="23" t="str">
        <f aca="false">IF(C103="","",IF(COUNTIF(Office_Log!$A$2:$A$201,C103)&gt;0,"Y","N"))</f>
        <v/>
      </c>
      <c r="G103" s="34" t="str">
        <f aca="false">IF(OR(C103="",AND(LEFT(C103,6)="SAMPLE",Config!$B$19&lt;&gt;"Y")),"",IF(IFERROR(INDEX(Lists!$K$2:$K$15,MATCH(D103,Lists!$J$2:$J$15,0)),-1)=-1,"status '"&amp;D103&amp;"' is not a CONTRACTS status",IF(AND(D103="signed",COUNTIF(signed_offices!$W$2:$W$51,C103)=0),"status signed but no signed_offices row"&amp;IF(F103="N"," and no tracker row",""),IF(AND(IFERROR(INDEX(Lists!$K$2:$K$15,MATCH(D103,Lists!$J$2:$J$15,0)),-1)&gt;=6,F103="N"),"status "&amp;D103&amp;" but no tracker row",IF(AND(E103="Y",D103&lt;&gt;"do_not_contact"),"do_not_contact = Y but status is "&amp;D103,IF(AND(D103="do_not_contact",E103&lt;&gt;"Y"),"status do_not_contact but do_not_contact is not Y",""))))))</f>
        <v/>
      </c>
      <c r="I103" s="23" t="n">
        <v>82</v>
      </c>
      <c r="J103" s="23" t="str">
        <f aca="false">IFERROR(INDEX(Clay_Brands!$A$2:$FZ$601,I103,$D$5)&amp;"","")</f>
        <v/>
      </c>
      <c r="K103" s="23" t="str">
        <f aca="false">IFERROR(INDEX(Clay_Brands!$A$2:$FZ$601,I103,$D$7)&amp;"","")</f>
        <v/>
      </c>
      <c r="L103" s="23" t="str">
        <f aca="false">IFERROR(INDEX(Clay_Brands!$A$2:$FZ$601,I103,$D$8)&amp;"","")</f>
        <v/>
      </c>
      <c r="M103" s="23" t="str">
        <f aca="false">IF(J103="","",IF(COUNTIF(Brand_Log!$A$2:$A$201,J103)&gt;0,"Y","N"))</f>
        <v/>
      </c>
      <c r="N103" s="34" t="str">
        <f aca="false">IF(OR(J103="",AND(LEFT(J103,6)="SAMPLE",Config!$B$19&lt;&gt;"Y")),"",IF(IFERROR(INDEX(Lists!$K$2:$K$15,MATCH(K103,Lists!$J$2:$J$15,0)),-1)=-1,"status '"&amp;K103&amp;"' is not a CONTRACTS status",IF(AND(K103="paid",COUNTIF(paid_brands!$AC$2:$AC$51,J103)=0),"status paid but no paid_brands row"&amp;IF(M103="N"," and no tracker row",""),IF(AND(IFERROR(INDEX(Lists!$K$2:$K$15,MATCH(K103,Lists!$J$2:$J$15,0)),-1)&gt;=6,M103="N"),"status "&amp;K103&amp;" but no tracker row",IF(AND(L103="Y",K103&lt;&gt;"do_not_contact"),"do_not_contact = Y but status is "&amp;K103,IF(AND(K103="do_not_contact",L103&lt;&gt;"Y"),"status do_not_contact but do_not_contact is not Y",""))))))</f>
        <v/>
      </c>
    </row>
    <row r="104" customFormat="false" ht="15" hidden="false" customHeight="false" outlineLevel="0" collapsed="false">
      <c r="B104" s="23" t="n">
        <v>83</v>
      </c>
      <c r="C104" s="23" t="str">
        <f aca="false">IFERROR(INDEX(Clay_Offices!$A$2:$FZ$601,B104,$C$5)&amp;"","")</f>
        <v/>
      </c>
      <c r="D104" s="23" t="str">
        <f aca="false">IFERROR(INDEX(Clay_Offices!$A$2:$FZ$601,B104,$C$7)&amp;"","")</f>
        <v/>
      </c>
      <c r="E104" s="23" t="str">
        <f aca="false">IFERROR(INDEX(Clay_Offices!$A$2:$FZ$601,B104,$C$8)&amp;"","")</f>
        <v/>
      </c>
      <c r="F104" s="23" t="str">
        <f aca="false">IF(C104="","",IF(COUNTIF(Office_Log!$A$2:$A$201,C104)&gt;0,"Y","N"))</f>
        <v/>
      </c>
      <c r="G104" s="34" t="str">
        <f aca="false">IF(OR(C104="",AND(LEFT(C104,6)="SAMPLE",Config!$B$19&lt;&gt;"Y")),"",IF(IFERROR(INDEX(Lists!$K$2:$K$15,MATCH(D104,Lists!$J$2:$J$15,0)),-1)=-1,"status '"&amp;D104&amp;"' is not a CONTRACTS status",IF(AND(D104="signed",COUNTIF(signed_offices!$W$2:$W$51,C104)=0),"status signed but no signed_offices row"&amp;IF(F104="N"," and no tracker row",""),IF(AND(IFERROR(INDEX(Lists!$K$2:$K$15,MATCH(D104,Lists!$J$2:$J$15,0)),-1)&gt;=6,F104="N"),"status "&amp;D104&amp;" but no tracker row",IF(AND(E104="Y",D104&lt;&gt;"do_not_contact"),"do_not_contact = Y but status is "&amp;D104,IF(AND(D104="do_not_contact",E104&lt;&gt;"Y"),"status do_not_contact but do_not_contact is not Y",""))))))</f>
        <v/>
      </c>
      <c r="I104" s="23" t="n">
        <v>83</v>
      </c>
      <c r="J104" s="23" t="str">
        <f aca="false">IFERROR(INDEX(Clay_Brands!$A$2:$FZ$601,I104,$D$5)&amp;"","")</f>
        <v/>
      </c>
      <c r="K104" s="23" t="str">
        <f aca="false">IFERROR(INDEX(Clay_Brands!$A$2:$FZ$601,I104,$D$7)&amp;"","")</f>
        <v/>
      </c>
      <c r="L104" s="23" t="str">
        <f aca="false">IFERROR(INDEX(Clay_Brands!$A$2:$FZ$601,I104,$D$8)&amp;"","")</f>
        <v/>
      </c>
      <c r="M104" s="23" t="str">
        <f aca="false">IF(J104="","",IF(COUNTIF(Brand_Log!$A$2:$A$201,J104)&gt;0,"Y","N"))</f>
        <v/>
      </c>
      <c r="N104" s="34" t="str">
        <f aca="false">IF(OR(J104="",AND(LEFT(J104,6)="SAMPLE",Config!$B$19&lt;&gt;"Y")),"",IF(IFERROR(INDEX(Lists!$K$2:$K$15,MATCH(K104,Lists!$J$2:$J$15,0)),-1)=-1,"status '"&amp;K104&amp;"' is not a CONTRACTS status",IF(AND(K104="paid",COUNTIF(paid_brands!$AC$2:$AC$51,J104)=0),"status paid but no paid_brands row"&amp;IF(M104="N"," and no tracker row",""),IF(AND(IFERROR(INDEX(Lists!$K$2:$K$15,MATCH(K104,Lists!$J$2:$J$15,0)),-1)&gt;=6,M104="N"),"status "&amp;K104&amp;" but no tracker row",IF(AND(L104="Y",K104&lt;&gt;"do_not_contact"),"do_not_contact = Y but status is "&amp;K104,IF(AND(K104="do_not_contact",L104&lt;&gt;"Y"),"status do_not_contact but do_not_contact is not Y",""))))))</f>
        <v/>
      </c>
    </row>
    <row r="105" customFormat="false" ht="15" hidden="false" customHeight="false" outlineLevel="0" collapsed="false">
      <c r="B105" s="23" t="n">
        <v>84</v>
      </c>
      <c r="C105" s="23" t="str">
        <f aca="false">IFERROR(INDEX(Clay_Offices!$A$2:$FZ$601,B105,$C$5)&amp;"","")</f>
        <v/>
      </c>
      <c r="D105" s="23" t="str">
        <f aca="false">IFERROR(INDEX(Clay_Offices!$A$2:$FZ$601,B105,$C$7)&amp;"","")</f>
        <v/>
      </c>
      <c r="E105" s="23" t="str">
        <f aca="false">IFERROR(INDEX(Clay_Offices!$A$2:$FZ$601,B105,$C$8)&amp;"","")</f>
        <v/>
      </c>
      <c r="F105" s="23" t="str">
        <f aca="false">IF(C105="","",IF(COUNTIF(Office_Log!$A$2:$A$201,C105)&gt;0,"Y","N"))</f>
        <v/>
      </c>
      <c r="G105" s="34" t="str">
        <f aca="false">IF(OR(C105="",AND(LEFT(C105,6)="SAMPLE",Config!$B$19&lt;&gt;"Y")),"",IF(IFERROR(INDEX(Lists!$K$2:$K$15,MATCH(D105,Lists!$J$2:$J$15,0)),-1)=-1,"status '"&amp;D105&amp;"' is not a CONTRACTS status",IF(AND(D105="signed",COUNTIF(signed_offices!$W$2:$W$51,C105)=0),"status signed but no signed_offices row"&amp;IF(F105="N"," and no tracker row",""),IF(AND(IFERROR(INDEX(Lists!$K$2:$K$15,MATCH(D105,Lists!$J$2:$J$15,0)),-1)&gt;=6,F105="N"),"status "&amp;D105&amp;" but no tracker row",IF(AND(E105="Y",D105&lt;&gt;"do_not_contact"),"do_not_contact = Y but status is "&amp;D105,IF(AND(D105="do_not_contact",E105&lt;&gt;"Y"),"status do_not_contact but do_not_contact is not Y",""))))))</f>
        <v/>
      </c>
      <c r="I105" s="23" t="n">
        <v>84</v>
      </c>
      <c r="J105" s="23" t="str">
        <f aca="false">IFERROR(INDEX(Clay_Brands!$A$2:$FZ$601,I105,$D$5)&amp;"","")</f>
        <v/>
      </c>
      <c r="K105" s="23" t="str">
        <f aca="false">IFERROR(INDEX(Clay_Brands!$A$2:$FZ$601,I105,$D$7)&amp;"","")</f>
        <v/>
      </c>
      <c r="L105" s="23" t="str">
        <f aca="false">IFERROR(INDEX(Clay_Brands!$A$2:$FZ$601,I105,$D$8)&amp;"","")</f>
        <v/>
      </c>
      <c r="M105" s="23" t="str">
        <f aca="false">IF(J105="","",IF(COUNTIF(Brand_Log!$A$2:$A$201,J105)&gt;0,"Y","N"))</f>
        <v/>
      </c>
      <c r="N105" s="34" t="str">
        <f aca="false">IF(OR(J105="",AND(LEFT(J105,6)="SAMPLE",Config!$B$19&lt;&gt;"Y")),"",IF(IFERROR(INDEX(Lists!$K$2:$K$15,MATCH(K105,Lists!$J$2:$J$15,0)),-1)=-1,"status '"&amp;K105&amp;"' is not a CONTRACTS status",IF(AND(K105="paid",COUNTIF(paid_brands!$AC$2:$AC$51,J105)=0),"status paid but no paid_brands row"&amp;IF(M105="N"," and no tracker row",""),IF(AND(IFERROR(INDEX(Lists!$K$2:$K$15,MATCH(K105,Lists!$J$2:$J$15,0)),-1)&gt;=6,M105="N"),"status "&amp;K105&amp;" but no tracker row",IF(AND(L105="Y",K105&lt;&gt;"do_not_contact"),"do_not_contact = Y but status is "&amp;K105,IF(AND(K105="do_not_contact",L105&lt;&gt;"Y"),"status do_not_contact but do_not_contact is not Y",""))))))</f>
        <v/>
      </c>
    </row>
    <row r="106" customFormat="false" ht="15" hidden="false" customHeight="false" outlineLevel="0" collapsed="false">
      <c r="B106" s="23" t="n">
        <v>85</v>
      </c>
      <c r="C106" s="23" t="str">
        <f aca="false">IFERROR(INDEX(Clay_Offices!$A$2:$FZ$601,B106,$C$5)&amp;"","")</f>
        <v/>
      </c>
      <c r="D106" s="23" t="str">
        <f aca="false">IFERROR(INDEX(Clay_Offices!$A$2:$FZ$601,B106,$C$7)&amp;"","")</f>
        <v/>
      </c>
      <c r="E106" s="23" t="str">
        <f aca="false">IFERROR(INDEX(Clay_Offices!$A$2:$FZ$601,B106,$C$8)&amp;"","")</f>
        <v/>
      </c>
      <c r="F106" s="23" t="str">
        <f aca="false">IF(C106="","",IF(COUNTIF(Office_Log!$A$2:$A$201,C106)&gt;0,"Y","N"))</f>
        <v/>
      </c>
      <c r="G106" s="34" t="str">
        <f aca="false">IF(OR(C106="",AND(LEFT(C106,6)="SAMPLE",Config!$B$19&lt;&gt;"Y")),"",IF(IFERROR(INDEX(Lists!$K$2:$K$15,MATCH(D106,Lists!$J$2:$J$15,0)),-1)=-1,"status '"&amp;D106&amp;"' is not a CONTRACTS status",IF(AND(D106="signed",COUNTIF(signed_offices!$W$2:$W$51,C106)=0),"status signed but no signed_offices row"&amp;IF(F106="N"," and no tracker row",""),IF(AND(IFERROR(INDEX(Lists!$K$2:$K$15,MATCH(D106,Lists!$J$2:$J$15,0)),-1)&gt;=6,F106="N"),"status "&amp;D106&amp;" but no tracker row",IF(AND(E106="Y",D106&lt;&gt;"do_not_contact"),"do_not_contact = Y but status is "&amp;D106,IF(AND(D106="do_not_contact",E106&lt;&gt;"Y"),"status do_not_contact but do_not_contact is not Y",""))))))</f>
        <v/>
      </c>
      <c r="I106" s="23" t="n">
        <v>85</v>
      </c>
      <c r="J106" s="23" t="str">
        <f aca="false">IFERROR(INDEX(Clay_Brands!$A$2:$FZ$601,I106,$D$5)&amp;"","")</f>
        <v/>
      </c>
      <c r="K106" s="23" t="str">
        <f aca="false">IFERROR(INDEX(Clay_Brands!$A$2:$FZ$601,I106,$D$7)&amp;"","")</f>
        <v/>
      </c>
      <c r="L106" s="23" t="str">
        <f aca="false">IFERROR(INDEX(Clay_Brands!$A$2:$FZ$601,I106,$D$8)&amp;"","")</f>
        <v/>
      </c>
      <c r="M106" s="23" t="str">
        <f aca="false">IF(J106="","",IF(COUNTIF(Brand_Log!$A$2:$A$201,J106)&gt;0,"Y","N"))</f>
        <v/>
      </c>
      <c r="N106" s="34" t="str">
        <f aca="false">IF(OR(J106="",AND(LEFT(J106,6)="SAMPLE",Config!$B$19&lt;&gt;"Y")),"",IF(IFERROR(INDEX(Lists!$K$2:$K$15,MATCH(K106,Lists!$J$2:$J$15,0)),-1)=-1,"status '"&amp;K106&amp;"' is not a CONTRACTS status",IF(AND(K106="paid",COUNTIF(paid_brands!$AC$2:$AC$51,J106)=0),"status paid but no paid_brands row"&amp;IF(M106="N"," and no tracker row",""),IF(AND(IFERROR(INDEX(Lists!$K$2:$K$15,MATCH(K106,Lists!$J$2:$J$15,0)),-1)&gt;=6,M106="N"),"status "&amp;K106&amp;" but no tracker row",IF(AND(L106="Y",K106&lt;&gt;"do_not_contact"),"do_not_contact = Y but status is "&amp;K106,IF(AND(K106="do_not_contact",L106&lt;&gt;"Y"),"status do_not_contact but do_not_contact is not Y",""))))))</f>
        <v/>
      </c>
    </row>
    <row r="107" customFormat="false" ht="15" hidden="false" customHeight="false" outlineLevel="0" collapsed="false">
      <c r="B107" s="23" t="n">
        <v>86</v>
      </c>
      <c r="C107" s="23" t="str">
        <f aca="false">IFERROR(INDEX(Clay_Offices!$A$2:$FZ$601,B107,$C$5)&amp;"","")</f>
        <v/>
      </c>
      <c r="D107" s="23" t="str">
        <f aca="false">IFERROR(INDEX(Clay_Offices!$A$2:$FZ$601,B107,$C$7)&amp;"","")</f>
        <v/>
      </c>
      <c r="E107" s="23" t="str">
        <f aca="false">IFERROR(INDEX(Clay_Offices!$A$2:$FZ$601,B107,$C$8)&amp;"","")</f>
        <v/>
      </c>
      <c r="F107" s="23" t="str">
        <f aca="false">IF(C107="","",IF(COUNTIF(Office_Log!$A$2:$A$201,C107)&gt;0,"Y","N"))</f>
        <v/>
      </c>
      <c r="G107" s="34" t="str">
        <f aca="false">IF(OR(C107="",AND(LEFT(C107,6)="SAMPLE",Config!$B$19&lt;&gt;"Y")),"",IF(IFERROR(INDEX(Lists!$K$2:$K$15,MATCH(D107,Lists!$J$2:$J$15,0)),-1)=-1,"status '"&amp;D107&amp;"' is not a CONTRACTS status",IF(AND(D107="signed",COUNTIF(signed_offices!$W$2:$W$51,C107)=0),"status signed but no signed_offices row"&amp;IF(F107="N"," and no tracker row",""),IF(AND(IFERROR(INDEX(Lists!$K$2:$K$15,MATCH(D107,Lists!$J$2:$J$15,0)),-1)&gt;=6,F107="N"),"status "&amp;D107&amp;" but no tracker row",IF(AND(E107="Y",D107&lt;&gt;"do_not_contact"),"do_not_contact = Y but status is "&amp;D107,IF(AND(D107="do_not_contact",E107&lt;&gt;"Y"),"status do_not_contact but do_not_contact is not Y",""))))))</f>
        <v/>
      </c>
      <c r="I107" s="23" t="n">
        <v>86</v>
      </c>
      <c r="J107" s="23" t="str">
        <f aca="false">IFERROR(INDEX(Clay_Brands!$A$2:$FZ$601,I107,$D$5)&amp;"","")</f>
        <v/>
      </c>
      <c r="K107" s="23" t="str">
        <f aca="false">IFERROR(INDEX(Clay_Brands!$A$2:$FZ$601,I107,$D$7)&amp;"","")</f>
        <v/>
      </c>
      <c r="L107" s="23" t="str">
        <f aca="false">IFERROR(INDEX(Clay_Brands!$A$2:$FZ$601,I107,$D$8)&amp;"","")</f>
        <v/>
      </c>
      <c r="M107" s="23" t="str">
        <f aca="false">IF(J107="","",IF(COUNTIF(Brand_Log!$A$2:$A$201,J107)&gt;0,"Y","N"))</f>
        <v/>
      </c>
      <c r="N107" s="34" t="str">
        <f aca="false">IF(OR(J107="",AND(LEFT(J107,6)="SAMPLE",Config!$B$19&lt;&gt;"Y")),"",IF(IFERROR(INDEX(Lists!$K$2:$K$15,MATCH(K107,Lists!$J$2:$J$15,0)),-1)=-1,"status '"&amp;K107&amp;"' is not a CONTRACTS status",IF(AND(K107="paid",COUNTIF(paid_brands!$AC$2:$AC$51,J107)=0),"status paid but no paid_brands row"&amp;IF(M107="N"," and no tracker row",""),IF(AND(IFERROR(INDEX(Lists!$K$2:$K$15,MATCH(K107,Lists!$J$2:$J$15,0)),-1)&gt;=6,M107="N"),"status "&amp;K107&amp;" but no tracker row",IF(AND(L107="Y",K107&lt;&gt;"do_not_contact"),"do_not_contact = Y but status is "&amp;K107,IF(AND(K107="do_not_contact",L107&lt;&gt;"Y"),"status do_not_contact but do_not_contact is not Y",""))))))</f>
        <v/>
      </c>
    </row>
    <row r="108" customFormat="false" ht="15" hidden="false" customHeight="false" outlineLevel="0" collapsed="false">
      <c r="B108" s="23" t="n">
        <v>87</v>
      </c>
      <c r="C108" s="23" t="str">
        <f aca="false">IFERROR(INDEX(Clay_Offices!$A$2:$FZ$601,B108,$C$5)&amp;"","")</f>
        <v/>
      </c>
      <c r="D108" s="23" t="str">
        <f aca="false">IFERROR(INDEX(Clay_Offices!$A$2:$FZ$601,B108,$C$7)&amp;"","")</f>
        <v/>
      </c>
      <c r="E108" s="23" t="str">
        <f aca="false">IFERROR(INDEX(Clay_Offices!$A$2:$FZ$601,B108,$C$8)&amp;"","")</f>
        <v/>
      </c>
      <c r="F108" s="23" t="str">
        <f aca="false">IF(C108="","",IF(COUNTIF(Office_Log!$A$2:$A$201,C108)&gt;0,"Y","N"))</f>
        <v/>
      </c>
      <c r="G108" s="34" t="str">
        <f aca="false">IF(OR(C108="",AND(LEFT(C108,6)="SAMPLE",Config!$B$19&lt;&gt;"Y")),"",IF(IFERROR(INDEX(Lists!$K$2:$K$15,MATCH(D108,Lists!$J$2:$J$15,0)),-1)=-1,"status '"&amp;D108&amp;"' is not a CONTRACTS status",IF(AND(D108="signed",COUNTIF(signed_offices!$W$2:$W$51,C108)=0),"status signed but no signed_offices row"&amp;IF(F108="N"," and no tracker row",""),IF(AND(IFERROR(INDEX(Lists!$K$2:$K$15,MATCH(D108,Lists!$J$2:$J$15,0)),-1)&gt;=6,F108="N"),"status "&amp;D108&amp;" but no tracker row",IF(AND(E108="Y",D108&lt;&gt;"do_not_contact"),"do_not_contact = Y but status is "&amp;D108,IF(AND(D108="do_not_contact",E108&lt;&gt;"Y"),"status do_not_contact but do_not_contact is not Y",""))))))</f>
        <v/>
      </c>
      <c r="I108" s="23" t="n">
        <v>87</v>
      </c>
      <c r="J108" s="23" t="str">
        <f aca="false">IFERROR(INDEX(Clay_Brands!$A$2:$FZ$601,I108,$D$5)&amp;"","")</f>
        <v/>
      </c>
      <c r="K108" s="23" t="str">
        <f aca="false">IFERROR(INDEX(Clay_Brands!$A$2:$FZ$601,I108,$D$7)&amp;"","")</f>
        <v/>
      </c>
      <c r="L108" s="23" t="str">
        <f aca="false">IFERROR(INDEX(Clay_Brands!$A$2:$FZ$601,I108,$D$8)&amp;"","")</f>
        <v/>
      </c>
      <c r="M108" s="23" t="str">
        <f aca="false">IF(J108="","",IF(COUNTIF(Brand_Log!$A$2:$A$201,J108)&gt;0,"Y","N"))</f>
        <v/>
      </c>
      <c r="N108" s="34" t="str">
        <f aca="false">IF(OR(J108="",AND(LEFT(J108,6)="SAMPLE",Config!$B$19&lt;&gt;"Y")),"",IF(IFERROR(INDEX(Lists!$K$2:$K$15,MATCH(K108,Lists!$J$2:$J$15,0)),-1)=-1,"status '"&amp;K108&amp;"' is not a CONTRACTS status",IF(AND(K108="paid",COUNTIF(paid_brands!$AC$2:$AC$51,J108)=0),"status paid but no paid_brands row"&amp;IF(M108="N"," and no tracker row",""),IF(AND(IFERROR(INDEX(Lists!$K$2:$K$15,MATCH(K108,Lists!$J$2:$J$15,0)),-1)&gt;=6,M108="N"),"status "&amp;K108&amp;" but no tracker row",IF(AND(L108="Y",K108&lt;&gt;"do_not_contact"),"do_not_contact = Y but status is "&amp;K108,IF(AND(K108="do_not_contact",L108&lt;&gt;"Y"),"status do_not_contact but do_not_contact is not Y",""))))))</f>
        <v/>
      </c>
    </row>
    <row r="109" customFormat="false" ht="15" hidden="false" customHeight="false" outlineLevel="0" collapsed="false">
      <c r="B109" s="23" t="n">
        <v>88</v>
      </c>
      <c r="C109" s="23" t="str">
        <f aca="false">IFERROR(INDEX(Clay_Offices!$A$2:$FZ$601,B109,$C$5)&amp;"","")</f>
        <v/>
      </c>
      <c r="D109" s="23" t="str">
        <f aca="false">IFERROR(INDEX(Clay_Offices!$A$2:$FZ$601,B109,$C$7)&amp;"","")</f>
        <v/>
      </c>
      <c r="E109" s="23" t="str">
        <f aca="false">IFERROR(INDEX(Clay_Offices!$A$2:$FZ$601,B109,$C$8)&amp;"","")</f>
        <v/>
      </c>
      <c r="F109" s="23" t="str">
        <f aca="false">IF(C109="","",IF(COUNTIF(Office_Log!$A$2:$A$201,C109)&gt;0,"Y","N"))</f>
        <v/>
      </c>
      <c r="G109" s="34" t="str">
        <f aca="false">IF(OR(C109="",AND(LEFT(C109,6)="SAMPLE",Config!$B$19&lt;&gt;"Y")),"",IF(IFERROR(INDEX(Lists!$K$2:$K$15,MATCH(D109,Lists!$J$2:$J$15,0)),-1)=-1,"status '"&amp;D109&amp;"' is not a CONTRACTS status",IF(AND(D109="signed",COUNTIF(signed_offices!$W$2:$W$51,C109)=0),"status signed but no signed_offices row"&amp;IF(F109="N"," and no tracker row",""),IF(AND(IFERROR(INDEX(Lists!$K$2:$K$15,MATCH(D109,Lists!$J$2:$J$15,0)),-1)&gt;=6,F109="N"),"status "&amp;D109&amp;" but no tracker row",IF(AND(E109="Y",D109&lt;&gt;"do_not_contact"),"do_not_contact = Y but status is "&amp;D109,IF(AND(D109="do_not_contact",E109&lt;&gt;"Y"),"status do_not_contact but do_not_contact is not Y",""))))))</f>
        <v/>
      </c>
      <c r="I109" s="23" t="n">
        <v>88</v>
      </c>
      <c r="J109" s="23" t="str">
        <f aca="false">IFERROR(INDEX(Clay_Brands!$A$2:$FZ$601,I109,$D$5)&amp;"","")</f>
        <v/>
      </c>
      <c r="K109" s="23" t="str">
        <f aca="false">IFERROR(INDEX(Clay_Brands!$A$2:$FZ$601,I109,$D$7)&amp;"","")</f>
        <v/>
      </c>
      <c r="L109" s="23" t="str">
        <f aca="false">IFERROR(INDEX(Clay_Brands!$A$2:$FZ$601,I109,$D$8)&amp;"","")</f>
        <v/>
      </c>
      <c r="M109" s="23" t="str">
        <f aca="false">IF(J109="","",IF(COUNTIF(Brand_Log!$A$2:$A$201,J109)&gt;0,"Y","N"))</f>
        <v/>
      </c>
      <c r="N109" s="34" t="str">
        <f aca="false">IF(OR(J109="",AND(LEFT(J109,6)="SAMPLE",Config!$B$19&lt;&gt;"Y")),"",IF(IFERROR(INDEX(Lists!$K$2:$K$15,MATCH(K109,Lists!$J$2:$J$15,0)),-1)=-1,"status '"&amp;K109&amp;"' is not a CONTRACTS status",IF(AND(K109="paid",COUNTIF(paid_brands!$AC$2:$AC$51,J109)=0),"status paid but no paid_brands row"&amp;IF(M109="N"," and no tracker row",""),IF(AND(IFERROR(INDEX(Lists!$K$2:$K$15,MATCH(K109,Lists!$J$2:$J$15,0)),-1)&gt;=6,M109="N"),"status "&amp;K109&amp;" but no tracker row",IF(AND(L109="Y",K109&lt;&gt;"do_not_contact"),"do_not_contact = Y but status is "&amp;K109,IF(AND(K109="do_not_contact",L109&lt;&gt;"Y"),"status do_not_contact but do_not_contact is not Y",""))))))</f>
        <v/>
      </c>
    </row>
    <row r="110" customFormat="false" ht="15" hidden="false" customHeight="false" outlineLevel="0" collapsed="false">
      <c r="B110" s="23" t="n">
        <v>89</v>
      </c>
      <c r="C110" s="23" t="str">
        <f aca="false">IFERROR(INDEX(Clay_Offices!$A$2:$FZ$601,B110,$C$5)&amp;"","")</f>
        <v/>
      </c>
      <c r="D110" s="23" t="str">
        <f aca="false">IFERROR(INDEX(Clay_Offices!$A$2:$FZ$601,B110,$C$7)&amp;"","")</f>
        <v/>
      </c>
      <c r="E110" s="23" t="str">
        <f aca="false">IFERROR(INDEX(Clay_Offices!$A$2:$FZ$601,B110,$C$8)&amp;"","")</f>
        <v/>
      </c>
      <c r="F110" s="23" t="str">
        <f aca="false">IF(C110="","",IF(COUNTIF(Office_Log!$A$2:$A$201,C110)&gt;0,"Y","N"))</f>
        <v/>
      </c>
      <c r="G110" s="34" t="str">
        <f aca="false">IF(OR(C110="",AND(LEFT(C110,6)="SAMPLE",Config!$B$19&lt;&gt;"Y")),"",IF(IFERROR(INDEX(Lists!$K$2:$K$15,MATCH(D110,Lists!$J$2:$J$15,0)),-1)=-1,"status '"&amp;D110&amp;"' is not a CONTRACTS status",IF(AND(D110="signed",COUNTIF(signed_offices!$W$2:$W$51,C110)=0),"status signed but no signed_offices row"&amp;IF(F110="N"," and no tracker row",""),IF(AND(IFERROR(INDEX(Lists!$K$2:$K$15,MATCH(D110,Lists!$J$2:$J$15,0)),-1)&gt;=6,F110="N"),"status "&amp;D110&amp;" but no tracker row",IF(AND(E110="Y",D110&lt;&gt;"do_not_contact"),"do_not_contact = Y but status is "&amp;D110,IF(AND(D110="do_not_contact",E110&lt;&gt;"Y"),"status do_not_contact but do_not_contact is not Y",""))))))</f>
        <v/>
      </c>
      <c r="I110" s="23" t="n">
        <v>89</v>
      </c>
      <c r="J110" s="23" t="str">
        <f aca="false">IFERROR(INDEX(Clay_Brands!$A$2:$FZ$601,I110,$D$5)&amp;"","")</f>
        <v/>
      </c>
      <c r="K110" s="23" t="str">
        <f aca="false">IFERROR(INDEX(Clay_Brands!$A$2:$FZ$601,I110,$D$7)&amp;"","")</f>
        <v/>
      </c>
      <c r="L110" s="23" t="str">
        <f aca="false">IFERROR(INDEX(Clay_Brands!$A$2:$FZ$601,I110,$D$8)&amp;"","")</f>
        <v/>
      </c>
      <c r="M110" s="23" t="str">
        <f aca="false">IF(J110="","",IF(COUNTIF(Brand_Log!$A$2:$A$201,J110)&gt;0,"Y","N"))</f>
        <v/>
      </c>
      <c r="N110" s="34" t="str">
        <f aca="false">IF(OR(J110="",AND(LEFT(J110,6)="SAMPLE",Config!$B$19&lt;&gt;"Y")),"",IF(IFERROR(INDEX(Lists!$K$2:$K$15,MATCH(K110,Lists!$J$2:$J$15,0)),-1)=-1,"status '"&amp;K110&amp;"' is not a CONTRACTS status",IF(AND(K110="paid",COUNTIF(paid_brands!$AC$2:$AC$51,J110)=0),"status paid but no paid_brands row"&amp;IF(M110="N"," and no tracker row",""),IF(AND(IFERROR(INDEX(Lists!$K$2:$K$15,MATCH(K110,Lists!$J$2:$J$15,0)),-1)&gt;=6,M110="N"),"status "&amp;K110&amp;" but no tracker row",IF(AND(L110="Y",K110&lt;&gt;"do_not_contact"),"do_not_contact = Y but status is "&amp;K110,IF(AND(K110="do_not_contact",L110&lt;&gt;"Y"),"status do_not_contact but do_not_contact is not Y",""))))))</f>
        <v/>
      </c>
    </row>
    <row r="111" customFormat="false" ht="15" hidden="false" customHeight="false" outlineLevel="0" collapsed="false">
      <c r="B111" s="23" t="n">
        <v>90</v>
      </c>
      <c r="C111" s="23" t="str">
        <f aca="false">IFERROR(INDEX(Clay_Offices!$A$2:$FZ$601,B111,$C$5)&amp;"","")</f>
        <v/>
      </c>
      <c r="D111" s="23" t="str">
        <f aca="false">IFERROR(INDEX(Clay_Offices!$A$2:$FZ$601,B111,$C$7)&amp;"","")</f>
        <v/>
      </c>
      <c r="E111" s="23" t="str">
        <f aca="false">IFERROR(INDEX(Clay_Offices!$A$2:$FZ$601,B111,$C$8)&amp;"","")</f>
        <v/>
      </c>
      <c r="F111" s="23" t="str">
        <f aca="false">IF(C111="","",IF(COUNTIF(Office_Log!$A$2:$A$201,C111)&gt;0,"Y","N"))</f>
        <v/>
      </c>
      <c r="G111" s="34" t="str">
        <f aca="false">IF(OR(C111="",AND(LEFT(C111,6)="SAMPLE",Config!$B$19&lt;&gt;"Y")),"",IF(IFERROR(INDEX(Lists!$K$2:$K$15,MATCH(D111,Lists!$J$2:$J$15,0)),-1)=-1,"status '"&amp;D111&amp;"' is not a CONTRACTS status",IF(AND(D111="signed",COUNTIF(signed_offices!$W$2:$W$51,C111)=0),"status signed but no signed_offices row"&amp;IF(F111="N"," and no tracker row",""),IF(AND(IFERROR(INDEX(Lists!$K$2:$K$15,MATCH(D111,Lists!$J$2:$J$15,0)),-1)&gt;=6,F111="N"),"status "&amp;D111&amp;" but no tracker row",IF(AND(E111="Y",D111&lt;&gt;"do_not_contact"),"do_not_contact = Y but status is "&amp;D111,IF(AND(D111="do_not_contact",E111&lt;&gt;"Y"),"status do_not_contact but do_not_contact is not Y",""))))))</f>
        <v/>
      </c>
      <c r="I111" s="23" t="n">
        <v>90</v>
      </c>
      <c r="J111" s="23" t="str">
        <f aca="false">IFERROR(INDEX(Clay_Brands!$A$2:$FZ$601,I111,$D$5)&amp;"","")</f>
        <v/>
      </c>
      <c r="K111" s="23" t="str">
        <f aca="false">IFERROR(INDEX(Clay_Brands!$A$2:$FZ$601,I111,$D$7)&amp;"","")</f>
        <v/>
      </c>
      <c r="L111" s="23" t="str">
        <f aca="false">IFERROR(INDEX(Clay_Brands!$A$2:$FZ$601,I111,$D$8)&amp;"","")</f>
        <v/>
      </c>
      <c r="M111" s="23" t="str">
        <f aca="false">IF(J111="","",IF(COUNTIF(Brand_Log!$A$2:$A$201,J111)&gt;0,"Y","N"))</f>
        <v/>
      </c>
      <c r="N111" s="34" t="str">
        <f aca="false">IF(OR(J111="",AND(LEFT(J111,6)="SAMPLE",Config!$B$19&lt;&gt;"Y")),"",IF(IFERROR(INDEX(Lists!$K$2:$K$15,MATCH(K111,Lists!$J$2:$J$15,0)),-1)=-1,"status '"&amp;K111&amp;"' is not a CONTRACTS status",IF(AND(K111="paid",COUNTIF(paid_brands!$AC$2:$AC$51,J111)=0),"status paid but no paid_brands row"&amp;IF(M111="N"," and no tracker row",""),IF(AND(IFERROR(INDEX(Lists!$K$2:$K$15,MATCH(K111,Lists!$J$2:$J$15,0)),-1)&gt;=6,M111="N"),"status "&amp;K111&amp;" but no tracker row",IF(AND(L111="Y",K111&lt;&gt;"do_not_contact"),"do_not_contact = Y but status is "&amp;K111,IF(AND(K111="do_not_contact",L111&lt;&gt;"Y"),"status do_not_contact but do_not_contact is not Y",""))))))</f>
        <v/>
      </c>
    </row>
    <row r="112" customFormat="false" ht="15" hidden="false" customHeight="false" outlineLevel="0" collapsed="false">
      <c r="B112" s="23" t="n">
        <v>91</v>
      </c>
      <c r="C112" s="23" t="str">
        <f aca="false">IFERROR(INDEX(Clay_Offices!$A$2:$FZ$601,B112,$C$5)&amp;"","")</f>
        <v/>
      </c>
      <c r="D112" s="23" t="str">
        <f aca="false">IFERROR(INDEX(Clay_Offices!$A$2:$FZ$601,B112,$C$7)&amp;"","")</f>
        <v/>
      </c>
      <c r="E112" s="23" t="str">
        <f aca="false">IFERROR(INDEX(Clay_Offices!$A$2:$FZ$601,B112,$C$8)&amp;"","")</f>
        <v/>
      </c>
      <c r="F112" s="23" t="str">
        <f aca="false">IF(C112="","",IF(COUNTIF(Office_Log!$A$2:$A$201,C112)&gt;0,"Y","N"))</f>
        <v/>
      </c>
      <c r="G112" s="34" t="str">
        <f aca="false">IF(OR(C112="",AND(LEFT(C112,6)="SAMPLE",Config!$B$19&lt;&gt;"Y")),"",IF(IFERROR(INDEX(Lists!$K$2:$K$15,MATCH(D112,Lists!$J$2:$J$15,0)),-1)=-1,"status '"&amp;D112&amp;"' is not a CONTRACTS status",IF(AND(D112="signed",COUNTIF(signed_offices!$W$2:$W$51,C112)=0),"status signed but no signed_offices row"&amp;IF(F112="N"," and no tracker row",""),IF(AND(IFERROR(INDEX(Lists!$K$2:$K$15,MATCH(D112,Lists!$J$2:$J$15,0)),-1)&gt;=6,F112="N"),"status "&amp;D112&amp;" but no tracker row",IF(AND(E112="Y",D112&lt;&gt;"do_not_contact"),"do_not_contact = Y but status is "&amp;D112,IF(AND(D112="do_not_contact",E112&lt;&gt;"Y"),"status do_not_contact but do_not_contact is not Y",""))))))</f>
        <v/>
      </c>
      <c r="I112" s="23" t="n">
        <v>91</v>
      </c>
      <c r="J112" s="23" t="str">
        <f aca="false">IFERROR(INDEX(Clay_Brands!$A$2:$FZ$601,I112,$D$5)&amp;"","")</f>
        <v/>
      </c>
      <c r="K112" s="23" t="str">
        <f aca="false">IFERROR(INDEX(Clay_Brands!$A$2:$FZ$601,I112,$D$7)&amp;"","")</f>
        <v/>
      </c>
      <c r="L112" s="23" t="str">
        <f aca="false">IFERROR(INDEX(Clay_Brands!$A$2:$FZ$601,I112,$D$8)&amp;"","")</f>
        <v/>
      </c>
      <c r="M112" s="23" t="str">
        <f aca="false">IF(J112="","",IF(COUNTIF(Brand_Log!$A$2:$A$201,J112)&gt;0,"Y","N"))</f>
        <v/>
      </c>
      <c r="N112" s="34" t="str">
        <f aca="false">IF(OR(J112="",AND(LEFT(J112,6)="SAMPLE",Config!$B$19&lt;&gt;"Y")),"",IF(IFERROR(INDEX(Lists!$K$2:$K$15,MATCH(K112,Lists!$J$2:$J$15,0)),-1)=-1,"status '"&amp;K112&amp;"' is not a CONTRACTS status",IF(AND(K112="paid",COUNTIF(paid_brands!$AC$2:$AC$51,J112)=0),"status paid but no paid_brands row"&amp;IF(M112="N"," and no tracker row",""),IF(AND(IFERROR(INDEX(Lists!$K$2:$K$15,MATCH(K112,Lists!$J$2:$J$15,0)),-1)&gt;=6,M112="N"),"status "&amp;K112&amp;" but no tracker row",IF(AND(L112="Y",K112&lt;&gt;"do_not_contact"),"do_not_contact = Y but status is "&amp;K112,IF(AND(K112="do_not_contact",L112&lt;&gt;"Y"),"status do_not_contact but do_not_contact is not Y",""))))))</f>
        <v/>
      </c>
    </row>
    <row r="113" customFormat="false" ht="15" hidden="false" customHeight="false" outlineLevel="0" collapsed="false">
      <c r="B113" s="23" t="n">
        <v>92</v>
      </c>
      <c r="C113" s="23" t="str">
        <f aca="false">IFERROR(INDEX(Clay_Offices!$A$2:$FZ$601,B113,$C$5)&amp;"","")</f>
        <v/>
      </c>
      <c r="D113" s="23" t="str">
        <f aca="false">IFERROR(INDEX(Clay_Offices!$A$2:$FZ$601,B113,$C$7)&amp;"","")</f>
        <v/>
      </c>
      <c r="E113" s="23" t="str">
        <f aca="false">IFERROR(INDEX(Clay_Offices!$A$2:$FZ$601,B113,$C$8)&amp;"","")</f>
        <v/>
      </c>
      <c r="F113" s="23" t="str">
        <f aca="false">IF(C113="","",IF(COUNTIF(Office_Log!$A$2:$A$201,C113)&gt;0,"Y","N"))</f>
        <v/>
      </c>
      <c r="G113" s="34" t="str">
        <f aca="false">IF(OR(C113="",AND(LEFT(C113,6)="SAMPLE",Config!$B$19&lt;&gt;"Y")),"",IF(IFERROR(INDEX(Lists!$K$2:$K$15,MATCH(D113,Lists!$J$2:$J$15,0)),-1)=-1,"status '"&amp;D113&amp;"' is not a CONTRACTS status",IF(AND(D113="signed",COUNTIF(signed_offices!$W$2:$W$51,C113)=0),"status signed but no signed_offices row"&amp;IF(F113="N"," and no tracker row",""),IF(AND(IFERROR(INDEX(Lists!$K$2:$K$15,MATCH(D113,Lists!$J$2:$J$15,0)),-1)&gt;=6,F113="N"),"status "&amp;D113&amp;" but no tracker row",IF(AND(E113="Y",D113&lt;&gt;"do_not_contact"),"do_not_contact = Y but status is "&amp;D113,IF(AND(D113="do_not_contact",E113&lt;&gt;"Y"),"status do_not_contact but do_not_contact is not Y",""))))))</f>
        <v/>
      </c>
      <c r="I113" s="23" t="n">
        <v>92</v>
      </c>
      <c r="J113" s="23" t="str">
        <f aca="false">IFERROR(INDEX(Clay_Brands!$A$2:$FZ$601,I113,$D$5)&amp;"","")</f>
        <v/>
      </c>
      <c r="K113" s="23" t="str">
        <f aca="false">IFERROR(INDEX(Clay_Brands!$A$2:$FZ$601,I113,$D$7)&amp;"","")</f>
        <v/>
      </c>
      <c r="L113" s="23" t="str">
        <f aca="false">IFERROR(INDEX(Clay_Brands!$A$2:$FZ$601,I113,$D$8)&amp;"","")</f>
        <v/>
      </c>
      <c r="M113" s="23" t="str">
        <f aca="false">IF(J113="","",IF(COUNTIF(Brand_Log!$A$2:$A$201,J113)&gt;0,"Y","N"))</f>
        <v/>
      </c>
      <c r="N113" s="34" t="str">
        <f aca="false">IF(OR(J113="",AND(LEFT(J113,6)="SAMPLE",Config!$B$19&lt;&gt;"Y")),"",IF(IFERROR(INDEX(Lists!$K$2:$K$15,MATCH(K113,Lists!$J$2:$J$15,0)),-1)=-1,"status '"&amp;K113&amp;"' is not a CONTRACTS status",IF(AND(K113="paid",COUNTIF(paid_brands!$AC$2:$AC$51,J113)=0),"status paid but no paid_brands row"&amp;IF(M113="N"," and no tracker row",""),IF(AND(IFERROR(INDEX(Lists!$K$2:$K$15,MATCH(K113,Lists!$J$2:$J$15,0)),-1)&gt;=6,M113="N"),"status "&amp;K113&amp;" but no tracker row",IF(AND(L113="Y",K113&lt;&gt;"do_not_contact"),"do_not_contact = Y but status is "&amp;K113,IF(AND(K113="do_not_contact",L113&lt;&gt;"Y"),"status do_not_contact but do_not_contact is not Y",""))))))</f>
        <v/>
      </c>
    </row>
    <row r="114" customFormat="false" ht="15" hidden="false" customHeight="false" outlineLevel="0" collapsed="false">
      <c r="B114" s="23" t="n">
        <v>93</v>
      </c>
      <c r="C114" s="23" t="str">
        <f aca="false">IFERROR(INDEX(Clay_Offices!$A$2:$FZ$601,B114,$C$5)&amp;"","")</f>
        <v/>
      </c>
      <c r="D114" s="23" t="str">
        <f aca="false">IFERROR(INDEX(Clay_Offices!$A$2:$FZ$601,B114,$C$7)&amp;"","")</f>
        <v/>
      </c>
      <c r="E114" s="23" t="str">
        <f aca="false">IFERROR(INDEX(Clay_Offices!$A$2:$FZ$601,B114,$C$8)&amp;"","")</f>
        <v/>
      </c>
      <c r="F114" s="23" t="str">
        <f aca="false">IF(C114="","",IF(COUNTIF(Office_Log!$A$2:$A$201,C114)&gt;0,"Y","N"))</f>
        <v/>
      </c>
      <c r="G114" s="34" t="str">
        <f aca="false">IF(OR(C114="",AND(LEFT(C114,6)="SAMPLE",Config!$B$19&lt;&gt;"Y")),"",IF(IFERROR(INDEX(Lists!$K$2:$K$15,MATCH(D114,Lists!$J$2:$J$15,0)),-1)=-1,"status '"&amp;D114&amp;"' is not a CONTRACTS status",IF(AND(D114="signed",COUNTIF(signed_offices!$W$2:$W$51,C114)=0),"status signed but no signed_offices row"&amp;IF(F114="N"," and no tracker row",""),IF(AND(IFERROR(INDEX(Lists!$K$2:$K$15,MATCH(D114,Lists!$J$2:$J$15,0)),-1)&gt;=6,F114="N"),"status "&amp;D114&amp;" but no tracker row",IF(AND(E114="Y",D114&lt;&gt;"do_not_contact"),"do_not_contact = Y but status is "&amp;D114,IF(AND(D114="do_not_contact",E114&lt;&gt;"Y"),"status do_not_contact but do_not_contact is not Y",""))))))</f>
        <v/>
      </c>
      <c r="I114" s="23" t="n">
        <v>93</v>
      </c>
      <c r="J114" s="23" t="str">
        <f aca="false">IFERROR(INDEX(Clay_Brands!$A$2:$FZ$601,I114,$D$5)&amp;"","")</f>
        <v/>
      </c>
      <c r="K114" s="23" t="str">
        <f aca="false">IFERROR(INDEX(Clay_Brands!$A$2:$FZ$601,I114,$D$7)&amp;"","")</f>
        <v/>
      </c>
      <c r="L114" s="23" t="str">
        <f aca="false">IFERROR(INDEX(Clay_Brands!$A$2:$FZ$601,I114,$D$8)&amp;"","")</f>
        <v/>
      </c>
      <c r="M114" s="23" t="str">
        <f aca="false">IF(J114="","",IF(COUNTIF(Brand_Log!$A$2:$A$201,J114)&gt;0,"Y","N"))</f>
        <v/>
      </c>
      <c r="N114" s="34" t="str">
        <f aca="false">IF(OR(J114="",AND(LEFT(J114,6)="SAMPLE",Config!$B$19&lt;&gt;"Y")),"",IF(IFERROR(INDEX(Lists!$K$2:$K$15,MATCH(K114,Lists!$J$2:$J$15,0)),-1)=-1,"status '"&amp;K114&amp;"' is not a CONTRACTS status",IF(AND(K114="paid",COUNTIF(paid_brands!$AC$2:$AC$51,J114)=0),"status paid but no paid_brands row"&amp;IF(M114="N"," and no tracker row",""),IF(AND(IFERROR(INDEX(Lists!$K$2:$K$15,MATCH(K114,Lists!$J$2:$J$15,0)),-1)&gt;=6,M114="N"),"status "&amp;K114&amp;" but no tracker row",IF(AND(L114="Y",K114&lt;&gt;"do_not_contact"),"do_not_contact = Y but status is "&amp;K114,IF(AND(K114="do_not_contact",L114&lt;&gt;"Y"),"status do_not_contact but do_not_contact is not Y",""))))))</f>
        <v/>
      </c>
    </row>
    <row r="115" customFormat="false" ht="15" hidden="false" customHeight="false" outlineLevel="0" collapsed="false">
      <c r="B115" s="23" t="n">
        <v>94</v>
      </c>
      <c r="C115" s="23" t="str">
        <f aca="false">IFERROR(INDEX(Clay_Offices!$A$2:$FZ$601,B115,$C$5)&amp;"","")</f>
        <v/>
      </c>
      <c r="D115" s="23" t="str">
        <f aca="false">IFERROR(INDEX(Clay_Offices!$A$2:$FZ$601,B115,$C$7)&amp;"","")</f>
        <v/>
      </c>
      <c r="E115" s="23" t="str">
        <f aca="false">IFERROR(INDEX(Clay_Offices!$A$2:$FZ$601,B115,$C$8)&amp;"","")</f>
        <v/>
      </c>
      <c r="F115" s="23" t="str">
        <f aca="false">IF(C115="","",IF(COUNTIF(Office_Log!$A$2:$A$201,C115)&gt;0,"Y","N"))</f>
        <v/>
      </c>
      <c r="G115" s="34" t="str">
        <f aca="false">IF(OR(C115="",AND(LEFT(C115,6)="SAMPLE",Config!$B$19&lt;&gt;"Y")),"",IF(IFERROR(INDEX(Lists!$K$2:$K$15,MATCH(D115,Lists!$J$2:$J$15,0)),-1)=-1,"status '"&amp;D115&amp;"' is not a CONTRACTS status",IF(AND(D115="signed",COUNTIF(signed_offices!$W$2:$W$51,C115)=0),"status signed but no signed_offices row"&amp;IF(F115="N"," and no tracker row",""),IF(AND(IFERROR(INDEX(Lists!$K$2:$K$15,MATCH(D115,Lists!$J$2:$J$15,0)),-1)&gt;=6,F115="N"),"status "&amp;D115&amp;" but no tracker row",IF(AND(E115="Y",D115&lt;&gt;"do_not_contact"),"do_not_contact = Y but status is "&amp;D115,IF(AND(D115="do_not_contact",E115&lt;&gt;"Y"),"status do_not_contact but do_not_contact is not Y",""))))))</f>
        <v/>
      </c>
      <c r="I115" s="23" t="n">
        <v>94</v>
      </c>
      <c r="J115" s="23" t="str">
        <f aca="false">IFERROR(INDEX(Clay_Brands!$A$2:$FZ$601,I115,$D$5)&amp;"","")</f>
        <v/>
      </c>
      <c r="K115" s="23" t="str">
        <f aca="false">IFERROR(INDEX(Clay_Brands!$A$2:$FZ$601,I115,$D$7)&amp;"","")</f>
        <v/>
      </c>
      <c r="L115" s="23" t="str">
        <f aca="false">IFERROR(INDEX(Clay_Brands!$A$2:$FZ$601,I115,$D$8)&amp;"","")</f>
        <v/>
      </c>
      <c r="M115" s="23" t="str">
        <f aca="false">IF(J115="","",IF(COUNTIF(Brand_Log!$A$2:$A$201,J115)&gt;0,"Y","N"))</f>
        <v/>
      </c>
      <c r="N115" s="34" t="str">
        <f aca="false">IF(OR(J115="",AND(LEFT(J115,6)="SAMPLE",Config!$B$19&lt;&gt;"Y")),"",IF(IFERROR(INDEX(Lists!$K$2:$K$15,MATCH(K115,Lists!$J$2:$J$15,0)),-1)=-1,"status '"&amp;K115&amp;"' is not a CONTRACTS status",IF(AND(K115="paid",COUNTIF(paid_brands!$AC$2:$AC$51,J115)=0),"status paid but no paid_brands row"&amp;IF(M115="N"," and no tracker row",""),IF(AND(IFERROR(INDEX(Lists!$K$2:$K$15,MATCH(K115,Lists!$J$2:$J$15,0)),-1)&gt;=6,M115="N"),"status "&amp;K115&amp;" but no tracker row",IF(AND(L115="Y",K115&lt;&gt;"do_not_contact"),"do_not_contact = Y but status is "&amp;K115,IF(AND(K115="do_not_contact",L115&lt;&gt;"Y"),"status do_not_contact but do_not_contact is not Y",""))))))</f>
        <v/>
      </c>
    </row>
    <row r="116" customFormat="false" ht="15" hidden="false" customHeight="false" outlineLevel="0" collapsed="false">
      <c r="B116" s="23" t="n">
        <v>95</v>
      </c>
      <c r="C116" s="23" t="str">
        <f aca="false">IFERROR(INDEX(Clay_Offices!$A$2:$FZ$601,B116,$C$5)&amp;"","")</f>
        <v/>
      </c>
      <c r="D116" s="23" t="str">
        <f aca="false">IFERROR(INDEX(Clay_Offices!$A$2:$FZ$601,B116,$C$7)&amp;"","")</f>
        <v/>
      </c>
      <c r="E116" s="23" t="str">
        <f aca="false">IFERROR(INDEX(Clay_Offices!$A$2:$FZ$601,B116,$C$8)&amp;"","")</f>
        <v/>
      </c>
      <c r="F116" s="23" t="str">
        <f aca="false">IF(C116="","",IF(COUNTIF(Office_Log!$A$2:$A$201,C116)&gt;0,"Y","N"))</f>
        <v/>
      </c>
      <c r="G116" s="34" t="str">
        <f aca="false">IF(OR(C116="",AND(LEFT(C116,6)="SAMPLE",Config!$B$19&lt;&gt;"Y")),"",IF(IFERROR(INDEX(Lists!$K$2:$K$15,MATCH(D116,Lists!$J$2:$J$15,0)),-1)=-1,"status '"&amp;D116&amp;"' is not a CONTRACTS status",IF(AND(D116="signed",COUNTIF(signed_offices!$W$2:$W$51,C116)=0),"status signed but no signed_offices row"&amp;IF(F116="N"," and no tracker row",""),IF(AND(IFERROR(INDEX(Lists!$K$2:$K$15,MATCH(D116,Lists!$J$2:$J$15,0)),-1)&gt;=6,F116="N"),"status "&amp;D116&amp;" but no tracker row",IF(AND(E116="Y",D116&lt;&gt;"do_not_contact"),"do_not_contact = Y but status is "&amp;D116,IF(AND(D116="do_not_contact",E116&lt;&gt;"Y"),"status do_not_contact but do_not_contact is not Y",""))))))</f>
        <v/>
      </c>
      <c r="I116" s="23" t="n">
        <v>95</v>
      </c>
      <c r="J116" s="23" t="str">
        <f aca="false">IFERROR(INDEX(Clay_Brands!$A$2:$FZ$601,I116,$D$5)&amp;"","")</f>
        <v/>
      </c>
      <c r="K116" s="23" t="str">
        <f aca="false">IFERROR(INDEX(Clay_Brands!$A$2:$FZ$601,I116,$D$7)&amp;"","")</f>
        <v/>
      </c>
      <c r="L116" s="23" t="str">
        <f aca="false">IFERROR(INDEX(Clay_Brands!$A$2:$FZ$601,I116,$D$8)&amp;"","")</f>
        <v/>
      </c>
      <c r="M116" s="23" t="str">
        <f aca="false">IF(J116="","",IF(COUNTIF(Brand_Log!$A$2:$A$201,J116)&gt;0,"Y","N"))</f>
        <v/>
      </c>
      <c r="N116" s="34" t="str">
        <f aca="false">IF(OR(J116="",AND(LEFT(J116,6)="SAMPLE",Config!$B$19&lt;&gt;"Y")),"",IF(IFERROR(INDEX(Lists!$K$2:$K$15,MATCH(K116,Lists!$J$2:$J$15,0)),-1)=-1,"status '"&amp;K116&amp;"' is not a CONTRACTS status",IF(AND(K116="paid",COUNTIF(paid_brands!$AC$2:$AC$51,J116)=0),"status paid but no paid_brands row"&amp;IF(M116="N"," and no tracker row",""),IF(AND(IFERROR(INDEX(Lists!$K$2:$K$15,MATCH(K116,Lists!$J$2:$J$15,0)),-1)&gt;=6,M116="N"),"status "&amp;K116&amp;" but no tracker row",IF(AND(L116="Y",K116&lt;&gt;"do_not_contact"),"do_not_contact = Y but status is "&amp;K116,IF(AND(K116="do_not_contact",L116&lt;&gt;"Y"),"status do_not_contact but do_not_contact is not Y",""))))))</f>
        <v/>
      </c>
    </row>
    <row r="117" customFormat="false" ht="15" hidden="false" customHeight="false" outlineLevel="0" collapsed="false">
      <c r="B117" s="23" t="n">
        <v>96</v>
      </c>
      <c r="C117" s="23" t="str">
        <f aca="false">IFERROR(INDEX(Clay_Offices!$A$2:$FZ$601,B117,$C$5)&amp;"","")</f>
        <v/>
      </c>
      <c r="D117" s="23" t="str">
        <f aca="false">IFERROR(INDEX(Clay_Offices!$A$2:$FZ$601,B117,$C$7)&amp;"","")</f>
        <v/>
      </c>
      <c r="E117" s="23" t="str">
        <f aca="false">IFERROR(INDEX(Clay_Offices!$A$2:$FZ$601,B117,$C$8)&amp;"","")</f>
        <v/>
      </c>
      <c r="F117" s="23" t="str">
        <f aca="false">IF(C117="","",IF(COUNTIF(Office_Log!$A$2:$A$201,C117)&gt;0,"Y","N"))</f>
        <v/>
      </c>
      <c r="G117" s="34" t="str">
        <f aca="false">IF(OR(C117="",AND(LEFT(C117,6)="SAMPLE",Config!$B$19&lt;&gt;"Y")),"",IF(IFERROR(INDEX(Lists!$K$2:$K$15,MATCH(D117,Lists!$J$2:$J$15,0)),-1)=-1,"status '"&amp;D117&amp;"' is not a CONTRACTS status",IF(AND(D117="signed",COUNTIF(signed_offices!$W$2:$W$51,C117)=0),"status signed but no signed_offices row"&amp;IF(F117="N"," and no tracker row",""),IF(AND(IFERROR(INDEX(Lists!$K$2:$K$15,MATCH(D117,Lists!$J$2:$J$15,0)),-1)&gt;=6,F117="N"),"status "&amp;D117&amp;" but no tracker row",IF(AND(E117="Y",D117&lt;&gt;"do_not_contact"),"do_not_contact = Y but status is "&amp;D117,IF(AND(D117="do_not_contact",E117&lt;&gt;"Y"),"status do_not_contact but do_not_contact is not Y",""))))))</f>
        <v/>
      </c>
      <c r="I117" s="23" t="n">
        <v>96</v>
      </c>
      <c r="J117" s="23" t="str">
        <f aca="false">IFERROR(INDEX(Clay_Brands!$A$2:$FZ$601,I117,$D$5)&amp;"","")</f>
        <v/>
      </c>
      <c r="K117" s="23" t="str">
        <f aca="false">IFERROR(INDEX(Clay_Brands!$A$2:$FZ$601,I117,$D$7)&amp;"","")</f>
        <v/>
      </c>
      <c r="L117" s="23" t="str">
        <f aca="false">IFERROR(INDEX(Clay_Brands!$A$2:$FZ$601,I117,$D$8)&amp;"","")</f>
        <v/>
      </c>
      <c r="M117" s="23" t="str">
        <f aca="false">IF(J117="","",IF(COUNTIF(Brand_Log!$A$2:$A$201,J117)&gt;0,"Y","N"))</f>
        <v/>
      </c>
      <c r="N117" s="34" t="str">
        <f aca="false">IF(OR(J117="",AND(LEFT(J117,6)="SAMPLE",Config!$B$19&lt;&gt;"Y")),"",IF(IFERROR(INDEX(Lists!$K$2:$K$15,MATCH(K117,Lists!$J$2:$J$15,0)),-1)=-1,"status '"&amp;K117&amp;"' is not a CONTRACTS status",IF(AND(K117="paid",COUNTIF(paid_brands!$AC$2:$AC$51,J117)=0),"status paid but no paid_brands row"&amp;IF(M117="N"," and no tracker row",""),IF(AND(IFERROR(INDEX(Lists!$K$2:$K$15,MATCH(K117,Lists!$J$2:$J$15,0)),-1)&gt;=6,M117="N"),"status "&amp;K117&amp;" but no tracker row",IF(AND(L117="Y",K117&lt;&gt;"do_not_contact"),"do_not_contact = Y but status is "&amp;K117,IF(AND(K117="do_not_contact",L117&lt;&gt;"Y"),"status do_not_contact but do_not_contact is not Y",""))))))</f>
        <v/>
      </c>
    </row>
    <row r="118" customFormat="false" ht="15" hidden="false" customHeight="false" outlineLevel="0" collapsed="false">
      <c r="B118" s="23" t="n">
        <v>97</v>
      </c>
      <c r="C118" s="23" t="str">
        <f aca="false">IFERROR(INDEX(Clay_Offices!$A$2:$FZ$601,B118,$C$5)&amp;"","")</f>
        <v/>
      </c>
      <c r="D118" s="23" t="str">
        <f aca="false">IFERROR(INDEX(Clay_Offices!$A$2:$FZ$601,B118,$C$7)&amp;"","")</f>
        <v/>
      </c>
      <c r="E118" s="23" t="str">
        <f aca="false">IFERROR(INDEX(Clay_Offices!$A$2:$FZ$601,B118,$C$8)&amp;"","")</f>
        <v/>
      </c>
      <c r="F118" s="23" t="str">
        <f aca="false">IF(C118="","",IF(COUNTIF(Office_Log!$A$2:$A$201,C118)&gt;0,"Y","N"))</f>
        <v/>
      </c>
      <c r="G118" s="34" t="str">
        <f aca="false">IF(OR(C118="",AND(LEFT(C118,6)="SAMPLE",Config!$B$19&lt;&gt;"Y")),"",IF(IFERROR(INDEX(Lists!$K$2:$K$15,MATCH(D118,Lists!$J$2:$J$15,0)),-1)=-1,"status '"&amp;D118&amp;"' is not a CONTRACTS status",IF(AND(D118="signed",COUNTIF(signed_offices!$W$2:$W$51,C118)=0),"status signed but no signed_offices row"&amp;IF(F118="N"," and no tracker row",""),IF(AND(IFERROR(INDEX(Lists!$K$2:$K$15,MATCH(D118,Lists!$J$2:$J$15,0)),-1)&gt;=6,F118="N"),"status "&amp;D118&amp;" but no tracker row",IF(AND(E118="Y",D118&lt;&gt;"do_not_contact"),"do_not_contact = Y but status is "&amp;D118,IF(AND(D118="do_not_contact",E118&lt;&gt;"Y"),"status do_not_contact but do_not_contact is not Y",""))))))</f>
        <v/>
      </c>
      <c r="I118" s="23" t="n">
        <v>97</v>
      </c>
      <c r="J118" s="23" t="str">
        <f aca="false">IFERROR(INDEX(Clay_Brands!$A$2:$FZ$601,I118,$D$5)&amp;"","")</f>
        <v/>
      </c>
      <c r="K118" s="23" t="str">
        <f aca="false">IFERROR(INDEX(Clay_Brands!$A$2:$FZ$601,I118,$D$7)&amp;"","")</f>
        <v/>
      </c>
      <c r="L118" s="23" t="str">
        <f aca="false">IFERROR(INDEX(Clay_Brands!$A$2:$FZ$601,I118,$D$8)&amp;"","")</f>
        <v/>
      </c>
      <c r="M118" s="23" t="str">
        <f aca="false">IF(J118="","",IF(COUNTIF(Brand_Log!$A$2:$A$201,J118)&gt;0,"Y","N"))</f>
        <v/>
      </c>
      <c r="N118" s="34" t="str">
        <f aca="false">IF(OR(J118="",AND(LEFT(J118,6)="SAMPLE",Config!$B$19&lt;&gt;"Y")),"",IF(IFERROR(INDEX(Lists!$K$2:$K$15,MATCH(K118,Lists!$J$2:$J$15,0)),-1)=-1,"status '"&amp;K118&amp;"' is not a CONTRACTS status",IF(AND(K118="paid",COUNTIF(paid_brands!$AC$2:$AC$51,J118)=0),"status paid but no paid_brands row"&amp;IF(M118="N"," and no tracker row",""),IF(AND(IFERROR(INDEX(Lists!$K$2:$K$15,MATCH(K118,Lists!$J$2:$J$15,0)),-1)&gt;=6,M118="N"),"status "&amp;K118&amp;" but no tracker row",IF(AND(L118="Y",K118&lt;&gt;"do_not_contact"),"do_not_contact = Y but status is "&amp;K118,IF(AND(K118="do_not_contact",L118&lt;&gt;"Y"),"status do_not_contact but do_not_contact is not Y",""))))))</f>
        <v/>
      </c>
    </row>
    <row r="119" customFormat="false" ht="15" hidden="false" customHeight="false" outlineLevel="0" collapsed="false">
      <c r="B119" s="23" t="n">
        <v>98</v>
      </c>
      <c r="C119" s="23" t="str">
        <f aca="false">IFERROR(INDEX(Clay_Offices!$A$2:$FZ$601,B119,$C$5)&amp;"","")</f>
        <v/>
      </c>
      <c r="D119" s="23" t="str">
        <f aca="false">IFERROR(INDEX(Clay_Offices!$A$2:$FZ$601,B119,$C$7)&amp;"","")</f>
        <v/>
      </c>
      <c r="E119" s="23" t="str">
        <f aca="false">IFERROR(INDEX(Clay_Offices!$A$2:$FZ$601,B119,$C$8)&amp;"","")</f>
        <v/>
      </c>
      <c r="F119" s="23" t="str">
        <f aca="false">IF(C119="","",IF(COUNTIF(Office_Log!$A$2:$A$201,C119)&gt;0,"Y","N"))</f>
        <v/>
      </c>
      <c r="G119" s="34" t="str">
        <f aca="false">IF(OR(C119="",AND(LEFT(C119,6)="SAMPLE",Config!$B$19&lt;&gt;"Y")),"",IF(IFERROR(INDEX(Lists!$K$2:$K$15,MATCH(D119,Lists!$J$2:$J$15,0)),-1)=-1,"status '"&amp;D119&amp;"' is not a CONTRACTS status",IF(AND(D119="signed",COUNTIF(signed_offices!$W$2:$W$51,C119)=0),"status signed but no signed_offices row"&amp;IF(F119="N"," and no tracker row",""),IF(AND(IFERROR(INDEX(Lists!$K$2:$K$15,MATCH(D119,Lists!$J$2:$J$15,0)),-1)&gt;=6,F119="N"),"status "&amp;D119&amp;" but no tracker row",IF(AND(E119="Y",D119&lt;&gt;"do_not_contact"),"do_not_contact = Y but status is "&amp;D119,IF(AND(D119="do_not_contact",E119&lt;&gt;"Y"),"status do_not_contact but do_not_contact is not Y",""))))))</f>
        <v/>
      </c>
      <c r="I119" s="23" t="n">
        <v>98</v>
      </c>
      <c r="J119" s="23" t="str">
        <f aca="false">IFERROR(INDEX(Clay_Brands!$A$2:$FZ$601,I119,$D$5)&amp;"","")</f>
        <v/>
      </c>
      <c r="K119" s="23" t="str">
        <f aca="false">IFERROR(INDEX(Clay_Brands!$A$2:$FZ$601,I119,$D$7)&amp;"","")</f>
        <v/>
      </c>
      <c r="L119" s="23" t="str">
        <f aca="false">IFERROR(INDEX(Clay_Brands!$A$2:$FZ$601,I119,$D$8)&amp;"","")</f>
        <v/>
      </c>
      <c r="M119" s="23" t="str">
        <f aca="false">IF(J119="","",IF(COUNTIF(Brand_Log!$A$2:$A$201,J119)&gt;0,"Y","N"))</f>
        <v/>
      </c>
      <c r="N119" s="34" t="str">
        <f aca="false">IF(OR(J119="",AND(LEFT(J119,6)="SAMPLE",Config!$B$19&lt;&gt;"Y")),"",IF(IFERROR(INDEX(Lists!$K$2:$K$15,MATCH(K119,Lists!$J$2:$J$15,0)),-1)=-1,"status '"&amp;K119&amp;"' is not a CONTRACTS status",IF(AND(K119="paid",COUNTIF(paid_brands!$AC$2:$AC$51,J119)=0),"status paid but no paid_brands row"&amp;IF(M119="N"," and no tracker row",""),IF(AND(IFERROR(INDEX(Lists!$K$2:$K$15,MATCH(K119,Lists!$J$2:$J$15,0)),-1)&gt;=6,M119="N"),"status "&amp;K119&amp;" but no tracker row",IF(AND(L119="Y",K119&lt;&gt;"do_not_contact"),"do_not_contact = Y but status is "&amp;K119,IF(AND(K119="do_not_contact",L119&lt;&gt;"Y"),"status do_not_contact but do_not_contact is not Y",""))))))</f>
        <v/>
      </c>
    </row>
    <row r="120" customFormat="false" ht="15" hidden="false" customHeight="false" outlineLevel="0" collapsed="false">
      <c r="B120" s="23" t="n">
        <v>99</v>
      </c>
      <c r="C120" s="23" t="str">
        <f aca="false">IFERROR(INDEX(Clay_Offices!$A$2:$FZ$601,B120,$C$5)&amp;"","")</f>
        <v/>
      </c>
      <c r="D120" s="23" t="str">
        <f aca="false">IFERROR(INDEX(Clay_Offices!$A$2:$FZ$601,B120,$C$7)&amp;"","")</f>
        <v/>
      </c>
      <c r="E120" s="23" t="str">
        <f aca="false">IFERROR(INDEX(Clay_Offices!$A$2:$FZ$601,B120,$C$8)&amp;"","")</f>
        <v/>
      </c>
      <c r="F120" s="23" t="str">
        <f aca="false">IF(C120="","",IF(COUNTIF(Office_Log!$A$2:$A$201,C120)&gt;0,"Y","N"))</f>
        <v/>
      </c>
      <c r="G120" s="34" t="str">
        <f aca="false">IF(OR(C120="",AND(LEFT(C120,6)="SAMPLE",Config!$B$19&lt;&gt;"Y")),"",IF(IFERROR(INDEX(Lists!$K$2:$K$15,MATCH(D120,Lists!$J$2:$J$15,0)),-1)=-1,"status '"&amp;D120&amp;"' is not a CONTRACTS status",IF(AND(D120="signed",COUNTIF(signed_offices!$W$2:$W$51,C120)=0),"status signed but no signed_offices row"&amp;IF(F120="N"," and no tracker row",""),IF(AND(IFERROR(INDEX(Lists!$K$2:$K$15,MATCH(D120,Lists!$J$2:$J$15,0)),-1)&gt;=6,F120="N"),"status "&amp;D120&amp;" but no tracker row",IF(AND(E120="Y",D120&lt;&gt;"do_not_contact"),"do_not_contact = Y but status is "&amp;D120,IF(AND(D120="do_not_contact",E120&lt;&gt;"Y"),"status do_not_contact but do_not_contact is not Y",""))))))</f>
        <v/>
      </c>
      <c r="I120" s="23" t="n">
        <v>99</v>
      </c>
      <c r="J120" s="23" t="str">
        <f aca="false">IFERROR(INDEX(Clay_Brands!$A$2:$FZ$601,I120,$D$5)&amp;"","")</f>
        <v/>
      </c>
      <c r="K120" s="23" t="str">
        <f aca="false">IFERROR(INDEX(Clay_Brands!$A$2:$FZ$601,I120,$D$7)&amp;"","")</f>
        <v/>
      </c>
      <c r="L120" s="23" t="str">
        <f aca="false">IFERROR(INDEX(Clay_Brands!$A$2:$FZ$601,I120,$D$8)&amp;"","")</f>
        <v/>
      </c>
      <c r="M120" s="23" t="str">
        <f aca="false">IF(J120="","",IF(COUNTIF(Brand_Log!$A$2:$A$201,J120)&gt;0,"Y","N"))</f>
        <v/>
      </c>
      <c r="N120" s="34" t="str">
        <f aca="false">IF(OR(J120="",AND(LEFT(J120,6)="SAMPLE",Config!$B$19&lt;&gt;"Y")),"",IF(IFERROR(INDEX(Lists!$K$2:$K$15,MATCH(K120,Lists!$J$2:$J$15,0)),-1)=-1,"status '"&amp;K120&amp;"' is not a CONTRACTS status",IF(AND(K120="paid",COUNTIF(paid_brands!$AC$2:$AC$51,J120)=0),"status paid but no paid_brands row"&amp;IF(M120="N"," and no tracker row",""),IF(AND(IFERROR(INDEX(Lists!$K$2:$K$15,MATCH(K120,Lists!$J$2:$J$15,0)),-1)&gt;=6,M120="N"),"status "&amp;K120&amp;" but no tracker row",IF(AND(L120="Y",K120&lt;&gt;"do_not_contact"),"do_not_contact = Y but status is "&amp;K120,IF(AND(K120="do_not_contact",L120&lt;&gt;"Y"),"status do_not_contact but do_not_contact is not Y",""))))))</f>
        <v/>
      </c>
    </row>
    <row r="121" customFormat="false" ht="15" hidden="false" customHeight="false" outlineLevel="0" collapsed="false">
      <c r="B121" s="23" t="n">
        <v>100</v>
      </c>
      <c r="C121" s="23" t="str">
        <f aca="false">IFERROR(INDEX(Clay_Offices!$A$2:$FZ$601,B121,$C$5)&amp;"","")</f>
        <v/>
      </c>
      <c r="D121" s="23" t="str">
        <f aca="false">IFERROR(INDEX(Clay_Offices!$A$2:$FZ$601,B121,$C$7)&amp;"","")</f>
        <v/>
      </c>
      <c r="E121" s="23" t="str">
        <f aca="false">IFERROR(INDEX(Clay_Offices!$A$2:$FZ$601,B121,$C$8)&amp;"","")</f>
        <v/>
      </c>
      <c r="F121" s="23" t="str">
        <f aca="false">IF(C121="","",IF(COUNTIF(Office_Log!$A$2:$A$201,C121)&gt;0,"Y","N"))</f>
        <v/>
      </c>
      <c r="G121" s="34" t="str">
        <f aca="false">IF(OR(C121="",AND(LEFT(C121,6)="SAMPLE",Config!$B$19&lt;&gt;"Y")),"",IF(IFERROR(INDEX(Lists!$K$2:$K$15,MATCH(D121,Lists!$J$2:$J$15,0)),-1)=-1,"status '"&amp;D121&amp;"' is not a CONTRACTS status",IF(AND(D121="signed",COUNTIF(signed_offices!$W$2:$W$51,C121)=0),"status signed but no signed_offices row"&amp;IF(F121="N"," and no tracker row",""),IF(AND(IFERROR(INDEX(Lists!$K$2:$K$15,MATCH(D121,Lists!$J$2:$J$15,0)),-1)&gt;=6,F121="N"),"status "&amp;D121&amp;" but no tracker row",IF(AND(E121="Y",D121&lt;&gt;"do_not_contact"),"do_not_contact = Y but status is "&amp;D121,IF(AND(D121="do_not_contact",E121&lt;&gt;"Y"),"status do_not_contact but do_not_contact is not Y",""))))))</f>
        <v/>
      </c>
      <c r="I121" s="23" t="n">
        <v>100</v>
      </c>
      <c r="J121" s="23" t="str">
        <f aca="false">IFERROR(INDEX(Clay_Brands!$A$2:$FZ$601,I121,$D$5)&amp;"","")</f>
        <v/>
      </c>
      <c r="K121" s="23" t="str">
        <f aca="false">IFERROR(INDEX(Clay_Brands!$A$2:$FZ$601,I121,$D$7)&amp;"","")</f>
        <v/>
      </c>
      <c r="L121" s="23" t="str">
        <f aca="false">IFERROR(INDEX(Clay_Brands!$A$2:$FZ$601,I121,$D$8)&amp;"","")</f>
        <v/>
      </c>
      <c r="M121" s="23" t="str">
        <f aca="false">IF(J121="","",IF(COUNTIF(Brand_Log!$A$2:$A$201,J121)&gt;0,"Y","N"))</f>
        <v/>
      </c>
      <c r="N121" s="34" t="str">
        <f aca="false">IF(OR(J121="",AND(LEFT(J121,6)="SAMPLE",Config!$B$19&lt;&gt;"Y")),"",IF(IFERROR(INDEX(Lists!$K$2:$K$15,MATCH(K121,Lists!$J$2:$J$15,0)),-1)=-1,"status '"&amp;K121&amp;"' is not a CONTRACTS status",IF(AND(K121="paid",COUNTIF(paid_brands!$AC$2:$AC$51,J121)=0),"status paid but no paid_brands row"&amp;IF(M121="N"," and no tracker row",""),IF(AND(IFERROR(INDEX(Lists!$K$2:$K$15,MATCH(K121,Lists!$J$2:$J$15,0)),-1)&gt;=6,M121="N"),"status "&amp;K121&amp;" but no tracker row",IF(AND(L121="Y",K121&lt;&gt;"do_not_contact"),"do_not_contact = Y but status is "&amp;K121,IF(AND(K121="do_not_contact",L121&lt;&gt;"Y"),"status do_not_contact but do_not_contact is not Y",""))))))</f>
        <v/>
      </c>
    </row>
    <row r="122" customFormat="false" ht="15" hidden="false" customHeight="false" outlineLevel="0" collapsed="false">
      <c r="B122" s="23" t="n">
        <v>101</v>
      </c>
      <c r="C122" s="23" t="str">
        <f aca="false">IFERROR(INDEX(Clay_Offices!$A$2:$FZ$601,B122,$C$5)&amp;"","")</f>
        <v/>
      </c>
      <c r="D122" s="23" t="str">
        <f aca="false">IFERROR(INDEX(Clay_Offices!$A$2:$FZ$601,B122,$C$7)&amp;"","")</f>
        <v/>
      </c>
      <c r="E122" s="23" t="str">
        <f aca="false">IFERROR(INDEX(Clay_Offices!$A$2:$FZ$601,B122,$C$8)&amp;"","")</f>
        <v/>
      </c>
      <c r="F122" s="23" t="str">
        <f aca="false">IF(C122="","",IF(COUNTIF(Office_Log!$A$2:$A$201,C122)&gt;0,"Y","N"))</f>
        <v/>
      </c>
      <c r="G122" s="34" t="str">
        <f aca="false">IF(OR(C122="",AND(LEFT(C122,6)="SAMPLE",Config!$B$19&lt;&gt;"Y")),"",IF(IFERROR(INDEX(Lists!$K$2:$K$15,MATCH(D122,Lists!$J$2:$J$15,0)),-1)=-1,"status '"&amp;D122&amp;"' is not a CONTRACTS status",IF(AND(D122="signed",COUNTIF(signed_offices!$W$2:$W$51,C122)=0),"status signed but no signed_offices row"&amp;IF(F122="N"," and no tracker row",""),IF(AND(IFERROR(INDEX(Lists!$K$2:$K$15,MATCH(D122,Lists!$J$2:$J$15,0)),-1)&gt;=6,F122="N"),"status "&amp;D122&amp;" but no tracker row",IF(AND(E122="Y",D122&lt;&gt;"do_not_contact"),"do_not_contact = Y but status is "&amp;D122,IF(AND(D122="do_not_contact",E122&lt;&gt;"Y"),"status do_not_contact but do_not_contact is not Y",""))))))</f>
        <v/>
      </c>
      <c r="I122" s="23" t="n">
        <v>101</v>
      </c>
      <c r="J122" s="23" t="str">
        <f aca="false">IFERROR(INDEX(Clay_Brands!$A$2:$FZ$601,I122,$D$5)&amp;"","")</f>
        <v/>
      </c>
      <c r="K122" s="23" t="str">
        <f aca="false">IFERROR(INDEX(Clay_Brands!$A$2:$FZ$601,I122,$D$7)&amp;"","")</f>
        <v/>
      </c>
      <c r="L122" s="23" t="str">
        <f aca="false">IFERROR(INDEX(Clay_Brands!$A$2:$FZ$601,I122,$D$8)&amp;"","")</f>
        <v/>
      </c>
      <c r="M122" s="23" t="str">
        <f aca="false">IF(J122="","",IF(COUNTIF(Brand_Log!$A$2:$A$201,J122)&gt;0,"Y","N"))</f>
        <v/>
      </c>
      <c r="N122" s="34" t="str">
        <f aca="false">IF(OR(J122="",AND(LEFT(J122,6)="SAMPLE",Config!$B$19&lt;&gt;"Y")),"",IF(IFERROR(INDEX(Lists!$K$2:$K$15,MATCH(K122,Lists!$J$2:$J$15,0)),-1)=-1,"status '"&amp;K122&amp;"' is not a CONTRACTS status",IF(AND(K122="paid",COUNTIF(paid_brands!$AC$2:$AC$51,J122)=0),"status paid but no paid_brands row"&amp;IF(M122="N"," and no tracker row",""),IF(AND(IFERROR(INDEX(Lists!$K$2:$K$15,MATCH(K122,Lists!$J$2:$J$15,0)),-1)&gt;=6,M122="N"),"status "&amp;K122&amp;" but no tracker row",IF(AND(L122="Y",K122&lt;&gt;"do_not_contact"),"do_not_contact = Y but status is "&amp;K122,IF(AND(K122="do_not_contact",L122&lt;&gt;"Y"),"status do_not_contact but do_not_contact is not Y",""))))))</f>
        <v/>
      </c>
    </row>
    <row r="123" customFormat="false" ht="15" hidden="false" customHeight="false" outlineLevel="0" collapsed="false">
      <c r="B123" s="23" t="n">
        <v>102</v>
      </c>
      <c r="C123" s="23" t="str">
        <f aca="false">IFERROR(INDEX(Clay_Offices!$A$2:$FZ$601,B123,$C$5)&amp;"","")</f>
        <v/>
      </c>
      <c r="D123" s="23" t="str">
        <f aca="false">IFERROR(INDEX(Clay_Offices!$A$2:$FZ$601,B123,$C$7)&amp;"","")</f>
        <v/>
      </c>
      <c r="E123" s="23" t="str">
        <f aca="false">IFERROR(INDEX(Clay_Offices!$A$2:$FZ$601,B123,$C$8)&amp;"","")</f>
        <v/>
      </c>
      <c r="F123" s="23" t="str">
        <f aca="false">IF(C123="","",IF(COUNTIF(Office_Log!$A$2:$A$201,C123)&gt;0,"Y","N"))</f>
        <v/>
      </c>
      <c r="G123" s="34" t="str">
        <f aca="false">IF(OR(C123="",AND(LEFT(C123,6)="SAMPLE",Config!$B$19&lt;&gt;"Y")),"",IF(IFERROR(INDEX(Lists!$K$2:$K$15,MATCH(D123,Lists!$J$2:$J$15,0)),-1)=-1,"status '"&amp;D123&amp;"' is not a CONTRACTS status",IF(AND(D123="signed",COUNTIF(signed_offices!$W$2:$W$51,C123)=0),"status signed but no signed_offices row"&amp;IF(F123="N"," and no tracker row",""),IF(AND(IFERROR(INDEX(Lists!$K$2:$K$15,MATCH(D123,Lists!$J$2:$J$15,0)),-1)&gt;=6,F123="N"),"status "&amp;D123&amp;" but no tracker row",IF(AND(E123="Y",D123&lt;&gt;"do_not_contact"),"do_not_contact = Y but status is "&amp;D123,IF(AND(D123="do_not_contact",E123&lt;&gt;"Y"),"status do_not_contact but do_not_contact is not Y",""))))))</f>
        <v/>
      </c>
      <c r="I123" s="23" t="n">
        <v>102</v>
      </c>
      <c r="J123" s="23" t="str">
        <f aca="false">IFERROR(INDEX(Clay_Brands!$A$2:$FZ$601,I123,$D$5)&amp;"","")</f>
        <v/>
      </c>
      <c r="K123" s="23" t="str">
        <f aca="false">IFERROR(INDEX(Clay_Brands!$A$2:$FZ$601,I123,$D$7)&amp;"","")</f>
        <v/>
      </c>
      <c r="L123" s="23" t="str">
        <f aca="false">IFERROR(INDEX(Clay_Brands!$A$2:$FZ$601,I123,$D$8)&amp;"","")</f>
        <v/>
      </c>
      <c r="M123" s="23" t="str">
        <f aca="false">IF(J123="","",IF(COUNTIF(Brand_Log!$A$2:$A$201,J123)&gt;0,"Y","N"))</f>
        <v/>
      </c>
      <c r="N123" s="34" t="str">
        <f aca="false">IF(OR(J123="",AND(LEFT(J123,6)="SAMPLE",Config!$B$19&lt;&gt;"Y")),"",IF(IFERROR(INDEX(Lists!$K$2:$K$15,MATCH(K123,Lists!$J$2:$J$15,0)),-1)=-1,"status '"&amp;K123&amp;"' is not a CONTRACTS status",IF(AND(K123="paid",COUNTIF(paid_brands!$AC$2:$AC$51,J123)=0),"status paid but no paid_brands row"&amp;IF(M123="N"," and no tracker row",""),IF(AND(IFERROR(INDEX(Lists!$K$2:$K$15,MATCH(K123,Lists!$J$2:$J$15,0)),-1)&gt;=6,M123="N"),"status "&amp;K123&amp;" but no tracker row",IF(AND(L123="Y",K123&lt;&gt;"do_not_contact"),"do_not_contact = Y but status is "&amp;K123,IF(AND(K123="do_not_contact",L123&lt;&gt;"Y"),"status do_not_contact but do_not_contact is not Y",""))))))</f>
        <v/>
      </c>
    </row>
    <row r="124" customFormat="false" ht="15" hidden="false" customHeight="false" outlineLevel="0" collapsed="false">
      <c r="B124" s="23" t="n">
        <v>103</v>
      </c>
      <c r="C124" s="23" t="str">
        <f aca="false">IFERROR(INDEX(Clay_Offices!$A$2:$FZ$601,B124,$C$5)&amp;"","")</f>
        <v/>
      </c>
      <c r="D124" s="23" t="str">
        <f aca="false">IFERROR(INDEX(Clay_Offices!$A$2:$FZ$601,B124,$C$7)&amp;"","")</f>
        <v/>
      </c>
      <c r="E124" s="23" t="str">
        <f aca="false">IFERROR(INDEX(Clay_Offices!$A$2:$FZ$601,B124,$C$8)&amp;"","")</f>
        <v/>
      </c>
      <c r="F124" s="23" t="str">
        <f aca="false">IF(C124="","",IF(COUNTIF(Office_Log!$A$2:$A$201,C124)&gt;0,"Y","N"))</f>
        <v/>
      </c>
      <c r="G124" s="34" t="str">
        <f aca="false">IF(OR(C124="",AND(LEFT(C124,6)="SAMPLE",Config!$B$19&lt;&gt;"Y")),"",IF(IFERROR(INDEX(Lists!$K$2:$K$15,MATCH(D124,Lists!$J$2:$J$15,0)),-1)=-1,"status '"&amp;D124&amp;"' is not a CONTRACTS status",IF(AND(D124="signed",COUNTIF(signed_offices!$W$2:$W$51,C124)=0),"status signed but no signed_offices row"&amp;IF(F124="N"," and no tracker row",""),IF(AND(IFERROR(INDEX(Lists!$K$2:$K$15,MATCH(D124,Lists!$J$2:$J$15,0)),-1)&gt;=6,F124="N"),"status "&amp;D124&amp;" but no tracker row",IF(AND(E124="Y",D124&lt;&gt;"do_not_contact"),"do_not_contact = Y but status is "&amp;D124,IF(AND(D124="do_not_contact",E124&lt;&gt;"Y"),"status do_not_contact but do_not_contact is not Y",""))))))</f>
        <v/>
      </c>
      <c r="I124" s="23" t="n">
        <v>103</v>
      </c>
      <c r="J124" s="23" t="str">
        <f aca="false">IFERROR(INDEX(Clay_Brands!$A$2:$FZ$601,I124,$D$5)&amp;"","")</f>
        <v/>
      </c>
      <c r="K124" s="23" t="str">
        <f aca="false">IFERROR(INDEX(Clay_Brands!$A$2:$FZ$601,I124,$D$7)&amp;"","")</f>
        <v/>
      </c>
      <c r="L124" s="23" t="str">
        <f aca="false">IFERROR(INDEX(Clay_Brands!$A$2:$FZ$601,I124,$D$8)&amp;"","")</f>
        <v/>
      </c>
      <c r="M124" s="23" t="str">
        <f aca="false">IF(J124="","",IF(COUNTIF(Brand_Log!$A$2:$A$201,J124)&gt;0,"Y","N"))</f>
        <v/>
      </c>
      <c r="N124" s="34" t="str">
        <f aca="false">IF(OR(J124="",AND(LEFT(J124,6)="SAMPLE",Config!$B$19&lt;&gt;"Y")),"",IF(IFERROR(INDEX(Lists!$K$2:$K$15,MATCH(K124,Lists!$J$2:$J$15,0)),-1)=-1,"status '"&amp;K124&amp;"' is not a CONTRACTS status",IF(AND(K124="paid",COUNTIF(paid_brands!$AC$2:$AC$51,J124)=0),"status paid but no paid_brands row"&amp;IF(M124="N"," and no tracker row",""),IF(AND(IFERROR(INDEX(Lists!$K$2:$K$15,MATCH(K124,Lists!$J$2:$J$15,0)),-1)&gt;=6,M124="N"),"status "&amp;K124&amp;" but no tracker row",IF(AND(L124="Y",K124&lt;&gt;"do_not_contact"),"do_not_contact = Y but status is "&amp;K124,IF(AND(K124="do_not_contact",L124&lt;&gt;"Y"),"status do_not_contact but do_not_contact is not Y",""))))))</f>
        <v/>
      </c>
    </row>
    <row r="125" customFormat="false" ht="15" hidden="false" customHeight="false" outlineLevel="0" collapsed="false">
      <c r="B125" s="23" t="n">
        <v>104</v>
      </c>
      <c r="C125" s="23" t="str">
        <f aca="false">IFERROR(INDEX(Clay_Offices!$A$2:$FZ$601,B125,$C$5)&amp;"","")</f>
        <v/>
      </c>
      <c r="D125" s="23" t="str">
        <f aca="false">IFERROR(INDEX(Clay_Offices!$A$2:$FZ$601,B125,$C$7)&amp;"","")</f>
        <v/>
      </c>
      <c r="E125" s="23" t="str">
        <f aca="false">IFERROR(INDEX(Clay_Offices!$A$2:$FZ$601,B125,$C$8)&amp;"","")</f>
        <v/>
      </c>
      <c r="F125" s="23" t="str">
        <f aca="false">IF(C125="","",IF(COUNTIF(Office_Log!$A$2:$A$201,C125)&gt;0,"Y","N"))</f>
        <v/>
      </c>
      <c r="G125" s="34" t="str">
        <f aca="false">IF(OR(C125="",AND(LEFT(C125,6)="SAMPLE",Config!$B$19&lt;&gt;"Y")),"",IF(IFERROR(INDEX(Lists!$K$2:$K$15,MATCH(D125,Lists!$J$2:$J$15,0)),-1)=-1,"status '"&amp;D125&amp;"' is not a CONTRACTS status",IF(AND(D125="signed",COUNTIF(signed_offices!$W$2:$W$51,C125)=0),"status signed but no signed_offices row"&amp;IF(F125="N"," and no tracker row",""),IF(AND(IFERROR(INDEX(Lists!$K$2:$K$15,MATCH(D125,Lists!$J$2:$J$15,0)),-1)&gt;=6,F125="N"),"status "&amp;D125&amp;" but no tracker row",IF(AND(E125="Y",D125&lt;&gt;"do_not_contact"),"do_not_contact = Y but status is "&amp;D125,IF(AND(D125="do_not_contact",E125&lt;&gt;"Y"),"status do_not_contact but do_not_contact is not Y",""))))))</f>
        <v/>
      </c>
      <c r="I125" s="23" t="n">
        <v>104</v>
      </c>
      <c r="J125" s="23" t="str">
        <f aca="false">IFERROR(INDEX(Clay_Brands!$A$2:$FZ$601,I125,$D$5)&amp;"","")</f>
        <v/>
      </c>
      <c r="K125" s="23" t="str">
        <f aca="false">IFERROR(INDEX(Clay_Brands!$A$2:$FZ$601,I125,$D$7)&amp;"","")</f>
        <v/>
      </c>
      <c r="L125" s="23" t="str">
        <f aca="false">IFERROR(INDEX(Clay_Brands!$A$2:$FZ$601,I125,$D$8)&amp;"","")</f>
        <v/>
      </c>
      <c r="M125" s="23" t="str">
        <f aca="false">IF(J125="","",IF(COUNTIF(Brand_Log!$A$2:$A$201,J125)&gt;0,"Y","N"))</f>
        <v/>
      </c>
      <c r="N125" s="34" t="str">
        <f aca="false">IF(OR(J125="",AND(LEFT(J125,6)="SAMPLE",Config!$B$19&lt;&gt;"Y")),"",IF(IFERROR(INDEX(Lists!$K$2:$K$15,MATCH(K125,Lists!$J$2:$J$15,0)),-1)=-1,"status '"&amp;K125&amp;"' is not a CONTRACTS status",IF(AND(K125="paid",COUNTIF(paid_brands!$AC$2:$AC$51,J125)=0),"status paid but no paid_brands row"&amp;IF(M125="N"," and no tracker row",""),IF(AND(IFERROR(INDEX(Lists!$K$2:$K$15,MATCH(K125,Lists!$J$2:$J$15,0)),-1)&gt;=6,M125="N"),"status "&amp;K125&amp;" but no tracker row",IF(AND(L125="Y",K125&lt;&gt;"do_not_contact"),"do_not_contact = Y but status is "&amp;K125,IF(AND(K125="do_not_contact",L125&lt;&gt;"Y"),"status do_not_contact but do_not_contact is not Y",""))))))</f>
        <v/>
      </c>
    </row>
    <row r="126" customFormat="false" ht="15" hidden="false" customHeight="false" outlineLevel="0" collapsed="false">
      <c r="B126" s="23" t="n">
        <v>105</v>
      </c>
      <c r="C126" s="23" t="str">
        <f aca="false">IFERROR(INDEX(Clay_Offices!$A$2:$FZ$601,B126,$C$5)&amp;"","")</f>
        <v/>
      </c>
      <c r="D126" s="23" t="str">
        <f aca="false">IFERROR(INDEX(Clay_Offices!$A$2:$FZ$601,B126,$C$7)&amp;"","")</f>
        <v/>
      </c>
      <c r="E126" s="23" t="str">
        <f aca="false">IFERROR(INDEX(Clay_Offices!$A$2:$FZ$601,B126,$C$8)&amp;"","")</f>
        <v/>
      </c>
      <c r="F126" s="23" t="str">
        <f aca="false">IF(C126="","",IF(COUNTIF(Office_Log!$A$2:$A$201,C126)&gt;0,"Y","N"))</f>
        <v/>
      </c>
      <c r="G126" s="34" t="str">
        <f aca="false">IF(OR(C126="",AND(LEFT(C126,6)="SAMPLE",Config!$B$19&lt;&gt;"Y")),"",IF(IFERROR(INDEX(Lists!$K$2:$K$15,MATCH(D126,Lists!$J$2:$J$15,0)),-1)=-1,"status '"&amp;D126&amp;"' is not a CONTRACTS status",IF(AND(D126="signed",COUNTIF(signed_offices!$W$2:$W$51,C126)=0),"status signed but no signed_offices row"&amp;IF(F126="N"," and no tracker row",""),IF(AND(IFERROR(INDEX(Lists!$K$2:$K$15,MATCH(D126,Lists!$J$2:$J$15,0)),-1)&gt;=6,F126="N"),"status "&amp;D126&amp;" but no tracker row",IF(AND(E126="Y",D126&lt;&gt;"do_not_contact"),"do_not_contact = Y but status is "&amp;D126,IF(AND(D126="do_not_contact",E126&lt;&gt;"Y"),"status do_not_contact but do_not_contact is not Y",""))))))</f>
        <v/>
      </c>
      <c r="I126" s="23" t="n">
        <v>105</v>
      </c>
      <c r="J126" s="23" t="str">
        <f aca="false">IFERROR(INDEX(Clay_Brands!$A$2:$FZ$601,I126,$D$5)&amp;"","")</f>
        <v/>
      </c>
      <c r="K126" s="23" t="str">
        <f aca="false">IFERROR(INDEX(Clay_Brands!$A$2:$FZ$601,I126,$D$7)&amp;"","")</f>
        <v/>
      </c>
      <c r="L126" s="23" t="str">
        <f aca="false">IFERROR(INDEX(Clay_Brands!$A$2:$FZ$601,I126,$D$8)&amp;"","")</f>
        <v/>
      </c>
      <c r="M126" s="23" t="str">
        <f aca="false">IF(J126="","",IF(COUNTIF(Brand_Log!$A$2:$A$201,J126)&gt;0,"Y","N"))</f>
        <v/>
      </c>
      <c r="N126" s="34" t="str">
        <f aca="false">IF(OR(J126="",AND(LEFT(J126,6)="SAMPLE",Config!$B$19&lt;&gt;"Y")),"",IF(IFERROR(INDEX(Lists!$K$2:$K$15,MATCH(K126,Lists!$J$2:$J$15,0)),-1)=-1,"status '"&amp;K126&amp;"' is not a CONTRACTS status",IF(AND(K126="paid",COUNTIF(paid_brands!$AC$2:$AC$51,J126)=0),"status paid but no paid_brands row"&amp;IF(M126="N"," and no tracker row",""),IF(AND(IFERROR(INDEX(Lists!$K$2:$K$15,MATCH(K126,Lists!$J$2:$J$15,0)),-1)&gt;=6,M126="N"),"status "&amp;K126&amp;" but no tracker row",IF(AND(L126="Y",K126&lt;&gt;"do_not_contact"),"do_not_contact = Y but status is "&amp;K126,IF(AND(K126="do_not_contact",L126&lt;&gt;"Y"),"status do_not_contact but do_not_contact is not Y",""))))))</f>
        <v/>
      </c>
    </row>
    <row r="127" customFormat="false" ht="15" hidden="false" customHeight="false" outlineLevel="0" collapsed="false">
      <c r="B127" s="23" t="n">
        <v>106</v>
      </c>
      <c r="C127" s="23" t="str">
        <f aca="false">IFERROR(INDEX(Clay_Offices!$A$2:$FZ$601,B127,$C$5)&amp;"","")</f>
        <v/>
      </c>
      <c r="D127" s="23" t="str">
        <f aca="false">IFERROR(INDEX(Clay_Offices!$A$2:$FZ$601,B127,$C$7)&amp;"","")</f>
        <v/>
      </c>
      <c r="E127" s="23" t="str">
        <f aca="false">IFERROR(INDEX(Clay_Offices!$A$2:$FZ$601,B127,$C$8)&amp;"","")</f>
        <v/>
      </c>
      <c r="F127" s="23" t="str">
        <f aca="false">IF(C127="","",IF(COUNTIF(Office_Log!$A$2:$A$201,C127)&gt;0,"Y","N"))</f>
        <v/>
      </c>
      <c r="G127" s="34" t="str">
        <f aca="false">IF(OR(C127="",AND(LEFT(C127,6)="SAMPLE",Config!$B$19&lt;&gt;"Y")),"",IF(IFERROR(INDEX(Lists!$K$2:$K$15,MATCH(D127,Lists!$J$2:$J$15,0)),-1)=-1,"status '"&amp;D127&amp;"' is not a CONTRACTS status",IF(AND(D127="signed",COUNTIF(signed_offices!$W$2:$W$51,C127)=0),"status signed but no signed_offices row"&amp;IF(F127="N"," and no tracker row",""),IF(AND(IFERROR(INDEX(Lists!$K$2:$K$15,MATCH(D127,Lists!$J$2:$J$15,0)),-1)&gt;=6,F127="N"),"status "&amp;D127&amp;" but no tracker row",IF(AND(E127="Y",D127&lt;&gt;"do_not_contact"),"do_not_contact = Y but status is "&amp;D127,IF(AND(D127="do_not_contact",E127&lt;&gt;"Y"),"status do_not_contact but do_not_contact is not Y",""))))))</f>
        <v/>
      </c>
      <c r="I127" s="23" t="n">
        <v>106</v>
      </c>
      <c r="J127" s="23" t="str">
        <f aca="false">IFERROR(INDEX(Clay_Brands!$A$2:$FZ$601,I127,$D$5)&amp;"","")</f>
        <v/>
      </c>
      <c r="K127" s="23" t="str">
        <f aca="false">IFERROR(INDEX(Clay_Brands!$A$2:$FZ$601,I127,$D$7)&amp;"","")</f>
        <v/>
      </c>
      <c r="L127" s="23" t="str">
        <f aca="false">IFERROR(INDEX(Clay_Brands!$A$2:$FZ$601,I127,$D$8)&amp;"","")</f>
        <v/>
      </c>
      <c r="M127" s="23" t="str">
        <f aca="false">IF(J127="","",IF(COUNTIF(Brand_Log!$A$2:$A$201,J127)&gt;0,"Y","N"))</f>
        <v/>
      </c>
      <c r="N127" s="34" t="str">
        <f aca="false">IF(OR(J127="",AND(LEFT(J127,6)="SAMPLE",Config!$B$19&lt;&gt;"Y")),"",IF(IFERROR(INDEX(Lists!$K$2:$K$15,MATCH(K127,Lists!$J$2:$J$15,0)),-1)=-1,"status '"&amp;K127&amp;"' is not a CONTRACTS status",IF(AND(K127="paid",COUNTIF(paid_brands!$AC$2:$AC$51,J127)=0),"status paid but no paid_brands row"&amp;IF(M127="N"," and no tracker row",""),IF(AND(IFERROR(INDEX(Lists!$K$2:$K$15,MATCH(K127,Lists!$J$2:$J$15,0)),-1)&gt;=6,M127="N"),"status "&amp;K127&amp;" but no tracker row",IF(AND(L127="Y",K127&lt;&gt;"do_not_contact"),"do_not_contact = Y but status is "&amp;K127,IF(AND(K127="do_not_contact",L127&lt;&gt;"Y"),"status do_not_contact but do_not_contact is not Y",""))))))</f>
        <v/>
      </c>
    </row>
    <row r="128" customFormat="false" ht="15" hidden="false" customHeight="false" outlineLevel="0" collapsed="false">
      <c r="B128" s="23" t="n">
        <v>107</v>
      </c>
      <c r="C128" s="23" t="str">
        <f aca="false">IFERROR(INDEX(Clay_Offices!$A$2:$FZ$601,B128,$C$5)&amp;"","")</f>
        <v/>
      </c>
      <c r="D128" s="23" t="str">
        <f aca="false">IFERROR(INDEX(Clay_Offices!$A$2:$FZ$601,B128,$C$7)&amp;"","")</f>
        <v/>
      </c>
      <c r="E128" s="23" t="str">
        <f aca="false">IFERROR(INDEX(Clay_Offices!$A$2:$FZ$601,B128,$C$8)&amp;"","")</f>
        <v/>
      </c>
      <c r="F128" s="23" t="str">
        <f aca="false">IF(C128="","",IF(COUNTIF(Office_Log!$A$2:$A$201,C128)&gt;0,"Y","N"))</f>
        <v/>
      </c>
      <c r="G128" s="34" t="str">
        <f aca="false">IF(OR(C128="",AND(LEFT(C128,6)="SAMPLE",Config!$B$19&lt;&gt;"Y")),"",IF(IFERROR(INDEX(Lists!$K$2:$K$15,MATCH(D128,Lists!$J$2:$J$15,0)),-1)=-1,"status '"&amp;D128&amp;"' is not a CONTRACTS status",IF(AND(D128="signed",COUNTIF(signed_offices!$W$2:$W$51,C128)=0),"status signed but no signed_offices row"&amp;IF(F128="N"," and no tracker row",""),IF(AND(IFERROR(INDEX(Lists!$K$2:$K$15,MATCH(D128,Lists!$J$2:$J$15,0)),-1)&gt;=6,F128="N"),"status "&amp;D128&amp;" but no tracker row",IF(AND(E128="Y",D128&lt;&gt;"do_not_contact"),"do_not_contact = Y but status is "&amp;D128,IF(AND(D128="do_not_contact",E128&lt;&gt;"Y"),"status do_not_contact but do_not_contact is not Y",""))))))</f>
        <v/>
      </c>
      <c r="I128" s="23" t="n">
        <v>107</v>
      </c>
      <c r="J128" s="23" t="str">
        <f aca="false">IFERROR(INDEX(Clay_Brands!$A$2:$FZ$601,I128,$D$5)&amp;"","")</f>
        <v/>
      </c>
      <c r="K128" s="23" t="str">
        <f aca="false">IFERROR(INDEX(Clay_Brands!$A$2:$FZ$601,I128,$D$7)&amp;"","")</f>
        <v/>
      </c>
      <c r="L128" s="23" t="str">
        <f aca="false">IFERROR(INDEX(Clay_Brands!$A$2:$FZ$601,I128,$D$8)&amp;"","")</f>
        <v/>
      </c>
      <c r="M128" s="23" t="str">
        <f aca="false">IF(J128="","",IF(COUNTIF(Brand_Log!$A$2:$A$201,J128)&gt;0,"Y","N"))</f>
        <v/>
      </c>
      <c r="N128" s="34" t="str">
        <f aca="false">IF(OR(J128="",AND(LEFT(J128,6)="SAMPLE",Config!$B$19&lt;&gt;"Y")),"",IF(IFERROR(INDEX(Lists!$K$2:$K$15,MATCH(K128,Lists!$J$2:$J$15,0)),-1)=-1,"status '"&amp;K128&amp;"' is not a CONTRACTS status",IF(AND(K128="paid",COUNTIF(paid_brands!$AC$2:$AC$51,J128)=0),"status paid but no paid_brands row"&amp;IF(M128="N"," and no tracker row",""),IF(AND(IFERROR(INDEX(Lists!$K$2:$K$15,MATCH(K128,Lists!$J$2:$J$15,0)),-1)&gt;=6,M128="N"),"status "&amp;K128&amp;" but no tracker row",IF(AND(L128="Y",K128&lt;&gt;"do_not_contact"),"do_not_contact = Y but status is "&amp;K128,IF(AND(K128="do_not_contact",L128&lt;&gt;"Y"),"status do_not_contact but do_not_contact is not Y",""))))))</f>
        <v/>
      </c>
    </row>
    <row r="129" customFormat="false" ht="15" hidden="false" customHeight="false" outlineLevel="0" collapsed="false">
      <c r="B129" s="23" t="n">
        <v>108</v>
      </c>
      <c r="C129" s="23" t="str">
        <f aca="false">IFERROR(INDEX(Clay_Offices!$A$2:$FZ$601,B129,$C$5)&amp;"","")</f>
        <v/>
      </c>
      <c r="D129" s="23" t="str">
        <f aca="false">IFERROR(INDEX(Clay_Offices!$A$2:$FZ$601,B129,$C$7)&amp;"","")</f>
        <v/>
      </c>
      <c r="E129" s="23" t="str">
        <f aca="false">IFERROR(INDEX(Clay_Offices!$A$2:$FZ$601,B129,$C$8)&amp;"","")</f>
        <v/>
      </c>
      <c r="F129" s="23" t="str">
        <f aca="false">IF(C129="","",IF(COUNTIF(Office_Log!$A$2:$A$201,C129)&gt;0,"Y","N"))</f>
        <v/>
      </c>
      <c r="G129" s="34" t="str">
        <f aca="false">IF(OR(C129="",AND(LEFT(C129,6)="SAMPLE",Config!$B$19&lt;&gt;"Y")),"",IF(IFERROR(INDEX(Lists!$K$2:$K$15,MATCH(D129,Lists!$J$2:$J$15,0)),-1)=-1,"status '"&amp;D129&amp;"' is not a CONTRACTS status",IF(AND(D129="signed",COUNTIF(signed_offices!$W$2:$W$51,C129)=0),"status signed but no signed_offices row"&amp;IF(F129="N"," and no tracker row",""),IF(AND(IFERROR(INDEX(Lists!$K$2:$K$15,MATCH(D129,Lists!$J$2:$J$15,0)),-1)&gt;=6,F129="N"),"status "&amp;D129&amp;" but no tracker row",IF(AND(E129="Y",D129&lt;&gt;"do_not_contact"),"do_not_contact = Y but status is "&amp;D129,IF(AND(D129="do_not_contact",E129&lt;&gt;"Y"),"status do_not_contact but do_not_contact is not Y",""))))))</f>
        <v/>
      </c>
      <c r="I129" s="23" t="n">
        <v>108</v>
      </c>
      <c r="J129" s="23" t="str">
        <f aca="false">IFERROR(INDEX(Clay_Brands!$A$2:$FZ$601,I129,$D$5)&amp;"","")</f>
        <v/>
      </c>
      <c r="K129" s="23" t="str">
        <f aca="false">IFERROR(INDEX(Clay_Brands!$A$2:$FZ$601,I129,$D$7)&amp;"","")</f>
        <v/>
      </c>
      <c r="L129" s="23" t="str">
        <f aca="false">IFERROR(INDEX(Clay_Brands!$A$2:$FZ$601,I129,$D$8)&amp;"","")</f>
        <v/>
      </c>
      <c r="M129" s="23" t="str">
        <f aca="false">IF(J129="","",IF(COUNTIF(Brand_Log!$A$2:$A$201,J129)&gt;0,"Y","N"))</f>
        <v/>
      </c>
      <c r="N129" s="34" t="str">
        <f aca="false">IF(OR(J129="",AND(LEFT(J129,6)="SAMPLE",Config!$B$19&lt;&gt;"Y")),"",IF(IFERROR(INDEX(Lists!$K$2:$K$15,MATCH(K129,Lists!$J$2:$J$15,0)),-1)=-1,"status '"&amp;K129&amp;"' is not a CONTRACTS status",IF(AND(K129="paid",COUNTIF(paid_brands!$AC$2:$AC$51,J129)=0),"status paid but no paid_brands row"&amp;IF(M129="N"," and no tracker row",""),IF(AND(IFERROR(INDEX(Lists!$K$2:$K$15,MATCH(K129,Lists!$J$2:$J$15,0)),-1)&gt;=6,M129="N"),"status "&amp;K129&amp;" but no tracker row",IF(AND(L129="Y",K129&lt;&gt;"do_not_contact"),"do_not_contact = Y but status is "&amp;K129,IF(AND(K129="do_not_contact",L129&lt;&gt;"Y"),"status do_not_contact but do_not_contact is not Y",""))))))</f>
        <v/>
      </c>
    </row>
    <row r="130" customFormat="false" ht="15" hidden="false" customHeight="false" outlineLevel="0" collapsed="false">
      <c r="B130" s="23" t="n">
        <v>109</v>
      </c>
      <c r="C130" s="23" t="str">
        <f aca="false">IFERROR(INDEX(Clay_Offices!$A$2:$FZ$601,B130,$C$5)&amp;"","")</f>
        <v/>
      </c>
      <c r="D130" s="23" t="str">
        <f aca="false">IFERROR(INDEX(Clay_Offices!$A$2:$FZ$601,B130,$C$7)&amp;"","")</f>
        <v/>
      </c>
      <c r="E130" s="23" t="str">
        <f aca="false">IFERROR(INDEX(Clay_Offices!$A$2:$FZ$601,B130,$C$8)&amp;"","")</f>
        <v/>
      </c>
      <c r="F130" s="23" t="str">
        <f aca="false">IF(C130="","",IF(COUNTIF(Office_Log!$A$2:$A$201,C130)&gt;0,"Y","N"))</f>
        <v/>
      </c>
      <c r="G130" s="34" t="str">
        <f aca="false">IF(OR(C130="",AND(LEFT(C130,6)="SAMPLE",Config!$B$19&lt;&gt;"Y")),"",IF(IFERROR(INDEX(Lists!$K$2:$K$15,MATCH(D130,Lists!$J$2:$J$15,0)),-1)=-1,"status '"&amp;D130&amp;"' is not a CONTRACTS status",IF(AND(D130="signed",COUNTIF(signed_offices!$W$2:$W$51,C130)=0),"status signed but no signed_offices row"&amp;IF(F130="N"," and no tracker row",""),IF(AND(IFERROR(INDEX(Lists!$K$2:$K$15,MATCH(D130,Lists!$J$2:$J$15,0)),-1)&gt;=6,F130="N"),"status "&amp;D130&amp;" but no tracker row",IF(AND(E130="Y",D130&lt;&gt;"do_not_contact"),"do_not_contact = Y but status is "&amp;D130,IF(AND(D130="do_not_contact",E130&lt;&gt;"Y"),"status do_not_contact but do_not_contact is not Y",""))))))</f>
        <v/>
      </c>
      <c r="I130" s="23" t="n">
        <v>109</v>
      </c>
      <c r="J130" s="23" t="str">
        <f aca="false">IFERROR(INDEX(Clay_Brands!$A$2:$FZ$601,I130,$D$5)&amp;"","")</f>
        <v/>
      </c>
      <c r="K130" s="23" t="str">
        <f aca="false">IFERROR(INDEX(Clay_Brands!$A$2:$FZ$601,I130,$D$7)&amp;"","")</f>
        <v/>
      </c>
      <c r="L130" s="23" t="str">
        <f aca="false">IFERROR(INDEX(Clay_Brands!$A$2:$FZ$601,I130,$D$8)&amp;"","")</f>
        <v/>
      </c>
      <c r="M130" s="23" t="str">
        <f aca="false">IF(J130="","",IF(COUNTIF(Brand_Log!$A$2:$A$201,J130)&gt;0,"Y","N"))</f>
        <v/>
      </c>
      <c r="N130" s="34" t="str">
        <f aca="false">IF(OR(J130="",AND(LEFT(J130,6)="SAMPLE",Config!$B$19&lt;&gt;"Y")),"",IF(IFERROR(INDEX(Lists!$K$2:$K$15,MATCH(K130,Lists!$J$2:$J$15,0)),-1)=-1,"status '"&amp;K130&amp;"' is not a CONTRACTS status",IF(AND(K130="paid",COUNTIF(paid_brands!$AC$2:$AC$51,J130)=0),"status paid but no paid_brands row"&amp;IF(M130="N"," and no tracker row",""),IF(AND(IFERROR(INDEX(Lists!$K$2:$K$15,MATCH(K130,Lists!$J$2:$J$15,0)),-1)&gt;=6,M130="N"),"status "&amp;K130&amp;" but no tracker row",IF(AND(L130="Y",K130&lt;&gt;"do_not_contact"),"do_not_contact = Y but status is "&amp;K130,IF(AND(K130="do_not_contact",L130&lt;&gt;"Y"),"status do_not_contact but do_not_contact is not Y",""))))))</f>
        <v/>
      </c>
    </row>
    <row r="131" customFormat="false" ht="15" hidden="false" customHeight="false" outlineLevel="0" collapsed="false">
      <c r="B131" s="23" t="n">
        <v>110</v>
      </c>
      <c r="C131" s="23" t="str">
        <f aca="false">IFERROR(INDEX(Clay_Offices!$A$2:$FZ$601,B131,$C$5)&amp;"","")</f>
        <v/>
      </c>
      <c r="D131" s="23" t="str">
        <f aca="false">IFERROR(INDEX(Clay_Offices!$A$2:$FZ$601,B131,$C$7)&amp;"","")</f>
        <v/>
      </c>
      <c r="E131" s="23" t="str">
        <f aca="false">IFERROR(INDEX(Clay_Offices!$A$2:$FZ$601,B131,$C$8)&amp;"","")</f>
        <v/>
      </c>
      <c r="F131" s="23" t="str">
        <f aca="false">IF(C131="","",IF(COUNTIF(Office_Log!$A$2:$A$201,C131)&gt;0,"Y","N"))</f>
        <v/>
      </c>
      <c r="G131" s="34" t="str">
        <f aca="false">IF(OR(C131="",AND(LEFT(C131,6)="SAMPLE",Config!$B$19&lt;&gt;"Y")),"",IF(IFERROR(INDEX(Lists!$K$2:$K$15,MATCH(D131,Lists!$J$2:$J$15,0)),-1)=-1,"status '"&amp;D131&amp;"' is not a CONTRACTS status",IF(AND(D131="signed",COUNTIF(signed_offices!$W$2:$W$51,C131)=0),"status signed but no signed_offices row"&amp;IF(F131="N"," and no tracker row",""),IF(AND(IFERROR(INDEX(Lists!$K$2:$K$15,MATCH(D131,Lists!$J$2:$J$15,0)),-1)&gt;=6,F131="N"),"status "&amp;D131&amp;" but no tracker row",IF(AND(E131="Y",D131&lt;&gt;"do_not_contact"),"do_not_contact = Y but status is "&amp;D131,IF(AND(D131="do_not_contact",E131&lt;&gt;"Y"),"status do_not_contact but do_not_contact is not Y",""))))))</f>
        <v/>
      </c>
      <c r="I131" s="23" t="n">
        <v>110</v>
      </c>
      <c r="J131" s="23" t="str">
        <f aca="false">IFERROR(INDEX(Clay_Brands!$A$2:$FZ$601,I131,$D$5)&amp;"","")</f>
        <v/>
      </c>
      <c r="K131" s="23" t="str">
        <f aca="false">IFERROR(INDEX(Clay_Brands!$A$2:$FZ$601,I131,$D$7)&amp;"","")</f>
        <v/>
      </c>
      <c r="L131" s="23" t="str">
        <f aca="false">IFERROR(INDEX(Clay_Brands!$A$2:$FZ$601,I131,$D$8)&amp;"","")</f>
        <v/>
      </c>
      <c r="M131" s="23" t="str">
        <f aca="false">IF(J131="","",IF(COUNTIF(Brand_Log!$A$2:$A$201,J131)&gt;0,"Y","N"))</f>
        <v/>
      </c>
      <c r="N131" s="34" t="str">
        <f aca="false">IF(OR(J131="",AND(LEFT(J131,6)="SAMPLE",Config!$B$19&lt;&gt;"Y")),"",IF(IFERROR(INDEX(Lists!$K$2:$K$15,MATCH(K131,Lists!$J$2:$J$15,0)),-1)=-1,"status '"&amp;K131&amp;"' is not a CONTRACTS status",IF(AND(K131="paid",COUNTIF(paid_brands!$AC$2:$AC$51,J131)=0),"status paid but no paid_brands row"&amp;IF(M131="N"," and no tracker row",""),IF(AND(IFERROR(INDEX(Lists!$K$2:$K$15,MATCH(K131,Lists!$J$2:$J$15,0)),-1)&gt;=6,M131="N"),"status "&amp;K131&amp;" but no tracker row",IF(AND(L131="Y",K131&lt;&gt;"do_not_contact"),"do_not_contact = Y but status is "&amp;K131,IF(AND(K131="do_not_contact",L131&lt;&gt;"Y"),"status do_not_contact but do_not_contact is not Y",""))))))</f>
        <v/>
      </c>
    </row>
    <row r="132" customFormat="false" ht="15" hidden="false" customHeight="false" outlineLevel="0" collapsed="false">
      <c r="B132" s="23" t="n">
        <v>111</v>
      </c>
      <c r="C132" s="23" t="str">
        <f aca="false">IFERROR(INDEX(Clay_Offices!$A$2:$FZ$601,B132,$C$5)&amp;"","")</f>
        <v/>
      </c>
      <c r="D132" s="23" t="str">
        <f aca="false">IFERROR(INDEX(Clay_Offices!$A$2:$FZ$601,B132,$C$7)&amp;"","")</f>
        <v/>
      </c>
      <c r="E132" s="23" t="str">
        <f aca="false">IFERROR(INDEX(Clay_Offices!$A$2:$FZ$601,B132,$C$8)&amp;"","")</f>
        <v/>
      </c>
      <c r="F132" s="23" t="str">
        <f aca="false">IF(C132="","",IF(COUNTIF(Office_Log!$A$2:$A$201,C132)&gt;0,"Y","N"))</f>
        <v/>
      </c>
      <c r="G132" s="34" t="str">
        <f aca="false">IF(OR(C132="",AND(LEFT(C132,6)="SAMPLE",Config!$B$19&lt;&gt;"Y")),"",IF(IFERROR(INDEX(Lists!$K$2:$K$15,MATCH(D132,Lists!$J$2:$J$15,0)),-1)=-1,"status '"&amp;D132&amp;"' is not a CONTRACTS status",IF(AND(D132="signed",COUNTIF(signed_offices!$W$2:$W$51,C132)=0),"status signed but no signed_offices row"&amp;IF(F132="N"," and no tracker row",""),IF(AND(IFERROR(INDEX(Lists!$K$2:$K$15,MATCH(D132,Lists!$J$2:$J$15,0)),-1)&gt;=6,F132="N"),"status "&amp;D132&amp;" but no tracker row",IF(AND(E132="Y",D132&lt;&gt;"do_not_contact"),"do_not_contact = Y but status is "&amp;D132,IF(AND(D132="do_not_contact",E132&lt;&gt;"Y"),"status do_not_contact but do_not_contact is not Y",""))))))</f>
        <v/>
      </c>
      <c r="I132" s="23" t="n">
        <v>111</v>
      </c>
      <c r="J132" s="23" t="str">
        <f aca="false">IFERROR(INDEX(Clay_Brands!$A$2:$FZ$601,I132,$D$5)&amp;"","")</f>
        <v/>
      </c>
      <c r="K132" s="23" t="str">
        <f aca="false">IFERROR(INDEX(Clay_Brands!$A$2:$FZ$601,I132,$D$7)&amp;"","")</f>
        <v/>
      </c>
      <c r="L132" s="23" t="str">
        <f aca="false">IFERROR(INDEX(Clay_Brands!$A$2:$FZ$601,I132,$D$8)&amp;"","")</f>
        <v/>
      </c>
      <c r="M132" s="23" t="str">
        <f aca="false">IF(J132="","",IF(COUNTIF(Brand_Log!$A$2:$A$201,J132)&gt;0,"Y","N"))</f>
        <v/>
      </c>
      <c r="N132" s="34" t="str">
        <f aca="false">IF(OR(J132="",AND(LEFT(J132,6)="SAMPLE",Config!$B$19&lt;&gt;"Y")),"",IF(IFERROR(INDEX(Lists!$K$2:$K$15,MATCH(K132,Lists!$J$2:$J$15,0)),-1)=-1,"status '"&amp;K132&amp;"' is not a CONTRACTS status",IF(AND(K132="paid",COUNTIF(paid_brands!$AC$2:$AC$51,J132)=0),"status paid but no paid_brands row"&amp;IF(M132="N"," and no tracker row",""),IF(AND(IFERROR(INDEX(Lists!$K$2:$K$15,MATCH(K132,Lists!$J$2:$J$15,0)),-1)&gt;=6,M132="N"),"status "&amp;K132&amp;" but no tracker row",IF(AND(L132="Y",K132&lt;&gt;"do_not_contact"),"do_not_contact = Y but status is "&amp;K132,IF(AND(K132="do_not_contact",L132&lt;&gt;"Y"),"status do_not_contact but do_not_contact is not Y",""))))))</f>
        <v/>
      </c>
    </row>
    <row r="133" customFormat="false" ht="15" hidden="false" customHeight="false" outlineLevel="0" collapsed="false">
      <c r="B133" s="23" t="n">
        <v>112</v>
      </c>
      <c r="C133" s="23" t="str">
        <f aca="false">IFERROR(INDEX(Clay_Offices!$A$2:$FZ$601,B133,$C$5)&amp;"","")</f>
        <v/>
      </c>
      <c r="D133" s="23" t="str">
        <f aca="false">IFERROR(INDEX(Clay_Offices!$A$2:$FZ$601,B133,$C$7)&amp;"","")</f>
        <v/>
      </c>
      <c r="E133" s="23" t="str">
        <f aca="false">IFERROR(INDEX(Clay_Offices!$A$2:$FZ$601,B133,$C$8)&amp;"","")</f>
        <v/>
      </c>
      <c r="F133" s="23" t="str">
        <f aca="false">IF(C133="","",IF(COUNTIF(Office_Log!$A$2:$A$201,C133)&gt;0,"Y","N"))</f>
        <v/>
      </c>
      <c r="G133" s="34" t="str">
        <f aca="false">IF(OR(C133="",AND(LEFT(C133,6)="SAMPLE",Config!$B$19&lt;&gt;"Y")),"",IF(IFERROR(INDEX(Lists!$K$2:$K$15,MATCH(D133,Lists!$J$2:$J$15,0)),-1)=-1,"status '"&amp;D133&amp;"' is not a CONTRACTS status",IF(AND(D133="signed",COUNTIF(signed_offices!$W$2:$W$51,C133)=0),"status signed but no signed_offices row"&amp;IF(F133="N"," and no tracker row",""),IF(AND(IFERROR(INDEX(Lists!$K$2:$K$15,MATCH(D133,Lists!$J$2:$J$15,0)),-1)&gt;=6,F133="N"),"status "&amp;D133&amp;" but no tracker row",IF(AND(E133="Y",D133&lt;&gt;"do_not_contact"),"do_not_contact = Y but status is "&amp;D133,IF(AND(D133="do_not_contact",E133&lt;&gt;"Y"),"status do_not_contact but do_not_contact is not Y",""))))))</f>
        <v/>
      </c>
      <c r="I133" s="23" t="n">
        <v>112</v>
      </c>
      <c r="J133" s="23" t="str">
        <f aca="false">IFERROR(INDEX(Clay_Brands!$A$2:$FZ$601,I133,$D$5)&amp;"","")</f>
        <v/>
      </c>
      <c r="K133" s="23" t="str">
        <f aca="false">IFERROR(INDEX(Clay_Brands!$A$2:$FZ$601,I133,$D$7)&amp;"","")</f>
        <v/>
      </c>
      <c r="L133" s="23" t="str">
        <f aca="false">IFERROR(INDEX(Clay_Brands!$A$2:$FZ$601,I133,$D$8)&amp;"","")</f>
        <v/>
      </c>
      <c r="M133" s="23" t="str">
        <f aca="false">IF(J133="","",IF(COUNTIF(Brand_Log!$A$2:$A$201,J133)&gt;0,"Y","N"))</f>
        <v/>
      </c>
      <c r="N133" s="34" t="str">
        <f aca="false">IF(OR(J133="",AND(LEFT(J133,6)="SAMPLE",Config!$B$19&lt;&gt;"Y")),"",IF(IFERROR(INDEX(Lists!$K$2:$K$15,MATCH(K133,Lists!$J$2:$J$15,0)),-1)=-1,"status '"&amp;K133&amp;"' is not a CONTRACTS status",IF(AND(K133="paid",COUNTIF(paid_brands!$AC$2:$AC$51,J133)=0),"status paid but no paid_brands row"&amp;IF(M133="N"," and no tracker row",""),IF(AND(IFERROR(INDEX(Lists!$K$2:$K$15,MATCH(K133,Lists!$J$2:$J$15,0)),-1)&gt;=6,M133="N"),"status "&amp;K133&amp;" but no tracker row",IF(AND(L133="Y",K133&lt;&gt;"do_not_contact"),"do_not_contact = Y but status is "&amp;K133,IF(AND(K133="do_not_contact",L133&lt;&gt;"Y"),"status do_not_contact but do_not_contact is not Y",""))))))</f>
        <v/>
      </c>
    </row>
    <row r="134" customFormat="false" ht="15" hidden="false" customHeight="false" outlineLevel="0" collapsed="false">
      <c r="B134" s="23" t="n">
        <v>113</v>
      </c>
      <c r="C134" s="23" t="str">
        <f aca="false">IFERROR(INDEX(Clay_Offices!$A$2:$FZ$601,B134,$C$5)&amp;"","")</f>
        <v/>
      </c>
      <c r="D134" s="23" t="str">
        <f aca="false">IFERROR(INDEX(Clay_Offices!$A$2:$FZ$601,B134,$C$7)&amp;"","")</f>
        <v/>
      </c>
      <c r="E134" s="23" t="str">
        <f aca="false">IFERROR(INDEX(Clay_Offices!$A$2:$FZ$601,B134,$C$8)&amp;"","")</f>
        <v/>
      </c>
      <c r="F134" s="23" t="str">
        <f aca="false">IF(C134="","",IF(COUNTIF(Office_Log!$A$2:$A$201,C134)&gt;0,"Y","N"))</f>
        <v/>
      </c>
      <c r="G134" s="34" t="str">
        <f aca="false">IF(OR(C134="",AND(LEFT(C134,6)="SAMPLE",Config!$B$19&lt;&gt;"Y")),"",IF(IFERROR(INDEX(Lists!$K$2:$K$15,MATCH(D134,Lists!$J$2:$J$15,0)),-1)=-1,"status '"&amp;D134&amp;"' is not a CONTRACTS status",IF(AND(D134="signed",COUNTIF(signed_offices!$W$2:$W$51,C134)=0),"status signed but no signed_offices row"&amp;IF(F134="N"," and no tracker row",""),IF(AND(IFERROR(INDEX(Lists!$K$2:$K$15,MATCH(D134,Lists!$J$2:$J$15,0)),-1)&gt;=6,F134="N"),"status "&amp;D134&amp;" but no tracker row",IF(AND(E134="Y",D134&lt;&gt;"do_not_contact"),"do_not_contact = Y but status is "&amp;D134,IF(AND(D134="do_not_contact",E134&lt;&gt;"Y"),"status do_not_contact but do_not_contact is not Y",""))))))</f>
        <v/>
      </c>
      <c r="I134" s="23" t="n">
        <v>113</v>
      </c>
      <c r="J134" s="23" t="str">
        <f aca="false">IFERROR(INDEX(Clay_Brands!$A$2:$FZ$601,I134,$D$5)&amp;"","")</f>
        <v/>
      </c>
      <c r="K134" s="23" t="str">
        <f aca="false">IFERROR(INDEX(Clay_Brands!$A$2:$FZ$601,I134,$D$7)&amp;"","")</f>
        <v/>
      </c>
      <c r="L134" s="23" t="str">
        <f aca="false">IFERROR(INDEX(Clay_Brands!$A$2:$FZ$601,I134,$D$8)&amp;"","")</f>
        <v/>
      </c>
      <c r="M134" s="23" t="str">
        <f aca="false">IF(J134="","",IF(COUNTIF(Brand_Log!$A$2:$A$201,J134)&gt;0,"Y","N"))</f>
        <v/>
      </c>
      <c r="N134" s="34" t="str">
        <f aca="false">IF(OR(J134="",AND(LEFT(J134,6)="SAMPLE",Config!$B$19&lt;&gt;"Y")),"",IF(IFERROR(INDEX(Lists!$K$2:$K$15,MATCH(K134,Lists!$J$2:$J$15,0)),-1)=-1,"status '"&amp;K134&amp;"' is not a CONTRACTS status",IF(AND(K134="paid",COUNTIF(paid_brands!$AC$2:$AC$51,J134)=0),"status paid but no paid_brands row"&amp;IF(M134="N"," and no tracker row",""),IF(AND(IFERROR(INDEX(Lists!$K$2:$K$15,MATCH(K134,Lists!$J$2:$J$15,0)),-1)&gt;=6,M134="N"),"status "&amp;K134&amp;" but no tracker row",IF(AND(L134="Y",K134&lt;&gt;"do_not_contact"),"do_not_contact = Y but status is "&amp;K134,IF(AND(K134="do_not_contact",L134&lt;&gt;"Y"),"status do_not_contact but do_not_contact is not Y",""))))))</f>
        <v/>
      </c>
    </row>
    <row r="135" customFormat="false" ht="15" hidden="false" customHeight="false" outlineLevel="0" collapsed="false">
      <c r="B135" s="23" t="n">
        <v>114</v>
      </c>
      <c r="C135" s="23" t="str">
        <f aca="false">IFERROR(INDEX(Clay_Offices!$A$2:$FZ$601,B135,$C$5)&amp;"","")</f>
        <v/>
      </c>
      <c r="D135" s="23" t="str">
        <f aca="false">IFERROR(INDEX(Clay_Offices!$A$2:$FZ$601,B135,$C$7)&amp;"","")</f>
        <v/>
      </c>
      <c r="E135" s="23" t="str">
        <f aca="false">IFERROR(INDEX(Clay_Offices!$A$2:$FZ$601,B135,$C$8)&amp;"","")</f>
        <v/>
      </c>
      <c r="F135" s="23" t="str">
        <f aca="false">IF(C135="","",IF(COUNTIF(Office_Log!$A$2:$A$201,C135)&gt;0,"Y","N"))</f>
        <v/>
      </c>
      <c r="G135" s="34" t="str">
        <f aca="false">IF(OR(C135="",AND(LEFT(C135,6)="SAMPLE",Config!$B$19&lt;&gt;"Y")),"",IF(IFERROR(INDEX(Lists!$K$2:$K$15,MATCH(D135,Lists!$J$2:$J$15,0)),-1)=-1,"status '"&amp;D135&amp;"' is not a CONTRACTS status",IF(AND(D135="signed",COUNTIF(signed_offices!$W$2:$W$51,C135)=0),"status signed but no signed_offices row"&amp;IF(F135="N"," and no tracker row",""),IF(AND(IFERROR(INDEX(Lists!$K$2:$K$15,MATCH(D135,Lists!$J$2:$J$15,0)),-1)&gt;=6,F135="N"),"status "&amp;D135&amp;" but no tracker row",IF(AND(E135="Y",D135&lt;&gt;"do_not_contact"),"do_not_contact = Y but status is "&amp;D135,IF(AND(D135="do_not_contact",E135&lt;&gt;"Y"),"status do_not_contact but do_not_contact is not Y",""))))))</f>
        <v/>
      </c>
      <c r="I135" s="23" t="n">
        <v>114</v>
      </c>
      <c r="J135" s="23" t="str">
        <f aca="false">IFERROR(INDEX(Clay_Brands!$A$2:$FZ$601,I135,$D$5)&amp;"","")</f>
        <v/>
      </c>
      <c r="K135" s="23" t="str">
        <f aca="false">IFERROR(INDEX(Clay_Brands!$A$2:$FZ$601,I135,$D$7)&amp;"","")</f>
        <v/>
      </c>
      <c r="L135" s="23" t="str">
        <f aca="false">IFERROR(INDEX(Clay_Brands!$A$2:$FZ$601,I135,$D$8)&amp;"","")</f>
        <v/>
      </c>
      <c r="M135" s="23" t="str">
        <f aca="false">IF(J135="","",IF(COUNTIF(Brand_Log!$A$2:$A$201,J135)&gt;0,"Y","N"))</f>
        <v/>
      </c>
      <c r="N135" s="34" t="str">
        <f aca="false">IF(OR(J135="",AND(LEFT(J135,6)="SAMPLE",Config!$B$19&lt;&gt;"Y")),"",IF(IFERROR(INDEX(Lists!$K$2:$K$15,MATCH(K135,Lists!$J$2:$J$15,0)),-1)=-1,"status '"&amp;K135&amp;"' is not a CONTRACTS status",IF(AND(K135="paid",COUNTIF(paid_brands!$AC$2:$AC$51,J135)=0),"status paid but no paid_brands row"&amp;IF(M135="N"," and no tracker row",""),IF(AND(IFERROR(INDEX(Lists!$K$2:$K$15,MATCH(K135,Lists!$J$2:$J$15,0)),-1)&gt;=6,M135="N"),"status "&amp;K135&amp;" but no tracker row",IF(AND(L135="Y",K135&lt;&gt;"do_not_contact"),"do_not_contact = Y but status is "&amp;K135,IF(AND(K135="do_not_contact",L135&lt;&gt;"Y"),"status do_not_contact but do_not_contact is not Y",""))))))</f>
        <v/>
      </c>
    </row>
    <row r="136" customFormat="false" ht="15" hidden="false" customHeight="false" outlineLevel="0" collapsed="false">
      <c r="B136" s="23" t="n">
        <v>115</v>
      </c>
      <c r="C136" s="23" t="str">
        <f aca="false">IFERROR(INDEX(Clay_Offices!$A$2:$FZ$601,B136,$C$5)&amp;"","")</f>
        <v/>
      </c>
      <c r="D136" s="23" t="str">
        <f aca="false">IFERROR(INDEX(Clay_Offices!$A$2:$FZ$601,B136,$C$7)&amp;"","")</f>
        <v/>
      </c>
      <c r="E136" s="23" t="str">
        <f aca="false">IFERROR(INDEX(Clay_Offices!$A$2:$FZ$601,B136,$C$8)&amp;"","")</f>
        <v/>
      </c>
      <c r="F136" s="23" t="str">
        <f aca="false">IF(C136="","",IF(COUNTIF(Office_Log!$A$2:$A$201,C136)&gt;0,"Y","N"))</f>
        <v/>
      </c>
      <c r="G136" s="34" t="str">
        <f aca="false">IF(OR(C136="",AND(LEFT(C136,6)="SAMPLE",Config!$B$19&lt;&gt;"Y")),"",IF(IFERROR(INDEX(Lists!$K$2:$K$15,MATCH(D136,Lists!$J$2:$J$15,0)),-1)=-1,"status '"&amp;D136&amp;"' is not a CONTRACTS status",IF(AND(D136="signed",COUNTIF(signed_offices!$W$2:$W$51,C136)=0),"status signed but no signed_offices row"&amp;IF(F136="N"," and no tracker row",""),IF(AND(IFERROR(INDEX(Lists!$K$2:$K$15,MATCH(D136,Lists!$J$2:$J$15,0)),-1)&gt;=6,F136="N"),"status "&amp;D136&amp;" but no tracker row",IF(AND(E136="Y",D136&lt;&gt;"do_not_contact"),"do_not_contact = Y but status is "&amp;D136,IF(AND(D136="do_not_contact",E136&lt;&gt;"Y"),"status do_not_contact but do_not_contact is not Y",""))))))</f>
        <v/>
      </c>
      <c r="I136" s="23" t="n">
        <v>115</v>
      </c>
      <c r="J136" s="23" t="str">
        <f aca="false">IFERROR(INDEX(Clay_Brands!$A$2:$FZ$601,I136,$D$5)&amp;"","")</f>
        <v/>
      </c>
      <c r="K136" s="23" t="str">
        <f aca="false">IFERROR(INDEX(Clay_Brands!$A$2:$FZ$601,I136,$D$7)&amp;"","")</f>
        <v/>
      </c>
      <c r="L136" s="23" t="str">
        <f aca="false">IFERROR(INDEX(Clay_Brands!$A$2:$FZ$601,I136,$D$8)&amp;"","")</f>
        <v/>
      </c>
      <c r="M136" s="23" t="str">
        <f aca="false">IF(J136="","",IF(COUNTIF(Brand_Log!$A$2:$A$201,J136)&gt;0,"Y","N"))</f>
        <v/>
      </c>
      <c r="N136" s="34" t="str">
        <f aca="false">IF(OR(J136="",AND(LEFT(J136,6)="SAMPLE",Config!$B$19&lt;&gt;"Y")),"",IF(IFERROR(INDEX(Lists!$K$2:$K$15,MATCH(K136,Lists!$J$2:$J$15,0)),-1)=-1,"status '"&amp;K136&amp;"' is not a CONTRACTS status",IF(AND(K136="paid",COUNTIF(paid_brands!$AC$2:$AC$51,J136)=0),"status paid but no paid_brands row"&amp;IF(M136="N"," and no tracker row",""),IF(AND(IFERROR(INDEX(Lists!$K$2:$K$15,MATCH(K136,Lists!$J$2:$J$15,0)),-1)&gt;=6,M136="N"),"status "&amp;K136&amp;" but no tracker row",IF(AND(L136="Y",K136&lt;&gt;"do_not_contact"),"do_not_contact = Y but status is "&amp;K136,IF(AND(K136="do_not_contact",L136&lt;&gt;"Y"),"status do_not_contact but do_not_contact is not Y",""))))))</f>
        <v/>
      </c>
    </row>
    <row r="137" customFormat="false" ht="15" hidden="false" customHeight="false" outlineLevel="0" collapsed="false">
      <c r="B137" s="23" t="n">
        <v>116</v>
      </c>
      <c r="C137" s="23" t="str">
        <f aca="false">IFERROR(INDEX(Clay_Offices!$A$2:$FZ$601,B137,$C$5)&amp;"","")</f>
        <v/>
      </c>
      <c r="D137" s="23" t="str">
        <f aca="false">IFERROR(INDEX(Clay_Offices!$A$2:$FZ$601,B137,$C$7)&amp;"","")</f>
        <v/>
      </c>
      <c r="E137" s="23" t="str">
        <f aca="false">IFERROR(INDEX(Clay_Offices!$A$2:$FZ$601,B137,$C$8)&amp;"","")</f>
        <v/>
      </c>
      <c r="F137" s="23" t="str">
        <f aca="false">IF(C137="","",IF(COUNTIF(Office_Log!$A$2:$A$201,C137)&gt;0,"Y","N"))</f>
        <v/>
      </c>
      <c r="G137" s="34" t="str">
        <f aca="false">IF(OR(C137="",AND(LEFT(C137,6)="SAMPLE",Config!$B$19&lt;&gt;"Y")),"",IF(IFERROR(INDEX(Lists!$K$2:$K$15,MATCH(D137,Lists!$J$2:$J$15,0)),-1)=-1,"status '"&amp;D137&amp;"' is not a CONTRACTS status",IF(AND(D137="signed",COUNTIF(signed_offices!$W$2:$W$51,C137)=0),"status signed but no signed_offices row"&amp;IF(F137="N"," and no tracker row",""),IF(AND(IFERROR(INDEX(Lists!$K$2:$K$15,MATCH(D137,Lists!$J$2:$J$15,0)),-1)&gt;=6,F137="N"),"status "&amp;D137&amp;" but no tracker row",IF(AND(E137="Y",D137&lt;&gt;"do_not_contact"),"do_not_contact = Y but status is "&amp;D137,IF(AND(D137="do_not_contact",E137&lt;&gt;"Y"),"status do_not_contact but do_not_contact is not Y",""))))))</f>
        <v/>
      </c>
      <c r="I137" s="23" t="n">
        <v>116</v>
      </c>
      <c r="J137" s="23" t="str">
        <f aca="false">IFERROR(INDEX(Clay_Brands!$A$2:$FZ$601,I137,$D$5)&amp;"","")</f>
        <v/>
      </c>
      <c r="K137" s="23" t="str">
        <f aca="false">IFERROR(INDEX(Clay_Brands!$A$2:$FZ$601,I137,$D$7)&amp;"","")</f>
        <v/>
      </c>
      <c r="L137" s="23" t="str">
        <f aca="false">IFERROR(INDEX(Clay_Brands!$A$2:$FZ$601,I137,$D$8)&amp;"","")</f>
        <v/>
      </c>
      <c r="M137" s="23" t="str">
        <f aca="false">IF(J137="","",IF(COUNTIF(Brand_Log!$A$2:$A$201,J137)&gt;0,"Y","N"))</f>
        <v/>
      </c>
      <c r="N137" s="34" t="str">
        <f aca="false">IF(OR(J137="",AND(LEFT(J137,6)="SAMPLE",Config!$B$19&lt;&gt;"Y")),"",IF(IFERROR(INDEX(Lists!$K$2:$K$15,MATCH(K137,Lists!$J$2:$J$15,0)),-1)=-1,"status '"&amp;K137&amp;"' is not a CONTRACTS status",IF(AND(K137="paid",COUNTIF(paid_brands!$AC$2:$AC$51,J137)=0),"status paid but no paid_brands row"&amp;IF(M137="N"," and no tracker row",""),IF(AND(IFERROR(INDEX(Lists!$K$2:$K$15,MATCH(K137,Lists!$J$2:$J$15,0)),-1)&gt;=6,M137="N"),"status "&amp;K137&amp;" but no tracker row",IF(AND(L137="Y",K137&lt;&gt;"do_not_contact"),"do_not_contact = Y but status is "&amp;K137,IF(AND(K137="do_not_contact",L137&lt;&gt;"Y"),"status do_not_contact but do_not_contact is not Y",""))))))</f>
        <v/>
      </c>
    </row>
    <row r="138" customFormat="false" ht="15" hidden="false" customHeight="false" outlineLevel="0" collapsed="false">
      <c r="B138" s="23" t="n">
        <v>117</v>
      </c>
      <c r="C138" s="23" t="str">
        <f aca="false">IFERROR(INDEX(Clay_Offices!$A$2:$FZ$601,B138,$C$5)&amp;"","")</f>
        <v/>
      </c>
      <c r="D138" s="23" t="str">
        <f aca="false">IFERROR(INDEX(Clay_Offices!$A$2:$FZ$601,B138,$C$7)&amp;"","")</f>
        <v/>
      </c>
      <c r="E138" s="23" t="str">
        <f aca="false">IFERROR(INDEX(Clay_Offices!$A$2:$FZ$601,B138,$C$8)&amp;"","")</f>
        <v/>
      </c>
      <c r="F138" s="23" t="str">
        <f aca="false">IF(C138="","",IF(COUNTIF(Office_Log!$A$2:$A$201,C138)&gt;0,"Y","N"))</f>
        <v/>
      </c>
      <c r="G138" s="34" t="str">
        <f aca="false">IF(OR(C138="",AND(LEFT(C138,6)="SAMPLE",Config!$B$19&lt;&gt;"Y")),"",IF(IFERROR(INDEX(Lists!$K$2:$K$15,MATCH(D138,Lists!$J$2:$J$15,0)),-1)=-1,"status '"&amp;D138&amp;"' is not a CONTRACTS status",IF(AND(D138="signed",COUNTIF(signed_offices!$W$2:$W$51,C138)=0),"status signed but no signed_offices row"&amp;IF(F138="N"," and no tracker row",""),IF(AND(IFERROR(INDEX(Lists!$K$2:$K$15,MATCH(D138,Lists!$J$2:$J$15,0)),-1)&gt;=6,F138="N"),"status "&amp;D138&amp;" but no tracker row",IF(AND(E138="Y",D138&lt;&gt;"do_not_contact"),"do_not_contact = Y but status is "&amp;D138,IF(AND(D138="do_not_contact",E138&lt;&gt;"Y"),"status do_not_contact but do_not_contact is not Y",""))))))</f>
        <v/>
      </c>
      <c r="I138" s="23" t="n">
        <v>117</v>
      </c>
      <c r="J138" s="23" t="str">
        <f aca="false">IFERROR(INDEX(Clay_Brands!$A$2:$FZ$601,I138,$D$5)&amp;"","")</f>
        <v/>
      </c>
      <c r="K138" s="23" t="str">
        <f aca="false">IFERROR(INDEX(Clay_Brands!$A$2:$FZ$601,I138,$D$7)&amp;"","")</f>
        <v/>
      </c>
      <c r="L138" s="23" t="str">
        <f aca="false">IFERROR(INDEX(Clay_Brands!$A$2:$FZ$601,I138,$D$8)&amp;"","")</f>
        <v/>
      </c>
      <c r="M138" s="23" t="str">
        <f aca="false">IF(J138="","",IF(COUNTIF(Brand_Log!$A$2:$A$201,J138)&gt;0,"Y","N"))</f>
        <v/>
      </c>
      <c r="N138" s="34" t="str">
        <f aca="false">IF(OR(J138="",AND(LEFT(J138,6)="SAMPLE",Config!$B$19&lt;&gt;"Y")),"",IF(IFERROR(INDEX(Lists!$K$2:$K$15,MATCH(K138,Lists!$J$2:$J$15,0)),-1)=-1,"status '"&amp;K138&amp;"' is not a CONTRACTS status",IF(AND(K138="paid",COUNTIF(paid_brands!$AC$2:$AC$51,J138)=0),"status paid but no paid_brands row"&amp;IF(M138="N"," and no tracker row",""),IF(AND(IFERROR(INDEX(Lists!$K$2:$K$15,MATCH(K138,Lists!$J$2:$J$15,0)),-1)&gt;=6,M138="N"),"status "&amp;K138&amp;" but no tracker row",IF(AND(L138="Y",K138&lt;&gt;"do_not_contact"),"do_not_contact = Y but status is "&amp;K138,IF(AND(K138="do_not_contact",L138&lt;&gt;"Y"),"status do_not_contact but do_not_contact is not Y",""))))))</f>
        <v/>
      </c>
    </row>
    <row r="139" customFormat="false" ht="15" hidden="false" customHeight="false" outlineLevel="0" collapsed="false">
      <c r="B139" s="23" t="n">
        <v>118</v>
      </c>
      <c r="C139" s="23" t="str">
        <f aca="false">IFERROR(INDEX(Clay_Offices!$A$2:$FZ$601,B139,$C$5)&amp;"","")</f>
        <v/>
      </c>
      <c r="D139" s="23" t="str">
        <f aca="false">IFERROR(INDEX(Clay_Offices!$A$2:$FZ$601,B139,$C$7)&amp;"","")</f>
        <v/>
      </c>
      <c r="E139" s="23" t="str">
        <f aca="false">IFERROR(INDEX(Clay_Offices!$A$2:$FZ$601,B139,$C$8)&amp;"","")</f>
        <v/>
      </c>
      <c r="F139" s="23" t="str">
        <f aca="false">IF(C139="","",IF(COUNTIF(Office_Log!$A$2:$A$201,C139)&gt;0,"Y","N"))</f>
        <v/>
      </c>
      <c r="G139" s="34" t="str">
        <f aca="false">IF(OR(C139="",AND(LEFT(C139,6)="SAMPLE",Config!$B$19&lt;&gt;"Y")),"",IF(IFERROR(INDEX(Lists!$K$2:$K$15,MATCH(D139,Lists!$J$2:$J$15,0)),-1)=-1,"status '"&amp;D139&amp;"' is not a CONTRACTS status",IF(AND(D139="signed",COUNTIF(signed_offices!$W$2:$W$51,C139)=0),"status signed but no signed_offices row"&amp;IF(F139="N"," and no tracker row",""),IF(AND(IFERROR(INDEX(Lists!$K$2:$K$15,MATCH(D139,Lists!$J$2:$J$15,0)),-1)&gt;=6,F139="N"),"status "&amp;D139&amp;" but no tracker row",IF(AND(E139="Y",D139&lt;&gt;"do_not_contact"),"do_not_contact = Y but status is "&amp;D139,IF(AND(D139="do_not_contact",E139&lt;&gt;"Y"),"status do_not_contact but do_not_contact is not Y",""))))))</f>
        <v/>
      </c>
      <c r="I139" s="23" t="n">
        <v>118</v>
      </c>
      <c r="J139" s="23" t="str">
        <f aca="false">IFERROR(INDEX(Clay_Brands!$A$2:$FZ$601,I139,$D$5)&amp;"","")</f>
        <v/>
      </c>
      <c r="K139" s="23" t="str">
        <f aca="false">IFERROR(INDEX(Clay_Brands!$A$2:$FZ$601,I139,$D$7)&amp;"","")</f>
        <v/>
      </c>
      <c r="L139" s="23" t="str">
        <f aca="false">IFERROR(INDEX(Clay_Brands!$A$2:$FZ$601,I139,$D$8)&amp;"","")</f>
        <v/>
      </c>
      <c r="M139" s="23" t="str">
        <f aca="false">IF(J139="","",IF(COUNTIF(Brand_Log!$A$2:$A$201,J139)&gt;0,"Y","N"))</f>
        <v/>
      </c>
      <c r="N139" s="34" t="str">
        <f aca="false">IF(OR(J139="",AND(LEFT(J139,6)="SAMPLE",Config!$B$19&lt;&gt;"Y")),"",IF(IFERROR(INDEX(Lists!$K$2:$K$15,MATCH(K139,Lists!$J$2:$J$15,0)),-1)=-1,"status '"&amp;K139&amp;"' is not a CONTRACTS status",IF(AND(K139="paid",COUNTIF(paid_brands!$AC$2:$AC$51,J139)=0),"status paid but no paid_brands row"&amp;IF(M139="N"," and no tracker row",""),IF(AND(IFERROR(INDEX(Lists!$K$2:$K$15,MATCH(K139,Lists!$J$2:$J$15,0)),-1)&gt;=6,M139="N"),"status "&amp;K139&amp;" but no tracker row",IF(AND(L139="Y",K139&lt;&gt;"do_not_contact"),"do_not_contact = Y but status is "&amp;K139,IF(AND(K139="do_not_contact",L139&lt;&gt;"Y"),"status do_not_contact but do_not_contact is not Y",""))))))</f>
        <v/>
      </c>
    </row>
    <row r="140" customFormat="false" ht="15" hidden="false" customHeight="false" outlineLevel="0" collapsed="false">
      <c r="B140" s="23" t="n">
        <v>119</v>
      </c>
      <c r="C140" s="23" t="str">
        <f aca="false">IFERROR(INDEX(Clay_Offices!$A$2:$FZ$601,B140,$C$5)&amp;"","")</f>
        <v/>
      </c>
      <c r="D140" s="23" t="str">
        <f aca="false">IFERROR(INDEX(Clay_Offices!$A$2:$FZ$601,B140,$C$7)&amp;"","")</f>
        <v/>
      </c>
      <c r="E140" s="23" t="str">
        <f aca="false">IFERROR(INDEX(Clay_Offices!$A$2:$FZ$601,B140,$C$8)&amp;"","")</f>
        <v/>
      </c>
      <c r="F140" s="23" t="str">
        <f aca="false">IF(C140="","",IF(COUNTIF(Office_Log!$A$2:$A$201,C140)&gt;0,"Y","N"))</f>
        <v/>
      </c>
      <c r="G140" s="34" t="str">
        <f aca="false">IF(OR(C140="",AND(LEFT(C140,6)="SAMPLE",Config!$B$19&lt;&gt;"Y")),"",IF(IFERROR(INDEX(Lists!$K$2:$K$15,MATCH(D140,Lists!$J$2:$J$15,0)),-1)=-1,"status '"&amp;D140&amp;"' is not a CONTRACTS status",IF(AND(D140="signed",COUNTIF(signed_offices!$W$2:$W$51,C140)=0),"status signed but no signed_offices row"&amp;IF(F140="N"," and no tracker row",""),IF(AND(IFERROR(INDEX(Lists!$K$2:$K$15,MATCH(D140,Lists!$J$2:$J$15,0)),-1)&gt;=6,F140="N"),"status "&amp;D140&amp;" but no tracker row",IF(AND(E140="Y",D140&lt;&gt;"do_not_contact"),"do_not_contact = Y but status is "&amp;D140,IF(AND(D140="do_not_contact",E140&lt;&gt;"Y"),"status do_not_contact but do_not_contact is not Y",""))))))</f>
        <v/>
      </c>
      <c r="I140" s="23" t="n">
        <v>119</v>
      </c>
      <c r="J140" s="23" t="str">
        <f aca="false">IFERROR(INDEX(Clay_Brands!$A$2:$FZ$601,I140,$D$5)&amp;"","")</f>
        <v/>
      </c>
      <c r="K140" s="23" t="str">
        <f aca="false">IFERROR(INDEX(Clay_Brands!$A$2:$FZ$601,I140,$D$7)&amp;"","")</f>
        <v/>
      </c>
      <c r="L140" s="23" t="str">
        <f aca="false">IFERROR(INDEX(Clay_Brands!$A$2:$FZ$601,I140,$D$8)&amp;"","")</f>
        <v/>
      </c>
      <c r="M140" s="23" t="str">
        <f aca="false">IF(J140="","",IF(COUNTIF(Brand_Log!$A$2:$A$201,J140)&gt;0,"Y","N"))</f>
        <v/>
      </c>
      <c r="N140" s="34" t="str">
        <f aca="false">IF(OR(J140="",AND(LEFT(J140,6)="SAMPLE",Config!$B$19&lt;&gt;"Y")),"",IF(IFERROR(INDEX(Lists!$K$2:$K$15,MATCH(K140,Lists!$J$2:$J$15,0)),-1)=-1,"status '"&amp;K140&amp;"' is not a CONTRACTS status",IF(AND(K140="paid",COUNTIF(paid_brands!$AC$2:$AC$51,J140)=0),"status paid but no paid_brands row"&amp;IF(M140="N"," and no tracker row",""),IF(AND(IFERROR(INDEX(Lists!$K$2:$K$15,MATCH(K140,Lists!$J$2:$J$15,0)),-1)&gt;=6,M140="N"),"status "&amp;K140&amp;" but no tracker row",IF(AND(L140="Y",K140&lt;&gt;"do_not_contact"),"do_not_contact = Y but status is "&amp;K140,IF(AND(K140="do_not_contact",L140&lt;&gt;"Y"),"status do_not_contact but do_not_contact is not Y",""))))))</f>
        <v/>
      </c>
    </row>
    <row r="141" customFormat="false" ht="15" hidden="false" customHeight="false" outlineLevel="0" collapsed="false">
      <c r="B141" s="23" t="n">
        <v>120</v>
      </c>
      <c r="C141" s="23" t="str">
        <f aca="false">IFERROR(INDEX(Clay_Offices!$A$2:$FZ$601,B141,$C$5)&amp;"","")</f>
        <v/>
      </c>
      <c r="D141" s="23" t="str">
        <f aca="false">IFERROR(INDEX(Clay_Offices!$A$2:$FZ$601,B141,$C$7)&amp;"","")</f>
        <v/>
      </c>
      <c r="E141" s="23" t="str">
        <f aca="false">IFERROR(INDEX(Clay_Offices!$A$2:$FZ$601,B141,$C$8)&amp;"","")</f>
        <v/>
      </c>
      <c r="F141" s="23" t="str">
        <f aca="false">IF(C141="","",IF(COUNTIF(Office_Log!$A$2:$A$201,C141)&gt;0,"Y","N"))</f>
        <v/>
      </c>
      <c r="G141" s="34" t="str">
        <f aca="false">IF(OR(C141="",AND(LEFT(C141,6)="SAMPLE",Config!$B$19&lt;&gt;"Y")),"",IF(IFERROR(INDEX(Lists!$K$2:$K$15,MATCH(D141,Lists!$J$2:$J$15,0)),-1)=-1,"status '"&amp;D141&amp;"' is not a CONTRACTS status",IF(AND(D141="signed",COUNTIF(signed_offices!$W$2:$W$51,C141)=0),"status signed but no signed_offices row"&amp;IF(F141="N"," and no tracker row",""),IF(AND(IFERROR(INDEX(Lists!$K$2:$K$15,MATCH(D141,Lists!$J$2:$J$15,0)),-1)&gt;=6,F141="N"),"status "&amp;D141&amp;" but no tracker row",IF(AND(E141="Y",D141&lt;&gt;"do_not_contact"),"do_not_contact = Y but status is "&amp;D141,IF(AND(D141="do_not_contact",E141&lt;&gt;"Y"),"status do_not_contact but do_not_contact is not Y",""))))))</f>
        <v/>
      </c>
      <c r="I141" s="23" t="n">
        <v>120</v>
      </c>
      <c r="J141" s="23" t="str">
        <f aca="false">IFERROR(INDEX(Clay_Brands!$A$2:$FZ$601,I141,$D$5)&amp;"","")</f>
        <v/>
      </c>
      <c r="K141" s="23" t="str">
        <f aca="false">IFERROR(INDEX(Clay_Brands!$A$2:$FZ$601,I141,$D$7)&amp;"","")</f>
        <v/>
      </c>
      <c r="L141" s="23" t="str">
        <f aca="false">IFERROR(INDEX(Clay_Brands!$A$2:$FZ$601,I141,$D$8)&amp;"","")</f>
        <v/>
      </c>
      <c r="M141" s="23" t="str">
        <f aca="false">IF(J141="","",IF(COUNTIF(Brand_Log!$A$2:$A$201,J141)&gt;0,"Y","N"))</f>
        <v/>
      </c>
      <c r="N141" s="34" t="str">
        <f aca="false">IF(OR(J141="",AND(LEFT(J141,6)="SAMPLE",Config!$B$19&lt;&gt;"Y")),"",IF(IFERROR(INDEX(Lists!$K$2:$K$15,MATCH(K141,Lists!$J$2:$J$15,0)),-1)=-1,"status '"&amp;K141&amp;"' is not a CONTRACTS status",IF(AND(K141="paid",COUNTIF(paid_brands!$AC$2:$AC$51,J141)=0),"status paid but no paid_brands row"&amp;IF(M141="N"," and no tracker row",""),IF(AND(IFERROR(INDEX(Lists!$K$2:$K$15,MATCH(K141,Lists!$J$2:$J$15,0)),-1)&gt;=6,M141="N"),"status "&amp;K141&amp;" but no tracker row",IF(AND(L141="Y",K141&lt;&gt;"do_not_contact"),"do_not_contact = Y but status is "&amp;K141,IF(AND(K141="do_not_contact",L141&lt;&gt;"Y"),"status do_not_contact but do_not_contact is not Y",""))))))</f>
        <v/>
      </c>
    </row>
    <row r="142" customFormat="false" ht="15" hidden="false" customHeight="false" outlineLevel="0" collapsed="false">
      <c r="B142" s="23" t="n">
        <v>121</v>
      </c>
      <c r="C142" s="23" t="str">
        <f aca="false">IFERROR(INDEX(Clay_Offices!$A$2:$FZ$601,B142,$C$5)&amp;"","")</f>
        <v/>
      </c>
      <c r="D142" s="23" t="str">
        <f aca="false">IFERROR(INDEX(Clay_Offices!$A$2:$FZ$601,B142,$C$7)&amp;"","")</f>
        <v/>
      </c>
      <c r="E142" s="23" t="str">
        <f aca="false">IFERROR(INDEX(Clay_Offices!$A$2:$FZ$601,B142,$C$8)&amp;"","")</f>
        <v/>
      </c>
      <c r="F142" s="23" t="str">
        <f aca="false">IF(C142="","",IF(COUNTIF(Office_Log!$A$2:$A$201,C142)&gt;0,"Y","N"))</f>
        <v/>
      </c>
      <c r="G142" s="34" t="str">
        <f aca="false">IF(OR(C142="",AND(LEFT(C142,6)="SAMPLE",Config!$B$19&lt;&gt;"Y")),"",IF(IFERROR(INDEX(Lists!$K$2:$K$15,MATCH(D142,Lists!$J$2:$J$15,0)),-1)=-1,"status '"&amp;D142&amp;"' is not a CONTRACTS status",IF(AND(D142="signed",COUNTIF(signed_offices!$W$2:$W$51,C142)=0),"status signed but no signed_offices row"&amp;IF(F142="N"," and no tracker row",""),IF(AND(IFERROR(INDEX(Lists!$K$2:$K$15,MATCH(D142,Lists!$J$2:$J$15,0)),-1)&gt;=6,F142="N"),"status "&amp;D142&amp;" but no tracker row",IF(AND(E142="Y",D142&lt;&gt;"do_not_contact"),"do_not_contact = Y but status is "&amp;D142,IF(AND(D142="do_not_contact",E142&lt;&gt;"Y"),"status do_not_contact but do_not_contact is not Y",""))))))</f>
        <v/>
      </c>
      <c r="I142" s="23" t="n">
        <v>121</v>
      </c>
      <c r="J142" s="23" t="str">
        <f aca="false">IFERROR(INDEX(Clay_Brands!$A$2:$FZ$601,I142,$D$5)&amp;"","")</f>
        <v/>
      </c>
      <c r="K142" s="23" t="str">
        <f aca="false">IFERROR(INDEX(Clay_Brands!$A$2:$FZ$601,I142,$D$7)&amp;"","")</f>
        <v/>
      </c>
      <c r="L142" s="23" t="str">
        <f aca="false">IFERROR(INDEX(Clay_Brands!$A$2:$FZ$601,I142,$D$8)&amp;"","")</f>
        <v/>
      </c>
      <c r="M142" s="23" t="str">
        <f aca="false">IF(J142="","",IF(COUNTIF(Brand_Log!$A$2:$A$201,J142)&gt;0,"Y","N"))</f>
        <v/>
      </c>
      <c r="N142" s="34" t="str">
        <f aca="false">IF(OR(J142="",AND(LEFT(J142,6)="SAMPLE",Config!$B$19&lt;&gt;"Y")),"",IF(IFERROR(INDEX(Lists!$K$2:$K$15,MATCH(K142,Lists!$J$2:$J$15,0)),-1)=-1,"status '"&amp;K142&amp;"' is not a CONTRACTS status",IF(AND(K142="paid",COUNTIF(paid_brands!$AC$2:$AC$51,J142)=0),"status paid but no paid_brands row"&amp;IF(M142="N"," and no tracker row",""),IF(AND(IFERROR(INDEX(Lists!$K$2:$K$15,MATCH(K142,Lists!$J$2:$J$15,0)),-1)&gt;=6,M142="N"),"status "&amp;K142&amp;" but no tracker row",IF(AND(L142="Y",K142&lt;&gt;"do_not_contact"),"do_not_contact = Y but status is "&amp;K142,IF(AND(K142="do_not_contact",L142&lt;&gt;"Y"),"status do_not_contact but do_not_contact is not Y",""))))))</f>
        <v/>
      </c>
    </row>
    <row r="143" customFormat="false" ht="15" hidden="false" customHeight="false" outlineLevel="0" collapsed="false">
      <c r="B143" s="23" t="n">
        <v>122</v>
      </c>
      <c r="C143" s="23" t="str">
        <f aca="false">IFERROR(INDEX(Clay_Offices!$A$2:$FZ$601,B143,$C$5)&amp;"","")</f>
        <v/>
      </c>
      <c r="D143" s="23" t="str">
        <f aca="false">IFERROR(INDEX(Clay_Offices!$A$2:$FZ$601,B143,$C$7)&amp;"","")</f>
        <v/>
      </c>
      <c r="E143" s="23" t="str">
        <f aca="false">IFERROR(INDEX(Clay_Offices!$A$2:$FZ$601,B143,$C$8)&amp;"","")</f>
        <v/>
      </c>
      <c r="F143" s="23" t="str">
        <f aca="false">IF(C143="","",IF(COUNTIF(Office_Log!$A$2:$A$201,C143)&gt;0,"Y","N"))</f>
        <v/>
      </c>
      <c r="G143" s="34" t="str">
        <f aca="false">IF(OR(C143="",AND(LEFT(C143,6)="SAMPLE",Config!$B$19&lt;&gt;"Y")),"",IF(IFERROR(INDEX(Lists!$K$2:$K$15,MATCH(D143,Lists!$J$2:$J$15,0)),-1)=-1,"status '"&amp;D143&amp;"' is not a CONTRACTS status",IF(AND(D143="signed",COUNTIF(signed_offices!$W$2:$W$51,C143)=0),"status signed but no signed_offices row"&amp;IF(F143="N"," and no tracker row",""),IF(AND(IFERROR(INDEX(Lists!$K$2:$K$15,MATCH(D143,Lists!$J$2:$J$15,0)),-1)&gt;=6,F143="N"),"status "&amp;D143&amp;" but no tracker row",IF(AND(E143="Y",D143&lt;&gt;"do_not_contact"),"do_not_contact = Y but status is "&amp;D143,IF(AND(D143="do_not_contact",E143&lt;&gt;"Y"),"status do_not_contact but do_not_contact is not Y",""))))))</f>
        <v/>
      </c>
      <c r="I143" s="23" t="n">
        <v>122</v>
      </c>
      <c r="J143" s="23" t="str">
        <f aca="false">IFERROR(INDEX(Clay_Brands!$A$2:$FZ$601,I143,$D$5)&amp;"","")</f>
        <v/>
      </c>
      <c r="K143" s="23" t="str">
        <f aca="false">IFERROR(INDEX(Clay_Brands!$A$2:$FZ$601,I143,$D$7)&amp;"","")</f>
        <v/>
      </c>
      <c r="L143" s="23" t="str">
        <f aca="false">IFERROR(INDEX(Clay_Brands!$A$2:$FZ$601,I143,$D$8)&amp;"","")</f>
        <v/>
      </c>
      <c r="M143" s="23" t="str">
        <f aca="false">IF(J143="","",IF(COUNTIF(Brand_Log!$A$2:$A$201,J143)&gt;0,"Y","N"))</f>
        <v/>
      </c>
      <c r="N143" s="34" t="str">
        <f aca="false">IF(OR(J143="",AND(LEFT(J143,6)="SAMPLE",Config!$B$19&lt;&gt;"Y")),"",IF(IFERROR(INDEX(Lists!$K$2:$K$15,MATCH(K143,Lists!$J$2:$J$15,0)),-1)=-1,"status '"&amp;K143&amp;"' is not a CONTRACTS status",IF(AND(K143="paid",COUNTIF(paid_brands!$AC$2:$AC$51,J143)=0),"status paid but no paid_brands row"&amp;IF(M143="N"," and no tracker row",""),IF(AND(IFERROR(INDEX(Lists!$K$2:$K$15,MATCH(K143,Lists!$J$2:$J$15,0)),-1)&gt;=6,M143="N"),"status "&amp;K143&amp;" but no tracker row",IF(AND(L143="Y",K143&lt;&gt;"do_not_contact"),"do_not_contact = Y but status is "&amp;K143,IF(AND(K143="do_not_contact",L143&lt;&gt;"Y"),"status do_not_contact but do_not_contact is not Y",""))))))</f>
        <v/>
      </c>
    </row>
    <row r="144" customFormat="false" ht="15" hidden="false" customHeight="false" outlineLevel="0" collapsed="false">
      <c r="B144" s="23" t="n">
        <v>123</v>
      </c>
      <c r="C144" s="23" t="str">
        <f aca="false">IFERROR(INDEX(Clay_Offices!$A$2:$FZ$601,B144,$C$5)&amp;"","")</f>
        <v/>
      </c>
      <c r="D144" s="23" t="str">
        <f aca="false">IFERROR(INDEX(Clay_Offices!$A$2:$FZ$601,B144,$C$7)&amp;"","")</f>
        <v/>
      </c>
      <c r="E144" s="23" t="str">
        <f aca="false">IFERROR(INDEX(Clay_Offices!$A$2:$FZ$601,B144,$C$8)&amp;"","")</f>
        <v/>
      </c>
      <c r="F144" s="23" t="str">
        <f aca="false">IF(C144="","",IF(COUNTIF(Office_Log!$A$2:$A$201,C144)&gt;0,"Y","N"))</f>
        <v/>
      </c>
      <c r="G144" s="34" t="str">
        <f aca="false">IF(OR(C144="",AND(LEFT(C144,6)="SAMPLE",Config!$B$19&lt;&gt;"Y")),"",IF(IFERROR(INDEX(Lists!$K$2:$K$15,MATCH(D144,Lists!$J$2:$J$15,0)),-1)=-1,"status '"&amp;D144&amp;"' is not a CONTRACTS status",IF(AND(D144="signed",COUNTIF(signed_offices!$W$2:$W$51,C144)=0),"status signed but no signed_offices row"&amp;IF(F144="N"," and no tracker row",""),IF(AND(IFERROR(INDEX(Lists!$K$2:$K$15,MATCH(D144,Lists!$J$2:$J$15,0)),-1)&gt;=6,F144="N"),"status "&amp;D144&amp;" but no tracker row",IF(AND(E144="Y",D144&lt;&gt;"do_not_contact"),"do_not_contact = Y but status is "&amp;D144,IF(AND(D144="do_not_contact",E144&lt;&gt;"Y"),"status do_not_contact but do_not_contact is not Y",""))))))</f>
        <v/>
      </c>
      <c r="I144" s="23" t="n">
        <v>123</v>
      </c>
      <c r="J144" s="23" t="str">
        <f aca="false">IFERROR(INDEX(Clay_Brands!$A$2:$FZ$601,I144,$D$5)&amp;"","")</f>
        <v/>
      </c>
      <c r="K144" s="23" t="str">
        <f aca="false">IFERROR(INDEX(Clay_Brands!$A$2:$FZ$601,I144,$D$7)&amp;"","")</f>
        <v/>
      </c>
      <c r="L144" s="23" t="str">
        <f aca="false">IFERROR(INDEX(Clay_Brands!$A$2:$FZ$601,I144,$D$8)&amp;"","")</f>
        <v/>
      </c>
      <c r="M144" s="23" t="str">
        <f aca="false">IF(J144="","",IF(COUNTIF(Brand_Log!$A$2:$A$201,J144)&gt;0,"Y","N"))</f>
        <v/>
      </c>
      <c r="N144" s="34" t="str">
        <f aca="false">IF(OR(J144="",AND(LEFT(J144,6)="SAMPLE",Config!$B$19&lt;&gt;"Y")),"",IF(IFERROR(INDEX(Lists!$K$2:$K$15,MATCH(K144,Lists!$J$2:$J$15,0)),-1)=-1,"status '"&amp;K144&amp;"' is not a CONTRACTS status",IF(AND(K144="paid",COUNTIF(paid_brands!$AC$2:$AC$51,J144)=0),"status paid but no paid_brands row"&amp;IF(M144="N"," and no tracker row",""),IF(AND(IFERROR(INDEX(Lists!$K$2:$K$15,MATCH(K144,Lists!$J$2:$J$15,0)),-1)&gt;=6,M144="N"),"status "&amp;K144&amp;" but no tracker row",IF(AND(L144="Y",K144&lt;&gt;"do_not_contact"),"do_not_contact = Y but status is "&amp;K144,IF(AND(K144="do_not_contact",L144&lt;&gt;"Y"),"status do_not_contact but do_not_contact is not Y",""))))))</f>
        <v/>
      </c>
    </row>
    <row r="145" customFormat="false" ht="15" hidden="false" customHeight="false" outlineLevel="0" collapsed="false">
      <c r="B145" s="23" t="n">
        <v>124</v>
      </c>
      <c r="C145" s="23" t="str">
        <f aca="false">IFERROR(INDEX(Clay_Offices!$A$2:$FZ$601,B145,$C$5)&amp;"","")</f>
        <v/>
      </c>
      <c r="D145" s="23" t="str">
        <f aca="false">IFERROR(INDEX(Clay_Offices!$A$2:$FZ$601,B145,$C$7)&amp;"","")</f>
        <v/>
      </c>
      <c r="E145" s="23" t="str">
        <f aca="false">IFERROR(INDEX(Clay_Offices!$A$2:$FZ$601,B145,$C$8)&amp;"","")</f>
        <v/>
      </c>
      <c r="F145" s="23" t="str">
        <f aca="false">IF(C145="","",IF(COUNTIF(Office_Log!$A$2:$A$201,C145)&gt;0,"Y","N"))</f>
        <v/>
      </c>
      <c r="G145" s="34" t="str">
        <f aca="false">IF(OR(C145="",AND(LEFT(C145,6)="SAMPLE",Config!$B$19&lt;&gt;"Y")),"",IF(IFERROR(INDEX(Lists!$K$2:$K$15,MATCH(D145,Lists!$J$2:$J$15,0)),-1)=-1,"status '"&amp;D145&amp;"' is not a CONTRACTS status",IF(AND(D145="signed",COUNTIF(signed_offices!$W$2:$W$51,C145)=0),"status signed but no signed_offices row"&amp;IF(F145="N"," and no tracker row",""),IF(AND(IFERROR(INDEX(Lists!$K$2:$K$15,MATCH(D145,Lists!$J$2:$J$15,0)),-1)&gt;=6,F145="N"),"status "&amp;D145&amp;" but no tracker row",IF(AND(E145="Y",D145&lt;&gt;"do_not_contact"),"do_not_contact = Y but status is "&amp;D145,IF(AND(D145="do_not_contact",E145&lt;&gt;"Y"),"status do_not_contact but do_not_contact is not Y",""))))))</f>
        <v/>
      </c>
      <c r="I145" s="23" t="n">
        <v>124</v>
      </c>
      <c r="J145" s="23" t="str">
        <f aca="false">IFERROR(INDEX(Clay_Brands!$A$2:$FZ$601,I145,$D$5)&amp;"","")</f>
        <v/>
      </c>
      <c r="K145" s="23" t="str">
        <f aca="false">IFERROR(INDEX(Clay_Brands!$A$2:$FZ$601,I145,$D$7)&amp;"","")</f>
        <v/>
      </c>
      <c r="L145" s="23" t="str">
        <f aca="false">IFERROR(INDEX(Clay_Brands!$A$2:$FZ$601,I145,$D$8)&amp;"","")</f>
        <v/>
      </c>
      <c r="M145" s="23" t="str">
        <f aca="false">IF(J145="","",IF(COUNTIF(Brand_Log!$A$2:$A$201,J145)&gt;0,"Y","N"))</f>
        <v/>
      </c>
      <c r="N145" s="34" t="str">
        <f aca="false">IF(OR(J145="",AND(LEFT(J145,6)="SAMPLE",Config!$B$19&lt;&gt;"Y")),"",IF(IFERROR(INDEX(Lists!$K$2:$K$15,MATCH(K145,Lists!$J$2:$J$15,0)),-1)=-1,"status '"&amp;K145&amp;"' is not a CONTRACTS status",IF(AND(K145="paid",COUNTIF(paid_brands!$AC$2:$AC$51,J145)=0),"status paid but no paid_brands row"&amp;IF(M145="N"," and no tracker row",""),IF(AND(IFERROR(INDEX(Lists!$K$2:$K$15,MATCH(K145,Lists!$J$2:$J$15,0)),-1)&gt;=6,M145="N"),"status "&amp;K145&amp;" but no tracker row",IF(AND(L145="Y",K145&lt;&gt;"do_not_contact"),"do_not_contact = Y but status is "&amp;K145,IF(AND(K145="do_not_contact",L145&lt;&gt;"Y"),"status do_not_contact but do_not_contact is not Y",""))))))</f>
        <v/>
      </c>
    </row>
    <row r="146" customFormat="false" ht="15" hidden="false" customHeight="false" outlineLevel="0" collapsed="false">
      <c r="B146" s="23" t="n">
        <v>125</v>
      </c>
      <c r="C146" s="23" t="str">
        <f aca="false">IFERROR(INDEX(Clay_Offices!$A$2:$FZ$601,B146,$C$5)&amp;"","")</f>
        <v/>
      </c>
      <c r="D146" s="23" t="str">
        <f aca="false">IFERROR(INDEX(Clay_Offices!$A$2:$FZ$601,B146,$C$7)&amp;"","")</f>
        <v/>
      </c>
      <c r="E146" s="23" t="str">
        <f aca="false">IFERROR(INDEX(Clay_Offices!$A$2:$FZ$601,B146,$C$8)&amp;"","")</f>
        <v/>
      </c>
      <c r="F146" s="23" t="str">
        <f aca="false">IF(C146="","",IF(COUNTIF(Office_Log!$A$2:$A$201,C146)&gt;0,"Y","N"))</f>
        <v/>
      </c>
      <c r="G146" s="34" t="str">
        <f aca="false">IF(OR(C146="",AND(LEFT(C146,6)="SAMPLE",Config!$B$19&lt;&gt;"Y")),"",IF(IFERROR(INDEX(Lists!$K$2:$K$15,MATCH(D146,Lists!$J$2:$J$15,0)),-1)=-1,"status '"&amp;D146&amp;"' is not a CONTRACTS status",IF(AND(D146="signed",COUNTIF(signed_offices!$W$2:$W$51,C146)=0),"status signed but no signed_offices row"&amp;IF(F146="N"," and no tracker row",""),IF(AND(IFERROR(INDEX(Lists!$K$2:$K$15,MATCH(D146,Lists!$J$2:$J$15,0)),-1)&gt;=6,F146="N"),"status "&amp;D146&amp;" but no tracker row",IF(AND(E146="Y",D146&lt;&gt;"do_not_contact"),"do_not_contact = Y but status is "&amp;D146,IF(AND(D146="do_not_contact",E146&lt;&gt;"Y"),"status do_not_contact but do_not_contact is not Y",""))))))</f>
        <v/>
      </c>
      <c r="I146" s="23" t="n">
        <v>125</v>
      </c>
      <c r="J146" s="23" t="str">
        <f aca="false">IFERROR(INDEX(Clay_Brands!$A$2:$FZ$601,I146,$D$5)&amp;"","")</f>
        <v/>
      </c>
      <c r="K146" s="23" t="str">
        <f aca="false">IFERROR(INDEX(Clay_Brands!$A$2:$FZ$601,I146,$D$7)&amp;"","")</f>
        <v/>
      </c>
      <c r="L146" s="23" t="str">
        <f aca="false">IFERROR(INDEX(Clay_Brands!$A$2:$FZ$601,I146,$D$8)&amp;"","")</f>
        <v/>
      </c>
      <c r="M146" s="23" t="str">
        <f aca="false">IF(J146="","",IF(COUNTIF(Brand_Log!$A$2:$A$201,J146)&gt;0,"Y","N"))</f>
        <v/>
      </c>
      <c r="N146" s="34" t="str">
        <f aca="false">IF(OR(J146="",AND(LEFT(J146,6)="SAMPLE",Config!$B$19&lt;&gt;"Y")),"",IF(IFERROR(INDEX(Lists!$K$2:$K$15,MATCH(K146,Lists!$J$2:$J$15,0)),-1)=-1,"status '"&amp;K146&amp;"' is not a CONTRACTS status",IF(AND(K146="paid",COUNTIF(paid_brands!$AC$2:$AC$51,J146)=0),"status paid but no paid_brands row"&amp;IF(M146="N"," and no tracker row",""),IF(AND(IFERROR(INDEX(Lists!$K$2:$K$15,MATCH(K146,Lists!$J$2:$J$15,0)),-1)&gt;=6,M146="N"),"status "&amp;K146&amp;" but no tracker row",IF(AND(L146="Y",K146&lt;&gt;"do_not_contact"),"do_not_contact = Y but status is "&amp;K146,IF(AND(K146="do_not_contact",L146&lt;&gt;"Y"),"status do_not_contact but do_not_contact is not Y",""))))))</f>
        <v/>
      </c>
    </row>
    <row r="147" customFormat="false" ht="15" hidden="false" customHeight="false" outlineLevel="0" collapsed="false">
      <c r="B147" s="23" t="n">
        <v>126</v>
      </c>
      <c r="C147" s="23" t="str">
        <f aca="false">IFERROR(INDEX(Clay_Offices!$A$2:$FZ$601,B147,$C$5)&amp;"","")</f>
        <v/>
      </c>
      <c r="D147" s="23" t="str">
        <f aca="false">IFERROR(INDEX(Clay_Offices!$A$2:$FZ$601,B147,$C$7)&amp;"","")</f>
        <v/>
      </c>
      <c r="E147" s="23" t="str">
        <f aca="false">IFERROR(INDEX(Clay_Offices!$A$2:$FZ$601,B147,$C$8)&amp;"","")</f>
        <v/>
      </c>
      <c r="F147" s="23" t="str">
        <f aca="false">IF(C147="","",IF(COUNTIF(Office_Log!$A$2:$A$201,C147)&gt;0,"Y","N"))</f>
        <v/>
      </c>
      <c r="G147" s="34" t="str">
        <f aca="false">IF(OR(C147="",AND(LEFT(C147,6)="SAMPLE",Config!$B$19&lt;&gt;"Y")),"",IF(IFERROR(INDEX(Lists!$K$2:$K$15,MATCH(D147,Lists!$J$2:$J$15,0)),-1)=-1,"status '"&amp;D147&amp;"' is not a CONTRACTS status",IF(AND(D147="signed",COUNTIF(signed_offices!$W$2:$W$51,C147)=0),"status signed but no signed_offices row"&amp;IF(F147="N"," and no tracker row",""),IF(AND(IFERROR(INDEX(Lists!$K$2:$K$15,MATCH(D147,Lists!$J$2:$J$15,0)),-1)&gt;=6,F147="N"),"status "&amp;D147&amp;" but no tracker row",IF(AND(E147="Y",D147&lt;&gt;"do_not_contact"),"do_not_contact = Y but status is "&amp;D147,IF(AND(D147="do_not_contact",E147&lt;&gt;"Y"),"status do_not_contact but do_not_contact is not Y",""))))))</f>
        <v/>
      </c>
      <c r="I147" s="23" t="n">
        <v>126</v>
      </c>
      <c r="J147" s="23" t="str">
        <f aca="false">IFERROR(INDEX(Clay_Brands!$A$2:$FZ$601,I147,$D$5)&amp;"","")</f>
        <v/>
      </c>
      <c r="K147" s="23" t="str">
        <f aca="false">IFERROR(INDEX(Clay_Brands!$A$2:$FZ$601,I147,$D$7)&amp;"","")</f>
        <v/>
      </c>
      <c r="L147" s="23" t="str">
        <f aca="false">IFERROR(INDEX(Clay_Brands!$A$2:$FZ$601,I147,$D$8)&amp;"","")</f>
        <v/>
      </c>
      <c r="M147" s="23" t="str">
        <f aca="false">IF(J147="","",IF(COUNTIF(Brand_Log!$A$2:$A$201,J147)&gt;0,"Y","N"))</f>
        <v/>
      </c>
      <c r="N147" s="34" t="str">
        <f aca="false">IF(OR(J147="",AND(LEFT(J147,6)="SAMPLE",Config!$B$19&lt;&gt;"Y")),"",IF(IFERROR(INDEX(Lists!$K$2:$K$15,MATCH(K147,Lists!$J$2:$J$15,0)),-1)=-1,"status '"&amp;K147&amp;"' is not a CONTRACTS status",IF(AND(K147="paid",COUNTIF(paid_brands!$AC$2:$AC$51,J147)=0),"status paid but no paid_brands row"&amp;IF(M147="N"," and no tracker row",""),IF(AND(IFERROR(INDEX(Lists!$K$2:$K$15,MATCH(K147,Lists!$J$2:$J$15,0)),-1)&gt;=6,M147="N"),"status "&amp;K147&amp;" but no tracker row",IF(AND(L147="Y",K147&lt;&gt;"do_not_contact"),"do_not_contact = Y but status is "&amp;K147,IF(AND(K147="do_not_contact",L147&lt;&gt;"Y"),"status do_not_contact but do_not_contact is not Y",""))))))</f>
        <v/>
      </c>
    </row>
    <row r="148" customFormat="false" ht="15" hidden="false" customHeight="false" outlineLevel="0" collapsed="false">
      <c r="B148" s="23" t="n">
        <v>127</v>
      </c>
      <c r="C148" s="23" t="str">
        <f aca="false">IFERROR(INDEX(Clay_Offices!$A$2:$FZ$601,B148,$C$5)&amp;"","")</f>
        <v/>
      </c>
      <c r="D148" s="23" t="str">
        <f aca="false">IFERROR(INDEX(Clay_Offices!$A$2:$FZ$601,B148,$C$7)&amp;"","")</f>
        <v/>
      </c>
      <c r="E148" s="23" t="str">
        <f aca="false">IFERROR(INDEX(Clay_Offices!$A$2:$FZ$601,B148,$C$8)&amp;"","")</f>
        <v/>
      </c>
      <c r="F148" s="23" t="str">
        <f aca="false">IF(C148="","",IF(COUNTIF(Office_Log!$A$2:$A$201,C148)&gt;0,"Y","N"))</f>
        <v/>
      </c>
      <c r="G148" s="34" t="str">
        <f aca="false">IF(OR(C148="",AND(LEFT(C148,6)="SAMPLE",Config!$B$19&lt;&gt;"Y")),"",IF(IFERROR(INDEX(Lists!$K$2:$K$15,MATCH(D148,Lists!$J$2:$J$15,0)),-1)=-1,"status '"&amp;D148&amp;"' is not a CONTRACTS status",IF(AND(D148="signed",COUNTIF(signed_offices!$W$2:$W$51,C148)=0),"status signed but no signed_offices row"&amp;IF(F148="N"," and no tracker row",""),IF(AND(IFERROR(INDEX(Lists!$K$2:$K$15,MATCH(D148,Lists!$J$2:$J$15,0)),-1)&gt;=6,F148="N"),"status "&amp;D148&amp;" but no tracker row",IF(AND(E148="Y",D148&lt;&gt;"do_not_contact"),"do_not_contact = Y but status is "&amp;D148,IF(AND(D148="do_not_contact",E148&lt;&gt;"Y"),"status do_not_contact but do_not_contact is not Y",""))))))</f>
        <v/>
      </c>
      <c r="I148" s="23" t="n">
        <v>127</v>
      </c>
      <c r="J148" s="23" t="str">
        <f aca="false">IFERROR(INDEX(Clay_Brands!$A$2:$FZ$601,I148,$D$5)&amp;"","")</f>
        <v/>
      </c>
      <c r="K148" s="23" t="str">
        <f aca="false">IFERROR(INDEX(Clay_Brands!$A$2:$FZ$601,I148,$D$7)&amp;"","")</f>
        <v/>
      </c>
      <c r="L148" s="23" t="str">
        <f aca="false">IFERROR(INDEX(Clay_Brands!$A$2:$FZ$601,I148,$D$8)&amp;"","")</f>
        <v/>
      </c>
      <c r="M148" s="23" t="str">
        <f aca="false">IF(J148="","",IF(COUNTIF(Brand_Log!$A$2:$A$201,J148)&gt;0,"Y","N"))</f>
        <v/>
      </c>
      <c r="N148" s="34" t="str">
        <f aca="false">IF(OR(J148="",AND(LEFT(J148,6)="SAMPLE",Config!$B$19&lt;&gt;"Y")),"",IF(IFERROR(INDEX(Lists!$K$2:$K$15,MATCH(K148,Lists!$J$2:$J$15,0)),-1)=-1,"status '"&amp;K148&amp;"' is not a CONTRACTS status",IF(AND(K148="paid",COUNTIF(paid_brands!$AC$2:$AC$51,J148)=0),"status paid but no paid_brands row"&amp;IF(M148="N"," and no tracker row",""),IF(AND(IFERROR(INDEX(Lists!$K$2:$K$15,MATCH(K148,Lists!$J$2:$J$15,0)),-1)&gt;=6,M148="N"),"status "&amp;K148&amp;" but no tracker row",IF(AND(L148="Y",K148&lt;&gt;"do_not_contact"),"do_not_contact = Y but status is "&amp;K148,IF(AND(K148="do_not_contact",L148&lt;&gt;"Y"),"status do_not_contact but do_not_contact is not Y",""))))))</f>
        <v/>
      </c>
    </row>
    <row r="149" customFormat="false" ht="15" hidden="false" customHeight="false" outlineLevel="0" collapsed="false">
      <c r="B149" s="23" t="n">
        <v>128</v>
      </c>
      <c r="C149" s="23" t="str">
        <f aca="false">IFERROR(INDEX(Clay_Offices!$A$2:$FZ$601,B149,$C$5)&amp;"","")</f>
        <v/>
      </c>
      <c r="D149" s="23" t="str">
        <f aca="false">IFERROR(INDEX(Clay_Offices!$A$2:$FZ$601,B149,$C$7)&amp;"","")</f>
        <v/>
      </c>
      <c r="E149" s="23" t="str">
        <f aca="false">IFERROR(INDEX(Clay_Offices!$A$2:$FZ$601,B149,$C$8)&amp;"","")</f>
        <v/>
      </c>
      <c r="F149" s="23" t="str">
        <f aca="false">IF(C149="","",IF(COUNTIF(Office_Log!$A$2:$A$201,C149)&gt;0,"Y","N"))</f>
        <v/>
      </c>
      <c r="G149" s="34" t="str">
        <f aca="false">IF(OR(C149="",AND(LEFT(C149,6)="SAMPLE",Config!$B$19&lt;&gt;"Y")),"",IF(IFERROR(INDEX(Lists!$K$2:$K$15,MATCH(D149,Lists!$J$2:$J$15,0)),-1)=-1,"status '"&amp;D149&amp;"' is not a CONTRACTS status",IF(AND(D149="signed",COUNTIF(signed_offices!$W$2:$W$51,C149)=0),"status signed but no signed_offices row"&amp;IF(F149="N"," and no tracker row",""),IF(AND(IFERROR(INDEX(Lists!$K$2:$K$15,MATCH(D149,Lists!$J$2:$J$15,0)),-1)&gt;=6,F149="N"),"status "&amp;D149&amp;" but no tracker row",IF(AND(E149="Y",D149&lt;&gt;"do_not_contact"),"do_not_contact = Y but status is "&amp;D149,IF(AND(D149="do_not_contact",E149&lt;&gt;"Y"),"status do_not_contact but do_not_contact is not Y",""))))))</f>
        <v/>
      </c>
      <c r="I149" s="23" t="n">
        <v>128</v>
      </c>
      <c r="J149" s="23" t="str">
        <f aca="false">IFERROR(INDEX(Clay_Brands!$A$2:$FZ$601,I149,$D$5)&amp;"","")</f>
        <v/>
      </c>
      <c r="K149" s="23" t="str">
        <f aca="false">IFERROR(INDEX(Clay_Brands!$A$2:$FZ$601,I149,$D$7)&amp;"","")</f>
        <v/>
      </c>
      <c r="L149" s="23" t="str">
        <f aca="false">IFERROR(INDEX(Clay_Brands!$A$2:$FZ$601,I149,$D$8)&amp;"","")</f>
        <v/>
      </c>
      <c r="M149" s="23" t="str">
        <f aca="false">IF(J149="","",IF(COUNTIF(Brand_Log!$A$2:$A$201,J149)&gt;0,"Y","N"))</f>
        <v/>
      </c>
      <c r="N149" s="34" t="str">
        <f aca="false">IF(OR(J149="",AND(LEFT(J149,6)="SAMPLE",Config!$B$19&lt;&gt;"Y")),"",IF(IFERROR(INDEX(Lists!$K$2:$K$15,MATCH(K149,Lists!$J$2:$J$15,0)),-1)=-1,"status '"&amp;K149&amp;"' is not a CONTRACTS status",IF(AND(K149="paid",COUNTIF(paid_brands!$AC$2:$AC$51,J149)=0),"status paid but no paid_brands row"&amp;IF(M149="N"," and no tracker row",""),IF(AND(IFERROR(INDEX(Lists!$K$2:$K$15,MATCH(K149,Lists!$J$2:$J$15,0)),-1)&gt;=6,M149="N"),"status "&amp;K149&amp;" but no tracker row",IF(AND(L149="Y",K149&lt;&gt;"do_not_contact"),"do_not_contact = Y but status is "&amp;K149,IF(AND(K149="do_not_contact",L149&lt;&gt;"Y"),"status do_not_contact but do_not_contact is not Y",""))))))</f>
        <v/>
      </c>
    </row>
    <row r="150" customFormat="false" ht="15" hidden="false" customHeight="false" outlineLevel="0" collapsed="false">
      <c r="B150" s="23" t="n">
        <v>129</v>
      </c>
      <c r="C150" s="23" t="str">
        <f aca="false">IFERROR(INDEX(Clay_Offices!$A$2:$FZ$601,B150,$C$5)&amp;"","")</f>
        <v/>
      </c>
      <c r="D150" s="23" t="str">
        <f aca="false">IFERROR(INDEX(Clay_Offices!$A$2:$FZ$601,B150,$C$7)&amp;"","")</f>
        <v/>
      </c>
      <c r="E150" s="23" t="str">
        <f aca="false">IFERROR(INDEX(Clay_Offices!$A$2:$FZ$601,B150,$C$8)&amp;"","")</f>
        <v/>
      </c>
      <c r="F150" s="23" t="str">
        <f aca="false">IF(C150="","",IF(COUNTIF(Office_Log!$A$2:$A$201,C150)&gt;0,"Y","N"))</f>
        <v/>
      </c>
      <c r="G150" s="34" t="str">
        <f aca="false">IF(OR(C150="",AND(LEFT(C150,6)="SAMPLE",Config!$B$19&lt;&gt;"Y")),"",IF(IFERROR(INDEX(Lists!$K$2:$K$15,MATCH(D150,Lists!$J$2:$J$15,0)),-1)=-1,"status '"&amp;D150&amp;"' is not a CONTRACTS status",IF(AND(D150="signed",COUNTIF(signed_offices!$W$2:$W$51,C150)=0),"status signed but no signed_offices row"&amp;IF(F150="N"," and no tracker row",""),IF(AND(IFERROR(INDEX(Lists!$K$2:$K$15,MATCH(D150,Lists!$J$2:$J$15,0)),-1)&gt;=6,F150="N"),"status "&amp;D150&amp;" but no tracker row",IF(AND(E150="Y",D150&lt;&gt;"do_not_contact"),"do_not_contact = Y but status is "&amp;D150,IF(AND(D150="do_not_contact",E150&lt;&gt;"Y"),"status do_not_contact but do_not_contact is not Y",""))))))</f>
        <v/>
      </c>
      <c r="I150" s="23" t="n">
        <v>129</v>
      </c>
      <c r="J150" s="23" t="str">
        <f aca="false">IFERROR(INDEX(Clay_Brands!$A$2:$FZ$601,I150,$D$5)&amp;"","")</f>
        <v/>
      </c>
      <c r="K150" s="23" t="str">
        <f aca="false">IFERROR(INDEX(Clay_Brands!$A$2:$FZ$601,I150,$D$7)&amp;"","")</f>
        <v/>
      </c>
      <c r="L150" s="23" t="str">
        <f aca="false">IFERROR(INDEX(Clay_Brands!$A$2:$FZ$601,I150,$D$8)&amp;"","")</f>
        <v/>
      </c>
      <c r="M150" s="23" t="str">
        <f aca="false">IF(J150="","",IF(COUNTIF(Brand_Log!$A$2:$A$201,J150)&gt;0,"Y","N"))</f>
        <v/>
      </c>
      <c r="N150" s="34" t="str">
        <f aca="false">IF(OR(J150="",AND(LEFT(J150,6)="SAMPLE",Config!$B$19&lt;&gt;"Y")),"",IF(IFERROR(INDEX(Lists!$K$2:$K$15,MATCH(K150,Lists!$J$2:$J$15,0)),-1)=-1,"status '"&amp;K150&amp;"' is not a CONTRACTS status",IF(AND(K150="paid",COUNTIF(paid_brands!$AC$2:$AC$51,J150)=0),"status paid but no paid_brands row"&amp;IF(M150="N"," and no tracker row",""),IF(AND(IFERROR(INDEX(Lists!$K$2:$K$15,MATCH(K150,Lists!$J$2:$J$15,0)),-1)&gt;=6,M150="N"),"status "&amp;K150&amp;" but no tracker row",IF(AND(L150="Y",K150&lt;&gt;"do_not_contact"),"do_not_contact = Y but status is "&amp;K150,IF(AND(K150="do_not_contact",L150&lt;&gt;"Y"),"status do_not_contact but do_not_contact is not Y",""))))))</f>
        <v/>
      </c>
    </row>
    <row r="151" customFormat="false" ht="15" hidden="false" customHeight="false" outlineLevel="0" collapsed="false">
      <c r="B151" s="23" t="n">
        <v>130</v>
      </c>
      <c r="C151" s="23" t="str">
        <f aca="false">IFERROR(INDEX(Clay_Offices!$A$2:$FZ$601,B151,$C$5)&amp;"","")</f>
        <v/>
      </c>
      <c r="D151" s="23" t="str">
        <f aca="false">IFERROR(INDEX(Clay_Offices!$A$2:$FZ$601,B151,$C$7)&amp;"","")</f>
        <v/>
      </c>
      <c r="E151" s="23" t="str">
        <f aca="false">IFERROR(INDEX(Clay_Offices!$A$2:$FZ$601,B151,$C$8)&amp;"","")</f>
        <v/>
      </c>
      <c r="F151" s="23" t="str">
        <f aca="false">IF(C151="","",IF(COUNTIF(Office_Log!$A$2:$A$201,C151)&gt;0,"Y","N"))</f>
        <v/>
      </c>
      <c r="G151" s="34" t="str">
        <f aca="false">IF(OR(C151="",AND(LEFT(C151,6)="SAMPLE",Config!$B$19&lt;&gt;"Y")),"",IF(IFERROR(INDEX(Lists!$K$2:$K$15,MATCH(D151,Lists!$J$2:$J$15,0)),-1)=-1,"status '"&amp;D151&amp;"' is not a CONTRACTS status",IF(AND(D151="signed",COUNTIF(signed_offices!$W$2:$W$51,C151)=0),"status signed but no signed_offices row"&amp;IF(F151="N"," and no tracker row",""),IF(AND(IFERROR(INDEX(Lists!$K$2:$K$15,MATCH(D151,Lists!$J$2:$J$15,0)),-1)&gt;=6,F151="N"),"status "&amp;D151&amp;" but no tracker row",IF(AND(E151="Y",D151&lt;&gt;"do_not_contact"),"do_not_contact = Y but status is "&amp;D151,IF(AND(D151="do_not_contact",E151&lt;&gt;"Y"),"status do_not_contact but do_not_contact is not Y",""))))))</f>
        <v/>
      </c>
      <c r="I151" s="23" t="n">
        <v>130</v>
      </c>
      <c r="J151" s="23" t="str">
        <f aca="false">IFERROR(INDEX(Clay_Brands!$A$2:$FZ$601,I151,$D$5)&amp;"","")</f>
        <v/>
      </c>
      <c r="K151" s="23" t="str">
        <f aca="false">IFERROR(INDEX(Clay_Brands!$A$2:$FZ$601,I151,$D$7)&amp;"","")</f>
        <v/>
      </c>
      <c r="L151" s="23" t="str">
        <f aca="false">IFERROR(INDEX(Clay_Brands!$A$2:$FZ$601,I151,$D$8)&amp;"","")</f>
        <v/>
      </c>
      <c r="M151" s="23" t="str">
        <f aca="false">IF(J151="","",IF(COUNTIF(Brand_Log!$A$2:$A$201,J151)&gt;0,"Y","N"))</f>
        <v/>
      </c>
      <c r="N151" s="34" t="str">
        <f aca="false">IF(OR(J151="",AND(LEFT(J151,6)="SAMPLE",Config!$B$19&lt;&gt;"Y")),"",IF(IFERROR(INDEX(Lists!$K$2:$K$15,MATCH(K151,Lists!$J$2:$J$15,0)),-1)=-1,"status '"&amp;K151&amp;"' is not a CONTRACTS status",IF(AND(K151="paid",COUNTIF(paid_brands!$AC$2:$AC$51,J151)=0),"status paid but no paid_brands row"&amp;IF(M151="N"," and no tracker row",""),IF(AND(IFERROR(INDEX(Lists!$K$2:$K$15,MATCH(K151,Lists!$J$2:$J$15,0)),-1)&gt;=6,M151="N"),"status "&amp;K151&amp;" but no tracker row",IF(AND(L151="Y",K151&lt;&gt;"do_not_contact"),"do_not_contact = Y but status is "&amp;K151,IF(AND(K151="do_not_contact",L151&lt;&gt;"Y"),"status do_not_contact but do_not_contact is not Y",""))))))</f>
        <v/>
      </c>
    </row>
    <row r="152" customFormat="false" ht="15" hidden="false" customHeight="false" outlineLevel="0" collapsed="false">
      <c r="B152" s="23" t="n">
        <v>131</v>
      </c>
      <c r="C152" s="23" t="str">
        <f aca="false">IFERROR(INDEX(Clay_Offices!$A$2:$FZ$601,B152,$C$5)&amp;"","")</f>
        <v/>
      </c>
      <c r="D152" s="23" t="str">
        <f aca="false">IFERROR(INDEX(Clay_Offices!$A$2:$FZ$601,B152,$C$7)&amp;"","")</f>
        <v/>
      </c>
      <c r="E152" s="23" t="str">
        <f aca="false">IFERROR(INDEX(Clay_Offices!$A$2:$FZ$601,B152,$C$8)&amp;"","")</f>
        <v/>
      </c>
      <c r="F152" s="23" t="str">
        <f aca="false">IF(C152="","",IF(COUNTIF(Office_Log!$A$2:$A$201,C152)&gt;0,"Y","N"))</f>
        <v/>
      </c>
      <c r="G152" s="34" t="str">
        <f aca="false">IF(OR(C152="",AND(LEFT(C152,6)="SAMPLE",Config!$B$19&lt;&gt;"Y")),"",IF(IFERROR(INDEX(Lists!$K$2:$K$15,MATCH(D152,Lists!$J$2:$J$15,0)),-1)=-1,"status '"&amp;D152&amp;"' is not a CONTRACTS status",IF(AND(D152="signed",COUNTIF(signed_offices!$W$2:$W$51,C152)=0),"status signed but no signed_offices row"&amp;IF(F152="N"," and no tracker row",""),IF(AND(IFERROR(INDEX(Lists!$K$2:$K$15,MATCH(D152,Lists!$J$2:$J$15,0)),-1)&gt;=6,F152="N"),"status "&amp;D152&amp;" but no tracker row",IF(AND(E152="Y",D152&lt;&gt;"do_not_contact"),"do_not_contact = Y but status is "&amp;D152,IF(AND(D152="do_not_contact",E152&lt;&gt;"Y"),"status do_not_contact but do_not_contact is not Y",""))))))</f>
        <v/>
      </c>
      <c r="I152" s="23" t="n">
        <v>131</v>
      </c>
      <c r="J152" s="23" t="str">
        <f aca="false">IFERROR(INDEX(Clay_Brands!$A$2:$FZ$601,I152,$D$5)&amp;"","")</f>
        <v/>
      </c>
      <c r="K152" s="23" t="str">
        <f aca="false">IFERROR(INDEX(Clay_Brands!$A$2:$FZ$601,I152,$D$7)&amp;"","")</f>
        <v/>
      </c>
      <c r="L152" s="23" t="str">
        <f aca="false">IFERROR(INDEX(Clay_Brands!$A$2:$FZ$601,I152,$D$8)&amp;"","")</f>
        <v/>
      </c>
      <c r="M152" s="23" t="str">
        <f aca="false">IF(J152="","",IF(COUNTIF(Brand_Log!$A$2:$A$201,J152)&gt;0,"Y","N"))</f>
        <v/>
      </c>
      <c r="N152" s="34" t="str">
        <f aca="false">IF(OR(J152="",AND(LEFT(J152,6)="SAMPLE",Config!$B$19&lt;&gt;"Y")),"",IF(IFERROR(INDEX(Lists!$K$2:$K$15,MATCH(K152,Lists!$J$2:$J$15,0)),-1)=-1,"status '"&amp;K152&amp;"' is not a CONTRACTS status",IF(AND(K152="paid",COUNTIF(paid_brands!$AC$2:$AC$51,J152)=0),"status paid but no paid_brands row"&amp;IF(M152="N"," and no tracker row",""),IF(AND(IFERROR(INDEX(Lists!$K$2:$K$15,MATCH(K152,Lists!$J$2:$J$15,0)),-1)&gt;=6,M152="N"),"status "&amp;K152&amp;" but no tracker row",IF(AND(L152="Y",K152&lt;&gt;"do_not_contact"),"do_not_contact = Y but status is "&amp;K152,IF(AND(K152="do_not_contact",L152&lt;&gt;"Y"),"status do_not_contact but do_not_contact is not Y",""))))))</f>
        <v/>
      </c>
    </row>
    <row r="153" customFormat="false" ht="15" hidden="false" customHeight="false" outlineLevel="0" collapsed="false">
      <c r="B153" s="23" t="n">
        <v>132</v>
      </c>
      <c r="C153" s="23" t="str">
        <f aca="false">IFERROR(INDEX(Clay_Offices!$A$2:$FZ$601,B153,$C$5)&amp;"","")</f>
        <v/>
      </c>
      <c r="D153" s="23" t="str">
        <f aca="false">IFERROR(INDEX(Clay_Offices!$A$2:$FZ$601,B153,$C$7)&amp;"","")</f>
        <v/>
      </c>
      <c r="E153" s="23" t="str">
        <f aca="false">IFERROR(INDEX(Clay_Offices!$A$2:$FZ$601,B153,$C$8)&amp;"","")</f>
        <v/>
      </c>
      <c r="F153" s="23" t="str">
        <f aca="false">IF(C153="","",IF(COUNTIF(Office_Log!$A$2:$A$201,C153)&gt;0,"Y","N"))</f>
        <v/>
      </c>
      <c r="G153" s="34" t="str">
        <f aca="false">IF(OR(C153="",AND(LEFT(C153,6)="SAMPLE",Config!$B$19&lt;&gt;"Y")),"",IF(IFERROR(INDEX(Lists!$K$2:$K$15,MATCH(D153,Lists!$J$2:$J$15,0)),-1)=-1,"status '"&amp;D153&amp;"' is not a CONTRACTS status",IF(AND(D153="signed",COUNTIF(signed_offices!$W$2:$W$51,C153)=0),"status signed but no signed_offices row"&amp;IF(F153="N"," and no tracker row",""),IF(AND(IFERROR(INDEX(Lists!$K$2:$K$15,MATCH(D153,Lists!$J$2:$J$15,0)),-1)&gt;=6,F153="N"),"status "&amp;D153&amp;" but no tracker row",IF(AND(E153="Y",D153&lt;&gt;"do_not_contact"),"do_not_contact = Y but status is "&amp;D153,IF(AND(D153="do_not_contact",E153&lt;&gt;"Y"),"status do_not_contact but do_not_contact is not Y",""))))))</f>
        <v/>
      </c>
      <c r="I153" s="23" t="n">
        <v>132</v>
      </c>
      <c r="J153" s="23" t="str">
        <f aca="false">IFERROR(INDEX(Clay_Brands!$A$2:$FZ$601,I153,$D$5)&amp;"","")</f>
        <v/>
      </c>
      <c r="K153" s="23" t="str">
        <f aca="false">IFERROR(INDEX(Clay_Brands!$A$2:$FZ$601,I153,$D$7)&amp;"","")</f>
        <v/>
      </c>
      <c r="L153" s="23" t="str">
        <f aca="false">IFERROR(INDEX(Clay_Brands!$A$2:$FZ$601,I153,$D$8)&amp;"","")</f>
        <v/>
      </c>
      <c r="M153" s="23" t="str">
        <f aca="false">IF(J153="","",IF(COUNTIF(Brand_Log!$A$2:$A$201,J153)&gt;0,"Y","N"))</f>
        <v/>
      </c>
      <c r="N153" s="34" t="str">
        <f aca="false">IF(OR(J153="",AND(LEFT(J153,6)="SAMPLE",Config!$B$19&lt;&gt;"Y")),"",IF(IFERROR(INDEX(Lists!$K$2:$K$15,MATCH(K153,Lists!$J$2:$J$15,0)),-1)=-1,"status '"&amp;K153&amp;"' is not a CONTRACTS status",IF(AND(K153="paid",COUNTIF(paid_brands!$AC$2:$AC$51,J153)=0),"status paid but no paid_brands row"&amp;IF(M153="N"," and no tracker row",""),IF(AND(IFERROR(INDEX(Lists!$K$2:$K$15,MATCH(K153,Lists!$J$2:$J$15,0)),-1)&gt;=6,M153="N"),"status "&amp;K153&amp;" but no tracker row",IF(AND(L153="Y",K153&lt;&gt;"do_not_contact"),"do_not_contact = Y but status is "&amp;K153,IF(AND(K153="do_not_contact",L153&lt;&gt;"Y"),"status do_not_contact but do_not_contact is not Y",""))))))</f>
        <v/>
      </c>
    </row>
    <row r="154" customFormat="false" ht="15" hidden="false" customHeight="false" outlineLevel="0" collapsed="false">
      <c r="B154" s="23" t="n">
        <v>133</v>
      </c>
      <c r="C154" s="23" t="str">
        <f aca="false">IFERROR(INDEX(Clay_Offices!$A$2:$FZ$601,B154,$C$5)&amp;"","")</f>
        <v/>
      </c>
      <c r="D154" s="23" t="str">
        <f aca="false">IFERROR(INDEX(Clay_Offices!$A$2:$FZ$601,B154,$C$7)&amp;"","")</f>
        <v/>
      </c>
      <c r="E154" s="23" t="str">
        <f aca="false">IFERROR(INDEX(Clay_Offices!$A$2:$FZ$601,B154,$C$8)&amp;"","")</f>
        <v/>
      </c>
      <c r="F154" s="23" t="str">
        <f aca="false">IF(C154="","",IF(COUNTIF(Office_Log!$A$2:$A$201,C154)&gt;0,"Y","N"))</f>
        <v/>
      </c>
      <c r="G154" s="34" t="str">
        <f aca="false">IF(OR(C154="",AND(LEFT(C154,6)="SAMPLE",Config!$B$19&lt;&gt;"Y")),"",IF(IFERROR(INDEX(Lists!$K$2:$K$15,MATCH(D154,Lists!$J$2:$J$15,0)),-1)=-1,"status '"&amp;D154&amp;"' is not a CONTRACTS status",IF(AND(D154="signed",COUNTIF(signed_offices!$W$2:$W$51,C154)=0),"status signed but no signed_offices row"&amp;IF(F154="N"," and no tracker row",""),IF(AND(IFERROR(INDEX(Lists!$K$2:$K$15,MATCH(D154,Lists!$J$2:$J$15,0)),-1)&gt;=6,F154="N"),"status "&amp;D154&amp;" but no tracker row",IF(AND(E154="Y",D154&lt;&gt;"do_not_contact"),"do_not_contact = Y but status is "&amp;D154,IF(AND(D154="do_not_contact",E154&lt;&gt;"Y"),"status do_not_contact but do_not_contact is not Y",""))))))</f>
        <v/>
      </c>
      <c r="I154" s="23" t="n">
        <v>133</v>
      </c>
      <c r="J154" s="23" t="str">
        <f aca="false">IFERROR(INDEX(Clay_Brands!$A$2:$FZ$601,I154,$D$5)&amp;"","")</f>
        <v/>
      </c>
      <c r="K154" s="23" t="str">
        <f aca="false">IFERROR(INDEX(Clay_Brands!$A$2:$FZ$601,I154,$D$7)&amp;"","")</f>
        <v/>
      </c>
      <c r="L154" s="23" t="str">
        <f aca="false">IFERROR(INDEX(Clay_Brands!$A$2:$FZ$601,I154,$D$8)&amp;"","")</f>
        <v/>
      </c>
      <c r="M154" s="23" t="str">
        <f aca="false">IF(J154="","",IF(COUNTIF(Brand_Log!$A$2:$A$201,J154)&gt;0,"Y","N"))</f>
        <v/>
      </c>
      <c r="N154" s="34" t="str">
        <f aca="false">IF(OR(J154="",AND(LEFT(J154,6)="SAMPLE",Config!$B$19&lt;&gt;"Y")),"",IF(IFERROR(INDEX(Lists!$K$2:$K$15,MATCH(K154,Lists!$J$2:$J$15,0)),-1)=-1,"status '"&amp;K154&amp;"' is not a CONTRACTS status",IF(AND(K154="paid",COUNTIF(paid_brands!$AC$2:$AC$51,J154)=0),"status paid but no paid_brands row"&amp;IF(M154="N"," and no tracker row",""),IF(AND(IFERROR(INDEX(Lists!$K$2:$K$15,MATCH(K154,Lists!$J$2:$J$15,0)),-1)&gt;=6,M154="N"),"status "&amp;K154&amp;" but no tracker row",IF(AND(L154="Y",K154&lt;&gt;"do_not_contact"),"do_not_contact = Y but status is "&amp;K154,IF(AND(K154="do_not_contact",L154&lt;&gt;"Y"),"status do_not_contact but do_not_contact is not Y",""))))))</f>
        <v/>
      </c>
    </row>
    <row r="155" customFormat="false" ht="15" hidden="false" customHeight="false" outlineLevel="0" collapsed="false">
      <c r="B155" s="23" t="n">
        <v>134</v>
      </c>
      <c r="C155" s="23" t="str">
        <f aca="false">IFERROR(INDEX(Clay_Offices!$A$2:$FZ$601,B155,$C$5)&amp;"","")</f>
        <v/>
      </c>
      <c r="D155" s="23" t="str">
        <f aca="false">IFERROR(INDEX(Clay_Offices!$A$2:$FZ$601,B155,$C$7)&amp;"","")</f>
        <v/>
      </c>
      <c r="E155" s="23" t="str">
        <f aca="false">IFERROR(INDEX(Clay_Offices!$A$2:$FZ$601,B155,$C$8)&amp;"","")</f>
        <v/>
      </c>
      <c r="F155" s="23" t="str">
        <f aca="false">IF(C155="","",IF(COUNTIF(Office_Log!$A$2:$A$201,C155)&gt;0,"Y","N"))</f>
        <v/>
      </c>
      <c r="G155" s="34" t="str">
        <f aca="false">IF(OR(C155="",AND(LEFT(C155,6)="SAMPLE",Config!$B$19&lt;&gt;"Y")),"",IF(IFERROR(INDEX(Lists!$K$2:$K$15,MATCH(D155,Lists!$J$2:$J$15,0)),-1)=-1,"status '"&amp;D155&amp;"' is not a CONTRACTS status",IF(AND(D155="signed",COUNTIF(signed_offices!$W$2:$W$51,C155)=0),"status signed but no signed_offices row"&amp;IF(F155="N"," and no tracker row",""),IF(AND(IFERROR(INDEX(Lists!$K$2:$K$15,MATCH(D155,Lists!$J$2:$J$15,0)),-1)&gt;=6,F155="N"),"status "&amp;D155&amp;" but no tracker row",IF(AND(E155="Y",D155&lt;&gt;"do_not_contact"),"do_not_contact = Y but status is "&amp;D155,IF(AND(D155="do_not_contact",E155&lt;&gt;"Y"),"status do_not_contact but do_not_contact is not Y",""))))))</f>
        <v/>
      </c>
      <c r="I155" s="23" t="n">
        <v>134</v>
      </c>
      <c r="J155" s="23" t="str">
        <f aca="false">IFERROR(INDEX(Clay_Brands!$A$2:$FZ$601,I155,$D$5)&amp;"","")</f>
        <v/>
      </c>
      <c r="K155" s="23" t="str">
        <f aca="false">IFERROR(INDEX(Clay_Brands!$A$2:$FZ$601,I155,$D$7)&amp;"","")</f>
        <v/>
      </c>
      <c r="L155" s="23" t="str">
        <f aca="false">IFERROR(INDEX(Clay_Brands!$A$2:$FZ$601,I155,$D$8)&amp;"","")</f>
        <v/>
      </c>
      <c r="M155" s="23" t="str">
        <f aca="false">IF(J155="","",IF(COUNTIF(Brand_Log!$A$2:$A$201,J155)&gt;0,"Y","N"))</f>
        <v/>
      </c>
      <c r="N155" s="34" t="str">
        <f aca="false">IF(OR(J155="",AND(LEFT(J155,6)="SAMPLE",Config!$B$19&lt;&gt;"Y")),"",IF(IFERROR(INDEX(Lists!$K$2:$K$15,MATCH(K155,Lists!$J$2:$J$15,0)),-1)=-1,"status '"&amp;K155&amp;"' is not a CONTRACTS status",IF(AND(K155="paid",COUNTIF(paid_brands!$AC$2:$AC$51,J155)=0),"status paid but no paid_brands row"&amp;IF(M155="N"," and no tracker row",""),IF(AND(IFERROR(INDEX(Lists!$K$2:$K$15,MATCH(K155,Lists!$J$2:$J$15,0)),-1)&gt;=6,M155="N"),"status "&amp;K155&amp;" but no tracker row",IF(AND(L155="Y",K155&lt;&gt;"do_not_contact"),"do_not_contact = Y but status is "&amp;K155,IF(AND(K155="do_not_contact",L155&lt;&gt;"Y"),"status do_not_contact but do_not_contact is not Y",""))))))</f>
        <v/>
      </c>
    </row>
    <row r="156" customFormat="false" ht="15" hidden="false" customHeight="false" outlineLevel="0" collapsed="false">
      <c r="B156" s="23" t="n">
        <v>135</v>
      </c>
      <c r="C156" s="23" t="str">
        <f aca="false">IFERROR(INDEX(Clay_Offices!$A$2:$FZ$601,B156,$C$5)&amp;"","")</f>
        <v/>
      </c>
      <c r="D156" s="23" t="str">
        <f aca="false">IFERROR(INDEX(Clay_Offices!$A$2:$FZ$601,B156,$C$7)&amp;"","")</f>
        <v/>
      </c>
      <c r="E156" s="23" t="str">
        <f aca="false">IFERROR(INDEX(Clay_Offices!$A$2:$FZ$601,B156,$C$8)&amp;"","")</f>
        <v/>
      </c>
      <c r="F156" s="23" t="str">
        <f aca="false">IF(C156="","",IF(COUNTIF(Office_Log!$A$2:$A$201,C156)&gt;0,"Y","N"))</f>
        <v/>
      </c>
      <c r="G156" s="34" t="str">
        <f aca="false">IF(OR(C156="",AND(LEFT(C156,6)="SAMPLE",Config!$B$19&lt;&gt;"Y")),"",IF(IFERROR(INDEX(Lists!$K$2:$K$15,MATCH(D156,Lists!$J$2:$J$15,0)),-1)=-1,"status '"&amp;D156&amp;"' is not a CONTRACTS status",IF(AND(D156="signed",COUNTIF(signed_offices!$W$2:$W$51,C156)=0),"status signed but no signed_offices row"&amp;IF(F156="N"," and no tracker row",""),IF(AND(IFERROR(INDEX(Lists!$K$2:$K$15,MATCH(D156,Lists!$J$2:$J$15,0)),-1)&gt;=6,F156="N"),"status "&amp;D156&amp;" but no tracker row",IF(AND(E156="Y",D156&lt;&gt;"do_not_contact"),"do_not_contact = Y but status is "&amp;D156,IF(AND(D156="do_not_contact",E156&lt;&gt;"Y"),"status do_not_contact but do_not_contact is not Y",""))))))</f>
        <v/>
      </c>
      <c r="I156" s="23" t="n">
        <v>135</v>
      </c>
      <c r="J156" s="23" t="str">
        <f aca="false">IFERROR(INDEX(Clay_Brands!$A$2:$FZ$601,I156,$D$5)&amp;"","")</f>
        <v/>
      </c>
      <c r="K156" s="23" t="str">
        <f aca="false">IFERROR(INDEX(Clay_Brands!$A$2:$FZ$601,I156,$D$7)&amp;"","")</f>
        <v/>
      </c>
      <c r="L156" s="23" t="str">
        <f aca="false">IFERROR(INDEX(Clay_Brands!$A$2:$FZ$601,I156,$D$8)&amp;"","")</f>
        <v/>
      </c>
      <c r="M156" s="23" t="str">
        <f aca="false">IF(J156="","",IF(COUNTIF(Brand_Log!$A$2:$A$201,J156)&gt;0,"Y","N"))</f>
        <v/>
      </c>
      <c r="N156" s="34" t="str">
        <f aca="false">IF(OR(J156="",AND(LEFT(J156,6)="SAMPLE",Config!$B$19&lt;&gt;"Y")),"",IF(IFERROR(INDEX(Lists!$K$2:$K$15,MATCH(K156,Lists!$J$2:$J$15,0)),-1)=-1,"status '"&amp;K156&amp;"' is not a CONTRACTS status",IF(AND(K156="paid",COUNTIF(paid_brands!$AC$2:$AC$51,J156)=0),"status paid but no paid_brands row"&amp;IF(M156="N"," and no tracker row",""),IF(AND(IFERROR(INDEX(Lists!$K$2:$K$15,MATCH(K156,Lists!$J$2:$J$15,0)),-1)&gt;=6,M156="N"),"status "&amp;K156&amp;" but no tracker row",IF(AND(L156="Y",K156&lt;&gt;"do_not_contact"),"do_not_contact = Y but status is "&amp;K156,IF(AND(K156="do_not_contact",L156&lt;&gt;"Y"),"status do_not_contact but do_not_contact is not Y",""))))))</f>
        <v/>
      </c>
    </row>
    <row r="157" customFormat="false" ht="15" hidden="false" customHeight="false" outlineLevel="0" collapsed="false">
      <c r="B157" s="23" t="n">
        <v>136</v>
      </c>
      <c r="C157" s="23" t="str">
        <f aca="false">IFERROR(INDEX(Clay_Offices!$A$2:$FZ$601,B157,$C$5)&amp;"","")</f>
        <v/>
      </c>
      <c r="D157" s="23" t="str">
        <f aca="false">IFERROR(INDEX(Clay_Offices!$A$2:$FZ$601,B157,$C$7)&amp;"","")</f>
        <v/>
      </c>
      <c r="E157" s="23" t="str">
        <f aca="false">IFERROR(INDEX(Clay_Offices!$A$2:$FZ$601,B157,$C$8)&amp;"","")</f>
        <v/>
      </c>
      <c r="F157" s="23" t="str">
        <f aca="false">IF(C157="","",IF(COUNTIF(Office_Log!$A$2:$A$201,C157)&gt;0,"Y","N"))</f>
        <v/>
      </c>
      <c r="G157" s="34" t="str">
        <f aca="false">IF(OR(C157="",AND(LEFT(C157,6)="SAMPLE",Config!$B$19&lt;&gt;"Y")),"",IF(IFERROR(INDEX(Lists!$K$2:$K$15,MATCH(D157,Lists!$J$2:$J$15,0)),-1)=-1,"status '"&amp;D157&amp;"' is not a CONTRACTS status",IF(AND(D157="signed",COUNTIF(signed_offices!$W$2:$W$51,C157)=0),"status signed but no signed_offices row"&amp;IF(F157="N"," and no tracker row",""),IF(AND(IFERROR(INDEX(Lists!$K$2:$K$15,MATCH(D157,Lists!$J$2:$J$15,0)),-1)&gt;=6,F157="N"),"status "&amp;D157&amp;" but no tracker row",IF(AND(E157="Y",D157&lt;&gt;"do_not_contact"),"do_not_contact = Y but status is "&amp;D157,IF(AND(D157="do_not_contact",E157&lt;&gt;"Y"),"status do_not_contact but do_not_contact is not Y",""))))))</f>
        <v/>
      </c>
      <c r="I157" s="23" t="n">
        <v>136</v>
      </c>
      <c r="J157" s="23" t="str">
        <f aca="false">IFERROR(INDEX(Clay_Brands!$A$2:$FZ$601,I157,$D$5)&amp;"","")</f>
        <v/>
      </c>
      <c r="K157" s="23" t="str">
        <f aca="false">IFERROR(INDEX(Clay_Brands!$A$2:$FZ$601,I157,$D$7)&amp;"","")</f>
        <v/>
      </c>
      <c r="L157" s="23" t="str">
        <f aca="false">IFERROR(INDEX(Clay_Brands!$A$2:$FZ$601,I157,$D$8)&amp;"","")</f>
        <v/>
      </c>
      <c r="M157" s="23" t="str">
        <f aca="false">IF(J157="","",IF(COUNTIF(Brand_Log!$A$2:$A$201,J157)&gt;0,"Y","N"))</f>
        <v/>
      </c>
      <c r="N157" s="34" t="str">
        <f aca="false">IF(OR(J157="",AND(LEFT(J157,6)="SAMPLE",Config!$B$19&lt;&gt;"Y")),"",IF(IFERROR(INDEX(Lists!$K$2:$K$15,MATCH(K157,Lists!$J$2:$J$15,0)),-1)=-1,"status '"&amp;K157&amp;"' is not a CONTRACTS status",IF(AND(K157="paid",COUNTIF(paid_brands!$AC$2:$AC$51,J157)=0),"status paid but no paid_brands row"&amp;IF(M157="N"," and no tracker row",""),IF(AND(IFERROR(INDEX(Lists!$K$2:$K$15,MATCH(K157,Lists!$J$2:$J$15,0)),-1)&gt;=6,M157="N"),"status "&amp;K157&amp;" but no tracker row",IF(AND(L157="Y",K157&lt;&gt;"do_not_contact"),"do_not_contact = Y but status is "&amp;K157,IF(AND(K157="do_not_contact",L157&lt;&gt;"Y"),"status do_not_contact but do_not_contact is not Y",""))))))</f>
        <v/>
      </c>
    </row>
    <row r="158" customFormat="false" ht="15" hidden="false" customHeight="false" outlineLevel="0" collapsed="false">
      <c r="B158" s="23" t="n">
        <v>137</v>
      </c>
      <c r="C158" s="23" t="str">
        <f aca="false">IFERROR(INDEX(Clay_Offices!$A$2:$FZ$601,B158,$C$5)&amp;"","")</f>
        <v/>
      </c>
      <c r="D158" s="23" t="str">
        <f aca="false">IFERROR(INDEX(Clay_Offices!$A$2:$FZ$601,B158,$C$7)&amp;"","")</f>
        <v/>
      </c>
      <c r="E158" s="23" t="str">
        <f aca="false">IFERROR(INDEX(Clay_Offices!$A$2:$FZ$601,B158,$C$8)&amp;"","")</f>
        <v/>
      </c>
      <c r="F158" s="23" t="str">
        <f aca="false">IF(C158="","",IF(COUNTIF(Office_Log!$A$2:$A$201,C158)&gt;0,"Y","N"))</f>
        <v/>
      </c>
      <c r="G158" s="34" t="str">
        <f aca="false">IF(OR(C158="",AND(LEFT(C158,6)="SAMPLE",Config!$B$19&lt;&gt;"Y")),"",IF(IFERROR(INDEX(Lists!$K$2:$K$15,MATCH(D158,Lists!$J$2:$J$15,0)),-1)=-1,"status '"&amp;D158&amp;"' is not a CONTRACTS status",IF(AND(D158="signed",COUNTIF(signed_offices!$W$2:$W$51,C158)=0),"status signed but no signed_offices row"&amp;IF(F158="N"," and no tracker row",""),IF(AND(IFERROR(INDEX(Lists!$K$2:$K$15,MATCH(D158,Lists!$J$2:$J$15,0)),-1)&gt;=6,F158="N"),"status "&amp;D158&amp;" but no tracker row",IF(AND(E158="Y",D158&lt;&gt;"do_not_contact"),"do_not_contact = Y but status is "&amp;D158,IF(AND(D158="do_not_contact",E158&lt;&gt;"Y"),"status do_not_contact but do_not_contact is not Y",""))))))</f>
        <v/>
      </c>
      <c r="I158" s="23" t="n">
        <v>137</v>
      </c>
      <c r="J158" s="23" t="str">
        <f aca="false">IFERROR(INDEX(Clay_Brands!$A$2:$FZ$601,I158,$D$5)&amp;"","")</f>
        <v/>
      </c>
      <c r="K158" s="23" t="str">
        <f aca="false">IFERROR(INDEX(Clay_Brands!$A$2:$FZ$601,I158,$D$7)&amp;"","")</f>
        <v/>
      </c>
      <c r="L158" s="23" t="str">
        <f aca="false">IFERROR(INDEX(Clay_Brands!$A$2:$FZ$601,I158,$D$8)&amp;"","")</f>
        <v/>
      </c>
      <c r="M158" s="23" t="str">
        <f aca="false">IF(J158="","",IF(COUNTIF(Brand_Log!$A$2:$A$201,J158)&gt;0,"Y","N"))</f>
        <v/>
      </c>
      <c r="N158" s="34" t="str">
        <f aca="false">IF(OR(J158="",AND(LEFT(J158,6)="SAMPLE",Config!$B$19&lt;&gt;"Y")),"",IF(IFERROR(INDEX(Lists!$K$2:$K$15,MATCH(K158,Lists!$J$2:$J$15,0)),-1)=-1,"status '"&amp;K158&amp;"' is not a CONTRACTS status",IF(AND(K158="paid",COUNTIF(paid_brands!$AC$2:$AC$51,J158)=0),"status paid but no paid_brands row"&amp;IF(M158="N"," and no tracker row",""),IF(AND(IFERROR(INDEX(Lists!$K$2:$K$15,MATCH(K158,Lists!$J$2:$J$15,0)),-1)&gt;=6,M158="N"),"status "&amp;K158&amp;" but no tracker row",IF(AND(L158="Y",K158&lt;&gt;"do_not_contact"),"do_not_contact = Y but status is "&amp;K158,IF(AND(K158="do_not_contact",L158&lt;&gt;"Y"),"status do_not_contact but do_not_contact is not Y",""))))))</f>
        <v/>
      </c>
    </row>
    <row r="159" customFormat="false" ht="15" hidden="false" customHeight="false" outlineLevel="0" collapsed="false">
      <c r="B159" s="23" t="n">
        <v>138</v>
      </c>
      <c r="C159" s="23" t="str">
        <f aca="false">IFERROR(INDEX(Clay_Offices!$A$2:$FZ$601,B159,$C$5)&amp;"","")</f>
        <v/>
      </c>
      <c r="D159" s="23" t="str">
        <f aca="false">IFERROR(INDEX(Clay_Offices!$A$2:$FZ$601,B159,$C$7)&amp;"","")</f>
        <v/>
      </c>
      <c r="E159" s="23" t="str">
        <f aca="false">IFERROR(INDEX(Clay_Offices!$A$2:$FZ$601,B159,$C$8)&amp;"","")</f>
        <v/>
      </c>
      <c r="F159" s="23" t="str">
        <f aca="false">IF(C159="","",IF(COUNTIF(Office_Log!$A$2:$A$201,C159)&gt;0,"Y","N"))</f>
        <v/>
      </c>
      <c r="G159" s="34" t="str">
        <f aca="false">IF(OR(C159="",AND(LEFT(C159,6)="SAMPLE",Config!$B$19&lt;&gt;"Y")),"",IF(IFERROR(INDEX(Lists!$K$2:$K$15,MATCH(D159,Lists!$J$2:$J$15,0)),-1)=-1,"status '"&amp;D159&amp;"' is not a CONTRACTS status",IF(AND(D159="signed",COUNTIF(signed_offices!$W$2:$W$51,C159)=0),"status signed but no signed_offices row"&amp;IF(F159="N"," and no tracker row",""),IF(AND(IFERROR(INDEX(Lists!$K$2:$K$15,MATCH(D159,Lists!$J$2:$J$15,0)),-1)&gt;=6,F159="N"),"status "&amp;D159&amp;" but no tracker row",IF(AND(E159="Y",D159&lt;&gt;"do_not_contact"),"do_not_contact = Y but status is "&amp;D159,IF(AND(D159="do_not_contact",E159&lt;&gt;"Y"),"status do_not_contact but do_not_contact is not Y",""))))))</f>
        <v/>
      </c>
      <c r="I159" s="23" t="n">
        <v>138</v>
      </c>
      <c r="J159" s="23" t="str">
        <f aca="false">IFERROR(INDEX(Clay_Brands!$A$2:$FZ$601,I159,$D$5)&amp;"","")</f>
        <v/>
      </c>
      <c r="K159" s="23" t="str">
        <f aca="false">IFERROR(INDEX(Clay_Brands!$A$2:$FZ$601,I159,$D$7)&amp;"","")</f>
        <v/>
      </c>
      <c r="L159" s="23" t="str">
        <f aca="false">IFERROR(INDEX(Clay_Brands!$A$2:$FZ$601,I159,$D$8)&amp;"","")</f>
        <v/>
      </c>
      <c r="M159" s="23" t="str">
        <f aca="false">IF(J159="","",IF(COUNTIF(Brand_Log!$A$2:$A$201,J159)&gt;0,"Y","N"))</f>
        <v/>
      </c>
      <c r="N159" s="34" t="str">
        <f aca="false">IF(OR(J159="",AND(LEFT(J159,6)="SAMPLE",Config!$B$19&lt;&gt;"Y")),"",IF(IFERROR(INDEX(Lists!$K$2:$K$15,MATCH(K159,Lists!$J$2:$J$15,0)),-1)=-1,"status '"&amp;K159&amp;"' is not a CONTRACTS status",IF(AND(K159="paid",COUNTIF(paid_brands!$AC$2:$AC$51,J159)=0),"status paid but no paid_brands row"&amp;IF(M159="N"," and no tracker row",""),IF(AND(IFERROR(INDEX(Lists!$K$2:$K$15,MATCH(K159,Lists!$J$2:$J$15,0)),-1)&gt;=6,M159="N"),"status "&amp;K159&amp;" but no tracker row",IF(AND(L159="Y",K159&lt;&gt;"do_not_contact"),"do_not_contact = Y but status is "&amp;K159,IF(AND(K159="do_not_contact",L159&lt;&gt;"Y"),"status do_not_contact but do_not_contact is not Y",""))))))</f>
        <v/>
      </c>
    </row>
    <row r="160" customFormat="false" ht="15" hidden="false" customHeight="false" outlineLevel="0" collapsed="false">
      <c r="B160" s="23" t="n">
        <v>139</v>
      </c>
      <c r="C160" s="23" t="str">
        <f aca="false">IFERROR(INDEX(Clay_Offices!$A$2:$FZ$601,B160,$C$5)&amp;"","")</f>
        <v/>
      </c>
      <c r="D160" s="23" t="str">
        <f aca="false">IFERROR(INDEX(Clay_Offices!$A$2:$FZ$601,B160,$C$7)&amp;"","")</f>
        <v/>
      </c>
      <c r="E160" s="23" t="str">
        <f aca="false">IFERROR(INDEX(Clay_Offices!$A$2:$FZ$601,B160,$C$8)&amp;"","")</f>
        <v/>
      </c>
      <c r="F160" s="23" t="str">
        <f aca="false">IF(C160="","",IF(COUNTIF(Office_Log!$A$2:$A$201,C160)&gt;0,"Y","N"))</f>
        <v/>
      </c>
      <c r="G160" s="34" t="str">
        <f aca="false">IF(OR(C160="",AND(LEFT(C160,6)="SAMPLE",Config!$B$19&lt;&gt;"Y")),"",IF(IFERROR(INDEX(Lists!$K$2:$K$15,MATCH(D160,Lists!$J$2:$J$15,0)),-1)=-1,"status '"&amp;D160&amp;"' is not a CONTRACTS status",IF(AND(D160="signed",COUNTIF(signed_offices!$W$2:$W$51,C160)=0),"status signed but no signed_offices row"&amp;IF(F160="N"," and no tracker row",""),IF(AND(IFERROR(INDEX(Lists!$K$2:$K$15,MATCH(D160,Lists!$J$2:$J$15,0)),-1)&gt;=6,F160="N"),"status "&amp;D160&amp;" but no tracker row",IF(AND(E160="Y",D160&lt;&gt;"do_not_contact"),"do_not_contact = Y but status is "&amp;D160,IF(AND(D160="do_not_contact",E160&lt;&gt;"Y"),"status do_not_contact but do_not_contact is not Y",""))))))</f>
        <v/>
      </c>
      <c r="I160" s="23" t="n">
        <v>139</v>
      </c>
      <c r="J160" s="23" t="str">
        <f aca="false">IFERROR(INDEX(Clay_Brands!$A$2:$FZ$601,I160,$D$5)&amp;"","")</f>
        <v/>
      </c>
      <c r="K160" s="23" t="str">
        <f aca="false">IFERROR(INDEX(Clay_Brands!$A$2:$FZ$601,I160,$D$7)&amp;"","")</f>
        <v/>
      </c>
      <c r="L160" s="23" t="str">
        <f aca="false">IFERROR(INDEX(Clay_Brands!$A$2:$FZ$601,I160,$D$8)&amp;"","")</f>
        <v/>
      </c>
      <c r="M160" s="23" t="str">
        <f aca="false">IF(J160="","",IF(COUNTIF(Brand_Log!$A$2:$A$201,J160)&gt;0,"Y","N"))</f>
        <v/>
      </c>
      <c r="N160" s="34" t="str">
        <f aca="false">IF(OR(J160="",AND(LEFT(J160,6)="SAMPLE",Config!$B$19&lt;&gt;"Y")),"",IF(IFERROR(INDEX(Lists!$K$2:$K$15,MATCH(K160,Lists!$J$2:$J$15,0)),-1)=-1,"status '"&amp;K160&amp;"' is not a CONTRACTS status",IF(AND(K160="paid",COUNTIF(paid_brands!$AC$2:$AC$51,J160)=0),"status paid but no paid_brands row"&amp;IF(M160="N"," and no tracker row",""),IF(AND(IFERROR(INDEX(Lists!$K$2:$K$15,MATCH(K160,Lists!$J$2:$J$15,0)),-1)&gt;=6,M160="N"),"status "&amp;K160&amp;" but no tracker row",IF(AND(L160="Y",K160&lt;&gt;"do_not_contact"),"do_not_contact = Y but status is "&amp;K160,IF(AND(K160="do_not_contact",L160&lt;&gt;"Y"),"status do_not_contact but do_not_contact is not Y",""))))))</f>
        <v/>
      </c>
    </row>
    <row r="161" customFormat="false" ht="15" hidden="false" customHeight="false" outlineLevel="0" collapsed="false">
      <c r="B161" s="23" t="n">
        <v>140</v>
      </c>
      <c r="C161" s="23" t="str">
        <f aca="false">IFERROR(INDEX(Clay_Offices!$A$2:$FZ$601,B161,$C$5)&amp;"","")</f>
        <v/>
      </c>
      <c r="D161" s="23" t="str">
        <f aca="false">IFERROR(INDEX(Clay_Offices!$A$2:$FZ$601,B161,$C$7)&amp;"","")</f>
        <v/>
      </c>
      <c r="E161" s="23" t="str">
        <f aca="false">IFERROR(INDEX(Clay_Offices!$A$2:$FZ$601,B161,$C$8)&amp;"","")</f>
        <v/>
      </c>
      <c r="F161" s="23" t="str">
        <f aca="false">IF(C161="","",IF(COUNTIF(Office_Log!$A$2:$A$201,C161)&gt;0,"Y","N"))</f>
        <v/>
      </c>
      <c r="G161" s="34" t="str">
        <f aca="false">IF(OR(C161="",AND(LEFT(C161,6)="SAMPLE",Config!$B$19&lt;&gt;"Y")),"",IF(IFERROR(INDEX(Lists!$K$2:$K$15,MATCH(D161,Lists!$J$2:$J$15,0)),-1)=-1,"status '"&amp;D161&amp;"' is not a CONTRACTS status",IF(AND(D161="signed",COUNTIF(signed_offices!$W$2:$W$51,C161)=0),"status signed but no signed_offices row"&amp;IF(F161="N"," and no tracker row",""),IF(AND(IFERROR(INDEX(Lists!$K$2:$K$15,MATCH(D161,Lists!$J$2:$J$15,0)),-1)&gt;=6,F161="N"),"status "&amp;D161&amp;" but no tracker row",IF(AND(E161="Y",D161&lt;&gt;"do_not_contact"),"do_not_contact = Y but status is "&amp;D161,IF(AND(D161="do_not_contact",E161&lt;&gt;"Y"),"status do_not_contact but do_not_contact is not Y",""))))))</f>
        <v/>
      </c>
      <c r="I161" s="23" t="n">
        <v>140</v>
      </c>
      <c r="J161" s="23" t="str">
        <f aca="false">IFERROR(INDEX(Clay_Brands!$A$2:$FZ$601,I161,$D$5)&amp;"","")</f>
        <v/>
      </c>
      <c r="K161" s="23" t="str">
        <f aca="false">IFERROR(INDEX(Clay_Brands!$A$2:$FZ$601,I161,$D$7)&amp;"","")</f>
        <v/>
      </c>
      <c r="L161" s="23" t="str">
        <f aca="false">IFERROR(INDEX(Clay_Brands!$A$2:$FZ$601,I161,$D$8)&amp;"","")</f>
        <v/>
      </c>
      <c r="M161" s="23" t="str">
        <f aca="false">IF(J161="","",IF(COUNTIF(Brand_Log!$A$2:$A$201,J161)&gt;0,"Y","N"))</f>
        <v/>
      </c>
      <c r="N161" s="34" t="str">
        <f aca="false">IF(OR(J161="",AND(LEFT(J161,6)="SAMPLE",Config!$B$19&lt;&gt;"Y")),"",IF(IFERROR(INDEX(Lists!$K$2:$K$15,MATCH(K161,Lists!$J$2:$J$15,0)),-1)=-1,"status '"&amp;K161&amp;"' is not a CONTRACTS status",IF(AND(K161="paid",COUNTIF(paid_brands!$AC$2:$AC$51,J161)=0),"status paid but no paid_brands row"&amp;IF(M161="N"," and no tracker row",""),IF(AND(IFERROR(INDEX(Lists!$K$2:$K$15,MATCH(K161,Lists!$J$2:$J$15,0)),-1)&gt;=6,M161="N"),"status "&amp;K161&amp;" but no tracker row",IF(AND(L161="Y",K161&lt;&gt;"do_not_contact"),"do_not_contact = Y but status is "&amp;K161,IF(AND(K161="do_not_contact",L161&lt;&gt;"Y"),"status do_not_contact but do_not_contact is not Y",""))))))</f>
        <v/>
      </c>
    </row>
    <row r="162" customFormat="false" ht="15" hidden="false" customHeight="false" outlineLevel="0" collapsed="false">
      <c r="B162" s="23" t="n">
        <v>141</v>
      </c>
      <c r="C162" s="23" t="str">
        <f aca="false">IFERROR(INDEX(Clay_Offices!$A$2:$FZ$601,B162,$C$5)&amp;"","")</f>
        <v/>
      </c>
      <c r="D162" s="23" t="str">
        <f aca="false">IFERROR(INDEX(Clay_Offices!$A$2:$FZ$601,B162,$C$7)&amp;"","")</f>
        <v/>
      </c>
      <c r="E162" s="23" t="str">
        <f aca="false">IFERROR(INDEX(Clay_Offices!$A$2:$FZ$601,B162,$C$8)&amp;"","")</f>
        <v/>
      </c>
      <c r="F162" s="23" t="str">
        <f aca="false">IF(C162="","",IF(COUNTIF(Office_Log!$A$2:$A$201,C162)&gt;0,"Y","N"))</f>
        <v/>
      </c>
      <c r="G162" s="34" t="str">
        <f aca="false">IF(OR(C162="",AND(LEFT(C162,6)="SAMPLE",Config!$B$19&lt;&gt;"Y")),"",IF(IFERROR(INDEX(Lists!$K$2:$K$15,MATCH(D162,Lists!$J$2:$J$15,0)),-1)=-1,"status '"&amp;D162&amp;"' is not a CONTRACTS status",IF(AND(D162="signed",COUNTIF(signed_offices!$W$2:$W$51,C162)=0),"status signed but no signed_offices row"&amp;IF(F162="N"," and no tracker row",""),IF(AND(IFERROR(INDEX(Lists!$K$2:$K$15,MATCH(D162,Lists!$J$2:$J$15,0)),-1)&gt;=6,F162="N"),"status "&amp;D162&amp;" but no tracker row",IF(AND(E162="Y",D162&lt;&gt;"do_not_contact"),"do_not_contact = Y but status is "&amp;D162,IF(AND(D162="do_not_contact",E162&lt;&gt;"Y"),"status do_not_contact but do_not_contact is not Y",""))))))</f>
        <v/>
      </c>
      <c r="I162" s="23" t="n">
        <v>141</v>
      </c>
      <c r="J162" s="23" t="str">
        <f aca="false">IFERROR(INDEX(Clay_Brands!$A$2:$FZ$601,I162,$D$5)&amp;"","")</f>
        <v/>
      </c>
      <c r="K162" s="23" t="str">
        <f aca="false">IFERROR(INDEX(Clay_Brands!$A$2:$FZ$601,I162,$D$7)&amp;"","")</f>
        <v/>
      </c>
      <c r="L162" s="23" t="str">
        <f aca="false">IFERROR(INDEX(Clay_Brands!$A$2:$FZ$601,I162,$D$8)&amp;"","")</f>
        <v/>
      </c>
      <c r="M162" s="23" t="str">
        <f aca="false">IF(J162="","",IF(COUNTIF(Brand_Log!$A$2:$A$201,J162)&gt;0,"Y","N"))</f>
        <v/>
      </c>
      <c r="N162" s="34" t="str">
        <f aca="false">IF(OR(J162="",AND(LEFT(J162,6)="SAMPLE",Config!$B$19&lt;&gt;"Y")),"",IF(IFERROR(INDEX(Lists!$K$2:$K$15,MATCH(K162,Lists!$J$2:$J$15,0)),-1)=-1,"status '"&amp;K162&amp;"' is not a CONTRACTS status",IF(AND(K162="paid",COUNTIF(paid_brands!$AC$2:$AC$51,J162)=0),"status paid but no paid_brands row"&amp;IF(M162="N"," and no tracker row",""),IF(AND(IFERROR(INDEX(Lists!$K$2:$K$15,MATCH(K162,Lists!$J$2:$J$15,0)),-1)&gt;=6,M162="N"),"status "&amp;K162&amp;" but no tracker row",IF(AND(L162="Y",K162&lt;&gt;"do_not_contact"),"do_not_contact = Y but status is "&amp;K162,IF(AND(K162="do_not_contact",L162&lt;&gt;"Y"),"status do_not_contact but do_not_contact is not Y",""))))))</f>
        <v/>
      </c>
    </row>
    <row r="163" customFormat="false" ht="15" hidden="false" customHeight="false" outlineLevel="0" collapsed="false">
      <c r="B163" s="23" t="n">
        <v>142</v>
      </c>
      <c r="C163" s="23" t="str">
        <f aca="false">IFERROR(INDEX(Clay_Offices!$A$2:$FZ$601,B163,$C$5)&amp;"","")</f>
        <v/>
      </c>
      <c r="D163" s="23" t="str">
        <f aca="false">IFERROR(INDEX(Clay_Offices!$A$2:$FZ$601,B163,$C$7)&amp;"","")</f>
        <v/>
      </c>
      <c r="E163" s="23" t="str">
        <f aca="false">IFERROR(INDEX(Clay_Offices!$A$2:$FZ$601,B163,$C$8)&amp;"","")</f>
        <v/>
      </c>
      <c r="F163" s="23" t="str">
        <f aca="false">IF(C163="","",IF(COUNTIF(Office_Log!$A$2:$A$201,C163)&gt;0,"Y","N"))</f>
        <v/>
      </c>
      <c r="G163" s="34" t="str">
        <f aca="false">IF(OR(C163="",AND(LEFT(C163,6)="SAMPLE",Config!$B$19&lt;&gt;"Y")),"",IF(IFERROR(INDEX(Lists!$K$2:$K$15,MATCH(D163,Lists!$J$2:$J$15,0)),-1)=-1,"status '"&amp;D163&amp;"' is not a CONTRACTS status",IF(AND(D163="signed",COUNTIF(signed_offices!$W$2:$W$51,C163)=0),"status signed but no signed_offices row"&amp;IF(F163="N"," and no tracker row",""),IF(AND(IFERROR(INDEX(Lists!$K$2:$K$15,MATCH(D163,Lists!$J$2:$J$15,0)),-1)&gt;=6,F163="N"),"status "&amp;D163&amp;" but no tracker row",IF(AND(E163="Y",D163&lt;&gt;"do_not_contact"),"do_not_contact = Y but status is "&amp;D163,IF(AND(D163="do_not_contact",E163&lt;&gt;"Y"),"status do_not_contact but do_not_contact is not Y",""))))))</f>
        <v/>
      </c>
      <c r="I163" s="23" t="n">
        <v>142</v>
      </c>
      <c r="J163" s="23" t="str">
        <f aca="false">IFERROR(INDEX(Clay_Brands!$A$2:$FZ$601,I163,$D$5)&amp;"","")</f>
        <v/>
      </c>
      <c r="K163" s="23" t="str">
        <f aca="false">IFERROR(INDEX(Clay_Brands!$A$2:$FZ$601,I163,$D$7)&amp;"","")</f>
        <v/>
      </c>
      <c r="L163" s="23" t="str">
        <f aca="false">IFERROR(INDEX(Clay_Brands!$A$2:$FZ$601,I163,$D$8)&amp;"","")</f>
        <v/>
      </c>
      <c r="M163" s="23" t="str">
        <f aca="false">IF(J163="","",IF(COUNTIF(Brand_Log!$A$2:$A$201,J163)&gt;0,"Y","N"))</f>
        <v/>
      </c>
      <c r="N163" s="34" t="str">
        <f aca="false">IF(OR(J163="",AND(LEFT(J163,6)="SAMPLE",Config!$B$19&lt;&gt;"Y")),"",IF(IFERROR(INDEX(Lists!$K$2:$K$15,MATCH(K163,Lists!$J$2:$J$15,0)),-1)=-1,"status '"&amp;K163&amp;"' is not a CONTRACTS status",IF(AND(K163="paid",COUNTIF(paid_brands!$AC$2:$AC$51,J163)=0),"status paid but no paid_brands row"&amp;IF(M163="N"," and no tracker row",""),IF(AND(IFERROR(INDEX(Lists!$K$2:$K$15,MATCH(K163,Lists!$J$2:$J$15,0)),-1)&gt;=6,M163="N"),"status "&amp;K163&amp;" but no tracker row",IF(AND(L163="Y",K163&lt;&gt;"do_not_contact"),"do_not_contact = Y but status is "&amp;K163,IF(AND(K163="do_not_contact",L163&lt;&gt;"Y"),"status do_not_contact but do_not_contact is not Y",""))))))</f>
        <v/>
      </c>
    </row>
    <row r="164" customFormat="false" ht="15" hidden="false" customHeight="false" outlineLevel="0" collapsed="false">
      <c r="B164" s="23" t="n">
        <v>143</v>
      </c>
      <c r="C164" s="23" t="str">
        <f aca="false">IFERROR(INDEX(Clay_Offices!$A$2:$FZ$601,B164,$C$5)&amp;"","")</f>
        <v/>
      </c>
      <c r="D164" s="23" t="str">
        <f aca="false">IFERROR(INDEX(Clay_Offices!$A$2:$FZ$601,B164,$C$7)&amp;"","")</f>
        <v/>
      </c>
      <c r="E164" s="23" t="str">
        <f aca="false">IFERROR(INDEX(Clay_Offices!$A$2:$FZ$601,B164,$C$8)&amp;"","")</f>
        <v/>
      </c>
      <c r="F164" s="23" t="str">
        <f aca="false">IF(C164="","",IF(COUNTIF(Office_Log!$A$2:$A$201,C164)&gt;0,"Y","N"))</f>
        <v/>
      </c>
      <c r="G164" s="34" t="str">
        <f aca="false">IF(OR(C164="",AND(LEFT(C164,6)="SAMPLE",Config!$B$19&lt;&gt;"Y")),"",IF(IFERROR(INDEX(Lists!$K$2:$K$15,MATCH(D164,Lists!$J$2:$J$15,0)),-1)=-1,"status '"&amp;D164&amp;"' is not a CONTRACTS status",IF(AND(D164="signed",COUNTIF(signed_offices!$W$2:$W$51,C164)=0),"status signed but no signed_offices row"&amp;IF(F164="N"," and no tracker row",""),IF(AND(IFERROR(INDEX(Lists!$K$2:$K$15,MATCH(D164,Lists!$J$2:$J$15,0)),-1)&gt;=6,F164="N"),"status "&amp;D164&amp;" but no tracker row",IF(AND(E164="Y",D164&lt;&gt;"do_not_contact"),"do_not_contact = Y but status is "&amp;D164,IF(AND(D164="do_not_contact",E164&lt;&gt;"Y"),"status do_not_contact but do_not_contact is not Y",""))))))</f>
        <v/>
      </c>
      <c r="I164" s="23" t="n">
        <v>143</v>
      </c>
      <c r="J164" s="23" t="str">
        <f aca="false">IFERROR(INDEX(Clay_Brands!$A$2:$FZ$601,I164,$D$5)&amp;"","")</f>
        <v/>
      </c>
      <c r="K164" s="23" t="str">
        <f aca="false">IFERROR(INDEX(Clay_Brands!$A$2:$FZ$601,I164,$D$7)&amp;"","")</f>
        <v/>
      </c>
      <c r="L164" s="23" t="str">
        <f aca="false">IFERROR(INDEX(Clay_Brands!$A$2:$FZ$601,I164,$D$8)&amp;"","")</f>
        <v/>
      </c>
      <c r="M164" s="23" t="str">
        <f aca="false">IF(J164="","",IF(COUNTIF(Brand_Log!$A$2:$A$201,J164)&gt;0,"Y","N"))</f>
        <v/>
      </c>
      <c r="N164" s="34" t="str">
        <f aca="false">IF(OR(J164="",AND(LEFT(J164,6)="SAMPLE",Config!$B$19&lt;&gt;"Y")),"",IF(IFERROR(INDEX(Lists!$K$2:$K$15,MATCH(K164,Lists!$J$2:$J$15,0)),-1)=-1,"status '"&amp;K164&amp;"' is not a CONTRACTS status",IF(AND(K164="paid",COUNTIF(paid_brands!$AC$2:$AC$51,J164)=0),"status paid but no paid_brands row"&amp;IF(M164="N"," and no tracker row",""),IF(AND(IFERROR(INDEX(Lists!$K$2:$K$15,MATCH(K164,Lists!$J$2:$J$15,0)),-1)&gt;=6,M164="N"),"status "&amp;K164&amp;" but no tracker row",IF(AND(L164="Y",K164&lt;&gt;"do_not_contact"),"do_not_contact = Y but status is "&amp;K164,IF(AND(K164="do_not_contact",L164&lt;&gt;"Y"),"status do_not_contact but do_not_contact is not Y",""))))))</f>
        <v/>
      </c>
    </row>
    <row r="165" customFormat="false" ht="15" hidden="false" customHeight="false" outlineLevel="0" collapsed="false">
      <c r="B165" s="23" t="n">
        <v>144</v>
      </c>
      <c r="C165" s="23" t="str">
        <f aca="false">IFERROR(INDEX(Clay_Offices!$A$2:$FZ$601,B165,$C$5)&amp;"","")</f>
        <v/>
      </c>
      <c r="D165" s="23" t="str">
        <f aca="false">IFERROR(INDEX(Clay_Offices!$A$2:$FZ$601,B165,$C$7)&amp;"","")</f>
        <v/>
      </c>
      <c r="E165" s="23" t="str">
        <f aca="false">IFERROR(INDEX(Clay_Offices!$A$2:$FZ$601,B165,$C$8)&amp;"","")</f>
        <v/>
      </c>
      <c r="F165" s="23" t="str">
        <f aca="false">IF(C165="","",IF(COUNTIF(Office_Log!$A$2:$A$201,C165)&gt;0,"Y","N"))</f>
        <v/>
      </c>
      <c r="G165" s="34" t="str">
        <f aca="false">IF(OR(C165="",AND(LEFT(C165,6)="SAMPLE",Config!$B$19&lt;&gt;"Y")),"",IF(IFERROR(INDEX(Lists!$K$2:$K$15,MATCH(D165,Lists!$J$2:$J$15,0)),-1)=-1,"status '"&amp;D165&amp;"' is not a CONTRACTS status",IF(AND(D165="signed",COUNTIF(signed_offices!$W$2:$W$51,C165)=0),"status signed but no signed_offices row"&amp;IF(F165="N"," and no tracker row",""),IF(AND(IFERROR(INDEX(Lists!$K$2:$K$15,MATCH(D165,Lists!$J$2:$J$15,0)),-1)&gt;=6,F165="N"),"status "&amp;D165&amp;" but no tracker row",IF(AND(E165="Y",D165&lt;&gt;"do_not_contact"),"do_not_contact = Y but status is "&amp;D165,IF(AND(D165="do_not_contact",E165&lt;&gt;"Y"),"status do_not_contact but do_not_contact is not Y",""))))))</f>
        <v/>
      </c>
      <c r="I165" s="23" t="n">
        <v>144</v>
      </c>
      <c r="J165" s="23" t="str">
        <f aca="false">IFERROR(INDEX(Clay_Brands!$A$2:$FZ$601,I165,$D$5)&amp;"","")</f>
        <v/>
      </c>
      <c r="K165" s="23" t="str">
        <f aca="false">IFERROR(INDEX(Clay_Brands!$A$2:$FZ$601,I165,$D$7)&amp;"","")</f>
        <v/>
      </c>
      <c r="L165" s="23" t="str">
        <f aca="false">IFERROR(INDEX(Clay_Brands!$A$2:$FZ$601,I165,$D$8)&amp;"","")</f>
        <v/>
      </c>
      <c r="M165" s="23" t="str">
        <f aca="false">IF(J165="","",IF(COUNTIF(Brand_Log!$A$2:$A$201,J165)&gt;0,"Y","N"))</f>
        <v/>
      </c>
      <c r="N165" s="34" t="str">
        <f aca="false">IF(OR(J165="",AND(LEFT(J165,6)="SAMPLE",Config!$B$19&lt;&gt;"Y")),"",IF(IFERROR(INDEX(Lists!$K$2:$K$15,MATCH(K165,Lists!$J$2:$J$15,0)),-1)=-1,"status '"&amp;K165&amp;"' is not a CONTRACTS status",IF(AND(K165="paid",COUNTIF(paid_brands!$AC$2:$AC$51,J165)=0),"status paid but no paid_brands row"&amp;IF(M165="N"," and no tracker row",""),IF(AND(IFERROR(INDEX(Lists!$K$2:$K$15,MATCH(K165,Lists!$J$2:$J$15,0)),-1)&gt;=6,M165="N"),"status "&amp;K165&amp;" but no tracker row",IF(AND(L165="Y",K165&lt;&gt;"do_not_contact"),"do_not_contact = Y but status is "&amp;K165,IF(AND(K165="do_not_contact",L165&lt;&gt;"Y"),"status do_not_contact but do_not_contact is not Y",""))))))</f>
        <v/>
      </c>
    </row>
    <row r="166" customFormat="false" ht="15" hidden="false" customHeight="false" outlineLevel="0" collapsed="false">
      <c r="B166" s="23" t="n">
        <v>145</v>
      </c>
      <c r="C166" s="23" t="str">
        <f aca="false">IFERROR(INDEX(Clay_Offices!$A$2:$FZ$601,B166,$C$5)&amp;"","")</f>
        <v/>
      </c>
      <c r="D166" s="23" t="str">
        <f aca="false">IFERROR(INDEX(Clay_Offices!$A$2:$FZ$601,B166,$C$7)&amp;"","")</f>
        <v/>
      </c>
      <c r="E166" s="23" t="str">
        <f aca="false">IFERROR(INDEX(Clay_Offices!$A$2:$FZ$601,B166,$C$8)&amp;"","")</f>
        <v/>
      </c>
      <c r="F166" s="23" t="str">
        <f aca="false">IF(C166="","",IF(COUNTIF(Office_Log!$A$2:$A$201,C166)&gt;0,"Y","N"))</f>
        <v/>
      </c>
      <c r="G166" s="34" t="str">
        <f aca="false">IF(OR(C166="",AND(LEFT(C166,6)="SAMPLE",Config!$B$19&lt;&gt;"Y")),"",IF(IFERROR(INDEX(Lists!$K$2:$K$15,MATCH(D166,Lists!$J$2:$J$15,0)),-1)=-1,"status '"&amp;D166&amp;"' is not a CONTRACTS status",IF(AND(D166="signed",COUNTIF(signed_offices!$W$2:$W$51,C166)=0),"status signed but no signed_offices row"&amp;IF(F166="N"," and no tracker row",""),IF(AND(IFERROR(INDEX(Lists!$K$2:$K$15,MATCH(D166,Lists!$J$2:$J$15,0)),-1)&gt;=6,F166="N"),"status "&amp;D166&amp;" but no tracker row",IF(AND(E166="Y",D166&lt;&gt;"do_not_contact"),"do_not_contact = Y but status is "&amp;D166,IF(AND(D166="do_not_contact",E166&lt;&gt;"Y"),"status do_not_contact but do_not_contact is not Y",""))))))</f>
        <v/>
      </c>
      <c r="I166" s="23" t="n">
        <v>145</v>
      </c>
      <c r="J166" s="23" t="str">
        <f aca="false">IFERROR(INDEX(Clay_Brands!$A$2:$FZ$601,I166,$D$5)&amp;"","")</f>
        <v/>
      </c>
      <c r="K166" s="23" t="str">
        <f aca="false">IFERROR(INDEX(Clay_Brands!$A$2:$FZ$601,I166,$D$7)&amp;"","")</f>
        <v/>
      </c>
      <c r="L166" s="23" t="str">
        <f aca="false">IFERROR(INDEX(Clay_Brands!$A$2:$FZ$601,I166,$D$8)&amp;"","")</f>
        <v/>
      </c>
      <c r="M166" s="23" t="str">
        <f aca="false">IF(J166="","",IF(COUNTIF(Brand_Log!$A$2:$A$201,J166)&gt;0,"Y","N"))</f>
        <v/>
      </c>
      <c r="N166" s="34" t="str">
        <f aca="false">IF(OR(J166="",AND(LEFT(J166,6)="SAMPLE",Config!$B$19&lt;&gt;"Y")),"",IF(IFERROR(INDEX(Lists!$K$2:$K$15,MATCH(K166,Lists!$J$2:$J$15,0)),-1)=-1,"status '"&amp;K166&amp;"' is not a CONTRACTS status",IF(AND(K166="paid",COUNTIF(paid_brands!$AC$2:$AC$51,J166)=0),"status paid but no paid_brands row"&amp;IF(M166="N"," and no tracker row",""),IF(AND(IFERROR(INDEX(Lists!$K$2:$K$15,MATCH(K166,Lists!$J$2:$J$15,0)),-1)&gt;=6,M166="N"),"status "&amp;K166&amp;" but no tracker row",IF(AND(L166="Y",K166&lt;&gt;"do_not_contact"),"do_not_contact = Y but status is "&amp;K166,IF(AND(K166="do_not_contact",L166&lt;&gt;"Y"),"status do_not_contact but do_not_contact is not Y",""))))))</f>
        <v/>
      </c>
    </row>
    <row r="167" customFormat="false" ht="15" hidden="false" customHeight="false" outlineLevel="0" collapsed="false">
      <c r="B167" s="23" t="n">
        <v>146</v>
      </c>
      <c r="C167" s="23" t="str">
        <f aca="false">IFERROR(INDEX(Clay_Offices!$A$2:$FZ$601,B167,$C$5)&amp;"","")</f>
        <v/>
      </c>
      <c r="D167" s="23" t="str">
        <f aca="false">IFERROR(INDEX(Clay_Offices!$A$2:$FZ$601,B167,$C$7)&amp;"","")</f>
        <v/>
      </c>
      <c r="E167" s="23" t="str">
        <f aca="false">IFERROR(INDEX(Clay_Offices!$A$2:$FZ$601,B167,$C$8)&amp;"","")</f>
        <v/>
      </c>
      <c r="F167" s="23" t="str">
        <f aca="false">IF(C167="","",IF(COUNTIF(Office_Log!$A$2:$A$201,C167)&gt;0,"Y","N"))</f>
        <v/>
      </c>
      <c r="G167" s="34" t="str">
        <f aca="false">IF(OR(C167="",AND(LEFT(C167,6)="SAMPLE",Config!$B$19&lt;&gt;"Y")),"",IF(IFERROR(INDEX(Lists!$K$2:$K$15,MATCH(D167,Lists!$J$2:$J$15,0)),-1)=-1,"status '"&amp;D167&amp;"' is not a CONTRACTS status",IF(AND(D167="signed",COUNTIF(signed_offices!$W$2:$W$51,C167)=0),"status signed but no signed_offices row"&amp;IF(F167="N"," and no tracker row",""),IF(AND(IFERROR(INDEX(Lists!$K$2:$K$15,MATCH(D167,Lists!$J$2:$J$15,0)),-1)&gt;=6,F167="N"),"status "&amp;D167&amp;" but no tracker row",IF(AND(E167="Y",D167&lt;&gt;"do_not_contact"),"do_not_contact = Y but status is "&amp;D167,IF(AND(D167="do_not_contact",E167&lt;&gt;"Y"),"status do_not_contact but do_not_contact is not Y",""))))))</f>
        <v/>
      </c>
      <c r="I167" s="23" t="n">
        <v>146</v>
      </c>
      <c r="J167" s="23" t="str">
        <f aca="false">IFERROR(INDEX(Clay_Brands!$A$2:$FZ$601,I167,$D$5)&amp;"","")</f>
        <v/>
      </c>
      <c r="K167" s="23" t="str">
        <f aca="false">IFERROR(INDEX(Clay_Brands!$A$2:$FZ$601,I167,$D$7)&amp;"","")</f>
        <v/>
      </c>
      <c r="L167" s="23" t="str">
        <f aca="false">IFERROR(INDEX(Clay_Brands!$A$2:$FZ$601,I167,$D$8)&amp;"","")</f>
        <v/>
      </c>
      <c r="M167" s="23" t="str">
        <f aca="false">IF(J167="","",IF(COUNTIF(Brand_Log!$A$2:$A$201,J167)&gt;0,"Y","N"))</f>
        <v/>
      </c>
      <c r="N167" s="34" t="str">
        <f aca="false">IF(OR(J167="",AND(LEFT(J167,6)="SAMPLE",Config!$B$19&lt;&gt;"Y")),"",IF(IFERROR(INDEX(Lists!$K$2:$K$15,MATCH(K167,Lists!$J$2:$J$15,0)),-1)=-1,"status '"&amp;K167&amp;"' is not a CONTRACTS status",IF(AND(K167="paid",COUNTIF(paid_brands!$AC$2:$AC$51,J167)=0),"status paid but no paid_brands row"&amp;IF(M167="N"," and no tracker row",""),IF(AND(IFERROR(INDEX(Lists!$K$2:$K$15,MATCH(K167,Lists!$J$2:$J$15,0)),-1)&gt;=6,M167="N"),"status "&amp;K167&amp;" but no tracker row",IF(AND(L167="Y",K167&lt;&gt;"do_not_contact"),"do_not_contact = Y but status is "&amp;K167,IF(AND(K167="do_not_contact",L167&lt;&gt;"Y"),"status do_not_contact but do_not_contact is not Y",""))))))</f>
        <v/>
      </c>
    </row>
    <row r="168" customFormat="false" ht="15" hidden="false" customHeight="false" outlineLevel="0" collapsed="false">
      <c r="B168" s="23" t="n">
        <v>147</v>
      </c>
      <c r="C168" s="23" t="str">
        <f aca="false">IFERROR(INDEX(Clay_Offices!$A$2:$FZ$601,B168,$C$5)&amp;"","")</f>
        <v/>
      </c>
      <c r="D168" s="23" t="str">
        <f aca="false">IFERROR(INDEX(Clay_Offices!$A$2:$FZ$601,B168,$C$7)&amp;"","")</f>
        <v/>
      </c>
      <c r="E168" s="23" t="str">
        <f aca="false">IFERROR(INDEX(Clay_Offices!$A$2:$FZ$601,B168,$C$8)&amp;"","")</f>
        <v/>
      </c>
      <c r="F168" s="23" t="str">
        <f aca="false">IF(C168="","",IF(COUNTIF(Office_Log!$A$2:$A$201,C168)&gt;0,"Y","N"))</f>
        <v/>
      </c>
      <c r="G168" s="34" t="str">
        <f aca="false">IF(OR(C168="",AND(LEFT(C168,6)="SAMPLE",Config!$B$19&lt;&gt;"Y")),"",IF(IFERROR(INDEX(Lists!$K$2:$K$15,MATCH(D168,Lists!$J$2:$J$15,0)),-1)=-1,"status '"&amp;D168&amp;"' is not a CONTRACTS status",IF(AND(D168="signed",COUNTIF(signed_offices!$W$2:$W$51,C168)=0),"status signed but no signed_offices row"&amp;IF(F168="N"," and no tracker row",""),IF(AND(IFERROR(INDEX(Lists!$K$2:$K$15,MATCH(D168,Lists!$J$2:$J$15,0)),-1)&gt;=6,F168="N"),"status "&amp;D168&amp;" but no tracker row",IF(AND(E168="Y",D168&lt;&gt;"do_not_contact"),"do_not_contact = Y but status is "&amp;D168,IF(AND(D168="do_not_contact",E168&lt;&gt;"Y"),"status do_not_contact but do_not_contact is not Y",""))))))</f>
        <v/>
      </c>
      <c r="I168" s="23" t="n">
        <v>147</v>
      </c>
      <c r="J168" s="23" t="str">
        <f aca="false">IFERROR(INDEX(Clay_Brands!$A$2:$FZ$601,I168,$D$5)&amp;"","")</f>
        <v/>
      </c>
      <c r="K168" s="23" t="str">
        <f aca="false">IFERROR(INDEX(Clay_Brands!$A$2:$FZ$601,I168,$D$7)&amp;"","")</f>
        <v/>
      </c>
      <c r="L168" s="23" t="str">
        <f aca="false">IFERROR(INDEX(Clay_Brands!$A$2:$FZ$601,I168,$D$8)&amp;"","")</f>
        <v/>
      </c>
      <c r="M168" s="23" t="str">
        <f aca="false">IF(J168="","",IF(COUNTIF(Brand_Log!$A$2:$A$201,J168)&gt;0,"Y","N"))</f>
        <v/>
      </c>
      <c r="N168" s="34" t="str">
        <f aca="false">IF(OR(J168="",AND(LEFT(J168,6)="SAMPLE",Config!$B$19&lt;&gt;"Y")),"",IF(IFERROR(INDEX(Lists!$K$2:$K$15,MATCH(K168,Lists!$J$2:$J$15,0)),-1)=-1,"status '"&amp;K168&amp;"' is not a CONTRACTS status",IF(AND(K168="paid",COUNTIF(paid_brands!$AC$2:$AC$51,J168)=0),"status paid but no paid_brands row"&amp;IF(M168="N"," and no tracker row",""),IF(AND(IFERROR(INDEX(Lists!$K$2:$K$15,MATCH(K168,Lists!$J$2:$J$15,0)),-1)&gt;=6,M168="N"),"status "&amp;K168&amp;" but no tracker row",IF(AND(L168="Y",K168&lt;&gt;"do_not_contact"),"do_not_contact = Y but status is "&amp;K168,IF(AND(K168="do_not_contact",L168&lt;&gt;"Y"),"status do_not_contact but do_not_contact is not Y",""))))))</f>
        <v/>
      </c>
    </row>
    <row r="169" customFormat="false" ht="15" hidden="false" customHeight="false" outlineLevel="0" collapsed="false">
      <c r="B169" s="23" t="n">
        <v>148</v>
      </c>
      <c r="C169" s="23" t="str">
        <f aca="false">IFERROR(INDEX(Clay_Offices!$A$2:$FZ$601,B169,$C$5)&amp;"","")</f>
        <v/>
      </c>
      <c r="D169" s="23" t="str">
        <f aca="false">IFERROR(INDEX(Clay_Offices!$A$2:$FZ$601,B169,$C$7)&amp;"","")</f>
        <v/>
      </c>
      <c r="E169" s="23" t="str">
        <f aca="false">IFERROR(INDEX(Clay_Offices!$A$2:$FZ$601,B169,$C$8)&amp;"","")</f>
        <v/>
      </c>
      <c r="F169" s="23" t="str">
        <f aca="false">IF(C169="","",IF(COUNTIF(Office_Log!$A$2:$A$201,C169)&gt;0,"Y","N"))</f>
        <v/>
      </c>
      <c r="G169" s="34" t="str">
        <f aca="false">IF(OR(C169="",AND(LEFT(C169,6)="SAMPLE",Config!$B$19&lt;&gt;"Y")),"",IF(IFERROR(INDEX(Lists!$K$2:$K$15,MATCH(D169,Lists!$J$2:$J$15,0)),-1)=-1,"status '"&amp;D169&amp;"' is not a CONTRACTS status",IF(AND(D169="signed",COUNTIF(signed_offices!$W$2:$W$51,C169)=0),"status signed but no signed_offices row"&amp;IF(F169="N"," and no tracker row",""),IF(AND(IFERROR(INDEX(Lists!$K$2:$K$15,MATCH(D169,Lists!$J$2:$J$15,0)),-1)&gt;=6,F169="N"),"status "&amp;D169&amp;" but no tracker row",IF(AND(E169="Y",D169&lt;&gt;"do_not_contact"),"do_not_contact = Y but status is "&amp;D169,IF(AND(D169="do_not_contact",E169&lt;&gt;"Y"),"status do_not_contact but do_not_contact is not Y",""))))))</f>
        <v/>
      </c>
      <c r="I169" s="23" t="n">
        <v>148</v>
      </c>
      <c r="J169" s="23" t="str">
        <f aca="false">IFERROR(INDEX(Clay_Brands!$A$2:$FZ$601,I169,$D$5)&amp;"","")</f>
        <v/>
      </c>
      <c r="K169" s="23" t="str">
        <f aca="false">IFERROR(INDEX(Clay_Brands!$A$2:$FZ$601,I169,$D$7)&amp;"","")</f>
        <v/>
      </c>
      <c r="L169" s="23" t="str">
        <f aca="false">IFERROR(INDEX(Clay_Brands!$A$2:$FZ$601,I169,$D$8)&amp;"","")</f>
        <v/>
      </c>
      <c r="M169" s="23" t="str">
        <f aca="false">IF(J169="","",IF(COUNTIF(Brand_Log!$A$2:$A$201,J169)&gt;0,"Y","N"))</f>
        <v/>
      </c>
      <c r="N169" s="34" t="str">
        <f aca="false">IF(OR(J169="",AND(LEFT(J169,6)="SAMPLE",Config!$B$19&lt;&gt;"Y")),"",IF(IFERROR(INDEX(Lists!$K$2:$K$15,MATCH(K169,Lists!$J$2:$J$15,0)),-1)=-1,"status '"&amp;K169&amp;"' is not a CONTRACTS status",IF(AND(K169="paid",COUNTIF(paid_brands!$AC$2:$AC$51,J169)=0),"status paid but no paid_brands row"&amp;IF(M169="N"," and no tracker row",""),IF(AND(IFERROR(INDEX(Lists!$K$2:$K$15,MATCH(K169,Lists!$J$2:$J$15,0)),-1)&gt;=6,M169="N"),"status "&amp;K169&amp;" but no tracker row",IF(AND(L169="Y",K169&lt;&gt;"do_not_contact"),"do_not_contact = Y but status is "&amp;K169,IF(AND(K169="do_not_contact",L169&lt;&gt;"Y"),"status do_not_contact but do_not_contact is not Y",""))))))</f>
        <v/>
      </c>
    </row>
    <row r="170" customFormat="false" ht="15" hidden="false" customHeight="false" outlineLevel="0" collapsed="false">
      <c r="B170" s="23" t="n">
        <v>149</v>
      </c>
      <c r="C170" s="23" t="str">
        <f aca="false">IFERROR(INDEX(Clay_Offices!$A$2:$FZ$601,B170,$C$5)&amp;"","")</f>
        <v/>
      </c>
      <c r="D170" s="23" t="str">
        <f aca="false">IFERROR(INDEX(Clay_Offices!$A$2:$FZ$601,B170,$C$7)&amp;"","")</f>
        <v/>
      </c>
      <c r="E170" s="23" t="str">
        <f aca="false">IFERROR(INDEX(Clay_Offices!$A$2:$FZ$601,B170,$C$8)&amp;"","")</f>
        <v/>
      </c>
      <c r="F170" s="23" t="str">
        <f aca="false">IF(C170="","",IF(COUNTIF(Office_Log!$A$2:$A$201,C170)&gt;0,"Y","N"))</f>
        <v/>
      </c>
      <c r="G170" s="34" t="str">
        <f aca="false">IF(OR(C170="",AND(LEFT(C170,6)="SAMPLE",Config!$B$19&lt;&gt;"Y")),"",IF(IFERROR(INDEX(Lists!$K$2:$K$15,MATCH(D170,Lists!$J$2:$J$15,0)),-1)=-1,"status '"&amp;D170&amp;"' is not a CONTRACTS status",IF(AND(D170="signed",COUNTIF(signed_offices!$W$2:$W$51,C170)=0),"status signed but no signed_offices row"&amp;IF(F170="N"," and no tracker row",""),IF(AND(IFERROR(INDEX(Lists!$K$2:$K$15,MATCH(D170,Lists!$J$2:$J$15,0)),-1)&gt;=6,F170="N"),"status "&amp;D170&amp;" but no tracker row",IF(AND(E170="Y",D170&lt;&gt;"do_not_contact"),"do_not_contact = Y but status is "&amp;D170,IF(AND(D170="do_not_contact",E170&lt;&gt;"Y"),"status do_not_contact but do_not_contact is not Y",""))))))</f>
        <v/>
      </c>
      <c r="I170" s="23" t="n">
        <v>149</v>
      </c>
      <c r="J170" s="23" t="str">
        <f aca="false">IFERROR(INDEX(Clay_Brands!$A$2:$FZ$601,I170,$D$5)&amp;"","")</f>
        <v/>
      </c>
      <c r="K170" s="23" t="str">
        <f aca="false">IFERROR(INDEX(Clay_Brands!$A$2:$FZ$601,I170,$D$7)&amp;"","")</f>
        <v/>
      </c>
      <c r="L170" s="23" t="str">
        <f aca="false">IFERROR(INDEX(Clay_Brands!$A$2:$FZ$601,I170,$D$8)&amp;"","")</f>
        <v/>
      </c>
      <c r="M170" s="23" t="str">
        <f aca="false">IF(J170="","",IF(COUNTIF(Brand_Log!$A$2:$A$201,J170)&gt;0,"Y","N"))</f>
        <v/>
      </c>
      <c r="N170" s="34" t="str">
        <f aca="false">IF(OR(J170="",AND(LEFT(J170,6)="SAMPLE",Config!$B$19&lt;&gt;"Y")),"",IF(IFERROR(INDEX(Lists!$K$2:$K$15,MATCH(K170,Lists!$J$2:$J$15,0)),-1)=-1,"status '"&amp;K170&amp;"' is not a CONTRACTS status",IF(AND(K170="paid",COUNTIF(paid_brands!$AC$2:$AC$51,J170)=0),"status paid but no paid_brands row"&amp;IF(M170="N"," and no tracker row",""),IF(AND(IFERROR(INDEX(Lists!$K$2:$K$15,MATCH(K170,Lists!$J$2:$J$15,0)),-1)&gt;=6,M170="N"),"status "&amp;K170&amp;" but no tracker row",IF(AND(L170="Y",K170&lt;&gt;"do_not_contact"),"do_not_contact = Y but status is "&amp;K170,IF(AND(K170="do_not_contact",L170&lt;&gt;"Y"),"status do_not_contact but do_not_contact is not Y",""))))))</f>
        <v/>
      </c>
    </row>
    <row r="171" customFormat="false" ht="15" hidden="false" customHeight="false" outlineLevel="0" collapsed="false">
      <c r="B171" s="23" t="n">
        <v>150</v>
      </c>
      <c r="C171" s="23" t="str">
        <f aca="false">IFERROR(INDEX(Clay_Offices!$A$2:$FZ$601,B171,$C$5)&amp;"","")</f>
        <v/>
      </c>
      <c r="D171" s="23" t="str">
        <f aca="false">IFERROR(INDEX(Clay_Offices!$A$2:$FZ$601,B171,$C$7)&amp;"","")</f>
        <v/>
      </c>
      <c r="E171" s="23" t="str">
        <f aca="false">IFERROR(INDEX(Clay_Offices!$A$2:$FZ$601,B171,$C$8)&amp;"","")</f>
        <v/>
      </c>
      <c r="F171" s="23" t="str">
        <f aca="false">IF(C171="","",IF(COUNTIF(Office_Log!$A$2:$A$201,C171)&gt;0,"Y","N"))</f>
        <v/>
      </c>
      <c r="G171" s="34" t="str">
        <f aca="false">IF(OR(C171="",AND(LEFT(C171,6)="SAMPLE",Config!$B$19&lt;&gt;"Y")),"",IF(IFERROR(INDEX(Lists!$K$2:$K$15,MATCH(D171,Lists!$J$2:$J$15,0)),-1)=-1,"status '"&amp;D171&amp;"' is not a CONTRACTS status",IF(AND(D171="signed",COUNTIF(signed_offices!$W$2:$W$51,C171)=0),"status signed but no signed_offices row"&amp;IF(F171="N"," and no tracker row",""),IF(AND(IFERROR(INDEX(Lists!$K$2:$K$15,MATCH(D171,Lists!$J$2:$J$15,0)),-1)&gt;=6,F171="N"),"status "&amp;D171&amp;" but no tracker row",IF(AND(E171="Y",D171&lt;&gt;"do_not_contact"),"do_not_contact = Y but status is "&amp;D171,IF(AND(D171="do_not_contact",E171&lt;&gt;"Y"),"status do_not_contact but do_not_contact is not Y",""))))))</f>
        <v/>
      </c>
      <c r="I171" s="23" t="n">
        <v>150</v>
      </c>
      <c r="J171" s="23" t="str">
        <f aca="false">IFERROR(INDEX(Clay_Brands!$A$2:$FZ$601,I171,$D$5)&amp;"","")</f>
        <v/>
      </c>
      <c r="K171" s="23" t="str">
        <f aca="false">IFERROR(INDEX(Clay_Brands!$A$2:$FZ$601,I171,$D$7)&amp;"","")</f>
        <v/>
      </c>
      <c r="L171" s="23" t="str">
        <f aca="false">IFERROR(INDEX(Clay_Brands!$A$2:$FZ$601,I171,$D$8)&amp;"","")</f>
        <v/>
      </c>
      <c r="M171" s="23" t="str">
        <f aca="false">IF(J171="","",IF(COUNTIF(Brand_Log!$A$2:$A$201,J171)&gt;0,"Y","N"))</f>
        <v/>
      </c>
      <c r="N171" s="34" t="str">
        <f aca="false">IF(OR(J171="",AND(LEFT(J171,6)="SAMPLE",Config!$B$19&lt;&gt;"Y")),"",IF(IFERROR(INDEX(Lists!$K$2:$K$15,MATCH(K171,Lists!$J$2:$J$15,0)),-1)=-1,"status '"&amp;K171&amp;"' is not a CONTRACTS status",IF(AND(K171="paid",COUNTIF(paid_brands!$AC$2:$AC$51,J171)=0),"status paid but no paid_brands row"&amp;IF(M171="N"," and no tracker row",""),IF(AND(IFERROR(INDEX(Lists!$K$2:$K$15,MATCH(K171,Lists!$J$2:$J$15,0)),-1)&gt;=6,M171="N"),"status "&amp;K171&amp;" but no tracker row",IF(AND(L171="Y",K171&lt;&gt;"do_not_contact"),"do_not_contact = Y but status is "&amp;K171,IF(AND(K171="do_not_contact",L171&lt;&gt;"Y"),"status do_not_contact but do_not_contact is not Y",""))))))</f>
        <v/>
      </c>
    </row>
    <row r="172" customFormat="false" ht="15" hidden="false" customHeight="false" outlineLevel="0" collapsed="false">
      <c r="B172" s="23" t="n">
        <v>151</v>
      </c>
      <c r="C172" s="23" t="str">
        <f aca="false">IFERROR(INDEX(Clay_Offices!$A$2:$FZ$601,B172,$C$5)&amp;"","")</f>
        <v/>
      </c>
      <c r="D172" s="23" t="str">
        <f aca="false">IFERROR(INDEX(Clay_Offices!$A$2:$FZ$601,B172,$C$7)&amp;"","")</f>
        <v/>
      </c>
      <c r="E172" s="23" t="str">
        <f aca="false">IFERROR(INDEX(Clay_Offices!$A$2:$FZ$601,B172,$C$8)&amp;"","")</f>
        <v/>
      </c>
      <c r="F172" s="23" t="str">
        <f aca="false">IF(C172="","",IF(COUNTIF(Office_Log!$A$2:$A$201,C172)&gt;0,"Y","N"))</f>
        <v/>
      </c>
      <c r="G172" s="34" t="str">
        <f aca="false">IF(OR(C172="",AND(LEFT(C172,6)="SAMPLE",Config!$B$19&lt;&gt;"Y")),"",IF(IFERROR(INDEX(Lists!$K$2:$K$15,MATCH(D172,Lists!$J$2:$J$15,0)),-1)=-1,"status '"&amp;D172&amp;"' is not a CONTRACTS status",IF(AND(D172="signed",COUNTIF(signed_offices!$W$2:$W$51,C172)=0),"status signed but no signed_offices row"&amp;IF(F172="N"," and no tracker row",""),IF(AND(IFERROR(INDEX(Lists!$K$2:$K$15,MATCH(D172,Lists!$J$2:$J$15,0)),-1)&gt;=6,F172="N"),"status "&amp;D172&amp;" but no tracker row",IF(AND(E172="Y",D172&lt;&gt;"do_not_contact"),"do_not_contact = Y but status is "&amp;D172,IF(AND(D172="do_not_contact",E172&lt;&gt;"Y"),"status do_not_contact but do_not_contact is not Y",""))))))</f>
        <v/>
      </c>
      <c r="I172" s="23" t="n">
        <v>151</v>
      </c>
      <c r="J172" s="23" t="str">
        <f aca="false">IFERROR(INDEX(Clay_Brands!$A$2:$FZ$601,I172,$D$5)&amp;"","")</f>
        <v/>
      </c>
      <c r="K172" s="23" t="str">
        <f aca="false">IFERROR(INDEX(Clay_Brands!$A$2:$FZ$601,I172,$D$7)&amp;"","")</f>
        <v/>
      </c>
      <c r="L172" s="23" t="str">
        <f aca="false">IFERROR(INDEX(Clay_Brands!$A$2:$FZ$601,I172,$D$8)&amp;"","")</f>
        <v/>
      </c>
      <c r="M172" s="23" t="str">
        <f aca="false">IF(J172="","",IF(COUNTIF(Brand_Log!$A$2:$A$201,J172)&gt;0,"Y","N"))</f>
        <v/>
      </c>
      <c r="N172" s="34" t="str">
        <f aca="false">IF(OR(J172="",AND(LEFT(J172,6)="SAMPLE",Config!$B$19&lt;&gt;"Y")),"",IF(IFERROR(INDEX(Lists!$K$2:$K$15,MATCH(K172,Lists!$J$2:$J$15,0)),-1)=-1,"status '"&amp;K172&amp;"' is not a CONTRACTS status",IF(AND(K172="paid",COUNTIF(paid_brands!$AC$2:$AC$51,J172)=0),"status paid but no paid_brands row"&amp;IF(M172="N"," and no tracker row",""),IF(AND(IFERROR(INDEX(Lists!$K$2:$K$15,MATCH(K172,Lists!$J$2:$J$15,0)),-1)&gt;=6,M172="N"),"status "&amp;K172&amp;" but no tracker row",IF(AND(L172="Y",K172&lt;&gt;"do_not_contact"),"do_not_contact = Y but status is "&amp;K172,IF(AND(K172="do_not_contact",L172&lt;&gt;"Y"),"status do_not_contact but do_not_contact is not Y",""))))))</f>
        <v/>
      </c>
    </row>
    <row r="173" customFormat="false" ht="15" hidden="false" customHeight="false" outlineLevel="0" collapsed="false">
      <c r="B173" s="23" t="n">
        <v>152</v>
      </c>
      <c r="C173" s="23" t="str">
        <f aca="false">IFERROR(INDEX(Clay_Offices!$A$2:$FZ$601,B173,$C$5)&amp;"","")</f>
        <v/>
      </c>
      <c r="D173" s="23" t="str">
        <f aca="false">IFERROR(INDEX(Clay_Offices!$A$2:$FZ$601,B173,$C$7)&amp;"","")</f>
        <v/>
      </c>
      <c r="E173" s="23" t="str">
        <f aca="false">IFERROR(INDEX(Clay_Offices!$A$2:$FZ$601,B173,$C$8)&amp;"","")</f>
        <v/>
      </c>
      <c r="F173" s="23" t="str">
        <f aca="false">IF(C173="","",IF(COUNTIF(Office_Log!$A$2:$A$201,C173)&gt;0,"Y","N"))</f>
        <v/>
      </c>
      <c r="G173" s="34" t="str">
        <f aca="false">IF(OR(C173="",AND(LEFT(C173,6)="SAMPLE",Config!$B$19&lt;&gt;"Y")),"",IF(IFERROR(INDEX(Lists!$K$2:$K$15,MATCH(D173,Lists!$J$2:$J$15,0)),-1)=-1,"status '"&amp;D173&amp;"' is not a CONTRACTS status",IF(AND(D173="signed",COUNTIF(signed_offices!$W$2:$W$51,C173)=0),"status signed but no signed_offices row"&amp;IF(F173="N"," and no tracker row",""),IF(AND(IFERROR(INDEX(Lists!$K$2:$K$15,MATCH(D173,Lists!$J$2:$J$15,0)),-1)&gt;=6,F173="N"),"status "&amp;D173&amp;" but no tracker row",IF(AND(E173="Y",D173&lt;&gt;"do_not_contact"),"do_not_contact = Y but status is "&amp;D173,IF(AND(D173="do_not_contact",E173&lt;&gt;"Y"),"status do_not_contact but do_not_contact is not Y",""))))))</f>
        <v/>
      </c>
      <c r="I173" s="23" t="n">
        <v>152</v>
      </c>
      <c r="J173" s="23" t="str">
        <f aca="false">IFERROR(INDEX(Clay_Brands!$A$2:$FZ$601,I173,$D$5)&amp;"","")</f>
        <v/>
      </c>
      <c r="K173" s="23" t="str">
        <f aca="false">IFERROR(INDEX(Clay_Brands!$A$2:$FZ$601,I173,$D$7)&amp;"","")</f>
        <v/>
      </c>
      <c r="L173" s="23" t="str">
        <f aca="false">IFERROR(INDEX(Clay_Brands!$A$2:$FZ$601,I173,$D$8)&amp;"","")</f>
        <v/>
      </c>
      <c r="M173" s="23" t="str">
        <f aca="false">IF(J173="","",IF(COUNTIF(Brand_Log!$A$2:$A$201,J173)&gt;0,"Y","N"))</f>
        <v/>
      </c>
      <c r="N173" s="34" t="str">
        <f aca="false">IF(OR(J173="",AND(LEFT(J173,6)="SAMPLE",Config!$B$19&lt;&gt;"Y")),"",IF(IFERROR(INDEX(Lists!$K$2:$K$15,MATCH(K173,Lists!$J$2:$J$15,0)),-1)=-1,"status '"&amp;K173&amp;"' is not a CONTRACTS status",IF(AND(K173="paid",COUNTIF(paid_brands!$AC$2:$AC$51,J173)=0),"status paid but no paid_brands row"&amp;IF(M173="N"," and no tracker row",""),IF(AND(IFERROR(INDEX(Lists!$K$2:$K$15,MATCH(K173,Lists!$J$2:$J$15,0)),-1)&gt;=6,M173="N"),"status "&amp;K173&amp;" but no tracker row",IF(AND(L173="Y",K173&lt;&gt;"do_not_contact"),"do_not_contact = Y but status is "&amp;K173,IF(AND(K173="do_not_contact",L173&lt;&gt;"Y"),"status do_not_contact but do_not_contact is not Y",""))))))</f>
        <v/>
      </c>
    </row>
    <row r="174" customFormat="false" ht="15" hidden="false" customHeight="false" outlineLevel="0" collapsed="false">
      <c r="B174" s="23" t="n">
        <v>153</v>
      </c>
      <c r="C174" s="23" t="str">
        <f aca="false">IFERROR(INDEX(Clay_Offices!$A$2:$FZ$601,B174,$C$5)&amp;"","")</f>
        <v/>
      </c>
      <c r="D174" s="23" t="str">
        <f aca="false">IFERROR(INDEX(Clay_Offices!$A$2:$FZ$601,B174,$C$7)&amp;"","")</f>
        <v/>
      </c>
      <c r="E174" s="23" t="str">
        <f aca="false">IFERROR(INDEX(Clay_Offices!$A$2:$FZ$601,B174,$C$8)&amp;"","")</f>
        <v/>
      </c>
      <c r="F174" s="23" t="str">
        <f aca="false">IF(C174="","",IF(COUNTIF(Office_Log!$A$2:$A$201,C174)&gt;0,"Y","N"))</f>
        <v/>
      </c>
      <c r="G174" s="34" t="str">
        <f aca="false">IF(OR(C174="",AND(LEFT(C174,6)="SAMPLE",Config!$B$19&lt;&gt;"Y")),"",IF(IFERROR(INDEX(Lists!$K$2:$K$15,MATCH(D174,Lists!$J$2:$J$15,0)),-1)=-1,"status '"&amp;D174&amp;"' is not a CONTRACTS status",IF(AND(D174="signed",COUNTIF(signed_offices!$W$2:$W$51,C174)=0),"status signed but no signed_offices row"&amp;IF(F174="N"," and no tracker row",""),IF(AND(IFERROR(INDEX(Lists!$K$2:$K$15,MATCH(D174,Lists!$J$2:$J$15,0)),-1)&gt;=6,F174="N"),"status "&amp;D174&amp;" but no tracker row",IF(AND(E174="Y",D174&lt;&gt;"do_not_contact"),"do_not_contact = Y but status is "&amp;D174,IF(AND(D174="do_not_contact",E174&lt;&gt;"Y"),"status do_not_contact but do_not_contact is not Y",""))))))</f>
        <v/>
      </c>
      <c r="I174" s="23" t="n">
        <v>153</v>
      </c>
      <c r="J174" s="23" t="str">
        <f aca="false">IFERROR(INDEX(Clay_Brands!$A$2:$FZ$601,I174,$D$5)&amp;"","")</f>
        <v/>
      </c>
      <c r="K174" s="23" t="str">
        <f aca="false">IFERROR(INDEX(Clay_Brands!$A$2:$FZ$601,I174,$D$7)&amp;"","")</f>
        <v/>
      </c>
      <c r="L174" s="23" t="str">
        <f aca="false">IFERROR(INDEX(Clay_Brands!$A$2:$FZ$601,I174,$D$8)&amp;"","")</f>
        <v/>
      </c>
      <c r="M174" s="23" t="str">
        <f aca="false">IF(J174="","",IF(COUNTIF(Brand_Log!$A$2:$A$201,J174)&gt;0,"Y","N"))</f>
        <v/>
      </c>
      <c r="N174" s="34" t="str">
        <f aca="false">IF(OR(J174="",AND(LEFT(J174,6)="SAMPLE",Config!$B$19&lt;&gt;"Y")),"",IF(IFERROR(INDEX(Lists!$K$2:$K$15,MATCH(K174,Lists!$J$2:$J$15,0)),-1)=-1,"status '"&amp;K174&amp;"' is not a CONTRACTS status",IF(AND(K174="paid",COUNTIF(paid_brands!$AC$2:$AC$51,J174)=0),"status paid but no paid_brands row"&amp;IF(M174="N"," and no tracker row",""),IF(AND(IFERROR(INDEX(Lists!$K$2:$K$15,MATCH(K174,Lists!$J$2:$J$15,0)),-1)&gt;=6,M174="N"),"status "&amp;K174&amp;" but no tracker row",IF(AND(L174="Y",K174&lt;&gt;"do_not_contact"),"do_not_contact = Y but status is "&amp;K174,IF(AND(K174="do_not_contact",L174&lt;&gt;"Y"),"status do_not_contact but do_not_contact is not Y",""))))))</f>
        <v/>
      </c>
    </row>
    <row r="175" customFormat="false" ht="15" hidden="false" customHeight="false" outlineLevel="0" collapsed="false">
      <c r="B175" s="23" t="n">
        <v>154</v>
      </c>
      <c r="C175" s="23" t="str">
        <f aca="false">IFERROR(INDEX(Clay_Offices!$A$2:$FZ$601,B175,$C$5)&amp;"","")</f>
        <v/>
      </c>
      <c r="D175" s="23" t="str">
        <f aca="false">IFERROR(INDEX(Clay_Offices!$A$2:$FZ$601,B175,$C$7)&amp;"","")</f>
        <v/>
      </c>
      <c r="E175" s="23" t="str">
        <f aca="false">IFERROR(INDEX(Clay_Offices!$A$2:$FZ$601,B175,$C$8)&amp;"","")</f>
        <v/>
      </c>
      <c r="F175" s="23" t="str">
        <f aca="false">IF(C175="","",IF(COUNTIF(Office_Log!$A$2:$A$201,C175)&gt;0,"Y","N"))</f>
        <v/>
      </c>
      <c r="G175" s="34" t="str">
        <f aca="false">IF(OR(C175="",AND(LEFT(C175,6)="SAMPLE",Config!$B$19&lt;&gt;"Y")),"",IF(IFERROR(INDEX(Lists!$K$2:$K$15,MATCH(D175,Lists!$J$2:$J$15,0)),-1)=-1,"status '"&amp;D175&amp;"' is not a CONTRACTS status",IF(AND(D175="signed",COUNTIF(signed_offices!$W$2:$W$51,C175)=0),"status signed but no signed_offices row"&amp;IF(F175="N"," and no tracker row",""),IF(AND(IFERROR(INDEX(Lists!$K$2:$K$15,MATCH(D175,Lists!$J$2:$J$15,0)),-1)&gt;=6,F175="N"),"status "&amp;D175&amp;" but no tracker row",IF(AND(E175="Y",D175&lt;&gt;"do_not_contact"),"do_not_contact = Y but status is "&amp;D175,IF(AND(D175="do_not_contact",E175&lt;&gt;"Y"),"status do_not_contact but do_not_contact is not Y",""))))))</f>
        <v/>
      </c>
      <c r="I175" s="23" t="n">
        <v>154</v>
      </c>
      <c r="J175" s="23" t="str">
        <f aca="false">IFERROR(INDEX(Clay_Brands!$A$2:$FZ$601,I175,$D$5)&amp;"","")</f>
        <v/>
      </c>
      <c r="K175" s="23" t="str">
        <f aca="false">IFERROR(INDEX(Clay_Brands!$A$2:$FZ$601,I175,$D$7)&amp;"","")</f>
        <v/>
      </c>
      <c r="L175" s="23" t="str">
        <f aca="false">IFERROR(INDEX(Clay_Brands!$A$2:$FZ$601,I175,$D$8)&amp;"","")</f>
        <v/>
      </c>
      <c r="M175" s="23" t="str">
        <f aca="false">IF(J175="","",IF(COUNTIF(Brand_Log!$A$2:$A$201,J175)&gt;0,"Y","N"))</f>
        <v/>
      </c>
      <c r="N175" s="34" t="str">
        <f aca="false">IF(OR(J175="",AND(LEFT(J175,6)="SAMPLE",Config!$B$19&lt;&gt;"Y")),"",IF(IFERROR(INDEX(Lists!$K$2:$K$15,MATCH(K175,Lists!$J$2:$J$15,0)),-1)=-1,"status '"&amp;K175&amp;"' is not a CONTRACTS status",IF(AND(K175="paid",COUNTIF(paid_brands!$AC$2:$AC$51,J175)=0),"status paid but no paid_brands row"&amp;IF(M175="N"," and no tracker row",""),IF(AND(IFERROR(INDEX(Lists!$K$2:$K$15,MATCH(K175,Lists!$J$2:$J$15,0)),-1)&gt;=6,M175="N"),"status "&amp;K175&amp;" but no tracker row",IF(AND(L175="Y",K175&lt;&gt;"do_not_contact"),"do_not_contact = Y but status is "&amp;K175,IF(AND(K175="do_not_contact",L175&lt;&gt;"Y"),"status do_not_contact but do_not_contact is not Y",""))))))</f>
        <v/>
      </c>
    </row>
    <row r="176" customFormat="false" ht="15" hidden="false" customHeight="false" outlineLevel="0" collapsed="false">
      <c r="B176" s="23" t="n">
        <v>155</v>
      </c>
      <c r="C176" s="23" t="str">
        <f aca="false">IFERROR(INDEX(Clay_Offices!$A$2:$FZ$601,B176,$C$5)&amp;"","")</f>
        <v/>
      </c>
      <c r="D176" s="23" t="str">
        <f aca="false">IFERROR(INDEX(Clay_Offices!$A$2:$FZ$601,B176,$C$7)&amp;"","")</f>
        <v/>
      </c>
      <c r="E176" s="23" t="str">
        <f aca="false">IFERROR(INDEX(Clay_Offices!$A$2:$FZ$601,B176,$C$8)&amp;"","")</f>
        <v/>
      </c>
      <c r="F176" s="23" t="str">
        <f aca="false">IF(C176="","",IF(COUNTIF(Office_Log!$A$2:$A$201,C176)&gt;0,"Y","N"))</f>
        <v/>
      </c>
      <c r="G176" s="34" t="str">
        <f aca="false">IF(OR(C176="",AND(LEFT(C176,6)="SAMPLE",Config!$B$19&lt;&gt;"Y")),"",IF(IFERROR(INDEX(Lists!$K$2:$K$15,MATCH(D176,Lists!$J$2:$J$15,0)),-1)=-1,"status '"&amp;D176&amp;"' is not a CONTRACTS status",IF(AND(D176="signed",COUNTIF(signed_offices!$W$2:$W$51,C176)=0),"status signed but no signed_offices row"&amp;IF(F176="N"," and no tracker row",""),IF(AND(IFERROR(INDEX(Lists!$K$2:$K$15,MATCH(D176,Lists!$J$2:$J$15,0)),-1)&gt;=6,F176="N"),"status "&amp;D176&amp;" but no tracker row",IF(AND(E176="Y",D176&lt;&gt;"do_not_contact"),"do_not_contact = Y but status is "&amp;D176,IF(AND(D176="do_not_contact",E176&lt;&gt;"Y"),"status do_not_contact but do_not_contact is not Y",""))))))</f>
        <v/>
      </c>
      <c r="I176" s="23" t="n">
        <v>155</v>
      </c>
      <c r="J176" s="23" t="str">
        <f aca="false">IFERROR(INDEX(Clay_Brands!$A$2:$FZ$601,I176,$D$5)&amp;"","")</f>
        <v/>
      </c>
      <c r="K176" s="23" t="str">
        <f aca="false">IFERROR(INDEX(Clay_Brands!$A$2:$FZ$601,I176,$D$7)&amp;"","")</f>
        <v/>
      </c>
      <c r="L176" s="23" t="str">
        <f aca="false">IFERROR(INDEX(Clay_Brands!$A$2:$FZ$601,I176,$D$8)&amp;"","")</f>
        <v/>
      </c>
      <c r="M176" s="23" t="str">
        <f aca="false">IF(J176="","",IF(COUNTIF(Brand_Log!$A$2:$A$201,J176)&gt;0,"Y","N"))</f>
        <v/>
      </c>
      <c r="N176" s="34" t="str">
        <f aca="false">IF(OR(J176="",AND(LEFT(J176,6)="SAMPLE",Config!$B$19&lt;&gt;"Y")),"",IF(IFERROR(INDEX(Lists!$K$2:$K$15,MATCH(K176,Lists!$J$2:$J$15,0)),-1)=-1,"status '"&amp;K176&amp;"' is not a CONTRACTS status",IF(AND(K176="paid",COUNTIF(paid_brands!$AC$2:$AC$51,J176)=0),"status paid but no paid_brands row"&amp;IF(M176="N"," and no tracker row",""),IF(AND(IFERROR(INDEX(Lists!$K$2:$K$15,MATCH(K176,Lists!$J$2:$J$15,0)),-1)&gt;=6,M176="N"),"status "&amp;K176&amp;" but no tracker row",IF(AND(L176="Y",K176&lt;&gt;"do_not_contact"),"do_not_contact = Y but status is "&amp;K176,IF(AND(K176="do_not_contact",L176&lt;&gt;"Y"),"status do_not_contact but do_not_contact is not Y",""))))))</f>
        <v/>
      </c>
    </row>
    <row r="177" customFormat="false" ht="15" hidden="false" customHeight="false" outlineLevel="0" collapsed="false">
      <c r="B177" s="23" t="n">
        <v>156</v>
      </c>
      <c r="C177" s="23" t="str">
        <f aca="false">IFERROR(INDEX(Clay_Offices!$A$2:$FZ$601,B177,$C$5)&amp;"","")</f>
        <v/>
      </c>
      <c r="D177" s="23" t="str">
        <f aca="false">IFERROR(INDEX(Clay_Offices!$A$2:$FZ$601,B177,$C$7)&amp;"","")</f>
        <v/>
      </c>
      <c r="E177" s="23" t="str">
        <f aca="false">IFERROR(INDEX(Clay_Offices!$A$2:$FZ$601,B177,$C$8)&amp;"","")</f>
        <v/>
      </c>
      <c r="F177" s="23" t="str">
        <f aca="false">IF(C177="","",IF(COUNTIF(Office_Log!$A$2:$A$201,C177)&gt;0,"Y","N"))</f>
        <v/>
      </c>
      <c r="G177" s="34" t="str">
        <f aca="false">IF(OR(C177="",AND(LEFT(C177,6)="SAMPLE",Config!$B$19&lt;&gt;"Y")),"",IF(IFERROR(INDEX(Lists!$K$2:$K$15,MATCH(D177,Lists!$J$2:$J$15,0)),-1)=-1,"status '"&amp;D177&amp;"' is not a CONTRACTS status",IF(AND(D177="signed",COUNTIF(signed_offices!$W$2:$W$51,C177)=0),"status signed but no signed_offices row"&amp;IF(F177="N"," and no tracker row",""),IF(AND(IFERROR(INDEX(Lists!$K$2:$K$15,MATCH(D177,Lists!$J$2:$J$15,0)),-1)&gt;=6,F177="N"),"status "&amp;D177&amp;" but no tracker row",IF(AND(E177="Y",D177&lt;&gt;"do_not_contact"),"do_not_contact = Y but status is "&amp;D177,IF(AND(D177="do_not_contact",E177&lt;&gt;"Y"),"status do_not_contact but do_not_contact is not Y",""))))))</f>
        <v/>
      </c>
      <c r="I177" s="23" t="n">
        <v>156</v>
      </c>
      <c r="J177" s="23" t="str">
        <f aca="false">IFERROR(INDEX(Clay_Brands!$A$2:$FZ$601,I177,$D$5)&amp;"","")</f>
        <v/>
      </c>
      <c r="K177" s="23" t="str">
        <f aca="false">IFERROR(INDEX(Clay_Brands!$A$2:$FZ$601,I177,$D$7)&amp;"","")</f>
        <v/>
      </c>
      <c r="L177" s="23" t="str">
        <f aca="false">IFERROR(INDEX(Clay_Brands!$A$2:$FZ$601,I177,$D$8)&amp;"","")</f>
        <v/>
      </c>
      <c r="M177" s="23" t="str">
        <f aca="false">IF(J177="","",IF(COUNTIF(Brand_Log!$A$2:$A$201,J177)&gt;0,"Y","N"))</f>
        <v/>
      </c>
      <c r="N177" s="34" t="str">
        <f aca="false">IF(OR(J177="",AND(LEFT(J177,6)="SAMPLE",Config!$B$19&lt;&gt;"Y")),"",IF(IFERROR(INDEX(Lists!$K$2:$K$15,MATCH(K177,Lists!$J$2:$J$15,0)),-1)=-1,"status '"&amp;K177&amp;"' is not a CONTRACTS status",IF(AND(K177="paid",COUNTIF(paid_brands!$AC$2:$AC$51,J177)=0),"status paid but no paid_brands row"&amp;IF(M177="N"," and no tracker row",""),IF(AND(IFERROR(INDEX(Lists!$K$2:$K$15,MATCH(K177,Lists!$J$2:$J$15,0)),-1)&gt;=6,M177="N"),"status "&amp;K177&amp;" but no tracker row",IF(AND(L177="Y",K177&lt;&gt;"do_not_contact"),"do_not_contact = Y but status is "&amp;K177,IF(AND(K177="do_not_contact",L177&lt;&gt;"Y"),"status do_not_contact but do_not_contact is not Y",""))))))</f>
        <v/>
      </c>
    </row>
    <row r="178" customFormat="false" ht="15" hidden="false" customHeight="false" outlineLevel="0" collapsed="false">
      <c r="B178" s="23" t="n">
        <v>157</v>
      </c>
      <c r="C178" s="23" t="str">
        <f aca="false">IFERROR(INDEX(Clay_Offices!$A$2:$FZ$601,B178,$C$5)&amp;"","")</f>
        <v/>
      </c>
      <c r="D178" s="23" t="str">
        <f aca="false">IFERROR(INDEX(Clay_Offices!$A$2:$FZ$601,B178,$C$7)&amp;"","")</f>
        <v/>
      </c>
      <c r="E178" s="23" t="str">
        <f aca="false">IFERROR(INDEX(Clay_Offices!$A$2:$FZ$601,B178,$C$8)&amp;"","")</f>
        <v/>
      </c>
      <c r="F178" s="23" t="str">
        <f aca="false">IF(C178="","",IF(COUNTIF(Office_Log!$A$2:$A$201,C178)&gt;0,"Y","N"))</f>
        <v/>
      </c>
      <c r="G178" s="34" t="str">
        <f aca="false">IF(OR(C178="",AND(LEFT(C178,6)="SAMPLE",Config!$B$19&lt;&gt;"Y")),"",IF(IFERROR(INDEX(Lists!$K$2:$K$15,MATCH(D178,Lists!$J$2:$J$15,0)),-1)=-1,"status '"&amp;D178&amp;"' is not a CONTRACTS status",IF(AND(D178="signed",COUNTIF(signed_offices!$W$2:$W$51,C178)=0),"status signed but no signed_offices row"&amp;IF(F178="N"," and no tracker row",""),IF(AND(IFERROR(INDEX(Lists!$K$2:$K$15,MATCH(D178,Lists!$J$2:$J$15,0)),-1)&gt;=6,F178="N"),"status "&amp;D178&amp;" but no tracker row",IF(AND(E178="Y",D178&lt;&gt;"do_not_contact"),"do_not_contact = Y but status is "&amp;D178,IF(AND(D178="do_not_contact",E178&lt;&gt;"Y"),"status do_not_contact but do_not_contact is not Y",""))))))</f>
        <v/>
      </c>
      <c r="I178" s="23" t="n">
        <v>157</v>
      </c>
      <c r="J178" s="23" t="str">
        <f aca="false">IFERROR(INDEX(Clay_Brands!$A$2:$FZ$601,I178,$D$5)&amp;"","")</f>
        <v/>
      </c>
      <c r="K178" s="23" t="str">
        <f aca="false">IFERROR(INDEX(Clay_Brands!$A$2:$FZ$601,I178,$D$7)&amp;"","")</f>
        <v/>
      </c>
      <c r="L178" s="23" t="str">
        <f aca="false">IFERROR(INDEX(Clay_Brands!$A$2:$FZ$601,I178,$D$8)&amp;"","")</f>
        <v/>
      </c>
      <c r="M178" s="23" t="str">
        <f aca="false">IF(J178="","",IF(COUNTIF(Brand_Log!$A$2:$A$201,J178)&gt;0,"Y","N"))</f>
        <v/>
      </c>
      <c r="N178" s="34" t="str">
        <f aca="false">IF(OR(J178="",AND(LEFT(J178,6)="SAMPLE",Config!$B$19&lt;&gt;"Y")),"",IF(IFERROR(INDEX(Lists!$K$2:$K$15,MATCH(K178,Lists!$J$2:$J$15,0)),-1)=-1,"status '"&amp;K178&amp;"' is not a CONTRACTS status",IF(AND(K178="paid",COUNTIF(paid_brands!$AC$2:$AC$51,J178)=0),"status paid but no paid_brands row"&amp;IF(M178="N"," and no tracker row",""),IF(AND(IFERROR(INDEX(Lists!$K$2:$K$15,MATCH(K178,Lists!$J$2:$J$15,0)),-1)&gt;=6,M178="N"),"status "&amp;K178&amp;" but no tracker row",IF(AND(L178="Y",K178&lt;&gt;"do_not_contact"),"do_not_contact = Y but status is "&amp;K178,IF(AND(K178="do_not_contact",L178&lt;&gt;"Y"),"status do_not_contact but do_not_contact is not Y",""))))))</f>
        <v/>
      </c>
    </row>
    <row r="179" customFormat="false" ht="15" hidden="false" customHeight="false" outlineLevel="0" collapsed="false">
      <c r="B179" s="23" t="n">
        <v>158</v>
      </c>
      <c r="C179" s="23" t="str">
        <f aca="false">IFERROR(INDEX(Clay_Offices!$A$2:$FZ$601,B179,$C$5)&amp;"","")</f>
        <v/>
      </c>
      <c r="D179" s="23" t="str">
        <f aca="false">IFERROR(INDEX(Clay_Offices!$A$2:$FZ$601,B179,$C$7)&amp;"","")</f>
        <v/>
      </c>
      <c r="E179" s="23" t="str">
        <f aca="false">IFERROR(INDEX(Clay_Offices!$A$2:$FZ$601,B179,$C$8)&amp;"","")</f>
        <v/>
      </c>
      <c r="F179" s="23" t="str">
        <f aca="false">IF(C179="","",IF(COUNTIF(Office_Log!$A$2:$A$201,C179)&gt;0,"Y","N"))</f>
        <v/>
      </c>
      <c r="G179" s="34" t="str">
        <f aca="false">IF(OR(C179="",AND(LEFT(C179,6)="SAMPLE",Config!$B$19&lt;&gt;"Y")),"",IF(IFERROR(INDEX(Lists!$K$2:$K$15,MATCH(D179,Lists!$J$2:$J$15,0)),-1)=-1,"status '"&amp;D179&amp;"' is not a CONTRACTS status",IF(AND(D179="signed",COUNTIF(signed_offices!$W$2:$W$51,C179)=0),"status signed but no signed_offices row"&amp;IF(F179="N"," and no tracker row",""),IF(AND(IFERROR(INDEX(Lists!$K$2:$K$15,MATCH(D179,Lists!$J$2:$J$15,0)),-1)&gt;=6,F179="N"),"status "&amp;D179&amp;" but no tracker row",IF(AND(E179="Y",D179&lt;&gt;"do_not_contact"),"do_not_contact = Y but status is "&amp;D179,IF(AND(D179="do_not_contact",E179&lt;&gt;"Y"),"status do_not_contact but do_not_contact is not Y",""))))))</f>
        <v/>
      </c>
      <c r="I179" s="23" t="n">
        <v>158</v>
      </c>
      <c r="J179" s="23" t="str">
        <f aca="false">IFERROR(INDEX(Clay_Brands!$A$2:$FZ$601,I179,$D$5)&amp;"","")</f>
        <v/>
      </c>
      <c r="K179" s="23" t="str">
        <f aca="false">IFERROR(INDEX(Clay_Brands!$A$2:$FZ$601,I179,$D$7)&amp;"","")</f>
        <v/>
      </c>
      <c r="L179" s="23" t="str">
        <f aca="false">IFERROR(INDEX(Clay_Brands!$A$2:$FZ$601,I179,$D$8)&amp;"","")</f>
        <v/>
      </c>
      <c r="M179" s="23" t="str">
        <f aca="false">IF(J179="","",IF(COUNTIF(Brand_Log!$A$2:$A$201,J179)&gt;0,"Y","N"))</f>
        <v/>
      </c>
      <c r="N179" s="34" t="str">
        <f aca="false">IF(OR(J179="",AND(LEFT(J179,6)="SAMPLE",Config!$B$19&lt;&gt;"Y")),"",IF(IFERROR(INDEX(Lists!$K$2:$K$15,MATCH(K179,Lists!$J$2:$J$15,0)),-1)=-1,"status '"&amp;K179&amp;"' is not a CONTRACTS status",IF(AND(K179="paid",COUNTIF(paid_brands!$AC$2:$AC$51,J179)=0),"status paid but no paid_brands row"&amp;IF(M179="N"," and no tracker row",""),IF(AND(IFERROR(INDEX(Lists!$K$2:$K$15,MATCH(K179,Lists!$J$2:$J$15,0)),-1)&gt;=6,M179="N"),"status "&amp;K179&amp;" but no tracker row",IF(AND(L179="Y",K179&lt;&gt;"do_not_contact"),"do_not_contact = Y but status is "&amp;K179,IF(AND(K179="do_not_contact",L179&lt;&gt;"Y"),"status do_not_contact but do_not_contact is not Y",""))))))</f>
        <v/>
      </c>
    </row>
    <row r="180" customFormat="false" ht="15" hidden="false" customHeight="false" outlineLevel="0" collapsed="false">
      <c r="B180" s="23" t="n">
        <v>159</v>
      </c>
      <c r="C180" s="23" t="str">
        <f aca="false">IFERROR(INDEX(Clay_Offices!$A$2:$FZ$601,B180,$C$5)&amp;"","")</f>
        <v/>
      </c>
      <c r="D180" s="23" t="str">
        <f aca="false">IFERROR(INDEX(Clay_Offices!$A$2:$FZ$601,B180,$C$7)&amp;"","")</f>
        <v/>
      </c>
      <c r="E180" s="23" t="str">
        <f aca="false">IFERROR(INDEX(Clay_Offices!$A$2:$FZ$601,B180,$C$8)&amp;"","")</f>
        <v/>
      </c>
      <c r="F180" s="23" t="str">
        <f aca="false">IF(C180="","",IF(COUNTIF(Office_Log!$A$2:$A$201,C180)&gt;0,"Y","N"))</f>
        <v/>
      </c>
      <c r="G180" s="34" t="str">
        <f aca="false">IF(OR(C180="",AND(LEFT(C180,6)="SAMPLE",Config!$B$19&lt;&gt;"Y")),"",IF(IFERROR(INDEX(Lists!$K$2:$K$15,MATCH(D180,Lists!$J$2:$J$15,0)),-1)=-1,"status '"&amp;D180&amp;"' is not a CONTRACTS status",IF(AND(D180="signed",COUNTIF(signed_offices!$W$2:$W$51,C180)=0),"status signed but no signed_offices row"&amp;IF(F180="N"," and no tracker row",""),IF(AND(IFERROR(INDEX(Lists!$K$2:$K$15,MATCH(D180,Lists!$J$2:$J$15,0)),-1)&gt;=6,F180="N"),"status "&amp;D180&amp;" but no tracker row",IF(AND(E180="Y",D180&lt;&gt;"do_not_contact"),"do_not_contact = Y but status is "&amp;D180,IF(AND(D180="do_not_contact",E180&lt;&gt;"Y"),"status do_not_contact but do_not_contact is not Y",""))))))</f>
        <v/>
      </c>
      <c r="I180" s="23" t="n">
        <v>159</v>
      </c>
      <c r="J180" s="23" t="str">
        <f aca="false">IFERROR(INDEX(Clay_Brands!$A$2:$FZ$601,I180,$D$5)&amp;"","")</f>
        <v/>
      </c>
      <c r="K180" s="23" t="str">
        <f aca="false">IFERROR(INDEX(Clay_Brands!$A$2:$FZ$601,I180,$D$7)&amp;"","")</f>
        <v/>
      </c>
      <c r="L180" s="23" t="str">
        <f aca="false">IFERROR(INDEX(Clay_Brands!$A$2:$FZ$601,I180,$D$8)&amp;"","")</f>
        <v/>
      </c>
      <c r="M180" s="23" t="str">
        <f aca="false">IF(J180="","",IF(COUNTIF(Brand_Log!$A$2:$A$201,J180)&gt;0,"Y","N"))</f>
        <v/>
      </c>
      <c r="N180" s="34" t="str">
        <f aca="false">IF(OR(J180="",AND(LEFT(J180,6)="SAMPLE",Config!$B$19&lt;&gt;"Y")),"",IF(IFERROR(INDEX(Lists!$K$2:$K$15,MATCH(K180,Lists!$J$2:$J$15,0)),-1)=-1,"status '"&amp;K180&amp;"' is not a CONTRACTS status",IF(AND(K180="paid",COUNTIF(paid_brands!$AC$2:$AC$51,J180)=0),"status paid but no paid_brands row"&amp;IF(M180="N"," and no tracker row",""),IF(AND(IFERROR(INDEX(Lists!$K$2:$K$15,MATCH(K180,Lists!$J$2:$J$15,0)),-1)&gt;=6,M180="N"),"status "&amp;K180&amp;" but no tracker row",IF(AND(L180="Y",K180&lt;&gt;"do_not_contact"),"do_not_contact = Y but status is "&amp;K180,IF(AND(K180="do_not_contact",L180&lt;&gt;"Y"),"status do_not_contact but do_not_contact is not Y",""))))))</f>
        <v/>
      </c>
    </row>
    <row r="181" customFormat="false" ht="15" hidden="false" customHeight="false" outlineLevel="0" collapsed="false">
      <c r="B181" s="23" t="n">
        <v>160</v>
      </c>
      <c r="C181" s="23" t="str">
        <f aca="false">IFERROR(INDEX(Clay_Offices!$A$2:$FZ$601,B181,$C$5)&amp;"","")</f>
        <v/>
      </c>
      <c r="D181" s="23" t="str">
        <f aca="false">IFERROR(INDEX(Clay_Offices!$A$2:$FZ$601,B181,$C$7)&amp;"","")</f>
        <v/>
      </c>
      <c r="E181" s="23" t="str">
        <f aca="false">IFERROR(INDEX(Clay_Offices!$A$2:$FZ$601,B181,$C$8)&amp;"","")</f>
        <v/>
      </c>
      <c r="F181" s="23" t="str">
        <f aca="false">IF(C181="","",IF(COUNTIF(Office_Log!$A$2:$A$201,C181)&gt;0,"Y","N"))</f>
        <v/>
      </c>
      <c r="G181" s="34" t="str">
        <f aca="false">IF(OR(C181="",AND(LEFT(C181,6)="SAMPLE",Config!$B$19&lt;&gt;"Y")),"",IF(IFERROR(INDEX(Lists!$K$2:$K$15,MATCH(D181,Lists!$J$2:$J$15,0)),-1)=-1,"status '"&amp;D181&amp;"' is not a CONTRACTS status",IF(AND(D181="signed",COUNTIF(signed_offices!$W$2:$W$51,C181)=0),"status signed but no signed_offices row"&amp;IF(F181="N"," and no tracker row",""),IF(AND(IFERROR(INDEX(Lists!$K$2:$K$15,MATCH(D181,Lists!$J$2:$J$15,0)),-1)&gt;=6,F181="N"),"status "&amp;D181&amp;" but no tracker row",IF(AND(E181="Y",D181&lt;&gt;"do_not_contact"),"do_not_contact = Y but status is "&amp;D181,IF(AND(D181="do_not_contact",E181&lt;&gt;"Y"),"status do_not_contact but do_not_contact is not Y",""))))))</f>
        <v/>
      </c>
      <c r="I181" s="23" t="n">
        <v>160</v>
      </c>
      <c r="J181" s="23" t="str">
        <f aca="false">IFERROR(INDEX(Clay_Brands!$A$2:$FZ$601,I181,$D$5)&amp;"","")</f>
        <v/>
      </c>
      <c r="K181" s="23" t="str">
        <f aca="false">IFERROR(INDEX(Clay_Brands!$A$2:$FZ$601,I181,$D$7)&amp;"","")</f>
        <v/>
      </c>
      <c r="L181" s="23" t="str">
        <f aca="false">IFERROR(INDEX(Clay_Brands!$A$2:$FZ$601,I181,$D$8)&amp;"","")</f>
        <v/>
      </c>
      <c r="M181" s="23" t="str">
        <f aca="false">IF(J181="","",IF(COUNTIF(Brand_Log!$A$2:$A$201,J181)&gt;0,"Y","N"))</f>
        <v/>
      </c>
      <c r="N181" s="34" t="str">
        <f aca="false">IF(OR(J181="",AND(LEFT(J181,6)="SAMPLE",Config!$B$19&lt;&gt;"Y")),"",IF(IFERROR(INDEX(Lists!$K$2:$K$15,MATCH(K181,Lists!$J$2:$J$15,0)),-1)=-1,"status '"&amp;K181&amp;"' is not a CONTRACTS status",IF(AND(K181="paid",COUNTIF(paid_brands!$AC$2:$AC$51,J181)=0),"status paid but no paid_brands row"&amp;IF(M181="N"," and no tracker row",""),IF(AND(IFERROR(INDEX(Lists!$K$2:$K$15,MATCH(K181,Lists!$J$2:$J$15,0)),-1)&gt;=6,M181="N"),"status "&amp;K181&amp;" but no tracker row",IF(AND(L181="Y",K181&lt;&gt;"do_not_contact"),"do_not_contact = Y but status is "&amp;K181,IF(AND(K181="do_not_contact",L181&lt;&gt;"Y"),"status do_not_contact but do_not_contact is not Y",""))))))</f>
        <v/>
      </c>
    </row>
    <row r="182" customFormat="false" ht="15" hidden="false" customHeight="false" outlineLevel="0" collapsed="false">
      <c r="B182" s="23" t="n">
        <v>161</v>
      </c>
      <c r="C182" s="23" t="str">
        <f aca="false">IFERROR(INDEX(Clay_Offices!$A$2:$FZ$601,B182,$C$5)&amp;"","")</f>
        <v/>
      </c>
      <c r="D182" s="23" t="str">
        <f aca="false">IFERROR(INDEX(Clay_Offices!$A$2:$FZ$601,B182,$C$7)&amp;"","")</f>
        <v/>
      </c>
      <c r="E182" s="23" t="str">
        <f aca="false">IFERROR(INDEX(Clay_Offices!$A$2:$FZ$601,B182,$C$8)&amp;"","")</f>
        <v/>
      </c>
      <c r="F182" s="23" t="str">
        <f aca="false">IF(C182="","",IF(COUNTIF(Office_Log!$A$2:$A$201,C182)&gt;0,"Y","N"))</f>
        <v/>
      </c>
      <c r="G182" s="34" t="str">
        <f aca="false">IF(OR(C182="",AND(LEFT(C182,6)="SAMPLE",Config!$B$19&lt;&gt;"Y")),"",IF(IFERROR(INDEX(Lists!$K$2:$K$15,MATCH(D182,Lists!$J$2:$J$15,0)),-1)=-1,"status '"&amp;D182&amp;"' is not a CONTRACTS status",IF(AND(D182="signed",COUNTIF(signed_offices!$W$2:$W$51,C182)=0),"status signed but no signed_offices row"&amp;IF(F182="N"," and no tracker row",""),IF(AND(IFERROR(INDEX(Lists!$K$2:$K$15,MATCH(D182,Lists!$J$2:$J$15,0)),-1)&gt;=6,F182="N"),"status "&amp;D182&amp;" but no tracker row",IF(AND(E182="Y",D182&lt;&gt;"do_not_contact"),"do_not_contact = Y but status is "&amp;D182,IF(AND(D182="do_not_contact",E182&lt;&gt;"Y"),"status do_not_contact but do_not_contact is not Y",""))))))</f>
        <v/>
      </c>
      <c r="I182" s="23" t="n">
        <v>161</v>
      </c>
      <c r="J182" s="23" t="str">
        <f aca="false">IFERROR(INDEX(Clay_Brands!$A$2:$FZ$601,I182,$D$5)&amp;"","")</f>
        <v/>
      </c>
      <c r="K182" s="23" t="str">
        <f aca="false">IFERROR(INDEX(Clay_Brands!$A$2:$FZ$601,I182,$D$7)&amp;"","")</f>
        <v/>
      </c>
      <c r="L182" s="23" t="str">
        <f aca="false">IFERROR(INDEX(Clay_Brands!$A$2:$FZ$601,I182,$D$8)&amp;"","")</f>
        <v/>
      </c>
      <c r="M182" s="23" t="str">
        <f aca="false">IF(J182="","",IF(COUNTIF(Brand_Log!$A$2:$A$201,J182)&gt;0,"Y","N"))</f>
        <v/>
      </c>
      <c r="N182" s="34" t="str">
        <f aca="false">IF(OR(J182="",AND(LEFT(J182,6)="SAMPLE",Config!$B$19&lt;&gt;"Y")),"",IF(IFERROR(INDEX(Lists!$K$2:$K$15,MATCH(K182,Lists!$J$2:$J$15,0)),-1)=-1,"status '"&amp;K182&amp;"' is not a CONTRACTS status",IF(AND(K182="paid",COUNTIF(paid_brands!$AC$2:$AC$51,J182)=0),"status paid but no paid_brands row"&amp;IF(M182="N"," and no tracker row",""),IF(AND(IFERROR(INDEX(Lists!$K$2:$K$15,MATCH(K182,Lists!$J$2:$J$15,0)),-1)&gt;=6,M182="N"),"status "&amp;K182&amp;" but no tracker row",IF(AND(L182="Y",K182&lt;&gt;"do_not_contact"),"do_not_contact = Y but status is "&amp;K182,IF(AND(K182="do_not_contact",L182&lt;&gt;"Y"),"status do_not_contact but do_not_contact is not Y",""))))))</f>
        <v/>
      </c>
    </row>
    <row r="183" customFormat="false" ht="15" hidden="false" customHeight="false" outlineLevel="0" collapsed="false">
      <c r="B183" s="23" t="n">
        <v>162</v>
      </c>
      <c r="C183" s="23" t="str">
        <f aca="false">IFERROR(INDEX(Clay_Offices!$A$2:$FZ$601,B183,$C$5)&amp;"","")</f>
        <v/>
      </c>
      <c r="D183" s="23" t="str">
        <f aca="false">IFERROR(INDEX(Clay_Offices!$A$2:$FZ$601,B183,$C$7)&amp;"","")</f>
        <v/>
      </c>
      <c r="E183" s="23" t="str">
        <f aca="false">IFERROR(INDEX(Clay_Offices!$A$2:$FZ$601,B183,$C$8)&amp;"","")</f>
        <v/>
      </c>
      <c r="F183" s="23" t="str">
        <f aca="false">IF(C183="","",IF(COUNTIF(Office_Log!$A$2:$A$201,C183)&gt;0,"Y","N"))</f>
        <v/>
      </c>
      <c r="G183" s="34" t="str">
        <f aca="false">IF(OR(C183="",AND(LEFT(C183,6)="SAMPLE",Config!$B$19&lt;&gt;"Y")),"",IF(IFERROR(INDEX(Lists!$K$2:$K$15,MATCH(D183,Lists!$J$2:$J$15,0)),-1)=-1,"status '"&amp;D183&amp;"' is not a CONTRACTS status",IF(AND(D183="signed",COUNTIF(signed_offices!$W$2:$W$51,C183)=0),"status signed but no signed_offices row"&amp;IF(F183="N"," and no tracker row",""),IF(AND(IFERROR(INDEX(Lists!$K$2:$K$15,MATCH(D183,Lists!$J$2:$J$15,0)),-1)&gt;=6,F183="N"),"status "&amp;D183&amp;" but no tracker row",IF(AND(E183="Y",D183&lt;&gt;"do_not_contact"),"do_not_contact = Y but status is "&amp;D183,IF(AND(D183="do_not_contact",E183&lt;&gt;"Y"),"status do_not_contact but do_not_contact is not Y",""))))))</f>
        <v/>
      </c>
      <c r="I183" s="23" t="n">
        <v>162</v>
      </c>
      <c r="J183" s="23" t="str">
        <f aca="false">IFERROR(INDEX(Clay_Brands!$A$2:$FZ$601,I183,$D$5)&amp;"","")</f>
        <v/>
      </c>
      <c r="K183" s="23" t="str">
        <f aca="false">IFERROR(INDEX(Clay_Brands!$A$2:$FZ$601,I183,$D$7)&amp;"","")</f>
        <v/>
      </c>
      <c r="L183" s="23" t="str">
        <f aca="false">IFERROR(INDEX(Clay_Brands!$A$2:$FZ$601,I183,$D$8)&amp;"","")</f>
        <v/>
      </c>
      <c r="M183" s="23" t="str">
        <f aca="false">IF(J183="","",IF(COUNTIF(Brand_Log!$A$2:$A$201,J183)&gt;0,"Y","N"))</f>
        <v/>
      </c>
      <c r="N183" s="34" t="str">
        <f aca="false">IF(OR(J183="",AND(LEFT(J183,6)="SAMPLE",Config!$B$19&lt;&gt;"Y")),"",IF(IFERROR(INDEX(Lists!$K$2:$K$15,MATCH(K183,Lists!$J$2:$J$15,0)),-1)=-1,"status '"&amp;K183&amp;"' is not a CONTRACTS status",IF(AND(K183="paid",COUNTIF(paid_brands!$AC$2:$AC$51,J183)=0),"status paid but no paid_brands row"&amp;IF(M183="N"," and no tracker row",""),IF(AND(IFERROR(INDEX(Lists!$K$2:$K$15,MATCH(K183,Lists!$J$2:$J$15,0)),-1)&gt;=6,M183="N"),"status "&amp;K183&amp;" but no tracker row",IF(AND(L183="Y",K183&lt;&gt;"do_not_contact"),"do_not_contact = Y but status is "&amp;K183,IF(AND(K183="do_not_contact",L183&lt;&gt;"Y"),"status do_not_contact but do_not_contact is not Y",""))))))</f>
        <v/>
      </c>
    </row>
    <row r="184" customFormat="false" ht="15" hidden="false" customHeight="false" outlineLevel="0" collapsed="false">
      <c r="B184" s="23" t="n">
        <v>163</v>
      </c>
      <c r="C184" s="23" t="str">
        <f aca="false">IFERROR(INDEX(Clay_Offices!$A$2:$FZ$601,B184,$C$5)&amp;"","")</f>
        <v/>
      </c>
      <c r="D184" s="23" t="str">
        <f aca="false">IFERROR(INDEX(Clay_Offices!$A$2:$FZ$601,B184,$C$7)&amp;"","")</f>
        <v/>
      </c>
      <c r="E184" s="23" t="str">
        <f aca="false">IFERROR(INDEX(Clay_Offices!$A$2:$FZ$601,B184,$C$8)&amp;"","")</f>
        <v/>
      </c>
      <c r="F184" s="23" t="str">
        <f aca="false">IF(C184="","",IF(COUNTIF(Office_Log!$A$2:$A$201,C184)&gt;0,"Y","N"))</f>
        <v/>
      </c>
      <c r="G184" s="34" t="str">
        <f aca="false">IF(OR(C184="",AND(LEFT(C184,6)="SAMPLE",Config!$B$19&lt;&gt;"Y")),"",IF(IFERROR(INDEX(Lists!$K$2:$K$15,MATCH(D184,Lists!$J$2:$J$15,0)),-1)=-1,"status '"&amp;D184&amp;"' is not a CONTRACTS status",IF(AND(D184="signed",COUNTIF(signed_offices!$W$2:$W$51,C184)=0),"status signed but no signed_offices row"&amp;IF(F184="N"," and no tracker row",""),IF(AND(IFERROR(INDEX(Lists!$K$2:$K$15,MATCH(D184,Lists!$J$2:$J$15,0)),-1)&gt;=6,F184="N"),"status "&amp;D184&amp;" but no tracker row",IF(AND(E184="Y",D184&lt;&gt;"do_not_contact"),"do_not_contact = Y but status is "&amp;D184,IF(AND(D184="do_not_contact",E184&lt;&gt;"Y"),"status do_not_contact but do_not_contact is not Y",""))))))</f>
        <v/>
      </c>
      <c r="I184" s="23" t="n">
        <v>163</v>
      </c>
      <c r="J184" s="23" t="str">
        <f aca="false">IFERROR(INDEX(Clay_Brands!$A$2:$FZ$601,I184,$D$5)&amp;"","")</f>
        <v/>
      </c>
      <c r="K184" s="23" t="str">
        <f aca="false">IFERROR(INDEX(Clay_Brands!$A$2:$FZ$601,I184,$D$7)&amp;"","")</f>
        <v/>
      </c>
      <c r="L184" s="23" t="str">
        <f aca="false">IFERROR(INDEX(Clay_Brands!$A$2:$FZ$601,I184,$D$8)&amp;"","")</f>
        <v/>
      </c>
      <c r="M184" s="23" t="str">
        <f aca="false">IF(J184="","",IF(COUNTIF(Brand_Log!$A$2:$A$201,J184)&gt;0,"Y","N"))</f>
        <v/>
      </c>
      <c r="N184" s="34" t="str">
        <f aca="false">IF(OR(J184="",AND(LEFT(J184,6)="SAMPLE",Config!$B$19&lt;&gt;"Y")),"",IF(IFERROR(INDEX(Lists!$K$2:$K$15,MATCH(K184,Lists!$J$2:$J$15,0)),-1)=-1,"status '"&amp;K184&amp;"' is not a CONTRACTS status",IF(AND(K184="paid",COUNTIF(paid_brands!$AC$2:$AC$51,J184)=0),"status paid but no paid_brands row"&amp;IF(M184="N"," and no tracker row",""),IF(AND(IFERROR(INDEX(Lists!$K$2:$K$15,MATCH(K184,Lists!$J$2:$J$15,0)),-1)&gt;=6,M184="N"),"status "&amp;K184&amp;" but no tracker row",IF(AND(L184="Y",K184&lt;&gt;"do_not_contact"),"do_not_contact = Y but status is "&amp;K184,IF(AND(K184="do_not_contact",L184&lt;&gt;"Y"),"status do_not_contact but do_not_contact is not Y",""))))))</f>
        <v/>
      </c>
    </row>
    <row r="185" customFormat="false" ht="15" hidden="false" customHeight="false" outlineLevel="0" collapsed="false">
      <c r="B185" s="23" t="n">
        <v>164</v>
      </c>
      <c r="C185" s="23" t="str">
        <f aca="false">IFERROR(INDEX(Clay_Offices!$A$2:$FZ$601,B185,$C$5)&amp;"","")</f>
        <v/>
      </c>
      <c r="D185" s="23" t="str">
        <f aca="false">IFERROR(INDEX(Clay_Offices!$A$2:$FZ$601,B185,$C$7)&amp;"","")</f>
        <v/>
      </c>
      <c r="E185" s="23" t="str">
        <f aca="false">IFERROR(INDEX(Clay_Offices!$A$2:$FZ$601,B185,$C$8)&amp;"","")</f>
        <v/>
      </c>
      <c r="F185" s="23" t="str">
        <f aca="false">IF(C185="","",IF(COUNTIF(Office_Log!$A$2:$A$201,C185)&gt;0,"Y","N"))</f>
        <v/>
      </c>
      <c r="G185" s="34" t="str">
        <f aca="false">IF(OR(C185="",AND(LEFT(C185,6)="SAMPLE",Config!$B$19&lt;&gt;"Y")),"",IF(IFERROR(INDEX(Lists!$K$2:$K$15,MATCH(D185,Lists!$J$2:$J$15,0)),-1)=-1,"status '"&amp;D185&amp;"' is not a CONTRACTS status",IF(AND(D185="signed",COUNTIF(signed_offices!$W$2:$W$51,C185)=0),"status signed but no signed_offices row"&amp;IF(F185="N"," and no tracker row",""),IF(AND(IFERROR(INDEX(Lists!$K$2:$K$15,MATCH(D185,Lists!$J$2:$J$15,0)),-1)&gt;=6,F185="N"),"status "&amp;D185&amp;" but no tracker row",IF(AND(E185="Y",D185&lt;&gt;"do_not_contact"),"do_not_contact = Y but status is "&amp;D185,IF(AND(D185="do_not_contact",E185&lt;&gt;"Y"),"status do_not_contact but do_not_contact is not Y",""))))))</f>
        <v/>
      </c>
      <c r="I185" s="23" t="n">
        <v>164</v>
      </c>
      <c r="J185" s="23" t="str">
        <f aca="false">IFERROR(INDEX(Clay_Brands!$A$2:$FZ$601,I185,$D$5)&amp;"","")</f>
        <v/>
      </c>
      <c r="K185" s="23" t="str">
        <f aca="false">IFERROR(INDEX(Clay_Brands!$A$2:$FZ$601,I185,$D$7)&amp;"","")</f>
        <v/>
      </c>
      <c r="L185" s="23" t="str">
        <f aca="false">IFERROR(INDEX(Clay_Brands!$A$2:$FZ$601,I185,$D$8)&amp;"","")</f>
        <v/>
      </c>
      <c r="M185" s="23" t="str">
        <f aca="false">IF(J185="","",IF(COUNTIF(Brand_Log!$A$2:$A$201,J185)&gt;0,"Y","N"))</f>
        <v/>
      </c>
      <c r="N185" s="34" t="str">
        <f aca="false">IF(OR(J185="",AND(LEFT(J185,6)="SAMPLE",Config!$B$19&lt;&gt;"Y")),"",IF(IFERROR(INDEX(Lists!$K$2:$K$15,MATCH(K185,Lists!$J$2:$J$15,0)),-1)=-1,"status '"&amp;K185&amp;"' is not a CONTRACTS status",IF(AND(K185="paid",COUNTIF(paid_brands!$AC$2:$AC$51,J185)=0),"status paid but no paid_brands row"&amp;IF(M185="N"," and no tracker row",""),IF(AND(IFERROR(INDEX(Lists!$K$2:$K$15,MATCH(K185,Lists!$J$2:$J$15,0)),-1)&gt;=6,M185="N"),"status "&amp;K185&amp;" but no tracker row",IF(AND(L185="Y",K185&lt;&gt;"do_not_contact"),"do_not_contact = Y but status is "&amp;K185,IF(AND(K185="do_not_contact",L185&lt;&gt;"Y"),"status do_not_contact but do_not_contact is not Y",""))))))</f>
        <v/>
      </c>
    </row>
    <row r="186" customFormat="false" ht="15" hidden="false" customHeight="false" outlineLevel="0" collapsed="false">
      <c r="B186" s="23" t="n">
        <v>165</v>
      </c>
      <c r="C186" s="23" t="str">
        <f aca="false">IFERROR(INDEX(Clay_Offices!$A$2:$FZ$601,B186,$C$5)&amp;"","")</f>
        <v/>
      </c>
      <c r="D186" s="23" t="str">
        <f aca="false">IFERROR(INDEX(Clay_Offices!$A$2:$FZ$601,B186,$C$7)&amp;"","")</f>
        <v/>
      </c>
      <c r="E186" s="23" t="str">
        <f aca="false">IFERROR(INDEX(Clay_Offices!$A$2:$FZ$601,B186,$C$8)&amp;"","")</f>
        <v/>
      </c>
      <c r="F186" s="23" t="str">
        <f aca="false">IF(C186="","",IF(COUNTIF(Office_Log!$A$2:$A$201,C186)&gt;0,"Y","N"))</f>
        <v/>
      </c>
      <c r="G186" s="34" t="str">
        <f aca="false">IF(OR(C186="",AND(LEFT(C186,6)="SAMPLE",Config!$B$19&lt;&gt;"Y")),"",IF(IFERROR(INDEX(Lists!$K$2:$K$15,MATCH(D186,Lists!$J$2:$J$15,0)),-1)=-1,"status '"&amp;D186&amp;"' is not a CONTRACTS status",IF(AND(D186="signed",COUNTIF(signed_offices!$W$2:$W$51,C186)=0),"status signed but no signed_offices row"&amp;IF(F186="N"," and no tracker row",""),IF(AND(IFERROR(INDEX(Lists!$K$2:$K$15,MATCH(D186,Lists!$J$2:$J$15,0)),-1)&gt;=6,F186="N"),"status "&amp;D186&amp;" but no tracker row",IF(AND(E186="Y",D186&lt;&gt;"do_not_contact"),"do_not_contact = Y but status is "&amp;D186,IF(AND(D186="do_not_contact",E186&lt;&gt;"Y"),"status do_not_contact but do_not_contact is not Y",""))))))</f>
        <v/>
      </c>
      <c r="I186" s="23" t="n">
        <v>165</v>
      </c>
      <c r="J186" s="23" t="str">
        <f aca="false">IFERROR(INDEX(Clay_Brands!$A$2:$FZ$601,I186,$D$5)&amp;"","")</f>
        <v/>
      </c>
      <c r="K186" s="23" t="str">
        <f aca="false">IFERROR(INDEX(Clay_Brands!$A$2:$FZ$601,I186,$D$7)&amp;"","")</f>
        <v/>
      </c>
      <c r="L186" s="23" t="str">
        <f aca="false">IFERROR(INDEX(Clay_Brands!$A$2:$FZ$601,I186,$D$8)&amp;"","")</f>
        <v/>
      </c>
      <c r="M186" s="23" t="str">
        <f aca="false">IF(J186="","",IF(COUNTIF(Brand_Log!$A$2:$A$201,J186)&gt;0,"Y","N"))</f>
        <v/>
      </c>
      <c r="N186" s="34" t="str">
        <f aca="false">IF(OR(J186="",AND(LEFT(J186,6)="SAMPLE",Config!$B$19&lt;&gt;"Y")),"",IF(IFERROR(INDEX(Lists!$K$2:$K$15,MATCH(K186,Lists!$J$2:$J$15,0)),-1)=-1,"status '"&amp;K186&amp;"' is not a CONTRACTS status",IF(AND(K186="paid",COUNTIF(paid_brands!$AC$2:$AC$51,J186)=0),"status paid but no paid_brands row"&amp;IF(M186="N"," and no tracker row",""),IF(AND(IFERROR(INDEX(Lists!$K$2:$K$15,MATCH(K186,Lists!$J$2:$J$15,0)),-1)&gt;=6,M186="N"),"status "&amp;K186&amp;" but no tracker row",IF(AND(L186="Y",K186&lt;&gt;"do_not_contact"),"do_not_contact = Y but status is "&amp;K186,IF(AND(K186="do_not_contact",L186&lt;&gt;"Y"),"status do_not_contact but do_not_contact is not Y",""))))))</f>
        <v/>
      </c>
    </row>
    <row r="187" customFormat="false" ht="15" hidden="false" customHeight="false" outlineLevel="0" collapsed="false">
      <c r="B187" s="23" t="n">
        <v>166</v>
      </c>
      <c r="C187" s="23" t="str">
        <f aca="false">IFERROR(INDEX(Clay_Offices!$A$2:$FZ$601,B187,$C$5)&amp;"","")</f>
        <v/>
      </c>
      <c r="D187" s="23" t="str">
        <f aca="false">IFERROR(INDEX(Clay_Offices!$A$2:$FZ$601,B187,$C$7)&amp;"","")</f>
        <v/>
      </c>
      <c r="E187" s="23" t="str">
        <f aca="false">IFERROR(INDEX(Clay_Offices!$A$2:$FZ$601,B187,$C$8)&amp;"","")</f>
        <v/>
      </c>
      <c r="F187" s="23" t="str">
        <f aca="false">IF(C187="","",IF(COUNTIF(Office_Log!$A$2:$A$201,C187)&gt;0,"Y","N"))</f>
        <v/>
      </c>
      <c r="G187" s="34" t="str">
        <f aca="false">IF(OR(C187="",AND(LEFT(C187,6)="SAMPLE",Config!$B$19&lt;&gt;"Y")),"",IF(IFERROR(INDEX(Lists!$K$2:$K$15,MATCH(D187,Lists!$J$2:$J$15,0)),-1)=-1,"status '"&amp;D187&amp;"' is not a CONTRACTS status",IF(AND(D187="signed",COUNTIF(signed_offices!$W$2:$W$51,C187)=0),"status signed but no signed_offices row"&amp;IF(F187="N"," and no tracker row",""),IF(AND(IFERROR(INDEX(Lists!$K$2:$K$15,MATCH(D187,Lists!$J$2:$J$15,0)),-1)&gt;=6,F187="N"),"status "&amp;D187&amp;" but no tracker row",IF(AND(E187="Y",D187&lt;&gt;"do_not_contact"),"do_not_contact = Y but status is "&amp;D187,IF(AND(D187="do_not_contact",E187&lt;&gt;"Y"),"status do_not_contact but do_not_contact is not Y",""))))))</f>
        <v/>
      </c>
      <c r="I187" s="23" t="n">
        <v>166</v>
      </c>
      <c r="J187" s="23" t="str">
        <f aca="false">IFERROR(INDEX(Clay_Brands!$A$2:$FZ$601,I187,$D$5)&amp;"","")</f>
        <v/>
      </c>
      <c r="K187" s="23" t="str">
        <f aca="false">IFERROR(INDEX(Clay_Brands!$A$2:$FZ$601,I187,$D$7)&amp;"","")</f>
        <v/>
      </c>
      <c r="L187" s="23" t="str">
        <f aca="false">IFERROR(INDEX(Clay_Brands!$A$2:$FZ$601,I187,$D$8)&amp;"","")</f>
        <v/>
      </c>
      <c r="M187" s="23" t="str">
        <f aca="false">IF(J187="","",IF(COUNTIF(Brand_Log!$A$2:$A$201,J187)&gt;0,"Y","N"))</f>
        <v/>
      </c>
      <c r="N187" s="34" t="str">
        <f aca="false">IF(OR(J187="",AND(LEFT(J187,6)="SAMPLE",Config!$B$19&lt;&gt;"Y")),"",IF(IFERROR(INDEX(Lists!$K$2:$K$15,MATCH(K187,Lists!$J$2:$J$15,0)),-1)=-1,"status '"&amp;K187&amp;"' is not a CONTRACTS status",IF(AND(K187="paid",COUNTIF(paid_brands!$AC$2:$AC$51,J187)=0),"status paid but no paid_brands row"&amp;IF(M187="N"," and no tracker row",""),IF(AND(IFERROR(INDEX(Lists!$K$2:$K$15,MATCH(K187,Lists!$J$2:$J$15,0)),-1)&gt;=6,M187="N"),"status "&amp;K187&amp;" but no tracker row",IF(AND(L187="Y",K187&lt;&gt;"do_not_contact"),"do_not_contact = Y but status is "&amp;K187,IF(AND(K187="do_not_contact",L187&lt;&gt;"Y"),"status do_not_contact but do_not_contact is not Y",""))))))</f>
        <v/>
      </c>
    </row>
    <row r="188" customFormat="false" ht="15" hidden="false" customHeight="false" outlineLevel="0" collapsed="false">
      <c r="B188" s="23" t="n">
        <v>167</v>
      </c>
      <c r="C188" s="23" t="str">
        <f aca="false">IFERROR(INDEX(Clay_Offices!$A$2:$FZ$601,B188,$C$5)&amp;"","")</f>
        <v/>
      </c>
      <c r="D188" s="23" t="str">
        <f aca="false">IFERROR(INDEX(Clay_Offices!$A$2:$FZ$601,B188,$C$7)&amp;"","")</f>
        <v/>
      </c>
      <c r="E188" s="23" t="str">
        <f aca="false">IFERROR(INDEX(Clay_Offices!$A$2:$FZ$601,B188,$C$8)&amp;"","")</f>
        <v/>
      </c>
      <c r="F188" s="23" t="str">
        <f aca="false">IF(C188="","",IF(COUNTIF(Office_Log!$A$2:$A$201,C188)&gt;0,"Y","N"))</f>
        <v/>
      </c>
      <c r="G188" s="34" t="str">
        <f aca="false">IF(OR(C188="",AND(LEFT(C188,6)="SAMPLE",Config!$B$19&lt;&gt;"Y")),"",IF(IFERROR(INDEX(Lists!$K$2:$K$15,MATCH(D188,Lists!$J$2:$J$15,0)),-1)=-1,"status '"&amp;D188&amp;"' is not a CONTRACTS status",IF(AND(D188="signed",COUNTIF(signed_offices!$W$2:$W$51,C188)=0),"status signed but no signed_offices row"&amp;IF(F188="N"," and no tracker row",""),IF(AND(IFERROR(INDEX(Lists!$K$2:$K$15,MATCH(D188,Lists!$J$2:$J$15,0)),-1)&gt;=6,F188="N"),"status "&amp;D188&amp;" but no tracker row",IF(AND(E188="Y",D188&lt;&gt;"do_not_contact"),"do_not_contact = Y but status is "&amp;D188,IF(AND(D188="do_not_contact",E188&lt;&gt;"Y"),"status do_not_contact but do_not_contact is not Y",""))))))</f>
        <v/>
      </c>
      <c r="I188" s="23" t="n">
        <v>167</v>
      </c>
      <c r="J188" s="23" t="str">
        <f aca="false">IFERROR(INDEX(Clay_Brands!$A$2:$FZ$601,I188,$D$5)&amp;"","")</f>
        <v/>
      </c>
      <c r="K188" s="23" t="str">
        <f aca="false">IFERROR(INDEX(Clay_Brands!$A$2:$FZ$601,I188,$D$7)&amp;"","")</f>
        <v/>
      </c>
      <c r="L188" s="23" t="str">
        <f aca="false">IFERROR(INDEX(Clay_Brands!$A$2:$FZ$601,I188,$D$8)&amp;"","")</f>
        <v/>
      </c>
      <c r="M188" s="23" t="str">
        <f aca="false">IF(J188="","",IF(COUNTIF(Brand_Log!$A$2:$A$201,J188)&gt;0,"Y","N"))</f>
        <v/>
      </c>
      <c r="N188" s="34" t="str">
        <f aca="false">IF(OR(J188="",AND(LEFT(J188,6)="SAMPLE",Config!$B$19&lt;&gt;"Y")),"",IF(IFERROR(INDEX(Lists!$K$2:$K$15,MATCH(K188,Lists!$J$2:$J$15,0)),-1)=-1,"status '"&amp;K188&amp;"' is not a CONTRACTS status",IF(AND(K188="paid",COUNTIF(paid_brands!$AC$2:$AC$51,J188)=0),"status paid but no paid_brands row"&amp;IF(M188="N"," and no tracker row",""),IF(AND(IFERROR(INDEX(Lists!$K$2:$K$15,MATCH(K188,Lists!$J$2:$J$15,0)),-1)&gt;=6,M188="N"),"status "&amp;K188&amp;" but no tracker row",IF(AND(L188="Y",K188&lt;&gt;"do_not_contact"),"do_not_contact = Y but status is "&amp;K188,IF(AND(K188="do_not_contact",L188&lt;&gt;"Y"),"status do_not_contact but do_not_contact is not Y",""))))))</f>
        <v/>
      </c>
    </row>
    <row r="189" customFormat="false" ht="15" hidden="false" customHeight="false" outlineLevel="0" collapsed="false">
      <c r="B189" s="23" t="n">
        <v>168</v>
      </c>
      <c r="C189" s="23" t="str">
        <f aca="false">IFERROR(INDEX(Clay_Offices!$A$2:$FZ$601,B189,$C$5)&amp;"","")</f>
        <v/>
      </c>
      <c r="D189" s="23" t="str">
        <f aca="false">IFERROR(INDEX(Clay_Offices!$A$2:$FZ$601,B189,$C$7)&amp;"","")</f>
        <v/>
      </c>
      <c r="E189" s="23" t="str">
        <f aca="false">IFERROR(INDEX(Clay_Offices!$A$2:$FZ$601,B189,$C$8)&amp;"","")</f>
        <v/>
      </c>
      <c r="F189" s="23" t="str">
        <f aca="false">IF(C189="","",IF(COUNTIF(Office_Log!$A$2:$A$201,C189)&gt;0,"Y","N"))</f>
        <v/>
      </c>
      <c r="G189" s="34" t="str">
        <f aca="false">IF(OR(C189="",AND(LEFT(C189,6)="SAMPLE",Config!$B$19&lt;&gt;"Y")),"",IF(IFERROR(INDEX(Lists!$K$2:$K$15,MATCH(D189,Lists!$J$2:$J$15,0)),-1)=-1,"status '"&amp;D189&amp;"' is not a CONTRACTS status",IF(AND(D189="signed",COUNTIF(signed_offices!$W$2:$W$51,C189)=0),"status signed but no signed_offices row"&amp;IF(F189="N"," and no tracker row",""),IF(AND(IFERROR(INDEX(Lists!$K$2:$K$15,MATCH(D189,Lists!$J$2:$J$15,0)),-1)&gt;=6,F189="N"),"status "&amp;D189&amp;" but no tracker row",IF(AND(E189="Y",D189&lt;&gt;"do_not_contact"),"do_not_contact = Y but status is "&amp;D189,IF(AND(D189="do_not_contact",E189&lt;&gt;"Y"),"status do_not_contact but do_not_contact is not Y",""))))))</f>
        <v/>
      </c>
      <c r="I189" s="23" t="n">
        <v>168</v>
      </c>
      <c r="J189" s="23" t="str">
        <f aca="false">IFERROR(INDEX(Clay_Brands!$A$2:$FZ$601,I189,$D$5)&amp;"","")</f>
        <v/>
      </c>
      <c r="K189" s="23" t="str">
        <f aca="false">IFERROR(INDEX(Clay_Brands!$A$2:$FZ$601,I189,$D$7)&amp;"","")</f>
        <v/>
      </c>
      <c r="L189" s="23" t="str">
        <f aca="false">IFERROR(INDEX(Clay_Brands!$A$2:$FZ$601,I189,$D$8)&amp;"","")</f>
        <v/>
      </c>
      <c r="M189" s="23" t="str">
        <f aca="false">IF(J189="","",IF(COUNTIF(Brand_Log!$A$2:$A$201,J189)&gt;0,"Y","N"))</f>
        <v/>
      </c>
      <c r="N189" s="34" t="str">
        <f aca="false">IF(OR(J189="",AND(LEFT(J189,6)="SAMPLE",Config!$B$19&lt;&gt;"Y")),"",IF(IFERROR(INDEX(Lists!$K$2:$K$15,MATCH(K189,Lists!$J$2:$J$15,0)),-1)=-1,"status '"&amp;K189&amp;"' is not a CONTRACTS status",IF(AND(K189="paid",COUNTIF(paid_brands!$AC$2:$AC$51,J189)=0),"status paid but no paid_brands row"&amp;IF(M189="N"," and no tracker row",""),IF(AND(IFERROR(INDEX(Lists!$K$2:$K$15,MATCH(K189,Lists!$J$2:$J$15,0)),-1)&gt;=6,M189="N"),"status "&amp;K189&amp;" but no tracker row",IF(AND(L189="Y",K189&lt;&gt;"do_not_contact"),"do_not_contact = Y but status is "&amp;K189,IF(AND(K189="do_not_contact",L189&lt;&gt;"Y"),"status do_not_contact but do_not_contact is not Y",""))))))</f>
        <v/>
      </c>
    </row>
    <row r="190" customFormat="false" ht="15" hidden="false" customHeight="false" outlineLevel="0" collapsed="false">
      <c r="B190" s="23" t="n">
        <v>169</v>
      </c>
      <c r="C190" s="23" t="str">
        <f aca="false">IFERROR(INDEX(Clay_Offices!$A$2:$FZ$601,B190,$C$5)&amp;"","")</f>
        <v/>
      </c>
      <c r="D190" s="23" t="str">
        <f aca="false">IFERROR(INDEX(Clay_Offices!$A$2:$FZ$601,B190,$C$7)&amp;"","")</f>
        <v/>
      </c>
      <c r="E190" s="23" t="str">
        <f aca="false">IFERROR(INDEX(Clay_Offices!$A$2:$FZ$601,B190,$C$8)&amp;"","")</f>
        <v/>
      </c>
      <c r="F190" s="23" t="str">
        <f aca="false">IF(C190="","",IF(COUNTIF(Office_Log!$A$2:$A$201,C190)&gt;0,"Y","N"))</f>
        <v/>
      </c>
      <c r="G190" s="34" t="str">
        <f aca="false">IF(OR(C190="",AND(LEFT(C190,6)="SAMPLE",Config!$B$19&lt;&gt;"Y")),"",IF(IFERROR(INDEX(Lists!$K$2:$K$15,MATCH(D190,Lists!$J$2:$J$15,0)),-1)=-1,"status '"&amp;D190&amp;"' is not a CONTRACTS status",IF(AND(D190="signed",COUNTIF(signed_offices!$W$2:$W$51,C190)=0),"status signed but no signed_offices row"&amp;IF(F190="N"," and no tracker row",""),IF(AND(IFERROR(INDEX(Lists!$K$2:$K$15,MATCH(D190,Lists!$J$2:$J$15,0)),-1)&gt;=6,F190="N"),"status "&amp;D190&amp;" but no tracker row",IF(AND(E190="Y",D190&lt;&gt;"do_not_contact"),"do_not_contact = Y but status is "&amp;D190,IF(AND(D190="do_not_contact",E190&lt;&gt;"Y"),"status do_not_contact but do_not_contact is not Y",""))))))</f>
        <v/>
      </c>
      <c r="I190" s="23" t="n">
        <v>169</v>
      </c>
      <c r="J190" s="23" t="str">
        <f aca="false">IFERROR(INDEX(Clay_Brands!$A$2:$FZ$601,I190,$D$5)&amp;"","")</f>
        <v/>
      </c>
      <c r="K190" s="23" t="str">
        <f aca="false">IFERROR(INDEX(Clay_Brands!$A$2:$FZ$601,I190,$D$7)&amp;"","")</f>
        <v/>
      </c>
      <c r="L190" s="23" t="str">
        <f aca="false">IFERROR(INDEX(Clay_Brands!$A$2:$FZ$601,I190,$D$8)&amp;"","")</f>
        <v/>
      </c>
      <c r="M190" s="23" t="str">
        <f aca="false">IF(J190="","",IF(COUNTIF(Brand_Log!$A$2:$A$201,J190)&gt;0,"Y","N"))</f>
        <v/>
      </c>
      <c r="N190" s="34" t="str">
        <f aca="false">IF(OR(J190="",AND(LEFT(J190,6)="SAMPLE",Config!$B$19&lt;&gt;"Y")),"",IF(IFERROR(INDEX(Lists!$K$2:$K$15,MATCH(K190,Lists!$J$2:$J$15,0)),-1)=-1,"status '"&amp;K190&amp;"' is not a CONTRACTS status",IF(AND(K190="paid",COUNTIF(paid_brands!$AC$2:$AC$51,J190)=0),"status paid but no paid_brands row"&amp;IF(M190="N"," and no tracker row",""),IF(AND(IFERROR(INDEX(Lists!$K$2:$K$15,MATCH(K190,Lists!$J$2:$J$15,0)),-1)&gt;=6,M190="N"),"status "&amp;K190&amp;" but no tracker row",IF(AND(L190="Y",K190&lt;&gt;"do_not_contact"),"do_not_contact = Y but status is "&amp;K190,IF(AND(K190="do_not_contact",L190&lt;&gt;"Y"),"status do_not_contact but do_not_contact is not Y",""))))))</f>
        <v/>
      </c>
    </row>
    <row r="191" customFormat="false" ht="15" hidden="false" customHeight="false" outlineLevel="0" collapsed="false">
      <c r="B191" s="23" t="n">
        <v>170</v>
      </c>
      <c r="C191" s="23" t="str">
        <f aca="false">IFERROR(INDEX(Clay_Offices!$A$2:$FZ$601,B191,$C$5)&amp;"","")</f>
        <v/>
      </c>
      <c r="D191" s="23" t="str">
        <f aca="false">IFERROR(INDEX(Clay_Offices!$A$2:$FZ$601,B191,$C$7)&amp;"","")</f>
        <v/>
      </c>
      <c r="E191" s="23" t="str">
        <f aca="false">IFERROR(INDEX(Clay_Offices!$A$2:$FZ$601,B191,$C$8)&amp;"","")</f>
        <v/>
      </c>
      <c r="F191" s="23" t="str">
        <f aca="false">IF(C191="","",IF(COUNTIF(Office_Log!$A$2:$A$201,C191)&gt;0,"Y","N"))</f>
        <v/>
      </c>
      <c r="G191" s="34" t="str">
        <f aca="false">IF(OR(C191="",AND(LEFT(C191,6)="SAMPLE",Config!$B$19&lt;&gt;"Y")),"",IF(IFERROR(INDEX(Lists!$K$2:$K$15,MATCH(D191,Lists!$J$2:$J$15,0)),-1)=-1,"status '"&amp;D191&amp;"' is not a CONTRACTS status",IF(AND(D191="signed",COUNTIF(signed_offices!$W$2:$W$51,C191)=0),"status signed but no signed_offices row"&amp;IF(F191="N"," and no tracker row",""),IF(AND(IFERROR(INDEX(Lists!$K$2:$K$15,MATCH(D191,Lists!$J$2:$J$15,0)),-1)&gt;=6,F191="N"),"status "&amp;D191&amp;" but no tracker row",IF(AND(E191="Y",D191&lt;&gt;"do_not_contact"),"do_not_contact = Y but status is "&amp;D191,IF(AND(D191="do_not_contact",E191&lt;&gt;"Y"),"status do_not_contact but do_not_contact is not Y",""))))))</f>
        <v/>
      </c>
      <c r="I191" s="23" t="n">
        <v>170</v>
      </c>
      <c r="J191" s="23" t="str">
        <f aca="false">IFERROR(INDEX(Clay_Brands!$A$2:$FZ$601,I191,$D$5)&amp;"","")</f>
        <v/>
      </c>
      <c r="K191" s="23" t="str">
        <f aca="false">IFERROR(INDEX(Clay_Brands!$A$2:$FZ$601,I191,$D$7)&amp;"","")</f>
        <v/>
      </c>
      <c r="L191" s="23" t="str">
        <f aca="false">IFERROR(INDEX(Clay_Brands!$A$2:$FZ$601,I191,$D$8)&amp;"","")</f>
        <v/>
      </c>
      <c r="M191" s="23" t="str">
        <f aca="false">IF(J191="","",IF(COUNTIF(Brand_Log!$A$2:$A$201,J191)&gt;0,"Y","N"))</f>
        <v/>
      </c>
      <c r="N191" s="34" t="str">
        <f aca="false">IF(OR(J191="",AND(LEFT(J191,6)="SAMPLE",Config!$B$19&lt;&gt;"Y")),"",IF(IFERROR(INDEX(Lists!$K$2:$K$15,MATCH(K191,Lists!$J$2:$J$15,0)),-1)=-1,"status '"&amp;K191&amp;"' is not a CONTRACTS status",IF(AND(K191="paid",COUNTIF(paid_brands!$AC$2:$AC$51,J191)=0),"status paid but no paid_brands row"&amp;IF(M191="N"," and no tracker row",""),IF(AND(IFERROR(INDEX(Lists!$K$2:$K$15,MATCH(K191,Lists!$J$2:$J$15,0)),-1)&gt;=6,M191="N"),"status "&amp;K191&amp;" but no tracker row",IF(AND(L191="Y",K191&lt;&gt;"do_not_contact"),"do_not_contact = Y but status is "&amp;K191,IF(AND(K191="do_not_contact",L191&lt;&gt;"Y"),"status do_not_contact but do_not_contact is not Y",""))))))</f>
        <v/>
      </c>
    </row>
    <row r="192" customFormat="false" ht="15" hidden="false" customHeight="false" outlineLevel="0" collapsed="false">
      <c r="B192" s="23" t="n">
        <v>171</v>
      </c>
      <c r="C192" s="23" t="str">
        <f aca="false">IFERROR(INDEX(Clay_Offices!$A$2:$FZ$601,B192,$C$5)&amp;"","")</f>
        <v/>
      </c>
      <c r="D192" s="23" t="str">
        <f aca="false">IFERROR(INDEX(Clay_Offices!$A$2:$FZ$601,B192,$C$7)&amp;"","")</f>
        <v/>
      </c>
      <c r="E192" s="23" t="str">
        <f aca="false">IFERROR(INDEX(Clay_Offices!$A$2:$FZ$601,B192,$C$8)&amp;"","")</f>
        <v/>
      </c>
      <c r="F192" s="23" t="str">
        <f aca="false">IF(C192="","",IF(COUNTIF(Office_Log!$A$2:$A$201,C192)&gt;0,"Y","N"))</f>
        <v/>
      </c>
      <c r="G192" s="34" t="str">
        <f aca="false">IF(OR(C192="",AND(LEFT(C192,6)="SAMPLE",Config!$B$19&lt;&gt;"Y")),"",IF(IFERROR(INDEX(Lists!$K$2:$K$15,MATCH(D192,Lists!$J$2:$J$15,0)),-1)=-1,"status '"&amp;D192&amp;"' is not a CONTRACTS status",IF(AND(D192="signed",COUNTIF(signed_offices!$W$2:$W$51,C192)=0),"status signed but no signed_offices row"&amp;IF(F192="N"," and no tracker row",""),IF(AND(IFERROR(INDEX(Lists!$K$2:$K$15,MATCH(D192,Lists!$J$2:$J$15,0)),-1)&gt;=6,F192="N"),"status "&amp;D192&amp;" but no tracker row",IF(AND(E192="Y",D192&lt;&gt;"do_not_contact"),"do_not_contact = Y but status is "&amp;D192,IF(AND(D192="do_not_contact",E192&lt;&gt;"Y"),"status do_not_contact but do_not_contact is not Y",""))))))</f>
        <v/>
      </c>
      <c r="I192" s="23" t="n">
        <v>171</v>
      </c>
      <c r="J192" s="23" t="str">
        <f aca="false">IFERROR(INDEX(Clay_Brands!$A$2:$FZ$601,I192,$D$5)&amp;"","")</f>
        <v/>
      </c>
      <c r="K192" s="23" t="str">
        <f aca="false">IFERROR(INDEX(Clay_Brands!$A$2:$FZ$601,I192,$D$7)&amp;"","")</f>
        <v/>
      </c>
      <c r="L192" s="23" t="str">
        <f aca="false">IFERROR(INDEX(Clay_Brands!$A$2:$FZ$601,I192,$D$8)&amp;"","")</f>
        <v/>
      </c>
      <c r="M192" s="23" t="str">
        <f aca="false">IF(J192="","",IF(COUNTIF(Brand_Log!$A$2:$A$201,J192)&gt;0,"Y","N"))</f>
        <v/>
      </c>
      <c r="N192" s="34" t="str">
        <f aca="false">IF(OR(J192="",AND(LEFT(J192,6)="SAMPLE",Config!$B$19&lt;&gt;"Y")),"",IF(IFERROR(INDEX(Lists!$K$2:$K$15,MATCH(K192,Lists!$J$2:$J$15,0)),-1)=-1,"status '"&amp;K192&amp;"' is not a CONTRACTS status",IF(AND(K192="paid",COUNTIF(paid_brands!$AC$2:$AC$51,J192)=0),"status paid but no paid_brands row"&amp;IF(M192="N"," and no tracker row",""),IF(AND(IFERROR(INDEX(Lists!$K$2:$K$15,MATCH(K192,Lists!$J$2:$J$15,0)),-1)&gt;=6,M192="N"),"status "&amp;K192&amp;" but no tracker row",IF(AND(L192="Y",K192&lt;&gt;"do_not_contact"),"do_not_contact = Y but status is "&amp;K192,IF(AND(K192="do_not_contact",L192&lt;&gt;"Y"),"status do_not_contact but do_not_contact is not Y",""))))))</f>
        <v/>
      </c>
    </row>
    <row r="193" customFormat="false" ht="15" hidden="false" customHeight="false" outlineLevel="0" collapsed="false">
      <c r="B193" s="23" t="n">
        <v>172</v>
      </c>
      <c r="C193" s="23" t="str">
        <f aca="false">IFERROR(INDEX(Clay_Offices!$A$2:$FZ$601,B193,$C$5)&amp;"","")</f>
        <v/>
      </c>
      <c r="D193" s="23" t="str">
        <f aca="false">IFERROR(INDEX(Clay_Offices!$A$2:$FZ$601,B193,$C$7)&amp;"","")</f>
        <v/>
      </c>
      <c r="E193" s="23" t="str">
        <f aca="false">IFERROR(INDEX(Clay_Offices!$A$2:$FZ$601,B193,$C$8)&amp;"","")</f>
        <v/>
      </c>
      <c r="F193" s="23" t="str">
        <f aca="false">IF(C193="","",IF(COUNTIF(Office_Log!$A$2:$A$201,C193)&gt;0,"Y","N"))</f>
        <v/>
      </c>
      <c r="G193" s="34" t="str">
        <f aca="false">IF(OR(C193="",AND(LEFT(C193,6)="SAMPLE",Config!$B$19&lt;&gt;"Y")),"",IF(IFERROR(INDEX(Lists!$K$2:$K$15,MATCH(D193,Lists!$J$2:$J$15,0)),-1)=-1,"status '"&amp;D193&amp;"' is not a CONTRACTS status",IF(AND(D193="signed",COUNTIF(signed_offices!$W$2:$W$51,C193)=0),"status signed but no signed_offices row"&amp;IF(F193="N"," and no tracker row",""),IF(AND(IFERROR(INDEX(Lists!$K$2:$K$15,MATCH(D193,Lists!$J$2:$J$15,0)),-1)&gt;=6,F193="N"),"status "&amp;D193&amp;" but no tracker row",IF(AND(E193="Y",D193&lt;&gt;"do_not_contact"),"do_not_contact = Y but status is "&amp;D193,IF(AND(D193="do_not_contact",E193&lt;&gt;"Y"),"status do_not_contact but do_not_contact is not Y",""))))))</f>
        <v/>
      </c>
      <c r="I193" s="23" t="n">
        <v>172</v>
      </c>
      <c r="J193" s="23" t="str">
        <f aca="false">IFERROR(INDEX(Clay_Brands!$A$2:$FZ$601,I193,$D$5)&amp;"","")</f>
        <v/>
      </c>
      <c r="K193" s="23" t="str">
        <f aca="false">IFERROR(INDEX(Clay_Brands!$A$2:$FZ$601,I193,$D$7)&amp;"","")</f>
        <v/>
      </c>
      <c r="L193" s="23" t="str">
        <f aca="false">IFERROR(INDEX(Clay_Brands!$A$2:$FZ$601,I193,$D$8)&amp;"","")</f>
        <v/>
      </c>
      <c r="M193" s="23" t="str">
        <f aca="false">IF(J193="","",IF(COUNTIF(Brand_Log!$A$2:$A$201,J193)&gt;0,"Y","N"))</f>
        <v/>
      </c>
      <c r="N193" s="34" t="str">
        <f aca="false">IF(OR(J193="",AND(LEFT(J193,6)="SAMPLE",Config!$B$19&lt;&gt;"Y")),"",IF(IFERROR(INDEX(Lists!$K$2:$K$15,MATCH(K193,Lists!$J$2:$J$15,0)),-1)=-1,"status '"&amp;K193&amp;"' is not a CONTRACTS status",IF(AND(K193="paid",COUNTIF(paid_brands!$AC$2:$AC$51,J193)=0),"status paid but no paid_brands row"&amp;IF(M193="N"," and no tracker row",""),IF(AND(IFERROR(INDEX(Lists!$K$2:$K$15,MATCH(K193,Lists!$J$2:$J$15,0)),-1)&gt;=6,M193="N"),"status "&amp;K193&amp;" but no tracker row",IF(AND(L193="Y",K193&lt;&gt;"do_not_contact"),"do_not_contact = Y but status is "&amp;K193,IF(AND(K193="do_not_contact",L193&lt;&gt;"Y"),"status do_not_contact but do_not_contact is not Y",""))))))</f>
        <v/>
      </c>
    </row>
    <row r="194" customFormat="false" ht="15" hidden="false" customHeight="false" outlineLevel="0" collapsed="false">
      <c r="B194" s="23" t="n">
        <v>173</v>
      </c>
      <c r="C194" s="23" t="str">
        <f aca="false">IFERROR(INDEX(Clay_Offices!$A$2:$FZ$601,B194,$C$5)&amp;"","")</f>
        <v/>
      </c>
      <c r="D194" s="23" t="str">
        <f aca="false">IFERROR(INDEX(Clay_Offices!$A$2:$FZ$601,B194,$C$7)&amp;"","")</f>
        <v/>
      </c>
      <c r="E194" s="23" t="str">
        <f aca="false">IFERROR(INDEX(Clay_Offices!$A$2:$FZ$601,B194,$C$8)&amp;"","")</f>
        <v/>
      </c>
      <c r="F194" s="23" t="str">
        <f aca="false">IF(C194="","",IF(COUNTIF(Office_Log!$A$2:$A$201,C194)&gt;0,"Y","N"))</f>
        <v/>
      </c>
      <c r="G194" s="34" t="str">
        <f aca="false">IF(OR(C194="",AND(LEFT(C194,6)="SAMPLE",Config!$B$19&lt;&gt;"Y")),"",IF(IFERROR(INDEX(Lists!$K$2:$K$15,MATCH(D194,Lists!$J$2:$J$15,0)),-1)=-1,"status '"&amp;D194&amp;"' is not a CONTRACTS status",IF(AND(D194="signed",COUNTIF(signed_offices!$W$2:$W$51,C194)=0),"status signed but no signed_offices row"&amp;IF(F194="N"," and no tracker row",""),IF(AND(IFERROR(INDEX(Lists!$K$2:$K$15,MATCH(D194,Lists!$J$2:$J$15,0)),-1)&gt;=6,F194="N"),"status "&amp;D194&amp;" but no tracker row",IF(AND(E194="Y",D194&lt;&gt;"do_not_contact"),"do_not_contact = Y but status is "&amp;D194,IF(AND(D194="do_not_contact",E194&lt;&gt;"Y"),"status do_not_contact but do_not_contact is not Y",""))))))</f>
        <v/>
      </c>
      <c r="I194" s="23" t="n">
        <v>173</v>
      </c>
      <c r="J194" s="23" t="str">
        <f aca="false">IFERROR(INDEX(Clay_Brands!$A$2:$FZ$601,I194,$D$5)&amp;"","")</f>
        <v/>
      </c>
      <c r="K194" s="23" t="str">
        <f aca="false">IFERROR(INDEX(Clay_Brands!$A$2:$FZ$601,I194,$D$7)&amp;"","")</f>
        <v/>
      </c>
      <c r="L194" s="23" t="str">
        <f aca="false">IFERROR(INDEX(Clay_Brands!$A$2:$FZ$601,I194,$D$8)&amp;"","")</f>
        <v/>
      </c>
      <c r="M194" s="23" t="str">
        <f aca="false">IF(J194="","",IF(COUNTIF(Brand_Log!$A$2:$A$201,J194)&gt;0,"Y","N"))</f>
        <v/>
      </c>
      <c r="N194" s="34" t="str">
        <f aca="false">IF(OR(J194="",AND(LEFT(J194,6)="SAMPLE",Config!$B$19&lt;&gt;"Y")),"",IF(IFERROR(INDEX(Lists!$K$2:$K$15,MATCH(K194,Lists!$J$2:$J$15,0)),-1)=-1,"status '"&amp;K194&amp;"' is not a CONTRACTS status",IF(AND(K194="paid",COUNTIF(paid_brands!$AC$2:$AC$51,J194)=0),"status paid but no paid_brands row"&amp;IF(M194="N"," and no tracker row",""),IF(AND(IFERROR(INDEX(Lists!$K$2:$K$15,MATCH(K194,Lists!$J$2:$J$15,0)),-1)&gt;=6,M194="N"),"status "&amp;K194&amp;" but no tracker row",IF(AND(L194="Y",K194&lt;&gt;"do_not_contact"),"do_not_contact = Y but status is "&amp;K194,IF(AND(K194="do_not_contact",L194&lt;&gt;"Y"),"status do_not_contact but do_not_contact is not Y",""))))))</f>
        <v/>
      </c>
    </row>
    <row r="195" customFormat="false" ht="15" hidden="false" customHeight="false" outlineLevel="0" collapsed="false">
      <c r="B195" s="23" t="n">
        <v>174</v>
      </c>
      <c r="C195" s="23" t="str">
        <f aca="false">IFERROR(INDEX(Clay_Offices!$A$2:$FZ$601,B195,$C$5)&amp;"","")</f>
        <v/>
      </c>
      <c r="D195" s="23" t="str">
        <f aca="false">IFERROR(INDEX(Clay_Offices!$A$2:$FZ$601,B195,$C$7)&amp;"","")</f>
        <v/>
      </c>
      <c r="E195" s="23" t="str">
        <f aca="false">IFERROR(INDEX(Clay_Offices!$A$2:$FZ$601,B195,$C$8)&amp;"","")</f>
        <v/>
      </c>
      <c r="F195" s="23" t="str">
        <f aca="false">IF(C195="","",IF(COUNTIF(Office_Log!$A$2:$A$201,C195)&gt;0,"Y","N"))</f>
        <v/>
      </c>
      <c r="G195" s="34" t="str">
        <f aca="false">IF(OR(C195="",AND(LEFT(C195,6)="SAMPLE",Config!$B$19&lt;&gt;"Y")),"",IF(IFERROR(INDEX(Lists!$K$2:$K$15,MATCH(D195,Lists!$J$2:$J$15,0)),-1)=-1,"status '"&amp;D195&amp;"' is not a CONTRACTS status",IF(AND(D195="signed",COUNTIF(signed_offices!$W$2:$W$51,C195)=0),"status signed but no signed_offices row"&amp;IF(F195="N"," and no tracker row",""),IF(AND(IFERROR(INDEX(Lists!$K$2:$K$15,MATCH(D195,Lists!$J$2:$J$15,0)),-1)&gt;=6,F195="N"),"status "&amp;D195&amp;" but no tracker row",IF(AND(E195="Y",D195&lt;&gt;"do_not_contact"),"do_not_contact = Y but status is "&amp;D195,IF(AND(D195="do_not_contact",E195&lt;&gt;"Y"),"status do_not_contact but do_not_contact is not Y",""))))))</f>
        <v/>
      </c>
      <c r="I195" s="23" t="n">
        <v>174</v>
      </c>
      <c r="J195" s="23" t="str">
        <f aca="false">IFERROR(INDEX(Clay_Brands!$A$2:$FZ$601,I195,$D$5)&amp;"","")</f>
        <v/>
      </c>
      <c r="K195" s="23" t="str">
        <f aca="false">IFERROR(INDEX(Clay_Brands!$A$2:$FZ$601,I195,$D$7)&amp;"","")</f>
        <v/>
      </c>
      <c r="L195" s="23" t="str">
        <f aca="false">IFERROR(INDEX(Clay_Brands!$A$2:$FZ$601,I195,$D$8)&amp;"","")</f>
        <v/>
      </c>
      <c r="M195" s="23" t="str">
        <f aca="false">IF(J195="","",IF(COUNTIF(Brand_Log!$A$2:$A$201,J195)&gt;0,"Y","N"))</f>
        <v/>
      </c>
      <c r="N195" s="34" t="str">
        <f aca="false">IF(OR(J195="",AND(LEFT(J195,6)="SAMPLE",Config!$B$19&lt;&gt;"Y")),"",IF(IFERROR(INDEX(Lists!$K$2:$K$15,MATCH(K195,Lists!$J$2:$J$15,0)),-1)=-1,"status '"&amp;K195&amp;"' is not a CONTRACTS status",IF(AND(K195="paid",COUNTIF(paid_brands!$AC$2:$AC$51,J195)=0),"status paid but no paid_brands row"&amp;IF(M195="N"," and no tracker row",""),IF(AND(IFERROR(INDEX(Lists!$K$2:$K$15,MATCH(K195,Lists!$J$2:$J$15,0)),-1)&gt;=6,M195="N"),"status "&amp;K195&amp;" but no tracker row",IF(AND(L195="Y",K195&lt;&gt;"do_not_contact"),"do_not_contact = Y but status is "&amp;K195,IF(AND(K195="do_not_contact",L195&lt;&gt;"Y"),"status do_not_contact but do_not_contact is not Y",""))))))</f>
        <v/>
      </c>
    </row>
    <row r="196" customFormat="false" ht="15" hidden="false" customHeight="false" outlineLevel="0" collapsed="false">
      <c r="B196" s="23" t="n">
        <v>175</v>
      </c>
      <c r="C196" s="23" t="str">
        <f aca="false">IFERROR(INDEX(Clay_Offices!$A$2:$FZ$601,B196,$C$5)&amp;"","")</f>
        <v/>
      </c>
      <c r="D196" s="23" t="str">
        <f aca="false">IFERROR(INDEX(Clay_Offices!$A$2:$FZ$601,B196,$C$7)&amp;"","")</f>
        <v/>
      </c>
      <c r="E196" s="23" t="str">
        <f aca="false">IFERROR(INDEX(Clay_Offices!$A$2:$FZ$601,B196,$C$8)&amp;"","")</f>
        <v/>
      </c>
      <c r="F196" s="23" t="str">
        <f aca="false">IF(C196="","",IF(COUNTIF(Office_Log!$A$2:$A$201,C196)&gt;0,"Y","N"))</f>
        <v/>
      </c>
      <c r="G196" s="34" t="str">
        <f aca="false">IF(OR(C196="",AND(LEFT(C196,6)="SAMPLE",Config!$B$19&lt;&gt;"Y")),"",IF(IFERROR(INDEX(Lists!$K$2:$K$15,MATCH(D196,Lists!$J$2:$J$15,0)),-1)=-1,"status '"&amp;D196&amp;"' is not a CONTRACTS status",IF(AND(D196="signed",COUNTIF(signed_offices!$W$2:$W$51,C196)=0),"status signed but no signed_offices row"&amp;IF(F196="N"," and no tracker row",""),IF(AND(IFERROR(INDEX(Lists!$K$2:$K$15,MATCH(D196,Lists!$J$2:$J$15,0)),-1)&gt;=6,F196="N"),"status "&amp;D196&amp;" but no tracker row",IF(AND(E196="Y",D196&lt;&gt;"do_not_contact"),"do_not_contact = Y but status is "&amp;D196,IF(AND(D196="do_not_contact",E196&lt;&gt;"Y"),"status do_not_contact but do_not_contact is not Y",""))))))</f>
        <v/>
      </c>
      <c r="I196" s="23" t="n">
        <v>175</v>
      </c>
      <c r="J196" s="23" t="str">
        <f aca="false">IFERROR(INDEX(Clay_Brands!$A$2:$FZ$601,I196,$D$5)&amp;"","")</f>
        <v/>
      </c>
      <c r="K196" s="23" t="str">
        <f aca="false">IFERROR(INDEX(Clay_Brands!$A$2:$FZ$601,I196,$D$7)&amp;"","")</f>
        <v/>
      </c>
      <c r="L196" s="23" t="str">
        <f aca="false">IFERROR(INDEX(Clay_Brands!$A$2:$FZ$601,I196,$D$8)&amp;"","")</f>
        <v/>
      </c>
      <c r="M196" s="23" t="str">
        <f aca="false">IF(J196="","",IF(COUNTIF(Brand_Log!$A$2:$A$201,J196)&gt;0,"Y","N"))</f>
        <v/>
      </c>
      <c r="N196" s="34" t="str">
        <f aca="false">IF(OR(J196="",AND(LEFT(J196,6)="SAMPLE",Config!$B$19&lt;&gt;"Y")),"",IF(IFERROR(INDEX(Lists!$K$2:$K$15,MATCH(K196,Lists!$J$2:$J$15,0)),-1)=-1,"status '"&amp;K196&amp;"' is not a CONTRACTS status",IF(AND(K196="paid",COUNTIF(paid_brands!$AC$2:$AC$51,J196)=0),"status paid but no paid_brands row"&amp;IF(M196="N"," and no tracker row",""),IF(AND(IFERROR(INDEX(Lists!$K$2:$K$15,MATCH(K196,Lists!$J$2:$J$15,0)),-1)&gt;=6,M196="N"),"status "&amp;K196&amp;" but no tracker row",IF(AND(L196="Y",K196&lt;&gt;"do_not_contact"),"do_not_contact = Y but status is "&amp;K196,IF(AND(K196="do_not_contact",L196&lt;&gt;"Y"),"status do_not_contact but do_not_contact is not Y",""))))))</f>
        <v/>
      </c>
    </row>
    <row r="197" customFormat="false" ht="15" hidden="false" customHeight="false" outlineLevel="0" collapsed="false">
      <c r="B197" s="23" t="n">
        <v>176</v>
      </c>
      <c r="C197" s="23" t="str">
        <f aca="false">IFERROR(INDEX(Clay_Offices!$A$2:$FZ$601,B197,$C$5)&amp;"","")</f>
        <v/>
      </c>
      <c r="D197" s="23" t="str">
        <f aca="false">IFERROR(INDEX(Clay_Offices!$A$2:$FZ$601,B197,$C$7)&amp;"","")</f>
        <v/>
      </c>
      <c r="E197" s="23" t="str">
        <f aca="false">IFERROR(INDEX(Clay_Offices!$A$2:$FZ$601,B197,$C$8)&amp;"","")</f>
        <v/>
      </c>
      <c r="F197" s="23" t="str">
        <f aca="false">IF(C197="","",IF(COUNTIF(Office_Log!$A$2:$A$201,C197)&gt;0,"Y","N"))</f>
        <v/>
      </c>
      <c r="G197" s="34" t="str">
        <f aca="false">IF(OR(C197="",AND(LEFT(C197,6)="SAMPLE",Config!$B$19&lt;&gt;"Y")),"",IF(IFERROR(INDEX(Lists!$K$2:$K$15,MATCH(D197,Lists!$J$2:$J$15,0)),-1)=-1,"status '"&amp;D197&amp;"' is not a CONTRACTS status",IF(AND(D197="signed",COUNTIF(signed_offices!$W$2:$W$51,C197)=0),"status signed but no signed_offices row"&amp;IF(F197="N"," and no tracker row",""),IF(AND(IFERROR(INDEX(Lists!$K$2:$K$15,MATCH(D197,Lists!$J$2:$J$15,0)),-1)&gt;=6,F197="N"),"status "&amp;D197&amp;" but no tracker row",IF(AND(E197="Y",D197&lt;&gt;"do_not_contact"),"do_not_contact = Y but status is "&amp;D197,IF(AND(D197="do_not_contact",E197&lt;&gt;"Y"),"status do_not_contact but do_not_contact is not Y",""))))))</f>
        <v/>
      </c>
      <c r="I197" s="23" t="n">
        <v>176</v>
      </c>
      <c r="J197" s="23" t="str">
        <f aca="false">IFERROR(INDEX(Clay_Brands!$A$2:$FZ$601,I197,$D$5)&amp;"","")</f>
        <v/>
      </c>
      <c r="K197" s="23" t="str">
        <f aca="false">IFERROR(INDEX(Clay_Brands!$A$2:$FZ$601,I197,$D$7)&amp;"","")</f>
        <v/>
      </c>
      <c r="L197" s="23" t="str">
        <f aca="false">IFERROR(INDEX(Clay_Brands!$A$2:$FZ$601,I197,$D$8)&amp;"","")</f>
        <v/>
      </c>
      <c r="M197" s="23" t="str">
        <f aca="false">IF(J197="","",IF(COUNTIF(Brand_Log!$A$2:$A$201,J197)&gt;0,"Y","N"))</f>
        <v/>
      </c>
      <c r="N197" s="34" t="str">
        <f aca="false">IF(OR(J197="",AND(LEFT(J197,6)="SAMPLE",Config!$B$19&lt;&gt;"Y")),"",IF(IFERROR(INDEX(Lists!$K$2:$K$15,MATCH(K197,Lists!$J$2:$J$15,0)),-1)=-1,"status '"&amp;K197&amp;"' is not a CONTRACTS status",IF(AND(K197="paid",COUNTIF(paid_brands!$AC$2:$AC$51,J197)=0),"status paid but no paid_brands row"&amp;IF(M197="N"," and no tracker row",""),IF(AND(IFERROR(INDEX(Lists!$K$2:$K$15,MATCH(K197,Lists!$J$2:$J$15,0)),-1)&gt;=6,M197="N"),"status "&amp;K197&amp;" but no tracker row",IF(AND(L197="Y",K197&lt;&gt;"do_not_contact"),"do_not_contact = Y but status is "&amp;K197,IF(AND(K197="do_not_contact",L197&lt;&gt;"Y"),"status do_not_contact but do_not_contact is not Y",""))))))</f>
        <v/>
      </c>
    </row>
    <row r="198" customFormat="false" ht="15" hidden="false" customHeight="false" outlineLevel="0" collapsed="false">
      <c r="B198" s="23" t="n">
        <v>177</v>
      </c>
      <c r="C198" s="23" t="str">
        <f aca="false">IFERROR(INDEX(Clay_Offices!$A$2:$FZ$601,B198,$C$5)&amp;"","")</f>
        <v/>
      </c>
      <c r="D198" s="23" t="str">
        <f aca="false">IFERROR(INDEX(Clay_Offices!$A$2:$FZ$601,B198,$C$7)&amp;"","")</f>
        <v/>
      </c>
      <c r="E198" s="23" t="str">
        <f aca="false">IFERROR(INDEX(Clay_Offices!$A$2:$FZ$601,B198,$C$8)&amp;"","")</f>
        <v/>
      </c>
      <c r="F198" s="23" t="str">
        <f aca="false">IF(C198="","",IF(COUNTIF(Office_Log!$A$2:$A$201,C198)&gt;0,"Y","N"))</f>
        <v/>
      </c>
      <c r="G198" s="34" t="str">
        <f aca="false">IF(OR(C198="",AND(LEFT(C198,6)="SAMPLE",Config!$B$19&lt;&gt;"Y")),"",IF(IFERROR(INDEX(Lists!$K$2:$K$15,MATCH(D198,Lists!$J$2:$J$15,0)),-1)=-1,"status '"&amp;D198&amp;"' is not a CONTRACTS status",IF(AND(D198="signed",COUNTIF(signed_offices!$W$2:$W$51,C198)=0),"status signed but no signed_offices row"&amp;IF(F198="N"," and no tracker row",""),IF(AND(IFERROR(INDEX(Lists!$K$2:$K$15,MATCH(D198,Lists!$J$2:$J$15,0)),-1)&gt;=6,F198="N"),"status "&amp;D198&amp;" but no tracker row",IF(AND(E198="Y",D198&lt;&gt;"do_not_contact"),"do_not_contact = Y but status is "&amp;D198,IF(AND(D198="do_not_contact",E198&lt;&gt;"Y"),"status do_not_contact but do_not_contact is not Y",""))))))</f>
        <v/>
      </c>
      <c r="I198" s="23" t="n">
        <v>177</v>
      </c>
      <c r="J198" s="23" t="str">
        <f aca="false">IFERROR(INDEX(Clay_Brands!$A$2:$FZ$601,I198,$D$5)&amp;"","")</f>
        <v/>
      </c>
      <c r="K198" s="23" t="str">
        <f aca="false">IFERROR(INDEX(Clay_Brands!$A$2:$FZ$601,I198,$D$7)&amp;"","")</f>
        <v/>
      </c>
      <c r="L198" s="23" t="str">
        <f aca="false">IFERROR(INDEX(Clay_Brands!$A$2:$FZ$601,I198,$D$8)&amp;"","")</f>
        <v/>
      </c>
      <c r="M198" s="23" t="str">
        <f aca="false">IF(J198="","",IF(COUNTIF(Brand_Log!$A$2:$A$201,J198)&gt;0,"Y","N"))</f>
        <v/>
      </c>
      <c r="N198" s="34" t="str">
        <f aca="false">IF(OR(J198="",AND(LEFT(J198,6)="SAMPLE",Config!$B$19&lt;&gt;"Y")),"",IF(IFERROR(INDEX(Lists!$K$2:$K$15,MATCH(K198,Lists!$J$2:$J$15,0)),-1)=-1,"status '"&amp;K198&amp;"' is not a CONTRACTS status",IF(AND(K198="paid",COUNTIF(paid_brands!$AC$2:$AC$51,J198)=0),"status paid but no paid_brands row"&amp;IF(M198="N"," and no tracker row",""),IF(AND(IFERROR(INDEX(Lists!$K$2:$K$15,MATCH(K198,Lists!$J$2:$J$15,0)),-1)&gt;=6,M198="N"),"status "&amp;K198&amp;" but no tracker row",IF(AND(L198="Y",K198&lt;&gt;"do_not_contact"),"do_not_contact = Y but status is "&amp;K198,IF(AND(K198="do_not_contact",L198&lt;&gt;"Y"),"status do_not_contact but do_not_contact is not Y",""))))))</f>
        <v/>
      </c>
    </row>
    <row r="199" customFormat="false" ht="15" hidden="false" customHeight="false" outlineLevel="0" collapsed="false">
      <c r="B199" s="23" t="n">
        <v>178</v>
      </c>
      <c r="C199" s="23" t="str">
        <f aca="false">IFERROR(INDEX(Clay_Offices!$A$2:$FZ$601,B199,$C$5)&amp;"","")</f>
        <v/>
      </c>
      <c r="D199" s="23" t="str">
        <f aca="false">IFERROR(INDEX(Clay_Offices!$A$2:$FZ$601,B199,$C$7)&amp;"","")</f>
        <v/>
      </c>
      <c r="E199" s="23" t="str">
        <f aca="false">IFERROR(INDEX(Clay_Offices!$A$2:$FZ$601,B199,$C$8)&amp;"","")</f>
        <v/>
      </c>
      <c r="F199" s="23" t="str">
        <f aca="false">IF(C199="","",IF(COUNTIF(Office_Log!$A$2:$A$201,C199)&gt;0,"Y","N"))</f>
        <v/>
      </c>
      <c r="G199" s="34" t="str">
        <f aca="false">IF(OR(C199="",AND(LEFT(C199,6)="SAMPLE",Config!$B$19&lt;&gt;"Y")),"",IF(IFERROR(INDEX(Lists!$K$2:$K$15,MATCH(D199,Lists!$J$2:$J$15,0)),-1)=-1,"status '"&amp;D199&amp;"' is not a CONTRACTS status",IF(AND(D199="signed",COUNTIF(signed_offices!$W$2:$W$51,C199)=0),"status signed but no signed_offices row"&amp;IF(F199="N"," and no tracker row",""),IF(AND(IFERROR(INDEX(Lists!$K$2:$K$15,MATCH(D199,Lists!$J$2:$J$15,0)),-1)&gt;=6,F199="N"),"status "&amp;D199&amp;" but no tracker row",IF(AND(E199="Y",D199&lt;&gt;"do_not_contact"),"do_not_contact = Y but status is "&amp;D199,IF(AND(D199="do_not_contact",E199&lt;&gt;"Y"),"status do_not_contact but do_not_contact is not Y",""))))))</f>
        <v/>
      </c>
      <c r="I199" s="23" t="n">
        <v>178</v>
      </c>
      <c r="J199" s="23" t="str">
        <f aca="false">IFERROR(INDEX(Clay_Brands!$A$2:$FZ$601,I199,$D$5)&amp;"","")</f>
        <v/>
      </c>
      <c r="K199" s="23" t="str">
        <f aca="false">IFERROR(INDEX(Clay_Brands!$A$2:$FZ$601,I199,$D$7)&amp;"","")</f>
        <v/>
      </c>
      <c r="L199" s="23" t="str">
        <f aca="false">IFERROR(INDEX(Clay_Brands!$A$2:$FZ$601,I199,$D$8)&amp;"","")</f>
        <v/>
      </c>
      <c r="M199" s="23" t="str">
        <f aca="false">IF(J199="","",IF(COUNTIF(Brand_Log!$A$2:$A$201,J199)&gt;0,"Y","N"))</f>
        <v/>
      </c>
      <c r="N199" s="34" t="str">
        <f aca="false">IF(OR(J199="",AND(LEFT(J199,6)="SAMPLE",Config!$B$19&lt;&gt;"Y")),"",IF(IFERROR(INDEX(Lists!$K$2:$K$15,MATCH(K199,Lists!$J$2:$J$15,0)),-1)=-1,"status '"&amp;K199&amp;"' is not a CONTRACTS status",IF(AND(K199="paid",COUNTIF(paid_brands!$AC$2:$AC$51,J199)=0),"status paid but no paid_brands row"&amp;IF(M199="N"," and no tracker row",""),IF(AND(IFERROR(INDEX(Lists!$K$2:$K$15,MATCH(K199,Lists!$J$2:$J$15,0)),-1)&gt;=6,M199="N"),"status "&amp;K199&amp;" but no tracker row",IF(AND(L199="Y",K199&lt;&gt;"do_not_contact"),"do_not_contact = Y but status is "&amp;K199,IF(AND(K199="do_not_contact",L199&lt;&gt;"Y"),"status do_not_contact but do_not_contact is not Y",""))))))</f>
        <v/>
      </c>
    </row>
    <row r="200" customFormat="false" ht="15" hidden="false" customHeight="false" outlineLevel="0" collapsed="false">
      <c r="B200" s="23" t="n">
        <v>179</v>
      </c>
      <c r="C200" s="23" t="str">
        <f aca="false">IFERROR(INDEX(Clay_Offices!$A$2:$FZ$601,B200,$C$5)&amp;"","")</f>
        <v/>
      </c>
      <c r="D200" s="23" t="str">
        <f aca="false">IFERROR(INDEX(Clay_Offices!$A$2:$FZ$601,B200,$C$7)&amp;"","")</f>
        <v/>
      </c>
      <c r="E200" s="23" t="str">
        <f aca="false">IFERROR(INDEX(Clay_Offices!$A$2:$FZ$601,B200,$C$8)&amp;"","")</f>
        <v/>
      </c>
      <c r="F200" s="23" t="str">
        <f aca="false">IF(C200="","",IF(COUNTIF(Office_Log!$A$2:$A$201,C200)&gt;0,"Y","N"))</f>
        <v/>
      </c>
      <c r="G200" s="34" t="str">
        <f aca="false">IF(OR(C200="",AND(LEFT(C200,6)="SAMPLE",Config!$B$19&lt;&gt;"Y")),"",IF(IFERROR(INDEX(Lists!$K$2:$K$15,MATCH(D200,Lists!$J$2:$J$15,0)),-1)=-1,"status '"&amp;D200&amp;"' is not a CONTRACTS status",IF(AND(D200="signed",COUNTIF(signed_offices!$W$2:$W$51,C200)=0),"status signed but no signed_offices row"&amp;IF(F200="N"," and no tracker row",""),IF(AND(IFERROR(INDEX(Lists!$K$2:$K$15,MATCH(D200,Lists!$J$2:$J$15,0)),-1)&gt;=6,F200="N"),"status "&amp;D200&amp;" but no tracker row",IF(AND(E200="Y",D200&lt;&gt;"do_not_contact"),"do_not_contact = Y but status is "&amp;D200,IF(AND(D200="do_not_contact",E200&lt;&gt;"Y"),"status do_not_contact but do_not_contact is not Y",""))))))</f>
        <v/>
      </c>
      <c r="I200" s="23" t="n">
        <v>179</v>
      </c>
      <c r="J200" s="23" t="str">
        <f aca="false">IFERROR(INDEX(Clay_Brands!$A$2:$FZ$601,I200,$D$5)&amp;"","")</f>
        <v/>
      </c>
      <c r="K200" s="23" t="str">
        <f aca="false">IFERROR(INDEX(Clay_Brands!$A$2:$FZ$601,I200,$D$7)&amp;"","")</f>
        <v/>
      </c>
      <c r="L200" s="23" t="str">
        <f aca="false">IFERROR(INDEX(Clay_Brands!$A$2:$FZ$601,I200,$D$8)&amp;"","")</f>
        <v/>
      </c>
      <c r="M200" s="23" t="str">
        <f aca="false">IF(J200="","",IF(COUNTIF(Brand_Log!$A$2:$A$201,J200)&gt;0,"Y","N"))</f>
        <v/>
      </c>
      <c r="N200" s="34" t="str">
        <f aca="false">IF(OR(J200="",AND(LEFT(J200,6)="SAMPLE",Config!$B$19&lt;&gt;"Y")),"",IF(IFERROR(INDEX(Lists!$K$2:$K$15,MATCH(K200,Lists!$J$2:$J$15,0)),-1)=-1,"status '"&amp;K200&amp;"' is not a CONTRACTS status",IF(AND(K200="paid",COUNTIF(paid_brands!$AC$2:$AC$51,J200)=0),"status paid but no paid_brands row"&amp;IF(M200="N"," and no tracker row",""),IF(AND(IFERROR(INDEX(Lists!$K$2:$K$15,MATCH(K200,Lists!$J$2:$J$15,0)),-1)&gt;=6,M200="N"),"status "&amp;K200&amp;" but no tracker row",IF(AND(L200="Y",K200&lt;&gt;"do_not_contact"),"do_not_contact = Y but status is "&amp;K200,IF(AND(K200="do_not_contact",L200&lt;&gt;"Y"),"status do_not_contact but do_not_contact is not Y",""))))))</f>
        <v/>
      </c>
    </row>
    <row r="201" customFormat="false" ht="15" hidden="false" customHeight="false" outlineLevel="0" collapsed="false">
      <c r="B201" s="23" t="n">
        <v>180</v>
      </c>
      <c r="C201" s="23" t="str">
        <f aca="false">IFERROR(INDEX(Clay_Offices!$A$2:$FZ$601,B201,$C$5)&amp;"","")</f>
        <v/>
      </c>
      <c r="D201" s="23" t="str">
        <f aca="false">IFERROR(INDEX(Clay_Offices!$A$2:$FZ$601,B201,$C$7)&amp;"","")</f>
        <v/>
      </c>
      <c r="E201" s="23" t="str">
        <f aca="false">IFERROR(INDEX(Clay_Offices!$A$2:$FZ$601,B201,$C$8)&amp;"","")</f>
        <v/>
      </c>
      <c r="F201" s="23" t="str">
        <f aca="false">IF(C201="","",IF(COUNTIF(Office_Log!$A$2:$A$201,C201)&gt;0,"Y","N"))</f>
        <v/>
      </c>
      <c r="G201" s="34" t="str">
        <f aca="false">IF(OR(C201="",AND(LEFT(C201,6)="SAMPLE",Config!$B$19&lt;&gt;"Y")),"",IF(IFERROR(INDEX(Lists!$K$2:$K$15,MATCH(D201,Lists!$J$2:$J$15,0)),-1)=-1,"status '"&amp;D201&amp;"' is not a CONTRACTS status",IF(AND(D201="signed",COUNTIF(signed_offices!$W$2:$W$51,C201)=0),"status signed but no signed_offices row"&amp;IF(F201="N"," and no tracker row",""),IF(AND(IFERROR(INDEX(Lists!$K$2:$K$15,MATCH(D201,Lists!$J$2:$J$15,0)),-1)&gt;=6,F201="N"),"status "&amp;D201&amp;" but no tracker row",IF(AND(E201="Y",D201&lt;&gt;"do_not_contact"),"do_not_contact = Y but status is "&amp;D201,IF(AND(D201="do_not_contact",E201&lt;&gt;"Y"),"status do_not_contact but do_not_contact is not Y",""))))))</f>
        <v/>
      </c>
      <c r="I201" s="23" t="n">
        <v>180</v>
      </c>
      <c r="J201" s="23" t="str">
        <f aca="false">IFERROR(INDEX(Clay_Brands!$A$2:$FZ$601,I201,$D$5)&amp;"","")</f>
        <v/>
      </c>
      <c r="K201" s="23" t="str">
        <f aca="false">IFERROR(INDEX(Clay_Brands!$A$2:$FZ$601,I201,$D$7)&amp;"","")</f>
        <v/>
      </c>
      <c r="L201" s="23" t="str">
        <f aca="false">IFERROR(INDEX(Clay_Brands!$A$2:$FZ$601,I201,$D$8)&amp;"","")</f>
        <v/>
      </c>
      <c r="M201" s="23" t="str">
        <f aca="false">IF(J201="","",IF(COUNTIF(Brand_Log!$A$2:$A$201,J201)&gt;0,"Y","N"))</f>
        <v/>
      </c>
      <c r="N201" s="34" t="str">
        <f aca="false">IF(OR(J201="",AND(LEFT(J201,6)="SAMPLE",Config!$B$19&lt;&gt;"Y")),"",IF(IFERROR(INDEX(Lists!$K$2:$K$15,MATCH(K201,Lists!$J$2:$J$15,0)),-1)=-1,"status '"&amp;K201&amp;"' is not a CONTRACTS status",IF(AND(K201="paid",COUNTIF(paid_brands!$AC$2:$AC$51,J201)=0),"status paid but no paid_brands row"&amp;IF(M201="N"," and no tracker row",""),IF(AND(IFERROR(INDEX(Lists!$K$2:$K$15,MATCH(K201,Lists!$J$2:$J$15,0)),-1)&gt;=6,M201="N"),"status "&amp;K201&amp;" but no tracker row",IF(AND(L201="Y",K201&lt;&gt;"do_not_contact"),"do_not_contact = Y but status is "&amp;K201,IF(AND(K201="do_not_contact",L201&lt;&gt;"Y"),"status do_not_contact but do_not_contact is not Y",""))))))</f>
        <v/>
      </c>
    </row>
    <row r="202" customFormat="false" ht="15" hidden="false" customHeight="false" outlineLevel="0" collapsed="false">
      <c r="B202" s="23" t="n">
        <v>181</v>
      </c>
      <c r="C202" s="23" t="str">
        <f aca="false">IFERROR(INDEX(Clay_Offices!$A$2:$FZ$601,B202,$C$5)&amp;"","")</f>
        <v/>
      </c>
      <c r="D202" s="23" t="str">
        <f aca="false">IFERROR(INDEX(Clay_Offices!$A$2:$FZ$601,B202,$C$7)&amp;"","")</f>
        <v/>
      </c>
      <c r="E202" s="23" t="str">
        <f aca="false">IFERROR(INDEX(Clay_Offices!$A$2:$FZ$601,B202,$C$8)&amp;"","")</f>
        <v/>
      </c>
      <c r="F202" s="23" t="str">
        <f aca="false">IF(C202="","",IF(COUNTIF(Office_Log!$A$2:$A$201,C202)&gt;0,"Y","N"))</f>
        <v/>
      </c>
      <c r="G202" s="34" t="str">
        <f aca="false">IF(OR(C202="",AND(LEFT(C202,6)="SAMPLE",Config!$B$19&lt;&gt;"Y")),"",IF(IFERROR(INDEX(Lists!$K$2:$K$15,MATCH(D202,Lists!$J$2:$J$15,0)),-1)=-1,"status '"&amp;D202&amp;"' is not a CONTRACTS status",IF(AND(D202="signed",COUNTIF(signed_offices!$W$2:$W$51,C202)=0),"status signed but no signed_offices row"&amp;IF(F202="N"," and no tracker row",""),IF(AND(IFERROR(INDEX(Lists!$K$2:$K$15,MATCH(D202,Lists!$J$2:$J$15,0)),-1)&gt;=6,F202="N"),"status "&amp;D202&amp;" but no tracker row",IF(AND(E202="Y",D202&lt;&gt;"do_not_contact"),"do_not_contact = Y but status is "&amp;D202,IF(AND(D202="do_not_contact",E202&lt;&gt;"Y"),"status do_not_contact but do_not_contact is not Y",""))))))</f>
        <v/>
      </c>
      <c r="I202" s="23" t="n">
        <v>181</v>
      </c>
      <c r="J202" s="23" t="str">
        <f aca="false">IFERROR(INDEX(Clay_Brands!$A$2:$FZ$601,I202,$D$5)&amp;"","")</f>
        <v/>
      </c>
      <c r="K202" s="23" t="str">
        <f aca="false">IFERROR(INDEX(Clay_Brands!$A$2:$FZ$601,I202,$D$7)&amp;"","")</f>
        <v/>
      </c>
      <c r="L202" s="23" t="str">
        <f aca="false">IFERROR(INDEX(Clay_Brands!$A$2:$FZ$601,I202,$D$8)&amp;"","")</f>
        <v/>
      </c>
      <c r="M202" s="23" t="str">
        <f aca="false">IF(J202="","",IF(COUNTIF(Brand_Log!$A$2:$A$201,J202)&gt;0,"Y","N"))</f>
        <v/>
      </c>
      <c r="N202" s="34" t="str">
        <f aca="false">IF(OR(J202="",AND(LEFT(J202,6)="SAMPLE",Config!$B$19&lt;&gt;"Y")),"",IF(IFERROR(INDEX(Lists!$K$2:$K$15,MATCH(K202,Lists!$J$2:$J$15,0)),-1)=-1,"status '"&amp;K202&amp;"' is not a CONTRACTS status",IF(AND(K202="paid",COUNTIF(paid_brands!$AC$2:$AC$51,J202)=0),"status paid but no paid_brands row"&amp;IF(M202="N"," and no tracker row",""),IF(AND(IFERROR(INDEX(Lists!$K$2:$K$15,MATCH(K202,Lists!$J$2:$J$15,0)),-1)&gt;=6,M202="N"),"status "&amp;K202&amp;" but no tracker row",IF(AND(L202="Y",K202&lt;&gt;"do_not_contact"),"do_not_contact = Y but status is "&amp;K202,IF(AND(K202="do_not_contact",L202&lt;&gt;"Y"),"status do_not_contact but do_not_contact is not Y",""))))))</f>
        <v/>
      </c>
    </row>
    <row r="203" customFormat="false" ht="15" hidden="false" customHeight="false" outlineLevel="0" collapsed="false">
      <c r="B203" s="23" t="n">
        <v>182</v>
      </c>
      <c r="C203" s="23" t="str">
        <f aca="false">IFERROR(INDEX(Clay_Offices!$A$2:$FZ$601,B203,$C$5)&amp;"","")</f>
        <v/>
      </c>
      <c r="D203" s="23" t="str">
        <f aca="false">IFERROR(INDEX(Clay_Offices!$A$2:$FZ$601,B203,$C$7)&amp;"","")</f>
        <v/>
      </c>
      <c r="E203" s="23" t="str">
        <f aca="false">IFERROR(INDEX(Clay_Offices!$A$2:$FZ$601,B203,$C$8)&amp;"","")</f>
        <v/>
      </c>
      <c r="F203" s="23" t="str">
        <f aca="false">IF(C203="","",IF(COUNTIF(Office_Log!$A$2:$A$201,C203)&gt;0,"Y","N"))</f>
        <v/>
      </c>
      <c r="G203" s="34" t="str">
        <f aca="false">IF(OR(C203="",AND(LEFT(C203,6)="SAMPLE",Config!$B$19&lt;&gt;"Y")),"",IF(IFERROR(INDEX(Lists!$K$2:$K$15,MATCH(D203,Lists!$J$2:$J$15,0)),-1)=-1,"status '"&amp;D203&amp;"' is not a CONTRACTS status",IF(AND(D203="signed",COUNTIF(signed_offices!$W$2:$W$51,C203)=0),"status signed but no signed_offices row"&amp;IF(F203="N"," and no tracker row",""),IF(AND(IFERROR(INDEX(Lists!$K$2:$K$15,MATCH(D203,Lists!$J$2:$J$15,0)),-1)&gt;=6,F203="N"),"status "&amp;D203&amp;" but no tracker row",IF(AND(E203="Y",D203&lt;&gt;"do_not_contact"),"do_not_contact = Y but status is "&amp;D203,IF(AND(D203="do_not_contact",E203&lt;&gt;"Y"),"status do_not_contact but do_not_contact is not Y",""))))))</f>
        <v/>
      </c>
      <c r="I203" s="23" t="n">
        <v>182</v>
      </c>
      <c r="J203" s="23" t="str">
        <f aca="false">IFERROR(INDEX(Clay_Brands!$A$2:$FZ$601,I203,$D$5)&amp;"","")</f>
        <v/>
      </c>
      <c r="K203" s="23" t="str">
        <f aca="false">IFERROR(INDEX(Clay_Brands!$A$2:$FZ$601,I203,$D$7)&amp;"","")</f>
        <v/>
      </c>
      <c r="L203" s="23" t="str">
        <f aca="false">IFERROR(INDEX(Clay_Brands!$A$2:$FZ$601,I203,$D$8)&amp;"","")</f>
        <v/>
      </c>
      <c r="M203" s="23" t="str">
        <f aca="false">IF(J203="","",IF(COUNTIF(Brand_Log!$A$2:$A$201,J203)&gt;0,"Y","N"))</f>
        <v/>
      </c>
      <c r="N203" s="34" t="str">
        <f aca="false">IF(OR(J203="",AND(LEFT(J203,6)="SAMPLE",Config!$B$19&lt;&gt;"Y")),"",IF(IFERROR(INDEX(Lists!$K$2:$K$15,MATCH(K203,Lists!$J$2:$J$15,0)),-1)=-1,"status '"&amp;K203&amp;"' is not a CONTRACTS status",IF(AND(K203="paid",COUNTIF(paid_brands!$AC$2:$AC$51,J203)=0),"status paid but no paid_brands row"&amp;IF(M203="N"," and no tracker row",""),IF(AND(IFERROR(INDEX(Lists!$K$2:$K$15,MATCH(K203,Lists!$J$2:$J$15,0)),-1)&gt;=6,M203="N"),"status "&amp;K203&amp;" but no tracker row",IF(AND(L203="Y",K203&lt;&gt;"do_not_contact"),"do_not_contact = Y but status is "&amp;K203,IF(AND(K203="do_not_contact",L203&lt;&gt;"Y"),"status do_not_contact but do_not_contact is not Y",""))))))</f>
        <v/>
      </c>
    </row>
    <row r="204" customFormat="false" ht="15" hidden="false" customHeight="false" outlineLevel="0" collapsed="false">
      <c r="B204" s="23" t="n">
        <v>183</v>
      </c>
      <c r="C204" s="23" t="str">
        <f aca="false">IFERROR(INDEX(Clay_Offices!$A$2:$FZ$601,B204,$C$5)&amp;"","")</f>
        <v/>
      </c>
      <c r="D204" s="23" t="str">
        <f aca="false">IFERROR(INDEX(Clay_Offices!$A$2:$FZ$601,B204,$C$7)&amp;"","")</f>
        <v/>
      </c>
      <c r="E204" s="23" t="str">
        <f aca="false">IFERROR(INDEX(Clay_Offices!$A$2:$FZ$601,B204,$C$8)&amp;"","")</f>
        <v/>
      </c>
      <c r="F204" s="23" t="str">
        <f aca="false">IF(C204="","",IF(COUNTIF(Office_Log!$A$2:$A$201,C204)&gt;0,"Y","N"))</f>
        <v/>
      </c>
      <c r="G204" s="34" t="str">
        <f aca="false">IF(OR(C204="",AND(LEFT(C204,6)="SAMPLE",Config!$B$19&lt;&gt;"Y")),"",IF(IFERROR(INDEX(Lists!$K$2:$K$15,MATCH(D204,Lists!$J$2:$J$15,0)),-1)=-1,"status '"&amp;D204&amp;"' is not a CONTRACTS status",IF(AND(D204="signed",COUNTIF(signed_offices!$W$2:$W$51,C204)=0),"status signed but no signed_offices row"&amp;IF(F204="N"," and no tracker row",""),IF(AND(IFERROR(INDEX(Lists!$K$2:$K$15,MATCH(D204,Lists!$J$2:$J$15,0)),-1)&gt;=6,F204="N"),"status "&amp;D204&amp;" but no tracker row",IF(AND(E204="Y",D204&lt;&gt;"do_not_contact"),"do_not_contact = Y but status is "&amp;D204,IF(AND(D204="do_not_contact",E204&lt;&gt;"Y"),"status do_not_contact but do_not_contact is not Y",""))))))</f>
        <v/>
      </c>
      <c r="I204" s="23" t="n">
        <v>183</v>
      </c>
      <c r="J204" s="23" t="str">
        <f aca="false">IFERROR(INDEX(Clay_Brands!$A$2:$FZ$601,I204,$D$5)&amp;"","")</f>
        <v/>
      </c>
      <c r="K204" s="23" t="str">
        <f aca="false">IFERROR(INDEX(Clay_Brands!$A$2:$FZ$601,I204,$D$7)&amp;"","")</f>
        <v/>
      </c>
      <c r="L204" s="23" t="str">
        <f aca="false">IFERROR(INDEX(Clay_Brands!$A$2:$FZ$601,I204,$D$8)&amp;"","")</f>
        <v/>
      </c>
      <c r="M204" s="23" t="str">
        <f aca="false">IF(J204="","",IF(COUNTIF(Brand_Log!$A$2:$A$201,J204)&gt;0,"Y","N"))</f>
        <v/>
      </c>
      <c r="N204" s="34" t="str">
        <f aca="false">IF(OR(J204="",AND(LEFT(J204,6)="SAMPLE",Config!$B$19&lt;&gt;"Y")),"",IF(IFERROR(INDEX(Lists!$K$2:$K$15,MATCH(K204,Lists!$J$2:$J$15,0)),-1)=-1,"status '"&amp;K204&amp;"' is not a CONTRACTS status",IF(AND(K204="paid",COUNTIF(paid_brands!$AC$2:$AC$51,J204)=0),"status paid but no paid_brands row"&amp;IF(M204="N"," and no tracker row",""),IF(AND(IFERROR(INDEX(Lists!$K$2:$K$15,MATCH(K204,Lists!$J$2:$J$15,0)),-1)&gt;=6,M204="N"),"status "&amp;K204&amp;" but no tracker row",IF(AND(L204="Y",K204&lt;&gt;"do_not_contact"),"do_not_contact = Y but status is "&amp;K204,IF(AND(K204="do_not_contact",L204&lt;&gt;"Y"),"status do_not_contact but do_not_contact is not Y",""))))))</f>
        <v/>
      </c>
    </row>
    <row r="205" customFormat="false" ht="15" hidden="false" customHeight="false" outlineLevel="0" collapsed="false">
      <c r="B205" s="23" t="n">
        <v>184</v>
      </c>
      <c r="C205" s="23" t="str">
        <f aca="false">IFERROR(INDEX(Clay_Offices!$A$2:$FZ$601,B205,$C$5)&amp;"","")</f>
        <v/>
      </c>
      <c r="D205" s="23" t="str">
        <f aca="false">IFERROR(INDEX(Clay_Offices!$A$2:$FZ$601,B205,$C$7)&amp;"","")</f>
        <v/>
      </c>
      <c r="E205" s="23" t="str">
        <f aca="false">IFERROR(INDEX(Clay_Offices!$A$2:$FZ$601,B205,$C$8)&amp;"","")</f>
        <v/>
      </c>
      <c r="F205" s="23" t="str">
        <f aca="false">IF(C205="","",IF(COUNTIF(Office_Log!$A$2:$A$201,C205)&gt;0,"Y","N"))</f>
        <v/>
      </c>
      <c r="G205" s="34" t="str">
        <f aca="false">IF(OR(C205="",AND(LEFT(C205,6)="SAMPLE",Config!$B$19&lt;&gt;"Y")),"",IF(IFERROR(INDEX(Lists!$K$2:$K$15,MATCH(D205,Lists!$J$2:$J$15,0)),-1)=-1,"status '"&amp;D205&amp;"' is not a CONTRACTS status",IF(AND(D205="signed",COUNTIF(signed_offices!$W$2:$W$51,C205)=0),"status signed but no signed_offices row"&amp;IF(F205="N"," and no tracker row",""),IF(AND(IFERROR(INDEX(Lists!$K$2:$K$15,MATCH(D205,Lists!$J$2:$J$15,0)),-1)&gt;=6,F205="N"),"status "&amp;D205&amp;" but no tracker row",IF(AND(E205="Y",D205&lt;&gt;"do_not_contact"),"do_not_contact = Y but status is "&amp;D205,IF(AND(D205="do_not_contact",E205&lt;&gt;"Y"),"status do_not_contact but do_not_contact is not Y",""))))))</f>
        <v/>
      </c>
      <c r="I205" s="23" t="n">
        <v>184</v>
      </c>
      <c r="J205" s="23" t="str">
        <f aca="false">IFERROR(INDEX(Clay_Brands!$A$2:$FZ$601,I205,$D$5)&amp;"","")</f>
        <v/>
      </c>
      <c r="K205" s="23" t="str">
        <f aca="false">IFERROR(INDEX(Clay_Brands!$A$2:$FZ$601,I205,$D$7)&amp;"","")</f>
        <v/>
      </c>
      <c r="L205" s="23" t="str">
        <f aca="false">IFERROR(INDEX(Clay_Brands!$A$2:$FZ$601,I205,$D$8)&amp;"","")</f>
        <v/>
      </c>
      <c r="M205" s="23" t="str">
        <f aca="false">IF(J205="","",IF(COUNTIF(Brand_Log!$A$2:$A$201,J205)&gt;0,"Y","N"))</f>
        <v/>
      </c>
      <c r="N205" s="34" t="str">
        <f aca="false">IF(OR(J205="",AND(LEFT(J205,6)="SAMPLE",Config!$B$19&lt;&gt;"Y")),"",IF(IFERROR(INDEX(Lists!$K$2:$K$15,MATCH(K205,Lists!$J$2:$J$15,0)),-1)=-1,"status '"&amp;K205&amp;"' is not a CONTRACTS status",IF(AND(K205="paid",COUNTIF(paid_brands!$AC$2:$AC$51,J205)=0),"status paid but no paid_brands row"&amp;IF(M205="N"," and no tracker row",""),IF(AND(IFERROR(INDEX(Lists!$K$2:$K$15,MATCH(K205,Lists!$J$2:$J$15,0)),-1)&gt;=6,M205="N"),"status "&amp;K205&amp;" but no tracker row",IF(AND(L205="Y",K205&lt;&gt;"do_not_contact"),"do_not_contact = Y but status is "&amp;K205,IF(AND(K205="do_not_contact",L205&lt;&gt;"Y"),"status do_not_contact but do_not_contact is not Y",""))))))</f>
        <v/>
      </c>
    </row>
    <row r="206" customFormat="false" ht="15" hidden="false" customHeight="false" outlineLevel="0" collapsed="false">
      <c r="B206" s="23" t="n">
        <v>185</v>
      </c>
      <c r="C206" s="23" t="str">
        <f aca="false">IFERROR(INDEX(Clay_Offices!$A$2:$FZ$601,B206,$C$5)&amp;"","")</f>
        <v/>
      </c>
      <c r="D206" s="23" t="str">
        <f aca="false">IFERROR(INDEX(Clay_Offices!$A$2:$FZ$601,B206,$C$7)&amp;"","")</f>
        <v/>
      </c>
      <c r="E206" s="23" t="str">
        <f aca="false">IFERROR(INDEX(Clay_Offices!$A$2:$FZ$601,B206,$C$8)&amp;"","")</f>
        <v/>
      </c>
      <c r="F206" s="23" t="str">
        <f aca="false">IF(C206="","",IF(COUNTIF(Office_Log!$A$2:$A$201,C206)&gt;0,"Y","N"))</f>
        <v/>
      </c>
      <c r="G206" s="34" t="str">
        <f aca="false">IF(OR(C206="",AND(LEFT(C206,6)="SAMPLE",Config!$B$19&lt;&gt;"Y")),"",IF(IFERROR(INDEX(Lists!$K$2:$K$15,MATCH(D206,Lists!$J$2:$J$15,0)),-1)=-1,"status '"&amp;D206&amp;"' is not a CONTRACTS status",IF(AND(D206="signed",COUNTIF(signed_offices!$W$2:$W$51,C206)=0),"status signed but no signed_offices row"&amp;IF(F206="N"," and no tracker row",""),IF(AND(IFERROR(INDEX(Lists!$K$2:$K$15,MATCH(D206,Lists!$J$2:$J$15,0)),-1)&gt;=6,F206="N"),"status "&amp;D206&amp;" but no tracker row",IF(AND(E206="Y",D206&lt;&gt;"do_not_contact"),"do_not_contact = Y but status is "&amp;D206,IF(AND(D206="do_not_contact",E206&lt;&gt;"Y"),"status do_not_contact but do_not_contact is not Y",""))))))</f>
        <v/>
      </c>
      <c r="I206" s="23" t="n">
        <v>185</v>
      </c>
      <c r="J206" s="23" t="str">
        <f aca="false">IFERROR(INDEX(Clay_Brands!$A$2:$FZ$601,I206,$D$5)&amp;"","")</f>
        <v/>
      </c>
      <c r="K206" s="23" t="str">
        <f aca="false">IFERROR(INDEX(Clay_Brands!$A$2:$FZ$601,I206,$D$7)&amp;"","")</f>
        <v/>
      </c>
      <c r="L206" s="23" t="str">
        <f aca="false">IFERROR(INDEX(Clay_Brands!$A$2:$FZ$601,I206,$D$8)&amp;"","")</f>
        <v/>
      </c>
      <c r="M206" s="23" t="str">
        <f aca="false">IF(J206="","",IF(COUNTIF(Brand_Log!$A$2:$A$201,J206)&gt;0,"Y","N"))</f>
        <v/>
      </c>
      <c r="N206" s="34" t="str">
        <f aca="false">IF(OR(J206="",AND(LEFT(J206,6)="SAMPLE",Config!$B$19&lt;&gt;"Y")),"",IF(IFERROR(INDEX(Lists!$K$2:$K$15,MATCH(K206,Lists!$J$2:$J$15,0)),-1)=-1,"status '"&amp;K206&amp;"' is not a CONTRACTS status",IF(AND(K206="paid",COUNTIF(paid_brands!$AC$2:$AC$51,J206)=0),"status paid but no paid_brands row"&amp;IF(M206="N"," and no tracker row",""),IF(AND(IFERROR(INDEX(Lists!$K$2:$K$15,MATCH(K206,Lists!$J$2:$J$15,0)),-1)&gt;=6,M206="N"),"status "&amp;K206&amp;" but no tracker row",IF(AND(L206="Y",K206&lt;&gt;"do_not_contact"),"do_not_contact = Y but status is "&amp;K206,IF(AND(K206="do_not_contact",L206&lt;&gt;"Y"),"status do_not_contact but do_not_contact is not Y",""))))))</f>
        <v/>
      </c>
    </row>
    <row r="207" customFormat="false" ht="15" hidden="false" customHeight="false" outlineLevel="0" collapsed="false">
      <c r="B207" s="23" t="n">
        <v>186</v>
      </c>
      <c r="C207" s="23" t="str">
        <f aca="false">IFERROR(INDEX(Clay_Offices!$A$2:$FZ$601,B207,$C$5)&amp;"","")</f>
        <v/>
      </c>
      <c r="D207" s="23" t="str">
        <f aca="false">IFERROR(INDEX(Clay_Offices!$A$2:$FZ$601,B207,$C$7)&amp;"","")</f>
        <v/>
      </c>
      <c r="E207" s="23" t="str">
        <f aca="false">IFERROR(INDEX(Clay_Offices!$A$2:$FZ$601,B207,$C$8)&amp;"","")</f>
        <v/>
      </c>
      <c r="F207" s="23" t="str">
        <f aca="false">IF(C207="","",IF(COUNTIF(Office_Log!$A$2:$A$201,C207)&gt;0,"Y","N"))</f>
        <v/>
      </c>
      <c r="G207" s="34" t="str">
        <f aca="false">IF(OR(C207="",AND(LEFT(C207,6)="SAMPLE",Config!$B$19&lt;&gt;"Y")),"",IF(IFERROR(INDEX(Lists!$K$2:$K$15,MATCH(D207,Lists!$J$2:$J$15,0)),-1)=-1,"status '"&amp;D207&amp;"' is not a CONTRACTS status",IF(AND(D207="signed",COUNTIF(signed_offices!$W$2:$W$51,C207)=0),"status signed but no signed_offices row"&amp;IF(F207="N"," and no tracker row",""),IF(AND(IFERROR(INDEX(Lists!$K$2:$K$15,MATCH(D207,Lists!$J$2:$J$15,0)),-1)&gt;=6,F207="N"),"status "&amp;D207&amp;" but no tracker row",IF(AND(E207="Y",D207&lt;&gt;"do_not_contact"),"do_not_contact = Y but status is "&amp;D207,IF(AND(D207="do_not_contact",E207&lt;&gt;"Y"),"status do_not_contact but do_not_contact is not Y",""))))))</f>
        <v/>
      </c>
      <c r="I207" s="23" t="n">
        <v>186</v>
      </c>
      <c r="J207" s="23" t="str">
        <f aca="false">IFERROR(INDEX(Clay_Brands!$A$2:$FZ$601,I207,$D$5)&amp;"","")</f>
        <v/>
      </c>
      <c r="K207" s="23" t="str">
        <f aca="false">IFERROR(INDEX(Clay_Brands!$A$2:$FZ$601,I207,$D$7)&amp;"","")</f>
        <v/>
      </c>
      <c r="L207" s="23" t="str">
        <f aca="false">IFERROR(INDEX(Clay_Brands!$A$2:$FZ$601,I207,$D$8)&amp;"","")</f>
        <v/>
      </c>
      <c r="M207" s="23" t="str">
        <f aca="false">IF(J207="","",IF(COUNTIF(Brand_Log!$A$2:$A$201,J207)&gt;0,"Y","N"))</f>
        <v/>
      </c>
      <c r="N207" s="34" t="str">
        <f aca="false">IF(OR(J207="",AND(LEFT(J207,6)="SAMPLE",Config!$B$19&lt;&gt;"Y")),"",IF(IFERROR(INDEX(Lists!$K$2:$K$15,MATCH(K207,Lists!$J$2:$J$15,0)),-1)=-1,"status '"&amp;K207&amp;"' is not a CONTRACTS status",IF(AND(K207="paid",COUNTIF(paid_brands!$AC$2:$AC$51,J207)=0),"status paid but no paid_brands row"&amp;IF(M207="N"," and no tracker row",""),IF(AND(IFERROR(INDEX(Lists!$K$2:$K$15,MATCH(K207,Lists!$J$2:$J$15,0)),-1)&gt;=6,M207="N"),"status "&amp;K207&amp;" but no tracker row",IF(AND(L207="Y",K207&lt;&gt;"do_not_contact"),"do_not_contact = Y but status is "&amp;K207,IF(AND(K207="do_not_contact",L207&lt;&gt;"Y"),"status do_not_contact but do_not_contact is not Y",""))))))</f>
        <v/>
      </c>
    </row>
    <row r="208" customFormat="false" ht="15" hidden="false" customHeight="false" outlineLevel="0" collapsed="false">
      <c r="B208" s="23" t="n">
        <v>187</v>
      </c>
      <c r="C208" s="23" t="str">
        <f aca="false">IFERROR(INDEX(Clay_Offices!$A$2:$FZ$601,B208,$C$5)&amp;"","")</f>
        <v/>
      </c>
      <c r="D208" s="23" t="str">
        <f aca="false">IFERROR(INDEX(Clay_Offices!$A$2:$FZ$601,B208,$C$7)&amp;"","")</f>
        <v/>
      </c>
      <c r="E208" s="23" t="str">
        <f aca="false">IFERROR(INDEX(Clay_Offices!$A$2:$FZ$601,B208,$C$8)&amp;"","")</f>
        <v/>
      </c>
      <c r="F208" s="23" t="str">
        <f aca="false">IF(C208="","",IF(COUNTIF(Office_Log!$A$2:$A$201,C208)&gt;0,"Y","N"))</f>
        <v/>
      </c>
      <c r="G208" s="34" t="str">
        <f aca="false">IF(OR(C208="",AND(LEFT(C208,6)="SAMPLE",Config!$B$19&lt;&gt;"Y")),"",IF(IFERROR(INDEX(Lists!$K$2:$K$15,MATCH(D208,Lists!$J$2:$J$15,0)),-1)=-1,"status '"&amp;D208&amp;"' is not a CONTRACTS status",IF(AND(D208="signed",COUNTIF(signed_offices!$W$2:$W$51,C208)=0),"status signed but no signed_offices row"&amp;IF(F208="N"," and no tracker row",""),IF(AND(IFERROR(INDEX(Lists!$K$2:$K$15,MATCH(D208,Lists!$J$2:$J$15,0)),-1)&gt;=6,F208="N"),"status "&amp;D208&amp;" but no tracker row",IF(AND(E208="Y",D208&lt;&gt;"do_not_contact"),"do_not_contact = Y but status is "&amp;D208,IF(AND(D208="do_not_contact",E208&lt;&gt;"Y"),"status do_not_contact but do_not_contact is not Y",""))))))</f>
        <v/>
      </c>
      <c r="I208" s="23" t="n">
        <v>187</v>
      </c>
      <c r="J208" s="23" t="str">
        <f aca="false">IFERROR(INDEX(Clay_Brands!$A$2:$FZ$601,I208,$D$5)&amp;"","")</f>
        <v/>
      </c>
      <c r="K208" s="23" t="str">
        <f aca="false">IFERROR(INDEX(Clay_Brands!$A$2:$FZ$601,I208,$D$7)&amp;"","")</f>
        <v/>
      </c>
      <c r="L208" s="23" t="str">
        <f aca="false">IFERROR(INDEX(Clay_Brands!$A$2:$FZ$601,I208,$D$8)&amp;"","")</f>
        <v/>
      </c>
      <c r="M208" s="23" t="str">
        <f aca="false">IF(J208="","",IF(COUNTIF(Brand_Log!$A$2:$A$201,J208)&gt;0,"Y","N"))</f>
        <v/>
      </c>
      <c r="N208" s="34" t="str">
        <f aca="false">IF(OR(J208="",AND(LEFT(J208,6)="SAMPLE",Config!$B$19&lt;&gt;"Y")),"",IF(IFERROR(INDEX(Lists!$K$2:$K$15,MATCH(K208,Lists!$J$2:$J$15,0)),-1)=-1,"status '"&amp;K208&amp;"' is not a CONTRACTS status",IF(AND(K208="paid",COUNTIF(paid_brands!$AC$2:$AC$51,J208)=0),"status paid but no paid_brands row"&amp;IF(M208="N"," and no tracker row",""),IF(AND(IFERROR(INDEX(Lists!$K$2:$K$15,MATCH(K208,Lists!$J$2:$J$15,0)),-1)&gt;=6,M208="N"),"status "&amp;K208&amp;" but no tracker row",IF(AND(L208="Y",K208&lt;&gt;"do_not_contact"),"do_not_contact = Y but status is "&amp;K208,IF(AND(K208="do_not_contact",L208&lt;&gt;"Y"),"status do_not_contact but do_not_contact is not Y",""))))))</f>
        <v/>
      </c>
    </row>
    <row r="209" customFormat="false" ht="15" hidden="false" customHeight="false" outlineLevel="0" collapsed="false">
      <c r="B209" s="23" t="n">
        <v>188</v>
      </c>
      <c r="C209" s="23" t="str">
        <f aca="false">IFERROR(INDEX(Clay_Offices!$A$2:$FZ$601,B209,$C$5)&amp;"","")</f>
        <v/>
      </c>
      <c r="D209" s="23" t="str">
        <f aca="false">IFERROR(INDEX(Clay_Offices!$A$2:$FZ$601,B209,$C$7)&amp;"","")</f>
        <v/>
      </c>
      <c r="E209" s="23" t="str">
        <f aca="false">IFERROR(INDEX(Clay_Offices!$A$2:$FZ$601,B209,$C$8)&amp;"","")</f>
        <v/>
      </c>
      <c r="F209" s="23" t="str">
        <f aca="false">IF(C209="","",IF(COUNTIF(Office_Log!$A$2:$A$201,C209)&gt;0,"Y","N"))</f>
        <v/>
      </c>
      <c r="G209" s="34" t="str">
        <f aca="false">IF(OR(C209="",AND(LEFT(C209,6)="SAMPLE",Config!$B$19&lt;&gt;"Y")),"",IF(IFERROR(INDEX(Lists!$K$2:$K$15,MATCH(D209,Lists!$J$2:$J$15,0)),-1)=-1,"status '"&amp;D209&amp;"' is not a CONTRACTS status",IF(AND(D209="signed",COUNTIF(signed_offices!$W$2:$W$51,C209)=0),"status signed but no signed_offices row"&amp;IF(F209="N"," and no tracker row",""),IF(AND(IFERROR(INDEX(Lists!$K$2:$K$15,MATCH(D209,Lists!$J$2:$J$15,0)),-1)&gt;=6,F209="N"),"status "&amp;D209&amp;" but no tracker row",IF(AND(E209="Y",D209&lt;&gt;"do_not_contact"),"do_not_contact = Y but status is "&amp;D209,IF(AND(D209="do_not_contact",E209&lt;&gt;"Y"),"status do_not_contact but do_not_contact is not Y",""))))))</f>
        <v/>
      </c>
      <c r="I209" s="23" t="n">
        <v>188</v>
      </c>
      <c r="J209" s="23" t="str">
        <f aca="false">IFERROR(INDEX(Clay_Brands!$A$2:$FZ$601,I209,$D$5)&amp;"","")</f>
        <v/>
      </c>
      <c r="K209" s="23" t="str">
        <f aca="false">IFERROR(INDEX(Clay_Brands!$A$2:$FZ$601,I209,$D$7)&amp;"","")</f>
        <v/>
      </c>
      <c r="L209" s="23" t="str">
        <f aca="false">IFERROR(INDEX(Clay_Brands!$A$2:$FZ$601,I209,$D$8)&amp;"","")</f>
        <v/>
      </c>
      <c r="M209" s="23" t="str">
        <f aca="false">IF(J209="","",IF(COUNTIF(Brand_Log!$A$2:$A$201,J209)&gt;0,"Y","N"))</f>
        <v/>
      </c>
      <c r="N209" s="34" t="str">
        <f aca="false">IF(OR(J209="",AND(LEFT(J209,6)="SAMPLE",Config!$B$19&lt;&gt;"Y")),"",IF(IFERROR(INDEX(Lists!$K$2:$K$15,MATCH(K209,Lists!$J$2:$J$15,0)),-1)=-1,"status '"&amp;K209&amp;"' is not a CONTRACTS status",IF(AND(K209="paid",COUNTIF(paid_brands!$AC$2:$AC$51,J209)=0),"status paid but no paid_brands row"&amp;IF(M209="N"," and no tracker row",""),IF(AND(IFERROR(INDEX(Lists!$K$2:$K$15,MATCH(K209,Lists!$J$2:$J$15,0)),-1)&gt;=6,M209="N"),"status "&amp;K209&amp;" but no tracker row",IF(AND(L209="Y",K209&lt;&gt;"do_not_contact"),"do_not_contact = Y but status is "&amp;K209,IF(AND(K209="do_not_contact",L209&lt;&gt;"Y"),"status do_not_contact but do_not_contact is not Y",""))))))</f>
        <v/>
      </c>
    </row>
    <row r="210" customFormat="false" ht="15" hidden="false" customHeight="false" outlineLevel="0" collapsed="false">
      <c r="B210" s="23" t="n">
        <v>189</v>
      </c>
      <c r="C210" s="23" t="str">
        <f aca="false">IFERROR(INDEX(Clay_Offices!$A$2:$FZ$601,B210,$C$5)&amp;"","")</f>
        <v/>
      </c>
      <c r="D210" s="23" t="str">
        <f aca="false">IFERROR(INDEX(Clay_Offices!$A$2:$FZ$601,B210,$C$7)&amp;"","")</f>
        <v/>
      </c>
      <c r="E210" s="23" t="str">
        <f aca="false">IFERROR(INDEX(Clay_Offices!$A$2:$FZ$601,B210,$C$8)&amp;"","")</f>
        <v/>
      </c>
      <c r="F210" s="23" t="str">
        <f aca="false">IF(C210="","",IF(COUNTIF(Office_Log!$A$2:$A$201,C210)&gt;0,"Y","N"))</f>
        <v/>
      </c>
      <c r="G210" s="34" t="str">
        <f aca="false">IF(OR(C210="",AND(LEFT(C210,6)="SAMPLE",Config!$B$19&lt;&gt;"Y")),"",IF(IFERROR(INDEX(Lists!$K$2:$K$15,MATCH(D210,Lists!$J$2:$J$15,0)),-1)=-1,"status '"&amp;D210&amp;"' is not a CONTRACTS status",IF(AND(D210="signed",COUNTIF(signed_offices!$W$2:$W$51,C210)=0),"status signed but no signed_offices row"&amp;IF(F210="N"," and no tracker row",""),IF(AND(IFERROR(INDEX(Lists!$K$2:$K$15,MATCH(D210,Lists!$J$2:$J$15,0)),-1)&gt;=6,F210="N"),"status "&amp;D210&amp;" but no tracker row",IF(AND(E210="Y",D210&lt;&gt;"do_not_contact"),"do_not_contact = Y but status is "&amp;D210,IF(AND(D210="do_not_contact",E210&lt;&gt;"Y"),"status do_not_contact but do_not_contact is not Y",""))))))</f>
        <v/>
      </c>
      <c r="I210" s="23" t="n">
        <v>189</v>
      </c>
      <c r="J210" s="23" t="str">
        <f aca="false">IFERROR(INDEX(Clay_Brands!$A$2:$FZ$601,I210,$D$5)&amp;"","")</f>
        <v/>
      </c>
      <c r="K210" s="23" t="str">
        <f aca="false">IFERROR(INDEX(Clay_Brands!$A$2:$FZ$601,I210,$D$7)&amp;"","")</f>
        <v/>
      </c>
      <c r="L210" s="23" t="str">
        <f aca="false">IFERROR(INDEX(Clay_Brands!$A$2:$FZ$601,I210,$D$8)&amp;"","")</f>
        <v/>
      </c>
      <c r="M210" s="23" t="str">
        <f aca="false">IF(J210="","",IF(COUNTIF(Brand_Log!$A$2:$A$201,J210)&gt;0,"Y","N"))</f>
        <v/>
      </c>
      <c r="N210" s="34" t="str">
        <f aca="false">IF(OR(J210="",AND(LEFT(J210,6)="SAMPLE",Config!$B$19&lt;&gt;"Y")),"",IF(IFERROR(INDEX(Lists!$K$2:$K$15,MATCH(K210,Lists!$J$2:$J$15,0)),-1)=-1,"status '"&amp;K210&amp;"' is not a CONTRACTS status",IF(AND(K210="paid",COUNTIF(paid_brands!$AC$2:$AC$51,J210)=0),"status paid but no paid_brands row"&amp;IF(M210="N"," and no tracker row",""),IF(AND(IFERROR(INDEX(Lists!$K$2:$K$15,MATCH(K210,Lists!$J$2:$J$15,0)),-1)&gt;=6,M210="N"),"status "&amp;K210&amp;" but no tracker row",IF(AND(L210="Y",K210&lt;&gt;"do_not_contact"),"do_not_contact = Y but status is "&amp;K210,IF(AND(K210="do_not_contact",L210&lt;&gt;"Y"),"status do_not_contact but do_not_contact is not Y",""))))))</f>
        <v/>
      </c>
    </row>
    <row r="211" customFormat="false" ht="15" hidden="false" customHeight="false" outlineLevel="0" collapsed="false">
      <c r="B211" s="23" t="n">
        <v>190</v>
      </c>
      <c r="C211" s="23" t="str">
        <f aca="false">IFERROR(INDEX(Clay_Offices!$A$2:$FZ$601,B211,$C$5)&amp;"","")</f>
        <v/>
      </c>
      <c r="D211" s="23" t="str">
        <f aca="false">IFERROR(INDEX(Clay_Offices!$A$2:$FZ$601,B211,$C$7)&amp;"","")</f>
        <v/>
      </c>
      <c r="E211" s="23" t="str">
        <f aca="false">IFERROR(INDEX(Clay_Offices!$A$2:$FZ$601,B211,$C$8)&amp;"","")</f>
        <v/>
      </c>
      <c r="F211" s="23" t="str">
        <f aca="false">IF(C211="","",IF(COUNTIF(Office_Log!$A$2:$A$201,C211)&gt;0,"Y","N"))</f>
        <v/>
      </c>
      <c r="G211" s="34" t="str">
        <f aca="false">IF(OR(C211="",AND(LEFT(C211,6)="SAMPLE",Config!$B$19&lt;&gt;"Y")),"",IF(IFERROR(INDEX(Lists!$K$2:$K$15,MATCH(D211,Lists!$J$2:$J$15,0)),-1)=-1,"status '"&amp;D211&amp;"' is not a CONTRACTS status",IF(AND(D211="signed",COUNTIF(signed_offices!$W$2:$W$51,C211)=0),"status signed but no signed_offices row"&amp;IF(F211="N"," and no tracker row",""),IF(AND(IFERROR(INDEX(Lists!$K$2:$K$15,MATCH(D211,Lists!$J$2:$J$15,0)),-1)&gt;=6,F211="N"),"status "&amp;D211&amp;" but no tracker row",IF(AND(E211="Y",D211&lt;&gt;"do_not_contact"),"do_not_contact = Y but status is "&amp;D211,IF(AND(D211="do_not_contact",E211&lt;&gt;"Y"),"status do_not_contact but do_not_contact is not Y",""))))))</f>
        <v/>
      </c>
      <c r="I211" s="23" t="n">
        <v>190</v>
      </c>
      <c r="J211" s="23" t="str">
        <f aca="false">IFERROR(INDEX(Clay_Brands!$A$2:$FZ$601,I211,$D$5)&amp;"","")</f>
        <v/>
      </c>
      <c r="K211" s="23" t="str">
        <f aca="false">IFERROR(INDEX(Clay_Brands!$A$2:$FZ$601,I211,$D$7)&amp;"","")</f>
        <v/>
      </c>
      <c r="L211" s="23" t="str">
        <f aca="false">IFERROR(INDEX(Clay_Brands!$A$2:$FZ$601,I211,$D$8)&amp;"","")</f>
        <v/>
      </c>
      <c r="M211" s="23" t="str">
        <f aca="false">IF(J211="","",IF(COUNTIF(Brand_Log!$A$2:$A$201,J211)&gt;0,"Y","N"))</f>
        <v/>
      </c>
      <c r="N211" s="34" t="str">
        <f aca="false">IF(OR(J211="",AND(LEFT(J211,6)="SAMPLE",Config!$B$19&lt;&gt;"Y")),"",IF(IFERROR(INDEX(Lists!$K$2:$K$15,MATCH(K211,Lists!$J$2:$J$15,0)),-1)=-1,"status '"&amp;K211&amp;"' is not a CONTRACTS status",IF(AND(K211="paid",COUNTIF(paid_brands!$AC$2:$AC$51,J211)=0),"status paid but no paid_brands row"&amp;IF(M211="N"," and no tracker row",""),IF(AND(IFERROR(INDEX(Lists!$K$2:$K$15,MATCH(K211,Lists!$J$2:$J$15,0)),-1)&gt;=6,M211="N"),"status "&amp;K211&amp;" but no tracker row",IF(AND(L211="Y",K211&lt;&gt;"do_not_contact"),"do_not_contact = Y but status is "&amp;K211,IF(AND(K211="do_not_contact",L211&lt;&gt;"Y"),"status do_not_contact but do_not_contact is not Y",""))))))</f>
        <v/>
      </c>
    </row>
    <row r="212" customFormat="false" ht="15" hidden="false" customHeight="false" outlineLevel="0" collapsed="false">
      <c r="B212" s="23" t="n">
        <v>191</v>
      </c>
      <c r="C212" s="23" t="str">
        <f aca="false">IFERROR(INDEX(Clay_Offices!$A$2:$FZ$601,B212,$C$5)&amp;"","")</f>
        <v/>
      </c>
      <c r="D212" s="23" t="str">
        <f aca="false">IFERROR(INDEX(Clay_Offices!$A$2:$FZ$601,B212,$C$7)&amp;"","")</f>
        <v/>
      </c>
      <c r="E212" s="23" t="str">
        <f aca="false">IFERROR(INDEX(Clay_Offices!$A$2:$FZ$601,B212,$C$8)&amp;"","")</f>
        <v/>
      </c>
      <c r="F212" s="23" t="str">
        <f aca="false">IF(C212="","",IF(COUNTIF(Office_Log!$A$2:$A$201,C212)&gt;0,"Y","N"))</f>
        <v/>
      </c>
      <c r="G212" s="34" t="str">
        <f aca="false">IF(OR(C212="",AND(LEFT(C212,6)="SAMPLE",Config!$B$19&lt;&gt;"Y")),"",IF(IFERROR(INDEX(Lists!$K$2:$K$15,MATCH(D212,Lists!$J$2:$J$15,0)),-1)=-1,"status '"&amp;D212&amp;"' is not a CONTRACTS status",IF(AND(D212="signed",COUNTIF(signed_offices!$W$2:$W$51,C212)=0),"status signed but no signed_offices row"&amp;IF(F212="N"," and no tracker row",""),IF(AND(IFERROR(INDEX(Lists!$K$2:$K$15,MATCH(D212,Lists!$J$2:$J$15,0)),-1)&gt;=6,F212="N"),"status "&amp;D212&amp;" but no tracker row",IF(AND(E212="Y",D212&lt;&gt;"do_not_contact"),"do_not_contact = Y but status is "&amp;D212,IF(AND(D212="do_not_contact",E212&lt;&gt;"Y"),"status do_not_contact but do_not_contact is not Y",""))))))</f>
        <v/>
      </c>
      <c r="I212" s="23" t="n">
        <v>191</v>
      </c>
      <c r="J212" s="23" t="str">
        <f aca="false">IFERROR(INDEX(Clay_Brands!$A$2:$FZ$601,I212,$D$5)&amp;"","")</f>
        <v/>
      </c>
      <c r="K212" s="23" t="str">
        <f aca="false">IFERROR(INDEX(Clay_Brands!$A$2:$FZ$601,I212,$D$7)&amp;"","")</f>
        <v/>
      </c>
      <c r="L212" s="23" t="str">
        <f aca="false">IFERROR(INDEX(Clay_Brands!$A$2:$FZ$601,I212,$D$8)&amp;"","")</f>
        <v/>
      </c>
      <c r="M212" s="23" t="str">
        <f aca="false">IF(J212="","",IF(COUNTIF(Brand_Log!$A$2:$A$201,J212)&gt;0,"Y","N"))</f>
        <v/>
      </c>
      <c r="N212" s="34" t="str">
        <f aca="false">IF(OR(J212="",AND(LEFT(J212,6)="SAMPLE",Config!$B$19&lt;&gt;"Y")),"",IF(IFERROR(INDEX(Lists!$K$2:$K$15,MATCH(K212,Lists!$J$2:$J$15,0)),-1)=-1,"status '"&amp;K212&amp;"' is not a CONTRACTS status",IF(AND(K212="paid",COUNTIF(paid_brands!$AC$2:$AC$51,J212)=0),"status paid but no paid_brands row"&amp;IF(M212="N"," and no tracker row",""),IF(AND(IFERROR(INDEX(Lists!$K$2:$K$15,MATCH(K212,Lists!$J$2:$J$15,0)),-1)&gt;=6,M212="N"),"status "&amp;K212&amp;" but no tracker row",IF(AND(L212="Y",K212&lt;&gt;"do_not_contact"),"do_not_contact = Y but status is "&amp;K212,IF(AND(K212="do_not_contact",L212&lt;&gt;"Y"),"status do_not_contact but do_not_contact is not Y",""))))))</f>
        <v/>
      </c>
    </row>
    <row r="213" customFormat="false" ht="15" hidden="false" customHeight="false" outlineLevel="0" collapsed="false">
      <c r="B213" s="23" t="n">
        <v>192</v>
      </c>
      <c r="C213" s="23" t="str">
        <f aca="false">IFERROR(INDEX(Clay_Offices!$A$2:$FZ$601,B213,$C$5)&amp;"","")</f>
        <v/>
      </c>
      <c r="D213" s="23" t="str">
        <f aca="false">IFERROR(INDEX(Clay_Offices!$A$2:$FZ$601,B213,$C$7)&amp;"","")</f>
        <v/>
      </c>
      <c r="E213" s="23" t="str">
        <f aca="false">IFERROR(INDEX(Clay_Offices!$A$2:$FZ$601,B213,$C$8)&amp;"","")</f>
        <v/>
      </c>
      <c r="F213" s="23" t="str">
        <f aca="false">IF(C213="","",IF(COUNTIF(Office_Log!$A$2:$A$201,C213)&gt;0,"Y","N"))</f>
        <v/>
      </c>
      <c r="G213" s="34" t="str">
        <f aca="false">IF(OR(C213="",AND(LEFT(C213,6)="SAMPLE",Config!$B$19&lt;&gt;"Y")),"",IF(IFERROR(INDEX(Lists!$K$2:$K$15,MATCH(D213,Lists!$J$2:$J$15,0)),-1)=-1,"status '"&amp;D213&amp;"' is not a CONTRACTS status",IF(AND(D213="signed",COUNTIF(signed_offices!$W$2:$W$51,C213)=0),"status signed but no signed_offices row"&amp;IF(F213="N"," and no tracker row",""),IF(AND(IFERROR(INDEX(Lists!$K$2:$K$15,MATCH(D213,Lists!$J$2:$J$15,0)),-1)&gt;=6,F213="N"),"status "&amp;D213&amp;" but no tracker row",IF(AND(E213="Y",D213&lt;&gt;"do_not_contact"),"do_not_contact = Y but status is "&amp;D213,IF(AND(D213="do_not_contact",E213&lt;&gt;"Y"),"status do_not_contact but do_not_contact is not Y",""))))))</f>
        <v/>
      </c>
      <c r="I213" s="23" t="n">
        <v>192</v>
      </c>
      <c r="J213" s="23" t="str">
        <f aca="false">IFERROR(INDEX(Clay_Brands!$A$2:$FZ$601,I213,$D$5)&amp;"","")</f>
        <v/>
      </c>
      <c r="K213" s="23" t="str">
        <f aca="false">IFERROR(INDEX(Clay_Brands!$A$2:$FZ$601,I213,$D$7)&amp;"","")</f>
        <v/>
      </c>
      <c r="L213" s="23" t="str">
        <f aca="false">IFERROR(INDEX(Clay_Brands!$A$2:$FZ$601,I213,$D$8)&amp;"","")</f>
        <v/>
      </c>
      <c r="M213" s="23" t="str">
        <f aca="false">IF(J213="","",IF(COUNTIF(Brand_Log!$A$2:$A$201,J213)&gt;0,"Y","N"))</f>
        <v/>
      </c>
      <c r="N213" s="34" t="str">
        <f aca="false">IF(OR(J213="",AND(LEFT(J213,6)="SAMPLE",Config!$B$19&lt;&gt;"Y")),"",IF(IFERROR(INDEX(Lists!$K$2:$K$15,MATCH(K213,Lists!$J$2:$J$15,0)),-1)=-1,"status '"&amp;K213&amp;"' is not a CONTRACTS status",IF(AND(K213="paid",COUNTIF(paid_brands!$AC$2:$AC$51,J213)=0),"status paid but no paid_brands row"&amp;IF(M213="N"," and no tracker row",""),IF(AND(IFERROR(INDEX(Lists!$K$2:$K$15,MATCH(K213,Lists!$J$2:$J$15,0)),-1)&gt;=6,M213="N"),"status "&amp;K213&amp;" but no tracker row",IF(AND(L213="Y",K213&lt;&gt;"do_not_contact"),"do_not_contact = Y but status is "&amp;K213,IF(AND(K213="do_not_contact",L213&lt;&gt;"Y"),"status do_not_contact but do_not_contact is not Y",""))))))</f>
        <v/>
      </c>
    </row>
    <row r="214" customFormat="false" ht="15" hidden="false" customHeight="false" outlineLevel="0" collapsed="false">
      <c r="B214" s="23" t="n">
        <v>193</v>
      </c>
      <c r="C214" s="23" t="str">
        <f aca="false">IFERROR(INDEX(Clay_Offices!$A$2:$FZ$601,B214,$C$5)&amp;"","")</f>
        <v/>
      </c>
      <c r="D214" s="23" t="str">
        <f aca="false">IFERROR(INDEX(Clay_Offices!$A$2:$FZ$601,B214,$C$7)&amp;"","")</f>
        <v/>
      </c>
      <c r="E214" s="23" t="str">
        <f aca="false">IFERROR(INDEX(Clay_Offices!$A$2:$FZ$601,B214,$C$8)&amp;"","")</f>
        <v/>
      </c>
      <c r="F214" s="23" t="str">
        <f aca="false">IF(C214="","",IF(COUNTIF(Office_Log!$A$2:$A$201,C214)&gt;0,"Y","N"))</f>
        <v/>
      </c>
      <c r="G214" s="34" t="str">
        <f aca="false">IF(OR(C214="",AND(LEFT(C214,6)="SAMPLE",Config!$B$19&lt;&gt;"Y")),"",IF(IFERROR(INDEX(Lists!$K$2:$K$15,MATCH(D214,Lists!$J$2:$J$15,0)),-1)=-1,"status '"&amp;D214&amp;"' is not a CONTRACTS status",IF(AND(D214="signed",COUNTIF(signed_offices!$W$2:$W$51,C214)=0),"status signed but no signed_offices row"&amp;IF(F214="N"," and no tracker row",""),IF(AND(IFERROR(INDEX(Lists!$K$2:$K$15,MATCH(D214,Lists!$J$2:$J$15,0)),-1)&gt;=6,F214="N"),"status "&amp;D214&amp;" but no tracker row",IF(AND(E214="Y",D214&lt;&gt;"do_not_contact"),"do_not_contact = Y but status is "&amp;D214,IF(AND(D214="do_not_contact",E214&lt;&gt;"Y"),"status do_not_contact but do_not_contact is not Y",""))))))</f>
        <v/>
      </c>
      <c r="I214" s="23" t="n">
        <v>193</v>
      </c>
      <c r="J214" s="23" t="str">
        <f aca="false">IFERROR(INDEX(Clay_Brands!$A$2:$FZ$601,I214,$D$5)&amp;"","")</f>
        <v/>
      </c>
      <c r="K214" s="23" t="str">
        <f aca="false">IFERROR(INDEX(Clay_Brands!$A$2:$FZ$601,I214,$D$7)&amp;"","")</f>
        <v/>
      </c>
      <c r="L214" s="23" t="str">
        <f aca="false">IFERROR(INDEX(Clay_Brands!$A$2:$FZ$601,I214,$D$8)&amp;"","")</f>
        <v/>
      </c>
      <c r="M214" s="23" t="str">
        <f aca="false">IF(J214="","",IF(COUNTIF(Brand_Log!$A$2:$A$201,J214)&gt;0,"Y","N"))</f>
        <v/>
      </c>
      <c r="N214" s="34" t="str">
        <f aca="false">IF(OR(J214="",AND(LEFT(J214,6)="SAMPLE",Config!$B$19&lt;&gt;"Y")),"",IF(IFERROR(INDEX(Lists!$K$2:$K$15,MATCH(K214,Lists!$J$2:$J$15,0)),-1)=-1,"status '"&amp;K214&amp;"' is not a CONTRACTS status",IF(AND(K214="paid",COUNTIF(paid_brands!$AC$2:$AC$51,J214)=0),"status paid but no paid_brands row"&amp;IF(M214="N"," and no tracker row",""),IF(AND(IFERROR(INDEX(Lists!$K$2:$K$15,MATCH(K214,Lists!$J$2:$J$15,0)),-1)&gt;=6,M214="N"),"status "&amp;K214&amp;" but no tracker row",IF(AND(L214="Y",K214&lt;&gt;"do_not_contact"),"do_not_contact = Y but status is "&amp;K214,IF(AND(K214="do_not_contact",L214&lt;&gt;"Y"),"status do_not_contact but do_not_contact is not Y",""))))))</f>
        <v/>
      </c>
    </row>
    <row r="215" customFormat="false" ht="15" hidden="false" customHeight="false" outlineLevel="0" collapsed="false">
      <c r="B215" s="23" t="n">
        <v>194</v>
      </c>
      <c r="C215" s="23" t="str">
        <f aca="false">IFERROR(INDEX(Clay_Offices!$A$2:$FZ$601,B215,$C$5)&amp;"","")</f>
        <v/>
      </c>
      <c r="D215" s="23" t="str">
        <f aca="false">IFERROR(INDEX(Clay_Offices!$A$2:$FZ$601,B215,$C$7)&amp;"","")</f>
        <v/>
      </c>
      <c r="E215" s="23" t="str">
        <f aca="false">IFERROR(INDEX(Clay_Offices!$A$2:$FZ$601,B215,$C$8)&amp;"","")</f>
        <v/>
      </c>
      <c r="F215" s="23" t="str">
        <f aca="false">IF(C215="","",IF(COUNTIF(Office_Log!$A$2:$A$201,C215)&gt;0,"Y","N"))</f>
        <v/>
      </c>
      <c r="G215" s="34" t="str">
        <f aca="false">IF(OR(C215="",AND(LEFT(C215,6)="SAMPLE",Config!$B$19&lt;&gt;"Y")),"",IF(IFERROR(INDEX(Lists!$K$2:$K$15,MATCH(D215,Lists!$J$2:$J$15,0)),-1)=-1,"status '"&amp;D215&amp;"' is not a CONTRACTS status",IF(AND(D215="signed",COUNTIF(signed_offices!$W$2:$W$51,C215)=0),"status signed but no signed_offices row"&amp;IF(F215="N"," and no tracker row",""),IF(AND(IFERROR(INDEX(Lists!$K$2:$K$15,MATCH(D215,Lists!$J$2:$J$15,0)),-1)&gt;=6,F215="N"),"status "&amp;D215&amp;" but no tracker row",IF(AND(E215="Y",D215&lt;&gt;"do_not_contact"),"do_not_contact = Y but status is "&amp;D215,IF(AND(D215="do_not_contact",E215&lt;&gt;"Y"),"status do_not_contact but do_not_contact is not Y",""))))))</f>
        <v/>
      </c>
      <c r="I215" s="23" t="n">
        <v>194</v>
      </c>
      <c r="J215" s="23" t="str">
        <f aca="false">IFERROR(INDEX(Clay_Brands!$A$2:$FZ$601,I215,$D$5)&amp;"","")</f>
        <v/>
      </c>
      <c r="K215" s="23" t="str">
        <f aca="false">IFERROR(INDEX(Clay_Brands!$A$2:$FZ$601,I215,$D$7)&amp;"","")</f>
        <v/>
      </c>
      <c r="L215" s="23" t="str">
        <f aca="false">IFERROR(INDEX(Clay_Brands!$A$2:$FZ$601,I215,$D$8)&amp;"","")</f>
        <v/>
      </c>
      <c r="M215" s="23" t="str">
        <f aca="false">IF(J215="","",IF(COUNTIF(Brand_Log!$A$2:$A$201,J215)&gt;0,"Y","N"))</f>
        <v/>
      </c>
      <c r="N215" s="34" t="str">
        <f aca="false">IF(OR(J215="",AND(LEFT(J215,6)="SAMPLE",Config!$B$19&lt;&gt;"Y")),"",IF(IFERROR(INDEX(Lists!$K$2:$K$15,MATCH(K215,Lists!$J$2:$J$15,0)),-1)=-1,"status '"&amp;K215&amp;"' is not a CONTRACTS status",IF(AND(K215="paid",COUNTIF(paid_brands!$AC$2:$AC$51,J215)=0),"status paid but no paid_brands row"&amp;IF(M215="N"," and no tracker row",""),IF(AND(IFERROR(INDEX(Lists!$K$2:$K$15,MATCH(K215,Lists!$J$2:$J$15,0)),-1)&gt;=6,M215="N"),"status "&amp;K215&amp;" but no tracker row",IF(AND(L215="Y",K215&lt;&gt;"do_not_contact"),"do_not_contact = Y but status is "&amp;K215,IF(AND(K215="do_not_contact",L215&lt;&gt;"Y"),"status do_not_contact but do_not_contact is not Y",""))))))</f>
        <v/>
      </c>
    </row>
    <row r="216" customFormat="false" ht="15" hidden="false" customHeight="false" outlineLevel="0" collapsed="false">
      <c r="B216" s="23" t="n">
        <v>195</v>
      </c>
      <c r="C216" s="23" t="str">
        <f aca="false">IFERROR(INDEX(Clay_Offices!$A$2:$FZ$601,B216,$C$5)&amp;"","")</f>
        <v/>
      </c>
      <c r="D216" s="23" t="str">
        <f aca="false">IFERROR(INDEX(Clay_Offices!$A$2:$FZ$601,B216,$C$7)&amp;"","")</f>
        <v/>
      </c>
      <c r="E216" s="23" t="str">
        <f aca="false">IFERROR(INDEX(Clay_Offices!$A$2:$FZ$601,B216,$C$8)&amp;"","")</f>
        <v/>
      </c>
      <c r="F216" s="23" t="str">
        <f aca="false">IF(C216="","",IF(COUNTIF(Office_Log!$A$2:$A$201,C216)&gt;0,"Y","N"))</f>
        <v/>
      </c>
      <c r="G216" s="34" t="str">
        <f aca="false">IF(OR(C216="",AND(LEFT(C216,6)="SAMPLE",Config!$B$19&lt;&gt;"Y")),"",IF(IFERROR(INDEX(Lists!$K$2:$K$15,MATCH(D216,Lists!$J$2:$J$15,0)),-1)=-1,"status '"&amp;D216&amp;"' is not a CONTRACTS status",IF(AND(D216="signed",COUNTIF(signed_offices!$W$2:$W$51,C216)=0),"status signed but no signed_offices row"&amp;IF(F216="N"," and no tracker row",""),IF(AND(IFERROR(INDEX(Lists!$K$2:$K$15,MATCH(D216,Lists!$J$2:$J$15,0)),-1)&gt;=6,F216="N"),"status "&amp;D216&amp;" but no tracker row",IF(AND(E216="Y",D216&lt;&gt;"do_not_contact"),"do_not_contact = Y but status is "&amp;D216,IF(AND(D216="do_not_contact",E216&lt;&gt;"Y"),"status do_not_contact but do_not_contact is not Y",""))))))</f>
        <v/>
      </c>
      <c r="I216" s="23" t="n">
        <v>195</v>
      </c>
      <c r="J216" s="23" t="str">
        <f aca="false">IFERROR(INDEX(Clay_Brands!$A$2:$FZ$601,I216,$D$5)&amp;"","")</f>
        <v/>
      </c>
      <c r="K216" s="23" t="str">
        <f aca="false">IFERROR(INDEX(Clay_Brands!$A$2:$FZ$601,I216,$D$7)&amp;"","")</f>
        <v/>
      </c>
      <c r="L216" s="23" t="str">
        <f aca="false">IFERROR(INDEX(Clay_Brands!$A$2:$FZ$601,I216,$D$8)&amp;"","")</f>
        <v/>
      </c>
      <c r="M216" s="23" t="str">
        <f aca="false">IF(J216="","",IF(COUNTIF(Brand_Log!$A$2:$A$201,J216)&gt;0,"Y","N"))</f>
        <v/>
      </c>
      <c r="N216" s="34" t="str">
        <f aca="false">IF(OR(J216="",AND(LEFT(J216,6)="SAMPLE",Config!$B$19&lt;&gt;"Y")),"",IF(IFERROR(INDEX(Lists!$K$2:$K$15,MATCH(K216,Lists!$J$2:$J$15,0)),-1)=-1,"status '"&amp;K216&amp;"' is not a CONTRACTS status",IF(AND(K216="paid",COUNTIF(paid_brands!$AC$2:$AC$51,J216)=0),"status paid but no paid_brands row"&amp;IF(M216="N"," and no tracker row",""),IF(AND(IFERROR(INDEX(Lists!$K$2:$K$15,MATCH(K216,Lists!$J$2:$J$15,0)),-1)&gt;=6,M216="N"),"status "&amp;K216&amp;" but no tracker row",IF(AND(L216="Y",K216&lt;&gt;"do_not_contact"),"do_not_contact = Y but status is "&amp;K216,IF(AND(K216="do_not_contact",L216&lt;&gt;"Y"),"status do_not_contact but do_not_contact is not Y",""))))))</f>
        <v/>
      </c>
    </row>
    <row r="217" customFormat="false" ht="15" hidden="false" customHeight="false" outlineLevel="0" collapsed="false">
      <c r="B217" s="23" t="n">
        <v>196</v>
      </c>
      <c r="C217" s="23" t="str">
        <f aca="false">IFERROR(INDEX(Clay_Offices!$A$2:$FZ$601,B217,$C$5)&amp;"","")</f>
        <v/>
      </c>
      <c r="D217" s="23" t="str">
        <f aca="false">IFERROR(INDEX(Clay_Offices!$A$2:$FZ$601,B217,$C$7)&amp;"","")</f>
        <v/>
      </c>
      <c r="E217" s="23" t="str">
        <f aca="false">IFERROR(INDEX(Clay_Offices!$A$2:$FZ$601,B217,$C$8)&amp;"","")</f>
        <v/>
      </c>
      <c r="F217" s="23" t="str">
        <f aca="false">IF(C217="","",IF(COUNTIF(Office_Log!$A$2:$A$201,C217)&gt;0,"Y","N"))</f>
        <v/>
      </c>
      <c r="G217" s="34" t="str">
        <f aca="false">IF(OR(C217="",AND(LEFT(C217,6)="SAMPLE",Config!$B$19&lt;&gt;"Y")),"",IF(IFERROR(INDEX(Lists!$K$2:$K$15,MATCH(D217,Lists!$J$2:$J$15,0)),-1)=-1,"status '"&amp;D217&amp;"' is not a CONTRACTS status",IF(AND(D217="signed",COUNTIF(signed_offices!$W$2:$W$51,C217)=0),"status signed but no signed_offices row"&amp;IF(F217="N"," and no tracker row",""),IF(AND(IFERROR(INDEX(Lists!$K$2:$K$15,MATCH(D217,Lists!$J$2:$J$15,0)),-1)&gt;=6,F217="N"),"status "&amp;D217&amp;" but no tracker row",IF(AND(E217="Y",D217&lt;&gt;"do_not_contact"),"do_not_contact = Y but status is "&amp;D217,IF(AND(D217="do_not_contact",E217&lt;&gt;"Y"),"status do_not_contact but do_not_contact is not Y",""))))))</f>
        <v/>
      </c>
      <c r="I217" s="23" t="n">
        <v>196</v>
      </c>
      <c r="J217" s="23" t="str">
        <f aca="false">IFERROR(INDEX(Clay_Brands!$A$2:$FZ$601,I217,$D$5)&amp;"","")</f>
        <v/>
      </c>
      <c r="K217" s="23" t="str">
        <f aca="false">IFERROR(INDEX(Clay_Brands!$A$2:$FZ$601,I217,$D$7)&amp;"","")</f>
        <v/>
      </c>
      <c r="L217" s="23" t="str">
        <f aca="false">IFERROR(INDEX(Clay_Brands!$A$2:$FZ$601,I217,$D$8)&amp;"","")</f>
        <v/>
      </c>
      <c r="M217" s="23" t="str">
        <f aca="false">IF(J217="","",IF(COUNTIF(Brand_Log!$A$2:$A$201,J217)&gt;0,"Y","N"))</f>
        <v/>
      </c>
      <c r="N217" s="34" t="str">
        <f aca="false">IF(OR(J217="",AND(LEFT(J217,6)="SAMPLE",Config!$B$19&lt;&gt;"Y")),"",IF(IFERROR(INDEX(Lists!$K$2:$K$15,MATCH(K217,Lists!$J$2:$J$15,0)),-1)=-1,"status '"&amp;K217&amp;"' is not a CONTRACTS status",IF(AND(K217="paid",COUNTIF(paid_brands!$AC$2:$AC$51,J217)=0),"status paid but no paid_brands row"&amp;IF(M217="N"," and no tracker row",""),IF(AND(IFERROR(INDEX(Lists!$K$2:$K$15,MATCH(K217,Lists!$J$2:$J$15,0)),-1)&gt;=6,M217="N"),"status "&amp;K217&amp;" but no tracker row",IF(AND(L217="Y",K217&lt;&gt;"do_not_contact"),"do_not_contact = Y but status is "&amp;K217,IF(AND(K217="do_not_contact",L217&lt;&gt;"Y"),"status do_not_contact but do_not_contact is not Y",""))))))</f>
        <v/>
      </c>
    </row>
    <row r="218" customFormat="false" ht="15" hidden="false" customHeight="false" outlineLevel="0" collapsed="false">
      <c r="B218" s="23" t="n">
        <v>197</v>
      </c>
      <c r="C218" s="23" t="str">
        <f aca="false">IFERROR(INDEX(Clay_Offices!$A$2:$FZ$601,B218,$C$5)&amp;"","")</f>
        <v/>
      </c>
      <c r="D218" s="23" t="str">
        <f aca="false">IFERROR(INDEX(Clay_Offices!$A$2:$FZ$601,B218,$C$7)&amp;"","")</f>
        <v/>
      </c>
      <c r="E218" s="23" t="str">
        <f aca="false">IFERROR(INDEX(Clay_Offices!$A$2:$FZ$601,B218,$C$8)&amp;"","")</f>
        <v/>
      </c>
      <c r="F218" s="23" t="str">
        <f aca="false">IF(C218="","",IF(COUNTIF(Office_Log!$A$2:$A$201,C218)&gt;0,"Y","N"))</f>
        <v/>
      </c>
      <c r="G218" s="34" t="str">
        <f aca="false">IF(OR(C218="",AND(LEFT(C218,6)="SAMPLE",Config!$B$19&lt;&gt;"Y")),"",IF(IFERROR(INDEX(Lists!$K$2:$K$15,MATCH(D218,Lists!$J$2:$J$15,0)),-1)=-1,"status '"&amp;D218&amp;"' is not a CONTRACTS status",IF(AND(D218="signed",COUNTIF(signed_offices!$W$2:$W$51,C218)=0),"status signed but no signed_offices row"&amp;IF(F218="N"," and no tracker row",""),IF(AND(IFERROR(INDEX(Lists!$K$2:$K$15,MATCH(D218,Lists!$J$2:$J$15,0)),-1)&gt;=6,F218="N"),"status "&amp;D218&amp;" but no tracker row",IF(AND(E218="Y",D218&lt;&gt;"do_not_contact"),"do_not_contact = Y but status is "&amp;D218,IF(AND(D218="do_not_contact",E218&lt;&gt;"Y"),"status do_not_contact but do_not_contact is not Y",""))))))</f>
        <v/>
      </c>
      <c r="I218" s="23" t="n">
        <v>197</v>
      </c>
      <c r="J218" s="23" t="str">
        <f aca="false">IFERROR(INDEX(Clay_Brands!$A$2:$FZ$601,I218,$D$5)&amp;"","")</f>
        <v/>
      </c>
      <c r="K218" s="23" t="str">
        <f aca="false">IFERROR(INDEX(Clay_Brands!$A$2:$FZ$601,I218,$D$7)&amp;"","")</f>
        <v/>
      </c>
      <c r="L218" s="23" t="str">
        <f aca="false">IFERROR(INDEX(Clay_Brands!$A$2:$FZ$601,I218,$D$8)&amp;"","")</f>
        <v/>
      </c>
      <c r="M218" s="23" t="str">
        <f aca="false">IF(J218="","",IF(COUNTIF(Brand_Log!$A$2:$A$201,J218)&gt;0,"Y","N"))</f>
        <v/>
      </c>
      <c r="N218" s="34" t="str">
        <f aca="false">IF(OR(J218="",AND(LEFT(J218,6)="SAMPLE",Config!$B$19&lt;&gt;"Y")),"",IF(IFERROR(INDEX(Lists!$K$2:$K$15,MATCH(K218,Lists!$J$2:$J$15,0)),-1)=-1,"status '"&amp;K218&amp;"' is not a CONTRACTS status",IF(AND(K218="paid",COUNTIF(paid_brands!$AC$2:$AC$51,J218)=0),"status paid but no paid_brands row"&amp;IF(M218="N"," and no tracker row",""),IF(AND(IFERROR(INDEX(Lists!$K$2:$K$15,MATCH(K218,Lists!$J$2:$J$15,0)),-1)&gt;=6,M218="N"),"status "&amp;K218&amp;" but no tracker row",IF(AND(L218="Y",K218&lt;&gt;"do_not_contact"),"do_not_contact = Y but status is "&amp;K218,IF(AND(K218="do_not_contact",L218&lt;&gt;"Y"),"status do_not_contact but do_not_contact is not Y",""))))))</f>
        <v/>
      </c>
    </row>
    <row r="219" customFormat="false" ht="15" hidden="false" customHeight="false" outlineLevel="0" collapsed="false">
      <c r="B219" s="23" t="n">
        <v>198</v>
      </c>
      <c r="C219" s="23" t="str">
        <f aca="false">IFERROR(INDEX(Clay_Offices!$A$2:$FZ$601,B219,$C$5)&amp;"","")</f>
        <v/>
      </c>
      <c r="D219" s="23" t="str">
        <f aca="false">IFERROR(INDEX(Clay_Offices!$A$2:$FZ$601,B219,$C$7)&amp;"","")</f>
        <v/>
      </c>
      <c r="E219" s="23" t="str">
        <f aca="false">IFERROR(INDEX(Clay_Offices!$A$2:$FZ$601,B219,$C$8)&amp;"","")</f>
        <v/>
      </c>
      <c r="F219" s="23" t="str">
        <f aca="false">IF(C219="","",IF(COUNTIF(Office_Log!$A$2:$A$201,C219)&gt;0,"Y","N"))</f>
        <v/>
      </c>
      <c r="G219" s="34" t="str">
        <f aca="false">IF(OR(C219="",AND(LEFT(C219,6)="SAMPLE",Config!$B$19&lt;&gt;"Y")),"",IF(IFERROR(INDEX(Lists!$K$2:$K$15,MATCH(D219,Lists!$J$2:$J$15,0)),-1)=-1,"status '"&amp;D219&amp;"' is not a CONTRACTS status",IF(AND(D219="signed",COUNTIF(signed_offices!$W$2:$W$51,C219)=0),"status signed but no signed_offices row"&amp;IF(F219="N"," and no tracker row",""),IF(AND(IFERROR(INDEX(Lists!$K$2:$K$15,MATCH(D219,Lists!$J$2:$J$15,0)),-1)&gt;=6,F219="N"),"status "&amp;D219&amp;" but no tracker row",IF(AND(E219="Y",D219&lt;&gt;"do_not_contact"),"do_not_contact = Y but status is "&amp;D219,IF(AND(D219="do_not_contact",E219&lt;&gt;"Y"),"status do_not_contact but do_not_contact is not Y",""))))))</f>
        <v/>
      </c>
      <c r="I219" s="23" t="n">
        <v>198</v>
      </c>
      <c r="J219" s="23" t="str">
        <f aca="false">IFERROR(INDEX(Clay_Brands!$A$2:$FZ$601,I219,$D$5)&amp;"","")</f>
        <v/>
      </c>
      <c r="K219" s="23" t="str">
        <f aca="false">IFERROR(INDEX(Clay_Brands!$A$2:$FZ$601,I219,$D$7)&amp;"","")</f>
        <v/>
      </c>
      <c r="L219" s="23" t="str">
        <f aca="false">IFERROR(INDEX(Clay_Brands!$A$2:$FZ$601,I219,$D$8)&amp;"","")</f>
        <v/>
      </c>
      <c r="M219" s="23" t="str">
        <f aca="false">IF(J219="","",IF(COUNTIF(Brand_Log!$A$2:$A$201,J219)&gt;0,"Y","N"))</f>
        <v/>
      </c>
      <c r="N219" s="34" t="str">
        <f aca="false">IF(OR(J219="",AND(LEFT(J219,6)="SAMPLE",Config!$B$19&lt;&gt;"Y")),"",IF(IFERROR(INDEX(Lists!$K$2:$K$15,MATCH(K219,Lists!$J$2:$J$15,0)),-1)=-1,"status '"&amp;K219&amp;"' is not a CONTRACTS status",IF(AND(K219="paid",COUNTIF(paid_brands!$AC$2:$AC$51,J219)=0),"status paid but no paid_brands row"&amp;IF(M219="N"," and no tracker row",""),IF(AND(IFERROR(INDEX(Lists!$K$2:$K$15,MATCH(K219,Lists!$J$2:$J$15,0)),-1)&gt;=6,M219="N"),"status "&amp;K219&amp;" but no tracker row",IF(AND(L219="Y",K219&lt;&gt;"do_not_contact"),"do_not_contact = Y but status is "&amp;K219,IF(AND(K219="do_not_contact",L219&lt;&gt;"Y"),"status do_not_contact but do_not_contact is not Y",""))))))</f>
        <v/>
      </c>
    </row>
    <row r="220" customFormat="false" ht="15" hidden="false" customHeight="false" outlineLevel="0" collapsed="false">
      <c r="B220" s="23" t="n">
        <v>199</v>
      </c>
      <c r="C220" s="23" t="str">
        <f aca="false">IFERROR(INDEX(Clay_Offices!$A$2:$FZ$601,B220,$C$5)&amp;"","")</f>
        <v/>
      </c>
      <c r="D220" s="23" t="str">
        <f aca="false">IFERROR(INDEX(Clay_Offices!$A$2:$FZ$601,B220,$C$7)&amp;"","")</f>
        <v/>
      </c>
      <c r="E220" s="23" t="str">
        <f aca="false">IFERROR(INDEX(Clay_Offices!$A$2:$FZ$601,B220,$C$8)&amp;"","")</f>
        <v/>
      </c>
      <c r="F220" s="23" t="str">
        <f aca="false">IF(C220="","",IF(COUNTIF(Office_Log!$A$2:$A$201,C220)&gt;0,"Y","N"))</f>
        <v/>
      </c>
      <c r="G220" s="34" t="str">
        <f aca="false">IF(OR(C220="",AND(LEFT(C220,6)="SAMPLE",Config!$B$19&lt;&gt;"Y")),"",IF(IFERROR(INDEX(Lists!$K$2:$K$15,MATCH(D220,Lists!$J$2:$J$15,0)),-1)=-1,"status '"&amp;D220&amp;"' is not a CONTRACTS status",IF(AND(D220="signed",COUNTIF(signed_offices!$W$2:$W$51,C220)=0),"status signed but no signed_offices row"&amp;IF(F220="N"," and no tracker row",""),IF(AND(IFERROR(INDEX(Lists!$K$2:$K$15,MATCH(D220,Lists!$J$2:$J$15,0)),-1)&gt;=6,F220="N"),"status "&amp;D220&amp;" but no tracker row",IF(AND(E220="Y",D220&lt;&gt;"do_not_contact"),"do_not_contact = Y but status is "&amp;D220,IF(AND(D220="do_not_contact",E220&lt;&gt;"Y"),"status do_not_contact but do_not_contact is not Y",""))))))</f>
        <v/>
      </c>
      <c r="I220" s="23" t="n">
        <v>199</v>
      </c>
      <c r="J220" s="23" t="str">
        <f aca="false">IFERROR(INDEX(Clay_Brands!$A$2:$FZ$601,I220,$D$5)&amp;"","")</f>
        <v/>
      </c>
      <c r="K220" s="23" t="str">
        <f aca="false">IFERROR(INDEX(Clay_Brands!$A$2:$FZ$601,I220,$D$7)&amp;"","")</f>
        <v/>
      </c>
      <c r="L220" s="23" t="str">
        <f aca="false">IFERROR(INDEX(Clay_Brands!$A$2:$FZ$601,I220,$D$8)&amp;"","")</f>
        <v/>
      </c>
      <c r="M220" s="23" t="str">
        <f aca="false">IF(J220="","",IF(COUNTIF(Brand_Log!$A$2:$A$201,J220)&gt;0,"Y","N"))</f>
        <v/>
      </c>
      <c r="N220" s="34" t="str">
        <f aca="false">IF(OR(J220="",AND(LEFT(J220,6)="SAMPLE",Config!$B$19&lt;&gt;"Y")),"",IF(IFERROR(INDEX(Lists!$K$2:$K$15,MATCH(K220,Lists!$J$2:$J$15,0)),-1)=-1,"status '"&amp;K220&amp;"' is not a CONTRACTS status",IF(AND(K220="paid",COUNTIF(paid_brands!$AC$2:$AC$51,J220)=0),"status paid but no paid_brands row"&amp;IF(M220="N"," and no tracker row",""),IF(AND(IFERROR(INDEX(Lists!$K$2:$K$15,MATCH(K220,Lists!$J$2:$J$15,0)),-1)&gt;=6,M220="N"),"status "&amp;K220&amp;" but no tracker row",IF(AND(L220="Y",K220&lt;&gt;"do_not_contact"),"do_not_contact = Y but status is "&amp;K220,IF(AND(K220="do_not_contact",L220&lt;&gt;"Y"),"status do_not_contact but do_not_contact is not Y",""))))))</f>
        <v/>
      </c>
    </row>
    <row r="221" customFormat="false" ht="15" hidden="false" customHeight="false" outlineLevel="0" collapsed="false">
      <c r="B221" s="23" t="n">
        <v>200</v>
      </c>
      <c r="C221" s="23" t="str">
        <f aca="false">IFERROR(INDEX(Clay_Offices!$A$2:$FZ$601,B221,$C$5)&amp;"","")</f>
        <v/>
      </c>
      <c r="D221" s="23" t="str">
        <f aca="false">IFERROR(INDEX(Clay_Offices!$A$2:$FZ$601,B221,$C$7)&amp;"","")</f>
        <v/>
      </c>
      <c r="E221" s="23" t="str">
        <f aca="false">IFERROR(INDEX(Clay_Offices!$A$2:$FZ$601,B221,$C$8)&amp;"","")</f>
        <v/>
      </c>
      <c r="F221" s="23" t="str">
        <f aca="false">IF(C221="","",IF(COUNTIF(Office_Log!$A$2:$A$201,C221)&gt;0,"Y","N"))</f>
        <v/>
      </c>
      <c r="G221" s="34" t="str">
        <f aca="false">IF(OR(C221="",AND(LEFT(C221,6)="SAMPLE",Config!$B$19&lt;&gt;"Y")),"",IF(IFERROR(INDEX(Lists!$K$2:$K$15,MATCH(D221,Lists!$J$2:$J$15,0)),-1)=-1,"status '"&amp;D221&amp;"' is not a CONTRACTS status",IF(AND(D221="signed",COUNTIF(signed_offices!$W$2:$W$51,C221)=0),"status signed but no signed_offices row"&amp;IF(F221="N"," and no tracker row",""),IF(AND(IFERROR(INDEX(Lists!$K$2:$K$15,MATCH(D221,Lists!$J$2:$J$15,0)),-1)&gt;=6,F221="N"),"status "&amp;D221&amp;" but no tracker row",IF(AND(E221="Y",D221&lt;&gt;"do_not_contact"),"do_not_contact = Y but status is "&amp;D221,IF(AND(D221="do_not_contact",E221&lt;&gt;"Y"),"status do_not_contact but do_not_contact is not Y",""))))))</f>
        <v/>
      </c>
      <c r="I221" s="23" t="n">
        <v>200</v>
      </c>
      <c r="J221" s="23" t="str">
        <f aca="false">IFERROR(INDEX(Clay_Brands!$A$2:$FZ$601,I221,$D$5)&amp;"","")</f>
        <v/>
      </c>
      <c r="K221" s="23" t="str">
        <f aca="false">IFERROR(INDEX(Clay_Brands!$A$2:$FZ$601,I221,$D$7)&amp;"","")</f>
        <v/>
      </c>
      <c r="L221" s="23" t="str">
        <f aca="false">IFERROR(INDEX(Clay_Brands!$A$2:$FZ$601,I221,$D$8)&amp;"","")</f>
        <v/>
      </c>
      <c r="M221" s="23" t="str">
        <f aca="false">IF(J221="","",IF(COUNTIF(Brand_Log!$A$2:$A$201,J221)&gt;0,"Y","N"))</f>
        <v/>
      </c>
      <c r="N221" s="34" t="str">
        <f aca="false">IF(OR(J221="",AND(LEFT(J221,6)="SAMPLE",Config!$B$19&lt;&gt;"Y")),"",IF(IFERROR(INDEX(Lists!$K$2:$K$15,MATCH(K221,Lists!$J$2:$J$15,0)),-1)=-1,"status '"&amp;K221&amp;"' is not a CONTRACTS status",IF(AND(K221="paid",COUNTIF(paid_brands!$AC$2:$AC$51,J221)=0),"status paid but no paid_brands row"&amp;IF(M221="N"," and no tracker row",""),IF(AND(IFERROR(INDEX(Lists!$K$2:$K$15,MATCH(K221,Lists!$J$2:$J$15,0)),-1)&gt;=6,M221="N"),"status "&amp;K221&amp;" but no tracker row",IF(AND(L221="Y",K221&lt;&gt;"do_not_contact"),"do_not_contact = Y but status is "&amp;K221,IF(AND(K221="do_not_contact",L221&lt;&gt;"Y"),"status do_not_contact but do_not_contact is not Y",""))))))</f>
        <v/>
      </c>
    </row>
    <row r="222" customFormat="false" ht="15" hidden="false" customHeight="false" outlineLevel="0" collapsed="false">
      <c r="B222" s="23" t="n">
        <v>201</v>
      </c>
      <c r="C222" s="23" t="str">
        <f aca="false">IFERROR(INDEX(Clay_Offices!$A$2:$FZ$601,B222,$C$5)&amp;"","")</f>
        <v/>
      </c>
      <c r="D222" s="23" t="str">
        <f aca="false">IFERROR(INDEX(Clay_Offices!$A$2:$FZ$601,B222,$C$7)&amp;"","")</f>
        <v/>
      </c>
      <c r="E222" s="23" t="str">
        <f aca="false">IFERROR(INDEX(Clay_Offices!$A$2:$FZ$601,B222,$C$8)&amp;"","")</f>
        <v/>
      </c>
      <c r="F222" s="23" t="str">
        <f aca="false">IF(C222="","",IF(COUNTIF(Office_Log!$A$2:$A$201,C222)&gt;0,"Y","N"))</f>
        <v/>
      </c>
      <c r="G222" s="34" t="str">
        <f aca="false">IF(OR(C222="",AND(LEFT(C222,6)="SAMPLE",Config!$B$19&lt;&gt;"Y")),"",IF(IFERROR(INDEX(Lists!$K$2:$K$15,MATCH(D222,Lists!$J$2:$J$15,0)),-1)=-1,"status '"&amp;D222&amp;"' is not a CONTRACTS status",IF(AND(D222="signed",COUNTIF(signed_offices!$W$2:$W$51,C222)=0),"status signed but no signed_offices row"&amp;IF(F222="N"," and no tracker row",""),IF(AND(IFERROR(INDEX(Lists!$K$2:$K$15,MATCH(D222,Lists!$J$2:$J$15,0)),-1)&gt;=6,F222="N"),"status "&amp;D222&amp;" but no tracker row",IF(AND(E222="Y",D222&lt;&gt;"do_not_contact"),"do_not_contact = Y but status is "&amp;D222,IF(AND(D222="do_not_contact",E222&lt;&gt;"Y"),"status do_not_contact but do_not_contact is not Y",""))))))</f>
        <v/>
      </c>
      <c r="I222" s="23" t="n">
        <v>201</v>
      </c>
      <c r="J222" s="23" t="str">
        <f aca="false">IFERROR(INDEX(Clay_Brands!$A$2:$FZ$601,I222,$D$5)&amp;"","")</f>
        <v/>
      </c>
      <c r="K222" s="23" t="str">
        <f aca="false">IFERROR(INDEX(Clay_Brands!$A$2:$FZ$601,I222,$D$7)&amp;"","")</f>
        <v/>
      </c>
      <c r="L222" s="23" t="str">
        <f aca="false">IFERROR(INDEX(Clay_Brands!$A$2:$FZ$601,I222,$D$8)&amp;"","")</f>
        <v/>
      </c>
      <c r="M222" s="23" t="str">
        <f aca="false">IF(J222="","",IF(COUNTIF(Brand_Log!$A$2:$A$201,J222)&gt;0,"Y","N"))</f>
        <v/>
      </c>
      <c r="N222" s="34" t="str">
        <f aca="false">IF(OR(J222="",AND(LEFT(J222,6)="SAMPLE",Config!$B$19&lt;&gt;"Y")),"",IF(IFERROR(INDEX(Lists!$K$2:$K$15,MATCH(K222,Lists!$J$2:$J$15,0)),-1)=-1,"status '"&amp;K222&amp;"' is not a CONTRACTS status",IF(AND(K222="paid",COUNTIF(paid_brands!$AC$2:$AC$51,J222)=0),"status paid but no paid_brands row"&amp;IF(M222="N"," and no tracker row",""),IF(AND(IFERROR(INDEX(Lists!$K$2:$K$15,MATCH(K222,Lists!$J$2:$J$15,0)),-1)&gt;=6,M222="N"),"status "&amp;K222&amp;" but no tracker row",IF(AND(L222="Y",K222&lt;&gt;"do_not_contact"),"do_not_contact = Y but status is "&amp;K222,IF(AND(K222="do_not_contact",L222&lt;&gt;"Y"),"status do_not_contact but do_not_contact is not Y",""))))))</f>
        <v/>
      </c>
    </row>
    <row r="223" customFormat="false" ht="15" hidden="false" customHeight="false" outlineLevel="0" collapsed="false">
      <c r="B223" s="23" t="n">
        <v>202</v>
      </c>
      <c r="C223" s="23" t="str">
        <f aca="false">IFERROR(INDEX(Clay_Offices!$A$2:$FZ$601,B223,$C$5)&amp;"","")</f>
        <v/>
      </c>
      <c r="D223" s="23" t="str">
        <f aca="false">IFERROR(INDEX(Clay_Offices!$A$2:$FZ$601,B223,$C$7)&amp;"","")</f>
        <v/>
      </c>
      <c r="E223" s="23" t="str">
        <f aca="false">IFERROR(INDEX(Clay_Offices!$A$2:$FZ$601,B223,$C$8)&amp;"","")</f>
        <v/>
      </c>
      <c r="F223" s="23" t="str">
        <f aca="false">IF(C223="","",IF(COUNTIF(Office_Log!$A$2:$A$201,C223)&gt;0,"Y","N"))</f>
        <v/>
      </c>
      <c r="G223" s="34" t="str">
        <f aca="false">IF(OR(C223="",AND(LEFT(C223,6)="SAMPLE",Config!$B$19&lt;&gt;"Y")),"",IF(IFERROR(INDEX(Lists!$K$2:$K$15,MATCH(D223,Lists!$J$2:$J$15,0)),-1)=-1,"status '"&amp;D223&amp;"' is not a CONTRACTS status",IF(AND(D223="signed",COUNTIF(signed_offices!$W$2:$W$51,C223)=0),"status signed but no signed_offices row"&amp;IF(F223="N"," and no tracker row",""),IF(AND(IFERROR(INDEX(Lists!$K$2:$K$15,MATCH(D223,Lists!$J$2:$J$15,0)),-1)&gt;=6,F223="N"),"status "&amp;D223&amp;" but no tracker row",IF(AND(E223="Y",D223&lt;&gt;"do_not_contact"),"do_not_contact = Y but status is "&amp;D223,IF(AND(D223="do_not_contact",E223&lt;&gt;"Y"),"status do_not_contact but do_not_contact is not Y",""))))))</f>
        <v/>
      </c>
      <c r="I223" s="23" t="n">
        <v>202</v>
      </c>
      <c r="J223" s="23" t="str">
        <f aca="false">IFERROR(INDEX(Clay_Brands!$A$2:$FZ$601,I223,$D$5)&amp;"","")</f>
        <v/>
      </c>
      <c r="K223" s="23" t="str">
        <f aca="false">IFERROR(INDEX(Clay_Brands!$A$2:$FZ$601,I223,$D$7)&amp;"","")</f>
        <v/>
      </c>
      <c r="L223" s="23" t="str">
        <f aca="false">IFERROR(INDEX(Clay_Brands!$A$2:$FZ$601,I223,$D$8)&amp;"","")</f>
        <v/>
      </c>
      <c r="M223" s="23" t="str">
        <f aca="false">IF(J223="","",IF(COUNTIF(Brand_Log!$A$2:$A$201,J223)&gt;0,"Y","N"))</f>
        <v/>
      </c>
      <c r="N223" s="34" t="str">
        <f aca="false">IF(OR(J223="",AND(LEFT(J223,6)="SAMPLE",Config!$B$19&lt;&gt;"Y")),"",IF(IFERROR(INDEX(Lists!$K$2:$K$15,MATCH(K223,Lists!$J$2:$J$15,0)),-1)=-1,"status '"&amp;K223&amp;"' is not a CONTRACTS status",IF(AND(K223="paid",COUNTIF(paid_brands!$AC$2:$AC$51,J223)=0),"status paid but no paid_brands row"&amp;IF(M223="N"," and no tracker row",""),IF(AND(IFERROR(INDEX(Lists!$K$2:$K$15,MATCH(K223,Lists!$J$2:$J$15,0)),-1)&gt;=6,M223="N"),"status "&amp;K223&amp;" but no tracker row",IF(AND(L223="Y",K223&lt;&gt;"do_not_contact"),"do_not_contact = Y but status is "&amp;K223,IF(AND(K223="do_not_contact",L223&lt;&gt;"Y"),"status do_not_contact but do_not_contact is not Y",""))))))</f>
        <v/>
      </c>
    </row>
    <row r="224" customFormat="false" ht="15" hidden="false" customHeight="false" outlineLevel="0" collapsed="false">
      <c r="B224" s="23" t="n">
        <v>203</v>
      </c>
      <c r="C224" s="23" t="str">
        <f aca="false">IFERROR(INDEX(Clay_Offices!$A$2:$FZ$601,B224,$C$5)&amp;"","")</f>
        <v/>
      </c>
      <c r="D224" s="23" t="str">
        <f aca="false">IFERROR(INDEX(Clay_Offices!$A$2:$FZ$601,B224,$C$7)&amp;"","")</f>
        <v/>
      </c>
      <c r="E224" s="23" t="str">
        <f aca="false">IFERROR(INDEX(Clay_Offices!$A$2:$FZ$601,B224,$C$8)&amp;"","")</f>
        <v/>
      </c>
      <c r="F224" s="23" t="str">
        <f aca="false">IF(C224="","",IF(COUNTIF(Office_Log!$A$2:$A$201,C224)&gt;0,"Y","N"))</f>
        <v/>
      </c>
      <c r="G224" s="34" t="str">
        <f aca="false">IF(OR(C224="",AND(LEFT(C224,6)="SAMPLE",Config!$B$19&lt;&gt;"Y")),"",IF(IFERROR(INDEX(Lists!$K$2:$K$15,MATCH(D224,Lists!$J$2:$J$15,0)),-1)=-1,"status '"&amp;D224&amp;"' is not a CONTRACTS status",IF(AND(D224="signed",COUNTIF(signed_offices!$W$2:$W$51,C224)=0),"status signed but no signed_offices row"&amp;IF(F224="N"," and no tracker row",""),IF(AND(IFERROR(INDEX(Lists!$K$2:$K$15,MATCH(D224,Lists!$J$2:$J$15,0)),-1)&gt;=6,F224="N"),"status "&amp;D224&amp;" but no tracker row",IF(AND(E224="Y",D224&lt;&gt;"do_not_contact"),"do_not_contact = Y but status is "&amp;D224,IF(AND(D224="do_not_contact",E224&lt;&gt;"Y"),"status do_not_contact but do_not_contact is not Y",""))))))</f>
        <v/>
      </c>
      <c r="I224" s="23" t="n">
        <v>203</v>
      </c>
      <c r="J224" s="23" t="str">
        <f aca="false">IFERROR(INDEX(Clay_Brands!$A$2:$FZ$601,I224,$D$5)&amp;"","")</f>
        <v/>
      </c>
      <c r="K224" s="23" t="str">
        <f aca="false">IFERROR(INDEX(Clay_Brands!$A$2:$FZ$601,I224,$D$7)&amp;"","")</f>
        <v/>
      </c>
      <c r="L224" s="23" t="str">
        <f aca="false">IFERROR(INDEX(Clay_Brands!$A$2:$FZ$601,I224,$D$8)&amp;"","")</f>
        <v/>
      </c>
      <c r="M224" s="23" t="str">
        <f aca="false">IF(J224="","",IF(COUNTIF(Brand_Log!$A$2:$A$201,J224)&gt;0,"Y","N"))</f>
        <v/>
      </c>
      <c r="N224" s="34" t="str">
        <f aca="false">IF(OR(J224="",AND(LEFT(J224,6)="SAMPLE",Config!$B$19&lt;&gt;"Y")),"",IF(IFERROR(INDEX(Lists!$K$2:$K$15,MATCH(K224,Lists!$J$2:$J$15,0)),-1)=-1,"status '"&amp;K224&amp;"' is not a CONTRACTS status",IF(AND(K224="paid",COUNTIF(paid_brands!$AC$2:$AC$51,J224)=0),"status paid but no paid_brands row"&amp;IF(M224="N"," and no tracker row",""),IF(AND(IFERROR(INDEX(Lists!$K$2:$K$15,MATCH(K224,Lists!$J$2:$J$15,0)),-1)&gt;=6,M224="N"),"status "&amp;K224&amp;" but no tracker row",IF(AND(L224="Y",K224&lt;&gt;"do_not_contact"),"do_not_contact = Y but status is "&amp;K224,IF(AND(K224="do_not_contact",L224&lt;&gt;"Y"),"status do_not_contact but do_not_contact is not Y",""))))))</f>
        <v/>
      </c>
    </row>
    <row r="225" customFormat="false" ht="15" hidden="false" customHeight="false" outlineLevel="0" collapsed="false">
      <c r="B225" s="23" t="n">
        <v>204</v>
      </c>
      <c r="C225" s="23" t="str">
        <f aca="false">IFERROR(INDEX(Clay_Offices!$A$2:$FZ$601,B225,$C$5)&amp;"","")</f>
        <v/>
      </c>
      <c r="D225" s="23" t="str">
        <f aca="false">IFERROR(INDEX(Clay_Offices!$A$2:$FZ$601,B225,$C$7)&amp;"","")</f>
        <v/>
      </c>
      <c r="E225" s="23" t="str">
        <f aca="false">IFERROR(INDEX(Clay_Offices!$A$2:$FZ$601,B225,$C$8)&amp;"","")</f>
        <v/>
      </c>
      <c r="F225" s="23" t="str">
        <f aca="false">IF(C225="","",IF(COUNTIF(Office_Log!$A$2:$A$201,C225)&gt;0,"Y","N"))</f>
        <v/>
      </c>
      <c r="G225" s="34" t="str">
        <f aca="false">IF(OR(C225="",AND(LEFT(C225,6)="SAMPLE",Config!$B$19&lt;&gt;"Y")),"",IF(IFERROR(INDEX(Lists!$K$2:$K$15,MATCH(D225,Lists!$J$2:$J$15,0)),-1)=-1,"status '"&amp;D225&amp;"' is not a CONTRACTS status",IF(AND(D225="signed",COUNTIF(signed_offices!$W$2:$W$51,C225)=0),"status signed but no signed_offices row"&amp;IF(F225="N"," and no tracker row",""),IF(AND(IFERROR(INDEX(Lists!$K$2:$K$15,MATCH(D225,Lists!$J$2:$J$15,0)),-1)&gt;=6,F225="N"),"status "&amp;D225&amp;" but no tracker row",IF(AND(E225="Y",D225&lt;&gt;"do_not_contact"),"do_not_contact = Y but status is "&amp;D225,IF(AND(D225="do_not_contact",E225&lt;&gt;"Y"),"status do_not_contact but do_not_contact is not Y",""))))))</f>
        <v/>
      </c>
      <c r="I225" s="23" t="n">
        <v>204</v>
      </c>
      <c r="J225" s="23" t="str">
        <f aca="false">IFERROR(INDEX(Clay_Brands!$A$2:$FZ$601,I225,$D$5)&amp;"","")</f>
        <v/>
      </c>
      <c r="K225" s="23" t="str">
        <f aca="false">IFERROR(INDEX(Clay_Brands!$A$2:$FZ$601,I225,$D$7)&amp;"","")</f>
        <v/>
      </c>
      <c r="L225" s="23" t="str">
        <f aca="false">IFERROR(INDEX(Clay_Brands!$A$2:$FZ$601,I225,$D$8)&amp;"","")</f>
        <v/>
      </c>
      <c r="M225" s="23" t="str">
        <f aca="false">IF(J225="","",IF(COUNTIF(Brand_Log!$A$2:$A$201,J225)&gt;0,"Y","N"))</f>
        <v/>
      </c>
      <c r="N225" s="34" t="str">
        <f aca="false">IF(OR(J225="",AND(LEFT(J225,6)="SAMPLE",Config!$B$19&lt;&gt;"Y")),"",IF(IFERROR(INDEX(Lists!$K$2:$K$15,MATCH(K225,Lists!$J$2:$J$15,0)),-1)=-1,"status '"&amp;K225&amp;"' is not a CONTRACTS status",IF(AND(K225="paid",COUNTIF(paid_brands!$AC$2:$AC$51,J225)=0),"status paid but no paid_brands row"&amp;IF(M225="N"," and no tracker row",""),IF(AND(IFERROR(INDEX(Lists!$K$2:$K$15,MATCH(K225,Lists!$J$2:$J$15,0)),-1)&gt;=6,M225="N"),"status "&amp;K225&amp;" but no tracker row",IF(AND(L225="Y",K225&lt;&gt;"do_not_contact"),"do_not_contact = Y but status is "&amp;K225,IF(AND(K225="do_not_contact",L225&lt;&gt;"Y"),"status do_not_contact but do_not_contact is not Y",""))))))</f>
        <v/>
      </c>
    </row>
    <row r="226" customFormat="false" ht="15" hidden="false" customHeight="false" outlineLevel="0" collapsed="false">
      <c r="B226" s="23" t="n">
        <v>205</v>
      </c>
      <c r="C226" s="23" t="str">
        <f aca="false">IFERROR(INDEX(Clay_Offices!$A$2:$FZ$601,B226,$C$5)&amp;"","")</f>
        <v/>
      </c>
      <c r="D226" s="23" t="str">
        <f aca="false">IFERROR(INDEX(Clay_Offices!$A$2:$FZ$601,B226,$C$7)&amp;"","")</f>
        <v/>
      </c>
      <c r="E226" s="23" t="str">
        <f aca="false">IFERROR(INDEX(Clay_Offices!$A$2:$FZ$601,B226,$C$8)&amp;"","")</f>
        <v/>
      </c>
      <c r="F226" s="23" t="str">
        <f aca="false">IF(C226="","",IF(COUNTIF(Office_Log!$A$2:$A$201,C226)&gt;0,"Y","N"))</f>
        <v/>
      </c>
      <c r="G226" s="34" t="str">
        <f aca="false">IF(OR(C226="",AND(LEFT(C226,6)="SAMPLE",Config!$B$19&lt;&gt;"Y")),"",IF(IFERROR(INDEX(Lists!$K$2:$K$15,MATCH(D226,Lists!$J$2:$J$15,0)),-1)=-1,"status '"&amp;D226&amp;"' is not a CONTRACTS status",IF(AND(D226="signed",COUNTIF(signed_offices!$W$2:$W$51,C226)=0),"status signed but no signed_offices row"&amp;IF(F226="N"," and no tracker row",""),IF(AND(IFERROR(INDEX(Lists!$K$2:$K$15,MATCH(D226,Lists!$J$2:$J$15,0)),-1)&gt;=6,F226="N"),"status "&amp;D226&amp;" but no tracker row",IF(AND(E226="Y",D226&lt;&gt;"do_not_contact"),"do_not_contact = Y but status is "&amp;D226,IF(AND(D226="do_not_contact",E226&lt;&gt;"Y"),"status do_not_contact but do_not_contact is not Y",""))))))</f>
        <v/>
      </c>
      <c r="I226" s="23" t="n">
        <v>205</v>
      </c>
      <c r="J226" s="23" t="str">
        <f aca="false">IFERROR(INDEX(Clay_Brands!$A$2:$FZ$601,I226,$D$5)&amp;"","")</f>
        <v/>
      </c>
      <c r="K226" s="23" t="str">
        <f aca="false">IFERROR(INDEX(Clay_Brands!$A$2:$FZ$601,I226,$D$7)&amp;"","")</f>
        <v/>
      </c>
      <c r="L226" s="23" t="str">
        <f aca="false">IFERROR(INDEX(Clay_Brands!$A$2:$FZ$601,I226,$D$8)&amp;"","")</f>
        <v/>
      </c>
      <c r="M226" s="23" t="str">
        <f aca="false">IF(J226="","",IF(COUNTIF(Brand_Log!$A$2:$A$201,J226)&gt;0,"Y","N"))</f>
        <v/>
      </c>
      <c r="N226" s="34" t="str">
        <f aca="false">IF(OR(J226="",AND(LEFT(J226,6)="SAMPLE",Config!$B$19&lt;&gt;"Y")),"",IF(IFERROR(INDEX(Lists!$K$2:$K$15,MATCH(K226,Lists!$J$2:$J$15,0)),-1)=-1,"status '"&amp;K226&amp;"' is not a CONTRACTS status",IF(AND(K226="paid",COUNTIF(paid_brands!$AC$2:$AC$51,J226)=0),"status paid but no paid_brands row"&amp;IF(M226="N"," and no tracker row",""),IF(AND(IFERROR(INDEX(Lists!$K$2:$K$15,MATCH(K226,Lists!$J$2:$J$15,0)),-1)&gt;=6,M226="N"),"status "&amp;K226&amp;" but no tracker row",IF(AND(L226="Y",K226&lt;&gt;"do_not_contact"),"do_not_contact = Y but status is "&amp;K226,IF(AND(K226="do_not_contact",L226&lt;&gt;"Y"),"status do_not_contact but do_not_contact is not Y",""))))))</f>
        <v/>
      </c>
    </row>
    <row r="227" customFormat="false" ht="15" hidden="false" customHeight="false" outlineLevel="0" collapsed="false">
      <c r="B227" s="23" t="n">
        <v>206</v>
      </c>
      <c r="C227" s="23" t="str">
        <f aca="false">IFERROR(INDEX(Clay_Offices!$A$2:$FZ$601,B227,$C$5)&amp;"","")</f>
        <v/>
      </c>
      <c r="D227" s="23" t="str">
        <f aca="false">IFERROR(INDEX(Clay_Offices!$A$2:$FZ$601,B227,$C$7)&amp;"","")</f>
        <v/>
      </c>
      <c r="E227" s="23" t="str">
        <f aca="false">IFERROR(INDEX(Clay_Offices!$A$2:$FZ$601,B227,$C$8)&amp;"","")</f>
        <v/>
      </c>
      <c r="F227" s="23" t="str">
        <f aca="false">IF(C227="","",IF(COUNTIF(Office_Log!$A$2:$A$201,C227)&gt;0,"Y","N"))</f>
        <v/>
      </c>
      <c r="G227" s="34" t="str">
        <f aca="false">IF(OR(C227="",AND(LEFT(C227,6)="SAMPLE",Config!$B$19&lt;&gt;"Y")),"",IF(IFERROR(INDEX(Lists!$K$2:$K$15,MATCH(D227,Lists!$J$2:$J$15,0)),-1)=-1,"status '"&amp;D227&amp;"' is not a CONTRACTS status",IF(AND(D227="signed",COUNTIF(signed_offices!$W$2:$W$51,C227)=0),"status signed but no signed_offices row"&amp;IF(F227="N"," and no tracker row",""),IF(AND(IFERROR(INDEX(Lists!$K$2:$K$15,MATCH(D227,Lists!$J$2:$J$15,0)),-1)&gt;=6,F227="N"),"status "&amp;D227&amp;" but no tracker row",IF(AND(E227="Y",D227&lt;&gt;"do_not_contact"),"do_not_contact = Y but status is "&amp;D227,IF(AND(D227="do_not_contact",E227&lt;&gt;"Y"),"status do_not_contact but do_not_contact is not Y",""))))))</f>
        <v/>
      </c>
      <c r="I227" s="23" t="n">
        <v>206</v>
      </c>
      <c r="J227" s="23" t="str">
        <f aca="false">IFERROR(INDEX(Clay_Brands!$A$2:$FZ$601,I227,$D$5)&amp;"","")</f>
        <v/>
      </c>
      <c r="K227" s="23" t="str">
        <f aca="false">IFERROR(INDEX(Clay_Brands!$A$2:$FZ$601,I227,$D$7)&amp;"","")</f>
        <v/>
      </c>
      <c r="L227" s="23" t="str">
        <f aca="false">IFERROR(INDEX(Clay_Brands!$A$2:$FZ$601,I227,$D$8)&amp;"","")</f>
        <v/>
      </c>
      <c r="M227" s="23" t="str">
        <f aca="false">IF(J227="","",IF(COUNTIF(Brand_Log!$A$2:$A$201,J227)&gt;0,"Y","N"))</f>
        <v/>
      </c>
      <c r="N227" s="34" t="str">
        <f aca="false">IF(OR(J227="",AND(LEFT(J227,6)="SAMPLE",Config!$B$19&lt;&gt;"Y")),"",IF(IFERROR(INDEX(Lists!$K$2:$K$15,MATCH(K227,Lists!$J$2:$J$15,0)),-1)=-1,"status '"&amp;K227&amp;"' is not a CONTRACTS status",IF(AND(K227="paid",COUNTIF(paid_brands!$AC$2:$AC$51,J227)=0),"status paid but no paid_brands row"&amp;IF(M227="N"," and no tracker row",""),IF(AND(IFERROR(INDEX(Lists!$K$2:$K$15,MATCH(K227,Lists!$J$2:$J$15,0)),-1)&gt;=6,M227="N"),"status "&amp;K227&amp;" but no tracker row",IF(AND(L227="Y",K227&lt;&gt;"do_not_contact"),"do_not_contact = Y but status is "&amp;K227,IF(AND(K227="do_not_contact",L227&lt;&gt;"Y"),"status do_not_contact but do_not_contact is not Y",""))))))</f>
        <v/>
      </c>
    </row>
    <row r="228" customFormat="false" ht="15" hidden="false" customHeight="false" outlineLevel="0" collapsed="false">
      <c r="B228" s="23" t="n">
        <v>207</v>
      </c>
      <c r="C228" s="23" t="str">
        <f aca="false">IFERROR(INDEX(Clay_Offices!$A$2:$FZ$601,B228,$C$5)&amp;"","")</f>
        <v/>
      </c>
      <c r="D228" s="23" t="str">
        <f aca="false">IFERROR(INDEX(Clay_Offices!$A$2:$FZ$601,B228,$C$7)&amp;"","")</f>
        <v/>
      </c>
      <c r="E228" s="23" t="str">
        <f aca="false">IFERROR(INDEX(Clay_Offices!$A$2:$FZ$601,B228,$C$8)&amp;"","")</f>
        <v/>
      </c>
      <c r="F228" s="23" t="str">
        <f aca="false">IF(C228="","",IF(COUNTIF(Office_Log!$A$2:$A$201,C228)&gt;0,"Y","N"))</f>
        <v/>
      </c>
      <c r="G228" s="34" t="str">
        <f aca="false">IF(OR(C228="",AND(LEFT(C228,6)="SAMPLE",Config!$B$19&lt;&gt;"Y")),"",IF(IFERROR(INDEX(Lists!$K$2:$K$15,MATCH(D228,Lists!$J$2:$J$15,0)),-1)=-1,"status '"&amp;D228&amp;"' is not a CONTRACTS status",IF(AND(D228="signed",COUNTIF(signed_offices!$W$2:$W$51,C228)=0),"status signed but no signed_offices row"&amp;IF(F228="N"," and no tracker row",""),IF(AND(IFERROR(INDEX(Lists!$K$2:$K$15,MATCH(D228,Lists!$J$2:$J$15,0)),-1)&gt;=6,F228="N"),"status "&amp;D228&amp;" but no tracker row",IF(AND(E228="Y",D228&lt;&gt;"do_not_contact"),"do_not_contact = Y but status is "&amp;D228,IF(AND(D228="do_not_contact",E228&lt;&gt;"Y"),"status do_not_contact but do_not_contact is not Y",""))))))</f>
        <v/>
      </c>
      <c r="I228" s="23" t="n">
        <v>207</v>
      </c>
      <c r="J228" s="23" t="str">
        <f aca="false">IFERROR(INDEX(Clay_Brands!$A$2:$FZ$601,I228,$D$5)&amp;"","")</f>
        <v/>
      </c>
      <c r="K228" s="23" t="str">
        <f aca="false">IFERROR(INDEX(Clay_Brands!$A$2:$FZ$601,I228,$D$7)&amp;"","")</f>
        <v/>
      </c>
      <c r="L228" s="23" t="str">
        <f aca="false">IFERROR(INDEX(Clay_Brands!$A$2:$FZ$601,I228,$D$8)&amp;"","")</f>
        <v/>
      </c>
      <c r="M228" s="23" t="str">
        <f aca="false">IF(J228="","",IF(COUNTIF(Brand_Log!$A$2:$A$201,J228)&gt;0,"Y","N"))</f>
        <v/>
      </c>
      <c r="N228" s="34" t="str">
        <f aca="false">IF(OR(J228="",AND(LEFT(J228,6)="SAMPLE",Config!$B$19&lt;&gt;"Y")),"",IF(IFERROR(INDEX(Lists!$K$2:$K$15,MATCH(K228,Lists!$J$2:$J$15,0)),-1)=-1,"status '"&amp;K228&amp;"' is not a CONTRACTS status",IF(AND(K228="paid",COUNTIF(paid_brands!$AC$2:$AC$51,J228)=0),"status paid but no paid_brands row"&amp;IF(M228="N"," and no tracker row",""),IF(AND(IFERROR(INDEX(Lists!$K$2:$K$15,MATCH(K228,Lists!$J$2:$J$15,0)),-1)&gt;=6,M228="N"),"status "&amp;K228&amp;" but no tracker row",IF(AND(L228="Y",K228&lt;&gt;"do_not_contact"),"do_not_contact = Y but status is "&amp;K228,IF(AND(K228="do_not_contact",L228&lt;&gt;"Y"),"status do_not_contact but do_not_contact is not Y",""))))))</f>
        <v/>
      </c>
    </row>
    <row r="229" customFormat="false" ht="15" hidden="false" customHeight="false" outlineLevel="0" collapsed="false">
      <c r="B229" s="23" t="n">
        <v>208</v>
      </c>
      <c r="C229" s="23" t="str">
        <f aca="false">IFERROR(INDEX(Clay_Offices!$A$2:$FZ$601,B229,$C$5)&amp;"","")</f>
        <v/>
      </c>
      <c r="D229" s="23" t="str">
        <f aca="false">IFERROR(INDEX(Clay_Offices!$A$2:$FZ$601,B229,$C$7)&amp;"","")</f>
        <v/>
      </c>
      <c r="E229" s="23" t="str">
        <f aca="false">IFERROR(INDEX(Clay_Offices!$A$2:$FZ$601,B229,$C$8)&amp;"","")</f>
        <v/>
      </c>
      <c r="F229" s="23" t="str">
        <f aca="false">IF(C229="","",IF(COUNTIF(Office_Log!$A$2:$A$201,C229)&gt;0,"Y","N"))</f>
        <v/>
      </c>
      <c r="G229" s="34" t="str">
        <f aca="false">IF(OR(C229="",AND(LEFT(C229,6)="SAMPLE",Config!$B$19&lt;&gt;"Y")),"",IF(IFERROR(INDEX(Lists!$K$2:$K$15,MATCH(D229,Lists!$J$2:$J$15,0)),-1)=-1,"status '"&amp;D229&amp;"' is not a CONTRACTS status",IF(AND(D229="signed",COUNTIF(signed_offices!$W$2:$W$51,C229)=0),"status signed but no signed_offices row"&amp;IF(F229="N"," and no tracker row",""),IF(AND(IFERROR(INDEX(Lists!$K$2:$K$15,MATCH(D229,Lists!$J$2:$J$15,0)),-1)&gt;=6,F229="N"),"status "&amp;D229&amp;" but no tracker row",IF(AND(E229="Y",D229&lt;&gt;"do_not_contact"),"do_not_contact = Y but status is "&amp;D229,IF(AND(D229="do_not_contact",E229&lt;&gt;"Y"),"status do_not_contact but do_not_contact is not Y",""))))))</f>
        <v/>
      </c>
      <c r="I229" s="23" t="n">
        <v>208</v>
      </c>
      <c r="J229" s="23" t="str">
        <f aca="false">IFERROR(INDEX(Clay_Brands!$A$2:$FZ$601,I229,$D$5)&amp;"","")</f>
        <v/>
      </c>
      <c r="K229" s="23" t="str">
        <f aca="false">IFERROR(INDEX(Clay_Brands!$A$2:$FZ$601,I229,$D$7)&amp;"","")</f>
        <v/>
      </c>
      <c r="L229" s="23" t="str">
        <f aca="false">IFERROR(INDEX(Clay_Brands!$A$2:$FZ$601,I229,$D$8)&amp;"","")</f>
        <v/>
      </c>
      <c r="M229" s="23" t="str">
        <f aca="false">IF(J229="","",IF(COUNTIF(Brand_Log!$A$2:$A$201,J229)&gt;0,"Y","N"))</f>
        <v/>
      </c>
      <c r="N229" s="34" t="str">
        <f aca="false">IF(OR(J229="",AND(LEFT(J229,6)="SAMPLE",Config!$B$19&lt;&gt;"Y")),"",IF(IFERROR(INDEX(Lists!$K$2:$K$15,MATCH(K229,Lists!$J$2:$J$15,0)),-1)=-1,"status '"&amp;K229&amp;"' is not a CONTRACTS status",IF(AND(K229="paid",COUNTIF(paid_brands!$AC$2:$AC$51,J229)=0),"status paid but no paid_brands row"&amp;IF(M229="N"," and no tracker row",""),IF(AND(IFERROR(INDEX(Lists!$K$2:$K$15,MATCH(K229,Lists!$J$2:$J$15,0)),-1)&gt;=6,M229="N"),"status "&amp;K229&amp;" but no tracker row",IF(AND(L229="Y",K229&lt;&gt;"do_not_contact"),"do_not_contact = Y but status is "&amp;K229,IF(AND(K229="do_not_contact",L229&lt;&gt;"Y"),"status do_not_contact but do_not_contact is not Y",""))))))</f>
        <v/>
      </c>
    </row>
    <row r="230" customFormat="false" ht="15" hidden="false" customHeight="false" outlineLevel="0" collapsed="false">
      <c r="B230" s="23" t="n">
        <v>209</v>
      </c>
      <c r="C230" s="23" t="str">
        <f aca="false">IFERROR(INDEX(Clay_Offices!$A$2:$FZ$601,B230,$C$5)&amp;"","")</f>
        <v/>
      </c>
      <c r="D230" s="23" t="str">
        <f aca="false">IFERROR(INDEX(Clay_Offices!$A$2:$FZ$601,B230,$C$7)&amp;"","")</f>
        <v/>
      </c>
      <c r="E230" s="23" t="str">
        <f aca="false">IFERROR(INDEX(Clay_Offices!$A$2:$FZ$601,B230,$C$8)&amp;"","")</f>
        <v/>
      </c>
      <c r="F230" s="23" t="str">
        <f aca="false">IF(C230="","",IF(COUNTIF(Office_Log!$A$2:$A$201,C230)&gt;0,"Y","N"))</f>
        <v/>
      </c>
      <c r="G230" s="34" t="str">
        <f aca="false">IF(OR(C230="",AND(LEFT(C230,6)="SAMPLE",Config!$B$19&lt;&gt;"Y")),"",IF(IFERROR(INDEX(Lists!$K$2:$K$15,MATCH(D230,Lists!$J$2:$J$15,0)),-1)=-1,"status '"&amp;D230&amp;"' is not a CONTRACTS status",IF(AND(D230="signed",COUNTIF(signed_offices!$W$2:$W$51,C230)=0),"status signed but no signed_offices row"&amp;IF(F230="N"," and no tracker row",""),IF(AND(IFERROR(INDEX(Lists!$K$2:$K$15,MATCH(D230,Lists!$J$2:$J$15,0)),-1)&gt;=6,F230="N"),"status "&amp;D230&amp;" but no tracker row",IF(AND(E230="Y",D230&lt;&gt;"do_not_contact"),"do_not_contact = Y but status is "&amp;D230,IF(AND(D230="do_not_contact",E230&lt;&gt;"Y"),"status do_not_contact but do_not_contact is not Y",""))))))</f>
        <v/>
      </c>
      <c r="I230" s="23" t="n">
        <v>209</v>
      </c>
      <c r="J230" s="23" t="str">
        <f aca="false">IFERROR(INDEX(Clay_Brands!$A$2:$FZ$601,I230,$D$5)&amp;"","")</f>
        <v/>
      </c>
      <c r="K230" s="23" t="str">
        <f aca="false">IFERROR(INDEX(Clay_Brands!$A$2:$FZ$601,I230,$D$7)&amp;"","")</f>
        <v/>
      </c>
      <c r="L230" s="23" t="str">
        <f aca="false">IFERROR(INDEX(Clay_Brands!$A$2:$FZ$601,I230,$D$8)&amp;"","")</f>
        <v/>
      </c>
      <c r="M230" s="23" t="str">
        <f aca="false">IF(J230="","",IF(COUNTIF(Brand_Log!$A$2:$A$201,J230)&gt;0,"Y","N"))</f>
        <v/>
      </c>
      <c r="N230" s="34" t="str">
        <f aca="false">IF(OR(J230="",AND(LEFT(J230,6)="SAMPLE",Config!$B$19&lt;&gt;"Y")),"",IF(IFERROR(INDEX(Lists!$K$2:$K$15,MATCH(K230,Lists!$J$2:$J$15,0)),-1)=-1,"status '"&amp;K230&amp;"' is not a CONTRACTS status",IF(AND(K230="paid",COUNTIF(paid_brands!$AC$2:$AC$51,J230)=0),"status paid but no paid_brands row"&amp;IF(M230="N"," and no tracker row",""),IF(AND(IFERROR(INDEX(Lists!$K$2:$K$15,MATCH(K230,Lists!$J$2:$J$15,0)),-1)&gt;=6,M230="N"),"status "&amp;K230&amp;" but no tracker row",IF(AND(L230="Y",K230&lt;&gt;"do_not_contact"),"do_not_contact = Y but status is "&amp;K230,IF(AND(K230="do_not_contact",L230&lt;&gt;"Y"),"status do_not_contact but do_not_contact is not Y",""))))))</f>
        <v/>
      </c>
    </row>
    <row r="231" customFormat="false" ht="15" hidden="false" customHeight="false" outlineLevel="0" collapsed="false">
      <c r="B231" s="23" t="n">
        <v>210</v>
      </c>
      <c r="C231" s="23" t="str">
        <f aca="false">IFERROR(INDEX(Clay_Offices!$A$2:$FZ$601,B231,$C$5)&amp;"","")</f>
        <v/>
      </c>
      <c r="D231" s="23" t="str">
        <f aca="false">IFERROR(INDEX(Clay_Offices!$A$2:$FZ$601,B231,$C$7)&amp;"","")</f>
        <v/>
      </c>
      <c r="E231" s="23" t="str">
        <f aca="false">IFERROR(INDEX(Clay_Offices!$A$2:$FZ$601,B231,$C$8)&amp;"","")</f>
        <v/>
      </c>
      <c r="F231" s="23" t="str">
        <f aca="false">IF(C231="","",IF(COUNTIF(Office_Log!$A$2:$A$201,C231)&gt;0,"Y","N"))</f>
        <v/>
      </c>
      <c r="G231" s="34" t="str">
        <f aca="false">IF(OR(C231="",AND(LEFT(C231,6)="SAMPLE",Config!$B$19&lt;&gt;"Y")),"",IF(IFERROR(INDEX(Lists!$K$2:$K$15,MATCH(D231,Lists!$J$2:$J$15,0)),-1)=-1,"status '"&amp;D231&amp;"' is not a CONTRACTS status",IF(AND(D231="signed",COUNTIF(signed_offices!$W$2:$W$51,C231)=0),"status signed but no signed_offices row"&amp;IF(F231="N"," and no tracker row",""),IF(AND(IFERROR(INDEX(Lists!$K$2:$K$15,MATCH(D231,Lists!$J$2:$J$15,0)),-1)&gt;=6,F231="N"),"status "&amp;D231&amp;" but no tracker row",IF(AND(E231="Y",D231&lt;&gt;"do_not_contact"),"do_not_contact = Y but status is "&amp;D231,IF(AND(D231="do_not_contact",E231&lt;&gt;"Y"),"status do_not_contact but do_not_contact is not Y",""))))))</f>
        <v/>
      </c>
      <c r="I231" s="23" t="n">
        <v>210</v>
      </c>
      <c r="J231" s="23" t="str">
        <f aca="false">IFERROR(INDEX(Clay_Brands!$A$2:$FZ$601,I231,$D$5)&amp;"","")</f>
        <v/>
      </c>
      <c r="K231" s="23" t="str">
        <f aca="false">IFERROR(INDEX(Clay_Brands!$A$2:$FZ$601,I231,$D$7)&amp;"","")</f>
        <v/>
      </c>
      <c r="L231" s="23" t="str">
        <f aca="false">IFERROR(INDEX(Clay_Brands!$A$2:$FZ$601,I231,$D$8)&amp;"","")</f>
        <v/>
      </c>
      <c r="M231" s="23" t="str">
        <f aca="false">IF(J231="","",IF(COUNTIF(Brand_Log!$A$2:$A$201,J231)&gt;0,"Y","N"))</f>
        <v/>
      </c>
      <c r="N231" s="34" t="str">
        <f aca="false">IF(OR(J231="",AND(LEFT(J231,6)="SAMPLE",Config!$B$19&lt;&gt;"Y")),"",IF(IFERROR(INDEX(Lists!$K$2:$K$15,MATCH(K231,Lists!$J$2:$J$15,0)),-1)=-1,"status '"&amp;K231&amp;"' is not a CONTRACTS status",IF(AND(K231="paid",COUNTIF(paid_brands!$AC$2:$AC$51,J231)=0),"status paid but no paid_brands row"&amp;IF(M231="N"," and no tracker row",""),IF(AND(IFERROR(INDEX(Lists!$K$2:$K$15,MATCH(K231,Lists!$J$2:$J$15,0)),-1)&gt;=6,M231="N"),"status "&amp;K231&amp;" but no tracker row",IF(AND(L231="Y",K231&lt;&gt;"do_not_contact"),"do_not_contact = Y but status is "&amp;K231,IF(AND(K231="do_not_contact",L231&lt;&gt;"Y"),"status do_not_contact but do_not_contact is not Y",""))))))</f>
        <v/>
      </c>
    </row>
    <row r="232" customFormat="false" ht="15" hidden="false" customHeight="false" outlineLevel="0" collapsed="false">
      <c r="B232" s="23" t="n">
        <v>211</v>
      </c>
      <c r="C232" s="23" t="str">
        <f aca="false">IFERROR(INDEX(Clay_Offices!$A$2:$FZ$601,B232,$C$5)&amp;"","")</f>
        <v/>
      </c>
      <c r="D232" s="23" t="str">
        <f aca="false">IFERROR(INDEX(Clay_Offices!$A$2:$FZ$601,B232,$C$7)&amp;"","")</f>
        <v/>
      </c>
      <c r="E232" s="23" t="str">
        <f aca="false">IFERROR(INDEX(Clay_Offices!$A$2:$FZ$601,B232,$C$8)&amp;"","")</f>
        <v/>
      </c>
      <c r="F232" s="23" t="str">
        <f aca="false">IF(C232="","",IF(COUNTIF(Office_Log!$A$2:$A$201,C232)&gt;0,"Y","N"))</f>
        <v/>
      </c>
      <c r="G232" s="34" t="str">
        <f aca="false">IF(OR(C232="",AND(LEFT(C232,6)="SAMPLE",Config!$B$19&lt;&gt;"Y")),"",IF(IFERROR(INDEX(Lists!$K$2:$K$15,MATCH(D232,Lists!$J$2:$J$15,0)),-1)=-1,"status '"&amp;D232&amp;"' is not a CONTRACTS status",IF(AND(D232="signed",COUNTIF(signed_offices!$W$2:$W$51,C232)=0),"status signed but no signed_offices row"&amp;IF(F232="N"," and no tracker row",""),IF(AND(IFERROR(INDEX(Lists!$K$2:$K$15,MATCH(D232,Lists!$J$2:$J$15,0)),-1)&gt;=6,F232="N"),"status "&amp;D232&amp;" but no tracker row",IF(AND(E232="Y",D232&lt;&gt;"do_not_contact"),"do_not_contact = Y but status is "&amp;D232,IF(AND(D232="do_not_contact",E232&lt;&gt;"Y"),"status do_not_contact but do_not_contact is not Y",""))))))</f>
        <v/>
      </c>
      <c r="I232" s="23" t="n">
        <v>211</v>
      </c>
      <c r="J232" s="23" t="str">
        <f aca="false">IFERROR(INDEX(Clay_Brands!$A$2:$FZ$601,I232,$D$5)&amp;"","")</f>
        <v/>
      </c>
      <c r="K232" s="23" t="str">
        <f aca="false">IFERROR(INDEX(Clay_Brands!$A$2:$FZ$601,I232,$D$7)&amp;"","")</f>
        <v/>
      </c>
      <c r="L232" s="23" t="str">
        <f aca="false">IFERROR(INDEX(Clay_Brands!$A$2:$FZ$601,I232,$D$8)&amp;"","")</f>
        <v/>
      </c>
      <c r="M232" s="23" t="str">
        <f aca="false">IF(J232="","",IF(COUNTIF(Brand_Log!$A$2:$A$201,J232)&gt;0,"Y","N"))</f>
        <v/>
      </c>
      <c r="N232" s="34" t="str">
        <f aca="false">IF(OR(J232="",AND(LEFT(J232,6)="SAMPLE",Config!$B$19&lt;&gt;"Y")),"",IF(IFERROR(INDEX(Lists!$K$2:$K$15,MATCH(K232,Lists!$J$2:$J$15,0)),-1)=-1,"status '"&amp;K232&amp;"' is not a CONTRACTS status",IF(AND(K232="paid",COUNTIF(paid_brands!$AC$2:$AC$51,J232)=0),"status paid but no paid_brands row"&amp;IF(M232="N"," and no tracker row",""),IF(AND(IFERROR(INDEX(Lists!$K$2:$K$15,MATCH(K232,Lists!$J$2:$J$15,0)),-1)&gt;=6,M232="N"),"status "&amp;K232&amp;" but no tracker row",IF(AND(L232="Y",K232&lt;&gt;"do_not_contact"),"do_not_contact = Y but status is "&amp;K232,IF(AND(K232="do_not_contact",L232&lt;&gt;"Y"),"status do_not_contact but do_not_contact is not Y",""))))))</f>
        <v/>
      </c>
    </row>
    <row r="233" customFormat="false" ht="15" hidden="false" customHeight="false" outlineLevel="0" collapsed="false">
      <c r="B233" s="23" t="n">
        <v>212</v>
      </c>
      <c r="C233" s="23" t="str">
        <f aca="false">IFERROR(INDEX(Clay_Offices!$A$2:$FZ$601,B233,$C$5)&amp;"","")</f>
        <v/>
      </c>
      <c r="D233" s="23" t="str">
        <f aca="false">IFERROR(INDEX(Clay_Offices!$A$2:$FZ$601,B233,$C$7)&amp;"","")</f>
        <v/>
      </c>
      <c r="E233" s="23" t="str">
        <f aca="false">IFERROR(INDEX(Clay_Offices!$A$2:$FZ$601,B233,$C$8)&amp;"","")</f>
        <v/>
      </c>
      <c r="F233" s="23" t="str">
        <f aca="false">IF(C233="","",IF(COUNTIF(Office_Log!$A$2:$A$201,C233)&gt;0,"Y","N"))</f>
        <v/>
      </c>
      <c r="G233" s="34" t="str">
        <f aca="false">IF(OR(C233="",AND(LEFT(C233,6)="SAMPLE",Config!$B$19&lt;&gt;"Y")),"",IF(IFERROR(INDEX(Lists!$K$2:$K$15,MATCH(D233,Lists!$J$2:$J$15,0)),-1)=-1,"status '"&amp;D233&amp;"' is not a CONTRACTS status",IF(AND(D233="signed",COUNTIF(signed_offices!$W$2:$W$51,C233)=0),"status signed but no signed_offices row"&amp;IF(F233="N"," and no tracker row",""),IF(AND(IFERROR(INDEX(Lists!$K$2:$K$15,MATCH(D233,Lists!$J$2:$J$15,0)),-1)&gt;=6,F233="N"),"status "&amp;D233&amp;" but no tracker row",IF(AND(E233="Y",D233&lt;&gt;"do_not_contact"),"do_not_contact = Y but status is "&amp;D233,IF(AND(D233="do_not_contact",E233&lt;&gt;"Y"),"status do_not_contact but do_not_contact is not Y",""))))))</f>
        <v/>
      </c>
      <c r="I233" s="23" t="n">
        <v>212</v>
      </c>
      <c r="J233" s="23" t="str">
        <f aca="false">IFERROR(INDEX(Clay_Brands!$A$2:$FZ$601,I233,$D$5)&amp;"","")</f>
        <v/>
      </c>
      <c r="K233" s="23" t="str">
        <f aca="false">IFERROR(INDEX(Clay_Brands!$A$2:$FZ$601,I233,$D$7)&amp;"","")</f>
        <v/>
      </c>
      <c r="L233" s="23" t="str">
        <f aca="false">IFERROR(INDEX(Clay_Brands!$A$2:$FZ$601,I233,$D$8)&amp;"","")</f>
        <v/>
      </c>
      <c r="M233" s="23" t="str">
        <f aca="false">IF(J233="","",IF(COUNTIF(Brand_Log!$A$2:$A$201,J233)&gt;0,"Y","N"))</f>
        <v/>
      </c>
      <c r="N233" s="34" t="str">
        <f aca="false">IF(OR(J233="",AND(LEFT(J233,6)="SAMPLE",Config!$B$19&lt;&gt;"Y")),"",IF(IFERROR(INDEX(Lists!$K$2:$K$15,MATCH(K233,Lists!$J$2:$J$15,0)),-1)=-1,"status '"&amp;K233&amp;"' is not a CONTRACTS status",IF(AND(K233="paid",COUNTIF(paid_brands!$AC$2:$AC$51,J233)=0),"status paid but no paid_brands row"&amp;IF(M233="N"," and no tracker row",""),IF(AND(IFERROR(INDEX(Lists!$K$2:$K$15,MATCH(K233,Lists!$J$2:$J$15,0)),-1)&gt;=6,M233="N"),"status "&amp;K233&amp;" but no tracker row",IF(AND(L233="Y",K233&lt;&gt;"do_not_contact"),"do_not_contact = Y but status is "&amp;K233,IF(AND(K233="do_not_contact",L233&lt;&gt;"Y"),"status do_not_contact but do_not_contact is not Y",""))))))</f>
        <v/>
      </c>
    </row>
    <row r="234" customFormat="false" ht="15" hidden="false" customHeight="false" outlineLevel="0" collapsed="false">
      <c r="B234" s="23" t="n">
        <v>213</v>
      </c>
      <c r="C234" s="23" t="str">
        <f aca="false">IFERROR(INDEX(Clay_Offices!$A$2:$FZ$601,B234,$C$5)&amp;"","")</f>
        <v/>
      </c>
      <c r="D234" s="23" t="str">
        <f aca="false">IFERROR(INDEX(Clay_Offices!$A$2:$FZ$601,B234,$C$7)&amp;"","")</f>
        <v/>
      </c>
      <c r="E234" s="23" t="str">
        <f aca="false">IFERROR(INDEX(Clay_Offices!$A$2:$FZ$601,B234,$C$8)&amp;"","")</f>
        <v/>
      </c>
      <c r="F234" s="23" t="str">
        <f aca="false">IF(C234="","",IF(COUNTIF(Office_Log!$A$2:$A$201,C234)&gt;0,"Y","N"))</f>
        <v/>
      </c>
      <c r="G234" s="34" t="str">
        <f aca="false">IF(OR(C234="",AND(LEFT(C234,6)="SAMPLE",Config!$B$19&lt;&gt;"Y")),"",IF(IFERROR(INDEX(Lists!$K$2:$K$15,MATCH(D234,Lists!$J$2:$J$15,0)),-1)=-1,"status '"&amp;D234&amp;"' is not a CONTRACTS status",IF(AND(D234="signed",COUNTIF(signed_offices!$W$2:$W$51,C234)=0),"status signed but no signed_offices row"&amp;IF(F234="N"," and no tracker row",""),IF(AND(IFERROR(INDEX(Lists!$K$2:$K$15,MATCH(D234,Lists!$J$2:$J$15,0)),-1)&gt;=6,F234="N"),"status "&amp;D234&amp;" but no tracker row",IF(AND(E234="Y",D234&lt;&gt;"do_not_contact"),"do_not_contact = Y but status is "&amp;D234,IF(AND(D234="do_not_contact",E234&lt;&gt;"Y"),"status do_not_contact but do_not_contact is not Y",""))))))</f>
        <v/>
      </c>
      <c r="I234" s="23" t="n">
        <v>213</v>
      </c>
      <c r="J234" s="23" t="str">
        <f aca="false">IFERROR(INDEX(Clay_Brands!$A$2:$FZ$601,I234,$D$5)&amp;"","")</f>
        <v/>
      </c>
      <c r="K234" s="23" t="str">
        <f aca="false">IFERROR(INDEX(Clay_Brands!$A$2:$FZ$601,I234,$D$7)&amp;"","")</f>
        <v/>
      </c>
      <c r="L234" s="23" t="str">
        <f aca="false">IFERROR(INDEX(Clay_Brands!$A$2:$FZ$601,I234,$D$8)&amp;"","")</f>
        <v/>
      </c>
      <c r="M234" s="23" t="str">
        <f aca="false">IF(J234="","",IF(COUNTIF(Brand_Log!$A$2:$A$201,J234)&gt;0,"Y","N"))</f>
        <v/>
      </c>
      <c r="N234" s="34" t="str">
        <f aca="false">IF(OR(J234="",AND(LEFT(J234,6)="SAMPLE",Config!$B$19&lt;&gt;"Y")),"",IF(IFERROR(INDEX(Lists!$K$2:$K$15,MATCH(K234,Lists!$J$2:$J$15,0)),-1)=-1,"status '"&amp;K234&amp;"' is not a CONTRACTS status",IF(AND(K234="paid",COUNTIF(paid_brands!$AC$2:$AC$51,J234)=0),"status paid but no paid_brands row"&amp;IF(M234="N"," and no tracker row",""),IF(AND(IFERROR(INDEX(Lists!$K$2:$K$15,MATCH(K234,Lists!$J$2:$J$15,0)),-1)&gt;=6,M234="N"),"status "&amp;K234&amp;" but no tracker row",IF(AND(L234="Y",K234&lt;&gt;"do_not_contact"),"do_not_contact = Y but status is "&amp;K234,IF(AND(K234="do_not_contact",L234&lt;&gt;"Y"),"status do_not_contact but do_not_contact is not Y",""))))))</f>
        <v/>
      </c>
    </row>
    <row r="235" customFormat="false" ht="15" hidden="false" customHeight="false" outlineLevel="0" collapsed="false">
      <c r="B235" s="23" t="n">
        <v>214</v>
      </c>
      <c r="C235" s="23" t="str">
        <f aca="false">IFERROR(INDEX(Clay_Offices!$A$2:$FZ$601,B235,$C$5)&amp;"","")</f>
        <v/>
      </c>
      <c r="D235" s="23" t="str">
        <f aca="false">IFERROR(INDEX(Clay_Offices!$A$2:$FZ$601,B235,$C$7)&amp;"","")</f>
        <v/>
      </c>
      <c r="E235" s="23" t="str">
        <f aca="false">IFERROR(INDEX(Clay_Offices!$A$2:$FZ$601,B235,$C$8)&amp;"","")</f>
        <v/>
      </c>
      <c r="F235" s="23" t="str">
        <f aca="false">IF(C235="","",IF(COUNTIF(Office_Log!$A$2:$A$201,C235)&gt;0,"Y","N"))</f>
        <v/>
      </c>
      <c r="G235" s="34" t="str">
        <f aca="false">IF(OR(C235="",AND(LEFT(C235,6)="SAMPLE",Config!$B$19&lt;&gt;"Y")),"",IF(IFERROR(INDEX(Lists!$K$2:$K$15,MATCH(D235,Lists!$J$2:$J$15,0)),-1)=-1,"status '"&amp;D235&amp;"' is not a CONTRACTS status",IF(AND(D235="signed",COUNTIF(signed_offices!$W$2:$W$51,C235)=0),"status signed but no signed_offices row"&amp;IF(F235="N"," and no tracker row",""),IF(AND(IFERROR(INDEX(Lists!$K$2:$K$15,MATCH(D235,Lists!$J$2:$J$15,0)),-1)&gt;=6,F235="N"),"status "&amp;D235&amp;" but no tracker row",IF(AND(E235="Y",D235&lt;&gt;"do_not_contact"),"do_not_contact = Y but status is "&amp;D235,IF(AND(D235="do_not_contact",E235&lt;&gt;"Y"),"status do_not_contact but do_not_contact is not Y",""))))))</f>
        <v/>
      </c>
      <c r="I235" s="23" t="n">
        <v>214</v>
      </c>
      <c r="J235" s="23" t="str">
        <f aca="false">IFERROR(INDEX(Clay_Brands!$A$2:$FZ$601,I235,$D$5)&amp;"","")</f>
        <v/>
      </c>
      <c r="K235" s="23" t="str">
        <f aca="false">IFERROR(INDEX(Clay_Brands!$A$2:$FZ$601,I235,$D$7)&amp;"","")</f>
        <v/>
      </c>
      <c r="L235" s="23" t="str">
        <f aca="false">IFERROR(INDEX(Clay_Brands!$A$2:$FZ$601,I235,$D$8)&amp;"","")</f>
        <v/>
      </c>
      <c r="M235" s="23" t="str">
        <f aca="false">IF(J235="","",IF(COUNTIF(Brand_Log!$A$2:$A$201,J235)&gt;0,"Y","N"))</f>
        <v/>
      </c>
      <c r="N235" s="34" t="str">
        <f aca="false">IF(OR(J235="",AND(LEFT(J235,6)="SAMPLE",Config!$B$19&lt;&gt;"Y")),"",IF(IFERROR(INDEX(Lists!$K$2:$K$15,MATCH(K235,Lists!$J$2:$J$15,0)),-1)=-1,"status '"&amp;K235&amp;"' is not a CONTRACTS status",IF(AND(K235="paid",COUNTIF(paid_brands!$AC$2:$AC$51,J235)=0),"status paid but no paid_brands row"&amp;IF(M235="N"," and no tracker row",""),IF(AND(IFERROR(INDEX(Lists!$K$2:$K$15,MATCH(K235,Lists!$J$2:$J$15,0)),-1)&gt;=6,M235="N"),"status "&amp;K235&amp;" but no tracker row",IF(AND(L235="Y",K235&lt;&gt;"do_not_contact"),"do_not_contact = Y but status is "&amp;K235,IF(AND(K235="do_not_contact",L235&lt;&gt;"Y"),"status do_not_contact but do_not_contact is not Y",""))))))</f>
        <v/>
      </c>
    </row>
    <row r="236" customFormat="false" ht="15" hidden="false" customHeight="false" outlineLevel="0" collapsed="false">
      <c r="B236" s="23" t="n">
        <v>215</v>
      </c>
      <c r="C236" s="23" t="str">
        <f aca="false">IFERROR(INDEX(Clay_Offices!$A$2:$FZ$601,B236,$C$5)&amp;"","")</f>
        <v/>
      </c>
      <c r="D236" s="23" t="str">
        <f aca="false">IFERROR(INDEX(Clay_Offices!$A$2:$FZ$601,B236,$C$7)&amp;"","")</f>
        <v/>
      </c>
      <c r="E236" s="23" t="str">
        <f aca="false">IFERROR(INDEX(Clay_Offices!$A$2:$FZ$601,B236,$C$8)&amp;"","")</f>
        <v/>
      </c>
      <c r="F236" s="23" t="str">
        <f aca="false">IF(C236="","",IF(COUNTIF(Office_Log!$A$2:$A$201,C236)&gt;0,"Y","N"))</f>
        <v/>
      </c>
      <c r="G236" s="34" t="str">
        <f aca="false">IF(OR(C236="",AND(LEFT(C236,6)="SAMPLE",Config!$B$19&lt;&gt;"Y")),"",IF(IFERROR(INDEX(Lists!$K$2:$K$15,MATCH(D236,Lists!$J$2:$J$15,0)),-1)=-1,"status '"&amp;D236&amp;"' is not a CONTRACTS status",IF(AND(D236="signed",COUNTIF(signed_offices!$W$2:$W$51,C236)=0),"status signed but no signed_offices row"&amp;IF(F236="N"," and no tracker row",""),IF(AND(IFERROR(INDEX(Lists!$K$2:$K$15,MATCH(D236,Lists!$J$2:$J$15,0)),-1)&gt;=6,F236="N"),"status "&amp;D236&amp;" but no tracker row",IF(AND(E236="Y",D236&lt;&gt;"do_not_contact"),"do_not_contact = Y but status is "&amp;D236,IF(AND(D236="do_not_contact",E236&lt;&gt;"Y"),"status do_not_contact but do_not_contact is not Y",""))))))</f>
        <v/>
      </c>
      <c r="I236" s="23" t="n">
        <v>215</v>
      </c>
      <c r="J236" s="23" t="str">
        <f aca="false">IFERROR(INDEX(Clay_Brands!$A$2:$FZ$601,I236,$D$5)&amp;"","")</f>
        <v/>
      </c>
      <c r="K236" s="23" t="str">
        <f aca="false">IFERROR(INDEX(Clay_Brands!$A$2:$FZ$601,I236,$D$7)&amp;"","")</f>
        <v/>
      </c>
      <c r="L236" s="23" t="str">
        <f aca="false">IFERROR(INDEX(Clay_Brands!$A$2:$FZ$601,I236,$D$8)&amp;"","")</f>
        <v/>
      </c>
      <c r="M236" s="23" t="str">
        <f aca="false">IF(J236="","",IF(COUNTIF(Brand_Log!$A$2:$A$201,J236)&gt;0,"Y","N"))</f>
        <v/>
      </c>
      <c r="N236" s="34" t="str">
        <f aca="false">IF(OR(J236="",AND(LEFT(J236,6)="SAMPLE",Config!$B$19&lt;&gt;"Y")),"",IF(IFERROR(INDEX(Lists!$K$2:$K$15,MATCH(K236,Lists!$J$2:$J$15,0)),-1)=-1,"status '"&amp;K236&amp;"' is not a CONTRACTS status",IF(AND(K236="paid",COUNTIF(paid_brands!$AC$2:$AC$51,J236)=0),"status paid but no paid_brands row"&amp;IF(M236="N"," and no tracker row",""),IF(AND(IFERROR(INDEX(Lists!$K$2:$K$15,MATCH(K236,Lists!$J$2:$J$15,0)),-1)&gt;=6,M236="N"),"status "&amp;K236&amp;" but no tracker row",IF(AND(L236="Y",K236&lt;&gt;"do_not_contact"),"do_not_contact = Y but status is "&amp;K236,IF(AND(K236="do_not_contact",L236&lt;&gt;"Y"),"status do_not_contact but do_not_contact is not Y",""))))))</f>
        <v/>
      </c>
    </row>
    <row r="237" customFormat="false" ht="15" hidden="false" customHeight="false" outlineLevel="0" collapsed="false">
      <c r="B237" s="23" t="n">
        <v>216</v>
      </c>
      <c r="C237" s="23" t="str">
        <f aca="false">IFERROR(INDEX(Clay_Offices!$A$2:$FZ$601,B237,$C$5)&amp;"","")</f>
        <v/>
      </c>
      <c r="D237" s="23" t="str">
        <f aca="false">IFERROR(INDEX(Clay_Offices!$A$2:$FZ$601,B237,$C$7)&amp;"","")</f>
        <v/>
      </c>
      <c r="E237" s="23" t="str">
        <f aca="false">IFERROR(INDEX(Clay_Offices!$A$2:$FZ$601,B237,$C$8)&amp;"","")</f>
        <v/>
      </c>
      <c r="F237" s="23" t="str">
        <f aca="false">IF(C237="","",IF(COUNTIF(Office_Log!$A$2:$A$201,C237)&gt;0,"Y","N"))</f>
        <v/>
      </c>
      <c r="G237" s="34" t="str">
        <f aca="false">IF(OR(C237="",AND(LEFT(C237,6)="SAMPLE",Config!$B$19&lt;&gt;"Y")),"",IF(IFERROR(INDEX(Lists!$K$2:$K$15,MATCH(D237,Lists!$J$2:$J$15,0)),-1)=-1,"status '"&amp;D237&amp;"' is not a CONTRACTS status",IF(AND(D237="signed",COUNTIF(signed_offices!$W$2:$W$51,C237)=0),"status signed but no signed_offices row"&amp;IF(F237="N"," and no tracker row",""),IF(AND(IFERROR(INDEX(Lists!$K$2:$K$15,MATCH(D237,Lists!$J$2:$J$15,0)),-1)&gt;=6,F237="N"),"status "&amp;D237&amp;" but no tracker row",IF(AND(E237="Y",D237&lt;&gt;"do_not_contact"),"do_not_contact = Y but status is "&amp;D237,IF(AND(D237="do_not_contact",E237&lt;&gt;"Y"),"status do_not_contact but do_not_contact is not Y",""))))))</f>
        <v/>
      </c>
      <c r="I237" s="23" t="n">
        <v>216</v>
      </c>
      <c r="J237" s="23" t="str">
        <f aca="false">IFERROR(INDEX(Clay_Brands!$A$2:$FZ$601,I237,$D$5)&amp;"","")</f>
        <v/>
      </c>
      <c r="K237" s="23" t="str">
        <f aca="false">IFERROR(INDEX(Clay_Brands!$A$2:$FZ$601,I237,$D$7)&amp;"","")</f>
        <v/>
      </c>
      <c r="L237" s="23" t="str">
        <f aca="false">IFERROR(INDEX(Clay_Brands!$A$2:$FZ$601,I237,$D$8)&amp;"","")</f>
        <v/>
      </c>
      <c r="M237" s="23" t="str">
        <f aca="false">IF(J237="","",IF(COUNTIF(Brand_Log!$A$2:$A$201,J237)&gt;0,"Y","N"))</f>
        <v/>
      </c>
      <c r="N237" s="34" t="str">
        <f aca="false">IF(OR(J237="",AND(LEFT(J237,6)="SAMPLE",Config!$B$19&lt;&gt;"Y")),"",IF(IFERROR(INDEX(Lists!$K$2:$K$15,MATCH(K237,Lists!$J$2:$J$15,0)),-1)=-1,"status '"&amp;K237&amp;"' is not a CONTRACTS status",IF(AND(K237="paid",COUNTIF(paid_brands!$AC$2:$AC$51,J237)=0),"status paid but no paid_brands row"&amp;IF(M237="N"," and no tracker row",""),IF(AND(IFERROR(INDEX(Lists!$K$2:$K$15,MATCH(K237,Lists!$J$2:$J$15,0)),-1)&gt;=6,M237="N"),"status "&amp;K237&amp;" but no tracker row",IF(AND(L237="Y",K237&lt;&gt;"do_not_contact"),"do_not_contact = Y but status is "&amp;K237,IF(AND(K237="do_not_contact",L237&lt;&gt;"Y"),"status do_not_contact but do_not_contact is not Y",""))))))</f>
        <v/>
      </c>
    </row>
    <row r="238" customFormat="false" ht="15" hidden="false" customHeight="false" outlineLevel="0" collapsed="false">
      <c r="B238" s="23" t="n">
        <v>217</v>
      </c>
      <c r="C238" s="23" t="str">
        <f aca="false">IFERROR(INDEX(Clay_Offices!$A$2:$FZ$601,B238,$C$5)&amp;"","")</f>
        <v/>
      </c>
      <c r="D238" s="23" t="str">
        <f aca="false">IFERROR(INDEX(Clay_Offices!$A$2:$FZ$601,B238,$C$7)&amp;"","")</f>
        <v/>
      </c>
      <c r="E238" s="23" t="str">
        <f aca="false">IFERROR(INDEX(Clay_Offices!$A$2:$FZ$601,B238,$C$8)&amp;"","")</f>
        <v/>
      </c>
      <c r="F238" s="23" t="str">
        <f aca="false">IF(C238="","",IF(COUNTIF(Office_Log!$A$2:$A$201,C238)&gt;0,"Y","N"))</f>
        <v/>
      </c>
      <c r="G238" s="34" t="str">
        <f aca="false">IF(OR(C238="",AND(LEFT(C238,6)="SAMPLE",Config!$B$19&lt;&gt;"Y")),"",IF(IFERROR(INDEX(Lists!$K$2:$K$15,MATCH(D238,Lists!$J$2:$J$15,0)),-1)=-1,"status '"&amp;D238&amp;"' is not a CONTRACTS status",IF(AND(D238="signed",COUNTIF(signed_offices!$W$2:$W$51,C238)=0),"status signed but no signed_offices row"&amp;IF(F238="N"," and no tracker row",""),IF(AND(IFERROR(INDEX(Lists!$K$2:$K$15,MATCH(D238,Lists!$J$2:$J$15,0)),-1)&gt;=6,F238="N"),"status "&amp;D238&amp;" but no tracker row",IF(AND(E238="Y",D238&lt;&gt;"do_not_contact"),"do_not_contact = Y but status is "&amp;D238,IF(AND(D238="do_not_contact",E238&lt;&gt;"Y"),"status do_not_contact but do_not_contact is not Y",""))))))</f>
        <v/>
      </c>
      <c r="I238" s="23" t="n">
        <v>217</v>
      </c>
      <c r="J238" s="23" t="str">
        <f aca="false">IFERROR(INDEX(Clay_Brands!$A$2:$FZ$601,I238,$D$5)&amp;"","")</f>
        <v/>
      </c>
      <c r="K238" s="23" t="str">
        <f aca="false">IFERROR(INDEX(Clay_Brands!$A$2:$FZ$601,I238,$D$7)&amp;"","")</f>
        <v/>
      </c>
      <c r="L238" s="23" t="str">
        <f aca="false">IFERROR(INDEX(Clay_Brands!$A$2:$FZ$601,I238,$D$8)&amp;"","")</f>
        <v/>
      </c>
      <c r="M238" s="23" t="str">
        <f aca="false">IF(J238="","",IF(COUNTIF(Brand_Log!$A$2:$A$201,J238)&gt;0,"Y","N"))</f>
        <v/>
      </c>
      <c r="N238" s="34" t="str">
        <f aca="false">IF(OR(J238="",AND(LEFT(J238,6)="SAMPLE",Config!$B$19&lt;&gt;"Y")),"",IF(IFERROR(INDEX(Lists!$K$2:$K$15,MATCH(K238,Lists!$J$2:$J$15,0)),-1)=-1,"status '"&amp;K238&amp;"' is not a CONTRACTS status",IF(AND(K238="paid",COUNTIF(paid_brands!$AC$2:$AC$51,J238)=0),"status paid but no paid_brands row"&amp;IF(M238="N"," and no tracker row",""),IF(AND(IFERROR(INDEX(Lists!$K$2:$K$15,MATCH(K238,Lists!$J$2:$J$15,0)),-1)&gt;=6,M238="N"),"status "&amp;K238&amp;" but no tracker row",IF(AND(L238="Y",K238&lt;&gt;"do_not_contact"),"do_not_contact = Y but status is "&amp;K238,IF(AND(K238="do_not_contact",L238&lt;&gt;"Y"),"status do_not_contact but do_not_contact is not Y",""))))))</f>
        <v/>
      </c>
    </row>
    <row r="239" customFormat="false" ht="15" hidden="false" customHeight="false" outlineLevel="0" collapsed="false">
      <c r="B239" s="23" t="n">
        <v>218</v>
      </c>
      <c r="C239" s="23" t="str">
        <f aca="false">IFERROR(INDEX(Clay_Offices!$A$2:$FZ$601,B239,$C$5)&amp;"","")</f>
        <v/>
      </c>
      <c r="D239" s="23" t="str">
        <f aca="false">IFERROR(INDEX(Clay_Offices!$A$2:$FZ$601,B239,$C$7)&amp;"","")</f>
        <v/>
      </c>
      <c r="E239" s="23" t="str">
        <f aca="false">IFERROR(INDEX(Clay_Offices!$A$2:$FZ$601,B239,$C$8)&amp;"","")</f>
        <v/>
      </c>
      <c r="F239" s="23" t="str">
        <f aca="false">IF(C239="","",IF(COUNTIF(Office_Log!$A$2:$A$201,C239)&gt;0,"Y","N"))</f>
        <v/>
      </c>
      <c r="G239" s="34" t="str">
        <f aca="false">IF(OR(C239="",AND(LEFT(C239,6)="SAMPLE",Config!$B$19&lt;&gt;"Y")),"",IF(IFERROR(INDEX(Lists!$K$2:$K$15,MATCH(D239,Lists!$J$2:$J$15,0)),-1)=-1,"status '"&amp;D239&amp;"' is not a CONTRACTS status",IF(AND(D239="signed",COUNTIF(signed_offices!$W$2:$W$51,C239)=0),"status signed but no signed_offices row"&amp;IF(F239="N"," and no tracker row",""),IF(AND(IFERROR(INDEX(Lists!$K$2:$K$15,MATCH(D239,Lists!$J$2:$J$15,0)),-1)&gt;=6,F239="N"),"status "&amp;D239&amp;" but no tracker row",IF(AND(E239="Y",D239&lt;&gt;"do_not_contact"),"do_not_contact = Y but status is "&amp;D239,IF(AND(D239="do_not_contact",E239&lt;&gt;"Y"),"status do_not_contact but do_not_contact is not Y",""))))))</f>
        <v/>
      </c>
      <c r="I239" s="23" t="n">
        <v>218</v>
      </c>
      <c r="J239" s="23" t="str">
        <f aca="false">IFERROR(INDEX(Clay_Brands!$A$2:$FZ$601,I239,$D$5)&amp;"","")</f>
        <v/>
      </c>
      <c r="K239" s="23" t="str">
        <f aca="false">IFERROR(INDEX(Clay_Brands!$A$2:$FZ$601,I239,$D$7)&amp;"","")</f>
        <v/>
      </c>
      <c r="L239" s="23" t="str">
        <f aca="false">IFERROR(INDEX(Clay_Brands!$A$2:$FZ$601,I239,$D$8)&amp;"","")</f>
        <v/>
      </c>
      <c r="M239" s="23" t="str">
        <f aca="false">IF(J239="","",IF(COUNTIF(Brand_Log!$A$2:$A$201,J239)&gt;0,"Y","N"))</f>
        <v/>
      </c>
      <c r="N239" s="34" t="str">
        <f aca="false">IF(OR(J239="",AND(LEFT(J239,6)="SAMPLE",Config!$B$19&lt;&gt;"Y")),"",IF(IFERROR(INDEX(Lists!$K$2:$K$15,MATCH(K239,Lists!$J$2:$J$15,0)),-1)=-1,"status '"&amp;K239&amp;"' is not a CONTRACTS status",IF(AND(K239="paid",COUNTIF(paid_brands!$AC$2:$AC$51,J239)=0),"status paid but no paid_brands row"&amp;IF(M239="N"," and no tracker row",""),IF(AND(IFERROR(INDEX(Lists!$K$2:$K$15,MATCH(K239,Lists!$J$2:$J$15,0)),-1)&gt;=6,M239="N"),"status "&amp;K239&amp;" but no tracker row",IF(AND(L239="Y",K239&lt;&gt;"do_not_contact"),"do_not_contact = Y but status is "&amp;K239,IF(AND(K239="do_not_contact",L239&lt;&gt;"Y"),"status do_not_contact but do_not_contact is not Y",""))))))</f>
        <v/>
      </c>
    </row>
    <row r="240" customFormat="false" ht="15" hidden="false" customHeight="false" outlineLevel="0" collapsed="false">
      <c r="B240" s="23" t="n">
        <v>219</v>
      </c>
      <c r="C240" s="23" t="str">
        <f aca="false">IFERROR(INDEX(Clay_Offices!$A$2:$FZ$601,B240,$C$5)&amp;"","")</f>
        <v/>
      </c>
      <c r="D240" s="23" t="str">
        <f aca="false">IFERROR(INDEX(Clay_Offices!$A$2:$FZ$601,B240,$C$7)&amp;"","")</f>
        <v/>
      </c>
      <c r="E240" s="23" t="str">
        <f aca="false">IFERROR(INDEX(Clay_Offices!$A$2:$FZ$601,B240,$C$8)&amp;"","")</f>
        <v/>
      </c>
      <c r="F240" s="23" t="str">
        <f aca="false">IF(C240="","",IF(COUNTIF(Office_Log!$A$2:$A$201,C240)&gt;0,"Y","N"))</f>
        <v/>
      </c>
      <c r="G240" s="34" t="str">
        <f aca="false">IF(OR(C240="",AND(LEFT(C240,6)="SAMPLE",Config!$B$19&lt;&gt;"Y")),"",IF(IFERROR(INDEX(Lists!$K$2:$K$15,MATCH(D240,Lists!$J$2:$J$15,0)),-1)=-1,"status '"&amp;D240&amp;"' is not a CONTRACTS status",IF(AND(D240="signed",COUNTIF(signed_offices!$W$2:$W$51,C240)=0),"status signed but no signed_offices row"&amp;IF(F240="N"," and no tracker row",""),IF(AND(IFERROR(INDEX(Lists!$K$2:$K$15,MATCH(D240,Lists!$J$2:$J$15,0)),-1)&gt;=6,F240="N"),"status "&amp;D240&amp;" but no tracker row",IF(AND(E240="Y",D240&lt;&gt;"do_not_contact"),"do_not_contact = Y but status is "&amp;D240,IF(AND(D240="do_not_contact",E240&lt;&gt;"Y"),"status do_not_contact but do_not_contact is not Y",""))))))</f>
        <v/>
      </c>
      <c r="I240" s="23" t="n">
        <v>219</v>
      </c>
      <c r="J240" s="23" t="str">
        <f aca="false">IFERROR(INDEX(Clay_Brands!$A$2:$FZ$601,I240,$D$5)&amp;"","")</f>
        <v/>
      </c>
      <c r="K240" s="23" t="str">
        <f aca="false">IFERROR(INDEX(Clay_Brands!$A$2:$FZ$601,I240,$D$7)&amp;"","")</f>
        <v/>
      </c>
      <c r="L240" s="23" t="str">
        <f aca="false">IFERROR(INDEX(Clay_Brands!$A$2:$FZ$601,I240,$D$8)&amp;"","")</f>
        <v/>
      </c>
      <c r="M240" s="23" t="str">
        <f aca="false">IF(J240="","",IF(COUNTIF(Brand_Log!$A$2:$A$201,J240)&gt;0,"Y","N"))</f>
        <v/>
      </c>
      <c r="N240" s="34" t="str">
        <f aca="false">IF(OR(J240="",AND(LEFT(J240,6)="SAMPLE",Config!$B$19&lt;&gt;"Y")),"",IF(IFERROR(INDEX(Lists!$K$2:$K$15,MATCH(K240,Lists!$J$2:$J$15,0)),-1)=-1,"status '"&amp;K240&amp;"' is not a CONTRACTS status",IF(AND(K240="paid",COUNTIF(paid_brands!$AC$2:$AC$51,J240)=0),"status paid but no paid_brands row"&amp;IF(M240="N"," and no tracker row",""),IF(AND(IFERROR(INDEX(Lists!$K$2:$K$15,MATCH(K240,Lists!$J$2:$J$15,0)),-1)&gt;=6,M240="N"),"status "&amp;K240&amp;" but no tracker row",IF(AND(L240="Y",K240&lt;&gt;"do_not_contact"),"do_not_contact = Y but status is "&amp;K240,IF(AND(K240="do_not_contact",L240&lt;&gt;"Y"),"status do_not_contact but do_not_contact is not Y",""))))))</f>
        <v/>
      </c>
    </row>
    <row r="241" customFormat="false" ht="15" hidden="false" customHeight="false" outlineLevel="0" collapsed="false">
      <c r="B241" s="23" t="n">
        <v>220</v>
      </c>
      <c r="C241" s="23" t="str">
        <f aca="false">IFERROR(INDEX(Clay_Offices!$A$2:$FZ$601,B241,$C$5)&amp;"","")</f>
        <v/>
      </c>
      <c r="D241" s="23" t="str">
        <f aca="false">IFERROR(INDEX(Clay_Offices!$A$2:$FZ$601,B241,$C$7)&amp;"","")</f>
        <v/>
      </c>
      <c r="E241" s="23" t="str">
        <f aca="false">IFERROR(INDEX(Clay_Offices!$A$2:$FZ$601,B241,$C$8)&amp;"","")</f>
        <v/>
      </c>
      <c r="F241" s="23" t="str">
        <f aca="false">IF(C241="","",IF(COUNTIF(Office_Log!$A$2:$A$201,C241)&gt;0,"Y","N"))</f>
        <v/>
      </c>
      <c r="G241" s="34" t="str">
        <f aca="false">IF(OR(C241="",AND(LEFT(C241,6)="SAMPLE",Config!$B$19&lt;&gt;"Y")),"",IF(IFERROR(INDEX(Lists!$K$2:$K$15,MATCH(D241,Lists!$J$2:$J$15,0)),-1)=-1,"status '"&amp;D241&amp;"' is not a CONTRACTS status",IF(AND(D241="signed",COUNTIF(signed_offices!$W$2:$W$51,C241)=0),"status signed but no signed_offices row"&amp;IF(F241="N"," and no tracker row",""),IF(AND(IFERROR(INDEX(Lists!$K$2:$K$15,MATCH(D241,Lists!$J$2:$J$15,0)),-1)&gt;=6,F241="N"),"status "&amp;D241&amp;" but no tracker row",IF(AND(E241="Y",D241&lt;&gt;"do_not_contact"),"do_not_contact = Y but status is "&amp;D241,IF(AND(D241="do_not_contact",E241&lt;&gt;"Y"),"status do_not_contact but do_not_contact is not Y",""))))))</f>
        <v/>
      </c>
      <c r="I241" s="23" t="n">
        <v>220</v>
      </c>
      <c r="J241" s="23" t="str">
        <f aca="false">IFERROR(INDEX(Clay_Brands!$A$2:$FZ$601,I241,$D$5)&amp;"","")</f>
        <v/>
      </c>
      <c r="K241" s="23" t="str">
        <f aca="false">IFERROR(INDEX(Clay_Brands!$A$2:$FZ$601,I241,$D$7)&amp;"","")</f>
        <v/>
      </c>
      <c r="L241" s="23" t="str">
        <f aca="false">IFERROR(INDEX(Clay_Brands!$A$2:$FZ$601,I241,$D$8)&amp;"","")</f>
        <v/>
      </c>
      <c r="M241" s="23" t="str">
        <f aca="false">IF(J241="","",IF(COUNTIF(Brand_Log!$A$2:$A$201,J241)&gt;0,"Y","N"))</f>
        <v/>
      </c>
      <c r="N241" s="34" t="str">
        <f aca="false">IF(OR(J241="",AND(LEFT(J241,6)="SAMPLE",Config!$B$19&lt;&gt;"Y")),"",IF(IFERROR(INDEX(Lists!$K$2:$K$15,MATCH(K241,Lists!$J$2:$J$15,0)),-1)=-1,"status '"&amp;K241&amp;"' is not a CONTRACTS status",IF(AND(K241="paid",COUNTIF(paid_brands!$AC$2:$AC$51,J241)=0),"status paid but no paid_brands row"&amp;IF(M241="N"," and no tracker row",""),IF(AND(IFERROR(INDEX(Lists!$K$2:$K$15,MATCH(K241,Lists!$J$2:$J$15,0)),-1)&gt;=6,M241="N"),"status "&amp;K241&amp;" but no tracker row",IF(AND(L241="Y",K241&lt;&gt;"do_not_contact"),"do_not_contact = Y but status is "&amp;K241,IF(AND(K241="do_not_contact",L241&lt;&gt;"Y"),"status do_not_contact but do_not_contact is not Y",""))))))</f>
        <v/>
      </c>
    </row>
    <row r="242" customFormat="false" ht="15" hidden="false" customHeight="false" outlineLevel="0" collapsed="false">
      <c r="B242" s="23" t="n">
        <v>221</v>
      </c>
      <c r="C242" s="23" t="str">
        <f aca="false">IFERROR(INDEX(Clay_Offices!$A$2:$FZ$601,B242,$C$5)&amp;"","")</f>
        <v/>
      </c>
      <c r="D242" s="23" t="str">
        <f aca="false">IFERROR(INDEX(Clay_Offices!$A$2:$FZ$601,B242,$C$7)&amp;"","")</f>
        <v/>
      </c>
      <c r="E242" s="23" t="str">
        <f aca="false">IFERROR(INDEX(Clay_Offices!$A$2:$FZ$601,B242,$C$8)&amp;"","")</f>
        <v/>
      </c>
      <c r="F242" s="23" t="str">
        <f aca="false">IF(C242="","",IF(COUNTIF(Office_Log!$A$2:$A$201,C242)&gt;0,"Y","N"))</f>
        <v/>
      </c>
      <c r="G242" s="34" t="str">
        <f aca="false">IF(OR(C242="",AND(LEFT(C242,6)="SAMPLE",Config!$B$19&lt;&gt;"Y")),"",IF(IFERROR(INDEX(Lists!$K$2:$K$15,MATCH(D242,Lists!$J$2:$J$15,0)),-1)=-1,"status '"&amp;D242&amp;"' is not a CONTRACTS status",IF(AND(D242="signed",COUNTIF(signed_offices!$W$2:$W$51,C242)=0),"status signed but no signed_offices row"&amp;IF(F242="N"," and no tracker row",""),IF(AND(IFERROR(INDEX(Lists!$K$2:$K$15,MATCH(D242,Lists!$J$2:$J$15,0)),-1)&gt;=6,F242="N"),"status "&amp;D242&amp;" but no tracker row",IF(AND(E242="Y",D242&lt;&gt;"do_not_contact"),"do_not_contact = Y but status is "&amp;D242,IF(AND(D242="do_not_contact",E242&lt;&gt;"Y"),"status do_not_contact but do_not_contact is not Y",""))))))</f>
        <v/>
      </c>
      <c r="I242" s="23" t="n">
        <v>221</v>
      </c>
      <c r="J242" s="23" t="str">
        <f aca="false">IFERROR(INDEX(Clay_Brands!$A$2:$FZ$601,I242,$D$5)&amp;"","")</f>
        <v/>
      </c>
      <c r="K242" s="23" t="str">
        <f aca="false">IFERROR(INDEX(Clay_Brands!$A$2:$FZ$601,I242,$D$7)&amp;"","")</f>
        <v/>
      </c>
      <c r="L242" s="23" t="str">
        <f aca="false">IFERROR(INDEX(Clay_Brands!$A$2:$FZ$601,I242,$D$8)&amp;"","")</f>
        <v/>
      </c>
      <c r="M242" s="23" t="str">
        <f aca="false">IF(J242="","",IF(COUNTIF(Brand_Log!$A$2:$A$201,J242)&gt;0,"Y","N"))</f>
        <v/>
      </c>
      <c r="N242" s="34" t="str">
        <f aca="false">IF(OR(J242="",AND(LEFT(J242,6)="SAMPLE",Config!$B$19&lt;&gt;"Y")),"",IF(IFERROR(INDEX(Lists!$K$2:$K$15,MATCH(K242,Lists!$J$2:$J$15,0)),-1)=-1,"status '"&amp;K242&amp;"' is not a CONTRACTS status",IF(AND(K242="paid",COUNTIF(paid_brands!$AC$2:$AC$51,J242)=0),"status paid but no paid_brands row"&amp;IF(M242="N"," and no tracker row",""),IF(AND(IFERROR(INDEX(Lists!$K$2:$K$15,MATCH(K242,Lists!$J$2:$J$15,0)),-1)&gt;=6,M242="N"),"status "&amp;K242&amp;" but no tracker row",IF(AND(L242="Y",K242&lt;&gt;"do_not_contact"),"do_not_contact = Y but status is "&amp;K242,IF(AND(K242="do_not_contact",L242&lt;&gt;"Y"),"status do_not_contact but do_not_contact is not Y",""))))))</f>
        <v/>
      </c>
    </row>
    <row r="243" customFormat="false" ht="15" hidden="false" customHeight="false" outlineLevel="0" collapsed="false">
      <c r="B243" s="23" t="n">
        <v>222</v>
      </c>
      <c r="C243" s="23" t="str">
        <f aca="false">IFERROR(INDEX(Clay_Offices!$A$2:$FZ$601,B243,$C$5)&amp;"","")</f>
        <v/>
      </c>
      <c r="D243" s="23" t="str">
        <f aca="false">IFERROR(INDEX(Clay_Offices!$A$2:$FZ$601,B243,$C$7)&amp;"","")</f>
        <v/>
      </c>
      <c r="E243" s="23" t="str">
        <f aca="false">IFERROR(INDEX(Clay_Offices!$A$2:$FZ$601,B243,$C$8)&amp;"","")</f>
        <v/>
      </c>
      <c r="F243" s="23" t="str">
        <f aca="false">IF(C243="","",IF(COUNTIF(Office_Log!$A$2:$A$201,C243)&gt;0,"Y","N"))</f>
        <v/>
      </c>
      <c r="G243" s="34" t="str">
        <f aca="false">IF(OR(C243="",AND(LEFT(C243,6)="SAMPLE",Config!$B$19&lt;&gt;"Y")),"",IF(IFERROR(INDEX(Lists!$K$2:$K$15,MATCH(D243,Lists!$J$2:$J$15,0)),-1)=-1,"status '"&amp;D243&amp;"' is not a CONTRACTS status",IF(AND(D243="signed",COUNTIF(signed_offices!$W$2:$W$51,C243)=0),"status signed but no signed_offices row"&amp;IF(F243="N"," and no tracker row",""),IF(AND(IFERROR(INDEX(Lists!$K$2:$K$15,MATCH(D243,Lists!$J$2:$J$15,0)),-1)&gt;=6,F243="N"),"status "&amp;D243&amp;" but no tracker row",IF(AND(E243="Y",D243&lt;&gt;"do_not_contact"),"do_not_contact = Y but status is "&amp;D243,IF(AND(D243="do_not_contact",E243&lt;&gt;"Y"),"status do_not_contact but do_not_contact is not Y",""))))))</f>
        <v/>
      </c>
      <c r="I243" s="23" t="n">
        <v>222</v>
      </c>
      <c r="J243" s="23" t="str">
        <f aca="false">IFERROR(INDEX(Clay_Brands!$A$2:$FZ$601,I243,$D$5)&amp;"","")</f>
        <v/>
      </c>
      <c r="K243" s="23" t="str">
        <f aca="false">IFERROR(INDEX(Clay_Brands!$A$2:$FZ$601,I243,$D$7)&amp;"","")</f>
        <v/>
      </c>
      <c r="L243" s="23" t="str">
        <f aca="false">IFERROR(INDEX(Clay_Brands!$A$2:$FZ$601,I243,$D$8)&amp;"","")</f>
        <v/>
      </c>
      <c r="M243" s="23" t="str">
        <f aca="false">IF(J243="","",IF(COUNTIF(Brand_Log!$A$2:$A$201,J243)&gt;0,"Y","N"))</f>
        <v/>
      </c>
      <c r="N243" s="34" t="str">
        <f aca="false">IF(OR(J243="",AND(LEFT(J243,6)="SAMPLE",Config!$B$19&lt;&gt;"Y")),"",IF(IFERROR(INDEX(Lists!$K$2:$K$15,MATCH(K243,Lists!$J$2:$J$15,0)),-1)=-1,"status '"&amp;K243&amp;"' is not a CONTRACTS status",IF(AND(K243="paid",COUNTIF(paid_brands!$AC$2:$AC$51,J243)=0),"status paid but no paid_brands row"&amp;IF(M243="N"," and no tracker row",""),IF(AND(IFERROR(INDEX(Lists!$K$2:$K$15,MATCH(K243,Lists!$J$2:$J$15,0)),-1)&gt;=6,M243="N"),"status "&amp;K243&amp;" but no tracker row",IF(AND(L243="Y",K243&lt;&gt;"do_not_contact"),"do_not_contact = Y but status is "&amp;K243,IF(AND(K243="do_not_contact",L243&lt;&gt;"Y"),"status do_not_contact but do_not_contact is not Y",""))))))</f>
        <v/>
      </c>
    </row>
    <row r="244" customFormat="false" ht="15" hidden="false" customHeight="false" outlineLevel="0" collapsed="false">
      <c r="B244" s="23" t="n">
        <v>223</v>
      </c>
      <c r="C244" s="23" t="str">
        <f aca="false">IFERROR(INDEX(Clay_Offices!$A$2:$FZ$601,B244,$C$5)&amp;"","")</f>
        <v/>
      </c>
      <c r="D244" s="23" t="str">
        <f aca="false">IFERROR(INDEX(Clay_Offices!$A$2:$FZ$601,B244,$C$7)&amp;"","")</f>
        <v/>
      </c>
      <c r="E244" s="23" t="str">
        <f aca="false">IFERROR(INDEX(Clay_Offices!$A$2:$FZ$601,B244,$C$8)&amp;"","")</f>
        <v/>
      </c>
      <c r="F244" s="23" t="str">
        <f aca="false">IF(C244="","",IF(COUNTIF(Office_Log!$A$2:$A$201,C244)&gt;0,"Y","N"))</f>
        <v/>
      </c>
      <c r="G244" s="34" t="str">
        <f aca="false">IF(OR(C244="",AND(LEFT(C244,6)="SAMPLE",Config!$B$19&lt;&gt;"Y")),"",IF(IFERROR(INDEX(Lists!$K$2:$K$15,MATCH(D244,Lists!$J$2:$J$15,0)),-1)=-1,"status '"&amp;D244&amp;"' is not a CONTRACTS status",IF(AND(D244="signed",COUNTIF(signed_offices!$W$2:$W$51,C244)=0),"status signed but no signed_offices row"&amp;IF(F244="N"," and no tracker row",""),IF(AND(IFERROR(INDEX(Lists!$K$2:$K$15,MATCH(D244,Lists!$J$2:$J$15,0)),-1)&gt;=6,F244="N"),"status "&amp;D244&amp;" but no tracker row",IF(AND(E244="Y",D244&lt;&gt;"do_not_contact"),"do_not_contact = Y but status is "&amp;D244,IF(AND(D244="do_not_contact",E244&lt;&gt;"Y"),"status do_not_contact but do_not_contact is not Y",""))))))</f>
        <v/>
      </c>
      <c r="I244" s="23" t="n">
        <v>223</v>
      </c>
      <c r="J244" s="23" t="str">
        <f aca="false">IFERROR(INDEX(Clay_Brands!$A$2:$FZ$601,I244,$D$5)&amp;"","")</f>
        <v/>
      </c>
      <c r="K244" s="23" t="str">
        <f aca="false">IFERROR(INDEX(Clay_Brands!$A$2:$FZ$601,I244,$D$7)&amp;"","")</f>
        <v/>
      </c>
      <c r="L244" s="23" t="str">
        <f aca="false">IFERROR(INDEX(Clay_Brands!$A$2:$FZ$601,I244,$D$8)&amp;"","")</f>
        <v/>
      </c>
      <c r="M244" s="23" t="str">
        <f aca="false">IF(J244="","",IF(COUNTIF(Brand_Log!$A$2:$A$201,J244)&gt;0,"Y","N"))</f>
        <v/>
      </c>
      <c r="N244" s="34" t="str">
        <f aca="false">IF(OR(J244="",AND(LEFT(J244,6)="SAMPLE",Config!$B$19&lt;&gt;"Y")),"",IF(IFERROR(INDEX(Lists!$K$2:$K$15,MATCH(K244,Lists!$J$2:$J$15,0)),-1)=-1,"status '"&amp;K244&amp;"' is not a CONTRACTS status",IF(AND(K244="paid",COUNTIF(paid_brands!$AC$2:$AC$51,J244)=0),"status paid but no paid_brands row"&amp;IF(M244="N"," and no tracker row",""),IF(AND(IFERROR(INDEX(Lists!$K$2:$K$15,MATCH(K244,Lists!$J$2:$J$15,0)),-1)&gt;=6,M244="N"),"status "&amp;K244&amp;" but no tracker row",IF(AND(L244="Y",K244&lt;&gt;"do_not_contact"),"do_not_contact = Y but status is "&amp;K244,IF(AND(K244="do_not_contact",L244&lt;&gt;"Y"),"status do_not_contact but do_not_contact is not Y",""))))))</f>
        <v/>
      </c>
    </row>
    <row r="245" customFormat="false" ht="15" hidden="false" customHeight="false" outlineLevel="0" collapsed="false">
      <c r="B245" s="23" t="n">
        <v>224</v>
      </c>
      <c r="C245" s="23" t="str">
        <f aca="false">IFERROR(INDEX(Clay_Offices!$A$2:$FZ$601,B245,$C$5)&amp;"","")</f>
        <v/>
      </c>
      <c r="D245" s="23" t="str">
        <f aca="false">IFERROR(INDEX(Clay_Offices!$A$2:$FZ$601,B245,$C$7)&amp;"","")</f>
        <v/>
      </c>
      <c r="E245" s="23" t="str">
        <f aca="false">IFERROR(INDEX(Clay_Offices!$A$2:$FZ$601,B245,$C$8)&amp;"","")</f>
        <v/>
      </c>
      <c r="F245" s="23" t="str">
        <f aca="false">IF(C245="","",IF(COUNTIF(Office_Log!$A$2:$A$201,C245)&gt;0,"Y","N"))</f>
        <v/>
      </c>
      <c r="G245" s="34" t="str">
        <f aca="false">IF(OR(C245="",AND(LEFT(C245,6)="SAMPLE",Config!$B$19&lt;&gt;"Y")),"",IF(IFERROR(INDEX(Lists!$K$2:$K$15,MATCH(D245,Lists!$J$2:$J$15,0)),-1)=-1,"status '"&amp;D245&amp;"' is not a CONTRACTS status",IF(AND(D245="signed",COUNTIF(signed_offices!$W$2:$W$51,C245)=0),"status signed but no signed_offices row"&amp;IF(F245="N"," and no tracker row",""),IF(AND(IFERROR(INDEX(Lists!$K$2:$K$15,MATCH(D245,Lists!$J$2:$J$15,0)),-1)&gt;=6,F245="N"),"status "&amp;D245&amp;" but no tracker row",IF(AND(E245="Y",D245&lt;&gt;"do_not_contact"),"do_not_contact = Y but status is "&amp;D245,IF(AND(D245="do_not_contact",E245&lt;&gt;"Y"),"status do_not_contact but do_not_contact is not Y",""))))))</f>
        <v/>
      </c>
      <c r="I245" s="23" t="n">
        <v>224</v>
      </c>
      <c r="J245" s="23" t="str">
        <f aca="false">IFERROR(INDEX(Clay_Brands!$A$2:$FZ$601,I245,$D$5)&amp;"","")</f>
        <v/>
      </c>
      <c r="K245" s="23" t="str">
        <f aca="false">IFERROR(INDEX(Clay_Brands!$A$2:$FZ$601,I245,$D$7)&amp;"","")</f>
        <v/>
      </c>
      <c r="L245" s="23" t="str">
        <f aca="false">IFERROR(INDEX(Clay_Brands!$A$2:$FZ$601,I245,$D$8)&amp;"","")</f>
        <v/>
      </c>
      <c r="M245" s="23" t="str">
        <f aca="false">IF(J245="","",IF(COUNTIF(Brand_Log!$A$2:$A$201,J245)&gt;0,"Y","N"))</f>
        <v/>
      </c>
      <c r="N245" s="34" t="str">
        <f aca="false">IF(OR(J245="",AND(LEFT(J245,6)="SAMPLE",Config!$B$19&lt;&gt;"Y")),"",IF(IFERROR(INDEX(Lists!$K$2:$K$15,MATCH(K245,Lists!$J$2:$J$15,0)),-1)=-1,"status '"&amp;K245&amp;"' is not a CONTRACTS status",IF(AND(K245="paid",COUNTIF(paid_brands!$AC$2:$AC$51,J245)=0),"status paid but no paid_brands row"&amp;IF(M245="N"," and no tracker row",""),IF(AND(IFERROR(INDEX(Lists!$K$2:$K$15,MATCH(K245,Lists!$J$2:$J$15,0)),-1)&gt;=6,M245="N"),"status "&amp;K245&amp;" but no tracker row",IF(AND(L245="Y",K245&lt;&gt;"do_not_contact"),"do_not_contact = Y but status is "&amp;K245,IF(AND(K245="do_not_contact",L245&lt;&gt;"Y"),"status do_not_contact but do_not_contact is not Y",""))))))</f>
        <v/>
      </c>
    </row>
    <row r="246" customFormat="false" ht="15" hidden="false" customHeight="false" outlineLevel="0" collapsed="false">
      <c r="B246" s="23" t="n">
        <v>225</v>
      </c>
      <c r="C246" s="23" t="str">
        <f aca="false">IFERROR(INDEX(Clay_Offices!$A$2:$FZ$601,B246,$C$5)&amp;"","")</f>
        <v/>
      </c>
      <c r="D246" s="23" t="str">
        <f aca="false">IFERROR(INDEX(Clay_Offices!$A$2:$FZ$601,B246,$C$7)&amp;"","")</f>
        <v/>
      </c>
      <c r="E246" s="23" t="str">
        <f aca="false">IFERROR(INDEX(Clay_Offices!$A$2:$FZ$601,B246,$C$8)&amp;"","")</f>
        <v/>
      </c>
      <c r="F246" s="23" t="str">
        <f aca="false">IF(C246="","",IF(COUNTIF(Office_Log!$A$2:$A$201,C246)&gt;0,"Y","N"))</f>
        <v/>
      </c>
      <c r="G246" s="34" t="str">
        <f aca="false">IF(OR(C246="",AND(LEFT(C246,6)="SAMPLE",Config!$B$19&lt;&gt;"Y")),"",IF(IFERROR(INDEX(Lists!$K$2:$K$15,MATCH(D246,Lists!$J$2:$J$15,0)),-1)=-1,"status '"&amp;D246&amp;"' is not a CONTRACTS status",IF(AND(D246="signed",COUNTIF(signed_offices!$W$2:$W$51,C246)=0),"status signed but no signed_offices row"&amp;IF(F246="N"," and no tracker row",""),IF(AND(IFERROR(INDEX(Lists!$K$2:$K$15,MATCH(D246,Lists!$J$2:$J$15,0)),-1)&gt;=6,F246="N"),"status "&amp;D246&amp;" but no tracker row",IF(AND(E246="Y",D246&lt;&gt;"do_not_contact"),"do_not_contact = Y but status is "&amp;D246,IF(AND(D246="do_not_contact",E246&lt;&gt;"Y"),"status do_not_contact but do_not_contact is not Y",""))))))</f>
        <v/>
      </c>
      <c r="I246" s="23" t="n">
        <v>225</v>
      </c>
      <c r="J246" s="23" t="str">
        <f aca="false">IFERROR(INDEX(Clay_Brands!$A$2:$FZ$601,I246,$D$5)&amp;"","")</f>
        <v/>
      </c>
      <c r="K246" s="23" t="str">
        <f aca="false">IFERROR(INDEX(Clay_Brands!$A$2:$FZ$601,I246,$D$7)&amp;"","")</f>
        <v/>
      </c>
      <c r="L246" s="23" t="str">
        <f aca="false">IFERROR(INDEX(Clay_Brands!$A$2:$FZ$601,I246,$D$8)&amp;"","")</f>
        <v/>
      </c>
      <c r="M246" s="23" t="str">
        <f aca="false">IF(J246="","",IF(COUNTIF(Brand_Log!$A$2:$A$201,J246)&gt;0,"Y","N"))</f>
        <v/>
      </c>
      <c r="N246" s="34" t="str">
        <f aca="false">IF(OR(J246="",AND(LEFT(J246,6)="SAMPLE",Config!$B$19&lt;&gt;"Y")),"",IF(IFERROR(INDEX(Lists!$K$2:$K$15,MATCH(K246,Lists!$J$2:$J$15,0)),-1)=-1,"status '"&amp;K246&amp;"' is not a CONTRACTS status",IF(AND(K246="paid",COUNTIF(paid_brands!$AC$2:$AC$51,J246)=0),"status paid but no paid_brands row"&amp;IF(M246="N"," and no tracker row",""),IF(AND(IFERROR(INDEX(Lists!$K$2:$K$15,MATCH(K246,Lists!$J$2:$J$15,0)),-1)&gt;=6,M246="N"),"status "&amp;K246&amp;" but no tracker row",IF(AND(L246="Y",K246&lt;&gt;"do_not_contact"),"do_not_contact = Y but status is "&amp;K246,IF(AND(K246="do_not_contact",L246&lt;&gt;"Y"),"status do_not_contact but do_not_contact is not Y",""))))))</f>
        <v/>
      </c>
    </row>
    <row r="247" customFormat="false" ht="15" hidden="false" customHeight="false" outlineLevel="0" collapsed="false">
      <c r="B247" s="23" t="n">
        <v>226</v>
      </c>
      <c r="C247" s="23" t="str">
        <f aca="false">IFERROR(INDEX(Clay_Offices!$A$2:$FZ$601,B247,$C$5)&amp;"","")</f>
        <v/>
      </c>
      <c r="D247" s="23" t="str">
        <f aca="false">IFERROR(INDEX(Clay_Offices!$A$2:$FZ$601,B247,$C$7)&amp;"","")</f>
        <v/>
      </c>
      <c r="E247" s="23" t="str">
        <f aca="false">IFERROR(INDEX(Clay_Offices!$A$2:$FZ$601,B247,$C$8)&amp;"","")</f>
        <v/>
      </c>
      <c r="F247" s="23" t="str">
        <f aca="false">IF(C247="","",IF(COUNTIF(Office_Log!$A$2:$A$201,C247)&gt;0,"Y","N"))</f>
        <v/>
      </c>
      <c r="G247" s="34" t="str">
        <f aca="false">IF(OR(C247="",AND(LEFT(C247,6)="SAMPLE",Config!$B$19&lt;&gt;"Y")),"",IF(IFERROR(INDEX(Lists!$K$2:$K$15,MATCH(D247,Lists!$J$2:$J$15,0)),-1)=-1,"status '"&amp;D247&amp;"' is not a CONTRACTS status",IF(AND(D247="signed",COUNTIF(signed_offices!$W$2:$W$51,C247)=0),"status signed but no signed_offices row"&amp;IF(F247="N"," and no tracker row",""),IF(AND(IFERROR(INDEX(Lists!$K$2:$K$15,MATCH(D247,Lists!$J$2:$J$15,0)),-1)&gt;=6,F247="N"),"status "&amp;D247&amp;" but no tracker row",IF(AND(E247="Y",D247&lt;&gt;"do_not_contact"),"do_not_contact = Y but status is "&amp;D247,IF(AND(D247="do_not_contact",E247&lt;&gt;"Y"),"status do_not_contact but do_not_contact is not Y",""))))))</f>
        <v/>
      </c>
      <c r="I247" s="23" t="n">
        <v>226</v>
      </c>
      <c r="J247" s="23" t="str">
        <f aca="false">IFERROR(INDEX(Clay_Brands!$A$2:$FZ$601,I247,$D$5)&amp;"","")</f>
        <v/>
      </c>
      <c r="K247" s="23" t="str">
        <f aca="false">IFERROR(INDEX(Clay_Brands!$A$2:$FZ$601,I247,$D$7)&amp;"","")</f>
        <v/>
      </c>
      <c r="L247" s="23" t="str">
        <f aca="false">IFERROR(INDEX(Clay_Brands!$A$2:$FZ$601,I247,$D$8)&amp;"","")</f>
        <v/>
      </c>
      <c r="M247" s="23" t="str">
        <f aca="false">IF(J247="","",IF(COUNTIF(Brand_Log!$A$2:$A$201,J247)&gt;0,"Y","N"))</f>
        <v/>
      </c>
      <c r="N247" s="34" t="str">
        <f aca="false">IF(OR(J247="",AND(LEFT(J247,6)="SAMPLE",Config!$B$19&lt;&gt;"Y")),"",IF(IFERROR(INDEX(Lists!$K$2:$K$15,MATCH(K247,Lists!$J$2:$J$15,0)),-1)=-1,"status '"&amp;K247&amp;"' is not a CONTRACTS status",IF(AND(K247="paid",COUNTIF(paid_brands!$AC$2:$AC$51,J247)=0),"status paid but no paid_brands row"&amp;IF(M247="N"," and no tracker row",""),IF(AND(IFERROR(INDEX(Lists!$K$2:$K$15,MATCH(K247,Lists!$J$2:$J$15,0)),-1)&gt;=6,M247="N"),"status "&amp;K247&amp;" but no tracker row",IF(AND(L247="Y",K247&lt;&gt;"do_not_contact"),"do_not_contact = Y but status is "&amp;K247,IF(AND(K247="do_not_contact",L247&lt;&gt;"Y"),"status do_not_contact but do_not_contact is not Y",""))))))</f>
        <v/>
      </c>
    </row>
    <row r="248" customFormat="false" ht="15" hidden="false" customHeight="false" outlineLevel="0" collapsed="false">
      <c r="B248" s="23" t="n">
        <v>227</v>
      </c>
      <c r="C248" s="23" t="str">
        <f aca="false">IFERROR(INDEX(Clay_Offices!$A$2:$FZ$601,B248,$C$5)&amp;"","")</f>
        <v/>
      </c>
      <c r="D248" s="23" t="str">
        <f aca="false">IFERROR(INDEX(Clay_Offices!$A$2:$FZ$601,B248,$C$7)&amp;"","")</f>
        <v/>
      </c>
      <c r="E248" s="23" t="str">
        <f aca="false">IFERROR(INDEX(Clay_Offices!$A$2:$FZ$601,B248,$C$8)&amp;"","")</f>
        <v/>
      </c>
      <c r="F248" s="23" t="str">
        <f aca="false">IF(C248="","",IF(COUNTIF(Office_Log!$A$2:$A$201,C248)&gt;0,"Y","N"))</f>
        <v/>
      </c>
      <c r="G248" s="34" t="str">
        <f aca="false">IF(OR(C248="",AND(LEFT(C248,6)="SAMPLE",Config!$B$19&lt;&gt;"Y")),"",IF(IFERROR(INDEX(Lists!$K$2:$K$15,MATCH(D248,Lists!$J$2:$J$15,0)),-1)=-1,"status '"&amp;D248&amp;"' is not a CONTRACTS status",IF(AND(D248="signed",COUNTIF(signed_offices!$W$2:$W$51,C248)=0),"status signed but no signed_offices row"&amp;IF(F248="N"," and no tracker row",""),IF(AND(IFERROR(INDEX(Lists!$K$2:$K$15,MATCH(D248,Lists!$J$2:$J$15,0)),-1)&gt;=6,F248="N"),"status "&amp;D248&amp;" but no tracker row",IF(AND(E248="Y",D248&lt;&gt;"do_not_contact"),"do_not_contact = Y but status is "&amp;D248,IF(AND(D248="do_not_contact",E248&lt;&gt;"Y"),"status do_not_contact but do_not_contact is not Y",""))))))</f>
        <v/>
      </c>
      <c r="I248" s="23" t="n">
        <v>227</v>
      </c>
      <c r="J248" s="23" t="str">
        <f aca="false">IFERROR(INDEX(Clay_Brands!$A$2:$FZ$601,I248,$D$5)&amp;"","")</f>
        <v/>
      </c>
      <c r="K248" s="23" t="str">
        <f aca="false">IFERROR(INDEX(Clay_Brands!$A$2:$FZ$601,I248,$D$7)&amp;"","")</f>
        <v/>
      </c>
      <c r="L248" s="23" t="str">
        <f aca="false">IFERROR(INDEX(Clay_Brands!$A$2:$FZ$601,I248,$D$8)&amp;"","")</f>
        <v/>
      </c>
      <c r="M248" s="23" t="str">
        <f aca="false">IF(J248="","",IF(COUNTIF(Brand_Log!$A$2:$A$201,J248)&gt;0,"Y","N"))</f>
        <v/>
      </c>
      <c r="N248" s="34" t="str">
        <f aca="false">IF(OR(J248="",AND(LEFT(J248,6)="SAMPLE",Config!$B$19&lt;&gt;"Y")),"",IF(IFERROR(INDEX(Lists!$K$2:$K$15,MATCH(K248,Lists!$J$2:$J$15,0)),-1)=-1,"status '"&amp;K248&amp;"' is not a CONTRACTS status",IF(AND(K248="paid",COUNTIF(paid_brands!$AC$2:$AC$51,J248)=0),"status paid but no paid_brands row"&amp;IF(M248="N"," and no tracker row",""),IF(AND(IFERROR(INDEX(Lists!$K$2:$K$15,MATCH(K248,Lists!$J$2:$J$15,0)),-1)&gt;=6,M248="N"),"status "&amp;K248&amp;" but no tracker row",IF(AND(L248="Y",K248&lt;&gt;"do_not_contact"),"do_not_contact = Y but status is "&amp;K248,IF(AND(K248="do_not_contact",L248&lt;&gt;"Y"),"status do_not_contact but do_not_contact is not Y",""))))))</f>
        <v/>
      </c>
    </row>
    <row r="249" customFormat="false" ht="15" hidden="false" customHeight="false" outlineLevel="0" collapsed="false">
      <c r="B249" s="23" t="n">
        <v>228</v>
      </c>
      <c r="C249" s="23" t="str">
        <f aca="false">IFERROR(INDEX(Clay_Offices!$A$2:$FZ$601,B249,$C$5)&amp;"","")</f>
        <v/>
      </c>
      <c r="D249" s="23" t="str">
        <f aca="false">IFERROR(INDEX(Clay_Offices!$A$2:$FZ$601,B249,$C$7)&amp;"","")</f>
        <v/>
      </c>
      <c r="E249" s="23" t="str">
        <f aca="false">IFERROR(INDEX(Clay_Offices!$A$2:$FZ$601,B249,$C$8)&amp;"","")</f>
        <v/>
      </c>
      <c r="F249" s="23" t="str">
        <f aca="false">IF(C249="","",IF(COUNTIF(Office_Log!$A$2:$A$201,C249)&gt;0,"Y","N"))</f>
        <v/>
      </c>
      <c r="G249" s="34" t="str">
        <f aca="false">IF(OR(C249="",AND(LEFT(C249,6)="SAMPLE",Config!$B$19&lt;&gt;"Y")),"",IF(IFERROR(INDEX(Lists!$K$2:$K$15,MATCH(D249,Lists!$J$2:$J$15,0)),-1)=-1,"status '"&amp;D249&amp;"' is not a CONTRACTS status",IF(AND(D249="signed",COUNTIF(signed_offices!$W$2:$W$51,C249)=0),"status signed but no signed_offices row"&amp;IF(F249="N"," and no tracker row",""),IF(AND(IFERROR(INDEX(Lists!$K$2:$K$15,MATCH(D249,Lists!$J$2:$J$15,0)),-1)&gt;=6,F249="N"),"status "&amp;D249&amp;" but no tracker row",IF(AND(E249="Y",D249&lt;&gt;"do_not_contact"),"do_not_contact = Y but status is "&amp;D249,IF(AND(D249="do_not_contact",E249&lt;&gt;"Y"),"status do_not_contact but do_not_contact is not Y",""))))))</f>
        <v/>
      </c>
      <c r="I249" s="23" t="n">
        <v>228</v>
      </c>
      <c r="J249" s="23" t="str">
        <f aca="false">IFERROR(INDEX(Clay_Brands!$A$2:$FZ$601,I249,$D$5)&amp;"","")</f>
        <v/>
      </c>
      <c r="K249" s="23" t="str">
        <f aca="false">IFERROR(INDEX(Clay_Brands!$A$2:$FZ$601,I249,$D$7)&amp;"","")</f>
        <v/>
      </c>
      <c r="L249" s="23" t="str">
        <f aca="false">IFERROR(INDEX(Clay_Brands!$A$2:$FZ$601,I249,$D$8)&amp;"","")</f>
        <v/>
      </c>
      <c r="M249" s="23" t="str">
        <f aca="false">IF(J249="","",IF(COUNTIF(Brand_Log!$A$2:$A$201,J249)&gt;0,"Y","N"))</f>
        <v/>
      </c>
      <c r="N249" s="34" t="str">
        <f aca="false">IF(OR(J249="",AND(LEFT(J249,6)="SAMPLE",Config!$B$19&lt;&gt;"Y")),"",IF(IFERROR(INDEX(Lists!$K$2:$K$15,MATCH(K249,Lists!$J$2:$J$15,0)),-1)=-1,"status '"&amp;K249&amp;"' is not a CONTRACTS status",IF(AND(K249="paid",COUNTIF(paid_brands!$AC$2:$AC$51,J249)=0),"status paid but no paid_brands row"&amp;IF(M249="N"," and no tracker row",""),IF(AND(IFERROR(INDEX(Lists!$K$2:$K$15,MATCH(K249,Lists!$J$2:$J$15,0)),-1)&gt;=6,M249="N"),"status "&amp;K249&amp;" but no tracker row",IF(AND(L249="Y",K249&lt;&gt;"do_not_contact"),"do_not_contact = Y but status is "&amp;K249,IF(AND(K249="do_not_contact",L249&lt;&gt;"Y"),"status do_not_contact but do_not_contact is not Y",""))))))</f>
        <v/>
      </c>
    </row>
    <row r="250" customFormat="false" ht="15" hidden="false" customHeight="false" outlineLevel="0" collapsed="false">
      <c r="B250" s="23" t="n">
        <v>229</v>
      </c>
      <c r="C250" s="23" t="str">
        <f aca="false">IFERROR(INDEX(Clay_Offices!$A$2:$FZ$601,B250,$C$5)&amp;"","")</f>
        <v/>
      </c>
      <c r="D250" s="23" t="str">
        <f aca="false">IFERROR(INDEX(Clay_Offices!$A$2:$FZ$601,B250,$C$7)&amp;"","")</f>
        <v/>
      </c>
      <c r="E250" s="23" t="str">
        <f aca="false">IFERROR(INDEX(Clay_Offices!$A$2:$FZ$601,B250,$C$8)&amp;"","")</f>
        <v/>
      </c>
      <c r="F250" s="23" t="str">
        <f aca="false">IF(C250="","",IF(COUNTIF(Office_Log!$A$2:$A$201,C250)&gt;0,"Y","N"))</f>
        <v/>
      </c>
      <c r="G250" s="34" t="str">
        <f aca="false">IF(OR(C250="",AND(LEFT(C250,6)="SAMPLE",Config!$B$19&lt;&gt;"Y")),"",IF(IFERROR(INDEX(Lists!$K$2:$K$15,MATCH(D250,Lists!$J$2:$J$15,0)),-1)=-1,"status '"&amp;D250&amp;"' is not a CONTRACTS status",IF(AND(D250="signed",COUNTIF(signed_offices!$W$2:$W$51,C250)=0),"status signed but no signed_offices row"&amp;IF(F250="N"," and no tracker row",""),IF(AND(IFERROR(INDEX(Lists!$K$2:$K$15,MATCH(D250,Lists!$J$2:$J$15,0)),-1)&gt;=6,F250="N"),"status "&amp;D250&amp;" but no tracker row",IF(AND(E250="Y",D250&lt;&gt;"do_not_contact"),"do_not_contact = Y but status is "&amp;D250,IF(AND(D250="do_not_contact",E250&lt;&gt;"Y"),"status do_not_contact but do_not_contact is not Y",""))))))</f>
        <v/>
      </c>
      <c r="I250" s="23" t="n">
        <v>229</v>
      </c>
      <c r="J250" s="23" t="str">
        <f aca="false">IFERROR(INDEX(Clay_Brands!$A$2:$FZ$601,I250,$D$5)&amp;"","")</f>
        <v/>
      </c>
      <c r="K250" s="23" t="str">
        <f aca="false">IFERROR(INDEX(Clay_Brands!$A$2:$FZ$601,I250,$D$7)&amp;"","")</f>
        <v/>
      </c>
      <c r="L250" s="23" t="str">
        <f aca="false">IFERROR(INDEX(Clay_Brands!$A$2:$FZ$601,I250,$D$8)&amp;"","")</f>
        <v/>
      </c>
      <c r="M250" s="23" t="str">
        <f aca="false">IF(J250="","",IF(COUNTIF(Brand_Log!$A$2:$A$201,J250)&gt;0,"Y","N"))</f>
        <v/>
      </c>
      <c r="N250" s="34" t="str">
        <f aca="false">IF(OR(J250="",AND(LEFT(J250,6)="SAMPLE",Config!$B$19&lt;&gt;"Y")),"",IF(IFERROR(INDEX(Lists!$K$2:$K$15,MATCH(K250,Lists!$J$2:$J$15,0)),-1)=-1,"status '"&amp;K250&amp;"' is not a CONTRACTS status",IF(AND(K250="paid",COUNTIF(paid_brands!$AC$2:$AC$51,J250)=0),"status paid but no paid_brands row"&amp;IF(M250="N"," and no tracker row",""),IF(AND(IFERROR(INDEX(Lists!$K$2:$K$15,MATCH(K250,Lists!$J$2:$J$15,0)),-1)&gt;=6,M250="N"),"status "&amp;K250&amp;" but no tracker row",IF(AND(L250="Y",K250&lt;&gt;"do_not_contact"),"do_not_contact = Y but status is "&amp;K250,IF(AND(K250="do_not_contact",L250&lt;&gt;"Y"),"status do_not_contact but do_not_contact is not Y",""))))))</f>
        <v/>
      </c>
    </row>
    <row r="251" customFormat="false" ht="15" hidden="false" customHeight="false" outlineLevel="0" collapsed="false">
      <c r="B251" s="23" t="n">
        <v>230</v>
      </c>
      <c r="C251" s="23" t="str">
        <f aca="false">IFERROR(INDEX(Clay_Offices!$A$2:$FZ$601,B251,$C$5)&amp;"","")</f>
        <v/>
      </c>
      <c r="D251" s="23" t="str">
        <f aca="false">IFERROR(INDEX(Clay_Offices!$A$2:$FZ$601,B251,$C$7)&amp;"","")</f>
        <v/>
      </c>
      <c r="E251" s="23" t="str">
        <f aca="false">IFERROR(INDEX(Clay_Offices!$A$2:$FZ$601,B251,$C$8)&amp;"","")</f>
        <v/>
      </c>
      <c r="F251" s="23" t="str">
        <f aca="false">IF(C251="","",IF(COUNTIF(Office_Log!$A$2:$A$201,C251)&gt;0,"Y","N"))</f>
        <v/>
      </c>
      <c r="G251" s="34" t="str">
        <f aca="false">IF(OR(C251="",AND(LEFT(C251,6)="SAMPLE",Config!$B$19&lt;&gt;"Y")),"",IF(IFERROR(INDEX(Lists!$K$2:$K$15,MATCH(D251,Lists!$J$2:$J$15,0)),-1)=-1,"status '"&amp;D251&amp;"' is not a CONTRACTS status",IF(AND(D251="signed",COUNTIF(signed_offices!$W$2:$W$51,C251)=0),"status signed but no signed_offices row"&amp;IF(F251="N"," and no tracker row",""),IF(AND(IFERROR(INDEX(Lists!$K$2:$K$15,MATCH(D251,Lists!$J$2:$J$15,0)),-1)&gt;=6,F251="N"),"status "&amp;D251&amp;" but no tracker row",IF(AND(E251="Y",D251&lt;&gt;"do_not_contact"),"do_not_contact = Y but status is "&amp;D251,IF(AND(D251="do_not_contact",E251&lt;&gt;"Y"),"status do_not_contact but do_not_contact is not Y",""))))))</f>
        <v/>
      </c>
      <c r="I251" s="23" t="n">
        <v>230</v>
      </c>
      <c r="J251" s="23" t="str">
        <f aca="false">IFERROR(INDEX(Clay_Brands!$A$2:$FZ$601,I251,$D$5)&amp;"","")</f>
        <v/>
      </c>
      <c r="K251" s="23" t="str">
        <f aca="false">IFERROR(INDEX(Clay_Brands!$A$2:$FZ$601,I251,$D$7)&amp;"","")</f>
        <v/>
      </c>
      <c r="L251" s="23" t="str">
        <f aca="false">IFERROR(INDEX(Clay_Brands!$A$2:$FZ$601,I251,$D$8)&amp;"","")</f>
        <v/>
      </c>
      <c r="M251" s="23" t="str">
        <f aca="false">IF(J251="","",IF(COUNTIF(Brand_Log!$A$2:$A$201,J251)&gt;0,"Y","N"))</f>
        <v/>
      </c>
      <c r="N251" s="34" t="str">
        <f aca="false">IF(OR(J251="",AND(LEFT(J251,6)="SAMPLE",Config!$B$19&lt;&gt;"Y")),"",IF(IFERROR(INDEX(Lists!$K$2:$K$15,MATCH(K251,Lists!$J$2:$J$15,0)),-1)=-1,"status '"&amp;K251&amp;"' is not a CONTRACTS status",IF(AND(K251="paid",COUNTIF(paid_brands!$AC$2:$AC$51,J251)=0),"status paid but no paid_brands row"&amp;IF(M251="N"," and no tracker row",""),IF(AND(IFERROR(INDEX(Lists!$K$2:$K$15,MATCH(K251,Lists!$J$2:$J$15,0)),-1)&gt;=6,M251="N"),"status "&amp;K251&amp;" but no tracker row",IF(AND(L251="Y",K251&lt;&gt;"do_not_contact"),"do_not_contact = Y but status is "&amp;K251,IF(AND(K251="do_not_contact",L251&lt;&gt;"Y"),"status do_not_contact but do_not_contact is not Y",""))))))</f>
        <v/>
      </c>
    </row>
    <row r="252" customFormat="false" ht="15" hidden="false" customHeight="false" outlineLevel="0" collapsed="false">
      <c r="B252" s="23" t="n">
        <v>231</v>
      </c>
      <c r="C252" s="23" t="str">
        <f aca="false">IFERROR(INDEX(Clay_Offices!$A$2:$FZ$601,B252,$C$5)&amp;"","")</f>
        <v/>
      </c>
      <c r="D252" s="23" t="str">
        <f aca="false">IFERROR(INDEX(Clay_Offices!$A$2:$FZ$601,B252,$C$7)&amp;"","")</f>
        <v/>
      </c>
      <c r="E252" s="23" t="str">
        <f aca="false">IFERROR(INDEX(Clay_Offices!$A$2:$FZ$601,B252,$C$8)&amp;"","")</f>
        <v/>
      </c>
      <c r="F252" s="23" t="str">
        <f aca="false">IF(C252="","",IF(COUNTIF(Office_Log!$A$2:$A$201,C252)&gt;0,"Y","N"))</f>
        <v/>
      </c>
      <c r="G252" s="34" t="str">
        <f aca="false">IF(OR(C252="",AND(LEFT(C252,6)="SAMPLE",Config!$B$19&lt;&gt;"Y")),"",IF(IFERROR(INDEX(Lists!$K$2:$K$15,MATCH(D252,Lists!$J$2:$J$15,0)),-1)=-1,"status '"&amp;D252&amp;"' is not a CONTRACTS status",IF(AND(D252="signed",COUNTIF(signed_offices!$W$2:$W$51,C252)=0),"status signed but no signed_offices row"&amp;IF(F252="N"," and no tracker row",""),IF(AND(IFERROR(INDEX(Lists!$K$2:$K$15,MATCH(D252,Lists!$J$2:$J$15,0)),-1)&gt;=6,F252="N"),"status "&amp;D252&amp;" but no tracker row",IF(AND(E252="Y",D252&lt;&gt;"do_not_contact"),"do_not_contact = Y but status is "&amp;D252,IF(AND(D252="do_not_contact",E252&lt;&gt;"Y"),"status do_not_contact but do_not_contact is not Y",""))))))</f>
        <v/>
      </c>
      <c r="I252" s="23" t="n">
        <v>231</v>
      </c>
      <c r="J252" s="23" t="str">
        <f aca="false">IFERROR(INDEX(Clay_Brands!$A$2:$FZ$601,I252,$D$5)&amp;"","")</f>
        <v/>
      </c>
      <c r="K252" s="23" t="str">
        <f aca="false">IFERROR(INDEX(Clay_Brands!$A$2:$FZ$601,I252,$D$7)&amp;"","")</f>
        <v/>
      </c>
      <c r="L252" s="23" t="str">
        <f aca="false">IFERROR(INDEX(Clay_Brands!$A$2:$FZ$601,I252,$D$8)&amp;"","")</f>
        <v/>
      </c>
      <c r="M252" s="23" t="str">
        <f aca="false">IF(J252="","",IF(COUNTIF(Brand_Log!$A$2:$A$201,J252)&gt;0,"Y","N"))</f>
        <v/>
      </c>
      <c r="N252" s="34" t="str">
        <f aca="false">IF(OR(J252="",AND(LEFT(J252,6)="SAMPLE",Config!$B$19&lt;&gt;"Y")),"",IF(IFERROR(INDEX(Lists!$K$2:$K$15,MATCH(K252,Lists!$J$2:$J$15,0)),-1)=-1,"status '"&amp;K252&amp;"' is not a CONTRACTS status",IF(AND(K252="paid",COUNTIF(paid_brands!$AC$2:$AC$51,J252)=0),"status paid but no paid_brands row"&amp;IF(M252="N"," and no tracker row",""),IF(AND(IFERROR(INDEX(Lists!$K$2:$K$15,MATCH(K252,Lists!$J$2:$J$15,0)),-1)&gt;=6,M252="N"),"status "&amp;K252&amp;" but no tracker row",IF(AND(L252="Y",K252&lt;&gt;"do_not_contact"),"do_not_contact = Y but status is "&amp;K252,IF(AND(K252="do_not_contact",L252&lt;&gt;"Y"),"status do_not_contact but do_not_contact is not Y",""))))))</f>
        <v/>
      </c>
    </row>
    <row r="253" customFormat="false" ht="15" hidden="false" customHeight="false" outlineLevel="0" collapsed="false">
      <c r="B253" s="23" t="n">
        <v>232</v>
      </c>
      <c r="C253" s="23" t="str">
        <f aca="false">IFERROR(INDEX(Clay_Offices!$A$2:$FZ$601,B253,$C$5)&amp;"","")</f>
        <v/>
      </c>
      <c r="D253" s="23" t="str">
        <f aca="false">IFERROR(INDEX(Clay_Offices!$A$2:$FZ$601,B253,$C$7)&amp;"","")</f>
        <v/>
      </c>
      <c r="E253" s="23" t="str">
        <f aca="false">IFERROR(INDEX(Clay_Offices!$A$2:$FZ$601,B253,$C$8)&amp;"","")</f>
        <v/>
      </c>
      <c r="F253" s="23" t="str">
        <f aca="false">IF(C253="","",IF(COUNTIF(Office_Log!$A$2:$A$201,C253)&gt;0,"Y","N"))</f>
        <v/>
      </c>
      <c r="G253" s="34" t="str">
        <f aca="false">IF(OR(C253="",AND(LEFT(C253,6)="SAMPLE",Config!$B$19&lt;&gt;"Y")),"",IF(IFERROR(INDEX(Lists!$K$2:$K$15,MATCH(D253,Lists!$J$2:$J$15,0)),-1)=-1,"status '"&amp;D253&amp;"' is not a CONTRACTS status",IF(AND(D253="signed",COUNTIF(signed_offices!$W$2:$W$51,C253)=0),"status signed but no signed_offices row"&amp;IF(F253="N"," and no tracker row",""),IF(AND(IFERROR(INDEX(Lists!$K$2:$K$15,MATCH(D253,Lists!$J$2:$J$15,0)),-1)&gt;=6,F253="N"),"status "&amp;D253&amp;" but no tracker row",IF(AND(E253="Y",D253&lt;&gt;"do_not_contact"),"do_not_contact = Y but status is "&amp;D253,IF(AND(D253="do_not_contact",E253&lt;&gt;"Y"),"status do_not_contact but do_not_contact is not Y",""))))))</f>
        <v/>
      </c>
      <c r="I253" s="23" t="n">
        <v>232</v>
      </c>
      <c r="J253" s="23" t="str">
        <f aca="false">IFERROR(INDEX(Clay_Brands!$A$2:$FZ$601,I253,$D$5)&amp;"","")</f>
        <v/>
      </c>
      <c r="K253" s="23" t="str">
        <f aca="false">IFERROR(INDEX(Clay_Brands!$A$2:$FZ$601,I253,$D$7)&amp;"","")</f>
        <v/>
      </c>
      <c r="L253" s="23" t="str">
        <f aca="false">IFERROR(INDEX(Clay_Brands!$A$2:$FZ$601,I253,$D$8)&amp;"","")</f>
        <v/>
      </c>
      <c r="M253" s="23" t="str">
        <f aca="false">IF(J253="","",IF(COUNTIF(Brand_Log!$A$2:$A$201,J253)&gt;0,"Y","N"))</f>
        <v/>
      </c>
      <c r="N253" s="34" t="str">
        <f aca="false">IF(OR(J253="",AND(LEFT(J253,6)="SAMPLE",Config!$B$19&lt;&gt;"Y")),"",IF(IFERROR(INDEX(Lists!$K$2:$K$15,MATCH(K253,Lists!$J$2:$J$15,0)),-1)=-1,"status '"&amp;K253&amp;"' is not a CONTRACTS status",IF(AND(K253="paid",COUNTIF(paid_brands!$AC$2:$AC$51,J253)=0),"status paid but no paid_brands row"&amp;IF(M253="N"," and no tracker row",""),IF(AND(IFERROR(INDEX(Lists!$K$2:$K$15,MATCH(K253,Lists!$J$2:$J$15,0)),-1)&gt;=6,M253="N"),"status "&amp;K253&amp;" but no tracker row",IF(AND(L253="Y",K253&lt;&gt;"do_not_contact"),"do_not_contact = Y but status is "&amp;K253,IF(AND(K253="do_not_contact",L253&lt;&gt;"Y"),"status do_not_contact but do_not_contact is not Y",""))))))</f>
        <v/>
      </c>
    </row>
    <row r="254" customFormat="false" ht="15" hidden="false" customHeight="false" outlineLevel="0" collapsed="false">
      <c r="B254" s="23" t="n">
        <v>233</v>
      </c>
      <c r="C254" s="23" t="str">
        <f aca="false">IFERROR(INDEX(Clay_Offices!$A$2:$FZ$601,B254,$C$5)&amp;"","")</f>
        <v/>
      </c>
      <c r="D254" s="23" t="str">
        <f aca="false">IFERROR(INDEX(Clay_Offices!$A$2:$FZ$601,B254,$C$7)&amp;"","")</f>
        <v/>
      </c>
      <c r="E254" s="23" t="str">
        <f aca="false">IFERROR(INDEX(Clay_Offices!$A$2:$FZ$601,B254,$C$8)&amp;"","")</f>
        <v/>
      </c>
      <c r="F254" s="23" t="str">
        <f aca="false">IF(C254="","",IF(COUNTIF(Office_Log!$A$2:$A$201,C254)&gt;0,"Y","N"))</f>
        <v/>
      </c>
      <c r="G254" s="34" t="str">
        <f aca="false">IF(OR(C254="",AND(LEFT(C254,6)="SAMPLE",Config!$B$19&lt;&gt;"Y")),"",IF(IFERROR(INDEX(Lists!$K$2:$K$15,MATCH(D254,Lists!$J$2:$J$15,0)),-1)=-1,"status '"&amp;D254&amp;"' is not a CONTRACTS status",IF(AND(D254="signed",COUNTIF(signed_offices!$W$2:$W$51,C254)=0),"status signed but no signed_offices row"&amp;IF(F254="N"," and no tracker row",""),IF(AND(IFERROR(INDEX(Lists!$K$2:$K$15,MATCH(D254,Lists!$J$2:$J$15,0)),-1)&gt;=6,F254="N"),"status "&amp;D254&amp;" but no tracker row",IF(AND(E254="Y",D254&lt;&gt;"do_not_contact"),"do_not_contact = Y but status is "&amp;D254,IF(AND(D254="do_not_contact",E254&lt;&gt;"Y"),"status do_not_contact but do_not_contact is not Y",""))))))</f>
        <v/>
      </c>
      <c r="I254" s="23" t="n">
        <v>233</v>
      </c>
      <c r="J254" s="23" t="str">
        <f aca="false">IFERROR(INDEX(Clay_Brands!$A$2:$FZ$601,I254,$D$5)&amp;"","")</f>
        <v/>
      </c>
      <c r="K254" s="23" t="str">
        <f aca="false">IFERROR(INDEX(Clay_Brands!$A$2:$FZ$601,I254,$D$7)&amp;"","")</f>
        <v/>
      </c>
      <c r="L254" s="23" t="str">
        <f aca="false">IFERROR(INDEX(Clay_Brands!$A$2:$FZ$601,I254,$D$8)&amp;"","")</f>
        <v/>
      </c>
      <c r="M254" s="23" t="str">
        <f aca="false">IF(J254="","",IF(COUNTIF(Brand_Log!$A$2:$A$201,J254)&gt;0,"Y","N"))</f>
        <v/>
      </c>
      <c r="N254" s="34" t="str">
        <f aca="false">IF(OR(J254="",AND(LEFT(J254,6)="SAMPLE",Config!$B$19&lt;&gt;"Y")),"",IF(IFERROR(INDEX(Lists!$K$2:$K$15,MATCH(K254,Lists!$J$2:$J$15,0)),-1)=-1,"status '"&amp;K254&amp;"' is not a CONTRACTS status",IF(AND(K254="paid",COUNTIF(paid_brands!$AC$2:$AC$51,J254)=0),"status paid but no paid_brands row"&amp;IF(M254="N"," and no tracker row",""),IF(AND(IFERROR(INDEX(Lists!$K$2:$K$15,MATCH(K254,Lists!$J$2:$J$15,0)),-1)&gt;=6,M254="N"),"status "&amp;K254&amp;" but no tracker row",IF(AND(L254="Y",K254&lt;&gt;"do_not_contact"),"do_not_contact = Y but status is "&amp;K254,IF(AND(K254="do_not_contact",L254&lt;&gt;"Y"),"status do_not_contact but do_not_contact is not Y",""))))))</f>
        <v/>
      </c>
    </row>
    <row r="255" customFormat="false" ht="15" hidden="false" customHeight="false" outlineLevel="0" collapsed="false">
      <c r="B255" s="23" t="n">
        <v>234</v>
      </c>
      <c r="C255" s="23" t="str">
        <f aca="false">IFERROR(INDEX(Clay_Offices!$A$2:$FZ$601,B255,$C$5)&amp;"","")</f>
        <v/>
      </c>
      <c r="D255" s="23" t="str">
        <f aca="false">IFERROR(INDEX(Clay_Offices!$A$2:$FZ$601,B255,$C$7)&amp;"","")</f>
        <v/>
      </c>
      <c r="E255" s="23" t="str">
        <f aca="false">IFERROR(INDEX(Clay_Offices!$A$2:$FZ$601,B255,$C$8)&amp;"","")</f>
        <v/>
      </c>
      <c r="F255" s="23" t="str">
        <f aca="false">IF(C255="","",IF(COUNTIF(Office_Log!$A$2:$A$201,C255)&gt;0,"Y","N"))</f>
        <v/>
      </c>
      <c r="G255" s="34" t="str">
        <f aca="false">IF(OR(C255="",AND(LEFT(C255,6)="SAMPLE",Config!$B$19&lt;&gt;"Y")),"",IF(IFERROR(INDEX(Lists!$K$2:$K$15,MATCH(D255,Lists!$J$2:$J$15,0)),-1)=-1,"status '"&amp;D255&amp;"' is not a CONTRACTS status",IF(AND(D255="signed",COUNTIF(signed_offices!$W$2:$W$51,C255)=0),"status signed but no signed_offices row"&amp;IF(F255="N"," and no tracker row",""),IF(AND(IFERROR(INDEX(Lists!$K$2:$K$15,MATCH(D255,Lists!$J$2:$J$15,0)),-1)&gt;=6,F255="N"),"status "&amp;D255&amp;" but no tracker row",IF(AND(E255="Y",D255&lt;&gt;"do_not_contact"),"do_not_contact = Y but status is "&amp;D255,IF(AND(D255="do_not_contact",E255&lt;&gt;"Y"),"status do_not_contact but do_not_contact is not Y",""))))))</f>
        <v/>
      </c>
      <c r="I255" s="23" t="n">
        <v>234</v>
      </c>
      <c r="J255" s="23" t="str">
        <f aca="false">IFERROR(INDEX(Clay_Brands!$A$2:$FZ$601,I255,$D$5)&amp;"","")</f>
        <v/>
      </c>
      <c r="K255" s="23" t="str">
        <f aca="false">IFERROR(INDEX(Clay_Brands!$A$2:$FZ$601,I255,$D$7)&amp;"","")</f>
        <v/>
      </c>
      <c r="L255" s="23" t="str">
        <f aca="false">IFERROR(INDEX(Clay_Brands!$A$2:$FZ$601,I255,$D$8)&amp;"","")</f>
        <v/>
      </c>
      <c r="M255" s="23" t="str">
        <f aca="false">IF(J255="","",IF(COUNTIF(Brand_Log!$A$2:$A$201,J255)&gt;0,"Y","N"))</f>
        <v/>
      </c>
      <c r="N255" s="34" t="str">
        <f aca="false">IF(OR(J255="",AND(LEFT(J255,6)="SAMPLE",Config!$B$19&lt;&gt;"Y")),"",IF(IFERROR(INDEX(Lists!$K$2:$K$15,MATCH(K255,Lists!$J$2:$J$15,0)),-1)=-1,"status '"&amp;K255&amp;"' is not a CONTRACTS status",IF(AND(K255="paid",COUNTIF(paid_brands!$AC$2:$AC$51,J255)=0),"status paid but no paid_brands row"&amp;IF(M255="N"," and no tracker row",""),IF(AND(IFERROR(INDEX(Lists!$K$2:$K$15,MATCH(K255,Lists!$J$2:$J$15,0)),-1)&gt;=6,M255="N"),"status "&amp;K255&amp;" but no tracker row",IF(AND(L255="Y",K255&lt;&gt;"do_not_contact"),"do_not_contact = Y but status is "&amp;K255,IF(AND(K255="do_not_contact",L255&lt;&gt;"Y"),"status do_not_contact but do_not_contact is not Y",""))))))</f>
        <v/>
      </c>
    </row>
    <row r="256" customFormat="false" ht="15" hidden="false" customHeight="false" outlineLevel="0" collapsed="false">
      <c r="B256" s="23" t="n">
        <v>235</v>
      </c>
      <c r="C256" s="23" t="str">
        <f aca="false">IFERROR(INDEX(Clay_Offices!$A$2:$FZ$601,B256,$C$5)&amp;"","")</f>
        <v/>
      </c>
      <c r="D256" s="23" t="str">
        <f aca="false">IFERROR(INDEX(Clay_Offices!$A$2:$FZ$601,B256,$C$7)&amp;"","")</f>
        <v/>
      </c>
      <c r="E256" s="23" t="str">
        <f aca="false">IFERROR(INDEX(Clay_Offices!$A$2:$FZ$601,B256,$C$8)&amp;"","")</f>
        <v/>
      </c>
      <c r="F256" s="23" t="str">
        <f aca="false">IF(C256="","",IF(COUNTIF(Office_Log!$A$2:$A$201,C256)&gt;0,"Y","N"))</f>
        <v/>
      </c>
      <c r="G256" s="34" t="str">
        <f aca="false">IF(OR(C256="",AND(LEFT(C256,6)="SAMPLE",Config!$B$19&lt;&gt;"Y")),"",IF(IFERROR(INDEX(Lists!$K$2:$K$15,MATCH(D256,Lists!$J$2:$J$15,0)),-1)=-1,"status '"&amp;D256&amp;"' is not a CONTRACTS status",IF(AND(D256="signed",COUNTIF(signed_offices!$W$2:$W$51,C256)=0),"status signed but no signed_offices row"&amp;IF(F256="N"," and no tracker row",""),IF(AND(IFERROR(INDEX(Lists!$K$2:$K$15,MATCH(D256,Lists!$J$2:$J$15,0)),-1)&gt;=6,F256="N"),"status "&amp;D256&amp;" but no tracker row",IF(AND(E256="Y",D256&lt;&gt;"do_not_contact"),"do_not_contact = Y but status is "&amp;D256,IF(AND(D256="do_not_contact",E256&lt;&gt;"Y"),"status do_not_contact but do_not_contact is not Y",""))))))</f>
        <v/>
      </c>
      <c r="I256" s="23" t="n">
        <v>235</v>
      </c>
      <c r="J256" s="23" t="str">
        <f aca="false">IFERROR(INDEX(Clay_Brands!$A$2:$FZ$601,I256,$D$5)&amp;"","")</f>
        <v/>
      </c>
      <c r="K256" s="23" t="str">
        <f aca="false">IFERROR(INDEX(Clay_Brands!$A$2:$FZ$601,I256,$D$7)&amp;"","")</f>
        <v/>
      </c>
      <c r="L256" s="23" t="str">
        <f aca="false">IFERROR(INDEX(Clay_Brands!$A$2:$FZ$601,I256,$D$8)&amp;"","")</f>
        <v/>
      </c>
      <c r="M256" s="23" t="str">
        <f aca="false">IF(J256="","",IF(COUNTIF(Brand_Log!$A$2:$A$201,J256)&gt;0,"Y","N"))</f>
        <v/>
      </c>
      <c r="N256" s="34" t="str">
        <f aca="false">IF(OR(J256="",AND(LEFT(J256,6)="SAMPLE",Config!$B$19&lt;&gt;"Y")),"",IF(IFERROR(INDEX(Lists!$K$2:$K$15,MATCH(K256,Lists!$J$2:$J$15,0)),-1)=-1,"status '"&amp;K256&amp;"' is not a CONTRACTS status",IF(AND(K256="paid",COUNTIF(paid_brands!$AC$2:$AC$51,J256)=0),"status paid but no paid_brands row"&amp;IF(M256="N"," and no tracker row",""),IF(AND(IFERROR(INDEX(Lists!$K$2:$K$15,MATCH(K256,Lists!$J$2:$J$15,0)),-1)&gt;=6,M256="N"),"status "&amp;K256&amp;" but no tracker row",IF(AND(L256="Y",K256&lt;&gt;"do_not_contact"),"do_not_contact = Y but status is "&amp;K256,IF(AND(K256="do_not_contact",L256&lt;&gt;"Y"),"status do_not_contact but do_not_contact is not Y",""))))))</f>
        <v/>
      </c>
    </row>
    <row r="257" customFormat="false" ht="15" hidden="false" customHeight="false" outlineLevel="0" collapsed="false">
      <c r="B257" s="23" t="n">
        <v>236</v>
      </c>
      <c r="C257" s="23" t="str">
        <f aca="false">IFERROR(INDEX(Clay_Offices!$A$2:$FZ$601,B257,$C$5)&amp;"","")</f>
        <v/>
      </c>
      <c r="D257" s="23" t="str">
        <f aca="false">IFERROR(INDEX(Clay_Offices!$A$2:$FZ$601,B257,$C$7)&amp;"","")</f>
        <v/>
      </c>
      <c r="E257" s="23" t="str">
        <f aca="false">IFERROR(INDEX(Clay_Offices!$A$2:$FZ$601,B257,$C$8)&amp;"","")</f>
        <v/>
      </c>
      <c r="F257" s="23" t="str">
        <f aca="false">IF(C257="","",IF(COUNTIF(Office_Log!$A$2:$A$201,C257)&gt;0,"Y","N"))</f>
        <v/>
      </c>
      <c r="G257" s="34" t="str">
        <f aca="false">IF(OR(C257="",AND(LEFT(C257,6)="SAMPLE",Config!$B$19&lt;&gt;"Y")),"",IF(IFERROR(INDEX(Lists!$K$2:$K$15,MATCH(D257,Lists!$J$2:$J$15,0)),-1)=-1,"status '"&amp;D257&amp;"' is not a CONTRACTS status",IF(AND(D257="signed",COUNTIF(signed_offices!$W$2:$W$51,C257)=0),"status signed but no signed_offices row"&amp;IF(F257="N"," and no tracker row",""),IF(AND(IFERROR(INDEX(Lists!$K$2:$K$15,MATCH(D257,Lists!$J$2:$J$15,0)),-1)&gt;=6,F257="N"),"status "&amp;D257&amp;" but no tracker row",IF(AND(E257="Y",D257&lt;&gt;"do_not_contact"),"do_not_contact = Y but status is "&amp;D257,IF(AND(D257="do_not_contact",E257&lt;&gt;"Y"),"status do_not_contact but do_not_contact is not Y",""))))))</f>
        <v/>
      </c>
      <c r="I257" s="23" t="n">
        <v>236</v>
      </c>
      <c r="J257" s="23" t="str">
        <f aca="false">IFERROR(INDEX(Clay_Brands!$A$2:$FZ$601,I257,$D$5)&amp;"","")</f>
        <v/>
      </c>
      <c r="K257" s="23" t="str">
        <f aca="false">IFERROR(INDEX(Clay_Brands!$A$2:$FZ$601,I257,$D$7)&amp;"","")</f>
        <v/>
      </c>
      <c r="L257" s="23" t="str">
        <f aca="false">IFERROR(INDEX(Clay_Brands!$A$2:$FZ$601,I257,$D$8)&amp;"","")</f>
        <v/>
      </c>
      <c r="M257" s="23" t="str">
        <f aca="false">IF(J257="","",IF(COUNTIF(Brand_Log!$A$2:$A$201,J257)&gt;0,"Y","N"))</f>
        <v/>
      </c>
      <c r="N257" s="34" t="str">
        <f aca="false">IF(OR(J257="",AND(LEFT(J257,6)="SAMPLE",Config!$B$19&lt;&gt;"Y")),"",IF(IFERROR(INDEX(Lists!$K$2:$K$15,MATCH(K257,Lists!$J$2:$J$15,0)),-1)=-1,"status '"&amp;K257&amp;"' is not a CONTRACTS status",IF(AND(K257="paid",COUNTIF(paid_brands!$AC$2:$AC$51,J257)=0),"status paid but no paid_brands row"&amp;IF(M257="N"," and no tracker row",""),IF(AND(IFERROR(INDEX(Lists!$K$2:$K$15,MATCH(K257,Lists!$J$2:$J$15,0)),-1)&gt;=6,M257="N"),"status "&amp;K257&amp;" but no tracker row",IF(AND(L257="Y",K257&lt;&gt;"do_not_contact"),"do_not_contact = Y but status is "&amp;K257,IF(AND(K257="do_not_contact",L257&lt;&gt;"Y"),"status do_not_contact but do_not_contact is not Y",""))))))</f>
        <v/>
      </c>
    </row>
    <row r="258" customFormat="false" ht="15" hidden="false" customHeight="false" outlineLevel="0" collapsed="false">
      <c r="B258" s="23" t="n">
        <v>237</v>
      </c>
      <c r="C258" s="23" t="str">
        <f aca="false">IFERROR(INDEX(Clay_Offices!$A$2:$FZ$601,B258,$C$5)&amp;"","")</f>
        <v/>
      </c>
      <c r="D258" s="23" t="str">
        <f aca="false">IFERROR(INDEX(Clay_Offices!$A$2:$FZ$601,B258,$C$7)&amp;"","")</f>
        <v/>
      </c>
      <c r="E258" s="23" t="str">
        <f aca="false">IFERROR(INDEX(Clay_Offices!$A$2:$FZ$601,B258,$C$8)&amp;"","")</f>
        <v/>
      </c>
      <c r="F258" s="23" t="str">
        <f aca="false">IF(C258="","",IF(COUNTIF(Office_Log!$A$2:$A$201,C258)&gt;0,"Y","N"))</f>
        <v/>
      </c>
      <c r="G258" s="34" t="str">
        <f aca="false">IF(OR(C258="",AND(LEFT(C258,6)="SAMPLE",Config!$B$19&lt;&gt;"Y")),"",IF(IFERROR(INDEX(Lists!$K$2:$K$15,MATCH(D258,Lists!$J$2:$J$15,0)),-1)=-1,"status '"&amp;D258&amp;"' is not a CONTRACTS status",IF(AND(D258="signed",COUNTIF(signed_offices!$W$2:$W$51,C258)=0),"status signed but no signed_offices row"&amp;IF(F258="N"," and no tracker row",""),IF(AND(IFERROR(INDEX(Lists!$K$2:$K$15,MATCH(D258,Lists!$J$2:$J$15,0)),-1)&gt;=6,F258="N"),"status "&amp;D258&amp;" but no tracker row",IF(AND(E258="Y",D258&lt;&gt;"do_not_contact"),"do_not_contact = Y but status is "&amp;D258,IF(AND(D258="do_not_contact",E258&lt;&gt;"Y"),"status do_not_contact but do_not_contact is not Y",""))))))</f>
        <v/>
      </c>
      <c r="I258" s="23" t="n">
        <v>237</v>
      </c>
      <c r="J258" s="23" t="str">
        <f aca="false">IFERROR(INDEX(Clay_Brands!$A$2:$FZ$601,I258,$D$5)&amp;"","")</f>
        <v/>
      </c>
      <c r="K258" s="23" t="str">
        <f aca="false">IFERROR(INDEX(Clay_Brands!$A$2:$FZ$601,I258,$D$7)&amp;"","")</f>
        <v/>
      </c>
      <c r="L258" s="23" t="str">
        <f aca="false">IFERROR(INDEX(Clay_Brands!$A$2:$FZ$601,I258,$D$8)&amp;"","")</f>
        <v/>
      </c>
      <c r="M258" s="23" t="str">
        <f aca="false">IF(J258="","",IF(COUNTIF(Brand_Log!$A$2:$A$201,J258)&gt;0,"Y","N"))</f>
        <v/>
      </c>
      <c r="N258" s="34" t="str">
        <f aca="false">IF(OR(J258="",AND(LEFT(J258,6)="SAMPLE",Config!$B$19&lt;&gt;"Y")),"",IF(IFERROR(INDEX(Lists!$K$2:$K$15,MATCH(K258,Lists!$J$2:$J$15,0)),-1)=-1,"status '"&amp;K258&amp;"' is not a CONTRACTS status",IF(AND(K258="paid",COUNTIF(paid_brands!$AC$2:$AC$51,J258)=0),"status paid but no paid_brands row"&amp;IF(M258="N"," and no tracker row",""),IF(AND(IFERROR(INDEX(Lists!$K$2:$K$15,MATCH(K258,Lists!$J$2:$J$15,0)),-1)&gt;=6,M258="N"),"status "&amp;K258&amp;" but no tracker row",IF(AND(L258="Y",K258&lt;&gt;"do_not_contact"),"do_not_contact = Y but status is "&amp;K258,IF(AND(K258="do_not_contact",L258&lt;&gt;"Y"),"status do_not_contact but do_not_contact is not Y",""))))))</f>
        <v/>
      </c>
    </row>
    <row r="259" customFormat="false" ht="15" hidden="false" customHeight="false" outlineLevel="0" collapsed="false">
      <c r="B259" s="23" t="n">
        <v>238</v>
      </c>
      <c r="C259" s="23" t="str">
        <f aca="false">IFERROR(INDEX(Clay_Offices!$A$2:$FZ$601,B259,$C$5)&amp;"","")</f>
        <v/>
      </c>
      <c r="D259" s="23" t="str">
        <f aca="false">IFERROR(INDEX(Clay_Offices!$A$2:$FZ$601,B259,$C$7)&amp;"","")</f>
        <v/>
      </c>
      <c r="E259" s="23" t="str">
        <f aca="false">IFERROR(INDEX(Clay_Offices!$A$2:$FZ$601,B259,$C$8)&amp;"","")</f>
        <v/>
      </c>
      <c r="F259" s="23" t="str">
        <f aca="false">IF(C259="","",IF(COUNTIF(Office_Log!$A$2:$A$201,C259)&gt;0,"Y","N"))</f>
        <v/>
      </c>
      <c r="G259" s="34" t="str">
        <f aca="false">IF(OR(C259="",AND(LEFT(C259,6)="SAMPLE",Config!$B$19&lt;&gt;"Y")),"",IF(IFERROR(INDEX(Lists!$K$2:$K$15,MATCH(D259,Lists!$J$2:$J$15,0)),-1)=-1,"status '"&amp;D259&amp;"' is not a CONTRACTS status",IF(AND(D259="signed",COUNTIF(signed_offices!$W$2:$W$51,C259)=0),"status signed but no signed_offices row"&amp;IF(F259="N"," and no tracker row",""),IF(AND(IFERROR(INDEX(Lists!$K$2:$K$15,MATCH(D259,Lists!$J$2:$J$15,0)),-1)&gt;=6,F259="N"),"status "&amp;D259&amp;" but no tracker row",IF(AND(E259="Y",D259&lt;&gt;"do_not_contact"),"do_not_contact = Y but status is "&amp;D259,IF(AND(D259="do_not_contact",E259&lt;&gt;"Y"),"status do_not_contact but do_not_contact is not Y",""))))))</f>
        <v/>
      </c>
      <c r="I259" s="23" t="n">
        <v>238</v>
      </c>
      <c r="J259" s="23" t="str">
        <f aca="false">IFERROR(INDEX(Clay_Brands!$A$2:$FZ$601,I259,$D$5)&amp;"","")</f>
        <v/>
      </c>
      <c r="K259" s="23" t="str">
        <f aca="false">IFERROR(INDEX(Clay_Brands!$A$2:$FZ$601,I259,$D$7)&amp;"","")</f>
        <v/>
      </c>
      <c r="L259" s="23" t="str">
        <f aca="false">IFERROR(INDEX(Clay_Brands!$A$2:$FZ$601,I259,$D$8)&amp;"","")</f>
        <v/>
      </c>
      <c r="M259" s="23" t="str">
        <f aca="false">IF(J259="","",IF(COUNTIF(Brand_Log!$A$2:$A$201,J259)&gt;0,"Y","N"))</f>
        <v/>
      </c>
      <c r="N259" s="34" t="str">
        <f aca="false">IF(OR(J259="",AND(LEFT(J259,6)="SAMPLE",Config!$B$19&lt;&gt;"Y")),"",IF(IFERROR(INDEX(Lists!$K$2:$K$15,MATCH(K259,Lists!$J$2:$J$15,0)),-1)=-1,"status '"&amp;K259&amp;"' is not a CONTRACTS status",IF(AND(K259="paid",COUNTIF(paid_brands!$AC$2:$AC$51,J259)=0),"status paid but no paid_brands row"&amp;IF(M259="N"," and no tracker row",""),IF(AND(IFERROR(INDEX(Lists!$K$2:$K$15,MATCH(K259,Lists!$J$2:$J$15,0)),-1)&gt;=6,M259="N"),"status "&amp;K259&amp;" but no tracker row",IF(AND(L259="Y",K259&lt;&gt;"do_not_contact"),"do_not_contact = Y but status is "&amp;K259,IF(AND(K259="do_not_contact",L259&lt;&gt;"Y"),"status do_not_contact but do_not_contact is not Y",""))))))</f>
        <v/>
      </c>
    </row>
    <row r="260" customFormat="false" ht="15" hidden="false" customHeight="false" outlineLevel="0" collapsed="false">
      <c r="B260" s="23" t="n">
        <v>239</v>
      </c>
      <c r="C260" s="23" t="str">
        <f aca="false">IFERROR(INDEX(Clay_Offices!$A$2:$FZ$601,B260,$C$5)&amp;"","")</f>
        <v/>
      </c>
      <c r="D260" s="23" t="str">
        <f aca="false">IFERROR(INDEX(Clay_Offices!$A$2:$FZ$601,B260,$C$7)&amp;"","")</f>
        <v/>
      </c>
      <c r="E260" s="23" t="str">
        <f aca="false">IFERROR(INDEX(Clay_Offices!$A$2:$FZ$601,B260,$C$8)&amp;"","")</f>
        <v/>
      </c>
      <c r="F260" s="23" t="str">
        <f aca="false">IF(C260="","",IF(COUNTIF(Office_Log!$A$2:$A$201,C260)&gt;0,"Y","N"))</f>
        <v/>
      </c>
      <c r="G260" s="34" t="str">
        <f aca="false">IF(OR(C260="",AND(LEFT(C260,6)="SAMPLE",Config!$B$19&lt;&gt;"Y")),"",IF(IFERROR(INDEX(Lists!$K$2:$K$15,MATCH(D260,Lists!$J$2:$J$15,0)),-1)=-1,"status '"&amp;D260&amp;"' is not a CONTRACTS status",IF(AND(D260="signed",COUNTIF(signed_offices!$W$2:$W$51,C260)=0),"status signed but no signed_offices row"&amp;IF(F260="N"," and no tracker row",""),IF(AND(IFERROR(INDEX(Lists!$K$2:$K$15,MATCH(D260,Lists!$J$2:$J$15,0)),-1)&gt;=6,F260="N"),"status "&amp;D260&amp;" but no tracker row",IF(AND(E260="Y",D260&lt;&gt;"do_not_contact"),"do_not_contact = Y but status is "&amp;D260,IF(AND(D260="do_not_contact",E260&lt;&gt;"Y"),"status do_not_contact but do_not_contact is not Y",""))))))</f>
        <v/>
      </c>
      <c r="I260" s="23" t="n">
        <v>239</v>
      </c>
      <c r="J260" s="23" t="str">
        <f aca="false">IFERROR(INDEX(Clay_Brands!$A$2:$FZ$601,I260,$D$5)&amp;"","")</f>
        <v/>
      </c>
      <c r="K260" s="23" t="str">
        <f aca="false">IFERROR(INDEX(Clay_Brands!$A$2:$FZ$601,I260,$D$7)&amp;"","")</f>
        <v/>
      </c>
      <c r="L260" s="23" t="str">
        <f aca="false">IFERROR(INDEX(Clay_Brands!$A$2:$FZ$601,I260,$D$8)&amp;"","")</f>
        <v/>
      </c>
      <c r="M260" s="23" t="str">
        <f aca="false">IF(J260="","",IF(COUNTIF(Brand_Log!$A$2:$A$201,J260)&gt;0,"Y","N"))</f>
        <v/>
      </c>
      <c r="N260" s="34" t="str">
        <f aca="false">IF(OR(J260="",AND(LEFT(J260,6)="SAMPLE",Config!$B$19&lt;&gt;"Y")),"",IF(IFERROR(INDEX(Lists!$K$2:$K$15,MATCH(K260,Lists!$J$2:$J$15,0)),-1)=-1,"status '"&amp;K260&amp;"' is not a CONTRACTS status",IF(AND(K260="paid",COUNTIF(paid_brands!$AC$2:$AC$51,J260)=0),"status paid but no paid_brands row"&amp;IF(M260="N"," and no tracker row",""),IF(AND(IFERROR(INDEX(Lists!$K$2:$K$15,MATCH(K260,Lists!$J$2:$J$15,0)),-1)&gt;=6,M260="N"),"status "&amp;K260&amp;" but no tracker row",IF(AND(L260="Y",K260&lt;&gt;"do_not_contact"),"do_not_contact = Y but status is "&amp;K260,IF(AND(K260="do_not_contact",L260&lt;&gt;"Y"),"status do_not_contact but do_not_contact is not Y",""))))))</f>
        <v/>
      </c>
    </row>
    <row r="261" customFormat="false" ht="15" hidden="false" customHeight="false" outlineLevel="0" collapsed="false">
      <c r="B261" s="23" t="n">
        <v>240</v>
      </c>
      <c r="C261" s="23" t="str">
        <f aca="false">IFERROR(INDEX(Clay_Offices!$A$2:$FZ$601,B261,$C$5)&amp;"","")</f>
        <v/>
      </c>
      <c r="D261" s="23" t="str">
        <f aca="false">IFERROR(INDEX(Clay_Offices!$A$2:$FZ$601,B261,$C$7)&amp;"","")</f>
        <v/>
      </c>
      <c r="E261" s="23" t="str">
        <f aca="false">IFERROR(INDEX(Clay_Offices!$A$2:$FZ$601,B261,$C$8)&amp;"","")</f>
        <v/>
      </c>
      <c r="F261" s="23" t="str">
        <f aca="false">IF(C261="","",IF(COUNTIF(Office_Log!$A$2:$A$201,C261)&gt;0,"Y","N"))</f>
        <v/>
      </c>
      <c r="G261" s="34" t="str">
        <f aca="false">IF(OR(C261="",AND(LEFT(C261,6)="SAMPLE",Config!$B$19&lt;&gt;"Y")),"",IF(IFERROR(INDEX(Lists!$K$2:$K$15,MATCH(D261,Lists!$J$2:$J$15,0)),-1)=-1,"status '"&amp;D261&amp;"' is not a CONTRACTS status",IF(AND(D261="signed",COUNTIF(signed_offices!$W$2:$W$51,C261)=0),"status signed but no signed_offices row"&amp;IF(F261="N"," and no tracker row",""),IF(AND(IFERROR(INDEX(Lists!$K$2:$K$15,MATCH(D261,Lists!$J$2:$J$15,0)),-1)&gt;=6,F261="N"),"status "&amp;D261&amp;" but no tracker row",IF(AND(E261="Y",D261&lt;&gt;"do_not_contact"),"do_not_contact = Y but status is "&amp;D261,IF(AND(D261="do_not_contact",E261&lt;&gt;"Y"),"status do_not_contact but do_not_contact is not Y",""))))))</f>
        <v/>
      </c>
      <c r="I261" s="23" t="n">
        <v>240</v>
      </c>
      <c r="J261" s="23" t="str">
        <f aca="false">IFERROR(INDEX(Clay_Brands!$A$2:$FZ$601,I261,$D$5)&amp;"","")</f>
        <v/>
      </c>
      <c r="K261" s="23" t="str">
        <f aca="false">IFERROR(INDEX(Clay_Brands!$A$2:$FZ$601,I261,$D$7)&amp;"","")</f>
        <v/>
      </c>
      <c r="L261" s="23" t="str">
        <f aca="false">IFERROR(INDEX(Clay_Brands!$A$2:$FZ$601,I261,$D$8)&amp;"","")</f>
        <v/>
      </c>
      <c r="M261" s="23" t="str">
        <f aca="false">IF(J261="","",IF(COUNTIF(Brand_Log!$A$2:$A$201,J261)&gt;0,"Y","N"))</f>
        <v/>
      </c>
      <c r="N261" s="34" t="str">
        <f aca="false">IF(OR(J261="",AND(LEFT(J261,6)="SAMPLE",Config!$B$19&lt;&gt;"Y")),"",IF(IFERROR(INDEX(Lists!$K$2:$K$15,MATCH(K261,Lists!$J$2:$J$15,0)),-1)=-1,"status '"&amp;K261&amp;"' is not a CONTRACTS status",IF(AND(K261="paid",COUNTIF(paid_brands!$AC$2:$AC$51,J261)=0),"status paid but no paid_brands row"&amp;IF(M261="N"," and no tracker row",""),IF(AND(IFERROR(INDEX(Lists!$K$2:$K$15,MATCH(K261,Lists!$J$2:$J$15,0)),-1)&gt;=6,M261="N"),"status "&amp;K261&amp;" but no tracker row",IF(AND(L261="Y",K261&lt;&gt;"do_not_contact"),"do_not_contact = Y but status is "&amp;K261,IF(AND(K261="do_not_contact",L261&lt;&gt;"Y"),"status do_not_contact but do_not_contact is not Y",""))))))</f>
        <v/>
      </c>
    </row>
    <row r="262" customFormat="false" ht="15" hidden="false" customHeight="false" outlineLevel="0" collapsed="false">
      <c r="B262" s="23" t="n">
        <v>241</v>
      </c>
      <c r="C262" s="23" t="str">
        <f aca="false">IFERROR(INDEX(Clay_Offices!$A$2:$FZ$601,B262,$C$5)&amp;"","")</f>
        <v/>
      </c>
      <c r="D262" s="23" t="str">
        <f aca="false">IFERROR(INDEX(Clay_Offices!$A$2:$FZ$601,B262,$C$7)&amp;"","")</f>
        <v/>
      </c>
      <c r="E262" s="23" t="str">
        <f aca="false">IFERROR(INDEX(Clay_Offices!$A$2:$FZ$601,B262,$C$8)&amp;"","")</f>
        <v/>
      </c>
      <c r="F262" s="23" t="str">
        <f aca="false">IF(C262="","",IF(COUNTIF(Office_Log!$A$2:$A$201,C262)&gt;0,"Y","N"))</f>
        <v/>
      </c>
      <c r="G262" s="34" t="str">
        <f aca="false">IF(OR(C262="",AND(LEFT(C262,6)="SAMPLE",Config!$B$19&lt;&gt;"Y")),"",IF(IFERROR(INDEX(Lists!$K$2:$K$15,MATCH(D262,Lists!$J$2:$J$15,0)),-1)=-1,"status '"&amp;D262&amp;"' is not a CONTRACTS status",IF(AND(D262="signed",COUNTIF(signed_offices!$W$2:$W$51,C262)=0),"status signed but no signed_offices row"&amp;IF(F262="N"," and no tracker row",""),IF(AND(IFERROR(INDEX(Lists!$K$2:$K$15,MATCH(D262,Lists!$J$2:$J$15,0)),-1)&gt;=6,F262="N"),"status "&amp;D262&amp;" but no tracker row",IF(AND(E262="Y",D262&lt;&gt;"do_not_contact"),"do_not_contact = Y but status is "&amp;D262,IF(AND(D262="do_not_contact",E262&lt;&gt;"Y"),"status do_not_contact but do_not_contact is not Y",""))))))</f>
        <v/>
      </c>
      <c r="I262" s="23" t="n">
        <v>241</v>
      </c>
      <c r="J262" s="23" t="str">
        <f aca="false">IFERROR(INDEX(Clay_Brands!$A$2:$FZ$601,I262,$D$5)&amp;"","")</f>
        <v/>
      </c>
      <c r="K262" s="23" t="str">
        <f aca="false">IFERROR(INDEX(Clay_Brands!$A$2:$FZ$601,I262,$D$7)&amp;"","")</f>
        <v/>
      </c>
      <c r="L262" s="23" t="str">
        <f aca="false">IFERROR(INDEX(Clay_Brands!$A$2:$FZ$601,I262,$D$8)&amp;"","")</f>
        <v/>
      </c>
      <c r="M262" s="23" t="str">
        <f aca="false">IF(J262="","",IF(COUNTIF(Brand_Log!$A$2:$A$201,J262)&gt;0,"Y","N"))</f>
        <v/>
      </c>
      <c r="N262" s="34" t="str">
        <f aca="false">IF(OR(J262="",AND(LEFT(J262,6)="SAMPLE",Config!$B$19&lt;&gt;"Y")),"",IF(IFERROR(INDEX(Lists!$K$2:$K$15,MATCH(K262,Lists!$J$2:$J$15,0)),-1)=-1,"status '"&amp;K262&amp;"' is not a CONTRACTS status",IF(AND(K262="paid",COUNTIF(paid_brands!$AC$2:$AC$51,J262)=0),"status paid but no paid_brands row"&amp;IF(M262="N"," and no tracker row",""),IF(AND(IFERROR(INDEX(Lists!$K$2:$K$15,MATCH(K262,Lists!$J$2:$J$15,0)),-1)&gt;=6,M262="N"),"status "&amp;K262&amp;" but no tracker row",IF(AND(L262="Y",K262&lt;&gt;"do_not_contact"),"do_not_contact = Y but status is "&amp;K262,IF(AND(K262="do_not_contact",L262&lt;&gt;"Y"),"status do_not_contact but do_not_contact is not Y",""))))))</f>
        <v/>
      </c>
    </row>
    <row r="263" customFormat="false" ht="15" hidden="false" customHeight="false" outlineLevel="0" collapsed="false">
      <c r="B263" s="23" t="n">
        <v>242</v>
      </c>
      <c r="C263" s="23" t="str">
        <f aca="false">IFERROR(INDEX(Clay_Offices!$A$2:$FZ$601,B263,$C$5)&amp;"","")</f>
        <v/>
      </c>
      <c r="D263" s="23" t="str">
        <f aca="false">IFERROR(INDEX(Clay_Offices!$A$2:$FZ$601,B263,$C$7)&amp;"","")</f>
        <v/>
      </c>
      <c r="E263" s="23" t="str">
        <f aca="false">IFERROR(INDEX(Clay_Offices!$A$2:$FZ$601,B263,$C$8)&amp;"","")</f>
        <v/>
      </c>
      <c r="F263" s="23" t="str">
        <f aca="false">IF(C263="","",IF(COUNTIF(Office_Log!$A$2:$A$201,C263)&gt;0,"Y","N"))</f>
        <v/>
      </c>
      <c r="G263" s="34" t="str">
        <f aca="false">IF(OR(C263="",AND(LEFT(C263,6)="SAMPLE",Config!$B$19&lt;&gt;"Y")),"",IF(IFERROR(INDEX(Lists!$K$2:$K$15,MATCH(D263,Lists!$J$2:$J$15,0)),-1)=-1,"status '"&amp;D263&amp;"' is not a CONTRACTS status",IF(AND(D263="signed",COUNTIF(signed_offices!$W$2:$W$51,C263)=0),"status signed but no signed_offices row"&amp;IF(F263="N"," and no tracker row",""),IF(AND(IFERROR(INDEX(Lists!$K$2:$K$15,MATCH(D263,Lists!$J$2:$J$15,0)),-1)&gt;=6,F263="N"),"status "&amp;D263&amp;" but no tracker row",IF(AND(E263="Y",D263&lt;&gt;"do_not_contact"),"do_not_contact = Y but status is "&amp;D263,IF(AND(D263="do_not_contact",E263&lt;&gt;"Y"),"status do_not_contact but do_not_contact is not Y",""))))))</f>
        <v/>
      </c>
      <c r="I263" s="23" t="n">
        <v>242</v>
      </c>
      <c r="J263" s="23" t="str">
        <f aca="false">IFERROR(INDEX(Clay_Brands!$A$2:$FZ$601,I263,$D$5)&amp;"","")</f>
        <v/>
      </c>
      <c r="K263" s="23" t="str">
        <f aca="false">IFERROR(INDEX(Clay_Brands!$A$2:$FZ$601,I263,$D$7)&amp;"","")</f>
        <v/>
      </c>
      <c r="L263" s="23" t="str">
        <f aca="false">IFERROR(INDEX(Clay_Brands!$A$2:$FZ$601,I263,$D$8)&amp;"","")</f>
        <v/>
      </c>
      <c r="M263" s="23" t="str">
        <f aca="false">IF(J263="","",IF(COUNTIF(Brand_Log!$A$2:$A$201,J263)&gt;0,"Y","N"))</f>
        <v/>
      </c>
      <c r="N263" s="34" t="str">
        <f aca="false">IF(OR(J263="",AND(LEFT(J263,6)="SAMPLE",Config!$B$19&lt;&gt;"Y")),"",IF(IFERROR(INDEX(Lists!$K$2:$K$15,MATCH(K263,Lists!$J$2:$J$15,0)),-1)=-1,"status '"&amp;K263&amp;"' is not a CONTRACTS status",IF(AND(K263="paid",COUNTIF(paid_brands!$AC$2:$AC$51,J263)=0),"status paid but no paid_brands row"&amp;IF(M263="N"," and no tracker row",""),IF(AND(IFERROR(INDEX(Lists!$K$2:$K$15,MATCH(K263,Lists!$J$2:$J$15,0)),-1)&gt;=6,M263="N"),"status "&amp;K263&amp;" but no tracker row",IF(AND(L263="Y",K263&lt;&gt;"do_not_contact"),"do_not_contact = Y but status is "&amp;K263,IF(AND(K263="do_not_contact",L263&lt;&gt;"Y"),"status do_not_contact but do_not_contact is not Y",""))))))</f>
        <v/>
      </c>
    </row>
    <row r="264" customFormat="false" ht="15" hidden="false" customHeight="false" outlineLevel="0" collapsed="false">
      <c r="B264" s="23" t="n">
        <v>243</v>
      </c>
      <c r="C264" s="23" t="str">
        <f aca="false">IFERROR(INDEX(Clay_Offices!$A$2:$FZ$601,B264,$C$5)&amp;"","")</f>
        <v/>
      </c>
      <c r="D264" s="23" t="str">
        <f aca="false">IFERROR(INDEX(Clay_Offices!$A$2:$FZ$601,B264,$C$7)&amp;"","")</f>
        <v/>
      </c>
      <c r="E264" s="23" t="str">
        <f aca="false">IFERROR(INDEX(Clay_Offices!$A$2:$FZ$601,B264,$C$8)&amp;"","")</f>
        <v/>
      </c>
      <c r="F264" s="23" t="str">
        <f aca="false">IF(C264="","",IF(COUNTIF(Office_Log!$A$2:$A$201,C264)&gt;0,"Y","N"))</f>
        <v/>
      </c>
      <c r="G264" s="34" t="str">
        <f aca="false">IF(OR(C264="",AND(LEFT(C264,6)="SAMPLE",Config!$B$19&lt;&gt;"Y")),"",IF(IFERROR(INDEX(Lists!$K$2:$K$15,MATCH(D264,Lists!$J$2:$J$15,0)),-1)=-1,"status '"&amp;D264&amp;"' is not a CONTRACTS status",IF(AND(D264="signed",COUNTIF(signed_offices!$W$2:$W$51,C264)=0),"status signed but no signed_offices row"&amp;IF(F264="N"," and no tracker row",""),IF(AND(IFERROR(INDEX(Lists!$K$2:$K$15,MATCH(D264,Lists!$J$2:$J$15,0)),-1)&gt;=6,F264="N"),"status "&amp;D264&amp;" but no tracker row",IF(AND(E264="Y",D264&lt;&gt;"do_not_contact"),"do_not_contact = Y but status is "&amp;D264,IF(AND(D264="do_not_contact",E264&lt;&gt;"Y"),"status do_not_contact but do_not_contact is not Y",""))))))</f>
        <v/>
      </c>
      <c r="I264" s="23" t="n">
        <v>243</v>
      </c>
      <c r="J264" s="23" t="str">
        <f aca="false">IFERROR(INDEX(Clay_Brands!$A$2:$FZ$601,I264,$D$5)&amp;"","")</f>
        <v/>
      </c>
      <c r="K264" s="23" t="str">
        <f aca="false">IFERROR(INDEX(Clay_Brands!$A$2:$FZ$601,I264,$D$7)&amp;"","")</f>
        <v/>
      </c>
      <c r="L264" s="23" t="str">
        <f aca="false">IFERROR(INDEX(Clay_Brands!$A$2:$FZ$601,I264,$D$8)&amp;"","")</f>
        <v/>
      </c>
      <c r="M264" s="23" t="str">
        <f aca="false">IF(J264="","",IF(COUNTIF(Brand_Log!$A$2:$A$201,J264)&gt;0,"Y","N"))</f>
        <v/>
      </c>
      <c r="N264" s="34" t="str">
        <f aca="false">IF(OR(J264="",AND(LEFT(J264,6)="SAMPLE",Config!$B$19&lt;&gt;"Y")),"",IF(IFERROR(INDEX(Lists!$K$2:$K$15,MATCH(K264,Lists!$J$2:$J$15,0)),-1)=-1,"status '"&amp;K264&amp;"' is not a CONTRACTS status",IF(AND(K264="paid",COUNTIF(paid_brands!$AC$2:$AC$51,J264)=0),"status paid but no paid_brands row"&amp;IF(M264="N"," and no tracker row",""),IF(AND(IFERROR(INDEX(Lists!$K$2:$K$15,MATCH(K264,Lists!$J$2:$J$15,0)),-1)&gt;=6,M264="N"),"status "&amp;K264&amp;" but no tracker row",IF(AND(L264="Y",K264&lt;&gt;"do_not_contact"),"do_not_contact = Y but status is "&amp;K264,IF(AND(K264="do_not_contact",L264&lt;&gt;"Y"),"status do_not_contact but do_not_contact is not Y",""))))))</f>
        <v/>
      </c>
    </row>
    <row r="265" customFormat="false" ht="15" hidden="false" customHeight="false" outlineLevel="0" collapsed="false">
      <c r="B265" s="23" t="n">
        <v>244</v>
      </c>
      <c r="C265" s="23" t="str">
        <f aca="false">IFERROR(INDEX(Clay_Offices!$A$2:$FZ$601,B265,$C$5)&amp;"","")</f>
        <v/>
      </c>
      <c r="D265" s="23" t="str">
        <f aca="false">IFERROR(INDEX(Clay_Offices!$A$2:$FZ$601,B265,$C$7)&amp;"","")</f>
        <v/>
      </c>
      <c r="E265" s="23" t="str">
        <f aca="false">IFERROR(INDEX(Clay_Offices!$A$2:$FZ$601,B265,$C$8)&amp;"","")</f>
        <v/>
      </c>
      <c r="F265" s="23" t="str">
        <f aca="false">IF(C265="","",IF(COUNTIF(Office_Log!$A$2:$A$201,C265)&gt;0,"Y","N"))</f>
        <v/>
      </c>
      <c r="G265" s="34" t="str">
        <f aca="false">IF(OR(C265="",AND(LEFT(C265,6)="SAMPLE",Config!$B$19&lt;&gt;"Y")),"",IF(IFERROR(INDEX(Lists!$K$2:$K$15,MATCH(D265,Lists!$J$2:$J$15,0)),-1)=-1,"status '"&amp;D265&amp;"' is not a CONTRACTS status",IF(AND(D265="signed",COUNTIF(signed_offices!$W$2:$W$51,C265)=0),"status signed but no signed_offices row"&amp;IF(F265="N"," and no tracker row",""),IF(AND(IFERROR(INDEX(Lists!$K$2:$K$15,MATCH(D265,Lists!$J$2:$J$15,0)),-1)&gt;=6,F265="N"),"status "&amp;D265&amp;" but no tracker row",IF(AND(E265="Y",D265&lt;&gt;"do_not_contact"),"do_not_contact = Y but status is "&amp;D265,IF(AND(D265="do_not_contact",E265&lt;&gt;"Y"),"status do_not_contact but do_not_contact is not Y",""))))))</f>
        <v/>
      </c>
      <c r="I265" s="23" t="n">
        <v>244</v>
      </c>
      <c r="J265" s="23" t="str">
        <f aca="false">IFERROR(INDEX(Clay_Brands!$A$2:$FZ$601,I265,$D$5)&amp;"","")</f>
        <v/>
      </c>
      <c r="K265" s="23" t="str">
        <f aca="false">IFERROR(INDEX(Clay_Brands!$A$2:$FZ$601,I265,$D$7)&amp;"","")</f>
        <v/>
      </c>
      <c r="L265" s="23" t="str">
        <f aca="false">IFERROR(INDEX(Clay_Brands!$A$2:$FZ$601,I265,$D$8)&amp;"","")</f>
        <v/>
      </c>
      <c r="M265" s="23" t="str">
        <f aca="false">IF(J265="","",IF(COUNTIF(Brand_Log!$A$2:$A$201,J265)&gt;0,"Y","N"))</f>
        <v/>
      </c>
      <c r="N265" s="34" t="str">
        <f aca="false">IF(OR(J265="",AND(LEFT(J265,6)="SAMPLE",Config!$B$19&lt;&gt;"Y")),"",IF(IFERROR(INDEX(Lists!$K$2:$K$15,MATCH(K265,Lists!$J$2:$J$15,0)),-1)=-1,"status '"&amp;K265&amp;"' is not a CONTRACTS status",IF(AND(K265="paid",COUNTIF(paid_brands!$AC$2:$AC$51,J265)=0),"status paid but no paid_brands row"&amp;IF(M265="N"," and no tracker row",""),IF(AND(IFERROR(INDEX(Lists!$K$2:$K$15,MATCH(K265,Lists!$J$2:$J$15,0)),-1)&gt;=6,M265="N"),"status "&amp;K265&amp;" but no tracker row",IF(AND(L265="Y",K265&lt;&gt;"do_not_contact"),"do_not_contact = Y but status is "&amp;K265,IF(AND(K265="do_not_contact",L265&lt;&gt;"Y"),"status do_not_contact but do_not_contact is not Y",""))))))</f>
        <v/>
      </c>
    </row>
    <row r="266" customFormat="false" ht="15" hidden="false" customHeight="false" outlineLevel="0" collapsed="false">
      <c r="B266" s="23" t="n">
        <v>245</v>
      </c>
      <c r="C266" s="23" t="str">
        <f aca="false">IFERROR(INDEX(Clay_Offices!$A$2:$FZ$601,B266,$C$5)&amp;"","")</f>
        <v/>
      </c>
      <c r="D266" s="23" t="str">
        <f aca="false">IFERROR(INDEX(Clay_Offices!$A$2:$FZ$601,B266,$C$7)&amp;"","")</f>
        <v/>
      </c>
      <c r="E266" s="23" t="str">
        <f aca="false">IFERROR(INDEX(Clay_Offices!$A$2:$FZ$601,B266,$C$8)&amp;"","")</f>
        <v/>
      </c>
      <c r="F266" s="23" t="str">
        <f aca="false">IF(C266="","",IF(COUNTIF(Office_Log!$A$2:$A$201,C266)&gt;0,"Y","N"))</f>
        <v/>
      </c>
      <c r="G266" s="34" t="str">
        <f aca="false">IF(OR(C266="",AND(LEFT(C266,6)="SAMPLE",Config!$B$19&lt;&gt;"Y")),"",IF(IFERROR(INDEX(Lists!$K$2:$K$15,MATCH(D266,Lists!$J$2:$J$15,0)),-1)=-1,"status '"&amp;D266&amp;"' is not a CONTRACTS status",IF(AND(D266="signed",COUNTIF(signed_offices!$W$2:$W$51,C266)=0),"status signed but no signed_offices row"&amp;IF(F266="N"," and no tracker row",""),IF(AND(IFERROR(INDEX(Lists!$K$2:$K$15,MATCH(D266,Lists!$J$2:$J$15,0)),-1)&gt;=6,F266="N"),"status "&amp;D266&amp;" but no tracker row",IF(AND(E266="Y",D266&lt;&gt;"do_not_contact"),"do_not_contact = Y but status is "&amp;D266,IF(AND(D266="do_not_contact",E266&lt;&gt;"Y"),"status do_not_contact but do_not_contact is not Y",""))))))</f>
        <v/>
      </c>
      <c r="I266" s="23" t="n">
        <v>245</v>
      </c>
      <c r="J266" s="23" t="str">
        <f aca="false">IFERROR(INDEX(Clay_Brands!$A$2:$FZ$601,I266,$D$5)&amp;"","")</f>
        <v/>
      </c>
      <c r="K266" s="23" t="str">
        <f aca="false">IFERROR(INDEX(Clay_Brands!$A$2:$FZ$601,I266,$D$7)&amp;"","")</f>
        <v/>
      </c>
      <c r="L266" s="23" t="str">
        <f aca="false">IFERROR(INDEX(Clay_Brands!$A$2:$FZ$601,I266,$D$8)&amp;"","")</f>
        <v/>
      </c>
      <c r="M266" s="23" t="str">
        <f aca="false">IF(J266="","",IF(COUNTIF(Brand_Log!$A$2:$A$201,J266)&gt;0,"Y","N"))</f>
        <v/>
      </c>
      <c r="N266" s="34" t="str">
        <f aca="false">IF(OR(J266="",AND(LEFT(J266,6)="SAMPLE",Config!$B$19&lt;&gt;"Y")),"",IF(IFERROR(INDEX(Lists!$K$2:$K$15,MATCH(K266,Lists!$J$2:$J$15,0)),-1)=-1,"status '"&amp;K266&amp;"' is not a CONTRACTS status",IF(AND(K266="paid",COUNTIF(paid_brands!$AC$2:$AC$51,J266)=0),"status paid but no paid_brands row"&amp;IF(M266="N"," and no tracker row",""),IF(AND(IFERROR(INDEX(Lists!$K$2:$K$15,MATCH(K266,Lists!$J$2:$J$15,0)),-1)&gt;=6,M266="N"),"status "&amp;K266&amp;" but no tracker row",IF(AND(L266="Y",K266&lt;&gt;"do_not_contact"),"do_not_contact = Y but status is "&amp;K266,IF(AND(K266="do_not_contact",L266&lt;&gt;"Y"),"status do_not_contact but do_not_contact is not Y",""))))))</f>
        <v/>
      </c>
    </row>
    <row r="267" customFormat="false" ht="15" hidden="false" customHeight="false" outlineLevel="0" collapsed="false">
      <c r="B267" s="23" t="n">
        <v>246</v>
      </c>
      <c r="C267" s="23" t="str">
        <f aca="false">IFERROR(INDEX(Clay_Offices!$A$2:$FZ$601,B267,$C$5)&amp;"","")</f>
        <v/>
      </c>
      <c r="D267" s="23" t="str">
        <f aca="false">IFERROR(INDEX(Clay_Offices!$A$2:$FZ$601,B267,$C$7)&amp;"","")</f>
        <v/>
      </c>
      <c r="E267" s="23" t="str">
        <f aca="false">IFERROR(INDEX(Clay_Offices!$A$2:$FZ$601,B267,$C$8)&amp;"","")</f>
        <v/>
      </c>
      <c r="F267" s="23" t="str">
        <f aca="false">IF(C267="","",IF(COUNTIF(Office_Log!$A$2:$A$201,C267)&gt;0,"Y","N"))</f>
        <v/>
      </c>
      <c r="G267" s="34" t="str">
        <f aca="false">IF(OR(C267="",AND(LEFT(C267,6)="SAMPLE",Config!$B$19&lt;&gt;"Y")),"",IF(IFERROR(INDEX(Lists!$K$2:$K$15,MATCH(D267,Lists!$J$2:$J$15,0)),-1)=-1,"status '"&amp;D267&amp;"' is not a CONTRACTS status",IF(AND(D267="signed",COUNTIF(signed_offices!$W$2:$W$51,C267)=0),"status signed but no signed_offices row"&amp;IF(F267="N"," and no tracker row",""),IF(AND(IFERROR(INDEX(Lists!$K$2:$K$15,MATCH(D267,Lists!$J$2:$J$15,0)),-1)&gt;=6,F267="N"),"status "&amp;D267&amp;" but no tracker row",IF(AND(E267="Y",D267&lt;&gt;"do_not_contact"),"do_not_contact = Y but status is "&amp;D267,IF(AND(D267="do_not_contact",E267&lt;&gt;"Y"),"status do_not_contact but do_not_contact is not Y",""))))))</f>
        <v/>
      </c>
      <c r="I267" s="23" t="n">
        <v>246</v>
      </c>
      <c r="J267" s="23" t="str">
        <f aca="false">IFERROR(INDEX(Clay_Brands!$A$2:$FZ$601,I267,$D$5)&amp;"","")</f>
        <v/>
      </c>
      <c r="K267" s="23" t="str">
        <f aca="false">IFERROR(INDEX(Clay_Brands!$A$2:$FZ$601,I267,$D$7)&amp;"","")</f>
        <v/>
      </c>
      <c r="L267" s="23" t="str">
        <f aca="false">IFERROR(INDEX(Clay_Brands!$A$2:$FZ$601,I267,$D$8)&amp;"","")</f>
        <v/>
      </c>
      <c r="M267" s="23" t="str">
        <f aca="false">IF(J267="","",IF(COUNTIF(Brand_Log!$A$2:$A$201,J267)&gt;0,"Y","N"))</f>
        <v/>
      </c>
      <c r="N267" s="34" t="str">
        <f aca="false">IF(OR(J267="",AND(LEFT(J267,6)="SAMPLE",Config!$B$19&lt;&gt;"Y")),"",IF(IFERROR(INDEX(Lists!$K$2:$K$15,MATCH(K267,Lists!$J$2:$J$15,0)),-1)=-1,"status '"&amp;K267&amp;"' is not a CONTRACTS status",IF(AND(K267="paid",COUNTIF(paid_brands!$AC$2:$AC$51,J267)=0),"status paid but no paid_brands row"&amp;IF(M267="N"," and no tracker row",""),IF(AND(IFERROR(INDEX(Lists!$K$2:$K$15,MATCH(K267,Lists!$J$2:$J$15,0)),-1)&gt;=6,M267="N"),"status "&amp;K267&amp;" but no tracker row",IF(AND(L267="Y",K267&lt;&gt;"do_not_contact"),"do_not_contact = Y but status is "&amp;K267,IF(AND(K267="do_not_contact",L267&lt;&gt;"Y"),"status do_not_contact but do_not_contact is not Y",""))))))</f>
        <v/>
      </c>
    </row>
    <row r="268" customFormat="false" ht="15" hidden="false" customHeight="false" outlineLevel="0" collapsed="false">
      <c r="B268" s="23" t="n">
        <v>247</v>
      </c>
      <c r="C268" s="23" t="str">
        <f aca="false">IFERROR(INDEX(Clay_Offices!$A$2:$FZ$601,B268,$C$5)&amp;"","")</f>
        <v/>
      </c>
      <c r="D268" s="23" t="str">
        <f aca="false">IFERROR(INDEX(Clay_Offices!$A$2:$FZ$601,B268,$C$7)&amp;"","")</f>
        <v/>
      </c>
      <c r="E268" s="23" t="str">
        <f aca="false">IFERROR(INDEX(Clay_Offices!$A$2:$FZ$601,B268,$C$8)&amp;"","")</f>
        <v/>
      </c>
      <c r="F268" s="23" t="str">
        <f aca="false">IF(C268="","",IF(COUNTIF(Office_Log!$A$2:$A$201,C268)&gt;0,"Y","N"))</f>
        <v/>
      </c>
      <c r="G268" s="34" t="str">
        <f aca="false">IF(OR(C268="",AND(LEFT(C268,6)="SAMPLE",Config!$B$19&lt;&gt;"Y")),"",IF(IFERROR(INDEX(Lists!$K$2:$K$15,MATCH(D268,Lists!$J$2:$J$15,0)),-1)=-1,"status '"&amp;D268&amp;"' is not a CONTRACTS status",IF(AND(D268="signed",COUNTIF(signed_offices!$W$2:$W$51,C268)=0),"status signed but no signed_offices row"&amp;IF(F268="N"," and no tracker row",""),IF(AND(IFERROR(INDEX(Lists!$K$2:$K$15,MATCH(D268,Lists!$J$2:$J$15,0)),-1)&gt;=6,F268="N"),"status "&amp;D268&amp;" but no tracker row",IF(AND(E268="Y",D268&lt;&gt;"do_not_contact"),"do_not_contact = Y but status is "&amp;D268,IF(AND(D268="do_not_contact",E268&lt;&gt;"Y"),"status do_not_contact but do_not_contact is not Y",""))))))</f>
        <v/>
      </c>
      <c r="I268" s="23" t="n">
        <v>247</v>
      </c>
      <c r="J268" s="23" t="str">
        <f aca="false">IFERROR(INDEX(Clay_Brands!$A$2:$FZ$601,I268,$D$5)&amp;"","")</f>
        <v/>
      </c>
      <c r="K268" s="23" t="str">
        <f aca="false">IFERROR(INDEX(Clay_Brands!$A$2:$FZ$601,I268,$D$7)&amp;"","")</f>
        <v/>
      </c>
      <c r="L268" s="23" t="str">
        <f aca="false">IFERROR(INDEX(Clay_Brands!$A$2:$FZ$601,I268,$D$8)&amp;"","")</f>
        <v/>
      </c>
      <c r="M268" s="23" t="str">
        <f aca="false">IF(J268="","",IF(COUNTIF(Brand_Log!$A$2:$A$201,J268)&gt;0,"Y","N"))</f>
        <v/>
      </c>
      <c r="N268" s="34" t="str">
        <f aca="false">IF(OR(J268="",AND(LEFT(J268,6)="SAMPLE",Config!$B$19&lt;&gt;"Y")),"",IF(IFERROR(INDEX(Lists!$K$2:$K$15,MATCH(K268,Lists!$J$2:$J$15,0)),-1)=-1,"status '"&amp;K268&amp;"' is not a CONTRACTS status",IF(AND(K268="paid",COUNTIF(paid_brands!$AC$2:$AC$51,J268)=0),"status paid but no paid_brands row"&amp;IF(M268="N"," and no tracker row",""),IF(AND(IFERROR(INDEX(Lists!$K$2:$K$15,MATCH(K268,Lists!$J$2:$J$15,0)),-1)&gt;=6,M268="N"),"status "&amp;K268&amp;" but no tracker row",IF(AND(L268="Y",K268&lt;&gt;"do_not_contact"),"do_not_contact = Y but status is "&amp;K268,IF(AND(K268="do_not_contact",L268&lt;&gt;"Y"),"status do_not_contact but do_not_contact is not Y",""))))))</f>
        <v/>
      </c>
    </row>
    <row r="269" customFormat="false" ht="15" hidden="false" customHeight="false" outlineLevel="0" collapsed="false">
      <c r="B269" s="23" t="n">
        <v>248</v>
      </c>
      <c r="C269" s="23" t="str">
        <f aca="false">IFERROR(INDEX(Clay_Offices!$A$2:$FZ$601,B269,$C$5)&amp;"","")</f>
        <v/>
      </c>
      <c r="D269" s="23" t="str">
        <f aca="false">IFERROR(INDEX(Clay_Offices!$A$2:$FZ$601,B269,$C$7)&amp;"","")</f>
        <v/>
      </c>
      <c r="E269" s="23" t="str">
        <f aca="false">IFERROR(INDEX(Clay_Offices!$A$2:$FZ$601,B269,$C$8)&amp;"","")</f>
        <v/>
      </c>
      <c r="F269" s="23" t="str">
        <f aca="false">IF(C269="","",IF(COUNTIF(Office_Log!$A$2:$A$201,C269)&gt;0,"Y","N"))</f>
        <v/>
      </c>
      <c r="G269" s="34" t="str">
        <f aca="false">IF(OR(C269="",AND(LEFT(C269,6)="SAMPLE",Config!$B$19&lt;&gt;"Y")),"",IF(IFERROR(INDEX(Lists!$K$2:$K$15,MATCH(D269,Lists!$J$2:$J$15,0)),-1)=-1,"status '"&amp;D269&amp;"' is not a CONTRACTS status",IF(AND(D269="signed",COUNTIF(signed_offices!$W$2:$W$51,C269)=0),"status signed but no signed_offices row"&amp;IF(F269="N"," and no tracker row",""),IF(AND(IFERROR(INDEX(Lists!$K$2:$K$15,MATCH(D269,Lists!$J$2:$J$15,0)),-1)&gt;=6,F269="N"),"status "&amp;D269&amp;" but no tracker row",IF(AND(E269="Y",D269&lt;&gt;"do_not_contact"),"do_not_contact = Y but status is "&amp;D269,IF(AND(D269="do_not_contact",E269&lt;&gt;"Y"),"status do_not_contact but do_not_contact is not Y",""))))))</f>
        <v/>
      </c>
      <c r="I269" s="23" t="n">
        <v>248</v>
      </c>
      <c r="J269" s="23" t="str">
        <f aca="false">IFERROR(INDEX(Clay_Brands!$A$2:$FZ$601,I269,$D$5)&amp;"","")</f>
        <v/>
      </c>
      <c r="K269" s="23" t="str">
        <f aca="false">IFERROR(INDEX(Clay_Brands!$A$2:$FZ$601,I269,$D$7)&amp;"","")</f>
        <v/>
      </c>
      <c r="L269" s="23" t="str">
        <f aca="false">IFERROR(INDEX(Clay_Brands!$A$2:$FZ$601,I269,$D$8)&amp;"","")</f>
        <v/>
      </c>
      <c r="M269" s="23" t="str">
        <f aca="false">IF(J269="","",IF(COUNTIF(Brand_Log!$A$2:$A$201,J269)&gt;0,"Y","N"))</f>
        <v/>
      </c>
      <c r="N269" s="34" t="str">
        <f aca="false">IF(OR(J269="",AND(LEFT(J269,6)="SAMPLE",Config!$B$19&lt;&gt;"Y")),"",IF(IFERROR(INDEX(Lists!$K$2:$K$15,MATCH(K269,Lists!$J$2:$J$15,0)),-1)=-1,"status '"&amp;K269&amp;"' is not a CONTRACTS status",IF(AND(K269="paid",COUNTIF(paid_brands!$AC$2:$AC$51,J269)=0),"status paid but no paid_brands row"&amp;IF(M269="N"," and no tracker row",""),IF(AND(IFERROR(INDEX(Lists!$K$2:$K$15,MATCH(K269,Lists!$J$2:$J$15,0)),-1)&gt;=6,M269="N"),"status "&amp;K269&amp;" but no tracker row",IF(AND(L269="Y",K269&lt;&gt;"do_not_contact"),"do_not_contact = Y but status is "&amp;K269,IF(AND(K269="do_not_contact",L269&lt;&gt;"Y"),"status do_not_contact but do_not_contact is not Y",""))))))</f>
        <v/>
      </c>
    </row>
    <row r="270" customFormat="false" ht="15" hidden="false" customHeight="false" outlineLevel="0" collapsed="false">
      <c r="B270" s="23" t="n">
        <v>249</v>
      </c>
      <c r="C270" s="23" t="str">
        <f aca="false">IFERROR(INDEX(Clay_Offices!$A$2:$FZ$601,B270,$C$5)&amp;"","")</f>
        <v/>
      </c>
      <c r="D270" s="23" t="str">
        <f aca="false">IFERROR(INDEX(Clay_Offices!$A$2:$FZ$601,B270,$C$7)&amp;"","")</f>
        <v/>
      </c>
      <c r="E270" s="23" t="str">
        <f aca="false">IFERROR(INDEX(Clay_Offices!$A$2:$FZ$601,B270,$C$8)&amp;"","")</f>
        <v/>
      </c>
      <c r="F270" s="23" t="str">
        <f aca="false">IF(C270="","",IF(COUNTIF(Office_Log!$A$2:$A$201,C270)&gt;0,"Y","N"))</f>
        <v/>
      </c>
      <c r="G270" s="34" t="str">
        <f aca="false">IF(OR(C270="",AND(LEFT(C270,6)="SAMPLE",Config!$B$19&lt;&gt;"Y")),"",IF(IFERROR(INDEX(Lists!$K$2:$K$15,MATCH(D270,Lists!$J$2:$J$15,0)),-1)=-1,"status '"&amp;D270&amp;"' is not a CONTRACTS status",IF(AND(D270="signed",COUNTIF(signed_offices!$W$2:$W$51,C270)=0),"status signed but no signed_offices row"&amp;IF(F270="N"," and no tracker row",""),IF(AND(IFERROR(INDEX(Lists!$K$2:$K$15,MATCH(D270,Lists!$J$2:$J$15,0)),-1)&gt;=6,F270="N"),"status "&amp;D270&amp;" but no tracker row",IF(AND(E270="Y",D270&lt;&gt;"do_not_contact"),"do_not_contact = Y but status is "&amp;D270,IF(AND(D270="do_not_contact",E270&lt;&gt;"Y"),"status do_not_contact but do_not_contact is not Y",""))))))</f>
        <v/>
      </c>
      <c r="I270" s="23" t="n">
        <v>249</v>
      </c>
      <c r="J270" s="23" t="str">
        <f aca="false">IFERROR(INDEX(Clay_Brands!$A$2:$FZ$601,I270,$D$5)&amp;"","")</f>
        <v/>
      </c>
      <c r="K270" s="23" t="str">
        <f aca="false">IFERROR(INDEX(Clay_Brands!$A$2:$FZ$601,I270,$D$7)&amp;"","")</f>
        <v/>
      </c>
      <c r="L270" s="23" t="str">
        <f aca="false">IFERROR(INDEX(Clay_Brands!$A$2:$FZ$601,I270,$D$8)&amp;"","")</f>
        <v/>
      </c>
      <c r="M270" s="23" t="str">
        <f aca="false">IF(J270="","",IF(COUNTIF(Brand_Log!$A$2:$A$201,J270)&gt;0,"Y","N"))</f>
        <v/>
      </c>
      <c r="N270" s="34" t="str">
        <f aca="false">IF(OR(J270="",AND(LEFT(J270,6)="SAMPLE",Config!$B$19&lt;&gt;"Y")),"",IF(IFERROR(INDEX(Lists!$K$2:$K$15,MATCH(K270,Lists!$J$2:$J$15,0)),-1)=-1,"status '"&amp;K270&amp;"' is not a CONTRACTS status",IF(AND(K270="paid",COUNTIF(paid_brands!$AC$2:$AC$51,J270)=0),"status paid but no paid_brands row"&amp;IF(M270="N"," and no tracker row",""),IF(AND(IFERROR(INDEX(Lists!$K$2:$K$15,MATCH(K270,Lists!$J$2:$J$15,0)),-1)&gt;=6,M270="N"),"status "&amp;K270&amp;" but no tracker row",IF(AND(L270="Y",K270&lt;&gt;"do_not_contact"),"do_not_contact = Y but status is "&amp;K270,IF(AND(K270="do_not_contact",L270&lt;&gt;"Y"),"status do_not_contact but do_not_contact is not Y",""))))))</f>
        <v/>
      </c>
    </row>
    <row r="271" customFormat="false" ht="15" hidden="false" customHeight="false" outlineLevel="0" collapsed="false">
      <c r="B271" s="23" t="n">
        <v>250</v>
      </c>
      <c r="C271" s="23" t="str">
        <f aca="false">IFERROR(INDEX(Clay_Offices!$A$2:$FZ$601,B271,$C$5)&amp;"","")</f>
        <v/>
      </c>
      <c r="D271" s="23" t="str">
        <f aca="false">IFERROR(INDEX(Clay_Offices!$A$2:$FZ$601,B271,$C$7)&amp;"","")</f>
        <v/>
      </c>
      <c r="E271" s="23" t="str">
        <f aca="false">IFERROR(INDEX(Clay_Offices!$A$2:$FZ$601,B271,$C$8)&amp;"","")</f>
        <v/>
      </c>
      <c r="F271" s="23" t="str">
        <f aca="false">IF(C271="","",IF(COUNTIF(Office_Log!$A$2:$A$201,C271)&gt;0,"Y","N"))</f>
        <v/>
      </c>
      <c r="G271" s="34" t="str">
        <f aca="false">IF(OR(C271="",AND(LEFT(C271,6)="SAMPLE",Config!$B$19&lt;&gt;"Y")),"",IF(IFERROR(INDEX(Lists!$K$2:$K$15,MATCH(D271,Lists!$J$2:$J$15,0)),-1)=-1,"status '"&amp;D271&amp;"' is not a CONTRACTS status",IF(AND(D271="signed",COUNTIF(signed_offices!$W$2:$W$51,C271)=0),"status signed but no signed_offices row"&amp;IF(F271="N"," and no tracker row",""),IF(AND(IFERROR(INDEX(Lists!$K$2:$K$15,MATCH(D271,Lists!$J$2:$J$15,0)),-1)&gt;=6,F271="N"),"status "&amp;D271&amp;" but no tracker row",IF(AND(E271="Y",D271&lt;&gt;"do_not_contact"),"do_not_contact = Y but status is "&amp;D271,IF(AND(D271="do_not_contact",E271&lt;&gt;"Y"),"status do_not_contact but do_not_contact is not Y",""))))))</f>
        <v/>
      </c>
      <c r="I271" s="23" t="n">
        <v>250</v>
      </c>
      <c r="J271" s="23" t="str">
        <f aca="false">IFERROR(INDEX(Clay_Brands!$A$2:$FZ$601,I271,$D$5)&amp;"","")</f>
        <v/>
      </c>
      <c r="K271" s="23" t="str">
        <f aca="false">IFERROR(INDEX(Clay_Brands!$A$2:$FZ$601,I271,$D$7)&amp;"","")</f>
        <v/>
      </c>
      <c r="L271" s="23" t="str">
        <f aca="false">IFERROR(INDEX(Clay_Brands!$A$2:$FZ$601,I271,$D$8)&amp;"","")</f>
        <v/>
      </c>
      <c r="M271" s="23" t="str">
        <f aca="false">IF(J271="","",IF(COUNTIF(Brand_Log!$A$2:$A$201,J271)&gt;0,"Y","N"))</f>
        <v/>
      </c>
      <c r="N271" s="34" t="str">
        <f aca="false">IF(OR(J271="",AND(LEFT(J271,6)="SAMPLE",Config!$B$19&lt;&gt;"Y")),"",IF(IFERROR(INDEX(Lists!$K$2:$K$15,MATCH(K271,Lists!$J$2:$J$15,0)),-1)=-1,"status '"&amp;K271&amp;"' is not a CONTRACTS status",IF(AND(K271="paid",COUNTIF(paid_brands!$AC$2:$AC$51,J271)=0),"status paid but no paid_brands row"&amp;IF(M271="N"," and no tracker row",""),IF(AND(IFERROR(INDEX(Lists!$K$2:$K$15,MATCH(K271,Lists!$J$2:$J$15,0)),-1)&gt;=6,M271="N"),"status "&amp;K271&amp;" but no tracker row",IF(AND(L271="Y",K271&lt;&gt;"do_not_contact"),"do_not_contact = Y but status is "&amp;K271,IF(AND(K271="do_not_contact",L271&lt;&gt;"Y"),"status do_not_contact but do_not_contact is not Y",""))))))</f>
        <v/>
      </c>
    </row>
    <row r="272" customFormat="false" ht="15" hidden="false" customHeight="false" outlineLevel="0" collapsed="false">
      <c r="B272" s="23" t="n">
        <v>251</v>
      </c>
      <c r="C272" s="23" t="str">
        <f aca="false">IFERROR(INDEX(Clay_Offices!$A$2:$FZ$601,B272,$C$5)&amp;"","")</f>
        <v/>
      </c>
      <c r="D272" s="23" t="str">
        <f aca="false">IFERROR(INDEX(Clay_Offices!$A$2:$FZ$601,B272,$C$7)&amp;"","")</f>
        <v/>
      </c>
      <c r="E272" s="23" t="str">
        <f aca="false">IFERROR(INDEX(Clay_Offices!$A$2:$FZ$601,B272,$C$8)&amp;"","")</f>
        <v/>
      </c>
      <c r="F272" s="23" t="str">
        <f aca="false">IF(C272="","",IF(COUNTIF(Office_Log!$A$2:$A$201,C272)&gt;0,"Y","N"))</f>
        <v/>
      </c>
      <c r="G272" s="34" t="str">
        <f aca="false">IF(OR(C272="",AND(LEFT(C272,6)="SAMPLE",Config!$B$19&lt;&gt;"Y")),"",IF(IFERROR(INDEX(Lists!$K$2:$K$15,MATCH(D272,Lists!$J$2:$J$15,0)),-1)=-1,"status '"&amp;D272&amp;"' is not a CONTRACTS status",IF(AND(D272="signed",COUNTIF(signed_offices!$W$2:$W$51,C272)=0),"status signed but no signed_offices row"&amp;IF(F272="N"," and no tracker row",""),IF(AND(IFERROR(INDEX(Lists!$K$2:$K$15,MATCH(D272,Lists!$J$2:$J$15,0)),-1)&gt;=6,F272="N"),"status "&amp;D272&amp;" but no tracker row",IF(AND(E272="Y",D272&lt;&gt;"do_not_contact"),"do_not_contact = Y but status is "&amp;D272,IF(AND(D272="do_not_contact",E272&lt;&gt;"Y"),"status do_not_contact but do_not_contact is not Y",""))))))</f>
        <v/>
      </c>
      <c r="I272" s="23" t="n">
        <v>251</v>
      </c>
      <c r="J272" s="23" t="str">
        <f aca="false">IFERROR(INDEX(Clay_Brands!$A$2:$FZ$601,I272,$D$5)&amp;"","")</f>
        <v/>
      </c>
      <c r="K272" s="23" t="str">
        <f aca="false">IFERROR(INDEX(Clay_Brands!$A$2:$FZ$601,I272,$D$7)&amp;"","")</f>
        <v/>
      </c>
      <c r="L272" s="23" t="str">
        <f aca="false">IFERROR(INDEX(Clay_Brands!$A$2:$FZ$601,I272,$D$8)&amp;"","")</f>
        <v/>
      </c>
      <c r="M272" s="23" t="str">
        <f aca="false">IF(J272="","",IF(COUNTIF(Brand_Log!$A$2:$A$201,J272)&gt;0,"Y","N"))</f>
        <v/>
      </c>
      <c r="N272" s="34" t="str">
        <f aca="false">IF(OR(J272="",AND(LEFT(J272,6)="SAMPLE",Config!$B$19&lt;&gt;"Y")),"",IF(IFERROR(INDEX(Lists!$K$2:$K$15,MATCH(K272,Lists!$J$2:$J$15,0)),-1)=-1,"status '"&amp;K272&amp;"' is not a CONTRACTS status",IF(AND(K272="paid",COUNTIF(paid_brands!$AC$2:$AC$51,J272)=0),"status paid but no paid_brands row"&amp;IF(M272="N"," and no tracker row",""),IF(AND(IFERROR(INDEX(Lists!$K$2:$K$15,MATCH(K272,Lists!$J$2:$J$15,0)),-1)&gt;=6,M272="N"),"status "&amp;K272&amp;" but no tracker row",IF(AND(L272="Y",K272&lt;&gt;"do_not_contact"),"do_not_contact = Y but status is "&amp;K272,IF(AND(K272="do_not_contact",L272&lt;&gt;"Y"),"status do_not_contact but do_not_contact is not Y",""))))))</f>
        <v/>
      </c>
    </row>
    <row r="273" customFormat="false" ht="15" hidden="false" customHeight="false" outlineLevel="0" collapsed="false">
      <c r="B273" s="23" t="n">
        <v>252</v>
      </c>
      <c r="C273" s="23" t="str">
        <f aca="false">IFERROR(INDEX(Clay_Offices!$A$2:$FZ$601,B273,$C$5)&amp;"","")</f>
        <v/>
      </c>
      <c r="D273" s="23" t="str">
        <f aca="false">IFERROR(INDEX(Clay_Offices!$A$2:$FZ$601,B273,$C$7)&amp;"","")</f>
        <v/>
      </c>
      <c r="E273" s="23" t="str">
        <f aca="false">IFERROR(INDEX(Clay_Offices!$A$2:$FZ$601,B273,$C$8)&amp;"","")</f>
        <v/>
      </c>
      <c r="F273" s="23" t="str">
        <f aca="false">IF(C273="","",IF(COUNTIF(Office_Log!$A$2:$A$201,C273)&gt;0,"Y","N"))</f>
        <v/>
      </c>
      <c r="G273" s="34" t="str">
        <f aca="false">IF(OR(C273="",AND(LEFT(C273,6)="SAMPLE",Config!$B$19&lt;&gt;"Y")),"",IF(IFERROR(INDEX(Lists!$K$2:$K$15,MATCH(D273,Lists!$J$2:$J$15,0)),-1)=-1,"status '"&amp;D273&amp;"' is not a CONTRACTS status",IF(AND(D273="signed",COUNTIF(signed_offices!$W$2:$W$51,C273)=0),"status signed but no signed_offices row"&amp;IF(F273="N"," and no tracker row",""),IF(AND(IFERROR(INDEX(Lists!$K$2:$K$15,MATCH(D273,Lists!$J$2:$J$15,0)),-1)&gt;=6,F273="N"),"status "&amp;D273&amp;" but no tracker row",IF(AND(E273="Y",D273&lt;&gt;"do_not_contact"),"do_not_contact = Y but status is "&amp;D273,IF(AND(D273="do_not_contact",E273&lt;&gt;"Y"),"status do_not_contact but do_not_contact is not Y",""))))))</f>
        <v/>
      </c>
      <c r="I273" s="23" t="n">
        <v>252</v>
      </c>
      <c r="J273" s="23" t="str">
        <f aca="false">IFERROR(INDEX(Clay_Brands!$A$2:$FZ$601,I273,$D$5)&amp;"","")</f>
        <v/>
      </c>
      <c r="K273" s="23" t="str">
        <f aca="false">IFERROR(INDEX(Clay_Brands!$A$2:$FZ$601,I273,$D$7)&amp;"","")</f>
        <v/>
      </c>
      <c r="L273" s="23" t="str">
        <f aca="false">IFERROR(INDEX(Clay_Brands!$A$2:$FZ$601,I273,$D$8)&amp;"","")</f>
        <v/>
      </c>
      <c r="M273" s="23" t="str">
        <f aca="false">IF(J273="","",IF(COUNTIF(Brand_Log!$A$2:$A$201,J273)&gt;0,"Y","N"))</f>
        <v/>
      </c>
      <c r="N273" s="34" t="str">
        <f aca="false">IF(OR(J273="",AND(LEFT(J273,6)="SAMPLE",Config!$B$19&lt;&gt;"Y")),"",IF(IFERROR(INDEX(Lists!$K$2:$K$15,MATCH(K273,Lists!$J$2:$J$15,0)),-1)=-1,"status '"&amp;K273&amp;"' is not a CONTRACTS status",IF(AND(K273="paid",COUNTIF(paid_brands!$AC$2:$AC$51,J273)=0),"status paid but no paid_brands row"&amp;IF(M273="N"," and no tracker row",""),IF(AND(IFERROR(INDEX(Lists!$K$2:$K$15,MATCH(K273,Lists!$J$2:$J$15,0)),-1)&gt;=6,M273="N"),"status "&amp;K273&amp;" but no tracker row",IF(AND(L273="Y",K273&lt;&gt;"do_not_contact"),"do_not_contact = Y but status is "&amp;K273,IF(AND(K273="do_not_contact",L273&lt;&gt;"Y"),"status do_not_contact but do_not_contact is not Y",""))))))</f>
        <v/>
      </c>
    </row>
    <row r="274" customFormat="false" ht="15" hidden="false" customHeight="false" outlineLevel="0" collapsed="false">
      <c r="B274" s="23" t="n">
        <v>253</v>
      </c>
      <c r="C274" s="23" t="str">
        <f aca="false">IFERROR(INDEX(Clay_Offices!$A$2:$FZ$601,B274,$C$5)&amp;"","")</f>
        <v/>
      </c>
      <c r="D274" s="23" t="str">
        <f aca="false">IFERROR(INDEX(Clay_Offices!$A$2:$FZ$601,B274,$C$7)&amp;"","")</f>
        <v/>
      </c>
      <c r="E274" s="23" t="str">
        <f aca="false">IFERROR(INDEX(Clay_Offices!$A$2:$FZ$601,B274,$C$8)&amp;"","")</f>
        <v/>
      </c>
      <c r="F274" s="23" t="str">
        <f aca="false">IF(C274="","",IF(COUNTIF(Office_Log!$A$2:$A$201,C274)&gt;0,"Y","N"))</f>
        <v/>
      </c>
      <c r="G274" s="34" t="str">
        <f aca="false">IF(OR(C274="",AND(LEFT(C274,6)="SAMPLE",Config!$B$19&lt;&gt;"Y")),"",IF(IFERROR(INDEX(Lists!$K$2:$K$15,MATCH(D274,Lists!$J$2:$J$15,0)),-1)=-1,"status '"&amp;D274&amp;"' is not a CONTRACTS status",IF(AND(D274="signed",COUNTIF(signed_offices!$W$2:$W$51,C274)=0),"status signed but no signed_offices row"&amp;IF(F274="N"," and no tracker row",""),IF(AND(IFERROR(INDEX(Lists!$K$2:$K$15,MATCH(D274,Lists!$J$2:$J$15,0)),-1)&gt;=6,F274="N"),"status "&amp;D274&amp;" but no tracker row",IF(AND(E274="Y",D274&lt;&gt;"do_not_contact"),"do_not_contact = Y but status is "&amp;D274,IF(AND(D274="do_not_contact",E274&lt;&gt;"Y"),"status do_not_contact but do_not_contact is not Y",""))))))</f>
        <v/>
      </c>
      <c r="I274" s="23" t="n">
        <v>253</v>
      </c>
      <c r="J274" s="23" t="str">
        <f aca="false">IFERROR(INDEX(Clay_Brands!$A$2:$FZ$601,I274,$D$5)&amp;"","")</f>
        <v/>
      </c>
      <c r="K274" s="23" t="str">
        <f aca="false">IFERROR(INDEX(Clay_Brands!$A$2:$FZ$601,I274,$D$7)&amp;"","")</f>
        <v/>
      </c>
      <c r="L274" s="23" t="str">
        <f aca="false">IFERROR(INDEX(Clay_Brands!$A$2:$FZ$601,I274,$D$8)&amp;"","")</f>
        <v/>
      </c>
      <c r="M274" s="23" t="str">
        <f aca="false">IF(J274="","",IF(COUNTIF(Brand_Log!$A$2:$A$201,J274)&gt;0,"Y","N"))</f>
        <v/>
      </c>
      <c r="N274" s="34" t="str">
        <f aca="false">IF(OR(J274="",AND(LEFT(J274,6)="SAMPLE",Config!$B$19&lt;&gt;"Y")),"",IF(IFERROR(INDEX(Lists!$K$2:$K$15,MATCH(K274,Lists!$J$2:$J$15,0)),-1)=-1,"status '"&amp;K274&amp;"' is not a CONTRACTS status",IF(AND(K274="paid",COUNTIF(paid_brands!$AC$2:$AC$51,J274)=0),"status paid but no paid_brands row"&amp;IF(M274="N"," and no tracker row",""),IF(AND(IFERROR(INDEX(Lists!$K$2:$K$15,MATCH(K274,Lists!$J$2:$J$15,0)),-1)&gt;=6,M274="N"),"status "&amp;K274&amp;" but no tracker row",IF(AND(L274="Y",K274&lt;&gt;"do_not_contact"),"do_not_contact = Y but status is "&amp;K274,IF(AND(K274="do_not_contact",L274&lt;&gt;"Y"),"status do_not_contact but do_not_contact is not Y",""))))))</f>
        <v/>
      </c>
    </row>
    <row r="275" customFormat="false" ht="15" hidden="false" customHeight="false" outlineLevel="0" collapsed="false">
      <c r="B275" s="23" t="n">
        <v>254</v>
      </c>
      <c r="C275" s="23" t="str">
        <f aca="false">IFERROR(INDEX(Clay_Offices!$A$2:$FZ$601,B275,$C$5)&amp;"","")</f>
        <v/>
      </c>
      <c r="D275" s="23" t="str">
        <f aca="false">IFERROR(INDEX(Clay_Offices!$A$2:$FZ$601,B275,$C$7)&amp;"","")</f>
        <v/>
      </c>
      <c r="E275" s="23" t="str">
        <f aca="false">IFERROR(INDEX(Clay_Offices!$A$2:$FZ$601,B275,$C$8)&amp;"","")</f>
        <v/>
      </c>
      <c r="F275" s="23" t="str">
        <f aca="false">IF(C275="","",IF(COUNTIF(Office_Log!$A$2:$A$201,C275)&gt;0,"Y","N"))</f>
        <v/>
      </c>
      <c r="G275" s="34" t="str">
        <f aca="false">IF(OR(C275="",AND(LEFT(C275,6)="SAMPLE",Config!$B$19&lt;&gt;"Y")),"",IF(IFERROR(INDEX(Lists!$K$2:$K$15,MATCH(D275,Lists!$J$2:$J$15,0)),-1)=-1,"status '"&amp;D275&amp;"' is not a CONTRACTS status",IF(AND(D275="signed",COUNTIF(signed_offices!$W$2:$W$51,C275)=0),"status signed but no signed_offices row"&amp;IF(F275="N"," and no tracker row",""),IF(AND(IFERROR(INDEX(Lists!$K$2:$K$15,MATCH(D275,Lists!$J$2:$J$15,0)),-1)&gt;=6,F275="N"),"status "&amp;D275&amp;" but no tracker row",IF(AND(E275="Y",D275&lt;&gt;"do_not_contact"),"do_not_contact = Y but status is "&amp;D275,IF(AND(D275="do_not_contact",E275&lt;&gt;"Y"),"status do_not_contact but do_not_contact is not Y",""))))))</f>
        <v/>
      </c>
      <c r="I275" s="23" t="n">
        <v>254</v>
      </c>
      <c r="J275" s="23" t="str">
        <f aca="false">IFERROR(INDEX(Clay_Brands!$A$2:$FZ$601,I275,$D$5)&amp;"","")</f>
        <v/>
      </c>
      <c r="K275" s="23" t="str">
        <f aca="false">IFERROR(INDEX(Clay_Brands!$A$2:$FZ$601,I275,$D$7)&amp;"","")</f>
        <v/>
      </c>
      <c r="L275" s="23" t="str">
        <f aca="false">IFERROR(INDEX(Clay_Brands!$A$2:$FZ$601,I275,$D$8)&amp;"","")</f>
        <v/>
      </c>
      <c r="M275" s="23" t="str">
        <f aca="false">IF(J275="","",IF(COUNTIF(Brand_Log!$A$2:$A$201,J275)&gt;0,"Y","N"))</f>
        <v/>
      </c>
      <c r="N275" s="34" t="str">
        <f aca="false">IF(OR(J275="",AND(LEFT(J275,6)="SAMPLE",Config!$B$19&lt;&gt;"Y")),"",IF(IFERROR(INDEX(Lists!$K$2:$K$15,MATCH(K275,Lists!$J$2:$J$15,0)),-1)=-1,"status '"&amp;K275&amp;"' is not a CONTRACTS status",IF(AND(K275="paid",COUNTIF(paid_brands!$AC$2:$AC$51,J275)=0),"status paid but no paid_brands row"&amp;IF(M275="N"," and no tracker row",""),IF(AND(IFERROR(INDEX(Lists!$K$2:$K$15,MATCH(K275,Lists!$J$2:$J$15,0)),-1)&gt;=6,M275="N"),"status "&amp;K275&amp;" but no tracker row",IF(AND(L275="Y",K275&lt;&gt;"do_not_contact"),"do_not_contact = Y but status is "&amp;K275,IF(AND(K275="do_not_contact",L275&lt;&gt;"Y"),"status do_not_contact but do_not_contact is not Y",""))))))</f>
        <v/>
      </c>
    </row>
    <row r="276" customFormat="false" ht="15" hidden="false" customHeight="false" outlineLevel="0" collapsed="false">
      <c r="B276" s="23" t="n">
        <v>255</v>
      </c>
      <c r="C276" s="23" t="str">
        <f aca="false">IFERROR(INDEX(Clay_Offices!$A$2:$FZ$601,B276,$C$5)&amp;"","")</f>
        <v/>
      </c>
      <c r="D276" s="23" t="str">
        <f aca="false">IFERROR(INDEX(Clay_Offices!$A$2:$FZ$601,B276,$C$7)&amp;"","")</f>
        <v/>
      </c>
      <c r="E276" s="23" t="str">
        <f aca="false">IFERROR(INDEX(Clay_Offices!$A$2:$FZ$601,B276,$C$8)&amp;"","")</f>
        <v/>
      </c>
      <c r="F276" s="23" t="str">
        <f aca="false">IF(C276="","",IF(COUNTIF(Office_Log!$A$2:$A$201,C276)&gt;0,"Y","N"))</f>
        <v/>
      </c>
      <c r="G276" s="34" t="str">
        <f aca="false">IF(OR(C276="",AND(LEFT(C276,6)="SAMPLE",Config!$B$19&lt;&gt;"Y")),"",IF(IFERROR(INDEX(Lists!$K$2:$K$15,MATCH(D276,Lists!$J$2:$J$15,0)),-1)=-1,"status '"&amp;D276&amp;"' is not a CONTRACTS status",IF(AND(D276="signed",COUNTIF(signed_offices!$W$2:$W$51,C276)=0),"status signed but no signed_offices row"&amp;IF(F276="N"," and no tracker row",""),IF(AND(IFERROR(INDEX(Lists!$K$2:$K$15,MATCH(D276,Lists!$J$2:$J$15,0)),-1)&gt;=6,F276="N"),"status "&amp;D276&amp;" but no tracker row",IF(AND(E276="Y",D276&lt;&gt;"do_not_contact"),"do_not_contact = Y but status is "&amp;D276,IF(AND(D276="do_not_contact",E276&lt;&gt;"Y"),"status do_not_contact but do_not_contact is not Y",""))))))</f>
        <v/>
      </c>
      <c r="I276" s="23" t="n">
        <v>255</v>
      </c>
      <c r="J276" s="23" t="str">
        <f aca="false">IFERROR(INDEX(Clay_Brands!$A$2:$FZ$601,I276,$D$5)&amp;"","")</f>
        <v/>
      </c>
      <c r="K276" s="23" t="str">
        <f aca="false">IFERROR(INDEX(Clay_Brands!$A$2:$FZ$601,I276,$D$7)&amp;"","")</f>
        <v/>
      </c>
      <c r="L276" s="23" t="str">
        <f aca="false">IFERROR(INDEX(Clay_Brands!$A$2:$FZ$601,I276,$D$8)&amp;"","")</f>
        <v/>
      </c>
      <c r="M276" s="23" t="str">
        <f aca="false">IF(J276="","",IF(COUNTIF(Brand_Log!$A$2:$A$201,J276)&gt;0,"Y","N"))</f>
        <v/>
      </c>
      <c r="N276" s="34" t="str">
        <f aca="false">IF(OR(J276="",AND(LEFT(J276,6)="SAMPLE",Config!$B$19&lt;&gt;"Y")),"",IF(IFERROR(INDEX(Lists!$K$2:$K$15,MATCH(K276,Lists!$J$2:$J$15,0)),-1)=-1,"status '"&amp;K276&amp;"' is not a CONTRACTS status",IF(AND(K276="paid",COUNTIF(paid_brands!$AC$2:$AC$51,J276)=0),"status paid but no paid_brands row"&amp;IF(M276="N"," and no tracker row",""),IF(AND(IFERROR(INDEX(Lists!$K$2:$K$15,MATCH(K276,Lists!$J$2:$J$15,0)),-1)&gt;=6,M276="N"),"status "&amp;K276&amp;" but no tracker row",IF(AND(L276="Y",K276&lt;&gt;"do_not_contact"),"do_not_contact = Y but status is "&amp;K276,IF(AND(K276="do_not_contact",L276&lt;&gt;"Y"),"status do_not_contact but do_not_contact is not Y",""))))))</f>
        <v/>
      </c>
    </row>
    <row r="277" customFormat="false" ht="15" hidden="false" customHeight="false" outlineLevel="0" collapsed="false">
      <c r="B277" s="23" t="n">
        <v>256</v>
      </c>
      <c r="C277" s="23" t="str">
        <f aca="false">IFERROR(INDEX(Clay_Offices!$A$2:$FZ$601,B277,$C$5)&amp;"","")</f>
        <v/>
      </c>
      <c r="D277" s="23" t="str">
        <f aca="false">IFERROR(INDEX(Clay_Offices!$A$2:$FZ$601,B277,$C$7)&amp;"","")</f>
        <v/>
      </c>
      <c r="E277" s="23" t="str">
        <f aca="false">IFERROR(INDEX(Clay_Offices!$A$2:$FZ$601,B277,$C$8)&amp;"","")</f>
        <v/>
      </c>
      <c r="F277" s="23" t="str">
        <f aca="false">IF(C277="","",IF(COUNTIF(Office_Log!$A$2:$A$201,C277)&gt;0,"Y","N"))</f>
        <v/>
      </c>
      <c r="G277" s="34" t="str">
        <f aca="false">IF(OR(C277="",AND(LEFT(C277,6)="SAMPLE",Config!$B$19&lt;&gt;"Y")),"",IF(IFERROR(INDEX(Lists!$K$2:$K$15,MATCH(D277,Lists!$J$2:$J$15,0)),-1)=-1,"status '"&amp;D277&amp;"' is not a CONTRACTS status",IF(AND(D277="signed",COUNTIF(signed_offices!$W$2:$W$51,C277)=0),"status signed but no signed_offices row"&amp;IF(F277="N"," and no tracker row",""),IF(AND(IFERROR(INDEX(Lists!$K$2:$K$15,MATCH(D277,Lists!$J$2:$J$15,0)),-1)&gt;=6,F277="N"),"status "&amp;D277&amp;" but no tracker row",IF(AND(E277="Y",D277&lt;&gt;"do_not_contact"),"do_not_contact = Y but status is "&amp;D277,IF(AND(D277="do_not_contact",E277&lt;&gt;"Y"),"status do_not_contact but do_not_contact is not Y",""))))))</f>
        <v/>
      </c>
      <c r="I277" s="23" t="n">
        <v>256</v>
      </c>
      <c r="J277" s="23" t="str">
        <f aca="false">IFERROR(INDEX(Clay_Brands!$A$2:$FZ$601,I277,$D$5)&amp;"","")</f>
        <v/>
      </c>
      <c r="K277" s="23" t="str">
        <f aca="false">IFERROR(INDEX(Clay_Brands!$A$2:$FZ$601,I277,$D$7)&amp;"","")</f>
        <v/>
      </c>
      <c r="L277" s="23" t="str">
        <f aca="false">IFERROR(INDEX(Clay_Brands!$A$2:$FZ$601,I277,$D$8)&amp;"","")</f>
        <v/>
      </c>
      <c r="M277" s="23" t="str">
        <f aca="false">IF(J277="","",IF(COUNTIF(Brand_Log!$A$2:$A$201,J277)&gt;0,"Y","N"))</f>
        <v/>
      </c>
      <c r="N277" s="34" t="str">
        <f aca="false">IF(OR(J277="",AND(LEFT(J277,6)="SAMPLE",Config!$B$19&lt;&gt;"Y")),"",IF(IFERROR(INDEX(Lists!$K$2:$K$15,MATCH(K277,Lists!$J$2:$J$15,0)),-1)=-1,"status '"&amp;K277&amp;"' is not a CONTRACTS status",IF(AND(K277="paid",COUNTIF(paid_brands!$AC$2:$AC$51,J277)=0),"status paid but no paid_brands row"&amp;IF(M277="N"," and no tracker row",""),IF(AND(IFERROR(INDEX(Lists!$K$2:$K$15,MATCH(K277,Lists!$J$2:$J$15,0)),-1)&gt;=6,M277="N"),"status "&amp;K277&amp;" but no tracker row",IF(AND(L277="Y",K277&lt;&gt;"do_not_contact"),"do_not_contact = Y but status is "&amp;K277,IF(AND(K277="do_not_contact",L277&lt;&gt;"Y"),"status do_not_contact but do_not_contact is not Y",""))))))</f>
        <v/>
      </c>
    </row>
    <row r="278" customFormat="false" ht="15" hidden="false" customHeight="false" outlineLevel="0" collapsed="false">
      <c r="B278" s="23" t="n">
        <v>257</v>
      </c>
      <c r="C278" s="23" t="str">
        <f aca="false">IFERROR(INDEX(Clay_Offices!$A$2:$FZ$601,B278,$C$5)&amp;"","")</f>
        <v/>
      </c>
      <c r="D278" s="23" t="str">
        <f aca="false">IFERROR(INDEX(Clay_Offices!$A$2:$FZ$601,B278,$C$7)&amp;"","")</f>
        <v/>
      </c>
      <c r="E278" s="23" t="str">
        <f aca="false">IFERROR(INDEX(Clay_Offices!$A$2:$FZ$601,B278,$C$8)&amp;"","")</f>
        <v/>
      </c>
      <c r="F278" s="23" t="str">
        <f aca="false">IF(C278="","",IF(COUNTIF(Office_Log!$A$2:$A$201,C278)&gt;0,"Y","N"))</f>
        <v/>
      </c>
      <c r="G278" s="34" t="str">
        <f aca="false">IF(OR(C278="",AND(LEFT(C278,6)="SAMPLE",Config!$B$19&lt;&gt;"Y")),"",IF(IFERROR(INDEX(Lists!$K$2:$K$15,MATCH(D278,Lists!$J$2:$J$15,0)),-1)=-1,"status '"&amp;D278&amp;"' is not a CONTRACTS status",IF(AND(D278="signed",COUNTIF(signed_offices!$W$2:$W$51,C278)=0),"status signed but no signed_offices row"&amp;IF(F278="N"," and no tracker row",""),IF(AND(IFERROR(INDEX(Lists!$K$2:$K$15,MATCH(D278,Lists!$J$2:$J$15,0)),-1)&gt;=6,F278="N"),"status "&amp;D278&amp;" but no tracker row",IF(AND(E278="Y",D278&lt;&gt;"do_not_contact"),"do_not_contact = Y but status is "&amp;D278,IF(AND(D278="do_not_contact",E278&lt;&gt;"Y"),"status do_not_contact but do_not_contact is not Y",""))))))</f>
        <v/>
      </c>
      <c r="I278" s="23" t="n">
        <v>257</v>
      </c>
      <c r="J278" s="23" t="str">
        <f aca="false">IFERROR(INDEX(Clay_Brands!$A$2:$FZ$601,I278,$D$5)&amp;"","")</f>
        <v/>
      </c>
      <c r="K278" s="23" t="str">
        <f aca="false">IFERROR(INDEX(Clay_Brands!$A$2:$FZ$601,I278,$D$7)&amp;"","")</f>
        <v/>
      </c>
      <c r="L278" s="23" t="str">
        <f aca="false">IFERROR(INDEX(Clay_Brands!$A$2:$FZ$601,I278,$D$8)&amp;"","")</f>
        <v/>
      </c>
      <c r="M278" s="23" t="str">
        <f aca="false">IF(J278="","",IF(COUNTIF(Brand_Log!$A$2:$A$201,J278)&gt;0,"Y","N"))</f>
        <v/>
      </c>
      <c r="N278" s="34" t="str">
        <f aca="false">IF(OR(J278="",AND(LEFT(J278,6)="SAMPLE",Config!$B$19&lt;&gt;"Y")),"",IF(IFERROR(INDEX(Lists!$K$2:$K$15,MATCH(K278,Lists!$J$2:$J$15,0)),-1)=-1,"status '"&amp;K278&amp;"' is not a CONTRACTS status",IF(AND(K278="paid",COUNTIF(paid_brands!$AC$2:$AC$51,J278)=0),"status paid but no paid_brands row"&amp;IF(M278="N"," and no tracker row",""),IF(AND(IFERROR(INDEX(Lists!$K$2:$K$15,MATCH(K278,Lists!$J$2:$J$15,0)),-1)&gt;=6,M278="N"),"status "&amp;K278&amp;" but no tracker row",IF(AND(L278="Y",K278&lt;&gt;"do_not_contact"),"do_not_contact = Y but status is "&amp;K278,IF(AND(K278="do_not_contact",L278&lt;&gt;"Y"),"status do_not_contact but do_not_contact is not Y",""))))))</f>
        <v/>
      </c>
    </row>
    <row r="279" customFormat="false" ht="15" hidden="false" customHeight="false" outlineLevel="0" collapsed="false">
      <c r="B279" s="23" t="n">
        <v>258</v>
      </c>
      <c r="C279" s="23" t="str">
        <f aca="false">IFERROR(INDEX(Clay_Offices!$A$2:$FZ$601,B279,$C$5)&amp;"","")</f>
        <v/>
      </c>
      <c r="D279" s="23" t="str">
        <f aca="false">IFERROR(INDEX(Clay_Offices!$A$2:$FZ$601,B279,$C$7)&amp;"","")</f>
        <v/>
      </c>
      <c r="E279" s="23" t="str">
        <f aca="false">IFERROR(INDEX(Clay_Offices!$A$2:$FZ$601,B279,$C$8)&amp;"","")</f>
        <v/>
      </c>
      <c r="F279" s="23" t="str">
        <f aca="false">IF(C279="","",IF(COUNTIF(Office_Log!$A$2:$A$201,C279)&gt;0,"Y","N"))</f>
        <v/>
      </c>
      <c r="G279" s="34" t="str">
        <f aca="false">IF(OR(C279="",AND(LEFT(C279,6)="SAMPLE",Config!$B$19&lt;&gt;"Y")),"",IF(IFERROR(INDEX(Lists!$K$2:$K$15,MATCH(D279,Lists!$J$2:$J$15,0)),-1)=-1,"status '"&amp;D279&amp;"' is not a CONTRACTS status",IF(AND(D279="signed",COUNTIF(signed_offices!$W$2:$W$51,C279)=0),"status signed but no signed_offices row"&amp;IF(F279="N"," and no tracker row",""),IF(AND(IFERROR(INDEX(Lists!$K$2:$K$15,MATCH(D279,Lists!$J$2:$J$15,0)),-1)&gt;=6,F279="N"),"status "&amp;D279&amp;" but no tracker row",IF(AND(E279="Y",D279&lt;&gt;"do_not_contact"),"do_not_contact = Y but status is "&amp;D279,IF(AND(D279="do_not_contact",E279&lt;&gt;"Y"),"status do_not_contact but do_not_contact is not Y",""))))))</f>
        <v/>
      </c>
      <c r="I279" s="23" t="n">
        <v>258</v>
      </c>
      <c r="J279" s="23" t="str">
        <f aca="false">IFERROR(INDEX(Clay_Brands!$A$2:$FZ$601,I279,$D$5)&amp;"","")</f>
        <v/>
      </c>
      <c r="K279" s="23" t="str">
        <f aca="false">IFERROR(INDEX(Clay_Brands!$A$2:$FZ$601,I279,$D$7)&amp;"","")</f>
        <v/>
      </c>
      <c r="L279" s="23" t="str">
        <f aca="false">IFERROR(INDEX(Clay_Brands!$A$2:$FZ$601,I279,$D$8)&amp;"","")</f>
        <v/>
      </c>
      <c r="M279" s="23" t="str">
        <f aca="false">IF(J279="","",IF(COUNTIF(Brand_Log!$A$2:$A$201,J279)&gt;0,"Y","N"))</f>
        <v/>
      </c>
      <c r="N279" s="34" t="str">
        <f aca="false">IF(OR(J279="",AND(LEFT(J279,6)="SAMPLE",Config!$B$19&lt;&gt;"Y")),"",IF(IFERROR(INDEX(Lists!$K$2:$K$15,MATCH(K279,Lists!$J$2:$J$15,0)),-1)=-1,"status '"&amp;K279&amp;"' is not a CONTRACTS status",IF(AND(K279="paid",COUNTIF(paid_brands!$AC$2:$AC$51,J279)=0),"status paid but no paid_brands row"&amp;IF(M279="N"," and no tracker row",""),IF(AND(IFERROR(INDEX(Lists!$K$2:$K$15,MATCH(K279,Lists!$J$2:$J$15,0)),-1)&gt;=6,M279="N"),"status "&amp;K279&amp;" but no tracker row",IF(AND(L279="Y",K279&lt;&gt;"do_not_contact"),"do_not_contact = Y but status is "&amp;K279,IF(AND(K279="do_not_contact",L279&lt;&gt;"Y"),"status do_not_contact but do_not_contact is not Y",""))))))</f>
        <v/>
      </c>
    </row>
    <row r="280" customFormat="false" ht="15" hidden="false" customHeight="false" outlineLevel="0" collapsed="false">
      <c r="B280" s="23" t="n">
        <v>259</v>
      </c>
      <c r="C280" s="23" t="str">
        <f aca="false">IFERROR(INDEX(Clay_Offices!$A$2:$FZ$601,B280,$C$5)&amp;"","")</f>
        <v/>
      </c>
      <c r="D280" s="23" t="str">
        <f aca="false">IFERROR(INDEX(Clay_Offices!$A$2:$FZ$601,B280,$C$7)&amp;"","")</f>
        <v/>
      </c>
      <c r="E280" s="23" t="str">
        <f aca="false">IFERROR(INDEX(Clay_Offices!$A$2:$FZ$601,B280,$C$8)&amp;"","")</f>
        <v/>
      </c>
      <c r="F280" s="23" t="str">
        <f aca="false">IF(C280="","",IF(COUNTIF(Office_Log!$A$2:$A$201,C280)&gt;0,"Y","N"))</f>
        <v/>
      </c>
      <c r="G280" s="34" t="str">
        <f aca="false">IF(OR(C280="",AND(LEFT(C280,6)="SAMPLE",Config!$B$19&lt;&gt;"Y")),"",IF(IFERROR(INDEX(Lists!$K$2:$K$15,MATCH(D280,Lists!$J$2:$J$15,0)),-1)=-1,"status '"&amp;D280&amp;"' is not a CONTRACTS status",IF(AND(D280="signed",COUNTIF(signed_offices!$W$2:$W$51,C280)=0),"status signed but no signed_offices row"&amp;IF(F280="N"," and no tracker row",""),IF(AND(IFERROR(INDEX(Lists!$K$2:$K$15,MATCH(D280,Lists!$J$2:$J$15,0)),-1)&gt;=6,F280="N"),"status "&amp;D280&amp;" but no tracker row",IF(AND(E280="Y",D280&lt;&gt;"do_not_contact"),"do_not_contact = Y but status is "&amp;D280,IF(AND(D280="do_not_contact",E280&lt;&gt;"Y"),"status do_not_contact but do_not_contact is not Y",""))))))</f>
        <v/>
      </c>
      <c r="I280" s="23" t="n">
        <v>259</v>
      </c>
      <c r="J280" s="23" t="str">
        <f aca="false">IFERROR(INDEX(Clay_Brands!$A$2:$FZ$601,I280,$D$5)&amp;"","")</f>
        <v/>
      </c>
      <c r="K280" s="23" t="str">
        <f aca="false">IFERROR(INDEX(Clay_Brands!$A$2:$FZ$601,I280,$D$7)&amp;"","")</f>
        <v/>
      </c>
      <c r="L280" s="23" t="str">
        <f aca="false">IFERROR(INDEX(Clay_Brands!$A$2:$FZ$601,I280,$D$8)&amp;"","")</f>
        <v/>
      </c>
      <c r="M280" s="23" t="str">
        <f aca="false">IF(J280="","",IF(COUNTIF(Brand_Log!$A$2:$A$201,J280)&gt;0,"Y","N"))</f>
        <v/>
      </c>
      <c r="N280" s="34" t="str">
        <f aca="false">IF(OR(J280="",AND(LEFT(J280,6)="SAMPLE",Config!$B$19&lt;&gt;"Y")),"",IF(IFERROR(INDEX(Lists!$K$2:$K$15,MATCH(K280,Lists!$J$2:$J$15,0)),-1)=-1,"status '"&amp;K280&amp;"' is not a CONTRACTS status",IF(AND(K280="paid",COUNTIF(paid_brands!$AC$2:$AC$51,J280)=0),"status paid but no paid_brands row"&amp;IF(M280="N"," and no tracker row",""),IF(AND(IFERROR(INDEX(Lists!$K$2:$K$15,MATCH(K280,Lists!$J$2:$J$15,0)),-1)&gt;=6,M280="N"),"status "&amp;K280&amp;" but no tracker row",IF(AND(L280="Y",K280&lt;&gt;"do_not_contact"),"do_not_contact = Y but status is "&amp;K280,IF(AND(K280="do_not_contact",L280&lt;&gt;"Y"),"status do_not_contact but do_not_contact is not Y",""))))))</f>
        <v/>
      </c>
    </row>
    <row r="281" customFormat="false" ht="15" hidden="false" customHeight="false" outlineLevel="0" collapsed="false">
      <c r="B281" s="23" t="n">
        <v>260</v>
      </c>
      <c r="C281" s="23" t="str">
        <f aca="false">IFERROR(INDEX(Clay_Offices!$A$2:$FZ$601,B281,$C$5)&amp;"","")</f>
        <v/>
      </c>
      <c r="D281" s="23" t="str">
        <f aca="false">IFERROR(INDEX(Clay_Offices!$A$2:$FZ$601,B281,$C$7)&amp;"","")</f>
        <v/>
      </c>
      <c r="E281" s="23" t="str">
        <f aca="false">IFERROR(INDEX(Clay_Offices!$A$2:$FZ$601,B281,$C$8)&amp;"","")</f>
        <v/>
      </c>
      <c r="F281" s="23" t="str">
        <f aca="false">IF(C281="","",IF(COUNTIF(Office_Log!$A$2:$A$201,C281)&gt;0,"Y","N"))</f>
        <v/>
      </c>
      <c r="G281" s="34" t="str">
        <f aca="false">IF(OR(C281="",AND(LEFT(C281,6)="SAMPLE",Config!$B$19&lt;&gt;"Y")),"",IF(IFERROR(INDEX(Lists!$K$2:$K$15,MATCH(D281,Lists!$J$2:$J$15,0)),-1)=-1,"status '"&amp;D281&amp;"' is not a CONTRACTS status",IF(AND(D281="signed",COUNTIF(signed_offices!$W$2:$W$51,C281)=0),"status signed but no signed_offices row"&amp;IF(F281="N"," and no tracker row",""),IF(AND(IFERROR(INDEX(Lists!$K$2:$K$15,MATCH(D281,Lists!$J$2:$J$15,0)),-1)&gt;=6,F281="N"),"status "&amp;D281&amp;" but no tracker row",IF(AND(E281="Y",D281&lt;&gt;"do_not_contact"),"do_not_contact = Y but status is "&amp;D281,IF(AND(D281="do_not_contact",E281&lt;&gt;"Y"),"status do_not_contact but do_not_contact is not Y",""))))))</f>
        <v/>
      </c>
      <c r="I281" s="23" t="n">
        <v>260</v>
      </c>
      <c r="J281" s="23" t="str">
        <f aca="false">IFERROR(INDEX(Clay_Brands!$A$2:$FZ$601,I281,$D$5)&amp;"","")</f>
        <v/>
      </c>
      <c r="K281" s="23" t="str">
        <f aca="false">IFERROR(INDEX(Clay_Brands!$A$2:$FZ$601,I281,$D$7)&amp;"","")</f>
        <v/>
      </c>
      <c r="L281" s="23" t="str">
        <f aca="false">IFERROR(INDEX(Clay_Brands!$A$2:$FZ$601,I281,$D$8)&amp;"","")</f>
        <v/>
      </c>
      <c r="M281" s="23" t="str">
        <f aca="false">IF(J281="","",IF(COUNTIF(Brand_Log!$A$2:$A$201,J281)&gt;0,"Y","N"))</f>
        <v/>
      </c>
      <c r="N281" s="34" t="str">
        <f aca="false">IF(OR(J281="",AND(LEFT(J281,6)="SAMPLE",Config!$B$19&lt;&gt;"Y")),"",IF(IFERROR(INDEX(Lists!$K$2:$K$15,MATCH(K281,Lists!$J$2:$J$15,0)),-1)=-1,"status '"&amp;K281&amp;"' is not a CONTRACTS status",IF(AND(K281="paid",COUNTIF(paid_brands!$AC$2:$AC$51,J281)=0),"status paid but no paid_brands row"&amp;IF(M281="N"," and no tracker row",""),IF(AND(IFERROR(INDEX(Lists!$K$2:$K$15,MATCH(K281,Lists!$J$2:$J$15,0)),-1)&gt;=6,M281="N"),"status "&amp;K281&amp;" but no tracker row",IF(AND(L281="Y",K281&lt;&gt;"do_not_contact"),"do_not_contact = Y but status is "&amp;K281,IF(AND(K281="do_not_contact",L281&lt;&gt;"Y"),"status do_not_contact but do_not_contact is not Y",""))))))</f>
        <v/>
      </c>
    </row>
    <row r="282" customFormat="false" ht="15" hidden="false" customHeight="false" outlineLevel="0" collapsed="false">
      <c r="B282" s="23" t="n">
        <v>261</v>
      </c>
      <c r="C282" s="23" t="str">
        <f aca="false">IFERROR(INDEX(Clay_Offices!$A$2:$FZ$601,B282,$C$5)&amp;"","")</f>
        <v/>
      </c>
      <c r="D282" s="23" t="str">
        <f aca="false">IFERROR(INDEX(Clay_Offices!$A$2:$FZ$601,B282,$C$7)&amp;"","")</f>
        <v/>
      </c>
      <c r="E282" s="23" t="str">
        <f aca="false">IFERROR(INDEX(Clay_Offices!$A$2:$FZ$601,B282,$C$8)&amp;"","")</f>
        <v/>
      </c>
      <c r="F282" s="23" t="str">
        <f aca="false">IF(C282="","",IF(COUNTIF(Office_Log!$A$2:$A$201,C282)&gt;0,"Y","N"))</f>
        <v/>
      </c>
      <c r="G282" s="34" t="str">
        <f aca="false">IF(OR(C282="",AND(LEFT(C282,6)="SAMPLE",Config!$B$19&lt;&gt;"Y")),"",IF(IFERROR(INDEX(Lists!$K$2:$K$15,MATCH(D282,Lists!$J$2:$J$15,0)),-1)=-1,"status '"&amp;D282&amp;"' is not a CONTRACTS status",IF(AND(D282="signed",COUNTIF(signed_offices!$W$2:$W$51,C282)=0),"status signed but no signed_offices row"&amp;IF(F282="N"," and no tracker row",""),IF(AND(IFERROR(INDEX(Lists!$K$2:$K$15,MATCH(D282,Lists!$J$2:$J$15,0)),-1)&gt;=6,F282="N"),"status "&amp;D282&amp;" but no tracker row",IF(AND(E282="Y",D282&lt;&gt;"do_not_contact"),"do_not_contact = Y but status is "&amp;D282,IF(AND(D282="do_not_contact",E282&lt;&gt;"Y"),"status do_not_contact but do_not_contact is not Y",""))))))</f>
        <v/>
      </c>
      <c r="I282" s="23" t="n">
        <v>261</v>
      </c>
      <c r="J282" s="23" t="str">
        <f aca="false">IFERROR(INDEX(Clay_Brands!$A$2:$FZ$601,I282,$D$5)&amp;"","")</f>
        <v/>
      </c>
      <c r="K282" s="23" t="str">
        <f aca="false">IFERROR(INDEX(Clay_Brands!$A$2:$FZ$601,I282,$D$7)&amp;"","")</f>
        <v/>
      </c>
      <c r="L282" s="23" t="str">
        <f aca="false">IFERROR(INDEX(Clay_Brands!$A$2:$FZ$601,I282,$D$8)&amp;"","")</f>
        <v/>
      </c>
      <c r="M282" s="23" t="str">
        <f aca="false">IF(J282="","",IF(COUNTIF(Brand_Log!$A$2:$A$201,J282)&gt;0,"Y","N"))</f>
        <v/>
      </c>
      <c r="N282" s="34" t="str">
        <f aca="false">IF(OR(J282="",AND(LEFT(J282,6)="SAMPLE",Config!$B$19&lt;&gt;"Y")),"",IF(IFERROR(INDEX(Lists!$K$2:$K$15,MATCH(K282,Lists!$J$2:$J$15,0)),-1)=-1,"status '"&amp;K282&amp;"' is not a CONTRACTS status",IF(AND(K282="paid",COUNTIF(paid_brands!$AC$2:$AC$51,J282)=0),"status paid but no paid_brands row"&amp;IF(M282="N"," and no tracker row",""),IF(AND(IFERROR(INDEX(Lists!$K$2:$K$15,MATCH(K282,Lists!$J$2:$J$15,0)),-1)&gt;=6,M282="N"),"status "&amp;K282&amp;" but no tracker row",IF(AND(L282="Y",K282&lt;&gt;"do_not_contact"),"do_not_contact = Y but status is "&amp;K282,IF(AND(K282="do_not_contact",L282&lt;&gt;"Y"),"status do_not_contact but do_not_contact is not Y",""))))))</f>
        <v/>
      </c>
    </row>
    <row r="283" customFormat="false" ht="15" hidden="false" customHeight="false" outlineLevel="0" collapsed="false">
      <c r="B283" s="23" t="n">
        <v>262</v>
      </c>
      <c r="C283" s="23" t="str">
        <f aca="false">IFERROR(INDEX(Clay_Offices!$A$2:$FZ$601,B283,$C$5)&amp;"","")</f>
        <v/>
      </c>
      <c r="D283" s="23" t="str">
        <f aca="false">IFERROR(INDEX(Clay_Offices!$A$2:$FZ$601,B283,$C$7)&amp;"","")</f>
        <v/>
      </c>
      <c r="E283" s="23" t="str">
        <f aca="false">IFERROR(INDEX(Clay_Offices!$A$2:$FZ$601,B283,$C$8)&amp;"","")</f>
        <v/>
      </c>
      <c r="F283" s="23" t="str">
        <f aca="false">IF(C283="","",IF(COUNTIF(Office_Log!$A$2:$A$201,C283)&gt;0,"Y","N"))</f>
        <v/>
      </c>
      <c r="G283" s="34" t="str">
        <f aca="false">IF(OR(C283="",AND(LEFT(C283,6)="SAMPLE",Config!$B$19&lt;&gt;"Y")),"",IF(IFERROR(INDEX(Lists!$K$2:$K$15,MATCH(D283,Lists!$J$2:$J$15,0)),-1)=-1,"status '"&amp;D283&amp;"' is not a CONTRACTS status",IF(AND(D283="signed",COUNTIF(signed_offices!$W$2:$W$51,C283)=0),"status signed but no signed_offices row"&amp;IF(F283="N"," and no tracker row",""),IF(AND(IFERROR(INDEX(Lists!$K$2:$K$15,MATCH(D283,Lists!$J$2:$J$15,0)),-1)&gt;=6,F283="N"),"status "&amp;D283&amp;" but no tracker row",IF(AND(E283="Y",D283&lt;&gt;"do_not_contact"),"do_not_contact = Y but status is "&amp;D283,IF(AND(D283="do_not_contact",E283&lt;&gt;"Y"),"status do_not_contact but do_not_contact is not Y",""))))))</f>
        <v/>
      </c>
      <c r="I283" s="23" t="n">
        <v>262</v>
      </c>
      <c r="J283" s="23" t="str">
        <f aca="false">IFERROR(INDEX(Clay_Brands!$A$2:$FZ$601,I283,$D$5)&amp;"","")</f>
        <v/>
      </c>
      <c r="K283" s="23" t="str">
        <f aca="false">IFERROR(INDEX(Clay_Brands!$A$2:$FZ$601,I283,$D$7)&amp;"","")</f>
        <v/>
      </c>
      <c r="L283" s="23" t="str">
        <f aca="false">IFERROR(INDEX(Clay_Brands!$A$2:$FZ$601,I283,$D$8)&amp;"","")</f>
        <v/>
      </c>
      <c r="M283" s="23" t="str">
        <f aca="false">IF(J283="","",IF(COUNTIF(Brand_Log!$A$2:$A$201,J283)&gt;0,"Y","N"))</f>
        <v/>
      </c>
      <c r="N283" s="34" t="str">
        <f aca="false">IF(OR(J283="",AND(LEFT(J283,6)="SAMPLE",Config!$B$19&lt;&gt;"Y")),"",IF(IFERROR(INDEX(Lists!$K$2:$K$15,MATCH(K283,Lists!$J$2:$J$15,0)),-1)=-1,"status '"&amp;K283&amp;"' is not a CONTRACTS status",IF(AND(K283="paid",COUNTIF(paid_brands!$AC$2:$AC$51,J283)=0),"status paid but no paid_brands row"&amp;IF(M283="N"," and no tracker row",""),IF(AND(IFERROR(INDEX(Lists!$K$2:$K$15,MATCH(K283,Lists!$J$2:$J$15,0)),-1)&gt;=6,M283="N"),"status "&amp;K283&amp;" but no tracker row",IF(AND(L283="Y",K283&lt;&gt;"do_not_contact"),"do_not_contact = Y but status is "&amp;K283,IF(AND(K283="do_not_contact",L283&lt;&gt;"Y"),"status do_not_contact but do_not_contact is not Y",""))))))</f>
        <v/>
      </c>
    </row>
    <row r="284" customFormat="false" ht="15" hidden="false" customHeight="false" outlineLevel="0" collapsed="false">
      <c r="B284" s="23" t="n">
        <v>263</v>
      </c>
      <c r="C284" s="23" t="str">
        <f aca="false">IFERROR(INDEX(Clay_Offices!$A$2:$FZ$601,B284,$C$5)&amp;"","")</f>
        <v/>
      </c>
      <c r="D284" s="23" t="str">
        <f aca="false">IFERROR(INDEX(Clay_Offices!$A$2:$FZ$601,B284,$C$7)&amp;"","")</f>
        <v/>
      </c>
      <c r="E284" s="23" t="str">
        <f aca="false">IFERROR(INDEX(Clay_Offices!$A$2:$FZ$601,B284,$C$8)&amp;"","")</f>
        <v/>
      </c>
      <c r="F284" s="23" t="str">
        <f aca="false">IF(C284="","",IF(COUNTIF(Office_Log!$A$2:$A$201,C284)&gt;0,"Y","N"))</f>
        <v/>
      </c>
      <c r="G284" s="34" t="str">
        <f aca="false">IF(OR(C284="",AND(LEFT(C284,6)="SAMPLE",Config!$B$19&lt;&gt;"Y")),"",IF(IFERROR(INDEX(Lists!$K$2:$K$15,MATCH(D284,Lists!$J$2:$J$15,0)),-1)=-1,"status '"&amp;D284&amp;"' is not a CONTRACTS status",IF(AND(D284="signed",COUNTIF(signed_offices!$W$2:$W$51,C284)=0),"status signed but no signed_offices row"&amp;IF(F284="N"," and no tracker row",""),IF(AND(IFERROR(INDEX(Lists!$K$2:$K$15,MATCH(D284,Lists!$J$2:$J$15,0)),-1)&gt;=6,F284="N"),"status "&amp;D284&amp;" but no tracker row",IF(AND(E284="Y",D284&lt;&gt;"do_not_contact"),"do_not_contact = Y but status is "&amp;D284,IF(AND(D284="do_not_contact",E284&lt;&gt;"Y"),"status do_not_contact but do_not_contact is not Y",""))))))</f>
        <v/>
      </c>
      <c r="I284" s="23" t="n">
        <v>263</v>
      </c>
      <c r="J284" s="23" t="str">
        <f aca="false">IFERROR(INDEX(Clay_Brands!$A$2:$FZ$601,I284,$D$5)&amp;"","")</f>
        <v/>
      </c>
      <c r="K284" s="23" t="str">
        <f aca="false">IFERROR(INDEX(Clay_Brands!$A$2:$FZ$601,I284,$D$7)&amp;"","")</f>
        <v/>
      </c>
      <c r="L284" s="23" t="str">
        <f aca="false">IFERROR(INDEX(Clay_Brands!$A$2:$FZ$601,I284,$D$8)&amp;"","")</f>
        <v/>
      </c>
      <c r="M284" s="23" t="str">
        <f aca="false">IF(J284="","",IF(COUNTIF(Brand_Log!$A$2:$A$201,J284)&gt;0,"Y","N"))</f>
        <v/>
      </c>
      <c r="N284" s="34" t="str">
        <f aca="false">IF(OR(J284="",AND(LEFT(J284,6)="SAMPLE",Config!$B$19&lt;&gt;"Y")),"",IF(IFERROR(INDEX(Lists!$K$2:$K$15,MATCH(K284,Lists!$J$2:$J$15,0)),-1)=-1,"status '"&amp;K284&amp;"' is not a CONTRACTS status",IF(AND(K284="paid",COUNTIF(paid_brands!$AC$2:$AC$51,J284)=0),"status paid but no paid_brands row"&amp;IF(M284="N"," and no tracker row",""),IF(AND(IFERROR(INDEX(Lists!$K$2:$K$15,MATCH(K284,Lists!$J$2:$J$15,0)),-1)&gt;=6,M284="N"),"status "&amp;K284&amp;" but no tracker row",IF(AND(L284="Y",K284&lt;&gt;"do_not_contact"),"do_not_contact = Y but status is "&amp;K284,IF(AND(K284="do_not_contact",L284&lt;&gt;"Y"),"status do_not_contact but do_not_contact is not Y",""))))))</f>
        <v/>
      </c>
    </row>
    <row r="285" customFormat="false" ht="15" hidden="false" customHeight="false" outlineLevel="0" collapsed="false">
      <c r="B285" s="23" t="n">
        <v>264</v>
      </c>
      <c r="C285" s="23" t="str">
        <f aca="false">IFERROR(INDEX(Clay_Offices!$A$2:$FZ$601,B285,$C$5)&amp;"","")</f>
        <v/>
      </c>
      <c r="D285" s="23" t="str">
        <f aca="false">IFERROR(INDEX(Clay_Offices!$A$2:$FZ$601,B285,$C$7)&amp;"","")</f>
        <v/>
      </c>
      <c r="E285" s="23" t="str">
        <f aca="false">IFERROR(INDEX(Clay_Offices!$A$2:$FZ$601,B285,$C$8)&amp;"","")</f>
        <v/>
      </c>
      <c r="F285" s="23" t="str">
        <f aca="false">IF(C285="","",IF(COUNTIF(Office_Log!$A$2:$A$201,C285)&gt;0,"Y","N"))</f>
        <v/>
      </c>
      <c r="G285" s="34" t="str">
        <f aca="false">IF(OR(C285="",AND(LEFT(C285,6)="SAMPLE",Config!$B$19&lt;&gt;"Y")),"",IF(IFERROR(INDEX(Lists!$K$2:$K$15,MATCH(D285,Lists!$J$2:$J$15,0)),-1)=-1,"status '"&amp;D285&amp;"' is not a CONTRACTS status",IF(AND(D285="signed",COUNTIF(signed_offices!$W$2:$W$51,C285)=0),"status signed but no signed_offices row"&amp;IF(F285="N"," and no tracker row",""),IF(AND(IFERROR(INDEX(Lists!$K$2:$K$15,MATCH(D285,Lists!$J$2:$J$15,0)),-1)&gt;=6,F285="N"),"status "&amp;D285&amp;" but no tracker row",IF(AND(E285="Y",D285&lt;&gt;"do_not_contact"),"do_not_contact = Y but status is "&amp;D285,IF(AND(D285="do_not_contact",E285&lt;&gt;"Y"),"status do_not_contact but do_not_contact is not Y",""))))))</f>
        <v/>
      </c>
      <c r="I285" s="23" t="n">
        <v>264</v>
      </c>
      <c r="J285" s="23" t="str">
        <f aca="false">IFERROR(INDEX(Clay_Brands!$A$2:$FZ$601,I285,$D$5)&amp;"","")</f>
        <v/>
      </c>
      <c r="K285" s="23" t="str">
        <f aca="false">IFERROR(INDEX(Clay_Brands!$A$2:$FZ$601,I285,$D$7)&amp;"","")</f>
        <v/>
      </c>
      <c r="L285" s="23" t="str">
        <f aca="false">IFERROR(INDEX(Clay_Brands!$A$2:$FZ$601,I285,$D$8)&amp;"","")</f>
        <v/>
      </c>
      <c r="M285" s="23" t="str">
        <f aca="false">IF(J285="","",IF(COUNTIF(Brand_Log!$A$2:$A$201,J285)&gt;0,"Y","N"))</f>
        <v/>
      </c>
      <c r="N285" s="34" t="str">
        <f aca="false">IF(OR(J285="",AND(LEFT(J285,6)="SAMPLE",Config!$B$19&lt;&gt;"Y")),"",IF(IFERROR(INDEX(Lists!$K$2:$K$15,MATCH(K285,Lists!$J$2:$J$15,0)),-1)=-1,"status '"&amp;K285&amp;"' is not a CONTRACTS status",IF(AND(K285="paid",COUNTIF(paid_brands!$AC$2:$AC$51,J285)=0),"status paid but no paid_brands row"&amp;IF(M285="N"," and no tracker row",""),IF(AND(IFERROR(INDEX(Lists!$K$2:$K$15,MATCH(K285,Lists!$J$2:$J$15,0)),-1)&gt;=6,M285="N"),"status "&amp;K285&amp;" but no tracker row",IF(AND(L285="Y",K285&lt;&gt;"do_not_contact"),"do_not_contact = Y but status is "&amp;K285,IF(AND(K285="do_not_contact",L285&lt;&gt;"Y"),"status do_not_contact but do_not_contact is not Y",""))))))</f>
        <v/>
      </c>
    </row>
    <row r="286" customFormat="false" ht="15" hidden="false" customHeight="false" outlineLevel="0" collapsed="false">
      <c r="B286" s="23" t="n">
        <v>265</v>
      </c>
      <c r="C286" s="23" t="str">
        <f aca="false">IFERROR(INDEX(Clay_Offices!$A$2:$FZ$601,B286,$C$5)&amp;"","")</f>
        <v/>
      </c>
      <c r="D286" s="23" t="str">
        <f aca="false">IFERROR(INDEX(Clay_Offices!$A$2:$FZ$601,B286,$C$7)&amp;"","")</f>
        <v/>
      </c>
      <c r="E286" s="23" t="str">
        <f aca="false">IFERROR(INDEX(Clay_Offices!$A$2:$FZ$601,B286,$C$8)&amp;"","")</f>
        <v/>
      </c>
      <c r="F286" s="23" t="str">
        <f aca="false">IF(C286="","",IF(COUNTIF(Office_Log!$A$2:$A$201,C286)&gt;0,"Y","N"))</f>
        <v/>
      </c>
      <c r="G286" s="34" t="str">
        <f aca="false">IF(OR(C286="",AND(LEFT(C286,6)="SAMPLE",Config!$B$19&lt;&gt;"Y")),"",IF(IFERROR(INDEX(Lists!$K$2:$K$15,MATCH(D286,Lists!$J$2:$J$15,0)),-1)=-1,"status '"&amp;D286&amp;"' is not a CONTRACTS status",IF(AND(D286="signed",COUNTIF(signed_offices!$W$2:$W$51,C286)=0),"status signed but no signed_offices row"&amp;IF(F286="N"," and no tracker row",""),IF(AND(IFERROR(INDEX(Lists!$K$2:$K$15,MATCH(D286,Lists!$J$2:$J$15,0)),-1)&gt;=6,F286="N"),"status "&amp;D286&amp;" but no tracker row",IF(AND(E286="Y",D286&lt;&gt;"do_not_contact"),"do_not_contact = Y but status is "&amp;D286,IF(AND(D286="do_not_contact",E286&lt;&gt;"Y"),"status do_not_contact but do_not_contact is not Y",""))))))</f>
        <v/>
      </c>
      <c r="I286" s="23" t="n">
        <v>265</v>
      </c>
      <c r="J286" s="23" t="str">
        <f aca="false">IFERROR(INDEX(Clay_Brands!$A$2:$FZ$601,I286,$D$5)&amp;"","")</f>
        <v/>
      </c>
      <c r="K286" s="23" t="str">
        <f aca="false">IFERROR(INDEX(Clay_Brands!$A$2:$FZ$601,I286,$D$7)&amp;"","")</f>
        <v/>
      </c>
      <c r="L286" s="23" t="str">
        <f aca="false">IFERROR(INDEX(Clay_Brands!$A$2:$FZ$601,I286,$D$8)&amp;"","")</f>
        <v/>
      </c>
      <c r="M286" s="23" t="str">
        <f aca="false">IF(J286="","",IF(COUNTIF(Brand_Log!$A$2:$A$201,J286)&gt;0,"Y","N"))</f>
        <v/>
      </c>
      <c r="N286" s="34" t="str">
        <f aca="false">IF(OR(J286="",AND(LEFT(J286,6)="SAMPLE",Config!$B$19&lt;&gt;"Y")),"",IF(IFERROR(INDEX(Lists!$K$2:$K$15,MATCH(K286,Lists!$J$2:$J$15,0)),-1)=-1,"status '"&amp;K286&amp;"' is not a CONTRACTS status",IF(AND(K286="paid",COUNTIF(paid_brands!$AC$2:$AC$51,J286)=0),"status paid but no paid_brands row"&amp;IF(M286="N"," and no tracker row",""),IF(AND(IFERROR(INDEX(Lists!$K$2:$K$15,MATCH(K286,Lists!$J$2:$J$15,0)),-1)&gt;=6,M286="N"),"status "&amp;K286&amp;" but no tracker row",IF(AND(L286="Y",K286&lt;&gt;"do_not_contact"),"do_not_contact = Y but status is "&amp;K286,IF(AND(K286="do_not_contact",L286&lt;&gt;"Y"),"status do_not_contact but do_not_contact is not Y",""))))))</f>
        <v/>
      </c>
    </row>
    <row r="287" customFormat="false" ht="15" hidden="false" customHeight="false" outlineLevel="0" collapsed="false">
      <c r="B287" s="23" t="n">
        <v>266</v>
      </c>
      <c r="C287" s="23" t="str">
        <f aca="false">IFERROR(INDEX(Clay_Offices!$A$2:$FZ$601,B287,$C$5)&amp;"","")</f>
        <v/>
      </c>
      <c r="D287" s="23" t="str">
        <f aca="false">IFERROR(INDEX(Clay_Offices!$A$2:$FZ$601,B287,$C$7)&amp;"","")</f>
        <v/>
      </c>
      <c r="E287" s="23" t="str">
        <f aca="false">IFERROR(INDEX(Clay_Offices!$A$2:$FZ$601,B287,$C$8)&amp;"","")</f>
        <v/>
      </c>
      <c r="F287" s="23" t="str">
        <f aca="false">IF(C287="","",IF(COUNTIF(Office_Log!$A$2:$A$201,C287)&gt;0,"Y","N"))</f>
        <v/>
      </c>
      <c r="G287" s="34" t="str">
        <f aca="false">IF(OR(C287="",AND(LEFT(C287,6)="SAMPLE",Config!$B$19&lt;&gt;"Y")),"",IF(IFERROR(INDEX(Lists!$K$2:$K$15,MATCH(D287,Lists!$J$2:$J$15,0)),-1)=-1,"status '"&amp;D287&amp;"' is not a CONTRACTS status",IF(AND(D287="signed",COUNTIF(signed_offices!$W$2:$W$51,C287)=0),"status signed but no signed_offices row"&amp;IF(F287="N"," and no tracker row",""),IF(AND(IFERROR(INDEX(Lists!$K$2:$K$15,MATCH(D287,Lists!$J$2:$J$15,0)),-1)&gt;=6,F287="N"),"status "&amp;D287&amp;" but no tracker row",IF(AND(E287="Y",D287&lt;&gt;"do_not_contact"),"do_not_contact = Y but status is "&amp;D287,IF(AND(D287="do_not_contact",E287&lt;&gt;"Y"),"status do_not_contact but do_not_contact is not Y",""))))))</f>
        <v/>
      </c>
      <c r="I287" s="23" t="n">
        <v>266</v>
      </c>
      <c r="J287" s="23" t="str">
        <f aca="false">IFERROR(INDEX(Clay_Brands!$A$2:$FZ$601,I287,$D$5)&amp;"","")</f>
        <v/>
      </c>
      <c r="K287" s="23" t="str">
        <f aca="false">IFERROR(INDEX(Clay_Brands!$A$2:$FZ$601,I287,$D$7)&amp;"","")</f>
        <v/>
      </c>
      <c r="L287" s="23" t="str">
        <f aca="false">IFERROR(INDEX(Clay_Brands!$A$2:$FZ$601,I287,$D$8)&amp;"","")</f>
        <v/>
      </c>
      <c r="M287" s="23" t="str">
        <f aca="false">IF(J287="","",IF(COUNTIF(Brand_Log!$A$2:$A$201,J287)&gt;0,"Y","N"))</f>
        <v/>
      </c>
      <c r="N287" s="34" t="str">
        <f aca="false">IF(OR(J287="",AND(LEFT(J287,6)="SAMPLE",Config!$B$19&lt;&gt;"Y")),"",IF(IFERROR(INDEX(Lists!$K$2:$K$15,MATCH(K287,Lists!$J$2:$J$15,0)),-1)=-1,"status '"&amp;K287&amp;"' is not a CONTRACTS status",IF(AND(K287="paid",COUNTIF(paid_brands!$AC$2:$AC$51,J287)=0),"status paid but no paid_brands row"&amp;IF(M287="N"," and no tracker row",""),IF(AND(IFERROR(INDEX(Lists!$K$2:$K$15,MATCH(K287,Lists!$J$2:$J$15,0)),-1)&gt;=6,M287="N"),"status "&amp;K287&amp;" but no tracker row",IF(AND(L287="Y",K287&lt;&gt;"do_not_contact"),"do_not_contact = Y but status is "&amp;K287,IF(AND(K287="do_not_contact",L287&lt;&gt;"Y"),"status do_not_contact but do_not_contact is not Y",""))))))</f>
        <v/>
      </c>
    </row>
    <row r="288" customFormat="false" ht="15" hidden="false" customHeight="false" outlineLevel="0" collapsed="false">
      <c r="B288" s="23" t="n">
        <v>267</v>
      </c>
      <c r="C288" s="23" t="str">
        <f aca="false">IFERROR(INDEX(Clay_Offices!$A$2:$FZ$601,B288,$C$5)&amp;"","")</f>
        <v/>
      </c>
      <c r="D288" s="23" t="str">
        <f aca="false">IFERROR(INDEX(Clay_Offices!$A$2:$FZ$601,B288,$C$7)&amp;"","")</f>
        <v/>
      </c>
      <c r="E288" s="23" t="str">
        <f aca="false">IFERROR(INDEX(Clay_Offices!$A$2:$FZ$601,B288,$C$8)&amp;"","")</f>
        <v/>
      </c>
      <c r="F288" s="23" t="str">
        <f aca="false">IF(C288="","",IF(COUNTIF(Office_Log!$A$2:$A$201,C288)&gt;0,"Y","N"))</f>
        <v/>
      </c>
      <c r="G288" s="34" t="str">
        <f aca="false">IF(OR(C288="",AND(LEFT(C288,6)="SAMPLE",Config!$B$19&lt;&gt;"Y")),"",IF(IFERROR(INDEX(Lists!$K$2:$K$15,MATCH(D288,Lists!$J$2:$J$15,0)),-1)=-1,"status '"&amp;D288&amp;"' is not a CONTRACTS status",IF(AND(D288="signed",COUNTIF(signed_offices!$W$2:$W$51,C288)=0),"status signed but no signed_offices row"&amp;IF(F288="N"," and no tracker row",""),IF(AND(IFERROR(INDEX(Lists!$K$2:$K$15,MATCH(D288,Lists!$J$2:$J$15,0)),-1)&gt;=6,F288="N"),"status "&amp;D288&amp;" but no tracker row",IF(AND(E288="Y",D288&lt;&gt;"do_not_contact"),"do_not_contact = Y but status is "&amp;D288,IF(AND(D288="do_not_contact",E288&lt;&gt;"Y"),"status do_not_contact but do_not_contact is not Y",""))))))</f>
        <v/>
      </c>
      <c r="I288" s="23" t="n">
        <v>267</v>
      </c>
      <c r="J288" s="23" t="str">
        <f aca="false">IFERROR(INDEX(Clay_Brands!$A$2:$FZ$601,I288,$D$5)&amp;"","")</f>
        <v/>
      </c>
      <c r="K288" s="23" t="str">
        <f aca="false">IFERROR(INDEX(Clay_Brands!$A$2:$FZ$601,I288,$D$7)&amp;"","")</f>
        <v/>
      </c>
      <c r="L288" s="23" t="str">
        <f aca="false">IFERROR(INDEX(Clay_Brands!$A$2:$FZ$601,I288,$D$8)&amp;"","")</f>
        <v/>
      </c>
      <c r="M288" s="23" t="str">
        <f aca="false">IF(J288="","",IF(COUNTIF(Brand_Log!$A$2:$A$201,J288)&gt;0,"Y","N"))</f>
        <v/>
      </c>
      <c r="N288" s="34" t="str">
        <f aca="false">IF(OR(J288="",AND(LEFT(J288,6)="SAMPLE",Config!$B$19&lt;&gt;"Y")),"",IF(IFERROR(INDEX(Lists!$K$2:$K$15,MATCH(K288,Lists!$J$2:$J$15,0)),-1)=-1,"status '"&amp;K288&amp;"' is not a CONTRACTS status",IF(AND(K288="paid",COUNTIF(paid_brands!$AC$2:$AC$51,J288)=0),"status paid but no paid_brands row"&amp;IF(M288="N"," and no tracker row",""),IF(AND(IFERROR(INDEX(Lists!$K$2:$K$15,MATCH(K288,Lists!$J$2:$J$15,0)),-1)&gt;=6,M288="N"),"status "&amp;K288&amp;" but no tracker row",IF(AND(L288="Y",K288&lt;&gt;"do_not_contact"),"do_not_contact = Y but status is "&amp;K288,IF(AND(K288="do_not_contact",L288&lt;&gt;"Y"),"status do_not_contact but do_not_contact is not Y",""))))))</f>
        <v/>
      </c>
    </row>
    <row r="289" customFormat="false" ht="15" hidden="false" customHeight="false" outlineLevel="0" collapsed="false">
      <c r="B289" s="23" t="n">
        <v>268</v>
      </c>
      <c r="C289" s="23" t="str">
        <f aca="false">IFERROR(INDEX(Clay_Offices!$A$2:$FZ$601,B289,$C$5)&amp;"","")</f>
        <v/>
      </c>
      <c r="D289" s="23" t="str">
        <f aca="false">IFERROR(INDEX(Clay_Offices!$A$2:$FZ$601,B289,$C$7)&amp;"","")</f>
        <v/>
      </c>
      <c r="E289" s="23" t="str">
        <f aca="false">IFERROR(INDEX(Clay_Offices!$A$2:$FZ$601,B289,$C$8)&amp;"","")</f>
        <v/>
      </c>
      <c r="F289" s="23" t="str">
        <f aca="false">IF(C289="","",IF(COUNTIF(Office_Log!$A$2:$A$201,C289)&gt;0,"Y","N"))</f>
        <v/>
      </c>
      <c r="G289" s="34" t="str">
        <f aca="false">IF(OR(C289="",AND(LEFT(C289,6)="SAMPLE",Config!$B$19&lt;&gt;"Y")),"",IF(IFERROR(INDEX(Lists!$K$2:$K$15,MATCH(D289,Lists!$J$2:$J$15,0)),-1)=-1,"status '"&amp;D289&amp;"' is not a CONTRACTS status",IF(AND(D289="signed",COUNTIF(signed_offices!$W$2:$W$51,C289)=0),"status signed but no signed_offices row"&amp;IF(F289="N"," and no tracker row",""),IF(AND(IFERROR(INDEX(Lists!$K$2:$K$15,MATCH(D289,Lists!$J$2:$J$15,0)),-1)&gt;=6,F289="N"),"status "&amp;D289&amp;" but no tracker row",IF(AND(E289="Y",D289&lt;&gt;"do_not_contact"),"do_not_contact = Y but status is "&amp;D289,IF(AND(D289="do_not_contact",E289&lt;&gt;"Y"),"status do_not_contact but do_not_contact is not Y",""))))))</f>
        <v/>
      </c>
      <c r="I289" s="23" t="n">
        <v>268</v>
      </c>
      <c r="J289" s="23" t="str">
        <f aca="false">IFERROR(INDEX(Clay_Brands!$A$2:$FZ$601,I289,$D$5)&amp;"","")</f>
        <v/>
      </c>
      <c r="K289" s="23" t="str">
        <f aca="false">IFERROR(INDEX(Clay_Brands!$A$2:$FZ$601,I289,$D$7)&amp;"","")</f>
        <v/>
      </c>
      <c r="L289" s="23" t="str">
        <f aca="false">IFERROR(INDEX(Clay_Brands!$A$2:$FZ$601,I289,$D$8)&amp;"","")</f>
        <v/>
      </c>
      <c r="M289" s="23" t="str">
        <f aca="false">IF(J289="","",IF(COUNTIF(Brand_Log!$A$2:$A$201,J289)&gt;0,"Y","N"))</f>
        <v/>
      </c>
      <c r="N289" s="34" t="str">
        <f aca="false">IF(OR(J289="",AND(LEFT(J289,6)="SAMPLE",Config!$B$19&lt;&gt;"Y")),"",IF(IFERROR(INDEX(Lists!$K$2:$K$15,MATCH(K289,Lists!$J$2:$J$15,0)),-1)=-1,"status '"&amp;K289&amp;"' is not a CONTRACTS status",IF(AND(K289="paid",COUNTIF(paid_brands!$AC$2:$AC$51,J289)=0),"status paid but no paid_brands row"&amp;IF(M289="N"," and no tracker row",""),IF(AND(IFERROR(INDEX(Lists!$K$2:$K$15,MATCH(K289,Lists!$J$2:$J$15,0)),-1)&gt;=6,M289="N"),"status "&amp;K289&amp;" but no tracker row",IF(AND(L289="Y",K289&lt;&gt;"do_not_contact"),"do_not_contact = Y but status is "&amp;K289,IF(AND(K289="do_not_contact",L289&lt;&gt;"Y"),"status do_not_contact but do_not_contact is not Y",""))))))</f>
        <v/>
      </c>
    </row>
    <row r="290" customFormat="false" ht="15" hidden="false" customHeight="false" outlineLevel="0" collapsed="false">
      <c r="B290" s="23" t="n">
        <v>269</v>
      </c>
      <c r="C290" s="23" t="str">
        <f aca="false">IFERROR(INDEX(Clay_Offices!$A$2:$FZ$601,B290,$C$5)&amp;"","")</f>
        <v/>
      </c>
      <c r="D290" s="23" t="str">
        <f aca="false">IFERROR(INDEX(Clay_Offices!$A$2:$FZ$601,B290,$C$7)&amp;"","")</f>
        <v/>
      </c>
      <c r="E290" s="23" t="str">
        <f aca="false">IFERROR(INDEX(Clay_Offices!$A$2:$FZ$601,B290,$C$8)&amp;"","")</f>
        <v/>
      </c>
      <c r="F290" s="23" t="str">
        <f aca="false">IF(C290="","",IF(COUNTIF(Office_Log!$A$2:$A$201,C290)&gt;0,"Y","N"))</f>
        <v/>
      </c>
      <c r="G290" s="34" t="str">
        <f aca="false">IF(OR(C290="",AND(LEFT(C290,6)="SAMPLE",Config!$B$19&lt;&gt;"Y")),"",IF(IFERROR(INDEX(Lists!$K$2:$K$15,MATCH(D290,Lists!$J$2:$J$15,0)),-1)=-1,"status '"&amp;D290&amp;"' is not a CONTRACTS status",IF(AND(D290="signed",COUNTIF(signed_offices!$W$2:$W$51,C290)=0),"status signed but no signed_offices row"&amp;IF(F290="N"," and no tracker row",""),IF(AND(IFERROR(INDEX(Lists!$K$2:$K$15,MATCH(D290,Lists!$J$2:$J$15,0)),-1)&gt;=6,F290="N"),"status "&amp;D290&amp;" but no tracker row",IF(AND(E290="Y",D290&lt;&gt;"do_not_contact"),"do_not_contact = Y but status is "&amp;D290,IF(AND(D290="do_not_contact",E290&lt;&gt;"Y"),"status do_not_contact but do_not_contact is not Y",""))))))</f>
        <v/>
      </c>
      <c r="I290" s="23" t="n">
        <v>269</v>
      </c>
      <c r="J290" s="23" t="str">
        <f aca="false">IFERROR(INDEX(Clay_Brands!$A$2:$FZ$601,I290,$D$5)&amp;"","")</f>
        <v/>
      </c>
      <c r="K290" s="23" t="str">
        <f aca="false">IFERROR(INDEX(Clay_Brands!$A$2:$FZ$601,I290,$D$7)&amp;"","")</f>
        <v/>
      </c>
      <c r="L290" s="23" t="str">
        <f aca="false">IFERROR(INDEX(Clay_Brands!$A$2:$FZ$601,I290,$D$8)&amp;"","")</f>
        <v/>
      </c>
      <c r="M290" s="23" t="str">
        <f aca="false">IF(J290="","",IF(COUNTIF(Brand_Log!$A$2:$A$201,J290)&gt;0,"Y","N"))</f>
        <v/>
      </c>
      <c r="N290" s="34" t="str">
        <f aca="false">IF(OR(J290="",AND(LEFT(J290,6)="SAMPLE",Config!$B$19&lt;&gt;"Y")),"",IF(IFERROR(INDEX(Lists!$K$2:$K$15,MATCH(K290,Lists!$J$2:$J$15,0)),-1)=-1,"status '"&amp;K290&amp;"' is not a CONTRACTS status",IF(AND(K290="paid",COUNTIF(paid_brands!$AC$2:$AC$51,J290)=0),"status paid but no paid_brands row"&amp;IF(M290="N"," and no tracker row",""),IF(AND(IFERROR(INDEX(Lists!$K$2:$K$15,MATCH(K290,Lists!$J$2:$J$15,0)),-1)&gt;=6,M290="N"),"status "&amp;K290&amp;" but no tracker row",IF(AND(L290="Y",K290&lt;&gt;"do_not_contact"),"do_not_contact = Y but status is "&amp;K290,IF(AND(K290="do_not_contact",L290&lt;&gt;"Y"),"status do_not_contact but do_not_contact is not Y",""))))))</f>
        <v/>
      </c>
    </row>
    <row r="291" customFormat="false" ht="15" hidden="false" customHeight="false" outlineLevel="0" collapsed="false">
      <c r="B291" s="23" t="n">
        <v>270</v>
      </c>
      <c r="C291" s="23" t="str">
        <f aca="false">IFERROR(INDEX(Clay_Offices!$A$2:$FZ$601,B291,$C$5)&amp;"","")</f>
        <v/>
      </c>
      <c r="D291" s="23" t="str">
        <f aca="false">IFERROR(INDEX(Clay_Offices!$A$2:$FZ$601,B291,$C$7)&amp;"","")</f>
        <v/>
      </c>
      <c r="E291" s="23" t="str">
        <f aca="false">IFERROR(INDEX(Clay_Offices!$A$2:$FZ$601,B291,$C$8)&amp;"","")</f>
        <v/>
      </c>
      <c r="F291" s="23" t="str">
        <f aca="false">IF(C291="","",IF(COUNTIF(Office_Log!$A$2:$A$201,C291)&gt;0,"Y","N"))</f>
        <v/>
      </c>
      <c r="G291" s="34" t="str">
        <f aca="false">IF(OR(C291="",AND(LEFT(C291,6)="SAMPLE",Config!$B$19&lt;&gt;"Y")),"",IF(IFERROR(INDEX(Lists!$K$2:$K$15,MATCH(D291,Lists!$J$2:$J$15,0)),-1)=-1,"status '"&amp;D291&amp;"' is not a CONTRACTS status",IF(AND(D291="signed",COUNTIF(signed_offices!$W$2:$W$51,C291)=0),"status signed but no signed_offices row"&amp;IF(F291="N"," and no tracker row",""),IF(AND(IFERROR(INDEX(Lists!$K$2:$K$15,MATCH(D291,Lists!$J$2:$J$15,0)),-1)&gt;=6,F291="N"),"status "&amp;D291&amp;" but no tracker row",IF(AND(E291="Y",D291&lt;&gt;"do_not_contact"),"do_not_contact = Y but status is "&amp;D291,IF(AND(D291="do_not_contact",E291&lt;&gt;"Y"),"status do_not_contact but do_not_contact is not Y",""))))))</f>
        <v/>
      </c>
      <c r="I291" s="23" t="n">
        <v>270</v>
      </c>
      <c r="J291" s="23" t="str">
        <f aca="false">IFERROR(INDEX(Clay_Brands!$A$2:$FZ$601,I291,$D$5)&amp;"","")</f>
        <v/>
      </c>
      <c r="K291" s="23" t="str">
        <f aca="false">IFERROR(INDEX(Clay_Brands!$A$2:$FZ$601,I291,$D$7)&amp;"","")</f>
        <v/>
      </c>
      <c r="L291" s="23" t="str">
        <f aca="false">IFERROR(INDEX(Clay_Brands!$A$2:$FZ$601,I291,$D$8)&amp;"","")</f>
        <v/>
      </c>
      <c r="M291" s="23" t="str">
        <f aca="false">IF(J291="","",IF(COUNTIF(Brand_Log!$A$2:$A$201,J291)&gt;0,"Y","N"))</f>
        <v/>
      </c>
      <c r="N291" s="34" t="str">
        <f aca="false">IF(OR(J291="",AND(LEFT(J291,6)="SAMPLE",Config!$B$19&lt;&gt;"Y")),"",IF(IFERROR(INDEX(Lists!$K$2:$K$15,MATCH(K291,Lists!$J$2:$J$15,0)),-1)=-1,"status '"&amp;K291&amp;"' is not a CONTRACTS status",IF(AND(K291="paid",COUNTIF(paid_brands!$AC$2:$AC$51,J291)=0),"status paid but no paid_brands row"&amp;IF(M291="N"," and no tracker row",""),IF(AND(IFERROR(INDEX(Lists!$K$2:$K$15,MATCH(K291,Lists!$J$2:$J$15,0)),-1)&gt;=6,M291="N"),"status "&amp;K291&amp;" but no tracker row",IF(AND(L291="Y",K291&lt;&gt;"do_not_contact"),"do_not_contact = Y but status is "&amp;K291,IF(AND(K291="do_not_contact",L291&lt;&gt;"Y"),"status do_not_contact but do_not_contact is not Y",""))))))</f>
        <v/>
      </c>
    </row>
    <row r="292" customFormat="false" ht="15" hidden="false" customHeight="false" outlineLevel="0" collapsed="false">
      <c r="B292" s="23" t="n">
        <v>271</v>
      </c>
      <c r="C292" s="23" t="str">
        <f aca="false">IFERROR(INDEX(Clay_Offices!$A$2:$FZ$601,B292,$C$5)&amp;"","")</f>
        <v/>
      </c>
      <c r="D292" s="23" t="str">
        <f aca="false">IFERROR(INDEX(Clay_Offices!$A$2:$FZ$601,B292,$C$7)&amp;"","")</f>
        <v/>
      </c>
      <c r="E292" s="23" t="str">
        <f aca="false">IFERROR(INDEX(Clay_Offices!$A$2:$FZ$601,B292,$C$8)&amp;"","")</f>
        <v/>
      </c>
      <c r="F292" s="23" t="str">
        <f aca="false">IF(C292="","",IF(COUNTIF(Office_Log!$A$2:$A$201,C292)&gt;0,"Y","N"))</f>
        <v/>
      </c>
      <c r="G292" s="34" t="str">
        <f aca="false">IF(OR(C292="",AND(LEFT(C292,6)="SAMPLE",Config!$B$19&lt;&gt;"Y")),"",IF(IFERROR(INDEX(Lists!$K$2:$K$15,MATCH(D292,Lists!$J$2:$J$15,0)),-1)=-1,"status '"&amp;D292&amp;"' is not a CONTRACTS status",IF(AND(D292="signed",COUNTIF(signed_offices!$W$2:$W$51,C292)=0),"status signed but no signed_offices row"&amp;IF(F292="N"," and no tracker row",""),IF(AND(IFERROR(INDEX(Lists!$K$2:$K$15,MATCH(D292,Lists!$J$2:$J$15,0)),-1)&gt;=6,F292="N"),"status "&amp;D292&amp;" but no tracker row",IF(AND(E292="Y",D292&lt;&gt;"do_not_contact"),"do_not_contact = Y but status is "&amp;D292,IF(AND(D292="do_not_contact",E292&lt;&gt;"Y"),"status do_not_contact but do_not_contact is not Y",""))))))</f>
        <v/>
      </c>
      <c r="I292" s="23" t="n">
        <v>271</v>
      </c>
      <c r="J292" s="23" t="str">
        <f aca="false">IFERROR(INDEX(Clay_Brands!$A$2:$FZ$601,I292,$D$5)&amp;"","")</f>
        <v/>
      </c>
      <c r="K292" s="23" t="str">
        <f aca="false">IFERROR(INDEX(Clay_Brands!$A$2:$FZ$601,I292,$D$7)&amp;"","")</f>
        <v/>
      </c>
      <c r="L292" s="23" t="str">
        <f aca="false">IFERROR(INDEX(Clay_Brands!$A$2:$FZ$601,I292,$D$8)&amp;"","")</f>
        <v/>
      </c>
      <c r="M292" s="23" t="str">
        <f aca="false">IF(J292="","",IF(COUNTIF(Brand_Log!$A$2:$A$201,J292)&gt;0,"Y","N"))</f>
        <v/>
      </c>
      <c r="N292" s="34" t="str">
        <f aca="false">IF(OR(J292="",AND(LEFT(J292,6)="SAMPLE",Config!$B$19&lt;&gt;"Y")),"",IF(IFERROR(INDEX(Lists!$K$2:$K$15,MATCH(K292,Lists!$J$2:$J$15,0)),-1)=-1,"status '"&amp;K292&amp;"' is not a CONTRACTS status",IF(AND(K292="paid",COUNTIF(paid_brands!$AC$2:$AC$51,J292)=0),"status paid but no paid_brands row"&amp;IF(M292="N"," and no tracker row",""),IF(AND(IFERROR(INDEX(Lists!$K$2:$K$15,MATCH(K292,Lists!$J$2:$J$15,0)),-1)&gt;=6,M292="N"),"status "&amp;K292&amp;" but no tracker row",IF(AND(L292="Y",K292&lt;&gt;"do_not_contact"),"do_not_contact = Y but status is "&amp;K292,IF(AND(K292="do_not_contact",L292&lt;&gt;"Y"),"status do_not_contact but do_not_contact is not Y",""))))))</f>
        <v/>
      </c>
    </row>
    <row r="293" customFormat="false" ht="15" hidden="false" customHeight="false" outlineLevel="0" collapsed="false">
      <c r="B293" s="23" t="n">
        <v>272</v>
      </c>
      <c r="C293" s="23" t="str">
        <f aca="false">IFERROR(INDEX(Clay_Offices!$A$2:$FZ$601,B293,$C$5)&amp;"","")</f>
        <v/>
      </c>
      <c r="D293" s="23" t="str">
        <f aca="false">IFERROR(INDEX(Clay_Offices!$A$2:$FZ$601,B293,$C$7)&amp;"","")</f>
        <v/>
      </c>
      <c r="E293" s="23" t="str">
        <f aca="false">IFERROR(INDEX(Clay_Offices!$A$2:$FZ$601,B293,$C$8)&amp;"","")</f>
        <v/>
      </c>
      <c r="F293" s="23" t="str">
        <f aca="false">IF(C293="","",IF(COUNTIF(Office_Log!$A$2:$A$201,C293)&gt;0,"Y","N"))</f>
        <v/>
      </c>
      <c r="G293" s="34" t="str">
        <f aca="false">IF(OR(C293="",AND(LEFT(C293,6)="SAMPLE",Config!$B$19&lt;&gt;"Y")),"",IF(IFERROR(INDEX(Lists!$K$2:$K$15,MATCH(D293,Lists!$J$2:$J$15,0)),-1)=-1,"status '"&amp;D293&amp;"' is not a CONTRACTS status",IF(AND(D293="signed",COUNTIF(signed_offices!$W$2:$W$51,C293)=0),"status signed but no signed_offices row"&amp;IF(F293="N"," and no tracker row",""),IF(AND(IFERROR(INDEX(Lists!$K$2:$K$15,MATCH(D293,Lists!$J$2:$J$15,0)),-1)&gt;=6,F293="N"),"status "&amp;D293&amp;" but no tracker row",IF(AND(E293="Y",D293&lt;&gt;"do_not_contact"),"do_not_contact = Y but status is "&amp;D293,IF(AND(D293="do_not_contact",E293&lt;&gt;"Y"),"status do_not_contact but do_not_contact is not Y",""))))))</f>
        <v/>
      </c>
      <c r="I293" s="23" t="n">
        <v>272</v>
      </c>
      <c r="J293" s="23" t="str">
        <f aca="false">IFERROR(INDEX(Clay_Brands!$A$2:$FZ$601,I293,$D$5)&amp;"","")</f>
        <v/>
      </c>
      <c r="K293" s="23" t="str">
        <f aca="false">IFERROR(INDEX(Clay_Brands!$A$2:$FZ$601,I293,$D$7)&amp;"","")</f>
        <v/>
      </c>
      <c r="L293" s="23" t="str">
        <f aca="false">IFERROR(INDEX(Clay_Brands!$A$2:$FZ$601,I293,$D$8)&amp;"","")</f>
        <v/>
      </c>
      <c r="M293" s="23" t="str">
        <f aca="false">IF(J293="","",IF(COUNTIF(Brand_Log!$A$2:$A$201,J293)&gt;0,"Y","N"))</f>
        <v/>
      </c>
      <c r="N293" s="34" t="str">
        <f aca="false">IF(OR(J293="",AND(LEFT(J293,6)="SAMPLE",Config!$B$19&lt;&gt;"Y")),"",IF(IFERROR(INDEX(Lists!$K$2:$K$15,MATCH(K293,Lists!$J$2:$J$15,0)),-1)=-1,"status '"&amp;K293&amp;"' is not a CONTRACTS status",IF(AND(K293="paid",COUNTIF(paid_brands!$AC$2:$AC$51,J293)=0),"status paid but no paid_brands row"&amp;IF(M293="N"," and no tracker row",""),IF(AND(IFERROR(INDEX(Lists!$K$2:$K$15,MATCH(K293,Lists!$J$2:$J$15,0)),-1)&gt;=6,M293="N"),"status "&amp;K293&amp;" but no tracker row",IF(AND(L293="Y",K293&lt;&gt;"do_not_contact"),"do_not_contact = Y but status is "&amp;K293,IF(AND(K293="do_not_contact",L293&lt;&gt;"Y"),"status do_not_contact but do_not_contact is not Y",""))))))</f>
        <v/>
      </c>
    </row>
    <row r="294" customFormat="false" ht="15" hidden="false" customHeight="false" outlineLevel="0" collapsed="false">
      <c r="B294" s="23" t="n">
        <v>273</v>
      </c>
      <c r="C294" s="23" t="str">
        <f aca="false">IFERROR(INDEX(Clay_Offices!$A$2:$FZ$601,B294,$C$5)&amp;"","")</f>
        <v/>
      </c>
      <c r="D294" s="23" t="str">
        <f aca="false">IFERROR(INDEX(Clay_Offices!$A$2:$FZ$601,B294,$C$7)&amp;"","")</f>
        <v/>
      </c>
      <c r="E294" s="23" t="str">
        <f aca="false">IFERROR(INDEX(Clay_Offices!$A$2:$FZ$601,B294,$C$8)&amp;"","")</f>
        <v/>
      </c>
      <c r="F294" s="23" t="str">
        <f aca="false">IF(C294="","",IF(COUNTIF(Office_Log!$A$2:$A$201,C294)&gt;0,"Y","N"))</f>
        <v/>
      </c>
      <c r="G294" s="34" t="str">
        <f aca="false">IF(OR(C294="",AND(LEFT(C294,6)="SAMPLE",Config!$B$19&lt;&gt;"Y")),"",IF(IFERROR(INDEX(Lists!$K$2:$K$15,MATCH(D294,Lists!$J$2:$J$15,0)),-1)=-1,"status '"&amp;D294&amp;"' is not a CONTRACTS status",IF(AND(D294="signed",COUNTIF(signed_offices!$W$2:$W$51,C294)=0),"status signed but no signed_offices row"&amp;IF(F294="N"," and no tracker row",""),IF(AND(IFERROR(INDEX(Lists!$K$2:$K$15,MATCH(D294,Lists!$J$2:$J$15,0)),-1)&gt;=6,F294="N"),"status "&amp;D294&amp;" but no tracker row",IF(AND(E294="Y",D294&lt;&gt;"do_not_contact"),"do_not_contact = Y but status is "&amp;D294,IF(AND(D294="do_not_contact",E294&lt;&gt;"Y"),"status do_not_contact but do_not_contact is not Y",""))))))</f>
        <v/>
      </c>
      <c r="I294" s="23" t="n">
        <v>273</v>
      </c>
      <c r="J294" s="23" t="str">
        <f aca="false">IFERROR(INDEX(Clay_Brands!$A$2:$FZ$601,I294,$D$5)&amp;"","")</f>
        <v/>
      </c>
      <c r="K294" s="23" t="str">
        <f aca="false">IFERROR(INDEX(Clay_Brands!$A$2:$FZ$601,I294,$D$7)&amp;"","")</f>
        <v/>
      </c>
      <c r="L294" s="23" t="str">
        <f aca="false">IFERROR(INDEX(Clay_Brands!$A$2:$FZ$601,I294,$D$8)&amp;"","")</f>
        <v/>
      </c>
      <c r="M294" s="23" t="str">
        <f aca="false">IF(J294="","",IF(COUNTIF(Brand_Log!$A$2:$A$201,J294)&gt;0,"Y","N"))</f>
        <v/>
      </c>
      <c r="N294" s="34" t="str">
        <f aca="false">IF(OR(J294="",AND(LEFT(J294,6)="SAMPLE",Config!$B$19&lt;&gt;"Y")),"",IF(IFERROR(INDEX(Lists!$K$2:$K$15,MATCH(K294,Lists!$J$2:$J$15,0)),-1)=-1,"status '"&amp;K294&amp;"' is not a CONTRACTS status",IF(AND(K294="paid",COUNTIF(paid_brands!$AC$2:$AC$51,J294)=0),"status paid but no paid_brands row"&amp;IF(M294="N"," and no tracker row",""),IF(AND(IFERROR(INDEX(Lists!$K$2:$K$15,MATCH(K294,Lists!$J$2:$J$15,0)),-1)&gt;=6,M294="N"),"status "&amp;K294&amp;" but no tracker row",IF(AND(L294="Y",K294&lt;&gt;"do_not_contact"),"do_not_contact = Y but status is "&amp;K294,IF(AND(K294="do_not_contact",L294&lt;&gt;"Y"),"status do_not_contact but do_not_contact is not Y",""))))))</f>
        <v/>
      </c>
    </row>
    <row r="295" customFormat="false" ht="15" hidden="false" customHeight="false" outlineLevel="0" collapsed="false">
      <c r="B295" s="23" t="n">
        <v>274</v>
      </c>
      <c r="C295" s="23" t="str">
        <f aca="false">IFERROR(INDEX(Clay_Offices!$A$2:$FZ$601,B295,$C$5)&amp;"","")</f>
        <v/>
      </c>
      <c r="D295" s="23" t="str">
        <f aca="false">IFERROR(INDEX(Clay_Offices!$A$2:$FZ$601,B295,$C$7)&amp;"","")</f>
        <v/>
      </c>
      <c r="E295" s="23" t="str">
        <f aca="false">IFERROR(INDEX(Clay_Offices!$A$2:$FZ$601,B295,$C$8)&amp;"","")</f>
        <v/>
      </c>
      <c r="F295" s="23" t="str">
        <f aca="false">IF(C295="","",IF(COUNTIF(Office_Log!$A$2:$A$201,C295)&gt;0,"Y","N"))</f>
        <v/>
      </c>
      <c r="G295" s="34" t="str">
        <f aca="false">IF(OR(C295="",AND(LEFT(C295,6)="SAMPLE",Config!$B$19&lt;&gt;"Y")),"",IF(IFERROR(INDEX(Lists!$K$2:$K$15,MATCH(D295,Lists!$J$2:$J$15,0)),-1)=-1,"status '"&amp;D295&amp;"' is not a CONTRACTS status",IF(AND(D295="signed",COUNTIF(signed_offices!$W$2:$W$51,C295)=0),"status signed but no signed_offices row"&amp;IF(F295="N"," and no tracker row",""),IF(AND(IFERROR(INDEX(Lists!$K$2:$K$15,MATCH(D295,Lists!$J$2:$J$15,0)),-1)&gt;=6,F295="N"),"status "&amp;D295&amp;" but no tracker row",IF(AND(E295="Y",D295&lt;&gt;"do_not_contact"),"do_not_contact = Y but status is "&amp;D295,IF(AND(D295="do_not_contact",E295&lt;&gt;"Y"),"status do_not_contact but do_not_contact is not Y",""))))))</f>
        <v/>
      </c>
      <c r="I295" s="23" t="n">
        <v>274</v>
      </c>
      <c r="J295" s="23" t="str">
        <f aca="false">IFERROR(INDEX(Clay_Brands!$A$2:$FZ$601,I295,$D$5)&amp;"","")</f>
        <v/>
      </c>
      <c r="K295" s="23" t="str">
        <f aca="false">IFERROR(INDEX(Clay_Brands!$A$2:$FZ$601,I295,$D$7)&amp;"","")</f>
        <v/>
      </c>
      <c r="L295" s="23" t="str">
        <f aca="false">IFERROR(INDEX(Clay_Brands!$A$2:$FZ$601,I295,$D$8)&amp;"","")</f>
        <v/>
      </c>
      <c r="M295" s="23" t="str">
        <f aca="false">IF(J295="","",IF(COUNTIF(Brand_Log!$A$2:$A$201,J295)&gt;0,"Y","N"))</f>
        <v/>
      </c>
      <c r="N295" s="34" t="str">
        <f aca="false">IF(OR(J295="",AND(LEFT(J295,6)="SAMPLE",Config!$B$19&lt;&gt;"Y")),"",IF(IFERROR(INDEX(Lists!$K$2:$K$15,MATCH(K295,Lists!$J$2:$J$15,0)),-1)=-1,"status '"&amp;K295&amp;"' is not a CONTRACTS status",IF(AND(K295="paid",COUNTIF(paid_brands!$AC$2:$AC$51,J295)=0),"status paid but no paid_brands row"&amp;IF(M295="N"," and no tracker row",""),IF(AND(IFERROR(INDEX(Lists!$K$2:$K$15,MATCH(K295,Lists!$J$2:$J$15,0)),-1)&gt;=6,M295="N"),"status "&amp;K295&amp;" but no tracker row",IF(AND(L295="Y",K295&lt;&gt;"do_not_contact"),"do_not_contact = Y but status is "&amp;K295,IF(AND(K295="do_not_contact",L295&lt;&gt;"Y"),"status do_not_contact but do_not_contact is not Y",""))))))</f>
        <v/>
      </c>
    </row>
    <row r="296" customFormat="false" ht="15" hidden="false" customHeight="false" outlineLevel="0" collapsed="false">
      <c r="B296" s="23" t="n">
        <v>275</v>
      </c>
      <c r="C296" s="23" t="str">
        <f aca="false">IFERROR(INDEX(Clay_Offices!$A$2:$FZ$601,B296,$C$5)&amp;"","")</f>
        <v/>
      </c>
      <c r="D296" s="23" t="str">
        <f aca="false">IFERROR(INDEX(Clay_Offices!$A$2:$FZ$601,B296,$C$7)&amp;"","")</f>
        <v/>
      </c>
      <c r="E296" s="23" t="str">
        <f aca="false">IFERROR(INDEX(Clay_Offices!$A$2:$FZ$601,B296,$C$8)&amp;"","")</f>
        <v/>
      </c>
      <c r="F296" s="23" t="str">
        <f aca="false">IF(C296="","",IF(COUNTIF(Office_Log!$A$2:$A$201,C296)&gt;0,"Y","N"))</f>
        <v/>
      </c>
      <c r="G296" s="34" t="str">
        <f aca="false">IF(OR(C296="",AND(LEFT(C296,6)="SAMPLE",Config!$B$19&lt;&gt;"Y")),"",IF(IFERROR(INDEX(Lists!$K$2:$K$15,MATCH(D296,Lists!$J$2:$J$15,0)),-1)=-1,"status '"&amp;D296&amp;"' is not a CONTRACTS status",IF(AND(D296="signed",COUNTIF(signed_offices!$W$2:$W$51,C296)=0),"status signed but no signed_offices row"&amp;IF(F296="N"," and no tracker row",""),IF(AND(IFERROR(INDEX(Lists!$K$2:$K$15,MATCH(D296,Lists!$J$2:$J$15,0)),-1)&gt;=6,F296="N"),"status "&amp;D296&amp;" but no tracker row",IF(AND(E296="Y",D296&lt;&gt;"do_not_contact"),"do_not_contact = Y but status is "&amp;D296,IF(AND(D296="do_not_contact",E296&lt;&gt;"Y"),"status do_not_contact but do_not_contact is not Y",""))))))</f>
        <v/>
      </c>
      <c r="I296" s="23" t="n">
        <v>275</v>
      </c>
      <c r="J296" s="23" t="str">
        <f aca="false">IFERROR(INDEX(Clay_Brands!$A$2:$FZ$601,I296,$D$5)&amp;"","")</f>
        <v/>
      </c>
      <c r="K296" s="23" t="str">
        <f aca="false">IFERROR(INDEX(Clay_Brands!$A$2:$FZ$601,I296,$D$7)&amp;"","")</f>
        <v/>
      </c>
      <c r="L296" s="23" t="str">
        <f aca="false">IFERROR(INDEX(Clay_Brands!$A$2:$FZ$601,I296,$D$8)&amp;"","")</f>
        <v/>
      </c>
      <c r="M296" s="23" t="str">
        <f aca="false">IF(J296="","",IF(COUNTIF(Brand_Log!$A$2:$A$201,J296)&gt;0,"Y","N"))</f>
        <v/>
      </c>
      <c r="N296" s="34" t="str">
        <f aca="false">IF(OR(J296="",AND(LEFT(J296,6)="SAMPLE",Config!$B$19&lt;&gt;"Y")),"",IF(IFERROR(INDEX(Lists!$K$2:$K$15,MATCH(K296,Lists!$J$2:$J$15,0)),-1)=-1,"status '"&amp;K296&amp;"' is not a CONTRACTS status",IF(AND(K296="paid",COUNTIF(paid_brands!$AC$2:$AC$51,J296)=0),"status paid but no paid_brands row"&amp;IF(M296="N"," and no tracker row",""),IF(AND(IFERROR(INDEX(Lists!$K$2:$K$15,MATCH(K296,Lists!$J$2:$J$15,0)),-1)&gt;=6,M296="N"),"status "&amp;K296&amp;" but no tracker row",IF(AND(L296="Y",K296&lt;&gt;"do_not_contact"),"do_not_contact = Y but status is "&amp;K296,IF(AND(K296="do_not_contact",L296&lt;&gt;"Y"),"status do_not_contact but do_not_contact is not Y",""))))))</f>
        <v/>
      </c>
    </row>
    <row r="297" customFormat="false" ht="15" hidden="false" customHeight="false" outlineLevel="0" collapsed="false">
      <c r="B297" s="23" t="n">
        <v>276</v>
      </c>
      <c r="C297" s="23" t="str">
        <f aca="false">IFERROR(INDEX(Clay_Offices!$A$2:$FZ$601,B297,$C$5)&amp;"","")</f>
        <v/>
      </c>
      <c r="D297" s="23" t="str">
        <f aca="false">IFERROR(INDEX(Clay_Offices!$A$2:$FZ$601,B297,$C$7)&amp;"","")</f>
        <v/>
      </c>
      <c r="E297" s="23" t="str">
        <f aca="false">IFERROR(INDEX(Clay_Offices!$A$2:$FZ$601,B297,$C$8)&amp;"","")</f>
        <v/>
      </c>
      <c r="F297" s="23" t="str">
        <f aca="false">IF(C297="","",IF(COUNTIF(Office_Log!$A$2:$A$201,C297)&gt;0,"Y","N"))</f>
        <v/>
      </c>
      <c r="G297" s="34" t="str">
        <f aca="false">IF(OR(C297="",AND(LEFT(C297,6)="SAMPLE",Config!$B$19&lt;&gt;"Y")),"",IF(IFERROR(INDEX(Lists!$K$2:$K$15,MATCH(D297,Lists!$J$2:$J$15,0)),-1)=-1,"status '"&amp;D297&amp;"' is not a CONTRACTS status",IF(AND(D297="signed",COUNTIF(signed_offices!$W$2:$W$51,C297)=0),"status signed but no signed_offices row"&amp;IF(F297="N"," and no tracker row",""),IF(AND(IFERROR(INDEX(Lists!$K$2:$K$15,MATCH(D297,Lists!$J$2:$J$15,0)),-1)&gt;=6,F297="N"),"status "&amp;D297&amp;" but no tracker row",IF(AND(E297="Y",D297&lt;&gt;"do_not_contact"),"do_not_contact = Y but status is "&amp;D297,IF(AND(D297="do_not_contact",E297&lt;&gt;"Y"),"status do_not_contact but do_not_contact is not Y",""))))))</f>
        <v/>
      </c>
      <c r="I297" s="23" t="n">
        <v>276</v>
      </c>
      <c r="J297" s="23" t="str">
        <f aca="false">IFERROR(INDEX(Clay_Brands!$A$2:$FZ$601,I297,$D$5)&amp;"","")</f>
        <v/>
      </c>
      <c r="K297" s="23" t="str">
        <f aca="false">IFERROR(INDEX(Clay_Brands!$A$2:$FZ$601,I297,$D$7)&amp;"","")</f>
        <v/>
      </c>
      <c r="L297" s="23" t="str">
        <f aca="false">IFERROR(INDEX(Clay_Brands!$A$2:$FZ$601,I297,$D$8)&amp;"","")</f>
        <v/>
      </c>
      <c r="M297" s="23" t="str">
        <f aca="false">IF(J297="","",IF(COUNTIF(Brand_Log!$A$2:$A$201,J297)&gt;0,"Y","N"))</f>
        <v/>
      </c>
      <c r="N297" s="34" t="str">
        <f aca="false">IF(OR(J297="",AND(LEFT(J297,6)="SAMPLE",Config!$B$19&lt;&gt;"Y")),"",IF(IFERROR(INDEX(Lists!$K$2:$K$15,MATCH(K297,Lists!$J$2:$J$15,0)),-1)=-1,"status '"&amp;K297&amp;"' is not a CONTRACTS status",IF(AND(K297="paid",COUNTIF(paid_brands!$AC$2:$AC$51,J297)=0),"status paid but no paid_brands row"&amp;IF(M297="N"," and no tracker row",""),IF(AND(IFERROR(INDEX(Lists!$K$2:$K$15,MATCH(K297,Lists!$J$2:$J$15,0)),-1)&gt;=6,M297="N"),"status "&amp;K297&amp;" but no tracker row",IF(AND(L297="Y",K297&lt;&gt;"do_not_contact"),"do_not_contact = Y but status is "&amp;K297,IF(AND(K297="do_not_contact",L297&lt;&gt;"Y"),"status do_not_contact but do_not_contact is not Y",""))))))</f>
        <v/>
      </c>
    </row>
    <row r="298" customFormat="false" ht="15" hidden="false" customHeight="false" outlineLevel="0" collapsed="false">
      <c r="B298" s="23" t="n">
        <v>277</v>
      </c>
      <c r="C298" s="23" t="str">
        <f aca="false">IFERROR(INDEX(Clay_Offices!$A$2:$FZ$601,B298,$C$5)&amp;"","")</f>
        <v/>
      </c>
      <c r="D298" s="23" t="str">
        <f aca="false">IFERROR(INDEX(Clay_Offices!$A$2:$FZ$601,B298,$C$7)&amp;"","")</f>
        <v/>
      </c>
      <c r="E298" s="23" t="str">
        <f aca="false">IFERROR(INDEX(Clay_Offices!$A$2:$FZ$601,B298,$C$8)&amp;"","")</f>
        <v/>
      </c>
      <c r="F298" s="23" t="str">
        <f aca="false">IF(C298="","",IF(COUNTIF(Office_Log!$A$2:$A$201,C298)&gt;0,"Y","N"))</f>
        <v/>
      </c>
      <c r="G298" s="34" t="str">
        <f aca="false">IF(OR(C298="",AND(LEFT(C298,6)="SAMPLE",Config!$B$19&lt;&gt;"Y")),"",IF(IFERROR(INDEX(Lists!$K$2:$K$15,MATCH(D298,Lists!$J$2:$J$15,0)),-1)=-1,"status '"&amp;D298&amp;"' is not a CONTRACTS status",IF(AND(D298="signed",COUNTIF(signed_offices!$W$2:$W$51,C298)=0),"status signed but no signed_offices row"&amp;IF(F298="N"," and no tracker row",""),IF(AND(IFERROR(INDEX(Lists!$K$2:$K$15,MATCH(D298,Lists!$J$2:$J$15,0)),-1)&gt;=6,F298="N"),"status "&amp;D298&amp;" but no tracker row",IF(AND(E298="Y",D298&lt;&gt;"do_not_contact"),"do_not_contact = Y but status is "&amp;D298,IF(AND(D298="do_not_contact",E298&lt;&gt;"Y"),"status do_not_contact but do_not_contact is not Y",""))))))</f>
        <v/>
      </c>
      <c r="I298" s="23" t="n">
        <v>277</v>
      </c>
      <c r="J298" s="23" t="str">
        <f aca="false">IFERROR(INDEX(Clay_Brands!$A$2:$FZ$601,I298,$D$5)&amp;"","")</f>
        <v/>
      </c>
      <c r="K298" s="23" t="str">
        <f aca="false">IFERROR(INDEX(Clay_Brands!$A$2:$FZ$601,I298,$D$7)&amp;"","")</f>
        <v/>
      </c>
      <c r="L298" s="23" t="str">
        <f aca="false">IFERROR(INDEX(Clay_Brands!$A$2:$FZ$601,I298,$D$8)&amp;"","")</f>
        <v/>
      </c>
      <c r="M298" s="23" t="str">
        <f aca="false">IF(J298="","",IF(COUNTIF(Brand_Log!$A$2:$A$201,J298)&gt;0,"Y","N"))</f>
        <v/>
      </c>
      <c r="N298" s="34" t="str">
        <f aca="false">IF(OR(J298="",AND(LEFT(J298,6)="SAMPLE",Config!$B$19&lt;&gt;"Y")),"",IF(IFERROR(INDEX(Lists!$K$2:$K$15,MATCH(K298,Lists!$J$2:$J$15,0)),-1)=-1,"status '"&amp;K298&amp;"' is not a CONTRACTS status",IF(AND(K298="paid",COUNTIF(paid_brands!$AC$2:$AC$51,J298)=0),"status paid but no paid_brands row"&amp;IF(M298="N"," and no tracker row",""),IF(AND(IFERROR(INDEX(Lists!$K$2:$K$15,MATCH(K298,Lists!$J$2:$J$15,0)),-1)&gt;=6,M298="N"),"status "&amp;K298&amp;" but no tracker row",IF(AND(L298="Y",K298&lt;&gt;"do_not_contact"),"do_not_contact = Y but status is "&amp;K298,IF(AND(K298="do_not_contact",L298&lt;&gt;"Y"),"status do_not_contact but do_not_contact is not Y",""))))))</f>
        <v/>
      </c>
    </row>
    <row r="299" customFormat="false" ht="15" hidden="false" customHeight="false" outlineLevel="0" collapsed="false">
      <c r="B299" s="23" t="n">
        <v>278</v>
      </c>
      <c r="C299" s="23" t="str">
        <f aca="false">IFERROR(INDEX(Clay_Offices!$A$2:$FZ$601,B299,$C$5)&amp;"","")</f>
        <v/>
      </c>
      <c r="D299" s="23" t="str">
        <f aca="false">IFERROR(INDEX(Clay_Offices!$A$2:$FZ$601,B299,$C$7)&amp;"","")</f>
        <v/>
      </c>
      <c r="E299" s="23" t="str">
        <f aca="false">IFERROR(INDEX(Clay_Offices!$A$2:$FZ$601,B299,$C$8)&amp;"","")</f>
        <v/>
      </c>
      <c r="F299" s="23" t="str">
        <f aca="false">IF(C299="","",IF(COUNTIF(Office_Log!$A$2:$A$201,C299)&gt;0,"Y","N"))</f>
        <v/>
      </c>
      <c r="G299" s="34" t="str">
        <f aca="false">IF(OR(C299="",AND(LEFT(C299,6)="SAMPLE",Config!$B$19&lt;&gt;"Y")),"",IF(IFERROR(INDEX(Lists!$K$2:$K$15,MATCH(D299,Lists!$J$2:$J$15,0)),-1)=-1,"status '"&amp;D299&amp;"' is not a CONTRACTS status",IF(AND(D299="signed",COUNTIF(signed_offices!$W$2:$W$51,C299)=0),"status signed but no signed_offices row"&amp;IF(F299="N"," and no tracker row",""),IF(AND(IFERROR(INDEX(Lists!$K$2:$K$15,MATCH(D299,Lists!$J$2:$J$15,0)),-1)&gt;=6,F299="N"),"status "&amp;D299&amp;" but no tracker row",IF(AND(E299="Y",D299&lt;&gt;"do_not_contact"),"do_not_contact = Y but status is "&amp;D299,IF(AND(D299="do_not_contact",E299&lt;&gt;"Y"),"status do_not_contact but do_not_contact is not Y",""))))))</f>
        <v/>
      </c>
      <c r="I299" s="23" t="n">
        <v>278</v>
      </c>
      <c r="J299" s="23" t="str">
        <f aca="false">IFERROR(INDEX(Clay_Brands!$A$2:$FZ$601,I299,$D$5)&amp;"","")</f>
        <v/>
      </c>
      <c r="K299" s="23" t="str">
        <f aca="false">IFERROR(INDEX(Clay_Brands!$A$2:$FZ$601,I299,$D$7)&amp;"","")</f>
        <v/>
      </c>
      <c r="L299" s="23" t="str">
        <f aca="false">IFERROR(INDEX(Clay_Brands!$A$2:$FZ$601,I299,$D$8)&amp;"","")</f>
        <v/>
      </c>
      <c r="M299" s="23" t="str">
        <f aca="false">IF(J299="","",IF(COUNTIF(Brand_Log!$A$2:$A$201,J299)&gt;0,"Y","N"))</f>
        <v/>
      </c>
      <c r="N299" s="34" t="str">
        <f aca="false">IF(OR(J299="",AND(LEFT(J299,6)="SAMPLE",Config!$B$19&lt;&gt;"Y")),"",IF(IFERROR(INDEX(Lists!$K$2:$K$15,MATCH(K299,Lists!$J$2:$J$15,0)),-1)=-1,"status '"&amp;K299&amp;"' is not a CONTRACTS status",IF(AND(K299="paid",COUNTIF(paid_brands!$AC$2:$AC$51,J299)=0),"status paid but no paid_brands row"&amp;IF(M299="N"," and no tracker row",""),IF(AND(IFERROR(INDEX(Lists!$K$2:$K$15,MATCH(K299,Lists!$J$2:$J$15,0)),-1)&gt;=6,M299="N"),"status "&amp;K299&amp;" but no tracker row",IF(AND(L299="Y",K299&lt;&gt;"do_not_contact"),"do_not_contact = Y but status is "&amp;K299,IF(AND(K299="do_not_contact",L299&lt;&gt;"Y"),"status do_not_contact but do_not_contact is not Y",""))))))</f>
        <v/>
      </c>
    </row>
    <row r="300" customFormat="false" ht="15" hidden="false" customHeight="false" outlineLevel="0" collapsed="false">
      <c r="B300" s="23" t="n">
        <v>279</v>
      </c>
      <c r="C300" s="23" t="str">
        <f aca="false">IFERROR(INDEX(Clay_Offices!$A$2:$FZ$601,B300,$C$5)&amp;"","")</f>
        <v/>
      </c>
      <c r="D300" s="23" t="str">
        <f aca="false">IFERROR(INDEX(Clay_Offices!$A$2:$FZ$601,B300,$C$7)&amp;"","")</f>
        <v/>
      </c>
      <c r="E300" s="23" t="str">
        <f aca="false">IFERROR(INDEX(Clay_Offices!$A$2:$FZ$601,B300,$C$8)&amp;"","")</f>
        <v/>
      </c>
      <c r="F300" s="23" t="str">
        <f aca="false">IF(C300="","",IF(COUNTIF(Office_Log!$A$2:$A$201,C300)&gt;0,"Y","N"))</f>
        <v/>
      </c>
      <c r="G300" s="34" t="str">
        <f aca="false">IF(OR(C300="",AND(LEFT(C300,6)="SAMPLE",Config!$B$19&lt;&gt;"Y")),"",IF(IFERROR(INDEX(Lists!$K$2:$K$15,MATCH(D300,Lists!$J$2:$J$15,0)),-1)=-1,"status '"&amp;D300&amp;"' is not a CONTRACTS status",IF(AND(D300="signed",COUNTIF(signed_offices!$W$2:$W$51,C300)=0),"status signed but no signed_offices row"&amp;IF(F300="N"," and no tracker row",""),IF(AND(IFERROR(INDEX(Lists!$K$2:$K$15,MATCH(D300,Lists!$J$2:$J$15,0)),-1)&gt;=6,F300="N"),"status "&amp;D300&amp;" but no tracker row",IF(AND(E300="Y",D300&lt;&gt;"do_not_contact"),"do_not_contact = Y but status is "&amp;D300,IF(AND(D300="do_not_contact",E300&lt;&gt;"Y"),"status do_not_contact but do_not_contact is not Y",""))))))</f>
        <v/>
      </c>
      <c r="I300" s="23" t="n">
        <v>279</v>
      </c>
      <c r="J300" s="23" t="str">
        <f aca="false">IFERROR(INDEX(Clay_Brands!$A$2:$FZ$601,I300,$D$5)&amp;"","")</f>
        <v/>
      </c>
      <c r="K300" s="23" t="str">
        <f aca="false">IFERROR(INDEX(Clay_Brands!$A$2:$FZ$601,I300,$D$7)&amp;"","")</f>
        <v/>
      </c>
      <c r="L300" s="23" t="str">
        <f aca="false">IFERROR(INDEX(Clay_Brands!$A$2:$FZ$601,I300,$D$8)&amp;"","")</f>
        <v/>
      </c>
      <c r="M300" s="23" t="str">
        <f aca="false">IF(J300="","",IF(COUNTIF(Brand_Log!$A$2:$A$201,J300)&gt;0,"Y","N"))</f>
        <v/>
      </c>
      <c r="N300" s="34" t="str">
        <f aca="false">IF(OR(J300="",AND(LEFT(J300,6)="SAMPLE",Config!$B$19&lt;&gt;"Y")),"",IF(IFERROR(INDEX(Lists!$K$2:$K$15,MATCH(K300,Lists!$J$2:$J$15,0)),-1)=-1,"status '"&amp;K300&amp;"' is not a CONTRACTS status",IF(AND(K300="paid",COUNTIF(paid_brands!$AC$2:$AC$51,J300)=0),"status paid but no paid_brands row"&amp;IF(M300="N"," and no tracker row",""),IF(AND(IFERROR(INDEX(Lists!$K$2:$K$15,MATCH(K300,Lists!$J$2:$J$15,0)),-1)&gt;=6,M300="N"),"status "&amp;K300&amp;" but no tracker row",IF(AND(L300="Y",K300&lt;&gt;"do_not_contact"),"do_not_contact = Y but status is "&amp;K300,IF(AND(K300="do_not_contact",L300&lt;&gt;"Y"),"status do_not_contact but do_not_contact is not Y",""))))))</f>
        <v/>
      </c>
    </row>
    <row r="301" customFormat="false" ht="15" hidden="false" customHeight="false" outlineLevel="0" collapsed="false">
      <c r="B301" s="23" t="n">
        <v>280</v>
      </c>
      <c r="C301" s="23" t="str">
        <f aca="false">IFERROR(INDEX(Clay_Offices!$A$2:$FZ$601,B301,$C$5)&amp;"","")</f>
        <v/>
      </c>
      <c r="D301" s="23" t="str">
        <f aca="false">IFERROR(INDEX(Clay_Offices!$A$2:$FZ$601,B301,$C$7)&amp;"","")</f>
        <v/>
      </c>
      <c r="E301" s="23" t="str">
        <f aca="false">IFERROR(INDEX(Clay_Offices!$A$2:$FZ$601,B301,$C$8)&amp;"","")</f>
        <v/>
      </c>
      <c r="F301" s="23" t="str">
        <f aca="false">IF(C301="","",IF(COUNTIF(Office_Log!$A$2:$A$201,C301)&gt;0,"Y","N"))</f>
        <v/>
      </c>
      <c r="G301" s="34" t="str">
        <f aca="false">IF(OR(C301="",AND(LEFT(C301,6)="SAMPLE",Config!$B$19&lt;&gt;"Y")),"",IF(IFERROR(INDEX(Lists!$K$2:$K$15,MATCH(D301,Lists!$J$2:$J$15,0)),-1)=-1,"status '"&amp;D301&amp;"' is not a CONTRACTS status",IF(AND(D301="signed",COUNTIF(signed_offices!$W$2:$W$51,C301)=0),"status signed but no signed_offices row"&amp;IF(F301="N"," and no tracker row",""),IF(AND(IFERROR(INDEX(Lists!$K$2:$K$15,MATCH(D301,Lists!$J$2:$J$15,0)),-1)&gt;=6,F301="N"),"status "&amp;D301&amp;" but no tracker row",IF(AND(E301="Y",D301&lt;&gt;"do_not_contact"),"do_not_contact = Y but status is "&amp;D301,IF(AND(D301="do_not_contact",E301&lt;&gt;"Y"),"status do_not_contact but do_not_contact is not Y",""))))))</f>
        <v/>
      </c>
      <c r="I301" s="23" t="n">
        <v>280</v>
      </c>
      <c r="J301" s="23" t="str">
        <f aca="false">IFERROR(INDEX(Clay_Brands!$A$2:$FZ$601,I301,$D$5)&amp;"","")</f>
        <v/>
      </c>
      <c r="K301" s="23" t="str">
        <f aca="false">IFERROR(INDEX(Clay_Brands!$A$2:$FZ$601,I301,$D$7)&amp;"","")</f>
        <v/>
      </c>
      <c r="L301" s="23" t="str">
        <f aca="false">IFERROR(INDEX(Clay_Brands!$A$2:$FZ$601,I301,$D$8)&amp;"","")</f>
        <v/>
      </c>
      <c r="M301" s="23" t="str">
        <f aca="false">IF(J301="","",IF(COUNTIF(Brand_Log!$A$2:$A$201,J301)&gt;0,"Y","N"))</f>
        <v/>
      </c>
      <c r="N301" s="34" t="str">
        <f aca="false">IF(OR(J301="",AND(LEFT(J301,6)="SAMPLE",Config!$B$19&lt;&gt;"Y")),"",IF(IFERROR(INDEX(Lists!$K$2:$K$15,MATCH(K301,Lists!$J$2:$J$15,0)),-1)=-1,"status '"&amp;K301&amp;"' is not a CONTRACTS status",IF(AND(K301="paid",COUNTIF(paid_brands!$AC$2:$AC$51,J301)=0),"status paid but no paid_brands row"&amp;IF(M301="N"," and no tracker row",""),IF(AND(IFERROR(INDEX(Lists!$K$2:$K$15,MATCH(K301,Lists!$J$2:$J$15,0)),-1)&gt;=6,M301="N"),"status "&amp;K301&amp;" but no tracker row",IF(AND(L301="Y",K301&lt;&gt;"do_not_contact"),"do_not_contact = Y but status is "&amp;K301,IF(AND(K301="do_not_contact",L301&lt;&gt;"Y"),"status do_not_contact but do_not_contact is not Y",""))))))</f>
        <v/>
      </c>
    </row>
    <row r="302" customFormat="false" ht="15" hidden="false" customHeight="false" outlineLevel="0" collapsed="false">
      <c r="B302" s="23" t="n">
        <v>281</v>
      </c>
      <c r="C302" s="23" t="str">
        <f aca="false">IFERROR(INDEX(Clay_Offices!$A$2:$FZ$601,B302,$C$5)&amp;"","")</f>
        <v/>
      </c>
      <c r="D302" s="23" t="str">
        <f aca="false">IFERROR(INDEX(Clay_Offices!$A$2:$FZ$601,B302,$C$7)&amp;"","")</f>
        <v/>
      </c>
      <c r="E302" s="23" t="str">
        <f aca="false">IFERROR(INDEX(Clay_Offices!$A$2:$FZ$601,B302,$C$8)&amp;"","")</f>
        <v/>
      </c>
      <c r="F302" s="23" t="str">
        <f aca="false">IF(C302="","",IF(COUNTIF(Office_Log!$A$2:$A$201,C302)&gt;0,"Y","N"))</f>
        <v/>
      </c>
      <c r="G302" s="34" t="str">
        <f aca="false">IF(OR(C302="",AND(LEFT(C302,6)="SAMPLE",Config!$B$19&lt;&gt;"Y")),"",IF(IFERROR(INDEX(Lists!$K$2:$K$15,MATCH(D302,Lists!$J$2:$J$15,0)),-1)=-1,"status '"&amp;D302&amp;"' is not a CONTRACTS status",IF(AND(D302="signed",COUNTIF(signed_offices!$W$2:$W$51,C302)=0),"status signed but no signed_offices row"&amp;IF(F302="N"," and no tracker row",""),IF(AND(IFERROR(INDEX(Lists!$K$2:$K$15,MATCH(D302,Lists!$J$2:$J$15,0)),-1)&gt;=6,F302="N"),"status "&amp;D302&amp;" but no tracker row",IF(AND(E302="Y",D302&lt;&gt;"do_not_contact"),"do_not_contact = Y but status is "&amp;D302,IF(AND(D302="do_not_contact",E302&lt;&gt;"Y"),"status do_not_contact but do_not_contact is not Y",""))))))</f>
        <v/>
      </c>
      <c r="I302" s="23" t="n">
        <v>281</v>
      </c>
      <c r="J302" s="23" t="str">
        <f aca="false">IFERROR(INDEX(Clay_Brands!$A$2:$FZ$601,I302,$D$5)&amp;"","")</f>
        <v/>
      </c>
      <c r="K302" s="23" t="str">
        <f aca="false">IFERROR(INDEX(Clay_Brands!$A$2:$FZ$601,I302,$D$7)&amp;"","")</f>
        <v/>
      </c>
      <c r="L302" s="23" t="str">
        <f aca="false">IFERROR(INDEX(Clay_Brands!$A$2:$FZ$601,I302,$D$8)&amp;"","")</f>
        <v/>
      </c>
      <c r="M302" s="23" t="str">
        <f aca="false">IF(J302="","",IF(COUNTIF(Brand_Log!$A$2:$A$201,J302)&gt;0,"Y","N"))</f>
        <v/>
      </c>
      <c r="N302" s="34" t="str">
        <f aca="false">IF(OR(J302="",AND(LEFT(J302,6)="SAMPLE",Config!$B$19&lt;&gt;"Y")),"",IF(IFERROR(INDEX(Lists!$K$2:$K$15,MATCH(K302,Lists!$J$2:$J$15,0)),-1)=-1,"status '"&amp;K302&amp;"' is not a CONTRACTS status",IF(AND(K302="paid",COUNTIF(paid_brands!$AC$2:$AC$51,J302)=0),"status paid but no paid_brands row"&amp;IF(M302="N"," and no tracker row",""),IF(AND(IFERROR(INDEX(Lists!$K$2:$K$15,MATCH(K302,Lists!$J$2:$J$15,0)),-1)&gt;=6,M302="N"),"status "&amp;K302&amp;" but no tracker row",IF(AND(L302="Y",K302&lt;&gt;"do_not_contact"),"do_not_contact = Y but status is "&amp;K302,IF(AND(K302="do_not_contact",L302&lt;&gt;"Y"),"status do_not_contact but do_not_contact is not Y",""))))))</f>
        <v/>
      </c>
    </row>
    <row r="303" customFormat="false" ht="15" hidden="false" customHeight="false" outlineLevel="0" collapsed="false">
      <c r="B303" s="23" t="n">
        <v>282</v>
      </c>
      <c r="C303" s="23" t="str">
        <f aca="false">IFERROR(INDEX(Clay_Offices!$A$2:$FZ$601,B303,$C$5)&amp;"","")</f>
        <v/>
      </c>
      <c r="D303" s="23" t="str">
        <f aca="false">IFERROR(INDEX(Clay_Offices!$A$2:$FZ$601,B303,$C$7)&amp;"","")</f>
        <v/>
      </c>
      <c r="E303" s="23" t="str">
        <f aca="false">IFERROR(INDEX(Clay_Offices!$A$2:$FZ$601,B303,$C$8)&amp;"","")</f>
        <v/>
      </c>
      <c r="F303" s="23" t="str">
        <f aca="false">IF(C303="","",IF(COUNTIF(Office_Log!$A$2:$A$201,C303)&gt;0,"Y","N"))</f>
        <v/>
      </c>
      <c r="G303" s="34" t="str">
        <f aca="false">IF(OR(C303="",AND(LEFT(C303,6)="SAMPLE",Config!$B$19&lt;&gt;"Y")),"",IF(IFERROR(INDEX(Lists!$K$2:$K$15,MATCH(D303,Lists!$J$2:$J$15,0)),-1)=-1,"status '"&amp;D303&amp;"' is not a CONTRACTS status",IF(AND(D303="signed",COUNTIF(signed_offices!$W$2:$W$51,C303)=0),"status signed but no signed_offices row"&amp;IF(F303="N"," and no tracker row",""),IF(AND(IFERROR(INDEX(Lists!$K$2:$K$15,MATCH(D303,Lists!$J$2:$J$15,0)),-1)&gt;=6,F303="N"),"status "&amp;D303&amp;" but no tracker row",IF(AND(E303="Y",D303&lt;&gt;"do_not_contact"),"do_not_contact = Y but status is "&amp;D303,IF(AND(D303="do_not_contact",E303&lt;&gt;"Y"),"status do_not_contact but do_not_contact is not Y",""))))))</f>
        <v/>
      </c>
      <c r="I303" s="23" t="n">
        <v>282</v>
      </c>
      <c r="J303" s="23" t="str">
        <f aca="false">IFERROR(INDEX(Clay_Brands!$A$2:$FZ$601,I303,$D$5)&amp;"","")</f>
        <v/>
      </c>
      <c r="K303" s="23" t="str">
        <f aca="false">IFERROR(INDEX(Clay_Brands!$A$2:$FZ$601,I303,$D$7)&amp;"","")</f>
        <v/>
      </c>
      <c r="L303" s="23" t="str">
        <f aca="false">IFERROR(INDEX(Clay_Brands!$A$2:$FZ$601,I303,$D$8)&amp;"","")</f>
        <v/>
      </c>
      <c r="M303" s="23" t="str">
        <f aca="false">IF(J303="","",IF(COUNTIF(Brand_Log!$A$2:$A$201,J303)&gt;0,"Y","N"))</f>
        <v/>
      </c>
      <c r="N303" s="34" t="str">
        <f aca="false">IF(OR(J303="",AND(LEFT(J303,6)="SAMPLE",Config!$B$19&lt;&gt;"Y")),"",IF(IFERROR(INDEX(Lists!$K$2:$K$15,MATCH(K303,Lists!$J$2:$J$15,0)),-1)=-1,"status '"&amp;K303&amp;"' is not a CONTRACTS status",IF(AND(K303="paid",COUNTIF(paid_brands!$AC$2:$AC$51,J303)=0),"status paid but no paid_brands row"&amp;IF(M303="N"," and no tracker row",""),IF(AND(IFERROR(INDEX(Lists!$K$2:$K$15,MATCH(K303,Lists!$J$2:$J$15,0)),-1)&gt;=6,M303="N"),"status "&amp;K303&amp;" but no tracker row",IF(AND(L303="Y",K303&lt;&gt;"do_not_contact"),"do_not_contact = Y but status is "&amp;K303,IF(AND(K303="do_not_contact",L303&lt;&gt;"Y"),"status do_not_contact but do_not_contact is not Y",""))))))</f>
        <v/>
      </c>
    </row>
    <row r="304" customFormat="false" ht="15" hidden="false" customHeight="false" outlineLevel="0" collapsed="false">
      <c r="B304" s="23" t="n">
        <v>283</v>
      </c>
      <c r="C304" s="23" t="str">
        <f aca="false">IFERROR(INDEX(Clay_Offices!$A$2:$FZ$601,B304,$C$5)&amp;"","")</f>
        <v/>
      </c>
      <c r="D304" s="23" t="str">
        <f aca="false">IFERROR(INDEX(Clay_Offices!$A$2:$FZ$601,B304,$C$7)&amp;"","")</f>
        <v/>
      </c>
      <c r="E304" s="23" t="str">
        <f aca="false">IFERROR(INDEX(Clay_Offices!$A$2:$FZ$601,B304,$C$8)&amp;"","")</f>
        <v/>
      </c>
      <c r="F304" s="23" t="str">
        <f aca="false">IF(C304="","",IF(COUNTIF(Office_Log!$A$2:$A$201,C304)&gt;0,"Y","N"))</f>
        <v/>
      </c>
      <c r="G304" s="34" t="str">
        <f aca="false">IF(OR(C304="",AND(LEFT(C304,6)="SAMPLE",Config!$B$19&lt;&gt;"Y")),"",IF(IFERROR(INDEX(Lists!$K$2:$K$15,MATCH(D304,Lists!$J$2:$J$15,0)),-1)=-1,"status '"&amp;D304&amp;"' is not a CONTRACTS status",IF(AND(D304="signed",COUNTIF(signed_offices!$W$2:$W$51,C304)=0),"status signed but no signed_offices row"&amp;IF(F304="N"," and no tracker row",""),IF(AND(IFERROR(INDEX(Lists!$K$2:$K$15,MATCH(D304,Lists!$J$2:$J$15,0)),-1)&gt;=6,F304="N"),"status "&amp;D304&amp;" but no tracker row",IF(AND(E304="Y",D304&lt;&gt;"do_not_contact"),"do_not_contact = Y but status is "&amp;D304,IF(AND(D304="do_not_contact",E304&lt;&gt;"Y"),"status do_not_contact but do_not_contact is not Y",""))))))</f>
        <v/>
      </c>
      <c r="I304" s="23" t="n">
        <v>283</v>
      </c>
      <c r="J304" s="23" t="str">
        <f aca="false">IFERROR(INDEX(Clay_Brands!$A$2:$FZ$601,I304,$D$5)&amp;"","")</f>
        <v/>
      </c>
      <c r="K304" s="23" t="str">
        <f aca="false">IFERROR(INDEX(Clay_Brands!$A$2:$FZ$601,I304,$D$7)&amp;"","")</f>
        <v/>
      </c>
      <c r="L304" s="23" t="str">
        <f aca="false">IFERROR(INDEX(Clay_Brands!$A$2:$FZ$601,I304,$D$8)&amp;"","")</f>
        <v/>
      </c>
      <c r="M304" s="23" t="str">
        <f aca="false">IF(J304="","",IF(COUNTIF(Brand_Log!$A$2:$A$201,J304)&gt;0,"Y","N"))</f>
        <v/>
      </c>
      <c r="N304" s="34" t="str">
        <f aca="false">IF(OR(J304="",AND(LEFT(J304,6)="SAMPLE",Config!$B$19&lt;&gt;"Y")),"",IF(IFERROR(INDEX(Lists!$K$2:$K$15,MATCH(K304,Lists!$J$2:$J$15,0)),-1)=-1,"status '"&amp;K304&amp;"' is not a CONTRACTS status",IF(AND(K304="paid",COUNTIF(paid_brands!$AC$2:$AC$51,J304)=0),"status paid but no paid_brands row"&amp;IF(M304="N"," and no tracker row",""),IF(AND(IFERROR(INDEX(Lists!$K$2:$K$15,MATCH(K304,Lists!$J$2:$J$15,0)),-1)&gt;=6,M304="N"),"status "&amp;K304&amp;" but no tracker row",IF(AND(L304="Y",K304&lt;&gt;"do_not_contact"),"do_not_contact = Y but status is "&amp;K304,IF(AND(K304="do_not_contact",L304&lt;&gt;"Y"),"status do_not_contact but do_not_contact is not Y",""))))))</f>
        <v/>
      </c>
    </row>
    <row r="305" customFormat="false" ht="15" hidden="false" customHeight="false" outlineLevel="0" collapsed="false">
      <c r="B305" s="23" t="n">
        <v>284</v>
      </c>
      <c r="C305" s="23" t="str">
        <f aca="false">IFERROR(INDEX(Clay_Offices!$A$2:$FZ$601,B305,$C$5)&amp;"","")</f>
        <v/>
      </c>
      <c r="D305" s="23" t="str">
        <f aca="false">IFERROR(INDEX(Clay_Offices!$A$2:$FZ$601,B305,$C$7)&amp;"","")</f>
        <v/>
      </c>
      <c r="E305" s="23" t="str">
        <f aca="false">IFERROR(INDEX(Clay_Offices!$A$2:$FZ$601,B305,$C$8)&amp;"","")</f>
        <v/>
      </c>
      <c r="F305" s="23" t="str">
        <f aca="false">IF(C305="","",IF(COUNTIF(Office_Log!$A$2:$A$201,C305)&gt;0,"Y","N"))</f>
        <v/>
      </c>
      <c r="G305" s="34" t="str">
        <f aca="false">IF(OR(C305="",AND(LEFT(C305,6)="SAMPLE",Config!$B$19&lt;&gt;"Y")),"",IF(IFERROR(INDEX(Lists!$K$2:$K$15,MATCH(D305,Lists!$J$2:$J$15,0)),-1)=-1,"status '"&amp;D305&amp;"' is not a CONTRACTS status",IF(AND(D305="signed",COUNTIF(signed_offices!$W$2:$W$51,C305)=0),"status signed but no signed_offices row"&amp;IF(F305="N"," and no tracker row",""),IF(AND(IFERROR(INDEX(Lists!$K$2:$K$15,MATCH(D305,Lists!$J$2:$J$15,0)),-1)&gt;=6,F305="N"),"status "&amp;D305&amp;" but no tracker row",IF(AND(E305="Y",D305&lt;&gt;"do_not_contact"),"do_not_contact = Y but status is "&amp;D305,IF(AND(D305="do_not_contact",E305&lt;&gt;"Y"),"status do_not_contact but do_not_contact is not Y",""))))))</f>
        <v/>
      </c>
      <c r="I305" s="23" t="n">
        <v>284</v>
      </c>
      <c r="J305" s="23" t="str">
        <f aca="false">IFERROR(INDEX(Clay_Brands!$A$2:$FZ$601,I305,$D$5)&amp;"","")</f>
        <v/>
      </c>
      <c r="K305" s="23" t="str">
        <f aca="false">IFERROR(INDEX(Clay_Brands!$A$2:$FZ$601,I305,$D$7)&amp;"","")</f>
        <v/>
      </c>
      <c r="L305" s="23" t="str">
        <f aca="false">IFERROR(INDEX(Clay_Brands!$A$2:$FZ$601,I305,$D$8)&amp;"","")</f>
        <v/>
      </c>
      <c r="M305" s="23" t="str">
        <f aca="false">IF(J305="","",IF(COUNTIF(Brand_Log!$A$2:$A$201,J305)&gt;0,"Y","N"))</f>
        <v/>
      </c>
      <c r="N305" s="34" t="str">
        <f aca="false">IF(OR(J305="",AND(LEFT(J305,6)="SAMPLE",Config!$B$19&lt;&gt;"Y")),"",IF(IFERROR(INDEX(Lists!$K$2:$K$15,MATCH(K305,Lists!$J$2:$J$15,0)),-1)=-1,"status '"&amp;K305&amp;"' is not a CONTRACTS status",IF(AND(K305="paid",COUNTIF(paid_brands!$AC$2:$AC$51,J305)=0),"status paid but no paid_brands row"&amp;IF(M305="N"," and no tracker row",""),IF(AND(IFERROR(INDEX(Lists!$K$2:$K$15,MATCH(K305,Lists!$J$2:$J$15,0)),-1)&gt;=6,M305="N"),"status "&amp;K305&amp;" but no tracker row",IF(AND(L305="Y",K305&lt;&gt;"do_not_contact"),"do_not_contact = Y but status is "&amp;K305,IF(AND(K305="do_not_contact",L305&lt;&gt;"Y"),"status do_not_contact but do_not_contact is not Y",""))))))</f>
        <v/>
      </c>
    </row>
    <row r="306" customFormat="false" ht="15" hidden="false" customHeight="false" outlineLevel="0" collapsed="false">
      <c r="B306" s="23" t="n">
        <v>285</v>
      </c>
      <c r="C306" s="23" t="str">
        <f aca="false">IFERROR(INDEX(Clay_Offices!$A$2:$FZ$601,B306,$C$5)&amp;"","")</f>
        <v/>
      </c>
      <c r="D306" s="23" t="str">
        <f aca="false">IFERROR(INDEX(Clay_Offices!$A$2:$FZ$601,B306,$C$7)&amp;"","")</f>
        <v/>
      </c>
      <c r="E306" s="23" t="str">
        <f aca="false">IFERROR(INDEX(Clay_Offices!$A$2:$FZ$601,B306,$C$8)&amp;"","")</f>
        <v/>
      </c>
      <c r="F306" s="23" t="str">
        <f aca="false">IF(C306="","",IF(COUNTIF(Office_Log!$A$2:$A$201,C306)&gt;0,"Y","N"))</f>
        <v/>
      </c>
      <c r="G306" s="34" t="str">
        <f aca="false">IF(OR(C306="",AND(LEFT(C306,6)="SAMPLE",Config!$B$19&lt;&gt;"Y")),"",IF(IFERROR(INDEX(Lists!$K$2:$K$15,MATCH(D306,Lists!$J$2:$J$15,0)),-1)=-1,"status '"&amp;D306&amp;"' is not a CONTRACTS status",IF(AND(D306="signed",COUNTIF(signed_offices!$W$2:$W$51,C306)=0),"status signed but no signed_offices row"&amp;IF(F306="N"," and no tracker row",""),IF(AND(IFERROR(INDEX(Lists!$K$2:$K$15,MATCH(D306,Lists!$J$2:$J$15,0)),-1)&gt;=6,F306="N"),"status "&amp;D306&amp;" but no tracker row",IF(AND(E306="Y",D306&lt;&gt;"do_not_contact"),"do_not_contact = Y but status is "&amp;D306,IF(AND(D306="do_not_contact",E306&lt;&gt;"Y"),"status do_not_contact but do_not_contact is not Y",""))))))</f>
        <v/>
      </c>
      <c r="I306" s="23" t="n">
        <v>285</v>
      </c>
      <c r="J306" s="23" t="str">
        <f aca="false">IFERROR(INDEX(Clay_Brands!$A$2:$FZ$601,I306,$D$5)&amp;"","")</f>
        <v/>
      </c>
      <c r="K306" s="23" t="str">
        <f aca="false">IFERROR(INDEX(Clay_Brands!$A$2:$FZ$601,I306,$D$7)&amp;"","")</f>
        <v/>
      </c>
      <c r="L306" s="23" t="str">
        <f aca="false">IFERROR(INDEX(Clay_Brands!$A$2:$FZ$601,I306,$D$8)&amp;"","")</f>
        <v/>
      </c>
      <c r="M306" s="23" t="str">
        <f aca="false">IF(J306="","",IF(COUNTIF(Brand_Log!$A$2:$A$201,J306)&gt;0,"Y","N"))</f>
        <v/>
      </c>
      <c r="N306" s="34" t="str">
        <f aca="false">IF(OR(J306="",AND(LEFT(J306,6)="SAMPLE",Config!$B$19&lt;&gt;"Y")),"",IF(IFERROR(INDEX(Lists!$K$2:$K$15,MATCH(K306,Lists!$J$2:$J$15,0)),-1)=-1,"status '"&amp;K306&amp;"' is not a CONTRACTS status",IF(AND(K306="paid",COUNTIF(paid_brands!$AC$2:$AC$51,J306)=0),"status paid but no paid_brands row"&amp;IF(M306="N"," and no tracker row",""),IF(AND(IFERROR(INDEX(Lists!$K$2:$K$15,MATCH(K306,Lists!$J$2:$J$15,0)),-1)&gt;=6,M306="N"),"status "&amp;K306&amp;" but no tracker row",IF(AND(L306="Y",K306&lt;&gt;"do_not_contact"),"do_not_contact = Y but status is "&amp;K306,IF(AND(K306="do_not_contact",L306&lt;&gt;"Y"),"status do_not_contact but do_not_contact is not Y",""))))))</f>
        <v/>
      </c>
    </row>
    <row r="307" customFormat="false" ht="15" hidden="false" customHeight="false" outlineLevel="0" collapsed="false">
      <c r="B307" s="23" t="n">
        <v>286</v>
      </c>
      <c r="C307" s="23" t="str">
        <f aca="false">IFERROR(INDEX(Clay_Offices!$A$2:$FZ$601,B307,$C$5)&amp;"","")</f>
        <v/>
      </c>
      <c r="D307" s="23" t="str">
        <f aca="false">IFERROR(INDEX(Clay_Offices!$A$2:$FZ$601,B307,$C$7)&amp;"","")</f>
        <v/>
      </c>
      <c r="E307" s="23" t="str">
        <f aca="false">IFERROR(INDEX(Clay_Offices!$A$2:$FZ$601,B307,$C$8)&amp;"","")</f>
        <v/>
      </c>
      <c r="F307" s="23" t="str">
        <f aca="false">IF(C307="","",IF(COUNTIF(Office_Log!$A$2:$A$201,C307)&gt;0,"Y","N"))</f>
        <v/>
      </c>
      <c r="G307" s="34" t="str">
        <f aca="false">IF(OR(C307="",AND(LEFT(C307,6)="SAMPLE",Config!$B$19&lt;&gt;"Y")),"",IF(IFERROR(INDEX(Lists!$K$2:$K$15,MATCH(D307,Lists!$J$2:$J$15,0)),-1)=-1,"status '"&amp;D307&amp;"' is not a CONTRACTS status",IF(AND(D307="signed",COUNTIF(signed_offices!$W$2:$W$51,C307)=0),"status signed but no signed_offices row"&amp;IF(F307="N"," and no tracker row",""),IF(AND(IFERROR(INDEX(Lists!$K$2:$K$15,MATCH(D307,Lists!$J$2:$J$15,0)),-1)&gt;=6,F307="N"),"status "&amp;D307&amp;" but no tracker row",IF(AND(E307="Y",D307&lt;&gt;"do_not_contact"),"do_not_contact = Y but status is "&amp;D307,IF(AND(D307="do_not_contact",E307&lt;&gt;"Y"),"status do_not_contact but do_not_contact is not Y",""))))))</f>
        <v/>
      </c>
      <c r="I307" s="23" t="n">
        <v>286</v>
      </c>
      <c r="J307" s="23" t="str">
        <f aca="false">IFERROR(INDEX(Clay_Brands!$A$2:$FZ$601,I307,$D$5)&amp;"","")</f>
        <v/>
      </c>
      <c r="K307" s="23" t="str">
        <f aca="false">IFERROR(INDEX(Clay_Brands!$A$2:$FZ$601,I307,$D$7)&amp;"","")</f>
        <v/>
      </c>
      <c r="L307" s="23" t="str">
        <f aca="false">IFERROR(INDEX(Clay_Brands!$A$2:$FZ$601,I307,$D$8)&amp;"","")</f>
        <v/>
      </c>
      <c r="M307" s="23" t="str">
        <f aca="false">IF(J307="","",IF(COUNTIF(Brand_Log!$A$2:$A$201,J307)&gt;0,"Y","N"))</f>
        <v/>
      </c>
      <c r="N307" s="34" t="str">
        <f aca="false">IF(OR(J307="",AND(LEFT(J307,6)="SAMPLE",Config!$B$19&lt;&gt;"Y")),"",IF(IFERROR(INDEX(Lists!$K$2:$K$15,MATCH(K307,Lists!$J$2:$J$15,0)),-1)=-1,"status '"&amp;K307&amp;"' is not a CONTRACTS status",IF(AND(K307="paid",COUNTIF(paid_brands!$AC$2:$AC$51,J307)=0),"status paid but no paid_brands row"&amp;IF(M307="N"," and no tracker row",""),IF(AND(IFERROR(INDEX(Lists!$K$2:$K$15,MATCH(K307,Lists!$J$2:$J$15,0)),-1)&gt;=6,M307="N"),"status "&amp;K307&amp;" but no tracker row",IF(AND(L307="Y",K307&lt;&gt;"do_not_contact"),"do_not_contact = Y but status is "&amp;K307,IF(AND(K307="do_not_contact",L307&lt;&gt;"Y"),"status do_not_contact but do_not_contact is not Y",""))))))</f>
        <v/>
      </c>
    </row>
    <row r="308" customFormat="false" ht="15" hidden="false" customHeight="false" outlineLevel="0" collapsed="false">
      <c r="B308" s="23" t="n">
        <v>287</v>
      </c>
      <c r="C308" s="23" t="str">
        <f aca="false">IFERROR(INDEX(Clay_Offices!$A$2:$FZ$601,B308,$C$5)&amp;"","")</f>
        <v/>
      </c>
      <c r="D308" s="23" t="str">
        <f aca="false">IFERROR(INDEX(Clay_Offices!$A$2:$FZ$601,B308,$C$7)&amp;"","")</f>
        <v/>
      </c>
      <c r="E308" s="23" t="str">
        <f aca="false">IFERROR(INDEX(Clay_Offices!$A$2:$FZ$601,B308,$C$8)&amp;"","")</f>
        <v/>
      </c>
      <c r="F308" s="23" t="str">
        <f aca="false">IF(C308="","",IF(COUNTIF(Office_Log!$A$2:$A$201,C308)&gt;0,"Y","N"))</f>
        <v/>
      </c>
      <c r="G308" s="34" t="str">
        <f aca="false">IF(OR(C308="",AND(LEFT(C308,6)="SAMPLE",Config!$B$19&lt;&gt;"Y")),"",IF(IFERROR(INDEX(Lists!$K$2:$K$15,MATCH(D308,Lists!$J$2:$J$15,0)),-1)=-1,"status '"&amp;D308&amp;"' is not a CONTRACTS status",IF(AND(D308="signed",COUNTIF(signed_offices!$W$2:$W$51,C308)=0),"status signed but no signed_offices row"&amp;IF(F308="N"," and no tracker row",""),IF(AND(IFERROR(INDEX(Lists!$K$2:$K$15,MATCH(D308,Lists!$J$2:$J$15,0)),-1)&gt;=6,F308="N"),"status "&amp;D308&amp;" but no tracker row",IF(AND(E308="Y",D308&lt;&gt;"do_not_contact"),"do_not_contact = Y but status is "&amp;D308,IF(AND(D308="do_not_contact",E308&lt;&gt;"Y"),"status do_not_contact but do_not_contact is not Y",""))))))</f>
        <v/>
      </c>
      <c r="I308" s="23" t="n">
        <v>287</v>
      </c>
      <c r="J308" s="23" t="str">
        <f aca="false">IFERROR(INDEX(Clay_Brands!$A$2:$FZ$601,I308,$D$5)&amp;"","")</f>
        <v/>
      </c>
      <c r="K308" s="23" t="str">
        <f aca="false">IFERROR(INDEX(Clay_Brands!$A$2:$FZ$601,I308,$D$7)&amp;"","")</f>
        <v/>
      </c>
      <c r="L308" s="23" t="str">
        <f aca="false">IFERROR(INDEX(Clay_Brands!$A$2:$FZ$601,I308,$D$8)&amp;"","")</f>
        <v/>
      </c>
      <c r="M308" s="23" t="str">
        <f aca="false">IF(J308="","",IF(COUNTIF(Brand_Log!$A$2:$A$201,J308)&gt;0,"Y","N"))</f>
        <v/>
      </c>
      <c r="N308" s="34" t="str">
        <f aca="false">IF(OR(J308="",AND(LEFT(J308,6)="SAMPLE",Config!$B$19&lt;&gt;"Y")),"",IF(IFERROR(INDEX(Lists!$K$2:$K$15,MATCH(K308,Lists!$J$2:$J$15,0)),-1)=-1,"status '"&amp;K308&amp;"' is not a CONTRACTS status",IF(AND(K308="paid",COUNTIF(paid_brands!$AC$2:$AC$51,J308)=0),"status paid but no paid_brands row"&amp;IF(M308="N"," and no tracker row",""),IF(AND(IFERROR(INDEX(Lists!$K$2:$K$15,MATCH(K308,Lists!$J$2:$J$15,0)),-1)&gt;=6,M308="N"),"status "&amp;K308&amp;" but no tracker row",IF(AND(L308="Y",K308&lt;&gt;"do_not_contact"),"do_not_contact = Y but status is "&amp;K308,IF(AND(K308="do_not_contact",L308&lt;&gt;"Y"),"status do_not_contact but do_not_contact is not Y",""))))))</f>
        <v/>
      </c>
    </row>
    <row r="309" customFormat="false" ht="15" hidden="false" customHeight="false" outlineLevel="0" collapsed="false">
      <c r="B309" s="23" t="n">
        <v>288</v>
      </c>
      <c r="C309" s="23" t="str">
        <f aca="false">IFERROR(INDEX(Clay_Offices!$A$2:$FZ$601,B309,$C$5)&amp;"","")</f>
        <v/>
      </c>
      <c r="D309" s="23" t="str">
        <f aca="false">IFERROR(INDEX(Clay_Offices!$A$2:$FZ$601,B309,$C$7)&amp;"","")</f>
        <v/>
      </c>
      <c r="E309" s="23" t="str">
        <f aca="false">IFERROR(INDEX(Clay_Offices!$A$2:$FZ$601,B309,$C$8)&amp;"","")</f>
        <v/>
      </c>
      <c r="F309" s="23" t="str">
        <f aca="false">IF(C309="","",IF(COUNTIF(Office_Log!$A$2:$A$201,C309)&gt;0,"Y","N"))</f>
        <v/>
      </c>
      <c r="G309" s="34" t="str">
        <f aca="false">IF(OR(C309="",AND(LEFT(C309,6)="SAMPLE",Config!$B$19&lt;&gt;"Y")),"",IF(IFERROR(INDEX(Lists!$K$2:$K$15,MATCH(D309,Lists!$J$2:$J$15,0)),-1)=-1,"status '"&amp;D309&amp;"' is not a CONTRACTS status",IF(AND(D309="signed",COUNTIF(signed_offices!$W$2:$W$51,C309)=0),"status signed but no signed_offices row"&amp;IF(F309="N"," and no tracker row",""),IF(AND(IFERROR(INDEX(Lists!$K$2:$K$15,MATCH(D309,Lists!$J$2:$J$15,0)),-1)&gt;=6,F309="N"),"status "&amp;D309&amp;" but no tracker row",IF(AND(E309="Y",D309&lt;&gt;"do_not_contact"),"do_not_contact = Y but status is "&amp;D309,IF(AND(D309="do_not_contact",E309&lt;&gt;"Y"),"status do_not_contact but do_not_contact is not Y",""))))))</f>
        <v/>
      </c>
      <c r="I309" s="23" t="n">
        <v>288</v>
      </c>
      <c r="J309" s="23" t="str">
        <f aca="false">IFERROR(INDEX(Clay_Brands!$A$2:$FZ$601,I309,$D$5)&amp;"","")</f>
        <v/>
      </c>
      <c r="K309" s="23" t="str">
        <f aca="false">IFERROR(INDEX(Clay_Brands!$A$2:$FZ$601,I309,$D$7)&amp;"","")</f>
        <v/>
      </c>
      <c r="L309" s="23" t="str">
        <f aca="false">IFERROR(INDEX(Clay_Brands!$A$2:$FZ$601,I309,$D$8)&amp;"","")</f>
        <v/>
      </c>
      <c r="M309" s="23" t="str">
        <f aca="false">IF(J309="","",IF(COUNTIF(Brand_Log!$A$2:$A$201,J309)&gt;0,"Y","N"))</f>
        <v/>
      </c>
      <c r="N309" s="34" t="str">
        <f aca="false">IF(OR(J309="",AND(LEFT(J309,6)="SAMPLE",Config!$B$19&lt;&gt;"Y")),"",IF(IFERROR(INDEX(Lists!$K$2:$K$15,MATCH(K309,Lists!$J$2:$J$15,0)),-1)=-1,"status '"&amp;K309&amp;"' is not a CONTRACTS status",IF(AND(K309="paid",COUNTIF(paid_brands!$AC$2:$AC$51,J309)=0),"status paid but no paid_brands row"&amp;IF(M309="N"," and no tracker row",""),IF(AND(IFERROR(INDEX(Lists!$K$2:$K$15,MATCH(K309,Lists!$J$2:$J$15,0)),-1)&gt;=6,M309="N"),"status "&amp;K309&amp;" but no tracker row",IF(AND(L309="Y",K309&lt;&gt;"do_not_contact"),"do_not_contact = Y but status is "&amp;K309,IF(AND(K309="do_not_contact",L309&lt;&gt;"Y"),"status do_not_contact but do_not_contact is not Y",""))))))</f>
        <v/>
      </c>
    </row>
    <row r="310" customFormat="false" ht="15" hidden="false" customHeight="false" outlineLevel="0" collapsed="false">
      <c r="B310" s="23" t="n">
        <v>289</v>
      </c>
      <c r="C310" s="23" t="str">
        <f aca="false">IFERROR(INDEX(Clay_Offices!$A$2:$FZ$601,B310,$C$5)&amp;"","")</f>
        <v/>
      </c>
      <c r="D310" s="23" t="str">
        <f aca="false">IFERROR(INDEX(Clay_Offices!$A$2:$FZ$601,B310,$C$7)&amp;"","")</f>
        <v/>
      </c>
      <c r="E310" s="23" t="str">
        <f aca="false">IFERROR(INDEX(Clay_Offices!$A$2:$FZ$601,B310,$C$8)&amp;"","")</f>
        <v/>
      </c>
      <c r="F310" s="23" t="str">
        <f aca="false">IF(C310="","",IF(COUNTIF(Office_Log!$A$2:$A$201,C310)&gt;0,"Y","N"))</f>
        <v/>
      </c>
      <c r="G310" s="34" t="str">
        <f aca="false">IF(OR(C310="",AND(LEFT(C310,6)="SAMPLE",Config!$B$19&lt;&gt;"Y")),"",IF(IFERROR(INDEX(Lists!$K$2:$K$15,MATCH(D310,Lists!$J$2:$J$15,0)),-1)=-1,"status '"&amp;D310&amp;"' is not a CONTRACTS status",IF(AND(D310="signed",COUNTIF(signed_offices!$W$2:$W$51,C310)=0),"status signed but no signed_offices row"&amp;IF(F310="N"," and no tracker row",""),IF(AND(IFERROR(INDEX(Lists!$K$2:$K$15,MATCH(D310,Lists!$J$2:$J$15,0)),-1)&gt;=6,F310="N"),"status "&amp;D310&amp;" but no tracker row",IF(AND(E310="Y",D310&lt;&gt;"do_not_contact"),"do_not_contact = Y but status is "&amp;D310,IF(AND(D310="do_not_contact",E310&lt;&gt;"Y"),"status do_not_contact but do_not_contact is not Y",""))))))</f>
        <v/>
      </c>
      <c r="I310" s="23" t="n">
        <v>289</v>
      </c>
      <c r="J310" s="23" t="str">
        <f aca="false">IFERROR(INDEX(Clay_Brands!$A$2:$FZ$601,I310,$D$5)&amp;"","")</f>
        <v/>
      </c>
      <c r="K310" s="23" t="str">
        <f aca="false">IFERROR(INDEX(Clay_Brands!$A$2:$FZ$601,I310,$D$7)&amp;"","")</f>
        <v/>
      </c>
      <c r="L310" s="23" t="str">
        <f aca="false">IFERROR(INDEX(Clay_Brands!$A$2:$FZ$601,I310,$D$8)&amp;"","")</f>
        <v/>
      </c>
      <c r="M310" s="23" t="str">
        <f aca="false">IF(J310="","",IF(COUNTIF(Brand_Log!$A$2:$A$201,J310)&gt;0,"Y","N"))</f>
        <v/>
      </c>
      <c r="N310" s="34" t="str">
        <f aca="false">IF(OR(J310="",AND(LEFT(J310,6)="SAMPLE",Config!$B$19&lt;&gt;"Y")),"",IF(IFERROR(INDEX(Lists!$K$2:$K$15,MATCH(K310,Lists!$J$2:$J$15,0)),-1)=-1,"status '"&amp;K310&amp;"' is not a CONTRACTS status",IF(AND(K310="paid",COUNTIF(paid_brands!$AC$2:$AC$51,J310)=0),"status paid but no paid_brands row"&amp;IF(M310="N"," and no tracker row",""),IF(AND(IFERROR(INDEX(Lists!$K$2:$K$15,MATCH(K310,Lists!$J$2:$J$15,0)),-1)&gt;=6,M310="N"),"status "&amp;K310&amp;" but no tracker row",IF(AND(L310="Y",K310&lt;&gt;"do_not_contact"),"do_not_contact = Y but status is "&amp;K310,IF(AND(K310="do_not_contact",L310&lt;&gt;"Y"),"status do_not_contact but do_not_contact is not Y",""))))))</f>
        <v/>
      </c>
    </row>
    <row r="311" customFormat="false" ht="15" hidden="false" customHeight="false" outlineLevel="0" collapsed="false">
      <c r="B311" s="23" t="n">
        <v>290</v>
      </c>
      <c r="C311" s="23" t="str">
        <f aca="false">IFERROR(INDEX(Clay_Offices!$A$2:$FZ$601,B311,$C$5)&amp;"","")</f>
        <v/>
      </c>
      <c r="D311" s="23" t="str">
        <f aca="false">IFERROR(INDEX(Clay_Offices!$A$2:$FZ$601,B311,$C$7)&amp;"","")</f>
        <v/>
      </c>
      <c r="E311" s="23" t="str">
        <f aca="false">IFERROR(INDEX(Clay_Offices!$A$2:$FZ$601,B311,$C$8)&amp;"","")</f>
        <v/>
      </c>
      <c r="F311" s="23" t="str">
        <f aca="false">IF(C311="","",IF(COUNTIF(Office_Log!$A$2:$A$201,C311)&gt;0,"Y","N"))</f>
        <v/>
      </c>
      <c r="G311" s="34" t="str">
        <f aca="false">IF(OR(C311="",AND(LEFT(C311,6)="SAMPLE",Config!$B$19&lt;&gt;"Y")),"",IF(IFERROR(INDEX(Lists!$K$2:$K$15,MATCH(D311,Lists!$J$2:$J$15,0)),-1)=-1,"status '"&amp;D311&amp;"' is not a CONTRACTS status",IF(AND(D311="signed",COUNTIF(signed_offices!$W$2:$W$51,C311)=0),"status signed but no signed_offices row"&amp;IF(F311="N"," and no tracker row",""),IF(AND(IFERROR(INDEX(Lists!$K$2:$K$15,MATCH(D311,Lists!$J$2:$J$15,0)),-1)&gt;=6,F311="N"),"status "&amp;D311&amp;" but no tracker row",IF(AND(E311="Y",D311&lt;&gt;"do_not_contact"),"do_not_contact = Y but status is "&amp;D311,IF(AND(D311="do_not_contact",E311&lt;&gt;"Y"),"status do_not_contact but do_not_contact is not Y",""))))))</f>
        <v/>
      </c>
      <c r="I311" s="23" t="n">
        <v>290</v>
      </c>
      <c r="J311" s="23" t="str">
        <f aca="false">IFERROR(INDEX(Clay_Brands!$A$2:$FZ$601,I311,$D$5)&amp;"","")</f>
        <v/>
      </c>
      <c r="K311" s="23" t="str">
        <f aca="false">IFERROR(INDEX(Clay_Brands!$A$2:$FZ$601,I311,$D$7)&amp;"","")</f>
        <v/>
      </c>
      <c r="L311" s="23" t="str">
        <f aca="false">IFERROR(INDEX(Clay_Brands!$A$2:$FZ$601,I311,$D$8)&amp;"","")</f>
        <v/>
      </c>
      <c r="M311" s="23" t="str">
        <f aca="false">IF(J311="","",IF(COUNTIF(Brand_Log!$A$2:$A$201,J311)&gt;0,"Y","N"))</f>
        <v/>
      </c>
      <c r="N311" s="34" t="str">
        <f aca="false">IF(OR(J311="",AND(LEFT(J311,6)="SAMPLE",Config!$B$19&lt;&gt;"Y")),"",IF(IFERROR(INDEX(Lists!$K$2:$K$15,MATCH(K311,Lists!$J$2:$J$15,0)),-1)=-1,"status '"&amp;K311&amp;"' is not a CONTRACTS status",IF(AND(K311="paid",COUNTIF(paid_brands!$AC$2:$AC$51,J311)=0),"status paid but no paid_brands row"&amp;IF(M311="N"," and no tracker row",""),IF(AND(IFERROR(INDEX(Lists!$K$2:$K$15,MATCH(K311,Lists!$J$2:$J$15,0)),-1)&gt;=6,M311="N"),"status "&amp;K311&amp;" but no tracker row",IF(AND(L311="Y",K311&lt;&gt;"do_not_contact"),"do_not_contact = Y but status is "&amp;K311,IF(AND(K311="do_not_contact",L311&lt;&gt;"Y"),"status do_not_contact but do_not_contact is not Y",""))))))</f>
        <v/>
      </c>
    </row>
    <row r="312" customFormat="false" ht="15" hidden="false" customHeight="false" outlineLevel="0" collapsed="false">
      <c r="B312" s="23" t="n">
        <v>291</v>
      </c>
      <c r="C312" s="23" t="str">
        <f aca="false">IFERROR(INDEX(Clay_Offices!$A$2:$FZ$601,B312,$C$5)&amp;"","")</f>
        <v/>
      </c>
      <c r="D312" s="23" t="str">
        <f aca="false">IFERROR(INDEX(Clay_Offices!$A$2:$FZ$601,B312,$C$7)&amp;"","")</f>
        <v/>
      </c>
      <c r="E312" s="23" t="str">
        <f aca="false">IFERROR(INDEX(Clay_Offices!$A$2:$FZ$601,B312,$C$8)&amp;"","")</f>
        <v/>
      </c>
      <c r="F312" s="23" t="str">
        <f aca="false">IF(C312="","",IF(COUNTIF(Office_Log!$A$2:$A$201,C312)&gt;0,"Y","N"))</f>
        <v/>
      </c>
      <c r="G312" s="34" t="str">
        <f aca="false">IF(OR(C312="",AND(LEFT(C312,6)="SAMPLE",Config!$B$19&lt;&gt;"Y")),"",IF(IFERROR(INDEX(Lists!$K$2:$K$15,MATCH(D312,Lists!$J$2:$J$15,0)),-1)=-1,"status '"&amp;D312&amp;"' is not a CONTRACTS status",IF(AND(D312="signed",COUNTIF(signed_offices!$W$2:$W$51,C312)=0),"status signed but no signed_offices row"&amp;IF(F312="N"," and no tracker row",""),IF(AND(IFERROR(INDEX(Lists!$K$2:$K$15,MATCH(D312,Lists!$J$2:$J$15,0)),-1)&gt;=6,F312="N"),"status "&amp;D312&amp;" but no tracker row",IF(AND(E312="Y",D312&lt;&gt;"do_not_contact"),"do_not_contact = Y but status is "&amp;D312,IF(AND(D312="do_not_contact",E312&lt;&gt;"Y"),"status do_not_contact but do_not_contact is not Y",""))))))</f>
        <v/>
      </c>
      <c r="I312" s="23" t="n">
        <v>291</v>
      </c>
      <c r="J312" s="23" t="str">
        <f aca="false">IFERROR(INDEX(Clay_Brands!$A$2:$FZ$601,I312,$D$5)&amp;"","")</f>
        <v/>
      </c>
      <c r="K312" s="23" t="str">
        <f aca="false">IFERROR(INDEX(Clay_Brands!$A$2:$FZ$601,I312,$D$7)&amp;"","")</f>
        <v/>
      </c>
      <c r="L312" s="23" t="str">
        <f aca="false">IFERROR(INDEX(Clay_Brands!$A$2:$FZ$601,I312,$D$8)&amp;"","")</f>
        <v/>
      </c>
      <c r="M312" s="23" t="str">
        <f aca="false">IF(J312="","",IF(COUNTIF(Brand_Log!$A$2:$A$201,J312)&gt;0,"Y","N"))</f>
        <v/>
      </c>
      <c r="N312" s="34" t="str">
        <f aca="false">IF(OR(J312="",AND(LEFT(J312,6)="SAMPLE",Config!$B$19&lt;&gt;"Y")),"",IF(IFERROR(INDEX(Lists!$K$2:$K$15,MATCH(K312,Lists!$J$2:$J$15,0)),-1)=-1,"status '"&amp;K312&amp;"' is not a CONTRACTS status",IF(AND(K312="paid",COUNTIF(paid_brands!$AC$2:$AC$51,J312)=0),"status paid but no paid_brands row"&amp;IF(M312="N"," and no tracker row",""),IF(AND(IFERROR(INDEX(Lists!$K$2:$K$15,MATCH(K312,Lists!$J$2:$J$15,0)),-1)&gt;=6,M312="N"),"status "&amp;K312&amp;" but no tracker row",IF(AND(L312="Y",K312&lt;&gt;"do_not_contact"),"do_not_contact = Y but status is "&amp;K312,IF(AND(K312="do_not_contact",L312&lt;&gt;"Y"),"status do_not_contact but do_not_contact is not Y",""))))))</f>
        <v/>
      </c>
    </row>
    <row r="313" customFormat="false" ht="15" hidden="false" customHeight="false" outlineLevel="0" collapsed="false">
      <c r="B313" s="23" t="n">
        <v>292</v>
      </c>
      <c r="C313" s="23" t="str">
        <f aca="false">IFERROR(INDEX(Clay_Offices!$A$2:$FZ$601,B313,$C$5)&amp;"","")</f>
        <v/>
      </c>
      <c r="D313" s="23" t="str">
        <f aca="false">IFERROR(INDEX(Clay_Offices!$A$2:$FZ$601,B313,$C$7)&amp;"","")</f>
        <v/>
      </c>
      <c r="E313" s="23" t="str">
        <f aca="false">IFERROR(INDEX(Clay_Offices!$A$2:$FZ$601,B313,$C$8)&amp;"","")</f>
        <v/>
      </c>
      <c r="F313" s="23" t="str">
        <f aca="false">IF(C313="","",IF(COUNTIF(Office_Log!$A$2:$A$201,C313)&gt;0,"Y","N"))</f>
        <v/>
      </c>
      <c r="G313" s="34" t="str">
        <f aca="false">IF(OR(C313="",AND(LEFT(C313,6)="SAMPLE",Config!$B$19&lt;&gt;"Y")),"",IF(IFERROR(INDEX(Lists!$K$2:$K$15,MATCH(D313,Lists!$J$2:$J$15,0)),-1)=-1,"status '"&amp;D313&amp;"' is not a CONTRACTS status",IF(AND(D313="signed",COUNTIF(signed_offices!$W$2:$W$51,C313)=0),"status signed but no signed_offices row"&amp;IF(F313="N"," and no tracker row",""),IF(AND(IFERROR(INDEX(Lists!$K$2:$K$15,MATCH(D313,Lists!$J$2:$J$15,0)),-1)&gt;=6,F313="N"),"status "&amp;D313&amp;" but no tracker row",IF(AND(E313="Y",D313&lt;&gt;"do_not_contact"),"do_not_contact = Y but status is "&amp;D313,IF(AND(D313="do_not_contact",E313&lt;&gt;"Y"),"status do_not_contact but do_not_contact is not Y",""))))))</f>
        <v/>
      </c>
      <c r="I313" s="23" t="n">
        <v>292</v>
      </c>
      <c r="J313" s="23" t="str">
        <f aca="false">IFERROR(INDEX(Clay_Brands!$A$2:$FZ$601,I313,$D$5)&amp;"","")</f>
        <v/>
      </c>
      <c r="K313" s="23" t="str">
        <f aca="false">IFERROR(INDEX(Clay_Brands!$A$2:$FZ$601,I313,$D$7)&amp;"","")</f>
        <v/>
      </c>
      <c r="L313" s="23" t="str">
        <f aca="false">IFERROR(INDEX(Clay_Brands!$A$2:$FZ$601,I313,$D$8)&amp;"","")</f>
        <v/>
      </c>
      <c r="M313" s="23" t="str">
        <f aca="false">IF(J313="","",IF(COUNTIF(Brand_Log!$A$2:$A$201,J313)&gt;0,"Y","N"))</f>
        <v/>
      </c>
      <c r="N313" s="34" t="str">
        <f aca="false">IF(OR(J313="",AND(LEFT(J313,6)="SAMPLE",Config!$B$19&lt;&gt;"Y")),"",IF(IFERROR(INDEX(Lists!$K$2:$K$15,MATCH(K313,Lists!$J$2:$J$15,0)),-1)=-1,"status '"&amp;K313&amp;"' is not a CONTRACTS status",IF(AND(K313="paid",COUNTIF(paid_brands!$AC$2:$AC$51,J313)=0),"status paid but no paid_brands row"&amp;IF(M313="N"," and no tracker row",""),IF(AND(IFERROR(INDEX(Lists!$K$2:$K$15,MATCH(K313,Lists!$J$2:$J$15,0)),-1)&gt;=6,M313="N"),"status "&amp;K313&amp;" but no tracker row",IF(AND(L313="Y",K313&lt;&gt;"do_not_contact"),"do_not_contact = Y but status is "&amp;K313,IF(AND(K313="do_not_contact",L313&lt;&gt;"Y"),"status do_not_contact but do_not_contact is not Y",""))))))</f>
        <v/>
      </c>
    </row>
    <row r="314" customFormat="false" ht="15" hidden="false" customHeight="false" outlineLevel="0" collapsed="false">
      <c r="B314" s="23" t="n">
        <v>293</v>
      </c>
      <c r="C314" s="23" t="str">
        <f aca="false">IFERROR(INDEX(Clay_Offices!$A$2:$FZ$601,B314,$C$5)&amp;"","")</f>
        <v/>
      </c>
      <c r="D314" s="23" t="str">
        <f aca="false">IFERROR(INDEX(Clay_Offices!$A$2:$FZ$601,B314,$C$7)&amp;"","")</f>
        <v/>
      </c>
      <c r="E314" s="23" t="str">
        <f aca="false">IFERROR(INDEX(Clay_Offices!$A$2:$FZ$601,B314,$C$8)&amp;"","")</f>
        <v/>
      </c>
      <c r="F314" s="23" t="str">
        <f aca="false">IF(C314="","",IF(COUNTIF(Office_Log!$A$2:$A$201,C314)&gt;0,"Y","N"))</f>
        <v/>
      </c>
      <c r="G314" s="34" t="str">
        <f aca="false">IF(OR(C314="",AND(LEFT(C314,6)="SAMPLE",Config!$B$19&lt;&gt;"Y")),"",IF(IFERROR(INDEX(Lists!$K$2:$K$15,MATCH(D314,Lists!$J$2:$J$15,0)),-1)=-1,"status '"&amp;D314&amp;"' is not a CONTRACTS status",IF(AND(D314="signed",COUNTIF(signed_offices!$W$2:$W$51,C314)=0),"status signed but no signed_offices row"&amp;IF(F314="N"," and no tracker row",""),IF(AND(IFERROR(INDEX(Lists!$K$2:$K$15,MATCH(D314,Lists!$J$2:$J$15,0)),-1)&gt;=6,F314="N"),"status "&amp;D314&amp;" but no tracker row",IF(AND(E314="Y",D314&lt;&gt;"do_not_contact"),"do_not_contact = Y but status is "&amp;D314,IF(AND(D314="do_not_contact",E314&lt;&gt;"Y"),"status do_not_contact but do_not_contact is not Y",""))))))</f>
        <v/>
      </c>
      <c r="I314" s="23" t="n">
        <v>293</v>
      </c>
      <c r="J314" s="23" t="str">
        <f aca="false">IFERROR(INDEX(Clay_Brands!$A$2:$FZ$601,I314,$D$5)&amp;"","")</f>
        <v/>
      </c>
      <c r="K314" s="23" t="str">
        <f aca="false">IFERROR(INDEX(Clay_Brands!$A$2:$FZ$601,I314,$D$7)&amp;"","")</f>
        <v/>
      </c>
      <c r="L314" s="23" t="str">
        <f aca="false">IFERROR(INDEX(Clay_Brands!$A$2:$FZ$601,I314,$D$8)&amp;"","")</f>
        <v/>
      </c>
      <c r="M314" s="23" t="str">
        <f aca="false">IF(J314="","",IF(COUNTIF(Brand_Log!$A$2:$A$201,J314)&gt;0,"Y","N"))</f>
        <v/>
      </c>
      <c r="N314" s="34" t="str">
        <f aca="false">IF(OR(J314="",AND(LEFT(J314,6)="SAMPLE",Config!$B$19&lt;&gt;"Y")),"",IF(IFERROR(INDEX(Lists!$K$2:$K$15,MATCH(K314,Lists!$J$2:$J$15,0)),-1)=-1,"status '"&amp;K314&amp;"' is not a CONTRACTS status",IF(AND(K314="paid",COUNTIF(paid_brands!$AC$2:$AC$51,J314)=0),"status paid but no paid_brands row"&amp;IF(M314="N"," and no tracker row",""),IF(AND(IFERROR(INDEX(Lists!$K$2:$K$15,MATCH(K314,Lists!$J$2:$J$15,0)),-1)&gt;=6,M314="N"),"status "&amp;K314&amp;" but no tracker row",IF(AND(L314="Y",K314&lt;&gt;"do_not_contact"),"do_not_contact = Y but status is "&amp;K314,IF(AND(K314="do_not_contact",L314&lt;&gt;"Y"),"status do_not_contact but do_not_contact is not Y",""))))))</f>
        <v/>
      </c>
    </row>
    <row r="315" customFormat="false" ht="15" hidden="false" customHeight="false" outlineLevel="0" collapsed="false">
      <c r="B315" s="23" t="n">
        <v>294</v>
      </c>
      <c r="C315" s="23" t="str">
        <f aca="false">IFERROR(INDEX(Clay_Offices!$A$2:$FZ$601,B315,$C$5)&amp;"","")</f>
        <v/>
      </c>
      <c r="D315" s="23" t="str">
        <f aca="false">IFERROR(INDEX(Clay_Offices!$A$2:$FZ$601,B315,$C$7)&amp;"","")</f>
        <v/>
      </c>
      <c r="E315" s="23" t="str">
        <f aca="false">IFERROR(INDEX(Clay_Offices!$A$2:$FZ$601,B315,$C$8)&amp;"","")</f>
        <v/>
      </c>
      <c r="F315" s="23" t="str">
        <f aca="false">IF(C315="","",IF(COUNTIF(Office_Log!$A$2:$A$201,C315)&gt;0,"Y","N"))</f>
        <v/>
      </c>
      <c r="G315" s="34" t="str">
        <f aca="false">IF(OR(C315="",AND(LEFT(C315,6)="SAMPLE",Config!$B$19&lt;&gt;"Y")),"",IF(IFERROR(INDEX(Lists!$K$2:$K$15,MATCH(D315,Lists!$J$2:$J$15,0)),-1)=-1,"status '"&amp;D315&amp;"' is not a CONTRACTS status",IF(AND(D315="signed",COUNTIF(signed_offices!$W$2:$W$51,C315)=0),"status signed but no signed_offices row"&amp;IF(F315="N"," and no tracker row",""),IF(AND(IFERROR(INDEX(Lists!$K$2:$K$15,MATCH(D315,Lists!$J$2:$J$15,0)),-1)&gt;=6,F315="N"),"status "&amp;D315&amp;" but no tracker row",IF(AND(E315="Y",D315&lt;&gt;"do_not_contact"),"do_not_contact = Y but status is "&amp;D315,IF(AND(D315="do_not_contact",E315&lt;&gt;"Y"),"status do_not_contact but do_not_contact is not Y",""))))))</f>
        <v/>
      </c>
      <c r="I315" s="23" t="n">
        <v>294</v>
      </c>
      <c r="J315" s="23" t="str">
        <f aca="false">IFERROR(INDEX(Clay_Brands!$A$2:$FZ$601,I315,$D$5)&amp;"","")</f>
        <v/>
      </c>
      <c r="K315" s="23" t="str">
        <f aca="false">IFERROR(INDEX(Clay_Brands!$A$2:$FZ$601,I315,$D$7)&amp;"","")</f>
        <v/>
      </c>
      <c r="L315" s="23" t="str">
        <f aca="false">IFERROR(INDEX(Clay_Brands!$A$2:$FZ$601,I315,$D$8)&amp;"","")</f>
        <v/>
      </c>
      <c r="M315" s="23" t="str">
        <f aca="false">IF(J315="","",IF(COUNTIF(Brand_Log!$A$2:$A$201,J315)&gt;0,"Y","N"))</f>
        <v/>
      </c>
      <c r="N315" s="34" t="str">
        <f aca="false">IF(OR(J315="",AND(LEFT(J315,6)="SAMPLE",Config!$B$19&lt;&gt;"Y")),"",IF(IFERROR(INDEX(Lists!$K$2:$K$15,MATCH(K315,Lists!$J$2:$J$15,0)),-1)=-1,"status '"&amp;K315&amp;"' is not a CONTRACTS status",IF(AND(K315="paid",COUNTIF(paid_brands!$AC$2:$AC$51,J315)=0),"status paid but no paid_brands row"&amp;IF(M315="N"," and no tracker row",""),IF(AND(IFERROR(INDEX(Lists!$K$2:$K$15,MATCH(K315,Lists!$J$2:$J$15,0)),-1)&gt;=6,M315="N"),"status "&amp;K315&amp;" but no tracker row",IF(AND(L315="Y",K315&lt;&gt;"do_not_contact"),"do_not_contact = Y but status is "&amp;K315,IF(AND(K315="do_not_contact",L315&lt;&gt;"Y"),"status do_not_contact but do_not_contact is not Y",""))))))</f>
        <v/>
      </c>
    </row>
    <row r="316" customFormat="false" ht="15" hidden="false" customHeight="false" outlineLevel="0" collapsed="false">
      <c r="B316" s="23" t="n">
        <v>295</v>
      </c>
      <c r="C316" s="23" t="str">
        <f aca="false">IFERROR(INDEX(Clay_Offices!$A$2:$FZ$601,B316,$C$5)&amp;"","")</f>
        <v/>
      </c>
      <c r="D316" s="23" t="str">
        <f aca="false">IFERROR(INDEX(Clay_Offices!$A$2:$FZ$601,B316,$C$7)&amp;"","")</f>
        <v/>
      </c>
      <c r="E316" s="23" t="str">
        <f aca="false">IFERROR(INDEX(Clay_Offices!$A$2:$FZ$601,B316,$C$8)&amp;"","")</f>
        <v/>
      </c>
      <c r="F316" s="23" t="str">
        <f aca="false">IF(C316="","",IF(COUNTIF(Office_Log!$A$2:$A$201,C316)&gt;0,"Y","N"))</f>
        <v/>
      </c>
      <c r="G316" s="34" t="str">
        <f aca="false">IF(OR(C316="",AND(LEFT(C316,6)="SAMPLE",Config!$B$19&lt;&gt;"Y")),"",IF(IFERROR(INDEX(Lists!$K$2:$K$15,MATCH(D316,Lists!$J$2:$J$15,0)),-1)=-1,"status '"&amp;D316&amp;"' is not a CONTRACTS status",IF(AND(D316="signed",COUNTIF(signed_offices!$W$2:$W$51,C316)=0),"status signed but no signed_offices row"&amp;IF(F316="N"," and no tracker row",""),IF(AND(IFERROR(INDEX(Lists!$K$2:$K$15,MATCH(D316,Lists!$J$2:$J$15,0)),-1)&gt;=6,F316="N"),"status "&amp;D316&amp;" but no tracker row",IF(AND(E316="Y",D316&lt;&gt;"do_not_contact"),"do_not_contact = Y but status is "&amp;D316,IF(AND(D316="do_not_contact",E316&lt;&gt;"Y"),"status do_not_contact but do_not_contact is not Y",""))))))</f>
        <v/>
      </c>
      <c r="I316" s="23" t="n">
        <v>295</v>
      </c>
      <c r="J316" s="23" t="str">
        <f aca="false">IFERROR(INDEX(Clay_Brands!$A$2:$FZ$601,I316,$D$5)&amp;"","")</f>
        <v/>
      </c>
      <c r="K316" s="23" t="str">
        <f aca="false">IFERROR(INDEX(Clay_Brands!$A$2:$FZ$601,I316,$D$7)&amp;"","")</f>
        <v/>
      </c>
      <c r="L316" s="23" t="str">
        <f aca="false">IFERROR(INDEX(Clay_Brands!$A$2:$FZ$601,I316,$D$8)&amp;"","")</f>
        <v/>
      </c>
      <c r="M316" s="23" t="str">
        <f aca="false">IF(J316="","",IF(COUNTIF(Brand_Log!$A$2:$A$201,J316)&gt;0,"Y","N"))</f>
        <v/>
      </c>
      <c r="N316" s="34" t="str">
        <f aca="false">IF(OR(J316="",AND(LEFT(J316,6)="SAMPLE",Config!$B$19&lt;&gt;"Y")),"",IF(IFERROR(INDEX(Lists!$K$2:$K$15,MATCH(K316,Lists!$J$2:$J$15,0)),-1)=-1,"status '"&amp;K316&amp;"' is not a CONTRACTS status",IF(AND(K316="paid",COUNTIF(paid_brands!$AC$2:$AC$51,J316)=0),"status paid but no paid_brands row"&amp;IF(M316="N"," and no tracker row",""),IF(AND(IFERROR(INDEX(Lists!$K$2:$K$15,MATCH(K316,Lists!$J$2:$J$15,0)),-1)&gt;=6,M316="N"),"status "&amp;K316&amp;" but no tracker row",IF(AND(L316="Y",K316&lt;&gt;"do_not_contact"),"do_not_contact = Y but status is "&amp;K316,IF(AND(K316="do_not_contact",L316&lt;&gt;"Y"),"status do_not_contact but do_not_contact is not Y",""))))))</f>
        <v/>
      </c>
    </row>
    <row r="317" customFormat="false" ht="15" hidden="false" customHeight="false" outlineLevel="0" collapsed="false">
      <c r="B317" s="23" t="n">
        <v>296</v>
      </c>
      <c r="C317" s="23" t="str">
        <f aca="false">IFERROR(INDEX(Clay_Offices!$A$2:$FZ$601,B317,$C$5)&amp;"","")</f>
        <v/>
      </c>
      <c r="D317" s="23" t="str">
        <f aca="false">IFERROR(INDEX(Clay_Offices!$A$2:$FZ$601,B317,$C$7)&amp;"","")</f>
        <v/>
      </c>
      <c r="E317" s="23" t="str">
        <f aca="false">IFERROR(INDEX(Clay_Offices!$A$2:$FZ$601,B317,$C$8)&amp;"","")</f>
        <v/>
      </c>
      <c r="F317" s="23" t="str">
        <f aca="false">IF(C317="","",IF(COUNTIF(Office_Log!$A$2:$A$201,C317)&gt;0,"Y","N"))</f>
        <v/>
      </c>
      <c r="G317" s="34" t="str">
        <f aca="false">IF(OR(C317="",AND(LEFT(C317,6)="SAMPLE",Config!$B$19&lt;&gt;"Y")),"",IF(IFERROR(INDEX(Lists!$K$2:$K$15,MATCH(D317,Lists!$J$2:$J$15,0)),-1)=-1,"status '"&amp;D317&amp;"' is not a CONTRACTS status",IF(AND(D317="signed",COUNTIF(signed_offices!$W$2:$W$51,C317)=0),"status signed but no signed_offices row"&amp;IF(F317="N"," and no tracker row",""),IF(AND(IFERROR(INDEX(Lists!$K$2:$K$15,MATCH(D317,Lists!$J$2:$J$15,0)),-1)&gt;=6,F317="N"),"status "&amp;D317&amp;" but no tracker row",IF(AND(E317="Y",D317&lt;&gt;"do_not_contact"),"do_not_contact = Y but status is "&amp;D317,IF(AND(D317="do_not_contact",E317&lt;&gt;"Y"),"status do_not_contact but do_not_contact is not Y",""))))))</f>
        <v/>
      </c>
      <c r="I317" s="23" t="n">
        <v>296</v>
      </c>
      <c r="J317" s="23" t="str">
        <f aca="false">IFERROR(INDEX(Clay_Brands!$A$2:$FZ$601,I317,$D$5)&amp;"","")</f>
        <v/>
      </c>
      <c r="K317" s="23" t="str">
        <f aca="false">IFERROR(INDEX(Clay_Brands!$A$2:$FZ$601,I317,$D$7)&amp;"","")</f>
        <v/>
      </c>
      <c r="L317" s="23" t="str">
        <f aca="false">IFERROR(INDEX(Clay_Brands!$A$2:$FZ$601,I317,$D$8)&amp;"","")</f>
        <v/>
      </c>
      <c r="M317" s="23" t="str">
        <f aca="false">IF(J317="","",IF(COUNTIF(Brand_Log!$A$2:$A$201,J317)&gt;0,"Y","N"))</f>
        <v/>
      </c>
      <c r="N317" s="34" t="str">
        <f aca="false">IF(OR(J317="",AND(LEFT(J317,6)="SAMPLE",Config!$B$19&lt;&gt;"Y")),"",IF(IFERROR(INDEX(Lists!$K$2:$K$15,MATCH(K317,Lists!$J$2:$J$15,0)),-1)=-1,"status '"&amp;K317&amp;"' is not a CONTRACTS status",IF(AND(K317="paid",COUNTIF(paid_brands!$AC$2:$AC$51,J317)=0),"status paid but no paid_brands row"&amp;IF(M317="N"," and no tracker row",""),IF(AND(IFERROR(INDEX(Lists!$K$2:$K$15,MATCH(K317,Lists!$J$2:$J$15,0)),-1)&gt;=6,M317="N"),"status "&amp;K317&amp;" but no tracker row",IF(AND(L317="Y",K317&lt;&gt;"do_not_contact"),"do_not_contact = Y but status is "&amp;K317,IF(AND(K317="do_not_contact",L317&lt;&gt;"Y"),"status do_not_contact but do_not_contact is not Y",""))))))</f>
        <v/>
      </c>
    </row>
    <row r="318" customFormat="false" ht="15" hidden="false" customHeight="false" outlineLevel="0" collapsed="false">
      <c r="B318" s="23" t="n">
        <v>297</v>
      </c>
      <c r="C318" s="23" t="str">
        <f aca="false">IFERROR(INDEX(Clay_Offices!$A$2:$FZ$601,B318,$C$5)&amp;"","")</f>
        <v/>
      </c>
      <c r="D318" s="23" t="str">
        <f aca="false">IFERROR(INDEX(Clay_Offices!$A$2:$FZ$601,B318,$C$7)&amp;"","")</f>
        <v/>
      </c>
      <c r="E318" s="23" t="str">
        <f aca="false">IFERROR(INDEX(Clay_Offices!$A$2:$FZ$601,B318,$C$8)&amp;"","")</f>
        <v/>
      </c>
      <c r="F318" s="23" t="str">
        <f aca="false">IF(C318="","",IF(COUNTIF(Office_Log!$A$2:$A$201,C318)&gt;0,"Y","N"))</f>
        <v/>
      </c>
      <c r="G318" s="34" t="str">
        <f aca="false">IF(OR(C318="",AND(LEFT(C318,6)="SAMPLE",Config!$B$19&lt;&gt;"Y")),"",IF(IFERROR(INDEX(Lists!$K$2:$K$15,MATCH(D318,Lists!$J$2:$J$15,0)),-1)=-1,"status '"&amp;D318&amp;"' is not a CONTRACTS status",IF(AND(D318="signed",COUNTIF(signed_offices!$W$2:$W$51,C318)=0),"status signed but no signed_offices row"&amp;IF(F318="N"," and no tracker row",""),IF(AND(IFERROR(INDEX(Lists!$K$2:$K$15,MATCH(D318,Lists!$J$2:$J$15,0)),-1)&gt;=6,F318="N"),"status "&amp;D318&amp;" but no tracker row",IF(AND(E318="Y",D318&lt;&gt;"do_not_contact"),"do_not_contact = Y but status is "&amp;D318,IF(AND(D318="do_not_contact",E318&lt;&gt;"Y"),"status do_not_contact but do_not_contact is not Y",""))))))</f>
        <v/>
      </c>
      <c r="I318" s="23" t="n">
        <v>297</v>
      </c>
      <c r="J318" s="23" t="str">
        <f aca="false">IFERROR(INDEX(Clay_Brands!$A$2:$FZ$601,I318,$D$5)&amp;"","")</f>
        <v/>
      </c>
      <c r="K318" s="23" t="str">
        <f aca="false">IFERROR(INDEX(Clay_Brands!$A$2:$FZ$601,I318,$D$7)&amp;"","")</f>
        <v/>
      </c>
      <c r="L318" s="23" t="str">
        <f aca="false">IFERROR(INDEX(Clay_Brands!$A$2:$FZ$601,I318,$D$8)&amp;"","")</f>
        <v/>
      </c>
      <c r="M318" s="23" t="str">
        <f aca="false">IF(J318="","",IF(COUNTIF(Brand_Log!$A$2:$A$201,J318)&gt;0,"Y","N"))</f>
        <v/>
      </c>
      <c r="N318" s="34" t="str">
        <f aca="false">IF(OR(J318="",AND(LEFT(J318,6)="SAMPLE",Config!$B$19&lt;&gt;"Y")),"",IF(IFERROR(INDEX(Lists!$K$2:$K$15,MATCH(K318,Lists!$J$2:$J$15,0)),-1)=-1,"status '"&amp;K318&amp;"' is not a CONTRACTS status",IF(AND(K318="paid",COUNTIF(paid_brands!$AC$2:$AC$51,J318)=0),"status paid but no paid_brands row"&amp;IF(M318="N"," and no tracker row",""),IF(AND(IFERROR(INDEX(Lists!$K$2:$K$15,MATCH(K318,Lists!$J$2:$J$15,0)),-1)&gt;=6,M318="N"),"status "&amp;K318&amp;" but no tracker row",IF(AND(L318="Y",K318&lt;&gt;"do_not_contact"),"do_not_contact = Y but status is "&amp;K318,IF(AND(K318="do_not_contact",L318&lt;&gt;"Y"),"status do_not_contact but do_not_contact is not Y",""))))))</f>
        <v/>
      </c>
    </row>
    <row r="319" customFormat="false" ht="15" hidden="false" customHeight="false" outlineLevel="0" collapsed="false">
      <c r="B319" s="23" t="n">
        <v>298</v>
      </c>
      <c r="C319" s="23" t="str">
        <f aca="false">IFERROR(INDEX(Clay_Offices!$A$2:$FZ$601,B319,$C$5)&amp;"","")</f>
        <v/>
      </c>
      <c r="D319" s="23" t="str">
        <f aca="false">IFERROR(INDEX(Clay_Offices!$A$2:$FZ$601,B319,$C$7)&amp;"","")</f>
        <v/>
      </c>
      <c r="E319" s="23" t="str">
        <f aca="false">IFERROR(INDEX(Clay_Offices!$A$2:$FZ$601,B319,$C$8)&amp;"","")</f>
        <v/>
      </c>
      <c r="F319" s="23" t="str">
        <f aca="false">IF(C319="","",IF(COUNTIF(Office_Log!$A$2:$A$201,C319)&gt;0,"Y","N"))</f>
        <v/>
      </c>
      <c r="G319" s="34" t="str">
        <f aca="false">IF(OR(C319="",AND(LEFT(C319,6)="SAMPLE",Config!$B$19&lt;&gt;"Y")),"",IF(IFERROR(INDEX(Lists!$K$2:$K$15,MATCH(D319,Lists!$J$2:$J$15,0)),-1)=-1,"status '"&amp;D319&amp;"' is not a CONTRACTS status",IF(AND(D319="signed",COUNTIF(signed_offices!$W$2:$W$51,C319)=0),"status signed but no signed_offices row"&amp;IF(F319="N"," and no tracker row",""),IF(AND(IFERROR(INDEX(Lists!$K$2:$K$15,MATCH(D319,Lists!$J$2:$J$15,0)),-1)&gt;=6,F319="N"),"status "&amp;D319&amp;" but no tracker row",IF(AND(E319="Y",D319&lt;&gt;"do_not_contact"),"do_not_contact = Y but status is "&amp;D319,IF(AND(D319="do_not_contact",E319&lt;&gt;"Y"),"status do_not_contact but do_not_contact is not Y",""))))))</f>
        <v/>
      </c>
      <c r="I319" s="23" t="n">
        <v>298</v>
      </c>
      <c r="J319" s="23" t="str">
        <f aca="false">IFERROR(INDEX(Clay_Brands!$A$2:$FZ$601,I319,$D$5)&amp;"","")</f>
        <v/>
      </c>
      <c r="K319" s="23" t="str">
        <f aca="false">IFERROR(INDEX(Clay_Brands!$A$2:$FZ$601,I319,$D$7)&amp;"","")</f>
        <v/>
      </c>
      <c r="L319" s="23" t="str">
        <f aca="false">IFERROR(INDEX(Clay_Brands!$A$2:$FZ$601,I319,$D$8)&amp;"","")</f>
        <v/>
      </c>
      <c r="M319" s="23" t="str">
        <f aca="false">IF(J319="","",IF(COUNTIF(Brand_Log!$A$2:$A$201,J319)&gt;0,"Y","N"))</f>
        <v/>
      </c>
      <c r="N319" s="34" t="str">
        <f aca="false">IF(OR(J319="",AND(LEFT(J319,6)="SAMPLE",Config!$B$19&lt;&gt;"Y")),"",IF(IFERROR(INDEX(Lists!$K$2:$K$15,MATCH(K319,Lists!$J$2:$J$15,0)),-1)=-1,"status '"&amp;K319&amp;"' is not a CONTRACTS status",IF(AND(K319="paid",COUNTIF(paid_brands!$AC$2:$AC$51,J319)=0),"status paid but no paid_brands row"&amp;IF(M319="N"," and no tracker row",""),IF(AND(IFERROR(INDEX(Lists!$K$2:$K$15,MATCH(K319,Lists!$J$2:$J$15,0)),-1)&gt;=6,M319="N"),"status "&amp;K319&amp;" but no tracker row",IF(AND(L319="Y",K319&lt;&gt;"do_not_contact"),"do_not_contact = Y but status is "&amp;K319,IF(AND(K319="do_not_contact",L319&lt;&gt;"Y"),"status do_not_contact but do_not_contact is not Y",""))))))</f>
        <v/>
      </c>
    </row>
    <row r="320" customFormat="false" ht="15" hidden="false" customHeight="false" outlineLevel="0" collapsed="false">
      <c r="B320" s="23" t="n">
        <v>299</v>
      </c>
      <c r="C320" s="23" t="str">
        <f aca="false">IFERROR(INDEX(Clay_Offices!$A$2:$FZ$601,B320,$C$5)&amp;"","")</f>
        <v/>
      </c>
      <c r="D320" s="23" t="str">
        <f aca="false">IFERROR(INDEX(Clay_Offices!$A$2:$FZ$601,B320,$C$7)&amp;"","")</f>
        <v/>
      </c>
      <c r="E320" s="23" t="str">
        <f aca="false">IFERROR(INDEX(Clay_Offices!$A$2:$FZ$601,B320,$C$8)&amp;"","")</f>
        <v/>
      </c>
      <c r="F320" s="23" t="str">
        <f aca="false">IF(C320="","",IF(COUNTIF(Office_Log!$A$2:$A$201,C320)&gt;0,"Y","N"))</f>
        <v/>
      </c>
      <c r="G320" s="34" t="str">
        <f aca="false">IF(OR(C320="",AND(LEFT(C320,6)="SAMPLE",Config!$B$19&lt;&gt;"Y")),"",IF(IFERROR(INDEX(Lists!$K$2:$K$15,MATCH(D320,Lists!$J$2:$J$15,0)),-1)=-1,"status '"&amp;D320&amp;"' is not a CONTRACTS status",IF(AND(D320="signed",COUNTIF(signed_offices!$W$2:$W$51,C320)=0),"status signed but no signed_offices row"&amp;IF(F320="N"," and no tracker row",""),IF(AND(IFERROR(INDEX(Lists!$K$2:$K$15,MATCH(D320,Lists!$J$2:$J$15,0)),-1)&gt;=6,F320="N"),"status "&amp;D320&amp;" but no tracker row",IF(AND(E320="Y",D320&lt;&gt;"do_not_contact"),"do_not_contact = Y but status is "&amp;D320,IF(AND(D320="do_not_contact",E320&lt;&gt;"Y"),"status do_not_contact but do_not_contact is not Y",""))))))</f>
        <v/>
      </c>
      <c r="I320" s="23" t="n">
        <v>299</v>
      </c>
      <c r="J320" s="23" t="str">
        <f aca="false">IFERROR(INDEX(Clay_Brands!$A$2:$FZ$601,I320,$D$5)&amp;"","")</f>
        <v/>
      </c>
      <c r="K320" s="23" t="str">
        <f aca="false">IFERROR(INDEX(Clay_Brands!$A$2:$FZ$601,I320,$D$7)&amp;"","")</f>
        <v/>
      </c>
      <c r="L320" s="23" t="str">
        <f aca="false">IFERROR(INDEX(Clay_Brands!$A$2:$FZ$601,I320,$D$8)&amp;"","")</f>
        <v/>
      </c>
      <c r="M320" s="23" t="str">
        <f aca="false">IF(J320="","",IF(COUNTIF(Brand_Log!$A$2:$A$201,J320)&gt;0,"Y","N"))</f>
        <v/>
      </c>
      <c r="N320" s="34" t="str">
        <f aca="false">IF(OR(J320="",AND(LEFT(J320,6)="SAMPLE",Config!$B$19&lt;&gt;"Y")),"",IF(IFERROR(INDEX(Lists!$K$2:$K$15,MATCH(K320,Lists!$J$2:$J$15,0)),-1)=-1,"status '"&amp;K320&amp;"' is not a CONTRACTS status",IF(AND(K320="paid",COUNTIF(paid_brands!$AC$2:$AC$51,J320)=0),"status paid but no paid_brands row"&amp;IF(M320="N"," and no tracker row",""),IF(AND(IFERROR(INDEX(Lists!$K$2:$K$15,MATCH(K320,Lists!$J$2:$J$15,0)),-1)&gt;=6,M320="N"),"status "&amp;K320&amp;" but no tracker row",IF(AND(L320="Y",K320&lt;&gt;"do_not_contact"),"do_not_contact = Y but status is "&amp;K320,IF(AND(K320="do_not_contact",L320&lt;&gt;"Y"),"status do_not_contact but do_not_contact is not Y",""))))))</f>
        <v/>
      </c>
    </row>
    <row r="321" customFormat="false" ht="15" hidden="false" customHeight="false" outlineLevel="0" collapsed="false">
      <c r="B321" s="23" t="n">
        <v>300</v>
      </c>
      <c r="C321" s="23" t="str">
        <f aca="false">IFERROR(INDEX(Clay_Offices!$A$2:$FZ$601,B321,$C$5)&amp;"","")</f>
        <v/>
      </c>
      <c r="D321" s="23" t="str">
        <f aca="false">IFERROR(INDEX(Clay_Offices!$A$2:$FZ$601,B321,$C$7)&amp;"","")</f>
        <v/>
      </c>
      <c r="E321" s="23" t="str">
        <f aca="false">IFERROR(INDEX(Clay_Offices!$A$2:$FZ$601,B321,$C$8)&amp;"","")</f>
        <v/>
      </c>
      <c r="F321" s="23" t="str">
        <f aca="false">IF(C321="","",IF(COUNTIF(Office_Log!$A$2:$A$201,C321)&gt;0,"Y","N"))</f>
        <v/>
      </c>
      <c r="G321" s="34" t="str">
        <f aca="false">IF(OR(C321="",AND(LEFT(C321,6)="SAMPLE",Config!$B$19&lt;&gt;"Y")),"",IF(IFERROR(INDEX(Lists!$K$2:$K$15,MATCH(D321,Lists!$J$2:$J$15,0)),-1)=-1,"status '"&amp;D321&amp;"' is not a CONTRACTS status",IF(AND(D321="signed",COUNTIF(signed_offices!$W$2:$W$51,C321)=0),"status signed but no signed_offices row"&amp;IF(F321="N"," and no tracker row",""),IF(AND(IFERROR(INDEX(Lists!$K$2:$K$15,MATCH(D321,Lists!$J$2:$J$15,0)),-1)&gt;=6,F321="N"),"status "&amp;D321&amp;" but no tracker row",IF(AND(E321="Y",D321&lt;&gt;"do_not_contact"),"do_not_contact = Y but status is "&amp;D321,IF(AND(D321="do_not_contact",E321&lt;&gt;"Y"),"status do_not_contact but do_not_contact is not Y",""))))))</f>
        <v/>
      </c>
      <c r="I321" s="23" t="n">
        <v>300</v>
      </c>
      <c r="J321" s="23" t="str">
        <f aca="false">IFERROR(INDEX(Clay_Brands!$A$2:$FZ$601,I321,$D$5)&amp;"","")</f>
        <v/>
      </c>
      <c r="K321" s="23" t="str">
        <f aca="false">IFERROR(INDEX(Clay_Brands!$A$2:$FZ$601,I321,$D$7)&amp;"","")</f>
        <v/>
      </c>
      <c r="L321" s="23" t="str">
        <f aca="false">IFERROR(INDEX(Clay_Brands!$A$2:$FZ$601,I321,$D$8)&amp;"","")</f>
        <v/>
      </c>
      <c r="M321" s="23" t="str">
        <f aca="false">IF(J321="","",IF(COUNTIF(Brand_Log!$A$2:$A$201,J321)&gt;0,"Y","N"))</f>
        <v/>
      </c>
      <c r="N321" s="34" t="str">
        <f aca="false">IF(OR(J321="",AND(LEFT(J321,6)="SAMPLE",Config!$B$19&lt;&gt;"Y")),"",IF(IFERROR(INDEX(Lists!$K$2:$K$15,MATCH(K321,Lists!$J$2:$J$15,0)),-1)=-1,"status '"&amp;K321&amp;"' is not a CONTRACTS status",IF(AND(K321="paid",COUNTIF(paid_brands!$AC$2:$AC$51,J321)=0),"status paid but no paid_brands row"&amp;IF(M321="N"," and no tracker row",""),IF(AND(IFERROR(INDEX(Lists!$K$2:$K$15,MATCH(K321,Lists!$J$2:$J$15,0)),-1)&gt;=6,M321="N"),"status "&amp;K321&amp;" but no tracker row",IF(AND(L321="Y",K321&lt;&gt;"do_not_contact"),"do_not_contact = Y but status is "&amp;K321,IF(AND(K321="do_not_contact",L321&lt;&gt;"Y"),"status do_not_contact but do_not_contact is not Y",""))))))</f>
        <v/>
      </c>
    </row>
    <row r="322" customFormat="false" ht="15" hidden="false" customHeight="false" outlineLevel="0" collapsed="false">
      <c r="B322" s="23" t="n">
        <v>301</v>
      </c>
      <c r="C322" s="23" t="str">
        <f aca="false">IFERROR(INDEX(Clay_Offices!$A$2:$FZ$601,B322,$C$5)&amp;"","")</f>
        <v/>
      </c>
      <c r="D322" s="23" t="str">
        <f aca="false">IFERROR(INDEX(Clay_Offices!$A$2:$FZ$601,B322,$C$7)&amp;"","")</f>
        <v/>
      </c>
      <c r="E322" s="23" t="str">
        <f aca="false">IFERROR(INDEX(Clay_Offices!$A$2:$FZ$601,B322,$C$8)&amp;"","")</f>
        <v/>
      </c>
      <c r="F322" s="23" t="str">
        <f aca="false">IF(C322="","",IF(COUNTIF(Office_Log!$A$2:$A$201,C322)&gt;0,"Y","N"))</f>
        <v/>
      </c>
      <c r="G322" s="34" t="str">
        <f aca="false">IF(OR(C322="",AND(LEFT(C322,6)="SAMPLE",Config!$B$19&lt;&gt;"Y")),"",IF(IFERROR(INDEX(Lists!$K$2:$K$15,MATCH(D322,Lists!$J$2:$J$15,0)),-1)=-1,"status '"&amp;D322&amp;"' is not a CONTRACTS status",IF(AND(D322="signed",COUNTIF(signed_offices!$W$2:$W$51,C322)=0),"status signed but no signed_offices row"&amp;IF(F322="N"," and no tracker row",""),IF(AND(IFERROR(INDEX(Lists!$K$2:$K$15,MATCH(D322,Lists!$J$2:$J$15,0)),-1)&gt;=6,F322="N"),"status "&amp;D322&amp;" but no tracker row",IF(AND(E322="Y",D322&lt;&gt;"do_not_contact"),"do_not_contact = Y but status is "&amp;D322,IF(AND(D322="do_not_contact",E322&lt;&gt;"Y"),"status do_not_contact but do_not_contact is not Y",""))))))</f>
        <v/>
      </c>
      <c r="I322" s="23" t="n">
        <v>301</v>
      </c>
      <c r="J322" s="23" t="str">
        <f aca="false">IFERROR(INDEX(Clay_Brands!$A$2:$FZ$601,I322,$D$5)&amp;"","")</f>
        <v/>
      </c>
      <c r="K322" s="23" t="str">
        <f aca="false">IFERROR(INDEX(Clay_Brands!$A$2:$FZ$601,I322,$D$7)&amp;"","")</f>
        <v/>
      </c>
      <c r="L322" s="23" t="str">
        <f aca="false">IFERROR(INDEX(Clay_Brands!$A$2:$FZ$601,I322,$D$8)&amp;"","")</f>
        <v/>
      </c>
      <c r="M322" s="23" t="str">
        <f aca="false">IF(J322="","",IF(COUNTIF(Brand_Log!$A$2:$A$201,J322)&gt;0,"Y","N"))</f>
        <v/>
      </c>
      <c r="N322" s="34" t="str">
        <f aca="false">IF(OR(J322="",AND(LEFT(J322,6)="SAMPLE",Config!$B$19&lt;&gt;"Y")),"",IF(IFERROR(INDEX(Lists!$K$2:$K$15,MATCH(K322,Lists!$J$2:$J$15,0)),-1)=-1,"status '"&amp;K322&amp;"' is not a CONTRACTS status",IF(AND(K322="paid",COUNTIF(paid_brands!$AC$2:$AC$51,J322)=0),"status paid but no paid_brands row"&amp;IF(M322="N"," and no tracker row",""),IF(AND(IFERROR(INDEX(Lists!$K$2:$K$15,MATCH(K322,Lists!$J$2:$J$15,0)),-1)&gt;=6,M322="N"),"status "&amp;K322&amp;" but no tracker row",IF(AND(L322="Y",K322&lt;&gt;"do_not_contact"),"do_not_contact = Y but status is "&amp;K322,IF(AND(K322="do_not_contact",L322&lt;&gt;"Y"),"status do_not_contact but do_not_contact is not Y",""))))))</f>
        <v/>
      </c>
    </row>
    <row r="323" customFormat="false" ht="15" hidden="false" customHeight="false" outlineLevel="0" collapsed="false">
      <c r="B323" s="23" t="n">
        <v>302</v>
      </c>
      <c r="C323" s="23" t="str">
        <f aca="false">IFERROR(INDEX(Clay_Offices!$A$2:$FZ$601,B323,$C$5)&amp;"","")</f>
        <v/>
      </c>
      <c r="D323" s="23" t="str">
        <f aca="false">IFERROR(INDEX(Clay_Offices!$A$2:$FZ$601,B323,$C$7)&amp;"","")</f>
        <v/>
      </c>
      <c r="E323" s="23" t="str">
        <f aca="false">IFERROR(INDEX(Clay_Offices!$A$2:$FZ$601,B323,$C$8)&amp;"","")</f>
        <v/>
      </c>
      <c r="F323" s="23" t="str">
        <f aca="false">IF(C323="","",IF(COUNTIF(Office_Log!$A$2:$A$201,C323)&gt;0,"Y","N"))</f>
        <v/>
      </c>
      <c r="G323" s="34" t="str">
        <f aca="false">IF(OR(C323="",AND(LEFT(C323,6)="SAMPLE",Config!$B$19&lt;&gt;"Y")),"",IF(IFERROR(INDEX(Lists!$K$2:$K$15,MATCH(D323,Lists!$J$2:$J$15,0)),-1)=-1,"status '"&amp;D323&amp;"' is not a CONTRACTS status",IF(AND(D323="signed",COUNTIF(signed_offices!$W$2:$W$51,C323)=0),"status signed but no signed_offices row"&amp;IF(F323="N"," and no tracker row",""),IF(AND(IFERROR(INDEX(Lists!$K$2:$K$15,MATCH(D323,Lists!$J$2:$J$15,0)),-1)&gt;=6,F323="N"),"status "&amp;D323&amp;" but no tracker row",IF(AND(E323="Y",D323&lt;&gt;"do_not_contact"),"do_not_contact = Y but status is "&amp;D323,IF(AND(D323="do_not_contact",E323&lt;&gt;"Y"),"status do_not_contact but do_not_contact is not Y",""))))))</f>
        <v/>
      </c>
      <c r="I323" s="23" t="n">
        <v>302</v>
      </c>
      <c r="J323" s="23" t="str">
        <f aca="false">IFERROR(INDEX(Clay_Brands!$A$2:$FZ$601,I323,$D$5)&amp;"","")</f>
        <v/>
      </c>
      <c r="K323" s="23" t="str">
        <f aca="false">IFERROR(INDEX(Clay_Brands!$A$2:$FZ$601,I323,$D$7)&amp;"","")</f>
        <v/>
      </c>
      <c r="L323" s="23" t="str">
        <f aca="false">IFERROR(INDEX(Clay_Brands!$A$2:$FZ$601,I323,$D$8)&amp;"","")</f>
        <v/>
      </c>
      <c r="M323" s="23" t="str">
        <f aca="false">IF(J323="","",IF(COUNTIF(Brand_Log!$A$2:$A$201,J323)&gt;0,"Y","N"))</f>
        <v/>
      </c>
      <c r="N323" s="34" t="str">
        <f aca="false">IF(OR(J323="",AND(LEFT(J323,6)="SAMPLE",Config!$B$19&lt;&gt;"Y")),"",IF(IFERROR(INDEX(Lists!$K$2:$K$15,MATCH(K323,Lists!$J$2:$J$15,0)),-1)=-1,"status '"&amp;K323&amp;"' is not a CONTRACTS status",IF(AND(K323="paid",COUNTIF(paid_brands!$AC$2:$AC$51,J323)=0),"status paid but no paid_brands row"&amp;IF(M323="N"," and no tracker row",""),IF(AND(IFERROR(INDEX(Lists!$K$2:$K$15,MATCH(K323,Lists!$J$2:$J$15,0)),-1)&gt;=6,M323="N"),"status "&amp;K323&amp;" but no tracker row",IF(AND(L323="Y",K323&lt;&gt;"do_not_contact"),"do_not_contact = Y but status is "&amp;K323,IF(AND(K323="do_not_contact",L323&lt;&gt;"Y"),"status do_not_contact but do_not_contact is not Y",""))))))</f>
        <v/>
      </c>
    </row>
    <row r="324" customFormat="false" ht="15" hidden="false" customHeight="false" outlineLevel="0" collapsed="false">
      <c r="B324" s="23" t="n">
        <v>303</v>
      </c>
      <c r="C324" s="23" t="str">
        <f aca="false">IFERROR(INDEX(Clay_Offices!$A$2:$FZ$601,B324,$C$5)&amp;"","")</f>
        <v/>
      </c>
      <c r="D324" s="23" t="str">
        <f aca="false">IFERROR(INDEX(Clay_Offices!$A$2:$FZ$601,B324,$C$7)&amp;"","")</f>
        <v/>
      </c>
      <c r="E324" s="23" t="str">
        <f aca="false">IFERROR(INDEX(Clay_Offices!$A$2:$FZ$601,B324,$C$8)&amp;"","")</f>
        <v/>
      </c>
      <c r="F324" s="23" t="str">
        <f aca="false">IF(C324="","",IF(COUNTIF(Office_Log!$A$2:$A$201,C324)&gt;0,"Y","N"))</f>
        <v/>
      </c>
      <c r="G324" s="34" t="str">
        <f aca="false">IF(OR(C324="",AND(LEFT(C324,6)="SAMPLE",Config!$B$19&lt;&gt;"Y")),"",IF(IFERROR(INDEX(Lists!$K$2:$K$15,MATCH(D324,Lists!$J$2:$J$15,0)),-1)=-1,"status '"&amp;D324&amp;"' is not a CONTRACTS status",IF(AND(D324="signed",COUNTIF(signed_offices!$W$2:$W$51,C324)=0),"status signed but no signed_offices row"&amp;IF(F324="N"," and no tracker row",""),IF(AND(IFERROR(INDEX(Lists!$K$2:$K$15,MATCH(D324,Lists!$J$2:$J$15,0)),-1)&gt;=6,F324="N"),"status "&amp;D324&amp;" but no tracker row",IF(AND(E324="Y",D324&lt;&gt;"do_not_contact"),"do_not_contact = Y but status is "&amp;D324,IF(AND(D324="do_not_contact",E324&lt;&gt;"Y"),"status do_not_contact but do_not_contact is not Y",""))))))</f>
        <v/>
      </c>
      <c r="I324" s="23" t="n">
        <v>303</v>
      </c>
      <c r="J324" s="23" t="str">
        <f aca="false">IFERROR(INDEX(Clay_Brands!$A$2:$FZ$601,I324,$D$5)&amp;"","")</f>
        <v/>
      </c>
      <c r="K324" s="23" t="str">
        <f aca="false">IFERROR(INDEX(Clay_Brands!$A$2:$FZ$601,I324,$D$7)&amp;"","")</f>
        <v/>
      </c>
      <c r="L324" s="23" t="str">
        <f aca="false">IFERROR(INDEX(Clay_Brands!$A$2:$FZ$601,I324,$D$8)&amp;"","")</f>
        <v/>
      </c>
      <c r="M324" s="23" t="str">
        <f aca="false">IF(J324="","",IF(COUNTIF(Brand_Log!$A$2:$A$201,J324)&gt;0,"Y","N"))</f>
        <v/>
      </c>
      <c r="N324" s="34" t="str">
        <f aca="false">IF(OR(J324="",AND(LEFT(J324,6)="SAMPLE",Config!$B$19&lt;&gt;"Y")),"",IF(IFERROR(INDEX(Lists!$K$2:$K$15,MATCH(K324,Lists!$J$2:$J$15,0)),-1)=-1,"status '"&amp;K324&amp;"' is not a CONTRACTS status",IF(AND(K324="paid",COUNTIF(paid_brands!$AC$2:$AC$51,J324)=0),"status paid but no paid_brands row"&amp;IF(M324="N"," and no tracker row",""),IF(AND(IFERROR(INDEX(Lists!$K$2:$K$15,MATCH(K324,Lists!$J$2:$J$15,0)),-1)&gt;=6,M324="N"),"status "&amp;K324&amp;" but no tracker row",IF(AND(L324="Y",K324&lt;&gt;"do_not_contact"),"do_not_contact = Y but status is "&amp;K324,IF(AND(K324="do_not_contact",L324&lt;&gt;"Y"),"status do_not_contact but do_not_contact is not Y",""))))))</f>
        <v/>
      </c>
    </row>
    <row r="325" customFormat="false" ht="15" hidden="false" customHeight="false" outlineLevel="0" collapsed="false">
      <c r="B325" s="23" t="n">
        <v>304</v>
      </c>
      <c r="C325" s="23" t="str">
        <f aca="false">IFERROR(INDEX(Clay_Offices!$A$2:$FZ$601,B325,$C$5)&amp;"","")</f>
        <v/>
      </c>
      <c r="D325" s="23" t="str">
        <f aca="false">IFERROR(INDEX(Clay_Offices!$A$2:$FZ$601,B325,$C$7)&amp;"","")</f>
        <v/>
      </c>
      <c r="E325" s="23" t="str">
        <f aca="false">IFERROR(INDEX(Clay_Offices!$A$2:$FZ$601,B325,$C$8)&amp;"","")</f>
        <v/>
      </c>
      <c r="F325" s="23" t="str">
        <f aca="false">IF(C325="","",IF(COUNTIF(Office_Log!$A$2:$A$201,C325)&gt;0,"Y","N"))</f>
        <v/>
      </c>
      <c r="G325" s="34" t="str">
        <f aca="false">IF(OR(C325="",AND(LEFT(C325,6)="SAMPLE",Config!$B$19&lt;&gt;"Y")),"",IF(IFERROR(INDEX(Lists!$K$2:$K$15,MATCH(D325,Lists!$J$2:$J$15,0)),-1)=-1,"status '"&amp;D325&amp;"' is not a CONTRACTS status",IF(AND(D325="signed",COUNTIF(signed_offices!$W$2:$W$51,C325)=0),"status signed but no signed_offices row"&amp;IF(F325="N"," and no tracker row",""),IF(AND(IFERROR(INDEX(Lists!$K$2:$K$15,MATCH(D325,Lists!$J$2:$J$15,0)),-1)&gt;=6,F325="N"),"status "&amp;D325&amp;" but no tracker row",IF(AND(E325="Y",D325&lt;&gt;"do_not_contact"),"do_not_contact = Y but status is "&amp;D325,IF(AND(D325="do_not_contact",E325&lt;&gt;"Y"),"status do_not_contact but do_not_contact is not Y",""))))))</f>
        <v/>
      </c>
      <c r="I325" s="23" t="n">
        <v>304</v>
      </c>
      <c r="J325" s="23" t="str">
        <f aca="false">IFERROR(INDEX(Clay_Brands!$A$2:$FZ$601,I325,$D$5)&amp;"","")</f>
        <v/>
      </c>
      <c r="K325" s="23" t="str">
        <f aca="false">IFERROR(INDEX(Clay_Brands!$A$2:$FZ$601,I325,$D$7)&amp;"","")</f>
        <v/>
      </c>
      <c r="L325" s="23" t="str">
        <f aca="false">IFERROR(INDEX(Clay_Brands!$A$2:$FZ$601,I325,$D$8)&amp;"","")</f>
        <v/>
      </c>
      <c r="M325" s="23" t="str">
        <f aca="false">IF(J325="","",IF(COUNTIF(Brand_Log!$A$2:$A$201,J325)&gt;0,"Y","N"))</f>
        <v/>
      </c>
      <c r="N325" s="34" t="str">
        <f aca="false">IF(OR(J325="",AND(LEFT(J325,6)="SAMPLE",Config!$B$19&lt;&gt;"Y")),"",IF(IFERROR(INDEX(Lists!$K$2:$K$15,MATCH(K325,Lists!$J$2:$J$15,0)),-1)=-1,"status '"&amp;K325&amp;"' is not a CONTRACTS status",IF(AND(K325="paid",COUNTIF(paid_brands!$AC$2:$AC$51,J325)=0),"status paid but no paid_brands row"&amp;IF(M325="N"," and no tracker row",""),IF(AND(IFERROR(INDEX(Lists!$K$2:$K$15,MATCH(K325,Lists!$J$2:$J$15,0)),-1)&gt;=6,M325="N"),"status "&amp;K325&amp;" but no tracker row",IF(AND(L325="Y",K325&lt;&gt;"do_not_contact"),"do_not_contact = Y but status is "&amp;K325,IF(AND(K325="do_not_contact",L325&lt;&gt;"Y"),"status do_not_contact but do_not_contact is not Y",""))))))</f>
        <v/>
      </c>
    </row>
    <row r="326" customFormat="false" ht="15" hidden="false" customHeight="false" outlineLevel="0" collapsed="false">
      <c r="B326" s="23" t="n">
        <v>305</v>
      </c>
      <c r="C326" s="23" t="str">
        <f aca="false">IFERROR(INDEX(Clay_Offices!$A$2:$FZ$601,B326,$C$5)&amp;"","")</f>
        <v/>
      </c>
      <c r="D326" s="23" t="str">
        <f aca="false">IFERROR(INDEX(Clay_Offices!$A$2:$FZ$601,B326,$C$7)&amp;"","")</f>
        <v/>
      </c>
      <c r="E326" s="23" t="str">
        <f aca="false">IFERROR(INDEX(Clay_Offices!$A$2:$FZ$601,B326,$C$8)&amp;"","")</f>
        <v/>
      </c>
      <c r="F326" s="23" t="str">
        <f aca="false">IF(C326="","",IF(COUNTIF(Office_Log!$A$2:$A$201,C326)&gt;0,"Y","N"))</f>
        <v/>
      </c>
      <c r="G326" s="34" t="str">
        <f aca="false">IF(OR(C326="",AND(LEFT(C326,6)="SAMPLE",Config!$B$19&lt;&gt;"Y")),"",IF(IFERROR(INDEX(Lists!$K$2:$K$15,MATCH(D326,Lists!$J$2:$J$15,0)),-1)=-1,"status '"&amp;D326&amp;"' is not a CONTRACTS status",IF(AND(D326="signed",COUNTIF(signed_offices!$W$2:$W$51,C326)=0),"status signed but no signed_offices row"&amp;IF(F326="N"," and no tracker row",""),IF(AND(IFERROR(INDEX(Lists!$K$2:$K$15,MATCH(D326,Lists!$J$2:$J$15,0)),-1)&gt;=6,F326="N"),"status "&amp;D326&amp;" but no tracker row",IF(AND(E326="Y",D326&lt;&gt;"do_not_contact"),"do_not_contact = Y but status is "&amp;D326,IF(AND(D326="do_not_contact",E326&lt;&gt;"Y"),"status do_not_contact but do_not_contact is not Y",""))))))</f>
        <v/>
      </c>
      <c r="I326" s="23" t="n">
        <v>305</v>
      </c>
      <c r="J326" s="23" t="str">
        <f aca="false">IFERROR(INDEX(Clay_Brands!$A$2:$FZ$601,I326,$D$5)&amp;"","")</f>
        <v/>
      </c>
      <c r="K326" s="23" t="str">
        <f aca="false">IFERROR(INDEX(Clay_Brands!$A$2:$FZ$601,I326,$D$7)&amp;"","")</f>
        <v/>
      </c>
      <c r="L326" s="23" t="str">
        <f aca="false">IFERROR(INDEX(Clay_Brands!$A$2:$FZ$601,I326,$D$8)&amp;"","")</f>
        <v/>
      </c>
      <c r="M326" s="23" t="str">
        <f aca="false">IF(J326="","",IF(COUNTIF(Brand_Log!$A$2:$A$201,J326)&gt;0,"Y","N"))</f>
        <v/>
      </c>
      <c r="N326" s="34" t="str">
        <f aca="false">IF(OR(J326="",AND(LEFT(J326,6)="SAMPLE",Config!$B$19&lt;&gt;"Y")),"",IF(IFERROR(INDEX(Lists!$K$2:$K$15,MATCH(K326,Lists!$J$2:$J$15,0)),-1)=-1,"status '"&amp;K326&amp;"' is not a CONTRACTS status",IF(AND(K326="paid",COUNTIF(paid_brands!$AC$2:$AC$51,J326)=0),"status paid but no paid_brands row"&amp;IF(M326="N"," and no tracker row",""),IF(AND(IFERROR(INDEX(Lists!$K$2:$K$15,MATCH(K326,Lists!$J$2:$J$15,0)),-1)&gt;=6,M326="N"),"status "&amp;K326&amp;" but no tracker row",IF(AND(L326="Y",K326&lt;&gt;"do_not_contact"),"do_not_contact = Y but status is "&amp;K326,IF(AND(K326="do_not_contact",L326&lt;&gt;"Y"),"status do_not_contact but do_not_contact is not Y",""))))))</f>
        <v/>
      </c>
    </row>
    <row r="327" customFormat="false" ht="15" hidden="false" customHeight="false" outlineLevel="0" collapsed="false">
      <c r="B327" s="23" t="n">
        <v>306</v>
      </c>
      <c r="C327" s="23" t="str">
        <f aca="false">IFERROR(INDEX(Clay_Offices!$A$2:$FZ$601,B327,$C$5)&amp;"","")</f>
        <v/>
      </c>
      <c r="D327" s="23" t="str">
        <f aca="false">IFERROR(INDEX(Clay_Offices!$A$2:$FZ$601,B327,$C$7)&amp;"","")</f>
        <v/>
      </c>
      <c r="E327" s="23" t="str">
        <f aca="false">IFERROR(INDEX(Clay_Offices!$A$2:$FZ$601,B327,$C$8)&amp;"","")</f>
        <v/>
      </c>
      <c r="F327" s="23" t="str">
        <f aca="false">IF(C327="","",IF(COUNTIF(Office_Log!$A$2:$A$201,C327)&gt;0,"Y","N"))</f>
        <v/>
      </c>
      <c r="G327" s="34" t="str">
        <f aca="false">IF(OR(C327="",AND(LEFT(C327,6)="SAMPLE",Config!$B$19&lt;&gt;"Y")),"",IF(IFERROR(INDEX(Lists!$K$2:$K$15,MATCH(D327,Lists!$J$2:$J$15,0)),-1)=-1,"status '"&amp;D327&amp;"' is not a CONTRACTS status",IF(AND(D327="signed",COUNTIF(signed_offices!$W$2:$W$51,C327)=0),"status signed but no signed_offices row"&amp;IF(F327="N"," and no tracker row",""),IF(AND(IFERROR(INDEX(Lists!$K$2:$K$15,MATCH(D327,Lists!$J$2:$J$15,0)),-1)&gt;=6,F327="N"),"status "&amp;D327&amp;" but no tracker row",IF(AND(E327="Y",D327&lt;&gt;"do_not_contact"),"do_not_contact = Y but status is "&amp;D327,IF(AND(D327="do_not_contact",E327&lt;&gt;"Y"),"status do_not_contact but do_not_contact is not Y",""))))))</f>
        <v/>
      </c>
      <c r="I327" s="23" t="n">
        <v>306</v>
      </c>
      <c r="J327" s="23" t="str">
        <f aca="false">IFERROR(INDEX(Clay_Brands!$A$2:$FZ$601,I327,$D$5)&amp;"","")</f>
        <v/>
      </c>
      <c r="K327" s="23" t="str">
        <f aca="false">IFERROR(INDEX(Clay_Brands!$A$2:$FZ$601,I327,$D$7)&amp;"","")</f>
        <v/>
      </c>
      <c r="L327" s="23" t="str">
        <f aca="false">IFERROR(INDEX(Clay_Brands!$A$2:$FZ$601,I327,$D$8)&amp;"","")</f>
        <v/>
      </c>
      <c r="M327" s="23" t="str">
        <f aca="false">IF(J327="","",IF(COUNTIF(Brand_Log!$A$2:$A$201,J327)&gt;0,"Y","N"))</f>
        <v/>
      </c>
      <c r="N327" s="34" t="str">
        <f aca="false">IF(OR(J327="",AND(LEFT(J327,6)="SAMPLE",Config!$B$19&lt;&gt;"Y")),"",IF(IFERROR(INDEX(Lists!$K$2:$K$15,MATCH(K327,Lists!$J$2:$J$15,0)),-1)=-1,"status '"&amp;K327&amp;"' is not a CONTRACTS status",IF(AND(K327="paid",COUNTIF(paid_brands!$AC$2:$AC$51,J327)=0),"status paid but no paid_brands row"&amp;IF(M327="N"," and no tracker row",""),IF(AND(IFERROR(INDEX(Lists!$K$2:$K$15,MATCH(K327,Lists!$J$2:$J$15,0)),-1)&gt;=6,M327="N"),"status "&amp;K327&amp;" but no tracker row",IF(AND(L327="Y",K327&lt;&gt;"do_not_contact"),"do_not_contact = Y but status is "&amp;K327,IF(AND(K327="do_not_contact",L327&lt;&gt;"Y"),"status do_not_contact but do_not_contact is not Y",""))))))</f>
        <v/>
      </c>
    </row>
    <row r="328" customFormat="false" ht="15" hidden="false" customHeight="false" outlineLevel="0" collapsed="false">
      <c r="B328" s="23" t="n">
        <v>307</v>
      </c>
      <c r="C328" s="23" t="str">
        <f aca="false">IFERROR(INDEX(Clay_Offices!$A$2:$FZ$601,B328,$C$5)&amp;"","")</f>
        <v/>
      </c>
      <c r="D328" s="23" t="str">
        <f aca="false">IFERROR(INDEX(Clay_Offices!$A$2:$FZ$601,B328,$C$7)&amp;"","")</f>
        <v/>
      </c>
      <c r="E328" s="23" t="str">
        <f aca="false">IFERROR(INDEX(Clay_Offices!$A$2:$FZ$601,B328,$C$8)&amp;"","")</f>
        <v/>
      </c>
      <c r="F328" s="23" t="str">
        <f aca="false">IF(C328="","",IF(COUNTIF(Office_Log!$A$2:$A$201,C328)&gt;0,"Y","N"))</f>
        <v/>
      </c>
      <c r="G328" s="34" t="str">
        <f aca="false">IF(OR(C328="",AND(LEFT(C328,6)="SAMPLE",Config!$B$19&lt;&gt;"Y")),"",IF(IFERROR(INDEX(Lists!$K$2:$K$15,MATCH(D328,Lists!$J$2:$J$15,0)),-1)=-1,"status '"&amp;D328&amp;"' is not a CONTRACTS status",IF(AND(D328="signed",COUNTIF(signed_offices!$W$2:$W$51,C328)=0),"status signed but no signed_offices row"&amp;IF(F328="N"," and no tracker row",""),IF(AND(IFERROR(INDEX(Lists!$K$2:$K$15,MATCH(D328,Lists!$J$2:$J$15,0)),-1)&gt;=6,F328="N"),"status "&amp;D328&amp;" but no tracker row",IF(AND(E328="Y",D328&lt;&gt;"do_not_contact"),"do_not_contact = Y but status is "&amp;D328,IF(AND(D328="do_not_contact",E328&lt;&gt;"Y"),"status do_not_contact but do_not_contact is not Y",""))))))</f>
        <v/>
      </c>
      <c r="I328" s="23" t="n">
        <v>307</v>
      </c>
      <c r="J328" s="23" t="str">
        <f aca="false">IFERROR(INDEX(Clay_Brands!$A$2:$FZ$601,I328,$D$5)&amp;"","")</f>
        <v/>
      </c>
      <c r="K328" s="23" t="str">
        <f aca="false">IFERROR(INDEX(Clay_Brands!$A$2:$FZ$601,I328,$D$7)&amp;"","")</f>
        <v/>
      </c>
      <c r="L328" s="23" t="str">
        <f aca="false">IFERROR(INDEX(Clay_Brands!$A$2:$FZ$601,I328,$D$8)&amp;"","")</f>
        <v/>
      </c>
      <c r="M328" s="23" t="str">
        <f aca="false">IF(J328="","",IF(COUNTIF(Brand_Log!$A$2:$A$201,J328)&gt;0,"Y","N"))</f>
        <v/>
      </c>
      <c r="N328" s="34" t="str">
        <f aca="false">IF(OR(J328="",AND(LEFT(J328,6)="SAMPLE",Config!$B$19&lt;&gt;"Y")),"",IF(IFERROR(INDEX(Lists!$K$2:$K$15,MATCH(K328,Lists!$J$2:$J$15,0)),-1)=-1,"status '"&amp;K328&amp;"' is not a CONTRACTS status",IF(AND(K328="paid",COUNTIF(paid_brands!$AC$2:$AC$51,J328)=0),"status paid but no paid_brands row"&amp;IF(M328="N"," and no tracker row",""),IF(AND(IFERROR(INDEX(Lists!$K$2:$K$15,MATCH(K328,Lists!$J$2:$J$15,0)),-1)&gt;=6,M328="N"),"status "&amp;K328&amp;" but no tracker row",IF(AND(L328="Y",K328&lt;&gt;"do_not_contact"),"do_not_contact = Y but status is "&amp;K328,IF(AND(K328="do_not_contact",L328&lt;&gt;"Y"),"status do_not_contact but do_not_contact is not Y",""))))))</f>
        <v/>
      </c>
    </row>
    <row r="329" customFormat="false" ht="15" hidden="false" customHeight="false" outlineLevel="0" collapsed="false">
      <c r="B329" s="23" t="n">
        <v>308</v>
      </c>
      <c r="C329" s="23" t="str">
        <f aca="false">IFERROR(INDEX(Clay_Offices!$A$2:$FZ$601,B329,$C$5)&amp;"","")</f>
        <v/>
      </c>
      <c r="D329" s="23" t="str">
        <f aca="false">IFERROR(INDEX(Clay_Offices!$A$2:$FZ$601,B329,$C$7)&amp;"","")</f>
        <v/>
      </c>
      <c r="E329" s="23" t="str">
        <f aca="false">IFERROR(INDEX(Clay_Offices!$A$2:$FZ$601,B329,$C$8)&amp;"","")</f>
        <v/>
      </c>
      <c r="F329" s="23" t="str">
        <f aca="false">IF(C329="","",IF(COUNTIF(Office_Log!$A$2:$A$201,C329)&gt;0,"Y","N"))</f>
        <v/>
      </c>
      <c r="G329" s="34" t="str">
        <f aca="false">IF(OR(C329="",AND(LEFT(C329,6)="SAMPLE",Config!$B$19&lt;&gt;"Y")),"",IF(IFERROR(INDEX(Lists!$K$2:$K$15,MATCH(D329,Lists!$J$2:$J$15,0)),-1)=-1,"status '"&amp;D329&amp;"' is not a CONTRACTS status",IF(AND(D329="signed",COUNTIF(signed_offices!$W$2:$W$51,C329)=0),"status signed but no signed_offices row"&amp;IF(F329="N"," and no tracker row",""),IF(AND(IFERROR(INDEX(Lists!$K$2:$K$15,MATCH(D329,Lists!$J$2:$J$15,0)),-1)&gt;=6,F329="N"),"status "&amp;D329&amp;" but no tracker row",IF(AND(E329="Y",D329&lt;&gt;"do_not_contact"),"do_not_contact = Y but status is "&amp;D329,IF(AND(D329="do_not_contact",E329&lt;&gt;"Y"),"status do_not_contact but do_not_contact is not Y",""))))))</f>
        <v/>
      </c>
      <c r="I329" s="23" t="n">
        <v>308</v>
      </c>
      <c r="J329" s="23" t="str">
        <f aca="false">IFERROR(INDEX(Clay_Brands!$A$2:$FZ$601,I329,$D$5)&amp;"","")</f>
        <v/>
      </c>
      <c r="K329" s="23" t="str">
        <f aca="false">IFERROR(INDEX(Clay_Brands!$A$2:$FZ$601,I329,$D$7)&amp;"","")</f>
        <v/>
      </c>
      <c r="L329" s="23" t="str">
        <f aca="false">IFERROR(INDEX(Clay_Brands!$A$2:$FZ$601,I329,$D$8)&amp;"","")</f>
        <v/>
      </c>
      <c r="M329" s="23" t="str">
        <f aca="false">IF(J329="","",IF(COUNTIF(Brand_Log!$A$2:$A$201,J329)&gt;0,"Y","N"))</f>
        <v/>
      </c>
      <c r="N329" s="34" t="str">
        <f aca="false">IF(OR(J329="",AND(LEFT(J329,6)="SAMPLE",Config!$B$19&lt;&gt;"Y")),"",IF(IFERROR(INDEX(Lists!$K$2:$K$15,MATCH(K329,Lists!$J$2:$J$15,0)),-1)=-1,"status '"&amp;K329&amp;"' is not a CONTRACTS status",IF(AND(K329="paid",COUNTIF(paid_brands!$AC$2:$AC$51,J329)=0),"status paid but no paid_brands row"&amp;IF(M329="N"," and no tracker row",""),IF(AND(IFERROR(INDEX(Lists!$K$2:$K$15,MATCH(K329,Lists!$J$2:$J$15,0)),-1)&gt;=6,M329="N"),"status "&amp;K329&amp;" but no tracker row",IF(AND(L329="Y",K329&lt;&gt;"do_not_contact"),"do_not_contact = Y but status is "&amp;K329,IF(AND(K329="do_not_contact",L329&lt;&gt;"Y"),"status do_not_contact but do_not_contact is not Y",""))))))</f>
        <v/>
      </c>
    </row>
    <row r="330" customFormat="false" ht="15" hidden="false" customHeight="false" outlineLevel="0" collapsed="false">
      <c r="B330" s="23" t="n">
        <v>309</v>
      </c>
      <c r="C330" s="23" t="str">
        <f aca="false">IFERROR(INDEX(Clay_Offices!$A$2:$FZ$601,B330,$C$5)&amp;"","")</f>
        <v/>
      </c>
      <c r="D330" s="23" t="str">
        <f aca="false">IFERROR(INDEX(Clay_Offices!$A$2:$FZ$601,B330,$C$7)&amp;"","")</f>
        <v/>
      </c>
      <c r="E330" s="23" t="str">
        <f aca="false">IFERROR(INDEX(Clay_Offices!$A$2:$FZ$601,B330,$C$8)&amp;"","")</f>
        <v/>
      </c>
      <c r="F330" s="23" t="str">
        <f aca="false">IF(C330="","",IF(COUNTIF(Office_Log!$A$2:$A$201,C330)&gt;0,"Y","N"))</f>
        <v/>
      </c>
      <c r="G330" s="34" t="str">
        <f aca="false">IF(OR(C330="",AND(LEFT(C330,6)="SAMPLE",Config!$B$19&lt;&gt;"Y")),"",IF(IFERROR(INDEX(Lists!$K$2:$K$15,MATCH(D330,Lists!$J$2:$J$15,0)),-1)=-1,"status '"&amp;D330&amp;"' is not a CONTRACTS status",IF(AND(D330="signed",COUNTIF(signed_offices!$W$2:$W$51,C330)=0),"status signed but no signed_offices row"&amp;IF(F330="N"," and no tracker row",""),IF(AND(IFERROR(INDEX(Lists!$K$2:$K$15,MATCH(D330,Lists!$J$2:$J$15,0)),-1)&gt;=6,F330="N"),"status "&amp;D330&amp;" but no tracker row",IF(AND(E330="Y",D330&lt;&gt;"do_not_contact"),"do_not_contact = Y but status is "&amp;D330,IF(AND(D330="do_not_contact",E330&lt;&gt;"Y"),"status do_not_contact but do_not_contact is not Y",""))))))</f>
        <v/>
      </c>
      <c r="I330" s="23" t="n">
        <v>309</v>
      </c>
      <c r="J330" s="23" t="str">
        <f aca="false">IFERROR(INDEX(Clay_Brands!$A$2:$FZ$601,I330,$D$5)&amp;"","")</f>
        <v/>
      </c>
      <c r="K330" s="23" t="str">
        <f aca="false">IFERROR(INDEX(Clay_Brands!$A$2:$FZ$601,I330,$D$7)&amp;"","")</f>
        <v/>
      </c>
      <c r="L330" s="23" t="str">
        <f aca="false">IFERROR(INDEX(Clay_Brands!$A$2:$FZ$601,I330,$D$8)&amp;"","")</f>
        <v/>
      </c>
      <c r="M330" s="23" t="str">
        <f aca="false">IF(J330="","",IF(COUNTIF(Brand_Log!$A$2:$A$201,J330)&gt;0,"Y","N"))</f>
        <v/>
      </c>
      <c r="N330" s="34" t="str">
        <f aca="false">IF(OR(J330="",AND(LEFT(J330,6)="SAMPLE",Config!$B$19&lt;&gt;"Y")),"",IF(IFERROR(INDEX(Lists!$K$2:$K$15,MATCH(K330,Lists!$J$2:$J$15,0)),-1)=-1,"status '"&amp;K330&amp;"' is not a CONTRACTS status",IF(AND(K330="paid",COUNTIF(paid_brands!$AC$2:$AC$51,J330)=0),"status paid but no paid_brands row"&amp;IF(M330="N"," and no tracker row",""),IF(AND(IFERROR(INDEX(Lists!$K$2:$K$15,MATCH(K330,Lists!$J$2:$J$15,0)),-1)&gt;=6,M330="N"),"status "&amp;K330&amp;" but no tracker row",IF(AND(L330="Y",K330&lt;&gt;"do_not_contact"),"do_not_contact = Y but status is "&amp;K330,IF(AND(K330="do_not_contact",L330&lt;&gt;"Y"),"status do_not_contact but do_not_contact is not Y",""))))))</f>
        <v/>
      </c>
    </row>
    <row r="331" customFormat="false" ht="15" hidden="false" customHeight="false" outlineLevel="0" collapsed="false">
      <c r="B331" s="23" t="n">
        <v>310</v>
      </c>
      <c r="C331" s="23" t="str">
        <f aca="false">IFERROR(INDEX(Clay_Offices!$A$2:$FZ$601,B331,$C$5)&amp;"","")</f>
        <v/>
      </c>
      <c r="D331" s="23" t="str">
        <f aca="false">IFERROR(INDEX(Clay_Offices!$A$2:$FZ$601,B331,$C$7)&amp;"","")</f>
        <v/>
      </c>
      <c r="E331" s="23" t="str">
        <f aca="false">IFERROR(INDEX(Clay_Offices!$A$2:$FZ$601,B331,$C$8)&amp;"","")</f>
        <v/>
      </c>
      <c r="F331" s="23" t="str">
        <f aca="false">IF(C331="","",IF(COUNTIF(Office_Log!$A$2:$A$201,C331)&gt;0,"Y","N"))</f>
        <v/>
      </c>
      <c r="G331" s="34" t="str">
        <f aca="false">IF(OR(C331="",AND(LEFT(C331,6)="SAMPLE",Config!$B$19&lt;&gt;"Y")),"",IF(IFERROR(INDEX(Lists!$K$2:$K$15,MATCH(D331,Lists!$J$2:$J$15,0)),-1)=-1,"status '"&amp;D331&amp;"' is not a CONTRACTS status",IF(AND(D331="signed",COUNTIF(signed_offices!$W$2:$W$51,C331)=0),"status signed but no signed_offices row"&amp;IF(F331="N"," and no tracker row",""),IF(AND(IFERROR(INDEX(Lists!$K$2:$K$15,MATCH(D331,Lists!$J$2:$J$15,0)),-1)&gt;=6,F331="N"),"status "&amp;D331&amp;" but no tracker row",IF(AND(E331="Y",D331&lt;&gt;"do_not_contact"),"do_not_contact = Y but status is "&amp;D331,IF(AND(D331="do_not_contact",E331&lt;&gt;"Y"),"status do_not_contact but do_not_contact is not Y",""))))))</f>
        <v/>
      </c>
      <c r="I331" s="23" t="n">
        <v>310</v>
      </c>
      <c r="J331" s="23" t="str">
        <f aca="false">IFERROR(INDEX(Clay_Brands!$A$2:$FZ$601,I331,$D$5)&amp;"","")</f>
        <v/>
      </c>
      <c r="K331" s="23" t="str">
        <f aca="false">IFERROR(INDEX(Clay_Brands!$A$2:$FZ$601,I331,$D$7)&amp;"","")</f>
        <v/>
      </c>
      <c r="L331" s="23" t="str">
        <f aca="false">IFERROR(INDEX(Clay_Brands!$A$2:$FZ$601,I331,$D$8)&amp;"","")</f>
        <v/>
      </c>
      <c r="M331" s="23" t="str">
        <f aca="false">IF(J331="","",IF(COUNTIF(Brand_Log!$A$2:$A$201,J331)&gt;0,"Y","N"))</f>
        <v/>
      </c>
      <c r="N331" s="34" t="str">
        <f aca="false">IF(OR(J331="",AND(LEFT(J331,6)="SAMPLE",Config!$B$19&lt;&gt;"Y")),"",IF(IFERROR(INDEX(Lists!$K$2:$K$15,MATCH(K331,Lists!$J$2:$J$15,0)),-1)=-1,"status '"&amp;K331&amp;"' is not a CONTRACTS status",IF(AND(K331="paid",COUNTIF(paid_brands!$AC$2:$AC$51,J331)=0),"status paid but no paid_brands row"&amp;IF(M331="N"," and no tracker row",""),IF(AND(IFERROR(INDEX(Lists!$K$2:$K$15,MATCH(K331,Lists!$J$2:$J$15,0)),-1)&gt;=6,M331="N"),"status "&amp;K331&amp;" but no tracker row",IF(AND(L331="Y",K331&lt;&gt;"do_not_contact"),"do_not_contact = Y but status is "&amp;K331,IF(AND(K331="do_not_contact",L331&lt;&gt;"Y"),"status do_not_contact but do_not_contact is not Y",""))))))</f>
        <v/>
      </c>
    </row>
    <row r="332" customFormat="false" ht="15" hidden="false" customHeight="false" outlineLevel="0" collapsed="false">
      <c r="B332" s="23" t="n">
        <v>311</v>
      </c>
      <c r="C332" s="23" t="str">
        <f aca="false">IFERROR(INDEX(Clay_Offices!$A$2:$FZ$601,B332,$C$5)&amp;"","")</f>
        <v/>
      </c>
      <c r="D332" s="23" t="str">
        <f aca="false">IFERROR(INDEX(Clay_Offices!$A$2:$FZ$601,B332,$C$7)&amp;"","")</f>
        <v/>
      </c>
      <c r="E332" s="23" t="str">
        <f aca="false">IFERROR(INDEX(Clay_Offices!$A$2:$FZ$601,B332,$C$8)&amp;"","")</f>
        <v/>
      </c>
      <c r="F332" s="23" t="str">
        <f aca="false">IF(C332="","",IF(COUNTIF(Office_Log!$A$2:$A$201,C332)&gt;0,"Y","N"))</f>
        <v/>
      </c>
      <c r="G332" s="34" t="str">
        <f aca="false">IF(OR(C332="",AND(LEFT(C332,6)="SAMPLE",Config!$B$19&lt;&gt;"Y")),"",IF(IFERROR(INDEX(Lists!$K$2:$K$15,MATCH(D332,Lists!$J$2:$J$15,0)),-1)=-1,"status '"&amp;D332&amp;"' is not a CONTRACTS status",IF(AND(D332="signed",COUNTIF(signed_offices!$W$2:$W$51,C332)=0),"status signed but no signed_offices row"&amp;IF(F332="N"," and no tracker row",""),IF(AND(IFERROR(INDEX(Lists!$K$2:$K$15,MATCH(D332,Lists!$J$2:$J$15,0)),-1)&gt;=6,F332="N"),"status "&amp;D332&amp;" but no tracker row",IF(AND(E332="Y",D332&lt;&gt;"do_not_contact"),"do_not_contact = Y but status is "&amp;D332,IF(AND(D332="do_not_contact",E332&lt;&gt;"Y"),"status do_not_contact but do_not_contact is not Y",""))))))</f>
        <v/>
      </c>
      <c r="I332" s="23" t="n">
        <v>311</v>
      </c>
      <c r="J332" s="23" t="str">
        <f aca="false">IFERROR(INDEX(Clay_Brands!$A$2:$FZ$601,I332,$D$5)&amp;"","")</f>
        <v/>
      </c>
      <c r="K332" s="23" t="str">
        <f aca="false">IFERROR(INDEX(Clay_Brands!$A$2:$FZ$601,I332,$D$7)&amp;"","")</f>
        <v/>
      </c>
      <c r="L332" s="23" t="str">
        <f aca="false">IFERROR(INDEX(Clay_Brands!$A$2:$FZ$601,I332,$D$8)&amp;"","")</f>
        <v/>
      </c>
      <c r="M332" s="23" t="str">
        <f aca="false">IF(J332="","",IF(COUNTIF(Brand_Log!$A$2:$A$201,J332)&gt;0,"Y","N"))</f>
        <v/>
      </c>
      <c r="N332" s="34" t="str">
        <f aca="false">IF(OR(J332="",AND(LEFT(J332,6)="SAMPLE",Config!$B$19&lt;&gt;"Y")),"",IF(IFERROR(INDEX(Lists!$K$2:$K$15,MATCH(K332,Lists!$J$2:$J$15,0)),-1)=-1,"status '"&amp;K332&amp;"' is not a CONTRACTS status",IF(AND(K332="paid",COUNTIF(paid_brands!$AC$2:$AC$51,J332)=0),"status paid but no paid_brands row"&amp;IF(M332="N"," and no tracker row",""),IF(AND(IFERROR(INDEX(Lists!$K$2:$K$15,MATCH(K332,Lists!$J$2:$J$15,0)),-1)&gt;=6,M332="N"),"status "&amp;K332&amp;" but no tracker row",IF(AND(L332="Y",K332&lt;&gt;"do_not_contact"),"do_not_contact = Y but status is "&amp;K332,IF(AND(K332="do_not_contact",L332&lt;&gt;"Y"),"status do_not_contact but do_not_contact is not Y",""))))))</f>
        <v/>
      </c>
    </row>
    <row r="333" customFormat="false" ht="15" hidden="false" customHeight="false" outlineLevel="0" collapsed="false">
      <c r="B333" s="23" t="n">
        <v>312</v>
      </c>
      <c r="C333" s="23" t="str">
        <f aca="false">IFERROR(INDEX(Clay_Offices!$A$2:$FZ$601,B333,$C$5)&amp;"","")</f>
        <v/>
      </c>
      <c r="D333" s="23" t="str">
        <f aca="false">IFERROR(INDEX(Clay_Offices!$A$2:$FZ$601,B333,$C$7)&amp;"","")</f>
        <v/>
      </c>
      <c r="E333" s="23" t="str">
        <f aca="false">IFERROR(INDEX(Clay_Offices!$A$2:$FZ$601,B333,$C$8)&amp;"","")</f>
        <v/>
      </c>
      <c r="F333" s="23" t="str">
        <f aca="false">IF(C333="","",IF(COUNTIF(Office_Log!$A$2:$A$201,C333)&gt;0,"Y","N"))</f>
        <v/>
      </c>
      <c r="G333" s="34" t="str">
        <f aca="false">IF(OR(C333="",AND(LEFT(C333,6)="SAMPLE",Config!$B$19&lt;&gt;"Y")),"",IF(IFERROR(INDEX(Lists!$K$2:$K$15,MATCH(D333,Lists!$J$2:$J$15,0)),-1)=-1,"status '"&amp;D333&amp;"' is not a CONTRACTS status",IF(AND(D333="signed",COUNTIF(signed_offices!$W$2:$W$51,C333)=0),"status signed but no signed_offices row"&amp;IF(F333="N"," and no tracker row",""),IF(AND(IFERROR(INDEX(Lists!$K$2:$K$15,MATCH(D333,Lists!$J$2:$J$15,0)),-1)&gt;=6,F333="N"),"status "&amp;D333&amp;" but no tracker row",IF(AND(E333="Y",D333&lt;&gt;"do_not_contact"),"do_not_contact = Y but status is "&amp;D333,IF(AND(D333="do_not_contact",E333&lt;&gt;"Y"),"status do_not_contact but do_not_contact is not Y",""))))))</f>
        <v/>
      </c>
      <c r="I333" s="23" t="n">
        <v>312</v>
      </c>
      <c r="J333" s="23" t="str">
        <f aca="false">IFERROR(INDEX(Clay_Brands!$A$2:$FZ$601,I333,$D$5)&amp;"","")</f>
        <v/>
      </c>
      <c r="K333" s="23" t="str">
        <f aca="false">IFERROR(INDEX(Clay_Brands!$A$2:$FZ$601,I333,$D$7)&amp;"","")</f>
        <v/>
      </c>
      <c r="L333" s="23" t="str">
        <f aca="false">IFERROR(INDEX(Clay_Brands!$A$2:$FZ$601,I333,$D$8)&amp;"","")</f>
        <v/>
      </c>
      <c r="M333" s="23" t="str">
        <f aca="false">IF(J333="","",IF(COUNTIF(Brand_Log!$A$2:$A$201,J333)&gt;0,"Y","N"))</f>
        <v/>
      </c>
      <c r="N333" s="34" t="str">
        <f aca="false">IF(OR(J333="",AND(LEFT(J333,6)="SAMPLE",Config!$B$19&lt;&gt;"Y")),"",IF(IFERROR(INDEX(Lists!$K$2:$K$15,MATCH(K333,Lists!$J$2:$J$15,0)),-1)=-1,"status '"&amp;K333&amp;"' is not a CONTRACTS status",IF(AND(K333="paid",COUNTIF(paid_brands!$AC$2:$AC$51,J333)=0),"status paid but no paid_brands row"&amp;IF(M333="N"," and no tracker row",""),IF(AND(IFERROR(INDEX(Lists!$K$2:$K$15,MATCH(K333,Lists!$J$2:$J$15,0)),-1)&gt;=6,M333="N"),"status "&amp;K333&amp;" but no tracker row",IF(AND(L333="Y",K333&lt;&gt;"do_not_contact"),"do_not_contact = Y but status is "&amp;K333,IF(AND(K333="do_not_contact",L333&lt;&gt;"Y"),"status do_not_contact but do_not_contact is not Y",""))))))</f>
        <v/>
      </c>
    </row>
    <row r="334" customFormat="false" ht="15" hidden="false" customHeight="false" outlineLevel="0" collapsed="false">
      <c r="B334" s="23" t="n">
        <v>313</v>
      </c>
      <c r="C334" s="23" t="str">
        <f aca="false">IFERROR(INDEX(Clay_Offices!$A$2:$FZ$601,B334,$C$5)&amp;"","")</f>
        <v/>
      </c>
      <c r="D334" s="23" t="str">
        <f aca="false">IFERROR(INDEX(Clay_Offices!$A$2:$FZ$601,B334,$C$7)&amp;"","")</f>
        <v/>
      </c>
      <c r="E334" s="23" t="str">
        <f aca="false">IFERROR(INDEX(Clay_Offices!$A$2:$FZ$601,B334,$C$8)&amp;"","")</f>
        <v/>
      </c>
      <c r="F334" s="23" t="str">
        <f aca="false">IF(C334="","",IF(COUNTIF(Office_Log!$A$2:$A$201,C334)&gt;0,"Y","N"))</f>
        <v/>
      </c>
      <c r="G334" s="34" t="str">
        <f aca="false">IF(OR(C334="",AND(LEFT(C334,6)="SAMPLE",Config!$B$19&lt;&gt;"Y")),"",IF(IFERROR(INDEX(Lists!$K$2:$K$15,MATCH(D334,Lists!$J$2:$J$15,0)),-1)=-1,"status '"&amp;D334&amp;"' is not a CONTRACTS status",IF(AND(D334="signed",COUNTIF(signed_offices!$W$2:$W$51,C334)=0),"status signed but no signed_offices row"&amp;IF(F334="N"," and no tracker row",""),IF(AND(IFERROR(INDEX(Lists!$K$2:$K$15,MATCH(D334,Lists!$J$2:$J$15,0)),-1)&gt;=6,F334="N"),"status "&amp;D334&amp;" but no tracker row",IF(AND(E334="Y",D334&lt;&gt;"do_not_contact"),"do_not_contact = Y but status is "&amp;D334,IF(AND(D334="do_not_contact",E334&lt;&gt;"Y"),"status do_not_contact but do_not_contact is not Y",""))))))</f>
        <v/>
      </c>
      <c r="I334" s="23" t="n">
        <v>313</v>
      </c>
      <c r="J334" s="23" t="str">
        <f aca="false">IFERROR(INDEX(Clay_Brands!$A$2:$FZ$601,I334,$D$5)&amp;"","")</f>
        <v/>
      </c>
      <c r="K334" s="23" t="str">
        <f aca="false">IFERROR(INDEX(Clay_Brands!$A$2:$FZ$601,I334,$D$7)&amp;"","")</f>
        <v/>
      </c>
      <c r="L334" s="23" t="str">
        <f aca="false">IFERROR(INDEX(Clay_Brands!$A$2:$FZ$601,I334,$D$8)&amp;"","")</f>
        <v/>
      </c>
      <c r="M334" s="23" t="str">
        <f aca="false">IF(J334="","",IF(COUNTIF(Brand_Log!$A$2:$A$201,J334)&gt;0,"Y","N"))</f>
        <v/>
      </c>
      <c r="N334" s="34" t="str">
        <f aca="false">IF(OR(J334="",AND(LEFT(J334,6)="SAMPLE",Config!$B$19&lt;&gt;"Y")),"",IF(IFERROR(INDEX(Lists!$K$2:$K$15,MATCH(K334,Lists!$J$2:$J$15,0)),-1)=-1,"status '"&amp;K334&amp;"' is not a CONTRACTS status",IF(AND(K334="paid",COUNTIF(paid_brands!$AC$2:$AC$51,J334)=0),"status paid but no paid_brands row"&amp;IF(M334="N"," and no tracker row",""),IF(AND(IFERROR(INDEX(Lists!$K$2:$K$15,MATCH(K334,Lists!$J$2:$J$15,0)),-1)&gt;=6,M334="N"),"status "&amp;K334&amp;" but no tracker row",IF(AND(L334="Y",K334&lt;&gt;"do_not_contact"),"do_not_contact = Y but status is "&amp;K334,IF(AND(K334="do_not_contact",L334&lt;&gt;"Y"),"status do_not_contact but do_not_contact is not Y",""))))))</f>
        <v/>
      </c>
    </row>
    <row r="335" customFormat="false" ht="15" hidden="false" customHeight="false" outlineLevel="0" collapsed="false">
      <c r="B335" s="23" t="n">
        <v>314</v>
      </c>
      <c r="C335" s="23" t="str">
        <f aca="false">IFERROR(INDEX(Clay_Offices!$A$2:$FZ$601,B335,$C$5)&amp;"","")</f>
        <v/>
      </c>
      <c r="D335" s="23" t="str">
        <f aca="false">IFERROR(INDEX(Clay_Offices!$A$2:$FZ$601,B335,$C$7)&amp;"","")</f>
        <v/>
      </c>
      <c r="E335" s="23" t="str">
        <f aca="false">IFERROR(INDEX(Clay_Offices!$A$2:$FZ$601,B335,$C$8)&amp;"","")</f>
        <v/>
      </c>
      <c r="F335" s="23" t="str">
        <f aca="false">IF(C335="","",IF(COUNTIF(Office_Log!$A$2:$A$201,C335)&gt;0,"Y","N"))</f>
        <v/>
      </c>
      <c r="G335" s="34" t="str">
        <f aca="false">IF(OR(C335="",AND(LEFT(C335,6)="SAMPLE",Config!$B$19&lt;&gt;"Y")),"",IF(IFERROR(INDEX(Lists!$K$2:$K$15,MATCH(D335,Lists!$J$2:$J$15,0)),-1)=-1,"status '"&amp;D335&amp;"' is not a CONTRACTS status",IF(AND(D335="signed",COUNTIF(signed_offices!$W$2:$W$51,C335)=0),"status signed but no signed_offices row"&amp;IF(F335="N"," and no tracker row",""),IF(AND(IFERROR(INDEX(Lists!$K$2:$K$15,MATCH(D335,Lists!$J$2:$J$15,0)),-1)&gt;=6,F335="N"),"status "&amp;D335&amp;" but no tracker row",IF(AND(E335="Y",D335&lt;&gt;"do_not_contact"),"do_not_contact = Y but status is "&amp;D335,IF(AND(D335="do_not_contact",E335&lt;&gt;"Y"),"status do_not_contact but do_not_contact is not Y",""))))))</f>
        <v/>
      </c>
      <c r="I335" s="23" t="n">
        <v>314</v>
      </c>
      <c r="J335" s="23" t="str">
        <f aca="false">IFERROR(INDEX(Clay_Brands!$A$2:$FZ$601,I335,$D$5)&amp;"","")</f>
        <v/>
      </c>
      <c r="K335" s="23" t="str">
        <f aca="false">IFERROR(INDEX(Clay_Brands!$A$2:$FZ$601,I335,$D$7)&amp;"","")</f>
        <v/>
      </c>
      <c r="L335" s="23" t="str">
        <f aca="false">IFERROR(INDEX(Clay_Brands!$A$2:$FZ$601,I335,$D$8)&amp;"","")</f>
        <v/>
      </c>
      <c r="M335" s="23" t="str">
        <f aca="false">IF(J335="","",IF(COUNTIF(Brand_Log!$A$2:$A$201,J335)&gt;0,"Y","N"))</f>
        <v/>
      </c>
      <c r="N335" s="34" t="str">
        <f aca="false">IF(OR(J335="",AND(LEFT(J335,6)="SAMPLE",Config!$B$19&lt;&gt;"Y")),"",IF(IFERROR(INDEX(Lists!$K$2:$K$15,MATCH(K335,Lists!$J$2:$J$15,0)),-1)=-1,"status '"&amp;K335&amp;"' is not a CONTRACTS status",IF(AND(K335="paid",COUNTIF(paid_brands!$AC$2:$AC$51,J335)=0),"status paid but no paid_brands row"&amp;IF(M335="N"," and no tracker row",""),IF(AND(IFERROR(INDEX(Lists!$K$2:$K$15,MATCH(K335,Lists!$J$2:$J$15,0)),-1)&gt;=6,M335="N"),"status "&amp;K335&amp;" but no tracker row",IF(AND(L335="Y",K335&lt;&gt;"do_not_contact"),"do_not_contact = Y but status is "&amp;K335,IF(AND(K335="do_not_contact",L335&lt;&gt;"Y"),"status do_not_contact but do_not_contact is not Y",""))))))</f>
        <v/>
      </c>
    </row>
    <row r="336" customFormat="false" ht="15" hidden="false" customHeight="false" outlineLevel="0" collapsed="false">
      <c r="B336" s="23" t="n">
        <v>315</v>
      </c>
      <c r="C336" s="23" t="str">
        <f aca="false">IFERROR(INDEX(Clay_Offices!$A$2:$FZ$601,B336,$C$5)&amp;"","")</f>
        <v/>
      </c>
      <c r="D336" s="23" t="str">
        <f aca="false">IFERROR(INDEX(Clay_Offices!$A$2:$FZ$601,B336,$C$7)&amp;"","")</f>
        <v/>
      </c>
      <c r="E336" s="23" t="str">
        <f aca="false">IFERROR(INDEX(Clay_Offices!$A$2:$FZ$601,B336,$C$8)&amp;"","")</f>
        <v/>
      </c>
      <c r="F336" s="23" t="str">
        <f aca="false">IF(C336="","",IF(COUNTIF(Office_Log!$A$2:$A$201,C336)&gt;0,"Y","N"))</f>
        <v/>
      </c>
      <c r="G336" s="34" t="str">
        <f aca="false">IF(OR(C336="",AND(LEFT(C336,6)="SAMPLE",Config!$B$19&lt;&gt;"Y")),"",IF(IFERROR(INDEX(Lists!$K$2:$K$15,MATCH(D336,Lists!$J$2:$J$15,0)),-1)=-1,"status '"&amp;D336&amp;"' is not a CONTRACTS status",IF(AND(D336="signed",COUNTIF(signed_offices!$W$2:$W$51,C336)=0),"status signed but no signed_offices row"&amp;IF(F336="N"," and no tracker row",""),IF(AND(IFERROR(INDEX(Lists!$K$2:$K$15,MATCH(D336,Lists!$J$2:$J$15,0)),-1)&gt;=6,F336="N"),"status "&amp;D336&amp;" but no tracker row",IF(AND(E336="Y",D336&lt;&gt;"do_not_contact"),"do_not_contact = Y but status is "&amp;D336,IF(AND(D336="do_not_contact",E336&lt;&gt;"Y"),"status do_not_contact but do_not_contact is not Y",""))))))</f>
        <v/>
      </c>
      <c r="I336" s="23" t="n">
        <v>315</v>
      </c>
      <c r="J336" s="23" t="str">
        <f aca="false">IFERROR(INDEX(Clay_Brands!$A$2:$FZ$601,I336,$D$5)&amp;"","")</f>
        <v/>
      </c>
      <c r="K336" s="23" t="str">
        <f aca="false">IFERROR(INDEX(Clay_Brands!$A$2:$FZ$601,I336,$D$7)&amp;"","")</f>
        <v/>
      </c>
      <c r="L336" s="23" t="str">
        <f aca="false">IFERROR(INDEX(Clay_Brands!$A$2:$FZ$601,I336,$D$8)&amp;"","")</f>
        <v/>
      </c>
      <c r="M336" s="23" t="str">
        <f aca="false">IF(J336="","",IF(COUNTIF(Brand_Log!$A$2:$A$201,J336)&gt;0,"Y","N"))</f>
        <v/>
      </c>
      <c r="N336" s="34" t="str">
        <f aca="false">IF(OR(J336="",AND(LEFT(J336,6)="SAMPLE",Config!$B$19&lt;&gt;"Y")),"",IF(IFERROR(INDEX(Lists!$K$2:$K$15,MATCH(K336,Lists!$J$2:$J$15,0)),-1)=-1,"status '"&amp;K336&amp;"' is not a CONTRACTS status",IF(AND(K336="paid",COUNTIF(paid_brands!$AC$2:$AC$51,J336)=0),"status paid but no paid_brands row"&amp;IF(M336="N"," and no tracker row",""),IF(AND(IFERROR(INDEX(Lists!$K$2:$K$15,MATCH(K336,Lists!$J$2:$J$15,0)),-1)&gt;=6,M336="N"),"status "&amp;K336&amp;" but no tracker row",IF(AND(L336="Y",K336&lt;&gt;"do_not_contact"),"do_not_contact = Y but status is "&amp;K336,IF(AND(K336="do_not_contact",L336&lt;&gt;"Y"),"status do_not_contact but do_not_contact is not Y",""))))))</f>
        <v/>
      </c>
    </row>
    <row r="337" customFormat="false" ht="15" hidden="false" customHeight="false" outlineLevel="0" collapsed="false">
      <c r="B337" s="23" t="n">
        <v>316</v>
      </c>
      <c r="C337" s="23" t="str">
        <f aca="false">IFERROR(INDEX(Clay_Offices!$A$2:$FZ$601,B337,$C$5)&amp;"","")</f>
        <v/>
      </c>
      <c r="D337" s="23" t="str">
        <f aca="false">IFERROR(INDEX(Clay_Offices!$A$2:$FZ$601,B337,$C$7)&amp;"","")</f>
        <v/>
      </c>
      <c r="E337" s="23" t="str">
        <f aca="false">IFERROR(INDEX(Clay_Offices!$A$2:$FZ$601,B337,$C$8)&amp;"","")</f>
        <v/>
      </c>
      <c r="F337" s="23" t="str">
        <f aca="false">IF(C337="","",IF(COUNTIF(Office_Log!$A$2:$A$201,C337)&gt;0,"Y","N"))</f>
        <v/>
      </c>
      <c r="G337" s="34" t="str">
        <f aca="false">IF(OR(C337="",AND(LEFT(C337,6)="SAMPLE",Config!$B$19&lt;&gt;"Y")),"",IF(IFERROR(INDEX(Lists!$K$2:$K$15,MATCH(D337,Lists!$J$2:$J$15,0)),-1)=-1,"status '"&amp;D337&amp;"' is not a CONTRACTS status",IF(AND(D337="signed",COUNTIF(signed_offices!$W$2:$W$51,C337)=0),"status signed but no signed_offices row"&amp;IF(F337="N"," and no tracker row",""),IF(AND(IFERROR(INDEX(Lists!$K$2:$K$15,MATCH(D337,Lists!$J$2:$J$15,0)),-1)&gt;=6,F337="N"),"status "&amp;D337&amp;" but no tracker row",IF(AND(E337="Y",D337&lt;&gt;"do_not_contact"),"do_not_contact = Y but status is "&amp;D337,IF(AND(D337="do_not_contact",E337&lt;&gt;"Y"),"status do_not_contact but do_not_contact is not Y",""))))))</f>
        <v/>
      </c>
      <c r="I337" s="23" t="n">
        <v>316</v>
      </c>
      <c r="J337" s="23" t="str">
        <f aca="false">IFERROR(INDEX(Clay_Brands!$A$2:$FZ$601,I337,$D$5)&amp;"","")</f>
        <v/>
      </c>
      <c r="K337" s="23" t="str">
        <f aca="false">IFERROR(INDEX(Clay_Brands!$A$2:$FZ$601,I337,$D$7)&amp;"","")</f>
        <v/>
      </c>
      <c r="L337" s="23" t="str">
        <f aca="false">IFERROR(INDEX(Clay_Brands!$A$2:$FZ$601,I337,$D$8)&amp;"","")</f>
        <v/>
      </c>
      <c r="M337" s="23" t="str">
        <f aca="false">IF(J337="","",IF(COUNTIF(Brand_Log!$A$2:$A$201,J337)&gt;0,"Y","N"))</f>
        <v/>
      </c>
      <c r="N337" s="34" t="str">
        <f aca="false">IF(OR(J337="",AND(LEFT(J337,6)="SAMPLE",Config!$B$19&lt;&gt;"Y")),"",IF(IFERROR(INDEX(Lists!$K$2:$K$15,MATCH(K337,Lists!$J$2:$J$15,0)),-1)=-1,"status '"&amp;K337&amp;"' is not a CONTRACTS status",IF(AND(K337="paid",COUNTIF(paid_brands!$AC$2:$AC$51,J337)=0),"status paid but no paid_brands row"&amp;IF(M337="N"," and no tracker row",""),IF(AND(IFERROR(INDEX(Lists!$K$2:$K$15,MATCH(K337,Lists!$J$2:$J$15,0)),-1)&gt;=6,M337="N"),"status "&amp;K337&amp;" but no tracker row",IF(AND(L337="Y",K337&lt;&gt;"do_not_contact"),"do_not_contact = Y but status is "&amp;K337,IF(AND(K337="do_not_contact",L337&lt;&gt;"Y"),"status do_not_contact but do_not_contact is not Y",""))))))</f>
        <v/>
      </c>
    </row>
    <row r="338" customFormat="false" ht="15" hidden="false" customHeight="false" outlineLevel="0" collapsed="false">
      <c r="B338" s="23" t="n">
        <v>317</v>
      </c>
      <c r="C338" s="23" t="str">
        <f aca="false">IFERROR(INDEX(Clay_Offices!$A$2:$FZ$601,B338,$C$5)&amp;"","")</f>
        <v/>
      </c>
      <c r="D338" s="23" t="str">
        <f aca="false">IFERROR(INDEX(Clay_Offices!$A$2:$FZ$601,B338,$C$7)&amp;"","")</f>
        <v/>
      </c>
      <c r="E338" s="23" t="str">
        <f aca="false">IFERROR(INDEX(Clay_Offices!$A$2:$FZ$601,B338,$C$8)&amp;"","")</f>
        <v/>
      </c>
      <c r="F338" s="23" t="str">
        <f aca="false">IF(C338="","",IF(COUNTIF(Office_Log!$A$2:$A$201,C338)&gt;0,"Y","N"))</f>
        <v/>
      </c>
      <c r="G338" s="34" t="str">
        <f aca="false">IF(OR(C338="",AND(LEFT(C338,6)="SAMPLE",Config!$B$19&lt;&gt;"Y")),"",IF(IFERROR(INDEX(Lists!$K$2:$K$15,MATCH(D338,Lists!$J$2:$J$15,0)),-1)=-1,"status '"&amp;D338&amp;"' is not a CONTRACTS status",IF(AND(D338="signed",COUNTIF(signed_offices!$W$2:$W$51,C338)=0),"status signed but no signed_offices row"&amp;IF(F338="N"," and no tracker row",""),IF(AND(IFERROR(INDEX(Lists!$K$2:$K$15,MATCH(D338,Lists!$J$2:$J$15,0)),-1)&gt;=6,F338="N"),"status "&amp;D338&amp;" but no tracker row",IF(AND(E338="Y",D338&lt;&gt;"do_not_contact"),"do_not_contact = Y but status is "&amp;D338,IF(AND(D338="do_not_contact",E338&lt;&gt;"Y"),"status do_not_contact but do_not_contact is not Y",""))))))</f>
        <v/>
      </c>
      <c r="I338" s="23" t="n">
        <v>317</v>
      </c>
      <c r="J338" s="23" t="str">
        <f aca="false">IFERROR(INDEX(Clay_Brands!$A$2:$FZ$601,I338,$D$5)&amp;"","")</f>
        <v/>
      </c>
      <c r="K338" s="23" t="str">
        <f aca="false">IFERROR(INDEX(Clay_Brands!$A$2:$FZ$601,I338,$D$7)&amp;"","")</f>
        <v/>
      </c>
      <c r="L338" s="23" t="str">
        <f aca="false">IFERROR(INDEX(Clay_Brands!$A$2:$FZ$601,I338,$D$8)&amp;"","")</f>
        <v/>
      </c>
      <c r="M338" s="23" t="str">
        <f aca="false">IF(J338="","",IF(COUNTIF(Brand_Log!$A$2:$A$201,J338)&gt;0,"Y","N"))</f>
        <v/>
      </c>
      <c r="N338" s="34" t="str">
        <f aca="false">IF(OR(J338="",AND(LEFT(J338,6)="SAMPLE",Config!$B$19&lt;&gt;"Y")),"",IF(IFERROR(INDEX(Lists!$K$2:$K$15,MATCH(K338,Lists!$J$2:$J$15,0)),-1)=-1,"status '"&amp;K338&amp;"' is not a CONTRACTS status",IF(AND(K338="paid",COUNTIF(paid_brands!$AC$2:$AC$51,J338)=0),"status paid but no paid_brands row"&amp;IF(M338="N"," and no tracker row",""),IF(AND(IFERROR(INDEX(Lists!$K$2:$K$15,MATCH(K338,Lists!$J$2:$J$15,0)),-1)&gt;=6,M338="N"),"status "&amp;K338&amp;" but no tracker row",IF(AND(L338="Y",K338&lt;&gt;"do_not_contact"),"do_not_contact = Y but status is "&amp;K338,IF(AND(K338="do_not_contact",L338&lt;&gt;"Y"),"status do_not_contact but do_not_contact is not Y",""))))))</f>
        <v/>
      </c>
    </row>
    <row r="339" customFormat="false" ht="15" hidden="false" customHeight="false" outlineLevel="0" collapsed="false">
      <c r="B339" s="23" t="n">
        <v>318</v>
      </c>
      <c r="C339" s="23" t="str">
        <f aca="false">IFERROR(INDEX(Clay_Offices!$A$2:$FZ$601,B339,$C$5)&amp;"","")</f>
        <v/>
      </c>
      <c r="D339" s="23" t="str">
        <f aca="false">IFERROR(INDEX(Clay_Offices!$A$2:$FZ$601,B339,$C$7)&amp;"","")</f>
        <v/>
      </c>
      <c r="E339" s="23" t="str">
        <f aca="false">IFERROR(INDEX(Clay_Offices!$A$2:$FZ$601,B339,$C$8)&amp;"","")</f>
        <v/>
      </c>
      <c r="F339" s="23" t="str">
        <f aca="false">IF(C339="","",IF(COUNTIF(Office_Log!$A$2:$A$201,C339)&gt;0,"Y","N"))</f>
        <v/>
      </c>
      <c r="G339" s="34" t="str">
        <f aca="false">IF(OR(C339="",AND(LEFT(C339,6)="SAMPLE",Config!$B$19&lt;&gt;"Y")),"",IF(IFERROR(INDEX(Lists!$K$2:$K$15,MATCH(D339,Lists!$J$2:$J$15,0)),-1)=-1,"status '"&amp;D339&amp;"' is not a CONTRACTS status",IF(AND(D339="signed",COUNTIF(signed_offices!$W$2:$W$51,C339)=0),"status signed but no signed_offices row"&amp;IF(F339="N"," and no tracker row",""),IF(AND(IFERROR(INDEX(Lists!$K$2:$K$15,MATCH(D339,Lists!$J$2:$J$15,0)),-1)&gt;=6,F339="N"),"status "&amp;D339&amp;" but no tracker row",IF(AND(E339="Y",D339&lt;&gt;"do_not_contact"),"do_not_contact = Y but status is "&amp;D339,IF(AND(D339="do_not_contact",E339&lt;&gt;"Y"),"status do_not_contact but do_not_contact is not Y",""))))))</f>
        <v/>
      </c>
      <c r="I339" s="23" t="n">
        <v>318</v>
      </c>
      <c r="J339" s="23" t="str">
        <f aca="false">IFERROR(INDEX(Clay_Brands!$A$2:$FZ$601,I339,$D$5)&amp;"","")</f>
        <v/>
      </c>
      <c r="K339" s="23" t="str">
        <f aca="false">IFERROR(INDEX(Clay_Brands!$A$2:$FZ$601,I339,$D$7)&amp;"","")</f>
        <v/>
      </c>
      <c r="L339" s="23" t="str">
        <f aca="false">IFERROR(INDEX(Clay_Brands!$A$2:$FZ$601,I339,$D$8)&amp;"","")</f>
        <v/>
      </c>
      <c r="M339" s="23" t="str">
        <f aca="false">IF(J339="","",IF(COUNTIF(Brand_Log!$A$2:$A$201,J339)&gt;0,"Y","N"))</f>
        <v/>
      </c>
      <c r="N339" s="34" t="str">
        <f aca="false">IF(OR(J339="",AND(LEFT(J339,6)="SAMPLE",Config!$B$19&lt;&gt;"Y")),"",IF(IFERROR(INDEX(Lists!$K$2:$K$15,MATCH(K339,Lists!$J$2:$J$15,0)),-1)=-1,"status '"&amp;K339&amp;"' is not a CONTRACTS status",IF(AND(K339="paid",COUNTIF(paid_brands!$AC$2:$AC$51,J339)=0),"status paid but no paid_brands row"&amp;IF(M339="N"," and no tracker row",""),IF(AND(IFERROR(INDEX(Lists!$K$2:$K$15,MATCH(K339,Lists!$J$2:$J$15,0)),-1)&gt;=6,M339="N"),"status "&amp;K339&amp;" but no tracker row",IF(AND(L339="Y",K339&lt;&gt;"do_not_contact"),"do_not_contact = Y but status is "&amp;K339,IF(AND(K339="do_not_contact",L339&lt;&gt;"Y"),"status do_not_contact but do_not_contact is not Y",""))))))</f>
        <v/>
      </c>
    </row>
    <row r="340" customFormat="false" ht="15" hidden="false" customHeight="false" outlineLevel="0" collapsed="false">
      <c r="B340" s="23" t="n">
        <v>319</v>
      </c>
      <c r="C340" s="23" t="str">
        <f aca="false">IFERROR(INDEX(Clay_Offices!$A$2:$FZ$601,B340,$C$5)&amp;"","")</f>
        <v/>
      </c>
      <c r="D340" s="23" t="str">
        <f aca="false">IFERROR(INDEX(Clay_Offices!$A$2:$FZ$601,B340,$C$7)&amp;"","")</f>
        <v/>
      </c>
      <c r="E340" s="23" t="str">
        <f aca="false">IFERROR(INDEX(Clay_Offices!$A$2:$FZ$601,B340,$C$8)&amp;"","")</f>
        <v/>
      </c>
      <c r="F340" s="23" t="str">
        <f aca="false">IF(C340="","",IF(COUNTIF(Office_Log!$A$2:$A$201,C340)&gt;0,"Y","N"))</f>
        <v/>
      </c>
      <c r="G340" s="34" t="str">
        <f aca="false">IF(OR(C340="",AND(LEFT(C340,6)="SAMPLE",Config!$B$19&lt;&gt;"Y")),"",IF(IFERROR(INDEX(Lists!$K$2:$K$15,MATCH(D340,Lists!$J$2:$J$15,0)),-1)=-1,"status '"&amp;D340&amp;"' is not a CONTRACTS status",IF(AND(D340="signed",COUNTIF(signed_offices!$W$2:$W$51,C340)=0),"status signed but no signed_offices row"&amp;IF(F340="N"," and no tracker row",""),IF(AND(IFERROR(INDEX(Lists!$K$2:$K$15,MATCH(D340,Lists!$J$2:$J$15,0)),-1)&gt;=6,F340="N"),"status "&amp;D340&amp;" but no tracker row",IF(AND(E340="Y",D340&lt;&gt;"do_not_contact"),"do_not_contact = Y but status is "&amp;D340,IF(AND(D340="do_not_contact",E340&lt;&gt;"Y"),"status do_not_contact but do_not_contact is not Y",""))))))</f>
        <v/>
      </c>
      <c r="I340" s="23" t="n">
        <v>319</v>
      </c>
      <c r="J340" s="23" t="str">
        <f aca="false">IFERROR(INDEX(Clay_Brands!$A$2:$FZ$601,I340,$D$5)&amp;"","")</f>
        <v/>
      </c>
      <c r="K340" s="23" t="str">
        <f aca="false">IFERROR(INDEX(Clay_Brands!$A$2:$FZ$601,I340,$D$7)&amp;"","")</f>
        <v/>
      </c>
      <c r="L340" s="23" t="str">
        <f aca="false">IFERROR(INDEX(Clay_Brands!$A$2:$FZ$601,I340,$D$8)&amp;"","")</f>
        <v/>
      </c>
      <c r="M340" s="23" t="str">
        <f aca="false">IF(J340="","",IF(COUNTIF(Brand_Log!$A$2:$A$201,J340)&gt;0,"Y","N"))</f>
        <v/>
      </c>
      <c r="N340" s="34" t="str">
        <f aca="false">IF(OR(J340="",AND(LEFT(J340,6)="SAMPLE",Config!$B$19&lt;&gt;"Y")),"",IF(IFERROR(INDEX(Lists!$K$2:$K$15,MATCH(K340,Lists!$J$2:$J$15,0)),-1)=-1,"status '"&amp;K340&amp;"' is not a CONTRACTS status",IF(AND(K340="paid",COUNTIF(paid_brands!$AC$2:$AC$51,J340)=0),"status paid but no paid_brands row"&amp;IF(M340="N"," and no tracker row",""),IF(AND(IFERROR(INDEX(Lists!$K$2:$K$15,MATCH(K340,Lists!$J$2:$J$15,0)),-1)&gt;=6,M340="N"),"status "&amp;K340&amp;" but no tracker row",IF(AND(L340="Y",K340&lt;&gt;"do_not_contact"),"do_not_contact = Y but status is "&amp;K340,IF(AND(K340="do_not_contact",L340&lt;&gt;"Y"),"status do_not_contact but do_not_contact is not Y",""))))))</f>
        <v/>
      </c>
    </row>
    <row r="341" customFormat="false" ht="15" hidden="false" customHeight="false" outlineLevel="0" collapsed="false">
      <c r="B341" s="23" t="n">
        <v>320</v>
      </c>
      <c r="C341" s="23" t="str">
        <f aca="false">IFERROR(INDEX(Clay_Offices!$A$2:$FZ$601,B341,$C$5)&amp;"","")</f>
        <v/>
      </c>
      <c r="D341" s="23" t="str">
        <f aca="false">IFERROR(INDEX(Clay_Offices!$A$2:$FZ$601,B341,$C$7)&amp;"","")</f>
        <v/>
      </c>
      <c r="E341" s="23" t="str">
        <f aca="false">IFERROR(INDEX(Clay_Offices!$A$2:$FZ$601,B341,$C$8)&amp;"","")</f>
        <v/>
      </c>
      <c r="F341" s="23" t="str">
        <f aca="false">IF(C341="","",IF(COUNTIF(Office_Log!$A$2:$A$201,C341)&gt;0,"Y","N"))</f>
        <v/>
      </c>
      <c r="G341" s="34" t="str">
        <f aca="false">IF(OR(C341="",AND(LEFT(C341,6)="SAMPLE",Config!$B$19&lt;&gt;"Y")),"",IF(IFERROR(INDEX(Lists!$K$2:$K$15,MATCH(D341,Lists!$J$2:$J$15,0)),-1)=-1,"status '"&amp;D341&amp;"' is not a CONTRACTS status",IF(AND(D341="signed",COUNTIF(signed_offices!$W$2:$W$51,C341)=0),"status signed but no signed_offices row"&amp;IF(F341="N"," and no tracker row",""),IF(AND(IFERROR(INDEX(Lists!$K$2:$K$15,MATCH(D341,Lists!$J$2:$J$15,0)),-1)&gt;=6,F341="N"),"status "&amp;D341&amp;" but no tracker row",IF(AND(E341="Y",D341&lt;&gt;"do_not_contact"),"do_not_contact = Y but status is "&amp;D341,IF(AND(D341="do_not_contact",E341&lt;&gt;"Y"),"status do_not_contact but do_not_contact is not Y",""))))))</f>
        <v/>
      </c>
      <c r="I341" s="23" t="n">
        <v>320</v>
      </c>
      <c r="J341" s="23" t="str">
        <f aca="false">IFERROR(INDEX(Clay_Brands!$A$2:$FZ$601,I341,$D$5)&amp;"","")</f>
        <v/>
      </c>
      <c r="K341" s="23" t="str">
        <f aca="false">IFERROR(INDEX(Clay_Brands!$A$2:$FZ$601,I341,$D$7)&amp;"","")</f>
        <v/>
      </c>
      <c r="L341" s="23" t="str">
        <f aca="false">IFERROR(INDEX(Clay_Brands!$A$2:$FZ$601,I341,$D$8)&amp;"","")</f>
        <v/>
      </c>
      <c r="M341" s="23" t="str">
        <f aca="false">IF(J341="","",IF(COUNTIF(Brand_Log!$A$2:$A$201,J341)&gt;0,"Y","N"))</f>
        <v/>
      </c>
      <c r="N341" s="34" t="str">
        <f aca="false">IF(OR(J341="",AND(LEFT(J341,6)="SAMPLE",Config!$B$19&lt;&gt;"Y")),"",IF(IFERROR(INDEX(Lists!$K$2:$K$15,MATCH(K341,Lists!$J$2:$J$15,0)),-1)=-1,"status '"&amp;K341&amp;"' is not a CONTRACTS status",IF(AND(K341="paid",COUNTIF(paid_brands!$AC$2:$AC$51,J341)=0),"status paid but no paid_brands row"&amp;IF(M341="N"," and no tracker row",""),IF(AND(IFERROR(INDEX(Lists!$K$2:$K$15,MATCH(K341,Lists!$J$2:$J$15,0)),-1)&gt;=6,M341="N"),"status "&amp;K341&amp;" but no tracker row",IF(AND(L341="Y",K341&lt;&gt;"do_not_contact"),"do_not_contact = Y but status is "&amp;K341,IF(AND(K341="do_not_contact",L341&lt;&gt;"Y"),"status do_not_contact but do_not_contact is not Y",""))))))</f>
        <v/>
      </c>
    </row>
    <row r="342" customFormat="false" ht="15" hidden="false" customHeight="false" outlineLevel="0" collapsed="false">
      <c r="B342" s="23" t="n">
        <v>321</v>
      </c>
      <c r="C342" s="23" t="str">
        <f aca="false">IFERROR(INDEX(Clay_Offices!$A$2:$FZ$601,B342,$C$5)&amp;"","")</f>
        <v/>
      </c>
      <c r="D342" s="23" t="str">
        <f aca="false">IFERROR(INDEX(Clay_Offices!$A$2:$FZ$601,B342,$C$7)&amp;"","")</f>
        <v/>
      </c>
      <c r="E342" s="23" t="str">
        <f aca="false">IFERROR(INDEX(Clay_Offices!$A$2:$FZ$601,B342,$C$8)&amp;"","")</f>
        <v/>
      </c>
      <c r="F342" s="23" t="str">
        <f aca="false">IF(C342="","",IF(COUNTIF(Office_Log!$A$2:$A$201,C342)&gt;0,"Y","N"))</f>
        <v/>
      </c>
      <c r="G342" s="34" t="str">
        <f aca="false">IF(OR(C342="",AND(LEFT(C342,6)="SAMPLE",Config!$B$19&lt;&gt;"Y")),"",IF(IFERROR(INDEX(Lists!$K$2:$K$15,MATCH(D342,Lists!$J$2:$J$15,0)),-1)=-1,"status '"&amp;D342&amp;"' is not a CONTRACTS status",IF(AND(D342="signed",COUNTIF(signed_offices!$W$2:$W$51,C342)=0),"status signed but no signed_offices row"&amp;IF(F342="N"," and no tracker row",""),IF(AND(IFERROR(INDEX(Lists!$K$2:$K$15,MATCH(D342,Lists!$J$2:$J$15,0)),-1)&gt;=6,F342="N"),"status "&amp;D342&amp;" but no tracker row",IF(AND(E342="Y",D342&lt;&gt;"do_not_contact"),"do_not_contact = Y but status is "&amp;D342,IF(AND(D342="do_not_contact",E342&lt;&gt;"Y"),"status do_not_contact but do_not_contact is not Y",""))))))</f>
        <v/>
      </c>
      <c r="I342" s="23" t="n">
        <v>321</v>
      </c>
      <c r="J342" s="23" t="str">
        <f aca="false">IFERROR(INDEX(Clay_Brands!$A$2:$FZ$601,I342,$D$5)&amp;"","")</f>
        <v/>
      </c>
      <c r="K342" s="23" t="str">
        <f aca="false">IFERROR(INDEX(Clay_Brands!$A$2:$FZ$601,I342,$D$7)&amp;"","")</f>
        <v/>
      </c>
      <c r="L342" s="23" t="str">
        <f aca="false">IFERROR(INDEX(Clay_Brands!$A$2:$FZ$601,I342,$D$8)&amp;"","")</f>
        <v/>
      </c>
      <c r="M342" s="23" t="str">
        <f aca="false">IF(J342="","",IF(COUNTIF(Brand_Log!$A$2:$A$201,J342)&gt;0,"Y","N"))</f>
        <v/>
      </c>
      <c r="N342" s="34" t="str">
        <f aca="false">IF(OR(J342="",AND(LEFT(J342,6)="SAMPLE",Config!$B$19&lt;&gt;"Y")),"",IF(IFERROR(INDEX(Lists!$K$2:$K$15,MATCH(K342,Lists!$J$2:$J$15,0)),-1)=-1,"status '"&amp;K342&amp;"' is not a CONTRACTS status",IF(AND(K342="paid",COUNTIF(paid_brands!$AC$2:$AC$51,J342)=0),"status paid but no paid_brands row"&amp;IF(M342="N"," and no tracker row",""),IF(AND(IFERROR(INDEX(Lists!$K$2:$K$15,MATCH(K342,Lists!$J$2:$J$15,0)),-1)&gt;=6,M342="N"),"status "&amp;K342&amp;" but no tracker row",IF(AND(L342="Y",K342&lt;&gt;"do_not_contact"),"do_not_contact = Y but status is "&amp;K342,IF(AND(K342="do_not_contact",L342&lt;&gt;"Y"),"status do_not_contact but do_not_contact is not Y",""))))))</f>
        <v/>
      </c>
    </row>
    <row r="343" customFormat="false" ht="15" hidden="false" customHeight="false" outlineLevel="0" collapsed="false">
      <c r="B343" s="23" t="n">
        <v>322</v>
      </c>
      <c r="C343" s="23" t="str">
        <f aca="false">IFERROR(INDEX(Clay_Offices!$A$2:$FZ$601,B343,$C$5)&amp;"","")</f>
        <v/>
      </c>
      <c r="D343" s="23" t="str">
        <f aca="false">IFERROR(INDEX(Clay_Offices!$A$2:$FZ$601,B343,$C$7)&amp;"","")</f>
        <v/>
      </c>
      <c r="E343" s="23" t="str">
        <f aca="false">IFERROR(INDEX(Clay_Offices!$A$2:$FZ$601,B343,$C$8)&amp;"","")</f>
        <v/>
      </c>
      <c r="F343" s="23" t="str">
        <f aca="false">IF(C343="","",IF(COUNTIF(Office_Log!$A$2:$A$201,C343)&gt;0,"Y","N"))</f>
        <v/>
      </c>
      <c r="G343" s="34" t="str">
        <f aca="false">IF(OR(C343="",AND(LEFT(C343,6)="SAMPLE",Config!$B$19&lt;&gt;"Y")),"",IF(IFERROR(INDEX(Lists!$K$2:$K$15,MATCH(D343,Lists!$J$2:$J$15,0)),-1)=-1,"status '"&amp;D343&amp;"' is not a CONTRACTS status",IF(AND(D343="signed",COUNTIF(signed_offices!$W$2:$W$51,C343)=0),"status signed but no signed_offices row"&amp;IF(F343="N"," and no tracker row",""),IF(AND(IFERROR(INDEX(Lists!$K$2:$K$15,MATCH(D343,Lists!$J$2:$J$15,0)),-1)&gt;=6,F343="N"),"status "&amp;D343&amp;" but no tracker row",IF(AND(E343="Y",D343&lt;&gt;"do_not_contact"),"do_not_contact = Y but status is "&amp;D343,IF(AND(D343="do_not_contact",E343&lt;&gt;"Y"),"status do_not_contact but do_not_contact is not Y",""))))))</f>
        <v/>
      </c>
      <c r="I343" s="23" t="n">
        <v>322</v>
      </c>
      <c r="J343" s="23" t="str">
        <f aca="false">IFERROR(INDEX(Clay_Brands!$A$2:$FZ$601,I343,$D$5)&amp;"","")</f>
        <v/>
      </c>
      <c r="K343" s="23" t="str">
        <f aca="false">IFERROR(INDEX(Clay_Brands!$A$2:$FZ$601,I343,$D$7)&amp;"","")</f>
        <v/>
      </c>
      <c r="L343" s="23" t="str">
        <f aca="false">IFERROR(INDEX(Clay_Brands!$A$2:$FZ$601,I343,$D$8)&amp;"","")</f>
        <v/>
      </c>
      <c r="M343" s="23" t="str">
        <f aca="false">IF(J343="","",IF(COUNTIF(Brand_Log!$A$2:$A$201,J343)&gt;0,"Y","N"))</f>
        <v/>
      </c>
      <c r="N343" s="34" t="str">
        <f aca="false">IF(OR(J343="",AND(LEFT(J343,6)="SAMPLE",Config!$B$19&lt;&gt;"Y")),"",IF(IFERROR(INDEX(Lists!$K$2:$K$15,MATCH(K343,Lists!$J$2:$J$15,0)),-1)=-1,"status '"&amp;K343&amp;"' is not a CONTRACTS status",IF(AND(K343="paid",COUNTIF(paid_brands!$AC$2:$AC$51,J343)=0),"status paid but no paid_brands row"&amp;IF(M343="N"," and no tracker row",""),IF(AND(IFERROR(INDEX(Lists!$K$2:$K$15,MATCH(K343,Lists!$J$2:$J$15,0)),-1)&gt;=6,M343="N"),"status "&amp;K343&amp;" but no tracker row",IF(AND(L343="Y",K343&lt;&gt;"do_not_contact"),"do_not_contact = Y but status is "&amp;K343,IF(AND(K343="do_not_contact",L343&lt;&gt;"Y"),"status do_not_contact but do_not_contact is not Y",""))))))</f>
        <v/>
      </c>
    </row>
    <row r="344" customFormat="false" ht="15" hidden="false" customHeight="false" outlineLevel="0" collapsed="false">
      <c r="B344" s="23" t="n">
        <v>323</v>
      </c>
      <c r="C344" s="23" t="str">
        <f aca="false">IFERROR(INDEX(Clay_Offices!$A$2:$FZ$601,B344,$C$5)&amp;"","")</f>
        <v/>
      </c>
      <c r="D344" s="23" t="str">
        <f aca="false">IFERROR(INDEX(Clay_Offices!$A$2:$FZ$601,B344,$C$7)&amp;"","")</f>
        <v/>
      </c>
      <c r="E344" s="23" t="str">
        <f aca="false">IFERROR(INDEX(Clay_Offices!$A$2:$FZ$601,B344,$C$8)&amp;"","")</f>
        <v/>
      </c>
      <c r="F344" s="23" t="str">
        <f aca="false">IF(C344="","",IF(COUNTIF(Office_Log!$A$2:$A$201,C344)&gt;0,"Y","N"))</f>
        <v/>
      </c>
      <c r="G344" s="34" t="str">
        <f aca="false">IF(OR(C344="",AND(LEFT(C344,6)="SAMPLE",Config!$B$19&lt;&gt;"Y")),"",IF(IFERROR(INDEX(Lists!$K$2:$K$15,MATCH(D344,Lists!$J$2:$J$15,0)),-1)=-1,"status '"&amp;D344&amp;"' is not a CONTRACTS status",IF(AND(D344="signed",COUNTIF(signed_offices!$W$2:$W$51,C344)=0),"status signed but no signed_offices row"&amp;IF(F344="N"," and no tracker row",""),IF(AND(IFERROR(INDEX(Lists!$K$2:$K$15,MATCH(D344,Lists!$J$2:$J$15,0)),-1)&gt;=6,F344="N"),"status "&amp;D344&amp;" but no tracker row",IF(AND(E344="Y",D344&lt;&gt;"do_not_contact"),"do_not_contact = Y but status is "&amp;D344,IF(AND(D344="do_not_contact",E344&lt;&gt;"Y"),"status do_not_contact but do_not_contact is not Y",""))))))</f>
        <v/>
      </c>
      <c r="I344" s="23" t="n">
        <v>323</v>
      </c>
      <c r="J344" s="23" t="str">
        <f aca="false">IFERROR(INDEX(Clay_Brands!$A$2:$FZ$601,I344,$D$5)&amp;"","")</f>
        <v/>
      </c>
      <c r="K344" s="23" t="str">
        <f aca="false">IFERROR(INDEX(Clay_Brands!$A$2:$FZ$601,I344,$D$7)&amp;"","")</f>
        <v/>
      </c>
      <c r="L344" s="23" t="str">
        <f aca="false">IFERROR(INDEX(Clay_Brands!$A$2:$FZ$601,I344,$D$8)&amp;"","")</f>
        <v/>
      </c>
      <c r="M344" s="23" t="str">
        <f aca="false">IF(J344="","",IF(COUNTIF(Brand_Log!$A$2:$A$201,J344)&gt;0,"Y","N"))</f>
        <v/>
      </c>
      <c r="N344" s="34" t="str">
        <f aca="false">IF(OR(J344="",AND(LEFT(J344,6)="SAMPLE",Config!$B$19&lt;&gt;"Y")),"",IF(IFERROR(INDEX(Lists!$K$2:$K$15,MATCH(K344,Lists!$J$2:$J$15,0)),-1)=-1,"status '"&amp;K344&amp;"' is not a CONTRACTS status",IF(AND(K344="paid",COUNTIF(paid_brands!$AC$2:$AC$51,J344)=0),"status paid but no paid_brands row"&amp;IF(M344="N"," and no tracker row",""),IF(AND(IFERROR(INDEX(Lists!$K$2:$K$15,MATCH(K344,Lists!$J$2:$J$15,0)),-1)&gt;=6,M344="N"),"status "&amp;K344&amp;" but no tracker row",IF(AND(L344="Y",K344&lt;&gt;"do_not_contact"),"do_not_contact = Y but status is "&amp;K344,IF(AND(K344="do_not_contact",L344&lt;&gt;"Y"),"status do_not_contact but do_not_contact is not Y",""))))))</f>
        <v/>
      </c>
    </row>
    <row r="345" customFormat="false" ht="15" hidden="false" customHeight="false" outlineLevel="0" collapsed="false">
      <c r="B345" s="23" t="n">
        <v>324</v>
      </c>
      <c r="C345" s="23" t="str">
        <f aca="false">IFERROR(INDEX(Clay_Offices!$A$2:$FZ$601,B345,$C$5)&amp;"","")</f>
        <v/>
      </c>
      <c r="D345" s="23" t="str">
        <f aca="false">IFERROR(INDEX(Clay_Offices!$A$2:$FZ$601,B345,$C$7)&amp;"","")</f>
        <v/>
      </c>
      <c r="E345" s="23" t="str">
        <f aca="false">IFERROR(INDEX(Clay_Offices!$A$2:$FZ$601,B345,$C$8)&amp;"","")</f>
        <v/>
      </c>
      <c r="F345" s="23" t="str">
        <f aca="false">IF(C345="","",IF(COUNTIF(Office_Log!$A$2:$A$201,C345)&gt;0,"Y","N"))</f>
        <v/>
      </c>
      <c r="G345" s="34" t="str">
        <f aca="false">IF(OR(C345="",AND(LEFT(C345,6)="SAMPLE",Config!$B$19&lt;&gt;"Y")),"",IF(IFERROR(INDEX(Lists!$K$2:$K$15,MATCH(D345,Lists!$J$2:$J$15,0)),-1)=-1,"status '"&amp;D345&amp;"' is not a CONTRACTS status",IF(AND(D345="signed",COUNTIF(signed_offices!$W$2:$W$51,C345)=0),"status signed but no signed_offices row"&amp;IF(F345="N"," and no tracker row",""),IF(AND(IFERROR(INDEX(Lists!$K$2:$K$15,MATCH(D345,Lists!$J$2:$J$15,0)),-1)&gt;=6,F345="N"),"status "&amp;D345&amp;" but no tracker row",IF(AND(E345="Y",D345&lt;&gt;"do_not_contact"),"do_not_contact = Y but status is "&amp;D345,IF(AND(D345="do_not_contact",E345&lt;&gt;"Y"),"status do_not_contact but do_not_contact is not Y",""))))))</f>
        <v/>
      </c>
      <c r="I345" s="23" t="n">
        <v>324</v>
      </c>
      <c r="J345" s="23" t="str">
        <f aca="false">IFERROR(INDEX(Clay_Brands!$A$2:$FZ$601,I345,$D$5)&amp;"","")</f>
        <v/>
      </c>
      <c r="K345" s="23" t="str">
        <f aca="false">IFERROR(INDEX(Clay_Brands!$A$2:$FZ$601,I345,$D$7)&amp;"","")</f>
        <v/>
      </c>
      <c r="L345" s="23" t="str">
        <f aca="false">IFERROR(INDEX(Clay_Brands!$A$2:$FZ$601,I345,$D$8)&amp;"","")</f>
        <v/>
      </c>
      <c r="M345" s="23" t="str">
        <f aca="false">IF(J345="","",IF(COUNTIF(Brand_Log!$A$2:$A$201,J345)&gt;0,"Y","N"))</f>
        <v/>
      </c>
      <c r="N345" s="34" t="str">
        <f aca="false">IF(OR(J345="",AND(LEFT(J345,6)="SAMPLE",Config!$B$19&lt;&gt;"Y")),"",IF(IFERROR(INDEX(Lists!$K$2:$K$15,MATCH(K345,Lists!$J$2:$J$15,0)),-1)=-1,"status '"&amp;K345&amp;"' is not a CONTRACTS status",IF(AND(K345="paid",COUNTIF(paid_brands!$AC$2:$AC$51,J345)=0),"status paid but no paid_brands row"&amp;IF(M345="N"," and no tracker row",""),IF(AND(IFERROR(INDEX(Lists!$K$2:$K$15,MATCH(K345,Lists!$J$2:$J$15,0)),-1)&gt;=6,M345="N"),"status "&amp;K345&amp;" but no tracker row",IF(AND(L345="Y",K345&lt;&gt;"do_not_contact"),"do_not_contact = Y but status is "&amp;K345,IF(AND(K345="do_not_contact",L345&lt;&gt;"Y"),"status do_not_contact but do_not_contact is not Y",""))))))</f>
        <v/>
      </c>
    </row>
    <row r="346" customFormat="false" ht="15" hidden="false" customHeight="false" outlineLevel="0" collapsed="false">
      <c r="B346" s="23" t="n">
        <v>325</v>
      </c>
      <c r="C346" s="23" t="str">
        <f aca="false">IFERROR(INDEX(Clay_Offices!$A$2:$FZ$601,B346,$C$5)&amp;"","")</f>
        <v/>
      </c>
      <c r="D346" s="23" t="str">
        <f aca="false">IFERROR(INDEX(Clay_Offices!$A$2:$FZ$601,B346,$C$7)&amp;"","")</f>
        <v/>
      </c>
      <c r="E346" s="23" t="str">
        <f aca="false">IFERROR(INDEX(Clay_Offices!$A$2:$FZ$601,B346,$C$8)&amp;"","")</f>
        <v/>
      </c>
      <c r="F346" s="23" t="str">
        <f aca="false">IF(C346="","",IF(COUNTIF(Office_Log!$A$2:$A$201,C346)&gt;0,"Y","N"))</f>
        <v/>
      </c>
      <c r="G346" s="34" t="str">
        <f aca="false">IF(OR(C346="",AND(LEFT(C346,6)="SAMPLE",Config!$B$19&lt;&gt;"Y")),"",IF(IFERROR(INDEX(Lists!$K$2:$K$15,MATCH(D346,Lists!$J$2:$J$15,0)),-1)=-1,"status '"&amp;D346&amp;"' is not a CONTRACTS status",IF(AND(D346="signed",COUNTIF(signed_offices!$W$2:$W$51,C346)=0),"status signed but no signed_offices row"&amp;IF(F346="N"," and no tracker row",""),IF(AND(IFERROR(INDEX(Lists!$K$2:$K$15,MATCH(D346,Lists!$J$2:$J$15,0)),-1)&gt;=6,F346="N"),"status "&amp;D346&amp;" but no tracker row",IF(AND(E346="Y",D346&lt;&gt;"do_not_contact"),"do_not_contact = Y but status is "&amp;D346,IF(AND(D346="do_not_contact",E346&lt;&gt;"Y"),"status do_not_contact but do_not_contact is not Y",""))))))</f>
        <v/>
      </c>
      <c r="I346" s="23" t="n">
        <v>325</v>
      </c>
      <c r="J346" s="23" t="str">
        <f aca="false">IFERROR(INDEX(Clay_Brands!$A$2:$FZ$601,I346,$D$5)&amp;"","")</f>
        <v/>
      </c>
      <c r="K346" s="23" t="str">
        <f aca="false">IFERROR(INDEX(Clay_Brands!$A$2:$FZ$601,I346,$D$7)&amp;"","")</f>
        <v/>
      </c>
      <c r="L346" s="23" t="str">
        <f aca="false">IFERROR(INDEX(Clay_Brands!$A$2:$FZ$601,I346,$D$8)&amp;"","")</f>
        <v/>
      </c>
      <c r="M346" s="23" t="str">
        <f aca="false">IF(J346="","",IF(COUNTIF(Brand_Log!$A$2:$A$201,J346)&gt;0,"Y","N"))</f>
        <v/>
      </c>
      <c r="N346" s="34" t="str">
        <f aca="false">IF(OR(J346="",AND(LEFT(J346,6)="SAMPLE",Config!$B$19&lt;&gt;"Y")),"",IF(IFERROR(INDEX(Lists!$K$2:$K$15,MATCH(K346,Lists!$J$2:$J$15,0)),-1)=-1,"status '"&amp;K346&amp;"' is not a CONTRACTS status",IF(AND(K346="paid",COUNTIF(paid_brands!$AC$2:$AC$51,J346)=0),"status paid but no paid_brands row"&amp;IF(M346="N"," and no tracker row",""),IF(AND(IFERROR(INDEX(Lists!$K$2:$K$15,MATCH(K346,Lists!$J$2:$J$15,0)),-1)&gt;=6,M346="N"),"status "&amp;K346&amp;" but no tracker row",IF(AND(L346="Y",K346&lt;&gt;"do_not_contact"),"do_not_contact = Y but status is "&amp;K346,IF(AND(K346="do_not_contact",L346&lt;&gt;"Y"),"status do_not_contact but do_not_contact is not Y",""))))))</f>
        <v/>
      </c>
    </row>
    <row r="347" customFormat="false" ht="15" hidden="false" customHeight="false" outlineLevel="0" collapsed="false">
      <c r="B347" s="23" t="n">
        <v>326</v>
      </c>
      <c r="C347" s="23" t="str">
        <f aca="false">IFERROR(INDEX(Clay_Offices!$A$2:$FZ$601,B347,$C$5)&amp;"","")</f>
        <v/>
      </c>
      <c r="D347" s="23" t="str">
        <f aca="false">IFERROR(INDEX(Clay_Offices!$A$2:$FZ$601,B347,$C$7)&amp;"","")</f>
        <v/>
      </c>
      <c r="E347" s="23" t="str">
        <f aca="false">IFERROR(INDEX(Clay_Offices!$A$2:$FZ$601,B347,$C$8)&amp;"","")</f>
        <v/>
      </c>
      <c r="F347" s="23" t="str">
        <f aca="false">IF(C347="","",IF(COUNTIF(Office_Log!$A$2:$A$201,C347)&gt;0,"Y","N"))</f>
        <v/>
      </c>
      <c r="G347" s="34" t="str">
        <f aca="false">IF(OR(C347="",AND(LEFT(C347,6)="SAMPLE",Config!$B$19&lt;&gt;"Y")),"",IF(IFERROR(INDEX(Lists!$K$2:$K$15,MATCH(D347,Lists!$J$2:$J$15,0)),-1)=-1,"status '"&amp;D347&amp;"' is not a CONTRACTS status",IF(AND(D347="signed",COUNTIF(signed_offices!$W$2:$W$51,C347)=0),"status signed but no signed_offices row"&amp;IF(F347="N"," and no tracker row",""),IF(AND(IFERROR(INDEX(Lists!$K$2:$K$15,MATCH(D347,Lists!$J$2:$J$15,0)),-1)&gt;=6,F347="N"),"status "&amp;D347&amp;" but no tracker row",IF(AND(E347="Y",D347&lt;&gt;"do_not_contact"),"do_not_contact = Y but status is "&amp;D347,IF(AND(D347="do_not_contact",E347&lt;&gt;"Y"),"status do_not_contact but do_not_contact is not Y",""))))))</f>
        <v/>
      </c>
      <c r="I347" s="23" t="n">
        <v>326</v>
      </c>
      <c r="J347" s="23" t="str">
        <f aca="false">IFERROR(INDEX(Clay_Brands!$A$2:$FZ$601,I347,$D$5)&amp;"","")</f>
        <v/>
      </c>
      <c r="K347" s="23" t="str">
        <f aca="false">IFERROR(INDEX(Clay_Brands!$A$2:$FZ$601,I347,$D$7)&amp;"","")</f>
        <v/>
      </c>
      <c r="L347" s="23" t="str">
        <f aca="false">IFERROR(INDEX(Clay_Brands!$A$2:$FZ$601,I347,$D$8)&amp;"","")</f>
        <v/>
      </c>
      <c r="M347" s="23" t="str">
        <f aca="false">IF(J347="","",IF(COUNTIF(Brand_Log!$A$2:$A$201,J347)&gt;0,"Y","N"))</f>
        <v/>
      </c>
      <c r="N347" s="34" t="str">
        <f aca="false">IF(OR(J347="",AND(LEFT(J347,6)="SAMPLE",Config!$B$19&lt;&gt;"Y")),"",IF(IFERROR(INDEX(Lists!$K$2:$K$15,MATCH(K347,Lists!$J$2:$J$15,0)),-1)=-1,"status '"&amp;K347&amp;"' is not a CONTRACTS status",IF(AND(K347="paid",COUNTIF(paid_brands!$AC$2:$AC$51,J347)=0),"status paid but no paid_brands row"&amp;IF(M347="N"," and no tracker row",""),IF(AND(IFERROR(INDEX(Lists!$K$2:$K$15,MATCH(K347,Lists!$J$2:$J$15,0)),-1)&gt;=6,M347="N"),"status "&amp;K347&amp;" but no tracker row",IF(AND(L347="Y",K347&lt;&gt;"do_not_contact"),"do_not_contact = Y but status is "&amp;K347,IF(AND(K347="do_not_contact",L347&lt;&gt;"Y"),"status do_not_contact but do_not_contact is not Y",""))))))</f>
        <v/>
      </c>
    </row>
    <row r="348" customFormat="false" ht="15" hidden="false" customHeight="false" outlineLevel="0" collapsed="false">
      <c r="B348" s="23" t="n">
        <v>327</v>
      </c>
      <c r="C348" s="23" t="str">
        <f aca="false">IFERROR(INDEX(Clay_Offices!$A$2:$FZ$601,B348,$C$5)&amp;"","")</f>
        <v/>
      </c>
      <c r="D348" s="23" t="str">
        <f aca="false">IFERROR(INDEX(Clay_Offices!$A$2:$FZ$601,B348,$C$7)&amp;"","")</f>
        <v/>
      </c>
      <c r="E348" s="23" t="str">
        <f aca="false">IFERROR(INDEX(Clay_Offices!$A$2:$FZ$601,B348,$C$8)&amp;"","")</f>
        <v/>
      </c>
      <c r="F348" s="23" t="str">
        <f aca="false">IF(C348="","",IF(COUNTIF(Office_Log!$A$2:$A$201,C348)&gt;0,"Y","N"))</f>
        <v/>
      </c>
      <c r="G348" s="34" t="str">
        <f aca="false">IF(OR(C348="",AND(LEFT(C348,6)="SAMPLE",Config!$B$19&lt;&gt;"Y")),"",IF(IFERROR(INDEX(Lists!$K$2:$K$15,MATCH(D348,Lists!$J$2:$J$15,0)),-1)=-1,"status '"&amp;D348&amp;"' is not a CONTRACTS status",IF(AND(D348="signed",COUNTIF(signed_offices!$W$2:$W$51,C348)=0),"status signed but no signed_offices row"&amp;IF(F348="N"," and no tracker row",""),IF(AND(IFERROR(INDEX(Lists!$K$2:$K$15,MATCH(D348,Lists!$J$2:$J$15,0)),-1)&gt;=6,F348="N"),"status "&amp;D348&amp;" but no tracker row",IF(AND(E348="Y",D348&lt;&gt;"do_not_contact"),"do_not_contact = Y but status is "&amp;D348,IF(AND(D348="do_not_contact",E348&lt;&gt;"Y"),"status do_not_contact but do_not_contact is not Y",""))))))</f>
        <v/>
      </c>
      <c r="I348" s="23" t="n">
        <v>327</v>
      </c>
      <c r="J348" s="23" t="str">
        <f aca="false">IFERROR(INDEX(Clay_Brands!$A$2:$FZ$601,I348,$D$5)&amp;"","")</f>
        <v/>
      </c>
      <c r="K348" s="23" t="str">
        <f aca="false">IFERROR(INDEX(Clay_Brands!$A$2:$FZ$601,I348,$D$7)&amp;"","")</f>
        <v/>
      </c>
      <c r="L348" s="23" t="str">
        <f aca="false">IFERROR(INDEX(Clay_Brands!$A$2:$FZ$601,I348,$D$8)&amp;"","")</f>
        <v/>
      </c>
      <c r="M348" s="23" t="str">
        <f aca="false">IF(J348="","",IF(COUNTIF(Brand_Log!$A$2:$A$201,J348)&gt;0,"Y","N"))</f>
        <v/>
      </c>
      <c r="N348" s="34" t="str">
        <f aca="false">IF(OR(J348="",AND(LEFT(J348,6)="SAMPLE",Config!$B$19&lt;&gt;"Y")),"",IF(IFERROR(INDEX(Lists!$K$2:$K$15,MATCH(K348,Lists!$J$2:$J$15,0)),-1)=-1,"status '"&amp;K348&amp;"' is not a CONTRACTS status",IF(AND(K348="paid",COUNTIF(paid_brands!$AC$2:$AC$51,J348)=0),"status paid but no paid_brands row"&amp;IF(M348="N"," and no tracker row",""),IF(AND(IFERROR(INDEX(Lists!$K$2:$K$15,MATCH(K348,Lists!$J$2:$J$15,0)),-1)&gt;=6,M348="N"),"status "&amp;K348&amp;" but no tracker row",IF(AND(L348="Y",K348&lt;&gt;"do_not_contact"),"do_not_contact = Y but status is "&amp;K348,IF(AND(K348="do_not_contact",L348&lt;&gt;"Y"),"status do_not_contact but do_not_contact is not Y",""))))))</f>
        <v/>
      </c>
    </row>
    <row r="349" customFormat="false" ht="15" hidden="false" customHeight="false" outlineLevel="0" collapsed="false">
      <c r="B349" s="23" t="n">
        <v>328</v>
      </c>
      <c r="C349" s="23" t="str">
        <f aca="false">IFERROR(INDEX(Clay_Offices!$A$2:$FZ$601,B349,$C$5)&amp;"","")</f>
        <v/>
      </c>
      <c r="D349" s="23" t="str">
        <f aca="false">IFERROR(INDEX(Clay_Offices!$A$2:$FZ$601,B349,$C$7)&amp;"","")</f>
        <v/>
      </c>
      <c r="E349" s="23" t="str">
        <f aca="false">IFERROR(INDEX(Clay_Offices!$A$2:$FZ$601,B349,$C$8)&amp;"","")</f>
        <v/>
      </c>
      <c r="F349" s="23" t="str">
        <f aca="false">IF(C349="","",IF(COUNTIF(Office_Log!$A$2:$A$201,C349)&gt;0,"Y","N"))</f>
        <v/>
      </c>
      <c r="G349" s="34" t="str">
        <f aca="false">IF(OR(C349="",AND(LEFT(C349,6)="SAMPLE",Config!$B$19&lt;&gt;"Y")),"",IF(IFERROR(INDEX(Lists!$K$2:$K$15,MATCH(D349,Lists!$J$2:$J$15,0)),-1)=-1,"status '"&amp;D349&amp;"' is not a CONTRACTS status",IF(AND(D349="signed",COUNTIF(signed_offices!$W$2:$W$51,C349)=0),"status signed but no signed_offices row"&amp;IF(F349="N"," and no tracker row",""),IF(AND(IFERROR(INDEX(Lists!$K$2:$K$15,MATCH(D349,Lists!$J$2:$J$15,0)),-1)&gt;=6,F349="N"),"status "&amp;D349&amp;" but no tracker row",IF(AND(E349="Y",D349&lt;&gt;"do_not_contact"),"do_not_contact = Y but status is "&amp;D349,IF(AND(D349="do_not_contact",E349&lt;&gt;"Y"),"status do_not_contact but do_not_contact is not Y",""))))))</f>
        <v/>
      </c>
      <c r="I349" s="23" t="n">
        <v>328</v>
      </c>
      <c r="J349" s="23" t="str">
        <f aca="false">IFERROR(INDEX(Clay_Brands!$A$2:$FZ$601,I349,$D$5)&amp;"","")</f>
        <v/>
      </c>
      <c r="K349" s="23" t="str">
        <f aca="false">IFERROR(INDEX(Clay_Brands!$A$2:$FZ$601,I349,$D$7)&amp;"","")</f>
        <v/>
      </c>
      <c r="L349" s="23" t="str">
        <f aca="false">IFERROR(INDEX(Clay_Brands!$A$2:$FZ$601,I349,$D$8)&amp;"","")</f>
        <v/>
      </c>
      <c r="M349" s="23" t="str">
        <f aca="false">IF(J349="","",IF(COUNTIF(Brand_Log!$A$2:$A$201,J349)&gt;0,"Y","N"))</f>
        <v/>
      </c>
      <c r="N349" s="34" t="str">
        <f aca="false">IF(OR(J349="",AND(LEFT(J349,6)="SAMPLE",Config!$B$19&lt;&gt;"Y")),"",IF(IFERROR(INDEX(Lists!$K$2:$K$15,MATCH(K349,Lists!$J$2:$J$15,0)),-1)=-1,"status '"&amp;K349&amp;"' is not a CONTRACTS status",IF(AND(K349="paid",COUNTIF(paid_brands!$AC$2:$AC$51,J349)=0),"status paid but no paid_brands row"&amp;IF(M349="N"," and no tracker row",""),IF(AND(IFERROR(INDEX(Lists!$K$2:$K$15,MATCH(K349,Lists!$J$2:$J$15,0)),-1)&gt;=6,M349="N"),"status "&amp;K349&amp;" but no tracker row",IF(AND(L349="Y",K349&lt;&gt;"do_not_contact"),"do_not_contact = Y but status is "&amp;K349,IF(AND(K349="do_not_contact",L349&lt;&gt;"Y"),"status do_not_contact but do_not_contact is not Y",""))))))</f>
        <v/>
      </c>
    </row>
    <row r="350" customFormat="false" ht="15" hidden="false" customHeight="false" outlineLevel="0" collapsed="false">
      <c r="B350" s="23" t="n">
        <v>329</v>
      </c>
      <c r="C350" s="23" t="str">
        <f aca="false">IFERROR(INDEX(Clay_Offices!$A$2:$FZ$601,B350,$C$5)&amp;"","")</f>
        <v/>
      </c>
      <c r="D350" s="23" t="str">
        <f aca="false">IFERROR(INDEX(Clay_Offices!$A$2:$FZ$601,B350,$C$7)&amp;"","")</f>
        <v/>
      </c>
      <c r="E350" s="23" t="str">
        <f aca="false">IFERROR(INDEX(Clay_Offices!$A$2:$FZ$601,B350,$C$8)&amp;"","")</f>
        <v/>
      </c>
      <c r="F350" s="23" t="str">
        <f aca="false">IF(C350="","",IF(COUNTIF(Office_Log!$A$2:$A$201,C350)&gt;0,"Y","N"))</f>
        <v/>
      </c>
      <c r="G350" s="34" t="str">
        <f aca="false">IF(OR(C350="",AND(LEFT(C350,6)="SAMPLE",Config!$B$19&lt;&gt;"Y")),"",IF(IFERROR(INDEX(Lists!$K$2:$K$15,MATCH(D350,Lists!$J$2:$J$15,0)),-1)=-1,"status '"&amp;D350&amp;"' is not a CONTRACTS status",IF(AND(D350="signed",COUNTIF(signed_offices!$W$2:$W$51,C350)=0),"status signed but no signed_offices row"&amp;IF(F350="N"," and no tracker row",""),IF(AND(IFERROR(INDEX(Lists!$K$2:$K$15,MATCH(D350,Lists!$J$2:$J$15,0)),-1)&gt;=6,F350="N"),"status "&amp;D350&amp;" but no tracker row",IF(AND(E350="Y",D350&lt;&gt;"do_not_contact"),"do_not_contact = Y but status is "&amp;D350,IF(AND(D350="do_not_contact",E350&lt;&gt;"Y"),"status do_not_contact but do_not_contact is not Y",""))))))</f>
        <v/>
      </c>
      <c r="I350" s="23" t="n">
        <v>329</v>
      </c>
      <c r="J350" s="23" t="str">
        <f aca="false">IFERROR(INDEX(Clay_Brands!$A$2:$FZ$601,I350,$D$5)&amp;"","")</f>
        <v/>
      </c>
      <c r="K350" s="23" t="str">
        <f aca="false">IFERROR(INDEX(Clay_Brands!$A$2:$FZ$601,I350,$D$7)&amp;"","")</f>
        <v/>
      </c>
      <c r="L350" s="23" t="str">
        <f aca="false">IFERROR(INDEX(Clay_Brands!$A$2:$FZ$601,I350,$D$8)&amp;"","")</f>
        <v/>
      </c>
      <c r="M350" s="23" t="str">
        <f aca="false">IF(J350="","",IF(COUNTIF(Brand_Log!$A$2:$A$201,J350)&gt;0,"Y","N"))</f>
        <v/>
      </c>
      <c r="N350" s="34" t="str">
        <f aca="false">IF(OR(J350="",AND(LEFT(J350,6)="SAMPLE",Config!$B$19&lt;&gt;"Y")),"",IF(IFERROR(INDEX(Lists!$K$2:$K$15,MATCH(K350,Lists!$J$2:$J$15,0)),-1)=-1,"status '"&amp;K350&amp;"' is not a CONTRACTS status",IF(AND(K350="paid",COUNTIF(paid_brands!$AC$2:$AC$51,J350)=0),"status paid but no paid_brands row"&amp;IF(M350="N"," and no tracker row",""),IF(AND(IFERROR(INDEX(Lists!$K$2:$K$15,MATCH(K350,Lists!$J$2:$J$15,0)),-1)&gt;=6,M350="N"),"status "&amp;K350&amp;" but no tracker row",IF(AND(L350="Y",K350&lt;&gt;"do_not_contact"),"do_not_contact = Y but status is "&amp;K350,IF(AND(K350="do_not_contact",L350&lt;&gt;"Y"),"status do_not_contact but do_not_contact is not Y",""))))))</f>
        <v/>
      </c>
    </row>
    <row r="351" customFormat="false" ht="15" hidden="false" customHeight="false" outlineLevel="0" collapsed="false">
      <c r="B351" s="23" t="n">
        <v>330</v>
      </c>
      <c r="C351" s="23" t="str">
        <f aca="false">IFERROR(INDEX(Clay_Offices!$A$2:$FZ$601,B351,$C$5)&amp;"","")</f>
        <v/>
      </c>
      <c r="D351" s="23" t="str">
        <f aca="false">IFERROR(INDEX(Clay_Offices!$A$2:$FZ$601,B351,$C$7)&amp;"","")</f>
        <v/>
      </c>
      <c r="E351" s="23" t="str">
        <f aca="false">IFERROR(INDEX(Clay_Offices!$A$2:$FZ$601,B351,$C$8)&amp;"","")</f>
        <v/>
      </c>
      <c r="F351" s="23" t="str">
        <f aca="false">IF(C351="","",IF(COUNTIF(Office_Log!$A$2:$A$201,C351)&gt;0,"Y","N"))</f>
        <v/>
      </c>
      <c r="G351" s="34" t="str">
        <f aca="false">IF(OR(C351="",AND(LEFT(C351,6)="SAMPLE",Config!$B$19&lt;&gt;"Y")),"",IF(IFERROR(INDEX(Lists!$K$2:$K$15,MATCH(D351,Lists!$J$2:$J$15,0)),-1)=-1,"status '"&amp;D351&amp;"' is not a CONTRACTS status",IF(AND(D351="signed",COUNTIF(signed_offices!$W$2:$W$51,C351)=0),"status signed but no signed_offices row"&amp;IF(F351="N"," and no tracker row",""),IF(AND(IFERROR(INDEX(Lists!$K$2:$K$15,MATCH(D351,Lists!$J$2:$J$15,0)),-1)&gt;=6,F351="N"),"status "&amp;D351&amp;" but no tracker row",IF(AND(E351="Y",D351&lt;&gt;"do_not_contact"),"do_not_contact = Y but status is "&amp;D351,IF(AND(D351="do_not_contact",E351&lt;&gt;"Y"),"status do_not_contact but do_not_contact is not Y",""))))))</f>
        <v/>
      </c>
      <c r="I351" s="23" t="n">
        <v>330</v>
      </c>
      <c r="J351" s="23" t="str">
        <f aca="false">IFERROR(INDEX(Clay_Brands!$A$2:$FZ$601,I351,$D$5)&amp;"","")</f>
        <v/>
      </c>
      <c r="K351" s="23" t="str">
        <f aca="false">IFERROR(INDEX(Clay_Brands!$A$2:$FZ$601,I351,$D$7)&amp;"","")</f>
        <v/>
      </c>
      <c r="L351" s="23" t="str">
        <f aca="false">IFERROR(INDEX(Clay_Brands!$A$2:$FZ$601,I351,$D$8)&amp;"","")</f>
        <v/>
      </c>
      <c r="M351" s="23" t="str">
        <f aca="false">IF(J351="","",IF(COUNTIF(Brand_Log!$A$2:$A$201,J351)&gt;0,"Y","N"))</f>
        <v/>
      </c>
      <c r="N351" s="34" t="str">
        <f aca="false">IF(OR(J351="",AND(LEFT(J351,6)="SAMPLE",Config!$B$19&lt;&gt;"Y")),"",IF(IFERROR(INDEX(Lists!$K$2:$K$15,MATCH(K351,Lists!$J$2:$J$15,0)),-1)=-1,"status '"&amp;K351&amp;"' is not a CONTRACTS status",IF(AND(K351="paid",COUNTIF(paid_brands!$AC$2:$AC$51,J351)=0),"status paid but no paid_brands row"&amp;IF(M351="N"," and no tracker row",""),IF(AND(IFERROR(INDEX(Lists!$K$2:$K$15,MATCH(K351,Lists!$J$2:$J$15,0)),-1)&gt;=6,M351="N"),"status "&amp;K351&amp;" but no tracker row",IF(AND(L351="Y",K351&lt;&gt;"do_not_contact"),"do_not_contact = Y but status is "&amp;K351,IF(AND(K351="do_not_contact",L351&lt;&gt;"Y"),"status do_not_contact but do_not_contact is not Y",""))))))</f>
        <v/>
      </c>
    </row>
    <row r="352" customFormat="false" ht="15" hidden="false" customHeight="false" outlineLevel="0" collapsed="false">
      <c r="B352" s="23" t="n">
        <v>331</v>
      </c>
      <c r="C352" s="23" t="str">
        <f aca="false">IFERROR(INDEX(Clay_Offices!$A$2:$FZ$601,B352,$C$5)&amp;"","")</f>
        <v/>
      </c>
      <c r="D352" s="23" t="str">
        <f aca="false">IFERROR(INDEX(Clay_Offices!$A$2:$FZ$601,B352,$C$7)&amp;"","")</f>
        <v/>
      </c>
      <c r="E352" s="23" t="str">
        <f aca="false">IFERROR(INDEX(Clay_Offices!$A$2:$FZ$601,B352,$C$8)&amp;"","")</f>
        <v/>
      </c>
      <c r="F352" s="23" t="str">
        <f aca="false">IF(C352="","",IF(COUNTIF(Office_Log!$A$2:$A$201,C352)&gt;0,"Y","N"))</f>
        <v/>
      </c>
      <c r="G352" s="34" t="str">
        <f aca="false">IF(OR(C352="",AND(LEFT(C352,6)="SAMPLE",Config!$B$19&lt;&gt;"Y")),"",IF(IFERROR(INDEX(Lists!$K$2:$K$15,MATCH(D352,Lists!$J$2:$J$15,0)),-1)=-1,"status '"&amp;D352&amp;"' is not a CONTRACTS status",IF(AND(D352="signed",COUNTIF(signed_offices!$W$2:$W$51,C352)=0),"status signed but no signed_offices row"&amp;IF(F352="N"," and no tracker row",""),IF(AND(IFERROR(INDEX(Lists!$K$2:$K$15,MATCH(D352,Lists!$J$2:$J$15,0)),-1)&gt;=6,F352="N"),"status "&amp;D352&amp;" but no tracker row",IF(AND(E352="Y",D352&lt;&gt;"do_not_contact"),"do_not_contact = Y but status is "&amp;D352,IF(AND(D352="do_not_contact",E352&lt;&gt;"Y"),"status do_not_contact but do_not_contact is not Y",""))))))</f>
        <v/>
      </c>
      <c r="I352" s="23" t="n">
        <v>331</v>
      </c>
      <c r="J352" s="23" t="str">
        <f aca="false">IFERROR(INDEX(Clay_Brands!$A$2:$FZ$601,I352,$D$5)&amp;"","")</f>
        <v/>
      </c>
      <c r="K352" s="23" t="str">
        <f aca="false">IFERROR(INDEX(Clay_Brands!$A$2:$FZ$601,I352,$D$7)&amp;"","")</f>
        <v/>
      </c>
      <c r="L352" s="23" t="str">
        <f aca="false">IFERROR(INDEX(Clay_Brands!$A$2:$FZ$601,I352,$D$8)&amp;"","")</f>
        <v/>
      </c>
      <c r="M352" s="23" t="str">
        <f aca="false">IF(J352="","",IF(COUNTIF(Brand_Log!$A$2:$A$201,J352)&gt;0,"Y","N"))</f>
        <v/>
      </c>
      <c r="N352" s="34" t="str">
        <f aca="false">IF(OR(J352="",AND(LEFT(J352,6)="SAMPLE",Config!$B$19&lt;&gt;"Y")),"",IF(IFERROR(INDEX(Lists!$K$2:$K$15,MATCH(K352,Lists!$J$2:$J$15,0)),-1)=-1,"status '"&amp;K352&amp;"' is not a CONTRACTS status",IF(AND(K352="paid",COUNTIF(paid_brands!$AC$2:$AC$51,J352)=0),"status paid but no paid_brands row"&amp;IF(M352="N"," and no tracker row",""),IF(AND(IFERROR(INDEX(Lists!$K$2:$K$15,MATCH(K352,Lists!$J$2:$J$15,0)),-1)&gt;=6,M352="N"),"status "&amp;K352&amp;" but no tracker row",IF(AND(L352="Y",K352&lt;&gt;"do_not_contact"),"do_not_contact = Y but status is "&amp;K352,IF(AND(K352="do_not_contact",L352&lt;&gt;"Y"),"status do_not_contact but do_not_contact is not Y",""))))))</f>
        <v/>
      </c>
    </row>
    <row r="353" customFormat="false" ht="15" hidden="false" customHeight="false" outlineLevel="0" collapsed="false">
      <c r="B353" s="23" t="n">
        <v>332</v>
      </c>
      <c r="C353" s="23" t="str">
        <f aca="false">IFERROR(INDEX(Clay_Offices!$A$2:$FZ$601,B353,$C$5)&amp;"","")</f>
        <v/>
      </c>
      <c r="D353" s="23" t="str">
        <f aca="false">IFERROR(INDEX(Clay_Offices!$A$2:$FZ$601,B353,$C$7)&amp;"","")</f>
        <v/>
      </c>
      <c r="E353" s="23" t="str">
        <f aca="false">IFERROR(INDEX(Clay_Offices!$A$2:$FZ$601,B353,$C$8)&amp;"","")</f>
        <v/>
      </c>
      <c r="F353" s="23" t="str">
        <f aca="false">IF(C353="","",IF(COUNTIF(Office_Log!$A$2:$A$201,C353)&gt;0,"Y","N"))</f>
        <v/>
      </c>
      <c r="G353" s="34" t="str">
        <f aca="false">IF(OR(C353="",AND(LEFT(C353,6)="SAMPLE",Config!$B$19&lt;&gt;"Y")),"",IF(IFERROR(INDEX(Lists!$K$2:$K$15,MATCH(D353,Lists!$J$2:$J$15,0)),-1)=-1,"status '"&amp;D353&amp;"' is not a CONTRACTS status",IF(AND(D353="signed",COUNTIF(signed_offices!$W$2:$W$51,C353)=0),"status signed but no signed_offices row"&amp;IF(F353="N"," and no tracker row",""),IF(AND(IFERROR(INDEX(Lists!$K$2:$K$15,MATCH(D353,Lists!$J$2:$J$15,0)),-1)&gt;=6,F353="N"),"status "&amp;D353&amp;" but no tracker row",IF(AND(E353="Y",D353&lt;&gt;"do_not_contact"),"do_not_contact = Y but status is "&amp;D353,IF(AND(D353="do_not_contact",E353&lt;&gt;"Y"),"status do_not_contact but do_not_contact is not Y",""))))))</f>
        <v/>
      </c>
      <c r="I353" s="23" t="n">
        <v>332</v>
      </c>
      <c r="J353" s="23" t="str">
        <f aca="false">IFERROR(INDEX(Clay_Brands!$A$2:$FZ$601,I353,$D$5)&amp;"","")</f>
        <v/>
      </c>
      <c r="K353" s="23" t="str">
        <f aca="false">IFERROR(INDEX(Clay_Brands!$A$2:$FZ$601,I353,$D$7)&amp;"","")</f>
        <v/>
      </c>
      <c r="L353" s="23" t="str">
        <f aca="false">IFERROR(INDEX(Clay_Brands!$A$2:$FZ$601,I353,$D$8)&amp;"","")</f>
        <v/>
      </c>
      <c r="M353" s="23" t="str">
        <f aca="false">IF(J353="","",IF(COUNTIF(Brand_Log!$A$2:$A$201,J353)&gt;0,"Y","N"))</f>
        <v/>
      </c>
      <c r="N353" s="34" t="str">
        <f aca="false">IF(OR(J353="",AND(LEFT(J353,6)="SAMPLE",Config!$B$19&lt;&gt;"Y")),"",IF(IFERROR(INDEX(Lists!$K$2:$K$15,MATCH(K353,Lists!$J$2:$J$15,0)),-1)=-1,"status '"&amp;K353&amp;"' is not a CONTRACTS status",IF(AND(K353="paid",COUNTIF(paid_brands!$AC$2:$AC$51,J353)=0),"status paid but no paid_brands row"&amp;IF(M353="N"," and no tracker row",""),IF(AND(IFERROR(INDEX(Lists!$K$2:$K$15,MATCH(K353,Lists!$J$2:$J$15,0)),-1)&gt;=6,M353="N"),"status "&amp;K353&amp;" but no tracker row",IF(AND(L353="Y",K353&lt;&gt;"do_not_contact"),"do_not_contact = Y but status is "&amp;K353,IF(AND(K353="do_not_contact",L353&lt;&gt;"Y"),"status do_not_contact but do_not_contact is not Y",""))))))</f>
        <v/>
      </c>
    </row>
    <row r="354" customFormat="false" ht="15" hidden="false" customHeight="false" outlineLevel="0" collapsed="false">
      <c r="B354" s="23" t="n">
        <v>333</v>
      </c>
      <c r="C354" s="23" t="str">
        <f aca="false">IFERROR(INDEX(Clay_Offices!$A$2:$FZ$601,B354,$C$5)&amp;"","")</f>
        <v/>
      </c>
      <c r="D354" s="23" t="str">
        <f aca="false">IFERROR(INDEX(Clay_Offices!$A$2:$FZ$601,B354,$C$7)&amp;"","")</f>
        <v/>
      </c>
      <c r="E354" s="23" t="str">
        <f aca="false">IFERROR(INDEX(Clay_Offices!$A$2:$FZ$601,B354,$C$8)&amp;"","")</f>
        <v/>
      </c>
      <c r="F354" s="23" t="str">
        <f aca="false">IF(C354="","",IF(COUNTIF(Office_Log!$A$2:$A$201,C354)&gt;0,"Y","N"))</f>
        <v/>
      </c>
      <c r="G354" s="34" t="str">
        <f aca="false">IF(OR(C354="",AND(LEFT(C354,6)="SAMPLE",Config!$B$19&lt;&gt;"Y")),"",IF(IFERROR(INDEX(Lists!$K$2:$K$15,MATCH(D354,Lists!$J$2:$J$15,0)),-1)=-1,"status '"&amp;D354&amp;"' is not a CONTRACTS status",IF(AND(D354="signed",COUNTIF(signed_offices!$W$2:$W$51,C354)=0),"status signed but no signed_offices row"&amp;IF(F354="N"," and no tracker row",""),IF(AND(IFERROR(INDEX(Lists!$K$2:$K$15,MATCH(D354,Lists!$J$2:$J$15,0)),-1)&gt;=6,F354="N"),"status "&amp;D354&amp;" but no tracker row",IF(AND(E354="Y",D354&lt;&gt;"do_not_contact"),"do_not_contact = Y but status is "&amp;D354,IF(AND(D354="do_not_contact",E354&lt;&gt;"Y"),"status do_not_contact but do_not_contact is not Y",""))))))</f>
        <v/>
      </c>
      <c r="I354" s="23" t="n">
        <v>333</v>
      </c>
      <c r="J354" s="23" t="str">
        <f aca="false">IFERROR(INDEX(Clay_Brands!$A$2:$FZ$601,I354,$D$5)&amp;"","")</f>
        <v/>
      </c>
      <c r="K354" s="23" t="str">
        <f aca="false">IFERROR(INDEX(Clay_Brands!$A$2:$FZ$601,I354,$D$7)&amp;"","")</f>
        <v/>
      </c>
      <c r="L354" s="23" t="str">
        <f aca="false">IFERROR(INDEX(Clay_Brands!$A$2:$FZ$601,I354,$D$8)&amp;"","")</f>
        <v/>
      </c>
      <c r="M354" s="23" t="str">
        <f aca="false">IF(J354="","",IF(COUNTIF(Brand_Log!$A$2:$A$201,J354)&gt;0,"Y","N"))</f>
        <v/>
      </c>
      <c r="N354" s="34" t="str">
        <f aca="false">IF(OR(J354="",AND(LEFT(J354,6)="SAMPLE",Config!$B$19&lt;&gt;"Y")),"",IF(IFERROR(INDEX(Lists!$K$2:$K$15,MATCH(K354,Lists!$J$2:$J$15,0)),-1)=-1,"status '"&amp;K354&amp;"' is not a CONTRACTS status",IF(AND(K354="paid",COUNTIF(paid_brands!$AC$2:$AC$51,J354)=0),"status paid but no paid_brands row"&amp;IF(M354="N"," and no tracker row",""),IF(AND(IFERROR(INDEX(Lists!$K$2:$K$15,MATCH(K354,Lists!$J$2:$J$15,0)),-1)&gt;=6,M354="N"),"status "&amp;K354&amp;" but no tracker row",IF(AND(L354="Y",K354&lt;&gt;"do_not_contact"),"do_not_contact = Y but status is "&amp;K354,IF(AND(K354="do_not_contact",L354&lt;&gt;"Y"),"status do_not_contact but do_not_contact is not Y",""))))))</f>
        <v/>
      </c>
    </row>
    <row r="355" customFormat="false" ht="15" hidden="false" customHeight="false" outlineLevel="0" collapsed="false">
      <c r="B355" s="23" t="n">
        <v>334</v>
      </c>
      <c r="C355" s="23" t="str">
        <f aca="false">IFERROR(INDEX(Clay_Offices!$A$2:$FZ$601,B355,$C$5)&amp;"","")</f>
        <v/>
      </c>
      <c r="D355" s="23" t="str">
        <f aca="false">IFERROR(INDEX(Clay_Offices!$A$2:$FZ$601,B355,$C$7)&amp;"","")</f>
        <v/>
      </c>
      <c r="E355" s="23" t="str">
        <f aca="false">IFERROR(INDEX(Clay_Offices!$A$2:$FZ$601,B355,$C$8)&amp;"","")</f>
        <v/>
      </c>
      <c r="F355" s="23" t="str">
        <f aca="false">IF(C355="","",IF(COUNTIF(Office_Log!$A$2:$A$201,C355)&gt;0,"Y","N"))</f>
        <v/>
      </c>
      <c r="G355" s="34" t="str">
        <f aca="false">IF(OR(C355="",AND(LEFT(C355,6)="SAMPLE",Config!$B$19&lt;&gt;"Y")),"",IF(IFERROR(INDEX(Lists!$K$2:$K$15,MATCH(D355,Lists!$J$2:$J$15,0)),-1)=-1,"status '"&amp;D355&amp;"' is not a CONTRACTS status",IF(AND(D355="signed",COUNTIF(signed_offices!$W$2:$W$51,C355)=0),"status signed but no signed_offices row"&amp;IF(F355="N"," and no tracker row",""),IF(AND(IFERROR(INDEX(Lists!$K$2:$K$15,MATCH(D355,Lists!$J$2:$J$15,0)),-1)&gt;=6,F355="N"),"status "&amp;D355&amp;" but no tracker row",IF(AND(E355="Y",D355&lt;&gt;"do_not_contact"),"do_not_contact = Y but status is "&amp;D355,IF(AND(D355="do_not_contact",E355&lt;&gt;"Y"),"status do_not_contact but do_not_contact is not Y",""))))))</f>
        <v/>
      </c>
      <c r="I355" s="23" t="n">
        <v>334</v>
      </c>
      <c r="J355" s="23" t="str">
        <f aca="false">IFERROR(INDEX(Clay_Brands!$A$2:$FZ$601,I355,$D$5)&amp;"","")</f>
        <v/>
      </c>
      <c r="K355" s="23" t="str">
        <f aca="false">IFERROR(INDEX(Clay_Brands!$A$2:$FZ$601,I355,$D$7)&amp;"","")</f>
        <v/>
      </c>
      <c r="L355" s="23" t="str">
        <f aca="false">IFERROR(INDEX(Clay_Brands!$A$2:$FZ$601,I355,$D$8)&amp;"","")</f>
        <v/>
      </c>
      <c r="M355" s="23" t="str">
        <f aca="false">IF(J355="","",IF(COUNTIF(Brand_Log!$A$2:$A$201,J355)&gt;0,"Y","N"))</f>
        <v/>
      </c>
      <c r="N355" s="34" t="str">
        <f aca="false">IF(OR(J355="",AND(LEFT(J355,6)="SAMPLE",Config!$B$19&lt;&gt;"Y")),"",IF(IFERROR(INDEX(Lists!$K$2:$K$15,MATCH(K355,Lists!$J$2:$J$15,0)),-1)=-1,"status '"&amp;K355&amp;"' is not a CONTRACTS status",IF(AND(K355="paid",COUNTIF(paid_brands!$AC$2:$AC$51,J355)=0),"status paid but no paid_brands row"&amp;IF(M355="N"," and no tracker row",""),IF(AND(IFERROR(INDEX(Lists!$K$2:$K$15,MATCH(K355,Lists!$J$2:$J$15,0)),-1)&gt;=6,M355="N"),"status "&amp;K355&amp;" but no tracker row",IF(AND(L355="Y",K355&lt;&gt;"do_not_contact"),"do_not_contact = Y but status is "&amp;K355,IF(AND(K355="do_not_contact",L355&lt;&gt;"Y"),"status do_not_contact but do_not_contact is not Y",""))))))</f>
        <v/>
      </c>
    </row>
    <row r="356" customFormat="false" ht="15" hidden="false" customHeight="false" outlineLevel="0" collapsed="false">
      <c r="B356" s="23" t="n">
        <v>335</v>
      </c>
      <c r="C356" s="23" t="str">
        <f aca="false">IFERROR(INDEX(Clay_Offices!$A$2:$FZ$601,B356,$C$5)&amp;"","")</f>
        <v/>
      </c>
      <c r="D356" s="23" t="str">
        <f aca="false">IFERROR(INDEX(Clay_Offices!$A$2:$FZ$601,B356,$C$7)&amp;"","")</f>
        <v/>
      </c>
      <c r="E356" s="23" t="str">
        <f aca="false">IFERROR(INDEX(Clay_Offices!$A$2:$FZ$601,B356,$C$8)&amp;"","")</f>
        <v/>
      </c>
      <c r="F356" s="23" t="str">
        <f aca="false">IF(C356="","",IF(COUNTIF(Office_Log!$A$2:$A$201,C356)&gt;0,"Y","N"))</f>
        <v/>
      </c>
      <c r="G356" s="34" t="str">
        <f aca="false">IF(OR(C356="",AND(LEFT(C356,6)="SAMPLE",Config!$B$19&lt;&gt;"Y")),"",IF(IFERROR(INDEX(Lists!$K$2:$K$15,MATCH(D356,Lists!$J$2:$J$15,0)),-1)=-1,"status '"&amp;D356&amp;"' is not a CONTRACTS status",IF(AND(D356="signed",COUNTIF(signed_offices!$W$2:$W$51,C356)=0),"status signed but no signed_offices row"&amp;IF(F356="N"," and no tracker row",""),IF(AND(IFERROR(INDEX(Lists!$K$2:$K$15,MATCH(D356,Lists!$J$2:$J$15,0)),-1)&gt;=6,F356="N"),"status "&amp;D356&amp;" but no tracker row",IF(AND(E356="Y",D356&lt;&gt;"do_not_contact"),"do_not_contact = Y but status is "&amp;D356,IF(AND(D356="do_not_contact",E356&lt;&gt;"Y"),"status do_not_contact but do_not_contact is not Y",""))))))</f>
        <v/>
      </c>
      <c r="I356" s="23" t="n">
        <v>335</v>
      </c>
      <c r="J356" s="23" t="str">
        <f aca="false">IFERROR(INDEX(Clay_Brands!$A$2:$FZ$601,I356,$D$5)&amp;"","")</f>
        <v/>
      </c>
      <c r="K356" s="23" t="str">
        <f aca="false">IFERROR(INDEX(Clay_Brands!$A$2:$FZ$601,I356,$D$7)&amp;"","")</f>
        <v/>
      </c>
      <c r="L356" s="23" t="str">
        <f aca="false">IFERROR(INDEX(Clay_Brands!$A$2:$FZ$601,I356,$D$8)&amp;"","")</f>
        <v/>
      </c>
      <c r="M356" s="23" t="str">
        <f aca="false">IF(J356="","",IF(COUNTIF(Brand_Log!$A$2:$A$201,J356)&gt;0,"Y","N"))</f>
        <v/>
      </c>
      <c r="N356" s="34" t="str">
        <f aca="false">IF(OR(J356="",AND(LEFT(J356,6)="SAMPLE",Config!$B$19&lt;&gt;"Y")),"",IF(IFERROR(INDEX(Lists!$K$2:$K$15,MATCH(K356,Lists!$J$2:$J$15,0)),-1)=-1,"status '"&amp;K356&amp;"' is not a CONTRACTS status",IF(AND(K356="paid",COUNTIF(paid_brands!$AC$2:$AC$51,J356)=0),"status paid but no paid_brands row"&amp;IF(M356="N"," and no tracker row",""),IF(AND(IFERROR(INDEX(Lists!$K$2:$K$15,MATCH(K356,Lists!$J$2:$J$15,0)),-1)&gt;=6,M356="N"),"status "&amp;K356&amp;" but no tracker row",IF(AND(L356="Y",K356&lt;&gt;"do_not_contact"),"do_not_contact = Y but status is "&amp;K356,IF(AND(K356="do_not_contact",L356&lt;&gt;"Y"),"status do_not_contact but do_not_contact is not Y",""))))))</f>
        <v/>
      </c>
    </row>
    <row r="357" customFormat="false" ht="15" hidden="false" customHeight="false" outlineLevel="0" collapsed="false">
      <c r="B357" s="23" t="n">
        <v>336</v>
      </c>
      <c r="C357" s="23" t="str">
        <f aca="false">IFERROR(INDEX(Clay_Offices!$A$2:$FZ$601,B357,$C$5)&amp;"","")</f>
        <v/>
      </c>
      <c r="D357" s="23" t="str">
        <f aca="false">IFERROR(INDEX(Clay_Offices!$A$2:$FZ$601,B357,$C$7)&amp;"","")</f>
        <v/>
      </c>
      <c r="E357" s="23" t="str">
        <f aca="false">IFERROR(INDEX(Clay_Offices!$A$2:$FZ$601,B357,$C$8)&amp;"","")</f>
        <v/>
      </c>
      <c r="F357" s="23" t="str">
        <f aca="false">IF(C357="","",IF(COUNTIF(Office_Log!$A$2:$A$201,C357)&gt;0,"Y","N"))</f>
        <v/>
      </c>
      <c r="G357" s="34" t="str">
        <f aca="false">IF(OR(C357="",AND(LEFT(C357,6)="SAMPLE",Config!$B$19&lt;&gt;"Y")),"",IF(IFERROR(INDEX(Lists!$K$2:$K$15,MATCH(D357,Lists!$J$2:$J$15,0)),-1)=-1,"status '"&amp;D357&amp;"' is not a CONTRACTS status",IF(AND(D357="signed",COUNTIF(signed_offices!$W$2:$W$51,C357)=0),"status signed but no signed_offices row"&amp;IF(F357="N"," and no tracker row",""),IF(AND(IFERROR(INDEX(Lists!$K$2:$K$15,MATCH(D357,Lists!$J$2:$J$15,0)),-1)&gt;=6,F357="N"),"status "&amp;D357&amp;" but no tracker row",IF(AND(E357="Y",D357&lt;&gt;"do_not_contact"),"do_not_contact = Y but status is "&amp;D357,IF(AND(D357="do_not_contact",E357&lt;&gt;"Y"),"status do_not_contact but do_not_contact is not Y",""))))))</f>
        <v/>
      </c>
      <c r="I357" s="23" t="n">
        <v>336</v>
      </c>
      <c r="J357" s="23" t="str">
        <f aca="false">IFERROR(INDEX(Clay_Brands!$A$2:$FZ$601,I357,$D$5)&amp;"","")</f>
        <v/>
      </c>
      <c r="K357" s="23" t="str">
        <f aca="false">IFERROR(INDEX(Clay_Brands!$A$2:$FZ$601,I357,$D$7)&amp;"","")</f>
        <v/>
      </c>
      <c r="L357" s="23" t="str">
        <f aca="false">IFERROR(INDEX(Clay_Brands!$A$2:$FZ$601,I357,$D$8)&amp;"","")</f>
        <v/>
      </c>
      <c r="M357" s="23" t="str">
        <f aca="false">IF(J357="","",IF(COUNTIF(Brand_Log!$A$2:$A$201,J357)&gt;0,"Y","N"))</f>
        <v/>
      </c>
      <c r="N357" s="34" t="str">
        <f aca="false">IF(OR(J357="",AND(LEFT(J357,6)="SAMPLE",Config!$B$19&lt;&gt;"Y")),"",IF(IFERROR(INDEX(Lists!$K$2:$K$15,MATCH(K357,Lists!$J$2:$J$15,0)),-1)=-1,"status '"&amp;K357&amp;"' is not a CONTRACTS status",IF(AND(K357="paid",COUNTIF(paid_brands!$AC$2:$AC$51,J357)=0),"status paid but no paid_brands row"&amp;IF(M357="N"," and no tracker row",""),IF(AND(IFERROR(INDEX(Lists!$K$2:$K$15,MATCH(K357,Lists!$J$2:$J$15,0)),-1)&gt;=6,M357="N"),"status "&amp;K357&amp;" but no tracker row",IF(AND(L357="Y",K357&lt;&gt;"do_not_contact"),"do_not_contact = Y but status is "&amp;K357,IF(AND(K357="do_not_contact",L357&lt;&gt;"Y"),"status do_not_contact but do_not_contact is not Y",""))))))</f>
        <v/>
      </c>
    </row>
    <row r="358" customFormat="false" ht="15" hidden="false" customHeight="false" outlineLevel="0" collapsed="false">
      <c r="B358" s="23" t="n">
        <v>337</v>
      </c>
      <c r="C358" s="23" t="str">
        <f aca="false">IFERROR(INDEX(Clay_Offices!$A$2:$FZ$601,B358,$C$5)&amp;"","")</f>
        <v/>
      </c>
      <c r="D358" s="23" t="str">
        <f aca="false">IFERROR(INDEX(Clay_Offices!$A$2:$FZ$601,B358,$C$7)&amp;"","")</f>
        <v/>
      </c>
      <c r="E358" s="23" t="str">
        <f aca="false">IFERROR(INDEX(Clay_Offices!$A$2:$FZ$601,B358,$C$8)&amp;"","")</f>
        <v/>
      </c>
      <c r="F358" s="23" t="str">
        <f aca="false">IF(C358="","",IF(COUNTIF(Office_Log!$A$2:$A$201,C358)&gt;0,"Y","N"))</f>
        <v/>
      </c>
      <c r="G358" s="34" t="str">
        <f aca="false">IF(OR(C358="",AND(LEFT(C358,6)="SAMPLE",Config!$B$19&lt;&gt;"Y")),"",IF(IFERROR(INDEX(Lists!$K$2:$K$15,MATCH(D358,Lists!$J$2:$J$15,0)),-1)=-1,"status '"&amp;D358&amp;"' is not a CONTRACTS status",IF(AND(D358="signed",COUNTIF(signed_offices!$W$2:$W$51,C358)=0),"status signed but no signed_offices row"&amp;IF(F358="N"," and no tracker row",""),IF(AND(IFERROR(INDEX(Lists!$K$2:$K$15,MATCH(D358,Lists!$J$2:$J$15,0)),-1)&gt;=6,F358="N"),"status "&amp;D358&amp;" but no tracker row",IF(AND(E358="Y",D358&lt;&gt;"do_not_contact"),"do_not_contact = Y but status is "&amp;D358,IF(AND(D358="do_not_contact",E358&lt;&gt;"Y"),"status do_not_contact but do_not_contact is not Y",""))))))</f>
        <v/>
      </c>
      <c r="I358" s="23" t="n">
        <v>337</v>
      </c>
      <c r="J358" s="23" t="str">
        <f aca="false">IFERROR(INDEX(Clay_Brands!$A$2:$FZ$601,I358,$D$5)&amp;"","")</f>
        <v/>
      </c>
      <c r="K358" s="23" t="str">
        <f aca="false">IFERROR(INDEX(Clay_Brands!$A$2:$FZ$601,I358,$D$7)&amp;"","")</f>
        <v/>
      </c>
      <c r="L358" s="23" t="str">
        <f aca="false">IFERROR(INDEX(Clay_Brands!$A$2:$FZ$601,I358,$D$8)&amp;"","")</f>
        <v/>
      </c>
      <c r="M358" s="23" t="str">
        <f aca="false">IF(J358="","",IF(COUNTIF(Brand_Log!$A$2:$A$201,J358)&gt;0,"Y","N"))</f>
        <v/>
      </c>
      <c r="N358" s="34" t="str">
        <f aca="false">IF(OR(J358="",AND(LEFT(J358,6)="SAMPLE",Config!$B$19&lt;&gt;"Y")),"",IF(IFERROR(INDEX(Lists!$K$2:$K$15,MATCH(K358,Lists!$J$2:$J$15,0)),-1)=-1,"status '"&amp;K358&amp;"' is not a CONTRACTS status",IF(AND(K358="paid",COUNTIF(paid_brands!$AC$2:$AC$51,J358)=0),"status paid but no paid_brands row"&amp;IF(M358="N"," and no tracker row",""),IF(AND(IFERROR(INDEX(Lists!$K$2:$K$15,MATCH(K358,Lists!$J$2:$J$15,0)),-1)&gt;=6,M358="N"),"status "&amp;K358&amp;" but no tracker row",IF(AND(L358="Y",K358&lt;&gt;"do_not_contact"),"do_not_contact = Y but status is "&amp;K358,IF(AND(K358="do_not_contact",L358&lt;&gt;"Y"),"status do_not_contact but do_not_contact is not Y",""))))))</f>
        <v/>
      </c>
    </row>
    <row r="359" customFormat="false" ht="15" hidden="false" customHeight="false" outlineLevel="0" collapsed="false">
      <c r="B359" s="23" t="n">
        <v>338</v>
      </c>
      <c r="C359" s="23" t="str">
        <f aca="false">IFERROR(INDEX(Clay_Offices!$A$2:$FZ$601,B359,$C$5)&amp;"","")</f>
        <v/>
      </c>
      <c r="D359" s="23" t="str">
        <f aca="false">IFERROR(INDEX(Clay_Offices!$A$2:$FZ$601,B359,$C$7)&amp;"","")</f>
        <v/>
      </c>
      <c r="E359" s="23" t="str">
        <f aca="false">IFERROR(INDEX(Clay_Offices!$A$2:$FZ$601,B359,$C$8)&amp;"","")</f>
        <v/>
      </c>
      <c r="F359" s="23" t="str">
        <f aca="false">IF(C359="","",IF(COUNTIF(Office_Log!$A$2:$A$201,C359)&gt;0,"Y","N"))</f>
        <v/>
      </c>
      <c r="G359" s="34" t="str">
        <f aca="false">IF(OR(C359="",AND(LEFT(C359,6)="SAMPLE",Config!$B$19&lt;&gt;"Y")),"",IF(IFERROR(INDEX(Lists!$K$2:$K$15,MATCH(D359,Lists!$J$2:$J$15,0)),-1)=-1,"status '"&amp;D359&amp;"' is not a CONTRACTS status",IF(AND(D359="signed",COUNTIF(signed_offices!$W$2:$W$51,C359)=0),"status signed but no signed_offices row"&amp;IF(F359="N"," and no tracker row",""),IF(AND(IFERROR(INDEX(Lists!$K$2:$K$15,MATCH(D359,Lists!$J$2:$J$15,0)),-1)&gt;=6,F359="N"),"status "&amp;D359&amp;" but no tracker row",IF(AND(E359="Y",D359&lt;&gt;"do_not_contact"),"do_not_contact = Y but status is "&amp;D359,IF(AND(D359="do_not_contact",E359&lt;&gt;"Y"),"status do_not_contact but do_not_contact is not Y",""))))))</f>
        <v/>
      </c>
      <c r="I359" s="23" t="n">
        <v>338</v>
      </c>
      <c r="J359" s="23" t="str">
        <f aca="false">IFERROR(INDEX(Clay_Brands!$A$2:$FZ$601,I359,$D$5)&amp;"","")</f>
        <v/>
      </c>
      <c r="K359" s="23" t="str">
        <f aca="false">IFERROR(INDEX(Clay_Brands!$A$2:$FZ$601,I359,$D$7)&amp;"","")</f>
        <v/>
      </c>
      <c r="L359" s="23" t="str">
        <f aca="false">IFERROR(INDEX(Clay_Brands!$A$2:$FZ$601,I359,$D$8)&amp;"","")</f>
        <v/>
      </c>
      <c r="M359" s="23" t="str">
        <f aca="false">IF(J359="","",IF(COUNTIF(Brand_Log!$A$2:$A$201,J359)&gt;0,"Y","N"))</f>
        <v/>
      </c>
      <c r="N359" s="34" t="str">
        <f aca="false">IF(OR(J359="",AND(LEFT(J359,6)="SAMPLE",Config!$B$19&lt;&gt;"Y")),"",IF(IFERROR(INDEX(Lists!$K$2:$K$15,MATCH(K359,Lists!$J$2:$J$15,0)),-1)=-1,"status '"&amp;K359&amp;"' is not a CONTRACTS status",IF(AND(K359="paid",COUNTIF(paid_brands!$AC$2:$AC$51,J359)=0),"status paid but no paid_brands row"&amp;IF(M359="N"," and no tracker row",""),IF(AND(IFERROR(INDEX(Lists!$K$2:$K$15,MATCH(K359,Lists!$J$2:$J$15,0)),-1)&gt;=6,M359="N"),"status "&amp;K359&amp;" but no tracker row",IF(AND(L359="Y",K359&lt;&gt;"do_not_contact"),"do_not_contact = Y but status is "&amp;K359,IF(AND(K359="do_not_contact",L359&lt;&gt;"Y"),"status do_not_contact but do_not_contact is not Y",""))))))</f>
        <v/>
      </c>
    </row>
    <row r="360" customFormat="false" ht="15" hidden="false" customHeight="false" outlineLevel="0" collapsed="false">
      <c r="B360" s="23" t="n">
        <v>339</v>
      </c>
      <c r="C360" s="23" t="str">
        <f aca="false">IFERROR(INDEX(Clay_Offices!$A$2:$FZ$601,B360,$C$5)&amp;"","")</f>
        <v/>
      </c>
      <c r="D360" s="23" t="str">
        <f aca="false">IFERROR(INDEX(Clay_Offices!$A$2:$FZ$601,B360,$C$7)&amp;"","")</f>
        <v/>
      </c>
      <c r="E360" s="23" t="str">
        <f aca="false">IFERROR(INDEX(Clay_Offices!$A$2:$FZ$601,B360,$C$8)&amp;"","")</f>
        <v/>
      </c>
      <c r="F360" s="23" t="str">
        <f aca="false">IF(C360="","",IF(COUNTIF(Office_Log!$A$2:$A$201,C360)&gt;0,"Y","N"))</f>
        <v/>
      </c>
      <c r="G360" s="34" t="str">
        <f aca="false">IF(OR(C360="",AND(LEFT(C360,6)="SAMPLE",Config!$B$19&lt;&gt;"Y")),"",IF(IFERROR(INDEX(Lists!$K$2:$K$15,MATCH(D360,Lists!$J$2:$J$15,0)),-1)=-1,"status '"&amp;D360&amp;"' is not a CONTRACTS status",IF(AND(D360="signed",COUNTIF(signed_offices!$W$2:$W$51,C360)=0),"status signed but no signed_offices row"&amp;IF(F360="N"," and no tracker row",""),IF(AND(IFERROR(INDEX(Lists!$K$2:$K$15,MATCH(D360,Lists!$J$2:$J$15,0)),-1)&gt;=6,F360="N"),"status "&amp;D360&amp;" but no tracker row",IF(AND(E360="Y",D360&lt;&gt;"do_not_contact"),"do_not_contact = Y but status is "&amp;D360,IF(AND(D360="do_not_contact",E360&lt;&gt;"Y"),"status do_not_contact but do_not_contact is not Y",""))))))</f>
        <v/>
      </c>
      <c r="I360" s="23" t="n">
        <v>339</v>
      </c>
      <c r="J360" s="23" t="str">
        <f aca="false">IFERROR(INDEX(Clay_Brands!$A$2:$FZ$601,I360,$D$5)&amp;"","")</f>
        <v/>
      </c>
      <c r="K360" s="23" t="str">
        <f aca="false">IFERROR(INDEX(Clay_Brands!$A$2:$FZ$601,I360,$D$7)&amp;"","")</f>
        <v/>
      </c>
      <c r="L360" s="23" t="str">
        <f aca="false">IFERROR(INDEX(Clay_Brands!$A$2:$FZ$601,I360,$D$8)&amp;"","")</f>
        <v/>
      </c>
      <c r="M360" s="23" t="str">
        <f aca="false">IF(J360="","",IF(COUNTIF(Brand_Log!$A$2:$A$201,J360)&gt;0,"Y","N"))</f>
        <v/>
      </c>
      <c r="N360" s="34" t="str">
        <f aca="false">IF(OR(J360="",AND(LEFT(J360,6)="SAMPLE",Config!$B$19&lt;&gt;"Y")),"",IF(IFERROR(INDEX(Lists!$K$2:$K$15,MATCH(K360,Lists!$J$2:$J$15,0)),-1)=-1,"status '"&amp;K360&amp;"' is not a CONTRACTS status",IF(AND(K360="paid",COUNTIF(paid_brands!$AC$2:$AC$51,J360)=0),"status paid but no paid_brands row"&amp;IF(M360="N"," and no tracker row",""),IF(AND(IFERROR(INDEX(Lists!$K$2:$K$15,MATCH(K360,Lists!$J$2:$J$15,0)),-1)&gt;=6,M360="N"),"status "&amp;K360&amp;" but no tracker row",IF(AND(L360="Y",K360&lt;&gt;"do_not_contact"),"do_not_contact = Y but status is "&amp;K360,IF(AND(K360="do_not_contact",L360&lt;&gt;"Y"),"status do_not_contact but do_not_contact is not Y",""))))))</f>
        <v/>
      </c>
    </row>
    <row r="361" customFormat="false" ht="15" hidden="false" customHeight="false" outlineLevel="0" collapsed="false">
      <c r="B361" s="23" t="n">
        <v>340</v>
      </c>
      <c r="C361" s="23" t="str">
        <f aca="false">IFERROR(INDEX(Clay_Offices!$A$2:$FZ$601,B361,$C$5)&amp;"","")</f>
        <v/>
      </c>
      <c r="D361" s="23" t="str">
        <f aca="false">IFERROR(INDEX(Clay_Offices!$A$2:$FZ$601,B361,$C$7)&amp;"","")</f>
        <v/>
      </c>
      <c r="E361" s="23" t="str">
        <f aca="false">IFERROR(INDEX(Clay_Offices!$A$2:$FZ$601,B361,$C$8)&amp;"","")</f>
        <v/>
      </c>
      <c r="F361" s="23" t="str">
        <f aca="false">IF(C361="","",IF(COUNTIF(Office_Log!$A$2:$A$201,C361)&gt;0,"Y","N"))</f>
        <v/>
      </c>
      <c r="G361" s="34" t="str">
        <f aca="false">IF(OR(C361="",AND(LEFT(C361,6)="SAMPLE",Config!$B$19&lt;&gt;"Y")),"",IF(IFERROR(INDEX(Lists!$K$2:$K$15,MATCH(D361,Lists!$J$2:$J$15,0)),-1)=-1,"status '"&amp;D361&amp;"' is not a CONTRACTS status",IF(AND(D361="signed",COUNTIF(signed_offices!$W$2:$W$51,C361)=0),"status signed but no signed_offices row"&amp;IF(F361="N"," and no tracker row",""),IF(AND(IFERROR(INDEX(Lists!$K$2:$K$15,MATCH(D361,Lists!$J$2:$J$15,0)),-1)&gt;=6,F361="N"),"status "&amp;D361&amp;" but no tracker row",IF(AND(E361="Y",D361&lt;&gt;"do_not_contact"),"do_not_contact = Y but status is "&amp;D361,IF(AND(D361="do_not_contact",E361&lt;&gt;"Y"),"status do_not_contact but do_not_contact is not Y",""))))))</f>
        <v/>
      </c>
      <c r="I361" s="23" t="n">
        <v>340</v>
      </c>
      <c r="J361" s="23" t="str">
        <f aca="false">IFERROR(INDEX(Clay_Brands!$A$2:$FZ$601,I361,$D$5)&amp;"","")</f>
        <v/>
      </c>
      <c r="K361" s="23" t="str">
        <f aca="false">IFERROR(INDEX(Clay_Brands!$A$2:$FZ$601,I361,$D$7)&amp;"","")</f>
        <v/>
      </c>
      <c r="L361" s="23" t="str">
        <f aca="false">IFERROR(INDEX(Clay_Brands!$A$2:$FZ$601,I361,$D$8)&amp;"","")</f>
        <v/>
      </c>
      <c r="M361" s="23" t="str">
        <f aca="false">IF(J361="","",IF(COUNTIF(Brand_Log!$A$2:$A$201,J361)&gt;0,"Y","N"))</f>
        <v/>
      </c>
      <c r="N361" s="34" t="str">
        <f aca="false">IF(OR(J361="",AND(LEFT(J361,6)="SAMPLE",Config!$B$19&lt;&gt;"Y")),"",IF(IFERROR(INDEX(Lists!$K$2:$K$15,MATCH(K361,Lists!$J$2:$J$15,0)),-1)=-1,"status '"&amp;K361&amp;"' is not a CONTRACTS status",IF(AND(K361="paid",COUNTIF(paid_brands!$AC$2:$AC$51,J361)=0),"status paid but no paid_brands row"&amp;IF(M361="N"," and no tracker row",""),IF(AND(IFERROR(INDEX(Lists!$K$2:$K$15,MATCH(K361,Lists!$J$2:$J$15,0)),-1)&gt;=6,M361="N"),"status "&amp;K361&amp;" but no tracker row",IF(AND(L361="Y",K361&lt;&gt;"do_not_contact"),"do_not_contact = Y but status is "&amp;K361,IF(AND(K361="do_not_contact",L361&lt;&gt;"Y"),"status do_not_contact but do_not_contact is not Y",""))))))</f>
        <v/>
      </c>
    </row>
    <row r="362" customFormat="false" ht="15" hidden="false" customHeight="false" outlineLevel="0" collapsed="false">
      <c r="B362" s="23" t="n">
        <v>341</v>
      </c>
      <c r="C362" s="23" t="str">
        <f aca="false">IFERROR(INDEX(Clay_Offices!$A$2:$FZ$601,B362,$C$5)&amp;"","")</f>
        <v/>
      </c>
      <c r="D362" s="23" t="str">
        <f aca="false">IFERROR(INDEX(Clay_Offices!$A$2:$FZ$601,B362,$C$7)&amp;"","")</f>
        <v/>
      </c>
      <c r="E362" s="23" t="str">
        <f aca="false">IFERROR(INDEX(Clay_Offices!$A$2:$FZ$601,B362,$C$8)&amp;"","")</f>
        <v/>
      </c>
      <c r="F362" s="23" t="str">
        <f aca="false">IF(C362="","",IF(COUNTIF(Office_Log!$A$2:$A$201,C362)&gt;0,"Y","N"))</f>
        <v/>
      </c>
      <c r="G362" s="34" t="str">
        <f aca="false">IF(OR(C362="",AND(LEFT(C362,6)="SAMPLE",Config!$B$19&lt;&gt;"Y")),"",IF(IFERROR(INDEX(Lists!$K$2:$K$15,MATCH(D362,Lists!$J$2:$J$15,0)),-1)=-1,"status '"&amp;D362&amp;"' is not a CONTRACTS status",IF(AND(D362="signed",COUNTIF(signed_offices!$W$2:$W$51,C362)=0),"status signed but no signed_offices row"&amp;IF(F362="N"," and no tracker row",""),IF(AND(IFERROR(INDEX(Lists!$K$2:$K$15,MATCH(D362,Lists!$J$2:$J$15,0)),-1)&gt;=6,F362="N"),"status "&amp;D362&amp;" but no tracker row",IF(AND(E362="Y",D362&lt;&gt;"do_not_contact"),"do_not_contact = Y but status is "&amp;D362,IF(AND(D362="do_not_contact",E362&lt;&gt;"Y"),"status do_not_contact but do_not_contact is not Y",""))))))</f>
        <v/>
      </c>
      <c r="I362" s="23" t="n">
        <v>341</v>
      </c>
      <c r="J362" s="23" t="str">
        <f aca="false">IFERROR(INDEX(Clay_Brands!$A$2:$FZ$601,I362,$D$5)&amp;"","")</f>
        <v/>
      </c>
      <c r="K362" s="23" t="str">
        <f aca="false">IFERROR(INDEX(Clay_Brands!$A$2:$FZ$601,I362,$D$7)&amp;"","")</f>
        <v/>
      </c>
      <c r="L362" s="23" t="str">
        <f aca="false">IFERROR(INDEX(Clay_Brands!$A$2:$FZ$601,I362,$D$8)&amp;"","")</f>
        <v/>
      </c>
      <c r="M362" s="23" t="str">
        <f aca="false">IF(J362="","",IF(COUNTIF(Brand_Log!$A$2:$A$201,J362)&gt;0,"Y","N"))</f>
        <v/>
      </c>
      <c r="N362" s="34" t="str">
        <f aca="false">IF(OR(J362="",AND(LEFT(J362,6)="SAMPLE",Config!$B$19&lt;&gt;"Y")),"",IF(IFERROR(INDEX(Lists!$K$2:$K$15,MATCH(K362,Lists!$J$2:$J$15,0)),-1)=-1,"status '"&amp;K362&amp;"' is not a CONTRACTS status",IF(AND(K362="paid",COUNTIF(paid_brands!$AC$2:$AC$51,J362)=0),"status paid but no paid_brands row"&amp;IF(M362="N"," and no tracker row",""),IF(AND(IFERROR(INDEX(Lists!$K$2:$K$15,MATCH(K362,Lists!$J$2:$J$15,0)),-1)&gt;=6,M362="N"),"status "&amp;K362&amp;" but no tracker row",IF(AND(L362="Y",K362&lt;&gt;"do_not_contact"),"do_not_contact = Y but status is "&amp;K362,IF(AND(K362="do_not_contact",L362&lt;&gt;"Y"),"status do_not_contact but do_not_contact is not Y",""))))))</f>
        <v/>
      </c>
    </row>
    <row r="363" customFormat="false" ht="15" hidden="false" customHeight="false" outlineLevel="0" collapsed="false">
      <c r="B363" s="23" t="n">
        <v>342</v>
      </c>
      <c r="C363" s="23" t="str">
        <f aca="false">IFERROR(INDEX(Clay_Offices!$A$2:$FZ$601,B363,$C$5)&amp;"","")</f>
        <v/>
      </c>
      <c r="D363" s="23" t="str">
        <f aca="false">IFERROR(INDEX(Clay_Offices!$A$2:$FZ$601,B363,$C$7)&amp;"","")</f>
        <v/>
      </c>
      <c r="E363" s="23" t="str">
        <f aca="false">IFERROR(INDEX(Clay_Offices!$A$2:$FZ$601,B363,$C$8)&amp;"","")</f>
        <v/>
      </c>
      <c r="F363" s="23" t="str">
        <f aca="false">IF(C363="","",IF(COUNTIF(Office_Log!$A$2:$A$201,C363)&gt;0,"Y","N"))</f>
        <v/>
      </c>
      <c r="G363" s="34" t="str">
        <f aca="false">IF(OR(C363="",AND(LEFT(C363,6)="SAMPLE",Config!$B$19&lt;&gt;"Y")),"",IF(IFERROR(INDEX(Lists!$K$2:$K$15,MATCH(D363,Lists!$J$2:$J$15,0)),-1)=-1,"status '"&amp;D363&amp;"' is not a CONTRACTS status",IF(AND(D363="signed",COUNTIF(signed_offices!$W$2:$W$51,C363)=0),"status signed but no signed_offices row"&amp;IF(F363="N"," and no tracker row",""),IF(AND(IFERROR(INDEX(Lists!$K$2:$K$15,MATCH(D363,Lists!$J$2:$J$15,0)),-1)&gt;=6,F363="N"),"status "&amp;D363&amp;" but no tracker row",IF(AND(E363="Y",D363&lt;&gt;"do_not_contact"),"do_not_contact = Y but status is "&amp;D363,IF(AND(D363="do_not_contact",E363&lt;&gt;"Y"),"status do_not_contact but do_not_contact is not Y",""))))))</f>
        <v/>
      </c>
      <c r="I363" s="23" t="n">
        <v>342</v>
      </c>
      <c r="J363" s="23" t="str">
        <f aca="false">IFERROR(INDEX(Clay_Brands!$A$2:$FZ$601,I363,$D$5)&amp;"","")</f>
        <v/>
      </c>
      <c r="K363" s="23" t="str">
        <f aca="false">IFERROR(INDEX(Clay_Brands!$A$2:$FZ$601,I363,$D$7)&amp;"","")</f>
        <v/>
      </c>
      <c r="L363" s="23" t="str">
        <f aca="false">IFERROR(INDEX(Clay_Brands!$A$2:$FZ$601,I363,$D$8)&amp;"","")</f>
        <v/>
      </c>
      <c r="M363" s="23" t="str">
        <f aca="false">IF(J363="","",IF(COUNTIF(Brand_Log!$A$2:$A$201,J363)&gt;0,"Y","N"))</f>
        <v/>
      </c>
      <c r="N363" s="34" t="str">
        <f aca="false">IF(OR(J363="",AND(LEFT(J363,6)="SAMPLE",Config!$B$19&lt;&gt;"Y")),"",IF(IFERROR(INDEX(Lists!$K$2:$K$15,MATCH(K363,Lists!$J$2:$J$15,0)),-1)=-1,"status '"&amp;K363&amp;"' is not a CONTRACTS status",IF(AND(K363="paid",COUNTIF(paid_brands!$AC$2:$AC$51,J363)=0),"status paid but no paid_brands row"&amp;IF(M363="N"," and no tracker row",""),IF(AND(IFERROR(INDEX(Lists!$K$2:$K$15,MATCH(K363,Lists!$J$2:$J$15,0)),-1)&gt;=6,M363="N"),"status "&amp;K363&amp;" but no tracker row",IF(AND(L363="Y",K363&lt;&gt;"do_not_contact"),"do_not_contact = Y but status is "&amp;K363,IF(AND(K363="do_not_contact",L363&lt;&gt;"Y"),"status do_not_contact but do_not_contact is not Y",""))))))</f>
        <v/>
      </c>
    </row>
    <row r="364" customFormat="false" ht="15" hidden="false" customHeight="false" outlineLevel="0" collapsed="false">
      <c r="B364" s="23" t="n">
        <v>343</v>
      </c>
      <c r="C364" s="23" t="str">
        <f aca="false">IFERROR(INDEX(Clay_Offices!$A$2:$FZ$601,B364,$C$5)&amp;"","")</f>
        <v/>
      </c>
      <c r="D364" s="23" t="str">
        <f aca="false">IFERROR(INDEX(Clay_Offices!$A$2:$FZ$601,B364,$C$7)&amp;"","")</f>
        <v/>
      </c>
      <c r="E364" s="23" t="str">
        <f aca="false">IFERROR(INDEX(Clay_Offices!$A$2:$FZ$601,B364,$C$8)&amp;"","")</f>
        <v/>
      </c>
      <c r="F364" s="23" t="str">
        <f aca="false">IF(C364="","",IF(COUNTIF(Office_Log!$A$2:$A$201,C364)&gt;0,"Y","N"))</f>
        <v/>
      </c>
      <c r="G364" s="34" t="str">
        <f aca="false">IF(OR(C364="",AND(LEFT(C364,6)="SAMPLE",Config!$B$19&lt;&gt;"Y")),"",IF(IFERROR(INDEX(Lists!$K$2:$K$15,MATCH(D364,Lists!$J$2:$J$15,0)),-1)=-1,"status '"&amp;D364&amp;"' is not a CONTRACTS status",IF(AND(D364="signed",COUNTIF(signed_offices!$W$2:$W$51,C364)=0),"status signed but no signed_offices row"&amp;IF(F364="N"," and no tracker row",""),IF(AND(IFERROR(INDEX(Lists!$K$2:$K$15,MATCH(D364,Lists!$J$2:$J$15,0)),-1)&gt;=6,F364="N"),"status "&amp;D364&amp;" but no tracker row",IF(AND(E364="Y",D364&lt;&gt;"do_not_contact"),"do_not_contact = Y but status is "&amp;D364,IF(AND(D364="do_not_contact",E364&lt;&gt;"Y"),"status do_not_contact but do_not_contact is not Y",""))))))</f>
        <v/>
      </c>
      <c r="I364" s="23" t="n">
        <v>343</v>
      </c>
      <c r="J364" s="23" t="str">
        <f aca="false">IFERROR(INDEX(Clay_Brands!$A$2:$FZ$601,I364,$D$5)&amp;"","")</f>
        <v/>
      </c>
      <c r="K364" s="23" t="str">
        <f aca="false">IFERROR(INDEX(Clay_Brands!$A$2:$FZ$601,I364,$D$7)&amp;"","")</f>
        <v/>
      </c>
      <c r="L364" s="23" t="str">
        <f aca="false">IFERROR(INDEX(Clay_Brands!$A$2:$FZ$601,I364,$D$8)&amp;"","")</f>
        <v/>
      </c>
      <c r="M364" s="23" t="str">
        <f aca="false">IF(J364="","",IF(COUNTIF(Brand_Log!$A$2:$A$201,J364)&gt;0,"Y","N"))</f>
        <v/>
      </c>
      <c r="N364" s="34" t="str">
        <f aca="false">IF(OR(J364="",AND(LEFT(J364,6)="SAMPLE",Config!$B$19&lt;&gt;"Y")),"",IF(IFERROR(INDEX(Lists!$K$2:$K$15,MATCH(K364,Lists!$J$2:$J$15,0)),-1)=-1,"status '"&amp;K364&amp;"' is not a CONTRACTS status",IF(AND(K364="paid",COUNTIF(paid_brands!$AC$2:$AC$51,J364)=0),"status paid but no paid_brands row"&amp;IF(M364="N"," and no tracker row",""),IF(AND(IFERROR(INDEX(Lists!$K$2:$K$15,MATCH(K364,Lists!$J$2:$J$15,0)),-1)&gt;=6,M364="N"),"status "&amp;K364&amp;" but no tracker row",IF(AND(L364="Y",K364&lt;&gt;"do_not_contact"),"do_not_contact = Y but status is "&amp;K364,IF(AND(K364="do_not_contact",L364&lt;&gt;"Y"),"status do_not_contact but do_not_contact is not Y",""))))))</f>
        <v/>
      </c>
    </row>
    <row r="365" customFormat="false" ht="15" hidden="false" customHeight="false" outlineLevel="0" collapsed="false">
      <c r="B365" s="23" t="n">
        <v>344</v>
      </c>
      <c r="C365" s="23" t="str">
        <f aca="false">IFERROR(INDEX(Clay_Offices!$A$2:$FZ$601,B365,$C$5)&amp;"","")</f>
        <v/>
      </c>
      <c r="D365" s="23" t="str">
        <f aca="false">IFERROR(INDEX(Clay_Offices!$A$2:$FZ$601,B365,$C$7)&amp;"","")</f>
        <v/>
      </c>
      <c r="E365" s="23" t="str">
        <f aca="false">IFERROR(INDEX(Clay_Offices!$A$2:$FZ$601,B365,$C$8)&amp;"","")</f>
        <v/>
      </c>
      <c r="F365" s="23" t="str">
        <f aca="false">IF(C365="","",IF(COUNTIF(Office_Log!$A$2:$A$201,C365)&gt;0,"Y","N"))</f>
        <v/>
      </c>
      <c r="G365" s="34" t="str">
        <f aca="false">IF(OR(C365="",AND(LEFT(C365,6)="SAMPLE",Config!$B$19&lt;&gt;"Y")),"",IF(IFERROR(INDEX(Lists!$K$2:$K$15,MATCH(D365,Lists!$J$2:$J$15,0)),-1)=-1,"status '"&amp;D365&amp;"' is not a CONTRACTS status",IF(AND(D365="signed",COUNTIF(signed_offices!$W$2:$W$51,C365)=0),"status signed but no signed_offices row"&amp;IF(F365="N"," and no tracker row",""),IF(AND(IFERROR(INDEX(Lists!$K$2:$K$15,MATCH(D365,Lists!$J$2:$J$15,0)),-1)&gt;=6,F365="N"),"status "&amp;D365&amp;" but no tracker row",IF(AND(E365="Y",D365&lt;&gt;"do_not_contact"),"do_not_contact = Y but status is "&amp;D365,IF(AND(D365="do_not_contact",E365&lt;&gt;"Y"),"status do_not_contact but do_not_contact is not Y",""))))))</f>
        <v/>
      </c>
      <c r="I365" s="23" t="n">
        <v>344</v>
      </c>
      <c r="J365" s="23" t="str">
        <f aca="false">IFERROR(INDEX(Clay_Brands!$A$2:$FZ$601,I365,$D$5)&amp;"","")</f>
        <v/>
      </c>
      <c r="K365" s="23" t="str">
        <f aca="false">IFERROR(INDEX(Clay_Brands!$A$2:$FZ$601,I365,$D$7)&amp;"","")</f>
        <v/>
      </c>
      <c r="L365" s="23" t="str">
        <f aca="false">IFERROR(INDEX(Clay_Brands!$A$2:$FZ$601,I365,$D$8)&amp;"","")</f>
        <v/>
      </c>
      <c r="M365" s="23" t="str">
        <f aca="false">IF(J365="","",IF(COUNTIF(Brand_Log!$A$2:$A$201,J365)&gt;0,"Y","N"))</f>
        <v/>
      </c>
      <c r="N365" s="34" t="str">
        <f aca="false">IF(OR(J365="",AND(LEFT(J365,6)="SAMPLE",Config!$B$19&lt;&gt;"Y")),"",IF(IFERROR(INDEX(Lists!$K$2:$K$15,MATCH(K365,Lists!$J$2:$J$15,0)),-1)=-1,"status '"&amp;K365&amp;"' is not a CONTRACTS status",IF(AND(K365="paid",COUNTIF(paid_brands!$AC$2:$AC$51,J365)=0),"status paid but no paid_brands row"&amp;IF(M365="N"," and no tracker row",""),IF(AND(IFERROR(INDEX(Lists!$K$2:$K$15,MATCH(K365,Lists!$J$2:$J$15,0)),-1)&gt;=6,M365="N"),"status "&amp;K365&amp;" but no tracker row",IF(AND(L365="Y",K365&lt;&gt;"do_not_contact"),"do_not_contact = Y but status is "&amp;K365,IF(AND(K365="do_not_contact",L365&lt;&gt;"Y"),"status do_not_contact but do_not_contact is not Y",""))))))</f>
        <v/>
      </c>
    </row>
    <row r="366" customFormat="false" ht="15" hidden="false" customHeight="false" outlineLevel="0" collapsed="false">
      <c r="B366" s="23" t="n">
        <v>345</v>
      </c>
      <c r="C366" s="23" t="str">
        <f aca="false">IFERROR(INDEX(Clay_Offices!$A$2:$FZ$601,B366,$C$5)&amp;"","")</f>
        <v/>
      </c>
      <c r="D366" s="23" t="str">
        <f aca="false">IFERROR(INDEX(Clay_Offices!$A$2:$FZ$601,B366,$C$7)&amp;"","")</f>
        <v/>
      </c>
      <c r="E366" s="23" t="str">
        <f aca="false">IFERROR(INDEX(Clay_Offices!$A$2:$FZ$601,B366,$C$8)&amp;"","")</f>
        <v/>
      </c>
      <c r="F366" s="23" t="str">
        <f aca="false">IF(C366="","",IF(COUNTIF(Office_Log!$A$2:$A$201,C366)&gt;0,"Y","N"))</f>
        <v/>
      </c>
      <c r="G366" s="34" t="str">
        <f aca="false">IF(OR(C366="",AND(LEFT(C366,6)="SAMPLE",Config!$B$19&lt;&gt;"Y")),"",IF(IFERROR(INDEX(Lists!$K$2:$K$15,MATCH(D366,Lists!$J$2:$J$15,0)),-1)=-1,"status '"&amp;D366&amp;"' is not a CONTRACTS status",IF(AND(D366="signed",COUNTIF(signed_offices!$W$2:$W$51,C366)=0),"status signed but no signed_offices row"&amp;IF(F366="N"," and no tracker row",""),IF(AND(IFERROR(INDEX(Lists!$K$2:$K$15,MATCH(D366,Lists!$J$2:$J$15,0)),-1)&gt;=6,F366="N"),"status "&amp;D366&amp;" but no tracker row",IF(AND(E366="Y",D366&lt;&gt;"do_not_contact"),"do_not_contact = Y but status is "&amp;D366,IF(AND(D366="do_not_contact",E366&lt;&gt;"Y"),"status do_not_contact but do_not_contact is not Y",""))))))</f>
        <v/>
      </c>
      <c r="I366" s="23" t="n">
        <v>345</v>
      </c>
      <c r="J366" s="23" t="str">
        <f aca="false">IFERROR(INDEX(Clay_Brands!$A$2:$FZ$601,I366,$D$5)&amp;"","")</f>
        <v/>
      </c>
      <c r="K366" s="23" t="str">
        <f aca="false">IFERROR(INDEX(Clay_Brands!$A$2:$FZ$601,I366,$D$7)&amp;"","")</f>
        <v/>
      </c>
      <c r="L366" s="23" t="str">
        <f aca="false">IFERROR(INDEX(Clay_Brands!$A$2:$FZ$601,I366,$D$8)&amp;"","")</f>
        <v/>
      </c>
      <c r="M366" s="23" t="str">
        <f aca="false">IF(J366="","",IF(COUNTIF(Brand_Log!$A$2:$A$201,J366)&gt;0,"Y","N"))</f>
        <v/>
      </c>
      <c r="N366" s="34" t="str">
        <f aca="false">IF(OR(J366="",AND(LEFT(J366,6)="SAMPLE",Config!$B$19&lt;&gt;"Y")),"",IF(IFERROR(INDEX(Lists!$K$2:$K$15,MATCH(K366,Lists!$J$2:$J$15,0)),-1)=-1,"status '"&amp;K366&amp;"' is not a CONTRACTS status",IF(AND(K366="paid",COUNTIF(paid_brands!$AC$2:$AC$51,J366)=0),"status paid but no paid_brands row"&amp;IF(M366="N"," and no tracker row",""),IF(AND(IFERROR(INDEX(Lists!$K$2:$K$15,MATCH(K366,Lists!$J$2:$J$15,0)),-1)&gt;=6,M366="N"),"status "&amp;K366&amp;" but no tracker row",IF(AND(L366="Y",K366&lt;&gt;"do_not_contact"),"do_not_contact = Y but status is "&amp;K366,IF(AND(K366="do_not_contact",L366&lt;&gt;"Y"),"status do_not_contact but do_not_contact is not Y",""))))))</f>
        <v/>
      </c>
    </row>
    <row r="367" customFormat="false" ht="15" hidden="false" customHeight="false" outlineLevel="0" collapsed="false">
      <c r="B367" s="23" t="n">
        <v>346</v>
      </c>
      <c r="C367" s="23" t="str">
        <f aca="false">IFERROR(INDEX(Clay_Offices!$A$2:$FZ$601,B367,$C$5)&amp;"","")</f>
        <v/>
      </c>
      <c r="D367" s="23" t="str">
        <f aca="false">IFERROR(INDEX(Clay_Offices!$A$2:$FZ$601,B367,$C$7)&amp;"","")</f>
        <v/>
      </c>
      <c r="E367" s="23" t="str">
        <f aca="false">IFERROR(INDEX(Clay_Offices!$A$2:$FZ$601,B367,$C$8)&amp;"","")</f>
        <v/>
      </c>
      <c r="F367" s="23" t="str">
        <f aca="false">IF(C367="","",IF(COUNTIF(Office_Log!$A$2:$A$201,C367)&gt;0,"Y","N"))</f>
        <v/>
      </c>
      <c r="G367" s="34" t="str">
        <f aca="false">IF(OR(C367="",AND(LEFT(C367,6)="SAMPLE",Config!$B$19&lt;&gt;"Y")),"",IF(IFERROR(INDEX(Lists!$K$2:$K$15,MATCH(D367,Lists!$J$2:$J$15,0)),-1)=-1,"status '"&amp;D367&amp;"' is not a CONTRACTS status",IF(AND(D367="signed",COUNTIF(signed_offices!$W$2:$W$51,C367)=0),"status signed but no signed_offices row"&amp;IF(F367="N"," and no tracker row",""),IF(AND(IFERROR(INDEX(Lists!$K$2:$K$15,MATCH(D367,Lists!$J$2:$J$15,0)),-1)&gt;=6,F367="N"),"status "&amp;D367&amp;" but no tracker row",IF(AND(E367="Y",D367&lt;&gt;"do_not_contact"),"do_not_contact = Y but status is "&amp;D367,IF(AND(D367="do_not_contact",E367&lt;&gt;"Y"),"status do_not_contact but do_not_contact is not Y",""))))))</f>
        <v/>
      </c>
      <c r="I367" s="23" t="n">
        <v>346</v>
      </c>
      <c r="J367" s="23" t="str">
        <f aca="false">IFERROR(INDEX(Clay_Brands!$A$2:$FZ$601,I367,$D$5)&amp;"","")</f>
        <v/>
      </c>
      <c r="K367" s="23" t="str">
        <f aca="false">IFERROR(INDEX(Clay_Brands!$A$2:$FZ$601,I367,$D$7)&amp;"","")</f>
        <v/>
      </c>
      <c r="L367" s="23" t="str">
        <f aca="false">IFERROR(INDEX(Clay_Brands!$A$2:$FZ$601,I367,$D$8)&amp;"","")</f>
        <v/>
      </c>
      <c r="M367" s="23" t="str">
        <f aca="false">IF(J367="","",IF(COUNTIF(Brand_Log!$A$2:$A$201,J367)&gt;0,"Y","N"))</f>
        <v/>
      </c>
      <c r="N367" s="34" t="str">
        <f aca="false">IF(OR(J367="",AND(LEFT(J367,6)="SAMPLE",Config!$B$19&lt;&gt;"Y")),"",IF(IFERROR(INDEX(Lists!$K$2:$K$15,MATCH(K367,Lists!$J$2:$J$15,0)),-1)=-1,"status '"&amp;K367&amp;"' is not a CONTRACTS status",IF(AND(K367="paid",COUNTIF(paid_brands!$AC$2:$AC$51,J367)=0),"status paid but no paid_brands row"&amp;IF(M367="N"," and no tracker row",""),IF(AND(IFERROR(INDEX(Lists!$K$2:$K$15,MATCH(K367,Lists!$J$2:$J$15,0)),-1)&gt;=6,M367="N"),"status "&amp;K367&amp;" but no tracker row",IF(AND(L367="Y",K367&lt;&gt;"do_not_contact"),"do_not_contact = Y but status is "&amp;K367,IF(AND(K367="do_not_contact",L367&lt;&gt;"Y"),"status do_not_contact but do_not_contact is not Y",""))))))</f>
        <v/>
      </c>
    </row>
    <row r="368" customFormat="false" ht="15" hidden="false" customHeight="false" outlineLevel="0" collapsed="false">
      <c r="B368" s="23" t="n">
        <v>347</v>
      </c>
      <c r="C368" s="23" t="str">
        <f aca="false">IFERROR(INDEX(Clay_Offices!$A$2:$FZ$601,B368,$C$5)&amp;"","")</f>
        <v/>
      </c>
      <c r="D368" s="23" t="str">
        <f aca="false">IFERROR(INDEX(Clay_Offices!$A$2:$FZ$601,B368,$C$7)&amp;"","")</f>
        <v/>
      </c>
      <c r="E368" s="23" t="str">
        <f aca="false">IFERROR(INDEX(Clay_Offices!$A$2:$FZ$601,B368,$C$8)&amp;"","")</f>
        <v/>
      </c>
      <c r="F368" s="23" t="str">
        <f aca="false">IF(C368="","",IF(COUNTIF(Office_Log!$A$2:$A$201,C368)&gt;0,"Y","N"))</f>
        <v/>
      </c>
      <c r="G368" s="34" t="str">
        <f aca="false">IF(OR(C368="",AND(LEFT(C368,6)="SAMPLE",Config!$B$19&lt;&gt;"Y")),"",IF(IFERROR(INDEX(Lists!$K$2:$K$15,MATCH(D368,Lists!$J$2:$J$15,0)),-1)=-1,"status '"&amp;D368&amp;"' is not a CONTRACTS status",IF(AND(D368="signed",COUNTIF(signed_offices!$W$2:$W$51,C368)=0),"status signed but no signed_offices row"&amp;IF(F368="N"," and no tracker row",""),IF(AND(IFERROR(INDEX(Lists!$K$2:$K$15,MATCH(D368,Lists!$J$2:$J$15,0)),-1)&gt;=6,F368="N"),"status "&amp;D368&amp;" but no tracker row",IF(AND(E368="Y",D368&lt;&gt;"do_not_contact"),"do_not_contact = Y but status is "&amp;D368,IF(AND(D368="do_not_contact",E368&lt;&gt;"Y"),"status do_not_contact but do_not_contact is not Y",""))))))</f>
        <v/>
      </c>
      <c r="I368" s="23" t="n">
        <v>347</v>
      </c>
      <c r="J368" s="23" t="str">
        <f aca="false">IFERROR(INDEX(Clay_Brands!$A$2:$FZ$601,I368,$D$5)&amp;"","")</f>
        <v/>
      </c>
      <c r="K368" s="23" t="str">
        <f aca="false">IFERROR(INDEX(Clay_Brands!$A$2:$FZ$601,I368,$D$7)&amp;"","")</f>
        <v/>
      </c>
      <c r="L368" s="23" t="str">
        <f aca="false">IFERROR(INDEX(Clay_Brands!$A$2:$FZ$601,I368,$D$8)&amp;"","")</f>
        <v/>
      </c>
      <c r="M368" s="23" t="str">
        <f aca="false">IF(J368="","",IF(COUNTIF(Brand_Log!$A$2:$A$201,J368)&gt;0,"Y","N"))</f>
        <v/>
      </c>
      <c r="N368" s="34" t="str">
        <f aca="false">IF(OR(J368="",AND(LEFT(J368,6)="SAMPLE",Config!$B$19&lt;&gt;"Y")),"",IF(IFERROR(INDEX(Lists!$K$2:$K$15,MATCH(K368,Lists!$J$2:$J$15,0)),-1)=-1,"status '"&amp;K368&amp;"' is not a CONTRACTS status",IF(AND(K368="paid",COUNTIF(paid_brands!$AC$2:$AC$51,J368)=0),"status paid but no paid_brands row"&amp;IF(M368="N"," and no tracker row",""),IF(AND(IFERROR(INDEX(Lists!$K$2:$K$15,MATCH(K368,Lists!$J$2:$J$15,0)),-1)&gt;=6,M368="N"),"status "&amp;K368&amp;" but no tracker row",IF(AND(L368="Y",K368&lt;&gt;"do_not_contact"),"do_not_contact = Y but status is "&amp;K368,IF(AND(K368="do_not_contact",L368&lt;&gt;"Y"),"status do_not_contact but do_not_contact is not Y",""))))))</f>
        <v/>
      </c>
    </row>
    <row r="369" customFormat="false" ht="15" hidden="false" customHeight="false" outlineLevel="0" collapsed="false">
      <c r="B369" s="23" t="n">
        <v>348</v>
      </c>
      <c r="C369" s="23" t="str">
        <f aca="false">IFERROR(INDEX(Clay_Offices!$A$2:$FZ$601,B369,$C$5)&amp;"","")</f>
        <v/>
      </c>
      <c r="D369" s="23" t="str">
        <f aca="false">IFERROR(INDEX(Clay_Offices!$A$2:$FZ$601,B369,$C$7)&amp;"","")</f>
        <v/>
      </c>
      <c r="E369" s="23" t="str">
        <f aca="false">IFERROR(INDEX(Clay_Offices!$A$2:$FZ$601,B369,$C$8)&amp;"","")</f>
        <v/>
      </c>
      <c r="F369" s="23" t="str">
        <f aca="false">IF(C369="","",IF(COUNTIF(Office_Log!$A$2:$A$201,C369)&gt;0,"Y","N"))</f>
        <v/>
      </c>
      <c r="G369" s="34" t="str">
        <f aca="false">IF(OR(C369="",AND(LEFT(C369,6)="SAMPLE",Config!$B$19&lt;&gt;"Y")),"",IF(IFERROR(INDEX(Lists!$K$2:$K$15,MATCH(D369,Lists!$J$2:$J$15,0)),-1)=-1,"status '"&amp;D369&amp;"' is not a CONTRACTS status",IF(AND(D369="signed",COUNTIF(signed_offices!$W$2:$W$51,C369)=0),"status signed but no signed_offices row"&amp;IF(F369="N"," and no tracker row",""),IF(AND(IFERROR(INDEX(Lists!$K$2:$K$15,MATCH(D369,Lists!$J$2:$J$15,0)),-1)&gt;=6,F369="N"),"status "&amp;D369&amp;" but no tracker row",IF(AND(E369="Y",D369&lt;&gt;"do_not_contact"),"do_not_contact = Y but status is "&amp;D369,IF(AND(D369="do_not_contact",E369&lt;&gt;"Y"),"status do_not_contact but do_not_contact is not Y",""))))))</f>
        <v/>
      </c>
      <c r="I369" s="23" t="n">
        <v>348</v>
      </c>
      <c r="J369" s="23" t="str">
        <f aca="false">IFERROR(INDEX(Clay_Brands!$A$2:$FZ$601,I369,$D$5)&amp;"","")</f>
        <v/>
      </c>
      <c r="K369" s="23" t="str">
        <f aca="false">IFERROR(INDEX(Clay_Brands!$A$2:$FZ$601,I369,$D$7)&amp;"","")</f>
        <v/>
      </c>
      <c r="L369" s="23" t="str">
        <f aca="false">IFERROR(INDEX(Clay_Brands!$A$2:$FZ$601,I369,$D$8)&amp;"","")</f>
        <v/>
      </c>
      <c r="M369" s="23" t="str">
        <f aca="false">IF(J369="","",IF(COUNTIF(Brand_Log!$A$2:$A$201,J369)&gt;0,"Y","N"))</f>
        <v/>
      </c>
      <c r="N369" s="34" t="str">
        <f aca="false">IF(OR(J369="",AND(LEFT(J369,6)="SAMPLE",Config!$B$19&lt;&gt;"Y")),"",IF(IFERROR(INDEX(Lists!$K$2:$K$15,MATCH(K369,Lists!$J$2:$J$15,0)),-1)=-1,"status '"&amp;K369&amp;"' is not a CONTRACTS status",IF(AND(K369="paid",COUNTIF(paid_brands!$AC$2:$AC$51,J369)=0),"status paid but no paid_brands row"&amp;IF(M369="N"," and no tracker row",""),IF(AND(IFERROR(INDEX(Lists!$K$2:$K$15,MATCH(K369,Lists!$J$2:$J$15,0)),-1)&gt;=6,M369="N"),"status "&amp;K369&amp;" but no tracker row",IF(AND(L369="Y",K369&lt;&gt;"do_not_contact"),"do_not_contact = Y but status is "&amp;K369,IF(AND(K369="do_not_contact",L369&lt;&gt;"Y"),"status do_not_contact but do_not_contact is not Y",""))))))</f>
        <v/>
      </c>
    </row>
    <row r="370" customFormat="false" ht="15" hidden="false" customHeight="false" outlineLevel="0" collapsed="false">
      <c r="B370" s="23" t="n">
        <v>349</v>
      </c>
      <c r="C370" s="23" t="str">
        <f aca="false">IFERROR(INDEX(Clay_Offices!$A$2:$FZ$601,B370,$C$5)&amp;"","")</f>
        <v/>
      </c>
      <c r="D370" s="23" t="str">
        <f aca="false">IFERROR(INDEX(Clay_Offices!$A$2:$FZ$601,B370,$C$7)&amp;"","")</f>
        <v/>
      </c>
      <c r="E370" s="23" t="str">
        <f aca="false">IFERROR(INDEX(Clay_Offices!$A$2:$FZ$601,B370,$C$8)&amp;"","")</f>
        <v/>
      </c>
      <c r="F370" s="23" t="str">
        <f aca="false">IF(C370="","",IF(COUNTIF(Office_Log!$A$2:$A$201,C370)&gt;0,"Y","N"))</f>
        <v/>
      </c>
      <c r="G370" s="34" t="str">
        <f aca="false">IF(OR(C370="",AND(LEFT(C370,6)="SAMPLE",Config!$B$19&lt;&gt;"Y")),"",IF(IFERROR(INDEX(Lists!$K$2:$K$15,MATCH(D370,Lists!$J$2:$J$15,0)),-1)=-1,"status '"&amp;D370&amp;"' is not a CONTRACTS status",IF(AND(D370="signed",COUNTIF(signed_offices!$W$2:$W$51,C370)=0),"status signed but no signed_offices row"&amp;IF(F370="N"," and no tracker row",""),IF(AND(IFERROR(INDEX(Lists!$K$2:$K$15,MATCH(D370,Lists!$J$2:$J$15,0)),-1)&gt;=6,F370="N"),"status "&amp;D370&amp;" but no tracker row",IF(AND(E370="Y",D370&lt;&gt;"do_not_contact"),"do_not_contact = Y but status is "&amp;D370,IF(AND(D370="do_not_contact",E370&lt;&gt;"Y"),"status do_not_contact but do_not_contact is not Y",""))))))</f>
        <v/>
      </c>
      <c r="I370" s="23" t="n">
        <v>349</v>
      </c>
      <c r="J370" s="23" t="str">
        <f aca="false">IFERROR(INDEX(Clay_Brands!$A$2:$FZ$601,I370,$D$5)&amp;"","")</f>
        <v/>
      </c>
      <c r="K370" s="23" t="str">
        <f aca="false">IFERROR(INDEX(Clay_Brands!$A$2:$FZ$601,I370,$D$7)&amp;"","")</f>
        <v/>
      </c>
      <c r="L370" s="23" t="str">
        <f aca="false">IFERROR(INDEX(Clay_Brands!$A$2:$FZ$601,I370,$D$8)&amp;"","")</f>
        <v/>
      </c>
      <c r="M370" s="23" t="str">
        <f aca="false">IF(J370="","",IF(COUNTIF(Brand_Log!$A$2:$A$201,J370)&gt;0,"Y","N"))</f>
        <v/>
      </c>
      <c r="N370" s="34" t="str">
        <f aca="false">IF(OR(J370="",AND(LEFT(J370,6)="SAMPLE",Config!$B$19&lt;&gt;"Y")),"",IF(IFERROR(INDEX(Lists!$K$2:$K$15,MATCH(K370,Lists!$J$2:$J$15,0)),-1)=-1,"status '"&amp;K370&amp;"' is not a CONTRACTS status",IF(AND(K370="paid",COUNTIF(paid_brands!$AC$2:$AC$51,J370)=0),"status paid but no paid_brands row"&amp;IF(M370="N"," and no tracker row",""),IF(AND(IFERROR(INDEX(Lists!$K$2:$K$15,MATCH(K370,Lists!$J$2:$J$15,0)),-1)&gt;=6,M370="N"),"status "&amp;K370&amp;" but no tracker row",IF(AND(L370="Y",K370&lt;&gt;"do_not_contact"),"do_not_contact = Y but status is "&amp;K370,IF(AND(K370="do_not_contact",L370&lt;&gt;"Y"),"status do_not_contact but do_not_contact is not Y",""))))))</f>
        <v/>
      </c>
    </row>
    <row r="371" customFormat="false" ht="15" hidden="false" customHeight="false" outlineLevel="0" collapsed="false">
      <c r="B371" s="23" t="n">
        <v>350</v>
      </c>
      <c r="C371" s="23" t="str">
        <f aca="false">IFERROR(INDEX(Clay_Offices!$A$2:$FZ$601,B371,$C$5)&amp;"","")</f>
        <v/>
      </c>
      <c r="D371" s="23" t="str">
        <f aca="false">IFERROR(INDEX(Clay_Offices!$A$2:$FZ$601,B371,$C$7)&amp;"","")</f>
        <v/>
      </c>
      <c r="E371" s="23" t="str">
        <f aca="false">IFERROR(INDEX(Clay_Offices!$A$2:$FZ$601,B371,$C$8)&amp;"","")</f>
        <v/>
      </c>
      <c r="F371" s="23" t="str">
        <f aca="false">IF(C371="","",IF(COUNTIF(Office_Log!$A$2:$A$201,C371)&gt;0,"Y","N"))</f>
        <v/>
      </c>
      <c r="G371" s="34" t="str">
        <f aca="false">IF(OR(C371="",AND(LEFT(C371,6)="SAMPLE",Config!$B$19&lt;&gt;"Y")),"",IF(IFERROR(INDEX(Lists!$K$2:$K$15,MATCH(D371,Lists!$J$2:$J$15,0)),-1)=-1,"status '"&amp;D371&amp;"' is not a CONTRACTS status",IF(AND(D371="signed",COUNTIF(signed_offices!$W$2:$W$51,C371)=0),"status signed but no signed_offices row"&amp;IF(F371="N"," and no tracker row",""),IF(AND(IFERROR(INDEX(Lists!$K$2:$K$15,MATCH(D371,Lists!$J$2:$J$15,0)),-1)&gt;=6,F371="N"),"status "&amp;D371&amp;" but no tracker row",IF(AND(E371="Y",D371&lt;&gt;"do_not_contact"),"do_not_contact = Y but status is "&amp;D371,IF(AND(D371="do_not_contact",E371&lt;&gt;"Y"),"status do_not_contact but do_not_contact is not Y",""))))))</f>
        <v/>
      </c>
      <c r="I371" s="23" t="n">
        <v>350</v>
      </c>
      <c r="J371" s="23" t="str">
        <f aca="false">IFERROR(INDEX(Clay_Brands!$A$2:$FZ$601,I371,$D$5)&amp;"","")</f>
        <v/>
      </c>
      <c r="K371" s="23" t="str">
        <f aca="false">IFERROR(INDEX(Clay_Brands!$A$2:$FZ$601,I371,$D$7)&amp;"","")</f>
        <v/>
      </c>
      <c r="L371" s="23" t="str">
        <f aca="false">IFERROR(INDEX(Clay_Brands!$A$2:$FZ$601,I371,$D$8)&amp;"","")</f>
        <v/>
      </c>
      <c r="M371" s="23" t="str">
        <f aca="false">IF(J371="","",IF(COUNTIF(Brand_Log!$A$2:$A$201,J371)&gt;0,"Y","N"))</f>
        <v/>
      </c>
      <c r="N371" s="34" t="str">
        <f aca="false">IF(OR(J371="",AND(LEFT(J371,6)="SAMPLE",Config!$B$19&lt;&gt;"Y")),"",IF(IFERROR(INDEX(Lists!$K$2:$K$15,MATCH(K371,Lists!$J$2:$J$15,0)),-1)=-1,"status '"&amp;K371&amp;"' is not a CONTRACTS status",IF(AND(K371="paid",COUNTIF(paid_brands!$AC$2:$AC$51,J371)=0),"status paid but no paid_brands row"&amp;IF(M371="N"," and no tracker row",""),IF(AND(IFERROR(INDEX(Lists!$K$2:$K$15,MATCH(K371,Lists!$J$2:$J$15,0)),-1)&gt;=6,M371="N"),"status "&amp;K371&amp;" but no tracker row",IF(AND(L371="Y",K371&lt;&gt;"do_not_contact"),"do_not_contact = Y but status is "&amp;K371,IF(AND(K371="do_not_contact",L371&lt;&gt;"Y"),"status do_not_contact but do_not_contact is not Y",""))))))</f>
        <v/>
      </c>
    </row>
    <row r="372" customFormat="false" ht="15" hidden="false" customHeight="false" outlineLevel="0" collapsed="false">
      <c r="B372" s="23" t="n">
        <v>351</v>
      </c>
      <c r="C372" s="23" t="str">
        <f aca="false">IFERROR(INDEX(Clay_Offices!$A$2:$FZ$601,B372,$C$5)&amp;"","")</f>
        <v/>
      </c>
      <c r="D372" s="23" t="str">
        <f aca="false">IFERROR(INDEX(Clay_Offices!$A$2:$FZ$601,B372,$C$7)&amp;"","")</f>
        <v/>
      </c>
      <c r="E372" s="23" t="str">
        <f aca="false">IFERROR(INDEX(Clay_Offices!$A$2:$FZ$601,B372,$C$8)&amp;"","")</f>
        <v/>
      </c>
      <c r="F372" s="23" t="str">
        <f aca="false">IF(C372="","",IF(COUNTIF(Office_Log!$A$2:$A$201,C372)&gt;0,"Y","N"))</f>
        <v/>
      </c>
      <c r="G372" s="34" t="str">
        <f aca="false">IF(OR(C372="",AND(LEFT(C372,6)="SAMPLE",Config!$B$19&lt;&gt;"Y")),"",IF(IFERROR(INDEX(Lists!$K$2:$K$15,MATCH(D372,Lists!$J$2:$J$15,0)),-1)=-1,"status '"&amp;D372&amp;"' is not a CONTRACTS status",IF(AND(D372="signed",COUNTIF(signed_offices!$W$2:$W$51,C372)=0),"status signed but no signed_offices row"&amp;IF(F372="N"," and no tracker row",""),IF(AND(IFERROR(INDEX(Lists!$K$2:$K$15,MATCH(D372,Lists!$J$2:$J$15,0)),-1)&gt;=6,F372="N"),"status "&amp;D372&amp;" but no tracker row",IF(AND(E372="Y",D372&lt;&gt;"do_not_contact"),"do_not_contact = Y but status is "&amp;D372,IF(AND(D372="do_not_contact",E372&lt;&gt;"Y"),"status do_not_contact but do_not_contact is not Y",""))))))</f>
        <v/>
      </c>
      <c r="I372" s="23" t="n">
        <v>351</v>
      </c>
      <c r="J372" s="23" t="str">
        <f aca="false">IFERROR(INDEX(Clay_Brands!$A$2:$FZ$601,I372,$D$5)&amp;"","")</f>
        <v/>
      </c>
      <c r="K372" s="23" t="str">
        <f aca="false">IFERROR(INDEX(Clay_Brands!$A$2:$FZ$601,I372,$D$7)&amp;"","")</f>
        <v/>
      </c>
      <c r="L372" s="23" t="str">
        <f aca="false">IFERROR(INDEX(Clay_Brands!$A$2:$FZ$601,I372,$D$8)&amp;"","")</f>
        <v/>
      </c>
      <c r="M372" s="23" t="str">
        <f aca="false">IF(J372="","",IF(COUNTIF(Brand_Log!$A$2:$A$201,J372)&gt;0,"Y","N"))</f>
        <v/>
      </c>
      <c r="N372" s="34" t="str">
        <f aca="false">IF(OR(J372="",AND(LEFT(J372,6)="SAMPLE",Config!$B$19&lt;&gt;"Y")),"",IF(IFERROR(INDEX(Lists!$K$2:$K$15,MATCH(K372,Lists!$J$2:$J$15,0)),-1)=-1,"status '"&amp;K372&amp;"' is not a CONTRACTS status",IF(AND(K372="paid",COUNTIF(paid_brands!$AC$2:$AC$51,J372)=0),"status paid but no paid_brands row"&amp;IF(M372="N"," and no tracker row",""),IF(AND(IFERROR(INDEX(Lists!$K$2:$K$15,MATCH(K372,Lists!$J$2:$J$15,0)),-1)&gt;=6,M372="N"),"status "&amp;K372&amp;" but no tracker row",IF(AND(L372="Y",K372&lt;&gt;"do_not_contact"),"do_not_contact = Y but status is "&amp;K372,IF(AND(K372="do_not_contact",L372&lt;&gt;"Y"),"status do_not_contact but do_not_contact is not Y",""))))))</f>
        <v/>
      </c>
    </row>
    <row r="373" customFormat="false" ht="15" hidden="false" customHeight="false" outlineLevel="0" collapsed="false">
      <c r="B373" s="23" t="n">
        <v>352</v>
      </c>
      <c r="C373" s="23" t="str">
        <f aca="false">IFERROR(INDEX(Clay_Offices!$A$2:$FZ$601,B373,$C$5)&amp;"","")</f>
        <v/>
      </c>
      <c r="D373" s="23" t="str">
        <f aca="false">IFERROR(INDEX(Clay_Offices!$A$2:$FZ$601,B373,$C$7)&amp;"","")</f>
        <v/>
      </c>
      <c r="E373" s="23" t="str">
        <f aca="false">IFERROR(INDEX(Clay_Offices!$A$2:$FZ$601,B373,$C$8)&amp;"","")</f>
        <v/>
      </c>
      <c r="F373" s="23" t="str">
        <f aca="false">IF(C373="","",IF(COUNTIF(Office_Log!$A$2:$A$201,C373)&gt;0,"Y","N"))</f>
        <v/>
      </c>
      <c r="G373" s="34" t="str">
        <f aca="false">IF(OR(C373="",AND(LEFT(C373,6)="SAMPLE",Config!$B$19&lt;&gt;"Y")),"",IF(IFERROR(INDEX(Lists!$K$2:$K$15,MATCH(D373,Lists!$J$2:$J$15,0)),-1)=-1,"status '"&amp;D373&amp;"' is not a CONTRACTS status",IF(AND(D373="signed",COUNTIF(signed_offices!$W$2:$W$51,C373)=0),"status signed but no signed_offices row"&amp;IF(F373="N"," and no tracker row",""),IF(AND(IFERROR(INDEX(Lists!$K$2:$K$15,MATCH(D373,Lists!$J$2:$J$15,0)),-1)&gt;=6,F373="N"),"status "&amp;D373&amp;" but no tracker row",IF(AND(E373="Y",D373&lt;&gt;"do_not_contact"),"do_not_contact = Y but status is "&amp;D373,IF(AND(D373="do_not_contact",E373&lt;&gt;"Y"),"status do_not_contact but do_not_contact is not Y",""))))))</f>
        <v/>
      </c>
      <c r="I373" s="23" t="n">
        <v>352</v>
      </c>
      <c r="J373" s="23" t="str">
        <f aca="false">IFERROR(INDEX(Clay_Brands!$A$2:$FZ$601,I373,$D$5)&amp;"","")</f>
        <v/>
      </c>
      <c r="K373" s="23" t="str">
        <f aca="false">IFERROR(INDEX(Clay_Brands!$A$2:$FZ$601,I373,$D$7)&amp;"","")</f>
        <v/>
      </c>
      <c r="L373" s="23" t="str">
        <f aca="false">IFERROR(INDEX(Clay_Brands!$A$2:$FZ$601,I373,$D$8)&amp;"","")</f>
        <v/>
      </c>
      <c r="M373" s="23" t="str">
        <f aca="false">IF(J373="","",IF(COUNTIF(Brand_Log!$A$2:$A$201,J373)&gt;0,"Y","N"))</f>
        <v/>
      </c>
      <c r="N373" s="34" t="str">
        <f aca="false">IF(OR(J373="",AND(LEFT(J373,6)="SAMPLE",Config!$B$19&lt;&gt;"Y")),"",IF(IFERROR(INDEX(Lists!$K$2:$K$15,MATCH(K373,Lists!$J$2:$J$15,0)),-1)=-1,"status '"&amp;K373&amp;"' is not a CONTRACTS status",IF(AND(K373="paid",COUNTIF(paid_brands!$AC$2:$AC$51,J373)=0),"status paid but no paid_brands row"&amp;IF(M373="N"," and no tracker row",""),IF(AND(IFERROR(INDEX(Lists!$K$2:$K$15,MATCH(K373,Lists!$J$2:$J$15,0)),-1)&gt;=6,M373="N"),"status "&amp;K373&amp;" but no tracker row",IF(AND(L373="Y",K373&lt;&gt;"do_not_contact"),"do_not_contact = Y but status is "&amp;K373,IF(AND(K373="do_not_contact",L373&lt;&gt;"Y"),"status do_not_contact but do_not_contact is not Y",""))))))</f>
        <v/>
      </c>
    </row>
    <row r="374" customFormat="false" ht="15" hidden="false" customHeight="false" outlineLevel="0" collapsed="false">
      <c r="B374" s="23" t="n">
        <v>353</v>
      </c>
      <c r="C374" s="23" t="str">
        <f aca="false">IFERROR(INDEX(Clay_Offices!$A$2:$FZ$601,B374,$C$5)&amp;"","")</f>
        <v/>
      </c>
      <c r="D374" s="23" t="str">
        <f aca="false">IFERROR(INDEX(Clay_Offices!$A$2:$FZ$601,B374,$C$7)&amp;"","")</f>
        <v/>
      </c>
      <c r="E374" s="23" t="str">
        <f aca="false">IFERROR(INDEX(Clay_Offices!$A$2:$FZ$601,B374,$C$8)&amp;"","")</f>
        <v/>
      </c>
      <c r="F374" s="23" t="str">
        <f aca="false">IF(C374="","",IF(COUNTIF(Office_Log!$A$2:$A$201,C374)&gt;0,"Y","N"))</f>
        <v/>
      </c>
      <c r="G374" s="34" t="str">
        <f aca="false">IF(OR(C374="",AND(LEFT(C374,6)="SAMPLE",Config!$B$19&lt;&gt;"Y")),"",IF(IFERROR(INDEX(Lists!$K$2:$K$15,MATCH(D374,Lists!$J$2:$J$15,0)),-1)=-1,"status '"&amp;D374&amp;"' is not a CONTRACTS status",IF(AND(D374="signed",COUNTIF(signed_offices!$W$2:$W$51,C374)=0),"status signed but no signed_offices row"&amp;IF(F374="N"," and no tracker row",""),IF(AND(IFERROR(INDEX(Lists!$K$2:$K$15,MATCH(D374,Lists!$J$2:$J$15,0)),-1)&gt;=6,F374="N"),"status "&amp;D374&amp;" but no tracker row",IF(AND(E374="Y",D374&lt;&gt;"do_not_contact"),"do_not_contact = Y but status is "&amp;D374,IF(AND(D374="do_not_contact",E374&lt;&gt;"Y"),"status do_not_contact but do_not_contact is not Y",""))))))</f>
        <v/>
      </c>
      <c r="I374" s="23" t="n">
        <v>353</v>
      </c>
      <c r="J374" s="23" t="str">
        <f aca="false">IFERROR(INDEX(Clay_Brands!$A$2:$FZ$601,I374,$D$5)&amp;"","")</f>
        <v/>
      </c>
      <c r="K374" s="23" t="str">
        <f aca="false">IFERROR(INDEX(Clay_Brands!$A$2:$FZ$601,I374,$D$7)&amp;"","")</f>
        <v/>
      </c>
      <c r="L374" s="23" t="str">
        <f aca="false">IFERROR(INDEX(Clay_Brands!$A$2:$FZ$601,I374,$D$8)&amp;"","")</f>
        <v/>
      </c>
      <c r="M374" s="23" t="str">
        <f aca="false">IF(J374="","",IF(COUNTIF(Brand_Log!$A$2:$A$201,J374)&gt;0,"Y","N"))</f>
        <v/>
      </c>
      <c r="N374" s="34" t="str">
        <f aca="false">IF(OR(J374="",AND(LEFT(J374,6)="SAMPLE",Config!$B$19&lt;&gt;"Y")),"",IF(IFERROR(INDEX(Lists!$K$2:$K$15,MATCH(K374,Lists!$J$2:$J$15,0)),-1)=-1,"status '"&amp;K374&amp;"' is not a CONTRACTS status",IF(AND(K374="paid",COUNTIF(paid_brands!$AC$2:$AC$51,J374)=0),"status paid but no paid_brands row"&amp;IF(M374="N"," and no tracker row",""),IF(AND(IFERROR(INDEX(Lists!$K$2:$K$15,MATCH(K374,Lists!$J$2:$J$15,0)),-1)&gt;=6,M374="N"),"status "&amp;K374&amp;" but no tracker row",IF(AND(L374="Y",K374&lt;&gt;"do_not_contact"),"do_not_contact = Y but status is "&amp;K374,IF(AND(K374="do_not_contact",L374&lt;&gt;"Y"),"status do_not_contact but do_not_contact is not Y",""))))))</f>
        <v/>
      </c>
    </row>
    <row r="375" customFormat="false" ht="15" hidden="false" customHeight="false" outlineLevel="0" collapsed="false">
      <c r="B375" s="23" t="n">
        <v>354</v>
      </c>
      <c r="C375" s="23" t="str">
        <f aca="false">IFERROR(INDEX(Clay_Offices!$A$2:$FZ$601,B375,$C$5)&amp;"","")</f>
        <v/>
      </c>
      <c r="D375" s="23" t="str">
        <f aca="false">IFERROR(INDEX(Clay_Offices!$A$2:$FZ$601,B375,$C$7)&amp;"","")</f>
        <v/>
      </c>
      <c r="E375" s="23" t="str">
        <f aca="false">IFERROR(INDEX(Clay_Offices!$A$2:$FZ$601,B375,$C$8)&amp;"","")</f>
        <v/>
      </c>
      <c r="F375" s="23" t="str">
        <f aca="false">IF(C375="","",IF(COUNTIF(Office_Log!$A$2:$A$201,C375)&gt;0,"Y","N"))</f>
        <v/>
      </c>
      <c r="G375" s="34" t="str">
        <f aca="false">IF(OR(C375="",AND(LEFT(C375,6)="SAMPLE",Config!$B$19&lt;&gt;"Y")),"",IF(IFERROR(INDEX(Lists!$K$2:$K$15,MATCH(D375,Lists!$J$2:$J$15,0)),-1)=-1,"status '"&amp;D375&amp;"' is not a CONTRACTS status",IF(AND(D375="signed",COUNTIF(signed_offices!$W$2:$W$51,C375)=0),"status signed but no signed_offices row"&amp;IF(F375="N"," and no tracker row",""),IF(AND(IFERROR(INDEX(Lists!$K$2:$K$15,MATCH(D375,Lists!$J$2:$J$15,0)),-1)&gt;=6,F375="N"),"status "&amp;D375&amp;" but no tracker row",IF(AND(E375="Y",D375&lt;&gt;"do_not_contact"),"do_not_contact = Y but status is "&amp;D375,IF(AND(D375="do_not_contact",E375&lt;&gt;"Y"),"status do_not_contact but do_not_contact is not Y",""))))))</f>
        <v/>
      </c>
      <c r="I375" s="23" t="n">
        <v>354</v>
      </c>
      <c r="J375" s="23" t="str">
        <f aca="false">IFERROR(INDEX(Clay_Brands!$A$2:$FZ$601,I375,$D$5)&amp;"","")</f>
        <v/>
      </c>
      <c r="K375" s="23" t="str">
        <f aca="false">IFERROR(INDEX(Clay_Brands!$A$2:$FZ$601,I375,$D$7)&amp;"","")</f>
        <v/>
      </c>
      <c r="L375" s="23" t="str">
        <f aca="false">IFERROR(INDEX(Clay_Brands!$A$2:$FZ$601,I375,$D$8)&amp;"","")</f>
        <v/>
      </c>
      <c r="M375" s="23" t="str">
        <f aca="false">IF(J375="","",IF(COUNTIF(Brand_Log!$A$2:$A$201,J375)&gt;0,"Y","N"))</f>
        <v/>
      </c>
      <c r="N375" s="34" t="str">
        <f aca="false">IF(OR(J375="",AND(LEFT(J375,6)="SAMPLE",Config!$B$19&lt;&gt;"Y")),"",IF(IFERROR(INDEX(Lists!$K$2:$K$15,MATCH(K375,Lists!$J$2:$J$15,0)),-1)=-1,"status '"&amp;K375&amp;"' is not a CONTRACTS status",IF(AND(K375="paid",COUNTIF(paid_brands!$AC$2:$AC$51,J375)=0),"status paid but no paid_brands row"&amp;IF(M375="N"," and no tracker row",""),IF(AND(IFERROR(INDEX(Lists!$K$2:$K$15,MATCH(K375,Lists!$J$2:$J$15,0)),-1)&gt;=6,M375="N"),"status "&amp;K375&amp;" but no tracker row",IF(AND(L375="Y",K375&lt;&gt;"do_not_contact"),"do_not_contact = Y but status is "&amp;K375,IF(AND(K375="do_not_contact",L375&lt;&gt;"Y"),"status do_not_contact but do_not_contact is not Y",""))))))</f>
        <v/>
      </c>
    </row>
    <row r="376" customFormat="false" ht="15" hidden="false" customHeight="false" outlineLevel="0" collapsed="false">
      <c r="B376" s="23" t="n">
        <v>355</v>
      </c>
      <c r="C376" s="23" t="str">
        <f aca="false">IFERROR(INDEX(Clay_Offices!$A$2:$FZ$601,B376,$C$5)&amp;"","")</f>
        <v/>
      </c>
      <c r="D376" s="23" t="str">
        <f aca="false">IFERROR(INDEX(Clay_Offices!$A$2:$FZ$601,B376,$C$7)&amp;"","")</f>
        <v/>
      </c>
      <c r="E376" s="23" t="str">
        <f aca="false">IFERROR(INDEX(Clay_Offices!$A$2:$FZ$601,B376,$C$8)&amp;"","")</f>
        <v/>
      </c>
      <c r="F376" s="23" t="str">
        <f aca="false">IF(C376="","",IF(COUNTIF(Office_Log!$A$2:$A$201,C376)&gt;0,"Y","N"))</f>
        <v/>
      </c>
      <c r="G376" s="34" t="str">
        <f aca="false">IF(OR(C376="",AND(LEFT(C376,6)="SAMPLE",Config!$B$19&lt;&gt;"Y")),"",IF(IFERROR(INDEX(Lists!$K$2:$K$15,MATCH(D376,Lists!$J$2:$J$15,0)),-1)=-1,"status '"&amp;D376&amp;"' is not a CONTRACTS status",IF(AND(D376="signed",COUNTIF(signed_offices!$W$2:$W$51,C376)=0),"status signed but no signed_offices row"&amp;IF(F376="N"," and no tracker row",""),IF(AND(IFERROR(INDEX(Lists!$K$2:$K$15,MATCH(D376,Lists!$J$2:$J$15,0)),-1)&gt;=6,F376="N"),"status "&amp;D376&amp;" but no tracker row",IF(AND(E376="Y",D376&lt;&gt;"do_not_contact"),"do_not_contact = Y but status is "&amp;D376,IF(AND(D376="do_not_contact",E376&lt;&gt;"Y"),"status do_not_contact but do_not_contact is not Y",""))))))</f>
        <v/>
      </c>
      <c r="I376" s="23" t="n">
        <v>355</v>
      </c>
      <c r="J376" s="23" t="str">
        <f aca="false">IFERROR(INDEX(Clay_Brands!$A$2:$FZ$601,I376,$D$5)&amp;"","")</f>
        <v/>
      </c>
      <c r="K376" s="23" t="str">
        <f aca="false">IFERROR(INDEX(Clay_Brands!$A$2:$FZ$601,I376,$D$7)&amp;"","")</f>
        <v/>
      </c>
      <c r="L376" s="23" t="str">
        <f aca="false">IFERROR(INDEX(Clay_Brands!$A$2:$FZ$601,I376,$D$8)&amp;"","")</f>
        <v/>
      </c>
      <c r="M376" s="23" t="str">
        <f aca="false">IF(J376="","",IF(COUNTIF(Brand_Log!$A$2:$A$201,J376)&gt;0,"Y","N"))</f>
        <v/>
      </c>
      <c r="N376" s="34" t="str">
        <f aca="false">IF(OR(J376="",AND(LEFT(J376,6)="SAMPLE",Config!$B$19&lt;&gt;"Y")),"",IF(IFERROR(INDEX(Lists!$K$2:$K$15,MATCH(K376,Lists!$J$2:$J$15,0)),-1)=-1,"status '"&amp;K376&amp;"' is not a CONTRACTS status",IF(AND(K376="paid",COUNTIF(paid_brands!$AC$2:$AC$51,J376)=0),"status paid but no paid_brands row"&amp;IF(M376="N"," and no tracker row",""),IF(AND(IFERROR(INDEX(Lists!$K$2:$K$15,MATCH(K376,Lists!$J$2:$J$15,0)),-1)&gt;=6,M376="N"),"status "&amp;K376&amp;" but no tracker row",IF(AND(L376="Y",K376&lt;&gt;"do_not_contact"),"do_not_contact = Y but status is "&amp;K376,IF(AND(K376="do_not_contact",L376&lt;&gt;"Y"),"status do_not_contact but do_not_contact is not Y",""))))))</f>
        <v/>
      </c>
    </row>
    <row r="377" customFormat="false" ht="15" hidden="false" customHeight="false" outlineLevel="0" collapsed="false">
      <c r="B377" s="23" t="n">
        <v>356</v>
      </c>
      <c r="C377" s="23" t="str">
        <f aca="false">IFERROR(INDEX(Clay_Offices!$A$2:$FZ$601,B377,$C$5)&amp;"","")</f>
        <v/>
      </c>
      <c r="D377" s="23" t="str">
        <f aca="false">IFERROR(INDEX(Clay_Offices!$A$2:$FZ$601,B377,$C$7)&amp;"","")</f>
        <v/>
      </c>
      <c r="E377" s="23" t="str">
        <f aca="false">IFERROR(INDEX(Clay_Offices!$A$2:$FZ$601,B377,$C$8)&amp;"","")</f>
        <v/>
      </c>
      <c r="F377" s="23" t="str">
        <f aca="false">IF(C377="","",IF(COUNTIF(Office_Log!$A$2:$A$201,C377)&gt;0,"Y","N"))</f>
        <v/>
      </c>
      <c r="G377" s="34" t="str">
        <f aca="false">IF(OR(C377="",AND(LEFT(C377,6)="SAMPLE",Config!$B$19&lt;&gt;"Y")),"",IF(IFERROR(INDEX(Lists!$K$2:$K$15,MATCH(D377,Lists!$J$2:$J$15,0)),-1)=-1,"status '"&amp;D377&amp;"' is not a CONTRACTS status",IF(AND(D377="signed",COUNTIF(signed_offices!$W$2:$W$51,C377)=0),"status signed but no signed_offices row"&amp;IF(F377="N"," and no tracker row",""),IF(AND(IFERROR(INDEX(Lists!$K$2:$K$15,MATCH(D377,Lists!$J$2:$J$15,0)),-1)&gt;=6,F377="N"),"status "&amp;D377&amp;" but no tracker row",IF(AND(E377="Y",D377&lt;&gt;"do_not_contact"),"do_not_contact = Y but status is "&amp;D377,IF(AND(D377="do_not_contact",E377&lt;&gt;"Y"),"status do_not_contact but do_not_contact is not Y",""))))))</f>
        <v/>
      </c>
      <c r="I377" s="23" t="n">
        <v>356</v>
      </c>
      <c r="J377" s="23" t="str">
        <f aca="false">IFERROR(INDEX(Clay_Brands!$A$2:$FZ$601,I377,$D$5)&amp;"","")</f>
        <v/>
      </c>
      <c r="K377" s="23" t="str">
        <f aca="false">IFERROR(INDEX(Clay_Brands!$A$2:$FZ$601,I377,$D$7)&amp;"","")</f>
        <v/>
      </c>
      <c r="L377" s="23" t="str">
        <f aca="false">IFERROR(INDEX(Clay_Brands!$A$2:$FZ$601,I377,$D$8)&amp;"","")</f>
        <v/>
      </c>
      <c r="M377" s="23" t="str">
        <f aca="false">IF(J377="","",IF(COUNTIF(Brand_Log!$A$2:$A$201,J377)&gt;0,"Y","N"))</f>
        <v/>
      </c>
      <c r="N377" s="34" t="str">
        <f aca="false">IF(OR(J377="",AND(LEFT(J377,6)="SAMPLE",Config!$B$19&lt;&gt;"Y")),"",IF(IFERROR(INDEX(Lists!$K$2:$K$15,MATCH(K377,Lists!$J$2:$J$15,0)),-1)=-1,"status '"&amp;K377&amp;"' is not a CONTRACTS status",IF(AND(K377="paid",COUNTIF(paid_brands!$AC$2:$AC$51,J377)=0),"status paid but no paid_brands row"&amp;IF(M377="N"," and no tracker row",""),IF(AND(IFERROR(INDEX(Lists!$K$2:$K$15,MATCH(K377,Lists!$J$2:$J$15,0)),-1)&gt;=6,M377="N"),"status "&amp;K377&amp;" but no tracker row",IF(AND(L377="Y",K377&lt;&gt;"do_not_contact"),"do_not_contact = Y but status is "&amp;K377,IF(AND(K377="do_not_contact",L377&lt;&gt;"Y"),"status do_not_contact but do_not_contact is not Y",""))))))</f>
        <v/>
      </c>
    </row>
    <row r="378" customFormat="false" ht="15" hidden="false" customHeight="false" outlineLevel="0" collapsed="false">
      <c r="B378" s="23" t="n">
        <v>357</v>
      </c>
      <c r="C378" s="23" t="str">
        <f aca="false">IFERROR(INDEX(Clay_Offices!$A$2:$FZ$601,B378,$C$5)&amp;"","")</f>
        <v/>
      </c>
      <c r="D378" s="23" t="str">
        <f aca="false">IFERROR(INDEX(Clay_Offices!$A$2:$FZ$601,B378,$C$7)&amp;"","")</f>
        <v/>
      </c>
      <c r="E378" s="23" t="str">
        <f aca="false">IFERROR(INDEX(Clay_Offices!$A$2:$FZ$601,B378,$C$8)&amp;"","")</f>
        <v/>
      </c>
      <c r="F378" s="23" t="str">
        <f aca="false">IF(C378="","",IF(COUNTIF(Office_Log!$A$2:$A$201,C378)&gt;0,"Y","N"))</f>
        <v/>
      </c>
      <c r="G378" s="34" t="str">
        <f aca="false">IF(OR(C378="",AND(LEFT(C378,6)="SAMPLE",Config!$B$19&lt;&gt;"Y")),"",IF(IFERROR(INDEX(Lists!$K$2:$K$15,MATCH(D378,Lists!$J$2:$J$15,0)),-1)=-1,"status '"&amp;D378&amp;"' is not a CONTRACTS status",IF(AND(D378="signed",COUNTIF(signed_offices!$W$2:$W$51,C378)=0),"status signed but no signed_offices row"&amp;IF(F378="N"," and no tracker row",""),IF(AND(IFERROR(INDEX(Lists!$K$2:$K$15,MATCH(D378,Lists!$J$2:$J$15,0)),-1)&gt;=6,F378="N"),"status "&amp;D378&amp;" but no tracker row",IF(AND(E378="Y",D378&lt;&gt;"do_not_contact"),"do_not_contact = Y but status is "&amp;D378,IF(AND(D378="do_not_contact",E378&lt;&gt;"Y"),"status do_not_contact but do_not_contact is not Y",""))))))</f>
        <v/>
      </c>
      <c r="I378" s="23" t="n">
        <v>357</v>
      </c>
      <c r="J378" s="23" t="str">
        <f aca="false">IFERROR(INDEX(Clay_Brands!$A$2:$FZ$601,I378,$D$5)&amp;"","")</f>
        <v/>
      </c>
      <c r="K378" s="23" t="str">
        <f aca="false">IFERROR(INDEX(Clay_Brands!$A$2:$FZ$601,I378,$D$7)&amp;"","")</f>
        <v/>
      </c>
      <c r="L378" s="23" t="str">
        <f aca="false">IFERROR(INDEX(Clay_Brands!$A$2:$FZ$601,I378,$D$8)&amp;"","")</f>
        <v/>
      </c>
      <c r="M378" s="23" t="str">
        <f aca="false">IF(J378="","",IF(COUNTIF(Brand_Log!$A$2:$A$201,J378)&gt;0,"Y","N"))</f>
        <v/>
      </c>
      <c r="N378" s="34" t="str">
        <f aca="false">IF(OR(J378="",AND(LEFT(J378,6)="SAMPLE",Config!$B$19&lt;&gt;"Y")),"",IF(IFERROR(INDEX(Lists!$K$2:$K$15,MATCH(K378,Lists!$J$2:$J$15,0)),-1)=-1,"status '"&amp;K378&amp;"' is not a CONTRACTS status",IF(AND(K378="paid",COUNTIF(paid_brands!$AC$2:$AC$51,J378)=0),"status paid but no paid_brands row"&amp;IF(M378="N"," and no tracker row",""),IF(AND(IFERROR(INDEX(Lists!$K$2:$K$15,MATCH(K378,Lists!$J$2:$J$15,0)),-1)&gt;=6,M378="N"),"status "&amp;K378&amp;" but no tracker row",IF(AND(L378="Y",K378&lt;&gt;"do_not_contact"),"do_not_contact = Y but status is "&amp;K378,IF(AND(K378="do_not_contact",L378&lt;&gt;"Y"),"status do_not_contact but do_not_contact is not Y",""))))))</f>
        <v/>
      </c>
    </row>
    <row r="379" customFormat="false" ht="15" hidden="false" customHeight="false" outlineLevel="0" collapsed="false">
      <c r="B379" s="23" t="n">
        <v>358</v>
      </c>
      <c r="C379" s="23" t="str">
        <f aca="false">IFERROR(INDEX(Clay_Offices!$A$2:$FZ$601,B379,$C$5)&amp;"","")</f>
        <v/>
      </c>
      <c r="D379" s="23" t="str">
        <f aca="false">IFERROR(INDEX(Clay_Offices!$A$2:$FZ$601,B379,$C$7)&amp;"","")</f>
        <v/>
      </c>
      <c r="E379" s="23" t="str">
        <f aca="false">IFERROR(INDEX(Clay_Offices!$A$2:$FZ$601,B379,$C$8)&amp;"","")</f>
        <v/>
      </c>
      <c r="F379" s="23" t="str">
        <f aca="false">IF(C379="","",IF(COUNTIF(Office_Log!$A$2:$A$201,C379)&gt;0,"Y","N"))</f>
        <v/>
      </c>
      <c r="G379" s="34" t="str">
        <f aca="false">IF(OR(C379="",AND(LEFT(C379,6)="SAMPLE",Config!$B$19&lt;&gt;"Y")),"",IF(IFERROR(INDEX(Lists!$K$2:$K$15,MATCH(D379,Lists!$J$2:$J$15,0)),-1)=-1,"status '"&amp;D379&amp;"' is not a CONTRACTS status",IF(AND(D379="signed",COUNTIF(signed_offices!$W$2:$W$51,C379)=0),"status signed but no signed_offices row"&amp;IF(F379="N"," and no tracker row",""),IF(AND(IFERROR(INDEX(Lists!$K$2:$K$15,MATCH(D379,Lists!$J$2:$J$15,0)),-1)&gt;=6,F379="N"),"status "&amp;D379&amp;" but no tracker row",IF(AND(E379="Y",D379&lt;&gt;"do_not_contact"),"do_not_contact = Y but status is "&amp;D379,IF(AND(D379="do_not_contact",E379&lt;&gt;"Y"),"status do_not_contact but do_not_contact is not Y",""))))))</f>
        <v/>
      </c>
      <c r="I379" s="23" t="n">
        <v>358</v>
      </c>
      <c r="J379" s="23" t="str">
        <f aca="false">IFERROR(INDEX(Clay_Brands!$A$2:$FZ$601,I379,$D$5)&amp;"","")</f>
        <v/>
      </c>
      <c r="K379" s="23" t="str">
        <f aca="false">IFERROR(INDEX(Clay_Brands!$A$2:$FZ$601,I379,$D$7)&amp;"","")</f>
        <v/>
      </c>
      <c r="L379" s="23" t="str">
        <f aca="false">IFERROR(INDEX(Clay_Brands!$A$2:$FZ$601,I379,$D$8)&amp;"","")</f>
        <v/>
      </c>
      <c r="M379" s="23" t="str">
        <f aca="false">IF(J379="","",IF(COUNTIF(Brand_Log!$A$2:$A$201,J379)&gt;0,"Y","N"))</f>
        <v/>
      </c>
      <c r="N379" s="34" t="str">
        <f aca="false">IF(OR(J379="",AND(LEFT(J379,6)="SAMPLE",Config!$B$19&lt;&gt;"Y")),"",IF(IFERROR(INDEX(Lists!$K$2:$K$15,MATCH(K379,Lists!$J$2:$J$15,0)),-1)=-1,"status '"&amp;K379&amp;"' is not a CONTRACTS status",IF(AND(K379="paid",COUNTIF(paid_brands!$AC$2:$AC$51,J379)=0),"status paid but no paid_brands row"&amp;IF(M379="N"," and no tracker row",""),IF(AND(IFERROR(INDEX(Lists!$K$2:$K$15,MATCH(K379,Lists!$J$2:$J$15,0)),-1)&gt;=6,M379="N"),"status "&amp;K379&amp;" but no tracker row",IF(AND(L379="Y",K379&lt;&gt;"do_not_contact"),"do_not_contact = Y but status is "&amp;K379,IF(AND(K379="do_not_contact",L379&lt;&gt;"Y"),"status do_not_contact but do_not_contact is not Y",""))))))</f>
        <v/>
      </c>
    </row>
    <row r="380" customFormat="false" ht="15" hidden="false" customHeight="false" outlineLevel="0" collapsed="false">
      <c r="B380" s="23" t="n">
        <v>359</v>
      </c>
      <c r="C380" s="23" t="str">
        <f aca="false">IFERROR(INDEX(Clay_Offices!$A$2:$FZ$601,B380,$C$5)&amp;"","")</f>
        <v/>
      </c>
      <c r="D380" s="23" t="str">
        <f aca="false">IFERROR(INDEX(Clay_Offices!$A$2:$FZ$601,B380,$C$7)&amp;"","")</f>
        <v/>
      </c>
      <c r="E380" s="23" t="str">
        <f aca="false">IFERROR(INDEX(Clay_Offices!$A$2:$FZ$601,B380,$C$8)&amp;"","")</f>
        <v/>
      </c>
      <c r="F380" s="23" t="str">
        <f aca="false">IF(C380="","",IF(COUNTIF(Office_Log!$A$2:$A$201,C380)&gt;0,"Y","N"))</f>
        <v/>
      </c>
      <c r="G380" s="34" t="str">
        <f aca="false">IF(OR(C380="",AND(LEFT(C380,6)="SAMPLE",Config!$B$19&lt;&gt;"Y")),"",IF(IFERROR(INDEX(Lists!$K$2:$K$15,MATCH(D380,Lists!$J$2:$J$15,0)),-1)=-1,"status '"&amp;D380&amp;"' is not a CONTRACTS status",IF(AND(D380="signed",COUNTIF(signed_offices!$W$2:$W$51,C380)=0),"status signed but no signed_offices row"&amp;IF(F380="N"," and no tracker row",""),IF(AND(IFERROR(INDEX(Lists!$K$2:$K$15,MATCH(D380,Lists!$J$2:$J$15,0)),-1)&gt;=6,F380="N"),"status "&amp;D380&amp;" but no tracker row",IF(AND(E380="Y",D380&lt;&gt;"do_not_contact"),"do_not_contact = Y but status is "&amp;D380,IF(AND(D380="do_not_contact",E380&lt;&gt;"Y"),"status do_not_contact but do_not_contact is not Y",""))))))</f>
        <v/>
      </c>
      <c r="I380" s="23" t="n">
        <v>359</v>
      </c>
      <c r="J380" s="23" t="str">
        <f aca="false">IFERROR(INDEX(Clay_Brands!$A$2:$FZ$601,I380,$D$5)&amp;"","")</f>
        <v/>
      </c>
      <c r="K380" s="23" t="str">
        <f aca="false">IFERROR(INDEX(Clay_Brands!$A$2:$FZ$601,I380,$D$7)&amp;"","")</f>
        <v/>
      </c>
      <c r="L380" s="23" t="str">
        <f aca="false">IFERROR(INDEX(Clay_Brands!$A$2:$FZ$601,I380,$D$8)&amp;"","")</f>
        <v/>
      </c>
      <c r="M380" s="23" t="str">
        <f aca="false">IF(J380="","",IF(COUNTIF(Brand_Log!$A$2:$A$201,J380)&gt;0,"Y","N"))</f>
        <v/>
      </c>
      <c r="N380" s="34" t="str">
        <f aca="false">IF(OR(J380="",AND(LEFT(J380,6)="SAMPLE",Config!$B$19&lt;&gt;"Y")),"",IF(IFERROR(INDEX(Lists!$K$2:$K$15,MATCH(K380,Lists!$J$2:$J$15,0)),-1)=-1,"status '"&amp;K380&amp;"' is not a CONTRACTS status",IF(AND(K380="paid",COUNTIF(paid_brands!$AC$2:$AC$51,J380)=0),"status paid but no paid_brands row"&amp;IF(M380="N"," and no tracker row",""),IF(AND(IFERROR(INDEX(Lists!$K$2:$K$15,MATCH(K380,Lists!$J$2:$J$15,0)),-1)&gt;=6,M380="N"),"status "&amp;K380&amp;" but no tracker row",IF(AND(L380="Y",K380&lt;&gt;"do_not_contact"),"do_not_contact = Y but status is "&amp;K380,IF(AND(K380="do_not_contact",L380&lt;&gt;"Y"),"status do_not_contact but do_not_contact is not Y",""))))))</f>
        <v/>
      </c>
    </row>
    <row r="381" customFormat="false" ht="15" hidden="false" customHeight="false" outlineLevel="0" collapsed="false">
      <c r="B381" s="23" t="n">
        <v>360</v>
      </c>
      <c r="C381" s="23" t="str">
        <f aca="false">IFERROR(INDEX(Clay_Offices!$A$2:$FZ$601,B381,$C$5)&amp;"","")</f>
        <v/>
      </c>
      <c r="D381" s="23" t="str">
        <f aca="false">IFERROR(INDEX(Clay_Offices!$A$2:$FZ$601,B381,$C$7)&amp;"","")</f>
        <v/>
      </c>
      <c r="E381" s="23" t="str">
        <f aca="false">IFERROR(INDEX(Clay_Offices!$A$2:$FZ$601,B381,$C$8)&amp;"","")</f>
        <v/>
      </c>
      <c r="F381" s="23" t="str">
        <f aca="false">IF(C381="","",IF(COUNTIF(Office_Log!$A$2:$A$201,C381)&gt;0,"Y","N"))</f>
        <v/>
      </c>
      <c r="G381" s="34" t="str">
        <f aca="false">IF(OR(C381="",AND(LEFT(C381,6)="SAMPLE",Config!$B$19&lt;&gt;"Y")),"",IF(IFERROR(INDEX(Lists!$K$2:$K$15,MATCH(D381,Lists!$J$2:$J$15,0)),-1)=-1,"status '"&amp;D381&amp;"' is not a CONTRACTS status",IF(AND(D381="signed",COUNTIF(signed_offices!$W$2:$W$51,C381)=0),"status signed but no signed_offices row"&amp;IF(F381="N"," and no tracker row",""),IF(AND(IFERROR(INDEX(Lists!$K$2:$K$15,MATCH(D381,Lists!$J$2:$J$15,0)),-1)&gt;=6,F381="N"),"status "&amp;D381&amp;" but no tracker row",IF(AND(E381="Y",D381&lt;&gt;"do_not_contact"),"do_not_contact = Y but status is "&amp;D381,IF(AND(D381="do_not_contact",E381&lt;&gt;"Y"),"status do_not_contact but do_not_contact is not Y",""))))))</f>
        <v/>
      </c>
      <c r="I381" s="23" t="n">
        <v>360</v>
      </c>
      <c r="J381" s="23" t="str">
        <f aca="false">IFERROR(INDEX(Clay_Brands!$A$2:$FZ$601,I381,$D$5)&amp;"","")</f>
        <v/>
      </c>
      <c r="K381" s="23" t="str">
        <f aca="false">IFERROR(INDEX(Clay_Brands!$A$2:$FZ$601,I381,$D$7)&amp;"","")</f>
        <v/>
      </c>
      <c r="L381" s="23" t="str">
        <f aca="false">IFERROR(INDEX(Clay_Brands!$A$2:$FZ$601,I381,$D$8)&amp;"","")</f>
        <v/>
      </c>
      <c r="M381" s="23" t="str">
        <f aca="false">IF(J381="","",IF(COUNTIF(Brand_Log!$A$2:$A$201,J381)&gt;0,"Y","N"))</f>
        <v/>
      </c>
      <c r="N381" s="34" t="str">
        <f aca="false">IF(OR(J381="",AND(LEFT(J381,6)="SAMPLE",Config!$B$19&lt;&gt;"Y")),"",IF(IFERROR(INDEX(Lists!$K$2:$K$15,MATCH(K381,Lists!$J$2:$J$15,0)),-1)=-1,"status '"&amp;K381&amp;"' is not a CONTRACTS status",IF(AND(K381="paid",COUNTIF(paid_brands!$AC$2:$AC$51,J381)=0),"status paid but no paid_brands row"&amp;IF(M381="N"," and no tracker row",""),IF(AND(IFERROR(INDEX(Lists!$K$2:$K$15,MATCH(K381,Lists!$J$2:$J$15,0)),-1)&gt;=6,M381="N"),"status "&amp;K381&amp;" but no tracker row",IF(AND(L381="Y",K381&lt;&gt;"do_not_contact"),"do_not_contact = Y but status is "&amp;K381,IF(AND(K381="do_not_contact",L381&lt;&gt;"Y"),"status do_not_contact but do_not_contact is not Y",""))))))</f>
        <v/>
      </c>
    </row>
    <row r="382" customFormat="false" ht="15" hidden="false" customHeight="false" outlineLevel="0" collapsed="false">
      <c r="B382" s="23" t="n">
        <v>361</v>
      </c>
      <c r="C382" s="23" t="str">
        <f aca="false">IFERROR(INDEX(Clay_Offices!$A$2:$FZ$601,B382,$C$5)&amp;"","")</f>
        <v/>
      </c>
      <c r="D382" s="23" t="str">
        <f aca="false">IFERROR(INDEX(Clay_Offices!$A$2:$FZ$601,B382,$C$7)&amp;"","")</f>
        <v/>
      </c>
      <c r="E382" s="23" t="str">
        <f aca="false">IFERROR(INDEX(Clay_Offices!$A$2:$FZ$601,B382,$C$8)&amp;"","")</f>
        <v/>
      </c>
      <c r="F382" s="23" t="str">
        <f aca="false">IF(C382="","",IF(COUNTIF(Office_Log!$A$2:$A$201,C382)&gt;0,"Y","N"))</f>
        <v/>
      </c>
      <c r="G382" s="34" t="str">
        <f aca="false">IF(OR(C382="",AND(LEFT(C382,6)="SAMPLE",Config!$B$19&lt;&gt;"Y")),"",IF(IFERROR(INDEX(Lists!$K$2:$K$15,MATCH(D382,Lists!$J$2:$J$15,0)),-1)=-1,"status '"&amp;D382&amp;"' is not a CONTRACTS status",IF(AND(D382="signed",COUNTIF(signed_offices!$W$2:$W$51,C382)=0),"status signed but no signed_offices row"&amp;IF(F382="N"," and no tracker row",""),IF(AND(IFERROR(INDEX(Lists!$K$2:$K$15,MATCH(D382,Lists!$J$2:$J$15,0)),-1)&gt;=6,F382="N"),"status "&amp;D382&amp;" but no tracker row",IF(AND(E382="Y",D382&lt;&gt;"do_not_contact"),"do_not_contact = Y but status is "&amp;D382,IF(AND(D382="do_not_contact",E382&lt;&gt;"Y"),"status do_not_contact but do_not_contact is not Y",""))))))</f>
        <v/>
      </c>
      <c r="I382" s="23" t="n">
        <v>361</v>
      </c>
      <c r="J382" s="23" t="str">
        <f aca="false">IFERROR(INDEX(Clay_Brands!$A$2:$FZ$601,I382,$D$5)&amp;"","")</f>
        <v/>
      </c>
      <c r="K382" s="23" t="str">
        <f aca="false">IFERROR(INDEX(Clay_Brands!$A$2:$FZ$601,I382,$D$7)&amp;"","")</f>
        <v/>
      </c>
      <c r="L382" s="23" t="str">
        <f aca="false">IFERROR(INDEX(Clay_Brands!$A$2:$FZ$601,I382,$D$8)&amp;"","")</f>
        <v/>
      </c>
      <c r="M382" s="23" t="str">
        <f aca="false">IF(J382="","",IF(COUNTIF(Brand_Log!$A$2:$A$201,J382)&gt;0,"Y","N"))</f>
        <v/>
      </c>
      <c r="N382" s="34" t="str">
        <f aca="false">IF(OR(J382="",AND(LEFT(J382,6)="SAMPLE",Config!$B$19&lt;&gt;"Y")),"",IF(IFERROR(INDEX(Lists!$K$2:$K$15,MATCH(K382,Lists!$J$2:$J$15,0)),-1)=-1,"status '"&amp;K382&amp;"' is not a CONTRACTS status",IF(AND(K382="paid",COUNTIF(paid_brands!$AC$2:$AC$51,J382)=0),"status paid but no paid_brands row"&amp;IF(M382="N"," and no tracker row",""),IF(AND(IFERROR(INDEX(Lists!$K$2:$K$15,MATCH(K382,Lists!$J$2:$J$15,0)),-1)&gt;=6,M382="N"),"status "&amp;K382&amp;" but no tracker row",IF(AND(L382="Y",K382&lt;&gt;"do_not_contact"),"do_not_contact = Y but status is "&amp;K382,IF(AND(K382="do_not_contact",L382&lt;&gt;"Y"),"status do_not_contact but do_not_contact is not Y",""))))))</f>
        <v/>
      </c>
    </row>
    <row r="383" customFormat="false" ht="15" hidden="false" customHeight="false" outlineLevel="0" collapsed="false">
      <c r="B383" s="23" t="n">
        <v>362</v>
      </c>
      <c r="C383" s="23" t="str">
        <f aca="false">IFERROR(INDEX(Clay_Offices!$A$2:$FZ$601,B383,$C$5)&amp;"","")</f>
        <v/>
      </c>
      <c r="D383" s="23" t="str">
        <f aca="false">IFERROR(INDEX(Clay_Offices!$A$2:$FZ$601,B383,$C$7)&amp;"","")</f>
        <v/>
      </c>
      <c r="E383" s="23" t="str">
        <f aca="false">IFERROR(INDEX(Clay_Offices!$A$2:$FZ$601,B383,$C$8)&amp;"","")</f>
        <v/>
      </c>
      <c r="F383" s="23" t="str">
        <f aca="false">IF(C383="","",IF(COUNTIF(Office_Log!$A$2:$A$201,C383)&gt;0,"Y","N"))</f>
        <v/>
      </c>
      <c r="G383" s="34" t="str">
        <f aca="false">IF(OR(C383="",AND(LEFT(C383,6)="SAMPLE",Config!$B$19&lt;&gt;"Y")),"",IF(IFERROR(INDEX(Lists!$K$2:$K$15,MATCH(D383,Lists!$J$2:$J$15,0)),-1)=-1,"status '"&amp;D383&amp;"' is not a CONTRACTS status",IF(AND(D383="signed",COUNTIF(signed_offices!$W$2:$W$51,C383)=0),"status signed but no signed_offices row"&amp;IF(F383="N"," and no tracker row",""),IF(AND(IFERROR(INDEX(Lists!$K$2:$K$15,MATCH(D383,Lists!$J$2:$J$15,0)),-1)&gt;=6,F383="N"),"status "&amp;D383&amp;" but no tracker row",IF(AND(E383="Y",D383&lt;&gt;"do_not_contact"),"do_not_contact = Y but status is "&amp;D383,IF(AND(D383="do_not_contact",E383&lt;&gt;"Y"),"status do_not_contact but do_not_contact is not Y",""))))))</f>
        <v/>
      </c>
      <c r="I383" s="23" t="n">
        <v>362</v>
      </c>
      <c r="J383" s="23" t="str">
        <f aca="false">IFERROR(INDEX(Clay_Brands!$A$2:$FZ$601,I383,$D$5)&amp;"","")</f>
        <v/>
      </c>
      <c r="K383" s="23" t="str">
        <f aca="false">IFERROR(INDEX(Clay_Brands!$A$2:$FZ$601,I383,$D$7)&amp;"","")</f>
        <v/>
      </c>
      <c r="L383" s="23" t="str">
        <f aca="false">IFERROR(INDEX(Clay_Brands!$A$2:$FZ$601,I383,$D$8)&amp;"","")</f>
        <v/>
      </c>
      <c r="M383" s="23" t="str">
        <f aca="false">IF(J383="","",IF(COUNTIF(Brand_Log!$A$2:$A$201,J383)&gt;0,"Y","N"))</f>
        <v/>
      </c>
      <c r="N383" s="34" t="str">
        <f aca="false">IF(OR(J383="",AND(LEFT(J383,6)="SAMPLE",Config!$B$19&lt;&gt;"Y")),"",IF(IFERROR(INDEX(Lists!$K$2:$K$15,MATCH(K383,Lists!$J$2:$J$15,0)),-1)=-1,"status '"&amp;K383&amp;"' is not a CONTRACTS status",IF(AND(K383="paid",COUNTIF(paid_brands!$AC$2:$AC$51,J383)=0),"status paid but no paid_brands row"&amp;IF(M383="N"," and no tracker row",""),IF(AND(IFERROR(INDEX(Lists!$K$2:$K$15,MATCH(K383,Lists!$J$2:$J$15,0)),-1)&gt;=6,M383="N"),"status "&amp;K383&amp;" but no tracker row",IF(AND(L383="Y",K383&lt;&gt;"do_not_contact"),"do_not_contact = Y but status is "&amp;K383,IF(AND(K383="do_not_contact",L383&lt;&gt;"Y"),"status do_not_contact but do_not_contact is not Y",""))))))</f>
        <v/>
      </c>
    </row>
    <row r="384" customFormat="false" ht="15" hidden="false" customHeight="false" outlineLevel="0" collapsed="false">
      <c r="B384" s="23" t="n">
        <v>363</v>
      </c>
      <c r="C384" s="23" t="str">
        <f aca="false">IFERROR(INDEX(Clay_Offices!$A$2:$FZ$601,B384,$C$5)&amp;"","")</f>
        <v/>
      </c>
      <c r="D384" s="23" t="str">
        <f aca="false">IFERROR(INDEX(Clay_Offices!$A$2:$FZ$601,B384,$C$7)&amp;"","")</f>
        <v/>
      </c>
      <c r="E384" s="23" t="str">
        <f aca="false">IFERROR(INDEX(Clay_Offices!$A$2:$FZ$601,B384,$C$8)&amp;"","")</f>
        <v/>
      </c>
      <c r="F384" s="23" t="str">
        <f aca="false">IF(C384="","",IF(COUNTIF(Office_Log!$A$2:$A$201,C384)&gt;0,"Y","N"))</f>
        <v/>
      </c>
      <c r="G384" s="34" t="str">
        <f aca="false">IF(OR(C384="",AND(LEFT(C384,6)="SAMPLE",Config!$B$19&lt;&gt;"Y")),"",IF(IFERROR(INDEX(Lists!$K$2:$K$15,MATCH(D384,Lists!$J$2:$J$15,0)),-1)=-1,"status '"&amp;D384&amp;"' is not a CONTRACTS status",IF(AND(D384="signed",COUNTIF(signed_offices!$W$2:$W$51,C384)=0),"status signed but no signed_offices row"&amp;IF(F384="N"," and no tracker row",""),IF(AND(IFERROR(INDEX(Lists!$K$2:$K$15,MATCH(D384,Lists!$J$2:$J$15,0)),-1)&gt;=6,F384="N"),"status "&amp;D384&amp;" but no tracker row",IF(AND(E384="Y",D384&lt;&gt;"do_not_contact"),"do_not_contact = Y but status is "&amp;D384,IF(AND(D384="do_not_contact",E384&lt;&gt;"Y"),"status do_not_contact but do_not_contact is not Y",""))))))</f>
        <v/>
      </c>
      <c r="I384" s="23" t="n">
        <v>363</v>
      </c>
      <c r="J384" s="23" t="str">
        <f aca="false">IFERROR(INDEX(Clay_Brands!$A$2:$FZ$601,I384,$D$5)&amp;"","")</f>
        <v/>
      </c>
      <c r="K384" s="23" t="str">
        <f aca="false">IFERROR(INDEX(Clay_Brands!$A$2:$FZ$601,I384,$D$7)&amp;"","")</f>
        <v/>
      </c>
      <c r="L384" s="23" t="str">
        <f aca="false">IFERROR(INDEX(Clay_Brands!$A$2:$FZ$601,I384,$D$8)&amp;"","")</f>
        <v/>
      </c>
      <c r="M384" s="23" t="str">
        <f aca="false">IF(J384="","",IF(COUNTIF(Brand_Log!$A$2:$A$201,J384)&gt;0,"Y","N"))</f>
        <v/>
      </c>
      <c r="N384" s="34" t="str">
        <f aca="false">IF(OR(J384="",AND(LEFT(J384,6)="SAMPLE",Config!$B$19&lt;&gt;"Y")),"",IF(IFERROR(INDEX(Lists!$K$2:$K$15,MATCH(K384,Lists!$J$2:$J$15,0)),-1)=-1,"status '"&amp;K384&amp;"' is not a CONTRACTS status",IF(AND(K384="paid",COUNTIF(paid_brands!$AC$2:$AC$51,J384)=0),"status paid but no paid_brands row"&amp;IF(M384="N"," and no tracker row",""),IF(AND(IFERROR(INDEX(Lists!$K$2:$K$15,MATCH(K384,Lists!$J$2:$J$15,0)),-1)&gt;=6,M384="N"),"status "&amp;K384&amp;" but no tracker row",IF(AND(L384="Y",K384&lt;&gt;"do_not_contact"),"do_not_contact = Y but status is "&amp;K384,IF(AND(K384="do_not_contact",L384&lt;&gt;"Y"),"status do_not_contact but do_not_contact is not Y",""))))))</f>
        <v/>
      </c>
    </row>
    <row r="385" customFormat="false" ht="15" hidden="false" customHeight="false" outlineLevel="0" collapsed="false">
      <c r="B385" s="23" t="n">
        <v>364</v>
      </c>
      <c r="C385" s="23" t="str">
        <f aca="false">IFERROR(INDEX(Clay_Offices!$A$2:$FZ$601,B385,$C$5)&amp;"","")</f>
        <v/>
      </c>
      <c r="D385" s="23" t="str">
        <f aca="false">IFERROR(INDEX(Clay_Offices!$A$2:$FZ$601,B385,$C$7)&amp;"","")</f>
        <v/>
      </c>
      <c r="E385" s="23" t="str">
        <f aca="false">IFERROR(INDEX(Clay_Offices!$A$2:$FZ$601,B385,$C$8)&amp;"","")</f>
        <v/>
      </c>
      <c r="F385" s="23" t="str">
        <f aca="false">IF(C385="","",IF(COUNTIF(Office_Log!$A$2:$A$201,C385)&gt;0,"Y","N"))</f>
        <v/>
      </c>
      <c r="G385" s="34" t="str">
        <f aca="false">IF(OR(C385="",AND(LEFT(C385,6)="SAMPLE",Config!$B$19&lt;&gt;"Y")),"",IF(IFERROR(INDEX(Lists!$K$2:$K$15,MATCH(D385,Lists!$J$2:$J$15,0)),-1)=-1,"status '"&amp;D385&amp;"' is not a CONTRACTS status",IF(AND(D385="signed",COUNTIF(signed_offices!$W$2:$W$51,C385)=0),"status signed but no signed_offices row"&amp;IF(F385="N"," and no tracker row",""),IF(AND(IFERROR(INDEX(Lists!$K$2:$K$15,MATCH(D385,Lists!$J$2:$J$15,0)),-1)&gt;=6,F385="N"),"status "&amp;D385&amp;" but no tracker row",IF(AND(E385="Y",D385&lt;&gt;"do_not_contact"),"do_not_contact = Y but status is "&amp;D385,IF(AND(D385="do_not_contact",E385&lt;&gt;"Y"),"status do_not_contact but do_not_contact is not Y",""))))))</f>
        <v/>
      </c>
      <c r="I385" s="23" t="n">
        <v>364</v>
      </c>
      <c r="J385" s="23" t="str">
        <f aca="false">IFERROR(INDEX(Clay_Brands!$A$2:$FZ$601,I385,$D$5)&amp;"","")</f>
        <v/>
      </c>
      <c r="K385" s="23" t="str">
        <f aca="false">IFERROR(INDEX(Clay_Brands!$A$2:$FZ$601,I385,$D$7)&amp;"","")</f>
        <v/>
      </c>
      <c r="L385" s="23" t="str">
        <f aca="false">IFERROR(INDEX(Clay_Brands!$A$2:$FZ$601,I385,$D$8)&amp;"","")</f>
        <v/>
      </c>
      <c r="M385" s="23" t="str">
        <f aca="false">IF(J385="","",IF(COUNTIF(Brand_Log!$A$2:$A$201,J385)&gt;0,"Y","N"))</f>
        <v/>
      </c>
      <c r="N385" s="34" t="str">
        <f aca="false">IF(OR(J385="",AND(LEFT(J385,6)="SAMPLE",Config!$B$19&lt;&gt;"Y")),"",IF(IFERROR(INDEX(Lists!$K$2:$K$15,MATCH(K385,Lists!$J$2:$J$15,0)),-1)=-1,"status '"&amp;K385&amp;"' is not a CONTRACTS status",IF(AND(K385="paid",COUNTIF(paid_brands!$AC$2:$AC$51,J385)=0),"status paid but no paid_brands row"&amp;IF(M385="N"," and no tracker row",""),IF(AND(IFERROR(INDEX(Lists!$K$2:$K$15,MATCH(K385,Lists!$J$2:$J$15,0)),-1)&gt;=6,M385="N"),"status "&amp;K385&amp;" but no tracker row",IF(AND(L385="Y",K385&lt;&gt;"do_not_contact"),"do_not_contact = Y but status is "&amp;K385,IF(AND(K385="do_not_contact",L385&lt;&gt;"Y"),"status do_not_contact but do_not_contact is not Y",""))))))</f>
        <v/>
      </c>
    </row>
    <row r="386" customFormat="false" ht="15" hidden="false" customHeight="false" outlineLevel="0" collapsed="false">
      <c r="B386" s="23" t="n">
        <v>365</v>
      </c>
      <c r="C386" s="23" t="str">
        <f aca="false">IFERROR(INDEX(Clay_Offices!$A$2:$FZ$601,B386,$C$5)&amp;"","")</f>
        <v/>
      </c>
      <c r="D386" s="23" t="str">
        <f aca="false">IFERROR(INDEX(Clay_Offices!$A$2:$FZ$601,B386,$C$7)&amp;"","")</f>
        <v/>
      </c>
      <c r="E386" s="23" t="str">
        <f aca="false">IFERROR(INDEX(Clay_Offices!$A$2:$FZ$601,B386,$C$8)&amp;"","")</f>
        <v/>
      </c>
      <c r="F386" s="23" t="str">
        <f aca="false">IF(C386="","",IF(COUNTIF(Office_Log!$A$2:$A$201,C386)&gt;0,"Y","N"))</f>
        <v/>
      </c>
      <c r="G386" s="34" t="str">
        <f aca="false">IF(OR(C386="",AND(LEFT(C386,6)="SAMPLE",Config!$B$19&lt;&gt;"Y")),"",IF(IFERROR(INDEX(Lists!$K$2:$K$15,MATCH(D386,Lists!$J$2:$J$15,0)),-1)=-1,"status '"&amp;D386&amp;"' is not a CONTRACTS status",IF(AND(D386="signed",COUNTIF(signed_offices!$W$2:$W$51,C386)=0),"status signed but no signed_offices row"&amp;IF(F386="N"," and no tracker row",""),IF(AND(IFERROR(INDEX(Lists!$K$2:$K$15,MATCH(D386,Lists!$J$2:$J$15,0)),-1)&gt;=6,F386="N"),"status "&amp;D386&amp;" but no tracker row",IF(AND(E386="Y",D386&lt;&gt;"do_not_contact"),"do_not_contact = Y but status is "&amp;D386,IF(AND(D386="do_not_contact",E386&lt;&gt;"Y"),"status do_not_contact but do_not_contact is not Y",""))))))</f>
        <v/>
      </c>
      <c r="I386" s="23" t="n">
        <v>365</v>
      </c>
      <c r="J386" s="23" t="str">
        <f aca="false">IFERROR(INDEX(Clay_Brands!$A$2:$FZ$601,I386,$D$5)&amp;"","")</f>
        <v/>
      </c>
      <c r="K386" s="23" t="str">
        <f aca="false">IFERROR(INDEX(Clay_Brands!$A$2:$FZ$601,I386,$D$7)&amp;"","")</f>
        <v/>
      </c>
      <c r="L386" s="23" t="str">
        <f aca="false">IFERROR(INDEX(Clay_Brands!$A$2:$FZ$601,I386,$D$8)&amp;"","")</f>
        <v/>
      </c>
      <c r="M386" s="23" t="str">
        <f aca="false">IF(J386="","",IF(COUNTIF(Brand_Log!$A$2:$A$201,J386)&gt;0,"Y","N"))</f>
        <v/>
      </c>
      <c r="N386" s="34" t="str">
        <f aca="false">IF(OR(J386="",AND(LEFT(J386,6)="SAMPLE",Config!$B$19&lt;&gt;"Y")),"",IF(IFERROR(INDEX(Lists!$K$2:$K$15,MATCH(K386,Lists!$J$2:$J$15,0)),-1)=-1,"status '"&amp;K386&amp;"' is not a CONTRACTS status",IF(AND(K386="paid",COUNTIF(paid_brands!$AC$2:$AC$51,J386)=0),"status paid but no paid_brands row"&amp;IF(M386="N"," and no tracker row",""),IF(AND(IFERROR(INDEX(Lists!$K$2:$K$15,MATCH(K386,Lists!$J$2:$J$15,0)),-1)&gt;=6,M386="N"),"status "&amp;K386&amp;" but no tracker row",IF(AND(L386="Y",K386&lt;&gt;"do_not_contact"),"do_not_contact = Y but status is "&amp;K386,IF(AND(K386="do_not_contact",L386&lt;&gt;"Y"),"status do_not_contact but do_not_contact is not Y",""))))))</f>
        <v/>
      </c>
    </row>
    <row r="387" customFormat="false" ht="15" hidden="false" customHeight="false" outlineLevel="0" collapsed="false">
      <c r="B387" s="23" t="n">
        <v>366</v>
      </c>
      <c r="C387" s="23" t="str">
        <f aca="false">IFERROR(INDEX(Clay_Offices!$A$2:$FZ$601,B387,$C$5)&amp;"","")</f>
        <v/>
      </c>
      <c r="D387" s="23" t="str">
        <f aca="false">IFERROR(INDEX(Clay_Offices!$A$2:$FZ$601,B387,$C$7)&amp;"","")</f>
        <v/>
      </c>
      <c r="E387" s="23" t="str">
        <f aca="false">IFERROR(INDEX(Clay_Offices!$A$2:$FZ$601,B387,$C$8)&amp;"","")</f>
        <v/>
      </c>
      <c r="F387" s="23" t="str">
        <f aca="false">IF(C387="","",IF(COUNTIF(Office_Log!$A$2:$A$201,C387)&gt;0,"Y","N"))</f>
        <v/>
      </c>
      <c r="G387" s="34" t="str">
        <f aca="false">IF(OR(C387="",AND(LEFT(C387,6)="SAMPLE",Config!$B$19&lt;&gt;"Y")),"",IF(IFERROR(INDEX(Lists!$K$2:$K$15,MATCH(D387,Lists!$J$2:$J$15,0)),-1)=-1,"status '"&amp;D387&amp;"' is not a CONTRACTS status",IF(AND(D387="signed",COUNTIF(signed_offices!$W$2:$W$51,C387)=0),"status signed but no signed_offices row"&amp;IF(F387="N"," and no tracker row",""),IF(AND(IFERROR(INDEX(Lists!$K$2:$K$15,MATCH(D387,Lists!$J$2:$J$15,0)),-1)&gt;=6,F387="N"),"status "&amp;D387&amp;" but no tracker row",IF(AND(E387="Y",D387&lt;&gt;"do_not_contact"),"do_not_contact = Y but status is "&amp;D387,IF(AND(D387="do_not_contact",E387&lt;&gt;"Y"),"status do_not_contact but do_not_contact is not Y",""))))))</f>
        <v/>
      </c>
      <c r="I387" s="23" t="n">
        <v>366</v>
      </c>
      <c r="J387" s="23" t="str">
        <f aca="false">IFERROR(INDEX(Clay_Brands!$A$2:$FZ$601,I387,$D$5)&amp;"","")</f>
        <v/>
      </c>
      <c r="K387" s="23" t="str">
        <f aca="false">IFERROR(INDEX(Clay_Brands!$A$2:$FZ$601,I387,$D$7)&amp;"","")</f>
        <v/>
      </c>
      <c r="L387" s="23" t="str">
        <f aca="false">IFERROR(INDEX(Clay_Brands!$A$2:$FZ$601,I387,$D$8)&amp;"","")</f>
        <v/>
      </c>
      <c r="M387" s="23" t="str">
        <f aca="false">IF(J387="","",IF(COUNTIF(Brand_Log!$A$2:$A$201,J387)&gt;0,"Y","N"))</f>
        <v/>
      </c>
      <c r="N387" s="34" t="str">
        <f aca="false">IF(OR(J387="",AND(LEFT(J387,6)="SAMPLE",Config!$B$19&lt;&gt;"Y")),"",IF(IFERROR(INDEX(Lists!$K$2:$K$15,MATCH(K387,Lists!$J$2:$J$15,0)),-1)=-1,"status '"&amp;K387&amp;"' is not a CONTRACTS status",IF(AND(K387="paid",COUNTIF(paid_brands!$AC$2:$AC$51,J387)=0),"status paid but no paid_brands row"&amp;IF(M387="N"," and no tracker row",""),IF(AND(IFERROR(INDEX(Lists!$K$2:$K$15,MATCH(K387,Lists!$J$2:$J$15,0)),-1)&gt;=6,M387="N"),"status "&amp;K387&amp;" but no tracker row",IF(AND(L387="Y",K387&lt;&gt;"do_not_contact"),"do_not_contact = Y but status is "&amp;K387,IF(AND(K387="do_not_contact",L387&lt;&gt;"Y"),"status do_not_contact but do_not_contact is not Y",""))))))</f>
        <v/>
      </c>
    </row>
    <row r="388" customFormat="false" ht="15" hidden="false" customHeight="false" outlineLevel="0" collapsed="false">
      <c r="B388" s="23" t="n">
        <v>367</v>
      </c>
      <c r="C388" s="23" t="str">
        <f aca="false">IFERROR(INDEX(Clay_Offices!$A$2:$FZ$601,B388,$C$5)&amp;"","")</f>
        <v/>
      </c>
      <c r="D388" s="23" t="str">
        <f aca="false">IFERROR(INDEX(Clay_Offices!$A$2:$FZ$601,B388,$C$7)&amp;"","")</f>
        <v/>
      </c>
      <c r="E388" s="23" t="str">
        <f aca="false">IFERROR(INDEX(Clay_Offices!$A$2:$FZ$601,B388,$C$8)&amp;"","")</f>
        <v/>
      </c>
      <c r="F388" s="23" t="str">
        <f aca="false">IF(C388="","",IF(COUNTIF(Office_Log!$A$2:$A$201,C388)&gt;0,"Y","N"))</f>
        <v/>
      </c>
      <c r="G388" s="34" t="str">
        <f aca="false">IF(OR(C388="",AND(LEFT(C388,6)="SAMPLE",Config!$B$19&lt;&gt;"Y")),"",IF(IFERROR(INDEX(Lists!$K$2:$K$15,MATCH(D388,Lists!$J$2:$J$15,0)),-1)=-1,"status '"&amp;D388&amp;"' is not a CONTRACTS status",IF(AND(D388="signed",COUNTIF(signed_offices!$W$2:$W$51,C388)=0),"status signed but no signed_offices row"&amp;IF(F388="N"," and no tracker row",""),IF(AND(IFERROR(INDEX(Lists!$K$2:$K$15,MATCH(D388,Lists!$J$2:$J$15,0)),-1)&gt;=6,F388="N"),"status "&amp;D388&amp;" but no tracker row",IF(AND(E388="Y",D388&lt;&gt;"do_not_contact"),"do_not_contact = Y but status is "&amp;D388,IF(AND(D388="do_not_contact",E388&lt;&gt;"Y"),"status do_not_contact but do_not_contact is not Y",""))))))</f>
        <v/>
      </c>
      <c r="I388" s="23" t="n">
        <v>367</v>
      </c>
      <c r="J388" s="23" t="str">
        <f aca="false">IFERROR(INDEX(Clay_Brands!$A$2:$FZ$601,I388,$D$5)&amp;"","")</f>
        <v/>
      </c>
      <c r="K388" s="23" t="str">
        <f aca="false">IFERROR(INDEX(Clay_Brands!$A$2:$FZ$601,I388,$D$7)&amp;"","")</f>
        <v/>
      </c>
      <c r="L388" s="23" t="str">
        <f aca="false">IFERROR(INDEX(Clay_Brands!$A$2:$FZ$601,I388,$D$8)&amp;"","")</f>
        <v/>
      </c>
      <c r="M388" s="23" t="str">
        <f aca="false">IF(J388="","",IF(COUNTIF(Brand_Log!$A$2:$A$201,J388)&gt;0,"Y","N"))</f>
        <v/>
      </c>
      <c r="N388" s="34" t="str">
        <f aca="false">IF(OR(J388="",AND(LEFT(J388,6)="SAMPLE",Config!$B$19&lt;&gt;"Y")),"",IF(IFERROR(INDEX(Lists!$K$2:$K$15,MATCH(K388,Lists!$J$2:$J$15,0)),-1)=-1,"status '"&amp;K388&amp;"' is not a CONTRACTS status",IF(AND(K388="paid",COUNTIF(paid_brands!$AC$2:$AC$51,J388)=0),"status paid but no paid_brands row"&amp;IF(M388="N"," and no tracker row",""),IF(AND(IFERROR(INDEX(Lists!$K$2:$K$15,MATCH(K388,Lists!$J$2:$J$15,0)),-1)&gt;=6,M388="N"),"status "&amp;K388&amp;" but no tracker row",IF(AND(L388="Y",K388&lt;&gt;"do_not_contact"),"do_not_contact = Y but status is "&amp;K388,IF(AND(K388="do_not_contact",L388&lt;&gt;"Y"),"status do_not_contact but do_not_contact is not Y",""))))))</f>
        <v/>
      </c>
    </row>
    <row r="389" customFormat="false" ht="15" hidden="false" customHeight="false" outlineLevel="0" collapsed="false">
      <c r="B389" s="23" t="n">
        <v>368</v>
      </c>
      <c r="C389" s="23" t="str">
        <f aca="false">IFERROR(INDEX(Clay_Offices!$A$2:$FZ$601,B389,$C$5)&amp;"","")</f>
        <v/>
      </c>
      <c r="D389" s="23" t="str">
        <f aca="false">IFERROR(INDEX(Clay_Offices!$A$2:$FZ$601,B389,$C$7)&amp;"","")</f>
        <v/>
      </c>
      <c r="E389" s="23" t="str">
        <f aca="false">IFERROR(INDEX(Clay_Offices!$A$2:$FZ$601,B389,$C$8)&amp;"","")</f>
        <v/>
      </c>
      <c r="F389" s="23" t="str">
        <f aca="false">IF(C389="","",IF(COUNTIF(Office_Log!$A$2:$A$201,C389)&gt;0,"Y","N"))</f>
        <v/>
      </c>
      <c r="G389" s="34" t="str">
        <f aca="false">IF(OR(C389="",AND(LEFT(C389,6)="SAMPLE",Config!$B$19&lt;&gt;"Y")),"",IF(IFERROR(INDEX(Lists!$K$2:$K$15,MATCH(D389,Lists!$J$2:$J$15,0)),-1)=-1,"status '"&amp;D389&amp;"' is not a CONTRACTS status",IF(AND(D389="signed",COUNTIF(signed_offices!$W$2:$W$51,C389)=0),"status signed but no signed_offices row"&amp;IF(F389="N"," and no tracker row",""),IF(AND(IFERROR(INDEX(Lists!$K$2:$K$15,MATCH(D389,Lists!$J$2:$J$15,0)),-1)&gt;=6,F389="N"),"status "&amp;D389&amp;" but no tracker row",IF(AND(E389="Y",D389&lt;&gt;"do_not_contact"),"do_not_contact = Y but status is "&amp;D389,IF(AND(D389="do_not_contact",E389&lt;&gt;"Y"),"status do_not_contact but do_not_contact is not Y",""))))))</f>
        <v/>
      </c>
      <c r="I389" s="23" t="n">
        <v>368</v>
      </c>
      <c r="J389" s="23" t="str">
        <f aca="false">IFERROR(INDEX(Clay_Brands!$A$2:$FZ$601,I389,$D$5)&amp;"","")</f>
        <v/>
      </c>
      <c r="K389" s="23" t="str">
        <f aca="false">IFERROR(INDEX(Clay_Brands!$A$2:$FZ$601,I389,$D$7)&amp;"","")</f>
        <v/>
      </c>
      <c r="L389" s="23" t="str">
        <f aca="false">IFERROR(INDEX(Clay_Brands!$A$2:$FZ$601,I389,$D$8)&amp;"","")</f>
        <v/>
      </c>
      <c r="M389" s="23" t="str">
        <f aca="false">IF(J389="","",IF(COUNTIF(Brand_Log!$A$2:$A$201,J389)&gt;0,"Y","N"))</f>
        <v/>
      </c>
      <c r="N389" s="34" t="str">
        <f aca="false">IF(OR(J389="",AND(LEFT(J389,6)="SAMPLE",Config!$B$19&lt;&gt;"Y")),"",IF(IFERROR(INDEX(Lists!$K$2:$K$15,MATCH(K389,Lists!$J$2:$J$15,0)),-1)=-1,"status '"&amp;K389&amp;"' is not a CONTRACTS status",IF(AND(K389="paid",COUNTIF(paid_brands!$AC$2:$AC$51,J389)=0),"status paid but no paid_brands row"&amp;IF(M389="N"," and no tracker row",""),IF(AND(IFERROR(INDEX(Lists!$K$2:$K$15,MATCH(K389,Lists!$J$2:$J$15,0)),-1)&gt;=6,M389="N"),"status "&amp;K389&amp;" but no tracker row",IF(AND(L389="Y",K389&lt;&gt;"do_not_contact"),"do_not_contact = Y but status is "&amp;K389,IF(AND(K389="do_not_contact",L389&lt;&gt;"Y"),"status do_not_contact but do_not_contact is not Y",""))))))</f>
        <v/>
      </c>
    </row>
    <row r="390" customFormat="false" ht="15" hidden="false" customHeight="false" outlineLevel="0" collapsed="false">
      <c r="B390" s="23" t="n">
        <v>369</v>
      </c>
      <c r="C390" s="23" t="str">
        <f aca="false">IFERROR(INDEX(Clay_Offices!$A$2:$FZ$601,B390,$C$5)&amp;"","")</f>
        <v/>
      </c>
      <c r="D390" s="23" t="str">
        <f aca="false">IFERROR(INDEX(Clay_Offices!$A$2:$FZ$601,B390,$C$7)&amp;"","")</f>
        <v/>
      </c>
      <c r="E390" s="23" t="str">
        <f aca="false">IFERROR(INDEX(Clay_Offices!$A$2:$FZ$601,B390,$C$8)&amp;"","")</f>
        <v/>
      </c>
      <c r="F390" s="23" t="str">
        <f aca="false">IF(C390="","",IF(COUNTIF(Office_Log!$A$2:$A$201,C390)&gt;0,"Y","N"))</f>
        <v/>
      </c>
      <c r="G390" s="34" t="str">
        <f aca="false">IF(OR(C390="",AND(LEFT(C390,6)="SAMPLE",Config!$B$19&lt;&gt;"Y")),"",IF(IFERROR(INDEX(Lists!$K$2:$K$15,MATCH(D390,Lists!$J$2:$J$15,0)),-1)=-1,"status '"&amp;D390&amp;"' is not a CONTRACTS status",IF(AND(D390="signed",COUNTIF(signed_offices!$W$2:$W$51,C390)=0),"status signed but no signed_offices row"&amp;IF(F390="N"," and no tracker row",""),IF(AND(IFERROR(INDEX(Lists!$K$2:$K$15,MATCH(D390,Lists!$J$2:$J$15,0)),-1)&gt;=6,F390="N"),"status "&amp;D390&amp;" but no tracker row",IF(AND(E390="Y",D390&lt;&gt;"do_not_contact"),"do_not_contact = Y but status is "&amp;D390,IF(AND(D390="do_not_contact",E390&lt;&gt;"Y"),"status do_not_contact but do_not_contact is not Y",""))))))</f>
        <v/>
      </c>
      <c r="I390" s="23" t="n">
        <v>369</v>
      </c>
      <c r="J390" s="23" t="str">
        <f aca="false">IFERROR(INDEX(Clay_Brands!$A$2:$FZ$601,I390,$D$5)&amp;"","")</f>
        <v/>
      </c>
      <c r="K390" s="23" t="str">
        <f aca="false">IFERROR(INDEX(Clay_Brands!$A$2:$FZ$601,I390,$D$7)&amp;"","")</f>
        <v/>
      </c>
      <c r="L390" s="23" t="str">
        <f aca="false">IFERROR(INDEX(Clay_Brands!$A$2:$FZ$601,I390,$D$8)&amp;"","")</f>
        <v/>
      </c>
      <c r="M390" s="23" t="str">
        <f aca="false">IF(J390="","",IF(COUNTIF(Brand_Log!$A$2:$A$201,J390)&gt;0,"Y","N"))</f>
        <v/>
      </c>
      <c r="N390" s="34" t="str">
        <f aca="false">IF(OR(J390="",AND(LEFT(J390,6)="SAMPLE",Config!$B$19&lt;&gt;"Y")),"",IF(IFERROR(INDEX(Lists!$K$2:$K$15,MATCH(K390,Lists!$J$2:$J$15,0)),-1)=-1,"status '"&amp;K390&amp;"' is not a CONTRACTS status",IF(AND(K390="paid",COUNTIF(paid_brands!$AC$2:$AC$51,J390)=0),"status paid but no paid_brands row"&amp;IF(M390="N"," and no tracker row",""),IF(AND(IFERROR(INDEX(Lists!$K$2:$K$15,MATCH(K390,Lists!$J$2:$J$15,0)),-1)&gt;=6,M390="N"),"status "&amp;K390&amp;" but no tracker row",IF(AND(L390="Y",K390&lt;&gt;"do_not_contact"),"do_not_contact = Y but status is "&amp;K390,IF(AND(K390="do_not_contact",L390&lt;&gt;"Y"),"status do_not_contact but do_not_contact is not Y",""))))))</f>
        <v/>
      </c>
    </row>
    <row r="391" customFormat="false" ht="15" hidden="false" customHeight="false" outlineLevel="0" collapsed="false">
      <c r="B391" s="23" t="n">
        <v>370</v>
      </c>
      <c r="C391" s="23" t="str">
        <f aca="false">IFERROR(INDEX(Clay_Offices!$A$2:$FZ$601,B391,$C$5)&amp;"","")</f>
        <v/>
      </c>
      <c r="D391" s="23" t="str">
        <f aca="false">IFERROR(INDEX(Clay_Offices!$A$2:$FZ$601,B391,$C$7)&amp;"","")</f>
        <v/>
      </c>
      <c r="E391" s="23" t="str">
        <f aca="false">IFERROR(INDEX(Clay_Offices!$A$2:$FZ$601,B391,$C$8)&amp;"","")</f>
        <v/>
      </c>
      <c r="F391" s="23" t="str">
        <f aca="false">IF(C391="","",IF(COUNTIF(Office_Log!$A$2:$A$201,C391)&gt;0,"Y","N"))</f>
        <v/>
      </c>
      <c r="G391" s="34" t="str">
        <f aca="false">IF(OR(C391="",AND(LEFT(C391,6)="SAMPLE",Config!$B$19&lt;&gt;"Y")),"",IF(IFERROR(INDEX(Lists!$K$2:$K$15,MATCH(D391,Lists!$J$2:$J$15,0)),-1)=-1,"status '"&amp;D391&amp;"' is not a CONTRACTS status",IF(AND(D391="signed",COUNTIF(signed_offices!$W$2:$W$51,C391)=0),"status signed but no signed_offices row"&amp;IF(F391="N"," and no tracker row",""),IF(AND(IFERROR(INDEX(Lists!$K$2:$K$15,MATCH(D391,Lists!$J$2:$J$15,0)),-1)&gt;=6,F391="N"),"status "&amp;D391&amp;" but no tracker row",IF(AND(E391="Y",D391&lt;&gt;"do_not_contact"),"do_not_contact = Y but status is "&amp;D391,IF(AND(D391="do_not_contact",E391&lt;&gt;"Y"),"status do_not_contact but do_not_contact is not Y",""))))))</f>
        <v/>
      </c>
      <c r="I391" s="23" t="n">
        <v>370</v>
      </c>
      <c r="J391" s="23" t="str">
        <f aca="false">IFERROR(INDEX(Clay_Brands!$A$2:$FZ$601,I391,$D$5)&amp;"","")</f>
        <v/>
      </c>
      <c r="K391" s="23" t="str">
        <f aca="false">IFERROR(INDEX(Clay_Brands!$A$2:$FZ$601,I391,$D$7)&amp;"","")</f>
        <v/>
      </c>
      <c r="L391" s="23" t="str">
        <f aca="false">IFERROR(INDEX(Clay_Brands!$A$2:$FZ$601,I391,$D$8)&amp;"","")</f>
        <v/>
      </c>
      <c r="M391" s="23" t="str">
        <f aca="false">IF(J391="","",IF(COUNTIF(Brand_Log!$A$2:$A$201,J391)&gt;0,"Y","N"))</f>
        <v/>
      </c>
      <c r="N391" s="34" t="str">
        <f aca="false">IF(OR(J391="",AND(LEFT(J391,6)="SAMPLE",Config!$B$19&lt;&gt;"Y")),"",IF(IFERROR(INDEX(Lists!$K$2:$K$15,MATCH(K391,Lists!$J$2:$J$15,0)),-1)=-1,"status '"&amp;K391&amp;"' is not a CONTRACTS status",IF(AND(K391="paid",COUNTIF(paid_brands!$AC$2:$AC$51,J391)=0),"status paid but no paid_brands row"&amp;IF(M391="N"," and no tracker row",""),IF(AND(IFERROR(INDEX(Lists!$K$2:$K$15,MATCH(K391,Lists!$J$2:$J$15,0)),-1)&gt;=6,M391="N"),"status "&amp;K391&amp;" but no tracker row",IF(AND(L391="Y",K391&lt;&gt;"do_not_contact"),"do_not_contact = Y but status is "&amp;K391,IF(AND(K391="do_not_contact",L391&lt;&gt;"Y"),"status do_not_contact but do_not_contact is not Y",""))))))</f>
        <v/>
      </c>
    </row>
    <row r="392" customFormat="false" ht="15" hidden="false" customHeight="false" outlineLevel="0" collapsed="false">
      <c r="B392" s="23" t="n">
        <v>371</v>
      </c>
      <c r="C392" s="23" t="str">
        <f aca="false">IFERROR(INDEX(Clay_Offices!$A$2:$FZ$601,B392,$C$5)&amp;"","")</f>
        <v/>
      </c>
      <c r="D392" s="23" t="str">
        <f aca="false">IFERROR(INDEX(Clay_Offices!$A$2:$FZ$601,B392,$C$7)&amp;"","")</f>
        <v/>
      </c>
      <c r="E392" s="23" t="str">
        <f aca="false">IFERROR(INDEX(Clay_Offices!$A$2:$FZ$601,B392,$C$8)&amp;"","")</f>
        <v/>
      </c>
      <c r="F392" s="23" t="str">
        <f aca="false">IF(C392="","",IF(COUNTIF(Office_Log!$A$2:$A$201,C392)&gt;0,"Y","N"))</f>
        <v/>
      </c>
      <c r="G392" s="34" t="str">
        <f aca="false">IF(OR(C392="",AND(LEFT(C392,6)="SAMPLE",Config!$B$19&lt;&gt;"Y")),"",IF(IFERROR(INDEX(Lists!$K$2:$K$15,MATCH(D392,Lists!$J$2:$J$15,0)),-1)=-1,"status '"&amp;D392&amp;"' is not a CONTRACTS status",IF(AND(D392="signed",COUNTIF(signed_offices!$W$2:$W$51,C392)=0),"status signed but no signed_offices row"&amp;IF(F392="N"," and no tracker row",""),IF(AND(IFERROR(INDEX(Lists!$K$2:$K$15,MATCH(D392,Lists!$J$2:$J$15,0)),-1)&gt;=6,F392="N"),"status "&amp;D392&amp;" but no tracker row",IF(AND(E392="Y",D392&lt;&gt;"do_not_contact"),"do_not_contact = Y but status is "&amp;D392,IF(AND(D392="do_not_contact",E392&lt;&gt;"Y"),"status do_not_contact but do_not_contact is not Y",""))))))</f>
        <v/>
      </c>
      <c r="I392" s="23" t="n">
        <v>371</v>
      </c>
      <c r="J392" s="23" t="str">
        <f aca="false">IFERROR(INDEX(Clay_Brands!$A$2:$FZ$601,I392,$D$5)&amp;"","")</f>
        <v/>
      </c>
      <c r="K392" s="23" t="str">
        <f aca="false">IFERROR(INDEX(Clay_Brands!$A$2:$FZ$601,I392,$D$7)&amp;"","")</f>
        <v/>
      </c>
      <c r="L392" s="23" t="str">
        <f aca="false">IFERROR(INDEX(Clay_Brands!$A$2:$FZ$601,I392,$D$8)&amp;"","")</f>
        <v/>
      </c>
      <c r="M392" s="23" t="str">
        <f aca="false">IF(J392="","",IF(COUNTIF(Brand_Log!$A$2:$A$201,J392)&gt;0,"Y","N"))</f>
        <v/>
      </c>
      <c r="N392" s="34" t="str">
        <f aca="false">IF(OR(J392="",AND(LEFT(J392,6)="SAMPLE",Config!$B$19&lt;&gt;"Y")),"",IF(IFERROR(INDEX(Lists!$K$2:$K$15,MATCH(K392,Lists!$J$2:$J$15,0)),-1)=-1,"status '"&amp;K392&amp;"' is not a CONTRACTS status",IF(AND(K392="paid",COUNTIF(paid_brands!$AC$2:$AC$51,J392)=0),"status paid but no paid_brands row"&amp;IF(M392="N"," and no tracker row",""),IF(AND(IFERROR(INDEX(Lists!$K$2:$K$15,MATCH(K392,Lists!$J$2:$J$15,0)),-1)&gt;=6,M392="N"),"status "&amp;K392&amp;" but no tracker row",IF(AND(L392="Y",K392&lt;&gt;"do_not_contact"),"do_not_contact = Y but status is "&amp;K392,IF(AND(K392="do_not_contact",L392&lt;&gt;"Y"),"status do_not_contact but do_not_contact is not Y",""))))))</f>
        <v/>
      </c>
    </row>
    <row r="393" customFormat="false" ht="15" hidden="false" customHeight="false" outlineLevel="0" collapsed="false">
      <c r="B393" s="23" t="n">
        <v>372</v>
      </c>
      <c r="C393" s="23" t="str">
        <f aca="false">IFERROR(INDEX(Clay_Offices!$A$2:$FZ$601,B393,$C$5)&amp;"","")</f>
        <v/>
      </c>
      <c r="D393" s="23" t="str">
        <f aca="false">IFERROR(INDEX(Clay_Offices!$A$2:$FZ$601,B393,$C$7)&amp;"","")</f>
        <v/>
      </c>
      <c r="E393" s="23" t="str">
        <f aca="false">IFERROR(INDEX(Clay_Offices!$A$2:$FZ$601,B393,$C$8)&amp;"","")</f>
        <v/>
      </c>
      <c r="F393" s="23" t="str">
        <f aca="false">IF(C393="","",IF(COUNTIF(Office_Log!$A$2:$A$201,C393)&gt;0,"Y","N"))</f>
        <v/>
      </c>
      <c r="G393" s="34" t="str">
        <f aca="false">IF(OR(C393="",AND(LEFT(C393,6)="SAMPLE",Config!$B$19&lt;&gt;"Y")),"",IF(IFERROR(INDEX(Lists!$K$2:$K$15,MATCH(D393,Lists!$J$2:$J$15,0)),-1)=-1,"status '"&amp;D393&amp;"' is not a CONTRACTS status",IF(AND(D393="signed",COUNTIF(signed_offices!$W$2:$W$51,C393)=0),"status signed but no signed_offices row"&amp;IF(F393="N"," and no tracker row",""),IF(AND(IFERROR(INDEX(Lists!$K$2:$K$15,MATCH(D393,Lists!$J$2:$J$15,0)),-1)&gt;=6,F393="N"),"status "&amp;D393&amp;" but no tracker row",IF(AND(E393="Y",D393&lt;&gt;"do_not_contact"),"do_not_contact = Y but status is "&amp;D393,IF(AND(D393="do_not_contact",E393&lt;&gt;"Y"),"status do_not_contact but do_not_contact is not Y",""))))))</f>
        <v/>
      </c>
      <c r="I393" s="23" t="n">
        <v>372</v>
      </c>
      <c r="J393" s="23" t="str">
        <f aca="false">IFERROR(INDEX(Clay_Brands!$A$2:$FZ$601,I393,$D$5)&amp;"","")</f>
        <v/>
      </c>
      <c r="K393" s="23" t="str">
        <f aca="false">IFERROR(INDEX(Clay_Brands!$A$2:$FZ$601,I393,$D$7)&amp;"","")</f>
        <v/>
      </c>
      <c r="L393" s="23" t="str">
        <f aca="false">IFERROR(INDEX(Clay_Brands!$A$2:$FZ$601,I393,$D$8)&amp;"","")</f>
        <v/>
      </c>
      <c r="M393" s="23" t="str">
        <f aca="false">IF(J393="","",IF(COUNTIF(Brand_Log!$A$2:$A$201,J393)&gt;0,"Y","N"))</f>
        <v/>
      </c>
      <c r="N393" s="34" t="str">
        <f aca="false">IF(OR(J393="",AND(LEFT(J393,6)="SAMPLE",Config!$B$19&lt;&gt;"Y")),"",IF(IFERROR(INDEX(Lists!$K$2:$K$15,MATCH(K393,Lists!$J$2:$J$15,0)),-1)=-1,"status '"&amp;K393&amp;"' is not a CONTRACTS status",IF(AND(K393="paid",COUNTIF(paid_brands!$AC$2:$AC$51,J393)=0),"status paid but no paid_brands row"&amp;IF(M393="N"," and no tracker row",""),IF(AND(IFERROR(INDEX(Lists!$K$2:$K$15,MATCH(K393,Lists!$J$2:$J$15,0)),-1)&gt;=6,M393="N"),"status "&amp;K393&amp;" but no tracker row",IF(AND(L393="Y",K393&lt;&gt;"do_not_contact"),"do_not_contact = Y but status is "&amp;K393,IF(AND(K393="do_not_contact",L393&lt;&gt;"Y"),"status do_not_contact but do_not_contact is not Y",""))))))</f>
        <v/>
      </c>
    </row>
    <row r="394" customFormat="false" ht="15" hidden="false" customHeight="false" outlineLevel="0" collapsed="false">
      <c r="B394" s="23" t="n">
        <v>373</v>
      </c>
      <c r="C394" s="23" t="str">
        <f aca="false">IFERROR(INDEX(Clay_Offices!$A$2:$FZ$601,B394,$C$5)&amp;"","")</f>
        <v/>
      </c>
      <c r="D394" s="23" t="str">
        <f aca="false">IFERROR(INDEX(Clay_Offices!$A$2:$FZ$601,B394,$C$7)&amp;"","")</f>
        <v/>
      </c>
      <c r="E394" s="23" t="str">
        <f aca="false">IFERROR(INDEX(Clay_Offices!$A$2:$FZ$601,B394,$C$8)&amp;"","")</f>
        <v/>
      </c>
      <c r="F394" s="23" t="str">
        <f aca="false">IF(C394="","",IF(COUNTIF(Office_Log!$A$2:$A$201,C394)&gt;0,"Y","N"))</f>
        <v/>
      </c>
      <c r="G394" s="34" t="str">
        <f aca="false">IF(OR(C394="",AND(LEFT(C394,6)="SAMPLE",Config!$B$19&lt;&gt;"Y")),"",IF(IFERROR(INDEX(Lists!$K$2:$K$15,MATCH(D394,Lists!$J$2:$J$15,0)),-1)=-1,"status '"&amp;D394&amp;"' is not a CONTRACTS status",IF(AND(D394="signed",COUNTIF(signed_offices!$W$2:$W$51,C394)=0),"status signed but no signed_offices row"&amp;IF(F394="N"," and no tracker row",""),IF(AND(IFERROR(INDEX(Lists!$K$2:$K$15,MATCH(D394,Lists!$J$2:$J$15,0)),-1)&gt;=6,F394="N"),"status "&amp;D394&amp;" but no tracker row",IF(AND(E394="Y",D394&lt;&gt;"do_not_contact"),"do_not_contact = Y but status is "&amp;D394,IF(AND(D394="do_not_contact",E394&lt;&gt;"Y"),"status do_not_contact but do_not_contact is not Y",""))))))</f>
        <v/>
      </c>
      <c r="I394" s="23" t="n">
        <v>373</v>
      </c>
      <c r="J394" s="23" t="str">
        <f aca="false">IFERROR(INDEX(Clay_Brands!$A$2:$FZ$601,I394,$D$5)&amp;"","")</f>
        <v/>
      </c>
      <c r="K394" s="23" t="str">
        <f aca="false">IFERROR(INDEX(Clay_Brands!$A$2:$FZ$601,I394,$D$7)&amp;"","")</f>
        <v/>
      </c>
      <c r="L394" s="23" t="str">
        <f aca="false">IFERROR(INDEX(Clay_Brands!$A$2:$FZ$601,I394,$D$8)&amp;"","")</f>
        <v/>
      </c>
      <c r="M394" s="23" t="str">
        <f aca="false">IF(J394="","",IF(COUNTIF(Brand_Log!$A$2:$A$201,J394)&gt;0,"Y","N"))</f>
        <v/>
      </c>
      <c r="N394" s="34" t="str">
        <f aca="false">IF(OR(J394="",AND(LEFT(J394,6)="SAMPLE",Config!$B$19&lt;&gt;"Y")),"",IF(IFERROR(INDEX(Lists!$K$2:$K$15,MATCH(K394,Lists!$J$2:$J$15,0)),-1)=-1,"status '"&amp;K394&amp;"' is not a CONTRACTS status",IF(AND(K394="paid",COUNTIF(paid_brands!$AC$2:$AC$51,J394)=0),"status paid but no paid_brands row"&amp;IF(M394="N"," and no tracker row",""),IF(AND(IFERROR(INDEX(Lists!$K$2:$K$15,MATCH(K394,Lists!$J$2:$J$15,0)),-1)&gt;=6,M394="N"),"status "&amp;K394&amp;" but no tracker row",IF(AND(L394="Y",K394&lt;&gt;"do_not_contact"),"do_not_contact = Y but status is "&amp;K394,IF(AND(K394="do_not_contact",L394&lt;&gt;"Y"),"status do_not_contact but do_not_contact is not Y",""))))))</f>
        <v/>
      </c>
    </row>
    <row r="395" customFormat="false" ht="15" hidden="false" customHeight="false" outlineLevel="0" collapsed="false">
      <c r="B395" s="23" t="n">
        <v>374</v>
      </c>
      <c r="C395" s="23" t="str">
        <f aca="false">IFERROR(INDEX(Clay_Offices!$A$2:$FZ$601,B395,$C$5)&amp;"","")</f>
        <v/>
      </c>
      <c r="D395" s="23" t="str">
        <f aca="false">IFERROR(INDEX(Clay_Offices!$A$2:$FZ$601,B395,$C$7)&amp;"","")</f>
        <v/>
      </c>
      <c r="E395" s="23" t="str">
        <f aca="false">IFERROR(INDEX(Clay_Offices!$A$2:$FZ$601,B395,$C$8)&amp;"","")</f>
        <v/>
      </c>
      <c r="F395" s="23" t="str">
        <f aca="false">IF(C395="","",IF(COUNTIF(Office_Log!$A$2:$A$201,C395)&gt;0,"Y","N"))</f>
        <v/>
      </c>
      <c r="G395" s="34" t="str">
        <f aca="false">IF(OR(C395="",AND(LEFT(C395,6)="SAMPLE",Config!$B$19&lt;&gt;"Y")),"",IF(IFERROR(INDEX(Lists!$K$2:$K$15,MATCH(D395,Lists!$J$2:$J$15,0)),-1)=-1,"status '"&amp;D395&amp;"' is not a CONTRACTS status",IF(AND(D395="signed",COUNTIF(signed_offices!$W$2:$W$51,C395)=0),"status signed but no signed_offices row"&amp;IF(F395="N"," and no tracker row",""),IF(AND(IFERROR(INDEX(Lists!$K$2:$K$15,MATCH(D395,Lists!$J$2:$J$15,0)),-1)&gt;=6,F395="N"),"status "&amp;D395&amp;" but no tracker row",IF(AND(E395="Y",D395&lt;&gt;"do_not_contact"),"do_not_contact = Y but status is "&amp;D395,IF(AND(D395="do_not_contact",E395&lt;&gt;"Y"),"status do_not_contact but do_not_contact is not Y",""))))))</f>
        <v/>
      </c>
      <c r="I395" s="23" t="n">
        <v>374</v>
      </c>
      <c r="J395" s="23" t="str">
        <f aca="false">IFERROR(INDEX(Clay_Brands!$A$2:$FZ$601,I395,$D$5)&amp;"","")</f>
        <v/>
      </c>
      <c r="K395" s="23" t="str">
        <f aca="false">IFERROR(INDEX(Clay_Brands!$A$2:$FZ$601,I395,$D$7)&amp;"","")</f>
        <v/>
      </c>
      <c r="L395" s="23" t="str">
        <f aca="false">IFERROR(INDEX(Clay_Brands!$A$2:$FZ$601,I395,$D$8)&amp;"","")</f>
        <v/>
      </c>
      <c r="M395" s="23" t="str">
        <f aca="false">IF(J395="","",IF(COUNTIF(Brand_Log!$A$2:$A$201,J395)&gt;0,"Y","N"))</f>
        <v/>
      </c>
      <c r="N395" s="34" t="str">
        <f aca="false">IF(OR(J395="",AND(LEFT(J395,6)="SAMPLE",Config!$B$19&lt;&gt;"Y")),"",IF(IFERROR(INDEX(Lists!$K$2:$K$15,MATCH(K395,Lists!$J$2:$J$15,0)),-1)=-1,"status '"&amp;K395&amp;"' is not a CONTRACTS status",IF(AND(K395="paid",COUNTIF(paid_brands!$AC$2:$AC$51,J395)=0),"status paid but no paid_brands row"&amp;IF(M395="N"," and no tracker row",""),IF(AND(IFERROR(INDEX(Lists!$K$2:$K$15,MATCH(K395,Lists!$J$2:$J$15,0)),-1)&gt;=6,M395="N"),"status "&amp;K395&amp;" but no tracker row",IF(AND(L395="Y",K395&lt;&gt;"do_not_contact"),"do_not_contact = Y but status is "&amp;K395,IF(AND(K395="do_not_contact",L395&lt;&gt;"Y"),"status do_not_contact but do_not_contact is not Y",""))))))</f>
        <v/>
      </c>
    </row>
    <row r="396" customFormat="false" ht="15" hidden="false" customHeight="false" outlineLevel="0" collapsed="false">
      <c r="B396" s="23" t="n">
        <v>375</v>
      </c>
      <c r="C396" s="23" t="str">
        <f aca="false">IFERROR(INDEX(Clay_Offices!$A$2:$FZ$601,B396,$C$5)&amp;"","")</f>
        <v/>
      </c>
      <c r="D396" s="23" t="str">
        <f aca="false">IFERROR(INDEX(Clay_Offices!$A$2:$FZ$601,B396,$C$7)&amp;"","")</f>
        <v/>
      </c>
      <c r="E396" s="23" t="str">
        <f aca="false">IFERROR(INDEX(Clay_Offices!$A$2:$FZ$601,B396,$C$8)&amp;"","")</f>
        <v/>
      </c>
      <c r="F396" s="23" t="str">
        <f aca="false">IF(C396="","",IF(COUNTIF(Office_Log!$A$2:$A$201,C396)&gt;0,"Y","N"))</f>
        <v/>
      </c>
      <c r="G396" s="34" t="str">
        <f aca="false">IF(OR(C396="",AND(LEFT(C396,6)="SAMPLE",Config!$B$19&lt;&gt;"Y")),"",IF(IFERROR(INDEX(Lists!$K$2:$K$15,MATCH(D396,Lists!$J$2:$J$15,0)),-1)=-1,"status '"&amp;D396&amp;"' is not a CONTRACTS status",IF(AND(D396="signed",COUNTIF(signed_offices!$W$2:$W$51,C396)=0),"status signed but no signed_offices row"&amp;IF(F396="N"," and no tracker row",""),IF(AND(IFERROR(INDEX(Lists!$K$2:$K$15,MATCH(D396,Lists!$J$2:$J$15,0)),-1)&gt;=6,F396="N"),"status "&amp;D396&amp;" but no tracker row",IF(AND(E396="Y",D396&lt;&gt;"do_not_contact"),"do_not_contact = Y but status is "&amp;D396,IF(AND(D396="do_not_contact",E396&lt;&gt;"Y"),"status do_not_contact but do_not_contact is not Y",""))))))</f>
        <v/>
      </c>
      <c r="I396" s="23" t="n">
        <v>375</v>
      </c>
      <c r="J396" s="23" t="str">
        <f aca="false">IFERROR(INDEX(Clay_Brands!$A$2:$FZ$601,I396,$D$5)&amp;"","")</f>
        <v/>
      </c>
      <c r="K396" s="23" t="str">
        <f aca="false">IFERROR(INDEX(Clay_Brands!$A$2:$FZ$601,I396,$D$7)&amp;"","")</f>
        <v/>
      </c>
      <c r="L396" s="23" t="str">
        <f aca="false">IFERROR(INDEX(Clay_Brands!$A$2:$FZ$601,I396,$D$8)&amp;"","")</f>
        <v/>
      </c>
      <c r="M396" s="23" t="str">
        <f aca="false">IF(J396="","",IF(COUNTIF(Brand_Log!$A$2:$A$201,J396)&gt;0,"Y","N"))</f>
        <v/>
      </c>
      <c r="N396" s="34" t="str">
        <f aca="false">IF(OR(J396="",AND(LEFT(J396,6)="SAMPLE",Config!$B$19&lt;&gt;"Y")),"",IF(IFERROR(INDEX(Lists!$K$2:$K$15,MATCH(K396,Lists!$J$2:$J$15,0)),-1)=-1,"status '"&amp;K396&amp;"' is not a CONTRACTS status",IF(AND(K396="paid",COUNTIF(paid_brands!$AC$2:$AC$51,J396)=0),"status paid but no paid_brands row"&amp;IF(M396="N"," and no tracker row",""),IF(AND(IFERROR(INDEX(Lists!$K$2:$K$15,MATCH(K396,Lists!$J$2:$J$15,0)),-1)&gt;=6,M396="N"),"status "&amp;K396&amp;" but no tracker row",IF(AND(L396="Y",K396&lt;&gt;"do_not_contact"),"do_not_contact = Y but status is "&amp;K396,IF(AND(K396="do_not_contact",L396&lt;&gt;"Y"),"status do_not_contact but do_not_contact is not Y",""))))))</f>
        <v/>
      </c>
    </row>
    <row r="397" customFormat="false" ht="15" hidden="false" customHeight="false" outlineLevel="0" collapsed="false">
      <c r="B397" s="23" t="n">
        <v>376</v>
      </c>
      <c r="C397" s="23" t="str">
        <f aca="false">IFERROR(INDEX(Clay_Offices!$A$2:$FZ$601,B397,$C$5)&amp;"","")</f>
        <v/>
      </c>
      <c r="D397" s="23" t="str">
        <f aca="false">IFERROR(INDEX(Clay_Offices!$A$2:$FZ$601,B397,$C$7)&amp;"","")</f>
        <v/>
      </c>
      <c r="E397" s="23" t="str">
        <f aca="false">IFERROR(INDEX(Clay_Offices!$A$2:$FZ$601,B397,$C$8)&amp;"","")</f>
        <v/>
      </c>
      <c r="F397" s="23" t="str">
        <f aca="false">IF(C397="","",IF(COUNTIF(Office_Log!$A$2:$A$201,C397)&gt;0,"Y","N"))</f>
        <v/>
      </c>
      <c r="G397" s="34" t="str">
        <f aca="false">IF(OR(C397="",AND(LEFT(C397,6)="SAMPLE",Config!$B$19&lt;&gt;"Y")),"",IF(IFERROR(INDEX(Lists!$K$2:$K$15,MATCH(D397,Lists!$J$2:$J$15,0)),-1)=-1,"status '"&amp;D397&amp;"' is not a CONTRACTS status",IF(AND(D397="signed",COUNTIF(signed_offices!$W$2:$W$51,C397)=0),"status signed but no signed_offices row"&amp;IF(F397="N"," and no tracker row",""),IF(AND(IFERROR(INDEX(Lists!$K$2:$K$15,MATCH(D397,Lists!$J$2:$J$15,0)),-1)&gt;=6,F397="N"),"status "&amp;D397&amp;" but no tracker row",IF(AND(E397="Y",D397&lt;&gt;"do_not_contact"),"do_not_contact = Y but status is "&amp;D397,IF(AND(D397="do_not_contact",E397&lt;&gt;"Y"),"status do_not_contact but do_not_contact is not Y",""))))))</f>
        <v/>
      </c>
      <c r="I397" s="23" t="n">
        <v>376</v>
      </c>
      <c r="J397" s="23" t="str">
        <f aca="false">IFERROR(INDEX(Clay_Brands!$A$2:$FZ$601,I397,$D$5)&amp;"","")</f>
        <v/>
      </c>
      <c r="K397" s="23" t="str">
        <f aca="false">IFERROR(INDEX(Clay_Brands!$A$2:$FZ$601,I397,$D$7)&amp;"","")</f>
        <v/>
      </c>
      <c r="L397" s="23" t="str">
        <f aca="false">IFERROR(INDEX(Clay_Brands!$A$2:$FZ$601,I397,$D$8)&amp;"","")</f>
        <v/>
      </c>
      <c r="M397" s="23" t="str">
        <f aca="false">IF(J397="","",IF(COUNTIF(Brand_Log!$A$2:$A$201,J397)&gt;0,"Y","N"))</f>
        <v/>
      </c>
      <c r="N397" s="34" t="str">
        <f aca="false">IF(OR(J397="",AND(LEFT(J397,6)="SAMPLE",Config!$B$19&lt;&gt;"Y")),"",IF(IFERROR(INDEX(Lists!$K$2:$K$15,MATCH(K397,Lists!$J$2:$J$15,0)),-1)=-1,"status '"&amp;K397&amp;"' is not a CONTRACTS status",IF(AND(K397="paid",COUNTIF(paid_brands!$AC$2:$AC$51,J397)=0),"status paid but no paid_brands row"&amp;IF(M397="N"," and no tracker row",""),IF(AND(IFERROR(INDEX(Lists!$K$2:$K$15,MATCH(K397,Lists!$J$2:$J$15,0)),-1)&gt;=6,M397="N"),"status "&amp;K397&amp;" but no tracker row",IF(AND(L397="Y",K397&lt;&gt;"do_not_contact"),"do_not_contact = Y but status is "&amp;K397,IF(AND(K397="do_not_contact",L397&lt;&gt;"Y"),"status do_not_contact but do_not_contact is not Y",""))))))</f>
        <v/>
      </c>
    </row>
    <row r="398" customFormat="false" ht="15" hidden="false" customHeight="false" outlineLevel="0" collapsed="false">
      <c r="B398" s="23" t="n">
        <v>377</v>
      </c>
      <c r="C398" s="23" t="str">
        <f aca="false">IFERROR(INDEX(Clay_Offices!$A$2:$FZ$601,B398,$C$5)&amp;"","")</f>
        <v/>
      </c>
      <c r="D398" s="23" t="str">
        <f aca="false">IFERROR(INDEX(Clay_Offices!$A$2:$FZ$601,B398,$C$7)&amp;"","")</f>
        <v/>
      </c>
      <c r="E398" s="23" t="str">
        <f aca="false">IFERROR(INDEX(Clay_Offices!$A$2:$FZ$601,B398,$C$8)&amp;"","")</f>
        <v/>
      </c>
      <c r="F398" s="23" t="str">
        <f aca="false">IF(C398="","",IF(COUNTIF(Office_Log!$A$2:$A$201,C398)&gt;0,"Y","N"))</f>
        <v/>
      </c>
      <c r="G398" s="34" t="str">
        <f aca="false">IF(OR(C398="",AND(LEFT(C398,6)="SAMPLE",Config!$B$19&lt;&gt;"Y")),"",IF(IFERROR(INDEX(Lists!$K$2:$K$15,MATCH(D398,Lists!$J$2:$J$15,0)),-1)=-1,"status '"&amp;D398&amp;"' is not a CONTRACTS status",IF(AND(D398="signed",COUNTIF(signed_offices!$W$2:$W$51,C398)=0),"status signed but no signed_offices row"&amp;IF(F398="N"," and no tracker row",""),IF(AND(IFERROR(INDEX(Lists!$K$2:$K$15,MATCH(D398,Lists!$J$2:$J$15,0)),-1)&gt;=6,F398="N"),"status "&amp;D398&amp;" but no tracker row",IF(AND(E398="Y",D398&lt;&gt;"do_not_contact"),"do_not_contact = Y but status is "&amp;D398,IF(AND(D398="do_not_contact",E398&lt;&gt;"Y"),"status do_not_contact but do_not_contact is not Y",""))))))</f>
        <v/>
      </c>
      <c r="I398" s="23" t="n">
        <v>377</v>
      </c>
      <c r="J398" s="23" t="str">
        <f aca="false">IFERROR(INDEX(Clay_Brands!$A$2:$FZ$601,I398,$D$5)&amp;"","")</f>
        <v/>
      </c>
      <c r="K398" s="23" t="str">
        <f aca="false">IFERROR(INDEX(Clay_Brands!$A$2:$FZ$601,I398,$D$7)&amp;"","")</f>
        <v/>
      </c>
      <c r="L398" s="23" t="str">
        <f aca="false">IFERROR(INDEX(Clay_Brands!$A$2:$FZ$601,I398,$D$8)&amp;"","")</f>
        <v/>
      </c>
      <c r="M398" s="23" t="str">
        <f aca="false">IF(J398="","",IF(COUNTIF(Brand_Log!$A$2:$A$201,J398)&gt;0,"Y","N"))</f>
        <v/>
      </c>
      <c r="N398" s="34" t="str">
        <f aca="false">IF(OR(J398="",AND(LEFT(J398,6)="SAMPLE",Config!$B$19&lt;&gt;"Y")),"",IF(IFERROR(INDEX(Lists!$K$2:$K$15,MATCH(K398,Lists!$J$2:$J$15,0)),-1)=-1,"status '"&amp;K398&amp;"' is not a CONTRACTS status",IF(AND(K398="paid",COUNTIF(paid_brands!$AC$2:$AC$51,J398)=0),"status paid but no paid_brands row"&amp;IF(M398="N"," and no tracker row",""),IF(AND(IFERROR(INDEX(Lists!$K$2:$K$15,MATCH(K398,Lists!$J$2:$J$15,0)),-1)&gt;=6,M398="N"),"status "&amp;K398&amp;" but no tracker row",IF(AND(L398="Y",K398&lt;&gt;"do_not_contact"),"do_not_contact = Y but status is "&amp;K398,IF(AND(K398="do_not_contact",L398&lt;&gt;"Y"),"status do_not_contact but do_not_contact is not Y",""))))))</f>
        <v/>
      </c>
    </row>
    <row r="399" customFormat="false" ht="15" hidden="false" customHeight="false" outlineLevel="0" collapsed="false">
      <c r="B399" s="23" t="n">
        <v>378</v>
      </c>
      <c r="C399" s="23" t="str">
        <f aca="false">IFERROR(INDEX(Clay_Offices!$A$2:$FZ$601,B399,$C$5)&amp;"","")</f>
        <v/>
      </c>
      <c r="D399" s="23" t="str">
        <f aca="false">IFERROR(INDEX(Clay_Offices!$A$2:$FZ$601,B399,$C$7)&amp;"","")</f>
        <v/>
      </c>
      <c r="E399" s="23" t="str">
        <f aca="false">IFERROR(INDEX(Clay_Offices!$A$2:$FZ$601,B399,$C$8)&amp;"","")</f>
        <v/>
      </c>
      <c r="F399" s="23" t="str">
        <f aca="false">IF(C399="","",IF(COUNTIF(Office_Log!$A$2:$A$201,C399)&gt;0,"Y","N"))</f>
        <v/>
      </c>
      <c r="G399" s="34" t="str">
        <f aca="false">IF(OR(C399="",AND(LEFT(C399,6)="SAMPLE",Config!$B$19&lt;&gt;"Y")),"",IF(IFERROR(INDEX(Lists!$K$2:$K$15,MATCH(D399,Lists!$J$2:$J$15,0)),-1)=-1,"status '"&amp;D399&amp;"' is not a CONTRACTS status",IF(AND(D399="signed",COUNTIF(signed_offices!$W$2:$W$51,C399)=0),"status signed but no signed_offices row"&amp;IF(F399="N"," and no tracker row",""),IF(AND(IFERROR(INDEX(Lists!$K$2:$K$15,MATCH(D399,Lists!$J$2:$J$15,0)),-1)&gt;=6,F399="N"),"status "&amp;D399&amp;" but no tracker row",IF(AND(E399="Y",D399&lt;&gt;"do_not_contact"),"do_not_contact = Y but status is "&amp;D399,IF(AND(D399="do_not_contact",E399&lt;&gt;"Y"),"status do_not_contact but do_not_contact is not Y",""))))))</f>
        <v/>
      </c>
      <c r="I399" s="23" t="n">
        <v>378</v>
      </c>
      <c r="J399" s="23" t="str">
        <f aca="false">IFERROR(INDEX(Clay_Brands!$A$2:$FZ$601,I399,$D$5)&amp;"","")</f>
        <v/>
      </c>
      <c r="K399" s="23" t="str">
        <f aca="false">IFERROR(INDEX(Clay_Brands!$A$2:$FZ$601,I399,$D$7)&amp;"","")</f>
        <v/>
      </c>
      <c r="L399" s="23" t="str">
        <f aca="false">IFERROR(INDEX(Clay_Brands!$A$2:$FZ$601,I399,$D$8)&amp;"","")</f>
        <v/>
      </c>
      <c r="M399" s="23" t="str">
        <f aca="false">IF(J399="","",IF(COUNTIF(Brand_Log!$A$2:$A$201,J399)&gt;0,"Y","N"))</f>
        <v/>
      </c>
      <c r="N399" s="34" t="str">
        <f aca="false">IF(OR(J399="",AND(LEFT(J399,6)="SAMPLE",Config!$B$19&lt;&gt;"Y")),"",IF(IFERROR(INDEX(Lists!$K$2:$K$15,MATCH(K399,Lists!$J$2:$J$15,0)),-1)=-1,"status '"&amp;K399&amp;"' is not a CONTRACTS status",IF(AND(K399="paid",COUNTIF(paid_brands!$AC$2:$AC$51,J399)=0),"status paid but no paid_brands row"&amp;IF(M399="N"," and no tracker row",""),IF(AND(IFERROR(INDEX(Lists!$K$2:$K$15,MATCH(K399,Lists!$J$2:$J$15,0)),-1)&gt;=6,M399="N"),"status "&amp;K399&amp;" but no tracker row",IF(AND(L399="Y",K399&lt;&gt;"do_not_contact"),"do_not_contact = Y but status is "&amp;K399,IF(AND(K399="do_not_contact",L399&lt;&gt;"Y"),"status do_not_contact but do_not_contact is not Y",""))))))</f>
        <v/>
      </c>
    </row>
    <row r="400" customFormat="false" ht="15" hidden="false" customHeight="false" outlineLevel="0" collapsed="false">
      <c r="B400" s="23" t="n">
        <v>379</v>
      </c>
      <c r="C400" s="23" t="str">
        <f aca="false">IFERROR(INDEX(Clay_Offices!$A$2:$FZ$601,B400,$C$5)&amp;"","")</f>
        <v/>
      </c>
      <c r="D400" s="23" t="str">
        <f aca="false">IFERROR(INDEX(Clay_Offices!$A$2:$FZ$601,B400,$C$7)&amp;"","")</f>
        <v/>
      </c>
      <c r="E400" s="23" t="str">
        <f aca="false">IFERROR(INDEX(Clay_Offices!$A$2:$FZ$601,B400,$C$8)&amp;"","")</f>
        <v/>
      </c>
      <c r="F400" s="23" t="str">
        <f aca="false">IF(C400="","",IF(COUNTIF(Office_Log!$A$2:$A$201,C400)&gt;0,"Y","N"))</f>
        <v/>
      </c>
      <c r="G400" s="34" t="str">
        <f aca="false">IF(OR(C400="",AND(LEFT(C400,6)="SAMPLE",Config!$B$19&lt;&gt;"Y")),"",IF(IFERROR(INDEX(Lists!$K$2:$K$15,MATCH(D400,Lists!$J$2:$J$15,0)),-1)=-1,"status '"&amp;D400&amp;"' is not a CONTRACTS status",IF(AND(D400="signed",COUNTIF(signed_offices!$W$2:$W$51,C400)=0),"status signed but no signed_offices row"&amp;IF(F400="N"," and no tracker row",""),IF(AND(IFERROR(INDEX(Lists!$K$2:$K$15,MATCH(D400,Lists!$J$2:$J$15,0)),-1)&gt;=6,F400="N"),"status "&amp;D400&amp;" but no tracker row",IF(AND(E400="Y",D400&lt;&gt;"do_not_contact"),"do_not_contact = Y but status is "&amp;D400,IF(AND(D400="do_not_contact",E400&lt;&gt;"Y"),"status do_not_contact but do_not_contact is not Y",""))))))</f>
        <v/>
      </c>
      <c r="I400" s="23" t="n">
        <v>379</v>
      </c>
      <c r="J400" s="23" t="str">
        <f aca="false">IFERROR(INDEX(Clay_Brands!$A$2:$FZ$601,I400,$D$5)&amp;"","")</f>
        <v/>
      </c>
      <c r="K400" s="23" t="str">
        <f aca="false">IFERROR(INDEX(Clay_Brands!$A$2:$FZ$601,I400,$D$7)&amp;"","")</f>
        <v/>
      </c>
      <c r="L400" s="23" t="str">
        <f aca="false">IFERROR(INDEX(Clay_Brands!$A$2:$FZ$601,I400,$D$8)&amp;"","")</f>
        <v/>
      </c>
      <c r="M400" s="23" t="str">
        <f aca="false">IF(J400="","",IF(COUNTIF(Brand_Log!$A$2:$A$201,J400)&gt;0,"Y","N"))</f>
        <v/>
      </c>
      <c r="N400" s="34" t="str">
        <f aca="false">IF(OR(J400="",AND(LEFT(J400,6)="SAMPLE",Config!$B$19&lt;&gt;"Y")),"",IF(IFERROR(INDEX(Lists!$K$2:$K$15,MATCH(K400,Lists!$J$2:$J$15,0)),-1)=-1,"status '"&amp;K400&amp;"' is not a CONTRACTS status",IF(AND(K400="paid",COUNTIF(paid_brands!$AC$2:$AC$51,J400)=0),"status paid but no paid_brands row"&amp;IF(M400="N"," and no tracker row",""),IF(AND(IFERROR(INDEX(Lists!$K$2:$K$15,MATCH(K400,Lists!$J$2:$J$15,0)),-1)&gt;=6,M400="N"),"status "&amp;K400&amp;" but no tracker row",IF(AND(L400="Y",K400&lt;&gt;"do_not_contact"),"do_not_contact = Y but status is "&amp;K400,IF(AND(K400="do_not_contact",L400&lt;&gt;"Y"),"status do_not_contact but do_not_contact is not Y",""))))))</f>
        <v/>
      </c>
    </row>
    <row r="401" customFormat="false" ht="15" hidden="false" customHeight="false" outlineLevel="0" collapsed="false">
      <c r="B401" s="23" t="n">
        <v>380</v>
      </c>
      <c r="C401" s="23" t="str">
        <f aca="false">IFERROR(INDEX(Clay_Offices!$A$2:$FZ$601,B401,$C$5)&amp;"","")</f>
        <v/>
      </c>
      <c r="D401" s="23" t="str">
        <f aca="false">IFERROR(INDEX(Clay_Offices!$A$2:$FZ$601,B401,$C$7)&amp;"","")</f>
        <v/>
      </c>
      <c r="E401" s="23" t="str">
        <f aca="false">IFERROR(INDEX(Clay_Offices!$A$2:$FZ$601,B401,$C$8)&amp;"","")</f>
        <v/>
      </c>
      <c r="F401" s="23" t="str">
        <f aca="false">IF(C401="","",IF(COUNTIF(Office_Log!$A$2:$A$201,C401)&gt;0,"Y","N"))</f>
        <v/>
      </c>
      <c r="G401" s="34" t="str">
        <f aca="false">IF(OR(C401="",AND(LEFT(C401,6)="SAMPLE",Config!$B$19&lt;&gt;"Y")),"",IF(IFERROR(INDEX(Lists!$K$2:$K$15,MATCH(D401,Lists!$J$2:$J$15,0)),-1)=-1,"status '"&amp;D401&amp;"' is not a CONTRACTS status",IF(AND(D401="signed",COUNTIF(signed_offices!$W$2:$W$51,C401)=0),"status signed but no signed_offices row"&amp;IF(F401="N"," and no tracker row",""),IF(AND(IFERROR(INDEX(Lists!$K$2:$K$15,MATCH(D401,Lists!$J$2:$J$15,0)),-1)&gt;=6,F401="N"),"status "&amp;D401&amp;" but no tracker row",IF(AND(E401="Y",D401&lt;&gt;"do_not_contact"),"do_not_contact = Y but status is "&amp;D401,IF(AND(D401="do_not_contact",E401&lt;&gt;"Y"),"status do_not_contact but do_not_contact is not Y",""))))))</f>
        <v/>
      </c>
      <c r="I401" s="23" t="n">
        <v>380</v>
      </c>
      <c r="J401" s="23" t="str">
        <f aca="false">IFERROR(INDEX(Clay_Brands!$A$2:$FZ$601,I401,$D$5)&amp;"","")</f>
        <v/>
      </c>
      <c r="K401" s="23" t="str">
        <f aca="false">IFERROR(INDEX(Clay_Brands!$A$2:$FZ$601,I401,$D$7)&amp;"","")</f>
        <v/>
      </c>
      <c r="L401" s="23" t="str">
        <f aca="false">IFERROR(INDEX(Clay_Brands!$A$2:$FZ$601,I401,$D$8)&amp;"","")</f>
        <v/>
      </c>
      <c r="M401" s="23" t="str">
        <f aca="false">IF(J401="","",IF(COUNTIF(Brand_Log!$A$2:$A$201,J401)&gt;0,"Y","N"))</f>
        <v/>
      </c>
      <c r="N401" s="34" t="str">
        <f aca="false">IF(OR(J401="",AND(LEFT(J401,6)="SAMPLE",Config!$B$19&lt;&gt;"Y")),"",IF(IFERROR(INDEX(Lists!$K$2:$K$15,MATCH(K401,Lists!$J$2:$J$15,0)),-1)=-1,"status '"&amp;K401&amp;"' is not a CONTRACTS status",IF(AND(K401="paid",COUNTIF(paid_brands!$AC$2:$AC$51,J401)=0),"status paid but no paid_brands row"&amp;IF(M401="N"," and no tracker row",""),IF(AND(IFERROR(INDEX(Lists!$K$2:$K$15,MATCH(K401,Lists!$J$2:$J$15,0)),-1)&gt;=6,M401="N"),"status "&amp;K401&amp;" but no tracker row",IF(AND(L401="Y",K401&lt;&gt;"do_not_contact"),"do_not_contact = Y but status is "&amp;K401,IF(AND(K401="do_not_contact",L401&lt;&gt;"Y"),"status do_not_contact but do_not_contact is not Y",""))))))</f>
        <v/>
      </c>
    </row>
    <row r="402" customFormat="false" ht="15" hidden="false" customHeight="false" outlineLevel="0" collapsed="false">
      <c r="B402" s="23" t="n">
        <v>381</v>
      </c>
      <c r="C402" s="23" t="str">
        <f aca="false">IFERROR(INDEX(Clay_Offices!$A$2:$FZ$601,B402,$C$5)&amp;"","")</f>
        <v/>
      </c>
      <c r="D402" s="23" t="str">
        <f aca="false">IFERROR(INDEX(Clay_Offices!$A$2:$FZ$601,B402,$C$7)&amp;"","")</f>
        <v/>
      </c>
      <c r="E402" s="23" t="str">
        <f aca="false">IFERROR(INDEX(Clay_Offices!$A$2:$FZ$601,B402,$C$8)&amp;"","")</f>
        <v/>
      </c>
      <c r="F402" s="23" t="str">
        <f aca="false">IF(C402="","",IF(COUNTIF(Office_Log!$A$2:$A$201,C402)&gt;0,"Y","N"))</f>
        <v/>
      </c>
      <c r="G402" s="34" t="str">
        <f aca="false">IF(OR(C402="",AND(LEFT(C402,6)="SAMPLE",Config!$B$19&lt;&gt;"Y")),"",IF(IFERROR(INDEX(Lists!$K$2:$K$15,MATCH(D402,Lists!$J$2:$J$15,0)),-1)=-1,"status '"&amp;D402&amp;"' is not a CONTRACTS status",IF(AND(D402="signed",COUNTIF(signed_offices!$W$2:$W$51,C402)=0),"status signed but no signed_offices row"&amp;IF(F402="N"," and no tracker row",""),IF(AND(IFERROR(INDEX(Lists!$K$2:$K$15,MATCH(D402,Lists!$J$2:$J$15,0)),-1)&gt;=6,F402="N"),"status "&amp;D402&amp;" but no tracker row",IF(AND(E402="Y",D402&lt;&gt;"do_not_contact"),"do_not_contact = Y but status is "&amp;D402,IF(AND(D402="do_not_contact",E402&lt;&gt;"Y"),"status do_not_contact but do_not_contact is not Y",""))))))</f>
        <v/>
      </c>
      <c r="I402" s="23" t="n">
        <v>381</v>
      </c>
      <c r="J402" s="23" t="str">
        <f aca="false">IFERROR(INDEX(Clay_Brands!$A$2:$FZ$601,I402,$D$5)&amp;"","")</f>
        <v/>
      </c>
      <c r="K402" s="23" t="str">
        <f aca="false">IFERROR(INDEX(Clay_Brands!$A$2:$FZ$601,I402,$D$7)&amp;"","")</f>
        <v/>
      </c>
      <c r="L402" s="23" t="str">
        <f aca="false">IFERROR(INDEX(Clay_Brands!$A$2:$FZ$601,I402,$D$8)&amp;"","")</f>
        <v/>
      </c>
      <c r="M402" s="23" t="str">
        <f aca="false">IF(J402="","",IF(COUNTIF(Brand_Log!$A$2:$A$201,J402)&gt;0,"Y","N"))</f>
        <v/>
      </c>
      <c r="N402" s="34" t="str">
        <f aca="false">IF(OR(J402="",AND(LEFT(J402,6)="SAMPLE",Config!$B$19&lt;&gt;"Y")),"",IF(IFERROR(INDEX(Lists!$K$2:$K$15,MATCH(K402,Lists!$J$2:$J$15,0)),-1)=-1,"status '"&amp;K402&amp;"' is not a CONTRACTS status",IF(AND(K402="paid",COUNTIF(paid_brands!$AC$2:$AC$51,J402)=0),"status paid but no paid_brands row"&amp;IF(M402="N"," and no tracker row",""),IF(AND(IFERROR(INDEX(Lists!$K$2:$K$15,MATCH(K402,Lists!$J$2:$J$15,0)),-1)&gt;=6,M402="N"),"status "&amp;K402&amp;" but no tracker row",IF(AND(L402="Y",K402&lt;&gt;"do_not_contact"),"do_not_contact = Y but status is "&amp;K402,IF(AND(K402="do_not_contact",L402&lt;&gt;"Y"),"status do_not_contact but do_not_contact is not Y",""))))))</f>
        <v/>
      </c>
    </row>
    <row r="403" customFormat="false" ht="15" hidden="false" customHeight="false" outlineLevel="0" collapsed="false">
      <c r="B403" s="23" t="n">
        <v>382</v>
      </c>
      <c r="C403" s="23" t="str">
        <f aca="false">IFERROR(INDEX(Clay_Offices!$A$2:$FZ$601,B403,$C$5)&amp;"","")</f>
        <v/>
      </c>
      <c r="D403" s="23" t="str">
        <f aca="false">IFERROR(INDEX(Clay_Offices!$A$2:$FZ$601,B403,$C$7)&amp;"","")</f>
        <v/>
      </c>
      <c r="E403" s="23" t="str">
        <f aca="false">IFERROR(INDEX(Clay_Offices!$A$2:$FZ$601,B403,$C$8)&amp;"","")</f>
        <v/>
      </c>
      <c r="F403" s="23" t="str">
        <f aca="false">IF(C403="","",IF(COUNTIF(Office_Log!$A$2:$A$201,C403)&gt;0,"Y","N"))</f>
        <v/>
      </c>
      <c r="G403" s="34" t="str">
        <f aca="false">IF(OR(C403="",AND(LEFT(C403,6)="SAMPLE",Config!$B$19&lt;&gt;"Y")),"",IF(IFERROR(INDEX(Lists!$K$2:$K$15,MATCH(D403,Lists!$J$2:$J$15,0)),-1)=-1,"status '"&amp;D403&amp;"' is not a CONTRACTS status",IF(AND(D403="signed",COUNTIF(signed_offices!$W$2:$W$51,C403)=0),"status signed but no signed_offices row"&amp;IF(F403="N"," and no tracker row",""),IF(AND(IFERROR(INDEX(Lists!$K$2:$K$15,MATCH(D403,Lists!$J$2:$J$15,0)),-1)&gt;=6,F403="N"),"status "&amp;D403&amp;" but no tracker row",IF(AND(E403="Y",D403&lt;&gt;"do_not_contact"),"do_not_contact = Y but status is "&amp;D403,IF(AND(D403="do_not_contact",E403&lt;&gt;"Y"),"status do_not_contact but do_not_contact is not Y",""))))))</f>
        <v/>
      </c>
      <c r="I403" s="23" t="n">
        <v>382</v>
      </c>
      <c r="J403" s="23" t="str">
        <f aca="false">IFERROR(INDEX(Clay_Brands!$A$2:$FZ$601,I403,$D$5)&amp;"","")</f>
        <v/>
      </c>
      <c r="K403" s="23" t="str">
        <f aca="false">IFERROR(INDEX(Clay_Brands!$A$2:$FZ$601,I403,$D$7)&amp;"","")</f>
        <v/>
      </c>
      <c r="L403" s="23" t="str">
        <f aca="false">IFERROR(INDEX(Clay_Brands!$A$2:$FZ$601,I403,$D$8)&amp;"","")</f>
        <v/>
      </c>
      <c r="M403" s="23" t="str">
        <f aca="false">IF(J403="","",IF(COUNTIF(Brand_Log!$A$2:$A$201,J403)&gt;0,"Y","N"))</f>
        <v/>
      </c>
      <c r="N403" s="34" t="str">
        <f aca="false">IF(OR(J403="",AND(LEFT(J403,6)="SAMPLE",Config!$B$19&lt;&gt;"Y")),"",IF(IFERROR(INDEX(Lists!$K$2:$K$15,MATCH(K403,Lists!$J$2:$J$15,0)),-1)=-1,"status '"&amp;K403&amp;"' is not a CONTRACTS status",IF(AND(K403="paid",COUNTIF(paid_brands!$AC$2:$AC$51,J403)=0),"status paid but no paid_brands row"&amp;IF(M403="N"," and no tracker row",""),IF(AND(IFERROR(INDEX(Lists!$K$2:$K$15,MATCH(K403,Lists!$J$2:$J$15,0)),-1)&gt;=6,M403="N"),"status "&amp;K403&amp;" but no tracker row",IF(AND(L403="Y",K403&lt;&gt;"do_not_contact"),"do_not_contact = Y but status is "&amp;K403,IF(AND(K403="do_not_contact",L403&lt;&gt;"Y"),"status do_not_contact but do_not_contact is not Y",""))))))</f>
        <v/>
      </c>
    </row>
    <row r="404" customFormat="false" ht="15" hidden="false" customHeight="false" outlineLevel="0" collapsed="false">
      <c r="B404" s="23" t="n">
        <v>383</v>
      </c>
      <c r="C404" s="23" t="str">
        <f aca="false">IFERROR(INDEX(Clay_Offices!$A$2:$FZ$601,B404,$C$5)&amp;"","")</f>
        <v/>
      </c>
      <c r="D404" s="23" t="str">
        <f aca="false">IFERROR(INDEX(Clay_Offices!$A$2:$FZ$601,B404,$C$7)&amp;"","")</f>
        <v/>
      </c>
      <c r="E404" s="23" t="str">
        <f aca="false">IFERROR(INDEX(Clay_Offices!$A$2:$FZ$601,B404,$C$8)&amp;"","")</f>
        <v/>
      </c>
      <c r="F404" s="23" t="str">
        <f aca="false">IF(C404="","",IF(COUNTIF(Office_Log!$A$2:$A$201,C404)&gt;0,"Y","N"))</f>
        <v/>
      </c>
      <c r="G404" s="34" t="str">
        <f aca="false">IF(OR(C404="",AND(LEFT(C404,6)="SAMPLE",Config!$B$19&lt;&gt;"Y")),"",IF(IFERROR(INDEX(Lists!$K$2:$K$15,MATCH(D404,Lists!$J$2:$J$15,0)),-1)=-1,"status '"&amp;D404&amp;"' is not a CONTRACTS status",IF(AND(D404="signed",COUNTIF(signed_offices!$W$2:$W$51,C404)=0),"status signed but no signed_offices row"&amp;IF(F404="N"," and no tracker row",""),IF(AND(IFERROR(INDEX(Lists!$K$2:$K$15,MATCH(D404,Lists!$J$2:$J$15,0)),-1)&gt;=6,F404="N"),"status "&amp;D404&amp;" but no tracker row",IF(AND(E404="Y",D404&lt;&gt;"do_not_contact"),"do_not_contact = Y but status is "&amp;D404,IF(AND(D404="do_not_contact",E404&lt;&gt;"Y"),"status do_not_contact but do_not_contact is not Y",""))))))</f>
        <v/>
      </c>
      <c r="I404" s="23" t="n">
        <v>383</v>
      </c>
      <c r="J404" s="23" t="str">
        <f aca="false">IFERROR(INDEX(Clay_Brands!$A$2:$FZ$601,I404,$D$5)&amp;"","")</f>
        <v/>
      </c>
      <c r="K404" s="23" t="str">
        <f aca="false">IFERROR(INDEX(Clay_Brands!$A$2:$FZ$601,I404,$D$7)&amp;"","")</f>
        <v/>
      </c>
      <c r="L404" s="23" t="str">
        <f aca="false">IFERROR(INDEX(Clay_Brands!$A$2:$FZ$601,I404,$D$8)&amp;"","")</f>
        <v/>
      </c>
      <c r="M404" s="23" t="str">
        <f aca="false">IF(J404="","",IF(COUNTIF(Brand_Log!$A$2:$A$201,J404)&gt;0,"Y","N"))</f>
        <v/>
      </c>
      <c r="N404" s="34" t="str">
        <f aca="false">IF(OR(J404="",AND(LEFT(J404,6)="SAMPLE",Config!$B$19&lt;&gt;"Y")),"",IF(IFERROR(INDEX(Lists!$K$2:$K$15,MATCH(K404,Lists!$J$2:$J$15,0)),-1)=-1,"status '"&amp;K404&amp;"' is not a CONTRACTS status",IF(AND(K404="paid",COUNTIF(paid_brands!$AC$2:$AC$51,J404)=0),"status paid but no paid_brands row"&amp;IF(M404="N"," and no tracker row",""),IF(AND(IFERROR(INDEX(Lists!$K$2:$K$15,MATCH(K404,Lists!$J$2:$J$15,0)),-1)&gt;=6,M404="N"),"status "&amp;K404&amp;" but no tracker row",IF(AND(L404="Y",K404&lt;&gt;"do_not_contact"),"do_not_contact = Y but status is "&amp;K404,IF(AND(K404="do_not_contact",L404&lt;&gt;"Y"),"status do_not_contact but do_not_contact is not Y",""))))))</f>
        <v/>
      </c>
    </row>
    <row r="405" customFormat="false" ht="15" hidden="false" customHeight="false" outlineLevel="0" collapsed="false">
      <c r="B405" s="23" t="n">
        <v>384</v>
      </c>
      <c r="C405" s="23" t="str">
        <f aca="false">IFERROR(INDEX(Clay_Offices!$A$2:$FZ$601,B405,$C$5)&amp;"","")</f>
        <v/>
      </c>
      <c r="D405" s="23" t="str">
        <f aca="false">IFERROR(INDEX(Clay_Offices!$A$2:$FZ$601,B405,$C$7)&amp;"","")</f>
        <v/>
      </c>
      <c r="E405" s="23" t="str">
        <f aca="false">IFERROR(INDEX(Clay_Offices!$A$2:$FZ$601,B405,$C$8)&amp;"","")</f>
        <v/>
      </c>
      <c r="F405" s="23" t="str">
        <f aca="false">IF(C405="","",IF(COUNTIF(Office_Log!$A$2:$A$201,C405)&gt;0,"Y","N"))</f>
        <v/>
      </c>
      <c r="G405" s="34" t="str">
        <f aca="false">IF(OR(C405="",AND(LEFT(C405,6)="SAMPLE",Config!$B$19&lt;&gt;"Y")),"",IF(IFERROR(INDEX(Lists!$K$2:$K$15,MATCH(D405,Lists!$J$2:$J$15,0)),-1)=-1,"status '"&amp;D405&amp;"' is not a CONTRACTS status",IF(AND(D405="signed",COUNTIF(signed_offices!$W$2:$W$51,C405)=0),"status signed but no signed_offices row"&amp;IF(F405="N"," and no tracker row",""),IF(AND(IFERROR(INDEX(Lists!$K$2:$K$15,MATCH(D405,Lists!$J$2:$J$15,0)),-1)&gt;=6,F405="N"),"status "&amp;D405&amp;" but no tracker row",IF(AND(E405="Y",D405&lt;&gt;"do_not_contact"),"do_not_contact = Y but status is "&amp;D405,IF(AND(D405="do_not_contact",E405&lt;&gt;"Y"),"status do_not_contact but do_not_contact is not Y",""))))))</f>
        <v/>
      </c>
      <c r="I405" s="23" t="n">
        <v>384</v>
      </c>
      <c r="J405" s="23" t="str">
        <f aca="false">IFERROR(INDEX(Clay_Brands!$A$2:$FZ$601,I405,$D$5)&amp;"","")</f>
        <v/>
      </c>
      <c r="K405" s="23" t="str">
        <f aca="false">IFERROR(INDEX(Clay_Brands!$A$2:$FZ$601,I405,$D$7)&amp;"","")</f>
        <v/>
      </c>
      <c r="L405" s="23" t="str">
        <f aca="false">IFERROR(INDEX(Clay_Brands!$A$2:$FZ$601,I405,$D$8)&amp;"","")</f>
        <v/>
      </c>
      <c r="M405" s="23" t="str">
        <f aca="false">IF(J405="","",IF(COUNTIF(Brand_Log!$A$2:$A$201,J405)&gt;0,"Y","N"))</f>
        <v/>
      </c>
      <c r="N405" s="34" t="str">
        <f aca="false">IF(OR(J405="",AND(LEFT(J405,6)="SAMPLE",Config!$B$19&lt;&gt;"Y")),"",IF(IFERROR(INDEX(Lists!$K$2:$K$15,MATCH(K405,Lists!$J$2:$J$15,0)),-1)=-1,"status '"&amp;K405&amp;"' is not a CONTRACTS status",IF(AND(K405="paid",COUNTIF(paid_brands!$AC$2:$AC$51,J405)=0),"status paid but no paid_brands row"&amp;IF(M405="N"," and no tracker row",""),IF(AND(IFERROR(INDEX(Lists!$K$2:$K$15,MATCH(K405,Lists!$J$2:$J$15,0)),-1)&gt;=6,M405="N"),"status "&amp;K405&amp;" but no tracker row",IF(AND(L405="Y",K405&lt;&gt;"do_not_contact"),"do_not_contact = Y but status is "&amp;K405,IF(AND(K405="do_not_contact",L405&lt;&gt;"Y"),"status do_not_contact but do_not_contact is not Y",""))))))</f>
        <v/>
      </c>
    </row>
    <row r="406" customFormat="false" ht="15" hidden="false" customHeight="false" outlineLevel="0" collapsed="false">
      <c r="B406" s="23" t="n">
        <v>385</v>
      </c>
      <c r="C406" s="23" t="str">
        <f aca="false">IFERROR(INDEX(Clay_Offices!$A$2:$FZ$601,B406,$C$5)&amp;"","")</f>
        <v/>
      </c>
      <c r="D406" s="23" t="str">
        <f aca="false">IFERROR(INDEX(Clay_Offices!$A$2:$FZ$601,B406,$C$7)&amp;"","")</f>
        <v/>
      </c>
      <c r="E406" s="23" t="str">
        <f aca="false">IFERROR(INDEX(Clay_Offices!$A$2:$FZ$601,B406,$C$8)&amp;"","")</f>
        <v/>
      </c>
      <c r="F406" s="23" t="str">
        <f aca="false">IF(C406="","",IF(COUNTIF(Office_Log!$A$2:$A$201,C406)&gt;0,"Y","N"))</f>
        <v/>
      </c>
      <c r="G406" s="34" t="str">
        <f aca="false">IF(OR(C406="",AND(LEFT(C406,6)="SAMPLE",Config!$B$19&lt;&gt;"Y")),"",IF(IFERROR(INDEX(Lists!$K$2:$K$15,MATCH(D406,Lists!$J$2:$J$15,0)),-1)=-1,"status '"&amp;D406&amp;"' is not a CONTRACTS status",IF(AND(D406="signed",COUNTIF(signed_offices!$W$2:$W$51,C406)=0),"status signed but no signed_offices row"&amp;IF(F406="N"," and no tracker row",""),IF(AND(IFERROR(INDEX(Lists!$K$2:$K$15,MATCH(D406,Lists!$J$2:$J$15,0)),-1)&gt;=6,F406="N"),"status "&amp;D406&amp;" but no tracker row",IF(AND(E406="Y",D406&lt;&gt;"do_not_contact"),"do_not_contact = Y but status is "&amp;D406,IF(AND(D406="do_not_contact",E406&lt;&gt;"Y"),"status do_not_contact but do_not_contact is not Y",""))))))</f>
        <v/>
      </c>
      <c r="I406" s="23" t="n">
        <v>385</v>
      </c>
      <c r="J406" s="23" t="str">
        <f aca="false">IFERROR(INDEX(Clay_Brands!$A$2:$FZ$601,I406,$D$5)&amp;"","")</f>
        <v/>
      </c>
      <c r="K406" s="23" t="str">
        <f aca="false">IFERROR(INDEX(Clay_Brands!$A$2:$FZ$601,I406,$D$7)&amp;"","")</f>
        <v/>
      </c>
      <c r="L406" s="23" t="str">
        <f aca="false">IFERROR(INDEX(Clay_Brands!$A$2:$FZ$601,I406,$D$8)&amp;"","")</f>
        <v/>
      </c>
      <c r="M406" s="23" t="str">
        <f aca="false">IF(J406="","",IF(COUNTIF(Brand_Log!$A$2:$A$201,J406)&gt;0,"Y","N"))</f>
        <v/>
      </c>
      <c r="N406" s="34" t="str">
        <f aca="false">IF(OR(J406="",AND(LEFT(J406,6)="SAMPLE",Config!$B$19&lt;&gt;"Y")),"",IF(IFERROR(INDEX(Lists!$K$2:$K$15,MATCH(K406,Lists!$J$2:$J$15,0)),-1)=-1,"status '"&amp;K406&amp;"' is not a CONTRACTS status",IF(AND(K406="paid",COUNTIF(paid_brands!$AC$2:$AC$51,J406)=0),"status paid but no paid_brands row"&amp;IF(M406="N"," and no tracker row",""),IF(AND(IFERROR(INDEX(Lists!$K$2:$K$15,MATCH(K406,Lists!$J$2:$J$15,0)),-1)&gt;=6,M406="N"),"status "&amp;K406&amp;" but no tracker row",IF(AND(L406="Y",K406&lt;&gt;"do_not_contact"),"do_not_contact = Y but status is "&amp;K406,IF(AND(K406="do_not_contact",L406&lt;&gt;"Y"),"status do_not_contact but do_not_contact is not Y",""))))))</f>
        <v/>
      </c>
    </row>
    <row r="407" customFormat="false" ht="15" hidden="false" customHeight="false" outlineLevel="0" collapsed="false">
      <c r="B407" s="23" t="n">
        <v>386</v>
      </c>
      <c r="C407" s="23" t="str">
        <f aca="false">IFERROR(INDEX(Clay_Offices!$A$2:$FZ$601,B407,$C$5)&amp;"","")</f>
        <v/>
      </c>
      <c r="D407" s="23" t="str">
        <f aca="false">IFERROR(INDEX(Clay_Offices!$A$2:$FZ$601,B407,$C$7)&amp;"","")</f>
        <v/>
      </c>
      <c r="E407" s="23" t="str">
        <f aca="false">IFERROR(INDEX(Clay_Offices!$A$2:$FZ$601,B407,$C$8)&amp;"","")</f>
        <v/>
      </c>
      <c r="F407" s="23" t="str">
        <f aca="false">IF(C407="","",IF(COUNTIF(Office_Log!$A$2:$A$201,C407)&gt;0,"Y","N"))</f>
        <v/>
      </c>
      <c r="G407" s="34" t="str">
        <f aca="false">IF(OR(C407="",AND(LEFT(C407,6)="SAMPLE",Config!$B$19&lt;&gt;"Y")),"",IF(IFERROR(INDEX(Lists!$K$2:$K$15,MATCH(D407,Lists!$J$2:$J$15,0)),-1)=-1,"status '"&amp;D407&amp;"' is not a CONTRACTS status",IF(AND(D407="signed",COUNTIF(signed_offices!$W$2:$W$51,C407)=0),"status signed but no signed_offices row"&amp;IF(F407="N"," and no tracker row",""),IF(AND(IFERROR(INDEX(Lists!$K$2:$K$15,MATCH(D407,Lists!$J$2:$J$15,0)),-1)&gt;=6,F407="N"),"status "&amp;D407&amp;" but no tracker row",IF(AND(E407="Y",D407&lt;&gt;"do_not_contact"),"do_not_contact = Y but status is "&amp;D407,IF(AND(D407="do_not_contact",E407&lt;&gt;"Y"),"status do_not_contact but do_not_contact is not Y",""))))))</f>
        <v/>
      </c>
      <c r="I407" s="23" t="n">
        <v>386</v>
      </c>
      <c r="J407" s="23" t="str">
        <f aca="false">IFERROR(INDEX(Clay_Brands!$A$2:$FZ$601,I407,$D$5)&amp;"","")</f>
        <v/>
      </c>
      <c r="K407" s="23" t="str">
        <f aca="false">IFERROR(INDEX(Clay_Brands!$A$2:$FZ$601,I407,$D$7)&amp;"","")</f>
        <v/>
      </c>
      <c r="L407" s="23" t="str">
        <f aca="false">IFERROR(INDEX(Clay_Brands!$A$2:$FZ$601,I407,$D$8)&amp;"","")</f>
        <v/>
      </c>
      <c r="M407" s="23" t="str">
        <f aca="false">IF(J407="","",IF(COUNTIF(Brand_Log!$A$2:$A$201,J407)&gt;0,"Y","N"))</f>
        <v/>
      </c>
      <c r="N407" s="34" t="str">
        <f aca="false">IF(OR(J407="",AND(LEFT(J407,6)="SAMPLE",Config!$B$19&lt;&gt;"Y")),"",IF(IFERROR(INDEX(Lists!$K$2:$K$15,MATCH(K407,Lists!$J$2:$J$15,0)),-1)=-1,"status '"&amp;K407&amp;"' is not a CONTRACTS status",IF(AND(K407="paid",COUNTIF(paid_brands!$AC$2:$AC$51,J407)=0),"status paid but no paid_brands row"&amp;IF(M407="N"," and no tracker row",""),IF(AND(IFERROR(INDEX(Lists!$K$2:$K$15,MATCH(K407,Lists!$J$2:$J$15,0)),-1)&gt;=6,M407="N"),"status "&amp;K407&amp;" but no tracker row",IF(AND(L407="Y",K407&lt;&gt;"do_not_contact"),"do_not_contact = Y but status is "&amp;K407,IF(AND(K407="do_not_contact",L407&lt;&gt;"Y"),"status do_not_contact but do_not_contact is not Y",""))))))</f>
        <v/>
      </c>
    </row>
    <row r="408" customFormat="false" ht="15" hidden="false" customHeight="false" outlineLevel="0" collapsed="false">
      <c r="B408" s="23" t="n">
        <v>387</v>
      </c>
      <c r="C408" s="23" t="str">
        <f aca="false">IFERROR(INDEX(Clay_Offices!$A$2:$FZ$601,B408,$C$5)&amp;"","")</f>
        <v/>
      </c>
      <c r="D408" s="23" t="str">
        <f aca="false">IFERROR(INDEX(Clay_Offices!$A$2:$FZ$601,B408,$C$7)&amp;"","")</f>
        <v/>
      </c>
      <c r="E408" s="23" t="str">
        <f aca="false">IFERROR(INDEX(Clay_Offices!$A$2:$FZ$601,B408,$C$8)&amp;"","")</f>
        <v/>
      </c>
      <c r="F408" s="23" t="str">
        <f aca="false">IF(C408="","",IF(COUNTIF(Office_Log!$A$2:$A$201,C408)&gt;0,"Y","N"))</f>
        <v/>
      </c>
      <c r="G408" s="34" t="str">
        <f aca="false">IF(OR(C408="",AND(LEFT(C408,6)="SAMPLE",Config!$B$19&lt;&gt;"Y")),"",IF(IFERROR(INDEX(Lists!$K$2:$K$15,MATCH(D408,Lists!$J$2:$J$15,0)),-1)=-1,"status '"&amp;D408&amp;"' is not a CONTRACTS status",IF(AND(D408="signed",COUNTIF(signed_offices!$W$2:$W$51,C408)=0),"status signed but no signed_offices row"&amp;IF(F408="N"," and no tracker row",""),IF(AND(IFERROR(INDEX(Lists!$K$2:$K$15,MATCH(D408,Lists!$J$2:$J$15,0)),-1)&gt;=6,F408="N"),"status "&amp;D408&amp;" but no tracker row",IF(AND(E408="Y",D408&lt;&gt;"do_not_contact"),"do_not_contact = Y but status is "&amp;D408,IF(AND(D408="do_not_contact",E408&lt;&gt;"Y"),"status do_not_contact but do_not_contact is not Y",""))))))</f>
        <v/>
      </c>
      <c r="I408" s="23" t="n">
        <v>387</v>
      </c>
      <c r="J408" s="23" t="str">
        <f aca="false">IFERROR(INDEX(Clay_Brands!$A$2:$FZ$601,I408,$D$5)&amp;"","")</f>
        <v/>
      </c>
      <c r="K408" s="23" t="str">
        <f aca="false">IFERROR(INDEX(Clay_Brands!$A$2:$FZ$601,I408,$D$7)&amp;"","")</f>
        <v/>
      </c>
      <c r="L408" s="23" t="str">
        <f aca="false">IFERROR(INDEX(Clay_Brands!$A$2:$FZ$601,I408,$D$8)&amp;"","")</f>
        <v/>
      </c>
      <c r="M408" s="23" t="str">
        <f aca="false">IF(J408="","",IF(COUNTIF(Brand_Log!$A$2:$A$201,J408)&gt;0,"Y","N"))</f>
        <v/>
      </c>
      <c r="N408" s="34" t="str">
        <f aca="false">IF(OR(J408="",AND(LEFT(J408,6)="SAMPLE",Config!$B$19&lt;&gt;"Y")),"",IF(IFERROR(INDEX(Lists!$K$2:$K$15,MATCH(K408,Lists!$J$2:$J$15,0)),-1)=-1,"status '"&amp;K408&amp;"' is not a CONTRACTS status",IF(AND(K408="paid",COUNTIF(paid_brands!$AC$2:$AC$51,J408)=0),"status paid but no paid_brands row"&amp;IF(M408="N"," and no tracker row",""),IF(AND(IFERROR(INDEX(Lists!$K$2:$K$15,MATCH(K408,Lists!$J$2:$J$15,0)),-1)&gt;=6,M408="N"),"status "&amp;K408&amp;" but no tracker row",IF(AND(L408="Y",K408&lt;&gt;"do_not_contact"),"do_not_contact = Y but status is "&amp;K408,IF(AND(K408="do_not_contact",L408&lt;&gt;"Y"),"status do_not_contact but do_not_contact is not Y",""))))))</f>
        <v/>
      </c>
    </row>
    <row r="409" customFormat="false" ht="15" hidden="false" customHeight="false" outlineLevel="0" collapsed="false">
      <c r="B409" s="23" t="n">
        <v>388</v>
      </c>
      <c r="C409" s="23" t="str">
        <f aca="false">IFERROR(INDEX(Clay_Offices!$A$2:$FZ$601,B409,$C$5)&amp;"","")</f>
        <v/>
      </c>
      <c r="D409" s="23" t="str">
        <f aca="false">IFERROR(INDEX(Clay_Offices!$A$2:$FZ$601,B409,$C$7)&amp;"","")</f>
        <v/>
      </c>
      <c r="E409" s="23" t="str">
        <f aca="false">IFERROR(INDEX(Clay_Offices!$A$2:$FZ$601,B409,$C$8)&amp;"","")</f>
        <v/>
      </c>
      <c r="F409" s="23" t="str">
        <f aca="false">IF(C409="","",IF(COUNTIF(Office_Log!$A$2:$A$201,C409)&gt;0,"Y","N"))</f>
        <v/>
      </c>
      <c r="G409" s="34" t="str">
        <f aca="false">IF(OR(C409="",AND(LEFT(C409,6)="SAMPLE",Config!$B$19&lt;&gt;"Y")),"",IF(IFERROR(INDEX(Lists!$K$2:$K$15,MATCH(D409,Lists!$J$2:$J$15,0)),-1)=-1,"status '"&amp;D409&amp;"' is not a CONTRACTS status",IF(AND(D409="signed",COUNTIF(signed_offices!$W$2:$W$51,C409)=0),"status signed but no signed_offices row"&amp;IF(F409="N"," and no tracker row",""),IF(AND(IFERROR(INDEX(Lists!$K$2:$K$15,MATCH(D409,Lists!$J$2:$J$15,0)),-1)&gt;=6,F409="N"),"status "&amp;D409&amp;" but no tracker row",IF(AND(E409="Y",D409&lt;&gt;"do_not_contact"),"do_not_contact = Y but status is "&amp;D409,IF(AND(D409="do_not_contact",E409&lt;&gt;"Y"),"status do_not_contact but do_not_contact is not Y",""))))))</f>
        <v/>
      </c>
      <c r="I409" s="23" t="n">
        <v>388</v>
      </c>
      <c r="J409" s="23" t="str">
        <f aca="false">IFERROR(INDEX(Clay_Brands!$A$2:$FZ$601,I409,$D$5)&amp;"","")</f>
        <v/>
      </c>
      <c r="K409" s="23" t="str">
        <f aca="false">IFERROR(INDEX(Clay_Brands!$A$2:$FZ$601,I409,$D$7)&amp;"","")</f>
        <v/>
      </c>
      <c r="L409" s="23" t="str">
        <f aca="false">IFERROR(INDEX(Clay_Brands!$A$2:$FZ$601,I409,$D$8)&amp;"","")</f>
        <v/>
      </c>
      <c r="M409" s="23" t="str">
        <f aca="false">IF(J409="","",IF(COUNTIF(Brand_Log!$A$2:$A$201,J409)&gt;0,"Y","N"))</f>
        <v/>
      </c>
      <c r="N409" s="34" t="str">
        <f aca="false">IF(OR(J409="",AND(LEFT(J409,6)="SAMPLE",Config!$B$19&lt;&gt;"Y")),"",IF(IFERROR(INDEX(Lists!$K$2:$K$15,MATCH(K409,Lists!$J$2:$J$15,0)),-1)=-1,"status '"&amp;K409&amp;"' is not a CONTRACTS status",IF(AND(K409="paid",COUNTIF(paid_brands!$AC$2:$AC$51,J409)=0),"status paid but no paid_brands row"&amp;IF(M409="N"," and no tracker row",""),IF(AND(IFERROR(INDEX(Lists!$K$2:$K$15,MATCH(K409,Lists!$J$2:$J$15,0)),-1)&gt;=6,M409="N"),"status "&amp;K409&amp;" but no tracker row",IF(AND(L409="Y",K409&lt;&gt;"do_not_contact"),"do_not_contact = Y but status is "&amp;K409,IF(AND(K409="do_not_contact",L409&lt;&gt;"Y"),"status do_not_contact but do_not_contact is not Y",""))))))</f>
        <v/>
      </c>
    </row>
    <row r="410" customFormat="false" ht="15" hidden="false" customHeight="false" outlineLevel="0" collapsed="false">
      <c r="B410" s="23" t="n">
        <v>389</v>
      </c>
      <c r="C410" s="23" t="str">
        <f aca="false">IFERROR(INDEX(Clay_Offices!$A$2:$FZ$601,B410,$C$5)&amp;"","")</f>
        <v/>
      </c>
      <c r="D410" s="23" t="str">
        <f aca="false">IFERROR(INDEX(Clay_Offices!$A$2:$FZ$601,B410,$C$7)&amp;"","")</f>
        <v/>
      </c>
      <c r="E410" s="23" t="str">
        <f aca="false">IFERROR(INDEX(Clay_Offices!$A$2:$FZ$601,B410,$C$8)&amp;"","")</f>
        <v/>
      </c>
      <c r="F410" s="23" t="str">
        <f aca="false">IF(C410="","",IF(COUNTIF(Office_Log!$A$2:$A$201,C410)&gt;0,"Y","N"))</f>
        <v/>
      </c>
      <c r="G410" s="34" t="str">
        <f aca="false">IF(OR(C410="",AND(LEFT(C410,6)="SAMPLE",Config!$B$19&lt;&gt;"Y")),"",IF(IFERROR(INDEX(Lists!$K$2:$K$15,MATCH(D410,Lists!$J$2:$J$15,0)),-1)=-1,"status '"&amp;D410&amp;"' is not a CONTRACTS status",IF(AND(D410="signed",COUNTIF(signed_offices!$W$2:$W$51,C410)=0),"status signed but no signed_offices row"&amp;IF(F410="N"," and no tracker row",""),IF(AND(IFERROR(INDEX(Lists!$K$2:$K$15,MATCH(D410,Lists!$J$2:$J$15,0)),-1)&gt;=6,F410="N"),"status "&amp;D410&amp;" but no tracker row",IF(AND(E410="Y",D410&lt;&gt;"do_not_contact"),"do_not_contact = Y but status is "&amp;D410,IF(AND(D410="do_not_contact",E410&lt;&gt;"Y"),"status do_not_contact but do_not_contact is not Y",""))))))</f>
        <v/>
      </c>
      <c r="I410" s="23" t="n">
        <v>389</v>
      </c>
      <c r="J410" s="23" t="str">
        <f aca="false">IFERROR(INDEX(Clay_Brands!$A$2:$FZ$601,I410,$D$5)&amp;"","")</f>
        <v/>
      </c>
      <c r="K410" s="23" t="str">
        <f aca="false">IFERROR(INDEX(Clay_Brands!$A$2:$FZ$601,I410,$D$7)&amp;"","")</f>
        <v/>
      </c>
      <c r="L410" s="23" t="str">
        <f aca="false">IFERROR(INDEX(Clay_Brands!$A$2:$FZ$601,I410,$D$8)&amp;"","")</f>
        <v/>
      </c>
      <c r="M410" s="23" t="str">
        <f aca="false">IF(J410="","",IF(COUNTIF(Brand_Log!$A$2:$A$201,J410)&gt;0,"Y","N"))</f>
        <v/>
      </c>
      <c r="N410" s="34" t="str">
        <f aca="false">IF(OR(J410="",AND(LEFT(J410,6)="SAMPLE",Config!$B$19&lt;&gt;"Y")),"",IF(IFERROR(INDEX(Lists!$K$2:$K$15,MATCH(K410,Lists!$J$2:$J$15,0)),-1)=-1,"status '"&amp;K410&amp;"' is not a CONTRACTS status",IF(AND(K410="paid",COUNTIF(paid_brands!$AC$2:$AC$51,J410)=0),"status paid but no paid_brands row"&amp;IF(M410="N"," and no tracker row",""),IF(AND(IFERROR(INDEX(Lists!$K$2:$K$15,MATCH(K410,Lists!$J$2:$J$15,0)),-1)&gt;=6,M410="N"),"status "&amp;K410&amp;" but no tracker row",IF(AND(L410="Y",K410&lt;&gt;"do_not_contact"),"do_not_contact = Y but status is "&amp;K410,IF(AND(K410="do_not_contact",L410&lt;&gt;"Y"),"status do_not_contact but do_not_contact is not Y",""))))))</f>
        <v/>
      </c>
    </row>
    <row r="411" customFormat="false" ht="15" hidden="false" customHeight="false" outlineLevel="0" collapsed="false">
      <c r="B411" s="23" t="n">
        <v>390</v>
      </c>
      <c r="C411" s="23" t="str">
        <f aca="false">IFERROR(INDEX(Clay_Offices!$A$2:$FZ$601,B411,$C$5)&amp;"","")</f>
        <v/>
      </c>
      <c r="D411" s="23" t="str">
        <f aca="false">IFERROR(INDEX(Clay_Offices!$A$2:$FZ$601,B411,$C$7)&amp;"","")</f>
        <v/>
      </c>
      <c r="E411" s="23" t="str">
        <f aca="false">IFERROR(INDEX(Clay_Offices!$A$2:$FZ$601,B411,$C$8)&amp;"","")</f>
        <v/>
      </c>
      <c r="F411" s="23" t="str">
        <f aca="false">IF(C411="","",IF(COUNTIF(Office_Log!$A$2:$A$201,C411)&gt;0,"Y","N"))</f>
        <v/>
      </c>
      <c r="G411" s="34" t="str">
        <f aca="false">IF(OR(C411="",AND(LEFT(C411,6)="SAMPLE",Config!$B$19&lt;&gt;"Y")),"",IF(IFERROR(INDEX(Lists!$K$2:$K$15,MATCH(D411,Lists!$J$2:$J$15,0)),-1)=-1,"status '"&amp;D411&amp;"' is not a CONTRACTS status",IF(AND(D411="signed",COUNTIF(signed_offices!$W$2:$W$51,C411)=0),"status signed but no signed_offices row"&amp;IF(F411="N"," and no tracker row",""),IF(AND(IFERROR(INDEX(Lists!$K$2:$K$15,MATCH(D411,Lists!$J$2:$J$15,0)),-1)&gt;=6,F411="N"),"status "&amp;D411&amp;" but no tracker row",IF(AND(E411="Y",D411&lt;&gt;"do_not_contact"),"do_not_contact = Y but status is "&amp;D411,IF(AND(D411="do_not_contact",E411&lt;&gt;"Y"),"status do_not_contact but do_not_contact is not Y",""))))))</f>
        <v/>
      </c>
      <c r="I411" s="23" t="n">
        <v>390</v>
      </c>
      <c r="J411" s="23" t="str">
        <f aca="false">IFERROR(INDEX(Clay_Brands!$A$2:$FZ$601,I411,$D$5)&amp;"","")</f>
        <v/>
      </c>
      <c r="K411" s="23" t="str">
        <f aca="false">IFERROR(INDEX(Clay_Brands!$A$2:$FZ$601,I411,$D$7)&amp;"","")</f>
        <v/>
      </c>
      <c r="L411" s="23" t="str">
        <f aca="false">IFERROR(INDEX(Clay_Brands!$A$2:$FZ$601,I411,$D$8)&amp;"","")</f>
        <v/>
      </c>
      <c r="M411" s="23" t="str">
        <f aca="false">IF(J411="","",IF(COUNTIF(Brand_Log!$A$2:$A$201,J411)&gt;0,"Y","N"))</f>
        <v/>
      </c>
      <c r="N411" s="34" t="str">
        <f aca="false">IF(OR(J411="",AND(LEFT(J411,6)="SAMPLE",Config!$B$19&lt;&gt;"Y")),"",IF(IFERROR(INDEX(Lists!$K$2:$K$15,MATCH(K411,Lists!$J$2:$J$15,0)),-1)=-1,"status '"&amp;K411&amp;"' is not a CONTRACTS status",IF(AND(K411="paid",COUNTIF(paid_brands!$AC$2:$AC$51,J411)=0),"status paid but no paid_brands row"&amp;IF(M411="N"," and no tracker row",""),IF(AND(IFERROR(INDEX(Lists!$K$2:$K$15,MATCH(K411,Lists!$J$2:$J$15,0)),-1)&gt;=6,M411="N"),"status "&amp;K411&amp;" but no tracker row",IF(AND(L411="Y",K411&lt;&gt;"do_not_contact"),"do_not_contact = Y but status is "&amp;K411,IF(AND(K411="do_not_contact",L411&lt;&gt;"Y"),"status do_not_contact but do_not_contact is not Y",""))))))</f>
        <v/>
      </c>
    </row>
    <row r="412" customFormat="false" ht="15" hidden="false" customHeight="false" outlineLevel="0" collapsed="false">
      <c r="B412" s="23" t="n">
        <v>391</v>
      </c>
      <c r="C412" s="23" t="str">
        <f aca="false">IFERROR(INDEX(Clay_Offices!$A$2:$FZ$601,B412,$C$5)&amp;"","")</f>
        <v/>
      </c>
      <c r="D412" s="23" t="str">
        <f aca="false">IFERROR(INDEX(Clay_Offices!$A$2:$FZ$601,B412,$C$7)&amp;"","")</f>
        <v/>
      </c>
      <c r="E412" s="23" t="str">
        <f aca="false">IFERROR(INDEX(Clay_Offices!$A$2:$FZ$601,B412,$C$8)&amp;"","")</f>
        <v/>
      </c>
      <c r="F412" s="23" t="str">
        <f aca="false">IF(C412="","",IF(COUNTIF(Office_Log!$A$2:$A$201,C412)&gt;0,"Y","N"))</f>
        <v/>
      </c>
      <c r="G412" s="34" t="str">
        <f aca="false">IF(OR(C412="",AND(LEFT(C412,6)="SAMPLE",Config!$B$19&lt;&gt;"Y")),"",IF(IFERROR(INDEX(Lists!$K$2:$K$15,MATCH(D412,Lists!$J$2:$J$15,0)),-1)=-1,"status '"&amp;D412&amp;"' is not a CONTRACTS status",IF(AND(D412="signed",COUNTIF(signed_offices!$W$2:$W$51,C412)=0),"status signed but no signed_offices row"&amp;IF(F412="N"," and no tracker row",""),IF(AND(IFERROR(INDEX(Lists!$K$2:$K$15,MATCH(D412,Lists!$J$2:$J$15,0)),-1)&gt;=6,F412="N"),"status "&amp;D412&amp;" but no tracker row",IF(AND(E412="Y",D412&lt;&gt;"do_not_contact"),"do_not_contact = Y but status is "&amp;D412,IF(AND(D412="do_not_contact",E412&lt;&gt;"Y"),"status do_not_contact but do_not_contact is not Y",""))))))</f>
        <v/>
      </c>
      <c r="I412" s="23" t="n">
        <v>391</v>
      </c>
      <c r="J412" s="23" t="str">
        <f aca="false">IFERROR(INDEX(Clay_Brands!$A$2:$FZ$601,I412,$D$5)&amp;"","")</f>
        <v/>
      </c>
      <c r="K412" s="23" t="str">
        <f aca="false">IFERROR(INDEX(Clay_Brands!$A$2:$FZ$601,I412,$D$7)&amp;"","")</f>
        <v/>
      </c>
      <c r="L412" s="23" t="str">
        <f aca="false">IFERROR(INDEX(Clay_Brands!$A$2:$FZ$601,I412,$D$8)&amp;"","")</f>
        <v/>
      </c>
      <c r="M412" s="23" t="str">
        <f aca="false">IF(J412="","",IF(COUNTIF(Brand_Log!$A$2:$A$201,J412)&gt;0,"Y","N"))</f>
        <v/>
      </c>
      <c r="N412" s="34" t="str">
        <f aca="false">IF(OR(J412="",AND(LEFT(J412,6)="SAMPLE",Config!$B$19&lt;&gt;"Y")),"",IF(IFERROR(INDEX(Lists!$K$2:$K$15,MATCH(K412,Lists!$J$2:$J$15,0)),-1)=-1,"status '"&amp;K412&amp;"' is not a CONTRACTS status",IF(AND(K412="paid",COUNTIF(paid_brands!$AC$2:$AC$51,J412)=0),"status paid but no paid_brands row"&amp;IF(M412="N"," and no tracker row",""),IF(AND(IFERROR(INDEX(Lists!$K$2:$K$15,MATCH(K412,Lists!$J$2:$J$15,0)),-1)&gt;=6,M412="N"),"status "&amp;K412&amp;" but no tracker row",IF(AND(L412="Y",K412&lt;&gt;"do_not_contact"),"do_not_contact = Y but status is "&amp;K412,IF(AND(K412="do_not_contact",L412&lt;&gt;"Y"),"status do_not_contact but do_not_contact is not Y",""))))))</f>
        <v/>
      </c>
    </row>
    <row r="413" customFormat="false" ht="15" hidden="false" customHeight="false" outlineLevel="0" collapsed="false">
      <c r="B413" s="23" t="n">
        <v>392</v>
      </c>
      <c r="C413" s="23" t="str">
        <f aca="false">IFERROR(INDEX(Clay_Offices!$A$2:$FZ$601,B413,$C$5)&amp;"","")</f>
        <v/>
      </c>
      <c r="D413" s="23" t="str">
        <f aca="false">IFERROR(INDEX(Clay_Offices!$A$2:$FZ$601,B413,$C$7)&amp;"","")</f>
        <v/>
      </c>
      <c r="E413" s="23" t="str">
        <f aca="false">IFERROR(INDEX(Clay_Offices!$A$2:$FZ$601,B413,$C$8)&amp;"","")</f>
        <v/>
      </c>
      <c r="F413" s="23" t="str">
        <f aca="false">IF(C413="","",IF(COUNTIF(Office_Log!$A$2:$A$201,C413)&gt;0,"Y","N"))</f>
        <v/>
      </c>
      <c r="G413" s="34" t="str">
        <f aca="false">IF(OR(C413="",AND(LEFT(C413,6)="SAMPLE",Config!$B$19&lt;&gt;"Y")),"",IF(IFERROR(INDEX(Lists!$K$2:$K$15,MATCH(D413,Lists!$J$2:$J$15,0)),-1)=-1,"status '"&amp;D413&amp;"' is not a CONTRACTS status",IF(AND(D413="signed",COUNTIF(signed_offices!$W$2:$W$51,C413)=0),"status signed but no signed_offices row"&amp;IF(F413="N"," and no tracker row",""),IF(AND(IFERROR(INDEX(Lists!$K$2:$K$15,MATCH(D413,Lists!$J$2:$J$15,0)),-1)&gt;=6,F413="N"),"status "&amp;D413&amp;" but no tracker row",IF(AND(E413="Y",D413&lt;&gt;"do_not_contact"),"do_not_contact = Y but status is "&amp;D413,IF(AND(D413="do_not_contact",E413&lt;&gt;"Y"),"status do_not_contact but do_not_contact is not Y",""))))))</f>
        <v/>
      </c>
      <c r="I413" s="23" t="n">
        <v>392</v>
      </c>
      <c r="J413" s="23" t="str">
        <f aca="false">IFERROR(INDEX(Clay_Brands!$A$2:$FZ$601,I413,$D$5)&amp;"","")</f>
        <v/>
      </c>
      <c r="K413" s="23" t="str">
        <f aca="false">IFERROR(INDEX(Clay_Brands!$A$2:$FZ$601,I413,$D$7)&amp;"","")</f>
        <v/>
      </c>
      <c r="L413" s="23" t="str">
        <f aca="false">IFERROR(INDEX(Clay_Brands!$A$2:$FZ$601,I413,$D$8)&amp;"","")</f>
        <v/>
      </c>
      <c r="M413" s="23" t="str">
        <f aca="false">IF(J413="","",IF(COUNTIF(Brand_Log!$A$2:$A$201,J413)&gt;0,"Y","N"))</f>
        <v/>
      </c>
      <c r="N413" s="34" t="str">
        <f aca="false">IF(OR(J413="",AND(LEFT(J413,6)="SAMPLE",Config!$B$19&lt;&gt;"Y")),"",IF(IFERROR(INDEX(Lists!$K$2:$K$15,MATCH(K413,Lists!$J$2:$J$15,0)),-1)=-1,"status '"&amp;K413&amp;"' is not a CONTRACTS status",IF(AND(K413="paid",COUNTIF(paid_brands!$AC$2:$AC$51,J413)=0),"status paid but no paid_brands row"&amp;IF(M413="N"," and no tracker row",""),IF(AND(IFERROR(INDEX(Lists!$K$2:$K$15,MATCH(K413,Lists!$J$2:$J$15,0)),-1)&gt;=6,M413="N"),"status "&amp;K413&amp;" but no tracker row",IF(AND(L413="Y",K413&lt;&gt;"do_not_contact"),"do_not_contact = Y but status is "&amp;K413,IF(AND(K413="do_not_contact",L413&lt;&gt;"Y"),"status do_not_contact but do_not_contact is not Y",""))))))</f>
        <v/>
      </c>
    </row>
    <row r="414" customFormat="false" ht="15" hidden="false" customHeight="false" outlineLevel="0" collapsed="false">
      <c r="B414" s="23" t="n">
        <v>393</v>
      </c>
      <c r="C414" s="23" t="str">
        <f aca="false">IFERROR(INDEX(Clay_Offices!$A$2:$FZ$601,B414,$C$5)&amp;"","")</f>
        <v/>
      </c>
      <c r="D414" s="23" t="str">
        <f aca="false">IFERROR(INDEX(Clay_Offices!$A$2:$FZ$601,B414,$C$7)&amp;"","")</f>
        <v/>
      </c>
      <c r="E414" s="23" t="str">
        <f aca="false">IFERROR(INDEX(Clay_Offices!$A$2:$FZ$601,B414,$C$8)&amp;"","")</f>
        <v/>
      </c>
      <c r="F414" s="23" t="str">
        <f aca="false">IF(C414="","",IF(COUNTIF(Office_Log!$A$2:$A$201,C414)&gt;0,"Y","N"))</f>
        <v/>
      </c>
      <c r="G414" s="34" t="str">
        <f aca="false">IF(OR(C414="",AND(LEFT(C414,6)="SAMPLE",Config!$B$19&lt;&gt;"Y")),"",IF(IFERROR(INDEX(Lists!$K$2:$K$15,MATCH(D414,Lists!$J$2:$J$15,0)),-1)=-1,"status '"&amp;D414&amp;"' is not a CONTRACTS status",IF(AND(D414="signed",COUNTIF(signed_offices!$W$2:$W$51,C414)=0),"status signed but no signed_offices row"&amp;IF(F414="N"," and no tracker row",""),IF(AND(IFERROR(INDEX(Lists!$K$2:$K$15,MATCH(D414,Lists!$J$2:$J$15,0)),-1)&gt;=6,F414="N"),"status "&amp;D414&amp;" but no tracker row",IF(AND(E414="Y",D414&lt;&gt;"do_not_contact"),"do_not_contact = Y but status is "&amp;D414,IF(AND(D414="do_not_contact",E414&lt;&gt;"Y"),"status do_not_contact but do_not_contact is not Y",""))))))</f>
        <v/>
      </c>
      <c r="I414" s="23" t="n">
        <v>393</v>
      </c>
      <c r="J414" s="23" t="str">
        <f aca="false">IFERROR(INDEX(Clay_Brands!$A$2:$FZ$601,I414,$D$5)&amp;"","")</f>
        <v/>
      </c>
      <c r="K414" s="23" t="str">
        <f aca="false">IFERROR(INDEX(Clay_Brands!$A$2:$FZ$601,I414,$D$7)&amp;"","")</f>
        <v/>
      </c>
      <c r="L414" s="23" t="str">
        <f aca="false">IFERROR(INDEX(Clay_Brands!$A$2:$FZ$601,I414,$D$8)&amp;"","")</f>
        <v/>
      </c>
      <c r="M414" s="23" t="str">
        <f aca="false">IF(J414="","",IF(COUNTIF(Brand_Log!$A$2:$A$201,J414)&gt;0,"Y","N"))</f>
        <v/>
      </c>
      <c r="N414" s="34" t="str">
        <f aca="false">IF(OR(J414="",AND(LEFT(J414,6)="SAMPLE",Config!$B$19&lt;&gt;"Y")),"",IF(IFERROR(INDEX(Lists!$K$2:$K$15,MATCH(K414,Lists!$J$2:$J$15,0)),-1)=-1,"status '"&amp;K414&amp;"' is not a CONTRACTS status",IF(AND(K414="paid",COUNTIF(paid_brands!$AC$2:$AC$51,J414)=0),"status paid but no paid_brands row"&amp;IF(M414="N"," and no tracker row",""),IF(AND(IFERROR(INDEX(Lists!$K$2:$K$15,MATCH(K414,Lists!$J$2:$J$15,0)),-1)&gt;=6,M414="N"),"status "&amp;K414&amp;" but no tracker row",IF(AND(L414="Y",K414&lt;&gt;"do_not_contact"),"do_not_contact = Y but status is "&amp;K414,IF(AND(K414="do_not_contact",L414&lt;&gt;"Y"),"status do_not_contact but do_not_contact is not Y",""))))))</f>
        <v/>
      </c>
    </row>
    <row r="415" customFormat="false" ht="15" hidden="false" customHeight="false" outlineLevel="0" collapsed="false">
      <c r="B415" s="23" t="n">
        <v>394</v>
      </c>
      <c r="C415" s="23" t="str">
        <f aca="false">IFERROR(INDEX(Clay_Offices!$A$2:$FZ$601,B415,$C$5)&amp;"","")</f>
        <v/>
      </c>
      <c r="D415" s="23" t="str">
        <f aca="false">IFERROR(INDEX(Clay_Offices!$A$2:$FZ$601,B415,$C$7)&amp;"","")</f>
        <v/>
      </c>
      <c r="E415" s="23" t="str">
        <f aca="false">IFERROR(INDEX(Clay_Offices!$A$2:$FZ$601,B415,$C$8)&amp;"","")</f>
        <v/>
      </c>
      <c r="F415" s="23" t="str">
        <f aca="false">IF(C415="","",IF(COUNTIF(Office_Log!$A$2:$A$201,C415)&gt;0,"Y","N"))</f>
        <v/>
      </c>
      <c r="G415" s="34" t="str">
        <f aca="false">IF(OR(C415="",AND(LEFT(C415,6)="SAMPLE",Config!$B$19&lt;&gt;"Y")),"",IF(IFERROR(INDEX(Lists!$K$2:$K$15,MATCH(D415,Lists!$J$2:$J$15,0)),-1)=-1,"status '"&amp;D415&amp;"' is not a CONTRACTS status",IF(AND(D415="signed",COUNTIF(signed_offices!$W$2:$W$51,C415)=0),"status signed but no signed_offices row"&amp;IF(F415="N"," and no tracker row",""),IF(AND(IFERROR(INDEX(Lists!$K$2:$K$15,MATCH(D415,Lists!$J$2:$J$15,0)),-1)&gt;=6,F415="N"),"status "&amp;D415&amp;" but no tracker row",IF(AND(E415="Y",D415&lt;&gt;"do_not_contact"),"do_not_contact = Y but status is "&amp;D415,IF(AND(D415="do_not_contact",E415&lt;&gt;"Y"),"status do_not_contact but do_not_contact is not Y",""))))))</f>
        <v/>
      </c>
      <c r="I415" s="23" t="n">
        <v>394</v>
      </c>
      <c r="J415" s="23" t="str">
        <f aca="false">IFERROR(INDEX(Clay_Brands!$A$2:$FZ$601,I415,$D$5)&amp;"","")</f>
        <v/>
      </c>
      <c r="K415" s="23" t="str">
        <f aca="false">IFERROR(INDEX(Clay_Brands!$A$2:$FZ$601,I415,$D$7)&amp;"","")</f>
        <v/>
      </c>
      <c r="L415" s="23" t="str">
        <f aca="false">IFERROR(INDEX(Clay_Brands!$A$2:$FZ$601,I415,$D$8)&amp;"","")</f>
        <v/>
      </c>
      <c r="M415" s="23" t="str">
        <f aca="false">IF(J415="","",IF(COUNTIF(Brand_Log!$A$2:$A$201,J415)&gt;0,"Y","N"))</f>
        <v/>
      </c>
      <c r="N415" s="34" t="str">
        <f aca="false">IF(OR(J415="",AND(LEFT(J415,6)="SAMPLE",Config!$B$19&lt;&gt;"Y")),"",IF(IFERROR(INDEX(Lists!$K$2:$K$15,MATCH(K415,Lists!$J$2:$J$15,0)),-1)=-1,"status '"&amp;K415&amp;"' is not a CONTRACTS status",IF(AND(K415="paid",COUNTIF(paid_brands!$AC$2:$AC$51,J415)=0),"status paid but no paid_brands row"&amp;IF(M415="N"," and no tracker row",""),IF(AND(IFERROR(INDEX(Lists!$K$2:$K$15,MATCH(K415,Lists!$J$2:$J$15,0)),-1)&gt;=6,M415="N"),"status "&amp;K415&amp;" but no tracker row",IF(AND(L415="Y",K415&lt;&gt;"do_not_contact"),"do_not_contact = Y but status is "&amp;K415,IF(AND(K415="do_not_contact",L415&lt;&gt;"Y"),"status do_not_contact but do_not_contact is not Y",""))))))</f>
        <v/>
      </c>
    </row>
    <row r="416" customFormat="false" ht="15" hidden="false" customHeight="false" outlineLevel="0" collapsed="false">
      <c r="B416" s="23" t="n">
        <v>395</v>
      </c>
      <c r="C416" s="23" t="str">
        <f aca="false">IFERROR(INDEX(Clay_Offices!$A$2:$FZ$601,B416,$C$5)&amp;"","")</f>
        <v/>
      </c>
      <c r="D416" s="23" t="str">
        <f aca="false">IFERROR(INDEX(Clay_Offices!$A$2:$FZ$601,B416,$C$7)&amp;"","")</f>
        <v/>
      </c>
      <c r="E416" s="23" t="str">
        <f aca="false">IFERROR(INDEX(Clay_Offices!$A$2:$FZ$601,B416,$C$8)&amp;"","")</f>
        <v/>
      </c>
      <c r="F416" s="23" t="str">
        <f aca="false">IF(C416="","",IF(COUNTIF(Office_Log!$A$2:$A$201,C416)&gt;0,"Y","N"))</f>
        <v/>
      </c>
      <c r="G416" s="34" t="str">
        <f aca="false">IF(OR(C416="",AND(LEFT(C416,6)="SAMPLE",Config!$B$19&lt;&gt;"Y")),"",IF(IFERROR(INDEX(Lists!$K$2:$K$15,MATCH(D416,Lists!$J$2:$J$15,0)),-1)=-1,"status '"&amp;D416&amp;"' is not a CONTRACTS status",IF(AND(D416="signed",COUNTIF(signed_offices!$W$2:$W$51,C416)=0),"status signed but no signed_offices row"&amp;IF(F416="N"," and no tracker row",""),IF(AND(IFERROR(INDEX(Lists!$K$2:$K$15,MATCH(D416,Lists!$J$2:$J$15,0)),-1)&gt;=6,F416="N"),"status "&amp;D416&amp;" but no tracker row",IF(AND(E416="Y",D416&lt;&gt;"do_not_contact"),"do_not_contact = Y but status is "&amp;D416,IF(AND(D416="do_not_contact",E416&lt;&gt;"Y"),"status do_not_contact but do_not_contact is not Y",""))))))</f>
        <v/>
      </c>
      <c r="I416" s="23" t="n">
        <v>395</v>
      </c>
      <c r="J416" s="23" t="str">
        <f aca="false">IFERROR(INDEX(Clay_Brands!$A$2:$FZ$601,I416,$D$5)&amp;"","")</f>
        <v/>
      </c>
      <c r="K416" s="23" t="str">
        <f aca="false">IFERROR(INDEX(Clay_Brands!$A$2:$FZ$601,I416,$D$7)&amp;"","")</f>
        <v/>
      </c>
      <c r="L416" s="23" t="str">
        <f aca="false">IFERROR(INDEX(Clay_Brands!$A$2:$FZ$601,I416,$D$8)&amp;"","")</f>
        <v/>
      </c>
      <c r="M416" s="23" t="str">
        <f aca="false">IF(J416="","",IF(COUNTIF(Brand_Log!$A$2:$A$201,J416)&gt;0,"Y","N"))</f>
        <v/>
      </c>
      <c r="N416" s="34" t="str">
        <f aca="false">IF(OR(J416="",AND(LEFT(J416,6)="SAMPLE",Config!$B$19&lt;&gt;"Y")),"",IF(IFERROR(INDEX(Lists!$K$2:$K$15,MATCH(K416,Lists!$J$2:$J$15,0)),-1)=-1,"status '"&amp;K416&amp;"' is not a CONTRACTS status",IF(AND(K416="paid",COUNTIF(paid_brands!$AC$2:$AC$51,J416)=0),"status paid but no paid_brands row"&amp;IF(M416="N"," and no tracker row",""),IF(AND(IFERROR(INDEX(Lists!$K$2:$K$15,MATCH(K416,Lists!$J$2:$J$15,0)),-1)&gt;=6,M416="N"),"status "&amp;K416&amp;" but no tracker row",IF(AND(L416="Y",K416&lt;&gt;"do_not_contact"),"do_not_contact = Y but status is "&amp;K416,IF(AND(K416="do_not_contact",L416&lt;&gt;"Y"),"status do_not_contact but do_not_contact is not Y",""))))))</f>
        <v/>
      </c>
    </row>
    <row r="417" customFormat="false" ht="15" hidden="false" customHeight="false" outlineLevel="0" collapsed="false">
      <c r="B417" s="23" t="n">
        <v>396</v>
      </c>
      <c r="C417" s="23" t="str">
        <f aca="false">IFERROR(INDEX(Clay_Offices!$A$2:$FZ$601,B417,$C$5)&amp;"","")</f>
        <v/>
      </c>
      <c r="D417" s="23" t="str">
        <f aca="false">IFERROR(INDEX(Clay_Offices!$A$2:$FZ$601,B417,$C$7)&amp;"","")</f>
        <v/>
      </c>
      <c r="E417" s="23" t="str">
        <f aca="false">IFERROR(INDEX(Clay_Offices!$A$2:$FZ$601,B417,$C$8)&amp;"","")</f>
        <v/>
      </c>
      <c r="F417" s="23" t="str">
        <f aca="false">IF(C417="","",IF(COUNTIF(Office_Log!$A$2:$A$201,C417)&gt;0,"Y","N"))</f>
        <v/>
      </c>
      <c r="G417" s="34" t="str">
        <f aca="false">IF(OR(C417="",AND(LEFT(C417,6)="SAMPLE",Config!$B$19&lt;&gt;"Y")),"",IF(IFERROR(INDEX(Lists!$K$2:$K$15,MATCH(D417,Lists!$J$2:$J$15,0)),-1)=-1,"status '"&amp;D417&amp;"' is not a CONTRACTS status",IF(AND(D417="signed",COUNTIF(signed_offices!$W$2:$W$51,C417)=0),"status signed but no signed_offices row"&amp;IF(F417="N"," and no tracker row",""),IF(AND(IFERROR(INDEX(Lists!$K$2:$K$15,MATCH(D417,Lists!$J$2:$J$15,0)),-1)&gt;=6,F417="N"),"status "&amp;D417&amp;" but no tracker row",IF(AND(E417="Y",D417&lt;&gt;"do_not_contact"),"do_not_contact = Y but status is "&amp;D417,IF(AND(D417="do_not_contact",E417&lt;&gt;"Y"),"status do_not_contact but do_not_contact is not Y",""))))))</f>
        <v/>
      </c>
      <c r="I417" s="23" t="n">
        <v>396</v>
      </c>
      <c r="J417" s="23" t="str">
        <f aca="false">IFERROR(INDEX(Clay_Brands!$A$2:$FZ$601,I417,$D$5)&amp;"","")</f>
        <v/>
      </c>
      <c r="K417" s="23" t="str">
        <f aca="false">IFERROR(INDEX(Clay_Brands!$A$2:$FZ$601,I417,$D$7)&amp;"","")</f>
        <v/>
      </c>
      <c r="L417" s="23" t="str">
        <f aca="false">IFERROR(INDEX(Clay_Brands!$A$2:$FZ$601,I417,$D$8)&amp;"","")</f>
        <v/>
      </c>
      <c r="M417" s="23" t="str">
        <f aca="false">IF(J417="","",IF(COUNTIF(Brand_Log!$A$2:$A$201,J417)&gt;0,"Y","N"))</f>
        <v/>
      </c>
      <c r="N417" s="34" t="str">
        <f aca="false">IF(OR(J417="",AND(LEFT(J417,6)="SAMPLE",Config!$B$19&lt;&gt;"Y")),"",IF(IFERROR(INDEX(Lists!$K$2:$K$15,MATCH(K417,Lists!$J$2:$J$15,0)),-1)=-1,"status '"&amp;K417&amp;"' is not a CONTRACTS status",IF(AND(K417="paid",COUNTIF(paid_brands!$AC$2:$AC$51,J417)=0),"status paid but no paid_brands row"&amp;IF(M417="N"," and no tracker row",""),IF(AND(IFERROR(INDEX(Lists!$K$2:$K$15,MATCH(K417,Lists!$J$2:$J$15,0)),-1)&gt;=6,M417="N"),"status "&amp;K417&amp;" but no tracker row",IF(AND(L417="Y",K417&lt;&gt;"do_not_contact"),"do_not_contact = Y but status is "&amp;K417,IF(AND(K417="do_not_contact",L417&lt;&gt;"Y"),"status do_not_contact but do_not_contact is not Y",""))))))</f>
        <v/>
      </c>
    </row>
    <row r="418" customFormat="false" ht="15" hidden="false" customHeight="false" outlineLevel="0" collapsed="false">
      <c r="B418" s="23" t="n">
        <v>397</v>
      </c>
      <c r="C418" s="23" t="str">
        <f aca="false">IFERROR(INDEX(Clay_Offices!$A$2:$FZ$601,B418,$C$5)&amp;"","")</f>
        <v/>
      </c>
      <c r="D418" s="23" t="str">
        <f aca="false">IFERROR(INDEX(Clay_Offices!$A$2:$FZ$601,B418,$C$7)&amp;"","")</f>
        <v/>
      </c>
      <c r="E418" s="23" t="str">
        <f aca="false">IFERROR(INDEX(Clay_Offices!$A$2:$FZ$601,B418,$C$8)&amp;"","")</f>
        <v/>
      </c>
      <c r="F418" s="23" t="str">
        <f aca="false">IF(C418="","",IF(COUNTIF(Office_Log!$A$2:$A$201,C418)&gt;0,"Y","N"))</f>
        <v/>
      </c>
      <c r="G418" s="34" t="str">
        <f aca="false">IF(OR(C418="",AND(LEFT(C418,6)="SAMPLE",Config!$B$19&lt;&gt;"Y")),"",IF(IFERROR(INDEX(Lists!$K$2:$K$15,MATCH(D418,Lists!$J$2:$J$15,0)),-1)=-1,"status '"&amp;D418&amp;"' is not a CONTRACTS status",IF(AND(D418="signed",COUNTIF(signed_offices!$W$2:$W$51,C418)=0),"status signed but no signed_offices row"&amp;IF(F418="N"," and no tracker row",""),IF(AND(IFERROR(INDEX(Lists!$K$2:$K$15,MATCH(D418,Lists!$J$2:$J$15,0)),-1)&gt;=6,F418="N"),"status "&amp;D418&amp;" but no tracker row",IF(AND(E418="Y",D418&lt;&gt;"do_not_contact"),"do_not_contact = Y but status is "&amp;D418,IF(AND(D418="do_not_contact",E418&lt;&gt;"Y"),"status do_not_contact but do_not_contact is not Y",""))))))</f>
        <v/>
      </c>
      <c r="I418" s="23" t="n">
        <v>397</v>
      </c>
      <c r="J418" s="23" t="str">
        <f aca="false">IFERROR(INDEX(Clay_Brands!$A$2:$FZ$601,I418,$D$5)&amp;"","")</f>
        <v/>
      </c>
      <c r="K418" s="23" t="str">
        <f aca="false">IFERROR(INDEX(Clay_Brands!$A$2:$FZ$601,I418,$D$7)&amp;"","")</f>
        <v/>
      </c>
      <c r="L418" s="23" t="str">
        <f aca="false">IFERROR(INDEX(Clay_Brands!$A$2:$FZ$601,I418,$D$8)&amp;"","")</f>
        <v/>
      </c>
      <c r="M418" s="23" t="str">
        <f aca="false">IF(J418="","",IF(COUNTIF(Brand_Log!$A$2:$A$201,J418)&gt;0,"Y","N"))</f>
        <v/>
      </c>
      <c r="N418" s="34" t="str">
        <f aca="false">IF(OR(J418="",AND(LEFT(J418,6)="SAMPLE",Config!$B$19&lt;&gt;"Y")),"",IF(IFERROR(INDEX(Lists!$K$2:$K$15,MATCH(K418,Lists!$J$2:$J$15,0)),-1)=-1,"status '"&amp;K418&amp;"' is not a CONTRACTS status",IF(AND(K418="paid",COUNTIF(paid_brands!$AC$2:$AC$51,J418)=0),"status paid but no paid_brands row"&amp;IF(M418="N"," and no tracker row",""),IF(AND(IFERROR(INDEX(Lists!$K$2:$K$15,MATCH(K418,Lists!$J$2:$J$15,0)),-1)&gt;=6,M418="N"),"status "&amp;K418&amp;" but no tracker row",IF(AND(L418="Y",K418&lt;&gt;"do_not_contact"),"do_not_contact = Y but status is "&amp;K418,IF(AND(K418="do_not_contact",L418&lt;&gt;"Y"),"status do_not_contact but do_not_contact is not Y",""))))))</f>
        <v/>
      </c>
    </row>
    <row r="419" customFormat="false" ht="15" hidden="false" customHeight="false" outlineLevel="0" collapsed="false">
      <c r="B419" s="23" t="n">
        <v>398</v>
      </c>
      <c r="C419" s="23" t="str">
        <f aca="false">IFERROR(INDEX(Clay_Offices!$A$2:$FZ$601,B419,$C$5)&amp;"","")</f>
        <v/>
      </c>
      <c r="D419" s="23" t="str">
        <f aca="false">IFERROR(INDEX(Clay_Offices!$A$2:$FZ$601,B419,$C$7)&amp;"","")</f>
        <v/>
      </c>
      <c r="E419" s="23" t="str">
        <f aca="false">IFERROR(INDEX(Clay_Offices!$A$2:$FZ$601,B419,$C$8)&amp;"","")</f>
        <v/>
      </c>
      <c r="F419" s="23" t="str">
        <f aca="false">IF(C419="","",IF(COUNTIF(Office_Log!$A$2:$A$201,C419)&gt;0,"Y","N"))</f>
        <v/>
      </c>
      <c r="G419" s="34" t="str">
        <f aca="false">IF(OR(C419="",AND(LEFT(C419,6)="SAMPLE",Config!$B$19&lt;&gt;"Y")),"",IF(IFERROR(INDEX(Lists!$K$2:$K$15,MATCH(D419,Lists!$J$2:$J$15,0)),-1)=-1,"status '"&amp;D419&amp;"' is not a CONTRACTS status",IF(AND(D419="signed",COUNTIF(signed_offices!$W$2:$W$51,C419)=0),"status signed but no signed_offices row"&amp;IF(F419="N"," and no tracker row",""),IF(AND(IFERROR(INDEX(Lists!$K$2:$K$15,MATCH(D419,Lists!$J$2:$J$15,0)),-1)&gt;=6,F419="N"),"status "&amp;D419&amp;" but no tracker row",IF(AND(E419="Y",D419&lt;&gt;"do_not_contact"),"do_not_contact = Y but status is "&amp;D419,IF(AND(D419="do_not_contact",E419&lt;&gt;"Y"),"status do_not_contact but do_not_contact is not Y",""))))))</f>
        <v/>
      </c>
      <c r="I419" s="23" t="n">
        <v>398</v>
      </c>
      <c r="J419" s="23" t="str">
        <f aca="false">IFERROR(INDEX(Clay_Brands!$A$2:$FZ$601,I419,$D$5)&amp;"","")</f>
        <v/>
      </c>
      <c r="K419" s="23" t="str">
        <f aca="false">IFERROR(INDEX(Clay_Brands!$A$2:$FZ$601,I419,$D$7)&amp;"","")</f>
        <v/>
      </c>
      <c r="L419" s="23" t="str">
        <f aca="false">IFERROR(INDEX(Clay_Brands!$A$2:$FZ$601,I419,$D$8)&amp;"","")</f>
        <v/>
      </c>
      <c r="M419" s="23" t="str">
        <f aca="false">IF(J419="","",IF(COUNTIF(Brand_Log!$A$2:$A$201,J419)&gt;0,"Y","N"))</f>
        <v/>
      </c>
      <c r="N419" s="34" t="str">
        <f aca="false">IF(OR(J419="",AND(LEFT(J419,6)="SAMPLE",Config!$B$19&lt;&gt;"Y")),"",IF(IFERROR(INDEX(Lists!$K$2:$K$15,MATCH(K419,Lists!$J$2:$J$15,0)),-1)=-1,"status '"&amp;K419&amp;"' is not a CONTRACTS status",IF(AND(K419="paid",COUNTIF(paid_brands!$AC$2:$AC$51,J419)=0),"status paid but no paid_brands row"&amp;IF(M419="N"," and no tracker row",""),IF(AND(IFERROR(INDEX(Lists!$K$2:$K$15,MATCH(K419,Lists!$J$2:$J$15,0)),-1)&gt;=6,M419="N"),"status "&amp;K419&amp;" but no tracker row",IF(AND(L419="Y",K419&lt;&gt;"do_not_contact"),"do_not_contact = Y but status is "&amp;K419,IF(AND(K419="do_not_contact",L419&lt;&gt;"Y"),"status do_not_contact but do_not_contact is not Y",""))))))</f>
        <v/>
      </c>
    </row>
    <row r="420" customFormat="false" ht="15" hidden="false" customHeight="false" outlineLevel="0" collapsed="false">
      <c r="B420" s="23" t="n">
        <v>399</v>
      </c>
      <c r="C420" s="23" t="str">
        <f aca="false">IFERROR(INDEX(Clay_Offices!$A$2:$FZ$601,B420,$C$5)&amp;"","")</f>
        <v/>
      </c>
      <c r="D420" s="23" t="str">
        <f aca="false">IFERROR(INDEX(Clay_Offices!$A$2:$FZ$601,B420,$C$7)&amp;"","")</f>
        <v/>
      </c>
      <c r="E420" s="23" t="str">
        <f aca="false">IFERROR(INDEX(Clay_Offices!$A$2:$FZ$601,B420,$C$8)&amp;"","")</f>
        <v/>
      </c>
      <c r="F420" s="23" t="str">
        <f aca="false">IF(C420="","",IF(COUNTIF(Office_Log!$A$2:$A$201,C420)&gt;0,"Y","N"))</f>
        <v/>
      </c>
      <c r="G420" s="34" t="str">
        <f aca="false">IF(OR(C420="",AND(LEFT(C420,6)="SAMPLE",Config!$B$19&lt;&gt;"Y")),"",IF(IFERROR(INDEX(Lists!$K$2:$K$15,MATCH(D420,Lists!$J$2:$J$15,0)),-1)=-1,"status '"&amp;D420&amp;"' is not a CONTRACTS status",IF(AND(D420="signed",COUNTIF(signed_offices!$W$2:$W$51,C420)=0),"status signed but no signed_offices row"&amp;IF(F420="N"," and no tracker row",""),IF(AND(IFERROR(INDEX(Lists!$K$2:$K$15,MATCH(D420,Lists!$J$2:$J$15,0)),-1)&gt;=6,F420="N"),"status "&amp;D420&amp;" but no tracker row",IF(AND(E420="Y",D420&lt;&gt;"do_not_contact"),"do_not_contact = Y but status is "&amp;D420,IF(AND(D420="do_not_contact",E420&lt;&gt;"Y"),"status do_not_contact but do_not_contact is not Y",""))))))</f>
        <v/>
      </c>
      <c r="I420" s="23" t="n">
        <v>399</v>
      </c>
      <c r="J420" s="23" t="str">
        <f aca="false">IFERROR(INDEX(Clay_Brands!$A$2:$FZ$601,I420,$D$5)&amp;"","")</f>
        <v/>
      </c>
      <c r="K420" s="23" t="str">
        <f aca="false">IFERROR(INDEX(Clay_Brands!$A$2:$FZ$601,I420,$D$7)&amp;"","")</f>
        <v/>
      </c>
      <c r="L420" s="23" t="str">
        <f aca="false">IFERROR(INDEX(Clay_Brands!$A$2:$FZ$601,I420,$D$8)&amp;"","")</f>
        <v/>
      </c>
      <c r="M420" s="23" t="str">
        <f aca="false">IF(J420="","",IF(COUNTIF(Brand_Log!$A$2:$A$201,J420)&gt;0,"Y","N"))</f>
        <v/>
      </c>
      <c r="N420" s="34" t="str">
        <f aca="false">IF(OR(J420="",AND(LEFT(J420,6)="SAMPLE",Config!$B$19&lt;&gt;"Y")),"",IF(IFERROR(INDEX(Lists!$K$2:$K$15,MATCH(K420,Lists!$J$2:$J$15,0)),-1)=-1,"status '"&amp;K420&amp;"' is not a CONTRACTS status",IF(AND(K420="paid",COUNTIF(paid_brands!$AC$2:$AC$51,J420)=0),"status paid but no paid_brands row"&amp;IF(M420="N"," and no tracker row",""),IF(AND(IFERROR(INDEX(Lists!$K$2:$K$15,MATCH(K420,Lists!$J$2:$J$15,0)),-1)&gt;=6,M420="N"),"status "&amp;K420&amp;" but no tracker row",IF(AND(L420="Y",K420&lt;&gt;"do_not_contact"),"do_not_contact = Y but status is "&amp;K420,IF(AND(K420="do_not_contact",L420&lt;&gt;"Y"),"status do_not_contact but do_not_contact is not Y",""))))))</f>
        <v/>
      </c>
    </row>
    <row r="421" customFormat="false" ht="15" hidden="false" customHeight="false" outlineLevel="0" collapsed="false">
      <c r="B421" s="23" t="n">
        <v>400</v>
      </c>
      <c r="C421" s="23" t="str">
        <f aca="false">IFERROR(INDEX(Clay_Offices!$A$2:$FZ$601,B421,$C$5)&amp;"","")</f>
        <v/>
      </c>
      <c r="D421" s="23" t="str">
        <f aca="false">IFERROR(INDEX(Clay_Offices!$A$2:$FZ$601,B421,$C$7)&amp;"","")</f>
        <v/>
      </c>
      <c r="E421" s="23" t="str">
        <f aca="false">IFERROR(INDEX(Clay_Offices!$A$2:$FZ$601,B421,$C$8)&amp;"","")</f>
        <v/>
      </c>
      <c r="F421" s="23" t="str">
        <f aca="false">IF(C421="","",IF(COUNTIF(Office_Log!$A$2:$A$201,C421)&gt;0,"Y","N"))</f>
        <v/>
      </c>
      <c r="G421" s="34" t="str">
        <f aca="false">IF(OR(C421="",AND(LEFT(C421,6)="SAMPLE",Config!$B$19&lt;&gt;"Y")),"",IF(IFERROR(INDEX(Lists!$K$2:$K$15,MATCH(D421,Lists!$J$2:$J$15,0)),-1)=-1,"status '"&amp;D421&amp;"' is not a CONTRACTS status",IF(AND(D421="signed",COUNTIF(signed_offices!$W$2:$W$51,C421)=0),"status signed but no signed_offices row"&amp;IF(F421="N"," and no tracker row",""),IF(AND(IFERROR(INDEX(Lists!$K$2:$K$15,MATCH(D421,Lists!$J$2:$J$15,0)),-1)&gt;=6,F421="N"),"status "&amp;D421&amp;" but no tracker row",IF(AND(E421="Y",D421&lt;&gt;"do_not_contact"),"do_not_contact = Y but status is "&amp;D421,IF(AND(D421="do_not_contact",E421&lt;&gt;"Y"),"status do_not_contact but do_not_contact is not Y",""))))))</f>
        <v/>
      </c>
      <c r="I421" s="23" t="n">
        <v>400</v>
      </c>
      <c r="J421" s="23" t="str">
        <f aca="false">IFERROR(INDEX(Clay_Brands!$A$2:$FZ$601,I421,$D$5)&amp;"","")</f>
        <v/>
      </c>
      <c r="K421" s="23" t="str">
        <f aca="false">IFERROR(INDEX(Clay_Brands!$A$2:$FZ$601,I421,$D$7)&amp;"","")</f>
        <v/>
      </c>
      <c r="L421" s="23" t="str">
        <f aca="false">IFERROR(INDEX(Clay_Brands!$A$2:$FZ$601,I421,$D$8)&amp;"","")</f>
        <v/>
      </c>
      <c r="M421" s="23" t="str">
        <f aca="false">IF(J421="","",IF(COUNTIF(Brand_Log!$A$2:$A$201,J421)&gt;0,"Y","N"))</f>
        <v/>
      </c>
      <c r="N421" s="34" t="str">
        <f aca="false">IF(OR(J421="",AND(LEFT(J421,6)="SAMPLE",Config!$B$19&lt;&gt;"Y")),"",IF(IFERROR(INDEX(Lists!$K$2:$K$15,MATCH(K421,Lists!$J$2:$J$15,0)),-1)=-1,"status '"&amp;K421&amp;"' is not a CONTRACTS status",IF(AND(K421="paid",COUNTIF(paid_brands!$AC$2:$AC$51,J421)=0),"status paid but no paid_brands row"&amp;IF(M421="N"," and no tracker row",""),IF(AND(IFERROR(INDEX(Lists!$K$2:$K$15,MATCH(K421,Lists!$J$2:$J$15,0)),-1)&gt;=6,M421="N"),"status "&amp;K421&amp;" but no tracker row",IF(AND(L421="Y",K421&lt;&gt;"do_not_contact"),"do_not_contact = Y but status is "&amp;K421,IF(AND(K421="do_not_contact",L421&lt;&gt;"Y"),"status do_not_contact but do_not_contact is not Y",""))))))</f>
        <v/>
      </c>
    </row>
    <row r="422" customFormat="false" ht="15" hidden="false" customHeight="false" outlineLevel="0" collapsed="false">
      <c r="B422" s="23" t="n">
        <v>401</v>
      </c>
      <c r="C422" s="23" t="str">
        <f aca="false">IFERROR(INDEX(Clay_Offices!$A$2:$FZ$601,B422,$C$5)&amp;"","")</f>
        <v/>
      </c>
      <c r="D422" s="23" t="str">
        <f aca="false">IFERROR(INDEX(Clay_Offices!$A$2:$FZ$601,B422,$C$7)&amp;"","")</f>
        <v/>
      </c>
      <c r="E422" s="23" t="str">
        <f aca="false">IFERROR(INDEX(Clay_Offices!$A$2:$FZ$601,B422,$C$8)&amp;"","")</f>
        <v/>
      </c>
      <c r="F422" s="23" t="str">
        <f aca="false">IF(C422="","",IF(COUNTIF(Office_Log!$A$2:$A$201,C422)&gt;0,"Y","N"))</f>
        <v/>
      </c>
      <c r="G422" s="34" t="str">
        <f aca="false">IF(OR(C422="",AND(LEFT(C422,6)="SAMPLE",Config!$B$19&lt;&gt;"Y")),"",IF(IFERROR(INDEX(Lists!$K$2:$K$15,MATCH(D422,Lists!$J$2:$J$15,0)),-1)=-1,"status '"&amp;D422&amp;"' is not a CONTRACTS status",IF(AND(D422="signed",COUNTIF(signed_offices!$W$2:$W$51,C422)=0),"status signed but no signed_offices row"&amp;IF(F422="N"," and no tracker row",""),IF(AND(IFERROR(INDEX(Lists!$K$2:$K$15,MATCH(D422,Lists!$J$2:$J$15,0)),-1)&gt;=6,F422="N"),"status "&amp;D422&amp;" but no tracker row",IF(AND(E422="Y",D422&lt;&gt;"do_not_contact"),"do_not_contact = Y but status is "&amp;D422,IF(AND(D422="do_not_contact",E422&lt;&gt;"Y"),"status do_not_contact but do_not_contact is not Y",""))))))</f>
        <v/>
      </c>
      <c r="I422" s="23" t="n">
        <v>401</v>
      </c>
      <c r="J422" s="23" t="str">
        <f aca="false">IFERROR(INDEX(Clay_Brands!$A$2:$FZ$601,I422,$D$5)&amp;"","")</f>
        <v/>
      </c>
      <c r="K422" s="23" t="str">
        <f aca="false">IFERROR(INDEX(Clay_Brands!$A$2:$FZ$601,I422,$D$7)&amp;"","")</f>
        <v/>
      </c>
      <c r="L422" s="23" t="str">
        <f aca="false">IFERROR(INDEX(Clay_Brands!$A$2:$FZ$601,I422,$D$8)&amp;"","")</f>
        <v/>
      </c>
      <c r="M422" s="23" t="str">
        <f aca="false">IF(J422="","",IF(COUNTIF(Brand_Log!$A$2:$A$201,J422)&gt;0,"Y","N"))</f>
        <v/>
      </c>
      <c r="N422" s="34" t="str">
        <f aca="false">IF(OR(J422="",AND(LEFT(J422,6)="SAMPLE",Config!$B$19&lt;&gt;"Y")),"",IF(IFERROR(INDEX(Lists!$K$2:$K$15,MATCH(K422,Lists!$J$2:$J$15,0)),-1)=-1,"status '"&amp;K422&amp;"' is not a CONTRACTS status",IF(AND(K422="paid",COUNTIF(paid_brands!$AC$2:$AC$51,J422)=0),"status paid but no paid_brands row"&amp;IF(M422="N"," and no tracker row",""),IF(AND(IFERROR(INDEX(Lists!$K$2:$K$15,MATCH(K422,Lists!$J$2:$J$15,0)),-1)&gt;=6,M422="N"),"status "&amp;K422&amp;" but no tracker row",IF(AND(L422="Y",K422&lt;&gt;"do_not_contact"),"do_not_contact = Y but status is "&amp;K422,IF(AND(K422="do_not_contact",L422&lt;&gt;"Y"),"status do_not_contact but do_not_contact is not Y",""))))))</f>
        <v/>
      </c>
    </row>
    <row r="423" customFormat="false" ht="15" hidden="false" customHeight="false" outlineLevel="0" collapsed="false">
      <c r="B423" s="23" t="n">
        <v>402</v>
      </c>
      <c r="C423" s="23" t="str">
        <f aca="false">IFERROR(INDEX(Clay_Offices!$A$2:$FZ$601,B423,$C$5)&amp;"","")</f>
        <v/>
      </c>
      <c r="D423" s="23" t="str">
        <f aca="false">IFERROR(INDEX(Clay_Offices!$A$2:$FZ$601,B423,$C$7)&amp;"","")</f>
        <v/>
      </c>
      <c r="E423" s="23" t="str">
        <f aca="false">IFERROR(INDEX(Clay_Offices!$A$2:$FZ$601,B423,$C$8)&amp;"","")</f>
        <v/>
      </c>
      <c r="F423" s="23" t="str">
        <f aca="false">IF(C423="","",IF(COUNTIF(Office_Log!$A$2:$A$201,C423)&gt;0,"Y","N"))</f>
        <v/>
      </c>
      <c r="G423" s="34" t="str">
        <f aca="false">IF(OR(C423="",AND(LEFT(C423,6)="SAMPLE",Config!$B$19&lt;&gt;"Y")),"",IF(IFERROR(INDEX(Lists!$K$2:$K$15,MATCH(D423,Lists!$J$2:$J$15,0)),-1)=-1,"status '"&amp;D423&amp;"' is not a CONTRACTS status",IF(AND(D423="signed",COUNTIF(signed_offices!$W$2:$W$51,C423)=0),"status signed but no signed_offices row"&amp;IF(F423="N"," and no tracker row",""),IF(AND(IFERROR(INDEX(Lists!$K$2:$K$15,MATCH(D423,Lists!$J$2:$J$15,0)),-1)&gt;=6,F423="N"),"status "&amp;D423&amp;" but no tracker row",IF(AND(E423="Y",D423&lt;&gt;"do_not_contact"),"do_not_contact = Y but status is "&amp;D423,IF(AND(D423="do_not_contact",E423&lt;&gt;"Y"),"status do_not_contact but do_not_contact is not Y",""))))))</f>
        <v/>
      </c>
      <c r="I423" s="23" t="n">
        <v>402</v>
      </c>
      <c r="J423" s="23" t="str">
        <f aca="false">IFERROR(INDEX(Clay_Brands!$A$2:$FZ$601,I423,$D$5)&amp;"","")</f>
        <v/>
      </c>
      <c r="K423" s="23" t="str">
        <f aca="false">IFERROR(INDEX(Clay_Brands!$A$2:$FZ$601,I423,$D$7)&amp;"","")</f>
        <v/>
      </c>
      <c r="L423" s="23" t="str">
        <f aca="false">IFERROR(INDEX(Clay_Brands!$A$2:$FZ$601,I423,$D$8)&amp;"","")</f>
        <v/>
      </c>
      <c r="M423" s="23" t="str">
        <f aca="false">IF(J423="","",IF(COUNTIF(Brand_Log!$A$2:$A$201,J423)&gt;0,"Y","N"))</f>
        <v/>
      </c>
      <c r="N423" s="34" t="str">
        <f aca="false">IF(OR(J423="",AND(LEFT(J423,6)="SAMPLE",Config!$B$19&lt;&gt;"Y")),"",IF(IFERROR(INDEX(Lists!$K$2:$K$15,MATCH(K423,Lists!$J$2:$J$15,0)),-1)=-1,"status '"&amp;K423&amp;"' is not a CONTRACTS status",IF(AND(K423="paid",COUNTIF(paid_brands!$AC$2:$AC$51,J423)=0),"status paid but no paid_brands row"&amp;IF(M423="N"," and no tracker row",""),IF(AND(IFERROR(INDEX(Lists!$K$2:$K$15,MATCH(K423,Lists!$J$2:$J$15,0)),-1)&gt;=6,M423="N"),"status "&amp;K423&amp;" but no tracker row",IF(AND(L423="Y",K423&lt;&gt;"do_not_contact"),"do_not_contact = Y but status is "&amp;K423,IF(AND(K423="do_not_contact",L423&lt;&gt;"Y"),"status do_not_contact but do_not_contact is not Y",""))))))</f>
        <v/>
      </c>
    </row>
    <row r="424" customFormat="false" ht="15" hidden="false" customHeight="false" outlineLevel="0" collapsed="false">
      <c r="B424" s="23" t="n">
        <v>403</v>
      </c>
      <c r="C424" s="23" t="str">
        <f aca="false">IFERROR(INDEX(Clay_Offices!$A$2:$FZ$601,B424,$C$5)&amp;"","")</f>
        <v/>
      </c>
      <c r="D424" s="23" t="str">
        <f aca="false">IFERROR(INDEX(Clay_Offices!$A$2:$FZ$601,B424,$C$7)&amp;"","")</f>
        <v/>
      </c>
      <c r="E424" s="23" t="str">
        <f aca="false">IFERROR(INDEX(Clay_Offices!$A$2:$FZ$601,B424,$C$8)&amp;"","")</f>
        <v/>
      </c>
      <c r="F424" s="23" t="str">
        <f aca="false">IF(C424="","",IF(COUNTIF(Office_Log!$A$2:$A$201,C424)&gt;0,"Y","N"))</f>
        <v/>
      </c>
      <c r="G424" s="34" t="str">
        <f aca="false">IF(OR(C424="",AND(LEFT(C424,6)="SAMPLE",Config!$B$19&lt;&gt;"Y")),"",IF(IFERROR(INDEX(Lists!$K$2:$K$15,MATCH(D424,Lists!$J$2:$J$15,0)),-1)=-1,"status '"&amp;D424&amp;"' is not a CONTRACTS status",IF(AND(D424="signed",COUNTIF(signed_offices!$W$2:$W$51,C424)=0),"status signed but no signed_offices row"&amp;IF(F424="N"," and no tracker row",""),IF(AND(IFERROR(INDEX(Lists!$K$2:$K$15,MATCH(D424,Lists!$J$2:$J$15,0)),-1)&gt;=6,F424="N"),"status "&amp;D424&amp;" but no tracker row",IF(AND(E424="Y",D424&lt;&gt;"do_not_contact"),"do_not_contact = Y but status is "&amp;D424,IF(AND(D424="do_not_contact",E424&lt;&gt;"Y"),"status do_not_contact but do_not_contact is not Y",""))))))</f>
        <v/>
      </c>
      <c r="I424" s="23" t="n">
        <v>403</v>
      </c>
      <c r="J424" s="23" t="str">
        <f aca="false">IFERROR(INDEX(Clay_Brands!$A$2:$FZ$601,I424,$D$5)&amp;"","")</f>
        <v/>
      </c>
      <c r="K424" s="23" t="str">
        <f aca="false">IFERROR(INDEX(Clay_Brands!$A$2:$FZ$601,I424,$D$7)&amp;"","")</f>
        <v/>
      </c>
      <c r="L424" s="23" t="str">
        <f aca="false">IFERROR(INDEX(Clay_Brands!$A$2:$FZ$601,I424,$D$8)&amp;"","")</f>
        <v/>
      </c>
      <c r="M424" s="23" t="str">
        <f aca="false">IF(J424="","",IF(COUNTIF(Brand_Log!$A$2:$A$201,J424)&gt;0,"Y","N"))</f>
        <v/>
      </c>
      <c r="N424" s="34" t="str">
        <f aca="false">IF(OR(J424="",AND(LEFT(J424,6)="SAMPLE",Config!$B$19&lt;&gt;"Y")),"",IF(IFERROR(INDEX(Lists!$K$2:$K$15,MATCH(K424,Lists!$J$2:$J$15,0)),-1)=-1,"status '"&amp;K424&amp;"' is not a CONTRACTS status",IF(AND(K424="paid",COUNTIF(paid_brands!$AC$2:$AC$51,J424)=0),"status paid but no paid_brands row"&amp;IF(M424="N"," and no tracker row",""),IF(AND(IFERROR(INDEX(Lists!$K$2:$K$15,MATCH(K424,Lists!$J$2:$J$15,0)),-1)&gt;=6,M424="N"),"status "&amp;K424&amp;" but no tracker row",IF(AND(L424="Y",K424&lt;&gt;"do_not_contact"),"do_not_contact = Y but status is "&amp;K424,IF(AND(K424="do_not_contact",L424&lt;&gt;"Y"),"status do_not_contact but do_not_contact is not Y",""))))))</f>
        <v/>
      </c>
    </row>
    <row r="425" customFormat="false" ht="15" hidden="false" customHeight="false" outlineLevel="0" collapsed="false">
      <c r="B425" s="23" t="n">
        <v>404</v>
      </c>
      <c r="C425" s="23" t="str">
        <f aca="false">IFERROR(INDEX(Clay_Offices!$A$2:$FZ$601,B425,$C$5)&amp;"","")</f>
        <v/>
      </c>
      <c r="D425" s="23" t="str">
        <f aca="false">IFERROR(INDEX(Clay_Offices!$A$2:$FZ$601,B425,$C$7)&amp;"","")</f>
        <v/>
      </c>
      <c r="E425" s="23" t="str">
        <f aca="false">IFERROR(INDEX(Clay_Offices!$A$2:$FZ$601,B425,$C$8)&amp;"","")</f>
        <v/>
      </c>
      <c r="F425" s="23" t="str">
        <f aca="false">IF(C425="","",IF(COUNTIF(Office_Log!$A$2:$A$201,C425)&gt;0,"Y","N"))</f>
        <v/>
      </c>
      <c r="G425" s="34" t="str">
        <f aca="false">IF(OR(C425="",AND(LEFT(C425,6)="SAMPLE",Config!$B$19&lt;&gt;"Y")),"",IF(IFERROR(INDEX(Lists!$K$2:$K$15,MATCH(D425,Lists!$J$2:$J$15,0)),-1)=-1,"status '"&amp;D425&amp;"' is not a CONTRACTS status",IF(AND(D425="signed",COUNTIF(signed_offices!$W$2:$W$51,C425)=0),"status signed but no signed_offices row"&amp;IF(F425="N"," and no tracker row",""),IF(AND(IFERROR(INDEX(Lists!$K$2:$K$15,MATCH(D425,Lists!$J$2:$J$15,0)),-1)&gt;=6,F425="N"),"status "&amp;D425&amp;" but no tracker row",IF(AND(E425="Y",D425&lt;&gt;"do_not_contact"),"do_not_contact = Y but status is "&amp;D425,IF(AND(D425="do_not_contact",E425&lt;&gt;"Y"),"status do_not_contact but do_not_contact is not Y",""))))))</f>
        <v/>
      </c>
      <c r="I425" s="23" t="n">
        <v>404</v>
      </c>
      <c r="J425" s="23" t="str">
        <f aca="false">IFERROR(INDEX(Clay_Brands!$A$2:$FZ$601,I425,$D$5)&amp;"","")</f>
        <v/>
      </c>
      <c r="K425" s="23" t="str">
        <f aca="false">IFERROR(INDEX(Clay_Brands!$A$2:$FZ$601,I425,$D$7)&amp;"","")</f>
        <v/>
      </c>
      <c r="L425" s="23" t="str">
        <f aca="false">IFERROR(INDEX(Clay_Brands!$A$2:$FZ$601,I425,$D$8)&amp;"","")</f>
        <v/>
      </c>
      <c r="M425" s="23" t="str">
        <f aca="false">IF(J425="","",IF(COUNTIF(Brand_Log!$A$2:$A$201,J425)&gt;0,"Y","N"))</f>
        <v/>
      </c>
      <c r="N425" s="34" t="str">
        <f aca="false">IF(OR(J425="",AND(LEFT(J425,6)="SAMPLE",Config!$B$19&lt;&gt;"Y")),"",IF(IFERROR(INDEX(Lists!$K$2:$K$15,MATCH(K425,Lists!$J$2:$J$15,0)),-1)=-1,"status '"&amp;K425&amp;"' is not a CONTRACTS status",IF(AND(K425="paid",COUNTIF(paid_brands!$AC$2:$AC$51,J425)=0),"status paid but no paid_brands row"&amp;IF(M425="N"," and no tracker row",""),IF(AND(IFERROR(INDEX(Lists!$K$2:$K$15,MATCH(K425,Lists!$J$2:$J$15,0)),-1)&gt;=6,M425="N"),"status "&amp;K425&amp;" but no tracker row",IF(AND(L425="Y",K425&lt;&gt;"do_not_contact"),"do_not_contact = Y but status is "&amp;K425,IF(AND(K425="do_not_contact",L425&lt;&gt;"Y"),"status do_not_contact but do_not_contact is not Y",""))))))</f>
        <v/>
      </c>
    </row>
    <row r="426" customFormat="false" ht="15" hidden="false" customHeight="false" outlineLevel="0" collapsed="false">
      <c r="B426" s="23" t="n">
        <v>405</v>
      </c>
      <c r="C426" s="23" t="str">
        <f aca="false">IFERROR(INDEX(Clay_Offices!$A$2:$FZ$601,B426,$C$5)&amp;"","")</f>
        <v/>
      </c>
      <c r="D426" s="23" t="str">
        <f aca="false">IFERROR(INDEX(Clay_Offices!$A$2:$FZ$601,B426,$C$7)&amp;"","")</f>
        <v/>
      </c>
      <c r="E426" s="23" t="str">
        <f aca="false">IFERROR(INDEX(Clay_Offices!$A$2:$FZ$601,B426,$C$8)&amp;"","")</f>
        <v/>
      </c>
      <c r="F426" s="23" t="str">
        <f aca="false">IF(C426="","",IF(COUNTIF(Office_Log!$A$2:$A$201,C426)&gt;0,"Y","N"))</f>
        <v/>
      </c>
      <c r="G426" s="34" t="str">
        <f aca="false">IF(OR(C426="",AND(LEFT(C426,6)="SAMPLE",Config!$B$19&lt;&gt;"Y")),"",IF(IFERROR(INDEX(Lists!$K$2:$K$15,MATCH(D426,Lists!$J$2:$J$15,0)),-1)=-1,"status '"&amp;D426&amp;"' is not a CONTRACTS status",IF(AND(D426="signed",COUNTIF(signed_offices!$W$2:$W$51,C426)=0),"status signed but no signed_offices row"&amp;IF(F426="N"," and no tracker row",""),IF(AND(IFERROR(INDEX(Lists!$K$2:$K$15,MATCH(D426,Lists!$J$2:$J$15,0)),-1)&gt;=6,F426="N"),"status "&amp;D426&amp;" but no tracker row",IF(AND(E426="Y",D426&lt;&gt;"do_not_contact"),"do_not_contact = Y but status is "&amp;D426,IF(AND(D426="do_not_contact",E426&lt;&gt;"Y"),"status do_not_contact but do_not_contact is not Y",""))))))</f>
        <v/>
      </c>
      <c r="I426" s="23" t="n">
        <v>405</v>
      </c>
      <c r="J426" s="23" t="str">
        <f aca="false">IFERROR(INDEX(Clay_Brands!$A$2:$FZ$601,I426,$D$5)&amp;"","")</f>
        <v/>
      </c>
      <c r="K426" s="23" t="str">
        <f aca="false">IFERROR(INDEX(Clay_Brands!$A$2:$FZ$601,I426,$D$7)&amp;"","")</f>
        <v/>
      </c>
      <c r="L426" s="23" t="str">
        <f aca="false">IFERROR(INDEX(Clay_Brands!$A$2:$FZ$601,I426,$D$8)&amp;"","")</f>
        <v/>
      </c>
      <c r="M426" s="23" t="str">
        <f aca="false">IF(J426="","",IF(COUNTIF(Brand_Log!$A$2:$A$201,J426)&gt;0,"Y","N"))</f>
        <v/>
      </c>
      <c r="N426" s="34" t="str">
        <f aca="false">IF(OR(J426="",AND(LEFT(J426,6)="SAMPLE",Config!$B$19&lt;&gt;"Y")),"",IF(IFERROR(INDEX(Lists!$K$2:$K$15,MATCH(K426,Lists!$J$2:$J$15,0)),-1)=-1,"status '"&amp;K426&amp;"' is not a CONTRACTS status",IF(AND(K426="paid",COUNTIF(paid_brands!$AC$2:$AC$51,J426)=0),"status paid but no paid_brands row"&amp;IF(M426="N"," and no tracker row",""),IF(AND(IFERROR(INDEX(Lists!$K$2:$K$15,MATCH(K426,Lists!$J$2:$J$15,0)),-1)&gt;=6,M426="N"),"status "&amp;K426&amp;" but no tracker row",IF(AND(L426="Y",K426&lt;&gt;"do_not_contact"),"do_not_contact = Y but status is "&amp;K426,IF(AND(K426="do_not_contact",L426&lt;&gt;"Y"),"status do_not_contact but do_not_contact is not Y",""))))))</f>
        <v/>
      </c>
    </row>
    <row r="427" customFormat="false" ht="15" hidden="false" customHeight="false" outlineLevel="0" collapsed="false">
      <c r="B427" s="23" t="n">
        <v>406</v>
      </c>
      <c r="C427" s="23" t="str">
        <f aca="false">IFERROR(INDEX(Clay_Offices!$A$2:$FZ$601,B427,$C$5)&amp;"","")</f>
        <v/>
      </c>
      <c r="D427" s="23" t="str">
        <f aca="false">IFERROR(INDEX(Clay_Offices!$A$2:$FZ$601,B427,$C$7)&amp;"","")</f>
        <v/>
      </c>
      <c r="E427" s="23" t="str">
        <f aca="false">IFERROR(INDEX(Clay_Offices!$A$2:$FZ$601,B427,$C$8)&amp;"","")</f>
        <v/>
      </c>
      <c r="F427" s="23" t="str">
        <f aca="false">IF(C427="","",IF(COUNTIF(Office_Log!$A$2:$A$201,C427)&gt;0,"Y","N"))</f>
        <v/>
      </c>
      <c r="G427" s="34" t="str">
        <f aca="false">IF(OR(C427="",AND(LEFT(C427,6)="SAMPLE",Config!$B$19&lt;&gt;"Y")),"",IF(IFERROR(INDEX(Lists!$K$2:$K$15,MATCH(D427,Lists!$J$2:$J$15,0)),-1)=-1,"status '"&amp;D427&amp;"' is not a CONTRACTS status",IF(AND(D427="signed",COUNTIF(signed_offices!$W$2:$W$51,C427)=0),"status signed but no signed_offices row"&amp;IF(F427="N"," and no tracker row",""),IF(AND(IFERROR(INDEX(Lists!$K$2:$K$15,MATCH(D427,Lists!$J$2:$J$15,0)),-1)&gt;=6,F427="N"),"status "&amp;D427&amp;" but no tracker row",IF(AND(E427="Y",D427&lt;&gt;"do_not_contact"),"do_not_contact = Y but status is "&amp;D427,IF(AND(D427="do_not_contact",E427&lt;&gt;"Y"),"status do_not_contact but do_not_contact is not Y",""))))))</f>
        <v/>
      </c>
      <c r="I427" s="23" t="n">
        <v>406</v>
      </c>
      <c r="J427" s="23" t="str">
        <f aca="false">IFERROR(INDEX(Clay_Brands!$A$2:$FZ$601,I427,$D$5)&amp;"","")</f>
        <v/>
      </c>
      <c r="K427" s="23" t="str">
        <f aca="false">IFERROR(INDEX(Clay_Brands!$A$2:$FZ$601,I427,$D$7)&amp;"","")</f>
        <v/>
      </c>
      <c r="L427" s="23" t="str">
        <f aca="false">IFERROR(INDEX(Clay_Brands!$A$2:$FZ$601,I427,$D$8)&amp;"","")</f>
        <v/>
      </c>
      <c r="M427" s="23" t="str">
        <f aca="false">IF(J427="","",IF(COUNTIF(Brand_Log!$A$2:$A$201,J427)&gt;0,"Y","N"))</f>
        <v/>
      </c>
      <c r="N427" s="34" t="str">
        <f aca="false">IF(OR(J427="",AND(LEFT(J427,6)="SAMPLE",Config!$B$19&lt;&gt;"Y")),"",IF(IFERROR(INDEX(Lists!$K$2:$K$15,MATCH(K427,Lists!$J$2:$J$15,0)),-1)=-1,"status '"&amp;K427&amp;"' is not a CONTRACTS status",IF(AND(K427="paid",COUNTIF(paid_brands!$AC$2:$AC$51,J427)=0),"status paid but no paid_brands row"&amp;IF(M427="N"," and no tracker row",""),IF(AND(IFERROR(INDEX(Lists!$K$2:$K$15,MATCH(K427,Lists!$J$2:$J$15,0)),-1)&gt;=6,M427="N"),"status "&amp;K427&amp;" but no tracker row",IF(AND(L427="Y",K427&lt;&gt;"do_not_contact"),"do_not_contact = Y but status is "&amp;K427,IF(AND(K427="do_not_contact",L427&lt;&gt;"Y"),"status do_not_contact but do_not_contact is not Y",""))))))</f>
        <v/>
      </c>
    </row>
    <row r="428" customFormat="false" ht="15" hidden="false" customHeight="false" outlineLevel="0" collapsed="false">
      <c r="B428" s="23" t="n">
        <v>407</v>
      </c>
      <c r="C428" s="23" t="str">
        <f aca="false">IFERROR(INDEX(Clay_Offices!$A$2:$FZ$601,B428,$C$5)&amp;"","")</f>
        <v/>
      </c>
      <c r="D428" s="23" t="str">
        <f aca="false">IFERROR(INDEX(Clay_Offices!$A$2:$FZ$601,B428,$C$7)&amp;"","")</f>
        <v/>
      </c>
      <c r="E428" s="23" t="str">
        <f aca="false">IFERROR(INDEX(Clay_Offices!$A$2:$FZ$601,B428,$C$8)&amp;"","")</f>
        <v/>
      </c>
      <c r="F428" s="23" t="str">
        <f aca="false">IF(C428="","",IF(COUNTIF(Office_Log!$A$2:$A$201,C428)&gt;0,"Y","N"))</f>
        <v/>
      </c>
      <c r="G428" s="34" t="str">
        <f aca="false">IF(OR(C428="",AND(LEFT(C428,6)="SAMPLE",Config!$B$19&lt;&gt;"Y")),"",IF(IFERROR(INDEX(Lists!$K$2:$K$15,MATCH(D428,Lists!$J$2:$J$15,0)),-1)=-1,"status '"&amp;D428&amp;"' is not a CONTRACTS status",IF(AND(D428="signed",COUNTIF(signed_offices!$W$2:$W$51,C428)=0),"status signed but no signed_offices row"&amp;IF(F428="N"," and no tracker row",""),IF(AND(IFERROR(INDEX(Lists!$K$2:$K$15,MATCH(D428,Lists!$J$2:$J$15,0)),-1)&gt;=6,F428="N"),"status "&amp;D428&amp;" but no tracker row",IF(AND(E428="Y",D428&lt;&gt;"do_not_contact"),"do_not_contact = Y but status is "&amp;D428,IF(AND(D428="do_not_contact",E428&lt;&gt;"Y"),"status do_not_contact but do_not_contact is not Y",""))))))</f>
        <v/>
      </c>
      <c r="I428" s="23" t="n">
        <v>407</v>
      </c>
      <c r="J428" s="23" t="str">
        <f aca="false">IFERROR(INDEX(Clay_Brands!$A$2:$FZ$601,I428,$D$5)&amp;"","")</f>
        <v/>
      </c>
      <c r="K428" s="23" t="str">
        <f aca="false">IFERROR(INDEX(Clay_Brands!$A$2:$FZ$601,I428,$D$7)&amp;"","")</f>
        <v/>
      </c>
      <c r="L428" s="23" t="str">
        <f aca="false">IFERROR(INDEX(Clay_Brands!$A$2:$FZ$601,I428,$D$8)&amp;"","")</f>
        <v/>
      </c>
      <c r="M428" s="23" t="str">
        <f aca="false">IF(J428="","",IF(COUNTIF(Brand_Log!$A$2:$A$201,J428)&gt;0,"Y","N"))</f>
        <v/>
      </c>
      <c r="N428" s="34" t="str">
        <f aca="false">IF(OR(J428="",AND(LEFT(J428,6)="SAMPLE",Config!$B$19&lt;&gt;"Y")),"",IF(IFERROR(INDEX(Lists!$K$2:$K$15,MATCH(K428,Lists!$J$2:$J$15,0)),-1)=-1,"status '"&amp;K428&amp;"' is not a CONTRACTS status",IF(AND(K428="paid",COUNTIF(paid_brands!$AC$2:$AC$51,J428)=0),"status paid but no paid_brands row"&amp;IF(M428="N"," and no tracker row",""),IF(AND(IFERROR(INDEX(Lists!$K$2:$K$15,MATCH(K428,Lists!$J$2:$J$15,0)),-1)&gt;=6,M428="N"),"status "&amp;K428&amp;" but no tracker row",IF(AND(L428="Y",K428&lt;&gt;"do_not_contact"),"do_not_contact = Y but status is "&amp;K428,IF(AND(K428="do_not_contact",L428&lt;&gt;"Y"),"status do_not_contact but do_not_contact is not Y",""))))))</f>
        <v/>
      </c>
    </row>
    <row r="429" customFormat="false" ht="15" hidden="false" customHeight="false" outlineLevel="0" collapsed="false">
      <c r="B429" s="23" t="n">
        <v>408</v>
      </c>
      <c r="C429" s="23" t="str">
        <f aca="false">IFERROR(INDEX(Clay_Offices!$A$2:$FZ$601,B429,$C$5)&amp;"","")</f>
        <v/>
      </c>
      <c r="D429" s="23" t="str">
        <f aca="false">IFERROR(INDEX(Clay_Offices!$A$2:$FZ$601,B429,$C$7)&amp;"","")</f>
        <v/>
      </c>
      <c r="E429" s="23" t="str">
        <f aca="false">IFERROR(INDEX(Clay_Offices!$A$2:$FZ$601,B429,$C$8)&amp;"","")</f>
        <v/>
      </c>
      <c r="F429" s="23" t="str">
        <f aca="false">IF(C429="","",IF(COUNTIF(Office_Log!$A$2:$A$201,C429)&gt;0,"Y","N"))</f>
        <v/>
      </c>
      <c r="G429" s="34" t="str">
        <f aca="false">IF(OR(C429="",AND(LEFT(C429,6)="SAMPLE",Config!$B$19&lt;&gt;"Y")),"",IF(IFERROR(INDEX(Lists!$K$2:$K$15,MATCH(D429,Lists!$J$2:$J$15,0)),-1)=-1,"status '"&amp;D429&amp;"' is not a CONTRACTS status",IF(AND(D429="signed",COUNTIF(signed_offices!$W$2:$W$51,C429)=0),"status signed but no signed_offices row"&amp;IF(F429="N"," and no tracker row",""),IF(AND(IFERROR(INDEX(Lists!$K$2:$K$15,MATCH(D429,Lists!$J$2:$J$15,0)),-1)&gt;=6,F429="N"),"status "&amp;D429&amp;" but no tracker row",IF(AND(E429="Y",D429&lt;&gt;"do_not_contact"),"do_not_contact = Y but status is "&amp;D429,IF(AND(D429="do_not_contact",E429&lt;&gt;"Y"),"status do_not_contact but do_not_contact is not Y",""))))))</f>
        <v/>
      </c>
      <c r="I429" s="23" t="n">
        <v>408</v>
      </c>
      <c r="J429" s="23" t="str">
        <f aca="false">IFERROR(INDEX(Clay_Brands!$A$2:$FZ$601,I429,$D$5)&amp;"","")</f>
        <v/>
      </c>
      <c r="K429" s="23" t="str">
        <f aca="false">IFERROR(INDEX(Clay_Brands!$A$2:$FZ$601,I429,$D$7)&amp;"","")</f>
        <v/>
      </c>
      <c r="L429" s="23" t="str">
        <f aca="false">IFERROR(INDEX(Clay_Brands!$A$2:$FZ$601,I429,$D$8)&amp;"","")</f>
        <v/>
      </c>
      <c r="M429" s="23" t="str">
        <f aca="false">IF(J429="","",IF(COUNTIF(Brand_Log!$A$2:$A$201,J429)&gt;0,"Y","N"))</f>
        <v/>
      </c>
      <c r="N429" s="34" t="str">
        <f aca="false">IF(OR(J429="",AND(LEFT(J429,6)="SAMPLE",Config!$B$19&lt;&gt;"Y")),"",IF(IFERROR(INDEX(Lists!$K$2:$K$15,MATCH(K429,Lists!$J$2:$J$15,0)),-1)=-1,"status '"&amp;K429&amp;"' is not a CONTRACTS status",IF(AND(K429="paid",COUNTIF(paid_brands!$AC$2:$AC$51,J429)=0),"status paid but no paid_brands row"&amp;IF(M429="N"," and no tracker row",""),IF(AND(IFERROR(INDEX(Lists!$K$2:$K$15,MATCH(K429,Lists!$J$2:$J$15,0)),-1)&gt;=6,M429="N"),"status "&amp;K429&amp;" but no tracker row",IF(AND(L429="Y",K429&lt;&gt;"do_not_contact"),"do_not_contact = Y but status is "&amp;K429,IF(AND(K429="do_not_contact",L429&lt;&gt;"Y"),"status do_not_contact but do_not_contact is not Y",""))))))</f>
        <v/>
      </c>
    </row>
    <row r="430" customFormat="false" ht="15" hidden="false" customHeight="false" outlineLevel="0" collapsed="false">
      <c r="B430" s="23" t="n">
        <v>409</v>
      </c>
      <c r="C430" s="23" t="str">
        <f aca="false">IFERROR(INDEX(Clay_Offices!$A$2:$FZ$601,B430,$C$5)&amp;"","")</f>
        <v/>
      </c>
      <c r="D430" s="23" t="str">
        <f aca="false">IFERROR(INDEX(Clay_Offices!$A$2:$FZ$601,B430,$C$7)&amp;"","")</f>
        <v/>
      </c>
      <c r="E430" s="23" t="str">
        <f aca="false">IFERROR(INDEX(Clay_Offices!$A$2:$FZ$601,B430,$C$8)&amp;"","")</f>
        <v/>
      </c>
      <c r="F430" s="23" t="str">
        <f aca="false">IF(C430="","",IF(COUNTIF(Office_Log!$A$2:$A$201,C430)&gt;0,"Y","N"))</f>
        <v/>
      </c>
      <c r="G430" s="34" t="str">
        <f aca="false">IF(OR(C430="",AND(LEFT(C430,6)="SAMPLE",Config!$B$19&lt;&gt;"Y")),"",IF(IFERROR(INDEX(Lists!$K$2:$K$15,MATCH(D430,Lists!$J$2:$J$15,0)),-1)=-1,"status '"&amp;D430&amp;"' is not a CONTRACTS status",IF(AND(D430="signed",COUNTIF(signed_offices!$W$2:$W$51,C430)=0),"status signed but no signed_offices row"&amp;IF(F430="N"," and no tracker row",""),IF(AND(IFERROR(INDEX(Lists!$K$2:$K$15,MATCH(D430,Lists!$J$2:$J$15,0)),-1)&gt;=6,F430="N"),"status "&amp;D430&amp;" but no tracker row",IF(AND(E430="Y",D430&lt;&gt;"do_not_contact"),"do_not_contact = Y but status is "&amp;D430,IF(AND(D430="do_not_contact",E430&lt;&gt;"Y"),"status do_not_contact but do_not_contact is not Y",""))))))</f>
        <v/>
      </c>
      <c r="I430" s="23" t="n">
        <v>409</v>
      </c>
      <c r="J430" s="23" t="str">
        <f aca="false">IFERROR(INDEX(Clay_Brands!$A$2:$FZ$601,I430,$D$5)&amp;"","")</f>
        <v/>
      </c>
      <c r="K430" s="23" t="str">
        <f aca="false">IFERROR(INDEX(Clay_Brands!$A$2:$FZ$601,I430,$D$7)&amp;"","")</f>
        <v/>
      </c>
      <c r="L430" s="23" t="str">
        <f aca="false">IFERROR(INDEX(Clay_Brands!$A$2:$FZ$601,I430,$D$8)&amp;"","")</f>
        <v/>
      </c>
      <c r="M430" s="23" t="str">
        <f aca="false">IF(J430="","",IF(COUNTIF(Brand_Log!$A$2:$A$201,J430)&gt;0,"Y","N"))</f>
        <v/>
      </c>
      <c r="N430" s="34" t="str">
        <f aca="false">IF(OR(J430="",AND(LEFT(J430,6)="SAMPLE",Config!$B$19&lt;&gt;"Y")),"",IF(IFERROR(INDEX(Lists!$K$2:$K$15,MATCH(K430,Lists!$J$2:$J$15,0)),-1)=-1,"status '"&amp;K430&amp;"' is not a CONTRACTS status",IF(AND(K430="paid",COUNTIF(paid_brands!$AC$2:$AC$51,J430)=0),"status paid but no paid_brands row"&amp;IF(M430="N"," and no tracker row",""),IF(AND(IFERROR(INDEX(Lists!$K$2:$K$15,MATCH(K430,Lists!$J$2:$J$15,0)),-1)&gt;=6,M430="N"),"status "&amp;K430&amp;" but no tracker row",IF(AND(L430="Y",K430&lt;&gt;"do_not_contact"),"do_not_contact = Y but status is "&amp;K430,IF(AND(K430="do_not_contact",L430&lt;&gt;"Y"),"status do_not_contact but do_not_contact is not Y",""))))))</f>
        <v/>
      </c>
    </row>
    <row r="431" customFormat="false" ht="15" hidden="false" customHeight="false" outlineLevel="0" collapsed="false">
      <c r="B431" s="23" t="n">
        <v>410</v>
      </c>
      <c r="C431" s="23" t="str">
        <f aca="false">IFERROR(INDEX(Clay_Offices!$A$2:$FZ$601,B431,$C$5)&amp;"","")</f>
        <v/>
      </c>
      <c r="D431" s="23" t="str">
        <f aca="false">IFERROR(INDEX(Clay_Offices!$A$2:$FZ$601,B431,$C$7)&amp;"","")</f>
        <v/>
      </c>
      <c r="E431" s="23" t="str">
        <f aca="false">IFERROR(INDEX(Clay_Offices!$A$2:$FZ$601,B431,$C$8)&amp;"","")</f>
        <v/>
      </c>
      <c r="F431" s="23" t="str">
        <f aca="false">IF(C431="","",IF(COUNTIF(Office_Log!$A$2:$A$201,C431)&gt;0,"Y","N"))</f>
        <v/>
      </c>
      <c r="G431" s="34" t="str">
        <f aca="false">IF(OR(C431="",AND(LEFT(C431,6)="SAMPLE",Config!$B$19&lt;&gt;"Y")),"",IF(IFERROR(INDEX(Lists!$K$2:$K$15,MATCH(D431,Lists!$J$2:$J$15,0)),-1)=-1,"status '"&amp;D431&amp;"' is not a CONTRACTS status",IF(AND(D431="signed",COUNTIF(signed_offices!$W$2:$W$51,C431)=0),"status signed but no signed_offices row"&amp;IF(F431="N"," and no tracker row",""),IF(AND(IFERROR(INDEX(Lists!$K$2:$K$15,MATCH(D431,Lists!$J$2:$J$15,0)),-1)&gt;=6,F431="N"),"status "&amp;D431&amp;" but no tracker row",IF(AND(E431="Y",D431&lt;&gt;"do_not_contact"),"do_not_contact = Y but status is "&amp;D431,IF(AND(D431="do_not_contact",E431&lt;&gt;"Y"),"status do_not_contact but do_not_contact is not Y",""))))))</f>
        <v/>
      </c>
      <c r="I431" s="23" t="n">
        <v>410</v>
      </c>
      <c r="J431" s="23" t="str">
        <f aca="false">IFERROR(INDEX(Clay_Brands!$A$2:$FZ$601,I431,$D$5)&amp;"","")</f>
        <v/>
      </c>
      <c r="K431" s="23" t="str">
        <f aca="false">IFERROR(INDEX(Clay_Brands!$A$2:$FZ$601,I431,$D$7)&amp;"","")</f>
        <v/>
      </c>
      <c r="L431" s="23" t="str">
        <f aca="false">IFERROR(INDEX(Clay_Brands!$A$2:$FZ$601,I431,$D$8)&amp;"","")</f>
        <v/>
      </c>
      <c r="M431" s="23" t="str">
        <f aca="false">IF(J431="","",IF(COUNTIF(Brand_Log!$A$2:$A$201,J431)&gt;0,"Y","N"))</f>
        <v/>
      </c>
      <c r="N431" s="34" t="str">
        <f aca="false">IF(OR(J431="",AND(LEFT(J431,6)="SAMPLE",Config!$B$19&lt;&gt;"Y")),"",IF(IFERROR(INDEX(Lists!$K$2:$K$15,MATCH(K431,Lists!$J$2:$J$15,0)),-1)=-1,"status '"&amp;K431&amp;"' is not a CONTRACTS status",IF(AND(K431="paid",COUNTIF(paid_brands!$AC$2:$AC$51,J431)=0),"status paid but no paid_brands row"&amp;IF(M431="N"," and no tracker row",""),IF(AND(IFERROR(INDEX(Lists!$K$2:$K$15,MATCH(K431,Lists!$J$2:$J$15,0)),-1)&gt;=6,M431="N"),"status "&amp;K431&amp;" but no tracker row",IF(AND(L431="Y",K431&lt;&gt;"do_not_contact"),"do_not_contact = Y but status is "&amp;K431,IF(AND(K431="do_not_contact",L431&lt;&gt;"Y"),"status do_not_contact but do_not_contact is not Y",""))))))</f>
        <v/>
      </c>
    </row>
    <row r="432" customFormat="false" ht="15" hidden="false" customHeight="false" outlineLevel="0" collapsed="false">
      <c r="B432" s="23" t="n">
        <v>411</v>
      </c>
      <c r="C432" s="23" t="str">
        <f aca="false">IFERROR(INDEX(Clay_Offices!$A$2:$FZ$601,B432,$C$5)&amp;"","")</f>
        <v/>
      </c>
      <c r="D432" s="23" t="str">
        <f aca="false">IFERROR(INDEX(Clay_Offices!$A$2:$FZ$601,B432,$C$7)&amp;"","")</f>
        <v/>
      </c>
      <c r="E432" s="23" t="str">
        <f aca="false">IFERROR(INDEX(Clay_Offices!$A$2:$FZ$601,B432,$C$8)&amp;"","")</f>
        <v/>
      </c>
      <c r="F432" s="23" t="str">
        <f aca="false">IF(C432="","",IF(COUNTIF(Office_Log!$A$2:$A$201,C432)&gt;0,"Y","N"))</f>
        <v/>
      </c>
      <c r="G432" s="34" t="str">
        <f aca="false">IF(OR(C432="",AND(LEFT(C432,6)="SAMPLE",Config!$B$19&lt;&gt;"Y")),"",IF(IFERROR(INDEX(Lists!$K$2:$K$15,MATCH(D432,Lists!$J$2:$J$15,0)),-1)=-1,"status '"&amp;D432&amp;"' is not a CONTRACTS status",IF(AND(D432="signed",COUNTIF(signed_offices!$W$2:$W$51,C432)=0),"status signed but no signed_offices row"&amp;IF(F432="N"," and no tracker row",""),IF(AND(IFERROR(INDEX(Lists!$K$2:$K$15,MATCH(D432,Lists!$J$2:$J$15,0)),-1)&gt;=6,F432="N"),"status "&amp;D432&amp;" but no tracker row",IF(AND(E432="Y",D432&lt;&gt;"do_not_contact"),"do_not_contact = Y but status is "&amp;D432,IF(AND(D432="do_not_contact",E432&lt;&gt;"Y"),"status do_not_contact but do_not_contact is not Y",""))))))</f>
        <v/>
      </c>
      <c r="I432" s="23" t="n">
        <v>411</v>
      </c>
      <c r="J432" s="23" t="str">
        <f aca="false">IFERROR(INDEX(Clay_Brands!$A$2:$FZ$601,I432,$D$5)&amp;"","")</f>
        <v/>
      </c>
      <c r="K432" s="23" t="str">
        <f aca="false">IFERROR(INDEX(Clay_Brands!$A$2:$FZ$601,I432,$D$7)&amp;"","")</f>
        <v/>
      </c>
      <c r="L432" s="23" t="str">
        <f aca="false">IFERROR(INDEX(Clay_Brands!$A$2:$FZ$601,I432,$D$8)&amp;"","")</f>
        <v/>
      </c>
      <c r="M432" s="23" t="str">
        <f aca="false">IF(J432="","",IF(COUNTIF(Brand_Log!$A$2:$A$201,J432)&gt;0,"Y","N"))</f>
        <v/>
      </c>
      <c r="N432" s="34" t="str">
        <f aca="false">IF(OR(J432="",AND(LEFT(J432,6)="SAMPLE",Config!$B$19&lt;&gt;"Y")),"",IF(IFERROR(INDEX(Lists!$K$2:$K$15,MATCH(K432,Lists!$J$2:$J$15,0)),-1)=-1,"status '"&amp;K432&amp;"' is not a CONTRACTS status",IF(AND(K432="paid",COUNTIF(paid_brands!$AC$2:$AC$51,J432)=0),"status paid but no paid_brands row"&amp;IF(M432="N"," and no tracker row",""),IF(AND(IFERROR(INDEX(Lists!$K$2:$K$15,MATCH(K432,Lists!$J$2:$J$15,0)),-1)&gt;=6,M432="N"),"status "&amp;K432&amp;" but no tracker row",IF(AND(L432="Y",K432&lt;&gt;"do_not_contact"),"do_not_contact = Y but status is "&amp;K432,IF(AND(K432="do_not_contact",L432&lt;&gt;"Y"),"status do_not_contact but do_not_contact is not Y",""))))))</f>
        <v/>
      </c>
    </row>
    <row r="433" customFormat="false" ht="15" hidden="false" customHeight="false" outlineLevel="0" collapsed="false">
      <c r="B433" s="23" t="n">
        <v>412</v>
      </c>
      <c r="C433" s="23" t="str">
        <f aca="false">IFERROR(INDEX(Clay_Offices!$A$2:$FZ$601,B433,$C$5)&amp;"","")</f>
        <v/>
      </c>
      <c r="D433" s="23" t="str">
        <f aca="false">IFERROR(INDEX(Clay_Offices!$A$2:$FZ$601,B433,$C$7)&amp;"","")</f>
        <v/>
      </c>
      <c r="E433" s="23" t="str">
        <f aca="false">IFERROR(INDEX(Clay_Offices!$A$2:$FZ$601,B433,$C$8)&amp;"","")</f>
        <v/>
      </c>
      <c r="F433" s="23" t="str">
        <f aca="false">IF(C433="","",IF(COUNTIF(Office_Log!$A$2:$A$201,C433)&gt;0,"Y","N"))</f>
        <v/>
      </c>
      <c r="G433" s="34" t="str">
        <f aca="false">IF(OR(C433="",AND(LEFT(C433,6)="SAMPLE",Config!$B$19&lt;&gt;"Y")),"",IF(IFERROR(INDEX(Lists!$K$2:$K$15,MATCH(D433,Lists!$J$2:$J$15,0)),-1)=-1,"status '"&amp;D433&amp;"' is not a CONTRACTS status",IF(AND(D433="signed",COUNTIF(signed_offices!$W$2:$W$51,C433)=0),"status signed but no signed_offices row"&amp;IF(F433="N"," and no tracker row",""),IF(AND(IFERROR(INDEX(Lists!$K$2:$K$15,MATCH(D433,Lists!$J$2:$J$15,0)),-1)&gt;=6,F433="N"),"status "&amp;D433&amp;" but no tracker row",IF(AND(E433="Y",D433&lt;&gt;"do_not_contact"),"do_not_contact = Y but status is "&amp;D433,IF(AND(D433="do_not_contact",E433&lt;&gt;"Y"),"status do_not_contact but do_not_contact is not Y",""))))))</f>
        <v/>
      </c>
      <c r="I433" s="23" t="n">
        <v>412</v>
      </c>
      <c r="J433" s="23" t="str">
        <f aca="false">IFERROR(INDEX(Clay_Brands!$A$2:$FZ$601,I433,$D$5)&amp;"","")</f>
        <v/>
      </c>
      <c r="K433" s="23" t="str">
        <f aca="false">IFERROR(INDEX(Clay_Brands!$A$2:$FZ$601,I433,$D$7)&amp;"","")</f>
        <v/>
      </c>
      <c r="L433" s="23" t="str">
        <f aca="false">IFERROR(INDEX(Clay_Brands!$A$2:$FZ$601,I433,$D$8)&amp;"","")</f>
        <v/>
      </c>
      <c r="M433" s="23" t="str">
        <f aca="false">IF(J433="","",IF(COUNTIF(Brand_Log!$A$2:$A$201,J433)&gt;0,"Y","N"))</f>
        <v/>
      </c>
      <c r="N433" s="34" t="str">
        <f aca="false">IF(OR(J433="",AND(LEFT(J433,6)="SAMPLE",Config!$B$19&lt;&gt;"Y")),"",IF(IFERROR(INDEX(Lists!$K$2:$K$15,MATCH(K433,Lists!$J$2:$J$15,0)),-1)=-1,"status '"&amp;K433&amp;"' is not a CONTRACTS status",IF(AND(K433="paid",COUNTIF(paid_brands!$AC$2:$AC$51,J433)=0),"status paid but no paid_brands row"&amp;IF(M433="N"," and no tracker row",""),IF(AND(IFERROR(INDEX(Lists!$K$2:$K$15,MATCH(K433,Lists!$J$2:$J$15,0)),-1)&gt;=6,M433="N"),"status "&amp;K433&amp;" but no tracker row",IF(AND(L433="Y",K433&lt;&gt;"do_not_contact"),"do_not_contact = Y but status is "&amp;K433,IF(AND(K433="do_not_contact",L433&lt;&gt;"Y"),"status do_not_contact but do_not_contact is not Y",""))))))</f>
        <v/>
      </c>
    </row>
    <row r="434" customFormat="false" ht="15" hidden="false" customHeight="false" outlineLevel="0" collapsed="false">
      <c r="B434" s="23" t="n">
        <v>413</v>
      </c>
      <c r="C434" s="23" t="str">
        <f aca="false">IFERROR(INDEX(Clay_Offices!$A$2:$FZ$601,B434,$C$5)&amp;"","")</f>
        <v/>
      </c>
      <c r="D434" s="23" t="str">
        <f aca="false">IFERROR(INDEX(Clay_Offices!$A$2:$FZ$601,B434,$C$7)&amp;"","")</f>
        <v/>
      </c>
      <c r="E434" s="23" t="str">
        <f aca="false">IFERROR(INDEX(Clay_Offices!$A$2:$FZ$601,B434,$C$8)&amp;"","")</f>
        <v/>
      </c>
      <c r="F434" s="23" t="str">
        <f aca="false">IF(C434="","",IF(COUNTIF(Office_Log!$A$2:$A$201,C434)&gt;0,"Y","N"))</f>
        <v/>
      </c>
      <c r="G434" s="34" t="str">
        <f aca="false">IF(OR(C434="",AND(LEFT(C434,6)="SAMPLE",Config!$B$19&lt;&gt;"Y")),"",IF(IFERROR(INDEX(Lists!$K$2:$K$15,MATCH(D434,Lists!$J$2:$J$15,0)),-1)=-1,"status '"&amp;D434&amp;"' is not a CONTRACTS status",IF(AND(D434="signed",COUNTIF(signed_offices!$W$2:$W$51,C434)=0),"status signed but no signed_offices row"&amp;IF(F434="N"," and no tracker row",""),IF(AND(IFERROR(INDEX(Lists!$K$2:$K$15,MATCH(D434,Lists!$J$2:$J$15,0)),-1)&gt;=6,F434="N"),"status "&amp;D434&amp;" but no tracker row",IF(AND(E434="Y",D434&lt;&gt;"do_not_contact"),"do_not_contact = Y but status is "&amp;D434,IF(AND(D434="do_not_contact",E434&lt;&gt;"Y"),"status do_not_contact but do_not_contact is not Y",""))))))</f>
        <v/>
      </c>
      <c r="I434" s="23" t="n">
        <v>413</v>
      </c>
      <c r="J434" s="23" t="str">
        <f aca="false">IFERROR(INDEX(Clay_Brands!$A$2:$FZ$601,I434,$D$5)&amp;"","")</f>
        <v/>
      </c>
      <c r="K434" s="23" t="str">
        <f aca="false">IFERROR(INDEX(Clay_Brands!$A$2:$FZ$601,I434,$D$7)&amp;"","")</f>
        <v/>
      </c>
      <c r="L434" s="23" t="str">
        <f aca="false">IFERROR(INDEX(Clay_Brands!$A$2:$FZ$601,I434,$D$8)&amp;"","")</f>
        <v/>
      </c>
      <c r="M434" s="23" t="str">
        <f aca="false">IF(J434="","",IF(COUNTIF(Brand_Log!$A$2:$A$201,J434)&gt;0,"Y","N"))</f>
        <v/>
      </c>
      <c r="N434" s="34" t="str">
        <f aca="false">IF(OR(J434="",AND(LEFT(J434,6)="SAMPLE",Config!$B$19&lt;&gt;"Y")),"",IF(IFERROR(INDEX(Lists!$K$2:$K$15,MATCH(K434,Lists!$J$2:$J$15,0)),-1)=-1,"status '"&amp;K434&amp;"' is not a CONTRACTS status",IF(AND(K434="paid",COUNTIF(paid_brands!$AC$2:$AC$51,J434)=0),"status paid but no paid_brands row"&amp;IF(M434="N"," and no tracker row",""),IF(AND(IFERROR(INDEX(Lists!$K$2:$K$15,MATCH(K434,Lists!$J$2:$J$15,0)),-1)&gt;=6,M434="N"),"status "&amp;K434&amp;" but no tracker row",IF(AND(L434="Y",K434&lt;&gt;"do_not_contact"),"do_not_contact = Y but status is "&amp;K434,IF(AND(K434="do_not_contact",L434&lt;&gt;"Y"),"status do_not_contact but do_not_contact is not Y",""))))))</f>
        <v/>
      </c>
    </row>
    <row r="435" customFormat="false" ht="15" hidden="false" customHeight="false" outlineLevel="0" collapsed="false">
      <c r="B435" s="23" t="n">
        <v>414</v>
      </c>
      <c r="C435" s="23" t="str">
        <f aca="false">IFERROR(INDEX(Clay_Offices!$A$2:$FZ$601,B435,$C$5)&amp;"","")</f>
        <v/>
      </c>
      <c r="D435" s="23" t="str">
        <f aca="false">IFERROR(INDEX(Clay_Offices!$A$2:$FZ$601,B435,$C$7)&amp;"","")</f>
        <v/>
      </c>
      <c r="E435" s="23" t="str">
        <f aca="false">IFERROR(INDEX(Clay_Offices!$A$2:$FZ$601,B435,$C$8)&amp;"","")</f>
        <v/>
      </c>
      <c r="F435" s="23" t="str">
        <f aca="false">IF(C435="","",IF(COUNTIF(Office_Log!$A$2:$A$201,C435)&gt;0,"Y","N"))</f>
        <v/>
      </c>
      <c r="G435" s="34" t="str">
        <f aca="false">IF(OR(C435="",AND(LEFT(C435,6)="SAMPLE",Config!$B$19&lt;&gt;"Y")),"",IF(IFERROR(INDEX(Lists!$K$2:$K$15,MATCH(D435,Lists!$J$2:$J$15,0)),-1)=-1,"status '"&amp;D435&amp;"' is not a CONTRACTS status",IF(AND(D435="signed",COUNTIF(signed_offices!$W$2:$W$51,C435)=0),"status signed but no signed_offices row"&amp;IF(F435="N"," and no tracker row",""),IF(AND(IFERROR(INDEX(Lists!$K$2:$K$15,MATCH(D435,Lists!$J$2:$J$15,0)),-1)&gt;=6,F435="N"),"status "&amp;D435&amp;" but no tracker row",IF(AND(E435="Y",D435&lt;&gt;"do_not_contact"),"do_not_contact = Y but status is "&amp;D435,IF(AND(D435="do_not_contact",E435&lt;&gt;"Y"),"status do_not_contact but do_not_contact is not Y",""))))))</f>
        <v/>
      </c>
      <c r="I435" s="23" t="n">
        <v>414</v>
      </c>
      <c r="J435" s="23" t="str">
        <f aca="false">IFERROR(INDEX(Clay_Brands!$A$2:$FZ$601,I435,$D$5)&amp;"","")</f>
        <v/>
      </c>
      <c r="K435" s="23" t="str">
        <f aca="false">IFERROR(INDEX(Clay_Brands!$A$2:$FZ$601,I435,$D$7)&amp;"","")</f>
        <v/>
      </c>
      <c r="L435" s="23" t="str">
        <f aca="false">IFERROR(INDEX(Clay_Brands!$A$2:$FZ$601,I435,$D$8)&amp;"","")</f>
        <v/>
      </c>
      <c r="M435" s="23" t="str">
        <f aca="false">IF(J435="","",IF(COUNTIF(Brand_Log!$A$2:$A$201,J435)&gt;0,"Y","N"))</f>
        <v/>
      </c>
      <c r="N435" s="34" t="str">
        <f aca="false">IF(OR(J435="",AND(LEFT(J435,6)="SAMPLE",Config!$B$19&lt;&gt;"Y")),"",IF(IFERROR(INDEX(Lists!$K$2:$K$15,MATCH(K435,Lists!$J$2:$J$15,0)),-1)=-1,"status '"&amp;K435&amp;"' is not a CONTRACTS status",IF(AND(K435="paid",COUNTIF(paid_brands!$AC$2:$AC$51,J435)=0),"status paid but no paid_brands row"&amp;IF(M435="N"," and no tracker row",""),IF(AND(IFERROR(INDEX(Lists!$K$2:$K$15,MATCH(K435,Lists!$J$2:$J$15,0)),-1)&gt;=6,M435="N"),"status "&amp;K435&amp;" but no tracker row",IF(AND(L435="Y",K435&lt;&gt;"do_not_contact"),"do_not_contact = Y but status is "&amp;K435,IF(AND(K435="do_not_contact",L435&lt;&gt;"Y"),"status do_not_contact but do_not_contact is not Y",""))))))</f>
        <v/>
      </c>
    </row>
    <row r="436" customFormat="false" ht="15" hidden="false" customHeight="false" outlineLevel="0" collapsed="false">
      <c r="B436" s="23" t="n">
        <v>415</v>
      </c>
      <c r="C436" s="23" t="str">
        <f aca="false">IFERROR(INDEX(Clay_Offices!$A$2:$FZ$601,B436,$C$5)&amp;"","")</f>
        <v/>
      </c>
      <c r="D436" s="23" t="str">
        <f aca="false">IFERROR(INDEX(Clay_Offices!$A$2:$FZ$601,B436,$C$7)&amp;"","")</f>
        <v/>
      </c>
      <c r="E436" s="23" t="str">
        <f aca="false">IFERROR(INDEX(Clay_Offices!$A$2:$FZ$601,B436,$C$8)&amp;"","")</f>
        <v/>
      </c>
      <c r="F436" s="23" t="str">
        <f aca="false">IF(C436="","",IF(COUNTIF(Office_Log!$A$2:$A$201,C436)&gt;0,"Y","N"))</f>
        <v/>
      </c>
      <c r="G436" s="34" t="str">
        <f aca="false">IF(OR(C436="",AND(LEFT(C436,6)="SAMPLE",Config!$B$19&lt;&gt;"Y")),"",IF(IFERROR(INDEX(Lists!$K$2:$K$15,MATCH(D436,Lists!$J$2:$J$15,0)),-1)=-1,"status '"&amp;D436&amp;"' is not a CONTRACTS status",IF(AND(D436="signed",COUNTIF(signed_offices!$W$2:$W$51,C436)=0),"status signed but no signed_offices row"&amp;IF(F436="N"," and no tracker row",""),IF(AND(IFERROR(INDEX(Lists!$K$2:$K$15,MATCH(D436,Lists!$J$2:$J$15,0)),-1)&gt;=6,F436="N"),"status "&amp;D436&amp;" but no tracker row",IF(AND(E436="Y",D436&lt;&gt;"do_not_contact"),"do_not_contact = Y but status is "&amp;D436,IF(AND(D436="do_not_contact",E436&lt;&gt;"Y"),"status do_not_contact but do_not_contact is not Y",""))))))</f>
        <v/>
      </c>
      <c r="I436" s="23" t="n">
        <v>415</v>
      </c>
      <c r="J436" s="23" t="str">
        <f aca="false">IFERROR(INDEX(Clay_Brands!$A$2:$FZ$601,I436,$D$5)&amp;"","")</f>
        <v/>
      </c>
      <c r="K436" s="23" t="str">
        <f aca="false">IFERROR(INDEX(Clay_Brands!$A$2:$FZ$601,I436,$D$7)&amp;"","")</f>
        <v/>
      </c>
      <c r="L436" s="23" t="str">
        <f aca="false">IFERROR(INDEX(Clay_Brands!$A$2:$FZ$601,I436,$D$8)&amp;"","")</f>
        <v/>
      </c>
      <c r="M436" s="23" t="str">
        <f aca="false">IF(J436="","",IF(COUNTIF(Brand_Log!$A$2:$A$201,J436)&gt;0,"Y","N"))</f>
        <v/>
      </c>
      <c r="N436" s="34" t="str">
        <f aca="false">IF(OR(J436="",AND(LEFT(J436,6)="SAMPLE",Config!$B$19&lt;&gt;"Y")),"",IF(IFERROR(INDEX(Lists!$K$2:$K$15,MATCH(K436,Lists!$J$2:$J$15,0)),-1)=-1,"status '"&amp;K436&amp;"' is not a CONTRACTS status",IF(AND(K436="paid",COUNTIF(paid_brands!$AC$2:$AC$51,J436)=0),"status paid but no paid_brands row"&amp;IF(M436="N"," and no tracker row",""),IF(AND(IFERROR(INDEX(Lists!$K$2:$K$15,MATCH(K436,Lists!$J$2:$J$15,0)),-1)&gt;=6,M436="N"),"status "&amp;K436&amp;" but no tracker row",IF(AND(L436="Y",K436&lt;&gt;"do_not_contact"),"do_not_contact = Y but status is "&amp;K436,IF(AND(K436="do_not_contact",L436&lt;&gt;"Y"),"status do_not_contact but do_not_contact is not Y",""))))))</f>
        <v/>
      </c>
    </row>
    <row r="437" customFormat="false" ht="15" hidden="false" customHeight="false" outlineLevel="0" collapsed="false">
      <c r="B437" s="23" t="n">
        <v>416</v>
      </c>
      <c r="C437" s="23" t="str">
        <f aca="false">IFERROR(INDEX(Clay_Offices!$A$2:$FZ$601,B437,$C$5)&amp;"","")</f>
        <v/>
      </c>
      <c r="D437" s="23" t="str">
        <f aca="false">IFERROR(INDEX(Clay_Offices!$A$2:$FZ$601,B437,$C$7)&amp;"","")</f>
        <v/>
      </c>
      <c r="E437" s="23" t="str">
        <f aca="false">IFERROR(INDEX(Clay_Offices!$A$2:$FZ$601,B437,$C$8)&amp;"","")</f>
        <v/>
      </c>
      <c r="F437" s="23" t="str">
        <f aca="false">IF(C437="","",IF(COUNTIF(Office_Log!$A$2:$A$201,C437)&gt;0,"Y","N"))</f>
        <v/>
      </c>
      <c r="G437" s="34" t="str">
        <f aca="false">IF(OR(C437="",AND(LEFT(C437,6)="SAMPLE",Config!$B$19&lt;&gt;"Y")),"",IF(IFERROR(INDEX(Lists!$K$2:$K$15,MATCH(D437,Lists!$J$2:$J$15,0)),-1)=-1,"status '"&amp;D437&amp;"' is not a CONTRACTS status",IF(AND(D437="signed",COUNTIF(signed_offices!$W$2:$W$51,C437)=0),"status signed but no signed_offices row"&amp;IF(F437="N"," and no tracker row",""),IF(AND(IFERROR(INDEX(Lists!$K$2:$K$15,MATCH(D437,Lists!$J$2:$J$15,0)),-1)&gt;=6,F437="N"),"status "&amp;D437&amp;" but no tracker row",IF(AND(E437="Y",D437&lt;&gt;"do_not_contact"),"do_not_contact = Y but status is "&amp;D437,IF(AND(D437="do_not_contact",E437&lt;&gt;"Y"),"status do_not_contact but do_not_contact is not Y",""))))))</f>
        <v/>
      </c>
      <c r="I437" s="23" t="n">
        <v>416</v>
      </c>
      <c r="J437" s="23" t="str">
        <f aca="false">IFERROR(INDEX(Clay_Brands!$A$2:$FZ$601,I437,$D$5)&amp;"","")</f>
        <v/>
      </c>
      <c r="K437" s="23" t="str">
        <f aca="false">IFERROR(INDEX(Clay_Brands!$A$2:$FZ$601,I437,$D$7)&amp;"","")</f>
        <v/>
      </c>
      <c r="L437" s="23" t="str">
        <f aca="false">IFERROR(INDEX(Clay_Brands!$A$2:$FZ$601,I437,$D$8)&amp;"","")</f>
        <v/>
      </c>
      <c r="M437" s="23" t="str">
        <f aca="false">IF(J437="","",IF(COUNTIF(Brand_Log!$A$2:$A$201,J437)&gt;0,"Y","N"))</f>
        <v/>
      </c>
      <c r="N437" s="34" t="str">
        <f aca="false">IF(OR(J437="",AND(LEFT(J437,6)="SAMPLE",Config!$B$19&lt;&gt;"Y")),"",IF(IFERROR(INDEX(Lists!$K$2:$K$15,MATCH(K437,Lists!$J$2:$J$15,0)),-1)=-1,"status '"&amp;K437&amp;"' is not a CONTRACTS status",IF(AND(K437="paid",COUNTIF(paid_brands!$AC$2:$AC$51,J437)=0),"status paid but no paid_brands row"&amp;IF(M437="N"," and no tracker row",""),IF(AND(IFERROR(INDEX(Lists!$K$2:$K$15,MATCH(K437,Lists!$J$2:$J$15,0)),-1)&gt;=6,M437="N"),"status "&amp;K437&amp;" but no tracker row",IF(AND(L437="Y",K437&lt;&gt;"do_not_contact"),"do_not_contact = Y but status is "&amp;K437,IF(AND(K437="do_not_contact",L437&lt;&gt;"Y"),"status do_not_contact but do_not_contact is not Y",""))))))</f>
        <v/>
      </c>
    </row>
    <row r="438" customFormat="false" ht="15" hidden="false" customHeight="false" outlineLevel="0" collapsed="false">
      <c r="B438" s="23" t="n">
        <v>417</v>
      </c>
      <c r="C438" s="23" t="str">
        <f aca="false">IFERROR(INDEX(Clay_Offices!$A$2:$FZ$601,B438,$C$5)&amp;"","")</f>
        <v/>
      </c>
      <c r="D438" s="23" t="str">
        <f aca="false">IFERROR(INDEX(Clay_Offices!$A$2:$FZ$601,B438,$C$7)&amp;"","")</f>
        <v/>
      </c>
      <c r="E438" s="23" t="str">
        <f aca="false">IFERROR(INDEX(Clay_Offices!$A$2:$FZ$601,B438,$C$8)&amp;"","")</f>
        <v/>
      </c>
      <c r="F438" s="23" t="str">
        <f aca="false">IF(C438="","",IF(COUNTIF(Office_Log!$A$2:$A$201,C438)&gt;0,"Y","N"))</f>
        <v/>
      </c>
      <c r="G438" s="34" t="str">
        <f aca="false">IF(OR(C438="",AND(LEFT(C438,6)="SAMPLE",Config!$B$19&lt;&gt;"Y")),"",IF(IFERROR(INDEX(Lists!$K$2:$K$15,MATCH(D438,Lists!$J$2:$J$15,0)),-1)=-1,"status '"&amp;D438&amp;"' is not a CONTRACTS status",IF(AND(D438="signed",COUNTIF(signed_offices!$W$2:$W$51,C438)=0),"status signed but no signed_offices row"&amp;IF(F438="N"," and no tracker row",""),IF(AND(IFERROR(INDEX(Lists!$K$2:$K$15,MATCH(D438,Lists!$J$2:$J$15,0)),-1)&gt;=6,F438="N"),"status "&amp;D438&amp;" but no tracker row",IF(AND(E438="Y",D438&lt;&gt;"do_not_contact"),"do_not_contact = Y but status is "&amp;D438,IF(AND(D438="do_not_contact",E438&lt;&gt;"Y"),"status do_not_contact but do_not_contact is not Y",""))))))</f>
        <v/>
      </c>
      <c r="I438" s="23" t="n">
        <v>417</v>
      </c>
      <c r="J438" s="23" t="str">
        <f aca="false">IFERROR(INDEX(Clay_Brands!$A$2:$FZ$601,I438,$D$5)&amp;"","")</f>
        <v/>
      </c>
      <c r="K438" s="23" t="str">
        <f aca="false">IFERROR(INDEX(Clay_Brands!$A$2:$FZ$601,I438,$D$7)&amp;"","")</f>
        <v/>
      </c>
      <c r="L438" s="23" t="str">
        <f aca="false">IFERROR(INDEX(Clay_Brands!$A$2:$FZ$601,I438,$D$8)&amp;"","")</f>
        <v/>
      </c>
      <c r="M438" s="23" t="str">
        <f aca="false">IF(J438="","",IF(COUNTIF(Brand_Log!$A$2:$A$201,J438)&gt;0,"Y","N"))</f>
        <v/>
      </c>
      <c r="N438" s="34" t="str">
        <f aca="false">IF(OR(J438="",AND(LEFT(J438,6)="SAMPLE",Config!$B$19&lt;&gt;"Y")),"",IF(IFERROR(INDEX(Lists!$K$2:$K$15,MATCH(K438,Lists!$J$2:$J$15,0)),-1)=-1,"status '"&amp;K438&amp;"' is not a CONTRACTS status",IF(AND(K438="paid",COUNTIF(paid_brands!$AC$2:$AC$51,J438)=0),"status paid but no paid_brands row"&amp;IF(M438="N"," and no tracker row",""),IF(AND(IFERROR(INDEX(Lists!$K$2:$K$15,MATCH(K438,Lists!$J$2:$J$15,0)),-1)&gt;=6,M438="N"),"status "&amp;K438&amp;" but no tracker row",IF(AND(L438="Y",K438&lt;&gt;"do_not_contact"),"do_not_contact = Y but status is "&amp;K438,IF(AND(K438="do_not_contact",L438&lt;&gt;"Y"),"status do_not_contact but do_not_contact is not Y",""))))))</f>
        <v/>
      </c>
    </row>
    <row r="439" customFormat="false" ht="15" hidden="false" customHeight="false" outlineLevel="0" collapsed="false">
      <c r="B439" s="23" t="n">
        <v>418</v>
      </c>
      <c r="C439" s="23" t="str">
        <f aca="false">IFERROR(INDEX(Clay_Offices!$A$2:$FZ$601,B439,$C$5)&amp;"","")</f>
        <v/>
      </c>
      <c r="D439" s="23" t="str">
        <f aca="false">IFERROR(INDEX(Clay_Offices!$A$2:$FZ$601,B439,$C$7)&amp;"","")</f>
        <v/>
      </c>
      <c r="E439" s="23" t="str">
        <f aca="false">IFERROR(INDEX(Clay_Offices!$A$2:$FZ$601,B439,$C$8)&amp;"","")</f>
        <v/>
      </c>
      <c r="F439" s="23" t="str">
        <f aca="false">IF(C439="","",IF(COUNTIF(Office_Log!$A$2:$A$201,C439)&gt;0,"Y","N"))</f>
        <v/>
      </c>
      <c r="G439" s="34" t="str">
        <f aca="false">IF(OR(C439="",AND(LEFT(C439,6)="SAMPLE",Config!$B$19&lt;&gt;"Y")),"",IF(IFERROR(INDEX(Lists!$K$2:$K$15,MATCH(D439,Lists!$J$2:$J$15,0)),-1)=-1,"status '"&amp;D439&amp;"' is not a CONTRACTS status",IF(AND(D439="signed",COUNTIF(signed_offices!$W$2:$W$51,C439)=0),"status signed but no signed_offices row"&amp;IF(F439="N"," and no tracker row",""),IF(AND(IFERROR(INDEX(Lists!$K$2:$K$15,MATCH(D439,Lists!$J$2:$J$15,0)),-1)&gt;=6,F439="N"),"status "&amp;D439&amp;" but no tracker row",IF(AND(E439="Y",D439&lt;&gt;"do_not_contact"),"do_not_contact = Y but status is "&amp;D439,IF(AND(D439="do_not_contact",E439&lt;&gt;"Y"),"status do_not_contact but do_not_contact is not Y",""))))))</f>
        <v/>
      </c>
      <c r="I439" s="23" t="n">
        <v>418</v>
      </c>
      <c r="J439" s="23" t="str">
        <f aca="false">IFERROR(INDEX(Clay_Brands!$A$2:$FZ$601,I439,$D$5)&amp;"","")</f>
        <v/>
      </c>
      <c r="K439" s="23" t="str">
        <f aca="false">IFERROR(INDEX(Clay_Brands!$A$2:$FZ$601,I439,$D$7)&amp;"","")</f>
        <v/>
      </c>
      <c r="L439" s="23" t="str">
        <f aca="false">IFERROR(INDEX(Clay_Brands!$A$2:$FZ$601,I439,$D$8)&amp;"","")</f>
        <v/>
      </c>
      <c r="M439" s="23" t="str">
        <f aca="false">IF(J439="","",IF(COUNTIF(Brand_Log!$A$2:$A$201,J439)&gt;0,"Y","N"))</f>
        <v/>
      </c>
      <c r="N439" s="34" t="str">
        <f aca="false">IF(OR(J439="",AND(LEFT(J439,6)="SAMPLE",Config!$B$19&lt;&gt;"Y")),"",IF(IFERROR(INDEX(Lists!$K$2:$K$15,MATCH(K439,Lists!$J$2:$J$15,0)),-1)=-1,"status '"&amp;K439&amp;"' is not a CONTRACTS status",IF(AND(K439="paid",COUNTIF(paid_brands!$AC$2:$AC$51,J439)=0),"status paid but no paid_brands row"&amp;IF(M439="N"," and no tracker row",""),IF(AND(IFERROR(INDEX(Lists!$K$2:$K$15,MATCH(K439,Lists!$J$2:$J$15,0)),-1)&gt;=6,M439="N"),"status "&amp;K439&amp;" but no tracker row",IF(AND(L439="Y",K439&lt;&gt;"do_not_contact"),"do_not_contact = Y but status is "&amp;K439,IF(AND(K439="do_not_contact",L439&lt;&gt;"Y"),"status do_not_contact but do_not_contact is not Y",""))))))</f>
        <v/>
      </c>
    </row>
    <row r="440" customFormat="false" ht="15" hidden="false" customHeight="false" outlineLevel="0" collapsed="false">
      <c r="B440" s="23" t="n">
        <v>419</v>
      </c>
      <c r="C440" s="23" t="str">
        <f aca="false">IFERROR(INDEX(Clay_Offices!$A$2:$FZ$601,B440,$C$5)&amp;"","")</f>
        <v/>
      </c>
      <c r="D440" s="23" t="str">
        <f aca="false">IFERROR(INDEX(Clay_Offices!$A$2:$FZ$601,B440,$C$7)&amp;"","")</f>
        <v/>
      </c>
      <c r="E440" s="23" t="str">
        <f aca="false">IFERROR(INDEX(Clay_Offices!$A$2:$FZ$601,B440,$C$8)&amp;"","")</f>
        <v/>
      </c>
      <c r="F440" s="23" t="str">
        <f aca="false">IF(C440="","",IF(COUNTIF(Office_Log!$A$2:$A$201,C440)&gt;0,"Y","N"))</f>
        <v/>
      </c>
      <c r="G440" s="34" t="str">
        <f aca="false">IF(OR(C440="",AND(LEFT(C440,6)="SAMPLE",Config!$B$19&lt;&gt;"Y")),"",IF(IFERROR(INDEX(Lists!$K$2:$K$15,MATCH(D440,Lists!$J$2:$J$15,0)),-1)=-1,"status '"&amp;D440&amp;"' is not a CONTRACTS status",IF(AND(D440="signed",COUNTIF(signed_offices!$W$2:$W$51,C440)=0),"status signed but no signed_offices row"&amp;IF(F440="N"," and no tracker row",""),IF(AND(IFERROR(INDEX(Lists!$K$2:$K$15,MATCH(D440,Lists!$J$2:$J$15,0)),-1)&gt;=6,F440="N"),"status "&amp;D440&amp;" but no tracker row",IF(AND(E440="Y",D440&lt;&gt;"do_not_contact"),"do_not_contact = Y but status is "&amp;D440,IF(AND(D440="do_not_contact",E440&lt;&gt;"Y"),"status do_not_contact but do_not_contact is not Y",""))))))</f>
        <v/>
      </c>
      <c r="I440" s="23" t="n">
        <v>419</v>
      </c>
      <c r="J440" s="23" t="str">
        <f aca="false">IFERROR(INDEX(Clay_Brands!$A$2:$FZ$601,I440,$D$5)&amp;"","")</f>
        <v/>
      </c>
      <c r="K440" s="23" t="str">
        <f aca="false">IFERROR(INDEX(Clay_Brands!$A$2:$FZ$601,I440,$D$7)&amp;"","")</f>
        <v/>
      </c>
      <c r="L440" s="23" t="str">
        <f aca="false">IFERROR(INDEX(Clay_Brands!$A$2:$FZ$601,I440,$D$8)&amp;"","")</f>
        <v/>
      </c>
      <c r="M440" s="23" t="str">
        <f aca="false">IF(J440="","",IF(COUNTIF(Brand_Log!$A$2:$A$201,J440)&gt;0,"Y","N"))</f>
        <v/>
      </c>
      <c r="N440" s="34" t="str">
        <f aca="false">IF(OR(J440="",AND(LEFT(J440,6)="SAMPLE",Config!$B$19&lt;&gt;"Y")),"",IF(IFERROR(INDEX(Lists!$K$2:$K$15,MATCH(K440,Lists!$J$2:$J$15,0)),-1)=-1,"status '"&amp;K440&amp;"' is not a CONTRACTS status",IF(AND(K440="paid",COUNTIF(paid_brands!$AC$2:$AC$51,J440)=0),"status paid but no paid_brands row"&amp;IF(M440="N"," and no tracker row",""),IF(AND(IFERROR(INDEX(Lists!$K$2:$K$15,MATCH(K440,Lists!$J$2:$J$15,0)),-1)&gt;=6,M440="N"),"status "&amp;K440&amp;" but no tracker row",IF(AND(L440="Y",K440&lt;&gt;"do_not_contact"),"do_not_contact = Y but status is "&amp;K440,IF(AND(K440="do_not_contact",L440&lt;&gt;"Y"),"status do_not_contact but do_not_contact is not Y",""))))))</f>
        <v/>
      </c>
    </row>
    <row r="441" customFormat="false" ht="15" hidden="false" customHeight="false" outlineLevel="0" collapsed="false">
      <c r="B441" s="23" t="n">
        <v>420</v>
      </c>
      <c r="C441" s="23" t="str">
        <f aca="false">IFERROR(INDEX(Clay_Offices!$A$2:$FZ$601,B441,$C$5)&amp;"","")</f>
        <v/>
      </c>
      <c r="D441" s="23" t="str">
        <f aca="false">IFERROR(INDEX(Clay_Offices!$A$2:$FZ$601,B441,$C$7)&amp;"","")</f>
        <v/>
      </c>
      <c r="E441" s="23" t="str">
        <f aca="false">IFERROR(INDEX(Clay_Offices!$A$2:$FZ$601,B441,$C$8)&amp;"","")</f>
        <v/>
      </c>
      <c r="F441" s="23" t="str">
        <f aca="false">IF(C441="","",IF(COUNTIF(Office_Log!$A$2:$A$201,C441)&gt;0,"Y","N"))</f>
        <v/>
      </c>
      <c r="G441" s="34" t="str">
        <f aca="false">IF(OR(C441="",AND(LEFT(C441,6)="SAMPLE",Config!$B$19&lt;&gt;"Y")),"",IF(IFERROR(INDEX(Lists!$K$2:$K$15,MATCH(D441,Lists!$J$2:$J$15,0)),-1)=-1,"status '"&amp;D441&amp;"' is not a CONTRACTS status",IF(AND(D441="signed",COUNTIF(signed_offices!$W$2:$W$51,C441)=0),"status signed but no signed_offices row"&amp;IF(F441="N"," and no tracker row",""),IF(AND(IFERROR(INDEX(Lists!$K$2:$K$15,MATCH(D441,Lists!$J$2:$J$15,0)),-1)&gt;=6,F441="N"),"status "&amp;D441&amp;" but no tracker row",IF(AND(E441="Y",D441&lt;&gt;"do_not_contact"),"do_not_contact = Y but status is "&amp;D441,IF(AND(D441="do_not_contact",E441&lt;&gt;"Y"),"status do_not_contact but do_not_contact is not Y",""))))))</f>
        <v/>
      </c>
      <c r="I441" s="23" t="n">
        <v>420</v>
      </c>
      <c r="J441" s="23" t="str">
        <f aca="false">IFERROR(INDEX(Clay_Brands!$A$2:$FZ$601,I441,$D$5)&amp;"","")</f>
        <v/>
      </c>
      <c r="K441" s="23" t="str">
        <f aca="false">IFERROR(INDEX(Clay_Brands!$A$2:$FZ$601,I441,$D$7)&amp;"","")</f>
        <v/>
      </c>
      <c r="L441" s="23" t="str">
        <f aca="false">IFERROR(INDEX(Clay_Brands!$A$2:$FZ$601,I441,$D$8)&amp;"","")</f>
        <v/>
      </c>
      <c r="M441" s="23" t="str">
        <f aca="false">IF(J441="","",IF(COUNTIF(Brand_Log!$A$2:$A$201,J441)&gt;0,"Y","N"))</f>
        <v/>
      </c>
      <c r="N441" s="34" t="str">
        <f aca="false">IF(OR(J441="",AND(LEFT(J441,6)="SAMPLE",Config!$B$19&lt;&gt;"Y")),"",IF(IFERROR(INDEX(Lists!$K$2:$K$15,MATCH(K441,Lists!$J$2:$J$15,0)),-1)=-1,"status '"&amp;K441&amp;"' is not a CONTRACTS status",IF(AND(K441="paid",COUNTIF(paid_brands!$AC$2:$AC$51,J441)=0),"status paid but no paid_brands row"&amp;IF(M441="N"," and no tracker row",""),IF(AND(IFERROR(INDEX(Lists!$K$2:$K$15,MATCH(K441,Lists!$J$2:$J$15,0)),-1)&gt;=6,M441="N"),"status "&amp;K441&amp;" but no tracker row",IF(AND(L441="Y",K441&lt;&gt;"do_not_contact"),"do_not_contact = Y but status is "&amp;K441,IF(AND(K441="do_not_contact",L441&lt;&gt;"Y"),"status do_not_contact but do_not_contact is not Y",""))))))</f>
        <v/>
      </c>
    </row>
    <row r="442" customFormat="false" ht="15" hidden="false" customHeight="false" outlineLevel="0" collapsed="false">
      <c r="B442" s="23" t="n">
        <v>421</v>
      </c>
      <c r="C442" s="23" t="str">
        <f aca="false">IFERROR(INDEX(Clay_Offices!$A$2:$FZ$601,B442,$C$5)&amp;"","")</f>
        <v/>
      </c>
      <c r="D442" s="23" t="str">
        <f aca="false">IFERROR(INDEX(Clay_Offices!$A$2:$FZ$601,B442,$C$7)&amp;"","")</f>
        <v/>
      </c>
      <c r="E442" s="23" t="str">
        <f aca="false">IFERROR(INDEX(Clay_Offices!$A$2:$FZ$601,B442,$C$8)&amp;"","")</f>
        <v/>
      </c>
      <c r="F442" s="23" t="str">
        <f aca="false">IF(C442="","",IF(COUNTIF(Office_Log!$A$2:$A$201,C442)&gt;0,"Y","N"))</f>
        <v/>
      </c>
      <c r="G442" s="34" t="str">
        <f aca="false">IF(OR(C442="",AND(LEFT(C442,6)="SAMPLE",Config!$B$19&lt;&gt;"Y")),"",IF(IFERROR(INDEX(Lists!$K$2:$K$15,MATCH(D442,Lists!$J$2:$J$15,0)),-1)=-1,"status '"&amp;D442&amp;"' is not a CONTRACTS status",IF(AND(D442="signed",COUNTIF(signed_offices!$W$2:$W$51,C442)=0),"status signed but no signed_offices row"&amp;IF(F442="N"," and no tracker row",""),IF(AND(IFERROR(INDEX(Lists!$K$2:$K$15,MATCH(D442,Lists!$J$2:$J$15,0)),-1)&gt;=6,F442="N"),"status "&amp;D442&amp;" but no tracker row",IF(AND(E442="Y",D442&lt;&gt;"do_not_contact"),"do_not_contact = Y but status is "&amp;D442,IF(AND(D442="do_not_contact",E442&lt;&gt;"Y"),"status do_not_contact but do_not_contact is not Y",""))))))</f>
        <v/>
      </c>
      <c r="I442" s="23" t="n">
        <v>421</v>
      </c>
      <c r="J442" s="23" t="str">
        <f aca="false">IFERROR(INDEX(Clay_Brands!$A$2:$FZ$601,I442,$D$5)&amp;"","")</f>
        <v/>
      </c>
      <c r="K442" s="23" t="str">
        <f aca="false">IFERROR(INDEX(Clay_Brands!$A$2:$FZ$601,I442,$D$7)&amp;"","")</f>
        <v/>
      </c>
      <c r="L442" s="23" t="str">
        <f aca="false">IFERROR(INDEX(Clay_Brands!$A$2:$FZ$601,I442,$D$8)&amp;"","")</f>
        <v/>
      </c>
      <c r="M442" s="23" t="str">
        <f aca="false">IF(J442="","",IF(COUNTIF(Brand_Log!$A$2:$A$201,J442)&gt;0,"Y","N"))</f>
        <v/>
      </c>
      <c r="N442" s="34" t="str">
        <f aca="false">IF(OR(J442="",AND(LEFT(J442,6)="SAMPLE",Config!$B$19&lt;&gt;"Y")),"",IF(IFERROR(INDEX(Lists!$K$2:$K$15,MATCH(K442,Lists!$J$2:$J$15,0)),-1)=-1,"status '"&amp;K442&amp;"' is not a CONTRACTS status",IF(AND(K442="paid",COUNTIF(paid_brands!$AC$2:$AC$51,J442)=0),"status paid but no paid_brands row"&amp;IF(M442="N"," and no tracker row",""),IF(AND(IFERROR(INDEX(Lists!$K$2:$K$15,MATCH(K442,Lists!$J$2:$J$15,0)),-1)&gt;=6,M442="N"),"status "&amp;K442&amp;" but no tracker row",IF(AND(L442="Y",K442&lt;&gt;"do_not_contact"),"do_not_contact = Y but status is "&amp;K442,IF(AND(K442="do_not_contact",L442&lt;&gt;"Y"),"status do_not_contact but do_not_contact is not Y",""))))))</f>
        <v/>
      </c>
    </row>
    <row r="443" customFormat="false" ht="15" hidden="false" customHeight="false" outlineLevel="0" collapsed="false">
      <c r="B443" s="23" t="n">
        <v>422</v>
      </c>
      <c r="C443" s="23" t="str">
        <f aca="false">IFERROR(INDEX(Clay_Offices!$A$2:$FZ$601,B443,$C$5)&amp;"","")</f>
        <v/>
      </c>
      <c r="D443" s="23" t="str">
        <f aca="false">IFERROR(INDEX(Clay_Offices!$A$2:$FZ$601,B443,$C$7)&amp;"","")</f>
        <v/>
      </c>
      <c r="E443" s="23" t="str">
        <f aca="false">IFERROR(INDEX(Clay_Offices!$A$2:$FZ$601,B443,$C$8)&amp;"","")</f>
        <v/>
      </c>
      <c r="F443" s="23" t="str">
        <f aca="false">IF(C443="","",IF(COUNTIF(Office_Log!$A$2:$A$201,C443)&gt;0,"Y","N"))</f>
        <v/>
      </c>
      <c r="G443" s="34" t="str">
        <f aca="false">IF(OR(C443="",AND(LEFT(C443,6)="SAMPLE",Config!$B$19&lt;&gt;"Y")),"",IF(IFERROR(INDEX(Lists!$K$2:$K$15,MATCH(D443,Lists!$J$2:$J$15,0)),-1)=-1,"status '"&amp;D443&amp;"' is not a CONTRACTS status",IF(AND(D443="signed",COUNTIF(signed_offices!$W$2:$W$51,C443)=0),"status signed but no signed_offices row"&amp;IF(F443="N"," and no tracker row",""),IF(AND(IFERROR(INDEX(Lists!$K$2:$K$15,MATCH(D443,Lists!$J$2:$J$15,0)),-1)&gt;=6,F443="N"),"status "&amp;D443&amp;" but no tracker row",IF(AND(E443="Y",D443&lt;&gt;"do_not_contact"),"do_not_contact = Y but status is "&amp;D443,IF(AND(D443="do_not_contact",E443&lt;&gt;"Y"),"status do_not_contact but do_not_contact is not Y",""))))))</f>
        <v/>
      </c>
      <c r="I443" s="23" t="n">
        <v>422</v>
      </c>
      <c r="J443" s="23" t="str">
        <f aca="false">IFERROR(INDEX(Clay_Brands!$A$2:$FZ$601,I443,$D$5)&amp;"","")</f>
        <v/>
      </c>
      <c r="K443" s="23" t="str">
        <f aca="false">IFERROR(INDEX(Clay_Brands!$A$2:$FZ$601,I443,$D$7)&amp;"","")</f>
        <v/>
      </c>
      <c r="L443" s="23" t="str">
        <f aca="false">IFERROR(INDEX(Clay_Brands!$A$2:$FZ$601,I443,$D$8)&amp;"","")</f>
        <v/>
      </c>
      <c r="M443" s="23" t="str">
        <f aca="false">IF(J443="","",IF(COUNTIF(Brand_Log!$A$2:$A$201,J443)&gt;0,"Y","N"))</f>
        <v/>
      </c>
      <c r="N443" s="34" t="str">
        <f aca="false">IF(OR(J443="",AND(LEFT(J443,6)="SAMPLE",Config!$B$19&lt;&gt;"Y")),"",IF(IFERROR(INDEX(Lists!$K$2:$K$15,MATCH(K443,Lists!$J$2:$J$15,0)),-1)=-1,"status '"&amp;K443&amp;"' is not a CONTRACTS status",IF(AND(K443="paid",COUNTIF(paid_brands!$AC$2:$AC$51,J443)=0),"status paid but no paid_brands row"&amp;IF(M443="N"," and no tracker row",""),IF(AND(IFERROR(INDEX(Lists!$K$2:$K$15,MATCH(K443,Lists!$J$2:$J$15,0)),-1)&gt;=6,M443="N"),"status "&amp;K443&amp;" but no tracker row",IF(AND(L443="Y",K443&lt;&gt;"do_not_contact"),"do_not_contact = Y but status is "&amp;K443,IF(AND(K443="do_not_contact",L443&lt;&gt;"Y"),"status do_not_contact but do_not_contact is not Y",""))))))</f>
        <v/>
      </c>
    </row>
    <row r="444" customFormat="false" ht="15" hidden="false" customHeight="false" outlineLevel="0" collapsed="false">
      <c r="B444" s="23" t="n">
        <v>423</v>
      </c>
      <c r="C444" s="23" t="str">
        <f aca="false">IFERROR(INDEX(Clay_Offices!$A$2:$FZ$601,B444,$C$5)&amp;"","")</f>
        <v/>
      </c>
      <c r="D444" s="23" t="str">
        <f aca="false">IFERROR(INDEX(Clay_Offices!$A$2:$FZ$601,B444,$C$7)&amp;"","")</f>
        <v/>
      </c>
      <c r="E444" s="23" t="str">
        <f aca="false">IFERROR(INDEX(Clay_Offices!$A$2:$FZ$601,B444,$C$8)&amp;"","")</f>
        <v/>
      </c>
      <c r="F444" s="23" t="str">
        <f aca="false">IF(C444="","",IF(COUNTIF(Office_Log!$A$2:$A$201,C444)&gt;0,"Y","N"))</f>
        <v/>
      </c>
      <c r="G444" s="34" t="str">
        <f aca="false">IF(OR(C444="",AND(LEFT(C444,6)="SAMPLE",Config!$B$19&lt;&gt;"Y")),"",IF(IFERROR(INDEX(Lists!$K$2:$K$15,MATCH(D444,Lists!$J$2:$J$15,0)),-1)=-1,"status '"&amp;D444&amp;"' is not a CONTRACTS status",IF(AND(D444="signed",COUNTIF(signed_offices!$W$2:$W$51,C444)=0),"status signed but no signed_offices row"&amp;IF(F444="N"," and no tracker row",""),IF(AND(IFERROR(INDEX(Lists!$K$2:$K$15,MATCH(D444,Lists!$J$2:$J$15,0)),-1)&gt;=6,F444="N"),"status "&amp;D444&amp;" but no tracker row",IF(AND(E444="Y",D444&lt;&gt;"do_not_contact"),"do_not_contact = Y but status is "&amp;D444,IF(AND(D444="do_not_contact",E444&lt;&gt;"Y"),"status do_not_contact but do_not_contact is not Y",""))))))</f>
        <v/>
      </c>
      <c r="I444" s="23" t="n">
        <v>423</v>
      </c>
      <c r="J444" s="23" t="str">
        <f aca="false">IFERROR(INDEX(Clay_Brands!$A$2:$FZ$601,I444,$D$5)&amp;"","")</f>
        <v/>
      </c>
      <c r="K444" s="23" t="str">
        <f aca="false">IFERROR(INDEX(Clay_Brands!$A$2:$FZ$601,I444,$D$7)&amp;"","")</f>
        <v/>
      </c>
      <c r="L444" s="23" t="str">
        <f aca="false">IFERROR(INDEX(Clay_Brands!$A$2:$FZ$601,I444,$D$8)&amp;"","")</f>
        <v/>
      </c>
      <c r="M444" s="23" t="str">
        <f aca="false">IF(J444="","",IF(COUNTIF(Brand_Log!$A$2:$A$201,J444)&gt;0,"Y","N"))</f>
        <v/>
      </c>
      <c r="N444" s="34" t="str">
        <f aca="false">IF(OR(J444="",AND(LEFT(J444,6)="SAMPLE",Config!$B$19&lt;&gt;"Y")),"",IF(IFERROR(INDEX(Lists!$K$2:$K$15,MATCH(K444,Lists!$J$2:$J$15,0)),-1)=-1,"status '"&amp;K444&amp;"' is not a CONTRACTS status",IF(AND(K444="paid",COUNTIF(paid_brands!$AC$2:$AC$51,J444)=0),"status paid but no paid_brands row"&amp;IF(M444="N"," and no tracker row",""),IF(AND(IFERROR(INDEX(Lists!$K$2:$K$15,MATCH(K444,Lists!$J$2:$J$15,0)),-1)&gt;=6,M444="N"),"status "&amp;K444&amp;" but no tracker row",IF(AND(L444="Y",K444&lt;&gt;"do_not_contact"),"do_not_contact = Y but status is "&amp;K444,IF(AND(K444="do_not_contact",L444&lt;&gt;"Y"),"status do_not_contact but do_not_contact is not Y",""))))))</f>
        <v/>
      </c>
    </row>
    <row r="445" customFormat="false" ht="15" hidden="false" customHeight="false" outlineLevel="0" collapsed="false">
      <c r="B445" s="23" t="n">
        <v>424</v>
      </c>
      <c r="C445" s="23" t="str">
        <f aca="false">IFERROR(INDEX(Clay_Offices!$A$2:$FZ$601,B445,$C$5)&amp;"","")</f>
        <v/>
      </c>
      <c r="D445" s="23" t="str">
        <f aca="false">IFERROR(INDEX(Clay_Offices!$A$2:$FZ$601,B445,$C$7)&amp;"","")</f>
        <v/>
      </c>
      <c r="E445" s="23" t="str">
        <f aca="false">IFERROR(INDEX(Clay_Offices!$A$2:$FZ$601,B445,$C$8)&amp;"","")</f>
        <v/>
      </c>
      <c r="F445" s="23" t="str">
        <f aca="false">IF(C445="","",IF(COUNTIF(Office_Log!$A$2:$A$201,C445)&gt;0,"Y","N"))</f>
        <v/>
      </c>
      <c r="G445" s="34" t="str">
        <f aca="false">IF(OR(C445="",AND(LEFT(C445,6)="SAMPLE",Config!$B$19&lt;&gt;"Y")),"",IF(IFERROR(INDEX(Lists!$K$2:$K$15,MATCH(D445,Lists!$J$2:$J$15,0)),-1)=-1,"status '"&amp;D445&amp;"' is not a CONTRACTS status",IF(AND(D445="signed",COUNTIF(signed_offices!$W$2:$W$51,C445)=0),"status signed but no signed_offices row"&amp;IF(F445="N"," and no tracker row",""),IF(AND(IFERROR(INDEX(Lists!$K$2:$K$15,MATCH(D445,Lists!$J$2:$J$15,0)),-1)&gt;=6,F445="N"),"status "&amp;D445&amp;" but no tracker row",IF(AND(E445="Y",D445&lt;&gt;"do_not_contact"),"do_not_contact = Y but status is "&amp;D445,IF(AND(D445="do_not_contact",E445&lt;&gt;"Y"),"status do_not_contact but do_not_contact is not Y",""))))))</f>
        <v/>
      </c>
      <c r="I445" s="23" t="n">
        <v>424</v>
      </c>
      <c r="J445" s="23" t="str">
        <f aca="false">IFERROR(INDEX(Clay_Brands!$A$2:$FZ$601,I445,$D$5)&amp;"","")</f>
        <v/>
      </c>
      <c r="K445" s="23" t="str">
        <f aca="false">IFERROR(INDEX(Clay_Brands!$A$2:$FZ$601,I445,$D$7)&amp;"","")</f>
        <v/>
      </c>
      <c r="L445" s="23" t="str">
        <f aca="false">IFERROR(INDEX(Clay_Brands!$A$2:$FZ$601,I445,$D$8)&amp;"","")</f>
        <v/>
      </c>
      <c r="M445" s="23" t="str">
        <f aca="false">IF(J445="","",IF(COUNTIF(Brand_Log!$A$2:$A$201,J445)&gt;0,"Y","N"))</f>
        <v/>
      </c>
      <c r="N445" s="34" t="str">
        <f aca="false">IF(OR(J445="",AND(LEFT(J445,6)="SAMPLE",Config!$B$19&lt;&gt;"Y")),"",IF(IFERROR(INDEX(Lists!$K$2:$K$15,MATCH(K445,Lists!$J$2:$J$15,0)),-1)=-1,"status '"&amp;K445&amp;"' is not a CONTRACTS status",IF(AND(K445="paid",COUNTIF(paid_brands!$AC$2:$AC$51,J445)=0),"status paid but no paid_brands row"&amp;IF(M445="N"," and no tracker row",""),IF(AND(IFERROR(INDEX(Lists!$K$2:$K$15,MATCH(K445,Lists!$J$2:$J$15,0)),-1)&gt;=6,M445="N"),"status "&amp;K445&amp;" but no tracker row",IF(AND(L445="Y",K445&lt;&gt;"do_not_contact"),"do_not_contact = Y but status is "&amp;K445,IF(AND(K445="do_not_contact",L445&lt;&gt;"Y"),"status do_not_contact but do_not_contact is not Y",""))))))</f>
        <v/>
      </c>
    </row>
    <row r="446" customFormat="false" ht="15" hidden="false" customHeight="false" outlineLevel="0" collapsed="false">
      <c r="B446" s="23" t="n">
        <v>425</v>
      </c>
      <c r="C446" s="23" t="str">
        <f aca="false">IFERROR(INDEX(Clay_Offices!$A$2:$FZ$601,B446,$C$5)&amp;"","")</f>
        <v/>
      </c>
      <c r="D446" s="23" t="str">
        <f aca="false">IFERROR(INDEX(Clay_Offices!$A$2:$FZ$601,B446,$C$7)&amp;"","")</f>
        <v/>
      </c>
      <c r="E446" s="23" t="str">
        <f aca="false">IFERROR(INDEX(Clay_Offices!$A$2:$FZ$601,B446,$C$8)&amp;"","")</f>
        <v/>
      </c>
      <c r="F446" s="23" t="str">
        <f aca="false">IF(C446="","",IF(COUNTIF(Office_Log!$A$2:$A$201,C446)&gt;0,"Y","N"))</f>
        <v/>
      </c>
      <c r="G446" s="34" t="str">
        <f aca="false">IF(OR(C446="",AND(LEFT(C446,6)="SAMPLE",Config!$B$19&lt;&gt;"Y")),"",IF(IFERROR(INDEX(Lists!$K$2:$K$15,MATCH(D446,Lists!$J$2:$J$15,0)),-1)=-1,"status '"&amp;D446&amp;"' is not a CONTRACTS status",IF(AND(D446="signed",COUNTIF(signed_offices!$W$2:$W$51,C446)=0),"status signed but no signed_offices row"&amp;IF(F446="N"," and no tracker row",""),IF(AND(IFERROR(INDEX(Lists!$K$2:$K$15,MATCH(D446,Lists!$J$2:$J$15,0)),-1)&gt;=6,F446="N"),"status "&amp;D446&amp;" but no tracker row",IF(AND(E446="Y",D446&lt;&gt;"do_not_contact"),"do_not_contact = Y but status is "&amp;D446,IF(AND(D446="do_not_contact",E446&lt;&gt;"Y"),"status do_not_contact but do_not_contact is not Y",""))))))</f>
        <v/>
      </c>
      <c r="I446" s="23" t="n">
        <v>425</v>
      </c>
      <c r="J446" s="23" t="str">
        <f aca="false">IFERROR(INDEX(Clay_Brands!$A$2:$FZ$601,I446,$D$5)&amp;"","")</f>
        <v/>
      </c>
      <c r="K446" s="23" t="str">
        <f aca="false">IFERROR(INDEX(Clay_Brands!$A$2:$FZ$601,I446,$D$7)&amp;"","")</f>
        <v/>
      </c>
      <c r="L446" s="23" t="str">
        <f aca="false">IFERROR(INDEX(Clay_Brands!$A$2:$FZ$601,I446,$D$8)&amp;"","")</f>
        <v/>
      </c>
      <c r="M446" s="23" t="str">
        <f aca="false">IF(J446="","",IF(COUNTIF(Brand_Log!$A$2:$A$201,J446)&gt;0,"Y","N"))</f>
        <v/>
      </c>
      <c r="N446" s="34" t="str">
        <f aca="false">IF(OR(J446="",AND(LEFT(J446,6)="SAMPLE",Config!$B$19&lt;&gt;"Y")),"",IF(IFERROR(INDEX(Lists!$K$2:$K$15,MATCH(K446,Lists!$J$2:$J$15,0)),-1)=-1,"status '"&amp;K446&amp;"' is not a CONTRACTS status",IF(AND(K446="paid",COUNTIF(paid_brands!$AC$2:$AC$51,J446)=0),"status paid but no paid_brands row"&amp;IF(M446="N"," and no tracker row",""),IF(AND(IFERROR(INDEX(Lists!$K$2:$K$15,MATCH(K446,Lists!$J$2:$J$15,0)),-1)&gt;=6,M446="N"),"status "&amp;K446&amp;" but no tracker row",IF(AND(L446="Y",K446&lt;&gt;"do_not_contact"),"do_not_contact = Y but status is "&amp;K446,IF(AND(K446="do_not_contact",L446&lt;&gt;"Y"),"status do_not_contact but do_not_contact is not Y",""))))))</f>
        <v/>
      </c>
    </row>
    <row r="447" customFormat="false" ht="15" hidden="false" customHeight="false" outlineLevel="0" collapsed="false">
      <c r="B447" s="23" t="n">
        <v>426</v>
      </c>
      <c r="C447" s="23" t="str">
        <f aca="false">IFERROR(INDEX(Clay_Offices!$A$2:$FZ$601,B447,$C$5)&amp;"","")</f>
        <v/>
      </c>
      <c r="D447" s="23" t="str">
        <f aca="false">IFERROR(INDEX(Clay_Offices!$A$2:$FZ$601,B447,$C$7)&amp;"","")</f>
        <v/>
      </c>
      <c r="E447" s="23" t="str">
        <f aca="false">IFERROR(INDEX(Clay_Offices!$A$2:$FZ$601,B447,$C$8)&amp;"","")</f>
        <v/>
      </c>
      <c r="F447" s="23" t="str">
        <f aca="false">IF(C447="","",IF(COUNTIF(Office_Log!$A$2:$A$201,C447)&gt;0,"Y","N"))</f>
        <v/>
      </c>
      <c r="G447" s="34" t="str">
        <f aca="false">IF(OR(C447="",AND(LEFT(C447,6)="SAMPLE",Config!$B$19&lt;&gt;"Y")),"",IF(IFERROR(INDEX(Lists!$K$2:$K$15,MATCH(D447,Lists!$J$2:$J$15,0)),-1)=-1,"status '"&amp;D447&amp;"' is not a CONTRACTS status",IF(AND(D447="signed",COUNTIF(signed_offices!$W$2:$W$51,C447)=0),"status signed but no signed_offices row"&amp;IF(F447="N"," and no tracker row",""),IF(AND(IFERROR(INDEX(Lists!$K$2:$K$15,MATCH(D447,Lists!$J$2:$J$15,0)),-1)&gt;=6,F447="N"),"status "&amp;D447&amp;" but no tracker row",IF(AND(E447="Y",D447&lt;&gt;"do_not_contact"),"do_not_contact = Y but status is "&amp;D447,IF(AND(D447="do_not_contact",E447&lt;&gt;"Y"),"status do_not_contact but do_not_contact is not Y",""))))))</f>
        <v/>
      </c>
      <c r="I447" s="23" t="n">
        <v>426</v>
      </c>
      <c r="J447" s="23" t="str">
        <f aca="false">IFERROR(INDEX(Clay_Brands!$A$2:$FZ$601,I447,$D$5)&amp;"","")</f>
        <v/>
      </c>
      <c r="K447" s="23" t="str">
        <f aca="false">IFERROR(INDEX(Clay_Brands!$A$2:$FZ$601,I447,$D$7)&amp;"","")</f>
        <v/>
      </c>
      <c r="L447" s="23" t="str">
        <f aca="false">IFERROR(INDEX(Clay_Brands!$A$2:$FZ$601,I447,$D$8)&amp;"","")</f>
        <v/>
      </c>
      <c r="M447" s="23" t="str">
        <f aca="false">IF(J447="","",IF(COUNTIF(Brand_Log!$A$2:$A$201,J447)&gt;0,"Y","N"))</f>
        <v/>
      </c>
      <c r="N447" s="34" t="str">
        <f aca="false">IF(OR(J447="",AND(LEFT(J447,6)="SAMPLE",Config!$B$19&lt;&gt;"Y")),"",IF(IFERROR(INDEX(Lists!$K$2:$K$15,MATCH(K447,Lists!$J$2:$J$15,0)),-1)=-1,"status '"&amp;K447&amp;"' is not a CONTRACTS status",IF(AND(K447="paid",COUNTIF(paid_brands!$AC$2:$AC$51,J447)=0),"status paid but no paid_brands row"&amp;IF(M447="N"," and no tracker row",""),IF(AND(IFERROR(INDEX(Lists!$K$2:$K$15,MATCH(K447,Lists!$J$2:$J$15,0)),-1)&gt;=6,M447="N"),"status "&amp;K447&amp;" but no tracker row",IF(AND(L447="Y",K447&lt;&gt;"do_not_contact"),"do_not_contact = Y but status is "&amp;K447,IF(AND(K447="do_not_contact",L447&lt;&gt;"Y"),"status do_not_contact but do_not_contact is not Y",""))))))</f>
        <v/>
      </c>
    </row>
    <row r="448" customFormat="false" ht="15" hidden="false" customHeight="false" outlineLevel="0" collapsed="false">
      <c r="B448" s="23" t="n">
        <v>427</v>
      </c>
      <c r="C448" s="23" t="str">
        <f aca="false">IFERROR(INDEX(Clay_Offices!$A$2:$FZ$601,B448,$C$5)&amp;"","")</f>
        <v/>
      </c>
      <c r="D448" s="23" t="str">
        <f aca="false">IFERROR(INDEX(Clay_Offices!$A$2:$FZ$601,B448,$C$7)&amp;"","")</f>
        <v/>
      </c>
      <c r="E448" s="23" t="str">
        <f aca="false">IFERROR(INDEX(Clay_Offices!$A$2:$FZ$601,B448,$C$8)&amp;"","")</f>
        <v/>
      </c>
      <c r="F448" s="23" t="str">
        <f aca="false">IF(C448="","",IF(COUNTIF(Office_Log!$A$2:$A$201,C448)&gt;0,"Y","N"))</f>
        <v/>
      </c>
      <c r="G448" s="34" t="str">
        <f aca="false">IF(OR(C448="",AND(LEFT(C448,6)="SAMPLE",Config!$B$19&lt;&gt;"Y")),"",IF(IFERROR(INDEX(Lists!$K$2:$K$15,MATCH(D448,Lists!$J$2:$J$15,0)),-1)=-1,"status '"&amp;D448&amp;"' is not a CONTRACTS status",IF(AND(D448="signed",COUNTIF(signed_offices!$W$2:$W$51,C448)=0),"status signed but no signed_offices row"&amp;IF(F448="N"," and no tracker row",""),IF(AND(IFERROR(INDEX(Lists!$K$2:$K$15,MATCH(D448,Lists!$J$2:$J$15,0)),-1)&gt;=6,F448="N"),"status "&amp;D448&amp;" but no tracker row",IF(AND(E448="Y",D448&lt;&gt;"do_not_contact"),"do_not_contact = Y but status is "&amp;D448,IF(AND(D448="do_not_contact",E448&lt;&gt;"Y"),"status do_not_contact but do_not_contact is not Y",""))))))</f>
        <v/>
      </c>
      <c r="I448" s="23" t="n">
        <v>427</v>
      </c>
      <c r="J448" s="23" t="str">
        <f aca="false">IFERROR(INDEX(Clay_Brands!$A$2:$FZ$601,I448,$D$5)&amp;"","")</f>
        <v/>
      </c>
      <c r="K448" s="23" t="str">
        <f aca="false">IFERROR(INDEX(Clay_Brands!$A$2:$FZ$601,I448,$D$7)&amp;"","")</f>
        <v/>
      </c>
      <c r="L448" s="23" t="str">
        <f aca="false">IFERROR(INDEX(Clay_Brands!$A$2:$FZ$601,I448,$D$8)&amp;"","")</f>
        <v/>
      </c>
      <c r="M448" s="23" t="str">
        <f aca="false">IF(J448="","",IF(COUNTIF(Brand_Log!$A$2:$A$201,J448)&gt;0,"Y","N"))</f>
        <v/>
      </c>
      <c r="N448" s="34" t="str">
        <f aca="false">IF(OR(J448="",AND(LEFT(J448,6)="SAMPLE",Config!$B$19&lt;&gt;"Y")),"",IF(IFERROR(INDEX(Lists!$K$2:$K$15,MATCH(K448,Lists!$J$2:$J$15,0)),-1)=-1,"status '"&amp;K448&amp;"' is not a CONTRACTS status",IF(AND(K448="paid",COUNTIF(paid_brands!$AC$2:$AC$51,J448)=0),"status paid but no paid_brands row"&amp;IF(M448="N"," and no tracker row",""),IF(AND(IFERROR(INDEX(Lists!$K$2:$K$15,MATCH(K448,Lists!$J$2:$J$15,0)),-1)&gt;=6,M448="N"),"status "&amp;K448&amp;" but no tracker row",IF(AND(L448="Y",K448&lt;&gt;"do_not_contact"),"do_not_contact = Y but status is "&amp;K448,IF(AND(K448="do_not_contact",L448&lt;&gt;"Y"),"status do_not_contact but do_not_contact is not Y",""))))))</f>
        <v/>
      </c>
    </row>
    <row r="449" customFormat="false" ht="15" hidden="false" customHeight="false" outlineLevel="0" collapsed="false">
      <c r="B449" s="23" t="n">
        <v>428</v>
      </c>
      <c r="C449" s="23" t="str">
        <f aca="false">IFERROR(INDEX(Clay_Offices!$A$2:$FZ$601,B449,$C$5)&amp;"","")</f>
        <v/>
      </c>
      <c r="D449" s="23" t="str">
        <f aca="false">IFERROR(INDEX(Clay_Offices!$A$2:$FZ$601,B449,$C$7)&amp;"","")</f>
        <v/>
      </c>
      <c r="E449" s="23" t="str">
        <f aca="false">IFERROR(INDEX(Clay_Offices!$A$2:$FZ$601,B449,$C$8)&amp;"","")</f>
        <v/>
      </c>
      <c r="F449" s="23" t="str">
        <f aca="false">IF(C449="","",IF(COUNTIF(Office_Log!$A$2:$A$201,C449)&gt;0,"Y","N"))</f>
        <v/>
      </c>
      <c r="G449" s="34" t="str">
        <f aca="false">IF(OR(C449="",AND(LEFT(C449,6)="SAMPLE",Config!$B$19&lt;&gt;"Y")),"",IF(IFERROR(INDEX(Lists!$K$2:$K$15,MATCH(D449,Lists!$J$2:$J$15,0)),-1)=-1,"status '"&amp;D449&amp;"' is not a CONTRACTS status",IF(AND(D449="signed",COUNTIF(signed_offices!$W$2:$W$51,C449)=0),"status signed but no signed_offices row"&amp;IF(F449="N"," and no tracker row",""),IF(AND(IFERROR(INDEX(Lists!$K$2:$K$15,MATCH(D449,Lists!$J$2:$J$15,0)),-1)&gt;=6,F449="N"),"status "&amp;D449&amp;" but no tracker row",IF(AND(E449="Y",D449&lt;&gt;"do_not_contact"),"do_not_contact = Y but status is "&amp;D449,IF(AND(D449="do_not_contact",E449&lt;&gt;"Y"),"status do_not_contact but do_not_contact is not Y",""))))))</f>
        <v/>
      </c>
      <c r="I449" s="23" t="n">
        <v>428</v>
      </c>
      <c r="J449" s="23" t="str">
        <f aca="false">IFERROR(INDEX(Clay_Brands!$A$2:$FZ$601,I449,$D$5)&amp;"","")</f>
        <v/>
      </c>
      <c r="K449" s="23" t="str">
        <f aca="false">IFERROR(INDEX(Clay_Brands!$A$2:$FZ$601,I449,$D$7)&amp;"","")</f>
        <v/>
      </c>
      <c r="L449" s="23" t="str">
        <f aca="false">IFERROR(INDEX(Clay_Brands!$A$2:$FZ$601,I449,$D$8)&amp;"","")</f>
        <v/>
      </c>
      <c r="M449" s="23" t="str">
        <f aca="false">IF(J449="","",IF(COUNTIF(Brand_Log!$A$2:$A$201,J449)&gt;0,"Y","N"))</f>
        <v/>
      </c>
      <c r="N449" s="34" t="str">
        <f aca="false">IF(OR(J449="",AND(LEFT(J449,6)="SAMPLE",Config!$B$19&lt;&gt;"Y")),"",IF(IFERROR(INDEX(Lists!$K$2:$K$15,MATCH(K449,Lists!$J$2:$J$15,0)),-1)=-1,"status '"&amp;K449&amp;"' is not a CONTRACTS status",IF(AND(K449="paid",COUNTIF(paid_brands!$AC$2:$AC$51,J449)=0),"status paid but no paid_brands row"&amp;IF(M449="N"," and no tracker row",""),IF(AND(IFERROR(INDEX(Lists!$K$2:$K$15,MATCH(K449,Lists!$J$2:$J$15,0)),-1)&gt;=6,M449="N"),"status "&amp;K449&amp;" but no tracker row",IF(AND(L449="Y",K449&lt;&gt;"do_not_contact"),"do_not_contact = Y but status is "&amp;K449,IF(AND(K449="do_not_contact",L449&lt;&gt;"Y"),"status do_not_contact but do_not_contact is not Y",""))))))</f>
        <v/>
      </c>
    </row>
    <row r="450" customFormat="false" ht="15" hidden="false" customHeight="false" outlineLevel="0" collapsed="false">
      <c r="B450" s="23" t="n">
        <v>429</v>
      </c>
      <c r="C450" s="23" t="str">
        <f aca="false">IFERROR(INDEX(Clay_Offices!$A$2:$FZ$601,B450,$C$5)&amp;"","")</f>
        <v/>
      </c>
      <c r="D450" s="23" t="str">
        <f aca="false">IFERROR(INDEX(Clay_Offices!$A$2:$FZ$601,B450,$C$7)&amp;"","")</f>
        <v/>
      </c>
      <c r="E450" s="23" t="str">
        <f aca="false">IFERROR(INDEX(Clay_Offices!$A$2:$FZ$601,B450,$C$8)&amp;"","")</f>
        <v/>
      </c>
      <c r="F450" s="23" t="str">
        <f aca="false">IF(C450="","",IF(COUNTIF(Office_Log!$A$2:$A$201,C450)&gt;0,"Y","N"))</f>
        <v/>
      </c>
      <c r="G450" s="34" t="str">
        <f aca="false">IF(OR(C450="",AND(LEFT(C450,6)="SAMPLE",Config!$B$19&lt;&gt;"Y")),"",IF(IFERROR(INDEX(Lists!$K$2:$K$15,MATCH(D450,Lists!$J$2:$J$15,0)),-1)=-1,"status '"&amp;D450&amp;"' is not a CONTRACTS status",IF(AND(D450="signed",COUNTIF(signed_offices!$W$2:$W$51,C450)=0),"status signed but no signed_offices row"&amp;IF(F450="N"," and no tracker row",""),IF(AND(IFERROR(INDEX(Lists!$K$2:$K$15,MATCH(D450,Lists!$J$2:$J$15,0)),-1)&gt;=6,F450="N"),"status "&amp;D450&amp;" but no tracker row",IF(AND(E450="Y",D450&lt;&gt;"do_not_contact"),"do_not_contact = Y but status is "&amp;D450,IF(AND(D450="do_not_contact",E450&lt;&gt;"Y"),"status do_not_contact but do_not_contact is not Y",""))))))</f>
        <v/>
      </c>
      <c r="I450" s="23" t="n">
        <v>429</v>
      </c>
      <c r="J450" s="23" t="str">
        <f aca="false">IFERROR(INDEX(Clay_Brands!$A$2:$FZ$601,I450,$D$5)&amp;"","")</f>
        <v/>
      </c>
      <c r="K450" s="23" t="str">
        <f aca="false">IFERROR(INDEX(Clay_Brands!$A$2:$FZ$601,I450,$D$7)&amp;"","")</f>
        <v/>
      </c>
      <c r="L450" s="23" t="str">
        <f aca="false">IFERROR(INDEX(Clay_Brands!$A$2:$FZ$601,I450,$D$8)&amp;"","")</f>
        <v/>
      </c>
      <c r="M450" s="23" t="str">
        <f aca="false">IF(J450="","",IF(COUNTIF(Brand_Log!$A$2:$A$201,J450)&gt;0,"Y","N"))</f>
        <v/>
      </c>
      <c r="N450" s="34" t="str">
        <f aca="false">IF(OR(J450="",AND(LEFT(J450,6)="SAMPLE",Config!$B$19&lt;&gt;"Y")),"",IF(IFERROR(INDEX(Lists!$K$2:$K$15,MATCH(K450,Lists!$J$2:$J$15,0)),-1)=-1,"status '"&amp;K450&amp;"' is not a CONTRACTS status",IF(AND(K450="paid",COUNTIF(paid_brands!$AC$2:$AC$51,J450)=0),"status paid but no paid_brands row"&amp;IF(M450="N"," and no tracker row",""),IF(AND(IFERROR(INDEX(Lists!$K$2:$K$15,MATCH(K450,Lists!$J$2:$J$15,0)),-1)&gt;=6,M450="N"),"status "&amp;K450&amp;" but no tracker row",IF(AND(L450="Y",K450&lt;&gt;"do_not_contact"),"do_not_contact = Y but status is "&amp;K450,IF(AND(K450="do_not_contact",L450&lt;&gt;"Y"),"status do_not_contact but do_not_contact is not Y",""))))))</f>
        <v/>
      </c>
    </row>
    <row r="451" customFormat="false" ht="15" hidden="false" customHeight="false" outlineLevel="0" collapsed="false">
      <c r="B451" s="23" t="n">
        <v>430</v>
      </c>
      <c r="C451" s="23" t="str">
        <f aca="false">IFERROR(INDEX(Clay_Offices!$A$2:$FZ$601,B451,$C$5)&amp;"","")</f>
        <v/>
      </c>
      <c r="D451" s="23" t="str">
        <f aca="false">IFERROR(INDEX(Clay_Offices!$A$2:$FZ$601,B451,$C$7)&amp;"","")</f>
        <v/>
      </c>
      <c r="E451" s="23" t="str">
        <f aca="false">IFERROR(INDEX(Clay_Offices!$A$2:$FZ$601,B451,$C$8)&amp;"","")</f>
        <v/>
      </c>
      <c r="F451" s="23" t="str">
        <f aca="false">IF(C451="","",IF(COUNTIF(Office_Log!$A$2:$A$201,C451)&gt;0,"Y","N"))</f>
        <v/>
      </c>
      <c r="G451" s="34" t="str">
        <f aca="false">IF(OR(C451="",AND(LEFT(C451,6)="SAMPLE",Config!$B$19&lt;&gt;"Y")),"",IF(IFERROR(INDEX(Lists!$K$2:$K$15,MATCH(D451,Lists!$J$2:$J$15,0)),-1)=-1,"status '"&amp;D451&amp;"' is not a CONTRACTS status",IF(AND(D451="signed",COUNTIF(signed_offices!$W$2:$W$51,C451)=0),"status signed but no signed_offices row"&amp;IF(F451="N"," and no tracker row",""),IF(AND(IFERROR(INDEX(Lists!$K$2:$K$15,MATCH(D451,Lists!$J$2:$J$15,0)),-1)&gt;=6,F451="N"),"status "&amp;D451&amp;" but no tracker row",IF(AND(E451="Y",D451&lt;&gt;"do_not_contact"),"do_not_contact = Y but status is "&amp;D451,IF(AND(D451="do_not_contact",E451&lt;&gt;"Y"),"status do_not_contact but do_not_contact is not Y",""))))))</f>
        <v/>
      </c>
      <c r="I451" s="23" t="n">
        <v>430</v>
      </c>
      <c r="J451" s="23" t="str">
        <f aca="false">IFERROR(INDEX(Clay_Brands!$A$2:$FZ$601,I451,$D$5)&amp;"","")</f>
        <v/>
      </c>
      <c r="K451" s="23" t="str">
        <f aca="false">IFERROR(INDEX(Clay_Brands!$A$2:$FZ$601,I451,$D$7)&amp;"","")</f>
        <v/>
      </c>
      <c r="L451" s="23" t="str">
        <f aca="false">IFERROR(INDEX(Clay_Brands!$A$2:$FZ$601,I451,$D$8)&amp;"","")</f>
        <v/>
      </c>
      <c r="M451" s="23" t="str">
        <f aca="false">IF(J451="","",IF(COUNTIF(Brand_Log!$A$2:$A$201,J451)&gt;0,"Y","N"))</f>
        <v/>
      </c>
      <c r="N451" s="34" t="str">
        <f aca="false">IF(OR(J451="",AND(LEFT(J451,6)="SAMPLE",Config!$B$19&lt;&gt;"Y")),"",IF(IFERROR(INDEX(Lists!$K$2:$K$15,MATCH(K451,Lists!$J$2:$J$15,0)),-1)=-1,"status '"&amp;K451&amp;"' is not a CONTRACTS status",IF(AND(K451="paid",COUNTIF(paid_brands!$AC$2:$AC$51,J451)=0),"status paid but no paid_brands row"&amp;IF(M451="N"," and no tracker row",""),IF(AND(IFERROR(INDEX(Lists!$K$2:$K$15,MATCH(K451,Lists!$J$2:$J$15,0)),-1)&gt;=6,M451="N"),"status "&amp;K451&amp;" but no tracker row",IF(AND(L451="Y",K451&lt;&gt;"do_not_contact"),"do_not_contact = Y but status is "&amp;K451,IF(AND(K451="do_not_contact",L451&lt;&gt;"Y"),"status do_not_contact but do_not_contact is not Y",""))))))</f>
        <v/>
      </c>
    </row>
    <row r="452" customFormat="false" ht="15" hidden="false" customHeight="false" outlineLevel="0" collapsed="false">
      <c r="B452" s="23" t="n">
        <v>431</v>
      </c>
      <c r="C452" s="23" t="str">
        <f aca="false">IFERROR(INDEX(Clay_Offices!$A$2:$FZ$601,B452,$C$5)&amp;"","")</f>
        <v/>
      </c>
      <c r="D452" s="23" t="str">
        <f aca="false">IFERROR(INDEX(Clay_Offices!$A$2:$FZ$601,B452,$C$7)&amp;"","")</f>
        <v/>
      </c>
      <c r="E452" s="23" t="str">
        <f aca="false">IFERROR(INDEX(Clay_Offices!$A$2:$FZ$601,B452,$C$8)&amp;"","")</f>
        <v/>
      </c>
      <c r="F452" s="23" t="str">
        <f aca="false">IF(C452="","",IF(COUNTIF(Office_Log!$A$2:$A$201,C452)&gt;0,"Y","N"))</f>
        <v/>
      </c>
      <c r="G452" s="34" t="str">
        <f aca="false">IF(OR(C452="",AND(LEFT(C452,6)="SAMPLE",Config!$B$19&lt;&gt;"Y")),"",IF(IFERROR(INDEX(Lists!$K$2:$K$15,MATCH(D452,Lists!$J$2:$J$15,0)),-1)=-1,"status '"&amp;D452&amp;"' is not a CONTRACTS status",IF(AND(D452="signed",COUNTIF(signed_offices!$W$2:$W$51,C452)=0),"status signed but no signed_offices row"&amp;IF(F452="N"," and no tracker row",""),IF(AND(IFERROR(INDEX(Lists!$K$2:$K$15,MATCH(D452,Lists!$J$2:$J$15,0)),-1)&gt;=6,F452="N"),"status "&amp;D452&amp;" but no tracker row",IF(AND(E452="Y",D452&lt;&gt;"do_not_contact"),"do_not_contact = Y but status is "&amp;D452,IF(AND(D452="do_not_contact",E452&lt;&gt;"Y"),"status do_not_contact but do_not_contact is not Y",""))))))</f>
        <v/>
      </c>
      <c r="I452" s="23" t="n">
        <v>431</v>
      </c>
      <c r="J452" s="23" t="str">
        <f aca="false">IFERROR(INDEX(Clay_Brands!$A$2:$FZ$601,I452,$D$5)&amp;"","")</f>
        <v/>
      </c>
      <c r="K452" s="23" t="str">
        <f aca="false">IFERROR(INDEX(Clay_Brands!$A$2:$FZ$601,I452,$D$7)&amp;"","")</f>
        <v/>
      </c>
      <c r="L452" s="23" t="str">
        <f aca="false">IFERROR(INDEX(Clay_Brands!$A$2:$FZ$601,I452,$D$8)&amp;"","")</f>
        <v/>
      </c>
      <c r="M452" s="23" t="str">
        <f aca="false">IF(J452="","",IF(COUNTIF(Brand_Log!$A$2:$A$201,J452)&gt;0,"Y","N"))</f>
        <v/>
      </c>
      <c r="N452" s="34" t="str">
        <f aca="false">IF(OR(J452="",AND(LEFT(J452,6)="SAMPLE",Config!$B$19&lt;&gt;"Y")),"",IF(IFERROR(INDEX(Lists!$K$2:$K$15,MATCH(K452,Lists!$J$2:$J$15,0)),-1)=-1,"status '"&amp;K452&amp;"' is not a CONTRACTS status",IF(AND(K452="paid",COUNTIF(paid_brands!$AC$2:$AC$51,J452)=0),"status paid but no paid_brands row"&amp;IF(M452="N"," and no tracker row",""),IF(AND(IFERROR(INDEX(Lists!$K$2:$K$15,MATCH(K452,Lists!$J$2:$J$15,0)),-1)&gt;=6,M452="N"),"status "&amp;K452&amp;" but no tracker row",IF(AND(L452="Y",K452&lt;&gt;"do_not_contact"),"do_not_contact = Y but status is "&amp;K452,IF(AND(K452="do_not_contact",L452&lt;&gt;"Y"),"status do_not_contact but do_not_contact is not Y",""))))))</f>
        <v/>
      </c>
    </row>
    <row r="453" customFormat="false" ht="15" hidden="false" customHeight="false" outlineLevel="0" collapsed="false">
      <c r="B453" s="23" t="n">
        <v>432</v>
      </c>
      <c r="C453" s="23" t="str">
        <f aca="false">IFERROR(INDEX(Clay_Offices!$A$2:$FZ$601,B453,$C$5)&amp;"","")</f>
        <v/>
      </c>
      <c r="D453" s="23" t="str">
        <f aca="false">IFERROR(INDEX(Clay_Offices!$A$2:$FZ$601,B453,$C$7)&amp;"","")</f>
        <v/>
      </c>
      <c r="E453" s="23" t="str">
        <f aca="false">IFERROR(INDEX(Clay_Offices!$A$2:$FZ$601,B453,$C$8)&amp;"","")</f>
        <v/>
      </c>
      <c r="F453" s="23" t="str">
        <f aca="false">IF(C453="","",IF(COUNTIF(Office_Log!$A$2:$A$201,C453)&gt;0,"Y","N"))</f>
        <v/>
      </c>
      <c r="G453" s="34" t="str">
        <f aca="false">IF(OR(C453="",AND(LEFT(C453,6)="SAMPLE",Config!$B$19&lt;&gt;"Y")),"",IF(IFERROR(INDEX(Lists!$K$2:$K$15,MATCH(D453,Lists!$J$2:$J$15,0)),-1)=-1,"status '"&amp;D453&amp;"' is not a CONTRACTS status",IF(AND(D453="signed",COUNTIF(signed_offices!$W$2:$W$51,C453)=0),"status signed but no signed_offices row"&amp;IF(F453="N"," and no tracker row",""),IF(AND(IFERROR(INDEX(Lists!$K$2:$K$15,MATCH(D453,Lists!$J$2:$J$15,0)),-1)&gt;=6,F453="N"),"status "&amp;D453&amp;" but no tracker row",IF(AND(E453="Y",D453&lt;&gt;"do_not_contact"),"do_not_contact = Y but status is "&amp;D453,IF(AND(D453="do_not_contact",E453&lt;&gt;"Y"),"status do_not_contact but do_not_contact is not Y",""))))))</f>
        <v/>
      </c>
      <c r="I453" s="23" t="n">
        <v>432</v>
      </c>
      <c r="J453" s="23" t="str">
        <f aca="false">IFERROR(INDEX(Clay_Brands!$A$2:$FZ$601,I453,$D$5)&amp;"","")</f>
        <v/>
      </c>
      <c r="K453" s="23" t="str">
        <f aca="false">IFERROR(INDEX(Clay_Brands!$A$2:$FZ$601,I453,$D$7)&amp;"","")</f>
        <v/>
      </c>
      <c r="L453" s="23" t="str">
        <f aca="false">IFERROR(INDEX(Clay_Brands!$A$2:$FZ$601,I453,$D$8)&amp;"","")</f>
        <v/>
      </c>
      <c r="M453" s="23" t="str">
        <f aca="false">IF(J453="","",IF(COUNTIF(Brand_Log!$A$2:$A$201,J453)&gt;0,"Y","N"))</f>
        <v/>
      </c>
      <c r="N453" s="34" t="str">
        <f aca="false">IF(OR(J453="",AND(LEFT(J453,6)="SAMPLE",Config!$B$19&lt;&gt;"Y")),"",IF(IFERROR(INDEX(Lists!$K$2:$K$15,MATCH(K453,Lists!$J$2:$J$15,0)),-1)=-1,"status '"&amp;K453&amp;"' is not a CONTRACTS status",IF(AND(K453="paid",COUNTIF(paid_brands!$AC$2:$AC$51,J453)=0),"status paid but no paid_brands row"&amp;IF(M453="N"," and no tracker row",""),IF(AND(IFERROR(INDEX(Lists!$K$2:$K$15,MATCH(K453,Lists!$J$2:$J$15,0)),-1)&gt;=6,M453="N"),"status "&amp;K453&amp;" but no tracker row",IF(AND(L453="Y",K453&lt;&gt;"do_not_contact"),"do_not_contact = Y but status is "&amp;K453,IF(AND(K453="do_not_contact",L453&lt;&gt;"Y"),"status do_not_contact but do_not_contact is not Y",""))))))</f>
        <v/>
      </c>
    </row>
    <row r="454" customFormat="false" ht="15" hidden="false" customHeight="false" outlineLevel="0" collapsed="false">
      <c r="B454" s="23" t="n">
        <v>433</v>
      </c>
      <c r="C454" s="23" t="str">
        <f aca="false">IFERROR(INDEX(Clay_Offices!$A$2:$FZ$601,B454,$C$5)&amp;"","")</f>
        <v/>
      </c>
      <c r="D454" s="23" t="str">
        <f aca="false">IFERROR(INDEX(Clay_Offices!$A$2:$FZ$601,B454,$C$7)&amp;"","")</f>
        <v/>
      </c>
      <c r="E454" s="23" t="str">
        <f aca="false">IFERROR(INDEX(Clay_Offices!$A$2:$FZ$601,B454,$C$8)&amp;"","")</f>
        <v/>
      </c>
      <c r="F454" s="23" t="str">
        <f aca="false">IF(C454="","",IF(COUNTIF(Office_Log!$A$2:$A$201,C454)&gt;0,"Y","N"))</f>
        <v/>
      </c>
      <c r="G454" s="34" t="str">
        <f aca="false">IF(OR(C454="",AND(LEFT(C454,6)="SAMPLE",Config!$B$19&lt;&gt;"Y")),"",IF(IFERROR(INDEX(Lists!$K$2:$K$15,MATCH(D454,Lists!$J$2:$J$15,0)),-1)=-1,"status '"&amp;D454&amp;"' is not a CONTRACTS status",IF(AND(D454="signed",COUNTIF(signed_offices!$W$2:$W$51,C454)=0),"status signed but no signed_offices row"&amp;IF(F454="N"," and no tracker row",""),IF(AND(IFERROR(INDEX(Lists!$K$2:$K$15,MATCH(D454,Lists!$J$2:$J$15,0)),-1)&gt;=6,F454="N"),"status "&amp;D454&amp;" but no tracker row",IF(AND(E454="Y",D454&lt;&gt;"do_not_contact"),"do_not_contact = Y but status is "&amp;D454,IF(AND(D454="do_not_contact",E454&lt;&gt;"Y"),"status do_not_contact but do_not_contact is not Y",""))))))</f>
        <v/>
      </c>
      <c r="I454" s="23" t="n">
        <v>433</v>
      </c>
      <c r="J454" s="23" t="str">
        <f aca="false">IFERROR(INDEX(Clay_Brands!$A$2:$FZ$601,I454,$D$5)&amp;"","")</f>
        <v/>
      </c>
      <c r="K454" s="23" t="str">
        <f aca="false">IFERROR(INDEX(Clay_Brands!$A$2:$FZ$601,I454,$D$7)&amp;"","")</f>
        <v/>
      </c>
      <c r="L454" s="23" t="str">
        <f aca="false">IFERROR(INDEX(Clay_Brands!$A$2:$FZ$601,I454,$D$8)&amp;"","")</f>
        <v/>
      </c>
      <c r="M454" s="23" t="str">
        <f aca="false">IF(J454="","",IF(COUNTIF(Brand_Log!$A$2:$A$201,J454)&gt;0,"Y","N"))</f>
        <v/>
      </c>
      <c r="N454" s="34" t="str">
        <f aca="false">IF(OR(J454="",AND(LEFT(J454,6)="SAMPLE",Config!$B$19&lt;&gt;"Y")),"",IF(IFERROR(INDEX(Lists!$K$2:$K$15,MATCH(K454,Lists!$J$2:$J$15,0)),-1)=-1,"status '"&amp;K454&amp;"' is not a CONTRACTS status",IF(AND(K454="paid",COUNTIF(paid_brands!$AC$2:$AC$51,J454)=0),"status paid but no paid_brands row"&amp;IF(M454="N"," and no tracker row",""),IF(AND(IFERROR(INDEX(Lists!$K$2:$K$15,MATCH(K454,Lists!$J$2:$J$15,0)),-1)&gt;=6,M454="N"),"status "&amp;K454&amp;" but no tracker row",IF(AND(L454="Y",K454&lt;&gt;"do_not_contact"),"do_not_contact = Y but status is "&amp;K454,IF(AND(K454="do_not_contact",L454&lt;&gt;"Y"),"status do_not_contact but do_not_contact is not Y",""))))))</f>
        <v/>
      </c>
    </row>
    <row r="455" customFormat="false" ht="15" hidden="false" customHeight="false" outlineLevel="0" collapsed="false">
      <c r="B455" s="23" t="n">
        <v>434</v>
      </c>
      <c r="C455" s="23" t="str">
        <f aca="false">IFERROR(INDEX(Clay_Offices!$A$2:$FZ$601,B455,$C$5)&amp;"","")</f>
        <v/>
      </c>
      <c r="D455" s="23" t="str">
        <f aca="false">IFERROR(INDEX(Clay_Offices!$A$2:$FZ$601,B455,$C$7)&amp;"","")</f>
        <v/>
      </c>
      <c r="E455" s="23" t="str">
        <f aca="false">IFERROR(INDEX(Clay_Offices!$A$2:$FZ$601,B455,$C$8)&amp;"","")</f>
        <v/>
      </c>
      <c r="F455" s="23" t="str">
        <f aca="false">IF(C455="","",IF(COUNTIF(Office_Log!$A$2:$A$201,C455)&gt;0,"Y","N"))</f>
        <v/>
      </c>
      <c r="G455" s="34" t="str">
        <f aca="false">IF(OR(C455="",AND(LEFT(C455,6)="SAMPLE",Config!$B$19&lt;&gt;"Y")),"",IF(IFERROR(INDEX(Lists!$K$2:$K$15,MATCH(D455,Lists!$J$2:$J$15,0)),-1)=-1,"status '"&amp;D455&amp;"' is not a CONTRACTS status",IF(AND(D455="signed",COUNTIF(signed_offices!$W$2:$W$51,C455)=0),"status signed but no signed_offices row"&amp;IF(F455="N"," and no tracker row",""),IF(AND(IFERROR(INDEX(Lists!$K$2:$K$15,MATCH(D455,Lists!$J$2:$J$15,0)),-1)&gt;=6,F455="N"),"status "&amp;D455&amp;" but no tracker row",IF(AND(E455="Y",D455&lt;&gt;"do_not_contact"),"do_not_contact = Y but status is "&amp;D455,IF(AND(D455="do_not_contact",E455&lt;&gt;"Y"),"status do_not_contact but do_not_contact is not Y",""))))))</f>
        <v/>
      </c>
      <c r="I455" s="23" t="n">
        <v>434</v>
      </c>
      <c r="J455" s="23" t="str">
        <f aca="false">IFERROR(INDEX(Clay_Brands!$A$2:$FZ$601,I455,$D$5)&amp;"","")</f>
        <v/>
      </c>
      <c r="K455" s="23" t="str">
        <f aca="false">IFERROR(INDEX(Clay_Brands!$A$2:$FZ$601,I455,$D$7)&amp;"","")</f>
        <v/>
      </c>
      <c r="L455" s="23" t="str">
        <f aca="false">IFERROR(INDEX(Clay_Brands!$A$2:$FZ$601,I455,$D$8)&amp;"","")</f>
        <v/>
      </c>
      <c r="M455" s="23" t="str">
        <f aca="false">IF(J455="","",IF(COUNTIF(Brand_Log!$A$2:$A$201,J455)&gt;0,"Y","N"))</f>
        <v/>
      </c>
      <c r="N455" s="34" t="str">
        <f aca="false">IF(OR(J455="",AND(LEFT(J455,6)="SAMPLE",Config!$B$19&lt;&gt;"Y")),"",IF(IFERROR(INDEX(Lists!$K$2:$K$15,MATCH(K455,Lists!$J$2:$J$15,0)),-1)=-1,"status '"&amp;K455&amp;"' is not a CONTRACTS status",IF(AND(K455="paid",COUNTIF(paid_brands!$AC$2:$AC$51,J455)=0),"status paid but no paid_brands row"&amp;IF(M455="N"," and no tracker row",""),IF(AND(IFERROR(INDEX(Lists!$K$2:$K$15,MATCH(K455,Lists!$J$2:$J$15,0)),-1)&gt;=6,M455="N"),"status "&amp;K455&amp;" but no tracker row",IF(AND(L455="Y",K455&lt;&gt;"do_not_contact"),"do_not_contact = Y but status is "&amp;K455,IF(AND(K455="do_not_contact",L455&lt;&gt;"Y"),"status do_not_contact but do_not_contact is not Y",""))))))</f>
        <v/>
      </c>
    </row>
    <row r="456" customFormat="false" ht="15" hidden="false" customHeight="false" outlineLevel="0" collapsed="false">
      <c r="B456" s="23" t="n">
        <v>435</v>
      </c>
      <c r="C456" s="23" t="str">
        <f aca="false">IFERROR(INDEX(Clay_Offices!$A$2:$FZ$601,B456,$C$5)&amp;"","")</f>
        <v/>
      </c>
      <c r="D456" s="23" t="str">
        <f aca="false">IFERROR(INDEX(Clay_Offices!$A$2:$FZ$601,B456,$C$7)&amp;"","")</f>
        <v/>
      </c>
      <c r="E456" s="23" t="str">
        <f aca="false">IFERROR(INDEX(Clay_Offices!$A$2:$FZ$601,B456,$C$8)&amp;"","")</f>
        <v/>
      </c>
      <c r="F456" s="23" t="str">
        <f aca="false">IF(C456="","",IF(COUNTIF(Office_Log!$A$2:$A$201,C456)&gt;0,"Y","N"))</f>
        <v/>
      </c>
      <c r="G456" s="34" t="str">
        <f aca="false">IF(OR(C456="",AND(LEFT(C456,6)="SAMPLE",Config!$B$19&lt;&gt;"Y")),"",IF(IFERROR(INDEX(Lists!$K$2:$K$15,MATCH(D456,Lists!$J$2:$J$15,0)),-1)=-1,"status '"&amp;D456&amp;"' is not a CONTRACTS status",IF(AND(D456="signed",COUNTIF(signed_offices!$W$2:$W$51,C456)=0),"status signed but no signed_offices row"&amp;IF(F456="N"," and no tracker row",""),IF(AND(IFERROR(INDEX(Lists!$K$2:$K$15,MATCH(D456,Lists!$J$2:$J$15,0)),-1)&gt;=6,F456="N"),"status "&amp;D456&amp;" but no tracker row",IF(AND(E456="Y",D456&lt;&gt;"do_not_contact"),"do_not_contact = Y but status is "&amp;D456,IF(AND(D456="do_not_contact",E456&lt;&gt;"Y"),"status do_not_contact but do_not_contact is not Y",""))))))</f>
        <v/>
      </c>
      <c r="I456" s="23" t="n">
        <v>435</v>
      </c>
      <c r="J456" s="23" t="str">
        <f aca="false">IFERROR(INDEX(Clay_Brands!$A$2:$FZ$601,I456,$D$5)&amp;"","")</f>
        <v/>
      </c>
      <c r="K456" s="23" t="str">
        <f aca="false">IFERROR(INDEX(Clay_Brands!$A$2:$FZ$601,I456,$D$7)&amp;"","")</f>
        <v/>
      </c>
      <c r="L456" s="23" t="str">
        <f aca="false">IFERROR(INDEX(Clay_Brands!$A$2:$FZ$601,I456,$D$8)&amp;"","")</f>
        <v/>
      </c>
      <c r="M456" s="23" t="str">
        <f aca="false">IF(J456="","",IF(COUNTIF(Brand_Log!$A$2:$A$201,J456)&gt;0,"Y","N"))</f>
        <v/>
      </c>
      <c r="N456" s="34" t="str">
        <f aca="false">IF(OR(J456="",AND(LEFT(J456,6)="SAMPLE",Config!$B$19&lt;&gt;"Y")),"",IF(IFERROR(INDEX(Lists!$K$2:$K$15,MATCH(K456,Lists!$J$2:$J$15,0)),-1)=-1,"status '"&amp;K456&amp;"' is not a CONTRACTS status",IF(AND(K456="paid",COUNTIF(paid_brands!$AC$2:$AC$51,J456)=0),"status paid but no paid_brands row"&amp;IF(M456="N"," and no tracker row",""),IF(AND(IFERROR(INDEX(Lists!$K$2:$K$15,MATCH(K456,Lists!$J$2:$J$15,0)),-1)&gt;=6,M456="N"),"status "&amp;K456&amp;" but no tracker row",IF(AND(L456="Y",K456&lt;&gt;"do_not_contact"),"do_not_contact = Y but status is "&amp;K456,IF(AND(K456="do_not_contact",L456&lt;&gt;"Y"),"status do_not_contact but do_not_contact is not Y",""))))))</f>
        <v/>
      </c>
    </row>
    <row r="457" customFormat="false" ht="15" hidden="false" customHeight="false" outlineLevel="0" collapsed="false">
      <c r="B457" s="23" t="n">
        <v>436</v>
      </c>
      <c r="C457" s="23" t="str">
        <f aca="false">IFERROR(INDEX(Clay_Offices!$A$2:$FZ$601,B457,$C$5)&amp;"","")</f>
        <v/>
      </c>
      <c r="D457" s="23" t="str">
        <f aca="false">IFERROR(INDEX(Clay_Offices!$A$2:$FZ$601,B457,$C$7)&amp;"","")</f>
        <v/>
      </c>
      <c r="E457" s="23" t="str">
        <f aca="false">IFERROR(INDEX(Clay_Offices!$A$2:$FZ$601,B457,$C$8)&amp;"","")</f>
        <v/>
      </c>
      <c r="F457" s="23" t="str">
        <f aca="false">IF(C457="","",IF(COUNTIF(Office_Log!$A$2:$A$201,C457)&gt;0,"Y","N"))</f>
        <v/>
      </c>
      <c r="G457" s="34" t="str">
        <f aca="false">IF(OR(C457="",AND(LEFT(C457,6)="SAMPLE",Config!$B$19&lt;&gt;"Y")),"",IF(IFERROR(INDEX(Lists!$K$2:$K$15,MATCH(D457,Lists!$J$2:$J$15,0)),-1)=-1,"status '"&amp;D457&amp;"' is not a CONTRACTS status",IF(AND(D457="signed",COUNTIF(signed_offices!$W$2:$W$51,C457)=0),"status signed but no signed_offices row"&amp;IF(F457="N"," and no tracker row",""),IF(AND(IFERROR(INDEX(Lists!$K$2:$K$15,MATCH(D457,Lists!$J$2:$J$15,0)),-1)&gt;=6,F457="N"),"status "&amp;D457&amp;" but no tracker row",IF(AND(E457="Y",D457&lt;&gt;"do_not_contact"),"do_not_contact = Y but status is "&amp;D457,IF(AND(D457="do_not_contact",E457&lt;&gt;"Y"),"status do_not_contact but do_not_contact is not Y",""))))))</f>
        <v/>
      </c>
      <c r="I457" s="23" t="n">
        <v>436</v>
      </c>
      <c r="J457" s="23" t="str">
        <f aca="false">IFERROR(INDEX(Clay_Brands!$A$2:$FZ$601,I457,$D$5)&amp;"","")</f>
        <v/>
      </c>
      <c r="K457" s="23" t="str">
        <f aca="false">IFERROR(INDEX(Clay_Brands!$A$2:$FZ$601,I457,$D$7)&amp;"","")</f>
        <v/>
      </c>
      <c r="L457" s="23" t="str">
        <f aca="false">IFERROR(INDEX(Clay_Brands!$A$2:$FZ$601,I457,$D$8)&amp;"","")</f>
        <v/>
      </c>
      <c r="M457" s="23" t="str">
        <f aca="false">IF(J457="","",IF(COUNTIF(Brand_Log!$A$2:$A$201,J457)&gt;0,"Y","N"))</f>
        <v/>
      </c>
      <c r="N457" s="34" t="str">
        <f aca="false">IF(OR(J457="",AND(LEFT(J457,6)="SAMPLE",Config!$B$19&lt;&gt;"Y")),"",IF(IFERROR(INDEX(Lists!$K$2:$K$15,MATCH(K457,Lists!$J$2:$J$15,0)),-1)=-1,"status '"&amp;K457&amp;"' is not a CONTRACTS status",IF(AND(K457="paid",COUNTIF(paid_brands!$AC$2:$AC$51,J457)=0),"status paid but no paid_brands row"&amp;IF(M457="N"," and no tracker row",""),IF(AND(IFERROR(INDEX(Lists!$K$2:$K$15,MATCH(K457,Lists!$J$2:$J$15,0)),-1)&gt;=6,M457="N"),"status "&amp;K457&amp;" but no tracker row",IF(AND(L457="Y",K457&lt;&gt;"do_not_contact"),"do_not_contact = Y but status is "&amp;K457,IF(AND(K457="do_not_contact",L457&lt;&gt;"Y"),"status do_not_contact but do_not_contact is not Y",""))))))</f>
        <v/>
      </c>
    </row>
    <row r="458" customFormat="false" ht="15" hidden="false" customHeight="false" outlineLevel="0" collapsed="false">
      <c r="B458" s="23" t="n">
        <v>437</v>
      </c>
      <c r="C458" s="23" t="str">
        <f aca="false">IFERROR(INDEX(Clay_Offices!$A$2:$FZ$601,B458,$C$5)&amp;"","")</f>
        <v/>
      </c>
      <c r="D458" s="23" t="str">
        <f aca="false">IFERROR(INDEX(Clay_Offices!$A$2:$FZ$601,B458,$C$7)&amp;"","")</f>
        <v/>
      </c>
      <c r="E458" s="23" t="str">
        <f aca="false">IFERROR(INDEX(Clay_Offices!$A$2:$FZ$601,B458,$C$8)&amp;"","")</f>
        <v/>
      </c>
      <c r="F458" s="23" t="str">
        <f aca="false">IF(C458="","",IF(COUNTIF(Office_Log!$A$2:$A$201,C458)&gt;0,"Y","N"))</f>
        <v/>
      </c>
      <c r="G458" s="34" t="str">
        <f aca="false">IF(OR(C458="",AND(LEFT(C458,6)="SAMPLE",Config!$B$19&lt;&gt;"Y")),"",IF(IFERROR(INDEX(Lists!$K$2:$K$15,MATCH(D458,Lists!$J$2:$J$15,0)),-1)=-1,"status '"&amp;D458&amp;"' is not a CONTRACTS status",IF(AND(D458="signed",COUNTIF(signed_offices!$W$2:$W$51,C458)=0),"status signed but no signed_offices row"&amp;IF(F458="N"," and no tracker row",""),IF(AND(IFERROR(INDEX(Lists!$K$2:$K$15,MATCH(D458,Lists!$J$2:$J$15,0)),-1)&gt;=6,F458="N"),"status "&amp;D458&amp;" but no tracker row",IF(AND(E458="Y",D458&lt;&gt;"do_not_contact"),"do_not_contact = Y but status is "&amp;D458,IF(AND(D458="do_not_contact",E458&lt;&gt;"Y"),"status do_not_contact but do_not_contact is not Y",""))))))</f>
        <v/>
      </c>
      <c r="I458" s="23" t="n">
        <v>437</v>
      </c>
      <c r="J458" s="23" t="str">
        <f aca="false">IFERROR(INDEX(Clay_Brands!$A$2:$FZ$601,I458,$D$5)&amp;"","")</f>
        <v/>
      </c>
      <c r="K458" s="23" t="str">
        <f aca="false">IFERROR(INDEX(Clay_Brands!$A$2:$FZ$601,I458,$D$7)&amp;"","")</f>
        <v/>
      </c>
      <c r="L458" s="23" t="str">
        <f aca="false">IFERROR(INDEX(Clay_Brands!$A$2:$FZ$601,I458,$D$8)&amp;"","")</f>
        <v/>
      </c>
      <c r="M458" s="23" t="str">
        <f aca="false">IF(J458="","",IF(COUNTIF(Brand_Log!$A$2:$A$201,J458)&gt;0,"Y","N"))</f>
        <v/>
      </c>
      <c r="N458" s="34" t="str">
        <f aca="false">IF(OR(J458="",AND(LEFT(J458,6)="SAMPLE",Config!$B$19&lt;&gt;"Y")),"",IF(IFERROR(INDEX(Lists!$K$2:$K$15,MATCH(K458,Lists!$J$2:$J$15,0)),-1)=-1,"status '"&amp;K458&amp;"' is not a CONTRACTS status",IF(AND(K458="paid",COUNTIF(paid_brands!$AC$2:$AC$51,J458)=0),"status paid but no paid_brands row"&amp;IF(M458="N"," and no tracker row",""),IF(AND(IFERROR(INDEX(Lists!$K$2:$K$15,MATCH(K458,Lists!$J$2:$J$15,0)),-1)&gt;=6,M458="N"),"status "&amp;K458&amp;" but no tracker row",IF(AND(L458="Y",K458&lt;&gt;"do_not_contact"),"do_not_contact = Y but status is "&amp;K458,IF(AND(K458="do_not_contact",L458&lt;&gt;"Y"),"status do_not_contact but do_not_contact is not Y",""))))))</f>
        <v/>
      </c>
    </row>
    <row r="459" customFormat="false" ht="15" hidden="false" customHeight="false" outlineLevel="0" collapsed="false">
      <c r="B459" s="23" t="n">
        <v>438</v>
      </c>
      <c r="C459" s="23" t="str">
        <f aca="false">IFERROR(INDEX(Clay_Offices!$A$2:$FZ$601,B459,$C$5)&amp;"","")</f>
        <v/>
      </c>
      <c r="D459" s="23" t="str">
        <f aca="false">IFERROR(INDEX(Clay_Offices!$A$2:$FZ$601,B459,$C$7)&amp;"","")</f>
        <v/>
      </c>
      <c r="E459" s="23" t="str">
        <f aca="false">IFERROR(INDEX(Clay_Offices!$A$2:$FZ$601,B459,$C$8)&amp;"","")</f>
        <v/>
      </c>
      <c r="F459" s="23" t="str">
        <f aca="false">IF(C459="","",IF(COUNTIF(Office_Log!$A$2:$A$201,C459)&gt;0,"Y","N"))</f>
        <v/>
      </c>
      <c r="G459" s="34" t="str">
        <f aca="false">IF(OR(C459="",AND(LEFT(C459,6)="SAMPLE",Config!$B$19&lt;&gt;"Y")),"",IF(IFERROR(INDEX(Lists!$K$2:$K$15,MATCH(D459,Lists!$J$2:$J$15,0)),-1)=-1,"status '"&amp;D459&amp;"' is not a CONTRACTS status",IF(AND(D459="signed",COUNTIF(signed_offices!$W$2:$W$51,C459)=0),"status signed but no signed_offices row"&amp;IF(F459="N"," and no tracker row",""),IF(AND(IFERROR(INDEX(Lists!$K$2:$K$15,MATCH(D459,Lists!$J$2:$J$15,0)),-1)&gt;=6,F459="N"),"status "&amp;D459&amp;" but no tracker row",IF(AND(E459="Y",D459&lt;&gt;"do_not_contact"),"do_not_contact = Y but status is "&amp;D459,IF(AND(D459="do_not_contact",E459&lt;&gt;"Y"),"status do_not_contact but do_not_contact is not Y",""))))))</f>
        <v/>
      </c>
      <c r="I459" s="23" t="n">
        <v>438</v>
      </c>
      <c r="J459" s="23" t="str">
        <f aca="false">IFERROR(INDEX(Clay_Brands!$A$2:$FZ$601,I459,$D$5)&amp;"","")</f>
        <v/>
      </c>
      <c r="K459" s="23" t="str">
        <f aca="false">IFERROR(INDEX(Clay_Brands!$A$2:$FZ$601,I459,$D$7)&amp;"","")</f>
        <v/>
      </c>
      <c r="L459" s="23" t="str">
        <f aca="false">IFERROR(INDEX(Clay_Brands!$A$2:$FZ$601,I459,$D$8)&amp;"","")</f>
        <v/>
      </c>
      <c r="M459" s="23" t="str">
        <f aca="false">IF(J459="","",IF(COUNTIF(Brand_Log!$A$2:$A$201,J459)&gt;0,"Y","N"))</f>
        <v/>
      </c>
      <c r="N459" s="34" t="str">
        <f aca="false">IF(OR(J459="",AND(LEFT(J459,6)="SAMPLE",Config!$B$19&lt;&gt;"Y")),"",IF(IFERROR(INDEX(Lists!$K$2:$K$15,MATCH(K459,Lists!$J$2:$J$15,0)),-1)=-1,"status '"&amp;K459&amp;"' is not a CONTRACTS status",IF(AND(K459="paid",COUNTIF(paid_brands!$AC$2:$AC$51,J459)=0),"status paid but no paid_brands row"&amp;IF(M459="N"," and no tracker row",""),IF(AND(IFERROR(INDEX(Lists!$K$2:$K$15,MATCH(K459,Lists!$J$2:$J$15,0)),-1)&gt;=6,M459="N"),"status "&amp;K459&amp;" but no tracker row",IF(AND(L459="Y",K459&lt;&gt;"do_not_contact"),"do_not_contact = Y but status is "&amp;K459,IF(AND(K459="do_not_contact",L459&lt;&gt;"Y"),"status do_not_contact but do_not_contact is not Y",""))))))</f>
        <v/>
      </c>
    </row>
    <row r="460" customFormat="false" ht="15" hidden="false" customHeight="false" outlineLevel="0" collapsed="false">
      <c r="B460" s="23" t="n">
        <v>439</v>
      </c>
      <c r="C460" s="23" t="str">
        <f aca="false">IFERROR(INDEX(Clay_Offices!$A$2:$FZ$601,B460,$C$5)&amp;"","")</f>
        <v/>
      </c>
      <c r="D460" s="23" t="str">
        <f aca="false">IFERROR(INDEX(Clay_Offices!$A$2:$FZ$601,B460,$C$7)&amp;"","")</f>
        <v/>
      </c>
      <c r="E460" s="23" t="str">
        <f aca="false">IFERROR(INDEX(Clay_Offices!$A$2:$FZ$601,B460,$C$8)&amp;"","")</f>
        <v/>
      </c>
      <c r="F460" s="23" t="str">
        <f aca="false">IF(C460="","",IF(COUNTIF(Office_Log!$A$2:$A$201,C460)&gt;0,"Y","N"))</f>
        <v/>
      </c>
      <c r="G460" s="34" t="str">
        <f aca="false">IF(OR(C460="",AND(LEFT(C460,6)="SAMPLE",Config!$B$19&lt;&gt;"Y")),"",IF(IFERROR(INDEX(Lists!$K$2:$K$15,MATCH(D460,Lists!$J$2:$J$15,0)),-1)=-1,"status '"&amp;D460&amp;"' is not a CONTRACTS status",IF(AND(D460="signed",COUNTIF(signed_offices!$W$2:$W$51,C460)=0),"status signed but no signed_offices row"&amp;IF(F460="N"," and no tracker row",""),IF(AND(IFERROR(INDEX(Lists!$K$2:$K$15,MATCH(D460,Lists!$J$2:$J$15,0)),-1)&gt;=6,F460="N"),"status "&amp;D460&amp;" but no tracker row",IF(AND(E460="Y",D460&lt;&gt;"do_not_contact"),"do_not_contact = Y but status is "&amp;D460,IF(AND(D460="do_not_contact",E460&lt;&gt;"Y"),"status do_not_contact but do_not_contact is not Y",""))))))</f>
        <v/>
      </c>
      <c r="I460" s="23" t="n">
        <v>439</v>
      </c>
      <c r="J460" s="23" t="str">
        <f aca="false">IFERROR(INDEX(Clay_Brands!$A$2:$FZ$601,I460,$D$5)&amp;"","")</f>
        <v/>
      </c>
      <c r="K460" s="23" t="str">
        <f aca="false">IFERROR(INDEX(Clay_Brands!$A$2:$FZ$601,I460,$D$7)&amp;"","")</f>
        <v/>
      </c>
      <c r="L460" s="23" t="str">
        <f aca="false">IFERROR(INDEX(Clay_Brands!$A$2:$FZ$601,I460,$D$8)&amp;"","")</f>
        <v/>
      </c>
      <c r="M460" s="23" t="str">
        <f aca="false">IF(J460="","",IF(COUNTIF(Brand_Log!$A$2:$A$201,J460)&gt;0,"Y","N"))</f>
        <v/>
      </c>
      <c r="N460" s="34" t="str">
        <f aca="false">IF(OR(J460="",AND(LEFT(J460,6)="SAMPLE",Config!$B$19&lt;&gt;"Y")),"",IF(IFERROR(INDEX(Lists!$K$2:$K$15,MATCH(K460,Lists!$J$2:$J$15,0)),-1)=-1,"status '"&amp;K460&amp;"' is not a CONTRACTS status",IF(AND(K460="paid",COUNTIF(paid_brands!$AC$2:$AC$51,J460)=0),"status paid but no paid_brands row"&amp;IF(M460="N"," and no tracker row",""),IF(AND(IFERROR(INDEX(Lists!$K$2:$K$15,MATCH(K460,Lists!$J$2:$J$15,0)),-1)&gt;=6,M460="N"),"status "&amp;K460&amp;" but no tracker row",IF(AND(L460="Y",K460&lt;&gt;"do_not_contact"),"do_not_contact = Y but status is "&amp;K460,IF(AND(K460="do_not_contact",L460&lt;&gt;"Y"),"status do_not_contact but do_not_contact is not Y",""))))))</f>
        <v/>
      </c>
    </row>
    <row r="461" customFormat="false" ht="15" hidden="false" customHeight="false" outlineLevel="0" collapsed="false">
      <c r="B461" s="23" t="n">
        <v>440</v>
      </c>
      <c r="C461" s="23" t="str">
        <f aca="false">IFERROR(INDEX(Clay_Offices!$A$2:$FZ$601,B461,$C$5)&amp;"","")</f>
        <v/>
      </c>
      <c r="D461" s="23" t="str">
        <f aca="false">IFERROR(INDEX(Clay_Offices!$A$2:$FZ$601,B461,$C$7)&amp;"","")</f>
        <v/>
      </c>
      <c r="E461" s="23" t="str">
        <f aca="false">IFERROR(INDEX(Clay_Offices!$A$2:$FZ$601,B461,$C$8)&amp;"","")</f>
        <v/>
      </c>
      <c r="F461" s="23" t="str">
        <f aca="false">IF(C461="","",IF(COUNTIF(Office_Log!$A$2:$A$201,C461)&gt;0,"Y","N"))</f>
        <v/>
      </c>
      <c r="G461" s="34" t="str">
        <f aca="false">IF(OR(C461="",AND(LEFT(C461,6)="SAMPLE",Config!$B$19&lt;&gt;"Y")),"",IF(IFERROR(INDEX(Lists!$K$2:$K$15,MATCH(D461,Lists!$J$2:$J$15,0)),-1)=-1,"status '"&amp;D461&amp;"' is not a CONTRACTS status",IF(AND(D461="signed",COUNTIF(signed_offices!$W$2:$W$51,C461)=0),"status signed but no signed_offices row"&amp;IF(F461="N"," and no tracker row",""),IF(AND(IFERROR(INDEX(Lists!$K$2:$K$15,MATCH(D461,Lists!$J$2:$J$15,0)),-1)&gt;=6,F461="N"),"status "&amp;D461&amp;" but no tracker row",IF(AND(E461="Y",D461&lt;&gt;"do_not_contact"),"do_not_contact = Y but status is "&amp;D461,IF(AND(D461="do_not_contact",E461&lt;&gt;"Y"),"status do_not_contact but do_not_contact is not Y",""))))))</f>
        <v/>
      </c>
      <c r="I461" s="23" t="n">
        <v>440</v>
      </c>
      <c r="J461" s="23" t="str">
        <f aca="false">IFERROR(INDEX(Clay_Brands!$A$2:$FZ$601,I461,$D$5)&amp;"","")</f>
        <v/>
      </c>
      <c r="K461" s="23" t="str">
        <f aca="false">IFERROR(INDEX(Clay_Brands!$A$2:$FZ$601,I461,$D$7)&amp;"","")</f>
        <v/>
      </c>
      <c r="L461" s="23" t="str">
        <f aca="false">IFERROR(INDEX(Clay_Brands!$A$2:$FZ$601,I461,$D$8)&amp;"","")</f>
        <v/>
      </c>
      <c r="M461" s="23" t="str">
        <f aca="false">IF(J461="","",IF(COUNTIF(Brand_Log!$A$2:$A$201,J461)&gt;0,"Y","N"))</f>
        <v/>
      </c>
      <c r="N461" s="34" t="str">
        <f aca="false">IF(OR(J461="",AND(LEFT(J461,6)="SAMPLE",Config!$B$19&lt;&gt;"Y")),"",IF(IFERROR(INDEX(Lists!$K$2:$K$15,MATCH(K461,Lists!$J$2:$J$15,0)),-1)=-1,"status '"&amp;K461&amp;"' is not a CONTRACTS status",IF(AND(K461="paid",COUNTIF(paid_brands!$AC$2:$AC$51,J461)=0),"status paid but no paid_brands row"&amp;IF(M461="N"," and no tracker row",""),IF(AND(IFERROR(INDEX(Lists!$K$2:$K$15,MATCH(K461,Lists!$J$2:$J$15,0)),-1)&gt;=6,M461="N"),"status "&amp;K461&amp;" but no tracker row",IF(AND(L461="Y",K461&lt;&gt;"do_not_contact"),"do_not_contact = Y but status is "&amp;K461,IF(AND(K461="do_not_contact",L461&lt;&gt;"Y"),"status do_not_contact but do_not_contact is not Y",""))))))</f>
        <v/>
      </c>
    </row>
    <row r="462" customFormat="false" ht="15" hidden="false" customHeight="false" outlineLevel="0" collapsed="false">
      <c r="B462" s="23" t="n">
        <v>441</v>
      </c>
      <c r="C462" s="23" t="str">
        <f aca="false">IFERROR(INDEX(Clay_Offices!$A$2:$FZ$601,B462,$C$5)&amp;"","")</f>
        <v/>
      </c>
      <c r="D462" s="23" t="str">
        <f aca="false">IFERROR(INDEX(Clay_Offices!$A$2:$FZ$601,B462,$C$7)&amp;"","")</f>
        <v/>
      </c>
      <c r="E462" s="23" t="str">
        <f aca="false">IFERROR(INDEX(Clay_Offices!$A$2:$FZ$601,B462,$C$8)&amp;"","")</f>
        <v/>
      </c>
      <c r="F462" s="23" t="str">
        <f aca="false">IF(C462="","",IF(COUNTIF(Office_Log!$A$2:$A$201,C462)&gt;0,"Y","N"))</f>
        <v/>
      </c>
      <c r="G462" s="34" t="str">
        <f aca="false">IF(OR(C462="",AND(LEFT(C462,6)="SAMPLE",Config!$B$19&lt;&gt;"Y")),"",IF(IFERROR(INDEX(Lists!$K$2:$K$15,MATCH(D462,Lists!$J$2:$J$15,0)),-1)=-1,"status '"&amp;D462&amp;"' is not a CONTRACTS status",IF(AND(D462="signed",COUNTIF(signed_offices!$W$2:$W$51,C462)=0),"status signed but no signed_offices row"&amp;IF(F462="N"," and no tracker row",""),IF(AND(IFERROR(INDEX(Lists!$K$2:$K$15,MATCH(D462,Lists!$J$2:$J$15,0)),-1)&gt;=6,F462="N"),"status "&amp;D462&amp;" but no tracker row",IF(AND(E462="Y",D462&lt;&gt;"do_not_contact"),"do_not_contact = Y but status is "&amp;D462,IF(AND(D462="do_not_contact",E462&lt;&gt;"Y"),"status do_not_contact but do_not_contact is not Y",""))))))</f>
        <v/>
      </c>
      <c r="I462" s="23" t="n">
        <v>441</v>
      </c>
      <c r="J462" s="23" t="str">
        <f aca="false">IFERROR(INDEX(Clay_Brands!$A$2:$FZ$601,I462,$D$5)&amp;"","")</f>
        <v/>
      </c>
      <c r="K462" s="23" t="str">
        <f aca="false">IFERROR(INDEX(Clay_Brands!$A$2:$FZ$601,I462,$D$7)&amp;"","")</f>
        <v/>
      </c>
      <c r="L462" s="23" t="str">
        <f aca="false">IFERROR(INDEX(Clay_Brands!$A$2:$FZ$601,I462,$D$8)&amp;"","")</f>
        <v/>
      </c>
      <c r="M462" s="23" t="str">
        <f aca="false">IF(J462="","",IF(COUNTIF(Brand_Log!$A$2:$A$201,J462)&gt;0,"Y","N"))</f>
        <v/>
      </c>
      <c r="N462" s="34" t="str">
        <f aca="false">IF(OR(J462="",AND(LEFT(J462,6)="SAMPLE",Config!$B$19&lt;&gt;"Y")),"",IF(IFERROR(INDEX(Lists!$K$2:$K$15,MATCH(K462,Lists!$J$2:$J$15,0)),-1)=-1,"status '"&amp;K462&amp;"' is not a CONTRACTS status",IF(AND(K462="paid",COUNTIF(paid_brands!$AC$2:$AC$51,J462)=0),"status paid but no paid_brands row"&amp;IF(M462="N"," and no tracker row",""),IF(AND(IFERROR(INDEX(Lists!$K$2:$K$15,MATCH(K462,Lists!$J$2:$J$15,0)),-1)&gt;=6,M462="N"),"status "&amp;K462&amp;" but no tracker row",IF(AND(L462="Y",K462&lt;&gt;"do_not_contact"),"do_not_contact = Y but status is "&amp;K462,IF(AND(K462="do_not_contact",L462&lt;&gt;"Y"),"status do_not_contact but do_not_contact is not Y",""))))))</f>
        <v/>
      </c>
    </row>
    <row r="463" customFormat="false" ht="15" hidden="false" customHeight="false" outlineLevel="0" collapsed="false">
      <c r="B463" s="23" t="n">
        <v>442</v>
      </c>
      <c r="C463" s="23" t="str">
        <f aca="false">IFERROR(INDEX(Clay_Offices!$A$2:$FZ$601,B463,$C$5)&amp;"","")</f>
        <v/>
      </c>
      <c r="D463" s="23" t="str">
        <f aca="false">IFERROR(INDEX(Clay_Offices!$A$2:$FZ$601,B463,$C$7)&amp;"","")</f>
        <v/>
      </c>
      <c r="E463" s="23" t="str">
        <f aca="false">IFERROR(INDEX(Clay_Offices!$A$2:$FZ$601,B463,$C$8)&amp;"","")</f>
        <v/>
      </c>
      <c r="F463" s="23" t="str">
        <f aca="false">IF(C463="","",IF(COUNTIF(Office_Log!$A$2:$A$201,C463)&gt;0,"Y","N"))</f>
        <v/>
      </c>
      <c r="G463" s="34" t="str">
        <f aca="false">IF(OR(C463="",AND(LEFT(C463,6)="SAMPLE",Config!$B$19&lt;&gt;"Y")),"",IF(IFERROR(INDEX(Lists!$K$2:$K$15,MATCH(D463,Lists!$J$2:$J$15,0)),-1)=-1,"status '"&amp;D463&amp;"' is not a CONTRACTS status",IF(AND(D463="signed",COUNTIF(signed_offices!$W$2:$W$51,C463)=0),"status signed but no signed_offices row"&amp;IF(F463="N"," and no tracker row",""),IF(AND(IFERROR(INDEX(Lists!$K$2:$K$15,MATCH(D463,Lists!$J$2:$J$15,0)),-1)&gt;=6,F463="N"),"status "&amp;D463&amp;" but no tracker row",IF(AND(E463="Y",D463&lt;&gt;"do_not_contact"),"do_not_contact = Y but status is "&amp;D463,IF(AND(D463="do_not_contact",E463&lt;&gt;"Y"),"status do_not_contact but do_not_contact is not Y",""))))))</f>
        <v/>
      </c>
      <c r="I463" s="23" t="n">
        <v>442</v>
      </c>
      <c r="J463" s="23" t="str">
        <f aca="false">IFERROR(INDEX(Clay_Brands!$A$2:$FZ$601,I463,$D$5)&amp;"","")</f>
        <v/>
      </c>
      <c r="K463" s="23" t="str">
        <f aca="false">IFERROR(INDEX(Clay_Brands!$A$2:$FZ$601,I463,$D$7)&amp;"","")</f>
        <v/>
      </c>
      <c r="L463" s="23" t="str">
        <f aca="false">IFERROR(INDEX(Clay_Brands!$A$2:$FZ$601,I463,$D$8)&amp;"","")</f>
        <v/>
      </c>
      <c r="M463" s="23" t="str">
        <f aca="false">IF(J463="","",IF(COUNTIF(Brand_Log!$A$2:$A$201,J463)&gt;0,"Y","N"))</f>
        <v/>
      </c>
      <c r="N463" s="34" t="str">
        <f aca="false">IF(OR(J463="",AND(LEFT(J463,6)="SAMPLE",Config!$B$19&lt;&gt;"Y")),"",IF(IFERROR(INDEX(Lists!$K$2:$K$15,MATCH(K463,Lists!$J$2:$J$15,0)),-1)=-1,"status '"&amp;K463&amp;"' is not a CONTRACTS status",IF(AND(K463="paid",COUNTIF(paid_brands!$AC$2:$AC$51,J463)=0),"status paid but no paid_brands row"&amp;IF(M463="N"," and no tracker row",""),IF(AND(IFERROR(INDEX(Lists!$K$2:$K$15,MATCH(K463,Lists!$J$2:$J$15,0)),-1)&gt;=6,M463="N"),"status "&amp;K463&amp;" but no tracker row",IF(AND(L463="Y",K463&lt;&gt;"do_not_contact"),"do_not_contact = Y but status is "&amp;K463,IF(AND(K463="do_not_contact",L463&lt;&gt;"Y"),"status do_not_contact but do_not_contact is not Y",""))))))</f>
        <v/>
      </c>
    </row>
    <row r="464" customFormat="false" ht="15" hidden="false" customHeight="false" outlineLevel="0" collapsed="false">
      <c r="B464" s="23" t="n">
        <v>443</v>
      </c>
      <c r="C464" s="23" t="str">
        <f aca="false">IFERROR(INDEX(Clay_Offices!$A$2:$FZ$601,B464,$C$5)&amp;"","")</f>
        <v/>
      </c>
      <c r="D464" s="23" t="str">
        <f aca="false">IFERROR(INDEX(Clay_Offices!$A$2:$FZ$601,B464,$C$7)&amp;"","")</f>
        <v/>
      </c>
      <c r="E464" s="23" t="str">
        <f aca="false">IFERROR(INDEX(Clay_Offices!$A$2:$FZ$601,B464,$C$8)&amp;"","")</f>
        <v/>
      </c>
      <c r="F464" s="23" t="str">
        <f aca="false">IF(C464="","",IF(COUNTIF(Office_Log!$A$2:$A$201,C464)&gt;0,"Y","N"))</f>
        <v/>
      </c>
      <c r="G464" s="34" t="str">
        <f aca="false">IF(OR(C464="",AND(LEFT(C464,6)="SAMPLE",Config!$B$19&lt;&gt;"Y")),"",IF(IFERROR(INDEX(Lists!$K$2:$K$15,MATCH(D464,Lists!$J$2:$J$15,0)),-1)=-1,"status '"&amp;D464&amp;"' is not a CONTRACTS status",IF(AND(D464="signed",COUNTIF(signed_offices!$W$2:$W$51,C464)=0),"status signed but no signed_offices row"&amp;IF(F464="N"," and no tracker row",""),IF(AND(IFERROR(INDEX(Lists!$K$2:$K$15,MATCH(D464,Lists!$J$2:$J$15,0)),-1)&gt;=6,F464="N"),"status "&amp;D464&amp;" but no tracker row",IF(AND(E464="Y",D464&lt;&gt;"do_not_contact"),"do_not_contact = Y but status is "&amp;D464,IF(AND(D464="do_not_contact",E464&lt;&gt;"Y"),"status do_not_contact but do_not_contact is not Y",""))))))</f>
        <v/>
      </c>
      <c r="I464" s="23" t="n">
        <v>443</v>
      </c>
      <c r="J464" s="23" t="str">
        <f aca="false">IFERROR(INDEX(Clay_Brands!$A$2:$FZ$601,I464,$D$5)&amp;"","")</f>
        <v/>
      </c>
      <c r="K464" s="23" t="str">
        <f aca="false">IFERROR(INDEX(Clay_Brands!$A$2:$FZ$601,I464,$D$7)&amp;"","")</f>
        <v/>
      </c>
      <c r="L464" s="23" t="str">
        <f aca="false">IFERROR(INDEX(Clay_Brands!$A$2:$FZ$601,I464,$D$8)&amp;"","")</f>
        <v/>
      </c>
      <c r="M464" s="23" t="str">
        <f aca="false">IF(J464="","",IF(COUNTIF(Brand_Log!$A$2:$A$201,J464)&gt;0,"Y","N"))</f>
        <v/>
      </c>
      <c r="N464" s="34" t="str">
        <f aca="false">IF(OR(J464="",AND(LEFT(J464,6)="SAMPLE",Config!$B$19&lt;&gt;"Y")),"",IF(IFERROR(INDEX(Lists!$K$2:$K$15,MATCH(K464,Lists!$J$2:$J$15,0)),-1)=-1,"status '"&amp;K464&amp;"' is not a CONTRACTS status",IF(AND(K464="paid",COUNTIF(paid_brands!$AC$2:$AC$51,J464)=0),"status paid but no paid_brands row"&amp;IF(M464="N"," and no tracker row",""),IF(AND(IFERROR(INDEX(Lists!$K$2:$K$15,MATCH(K464,Lists!$J$2:$J$15,0)),-1)&gt;=6,M464="N"),"status "&amp;K464&amp;" but no tracker row",IF(AND(L464="Y",K464&lt;&gt;"do_not_contact"),"do_not_contact = Y but status is "&amp;K464,IF(AND(K464="do_not_contact",L464&lt;&gt;"Y"),"status do_not_contact but do_not_contact is not Y",""))))))</f>
        <v/>
      </c>
    </row>
    <row r="465" customFormat="false" ht="15" hidden="false" customHeight="false" outlineLevel="0" collapsed="false">
      <c r="B465" s="23" t="n">
        <v>444</v>
      </c>
      <c r="C465" s="23" t="str">
        <f aca="false">IFERROR(INDEX(Clay_Offices!$A$2:$FZ$601,B465,$C$5)&amp;"","")</f>
        <v/>
      </c>
      <c r="D465" s="23" t="str">
        <f aca="false">IFERROR(INDEX(Clay_Offices!$A$2:$FZ$601,B465,$C$7)&amp;"","")</f>
        <v/>
      </c>
      <c r="E465" s="23" t="str">
        <f aca="false">IFERROR(INDEX(Clay_Offices!$A$2:$FZ$601,B465,$C$8)&amp;"","")</f>
        <v/>
      </c>
      <c r="F465" s="23" t="str">
        <f aca="false">IF(C465="","",IF(COUNTIF(Office_Log!$A$2:$A$201,C465)&gt;0,"Y","N"))</f>
        <v/>
      </c>
      <c r="G465" s="34" t="str">
        <f aca="false">IF(OR(C465="",AND(LEFT(C465,6)="SAMPLE",Config!$B$19&lt;&gt;"Y")),"",IF(IFERROR(INDEX(Lists!$K$2:$K$15,MATCH(D465,Lists!$J$2:$J$15,0)),-1)=-1,"status '"&amp;D465&amp;"' is not a CONTRACTS status",IF(AND(D465="signed",COUNTIF(signed_offices!$W$2:$W$51,C465)=0),"status signed but no signed_offices row"&amp;IF(F465="N"," and no tracker row",""),IF(AND(IFERROR(INDEX(Lists!$K$2:$K$15,MATCH(D465,Lists!$J$2:$J$15,0)),-1)&gt;=6,F465="N"),"status "&amp;D465&amp;" but no tracker row",IF(AND(E465="Y",D465&lt;&gt;"do_not_contact"),"do_not_contact = Y but status is "&amp;D465,IF(AND(D465="do_not_contact",E465&lt;&gt;"Y"),"status do_not_contact but do_not_contact is not Y",""))))))</f>
        <v/>
      </c>
      <c r="I465" s="23" t="n">
        <v>444</v>
      </c>
      <c r="J465" s="23" t="str">
        <f aca="false">IFERROR(INDEX(Clay_Brands!$A$2:$FZ$601,I465,$D$5)&amp;"","")</f>
        <v/>
      </c>
      <c r="K465" s="23" t="str">
        <f aca="false">IFERROR(INDEX(Clay_Brands!$A$2:$FZ$601,I465,$D$7)&amp;"","")</f>
        <v/>
      </c>
      <c r="L465" s="23" t="str">
        <f aca="false">IFERROR(INDEX(Clay_Brands!$A$2:$FZ$601,I465,$D$8)&amp;"","")</f>
        <v/>
      </c>
      <c r="M465" s="23" t="str">
        <f aca="false">IF(J465="","",IF(COUNTIF(Brand_Log!$A$2:$A$201,J465)&gt;0,"Y","N"))</f>
        <v/>
      </c>
      <c r="N465" s="34" t="str">
        <f aca="false">IF(OR(J465="",AND(LEFT(J465,6)="SAMPLE",Config!$B$19&lt;&gt;"Y")),"",IF(IFERROR(INDEX(Lists!$K$2:$K$15,MATCH(K465,Lists!$J$2:$J$15,0)),-1)=-1,"status '"&amp;K465&amp;"' is not a CONTRACTS status",IF(AND(K465="paid",COUNTIF(paid_brands!$AC$2:$AC$51,J465)=0),"status paid but no paid_brands row"&amp;IF(M465="N"," and no tracker row",""),IF(AND(IFERROR(INDEX(Lists!$K$2:$K$15,MATCH(K465,Lists!$J$2:$J$15,0)),-1)&gt;=6,M465="N"),"status "&amp;K465&amp;" but no tracker row",IF(AND(L465="Y",K465&lt;&gt;"do_not_contact"),"do_not_contact = Y but status is "&amp;K465,IF(AND(K465="do_not_contact",L465&lt;&gt;"Y"),"status do_not_contact but do_not_contact is not Y",""))))))</f>
        <v/>
      </c>
    </row>
    <row r="466" customFormat="false" ht="15" hidden="false" customHeight="false" outlineLevel="0" collapsed="false">
      <c r="B466" s="23" t="n">
        <v>445</v>
      </c>
      <c r="C466" s="23" t="str">
        <f aca="false">IFERROR(INDEX(Clay_Offices!$A$2:$FZ$601,B466,$C$5)&amp;"","")</f>
        <v/>
      </c>
      <c r="D466" s="23" t="str">
        <f aca="false">IFERROR(INDEX(Clay_Offices!$A$2:$FZ$601,B466,$C$7)&amp;"","")</f>
        <v/>
      </c>
      <c r="E466" s="23" t="str">
        <f aca="false">IFERROR(INDEX(Clay_Offices!$A$2:$FZ$601,B466,$C$8)&amp;"","")</f>
        <v/>
      </c>
      <c r="F466" s="23" t="str">
        <f aca="false">IF(C466="","",IF(COUNTIF(Office_Log!$A$2:$A$201,C466)&gt;0,"Y","N"))</f>
        <v/>
      </c>
      <c r="G466" s="34" t="str">
        <f aca="false">IF(OR(C466="",AND(LEFT(C466,6)="SAMPLE",Config!$B$19&lt;&gt;"Y")),"",IF(IFERROR(INDEX(Lists!$K$2:$K$15,MATCH(D466,Lists!$J$2:$J$15,0)),-1)=-1,"status '"&amp;D466&amp;"' is not a CONTRACTS status",IF(AND(D466="signed",COUNTIF(signed_offices!$W$2:$W$51,C466)=0),"status signed but no signed_offices row"&amp;IF(F466="N"," and no tracker row",""),IF(AND(IFERROR(INDEX(Lists!$K$2:$K$15,MATCH(D466,Lists!$J$2:$J$15,0)),-1)&gt;=6,F466="N"),"status "&amp;D466&amp;" but no tracker row",IF(AND(E466="Y",D466&lt;&gt;"do_not_contact"),"do_not_contact = Y but status is "&amp;D466,IF(AND(D466="do_not_contact",E466&lt;&gt;"Y"),"status do_not_contact but do_not_contact is not Y",""))))))</f>
        <v/>
      </c>
      <c r="I466" s="23" t="n">
        <v>445</v>
      </c>
      <c r="J466" s="23" t="str">
        <f aca="false">IFERROR(INDEX(Clay_Brands!$A$2:$FZ$601,I466,$D$5)&amp;"","")</f>
        <v/>
      </c>
      <c r="K466" s="23" t="str">
        <f aca="false">IFERROR(INDEX(Clay_Brands!$A$2:$FZ$601,I466,$D$7)&amp;"","")</f>
        <v/>
      </c>
      <c r="L466" s="23" t="str">
        <f aca="false">IFERROR(INDEX(Clay_Brands!$A$2:$FZ$601,I466,$D$8)&amp;"","")</f>
        <v/>
      </c>
      <c r="M466" s="23" t="str">
        <f aca="false">IF(J466="","",IF(COUNTIF(Brand_Log!$A$2:$A$201,J466)&gt;0,"Y","N"))</f>
        <v/>
      </c>
      <c r="N466" s="34" t="str">
        <f aca="false">IF(OR(J466="",AND(LEFT(J466,6)="SAMPLE",Config!$B$19&lt;&gt;"Y")),"",IF(IFERROR(INDEX(Lists!$K$2:$K$15,MATCH(K466,Lists!$J$2:$J$15,0)),-1)=-1,"status '"&amp;K466&amp;"' is not a CONTRACTS status",IF(AND(K466="paid",COUNTIF(paid_brands!$AC$2:$AC$51,J466)=0),"status paid but no paid_brands row"&amp;IF(M466="N"," and no tracker row",""),IF(AND(IFERROR(INDEX(Lists!$K$2:$K$15,MATCH(K466,Lists!$J$2:$J$15,0)),-1)&gt;=6,M466="N"),"status "&amp;K466&amp;" but no tracker row",IF(AND(L466="Y",K466&lt;&gt;"do_not_contact"),"do_not_contact = Y but status is "&amp;K466,IF(AND(K466="do_not_contact",L466&lt;&gt;"Y"),"status do_not_contact but do_not_contact is not Y",""))))))</f>
        <v/>
      </c>
    </row>
    <row r="467" customFormat="false" ht="15" hidden="false" customHeight="false" outlineLevel="0" collapsed="false">
      <c r="B467" s="23" t="n">
        <v>446</v>
      </c>
      <c r="C467" s="23" t="str">
        <f aca="false">IFERROR(INDEX(Clay_Offices!$A$2:$FZ$601,B467,$C$5)&amp;"","")</f>
        <v/>
      </c>
      <c r="D467" s="23" t="str">
        <f aca="false">IFERROR(INDEX(Clay_Offices!$A$2:$FZ$601,B467,$C$7)&amp;"","")</f>
        <v/>
      </c>
      <c r="E467" s="23" t="str">
        <f aca="false">IFERROR(INDEX(Clay_Offices!$A$2:$FZ$601,B467,$C$8)&amp;"","")</f>
        <v/>
      </c>
      <c r="F467" s="23" t="str">
        <f aca="false">IF(C467="","",IF(COUNTIF(Office_Log!$A$2:$A$201,C467)&gt;0,"Y","N"))</f>
        <v/>
      </c>
      <c r="G467" s="34" t="str">
        <f aca="false">IF(OR(C467="",AND(LEFT(C467,6)="SAMPLE",Config!$B$19&lt;&gt;"Y")),"",IF(IFERROR(INDEX(Lists!$K$2:$K$15,MATCH(D467,Lists!$J$2:$J$15,0)),-1)=-1,"status '"&amp;D467&amp;"' is not a CONTRACTS status",IF(AND(D467="signed",COUNTIF(signed_offices!$W$2:$W$51,C467)=0),"status signed but no signed_offices row"&amp;IF(F467="N"," and no tracker row",""),IF(AND(IFERROR(INDEX(Lists!$K$2:$K$15,MATCH(D467,Lists!$J$2:$J$15,0)),-1)&gt;=6,F467="N"),"status "&amp;D467&amp;" but no tracker row",IF(AND(E467="Y",D467&lt;&gt;"do_not_contact"),"do_not_contact = Y but status is "&amp;D467,IF(AND(D467="do_not_contact",E467&lt;&gt;"Y"),"status do_not_contact but do_not_contact is not Y",""))))))</f>
        <v/>
      </c>
      <c r="I467" s="23" t="n">
        <v>446</v>
      </c>
      <c r="J467" s="23" t="str">
        <f aca="false">IFERROR(INDEX(Clay_Brands!$A$2:$FZ$601,I467,$D$5)&amp;"","")</f>
        <v/>
      </c>
      <c r="K467" s="23" t="str">
        <f aca="false">IFERROR(INDEX(Clay_Brands!$A$2:$FZ$601,I467,$D$7)&amp;"","")</f>
        <v/>
      </c>
      <c r="L467" s="23" t="str">
        <f aca="false">IFERROR(INDEX(Clay_Brands!$A$2:$FZ$601,I467,$D$8)&amp;"","")</f>
        <v/>
      </c>
      <c r="M467" s="23" t="str">
        <f aca="false">IF(J467="","",IF(COUNTIF(Brand_Log!$A$2:$A$201,J467)&gt;0,"Y","N"))</f>
        <v/>
      </c>
      <c r="N467" s="34" t="str">
        <f aca="false">IF(OR(J467="",AND(LEFT(J467,6)="SAMPLE",Config!$B$19&lt;&gt;"Y")),"",IF(IFERROR(INDEX(Lists!$K$2:$K$15,MATCH(K467,Lists!$J$2:$J$15,0)),-1)=-1,"status '"&amp;K467&amp;"' is not a CONTRACTS status",IF(AND(K467="paid",COUNTIF(paid_brands!$AC$2:$AC$51,J467)=0),"status paid but no paid_brands row"&amp;IF(M467="N"," and no tracker row",""),IF(AND(IFERROR(INDEX(Lists!$K$2:$K$15,MATCH(K467,Lists!$J$2:$J$15,0)),-1)&gt;=6,M467="N"),"status "&amp;K467&amp;" but no tracker row",IF(AND(L467="Y",K467&lt;&gt;"do_not_contact"),"do_not_contact = Y but status is "&amp;K467,IF(AND(K467="do_not_contact",L467&lt;&gt;"Y"),"status do_not_contact but do_not_contact is not Y",""))))))</f>
        <v/>
      </c>
    </row>
    <row r="468" customFormat="false" ht="15" hidden="false" customHeight="false" outlineLevel="0" collapsed="false">
      <c r="B468" s="23" t="n">
        <v>447</v>
      </c>
      <c r="C468" s="23" t="str">
        <f aca="false">IFERROR(INDEX(Clay_Offices!$A$2:$FZ$601,B468,$C$5)&amp;"","")</f>
        <v/>
      </c>
      <c r="D468" s="23" t="str">
        <f aca="false">IFERROR(INDEX(Clay_Offices!$A$2:$FZ$601,B468,$C$7)&amp;"","")</f>
        <v/>
      </c>
      <c r="E468" s="23" t="str">
        <f aca="false">IFERROR(INDEX(Clay_Offices!$A$2:$FZ$601,B468,$C$8)&amp;"","")</f>
        <v/>
      </c>
      <c r="F468" s="23" t="str">
        <f aca="false">IF(C468="","",IF(COUNTIF(Office_Log!$A$2:$A$201,C468)&gt;0,"Y","N"))</f>
        <v/>
      </c>
      <c r="G468" s="34" t="str">
        <f aca="false">IF(OR(C468="",AND(LEFT(C468,6)="SAMPLE",Config!$B$19&lt;&gt;"Y")),"",IF(IFERROR(INDEX(Lists!$K$2:$K$15,MATCH(D468,Lists!$J$2:$J$15,0)),-1)=-1,"status '"&amp;D468&amp;"' is not a CONTRACTS status",IF(AND(D468="signed",COUNTIF(signed_offices!$W$2:$W$51,C468)=0),"status signed but no signed_offices row"&amp;IF(F468="N"," and no tracker row",""),IF(AND(IFERROR(INDEX(Lists!$K$2:$K$15,MATCH(D468,Lists!$J$2:$J$15,0)),-1)&gt;=6,F468="N"),"status "&amp;D468&amp;" but no tracker row",IF(AND(E468="Y",D468&lt;&gt;"do_not_contact"),"do_not_contact = Y but status is "&amp;D468,IF(AND(D468="do_not_contact",E468&lt;&gt;"Y"),"status do_not_contact but do_not_contact is not Y",""))))))</f>
        <v/>
      </c>
      <c r="I468" s="23" t="n">
        <v>447</v>
      </c>
      <c r="J468" s="23" t="str">
        <f aca="false">IFERROR(INDEX(Clay_Brands!$A$2:$FZ$601,I468,$D$5)&amp;"","")</f>
        <v/>
      </c>
      <c r="K468" s="23" t="str">
        <f aca="false">IFERROR(INDEX(Clay_Brands!$A$2:$FZ$601,I468,$D$7)&amp;"","")</f>
        <v/>
      </c>
      <c r="L468" s="23" t="str">
        <f aca="false">IFERROR(INDEX(Clay_Brands!$A$2:$FZ$601,I468,$D$8)&amp;"","")</f>
        <v/>
      </c>
      <c r="M468" s="23" t="str">
        <f aca="false">IF(J468="","",IF(COUNTIF(Brand_Log!$A$2:$A$201,J468)&gt;0,"Y","N"))</f>
        <v/>
      </c>
      <c r="N468" s="34" t="str">
        <f aca="false">IF(OR(J468="",AND(LEFT(J468,6)="SAMPLE",Config!$B$19&lt;&gt;"Y")),"",IF(IFERROR(INDEX(Lists!$K$2:$K$15,MATCH(K468,Lists!$J$2:$J$15,0)),-1)=-1,"status '"&amp;K468&amp;"' is not a CONTRACTS status",IF(AND(K468="paid",COUNTIF(paid_brands!$AC$2:$AC$51,J468)=0),"status paid but no paid_brands row"&amp;IF(M468="N"," and no tracker row",""),IF(AND(IFERROR(INDEX(Lists!$K$2:$K$15,MATCH(K468,Lists!$J$2:$J$15,0)),-1)&gt;=6,M468="N"),"status "&amp;K468&amp;" but no tracker row",IF(AND(L468="Y",K468&lt;&gt;"do_not_contact"),"do_not_contact = Y but status is "&amp;K468,IF(AND(K468="do_not_contact",L468&lt;&gt;"Y"),"status do_not_contact but do_not_contact is not Y",""))))))</f>
        <v/>
      </c>
    </row>
    <row r="469" customFormat="false" ht="15" hidden="false" customHeight="false" outlineLevel="0" collapsed="false">
      <c r="B469" s="23" t="n">
        <v>448</v>
      </c>
      <c r="C469" s="23" t="str">
        <f aca="false">IFERROR(INDEX(Clay_Offices!$A$2:$FZ$601,B469,$C$5)&amp;"","")</f>
        <v/>
      </c>
      <c r="D469" s="23" t="str">
        <f aca="false">IFERROR(INDEX(Clay_Offices!$A$2:$FZ$601,B469,$C$7)&amp;"","")</f>
        <v/>
      </c>
      <c r="E469" s="23" t="str">
        <f aca="false">IFERROR(INDEX(Clay_Offices!$A$2:$FZ$601,B469,$C$8)&amp;"","")</f>
        <v/>
      </c>
      <c r="F469" s="23" t="str">
        <f aca="false">IF(C469="","",IF(COUNTIF(Office_Log!$A$2:$A$201,C469)&gt;0,"Y","N"))</f>
        <v/>
      </c>
      <c r="G469" s="34" t="str">
        <f aca="false">IF(OR(C469="",AND(LEFT(C469,6)="SAMPLE",Config!$B$19&lt;&gt;"Y")),"",IF(IFERROR(INDEX(Lists!$K$2:$K$15,MATCH(D469,Lists!$J$2:$J$15,0)),-1)=-1,"status '"&amp;D469&amp;"' is not a CONTRACTS status",IF(AND(D469="signed",COUNTIF(signed_offices!$W$2:$W$51,C469)=0),"status signed but no signed_offices row"&amp;IF(F469="N"," and no tracker row",""),IF(AND(IFERROR(INDEX(Lists!$K$2:$K$15,MATCH(D469,Lists!$J$2:$J$15,0)),-1)&gt;=6,F469="N"),"status "&amp;D469&amp;" but no tracker row",IF(AND(E469="Y",D469&lt;&gt;"do_not_contact"),"do_not_contact = Y but status is "&amp;D469,IF(AND(D469="do_not_contact",E469&lt;&gt;"Y"),"status do_not_contact but do_not_contact is not Y",""))))))</f>
        <v/>
      </c>
      <c r="I469" s="23" t="n">
        <v>448</v>
      </c>
      <c r="J469" s="23" t="str">
        <f aca="false">IFERROR(INDEX(Clay_Brands!$A$2:$FZ$601,I469,$D$5)&amp;"","")</f>
        <v/>
      </c>
      <c r="K469" s="23" t="str">
        <f aca="false">IFERROR(INDEX(Clay_Brands!$A$2:$FZ$601,I469,$D$7)&amp;"","")</f>
        <v/>
      </c>
      <c r="L469" s="23" t="str">
        <f aca="false">IFERROR(INDEX(Clay_Brands!$A$2:$FZ$601,I469,$D$8)&amp;"","")</f>
        <v/>
      </c>
      <c r="M469" s="23" t="str">
        <f aca="false">IF(J469="","",IF(COUNTIF(Brand_Log!$A$2:$A$201,J469)&gt;0,"Y","N"))</f>
        <v/>
      </c>
      <c r="N469" s="34" t="str">
        <f aca="false">IF(OR(J469="",AND(LEFT(J469,6)="SAMPLE",Config!$B$19&lt;&gt;"Y")),"",IF(IFERROR(INDEX(Lists!$K$2:$K$15,MATCH(K469,Lists!$J$2:$J$15,0)),-1)=-1,"status '"&amp;K469&amp;"' is not a CONTRACTS status",IF(AND(K469="paid",COUNTIF(paid_brands!$AC$2:$AC$51,J469)=0),"status paid but no paid_brands row"&amp;IF(M469="N"," and no tracker row",""),IF(AND(IFERROR(INDEX(Lists!$K$2:$K$15,MATCH(K469,Lists!$J$2:$J$15,0)),-1)&gt;=6,M469="N"),"status "&amp;K469&amp;" but no tracker row",IF(AND(L469="Y",K469&lt;&gt;"do_not_contact"),"do_not_contact = Y but status is "&amp;K469,IF(AND(K469="do_not_contact",L469&lt;&gt;"Y"),"status do_not_contact but do_not_contact is not Y",""))))))</f>
        <v/>
      </c>
    </row>
    <row r="470" customFormat="false" ht="15" hidden="false" customHeight="false" outlineLevel="0" collapsed="false">
      <c r="B470" s="23" t="n">
        <v>449</v>
      </c>
      <c r="C470" s="23" t="str">
        <f aca="false">IFERROR(INDEX(Clay_Offices!$A$2:$FZ$601,B470,$C$5)&amp;"","")</f>
        <v/>
      </c>
      <c r="D470" s="23" t="str">
        <f aca="false">IFERROR(INDEX(Clay_Offices!$A$2:$FZ$601,B470,$C$7)&amp;"","")</f>
        <v/>
      </c>
      <c r="E470" s="23" t="str">
        <f aca="false">IFERROR(INDEX(Clay_Offices!$A$2:$FZ$601,B470,$C$8)&amp;"","")</f>
        <v/>
      </c>
      <c r="F470" s="23" t="str">
        <f aca="false">IF(C470="","",IF(COUNTIF(Office_Log!$A$2:$A$201,C470)&gt;0,"Y","N"))</f>
        <v/>
      </c>
      <c r="G470" s="34" t="str">
        <f aca="false">IF(OR(C470="",AND(LEFT(C470,6)="SAMPLE",Config!$B$19&lt;&gt;"Y")),"",IF(IFERROR(INDEX(Lists!$K$2:$K$15,MATCH(D470,Lists!$J$2:$J$15,0)),-1)=-1,"status '"&amp;D470&amp;"' is not a CONTRACTS status",IF(AND(D470="signed",COUNTIF(signed_offices!$W$2:$W$51,C470)=0),"status signed but no signed_offices row"&amp;IF(F470="N"," and no tracker row",""),IF(AND(IFERROR(INDEX(Lists!$K$2:$K$15,MATCH(D470,Lists!$J$2:$J$15,0)),-1)&gt;=6,F470="N"),"status "&amp;D470&amp;" but no tracker row",IF(AND(E470="Y",D470&lt;&gt;"do_not_contact"),"do_not_contact = Y but status is "&amp;D470,IF(AND(D470="do_not_contact",E470&lt;&gt;"Y"),"status do_not_contact but do_not_contact is not Y",""))))))</f>
        <v/>
      </c>
      <c r="I470" s="23" t="n">
        <v>449</v>
      </c>
      <c r="J470" s="23" t="str">
        <f aca="false">IFERROR(INDEX(Clay_Brands!$A$2:$FZ$601,I470,$D$5)&amp;"","")</f>
        <v/>
      </c>
      <c r="K470" s="23" t="str">
        <f aca="false">IFERROR(INDEX(Clay_Brands!$A$2:$FZ$601,I470,$D$7)&amp;"","")</f>
        <v/>
      </c>
      <c r="L470" s="23" t="str">
        <f aca="false">IFERROR(INDEX(Clay_Brands!$A$2:$FZ$601,I470,$D$8)&amp;"","")</f>
        <v/>
      </c>
      <c r="M470" s="23" t="str">
        <f aca="false">IF(J470="","",IF(COUNTIF(Brand_Log!$A$2:$A$201,J470)&gt;0,"Y","N"))</f>
        <v/>
      </c>
      <c r="N470" s="34" t="str">
        <f aca="false">IF(OR(J470="",AND(LEFT(J470,6)="SAMPLE",Config!$B$19&lt;&gt;"Y")),"",IF(IFERROR(INDEX(Lists!$K$2:$K$15,MATCH(K470,Lists!$J$2:$J$15,0)),-1)=-1,"status '"&amp;K470&amp;"' is not a CONTRACTS status",IF(AND(K470="paid",COUNTIF(paid_brands!$AC$2:$AC$51,J470)=0),"status paid but no paid_brands row"&amp;IF(M470="N"," and no tracker row",""),IF(AND(IFERROR(INDEX(Lists!$K$2:$K$15,MATCH(K470,Lists!$J$2:$J$15,0)),-1)&gt;=6,M470="N"),"status "&amp;K470&amp;" but no tracker row",IF(AND(L470="Y",K470&lt;&gt;"do_not_contact"),"do_not_contact = Y but status is "&amp;K470,IF(AND(K470="do_not_contact",L470&lt;&gt;"Y"),"status do_not_contact but do_not_contact is not Y",""))))))</f>
        <v/>
      </c>
    </row>
    <row r="471" customFormat="false" ht="15" hidden="false" customHeight="false" outlineLevel="0" collapsed="false">
      <c r="B471" s="23" t="n">
        <v>450</v>
      </c>
      <c r="C471" s="23" t="str">
        <f aca="false">IFERROR(INDEX(Clay_Offices!$A$2:$FZ$601,B471,$C$5)&amp;"","")</f>
        <v/>
      </c>
      <c r="D471" s="23" t="str">
        <f aca="false">IFERROR(INDEX(Clay_Offices!$A$2:$FZ$601,B471,$C$7)&amp;"","")</f>
        <v/>
      </c>
      <c r="E471" s="23" t="str">
        <f aca="false">IFERROR(INDEX(Clay_Offices!$A$2:$FZ$601,B471,$C$8)&amp;"","")</f>
        <v/>
      </c>
      <c r="F471" s="23" t="str">
        <f aca="false">IF(C471="","",IF(COUNTIF(Office_Log!$A$2:$A$201,C471)&gt;0,"Y","N"))</f>
        <v/>
      </c>
      <c r="G471" s="34" t="str">
        <f aca="false">IF(OR(C471="",AND(LEFT(C471,6)="SAMPLE",Config!$B$19&lt;&gt;"Y")),"",IF(IFERROR(INDEX(Lists!$K$2:$K$15,MATCH(D471,Lists!$J$2:$J$15,0)),-1)=-1,"status '"&amp;D471&amp;"' is not a CONTRACTS status",IF(AND(D471="signed",COUNTIF(signed_offices!$W$2:$W$51,C471)=0),"status signed but no signed_offices row"&amp;IF(F471="N"," and no tracker row",""),IF(AND(IFERROR(INDEX(Lists!$K$2:$K$15,MATCH(D471,Lists!$J$2:$J$15,0)),-1)&gt;=6,F471="N"),"status "&amp;D471&amp;" but no tracker row",IF(AND(E471="Y",D471&lt;&gt;"do_not_contact"),"do_not_contact = Y but status is "&amp;D471,IF(AND(D471="do_not_contact",E471&lt;&gt;"Y"),"status do_not_contact but do_not_contact is not Y",""))))))</f>
        <v/>
      </c>
      <c r="I471" s="23" t="n">
        <v>450</v>
      </c>
      <c r="J471" s="23" t="str">
        <f aca="false">IFERROR(INDEX(Clay_Brands!$A$2:$FZ$601,I471,$D$5)&amp;"","")</f>
        <v/>
      </c>
      <c r="K471" s="23" t="str">
        <f aca="false">IFERROR(INDEX(Clay_Brands!$A$2:$FZ$601,I471,$D$7)&amp;"","")</f>
        <v/>
      </c>
      <c r="L471" s="23" t="str">
        <f aca="false">IFERROR(INDEX(Clay_Brands!$A$2:$FZ$601,I471,$D$8)&amp;"","")</f>
        <v/>
      </c>
      <c r="M471" s="23" t="str">
        <f aca="false">IF(J471="","",IF(COUNTIF(Brand_Log!$A$2:$A$201,J471)&gt;0,"Y","N"))</f>
        <v/>
      </c>
      <c r="N471" s="34" t="str">
        <f aca="false">IF(OR(J471="",AND(LEFT(J471,6)="SAMPLE",Config!$B$19&lt;&gt;"Y")),"",IF(IFERROR(INDEX(Lists!$K$2:$K$15,MATCH(K471,Lists!$J$2:$J$15,0)),-1)=-1,"status '"&amp;K471&amp;"' is not a CONTRACTS status",IF(AND(K471="paid",COUNTIF(paid_brands!$AC$2:$AC$51,J471)=0),"status paid but no paid_brands row"&amp;IF(M471="N"," and no tracker row",""),IF(AND(IFERROR(INDEX(Lists!$K$2:$K$15,MATCH(K471,Lists!$J$2:$J$15,0)),-1)&gt;=6,M471="N"),"status "&amp;K471&amp;" but no tracker row",IF(AND(L471="Y",K471&lt;&gt;"do_not_contact"),"do_not_contact = Y but status is "&amp;K471,IF(AND(K471="do_not_contact",L471&lt;&gt;"Y"),"status do_not_contact but do_not_contact is not Y",""))))))</f>
        <v/>
      </c>
    </row>
    <row r="472" customFormat="false" ht="15" hidden="false" customHeight="false" outlineLevel="0" collapsed="false">
      <c r="B472" s="23" t="n">
        <v>451</v>
      </c>
      <c r="C472" s="23" t="str">
        <f aca="false">IFERROR(INDEX(Clay_Offices!$A$2:$FZ$601,B472,$C$5)&amp;"","")</f>
        <v/>
      </c>
      <c r="D472" s="23" t="str">
        <f aca="false">IFERROR(INDEX(Clay_Offices!$A$2:$FZ$601,B472,$C$7)&amp;"","")</f>
        <v/>
      </c>
      <c r="E472" s="23" t="str">
        <f aca="false">IFERROR(INDEX(Clay_Offices!$A$2:$FZ$601,B472,$C$8)&amp;"","")</f>
        <v/>
      </c>
      <c r="F472" s="23" t="str">
        <f aca="false">IF(C472="","",IF(COUNTIF(Office_Log!$A$2:$A$201,C472)&gt;0,"Y","N"))</f>
        <v/>
      </c>
      <c r="G472" s="34" t="str">
        <f aca="false">IF(OR(C472="",AND(LEFT(C472,6)="SAMPLE",Config!$B$19&lt;&gt;"Y")),"",IF(IFERROR(INDEX(Lists!$K$2:$K$15,MATCH(D472,Lists!$J$2:$J$15,0)),-1)=-1,"status '"&amp;D472&amp;"' is not a CONTRACTS status",IF(AND(D472="signed",COUNTIF(signed_offices!$W$2:$W$51,C472)=0),"status signed but no signed_offices row"&amp;IF(F472="N"," and no tracker row",""),IF(AND(IFERROR(INDEX(Lists!$K$2:$K$15,MATCH(D472,Lists!$J$2:$J$15,0)),-1)&gt;=6,F472="N"),"status "&amp;D472&amp;" but no tracker row",IF(AND(E472="Y",D472&lt;&gt;"do_not_contact"),"do_not_contact = Y but status is "&amp;D472,IF(AND(D472="do_not_contact",E472&lt;&gt;"Y"),"status do_not_contact but do_not_contact is not Y",""))))))</f>
        <v/>
      </c>
      <c r="I472" s="23" t="n">
        <v>451</v>
      </c>
      <c r="J472" s="23" t="str">
        <f aca="false">IFERROR(INDEX(Clay_Brands!$A$2:$FZ$601,I472,$D$5)&amp;"","")</f>
        <v/>
      </c>
      <c r="K472" s="23" t="str">
        <f aca="false">IFERROR(INDEX(Clay_Brands!$A$2:$FZ$601,I472,$D$7)&amp;"","")</f>
        <v/>
      </c>
      <c r="L472" s="23" t="str">
        <f aca="false">IFERROR(INDEX(Clay_Brands!$A$2:$FZ$601,I472,$D$8)&amp;"","")</f>
        <v/>
      </c>
      <c r="M472" s="23" t="str">
        <f aca="false">IF(J472="","",IF(COUNTIF(Brand_Log!$A$2:$A$201,J472)&gt;0,"Y","N"))</f>
        <v/>
      </c>
      <c r="N472" s="34" t="str">
        <f aca="false">IF(OR(J472="",AND(LEFT(J472,6)="SAMPLE",Config!$B$19&lt;&gt;"Y")),"",IF(IFERROR(INDEX(Lists!$K$2:$K$15,MATCH(K472,Lists!$J$2:$J$15,0)),-1)=-1,"status '"&amp;K472&amp;"' is not a CONTRACTS status",IF(AND(K472="paid",COUNTIF(paid_brands!$AC$2:$AC$51,J472)=0),"status paid but no paid_brands row"&amp;IF(M472="N"," and no tracker row",""),IF(AND(IFERROR(INDEX(Lists!$K$2:$K$15,MATCH(K472,Lists!$J$2:$J$15,0)),-1)&gt;=6,M472="N"),"status "&amp;K472&amp;" but no tracker row",IF(AND(L472="Y",K472&lt;&gt;"do_not_contact"),"do_not_contact = Y but status is "&amp;K472,IF(AND(K472="do_not_contact",L472&lt;&gt;"Y"),"status do_not_contact but do_not_contact is not Y",""))))))</f>
        <v/>
      </c>
    </row>
    <row r="473" customFormat="false" ht="15" hidden="false" customHeight="false" outlineLevel="0" collapsed="false">
      <c r="B473" s="23" t="n">
        <v>452</v>
      </c>
      <c r="C473" s="23" t="str">
        <f aca="false">IFERROR(INDEX(Clay_Offices!$A$2:$FZ$601,B473,$C$5)&amp;"","")</f>
        <v/>
      </c>
      <c r="D473" s="23" t="str">
        <f aca="false">IFERROR(INDEX(Clay_Offices!$A$2:$FZ$601,B473,$C$7)&amp;"","")</f>
        <v/>
      </c>
      <c r="E473" s="23" t="str">
        <f aca="false">IFERROR(INDEX(Clay_Offices!$A$2:$FZ$601,B473,$C$8)&amp;"","")</f>
        <v/>
      </c>
      <c r="F473" s="23" t="str">
        <f aca="false">IF(C473="","",IF(COUNTIF(Office_Log!$A$2:$A$201,C473)&gt;0,"Y","N"))</f>
        <v/>
      </c>
      <c r="G473" s="34" t="str">
        <f aca="false">IF(OR(C473="",AND(LEFT(C473,6)="SAMPLE",Config!$B$19&lt;&gt;"Y")),"",IF(IFERROR(INDEX(Lists!$K$2:$K$15,MATCH(D473,Lists!$J$2:$J$15,0)),-1)=-1,"status '"&amp;D473&amp;"' is not a CONTRACTS status",IF(AND(D473="signed",COUNTIF(signed_offices!$W$2:$W$51,C473)=0),"status signed but no signed_offices row"&amp;IF(F473="N"," and no tracker row",""),IF(AND(IFERROR(INDEX(Lists!$K$2:$K$15,MATCH(D473,Lists!$J$2:$J$15,0)),-1)&gt;=6,F473="N"),"status "&amp;D473&amp;" but no tracker row",IF(AND(E473="Y",D473&lt;&gt;"do_not_contact"),"do_not_contact = Y but status is "&amp;D473,IF(AND(D473="do_not_contact",E473&lt;&gt;"Y"),"status do_not_contact but do_not_contact is not Y",""))))))</f>
        <v/>
      </c>
      <c r="I473" s="23" t="n">
        <v>452</v>
      </c>
      <c r="J473" s="23" t="str">
        <f aca="false">IFERROR(INDEX(Clay_Brands!$A$2:$FZ$601,I473,$D$5)&amp;"","")</f>
        <v/>
      </c>
      <c r="K473" s="23" t="str">
        <f aca="false">IFERROR(INDEX(Clay_Brands!$A$2:$FZ$601,I473,$D$7)&amp;"","")</f>
        <v/>
      </c>
      <c r="L473" s="23" t="str">
        <f aca="false">IFERROR(INDEX(Clay_Brands!$A$2:$FZ$601,I473,$D$8)&amp;"","")</f>
        <v/>
      </c>
      <c r="M473" s="23" t="str">
        <f aca="false">IF(J473="","",IF(COUNTIF(Brand_Log!$A$2:$A$201,J473)&gt;0,"Y","N"))</f>
        <v/>
      </c>
      <c r="N473" s="34" t="str">
        <f aca="false">IF(OR(J473="",AND(LEFT(J473,6)="SAMPLE",Config!$B$19&lt;&gt;"Y")),"",IF(IFERROR(INDEX(Lists!$K$2:$K$15,MATCH(K473,Lists!$J$2:$J$15,0)),-1)=-1,"status '"&amp;K473&amp;"' is not a CONTRACTS status",IF(AND(K473="paid",COUNTIF(paid_brands!$AC$2:$AC$51,J473)=0),"status paid but no paid_brands row"&amp;IF(M473="N"," and no tracker row",""),IF(AND(IFERROR(INDEX(Lists!$K$2:$K$15,MATCH(K473,Lists!$J$2:$J$15,0)),-1)&gt;=6,M473="N"),"status "&amp;K473&amp;" but no tracker row",IF(AND(L473="Y",K473&lt;&gt;"do_not_contact"),"do_not_contact = Y but status is "&amp;K473,IF(AND(K473="do_not_contact",L473&lt;&gt;"Y"),"status do_not_contact but do_not_contact is not Y",""))))))</f>
        <v/>
      </c>
    </row>
    <row r="474" customFormat="false" ht="15" hidden="false" customHeight="false" outlineLevel="0" collapsed="false">
      <c r="B474" s="23" t="n">
        <v>453</v>
      </c>
      <c r="C474" s="23" t="str">
        <f aca="false">IFERROR(INDEX(Clay_Offices!$A$2:$FZ$601,B474,$C$5)&amp;"","")</f>
        <v/>
      </c>
      <c r="D474" s="23" t="str">
        <f aca="false">IFERROR(INDEX(Clay_Offices!$A$2:$FZ$601,B474,$C$7)&amp;"","")</f>
        <v/>
      </c>
      <c r="E474" s="23" t="str">
        <f aca="false">IFERROR(INDEX(Clay_Offices!$A$2:$FZ$601,B474,$C$8)&amp;"","")</f>
        <v/>
      </c>
      <c r="F474" s="23" t="str">
        <f aca="false">IF(C474="","",IF(COUNTIF(Office_Log!$A$2:$A$201,C474)&gt;0,"Y","N"))</f>
        <v/>
      </c>
      <c r="G474" s="34" t="str">
        <f aca="false">IF(OR(C474="",AND(LEFT(C474,6)="SAMPLE",Config!$B$19&lt;&gt;"Y")),"",IF(IFERROR(INDEX(Lists!$K$2:$K$15,MATCH(D474,Lists!$J$2:$J$15,0)),-1)=-1,"status '"&amp;D474&amp;"' is not a CONTRACTS status",IF(AND(D474="signed",COUNTIF(signed_offices!$W$2:$W$51,C474)=0),"status signed but no signed_offices row"&amp;IF(F474="N"," and no tracker row",""),IF(AND(IFERROR(INDEX(Lists!$K$2:$K$15,MATCH(D474,Lists!$J$2:$J$15,0)),-1)&gt;=6,F474="N"),"status "&amp;D474&amp;" but no tracker row",IF(AND(E474="Y",D474&lt;&gt;"do_not_contact"),"do_not_contact = Y but status is "&amp;D474,IF(AND(D474="do_not_contact",E474&lt;&gt;"Y"),"status do_not_contact but do_not_contact is not Y",""))))))</f>
        <v/>
      </c>
      <c r="I474" s="23" t="n">
        <v>453</v>
      </c>
      <c r="J474" s="23" t="str">
        <f aca="false">IFERROR(INDEX(Clay_Brands!$A$2:$FZ$601,I474,$D$5)&amp;"","")</f>
        <v/>
      </c>
      <c r="K474" s="23" t="str">
        <f aca="false">IFERROR(INDEX(Clay_Brands!$A$2:$FZ$601,I474,$D$7)&amp;"","")</f>
        <v/>
      </c>
      <c r="L474" s="23" t="str">
        <f aca="false">IFERROR(INDEX(Clay_Brands!$A$2:$FZ$601,I474,$D$8)&amp;"","")</f>
        <v/>
      </c>
      <c r="M474" s="23" t="str">
        <f aca="false">IF(J474="","",IF(COUNTIF(Brand_Log!$A$2:$A$201,J474)&gt;0,"Y","N"))</f>
        <v/>
      </c>
      <c r="N474" s="34" t="str">
        <f aca="false">IF(OR(J474="",AND(LEFT(J474,6)="SAMPLE",Config!$B$19&lt;&gt;"Y")),"",IF(IFERROR(INDEX(Lists!$K$2:$K$15,MATCH(K474,Lists!$J$2:$J$15,0)),-1)=-1,"status '"&amp;K474&amp;"' is not a CONTRACTS status",IF(AND(K474="paid",COUNTIF(paid_brands!$AC$2:$AC$51,J474)=0),"status paid but no paid_brands row"&amp;IF(M474="N"," and no tracker row",""),IF(AND(IFERROR(INDEX(Lists!$K$2:$K$15,MATCH(K474,Lists!$J$2:$J$15,0)),-1)&gt;=6,M474="N"),"status "&amp;K474&amp;" but no tracker row",IF(AND(L474="Y",K474&lt;&gt;"do_not_contact"),"do_not_contact = Y but status is "&amp;K474,IF(AND(K474="do_not_contact",L474&lt;&gt;"Y"),"status do_not_contact but do_not_contact is not Y",""))))))</f>
        <v/>
      </c>
    </row>
    <row r="475" customFormat="false" ht="15" hidden="false" customHeight="false" outlineLevel="0" collapsed="false">
      <c r="B475" s="23" t="n">
        <v>454</v>
      </c>
      <c r="C475" s="23" t="str">
        <f aca="false">IFERROR(INDEX(Clay_Offices!$A$2:$FZ$601,B475,$C$5)&amp;"","")</f>
        <v/>
      </c>
      <c r="D475" s="23" t="str">
        <f aca="false">IFERROR(INDEX(Clay_Offices!$A$2:$FZ$601,B475,$C$7)&amp;"","")</f>
        <v/>
      </c>
      <c r="E475" s="23" t="str">
        <f aca="false">IFERROR(INDEX(Clay_Offices!$A$2:$FZ$601,B475,$C$8)&amp;"","")</f>
        <v/>
      </c>
      <c r="F475" s="23" t="str">
        <f aca="false">IF(C475="","",IF(COUNTIF(Office_Log!$A$2:$A$201,C475)&gt;0,"Y","N"))</f>
        <v/>
      </c>
      <c r="G475" s="34" t="str">
        <f aca="false">IF(OR(C475="",AND(LEFT(C475,6)="SAMPLE",Config!$B$19&lt;&gt;"Y")),"",IF(IFERROR(INDEX(Lists!$K$2:$K$15,MATCH(D475,Lists!$J$2:$J$15,0)),-1)=-1,"status '"&amp;D475&amp;"' is not a CONTRACTS status",IF(AND(D475="signed",COUNTIF(signed_offices!$W$2:$W$51,C475)=0),"status signed but no signed_offices row"&amp;IF(F475="N"," and no tracker row",""),IF(AND(IFERROR(INDEX(Lists!$K$2:$K$15,MATCH(D475,Lists!$J$2:$J$15,0)),-1)&gt;=6,F475="N"),"status "&amp;D475&amp;" but no tracker row",IF(AND(E475="Y",D475&lt;&gt;"do_not_contact"),"do_not_contact = Y but status is "&amp;D475,IF(AND(D475="do_not_contact",E475&lt;&gt;"Y"),"status do_not_contact but do_not_contact is not Y",""))))))</f>
        <v/>
      </c>
      <c r="I475" s="23" t="n">
        <v>454</v>
      </c>
      <c r="J475" s="23" t="str">
        <f aca="false">IFERROR(INDEX(Clay_Brands!$A$2:$FZ$601,I475,$D$5)&amp;"","")</f>
        <v/>
      </c>
      <c r="K475" s="23" t="str">
        <f aca="false">IFERROR(INDEX(Clay_Brands!$A$2:$FZ$601,I475,$D$7)&amp;"","")</f>
        <v/>
      </c>
      <c r="L475" s="23" t="str">
        <f aca="false">IFERROR(INDEX(Clay_Brands!$A$2:$FZ$601,I475,$D$8)&amp;"","")</f>
        <v/>
      </c>
      <c r="M475" s="23" t="str">
        <f aca="false">IF(J475="","",IF(COUNTIF(Brand_Log!$A$2:$A$201,J475)&gt;0,"Y","N"))</f>
        <v/>
      </c>
      <c r="N475" s="34" t="str">
        <f aca="false">IF(OR(J475="",AND(LEFT(J475,6)="SAMPLE",Config!$B$19&lt;&gt;"Y")),"",IF(IFERROR(INDEX(Lists!$K$2:$K$15,MATCH(K475,Lists!$J$2:$J$15,0)),-1)=-1,"status '"&amp;K475&amp;"' is not a CONTRACTS status",IF(AND(K475="paid",COUNTIF(paid_brands!$AC$2:$AC$51,J475)=0),"status paid but no paid_brands row"&amp;IF(M475="N"," and no tracker row",""),IF(AND(IFERROR(INDEX(Lists!$K$2:$K$15,MATCH(K475,Lists!$J$2:$J$15,0)),-1)&gt;=6,M475="N"),"status "&amp;K475&amp;" but no tracker row",IF(AND(L475="Y",K475&lt;&gt;"do_not_contact"),"do_not_contact = Y but status is "&amp;K475,IF(AND(K475="do_not_contact",L475&lt;&gt;"Y"),"status do_not_contact but do_not_contact is not Y",""))))))</f>
        <v/>
      </c>
    </row>
    <row r="476" customFormat="false" ht="15" hidden="false" customHeight="false" outlineLevel="0" collapsed="false">
      <c r="B476" s="23" t="n">
        <v>455</v>
      </c>
      <c r="C476" s="23" t="str">
        <f aca="false">IFERROR(INDEX(Clay_Offices!$A$2:$FZ$601,B476,$C$5)&amp;"","")</f>
        <v/>
      </c>
      <c r="D476" s="23" t="str">
        <f aca="false">IFERROR(INDEX(Clay_Offices!$A$2:$FZ$601,B476,$C$7)&amp;"","")</f>
        <v/>
      </c>
      <c r="E476" s="23" t="str">
        <f aca="false">IFERROR(INDEX(Clay_Offices!$A$2:$FZ$601,B476,$C$8)&amp;"","")</f>
        <v/>
      </c>
      <c r="F476" s="23" t="str">
        <f aca="false">IF(C476="","",IF(COUNTIF(Office_Log!$A$2:$A$201,C476)&gt;0,"Y","N"))</f>
        <v/>
      </c>
      <c r="G476" s="34" t="str">
        <f aca="false">IF(OR(C476="",AND(LEFT(C476,6)="SAMPLE",Config!$B$19&lt;&gt;"Y")),"",IF(IFERROR(INDEX(Lists!$K$2:$K$15,MATCH(D476,Lists!$J$2:$J$15,0)),-1)=-1,"status '"&amp;D476&amp;"' is not a CONTRACTS status",IF(AND(D476="signed",COUNTIF(signed_offices!$W$2:$W$51,C476)=0),"status signed but no signed_offices row"&amp;IF(F476="N"," and no tracker row",""),IF(AND(IFERROR(INDEX(Lists!$K$2:$K$15,MATCH(D476,Lists!$J$2:$J$15,0)),-1)&gt;=6,F476="N"),"status "&amp;D476&amp;" but no tracker row",IF(AND(E476="Y",D476&lt;&gt;"do_not_contact"),"do_not_contact = Y but status is "&amp;D476,IF(AND(D476="do_not_contact",E476&lt;&gt;"Y"),"status do_not_contact but do_not_contact is not Y",""))))))</f>
        <v/>
      </c>
      <c r="I476" s="23" t="n">
        <v>455</v>
      </c>
      <c r="J476" s="23" t="str">
        <f aca="false">IFERROR(INDEX(Clay_Brands!$A$2:$FZ$601,I476,$D$5)&amp;"","")</f>
        <v/>
      </c>
      <c r="K476" s="23" t="str">
        <f aca="false">IFERROR(INDEX(Clay_Brands!$A$2:$FZ$601,I476,$D$7)&amp;"","")</f>
        <v/>
      </c>
      <c r="L476" s="23" t="str">
        <f aca="false">IFERROR(INDEX(Clay_Brands!$A$2:$FZ$601,I476,$D$8)&amp;"","")</f>
        <v/>
      </c>
      <c r="M476" s="23" t="str">
        <f aca="false">IF(J476="","",IF(COUNTIF(Brand_Log!$A$2:$A$201,J476)&gt;0,"Y","N"))</f>
        <v/>
      </c>
      <c r="N476" s="34" t="str">
        <f aca="false">IF(OR(J476="",AND(LEFT(J476,6)="SAMPLE",Config!$B$19&lt;&gt;"Y")),"",IF(IFERROR(INDEX(Lists!$K$2:$K$15,MATCH(K476,Lists!$J$2:$J$15,0)),-1)=-1,"status '"&amp;K476&amp;"' is not a CONTRACTS status",IF(AND(K476="paid",COUNTIF(paid_brands!$AC$2:$AC$51,J476)=0),"status paid but no paid_brands row"&amp;IF(M476="N"," and no tracker row",""),IF(AND(IFERROR(INDEX(Lists!$K$2:$K$15,MATCH(K476,Lists!$J$2:$J$15,0)),-1)&gt;=6,M476="N"),"status "&amp;K476&amp;" but no tracker row",IF(AND(L476="Y",K476&lt;&gt;"do_not_contact"),"do_not_contact = Y but status is "&amp;K476,IF(AND(K476="do_not_contact",L476&lt;&gt;"Y"),"status do_not_contact but do_not_contact is not Y",""))))))</f>
        <v/>
      </c>
    </row>
    <row r="477" customFormat="false" ht="15" hidden="false" customHeight="false" outlineLevel="0" collapsed="false">
      <c r="B477" s="23" t="n">
        <v>456</v>
      </c>
      <c r="C477" s="23" t="str">
        <f aca="false">IFERROR(INDEX(Clay_Offices!$A$2:$FZ$601,B477,$C$5)&amp;"","")</f>
        <v/>
      </c>
      <c r="D477" s="23" t="str">
        <f aca="false">IFERROR(INDEX(Clay_Offices!$A$2:$FZ$601,B477,$C$7)&amp;"","")</f>
        <v/>
      </c>
      <c r="E477" s="23" t="str">
        <f aca="false">IFERROR(INDEX(Clay_Offices!$A$2:$FZ$601,B477,$C$8)&amp;"","")</f>
        <v/>
      </c>
      <c r="F477" s="23" t="str">
        <f aca="false">IF(C477="","",IF(COUNTIF(Office_Log!$A$2:$A$201,C477)&gt;0,"Y","N"))</f>
        <v/>
      </c>
      <c r="G477" s="34" t="str">
        <f aca="false">IF(OR(C477="",AND(LEFT(C477,6)="SAMPLE",Config!$B$19&lt;&gt;"Y")),"",IF(IFERROR(INDEX(Lists!$K$2:$K$15,MATCH(D477,Lists!$J$2:$J$15,0)),-1)=-1,"status '"&amp;D477&amp;"' is not a CONTRACTS status",IF(AND(D477="signed",COUNTIF(signed_offices!$W$2:$W$51,C477)=0),"status signed but no signed_offices row"&amp;IF(F477="N"," and no tracker row",""),IF(AND(IFERROR(INDEX(Lists!$K$2:$K$15,MATCH(D477,Lists!$J$2:$J$15,0)),-1)&gt;=6,F477="N"),"status "&amp;D477&amp;" but no tracker row",IF(AND(E477="Y",D477&lt;&gt;"do_not_contact"),"do_not_contact = Y but status is "&amp;D477,IF(AND(D477="do_not_contact",E477&lt;&gt;"Y"),"status do_not_contact but do_not_contact is not Y",""))))))</f>
        <v/>
      </c>
      <c r="I477" s="23" t="n">
        <v>456</v>
      </c>
      <c r="J477" s="23" t="str">
        <f aca="false">IFERROR(INDEX(Clay_Brands!$A$2:$FZ$601,I477,$D$5)&amp;"","")</f>
        <v/>
      </c>
      <c r="K477" s="23" t="str">
        <f aca="false">IFERROR(INDEX(Clay_Brands!$A$2:$FZ$601,I477,$D$7)&amp;"","")</f>
        <v/>
      </c>
      <c r="L477" s="23" t="str">
        <f aca="false">IFERROR(INDEX(Clay_Brands!$A$2:$FZ$601,I477,$D$8)&amp;"","")</f>
        <v/>
      </c>
      <c r="M477" s="23" t="str">
        <f aca="false">IF(J477="","",IF(COUNTIF(Brand_Log!$A$2:$A$201,J477)&gt;0,"Y","N"))</f>
        <v/>
      </c>
      <c r="N477" s="34" t="str">
        <f aca="false">IF(OR(J477="",AND(LEFT(J477,6)="SAMPLE",Config!$B$19&lt;&gt;"Y")),"",IF(IFERROR(INDEX(Lists!$K$2:$K$15,MATCH(K477,Lists!$J$2:$J$15,0)),-1)=-1,"status '"&amp;K477&amp;"' is not a CONTRACTS status",IF(AND(K477="paid",COUNTIF(paid_brands!$AC$2:$AC$51,J477)=0),"status paid but no paid_brands row"&amp;IF(M477="N"," and no tracker row",""),IF(AND(IFERROR(INDEX(Lists!$K$2:$K$15,MATCH(K477,Lists!$J$2:$J$15,0)),-1)&gt;=6,M477="N"),"status "&amp;K477&amp;" but no tracker row",IF(AND(L477="Y",K477&lt;&gt;"do_not_contact"),"do_not_contact = Y but status is "&amp;K477,IF(AND(K477="do_not_contact",L477&lt;&gt;"Y"),"status do_not_contact but do_not_contact is not Y",""))))))</f>
        <v/>
      </c>
    </row>
    <row r="478" customFormat="false" ht="15" hidden="false" customHeight="false" outlineLevel="0" collapsed="false">
      <c r="B478" s="23" t="n">
        <v>457</v>
      </c>
      <c r="C478" s="23" t="str">
        <f aca="false">IFERROR(INDEX(Clay_Offices!$A$2:$FZ$601,B478,$C$5)&amp;"","")</f>
        <v/>
      </c>
      <c r="D478" s="23" t="str">
        <f aca="false">IFERROR(INDEX(Clay_Offices!$A$2:$FZ$601,B478,$C$7)&amp;"","")</f>
        <v/>
      </c>
      <c r="E478" s="23" t="str">
        <f aca="false">IFERROR(INDEX(Clay_Offices!$A$2:$FZ$601,B478,$C$8)&amp;"","")</f>
        <v/>
      </c>
      <c r="F478" s="23" t="str">
        <f aca="false">IF(C478="","",IF(COUNTIF(Office_Log!$A$2:$A$201,C478)&gt;0,"Y","N"))</f>
        <v/>
      </c>
      <c r="G478" s="34" t="str">
        <f aca="false">IF(OR(C478="",AND(LEFT(C478,6)="SAMPLE",Config!$B$19&lt;&gt;"Y")),"",IF(IFERROR(INDEX(Lists!$K$2:$K$15,MATCH(D478,Lists!$J$2:$J$15,0)),-1)=-1,"status '"&amp;D478&amp;"' is not a CONTRACTS status",IF(AND(D478="signed",COUNTIF(signed_offices!$W$2:$W$51,C478)=0),"status signed but no signed_offices row"&amp;IF(F478="N"," and no tracker row",""),IF(AND(IFERROR(INDEX(Lists!$K$2:$K$15,MATCH(D478,Lists!$J$2:$J$15,0)),-1)&gt;=6,F478="N"),"status "&amp;D478&amp;" but no tracker row",IF(AND(E478="Y",D478&lt;&gt;"do_not_contact"),"do_not_contact = Y but status is "&amp;D478,IF(AND(D478="do_not_contact",E478&lt;&gt;"Y"),"status do_not_contact but do_not_contact is not Y",""))))))</f>
        <v/>
      </c>
      <c r="I478" s="23" t="n">
        <v>457</v>
      </c>
      <c r="J478" s="23" t="str">
        <f aca="false">IFERROR(INDEX(Clay_Brands!$A$2:$FZ$601,I478,$D$5)&amp;"","")</f>
        <v/>
      </c>
      <c r="K478" s="23" t="str">
        <f aca="false">IFERROR(INDEX(Clay_Brands!$A$2:$FZ$601,I478,$D$7)&amp;"","")</f>
        <v/>
      </c>
      <c r="L478" s="23" t="str">
        <f aca="false">IFERROR(INDEX(Clay_Brands!$A$2:$FZ$601,I478,$D$8)&amp;"","")</f>
        <v/>
      </c>
      <c r="M478" s="23" t="str">
        <f aca="false">IF(J478="","",IF(COUNTIF(Brand_Log!$A$2:$A$201,J478)&gt;0,"Y","N"))</f>
        <v/>
      </c>
      <c r="N478" s="34" t="str">
        <f aca="false">IF(OR(J478="",AND(LEFT(J478,6)="SAMPLE",Config!$B$19&lt;&gt;"Y")),"",IF(IFERROR(INDEX(Lists!$K$2:$K$15,MATCH(K478,Lists!$J$2:$J$15,0)),-1)=-1,"status '"&amp;K478&amp;"' is not a CONTRACTS status",IF(AND(K478="paid",COUNTIF(paid_brands!$AC$2:$AC$51,J478)=0),"status paid but no paid_brands row"&amp;IF(M478="N"," and no tracker row",""),IF(AND(IFERROR(INDEX(Lists!$K$2:$K$15,MATCH(K478,Lists!$J$2:$J$15,0)),-1)&gt;=6,M478="N"),"status "&amp;K478&amp;" but no tracker row",IF(AND(L478="Y",K478&lt;&gt;"do_not_contact"),"do_not_contact = Y but status is "&amp;K478,IF(AND(K478="do_not_contact",L478&lt;&gt;"Y"),"status do_not_contact but do_not_contact is not Y",""))))))</f>
        <v/>
      </c>
    </row>
    <row r="479" customFormat="false" ht="15" hidden="false" customHeight="false" outlineLevel="0" collapsed="false">
      <c r="B479" s="23" t="n">
        <v>458</v>
      </c>
      <c r="C479" s="23" t="str">
        <f aca="false">IFERROR(INDEX(Clay_Offices!$A$2:$FZ$601,B479,$C$5)&amp;"","")</f>
        <v/>
      </c>
      <c r="D479" s="23" t="str">
        <f aca="false">IFERROR(INDEX(Clay_Offices!$A$2:$FZ$601,B479,$C$7)&amp;"","")</f>
        <v/>
      </c>
      <c r="E479" s="23" t="str">
        <f aca="false">IFERROR(INDEX(Clay_Offices!$A$2:$FZ$601,B479,$C$8)&amp;"","")</f>
        <v/>
      </c>
      <c r="F479" s="23" t="str">
        <f aca="false">IF(C479="","",IF(COUNTIF(Office_Log!$A$2:$A$201,C479)&gt;0,"Y","N"))</f>
        <v/>
      </c>
      <c r="G479" s="34" t="str">
        <f aca="false">IF(OR(C479="",AND(LEFT(C479,6)="SAMPLE",Config!$B$19&lt;&gt;"Y")),"",IF(IFERROR(INDEX(Lists!$K$2:$K$15,MATCH(D479,Lists!$J$2:$J$15,0)),-1)=-1,"status '"&amp;D479&amp;"' is not a CONTRACTS status",IF(AND(D479="signed",COUNTIF(signed_offices!$W$2:$W$51,C479)=0),"status signed but no signed_offices row"&amp;IF(F479="N"," and no tracker row",""),IF(AND(IFERROR(INDEX(Lists!$K$2:$K$15,MATCH(D479,Lists!$J$2:$J$15,0)),-1)&gt;=6,F479="N"),"status "&amp;D479&amp;" but no tracker row",IF(AND(E479="Y",D479&lt;&gt;"do_not_contact"),"do_not_contact = Y but status is "&amp;D479,IF(AND(D479="do_not_contact",E479&lt;&gt;"Y"),"status do_not_contact but do_not_contact is not Y",""))))))</f>
        <v/>
      </c>
      <c r="I479" s="23" t="n">
        <v>458</v>
      </c>
      <c r="J479" s="23" t="str">
        <f aca="false">IFERROR(INDEX(Clay_Brands!$A$2:$FZ$601,I479,$D$5)&amp;"","")</f>
        <v/>
      </c>
      <c r="K479" s="23" t="str">
        <f aca="false">IFERROR(INDEX(Clay_Brands!$A$2:$FZ$601,I479,$D$7)&amp;"","")</f>
        <v/>
      </c>
      <c r="L479" s="23" t="str">
        <f aca="false">IFERROR(INDEX(Clay_Brands!$A$2:$FZ$601,I479,$D$8)&amp;"","")</f>
        <v/>
      </c>
      <c r="M479" s="23" t="str">
        <f aca="false">IF(J479="","",IF(COUNTIF(Brand_Log!$A$2:$A$201,J479)&gt;0,"Y","N"))</f>
        <v/>
      </c>
      <c r="N479" s="34" t="str">
        <f aca="false">IF(OR(J479="",AND(LEFT(J479,6)="SAMPLE",Config!$B$19&lt;&gt;"Y")),"",IF(IFERROR(INDEX(Lists!$K$2:$K$15,MATCH(K479,Lists!$J$2:$J$15,0)),-1)=-1,"status '"&amp;K479&amp;"' is not a CONTRACTS status",IF(AND(K479="paid",COUNTIF(paid_brands!$AC$2:$AC$51,J479)=0),"status paid but no paid_brands row"&amp;IF(M479="N"," and no tracker row",""),IF(AND(IFERROR(INDEX(Lists!$K$2:$K$15,MATCH(K479,Lists!$J$2:$J$15,0)),-1)&gt;=6,M479="N"),"status "&amp;K479&amp;" but no tracker row",IF(AND(L479="Y",K479&lt;&gt;"do_not_contact"),"do_not_contact = Y but status is "&amp;K479,IF(AND(K479="do_not_contact",L479&lt;&gt;"Y"),"status do_not_contact but do_not_contact is not Y",""))))))</f>
        <v/>
      </c>
    </row>
    <row r="480" customFormat="false" ht="15" hidden="false" customHeight="false" outlineLevel="0" collapsed="false">
      <c r="B480" s="23" t="n">
        <v>459</v>
      </c>
      <c r="C480" s="23" t="str">
        <f aca="false">IFERROR(INDEX(Clay_Offices!$A$2:$FZ$601,B480,$C$5)&amp;"","")</f>
        <v/>
      </c>
      <c r="D480" s="23" t="str">
        <f aca="false">IFERROR(INDEX(Clay_Offices!$A$2:$FZ$601,B480,$C$7)&amp;"","")</f>
        <v/>
      </c>
      <c r="E480" s="23" t="str">
        <f aca="false">IFERROR(INDEX(Clay_Offices!$A$2:$FZ$601,B480,$C$8)&amp;"","")</f>
        <v/>
      </c>
      <c r="F480" s="23" t="str">
        <f aca="false">IF(C480="","",IF(COUNTIF(Office_Log!$A$2:$A$201,C480)&gt;0,"Y","N"))</f>
        <v/>
      </c>
      <c r="G480" s="34" t="str">
        <f aca="false">IF(OR(C480="",AND(LEFT(C480,6)="SAMPLE",Config!$B$19&lt;&gt;"Y")),"",IF(IFERROR(INDEX(Lists!$K$2:$K$15,MATCH(D480,Lists!$J$2:$J$15,0)),-1)=-1,"status '"&amp;D480&amp;"' is not a CONTRACTS status",IF(AND(D480="signed",COUNTIF(signed_offices!$W$2:$W$51,C480)=0),"status signed but no signed_offices row"&amp;IF(F480="N"," and no tracker row",""),IF(AND(IFERROR(INDEX(Lists!$K$2:$K$15,MATCH(D480,Lists!$J$2:$J$15,0)),-1)&gt;=6,F480="N"),"status "&amp;D480&amp;" but no tracker row",IF(AND(E480="Y",D480&lt;&gt;"do_not_contact"),"do_not_contact = Y but status is "&amp;D480,IF(AND(D480="do_not_contact",E480&lt;&gt;"Y"),"status do_not_contact but do_not_contact is not Y",""))))))</f>
        <v/>
      </c>
      <c r="I480" s="23" t="n">
        <v>459</v>
      </c>
      <c r="J480" s="23" t="str">
        <f aca="false">IFERROR(INDEX(Clay_Brands!$A$2:$FZ$601,I480,$D$5)&amp;"","")</f>
        <v/>
      </c>
      <c r="K480" s="23" t="str">
        <f aca="false">IFERROR(INDEX(Clay_Brands!$A$2:$FZ$601,I480,$D$7)&amp;"","")</f>
        <v/>
      </c>
      <c r="L480" s="23" t="str">
        <f aca="false">IFERROR(INDEX(Clay_Brands!$A$2:$FZ$601,I480,$D$8)&amp;"","")</f>
        <v/>
      </c>
      <c r="M480" s="23" t="str">
        <f aca="false">IF(J480="","",IF(COUNTIF(Brand_Log!$A$2:$A$201,J480)&gt;0,"Y","N"))</f>
        <v/>
      </c>
      <c r="N480" s="34" t="str">
        <f aca="false">IF(OR(J480="",AND(LEFT(J480,6)="SAMPLE",Config!$B$19&lt;&gt;"Y")),"",IF(IFERROR(INDEX(Lists!$K$2:$K$15,MATCH(K480,Lists!$J$2:$J$15,0)),-1)=-1,"status '"&amp;K480&amp;"' is not a CONTRACTS status",IF(AND(K480="paid",COUNTIF(paid_brands!$AC$2:$AC$51,J480)=0),"status paid but no paid_brands row"&amp;IF(M480="N"," and no tracker row",""),IF(AND(IFERROR(INDEX(Lists!$K$2:$K$15,MATCH(K480,Lists!$J$2:$J$15,0)),-1)&gt;=6,M480="N"),"status "&amp;K480&amp;" but no tracker row",IF(AND(L480="Y",K480&lt;&gt;"do_not_contact"),"do_not_contact = Y but status is "&amp;K480,IF(AND(K480="do_not_contact",L480&lt;&gt;"Y"),"status do_not_contact but do_not_contact is not Y",""))))))</f>
        <v/>
      </c>
    </row>
    <row r="481" customFormat="false" ht="15" hidden="false" customHeight="false" outlineLevel="0" collapsed="false">
      <c r="B481" s="23" t="n">
        <v>460</v>
      </c>
      <c r="C481" s="23" t="str">
        <f aca="false">IFERROR(INDEX(Clay_Offices!$A$2:$FZ$601,B481,$C$5)&amp;"","")</f>
        <v/>
      </c>
      <c r="D481" s="23" t="str">
        <f aca="false">IFERROR(INDEX(Clay_Offices!$A$2:$FZ$601,B481,$C$7)&amp;"","")</f>
        <v/>
      </c>
      <c r="E481" s="23" t="str">
        <f aca="false">IFERROR(INDEX(Clay_Offices!$A$2:$FZ$601,B481,$C$8)&amp;"","")</f>
        <v/>
      </c>
      <c r="F481" s="23" t="str">
        <f aca="false">IF(C481="","",IF(COUNTIF(Office_Log!$A$2:$A$201,C481)&gt;0,"Y","N"))</f>
        <v/>
      </c>
      <c r="G481" s="34" t="str">
        <f aca="false">IF(OR(C481="",AND(LEFT(C481,6)="SAMPLE",Config!$B$19&lt;&gt;"Y")),"",IF(IFERROR(INDEX(Lists!$K$2:$K$15,MATCH(D481,Lists!$J$2:$J$15,0)),-1)=-1,"status '"&amp;D481&amp;"' is not a CONTRACTS status",IF(AND(D481="signed",COUNTIF(signed_offices!$W$2:$W$51,C481)=0),"status signed but no signed_offices row"&amp;IF(F481="N"," and no tracker row",""),IF(AND(IFERROR(INDEX(Lists!$K$2:$K$15,MATCH(D481,Lists!$J$2:$J$15,0)),-1)&gt;=6,F481="N"),"status "&amp;D481&amp;" but no tracker row",IF(AND(E481="Y",D481&lt;&gt;"do_not_contact"),"do_not_contact = Y but status is "&amp;D481,IF(AND(D481="do_not_contact",E481&lt;&gt;"Y"),"status do_not_contact but do_not_contact is not Y",""))))))</f>
        <v/>
      </c>
      <c r="I481" s="23" t="n">
        <v>460</v>
      </c>
      <c r="J481" s="23" t="str">
        <f aca="false">IFERROR(INDEX(Clay_Brands!$A$2:$FZ$601,I481,$D$5)&amp;"","")</f>
        <v/>
      </c>
      <c r="K481" s="23" t="str">
        <f aca="false">IFERROR(INDEX(Clay_Brands!$A$2:$FZ$601,I481,$D$7)&amp;"","")</f>
        <v/>
      </c>
      <c r="L481" s="23" t="str">
        <f aca="false">IFERROR(INDEX(Clay_Brands!$A$2:$FZ$601,I481,$D$8)&amp;"","")</f>
        <v/>
      </c>
      <c r="M481" s="23" t="str">
        <f aca="false">IF(J481="","",IF(COUNTIF(Brand_Log!$A$2:$A$201,J481)&gt;0,"Y","N"))</f>
        <v/>
      </c>
      <c r="N481" s="34" t="str">
        <f aca="false">IF(OR(J481="",AND(LEFT(J481,6)="SAMPLE",Config!$B$19&lt;&gt;"Y")),"",IF(IFERROR(INDEX(Lists!$K$2:$K$15,MATCH(K481,Lists!$J$2:$J$15,0)),-1)=-1,"status '"&amp;K481&amp;"' is not a CONTRACTS status",IF(AND(K481="paid",COUNTIF(paid_brands!$AC$2:$AC$51,J481)=0),"status paid but no paid_brands row"&amp;IF(M481="N"," and no tracker row",""),IF(AND(IFERROR(INDEX(Lists!$K$2:$K$15,MATCH(K481,Lists!$J$2:$J$15,0)),-1)&gt;=6,M481="N"),"status "&amp;K481&amp;" but no tracker row",IF(AND(L481="Y",K481&lt;&gt;"do_not_contact"),"do_not_contact = Y but status is "&amp;K481,IF(AND(K481="do_not_contact",L481&lt;&gt;"Y"),"status do_not_contact but do_not_contact is not Y",""))))))</f>
        <v/>
      </c>
    </row>
    <row r="482" customFormat="false" ht="15" hidden="false" customHeight="false" outlineLevel="0" collapsed="false">
      <c r="B482" s="23" t="n">
        <v>461</v>
      </c>
      <c r="C482" s="23" t="str">
        <f aca="false">IFERROR(INDEX(Clay_Offices!$A$2:$FZ$601,B482,$C$5)&amp;"","")</f>
        <v/>
      </c>
      <c r="D482" s="23" t="str">
        <f aca="false">IFERROR(INDEX(Clay_Offices!$A$2:$FZ$601,B482,$C$7)&amp;"","")</f>
        <v/>
      </c>
      <c r="E482" s="23" t="str">
        <f aca="false">IFERROR(INDEX(Clay_Offices!$A$2:$FZ$601,B482,$C$8)&amp;"","")</f>
        <v/>
      </c>
      <c r="F482" s="23" t="str">
        <f aca="false">IF(C482="","",IF(COUNTIF(Office_Log!$A$2:$A$201,C482)&gt;0,"Y","N"))</f>
        <v/>
      </c>
      <c r="G482" s="34" t="str">
        <f aca="false">IF(OR(C482="",AND(LEFT(C482,6)="SAMPLE",Config!$B$19&lt;&gt;"Y")),"",IF(IFERROR(INDEX(Lists!$K$2:$K$15,MATCH(D482,Lists!$J$2:$J$15,0)),-1)=-1,"status '"&amp;D482&amp;"' is not a CONTRACTS status",IF(AND(D482="signed",COUNTIF(signed_offices!$W$2:$W$51,C482)=0),"status signed but no signed_offices row"&amp;IF(F482="N"," and no tracker row",""),IF(AND(IFERROR(INDEX(Lists!$K$2:$K$15,MATCH(D482,Lists!$J$2:$J$15,0)),-1)&gt;=6,F482="N"),"status "&amp;D482&amp;" but no tracker row",IF(AND(E482="Y",D482&lt;&gt;"do_not_contact"),"do_not_contact = Y but status is "&amp;D482,IF(AND(D482="do_not_contact",E482&lt;&gt;"Y"),"status do_not_contact but do_not_contact is not Y",""))))))</f>
        <v/>
      </c>
      <c r="I482" s="23" t="n">
        <v>461</v>
      </c>
      <c r="J482" s="23" t="str">
        <f aca="false">IFERROR(INDEX(Clay_Brands!$A$2:$FZ$601,I482,$D$5)&amp;"","")</f>
        <v/>
      </c>
      <c r="K482" s="23" t="str">
        <f aca="false">IFERROR(INDEX(Clay_Brands!$A$2:$FZ$601,I482,$D$7)&amp;"","")</f>
        <v/>
      </c>
      <c r="L482" s="23" t="str">
        <f aca="false">IFERROR(INDEX(Clay_Brands!$A$2:$FZ$601,I482,$D$8)&amp;"","")</f>
        <v/>
      </c>
      <c r="M482" s="23" t="str">
        <f aca="false">IF(J482="","",IF(COUNTIF(Brand_Log!$A$2:$A$201,J482)&gt;0,"Y","N"))</f>
        <v/>
      </c>
      <c r="N482" s="34" t="str">
        <f aca="false">IF(OR(J482="",AND(LEFT(J482,6)="SAMPLE",Config!$B$19&lt;&gt;"Y")),"",IF(IFERROR(INDEX(Lists!$K$2:$K$15,MATCH(K482,Lists!$J$2:$J$15,0)),-1)=-1,"status '"&amp;K482&amp;"' is not a CONTRACTS status",IF(AND(K482="paid",COUNTIF(paid_brands!$AC$2:$AC$51,J482)=0),"status paid but no paid_brands row"&amp;IF(M482="N"," and no tracker row",""),IF(AND(IFERROR(INDEX(Lists!$K$2:$K$15,MATCH(K482,Lists!$J$2:$J$15,0)),-1)&gt;=6,M482="N"),"status "&amp;K482&amp;" but no tracker row",IF(AND(L482="Y",K482&lt;&gt;"do_not_contact"),"do_not_contact = Y but status is "&amp;K482,IF(AND(K482="do_not_contact",L482&lt;&gt;"Y"),"status do_not_contact but do_not_contact is not Y",""))))))</f>
        <v/>
      </c>
    </row>
    <row r="483" customFormat="false" ht="15" hidden="false" customHeight="false" outlineLevel="0" collapsed="false">
      <c r="B483" s="23" t="n">
        <v>462</v>
      </c>
      <c r="C483" s="23" t="str">
        <f aca="false">IFERROR(INDEX(Clay_Offices!$A$2:$FZ$601,B483,$C$5)&amp;"","")</f>
        <v/>
      </c>
      <c r="D483" s="23" t="str">
        <f aca="false">IFERROR(INDEX(Clay_Offices!$A$2:$FZ$601,B483,$C$7)&amp;"","")</f>
        <v/>
      </c>
      <c r="E483" s="23" t="str">
        <f aca="false">IFERROR(INDEX(Clay_Offices!$A$2:$FZ$601,B483,$C$8)&amp;"","")</f>
        <v/>
      </c>
      <c r="F483" s="23" t="str">
        <f aca="false">IF(C483="","",IF(COUNTIF(Office_Log!$A$2:$A$201,C483)&gt;0,"Y","N"))</f>
        <v/>
      </c>
      <c r="G483" s="34" t="str">
        <f aca="false">IF(OR(C483="",AND(LEFT(C483,6)="SAMPLE",Config!$B$19&lt;&gt;"Y")),"",IF(IFERROR(INDEX(Lists!$K$2:$K$15,MATCH(D483,Lists!$J$2:$J$15,0)),-1)=-1,"status '"&amp;D483&amp;"' is not a CONTRACTS status",IF(AND(D483="signed",COUNTIF(signed_offices!$W$2:$W$51,C483)=0),"status signed but no signed_offices row"&amp;IF(F483="N"," and no tracker row",""),IF(AND(IFERROR(INDEX(Lists!$K$2:$K$15,MATCH(D483,Lists!$J$2:$J$15,0)),-1)&gt;=6,F483="N"),"status "&amp;D483&amp;" but no tracker row",IF(AND(E483="Y",D483&lt;&gt;"do_not_contact"),"do_not_contact = Y but status is "&amp;D483,IF(AND(D483="do_not_contact",E483&lt;&gt;"Y"),"status do_not_contact but do_not_contact is not Y",""))))))</f>
        <v/>
      </c>
      <c r="I483" s="23" t="n">
        <v>462</v>
      </c>
      <c r="J483" s="23" t="str">
        <f aca="false">IFERROR(INDEX(Clay_Brands!$A$2:$FZ$601,I483,$D$5)&amp;"","")</f>
        <v/>
      </c>
      <c r="K483" s="23" t="str">
        <f aca="false">IFERROR(INDEX(Clay_Brands!$A$2:$FZ$601,I483,$D$7)&amp;"","")</f>
        <v/>
      </c>
      <c r="L483" s="23" t="str">
        <f aca="false">IFERROR(INDEX(Clay_Brands!$A$2:$FZ$601,I483,$D$8)&amp;"","")</f>
        <v/>
      </c>
      <c r="M483" s="23" t="str">
        <f aca="false">IF(J483="","",IF(COUNTIF(Brand_Log!$A$2:$A$201,J483)&gt;0,"Y","N"))</f>
        <v/>
      </c>
      <c r="N483" s="34" t="str">
        <f aca="false">IF(OR(J483="",AND(LEFT(J483,6)="SAMPLE",Config!$B$19&lt;&gt;"Y")),"",IF(IFERROR(INDEX(Lists!$K$2:$K$15,MATCH(K483,Lists!$J$2:$J$15,0)),-1)=-1,"status '"&amp;K483&amp;"' is not a CONTRACTS status",IF(AND(K483="paid",COUNTIF(paid_brands!$AC$2:$AC$51,J483)=0),"status paid but no paid_brands row"&amp;IF(M483="N"," and no tracker row",""),IF(AND(IFERROR(INDEX(Lists!$K$2:$K$15,MATCH(K483,Lists!$J$2:$J$15,0)),-1)&gt;=6,M483="N"),"status "&amp;K483&amp;" but no tracker row",IF(AND(L483="Y",K483&lt;&gt;"do_not_contact"),"do_not_contact = Y but status is "&amp;K483,IF(AND(K483="do_not_contact",L483&lt;&gt;"Y"),"status do_not_contact but do_not_contact is not Y",""))))))</f>
        <v/>
      </c>
    </row>
    <row r="484" customFormat="false" ht="15" hidden="false" customHeight="false" outlineLevel="0" collapsed="false">
      <c r="B484" s="23" t="n">
        <v>463</v>
      </c>
      <c r="C484" s="23" t="str">
        <f aca="false">IFERROR(INDEX(Clay_Offices!$A$2:$FZ$601,B484,$C$5)&amp;"","")</f>
        <v/>
      </c>
      <c r="D484" s="23" t="str">
        <f aca="false">IFERROR(INDEX(Clay_Offices!$A$2:$FZ$601,B484,$C$7)&amp;"","")</f>
        <v/>
      </c>
      <c r="E484" s="23" t="str">
        <f aca="false">IFERROR(INDEX(Clay_Offices!$A$2:$FZ$601,B484,$C$8)&amp;"","")</f>
        <v/>
      </c>
      <c r="F484" s="23" t="str">
        <f aca="false">IF(C484="","",IF(COUNTIF(Office_Log!$A$2:$A$201,C484)&gt;0,"Y","N"))</f>
        <v/>
      </c>
      <c r="G484" s="34" t="str">
        <f aca="false">IF(OR(C484="",AND(LEFT(C484,6)="SAMPLE",Config!$B$19&lt;&gt;"Y")),"",IF(IFERROR(INDEX(Lists!$K$2:$K$15,MATCH(D484,Lists!$J$2:$J$15,0)),-1)=-1,"status '"&amp;D484&amp;"' is not a CONTRACTS status",IF(AND(D484="signed",COUNTIF(signed_offices!$W$2:$W$51,C484)=0),"status signed but no signed_offices row"&amp;IF(F484="N"," and no tracker row",""),IF(AND(IFERROR(INDEX(Lists!$K$2:$K$15,MATCH(D484,Lists!$J$2:$J$15,0)),-1)&gt;=6,F484="N"),"status "&amp;D484&amp;" but no tracker row",IF(AND(E484="Y",D484&lt;&gt;"do_not_contact"),"do_not_contact = Y but status is "&amp;D484,IF(AND(D484="do_not_contact",E484&lt;&gt;"Y"),"status do_not_contact but do_not_contact is not Y",""))))))</f>
        <v/>
      </c>
      <c r="I484" s="23" t="n">
        <v>463</v>
      </c>
      <c r="J484" s="23" t="str">
        <f aca="false">IFERROR(INDEX(Clay_Brands!$A$2:$FZ$601,I484,$D$5)&amp;"","")</f>
        <v/>
      </c>
      <c r="K484" s="23" t="str">
        <f aca="false">IFERROR(INDEX(Clay_Brands!$A$2:$FZ$601,I484,$D$7)&amp;"","")</f>
        <v/>
      </c>
      <c r="L484" s="23" t="str">
        <f aca="false">IFERROR(INDEX(Clay_Brands!$A$2:$FZ$601,I484,$D$8)&amp;"","")</f>
        <v/>
      </c>
      <c r="M484" s="23" t="str">
        <f aca="false">IF(J484="","",IF(COUNTIF(Brand_Log!$A$2:$A$201,J484)&gt;0,"Y","N"))</f>
        <v/>
      </c>
      <c r="N484" s="34" t="str">
        <f aca="false">IF(OR(J484="",AND(LEFT(J484,6)="SAMPLE",Config!$B$19&lt;&gt;"Y")),"",IF(IFERROR(INDEX(Lists!$K$2:$K$15,MATCH(K484,Lists!$J$2:$J$15,0)),-1)=-1,"status '"&amp;K484&amp;"' is not a CONTRACTS status",IF(AND(K484="paid",COUNTIF(paid_brands!$AC$2:$AC$51,J484)=0),"status paid but no paid_brands row"&amp;IF(M484="N"," and no tracker row",""),IF(AND(IFERROR(INDEX(Lists!$K$2:$K$15,MATCH(K484,Lists!$J$2:$J$15,0)),-1)&gt;=6,M484="N"),"status "&amp;K484&amp;" but no tracker row",IF(AND(L484="Y",K484&lt;&gt;"do_not_contact"),"do_not_contact = Y but status is "&amp;K484,IF(AND(K484="do_not_contact",L484&lt;&gt;"Y"),"status do_not_contact but do_not_contact is not Y",""))))))</f>
        <v/>
      </c>
    </row>
    <row r="485" customFormat="false" ht="15" hidden="false" customHeight="false" outlineLevel="0" collapsed="false">
      <c r="B485" s="23" t="n">
        <v>464</v>
      </c>
      <c r="C485" s="23" t="str">
        <f aca="false">IFERROR(INDEX(Clay_Offices!$A$2:$FZ$601,B485,$C$5)&amp;"","")</f>
        <v/>
      </c>
      <c r="D485" s="23" t="str">
        <f aca="false">IFERROR(INDEX(Clay_Offices!$A$2:$FZ$601,B485,$C$7)&amp;"","")</f>
        <v/>
      </c>
      <c r="E485" s="23" t="str">
        <f aca="false">IFERROR(INDEX(Clay_Offices!$A$2:$FZ$601,B485,$C$8)&amp;"","")</f>
        <v/>
      </c>
      <c r="F485" s="23" t="str">
        <f aca="false">IF(C485="","",IF(COUNTIF(Office_Log!$A$2:$A$201,C485)&gt;0,"Y","N"))</f>
        <v/>
      </c>
      <c r="G485" s="34" t="str">
        <f aca="false">IF(OR(C485="",AND(LEFT(C485,6)="SAMPLE",Config!$B$19&lt;&gt;"Y")),"",IF(IFERROR(INDEX(Lists!$K$2:$K$15,MATCH(D485,Lists!$J$2:$J$15,0)),-1)=-1,"status '"&amp;D485&amp;"' is not a CONTRACTS status",IF(AND(D485="signed",COUNTIF(signed_offices!$W$2:$W$51,C485)=0),"status signed but no signed_offices row"&amp;IF(F485="N"," and no tracker row",""),IF(AND(IFERROR(INDEX(Lists!$K$2:$K$15,MATCH(D485,Lists!$J$2:$J$15,0)),-1)&gt;=6,F485="N"),"status "&amp;D485&amp;" but no tracker row",IF(AND(E485="Y",D485&lt;&gt;"do_not_contact"),"do_not_contact = Y but status is "&amp;D485,IF(AND(D485="do_not_contact",E485&lt;&gt;"Y"),"status do_not_contact but do_not_contact is not Y",""))))))</f>
        <v/>
      </c>
      <c r="I485" s="23" t="n">
        <v>464</v>
      </c>
      <c r="J485" s="23" t="str">
        <f aca="false">IFERROR(INDEX(Clay_Brands!$A$2:$FZ$601,I485,$D$5)&amp;"","")</f>
        <v/>
      </c>
      <c r="K485" s="23" t="str">
        <f aca="false">IFERROR(INDEX(Clay_Brands!$A$2:$FZ$601,I485,$D$7)&amp;"","")</f>
        <v/>
      </c>
      <c r="L485" s="23" t="str">
        <f aca="false">IFERROR(INDEX(Clay_Brands!$A$2:$FZ$601,I485,$D$8)&amp;"","")</f>
        <v/>
      </c>
      <c r="M485" s="23" t="str">
        <f aca="false">IF(J485="","",IF(COUNTIF(Brand_Log!$A$2:$A$201,J485)&gt;0,"Y","N"))</f>
        <v/>
      </c>
      <c r="N485" s="34" t="str">
        <f aca="false">IF(OR(J485="",AND(LEFT(J485,6)="SAMPLE",Config!$B$19&lt;&gt;"Y")),"",IF(IFERROR(INDEX(Lists!$K$2:$K$15,MATCH(K485,Lists!$J$2:$J$15,0)),-1)=-1,"status '"&amp;K485&amp;"' is not a CONTRACTS status",IF(AND(K485="paid",COUNTIF(paid_brands!$AC$2:$AC$51,J485)=0),"status paid but no paid_brands row"&amp;IF(M485="N"," and no tracker row",""),IF(AND(IFERROR(INDEX(Lists!$K$2:$K$15,MATCH(K485,Lists!$J$2:$J$15,0)),-1)&gt;=6,M485="N"),"status "&amp;K485&amp;" but no tracker row",IF(AND(L485="Y",K485&lt;&gt;"do_not_contact"),"do_not_contact = Y but status is "&amp;K485,IF(AND(K485="do_not_contact",L485&lt;&gt;"Y"),"status do_not_contact but do_not_contact is not Y",""))))))</f>
        <v/>
      </c>
    </row>
    <row r="486" customFormat="false" ht="15" hidden="false" customHeight="false" outlineLevel="0" collapsed="false">
      <c r="B486" s="23" t="n">
        <v>465</v>
      </c>
      <c r="C486" s="23" t="str">
        <f aca="false">IFERROR(INDEX(Clay_Offices!$A$2:$FZ$601,B486,$C$5)&amp;"","")</f>
        <v/>
      </c>
      <c r="D486" s="23" t="str">
        <f aca="false">IFERROR(INDEX(Clay_Offices!$A$2:$FZ$601,B486,$C$7)&amp;"","")</f>
        <v/>
      </c>
      <c r="E486" s="23" t="str">
        <f aca="false">IFERROR(INDEX(Clay_Offices!$A$2:$FZ$601,B486,$C$8)&amp;"","")</f>
        <v/>
      </c>
      <c r="F486" s="23" t="str">
        <f aca="false">IF(C486="","",IF(COUNTIF(Office_Log!$A$2:$A$201,C486)&gt;0,"Y","N"))</f>
        <v/>
      </c>
      <c r="G486" s="34" t="str">
        <f aca="false">IF(OR(C486="",AND(LEFT(C486,6)="SAMPLE",Config!$B$19&lt;&gt;"Y")),"",IF(IFERROR(INDEX(Lists!$K$2:$K$15,MATCH(D486,Lists!$J$2:$J$15,0)),-1)=-1,"status '"&amp;D486&amp;"' is not a CONTRACTS status",IF(AND(D486="signed",COUNTIF(signed_offices!$W$2:$W$51,C486)=0),"status signed but no signed_offices row"&amp;IF(F486="N"," and no tracker row",""),IF(AND(IFERROR(INDEX(Lists!$K$2:$K$15,MATCH(D486,Lists!$J$2:$J$15,0)),-1)&gt;=6,F486="N"),"status "&amp;D486&amp;" but no tracker row",IF(AND(E486="Y",D486&lt;&gt;"do_not_contact"),"do_not_contact = Y but status is "&amp;D486,IF(AND(D486="do_not_contact",E486&lt;&gt;"Y"),"status do_not_contact but do_not_contact is not Y",""))))))</f>
        <v/>
      </c>
      <c r="I486" s="23" t="n">
        <v>465</v>
      </c>
      <c r="J486" s="23" t="str">
        <f aca="false">IFERROR(INDEX(Clay_Brands!$A$2:$FZ$601,I486,$D$5)&amp;"","")</f>
        <v/>
      </c>
      <c r="K486" s="23" t="str">
        <f aca="false">IFERROR(INDEX(Clay_Brands!$A$2:$FZ$601,I486,$D$7)&amp;"","")</f>
        <v/>
      </c>
      <c r="L486" s="23" t="str">
        <f aca="false">IFERROR(INDEX(Clay_Brands!$A$2:$FZ$601,I486,$D$8)&amp;"","")</f>
        <v/>
      </c>
      <c r="M486" s="23" t="str">
        <f aca="false">IF(J486="","",IF(COUNTIF(Brand_Log!$A$2:$A$201,J486)&gt;0,"Y","N"))</f>
        <v/>
      </c>
      <c r="N486" s="34" t="str">
        <f aca="false">IF(OR(J486="",AND(LEFT(J486,6)="SAMPLE",Config!$B$19&lt;&gt;"Y")),"",IF(IFERROR(INDEX(Lists!$K$2:$K$15,MATCH(K486,Lists!$J$2:$J$15,0)),-1)=-1,"status '"&amp;K486&amp;"' is not a CONTRACTS status",IF(AND(K486="paid",COUNTIF(paid_brands!$AC$2:$AC$51,J486)=0),"status paid but no paid_brands row"&amp;IF(M486="N"," and no tracker row",""),IF(AND(IFERROR(INDEX(Lists!$K$2:$K$15,MATCH(K486,Lists!$J$2:$J$15,0)),-1)&gt;=6,M486="N"),"status "&amp;K486&amp;" but no tracker row",IF(AND(L486="Y",K486&lt;&gt;"do_not_contact"),"do_not_contact = Y but status is "&amp;K486,IF(AND(K486="do_not_contact",L486&lt;&gt;"Y"),"status do_not_contact but do_not_contact is not Y",""))))))</f>
        <v/>
      </c>
    </row>
    <row r="487" customFormat="false" ht="15" hidden="false" customHeight="false" outlineLevel="0" collapsed="false">
      <c r="B487" s="23" t="n">
        <v>466</v>
      </c>
      <c r="C487" s="23" t="str">
        <f aca="false">IFERROR(INDEX(Clay_Offices!$A$2:$FZ$601,B487,$C$5)&amp;"","")</f>
        <v/>
      </c>
      <c r="D487" s="23" t="str">
        <f aca="false">IFERROR(INDEX(Clay_Offices!$A$2:$FZ$601,B487,$C$7)&amp;"","")</f>
        <v/>
      </c>
      <c r="E487" s="23" t="str">
        <f aca="false">IFERROR(INDEX(Clay_Offices!$A$2:$FZ$601,B487,$C$8)&amp;"","")</f>
        <v/>
      </c>
      <c r="F487" s="23" t="str">
        <f aca="false">IF(C487="","",IF(COUNTIF(Office_Log!$A$2:$A$201,C487)&gt;0,"Y","N"))</f>
        <v/>
      </c>
      <c r="G487" s="34" t="str">
        <f aca="false">IF(OR(C487="",AND(LEFT(C487,6)="SAMPLE",Config!$B$19&lt;&gt;"Y")),"",IF(IFERROR(INDEX(Lists!$K$2:$K$15,MATCH(D487,Lists!$J$2:$J$15,0)),-1)=-1,"status '"&amp;D487&amp;"' is not a CONTRACTS status",IF(AND(D487="signed",COUNTIF(signed_offices!$W$2:$W$51,C487)=0),"status signed but no signed_offices row"&amp;IF(F487="N"," and no tracker row",""),IF(AND(IFERROR(INDEX(Lists!$K$2:$K$15,MATCH(D487,Lists!$J$2:$J$15,0)),-1)&gt;=6,F487="N"),"status "&amp;D487&amp;" but no tracker row",IF(AND(E487="Y",D487&lt;&gt;"do_not_contact"),"do_not_contact = Y but status is "&amp;D487,IF(AND(D487="do_not_contact",E487&lt;&gt;"Y"),"status do_not_contact but do_not_contact is not Y",""))))))</f>
        <v/>
      </c>
      <c r="I487" s="23" t="n">
        <v>466</v>
      </c>
      <c r="J487" s="23" t="str">
        <f aca="false">IFERROR(INDEX(Clay_Brands!$A$2:$FZ$601,I487,$D$5)&amp;"","")</f>
        <v/>
      </c>
      <c r="K487" s="23" t="str">
        <f aca="false">IFERROR(INDEX(Clay_Brands!$A$2:$FZ$601,I487,$D$7)&amp;"","")</f>
        <v/>
      </c>
      <c r="L487" s="23" t="str">
        <f aca="false">IFERROR(INDEX(Clay_Brands!$A$2:$FZ$601,I487,$D$8)&amp;"","")</f>
        <v/>
      </c>
      <c r="M487" s="23" t="str">
        <f aca="false">IF(J487="","",IF(COUNTIF(Brand_Log!$A$2:$A$201,J487)&gt;0,"Y","N"))</f>
        <v/>
      </c>
      <c r="N487" s="34" t="str">
        <f aca="false">IF(OR(J487="",AND(LEFT(J487,6)="SAMPLE",Config!$B$19&lt;&gt;"Y")),"",IF(IFERROR(INDEX(Lists!$K$2:$K$15,MATCH(K487,Lists!$J$2:$J$15,0)),-1)=-1,"status '"&amp;K487&amp;"' is not a CONTRACTS status",IF(AND(K487="paid",COUNTIF(paid_brands!$AC$2:$AC$51,J487)=0),"status paid but no paid_brands row"&amp;IF(M487="N"," and no tracker row",""),IF(AND(IFERROR(INDEX(Lists!$K$2:$K$15,MATCH(K487,Lists!$J$2:$J$15,0)),-1)&gt;=6,M487="N"),"status "&amp;K487&amp;" but no tracker row",IF(AND(L487="Y",K487&lt;&gt;"do_not_contact"),"do_not_contact = Y but status is "&amp;K487,IF(AND(K487="do_not_contact",L487&lt;&gt;"Y"),"status do_not_contact but do_not_contact is not Y",""))))))</f>
        <v/>
      </c>
    </row>
    <row r="488" customFormat="false" ht="15" hidden="false" customHeight="false" outlineLevel="0" collapsed="false">
      <c r="B488" s="23" t="n">
        <v>467</v>
      </c>
      <c r="C488" s="23" t="str">
        <f aca="false">IFERROR(INDEX(Clay_Offices!$A$2:$FZ$601,B488,$C$5)&amp;"","")</f>
        <v/>
      </c>
      <c r="D488" s="23" t="str">
        <f aca="false">IFERROR(INDEX(Clay_Offices!$A$2:$FZ$601,B488,$C$7)&amp;"","")</f>
        <v/>
      </c>
      <c r="E488" s="23" t="str">
        <f aca="false">IFERROR(INDEX(Clay_Offices!$A$2:$FZ$601,B488,$C$8)&amp;"","")</f>
        <v/>
      </c>
      <c r="F488" s="23" t="str">
        <f aca="false">IF(C488="","",IF(COUNTIF(Office_Log!$A$2:$A$201,C488)&gt;0,"Y","N"))</f>
        <v/>
      </c>
      <c r="G488" s="34" t="str">
        <f aca="false">IF(OR(C488="",AND(LEFT(C488,6)="SAMPLE",Config!$B$19&lt;&gt;"Y")),"",IF(IFERROR(INDEX(Lists!$K$2:$K$15,MATCH(D488,Lists!$J$2:$J$15,0)),-1)=-1,"status '"&amp;D488&amp;"' is not a CONTRACTS status",IF(AND(D488="signed",COUNTIF(signed_offices!$W$2:$W$51,C488)=0),"status signed but no signed_offices row"&amp;IF(F488="N"," and no tracker row",""),IF(AND(IFERROR(INDEX(Lists!$K$2:$K$15,MATCH(D488,Lists!$J$2:$J$15,0)),-1)&gt;=6,F488="N"),"status "&amp;D488&amp;" but no tracker row",IF(AND(E488="Y",D488&lt;&gt;"do_not_contact"),"do_not_contact = Y but status is "&amp;D488,IF(AND(D488="do_not_contact",E488&lt;&gt;"Y"),"status do_not_contact but do_not_contact is not Y",""))))))</f>
        <v/>
      </c>
      <c r="I488" s="23" t="n">
        <v>467</v>
      </c>
      <c r="J488" s="23" t="str">
        <f aca="false">IFERROR(INDEX(Clay_Brands!$A$2:$FZ$601,I488,$D$5)&amp;"","")</f>
        <v/>
      </c>
      <c r="K488" s="23" t="str">
        <f aca="false">IFERROR(INDEX(Clay_Brands!$A$2:$FZ$601,I488,$D$7)&amp;"","")</f>
        <v/>
      </c>
      <c r="L488" s="23" t="str">
        <f aca="false">IFERROR(INDEX(Clay_Brands!$A$2:$FZ$601,I488,$D$8)&amp;"","")</f>
        <v/>
      </c>
      <c r="M488" s="23" t="str">
        <f aca="false">IF(J488="","",IF(COUNTIF(Brand_Log!$A$2:$A$201,J488)&gt;0,"Y","N"))</f>
        <v/>
      </c>
      <c r="N488" s="34" t="str">
        <f aca="false">IF(OR(J488="",AND(LEFT(J488,6)="SAMPLE",Config!$B$19&lt;&gt;"Y")),"",IF(IFERROR(INDEX(Lists!$K$2:$K$15,MATCH(K488,Lists!$J$2:$J$15,0)),-1)=-1,"status '"&amp;K488&amp;"' is not a CONTRACTS status",IF(AND(K488="paid",COUNTIF(paid_brands!$AC$2:$AC$51,J488)=0),"status paid but no paid_brands row"&amp;IF(M488="N"," and no tracker row",""),IF(AND(IFERROR(INDEX(Lists!$K$2:$K$15,MATCH(K488,Lists!$J$2:$J$15,0)),-1)&gt;=6,M488="N"),"status "&amp;K488&amp;" but no tracker row",IF(AND(L488="Y",K488&lt;&gt;"do_not_contact"),"do_not_contact = Y but status is "&amp;K488,IF(AND(K488="do_not_contact",L488&lt;&gt;"Y"),"status do_not_contact but do_not_contact is not Y",""))))))</f>
        <v/>
      </c>
    </row>
    <row r="489" customFormat="false" ht="15" hidden="false" customHeight="false" outlineLevel="0" collapsed="false">
      <c r="B489" s="23" t="n">
        <v>468</v>
      </c>
      <c r="C489" s="23" t="str">
        <f aca="false">IFERROR(INDEX(Clay_Offices!$A$2:$FZ$601,B489,$C$5)&amp;"","")</f>
        <v/>
      </c>
      <c r="D489" s="23" t="str">
        <f aca="false">IFERROR(INDEX(Clay_Offices!$A$2:$FZ$601,B489,$C$7)&amp;"","")</f>
        <v/>
      </c>
      <c r="E489" s="23" t="str">
        <f aca="false">IFERROR(INDEX(Clay_Offices!$A$2:$FZ$601,B489,$C$8)&amp;"","")</f>
        <v/>
      </c>
      <c r="F489" s="23" t="str">
        <f aca="false">IF(C489="","",IF(COUNTIF(Office_Log!$A$2:$A$201,C489)&gt;0,"Y","N"))</f>
        <v/>
      </c>
      <c r="G489" s="34" t="str">
        <f aca="false">IF(OR(C489="",AND(LEFT(C489,6)="SAMPLE",Config!$B$19&lt;&gt;"Y")),"",IF(IFERROR(INDEX(Lists!$K$2:$K$15,MATCH(D489,Lists!$J$2:$J$15,0)),-1)=-1,"status '"&amp;D489&amp;"' is not a CONTRACTS status",IF(AND(D489="signed",COUNTIF(signed_offices!$W$2:$W$51,C489)=0),"status signed but no signed_offices row"&amp;IF(F489="N"," and no tracker row",""),IF(AND(IFERROR(INDEX(Lists!$K$2:$K$15,MATCH(D489,Lists!$J$2:$J$15,0)),-1)&gt;=6,F489="N"),"status "&amp;D489&amp;" but no tracker row",IF(AND(E489="Y",D489&lt;&gt;"do_not_contact"),"do_not_contact = Y but status is "&amp;D489,IF(AND(D489="do_not_contact",E489&lt;&gt;"Y"),"status do_not_contact but do_not_contact is not Y",""))))))</f>
        <v/>
      </c>
      <c r="I489" s="23" t="n">
        <v>468</v>
      </c>
      <c r="J489" s="23" t="str">
        <f aca="false">IFERROR(INDEX(Clay_Brands!$A$2:$FZ$601,I489,$D$5)&amp;"","")</f>
        <v/>
      </c>
      <c r="K489" s="23" t="str">
        <f aca="false">IFERROR(INDEX(Clay_Brands!$A$2:$FZ$601,I489,$D$7)&amp;"","")</f>
        <v/>
      </c>
      <c r="L489" s="23" t="str">
        <f aca="false">IFERROR(INDEX(Clay_Brands!$A$2:$FZ$601,I489,$D$8)&amp;"","")</f>
        <v/>
      </c>
      <c r="M489" s="23" t="str">
        <f aca="false">IF(J489="","",IF(COUNTIF(Brand_Log!$A$2:$A$201,J489)&gt;0,"Y","N"))</f>
        <v/>
      </c>
      <c r="N489" s="34" t="str">
        <f aca="false">IF(OR(J489="",AND(LEFT(J489,6)="SAMPLE",Config!$B$19&lt;&gt;"Y")),"",IF(IFERROR(INDEX(Lists!$K$2:$K$15,MATCH(K489,Lists!$J$2:$J$15,0)),-1)=-1,"status '"&amp;K489&amp;"' is not a CONTRACTS status",IF(AND(K489="paid",COUNTIF(paid_brands!$AC$2:$AC$51,J489)=0),"status paid but no paid_brands row"&amp;IF(M489="N"," and no tracker row",""),IF(AND(IFERROR(INDEX(Lists!$K$2:$K$15,MATCH(K489,Lists!$J$2:$J$15,0)),-1)&gt;=6,M489="N"),"status "&amp;K489&amp;" but no tracker row",IF(AND(L489="Y",K489&lt;&gt;"do_not_contact"),"do_not_contact = Y but status is "&amp;K489,IF(AND(K489="do_not_contact",L489&lt;&gt;"Y"),"status do_not_contact but do_not_contact is not Y",""))))))</f>
        <v/>
      </c>
    </row>
    <row r="490" customFormat="false" ht="15" hidden="false" customHeight="false" outlineLevel="0" collapsed="false">
      <c r="B490" s="23" t="n">
        <v>469</v>
      </c>
      <c r="C490" s="23" t="str">
        <f aca="false">IFERROR(INDEX(Clay_Offices!$A$2:$FZ$601,B490,$C$5)&amp;"","")</f>
        <v/>
      </c>
      <c r="D490" s="23" t="str">
        <f aca="false">IFERROR(INDEX(Clay_Offices!$A$2:$FZ$601,B490,$C$7)&amp;"","")</f>
        <v/>
      </c>
      <c r="E490" s="23" t="str">
        <f aca="false">IFERROR(INDEX(Clay_Offices!$A$2:$FZ$601,B490,$C$8)&amp;"","")</f>
        <v/>
      </c>
      <c r="F490" s="23" t="str">
        <f aca="false">IF(C490="","",IF(COUNTIF(Office_Log!$A$2:$A$201,C490)&gt;0,"Y","N"))</f>
        <v/>
      </c>
      <c r="G490" s="34" t="str">
        <f aca="false">IF(OR(C490="",AND(LEFT(C490,6)="SAMPLE",Config!$B$19&lt;&gt;"Y")),"",IF(IFERROR(INDEX(Lists!$K$2:$K$15,MATCH(D490,Lists!$J$2:$J$15,0)),-1)=-1,"status '"&amp;D490&amp;"' is not a CONTRACTS status",IF(AND(D490="signed",COUNTIF(signed_offices!$W$2:$W$51,C490)=0),"status signed but no signed_offices row"&amp;IF(F490="N"," and no tracker row",""),IF(AND(IFERROR(INDEX(Lists!$K$2:$K$15,MATCH(D490,Lists!$J$2:$J$15,0)),-1)&gt;=6,F490="N"),"status "&amp;D490&amp;" but no tracker row",IF(AND(E490="Y",D490&lt;&gt;"do_not_contact"),"do_not_contact = Y but status is "&amp;D490,IF(AND(D490="do_not_contact",E490&lt;&gt;"Y"),"status do_not_contact but do_not_contact is not Y",""))))))</f>
        <v/>
      </c>
      <c r="I490" s="23" t="n">
        <v>469</v>
      </c>
      <c r="J490" s="23" t="str">
        <f aca="false">IFERROR(INDEX(Clay_Brands!$A$2:$FZ$601,I490,$D$5)&amp;"","")</f>
        <v/>
      </c>
      <c r="K490" s="23" t="str">
        <f aca="false">IFERROR(INDEX(Clay_Brands!$A$2:$FZ$601,I490,$D$7)&amp;"","")</f>
        <v/>
      </c>
      <c r="L490" s="23" t="str">
        <f aca="false">IFERROR(INDEX(Clay_Brands!$A$2:$FZ$601,I490,$D$8)&amp;"","")</f>
        <v/>
      </c>
      <c r="M490" s="23" t="str">
        <f aca="false">IF(J490="","",IF(COUNTIF(Brand_Log!$A$2:$A$201,J490)&gt;0,"Y","N"))</f>
        <v/>
      </c>
      <c r="N490" s="34" t="str">
        <f aca="false">IF(OR(J490="",AND(LEFT(J490,6)="SAMPLE",Config!$B$19&lt;&gt;"Y")),"",IF(IFERROR(INDEX(Lists!$K$2:$K$15,MATCH(K490,Lists!$J$2:$J$15,0)),-1)=-1,"status '"&amp;K490&amp;"' is not a CONTRACTS status",IF(AND(K490="paid",COUNTIF(paid_brands!$AC$2:$AC$51,J490)=0),"status paid but no paid_brands row"&amp;IF(M490="N"," and no tracker row",""),IF(AND(IFERROR(INDEX(Lists!$K$2:$K$15,MATCH(K490,Lists!$J$2:$J$15,0)),-1)&gt;=6,M490="N"),"status "&amp;K490&amp;" but no tracker row",IF(AND(L490="Y",K490&lt;&gt;"do_not_contact"),"do_not_contact = Y but status is "&amp;K490,IF(AND(K490="do_not_contact",L490&lt;&gt;"Y"),"status do_not_contact but do_not_contact is not Y",""))))))</f>
        <v/>
      </c>
    </row>
    <row r="491" customFormat="false" ht="15" hidden="false" customHeight="false" outlineLevel="0" collapsed="false">
      <c r="B491" s="23" t="n">
        <v>470</v>
      </c>
      <c r="C491" s="23" t="str">
        <f aca="false">IFERROR(INDEX(Clay_Offices!$A$2:$FZ$601,B491,$C$5)&amp;"","")</f>
        <v/>
      </c>
      <c r="D491" s="23" t="str">
        <f aca="false">IFERROR(INDEX(Clay_Offices!$A$2:$FZ$601,B491,$C$7)&amp;"","")</f>
        <v/>
      </c>
      <c r="E491" s="23" t="str">
        <f aca="false">IFERROR(INDEX(Clay_Offices!$A$2:$FZ$601,B491,$C$8)&amp;"","")</f>
        <v/>
      </c>
      <c r="F491" s="23" t="str">
        <f aca="false">IF(C491="","",IF(COUNTIF(Office_Log!$A$2:$A$201,C491)&gt;0,"Y","N"))</f>
        <v/>
      </c>
      <c r="G491" s="34" t="str">
        <f aca="false">IF(OR(C491="",AND(LEFT(C491,6)="SAMPLE",Config!$B$19&lt;&gt;"Y")),"",IF(IFERROR(INDEX(Lists!$K$2:$K$15,MATCH(D491,Lists!$J$2:$J$15,0)),-1)=-1,"status '"&amp;D491&amp;"' is not a CONTRACTS status",IF(AND(D491="signed",COUNTIF(signed_offices!$W$2:$W$51,C491)=0),"status signed but no signed_offices row"&amp;IF(F491="N"," and no tracker row",""),IF(AND(IFERROR(INDEX(Lists!$K$2:$K$15,MATCH(D491,Lists!$J$2:$J$15,0)),-1)&gt;=6,F491="N"),"status "&amp;D491&amp;" but no tracker row",IF(AND(E491="Y",D491&lt;&gt;"do_not_contact"),"do_not_contact = Y but status is "&amp;D491,IF(AND(D491="do_not_contact",E491&lt;&gt;"Y"),"status do_not_contact but do_not_contact is not Y",""))))))</f>
        <v/>
      </c>
      <c r="I491" s="23" t="n">
        <v>470</v>
      </c>
      <c r="J491" s="23" t="str">
        <f aca="false">IFERROR(INDEX(Clay_Brands!$A$2:$FZ$601,I491,$D$5)&amp;"","")</f>
        <v/>
      </c>
      <c r="K491" s="23" t="str">
        <f aca="false">IFERROR(INDEX(Clay_Brands!$A$2:$FZ$601,I491,$D$7)&amp;"","")</f>
        <v/>
      </c>
      <c r="L491" s="23" t="str">
        <f aca="false">IFERROR(INDEX(Clay_Brands!$A$2:$FZ$601,I491,$D$8)&amp;"","")</f>
        <v/>
      </c>
      <c r="M491" s="23" t="str">
        <f aca="false">IF(J491="","",IF(COUNTIF(Brand_Log!$A$2:$A$201,J491)&gt;0,"Y","N"))</f>
        <v/>
      </c>
      <c r="N491" s="34" t="str">
        <f aca="false">IF(OR(J491="",AND(LEFT(J491,6)="SAMPLE",Config!$B$19&lt;&gt;"Y")),"",IF(IFERROR(INDEX(Lists!$K$2:$K$15,MATCH(K491,Lists!$J$2:$J$15,0)),-1)=-1,"status '"&amp;K491&amp;"' is not a CONTRACTS status",IF(AND(K491="paid",COUNTIF(paid_brands!$AC$2:$AC$51,J491)=0),"status paid but no paid_brands row"&amp;IF(M491="N"," and no tracker row",""),IF(AND(IFERROR(INDEX(Lists!$K$2:$K$15,MATCH(K491,Lists!$J$2:$J$15,0)),-1)&gt;=6,M491="N"),"status "&amp;K491&amp;" but no tracker row",IF(AND(L491="Y",K491&lt;&gt;"do_not_contact"),"do_not_contact = Y but status is "&amp;K491,IF(AND(K491="do_not_contact",L491&lt;&gt;"Y"),"status do_not_contact but do_not_contact is not Y",""))))))</f>
        <v/>
      </c>
    </row>
    <row r="492" customFormat="false" ht="15" hidden="false" customHeight="false" outlineLevel="0" collapsed="false">
      <c r="B492" s="23" t="n">
        <v>471</v>
      </c>
      <c r="C492" s="23" t="str">
        <f aca="false">IFERROR(INDEX(Clay_Offices!$A$2:$FZ$601,B492,$C$5)&amp;"","")</f>
        <v/>
      </c>
      <c r="D492" s="23" t="str">
        <f aca="false">IFERROR(INDEX(Clay_Offices!$A$2:$FZ$601,B492,$C$7)&amp;"","")</f>
        <v/>
      </c>
      <c r="E492" s="23" t="str">
        <f aca="false">IFERROR(INDEX(Clay_Offices!$A$2:$FZ$601,B492,$C$8)&amp;"","")</f>
        <v/>
      </c>
      <c r="F492" s="23" t="str">
        <f aca="false">IF(C492="","",IF(COUNTIF(Office_Log!$A$2:$A$201,C492)&gt;0,"Y","N"))</f>
        <v/>
      </c>
      <c r="G492" s="34" t="str">
        <f aca="false">IF(OR(C492="",AND(LEFT(C492,6)="SAMPLE",Config!$B$19&lt;&gt;"Y")),"",IF(IFERROR(INDEX(Lists!$K$2:$K$15,MATCH(D492,Lists!$J$2:$J$15,0)),-1)=-1,"status '"&amp;D492&amp;"' is not a CONTRACTS status",IF(AND(D492="signed",COUNTIF(signed_offices!$W$2:$W$51,C492)=0),"status signed but no signed_offices row"&amp;IF(F492="N"," and no tracker row",""),IF(AND(IFERROR(INDEX(Lists!$K$2:$K$15,MATCH(D492,Lists!$J$2:$J$15,0)),-1)&gt;=6,F492="N"),"status "&amp;D492&amp;" but no tracker row",IF(AND(E492="Y",D492&lt;&gt;"do_not_contact"),"do_not_contact = Y but status is "&amp;D492,IF(AND(D492="do_not_contact",E492&lt;&gt;"Y"),"status do_not_contact but do_not_contact is not Y",""))))))</f>
        <v/>
      </c>
      <c r="I492" s="23" t="n">
        <v>471</v>
      </c>
      <c r="J492" s="23" t="str">
        <f aca="false">IFERROR(INDEX(Clay_Brands!$A$2:$FZ$601,I492,$D$5)&amp;"","")</f>
        <v/>
      </c>
      <c r="K492" s="23" t="str">
        <f aca="false">IFERROR(INDEX(Clay_Brands!$A$2:$FZ$601,I492,$D$7)&amp;"","")</f>
        <v/>
      </c>
      <c r="L492" s="23" t="str">
        <f aca="false">IFERROR(INDEX(Clay_Brands!$A$2:$FZ$601,I492,$D$8)&amp;"","")</f>
        <v/>
      </c>
      <c r="M492" s="23" t="str">
        <f aca="false">IF(J492="","",IF(COUNTIF(Brand_Log!$A$2:$A$201,J492)&gt;0,"Y","N"))</f>
        <v/>
      </c>
      <c r="N492" s="34" t="str">
        <f aca="false">IF(OR(J492="",AND(LEFT(J492,6)="SAMPLE",Config!$B$19&lt;&gt;"Y")),"",IF(IFERROR(INDEX(Lists!$K$2:$K$15,MATCH(K492,Lists!$J$2:$J$15,0)),-1)=-1,"status '"&amp;K492&amp;"' is not a CONTRACTS status",IF(AND(K492="paid",COUNTIF(paid_brands!$AC$2:$AC$51,J492)=0),"status paid but no paid_brands row"&amp;IF(M492="N"," and no tracker row",""),IF(AND(IFERROR(INDEX(Lists!$K$2:$K$15,MATCH(K492,Lists!$J$2:$J$15,0)),-1)&gt;=6,M492="N"),"status "&amp;K492&amp;" but no tracker row",IF(AND(L492="Y",K492&lt;&gt;"do_not_contact"),"do_not_contact = Y but status is "&amp;K492,IF(AND(K492="do_not_contact",L492&lt;&gt;"Y"),"status do_not_contact but do_not_contact is not Y",""))))))</f>
        <v/>
      </c>
    </row>
    <row r="493" customFormat="false" ht="15" hidden="false" customHeight="false" outlineLevel="0" collapsed="false">
      <c r="B493" s="23" t="n">
        <v>472</v>
      </c>
      <c r="C493" s="23" t="str">
        <f aca="false">IFERROR(INDEX(Clay_Offices!$A$2:$FZ$601,B493,$C$5)&amp;"","")</f>
        <v/>
      </c>
      <c r="D493" s="23" t="str">
        <f aca="false">IFERROR(INDEX(Clay_Offices!$A$2:$FZ$601,B493,$C$7)&amp;"","")</f>
        <v/>
      </c>
      <c r="E493" s="23" t="str">
        <f aca="false">IFERROR(INDEX(Clay_Offices!$A$2:$FZ$601,B493,$C$8)&amp;"","")</f>
        <v/>
      </c>
      <c r="F493" s="23" t="str">
        <f aca="false">IF(C493="","",IF(COUNTIF(Office_Log!$A$2:$A$201,C493)&gt;0,"Y","N"))</f>
        <v/>
      </c>
      <c r="G493" s="34" t="str">
        <f aca="false">IF(OR(C493="",AND(LEFT(C493,6)="SAMPLE",Config!$B$19&lt;&gt;"Y")),"",IF(IFERROR(INDEX(Lists!$K$2:$K$15,MATCH(D493,Lists!$J$2:$J$15,0)),-1)=-1,"status '"&amp;D493&amp;"' is not a CONTRACTS status",IF(AND(D493="signed",COUNTIF(signed_offices!$W$2:$W$51,C493)=0),"status signed but no signed_offices row"&amp;IF(F493="N"," and no tracker row",""),IF(AND(IFERROR(INDEX(Lists!$K$2:$K$15,MATCH(D493,Lists!$J$2:$J$15,0)),-1)&gt;=6,F493="N"),"status "&amp;D493&amp;" but no tracker row",IF(AND(E493="Y",D493&lt;&gt;"do_not_contact"),"do_not_contact = Y but status is "&amp;D493,IF(AND(D493="do_not_contact",E493&lt;&gt;"Y"),"status do_not_contact but do_not_contact is not Y",""))))))</f>
        <v/>
      </c>
      <c r="I493" s="23" t="n">
        <v>472</v>
      </c>
      <c r="J493" s="23" t="str">
        <f aca="false">IFERROR(INDEX(Clay_Brands!$A$2:$FZ$601,I493,$D$5)&amp;"","")</f>
        <v/>
      </c>
      <c r="K493" s="23" t="str">
        <f aca="false">IFERROR(INDEX(Clay_Brands!$A$2:$FZ$601,I493,$D$7)&amp;"","")</f>
        <v/>
      </c>
      <c r="L493" s="23" t="str">
        <f aca="false">IFERROR(INDEX(Clay_Brands!$A$2:$FZ$601,I493,$D$8)&amp;"","")</f>
        <v/>
      </c>
      <c r="M493" s="23" t="str">
        <f aca="false">IF(J493="","",IF(COUNTIF(Brand_Log!$A$2:$A$201,J493)&gt;0,"Y","N"))</f>
        <v/>
      </c>
      <c r="N493" s="34" t="str">
        <f aca="false">IF(OR(J493="",AND(LEFT(J493,6)="SAMPLE",Config!$B$19&lt;&gt;"Y")),"",IF(IFERROR(INDEX(Lists!$K$2:$K$15,MATCH(K493,Lists!$J$2:$J$15,0)),-1)=-1,"status '"&amp;K493&amp;"' is not a CONTRACTS status",IF(AND(K493="paid",COUNTIF(paid_brands!$AC$2:$AC$51,J493)=0),"status paid but no paid_brands row"&amp;IF(M493="N"," and no tracker row",""),IF(AND(IFERROR(INDEX(Lists!$K$2:$K$15,MATCH(K493,Lists!$J$2:$J$15,0)),-1)&gt;=6,M493="N"),"status "&amp;K493&amp;" but no tracker row",IF(AND(L493="Y",K493&lt;&gt;"do_not_contact"),"do_not_contact = Y but status is "&amp;K493,IF(AND(K493="do_not_contact",L493&lt;&gt;"Y"),"status do_not_contact but do_not_contact is not Y",""))))))</f>
        <v/>
      </c>
    </row>
    <row r="494" customFormat="false" ht="15" hidden="false" customHeight="false" outlineLevel="0" collapsed="false">
      <c r="B494" s="23" t="n">
        <v>473</v>
      </c>
      <c r="C494" s="23" t="str">
        <f aca="false">IFERROR(INDEX(Clay_Offices!$A$2:$FZ$601,B494,$C$5)&amp;"","")</f>
        <v/>
      </c>
      <c r="D494" s="23" t="str">
        <f aca="false">IFERROR(INDEX(Clay_Offices!$A$2:$FZ$601,B494,$C$7)&amp;"","")</f>
        <v/>
      </c>
      <c r="E494" s="23" t="str">
        <f aca="false">IFERROR(INDEX(Clay_Offices!$A$2:$FZ$601,B494,$C$8)&amp;"","")</f>
        <v/>
      </c>
      <c r="F494" s="23" t="str">
        <f aca="false">IF(C494="","",IF(COUNTIF(Office_Log!$A$2:$A$201,C494)&gt;0,"Y","N"))</f>
        <v/>
      </c>
      <c r="G494" s="34" t="str">
        <f aca="false">IF(OR(C494="",AND(LEFT(C494,6)="SAMPLE",Config!$B$19&lt;&gt;"Y")),"",IF(IFERROR(INDEX(Lists!$K$2:$K$15,MATCH(D494,Lists!$J$2:$J$15,0)),-1)=-1,"status '"&amp;D494&amp;"' is not a CONTRACTS status",IF(AND(D494="signed",COUNTIF(signed_offices!$W$2:$W$51,C494)=0),"status signed but no signed_offices row"&amp;IF(F494="N"," and no tracker row",""),IF(AND(IFERROR(INDEX(Lists!$K$2:$K$15,MATCH(D494,Lists!$J$2:$J$15,0)),-1)&gt;=6,F494="N"),"status "&amp;D494&amp;" but no tracker row",IF(AND(E494="Y",D494&lt;&gt;"do_not_contact"),"do_not_contact = Y but status is "&amp;D494,IF(AND(D494="do_not_contact",E494&lt;&gt;"Y"),"status do_not_contact but do_not_contact is not Y",""))))))</f>
        <v/>
      </c>
      <c r="I494" s="23" t="n">
        <v>473</v>
      </c>
      <c r="J494" s="23" t="str">
        <f aca="false">IFERROR(INDEX(Clay_Brands!$A$2:$FZ$601,I494,$D$5)&amp;"","")</f>
        <v/>
      </c>
      <c r="K494" s="23" t="str">
        <f aca="false">IFERROR(INDEX(Clay_Brands!$A$2:$FZ$601,I494,$D$7)&amp;"","")</f>
        <v/>
      </c>
      <c r="L494" s="23" t="str">
        <f aca="false">IFERROR(INDEX(Clay_Brands!$A$2:$FZ$601,I494,$D$8)&amp;"","")</f>
        <v/>
      </c>
      <c r="M494" s="23" t="str">
        <f aca="false">IF(J494="","",IF(COUNTIF(Brand_Log!$A$2:$A$201,J494)&gt;0,"Y","N"))</f>
        <v/>
      </c>
      <c r="N494" s="34" t="str">
        <f aca="false">IF(OR(J494="",AND(LEFT(J494,6)="SAMPLE",Config!$B$19&lt;&gt;"Y")),"",IF(IFERROR(INDEX(Lists!$K$2:$K$15,MATCH(K494,Lists!$J$2:$J$15,0)),-1)=-1,"status '"&amp;K494&amp;"' is not a CONTRACTS status",IF(AND(K494="paid",COUNTIF(paid_brands!$AC$2:$AC$51,J494)=0),"status paid but no paid_brands row"&amp;IF(M494="N"," and no tracker row",""),IF(AND(IFERROR(INDEX(Lists!$K$2:$K$15,MATCH(K494,Lists!$J$2:$J$15,0)),-1)&gt;=6,M494="N"),"status "&amp;K494&amp;" but no tracker row",IF(AND(L494="Y",K494&lt;&gt;"do_not_contact"),"do_not_contact = Y but status is "&amp;K494,IF(AND(K494="do_not_contact",L494&lt;&gt;"Y"),"status do_not_contact but do_not_contact is not Y",""))))))</f>
        <v/>
      </c>
    </row>
    <row r="495" customFormat="false" ht="15" hidden="false" customHeight="false" outlineLevel="0" collapsed="false">
      <c r="B495" s="23" t="n">
        <v>474</v>
      </c>
      <c r="C495" s="23" t="str">
        <f aca="false">IFERROR(INDEX(Clay_Offices!$A$2:$FZ$601,B495,$C$5)&amp;"","")</f>
        <v/>
      </c>
      <c r="D495" s="23" t="str">
        <f aca="false">IFERROR(INDEX(Clay_Offices!$A$2:$FZ$601,B495,$C$7)&amp;"","")</f>
        <v/>
      </c>
      <c r="E495" s="23" t="str">
        <f aca="false">IFERROR(INDEX(Clay_Offices!$A$2:$FZ$601,B495,$C$8)&amp;"","")</f>
        <v/>
      </c>
      <c r="F495" s="23" t="str">
        <f aca="false">IF(C495="","",IF(COUNTIF(Office_Log!$A$2:$A$201,C495)&gt;0,"Y","N"))</f>
        <v/>
      </c>
      <c r="G495" s="34" t="str">
        <f aca="false">IF(OR(C495="",AND(LEFT(C495,6)="SAMPLE",Config!$B$19&lt;&gt;"Y")),"",IF(IFERROR(INDEX(Lists!$K$2:$K$15,MATCH(D495,Lists!$J$2:$J$15,0)),-1)=-1,"status '"&amp;D495&amp;"' is not a CONTRACTS status",IF(AND(D495="signed",COUNTIF(signed_offices!$W$2:$W$51,C495)=0),"status signed but no signed_offices row"&amp;IF(F495="N"," and no tracker row",""),IF(AND(IFERROR(INDEX(Lists!$K$2:$K$15,MATCH(D495,Lists!$J$2:$J$15,0)),-1)&gt;=6,F495="N"),"status "&amp;D495&amp;" but no tracker row",IF(AND(E495="Y",D495&lt;&gt;"do_not_contact"),"do_not_contact = Y but status is "&amp;D495,IF(AND(D495="do_not_contact",E495&lt;&gt;"Y"),"status do_not_contact but do_not_contact is not Y",""))))))</f>
        <v/>
      </c>
      <c r="I495" s="23" t="n">
        <v>474</v>
      </c>
      <c r="J495" s="23" t="str">
        <f aca="false">IFERROR(INDEX(Clay_Brands!$A$2:$FZ$601,I495,$D$5)&amp;"","")</f>
        <v/>
      </c>
      <c r="K495" s="23" t="str">
        <f aca="false">IFERROR(INDEX(Clay_Brands!$A$2:$FZ$601,I495,$D$7)&amp;"","")</f>
        <v/>
      </c>
      <c r="L495" s="23" t="str">
        <f aca="false">IFERROR(INDEX(Clay_Brands!$A$2:$FZ$601,I495,$D$8)&amp;"","")</f>
        <v/>
      </c>
      <c r="M495" s="23" t="str">
        <f aca="false">IF(J495="","",IF(COUNTIF(Brand_Log!$A$2:$A$201,J495)&gt;0,"Y","N"))</f>
        <v/>
      </c>
      <c r="N495" s="34" t="str">
        <f aca="false">IF(OR(J495="",AND(LEFT(J495,6)="SAMPLE",Config!$B$19&lt;&gt;"Y")),"",IF(IFERROR(INDEX(Lists!$K$2:$K$15,MATCH(K495,Lists!$J$2:$J$15,0)),-1)=-1,"status '"&amp;K495&amp;"' is not a CONTRACTS status",IF(AND(K495="paid",COUNTIF(paid_brands!$AC$2:$AC$51,J495)=0),"status paid but no paid_brands row"&amp;IF(M495="N"," and no tracker row",""),IF(AND(IFERROR(INDEX(Lists!$K$2:$K$15,MATCH(K495,Lists!$J$2:$J$15,0)),-1)&gt;=6,M495="N"),"status "&amp;K495&amp;" but no tracker row",IF(AND(L495="Y",K495&lt;&gt;"do_not_contact"),"do_not_contact = Y but status is "&amp;K495,IF(AND(K495="do_not_contact",L495&lt;&gt;"Y"),"status do_not_contact but do_not_contact is not Y",""))))))</f>
        <v/>
      </c>
    </row>
    <row r="496" customFormat="false" ht="15" hidden="false" customHeight="false" outlineLevel="0" collapsed="false">
      <c r="B496" s="23" t="n">
        <v>475</v>
      </c>
      <c r="C496" s="23" t="str">
        <f aca="false">IFERROR(INDEX(Clay_Offices!$A$2:$FZ$601,B496,$C$5)&amp;"","")</f>
        <v/>
      </c>
      <c r="D496" s="23" t="str">
        <f aca="false">IFERROR(INDEX(Clay_Offices!$A$2:$FZ$601,B496,$C$7)&amp;"","")</f>
        <v/>
      </c>
      <c r="E496" s="23" t="str">
        <f aca="false">IFERROR(INDEX(Clay_Offices!$A$2:$FZ$601,B496,$C$8)&amp;"","")</f>
        <v/>
      </c>
      <c r="F496" s="23" t="str">
        <f aca="false">IF(C496="","",IF(COUNTIF(Office_Log!$A$2:$A$201,C496)&gt;0,"Y","N"))</f>
        <v/>
      </c>
      <c r="G496" s="34" t="str">
        <f aca="false">IF(OR(C496="",AND(LEFT(C496,6)="SAMPLE",Config!$B$19&lt;&gt;"Y")),"",IF(IFERROR(INDEX(Lists!$K$2:$K$15,MATCH(D496,Lists!$J$2:$J$15,0)),-1)=-1,"status '"&amp;D496&amp;"' is not a CONTRACTS status",IF(AND(D496="signed",COUNTIF(signed_offices!$W$2:$W$51,C496)=0),"status signed but no signed_offices row"&amp;IF(F496="N"," and no tracker row",""),IF(AND(IFERROR(INDEX(Lists!$K$2:$K$15,MATCH(D496,Lists!$J$2:$J$15,0)),-1)&gt;=6,F496="N"),"status "&amp;D496&amp;" but no tracker row",IF(AND(E496="Y",D496&lt;&gt;"do_not_contact"),"do_not_contact = Y but status is "&amp;D496,IF(AND(D496="do_not_contact",E496&lt;&gt;"Y"),"status do_not_contact but do_not_contact is not Y",""))))))</f>
        <v/>
      </c>
      <c r="I496" s="23" t="n">
        <v>475</v>
      </c>
      <c r="J496" s="23" t="str">
        <f aca="false">IFERROR(INDEX(Clay_Brands!$A$2:$FZ$601,I496,$D$5)&amp;"","")</f>
        <v/>
      </c>
      <c r="K496" s="23" t="str">
        <f aca="false">IFERROR(INDEX(Clay_Brands!$A$2:$FZ$601,I496,$D$7)&amp;"","")</f>
        <v/>
      </c>
      <c r="L496" s="23" t="str">
        <f aca="false">IFERROR(INDEX(Clay_Brands!$A$2:$FZ$601,I496,$D$8)&amp;"","")</f>
        <v/>
      </c>
      <c r="M496" s="23" t="str">
        <f aca="false">IF(J496="","",IF(COUNTIF(Brand_Log!$A$2:$A$201,J496)&gt;0,"Y","N"))</f>
        <v/>
      </c>
      <c r="N496" s="34" t="str">
        <f aca="false">IF(OR(J496="",AND(LEFT(J496,6)="SAMPLE",Config!$B$19&lt;&gt;"Y")),"",IF(IFERROR(INDEX(Lists!$K$2:$K$15,MATCH(K496,Lists!$J$2:$J$15,0)),-1)=-1,"status '"&amp;K496&amp;"' is not a CONTRACTS status",IF(AND(K496="paid",COUNTIF(paid_brands!$AC$2:$AC$51,J496)=0),"status paid but no paid_brands row"&amp;IF(M496="N"," and no tracker row",""),IF(AND(IFERROR(INDEX(Lists!$K$2:$K$15,MATCH(K496,Lists!$J$2:$J$15,0)),-1)&gt;=6,M496="N"),"status "&amp;K496&amp;" but no tracker row",IF(AND(L496="Y",K496&lt;&gt;"do_not_contact"),"do_not_contact = Y but status is "&amp;K496,IF(AND(K496="do_not_contact",L496&lt;&gt;"Y"),"status do_not_contact but do_not_contact is not Y",""))))))</f>
        <v/>
      </c>
    </row>
    <row r="497" customFormat="false" ht="15" hidden="false" customHeight="false" outlineLevel="0" collapsed="false">
      <c r="B497" s="23" t="n">
        <v>476</v>
      </c>
      <c r="C497" s="23" t="str">
        <f aca="false">IFERROR(INDEX(Clay_Offices!$A$2:$FZ$601,B497,$C$5)&amp;"","")</f>
        <v/>
      </c>
      <c r="D497" s="23" t="str">
        <f aca="false">IFERROR(INDEX(Clay_Offices!$A$2:$FZ$601,B497,$C$7)&amp;"","")</f>
        <v/>
      </c>
      <c r="E497" s="23" t="str">
        <f aca="false">IFERROR(INDEX(Clay_Offices!$A$2:$FZ$601,B497,$C$8)&amp;"","")</f>
        <v/>
      </c>
      <c r="F497" s="23" t="str">
        <f aca="false">IF(C497="","",IF(COUNTIF(Office_Log!$A$2:$A$201,C497)&gt;0,"Y","N"))</f>
        <v/>
      </c>
      <c r="G497" s="34" t="str">
        <f aca="false">IF(OR(C497="",AND(LEFT(C497,6)="SAMPLE",Config!$B$19&lt;&gt;"Y")),"",IF(IFERROR(INDEX(Lists!$K$2:$K$15,MATCH(D497,Lists!$J$2:$J$15,0)),-1)=-1,"status '"&amp;D497&amp;"' is not a CONTRACTS status",IF(AND(D497="signed",COUNTIF(signed_offices!$W$2:$W$51,C497)=0),"status signed but no signed_offices row"&amp;IF(F497="N"," and no tracker row",""),IF(AND(IFERROR(INDEX(Lists!$K$2:$K$15,MATCH(D497,Lists!$J$2:$J$15,0)),-1)&gt;=6,F497="N"),"status "&amp;D497&amp;" but no tracker row",IF(AND(E497="Y",D497&lt;&gt;"do_not_contact"),"do_not_contact = Y but status is "&amp;D497,IF(AND(D497="do_not_contact",E497&lt;&gt;"Y"),"status do_not_contact but do_not_contact is not Y",""))))))</f>
        <v/>
      </c>
      <c r="I497" s="23" t="n">
        <v>476</v>
      </c>
      <c r="J497" s="23" t="str">
        <f aca="false">IFERROR(INDEX(Clay_Brands!$A$2:$FZ$601,I497,$D$5)&amp;"","")</f>
        <v/>
      </c>
      <c r="K497" s="23" t="str">
        <f aca="false">IFERROR(INDEX(Clay_Brands!$A$2:$FZ$601,I497,$D$7)&amp;"","")</f>
        <v/>
      </c>
      <c r="L497" s="23" t="str">
        <f aca="false">IFERROR(INDEX(Clay_Brands!$A$2:$FZ$601,I497,$D$8)&amp;"","")</f>
        <v/>
      </c>
      <c r="M497" s="23" t="str">
        <f aca="false">IF(J497="","",IF(COUNTIF(Brand_Log!$A$2:$A$201,J497)&gt;0,"Y","N"))</f>
        <v/>
      </c>
      <c r="N497" s="34" t="str">
        <f aca="false">IF(OR(J497="",AND(LEFT(J497,6)="SAMPLE",Config!$B$19&lt;&gt;"Y")),"",IF(IFERROR(INDEX(Lists!$K$2:$K$15,MATCH(K497,Lists!$J$2:$J$15,0)),-1)=-1,"status '"&amp;K497&amp;"' is not a CONTRACTS status",IF(AND(K497="paid",COUNTIF(paid_brands!$AC$2:$AC$51,J497)=0),"status paid but no paid_brands row"&amp;IF(M497="N"," and no tracker row",""),IF(AND(IFERROR(INDEX(Lists!$K$2:$K$15,MATCH(K497,Lists!$J$2:$J$15,0)),-1)&gt;=6,M497="N"),"status "&amp;K497&amp;" but no tracker row",IF(AND(L497="Y",K497&lt;&gt;"do_not_contact"),"do_not_contact = Y but status is "&amp;K497,IF(AND(K497="do_not_contact",L497&lt;&gt;"Y"),"status do_not_contact but do_not_contact is not Y",""))))))</f>
        <v/>
      </c>
    </row>
    <row r="498" customFormat="false" ht="15" hidden="false" customHeight="false" outlineLevel="0" collapsed="false">
      <c r="B498" s="23" t="n">
        <v>477</v>
      </c>
      <c r="C498" s="23" t="str">
        <f aca="false">IFERROR(INDEX(Clay_Offices!$A$2:$FZ$601,B498,$C$5)&amp;"","")</f>
        <v/>
      </c>
      <c r="D498" s="23" t="str">
        <f aca="false">IFERROR(INDEX(Clay_Offices!$A$2:$FZ$601,B498,$C$7)&amp;"","")</f>
        <v/>
      </c>
      <c r="E498" s="23" t="str">
        <f aca="false">IFERROR(INDEX(Clay_Offices!$A$2:$FZ$601,B498,$C$8)&amp;"","")</f>
        <v/>
      </c>
      <c r="F498" s="23" t="str">
        <f aca="false">IF(C498="","",IF(COUNTIF(Office_Log!$A$2:$A$201,C498)&gt;0,"Y","N"))</f>
        <v/>
      </c>
      <c r="G498" s="34" t="str">
        <f aca="false">IF(OR(C498="",AND(LEFT(C498,6)="SAMPLE",Config!$B$19&lt;&gt;"Y")),"",IF(IFERROR(INDEX(Lists!$K$2:$K$15,MATCH(D498,Lists!$J$2:$J$15,0)),-1)=-1,"status '"&amp;D498&amp;"' is not a CONTRACTS status",IF(AND(D498="signed",COUNTIF(signed_offices!$W$2:$W$51,C498)=0),"status signed but no signed_offices row"&amp;IF(F498="N"," and no tracker row",""),IF(AND(IFERROR(INDEX(Lists!$K$2:$K$15,MATCH(D498,Lists!$J$2:$J$15,0)),-1)&gt;=6,F498="N"),"status "&amp;D498&amp;" but no tracker row",IF(AND(E498="Y",D498&lt;&gt;"do_not_contact"),"do_not_contact = Y but status is "&amp;D498,IF(AND(D498="do_not_contact",E498&lt;&gt;"Y"),"status do_not_contact but do_not_contact is not Y",""))))))</f>
        <v/>
      </c>
      <c r="I498" s="23" t="n">
        <v>477</v>
      </c>
      <c r="J498" s="23" t="str">
        <f aca="false">IFERROR(INDEX(Clay_Brands!$A$2:$FZ$601,I498,$D$5)&amp;"","")</f>
        <v/>
      </c>
      <c r="K498" s="23" t="str">
        <f aca="false">IFERROR(INDEX(Clay_Brands!$A$2:$FZ$601,I498,$D$7)&amp;"","")</f>
        <v/>
      </c>
      <c r="L498" s="23" t="str">
        <f aca="false">IFERROR(INDEX(Clay_Brands!$A$2:$FZ$601,I498,$D$8)&amp;"","")</f>
        <v/>
      </c>
      <c r="M498" s="23" t="str">
        <f aca="false">IF(J498="","",IF(COUNTIF(Brand_Log!$A$2:$A$201,J498)&gt;0,"Y","N"))</f>
        <v/>
      </c>
      <c r="N498" s="34" t="str">
        <f aca="false">IF(OR(J498="",AND(LEFT(J498,6)="SAMPLE",Config!$B$19&lt;&gt;"Y")),"",IF(IFERROR(INDEX(Lists!$K$2:$K$15,MATCH(K498,Lists!$J$2:$J$15,0)),-1)=-1,"status '"&amp;K498&amp;"' is not a CONTRACTS status",IF(AND(K498="paid",COUNTIF(paid_brands!$AC$2:$AC$51,J498)=0),"status paid but no paid_brands row"&amp;IF(M498="N"," and no tracker row",""),IF(AND(IFERROR(INDEX(Lists!$K$2:$K$15,MATCH(K498,Lists!$J$2:$J$15,0)),-1)&gt;=6,M498="N"),"status "&amp;K498&amp;" but no tracker row",IF(AND(L498="Y",K498&lt;&gt;"do_not_contact"),"do_not_contact = Y but status is "&amp;K498,IF(AND(K498="do_not_contact",L498&lt;&gt;"Y"),"status do_not_contact but do_not_contact is not Y",""))))))</f>
        <v/>
      </c>
    </row>
    <row r="499" customFormat="false" ht="15" hidden="false" customHeight="false" outlineLevel="0" collapsed="false">
      <c r="B499" s="23" t="n">
        <v>478</v>
      </c>
      <c r="C499" s="23" t="str">
        <f aca="false">IFERROR(INDEX(Clay_Offices!$A$2:$FZ$601,B499,$C$5)&amp;"","")</f>
        <v/>
      </c>
      <c r="D499" s="23" t="str">
        <f aca="false">IFERROR(INDEX(Clay_Offices!$A$2:$FZ$601,B499,$C$7)&amp;"","")</f>
        <v/>
      </c>
      <c r="E499" s="23" t="str">
        <f aca="false">IFERROR(INDEX(Clay_Offices!$A$2:$FZ$601,B499,$C$8)&amp;"","")</f>
        <v/>
      </c>
      <c r="F499" s="23" t="str">
        <f aca="false">IF(C499="","",IF(COUNTIF(Office_Log!$A$2:$A$201,C499)&gt;0,"Y","N"))</f>
        <v/>
      </c>
      <c r="G499" s="34" t="str">
        <f aca="false">IF(OR(C499="",AND(LEFT(C499,6)="SAMPLE",Config!$B$19&lt;&gt;"Y")),"",IF(IFERROR(INDEX(Lists!$K$2:$K$15,MATCH(D499,Lists!$J$2:$J$15,0)),-1)=-1,"status '"&amp;D499&amp;"' is not a CONTRACTS status",IF(AND(D499="signed",COUNTIF(signed_offices!$W$2:$W$51,C499)=0),"status signed but no signed_offices row"&amp;IF(F499="N"," and no tracker row",""),IF(AND(IFERROR(INDEX(Lists!$K$2:$K$15,MATCH(D499,Lists!$J$2:$J$15,0)),-1)&gt;=6,F499="N"),"status "&amp;D499&amp;" but no tracker row",IF(AND(E499="Y",D499&lt;&gt;"do_not_contact"),"do_not_contact = Y but status is "&amp;D499,IF(AND(D499="do_not_contact",E499&lt;&gt;"Y"),"status do_not_contact but do_not_contact is not Y",""))))))</f>
        <v/>
      </c>
      <c r="I499" s="23" t="n">
        <v>478</v>
      </c>
      <c r="J499" s="23" t="str">
        <f aca="false">IFERROR(INDEX(Clay_Brands!$A$2:$FZ$601,I499,$D$5)&amp;"","")</f>
        <v/>
      </c>
      <c r="K499" s="23" t="str">
        <f aca="false">IFERROR(INDEX(Clay_Brands!$A$2:$FZ$601,I499,$D$7)&amp;"","")</f>
        <v/>
      </c>
      <c r="L499" s="23" t="str">
        <f aca="false">IFERROR(INDEX(Clay_Brands!$A$2:$FZ$601,I499,$D$8)&amp;"","")</f>
        <v/>
      </c>
      <c r="M499" s="23" t="str">
        <f aca="false">IF(J499="","",IF(COUNTIF(Brand_Log!$A$2:$A$201,J499)&gt;0,"Y","N"))</f>
        <v/>
      </c>
      <c r="N499" s="34" t="str">
        <f aca="false">IF(OR(J499="",AND(LEFT(J499,6)="SAMPLE",Config!$B$19&lt;&gt;"Y")),"",IF(IFERROR(INDEX(Lists!$K$2:$K$15,MATCH(K499,Lists!$J$2:$J$15,0)),-1)=-1,"status '"&amp;K499&amp;"' is not a CONTRACTS status",IF(AND(K499="paid",COUNTIF(paid_brands!$AC$2:$AC$51,J499)=0),"status paid but no paid_brands row"&amp;IF(M499="N"," and no tracker row",""),IF(AND(IFERROR(INDEX(Lists!$K$2:$K$15,MATCH(K499,Lists!$J$2:$J$15,0)),-1)&gt;=6,M499="N"),"status "&amp;K499&amp;" but no tracker row",IF(AND(L499="Y",K499&lt;&gt;"do_not_contact"),"do_not_contact = Y but status is "&amp;K499,IF(AND(K499="do_not_contact",L499&lt;&gt;"Y"),"status do_not_contact but do_not_contact is not Y",""))))))</f>
        <v/>
      </c>
    </row>
    <row r="500" customFormat="false" ht="15" hidden="false" customHeight="false" outlineLevel="0" collapsed="false">
      <c r="B500" s="23" t="n">
        <v>479</v>
      </c>
      <c r="C500" s="23" t="str">
        <f aca="false">IFERROR(INDEX(Clay_Offices!$A$2:$FZ$601,B500,$C$5)&amp;"","")</f>
        <v/>
      </c>
      <c r="D500" s="23" t="str">
        <f aca="false">IFERROR(INDEX(Clay_Offices!$A$2:$FZ$601,B500,$C$7)&amp;"","")</f>
        <v/>
      </c>
      <c r="E500" s="23" t="str">
        <f aca="false">IFERROR(INDEX(Clay_Offices!$A$2:$FZ$601,B500,$C$8)&amp;"","")</f>
        <v/>
      </c>
      <c r="F500" s="23" t="str">
        <f aca="false">IF(C500="","",IF(COUNTIF(Office_Log!$A$2:$A$201,C500)&gt;0,"Y","N"))</f>
        <v/>
      </c>
      <c r="G500" s="34" t="str">
        <f aca="false">IF(OR(C500="",AND(LEFT(C500,6)="SAMPLE",Config!$B$19&lt;&gt;"Y")),"",IF(IFERROR(INDEX(Lists!$K$2:$K$15,MATCH(D500,Lists!$J$2:$J$15,0)),-1)=-1,"status '"&amp;D500&amp;"' is not a CONTRACTS status",IF(AND(D500="signed",COUNTIF(signed_offices!$W$2:$W$51,C500)=0),"status signed but no signed_offices row"&amp;IF(F500="N"," and no tracker row",""),IF(AND(IFERROR(INDEX(Lists!$K$2:$K$15,MATCH(D500,Lists!$J$2:$J$15,0)),-1)&gt;=6,F500="N"),"status "&amp;D500&amp;" but no tracker row",IF(AND(E500="Y",D500&lt;&gt;"do_not_contact"),"do_not_contact = Y but status is "&amp;D500,IF(AND(D500="do_not_contact",E500&lt;&gt;"Y"),"status do_not_contact but do_not_contact is not Y",""))))))</f>
        <v/>
      </c>
      <c r="I500" s="23" t="n">
        <v>479</v>
      </c>
      <c r="J500" s="23" t="str">
        <f aca="false">IFERROR(INDEX(Clay_Brands!$A$2:$FZ$601,I500,$D$5)&amp;"","")</f>
        <v/>
      </c>
      <c r="K500" s="23" t="str">
        <f aca="false">IFERROR(INDEX(Clay_Brands!$A$2:$FZ$601,I500,$D$7)&amp;"","")</f>
        <v/>
      </c>
      <c r="L500" s="23" t="str">
        <f aca="false">IFERROR(INDEX(Clay_Brands!$A$2:$FZ$601,I500,$D$8)&amp;"","")</f>
        <v/>
      </c>
      <c r="M500" s="23" t="str">
        <f aca="false">IF(J500="","",IF(COUNTIF(Brand_Log!$A$2:$A$201,J500)&gt;0,"Y","N"))</f>
        <v/>
      </c>
      <c r="N500" s="34" t="str">
        <f aca="false">IF(OR(J500="",AND(LEFT(J500,6)="SAMPLE",Config!$B$19&lt;&gt;"Y")),"",IF(IFERROR(INDEX(Lists!$K$2:$K$15,MATCH(K500,Lists!$J$2:$J$15,0)),-1)=-1,"status '"&amp;K500&amp;"' is not a CONTRACTS status",IF(AND(K500="paid",COUNTIF(paid_brands!$AC$2:$AC$51,J500)=0),"status paid but no paid_brands row"&amp;IF(M500="N"," and no tracker row",""),IF(AND(IFERROR(INDEX(Lists!$K$2:$K$15,MATCH(K500,Lists!$J$2:$J$15,0)),-1)&gt;=6,M500="N"),"status "&amp;K500&amp;" but no tracker row",IF(AND(L500="Y",K500&lt;&gt;"do_not_contact"),"do_not_contact = Y but status is "&amp;K500,IF(AND(K500="do_not_contact",L500&lt;&gt;"Y"),"status do_not_contact but do_not_contact is not Y",""))))))</f>
        <v/>
      </c>
    </row>
    <row r="501" customFormat="false" ht="15" hidden="false" customHeight="false" outlineLevel="0" collapsed="false">
      <c r="B501" s="23" t="n">
        <v>480</v>
      </c>
      <c r="C501" s="23" t="str">
        <f aca="false">IFERROR(INDEX(Clay_Offices!$A$2:$FZ$601,B501,$C$5)&amp;"","")</f>
        <v/>
      </c>
      <c r="D501" s="23" t="str">
        <f aca="false">IFERROR(INDEX(Clay_Offices!$A$2:$FZ$601,B501,$C$7)&amp;"","")</f>
        <v/>
      </c>
      <c r="E501" s="23" t="str">
        <f aca="false">IFERROR(INDEX(Clay_Offices!$A$2:$FZ$601,B501,$C$8)&amp;"","")</f>
        <v/>
      </c>
      <c r="F501" s="23" t="str">
        <f aca="false">IF(C501="","",IF(COUNTIF(Office_Log!$A$2:$A$201,C501)&gt;0,"Y","N"))</f>
        <v/>
      </c>
      <c r="G501" s="34" t="str">
        <f aca="false">IF(OR(C501="",AND(LEFT(C501,6)="SAMPLE",Config!$B$19&lt;&gt;"Y")),"",IF(IFERROR(INDEX(Lists!$K$2:$K$15,MATCH(D501,Lists!$J$2:$J$15,0)),-1)=-1,"status '"&amp;D501&amp;"' is not a CONTRACTS status",IF(AND(D501="signed",COUNTIF(signed_offices!$W$2:$W$51,C501)=0),"status signed but no signed_offices row"&amp;IF(F501="N"," and no tracker row",""),IF(AND(IFERROR(INDEX(Lists!$K$2:$K$15,MATCH(D501,Lists!$J$2:$J$15,0)),-1)&gt;=6,F501="N"),"status "&amp;D501&amp;" but no tracker row",IF(AND(E501="Y",D501&lt;&gt;"do_not_contact"),"do_not_contact = Y but status is "&amp;D501,IF(AND(D501="do_not_contact",E501&lt;&gt;"Y"),"status do_not_contact but do_not_contact is not Y",""))))))</f>
        <v/>
      </c>
      <c r="I501" s="23" t="n">
        <v>480</v>
      </c>
      <c r="J501" s="23" t="str">
        <f aca="false">IFERROR(INDEX(Clay_Brands!$A$2:$FZ$601,I501,$D$5)&amp;"","")</f>
        <v/>
      </c>
      <c r="K501" s="23" t="str">
        <f aca="false">IFERROR(INDEX(Clay_Brands!$A$2:$FZ$601,I501,$D$7)&amp;"","")</f>
        <v/>
      </c>
      <c r="L501" s="23" t="str">
        <f aca="false">IFERROR(INDEX(Clay_Brands!$A$2:$FZ$601,I501,$D$8)&amp;"","")</f>
        <v/>
      </c>
      <c r="M501" s="23" t="str">
        <f aca="false">IF(J501="","",IF(COUNTIF(Brand_Log!$A$2:$A$201,J501)&gt;0,"Y","N"))</f>
        <v/>
      </c>
      <c r="N501" s="34" t="str">
        <f aca="false">IF(OR(J501="",AND(LEFT(J501,6)="SAMPLE",Config!$B$19&lt;&gt;"Y")),"",IF(IFERROR(INDEX(Lists!$K$2:$K$15,MATCH(K501,Lists!$J$2:$J$15,0)),-1)=-1,"status '"&amp;K501&amp;"' is not a CONTRACTS status",IF(AND(K501="paid",COUNTIF(paid_brands!$AC$2:$AC$51,J501)=0),"status paid but no paid_brands row"&amp;IF(M501="N"," and no tracker row",""),IF(AND(IFERROR(INDEX(Lists!$K$2:$K$15,MATCH(K501,Lists!$J$2:$J$15,0)),-1)&gt;=6,M501="N"),"status "&amp;K501&amp;" but no tracker row",IF(AND(L501="Y",K501&lt;&gt;"do_not_contact"),"do_not_contact = Y but status is "&amp;K501,IF(AND(K501="do_not_contact",L501&lt;&gt;"Y"),"status do_not_contact but do_not_contact is not Y",""))))))</f>
        <v/>
      </c>
    </row>
    <row r="502" customFormat="false" ht="15" hidden="false" customHeight="false" outlineLevel="0" collapsed="false">
      <c r="B502" s="23" t="n">
        <v>481</v>
      </c>
      <c r="C502" s="23" t="str">
        <f aca="false">IFERROR(INDEX(Clay_Offices!$A$2:$FZ$601,B502,$C$5)&amp;"","")</f>
        <v/>
      </c>
      <c r="D502" s="23" t="str">
        <f aca="false">IFERROR(INDEX(Clay_Offices!$A$2:$FZ$601,B502,$C$7)&amp;"","")</f>
        <v/>
      </c>
      <c r="E502" s="23" t="str">
        <f aca="false">IFERROR(INDEX(Clay_Offices!$A$2:$FZ$601,B502,$C$8)&amp;"","")</f>
        <v/>
      </c>
      <c r="F502" s="23" t="str">
        <f aca="false">IF(C502="","",IF(COUNTIF(Office_Log!$A$2:$A$201,C502)&gt;0,"Y","N"))</f>
        <v/>
      </c>
      <c r="G502" s="34" t="str">
        <f aca="false">IF(OR(C502="",AND(LEFT(C502,6)="SAMPLE",Config!$B$19&lt;&gt;"Y")),"",IF(IFERROR(INDEX(Lists!$K$2:$K$15,MATCH(D502,Lists!$J$2:$J$15,0)),-1)=-1,"status '"&amp;D502&amp;"' is not a CONTRACTS status",IF(AND(D502="signed",COUNTIF(signed_offices!$W$2:$W$51,C502)=0),"status signed but no signed_offices row"&amp;IF(F502="N"," and no tracker row",""),IF(AND(IFERROR(INDEX(Lists!$K$2:$K$15,MATCH(D502,Lists!$J$2:$J$15,0)),-1)&gt;=6,F502="N"),"status "&amp;D502&amp;" but no tracker row",IF(AND(E502="Y",D502&lt;&gt;"do_not_contact"),"do_not_contact = Y but status is "&amp;D502,IF(AND(D502="do_not_contact",E502&lt;&gt;"Y"),"status do_not_contact but do_not_contact is not Y",""))))))</f>
        <v/>
      </c>
      <c r="I502" s="23" t="n">
        <v>481</v>
      </c>
      <c r="J502" s="23" t="str">
        <f aca="false">IFERROR(INDEX(Clay_Brands!$A$2:$FZ$601,I502,$D$5)&amp;"","")</f>
        <v/>
      </c>
      <c r="K502" s="23" t="str">
        <f aca="false">IFERROR(INDEX(Clay_Brands!$A$2:$FZ$601,I502,$D$7)&amp;"","")</f>
        <v/>
      </c>
      <c r="L502" s="23" t="str">
        <f aca="false">IFERROR(INDEX(Clay_Brands!$A$2:$FZ$601,I502,$D$8)&amp;"","")</f>
        <v/>
      </c>
      <c r="M502" s="23" t="str">
        <f aca="false">IF(J502="","",IF(COUNTIF(Brand_Log!$A$2:$A$201,J502)&gt;0,"Y","N"))</f>
        <v/>
      </c>
      <c r="N502" s="34" t="str">
        <f aca="false">IF(OR(J502="",AND(LEFT(J502,6)="SAMPLE",Config!$B$19&lt;&gt;"Y")),"",IF(IFERROR(INDEX(Lists!$K$2:$K$15,MATCH(K502,Lists!$J$2:$J$15,0)),-1)=-1,"status '"&amp;K502&amp;"' is not a CONTRACTS status",IF(AND(K502="paid",COUNTIF(paid_brands!$AC$2:$AC$51,J502)=0),"status paid but no paid_brands row"&amp;IF(M502="N"," and no tracker row",""),IF(AND(IFERROR(INDEX(Lists!$K$2:$K$15,MATCH(K502,Lists!$J$2:$J$15,0)),-1)&gt;=6,M502="N"),"status "&amp;K502&amp;" but no tracker row",IF(AND(L502="Y",K502&lt;&gt;"do_not_contact"),"do_not_contact = Y but status is "&amp;K502,IF(AND(K502="do_not_contact",L502&lt;&gt;"Y"),"status do_not_contact but do_not_contact is not Y",""))))))</f>
        <v/>
      </c>
    </row>
    <row r="503" customFormat="false" ht="15" hidden="false" customHeight="false" outlineLevel="0" collapsed="false">
      <c r="B503" s="23" t="n">
        <v>482</v>
      </c>
      <c r="C503" s="23" t="str">
        <f aca="false">IFERROR(INDEX(Clay_Offices!$A$2:$FZ$601,B503,$C$5)&amp;"","")</f>
        <v/>
      </c>
      <c r="D503" s="23" t="str">
        <f aca="false">IFERROR(INDEX(Clay_Offices!$A$2:$FZ$601,B503,$C$7)&amp;"","")</f>
        <v/>
      </c>
      <c r="E503" s="23" t="str">
        <f aca="false">IFERROR(INDEX(Clay_Offices!$A$2:$FZ$601,B503,$C$8)&amp;"","")</f>
        <v/>
      </c>
      <c r="F503" s="23" t="str">
        <f aca="false">IF(C503="","",IF(COUNTIF(Office_Log!$A$2:$A$201,C503)&gt;0,"Y","N"))</f>
        <v/>
      </c>
      <c r="G503" s="34" t="str">
        <f aca="false">IF(OR(C503="",AND(LEFT(C503,6)="SAMPLE",Config!$B$19&lt;&gt;"Y")),"",IF(IFERROR(INDEX(Lists!$K$2:$K$15,MATCH(D503,Lists!$J$2:$J$15,0)),-1)=-1,"status '"&amp;D503&amp;"' is not a CONTRACTS status",IF(AND(D503="signed",COUNTIF(signed_offices!$W$2:$W$51,C503)=0),"status signed but no signed_offices row"&amp;IF(F503="N"," and no tracker row",""),IF(AND(IFERROR(INDEX(Lists!$K$2:$K$15,MATCH(D503,Lists!$J$2:$J$15,0)),-1)&gt;=6,F503="N"),"status "&amp;D503&amp;" but no tracker row",IF(AND(E503="Y",D503&lt;&gt;"do_not_contact"),"do_not_contact = Y but status is "&amp;D503,IF(AND(D503="do_not_contact",E503&lt;&gt;"Y"),"status do_not_contact but do_not_contact is not Y",""))))))</f>
        <v/>
      </c>
      <c r="I503" s="23" t="n">
        <v>482</v>
      </c>
      <c r="J503" s="23" t="str">
        <f aca="false">IFERROR(INDEX(Clay_Brands!$A$2:$FZ$601,I503,$D$5)&amp;"","")</f>
        <v/>
      </c>
      <c r="K503" s="23" t="str">
        <f aca="false">IFERROR(INDEX(Clay_Brands!$A$2:$FZ$601,I503,$D$7)&amp;"","")</f>
        <v/>
      </c>
      <c r="L503" s="23" t="str">
        <f aca="false">IFERROR(INDEX(Clay_Brands!$A$2:$FZ$601,I503,$D$8)&amp;"","")</f>
        <v/>
      </c>
      <c r="M503" s="23" t="str">
        <f aca="false">IF(J503="","",IF(COUNTIF(Brand_Log!$A$2:$A$201,J503)&gt;0,"Y","N"))</f>
        <v/>
      </c>
      <c r="N503" s="34" t="str">
        <f aca="false">IF(OR(J503="",AND(LEFT(J503,6)="SAMPLE",Config!$B$19&lt;&gt;"Y")),"",IF(IFERROR(INDEX(Lists!$K$2:$K$15,MATCH(K503,Lists!$J$2:$J$15,0)),-1)=-1,"status '"&amp;K503&amp;"' is not a CONTRACTS status",IF(AND(K503="paid",COUNTIF(paid_brands!$AC$2:$AC$51,J503)=0),"status paid but no paid_brands row"&amp;IF(M503="N"," and no tracker row",""),IF(AND(IFERROR(INDEX(Lists!$K$2:$K$15,MATCH(K503,Lists!$J$2:$J$15,0)),-1)&gt;=6,M503="N"),"status "&amp;K503&amp;" but no tracker row",IF(AND(L503="Y",K503&lt;&gt;"do_not_contact"),"do_not_contact = Y but status is "&amp;K503,IF(AND(K503="do_not_contact",L503&lt;&gt;"Y"),"status do_not_contact but do_not_contact is not Y",""))))))</f>
        <v/>
      </c>
    </row>
    <row r="504" customFormat="false" ht="15" hidden="false" customHeight="false" outlineLevel="0" collapsed="false">
      <c r="B504" s="23" t="n">
        <v>483</v>
      </c>
      <c r="C504" s="23" t="str">
        <f aca="false">IFERROR(INDEX(Clay_Offices!$A$2:$FZ$601,B504,$C$5)&amp;"","")</f>
        <v/>
      </c>
      <c r="D504" s="23" t="str">
        <f aca="false">IFERROR(INDEX(Clay_Offices!$A$2:$FZ$601,B504,$C$7)&amp;"","")</f>
        <v/>
      </c>
      <c r="E504" s="23" t="str">
        <f aca="false">IFERROR(INDEX(Clay_Offices!$A$2:$FZ$601,B504,$C$8)&amp;"","")</f>
        <v/>
      </c>
      <c r="F504" s="23" t="str">
        <f aca="false">IF(C504="","",IF(COUNTIF(Office_Log!$A$2:$A$201,C504)&gt;0,"Y","N"))</f>
        <v/>
      </c>
      <c r="G504" s="34" t="str">
        <f aca="false">IF(OR(C504="",AND(LEFT(C504,6)="SAMPLE",Config!$B$19&lt;&gt;"Y")),"",IF(IFERROR(INDEX(Lists!$K$2:$K$15,MATCH(D504,Lists!$J$2:$J$15,0)),-1)=-1,"status '"&amp;D504&amp;"' is not a CONTRACTS status",IF(AND(D504="signed",COUNTIF(signed_offices!$W$2:$W$51,C504)=0),"status signed but no signed_offices row"&amp;IF(F504="N"," and no tracker row",""),IF(AND(IFERROR(INDEX(Lists!$K$2:$K$15,MATCH(D504,Lists!$J$2:$J$15,0)),-1)&gt;=6,F504="N"),"status "&amp;D504&amp;" but no tracker row",IF(AND(E504="Y",D504&lt;&gt;"do_not_contact"),"do_not_contact = Y but status is "&amp;D504,IF(AND(D504="do_not_contact",E504&lt;&gt;"Y"),"status do_not_contact but do_not_contact is not Y",""))))))</f>
        <v/>
      </c>
      <c r="I504" s="23" t="n">
        <v>483</v>
      </c>
      <c r="J504" s="23" t="str">
        <f aca="false">IFERROR(INDEX(Clay_Brands!$A$2:$FZ$601,I504,$D$5)&amp;"","")</f>
        <v/>
      </c>
      <c r="K504" s="23" t="str">
        <f aca="false">IFERROR(INDEX(Clay_Brands!$A$2:$FZ$601,I504,$D$7)&amp;"","")</f>
        <v/>
      </c>
      <c r="L504" s="23" t="str">
        <f aca="false">IFERROR(INDEX(Clay_Brands!$A$2:$FZ$601,I504,$D$8)&amp;"","")</f>
        <v/>
      </c>
      <c r="M504" s="23" t="str">
        <f aca="false">IF(J504="","",IF(COUNTIF(Brand_Log!$A$2:$A$201,J504)&gt;0,"Y","N"))</f>
        <v/>
      </c>
      <c r="N504" s="34" t="str">
        <f aca="false">IF(OR(J504="",AND(LEFT(J504,6)="SAMPLE",Config!$B$19&lt;&gt;"Y")),"",IF(IFERROR(INDEX(Lists!$K$2:$K$15,MATCH(K504,Lists!$J$2:$J$15,0)),-1)=-1,"status '"&amp;K504&amp;"' is not a CONTRACTS status",IF(AND(K504="paid",COUNTIF(paid_brands!$AC$2:$AC$51,J504)=0),"status paid but no paid_brands row"&amp;IF(M504="N"," and no tracker row",""),IF(AND(IFERROR(INDEX(Lists!$K$2:$K$15,MATCH(K504,Lists!$J$2:$J$15,0)),-1)&gt;=6,M504="N"),"status "&amp;K504&amp;" but no tracker row",IF(AND(L504="Y",K504&lt;&gt;"do_not_contact"),"do_not_contact = Y but status is "&amp;K504,IF(AND(K504="do_not_contact",L504&lt;&gt;"Y"),"status do_not_contact but do_not_contact is not Y",""))))))</f>
        <v/>
      </c>
    </row>
    <row r="505" customFormat="false" ht="15" hidden="false" customHeight="false" outlineLevel="0" collapsed="false">
      <c r="B505" s="23" t="n">
        <v>484</v>
      </c>
      <c r="C505" s="23" t="str">
        <f aca="false">IFERROR(INDEX(Clay_Offices!$A$2:$FZ$601,B505,$C$5)&amp;"","")</f>
        <v/>
      </c>
      <c r="D505" s="23" t="str">
        <f aca="false">IFERROR(INDEX(Clay_Offices!$A$2:$FZ$601,B505,$C$7)&amp;"","")</f>
        <v/>
      </c>
      <c r="E505" s="23" t="str">
        <f aca="false">IFERROR(INDEX(Clay_Offices!$A$2:$FZ$601,B505,$C$8)&amp;"","")</f>
        <v/>
      </c>
      <c r="F505" s="23" t="str">
        <f aca="false">IF(C505="","",IF(COUNTIF(Office_Log!$A$2:$A$201,C505)&gt;0,"Y","N"))</f>
        <v/>
      </c>
      <c r="G505" s="34" t="str">
        <f aca="false">IF(OR(C505="",AND(LEFT(C505,6)="SAMPLE",Config!$B$19&lt;&gt;"Y")),"",IF(IFERROR(INDEX(Lists!$K$2:$K$15,MATCH(D505,Lists!$J$2:$J$15,0)),-1)=-1,"status '"&amp;D505&amp;"' is not a CONTRACTS status",IF(AND(D505="signed",COUNTIF(signed_offices!$W$2:$W$51,C505)=0),"status signed but no signed_offices row"&amp;IF(F505="N"," and no tracker row",""),IF(AND(IFERROR(INDEX(Lists!$K$2:$K$15,MATCH(D505,Lists!$J$2:$J$15,0)),-1)&gt;=6,F505="N"),"status "&amp;D505&amp;" but no tracker row",IF(AND(E505="Y",D505&lt;&gt;"do_not_contact"),"do_not_contact = Y but status is "&amp;D505,IF(AND(D505="do_not_contact",E505&lt;&gt;"Y"),"status do_not_contact but do_not_contact is not Y",""))))))</f>
        <v/>
      </c>
      <c r="I505" s="23" t="n">
        <v>484</v>
      </c>
      <c r="J505" s="23" t="str">
        <f aca="false">IFERROR(INDEX(Clay_Brands!$A$2:$FZ$601,I505,$D$5)&amp;"","")</f>
        <v/>
      </c>
      <c r="K505" s="23" t="str">
        <f aca="false">IFERROR(INDEX(Clay_Brands!$A$2:$FZ$601,I505,$D$7)&amp;"","")</f>
        <v/>
      </c>
      <c r="L505" s="23" t="str">
        <f aca="false">IFERROR(INDEX(Clay_Brands!$A$2:$FZ$601,I505,$D$8)&amp;"","")</f>
        <v/>
      </c>
      <c r="M505" s="23" t="str">
        <f aca="false">IF(J505="","",IF(COUNTIF(Brand_Log!$A$2:$A$201,J505)&gt;0,"Y","N"))</f>
        <v/>
      </c>
      <c r="N505" s="34" t="str">
        <f aca="false">IF(OR(J505="",AND(LEFT(J505,6)="SAMPLE",Config!$B$19&lt;&gt;"Y")),"",IF(IFERROR(INDEX(Lists!$K$2:$K$15,MATCH(K505,Lists!$J$2:$J$15,0)),-1)=-1,"status '"&amp;K505&amp;"' is not a CONTRACTS status",IF(AND(K505="paid",COUNTIF(paid_brands!$AC$2:$AC$51,J505)=0),"status paid but no paid_brands row"&amp;IF(M505="N"," and no tracker row",""),IF(AND(IFERROR(INDEX(Lists!$K$2:$K$15,MATCH(K505,Lists!$J$2:$J$15,0)),-1)&gt;=6,M505="N"),"status "&amp;K505&amp;" but no tracker row",IF(AND(L505="Y",K505&lt;&gt;"do_not_contact"),"do_not_contact = Y but status is "&amp;K505,IF(AND(K505="do_not_contact",L505&lt;&gt;"Y"),"status do_not_contact but do_not_contact is not Y",""))))))</f>
        <v/>
      </c>
    </row>
    <row r="506" customFormat="false" ht="15" hidden="false" customHeight="false" outlineLevel="0" collapsed="false">
      <c r="B506" s="23" t="n">
        <v>485</v>
      </c>
      <c r="C506" s="23" t="str">
        <f aca="false">IFERROR(INDEX(Clay_Offices!$A$2:$FZ$601,B506,$C$5)&amp;"","")</f>
        <v/>
      </c>
      <c r="D506" s="23" t="str">
        <f aca="false">IFERROR(INDEX(Clay_Offices!$A$2:$FZ$601,B506,$C$7)&amp;"","")</f>
        <v/>
      </c>
      <c r="E506" s="23" t="str">
        <f aca="false">IFERROR(INDEX(Clay_Offices!$A$2:$FZ$601,B506,$C$8)&amp;"","")</f>
        <v/>
      </c>
      <c r="F506" s="23" t="str">
        <f aca="false">IF(C506="","",IF(COUNTIF(Office_Log!$A$2:$A$201,C506)&gt;0,"Y","N"))</f>
        <v/>
      </c>
      <c r="G506" s="34" t="str">
        <f aca="false">IF(OR(C506="",AND(LEFT(C506,6)="SAMPLE",Config!$B$19&lt;&gt;"Y")),"",IF(IFERROR(INDEX(Lists!$K$2:$K$15,MATCH(D506,Lists!$J$2:$J$15,0)),-1)=-1,"status '"&amp;D506&amp;"' is not a CONTRACTS status",IF(AND(D506="signed",COUNTIF(signed_offices!$W$2:$W$51,C506)=0),"status signed but no signed_offices row"&amp;IF(F506="N"," and no tracker row",""),IF(AND(IFERROR(INDEX(Lists!$K$2:$K$15,MATCH(D506,Lists!$J$2:$J$15,0)),-1)&gt;=6,F506="N"),"status "&amp;D506&amp;" but no tracker row",IF(AND(E506="Y",D506&lt;&gt;"do_not_contact"),"do_not_contact = Y but status is "&amp;D506,IF(AND(D506="do_not_contact",E506&lt;&gt;"Y"),"status do_not_contact but do_not_contact is not Y",""))))))</f>
        <v/>
      </c>
      <c r="I506" s="23" t="n">
        <v>485</v>
      </c>
      <c r="J506" s="23" t="str">
        <f aca="false">IFERROR(INDEX(Clay_Brands!$A$2:$FZ$601,I506,$D$5)&amp;"","")</f>
        <v/>
      </c>
      <c r="K506" s="23" t="str">
        <f aca="false">IFERROR(INDEX(Clay_Brands!$A$2:$FZ$601,I506,$D$7)&amp;"","")</f>
        <v/>
      </c>
      <c r="L506" s="23" t="str">
        <f aca="false">IFERROR(INDEX(Clay_Brands!$A$2:$FZ$601,I506,$D$8)&amp;"","")</f>
        <v/>
      </c>
      <c r="M506" s="23" t="str">
        <f aca="false">IF(J506="","",IF(COUNTIF(Brand_Log!$A$2:$A$201,J506)&gt;0,"Y","N"))</f>
        <v/>
      </c>
      <c r="N506" s="34" t="str">
        <f aca="false">IF(OR(J506="",AND(LEFT(J506,6)="SAMPLE",Config!$B$19&lt;&gt;"Y")),"",IF(IFERROR(INDEX(Lists!$K$2:$K$15,MATCH(K506,Lists!$J$2:$J$15,0)),-1)=-1,"status '"&amp;K506&amp;"' is not a CONTRACTS status",IF(AND(K506="paid",COUNTIF(paid_brands!$AC$2:$AC$51,J506)=0),"status paid but no paid_brands row"&amp;IF(M506="N"," and no tracker row",""),IF(AND(IFERROR(INDEX(Lists!$K$2:$K$15,MATCH(K506,Lists!$J$2:$J$15,0)),-1)&gt;=6,M506="N"),"status "&amp;K506&amp;" but no tracker row",IF(AND(L506="Y",K506&lt;&gt;"do_not_contact"),"do_not_contact = Y but status is "&amp;K506,IF(AND(K506="do_not_contact",L506&lt;&gt;"Y"),"status do_not_contact but do_not_contact is not Y",""))))))</f>
        <v/>
      </c>
    </row>
    <row r="507" customFormat="false" ht="15" hidden="false" customHeight="false" outlineLevel="0" collapsed="false">
      <c r="B507" s="23" t="n">
        <v>486</v>
      </c>
      <c r="C507" s="23" t="str">
        <f aca="false">IFERROR(INDEX(Clay_Offices!$A$2:$FZ$601,B507,$C$5)&amp;"","")</f>
        <v/>
      </c>
      <c r="D507" s="23" t="str">
        <f aca="false">IFERROR(INDEX(Clay_Offices!$A$2:$FZ$601,B507,$C$7)&amp;"","")</f>
        <v/>
      </c>
      <c r="E507" s="23" t="str">
        <f aca="false">IFERROR(INDEX(Clay_Offices!$A$2:$FZ$601,B507,$C$8)&amp;"","")</f>
        <v/>
      </c>
      <c r="F507" s="23" t="str">
        <f aca="false">IF(C507="","",IF(COUNTIF(Office_Log!$A$2:$A$201,C507)&gt;0,"Y","N"))</f>
        <v/>
      </c>
      <c r="G507" s="34" t="str">
        <f aca="false">IF(OR(C507="",AND(LEFT(C507,6)="SAMPLE",Config!$B$19&lt;&gt;"Y")),"",IF(IFERROR(INDEX(Lists!$K$2:$K$15,MATCH(D507,Lists!$J$2:$J$15,0)),-1)=-1,"status '"&amp;D507&amp;"' is not a CONTRACTS status",IF(AND(D507="signed",COUNTIF(signed_offices!$W$2:$W$51,C507)=0),"status signed but no signed_offices row"&amp;IF(F507="N"," and no tracker row",""),IF(AND(IFERROR(INDEX(Lists!$K$2:$K$15,MATCH(D507,Lists!$J$2:$J$15,0)),-1)&gt;=6,F507="N"),"status "&amp;D507&amp;" but no tracker row",IF(AND(E507="Y",D507&lt;&gt;"do_not_contact"),"do_not_contact = Y but status is "&amp;D507,IF(AND(D507="do_not_contact",E507&lt;&gt;"Y"),"status do_not_contact but do_not_contact is not Y",""))))))</f>
        <v/>
      </c>
      <c r="I507" s="23" t="n">
        <v>486</v>
      </c>
      <c r="J507" s="23" t="str">
        <f aca="false">IFERROR(INDEX(Clay_Brands!$A$2:$FZ$601,I507,$D$5)&amp;"","")</f>
        <v/>
      </c>
      <c r="K507" s="23" t="str">
        <f aca="false">IFERROR(INDEX(Clay_Brands!$A$2:$FZ$601,I507,$D$7)&amp;"","")</f>
        <v/>
      </c>
      <c r="L507" s="23" t="str">
        <f aca="false">IFERROR(INDEX(Clay_Brands!$A$2:$FZ$601,I507,$D$8)&amp;"","")</f>
        <v/>
      </c>
      <c r="M507" s="23" t="str">
        <f aca="false">IF(J507="","",IF(COUNTIF(Brand_Log!$A$2:$A$201,J507)&gt;0,"Y","N"))</f>
        <v/>
      </c>
      <c r="N507" s="34" t="str">
        <f aca="false">IF(OR(J507="",AND(LEFT(J507,6)="SAMPLE",Config!$B$19&lt;&gt;"Y")),"",IF(IFERROR(INDEX(Lists!$K$2:$K$15,MATCH(K507,Lists!$J$2:$J$15,0)),-1)=-1,"status '"&amp;K507&amp;"' is not a CONTRACTS status",IF(AND(K507="paid",COUNTIF(paid_brands!$AC$2:$AC$51,J507)=0),"status paid but no paid_brands row"&amp;IF(M507="N"," and no tracker row",""),IF(AND(IFERROR(INDEX(Lists!$K$2:$K$15,MATCH(K507,Lists!$J$2:$J$15,0)),-1)&gt;=6,M507="N"),"status "&amp;K507&amp;" but no tracker row",IF(AND(L507="Y",K507&lt;&gt;"do_not_contact"),"do_not_contact = Y but status is "&amp;K507,IF(AND(K507="do_not_contact",L507&lt;&gt;"Y"),"status do_not_contact but do_not_contact is not Y",""))))))</f>
        <v/>
      </c>
    </row>
    <row r="508" customFormat="false" ht="15" hidden="false" customHeight="false" outlineLevel="0" collapsed="false">
      <c r="B508" s="23" t="n">
        <v>487</v>
      </c>
      <c r="C508" s="23" t="str">
        <f aca="false">IFERROR(INDEX(Clay_Offices!$A$2:$FZ$601,B508,$C$5)&amp;"","")</f>
        <v/>
      </c>
      <c r="D508" s="23" t="str">
        <f aca="false">IFERROR(INDEX(Clay_Offices!$A$2:$FZ$601,B508,$C$7)&amp;"","")</f>
        <v/>
      </c>
      <c r="E508" s="23" t="str">
        <f aca="false">IFERROR(INDEX(Clay_Offices!$A$2:$FZ$601,B508,$C$8)&amp;"","")</f>
        <v/>
      </c>
      <c r="F508" s="23" t="str">
        <f aca="false">IF(C508="","",IF(COUNTIF(Office_Log!$A$2:$A$201,C508)&gt;0,"Y","N"))</f>
        <v/>
      </c>
      <c r="G508" s="34" t="str">
        <f aca="false">IF(OR(C508="",AND(LEFT(C508,6)="SAMPLE",Config!$B$19&lt;&gt;"Y")),"",IF(IFERROR(INDEX(Lists!$K$2:$K$15,MATCH(D508,Lists!$J$2:$J$15,0)),-1)=-1,"status '"&amp;D508&amp;"' is not a CONTRACTS status",IF(AND(D508="signed",COUNTIF(signed_offices!$W$2:$W$51,C508)=0),"status signed but no signed_offices row"&amp;IF(F508="N"," and no tracker row",""),IF(AND(IFERROR(INDEX(Lists!$K$2:$K$15,MATCH(D508,Lists!$J$2:$J$15,0)),-1)&gt;=6,F508="N"),"status "&amp;D508&amp;" but no tracker row",IF(AND(E508="Y",D508&lt;&gt;"do_not_contact"),"do_not_contact = Y but status is "&amp;D508,IF(AND(D508="do_not_contact",E508&lt;&gt;"Y"),"status do_not_contact but do_not_contact is not Y",""))))))</f>
        <v/>
      </c>
      <c r="I508" s="23" t="n">
        <v>487</v>
      </c>
      <c r="J508" s="23" t="str">
        <f aca="false">IFERROR(INDEX(Clay_Brands!$A$2:$FZ$601,I508,$D$5)&amp;"","")</f>
        <v/>
      </c>
      <c r="K508" s="23" t="str">
        <f aca="false">IFERROR(INDEX(Clay_Brands!$A$2:$FZ$601,I508,$D$7)&amp;"","")</f>
        <v/>
      </c>
      <c r="L508" s="23" t="str">
        <f aca="false">IFERROR(INDEX(Clay_Brands!$A$2:$FZ$601,I508,$D$8)&amp;"","")</f>
        <v/>
      </c>
      <c r="M508" s="23" t="str">
        <f aca="false">IF(J508="","",IF(COUNTIF(Brand_Log!$A$2:$A$201,J508)&gt;0,"Y","N"))</f>
        <v/>
      </c>
      <c r="N508" s="34" t="str">
        <f aca="false">IF(OR(J508="",AND(LEFT(J508,6)="SAMPLE",Config!$B$19&lt;&gt;"Y")),"",IF(IFERROR(INDEX(Lists!$K$2:$K$15,MATCH(K508,Lists!$J$2:$J$15,0)),-1)=-1,"status '"&amp;K508&amp;"' is not a CONTRACTS status",IF(AND(K508="paid",COUNTIF(paid_brands!$AC$2:$AC$51,J508)=0),"status paid but no paid_brands row"&amp;IF(M508="N"," and no tracker row",""),IF(AND(IFERROR(INDEX(Lists!$K$2:$K$15,MATCH(K508,Lists!$J$2:$J$15,0)),-1)&gt;=6,M508="N"),"status "&amp;K508&amp;" but no tracker row",IF(AND(L508="Y",K508&lt;&gt;"do_not_contact"),"do_not_contact = Y but status is "&amp;K508,IF(AND(K508="do_not_contact",L508&lt;&gt;"Y"),"status do_not_contact but do_not_contact is not Y",""))))))</f>
        <v/>
      </c>
    </row>
    <row r="509" customFormat="false" ht="15" hidden="false" customHeight="false" outlineLevel="0" collapsed="false">
      <c r="B509" s="23" t="n">
        <v>488</v>
      </c>
      <c r="C509" s="23" t="str">
        <f aca="false">IFERROR(INDEX(Clay_Offices!$A$2:$FZ$601,B509,$C$5)&amp;"","")</f>
        <v/>
      </c>
      <c r="D509" s="23" t="str">
        <f aca="false">IFERROR(INDEX(Clay_Offices!$A$2:$FZ$601,B509,$C$7)&amp;"","")</f>
        <v/>
      </c>
      <c r="E509" s="23" t="str">
        <f aca="false">IFERROR(INDEX(Clay_Offices!$A$2:$FZ$601,B509,$C$8)&amp;"","")</f>
        <v/>
      </c>
      <c r="F509" s="23" t="str">
        <f aca="false">IF(C509="","",IF(COUNTIF(Office_Log!$A$2:$A$201,C509)&gt;0,"Y","N"))</f>
        <v/>
      </c>
      <c r="G509" s="34" t="str">
        <f aca="false">IF(OR(C509="",AND(LEFT(C509,6)="SAMPLE",Config!$B$19&lt;&gt;"Y")),"",IF(IFERROR(INDEX(Lists!$K$2:$K$15,MATCH(D509,Lists!$J$2:$J$15,0)),-1)=-1,"status '"&amp;D509&amp;"' is not a CONTRACTS status",IF(AND(D509="signed",COUNTIF(signed_offices!$W$2:$W$51,C509)=0),"status signed but no signed_offices row"&amp;IF(F509="N"," and no tracker row",""),IF(AND(IFERROR(INDEX(Lists!$K$2:$K$15,MATCH(D509,Lists!$J$2:$J$15,0)),-1)&gt;=6,F509="N"),"status "&amp;D509&amp;" but no tracker row",IF(AND(E509="Y",D509&lt;&gt;"do_not_contact"),"do_not_contact = Y but status is "&amp;D509,IF(AND(D509="do_not_contact",E509&lt;&gt;"Y"),"status do_not_contact but do_not_contact is not Y",""))))))</f>
        <v/>
      </c>
      <c r="I509" s="23" t="n">
        <v>488</v>
      </c>
      <c r="J509" s="23" t="str">
        <f aca="false">IFERROR(INDEX(Clay_Brands!$A$2:$FZ$601,I509,$D$5)&amp;"","")</f>
        <v/>
      </c>
      <c r="K509" s="23" t="str">
        <f aca="false">IFERROR(INDEX(Clay_Brands!$A$2:$FZ$601,I509,$D$7)&amp;"","")</f>
        <v/>
      </c>
      <c r="L509" s="23" t="str">
        <f aca="false">IFERROR(INDEX(Clay_Brands!$A$2:$FZ$601,I509,$D$8)&amp;"","")</f>
        <v/>
      </c>
      <c r="M509" s="23" t="str">
        <f aca="false">IF(J509="","",IF(COUNTIF(Brand_Log!$A$2:$A$201,J509)&gt;0,"Y","N"))</f>
        <v/>
      </c>
      <c r="N509" s="34" t="str">
        <f aca="false">IF(OR(J509="",AND(LEFT(J509,6)="SAMPLE",Config!$B$19&lt;&gt;"Y")),"",IF(IFERROR(INDEX(Lists!$K$2:$K$15,MATCH(K509,Lists!$J$2:$J$15,0)),-1)=-1,"status '"&amp;K509&amp;"' is not a CONTRACTS status",IF(AND(K509="paid",COUNTIF(paid_brands!$AC$2:$AC$51,J509)=0),"status paid but no paid_brands row"&amp;IF(M509="N"," and no tracker row",""),IF(AND(IFERROR(INDEX(Lists!$K$2:$K$15,MATCH(K509,Lists!$J$2:$J$15,0)),-1)&gt;=6,M509="N"),"status "&amp;K509&amp;" but no tracker row",IF(AND(L509="Y",K509&lt;&gt;"do_not_contact"),"do_not_contact = Y but status is "&amp;K509,IF(AND(K509="do_not_contact",L509&lt;&gt;"Y"),"status do_not_contact but do_not_contact is not Y",""))))))</f>
        <v/>
      </c>
    </row>
    <row r="510" customFormat="false" ht="15" hidden="false" customHeight="false" outlineLevel="0" collapsed="false">
      <c r="B510" s="23" t="n">
        <v>489</v>
      </c>
      <c r="C510" s="23" t="str">
        <f aca="false">IFERROR(INDEX(Clay_Offices!$A$2:$FZ$601,B510,$C$5)&amp;"","")</f>
        <v/>
      </c>
      <c r="D510" s="23" t="str">
        <f aca="false">IFERROR(INDEX(Clay_Offices!$A$2:$FZ$601,B510,$C$7)&amp;"","")</f>
        <v/>
      </c>
      <c r="E510" s="23" t="str">
        <f aca="false">IFERROR(INDEX(Clay_Offices!$A$2:$FZ$601,B510,$C$8)&amp;"","")</f>
        <v/>
      </c>
      <c r="F510" s="23" t="str">
        <f aca="false">IF(C510="","",IF(COUNTIF(Office_Log!$A$2:$A$201,C510)&gt;0,"Y","N"))</f>
        <v/>
      </c>
      <c r="G510" s="34" t="str">
        <f aca="false">IF(OR(C510="",AND(LEFT(C510,6)="SAMPLE",Config!$B$19&lt;&gt;"Y")),"",IF(IFERROR(INDEX(Lists!$K$2:$K$15,MATCH(D510,Lists!$J$2:$J$15,0)),-1)=-1,"status '"&amp;D510&amp;"' is not a CONTRACTS status",IF(AND(D510="signed",COUNTIF(signed_offices!$W$2:$W$51,C510)=0),"status signed but no signed_offices row"&amp;IF(F510="N"," and no tracker row",""),IF(AND(IFERROR(INDEX(Lists!$K$2:$K$15,MATCH(D510,Lists!$J$2:$J$15,0)),-1)&gt;=6,F510="N"),"status "&amp;D510&amp;" but no tracker row",IF(AND(E510="Y",D510&lt;&gt;"do_not_contact"),"do_not_contact = Y but status is "&amp;D510,IF(AND(D510="do_not_contact",E510&lt;&gt;"Y"),"status do_not_contact but do_not_contact is not Y",""))))))</f>
        <v/>
      </c>
      <c r="I510" s="23" t="n">
        <v>489</v>
      </c>
      <c r="J510" s="23" t="str">
        <f aca="false">IFERROR(INDEX(Clay_Brands!$A$2:$FZ$601,I510,$D$5)&amp;"","")</f>
        <v/>
      </c>
      <c r="K510" s="23" t="str">
        <f aca="false">IFERROR(INDEX(Clay_Brands!$A$2:$FZ$601,I510,$D$7)&amp;"","")</f>
        <v/>
      </c>
      <c r="L510" s="23" t="str">
        <f aca="false">IFERROR(INDEX(Clay_Brands!$A$2:$FZ$601,I510,$D$8)&amp;"","")</f>
        <v/>
      </c>
      <c r="M510" s="23" t="str">
        <f aca="false">IF(J510="","",IF(COUNTIF(Brand_Log!$A$2:$A$201,J510)&gt;0,"Y","N"))</f>
        <v/>
      </c>
      <c r="N510" s="34" t="str">
        <f aca="false">IF(OR(J510="",AND(LEFT(J510,6)="SAMPLE",Config!$B$19&lt;&gt;"Y")),"",IF(IFERROR(INDEX(Lists!$K$2:$K$15,MATCH(K510,Lists!$J$2:$J$15,0)),-1)=-1,"status '"&amp;K510&amp;"' is not a CONTRACTS status",IF(AND(K510="paid",COUNTIF(paid_brands!$AC$2:$AC$51,J510)=0),"status paid but no paid_brands row"&amp;IF(M510="N"," and no tracker row",""),IF(AND(IFERROR(INDEX(Lists!$K$2:$K$15,MATCH(K510,Lists!$J$2:$J$15,0)),-1)&gt;=6,M510="N"),"status "&amp;K510&amp;" but no tracker row",IF(AND(L510="Y",K510&lt;&gt;"do_not_contact"),"do_not_contact = Y but status is "&amp;K510,IF(AND(K510="do_not_contact",L510&lt;&gt;"Y"),"status do_not_contact but do_not_contact is not Y",""))))))</f>
        <v/>
      </c>
    </row>
    <row r="511" customFormat="false" ht="15" hidden="false" customHeight="false" outlineLevel="0" collapsed="false">
      <c r="B511" s="23" t="n">
        <v>490</v>
      </c>
      <c r="C511" s="23" t="str">
        <f aca="false">IFERROR(INDEX(Clay_Offices!$A$2:$FZ$601,B511,$C$5)&amp;"","")</f>
        <v/>
      </c>
      <c r="D511" s="23" t="str">
        <f aca="false">IFERROR(INDEX(Clay_Offices!$A$2:$FZ$601,B511,$C$7)&amp;"","")</f>
        <v/>
      </c>
      <c r="E511" s="23" t="str">
        <f aca="false">IFERROR(INDEX(Clay_Offices!$A$2:$FZ$601,B511,$C$8)&amp;"","")</f>
        <v/>
      </c>
      <c r="F511" s="23" t="str">
        <f aca="false">IF(C511="","",IF(COUNTIF(Office_Log!$A$2:$A$201,C511)&gt;0,"Y","N"))</f>
        <v/>
      </c>
      <c r="G511" s="34" t="str">
        <f aca="false">IF(OR(C511="",AND(LEFT(C511,6)="SAMPLE",Config!$B$19&lt;&gt;"Y")),"",IF(IFERROR(INDEX(Lists!$K$2:$K$15,MATCH(D511,Lists!$J$2:$J$15,0)),-1)=-1,"status '"&amp;D511&amp;"' is not a CONTRACTS status",IF(AND(D511="signed",COUNTIF(signed_offices!$W$2:$W$51,C511)=0),"status signed but no signed_offices row"&amp;IF(F511="N"," and no tracker row",""),IF(AND(IFERROR(INDEX(Lists!$K$2:$K$15,MATCH(D511,Lists!$J$2:$J$15,0)),-1)&gt;=6,F511="N"),"status "&amp;D511&amp;" but no tracker row",IF(AND(E511="Y",D511&lt;&gt;"do_not_contact"),"do_not_contact = Y but status is "&amp;D511,IF(AND(D511="do_not_contact",E511&lt;&gt;"Y"),"status do_not_contact but do_not_contact is not Y",""))))))</f>
        <v/>
      </c>
      <c r="I511" s="23" t="n">
        <v>490</v>
      </c>
      <c r="J511" s="23" t="str">
        <f aca="false">IFERROR(INDEX(Clay_Brands!$A$2:$FZ$601,I511,$D$5)&amp;"","")</f>
        <v/>
      </c>
      <c r="K511" s="23" t="str">
        <f aca="false">IFERROR(INDEX(Clay_Brands!$A$2:$FZ$601,I511,$D$7)&amp;"","")</f>
        <v/>
      </c>
      <c r="L511" s="23" t="str">
        <f aca="false">IFERROR(INDEX(Clay_Brands!$A$2:$FZ$601,I511,$D$8)&amp;"","")</f>
        <v/>
      </c>
      <c r="M511" s="23" t="str">
        <f aca="false">IF(J511="","",IF(COUNTIF(Brand_Log!$A$2:$A$201,J511)&gt;0,"Y","N"))</f>
        <v/>
      </c>
      <c r="N511" s="34" t="str">
        <f aca="false">IF(OR(J511="",AND(LEFT(J511,6)="SAMPLE",Config!$B$19&lt;&gt;"Y")),"",IF(IFERROR(INDEX(Lists!$K$2:$K$15,MATCH(K511,Lists!$J$2:$J$15,0)),-1)=-1,"status '"&amp;K511&amp;"' is not a CONTRACTS status",IF(AND(K511="paid",COUNTIF(paid_brands!$AC$2:$AC$51,J511)=0),"status paid but no paid_brands row"&amp;IF(M511="N"," and no tracker row",""),IF(AND(IFERROR(INDEX(Lists!$K$2:$K$15,MATCH(K511,Lists!$J$2:$J$15,0)),-1)&gt;=6,M511="N"),"status "&amp;K511&amp;" but no tracker row",IF(AND(L511="Y",K511&lt;&gt;"do_not_contact"),"do_not_contact = Y but status is "&amp;K511,IF(AND(K511="do_not_contact",L511&lt;&gt;"Y"),"status do_not_contact but do_not_contact is not Y",""))))))</f>
        <v/>
      </c>
    </row>
    <row r="512" customFormat="false" ht="15" hidden="false" customHeight="false" outlineLevel="0" collapsed="false">
      <c r="B512" s="23" t="n">
        <v>491</v>
      </c>
      <c r="C512" s="23" t="str">
        <f aca="false">IFERROR(INDEX(Clay_Offices!$A$2:$FZ$601,B512,$C$5)&amp;"","")</f>
        <v/>
      </c>
      <c r="D512" s="23" t="str">
        <f aca="false">IFERROR(INDEX(Clay_Offices!$A$2:$FZ$601,B512,$C$7)&amp;"","")</f>
        <v/>
      </c>
      <c r="E512" s="23" t="str">
        <f aca="false">IFERROR(INDEX(Clay_Offices!$A$2:$FZ$601,B512,$C$8)&amp;"","")</f>
        <v/>
      </c>
      <c r="F512" s="23" t="str">
        <f aca="false">IF(C512="","",IF(COUNTIF(Office_Log!$A$2:$A$201,C512)&gt;0,"Y","N"))</f>
        <v/>
      </c>
      <c r="G512" s="34" t="str">
        <f aca="false">IF(OR(C512="",AND(LEFT(C512,6)="SAMPLE",Config!$B$19&lt;&gt;"Y")),"",IF(IFERROR(INDEX(Lists!$K$2:$K$15,MATCH(D512,Lists!$J$2:$J$15,0)),-1)=-1,"status '"&amp;D512&amp;"' is not a CONTRACTS status",IF(AND(D512="signed",COUNTIF(signed_offices!$W$2:$W$51,C512)=0),"status signed but no signed_offices row"&amp;IF(F512="N"," and no tracker row",""),IF(AND(IFERROR(INDEX(Lists!$K$2:$K$15,MATCH(D512,Lists!$J$2:$J$15,0)),-1)&gt;=6,F512="N"),"status "&amp;D512&amp;" but no tracker row",IF(AND(E512="Y",D512&lt;&gt;"do_not_contact"),"do_not_contact = Y but status is "&amp;D512,IF(AND(D512="do_not_contact",E512&lt;&gt;"Y"),"status do_not_contact but do_not_contact is not Y",""))))))</f>
        <v/>
      </c>
      <c r="I512" s="23" t="n">
        <v>491</v>
      </c>
      <c r="J512" s="23" t="str">
        <f aca="false">IFERROR(INDEX(Clay_Brands!$A$2:$FZ$601,I512,$D$5)&amp;"","")</f>
        <v/>
      </c>
      <c r="K512" s="23" t="str">
        <f aca="false">IFERROR(INDEX(Clay_Brands!$A$2:$FZ$601,I512,$D$7)&amp;"","")</f>
        <v/>
      </c>
      <c r="L512" s="23" t="str">
        <f aca="false">IFERROR(INDEX(Clay_Brands!$A$2:$FZ$601,I512,$D$8)&amp;"","")</f>
        <v/>
      </c>
      <c r="M512" s="23" t="str">
        <f aca="false">IF(J512="","",IF(COUNTIF(Brand_Log!$A$2:$A$201,J512)&gt;0,"Y","N"))</f>
        <v/>
      </c>
      <c r="N512" s="34" t="str">
        <f aca="false">IF(OR(J512="",AND(LEFT(J512,6)="SAMPLE",Config!$B$19&lt;&gt;"Y")),"",IF(IFERROR(INDEX(Lists!$K$2:$K$15,MATCH(K512,Lists!$J$2:$J$15,0)),-1)=-1,"status '"&amp;K512&amp;"' is not a CONTRACTS status",IF(AND(K512="paid",COUNTIF(paid_brands!$AC$2:$AC$51,J512)=0),"status paid but no paid_brands row"&amp;IF(M512="N"," and no tracker row",""),IF(AND(IFERROR(INDEX(Lists!$K$2:$K$15,MATCH(K512,Lists!$J$2:$J$15,0)),-1)&gt;=6,M512="N"),"status "&amp;K512&amp;" but no tracker row",IF(AND(L512="Y",K512&lt;&gt;"do_not_contact"),"do_not_contact = Y but status is "&amp;K512,IF(AND(K512="do_not_contact",L512&lt;&gt;"Y"),"status do_not_contact but do_not_contact is not Y",""))))))</f>
        <v/>
      </c>
    </row>
    <row r="513" customFormat="false" ht="15" hidden="false" customHeight="false" outlineLevel="0" collapsed="false">
      <c r="B513" s="23" t="n">
        <v>492</v>
      </c>
      <c r="C513" s="23" t="str">
        <f aca="false">IFERROR(INDEX(Clay_Offices!$A$2:$FZ$601,B513,$C$5)&amp;"","")</f>
        <v/>
      </c>
      <c r="D513" s="23" t="str">
        <f aca="false">IFERROR(INDEX(Clay_Offices!$A$2:$FZ$601,B513,$C$7)&amp;"","")</f>
        <v/>
      </c>
      <c r="E513" s="23" t="str">
        <f aca="false">IFERROR(INDEX(Clay_Offices!$A$2:$FZ$601,B513,$C$8)&amp;"","")</f>
        <v/>
      </c>
      <c r="F513" s="23" t="str">
        <f aca="false">IF(C513="","",IF(COUNTIF(Office_Log!$A$2:$A$201,C513)&gt;0,"Y","N"))</f>
        <v/>
      </c>
      <c r="G513" s="34" t="str">
        <f aca="false">IF(OR(C513="",AND(LEFT(C513,6)="SAMPLE",Config!$B$19&lt;&gt;"Y")),"",IF(IFERROR(INDEX(Lists!$K$2:$K$15,MATCH(D513,Lists!$J$2:$J$15,0)),-1)=-1,"status '"&amp;D513&amp;"' is not a CONTRACTS status",IF(AND(D513="signed",COUNTIF(signed_offices!$W$2:$W$51,C513)=0),"status signed but no signed_offices row"&amp;IF(F513="N"," and no tracker row",""),IF(AND(IFERROR(INDEX(Lists!$K$2:$K$15,MATCH(D513,Lists!$J$2:$J$15,0)),-1)&gt;=6,F513="N"),"status "&amp;D513&amp;" but no tracker row",IF(AND(E513="Y",D513&lt;&gt;"do_not_contact"),"do_not_contact = Y but status is "&amp;D513,IF(AND(D513="do_not_contact",E513&lt;&gt;"Y"),"status do_not_contact but do_not_contact is not Y",""))))))</f>
        <v/>
      </c>
      <c r="I513" s="23" t="n">
        <v>492</v>
      </c>
      <c r="J513" s="23" t="str">
        <f aca="false">IFERROR(INDEX(Clay_Brands!$A$2:$FZ$601,I513,$D$5)&amp;"","")</f>
        <v/>
      </c>
      <c r="K513" s="23" t="str">
        <f aca="false">IFERROR(INDEX(Clay_Brands!$A$2:$FZ$601,I513,$D$7)&amp;"","")</f>
        <v/>
      </c>
      <c r="L513" s="23" t="str">
        <f aca="false">IFERROR(INDEX(Clay_Brands!$A$2:$FZ$601,I513,$D$8)&amp;"","")</f>
        <v/>
      </c>
      <c r="M513" s="23" t="str">
        <f aca="false">IF(J513="","",IF(COUNTIF(Brand_Log!$A$2:$A$201,J513)&gt;0,"Y","N"))</f>
        <v/>
      </c>
      <c r="N513" s="34" t="str">
        <f aca="false">IF(OR(J513="",AND(LEFT(J513,6)="SAMPLE",Config!$B$19&lt;&gt;"Y")),"",IF(IFERROR(INDEX(Lists!$K$2:$K$15,MATCH(K513,Lists!$J$2:$J$15,0)),-1)=-1,"status '"&amp;K513&amp;"' is not a CONTRACTS status",IF(AND(K513="paid",COUNTIF(paid_brands!$AC$2:$AC$51,J513)=0),"status paid but no paid_brands row"&amp;IF(M513="N"," and no tracker row",""),IF(AND(IFERROR(INDEX(Lists!$K$2:$K$15,MATCH(K513,Lists!$J$2:$J$15,0)),-1)&gt;=6,M513="N"),"status "&amp;K513&amp;" but no tracker row",IF(AND(L513="Y",K513&lt;&gt;"do_not_contact"),"do_not_contact = Y but status is "&amp;K513,IF(AND(K513="do_not_contact",L513&lt;&gt;"Y"),"status do_not_contact but do_not_contact is not Y",""))))))</f>
        <v/>
      </c>
    </row>
    <row r="514" customFormat="false" ht="15" hidden="false" customHeight="false" outlineLevel="0" collapsed="false">
      <c r="B514" s="23" t="n">
        <v>493</v>
      </c>
      <c r="C514" s="23" t="str">
        <f aca="false">IFERROR(INDEX(Clay_Offices!$A$2:$FZ$601,B514,$C$5)&amp;"","")</f>
        <v/>
      </c>
      <c r="D514" s="23" t="str">
        <f aca="false">IFERROR(INDEX(Clay_Offices!$A$2:$FZ$601,B514,$C$7)&amp;"","")</f>
        <v/>
      </c>
      <c r="E514" s="23" t="str">
        <f aca="false">IFERROR(INDEX(Clay_Offices!$A$2:$FZ$601,B514,$C$8)&amp;"","")</f>
        <v/>
      </c>
      <c r="F514" s="23" t="str">
        <f aca="false">IF(C514="","",IF(COUNTIF(Office_Log!$A$2:$A$201,C514)&gt;0,"Y","N"))</f>
        <v/>
      </c>
      <c r="G514" s="34" t="str">
        <f aca="false">IF(OR(C514="",AND(LEFT(C514,6)="SAMPLE",Config!$B$19&lt;&gt;"Y")),"",IF(IFERROR(INDEX(Lists!$K$2:$K$15,MATCH(D514,Lists!$J$2:$J$15,0)),-1)=-1,"status '"&amp;D514&amp;"' is not a CONTRACTS status",IF(AND(D514="signed",COUNTIF(signed_offices!$W$2:$W$51,C514)=0),"status signed but no signed_offices row"&amp;IF(F514="N"," and no tracker row",""),IF(AND(IFERROR(INDEX(Lists!$K$2:$K$15,MATCH(D514,Lists!$J$2:$J$15,0)),-1)&gt;=6,F514="N"),"status "&amp;D514&amp;" but no tracker row",IF(AND(E514="Y",D514&lt;&gt;"do_not_contact"),"do_not_contact = Y but status is "&amp;D514,IF(AND(D514="do_not_contact",E514&lt;&gt;"Y"),"status do_not_contact but do_not_contact is not Y",""))))))</f>
        <v/>
      </c>
      <c r="I514" s="23" t="n">
        <v>493</v>
      </c>
      <c r="J514" s="23" t="str">
        <f aca="false">IFERROR(INDEX(Clay_Brands!$A$2:$FZ$601,I514,$D$5)&amp;"","")</f>
        <v/>
      </c>
      <c r="K514" s="23" t="str">
        <f aca="false">IFERROR(INDEX(Clay_Brands!$A$2:$FZ$601,I514,$D$7)&amp;"","")</f>
        <v/>
      </c>
      <c r="L514" s="23" t="str">
        <f aca="false">IFERROR(INDEX(Clay_Brands!$A$2:$FZ$601,I514,$D$8)&amp;"","")</f>
        <v/>
      </c>
      <c r="M514" s="23" t="str">
        <f aca="false">IF(J514="","",IF(COUNTIF(Brand_Log!$A$2:$A$201,J514)&gt;0,"Y","N"))</f>
        <v/>
      </c>
      <c r="N514" s="34" t="str">
        <f aca="false">IF(OR(J514="",AND(LEFT(J514,6)="SAMPLE",Config!$B$19&lt;&gt;"Y")),"",IF(IFERROR(INDEX(Lists!$K$2:$K$15,MATCH(K514,Lists!$J$2:$J$15,0)),-1)=-1,"status '"&amp;K514&amp;"' is not a CONTRACTS status",IF(AND(K514="paid",COUNTIF(paid_brands!$AC$2:$AC$51,J514)=0),"status paid but no paid_brands row"&amp;IF(M514="N"," and no tracker row",""),IF(AND(IFERROR(INDEX(Lists!$K$2:$K$15,MATCH(K514,Lists!$J$2:$J$15,0)),-1)&gt;=6,M514="N"),"status "&amp;K514&amp;" but no tracker row",IF(AND(L514="Y",K514&lt;&gt;"do_not_contact"),"do_not_contact = Y but status is "&amp;K514,IF(AND(K514="do_not_contact",L514&lt;&gt;"Y"),"status do_not_contact but do_not_contact is not Y",""))))))</f>
        <v/>
      </c>
    </row>
    <row r="515" customFormat="false" ht="15" hidden="false" customHeight="false" outlineLevel="0" collapsed="false">
      <c r="B515" s="23" t="n">
        <v>494</v>
      </c>
      <c r="C515" s="23" t="str">
        <f aca="false">IFERROR(INDEX(Clay_Offices!$A$2:$FZ$601,B515,$C$5)&amp;"","")</f>
        <v/>
      </c>
      <c r="D515" s="23" t="str">
        <f aca="false">IFERROR(INDEX(Clay_Offices!$A$2:$FZ$601,B515,$C$7)&amp;"","")</f>
        <v/>
      </c>
      <c r="E515" s="23" t="str">
        <f aca="false">IFERROR(INDEX(Clay_Offices!$A$2:$FZ$601,B515,$C$8)&amp;"","")</f>
        <v/>
      </c>
      <c r="F515" s="23" t="str">
        <f aca="false">IF(C515="","",IF(COUNTIF(Office_Log!$A$2:$A$201,C515)&gt;0,"Y","N"))</f>
        <v/>
      </c>
      <c r="G515" s="34" t="str">
        <f aca="false">IF(OR(C515="",AND(LEFT(C515,6)="SAMPLE",Config!$B$19&lt;&gt;"Y")),"",IF(IFERROR(INDEX(Lists!$K$2:$K$15,MATCH(D515,Lists!$J$2:$J$15,0)),-1)=-1,"status '"&amp;D515&amp;"' is not a CONTRACTS status",IF(AND(D515="signed",COUNTIF(signed_offices!$W$2:$W$51,C515)=0),"status signed but no signed_offices row"&amp;IF(F515="N"," and no tracker row",""),IF(AND(IFERROR(INDEX(Lists!$K$2:$K$15,MATCH(D515,Lists!$J$2:$J$15,0)),-1)&gt;=6,F515="N"),"status "&amp;D515&amp;" but no tracker row",IF(AND(E515="Y",D515&lt;&gt;"do_not_contact"),"do_not_contact = Y but status is "&amp;D515,IF(AND(D515="do_not_contact",E515&lt;&gt;"Y"),"status do_not_contact but do_not_contact is not Y",""))))))</f>
        <v/>
      </c>
      <c r="I515" s="23" t="n">
        <v>494</v>
      </c>
      <c r="J515" s="23" t="str">
        <f aca="false">IFERROR(INDEX(Clay_Brands!$A$2:$FZ$601,I515,$D$5)&amp;"","")</f>
        <v/>
      </c>
      <c r="K515" s="23" t="str">
        <f aca="false">IFERROR(INDEX(Clay_Brands!$A$2:$FZ$601,I515,$D$7)&amp;"","")</f>
        <v/>
      </c>
      <c r="L515" s="23" t="str">
        <f aca="false">IFERROR(INDEX(Clay_Brands!$A$2:$FZ$601,I515,$D$8)&amp;"","")</f>
        <v/>
      </c>
      <c r="M515" s="23" t="str">
        <f aca="false">IF(J515="","",IF(COUNTIF(Brand_Log!$A$2:$A$201,J515)&gt;0,"Y","N"))</f>
        <v/>
      </c>
      <c r="N515" s="34" t="str">
        <f aca="false">IF(OR(J515="",AND(LEFT(J515,6)="SAMPLE",Config!$B$19&lt;&gt;"Y")),"",IF(IFERROR(INDEX(Lists!$K$2:$K$15,MATCH(K515,Lists!$J$2:$J$15,0)),-1)=-1,"status '"&amp;K515&amp;"' is not a CONTRACTS status",IF(AND(K515="paid",COUNTIF(paid_brands!$AC$2:$AC$51,J515)=0),"status paid but no paid_brands row"&amp;IF(M515="N"," and no tracker row",""),IF(AND(IFERROR(INDEX(Lists!$K$2:$K$15,MATCH(K515,Lists!$J$2:$J$15,0)),-1)&gt;=6,M515="N"),"status "&amp;K515&amp;" but no tracker row",IF(AND(L515="Y",K515&lt;&gt;"do_not_contact"),"do_not_contact = Y but status is "&amp;K515,IF(AND(K515="do_not_contact",L515&lt;&gt;"Y"),"status do_not_contact but do_not_contact is not Y",""))))))</f>
        <v/>
      </c>
    </row>
    <row r="516" customFormat="false" ht="15" hidden="false" customHeight="false" outlineLevel="0" collapsed="false">
      <c r="B516" s="23" t="n">
        <v>495</v>
      </c>
      <c r="C516" s="23" t="str">
        <f aca="false">IFERROR(INDEX(Clay_Offices!$A$2:$FZ$601,B516,$C$5)&amp;"","")</f>
        <v/>
      </c>
      <c r="D516" s="23" t="str">
        <f aca="false">IFERROR(INDEX(Clay_Offices!$A$2:$FZ$601,B516,$C$7)&amp;"","")</f>
        <v/>
      </c>
      <c r="E516" s="23" t="str">
        <f aca="false">IFERROR(INDEX(Clay_Offices!$A$2:$FZ$601,B516,$C$8)&amp;"","")</f>
        <v/>
      </c>
      <c r="F516" s="23" t="str">
        <f aca="false">IF(C516="","",IF(COUNTIF(Office_Log!$A$2:$A$201,C516)&gt;0,"Y","N"))</f>
        <v/>
      </c>
      <c r="G516" s="34" t="str">
        <f aca="false">IF(OR(C516="",AND(LEFT(C516,6)="SAMPLE",Config!$B$19&lt;&gt;"Y")),"",IF(IFERROR(INDEX(Lists!$K$2:$K$15,MATCH(D516,Lists!$J$2:$J$15,0)),-1)=-1,"status '"&amp;D516&amp;"' is not a CONTRACTS status",IF(AND(D516="signed",COUNTIF(signed_offices!$W$2:$W$51,C516)=0),"status signed but no signed_offices row"&amp;IF(F516="N"," and no tracker row",""),IF(AND(IFERROR(INDEX(Lists!$K$2:$K$15,MATCH(D516,Lists!$J$2:$J$15,0)),-1)&gt;=6,F516="N"),"status "&amp;D516&amp;" but no tracker row",IF(AND(E516="Y",D516&lt;&gt;"do_not_contact"),"do_not_contact = Y but status is "&amp;D516,IF(AND(D516="do_not_contact",E516&lt;&gt;"Y"),"status do_not_contact but do_not_contact is not Y",""))))))</f>
        <v/>
      </c>
      <c r="I516" s="23" t="n">
        <v>495</v>
      </c>
      <c r="J516" s="23" t="str">
        <f aca="false">IFERROR(INDEX(Clay_Brands!$A$2:$FZ$601,I516,$D$5)&amp;"","")</f>
        <v/>
      </c>
      <c r="K516" s="23" t="str">
        <f aca="false">IFERROR(INDEX(Clay_Brands!$A$2:$FZ$601,I516,$D$7)&amp;"","")</f>
        <v/>
      </c>
      <c r="L516" s="23" t="str">
        <f aca="false">IFERROR(INDEX(Clay_Brands!$A$2:$FZ$601,I516,$D$8)&amp;"","")</f>
        <v/>
      </c>
      <c r="M516" s="23" t="str">
        <f aca="false">IF(J516="","",IF(COUNTIF(Brand_Log!$A$2:$A$201,J516)&gt;0,"Y","N"))</f>
        <v/>
      </c>
      <c r="N516" s="34" t="str">
        <f aca="false">IF(OR(J516="",AND(LEFT(J516,6)="SAMPLE",Config!$B$19&lt;&gt;"Y")),"",IF(IFERROR(INDEX(Lists!$K$2:$K$15,MATCH(K516,Lists!$J$2:$J$15,0)),-1)=-1,"status '"&amp;K516&amp;"' is not a CONTRACTS status",IF(AND(K516="paid",COUNTIF(paid_brands!$AC$2:$AC$51,J516)=0),"status paid but no paid_brands row"&amp;IF(M516="N"," and no tracker row",""),IF(AND(IFERROR(INDEX(Lists!$K$2:$K$15,MATCH(K516,Lists!$J$2:$J$15,0)),-1)&gt;=6,M516="N"),"status "&amp;K516&amp;" but no tracker row",IF(AND(L516="Y",K516&lt;&gt;"do_not_contact"),"do_not_contact = Y but status is "&amp;K516,IF(AND(K516="do_not_contact",L516&lt;&gt;"Y"),"status do_not_contact but do_not_contact is not Y",""))))))</f>
        <v/>
      </c>
    </row>
    <row r="517" customFormat="false" ht="15" hidden="false" customHeight="false" outlineLevel="0" collapsed="false">
      <c r="B517" s="23" t="n">
        <v>496</v>
      </c>
      <c r="C517" s="23" t="str">
        <f aca="false">IFERROR(INDEX(Clay_Offices!$A$2:$FZ$601,B517,$C$5)&amp;"","")</f>
        <v/>
      </c>
      <c r="D517" s="23" t="str">
        <f aca="false">IFERROR(INDEX(Clay_Offices!$A$2:$FZ$601,B517,$C$7)&amp;"","")</f>
        <v/>
      </c>
      <c r="E517" s="23" t="str">
        <f aca="false">IFERROR(INDEX(Clay_Offices!$A$2:$FZ$601,B517,$C$8)&amp;"","")</f>
        <v/>
      </c>
      <c r="F517" s="23" t="str">
        <f aca="false">IF(C517="","",IF(COUNTIF(Office_Log!$A$2:$A$201,C517)&gt;0,"Y","N"))</f>
        <v/>
      </c>
      <c r="G517" s="34" t="str">
        <f aca="false">IF(OR(C517="",AND(LEFT(C517,6)="SAMPLE",Config!$B$19&lt;&gt;"Y")),"",IF(IFERROR(INDEX(Lists!$K$2:$K$15,MATCH(D517,Lists!$J$2:$J$15,0)),-1)=-1,"status '"&amp;D517&amp;"' is not a CONTRACTS status",IF(AND(D517="signed",COUNTIF(signed_offices!$W$2:$W$51,C517)=0),"status signed but no signed_offices row"&amp;IF(F517="N"," and no tracker row",""),IF(AND(IFERROR(INDEX(Lists!$K$2:$K$15,MATCH(D517,Lists!$J$2:$J$15,0)),-1)&gt;=6,F517="N"),"status "&amp;D517&amp;" but no tracker row",IF(AND(E517="Y",D517&lt;&gt;"do_not_contact"),"do_not_contact = Y but status is "&amp;D517,IF(AND(D517="do_not_contact",E517&lt;&gt;"Y"),"status do_not_contact but do_not_contact is not Y",""))))))</f>
        <v/>
      </c>
      <c r="I517" s="23" t="n">
        <v>496</v>
      </c>
      <c r="J517" s="23" t="str">
        <f aca="false">IFERROR(INDEX(Clay_Brands!$A$2:$FZ$601,I517,$D$5)&amp;"","")</f>
        <v/>
      </c>
      <c r="K517" s="23" t="str">
        <f aca="false">IFERROR(INDEX(Clay_Brands!$A$2:$FZ$601,I517,$D$7)&amp;"","")</f>
        <v/>
      </c>
      <c r="L517" s="23" t="str">
        <f aca="false">IFERROR(INDEX(Clay_Brands!$A$2:$FZ$601,I517,$D$8)&amp;"","")</f>
        <v/>
      </c>
      <c r="M517" s="23" t="str">
        <f aca="false">IF(J517="","",IF(COUNTIF(Brand_Log!$A$2:$A$201,J517)&gt;0,"Y","N"))</f>
        <v/>
      </c>
      <c r="N517" s="34" t="str">
        <f aca="false">IF(OR(J517="",AND(LEFT(J517,6)="SAMPLE",Config!$B$19&lt;&gt;"Y")),"",IF(IFERROR(INDEX(Lists!$K$2:$K$15,MATCH(K517,Lists!$J$2:$J$15,0)),-1)=-1,"status '"&amp;K517&amp;"' is not a CONTRACTS status",IF(AND(K517="paid",COUNTIF(paid_brands!$AC$2:$AC$51,J517)=0),"status paid but no paid_brands row"&amp;IF(M517="N"," and no tracker row",""),IF(AND(IFERROR(INDEX(Lists!$K$2:$K$15,MATCH(K517,Lists!$J$2:$J$15,0)),-1)&gt;=6,M517="N"),"status "&amp;K517&amp;" but no tracker row",IF(AND(L517="Y",K517&lt;&gt;"do_not_contact"),"do_not_contact = Y but status is "&amp;K517,IF(AND(K517="do_not_contact",L517&lt;&gt;"Y"),"status do_not_contact but do_not_contact is not Y",""))))))</f>
        <v/>
      </c>
    </row>
    <row r="518" customFormat="false" ht="15" hidden="false" customHeight="false" outlineLevel="0" collapsed="false">
      <c r="B518" s="23" t="n">
        <v>497</v>
      </c>
      <c r="C518" s="23" t="str">
        <f aca="false">IFERROR(INDEX(Clay_Offices!$A$2:$FZ$601,B518,$C$5)&amp;"","")</f>
        <v/>
      </c>
      <c r="D518" s="23" t="str">
        <f aca="false">IFERROR(INDEX(Clay_Offices!$A$2:$FZ$601,B518,$C$7)&amp;"","")</f>
        <v/>
      </c>
      <c r="E518" s="23" t="str">
        <f aca="false">IFERROR(INDEX(Clay_Offices!$A$2:$FZ$601,B518,$C$8)&amp;"","")</f>
        <v/>
      </c>
      <c r="F518" s="23" t="str">
        <f aca="false">IF(C518="","",IF(COUNTIF(Office_Log!$A$2:$A$201,C518)&gt;0,"Y","N"))</f>
        <v/>
      </c>
      <c r="G518" s="34" t="str">
        <f aca="false">IF(OR(C518="",AND(LEFT(C518,6)="SAMPLE",Config!$B$19&lt;&gt;"Y")),"",IF(IFERROR(INDEX(Lists!$K$2:$K$15,MATCH(D518,Lists!$J$2:$J$15,0)),-1)=-1,"status '"&amp;D518&amp;"' is not a CONTRACTS status",IF(AND(D518="signed",COUNTIF(signed_offices!$W$2:$W$51,C518)=0),"status signed but no signed_offices row"&amp;IF(F518="N"," and no tracker row",""),IF(AND(IFERROR(INDEX(Lists!$K$2:$K$15,MATCH(D518,Lists!$J$2:$J$15,0)),-1)&gt;=6,F518="N"),"status "&amp;D518&amp;" but no tracker row",IF(AND(E518="Y",D518&lt;&gt;"do_not_contact"),"do_not_contact = Y but status is "&amp;D518,IF(AND(D518="do_not_contact",E518&lt;&gt;"Y"),"status do_not_contact but do_not_contact is not Y",""))))))</f>
        <v/>
      </c>
      <c r="I518" s="23" t="n">
        <v>497</v>
      </c>
      <c r="J518" s="23" t="str">
        <f aca="false">IFERROR(INDEX(Clay_Brands!$A$2:$FZ$601,I518,$D$5)&amp;"","")</f>
        <v/>
      </c>
      <c r="K518" s="23" t="str">
        <f aca="false">IFERROR(INDEX(Clay_Brands!$A$2:$FZ$601,I518,$D$7)&amp;"","")</f>
        <v/>
      </c>
      <c r="L518" s="23" t="str">
        <f aca="false">IFERROR(INDEX(Clay_Brands!$A$2:$FZ$601,I518,$D$8)&amp;"","")</f>
        <v/>
      </c>
      <c r="M518" s="23" t="str">
        <f aca="false">IF(J518="","",IF(COUNTIF(Brand_Log!$A$2:$A$201,J518)&gt;0,"Y","N"))</f>
        <v/>
      </c>
      <c r="N518" s="34" t="str">
        <f aca="false">IF(OR(J518="",AND(LEFT(J518,6)="SAMPLE",Config!$B$19&lt;&gt;"Y")),"",IF(IFERROR(INDEX(Lists!$K$2:$K$15,MATCH(K518,Lists!$J$2:$J$15,0)),-1)=-1,"status '"&amp;K518&amp;"' is not a CONTRACTS status",IF(AND(K518="paid",COUNTIF(paid_brands!$AC$2:$AC$51,J518)=0),"status paid but no paid_brands row"&amp;IF(M518="N"," and no tracker row",""),IF(AND(IFERROR(INDEX(Lists!$K$2:$K$15,MATCH(K518,Lists!$J$2:$J$15,0)),-1)&gt;=6,M518="N"),"status "&amp;K518&amp;" but no tracker row",IF(AND(L518="Y",K518&lt;&gt;"do_not_contact"),"do_not_contact = Y but status is "&amp;K518,IF(AND(K518="do_not_contact",L518&lt;&gt;"Y"),"status do_not_contact but do_not_contact is not Y",""))))))</f>
        <v/>
      </c>
    </row>
    <row r="519" customFormat="false" ht="15" hidden="false" customHeight="false" outlineLevel="0" collapsed="false">
      <c r="B519" s="23" t="n">
        <v>498</v>
      </c>
      <c r="C519" s="23" t="str">
        <f aca="false">IFERROR(INDEX(Clay_Offices!$A$2:$FZ$601,B519,$C$5)&amp;"","")</f>
        <v/>
      </c>
      <c r="D519" s="23" t="str">
        <f aca="false">IFERROR(INDEX(Clay_Offices!$A$2:$FZ$601,B519,$C$7)&amp;"","")</f>
        <v/>
      </c>
      <c r="E519" s="23" t="str">
        <f aca="false">IFERROR(INDEX(Clay_Offices!$A$2:$FZ$601,B519,$C$8)&amp;"","")</f>
        <v/>
      </c>
      <c r="F519" s="23" t="str">
        <f aca="false">IF(C519="","",IF(COUNTIF(Office_Log!$A$2:$A$201,C519)&gt;0,"Y","N"))</f>
        <v/>
      </c>
      <c r="G519" s="34" t="str">
        <f aca="false">IF(OR(C519="",AND(LEFT(C519,6)="SAMPLE",Config!$B$19&lt;&gt;"Y")),"",IF(IFERROR(INDEX(Lists!$K$2:$K$15,MATCH(D519,Lists!$J$2:$J$15,0)),-1)=-1,"status '"&amp;D519&amp;"' is not a CONTRACTS status",IF(AND(D519="signed",COUNTIF(signed_offices!$W$2:$W$51,C519)=0),"status signed but no signed_offices row"&amp;IF(F519="N"," and no tracker row",""),IF(AND(IFERROR(INDEX(Lists!$K$2:$K$15,MATCH(D519,Lists!$J$2:$J$15,0)),-1)&gt;=6,F519="N"),"status "&amp;D519&amp;" but no tracker row",IF(AND(E519="Y",D519&lt;&gt;"do_not_contact"),"do_not_contact = Y but status is "&amp;D519,IF(AND(D519="do_not_contact",E519&lt;&gt;"Y"),"status do_not_contact but do_not_contact is not Y",""))))))</f>
        <v/>
      </c>
      <c r="I519" s="23" t="n">
        <v>498</v>
      </c>
      <c r="J519" s="23" t="str">
        <f aca="false">IFERROR(INDEX(Clay_Brands!$A$2:$FZ$601,I519,$D$5)&amp;"","")</f>
        <v/>
      </c>
      <c r="K519" s="23" t="str">
        <f aca="false">IFERROR(INDEX(Clay_Brands!$A$2:$FZ$601,I519,$D$7)&amp;"","")</f>
        <v/>
      </c>
      <c r="L519" s="23" t="str">
        <f aca="false">IFERROR(INDEX(Clay_Brands!$A$2:$FZ$601,I519,$D$8)&amp;"","")</f>
        <v/>
      </c>
      <c r="M519" s="23" t="str">
        <f aca="false">IF(J519="","",IF(COUNTIF(Brand_Log!$A$2:$A$201,J519)&gt;0,"Y","N"))</f>
        <v/>
      </c>
      <c r="N519" s="34" t="str">
        <f aca="false">IF(OR(J519="",AND(LEFT(J519,6)="SAMPLE",Config!$B$19&lt;&gt;"Y")),"",IF(IFERROR(INDEX(Lists!$K$2:$K$15,MATCH(K519,Lists!$J$2:$J$15,0)),-1)=-1,"status '"&amp;K519&amp;"' is not a CONTRACTS status",IF(AND(K519="paid",COUNTIF(paid_brands!$AC$2:$AC$51,J519)=0),"status paid but no paid_brands row"&amp;IF(M519="N"," and no tracker row",""),IF(AND(IFERROR(INDEX(Lists!$K$2:$K$15,MATCH(K519,Lists!$J$2:$J$15,0)),-1)&gt;=6,M519="N"),"status "&amp;K519&amp;" but no tracker row",IF(AND(L519="Y",K519&lt;&gt;"do_not_contact"),"do_not_contact = Y but status is "&amp;K519,IF(AND(K519="do_not_contact",L519&lt;&gt;"Y"),"status do_not_contact but do_not_contact is not Y",""))))))</f>
        <v/>
      </c>
    </row>
    <row r="520" customFormat="false" ht="15" hidden="false" customHeight="false" outlineLevel="0" collapsed="false">
      <c r="B520" s="23" t="n">
        <v>499</v>
      </c>
      <c r="C520" s="23" t="str">
        <f aca="false">IFERROR(INDEX(Clay_Offices!$A$2:$FZ$601,B520,$C$5)&amp;"","")</f>
        <v/>
      </c>
      <c r="D520" s="23" t="str">
        <f aca="false">IFERROR(INDEX(Clay_Offices!$A$2:$FZ$601,B520,$C$7)&amp;"","")</f>
        <v/>
      </c>
      <c r="E520" s="23" t="str">
        <f aca="false">IFERROR(INDEX(Clay_Offices!$A$2:$FZ$601,B520,$C$8)&amp;"","")</f>
        <v/>
      </c>
      <c r="F520" s="23" t="str">
        <f aca="false">IF(C520="","",IF(COUNTIF(Office_Log!$A$2:$A$201,C520)&gt;0,"Y","N"))</f>
        <v/>
      </c>
      <c r="G520" s="34" t="str">
        <f aca="false">IF(OR(C520="",AND(LEFT(C520,6)="SAMPLE",Config!$B$19&lt;&gt;"Y")),"",IF(IFERROR(INDEX(Lists!$K$2:$K$15,MATCH(D520,Lists!$J$2:$J$15,0)),-1)=-1,"status '"&amp;D520&amp;"' is not a CONTRACTS status",IF(AND(D520="signed",COUNTIF(signed_offices!$W$2:$W$51,C520)=0),"status signed but no signed_offices row"&amp;IF(F520="N"," and no tracker row",""),IF(AND(IFERROR(INDEX(Lists!$K$2:$K$15,MATCH(D520,Lists!$J$2:$J$15,0)),-1)&gt;=6,F520="N"),"status "&amp;D520&amp;" but no tracker row",IF(AND(E520="Y",D520&lt;&gt;"do_not_contact"),"do_not_contact = Y but status is "&amp;D520,IF(AND(D520="do_not_contact",E520&lt;&gt;"Y"),"status do_not_contact but do_not_contact is not Y",""))))))</f>
        <v/>
      </c>
      <c r="I520" s="23" t="n">
        <v>499</v>
      </c>
      <c r="J520" s="23" t="str">
        <f aca="false">IFERROR(INDEX(Clay_Brands!$A$2:$FZ$601,I520,$D$5)&amp;"","")</f>
        <v/>
      </c>
      <c r="K520" s="23" t="str">
        <f aca="false">IFERROR(INDEX(Clay_Brands!$A$2:$FZ$601,I520,$D$7)&amp;"","")</f>
        <v/>
      </c>
      <c r="L520" s="23" t="str">
        <f aca="false">IFERROR(INDEX(Clay_Brands!$A$2:$FZ$601,I520,$D$8)&amp;"","")</f>
        <v/>
      </c>
      <c r="M520" s="23" t="str">
        <f aca="false">IF(J520="","",IF(COUNTIF(Brand_Log!$A$2:$A$201,J520)&gt;0,"Y","N"))</f>
        <v/>
      </c>
      <c r="N520" s="34" t="str">
        <f aca="false">IF(OR(J520="",AND(LEFT(J520,6)="SAMPLE",Config!$B$19&lt;&gt;"Y")),"",IF(IFERROR(INDEX(Lists!$K$2:$K$15,MATCH(K520,Lists!$J$2:$J$15,0)),-1)=-1,"status '"&amp;K520&amp;"' is not a CONTRACTS status",IF(AND(K520="paid",COUNTIF(paid_brands!$AC$2:$AC$51,J520)=0),"status paid but no paid_brands row"&amp;IF(M520="N"," and no tracker row",""),IF(AND(IFERROR(INDEX(Lists!$K$2:$K$15,MATCH(K520,Lists!$J$2:$J$15,0)),-1)&gt;=6,M520="N"),"status "&amp;K520&amp;" but no tracker row",IF(AND(L520="Y",K520&lt;&gt;"do_not_contact"),"do_not_contact = Y but status is "&amp;K520,IF(AND(K520="do_not_contact",L520&lt;&gt;"Y"),"status do_not_contact but do_not_contact is not Y",""))))))</f>
        <v/>
      </c>
    </row>
    <row r="521" customFormat="false" ht="15" hidden="false" customHeight="false" outlineLevel="0" collapsed="false">
      <c r="B521" s="23" t="n">
        <v>500</v>
      </c>
      <c r="C521" s="23" t="str">
        <f aca="false">IFERROR(INDEX(Clay_Offices!$A$2:$FZ$601,B521,$C$5)&amp;"","")</f>
        <v/>
      </c>
      <c r="D521" s="23" t="str">
        <f aca="false">IFERROR(INDEX(Clay_Offices!$A$2:$FZ$601,B521,$C$7)&amp;"","")</f>
        <v/>
      </c>
      <c r="E521" s="23" t="str">
        <f aca="false">IFERROR(INDEX(Clay_Offices!$A$2:$FZ$601,B521,$C$8)&amp;"","")</f>
        <v/>
      </c>
      <c r="F521" s="23" t="str">
        <f aca="false">IF(C521="","",IF(COUNTIF(Office_Log!$A$2:$A$201,C521)&gt;0,"Y","N"))</f>
        <v/>
      </c>
      <c r="G521" s="34" t="str">
        <f aca="false">IF(OR(C521="",AND(LEFT(C521,6)="SAMPLE",Config!$B$19&lt;&gt;"Y")),"",IF(IFERROR(INDEX(Lists!$K$2:$K$15,MATCH(D521,Lists!$J$2:$J$15,0)),-1)=-1,"status '"&amp;D521&amp;"' is not a CONTRACTS status",IF(AND(D521="signed",COUNTIF(signed_offices!$W$2:$W$51,C521)=0),"status signed but no signed_offices row"&amp;IF(F521="N"," and no tracker row",""),IF(AND(IFERROR(INDEX(Lists!$K$2:$K$15,MATCH(D521,Lists!$J$2:$J$15,0)),-1)&gt;=6,F521="N"),"status "&amp;D521&amp;" but no tracker row",IF(AND(E521="Y",D521&lt;&gt;"do_not_contact"),"do_not_contact = Y but status is "&amp;D521,IF(AND(D521="do_not_contact",E521&lt;&gt;"Y"),"status do_not_contact but do_not_contact is not Y",""))))))</f>
        <v/>
      </c>
      <c r="I521" s="23" t="n">
        <v>500</v>
      </c>
      <c r="J521" s="23" t="str">
        <f aca="false">IFERROR(INDEX(Clay_Brands!$A$2:$FZ$601,I521,$D$5)&amp;"","")</f>
        <v/>
      </c>
      <c r="K521" s="23" t="str">
        <f aca="false">IFERROR(INDEX(Clay_Brands!$A$2:$FZ$601,I521,$D$7)&amp;"","")</f>
        <v/>
      </c>
      <c r="L521" s="23" t="str">
        <f aca="false">IFERROR(INDEX(Clay_Brands!$A$2:$FZ$601,I521,$D$8)&amp;"","")</f>
        <v/>
      </c>
      <c r="M521" s="23" t="str">
        <f aca="false">IF(J521="","",IF(COUNTIF(Brand_Log!$A$2:$A$201,J521)&gt;0,"Y","N"))</f>
        <v/>
      </c>
      <c r="N521" s="34" t="str">
        <f aca="false">IF(OR(J521="",AND(LEFT(J521,6)="SAMPLE",Config!$B$19&lt;&gt;"Y")),"",IF(IFERROR(INDEX(Lists!$K$2:$K$15,MATCH(K521,Lists!$J$2:$J$15,0)),-1)=-1,"status '"&amp;K521&amp;"' is not a CONTRACTS status",IF(AND(K521="paid",COUNTIF(paid_brands!$AC$2:$AC$51,J521)=0),"status paid but no paid_brands row"&amp;IF(M521="N"," and no tracker row",""),IF(AND(IFERROR(INDEX(Lists!$K$2:$K$15,MATCH(K521,Lists!$J$2:$J$15,0)),-1)&gt;=6,M521="N"),"status "&amp;K521&amp;" but no tracker row",IF(AND(L521="Y",K521&lt;&gt;"do_not_contact"),"do_not_contact = Y but status is "&amp;K521,IF(AND(K521="do_not_contact",L521&lt;&gt;"Y"),"status do_not_contact but do_not_contact is not Y",""))))))</f>
        <v/>
      </c>
    </row>
    <row r="522" customFormat="false" ht="15" hidden="false" customHeight="false" outlineLevel="0" collapsed="false">
      <c r="B522" s="23" t="n">
        <v>501</v>
      </c>
      <c r="C522" s="23" t="str">
        <f aca="false">IFERROR(INDEX(Clay_Offices!$A$2:$FZ$601,B522,$C$5)&amp;"","")</f>
        <v/>
      </c>
      <c r="D522" s="23" t="str">
        <f aca="false">IFERROR(INDEX(Clay_Offices!$A$2:$FZ$601,B522,$C$7)&amp;"","")</f>
        <v/>
      </c>
      <c r="E522" s="23" t="str">
        <f aca="false">IFERROR(INDEX(Clay_Offices!$A$2:$FZ$601,B522,$C$8)&amp;"","")</f>
        <v/>
      </c>
      <c r="F522" s="23" t="str">
        <f aca="false">IF(C522="","",IF(COUNTIF(Office_Log!$A$2:$A$201,C522)&gt;0,"Y","N"))</f>
        <v/>
      </c>
      <c r="G522" s="34" t="str">
        <f aca="false">IF(OR(C522="",AND(LEFT(C522,6)="SAMPLE",Config!$B$19&lt;&gt;"Y")),"",IF(IFERROR(INDEX(Lists!$K$2:$K$15,MATCH(D522,Lists!$J$2:$J$15,0)),-1)=-1,"status '"&amp;D522&amp;"' is not a CONTRACTS status",IF(AND(D522="signed",COUNTIF(signed_offices!$W$2:$W$51,C522)=0),"status signed but no signed_offices row"&amp;IF(F522="N"," and no tracker row",""),IF(AND(IFERROR(INDEX(Lists!$K$2:$K$15,MATCH(D522,Lists!$J$2:$J$15,0)),-1)&gt;=6,F522="N"),"status "&amp;D522&amp;" but no tracker row",IF(AND(E522="Y",D522&lt;&gt;"do_not_contact"),"do_not_contact = Y but status is "&amp;D522,IF(AND(D522="do_not_contact",E522&lt;&gt;"Y"),"status do_not_contact but do_not_contact is not Y",""))))))</f>
        <v/>
      </c>
      <c r="I522" s="23" t="n">
        <v>501</v>
      </c>
      <c r="J522" s="23" t="str">
        <f aca="false">IFERROR(INDEX(Clay_Brands!$A$2:$FZ$601,I522,$D$5)&amp;"","")</f>
        <v/>
      </c>
      <c r="K522" s="23" t="str">
        <f aca="false">IFERROR(INDEX(Clay_Brands!$A$2:$FZ$601,I522,$D$7)&amp;"","")</f>
        <v/>
      </c>
      <c r="L522" s="23" t="str">
        <f aca="false">IFERROR(INDEX(Clay_Brands!$A$2:$FZ$601,I522,$D$8)&amp;"","")</f>
        <v/>
      </c>
      <c r="M522" s="23" t="str">
        <f aca="false">IF(J522="","",IF(COUNTIF(Brand_Log!$A$2:$A$201,J522)&gt;0,"Y","N"))</f>
        <v/>
      </c>
      <c r="N522" s="34" t="str">
        <f aca="false">IF(OR(J522="",AND(LEFT(J522,6)="SAMPLE",Config!$B$19&lt;&gt;"Y")),"",IF(IFERROR(INDEX(Lists!$K$2:$K$15,MATCH(K522,Lists!$J$2:$J$15,0)),-1)=-1,"status '"&amp;K522&amp;"' is not a CONTRACTS status",IF(AND(K522="paid",COUNTIF(paid_brands!$AC$2:$AC$51,J522)=0),"status paid but no paid_brands row"&amp;IF(M522="N"," and no tracker row",""),IF(AND(IFERROR(INDEX(Lists!$K$2:$K$15,MATCH(K522,Lists!$J$2:$J$15,0)),-1)&gt;=6,M522="N"),"status "&amp;K522&amp;" but no tracker row",IF(AND(L522="Y",K522&lt;&gt;"do_not_contact"),"do_not_contact = Y but status is "&amp;K522,IF(AND(K522="do_not_contact",L522&lt;&gt;"Y"),"status do_not_contact but do_not_contact is not Y",""))))))</f>
        <v/>
      </c>
    </row>
    <row r="523" customFormat="false" ht="15" hidden="false" customHeight="false" outlineLevel="0" collapsed="false">
      <c r="B523" s="23" t="n">
        <v>502</v>
      </c>
      <c r="C523" s="23" t="str">
        <f aca="false">IFERROR(INDEX(Clay_Offices!$A$2:$FZ$601,B523,$C$5)&amp;"","")</f>
        <v/>
      </c>
      <c r="D523" s="23" t="str">
        <f aca="false">IFERROR(INDEX(Clay_Offices!$A$2:$FZ$601,B523,$C$7)&amp;"","")</f>
        <v/>
      </c>
      <c r="E523" s="23" t="str">
        <f aca="false">IFERROR(INDEX(Clay_Offices!$A$2:$FZ$601,B523,$C$8)&amp;"","")</f>
        <v/>
      </c>
      <c r="F523" s="23" t="str">
        <f aca="false">IF(C523="","",IF(COUNTIF(Office_Log!$A$2:$A$201,C523)&gt;0,"Y","N"))</f>
        <v/>
      </c>
      <c r="G523" s="34" t="str">
        <f aca="false">IF(OR(C523="",AND(LEFT(C523,6)="SAMPLE",Config!$B$19&lt;&gt;"Y")),"",IF(IFERROR(INDEX(Lists!$K$2:$K$15,MATCH(D523,Lists!$J$2:$J$15,0)),-1)=-1,"status '"&amp;D523&amp;"' is not a CONTRACTS status",IF(AND(D523="signed",COUNTIF(signed_offices!$W$2:$W$51,C523)=0),"status signed but no signed_offices row"&amp;IF(F523="N"," and no tracker row",""),IF(AND(IFERROR(INDEX(Lists!$K$2:$K$15,MATCH(D523,Lists!$J$2:$J$15,0)),-1)&gt;=6,F523="N"),"status "&amp;D523&amp;" but no tracker row",IF(AND(E523="Y",D523&lt;&gt;"do_not_contact"),"do_not_contact = Y but status is "&amp;D523,IF(AND(D523="do_not_contact",E523&lt;&gt;"Y"),"status do_not_contact but do_not_contact is not Y",""))))))</f>
        <v/>
      </c>
      <c r="I523" s="23" t="n">
        <v>502</v>
      </c>
      <c r="J523" s="23" t="str">
        <f aca="false">IFERROR(INDEX(Clay_Brands!$A$2:$FZ$601,I523,$D$5)&amp;"","")</f>
        <v/>
      </c>
      <c r="K523" s="23" t="str">
        <f aca="false">IFERROR(INDEX(Clay_Brands!$A$2:$FZ$601,I523,$D$7)&amp;"","")</f>
        <v/>
      </c>
      <c r="L523" s="23" t="str">
        <f aca="false">IFERROR(INDEX(Clay_Brands!$A$2:$FZ$601,I523,$D$8)&amp;"","")</f>
        <v/>
      </c>
      <c r="M523" s="23" t="str">
        <f aca="false">IF(J523="","",IF(COUNTIF(Brand_Log!$A$2:$A$201,J523)&gt;0,"Y","N"))</f>
        <v/>
      </c>
      <c r="N523" s="34" t="str">
        <f aca="false">IF(OR(J523="",AND(LEFT(J523,6)="SAMPLE",Config!$B$19&lt;&gt;"Y")),"",IF(IFERROR(INDEX(Lists!$K$2:$K$15,MATCH(K523,Lists!$J$2:$J$15,0)),-1)=-1,"status '"&amp;K523&amp;"' is not a CONTRACTS status",IF(AND(K523="paid",COUNTIF(paid_brands!$AC$2:$AC$51,J523)=0),"status paid but no paid_brands row"&amp;IF(M523="N"," and no tracker row",""),IF(AND(IFERROR(INDEX(Lists!$K$2:$K$15,MATCH(K523,Lists!$J$2:$J$15,0)),-1)&gt;=6,M523="N"),"status "&amp;K523&amp;" but no tracker row",IF(AND(L523="Y",K523&lt;&gt;"do_not_contact"),"do_not_contact = Y but status is "&amp;K523,IF(AND(K523="do_not_contact",L523&lt;&gt;"Y"),"status do_not_contact but do_not_contact is not Y",""))))))</f>
        <v/>
      </c>
    </row>
    <row r="524" customFormat="false" ht="15" hidden="false" customHeight="false" outlineLevel="0" collapsed="false">
      <c r="B524" s="23" t="n">
        <v>503</v>
      </c>
      <c r="C524" s="23" t="str">
        <f aca="false">IFERROR(INDEX(Clay_Offices!$A$2:$FZ$601,B524,$C$5)&amp;"","")</f>
        <v/>
      </c>
      <c r="D524" s="23" t="str">
        <f aca="false">IFERROR(INDEX(Clay_Offices!$A$2:$FZ$601,B524,$C$7)&amp;"","")</f>
        <v/>
      </c>
      <c r="E524" s="23" t="str">
        <f aca="false">IFERROR(INDEX(Clay_Offices!$A$2:$FZ$601,B524,$C$8)&amp;"","")</f>
        <v/>
      </c>
      <c r="F524" s="23" t="str">
        <f aca="false">IF(C524="","",IF(COUNTIF(Office_Log!$A$2:$A$201,C524)&gt;0,"Y","N"))</f>
        <v/>
      </c>
      <c r="G524" s="34" t="str">
        <f aca="false">IF(OR(C524="",AND(LEFT(C524,6)="SAMPLE",Config!$B$19&lt;&gt;"Y")),"",IF(IFERROR(INDEX(Lists!$K$2:$K$15,MATCH(D524,Lists!$J$2:$J$15,0)),-1)=-1,"status '"&amp;D524&amp;"' is not a CONTRACTS status",IF(AND(D524="signed",COUNTIF(signed_offices!$W$2:$W$51,C524)=0),"status signed but no signed_offices row"&amp;IF(F524="N"," and no tracker row",""),IF(AND(IFERROR(INDEX(Lists!$K$2:$K$15,MATCH(D524,Lists!$J$2:$J$15,0)),-1)&gt;=6,F524="N"),"status "&amp;D524&amp;" but no tracker row",IF(AND(E524="Y",D524&lt;&gt;"do_not_contact"),"do_not_contact = Y but status is "&amp;D524,IF(AND(D524="do_not_contact",E524&lt;&gt;"Y"),"status do_not_contact but do_not_contact is not Y",""))))))</f>
        <v/>
      </c>
      <c r="I524" s="23" t="n">
        <v>503</v>
      </c>
      <c r="J524" s="23" t="str">
        <f aca="false">IFERROR(INDEX(Clay_Brands!$A$2:$FZ$601,I524,$D$5)&amp;"","")</f>
        <v/>
      </c>
      <c r="K524" s="23" t="str">
        <f aca="false">IFERROR(INDEX(Clay_Brands!$A$2:$FZ$601,I524,$D$7)&amp;"","")</f>
        <v/>
      </c>
      <c r="L524" s="23" t="str">
        <f aca="false">IFERROR(INDEX(Clay_Brands!$A$2:$FZ$601,I524,$D$8)&amp;"","")</f>
        <v/>
      </c>
      <c r="M524" s="23" t="str">
        <f aca="false">IF(J524="","",IF(COUNTIF(Brand_Log!$A$2:$A$201,J524)&gt;0,"Y","N"))</f>
        <v/>
      </c>
      <c r="N524" s="34" t="str">
        <f aca="false">IF(OR(J524="",AND(LEFT(J524,6)="SAMPLE",Config!$B$19&lt;&gt;"Y")),"",IF(IFERROR(INDEX(Lists!$K$2:$K$15,MATCH(K524,Lists!$J$2:$J$15,0)),-1)=-1,"status '"&amp;K524&amp;"' is not a CONTRACTS status",IF(AND(K524="paid",COUNTIF(paid_brands!$AC$2:$AC$51,J524)=0),"status paid but no paid_brands row"&amp;IF(M524="N"," and no tracker row",""),IF(AND(IFERROR(INDEX(Lists!$K$2:$K$15,MATCH(K524,Lists!$J$2:$J$15,0)),-1)&gt;=6,M524="N"),"status "&amp;K524&amp;" but no tracker row",IF(AND(L524="Y",K524&lt;&gt;"do_not_contact"),"do_not_contact = Y but status is "&amp;K524,IF(AND(K524="do_not_contact",L524&lt;&gt;"Y"),"status do_not_contact but do_not_contact is not Y",""))))))</f>
        <v/>
      </c>
    </row>
    <row r="525" customFormat="false" ht="15" hidden="false" customHeight="false" outlineLevel="0" collapsed="false">
      <c r="B525" s="23" t="n">
        <v>504</v>
      </c>
      <c r="C525" s="23" t="str">
        <f aca="false">IFERROR(INDEX(Clay_Offices!$A$2:$FZ$601,B525,$C$5)&amp;"","")</f>
        <v/>
      </c>
      <c r="D525" s="23" t="str">
        <f aca="false">IFERROR(INDEX(Clay_Offices!$A$2:$FZ$601,B525,$C$7)&amp;"","")</f>
        <v/>
      </c>
      <c r="E525" s="23" t="str">
        <f aca="false">IFERROR(INDEX(Clay_Offices!$A$2:$FZ$601,B525,$C$8)&amp;"","")</f>
        <v/>
      </c>
      <c r="F525" s="23" t="str">
        <f aca="false">IF(C525="","",IF(COUNTIF(Office_Log!$A$2:$A$201,C525)&gt;0,"Y","N"))</f>
        <v/>
      </c>
      <c r="G525" s="34" t="str">
        <f aca="false">IF(OR(C525="",AND(LEFT(C525,6)="SAMPLE",Config!$B$19&lt;&gt;"Y")),"",IF(IFERROR(INDEX(Lists!$K$2:$K$15,MATCH(D525,Lists!$J$2:$J$15,0)),-1)=-1,"status '"&amp;D525&amp;"' is not a CONTRACTS status",IF(AND(D525="signed",COUNTIF(signed_offices!$W$2:$W$51,C525)=0),"status signed but no signed_offices row"&amp;IF(F525="N"," and no tracker row",""),IF(AND(IFERROR(INDEX(Lists!$K$2:$K$15,MATCH(D525,Lists!$J$2:$J$15,0)),-1)&gt;=6,F525="N"),"status "&amp;D525&amp;" but no tracker row",IF(AND(E525="Y",D525&lt;&gt;"do_not_contact"),"do_not_contact = Y but status is "&amp;D525,IF(AND(D525="do_not_contact",E525&lt;&gt;"Y"),"status do_not_contact but do_not_contact is not Y",""))))))</f>
        <v/>
      </c>
      <c r="I525" s="23" t="n">
        <v>504</v>
      </c>
      <c r="J525" s="23" t="str">
        <f aca="false">IFERROR(INDEX(Clay_Brands!$A$2:$FZ$601,I525,$D$5)&amp;"","")</f>
        <v/>
      </c>
      <c r="K525" s="23" t="str">
        <f aca="false">IFERROR(INDEX(Clay_Brands!$A$2:$FZ$601,I525,$D$7)&amp;"","")</f>
        <v/>
      </c>
      <c r="L525" s="23" t="str">
        <f aca="false">IFERROR(INDEX(Clay_Brands!$A$2:$FZ$601,I525,$D$8)&amp;"","")</f>
        <v/>
      </c>
      <c r="M525" s="23" t="str">
        <f aca="false">IF(J525="","",IF(COUNTIF(Brand_Log!$A$2:$A$201,J525)&gt;0,"Y","N"))</f>
        <v/>
      </c>
      <c r="N525" s="34" t="str">
        <f aca="false">IF(OR(J525="",AND(LEFT(J525,6)="SAMPLE",Config!$B$19&lt;&gt;"Y")),"",IF(IFERROR(INDEX(Lists!$K$2:$K$15,MATCH(K525,Lists!$J$2:$J$15,0)),-1)=-1,"status '"&amp;K525&amp;"' is not a CONTRACTS status",IF(AND(K525="paid",COUNTIF(paid_brands!$AC$2:$AC$51,J525)=0),"status paid but no paid_brands row"&amp;IF(M525="N"," and no tracker row",""),IF(AND(IFERROR(INDEX(Lists!$K$2:$K$15,MATCH(K525,Lists!$J$2:$J$15,0)),-1)&gt;=6,M525="N"),"status "&amp;K525&amp;" but no tracker row",IF(AND(L525="Y",K525&lt;&gt;"do_not_contact"),"do_not_contact = Y but status is "&amp;K525,IF(AND(K525="do_not_contact",L525&lt;&gt;"Y"),"status do_not_contact but do_not_contact is not Y",""))))))</f>
        <v/>
      </c>
    </row>
    <row r="526" customFormat="false" ht="15" hidden="false" customHeight="false" outlineLevel="0" collapsed="false">
      <c r="B526" s="23" t="n">
        <v>505</v>
      </c>
      <c r="C526" s="23" t="str">
        <f aca="false">IFERROR(INDEX(Clay_Offices!$A$2:$FZ$601,B526,$C$5)&amp;"","")</f>
        <v/>
      </c>
      <c r="D526" s="23" t="str">
        <f aca="false">IFERROR(INDEX(Clay_Offices!$A$2:$FZ$601,B526,$C$7)&amp;"","")</f>
        <v/>
      </c>
      <c r="E526" s="23" t="str">
        <f aca="false">IFERROR(INDEX(Clay_Offices!$A$2:$FZ$601,B526,$C$8)&amp;"","")</f>
        <v/>
      </c>
      <c r="F526" s="23" t="str">
        <f aca="false">IF(C526="","",IF(COUNTIF(Office_Log!$A$2:$A$201,C526)&gt;0,"Y","N"))</f>
        <v/>
      </c>
      <c r="G526" s="34" t="str">
        <f aca="false">IF(OR(C526="",AND(LEFT(C526,6)="SAMPLE",Config!$B$19&lt;&gt;"Y")),"",IF(IFERROR(INDEX(Lists!$K$2:$K$15,MATCH(D526,Lists!$J$2:$J$15,0)),-1)=-1,"status '"&amp;D526&amp;"' is not a CONTRACTS status",IF(AND(D526="signed",COUNTIF(signed_offices!$W$2:$W$51,C526)=0),"status signed but no signed_offices row"&amp;IF(F526="N"," and no tracker row",""),IF(AND(IFERROR(INDEX(Lists!$K$2:$K$15,MATCH(D526,Lists!$J$2:$J$15,0)),-1)&gt;=6,F526="N"),"status "&amp;D526&amp;" but no tracker row",IF(AND(E526="Y",D526&lt;&gt;"do_not_contact"),"do_not_contact = Y but status is "&amp;D526,IF(AND(D526="do_not_contact",E526&lt;&gt;"Y"),"status do_not_contact but do_not_contact is not Y",""))))))</f>
        <v/>
      </c>
      <c r="I526" s="23" t="n">
        <v>505</v>
      </c>
      <c r="J526" s="23" t="str">
        <f aca="false">IFERROR(INDEX(Clay_Brands!$A$2:$FZ$601,I526,$D$5)&amp;"","")</f>
        <v/>
      </c>
      <c r="K526" s="23" t="str">
        <f aca="false">IFERROR(INDEX(Clay_Brands!$A$2:$FZ$601,I526,$D$7)&amp;"","")</f>
        <v/>
      </c>
      <c r="L526" s="23" t="str">
        <f aca="false">IFERROR(INDEX(Clay_Brands!$A$2:$FZ$601,I526,$D$8)&amp;"","")</f>
        <v/>
      </c>
      <c r="M526" s="23" t="str">
        <f aca="false">IF(J526="","",IF(COUNTIF(Brand_Log!$A$2:$A$201,J526)&gt;0,"Y","N"))</f>
        <v/>
      </c>
      <c r="N526" s="34" t="str">
        <f aca="false">IF(OR(J526="",AND(LEFT(J526,6)="SAMPLE",Config!$B$19&lt;&gt;"Y")),"",IF(IFERROR(INDEX(Lists!$K$2:$K$15,MATCH(K526,Lists!$J$2:$J$15,0)),-1)=-1,"status '"&amp;K526&amp;"' is not a CONTRACTS status",IF(AND(K526="paid",COUNTIF(paid_brands!$AC$2:$AC$51,J526)=0),"status paid but no paid_brands row"&amp;IF(M526="N"," and no tracker row",""),IF(AND(IFERROR(INDEX(Lists!$K$2:$K$15,MATCH(K526,Lists!$J$2:$J$15,0)),-1)&gt;=6,M526="N"),"status "&amp;K526&amp;" but no tracker row",IF(AND(L526="Y",K526&lt;&gt;"do_not_contact"),"do_not_contact = Y but status is "&amp;K526,IF(AND(K526="do_not_contact",L526&lt;&gt;"Y"),"status do_not_contact but do_not_contact is not Y",""))))))</f>
        <v/>
      </c>
    </row>
    <row r="527" customFormat="false" ht="15" hidden="false" customHeight="false" outlineLevel="0" collapsed="false">
      <c r="B527" s="23" t="n">
        <v>506</v>
      </c>
      <c r="C527" s="23" t="str">
        <f aca="false">IFERROR(INDEX(Clay_Offices!$A$2:$FZ$601,B527,$C$5)&amp;"","")</f>
        <v/>
      </c>
      <c r="D527" s="23" t="str">
        <f aca="false">IFERROR(INDEX(Clay_Offices!$A$2:$FZ$601,B527,$C$7)&amp;"","")</f>
        <v/>
      </c>
      <c r="E527" s="23" t="str">
        <f aca="false">IFERROR(INDEX(Clay_Offices!$A$2:$FZ$601,B527,$C$8)&amp;"","")</f>
        <v/>
      </c>
      <c r="F527" s="23" t="str">
        <f aca="false">IF(C527="","",IF(COUNTIF(Office_Log!$A$2:$A$201,C527)&gt;0,"Y","N"))</f>
        <v/>
      </c>
      <c r="G527" s="34" t="str">
        <f aca="false">IF(OR(C527="",AND(LEFT(C527,6)="SAMPLE",Config!$B$19&lt;&gt;"Y")),"",IF(IFERROR(INDEX(Lists!$K$2:$K$15,MATCH(D527,Lists!$J$2:$J$15,0)),-1)=-1,"status '"&amp;D527&amp;"' is not a CONTRACTS status",IF(AND(D527="signed",COUNTIF(signed_offices!$W$2:$W$51,C527)=0),"status signed but no signed_offices row"&amp;IF(F527="N"," and no tracker row",""),IF(AND(IFERROR(INDEX(Lists!$K$2:$K$15,MATCH(D527,Lists!$J$2:$J$15,0)),-1)&gt;=6,F527="N"),"status "&amp;D527&amp;" but no tracker row",IF(AND(E527="Y",D527&lt;&gt;"do_not_contact"),"do_not_contact = Y but status is "&amp;D527,IF(AND(D527="do_not_contact",E527&lt;&gt;"Y"),"status do_not_contact but do_not_contact is not Y",""))))))</f>
        <v/>
      </c>
      <c r="I527" s="23" t="n">
        <v>506</v>
      </c>
      <c r="J527" s="23" t="str">
        <f aca="false">IFERROR(INDEX(Clay_Brands!$A$2:$FZ$601,I527,$D$5)&amp;"","")</f>
        <v/>
      </c>
      <c r="K527" s="23" t="str">
        <f aca="false">IFERROR(INDEX(Clay_Brands!$A$2:$FZ$601,I527,$D$7)&amp;"","")</f>
        <v/>
      </c>
      <c r="L527" s="23" t="str">
        <f aca="false">IFERROR(INDEX(Clay_Brands!$A$2:$FZ$601,I527,$D$8)&amp;"","")</f>
        <v/>
      </c>
      <c r="M527" s="23" t="str">
        <f aca="false">IF(J527="","",IF(COUNTIF(Brand_Log!$A$2:$A$201,J527)&gt;0,"Y","N"))</f>
        <v/>
      </c>
      <c r="N527" s="34" t="str">
        <f aca="false">IF(OR(J527="",AND(LEFT(J527,6)="SAMPLE",Config!$B$19&lt;&gt;"Y")),"",IF(IFERROR(INDEX(Lists!$K$2:$K$15,MATCH(K527,Lists!$J$2:$J$15,0)),-1)=-1,"status '"&amp;K527&amp;"' is not a CONTRACTS status",IF(AND(K527="paid",COUNTIF(paid_brands!$AC$2:$AC$51,J527)=0),"status paid but no paid_brands row"&amp;IF(M527="N"," and no tracker row",""),IF(AND(IFERROR(INDEX(Lists!$K$2:$K$15,MATCH(K527,Lists!$J$2:$J$15,0)),-1)&gt;=6,M527="N"),"status "&amp;K527&amp;" but no tracker row",IF(AND(L527="Y",K527&lt;&gt;"do_not_contact"),"do_not_contact = Y but status is "&amp;K527,IF(AND(K527="do_not_contact",L527&lt;&gt;"Y"),"status do_not_contact but do_not_contact is not Y",""))))))</f>
        <v/>
      </c>
    </row>
    <row r="528" customFormat="false" ht="15" hidden="false" customHeight="false" outlineLevel="0" collapsed="false">
      <c r="B528" s="23" t="n">
        <v>507</v>
      </c>
      <c r="C528" s="23" t="str">
        <f aca="false">IFERROR(INDEX(Clay_Offices!$A$2:$FZ$601,B528,$C$5)&amp;"","")</f>
        <v/>
      </c>
      <c r="D528" s="23" t="str">
        <f aca="false">IFERROR(INDEX(Clay_Offices!$A$2:$FZ$601,B528,$C$7)&amp;"","")</f>
        <v/>
      </c>
      <c r="E528" s="23" t="str">
        <f aca="false">IFERROR(INDEX(Clay_Offices!$A$2:$FZ$601,B528,$C$8)&amp;"","")</f>
        <v/>
      </c>
      <c r="F528" s="23" t="str">
        <f aca="false">IF(C528="","",IF(COUNTIF(Office_Log!$A$2:$A$201,C528)&gt;0,"Y","N"))</f>
        <v/>
      </c>
      <c r="G528" s="34" t="str">
        <f aca="false">IF(OR(C528="",AND(LEFT(C528,6)="SAMPLE",Config!$B$19&lt;&gt;"Y")),"",IF(IFERROR(INDEX(Lists!$K$2:$K$15,MATCH(D528,Lists!$J$2:$J$15,0)),-1)=-1,"status '"&amp;D528&amp;"' is not a CONTRACTS status",IF(AND(D528="signed",COUNTIF(signed_offices!$W$2:$W$51,C528)=0),"status signed but no signed_offices row"&amp;IF(F528="N"," and no tracker row",""),IF(AND(IFERROR(INDEX(Lists!$K$2:$K$15,MATCH(D528,Lists!$J$2:$J$15,0)),-1)&gt;=6,F528="N"),"status "&amp;D528&amp;" but no tracker row",IF(AND(E528="Y",D528&lt;&gt;"do_not_contact"),"do_not_contact = Y but status is "&amp;D528,IF(AND(D528="do_not_contact",E528&lt;&gt;"Y"),"status do_not_contact but do_not_contact is not Y",""))))))</f>
        <v/>
      </c>
      <c r="I528" s="23" t="n">
        <v>507</v>
      </c>
      <c r="J528" s="23" t="str">
        <f aca="false">IFERROR(INDEX(Clay_Brands!$A$2:$FZ$601,I528,$D$5)&amp;"","")</f>
        <v/>
      </c>
      <c r="K528" s="23" t="str">
        <f aca="false">IFERROR(INDEX(Clay_Brands!$A$2:$FZ$601,I528,$D$7)&amp;"","")</f>
        <v/>
      </c>
      <c r="L528" s="23" t="str">
        <f aca="false">IFERROR(INDEX(Clay_Brands!$A$2:$FZ$601,I528,$D$8)&amp;"","")</f>
        <v/>
      </c>
      <c r="M528" s="23" t="str">
        <f aca="false">IF(J528="","",IF(COUNTIF(Brand_Log!$A$2:$A$201,J528)&gt;0,"Y","N"))</f>
        <v/>
      </c>
      <c r="N528" s="34" t="str">
        <f aca="false">IF(OR(J528="",AND(LEFT(J528,6)="SAMPLE",Config!$B$19&lt;&gt;"Y")),"",IF(IFERROR(INDEX(Lists!$K$2:$K$15,MATCH(K528,Lists!$J$2:$J$15,0)),-1)=-1,"status '"&amp;K528&amp;"' is not a CONTRACTS status",IF(AND(K528="paid",COUNTIF(paid_brands!$AC$2:$AC$51,J528)=0),"status paid but no paid_brands row"&amp;IF(M528="N"," and no tracker row",""),IF(AND(IFERROR(INDEX(Lists!$K$2:$K$15,MATCH(K528,Lists!$J$2:$J$15,0)),-1)&gt;=6,M528="N"),"status "&amp;K528&amp;" but no tracker row",IF(AND(L528="Y",K528&lt;&gt;"do_not_contact"),"do_not_contact = Y but status is "&amp;K528,IF(AND(K528="do_not_contact",L528&lt;&gt;"Y"),"status do_not_contact but do_not_contact is not Y",""))))))</f>
        <v/>
      </c>
    </row>
    <row r="529" customFormat="false" ht="15" hidden="false" customHeight="false" outlineLevel="0" collapsed="false">
      <c r="B529" s="23" t="n">
        <v>508</v>
      </c>
      <c r="C529" s="23" t="str">
        <f aca="false">IFERROR(INDEX(Clay_Offices!$A$2:$FZ$601,B529,$C$5)&amp;"","")</f>
        <v/>
      </c>
      <c r="D529" s="23" t="str">
        <f aca="false">IFERROR(INDEX(Clay_Offices!$A$2:$FZ$601,B529,$C$7)&amp;"","")</f>
        <v/>
      </c>
      <c r="E529" s="23" t="str">
        <f aca="false">IFERROR(INDEX(Clay_Offices!$A$2:$FZ$601,B529,$C$8)&amp;"","")</f>
        <v/>
      </c>
      <c r="F529" s="23" t="str">
        <f aca="false">IF(C529="","",IF(COUNTIF(Office_Log!$A$2:$A$201,C529)&gt;0,"Y","N"))</f>
        <v/>
      </c>
      <c r="G529" s="34" t="str">
        <f aca="false">IF(OR(C529="",AND(LEFT(C529,6)="SAMPLE",Config!$B$19&lt;&gt;"Y")),"",IF(IFERROR(INDEX(Lists!$K$2:$K$15,MATCH(D529,Lists!$J$2:$J$15,0)),-1)=-1,"status '"&amp;D529&amp;"' is not a CONTRACTS status",IF(AND(D529="signed",COUNTIF(signed_offices!$W$2:$W$51,C529)=0),"status signed but no signed_offices row"&amp;IF(F529="N"," and no tracker row",""),IF(AND(IFERROR(INDEX(Lists!$K$2:$K$15,MATCH(D529,Lists!$J$2:$J$15,0)),-1)&gt;=6,F529="N"),"status "&amp;D529&amp;" but no tracker row",IF(AND(E529="Y",D529&lt;&gt;"do_not_contact"),"do_not_contact = Y but status is "&amp;D529,IF(AND(D529="do_not_contact",E529&lt;&gt;"Y"),"status do_not_contact but do_not_contact is not Y",""))))))</f>
        <v/>
      </c>
      <c r="I529" s="23" t="n">
        <v>508</v>
      </c>
      <c r="J529" s="23" t="str">
        <f aca="false">IFERROR(INDEX(Clay_Brands!$A$2:$FZ$601,I529,$D$5)&amp;"","")</f>
        <v/>
      </c>
      <c r="K529" s="23" t="str">
        <f aca="false">IFERROR(INDEX(Clay_Brands!$A$2:$FZ$601,I529,$D$7)&amp;"","")</f>
        <v/>
      </c>
      <c r="L529" s="23" t="str">
        <f aca="false">IFERROR(INDEX(Clay_Brands!$A$2:$FZ$601,I529,$D$8)&amp;"","")</f>
        <v/>
      </c>
      <c r="M529" s="23" t="str">
        <f aca="false">IF(J529="","",IF(COUNTIF(Brand_Log!$A$2:$A$201,J529)&gt;0,"Y","N"))</f>
        <v/>
      </c>
      <c r="N529" s="34" t="str">
        <f aca="false">IF(OR(J529="",AND(LEFT(J529,6)="SAMPLE",Config!$B$19&lt;&gt;"Y")),"",IF(IFERROR(INDEX(Lists!$K$2:$K$15,MATCH(K529,Lists!$J$2:$J$15,0)),-1)=-1,"status '"&amp;K529&amp;"' is not a CONTRACTS status",IF(AND(K529="paid",COUNTIF(paid_brands!$AC$2:$AC$51,J529)=0),"status paid but no paid_brands row"&amp;IF(M529="N"," and no tracker row",""),IF(AND(IFERROR(INDEX(Lists!$K$2:$K$15,MATCH(K529,Lists!$J$2:$J$15,0)),-1)&gt;=6,M529="N"),"status "&amp;K529&amp;" but no tracker row",IF(AND(L529="Y",K529&lt;&gt;"do_not_contact"),"do_not_contact = Y but status is "&amp;K529,IF(AND(K529="do_not_contact",L529&lt;&gt;"Y"),"status do_not_contact but do_not_contact is not Y",""))))))</f>
        <v/>
      </c>
    </row>
    <row r="530" customFormat="false" ht="15" hidden="false" customHeight="false" outlineLevel="0" collapsed="false">
      <c r="B530" s="23" t="n">
        <v>509</v>
      </c>
      <c r="C530" s="23" t="str">
        <f aca="false">IFERROR(INDEX(Clay_Offices!$A$2:$FZ$601,B530,$C$5)&amp;"","")</f>
        <v/>
      </c>
      <c r="D530" s="23" t="str">
        <f aca="false">IFERROR(INDEX(Clay_Offices!$A$2:$FZ$601,B530,$C$7)&amp;"","")</f>
        <v/>
      </c>
      <c r="E530" s="23" t="str">
        <f aca="false">IFERROR(INDEX(Clay_Offices!$A$2:$FZ$601,B530,$C$8)&amp;"","")</f>
        <v/>
      </c>
      <c r="F530" s="23" t="str">
        <f aca="false">IF(C530="","",IF(COUNTIF(Office_Log!$A$2:$A$201,C530)&gt;0,"Y","N"))</f>
        <v/>
      </c>
      <c r="G530" s="34" t="str">
        <f aca="false">IF(OR(C530="",AND(LEFT(C530,6)="SAMPLE",Config!$B$19&lt;&gt;"Y")),"",IF(IFERROR(INDEX(Lists!$K$2:$K$15,MATCH(D530,Lists!$J$2:$J$15,0)),-1)=-1,"status '"&amp;D530&amp;"' is not a CONTRACTS status",IF(AND(D530="signed",COUNTIF(signed_offices!$W$2:$W$51,C530)=0),"status signed but no signed_offices row"&amp;IF(F530="N"," and no tracker row",""),IF(AND(IFERROR(INDEX(Lists!$K$2:$K$15,MATCH(D530,Lists!$J$2:$J$15,0)),-1)&gt;=6,F530="N"),"status "&amp;D530&amp;" but no tracker row",IF(AND(E530="Y",D530&lt;&gt;"do_not_contact"),"do_not_contact = Y but status is "&amp;D530,IF(AND(D530="do_not_contact",E530&lt;&gt;"Y"),"status do_not_contact but do_not_contact is not Y",""))))))</f>
        <v/>
      </c>
      <c r="I530" s="23" t="n">
        <v>509</v>
      </c>
      <c r="J530" s="23" t="str">
        <f aca="false">IFERROR(INDEX(Clay_Brands!$A$2:$FZ$601,I530,$D$5)&amp;"","")</f>
        <v/>
      </c>
      <c r="K530" s="23" t="str">
        <f aca="false">IFERROR(INDEX(Clay_Brands!$A$2:$FZ$601,I530,$D$7)&amp;"","")</f>
        <v/>
      </c>
      <c r="L530" s="23" t="str">
        <f aca="false">IFERROR(INDEX(Clay_Brands!$A$2:$FZ$601,I530,$D$8)&amp;"","")</f>
        <v/>
      </c>
      <c r="M530" s="23" t="str">
        <f aca="false">IF(J530="","",IF(COUNTIF(Brand_Log!$A$2:$A$201,J530)&gt;0,"Y","N"))</f>
        <v/>
      </c>
      <c r="N530" s="34" t="str">
        <f aca="false">IF(OR(J530="",AND(LEFT(J530,6)="SAMPLE",Config!$B$19&lt;&gt;"Y")),"",IF(IFERROR(INDEX(Lists!$K$2:$K$15,MATCH(K530,Lists!$J$2:$J$15,0)),-1)=-1,"status '"&amp;K530&amp;"' is not a CONTRACTS status",IF(AND(K530="paid",COUNTIF(paid_brands!$AC$2:$AC$51,J530)=0),"status paid but no paid_brands row"&amp;IF(M530="N"," and no tracker row",""),IF(AND(IFERROR(INDEX(Lists!$K$2:$K$15,MATCH(K530,Lists!$J$2:$J$15,0)),-1)&gt;=6,M530="N"),"status "&amp;K530&amp;" but no tracker row",IF(AND(L530="Y",K530&lt;&gt;"do_not_contact"),"do_not_contact = Y but status is "&amp;K530,IF(AND(K530="do_not_contact",L530&lt;&gt;"Y"),"status do_not_contact but do_not_contact is not Y",""))))))</f>
        <v/>
      </c>
    </row>
    <row r="531" customFormat="false" ht="15" hidden="false" customHeight="false" outlineLevel="0" collapsed="false">
      <c r="B531" s="23" t="n">
        <v>510</v>
      </c>
      <c r="C531" s="23" t="str">
        <f aca="false">IFERROR(INDEX(Clay_Offices!$A$2:$FZ$601,B531,$C$5)&amp;"","")</f>
        <v/>
      </c>
      <c r="D531" s="23" t="str">
        <f aca="false">IFERROR(INDEX(Clay_Offices!$A$2:$FZ$601,B531,$C$7)&amp;"","")</f>
        <v/>
      </c>
      <c r="E531" s="23" t="str">
        <f aca="false">IFERROR(INDEX(Clay_Offices!$A$2:$FZ$601,B531,$C$8)&amp;"","")</f>
        <v/>
      </c>
      <c r="F531" s="23" t="str">
        <f aca="false">IF(C531="","",IF(COUNTIF(Office_Log!$A$2:$A$201,C531)&gt;0,"Y","N"))</f>
        <v/>
      </c>
      <c r="G531" s="34" t="str">
        <f aca="false">IF(OR(C531="",AND(LEFT(C531,6)="SAMPLE",Config!$B$19&lt;&gt;"Y")),"",IF(IFERROR(INDEX(Lists!$K$2:$K$15,MATCH(D531,Lists!$J$2:$J$15,0)),-1)=-1,"status '"&amp;D531&amp;"' is not a CONTRACTS status",IF(AND(D531="signed",COUNTIF(signed_offices!$W$2:$W$51,C531)=0),"status signed but no signed_offices row"&amp;IF(F531="N"," and no tracker row",""),IF(AND(IFERROR(INDEX(Lists!$K$2:$K$15,MATCH(D531,Lists!$J$2:$J$15,0)),-1)&gt;=6,F531="N"),"status "&amp;D531&amp;" but no tracker row",IF(AND(E531="Y",D531&lt;&gt;"do_not_contact"),"do_not_contact = Y but status is "&amp;D531,IF(AND(D531="do_not_contact",E531&lt;&gt;"Y"),"status do_not_contact but do_not_contact is not Y",""))))))</f>
        <v/>
      </c>
      <c r="I531" s="23" t="n">
        <v>510</v>
      </c>
      <c r="J531" s="23" t="str">
        <f aca="false">IFERROR(INDEX(Clay_Brands!$A$2:$FZ$601,I531,$D$5)&amp;"","")</f>
        <v/>
      </c>
      <c r="K531" s="23" t="str">
        <f aca="false">IFERROR(INDEX(Clay_Brands!$A$2:$FZ$601,I531,$D$7)&amp;"","")</f>
        <v/>
      </c>
      <c r="L531" s="23" t="str">
        <f aca="false">IFERROR(INDEX(Clay_Brands!$A$2:$FZ$601,I531,$D$8)&amp;"","")</f>
        <v/>
      </c>
      <c r="M531" s="23" t="str">
        <f aca="false">IF(J531="","",IF(COUNTIF(Brand_Log!$A$2:$A$201,J531)&gt;0,"Y","N"))</f>
        <v/>
      </c>
      <c r="N531" s="34" t="str">
        <f aca="false">IF(OR(J531="",AND(LEFT(J531,6)="SAMPLE",Config!$B$19&lt;&gt;"Y")),"",IF(IFERROR(INDEX(Lists!$K$2:$K$15,MATCH(K531,Lists!$J$2:$J$15,0)),-1)=-1,"status '"&amp;K531&amp;"' is not a CONTRACTS status",IF(AND(K531="paid",COUNTIF(paid_brands!$AC$2:$AC$51,J531)=0),"status paid but no paid_brands row"&amp;IF(M531="N"," and no tracker row",""),IF(AND(IFERROR(INDEX(Lists!$K$2:$K$15,MATCH(K531,Lists!$J$2:$J$15,0)),-1)&gt;=6,M531="N"),"status "&amp;K531&amp;" but no tracker row",IF(AND(L531="Y",K531&lt;&gt;"do_not_contact"),"do_not_contact = Y but status is "&amp;K531,IF(AND(K531="do_not_contact",L531&lt;&gt;"Y"),"status do_not_contact but do_not_contact is not Y",""))))))</f>
        <v/>
      </c>
    </row>
    <row r="532" customFormat="false" ht="15" hidden="false" customHeight="false" outlineLevel="0" collapsed="false">
      <c r="B532" s="23" t="n">
        <v>511</v>
      </c>
      <c r="C532" s="23" t="str">
        <f aca="false">IFERROR(INDEX(Clay_Offices!$A$2:$FZ$601,B532,$C$5)&amp;"","")</f>
        <v/>
      </c>
      <c r="D532" s="23" t="str">
        <f aca="false">IFERROR(INDEX(Clay_Offices!$A$2:$FZ$601,B532,$C$7)&amp;"","")</f>
        <v/>
      </c>
      <c r="E532" s="23" t="str">
        <f aca="false">IFERROR(INDEX(Clay_Offices!$A$2:$FZ$601,B532,$C$8)&amp;"","")</f>
        <v/>
      </c>
      <c r="F532" s="23" t="str">
        <f aca="false">IF(C532="","",IF(COUNTIF(Office_Log!$A$2:$A$201,C532)&gt;0,"Y","N"))</f>
        <v/>
      </c>
      <c r="G532" s="34" t="str">
        <f aca="false">IF(OR(C532="",AND(LEFT(C532,6)="SAMPLE",Config!$B$19&lt;&gt;"Y")),"",IF(IFERROR(INDEX(Lists!$K$2:$K$15,MATCH(D532,Lists!$J$2:$J$15,0)),-1)=-1,"status '"&amp;D532&amp;"' is not a CONTRACTS status",IF(AND(D532="signed",COUNTIF(signed_offices!$W$2:$W$51,C532)=0),"status signed but no signed_offices row"&amp;IF(F532="N"," and no tracker row",""),IF(AND(IFERROR(INDEX(Lists!$K$2:$K$15,MATCH(D532,Lists!$J$2:$J$15,0)),-1)&gt;=6,F532="N"),"status "&amp;D532&amp;" but no tracker row",IF(AND(E532="Y",D532&lt;&gt;"do_not_contact"),"do_not_contact = Y but status is "&amp;D532,IF(AND(D532="do_not_contact",E532&lt;&gt;"Y"),"status do_not_contact but do_not_contact is not Y",""))))))</f>
        <v/>
      </c>
      <c r="I532" s="23" t="n">
        <v>511</v>
      </c>
      <c r="J532" s="23" t="str">
        <f aca="false">IFERROR(INDEX(Clay_Brands!$A$2:$FZ$601,I532,$D$5)&amp;"","")</f>
        <v/>
      </c>
      <c r="K532" s="23" t="str">
        <f aca="false">IFERROR(INDEX(Clay_Brands!$A$2:$FZ$601,I532,$D$7)&amp;"","")</f>
        <v/>
      </c>
      <c r="L532" s="23" t="str">
        <f aca="false">IFERROR(INDEX(Clay_Brands!$A$2:$FZ$601,I532,$D$8)&amp;"","")</f>
        <v/>
      </c>
      <c r="M532" s="23" t="str">
        <f aca="false">IF(J532="","",IF(COUNTIF(Brand_Log!$A$2:$A$201,J532)&gt;0,"Y","N"))</f>
        <v/>
      </c>
      <c r="N532" s="34" t="str">
        <f aca="false">IF(OR(J532="",AND(LEFT(J532,6)="SAMPLE",Config!$B$19&lt;&gt;"Y")),"",IF(IFERROR(INDEX(Lists!$K$2:$K$15,MATCH(K532,Lists!$J$2:$J$15,0)),-1)=-1,"status '"&amp;K532&amp;"' is not a CONTRACTS status",IF(AND(K532="paid",COUNTIF(paid_brands!$AC$2:$AC$51,J532)=0),"status paid but no paid_brands row"&amp;IF(M532="N"," and no tracker row",""),IF(AND(IFERROR(INDEX(Lists!$K$2:$K$15,MATCH(K532,Lists!$J$2:$J$15,0)),-1)&gt;=6,M532="N"),"status "&amp;K532&amp;" but no tracker row",IF(AND(L532="Y",K532&lt;&gt;"do_not_contact"),"do_not_contact = Y but status is "&amp;K532,IF(AND(K532="do_not_contact",L532&lt;&gt;"Y"),"status do_not_contact but do_not_contact is not Y",""))))))</f>
        <v/>
      </c>
    </row>
    <row r="533" customFormat="false" ht="15" hidden="false" customHeight="false" outlineLevel="0" collapsed="false">
      <c r="B533" s="23" t="n">
        <v>512</v>
      </c>
      <c r="C533" s="23" t="str">
        <f aca="false">IFERROR(INDEX(Clay_Offices!$A$2:$FZ$601,B533,$C$5)&amp;"","")</f>
        <v/>
      </c>
      <c r="D533" s="23" t="str">
        <f aca="false">IFERROR(INDEX(Clay_Offices!$A$2:$FZ$601,B533,$C$7)&amp;"","")</f>
        <v/>
      </c>
      <c r="E533" s="23" t="str">
        <f aca="false">IFERROR(INDEX(Clay_Offices!$A$2:$FZ$601,B533,$C$8)&amp;"","")</f>
        <v/>
      </c>
      <c r="F533" s="23" t="str">
        <f aca="false">IF(C533="","",IF(COUNTIF(Office_Log!$A$2:$A$201,C533)&gt;0,"Y","N"))</f>
        <v/>
      </c>
      <c r="G533" s="34" t="str">
        <f aca="false">IF(OR(C533="",AND(LEFT(C533,6)="SAMPLE",Config!$B$19&lt;&gt;"Y")),"",IF(IFERROR(INDEX(Lists!$K$2:$K$15,MATCH(D533,Lists!$J$2:$J$15,0)),-1)=-1,"status '"&amp;D533&amp;"' is not a CONTRACTS status",IF(AND(D533="signed",COUNTIF(signed_offices!$W$2:$W$51,C533)=0),"status signed but no signed_offices row"&amp;IF(F533="N"," and no tracker row",""),IF(AND(IFERROR(INDEX(Lists!$K$2:$K$15,MATCH(D533,Lists!$J$2:$J$15,0)),-1)&gt;=6,F533="N"),"status "&amp;D533&amp;" but no tracker row",IF(AND(E533="Y",D533&lt;&gt;"do_not_contact"),"do_not_contact = Y but status is "&amp;D533,IF(AND(D533="do_not_contact",E533&lt;&gt;"Y"),"status do_not_contact but do_not_contact is not Y",""))))))</f>
        <v/>
      </c>
      <c r="I533" s="23" t="n">
        <v>512</v>
      </c>
      <c r="J533" s="23" t="str">
        <f aca="false">IFERROR(INDEX(Clay_Brands!$A$2:$FZ$601,I533,$D$5)&amp;"","")</f>
        <v/>
      </c>
      <c r="K533" s="23" t="str">
        <f aca="false">IFERROR(INDEX(Clay_Brands!$A$2:$FZ$601,I533,$D$7)&amp;"","")</f>
        <v/>
      </c>
      <c r="L533" s="23" t="str">
        <f aca="false">IFERROR(INDEX(Clay_Brands!$A$2:$FZ$601,I533,$D$8)&amp;"","")</f>
        <v/>
      </c>
      <c r="M533" s="23" t="str">
        <f aca="false">IF(J533="","",IF(COUNTIF(Brand_Log!$A$2:$A$201,J533)&gt;0,"Y","N"))</f>
        <v/>
      </c>
      <c r="N533" s="34" t="str">
        <f aca="false">IF(OR(J533="",AND(LEFT(J533,6)="SAMPLE",Config!$B$19&lt;&gt;"Y")),"",IF(IFERROR(INDEX(Lists!$K$2:$K$15,MATCH(K533,Lists!$J$2:$J$15,0)),-1)=-1,"status '"&amp;K533&amp;"' is not a CONTRACTS status",IF(AND(K533="paid",COUNTIF(paid_brands!$AC$2:$AC$51,J533)=0),"status paid but no paid_brands row"&amp;IF(M533="N"," and no tracker row",""),IF(AND(IFERROR(INDEX(Lists!$K$2:$K$15,MATCH(K533,Lists!$J$2:$J$15,0)),-1)&gt;=6,M533="N"),"status "&amp;K533&amp;" but no tracker row",IF(AND(L533="Y",K533&lt;&gt;"do_not_contact"),"do_not_contact = Y but status is "&amp;K533,IF(AND(K533="do_not_contact",L533&lt;&gt;"Y"),"status do_not_contact but do_not_contact is not Y",""))))))</f>
        <v/>
      </c>
    </row>
    <row r="534" customFormat="false" ht="15" hidden="false" customHeight="false" outlineLevel="0" collapsed="false">
      <c r="B534" s="23" t="n">
        <v>513</v>
      </c>
      <c r="C534" s="23" t="str">
        <f aca="false">IFERROR(INDEX(Clay_Offices!$A$2:$FZ$601,B534,$C$5)&amp;"","")</f>
        <v/>
      </c>
      <c r="D534" s="23" t="str">
        <f aca="false">IFERROR(INDEX(Clay_Offices!$A$2:$FZ$601,B534,$C$7)&amp;"","")</f>
        <v/>
      </c>
      <c r="E534" s="23" t="str">
        <f aca="false">IFERROR(INDEX(Clay_Offices!$A$2:$FZ$601,B534,$C$8)&amp;"","")</f>
        <v/>
      </c>
      <c r="F534" s="23" t="str">
        <f aca="false">IF(C534="","",IF(COUNTIF(Office_Log!$A$2:$A$201,C534)&gt;0,"Y","N"))</f>
        <v/>
      </c>
      <c r="G534" s="34" t="str">
        <f aca="false">IF(OR(C534="",AND(LEFT(C534,6)="SAMPLE",Config!$B$19&lt;&gt;"Y")),"",IF(IFERROR(INDEX(Lists!$K$2:$K$15,MATCH(D534,Lists!$J$2:$J$15,0)),-1)=-1,"status '"&amp;D534&amp;"' is not a CONTRACTS status",IF(AND(D534="signed",COUNTIF(signed_offices!$W$2:$W$51,C534)=0),"status signed but no signed_offices row"&amp;IF(F534="N"," and no tracker row",""),IF(AND(IFERROR(INDEX(Lists!$K$2:$K$15,MATCH(D534,Lists!$J$2:$J$15,0)),-1)&gt;=6,F534="N"),"status "&amp;D534&amp;" but no tracker row",IF(AND(E534="Y",D534&lt;&gt;"do_not_contact"),"do_not_contact = Y but status is "&amp;D534,IF(AND(D534="do_not_contact",E534&lt;&gt;"Y"),"status do_not_contact but do_not_contact is not Y",""))))))</f>
        <v/>
      </c>
      <c r="I534" s="23" t="n">
        <v>513</v>
      </c>
      <c r="J534" s="23" t="str">
        <f aca="false">IFERROR(INDEX(Clay_Brands!$A$2:$FZ$601,I534,$D$5)&amp;"","")</f>
        <v/>
      </c>
      <c r="K534" s="23" t="str">
        <f aca="false">IFERROR(INDEX(Clay_Brands!$A$2:$FZ$601,I534,$D$7)&amp;"","")</f>
        <v/>
      </c>
      <c r="L534" s="23" t="str">
        <f aca="false">IFERROR(INDEX(Clay_Brands!$A$2:$FZ$601,I534,$D$8)&amp;"","")</f>
        <v/>
      </c>
      <c r="M534" s="23" t="str">
        <f aca="false">IF(J534="","",IF(COUNTIF(Brand_Log!$A$2:$A$201,J534)&gt;0,"Y","N"))</f>
        <v/>
      </c>
      <c r="N534" s="34" t="str">
        <f aca="false">IF(OR(J534="",AND(LEFT(J534,6)="SAMPLE",Config!$B$19&lt;&gt;"Y")),"",IF(IFERROR(INDEX(Lists!$K$2:$K$15,MATCH(K534,Lists!$J$2:$J$15,0)),-1)=-1,"status '"&amp;K534&amp;"' is not a CONTRACTS status",IF(AND(K534="paid",COUNTIF(paid_brands!$AC$2:$AC$51,J534)=0),"status paid but no paid_brands row"&amp;IF(M534="N"," and no tracker row",""),IF(AND(IFERROR(INDEX(Lists!$K$2:$K$15,MATCH(K534,Lists!$J$2:$J$15,0)),-1)&gt;=6,M534="N"),"status "&amp;K534&amp;" but no tracker row",IF(AND(L534="Y",K534&lt;&gt;"do_not_contact"),"do_not_contact = Y but status is "&amp;K534,IF(AND(K534="do_not_contact",L534&lt;&gt;"Y"),"status do_not_contact but do_not_contact is not Y",""))))))</f>
        <v/>
      </c>
    </row>
    <row r="535" customFormat="false" ht="15" hidden="false" customHeight="false" outlineLevel="0" collapsed="false">
      <c r="B535" s="23" t="n">
        <v>514</v>
      </c>
      <c r="C535" s="23" t="str">
        <f aca="false">IFERROR(INDEX(Clay_Offices!$A$2:$FZ$601,B535,$C$5)&amp;"","")</f>
        <v/>
      </c>
      <c r="D535" s="23" t="str">
        <f aca="false">IFERROR(INDEX(Clay_Offices!$A$2:$FZ$601,B535,$C$7)&amp;"","")</f>
        <v/>
      </c>
      <c r="E535" s="23" t="str">
        <f aca="false">IFERROR(INDEX(Clay_Offices!$A$2:$FZ$601,B535,$C$8)&amp;"","")</f>
        <v/>
      </c>
      <c r="F535" s="23" t="str">
        <f aca="false">IF(C535="","",IF(COUNTIF(Office_Log!$A$2:$A$201,C535)&gt;0,"Y","N"))</f>
        <v/>
      </c>
      <c r="G535" s="34" t="str">
        <f aca="false">IF(OR(C535="",AND(LEFT(C535,6)="SAMPLE",Config!$B$19&lt;&gt;"Y")),"",IF(IFERROR(INDEX(Lists!$K$2:$K$15,MATCH(D535,Lists!$J$2:$J$15,0)),-1)=-1,"status '"&amp;D535&amp;"' is not a CONTRACTS status",IF(AND(D535="signed",COUNTIF(signed_offices!$W$2:$W$51,C535)=0),"status signed but no signed_offices row"&amp;IF(F535="N"," and no tracker row",""),IF(AND(IFERROR(INDEX(Lists!$K$2:$K$15,MATCH(D535,Lists!$J$2:$J$15,0)),-1)&gt;=6,F535="N"),"status "&amp;D535&amp;" but no tracker row",IF(AND(E535="Y",D535&lt;&gt;"do_not_contact"),"do_not_contact = Y but status is "&amp;D535,IF(AND(D535="do_not_contact",E535&lt;&gt;"Y"),"status do_not_contact but do_not_contact is not Y",""))))))</f>
        <v/>
      </c>
      <c r="I535" s="23" t="n">
        <v>514</v>
      </c>
      <c r="J535" s="23" t="str">
        <f aca="false">IFERROR(INDEX(Clay_Brands!$A$2:$FZ$601,I535,$D$5)&amp;"","")</f>
        <v/>
      </c>
      <c r="K535" s="23" t="str">
        <f aca="false">IFERROR(INDEX(Clay_Brands!$A$2:$FZ$601,I535,$D$7)&amp;"","")</f>
        <v/>
      </c>
      <c r="L535" s="23" t="str">
        <f aca="false">IFERROR(INDEX(Clay_Brands!$A$2:$FZ$601,I535,$D$8)&amp;"","")</f>
        <v/>
      </c>
      <c r="M535" s="23" t="str">
        <f aca="false">IF(J535="","",IF(COUNTIF(Brand_Log!$A$2:$A$201,J535)&gt;0,"Y","N"))</f>
        <v/>
      </c>
      <c r="N535" s="34" t="str">
        <f aca="false">IF(OR(J535="",AND(LEFT(J535,6)="SAMPLE",Config!$B$19&lt;&gt;"Y")),"",IF(IFERROR(INDEX(Lists!$K$2:$K$15,MATCH(K535,Lists!$J$2:$J$15,0)),-1)=-1,"status '"&amp;K535&amp;"' is not a CONTRACTS status",IF(AND(K535="paid",COUNTIF(paid_brands!$AC$2:$AC$51,J535)=0),"status paid but no paid_brands row"&amp;IF(M535="N"," and no tracker row",""),IF(AND(IFERROR(INDEX(Lists!$K$2:$K$15,MATCH(K535,Lists!$J$2:$J$15,0)),-1)&gt;=6,M535="N"),"status "&amp;K535&amp;" but no tracker row",IF(AND(L535="Y",K535&lt;&gt;"do_not_contact"),"do_not_contact = Y but status is "&amp;K535,IF(AND(K535="do_not_contact",L535&lt;&gt;"Y"),"status do_not_contact but do_not_contact is not Y",""))))))</f>
        <v/>
      </c>
    </row>
    <row r="536" customFormat="false" ht="15" hidden="false" customHeight="false" outlineLevel="0" collapsed="false">
      <c r="B536" s="23" t="n">
        <v>515</v>
      </c>
      <c r="C536" s="23" t="str">
        <f aca="false">IFERROR(INDEX(Clay_Offices!$A$2:$FZ$601,B536,$C$5)&amp;"","")</f>
        <v/>
      </c>
      <c r="D536" s="23" t="str">
        <f aca="false">IFERROR(INDEX(Clay_Offices!$A$2:$FZ$601,B536,$C$7)&amp;"","")</f>
        <v/>
      </c>
      <c r="E536" s="23" t="str">
        <f aca="false">IFERROR(INDEX(Clay_Offices!$A$2:$FZ$601,B536,$C$8)&amp;"","")</f>
        <v/>
      </c>
      <c r="F536" s="23" t="str">
        <f aca="false">IF(C536="","",IF(COUNTIF(Office_Log!$A$2:$A$201,C536)&gt;0,"Y","N"))</f>
        <v/>
      </c>
      <c r="G536" s="34" t="str">
        <f aca="false">IF(OR(C536="",AND(LEFT(C536,6)="SAMPLE",Config!$B$19&lt;&gt;"Y")),"",IF(IFERROR(INDEX(Lists!$K$2:$K$15,MATCH(D536,Lists!$J$2:$J$15,0)),-1)=-1,"status '"&amp;D536&amp;"' is not a CONTRACTS status",IF(AND(D536="signed",COUNTIF(signed_offices!$W$2:$W$51,C536)=0),"status signed but no signed_offices row"&amp;IF(F536="N"," and no tracker row",""),IF(AND(IFERROR(INDEX(Lists!$K$2:$K$15,MATCH(D536,Lists!$J$2:$J$15,0)),-1)&gt;=6,F536="N"),"status "&amp;D536&amp;" but no tracker row",IF(AND(E536="Y",D536&lt;&gt;"do_not_contact"),"do_not_contact = Y but status is "&amp;D536,IF(AND(D536="do_not_contact",E536&lt;&gt;"Y"),"status do_not_contact but do_not_contact is not Y",""))))))</f>
        <v/>
      </c>
      <c r="I536" s="23" t="n">
        <v>515</v>
      </c>
      <c r="J536" s="23" t="str">
        <f aca="false">IFERROR(INDEX(Clay_Brands!$A$2:$FZ$601,I536,$D$5)&amp;"","")</f>
        <v/>
      </c>
      <c r="K536" s="23" t="str">
        <f aca="false">IFERROR(INDEX(Clay_Brands!$A$2:$FZ$601,I536,$D$7)&amp;"","")</f>
        <v/>
      </c>
      <c r="L536" s="23" t="str">
        <f aca="false">IFERROR(INDEX(Clay_Brands!$A$2:$FZ$601,I536,$D$8)&amp;"","")</f>
        <v/>
      </c>
      <c r="M536" s="23" t="str">
        <f aca="false">IF(J536="","",IF(COUNTIF(Brand_Log!$A$2:$A$201,J536)&gt;0,"Y","N"))</f>
        <v/>
      </c>
      <c r="N536" s="34" t="str">
        <f aca="false">IF(OR(J536="",AND(LEFT(J536,6)="SAMPLE",Config!$B$19&lt;&gt;"Y")),"",IF(IFERROR(INDEX(Lists!$K$2:$K$15,MATCH(K536,Lists!$J$2:$J$15,0)),-1)=-1,"status '"&amp;K536&amp;"' is not a CONTRACTS status",IF(AND(K536="paid",COUNTIF(paid_brands!$AC$2:$AC$51,J536)=0),"status paid but no paid_brands row"&amp;IF(M536="N"," and no tracker row",""),IF(AND(IFERROR(INDEX(Lists!$K$2:$K$15,MATCH(K536,Lists!$J$2:$J$15,0)),-1)&gt;=6,M536="N"),"status "&amp;K536&amp;" but no tracker row",IF(AND(L536="Y",K536&lt;&gt;"do_not_contact"),"do_not_contact = Y but status is "&amp;K536,IF(AND(K536="do_not_contact",L536&lt;&gt;"Y"),"status do_not_contact but do_not_contact is not Y",""))))))</f>
        <v/>
      </c>
    </row>
    <row r="537" customFormat="false" ht="15" hidden="false" customHeight="false" outlineLevel="0" collapsed="false">
      <c r="B537" s="23" t="n">
        <v>516</v>
      </c>
      <c r="C537" s="23" t="str">
        <f aca="false">IFERROR(INDEX(Clay_Offices!$A$2:$FZ$601,B537,$C$5)&amp;"","")</f>
        <v/>
      </c>
      <c r="D537" s="23" t="str">
        <f aca="false">IFERROR(INDEX(Clay_Offices!$A$2:$FZ$601,B537,$C$7)&amp;"","")</f>
        <v/>
      </c>
      <c r="E537" s="23" t="str">
        <f aca="false">IFERROR(INDEX(Clay_Offices!$A$2:$FZ$601,B537,$C$8)&amp;"","")</f>
        <v/>
      </c>
      <c r="F537" s="23" t="str">
        <f aca="false">IF(C537="","",IF(COUNTIF(Office_Log!$A$2:$A$201,C537)&gt;0,"Y","N"))</f>
        <v/>
      </c>
      <c r="G537" s="34" t="str">
        <f aca="false">IF(OR(C537="",AND(LEFT(C537,6)="SAMPLE",Config!$B$19&lt;&gt;"Y")),"",IF(IFERROR(INDEX(Lists!$K$2:$K$15,MATCH(D537,Lists!$J$2:$J$15,0)),-1)=-1,"status '"&amp;D537&amp;"' is not a CONTRACTS status",IF(AND(D537="signed",COUNTIF(signed_offices!$W$2:$W$51,C537)=0),"status signed but no signed_offices row"&amp;IF(F537="N"," and no tracker row",""),IF(AND(IFERROR(INDEX(Lists!$K$2:$K$15,MATCH(D537,Lists!$J$2:$J$15,0)),-1)&gt;=6,F537="N"),"status "&amp;D537&amp;" but no tracker row",IF(AND(E537="Y",D537&lt;&gt;"do_not_contact"),"do_not_contact = Y but status is "&amp;D537,IF(AND(D537="do_not_contact",E537&lt;&gt;"Y"),"status do_not_contact but do_not_contact is not Y",""))))))</f>
        <v/>
      </c>
      <c r="I537" s="23" t="n">
        <v>516</v>
      </c>
      <c r="J537" s="23" t="str">
        <f aca="false">IFERROR(INDEX(Clay_Brands!$A$2:$FZ$601,I537,$D$5)&amp;"","")</f>
        <v/>
      </c>
      <c r="K537" s="23" t="str">
        <f aca="false">IFERROR(INDEX(Clay_Brands!$A$2:$FZ$601,I537,$D$7)&amp;"","")</f>
        <v/>
      </c>
      <c r="L537" s="23" t="str">
        <f aca="false">IFERROR(INDEX(Clay_Brands!$A$2:$FZ$601,I537,$D$8)&amp;"","")</f>
        <v/>
      </c>
      <c r="M537" s="23" t="str">
        <f aca="false">IF(J537="","",IF(COUNTIF(Brand_Log!$A$2:$A$201,J537)&gt;0,"Y","N"))</f>
        <v/>
      </c>
      <c r="N537" s="34" t="str">
        <f aca="false">IF(OR(J537="",AND(LEFT(J537,6)="SAMPLE",Config!$B$19&lt;&gt;"Y")),"",IF(IFERROR(INDEX(Lists!$K$2:$K$15,MATCH(K537,Lists!$J$2:$J$15,0)),-1)=-1,"status '"&amp;K537&amp;"' is not a CONTRACTS status",IF(AND(K537="paid",COUNTIF(paid_brands!$AC$2:$AC$51,J537)=0),"status paid but no paid_brands row"&amp;IF(M537="N"," and no tracker row",""),IF(AND(IFERROR(INDEX(Lists!$K$2:$K$15,MATCH(K537,Lists!$J$2:$J$15,0)),-1)&gt;=6,M537="N"),"status "&amp;K537&amp;" but no tracker row",IF(AND(L537="Y",K537&lt;&gt;"do_not_contact"),"do_not_contact = Y but status is "&amp;K537,IF(AND(K537="do_not_contact",L537&lt;&gt;"Y"),"status do_not_contact but do_not_contact is not Y",""))))))</f>
        <v/>
      </c>
    </row>
    <row r="538" customFormat="false" ht="15" hidden="false" customHeight="false" outlineLevel="0" collapsed="false">
      <c r="B538" s="23" t="n">
        <v>517</v>
      </c>
      <c r="C538" s="23" t="str">
        <f aca="false">IFERROR(INDEX(Clay_Offices!$A$2:$FZ$601,B538,$C$5)&amp;"","")</f>
        <v/>
      </c>
      <c r="D538" s="23" t="str">
        <f aca="false">IFERROR(INDEX(Clay_Offices!$A$2:$FZ$601,B538,$C$7)&amp;"","")</f>
        <v/>
      </c>
      <c r="E538" s="23" t="str">
        <f aca="false">IFERROR(INDEX(Clay_Offices!$A$2:$FZ$601,B538,$C$8)&amp;"","")</f>
        <v/>
      </c>
      <c r="F538" s="23" t="str">
        <f aca="false">IF(C538="","",IF(COUNTIF(Office_Log!$A$2:$A$201,C538)&gt;0,"Y","N"))</f>
        <v/>
      </c>
      <c r="G538" s="34" t="str">
        <f aca="false">IF(OR(C538="",AND(LEFT(C538,6)="SAMPLE",Config!$B$19&lt;&gt;"Y")),"",IF(IFERROR(INDEX(Lists!$K$2:$K$15,MATCH(D538,Lists!$J$2:$J$15,0)),-1)=-1,"status '"&amp;D538&amp;"' is not a CONTRACTS status",IF(AND(D538="signed",COUNTIF(signed_offices!$W$2:$W$51,C538)=0),"status signed but no signed_offices row"&amp;IF(F538="N"," and no tracker row",""),IF(AND(IFERROR(INDEX(Lists!$K$2:$K$15,MATCH(D538,Lists!$J$2:$J$15,0)),-1)&gt;=6,F538="N"),"status "&amp;D538&amp;" but no tracker row",IF(AND(E538="Y",D538&lt;&gt;"do_not_contact"),"do_not_contact = Y but status is "&amp;D538,IF(AND(D538="do_not_contact",E538&lt;&gt;"Y"),"status do_not_contact but do_not_contact is not Y",""))))))</f>
        <v/>
      </c>
      <c r="I538" s="23" t="n">
        <v>517</v>
      </c>
      <c r="J538" s="23" t="str">
        <f aca="false">IFERROR(INDEX(Clay_Brands!$A$2:$FZ$601,I538,$D$5)&amp;"","")</f>
        <v/>
      </c>
      <c r="K538" s="23" t="str">
        <f aca="false">IFERROR(INDEX(Clay_Brands!$A$2:$FZ$601,I538,$D$7)&amp;"","")</f>
        <v/>
      </c>
      <c r="L538" s="23" t="str">
        <f aca="false">IFERROR(INDEX(Clay_Brands!$A$2:$FZ$601,I538,$D$8)&amp;"","")</f>
        <v/>
      </c>
      <c r="M538" s="23" t="str">
        <f aca="false">IF(J538="","",IF(COUNTIF(Brand_Log!$A$2:$A$201,J538)&gt;0,"Y","N"))</f>
        <v/>
      </c>
      <c r="N538" s="34" t="str">
        <f aca="false">IF(OR(J538="",AND(LEFT(J538,6)="SAMPLE",Config!$B$19&lt;&gt;"Y")),"",IF(IFERROR(INDEX(Lists!$K$2:$K$15,MATCH(K538,Lists!$J$2:$J$15,0)),-1)=-1,"status '"&amp;K538&amp;"' is not a CONTRACTS status",IF(AND(K538="paid",COUNTIF(paid_brands!$AC$2:$AC$51,J538)=0),"status paid but no paid_brands row"&amp;IF(M538="N"," and no tracker row",""),IF(AND(IFERROR(INDEX(Lists!$K$2:$K$15,MATCH(K538,Lists!$J$2:$J$15,0)),-1)&gt;=6,M538="N"),"status "&amp;K538&amp;" but no tracker row",IF(AND(L538="Y",K538&lt;&gt;"do_not_contact"),"do_not_contact = Y but status is "&amp;K538,IF(AND(K538="do_not_contact",L538&lt;&gt;"Y"),"status do_not_contact but do_not_contact is not Y",""))))))</f>
        <v/>
      </c>
    </row>
    <row r="539" customFormat="false" ht="15" hidden="false" customHeight="false" outlineLevel="0" collapsed="false">
      <c r="B539" s="23" t="n">
        <v>518</v>
      </c>
      <c r="C539" s="23" t="str">
        <f aca="false">IFERROR(INDEX(Clay_Offices!$A$2:$FZ$601,B539,$C$5)&amp;"","")</f>
        <v/>
      </c>
      <c r="D539" s="23" t="str">
        <f aca="false">IFERROR(INDEX(Clay_Offices!$A$2:$FZ$601,B539,$C$7)&amp;"","")</f>
        <v/>
      </c>
      <c r="E539" s="23" t="str">
        <f aca="false">IFERROR(INDEX(Clay_Offices!$A$2:$FZ$601,B539,$C$8)&amp;"","")</f>
        <v/>
      </c>
      <c r="F539" s="23" t="str">
        <f aca="false">IF(C539="","",IF(COUNTIF(Office_Log!$A$2:$A$201,C539)&gt;0,"Y","N"))</f>
        <v/>
      </c>
      <c r="G539" s="34" t="str">
        <f aca="false">IF(OR(C539="",AND(LEFT(C539,6)="SAMPLE",Config!$B$19&lt;&gt;"Y")),"",IF(IFERROR(INDEX(Lists!$K$2:$K$15,MATCH(D539,Lists!$J$2:$J$15,0)),-1)=-1,"status '"&amp;D539&amp;"' is not a CONTRACTS status",IF(AND(D539="signed",COUNTIF(signed_offices!$W$2:$W$51,C539)=0),"status signed but no signed_offices row"&amp;IF(F539="N"," and no tracker row",""),IF(AND(IFERROR(INDEX(Lists!$K$2:$K$15,MATCH(D539,Lists!$J$2:$J$15,0)),-1)&gt;=6,F539="N"),"status "&amp;D539&amp;" but no tracker row",IF(AND(E539="Y",D539&lt;&gt;"do_not_contact"),"do_not_contact = Y but status is "&amp;D539,IF(AND(D539="do_not_contact",E539&lt;&gt;"Y"),"status do_not_contact but do_not_contact is not Y",""))))))</f>
        <v/>
      </c>
      <c r="I539" s="23" t="n">
        <v>518</v>
      </c>
      <c r="J539" s="23" t="str">
        <f aca="false">IFERROR(INDEX(Clay_Brands!$A$2:$FZ$601,I539,$D$5)&amp;"","")</f>
        <v/>
      </c>
      <c r="K539" s="23" t="str">
        <f aca="false">IFERROR(INDEX(Clay_Brands!$A$2:$FZ$601,I539,$D$7)&amp;"","")</f>
        <v/>
      </c>
      <c r="L539" s="23" t="str">
        <f aca="false">IFERROR(INDEX(Clay_Brands!$A$2:$FZ$601,I539,$D$8)&amp;"","")</f>
        <v/>
      </c>
      <c r="M539" s="23" t="str">
        <f aca="false">IF(J539="","",IF(COUNTIF(Brand_Log!$A$2:$A$201,J539)&gt;0,"Y","N"))</f>
        <v/>
      </c>
      <c r="N539" s="34" t="str">
        <f aca="false">IF(OR(J539="",AND(LEFT(J539,6)="SAMPLE",Config!$B$19&lt;&gt;"Y")),"",IF(IFERROR(INDEX(Lists!$K$2:$K$15,MATCH(K539,Lists!$J$2:$J$15,0)),-1)=-1,"status '"&amp;K539&amp;"' is not a CONTRACTS status",IF(AND(K539="paid",COUNTIF(paid_brands!$AC$2:$AC$51,J539)=0),"status paid but no paid_brands row"&amp;IF(M539="N"," and no tracker row",""),IF(AND(IFERROR(INDEX(Lists!$K$2:$K$15,MATCH(K539,Lists!$J$2:$J$15,0)),-1)&gt;=6,M539="N"),"status "&amp;K539&amp;" but no tracker row",IF(AND(L539="Y",K539&lt;&gt;"do_not_contact"),"do_not_contact = Y but status is "&amp;K539,IF(AND(K539="do_not_contact",L539&lt;&gt;"Y"),"status do_not_contact but do_not_contact is not Y",""))))))</f>
        <v/>
      </c>
    </row>
    <row r="540" customFormat="false" ht="15" hidden="false" customHeight="false" outlineLevel="0" collapsed="false">
      <c r="B540" s="23" t="n">
        <v>519</v>
      </c>
      <c r="C540" s="23" t="str">
        <f aca="false">IFERROR(INDEX(Clay_Offices!$A$2:$FZ$601,B540,$C$5)&amp;"","")</f>
        <v/>
      </c>
      <c r="D540" s="23" t="str">
        <f aca="false">IFERROR(INDEX(Clay_Offices!$A$2:$FZ$601,B540,$C$7)&amp;"","")</f>
        <v/>
      </c>
      <c r="E540" s="23" t="str">
        <f aca="false">IFERROR(INDEX(Clay_Offices!$A$2:$FZ$601,B540,$C$8)&amp;"","")</f>
        <v/>
      </c>
      <c r="F540" s="23" t="str">
        <f aca="false">IF(C540="","",IF(COUNTIF(Office_Log!$A$2:$A$201,C540)&gt;0,"Y","N"))</f>
        <v/>
      </c>
      <c r="G540" s="34" t="str">
        <f aca="false">IF(OR(C540="",AND(LEFT(C540,6)="SAMPLE",Config!$B$19&lt;&gt;"Y")),"",IF(IFERROR(INDEX(Lists!$K$2:$K$15,MATCH(D540,Lists!$J$2:$J$15,0)),-1)=-1,"status '"&amp;D540&amp;"' is not a CONTRACTS status",IF(AND(D540="signed",COUNTIF(signed_offices!$W$2:$W$51,C540)=0),"status signed but no signed_offices row"&amp;IF(F540="N"," and no tracker row",""),IF(AND(IFERROR(INDEX(Lists!$K$2:$K$15,MATCH(D540,Lists!$J$2:$J$15,0)),-1)&gt;=6,F540="N"),"status "&amp;D540&amp;" but no tracker row",IF(AND(E540="Y",D540&lt;&gt;"do_not_contact"),"do_not_contact = Y but status is "&amp;D540,IF(AND(D540="do_not_contact",E540&lt;&gt;"Y"),"status do_not_contact but do_not_contact is not Y",""))))))</f>
        <v/>
      </c>
      <c r="I540" s="23" t="n">
        <v>519</v>
      </c>
      <c r="J540" s="23" t="str">
        <f aca="false">IFERROR(INDEX(Clay_Brands!$A$2:$FZ$601,I540,$D$5)&amp;"","")</f>
        <v/>
      </c>
      <c r="K540" s="23" t="str">
        <f aca="false">IFERROR(INDEX(Clay_Brands!$A$2:$FZ$601,I540,$D$7)&amp;"","")</f>
        <v/>
      </c>
      <c r="L540" s="23" t="str">
        <f aca="false">IFERROR(INDEX(Clay_Brands!$A$2:$FZ$601,I540,$D$8)&amp;"","")</f>
        <v/>
      </c>
      <c r="M540" s="23" t="str">
        <f aca="false">IF(J540="","",IF(COUNTIF(Brand_Log!$A$2:$A$201,J540)&gt;0,"Y","N"))</f>
        <v/>
      </c>
      <c r="N540" s="34" t="str">
        <f aca="false">IF(OR(J540="",AND(LEFT(J540,6)="SAMPLE",Config!$B$19&lt;&gt;"Y")),"",IF(IFERROR(INDEX(Lists!$K$2:$K$15,MATCH(K540,Lists!$J$2:$J$15,0)),-1)=-1,"status '"&amp;K540&amp;"' is not a CONTRACTS status",IF(AND(K540="paid",COUNTIF(paid_brands!$AC$2:$AC$51,J540)=0),"status paid but no paid_brands row"&amp;IF(M540="N"," and no tracker row",""),IF(AND(IFERROR(INDEX(Lists!$K$2:$K$15,MATCH(K540,Lists!$J$2:$J$15,0)),-1)&gt;=6,M540="N"),"status "&amp;K540&amp;" but no tracker row",IF(AND(L540="Y",K540&lt;&gt;"do_not_contact"),"do_not_contact = Y but status is "&amp;K540,IF(AND(K540="do_not_contact",L540&lt;&gt;"Y"),"status do_not_contact but do_not_contact is not Y",""))))))</f>
        <v/>
      </c>
    </row>
    <row r="541" customFormat="false" ht="15" hidden="false" customHeight="false" outlineLevel="0" collapsed="false">
      <c r="B541" s="23" t="n">
        <v>520</v>
      </c>
      <c r="C541" s="23" t="str">
        <f aca="false">IFERROR(INDEX(Clay_Offices!$A$2:$FZ$601,B541,$C$5)&amp;"","")</f>
        <v/>
      </c>
      <c r="D541" s="23" t="str">
        <f aca="false">IFERROR(INDEX(Clay_Offices!$A$2:$FZ$601,B541,$C$7)&amp;"","")</f>
        <v/>
      </c>
      <c r="E541" s="23" t="str">
        <f aca="false">IFERROR(INDEX(Clay_Offices!$A$2:$FZ$601,B541,$C$8)&amp;"","")</f>
        <v/>
      </c>
      <c r="F541" s="23" t="str">
        <f aca="false">IF(C541="","",IF(COUNTIF(Office_Log!$A$2:$A$201,C541)&gt;0,"Y","N"))</f>
        <v/>
      </c>
      <c r="G541" s="34" t="str">
        <f aca="false">IF(OR(C541="",AND(LEFT(C541,6)="SAMPLE",Config!$B$19&lt;&gt;"Y")),"",IF(IFERROR(INDEX(Lists!$K$2:$K$15,MATCH(D541,Lists!$J$2:$J$15,0)),-1)=-1,"status '"&amp;D541&amp;"' is not a CONTRACTS status",IF(AND(D541="signed",COUNTIF(signed_offices!$W$2:$W$51,C541)=0),"status signed but no signed_offices row"&amp;IF(F541="N"," and no tracker row",""),IF(AND(IFERROR(INDEX(Lists!$K$2:$K$15,MATCH(D541,Lists!$J$2:$J$15,0)),-1)&gt;=6,F541="N"),"status "&amp;D541&amp;" but no tracker row",IF(AND(E541="Y",D541&lt;&gt;"do_not_contact"),"do_not_contact = Y but status is "&amp;D541,IF(AND(D541="do_not_contact",E541&lt;&gt;"Y"),"status do_not_contact but do_not_contact is not Y",""))))))</f>
        <v/>
      </c>
      <c r="I541" s="23" t="n">
        <v>520</v>
      </c>
      <c r="J541" s="23" t="str">
        <f aca="false">IFERROR(INDEX(Clay_Brands!$A$2:$FZ$601,I541,$D$5)&amp;"","")</f>
        <v/>
      </c>
      <c r="K541" s="23" t="str">
        <f aca="false">IFERROR(INDEX(Clay_Brands!$A$2:$FZ$601,I541,$D$7)&amp;"","")</f>
        <v/>
      </c>
      <c r="L541" s="23" t="str">
        <f aca="false">IFERROR(INDEX(Clay_Brands!$A$2:$FZ$601,I541,$D$8)&amp;"","")</f>
        <v/>
      </c>
      <c r="M541" s="23" t="str">
        <f aca="false">IF(J541="","",IF(COUNTIF(Brand_Log!$A$2:$A$201,J541)&gt;0,"Y","N"))</f>
        <v/>
      </c>
      <c r="N541" s="34" t="str">
        <f aca="false">IF(OR(J541="",AND(LEFT(J541,6)="SAMPLE",Config!$B$19&lt;&gt;"Y")),"",IF(IFERROR(INDEX(Lists!$K$2:$K$15,MATCH(K541,Lists!$J$2:$J$15,0)),-1)=-1,"status '"&amp;K541&amp;"' is not a CONTRACTS status",IF(AND(K541="paid",COUNTIF(paid_brands!$AC$2:$AC$51,J541)=0),"status paid but no paid_brands row"&amp;IF(M541="N"," and no tracker row",""),IF(AND(IFERROR(INDEX(Lists!$K$2:$K$15,MATCH(K541,Lists!$J$2:$J$15,0)),-1)&gt;=6,M541="N"),"status "&amp;K541&amp;" but no tracker row",IF(AND(L541="Y",K541&lt;&gt;"do_not_contact"),"do_not_contact = Y but status is "&amp;K541,IF(AND(K541="do_not_contact",L541&lt;&gt;"Y"),"status do_not_contact but do_not_contact is not Y",""))))))</f>
        <v/>
      </c>
    </row>
    <row r="542" customFormat="false" ht="15" hidden="false" customHeight="false" outlineLevel="0" collapsed="false">
      <c r="B542" s="23" t="n">
        <v>521</v>
      </c>
      <c r="C542" s="23" t="str">
        <f aca="false">IFERROR(INDEX(Clay_Offices!$A$2:$FZ$601,B542,$C$5)&amp;"","")</f>
        <v/>
      </c>
      <c r="D542" s="23" t="str">
        <f aca="false">IFERROR(INDEX(Clay_Offices!$A$2:$FZ$601,B542,$C$7)&amp;"","")</f>
        <v/>
      </c>
      <c r="E542" s="23" t="str">
        <f aca="false">IFERROR(INDEX(Clay_Offices!$A$2:$FZ$601,B542,$C$8)&amp;"","")</f>
        <v/>
      </c>
      <c r="F542" s="23" t="str">
        <f aca="false">IF(C542="","",IF(COUNTIF(Office_Log!$A$2:$A$201,C542)&gt;0,"Y","N"))</f>
        <v/>
      </c>
      <c r="G542" s="34" t="str">
        <f aca="false">IF(OR(C542="",AND(LEFT(C542,6)="SAMPLE",Config!$B$19&lt;&gt;"Y")),"",IF(IFERROR(INDEX(Lists!$K$2:$K$15,MATCH(D542,Lists!$J$2:$J$15,0)),-1)=-1,"status '"&amp;D542&amp;"' is not a CONTRACTS status",IF(AND(D542="signed",COUNTIF(signed_offices!$W$2:$W$51,C542)=0),"status signed but no signed_offices row"&amp;IF(F542="N"," and no tracker row",""),IF(AND(IFERROR(INDEX(Lists!$K$2:$K$15,MATCH(D542,Lists!$J$2:$J$15,0)),-1)&gt;=6,F542="N"),"status "&amp;D542&amp;" but no tracker row",IF(AND(E542="Y",D542&lt;&gt;"do_not_contact"),"do_not_contact = Y but status is "&amp;D542,IF(AND(D542="do_not_contact",E542&lt;&gt;"Y"),"status do_not_contact but do_not_contact is not Y",""))))))</f>
        <v/>
      </c>
      <c r="I542" s="23" t="n">
        <v>521</v>
      </c>
      <c r="J542" s="23" t="str">
        <f aca="false">IFERROR(INDEX(Clay_Brands!$A$2:$FZ$601,I542,$D$5)&amp;"","")</f>
        <v/>
      </c>
      <c r="K542" s="23" t="str">
        <f aca="false">IFERROR(INDEX(Clay_Brands!$A$2:$FZ$601,I542,$D$7)&amp;"","")</f>
        <v/>
      </c>
      <c r="L542" s="23" t="str">
        <f aca="false">IFERROR(INDEX(Clay_Brands!$A$2:$FZ$601,I542,$D$8)&amp;"","")</f>
        <v/>
      </c>
      <c r="M542" s="23" t="str">
        <f aca="false">IF(J542="","",IF(COUNTIF(Brand_Log!$A$2:$A$201,J542)&gt;0,"Y","N"))</f>
        <v/>
      </c>
      <c r="N542" s="34" t="str">
        <f aca="false">IF(OR(J542="",AND(LEFT(J542,6)="SAMPLE",Config!$B$19&lt;&gt;"Y")),"",IF(IFERROR(INDEX(Lists!$K$2:$K$15,MATCH(K542,Lists!$J$2:$J$15,0)),-1)=-1,"status '"&amp;K542&amp;"' is not a CONTRACTS status",IF(AND(K542="paid",COUNTIF(paid_brands!$AC$2:$AC$51,J542)=0),"status paid but no paid_brands row"&amp;IF(M542="N"," and no tracker row",""),IF(AND(IFERROR(INDEX(Lists!$K$2:$K$15,MATCH(K542,Lists!$J$2:$J$15,0)),-1)&gt;=6,M542="N"),"status "&amp;K542&amp;" but no tracker row",IF(AND(L542="Y",K542&lt;&gt;"do_not_contact"),"do_not_contact = Y but status is "&amp;K542,IF(AND(K542="do_not_contact",L542&lt;&gt;"Y"),"status do_not_contact but do_not_contact is not Y",""))))))</f>
        <v/>
      </c>
    </row>
    <row r="543" customFormat="false" ht="15" hidden="false" customHeight="false" outlineLevel="0" collapsed="false">
      <c r="B543" s="23" t="n">
        <v>522</v>
      </c>
      <c r="C543" s="23" t="str">
        <f aca="false">IFERROR(INDEX(Clay_Offices!$A$2:$FZ$601,B543,$C$5)&amp;"","")</f>
        <v/>
      </c>
      <c r="D543" s="23" t="str">
        <f aca="false">IFERROR(INDEX(Clay_Offices!$A$2:$FZ$601,B543,$C$7)&amp;"","")</f>
        <v/>
      </c>
      <c r="E543" s="23" t="str">
        <f aca="false">IFERROR(INDEX(Clay_Offices!$A$2:$FZ$601,B543,$C$8)&amp;"","")</f>
        <v/>
      </c>
      <c r="F543" s="23" t="str">
        <f aca="false">IF(C543="","",IF(COUNTIF(Office_Log!$A$2:$A$201,C543)&gt;0,"Y","N"))</f>
        <v/>
      </c>
      <c r="G543" s="34" t="str">
        <f aca="false">IF(OR(C543="",AND(LEFT(C543,6)="SAMPLE",Config!$B$19&lt;&gt;"Y")),"",IF(IFERROR(INDEX(Lists!$K$2:$K$15,MATCH(D543,Lists!$J$2:$J$15,0)),-1)=-1,"status '"&amp;D543&amp;"' is not a CONTRACTS status",IF(AND(D543="signed",COUNTIF(signed_offices!$W$2:$W$51,C543)=0),"status signed but no signed_offices row"&amp;IF(F543="N"," and no tracker row",""),IF(AND(IFERROR(INDEX(Lists!$K$2:$K$15,MATCH(D543,Lists!$J$2:$J$15,0)),-1)&gt;=6,F543="N"),"status "&amp;D543&amp;" but no tracker row",IF(AND(E543="Y",D543&lt;&gt;"do_not_contact"),"do_not_contact = Y but status is "&amp;D543,IF(AND(D543="do_not_contact",E543&lt;&gt;"Y"),"status do_not_contact but do_not_contact is not Y",""))))))</f>
        <v/>
      </c>
      <c r="I543" s="23" t="n">
        <v>522</v>
      </c>
      <c r="J543" s="23" t="str">
        <f aca="false">IFERROR(INDEX(Clay_Brands!$A$2:$FZ$601,I543,$D$5)&amp;"","")</f>
        <v/>
      </c>
      <c r="K543" s="23" t="str">
        <f aca="false">IFERROR(INDEX(Clay_Brands!$A$2:$FZ$601,I543,$D$7)&amp;"","")</f>
        <v/>
      </c>
      <c r="L543" s="23" t="str">
        <f aca="false">IFERROR(INDEX(Clay_Brands!$A$2:$FZ$601,I543,$D$8)&amp;"","")</f>
        <v/>
      </c>
      <c r="M543" s="23" t="str">
        <f aca="false">IF(J543="","",IF(COUNTIF(Brand_Log!$A$2:$A$201,J543)&gt;0,"Y","N"))</f>
        <v/>
      </c>
      <c r="N543" s="34" t="str">
        <f aca="false">IF(OR(J543="",AND(LEFT(J543,6)="SAMPLE",Config!$B$19&lt;&gt;"Y")),"",IF(IFERROR(INDEX(Lists!$K$2:$K$15,MATCH(K543,Lists!$J$2:$J$15,0)),-1)=-1,"status '"&amp;K543&amp;"' is not a CONTRACTS status",IF(AND(K543="paid",COUNTIF(paid_brands!$AC$2:$AC$51,J543)=0),"status paid but no paid_brands row"&amp;IF(M543="N"," and no tracker row",""),IF(AND(IFERROR(INDEX(Lists!$K$2:$K$15,MATCH(K543,Lists!$J$2:$J$15,0)),-1)&gt;=6,M543="N"),"status "&amp;K543&amp;" but no tracker row",IF(AND(L543="Y",K543&lt;&gt;"do_not_contact"),"do_not_contact = Y but status is "&amp;K543,IF(AND(K543="do_not_contact",L543&lt;&gt;"Y"),"status do_not_contact but do_not_contact is not Y",""))))))</f>
        <v/>
      </c>
    </row>
    <row r="544" customFormat="false" ht="15" hidden="false" customHeight="false" outlineLevel="0" collapsed="false">
      <c r="B544" s="23" t="n">
        <v>523</v>
      </c>
      <c r="C544" s="23" t="str">
        <f aca="false">IFERROR(INDEX(Clay_Offices!$A$2:$FZ$601,B544,$C$5)&amp;"","")</f>
        <v/>
      </c>
      <c r="D544" s="23" t="str">
        <f aca="false">IFERROR(INDEX(Clay_Offices!$A$2:$FZ$601,B544,$C$7)&amp;"","")</f>
        <v/>
      </c>
      <c r="E544" s="23" t="str">
        <f aca="false">IFERROR(INDEX(Clay_Offices!$A$2:$FZ$601,B544,$C$8)&amp;"","")</f>
        <v/>
      </c>
      <c r="F544" s="23" t="str">
        <f aca="false">IF(C544="","",IF(COUNTIF(Office_Log!$A$2:$A$201,C544)&gt;0,"Y","N"))</f>
        <v/>
      </c>
      <c r="G544" s="34" t="str">
        <f aca="false">IF(OR(C544="",AND(LEFT(C544,6)="SAMPLE",Config!$B$19&lt;&gt;"Y")),"",IF(IFERROR(INDEX(Lists!$K$2:$K$15,MATCH(D544,Lists!$J$2:$J$15,0)),-1)=-1,"status '"&amp;D544&amp;"' is not a CONTRACTS status",IF(AND(D544="signed",COUNTIF(signed_offices!$W$2:$W$51,C544)=0),"status signed but no signed_offices row"&amp;IF(F544="N"," and no tracker row",""),IF(AND(IFERROR(INDEX(Lists!$K$2:$K$15,MATCH(D544,Lists!$J$2:$J$15,0)),-1)&gt;=6,F544="N"),"status "&amp;D544&amp;" but no tracker row",IF(AND(E544="Y",D544&lt;&gt;"do_not_contact"),"do_not_contact = Y but status is "&amp;D544,IF(AND(D544="do_not_contact",E544&lt;&gt;"Y"),"status do_not_contact but do_not_contact is not Y",""))))))</f>
        <v/>
      </c>
      <c r="I544" s="23" t="n">
        <v>523</v>
      </c>
      <c r="J544" s="23" t="str">
        <f aca="false">IFERROR(INDEX(Clay_Brands!$A$2:$FZ$601,I544,$D$5)&amp;"","")</f>
        <v/>
      </c>
      <c r="K544" s="23" t="str">
        <f aca="false">IFERROR(INDEX(Clay_Brands!$A$2:$FZ$601,I544,$D$7)&amp;"","")</f>
        <v/>
      </c>
      <c r="L544" s="23" t="str">
        <f aca="false">IFERROR(INDEX(Clay_Brands!$A$2:$FZ$601,I544,$D$8)&amp;"","")</f>
        <v/>
      </c>
      <c r="M544" s="23" t="str">
        <f aca="false">IF(J544="","",IF(COUNTIF(Brand_Log!$A$2:$A$201,J544)&gt;0,"Y","N"))</f>
        <v/>
      </c>
      <c r="N544" s="34" t="str">
        <f aca="false">IF(OR(J544="",AND(LEFT(J544,6)="SAMPLE",Config!$B$19&lt;&gt;"Y")),"",IF(IFERROR(INDEX(Lists!$K$2:$K$15,MATCH(K544,Lists!$J$2:$J$15,0)),-1)=-1,"status '"&amp;K544&amp;"' is not a CONTRACTS status",IF(AND(K544="paid",COUNTIF(paid_brands!$AC$2:$AC$51,J544)=0),"status paid but no paid_brands row"&amp;IF(M544="N"," and no tracker row",""),IF(AND(IFERROR(INDEX(Lists!$K$2:$K$15,MATCH(K544,Lists!$J$2:$J$15,0)),-1)&gt;=6,M544="N"),"status "&amp;K544&amp;" but no tracker row",IF(AND(L544="Y",K544&lt;&gt;"do_not_contact"),"do_not_contact = Y but status is "&amp;K544,IF(AND(K544="do_not_contact",L544&lt;&gt;"Y"),"status do_not_contact but do_not_contact is not Y",""))))))</f>
        <v/>
      </c>
    </row>
    <row r="545" customFormat="false" ht="15" hidden="false" customHeight="false" outlineLevel="0" collapsed="false">
      <c r="B545" s="23" t="n">
        <v>524</v>
      </c>
      <c r="C545" s="23" t="str">
        <f aca="false">IFERROR(INDEX(Clay_Offices!$A$2:$FZ$601,B545,$C$5)&amp;"","")</f>
        <v/>
      </c>
      <c r="D545" s="23" t="str">
        <f aca="false">IFERROR(INDEX(Clay_Offices!$A$2:$FZ$601,B545,$C$7)&amp;"","")</f>
        <v/>
      </c>
      <c r="E545" s="23" t="str">
        <f aca="false">IFERROR(INDEX(Clay_Offices!$A$2:$FZ$601,B545,$C$8)&amp;"","")</f>
        <v/>
      </c>
      <c r="F545" s="23" t="str">
        <f aca="false">IF(C545="","",IF(COUNTIF(Office_Log!$A$2:$A$201,C545)&gt;0,"Y","N"))</f>
        <v/>
      </c>
      <c r="G545" s="34" t="str">
        <f aca="false">IF(OR(C545="",AND(LEFT(C545,6)="SAMPLE",Config!$B$19&lt;&gt;"Y")),"",IF(IFERROR(INDEX(Lists!$K$2:$K$15,MATCH(D545,Lists!$J$2:$J$15,0)),-1)=-1,"status '"&amp;D545&amp;"' is not a CONTRACTS status",IF(AND(D545="signed",COUNTIF(signed_offices!$W$2:$W$51,C545)=0),"status signed but no signed_offices row"&amp;IF(F545="N"," and no tracker row",""),IF(AND(IFERROR(INDEX(Lists!$K$2:$K$15,MATCH(D545,Lists!$J$2:$J$15,0)),-1)&gt;=6,F545="N"),"status "&amp;D545&amp;" but no tracker row",IF(AND(E545="Y",D545&lt;&gt;"do_not_contact"),"do_not_contact = Y but status is "&amp;D545,IF(AND(D545="do_not_contact",E545&lt;&gt;"Y"),"status do_not_contact but do_not_contact is not Y",""))))))</f>
        <v/>
      </c>
      <c r="I545" s="23" t="n">
        <v>524</v>
      </c>
      <c r="J545" s="23" t="str">
        <f aca="false">IFERROR(INDEX(Clay_Brands!$A$2:$FZ$601,I545,$D$5)&amp;"","")</f>
        <v/>
      </c>
      <c r="K545" s="23" t="str">
        <f aca="false">IFERROR(INDEX(Clay_Brands!$A$2:$FZ$601,I545,$D$7)&amp;"","")</f>
        <v/>
      </c>
      <c r="L545" s="23" t="str">
        <f aca="false">IFERROR(INDEX(Clay_Brands!$A$2:$FZ$601,I545,$D$8)&amp;"","")</f>
        <v/>
      </c>
      <c r="M545" s="23" t="str">
        <f aca="false">IF(J545="","",IF(COUNTIF(Brand_Log!$A$2:$A$201,J545)&gt;0,"Y","N"))</f>
        <v/>
      </c>
      <c r="N545" s="34" t="str">
        <f aca="false">IF(OR(J545="",AND(LEFT(J545,6)="SAMPLE",Config!$B$19&lt;&gt;"Y")),"",IF(IFERROR(INDEX(Lists!$K$2:$K$15,MATCH(K545,Lists!$J$2:$J$15,0)),-1)=-1,"status '"&amp;K545&amp;"' is not a CONTRACTS status",IF(AND(K545="paid",COUNTIF(paid_brands!$AC$2:$AC$51,J545)=0),"status paid but no paid_brands row"&amp;IF(M545="N"," and no tracker row",""),IF(AND(IFERROR(INDEX(Lists!$K$2:$K$15,MATCH(K545,Lists!$J$2:$J$15,0)),-1)&gt;=6,M545="N"),"status "&amp;K545&amp;" but no tracker row",IF(AND(L545="Y",K545&lt;&gt;"do_not_contact"),"do_not_contact = Y but status is "&amp;K545,IF(AND(K545="do_not_contact",L545&lt;&gt;"Y"),"status do_not_contact but do_not_contact is not Y",""))))))</f>
        <v/>
      </c>
    </row>
    <row r="546" customFormat="false" ht="15" hidden="false" customHeight="false" outlineLevel="0" collapsed="false">
      <c r="B546" s="23" t="n">
        <v>525</v>
      </c>
      <c r="C546" s="23" t="str">
        <f aca="false">IFERROR(INDEX(Clay_Offices!$A$2:$FZ$601,B546,$C$5)&amp;"","")</f>
        <v/>
      </c>
      <c r="D546" s="23" t="str">
        <f aca="false">IFERROR(INDEX(Clay_Offices!$A$2:$FZ$601,B546,$C$7)&amp;"","")</f>
        <v/>
      </c>
      <c r="E546" s="23" t="str">
        <f aca="false">IFERROR(INDEX(Clay_Offices!$A$2:$FZ$601,B546,$C$8)&amp;"","")</f>
        <v/>
      </c>
      <c r="F546" s="23" t="str">
        <f aca="false">IF(C546="","",IF(COUNTIF(Office_Log!$A$2:$A$201,C546)&gt;0,"Y","N"))</f>
        <v/>
      </c>
      <c r="G546" s="34" t="str">
        <f aca="false">IF(OR(C546="",AND(LEFT(C546,6)="SAMPLE",Config!$B$19&lt;&gt;"Y")),"",IF(IFERROR(INDEX(Lists!$K$2:$K$15,MATCH(D546,Lists!$J$2:$J$15,0)),-1)=-1,"status '"&amp;D546&amp;"' is not a CONTRACTS status",IF(AND(D546="signed",COUNTIF(signed_offices!$W$2:$W$51,C546)=0),"status signed but no signed_offices row"&amp;IF(F546="N"," and no tracker row",""),IF(AND(IFERROR(INDEX(Lists!$K$2:$K$15,MATCH(D546,Lists!$J$2:$J$15,0)),-1)&gt;=6,F546="N"),"status "&amp;D546&amp;" but no tracker row",IF(AND(E546="Y",D546&lt;&gt;"do_not_contact"),"do_not_contact = Y but status is "&amp;D546,IF(AND(D546="do_not_contact",E546&lt;&gt;"Y"),"status do_not_contact but do_not_contact is not Y",""))))))</f>
        <v/>
      </c>
      <c r="I546" s="23" t="n">
        <v>525</v>
      </c>
      <c r="J546" s="23" t="str">
        <f aca="false">IFERROR(INDEX(Clay_Brands!$A$2:$FZ$601,I546,$D$5)&amp;"","")</f>
        <v/>
      </c>
      <c r="K546" s="23" t="str">
        <f aca="false">IFERROR(INDEX(Clay_Brands!$A$2:$FZ$601,I546,$D$7)&amp;"","")</f>
        <v/>
      </c>
      <c r="L546" s="23" t="str">
        <f aca="false">IFERROR(INDEX(Clay_Brands!$A$2:$FZ$601,I546,$D$8)&amp;"","")</f>
        <v/>
      </c>
      <c r="M546" s="23" t="str">
        <f aca="false">IF(J546="","",IF(COUNTIF(Brand_Log!$A$2:$A$201,J546)&gt;0,"Y","N"))</f>
        <v/>
      </c>
      <c r="N546" s="34" t="str">
        <f aca="false">IF(OR(J546="",AND(LEFT(J546,6)="SAMPLE",Config!$B$19&lt;&gt;"Y")),"",IF(IFERROR(INDEX(Lists!$K$2:$K$15,MATCH(K546,Lists!$J$2:$J$15,0)),-1)=-1,"status '"&amp;K546&amp;"' is not a CONTRACTS status",IF(AND(K546="paid",COUNTIF(paid_brands!$AC$2:$AC$51,J546)=0),"status paid but no paid_brands row"&amp;IF(M546="N"," and no tracker row",""),IF(AND(IFERROR(INDEX(Lists!$K$2:$K$15,MATCH(K546,Lists!$J$2:$J$15,0)),-1)&gt;=6,M546="N"),"status "&amp;K546&amp;" but no tracker row",IF(AND(L546="Y",K546&lt;&gt;"do_not_contact"),"do_not_contact = Y but status is "&amp;K546,IF(AND(K546="do_not_contact",L546&lt;&gt;"Y"),"status do_not_contact but do_not_contact is not Y",""))))))</f>
        <v/>
      </c>
    </row>
    <row r="547" customFormat="false" ht="15" hidden="false" customHeight="false" outlineLevel="0" collapsed="false">
      <c r="B547" s="23" t="n">
        <v>526</v>
      </c>
      <c r="C547" s="23" t="str">
        <f aca="false">IFERROR(INDEX(Clay_Offices!$A$2:$FZ$601,B547,$C$5)&amp;"","")</f>
        <v/>
      </c>
      <c r="D547" s="23" t="str">
        <f aca="false">IFERROR(INDEX(Clay_Offices!$A$2:$FZ$601,B547,$C$7)&amp;"","")</f>
        <v/>
      </c>
      <c r="E547" s="23" t="str">
        <f aca="false">IFERROR(INDEX(Clay_Offices!$A$2:$FZ$601,B547,$C$8)&amp;"","")</f>
        <v/>
      </c>
      <c r="F547" s="23" t="str">
        <f aca="false">IF(C547="","",IF(COUNTIF(Office_Log!$A$2:$A$201,C547)&gt;0,"Y","N"))</f>
        <v/>
      </c>
      <c r="G547" s="34" t="str">
        <f aca="false">IF(OR(C547="",AND(LEFT(C547,6)="SAMPLE",Config!$B$19&lt;&gt;"Y")),"",IF(IFERROR(INDEX(Lists!$K$2:$K$15,MATCH(D547,Lists!$J$2:$J$15,0)),-1)=-1,"status '"&amp;D547&amp;"' is not a CONTRACTS status",IF(AND(D547="signed",COUNTIF(signed_offices!$W$2:$W$51,C547)=0),"status signed but no signed_offices row"&amp;IF(F547="N"," and no tracker row",""),IF(AND(IFERROR(INDEX(Lists!$K$2:$K$15,MATCH(D547,Lists!$J$2:$J$15,0)),-1)&gt;=6,F547="N"),"status "&amp;D547&amp;" but no tracker row",IF(AND(E547="Y",D547&lt;&gt;"do_not_contact"),"do_not_contact = Y but status is "&amp;D547,IF(AND(D547="do_not_contact",E547&lt;&gt;"Y"),"status do_not_contact but do_not_contact is not Y",""))))))</f>
        <v/>
      </c>
      <c r="I547" s="23" t="n">
        <v>526</v>
      </c>
      <c r="J547" s="23" t="str">
        <f aca="false">IFERROR(INDEX(Clay_Brands!$A$2:$FZ$601,I547,$D$5)&amp;"","")</f>
        <v/>
      </c>
      <c r="K547" s="23" t="str">
        <f aca="false">IFERROR(INDEX(Clay_Brands!$A$2:$FZ$601,I547,$D$7)&amp;"","")</f>
        <v/>
      </c>
      <c r="L547" s="23" t="str">
        <f aca="false">IFERROR(INDEX(Clay_Brands!$A$2:$FZ$601,I547,$D$8)&amp;"","")</f>
        <v/>
      </c>
      <c r="M547" s="23" t="str">
        <f aca="false">IF(J547="","",IF(COUNTIF(Brand_Log!$A$2:$A$201,J547)&gt;0,"Y","N"))</f>
        <v/>
      </c>
      <c r="N547" s="34" t="str">
        <f aca="false">IF(OR(J547="",AND(LEFT(J547,6)="SAMPLE",Config!$B$19&lt;&gt;"Y")),"",IF(IFERROR(INDEX(Lists!$K$2:$K$15,MATCH(K547,Lists!$J$2:$J$15,0)),-1)=-1,"status '"&amp;K547&amp;"' is not a CONTRACTS status",IF(AND(K547="paid",COUNTIF(paid_brands!$AC$2:$AC$51,J547)=0),"status paid but no paid_brands row"&amp;IF(M547="N"," and no tracker row",""),IF(AND(IFERROR(INDEX(Lists!$K$2:$K$15,MATCH(K547,Lists!$J$2:$J$15,0)),-1)&gt;=6,M547="N"),"status "&amp;K547&amp;" but no tracker row",IF(AND(L547="Y",K547&lt;&gt;"do_not_contact"),"do_not_contact = Y but status is "&amp;K547,IF(AND(K547="do_not_contact",L547&lt;&gt;"Y"),"status do_not_contact but do_not_contact is not Y",""))))))</f>
        <v/>
      </c>
    </row>
    <row r="548" customFormat="false" ht="15" hidden="false" customHeight="false" outlineLevel="0" collapsed="false">
      <c r="B548" s="23" t="n">
        <v>527</v>
      </c>
      <c r="C548" s="23" t="str">
        <f aca="false">IFERROR(INDEX(Clay_Offices!$A$2:$FZ$601,B548,$C$5)&amp;"","")</f>
        <v/>
      </c>
      <c r="D548" s="23" t="str">
        <f aca="false">IFERROR(INDEX(Clay_Offices!$A$2:$FZ$601,B548,$C$7)&amp;"","")</f>
        <v/>
      </c>
      <c r="E548" s="23" t="str">
        <f aca="false">IFERROR(INDEX(Clay_Offices!$A$2:$FZ$601,B548,$C$8)&amp;"","")</f>
        <v/>
      </c>
      <c r="F548" s="23" t="str">
        <f aca="false">IF(C548="","",IF(COUNTIF(Office_Log!$A$2:$A$201,C548)&gt;0,"Y","N"))</f>
        <v/>
      </c>
      <c r="G548" s="34" t="str">
        <f aca="false">IF(OR(C548="",AND(LEFT(C548,6)="SAMPLE",Config!$B$19&lt;&gt;"Y")),"",IF(IFERROR(INDEX(Lists!$K$2:$K$15,MATCH(D548,Lists!$J$2:$J$15,0)),-1)=-1,"status '"&amp;D548&amp;"' is not a CONTRACTS status",IF(AND(D548="signed",COUNTIF(signed_offices!$W$2:$W$51,C548)=0),"status signed but no signed_offices row"&amp;IF(F548="N"," and no tracker row",""),IF(AND(IFERROR(INDEX(Lists!$K$2:$K$15,MATCH(D548,Lists!$J$2:$J$15,0)),-1)&gt;=6,F548="N"),"status "&amp;D548&amp;" but no tracker row",IF(AND(E548="Y",D548&lt;&gt;"do_not_contact"),"do_not_contact = Y but status is "&amp;D548,IF(AND(D548="do_not_contact",E548&lt;&gt;"Y"),"status do_not_contact but do_not_contact is not Y",""))))))</f>
        <v/>
      </c>
      <c r="I548" s="23" t="n">
        <v>527</v>
      </c>
      <c r="J548" s="23" t="str">
        <f aca="false">IFERROR(INDEX(Clay_Brands!$A$2:$FZ$601,I548,$D$5)&amp;"","")</f>
        <v/>
      </c>
      <c r="K548" s="23" t="str">
        <f aca="false">IFERROR(INDEX(Clay_Brands!$A$2:$FZ$601,I548,$D$7)&amp;"","")</f>
        <v/>
      </c>
      <c r="L548" s="23" t="str">
        <f aca="false">IFERROR(INDEX(Clay_Brands!$A$2:$FZ$601,I548,$D$8)&amp;"","")</f>
        <v/>
      </c>
      <c r="M548" s="23" t="str">
        <f aca="false">IF(J548="","",IF(COUNTIF(Brand_Log!$A$2:$A$201,J548)&gt;0,"Y","N"))</f>
        <v/>
      </c>
      <c r="N548" s="34" t="str">
        <f aca="false">IF(OR(J548="",AND(LEFT(J548,6)="SAMPLE",Config!$B$19&lt;&gt;"Y")),"",IF(IFERROR(INDEX(Lists!$K$2:$K$15,MATCH(K548,Lists!$J$2:$J$15,0)),-1)=-1,"status '"&amp;K548&amp;"' is not a CONTRACTS status",IF(AND(K548="paid",COUNTIF(paid_brands!$AC$2:$AC$51,J548)=0),"status paid but no paid_brands row"&amp;IF(M548="N"," and no tracker row",""),IF(AND(IFERROR(INDEX(Lists!$K$2:$K$15,MATCH(K548,Lists!$J$2:$J$15,0)),-1)&gt;=6,M548="N"),"status "&amp;K548&amp;" but no tracker row",IF(AND(L548="Y",K548&lt;&gt;"do_not_contact"),"do_not_contact = Y but status is "&amp;K548,IF(AND(K548="do_not_contact",L548&lt;&gt;"Y"),"status do_not_contact but do_not_contact is not Y",""))))))</f>
        <v/>
      </c>
    </row>
    <row r="549" customFormat="false" ht="15" hidden="false" customHeight="false" outlineLevel="0" collapsed="false">
      <c r="B549" s="23" t="n">
        <v>528</v>
      </c>
      <c r="C549" s="23" t="str">
        <f aca="false">IFERROR(INDEX(Clay_Offices!$A$2:$FZ$601,B549,$C$5)&amp;"","")</f>
        <v/>
      </c>
      <c r="D549" s="23" t="str">
        <f aca="false">IFERROR(INDEX(Clay_Offices!$A$2:$FZ$601,B549,$C$7)&amp;"","")</f>
        <v/>
      </c>
      <c r="E549" s="23" t="str">
        <f aca="false">IFERROR(INDEX(Clay_Offices!$A$2:$FZ$601,B549,$C$8)&amp;"","")</f>
        <v/>
      </c>
      <c r="F549" s="23" t="str">
        <f aca="false">IF(C549="","",IF(COUNTIF(Office_Log!$A$2:$A$201,C549)&gt;0,"Y","N"))</f>
        <v/>
      </c>
      <c r="G549" s="34" t="str">
        <f aca="false">IF(OR(C549="",AND(LEFT(C549,6)="SAMPLE",Config!$B$19&lt;&gt;"Y")),"",IF(IFERROR(INDEX(Lists!$K$2:$K$15,MATCH(D549,Lists!$J$2:$J$15,0)),-1)=-1,"status '"&amp;D549&amp;"' is not a CONTRACTS status",IF(AND(D549="signed",COUNTIF(signed_offices!$W$2:$W$51,C549)=0),"status signed but no signed_offices row"&amp;IF(F549="N"," and no tracker row",""),IF(AND(IFERROR(INDEX(Lists!$K$2:$K$15,MATCH(D549,Lists!$J$2:$J$15,0)),-1)&gt;=6,F549="N"),"status "&amp;D549&amp;" but no tracker row",IF(AND(E549="Y",D549&lt;&gt;"do_not_contact"),"do_not_contact = Y but status is "&amp;D549,IF(AND(D549="do_not_contact",E549&lt;&gt;"Y"),"status do_not_contact but do_not_contact is not Y",""))))))</f>
        <v/>
      </c>
      <c r="I549" s="23" t="n">
        <v>528</v>
      </c>
      <c r="J549" s="23" t="str">
        <f aca="false">IFERROR(INDEX(Clay_Brands!$A$2:$FZ$601,I549,$D$5)&amp;"","")</f>
        <v/>
      </c>
      <c r="K549" s="23" t="str">
        <f aca="false">IFERROR(INDEX(Clay_Brands!$A$2:$FZ$601,I549,$D$7)&amp;"","")</f>
        <v/>
      </c>
      <c r="L549" s="23" t="str">
        <f aca="false">IFERROR(INDEX(Clay_Brands!$A$2:$FZ$601,I549,$D$8)&amp;"","")</f>
        <v/>
      </c>
      <c r="M549" s="23" t="str">
        <f aca="false">IF(J549="","",IF(COUNTIF(Brand_Log!$A$2:$A$201,J549)&gt;0,"Y","N"))</f>
        <v/>
      </c>
      <c r="N549" s="34" t="str">
        <f aca="false">IF(OR(J549="",AND(LEFT(J549,6)="SAMPLE",Config!$B$19&lt;&gt;"Y")),"",IF(IFERROR(INDEX(Lists!$K$2:$K$15,MATCH(K549,Lists!$J$2:$J$15,0)),-1)=-1,"status '"&amp;K549&amp;"' is not a CONTRACTS status",IF(AND(K549="paid",COUNTIF(paid_brands!$AC$2:$AC$51,J549)=0),"status paid but no paid_brands row"&amp;IF(M549="N"," and no tracker row",""),IF(AND(IFERROR(INDEX(Lists!$K$2:$K$15,MATCH(K549,Lists!$J$2:$J$15,0)),-1)&gt;=6,M549="N"),"status "&amp;K549&amp;" but no tracker row",IF(AND(L549="Y",K549&lt;&gt;"do_not_contact"),"do_not_contact = Y but status is "&amp;K549,IF(AND(K549="do_not_contact",L549&lt;&gt;"Y"),"status do_not_contact but do_not_contact is not Y",""))))))</f>
        <v/>
      </c>
    </row>
    <row r="550" customFormat="false" ht="15" hidden="false" customHeight="false" outlineLevel="0" collapsed="false">
      <c r="B550" s="23" t="n">
        <v>529</v>
      </c>
      <c r="C550" s="23" t="str">
        <f aca="false">IFERROR(INDEX(Clay_Offices!$A$2:$FZ$601,B550,$C$5)&amp;"","")</f>
        <v/>
      </c>
      <c r="D550" s="23" t="str">
        <f aca="false">IFERROR(INDEX(Clay_Offices!$A$2:$FZ$601,B550,$C$7)&amp;"","")</f>
        <v/>
      </c>
      <c r="E550" s="23" t="str">
        <f aca="false">IFERROR(INDEX(Clay_Offices!$A$2:$FZ$601,B550,$C$8)&amp;"","")</f>
        <v/>
      </c>
      <c r="F550" s="23" t="str">
        <f aca="false">IF(C550="","",IF(COUNTIF(Office_Log!$A$2:$A$201,C550)&gt;0,"Y","N"))</f>
        <v/>
      </c>
      <c r="G550" s="34" t="str">
        <f aca="false">IF(OR(C550="",AND(LEFT(C550,6)="SAMPLE",Config!$B$19&lt;&gt;"Y")),"",IF(IFERROR(INDEX(Lists!$K$2:$K$15,MATCH(D550,Lists!$J$2:$J$15,0)),-1)=-1,"status '"&amp;D550&amp;"' is not a CONTRACTS status",IF(AND(D550="signed",COUNTIF(signed_offices!$W$2:$W$51,C550)=0),"status signed but no signed_offices row"&amp;IF(F550="N"," and no tracker row",""),IF(AND(IFERROR(INDEX(Lists!$K$2:$K$15,MATCH(D550,Lists!$J$2:$J$15,0)),-1)&gt;=6,F550="N"),"status "&amp;D550&amp;" but no tracker row",IF(AND(E550="Y",D550&lt;&gt;"do_not_contact"),"do_not_contact = Y but status is "&amp;D550,IF(AND(D550="do_not_contact",E550&lt;&gt;"Y"),"status do_not_contact but do_not_contact is not Y",""))))))</f>
        <v/>
      </c>
      <c r="I550" s="23" t="n">
        <v>529</v>
      </c>
      <c r="J550" s="23" t="str">
        <f aca="false">IFERROR(INDEX(Clay_Brands!$A$2:$FZ$601,I550,$D$5)&amp;"","")</f>
        <v/>
      </c>
      <c r="K550" s="23" t="str">
        <f aca="false">IFERROR(INDEX(Clay_Brands!$A$2:$FZ$601,I550,$D$7)&amp;"","")</f>
        <v/>
      </c>
      <c r="L550" s="23" t="str">
        <f aca="false">IFERROR(INDEX(Clay_Brands!$A$2:$FZ$601,I550,$D$8)&amp;"","")</f>
        <v/>
      </c>
      <c r="M550" s="23" t="str">
        <f aca="false">IF(J550="","",IF(COUNTIF(Brand_Log!$A$2:$A$201,J550)&gt;0,"Y","N"))</f>
        <v/>
      </c>
      <c r="N550" s="34" t="str">
        <f aca="false">IF(OR(J550="",AND(LEFT(J550,6)="SAMPLE",Config!$B$19&lt;&gt;"Y")),"",IF(IFERROR(INDEX(Lists!$K$2:$K$15,MATCH(K550,Lists!$J$2:$J$15,0)),-1)=-1,"status '"&amp;K550&amp;"' is not a CONTRACTS status",IF(AND(K550="paid",COUNTIF(paid_brands!$AC$2:$AC$51,J550)=0),"status paid but no paid_brands row"&amp;IF(M550="N"," and no tracker row",""),IF(AND(IFERROR(INDEX(Lists!$K$2:$K$15,MATCH(K550,Lists!$J$2:$J$15,0)),-1)&gt;=6,M550="N"),"status "&amp;K550&amp;" but no tracker row",IF(AND(L550="Y",K550&lt;&gt;"do_not_contact"),"do_not_contact = Y but status is "&amp;K550,IF(AND(K550="do_not_contact",L550&lt;&gt;"Y"),"status do_not_contact but do_not_contact is not Y",""))))))</f>
        <v/>
      </c>
    </row>
    <row r="551" customFormat="false" ht="15" hidden="false" customHeight="false" outlineLevel="0" collapsed="false">
      <c r="B551" s="23" t="n">
        <v>530</v>
      </c>
      <c r="C551" s="23" t="str">
        <f aca="false">IFERROR(INDEX(Clay_Offices!$A$2:$FZ$601,B551,$C$5)&amp;"","")</f>
        <v/>
      </c>
      <c r="D551" s="23" t="str">
        <f aca="false">IFERROR(INDEX(Clay_Offices!$A$2:$FZ$601,B551,$C$7)&amp;"","")</f>
        <v/>
      </c>
      <c r="E551" s="23" t="str">
        <f aca="false">IFERROR(INDEX(Clay_Offices!$A$2:$FZ$601,B551,$C$8)&amp;"","")</f>
        <v/>
      </c>
      <c r="F551" s="23" t="str">
        <f aca="false">IF(C551="","",IF(COUNTIF(Office_Log!$A$2:$A$201,C551)&gt;0,"Y","N"))</f>
        <v/>
      </c>
      <c r="G551" s="34" t="str">
        <f aca="false">IF(OR(C551="",AND(LEFT(C551,6)="SAMPLE",Config!$B$19&lt;&gt;"Y")),"",IF(IFERROR(INDEX(Lists!$K$2:$K$15,MATCH(D551,Lists!$J$2:$J$15,0)),-1)=-1,"status '"&amp;D551&amp;"' is not a CONTRACTS status",IF(AND(D551="signed",COUNTIF(signed_offices!$W$2:$W$51,C551)=0),"status signed but no signed_offices row"&amp;IF(F551="N"," and no tracker row",""),IF(AND(IFERROR(INDEX(Lists!$K$2:$K$15,MATCH(D551,Lists!$J$2:$J$15,0)),-1)&gt;=6,F551="N"),"status "&amp;D551&amp;" but no tracker row",IF(AND(E551="Y",D551&lt;&gt;"do_not_contact"),"do_not_contact = Y but status is "&amp;D551,IF(AND(D551="do_not_contact",E551&lt;&gt;"Y"),"status do_not_contact but do_not_contact is not Y",""))))))</f>
        <v/>
      </c>
      <c r="I551" s="23" t="n">
        <v>530</v>
      </c>
      <c r="J551" s="23" t="str">
        <f aca="false">IFERROR(INDEX(Clay_Brands!$A$2:$FZ$601,I551,$D$5)&amp;"","")</f>
        <v/>
      </c>
      <c r="K551" s="23" t="str">
        <f aca="false">IFERROR(INDEX(Clay_Brands!$A$2:$FZ$601,I551,$D$7)&amp;"","")</f>
        <v/>
      </c>
      <c r="L551" s="23" t="str">
        <f aca="false">IFERROR(INDEX(Clay_Brands!$A$2:$FZ$601,I551,$D$8)&amp;"","")</f>
        <v/>
      </c>
      <c r="M551" s="23" t="str">
        <f aca="false">IF(J551="","",IF(COUNTIF(Brand_Log!$A$2:$A$201,J551)&gt;0,"Y","N"))</f>
        <v/>
      </c>
      <c r="N551" s="34" t="str">
        <f aca="false">IF(OR(J551="",AND(LEFT(J551,6)="SAMPLE",Config!$B$19&lt;&gt;"Y")),"",IF(IFERROR(INDEX(Lists!$K$2:$K$15,MATCH(K551,Lists!$J$2:$J$15,0)),-1)=-1,"status '"&amp;K551&amp;"' is not a CONTRACTS status",IF(AND(K551="paid",COUNTIF(paid_brands!$AC$2:$AC$51,J551)=0),"status paid but no paid_brands row"&amp;IF(M551="N"," and no tracker row",""),IF(AND(IFERROR(INDEX(Lists!$K$2:$K$15,MATCH(K551,Lists!$J$2:$J$15,0)),-1)&gt;=6,M551="N"),"status "&amp;K551&amp;" but no tracker row",IF(AND(L551="Y",K551&lt;&gt;"do_not_contact"),"do_not_contact = Y but status is "&amp;K551,IF(AND(K551="do_not_contact",L551&lt;&gt;"Y"),"status do_not_contact but do_not_contact is not Y",""))))))</f>
        <v/>
      </c>
    </row>
    <row r="552" customFormat="false" ht="15" hidden="false" customHeight="false" outlineLevel="0" collapsed="false">
      <c r="B552" s="23" t="n">
        <v>531</v>
      </c>
      <c r="C552" s="23" t="str">
        <f aca="false">IFERROR(INDEX(Clay_Offices!$A$2:$FZ$601,B552,$C$5)&amp;"","")</f>
        <v/>
      </c>
      <c r="D552" s="23" t="str">
        <f aca="false">IFERROR(INDEX(Clay_Offices!$A$2:$FZ$601,B552,$C$7)&amp;"","")</f>
        <v/>
      </c>
      <c r="E552" s="23" t="str">
        <f aca="false">IFERROR(INDEX(Clay_Offices!$A$2:$FZ$601,B552,$C$8)&amp;"","")</f>
        <v/>
      </c>
      <c r="F552" s="23" t="str">
        <f aca="false">IF(C552="","",IF(COUNTIF(Office_Log!$A$2:$A$201,C552)&gt;0,"Y","N"))</f>
        <v/>
      </c>
      <c r="G552" s="34" t="str">
        <f aca="false">IF(OR(C552="",AND(LEFT(C552,6)="SAMPLE",Config!$B$19&lt;&gt;"Y")),"",IF(IFERROR(INDEX(Lists!$K$2:$K$15,MATCH(D552,Lists!$J$2:$J$15,0)),-1)=-1,"status '"&amp;D552&amp;"' is not a CONTRACTS status",IF(AND(D552="signed",COUNTIF(signed_offices!$W$2:$W$51,C552)=0),"status signed but no signed_offices row"&amp;IF(F552="N"," and no tracker row",""),IF(AND(IFERROR(INDEX(Lists!$K$2:$K$15,MATCH(D552,Lists!$J$2:$J$15,0)),-1)&gt;=6,F552="N"),"status "&amp;D552&amp;" but no tracker row",IF(AND(E552="Y",D552&lt;&gt;"do_not_contact"),"do_not_contact = Y but status is "&amp;D552,IF(AND(D552="do_not_contact",E552&lt;&gt;"Y"),"status do_not_contact but do_not_contact is not Y",""))))))</f>
        <v/>
      </c>
      <c r="I552" s="23" t="n">
        <v>531</v>
      </c>
      <c r="J552" s="23" t="str">
        <f aca="false">IFERROR(INDEX(Clay_Brands!$A$2:$FZ$601,I552,$D$5)&amp;"","")</f>
        <v/>
      </c>
      <c r="K552" s="23" t="str">
        <f aca="false">IFERROR(INDEX(Clay_Brands!$A$2:$FZ$601,I552,$D$7)&amp;"","")</f>
        <v/>
      </c>
      <c r="L552" s="23" t="str">
        <f aca="false">IFERROR(INDEX(Clay_Brands!$A$2:$FZ$601,I552,$D$8)&amp;"","")</f>
        <v/>
      </c>
      <c r="M552" s="23" t="str">
        <f aca="false">IF(J552="","",IF(COUNTIF(Brand_Log!$A$2:$A$201,J552)&gt;0,"Y","N"))</f>
        <v/>
      </c>
      <c r="N552" s="34" t="str">
        <f aca="false">IF(OR(J552="",AND(LEFT(J552,6)="SAMPLE",Config!$B$19&lt;&gt;"Y")),"",IF(IFERROR(INDEX(Lists!$K$2:$K$15,MATCH(K552,Lists!$J$2:$J$15,0)),-1)=-1,"status '"&amp;K552&amp;"' is not a CONTRACTS status",IF(AND(K552="paid",COUNTIF(paid_brands!$AC$2:$AC$51,J552)=0),"status paid but no paid_brands row"&amp;IF(M552="N"," and no tracker row",""),IF(AND(IFERROR(INDEX(Lists!$K$2:$K$15,MATCH(K552,Lists!$J$2:$J$15,0)),-1)&gt;=6,M552="N"),"status "&amp;K552&amp;" but no tracker row",IF(AND(L552="Y",K552&lt;&gt;"do_not_contact"),"do_not_contact = Y but status is "&amp;K552,IF(AND(K552="do_not_contact",L552&lt;&gt;"Y"),"status do_not_contact but do_not_contact is not Y",""))))))</f>
        <v/>
      </c>
    </row>
    <row r="553" customFormat="false" ht="15" hidden="false" customHeight="false" outlineLevel="0" collapsed="false">
      <c r="B553" s="23" t="n">
        <v>532</v>
      </c>
      <c r="C553" s="23" t="str">
        <f aca="false">IFERROR(INDEX(Clay_Offices!$A$2:$FZ$601,B553,$C$5)&amp;"","")</f>
        <v/>
      </c>
      <c r="D553" s="23" t="str">
        <f aca="false">IFERROR(INDEX(Clay_Offices!$A$2:$FZ$601,B553,$C$7)&amp;"","")</f>
        <v/>
      </c>
      <c r="E553" s="23" t="str">
        <f aca="false">IFERROR(INDEX(Clay_Offices!$A$2:$FZ$601,B553,$C$8)&amp;"","")</f>
        <v/>
      </c>
      <c r="F553" s="23" t="str">
        <f aca="false">IF(C553="","",IF(COUNTIF(Office_Log!$A$2:$A$201,C553)&gt;0,"Y","N"))</f>
        <v/>
      </c>
      <c r="G553" s="34" t="str">
        <f aca="false">IF(OR(C553="",AND(LEFT(C553,6)="SAMPLE",Config!$B$19&lt;&gt;"Y")),"",IF(IFERROR(INDEX(Lists!$K$2:$K$15,MATCH(D553,Lists!$J$2:$J$15,0)),-1)=-1,"status '"&amp;D553&amp;"' is not a CONTRACTS status",IF(AND(D553="signed",COUNTIF(signed_offices!$W$2:$W$51,C553)=0),"status signed but no signed_offices row"&amp;IF(F553="N"," and no tracker row",""),IF(AND(IFERROR(INDEX(Lists!$K$2:$K$15,MATCH(D553,Lists!$J$2:$J$15,0)),-1)&gt;=6,F553="N"),"status "&amp;D553&amp;" but no tracker row",IF(AND(E553="Y",D553&lt;&gt;"do_not_contact"),"do_not_contact = Y but status is "&amp;D553,IF(AND(D553="do_not_contact",E553&lt;&gt;"Y"),"status do_not_contact but do_not_contact is not Y",""))))))</f>
        <v/>
      </c>
      <c r="I553" s="23" t="n">
        <v>532</v>
      </c>
      <c r="J553" s="23" t="str">
        <f aca="false">IFERROR(INDEX(Clay_Brands!$A$2:$FZ$601,I553,$D$5)&amp;"","")</f>
        <v/>
      </c>
      <c r="K553" s="23" t="str">
        <f aca="false">IFERROR(INDEX(Clay_Brands!$A$2:$FZ$601,I553,$D$7)&amp;"","")</f>
        <v/>
      </c>
      <c r="L553" s="23" t="str">
        <f aca="false">IFERROR(INDEX(Clay_Brands!$A$2:$FZ$601,I553,$D$8)&amp;"","")</f>
        <v/>
      </c>
      <c r="M553" s="23" t="str">
        <f aca="false">IF(J553="","",IF(COUNTIF(Brand_Log!$A$2:$A$201,J553)&gt;0,"Y","N"))</f>
        <v/>
      </c>
      <c r="N553" s="34" t="str">
        <f aca="false">IF(OR(J553="",AND(LEFT(J553,6)="SAMPLE",Config!$B$19&lt;&gt;"Y")),"",IF(IFERROR(INDEX(Lists!$K$2:$K$15,MATCH(K553,Lists!$J$2:$J$15,0)),-1)=-1,"status '"&amp;K553&amp;"' is not a CONTRACTS status",IF(AND(K553="paid",COUNTIF(paid_brands!$AC$2:$AC$51,J553)=0),"status paid but no paid_brands row"&amp;IF(M553="N"," and no tracker row",""),IF(AND(IFERROR(INDEX(Lists!$K$2:$K$15,MATCH(K553,Lists!$J$2:$J$15,0)),-1)&gt;=6,M553="N"),"status "&amp;K553&amp;" but no tracker row",IF(AND(L553="Y",K553&lt;&gt;"do_not_contact"),"do_not_contact = Y but status is "&amp;K553,IF(AND(K553="do_not_contact",L553&lt;&gt;"Y"),"status do_not_contact but do_not_contact is not Y",""))))))</f>
        <v/>
      </c>
    </row>
    <row r="554" customFormat="false" ht="15" hidden="false" customHeight="false" outlineLevel="0" collapsed="false">
      <c r="B554" s="23" t="n">
        <v>533</v>
      </c>
      <c r="C554" s="23" t="str">
        <f aca="false">IFERROR(INDEX(Clay_Offices!$A$2:$FZ$601,B554,$C$5)&amp;"","")</f>
        <v/>
      </c>
      <c r="D554" s="23" t="str">
        <f aca="false">IFERROR(INDEX(Clay_Offices!$A$2:$FZ$601,B554,$C$7)&amp;"","")</f>
        <v/>
      </c>
      <c r="E554" s="23" t="str">
        <f aca="false">IFERROR(INDEX(Clay_Offices!$A$2:$FZ$601,B554,$C$8)&amp;"","")</f>
        <v/>
      </c>
      <c r="F554" s="23" t="str">
        <f aca="false">IF(C554="","",IF(COUNTIF(Office_Log!$A$2:$A$201,C554)&gt;0,"Y","N"))</f>
        <v/>
      </c>
      <c r="G554" s="34" t="str">
        <f aca="false">IF(OR(C554="",AND(LEFT(C554,6)="SAMPLE",Config!$B$19&lt;&gt;"Y")),"",IF(IFERROR(INDEX(Lists!$K$2:$K$15,MATCH(D554,Lists!$J$2:$J$15,0)),-1)=-1,"status '"&amp;D554&amp;"' is not a CONTRACTS status",IF(AND(D554="signed",COUNTIF(signed_offices!$W$2:$W$51,C554)=0),"status signed but no signed_offices row"&amp;IF(F554="N"," and no tracker row",""),IF(AND(IFERROR(INDEX(Lists!$K$2:$K$15,MATCH(D554,Lists!$J$2:$J$15,0)),-1)&gt;=6,F554="N"),"status "&amp;D554&amp;" but no tracker row",IF(AND(E554="Y",D554&lt;&gt;"do_not_contact"),"do_not_contact = Y but status is "&amp;D554,IF(AND(D554="do_not_contact",E554&lt;&gt;"Y"),"status do_not_contact but do_not_contact is not Y",""))))))</f>
        <v/>
      </c>
      <c r="I554" s="23" t="n">
        <v>533</v>
      </c>
      <c r="J554" s="23" t="str">
        <f aca="false">IFERROR(INDEX(Clay_Brands!$A$2:$FZ$601,I554,$D$5)&amp;"","")</f>
        <v/>
      </c>
      <c r="K554" s="23" t="str">
        <f aca="false">IFERROR(INDEX(Clay_Brands!$A$2:$FZ$601,I554,$D$7)&amp;"","")</f>
        <v/>
      </c>
      <c r="L554" s="23" t="str">
        <f aca="false">IFERROR(INDEX(Clay_Brands!$A$2:$FZ$601,I554,$D$8)&amp;"","")</f>
        <v/>
      </c>
      <c r="M554" s="23" t="str">
        <f aca="false">IF(J554="","",IF(COUNTIF(Brand_Log!$A$2:$A$201,J554)&gt;0,"Y","N"))</f>
        <v/>
      </c>
      <c r="N554" s="34" t="str">
        <f aca="false">IF(OR(J554="",AND(LEFT(J554,6)="SAMPLE",Config!$B$19&lt;&gt;"Y")),"",IF(IFERROR(INDEX(Lists!$K$2:$K$15,MATCH(K554,Lists!$J$2:$J$15,0)),-1)=-1,"status '"&amp;K554&amp;"' is not a CONTRACTS status",IF(AND(K554="paid",COUNTIF(paid_brands!$AC$2:$AC$51,J554)=0),"status paid but no paid_brands row"&amp;IF(M554="N"," and no tracker row",""),IF(AND(IFERROR(INDEX(Lists!$K$2:$K$15,MATCH(K554,Lists!$J$2:$J$15,0)),-1)&gt;=6,M554="N"),"status "&amp;K554&amp;" but no tracker row",IF(AND(L554="Y",K554&lt;&gt;"do_not_contact"),"do_not_contact = Y but status is "&amp;K554,IF(AND(K554="do_not_contact",L554&lt;&gt;"Y"),"status do_not_contact but do_not_contact is not Y",""))))))</f>
        <v/>
      </c>
    </row>
    <row r="555" customFormat="false" ht="15" hidden="false" customHeight="false" outlineLevel="0" collapsed="false">
      <c r="B555" s="23" t="n">
        <v>534</v>
      </c>
      <c r="C555" s="23" t="str">
        <f aca="false">IFERROR(INDEX(Clay_Offices!$A$2:$FZ$601,B555,$C$5)&amp;"","")</f>
        <v/>
      </c>
      <c r="D555" s="23" t="str">
        <f aca="false">IFERROR(INDEX(Clay_Offices!$A$2:$FZ$601,B555,$C$7)&amp;"","")</f>
        <v/>
      </c>
      <c r="E555" s="23" t="str">
        <f aca="false">IFERROR(INDEX(Clay_Offices!$A$2:$FZ$601,B555,$C$8)&amp;"","")</f>
        <v/>
      </c>
      <c r="F555" s="23" t="str">
        <f aca="false">IF(C555="","",IF(COUNTIF(Office_Log!$A$2:$A$201,C555)&gt;0,"Y","N"))</f>
        <v/>
      </c>
      <c r="G555" s="34" t="str">
        <f aca="false">IF(OR(C555="",AND(LEFT(C555,6)="SAMPLE",Config!$B$19&lt;&gt;"Y")),"",IF(IFERROR(INDEX(Lists!$K$2:$K$15,MATCH(D555,Lists!$J$2:$J$15,0)),-1)=-1,"status '"&amp;D555&amp;"' is not a CONTRACTS status",IF(AND(D555="signed",COUNTIF(signed_offices!$W$2:$W$51,C555)=0),"status signed but no signed_offices row"&amp;IF(F555="N"," and no tracker row",""),IF(AND(IFERROR(INDEX(Lists!$K$2:$K$15,MATCH(D555,Lists!$J$2:$J$15,0)),-1)&gt;=6,F555="N"),"status "&amp;D555&amp;" but no tracker row",IF(AND(E555="Y",D555&lt;&gt;"do_not_contact"),"do_not_contact = Y but status is "&amp;D555,IF(AND(D555="do_not_contact",E555&lt;&gt;"Y"),"status do_not_contact but do_not_contact is not Y",""))))))</f>
        <v/>
      </c>
      <c r="I555" s="23" t="n">
        <v>534</v>
      </c>
      <c r="J555" s="23" t="str">
        <f aca="false">IFERROR(INDEX(Clay_Brands!$A$2:$FZ$601,I555,$D$5)&amp;"","")</f>
        <v/>
      </c>
      <c r="K555" s="23" t="str">
        <f aca="false">IFERROR(INDEX(Clay_Brands!$A$2:$FZ$601,I555,$D$7)&amp;"","")</f>
        <v/>
      </c>
      <c r="L555" s="23" t="str">
        <f aca="false">IFERROR(INDEX(Clay_Brands!$A$2:$FZ$601,I555,$D$8)&amp;"","")</f>
        <v/>
      </c>
      <c r="M555" s="23" t="str">
        <f aca="false">IF(J555="","",IF(COUNTIF(Brand_Log!$A$2:$A$201,J555)&gt;0,"Y","N"))</f>
        <v/>
      </c>
      <c r="N555" s="34" t="str">
        <f aca="false">IF(OR(J555="",AND(LEFT(J555,6)="SAMPLE",Config!$B$19&lt;&gt;"Y")),"",IF(IFERROR(INDEX(Lists!$K$2:$K$15,MATCH(K555,Lists!$J$2:$J$15,0)),-1)=-1,"status '"&amp;K555&amp;"' is not a CONTRACTS status",IF(AND(K555="paid",COUNTIF(paid_brands!$AC$2:$AC$51,J555)=0),"status paid but no paid_brands row"&amp;IF(M555="N"," and no tracker row",""),IF(AND(IFERROR(INDEX(Lists!$K$2:$K$15,MATCH(K555,Lists!$J$2:$J$15,0)),-1)&gt;=6,M555="N"),"status "&amp;K555&amp;" but no tracker row",IF(AND(L555="Y",K555&lt;&gt;"do_not_contact"),"do_not_contact = Y but status is "&amp;K555,IF(AND(K555="do_not_contact",L555&lt;&gt;"Y"),"status do_not_contact but do_not_contact is not Y",""))))))</f>
        <v/>
      </c>
    </row>
    <row r="556" customFormat="false" ht="15" hidden="false" customHeight="false" outlineLevel="0" collapsed="false">
      <c r="B556" s="23" t="n">
        <v>535</v>
      </c>
      <c r="C556" s="23" t="str">
        <f aca="false">IFERROR(INDEX(Clay_Offices!$A$2:$FZ$601,B556,$C$5)&amp;"","")</f>
        <v/>
      </c>
      <c r="D556" s="23" t="str">
        <f aca="false">IFERROR(INDEX(Clay_Offices!$A$2:$FZ$601,B556,$C$7)&amp;"","")</f>
        <v/>
      </c>
      <c r="E556" s="23" t="str">
        <f aca="false">IFERROR(INDEX(Clay_Offices!$A$2:$FZ$601,B556,$C$8)&amp;"","")</f>
        <v/>
      </c>
      <c r="F556" s="23" t="str">
        <f aca="false">IF(C556="","",IF(COUNTIF(Office_Log!$A$2:$A$201,C556)&gt;0,"Y","N"))</f>
        <v/>
      </c>
      <c r="G556" s="34" t="str">
        <f aca="false">IF(OR(C556="",AND(LEFT(C556,6)="SAMPLE",Config!$B$19&lt;&gt;"Y")),"",IF(IFERROR(INDEX(Lists!$K$2:$K$15,MATCH(D556,Lists!$J$2:$J$15,0)),-1)=-1,"status '"&amp;D556&amp;"' is not a CONTRACTS status",IF(AND(D556="signed",COUNTIF(signed_offices!$W$2:$W$51,C556)=0),"status signed but no signed_offices row"&amp;IF(F556="N"," and no tracker row",""),IF(AND(IFERROR(INDEX(Lists!$K$2:$K$15,MATCH(D556,Lists!$J$2:$J$15,0)),-1)&gt;=6,F556="N"),"status "&amp;D556&amp;" but no tracker row",IF(AND(E556="Y",D556&lt;&gt;"do_not_contact"),"do_not_contact = Y but status is "&amp;D556,IF(AND(D556="do_not_contact",E556&lt;&gt;"Y"),"status do_not_contact but do_not_contact is not Y",""))))))</f>
        <v/>
      </c>
      <c r="I556" s="23" t="n">
        <v>535</v>
      </c>
      <c r="J556" s="23" t="str">
        <f aca="false">IFERROR(INDEX(Clay_Brands!$A$2:$FZ$601,I556,$D$5)&amp;"","")</f>
        <v/>
      </c>
      <c r="K556" s="23" t="str">
        <f aca="false">IFERROR(INDEX(Clay_Brands!$A$2:$FZ$601,I556,$D$7)&amp;"","")</f>
        <v/>
      </c>
      <c r="L556" s="23" t="str">
        <f aca="false">IFERROR(INDEX(Clay_Brands!$A$2:$FZ$601,I556,$D$8)&amp;"","")</f>
        <v/>
      </c>
      <c r="M556" s="23" t="str">
        <f aca="false">IF(J556="","",IF(COUNTIF(Brand_Log!$A$2:$A$201,J556)&gt;0,"Y","N"))</f>
        <v/>
      </c>
      <c r="N556" s="34" t="str">
        <f aca="false">IF(OR(J556="",AND(LEFT(J556,6)="SAMPLE",Config!$B$19&lt;&gt;"Y")),"",IF(IFERROR(INDEX(Lists!$K$2:$K$15,MATCH(K556,Lists!$J$2:$J$15,0)),-1)=-1,"status '"&amp;K556&amp;"' is not a CONTRACTS status",IF(AND(K556="paid",COUNTIF(paid_brands!$AC$2:$AC$51,J556)=0),"status paid but no paid_brands row"&amp;IF(M556="N"," and no tracker row",""),IF(AND(IFERROR(INDEX(Lists!$K$2:$K$15,MATCH(K556,Lists!$J$2:$J$15,0)),-1)&gt;=6,M556="N"),"status "&amp;K556&amp;" but no tracker row",IF(AND(L556="Y",K556&lt;&gt;"do_not_contact"),"do_not_contact = Y but status is "&amp;K556,IF(AND(K556="do_not_contact",L556&lt;&gt;"Y"),"status do_not_contact but do_not_contact is not Y",""))))))</f>
        <v/>
      </c>
    </row>
    <row r="557" customFormat="false" ht="15" hidden="false" customHeight="false" outlineLevel="0" collapsed="false">
      <c r="B557" s="23" t="n">
        <v>536</v>
      </c>
      <c r="C557" s="23" t="str">
        <f aca="false">IFERROR(INDEX(Clay_Offices!$A$2:$FZ$601,B557,$C$5)&amp;"","")</f>
        <v/>
      </c>
      <c r="D557" s="23" t="str">
        <f aca="false">IFERROR(INDEX(Clay_Offices!$A$2:$FZ$601,B557,$C$7)&amp;"","")</f>
        <v/>
      </c>
      <c r="E557" s="23" t="str">
        <f aca="false">IFERROR(INDEX(Clay_Offices!$A$2:$FZ$601,B557,$C$8)&amp;"","")</f>
        <v/>
      </c>
      <c r="F557" s="23" t="str">
        <f aca="false">IF(C557="","",IF(COUNTIF(Office_Log!$A$2:$A$201,C557)&gt;0,"Y","N"))</f>
        <v/>
      </c>
      <c r="G557" s="34" t="str">
        <f aca="false">IF(OR(C557="",AND(LEFT(C557,6)="SAMPLE",Config!$B$19&lt;&gt;"Y")),"",IF(IFERROR(INDEX(Lists!$K$2:$K$15,MATCH(D557,Lists!$J$2:$J$15,0)),-1)=-1,"status '"&amp;D557&amp;"' is not a CONTRACTS status",IF(AND(D557="signed",COUNTIF(signed_offices!$W$2:$W$51,C557)=0),"status signed but no signed_offices row"&amp;IF(F557="N"," and no tracker row",""),IF(AND(IFERROR(INDEX(Lists!$K$2:$K$15,MATCH(D557,Lists!$J$2:$J$15,0)),-1)&gt;=6,F557="N"),"status "&amp;D557&amp;" but no tracker row",IF(AND(E557="Y",D557&lt;&gt;"do_not_contact"),"do_not_contact = Y but status is "&amp;D557,IF(AND(D557="do_not_contact",E557&lt;&gt;"Y"),"status do_not_contact but do_not_contact is not Y",""))))))</f>
        <v/>
      </c>
      <c r="I557" s="23" t="n">
        <v>536</v>
      </c>
      <c r="J557" s="23" t="str">
        <f aca="false">IFERROR(INDEX(Clay_Brands!$A$2:$FZ$601,I557,$D$5)&amp;"","")</f>
        <v/>
      </c>
      <c r="K557" s="23" t="str">
        <f aca="false">IFERROR(INDEX(Clay_Brands!$A$2:$FZ$601,I557,$D$7)&amp;"","")</f>
        <v/>
      </c>
      <c r="L557" s="23" t="str">
        <f aca="false">IFERROR(INDEX(Clay_Brands!$A$2:$FZ$601,I557,$D$8)&amp;"","")</f>
        <v/>
      </c>
      <c r="M557" s="23" t="str">
        <f aca="false">IF(J557="","",IF(COUNTIF(Brand_Log!$A$2:$A$201,J557)&gt;0,"Y","N"))</f>
        <v/>
      </c>
      <c r="N557" s="34" t="str">
        <f aca="false">IF(OR(J557="",AND(LEFT(J557,6)="SAMPLE",Config!$B$19&lt;&gt;"Y")),"",IF(IFERROR(INDEX(Lists!$K$2:$K$15,MATCH(K557,Lists!$J$2:$J$15,0)),-1)=-1,"status '"&amp;K557&amp;"' is not a CONTRACTS status",IF(AND(K557="paid",COUNTIF(paid_brands!$AC$2:$AC$51,J557)=0),"status paid but no paid_brands row"&amp;IF(M557="N"," and no tracker row",""),IF(AND(IFERROR(INDEX(Lists!$K$2:$K$15,MATCH(K557,Lists!$J$2:$J$15,0)),-1)&gt;=6,M557="N"),"status "&amp;K557&amp;" but no tracker row",IF(AND(L557="Y",K557&lt;&gt;"do_not_contact"),"do_not_contact = Y but status is "&amp;K557,IF(AND(K557="do_not_contact",L557&lt;&gt;"Y"),"status do_not_contact but do_not_contact is not Y",""))))))</f>
        <v/>
      </c>
    </row>
    <row r="558" customFormat="false" ht="15" hidden="false" customHeight="false" outlineLevel="0" collapsed="false">
      <c r="B558" s="23" t="n">
        <v>537</v>
      </c>
      <c r="C558" s="23" t="str">
        <f aca="false">IFERROR(INDEX(Clay_Offices!$A$2:$FZ$601,B558,$C$5)&amp;"","")</f>
        <v/>
      </c>
      <c r="D558" s="23" t="str">
        <f aca="false">IFERROR(INDEX(Clay_Offices!$A$2:$FZ$601,B558,$C$7)&amp;"","")</f>
        <v/>
      </c>
      <c r="E558" s="23" t="str">
        <f aca="false">IFERROR(INDEX(Clay_Offices!$A$2:$FZ$601,B558,$C$8)&amp;"","")</f>
        <v/>
      </c>
      <c r="F558" s="23" t="str">
        <f aca="false">IF(C558="","",IF(COUNTIF(Office_Log!$A$2:$A$201,C558)&gt;0,"Y","N"))</f>
        <v/>
      </c>
      <c r="G558" s="34" t="str">
        <f aca="false">IF(OR(C558="",AND(LEFT(C558,6)="SAMPLE",Config!$B$19&lt;&gt;"Y")),"",IF(IFERROR(INDEX(Lists!$K$2:$K$15,MATCH(D558,Lists!$J$2:$J$15,0)),-1)=-1,"status '"&amp;D558&amp;"' is not a CONTRACTS status",IF(AND(D558="signed",COUNTIF(signed_offices!$W$2:$W$51,C558)=0),"status signed but no signed_offices row"&amp;IF(F558="N"," and no tracker row",""),IF(AND(IFERROR(INDEX(Lists!$K$2:$K$15,MATCH(D558,Lists!$J$2:$J$15,0)),-1)&gt;=6,F558="N"),"status "&amp;D558&amp;" but no tracker row",IF(AND(E558="Y",D558&lt;&gt;"do_not_contact"),"do_not_contact = Y but status is "&amp;D558,IF(AND(D558="do_not_contact",E558&lt;&gt;"Y"),"status do_not_contact but do_not_contact is not Y",""))))))</f>
        <v/>
      </c>
      <c r="I558" s="23" t="n">
        <v>537</v>
      </c>
      <c r="J558" s="23" t="str">
        <f aca="false">IFERROR(INDEX(Clay_Brands!$A$2:$FZ$601,I558,$D$5)&amp;"","")</f>
        <v/>
      </c>
      <c r="K558" s="23" t="str">
        <f aca="false">IFERROR(INDEX(Clay_Brands!$A$2:$FZ$601,I558,$D$7)&amp;"","")</f>
        <v/>
      </c>
      <c r="L558" s="23" t="str">
        <f aca="false">IFERROR(INDEX(Clay_Brands!$A$2:$FZ$601,I558,$D$8)&amp;"","")</f>
        <v/>
      </c>
      <c r="M558" s="23" t="str">
        <f aca="false">IF(J558="","",IF(COUNTIF(Brand_Log!$A$2:$A$201,J558)&gt;0,"Y","N"))</f>
        <v/>
      </c>
      <c r="N558" s="34" t="str">
        <f aca="false">IF(OR(J558="",AND(LEFT(J558,6)="SAMPLE",Config!$B$19&lt;&gt;"Y")),"",IF(IFERROR(INDEX(Lists!$K$2:$K$15,MATCH(K558,Lists!$J$2:$J$15,0)),-1)=-1,"status '"&amp;K558&amp;"' is not a CONTRACTS status",IF(AND(K558="paid",COUNTIF(paid_brands!$AC$2:$AC$51,J558)=0),"status paid but no paid_brands row"&amp;IF(M558="N"," and no tracker row",""),IF(AND(IFERROR(INDEX(Lists!$K$2:$K$15,MATCH(K558,Lists!$J$2:$J$15,0)),-1)&gt;=6,M558="N"),"status "&amp;K558&amp;" but no tracker row",IF(AND(L558="Y",K558&lt;&gt;"do_not_contact"),"do_not_contact = Y but status is "&amp;K558,IF(AND(K558="do_not_contact",L558&lt;&gt;"Y"),"status do_not_contact but do_not_contact is not Y",""))))))</f>
        <v/>
      </c>
    </row>
    <row r="559" customFormat="false" ht="15" hidden="false" customHeight="false" outlineLevel="0" collapsed="false">
      <c r="B559" s="23" t="n">
        <v>538</v>
      </c>
      <c r="C559" s="23" t="str">
        <f aca="false">IFERROR(INDEX(Clay_Offices!$A$2:$FZ$601,B559,$C$5)&amp;"","")</f>
        <v/>
      </c>
      <c r="D559" s="23" t="str">
        <f aca="false">IFERROR(INDEX(Clay_Offices!$A$2:$FZ$601,B559,$C$7)&amp;"","")</f>
        <v/>
      </c>
      <c r="E559" s="23" t="str">
        <f aca="false">IFERROR(INDEX(Clay_Offices!$A$2:$FZ$601,B559,$C$8)&amp;"","")</f>
        <v/>
      </c>
      <c r="F559" s="23" t="str">
        <f aca="false">IF(C559="","",IF(COUNTIF(Office_Log!$A$2:$A$201,C559)&gt;0,"Y","N"))</f>
        <v/>
      </c>
      <c r="G559" s="34" t="str">
        <f aca="false">IF(OR(C559="",AND(LEFT(C559,6)="SAMPLE",Config!$B$19&lt;&gt;"Y")),"",IF(IFERROR(INDEX(Lists!$K$2:$K$15,MATCH(D559,Lists!$J$2:$J$15,0)),-1)=-1,"status '"&amp;D559&amp;"' is not a CONTRACTS status",IF(AND(D559="signed",COUNTIF(signed_offices!$W$2:$W$51,C559)=0),"status signed but no signed_offices row"&amp;IF(F559="N"," and no tracker row",""),IF(AND(IFERROR(INDEX(Lists!$K$2:$K$15,MATCH(D559,Lists!$J$2:$J$15,0)),-1)&gt;=6,F559="N"),"status "&amp;D559&amp;" but no tracker row",IF(AND(E559="Y",D559&lt;&gt;"do_not_contact"),"do_not_contact = Y but status is "&amp;D559,IF(AND(D559="do_not_contact",E559&lt;&gt;"Y"),"status do_not_contact but do_not_contact is not Y",""))))))</f>
        <v/>
      </c>
      <c r="I559" s="23" t="n">
        <v>538</v>
      </c>
      <c r="J559" s="23" t="str">
        <f aca="false">IFERROR(INDEX(Clay_Brands!$A$2:$FZ$601,I559,$D$5)&amp;"","")</f>
        <v/>
      </c>
      <c r="K559" s="23" t="str">
        <f aca="false">IFERROR(INDEX(Clay_Brands!$A$2:$FZ$601,I559,$D$7)&amp;"","")</f>
        <v/>
      </c>
      <c r="L559" s="23" t="str">
        <f aca="false">IFERROR(INDEX(Clay_Brands!$A$2:$FZ$601,I559,$D$8)&amp;"","")</f>
        <v/>
      </c>
      <c r="M559" s="23" t="str">
        <f aca="false">IF(J559="","",IF(COUNTIF(Brand_Log!$A$2:$A$201,J559)&gt;0,"Y","N"))</f>
        <v/>
      </c>
      <c r="N559" s="34" t="str">
        <f aca="false">IF(OR(J559="",AND(LEFT(J559,6)="SAMPLE",Config!$B$19&lt;&gt;"Y")),"",IF(IFERROR(INDEX(Lists!$K$2:$K$15,MATCH(K559,Lists!$J$2:$J$15,0)),-1)=-1,"status '"&amp;K559&amp;"' is not a CONTRACTS status",IF(AND(K559="paid",COUNTIF(paid_brands!$AC$2:$AC$51,J559)=0),"status paid but no paid_brands row"&amp;IF(M559="N"," and no tracker row",""),IF(AND(IFERROR(INDEX(Lists!$K$2:$K$15,MATCH(K559,Lists!$J$2:$J$15,0)),-1)&gt;=6,M559="N"),"status "&amp;K559&amp;" but no tracker row",IF(AND(L559="Y",K559&lt;&gt;"do_not_contact"),"do_not_contact = Y but status is "&amp;K559,IF(AND(K559="do_not_contact",L559&lt;&gt;"Y"),"status do_not_contact but do_not_contact is not Y",""))))))</f>
        <v/>
      </c>
    </row>
    <row r="560" customFormat="false" ht="15" hidden="false" customHeight="false" outlineLevel="0" collapsed="false">
      <c r="B560" s="23" t="n">
        <v>539</v>
      </c>
      <c r="C560" s="23" t="str">
        <f aca="false">IFERROR(INDEX(Clay_Offices!$A$2:$FZ$601,B560,$C$5)&amp;"","")</f>
        <v/>
      </c>
      <c r="D560" s="23" t="str">
        <f aca="false">IFERROR(INDEX(Clay_Offices!$A$2:$FZ$601,B560,$C$7)&amp;"","")</f>
        <v/>
      </c>
      <c r="E560" s="23" t="str">
        <f aca="false">IFERROR(INDEX(Clay_Offices!$A$2:$FZ$601,B560,$C$8)&amp;"","")</f>
        <v/>
      </c>
      <c r="F560" s="23" t="str">
        <f aca="false">IF(C560="","",IF(COUNTIF(Office_Log!$A$2:$A$201,C560)&gt;0,"Y","N"))</f>
        <v/>
      </c>
      <c r="G560" s="34" t="str">
        <f aca="false">IF(OR(C560="",AND(LEFT(C560,6)="SAMPLE",Config!$B$19&lt;&gt;"Y")),"",IF(IFERROR(INDEX(Lists!$K$2:$K$15,MATCH(D560,Lists!$J$2:$J$15,0)),-1)=-1,"status '"&amp;D560&amp;"' is not a CONTRACTS status",IF(AND(D560="signed",COUNTIF(signed_offices!$W$2:$W$51,C560)=0),"status signed but no signed_offices row"&amp;IF(F560="N"," and no tracker row",""),IF(AND(IFERROR(INDEX(Lists!$K$2:$K$15,MATCH(D560,Lists!$J$2:$J$15,0)),-1)&gt;=6,F560="N"),"status "&amp;D560&amp;" but no tracker row",IF(AND(E560="Y",D560&lt;&gt;"do_not_contact"),"do_not_contact = Y but status is "&amp;D560,IF(AND(D560="do_not_contact",E560&lt;&gt;"Y"),"status do_not_contact but do_not_contact is not Y",""))))))</f>
        <v/>
      </c>
      <c r="I560" s="23" t="n">
        <v>539</v>
      </c>
      <c r="J560" s="23" t="str">
        <f aca="false">IFERROR(INDEX(Clay_Brands!$A$2:$FZ$601,I560,$D$5)&amp;"","")</f>
        <v/>
      </c>
      <c r="K560" s="23" t="str">
        <f aca="false">IFERROR(INDEX(Clay_Brands!$A$2:$FZ$601,I560,$D$7)&amp;"","")</f>
        <v/>
      </c>
      <c r="L560" s="23" t="str">
        <f aca="false">IFERROR(INDEX(Clay_Brands!$A$2:$FZ$601,I560,$D$8)&amp;"","")</f>
        <v/>
      </c>
      <c r="M560" s="23" t="str">
        <f aca="false">IF(J560="","",IF(COUNTIF(Brand_Log!$A$2:$A$201,J560)&gt;0,"Y","N"))</f>
        <v/>
      </c>
      <c r="N560" s="34" t="str">
        <f aca="false">IF(OR(J560="",AND(LEFT(J560,6)="SAMPLE",Config!$B$19&lt;&gt;"Y")),"",IF(IFERROR(INDEX(Lists!$K$2:$K$15,MATCH(K560,Lists!$J$2:$J$15,0)),-1)=-1,"status '"&amp;K560&amp;"' is not a CONTRACTS status",IF(AND(K560="paid",COUNTIF(paid_brands!$AC$2:$AC$51,J560)=0),"status paid but no paid_brands row"&amp;IF(M560="N"," and no tracker row",""),IF(AND(IFERROR(INDEX(Lists!$K$2:$K$15,MATCH(K560,Lists!$J$2:$J$15,0)),-1)&gt;=6,M560="N"),"status "&amp;K560&amp;" but no tracker row",IF(AND(L560="Y",K560&lt;&gt;"do_not_contact"),"do_not_contact = Y but status is "&amp;K560,IF(AND(K560="do_not_contact",L560&lt;&gt;"Y"),"status do_not_contact but do_not_contact is not Y",""))))))</f>
        <v/>
      </c>
    </row>
    <row r="561" customFormat="false" ht="15" hidden="false" customHeight="false" outlineLevel="0" collapsed="false">
      <c r="B561" s="23" t="n">
        <v>540</v>
      </c>
      <c r="C561" s="23" t="str">
        <f aca="false">IFERROR(INDEX(Clay_Offices!$A$2:$FZ$601,B561,$C$5)&amp;"","")</f>
        <v/>
      </c>
      <c r="D561" s="23" t="str">
        <f aca="false">IFERROR(INDEX(Clay_Offices!$A$2:$FZ$601,B561,$C$7)&amp;"","")</f>
        <v/>
      </c>
      <c r="E561" s="23" t="str">
        <f aca="false">IFERROR(INDEX(Clay_Offices!$A$2:$FZ$601,B561,$C$8)&amp;"","")</f>
        <v/>
      </c>
      <c r="F561" s="23" t="str">
        <f aca="false">IF(C561="","",IF(COUNTIF(Office_Log!$A$2:$A$201,C561)&gt;0,"Y","N"))</f>
        <v/>
      </c>
      <c r="G561" s="34" t="str">
        <f aca="false">IF(OR(C561="",AND(LEFT(C561,6)="SAMPLE",Config!$B$19&lt;&gt;"Y")),"",IF(IFERROR(INDEX(Lists!$K$2:$K$15,MATCH(D561,Lists!$J$2:$J$15,0)),-1)=-1,"status '"&amp;D561&amp;"' is not a CONTRACTS status",IF(AND(D561="signed",COUNTIF(signed_offices!$W$2:$W$51,C561)=0),"status signed but no signed_offices row"&amp;IF(F561="N"," and no tracker row",""),IF(AND(IFERROR(INDEX(Lists!$K$2:$K$15,MATCH(D561,Lists!$J$2:$J$15,0)),-1)&gt;=6,F561="N"),"status "&amp;D561&amp;" but no tracker row",IF(AND(E561="Y",D561&lt;&gt;"do_not_contact"),"do_not_contact = Y but status is "&amp;D561,IF(AND(D561="do_not_contact",E561&lt;&gt;"Y"),"status do_not_contact but do_not_contact is not Y",""))))))</f>
        <v/>
      </c>
      <c r="I561" s="23" t="n">
        <v>540</v>
      </c>
      <c r="J561" s="23" t="str">
        <f aca="false">IFERROR(INDEX(Clay_Brands!$A$2:$FZ$601,I561,$D$5)&amp;"","")</f>
        <v/>
      </c>
      <c r="K561" s="23" t="str">
        <f aca="false">IFERROR(INDEX(Clay_Brands!$A$2:$FZ$601,I561,$D$7)&amp;"","")</f>
        <v/>
      </c>
      <c r="L561" s="23" t="str">
        <f aca="false">IFERROR(INDEX(Clay_Brands!$A$2:$FZ$601,I561,$D$8)&amp;"","")</f>
        <v/>
      </c>
      <c r="M561" s="23" t="str">
        <f aca="false">IF(J561="","",IF(COUNTIF(Brand_Log!$A$2:$A$201,J561)&gt;0,"Y","N"))</f>
        <v/>
      </c>
      <c r="N561" s="34" t="str">
        <f aca="false">IF(OR(J561="",AND(LEFT(J561,6)="SAMPLE",Config!$B$19&lt;&gt;"Y")),"",IF(IFERROR(INDEX(Lists!$K$2:$K$15,MATCH(K561,Lists!$J$2:$J$15,0)),-1)=-1,"status '"&amp;K561&amp;"' is not a CONTRACTS status",IF(AND(K561="paid",COUNTIF(paid_brands!$AC$2:$AC$51,J561)=0),"status paid but no paid_brands row"&amp;IF(M561="N"," and no tracker row",""),IF(AND(IFERROR(INDEX(Lists!$K$2:$K$15,MATCH(K561,Lists!$J$2:$J$15,0)),-1)&gt;=6,M561="N"),"status "&amp;K561&amp;" but no tracker row",IF(AND(L561="Y",K561&lt;&gt;"do_not_contact"),"do_not_contact = Y but status is "&amp;K561,IF(AND(K561="do_not_contact",L561&lt;&gt;"Y"),"status do_not_contact but do_not_contact is not Y",""))))))</f>
        <v/>
      </c>
    </row>
    <row r="562" customFormat="false" ht="15" hidden="false" customHeight="false" outlineLevel="0" collapsed="false">
      <c r="B562" s="23" t="n">
        <v>541</v>
      </c>
      <c r="C562" s="23" t="str">
        <f aca="false">IFERROR(INDEX(Clay_Offices!$A$2:$FZ$601,B562,$C$5)&amp;"","")</f>
        <v/>
      </c>
      <c r="D562" s="23" t="str">
        <f aca="false">IFERROR(INDEX(Clay_Offices!$A$2:$FZ$601,B562,$C$7)&amp;"","")</f>
        <v/>
      </c>
      <c r="E562" s="23" t="str">
        <f aca="false">IFERROR(INDEX(Clay_Offices!$A$2:$FZ$601,B562,$C$8)&amp;"","")</f>
        <v/>
      </c>
      <c r="F562" s="23" t="str">
        <f aca="false">IF(C562="","",IF(COUNTIF(Office_Log!$A$2:$A$201,C562)&gt;0,"Y","N"))</f>
        <v/>
      </c>
      <c r="G562" s="34" t="str">
        <f aca="false">IF(OR(C562="",AND(LEFT(C562,6)="SAMPLE",Config!$B$19&lt;&gt;"Y")),"",IF(IFERROR(INDEX(Lists!$K$2:$K$15,MATCH(D562,Lists!$J$2:$J$15,0)),-1)=-1,"status '"&amp;D562&amp;"' is not a CONTRACTS status",IF(AND(D562="signed",COUNTIF(signed_offices!$W$2:$W$51,C562)=0),"status signed but no signed_offices row"&amp;IF(F562="N"," and no tracker row",""),IF(AND(IFERROR(INDEX(Lists!$K$2:$K$15,MATCH(D562,Lists!$J$2:$J$15,0)),-1)&gt;=6,F562="N"),"status "&amp;D562&amp;" but no tracker row",IF(AND(E562="Y",D562&lt;&gt;"do_not_contact"),"do_not_contact = Y but status is "&amp;D562,IF(AND(D562="do_not_contact",E562&lt;&gt;"Y"),"status do_not_contact but do_not_contact is not Y",""))))))</f>
        <v/>
      </c>
      <c r="I562" s="23" t="n">
        <v>541</v>
      </c>
      <c r="J562" s="23" t="str">
        <f aca="false">IFERROR(INDEX(Clay_Brands!$A$2:$FZ$601,I562,$D$5)&amp;"","")</f>
        <v/>
      </c>
      <c r="K562" s="23" t="str">
        <f aca="false">IFERROR(INDEX(Clay_Brands!$A$2:$FZ$601,I562,$D$7)&amp;"","")</f>
        <v/>
      </c>
      <c r="L562" s="23" t="str">
        <f aca="false">IFERROR(INDEX(Clay_Brands!$A$2:$FZ$601,I562,$D$8)&amp;"","")</f>
        <v/>
      </c>
      <c r="M562" s="23" t="str">
        <f aca="false">IF(J562="","",IF(COUNTIF(Brand_Log!$A$2:$A$201,J562)&gt;0,"Y","N"))</f>
        <v/>
      </c>
      <c r="N562" s="34" t="str">
        <f aca="false">IF(OR(J562="",AND(LEFT(J562,6)="SAMPLE",Config!$B$19&lt;&gt;"Y")),"",IF(IFERROR(INDEX(Lists!$K$2:$K$15,MATCH(K562,Lists!$J$2:$J$15,0)),-1)=-1,"status '"&amp;K562&amp;"' is not a CONTRACTS status",IF(AND(K562="paid",COUNTIF(paid_brands!$AC$2:$AC$51,J562)=0),"status paid but no paid_brands row"&amp;IF(M562="N"," and no tracker row",""),IF(AND(IFERROR(INDEX(Lists!$K$2:$K$15,MATCH(K562,Lists!$J$2:$J$15,0)),-1)&gt;=6,M562="N"),"status "&amp;K562&amp;" but no tracker row",IF(AND(L562="Y",K562&lt;&gt;"do_not_contact"),"do_not_contact = Y but status is "&amp;K562,IF(AND(K562="do_not_contact",L562&lt;&gt;"Y"),"status do_not_contact but do_not_contact is not Y",""))))))</f>
        <v/>
      </c>
    </row>
    <row r="563" customFormat="false" ht="15" hidden="false" customHeight="false" outlineLevel="0" collapsed="false">
      <c r="B563" s="23" t="n">
        <v>542</v>
      </c>
      <c r="C563" s="23" t="str">
        <f aca="false">IFERROR(INDEX(Clay_Offices!$A$2:$FZ$601,B563,$C$5)&amp;"","")</f>
        <v/>
      </c>
      <c r="D563" s="23" t="str">
        <f aca="false">IFERROR(INDEX(Clay_Offices!$A$2:$FZ$601,B563,$C$7)&amp;"","")</f>
        <v/>
      </c>
      <c r="E563" s="23" t="str">
        <f aca="false">IFERROR(INDEX(Clay_Offices!$A$2:$FZ$601,B563,$C$8)&amp;"","")</f>
        <v/>
      </c>
      <c r="F563" s="23" t="str">
        <f aca="false">IF(C563="","",IF(COUNTIF(Office_Log!$A$2:$A$201,C563)&gt;0,"Y","N"))</f>
        <v/>
      </c>
      <c r="G563" s="34" t="str">
        <f aca="false">IF(OR(C563="",AND(LEFT(C563,6)="SAMPLE",Config!$B$19&lt;&gt;"Y")),"",IF(IFERROR(INDEX(Lists!$K$2:$K$15,MATCH(D563,Lists!$J$2:$J$15,0)),-1)=-1,"status '"&amp;D563&amp;"' is not a CONTRACTS status",IF(AND(D563="signed",COUNTIF(signed_offices!$W$2:$W$51,C563)=0),"status signed but no signed_offices row"&amp;IF(F563="N"," and no tracker row",""),IF(AND(IFERROR(INDEX(Lists!$K$2:$K$15,MATCH(D563,Lists!$J$2:$J$15,0)),-1)&gt;=6,F563="N"),"status "&amp;D563&amp;" but no tracker row",IF(AND(E563="Y",D563&lt;&gt;"do_not_contact"),"do_not_contact = Y but status is "&amp;D563,IF(AND(D563="do_not_contact",E563&lt;&gt;"Y"),"status do_not_contact but do_not_contact is not Y",""))))))</f>
        <v/>
      </c>
      <c r="I563" s="23" t="n">
        <v>542</v>
      </c>
      <c r="J563" s="23" t="str">
        <f aca="false">IFERROR(INDEX(Clay_Brands!$A$2:$FZ$601,I563,$D$5)&amp;"","")</f>
        <v/>
      </c>
      <c r="K563" s="23" t="str">
        <f aca="false">IFERROR(INDEX(Clay_Brands!$A$2:$FZ$601,I563,$D$7)&amp;"","")</f>
        <v/>
      </c>
      <c r="L563" s="23" t="str">
        <f aca="false">IFERROR(INDEX(Clay_Brands!$A$2:$FZ$601,I563,$D$8)&amp;"","")</f>
        <v/>
      </c>
      <c r="M563" s="23" t="str">
        <f aca="false">IF(J563="","",IF(COUNTIF(Brand_Log!$A$2:$A$201,J563)&gt;0,"Y","N"))</f>
        <v/>
      </c>
      <c r="N563" s="34" t="str">
        <f aca="false">IF(OR(J563="",AND(LEFT(J563,6)="SAMPLE",Config!$B$19&lt;&gt;"Y")),"",IF(IFERROR(INDEX(Lists!$K$2:$K$15,MATCH(K563,Lists!$J$2:$J$15,0)),-1)=-1,"status '"&amp;K563&amp;"' is not a CONTRACTS status",IF(AND(K563="paid",COUNTIF(paid_brands!$AC$2:$AC$51,J563)=0),"status paid but no paid_brands row"&amp;IF(M563="N"," and no tracker row",""),IF(AND(IFERROR(INDEX(Lists!$K$2:$K$15,MATCH(K563,Lists!$J$2:$J$15,0)),-1)&gt;=6,M563="N"),"status "&amp;K563&amp;" but no tracker row",IF(AND(L563="Y",K563&lt;&gt;"do_not_contact"),"do_not_contact = Y but status is "&amp;K563,IF(AND(K563="do_not_contact",L563&lt;&gt;"Y"),"status do_not_contact but do_not_contact is not Y",""))))))</f>
        <v/>
      </c>
    </row>
    <row r="564" customFormat="false" ht="15" hidden="false" customHeight="false" outlineLevel="0" collapsed="false">
      <c r="B564" s="23" t="n">
        <v>543</v>
      </c>
      <c r="C564" s="23" t="str">
        <f aca="false">IFERROR(INDEX(Clay_Offices!$A$2:$FZ$601,B564,$C$5)&amp;"","")</f>
        <v/>
      </c>
      <c r="D564" s="23" t="str">
        <f aca="false">IFERROR(INDEX(Clay_Offices!$A$2:$FZ$601,B564,$C$7)&amp;"","")</f>
        <v/>
      </c>
      <c r="E564" s="23" t="str">
        <f aca="false">IFERROR(INDEX(Clay_Offices!$A$2:$FZ$601,B564,$C$8)&amp;"","")</f>
        <v/>
      </c>
      <c r="F564" s="23" t="str">
        <f aca="false">IF(C564="","",IF(COUNTIF(Office_Log!$A$2:$A$201,C564)&gt;0,"Y","N"))</f>
        <v/>
      </c>
      <c r="G564" s="34" t="str">
        <f aca="false">IF(OR(C564="",AND(LEFT(C564,6)="SAMPLE",Config!$B$19&lt;&gt;"Y")),"",IF(IFERROR(INDEX(Lists!$K$2:$K$15,MATCH(D564,Lists!$J$2:$J$15,0)),-1)=-1,"status '"&amp;D564&amp;"' is not a CONTRACTS status",IF(AND(D564="signed",COUNTIF(signed_offices!$W$2:$W$51,C564)=0),"status signed but no signed_offices row"&amp;IF(F564="N"," and no tracker row",""),IF(AND(IFERROR(INDEX(Lists!$K$2:$K$15,MATCH(D564,Lists!$J$2:$J$15,0)),-1)&gt;=6,F564="N"),"status "&amp;D564&amp;" but no tracker row",IF(AND(E564="Y",D564&lt;&gt;"do_not_contact"),"do_not_contact = Y but status is "&amp;D564,IF(AND(D564="do_not_contact",E564&lt;&gt;"Y"),"status do_not_contact but do_not_contact is not Y",""))))))</f>
        <v/>
      </c>
      <c r="I564" s="23" t="n">
        <v>543</v>
      </c>
      <c r="J564" s="23" t="str">
        <f aca="false">IFERROR(INDEX(Clay_Brands!$A$2:$FZ$601,I564,$D$5)&amp;"","")</f>
        <v/>
      </c>
      <c r="K564" s="23" t="str">
        <f aca="false">IFERROR(INDEX(Clay_Brands!$A$2:$FZ$601,I564,$D$7)&amp;"","")</f>
        <v/>
      </c>
      <c r="L564" s="23" t="str">
        <f aca="false">IFERROR(INDEX(Clay_Brands!$A$2:$FZ$601,I564,$D$8)&amp;"","")</f>
        <v/>
      </c>
      <c r="M564" s="23" t="str">
        <f aca="false">IF(J564="","",IF(COUNTIF(Brand_Log!$A$2:$A$201,J564)&gt;0,"Y","N"))</f>
        <v/>
      </c>
      <c r="N564" s="34" t="str">
        <f aca="false">IF(OR(J564="",AND(LEFT(J564,6)="SAMPLE",Config!$B$19&lt;&gt;"Y")),"",IF(IFERROR(INDEX(Lists!$K$2:$K$15,MATCH(K564,Lists!$J$2:$J$15,0)),-1)=-1,"status '"&amp;K564&amp;"' is not a CONTRACTS status",IF(AND(K564="paid",COUNTIF(paid_brands!$AC$2:$AC$51,J564)=0),"status paid but no paid_brands row"&amp;IF(M564="N"," and no tracker row",""),IF(AND(IFERROR(INDEX(Lists!$K$2:$K$15,MATCH(K564,Lists!$J$2:$J$15,0)),-1)&gt;=6,M564="N"),"status "&amp;K564&amp;" but no tracker row",IF(AND(L564="Y",K564&lt;&gt;"do_not_contact"),"do_not_contact = Y but status is "&amp;K564,IF(AND(K564="do_not_contact",L564&lt;&gt;"Y"),"status do_not_contact but do_not_contact is not Y",""))))))</f>
        <v/>
      </c>
    </row>
    <row r="565" customFormat="false" ht="15" hidden="false" customHeight="false" outlineLevel="0" collapsed="false">
      <c r="B565" s="23" t="n">
        <v>544</v>
      </c>
      <c r="C565" s="23" t="str">
        <f aca="false">IFERROR(INDEX(Clay_Offices!$A$2:$FZ$601,B565,$C$5)&amp;"","")</f>
        <v/>
      </c>
      <c r="D565" s="23" t="str">
        <f aca="false">IFERROR(INDEX(Clay_Offices!$A$2:$FZ$601,B565,$C$7)&amp;"","")</f>
        <v/>
      </c>
      <c r="E565" s="23" t="str">
        <f aca="false">IFERROR(INDEX(Clay_Offices!$A$2:$FZ$601,B565,$C$8)&amp;"","")</f>
        <v/>
      </c>
      <c r="F565" s="23" t="str">
        <f aca="false">IF(C565="","",IF(COUNTIF(Office_Log!$A$2:$A$201,C565)&gt;0,"Y","N"))</f>
        <v/>
      </c>
      <c r="G565" s="34" t="str">
        <f aca="false">IF(OR(C565="",AND(LEFT(C565,6)="SAMPLE",Config!$B$19&lt;&gt;"Y")),"",IF(IFERROR(INDEX(Lists!$K$2:$K$15,MATCH(D565,Lists!$J$2:$J$15,0)),-1)=-1,"status '"&amp;D565&amp;"' is not a CONTRACTS status",IF(AND(D565="signed",COUNTIF(signed_offices!$W$2:$W$51,C565)=0),"status signed but no signed_offices row"&amp;IF(F565="N"," and no tracker row",""),IF(AND(IFERROR(INDEX(Lists!$K$2:$K$15,MATCH(D565,Lists!$J$2:$J$15,0)),-1)&gt;=6,F565="N"),"status "&amp;D565&amp;" but no tracker row",IF(AND(E565="Y",D565&lt;&gt;"do_not_contact"),"do_not_contact = Y but status is "&amp;D565,IF(AND(D565="do_not_contact",E565&lt;&gt;"Y"),"status do_not_contact but do_not_contact is not Y",""))))))</f>
        <v/>
      </c>
      <c r="I565" s="23" t="n">
        <v>544</v>
      </c>
      <c r="J565" s="23" t="str">
        <f aca="false">IFERROR(INDEX(Clay_Brands!$A$2:$FZ$601,I565,$D$5)&amp;"","")</f>
        <v/>
      </c>
      <c r="K565" s="23" t="str">
        <f aca="false">IFERROR(INDEX(Clay_Brands!$A$2:$FZ$601,I565,$D$7)&amp;"","")</f>
        <v/>
      </c>
      <c r="L565" s="23" t="str">
        <f aca="false">IFERROR(INDEX(Clay_Brands!$A$2:$FZ$601,I565,$D$8)&amp;"","")</f>
        <v/>
      </c>
      <c r="M565" s="23" t="str">
        <f aca="false">IF(J565="","",IF(COUNTIF(Brand_Log!$A$2:$A$201,J565)&gt;0,"Y","N"))</f>
        <v/>
      </c>
      <c r="N565" s="34" t="str">
        <f aca="false">IF(OR(J565="",AND(LEFT(J565,6)="SAMPLE",Config!$B$19&lt;&gt;"Y")),"",IF(IFERROR(INDEX(Lists!$K$2:$K$15,MATCH(K565,Lists!$J$2:$J$15,0)),-1)=-1,"status '"&amp;K565&amp;"' is not a CONTRACTS status",IF(AND(K565="paid",COUNTIF(paid_brands!$AC$2:$AC$51,J565)=0),"status paid but no paid_brands row"&amp;IF(M565="N"," and no tracker row",""),IF(AND(IFERROR(INDEX(Lists!$K$2:$K$15,MATCH(K565,Lists!$J$2:$J$15,0)),-1)&gt;=6,M565="N"),"status "&amp;K565&amp;" but no tracker row",IF(AND(L565="Y",K565&lt;&gt;"do_not_contact"),"do_not_contact = Y but status is "&amp;K565,IF(AND(K565="do_not_contact",L565&lt;&gt;"Y"),"status do_not_contact but do_not_contact is not Y",""))))))</f>
        <v/>
      </c>
    </row>
    <row r="566" customFormat="false" ht="15" hidden="false" customHeight="false" outlineLevel="0" collapsed="false">
      <c r="B566" s="23" t="n">
        <v>545</v>
      </c>
      <c r="C566" s="23" t="str">
        <f aca="false">IFERROR(INDEX(Clay_Offices!$A$2:$FZ$601,B566,$C$5)&amp;"","")</f>
        <v/>
      </c>
      <c r="D566" s="23" t="str">
        <f aca="false">IFERROR(INDEX(Clay_Offices!$A$2:$FZ$601,B566,$C$7)&amp;"","")</f>
        <v/>
      </c>
      <c r="E566" s="23" t="str">
        <f aca="false">IFERROR(INDEX(Clay_Offices!$A$2:$FZ$601,B566,$C$8)&amp;"","")</f>
        <v/>
      </c>
      <c r="F566" s="23" t="str">
        <f aca="false">IF(C566="","",IF(COUNTIF(Office_Log!$A$2:$A$201,C566)&gt;0,"Y","N"))</f>
        <v/>
      </c>
      <c r="G566" s="34" t="str">
        <f aca="false">IF(OR(C566="",AND(LEFT(C566,6)="SAMPLE",Config!$B$19&lt;&gt;"Y")),"",IF(IFERROR(INDEX(Lists!$K$2:$K$15,MATCH(D566,Lists!$J$2:$J$15,0)),-1)=-1,"status '"&amp;D566&amp;"' is not a CONTRACTS status",IF(AND(D566="signed",COUNTIF(signed_offices!$W$2:$W$51,C566)=0),"status signed but no signed_offices row"&amp;IF(F566="N"," and no tracker row",""),IF(AND(IFERROR(INDEX(Lists!$K$2:$K$15,MATCH(D566,Lists!$J$2:$J$15,0)),-1)&gt;=6,F566="N"),"status "&amp;D566&amp;" but no tracker row",IF(AND(E566="Y",D566&lt;&gt;"do_not_contact"),"do_not_contact = Y but status is "&amp;D566,IF(AND(D566="do_not_contact",E566&lt;&gt;"Y"),"status do_not_contact but do_not_contact is not Y",""))))))</f>
        <v/>
      </c>
      <c r="I566" s="23" t="n">
        <v>545</v>
      </c>
      <c r="J566" s="23" t="str">
        <f aca="false">IFERROR(INDEX(Clay_Brands!$A$2:$FZ$601,I566,$D$5)&amp;"","")</f>
        <v/>
      </c>
      <c r="K566" s="23" t="str">
        <f aca="false">IFERROR(INDEX(Clay_Brands!$A$2:$FZ$601,I566,$D$7)&amp;"","")</f>
        <v/>
      </c>
      <c r="L566" s="23" t="str">
        <f aca="false">IFERROR(INDEX(Clay_Brands!$A$2:$FZ$601,I566,$D$8)&amp;"","")</f>
        <v/>
      </c>
      <c r="M566" s="23" t="str">
        <f aca="false">IF(J566="","",IF(COUNTIF(Brand_Log!$A$2:$A$201,J566)&gt;0,"Y","N"))</f>
        <v/>
      </c>
      <c r="N566" s="34" t="str">
        <f aca="false">IF(OR(J566="",AND(LEFT(J566,6)="SAMPLE",Config!$B$19&lt;&gt;"Y")),"",IF(IFERROR(INDEX(Lists!$K$2:$K$15,MATCH(K566,Lists!$J$2:$J$15,0)),-1)=-1,"status '"&amp;K566&amp;"' is not a CONTRACTS status",IF(AND(K566="paid",COUNTIF(paid_brands!$AC$2:$AC$51,J566)=0),"status paid but no paid_brands row"&amp;IF(M566="N"," and no tracker row",""),IF(AND(IFERROR(INDEX(Lists!$K$2:$K$15,MATCH(K566,Lists!$J$2:$J$15,0)),-1)&gt;=6,M566="N"),"status "&amp;K566&amp;" but no tracker row",IF(AND(L566="Y",K566&lt;&gt;"do_not_contact"),"do_not_contact = Y but status is "&amp;K566,IF(AND(K566="do_not_contact",L566&lt;&gt;"Y"),"status do_not_contact but do_not_contact is not Y",""))))))</f>
        <v/>
      </c>
    </row>
    <row r="567" customFormat="false" ht="15" hidden="false" customHeight="false" outlineLevel="0" collapsed="false">
      <c r="B567" s="23" t="n">
        <v>546</v>
      </c>
      <c r="C567" s="23" t="str">
        <f aca="false">IFERROR(INDEX(Clay_Offices!$A$2:$FZ$601,B567,$C$5)&amp;"","")</f>
        <v/>
      </c>
      <c r="D567" s="23" t="str">
        <f aca="false">IFERROR(INDEX(Clay_Offices!$A$2:$FZ$601,B567,$C$7)&amp;"","")</f>
        <v/>
      </c>
      <c r="E567" s="23" t="str">
        <f aca="false">IFERROR(INDEX(Clay_Offices!$A$2:$FZ$601,B567,$C$8)&amp;"","")</f>
        <v/>
      </c>
      <c r="F567" s="23" t="str">
        <f aca="false">IF(C567="","",IF(COUNTIF(Office_Log!$A$2:$A$201,C567)&gt;0,"Y","N"))</f>
        <v/>
      </c>
      <c r="G567" s="34" t="str">
        <f aca="false">IF(OR(C567="",AND(LEFT(C567,6)="SAMPLE",Config!$B$19&lt;&gt;"Y")),"",IF(IFERROR(INDEX(Lists!$K$2:$K$15,MATCH(D567,Lists!$J$2:$J$15,0)),-1)=-1,"status '"&amp;D567&amp;"' is not a CONTRACTS status",IF(AND(D567="signed",COUNTIF(signed_offices!$W$2:$W$51,C567)=0),"status signed but no signed_offices row"&amp;IF(F567="N"," and no tracker row",""),IF(AND(IFERROR(INDEX(Lists!$K$2:$K$15,MATCH(D567,Lists!$J$2:$J$15,0)),-1)&gt;=6,F567="N"),"status "&amp;D567&amp;" but no tracker row",IF(AND(E567="Y",D567&lt;&gt;"do_not_contact"),"do_not_contact = Y but status is "&amp;D567,IF(AND(D567="do_not_contact",E567&lt;&gt;"Y"),"status do_not_contact but do_not_contact is not Y",""))))))</f>
        <v/>
      </c>
      <c r="I567" s="23" t="n">
        <v>546</v>
      </c>
      <c r="J567" s="23" t="str">
        <f aca="false">IFERROR(INDEX(Clay_Brands!$A$2:$FZ$601,I567,$D$5)&amp;"","")</f>
        <v/>
      </c>
      <c r="K567" s="23" t="str">
        <f aca="false">IFERROR(INDEX(Clay_Brands!$A$2:$FZ$601,I567,$D$7)&amp;"","")</f>
        <v/>
      </c>
      <c r="L567" s="23" t="str">
        <f aca="false">IFERROR(INDEX(Clay_Brands!$A$2:$FZ$601,I567,$D$8)&amp;"","")</f>
        <v/>
      </c>
      <c r="M567" s="23" t="str">
        <f aca="false">IF(J567="","",IF(COUNTIF(Brand_Log!$A$2:$A$201,J567)&gt;0,"Y","N"))</f>
        <v/>
      </c>
      <c r="N567" s="34" t="str">
        <f aca="false">IF(OR(J567="",AND(LEFT(J567,6)="SAMPLE",Config!$B$19&lt;&gt;"Y")),"",IF(IFERROR(INDEX(Lists!$K$2:$K$15,MATCH(K567,Lists!$J$2:$J$15,0)),-1)=-1,"status '"&amp;K567&amp;"' is not a CONTRACTS status",IF(AND(K567="paid",COUNTIF(paid_brands!$AC$2:$AC$51,J567)=0),"status paid but no paid_brands row"&amp;IF(M567="N"," and no tracker row",""),IF(AND(IFERROR(INDEX(Lists!$K$2:$K$15,MATCH(K567,Lists!$J$2:$J$15,0)),-1)&gt;=6,M567="N"),"status "&amp;K567&amp;" but no tracker row",IF(AND(L567="Y",K567&lt;&gt;"do_not_contact"),"do_not_contact = Y but status is "&amp;K567,IF(AND(K567="do_not_contact",L567&lt;&gt;"Y"),"status do_not_contact but do_not_contact is not Y",""))))))</f>
        <v/>
      </c>
    </row>
    <row r="568" customFormat="false" ht="15" hidden="false" customHeight="false" outlineLevel="0" collapsed="false">
      <c r="B568" s="23" t="n">
        <v>547</v>
      </c>
      <c r="C568" s="23" t="str">
        <f aca="false">IFERROR(INDEX(Clay_Offices!$A$2:$FZ$601,B568,$C$5)&amp;"","")</f>
        <v/>
      </c>
      <c r="D568" s="23" t="str">
        <f aca="false">IFERROR(INDEX(Clay_Offices!$A$2:$FZ$601,B568,$C$7)&amp;"","")</f>
        <v/>
      </c>
      <c r="E568" s="23" t="str">
        <f aca="false">IFERROR(INDEX(Clay_Offices!$A$2:$FZ$601,B568,$C$8)&amp;"","")</f>
        <v/>
      </c>
      <c r="F568" s="23" t="str">
        <f aca="false">IF(C568="","",IF(COUNTIF(Office_Log!$A$2:$A$201,C568)&gt;0,"Y","N"))</f>
        <v/>
      </c>
      <c r="G568" s="34" t="str">
        <f aca="false">IF(OR(C568="",AND(LEFT(C568,6)="SAMPLE",Config!$B$19&lt;&gt;"Y")),"",IF(IFERROR(INDEX(Lists!$K$2:$K$15,MATCH(D568,Lists!$J$2:$J$15,0)),-1)=-1,"status '"&amp;D568&amp;"' is not a CONTRACTS status",IF(AND(D568="signed",COUNTIF(signed_offices!$W$2:$W$51,C568)=0),"status signed but no signed_offices row"&amp;IF(F568="N"," and no tracker row",""),IF(AND(IFERROR(INDEX(Lists!$K$2:$K$15,MATCH(D568,Lists!$J$2:$J$15,0)),-1)&gt;=6,F568="N"),"status "&amp;D568&amp;" but no tracker row",IF(AND(E568="Y",D568&lt;&gt;"do_not_contact"),"do_not_contact = Y but status is "&amp;D568,IF(AND(D568="do_not_contact",E568&lt;&gt;"Y"),"status do_not_contact but do_not_contact is not Y",""))))))</f>
        <v/>
      </c>
      <c r="I568" s="23" t="n">
        <v>547</v>
      </c>
      <c r="J568" s="23" t="str">
        <f aca="false">IFERROR(INDEX(Clay_Brands!$A$2:$FZ$601,I568,$D$5)&amp;"","")</f>
        <v/>
      </c>
      <c r="K568" s="23" t="str">
        <f aca="false">IFERROR(INDEX(Clay_Brands!$A$2:$FZ$601,I568,$D$7)&amp;"","")</f>
        <v/>
      </c>
      <c r="L568" s="23" t="str">
        <f aca="false">IFERROR(INDEX(Clay_Brands!$A$2:$FZ$601,I568,$D$8)&amp;"","")</f>
        <v/>
      </c>
      <c r="M568" s="23" t="str">
        <f aca="false">IF(J568="","",IF(COUNTIF(Brand_Log!$A$2:$A$201,J568)&gt;0,"Y","N"))</f>
        <v/>
      </c>
      <c r="N568" s="34" t="str">
        <f aca="false">IF(OR(J568="",AND(LEFT(J568,6)="SAMPLE",Config!$B$19&lt;&gt;"Y")),"",IF(IFERROR(INDEX(Lists!$K$2:$K$15,MATCH(K568,Lists!$J$2:$J$15,0)),-1)=-1,"status '"&amp;K568&amp;"' is not a CONTRACTS status",IF(AND(K568="paid",COUNTIF(paid_brands!$AC$2:$AC$51,J568)=0),"status paid but no paid_brands row"&amp;IF(M568="N"," and no tracker row",""),IF(AND(IFERROR(INDEX(Lists!$K$2:$K$15,MATCH(K568,Lists!$J$2:$J$15,0)),-1)&gt;=6,M568="N"),"status "&amp;K568&amp;" but no tracker row",IF(AND(L568="Y",K568&lt;&gt;"do_not_contact"),"do_not_contact = Y but status is "&amp;K568,IF(AND(K568="do_not_contact",L568&lt;&gt;"Y"),"status do_not_contact but do_not_contact is not Y",""))))))</f>
        <v/>
      </c>
    </row>
    <row r="569" customFormat="false" ht="15" hidden="false" customHeight="false" outlineLevel="0" collapsed="false">
      <c r="B569" s="23" t="n">
        <v>548</v>
      </c>
      <c r="C569" s="23" t="str">
        <f aca="false">IFERROR(INDEX(Clay_Offices!$A$2:$FZ$601,B569,$C$5)&amp;"","")</f>
        <v/>
      </c>
      <c r="D569" s="23" t="str">
        <f aca="false">IFERROR(INDEX(Clay_Offices!$A$2:$FZ$601,B569,$C$7)&amp;"","")</f>
        <v/>
      </c>
      <c r="E569" s="23" t="str">
        <f aca="false">IFERROR(INDEX(Clay_Offices!$A$2:$FZ$601,B569,$C$8)&amp;"","")</f>
        <v/>
      </c>
      <c r="F569" s="23" t="str">
        <f aca="false">IF(C569="","",IF(COUNTIF(Office_Log!$A$2:$A$201,C569)&gt;0,"Y","N"))</f>
        <v/>
      </c>
      <c r="G569" s="34" t="str">
        <f aca="false">IF(OR(C569="",AND(LEFT(C569,6)="SAMPLE",Config!$B$19&lt;&gt;"Y")),"",IF(IFERROR(INDEX(Lists!$K$2:$K$15,MATCH(D569,Lists!$J$2:$J$15,0)),-1)=-1,"status '"&amp;D569&amp;"' is not a CONTRACTS status",IF(AND(D569="signed",COUNTIF(signed_offices!$W$2:$W$51,C569)=0),"status signed but no signed_offices row"&amp;IF(F569="N"," and no tracker row",""),IF(AND(IFERROR(INDEX(Lists!$K$2:$K$15,MATCH(D569,Lists!$J$2:$J$15,0)),-1)&gt;=6,F569="N"),"status "&amp;D569&amp;" but no tracker row",IF(AND(E569="Y",D569&lt;&gt;"do_not_contact"),"do_not_contact = Y but status is "&amp;D569,IF(AND(D569="do_not_contact",E569&lt;&gt;"Y"),"status do_not_contact but do_not_contact is not Y",""))))))</f>
        <v/>
      </c>
      <c r="I569" s="23" t="n">
        <v>548</v>
      </c>
      <c r="J569" s="23" t="str">
        <f aca="false">IFERROR(INDEX(Clay_Brands!$A$2:$FZ$601,I569,$D$5)&amp;"","")</f>
        <v/>
      </c>
      <c r="K569" s="23" t="str">
        <f aca="false">IFERROR(INDEX(Clay_Brands!$A$2:$FZ$601,I569,$D$7)&amp;"","")</f>
        <v/>
      </c>
      <c r="L569" s="23" t="str">
        <f aca="false">IFERROR(INDEX(Clay_Brands!$A$2:$FZ$601,I569,$D$8)&amp;"","")</f>
        <v/>
      </c>
      <c r="M569" s="23" t="str">
        <f aca="false">IF(J569="","",IF(COUNTIF(Brand_Log!$A$2:$A$201,J569)&gt;0,"Y","N"))</f>
        <v/>
      </c>
      <c r="N569" s="34" t="str">
        <f aca="false">IF(OR(J569="",AND(LEFT(J569,6)="SAMPLE",Config!$B$19&lt;&gt;"Y")),"",IF(IFERROR(INDEX(Lists!$K$2:$K$15,MATCH(K569,Lists!$J$2:$J$15,0)),-1)=-1,"status '"&amp;K569&amp;"' is not a CONTRACTS status",IF(AND(K569="paid",COUNTIF(paid_brands!$AC$2:$AC$51,J569)=0),"status paid but no paid_brands row"&amp;IF(M569="N"," and no tracker row",""),IF(AND(IFERROR(INDEX(Lists!$K$2:$K$15,MATCH(K569,Lists!$J$2:$J$15,0)),-1)&gt;=6,M569="N"),"status "&amp;K569&amp;" but no tracker row",IF(AND(L569="Y",K569&lt;&gt;"do_not_contact"),"do_not_contact = Y but status is "&amp;K569,IF(AND(K569="do_not_contact",L569&lt;&gt;"Y"),"status do_not_contact but do_not_contact is not Y",""))))))</f>
        <v/>
      </c>
    </row>
    <row r="570" customFormat="false" ht="15" hidden="false" customHeight="false" outlineLevel="0" collapsed="false">
      <c r="B570" s="23" t="n">
        <v>549</v>
      </c>
      <c r="C570" s="23" t="str">
        <f aca="false">IFERROR(INDEX(Clay_Offices!$A$2:$FZ$601,B570,$C$5)&amp;"","")</f>
        <v/>
      </c>
      <c r="D570" s="23" t="str">
        <f aca="false">IFERROR(INDEX(Clay_Offices!$A$2:$FZ$601,B570,$C$7)&amp;"","")</f>
        <v/>
      </c>
      <c r="E570" s="23" t="str">
        <f aca="false">IFERROR(INDEX(Clay_Offices!$A$2:$FZ$601,B570,$C$8)&amp;"","")</f>
        <v/>
      </c>
      <c r="F570" s="23" t="str">
        <f aca="false">IF(C570="","",IF(COUNTIF(Office_Log!$A$2:$A$201,C570)&gt;0,"Y","N"))</f>
        <v/>
      </c>
      <c r="G570" s="34" t="str">
        <f aca="false">IF(OR(C570="",AND(LEFT(C570,6)="SAMPLE",Config!$B$19&lt;&gt;"Y")),"",IF(IFERROR(INDEX(Lists!$K$2:$K$15,MATCH(D570,Lists!$J$2:$J$15,0)),-1)=-1,"status '"&amp;D570&amp;"' is not a CONTRACTS status",IF(AND(D570="signed",COUNTIF(signed_offices!$W$2:$W$51,C570)=0),"status signed but no signed_offices row"&amp;IF(F570="N"," and no tracker row",""),IF(AND(IFERROR(INDEX(Lists!$K$2:$K$15,MATCH(D570,Lists!$J$2:$J$15,0)),-1)&gt;=6,F570="N"),"status "&amp;D570&amp;" but no tracker row",IF(AND(E570="Y",D570&lt;&gt;"do_not_contact"),"do_not_contact = Y but status is "&amp;D570,IF(AND(D570="do_not_contact",E570&lt;&gt;"Y"),"status do_not_contact but do_not_contact is not Y",""))))))</f>
        <v/>
      </c>
      <c r="I570" s="23" t="n">
        <v>549</v>
      </c>
      <c r="J570" s="23" t="str">
        <f aca="false">IFERROR(INDEX(Clay_Brands!$A$2:$FZ$601,I570,$D$5)&amp;"","")</f>
        <v/>
      </c>
      <c r="K570" s="23" t="str">
        <f aca="false">IFERROR(INDEX(Clay_Brands!$A$2:$FZ$601,I570,$D$7)&amp;"","")</f>
        <v/>
      </c>
      <c r="L570" s="23" t="str">
        <f aca="false">IFERROR(INDEX(Clay_Brands!$A$2:$FZ$601,I570,$D$8)&amp;"","")</f>
        <v/>
      </c>
      <c r="M570" s="23" t="str">
        <f aca="false">IF(J570="","",IF(COUNTIF(Brand_Log!$A$2:$A$201,J570)&gt;0,"Y","N"))</f>
        <v/>
      </c>
      <c r="N570" s="34" t="str">
        <f aca="false">IF(OR(J570="",AND(LEFT(J570,6)="SAMPLE",Config!$B$19&lt;&gt;"Y")),"",IF(IFERROR(INDEX(Lists!$K$2:$K$15,MATCH(K570,Lists!$J$2:$J$15,0)),-1)=-1,"status '"&amp;K570&amp;"' is not a CONTRACTS status",IF(AND(K570="paid",COUNTIF(paid_brands!$AC$2:$AC$51,J570)=0),"status paid but no paid_brands row"&amp;IF(M570="N"," and no tracker row",""),IF(AND(IFERROR(INDEX(Lists!$K$2:$K$15,MATCH(K570,Lists!$J$2:$J$15,0)),-1)&gt;=6,M570="N"),"status "&amp;K570&amp;" but no tracker row",IF(AND(L570="Y",K570&lt;&gt;"do_not_contact"),"do_not_contact = Y but status is "&amp;K570,IF(AND(K570="do_not_contact",L570&lt;&gt;"Y"),"status do_not_contact but do_not_contact is not Y",""))))))</f>
        <v/>
      </c>
    </row>
    <row r="571" customFormat="false" ht="15" hidden="false" customHeight="false" outlineLevel="0" collapsed="false">
      <c r="B571" s="23" t="n">
        <v>550</v>
      </c>
      <c r="C571" s="23" t="str">
        <f aca="false">IFERROR(INDEX(Clay_Offices!$A$2:$FZ$601,B571,$C$5)&amp;"","")</f>
        <v/>
      </c>
      <c r="D571" s="23" t="str">
        <f aca="false">IFERROR(INDEX(Clay_Offices!$A$2:$FZ$601,B571,$C$7)&amp;"","")</f>
        <v/>
      </c>
      <c r="E571" s="23" t="str">
        <f aca="false">IFERROR(INDEX(Clay_Offices!$A$2:$FZ$601,B571,$C$8)&amp;"","")</f>
        <v/>
      </c>
      <c r="F571" s="23" t="str">
        <f aca="false">IF(C571="","",IF(COUNTIF(Office_Log!$A$2:$A$201,C571)&gt;0,"Y","N"))</f>
        <v/>
      </c>
      <c r="G571" s="34" t="str">
        <f aca="false">IF(OR(C571="",AND(LEFT(C571,6)="SAMPLE",Config!$B$19&lt;&gt;"Y")),"",IF(IFERROR(INDEX(Lists!$K$2:$K$15,MATCH(D571,Lists!$J$2:$J$15,0)),-1)=-1,"status '"&amp;D571&amp;"' is not a CONTRACTS status",IF(AND(D571="signed",COUNTIF(signed_offices!$W$2:$W$51,C571)=0),"status signed but no signed_offices row"&amp;IF(F571="N"," and no tracker row",""),IF(AND(IFERROR(INDEX(Lists!$K$2:$K$15,MATCH(D571,Lists!$J$2:$J$15,0)),-1)&gt;=6,F571="N"),"status "&amp;D571&amp;" but no tracker row",IF(AND(E571="Y",D571&lt;&gt;"do_not_contact"),"do_not_contact = Y but status is "&amp;D571,IF(AND(D571="do_not_contact",E571&lt;&gt;"Y"),"status do_not_contact but do_not_contact is not Y",""))))))</f>
        <v/>
      </c>
      <c r="I571" s="23" t="n">
        <v>550</v>
      </c>
      <c r="J571" s="23" t="str">
        <f aca="false">IFERROR(INDEX(Clay_Brands!$A$2:$FZ$601,I571,$D$5)&amp;"","")</f>
        <v/>
      </c>
      <c r="K571" s="23" t="str">
        <f aca="false">IFERROR(INDEX(Clay_Brands!$A$2:$FZ$601,I571,$D$7)&amp;"","")</f>
        <v/>
      </c>
      <c r="L571" s="23" t="str">
        <f aca="false">IFERROR(INDEX(Clay_Brands!$A$2:$FZ$601,I571,$D$8)&amp;"","")</f>
        <v/>
      </c>
      <c r="M571" s="23" t="str">
        <f aca="false">IF(J571="","",IF(COUNTIF(Brand_Log!$A$2:$A$201,J571)&gt;0,"Y","N"))</f>
        <v/>
      </c>
      <c r="N571" s="34" t="str">
        <f aca="false">IF(OR(J571="",AND(LEFT(J571,6)="SAMPLE",Config!$B$19&lt;&gt;"Y")),"",IF(IFERROR(INDEX(Lists!$K$2:$K$15,MATCH(K571,Lists!$J$2:$J$15,0)),-1)=-1,"status '"&amp;K571&amp;"' is not a CONTRACTS status",IF(AND(K571="paid",COUNTIF(paid_brands!$AC$2:$AC$51,J571)=0),"status paid but no paid_brands row"&amp;IF(M571="N"," and no tracker row",""),IF(AND(IFERROR(INDEX(Lists!$K$2:$K$15,MATCH(K571,Lists!$J$2:$J$15,0)),-1)&gt;=6,M571="N"),"status "&amp;K571&amp;" but no tracker row",IF(AND(L571="Y",K571&lt;&gt;"do_not_contact"),"do_not_contact = Y but status is "&amp;K571,IF(AND(K571="do_not_contact",L571&lt;&gt;"Y"),"status do_not_contact but do_not_contact is not Y",""))))))</f>
        <v/>
      </c>
    </row>
    <row r="572" customFormat="false" ht="15" hidden="false" customHeight="false" outlineLevel="0" collapsed="false">
      <c r="B572" s="23" t="n">
        <v>551</v>
      </c>
      <c r="C572" s="23" t="str">
        <f aca="false">IFERROR(INDEX(Clay_Offices!$A$2:$FZ$601,B572,$C$5)&amp;"","")</f>
        <v/>
      </c>
      <c r="D572" s="23" t="str">
        <f aca="false">IFERROR(INDEX(Clay_Offices!$A$2:$FZ$601,B572,$C$7)&amp;"","")</f>
        <v/>
      </c>
      <c r="E572" s="23" t="str">
        <f aca="false">IFERROR(INDEX(Clay_Offices!$A$2:$FZ$601,B572,$C$8)&amp;"","")</f>
        <v/>
      </c>
      <c r="F572" s="23" t="str">
        <f aca="false">IF(C572="","",IF(COUNTIF(Office_Log!$A$2:$A$201,C572)&gt;0,"Y","N"))</f>
        <v/>
      </c>
      <c r="G572" s="34" t="str">
        <f aca="false">IF(OR(C572="",AND(LEFT(C572,6)="SAMPLE",Config!$B$19&lt;&gt;"Y")),"",IF(IFERROR(INDEX(Lists!$K$2:$K$15,MATCH(D572,Lists!$J$2:$J$15,0)),-1)=-1,"status '"&amp;D572&amp;"' is not a CONTRACTS status",IF(AND(D572="signed",COUNTIF(signed_offices!$W$2:$W$51,C572)=0),"status signed but no signed_offices row"&amp;IF(F572="N"," and no tracker row",""),IF(AND(IFERROR(INDEX(Lists!$K$2:$K$15,MATCH(D572,Lists!$J$2:$J$15,0)),-1)&gt;=6,F572="N"),"status "&amp;D572&amp;" but no tracker row",IF(AND(E572="Y",D572&lt;&gt;"do_not_contact"),"do_not_contact = Y but status is "&amp;D572,IF(AND(D572="do_not_contact",E572&lt;&gt;"Y"),"status do_not_contact but do_not_contact is not Y",""))))))</f>
        <v/>
      </c>
      <c r="I572" s="23" t="n">
        <v>551</v>
      </c>
      <c r="J572" s="23" t="str">
        <f aca="false">IFERROR(INDEX(Clay_Brands!$A$2:$FZ$601,I572,$D$5)&amp;"","")</f>
        <v/>
      </c>
      <c r="K572" s="23" t="str">
        <f aca="false">IFERROR(INDEX(Clay_Brands!$A$2:$FZ$601,I572,$D$7)&amp;"","")</f>
        <v/>
      </c>
      <c r="L572" s="23" t="str">
        <f aca="false">IFERROR(INDEX(Clay_Brands!$A$2:$FZ$601,I572,$D$8)&amp;"","")</f>
        <v/>
      </c>
      <c r="M572" s="23" t="str">
        <f aca="false">IF(J572="","",IF(COUNTIF(Brand_Log!$A$2:$A$201,J572)&gt;0,"Y","N"))</f>
        <v/>
      </c>
      <c r="N572" s="34" t="str">
        <f aca="false">IF(OR(J572="",AND(LEFT(J572,6)="SAMPLE",Config!$B$19&lt;&gt;"Y")),"",IF(IFERROR(INDEX(Lists!$K$2:$K$15,MATCH(K572,Lists!$J$2:$J$15,0)),-1)=-1,"status '"&amp;K572&amp;"' is not a CONTRACTS status",IF(AND(K572="paid",COUNTIF(paid_brands!$AC$2:$AC$51,J572)=0),"status paid but no paid_brands row"&amp;IF(M572="N"," and no tracker row",""),IF(AND(IFERROR(INDEX(Lists!$K$2:$K$15,MATCH(K572,Lists!$J$2:$J$15,0)),-1)&gt;=6,M572="N"),"status "&amp;K572&amp;" but no tracker row",IF(AND(L572="Y",K572&lt;&gt;"do_not_contact"),"do_not_contact = Y but status is "&amp;K572,IF(AND(K572="do_not_contact",L572&lt;&gt;"Y"),"status do_not_contact but do_not_contact is not Y",""))))))</f>
        <v/>
      </c>
    </row>
    <row r="573" customFormat="false" ht="15" hidden="false" customHeight="false" outlineLevel="0" collapsed="false">
      <c r="B573" s="23" t="n">
        <v>552</v>
      </c>
      <c r="C573" s="23" t="str">
        <f aca="false">IFERROR(INDEX(Clay_Offices!$A$2:$FZ$601,B573,$C$5)&amp;"","")</f>
        <v/>
      </c>
      <c r="D573" s="23" t="str">
        <f aca="false">IFERROR(INDEX(Clay_Offices!$A$2:$FZ$601,B573,$C$7)&amp;"","")</f>
        <v/>
      </c>
      <c r="E573" s="23" t="str">
        <f aca="false">IFERROR(INDEX(Clay_Offices!$A$2:$FZ$601,B573,$C$8)&amp;"","")</f>
        <v/>
      </c>
      <c r="F573" s="23" t="str">
        <f aca="false">IF(C573="","",IF(COUNTIF(Office_Log!$A$2:$A$201,C573)&gt;0,"Y","N"))</f>
        <v/>
      </c>
      <c r="G573" s="34" t="str">
        <f aca="false">IF(OR(C573="",AND(LEFT(C573,6)="SAMPLE",Config!$B$19&lt;&gt;"Y")),"",IF(IFERROR(INDEX(Lists!$K$2:$K$15,MATCH(D573,Lists!$J$2:$J$15,0)),-1)=-1,"status '"&amp;D573&amp;"' is not a CONTRACTS status",IF(AND(D573="signed",COUNTIF(signed_offices!$W$2:$W$51,C573)=0),"status signed but no signed_offices row"&amp;IF(F573="N"," and no tracker row",""),IF(AND(IFERROR(INDEX(Lists!$K$2:$K$15,MATCH(D573,Lists!$J$2:$J$15,0)),-1)&gt;=6,F573="N"),"status "&amp;D573&amp;" but no tracker row",IF(AND(E573="Y",D573&lt;&gt;"do_not_contact"),"do_not_contact = Y but status is "&amp;D573,IF(AND(D573="do_not_contact",E573&lt;&gt;"Y"),"status do_not_contact but do_not_contact is not Y",""))))))</f>
        <v/>
      </c>
      <c r="I573" s="23" t="n">
        <v>552</v>
      </c>
      <c r="J573" s="23" t="str">
        <f aca="false">IFERROR(INDEX(Clay_Brands!$A$2:$FZ$601,I573,$D$5)&amp;"","")</f>
        <v/>
      </c>
      <c r="K573" s="23" t="str">
        <f aca="false">IFERROR(INDEX(Clay_Brands!$A$2:$FZ$601,I573,$D$7)&amp;"","")</f>
        <v/>
      </c>
      <c r="L573" s="23" t="str">
        <f aca="false">IFERROR(INDEX(Clay_Brands!$A$2:$FZ$601,I573,$D$8)&amp;"","")</f>
        <v/>
      </c>
      <c r="M573" s="23" t="str">
        <f aca="false">IF(J573="","",IF(COUNTIF(Brand_Log!$A$2:$A$201,J573)&gt;0,"Y","N"))</f>
        <v/>
      </c>
      <c r="N573" s="34" t="str">
        <f aca="false">IF(OR(J573="",AND(LEFT(J573,6)="SAMPLE",Config!$B$19&lt;&gt;"Y")),"",IF(IFERROR(INDEX(Lists!$K$2:$K$15,MATCH(K573,Lists!$J$2:$J$15,0)),-1)=-1,"status '"&amp;K573&amp;"' is not a CONTRACTS status",IF(AND(K573="paid",COUNTIF(paid_brands!$AC$2:$AC$51,J573)=0),"status paid but no paid_brands row"&amp;IF(M573="N"," and no tracker row",""),IF(AND(IFERROR(INDEX(Lists!$K$2:$K$15,MATCH(K573,Lists!$J$2:$J$15,0)),-1)&gt;=6,M573="N"),"status "&amp;K573&amp;" but no tracker row",IF(AND(L573="Y",K573&lt;&gt;"do_not_contact"),"do_not_contact = Y but status is "&amp;K573,IF(AND(K573="do_not_contact",L573&lt;&gt;"Y"),"status do_not_contact but do_not_contact is not Y",""))))))</f>
        <v/>
      </c>
    </row>
    <row r="574" customFormat="false" ht="15" hidden="false" customHeight="false" outlineLevel="0" collapsed="false">
      <c r="B574" s="23" t="n">
        <v>553</v>
      </c>
      <c r="C574" s="23" t="str">
        <f aca="false">IFERROR(INDEX(Clay_Offices!$A$2:$FZ$601,B574,$C$5)&amp;"","")</f>
        <v/>
      </c>
      <c r="D574" s="23" t="str">
        <f aca="false">IFERROR(INDEX(Clay_Offices!$A$2:$FZ$601,B574,$C$7)&amp;"","")</f>
        <v/>
      </c>
      <c r="E574" s="23" t="str">
        <f aca="false">IFERROR(INDEX(Clay_Offices!$A$2:$FZ$601,B574,$C$8)&amp;"","")</f>
        <v/>
      </c>
      <c r="F574" s="23" t="str">
        <f aca="false">IF(C574="","",IF(COUNTIF(Office_Log!$A$2:$A$201,C574)&gt;0,"Y","N"))</f>
        <v/>
      </c>
      <c r="G574" s="34" t="str">
        <f aca="false">IF(OR(C574="",AND(LEFT(C574,6)="SAMPLE",Config!$B$19&lt;&gt;"Y")),"",IF(IFERROR(INDEX(Lists!$K$2:$K$15,MATCH(D574,Lists!$J$2:$J$15,0)),-1)=-1,"status '"&amp;D574&amp;"' is not a CONTRACTS status",IF(AND(D574="signed",COUNTIF(signed_offices!$W$2:$W$51,C574)=0),"status signed but no signed_offices row"&amp;IF(F574="N"," and no tracker row",""),IF(AND(IFERROR(INDEX(Lists!$K$2:$K$15,MATCH(D574,Lists!$J$2:$J$15,0)),-1)&gt;=6,F574="N"),"status "&amp;D574&amp;" but no tracker row",IF(AND(E574="Y",D574&lt;&gt;"do_not_contact"),"do_not_contact = Y but status is "&amp;D574,IF(AND(D574="do_not_contact",E574&lt;&gt;"Y"),"status do_not_contact but do_not_contact is not Y",""))))))</f>
        <v/>
      </c>
      <c r="I574" s="23" t="n">
        <v>553</v>
      </c>
      <c r="J574" s="23" t="str">
        <f aca="false">IFERROR(INDEX(Clay_Brands!$A$2:$FZ$601,I574,$D$5)&amp;"","")</f>
        <v/>
      </c>
      <c r="K574" s="23" t="str">
        <f aca="false">IFERROR(INDEX(Clay_Brands!$A$2:$FZ$601,I574,$D$7)&amp;"","")</f>
        <v/>
      </c>
      <c r="L574" s="23" t="str">
        <f aca="false">IFERROR(INDEX(Clay_Brands!$A$2:$FZ$601,I574,$D$8)&amp;"","")</f>
        <v/>
      </c>
      <c r="M574" s="23" t="str">
        <f aca="false">IF(J574="","",IF(COUNTIF(Brand_Log!$A$2:$A$201,J574)&gt;0,"Y","N"))</f>
        <v/>
      </c>
      <c r="N574" s="34" t="str">
        <f aca="false">IF(OR(J574="",AND(LEFT(J574,6)="SAMPLE",Config!$B$19&lt;&gt;"Y")),"",IF(IFERROR(INDEX(Lists!$K$2:$K$15,MATCH(K574,Lists!$J$2:$J$15,0)),-1)=-1,"status '"&amp;K574&amp;"' is not a CONTRACTS status",IF(AND(K574="paid",COUNTIF(paid_brands!$AC$2:$AC$51,J574)=0),"status paid but no paid_brands row"&amp;IF(M574="N"," and no tracker row",""),IF(AND(IFERROR(INDEX(Lists!$K$2:$K$15,MATCH(K574,Lists!$J$2:$J$15,0)),-1)&gt;=6,M574="N"),"status "&amp;K574&amp;" but no tracker row",IF(AND(L574="Y",K574&lt;&gt;"do_not_contact"),"do_not_contact = Y but status is "&amp;K574,IF(AND(K574="do_not_contact",L574&lt;&gt;"Y"),"status do_not_contact but do_not_contact is not Y",""))))))</f>
        <v/>
      </c>
    </row>
    <row r="575" customFormat="false" ht="15" hidden="false" customHeight="false" outlineLevel="0" collapsed="false">
      <c r="B575" s="23" t="n">
        <v>554</v>
      </c>
      <c r="C575" s="23" t="str">
        <f aca="false">IFERROR(INDEX(Clay_Offices!$A$2:$FZ$601,B575,$C$5)&amp;"","")</f>
        <v/>
      </c>
      <c r="D575" s="23" t="str">
        <f aca="false">IFERROR(INDEX(Clay_Offices!$A$2:$FZ$601,B575,$C$7)&amp;"","")</f>
        <v/>
      </c>
      <c r="E575" s="23" t="str">
        <f aca="false">IFERROR(INDEX(Clay_Offices!$A$2:$FZ$601,B575,$C$8)&amp;"","")</f>
        <v/>
      </c>
      <c r="F575" s="23" t="str">
        <f aca="false">IF(C575="","",IF(COUNTIF(Office_Log!$A$2:$A$201,C575)&gt;0,"Y","N"))</f>
        <v/>
      </c>
      <c r="G575" s="34" t="str">
        <f aca="false">IF(OR(C575="",AND(LEFT(C575,6)="SAMPLE",Config!$B$19&lt;&gt;"Y")),"",IF(IFERROR(INDEX(Lists!$K$2:$K$15,MATCH(D575,Lists!$J$2:$J$15,0)),-1)=-1,"status '"&amp;D575&amp;"' is not a CONTRACTS status",IF(AND(D575="signed",COUNTIF(signed_offices!$W$2:$W$51,C575)=0),"status signed but no signed_offices row"&amp;IF(F575="N"," and no tracker row",""),IF(AND(IFERROR(INDEX(Lists!$K$2:$K$15,MATCH(D575,Lists!$J$2:$J$15,0)),-1)&gt;=6,F575="N"),"status "&amp;D575&amp;" but no tracker row",IF(AND(E575="Y",D575&lt;&gt;"do_not_contact"),"do_not_contact = Y but status is "&amp;D575,IF(AND(D575="do_not_contact",E575&lt;&gt;"Y"),"status do_not_contact but do_not_contact is not Y",""))))))</f>
        <v/>
      </c>
      <c r="I575" s="23" t="n">
        <v>554</v>
      </c>
      <c r="J575" s="23" t="str">
        <f aca="false">IFERROR(INDEX(Clay_Brands!$A$2:$FZ$601,I575,$D$5)&amp;"","")</f>
        <v/>
      </c>
      <c r="K575" s="23" t="str">
        <f aca="false">IFERROR(INDEX(Clay_Brands!$A$2:$FZ$601,I575,$D$7)&amp;"","")</f>
        <v/>
      </c>
      <c r="L575" s="23" t="str">
        <f aca="false">IFERROR(INDEX(Clay_Brands!$A$2:$FZ$601,I575,$D$8)&amp;"","")</f>
        <v/>
      </c>
      <c r="M575" s="23" t="str">
        <f aca="false">IF(J575="","",IF(COUNTIF(Brand_Log!$A$2:$A$201,J575)&gt;0,"Y","N"))</f>
        <v/>
      </c>
      <c r="N575" s="34" t="str">
        <f aca="false">IF(OR(J575="",AND(LEFT(J575,6)="SAMPLE",Config!$B$19&lt;&gt;"Y")),"",IF(IFERROR(INDEX(Lists!$K$2:$K$15,MATCH(K575,Lists!$J$2:$J$15,0)),-1)=-1,"status '"&amp;K575&amp;"' is not a CONTRACTS status",IF(AND(K575="paid",COUNTIF(paid_brands!$AC$2:$AC$51,J575)=0),"status paid but no paid_brands row"&amp;IF(M575="N"," and no tracker row",""),IF(AND(IFERROR(INDEX(Lists!$K$2:$K$15,MATCH(K575,Lists!$J$2:$J$15,0)),-1)&gt;=6,M575="N"),"status "&amp;K575&amp;" but no tracker row",IF(AND(L575="Y",K575&lt;&gt;"do_not_contact"),"do_not_contact = Y but status is "&amp;K575,IF(AND(K575="do_not_contact",L575&lt;&gt;"Y"),"status do_not_contact but do_not_contact is not Y",""))))))</f>
        <v/>
      </c>
    </row>
    <row r="576" customFormat="false" ht="15" hidden="false" customHeight="false" outlineLevel="0" collapsed="false">
      <c r="B576" s="23" t="n">
        <v>555</v>
      </c>
      <c r="C576" s="23" t="str">
        <f aca="false">IFERROR(INDEX(Clay_Offices!$A$2:$FZ$601,B576,$C$5)&amp;"","")</f>
        <v/>
      </c>
      <c r="D576" s="23" t="str">
        <f aca="false">IFERROR(INDEX(Clay_Offices!$A$2:$FZ$601,B576,$C$7)&amp;"","")</f>
        <v/>
      </c>
      <c r="E576" s="23" t="str">
        <f aca="false">IFERROR(INDEX(Clay_Offices!$A$2:$FZ$601,B576,$C$8)&amp;"","")</f>
        <v/>
      </c>
      <c r="F576" s="23" t="str">
        <f aca="false">IF(C576="","",IF(COUNTIF(Office_Log!$A$2:$A$201,C576)&gt;0,"Y","N"))</f>
        <v/>
      </c>
      <c r="G576" s="34" t="str">
        <f aca="false">IF(OR(C576="",AND(LEFT(C576,6)="SAMPLE",Config!$B$19&lt;&gt;"Y")),"",IF(IFERROR(INDEX(Lists!$K$2:$K$15,MATCH(D576,Lists!$J$2:$J$15,0)),-1)=-1,"status '"&amp;D576&amp;"' is not a CONTRACTS status",IF(AND(D576="signed",COUNTIF(signed_offices!$W$2:$W$51,C576)=0),"status signed but no signed_offices row"&amp;IF(F576="N"," and no tracker row",""),IF(AND(IFERROR(INDEX(Lists!$K$2:$K$15,MATCH(D576,Lists!$J$2:$J$15,0)),-1)&gt;=6,F576="N"),"status "&amp;D576&amp;" but no tracker row",IF(AND(E576="Y",D576&lt;&gt;"do_not_contact"),"do_not_contact = Y but status is "&amp;D576,IF(AND(D576="do_not_contact",E576&lt;&gt;"Y"),"status do_not_contact but do_not_contact is not Y",""))))))</f>
        <v/>
      </c>
      <c r="I576" s="23" t="n">
        <v>555</v>
      </c>
      <c r="J576" s="23" t="str">
        <f aca="false">IFERROR(INDEX(Clay_Brands!$A$2:$FZ$601,I576,$D$5)&amp;"","")</f>
        <v/>
      </c>
      <c r="K576" s="23" t="str">
        <f aca="false">IFERROR(INDEX(Clay_Brands!$A$2:$FZ$601,I576,$D$7)&amp;"","")</f>
        <v/>
      </c>
      <c r="L576" s="23" t="str">
        <f aca="false">IFERROR(INDEX(Clay_Brands!$A$2:$FZ$601,I576,$D$8)&amp;"","")</f>
        <v/>
      </c>
      <c r="M576" s="23" t="str">
        <f aca="false">IF(J576="","",IF(COUNTIF(Brand_Log!$A$2:$A$201,J576)&gt;0,"Y","N"))</f>
        <v/>
      </c>
      <c r="N576" s="34" t="str">
        <f aca="false">IF(OR(J576="",AND(LEFT(J576,6)="SAMPLE",Config!$B$19&lt;&gt;"Y")),"",IF(IFERROR(INDEX(Lists!$K$2:$K$15,MATCH(K576,Lists!$J$2:$J$15,0)),-1)=-1,"status '"&amp;K576&amp;"' is not a CONTRACTS status",IF(AND(K576="paid",COUNTIF(paid_brands!$AC$2:$AC$51,J576)=0),"status paid but no paid_brands row"&amp;IF(M576="N"," and no tracker row",""),IF(AND(IFERROR(INDEX(Lists!$K$2:$K$15,MATCH(K576,Lists!$J$2:$J$15,0)),-1)&gt;=6,M576="N"),"status "&amp;K576&amp;" but no tracker row",IF(AND(L576="Y",K576&lt;&gt;"do_not_contact"),"do_not_contact = Y but status is "&amp;K576,IF(AND(K576="do_not_contact",L576&lt;&gt;"Y"),"status do_not_contact but do_not_contact is not Y",""))))))</f>
        <v/>
      </c>
    </row>
    <row r="577" customFormat="false" ht="15" hidden="false" customHeight="false" outlineLevel="0" collapsed="false">
      <c r="B577" s="23" t="n">
        <v>556</v>
      </c>
      <c r="C577" s="23" t="str">
        <f aca="false">IFERROR(INDEX(Clay_Offices!$A$2:$FZ$601,B577,$C$5)&amp;"","")</f>
        <v/>
      </c>
      <c r="D577" s="23" t="str">
        <f aca="false">IFERROR(INDEX(Clay_Offices!$A$2:$FZ$601,B577,$C$7)&amp;"","")</f>
        <v/>
      </c>
      <c r="E577" s="23" t="str">
        <f aca="false">IFERROR(INDEX(Clay_Offices!$A$2:$FZ$601,B577,$C$8)&amp;"","")</f>
        <v/>
      </c>
      <c r="F577" s="23" t="str">
        <f aca="false">IF(C577="","",IF(COUNTIF(Office_Log!$A$2:$A$201,C577)&gt;0,"Y","N"))</f>
        <v/>
      </c>
      <c r="G577" s="34" t="str">
        <f aca="false">IF(OR(C577="",AND(LEFT(C577,6)="SAMPLE",Config!$B$19&lt;&gt;"Y")),"",IF(IFERROR(INDEX(Lists!$K$2:$K$15,MATCH(D577,Lists!$J$2:$J$15,0)),-1)=-1,"status '"&amp;D577&amp;"' is not a CONTRACTS status",IF(AND(D577="signed",COUNTIF(signed_offices!$W$2:$W$51,C577)=0),"status signed but no signed_offices row"&amp;IF(F577="N"," and no tracker row",""),IF(AND(IFERROR(INDEX(Lists!$K$2:$K$15,MATCH(D577,Lists!$J$2:$J$15,0)),-1)&gt;=6,F577="N"),"status "&amp;D577&amp;" but no tracker row",IF(AND(E577="Y",D577&lt;&gt;"do_not_contact"),"do_not_contact = Y but status is "&amp;D577,IF(AND(D577="do_not_contact",E577&lt;&gt;"Y"),"status do_not_contact but do_not_contact is not Y",""))))))</f>
        <v/>
      </c>
      <c r="I577" s="23" t="n">
        <v>556</v>
      </c>
      <c r="J577" s="23" t="str">
        <f aca="false">IFERROR(INDEX(Clay_Brands!$A$2:$FZ$601,I577,$D$5)&amp;"","")</f>
        <v/>
      </c>
      <c r="K577" s="23" t="str">
        <f aca="false">IFERROR(INDEX(Clay_Brands!$A$2:$FZ$601,I577,$D$7)&amp;"","")</f>
        <v/>
      </c>
      <c r="L577" s="23" t="str">
        <f aca="false">IFERROR(INDEX(Clay_Brands!$A$2:$FZ$601,I577,$D$8)&amp;"","")</f>
        <v/>
      </c>
      <c r="M577" s="23" t="str">
        <f aca="false">IF(J577="","",IF(COUNTIF(Brand_Log!$A$2:$A$201,J577)&gt;0,"Y","N"))</f>
        <v/>
      </c>
      <c r="N577" s="34" t="str">
        <f aca="false">IF(OR(J577="",AND(LEFT(J577,6)="SAMPLE",Config!$B$19&lt;&gt;"Y")),"",IF(IFERROR(INDEX(Lists!$K$2:$K$15,MATCH(K577,Lists!$J$2:$J$15,0)),-1)=-1,"status '"&amp;K577&amp;"' is not a CONTRACTS status",IF(AND(K577="paid",COUNTIF(paid_brands!$AC$2:$AC$51,J577)=0),"status paid but no paid_brands row"&amp;IF(M577="N"," and no tracker row",""),IF(AND(IFERROR(INDEX(Lists!$K$2:$K$15,MATCH(K577,Lists!$J$2:$J$15,0)),-1)&gt;=6,M577="N"),"status "&amp;K577&amp;" but no tracker row",IF(AND(L577="Y",K577&lt;&gt;"do_not_contact"),"do_not_contact = Y but status is "&amp;K577,IF(AND(K577="do_not_contact",L577&lt;&gt;"Y"),"status do_not_contact but do_not_contact is not Y",""))))))</f>
        <v/>
      </c>
    </row>
    <row r="578" customFormat="false" ht="15" hidden="false" customHeight="false" outlineLevel="0" collapsed="false">
      <c r="B578" s="23" t="n">
        <v>557</v>
      </c>
      <c r="C578" s="23" t="str">
        <f aca="false">IFERROR(INDEX(Clay_Offices!$A$2:$FZ$601,B578,$C$5)&amp;"","")</f>
        <v/>
      </c>
      <c r="D578" s="23" t="str">
        <f aca="false">IFERROR(INDEX(Clay_Offices!$A$2:$FZ$601,B578,$C$7)&amp;"","")</f>
        <v/>
      </c>
      <c r="E578" s="23" t="str">
        <f aca="false">IFERROR(INDEX(Clay_Offices!$A$2:$FZ$601,B578,$C$8)&amp;"","")</f>
        <v/>
      </c>
      <c r="F578" s="23" t="str">
        <f aca="false">IF(C578="","",IF(COUNTIF(Office_Log!$A$2:$A$201,C578)&gt;0,"Y","N"))</f>
        <v/>
      </c>
      <c r="G578" s="34" t="str">
        <f aca="false">IF(OR(C578="",AND(LEFT(C578,6)="SAMPLE",Config!$B$19&lt;&gt;"Y")),"",IF(IFERROR(INDEX(Lists!$K$2:$K$15,MATCH(D578,Lists!$J$2:$J$15,0)),-1)=-1,"status '"&amp;D578&amp;"' is not a CONTRACTS status",IF(AND(D578="signed",COUNTIF(signed_offices!$W$2:$W$51,C578)=0),"status signed but no signed_offices row"&amp;IF(F578="N"," and no tracker row",""),IF(AND(IFERROR(INDEX(Lists!$K$2:$K$15,MATCH(D578,Lists!$J$2:$J$15,0)),-1)&gt;=6,F578="N"),"status "&amp;D578&amp;" but no tracker row",IF(AND(E578="Y",D578&lt;&gt;"do_not_contact"),"do_not_contact = Y but status is "&amp;D578,IF(AND(D578="do_not_contact",E578&lt;&gt;"Y"),"status do_not_contact but do_not_contact is not Y",""))))))</f>
        <v/>
      </c>
      <c r="I578" s="23" t="n">
        <v>557</v>
      </c>
      <c r="J578" s="23" t="str">
        <f aca="false">IFERROR(INDEX(Clay_Brands!$A$2:$FZ$601,I578,$D$5)&amp;"","")</f>
        <v/>
      </c>
      <c r="K578" s="23" t="str">
        <f aca="false">IFERROR(INDEX(Clay_Brands!$A$2:$FZ$601,I578,$D$7)&amp;"","")</f>
        <v/>
      </c>
      <c r="L578" s="23" t="str">
        <f aca="false">IFERROR(INDEX(Clay_Brands!$A$2:$FZ$601,I578,$D$8)&amp;"","")</f>
        <v/>
      </c>
      <c r="M578" s="23" t="str">
        <f aca="false">IF(J578="","",IF(COUNTIF(Brand_Log!$A$2:$A$201,J578)&gt;0,"Y","N"))</f>
        <v/>
      </c>
      <c r="N578" s="34" t="str">
        <f aca="false">IF(OR(J578="",AND(LEFT(J578,6)="SAMPLE",Config!$B$19&lt;&gt;"Y")),"",IF(IFERROR(INDEX(Lists!$K$2:$K$15,MATCH(K578,Lists!$J$2:$J$15,0)),-1)=-1,"status '"&amp;K578&amp;"' is not a CONTRACTS status",IF(AND(K578="paid",COUNTIF(paid_brands!$AC$2:$AC$51,J578)=0),"status paid but no paid_brands row"&amp;IF(M578="N"," and no tracker row",""),IF(AND(IFERROR(INDEX(Lists!$K$2:$K$15,MATCH(K578,Lists!$J$2:$J$15,0)),-1)&gt;=6,M578="N"),"status "&amp;K578&amp;" but no tracker row",IF(AND(L578="Y",K578&lt;&gt;"do_not_contact"),"do_not_contact = Y but status is "&amp;K578,IF(AND(K578="do_not_contact",L578&lt;&gt;"Y"),"status do_not_contact but do_not_contact is not Y",""))))))</f>
        <v/>
      </c>
    </row>
    <row r="579" customFormat="false" ht="15" hidden="false" customHeight="false" outlineLevel="0" collapsed="false">
      <c r="B579" s="23" t="n">
        <v>558</v>
      </c>
      <c r="C579" s="23" t="str">
        <f aca="false">IFERROR(INDEX(Clay_Offices!$A$2:$FZ$601,B579,$C$5)&amp;"","")</f>
        <v/>
      </c>
      <c r="D579" s="23" t="str">
        <f aca="false">IFERROR(INDEX(Clay_Offices!$A$2:$FZ$601,B579,$C$7)&amp;"","")</f>
        <v/>
      </c>
      <c r="E579" s="23" t="str">
        <f aca="false">IFERROR(INDEX(Clay_Offices!$A$2:$FZ$601,B579,$C$8)&amp;"","")</f>
        <v/>
      </c>
      <c r="F579" s="23" t="str">
        <f aca="false">IF(C579="","",IF(COUNTIF(Office_Log!$A$2:$A$201,C579)&gt;0,"Y","N"))</f>
        <v/>
      </c>
      <c r="G579" s="34" t="str">
        <f aca="false">IF(OR(C579="",AND(LEFT(C579,6)="SAMPLE",Config!$B$19&lt;&gt;"Y")),"",IF(IFERROR(INDEX(Lists!$K$2:$K$15,MATCH(D579,Lists!$J$2:$J$15,0)),-1)=-1,"status '"&amp;D579&amp;"' is not a CONTRACTS status",IF(AND(D579="signed",COUNTIF(signed_offices!$W$2:$W$51,C579)=0),"status signed but no signed_offices row"&amp;IF(F579="N"," and no tracker row",""),IF(AND(IFERROR(INDEX(Lists!$K$2:$K$15,MATCH(D579,Lists!$J$2:$J$15,0)),-1)&gt;=6,F579="N"),"status "&amp;D579&amp;" but no tracker row",IF(AND(E579="Y",D579&lt;&gt;"do_not_contact"),"do_not_contact = Y but status is "&amp;D579,IF(AND(D579="do_not_contact",E579&lt;&gt;"Y"),"status do_not_contact but do_not_contact is not Y",""))))))</f>
        <v/>
      </c>
      <c r="I579" s="23" t="n">
        <v>558</v>
      </c>
      <c r="J579" s="23" t="str">
        <f aca="false">IFERROR(INDEX(Clay_Brands!$A$2:$FZ$601,I579,$D$5)&amp;"","")</f>
        <v/>
      </c>
      <c r="K579" s="23" t="str">
        <f aca="false">IFERROR(INDEX(Clay_Brands!$A$2:$FZ$601,I579,$D$7)&amp;"","")</f>
        <v/>
      </c>
      <c r="L579" s="23" t="str">
        <f aca="false">IFERROR(INDEX(Clay_Brands!$A$2:$FZ$601,I579,$D$8)&amp;"","")</f>
        <v/>
      </c>
      <c r="M579" s="23" t="str">
        <f aca="false">IF(J579="","",IF(COUNTIF(Brand_Log!$A$2:$A$201,J579)&gt;0,"Y","N"))</f>
        <v/>
      </c>
      <c r="N579" s="34" t="str">
        <f aca="false">IF(OR(J579="",AND(LEFT(J579,6)="SAMPLE",Config!$B$19&lt;&gt;"Y")),"",IF(IFERROR(INDEX(Lists!$K$2:$K$15,MATCH(K579,Lists!$J$2:$J$15,0)),-1)=-1,"status '"&amp;K579&amp;"' is not a CONTRACTS status",IF(AND(K579="paid",COUNTIF(paid_brands!$AC$2:$AC$51,J579)=0),"status paid but no paid_brands row"&amp;IF(M579="N"," and no tracker row",""),IF(AND(IFERROR(INDEX(Lists!$K$2:$K$15,MATCH(K579,Lists!$J$2:$J$15,0)),-1)&gt;=6,M579="N"),"status "&amp;K579&amp;" but no tracker row",IF(AND(L579="Y",K579&lt;&gt;"do_not_contact"),"do_not_contact = Y but status is "&amp;K579,IF(AND(K579="do_not_contact",L579&lt;&gt;"Y"),"status do_not_contact but do_not_contact is not Y",""))))))</f>
        <v/>
      </c>
    </row>
    <row r="580" customFormat="false" ht="15" hidden="false" customHeight="false" outlineLevel="0" collapsed="false">
      <c r="B580" s="23" t="n">
        <v>559</v>
      </c>
      <c r="C580" s="23" t="str">
        <f aca="false">IFERROR(INDEX(Clay_Offices!$A$2:$FZ$601,B580,$C$5)&amp;"","")</f>
        <v/>
      </c>
      <c r="D580" s="23" t="str">
        <f aca="false">IFERROR(INDEX(Clay_Offices!$A$2:$FZ$601,B580,$C$7)&amp;"","")</f>
        <v/>
      </c>
      <c r="E580" s="23" t="str">
        <f aca="false">IFERROR(INDEX(Clay_Offices!$A$2:$FZ$601,B580,$C$8)&amp;"","")</f>
        <v/>
      </c>
      <c r="F580" s="23" t="str">
        <f aca="false">IF(C580="","",IF(COUNTIF(Office_Log!$A$2:$A$201,C580)&gt;0,"Y","N"))</f>
        <v/>
      </c>
      <c r="G580" s="34" t="str">
        <f aca="false">IF(OR(C580="",AND(LEFT(C580,6)="SAMPLE",Config!$B$19&lt;&gt;"Y")),"",IF(IFERROR(INDEX(Lists!$K$2:$K$15,MATCH(D580,Lists!$J$2:$J$15,0)),-1)=-1,"status '"&amp;D580&amp;"' is not a CONTRACTS status",IF(AND(D580="signed",COUNTIF(signed_offices!$W$2:$W$51,C580)=0),"status signed but no signed_offices row"&amp;IF(F580="N"," and no tracker row",""),IF(AND(IFERROR(INDEX(Lists!$K$2:$K$15,MATCH(D580,Lists!$J$2:$J$15,0)),-1)&gt;=6,F580="N"),"status "&amp;D580&amp;" but no tracker row",IF(AND(E580="Y",D580&lt;&gt;"do_not_contact"),"do_not_contact = Y but status is "&amp;D580,IF(AND(D580="do_not_contact",E580&lt;&gt;"Y"),"status do_not_contact but do_not_contact is not Y",""))))))</f>
        <v/>
      </c>
      <c r="I580" s="23" t="n">
        <v>559</v>
      </c>
      <c r="J580" s="23" t="str">
        <f aca="false">IFERROR(INDEX(Clay_Brands!$A$2:$FZ$601,I580,$D$5)&amp;"","")</f>
        <v/>
      </c>
      <c r="K580" s="23" t="str">
        <f aca="false">IFERROR(INDEX(Clay_Brands!$A$2:$FZ$601,I580,$D$7)&amp;"","")</f>
        <v/>
      </c>
      <c r="L580" s="23" t="str">
        <f aca="false">IFERROR(INDEX(Clay_Brands!$A$2:$FZ$601,I580,$D$8)&amp;"","")</f>
        <v/>
      </c>
      <c r="M580" s="23" t="str">
        <f aca="false">IF(J580="","",IF(COUNTIF(Brand_Log!$A$2:$A$201,J580)&gt;0,"Y","N"))</f>
        <v/>
      </c>
      <c r="N580" s="34" t="str">
        <f aca="false">IF(OR(J580="",AND(LEFT(J580,6)="SAMPLE",Config!$B$19&lt;&gt;"Y")),"",IF(IFERROR(INDEX(Lists!$K$2:$K$15,MATCH(K580,Lists!$J$2:$J$15,0)),-1)=-1,"status '"&amp;K580&amp;"' is not a CONTRACTS status",IF(AND(K580="paid",COUNTIF(paid_brands!$AC$2:$AC$51,J580)=0),"status paid but no paid_brands row"&amp;IF(M580="N"," and no tracker row",""),IF(AND(IFERROR(INDEX(Lists!$K$2:$K$15,MATCH(K580,Lists!$J$2:$J$15,0)),-1)&gt;=6,M580="N"),"status "&amp;K580&amp;" but no tracker row",IF(AND(L580="Y",K580&lt;&gt;"do_not_contact"),"do_not_contact = Y but status is "&amp;K580,IF(AND(K580="do_not_contact",L580&lt;&gt;"Y"),"status do_not_contact but do_not_contact is not Y",""))))))</f>
        <v/>
      </c>
    </row>
    <row r="581" customFormat="false" ht="15" hidden="false" customHeight="false" outlineLevel="0" collapsed="false">
      <c r="B581" s="23" t="n">
        <v>560</v>
      </c>
      <c r="C581" s="23" t="str">
        <f aca="false">IFERROR(INDEX(Clay_Offices!$A$2:$FZ$601,B581,$C$5)&amp;"","")</f>
        <v/>
      </c>
      <c r="D581" s="23" t="str">
        <f aca="false">IFERROR(INDEX(Clay_Offices!$A$2:$FZ$601,B581,$C$7)&amp;"","")</f>
        <v/>
      </c>
      <c r="E581" s="23" t="str">
        <f aca="false">IFERROR(INDEX(Clay_Offices!$A$2:$FZ$601,B581,$C$8)&amp;"","")</f>
        <v/>
      </c>
      <c r="F581" s="23" t="str">
        <f aca="false">IF(C581="","",IF(COUNTIF(Office_Log!$A$2:$A$201,C581)&gt;0,"Y","N"))</f>
        <v/>
      </c>
      <c r="G581" s="34" t="str">
        <f aca="false">IF(OR(C581="",AND(LEFT(C581,6)="SAMPLE",Config!$B$19&lt;&gt;"Y")),"",IF(IFERROR(INDEX(Lists!$K$2:$K$15,MATCH(D581,Lists!$J$2:$J$15,0)),-1)=-1,"status '"&amp;D581&amp;"' is not a CONTRACTS status",IF(AND(D581="signed",COUNTIF(signed_offices!$W$2:$W$51,C581)=0),"status signed but no signed_offices row"&amp;IF(F581="N"," and no tracker row",""),IF(AND(IFERROR(INDEX(Lists!$K$2:$K$15,MATCH(D581,Lists!$J$2:$J$15,0)),-1)&gt;=6,F581="N"),"status "&amp;D581&amp;" but no tracker row",IF(AND(E581="Y",D581&lt;&gt;"do_not_contact"),"do_not_contact = Y but status is "&amp;D581,IF(AND(D581="do_not_contact",E581&lt;&gt;"Y"),"status do_not_contact but do_not_contact is not Y",""))))))</f>
        <v/>
      </c>
      <c r="I581" s="23" t="n">
        <v>560</v>
      </c>
      <c r="J581" s="23" t="str">
        <f aca="false">IFERROR(INDEX(Clay_Brands!$A$2:$FZ$601,I581,$D$5)&amp;"","")</f>
        <v/>
      </c>
      <c r="K581" s="23" t="str">
        <f aca="false">IFERROR(INDEX(Clay_Brands!$A$2:$FZ$601,I581,$D$7)&amp;"","")</f>
        <v/>
      </c>
      <c r="L581" s="23" t="str">
        <f aca="false">IFERROR(INDEX(Clay_Brands!$A$2:$FZ$601,I581,$D$8)&amp;"","")</f>
        <v/>
      </c>
      <c r="M581" s="23" t="str">
        <f aca="false">IF(J581="","",IF(COUNTIF(Brand_Log!$A$2:$A$201,J581)&gt;0,"Y","N"))</f>
        <v/>
      </c>
      <c r="N581" s="34" t="str">
        <f aca="false">IF(OR(J581="",AND(LEFT(J581,6)="SAMPLE",Config!$B$19&lt;&gt;"Y")),"",IF(IFERROR(INDEX(Lists!$K$2:$K$15,MATCH(K581,Lists!$J$2:$J$15,0)),-1)=-1,"status '"&amp;K581&amp;"' is not a CONTRACTS status",IF(AND(K581="paid",COUNTIF(paid_brands!$AC$2:$AC$51,J581)=0),"status paid but no paid_brands row"&amp;IF(M581="N"," and no tracker row",""),IF(AND(IFERROR(INDEX(Lists!$K$2:$K$15,MATCH(K581,Lists!$J$2:$J$15,0)),-1)&gt;=6,M581="N"),"status "&amp;K581&amp;" but no tracker row",IF(AND(L581="Y",K581&lt;&gt;"do_not_contact"),"do_not_contact = Y but status is "&amp;K581,IF(AND(K581="do_not_contact",L581&lt;&gt;"Y"),"status do_not_contact but do_not_contact is not Y",""))))))</f>
        <v/>
      </c>
    </row>
    <row r="582" customFormat="false" ht="15" hidden="false" customHeight="false" outlineLevel="0" collapsed="false">
      <c r="B582" s="23" t="n">
        <v>561</v>
      </c>
      <c r="C582" s="23" t="str">
        <f aca="false">IFERROR(INDEX(Clay_Offices!$A$2:$FZ$601,B582,$C$5)&amp;"","")</f>
        <v/>
      </c>
      <c r="D582" s="23" t="str">
        <f aca="false">IFERROR(INDEX(Clay_Offices!$A$2:$FZ$601,B582,$C$7)&amp;"","")</f>
        <v/>
      </c>
      <c r="E582" s="23" t="str">
        <f aca="false">IFERROR(INDEX(Clay_Offices!$A$2:$FZ$601,B582,$C$8)&amp;"","")</f>
        <v/>
      </c>
      <c r="F582" s="23" t="str">
        <f aca="false">IF(C582="","",IF(COUNTIF(Office_Log!$A$2:$A$201,C582)&gt;0,"Y","N"))</f>
        <v/>
      </c>
      <c r="G582" s="34" t="str">
        <f aca="false">IF(OR(C582="",AND(LEFT(C582,6)="SAMPLE",Config!$B$19&lt;&gt;"Y")),"",IF(IFERROR(INDEX(Lists!$K$2:$K$15,MATCH(D582,Lists!$J$2:$J$15,0)),-1)=-1,"status '"&amp;D582&amp;"' is not a CONTRACTS status",IF(AND(D582="signed",COUNTIF(signed_offices!$W$2:$W$51,C582)=0),"status signed but no signed_offices row"&amp;IF(F582="N"," and no tracker row",""),IF(AND(IFERROR(INDEX(Lists!$K$2:$K$15,MATCH(D582,Lists!$J$2:$J$15,0)),-1)&gt;=6,F582="N"),"status "&amp;D582&amp;" but no tracker row",IF(AND(E582="Y",D582&lt;&gt;"do_not_contact"),"do_not_contact = Y but status is "&amp;D582,IF(AND(D582="do_not_contact",E582&lt;&gt;"Y"),"status do_not_contact but do_not_contact is not Y",""))))))</f>
        <v/>
      </c>
      <c r="I582" s="23" t="n">
        <v>561</v>
      </c>
      <c r="J582" s="23" t="str">
        <f aca="false">IFERROR(INDEX(Clay_Brands!$A$2:$FZ$601,I582,$D$5)&amp;"","")</f>
        <v/>
      </c>
      <c r="K582" s="23" t="str">
        <f aca="false">IFERROR(INDEX(Clay_Brands!$A$2:$FZ$601,I582,$D$7)&amp;"","")</f>
        <v/>
      </c>
      <c r="L582" s="23" t="str">
        <f aca="false">IFERROR(INDEX(Clay_Brands!$A$2:$FZ$601,I582,$D$8)&amp;"","")</f>
        <v/>
      </c>
      <c r="M582" s="23" t="str">
        <f aca="false">IF(J582="","",IF(COUNTIF(Brand_Log!$A$2:$A$201,J582)&gt;0,"Y","N"))</f>
        <v/>
      </c>
      <c r="N582" s="34" t="str">
        <f aca="false">IF(OR(J582="",AND(LEFT(J582,6)="SAMPLE",Config!$B$19&lt;&gt;"Y")),"",IF(IFERROR(INDEX(Lists!$K$2:$K$15,MATCH(K582,Lists!$J$2:$J$15,0)),-1)=-1,"status '"&amp;K582&amp;"' is not a CONTRACTS status",IF(AND(K582="paid",COUNTIF(paid_brands!$AC$2:$AC$51,J582)=0),"status paid but no paid_brands row"&amp;IF(M582="N"," and no tracker row",""),IF(AND(IFERROR(INDEX(Lists!$K$2:$K$15,MATCH(K582,Lists!$J$2:$J$15,0)),-1)&gt;=6,M582="N"),"status "&amp;K582&amp;" but no tracker row",IF(AND(L582="Y",K582&lt;&gt;"do_not_contact"),"do_not_contact = Y but status is "&amp;K582,IF(AND(K582="do_not_contact",L582&lt;&gt;"Y"),"status do_not_contact but do_not_contact is not Y",""))))))</f>
        <v/>
      </c>
    </row>
    <row r="583" customFormat="false" ht="15" hidden="false" customHeight="false" outlineLevel="0" collapsed="false">
      <c r="B583" s="23" t="n">
        <v>562</v>
      </c>
      <c r="C583" s="23" t="str">
        <f aca="false">IFERROR(INDEX(Clay_Offices!$A$2:$FZ$601,B583,$C$5)&amp;"","")</f>
        <v/>
      </c>
      <c r="D583" s="23" t="str">
        <f aca="false">IFERROR(INDEX(Clay_Offices!$A$2:$FZ$601,B583,$C$7)&amp;"","")</f>
        <v/>
      </c>
      <c r="E583" s="23" t="str">
        <f aca="false">IFERROR(INDEX(Clay_Offices!$A$2:$FZ$601,B583,$C$8)&amp;"","")</f>
        <v/>
      </c>
      <c r="F583" s="23" t="str">
        <f aca="false">IF(C583="","",IF(COUNTIF(Office_Log!$A$2:$A$201,C583)&gt;0,"Y","N"))</f>
        <v/>
      </c>
      <c r="G583" s="34" t="str">
        <f aca="false">IF(OR(C583="",AND(LEFT(C583,6)="SAMPLE",Config!$B$19&lt;&gt;"Y")),"",IF(IFERROR(INDEX(Lists!$K$2:$K$15,MATCH(D583,Lists!$J$2:$J$15,0)),-1)=-1,"status '"&amp;D583&amp;"' is not a CONTRACTS status",IF(AND(D583="signed",COUNTIF(signed_offices!$W$2:$W$51,C583)=0),"status signed but no signed_offices row"&amp;IF(F583="N"," and no tracker row",""),IF(AND(IFERROR(INDEX(Lists!$K$2:$K$15,MATCH(D583,Lists!$J$2:$J$15,0)),-1)&gt;=6,F583="N"),"status "&amp;D583&amp;" but no tracker row",IF(AND(E583="Y",D583&lt;&gt;"do_not_contact"),"do_not_contact = Y but status is "&amp;D583,IF(AND(D583="do_not_contact",E583&lt;&gt;"Y"),"status do_not_contact but do_not_contact is not Y",""))))))</f>
        <v/>
      </c>
      <c r="I583" s="23" t="n">
        <v>562</v>
      </c>
      <c r="J583" s="23" t="str">
        <f aca="false">IFERROR(INDEX(Clay_Brands!$A$2:$FZ$601,I583,$D$5)&amp;"","")</f>
        <v/>
      </c>
      <c r="K583" s="23" t="str">
        <f aca="false">IFERROR(INDEX(Clay_Brands!$A$2:$FZ$601,I583,$D$7)&amp;"","")</f>
        <v/>
      </c>
      <c r="L583" s="23" t="str">
        <f aca="false">IFERROR(INDEX(Clay_Brands!$A$2:$FZ$601,I583,$D$8)&amp;"","")</f>
        <v/>
      </c>
      <c r="M583" s="23" t="str">
        <f aca="false">IF(J583="","",IF(COUNTIF(Brand_Log!$A$2:$A$201,J583)&gt;0,"Y","N"))</f>
        <v/>
      </c>
      <c r="N583" s="34" t="str">
        <f aca="false">IF(OR(J583="",AND(LEFT(J583,6)="SAMPLE",Config!$B$19&lt;&gt;"Y")),"",IF(IFERROR(INDEX(Lists!$K$2:$K$15,MATCH(K583,Lists!$J$2:$J$15,0)),-1)=-1,"status '"&amp;K583&amp;"' is not a CONTRACTS status",IF(AND(K583="paid",COUNTIF(paid_brands!$AC$2:$AC$51,J583)=0),"status paid but no paid_brands row"&amp;IF(M583="N"," and no tracker row",""),IF(AND(IFERROR(INDEX(Lists!$K$2:$K$15,MATCH(K583,Lists!$J$2:$J$15,0)),-1)&gt;=6,M583="N"),"status "&amp;K583&amp;" but no tracker row",IF(AND(L583="Y",K583&lt;&gt;"do_not_contact"),"do_not_contact = Y but status is "&amp;K583,IF(AND(K583="do_not_contact",L583&lt;&gt;"Y"),"status do_not_contact but do_not_contact is not Y",""))))))</f>
        <v/>
      </c>
    </row>
    <row r="584" customFormat="false" ht="15" hidden="false" customHeight="false" outlineLevel="0" collapsed="false">
      <c r="B584" s="23" t="n">
        <v>563</v>
      </c>
      <c r="C584" s="23" t="str">
        <f aca="false">IFERROR(INDEX(Clay_Offices!$A$2:$FZ$601,B584,$C$5)&amp;"","")</f>
        <v/>
      </c>
      <c r="D584" s="23" t="str">
        <f aca="false">IFERROR(INDEX(Clay_Offices!$A$2:$FZ$601,B584,$C$7)&amp;"","")</f>
        <v/>
      </c>
      <c r="E584" s="23" t="str">
        <f aca="false">IFERROR(INDEX(Clay_Offices!$A$2:$FZ$601,B584,$C$8)&amp;"","")</f>
        <v/>
      </c>
      <c r="F584" s="23" t="str">
        <f aca="false">IF(C584="","",IF(COUNTIF(Office_Log!$A$2:$A$201,C584)&gt;0,"Y","N"))</f>
        <v/>
      </c>
      <c r="G584" s="34" t="str">
        <f aca="false">IF(OR(C584="",AND(LEFT(C584,6)="SAMPLE",Config!$B$19&lt;&gt;"Y")),"",IF(IFERROR(INDEX(Lists!$K$2:$K$15,MATCH(D584,Lists!$J$2:$J$15,0)),-1)=-1,"status '"&amp;D584&amp;"' is not a CONTRACTS status",IF(AND(D584="signed",COUNTIF(signed_offices!$W$2:$W$51,C584)=0),"status signed but no signed_offices row"&amp;IF(F584="N"," and no tracker row",""),IF(AND(IFERROR(INDEX(Lists!$K$2:$K$15,MATCH(D584,Lists!$J$2:$J$15,0)),-1)&gt;=6,F584="N"),"status "&amp;D584&amp;" but no tracker row",IF(AND(E584="Y",D584&lt;&gt;"do_not_contact"),"do_not_contact = Y but status is "&amp;D584,IF(AND(D584="do_not_contact",E584&lt;&gt;"Y"),"status do_not_contact but do_not_contact is not Y",""))))))</f>
        <v/>
      </c>
      <c r="I584" s="23" t="n">
        <v>563</v>
      </c>
      <c r="J584" s="23" t="str">
        <f aca="false">IFERROR(INDEX(Clay_Brands!$A$2:$FZ$601,I584,$D$5)&amp;"","")</f>
        <v/>
      </c>
      <c r="K584" s="23" t="str">
        <f aca="false">IFERROR(INDEX(Clay_Brands!$A$2:$FZ$601,I584,$D$7)&amp;"","")</f>
        <v/>
      </c>
      <c r="L584" s="23" t="str">
        <f aca="false">IFERROR(INDEX(Clay_Brands!$A$2:$FZ$601,I584,$D$8)&amp;"","")</f>
        <v/>
      </c>
      <c r="M584" s="23" t="str">
        <f aca="false">IF(J584="","",IF(COUNTIF(Brand_Log!$A$2:$A$201,J584)&gt;0,"Y","N"))</f>
        <v/>
      </c>
      <c r="N584" s="34" t="str">
        <f aca="false">IF(OR(J584="",AND(LEFT(J584,6)="SAMPLE",Config!$B$19&lt;&gt;"Y")),"",IF(IFERROR(INDEX(Lists!$K$2:$K$15,MATCH(K584,Lists!$J$2:$J$15,0)),-1)=-1,"status '"&amp;K584&amp;"' is not a CONTRACTS status",IF(AND(K584="paid",COUNTIF(paid_brands!$AC$2:$AC$51,J584)=0),"status paid but no paid_brands row"&amp;IF(M584="N"," and no tracker row",""),IF(AND(IFERROR(INDEX(Lists!$K$2:$K$15,MATCH(K584,Lists!$J$2:$J$15,0)),-1)&gt;=6,M584="N"),"status "&amp;K584&amp;" but no tracker row",IF(AND(L584="Y",K584&lt;&gt;"do_not_contact"),"do_not_contact = Y but status is "&amp;K584,IF(AND(K584="do_not_contact",L584&lt;&gt;"Y"),"status do_not_contact but do_not_contact is not Y",""))))))</f>
        <v/>
      </c>
    </row>
    <row r="585" customFormat="false" ht="15" hidden="false" customHeight="false" outlineLevel="0" collapsed="false">
      <c r="B585" s="23" t="n">
        <v>564</v>
      </c>
      <c r="C585" s="23" t="str">
        <f aca="false">IFERROR(INDEX(Clay_Offices!$A$2:$FZ$601,B585,$C$5)&amp;"","")</f>
        <v/>
      </c>
      <c r="D585" s="23" t="str">
        <f aca="false">IFERROR(INDEX(Clay_Offices!$A$2:$FZ$601,B585,$C$7)&amp;"","")</f>
        <v/>
      </c>
      <c r="E585" s="23" t="str">
        <f aca="false">IFERROR(INDEX(Clay_Offices!$A$2:$FZ$601,B585,$C$8)&amp;"","")</f>
        <v/>
      </c>
      <c r="F585" s="23" t="str">
        <f aca="false">IF(C585="","",IF(COUNTIF(Office_Log!$A$2:$A$201,C585)&gt;0,"Y","N"))</f>
        <v/>
      </c>
      <c r="G585" s="34" t="str">
        <f aca="false">IF(OR(C585="",AND(LEFT(C585,6)="SAMPLE",Config!$B$19&lt;&gt;"Y")),"",IF(IFERROR(INDEX(Lists!$K$2:$K$15,MATCH(D585,Lists!$J$2:$J$15,0)),-1)=-1,"status '"&amp;D585&amp;"' is not a CONTRACTS status",IF(AND(D585="signed",COUNTIF(signed_offices!$W$2:$W$51,C585)=0),"status signed but no signed_offices row"&amp;IF(F585="N"," and no tracker row",""),IF(AND(IFERROR(INDEX(Lists!$K$2:$K$15,MATCH(D585,Lists!$J$2:$J$15,0)),-1)&gt;=6,F585="N"),"status "&amp;D585&amp;" but no tracker row",IF(AND(E585="Y",D585&lt;&gt;"do_not_contact"),"do_not_contact = Y but status is "&amp;D585,IF(AND(D585="do_not_contact",E585&lt;&gt;"Y"),"status do_not_contact but do_not_contact is not Y",""))))))</f>
        <v/>
      </c>
      <c r="I585" s="23" t="n">
        <v>564</v>
      </c>
      <c r="J585" s="23" t="str">
        <f aca="false">IFERROR(INDEX(Clay_Brands!$A$2:$FZ$601,I585,$D$5)&amp;"","")</f>
        <v/>
      </c>
      <c r="K585" s="23" t="str">
        <f aca="false">IFERROR(INDEX(Clay_Brands!$A$2:$FZ$601,I585,$D$7)&amp;"","")</f>
        <v/>
      </c>
      <c r="L585" s="23" t="str">
        <f aca="false">IFERROR(INDEX(Clay_Brands!$A$2:$FZ$601,I585,$D$8)&amp;"","")</f>
        <v/>
      </c>
      <c r="M585" s="23" t="str">
        <f aca="false">IF(J585="","",IF(COUNTIF(Brand_Log!$A$2:$A$201,J585)&gt;0,"Y","N"))</f>
        <v/>
      </c>
      <c r="N585" s="34" t="str">
        <f aca="false">IF(OR(J585="",AND(LEFT(J585,6)="SAMPLE",Config!$B$19&lt;&gt;"Y")),"",IF(IFERROR(INDEX(Lists!$K$2:$K$15,MATCH(K585,Lists!$J$2:$J$15,0)),-1)=-1,"status '"&amp;K585&amp;"' is not a CONTRACTS status",IF(AND(K585="paid",COUNTIF(paid_brands!$AC$2:$AC$51,J585)=0),"status paid but no paid_brands row"&amp;IF(M585="N"," and no tracker row",""),IF(AND(IFERROR(INDEX(Lists!$K$2:$K$15,MATCH(K585,Lists!$J$2:$J$15,0)),-1)&gt;=6,M585="N"),"status "&amp;K585&amp;" but no tracker row",IF(AND(L585="Y",K585&lt;&gt;"do_not_contact"),"do_not_contact = Y but status is "&amp;K585,IF(AND(K585="do_not_contact",L585&lt;&gt;"Y"),"status do_not_contact but do_not_contact is not Y",""))))))</f>
        <v/>
      </c>
    </row>
    <row r="586" customFormat="false" ht="15" hidden="false" customHeight="false" outlineLevel="0" collapsed="false">
      <c r="B586" s="23" t="n">
        <v>565</v>
      </c>
      <c r="C586" s="23" t="str">
        <f aca="false">IFERROR(INDEX(Clay_Offices!$A$2:$FZ$601,B586,$C$5)&amp;"","")</f>
        <v/>
      </c>
      <c r="D586" s="23" t="str">
        <f aca="false">IFERROR(INDEX(Clay_Offices!$A$2:$FZ$601,B586,$C$7)&amp;"","")</f>
        <v/>
      </c>
      <c r="E586" s="23" t="str">
        <f aca="false">IFERROR(INDEX(Clay_Offices!$A$2:$FZ$601,B586,$C$8)&amp;"","")</f>
        <v/>
      </c>
      <c r="F586" s="23" t="str">
        <f aca="false">IF(C586="","",IF(COUNTIF(Office_Log!$A$2:$A$201,C586)&gt;0,"Y","N"))</f>
        <v/>
      </c>
      <c r="G586" s="34" t="str">
        <f aca="false">IF(OR(C586="",AND(LEFT(C586,6)="SAMPLE",Config!$B$19&lt;&gt;"Y")),"",IF(IFERROR(INDEX(Lists!$K$2:$K$15,MATCH(D586,Lists!$J$2:$J$15,0)),-1)=-1,"status '"&amp;D586&amp;"' is not a CONTRACTS status",IF(AND(D586="signed",COUNTIF(signed_offices!$W$2:$W$51,C586)=0),"status signed but no signed_offices row"&amp;IF(F586="N"," and no tracker row",""),IF(AND(IFERROR(INDEX(Lists!$K$2:$K$15,MATCH(D586,Lists!$J$2:$J$15,0)),-1)&gt;=6,F586="N"),"status "&amp;D586&amp;" but no tracker row",IF(AND(E586="Y",D586&lt;&gt;"do_not_contact"),"do_not_contact = Y but status is "&amp;D586,IF(AND(D586="do_not_contact",E586&lt;&gt;"Y"),"status do_not_contact but do_not_contact is not Y",""))))))</f>
        <v/>
      </c>
      <c r="I586" s="23" t="n">
        <v>565</v>
      </c>
      <c r="J586" s="23" t="str">
        <f aca="false">IFERROR(INDEX(Clay_Brands!$A$2:$FZ$601,I586,$D$5)&amp;"","")</f>
        <v/>
      </c>
      <c r="K586" s="23" t="str">
        <f aca="false">IFERROR(INDEX(Clay_Brands!$A$2:$FZ$601,I586,$D$7)&amp;"","")</f>
        <v/>
      </c>
      <c r="L586" s="23" t="str">
        <f aca="false">IFERROR(INDEX(Clay_Brands!$A$2:$FZ$601,I586,$D$8)&amp;"","")</f>
        <v/>
      </c>
      <c r="M586" s="23" t="str">
        <f aca="false">IF(J586="","",IF(COUNTIF(Brand_Log!$A$2:$A$201,J586)&gt;0,"Y","N"))</f>
        <v/>
      </c>
      <c r="N586" s="34" t="str">
        <f aca="false">IF(OR(J586="",AND(LEFT(J586,6)="SAMPLE",Config!$B$19&lt;&gt;"Y")),"",IF(IFERROR(INDEX(Lists!$K$2:$K$15,MATCH(K586,Lists!$J$2:$J$15,0)),-1)=-1,"status '"&amp;K586&amp;"' is not a CONTRACTS status",IF(AND(K586="paid",COUNTIF(paid_brands!$AC$2:$AC$51,J586)=0),"status paid but no paid_brands row"&amp;IF(M586="N"," and no tracker row",""),IF(AND(IFERROR(INDEX(Lists!$K$2:$K$15,MATCH(K586,Lists!$J$2:$J$15,0)),-1)&gt;=6,M586="N"),"status "&amp;K586&amp;" but no tracker row",IF(AND(L586="Y",K586&lt;&gt;"do_not_contact"),"do_not_contact = Y but status is "&amp;K586,IF(AND(K586="do_not_contact",L586&lt;&gt;"Y"),"status do_not_contact but do_not_contact is not Y",""))))))</f>
        <v/>
      </c>
    </row>
    <row r="587" customFormat="false" ht="15" hidden="false" customHeight="false" outlineLevel="0" collapsed="false">
      <c r="B587" s="23" t="n">
        <v>566</v>
      </c>
      <c r="C587" s="23" t="str">
        <f aca="false">IFERROR(INDEX(Clay_Offices!$A$2:$FZ$601,B587,$C$5)&amp;"","")</f>
        <v/>
      </c>
      <c r="D587" s="23" t="str">
        <f aca="false">IFERROR(INDEX(Clay_Offices!$A$2:$FZ$601,B587,$C$7)&amp;"","")</f>
        <v/>
      </c>
      <c r="E587" s="23" t="str">
        <f aca="false">IFERROR(INDEX(Clay_Offices!$A$2:$FZ$601,B587,$C$8)&amp;"","")</f>
        <v/>
      </c>
      <c r="F587" s="23" t="str">
        <f aca="false">IF(C587="","",IF(COUNTIF(Office_Log!$A$2:$A$201,C587)&gt;0,"Y","N"))</f>
        <v/>
      </c>
      <c r="G587" s="34" t="str">
        <f aca="false">IF(OR(C587="",AND(LEFT(C587,6)="SAMPLE",Config!$B$19&lt;&gt;"Y")),"",IF(IFERROR(INDEX(Lists!$K$2:$K$15,MATCH(D587,Lists!$J$2:$J$15,0)),-1)=-1,"status '"&amp;D587&amp;"' is not a CONTRACTS status",IF(AND(D587="signed",COUNTIF(signed_offices!$W$2:$W$51,C587)=0),"status signed but no signed_offices row"&amp;IF(F587="N"," and no tracker row",""),IF(AND(IFERROR(INDEX(Lists!$K$2:$K$15,MATCH(D587,Lists!$J$2:$J$15,0)),-1)&gt;=6,F587="N"),"status "&amp;D587&amp;" but no tracker row",IF(AND(E587="Y",D587&lt;&gt;"do_not_contact"),"do_not_contact = Y but status is "&amp;D587,IF(AND(D587="do_not_contact",E587&lt;&gt;"Y"),"status do_not_contact but do_not_contact is not Y",""))))))</f>
        <v/>
      </c>
      <c r="I587" s="23" t="n">
        <v>566</v>
      </c>
      <c r="J587" s="23" t="str">
        <f aca="false">IFERROR(INDEX(Clay_Brands!$A$2:$FZ$601,I587,$D$5)&amp;"","")</f>
        <v/>
      </c>
      <c r="K587" s="23" t="str">
        <f aca="false">IFERROR(INDEX(Clay_Brands!$A$2:$FZ$601,I587,$D$7)&amp;"","")</f>
        <v/>
      </c>
      <c r="L587" s="23" t="str">
        <f aca="false">IFERROR(INDEX(Clay_Brands!$A$2:$FZ$601,I587,$D$8)&amp;"","")</f>
        <v/>
      </c>
      <c r="M587" s="23" t="str">
        <f aca="false">IF(J587="","",IF(COUNTIF(Brand_Log!$A$2:$A$201,J587)&gt;0,"Y","N"))</f>
        <v/>
      </c>
      <c r="N587" s="34" t="str">
        <f aca="false">IF(OR(J587="",AND(LEFT(J587,6)="SAMPLE",Config!$B$19&lt;&gt;"Y")),"",IF(IFERROR(INDEX(Lists!$K$2:$K$15,MATCH(K587,Lists!$J$2:$J$15,0)),-1)=-1,"status '"&amp;K587&amp;"' is not a CONTRACTS status",IF(AND(K587="paid",COUNTIF(paid_brands!$AC$2:$AC$51,J587)=0),"status paid but no paid_brands row"&amp;IF(M587="N"," and no tracker row",""),IF(AND(IFERROR(INDEX(Lists!$K$2:$K$15,MATCH(K587,Lists!$J$2:$J$15,0)),-1)&gt;=6,M587="N"),"status "&amp;K587&amp;" but no tracker row",IF(AND(L587="Y",K587&lt;&gt;"do_not_contact"),"do_not_contact = Y but status is "&amp;K587,IF(AND(K587="do_not_contact",L587&lt;&gt;"Y"),"status do_not_contact but do_not_contact is not Y",""))))))</f>
        <v/>
      </c>
    </row>
    <row r="588" customFormat="false" ht="15" hidden="false" customHeight="false" outlineLevel="0" collapsed="false">
      <c r="B588" s="23" t="n">
        <v>567</v>
      </c>
      <c r="C588" s="23" t="str">
        <f aca="false">IFERROR(INDEX(Clay_Offices!$A$2:$FZ$601,B588,$C$5)&amp;"","")</f>
        <v/>
      </c>
      <c r="D588" s="23" t="str">
        <f aca="false">IFERROR(INDEX(Clay_Offices!$A$2:$FZ$601,B588,$C$7)&amp;"","")</f>
        <v/>
      </c>
      <c r="E588" s="23" t="str">
        <f aca="false">IFERROR(INDEX(Clay_Offices!$A$2:$FZ$601,B588,$C$8)&amp;"","")</f>
        <v/>
      </c>
      <c r="F588" s="23" t="str">
        <f aca="false">IF(C588="","",IF(COUNTIF(Office_Log!$A$2:$A$201,C588)&gt;0,"Y","N"))</f>
        <v/>
      </c>
      <c r="G588" s="34" t="str">
        <f aca="false">IF(OR(C588="",AND(LEFT(C588,6)="SAMPLE",Config!$B$19&lt;&gt;"Y")),"",IF(IFERROR(INDEX(Lists!$K$2:$K$15,MATCH(D588,Lists!$J$2:$J$15,0)),-1)=-1,"status '"&amp;D588&amp;"' is not a CONTRACTS status",IF(AND(D588="signed",COUNTIF(signed_offices!$W$2:$W$51,C588)=0),"status signed but no signed_offices row"&amp;IF(F588="N"," and no tracker row",""),IF(AND(IFERROR(INDEX(Lists!$K$2:$K$15,MATCH(D588,Lists!$J$2:$J$15,0)),-1)&gt;=6,F588="N"),"status "&amp;D588&amp;" but no tracker row",IF(AND(E588="Y",D588&lt;&gt;"do_not_contact"),"do_not_contact = Y but status is "&amp;D588,IF(AND(D588="do_not_contact",E588&lt;&gt;"Y"),"status do_not_contact but do_not_contact is not Y",""))))))</f>
        <v/>
      </c>
      <c r="I588" s="23" t="n">
        <v>567</v>
      </c>
      <c r="J588" s="23" t="str">
        <f aca="false">IFERROR(INDEX(Clay_Brands!$A$2:$FZ$601,I588,$D$5)&amp;"","")</f>
        <v/>
      </c>
      <c r="K588" s="23" t="str">
        <f aca="false">IFERROR(INDEX(Clay_Brands!$A$2:$FZ$601,I588,$D$7)&amp;"","")</f>
        <v/>
      </c>
      <c r="L588" s="23" t="str">
        <f aca="false">IFERROR(INDEX(Clay_Brands!$A$2:$FZ$601,I588,$D$8)&amp;"","")</f>
        <v/>
      </c>
      <c r="M588" s="23" t="str">
        <f aca="false">IF(J588="","",IF(COUNTIF(Brand_Log!$A$2:$A$201,J588)&gt;0,"Y","N"))</f>
        <v/>
      </c>
      <c r="N588" s="34" t="str">
        <f aca="false">IF(OR(J588="",AND(LEFT(J588,6)="SAMPLE",Config!$B$19&lt;&gt;"Y")),"",IF(IFERROR(INDEX(Lists!$K$2:$K$15,MATCH(K588,Lists!$J$2:$J$15,0)),-1)=-1,"status '"&amp;K588&amp;"' is not a CONTRACTS status",IF(AND(K588="paid",COUNTIF(paid_brands!$AC$2:$AC$51,J588)=0),"status paid but no paid_brands row"&amp;IF(M588="N"," and no tracker row",""),IF(AND(IFERROR(INDEX(Lists!$K$2:$K$15,MATCH(K588,Lists!$J$2:$J$15,0)),-1)&gt;=6,M588="N"),"status "&amp;K588&amp;" but no tracker row",IF(AND(L588="Y",K588&lt;&gt;"do_not_contact"),"do_not_contact = Y but status is "&amp;K588,IF(AND(K588="do_not_contact",L588&lt;&gt;"Y"),"status do_not_contact but do_not_contact is not Y",""))))))</f>
        <v/>
      </c>
    </row>
    <row r="589" customFormat="false" ht="15" hidden="false" customHeight="false" outlineLevel="0" collapsed="false">
      <c r="B589" s="23" t="n">
        <v>568</v>
      </c>
      <c r="C589" s="23" t="str">
        <f aca="false">IFERROR(INDEX(Clay_Offices!$A$2:$FZ$601,B589,$C$5)&amp;"","")</f>
        <v/>
      </c>
      <c r="D589" s="23" t="str">
        <f aca="false">IFERROR(INDEX(Clay_Offices!$A$2:$FZ$601,B589,$C$7)&amp;"","")</f>
        <v/>
      </c>
      <c r="E589" s="23" t="str">
        <f aca="false">IFERROR(INDEX(Clay_Offices!$A$2:$FZ$601,B589,$C$8)&amp;"","")</f>
        <v/>
      </c>
      <c r="F589" s="23" t="str">
        <f aca="false">IF(C589="","",IF(COUNTIF(Office_Log!$A$2:$A$201,C589)&gt;0,"Y","N"))</f>
        <v/>
      </c>
      <c r="G589" s="34" t="str">
        <f aca="false">IF(OR(C589="",AND(LEFT(C589,6)="SAMPLE",Config!$B$19&lt;&gt;"Y")),"",IF(IFERROR(INDEX(Lists!$K$2:$K$15,MATCH(D589,Lists!$J$2:$J$15,0)),-1)=-1,"status '"&amp;D589&amp;"' is not a CONTRACTS status",IF(AND(D589="signed",COUNTIF(signed_offices!$W$2:$W$51,C589)=0),"status signed but no signed_offices row"&amp;IF(F589="N"," and no tracker row",""),IF(AND(IFERROR(INDEX(Lists!$K$2:$K$15,MATCH(D589,Lists!$J$2:$J$15,0)),-1)&gt;=6,F589="N"),"status "&amp;D589&amp;" but no tracker row",IF(AND(E589="Y",D589&lt;&gt;"do_not_contact"),"do_not_contact = Y but status is "&amp;D589,IF(AND(D589="do_not_contact",E589&lt;&gt;"Y"),"status do_not_contact but do_not_contact is not Y",""))))))</f>
        <v/>
      </c>
      <c r="I589" s="23" t="n">
        <v>568</v>
      </c>
      <c r="J589" s="23" t="str">
        <f aca="false">IFERROR(INDEX(Clay_Brands!$A$2:$FZ$601,I589,$D$5)&amp;"","")</f>
        <v/>
      </c>
      <c r="K589" s="23" t="str">
        <f aca="false">IFERROR(INDEX(Clay_Brands!$A$2:$FZ$601,I589,$D$7)&amp;"","")</f>
        <v/>
      </c>
      <c r="L589" s="23" t="str">
        <f aca="false">IFERROR(INDEX(Clay_Brands!$A$2:$FZ$601,I589,$D$8)&amp;"","")</f>
        <v/>
      </c>
      <c r="M589" s="23" t="str">
        <f aca="false">IF(J589="","",IF(COUNTIF(Brand_Log!$A$2:$A$201,J589)&gt;0,"Y","N"))</f>
        <v/>
      </c>
      <c r="N589" s="34" t="str">
        <f aca="false">IF(OR(J589="",AND(LEFT(J589,6)="SAMPLE",Config!$B$19&lt;&gt;"Y")),"",IF(IFERROR(INDEX(Lists!$K$2:$K$15,MATCH(K589,Lists!$J$2:$J$15,0)),-1)=-1,"status '"&amp;K589&amp;"' is not a CONTRACTS status",IF(AND(K589="paid",COUNTIF(paid_brands!$AC$2:$AC$51,J589)=0),"status paid but no paid_brands row"&amp;IF(M589="N"," and no tracker row",""),IF(AND(IFERROR(INDEX(Lists!$K$2:$K$15,MATCH(K589,Lists!$J$2:$J$15,0)),-1)&gt;=6,M589="N"),"status "&amp;K589&amp;" but no tracker row",IF(AND(L589="Y",K589&lt;&gt;"do_not_contact"),"do_not_contact = Y but status is "&amp;K589,IF(AND(K589="do_not_contact",L589&lt;&gt;"Y"),"status do_not_contact but do_not_contact is not Y",""))))))</f>
        <v/>
      </c>
    </row>
    <row r="590" customFormat="false" ht="15" hidden="false" customHeight="false" outlineLevel="0" collapsed="false">
      <c r="B590" s="23" t="n">
        <v>569</v>
      </c>
      <c r="C590" s="23" t="str">
        <f aca="false">IFERROR(INDEX(Clay_Offices!$A$2:$FZ$601,B590,$C$5)&amp;"","")</f>
        <v/>
      </c>
      <c r="D590" s="23" t="str">
        <f aca="false">IFERROR(INDEX(Clay_Offices!$A$2:$FZ$601,B590,$C$7)&amp;"","")</f>
        <v/>
      </c>
      <c r="E590" s="23" t="str">
        <f aca="false">IFERROR(INDEX(Clay_Offices!$A$2:$FZ$601,B590,$C$8)&amp;"","")</f>
        <v/>
      </c>
      <c r="F590" s="23" t="str">
        <f aca="false">IF(C590="","",IF(COUNTIF(Office_Log!$A$2:$A$201,C590)&gt;0,"Y","N"))</f>
        <v/>
      </c>
      <c r="G590" s="34" t="str">
        <f aca="false">IF(OR(C590="",AND(LEFT(C590,6)="SAMPLE",Config!$B$19&lt;&gt;"Y")),"",IF(IFERROR(INDEX(Lists!$K$2:$K$15,MATCH(D590,Lists!$J$2:$J$15,0)),-1)=-1,"status '"&amp;D590&amp;"' is not a CONTRACTS status",IF(AND(D590="signed",COUNTIF(signed_offices!$W$2:$W$51,C590)=0),"status signed but no signed_offices row"&amp;IF(F590="N"," and no tracker row",""),IF(AND(IFERROR(INDEX(Lists!$K$2:$K$15,MATCH(D590,Lists!$J$2:$J$15,0)),-1)&gt;=6,F590="N"),"status "&amp;D590&amp;" but no tracker row",IF(AND(E590="Y",D590&lt;&gt;"do_not_contact"),"do_not_contact = Y but status is "&amp;D590,IF(AND(D590="do_not_contact",E590&lt;&gt;"Y"),"status do_not_contact but do_not_contact is not Y",""))))))</f>
        <v/>
      </c>
      <c r="I590" s="23" t="n">
        <v>569</v>
      </c>
      <c r="J590" s="23" t="str">
        <f aca="false">IFERROR(INDEX(Clay_Brands!$A$2:$FZ$601,I590,$D$5)&amp;"","")</f>
        <v/>
      </c>
      <c r="K590" s="23" t="str">
        <f aca="false">IFERROR(INDEX(Clay_Brands!$A$2:$FZ$601,I590,$D$7)&amp;"","")</f>
        <v/>
      </c>
      <c r="L590" s="23" t="str">
        <f aca="false">IFERROR(INDEX(Clay_Brands!$A$2:$FZ$601,I590,$D$8)&amp;"","")</f>
        <v/>
      </c>
      <c r="M590" s="23" t="str">
        <f aca="false">IF(J590="","",IF(COUNTIF(Brand_Log!$A$2:$A$201,J590)&gt;0,"Y","N"))</f>
        <v/>
      </c>
      <c r="N590" s="34" t="str">
        <f aca="false">IF(OR(J590="",AND(LEFT(J590,6)="SAMPLE",Config!$B$19&lt;&gt;"Y")),"",IF(IFERROR(INDEX(Lists!$K$2:$K$15,MATCH(K590,Lists!$J$2:$J$15,0)),-1)=-1,"status '"&amp;K590&amp;"' is not a CONTRACTS status",IF(AND(K590="paid",COUNTIF(paid_brands!$AC$2:$AC$51,J590)=0),"status paid but no paid_brands row"&amp;IF(M590="N"," and no tracker row",""),IF(AND(IFERROR(INDEX(Lists!$K$2:$K$15,MATCH(K590,Lists!$J$2:$J$15,0)),-1)&gt;=6,M590="N"),"status "&amp;K590&amp;" but no tracker row",IF(AND(L590="Y",K590&lt;&gt;"do_not_contact"),"do_not_contact = Y but status is "&amp;K590,IF(AND(K590="do_not_contact",L590&lt;&gt;"Y"),"status do_not_contact but do_not_contact is not Y",""))))))</f>
        <v/>
      </c>
    </row>
    <row r="591" customFormat="false" ht="15" hidden="false" customHeight="false" outlineLevel="0" collapsed="false">
      <c r="B591" s="23" t="n">
        <v>570</v>
      </c>
      <c r="C591" s="23" t="str">
        <f aca="false">IFERROR(INDEX(Clay_Offices!$A$2:$FZ$601,B591,$C$5)&amp;"","")</f>
        <v/>
      </c>
      <c r="D591" s="23" t="str">
        <f aca="false">IFERROR(INDEX(Clay_Offices!$A$2:$FZ$601,B591,$C$7)&amp;"","")</f>
        <v/>
      </c>
      <c r="E591" s="23" t="str">
        <f aca="false">IFERROR(INDEX(Clay_Offices!$A$2:$FZ$601,B591,$C$8)&amp;"","")</f>
        <v/>
      </c>
      <c r="F591" s="23" t="str">
        <f aca="false">IF(C591="","",IF(COUNTIF(Office_Log!$A$2:$A$201,C591)&gt;0,"Y","N"))</f>
        <v/>
      </c>
      <c r="G591" s="34" t="str">
        <f aca="false">IF(OR(C591="",AND(LEFT(C591,6)="SAMPLE",Config!$B$19&lt;&gt;"Y")),"",IF(IFERROR(INDEX(Lists!$K$2:$K$15,MATCH(D591,Lists!$J$2:$J$15,0)),-1)=-1,"status '"&amp;D591&amp;"' is not a CONTRACTS status",IF(AND(D591="signed",COUNTIF(signed_offices!$W$2:$W$51,C591)=0),"status signed but no signed_offices row"&amp;IF(F591="N"," and no tracker row",""),IF(AND(IFERROR(INDEX(Lists!$K$2:$K$15,MATCH(D591,Lists!$J$2:$J$15,0)),-1)&gt;=6,F591="N"),"status "&amp;D591&amp;" but no tracker row",IF(AND(E591="Y",D591&lt;&gt;"do_not_contact"),"do_not_contact = Y but status is "&amp;D591,IF(AND(D591="do_not_contact",E591&lt;&gt;"Y"),"status do_not_contact but do_not_contact is not Y",""))))))</f>
        <v/>
      </c>
      <c r="I591" s="23" t="n">
        <v>570</v>
      </c>
      <c r="J591" s="23" t="str">
        <f aca="false">IFERROR(INDEX(Clay_Brands!$A$2:$FZ$601,I591,$D$5)&amp;"","")</f>
        <v/>
      </c>
      <c r="K591" s="23" t="str">
        <f aca="false">IFERROR(INDEX(Clay_Brands!$A$2:$FZ$601,I591,$D$7)&amp;"","")</f>
        <v/>
      </c>
      <c r="L591" s="23" t="str">
        <f aca="false">IFERROR(INDEX(Clay_Brands!$A$2:$FZ$601,I591,$D$8)&amp;"","")</f>
        <v/>
      </c>
      <c r="M591" s="23" t="str">
        <f aca="false">IF(J591="","",IF(COUNTIF(Brand_Log!$A$2:$A$201,J591)&gt;0,"Y","N"))</f>
        <v/>
      </c>
      <c r="N591" s="34" t="str">
        <f aca="false">IF(OR(J591="",AND(LEFT(J591,6)="SAMPLE",Config!$B$19&lt;&gt;"Y")),"",IF(IFERROR(INDEX(Lists!$K$2:$K$15,MATCH(K591,Lists!$J$2:$J$15,0)),-1)=-1,"status '"&amp;K591&amp;"' is not a CONTRACTS status",IF(AND(K591="paid",COUNTIF(paid_brands!$AC$2:$AC$51,J591)=0),"status paid but no paid_brands row"&amp;IF(M591="N"," and no tracker row",""),IF(AND(IFERROR(INDEX(Lists!$K$2:$K$15,MATCH(K591,Lists!$J$2:$J$15,0)),-1)&gt;=6,M591="N"),"status "&amp;K591&amp;" but no tracker row",IF(AND(L591="Y",K591&lt;&gt;"do_not_contact"),"do_not_contact = Y but status is "&amp;K591,IF(AND(K591="do_not_contact",L591&lt;&gt;"Y"),"status do_not_contact but do_not_contact is not Y",""))))))</f>
        <v/>
      </c>
    </row>
    <row r="592" customFormat="false" ht="15" hidden="false" customHeight="false" outlineLevel="0" collapsed="false">
      <c r="B592" s="23" t="n">
        <v>571</v>
      </c>
      <c r="C592" s="23" t="str">
        <f aca="false">IFERROR(INDEX(Clay_Offices!$A$2:$FZ$601,B592,$C$5)&amp;"","")</f>
        <v/>
      </c>
      <c r="D592" s="23" t="str">
        <f aca="false">IFERROR(INDEX(Clay_Offices!$A$2:$FZ$601,B592,$C$7)&amp;"","")</f>
        <v/>
      </c>
      <c r="E592" s="23" t="str">
        <f aca="false">IFERROR(INDEX(Clay_Offices!$A$2:$FZ$601,B592,$C$8)&amp;"","")</f>
        <v/>
      </c>
      <c r="F592" s="23" t="str">
        <f aca="false">IF(C592="","",IF(COUNTIF(Office_Log!$A$2:$A$201,C592)&gt;0,"Y","N"))</f>
        <v/>
      </c>
      <c r="G592" s="34" t="str">
        <f aca="false">IF(OR(C592="",AND(LEFT(C592,6)="SAMPLE",Config!$B$19&lt;&gt;"Y")),"",IF(IFERROR(INDEX(Lists!$K$2:$K$15,MATCH(D592,Lists!$J$2:$J$15,0)),-1)=-1,"status '"&amp;D592&amp;"' is not a CONTRACTS status",IF(AND(D592="signed",COUNTIF(signed_offices!$W$2:$W$51,C592)=0),"status signed but no signed_offices row"&amp;IF(F592="N"," and no tracker row",""),IF(AND(IFERROR(INDEX(Lists!$K$2:$K$15,MATCH(D592,Lists!$J$2:$J$15,0)),-1)&gt;=6,F592="N"),"status "&amp;D592&amp;" but no tracker row",IF(AND(E592="Y",D592&lt;&gt;"do_not_contact"),"do_not_contact = Y but status is "&amp;D592,IF(AND(D592="do_not_contact",E592&lt;&gt;"Y"),"status do_not_contact but do_not_contact is not Y",""))))))</f>
        <v/>
      </c>
      <c r="I592" s="23" t="n">
        <v>571</v>
      </c>
      <c r="J592" s="23" t="str">
        <f aca="false">IFERROR(INDEX(Clay_Brands!$A$2:$FZ$601,I592,$D$5)&amp;"","")</f>
        <v/>
      </c>
      <c r="K592" s="23" t="str">
        <f aca="false">IFERROR(INDEX(Clay_Brands!$A$2:$FZ$601,I592,$D$7)&amp;"","")</f>
        <v/>
      </c>
      <c r="L592" s="23" t="str">
        <f aca="false">IFERROR(INDEX(Clay_Brands!$A$2:$FZ$601,I592,$D$8)&amp;"","")</f>
        <v/>
      </c>
      <c r="M592" s="23" t="str">
        <f aca="false">IF(J592="","",IF(COUNTIF(Brand_Log!$A$2:$A$201,J592)&gt;0,"Y","N"))</f>
        <v/>
      </c>
      <c r="N592" s="34" t="str">
        <f aca="false">IF(OR(J592="",AND(LEFT(J592,6)="SAMPLE",Config!$B$19&lt;&gt;"Y")),"",IF(IFERROR(INDEX(Lists!$K$2:$K$15,MATCH(K592,Lists!$J$2:$J$15,0)),-1)=-1,"status '"&amp;K592&amp;"' is not a CONTRACTS status",IF(AND(K592="paid",COUNTIF(paid_brands!$AC$2:$AC$51,J592)=0),"status paid but no paid_brands row"&amp;IF(M592="N"," and no tracker row",""),IF(AND(IFERROR(INDEX(Lists!$K$2:$K$15,MATCH(K592,Lists!$J$2:$J$15,0)),-1)&gt;=6,M592="N"),"status "&amp;K592&amp;" but no tracker row",IF(AND(L592="Y",K592&lt;&gt;"do_not_contact"),"do_not_contact = Y but status is "&amp;K592,IF(AND(K592="do_not_contact",L592&lt;&gt;"Y"),"status do_not_contact but do_not_contact is not Y",""))))))</f>
        <v/>
      </c>
    </row>
    <row r="593" customFormat="false" ht="15" hidden="false" customHeight="false" outlineLevel="0" collapsed="false">
      <c r="B593" s="23" t="n">
        <v>572</v>
      </c>
      <c r="C593" s="23" t="str">
        <f aca="false">IFERROR(INDEX(Clay_Offices!$A$2:$FZ$601,B593,$C$5)&amp;"","")</f>
        <v/>
      </c>
      <c r="D593" s="23" t="str">
        <f aca="false">IFERROR(INDEX(Clay_Offices!$A$2:$FZ$601,B593,$C$7)&amp;"","")</f>
        <v/>
      </c>
      <c r="E593" s="23" t="str">
        <f aca="false">IFERROR(INDEX(Clay_Offices!$A$2:$FZ$601,B593,$C$8)&amp;"","")</f>
        <v/>
      </c>
      <c r="F593" s="23" t="str">
        <f aca="false">IF(C593="","",IF(COUNTIF(Office_Log!$A$2:$A$201,C593)&gt;0,"Y","N"))</f>
        <v/>
      </c>
      <c r="G593" s="34" t="str">
        <f aca="false">IF(OR(C593="",AND(LEFT(C593,6)="SAMPLE",Config!$B$19&lt;&gt;"Y")),"",IF(IFERROR(INDEX(Lists!$K$2:$K$15,MATCH(D593,Lists!$J$2:$J$15,0)),-1)=-1,"status '"&amp;D593&amp;"' is not a CONTRACTS status",IF(AND(D593="signed",COUNTIF(signed_offices!$W$2:$W$51,C593)=0),"status signed but no signed_offices row"&amp;IF(F593="N"," and no tracker row",""),IF(AND(IFERROR(INDEX(Lists!$K$2:$K$15,MATCH(D593,Lists!$J$2:$J$15,0)),-1)&gt;=6,F593="N"),"status "&amp;D593&amp;" but no tracker row",IF(AND(E593="Y",D593&lt;&gt;"do_not_contact"),"do_not_contact = Y but status is "&amp;D593,IF(AND(D593="do_not_contact",E593&lt;&gt;"Y"),"status do_not_contact but do_not_contact is not Y",""))))))</f>
        <v/>
      </c>
      <c r="I593" s="23" t="n">
        <v>572</v>
      </c>
      <c r="J593" s="23" t="str">
        <f aca="false">IFERROR(INDEX(Clay_Brands!$A$2:$FZ$601,I593,$D$5)&amp;"","")</f>
        <v/>
      </c>
      <c r="K593" s="23" t="str">
        <f aca="false">IFERROR(INDEX(Clay_Brands!$A$2:$FZ$601,I593,$D$7)&amp;"","")</f>
        <v/>
      </c>
      <c r="L593" s="23" t="str">
        <f aca="false">IFERROR(INDEX(Clay_Brands!$A$2:$FZ$601,I593,$D$8)&amp;"","")</f>
        <v/>
      </c>
      <c r="M593" s="23" t="str">
        <f aca="false">IF(J593="","",IF(COUNTIF(Brand_Log!$A$2:$A$201,J593)&gt;0,"Y","N"))</f>
        <v/>
      </c>
      <c r="N593" s="34" t="str">
        <f aca="false">IF(OR(J593="",AND(LEFT(J593,6)="SAMPLE",Config!$B$19&lt;&gt;"Y")),"",IF(IFERROR(INDEX(Lists!$K$2:$K$15,MATCH(K593,Lists!$J$2:$J$15,0)),-1)=-1,"status '"&amp;K593&amp;"' is not a CONTRACTS status",IF(AND(K593="paid",COUNTIF(paid_brands!$AC$2:$AC$51,J593)=0),"status paid but no paid_brands row"&amp;IF(M593="N"," and no tracker row",""),IF(AND(IFERROR(INDEX(Lists!$K$2:$K$15,MATCH(K593,Lists!$J$2:$J$15,0)),-1)&gt;=6,M593="N"),"status "&amp;K593&amp;" but no tracker row",IF(AND(L593="Y",K593&lt;&gt;"do_not_contact"),"do_not_contact = Y but status is "&amp;K593,IF(AND(K593="do_not_contact",L593&lt;&gt;"Y"),"status do_not_contact but do_not_contact is not Y",""))))))</f>
        <v/>
      </c>
    </row>
    <row r="594" customFormat="false" ht="15" hidden="false" customHeight="false" outlineLevel="0" collapsed="false">
      <c r="B594" s="23" t="n">
        <v>573</v>
      </c>
      <c r="C594" s="23" t="str">
        <f aca="false">IFERROR(INDEX(Clay_Offices!$A$2:$FZ$601,B594,$C$5)&amp;"","")</f>
        <v/>
      </c>
      <c r="D594" s="23" t="str">
        <f aca="false">IFERROR(INDEX(Clay_Offices!$A$2:$FZ$601,B594,$C$7)&amp;"","")</f>
        <v/>
      </c>
      <c r="E594" s="23" t="str">
        <f aca="false">IFERROR(INDEX(Clay_Offices!$A$2:$FZ$601,B594,$C$8)&amp;"","")</f>
        <v/>
      </c>
      <c r="F594" s="23" t="str">
        <f aca="false">IF(C594="","",IF(COUNTIF(Office_Log!$A$2:$A$201,C594)&gt;0,"Y","N"))</f>
        <v/>
      </c>
      <c r="G594" s="34" t="str">
        <f aca="false">IF(OR(C594="",AND(LEFT(C594,6)="SAMPLE",Config!$B$19&lt;&gt;"Y")),"",IF(IFERROR(INDEX(Lists!$K$2:$K$15,MATCH(D594,Lists!$J$2:$J$15,0)),-1)=-1,"status '"&amp;D594&amp;"' is not a CONTRACTS status",IF(AND(D594="signed",COUNTIF(signed_offices!$W$2:$W$51,C594)=0),"status signed but no signed_offices row"&amp;IF(F594="N"," and no tracker row",""),IF(AND(IFERROR(INDEX(Lists!$K$2:$K$15,MATCH(D594,Lists!$J$2:$J$15,0)),-1)&gt;=6,F594="N"),"status "&amp;D594&amp;" but no tracker row",IF(AND(E594="Y",D594&lt;&gt;"do_not_contact"),"do_not_contact = Y but status is "&amp;D594,IF(AND(D594="do_not_contact",E594&lt;&gt;"Y"),"status do_not_contact but do_not_contact is not Y",""))))))</f>
        <v/>
      </c>
      <c r="I594" s="23" t="n">
        <v>573</v>
      </c>
      <c r="J594" s="23" t="str">
        <f aca="false">IFERROR(INDEX(Clay_Brands!$A$2:$FZ$601,I594,$D$5)&amp;"","")</f>
        <v/>
      </c>
      <c r="K594" s="23" t="str">
        <f aca="false">IFERROR(INDEX(Clay_Brands!$A$2:$FZ$601,I594,$D$7)&amp;"","")</f>
        <v/>
      </c>
      <c r="L594" s="23" t="str">
        <f aca="false">IFERROR(INDEX(Clay_Brands!$A$2:$FZ$601,I594,$D$8)&amp;"","")</f>
        <v/>
      </c>
      <c r="M594" s="23" t="str">
        <f aca="false">IF(J594="","",IF(COUNTIF(Brand_Log!$A$2:$A$201,J594)&gt;0,"Y","N"))</f>
        <v/>
      </c>
      <c r="N594" s="34" t="str">
        <f aca="false">IF(OR(J594="",AND(LEFT(J594,6)="SAMPLE",Config!$B$19&lt;&gt;"Y")),"",IF(IFERROR(INDEX(Lists!$K$2:$K$15,MATCH(K594,Lists!$J$2:$J$15,0)),-1)=-1,"status '"&amp;K594&amp;"' is not a CONTRACTS status",IF(AND(K594="paid",COUNTIF(paid_brands!$AC$2:$AC$51,J594)=0),"status paid but no paid_brands row"&amp;IF(M594="N"," and no tracker row",""),IF(AND(IFERROR(INDEX(Lists!$K$2:$K$15,MATCH(K594,Lists!$J$2:$J$15,0)),-1)&gt;=6,M594="N"),"status "&amp;K594&amp;" but no tracker row",IF(AND(L594="Y",K594&lt;&gt;"do_not_contact"),"do_not_contact = Y but status is "&amp;K594,IF(AND(K594="do_not_contact",L594&lt;&gt;"Y"),"status do_not_contact but do_not_contact is not Y",""))))))</f>
        <v/>
      </c>
    </row>
    <row r="595" customFormat="false" ht="15" hidden="false" customHeight="false" outlineLevel="0" collapsed="false">
      <c r="B595" s="23" t="n">
        <v>574</v>
      </c>
      <c r="C595" s="23" t="str">
        <f aca="false">IFERROR(INDEX(Clay_Offices!$A$2:$FZ$601,B595,$C$5)&amp;"","")</f>
        <v/>
      </c>
      <c r="D595" s="23" t="str">
        <f aca="false">IFERROR(INDEX(Clay_Offices!$A$2:$FZ$601,B595,$C$7)&amp;"","")</f>
        <v/>
      </c>
      <c r="E595" s="23" t="str">
        <f aca="false">IFERROR(INDEX(Clay_Offices!$A$2:$FZ$601,B595,$C$8)&amp;"","")</f>
        <v/>
      </c>
      <c r="F595" s="23" t="str">
        <f aca="false">IF(C595="","",IF(COUNTIF(Office_Log!$A$2:$A$201,C595)&gt;0,"Y","N"))</f>
        <v/>
      </c>
      <c r="G595" s="34" t="str">
        <f aca="false">IF(OR(C595="",AND(LEFT(C595,6)="SAMPLE",Config!$B$19&lt;&gt;"Y")),"",IF(IFERROR(INDEX(Lists!$K$2:$K$15,MATCH(D595,Lists!$J$2:$J$15,0)),-1)=-1,"status '"&amp;D595&amp;"' is not a CONTRACTS status",IF(AND(D595="signed",COUNTIF(signed_offices!$W$2:$W$51,C595)=0),"status signed but no signed_offices row"&amp;IF(F595="N"," and no tracker row",""),IF(AND(IFERROR(INDEX(Lists!$K$2:$K$15,MATCH(D595,Lists!$J$2:$J$15,0)),-1)&gt;=6,F595="N"),"status "&amp;D595&amp;" but no tracker row",IF(AND(E595="Y",D595&lt;&gt;"do_not_contact"),"do_not_contact = Y but status is "&amp;D595,IF(AND(D595="do_not_contact",E595&lt;&gt;"Y"),"status do_not_contact but do_not_contact is not Y",""))))))</f>
        <v/>
      </c>
      <c r="I595" s="23" t="n">
        <v>574</v>
      </c>
      <c r="J595" s="23" t="str">
        <f aca="false">IFERROR(INDEX(Clay_Brands!$A$2:$FZ$601,I595,$D$5)&amp;"","")</f>
        <v/>
      </c>
      <c r="K595" s="23" t="str">
        <f aca="false">IFERROR(INDEX(Clay_Brands!$A$2:$FZ$601,I595,$D$7)&amp;"","")</f>
        <v/>
      </c>
      <c r="L595" s="23" t="str">
        <f aca="false">IFERROR(INDEX(Clay_Brands!$A$2:$FZ$601,I595,$D$8)&amp;"","")</f>
        <v/>
      </c>
      <c r="M595" s="23" t="str">
        <f aca="false">IF(J595="","",IF(COUNTIF(Brand_Log!$A$2:$A$201,J595)&gt;0,"Y","N"))</f>
        <v/>
      </c>
      <c r="N595" s="34" t="str">
        <f aca="false">IF(OR(J595="",AND(LEFT(J595,6)="SAMPLE",Config!$B$19&lt;&gt;"Y")),"",IF(IFERROR(INDEX(Lists!$K$2:$K$15,MATCH(K595,Lists!$J$2:$J$15,0)),-1)=-1,"status '"&amp;K595&amp;"' is not a CONTRACTS status",IF(AND(K595="paid",COUNTIF(paid_brands!$AC$2:$AC$51,J595)=0),"status paid but no paid_brands row"&amp;IF(M595="N"," and no tracker row",""),IF(AND(IFERROR(INDEX(Lists!$K$2:$K$15,MATCH(K595,Lists!$J$2:$J$15,0)),-1)&gt;=6,M595="N"),"status "&amp;K595&amp;" but no tracker row",IF(AND(L595="Y",K595&lt;&gt;"do_not_contact"),"do_not_contact = Y but status is "&amp;K595,IF(AND(K595="do_not_contact",L595&lt;&gt;"Y"),"status do_not_contact but do_not_contact is not Y",""))))))</f>
        <v/>
      </c>
    </row>
    <row r="596" customFormat="false" ht="15" hidden="false" customHeight="false" outlineLevel="0" collapsed="false">
      <c r="B596" s="23" t="n">
        <v>575</v>
      </c>
      <c r="C596" s="23" t="str">
        <f aca="false">IFERROR(INDEX(Clay_Offices!$A$2:$FZ$601,B596,$C$5)&amp;"","")</f>
        <v/>
      </c>
      <c r="D596" s="23" t="str">
        <f aca="false">IFERROR(INDEX(Clay_Offices!$A$2:$FZ$601,B596,$C$7)&amp;"","")</f>
        <v/>
      </c>
      <c r="E596" s="23" t="str">
        <f aca="false">IFERROR(INDEX(Clay_Offices!$A$2:$FZ$601,B596,$C$8)&amp;"","")</f>
        <v/>
      </c>
      <c r="F596" s="23" t="str">
        <f aca="false">IF(C596="","",IF(COUNTIF(Office_Log!$A$2:$A$201,C596)&gt;0,"Y","N"))</f>
        <v/>
      </c>
      <c r="G596" s="34" t="str">
        <f aca="false">IF(OR(C596="",AND(LEFT(C596,6)="SAMPLE",Config!$B$19&lt;&gt;"Y")),"",IF(IFERROR(INDEX(Lists!$K$2:$K$15,MATCH(D596,Lists!$J$2:$J$15,0)),-1)=-1,"status '"&amp;D596&amp;"' is not a CONTRACTS status",IF(AND(D596="signed",COUNTIF(signed_offices!$W$2:$W$51,C596)=0),"status signed but no signed_offices row"&amp;IF(F596="N"," and no tracker row",""),IF(AND(IFERROR(INDEX(Lists!$K$2:$K$15,MATCH(D596,Lists!$J$2:$J$15,0)),-1)&gt;=6,F596="N"),"status "&amp;D596&amp;" but no tracker row",IF(AND(E596="Y",D596&lt;&gt;"do_not_contact"),"do_not_contact = Y but status is "&amp;D596,IF(AND(D596="do_not_contact",E596&lt;&gt;"Y"),"status do_not_contact but do_not_contact is not Y",""))))))</f>
        <v/>
      </c>
      <c r="I596" s="23" t="n">
        <v>575</v>
      </c>
      <c r="J596" s="23" t="str">
        <f aca="false">IFERROR(INDEX(Clay_Brands!$A$2:$FZ$601,I596,$D$5)&amp;"","")</f>
        <v/>
      </c>
      <c r="K596" s="23" t="str">
        <f aca="false">IFERROR(INDEX(Clay_Brands!$A$2:$FZ$601,I596,$D$7)&amp;"","")</f>
        <v/>
      </c>
      <c r="L596" s="23" t="str">
        <f aca="false">IFERROR(INDEX(Clay_Brands!$A$2:$FZ$601,I596,$D$8)&amp;"","")</f>
        <v/>
      </c>
      <c r="M596" s="23" t="str">
        <f aca="false">IF(J596="","",IF(COUNTIF(Brand_Log!$A$2:$A$201,J596)&gt;0,"Y","N"))</f>
        <v/>
      </c>
      <c r="N596" s="34" t="str">
        <f aca="false">IF(OR(J596="",AND(LEFT(J596,6)="SAMPLE",Config!$B$19&lt;&gt;"Y")),"",IF(IFERROR(INDEX(Lists!$K$2:$K$15,MATCH(K596,Lists!$J$2:$J$15,0)),-1)=-1,"status '"&amp;K596&amp;"' is not a CONTRACTS status",IF(AND(K596="paid",COUNTIF(paid_brands!$AC$2:$AC$51,J596)=0),"status paid but no paid_brands row"&amp;IF(M596="N"," and no tracker row",""),IF(AND(IFERROR(INDEX(Lists!$K$2:$K$15,MATCH(K596,Lists!$J$2:$J$15,0)),-1)&gt;=6,M596="N"),"status "&amp;K596&amp;" but no tracker row",IF(AND(L596="Y",K596&lt;&gt;"do_not_contact"),"do_not_contact = Y but status is "&amp;K596,IF(AND(K596="do_not_contact",L596&lt;&gt;"Y"),"status do_not_contact but do_not_contact is not Y",""))))))</f>
        <v/>
      </c>
    </row>
    <row r="597" customFormat="false" ht="15" hidden="false" customHeight="false" outlineLevel="0" collapsed="false">
      <c r="B597" s="23" t="n">
        <v>576</v>
      </c>
      <c r="C597" s="23" t="str">
        <f aca="false">IFERROR(INDEX(Clay_Offices!$A$2:$FZ$601,B597,$C$5)&amp;"","")</f>
        <v/>
      </c>
      <c r="D597" s="23" t="str">
        <f aca="false">IFERROR(INDEX(Clay_Offices!$A$2:$FZ$601,B597,$C$7)&amp;"","")</f>
        <v/>
      </c>
      <c r="E597" s="23" t="str">
        <f aca="false">IFERROR(INDEX(Clay_Offices!$A$2:$FZ$601,B597,$C$8)&amp;"","")</f>
        <v/>
      </c>
      <c r="F597" s="23" t="str">
        <f aca="false">IF(C597="","",IF(COUNTIF(Office_Log!$A$2:$A$201,C597)&gt;0,"Y","N"))</f>
        <v/>
      </c>
      <c r="G597" s="34" t="str">
        <f aca="false">IF(OR(C597="",AND(LEFT(C597,6)="SAMPLE",Config!$B$19&lt;&gt;"Y")),"",IF(IFERROR(INDEX(Lists!$K$2:$K$15,MATCH(D597,Lists!$J$2:$J$15,0)),-1)=-1,"status '"&amp;D597&amp;"' is not a CONTRACTS status",IF(AND(D597="signed",COUNTIF(signed_offices!$W$2:$W$51,C597)=0),"status signed but no signed_offices row"&amp;IF(F597="N"," and no tracker row",""),IF(AND(IFERROR(INDEX(Lists!$K$2:$K$15,MATCH(D597,Lists!$J$2:$J$15,0)),-1)&gt;=6,F597="N"),"status "&amp;D597&amp;" but no tracker row",IF(AND(E597="Y",D597&lt;&gt;"do_not_contact"),"do_not_contact = Y but status is "&amp;D597,IF(AND(D597="do_not_contact",E597&lt;&gt;"Y"),"status do_not_contact but do_not_contact is not Y",""))))))</f>
        <v/>
      </c>
      <c r="I597" s="23" t="n">
        <v>576</v>
      </c>
      <c r="J597" s="23" t="str">
        <f aca="false">IFERROR(INDEX(Clay_Brands!$A$2:$FZ$601,I597,$D$5)&amp;"","")</f>
        <v/>
      </c>
      <c r="K597" s="23" t="str">
        <f aca="false">IFERROR(INDEX(Clay_Brands!$A$2:$FZ$601,I597,$D$7)&amp;"","")</f>
        <v/>
      </c>
      <c r="L597" s="23" t="str">
        <f aca="false">IFERROR(INDEX(Clay_Brands!$A$2:$FZ$601,I597,$D$8)&amp;"","")</f>
        <v/>
      </c>
      <c r="M597" s="23" t="str">
        <f aca="false">IF(J597="","",IF(COUNTIF(Brand_Log!$A$2:$A$201,J597)&gt;0,"Y","N"))</f>
        <v/>
      </c>
      <c r="N597" s="34" t="str">
        <f aca="false">IF(OR(J597="",AND(LEFT(J597,6)="SAMPLE",Config!$B$19&lt;&gt;"Y")),"",IF(IFERROR(INDEX(Lists!$K$2:$K$15,MATCH(K597,Lists!$J$2:$J$15,0)),-1)=-1,"status '"&amp;K597&amp;"' is not a CONTRACTS status",IF(AND(K597="paid",COUNTIF(paid_brands!$AC$2:$AC$51,J597)=0),"status paid but no paid_brands row"&amp;IF(M597="N"," and no tracker row",""),IF(AND(IFERROR(INDEX(Lists!$K$2:$K$15,MATCH(K597,Lists!$J$2:$J$15,0)),-1)&gt;=6,M597="N"),"status "&amp;K597&amp;" but no tracker row",IF(AND(L597="Y",K597&lt;&gt;"do_not_contact"),"do_not_contact = Y but status is "&amp;K597,IF(AND(K597="do_not_contact",L597&lt;&gt;"Y"),"status do_not_contact but do_not_contact is not Y",""))))))</f>
        <v/>
      </c>
    </row>
    <row r="598" customFormat="false" ht="15" hidden="false" customHeight="false" outlineLevel="0" collapsed="false">
      <c r="B598" s="23" t="n">
        <v>577</v>
      </c>
      <c r="C598" s="23" t="str">
        <f aca="false">IFERROR(INDEX(Clay_Offices!$A$2:$FZ$601,B598,$C$5)&amp;"","")</f>
        <v/>
      </c>
      <c r="D598" s="23" t="str">
        <f aca="false">IFERROR(INDEX(Clay_Offices!$A$2:$FZ$601,B598,$C$7)&amp;"","")</f>
        <v/>
      </c>
      <c r="E598" s="23" t="str">
        <f aca="false">IFERROR(INDEX(Clay_Offices!$A$2:$FZ$601,B598,$C$8)&amp;"","")</f>
        <v/>
      </c>
      <c r="F598" s="23" t="str">
        <f aca="false">IF(C598="","",IF(COUNTIF(Office_Log!$A$2:$A$201,C598)&gt;0,"Y","N"))</f>
        <v/>
      </c>
      <c r="G598" s="34" t="str">
        <f aca="false">IF(OR(C598="",AND(LEFT(C598,6)="SAMPLE",Config!$B$19&lt;&gt;"Y")),"",IF(IFERROR(INDEX(Lists!$K$2:$K$15,MATCH(D598,Lists!$J$2:$J$15,0)),-1)=-1,"status '"&amp;D598&amp;"' is not a CONTRACTS status",IF(AND(D598="signed",COUNTIF(signed_offices!$W$2:$W$51,C598)=0),"status signed but no signed_offices row"&amp;IF(F598="N"," and no tracker row",""),IF(AND(IFERROR(INDEX(Lists!$K$2:$K$15,MATCH(D598,Lists!$J$2:$J$15,0)),-1)&gt;=6,F598="N"),"status "&amp;D598&amp;" but no tracker row",IF(AND(E598="Y",D598&lt;&gt;"do_not_contact"),"do_not_contact = Y but status is "&amp;D598,IF(AND(D598="do_not_contact",E598&lt;&gt;"Y"),"status do_not_contact but do_not_contact is not Y",""))))))</f>
        <v/>
      </c>
      <c r="I598" s="23" t="n">
        <v>577</v>
      </c>
      <c r="J598" s="23" t="str">
        <f aca="false">IFERROR(INDEX(Clay_Brands!$A$2:$FZ$601,I598,$D$5)&amp;"","")</f>
        <v/>
      </c>
      <c r="K598" s="23" t="str">
        <f aca="false">IFERROR(INDEX(Clay_Brands!$A$2:$FZ$601,I598,$D$7)&amp;"","")</f>
        <v/>
      </c>
      <c r="L598" s="23" t="str">
        <f aca="false">IFERROR(INDEX(Clay_Brands!$A$2:$FZ$601,I598,$D$8)&amp;"","")</f>
        <v/>
      </c>
      <c r="M598" s="23" t="str">
        <f aca="false">IF(J598="","",IF(COUNTIF(Brand_Log!$A$2:$A$201,J598)&gt;0,"Y","N"))</f>
        <v/>
      </c>
      <c r="N598" s="34" t="str">
        <f aca="false">IF(OR(J598="",AND(LEFT(J598,6)="SAMPLE",Config!$B$19&lt;&gt;"Y")),"",IF(IFERROR(INDEX(Lists!$K$2:$K$15,MATCH(K598,Lists!$J$2:$J$15,0)),-1)=-1,"status '"&amp;K598&amp;"' is not a CONTRACTS status",IF(AND(K598="paid",COUNTIF(paid_brands!$AC$2:$AC$51,J598)=0),"status paid but no paid_brands row"&amp;IF(M598="N"," and no tracker row",""),IF(AND(IFERROR(INDEX(Lists!$K$2:$K$15,MATCH(K598,Lists!$J$2:$J$15,0)),-1)&gt;=6,M598="N"),"status "&amp;K598&amp;" but no tracker row",IF(AND(L598="Y",K598&lt;&gt;"do_not_contact"),"do_not_contact = Y but status is "&amp;K598,IF(AND(K598="do_not_contact",L598&lt;&gt;"Y"),"status do_not_contact but do_not_contact is not Y",""))))))</f>
        <v/>
      </c>
    </row>
    <row r="599" customFormat="false" ht="15" hidden="false" customHeight="false" outlineLevel="0" collapsed="false">
      <c r="B599" s="23" t="n">
        <v>578</v>
      </c>
      <c r="C599" s="23" t="str">
        <f aca="false">IFERROR(INDEX(Clay_Offices!$A$2:$FZ$601,B599,$C$5)&amp;"","")</f>
        <v/>
      </c>
      <c r="D599" s="23" t="str">
        <f aca="false">IFERROR(INDEX(Clay_Offices!$A$2:$FZ$601,B599,$C$7)&amp;"","")</f>
        <v/>
      </c>
      <c r="E599" s="23" t="str">
        <f aca="false">IFERROR(INDEX(Clay_Offices!$A$2:$FZ$601,B599,$C$8)&amp;"","")</f>
        <v/>
      </c>
      <c r="F599" s="23" t="str">
        <f aca="false">IF(C599="","",IF(COUNTIF(Office_Log!$A$2:$A$201,C599)&gt;0,"Y","N"))</f>
        <v/>
      </c>
      <c r="G599" s="34" t="str">
        <f aca="false">IF(OR(C599="",AND(LEFT(C599,6)="SAMPLE",Config!$B$19&lt;&gt;"Y")),"",IF(IFERROR(INDEX(Lists!$K$2:$K$15,MATCH(D599,Lists!$J$2:$J$15,0)),-1)=-1,"status '"&amp;D599&amp;"' is not a CONTRACTS status",IF(AND(D599="signed",COUNTIF(signed_offices!$W$2:$W$51,C599)=0),"status signed but no signed_offices row"&amp;IF(F599="N"," and no tracker row",""),IF(AND(IFERROR(INDEX(Lists!$K$2:$K$15,MATCH(D599,Lists!$J$2:$J$15,0)),-1)&gt;=6,F599="N"),"status "&amp;D599&amp;" but no tracker row",IF(AND(E599="Y",D599&lt;&gt;"do_not_contact"),"do_not_contact = Y but status is "&amp;D599,IF(AND(D599="do_not_contact",E599&lt;&gt;"Y"),"status do_not_contact but do_not_contact is not Y",""))))))</f>
        <v/>
      </c>
      <c r="I599" s="23" t="n">
        <v>578</v>
      </c>
      <c r="J599" s="23" t="str">
        <f aca="false">IFERROR(INDEX(Clay_Brands!$A$2:$FZ$601,I599,$D$5)&amp;"","")</f>
        <v/>
      </c>
      <c r="K599" s="23" t="str">
        <f aca="false">IFERROR(INDEX(Clay_Brands!$A$2:$FZ$601,I599,$D$7)&amp;"","")</f>
        <v/>
      </c>
      <c r="L599" s="23" t="str">
        <f aca="false">IFERROR(INDEX(Clay_Brands!$A$2:$FZ$601,I599,$D$8)&amp;"","")</f>
        <v/>
      </c>
      <c r="M599" s="23" t="str">
        <f aca="false">IF(J599="","",IF(COUNTIF(Brand_Log!$A$2:$A$201,J599)&gt;0,"Y","N"))</f>
        <v/>
      </c>
      <c r="N599" s="34" t="str">
        <f aca="false">IF(OR(J599="",AND(LEFT(J599,6)="SAMPLE",Config!$B$19&lt;&gt;"Y")),"",IF(IFERROR(INDEX(Lists!$K$2:$K$15,MATCH(K599,Lists!$J$2:$J$15,0)),-1)=-1,"status '"&amp;K599&amp;"' is not a CONTRACTS status",IF(AND(K599="paid",COUNTIF(paid_brands!$AC$2:$AC$51,J599)=0),"status paid but no paid_brands row"&amp;IF(M599="N"," and no tracker row",""),IF(AND(IFERROR(INDEX(Lists!$K$2:$K$15,MATCH(K599,Lists!$J$2:$J$15,0)),-1)&gt;=6,M599="N"),"status "&amp;K599&amp;" but no tracker row",IF(AND(L599="Y",K599&lt;&gt;"do_not_contact"),"do_not_contact = Y but status is "&amp;K599,IF(AND(K599="do_not_contact",L599&lt;&gt;"Y"),"status do_not_contact but do_not_contact is not Y",""))))))</f>
        <v/>
      </c>
    </row>
    <row r="600" customFormat="false" ht="15" hidden="false" customHeight="false" outlineLevel="0" collapsed="false">
      <c r="B600" s="23" t="n">
        <v>579</v>
      </c>
      <c r="C600" s="23" t="str">
        <f aca="false">IFERROR(INDEX(Clay_Offices!$A$2:$FZ$601,B600,$C$5)&amp;"","")</f>
        <v/>
      </c>
      <c r="D600" s="23" t="str">
        <f aca="false">IFERROR(INDEX(Clay_Offices!$A$2:$FZ$601,B600,$C$7)&amp;"","")</f>
        <v/>
      </c>
      <c r="E600" s="23" t="str">
        <f aca="false">IFERROR(INDEX(Clay_Offices!$A$2:$FZ$601,B600,$C$8)&amp;"","")</f>
        <v/>
      </c>
      <c r="F600" s="23" t="str">
        <f aca="false">IF(C600="","",IF(COUNTIF(Office_Log!$A$2:$A$201,C600)&gt;0,"Y","N"))</f>
        <v/>
      </c>
      <c r="G600" s="34" t="str">
        <f aca="false">IF(OR(C600="",AND(LEFT(C600,6)="SAMPLE",Config!$B$19&lt;&gt;"Y")),"",IF(IFERROR(INDEX(Lists!$K$2:$K$15,MATCH(D600,Lists!$J$2:$J$15,0)),-1)=-1,"status '"&amp;D600&amp;"' is not a CONTRACTS status",IF(AND(D600="signed",COUNTIF(signed_offices!$W$2:$W$51,C600)=0),"status signed but no signed_offices row"&amp;IF(F600="N"," and no tracker row",""),IF(AND(IFERROR(INDEX(Lists!$K$2:$K$15,MATCH(D600,Lists!$J$2:$J$15,0)),-1)&gt;=6,F600="N"),"status "&amp;D600&amp;" but no tracker row",IF(AND(E600="Y",D600&lt;&gt;"do_not_contact"),"do_not_contact = Y but status is "&amp;D600,IF(AND(D600="do_not_contact",E600&lt;&gt;"Y"),"status do_not_contact but do_not_contact is not Y",""))))))</f>
        <v/>
      </c>
      <c r="I600" s="23" t="n">
        <v>579</v>
      </c>
      <c r="J600" s="23" t="str">
        <f aca="false">IFERROR(INDEX(Clay_Brands!$A$2:$FZ$601,I600,$D$5)&amp;"","")</f>
        <v/>
      </c>
      <c r="K600" s="23" t="str">
        <f aca="false">IFERROR(INDEX(Clay_Brands!$A$2:$FZ$601,I600,$D$7)&amp;"","")</f>
        <v/>
      </c>
      <c r="L600" s="23" t="str">
        <f aca="false">IFERROR(INDEX(Clay_Brands!$A$2:$FZ$601,I600,$D$8)&amp;"","")</f>
        <v/>
      </c>
      <c r="M600" s="23" t="str">
        <f aca="false">IF(J600="","",IF(COUNTIF(Brand_Log!$A$2:$A$201,J600)&gt;0,"Y","N"))</f>
        <v/>
      </c>
      <c r="N600" s="34" t="str">
        <f aca="false">IF(OR(J600="",AND(LEFT(J600,6)="SAMPLE",Config!$B$19&lt;&gt;"Y")),"",IF(IFERROR(INDEX(Lists!$K$2:$K$15,MATCH(K600,Lists!$J$2:$J$15,0)),-1)=-1,"status '"&amp;K600&amp;"' is not a CONTRACTS status",IF(AND(K600="paid",COUNTIF(paid_brands!$AC$2:$AC$51,J600)=0),"status paid but no paid_brands row"&amp;IF(M600="N"," and no tracker row",""),IF(AND(IFERROR(INDEX(Lists!$K$2:$K$15,MATCH(K600,Lists!$J$2:$J$15,0)),-1)&gt;=6,M600="N"),"status "&amp;K600&amp;" but no tracker row",IF(AND(L600="Y",K600&lt;&gt;"do_not_contact"),"do_not_contact = Y but status is "&amp;K600,IF(AND(K600="do_not_contact",L600&lt;&gt;"Y"),"status do_not_contact but do_not_contact is not Y",""))))))</f>
        <v/>
      </c>
    </row>
    <row r="601" customFormat="false" ht="15" hidden="false" customHeight="false" outlineLevel="0" collapsed="false">
      <c r="B601" s="23" t="n">
        <v>580</v>
      </c>
      <c r="C601" s="23" t="str">
        <f aca="false">IFERROR(INDEX(Clay_Offices!$A$2:$FZ$601,B601,$C$5)&amp;"","")</f>
        <v/>
      </c>
      <c r="D601" s="23" t="str">
        <f aca="false">IFERROR(INDEX(Clay_Offices!$A$2:$FZ$601,B601,$C$7)&amp;"","")</f>
        <v/>
      </c>
      <c r="E601" s="23" t="str">
        <f aca="false">IFERROR(INDEX(Clay_Offices!$A$2:$FZ$601,B601,$C$8)&amp;"","")</f>
        <v/>
      </c>
      <c r="F601" s="23" t="str">
        <f aca="false">IF(C601="","",IF(COUNTIF(Office_Log!$A$2:$A$201,C601)&gt;0,"Y","N"))</f>
        <v/>
      </c>
      <c r="G601" s="34" t="str">
        <f aca="false">IF(OR(C601="",AND(LEFT(C601,6)="SAMPLE",Config!$B$19&lt;&gt;"Y")),"",IF(IFERROR(INDEX(Lists!$K$2:$K$15,MATCH(D601,Lists!$J$2:$J$15,0)),-1)=-1,"status '"&amp;D601&amp;"' is not a CONTRACTS status",IF(AND(D601="signed",COUNTIF(signed_offices!$W$2:$W$51,C601)=0),"status signed but no signed_offices row"&amp;IF(F601="N"," and no tracker row",""),IF(AND(IFERROR(INDEX(Lists!$K$2:$K$15,MATCH(D601,Lists!$J$2:$J$15,0)),-1)&gt;=6,F601="N"),"status "&amp;D601&amp;" but no tracker row",IF(AND(E601="Y",D601&lt;&gt;"do_not_contact"),"do_not_contact = Y but status is "&amp;D601,IF(AND(D601="do_not_contact",E601&lt;&gt;"Y"),"status do_not_contact but do_not_contact is not Y",""))))))</f>
        <v/>
      </c>
      <c r="I601" s="23" t="n">
        <v>580</v>
      </c>
      <c r="J601" s="23" t="str">
        <f aca="false">IFERROR(INDEX(Clay_Brands!$A$2:$FZ$601,I601,$D$5)&amp;"","")</f>
        <v/>
      </c>
      <c r="K601" s="23" t="str">
        <f aca="false">IFERROR(INDEX(Clay_Brands!$A$2:$FZ$601,I601,$D$7)&amp;"","")</f>
        <v/>
      </c>
      <c r="L601" s="23" t="str">
        <f aca="false">IFERROR(INDEX(Clay_Brands!$A$2:$FZ$601,I601,$D$8)&amp;"","")</f>
        <v/>
      </c>
      <c r="M601" s="23" t="str">
        <f aca="false">IF(J601="","",IF(COUNTIF(Brand_Log!$A$2:$A$201,J601)&gt;0,"Y","N"))</f>
        <v/>
      </c>
      <c r="N601" s="34" t="str">
        <f aca="false">IF(OR(J601="",AND(LEFT(J601,6)="SAMPLE",Config!$B$19&lt;&gt;"Y")),"",IF(IFERROR(INDEX(Lists!$K$2:$K$15,MATCH(K601,Lists!$J$2:$J$15,0)),-1)=-1,"status '"&amp;K601&amp;"' is not a CONTRACTS status",IF(AND(K601="paid",COUNTIF(paid_brands!$AC$2:$AC$51,J601)=0),"status paid but no paid_brands row"&amp;IF(M601="N"," and no tracker row",""),IF(AND(IFERROR(INDEX(Lists!$K$2:$K$15,MATCH(K601,Lists!$J$2:$J$15,0)),-1)&gt;=6,M601="N"),"status "&amp;K601&amp;" but no tracker row",IF(AND(L601="Y",K601&lt;&gt;"do_not_contact"),"do_not_contact = Y but status is "&amp;K601,IF(AND(K601="do_not_contact",L601&lt;&gt;"Y"),"status do_not_contact but do_not_contact is not Y",""))))))</f>
        <v/>
      </c>
    </row>
    <row r="602" customFormat="false" ht="15" hidden="false" customHeight="false" outlineLevel="0" collapsed="false">
      <c r="B602" s="23" t="n">
        <v>581</v>
      </c>
      <c r="C602" s="23" t="str">
        <f aca="false">IFERROR(INDEX(Clay_Offices!$A$2:$FZ$601,B602,$C$5)&amp;"","")</f>
        <v/>
      </c>
      <c r="D602" s="23" t="str">
        <f aca="false">IFERROR(INDEX(Clay_Offices!$A$2:$FZ$601,B602,$C$7)&amp;"","")</f>
        <v/>
      </c>
      <c r="E602" s="23" t="str">
        <f aca="false">IFERROR(INDEX(Clay_Offices!$A$2:$FZ$601,B602,$C$8)&amp;"","")</f>
        <v/>
      </c>
      <c r="F602" s="23" t="str">
        <f aca="false">IF(C602="","",IF(COUNTIF(Office_Log!$A$2:$A$201,C602)&gt;0,"Y","N"))</f>
        <v/>
      </c>
      <c r="G602" s="34" t="str">
        <f aca="false">IF(OR(C602="",AND(LEFT(C602,6)="SAMPLE",Config!$B$19&lt;&gt;"Y")),"",IF(IFERROR(INDEX(Lists!$K$2:$K$15,MATCH(D602,Lists!$J$2:$J$15,0)),-1)=-1,"status '"&amp;D602&amp;"' is not a CONTRACTS status",IF(AND(D602="signed",COUNTIF(signed_offices!$W$2:$W$51,C602)=0),"status signed but no signed_offices row"&amp;IF(F602="N"," and no tracker row",""),IF(AND(IFERROR(INDEX(Lists!$K$2:$K$15,MATCH(D602,Lists!$J$2:$J$15,0)),-1)&gt;=6,F602="N"),"status "&amp;D602&amp;" but no tracker row",IF(AND(E602="Y",D602&lt;&gt;"do_not_contact"),"do_not_contact = Y but status is "&amp;D602,IF(AND(D602="do_not_contact",E602&lt;&gt;"Y"),"status do_not_contact but do_not_contact is not Y",""))))))</f>
        <v/>
      </c>
      <c r="I602" s="23" t="n">
        <v>581</v>
      </c>
      <c r="J602" s="23" t="str">
        <f aca="false">IFERROR(INDEX(Clay_Brands!$A$2:$FZ$601,I602,$D$5)&amp;"","")</f>
        <v/>
      </c>
      <c r="K602" s="23" t="str">
        <f aca="false">IFERROR(INDEX(Clay_Brands!$A$2:$FZ$601,I602,$D$7)&amp;"","")</f>
        <v/>
      </c>
      <c r="L602" s="23" t="str">
        <f aca="false">IFERROR(INDEX(Clay_Brands!$A$2:$FZ$601,I602,$D$8)&amp;"","")</f>
        <v/>
      </c>
      <c r="M602" s="23" t="str">
        <f aca="false">IF(J602="","",IF(COUNTIF(Brand_Log!$A$2:$A$201,J602)&gt;0,"Y","N"))</f>
        <v/>
      </c>
      <c r="N602" s="34" t="str">
        <f aca="false">IF(OR(J602="",AND(LEFT(J602,6)="SAMPLE",Config!$B$19&lt;&gt;"Y")),"",IF(IFERROR(INDEX(Lists!$K$2:$K$15,MATCH(K602,Lists!$J$2:$J$15,0)),-1)=-1,"status '"&amp;K602&amp;"' is not a CONTRACTS status",IF(AND(K602="paid",COUNTIF(paid_brands!$AC$2:$AC$51,J602)=0),"status paid but no paid_brands row"&amp;IF(M602="N"," and no tracker row",""),IF(AND(IFERROR(INDEX(Lists!$K$2:$K$15,MATCH(K602,Lists!$J$2:$J$15,0)),-1)&gt;=6,M602="N"),"status "&amp;K602&amp;" but no tracker row",IF(AND(L602="Y",K602&lt;&gt;"do_not_contact"),"do_not_contact = Y but status is "&amp;K602,IF(AND(K602="do_not_contact",L602&lt;&gt;"Y"),"status do_not_contact but do_not_contact is not Y",""))))))</f>
        <v/>
      </c>
    </row>
    <row r="603" customFormat="false" ht="15" hidden="false" customHeight="false" outlineLevel="0" collapsed="false">
      <c r="B603" s="23" t="n">
        <v>582</v>
      </c>
      <c r="C603" s="23" t="str">
        <f aca="false">IFERROR(INDEX(Clay_Offices!$A$2:$FZ$601,B603,$C$5)&amp;"","")</f>
        <v/>
      </c>
      <c r="D603" s="23" t="str">
        <f aca="false">IFERROR(INDEX(Clay_Offices!$A$2:$FZ$601,B603,$C$7)&amp;"","")</f>
        <v/>
      </c>
      <c r="E603" s="23" t="str">
        <f aca="false">IFERROR(INDEX(Clay_Offices!$A$2:$FZ$601,B603,$C$8)&amp;"","")</f>
        <v/>
      </c>
      <c r="F603" s="23" t="str">
        <f aca="false">IF(C603="","",IF(COUNTIF(Office_Log!$A$2:$A$201,C603)&gt;0,"Y","N"))</f>
        <v/>
      </c>
      <c r="G603" s="34" t="str">
        <f aca="false">IF(OR(C603="",AND(LEFT(C603,6)="SAMPLE",Config!$B$19&lt;&gt;"Y")),"",IF(IFERROR(INDEX(Lists!$K$2:$K$15,MATCH(D603,Lists!$J$2:$J$15,0)),-1)=-1,"status '"&amp;D603&amp;"' is not a CONTRACTS status",IF(AND(D603="signed",COUNTIF(signed_offices!$W$2:$W$51,C603)=0),"status signed but no signed_offices row"&amp;IF(F603="N"," and no tracker row",""),IF(AND(IFERROR(INDEX(Lists!$K$2:$K$15,MATCH(D603,Lists!$J$2:$J$15,0)),-1)&gt;=6,F603="N"),"status "&amp;D603&amp;" but no tracker row",IF(AND(E603="Y",D603&lt;&gt;"do_not_contact"),"do_not_contact = Y but status is "&amp;D603,IF(AND(D603="do_not_contact",E603&lt;&gt;"Y"),"status do_not_contact but do_not_contact is not Y",""))))))</f>
        <v/>
      </c>
      <c r="I603" s="23" t="n">
        <v>582</v>
      </c>
      <c r="J603" s="23" t="str">
        <f aca="false">IFERROR(INDEX(Clay_Brands!$A$2:$FZ$601,I603,$D$5)&amp;"","")</f>
        <v/>
      </c>
      <c r="K603" s="23" t="str">
        <f aca="false">IFERROR(INDEX(Clay_Brands!$A$2:$FZ$601,I603,$D$7)&amp;"","")</f>
        <v/>
      </c>
      <c r="L603" s="23" t="str">
        <f aca="false">IFERROR(INDEX(Clay_Brands!$A$2:$FZ$601,I603,$D$8)&amp;"","")</f>
        <v/>
      </c>
      <c r="M603" s="23" t="str">
        <f aca="false">IF(J603="","",IF(COUNTIF(Brand_Log!$A$2:$A$201,J603)&gt;0,"Y","N"))</f>
        <v/>
      </c>
      <c r="N603" s="34" t="str">
        <f aca="false">IF(OR(J603="",AND(LEFT(J603,6)="SAMPLE",Config!$B$19&lt;&gt;"Y")),"",IF(IFERROR(INDEX(Lists!$K$2:$K$15,MATCH(K603,Lists!$J$2:$J$15,0)),-1)=-1,"status '"&amp;K603&amp;"' is not a CONTRACTS status",IF(AND(K603="paid",COUNTIF(paid_brands!$AC$2:$AC$51,J603)=0),"status paid but no paid_brands row"&amp;IF(M603="N"," and no tracker row",""),IF(AND(IFERROR(INDEX(Lists!$K$2:$K$15,MATCH(K603,Lists!$J$2:$J$15,0)),-1)&gt;=6,M603="N"),"status "&amp;K603&amp;" but no tracker row",IF(AND(L603="Y",K603&lt;&gt;"do_not_contact"),"do_not_contact = Y but status is "&amp;K603,IF(AND(K603="do_not_contact",L603&lt;&gt;"Y"),"status do_not_contact but do_not_contact is not Y",""))))))</f>
        <v/>
      </c>
    </row>
    <row r="604" customFormat="false" ht="15" hidden="false" customHeight="false" outlineLevel="0" collapsed="false">
      <c r="B604" s="23" t="n">
        <v>583</v>
      </c>
      <c r="C604" s="23" t="str">
        <f aca="false">IFERROR(INDEX(Clay_Offices!$A$2:$FZ$601,B604,$C$5)&amp;"","")</f>
        <v/>
      </c>
      <c r="D604" s="23" t="str">
        <f aca="false">IFERROR(INDEX(Clay_Offices!$A$2:$FZ$601,B604,$C$7)&amp;"","")</f>
        <v/>
      </c>
      <c r="E604" s="23" t="str">
        <f aca="false">IFERROR(INDEX(Clay_Offices!$A$2:$FZ$601,B604,$C$8)&amp;"","")</f>
        <v/>
      </c>
      <c r="F604" s="23" t="str">
        <f aca="false">IF(C604="","",IF(COUNTIF(Office_Log!$A$2:$A$201,C604)&gt;0,"Y","N"))</f>
        <v/>
      </c>
      <c r="G604" s="34" t="str">
        <f aca="false">IF(OR(C604="",AND(LEFT(C604,6)="SAMPLE",Config!$B$19&lt;&gt;"Y")),"",IF(IFERROR(INDEX(Lists!$K$2:$K$15,MATCH(D604,Lists!$J$2:$J$15,0)),-1)=-1,"status '"&amp;D604&amp;"' is not a CONTRACTS status",IF(AND(D604="signed",COUNTIF(signed_offices!$W$2:$W$51,C604)=0),"status signed but no signed_offices row"&amp;IF(F604="N"," and no tracker row",""),IF(AND(IFERROR(INDEX(Lists!$K$2:$K$15,MATCH(D604,Lists!$J$2:$J$15,0)),-1)&gt;=6,F604="N"),"status "&amp;D604&amp;" but no tracker row",IF(AND(E604="Y",D604&lt;&gt;"do_not_contact"),"do_not_contact = Y but status is "&amp;D604,IF(AND(D604="do_not_contact",E604&lt;&gt;"Y"),"status do_not_contact but do_not_contact is not Y",""))))))</f>
        <v/>
      </c>
      <c r="I604" s="23" t="n">
        <v>583</v>
      </c>
      <c r="J604" s="23" t="str">
        <f aca="false">IFERROR(INDEX(Clay_Brands!$A$2:$FZ$601,I604,$D$5)&amp;"","")</f>
        <v/>
      </c>
      <c r="K604" s="23" t="str">
        <f aca="false">IFERROR(INDEX(Clay_Brands!$A$2:$FZ$601,I604,$D$7)&amp;"","")</f>
        <v/>
      </c>
      <c r="L604" s="23" t="str">
        <f aca="false">IFERROR(INDEX(Clay_Brands!$A$2:$FZ$601,I604,$D$8)&amp;"","")</f>
        <v/>
      </c>
      <c r="M604" s="23" t="str">
        <f aca="false">IF(J604="","",IF(COUNTIF(Brand_Log!$A$2:$A$201,J604)&gt;0,"Y","N"))</f>
        <v/>
      </c>
      <c r="N604" s="34" t="str">
        <f aca="false">IF(OR(J604="",AND(LEFT(J604,6)="SAMPLE",Config!$B$19&lt;&gt;"Y")),"",IF(IFERROR(INDEX(Lists!$K$2:$K$15,MATCH(K604,Lists!$J$2:$J$15,0)),-1)=-1,"status '"&amp;K604&amp;"' is not a CONTRACTS status",IF(AND(K604="paid",COUNTIF(paid_brands!$AC$2:$AC$51,J604)=0),"status paid but no paid_brands row"&amp;IF(M604="N"," and no tracker row",""),IF(AND(IFERROR(INDEX(Lists!$K$2:$K$15,MATCH(K604,Lists!$J$2:$J$15,0)),-1)&gt;=6,M604="N"),"status "&amp;K604&amp;" but no tracker row",IF(AND(L604="Y",K604&lt;&gt;"do_not_contact"),"do_not_contact = Y but status is "&amp;K604,IF(AND(K604="do_not_contact",L604&lt;&gt;"Y"),"status do_not_contact but do_not_contact is not Y",""))))))</f>
        <v/>
      </c>
    </row>
    <row r="605" customFormat="false" ht="15" hidden="false" customHeight="false" outlineLevel="0" collapsed="false">
      <c r="B605" s="23" t="n">
        <v>584</v>
      </c>
      <c r="C605" s="23" t="str">
        <f aca="false">IFERROR(INDEX(Clay_Offices!$A$2:$FZ$601,B605,$C$5)&amp;"","")</f>
        <v/>
      </c>
      <c r="D605" s="23" t="str">
        <f aca="false">IFERROR(INDEX(Clay_Offices!$A$2:$FZ$601,B605,$C$7)&amp;"","")</f>
        <v/>
      </c>
      <c r="E605" s="23" t="str">
        <f aca="false">IFERROR(INDEX(Clay_Offices!$A$2:$FZ$601,B605,$C$8)&amp;"","")</f>
        <v/>
      </c>
      <c r="F605" s="23" t="str">
        <f aca="false">IF(C605="","",IF(COUNTIF(Office_Log!$A$2:$A$201,C605)&gt;0,"Y","N"))</f>
        <v/>
      </c>
      <c r="G605" s="34" t="str">
        <f aca="false">IF(OR(C605="",AND(LEFT(C605,6)="SAMPLE",Config!$B$19&lt;&gt;"Y")),"",IF(IFERROR(INDEX(Lists!$K$2:$K$15,MATCH(D605,Lists!$J$2:$J$15,0)),-1)=-1,"status '"&amp;D605&amp;"' is not a CONTRACTS status",IF(AND(D605="signed",COUNTIF(signed_offices!$W$2:$W$51,C605)=0),"status signed but no signed_offices row"&amp;IF(F605="N"," and no tracker row",""),IF(AND(IFERROR(INDEX(Lists!$K$2:$K$15,MATCH(D605,Lists!$J$2:$J$15,0)),-1)&gt;=6,F605="N"),"status "&amp;D605&amp;" but no tracker row",IF(AND(E605="Y",D605&lt;&gt;"do_not_contact"),"do_not_contact = Y but status is "&amp;D605,IF(AND(D605="do_not_contact",E605&lt;&gt;"Y"),"status do_not_contact but do_not_contact is not Y",""))))))</f>
        <v/>
      </c>
      <c r="I605" s="23" t="n">
        <v>584</v>
      </c>
      <c r="J605" s="23" t="str">
        <f aca="false">IFERROR(INDEX(Clay_Brands!$A$2:$FZ$601,I605,$D$5)&amp;"","")</f>
        <v/>
      </c>
      <c r="K605" s="23" t="str">
        <f aca="false">IFERROR(INDEX(Clay_Brands!$A$2:$FZ$601,I605,$D$7)&amp;"","")</f>
        <v/>
      </c>
      <c r="L605" s="23" t="str">
        <f aca="false">IFERROR(INDEX(Clay_Brands!$A$2:$FZ$601,I605,$D$8)&amp;"","")</f>
        <v/>
      </c>
      <c r="M605" s="23" t="str">
        <f aca="false">IF(J605="","",IF(COUNTIF(Brand_Log!$A$2:$A$201,J605)&gt;0,"Y","N"))</f>
        <v/>
      </c>
      <c r="N605" s="34" t="str">
        <f aca="false">IF(OR(J605="",AND(LEFT(J605,6)="SAMPLE",Config!$B$19&lt;&gt;"Y")),"",IF(IFERROR(INDEX(Lists!$K$2:$K$15,MATCH(K605,Lists!$J$2:$J$15,0)),-1)=-1,"status '"&amp;K605&amp;"' is not a CONTRACTS status",IF(AND(K605="paid",COUNTIF(paid_brands!$AC$2:$AC$51,J605)=0),"status paid but no paid_brands row"&amp;IF(M605="N"," and no tracker row",""),IF(AND(IFERROR(INDEX(Lists!$K$2:$K$15,MATCH(K605,Lists!$J$2:$J$15,0)),-1)&gt;=6,M605="N"),"status "&amp;K605&amp;" but no tracker row",IF(AND(L605="Y",K605&lt;&gt;"do_not_contact"),"do_not_contact = Y but status is "&amp;K605,IF(AND(K605="do_not_contact",L605&lt;&gt;"Y"),"status do_not_contact but do_not_contact is not Y",""))))))</f>
        <v/>
      </c>
    </row>
    <row r="606" customFormat="false" ht="15" hidden="false" customHeight="false" outlineLevel="0" collapsed="false">
      <c r="B606" s="23" t="n">
        <v>585</v>
      </c>
      <c r="C606" s="23" t="str">
        <f aca="false">IFERROR(INDEX(Clay_Offices!$A$2:$FZ$601,B606,$C$5)&amp;"","")</f>
        <v/>
      </c>
      <c r="D606" s="23" t="str">
        <f aca="false">IFERROR(INDEX(Clay_Offices!$A$2:$FZ$601,B606,$C$7)&amp;"","")</f>
        <v/>
      </c>
      <c r="E606" s="23" t="str">
        <f aca="false">IFERROR(INDEX(Clay_Offices!$A$2:$FZ$601,B606,$C$8)&amp;"","")</f>
        <v/>
      </c>
      <c r="F606" s="23" t="str">
        <f aca="false">IF(C606="","",IF(COUNTIF(Office_Log!$A$2:$A$201,C606)&gt;0,"Y","N"))</f>
        <v/>
      </c>
      <c r="G606" s="34" t="str">
        <f aca="false">IF(OR(C606="",AND(LEFT(C606,6)="SAMPLE",Config!$B$19&lt;&gt;"Y")),"",IF(IFERROR(INDEX(Lists!$K$2:$K$15,MATCH(D606,Lists!$J$2:$J$15,0)),-1)=-1,"status '"&amp;D606&amp;"' is not a CONTRACTS status",IF(AND(D606="signed",COUNTIF(signed_offices!$W$2:$W$51,C606)=0),"status signed but no signed_offices row"&amp;IF(F606="N"," and no tracker row",""),IF(AND(IFERROR(INDEX(Lists!$K$2:$K$15,MATCH(D606,Lists!$J$2:$J$15,0)),-1)&gt;=6,F606="N"),"status "&amp;D606&amp;" but no tracker row",IF(AND(E606="Y",D606&lt;&gt;"do_not_contact"),"do_not_contact = Y but status is "&amp;D606,IF(AND(D606="do_not_contact",E606&lt;&gt;"Y"),"status do_not_contact but do_not_contact is not Y",""))))))</f>
        <v/>
      </c>
      <c r="I606" s="23" t="n">
        <v>585</v>
      </c>
      <c r="J606" s="23" t="str">
        <f aca="false">IFERROR(INDEX(Clay_Brands!$A$2:$FZ$601,I606,$D$5)&amp;"","")</f>
        <v/>
      </c>
      <c r="K606" s="23" t="str">
        <f aca="false">IFERROR(INDEX(Clay_Brands!$A$2:$FZ$601,I606,$D$7)&amp;"","")</f>
        <v/>
      </c>
      <c r="L606" s="23" t="str">
        <f aca="false">IFERROR(INDEX(Clay_Brands!$A$2:$FZ$601,I606,$D$8)&amp;"","")</f>
        <v/>
      </c>
      <c r="M606" s="23" t="str">
        <f aca="false">IF(J606="","",IF(COUNTIF(Brand_Log!$A$2:$A$201,J606)&gt;0,"Y","N"))</f>
        <v/>
      </c>
      <c r="N606" s="34" t="str">
        <f aca="false">IF(OR(J606="",AND(LEFT(J606,6)="SAMPLE",Config!$B$19&lt;&gt;"Y")),"",IF(IFERROR(INDEX(Lists!$K$2:$K$15,MATCH(K606,Lists!$J$2:$J$15,0)),-1)=-1,"status '"&amp;K606&amp;"' is not a CONTRACTS status",IF(AND(K606="paid",COUNTIF(paid_brands!$AC$2:$AC$51,J606)=0),"status paid but no paid_brands row"&amp;IF(M606="N"," and no tracker row",""),IF(AND(IFERROR(INDEX(Lists!$K$2:$K$15,MATCH(K606,Lists!$J$2:$J$15,0)),-1)&gt;=6,M606="N"),"status "&amp;K606&amp;" but no tracker row",IF(AND(L606="Y",K606&lt;&gt;"do_not_contact"),"do_not_contact = Y but status is "&amp;K606,IF(AND(K606="do_not_contact",L606&lt;&gt;"Y"),"status do_not_contact but do_not_contact is not Y",""))))))</f>
        <v/>
      </c>
    </row>
    <row r="607" customFormat="false" ht="15" hidden="false" customHeight="false" outlineLevel="0" collapsed="false">
      <c r="B607" s="23" t="n">
        <v>586</v>
      </c>
      <c r="C607" s="23" t="str">
        <f aca="false">IFERROR(INDEX(Clay_Offices!$A$2:$FZ$601,B607,$C$5)&amp;"","")</f>
        <v/>
      </c>
      <c r="D607" s="23" t="str">
        <f aca="false">IFERROR(INDEX(Clay_Offices!$A$2:$FZ$601,B607,$C$7)&amp;"","")</f>
        <v/>
      </c>
      <c r="E607" s="23" t="str">
        <f aca="false">IFERROR(INDEX(Clay_Offices!$A$2:$FZ$601,B607,$C$8)&amp;"","")</f>
        <v/>
      </c>
      <c r="F607" s="23" t="str">
        <f aca="false">IF(C607="","",IF(COUNTIF(Office_Log!$A$2:$A$201,C607)&gt;0,"Y","N"))</f>
        <v/>
      </c>
      <c r="G607" s="34" t="str">
        <f aca="false">IF(OR(C607="",AND(LEFT(C607,6)="SAMPLE",Config!$B$19&lt;&gt;"Y")),"",IF(IFERROR(INDEX(Lists!$K$2:$K$15,MATCH(D607,Lists!$J$2:$J$15,0)),-1)=-1,"status '"&amp;D607&amp;"' is not a CONTRACTS status",IF(AND(D607="signed",COUNTIF(signed_offices!$W$2:$W$51,C607)=0),"status signed but no signed_offices row"&amp;IF(F607="N"," and no tracker row",""),IF(AND(IFERROR(INDEX(Lists!$K$2:$K$15,MATCH(D607,Lists!$J$2:$J$15,0)),-1)&gt;=6,F607="N"),"status "&amp;D607&amp;" but no tracker row",IF(AND(E607="Y",D607&lt;&gt;"do_not_contact"),"do_not_contact = Y but status is "&amp;D607,IF(AND(D607="do_not_contact",E607&lt;&gt;"Y"),"status do_not_contact but do_not_contact is not Y",""))))))</f>
        <v/>
      </c>
      <c r="I607" s="23" t="n">
        <v>586</v>
      </c>
      <c r="J607" s="23" t="str">
        <f aca="false">IFERROR(INDEX(Clay_Brands!$A$2:$FZ$601,I607,$D$5)&amp;"","")</f>
        <v/>
      </c>
      <c r="K607" s="23" t="str">
        <f aca="false">IFERROR(INDEX(Clay_Brands!$A$2:$FZ$601,I607,$D$7)&amp;"","")</f>
        <v/>
      </c>
      <c r="L607" s="23" t="str">
        <f aca="false">IFERROR(INDEX(Clay_Brands!$A$2:$FZ$601,I607,$D$8)&amp;"","")</f>
        <v/>
      </c>
      <c r="M607" s="23" t="str">
        <f aca="false">IF(J607="","",IF(COUNTIF(Brand_Log!$A$2:$A$201,J607)&gt;0,"Y","N"))</f>
        <v/>
      </c>
      <c r="N607" s="34" t="str">
        <f aca="false">IF(OR(J607="",AND(LEFT(J607,6)="SAMPLE",Config!$B$19&lt;&gt;"Y")),"",IF(IFERROR(INDEX(Lists!$K$2:$K$15,MATCH(K607,Lists!$J$2:$J$15,0)),-1)=-1,"status '"&amp;K607&amp;"' is not a CONTRACTS status",IF(AND(K607="paid",COUNTIF(paid_brands!$AC$2:$AC$51,J607)=0),"status paid but no paid_brands row"&amp;IF(M607="N"," and no tracker row",""),IF(AND(IFERROR(INDEX(Lists!$K$2:$K$15,MATCH(K607,Lists!$J$2:$J$15,0)),-1)&gt;=6,M607="N"),"status "&amp;K607&amp;" but no tracker row",IF(AND(L607="Y",K607&lt;&gt;"do_not_contact"),"do_not_contact = Y but status is "&amp;K607,IF(AND(K607="do_not_contact",L607&lt;&gt;"Y"),"status do_not_contact but do_not_contact is not Y",""))))))</f>
        <v/>
      </c>
    </row>
    <row r="608" customFormat="false" ht="15" hidden="false" customHeight="false" outlineLevel="0" collapsed="false">
      <c r="B608" s="23" t="n">
        <v>587</v>
      </c>
      <c r="C608" s="23" t="str">
        <f aca="false">IFERROR(INDEX(Clay_Offices!$A$2:$FZ$601,B608,$C$5)&amp;"","")</f>
        <v/>
      </c>
      <c r="D608" s="23" t="str">
        <f aca="false">IFERROR(INDEX(Clay_Offices!$A$2:$FZ$601,B608,$C$7)&amp;"","")</f>
        <v/>
      </c>
      <c r="E608" s="23" t="str">
        <f aca="false">IFERROR(INDEX(Clay_Offices!$A$2:$FZ$601,B608,$C$8)&amp;"","")</f>
        <v/>
      </c>
      <c r="F608" s="23" t="str">
        <f aca="false">IF(C608="","",IF(COUNTIF(Office_Log!$A$2:$A$201,C608)&gt;0,"Y","N"))</f>
        <v/>
      </c>
      <c r="G608" s="34" t="str">
        <f aca="false">IF(OR(C608="",AND(LEFT(C608,6)="SAMPLE",Config!$B$19&lt;&gt;"Y")),"",IF(IFERROR(INDEX(Lists!$K$2:$K$15,MATCH(D608,Lists!$J$2:$J$15,0)),-1)=-1,"status '"&amp;D608&amp;"' is not a CONTRACTS status",IF(AND(D608="signed",COUNTIF(signed_offices!$W$2:$W$51,C608)=0),"status signed but no signed_offices row"&amp;IF(F608="N"," and no tracker row",""),IF(AND(IFERROR(INDEX(Lists!$K$2:$K$15,MATCH(D608,Lists!$J$2:$J$15,0)),-1)&gt;=6,F608="N"),"status "&amp;D608&amp;" but no tracker row",IF(AND(E608="Y",D608&lt;&gt;"do_not_contact"),"do_not_contact = Y but status is "&amp;D608,IF(AND(D608="do_not_contact",E608&lt;&gt;"Y"),"status do_not_contact but do_not_contact is not Y",""))))))</f>
        <v/>
      </c>
      <c r="I608" s="23" t="n">
        <v>587</v>
      </c>
      <c r="J608" s="23" t="str">
        <f aca="false">IFERROR(INDEX(Clay_Brands!$A$2:$FZ$601,I608,$D$5)&amp;"","")</f>
        <v/>
      </c>
      <c r="K608" s="23" t="str">
        <f aca="false">IFERROR(INDEX(Clay_Brands!$A$2:$FZ$601,I608,$D$7)&amp;"","")</f>
        <v/>
      </c>
      <c r="L608" s="23" t="str">
        <f aca="false">IFERROR(INDEX(Clay_Brands!$A$2:$FZ$601,I608,$D$8)&amp;"","")</f>
        <v/>
      </c>
      <c r="M608" s="23" t="str">
        <f aca="false">IF(J608="","",IF(COUNTIF(Brand_Log!$A$2:$A$201,J608)&gt;0,"Y","N"))</f>
        <v/>
      </c>
      <c r="N608" s="34" t="str">
        <f aca="false">IF(OR(J608="",AND(LEFT(J608,6)="SAMPLE",Config!$B$19&lt;&gt;"Y")),"",IF(IFERROR(INDEX(Lists!$K$2:$K$15,MATCH(K608,Lists!$J$2:$J$15,0)),-1)=-1,"status '"&amp;K608&amp;"' is not a CONTRACTS status",IF(AND(K608="paid",COUNTIF(paid_brands!$AC$2:$AC$51,J608)=0),"status paid but no paid_brands row"&amp;IF(M608="N"," and no tracker row",""),IF(AND(IFERROR(INDEX(Lists!$K$2:$K$15,MATCH(K608,Lists!$J$2:$J$15,0)),-1)&gt;=6,M608="N"),"status "&amp;K608&amp;" but no tracker row",IF(AND(L608="Y",K608&lt;&gt;"do_not_contact"),"do_not_contact = Y but status is "&amp;K608,IF(AND(K608="do_not_contact",L608&lt;&gt;"Y"),"status do_not_contact but do_not_contact is not Y",""))))))</f>
        <v/>
      </c>
    </row>
    <row r="609" customFormat="false" ht="15" hidden="false" customHeight="false" outlineLevel="0" collapsed="false">
      <c r="B609" s="23" t="n">
        <v>588</v>
      </c>
      <c r="C609" s="23" t="str">
        <f aca="false">IFERROR(INDEX(Clay_Offices!$A$2:$FZ$601,B609,$C$5)&amp;"","")</f>
        <v/>
      </c>
      <c r="D609" s="23" t="str">
        <f aca="false">IFERROR(INDEX(Clay_Offices!$A$2:$FZ$601,B609,$C$7)&amp;"","")</f>
        <v/>
      </c>
      <c r="E609" s="23" t="str">
        <f aca="false">IFERROR(INDEX(Clay_Offices!$A$2:$FZ$601,B609,$C$8)&amp;"","")</f>
        <v/>
      </c>
      <c r="F609" s="23" t="str">
        <f aca="false">IF(C609="","",IF(COUNTIF(Office_Log!$A$2:$A$201,C609)&gt;0,"Y","N"))</f>
        <v/>
      </c>
      <c r="G609" s="34" t="str">
        <f aca="false">IF(OR(C609="",AND(LEFT(C609,6)="SAMPLE",Config!$B$19&lt;&gt;"Y")),"",IF(IFERROR(INDEX(Lists!$K$2:$K$15,MATCH(D609,Lists!$J$2:$J$15,0)),-1)=-1,"status '"&amp;D609&amp;"' is not a CONTRACTS status",IF(AND(D609="signed",COUNTIF(signed_offices!$W$2:$W$51,C609)=0),"status signed but no signed_offices row"&amp;IF(F609="N"," and no tracker row",""),IF(AND(IFERROR(INDEX(Lists!$K$2:$K$15,MATCH(D609,Lists!$J$2:$J$15,0)),-1)&gt;=6,F609="N"),"status "&amp;D609&amp;" but no tracker row",IF(AND(E609="Y",D609&lt;&gt;"do_not_contact"),"do_not_contact = Y but status is "&amp;D609,IF(AND(D609="do_not_contact",E609&lt;&gt;"Y"),"status do_not_contact but do_not_contact is not Y",""))))))</f>
        <v/>
      </c>
      <c r="I609" s="23" t="n">
        <v>588</v>
      </c>
      <c r="J609" s="23" t="str">
        <f aca="false">IFERROR(INDEX(Clay_Brands!$A$2:$FZ$601,I609,$D$5)&amp;"","")</f>
        <v/>
      </c>
      <c r="K609" s="23" t="str">
        <f aca="false">IFERROR(INDEX(Clay_Brands!$A$2:$FZ$601,I609,$D$7)&amp;"","")</f>
        <v/>
      </c>
      <c r="L609" s="23" t="str">
        <f aca="false">IFERROR(INDEX(Clay_Brands!$A$2:$FZ$601,I609,$D$8)&amp;"","")</f>
        <v/>
      </c>
      <c r="M609" s="23" t="str">
        <f aca="false">IF(J609="","",IF(COUNTIF(Brand_Log!$A$2:$A$201,J609)&gt;0,"Y","N"))</f>
        <v/>
      </c>
      <c r="N609" s="34" t="str">
        <f aca="false">IF(OR(J609="",AND(LEFT(J609,6)="SAMPLE",Config!$B$19&lt;&gt;"Y")),"",IF(IFERROR(INDEX(Lists!$K$2:$K$15,MATCH(K609,Lists!$J$2:$J$15,0)),-1)=-1,"status '"&amp;K609&amp;"' is not a CONTRACTS status",IF(AND(K609="paid",COUNTIF(paid_brands!$AC$2:$AC$51,J609)=0),"status paid but no paid_brands row"&amp;IF(M609="N"," and no tracker row",""),IF(AND(IFERROR(INDEX(Lists!$K$2:$K$15,MATCH(K609,Lists!$J$2:$J$15,0)),-1)&gt;=6,M609="N"),"status "&amp;K609&amp;" but no tracker row",IF(AND(L609="Y",K609&lt;&gt;"do_not_contact"),"do_not_contact = Y but status is "&amp;K609,IF(AND(K609="do_not_contact",L609&lt;&gt;"Y"),"status do_not_contact but do_not_contact is not Y",""))))))</f>
        <v/>
      </c>
    </row>
    <row r="610" customFormat="false" ht="15" hidden="false" customHeight="false" outlineLevel="0" collapsed="false">
      <c r="B610" s="23" t="n">
        <v>589</v>
      </c>
      <c r="C610" s="23" t="str">
        <f aca="false">IFERROR(INDEX(Clay_Offices!$A$2:$FZ$601,B610,$C$5)&amp;"","")</f>
        <v/>
      </c>
      <c r="D610" s="23" t="str">
        <f aca="false">IFERROR(INDEX(Clay_Offices!$A$2:$FZ$601,B610,$C$7)&amp;"","")</f>
        <v/>
      </c>
      <c r="E610" s="23" t="str">
        <f aca="false">IFERROR(INDEX(Clay_Offices!$A$2:$FZ$601,B610,$C$8)&amp;"","")</f>
        <v/>
      </c>
      <c r="F610" s="23" t="str">
        <f aca="false">IF(C610="","",IF(COUNTIF(Office_Log!$A$2:$A$201,C610)&gt;0,"Y","N"))</f>
        <v/>
      </c>
      <c r="G610" s="34" t="str">
        <f aca="false">IF(OR(C610="",AND(LEFT(C610,6)="SAMPLE",Config!$B$19&lt;&gt;"Y")),"",IF(IFERROR(INDEX(Lists!$K$2:$K$15,MATCH(D610,Lists!$J$2:$J$15,0)),-1)=-1,"status '"&amp;D610&amp;"' is not a CONTRACTS status",IF(AND(D610="signed",COUNTIF(signed_offices!$W$2:$W$51,C610)=0),"status signed but no signed_offices row"&amp;IF(F610="N"," and no tracker row",""),IF(AND(IFERROR(INDEX(Lists!$K$2:$K$15,MATCH(D610,Lists!$J$2:$J$15,0)),-1)&gt;=6,F610="N"),"status "&amp;D610&amp;" but no tracker row",IF(AND(E610="Y",D610&lt;&gt;"do_not_contact"),"do_not_contact = Y but status is "&amp;D610,IF(AND(D610="do_not_contact",E610&lt;&gt;"Y"),"status do_not_contact but do_not_contact is not Y",""))))))</f>
        <v/>
      </c>
      <c r="I610" s="23" t="n">
        <v>589</v>
      </c>
      <c r="J610" s="23" t="str">
        <f aca="false">IFERROR(INDEX(Clay_Brands!$A$2:$FZ$601,I610,$D$5)&amp;"","")</f>
        <v/>
      </c>
      <c r="K610" s="23" t="str">
        <f aca="false">IFERROR(INDEX(Clay_Brands!$A$2:$FZ$601,I610,$D$7)&amp;"","")</f>
        <v/>
      </c>
      <c r="L610" s="23" t="str">
        <f aca="false">IFERROR(INDEX(Clay_Brands!$A$2:$FZ$601,I610,$D$8)&amp;"","")</f>
        <v/>
      </c>
      <c r="M610" s="23" t="str">
        <f aca="false">IF(J610="","",IF(COUNTIF(Brand_Log!$A$2:$A$201,J610)&gt;0,"Y","N"))</f>
        <v/>
      </c>
      <c r="N610" s="34" t="str">
        <f aca="false">IF(OR(J610="",AND(LEFT(J610,6)="SAMPLE",Config!$B$19&lt;&gt;"Y")),"",IF(IFERROR(INDEX(Lists!$K$2:$K$15,MATCH(K610,Lists!$J$2:$J$15,0)),-1)=-1,"status '"&amp;K610&amp;"' is not a CONTRACTS status",IF(AND(K610="paid",COUNTIF(paid_brands!$AC$2:$AC$51,J610)=0),"status paid but no paid_brands row"&amp;IF(M610="N"," and no tracker row",""),IF(AND(IFERROR(INDEX(Lists!$K$2:$K$15,MATCH(K610,Lists!$J$2:$J$15,0)),-1)&gt;=6,M610="N"),"status "&amp;K610&amp;" but no tracker row",IF(AND(L610="Y",K610&lt;&gt;"do_not_contact"),"do_not_contact = Y but status is "&amp;K610,IF(AND(K610="do_not_contact",L610&lt;&gt;"Y"),"status do_not_contact but do_not_contact is not Y",""))))))</f>
        <v/>
      </c>
    </row>
    <row r="611" customFormat="false" ht="15" hidden="false" customHeight="false" outlineLevel="0" collapsed="false">
      <c r="B611" s="23" t="n">
        <v>590</v>
      </c>
      <c r="C611" s="23" t="str">
        <f aca="false">IFERROR(INDEX(Clay_Offices!$A$2:$FZ$601,B611,$C$5)&amp;"","")</f>
        <v/>
      </c>
      <c r="D611" s="23" t="str">
        <f aca="false">IFERROR(INDEX(Clay_Offices!$A$2:$FZ$601,B611,$C$7)&amp;"","")</f>
        <v/>
      </c>
      <c r="E611" s="23" t="str">
        <f aca="false">IFERROR(INDEX(Clay_Offices!$A$2:$FZ$601,B611,$C$8)&amp;"","")</f>
        <v/>
      </c>
      <c r="F611" s="23" t="str">
        <f aca="false">IF(C611="","",IF(COUNTIF(Office_Log!$A$2:$A$201,C611)&gt;0,"Y","N"))</f>
        <v/>
      </c>
      <c r="G611" s="34" t="str">
        <f aca="false">IF(OR(C611="",AND(LEFT(C611,6)="SAMPLE",Config!$B$19&lt;&gt;"Y")),"",IF(IFERROR(INDEX(Lists!$K$2:$K$15,MATCH(D611,Lists!$J$2:$J$15,0)),-1)=-1,"status '"&amp;D611&amp;"' is not a CONTRACTS status",IF(AND(D611="signed",COUNTIF(signed_offices!$W$2:$W$51,C611)=0),"status signed but no signed_offices row"&amp;IF(F611="N"," and no tracker row",""),IF(AND(IFERROR(INDEX(Lists!$K$2:$K$15,MATCH(D611,Lists!$J$2:$J$15,0)),-1)&gt;=6,F611="N"),"status "&amp;D611&amp;" but no tracker row",IF(AND(E611="Y",D611&lt;&gt;"do_not_contact"),"do_not_contact = Y but status is "&amp;D611,IF(AND(D611="do_not_contact",E611&lt;&gt;"Y"),"status do_not_contact but do_not_contact is not Y",""))))))</f>
        <v/>
      </c>
      <c r="I611" s="23" t="n">
        <v>590</v>
      </c>
      <c r="J611" s="23" t="str">
        <f aca="false">IFERROR(INDEX(Clay_Brands!$A$2:$FZ$601,I611,$D$5)&amp;"","")</f>
        <v/>
      </c>
      <c r="K611" s="23" t="str">
        <f aca="false">IFERROR(INDEX(Clay_Brands!$A$2:$FZ$601,I611,$D$7)&amp;"","")</f>
        <v/>
      </c>
      <c r="L611" s="23" t="str">
        <f aca="false">IFERROR(INDEX(Clay_Brands!$A$2:$FZ$601,I611,$D$8)&amp;"","")</f>
        <v/>
      </c>
      <c r="M611" s="23" t="str">
        <f aca="false">IF(J611="","",IF(COUNTIF(Brand_Log!$A$2:$A$201,J611)&gt;0,"Y","N"))</f>
        <v/>
      </c>
      <c r="N611" s="34" t="str">
        <f aca="false">IF(OR(J611="",AND(LEFT(J611,6)="SAMPLE",Config!$B$19&lt;&gt;"Y")),"",IF(IFERROR(INDEX(Lists!$K$2:$K$15,MATCH(K611,Lists!$J$2:$J$15,0)),-1)=-1,"status '"&amp;K611&amp;"' is not a CONTRACTS status",IF(AND(K611="paid",COUNTIF(paid_brands!$AC$2:$AC$51,J611)=0),"status paid but no paid_brands row"&amp;IF(M611="N"," and no tracker row",""),IF(AND(IFERROR(INDEX(Lists!$K$2:$K$15,MATCH(K611,Lists!$J$2:$J$15,0)),-1)&gt;=6,M611="N"),"status "&amp;K611&amp;" but no tracker row",IF(AND(L611="Y",K611&lt;&gt;"do_not_contact"),"do_not_contact = Y but status is "&amp;K611,IF(AND(K611="do_not_contact",L611&lt;&gt;"Y"),"status do_not_contact but do_not_contact is not Y",""))))))</f>
        <v/>
      </c>
    </row>
    <row r="612" customFormat="false" ht="15" hidden="false" customHeight="false" outlineLevel="0" collapsed="false">
      <c r="B612" s="23" t="n">
        <v>591</v>
      </c>
      <c r="C612" s="23" t="str">
        <f aca="false">IFERROR(INDEX(Clay_Offices!$A$2:$FZ$601,B612,$C$5)&amp;"","")</f>
        <v/>
      </c>
      <c r="D612" s="23" t="str">
        <f aca="false">IFERROR(INDEX(Clay_Offices!$A$2:$FZ$601,B612,$C$7)&amp;"","")</f>
        <v/>
      </c>
      <c r="E612" s="23" t="str">
        <f aca="false">IFERROR(INDEX(Clay_Offices!$A$2:$FZ$601,B612,$C$8)&amp;"","")</f>
        <v/>
      </c>
      <c r="F612" s="23" t="str">
        <f aca="false">IF(C612="","",IF(COUNTIF(Office_Log!$A$2:$A$201,C612)&gt;0,"Y","N"))</f>
        <v/>
      </c>
      <c r="G612" s="34" t="str">
        <f aca="false">IF(OR(C612="",AND(LEFT(C612,6)="SAMPLE",Config!$B$19&lt;&gt;"Y")),"",IF(IFERROR(INDEX(Lists!$K$2:$K$15,MATCH(D612,Lists!$J$2:$J$15,0)),-1)=-1,"status '"&amp;D612&amp;"' is not a CONTRACTS status",IF(AND(D612="signed",COUNTIF(signed_offices!$W$2:$W$51,C612)=0),"status signed but no signed_offices row"&amp;IF(F612="N"," and no tracker row",""),IF(AND(IFERROR(INDEX(Lists!$K$2:$K$15,MATCH(D612,Lists!$J$2:$J$15,0)),-1)&gt;=6,F612="N"),"status "&amp;D612&amp;" but no tracker row",IF(AND(E612="Y",D612&lt;&gt;"do_not_contact"),"do_not_contact = Y but status is "&amp;D612,IF(AND(D612="do_not_contact",E612&lt;&gt;"Y"),"status do_not_contact but do_not_contact is not Y",""))))))</f>
        <v/>
      </c>
      <c r="I612" s="23" t="n">
        <v>591</v>
      </c>
      <c r="J612" s="23" t="str">
        <f aca="false">IFERROR(INDEX(Clay_Brands!$A$2:$FZ$601,I612,$D$5)&amp;"","")</f>
        <v/>
      </c>
      <c r="K612" s="23" t="str">
        <f aca="false">IFERROR(INDEX(Clay_Brands!$A$2:$FZ$601,I612,$D$7)&amp;"","")</f>
        <v/>
      </c>
      <c r="L612" s="23" t="str">
        <f aca="false">IFERROR(INDEX(Clay_Brands!$A$2:$FZ$601,I612,$D$8)&amp;"","")</f>
        <v/>
      </c>
      <c r="M612" s="23" t="str">
        <f aca="false">IF(J612="","",IF(COUNTIF(Brand_Log!$A$2:$A$201,J612)&gt;0,"Y","N"))</f>
        <v/>
      </c>
      <c r="N612" s="34" t="str">
        <f aca="false">IF(OR(J612="",AND(LEFT(J612,6)="SAMPLE",Config!$B$19&lt;&gt;"Y")),"",IF(IFERROR(INDEX(Lists!$K$2:$K$15,MATCH(K612,Lists!$J$2:$J$15,0)),-1)=-1,"status '"&amp;K612&amp;"' is not a CONTRACTS status",IF(AND(K612="paid",COUNTIF(paid_brands!$AC$2:$AC$51,J612)=0),"status paid but no paid_brands row"&amp;IF(M612="N"," and no tracker row",""),IF(AND(IFERROR(INDEX(Lists!$K$2:$K$15,MATCH(K612,Lists!$J$2:$J$15,0)),-1)&gt;=6,M612="N"),"status "&amp;K612&amp;" but no tracker row",IF(AND(L612="Y",K612&lt;&gt;"do_not_contact"),"do_not_contact = Y but status is "&amp;K612,IF(AND(K612="do_not_contact",L612&lt;&gt;"Y"),"status do_not_contact but do_not_contact is not Y",""))))))</f>
        <v/>
      </c>
    </row>
    <row r="613" customFormat="false" ht="15" hidden="false" customHeight="false" outlineLevel="0" collapsed="false">
      <c r="B613" s="23" t="n">
        <v>592</v>
      </c>
      <c r="C613" s="23" t="str">
        <f aca="false">IFERROR(INDEX(Clay_Offices!$A$2:$FZ$601,B613,$C$5)&amp;"","")</f>
        <v/>
      </c>
      <c r="D613" s="23" t="str">
        <f aca="false">IFERROR(INDEX(Clay_Offices!$A$2:$FZ$601,B613,$C$7)&amp;"","")</f>
        <v/>
      </c>
      <c r="E613" s="23" t="str">
        <f aca="false">IFERROR(INDEX(Clay_Offices!$A$2:$FZ$601,B613,$C$8)&amp;"","")</f>
        <v/>
      </c>
      <c r="F613" s="23" t="str">
        <f aca="false">IF(C613="","",IF(COUNTIF(Office_Log!$A$2:$A$201,C613)&gt;0,"Y","N"))</f>
        <v/>
      </c>
      <c r="G613" s="34" t="str">
        <f aca="false">IF(OR(C613="",AND(LEFT(C613,6)="SAMPLE",Config!$B$19&lt;&gt;"Y")),"",IF(IFERROR(INDEX(Lists!$K$2:$K$15,MATCH(D613,Lists!$J$2:$J$15,0)),-1)=-1,"status '"&amp;D613&amp;"' is not a CONTRACTS status",IF(AND(D613="signed",COUNTIF(signed_offices!$W$2:$W$51,C613)=0),"status signed but no signed_offices row"&amp;IF(F613="N"," and no tracker row",""),IF(AND(IFERROR(INDEX(Lists!$K$2:$K$15,MATCH(D613,Lists!$J$2:$J$15,0)),-1)&gt;=6,F613="N"),"status "&amp;D613&amp;" but no tracker row",IF(AND(E613="Y",D613&lt;&gt;"do_not_contact"),"do_not_contact = Y but status is "&amp;D613,IF(AND(D613="do_not_contact",E613&lt;&gt;"Y"),"status do_not_contact but do_not_contact is not Y",""))))))</f>
        <v/>
      </c>
      <c r="I613" s="23" t="n">
        <v>592</v>
      </c>
      <c r="J613" s="23" t="str">
        <f aca="false">IFERROR(INDEX(Clay_Brands!$A$2:$FZ$601,I613,$D$5)&amp;"","")</f>
        <v/>
      </c>
      <c r="K613" s="23" t="str">
        <f aca="false">IFERROR(INDEX(Clay_Brands!$A$2:$FZ$601,I613,$D$7)&amp;"","")</f>
        <v/>
      </c>
      <c r="L613" s="23" t="str">
        <f aca="false">IFERROR(INDEX(Clay_Brands!$A$2:$FZ$601,I613,$D$8)&amp;"","")</f>
        <v/>
      </c>
      <c r="M613" s="23" t="str">
        <f aca="false">IF(J613="","",IF(COUNTIF(Brand_Log!$A$2:$A$201,J613)&gt;0,"Y","N"))</f>
        <v/>
      </c>
      <c r="N613" s="34" t="str">
        <f aca="false">IF(OR(J613="",AND(LEFT(J613,6)="SAMPLE",Config!$B$19&lt;&gt;"Y")),"",IF(IFERROR(INDEX(Lists!$K$2:$K$15,MATCH(K613,Lists!$J$2:$J$15,0)),-1)=-1,"status '"&amp;K613&amp;"' is not a CONTRACTS status",IF(AND(K613="paid",COUNTIF(paid_brands!$AC$2:$AC$51,J613)=0),"status paid but no paid_brands row"&amp;IF(M613="N"," and no tracker row",""),IF(AND(IFERROR(INDEX(Lists!$K$2:$K$15,MATCH(K613,Lists!$J$2:$J$15,0)),-1)&gt;=6,M613="N"),"status "&amp;K613&amp;" but no tracker row",IF(AND(L613="Y",K613&lt;&gt;"do_not_contact"),"do_not_contact = Y but status is "&amp;K613,IF(AND(K613="do_not_contact",L613&lt;&gt;"Y"),"status do_not_contact but do_not_contact is not Y",""))))))</f>
        <v/>
      </c>
    </row>
    <row r="614" customFormat="false" ht="15" hidden="false" customHeight="false" outlineLevel="0" collapsed="false">
      <c r="B614" s="23" t="n">
        <v>593</v>
      </c>
      <c r="C614" s="23" t="str">
        <f aca="false">IFERROR(INDEX(Clay_Offices!$A$2:$FZ$601,B614,$C$5)&amp;"","")</f>
        <v/>
      </c>
      <c r="D614" s="23" t="str">
        <f aca="false">IFERROR(INDEX(Clay_Offices!$A$2:$FZ$601,B614,$C$7)&amp;"","")</f>
        <v/>
      </c>
      <c r="E614" s="23" t="str">
        <f aca="false">IFERROR(INDEX(Clay_Offices!$A$2:$FZ$601,B614,$C$8)&amp;"","")</f>
        <v/>
      </c>
      <c r="F614" s="23" t="str">
        <f aca="false">IF(C614="","",IF(COUNTIF(Office_Log!$A$2:$A$201,C614)&gt;0,"Y","N"))</f>
        <v/>
      </c>
      <c r="G614" s="34" t="str">
        <f aca="false">IF(OR(C614="",AND(LEFT(C614,6)="SAMPLE",Config!$B$19&lt;&gt;"Y")),"",IF(IFERROR(INDEX(Lists!$K$2:$K$15,MATCH(D614,Lists!$J$2:$J$15,0)),-1)=-1,"status '"&amp;D614&amp;"' is not a CONTRACTS status",IF(AND(D614="signed",COUNTIF(signed_offices!$W$2:$W$51,C614)=0),"status signed but no signed_offices row"&amp;IF(F614="N"," and no tracker row",""),IF(AND(IFERROR(INDEX(Lists!$K$2:$K$15,MATCH(D614,Lists!$J$2:$J$15,0)),-1)&gt;=6,F614="N"),"status "&amp;D614&amp;" but no tracker row",IF(AND(E614="Y",D614&lt;&gt;"do_not_contact"),"do_not_contact = Y but status is "&amp;D614,IF(AND(D614="do_not_contact",E614&lt;&gt;"Y"),"status do_not_contact but do_not_contact is not Y",""))))))</f>
        <v/>
      </c>
      <c r="I614" s="23" t="n">
        <v>593</v>
      </c>
      <c r="J614" s="23" t="str">
        <f aca="false">IFERROR(INDEX(Clay_Brands!$A$2:$FZ$601,I614,$D$5)&amp;"","")</f>
        <v/>
      </c>
      <c r="K614" s="23" t="str">
        <f aca="false">IFERROR(INDEX(Clay_Brands!$A$2:$FZ$601,I614,$D$7)&amp;"","")</f>
        <v/>
      </c>
      <c r="L614" s="23" t="str">
        <f aca="false">IFERROR(INDEX(Clay_Brands!$A$2:$FZ$601,I614,$D$8)&amp;"","")</f>
        <v/>
      </c>
      <c r="M614" s="23" t="str">
        <f aca="false">IF(J614="","",IF(COUNTIF(Brand_Log!$A$2:$A$201,J614)&gt;0,"Y","N"))</f>
        <v/>
      </c>
      <c r="N614" s="34" t="str">
        <f aca="false">IF(OR(J614="",AND(LEFT(J614,6)="SAMPLE",Config!$B$19&lt;&gt;"Y")),"",IF(IFERROR(INDEX(Lists!$K$2:$K$15,MATCH(K614,Lists!$J$2:$J$15,0)),-1)=-1,"status '"&amp;K614&amp;"' is not a CONTRACTS status",IF(AND(K614="paid",COUNTIF(paid_brands!$AC$2:$AC$51,J614)=0),"status paid but no paid_brands row"&amp;IF(M614="N"," and no tracker row",""),IF(AND(IFERROR(INDEX(Lists!$K$2:$K$15,MATCH(K614,Lists!$J$2:$J$15,0)),-1)&gt;=6,M614="N"),"status "&amp;K614&amp;" but no tracker row",IF(AND(L614="Y",K614&lt;&gt;"do_not_contact"),"do_not_contact = Y but status is "&amp;K614,IF(AND(K614="do_not_contact",L614&lt;&gt;"Y"),"status do_not_contact but do_not_contact is not Y",""))))))</f>
        <v/>
      </c>
    </row>
    <row r="615" customFormat="false" ht="15" hidden="false" customHeight="false" outlineLevel="0" collapsed="false">
      <c r="B615" s="23" t="n">
        <v>594</v>
      </c>
      <c r="C615" s="23" t="str">
        <f aca="false">IFERROR(INDEX(Clay_Offices!$A$2:$FZ$601,B615,$C$5)&amp;"","")</f>
        <v/>
      </c>
      <c r="D615" s="23" t="str">
        <f aca="false">IFERROR(INDEX(Clay_Offices!$A$2:$FZ$601,B615,$C$7)&amp;"","")</f>
        <v/>
      </c>
      <c r="E615" s="23" t="str">
        <f aca="false">IFERROR(INDEX(Clay_Offices!$A$2:$FZ$601,B615,$C$8)&amp;"","")</f>
        <v/>
      </c>
      <c r="F615" s="23" t="str">
        <f aca="false">IF(C615="","",IF(COUNTIF(Office_Log!$A$2:$A$201,C615)&gt;0,"Y","N"))</f>
        <v/>
      </c>
      <c r="G615" s="34" t="str">
        <f aca="false">IF(OR(C615="",AND(LEFT(C615,6)="SAMPLE",Config!$B$19&lt;&gt;"Y")),"",IF(IFERROR(INDEX(Lists!$K$2:$K$15,MATCH(D615,Lists!$J$2:$J$15,0)),-1)=-1,"status '"&amp;D615&amp;"' is not a CONTRACTS status",IF(AND(D615="signed",COUNTIF(signed_offices!$W$2:$W$51,C615)=0),"status signed but no signed_offices row"&amp;IF(F615="N"," and no tracker row",""),IF(AND(IFERROR(INDEX(Lists!$K$2:$K$15,MATCH(D615,Lists!$J$2:$J$15,0)),-1)&gt;=6,F615="N"),"status "&amp;D615&amp;" but no tracker row",IF(AND(E615="Y",D615&lt;&gt;"do_not_contact"),"do_not_contact = Y but status is "&amp;D615,IF(AND(D615="do_not_contact",E615&lt;&gt;"Y"),"status do_not_contact but do_not_contact is not Y",""))))))</f>
        <v/>
      </c>
      <c r="I615" s="23" t="n">
        <v>594</v>
      </c>
      <c r="J615" s="23" t="str">
        <f aca="false">IFERROR(INDEX(Clay_Brands!$A$2:$FZ$601,I615,$D$5)&amp;"","")</f>
        <v/>
      </c>
      <c r="K615" s="23" t="str">
        <f aca="false">IFERROR(INDEX(Clay_Brands!$A$2:$FZ$601,I615,$D$7)&amp;"","")</f>
        <v/>
      </c>
      <c r="L615" s="23" t="str">
        <f aca="false">IFERROR(INDEX(Clay_Brands!$A$2:$FZ$601,I615,$D$8)&amp;"","")</f>
        <v/>
      </c>
      <c r="M615" s="23" t="str">
        <f aca="false">IF(J615="","",IF(COUNTIF(Brand_Log!$A$2:$A$201,J615)&gt;0,"Y","N"))</f>
        <v/>
      </c>
      <c r="N615" s="34" t="str">
        <f aca="false">IF(OR(J615="",AND(LEFT(J615,6)="SAMPLE",Config!$B$19&lt;&gt;"Y")),"",IF(IFERROR(INDEX(Lists!$K$2:$K$15,MATCH(K615,Lists!$J$2:$J$15,0)),-1)=-1,"status '"&amp;K615&amp;"' is not a CONTRACTS status",IF(AND(K615="paid",COUNTIF(paid_brands!$AC$2:$AC$51,J615)=0),"status paid but no paid_brands row"&amp;IF(M615="N"," and no tracker row",""),IF(AND(IFERROR(INDEX(Lists!$K$2:$K$15,MATCH(K615,Lists!$J$2:$J$15,0)),-1)&gt;=6,M615="N"),"status "&amp;K615&amp;" but no tracker row",IF(AND(L615="Y",K615&lt;&gt;"do_not_contact"),"do_not_contact = Y but status is "&amp;K615,IF(AND(K615="do_not_contact",L615&lt;&gt;"Y"),"status do_not_contact but do_not_contact is not Y",""))))))</f>
        <v/>
      </c>
    </row>
    <row r="616" customFormat="false" ht="15" hidden="false" customHeight="false" outlineLevel="0" collapsed="false">
      <c r="B616" s="23" t="n">
        <v>595</v>
      </c>
      <c r="C616" s="23" t="str">
        <f aca="false">IFERROR(INDEX(Clay_Offices!$A$2:$FZ$601,B616,$C$5)&amp;"","")</f>
        <v/>
      </c>
      <c r="D616" s="23" t="str">
        <f aca="false">IFERROR(INDEX(Clay_Offices!$A$2:$FZ$601,B616,$C$7)&amp;"","")</f>
        <v/>
      </c>
      <c r="E616" s="23" t="str">
        <f aca="false">IFERROR(INDEX(Clay_Offices!$A$2:$FZ$601,B616,$C$8)&amp;"","")</f>
        <v/>
      </c>
      <c r="F616" s="23" t="str">
        <f aca="false">IF(C616="","",IF(COUNTIF(Office_Log!$A$2:$A$201,C616)&gt;0,"Y","N"))</f>
        <v/>
      </c>
      <c r="G616" s="34" t="str">
        <f aca="false">IF(OR(C616="",AND(LEFT(C616,6)="SAMPLE",Config!$B$19&lt;&gt;"Y")),"",IF(IFERROR(INDEX(Lists!$K$2:$K$15,MATCH(D616,Lists!$J$2:$J$15,0)),-1)=-1,"status '"&amp;D616&amp;"' is not a CONTRACTS status",IF(AND(D616="signed",COUNTIF(signed_offices!$W$2:$W$51,C616)=0),"status signed but no signed_offices row"&amp;IF(F616="N"," and no tracker row",""),IF(AND(IFERROR(INDEX(Lists!$K$2:$K$15,MATCH(D616,Lists!$J$2:$J$15,0)),-1)&gt;=6,F616="N"),"status "&amp;D616&amp;" but no tracker row",IF(AND(E616="Y",D616&lt;&gt;"do_not_contact"),"do_not_contact = Y but status is "&amp;D616,IF(AND(D616="do_not_contact",E616&lt;&gt;"Y"),"status do_not_contact but do_not_contact is not Y",""))))))</f>
        <v/>
      </c>
      <c r="I616" s="23" t="n">
        <v>595</v>
      </c>
      <c r="J616" s="23" t="str">
        <f aca="false">IFERROR(INDEX(Clay_Brands!$A$2:$FZ$601,I616,$D$5)&amp;"","")</f>
        <v/>
      </c>
      <c r="K616" s="23" t="str">
        <f aca="false">IFERROR(INDEX(Clay_Brands!$A$2:$FZ$601,I616,$D$7)&amp;"","")</f>
        <v/>
      </c>
      <c r="L616" s="23" t="str">
        <f aca="false">IFERROR(INDEX(Clay_Brands!$A$2:$FZ$601,I616,$D$8)&amp;"","")</f>
        <v/>
      </c>
      <c r="M616" s="23" t="str">
        <f aca="false">IF(J616="","",IF(COUNTIF(Brand_Log!$A$2:$A$201,J616)&gt;0,"Y","N"))</f>
        <v/>
      </c>
      <c r="N616" s="34" t="str">
        <f aca="false">IF(OR(J616="",AND(LEFT(J616,6)="SAMPLE",Config!$B$19&lt;&gt;"Y")),"",IF(IFERROR(INDEX(Lists!$K$2:$K$15,MATCH(K616,Lists!$J$2:$J$15,0)),-1)=-1,"status '"&amp;K616&amp;"' is not a CONTRACTS status",IF(AND(K616="paid",COUNTIF(paid_brands!$AC$2:$AC$51,J616)=0),"status paid but no paid_brands row"&amp;IF(M616="N"," and no tracker row",""),IF(AND(IFERROR(INDEX(Lists!$K$2:$K$15,MATCH(K616,Lists!$J$2:$J$15,0)),-1)&gt;=6,M616="N"),"status "&amp;K616&amp;" but no tracker row",IF(AND(L616="Y",K616&lt;&gt;"do_not_contact"),"do_not_contact = Y but status is "&amp;K616,IF(AND(K616="do_not_contact",L616&lt;&gt;"Y"),"status do_not_contact but do_not_contact is not Y",""))))))</f>
        <v/>
      </c>
    </row>
    <row r="617" customFormat="false" ht="15" hidden="false" customHeight="false" outlineLevel="0" collapsed="false">
      <c r="B617" s="23" t="n">
        <v>596</v>
      </c>
      <c r="C617" s="23" t="str">
        <f aca="false">IFERROR(INDEX(Clay_Offices!$A$2:$FZ$601,B617,$C$5)&amp;"","")</f>
        <v/>
      </c>
      <c r="D617" s="23" t="str">
        <f aca="false">IFERROR(INDEX(Clay_Offices!$A$2:$FZ$601,B617,$C$7)&amp;"","")</f>
        <v/>
      </c>
      <c r="E617" s="23" t="str">
        <f aca="false">IFERROR(INDEX(Clay_Offices!$A$2:$FZ$601,B617,$C$8)&amp;"","")</f>
        <v/>
      </c>
      <c r="F617" s="23" t="str">
        <f aca="false">IF(C617="","",IF(COUNTIF(Office_Log!$A$2:$A$201,C617)&gt;0,"Y","N"))</f>
        <v/>
      </c>
      <c r="G617" s="34" t="str">
        <f aca="false">IF(OR(C617="",AND(LEFT(C617,6)="SAMPLE",Config!$B$19&lt;&gt;"Y")),"",IF(IFERROR(INDEX(Lists!$K$2:$K$15,MATCH(D617,Lists!$J$2:$J$15,0)),-1)=-1,"status '"&amp;D617&amp;"' is not a CONTRACTS status",IF(AND(D617="signed",COUNTIF(signed_offices!$W$2:$W$51,C617)=0),"status signed but no signed_offices row"&amp;IF(F617="N"," and no tracker row",""),IF(AND(IFERROR(INDEX(Lists!$K$2:$K$15,MATCH(D617,Lists!$J$2:$J$15,0)),-1)&gt;=6,F617="N"),"status "&amp;D617&amp;" but no tracker row",IF(AND(E617="Y",D617&lt;&gt;"do_not_contact"),"do_not_contact = Y but status is "&amp;D617,IF(AND(D617="do_not_contact",E617&lt;&gt;"Y"),"status do_not_contact but do_not_contact is not Y",""))))))</f>
        <v/>
      </c>
      <c r="I617" s="23" t="n">
        <v>596</v>
      </c>
      <c r="J617" s="23" t="str">
        <f aca="false">IFERROR(INDEX(Clay_Brands!$A$2:$FZ$601,I617,$D$5)&amp;"","")</f>
        <v/>
      </c>
      <c r="K617" s="23" t="str">
        <f aca="false">IFERROR(INDEX(Clay_Brands!$A$2:$FZ$601,I617,$D$7)&amp;"","")</f>
        <v/>
      </c>
      <c r="L617" s="23" t="str">
        <f aca="false">IFERROR(INDEX(Clay_Brands!$A$2:$FZ$601,I617,$D$8)&amp;"","")</f>
        <v/>
      </c>
      <c r="M617" s="23" t="str">
        <f aca="false">IF(J617="","",IF(COUNTIF(Brand_Log!$A$2:$A$201,J617)&gt;0,"Y","N"))</f>
        <v/>
      </c>
      <c r="N617" s="34" t="str">
        <f aca="false">IF(OR(J617="",AND(LEFT(J617,6)="SAMPLE",Config!$B$19&lt;&gt;"Y")),"",IF(IFERROR(INDEX(Lists!$K$2:$K$15,MATCH(K617,Lists!$J$2:$J$15,0)),-1)=-1,"status '"&amp;K617&amp;"' is not a CONTRACTS status",IF(AND(K617="paid",COUNTIF(paid_brands!$AC$2:$AC$51,J617)=0),"status paid but no paid_brands row"&amp;IF(M617="N"," and no tracker row",""),IF(AND(IFERROR(INDEX(Lists!$K$2:$K$15,MATCH(K617,Lists!$J$2:$J$15,0)),-1)&gt;=6,M617="N"),"status "&amp;K617&amp;" but no tracker row",IF(AND(L617="Y",K617&lt;&gt;"do_not_contact"),"do_not_contact = Y but status is "&amp;K617,IF(AND(K617="do_not_contact",L617&lt;&gt;"Y"),"status do_not_contact but do_not_contact is not Y",""))))))</f>
        <v/>
      </c>
    </row>
    <row r="618" customFormat="false" ht="15" hidden="false" customHeight="false" outlineLevel="0" collapsed="false">
      <c r="B618" s="23" t="n">
        <v>597</v>
      </c>
      <c r="C618" s="23" t="str">
        <f aca="false">IFERROR(INDEX(Clay_Offices!$A$2:$FZ$601,B618,$C$5)&amp;"","")</f>
        <v/>
      </c>
      <c r="D618" s="23" t="str">
        <f aca="false">IFERROR(INDEX(Clay_Offices!$A$2:$FZ$601,B618,$C$7)&amp;"","")</f>
        <v/>
      </c>
      <c r="E618" s="23" t="str">
        <f aca="false">IFERROR(INDEX(Clay_Offices!$A$2:$FZ$601,B618,$C$8)&amp;"","")</f>
        <v/>
      </c>
      <c r="F618" s="23" t="str">
        <f aca="false">IF(C618="","",IF(COUNTIF(Office_Log!$A$2:$A$201,C618)&gt;0,"Y","N"))</f>
        <v/>
      </c>
      <c r="G618" s="34" t="str">
        <f aca="false">IF(OR(C618="",AND(LEFT(C618,6)="SAMPLE",Config!$B$19&lt;&gt;"Y")),"",IF(IFERROR(INDEX(Lists!$K$2:$K$15,MATCH(D618,Lists!$J$2:$J$15,0)),-1)=-1,"status '"&amp;D618&amp;"' is not a CONTRACTS status",IF(AND(D618="signed",COUNTIF(signed_offices!$W$2:$W$51,C618)=0),"status signed but no signed_offices row"&amp;IF(F618="N"," and no tracker row",""),IF(AND(IFERROR(INDEX(Lists!$K$2:$K$15,MATCH(D618,Lists!$J$2:$J$15,0)),-1)&gt;=6,F618="N"),"status "&amp;D618&amp;" but no tracker row",IF(AND(E618="Y",D618&lt;&gt;"do_not_contact"),"do_not_contact = Y but status is "&amp;D618,IF(AND(D618="do_not_contact",E618&lt;&gt;"Y"),"status do_not_contact but do_not_contact is not Y",""))))))</f>
        <v/>
      </c>
      <c r="I618" s="23" t="n">
        <v>597</v>
      </c>
      <c r="J618" s="23" t="str">
        <f aca="false">IFERROR(INDEX(Clay_Brands!$A$2:$FZ$601,I618,$D$5)&amp;"","")</f>
        <v/>
      </c>
      <c r="K618" s="23" t="str">
        <f aca="false">IFERROR(INDEX(Clay_Brands!$A$2:$FZ$601,I618,$D$7)&amp;"","")</f>
        <v/>
      </c>
      <c r="L618" s="23" t="str">
        <f aca="false">IFERROR(INDEX(Clay_Brands!$A$2:$FZ$601,I618,$D$8)&amp;"","")</f>
        <v/>
      </c>
      <c r="M618" s="23" t="str">
        <f aca="false">IF(J618="","",IF(COUNTIF(Brand_Log!$A$2:$A$201,J618)&gt;0,"Y","N"))</f>
        <v/>
      </c>
      <c r="N618" s="34" t="str">
        <f aca="false">IF(OR(J618="",AND(LEFT(J618,6)="SAMPLE",Config!$B$19&lt;&gt;"Y")),"",IF(IFERROR(INDEX(Lists!$K$2:$K$15,MATCH(K618,Lists!$J$2:$J$15,0)),-1)=-1,"status '"&amp;K618&amp;"' is not a CONTRACTS status",IF(AND(K618="paid",COUNTIF(paid_brands!$AC$2:$AC$51,J618)=0),"status paid but no paid_brands row"&amp;IF(M618="N"," and no tracker row",""),IF(AND(IFERROR(INDEX(Lists!$K$2:$K$15,MATCH(K618,Lists!$J$2:$J$15,0)),-1)&gt;=6,M618="N"),"status "&amp;K618&amp;" but no tracker row",IF(AND(L618="Y",K618&lt;&gt;"do_not_contact"),"do_not_contact = Y but status is "&amp;K618,IF(AND(K618="do_not_contact",L618&lt;&gt;"Y"),"status do_not_contact but do_not_contact is not Y",""))))))</f>
        <v/>
      </c>
    </row>
    <row r="619" customFormat="false" ht="15" hidden="false" customHeight="false" outlineLevel="0" collapsed="false">
      <c r="B619" s="23" t="n">
        <v>598</v>
      </c>
      <c r="C619" s="23" t="str">
        <f aca="false">IFERROR(INDEX(Clay_Offices!$A$2:$FZ$601,B619,$C$5)&amp;"","")</f>
        <v/>
      </c>
      <c r="D619" s="23" t="str">
        <f aca="false">IFERROR(INDEX(Clay_Offices!$A$2:$FZ$601,B619,$C$7)&amp;"","")</f>
        <v/>
      </c>
      <c r="E619" s="23" t="str">
        <f aca="false">IFERROR(INDEX(Clay_Offices!$A$2:$FZ$601,B619,$C$8)&amp;"","")</f>
        <v/>
      </c>
      <c r="F619" s="23" t="str">
        <f aca="false">IF(C619="","",IF(COUNTIF(Office_Log!$A$2:$A$201,C619)&gt;0,"Y","N"))</f>
        <v/>
      </c>
      <c r="G619" s="34" t="str">
        <f aca="false">IF(OR(C619="",AND(LEFT(C619,6)="SAMPLE",Config!$B$19&lt;&gt;"Y")),"",IF(IFERROR(INDEX(Lists!$K$2:$K$15,MATCH(D619,Lists!$J$2:$J$15,0)),-1)=-1,"status '"&amp;D619&amp;"' is not a CONTRACTS status",IF(AND(D619="signed",COUNTIF(signed_offices!$W$2:$W$51,C619)=0),"status signed but no signed_offices row"&amp;IF(F619="N"," and no tracker row",""),IF(AND(IFERROR(INDEX(Lists!$K$2:$K$15,MATCH(D619,Lists!$J$2:$J$15,0)),-1)&gt;=6,F619="N"),"status "&amp;D619&amp;" but no tracker row",IF(AND(E619="Y",D619&lt;&gt;"do_not_contact"),"do_not_contact = Y but status is "&amp;D619,IF(AND(D619="do_not_contact",E619&lt;&gt;"Y"),"status do_not_contact but do_not_contact is not Y",""))))))</f>
        <v/>
      </c>
      <c r="I619" s="23" t="n">
        <v>598</v>
      </c>
      <c r="J619" s="23" t="str">
        <f aca="false">IFERROR(INDEX(Clay_Brands!$A$2:$FZ$601,I619,$D$5)&amp;"","")</f>
        <v/>
      </c>
      <c r="K619" s="23" t="str">
        <f aca="false">IFERROR(INDEX(Clay_Brands!$A$2:$FZ$601,I619,$D$7)&amp;"","")</f>
        <v/>
      </c>
      <c r="L619" s="23" t="str">
        <f aca="false">IFERROR(INDEX(Clay_Brands!$A$2:$FZ$601,I619,$D$8)&amp;"","")</f>
        <v/>
      </c>
      <c r="M619" s="23" t="str">
        <f aca="false">IF(J619="","",IF(COUNTIF(Brand_Log!$A$2:$A$201,J619)&gt;0,"Y","N"))</f>
        <v/>
      </c>
      <c r="N619" s="34" t="str">
        <f aca="false">IF(OR(J619="",AND(LEFT(J619,6)="SAMPLE",Config!$B$19&lt;&gt;"Y")),"",IF(IFERROR(INDEX(Lists!$K$2:$K$15,MATCH(K619,Lists!$J$2:$J$15,0)),-1)=-1,"status '"&amp;K619&amp;"' is not a CONTRACTS status",IF(AND(K619="paid",COUNTIF(paid_brands!$AC$2:$AC$51,J619)=0),"status paid but no paid_brands row"&amp;IF(M619="N"," and no tracker row",""),IF(AND(IFERROR(INDEX(Lists!$K$2:$K$15,MATCH(K619,Lists!$J$2:$J$15,0)),-1)&gt;=6,M619="N"),"status "&amp;K619&amp;" but no tracker row",IF(AND(L619="Y",K619&lt;&gt;"do_not_contact"),"do_not_contact = Y but status is "&amp;K619,IF(AND(K619="do_not_contact",L619&lt;&gt;"Y"),"status do_not_contact but do_not_contact is not Y",""))))))</f>
        <v/>
      </c>
    </row>
    <row r="620" customFormat="false" ht="15" hidden="false" customHeight="false" outlineLevel="0" collapsed="false">
      <c r="B620" s="23" t="n">
        <v>599</v>
      </c>
      <c r="C620" s="23" t="str">
        <f aca="false">IFERROR(INDEX(Clay_Offices!$A$2:$FZ$601,B620,$C$5)&amp;"","")</f>
        <v/>
      </c>
      <c r="D620" s="23" t="str">
        <f aca="false">IFERROR(INDEX(Clay_Offices!$A$2:$FZ$601,B620,$C$7)&amp;"","")</f>
        <v/>
      </c>
      <c r="E620" s="23" t="str">
        <f aca="false">IFERROR(INDEX(Clay_Offices!$A$2:$FZ$601,B620,$C$8)&amp;"","")</f>
        <v/>
      </c>
      <c r="F620" s="23" t="str">
        <f aca="false">IF(C620="","",IF(COUNTIF(Office_Log!$A$2:$A$201,C620)&gt;0,"Y","N"))</f>
        <v/>
      </c>
      <c r="G620" s="34" t="str">
        <f aca="false">IF(OR(C620="",AND(LEFT(C620,6)="SAMPLE",Config!$B$19&lt;&gt;"Y")),"",IF(IFERROR(INDEX(Lists!$K$2:$K$15,MATCH(D620,Lists!$J$2:$J$15,0)),-1)=-1,"status '"&amp;D620&amp;"' is not a CONTRACTS status",IF(AND(D620="signed",COUNTIF(signed_offices!$W$2:$W$51,C620)=0),"status signed but no signed_offices row"&amp;IF(F620="N"," and no tracker row",""),IF(AND(IFERROR(INDEX(Lists!$K$2:$K$15,MATCH(D620,Lists!$J$2:$J$15,0)),-1)&gt;=6,F620="N"),"status "&amp;D620&amp;" but no tracker row",IF(AND(E620="Y",D620&lt;&gt;"do_not_contact"),"do_not_contact = Y but status is "&amp;D620,IF(AND(D620="do_not_contact",E620&lt;&gt;"Y"),"status do_not_contact but do_not_contact is not Y",""))))))</f>
        <v/>
      </c>
      <c r="I620" s="23" t="n">
        <v>599</v>
      </c>
      <c r="J620" s="23" t="str">
        <f aca="false">IFERROR(INDEX(Clay_Brands!$A$2:$FZ$601,I620,$D$5)&amp;"","")</f>
        <v/>
      </c>
      <c r="K620" s="23" t="str">
        <f aca="false">IFERROR(INDEX(Clay_Brands!$A$2:$FZ$601,I620,$D$7)&amp;"","")</f>
        <v/>
      </c>
      <c r="L620" s="23" t="str">
        <f aca="false">IFERROR(INDEX(Clay_Brands!$A$2:$FZ$601,I620,$D$8)&amp;"","")</f>
        <v/>
      </c>
      <c r="M620" s="23" t="str">
        <f aca="false">IF(J620="","",IF(COUNTIF(Brand_Log!$A$2:$A$201,J620)&gt;0,"Y","N"))</f>
        <v/>
      </c>
      <c r="N620" s="34" t="str">
        <f aca="false">IF(OR(J620="",AND(LEFT(J620,6)="SAMPLE",Config!$B$19&lt;&gt;"Y")),"",IF(IFERROR(INDEX(Lists!$K$2:$K$15,MATCH(K620,Lists!$J$2:$J$15,0)),-1)=-1,"status '"&amp;K620&amp;"' is not a CONTRACTS status",IF(AND(K620="paid",COUNTIF(paid_brands!$AC$2:$AC$51,J620)=0),"status paid but no paid_brands row"&amp;IF(M620="N"," and no tracker row",""),IF(AND(IFERROR(INDEX(Lists!$K$2:$K$15,MATCH(K620,Lists!$J$2:$J$15,0)),-1)&gt;=6,M620="N"),"status "&amp;K620&amp;" but no tracker row",IF(AND(L620="Y",K620&lt;&gt;"do_not_contact"),"do_not_contact = Y but status is "&amp;K620,IF(AND(K620="do_not_contact",L620&lt;&gt;"Y"),"status do_not_contact but do_not_contact is not Y",""))))))</f>
        <v/>
      </c>
    </row>
    <row r="621" customFormat="false" ht="15" hidden="false" customHeight="false" outlineLevel="0" collapsed="false">
      <c r="B621" s="23" t="n">
        <v>600</v>
      </c>
      <c r="C621" s="23" t="str">
        <f aca="false">IFERROR(INDEX(Clay_Offices!$A$2:$FZ$601,B621,$C$5)&amp;"","")</f>
        <v/>
      </c>
      <c r="D621" s="23" t="str">
        <f aca="false">IFERROR(INDEX(Clay_Offices!$A$2:$FZ$601,B621,$C$7)&amp;"","")</f>
        <v/>
      </c>
      <c r="E621" s="23" t="str">
        <f aca="false">IFERROR(INDEX(Clay_Offices!$A$2:$FZ$601,B621,$C$8)&amp;"","")</f>
        <v/>
      </c>
      <c r="F621" s="23" t="str">
        <f aca="false">IF(C621="","",IF(COUNTIF(Office_Log!$A$2:$A$201,C621)&gt;0,"Y","N"))</f>
        <v/>
      </c>
      <c r="G621" s="34" t="str">
        <f aca="false">IF(OR(C621="",AND(LEFT(C621,6)="SAMPLE",Config!$B$19&lt;&gt;"Y")),"",IF(IFERROR(INDEX(Lists!$K$2:$K$15,MATCH(D621,Lists!$J$2:$J$15,0)),-1)=-1,"status '"&amp;D621&amp;"' is not a CONTRACTS status",IF(AND(D621="signed",COUNTIF(signed_offices!$W$2:$W$51,C621)=0),"status signed but no signed_offices row"&amp;IF(F621="N"," and no tracker row",""),IF(AND(IFERROR(INDEX(Lists!$K$2:$K$15,MATCH(D621,Lists!$J$2:$J$15,0)),-1)&gt;=6,F621="N"),"status "&amp;D621&amp;" but no tracker row",IF(AND(E621="Y",D621&lt;&gt;"do_not_contact"),"do_not_contact = Y but status is "&amp;D621,IF(AND(D621="do_not_contact",E621&lt;&gt;"Y"),"status do_not_contact but do_not_contact is not Y",""))))))</f>
        <v/>
      </c>
      <c r="I621" s="23" t="n">
        <v>600</v>
      </c>
      <c r="J621" s="23" t="str">
        <f aca="false">IFERROR(INDEX(Clay_Brands!$A$2:$FZ$601,I621,$D$5)&amp;"","")</f>
        <v/>
      </c>
      <c r="K621" s="23" t="str">
        <f aca="false">IFERROR(INDEX(Clay_Brands!$A$2:$FZ$601,I621,$D$7)&amp;"","")</f>
        <v/>
      </c>
      <c r="L621" s="23" t="str">
        <f aca="false">IFERROR(INDEX(Clay_Brands!$A$2:$FZ$601,I621,$D$8)&amp;"","")</f>
        <v/>
      </c>
      <c r="M621" s="23" t="str">
        <f aca="false">IF(J621="","",IF(COUNTIF(Brand_Log!$A$2:$A$201,J621)&gt;0,"Y","N"))</f>
        <v/>
      </c>
      <c r="N621" s="34" t="str">
        <f aca="false">IF(OR(J621="",AND(LEFT(J621,6)="SAMPLE",Config!$B$19&lt;&gt;"Y")),"",IF(IFERROR(INDEX(Lists!$K$2:$K$15,MATCH(K621,Lists!$J$2:$J$15,0)),-1)=-1,"status '"&amp;K621&amp;"' is not a CONTRACTS status",IF(AND(K621="paid",COUNTIF(paid_brands!$AC$2:$AC$51,J621)=0),"status paid but no paid_brands row"&amp;IF(M621="N"," and no tracker row",""),IF(AND(IFERROR(INDEX(Lists!$K$2:$K$15,MATCH(K621,Lists!$J$2:$J$15,0)),-1)&gt;=6,M621="N"),"status "&amp;K621&amp;" but no tracker row",IF(AND(L621="Y",K621&lt;&gt;"do_not_contact"),"do_not_contact = Y but status is "&amp;K621,IF(AND(K621="do_not_contact",L621&lt;&gt;"Y"),"status do_not_contact but do_not_contact is not Y",""))))))</f>
        <v/>
      </c>
    </row>
  </sheetData>
  <conditionalFormatting sqref="G22:G621">
    <cfRule type="expression" priority="2" aboveAverage="0" equalAverage="0" bottom="0" percent="0" rank="0" text="" dxfId="2">
      <formula>LEN(G22)&gt;0</formula>
    </cfRule>
  </conditionalFormatting>
  <conditionalFormatting sqref="N22:N621">
    <cfRule type="expression" priority="3" aboveAverage="0" equalAverage="0" bottom="0" percent="0" rank="0" text="" dxfId="2">
      <formula>LEN(N22)&gt;0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8"/>
    <col collapsed="false" customWidth="true" hidden="false" outlineLevel="0" max="3" min="3" style="0" width="15"/>
    <col collapsed="false" customWidth="true" hidden="false" outlineLevel="0" max="4" min="4" style="0" width="20"/>
    <col collapsed="false" customWidth="true" hidden="false" outlineLevel="0" max="5" min="5" style="0" width="16"/>
    <col collapsed="false" customWidth="true" hidden="false" outlineLevel="0" max="6" min="6" style="0" width="10"/>
    <col collapsed="false" customWidth="true" hidden="false" outlineLevel="0" max="7" min="7" style="0" width="30"/>
    <col collapsed="false" customWidth="true" hidden="false" outlineLevel="0" max="8" min="8" style="0" width="9"/>
    <col collapsed="false" customWidth="true" hidden="false" outlineLevel="0" max="9" min="9" style="0" width="30"/>
  </cols>
  <sheetData>
    <row r="1" customFormat="false" ht="28.35" hidden="false" customHeight="false" outlineLevel="0" collapsed="false">
      <c r="A1" s="8" t="s">
        <v>1037</v>
      </c>
      <c r="B1" s="8" t="s">
        <v>1038</v>
      </c>
      <c r="C1" s="8" t="s">
        <v>1346</v>
      </c>
      <c r="D1" s="8" t="s">
        <v>1039</v>
      </c>
      <c r="E1" s="8" t="s">
        <v>1040</v>
      </c>
      <c r="F1" s="8" t="s">
        <v>1041</v>
      </c>
      <c r="G1" s="8" t="s">
        <v>1042</v>
      </c>
      <c r="H1" s="8" t="s">
        <v>605</v>
      </c>
      <c r="I1" s="8" t="s">
        <v>349</v>
      </c>
    </row>
    <row r="2" customFormat="false" ht="15" hidden="false" customHeight="false" outlineLevel="0" collapsed="false">
      <c r="A2" s="33" t="n">
        <f aca="false">IF(Pipeline_Sort!$C2="","",INDEX(Pipeline_Calc!$B$2:$B$5251,Pipeline_Sort!$C2))</f>
        <v>46321</v>
      </c>
      <c r="B2" s="0" t="str">
        <f aca="false">IF(Pipeline_Sort!$C2="","",INDEX(Pipeline_Calc!$C$2:$C$5251,Pipeline_Sort!$C2))</f>
        <v>office</v>
      </c>
      <c r="C2" s="0" t="str">
        <f aca="false">IF(Pipeline_Sort!$C2="","",INDEX(Pipeline_Calc!$D$2:$D$5251,Pipeline_Sort!$C2))</f>
        <v>SAMPLE-O-001</v>
      </c>
      <c r="D2" s="0" t="str">
        <f aca="false">IF(Pipeline_Sort!$C2="","",INDEX(Pipeline_Calc!$E$2:$E$5251,Pipeline_Sort!$C2))</f>
        <v>SAMPLE Office 01</v>
      </c>
      <c r="E2" s="0" t="str">
        <f aca="false">IF(Pipeline_Sort!$C2="","",INDEX(Pipeline_Calc!$F$2:$F$5251,Pipeline_Sort!$C2))</f>
        <v>outreach_sent</v>
      </c>
      <c r="F2" s="0" t="str">
        <f aca="false">IF(Pipeline_Sort!$C2="","",INDEX(Pipeline_Calc!$G$2:$G$5251,Pipeline_Sort!$C2))</f>
        <v/>
      </c>
      <c r="G2" s="0" t="str">
        <f aca="false">IF(Pipeline_Sort!$C2="","",INDEX(Pipeline_Calc!$H$2:$H$5251,Pipeline_Sort!$C2))</f>
        <v/>
      </c>
      <c r="H2" s="0" t="str">
        <f aca="false">IF(Pipeline_Sort!$C2="","",INDEX(Pipeline_Calc!$I$2:$I$5251,Pipeline_Sort!$C2))</f>
        <v/>
      </c>
      <c r="I2" s="0" t="str">
        <f aca="false">IF(Pipeline_Sort!$C2="","",INDEX(Pipeline_Calc!$J$2:$J$5251,Pipeline_Sort!$C2))</f>
        <v>touch_1; office-discovery-A; warm-intro</v>
      </c>
    </row>
    <row r="3" customFormat="false" ht="15" hidden="false" customHeight="false" outlineLevel="0" collapsed="false">
      <c r="A3" s="33" t="n">
        <f aca="false">IF(Pipeline_Sort!$C3="","",INDEX(Pipeline_Calc!$B$2:$B$5251,Pipeline_Sort!$C3))</f>
        <v>46321</v>
      </c>
      <c r="B3" s="0" t="str">
        <f aca="false">IF(Pipeline_Sort!$C3="","",INDEX(Pipeline_Calc!$C$2:$C$5251,Pipeline_Sort!$C3))</f>
        <v>office</v>
      </c>
      <c r="C3" s="0" t="str">
        <f aca="false">IF(Pipeline_Sort!$C3="","",INDEX(Pipeline_Calc!$D$2:$D$5251,Pipeline_Sort!$C3))</f>
        <v>SAMPLE-O-002</v>
      </c>
      <c r="D3" s="0" t="str">
        <f aca="false">IF(Pipeline_Sort!$C3="","",INDEX(Pipeline_Calc!$E$2:$E$5251,Pipeline_Sort!$C3))</f>
        <v>SAMPLE Office 02</v>
      </c>
      <c r="E3" s="0" t="str">
        <f aca="false">IF(Pipeline_Sort!$C3="","",INDEX(Pipeline_Calc!$F$2:$F$5251,Pipeline_Sort!$C3))</f>
        <v>outreach_sent</v>
      </c>
      <c r="F3" s="0" t="str">
        <f aca="false">IF(Pipeline_Sort!$C3="","",INDEX(Pipeline_Calc!$G$2:$G$5251,Pipeline_Sort!$C3))</f>
        <v/>
      </c>
      <c r="G3" s="0" t="str">
        <f aca="false">IF(Pipeline_Sort!$C3="","",INDEX(Pipeline_Calc!$H$2:$H$5251,Pipeline_Sort!$C3))</f>
        <v/>
      </c>
      <c r="H3" s="0" t="str">
        <f aca="false">IF(Pipeline_Sort!$C3="","",INDEX(Pipeline_Calc!$I$2:$I$5251,Pipeline_Sort!$C3))</f>
        <v/>
      </c>
      <c r="I3" s="0" t="str">
        <f aca="false">IF(Pipeline_Sort!$C3="","",INDEX(Pipeline_Calc!$J$2:$J$5251,Pipeline_Sort!$C3))</f>
        <v>touch_1; office-discovery-B; linkedin</v>
      </c>
    </row>
    <row r="4" customFormat="false" ht="15" hidden="false" customHeight="false" outlineLevel="0" collapsed="false">
      <c r="A4" s="33" t="n">
        <f aca="false">IF(Pipeline_Sort!$C4="","",INDEX(Pipeline_Calc!$B$2:$B$5251,Pipeline_Sort!$C4))</f>
        <v>46321</v>
      </c>
      <c r="B4" s="0" t="str">
        <f aca="false">IF(Pipeline_Sort!$C4="","",INDEX(Pipeline_Calc!$C$2:$C$5251,Pipeline_Sort!$C4))</f>
        <v>office</v>
      </c>
      <c r="C4" s="0" t="str">
        <f aca="false">IF(Pipeline_Sort!$C4="","",INDEX(Pipeline_Calc!$D$2:$D$5251,Pipeline_Sort!$C4))</f>
        <v>SAMPLE-O-003</v>
      </c>
      <c r="D4" s="0" t="str">
        <f aca="false">IF(Pipeline_Sort!$C4="","",INDEX(Pipeline_Calc!$E$2:$E$5251,Pipeline_Sort!$C4))</f>
        <v>SAMPLE Office 03</v>
      </c>
      <c r="E4" s="0" t="str">
        <f aca="false">IF(Pipeline_Sort!$C4="","",INDEX(Pipeline_Calc!$F$2:$F$5251,Pipeline_Sort!$C4))</f>
        <v>outreach_sent</v>
      </c>
      <c r="F4" s="0" t="str">
        <f aca="false">IF(Pipeline_Sort!$C4="","",INDEX(Pipeline_Calc!$G$2:$G$5251,Pipeline_Sort!$C4))</f>
        <v/>
      </c>
      <c r="G4" s="0" t="str">
        <f aca="false">IF(Pipeline_Sort!$C4="","",INDEX(Pipeline_Calc!$H$2:$H$5251,Pipeline_Sort!$C4))</f>
        <v/>
      </c>
      <c r="H4" s="0" t="str">
        <f aca="false">IF(Pipeline_Sort!$C4="","",INDEX(Pipeline_Calc!$I$2:$I$5251,Pipeline_Sort!$C4))</f>
        <v/>
      </c>
      <c r="I4" s="0" t="str">
        <f aca="false">IF(Pipeline_Sort!$C4="","",INDEX(Pipeline_Calc!$J$2:$J$5251,Pipeline_Sort!$C4))</f>
        <v>touch_1; office-discovery-A; walk-in</v>
      </c>
    </row>
    <row r="5" customFormat="false" ht="15" hidden="false" customHeight="false" outlineLevel="0" collapsed="false">
      <c r="A5" s="33" t="n">
        <f aca="false">IF(Pipeline_Sort!$C5="","",INDEX(Pipeline_Calc!$B$2:$B$5251,Pipeline_Sort!$C5))</f>
        <v>46321</v>
      </c>
      <c r="B5" s="0" t="str">
        <f aca="false">IF(Pipeline_Sort!$C5="","",INDEX(Pipeline_Calc!$C$2:$C$5251,Pipeline_Sort!$C5))</f>
        <v>office</v>
      </c>
      <c r="C5" s="0" t="str">
        <f aca="false">IF(Pipeline_Sort!$C5="","",INDEX(Pipeline_Calc!$D$2:$D$5251,Pipeline_Sort!$C5))</f>
        <v>SAMPLE-O-019</v>
      </c>
      <c r="D5" s="0" t="str">
        <f aca="false">IF(Pipeline_Sort!$C5="","",INDEX(Pipeline_Calc!$E$2:$E$5251,Pipeline_Sort!$C5))</f>
        <v>SAMPLE Office 19</v>
      </c>
      <c r="E5" s="0" t="str">
        <f aca="false">IF(Pipeline_Sort!$C5="","",INDEX(Pipeline_Calc!$F$2:$F$5251,Pipeline_Sort!$C5))</f>
        <v>outreach_sent</v>
      </c>
      <c r="F5" s="0" t="str">
        <f aca="false">IF(Pipeline_Sort!$C5="","",INDEX(Pipeline_Calc!$G$2:$G$5251,Pipeline_Sort!$C5))</f>
        <v/>
      </c>
      <c r="G5" s="0" t="str">
        <f aca="false">IF(Pipeline_Sort!$C5="","",INDEX(Pipeline_Calc!$H$2:$H$5251,Pipeline_Sort!$C5))</f>
        <v/>
      </c>
      <c r="H5" s="0" t="str">
        <f aca="false">IF(Pipeline_Sort!$C5="","",INDEX(Pipeline_Calc!$I$2:$I$5251,Pipeline_Sort!$C5))</f>
        <v/>
      </c>
      <c r="I5" s="0" t="str">
        <f aca="false">IF(Pipeline_Sort!$C5="","",INDEX(Pipeline_Calc!$J$2:$J$5251,Pipeline_Sort!$C5))</f>
        <v>touch_1; office-discovery-A; linkedin</v>
      </c>
    </row>
    <row r="6" customFormat="false" ht="15" hidden="false" customHeight="false" outlineLevel="0" collapsed="false">
      <c r="A6" s="33" t="n">
        <f aca="false">IF(Pipeline_Sort!$C6="","",INDEX(Pipeline_Calc!$B$2:$B$5251,Pipeline_Sort!$C6))</f>
        <v>46321</v>
      </c>
      <c r="B6" s="0" t="str">
        <f aca="false">IF(Pipeline_Sort!$C6="","",INDEX(Pipeline_Calc!$C$2:$C$5251,Pipeline_Sort!$C6))</f>
        <v>office</v>
      </c>
      <c r="C6" s="0" t="str">
        <f aca="false">IF(Pipeline_Sort!$C6="","",INDEX(Pipeline_Calc!$D$2:$D$5251,Pipeline_Sort!$C6))</f>
        <v>SAMPLE-O-038</v>
      </c>
      <c r="D6" s="0" t="str">
        <f aca="false">IF(Pipeline_Sort!$C6="","",INDEX(Pipeline_Calc!$E$2:$E$5251,Pipeline_Sort!$C6))</f>
        <v>SAMPLE Office 38</v>
      </c>
      <c r="E6" s="0" t="str">
        <f aca="false">IF(Pipeline_Sort!$C6="","",INDEX(Pipeline_Calc!$F$2:$F$5251,Pipeline_Sort!$C6))</f>
        <v>outreach_sent</v>
      </c>
      <c r="F6" s="0" t="str">
        <f aca="false">IF(Pipeline_Sort!$C6="","",INDEX(Pipeline_Calc!$G$2:$G$5251,Pipeline_Sort!$C6))</f>
        <v/>
      </c>
      <c r="G6" s="0" t="str">
        <f aca="false">IF(Pipeline_Sort!$C6="","",INDEX(Pipeline_Calc!$H$2:$H$5251,Pipeline_Sort!$C6))</f>
        <v/>
      </c>
      <c r="H6" s="0" t="str">
        <f aca="false">IF(Pipeline_Sort!$C6="","",INDEX(Pipeline_Calc!$I$2:$I$5251,Pipeline_Sort!$C6))</f>
        <v/>
      </c>
      <c r="I6" s="0" t="str">
        <f aca="false">IF(Pipeline_Sort!$C6="","",INDEX(Pipeline_Calc!$J$2:$J$5251,Pipeline_Sort!$C6))</f>
        <v>touch_1; office-discovery-B; linkedin</v>
      </c>
    </row>
    <row r="7" customFormat="false" ht="15" hidden="false" customHeight="false" outlineLevel="0" collapsed="false">
      <c r="A7" s="33" t="n">
        <f aca="false">IF(Pipeline_Sort!$C7="","",INDEX(Pipeline_Calc!$B$2:$B$5251,Pipeline_Sort!$C7))</f>
        <v>46321</v>
      </c>
      <c r="B7" s="0" t="str">
        <f aca="false">IF(Pipeline_Sort!$C7="","",INDEX(Pipeline_Calc!$C$2:$C$5251,Pipeline_Sort!$C7))</f>
        <v>brand</v>
      </c>
      <c r="C7" s="0" t="str">
        <f aca="false">IF(Pipeline_Sort!$C7="","",INDEX(Pipeline_Calc!$D$2:$D$5251,Pipeline_Sort!$C7))</f>
        <v>SAMPLE-B-001</v>
      </c>
      <c r="D7" s="0" t="str">
        <f aca="false">IF(Pipeline_Sort!$C7="","",INDEX(Pipeline_Calc!$E$2:$E$5251,Pipeline_Sort!$C7))</f>
        <v>SAMPLE Brand 01</v>
      </c>
      <c r="E7" s="0" t="str">
        <f aca="false">IF(Pipeline_Sort!$C7="","",INDEX(Pipeline_Calc!$F$2:$F$5251,Pipeline_Sort!$C7))</f>
        <v>outreach_sent</v>
      </c>
      <c r="F7" s="0" t="str">
        <f aca="false">IF(Pipeline_Sort!$C7="","",INDEX(Pipeline_Calc!$G$2:$G$5251,Pipeline_Sort!$C7))</f>
        <v/>
      </c>
      <c r="G7" s="0" t="str">
        <f aca="false">IF(Pipeline_Sort!$C7="","",INDEX(Pipeline_Calc!$H$2:$H$5251,Pipeline_Sort!$C7))</f>
        <v/>
      </c>
      <c r="H7" s="0" t="str">
        <f aca="false">IF(Pipeline_Sort!$C7="","",INDEX(Pipeline_Calc!$I$2:$I$5251,Pipeline_Sort!$C7))</f>
        <v/>
      </c>
      <c r="I7" s="0" t="str">
        <f aca="false">IF(Pipeline_Sort!$C7="","",INDEX(Pipeline_Calc!$J$2:$J$5251,Pipeline_Sort!$C7))</f>
        <v>touch_1; brand-discovery-A; warm-intro</v>
      </c>
    </row>
    <row r="8" customFormat="false" ht="15" hidden="false" customHeight="false" outlineLevel="0" collapsed="false">
      <c r="A8" s="33" t="n">
        <f aca="false">IF(Pipeline_Sort!$C8="","",INDEX(Pipeline_Calc!$B$2:$B$5251,Pipeline_Sort!$C8))</f>
        <v>46321</v>
      </c>
      <c r="B8" s="0" t="str">
        <f aca="false">IF(Pipeline_Sort!$C8="","",INDEX(Pipeline_Calc!$C$2:$C$5251,Pipeline_Sort!$C8))</f>
        <v>brand</v>
      </c>
      <c r="C8" s="0" t="str">
        <f aca="false">IF(Pipeline_Sort!$C8="","",INDEX(Pipeline_Calc!$D$2:$D$5251,Pipeline_Sort!$C8))</f>
        <v>SAMPLE-B-002</v>
      </c>
      <c r="D8" s="0" t="str">
        <f aca="false">IF(Pipeline_Sort!$C8="","",INDEX(Pipeline_Calc!$E$2:$E$5251,Pipeline_Sort!$C8))</f>
        <v>SAMPLE Brand 02</v>
      </c>
      <c r="E8" s="0" t="str">
        <f aca="false">IF(Pipeline_Sort!$C8="","",INDEX(Pipeline_Calc!$F$2:$F$5251,Pipeline_Sort!$C8))</f>
        <v>outreach_sent</v>
      </c>
      <c r="F8" s="0" t="str">
        <f aca="false">IF(Pipeline_Sort!$C8="","",INDEX(Pipeline_Calc!$G$2:$G$5251,Pipeline_Sort!$C8))</f>
        <v/>
      </c>
      <c r="G8" s="0" t="str">
        <f aca="false">IF(Pipeline_Sort!$C8="","",INDEX(Pipeline_Calc!$H$2:$H$5251,Pipeline_Sort!$C8))</f>
        <v/>
      </c>
      <c r="H8" s="0" t="str">
        <f aca="false">IF(Pipeline_Sort!$C8="","",INDEX(Pipeline_Calc!$I$2:$I$5251,Pipeline_Sort!$C8))</f>
        <v/>
      </c>
      <c r="I8" s="0" t="str">
        <f aca="false">IF(Pipeline_Sort!$C8="","",INDEX(Pipeline_Calc!$J$2:$J$5251,Pipeline_Sort!$C8))</f>
        <v>touch_1; brand-discovery-B; warm-intro</v>
      </c>
    </row>
    <row r="9" customFormat="false" ht="15" hidden="false" customHeight="false" outlineLevel="0" collapsed="false">
      <c r="A9" s="33" t="n">
        <f aca="false">IF(Pipeline_Sort!$C9="","",INDEX(Pipeline_Calc!$B$2:$B$5251,Pipeline_Sort!$C9))</f>
        <v>46321</v>
      </c>
      <c r="B9" s="0" t="str">
        <f aca="false">IF(Pipeline_Sort!$C9="","",INDEX(Pipeline_Calc!$C$2:$C$5251,Pipeline_Sort!$C9))</f>
        <v>brand</v>
      </c>
      <c r="C9" s="0" t="str">
        <f aca="false">IF(Pipeline_Sort!$C9="","",INDEX(Pipeline_Calc!$D$2:$D$5251,Pipeline_Sort!$C9))</f>
        <v>SAMPLE-B-003</v>
      </c>
      <c r="D9" s="0" t="str">
        <f aca="false">IF(Pipeline_Sort!$C9="","",INDEX(Pipeline_Calc!$E$2:$E$5251,Pipeline_Sort!$C9))</f>
        <v>SAMPLE Brand 03</v>
      </c>
      <c r="E9" s="0" t="str">
        <f aca="false">IF(Pipeline_Sort!$C9="","",INDEX(Pipeline_Calc!$F$2:$F$5251,Pipeline_Sort!$C9))</f>
        <v>outreach_sent</v>
      </c>
      <c r="F9" s="0" t="str">
        <f aca="false">IF(Pipeline_Sort!$C9="","",INDEX(Pipeline_Calc!$G$2:$G$5251,Pipeline_Sort!$C9))</f>
        <v/>
      </c>
      <c r="G9" s="0" t="str">
        <f aca="false">IF(Pipeline_Sort!$C9="","",INDEX(Pipeline_Calc!$H$2:$H$5251,Pipeline_Sort!$C9))</f>
        <v/>
      </c>
      <c r="H9" s="0" t="str">
        <f aca="false">IF(Pipeline_Sort!$C9="","",INDEX(Pipeline_Calc!$I$2:$I$5251,Pipeline_Sort!$C9))</f>
        <v/>
      </c>
      <c r="I9" s="0" t="str">
        <f aca="false">IF(Pipeline_Sort!$C9="","",INDEX(Pipeline_Calc!$J$2:$J$5251,Pipeline_Sort!$C9))</f>
        <v>touch_1; brand-discovery-A; linkedin</v>
      </c>
    </row>
    <row r="10" customFormat="false" ht="15" hidden="false" customHeight="false" outlineLevel="0" collapsed="false">
      <c r="A10" s="33" t="n">
        <f aca="false">IF(Pipeline_Sort!$C10="","",INDEX(Pipeline_Calc!$B$2:$B$5251,Pipeline_Sort!$C10))</f>
        <v>46321</v>
      </c>
      <c r="B10" s="0" t="str">
        <f aca="false">IF(Pipeline_Sort!$C10="","",INDEX(Pipeline_Calc!$C$2:$C$5251,Pipeline_Sort!$C10))</f>
        <v>brand</v>
      </c>
      <c r="C10" s="0" t="str">
        <f aca="false">IF(Pipeline_Sort!$C10="","",INDEX(Pipeline_Calc!$D$2:$D$5251,Pipeline_Sort!$C10))</f>
        <v>SAMPLE-B-019</v>
      </c>
      <c r="D10" s="0" t="str">
        <f aca="false">IF(Pipeline_Sort!$C10="","",INDEX(Pipeline_Calc!$E$2:$E$5251,Pipeline_Sort!$C10))</f>
        <v>SAMPLE Brand 19</v>
      </c>
      <c r="E10" s="0" t="str">
        <f aca="false">IF(Pipeline_Sort!$C10="","",INDEX(Pipeline_Calc!$F$2:$F$5251,Pipeline_Sort!$C10))</f>
        <v>outreach_sent</v>
      </c>
      <c r="F10" s="0" t="str">
        <f aca="false">IF(Pipeline_Sort!$C10="","",INDEX(Pipeline_Calc!$G$2:$G$5251,Pipeline_Sort!$C10))</f>
        <v/>
      </c>
      <c r="G10" s="0" t="str">
        <f aca="false">IF(Pipeline_Sort!$C10="","",INDEX(Pipeline_Calc!$H$2:$H$5251,Pipeline_Sort!$C10))</f>
        <v/>
      </c>
      <c r="H10" s="0" t="str">
        <f aca="false">IF(Pipeline_Sort!$C10="","",INDEX(Pipeline_Calc!$I$2:$I$5251,Pipeline_Sort!$C10))</f>
        <v/>
      </c>
      <c r="I10" s="0" t="str">
        <f aca="false">IF(Pipeline_Sort!$C10="","",INDEX(Pipeline_Calc!$J$2:$J$5251,Pipeline_Sort!$C10))</f>
        <v>touch_1; brand-discovery-A; linkedin</v>
      </c>
    </row>
    <row r="11" customFormat="false" ht="15" hidden="false" customHeight="false" outlineLevel="0" collapsed="false">
      <c r="A11" s="33" t="n">
        <f aca="false">IF(Pipeline_Sort!$C11="","",INDEX(Pipeline_Calc!$B$2:$B$5251,Pipeline_Sort!$C11))</f>
        <v>46321</v>
      </c>
      <c r="B11" s="0" t="str">
        <f aca="false">IF(Pipeline_Sort!$C11="","",INDEX(Pipeline_Calc!$C$2:$C$5251,Pipeline_Sort!$C11))</f>
        <v>brand</v>
      </c>
      <c r="C11" s="0" t="str">
        <f aca="false">IF(Pipeline_Sort!$C11="","",INDEX(Pipeline_Calc!$D$2:$D$5251,Pipeline_Sort!$C11))</f>
        <v>SAMPLE-B-038</v>
      </c>
      <c r="D11" s="0" t="str">
        <f aca="false">IF(Pipeline_Sort!$C11="","",INDEX(Pipeline_Calc!$E$2:$E$5251,Pipeline_Sort!$C11))</f>
        <v>SAMPLE Brand 38</v>
      </c>
      <c r="E11" s="0" t="str">
        <f aca="false">IF(Pipeline_Sort!$C11="","",INDEX(Pipeline_Calc!$F$2:$F$5251,Pipeline_Sort!$C11))</f>
        <v>outreach_sent</v>
      </c>
      <c r="F11" s="0" t="str">
        <f aca="false">IF(Pipeline_Sort!$C11="","",INDEX(Pipeline_Calc!$G$2:$G$5251,Pipeline_Sort!$C11))</f>
        <v/>
      </c>
      <c r="G11" s="0" t="str">
        <f aca="false">IF(Pipeline_Sort!$C11="","",INDEX(Pipeline_Calc!$H$2:$H$5251,Pipeline_Sort!$C11))</f>
        <v/>
      </c>
      <c r="H11" s="0" t="str">
        <f aca="false">IF(Pipeline_Sort!$C11="","",INDEX(Pipeline_Calc!$I$2:$I$5251,Pipeline_Sort!$C11))</f>
        <v/>
      </c>
      <c r="I11" s="0" t="str">
        <f aca="false">IF(Pipeline_Sort!$C11="","",INDEX(Pipeline_Calc!$J$2:$J$5251,Pipeline_Sort!$C11))</f>
        <v>touch_1; brand-discovery-B; linkedin</v>
      </c>
    </row>
    <row r="12" customFormat="false" ht="15" hidden="false" customHeight="false" outlineLevel="0" collapsed="false">
      <c r="A12" s="33" t="n">
        <f aca="false">IF(Pipeline_Sort!$C12="","",INDEX(Pipeline_Calc!$B$2:$B$5251,Pipeline_Sort!$C12))</f>
        <v>46322</v>
      </c>
      <c r="B12" s="0" t="str">
        <f aca="false">IF(Pipeline_Sort!$C12="","",INDEX(Pipeline_Calc!$C$2:$C$5251,Pipeline_Sort!$C12))</f>
        <v>office</v>
      </c>
      <c r="C12" s="0" t="str">
        <f aca="false">IF(Pipeline_Sort!$C12="","",INDEX(Pipeline_Calc!$D$2:$D$5251,Pipeline_Sort!$C12))</f>
        <v>SAMPLE-O-001</v>
      </c>
      <c r="D12" s="0" t="str">
        <f aca="false">IF(Pipeline_Sort!$C12="","",INDEX(Pipeline_Calc!$E$2:$E$5251,Pipeline_Sort!$C12))</f>
        <v>SAMPLE Office 01</v>
      </c>
      <c r="E12" s="0" t="str">
        <f aca="false">IF(Pipeline_Sort!$C12="","",INDEX(Pipeline_Calc!$F$2:$F$5251,Pipeline_Sort!$C12))</f>
        <v>conversation</v>
      </c>
      <c r="F12" s="0" t="str">
        <f aca="false">IF(Pipeline_Sort!$C12="","",INDEX(Pipeline_Calc!$G$2:$G$5251,Pipeline_Sort!$C12))</f>
        <v/>
      </c>
      <c r="G12" s="0" t="str">
        <f aca="false">IF(Pipeline_Sort!$C12="","",INDEX(Pipeline_Calc!$H$2:$H$5251,Pipeline_Sort!$C12))</f>
        <v/>
      </c>
      <c r="H12" s="0" t="str">
        <f aca="false">IF(Pipeline_Sort!$C12="","",INDEX(Pipeline_Calc!$I$2:$I$5251,Pipeline_Sort!$C12))</f>
        <v/>
      </c>
      <c r="I12" s="0" t="str">
        <f aca="false">IF(Pipeline_Sort!$C12="","",INDEX(Pipeline_Calc!$J$2:$J$5251,Pipeline_Sort!$C12))</f>
        <v>video</v>
      </c>
    </row>
    <row r="13" customFormat="false" ht="15" hidden="false" customHeight="false" outlineLevel="0" collapsed="false">
      <c r="A13" s="33" t="n">
        <f aca="false">IF(Pipeline_Sort!$C13="","",INDEX(Pipeline_Calc!$B$2:$B$5251,Pipeline_Sort!$C13))</f>
        <v>46322</v>
      </c>
      <c r="B13" s="0" t="str">
        <f aca="false">IF(Pipeline_Sort!$C13="","",INDEX(Pipeline_Calc!$C$2:$C$5251,Pipeline_Sort!$C13))</f>
        <v>office</v>
      </c>
      <c r="C13" s="0" t="str">
        <f aca="false">IF(Pipeline_Sort!$C13="","",INDEX(Pipeline_Calc!$D$2:$D$5251,Pipeline_Sort!$C13))</f>
        <v>SAMPLE-O-001</v>
      </c>
      <c r="D13" s="0" t="str">
        <f aca="false">IF(Pipeline_Sort!$C13="","",INDEX(Pipeline_Calc!$E$2:$E$5251,Pipeline_Sort!$C13))</f>
        <v>SAMPLE Office 01</v>
      </c>
      <c r="E13" s="0" t="str">
        <f aca="false">IF(Pipeline_Sort!$C13="","",INDEX(Pipeline_Calc!$F$2:$F$5251,Pipeline_Sort!$C13))</f>
        <v>yes_in_principle</v>
      </c>
      <c r="F13" s="0" t="str">
        <f aca="false">IF(Pipeline_Sort!$C13="","",INDEX(Pipeline_Calc!$G$2:$G$5251,Pipeline_Sort!$C13))</f>
        <v/>
      </c>
      <c r="G13" s="0" t="str">
        <f aca="false">IF(Pipeline_Sort!$C13="","",INDEX(Pipeline_Calc!$H$2:$H$5251,Pipeline_Sort!$C13))</f>
        <v/>
      </c>
      <c r="H13" s="0" t="str">
        <f aca="false">IF(Pipeline_Sort!$C13="","",INDEX(Pipeline_Calc!$I$2:$I$5251,Pipeline_Sort!$C13))</f>
        <v/>
      </c>
      <c r="I13" s="0" t="str">
        <f aca="false">IF(Pipeline_Sort!$C13="","",INDEX(Pipeline_Calc!$J$2:$J$5251,Pipeline_Sort!$C13))</f>
        <v>owner: Office Manager; window: SAMPLE Tue-Wed 9-11am</v>
      </c>
    </row>
    <row r="14" customFormat="false" ht="15" hidden="false" customHeight="false" outlineLevel="0" collapsed="false">
      <c r="A14" s="33" t="n">
        <f aca="false">IF(Pipeline_Sort!$C14="","",INDEX(Pipeline_Calc!$B$2:$B$5251,Pipeline_Sort!$C14))</f>
        <v>46322</v>
      </c>
      <c r="B14" s="0" t="str">
        <f aca="false">IF(Pipeline_Sort!$C14="","",INDEX(Pipeline_Calc!$C$2:$C$5251,Pipeline_Sort!$C14))</f>
        <v>office</v>
      </c>
      <c r="C14" s="0" t="str">
        <f aca="false">IF(Pipeline_Sort!$C14="","",INDEX(Pipeline_Calc!$D$2:$D$5251,Pipeline_Sort!$C14))</f>
        <v>SAMPLE-O-001</v>
      </c>
      <c r="D14" s="0" t="str">
        <f aca="false">IF(Pipeline_Sort!$C14="","",INDEX(Pipeline_Calc!$E$2:$E$5251,Pipeline_Sort!$C14))</f>
        <v>SAMPLE Office 01</v>
      </c>
      <c r="E14" s="0" t="str">
        <f aca="false">IF(Pipeline_Sort!$C14="","",INDEX(Pipeline_Calc!$F$2:$F$5251,Pipeline_Sort!$C14))</f>
        <v>budget_probe</v>
      </c>
      <c r="F14" s="32" t="n">
        <f aca="false">IF(Pipeline_Sort!$C14="","",INDEX(Pipeline_Calc!$G$2:$G$5251,Pipeline_Sort!$C14))</f>
        <v>100</v>
      </c>
      <c r="G14" s="0" t="str">
        <f aca="false">IF(Pipeline_Sort!$C14="","",INDEX(Pipeline_Calc!$H$2:$H$5251,Pipeline_Sort!$C14))</f>
        <v>SAMPLE: maybe $100 to $200 a month</v>
      </c>
      <c r="H14" s="0" t="str">
        <f aca="false">IF(Pipeline_Sort!$C14="","",INDEX(Pipeline_Calc!$I$2:$I$5251,Pipeline_Sort!$C14))</f>
        <v/>
      </c>
      <c r="I14" s="0" t="str">
        <f aca="false">IF(Pipeline_Sort!$C14="","",INDEX(Pipeline_Calc!$J$2:$J$5251,Pipeline_Sort!$C14))</f>
        <v>range to 200 per month</v>
      </c>
    </row>
    <row r="15" customFormat="false" ht="15" hidden="false" customHeight="false" outlineLevel="0" collapsed="false">
      <c r="A15" s="33" t="n">
        <f aca="false">IF(Pipeline_Sort!$C15="","",INDEX(Pipeline_Calc!$B$2:$B$5251,Pipeline_Sort!$C15))</f>
        <v>46322</v>
      </c>
      <c r="B15" s="0" t="str">
        <f aca="false">IF(Pipeline_Sort!$C15="","",INDEX(Pipeline_Calc!$C$2:$C$5251,Pipeline_Sort!$C15))</f>
        <v>brand</v>
      </c>
      <c r="C15" s="0" t="str">
        <f aca="false">IF(Pipeline_Sort!$C15="","",INDEX(Pipeline_Calc!$D$2:$D$5251,Pipeline_Sort!$C15))</f>
        <v>SAMPLE-B-001</v>
      </c>
      <c r="D15" s="0" t="str">
        <f aca="false">IF(Pipeline_Sort!$C15="","",INDEX(Pipeline_Calc!$E$2:$E$5251,Pipeline_Sort!$C15))</f>
        <v>SAMPLE Brand 01</v>
      </c>
      <c r="E15" s="0" t="str">
        <f aca="false">IF(Pipeline_Sort!$C15="","",INDEX(Pipeline_Calc!$F$2:$F$5251,Pipeline_Sort!$C15))</f>
        <v>conversation</v>
      </c>
      <c r="F15" s="0" t="str">
        <f aca="false">IF(Pipeline_Sort!$C15="","",INDEX(Pipeline_Calc!$G$2:$G$5251,Pipeline_Sort!$C15))</f>
        <v/>
      </c>
      <c r="G15" s="0" t="str">
        <f aca="false">IF(Pipeline_Sort!$C15="","",INDEX(Pipeline_Calc!$H$2:$H$5251,Pipeline_Sort!$C15))</f>
        <v/>
      </c>
      <c r="H15" s="0" t="str">
        <f aca="false">IF(Pipeline_Sort!$C15="","",INDEX(Pipeline_Calc!$I$2:$I$5251,Pipeline_Sort!$C15))</f>
        <v/>
      </c>
      <c r="I15" s="0" t="str">
        <f aca="false">IF(Pipeline_Sort!$C15="","",INDEX(Pipeline_Calc!$J$2:$J$5251,Pipeline_Sort!$C15))</f>
        <v>video</v>
      </c>
    </row>
    <row r="16" customFormat="false" ht="15" hidden="false" customHeight="false" outlineLevel="0" collapsed="false">
      <c r="A16" s="33" t="n">
        <f aca="false">IF(Pipeline_Sort!$C16="","",INDEX(Pipeline_Calc!$B$2:$B$5251,Pipeline_Sort!$C16))</f>
        <v>46322</v>
      </c>
      <c r="B16" s="0" t="str">
        <f aca="false">IF(Pipeline_Sort!$C16="","",INDEX(Pipeline_Calc!$C$2:$C$5251,Pipeline_Sort!$C16))</f>
        <v>brand</v>
      </c>
      <c r="C16" s="0" t="str">
        <f aca="false">IF(Pipeline_Sort!$C16="","",INDEX(Pipeline_Calc!$D$2:$D$5251,Pipeline_Sort!$C16))</f>
        <v>SAMPLE-B-001</v>
      </c>
      <c r="D16" s="0" t="str">
        <f aca="false">IF(Pipeline_Sort!$C16="","",INDEX(Pipeline_Calc!$E$2:$E$5251,Pipeline_Sort!$C16))</f>
        <v>SAMPLE Brand 01</v>
      </c>
      <c r="E16" s="0" t="str">
        <f aca="false">IF(Pipeline_Sort!$C16="","",INDEX(Pipeline_Calc!$F$2:$F$5251,Pipeline_Sort!$C16))</f>
        <v>yes_in_principle</v>
      </c>
      <c r="F16" s="0" t="str">
        <f aca="false">IF(Pipeline_Sort!$C16="","",INDEX(Pipeline_Calc!$G$2:$G$5251,Pipeline_Sort!$C16))</f>
        <v/>
      </c>
      <c r="G16" s="0" t="str">
        <f aca="false">IF(Pipeline_Sort!$C16="","",INDEX(Pipeline_Calc!$H$2:$H$5251,Pipeline_Sort!$C16))</f>
        <v/>
      </c>
      <c r="H16" s="0" t="str">
        <f aca="false">IF(Pipeline_Sort!$C16="","",INDEX(Pipeline_Calc!$I$2:$I$5251,Pipeline_Sort!$C16))</f>
        <v>Y</v>
      </c>
      <c r="I16" s="0" t="str">
        <f aca="false">IF(Pipeline_Sort!$C16="","",INDEX(Pipeline_Calc!$J$2:$J$5251,Pipeline_Sort!$C16))</f>
        <v/>
      </c>
    </row>
    <row r="17" customFormat="false" ht="15" hidden="false" customHeight="false" outlineLevel="0" collapsed="false">
      <c r="A17" s="33" t="n">
        <f aca="false">IF(Pipeline_Sort!$C17="","",INDEX(Pipeline_Calc!$B$2:$B$5251,Pipeline_Sort!$C17))</f>
        <v>46322</v>
      </c>
      <c r="B17" s="0" t="str">
        <f aca="false">IF(Pipeline_Sort!$C17="","",INDEX(Pipeline_Calc!$C$2:$C$5251,Pipeline_Sort!$C17))</f>
        <v>brand</v>
      </c>
      <c r="C17" s="0" t="str">
        <f aca="false">IF(Pipeline_Sort!$C17="","",INDEX(Pipeline_Calc!$D$2:$D$5251,Pipeline_Sort!$C17))</f>
        <v>SAMPLE-B-001</v>
      </c>
      <c r="D17" s="0" t="str">
        <f aca="false">IF(Pipeline_Sort!$C17="","",INDEX(Pipeline_Calc!$E$2:$E$5251,Pipeline_Sort!$C17))</f>
        <v>SAMPLE Brand 01</v>
      </c>
      <c r="E17" s="0" t="str">
        <f aca="false">IF(Pipeline_Sort!$C17="","",INDEX(Pipeline_Calc!$F$2:$F$5251,Pipeline_Sort!$C17))</f>
        <v>budget_probe</v>
      </c>
      <c r="F17" s="32" t="n">
        <f aca="false">IF(Pipeline_Sort!$C17="","",INDEX(Pipeline_Calc!$G$2:$G$5251,Pipeline_Sort!$C17))</f>
        <v>500</v>
      </c>
      <c r="G17" s="0" t="str">
        <f aca="false">IF(Pipeline_Sort!$C17="","",INDEX(Pipeline_Calc!$H$2:$H$5251,Pipeline_Sort!$C17))</f>
        <v>SAMPLE: maybe $500 for that</v>
      </c>
      <c r="H17" s="0" t="str">
        <f aca="false">IF(Pipeline_Sort!$C17="","",INDEX(Pipeline_Calc!$I$2:$I$5251,Pipeline_Sort!$C17))</f>
        <v>Y</v>
      </c>
      <c r="I17" s="0" t="str">
        <f aca="false">IF(Pipeline_Sort!$C17="","",INDEX(Pipeline_Calc!$J$2:$J$5251,Pipeline_Sort!$C17))</f>
        <v/>
      </c>
    </row>
    <row r="18" customFormat="false" ht="15" hidden="false" customHeight="false" outlineLevel="0" collapsed="false">
      <c r="A18" s="33" t="n">
        <f aca="false">IF(Pipeline_Sort!$C18="","",INDEX(Pipeline_Calc!$B$2:$B$5251,Pipeline_Sort!$C18))</f>
        <v>46322</v>
      </c>
      <c r="B18" s="0" t="str">
        <f aca="false">IF(Pipeline_Sort!$C18="","",INDEX(Pipeline_Calc!$C$2:$C$5251,Pipeline_Sort!$C18))</f>
        <v>brand</v>
      </c>
      <c r="C18" s="0" t="str">
        <f aca="false">IF(Pipeline_Sort!$C18="","",INDEX(Pipeline_Calc!$D$2:$D$5251,Pipeline_Sort!$C18))</f>
        <v>SAMPLE-B-001</v>
      </c>
      <c r="D18" s="0" t="str">
        <f aca="false">IF(Pipeline_Sort!$C18="","",INDEX(Pipeline_Calc!$E$2:$E$5251,Pipeline_Sort!$C18))</f>
        <v>SAMPLE Brand 01</v>
      </c>
      <c r="E18" s="0" t="str">
        <f aca="false">IF(Pipeline_Sort!$C18="","",INDEX(Pipeline_Calc!$F$2:$F$5251,Pipeline_Sort!$C18))</f>
        <v>budget_probe</v>
      </c>
      <c r="F18" s="32" t="n">
        <f aca="false">IF(Pipeline_Sort!$C18="","",INDEX(Pipeline_Calc!$G$2:$G$5251,Pipeline_Sort!$C18))</f>
        <v>800</v>
      </c>
      <c r="G18" s="0" t="str">
        <f aca="false">IF(Pipeline_Sort!$C18="","",INDEX(Pipeline_Calc!$H$2:$H$5251,Pipeline_Sort!$C18))</f>
        <v>SAMPLE: $1,500 is steep, $800 maybe</v>
      </c>
      <c r="H18" s="0" t="str">
        <f aca="false">IF(Pipeline_Sort!$C18="","",INDEX(Pipeline_Calc!$I$2:$I$5251,Pipeline_Sort!$C18))</f>
        <v>Y</v>
      </c>
      <c r="I18" s="0" t="str">
        <f aca="false">IF(Pipeline_Sort!$C18="","",INDEX(Pipeline_Calc!$J$2:$J$5251,Pipeline_Sort!$C18))</f>
        <v>after_1500</v>
      </c>
    </row>
    <row r="19" customFormat="false" ht="15" hidden="false" customHeight="false" outlineLevel="0" collapsed="false">
      <c r="A19" s="33" t="n">
        <f aca="false">IF(Pipeline_Sort!$C19="","",INDEX(Pipeline_Calc!$B$2:$B$5251,Pipeline_Sort!$C19))</f>
        <v>46322</v>
      </c>
      <c r="B19" s="0" t="str">
        <f aca="false">IF(Pipeline_Sort!$C19="","",INDEX(Pipeline_Calc!$C$2:$C$5251,Pipeline_Sort!$C19))</f>
        <v>office</v>
      </c>
      <c r="C19" s="0" t="str">
        <f aca="false">IF(Pipeline_Sort!$C19="","",INDEX(Pipeline_Calc!$D$2:$D$5251,Pipeline_Sort!$C19))</f>
        <v>SAMPLE-O-004</v>
      </c>
      <c r="D19" s="0" t="str">
        <f aca="false">IF(Pipeline_Sort!$C19="","",INDEX(Pipeline_Calc!$E$2:$E$5251,Pipeline_Sort!$C19))</f>
        <v>SAMPLE Office 04</v>
      </c>
      <c r="E19" s="0" t="str">
        <f aca="false">IF(Pipeline_Sort!$C19="","",INDEX(Pipeline_Calc!$F$2:$F$5251,Pipeline_Sort!$C19))</f>
        <v>outreach_sent</v>
      </c>
      <c r="F19" s="0" t="str">
        <f aca="false">IF(Pipeline_Sort!$C19="","",INDEX(Pipeline_Calc!$G$2:$G$5251,Pipeline_Sort!$C19))</f>
        <v/>
      </c>
      <c r="G19" s="0" t="str">
        <f aca="false">IF(Pipeline_Sort!$C19="","",INDEX(Pipeline_Calc!$H$2:$H$5251,Pipeline_Sort!$C19))</f>
        <v/>
      </c>
      <c r="H19" s="0" t="str">
        <f aca="false">IF(Pipeline_Sort!$C19="","",INDEX(Pipeline_Calc!$I$2:$I$5251,Pipeline_Sort!$C19))</f>
        <v/>
      </c>
      <c r="I19" s="0" t="str">
        <f aca="false">IF(Pipeline_Sort!$C19="","",INDEX(Pipeline_Calc!$J$2:$J$5251,Pipeline_Sort!$C19))</f>
        <v>touch_1; office-discovery-B; linkedin</v>
      </c>
    </row>
    <row r="20" customFormat="false" ht="15" hidden="false" customHeight="false" outlineLevel="0" collapsed="false">
      <c r="A20" s="33" t="n">
        <f aca="false">IF(Pipeline_Sort!$C20="","",INDEX(Pipeline_Calc!$B$2:$B$5251,Pipeline_Sort!$C20))</f>
        <v>46322</v>
      </c>
      <c r="B20" s="0" t="str">
        <f aca="false">IF(Pipeline_Sort!$C20="","",INDEX(Pipeline_Calc!$C$2:$C$5251,Pipeline_Sort!$C20))</f>
        <v>office</v>
      </c>
      <c r="C20" s="0" t="str">
        <f aca="false">IF(Pipeline_Sort!$C20="","",INDEX(Pipeline_Calc!$D$2:$D$5251,Pipeline_Sort!$C20))</f>
        <v>SAMPLE-O-032</v>
      </c>
      <c r="D20" s="0" t="str">
        <f aca="false">IF(Pipeline_Sort!$C20="","",INDEX(Pipeline_Calc!$E$2:$E$5251,Pipeline_Sort!$C20))</f>
        <v>SAMPLE Office 32</v>
      </c>
      <c r="E20" s="0" t="str">
        <f aca="false">IF(Pipeline_Sort!$C20="","",INDEX(Pipeline_Calc!$F$2:$F$5251,Pipeline_Sort!$C20))</f>
        <v>outreach_sent</v>
      </c>
      <c r="F20" s="0" t="str">
        <f aca="false">IF(Pipeline_Sort!$C20="","",INDEX(Pipeline_Calc!$G$2:$G$5251,Pipeline_Sort!$C20))</f>
        <v/>
      </c>
      <c r="G20" s="0" t="str">
        <f aca="false">IF(Pipeline_Sort!$C20="","",INDEX(Pipeline_Calc!$H$2:$H$5251,Pipeline_Sort!$C20))</f>
        <v/>
      </c>
      <c r="H20" s="0" t="str">
        <f aca="false">IF(Pipeline_Sort!$C20="","",INDEX(Pipeline_Calc!$I$2:$I$5251,Pipeline_Sort!$C20))</f>
        <v/>
      </c>
      <c r="I20" s="0" t="str">
        <f aca="false">IF(Pipeline_Sort!$C20="","",INDEX(Pipeline_Calc!$J$2:$J$5251,Pipeline_Sort!$C20))</f>
        <v>touch_1; office-discovery-B; linkedin</v>
      </c>
    </row>
    <row r="21" customFormat="false" ht="15" hidden="false" customHeight="false" outlineLevel="0" collapsed="false">
      <c r="A21" s="33" t="n">
        <f aca="false">IF(Pipeline_Sort!$C21="","",INDEX(Pipeline_Calc!$B$2:$B$5251,Pipeline_Sort!$C21))</f>
        <v>46322</v>
      </c>
      <c r="B21" s="0" t="str">
        <f aca="false">IF(Pipeline_Sort!$C21="","",INDEX(Pipeline_Calc!$C$2:$C$5251,Pipeline_Sort!$C21))</f>
        <v>brand</v>
      </c>
      <c r="C21" s="0" t="str">
        <f aca="false">IF(Pipeline_Sort!$C21="","",INDEX(Pipeline_Calc!$D$2:$D$5251,Pipeline_Sort!$C21))</f>
        <v>SAMPLE-B-004</v>
      </c>
      <c r="D21" s="0" t="str">
        <f aca="false">IF(Pipeline_Sort!$C21="","",INDEX(Pipeline_Calc!$E$2:$E$5251,Pipeline_Sort!$C21))</f>
        <v>SAMPLE Brand 04</v>
      </c>
      <c r="E21" s="0" t="str">
        <f aca="false">IF(Pipeline_Sort!$C21="","",INDEX(Pipeline_Calc!$F$2:$F$5251,Pipeline_Sort!$C21))</f>
        <v>outreach_sent</v>
      </c>
      <c r="F21" s="0" t="str">
        <f aca="false">IF(Pipeline_Sort!$C21="","",INDEX(Pipeline_Calc!$G$2:$G$5251,Pipeline_Sort!$C21))</f>
        <v/>
      </c>
      <c r="G21" s="0" t="str">
        <f aca="false">IF(Pipeline_Sort!$C21="","",INDEX(Pipeline_Calc!$H$2:$H$5251,Pipeline_Sort!$C21))</f>
        <v/>
      </c>
      <c r="H21" s="0" t="str">
        <f aca="false">IF(Pipeline_Sort!$C21="","",INDEX(Pipeline_Calc!$I$2:$I$5251,Pipeline_Sort!$C21))</f>
        <v/>
      </c>
      <c r="I21" s="0" t="str">
        <f aca="false">IF(Pipeline_Sort!$C21="","",INDEX(Pipeline_Calc!$J$2:$J$5251,Pipeline_Sort!$C21))</f>
        <v>touch_1; brand-discovery-B; warm-intro</v>
      </c>
    </row>
    <row r="22" customFormat="false" ht="15" hidden="false" customHeight="false" outlineLevel="0" collapsed="false">
      <c r="A22" s="33" t="n">
        <f aca="false">IF(Pipeline_Sort!$C22="","",INDEX(Pipeline_Calc!$B$2:$B$5251,Pipeline_Sort!$C22))</f>
        <v>46322</v>
      </c>
      <c r="B22" s="0" t="str">
        <f aca="false">IF(Pipeline_Sort!$C22="","",INDEX(Pipeline_Calc!$C$2:$C$5251,Pipeline_Sort!$C22))</f>
        <v>brand</v>
      </c>
      <c r="C22" s="0" t="str">
        <f aca="false">IF(Pipeline_Sort!$C22="","",INDEX(Pipeline_Calc!$D$2:$D$5251,Pipeline_Sort!$C22))</f>
        <v>SAMPLE-B-032</v>
      </c>
      <c r="D22" s="0" t="str">
        <f aca="false">IF(Pipeline_Sort!$C22="","",INDEX(Pipeline_Calc!$E$2:$E$5251,Pipeline_Sort!$C22))</f>
        <v>SAMPLE Brand 32</v>
      </c>
      <c r="E22" s="0" t="str">
        <f aca="false">IF(Pipeline_Sort!$C22="","",INDEX(Pipeline_Calc!$F$2:$F$5251,Pipeline_Sort!$C22))</f>
        <v>outreach_sent</v>
      </c>
      <c r="F22" s="0" t="str">
        <f aca="false">IF(Pipeline_Sort!$C22="","",INDEX(Pipeline_Calc!$G$2:$G$5251,Pipeline_Sort!$C22))</f>
        <v/>
      </c>
      <c r="G22" s="0" t="str">
        <f aca="false">IF(Pipeline_Sort!$C22="","",INDEX(Pipeline_Calc!$H$2:$H$5251,Pipeline_Sort!$C22))</f>
        <v/>
      </c>
      <c r="H22" s="0" t="str">
        <f aca="false">IF(Pipeline_Sort!$C22="","",INDEX(Pipeline_Calc!$I$2:$I$5251,Pipeline_Sort!$C22))</f>
        <v/>
      </c>
      <c r="I22" s="0" t="str">
        <f aca="false">IF(Pipeline_Sort!$C22="","",INDEX(Pipeline_Calc!$J$2:$J$5251,Pipeline_Sort!$C22))</f>
        <v>touch_1; brand-discovery-B; linkedin</v>
      </c>
    </row>
    <row r="23" customFormat="false" ht="15" hidden="false" customHeight="false" outlineLevel="0" collapsed="false">
      <c r="A23" s="33" t="n">
        <f aca="false">IF(Pipeline_Sort!$C23="","",INDEX(Pipeline_Calc!$B$2:$B$5251,Pipeline_Sort!$C23))</f>
        <v>46323</v>
      </c>
      <c r="B23" s="0" t="str">
        <f aca="false">IF(Pipeline_Sort!$C23="","",INDEX(Pipeline_Calc!$C$2:$C$5251,Pipeline_Sort!$C23))</f>
        <v>office</v>
      </c>
      <c r="C23" s="0" t="str">
        <f aca="false">IF(Pipeline_Sort!$C23="","",INDEX(Pipeline_Calc!$D$2:$D$5251,Pipeline_Sort!$C23))</f>
        <v>SAMPLE-O-002</v>
      </c>
      <c r="D23" s="0" t="str">
        <f aca="false">IF(Pipeline_Sort!$C23="","",INDEX(Pipeline_Calc!$E$2:$E$5251,Pipeline_Sort!$C23))</f>
        <v>SAMPLE Office 02</v>
      </c>
      <c r="E23" s="0" t="str">
        <f aca="false">IF(Pipeline_Sort!$C23="","",INDEX(Pipeline_Calc!$F$2:$F$5251,Pipeline_Sort!$C23))</f>
        <v>conversation</v>
      </c>
      <c r="F23" s="0" t="str">
        <f aca="false">IF(Pipeline_Sort!$C23="","",INDEX(Pipeline_Calc!$G$2:$G$5251,Pipeline_Sort!$C23))</f>
        <v/>
      </c>
      <c r="G23" s="0" t="str">
        <f aca="false">IF(Pipeline_Sort!$C23="","",INDEX(Pipeline_Calc!$H$2:$H$5251,Pipeline_Sort!$C23))</f>
        <v/>
      </c>
      <c r="H23" s="0" t="str">
        <f aca="false">IF(Pipeline_Sort!$C23="","",INDEX(Pipeline_Calc!$I$2:$I$5251,Pipeline_Sort!$C23))</f>
        <v/>
      </c>
      <c r="I23" s="0" t="str">
        <f aca="false">IF(Pipeline_Sort!$C23="","",INDEX(Pipeline_Calc!$J$2:$J$5251,Pipeline_Sort!$C23))</f>
        <v>phone</v>
      </c>
    </row>
    <row r="24" customFormat="false" ht="15" hidden="false" customHeight="false" outlineLevel="0" collapsed="false">
      <c r="A24" s="33" t="n">
        <f aca="false">IF(Pipeline_Sort!$C24="","",INDEX(Pipeline_Calc!$B$2:$B$5251,Pipeline_Sort!$C24))</f>
        <v>46323</v>
      </c>
      <c r="B24" s="0" t="str">
        <f aca="false">IF(Pipeline_Sort!$C24="","",INDEX(Pipeline_Calc!$C$2:$C$5251,Pipeline_Sort!$C24))</f>
        <v>office</v>
      </c>
      <c r="C24" s="0" t="str">
        <f aca="false">IF(Pipeline_Sort!$C24="","",INDEX(Pipeline_Calc!$D$2:$D$5251,Pipeline_Sort!$C24))</f>
        <v>SAMPLE-O-002</v>
      </c>
      <c r="D24" s="0" t="str">
        <f aca="false">IF(Pipeline_Sort!$C24="","",INDEX(Pipeline_Calc!$E$2:$E$5251,Pipeline_Sort!$C24))</f>
        <v>SAMPLE Office 02</v>
      </c>
      <c r="E24" s="0" t="str">
        <f aca="false">IF(Pipeline_Sort!$C24="","",INDEX(Pipeline_Calc!$F$2:$F$5251,Pipeline_Sort!$C24))</f>
        <v>budget_probe</v>
      </c>
      <c r="F24" s="32" t="n">
        <f aca="false">IF(Pipeline_Sort!$C24="","",INDEX(Pipeline_Calc!$G$2:$G$5251,Pipeline_Sort!$C24))</f>
        <v>0</v>
      </c>
      <c r="G24" s="0" t="str">
        <f aca="false">IF(Pipeline_Sort!$C24="","",INDEX(Pipeline_Calc!$H$2:$H$5251,Pipeline_Sort!$C24))</f>
        <v>SAMPLE: honestly, no budget for that</v>
      </c>
      <c r="H24" s="0" t="str">
        <f aca="false">IF(Pipeline_Sort!$C24="","",INDEX(Pipeline_Calc!$I$2:$I$5251,Pipeline_Sort!$C24))</f>
        <v/>
      </c>
      <c r="I24" s="0" t="str">
        <f aca="false">IF(Pipeline_Sort!$C24="","",INDEX(Pipeline_Calc!$J$2:$J$5251,Pipeline_Sort!$C24))</f>
        <v/>
      </c>
    </row>
    <row r="25" customFormat="false" ht="15" hidden="false" customHeight="false" outlineLevel="0" collapsed="false">
      <c r="A25" s="33" t="n">
        <f aca="false">IF(Pipeline_Sort!$C25="","",INDEX(Pipeline_Calc!$B$2:$B$5251,Pipeline_Sort!$C25))</f>
        <v>46323</v>
      </c>
      <c r="B25" s="0" t="str">
        <f aca="false">IF(Pipeline_Sort!$C25="","",INDEX(Pipeline_Calc!$C$2:$C$5251,Pipeline_Sort!$C25))</f>
        <v>brand</v>
      </c>
      <c r="C25" s="0" t="str">
        <f aca="false">IF(Pipeline_Sort!$C25="","",INDEX(Pipeline_Calc!$D$2:$D$5251,Pipeline_Sort!$C25))</f>
        <v>SAMPLE-B-002</v>
      </c>
      <c r="D25" s="0" t="str">
        <f aca="false">IF(Pipeline_Sort!$C25="","",INDEX(Pipeline_Calc!$E$2:$E$5251,Pipeline_Sort!$C25))</f>
        <v>SAMPLE Brand 02</v>
      </c>
      <c r="E25" s="0" t="str">
        <f aca="false">IF(Pipeline_Sort!$C25="","",INDEX(Pipeline_Calc!$F$2:$F$5251,Pipeline_Sort!$C25))</f>
        <v>conversation</v>
      </c>
      <c r="F25" s="0" t="str">
        <f aca="false">IF(Pipeline_Sort!$C25="","",INDEX(Pipeline_Calc!$G$2:$G$5251,Pipeline_Sort!$C25))</f>
        <v/>
      </c>
      <c r="G25" s="0" t="str">
        <f aca="false">IF(Pipeline_Sort!$C25="","",INDEX(Pipeline_Calc!$H$2:$H$5251,Pipeline_Sort!$C25))</f>
        <v/>
      </c>
      <c r="H25" s="0" t="str">
        <f aca="false">IF(Pipeline_Sort!$C25="","",INDEX(Pipeline_Calc!$I$2:$I$5251,Pipeline_Sort!$C25))</f>
        <v/>
      </c>
      <c r="I25" s="0" t="str">
        <f aca="false">IF(Pipeline_Sort!$C25="","",INDEX(Pipeline_Calc!$J$2:$J$5251,Pipeline_Sort!$C25))</f>
        <v>video</v>
      </c>
    </row>
    <row r="26" customFormat="false" ht="15" hidden="false" customHeight="false" outlineLevel="0" collapsed="false">
      <c r="A26" s="33" t="n">
        <f aca="false">IF(Pipeline_Sort!$C26="","",INDEX(Pipeline_Calc!$B$2:$B$5251,Pipeline_Sort!$C26))</f>
        <v>46323</v>
      </c>
      <c r="B26" s="0" t="str">
        <f aca="false">IF(Pipeline_Sort!$C26="","",INDEX(Pipeline_Calc!$C$2:$C$5251,Pipeline_Sort!$C26))</f>
        <v>brand</v>
      </c>
      <c r="C26" s="0" t="str">
        <f aca="false">IF(Pipeline_Sort!$C26="","",INDEX(Pipeline_Calc!$D$2:$D$5251,Pipeline_Sort!$C26))</f>
        <v>SAMPLE-B-002</v>
      </c>
      <c r="D26" s="0" t="str">
        <f aca="false">IF(Pipeline_Sort!$C26="","",INDEX(Pipeline_Calc!$E$2:$E$5251,Pipeline_Sort!$C26))</f>
        <v>SAMPLE Brand 02</v>
      </c>
      <c r="E26" s="0" t="str">
        <f aca="false">IF(Pipeline_Sort!$C26="","",INDEX(Pipeline_Calc!$F$2:$F$5251,Pipeline_Sort!$C26))</f>
        <v>yes_in_principle</v>
      </c>
      <c r="F26" s="0" t="str">
        <f aca="false">IF(Pipeline_Sort!$C26="","",INDEX(Pipeline_Calc!$G$2:$G$5251,Pipeline_Sort!$C26))</f>
        <v/>
      </c>
      <c r="G26" s="0" t="str">
        <f aca="false">IF(Pipeline_Sort!$C26="","",INDEX(Pipeline_Calc!$H$2:$H$5251,Pipeline_Sort!$C26))</f>
        <v/>
      </c>
      <c r="H26" s="0" t="str">
        <f aca="false">IF(Pipeline_Sort!$C26="","",INDEX(Pipeline_Calc!$I$2:$I$5251,Pipeline_Sort!$C26))</f>
        <v>Y</v>
      </c>
      <c r="I26" s="0" t="str">
        <f aca="false">IF(Pipeline_Sort!$C26="","",INDEX(Pipeline_Calc!$J$2:$J$5251,Pipeline_Sort!$C26))</f>
        <v/>
      </c>
    </row>
    <row r="27" customFormat="false" ht="15" hidden="false" customHeight="false" outlineLevel="0" collapsed="false">
      <c r="A27" s="33" t="n">
        <f aca="false">IF(Pipeline_Sort!$C27="","",INDEX(Pipeline_Calc!$B$2:$B$5251,Pipeline_Sort!$C27))</f>
        <v>46323</v>
      </c>
      <c r="B27" s="0" t="str">
        <f aca="false">IF(Pipeline_Sort!$C27="","",INDEX(Pipeline_Calc!$C$2:$C$5251,Pipeline_Sort!$C27))</f>
        <v>brand</v>
      </c>
      <c r="C27" s="0" t="str">
        <f aca="false">IF(Pipeline_Sort!$C27="","",INDEX(Pipeline_Calc!$D$2:$D$5251,Pipeline_Sort!$C27))</f>
        <v>SAMPLE-B-002</v>
      </c>
      <c r="D27" s="0" t="str">
        <f aca="false">IF(Pipeline_Sort!$C27="","",INDEX(Pipeline_Calc!$E$2:$E$5251,Pipeline_Sort!$C27))</f>
        <v>SAMPLE Brand 02</v>
      </c>
      <c r="E27" s="0" t="str">
        <f aca="false">IF(Pipeline_Sort!$C27="","",INDEX(Pipeline_Calc!$F$2:$F$5251,Pipeline_Sort!$C27))</f>
        <v>budget_probe</v>
      </c>
      <c r="F27" s="32" t="n">
        <f aca="false">IF(Pipeline_Sort!$C27="","",INDEX(Pipeline_Calc!$G$2:$G$5251,Pipeline_Sort!$C27))</f>
        <v>250</v>
      </c>
      <c r="G27" s="0" t="str">
        <f aca="false">IF(Pipeline_Sort!$C27="","",INDEX(Pipeline_Calc!$H$2:$H$5251,Pipeline_Sort!$C27))</f>
        <v>SAMPLE: a couple hundred</v>
      </c>
      <c r="H27" s="0" t="str">
        <f aca="false">IF(Pipeline_Sort!$C27="","",INDEX(Pipeline_Calc!$I$2:$I$5251,Pipeline_Sort!$C27))</f>
        <v>Y</v>
      </c>
      <c r="I27" s="0" t="str">
        <f aca="false">IF(Pipeline_Sort!$C27="","",INDEX(Pipeline_Calc!$J$2:$J$5251,Pipeline_Sort!$C27))</f>
        <v/>
      </c>
    </row>
    <row r="28" customFormat="false" ht="15" hidden="false" customHeight="false" outlineLevel="0" collapsed="false">
      <c r="A28" s="33" t="n">
        <f aca="false">IF(Pipeline_Sort!$C28="","",INDEX(Pipeline_Calc!$B$2:$B$5251,Pipeline_Sort!$C28))</f>
        <v>46323</v>
      </c>
      <c r="B28" s="0" t="str">
        <f aca="false">IF(Pipeline_Sort!$C28="","",INDEX(Pipeline_Calc!$C$2:$C$5251,Pipeline_Sort!$C28))</f>
        <v>brand</v>
      </c>
      <c r="C28" s="0" t="str">
        <f aca="false">IF(Pipeline_Sort!$C28="","",INDEX(Pipeline_Calc!$D$2:$D$5251,Pipeline_Sort!$C28))</f>
        <v>SAMPLE-B-002</v>
      </c>
      <c r="D28" s="0" t="str">
        <f aca="false">IF(Pipeline_Sort!$C28="","",INDEX(Pipeline_Calc!$E$2:$E$5251,Pipeline_Sort!$C28))</f>
        <v>SAMPLE Brand 02</v>
      </c>
      <c r="E28" s="0" t="str">
        <f aca="false">IF(Pipeline_Sort!$C28="","",INDEX(Pipeline_Calc!$F$2:$F$5251,Pipeline_Sort!$C28))</f>
        <v>budget_probe</v>
      </c>
      <c r="F28" s="32" t="n">
        <f aca="false">IF(Pipeline_Sort!$C28="","",INDEX(Pipeline_Calc!$G$2:$G$5251,Pipeline_Sort!$C28))</f>
        <v>600</v>
      </c>
      <c r="G28" s="0" t="str">
        <f aca="false">IF(Pipeline_Sort!$C28="","",INDEX(Pipeline_Calc!$H$2:$H$5251,Pipeline_Sort!$C28))</f>
        <v>SAMPLE: at $600 for five offices, yes</v>
      </c>
      <c r="H28" s="0" t="str">
        <f aca="false">IF(Pipeline_Sort!$C28="","",INDEX(Pipeline_Calc!$I$2:$I$5251,Pipeline_Sort!$C28))</f>
        <v>Y</v>
      </c>
      <c r="I28" s="0" t="str">
        <f aca="false">IF(Pipeline_Sort!$C28="","",INDEX(Pipeline_Calc!$J$2:$J$5251,Pipeline_Sort!$C28))</f>
        <v>after_1500</v>
      </c>
    </row>
    <row r="29" customFormat="false" ht="15" hidden="false" customHeight="false" outlineLevel="0" collapsed="false">
      <c r="A29" s="33" t="n">
        <f aca="false">IF(Pipeline_Sort!$C29="","",INDEX(Pipeline_Calc!$B$2:$B$5251,Pipeline_Sort!$C29))</f>
        <v>46323</v>
      </c>
      <c r="B29" s="0" t="str">
        <f aca="false">IF(Pipeline_Sort!$C29="","",INDEX(Pipeline_Calc!$C$2:$C$5251,Pipeline_Sort!$C29))</f>
        <v>office</v>
      </c>
      <c r="C29" s="0" t="str">
        <f aca="false">IF(Pipeline_Sort!$C29="","",INDEX(Pipeline_Calc!$D$2:$D$5251,Pipeline_Sort!$C29))</f>
        <v>SAMPLE-O-005</v>
      </c>
      <c r="D29" s="0" t="str">
        <f aca="false">IF(Pipeline_Sort!$C29="","",INDEX(Pipeline_Calc!$E$2:$E$5251,Pipeline_Sort!$C29))</f>
        <v>SAMPLE Office 05</v>
      </c>
      <c r="E29" s="0" t="str">
        <f aca="false">IF(Pipeline_Sort!$C29="","",INDEX(Pipeline_Calc!$F$2:$F$5251,Pipeline_Sort!$C29))</f>
        <v>outreach_sent</v>
      </c>
      <c r="F29" s="0" t="str">
        <f aca="false">IF(Pipeline_Sort!$C29="","",INDEX(Pipeline_Calc!$G$2:$G$5251,Pipeline_Sort!$C29))</f>
        <v/>
      </c>
      <c r="G29" s="0" t="str">
        <f aca="false">IF(Pipeline_Sort!$C29="","",INDEX(Pipeline_Calc!$H$2:$H$5251,Pipeline_Sort!$C29))</f>
        <v/>
      </c>
      <c r="H29" s="0" t="str">
        <f aca="false">IF(Pipeline_Sort!$C29="","",INDEX(Pipeline_Calc!$I$2:$I$5251,Pipeline_Sort!$C29))</f>
        <v/>
      </c>
      <c r="I29" s="0" t="str">
        <f aca="false">IF(Pipeline_Sort!$C29="","",INDEX(Pipeline_Calc!$J$2:$J$5251,Pipeline_Sort!$C29))</f>
        <v>touch_1; office-discovery-A; linkedin</v>
      </c>
    </row>
    <row r="30" customFormat="false" ht="15" hidden="false" customHeight="false" outlineLevel="0" collapsed="false">
      <c r="A30" s="33" t="n">
        <f aca="false">IF(Pipeline_Sort!$C30="","",INDEX(Pipeline_Calc!$B$2:$B$5251,Pipeline_Sort!$C30))</f>
        <v>46323</v>
      </c>
      <c r="B30" s="0" t="str">
        <f aca="false">IF(Pipeline_Sort!$C30="","",INDEX(Pipeline_Calc!$C$2:$C$5251,Pipeline_Sort!$C30))</f>
        <v>office</v>
      </c>
      <c r="C30" s="0" t="str">
        <f aca="false">IF(Pipeline_Sort!$C30="","",INDEX(Pipeline_Calc!$D$2:$D$5251,Pipeline_Sort!$C30))</f>
        <v>SAMPLE-O-026</v>
      </c>
      <c r="D30" s="0" t="str">
        <f aca="false">IF(Pipeline_Sort!$C30="","",INDEX(Pipeline_Calc!$E$2:$E$5251,Pipeline_Sort!$C30))</f>
        <v>SAMPLE Office 26</v>
      </c>
      <c r="E30" s="0" t="str">
        <f aca="false">IF(Pipeline_Sort!$C30="","",INDEX(Pipeline_Calc!$F$2:$F$5251,Pipeline_Sort!$C30))</f>
        <v>outreach_sent</v>
      </c>
      <c r="F30" s="0" t="str">
        <f aca="false">IF(Pipeline_Sort!$C30="","",INDEX(Pipeline_Calc!$G$2:$G$5251,Pipeline_Sort!$C30))</f>
        <v/>
      </c>
      <c r="G30" s="0" t="str">
        <f aca="false">IF(Pipeline_Sort!$C30="","",INDEX(Pipeline_Calc!$H$2:$H$5251,Pipeline_Sort!$C30))</f>
        <v/>
      </c>
      <c r="H30" s="0" t="str">
        <f aca="false">IF(Pipeline_Sort!$C30="","",INDEX(Pipeline_Calc!$I$2:$I$5251,Pipeline_Sort!$C30))</f>
        <v/>
      </c>
      <c r="I30" s="0" t="str">
        <f aca="false">IF(Pipeline_Sort!$C30="","",INDEX(Pipeline_Calc!$J$2:$J$5251,Pipeline_Sort!$C30))</f>
        <v>touch_1; office-discovery-B; linkedin</v>
      </c>
    </row>
    <row r="31" customFormat="false" ht="15" hidden="false" customHeight="false" outlineLevel="0" collapsed="false">
      <c r="A31" s="33" t="n">
        <f aca="false">IF(Pipeline_Sort!$C31="","",INDEX(Pipeline_Calc!$B$2:$B$5251,Pipeline_Sort!$C31))</f>
        <v>46323</v>
      </c>
      <c r="B31" s="0" t="str">
        <f aca="false">IF(Pipeline_Sort!$C31="","",INDEX(Pipeline_Calc!$C$2:$C$5251,Pipeline_Sort!$C31))</f>
        <v>brand</v>
      </c>
      <c r="C31" s="0" t="str">
        <f aca="false">IF(Pipeline_Sort!$C31="","",INDEX(Pipeline_Calc!$D$2:$D$5251,Pipeline_Sort!$C31))</f>
        <v>SAMPLE-B-005</v>
      </c>
      <c r="D31" s="0" t="str">
        <f aca="false">IF(Pipeline_Sort!$C31="","",INDEX(Pipeline_Calc!$E$2:$E$5251,Pipeline_Sort!$C31))</f>
        <v>SAMPLE Brand 05</v>
      </c>
      <c r="E31" s="0" t="str">
        <f aca="false">IF(Pipeline_Sort!$C31="","",INDEX(Pipeline_Calc!$F$2:$F$5251,Pipeline_Sort!$C31))</f>
        <v>outreach_sent</v>
      </c>
      <c r="F31" s="0" t="str">
        <f aca="false">IF(Pipeline_Sort!$C31="","",INDEX(Pipeline_Calc!$G$2:$G$5251,Pipeline_Sort!$C31))</f>
        <v/>
      </c>
      <c r="G31" s="0" t="str">
        <f aca="false">IF(Pipeline_Sort!$C31="","",INDEX(Pipeline_Calc!$H$2:$H$5251,Pipeline_Sort!$C31))</f>
        <v/>
      </c>
      <c r="H31" s="0" t="str">
        <f aca="false">IF(Pipeline_Sort!$C31="","",INDEX(Pipeline_Calc!$I$2:$I$5251,Pipeline_Sort!$C31))</f>
        <v/>
      </c>
      <c r="I31" s="0" t="str">
        <f aca="false">IF(Pipeline_Sort!$C31="","",INDEX(Pipeline_Calc!$J$2:$J$5251,Pipeline_Sort!$C31))</f>
        <v>touch_1; brand-discovery-A; warm-intro</v>
      </c>
    </row>
    <row r="32" customFormat="false" ht="15" hidden="false" customHeight="false" outlineLevel="0" collapsed="false">
      <c r="A32" s="33" t="n">
        <f aca="false">IF(Pipeline_Sort!$C32="","",INDEX(Pipeline_Calc!$B$2:$B$5251,Pipeline_Sort!$C32))</f>
        <v>46323</v>
      </c>
      <c r="B32" s="0" t="str">
        <f aca="false">IF(Pipeline_Sort!$C32="","",INDEX(Pipeline_Calc!$C$2:$C$5251,Pipeline_Sort!$C32))</f>
        <v>brand</v>
      </c>
      <c r="C32" s="0" t="str">
        <f aca="false">IF(Pipeline_Sort!$C32="","",INDEX(Pipeline_Calc!$D$2:$D$5251,Pipeline_Sort!$C32))</f>
        <v>SAMPLE-B-026</v>
      </c>
      <c r="D32" s="0" t="str">
        <f aca="false">IF(Pipeline_Sort!$C32="","",INDEX(Pipeline_Calc!$E$2:$E$5251,Pipeline_Sort!$C32))</f>
        <v>SAMPLE Brand 26</v>
      </c>
      <c r="E32" s="0" t="str">
        <f aca="false">IF(Pipeline_Sort!$C32="","",INDEX(Pipeline_Calc!$F$2:$F$5251,Pipeline_Sort!$C32))</f>
        <v>outreach_sent</v>
      </c>
      <c r="F32" s="0" t="str">
        <f aca="false">IF(Pipeline_Sort!$C32="","",INDEX(Pipeline_Calc!$G$2:$G$5251,Pipeline_Sort!$C32))</f>
        <v/>
      </c>
      <c r="G32" s="0" t="str">
        <f aca="false">IF(Pipeline_Sort!$C32="","",INDEX(Pipeline_Calc!$H$2:$H$5251,Pipeline_Sort!$C32))</f>
        <v/>
      </c>
      <c r="H32" s="0" t="str">
        <f aca="false">IF(Pipeline_Sort!$C32="","",INDEX(Pipeline_Calc!$I$2:$I$5251,Pipeline_Sort!$C32))</f>
        <v/>
      </c>
      <c r="I32" s="0" t="str">
        <f aca="false">IF(Pipeline_Sort!$C32="","",INDEX(Pipeline_Calc!$J$2:$J$5251,Pipeline_Sort!$C32))</f>
        <v>touch_1; brand-discovery-B; linkedin</v>
      </c>
    </row>
    <row r="33" customFormat="false" ht="15" hidden="false" customHeight="false" outlineLevel="0" collapsed="false">
      <c r="A33" s="33" t="n">
        <f aca="false">IF(Pipeline_Sort!$C33="","",INDEX(Pipeline_Calc!$B$2:$B$5251,Pipeline_Sort!$C33))</f>
        <v>46324</v>
      </c>
      <c r="B33" s="0" t="str">
        <f aca="false">IF(Pipeline_Sort!$C33="","",INDEX(Pipeline_Calc!$C$2:$C$5251,Pipeline_Sort!$C33))</f>
        <v>office</v>
      </c>
      <c r="C33" s="0" t="str">
        <f aca="false">IF(Pipeline_Sort!$C33="","",INDEX(Pipeline_Calc!$D$2:$D$5251,Pipeline_Sort!$C33))</f>
        <v>SAMPLE-O-003</v>
      </c>
      <c r="D33" s="0" t="str">
        <f aca="false">IF(Pipeline_Sort!$C33="","",INDEX(Pipeline_Calc!$E$2:$E$5251,Pipeline_Sort!$C33))</f>
        <v>SAMPLE Office 03</v>
      </c>
      <c r="E33" s="0" t="str">
        <f aca="false">IF(Pipeline_Sort!$C33="","",INDEX(Pipeline_Calc!$F$2:$F$5251,Pipeline_Sort!$C33))</f>
        <v>conversation</v>
      </c>
      <c r="F33" s="0" t="str">
        <f aca="false">IF(Pipeline_Sort!$C33="","",INDEX(Pipeline_Calc!$G$2:$G$5251,Pipeline_Sort!$C33))</f>
        <v/>
      </c>
      <c r="G33" s="0" t="str">
        <f aca="false">IF(Pipeline_Sort!$C33="","",INDEX(Pipeline_Calc!$H$2:$H$5251,Pipeline_Sort!$C33))</f>
        <v/>
      </c>
      <c r="H33" s="0" t="str">
        <f aca="false">IF(Pipeline_Sort!$C33="","",INDEX(Pipeline_Calc!$I$2:$I$5251,Pipeline_Sort!$C33))</f>
        <v/>
      </c>
      <c r="I33" s="0" t="str">
        <f aca="false">IF(Pipeline_Sort!$C33="","",INDEX(Pipeline_Calc!$J$2:$J$5251,Pipeline_Sort!$C33))</f>
        <v>walk-in</v>
      </c>
    </row>
    <row r="34" customFormat="false" ht="15" hidden="false" customHeight="false" outlineLevel="0" collapsed="false">
      <c r="A34" s="33" t="n">
        <f aca="false">IF(Pipeline_Sort!$C34="","",INDEX(Pipeline_Calc!$B$2:$B$5251,Pipeline_Sort!$C34))</f>
        <v>46324</v>
      </c>
      <c r="B34" s="0" t="str">
        <f aca="false">IF(Pipeline_Sort!$C34="","",INDEX(Pipeline_Calc!$C$2:$C$5251,Pipeline_Sort!$C34))</f>
        <v>office</v>
      </c>
      <c r="C34" s="0" t="str">
        <f aca="false">IF(Pipeline_Sort!$C34="","",INDEX(Pipeline_Calc!$D$2:$D$5251,Pipeline_Sort!$C34))</f>
        <v>SAMPLE-O-003</v>
      </c>
      <c r="D34" s="0" t="str">
        <f aca="false">IF(Pipeline_Sort!$C34="","",INDEX(Pipeline_Calc!$E$2:$E$5251,Pipeline_Sort!$C34))</f>
        <v>SAMPLE Office 03</v>
      </c>
      <c r="E34" s="0" t="str">
        <f aca="false">IF(Pipeline_Sort!$C34="","",INDEX(Pipeline_Calc!$F$2:$F$5251,Pipeline_Sort!$C34))</f>
        <v>budget_probe</v>
      </c>
      <c r="F34" s="0" t="str">
        <f aca="false">IF(Pipeline_Sort!$C34="","",INDEX(Pipeline_Calc!$G$2:$G$5251,Pipeline_Sort!$C34))</f>
        <v/>
      </c>
      <c r="G34" s="0" t="str">
        <f aca="false">IF(Pipeline_Sort!$C34="","",INDEX(Pipeline_Calc!$H$2:$H$5251,Pipeline_Sort!$C34))</f>
        <v>SAMPLE: I don't know</v>
      </c>
      <c r="H34" s="0" t="str">
        <f aca="false">IF(Pipeline_Sort!$C34="","",INDEX(Pipeline_Calc!$I$2:$I$5251,Pipeline_Sort!$C34))</f>
        <v/>
      </c>
      <c r="I34" s="0" t="str">
        <f aca="false">IF(Pipeline_Sort!$C34="","",INDEX(Pipeline_Calc!$J$2:$J$5251,Pipeline_Sort!$C34))</f>
        <v/>
      </c>
    </row>
    <row r="35" customFormat="false" ht="15" hidden="false" customHeight="false" outlineLevel="0" collapsed="false">
      <c r="A35" s="33" t="n">
        <f aca="false">IF(Pipeline_Sort!$C35="","",INDEX(Pipeline_Calc!$B$2:$B$5251,Pipeline_Sort!$C35))</f>
        <v>46324</v>
      </c>
      <c r="B35" s="0" t="str">
        <f aca="false">IF(Pipeline_Sort!$C35="","",INDEX(Pipeline_Calc!$C$2:$C$5251,Pipeline_Sort!$C35))</f>
        <v>brand</v>
      </c>
      <c r="C35" s="0" t="str">
        <f aca="false">IF(Pipeline_Sort!$C35="","",INDEX(Pipeline_Calc!$D$2:$D$5251,Pipeline_Sort!$C35))</f>
        <v>SAMPLE-B-003</v>
      </c>
      <c r="D35" s="0" t="str">
        <f aca="false">IF(Pipeline_Sort!$C35="","",INDEX(Pipeline_Calc!$E$2:$E$5251,Pipeline_Sort!$C35))</f>
        <v>SAMPLE Brand 03</v>
      </c>
      <c r="E35" s="0" t="str">
        <f aca="false">IF(Pipeline_Sort!$C35="","",INDEX(Pipeline_Calc!$F$2:$F$5251,Pipeline_Sort!$C35))</f>
        <v>conversation</v>
      </c>
      <c r="F35" s="0" t="str">
        <f aca="false">IF(Pipeline_Sort!$C35="","",INDEX(Pipeline_Calc!$G$2:$G$5251,Pipeline_Sort!$C35))</f>
        <v/>
      </c>
      <c r="G35" s="0" t="str">
        <f aca="false">IF(Pipeline_Sort!$C35="","",INDEX(Pipeline_Calc!$H$2:$H$5251,Pipeline_Sort!$C35))</f>
        <v/>
      </c>
      <c r="H35" s="0" t="str">
        <f aca="false">IF(Pipeline_Sort!$C35="","",INDEX(Pipeline_Calc!$I$2:$I$5251,Pipeline_Sort!$C35))</f>
        <v/>
      </c>
      <c r="I35" s="0" t="str">
        <f aca="false">IF(Pipeline_Sort!$C35="","",INDEX(Pipeline_Calc!$J$2:$J$5251,Pipeline_Sort!$C35))</f>
        <v>video</v>
      </c>
    </row>
    <row r="36" customFormat="false" ht="15" hidden="false" customHeight="false" outlineLevel="0" collapsed="false">
      <c r="A36" s="33" t="n">
        <f aca="false">IF(Pipeline_Sort!$C36="","",INDEX(Pipeline_Calc!$B$2:$B$5251,Pipeline_Sort!$C36))</f>
        <v>46324</v>
      </c>
      <c r="B36" s="0" t="str">
        <f aca="false">IF(Pipeline_Sort!$C36="","",INDEX(Pipeline_Calc!$C$2:$C$5251,Pipeline_Sort!$C36))</f>
        <v>brand</v>
      </c>
      <c r="C36" s="0" t="str">
        <f aca="false">IF(Pipeline_Sort!$C36="","",INDEX(Pipeline_Calc!$D$2:$D$5251,Pipeline_Sort!$C36))</f>
        <v>SAMPLE-B-003</v>
      </c>
      <c r="D36" s="0" t="str">
        <f aca="false">IF(Pipeline_Sort!$C36="","",INDEX(Pipeline_Calc!$E$2:$E$5251,Pipeline_Sort!$C36))</f>
        <v>SAMPLE Brand 03</v>
      </c>
      <c r="E36" s="0" t="str">
        <f aca="false">IF(Pipeline_Sort!$C36="","",INDEX(Pipeline_Calc!$F$2:$F$5251,Pipeline_Sort!$C36))</f>
        <v>budget_probe</v>
      </c>
      <c r="F36" s="0" t="str">
        <f aca="false">IF(Pipeline_Sort!$C36="","",INDEX(Pipeline_Calc!$G$2:$G$5251,Pipeline_Sort!$C36))</f>
        <v/>
      </c>
      <c r="G36" s="0" t="str">
        <f aca="false">IF(Pipeline_Sort!$C36="","",INDEX(Pipeline_Calc!$H$2:$H$5251,Pipeline_Sort!$C36))</f>
        <v>SAMPLE: no idea what that's worth</v>
      </c>
      <c r="H36" s="0" t="str">
        <f aca="false">IF(Pipeline_Sort!$C36="","",INDEX(Pipeline_Calc!$I$2:$I$5251,Pipeline_Sort!$C36))</f>
        <v>Y</v>
      </c>
      <c r="I36" s="0" t="str">
        <f aca="false">IF(Pipeline_Sort!$C36="","",INDEX(Pipeline_Calc!$J$2:$J$5251,Pipeline_Sort!$C36))</f>
        <v/>
      </c>
    </row>
    <row r="37" customFormat="false" ht="15" hidden="false" customHeight="false" outlineLevel="0" collapsed="false">
      <c r="A37" s="33" t="n">
        <f aca="false">IF(Pipeline_Sort!$C37="","",INDEX(Pipeline_Calc!$B$2:$B$5251,Pipeline_Sort!$C37))</f>
        <v>46324</v>
      </c>
      <c r="B37" s="0" t="str">
        <f aca="false">IF(Pipeline_Sort!$C37="","",INDEX(Pipeline_Calc!$C$2:$C$5251,Pipeline_Sort!$C37))</f>
        <v>brand</v>
      </c>
      <c r="C37" s="0" t="str">
        <f aca="false">IF(Pipeline_Sort!$C37="","",INDEX(Pipeline_Calc!$D$2:$D$5251,Pipeline_Sort!$C37))</f>
        <v>SAMPLE-B-003</v>
      </c>
      <c r="D37" s="0" t="str">
        <f aca="false">IF(Pipeline_Sort!$C37="","",INDEX(Pipeline_Calc!$E$2:$E$5251,Pipeline_Sort!$C37))</f>
        <v>SAMPLE Brand 03</v>
      </c>
      <c r="E37" s="0" t="str">
        <f aca="false">IF(Pipeline_Sort!$C37="","",INDEX(Pipeline_Calc!$F$2:$F$5251,Pipeline_Sort!$C37))</f>
        <v>budget_probe</v>
      </c>
      <c r="F37" s="32" t="n">
        <f aca="false">IF(Pipeline_Sort!$C37="","",INDEX(Pipeline_Calc!$G$2:$G$5251,Pipeline_Sort!$C37))</f>
        <v>0</v>
      </c>
      <c r="G37" s="0" t="str">
        <f aca="false">IF(Pipeline_Sort!$C37="","",INDEX(Pipeline_Calc!$H$2:$H$5251,Pipeline_Sort!$C37))</f>
        <v>SAMPLE: not at that price</v>
      </c>
      <c r="H37" s="0" t="str">
        <f aca="false">IF(Pipeline_Sort!$C37="","",INDEX(Pipeline_Calc!$I$2:$I$5251,Pipeline_Sort!$C37))</f>
        <v>Y</v>
      </c>
      <c r="I37" s="0" t="str">
        <f aca="false">IF(Pipeline_Sort!$C37="","",INDEX(Pipeline_Calc!$J$2:$J$5251,Pipeline_Sort!$C37))</f>
        <v>after_1500</v>
      </c>
    </row>
    <row r="38" customFormat="false" ht="15" hidden="false" customHeight="false" outlineLevel="0" collapsed="false">
      <c r="A38" s="33" t="n">
        <f aca="false">IF(Pipeline_Sort!$C38="","",INDEX(Pipeline_Calc!$B$2:$B$5251,Pipeline_Sort!$C38))</f>
        <v>46324</v>
      </c>
      <c r="B38" s="0" t="str">
        <f aca="false">IF(Pipeline_Sort!$C38="","",INDEX(Pipeline_Calc!$C$2:$C$5251,Pipeline_Sort!$C38))</f>
        <v>office</v>
      </c>
      <c r="C38" s="0" t="str">
        <f aca="false">IF(Pipeline_Sort!$C38="","",INDEX(Pipeline_Calc!$D$2:$D$5251,Pipeline_Sort!$C38))</f>
        <v>SAMPLE-O-006</v>
      </c>
      <c r="D38" s="0" t="str">
        <f aca="false">IF(Pipeline_Sort!$C38="","",INDEX(Pipeline_Calc!$E$2:$E$5251,Pipeline_Sort!$C38))</f>
        <v>SAMPLE Office 06</v>
      </c>
      <c r="E38" s="0" t="str">
        <f aca="false">IF(Pipeline_Sort!$C38="","",INDEX(Pipeline_Calc!$F$2:$F$5251,Pipeline_Sort!$C38))</f>
        <v>outreach_sent</v>
      </c>
      <c r="F38" s="0" t="str">
        <f aca="false">IF(Pipeline_Sort!$C38="","",INDEX(Pipeline_Calc!$G$2:$G$5251,Pipeline_Sort!$C38))</f>
        <v/>
      </c>
      <c r="G38" s="0" t="str">
        <f aca="false">IF(Pipeline_Sort!$C38="","",INDEX(Pipeline_Calc!$H$2:$H$5251,Pipeline_Sort!$C38))</f>
        <v/>
      </c>
      <c r="H38" s="0" t="str">
        <f aca="false">IF(Pipeline_Sort!$C38="","",INDEX(Pipeline_Calc!$I$2:$I$5251,Pipeline_Sort!$C38))</f>
        <v/>
      </c>
      <c r="I38" s="0" t="str">
        <f aca="false">IF(Pipeline_Sort!$C38="","",INDEX(Pipeline_Calc!$J$2:$J$5251,Pipeline_Sort!$C38))</f>
        <v>touch_1; office-discovery-B; walk-in</v>
      </c>
    </row>
    <row r="39" customFormat="false" ht="15" hidden="false" customHeight="false" outlineLevel="0" collapsed="false">
      <c r="A39" s="33" t="n">
        <f aca="false">IF(Pipeline_Sort!$C39="","",INDEX(Pipeline_Calc!$B$2:$B$5251,Pipeline_Sort!$C39))</f>
        <v>46324</v>
      </c>
      <c r="B39" s="0" t="str">
        <f aca="false">IF(Pipeline_Sort!$C39="","",INDEX(Pipeline_Calc!$C$2:$C$5251,Pipeline_Sort!$C39))</f>
        <v>office</v>
      </c>
      <c r="C39" s="0" t="str">
        <f aca="false">IF(Pipeline_Sort!$C39="","",INDEX(Pipeline_Calc!$D$2:$D$5251,Pipeline_Sort!$C39))</f>
        <v>SAMPLE-O-020</v>
      </c>
      <c r="D39" s="0" t="str">
        <f aca="false">IF(Pipeline_Sort!$C39="","",INDEX(Pipeline_Calc!$E$2:$E$5251,Pipeline_Sort!$C39))</f>
        <v>SAMPLE Office 20</v>
      </c>
      <c r="E39" s="0" t="str">
        <f aca="false">IF(Pipeline_Sort!$C39="","",INDEX(Pipeline_Calc!$F$2:$F$5251,Pipeline_Sort!$C39))</f>
        <v>outreach_sent</v>
      </c>
      <c r="F39" s="0" t="str">
        <f aca="false">IF(Pipeline_Sort!$C39="","",INDEX(Pipeline_Calc!$G$2:$G$5251,Pipeline_Sort!$C39))</f>
        <v/>
      </c>
      <c r="G39" s="0" t="str">
        <f aca="false">IF(Pipeline_Sort!$C39="","",INDEX(Pipeline_Calc!$H$2:$H$5251,Pipeline_Sort!$C39))</f>
        <v/>
      </c>
      <c r="H39" s="0" t="str">
        <f aca="false">IF(Pipeline_Sort!$C39="","",INDEX(Pipeline_Calc!$I$2:$I$5251,Pipeline_Sort!$C39))</f>
        <v/>
      </c>
      <c r="I39" s="0" t="str">
        <f aca="false">IF(Pipeline_Sort!$C39="","",INDEX(Pipeline_Calc!$J$2:$J$5251,Pipeline_Sort!$C39))</f>
        <v>touch_1; office-discovery-B; linkedin</v>
      </c>
    </row>
    <row r="40" customFormat="false" ht="15" hidden="false" customHeight="false" outlineLevel="0" collapsed="false">
      <c r="A40" s="33" t="n">
        <f aca="false">IF(Pipeline_Sort!$C40="","",INDEX(Pipeline_Calc!$B$2:$B$5251,Pipeline_Sort!$C40))</f>
        <v>46324</v>
      </c>
      <c r="B40" s="0" t="str">
        <f aca="false">IF(Pipeline_Sort!$C40="","",INDEX(Pipeline_Calc!$C$2:$C$5251,Pipeline_Sort!$C40))</f>
        <v>office</v>
      </c>
      <c r="C40" s="0" t="str">
        <f aca="false">IF(Pipeline_Sort!$C40="","",INDEX(Pipeline_Calc!$D$2:$D$5251,Pipeline_Sort!$C40))</f>
        <v>SAMPLE-O-039</v>
      </c>
      <c r="D40" s="0" t="str">
        <f aca="false">IF(Pipeline_Sort!$C40="","",INDEX(Pipeline_Calc!$E$2:$E$5251,Pipeline_Sort!$C40))</f>
        <v>SAMPLE Office 39</v>
      </c>
      <c r="E40" s="0" t="str">
        <f aca="false">IF(Pipeline_Sort!$C40="","",INDEX(Pipeline_Calc!$F$2:$F$5251,Pipeline_Sort!$C40))</f>
        <v>outreach_sent</v>
      </c>
      <c r="F40" s="0" t="str">
        <f aca="false">IF(Pipeline_Sort!$C40="","",INDEX(Pipeline_Calc!$G$2:$G$5251,Pipeline_Sort!$C40))</f>
        <v/>
      </c>
      <c r="G40" s="0" t="str">
        <f aca="false">IF(Pipeline_Sort!$C40="","",INDEX(Pipeline_Calc!$H$2:$H$5251,Pipeline_Sort!$C40))</f>
        <v/>
      </c>
      <c r="H40" s="0" t="str">
        <f aca="false">IF(Pipeline_Sort!$C40="","",INDEX(Pipeline_Calc!$I$2:$I$5251,Pipeline_Sort!$C40))</f>
        <v/>
      </c>
      <c r="I40" s="0" t="str">
        <f aca="false">IF(Pipeline_Sort!$C40="","",INDEX(Pipeline_Calc!$J$2:$J$5251,Pipeline_Sort!$C40))</f>
        <v>touch_1; office-discovery-A; linkedin</v>
      </c>
    </row>
    <row r="41" customFormat="false" ht="15" hidden="false" customHeight="false" outlineLevel="0" collapsed="false">
      <c r="A41" s="33" t="n">
        <f aca="false">IF(Pipeline_Sort!$C41="","",INDEX(Pipeline_Calc!$B$2:$B$5251,Pipeline_Sort!$C41))</f>
        <v>46324</v>
      </c>
      <c r="B41" s="0" t="str">
        <f aca="false">IF(Pipeline_Sort!$C41="","",INDEX(Pipeline_Calc!$C$2:$C$5251,Pipeline_Sort!$C41))</f>
        <v>office</v>
      </c>
      <c r="C41" s="0" t="str">
        <f aca="false">IF(Pipeline_Sort!$C41="","",INDEX(Pipeline_Calc!$D$2:$D$5251,Pipeline_Sort!$C41))</f>
        <v>SAMPLE-O-019</v>
      </c>
      <c r="D41" s="0" t="str">
        <f aca="false">IF(Pipeline_Sort!$C41="","",INDEX(Pipeline_Calc!$E$2:$E$5251,Pipeline_Sort!$C41))</f>
        <v>SAMPLE Office 19</v>
      </c>
      <c r="E41" s="0" t="str">
        <f aca="false">IF(Pipeline_Sort!$C41="","",INDEX(Pipeline_Calc!$F$2:$F$5251,Pipeline_Sort!$C41))</f>
        <v>outreach_sent</v>
      </c>
      <c r="F41" s="0" t="str">
        <f aca="false">IF(Pipeline_Sort!$C41="","",INDEX(Pipeline_Calc!$G$2:$G$5251,Pipeline_Sort!$C41))</f>
        <v/>
      </c>
      <c r="G41" s="0" t="str">
        <f aca="false">IF(Pipeline_Sort!$C41="","",INDEX(Pipeline_Calc!$H$2:$H$5251,Pipeline_Sort!$C41))</f>
        <v/>
      </c>
      <c r="H41" s="0" t="str">
        <f aca="false">IF(Pipeline_Sort!$C41="","",INDEX(Pipeline_Calc!$I$2:$I$5251,Pipeline_Sort!$C41))</f>
        <v/>
      </c>
      <c r="I41" s="0" t="str">
        <f aca="false">IF(Pipeline_Sort!$C41="","",INDEX(Pipeline_Calc!$J$2:$J$5251,Pipeline_Sort!$C41))</f>
        <v>touch_2; office-discovery-A; linkedin</v>
      </c>
    </row>
    <row r="42" customFormat="false" ht="15" hidden="false" customHeight="false" outlineLevel="0" collapsed="false">
      <c r="A42" s="33" t="n">
        <f aca="false">IF(Pipeline_Sort!$C42="","",INDEX(Pipeline_Calc!$B$2:$B$5251,Pipeline_Sort!$C42))</f>
        <v>46324</v>
      </c>
      <c r="B42" s="0" t="str">
        <f aca="false">IF(Pipeline_Sort!$C42="","",INDEX(Pipeline_Calc!$C$2:$C$5251,Pipeline_Sort!$C42))</f>
        <v>office</v>
      </c>
      <c r="C42" s="0" t="str">
        <f aca="false">IF(Pipeline_Sort!$C42="","",INDEX(Pipeline_Calc!$D$2:$D$5251,Pipeline_Sort!$C42))</f>
        <v>SAMPLE-O-038</v>
      </c>
      <c r="D42" s="0" t="str">
        <f aca="false">IF(Pipeline_Sort!$C42="","",INDEX(Pipeline_Calc!$E$2:$E$5251,Pipeline_Sort!$C42))</f>
        <v>SAMPLE Office 38</v>
      </c>
      <c r="E42" s="0" t="str">
        <f aca="false">IF(Pipeline_Sort!$C42="","",INDEX(Pipeline_Calc!$F$2:$F$5251,Pipeline_Sort!$C42))</f>
        <v>outreach_sent</v>
      </c>
      <c r="F42" s="0" t="str">
        <f aca="false">IF(Pipeline_Sort!$C42="","",INDEX(Pipeline_Calc!$G$2:$G$5251,Pipeline_Sort!$C42))</f>
        <v/>
      </c>
      <c r="G42" s="0" t="str">
        <f aca="false">IF(Pipeline_Sort!$C42="","",INDEX(Pipeline_Calc!$H$2:$H$5251,Pipeline_Sort!$C42))</f>
        <v/>
      </c>
      <c r="H42" s="0" t="str">
        <f aca="false">IF(Pipeline_Sort!$C42="","",INDEX(Pipeline_Calc!$I$2:$I$5251,Pipeline_Sort!$C42))</f>
        <v/>
      </c>
      <c r="I42" s="0" t="str">
        <f aca="false">IF(Pipeline_Sort!$C42="","",INDEX(Pipeline_Calc!$J$2:$J$5251,Pipeline_Sort!$C42))</f>
        <v>touch_2; office-discovery-B; linkedin</v>
      </c>
    </row>
    <row r="43" customFormat="false" ht="15" hidden="false" customHeight="false" outlineLevel="0" collapsed="false">
      <c r="A43" s="33" t="n">
        <f aca="false">IF(Pipeline_Sort!$C43="","",INDEX(Pipeline_Calc!$B$2:$B$5251,Pipeline_Sort!$C43))</f>
        <v>46324</v>
      </c>
      <c r="B43" s="0" t="str">
        <f aca="false">IF(Pipeline_Sort!$C43="","",INDEX(Pipeline_Calc!$C$2:$C$5251,Pipeline_Sort!$C43))</f>
        <v>brand</v>
      </c>
      <c r="C43" s="0" t="str">
        <f aca="false">IF(Pipeline_Sort!$C43="","",INDEX(Pipeline_Calc!$D$2:$D$5251,Pipeline_Sort!$C43))</f>
        <v>SAMPLE-B-006</v>
      </c>
      <c r="D43" s="0" t="str">
        <f aca="false">IF(Pipeline_Sort!$C43="","",INDEX(Pipeline_Calc!$E$2:$E$5251,Pipeline_Sort!$C43))</f>
        <v>SAMPLE Brand 06</v>
      </c>
      <c r="E43" s="0" t="str">
        <f aca="false">IF(Pipeline_Sort!$C43="","",INDEX(Pipeline_Calc!$F$2:$F$5251,Pipeline_Sort!$C43))</f>
        <v>outreach_sent</v>
      </c>
      <c r="F43" s="0" t="str">
        <f aca="false">IF(Pipeline_Sort!$C43="","",INDEX(Pipeline_Calc!$G$2:$G$5251,Pipeline_Sort!$C43))</f>
        <v/>
      </c>
      <c r="G43" s="0" t="str">
        <f aca="false">IF(Pipeline_Sort!$C43="","",INDEX(Pipeline_Calc!$H$2:$H$5251,Pipeline_Sort!$C43))</f>
        <v/>
      </c>
      <c r="H43" s="0" t="str">
        <f aca="false">IF(Pipeline_Sort!$C43="","",INDEX(Pipeline_Calc!$I$2:$I$5251,Pipeline_Sort!$C43))</f>
        <v/>
      </c>
      <c r="I43" s="0" t="str">
        <f aca="false">IF(Pipeline_Sort!$C43="","",INDEX(Pipeline_Calc!$J$2:$J$5251,Pipeline_Sort!$C43))</f>
        <v>touch_1; brand-discovery-B; linkedin</v>
      </c>
    </row>
    <row r="44" customFormat="false" ht="15" hidden="false" customHeight="false" outlineLevel="0" collapsed="false">
      <c r="A44" s="33" t="n">
        <f aca="false">IF(Pipeline_Sort!$C44="","",INDEX(Pipeline_Calc!$B$2:$B$5251,Pipeline_Sort!$C44))</f>
        <v>46324</v>
      </c>
      <c r="B44" s="0" t="str">
        <f aca="false">IF(Pipeline_Sort!$C44="","",INDEX(Pipeline_Calc!$C$2:$C$5251,Pipeline_Sort!$C44))</f>
        <v>brand</v>
      </c>
      <c r="C44" s="0" t="str">
        <f aca="false">IF(Pipeline_Sort!$C44="","",INDEX(Pipeline_Calc!$D$2:$D$5251,Pipeline_Sort!$C44))</f>
        <v>SAMPLE-B-020</v>
      </c>
      <c r="D44" s="0" t="str">
        <f aca="false">IF(Pipeline_Sort!$C44="","",INDEX(Pipeline_Calc!$E$2:$E$5251,Pipeline_Sort!$C44))</f>
        <v>SAMPLE Brand 20</v>
      </c>
      <c r="E44" s="0" t="str">
        <f aca="false">IF(Pipeline_Sort!$C44="","",INDEX(Pipeline_Calc!$F$2:$F$5251,Pipeline_Sort!$C44))</f>
        <v>outreach_sent</v>
      </c>
      <c r="F44" s="0" t="str">
        <f aca="false">IF(Pipeline_Sort!$C44="","",INDEX(Pipeline_Calc!$G$2:$G$5251,Pipeline_Sort!$C44))</f>
        <v/>
      </c>
      <c r="G44" s="0" t="str">
        <f aca="false">IF(Pipeline_Sort!$C44="","",INDEX(Pipeline_Calc!$H$2:$H$5251,Pipeline_Sort!$C44))</f>
        <v/>
      </c>
      <c r="H44" s="0" t="str">
        <f aca="false">IF(Pipeline_Sort!$C44="","",INDEX(Pipeline_Calc!$I$2:$I$5251,Pipeline_Sort!$C44))</f>
        <v/>
      </c>
      <c r="I44" s="0" t="str">
        <f aca="false">IF(Pipeline_Sort!$C44="","",INDEX(Pipeline_Calc!$J$2:$J$5251,Pipeline_Sort!$C44))</f>
        <v>touch_1; brand-discovery-B; linkedin</v>
      </c>
    </row>
    <row r="45" customFormat="false" ht="15" hidden="false" customHeight="false" outlineLevel="0" collapsed="false">
      <c r="A45" s="33" t="n">
        <f aca="false">IF(Pipeline_Sort!$C45="","",INDEX(Pipeline_Calc!$B$2:$B$5251,Pipeline_Sort!$C45))</f>
        <v>46324</v>
      </c>
      <c r="B45" s="0" t="str">
        <f aca="false">IF(Pipeline_Sort!$C45="","",INDEX(Pipeline_Calc!$C$2:$C$5251,Pipeline_Sort!$C45))</f>
        <v>brand</v>
      </c>
      <c r="C45" s="0" t="str">
        <f aca="false">IF(Pipeline_Sort!$C45="","",INDEX(Pipeline_Calc!$D$2:$D$5251,Pipeline_Sort!$C45))</f>
        <v>SAMPLE-B-039</v>
      </c>
      <c r="D45" s="0" t="str">
        <f aca="false">IF(Pipeline_Sort!$C45="","",INDEX(Pipeline_Calc!$E$2:$E$5251,Pipeline_Sort!$C45))</f>
        <v>SAMPLE Brand 39</v>
      </c>
      <c r="E45" s="0" t="str">
        <f aca="false">IF(Pipeline_Sort!$C45="","",INDEX(Pipeline_Calc!$F$2:$F$5251,Pipeline_Sort!$C45))</f>
        <v>outreach_sent</v>
      </c>
      <c r="F45" s="0" t="str">
        <f aca="false">IF(Pipeline_Sort!$C45="","",INDEX(Pipeline_Calc!$G$2:$G$5251,Pipeline_Sort!$C45))</f>
        <v/>
      </c>
      <c r="G45" s="0" t="str">
        <f aca="false">IF(Pipeline_Sort!$C45="","",INDEX(Pipeline_Calc!$H$2:$H$5251,Pipeline_Sort!$C45))</f>
        <v/>
      </c>
      <c r="H45" s="0" t="str">
        <f aca="false">IF(Pipeline_Sort!$C45="","",INDEX(Pipeline_Calc!$I$2:$I$5251,Pipeline_Sort!$C45))</f>
        <v/>
      </c>
      <c r="I45" s="0" t="str">
        <f aca="false">IF(Pipeline_Sort!$C45="","",INDEX(Pipeline_Calc!$J$2:$J$5251,Pipeline_Sort!$C45))</f>
        <v>touch_1; brand-discovery-A; linkedin</v>
      </c>
    </row>
    <row r="46" customFormat="false" ht="15" hidden="false" customHeight="false" outlineLevel="0" collapsed="false">
      <c r="A46" s="33" t="n">
        <f aca="false">IF(Pipeline_Sort!$C46="","",INDEX(Pipeline_Calc!$B$2:$B$5251,Pipeline_Sort!$C46))</f>
        <v>46324</v>
      </c>
      <c r="B46" s="0" t="str">
        <f aca="false">IF(Pipeline_Sort!$C46="","",INDEX(Pipeline_Calc!$C$2:$C$5251,Pipeline_Sort!$C46))</f>
        <v>brand</v>
      </c>
      <c r="C46" s="0" t="str">
        <f aca="false">IF(Pipeline_Sort!$C46="","",INDEX(Pipeline_Calc!$D$2:$D$5251,Pipeline_Sort!$C46))</f>
        <v>SAMPLE-B-019</v>
      </c>
      <c r="D46" s="0" t="str">
        <f aca="false">IF(Pipeline_Sort!$C46="","",INDEX(Pipeline_Calc!$E$2:$E$5251,Pipeline_Sort!$C46))</f>
        <v>SAMPLE Brand 19</v>
      </c>
      <c r="E46" s="0" t="str">
        <f aca="false">IF(Pipeline_Sort!$C46="","",INDEX(Pipeline_Calc!$F$2:$F$5251,Pipeline_Sort!$C46))</f>
        <v>outreach_sent</v>
      </c>
      <c r="F46" s="0" t="str">
        <f aca="false">IF(Pipeline_Sort!$C46="","",INDEX(Pipeline_Calc!$G$2:$G$5251,Pipeline_Sort!$C46))</f>
        <v/>
      </c>
      <c r="G46" s="0" t="str">
        <f aca="false">IF(Pipeline_Sort!$C46="","",INDEX(Pipeline_Calc!$H$2:$H$5251,Pipeline_Sort!$C46))</f>
        <v/>
      </c>
      <c r="H46" s="0" t="str">
        <f aca="false">IF(Pipeline_Sort!$C46="","",INDEX(Pipeline_Calc!$I$2:$I$5251,Pipeline_Sort!$C46))</f>
        <v/>
      </c>
      <c r="I46" s="0" t="str">
        <f aca="false">IF(Pipeline_Sort!$C46="","",INDEX(Pipeline_Calc!$J$2:$J$5251,Pipeline_Sort!$C46))</f>
        <v>touch_2; brand-discovery-A; linkedin</v>
      </c>
    </row>
    <row r="47" customFormat="false" ht="15" hidden="false" customHeight="false" outlineLevel="0" collapsed="false">
      <c r="A47" s="33" t="n">
        <f aca="false">IF(Pipeline_Sort!$C47="","",INDEX(Pipeline_Calc!$B$2:$B$5251,Pipeline_Sort!$C47))</f>
        <v>46324</v>
      </c>
      <c r="B47" s="0" t="str">
        <f aca="false">IF(Pipeline_Sort!$C47="","",INDEX(Pipeline_Calc!$C$2:$C$5251,Pipeline_Sort!$C47))</f>
        <v>brand</v>
      </c>
      <c r="C47" s="0" t="str">
        <f aca="false">IF(Pipeline_Sort!$C47="","",INDEX(Pipeline_Calc!$D$2:$D$5251,Pipeline_Sort!$C47))</f>
        <v>SAMPLE-B-038</v>
      </c>
      <c r="D47" s="0" t="str">
        <f aca="false">IF(Pipeline_Sort!$C47="","",INDEX(Pipeline_Calc!$E$2:$E$5251,Pipeline_Sort!$C47))</f>
        <v>SAMPLE Brand 38</v>
      </c>
      <c r="E47" s="0" t="str">
        <f aca="false">IF(Pipeline_Sort!$C47="","",INDEX(Pipeline_Calc!$F$2:$F$5251,Pipeline_Sort!$C47))</f>
        <v>outreach_sent</v>
      </c>
      <c r="F47" s="0" t="str">
        <f aca="false">IF(Pipeline_Sort!$C47="","",INDEX(Pipeline_Calc!$G$2:$G$5251,Pipeline_Sort!$C47))</f>
        <v/>
      </c>
      <c r="G47" s="0" t="str">
        <f aca="false">IF(Pipeline_Sort!$C47="","",INDEX(Pipeline_Calc!$H$2:$H$5251,Pipeline_Sort!$C47))</f>
        <v/>
      </c>
      <c r="H47" s="0" t="str">
        <f aca="false">IF(Pipeline_Sort!$C47="","",INDEX(Pipeline_Calc!$I$2:$I$5251,Pipeline_Sort!$C47))</f>
        <v/>
      </c>
      <c r="I47" s="0" t="str">
        <f aca="false">IF(Pipeline_Sort!$C47="","",INDEX(Pipeline_Calc!$J$2:$J$5251,Pipeline_Sort!$C47))</f>
        <v>touch_2; brand-discovery-B; linkedin</v>
      </c>
    </row>
    <row r="48" customFormat="false" ht="15" hidden="false" customHeight="false" outlineLevel="0" collapsed="false">
      <c r="A48" s="33" t="n">
        <f aca="false">IF(Pipeline_Sort!$C48="","",INDEX(Pipeline_Calc!$B$2:$B$5251,Pipeline_Sort!$C48))</f>
        <v>46325</v>
      </c>
      <c r="B48" s="0" t="str">
        <f aca="false">IF(Pipeline_Sort!$C48="","",INDEX(Pipeline_Calc!$C$2:$C$5251,Pipeline_Sort!$C48))</f>
        <v>office</v>
      </c>
      <c r="C48" s="0" t="str">
        <f aca="false">IF(Pipeline_Sort!$C48="","",INDEX(Pipeline_Calc!$D$2:$D$5251,Pipeline_Sort!$C48))</f>
        <v>SAMPLE-O-007</v>
      </c>
      <c r="D48" s="0" t="str">
        <f aca="false">IF(Pipeline_Sort!$C48="","",INDEX(Pipeline_Calc!$E$2:$E$5251,Pipeline_Sort!$C48))</f>
        <v>SAMPLE Office 07</v>
      </c>
      <c r="E48" s="0" t="str">
        <f aca="false">IF(Pipeline_Sort!$C48="","",INDEX(Pipeline_Calc!$F$2:$F$5251,Pipeline_Sort!$C48))</f>
        <v>outreach_sent</v>
      </c>
      <c r="F48" s="0" t="str">
        <f aca="false">IF(Pipeline_Sort!$C48="","",INDEX(Pipeline_Calc!$G$2:$G$5251,Pipeline_Sort!$C48))</f>
        <v/>
      </c>
      <c r="G48" s="0" t="str">
        <f aca="false">IF(Pipeline_Sort!$C48="","",INDEX(Pipeline_Calc!$H$2:$H$5251,Pipeline_Sort!$C48))</f>
        <v/>
      </c>
      <c r="H48" s="0" t="str">
        <f aca="false">IF(Pipeline_Sort!$C48="","",INDEX(Pipeline_Calc!$I$2:$I$5251,Pipeline_Sort!$C48))</f>
        <v/>
      </c>
      <c r="I48" s="0" t="str">
        <f aca="false">IF(Pipeline_Sort!$C48="","",INDEX(Pipeline_Calc!$J$2:$J$5251,Pipeline_Sort!$C48))</f>
        <v>touch_1; office-discovery-A; linkedin</v>
      </c>
    </row>
    <row r="49" customFormat="false" ht="15" hidden="false" customHeight="false" outlineLevel="0" collapsed="false">
      <c r="A49" s="33" t="n">
        <f aca="false">IF(Pipeline_Sort!$C49="","",INDEX(Pipeline_Calc!$B$2:$B$5251,Pipeline_Sort!$C49))</f>
        <v>46325</v>
      </c>
      <c r="B49" s="0" t="str">
        <f aca="false">IF(Pipeline_Sort!$C49="","",INDEX(Pipeline_Calc!$C$2:$C$5251,Pipeline_Sort!$C49))</f>
        <v>office</v>
      </c>
      <c r="C49" s="0" t="str">
        <f aca="false">IF(Pipeline_Sort!$C49="","",INDEX(Pipeline_Calc!$D$2:$D$5251,Pipeline_Sort!$C49))</f>
        <v>SAMPLE-O-033</v>
      </c>
      <c r="D49" s="0" t="str">
        <f aca="false">IF(Pipeline_Sort!$C49="","",INDEX(Pipeline_Calc!$E$2:$E$5251,Pipeline_Sort!$C49))</f>
        <v>SAMPLE Office 33</v>
      </c>
      <c r="E49" s="0" t="str">
        <f aca="false">IF(Pipeline_Sort!$C49="","",INDEX(Pipeline_Calc!$F$2:$F$5251,Pipeline_Sort!$C49))</f>
        <v>outreach_sent</v>
      </c>
      <c r="F49" s="0" t="str">
        <f aca="false">IF(Pipeline_Sort!$C49="","",INDEX(Pipeline_Calc!$G$2:$G$5251,Pipeline_Sort!$C49))</f>
        <v/>
      </c>
      <c r="G49" s="0" t="str">
        <f aca="false">IF(Pipeline_Sort!$C49="","",INDEX(Pipeline_Calc!$H$2:$H$5251,Pipeline_Sort!$C49))</f>
        <v/>
      </c>
      <c r="H49" s="0" t="str">
        <f aca="false">IF(Pipeline_Sort!$C49="","",INDEX(Pipeline_Calc!$I$2:$I$5251,Pipeline_Sort!$C49))</f>
        <v/>
      </c>
      <c r="I49" s="0" t="str">
        <f aca="false">IF(Pipeline_Sort!$C49="","",INDEX(Pipeline_Calc!$J$2:$J$5251,Pipeline_Sort!$C49))</f>
        <v>touch_1; office-discovery-A; linkedin</v>
      </c>
    </row>
    <row r="50" customFormat="false" ht="15" hidden="false" customHeight="false" outlineLevel="0" collapsed="false">
      <c r="A50" s="33" t="n">
        <f aca="false">IF(Pipeline_Sort!$C50="","",INDEX(Pipeline_Calc!$B$2:$B$5251,Pipeline_Sort!$C50))</f>
        <v>46325</v>
      </c>
      <c r="B50" s="0" t="str">
        <f aca="false">IF(Pipeline_Sort!$C50="","",INDEX(Pipeline_Calc!$C$2:$C$5251,Pipeline_Sort!$C50))</f>
        <v>office</v>
      </c>
      <c r="C50" s="0" t="str">
        <f aca="false">IF(Pipeline_Sort!$C50="","",INDEX(Pipeline_Calc!$D$2:$D$5251,Pipeline_Sort!$C50))</f>
        <v>SAMPLE-O-032</v>
      </c>
      <c r="D50" s="0" t="str">
        <f aca="false">IF(Pipeline_Sort!$C50="","",INDEX(Pipeline_Calc!$E$2:$E$5251,Pipeline_Sort!$C50))</f>
        <v>SAMPLE Office 32</v>
      </c>
      <c r="E50" s="0" t="str">
        <f aca="false">IF(Pipeline_Sort!$C50="","",INDEX(Pipeline_Calc!$F$2:$F$5251,Pipeline_Sort!$C50))</f>
        <v>outreach_sent</v>
      </c>
      <c r="F50" s="0" t="str">
        <f aca="false">IF(Pipeline_Sort!$C50="","",INDEX(Pipeline_Calc!$G$2:$G$5251,Pipeline_Sort!$C50))</f>
        <v/>
      </c>
      <c r="G50" s="0" t="str">
        <f aca="false">IF(Pipeline_Sort!$C50="","",INDEX(Pipeline_Calc!$H$2:$H$5251,Pipeline_Sort!$C50))</f>
        <v/>
      </c>
      <c r="H50" s="0" t="str">
        <f aca="false">IF(Pipeline_Sort!$C50="","",INDEX(Pipeline_Calc!$I$2:$I$5251,Pipeline_Sort!$C50))</f>
        <v/>
      </c>
      <c r="I50" s="0" t="str">
        <f aca="false">IF(Pipeline_Sort!$C50="","",INDEX(Pipeline_Calc!$J$2:$J$5251,Pipeline_Sort!$C50))</f>
        <v>touch_2; office-discovery-B; linkedin</v>
      </c>
    </row>
    <row r="51" customFormat="false" ht="15" hidden="false" customHeight="false" outlineLevel="0" collapsed="false">
      <c r="A51" s="33" t="n">
        <f aca="false">IF(Pipeline_Sort!$C51="","",INDEX(Pipeline_Calc!$B$2:$B$5251,Pipeline_Sort!$C51))</f>
        <v>46325</v>
      </c>
      <c r="B51" s="0" t="str">
        <f aca="false">IF(Pipeline_Sort!$C51="","",INDEX(Pipeline_Calc!$C$2:$C$5251,Pipeline_Sort!$C51))</f>
        <v>brand</v>
      </c>
      <c r="C51" s="0" t="str">
        <f aca="false">IF(Pipeline_Sort!$C51="","",INDEX(Pipeline_Calc!$D$2:$D$5251,Pipeline_Sort!$C51))</f>
        <v>SAMPLE-B-007</v>
      </c>
      <c r="D51" s="0" t="str">
        <f aca="false">IF(Pipeline_Sort!$C51="","",INDEX(Pipeline_Calc!$E$2:$E$5251,Pipeline_Sort!$C51))</f>
        <v>SAMPLE Brand 07</v>
      </c>
      <c r="E51" s="0" t="str">
        <f aca="false">IF(Pipeline_Sort!$C51="","",INDEX(Pipeline_Calc!$F$2:$F$5251,Pipeline_Sort!$C51))</f>
        <v>outreach_sent</v>
      </c>
      <c r="F51" s="0" t="str">
        <f aca="false">IF(Pipeline_Sort!$C51="","",INDEX(Pipeline_Calc!$G$2:$G$5251,Pipeline_Sort!$C51))</f>
        <v/>
      </c>
      <c r="G51" s="0" t="str">
        <f aca="false">IF(Pipeline_Sort!$C51="","",INDEX(Pipeline_Calc!$H$2:$H$5251,Pipeline_Sort!$C51))</f>
        <v/>
      </c>
      <c r="H51" s="0" t="str">
        <f aca="false">IF(Pipeline_Sort!$C51="","",INDEX(Pipeline_Calc!$I$2:$I$5251,Pipeline_Sort!$C51))</f>
        <v/>
      </c>
      <c r="I51" s="0" t="str">
        <f aca="false">IF(Pipeline_Sort!$C51="","",INDEX(Pipeline_Calc!$J$2:$J$5251,Pipeline_Sort!$C51))</f>
        <v>touch_1; brand-discovery-A; warm-intro</v>
      </c>
    </row>
    <row r="52" customFormat="false" ht="15" hidden="false" customHeight="false" outlineLevel="0" collapsed="false">
      <c r="A52" s="33" t="n">
        <f aca="false">IF(Pipeline_Sort!$C52="","",INDEX(Pipeline_Calc!$B$2:$B$5251,Pipeline_Sort!$C52))</f>
        <v>46325</v>
      </c>
      <c r="B52" s="0" t="str">
        <f aca="false">IF(Pipeline_Sort!$C52="","",INDEX(Pipeline_Calc!$C$2:$C$5251,Pipeline_Sort!$C52))</f>
        <v>brand</v>
      </c>
      <c r="C52" s="0" t="str">
        <f aca="false">IF(Pipeline_Sort!$C52="","",INDEX(Pipeline_Calc!$D$2:$D$5251,Pipeline_Sort!$C52))</f>
        <v>SAMPLE-B-033</v>
      </c>
      <c r="D52" s="0" t="str">
        <f aca="false">IF(Pipeline_Sort!$C52="","",INDEX(Pipeline_Calc!$E$2:$E$5251,Pipeline_Sort!$C52))</f>
        <v>SAMPLE Brand 33</v>
      </c>
      <c r="E52" s="0" t="str">
        <f aca="false">IF(Pipeline_Sort!$C52="","",INDEX(Pipeline_Calc!$F$2:$F$5251,Pipeline_Sort!$C52))</f>
        <v>outreach_sent</v>
      </c>
      <c r="F52" s="0" t="str">
        <f aca="false">IF(Pipeline_Sort!$C52="","",INDEX(Pipeline_Calc!$G$2:$G$5251,Pipeline_Sort!$C52))</f>
        <v/>
      </c>
      <c r="G52" s="0" t="str">
        <f aca="false">IF(Pipeline_Sort!$C52="","",INDEX(Pipeline_Calc!$H$2:$H$5251,Pipeline_Sort!$C52))</f>
        <v/>
      </c>
      <c r="H52" s="0" t="str">
        <f aca="false">IF(Pipeline_Sort!$C52="","",INDEX(Pipeline_Calc!$I$2:$I$5251,Pipeline_Sort!$C52))</f>
        <v/>
      </c>
      <c r="I52" s="0" t="str">
        <f aca="false">IF(Pipeline_Sort!$C52="","",INDEX(Pipeline_Calc!$J$2:$J$5251,Pipeline_Sort!$C52))</f>
        <v>touch_1; brand-discovery-A; linkedin</v>
      </c>
    </row>
    <row r="53" customFormat="false" ht="15" hidden="false" customHeight="false" outlineLevel="0" collapsed="false">
      <c r="A53" s="33" t="n">
        <f aca="false">IF(Pipeline_Sort!$C53="","",INDEX(Pipeline_Calc!$B$2:$B$5251,Pipeline_Sort!$C53))</f>
        <v>46325</v>
      </c>
      <c r="B53" s="0" t="str">
        <f aca="false">IF(Pipeline_Sort!$C53="","",INDEX(Pipeline_Calc!$C$2:$C$5251,Pipeline_Sort!$C53))</f>
        <v>brand</v>
      </c>
      <c r="C53" s="0" t="str">
        <f aca="false">IF(Pipeline_Sort!$C53="","",INDEX(Pipeline_Calc!$D$2:$D$5251,Pipeline_Sort!$C53))</f>
        <v>SAMPLE-B-032</v>
      </c>
      <c r="D53" s="0" t="str">
        <f aca="false">IF(Pipeline_Sort!$C53="","",INDEX(Pipeline_Calc!$E$2:$E$5251,Pipeline_Sort!$C53))</f>
        <v>SAMPLE Brand 32</v>
      </c>
      <c r="E53" s="0" t="str">
        <f aca="false">IF(Pipeline_Sort!$C53="","",INDEX(Pipeline_Calc!$F$2:$F$5251,Pipeline_Sort!$C53))</f>
        <v>outreach_sent</v>
      </c>
      <c r="F53" s="0" t="str">
        <f aca="false">IF(Pipeline_Sort!$C53="","",INDEX(Pipeline_Calc!$G$2:$G$5251,Pipeline_Sort!$C53))</f>
        <v/>
      </c>
      <c r="G53" s="0" t="str">
        <f aca="false">IF(Pipeline_Sort!$C53="","",INDEX(Pipeline_Calc!$H$2:$H$5251,Pipeline_Sort!$C53))</f>
        <v/>
      </c>
      <c r="H53" s="0" t="str">
        <f aca="false">IF(Pipeline_Sort!$C53="","",INDEX(Pipeline_Calc!$I$2:$I$5251,Pipeline_Sort!$C53))</f>
        <v/>
      </c>
      <c r="I53" s="0" t="str">
        <f aca="false">IF(Pipeline_Sort!$C53="","",INDEX(Pipeline_Calc!$J$2:$J$5251,Pipeline_Sort!$C53))</f>
        <v>touch_2; brand-discovery-B; linkedin</v>
      </c>
    </row>
    <row r="54" customFormat="false" ht="15" hidden="false" customHeight="false" outlineLevel="0" collapsed="false">
      <c r="A54" s="33" t="n">
        <f aca="false">IF(Pipeline_Sort!$C54="","",INDEX(Pipeline_Calc!$B$2:$B$5251,Pipeline_Sort!$C54))</f>
        <v>46328</v>
      </c>
      <c r="B54" s="0" t="str">
        <f aca="false">IF(Pipeline_Sort!$C54="","",INDEX(Pipeline_Calc!$C$2:$C$5251,Pipeline_Sort!$C54))</f>
        <v>office</v>
      </c>
      <c r="C54" s="0" t="str">
        <f aca="false">IF(Pipeline_Sort!$C54="","",INDEX(Pipeline_Calc!$D$2:$D$5251,Pipeline_Sort!$C54))</f>
        <v>SAMPLE-O-004</v>
      </c>
      <c r="D54" s="0" t="str">
        <f aca="false">IF(Pipeline_Sort!$C54="","",INDEX(Pipeline_Calc!$E$2:$E$5251,Pipeline_Sort!$C54))</f>
        <v>SAMPLE Office 04</v>
      </c>
      <c r="E54" s="0" t="str">
        <f aca="false">IF(Pipeline_Sort!$C54="","",INDEX(Pipeline_Calc!$F$2:$F$5251,Pipeline_Sort!$C54))</f>
        <v>conversation</v>
      </c>
      <c r="F54" s="0" t="str">
        <f aca="false">IF(Pipeline_Sort!$C54="","",INDEX(Pipeline_Calc!$G$2:$G$5251,Pipeline_Sort!$C54))</f>
        <v/>
      </c>
      <c r="G54" s="0" t="str">
        <f aca="false">IF(Pipeline_Sort!$C54="","",INDEX(Pipeline_Calc!$H$2:$H$5251,Pipeline_Sort!$C54))</f>
        <v/>
      </c>
      <c r="H54" s="0" t="str">
        <f aca="false">IF(Pipeline_Sort!$C54="","",INDEX(Pipeline_Calc!$I$2:$I$5251,Pipeline_Sort!$C54))</f>
        <v/>
      </c>
      <c r="I54" s="0" t="str">
        <f aca="false">IF(Pipeline_Sort!$C54="","",INDEX(Pipeline_Calc!$J$2:$J$5251,Pipeline_Sort!$C54))</f>
        <v>video</v>
      </c>
    </row>
    <row r="55" customFormat="false" ht="15" hidden="false" customHeight="false" outlineLevel="0" collapsed="false">
      <c r="A55" s="33" t="n">
        <f aca="false">IF(Pipeline_Sort!$C55="","",INDEX(Pipeline_Calc!$B$2:$B$5251,Pipeline_Sort!$C55))</f>
        <v>46328</v>
      </c>
      <c r="B55" s="0" t="str">
        <f aca="false">IF(Pipeline_Sort!$C55="","",INDEX(Pipeline_Calc!$C$2:$C$5251,Pipeline_Sort!$C55))</f>
        <v>office</v>
      </c>
      <c r="C55" s="0" t="str">
        <f aca="false">IF(Pipeline_Sort!$C55="","",INDEX(Pipeline_Calc!$D$2:$D$5251,Pipeline_Sort!$C55))</f>
        <v>SAMPLE-O-004</v>
      </c>
      <c r="D55" s="0" t="str">
        <f aca="false">IF(Pipeline_Sort!$C55="","",INDEX(Pipeline_Calc!$E$2:$E$5251,Pipeline_Sort!$C55))</f>
        <v>SAMPLE Office 04</v>
      </c>
      <c r="E55" s="0" t="str">
        <f aca="false">IF(Pipeline_Sort!$C55="","",INDEX(Pipeline_Calc!$F$2:$F$5251,Pipeline_Sort!$C55))</f>
        <v>budget_probe</v>
      </c>
      <c r="F55" s="32" t="n">
        <f aca="false">IF(Pipeline_Sort!$C55="","",INDEX(Pipeline_Calc!$G$2:$G$5251,Pipeline_Sort!$C55))</f>
        <v>300</v>
      </c>
      <c r="G55" s="0" t="str">
        <f aca="false">IF(Pipeline_Sort!$C55="","",INDEX(Pipeline_Calc!$H$2:$H$5251,Pipeline_Sort!$C55))</f>
        <v>SAMPLE: around $300 a month</v>
      </c>
      <c r="H55" s="0" t="str">
        <f aca="false">IF(Pipeline_Sort!$C55="","",INDEX(Pipeline_Calc!$I$2:$I$5251,Pipeline_Sort!$C55))</f>
        <v/>
      </c>
      <c r="I55" s="0" t="str">
        <f aca="false">IF(Pipeline_Sort!$C55="","",INDEX(Pipeline_Calc!$J$2:$J$5251,Pipeline_Sort!$C55))</f>
        <v/>
      </c>
    </row>
    <row r="56" customFormat="false" ht="15" hidden="false" customHeight="false" outlineLevel="0" collapsed="false">
      <c r="A56" s="33" t="n">
        <f aca="false">IF(Pipeline_Sort!$C56="","",INDEX(Pipeline_Calc!$B$2:$B$5251,Pipeline_Sort!$C56))</f>
        <v>46328</v>
      </c>
      <c r="B56" s="0" t="str">
        <f aca="false">IF(Pipeline_Sort!$C56="","",INDEX(Pipeline_Calc!$C$2:$C$5251,Pipeline_Sort!$C56))</f>
        <v>brand</v>
      </c>
      <c r="C56" s="0" t="str">
        <f aca="false">IF(Pipeline_Sort!$C56="","",INDEX(Pipeline_Calc!$D$2:$D$5251,Pipeline_Sort!$C56))</f>
        <v>SAMPLE-B-004</v>
      </c>
      <c r="D56" s="0" t="str">
        <f aca="false">IF(Pipeline_Sort!$C56="","",INDEX(Pipeline_Calc!$E$2:$E$5251,Pipeline_Sort!$C56))</f>
        <v>SAMPLE Brand 04</v>
      </c>
      <c r="E56" s="0" t="str">
        <f aca="false">IF(Pipeline_Sort!$C56="","",INDEX(Pipeline_Calc!$F$2:$F$5251,Pipeline_Sort!$C56))</f>
        <v>conversation</v>
      </c>
      <c r="F56" s="0" t="str">
        <f aca="false">IF(Pipeline_Sort!$C56="","",INDEX(Pipeline_Calc!$G$2:$G$5251,Pipeline_Sort!$C56))</f>
        <v/>
      </c>
      <c r="G56" s="0" t="str">
        <f aca="false">IF(Pipeline_Sort!$C56="","",INDEX(Pipeline_Calc!$H$2:$H$5251,Pipeline_Sort!$C56))</f>
        <v/>
      </c>
      <c r="H56" s="0" t="str">
        <f aca="false">IF(Pipeline_Sort!$C56="","",INDEX(Pipeline_Calc!$I$2:$I$5251,Pipeline_Sort!$C56))</f>
        <v/>
      </c>
      <c r="I56" s="0" t="str">
        <f aca="false">IF(Pipeline_Sort!$C56="","",INDEX(Pipeline_Calc!$J$2:$J$5251,Pipeline_Sort!$C56))</f>
        <v>video</v>
      </c>
    </row>
    <row r="57" customFormat="false" ht="15" hidden="false" customHeight="false" outlineLevel="0" collapsed="false">
      <c r="A57" s="33" t="n">
        <f aca="false">IF(Pipeline_Sort!$C57="","",INDEX(Pipeline_Calc!$B$2:$B$5251,Pipeline_Sort!$C57))</f>
        <v>46328</v>
      </c>
      <c r="B57" s="0" t="str">
        <f aca="false">IF(Pipeline_Sort!$C57="","",INDEX(Pipeline_Calc!$C$2:$C$5251,Pipeline_Sort!$C57))</f>
        <v>brand</v>
      </c>
      <c r="C57" s="0" t="str">
        <f aca="false">IF(Pipeline_Sort!$C57="","",INDEX(Pipeline_Calc!$D$2:$D$5251,Pipeline_Sort!$C57))</f>
        <v>SAMPLE-B-004</v>
      </c>
      <c r="D57" s="0" t="str">
        <f aca="false">IF(Pipeline_Sort!$C57="","",INDEX(Pipeline_Calc!$E$2:$E$5251,Pipeline_Sort!$C57))</f>
        <v>SAMPLE Brand 04</v>
      </c>
      <c r="E57" s="0" t="str">
        <f aca="false">IF(Pipeline_Sort!$C57="","",INDEX(Pipeline_Calc!$F$2:$F$5251,Pipeline_Sort!$C57))</f>
        <v>budget_probe</v>
      </c>
      <c r="F57" s="32" t="n">
        <f aca="false">IF(Pipeline_Sort!$C57="","",INDEX(Pipeline_Calc!$G$2:$G$5251,Pipeline_Sort!$C57))</f>
        <v>1000</v>
      </c>
      <c r="G57" s="0" t="str">
        <f aca="false">IF(Pipeline_Sort!$C57="","",INDEX(Pipeline_Calc!$H$2:$H$5251,Pipeline_Sort!$C57))</f>
        <v>SAMPLE: a thousand, but my cofounder decides</v>
      </c>
      <c r="H57" s="0" t="str">
        <f aca="false">IF(Pipeline_Sort!$C57="","",INDEX(Pipeline_Calc!$I$2:$I$5251,Pipeline_Sort!$C57))</f>
        <v>N</v>
      </c>
      <c r="I57" s="0" t="str">
        <f aca="false">IF(Pipeline_Sort!$C57="","",INDEX(Pipeline_Calc!$J$2:$J$5251,Pipeline_Sort!$C57))</f>
        <v/>
      </c>
    </row>
    <row r="58" customFormat="false" ht="15" hidden="false" customHeight="false" outlineLevel="0" collapsed="false">
      <c r="A58" s="33" t="n">
        <f aca="false">IF(Pipeline_Sort!$C58="","",INDEX(Pipeline_Calc!$B$2:$B$5251,Pipeline_Sort!$C58))</f>
        <v>46328</v>
      </c>
      <c r="B58" s="0" t="str">
        <f aca="false">IF(Pipeline_Sort!$C58="","",INDEX(Pipeline_Calc!$C$2:$C$5251,Pipeline_Sort!$C58))</f>
        <v>brand</v>
      </c>
      <c r="C58" s="0" t="str">
        <f aca="false">IF(Pipeline_Sort!$C58="","",INDEX(Pipeline_Calc!$D$2:$D$5251,Pipeline_Sort!$C58))</f>
        <v>SAMPLE-B-004</v>
      </c>
      <c r="D58" s="0" t="str">
        <f aca="false">IF(Pipeline_Sort!$C58="","",INDEX(Pipeline_Calc!$E$2:$E$5251,Pipeline_Sort!$C58))</f>
        <v>SAMPLE Brand 04</v>
      </c>
      <c r="E58" s="0" t="str">
        <f aca="false">IF(Pipeline_Sort!$C58="","",INDEX(Pipeline_Calc!$F$2:$F$5251,Pipeline_Sort!$C58))</f>
        <v>budget_probe</v>
      </c>
      <c r="F58" s="32" t="n">
        <f aca="false">IF(Pipeline_Sort!$C58="","",INDEX(Pipeline_Calc!$G$2:$G$5251,Pipeline_Sort!$C58))</f>
        <v>1500</v>
      </c>
      <c r="G58" s="0" t="str">
        <f aca="false">IF(Pipeline_Sort!$C58="","",INDEX(Pipeline_Calc!$H$2:$H$5251,Pipeline_Sort!$C58))</f>
        <v>SAMPLE: $1,500 could work</v>
      </c>
      <c r="H58" s="0" t="str">
        <f aca="false">IF(Pipeline_Sort!$C58="","",INDEX(Pipeline_Calc!$I$2:$I$5251,Pipeline_Sort!$C58))</f>
        <v>N</v>
      </c>
      <c r="I58" s="0" t="str">
        <f aca="false">IF(Pipeline_Sort!$C58="","",INDEX(Pipeline_Calc!$J$2:$J$5251,Pipeline_Sort!$C58))</f>
        <v>after_1500</v>
      </c>
    </row>
    <row r="59" customFormat="false" ht="15" hidden="false" customHeight="false" outlineLevel="0" collapsed="false">
      <c r="A59" s="33" t="n">
        <f aca="false">IF(Pipeline_Sort!$C59="","",INDEX(Pipeline_Calc!$B$2:$B$5251,Pipeline_Sort!$C59))</f>
        <v>46328</v>
      </c>
      <c r="B59" s="0" t="str">
        <f aca="false">IF(Pipeline_Sort!$C59="","",INDEX(Pipeline_Calc!$C$2:$C$5251,Pipeline_Sort!$C59))</f>
        <v>office</v>
      </c>
      <c r="C59" s="0" t="str">
        <f aca="false">IF(Pipeline_Sort!$C59="","",INDEX(Pipeline_Calc!$D$2:$D$5251,Pipeline_Sort!$C59))</f>
        <v>SAMPLE-O-027</v>
      </c>
      <c r="D59" s="0" t="str">
        <f aca="false">IF(Pipeline_Sort!$C59="","",INDEX(Pipeline_Calc!$E$2:$E$5251,Pipeline_Sort!$C59))</f>
        <v>SAMPLE Office 27</v>
      </c>
      <c r="E59" s="0" t="str">
        <f aca="false">IF(Pipeline_Sort!$C59="","",INDEX(Pipeline_Calc!$F$2:$F$5251,Pipeline_Sort!$C59))</f>
        <v>outreach_sent</v>
      </c>
      <c r="F59" s="0" t="str">
        <f aca="false">IF(Pipeline_Sort!$C59="","",INDEX(Pipeline_Calc!$G$2:$G$5251,Pipeline_Sort!$C59))</f>
        <v/>
      </c>
      <c r="G59" s="0" t="str">
        <f aca="false">IF(Pipeline_Sort!$C59="","",INDEX(Pipeline_Calc!$H$2:$H$5251,Pipeline_Sort!$C59))</f>
        <v/>
      </c>
      <c r="H59" s="0" t="str">
        <f aca="false">IF(Pipeline_Sort!$C59="","",INDEX(Pipeline_Calc!$I$2:$I$5251,Pipeline_Sort!$C59))</f>
        <v/>
      </c>
      <c r="I59" s="0" t="str">
        <f aca="false">IF(Pipeline_Sort!$C59="","",INDEX(Pipeline_Calc!$J$2:$J$5251,Pipeline_Sort!$C59))</f>
        <v>touch_1; office-discovery-A; linkedin</v>
      </c>
    </row>
    <row r="60" customFormat="false" ht="15" hidden="false" customHeight="false" outlineLevel="0" collapsed="false">
      <c r="A60" s="33" t="n">
        <f aca="false">IF(Pipeline_Sort!$C60="","",INDEX(Pipeline_Calc!$B$2:$B$5251,Pipeline_Sort!$C60))</f>
        <v>46328</v>
      </c>
      <c r="B60" s="0" t="str">
        <f aca="false">IF(Pipeline_Sort!$C60="","",INDEX(Pipeline_Calc!$C$2:$C$5251,Pipeline_Sort!$C60))</f>
        <v>office</v>
      </c>
      <c r="C60" s="0" t="str">
        <f aca="false">IF(Pipeline_Sort!$C60="","",INDEX(Pipeline_Calc!$D$2:$D$5251,Pipeline_Sort!$C60))</f>
        <v>SAMPLE-O-026</v>
      </c>
      <c r="D60" s="0" t="str">
        <f aca="false">IF(Pipeline_Sort!$C60="","",INDEX(Pipeline_Calc!$E$2:$E$5251,Pipeline_Sort!$C60))</f>
        <v>SAMPLE Office 26</v>
      </c>
      <c r="E60" s="0" t="str">
        <f aca="false">IF(Pipeline_Sort!$C60="","",INDEX(Pipeline_Calc!$F$2:$F$5251,Pipeline_Sort!$C60))</f>
        <v>outreach_sent</v>
      </c>
      <c r="F60" s="0" t="str">
        <f aca="false">IF(Pipeline_Sort!$C60="","",INDEX(Pipeline_Calc!$G$2:$G$5251,Pipeline_Sort!$C60))</f>
        <v/>
      </c>
      <c r="G60" s="0" t="str">
        <f aca="false">IF(Pipeline_Sort!$C60="","",INDEX(Pipeline_Calc!$H$2:$H$5251,Pipeline_Sort!$C60))</f>
        <v/>
      </c>
      <c r="H60" s="0" t="str">
        <f aca="false">IF(Pipeline_Sort!$C60="","",INDEX(Pipeline_Calc!$I$2:$I$5251,Pipeline_Sort!$C60))</f>
        <v/>
      </c>
      <c r="I60" s="0" t="str">
        <f aca="false">IF(Pipeline_Sort!$C60="","",INDEX(Pipeline_Calc!$J$2:$J$5251,Pipeline_Sort!$C60))</f>
        <v>touch_2; office-discovery-B; linkedin</v>
      </c>
    </row>
    <row r="61" customFormat="false" ht="15" hidden="false" customHeight="false" outlineLevel="0" collapsed="false">
      <c r="A61" s="33" t="n">
        <f aca="false">IF(Pipeline_Sort!$C61="","",INDEX(Pipeline_Calc!$B$2:$B$5251,Pipeline_Sort!$C61))</f>
        <v>46328</v>
      </c>
      <c r="B61" s="0" t="str">
        <f aca="false">IF(Pipeline_Sort!$C61="","",INDEX(Pipeline_Calc!$C$2:$C$5251,Pipeline_Sort!$C61))</f>
        <v>brand</v>
      </c>
      <c r="C61" s="0" t="str">
        <f aca="false">IF(Pipeline_Sort!$C61="","",INDEX(Pipeline_Calc!$D$2:$D$5251,Pipeline_Sort!$C61))</f>
        <v>SAMPLE-B-027</v>
      </c>
      <c r="D61" s="0" t="str">
        <f aca="false">IF(Pipeline_Sort!$C61="","",INDEX(Pipeline_Calc!$E$2:$E$5251,Pipeline_Sort!$C61))</f>
        <v>SAMPLE Brand 27</v>
      </c>
      <c r="E61" s="0" t="str">
        <f aca="false">IF(Pipeline_Sort!$C61="","",INDEX(Pipeline_Calc!$F$2:$F$5251,Pipeline_Sort!$C61))</f>
        <v>outreach_sent</v>
      </c>
      <c r="F61" s="0" t="str">
        <f aca="false">IF(Pipeline_Sort!$C61="","",INDEX(Pipeline_Calc!$G$2:$G$5251,Pipeline_Sort!$C61))</f>
        <v/>
      </c>
      <c r="G61" s="0" t="str">
        <f aca="false">IF(Pipeline_Sort!$C61="","",INDEX(Pipeline_Calc!$H$2:$H$5251,Pipeline_Sort!$C61))</f>
        <v/>
      </c>
      <c r="H61" s="0" t="str">
        <f aca="false">IF(Pipeline_Sort!$C61="","",INDEX(Pipeline_Calc!$I$2:$I$5251,Pipeline_Sort!$C61))</f>
        <v/>
      </c>
      <c r="I61" s="0" t="str">
        <f aca="false">IF(Pipeline_Sort!$C61="","",INDEX(Pipeline_Calc!$J$2:$J$5251,Pipeline_Sort!$C61))</f>
        <v>touch_1; brand-discovery-A; linkedin</v>
      </c>
    </row>
    <row r="62" customFormat="false" ht="15" hidden="false" customHeight="false" outlineLevel="0" collapsed="false">
      <c r="A62" s="33" t="n">
        <f aca="false">IF(Pipeline_Sort!$C62="","",INDEX(Pipeline_Calc!$B$2:$B$5251,Pipeline_Sort!$C62))</f>
        <v>46328</v>
      </c>
      <c r="B62" s="0" t="str">
        <f aca="false">IF(Pipeline_Sort!$C62="","",INDEX(Pipeline_Calc!$C$2:$C$5251,Pipeline_Sort!$C62))</f>
        <v>brand</v>
      </c>
      <c r="C62" s="0" t="str">
        <f aca="false">IF(Pipeline_Sort!$C62="","",INDEX(Pipeline_Calc!$D$2:$D$5251,Pipeline_Sort!$C62))</f>
        <v>SAMPLE-B-026</v>
      </c>
      <c r="D62" s="0" t="str">
        <f aca="false">IF(Pipeline_Sort!$C62="","",INDEX(Pipeline_Calc!$E$2:$E$5251,Pipeline_Sort!$C62))</f>
        <v>SAMPLE Brand 26</v>
      </c>
      <c r="E62" s="0" t="str">
        <f aca="false">IF(Pipeline_Sort!$C62="","",INDEX(Pipeline_Calc!$F$2:$F$5251,Pipeline_Sort!$C62))</f>
        <v>outreach_sent</v>
      </c>
      <c r="F62" s="0" t="str">
        <f aca="false">IF(Pipeline_Sort!$C62="","",INDEX(Pipeline_Calc!$G$2:$G$5251,Pipeline_Sort!$C62))</f>
        <v/>
      </c>
      <c r="G62" s="0" t="str">
        <f aca="false">IF(Pipeline_Sort!$C62="","",INDEX(Pipeline_Calc!$H$2:$H$5251,Pipeline_Sort!$C62))</f>
        <v/>
      </c>
      <c r="H62" s="0" t="str">
        <f aca="false">IF(Pipeline_Sort!$C62="","",INDEX(Pipeline_Calc!$I$2:$I$5251,Pipeline_Sort!$C62))</f>
        <v/>
      </c>
      <c r="I62" s="0" t="str">
        <f aca="false">IF(Pipeline_Sort!$C62="","",INDEX(Pipeline_Calc!$J$2:$J$5251,Pipeline_Sort!$C62))</f>
        <v>touch_2; brand-discovery-B; linkedin</v>
      </c>
    </row>
    <row r="63" customFormat="false" ht="15" hidden="false" customHeight="false" outlineLevel="0" collapsed="false">
      <c r="A63" s="33" t="n">
        <f aca="false">IF(Pipeline_Sort!$C63="","",INDEX(Pipeline_Calc!$B$2:$B$5251,Pipeline_Sort!$C63))</f>
        <v>46329</v>
      </c>
      <c r="B63" s="0" t="str">
        <f aca="false">IF(Pipeline_Sort!$C63="","",INDEX(Pipeline_Calc!$C$2:$C$5251,Pipeline_Sort!$C63))</f>
        <v>office</v>
      </c>
      <c r="C63" s="0" t="str">
        <f aca="false">IF(Pipeline_Sort!$C63="","",INDEX(Pipeline_Calc!$D$2:$D$5251,Pipeline_Sort!$C63))</f>
        <v>SAMPLE-O-005</v>
      </c>
      <c r="D63" s="0" t="str">
        <f aca="false">IF(Pipeline_Sort!$C63="","",INDEX(Pipeline_Calc!$E$2:$E$5251,Pipeline_Sort!$C63))</f>
        <v>SAMPLE Office 05</v>
      </c>
      <c r="E63" s="0" t="str">
        <f aca="false">IF(Pipeline_Sort!$C63="","",INDEX(Pipeline_Calc!$F$2:$F$5251,Pipeline_Sort!$C63))</f>
        <v>conversation</v>
      </c>
      <c r="F63" s="0" t="str">
        <f aca="false">IF(Pipeline_Sort!$C63="","",INDEX(Pipeline_Calc!$G$2:$G$5251,Pipeline_Sort!$C63))</f>
        <v/>
      </c>
      <c r="G63" s="0" t="str">
        <f aca="false">IF(Pipeline_Sort!$C63="","",INDEX(Pipeline_Calc!$H$2:$H$5251,Pipeline_Sort!$C63))</f>
        <v/>
      </c>
      <c r="H63" s="0" t="str">
        <f aca="false">IF(Pipeline_Sort!$C63="","",INDEX(Pipeline_Calc!$I$2:$I$5251,Pipeline_Sort!$C63))</f>
        <v/>
      </c>
      <c r="I63" s="0" t="str">
        <f aca="false">IF(Pipeline_Sort!$C63="","",INDEX(Pipeline_Calc!$J$2:$J$5251,Pipeline_Sort!$C63))</f>
        <v>phone</v>
      </c>
    </row>
    <row r="64" customFormat="false" ht="15" hidden="false" customHeight="false" outlineLevel="0" collapsed="false">
      <c r="A64" s="33" t="n">
        <f aca="false">IF(Pipeline_Sort!$C64="","",INDEX(Pipeline_Calc!$B$2:$B$5251,Pipeline_Sort!$C64))</f>
        <v>46329</v>
      </c>
      <c r="B64" s="0" t="str">
        <f aca="false">IF(Pipeline_Sort!$C64="","",INDEX(Pipeline_Calc!$C$2:$C$5251,Pipeline_Sort!$C64))</f>
        <v>office</v>
      </c>
      <c r="C64" s="0" t="str">
        <f aca="false">IF(Pipeline_Sort!$C64="","",INDEX(Pipeline_Calc!$D$2:$D$5251,Pipeline_Sort!$C64))</f>
        <v>SAMPLE-O-005</v>
      </c>
      <c r="D64" s="0" t="str">
        <f aca="false">IF(Pipeline_Sort!$C64="","",INDEX(Pipeline_Calc!$E$2:$E$5251,Pipeline_Sort!$C64))</f>
        <v>SAMPLE Office 05</v>
      </c>
      <c r="E64" s="0" t="str">
        <f aca="false">IF(Pipeline_Sort!$C64="","",INDEX(Pipeline_Calc!$F$2:$F$5251,Pipeline_Sort!$C64))</f>
        <v>budget_probe</v>
      </c>
      <c r="F64" s="32" t="n">
        <f aca="false">IF(Pipeline_Sort!$C64="","",INDEX(Pipeline_Calc!$G$2:$G$5251,Pipeline_Sort!$C64))</f>
        <v>0</v>
      </c>
      <c r="G64" s="0" t="str">
        <f aca="false">IF(Pipeline_Sort!$C64="","",INDEX(Pipeline_Calc!$H$2:$H$5251,Pipeline_Sort!$C64))</f>
        <v>SAMPLE: zero, it would come out of my budget</v>
      </c>
      <c r="H64" s="0" t="str">
        <f aca="false">IF(Pipeline_Sort!$C64="","",INDEX(Pipeline_Calc!$I$2:$I$5251,Pipeline_Sort!$C64))</f>
        <v/>
      </c>
      <c r="I64" s="0" t="str">
        <f aca="false">IF(Pipeline_Sort!$C64="","",INDEX(Pipeline_Calc!$J$2:$J$5251,Pipeline_Sort!$C64))</f>
        <v/>
      </c>
    </row>
    <row r="65" customFormat="false" ht="15" hidden="false" customHeight="false" outlineLevel="0" collapsed="false">
      <c r="A65" s="33" t="n">
        <f aca="false">IF(Pipeline_Sort!$C65="","",INDEX(Pipeline_Calc!$B$2:$B$5251,Pipeline_Sort!$C65))</f>
        <v>46329</v>
      </c>
      <c r="B65" s="0" t="str">
        <f aca="false">IF(Pipeline_Sort!$C65="","",INDEX(Pipeline_Calc!$C$2:$C$5251,Pipeline_Sort!$C65))</f>
        <v>brand</v>
      </c>
      <c r="C65" s="0" t="str">
        <f aca="false">IF(Pipeline_Sort!$C65="","",INDEX(Pipeline_Calc!$D$2:$D$5251,Pipeline_Sort!$C65))</f>
        <v>SAMPLE-B-005</v>
      </c>
      <c r="D65" s="0" t="str">
        <f aca="false">IF(Pipeline_Sort!$C65="","",INDEX(Pipeline_Calc!$E$2:$E$5251,Pipeline_Sort!$C65))</f>
        <v>SAMPLE Brand 05</v>
      </c>
      <c r="E65" s="0" t="str">
        <f aca="false">IF(Pipeline_Sort!$C65="","",INDEX(Pipeline_Calc!$F$2:$F$5251,Pipeline_Sort!$C65))</f>
        <v>conversation</v>
      </c>
      <c r="F65" s="0" t="str">
        <f aca="false">IF(Pipeline_Sort!$C65="","",INDEX(Pipeline_Calc!$G$2:$G$5251,Pipeline_Sort!$C65))</f>
        <v/>
      </c>
      <c r="G65" s="0" t="str">
        <f aca="false">IF(Pipeline_Sort!$C65="","",INDEX(Pipeline_Calc!$H$2:$H$5251,Pipeline_Sort!$C65))</f>
        <v/>
      </c>
      <c r="H65" s="0" t="str">
        <f aca="false">IF(Pipeline_Sort!$C65="","",INDEX(Pipeline_Calc!$I$2:$I$5251,Pipeline_Sort!$C65))</f>
        <v/>
      </c>
      <c r="I65" s="0" t="str">
        <f aca="false">IF(Pipeline_Sort!$C65="","",INDEX(Pipeline_Calc!$J$2:$J$5251,Pipeline_Sort!$C65))</f>
        <v>video</v>
      </c>
    </row>
    <row r="66" customFormat="false" ht="15" hidden="false" customHeight="false" outlineLevel="0" collapsed="false">
      <c r="A66" s="33" t="n">
        <f aca="false">IF(Pipeline_Sort!$C66="","",INDEX(Pipeline_Calc!$B$2:$B$5251,Pipeline_Sort!$C66))</f>
        <v>46329</v>
      </c>
      <c r="B66" s="0" t="str">
        <f aca="false">IF(Pipeline_Sort!$C66="","",INDEX(Pipeline_Calc!$C$2:$C$5251,Pipeline_Sort!$C66))</f>
        <v>brand</v>
      </c>
      <c r="C66" s="0" t="str">
        <f aca="false">IF(Pipeline_Sort!$C66="","",INDEX(Pipeline_Calc!$D$2:$D$5251,Pipeline_Sort!$C66))</f>
        <v>SAMPLE-B-005</v>
      </c>
      <c r="D66" s="0" t="str">
        <f aca="false">IF(Pipeline_Sort!$C66="","",INDEX(Pipeline_Calc!$E$2:$E$5251,Pipeline_Sort!$C66))</f>
        <v>SAMPLE Brand 05</v>
      </c>
      <c r="E66" s="0" t="str">
        <f aca="false">IF(Pipeline_Sort!$C66="","",INDEX(Pipeline_Calc!$F$2:$F$5251,Pipeline_Sort!$C66))</f>
        <v>budget_probe</v>
      </c>
      <c r="F66" s="32" t="n">
        <f aca="false">IF(Pipeline_Sort!$C66="","",INDEX(Pipeline_Calc!$G$2:$G$5251,Pipeline_Sort!$C66))</f>
        <v>0</v>
      </c>
      <c r="G66" s="0" t="str">
        <f aca="false">IF(Pipeline_Sort!$C66="","",INDEX(Pipeline_Calc!$H$2:$H$5251,Pipeline_Sort!$C66))</f>
        <v>SAMPLE: we would want it free</v>
      </c>
      <c r="H66" s="0" t="str">
        <f aca="false">IF(Pipeline_Sort!$C66="","",INDEX(Pipeline_Calc!$I$2:$I$5251,Pipeline_Sort!$C66))</f>
        <v>Y</v>
      </c>
      <c r="I66" s="0" t="str">
        <f aca="false">IF(Pipeline_Sort!$C66="","",INDEX(Pipeline_Calc!$J$2:$J$5251,Pipeline_Sort!$C66))</f>
        <v/>
      </c>
    </row>
    <row r="67" customFormat="false" ht="15" hidden="false" customHeight="false" outlineLevel="0" collapsed="false">
      <c r="A67" s="33" t="n">
        <f aca="false">IF(Pipeline_Sort!$C67="","",INDEX(Pipeline_Calc!$B$2:$B$5251,Pipeline_Sort!$C67))</f>
        <v>46329</v>
      </c>
      <c r="B67" s="0" t="str">
        <f aca="false">IF(Pipeline_Sort!$C67="","",INDEX(Pipeline_Calc!$C$2:$C$5251,Pipeline_Sort!$C67))</f>
        <v>office</v>
      </c>
      <c r="C67" s="0" t="str">
        <f aca="false">IF(Pipeline_Sort!$C67="","",INDEX(Pipeline_Calc!$D$2:$D$5251,Pipeline_Sort!$C67))</f>
        <v>SAMPLE-O-008</v>
      </c>
      <c r="D67" s="0" t="str">
        <f aca="false">IF(Pipeline_Sort!$C67="","",INDEX(Pipeline_Calc!$E$2:$E$5251,Pipeline_Sort!$C67))</f>
        <v>SAMPLE Office 08</v>
      </c>
      <c r="E67" s="0" t="str">
        <f aca="false">IF(Pipeline_Sort!$C67="","",INDEX(Pipeline_Calc!$F$2:$F$5251,Pipeline_Sort!$C67))</f>
        <v>outreach_sent</v>
      </c>
      <c r="F67" s="0" t="str">
        <f aca="false">IF(Pipeline_Sort!$C67="","",INDEX(Pipeline_Calc!$G$2:$G$5251,Pipeline_Sort!$C67))</f>
        <v/>
      </c>
      <c r="G67" s="0" t="str">
        <f aca="false">IF(Pipeline_Sort!$C67="","",INDEX(Pipeline_Calc!$H$2:$H$5251,Pipeline_Sort!$C67))</f>
        <v/>
      </c>
      <c r="H67" s="0" t="str">
        <f aca="false">IF(Pipeline_Sort!$C67="","",INDEX(Pipeline_Calc!$I$2:$I$5251,Pipeline_Sort!$C67))</f>
        <v/>
      </c>
      <c r="I67" s="0" t="str">
        <f aca="false">IF(Pipeline_Sort!$C67="","",INDEX(Pipeline_Calc!$J$2:$J$5251,Pipeline_Sort!$C67))</f>
        <v>touch_1; office-discovery-B; warm-intro</v>
      </c>
    </row>
    <row r="68" customFormat="false" ht="15" hidden="false" customHeight="false" outlineLevel="0" collapsed="false">
      <c r="A68" s="33" t="n">
        <f aca="false">IF(Pipeline_Sort!$C68="","",INDEX(Pipeline_Calc!$B$2:$B$5251,Pipeline_Sort!$C68))</f>
        <v>46329</v>
      </c>
      <c r="B68" s="0" t="str">
        <f aca="false">IF(Pipeline_Sort!$C68="","",INDEX(Pipeline_Calc!$C$2:$C$5251,Pipeline_Sort!$C68))</f>
        <v>office</v>
      </c>
      <c r="C68" s="0" t="str">
        <f aca="false">IF(Pipeline_Sort!$C68="","",INDEX(Pipeline_Calc!$D$2:$D$5251,Pipeline_Sort!$C68))</f>
        <v>SAMPLE-O-021</v>
      </c>
      <c r="D68" s="0" t="str">
        <f aca="false">IF(Pipeline_Sort!$C68="","",INDEX(Pipeline_Calc!$E$2:$E$5251,Pipeline_Sort!$C68))</f>
        <v>SAMPLE Office 21</v>
      </c>
      <c r="E68" s="0" t="str">
        <f aca="false">IF(Pipeline_Sort!$C68="","",INDEX(Pipeline_Calc!$F$2:$F$5251,Pipeline_Sort!$C68))</f>
        <v>outreach_sent</v>
      </c>
      <c r="F68" s="0" t="str">
        <f aca="false">IF(Pipeline_Sort!$C68="","",INDEX(Pipeline_Calc!$G$2:$G$5251,Pipeline_Sort!$C68))</f>
        <v/>
      </c>
      <c r="G68" s="0" t="str">
        <f aca="false">IF(Pipeline_Sort!$C68="","",INDEX(Pipeline_Calc!$H$2:$H$5251,Pipeline_Sort!$C68))</f>
        <v/>
      </c>
      <c r="H68" s="0" t="str">
        <f aca="false">IF(Pipeline_Sort!$C68="","",INDEX(Pipeline_Calc!$I$2:$I$5251,Pipeline_Sort!$C68))</f>
        <v/>
      </c>
      <c r="I68" s="0" t="str">
        <f aca="false">IF(Pipeline_Sort!$C68="","",INDEX(Pipeline_Calc!$J$2:$J$5251,Pipeline_Sort!$C68))</f>
        <v>touch_1; office-discovery-A; linkedin</v>
      </c>
    </row>
    <row r="69" customFormat="false" ht="15" hidden="false" customHeight="false" outlineLevel="0" collapsed="false">
      <c r="A69" s="33" t="n">
        <f aca="false">IF(Pipeline_Sort!$C69="","",INDEX(Pipeline_Calc!$B$2:$B$5251,Pipeline_Sort!$C69))</f>
        <v>46329</v>
      </c>
      <c r="B69" s="0" t="str">
        <f aca="false">IF(Pipeline_Sort!$C69="","",INDEX(Pipeline_Calc!$C$2:$C$5251,Pipeline_Sort!$C69))</f>
        <v>office</v>
      </c>
      <c r="C69" s="0" t="str">
        <f aca="false">IF(Pipeline_Sort!$C69="","",INDEX(Pipeline_Calc!$D$2:$D$5251,Pipeline_Sort!$C69))</f>
        <v>SAMPLE-O-040</v>
      </c>
      <c r="D69" s="0" t="str">
        <f aca="false">IF(Pipeline_Sort!$C69="","",INDEX(Pipeline_Calc!$E$2:$E$5251,Pipeline_Sort!$C69))</f>
        <v>SAMPLE Office 40</v>
      </c>
      <c r="E69" s="0" t="str">
        <f aca="false">IF(Pipeline_Sort!$C69="","",INDEX(Pipeline_Calc!$F$2:$F$5251,Pipeline_Sort!$C69))</f>
        <v>outreach_sent</v>
      </c>
      <c r="F69" s="0" t="str">
        <f aca="false">IF(Pipeline_Sort!$C69="","",INDEX(Pipeline_Calc!$G$2:$G$5251,Pipeline_Sort!$C69))</f>
        <v/>
      </c>
      <c r="G69" s="0" t="str">
        <f aca="false">IF(Pipeline_Sort!$C69="","",INDEX(Pipeline_Calc!$H$2:$H$5251,Pipeline_Sort!$C69))</f>
        <v/>
      </c>
      <c r="H69" s="0" t="str">
        <f aca="false">IF(Pipeline_Sort!$C69="","",INDEX(Pipeline_Calc!$I$2:$I$5251,Pipeline_Sort!$C69))</f>
        <v/>
      </c>
      <c r="I69" s="0" t="str">
        <f aca="false">IF(Pipeline_Sort!$C69="","",INDEX(Pipeline_Calc!$J$2:$J$5251,Pipeline_Sort!$C69))</f>
        <v>touch_1; office-discovery-B; linkedin</v>
      </c>
    </row>
    <row r="70" customFormat="false" ht="15" hidden="false" customHeight="false" outlineLevel="0" collapsed="false">
      <c r="A70" s="33" t="n">
        <f aca="false">IF(Pipeline_Sort!$C70="","",INDEX(Pipeline_Calc!$B$2:$B$5251,Pipeline_Sort!$C70))</f>
        <v>46329</v>
      </c>
      <c r="B70" s="0" t="str">
        <f aca="false">IF(Pipeline_Sort!$C70="","",INDEX(Pipeline_Calc!$C$2:$C$5251,Pipeline_Sort!$C70))</f>
        <v>office</v>
      </c>
      <c r="C70" s="0" t="str">
        <f aca="false">IF(Pipeline_Sort!$C70="","",INDEX(Pipeline_Calc!$D$2:$D$5251,Pipeline_Sort!$C70))</f>
        <v>SAMPLE-O-039</v>
      </c>
      <c r="D70" s="0" t="str">
        <f aca="false">IF(Pipeline_Sort!$C70="","",INDEX(Pipeline_Calc!$E$2:$E$5251,Pipeline_Sort!$C70))</f>
        <v>SAMPLE Office 39</v>
      </c>
      <c r="E70" s="0" t="str">
        <f aca="false">IF(Pipeline_Sort!$C70="","",INDEX(Pipeline_Calc!$F$2:$F$5251,Pipeline_Sort!$C70))</f>
        <v>outreach_sent</v>
      </c>
      <c r="F70" s="0" t="str">
        <f aca="false">IF(Pipeline_Sort!$C70="","",INDEX(Pipeline_Calc!$G$2:$G$5251,Pipeline_Sort!$C70))</f>
        <v/>
      </c>
      <c r="G70" s="0" t="str">
        <f aca="false">IF(Pipeline_Sort!$C70="","",INDEX(Pipeline_Calc!$H$2:$H$5251,Pipeline_Sort!$C70))</f>
        <v/>
      </c>
      <c r="H70" s="0" t="str">
        <f aca="false">IF(Pipeline_Sort!$C70="","",INDEX(Pipeline_Calc!$I$2:$I$5251,Pipeline_Sort!$C70))</f>
        <v/>
      </c>
      <c r="I70" s="0" t="str">
        <f aca="false">IF(Pipeline_Sort!$C70="","",INDEX(Pipeline_Calc!$J$2:$J$5251,Pipeline_Sort!$C70))</f>
        <v>touch_2; office-discovery-A; linkedin</v>
      </c>
    </row>
    <row r="71" customFormat="false" ht="15" hidden="false" customHeight="false" outlineLevel="0" collapsed="false">
      <c r="A71" s="33" t="n">
        <f aca="false">IF(Pipeline_Sort!$C71="","",INDEX(Pipeline_Calc!$B$2:$B$5251,Pipeline_Sort!$C71))</f>
        <v>46329</v>
      </c>
      <c r="B71" s="0" t="str">
        <f aca="false">IF(Pipeline_Sort!$C71="","",INDEX(Pipeline_Calc!$C$2:$C$5251,Pipeline_Sort!$C71))</f>
        <v>brand</v>
      </c>
      <c r="C71" s="0" t="str">
        <f aca="false">IF(Pipeline_Sort!$C71="","",INDEX(Pipeline_Calc!$D$2:$D$5251,Pipeline_Sort!$C71))</f>
        <v>SAMPLE-B-008</v>
      </c>
      <c r="D71" s="0" t="str">
        <f aca="false">IF(Pipeline_Sort!$C71="","",INDEX(Pipeline_Calc!$E$2:$E$5251,Pipeline_Sort!$C71))</f>
        <v>SAMPLE Brand 08</v>
      </c>
      <c r="E71" s="0" t="str">
        <f aca="false">IF(Pipeline_Sort!$C71="","",INDEX(Pipeline_Calc!$F$2:$F$5251,Pipeline_Sort!$C71))</f>
        <v>outreach_sent</v>
      </c>
      <c r="F71" s="0" t="str">
        <f aca="false">IF(Pipeline_Sort!$C71="","",INDEX(Pipeline_Calc!$G$2:$G$5251,Pipeline_Sort!$C71))</f>
        <v/>
      </c>
      <c r="G71" s="0" t="str">
        <f aca="false">IF(Pipeline_Sort!$C71="","",INDEX(Pipeline_Calc!$H$2:$H$5251,Pipeline_Sort!$C71))</f>
        <v/>
      </c>
      <c r="H71" s="0" t="str">
        <f aca="false">IF(Pipeline_Sort!$C71="","",INDEX(Pipeline_Calc!$I$2:$I$5251,Pipeline_Sort!$C71))</f>
        <v/>
      </c>
      <c r="I71" s="0" t="str">
        <f aca="false">IF(Pipeline_Sort!$C71="","",INDEX(Pipeline_Calc!$J$2:$J$5251,Pipeline_Sort!$C71))</f>
        <v>touch_1; brand-discovery-B; warm-intro</v>
      </c>
    </row>
    <row r="72" customFormat="false" ht="15" hidden="false" customHeight="false" outlineLevel="0" collapsed="false">
      <c r="A72" s="33" t="n">
        <f aca="false">IF(Pipeline_Sort!$C72="","",INDEX(Pipeline_Calc!$B$2:$B$5251,Pipeline_Sort!$C72))</f>
        <v>46329</v>
      </c>
      <c r="B72" s="0" t="str">
        <f aca="false">IF(Pipeline_Sort!$C72="","",INDEX(Pipeline_Calc!$C$2:$C$5251,Pipeline_Sort!$C72))</f>
        <v>brand</v>
      </c>
      <c r="C72" s="0" t="str">
        <f aca="false">IF(Pipeline_Sort!$C72="","",INDEX(Pipeline_Calc!$D$2:$D$5251,Pipeline_Sort!$C72))</f>
        <v>SAMPLE-B-021</v>
      </c>
      <c r="D72" s="0" t="str">
        <f aca="false">IF(Pipeline_Sort!$C72="","",INDEX(Pipeline_Calc!$E$2:$E$5251,Pipeline_Sort!$C72))</f>
        <v>SAMPLE Brand 21</v>
      </c>
      <c r="E72" s="0" t="str">
        <f aca="false">IF(Pipeline_Sort!$C72="","",INDEX(Pipeline_Calc!$F$2:$F$5251,Pipeline_Sort!$C72))</f>
        <v>outreach_sent</v>
      </c>
      <c r="F72" s="0" t="str">
        <f aca="false">IF(Pipeline_Sort!$C72="","",INDEX(Pipeline_Calc!$G$2:$G$5251,Pipeline_Sort!$C72))</f>
        <v/>
      </c>
      <c r="G72" s="0" t="str">
        <f aca="false">IF(Pipeline_Sort!$C72="","",INDEX(Pipeline_Calc!$H$2:$H$5251,Pipeline_Sort!$C72))</f>
        <v/>
      </c>
      <c r="H72" s="0" t="str">
        <f aca="false">IF(Pipeline_Sort!$C72="","",INDEX(Pipeline_Calc!$I$2:$I$5251,Pipeline_Sort!$C72))</f>
        <v/>
      </c>
      <c r="I72" s="0" t="str">
        <f aca="false">IF(Pipeline_Sort!$C72="","",INDEX(Pipeline_Calc!$J$2:$J$5251,Pipeline_Sort!$C72))</f>
        <v>touch_1; brand-discovery-A; linkedin</v>
      </c>
    </row>
    <row r="73" customFormat="false" ht="15" hidden="false" customHeight="false" outlineLevel="0" collapsed="false">
      <c r="A73" s="33" t="n">
        <f aca="false">IF(Pipeline_Sort!$C73="","",INDEX(Pipeline_Calc!$B$2:$B$5251,Pipeline_Sort!$C73))</f>
        <v>46329</v>
      </c>
      <c r="B73" s="0" t="str">
        <f aca="false">IF(Pipeline_Sort!$C73="","",INDEX(Pipeline_Calc!$C$2:$C$5251,Pipeline_Sort!$C73))</f>
        <v>brand</v>
      </c>
      <c r="C73" s="0" t="str">
        <f aca="false">IF(Pipeline_Sort!$C73="","",INDEX(Pipeline_Calc!$D$2:$D$5251,Pipeline_Sort!$C73))</f>
        <v>SAMPLE-B-040</v>
      </c>
      <c r="D73" s="0" t="str">
        <f aca="false">IF(Pipeline_Sort!$C73="","",INDEX(Pipeline_Calc!$E$2:$E$5251,Pipeline_Sort!$C73))</f>
        <v>SAMPLE Brand 40</v>
      </c>
      <c r="E73" s="0" t="str">
        <f aca="false">IF(Pipeline_Sort!$C73="","",INDEX(Pipeline_Calc!$F$2:$F$5251,Pipeline_Sort!$C73))</f>
        <v>outreach_sent</v>
      </c>
      <c r="F73" s="0" t="str">
        <f aca="false">IF(Pipeline_Sort!$C73="","",INDEX(Pipeline_Calc!$G$2:$G$5251,Pipeline_Sort!$C73))</f>
        <v/>
      </c>
      <c r="G73" s="0" t="str">
        <f aca="false">IF(Pipeline_Sort!$C73="","",INDEX(Pipeline_Calc!$H$2:$H$5251,Pipeline_Sort!$C73))</f>
        <v/>
      </c>
      <c r="H73" s="0" t="str">
        <f aca="false">IF(Pipeline_Sort!$C73="","",INDEX(Pipeline_Calc!$I$2:$I$5251,Pipeline_Sort!$C73))</f>
        <v/>
      </c>
      <c r="I73" s="0" t="str">
        <f aca="false">IF(Pipeline_Sort!$C73="","",INDEX(Pipeline_Calc!$J$2:$J$5251,Pipeline_Sort!$C73))</f>
        <v>touch_1; brand-discovery-B; linkedin</v>
      </c>
    </row>
    <row r="74" customFormat="false" ht="15" hidden="false" customHeight="false" outlineLevel="0" collapsed="false">
      <c r="A74" s="33" t="n">
        <f aca="false">IF(Pipeline_Sort!$C74="","",INDEX(Pipeline_Calc!$B$2:$B$5251,Pipeline_Sort!$C74))</f>
        <v>46329</v>
      </c>
      <c r="B74" s="0" t="str">
        <f aca="false">IF(Pipeline_Sort!$C74="","",INDEX(Pipeline_Calc!$C$2:$C$5251,Pipeline_Sort!$C74))</f>
        <v>brand</v>
      </c>
      <c r="C74" s="0" t="str">
        <f aca="false">IF(Pipeline_Sort!$C74="","",INDEX(Pipeline_Calc!$D$2:$D$5251,Pipeline_Sort!$C74))</f>
        <v>SAMPLE-B-039</v>
      </c>
      <c r="D74" s="0" t="str">
        <f aca="false">IF(Pipeline_Sort!$C74="","",INDEX(Pipeline_Calc!$E$2:$E$5251,Pipeline_Sort!$C74))</f>
        <v>SAMPLE Brand 39</v>
      </c>
      <c r="E74" s="0" t="str">
        <f aca="false">IF(Pipeline_Sort!$C74="","",INDEX(Pipeline_Calc!$F$2:$F$5251,Pipeline_Sort!$C74))</f>
        <v>outreach_sent</v>
      </c>
      <c r="F74" s="0" t="str">
        <f aca="false">IF(Pipeline_Sort!$C74="","",INDEX(Pipeline_Calc!$G$2:$G$5251,Pipeline_Sort!$C74))</f>
        <v/>
      </c>
      <c r="G74" s="0" t="str">
        <f aca="false">IF(Pipeline_Sort!$C74="","",INDEX(Pipeline_Calc!$H$2:$H$5251,Pipeline_Sort!$C74))</f>
        <v/>
      </c>
      <c r="H74" s="0" t="str">
        <f aca="false">IF(Pipeline_Sort!$C74="","",INDEX(Pipeline_Calc!$I$2:$I$5251,Pipeline_Sort!$C74))</f>
        <v/>
      </c>
      <c r="I74" s="0" t="str">
        <f aca="false">IF(Pipeline_Sort!$C74="","",INDEX(Pipeline_Calc!$J$2:$J$5251,Pipeline_Sort!$C74))</f>
        <v>touch_2; brand-discovery-A; linkedin</v>
      </c>
    </row>
    <row r="75" customFormat="false" ht="15" hidden="false" customHeight="false" outlineLevel="0" collapsed="false">
      <c r="A75" s="33" t="n">
        <f aca="false">IF(Pipeline_Sort!$C75="","",INDEX(Pipeline_Calc!$B$2:$B$5251,Pipeline_Sort!$C75))</f>
        <v>46330</v>
      </c>
      <c r="B75" s="0" t="str">
        <f aca="false">IF(Pipeline_Sort!$C75="","",INDEX(Pipeline_Calc!$C$2:$C$5251,Pipeline_Sort!$C75))</f>
        <v>office</v>
      </c>
      <c r="C75" s="0" t="str">
        <f aca="false">IF(Pipeline_Sort!$C75="","",INDEX(Pipeline_Calc!$D$2:$D$5251,Pipeline_Sort!$C75))</f>
        <v>SAMPLE-O-006</v>
      </c>
      <c r="D75" s="0" t="str">
        <f aca="false">IF(Pipeline_Sort!$C75="","",INDEX(Pipeline_Calc!$E$2:$E$5251,Pipeline_Sort!$C75))</f>
        <v>SAMPLE Office 06</v>
      </c>
      <c r="E75" s="0" t="str">
        <f aca="false">IF(Pipeline_Sort!$C75="","",INDEX(Pipeline_Calc!$F$2:$F$5251,Pipeline_Sort!$C75))</f>
        <v>conversation</v>
      </c>
      <c r="F75" s="0" t="str">
        <f aca="false">IF(Pipeline_Sort!$C75="","",INDEX(Pipeline_Calc!$G$2:$G$5251,Pipeline_Sort!$C75))</f>
        <v/>
      </c>
      <c r="G75" s="0" t="str">
        <f aca="false">IF(Pipeline_Sort!$C75="","",INDEX(Pipeline_Calc!$H$2:$H$5251,Pipeline_Sort!$C75))</f>
        <v/>
      </c>
      <c r="H75" s="0" t="str">
        <f aca="false">IF(Pipeline_Sort!$C75="","",INDEX(Pipeline_Calc!$I$2:$I$5251,Pipeline_Sort!$C75))</f>
        <v/>
      </c>
      <c r="I75" s="0" t="str">
        <f aca="false">IF(Pipeline_Sort!$C75="","",INDEX(Pipeline_Calc!$J$2:$J$5251,Pipeline_Sort!$C75))</f>
        <v>in-person</v>
      </c>
    </row>
    <row r="76" customFormat="false" ht="15" hidden="false" customHeight="false" outlineLevel="0" collapsed="false">
      <c r="A76" s="33" t="n">
        <f aca="false">IF(Pipeline_Sort!$C76="","",INDEX(Pipeline_Calc!$B$2:$B$5251,Pipeline_Sort!$C76))</f>
        <v>46330</v>
      </c>
      <c r="B76" s="0" t="str">
        <f aca="false">IF(Pipeline_Sort!$C76="","",INDEX(Pipeline_Calc!$C$2:$C$5251,Pipeline_Sort!$C76))</f>
        <v>office</v>
      </c>
      <c r="C76" s="0" t="str">
        <f aca="false">IF(Pipeline_Sort!$C76="","",INDEX(Pipeline_Calc!$D$2:$D$5251,Pipeline_Sort!$C76))</f>
        <v>SAMPLE-O-006</v>
      </c>
      <c r="D76" s="0" t="str">
        <f aca="false">IF(Pipeline_Sort!$C76="","",INDEX(Pipeline_Calc!$E$2:$E$5251,Pipeline_Sort!$C76))</f>
        <v>SAMPLE Office 06</v>
      </c>
      <c r="E76" s="0" t="str">
        <f aca="false">IF(Pipeline_Sort!$C76="","",INDEX(Pipeline_Calc!$F$2:$F$5251,Pipeline_Sort!$C76))</f>
        <v>yes_in_principle</v>
      </c>
      <c r="F76" s="0" t="str">
        <f aca="false">IF(Pipeline_Sort!$C76="","",INDEX(Pipeline_Calc!$G$2:$G$5251,Pipeline_Sort!$C76))</f>
        <v/>
      </c>
      <c r="G76" s="0" t="str">
        <f aca="false">IF(Pipeline_Sort!$C76="","",INDEX(Pipeline_Calc!$H$2:$H$5251,Pipeline_Sort!$C76))</f>
        <v/>
      </c>
      <c r="H76" s="0" t="str">
        <f aca="false">IF(Pipeline_Sort!$C76="","",INDEX(Pipeline_Calc!$I$2:$I$5251,Pipeline_Sort!$C76))</f>
        <v/>
      </c>
      <c r="I76" s="0" t="str">
        <f aca="false">IF(Pipeline_Sort!$C76="","",INDEX(Pipeline_Calc!$J$2:$J$5251,Pipeline_Sort!$C76))</f>
        <v>owner: Office Manager; window: SAMPLE Tue 8-10am</v>
      </c>
    </row>
    <row r="77" customFormat="false" ht="15" hidden="false" customHeight="false" outlineLevel="0" collapsed="false">
      <c r="A77" s="33" t="n">
        <f aca="false">IF(Pipeline_Sort!$C77="","",INDEX(Pipeline_Calc!$B$2:$B$5251,Pipeline_Sort!$C77))</f>
        <v>46330</v>
      </c>
      <c r="B77" s="0" t="str">
        <f aca="false">IF(Pipeline_Sort!$C77="","",INDEX(Pipeline_Calc!$C$2:$C$5251,Pipeline_Sort!$C77))</f>
        <v>office</v>
      </c>
      <c r="C77" s="0" t="str">
        <f aca="false">IF(Pipeline_Sort!$C77="","",INDEX(Pipeline_Calc!$D$2:$D$5251,Pipeline_Sort!$C77))</f>
        <v>SAMPLE-O-006</v>
      </c>
      <c r="D77" s="0" t="str">
        <f aca="false">IF(Pipeline_Sort!$C77="","",INDEX(Pipeline_Calc!$E$2:$E$5251,Pipeline_Sort!$C77))</f>
        <v>SAMPLE Office 06</v>
      </c>
      <c r="E77" s="0" t="str">
        <f aca="false">IF(Pipeline_Sort!$C77="","",INDEX(Pipeline_Calc!$F$2:$F$5251,Pipeline_Sort!$C77))</f>
        <v>budget_probe</v>
      </c>
      <c r="F77" s="32" t="n">
        <f aca="false">IF(Pipeline_Sort!$C77="","",INDEX(Pipeline_Calc!$G$2:$G$5251,Pipeline_Sort!$C77))</f>
        <v>50</v>
      </c>
      <c r="G77" s="0" t="str">
        <f aca="false">IF(Pipeline_Sort!$C77="","",INDEX(Pipeline_Calc!$H$2:$H$5251,Pipeline_Sort!$C77))</f>
        <v>SAMPLE: fifty dollars, maybe</v>
      </c>
      <c r="H77" s="0" t="str">
        <f aca="false">IF(Pipeline_Sort!$C77="","",INDEX(Pipeline_Calc!$I$2:$I$5251,Pipeline_Sort!$C77))</f>
        <v/>
      </c>
      <c r="I77" s="0" t="str">
        <f aca="false">IF(Pipeline_Sort!$C77="","",INDEX(Pipeline_Calc!$J$2:$J$5251,Pipeline_Sort!$C77))</f>
        <v/>
      </c>
    </row>
    <row r="78" customFormat="false" ht="15" hidden="false" customHeight="false" outlineLevel="0" collapsed="false">
      <c r="A78" s="33" t="n">
        <f aca="false">IF(Pipeline_Sort!$C78="","",INDEX(Pipeline_Calc!$B$2:$B$5251,Pipeline_Sort!$C78))</f>
        <v>46330</v>
      </c>
      <c r="B78" s="0" t="str">
        <f aca="false">IF(Pipeline_Sort!$C78="","",INDEX(Pipeline_Calc!$C$2:$C$5251,Pipeline_Sort!$C78))</f>
        <v>brand</v>
      </c>
      <c r="C78" s="0" t="str">
        <f aca="false">IF(Pipeline_Sort!$C78="","",INDEX(Pipeline_Calc!$D$2:$D$5251,Pipeline_Sort!$C78))</f>
        <v>SAMPLE-B-006</v>
      </c>
      <c r="D78" s="0" t="str">
        <f aca="false">IF(Pipeline_Sort!$C78="","",INDEX(Pipeline_Calc!$E$2:$E$5251,Pipeline_Sort!$C78))</f>
        <v>SAMPLE Brand 06</v>
      </c>
      <c r="E78" s="0" t="str">
        <f aca="false">IF(Pipeline_Sort!$C78="","",INDEX(Pipeline_Calc!$F$2:$F$5251,Pipeline_Sort!$C78))</f>
        <v>conversation</v>
      </c>
      <c r="F78" s="0" t="str">
        <f aca="false">IF(Pipeline_Sort!$C78="","",INDEX(Pipeline_Calc!$G$2:$G$5251,Pipeline_Sort!$C78))</f>
        <v/>
      </c>
      <c r="G78" s="0" t="str">
        <f aca="false">IF(Pipeline_Sort!$C78="","",INDEX(Pipeline_Calc!$H$2:$H$5251,Pipeline_Sort!$C78))</f>
        <v/>
      </c>
      <c r="H78" s="0" t="str">
        <f aca="false">IF(Pipeline_Sort!$C78="","",INDEX(Pipeline_Calc!$I$2:$I$5251,Pipeline_Sort!$C78))</f>
        <v/>
      </c>
      <c r="I78" s="0" t="str">
        <f aca="false">IF(Pipeline_Sort!$C78="","",INDEX(Pipeline_Calc!$J$2:$J$5251,Pipeline_Sort!$C78))</f>
        <v>video</v>
      </c>
    </row>
    <row r="79" customFormat="false" ht="15" hidden="false" customHeight="false" outlineLevel="0" collapsed="false">
      <c r="A79" s="33" t="n">
        <f aca="false">IF(Pipeline_Sort!$C79="","",INDEX(Pipeline_Calc!$B$2:$B$5251,Pipeline_Sort!$C79))</f>
        <v>46330</v>
      </c>
      <c r="B79" s="0" t="str">
        <f aca="false">IF(Pipeline_Sort!$C79="","",INDEX(Pipeline_Calc!$C$2:$C$5251,Pipeline_Sort!$C79))</f>
        <v>brand</v>
      </c>
      <c r="C79" s="0" t="str">
        <f aca="false">IF(Pipeline_Sort!$C79="","",INDEX(Pipeline_Calc!$D$2:$D$5251,Pipeline_Sort!$C79))</f>
        <v>SAMPLE-B-006</v>
      </c>
      <c r="D79" s="0" t="str">
        <f aca="false">IF(Pipeline_Sort!$C79="","",INDEX(Pipeline_Calc!$E$2:$E$5251,Pipeline_Sort!$C79))</f>
        <v>SAMPLE Brand 06</v>
      </c>
      <c r="E79" s="0" t="str">
        <f aca="false">IF(Pipeline_Sort!$C79="","",INDEX(Pipeline_Calc!$F$2:$F$5251,Pipeline_Sort!$C79))</f>
        <v>yes_in_principle</v>
      </c>
      <c r="F79" s="0" t="str">
        <f aca="false">IF(Pipeline_Sort!$C79="","",INDEX(Pipeline_Calc!$G$2:$G$5251,Pipeline_Sort!$C79))</f>
        <v/>
      </c>
      <c r="G79" s="0" t="str">
        <f aca="false">IF(Pipeline_Sort!$C79="","",INDEX(Pipeline_Calc!$H$2:$H$5251,Pipeline_Sort!$C79))</f>
        <v/>
      </c>
      <c r="H79" s="0" t="str">
        <f aca="false">IF(Pipeline_Sort!$C79="","",INDEX(Pipeline_Calc!$I$2:$I$5251,Pipeline_Sort!$C79))</f>
        <v>Y</v>
      </c>
      <c r="I79" s="0" t="str">
        <f aca="false">IF(Pipeline_Sort!$C79="","",INDEX(Pipeline_Calc!$J$2:$J$5251,Pipeline_Sort!$C79))</f>
        <v/>
      </c>
    </row>
    <row r="80" customFormat="false" ht="15" hidden="false" customHeight="false" outlineLevel="0" collapsed="false">
      <c r="A80" s="33" t="n">
        <f aca="false">IF(Pipeline_Sort!$C80="","",INDEX(Pipeline_Calc!$B$2:$B$5251,Pipeline_Sort!$C80))</f>
        <v>46330</v>
      </c>
      <c r="B80" s="0" t="str">
        <f aca="false">IF(Pipeline_Sort!$C80="","",INDEX(Pipeline_Calc!$C$2:$C$5251,Pipeline_Sort!$C80))</f>
        <v>brand</v>
      </c>
      <c r="C80" s="0" t="str">
        <f aca="false">IF(Pipeline_Sort!$C80="","",INDEX(Pipeline_Calc!$D$2:$D$5251,Pipeline_Sort!$C80))</f>
        <v>SAMPLE-B-006</v>
      </c>
      <c r="D80" s="0" t="str">
        <f aca="false">IF(Pipeline_Sort!$C80="","",INDEX(Pipeline_Calc!$E$2:$E$5251,Pipeline_Sort!$C80))</f>
        <v>SAMPLE Brand 06</v>
      </c>
      <c r="E80" s="0" t="str">
        <f aca="false">IF(Pipeline_Sort!$C80="","",INDEX(Pipeline_Calc!$F$2:$F$5251,Pipeline_Sort!$C80))</f>
        <v>budget_probe</v>
      </c>
      <c r="F80" s="32" t="n">
        <f aca="false">IF(Pipeline_Sort!$C80="","",INDEX(Pipeline_Calc!$G$2:$G$5251,Pipeline_Sort!$C80))</f>
        <v>750</v>
      </c>
      <c r="G80" s="0" t="str">
        <f aca="false">IF(Pipeline_Sort!$C80="","",INDEX(Pipeline_Calc!$H$2:$H$5251,Pipeline_Sort!$C80))</f>
        <v>SAMPLE: $750 feels right</v>
      </c>
      <c r="H80" s="0" t="str">
        <f aca="false">IF(Pipeline_Sort!$C80="","",INDEX(Pipeline_Calc!$I$2:$I$5251,Pipeline_Sort!$C80))</f>
        <v>Y</v>
      </c>
      <c r="I80" s="0" t="str">
        <f aca="false">IF(Pipeline_Sort!$C80="","",INDEX(Pipeline_Calc!$J$2:$J$5251,Pipeline_Sort!$C80))</f>
        <v/>
      </c>
    </row>
    <row r="81" customFormat="false" ht="15" hidden="false" customHeight="false" outlineLevel="0" collapsed="false">
      <c r="A81" s="33" t="n">
        <f aca="false">IF(Pipeline_Sort!$C81="","",INDEX(Pipeline_Calc!$B$2:$B$5251,Pipeline_Sort!$C81))</f>
        <v>46330</v>
      </c>
      <c r="B81" s="0" t="str">
        <f aca="false">IF(Pipeline_Sort!$C81="","",INDEX(Pipeline_Calc!$C$2:$C$5251,Pipeline_Sort!$C81))</f>
        <v>brand</v>
      </c>
      <c r="C81" s="0" t="str">
        <f aca="false">IF(Pipeline_Sort!$C81="","",INDEX(Pipeline_Calc!$D$2:$D$5251,Pipeline_Sort!$C81))</f>
        <v>SAMPLE-B-006</v>
      </c>
      <c r="D81" s="0" t="str">
        <f aca="false">IF(Pipeline_Sort!$C81="","",INDEX(Pipeline_Calc!$E$2:$E$5251,Pipeline_Sort!$C81))</f>
        <v>SAMPLE Brand 06</v>
      </c>
      <c r="E81" s="0" t="str">
        <f aca="false">IF(Pipeline_Sort!$C81="","",INDEX(Pipeline_Calc!$F$2:$F$5251,Pipeline_Sort!$C81))</f>
        <v>budget_probe</v>
      </c>
      <c r="F81" s="32" t="n">
        <f aca="false">IF(Pipeline_Sort!$C81="","",INDEX(Pipeline_Calc!$G$2:$G$5251,Pipeline_Sort!$C81))</f>
        <v>1200</v>
      </c>
      <c r="G81" s="0" t="str">
        <f aca="false">IF(Pipeline_Sort!$C81="","",INDEX(Pipeline_Calc!$H$2:$H$5251,Pipeline_Sort!$C81))</f>
        <v>SAMPLE: we could stretch to $1,200</v>
      </c>
      <c r="H81" s="0" t="str">
        <f aca="false">IF(Pipeline_Sort!$C81="","",INDEX(Pipeline_Calc!$I$2:$I$5251,Pipeline_Sort!$C81))</f>
        <v>Y</v>
      </c>
      <c r="I81" s="0" t="str">
        <f aca="false">IF(Pipeline_Sort!$C81="","",INDEX(Pipeline_Calc!$J$2:$J$5251,Pipeline_Sort!$C81))</f>
        <v>after_1500</v>
      </c>
    </row>
    <row r="82" customFormat="false" ht="15" hidden="false" customHeight="false" outlineLevel="0" collapsed="false">
      <c r="A82" s="33" t="n">
        <f aca="false">IF(Pipeline_Sort!$C82="","",INDEX(Pipeline_Calc!$B$2:$B$5251,Pipeline_Sort!$C82))</f>
        <v>46330</v>
      </c>
      <c r="B82" s="0" t="str">
        <f aca="false">IF(Pipeline_Sort!$C82="","",INDEX(Pipeline_Calc!$C$2:$C$5251,Pipeline_Sort!$C82))</f>
        <v>office</v>
      </c>
      <c r="C82" s="0" t="str">
        <f aca="false">IF(Pipeline_Sort!$C82="","",INDEX(Pipeline_Calc!$D$2:$D$5251,Pipeline_Sort!$C82))</f>
        <v>SAMPLE-O-009</v>
      </c>
      <c r="D82" s="0" t="str">
        <f aca="false">IF(Pipeline_Sort!$C82="","",INDEX(Pipeline_Calc!$E$2:$E$5251,Pipeline_Sort!$C82))</f>
        <v>SAMPLE Office 09</v>
      </c>
      <c r="E82" s="0" t="str">
        <f aca="false">IF(Pipeline_Sort!$C82="","",INDEX(Pipeline_Calc!$F$2:$F$5251,Pipeline_Sort!$C82))</f>
        <v>outreach_sent</v>
      </c>
      <c r="F82" s="0" t="str">
        <f aca="false">IF(Pipeline_Sort!$C82="","",INDEX(Pipeline_Calc!$G$2:$G$5251,Pipeline_Sort!$C82))</f>
        <v/>
      </c>
      <c r="G82" s="0" t="str">
        <f aca="false">IF(Pipeline_Sort!$C82="","",INDEX(Pipeline_Calc!$H$2:$H$5251,Pipeline_Sort!$C82))</f>
        <v/>
      </c>
      <c r="H82" s="0" t="str">
        <f aca="false">IF(Pipeline_Sort!$C82="","",INDEX(Pipeline_Calc!$I$2:$I$5251,Pipeline_Sort!$C82))</f>
        <v/>
      </c>
      <c r="I82" s="0" t="str">
        <f aca="false">IF(Pipeline_Sort!$C82="","",INDEX(Pipeline_Calc!$J$2:$J$5251,Pipeline_Sort!$C82))</f>
        <v>touch_1; office-discovery-A; linkedin</v>
      </c>
    </row>
    <row r="83" customFormat="false" ht="15" hidden="false" customHeight="false" outlineLevel="0" collapsed="false">
      <c r="A83" s="33" t="n">
        <f aca="false">IF(Pipeline_Sort!$C83="","",INDEX(Pipeline_Calc!$B$2:$B$5251,Pipeline_Sort!$C83))</f>
        <v>46330</v>
      </c>
      <c r="B83" s="0" t="str">
        <f aca="false">IF(Pipeline_Sort!$C83="","",INDEX(Pipeline_Calc!$C$2:$C$5251,Pipeline_Sort!$C83))</f>
        <v>office</v>
      </c>
      <c r="C83" s="0" t="str">
        <f aca="false">IF(Pipeline_Sort!$C83="","",INDEX(Pipeline_Calc!$D$2:$D$5251,Pipeline_Sort!$C83))</f>
        <v>SAMPLE-O-010</v>
      </c>
      <c r="D83" s="0" t="str">
        <f aca="false">IF(Pipeline_Sort!$C83="","",INDEX(Pipeline_Calc!$E$2:$E$5251,Pipeline_Sort!$C83))</f>
        <v>SAMPLE Office 10</v>
      </c>
      <c r="E83" s="0" t="str">
        <f aca="false">IF(Pipeline_Sort!$C83="","",INDEX(Pipeline_Calc!$F$2:$F$5251,Pipeline_Sort!$C83))</f>
        <v>outreach_sent</v>
      </c>
      <c r="F83" s="0" t="str">
        <f aca="false">IF(Pipeline_Sort!$C83="","",INDEX(Pipeline_Calc!$G$2:$G$5251,Pipeline_Sort!$C83))</f>
        <v/>
      </c>
      <c r="G83" s="0" t="str">
        <f aca="false">IF(Pipeline_Sort!$C83="","",INDEX(Pipeline_Calc!$H$2:$H$5251,Pipeline_Sort!$C83))</f>
        <v/>
      </c>
      <c r="H83" s="0" t="str">
        <f aca="false">IF(Pipeline_Sort!$C83="","",INDEX(Pipeline_Calc!$I$2:$I$5251,Pipeline_Sort!$C83))</f>
        <v/>
      </c>
      <c r="I83" s="0" t="str">
        <f aca="false">IF(Pipeline_Sort!$C83="","",INDEX(Pipeline_Calc!$J$2:$J$5251,Pipeline_Sort!$C83))</f>
        <v>touch_1; office-discovery-B; warm-intro</v>
      </c>
    </row>
    <row r="84" customFormat="false" ht="15" hidden="false" customHeight="false" outlineLevel="0" collapsed="false">
      <c r="A84" s="33" t="n">
        <f aca="false">IF(Pipeline_Sort!$C84="","",INDEX(Pipeline_Calc!$B$2:$B$5251,Pipeline_Sort!$C84))</f>
        <v>46330</v>
      </c>
      <c r="B84" s="0" t="str">
        <f aca="false">IF(Pipeline_Sort!$C84="","",INDEX(Pipeline_Calc!$C$2:$C$5251,Pipeline_Sort!$C84))</f>
        <v>office</v>
      </c>
      <c r="C84" s="0" t="str">
        <f aca="false">IF(Pipeline_Sort!$C84="","",INDEX(Pipeline_Calc!$D$2:$D$5251,Pipeline_Sort!$C84))</f>
        <v>SAMPLE-O-015</v>
      </c>
      <c r="D84" s="0" t="str">
        <f aca="false">IF(Pipeline_Sort!$C84="","",INDEX(Pipeline_Calc!$E$2:$E$5251,Pipeline_Sort!$C84))</f>
        <v>SAMPLE Office 15</v>
      </c>
      <c r="E84" s="0" t="str">
        <f aca="false">IF(Pipeline_Sort!$C84="","",INDEX(Pipeline_Calc!$F$2:$F$5251,Pipeline_Sort!$C84))</f>
        <v>outreach_sent</v>
      </c>
      <c r="F84" s="0" t="str">
        <f aca="false">IF(Pipeline_Sort!$C84="","",INDEX(Pipeline_Calc!$G$2:$G$5251,Pipeline_Sort!$C84))</f>
        <v/>
      </c>
      <c r="G84" s="0" t="str">
        <f aca="false">IF(Pipeline_Sort!$C84="","",INDEX(Pipeline_Calc!$H$2:$H$5251,Pipeline_Sort!$C84))</f>
        <v/>
      </c>
      <c r="H84" s="0" t="str">
        <f aca="false">IF(Pipeline_Sort!$C84="","",INDEX(Pipeline_Calc!$I$2:$I$5251,Pipeline_Sort!$C84))</f>
        <v/>
      </c>
      <c r="I84" s="0" t="str">
        <f aca="false">IF(Pipeline_Sort!$C84="","",INDEX(Pipeline_Calc!$J$2:$J$5251,Pipeline_Sort!$C84))</f>
        <v>touch_1; office-discovery-A; linkedin</v>
      </c>
    </row>
    <row r="85" customFormat="false" ht="15" hidden="false" customHeight="false" outlineLevel="0" collapsed="false">
      <c r="A85" s="33" t="n">
        <f aca="false">IF(Pipeline_Sort!$C85="","",INDEX(Pipeline_Calc!$B$2:$B$5251,Pipeline_Sort!$C85))</f>
        <v>46330</v>
      </c>
      <c r="B85" s="0" t="str">
        <f aca="false">IF(Pipeline_Sort!$C85="","",INDEX(Pipeline_Calc!$C$2:$C$5251,Pipeline_Sort!$C85))</f>
        <v>office</v>
      </c>
      <c r="C85" s="0" t="str">
        <f aca="false">IF(Pipeline_Sort!$C85="","",INDEX(Pipeline_Calc!$D$2:$D$5251,Pipeline_Sort!$C85))</f>
        <v>SAMPLE-O-034</v>
      </c>
      <c r="D85" s="0" t="str">
        <f aca="false">IF(Pipeline_Sort!$C85="","",INDEX(Pipeline_Calc!$E$2:$E$5251,Pipeline_Sort!$C85))</f>
        <v>SAMPLE Office 34</v>
      </c>
      <c r="E85" s="0" t="str">
        <f aca="false">IF(Pipeline_Sort!$C85="","",INDEX(Pipeline_Calc!$F$2:$F$5251,Pipeline_Sort!$C85))</f>
        <v>outreach_sent</v>
      </c>
      <c r="F85" s="0" t="str">
        <f aca="false">IF(Pipeline_Sort!$C85="","",INDEX(Pipeline_Calc!$G$2:$G$5251,Pipeline_Sort!$C85))</f>
        <v/>
      </c>
      <c r="G85" s="0" t="str">
        <f aca="false">IF(Pipeline_Sort!$C85="","",INDEX(Pipeline_Calc!$H$2:$H$5251,Pipeline_Sort!$C85))</f>
        <v/>
      </c>
      <c r="H85" s="0" t="str">
        <f aca="false">IF(Pipeline_Sort!$C85="","",INDEX(Pipeline_Calc!$I$2:$I$5251,Pipeline_Sort!$C85))</f>
        <v/>
      </c>
      <c r="I85" s="0" t="str">
        <f aca="false">IF(Pipeline_Sort!$C85="","",INDEX(Pipeline_Calc!$J$2:$J$5251,Pipeline_Sort!$C85))</f>
        <v>touch_1; office-discovery-B; linkedin</v>
      </c>
    </row>
    <row r="86" customFormat="false" ht="15" hidden="false" customHeight="false" outlineLevel="0" collapsed="false">
      <c r="A86" s="33" t="n">
        <f aca="false">IF(Pipeline_Sort!$C86="","",INDEX(Pipeline_Calc!$B$2:$B$5251,Pipeline_Sort!$C86))</f>
        <v>46330</v>
      </c>
      <c r="B86" s="0" t="str">
        <f aca="false">IF(Pipeline_Sort!$C86="","",INDEX(Pipeline_Calc!$C$2:$C$5251,Pipeline_Sort!$C86))</f>
        <v>office</v>
      </c>
      <c r="C86" s="0" t="str">
        <f aca="false">IF(Pipeline_Sort!$C86="","",INDEX(Pipeline_Calc!$D$2:$D$5251,Pipeline_Sort!$C86))</f>
        <v>SAMPLE-O-033</v>
      </c>
      <c r="D86" s="0" t="str">
        <f aca="false">IF(Pipeline_Sort!$C86="","",INDEX(Pipeline_Calc!$E$2:$E$5251,Pipeline_Sort!$C86))</f>
        <v>SAMPLE Office 33</v>
      </c>
      <c r="E86" s="0" t="str">
        <f aca="false">IF(Pipeline_Sort!$C86="","",INDEX(Pipeline_Calc!$F$2:$F$5251,Pipeline_Sort!$C86))</f>
        <v>outreach_sent</v>
      </c>
      <c r="F86" s="0" t="str">
        <f aca="false">IF(Pipeline_Sort!$C86="","",INDEX(Pipeline_Calc!$G$2:$G$5251,Pipeline_Sort!$C86))</f>
        <v/>
      </c>
      <c r="G86" s="0" t="str">
        <f aca="false">IF(Pipeline_Sort!$C86="","",INDEX(Pipeline_Calc!$H$2:$H$5251,Pipeline_Sort!$C86))</f>
        <v/>
      </c>
      <c r="H86" s="0" t="str">
        <f aca="false">IF(Pipeline_Sort!$C86="","",INDEX(Pipeline_Calc!$I$2:$I$5251,Pipeline_Sort!$C86))</f>
        <v/>
      </c>
      <c r="I86" s="0" t="str">
        <f aca="false">IF(Pipeline_Sort!$C86="","",INDEX(Pipeline_Calc!$J$2:$J$5251,Pipeline_Sort!$C86))</f>
        <v>touch_2; office-discovery-A; linkedin</v>
      </c>
    </row>
    <row r="87" customFormat="false" ht="15" hidden="false" customHeight="false" outlineLevel="0" collapsed="false">
      <c r="A87" s="33" t="n">
        <f aca="false">IF(Pipeline_Sort!$C87="","",INDEX(Pipeline_Calc!$B$2:$B$5251,Pipeline_Sort!$C87))</f>
        <v>46330</v>
      </c>
      <c r="B87" s="0" t="str">
        <f aca="false">IF(Pipeline_Sort!$C87="","",INDEX(Pipeline_Calc!$C$2:$C$5251,Pipeline_Sort!$C87))</f>
        <v>brand</v>
      </c>
      <c r="C87" s="0" t="str">
        <f aca="false">IF(Pipeline_Sort!$C87="","",INDEX(Pipeline_Calc!$D$2:$D$5251,Pipeline_Sort!$C87))</f>
        <v>SAMPLE-B-009</v>
      </c>
      <c r="D87" s="0" t="str">
        <f aca="false">IF(Pipeline_Sort!$C87="","",INDEX(Pipeline_Calc!$E$2:$E$5251,Pipeline_Sort!$C87))</f>
        <v>SAMPLE Brand 09</v>
      </c>
      <c r="E87" s="0" t="str">
        <f aca="false">IF(Pipeline_Sort!$C87="","",INDEX(Pipeline_Calc!$F$2:$F$5251,Pipeline_Sort!$C87))</f>
        <v>outreach_sent</v>
      </c>
      <c r="F87" s="0" t="str">
        <f aca="false">IF(Pipeline_Sort!$C87="","",INDEX(Pipeline_Calc!$G$2:$G$5251,Pipeline_Sort!$C87))</f>
        <v/>
      </c>
      <c r="G87" s="0" t="str">
        <f aca="false">IF(Pipeline_Sort!$C87="","",INDEX(Pipeline_Calc!$H$2:$H$5251,Pipeline_Sort!$C87))</f>
        <v/>
      </c>
      <c r="H87" s="0" t="str">
        <f aca="false">IF(Pipeline_Sort!$C87="","",INDEX(Pipeline_Calc!$I$2:$I$5251,Pipeline_Sort!$C87))</f>
        <v/>
      </c>
      <c r="I87" s="0" t="str">
        <f aca="false">IF(Pipeline_Sort!$C87="","",INDEX(Pipeline_Calc!$J$2:$J$5251,Pipeline_Sort!$C87))</f>
        <v>touch_1; brand-discovery-A; linkedin</v>
      </c>
    </row>
    <row r="88" customFormat="false" ht="15" hidden="false" customHeight="false" outlineLevel="0" collapsed="false">
      <c r="A88" s="33" t="n">
        <f aca="false">IF(Pipeline_Sort!$C88="","",INDEX(Pipeline_Calc!$B$2:$B$5251,Pipeline_Sort!$C88))</f>
        <v>46330</v>
      </c>
      <c r="B88" s="0" t="str">
        <f aca="false">IF(Pipeline_Sort!$C88="","",INDEX(Pipeline_Calc!$C$2:$C$5251,Pipeline_Sort!$C88))</f>
        <v>brand</v>
      </c>
      <c r="C88" s="0" t="str">
        <f aca="false">IF(Pipeline_Sort!$C88="","",INDEX(Pipeline_Calc!$D$2:$D$5251,Pipeline_Sort!$C88))</f>
        <v>SAMPLE-B-034</v>
      </c>
      <c r="D88" s="0" t="str">
        <f aca="false">IF(Pipeline_Sort!$C88="","",INDEX(Pipeline_Calc!$E$2:$E$5251,Pipeline_Sort!$C88))</f>
        <v>SAMPLE Brand 34</v>
      </c>
      <c r="E88" s="0" t="str">
        <f aca="false">IF(Pipeline_Sort!$C88="","",INDEX(Pipeline_Calc!$F$2:$F$5251,Pipeline_Sort!$C88))</f>
        <v>outreach_sent</v>
      </c>
      <c r="F88" s="0" t="str">
        <f aca="false">IF(Pipeline_Sort!$C88="","",INDEX(Pipeline_Calc!$G$2:$G$5251,Pipeline_Sort!$C88))</f>
        <v/>
      </c>
      <c r="G88" s="0" t="str">
        <f aca="false">IF(Pipeline_Sort!$C88="","",INDEX(Pipeline_Calc!$H$2:$H$5251,Pipeline_Sort!$C88))</f>
        <v/>
      </c>
      <c r="H88" s="0" t="str">
        <f aca="false">IF(Pipeline_Sort!$C88="","",INDEX(Pipeline_Calc!$I$2:$I$5251,Pipeline_Sort!$C88))</f>
        <v/>
      </c>
      <c r="I88" s="0" t="str">
        <f aca="false">IF(Pipeline_Sort!$C88="","",INDEX(Pipeline_Calc!$J$2:$J$5251,Pipeline_Sort!$C88))</f>
        <v>touch_1; brand-discovery-B; linkedin</v>
      </c>
    </row>
    <row r="89" customFormat="false" ht="15" hidden="false" customHeight="false" outlineLevel="0" collapsed="false">
      <c r="A89" s="33" t="n">
        <f aca="false">IF(Pipeline_Sort!$C89="","",INDEX(Pipeline_Calc!$B$2:$B$5251,Pipeline_Sort!$C89))</f>
        <v>46330</v>
      </c>
      <c r="B89" s="0" t="str">
        <f aca="false">IF(Pipeline_Sort!$C89="","",INDEX(Pipeline_Calc!$C$2:$C$5251,Pipeline_Sort!$C89))</f>
        <v>brand</v>
      </c>
      <c r="C89" s="0" t="str">
        <f aca="false">IF(Pipeline_Sort!$C89="","",INDEX(Pipeline_Calc!$D$2:$D$5251,Pipeline_Sort!$C89))</f>
        <v>SAMPLE-B-033</v>
      </c>
      <c r="D89" s="0" t="str">
        <f aca="false">IF(Pipeline_Sort!$C89="","",INDEX(Pipeline_Calc!$E$2:$E$5251,Pipeline_Sort!$C89))</f>
        <v>SAMPLE Brand 33</v>
      </c>
      <c r="E89" s="0" t="str">
        <f aca="false">IF(Pipeline_Sort!$C89="","",INDEX(Pipeline_Calc!$F$2:$F$5251,Pipeline_Sort!$C89))</f>
        <v>outreach_sent</v>
      </c>
      <c r="F89" s="0" t="str">
        <f aca="false">IF(Pipeline_Sort!$C89="","",INDEX(Pipeline_Calc!$G$2:$G$5251,Pipeline_Sort!$C89))</f>
        <v/>
      </c>
      <c r="G89" s="0" t="str">
        <f aca="false">IF(Pipeline_Sort!$C89="","",INDEX(Pipeline_Calc!$H$2:$H$5251,Pipeline_Sort!$C89))</f>
        <v/>
      </c>
      <c r="H89" s="0" t="str">
        <f aca="false">IF(Pipeline_Sort!$C89="","",INDEX(Pipeline_Calc!$I$2:$I$5251,Pipeline_Sort!$C89))</f>
        <v/>
      </c>
      <c r="I89" s="0" t="str">
        <f aca="false">IF(Pipeline_Sort!$C89="","",INDEX(Pipeline_Calc!$J$2:$J$5251,Pipeline_Sort!$C89))</f>
        <v>touch_2; brand-discovery-A; linkedin</v>
      </c>
    </row>
    <row r="90" customFormat="false" ht="15" hidden="false" customHeight="false" outlineLevel="0" collapsed="false">
      <c r="A90" s="33" t="n">
        <f aca="false">IF(Pipeline_Sort!$C90="","",INDEX(Pipeline_Calc!$B$2:$B$5251,Pipeline_Sort!$C90))</f>
        <v>46331</v>
      </c>
      <c r="B90" s="0" t="str">
        <f aca="false">IF(Pipeline_Sort!$C90="","",INDEX(Pipeline_Calc!$C$2:$C$5251,Pipeline_Sort!$C90))</f>
        <v>office</v>
      </c>
      <c r="C90" s="0" t="str">
        <f aca="false">IF(Pipeline_Sort!$C90="","",INDEX(Pipeline_Calc!$D$2:$D$5251,Pipeline_Sort!$C90))</f>
        <v>SAMPLE-O-007</v>
      </c>
      <c r="D90" s="0" t="str">
        <f aca="false">IF(Pipeline_Sort!$C90="","",INDEX(Pipeline_Calc!$E$2:$E$5251,Pipeline_Sort!$C90))</f>
        <v>SAMPLE Office 07</v>
      </c>
      <c r="E90" s="0" t="str">
        <f aca="false">IF(Pipeline_Sort!$C90="","",INDEX(Pipeline_Calc!$F$2:$F$5251,Pipeline_Sort!$C90))</f>
        <v>conversation</v>
      </c>
      <c r="F90" s="0" t="str">
        <f aca="false">IF(Pipeline_Sort!$C90="","",INDEX(Pipeline_Calc!$G$2:$G$5251,Pipeline_Sort!$C90))</f>
        <v/>
      </c>
      <c r="G90" s="0" t="str">
        <f aca="false">IF(Pipeline_Sort!$C90="","",INDEX(Pipeline_Calc!$H$2:$H$5251,Pipeline_Sort!$C90))</f>
        <v/>
      </c>
      <c r="H90" s="0" t="str">
        <f aca="false">IF(Pipeline_Sort!$C90="","",INDEX(Pipeline_Calc!$I$2:$I$5251,Pipeline_Sort!$C90))</f>
        <v/>
      </c>
      <c r="I90" s="0" t="str">
        <f aca="false">IF(Pipeline_Sort!$C90="","",INDEX(Pipeline_Calc!$J$2:$J$5251,Pipeline_Sort!$C90))</f>
        <v>video</v>
      </c>
    </row>
    <row r="91" customFormat="false" ht="15" hidden="false" customHeight="false" outlineLevel="0" collapsed="false">
      <c r="A91" s="33" t="n">
        <f aca="false">IF(Pipeline_Sort!$C91="","",INDEX(Pipeline_Calc!$B$2:$B$5251,Pipeline_Sort!$C91))</f>
        <v>46331</v>
      </c>
      <c r="B91" s="0" t="str">
        <f aca="false">IF(Pipeline_Sort!$C91="","",INDEX(Pipeline_Calc!$C$2:$C$5251,Pipeline_Sort!$C91))</f>
        <v>office</v>
      </c>
      <c r="C91" s="0" t="str">
        <f aca="false">IF(Pipeline_Sort!$C91="","",INDEX(Pipeline_Calc!$D$2:$D$5251,Pipeline_Sort!$C91))</f>
        <v>SAMPLE-O-007</v>
      </c>
      <c r="D91" s="0" t="str">
        <f aca="false">IF(Pipeline_Sort!$C91="","",INDEX(Pipeline_Calc!$E$2:$E$5251,Pipeline_Sort!$C91))</f>
        <v>SAMPLE Office 07</v>
      </c>
      <c r="E91" s="0" t="str">
        <f aca="false">IF(Pipeline_Sort!$C91="","",INDEX(Pipeline_Calc!$F$2:$F$5251,Pipeline_Sort!$C91))</f>
        <v>budget_probe</v>
      </c>
      <c r="F91" s="0" t="str">
        <f aca="false">IF(Pipeline_Sort!$C91="","",INDEX(Pipeline_Calc!$G$2:$G$5251,Pipeline_Sort!$C91))</f>
        <v/>
      </c>
      <c r="G91" s="0" t="str">
        <f aca="false">IF(Pipeline_Sort!$C91="","",INDEX(Pipeline_Calc!$H$2:$H$5251,Pipeline_Sort!$C91))</f>
        <v>SAMPLE: wouldn't want to say</v>
      </c>
      <c r="H91" s="0" t="str">
        <f aca="false">IF(Pipeline_Sort!$C91="","",INDEX(Pipeline_Calc!$I$2:$I$5251,Pipeline_Sort!$C91))</f>
        <v/>
      </c>
      <c r="I91" s="0" t="str">
        <f aca="false">IF(Pipeline_Sort!$C91="","",INDEX(Pipeline_Calc!$J$2:$J$5251,Pipeline_Sort!$C91))</f>
        <v/>
      </c>
    </row>
    <row r="92" customFormat="false" ht="15" hidden="false" customHeight="false" outlineLevel="0" collapsed="false">
      <c r="A92" s="33" t="n">
        <f aca="false">IF(Pipeline_Sort!$C92="","",INDEX(Pipeline_Calc!$B$2:$B$5251,Pipeline_Sort!$C92))</f>
        <v>46331</v>
      </c>
      <c r="B92" s="0" t="str">
        <f aca="false">IF(Pipeline_Sort!$C92="","",INDEX(Pipeline_Calc!$C$2:$C$5251,Pipeline_Sort!$C92))</f>
        <v>brand</v>
      </c>
      <c r="C92" s="0" t="str">
        <f aca="false">IF(Pipeline_Sort!$C92="","",INDEX(Pipeline_Calc!$D$2:$D$5251,Pipeline_Sort!$C92))</f>
        <v>SAMPLE-B-007</v>
      </c>
      <c r="D92" s="0" t="str">
        <f aca="false">IF(Pipeline_Sort!$C92="","",INDEX(Pipeline_Calc!$E$2:$E$5251,Pipeline_Sort!$C92))</f>
        <v>SAMPLE Brand 07</v>
      </c>
      <c r="E92" s="0" t="str">
        <f aca="false">IF(Pipeline_Sort!$C92="","",INDEX(Pipeline_Calc!$F$2:$F$5251,Pipeline_Sort!$C92))</f>
        <v>conversation</v>
      </c>
      <c r="F92" s="0" t="str">
        <f aca="false">IF(Pipeline_Sort!$C92="","",INDEX(Pipeline_Calc!$G$2:$G$5251,Pipeline_Sort!$C92))</f>
        <v/>
      </c>
      <c r="G92" s="0" t="str">
        <f aca="false">IF(Pipeline_Sort!$C92="","",INDEX(Pipeline_Calc!$H$2:$H$5251,Pipeline_Sort!$C92))</f>
        <v/>
      </c>
      <c r="H92" s="0" t="str">
        <f aca="false">IF(Pipeline_Sort!$C92="","",INDEX(Pipeline_Calc!$I$2:$I$5251,Pipeline_Sort!$C92))</f>
        <v/>
      </c>
      <c r="I92" s="0" t="str">
        <f aca="false">IF(Pipeline_Sort!$C92="","",INDEX(Pipeline_Calc!$J$2:$J$5251,Pipeline_Sort!$C92))</f>
        <v>video</v>
      </c>
    </row>
    <row r="93" customFormat="false" ht="15" hidden="false" customHeight="false" outlineLevel="0" collapsed="false">
      <c r="A93" s="33" t="n">
        <f aca="false">IF(Pipeline_Sort!$C93="","",INDEX(Pipeline_Calc!$B$2:$B$5251,Pipeline_Sort!$C93))</f>
        <v>46331</v>
      </c>
      <c r="B93" s="0" t="str">
        <f aca="false">IF(Pipeline_Sort!$C93="","",INDEX(Pipeline_Calc!$C$2:$C$5251,Pipeline_Sort!$C93))</f>
        <v>brand</v>
      </c>
      <c r="C93" s="0" t="str">
        <f aca="false">IF(Pipeline_Sort!$C93="","",INDEX(Pipeline_Calc!$D$2:$D$5251,Pipeline_Sort!$C93))</f>
        <v>SAMPLE-B-007</v>
      </c>
      <c r="D93" s="0" t="str">
        <f aca="false">IF(Pipeline_Sort!$C93="","",INDEX(Pipeline_Calc!$E$2:$E$5251,Pipeline_Sort!$C93))</f>
        <v>SAMPLE Brand 07</v>
      </c>
      <c r="E93" s="0" t="str">
        <f aca="false">IF(Pipeline_Sort!$C93="","",INDEX(Pipeline_Calc!$F$2:$F$5251,Pipeline_Sort!$C93))</f>
        <v>budget_probe</v>
      </c>
      <c r="F93" s="32" t="n">
        <f aca="false">IF(Pipeline_Sort!$C93="","",INDEX(Pipeline_Calc!$G$2:$G$5251,Pipeline_Sort!$C93))</f>
        <v>300</v>
      </c>
      <c r="G93" s="0" t="str">
        <f aca="false">IF(Pipeline_Sort!$C93="","",INDEX(Pipeline_Calc!$H$2:$H$5251,Pipeline_Sort!$C93))</f>
        <v>SAMPLE: $300</v>
      </c>
      <c r="H93" s="0" t="str">
        <f aca="false">IF(Pipeline_Sort!$C93="","",INDEX(Pipeline_Calc!$I$2:$I$5251,Pipeline_Sort!$C93))</f>
        <v>Y</v>
      </c>
      <c r="I93" s="0" t="str">
        <f aca="false">IF(Pipeline_Sort!$C93="","",INDEX(Pipeline_Calc!$J$2:$J$5251,Pipeline_Sort!$C93))</f>
        <v/>
      </c>
    </row>
    <row r="94" customFormat="false" ht="15" hidden="false" customHeight="false" outlineLevel="0" collapsed="false">
      <c r="A94" s="33" t="n">
        <f aca="false">IF(Pipeline_Sort!$C94="","",INDEX(Pipeline_Calc!$B$2:$B$5251,Pipeline_Sort!$C94))</f>
        <v>46331</v>
      </c>
      <c r="B94" s="0" t="str">
        <f aca="false">IF(Pipeline_Sort!$C94="","",INDEX(Pipeline_Calc!$C$2:$C$5251,Pipeline_Sort!$C94))</f>
        <v>brand</v>
      </c>
      <c r="C94" s="0" t="str">
        <f aca="false">IF(Pipeline_Sort!$C94="","",INDEX(Pipeline_Calc!$D$2:$D$5251,Pipeline_Sort!$C94))</f>
        <v>SAMPLE-B-007</v>
      </c>
      <c r="D94" s="0" t="str">
        <f aca="false">IF(Pipeline_Sort!$C94="","",INDEX(Pipeline_Calc!$E$2:$E$5251,Pipeline_Sort!$C94))</f>
        <v>SAMPLE Brand 07</v>
      </c>
      <c r="E94" s="0" t="str">
        <f aca="false">IF(Pipeline_Sort!$C94="","",INDEX(Pipeline_Calc!$F$2:$F$5251,Pipeline_Sort!$C94))</f>
        <v>budget_probe</v>
      </c>
      <c r="F94" s="32" t="n">
        <f aca="false">IF(Pipeline_Sort!$C94="","",INDEX(Pipeline_Calc!$G$2:$G$5251,Pipeline_Sort!$C94))</f>
        <v>300</v>
      </c>
      <c r="G94" s="0" t="str">
        <f aca="false">IF(Pipeline_Sort!$C94="","",INDEX(Pipeline_Calc!$H$2:$H$5251,Pipeline_Sort!$C94))</f>
        <v>SAMPLE: still $300</v>
      </c>
      <c r="H94" s="0" t="str">
        <f aca="false">IF(Pipeline_Sort!$C94="","",INDEX(Pipeline_Calc!$I$2:$I$5251,Pipeline_Sort!$C94))</f>
        <v>Y</v>
      </c>
      <c r="I94" s="0" t="str">
        <f aca="false">IF(Pipeline_Sort!$C94="","",INDEX(Pipeline_Calc!$J$2:$J$5251,Pipeline_Sort!$C94))</f>
        <v>after_1500</v>
      </c>
    </row>
    <row r="95" customFormat="false" ht="15" hidden="false" customHeight="false" outlineLevel="0" collapsed="false">
      <c r="A95" s="33" t="n">
        <f aca="false">IF(Pipeline_Sort!$C95="","",INDEX(Pipeline_Calc!$B$2:$B$5251,Pipeline_Sort!$C95))</f>
        <v>46331</v>
      </c>
      <c r="B95" s="0" t="str">
        <f aca="false">IF(Pipeline_Sort!$C95="","",INDEX(Pipeline_Calc!$C$2:$C$5251,Pipeline_Sort!$C95))</f>
        <v>office</v>
      </c>
      <c r="C95" s="0" t="str">
        <f aca="false">IF(Pipeline_Sort!$C95="","",INDEX(Pipeline_Calc!$D$2:$D$5251,Pipeline_Sort!$C95))</f>
        <v>SAMPLE-O-011</v>
      </c>
      <c r="D95" s="0" t="str">
        <f aca="false">IF(Pipeline_Sort!$C95="","",INDEX(Pipeline_Calc!$E$2:$E$5251,Pipeline_Sort!$C95))</f>
        <v>SAMPLE Office 11</v>
      </c>
      <c r="E95" s="0" t="str">
        <f aca="false">IF(Pipeline_Sort!$C95="","",INDEX(Pipeline_Calc!$F$2:$F$5251,Pipeline_Sort!$C95))</f>
        <v>outreach_sent</v>
      </c>
      <c r="F95" s="0" t="str">
        <f aca="false">IF(Pipeline_Sort!$C95="","",INDEX(Pipeline_Calc!$G$2:$G$5251,Pipeline_Sort!$C95))</f>
        <v/>
      </c>
      <c r="G95" s="0" t="str">
        <f aca="false">IF(Pipeline_Sort!$C95="","",INDEX(Pipeline_Calc!$H$2:$H$5251,Pipeline_Sort!$C95))</f>
        <v/>
      </c>
      <c r="H95" s="0" t="str">
        <f aca="false">IF(Pipeline_Sort!$C95="","",INDEX(Pipeline_Calc!$I$2:$I$5251,Pipeline_Sort!$C95))</f>
        <v/>
      </c>
      <c r="I95" s="0" t="str">
        <f aca="false">IF(Pipeline_Sort!$C95="","",INDEX(Pipeline_Calc!$J$2:$J$5251,Pipeline_Sort!$C95))</f>
        <v>touch_1; office-discovery-A; linkedin</v>
      </c>
    </row>
    <row r="96" customFormat="false" ht="15" hidden="false" customHeight="false" outlineLevel="0" collapsed="false">
      <c r="A96" s="33" t="n">
        <f aca="false">IF(Pipeline_Sort!$C96="","",INDEX(Pipeline_Calc!$B$2:$B$5251,Pipeline_Sort!$C96))</f>
        <v>46331</v>
      </c>
      <c r="B96" s="0" t="str">
        <f aca="false">IF(Pipeline_Sort!$C96="","",INDEX(Pipeline_Calc!$C$2:$C$5251,Pipeline_Sort!$C96))</f>
        <v>office</v>
      </c>
      <c r="C96" s="0" t="str">
        <f aca="false">IF(Pipeline_Sort!$C96="","",INDEX(Pipeline_Calc!$D$2:$D$5251,Pipeline_Sort!$C96))</f>
        <v>SAMPLE-O-012</v>
      </c>
      <c r="D96" s="0" t="str">
        <f aca="false">IF(Pipeline_Sort!$C96="","",INDEX(Pipeline_Calc!$E$2:$E$5251,Pipeline_Sort!$C96))</f>
        <v>SAMPLE Office 12</v>
      </c>
      <c r="E96" s="0" t="str">
        <f aca="false">IF(Pipeline_Sort!$C96="","",INDEX(Pipeline_Calc!$F$2:$F$5251,Pipeline_Sort!$C96))</f>
        <v>outreach_sent</v>
      </c>
      <c r="F96" s="0" t="str">
        <f aca="false">IF(Pipeline_Sort!$C96="","",INDEX(Pipeline_Calc!$G$2:$G$5251,Pipeline_Sort!$C96))</f>
        <v/>
      </c>
      <c r="G96" s="0" t="str">
        <f aca="false">IF(Pipeline_Sort!$C96="","",INDEX(Pipeline_Calc!$H$2:$H$5251,Pipeline_Sort!$C96))</f>
        <v/>
      </c>
      <c r="H96" s="0" t="str">
        <f aca="false">IF(Pipeline_Sort!$C96="","",INDEX(Pipeline_Calc!$I$2:$I$5251,Pipeline_Sort!$C96))</f>
        <v/>
      </c>
      <c r="I96" s="0" t="str">
        <f aca="false">IF(Pipeline_Sort!$C96="","",INDEX(Pipeline_Calc!$J$2:$J$5251,Pipeline_Sort!$C96))</f>
        <v>touch_1; office-discovery-B; linkedin</v>
      </c>
    </row>
    <row r="97" customFormat="false" ht="15" hidden="false" customHeight="false" outlineLevel="0" collapsed="false">
      <c r="A97" s="33" t="n">
        <f aca="false">IF(Pipeline_Sort!$C97="","",INDEX(Pipeline_Calc!$B$2:$B$5251,Pipeline_Sort!$C97))</f>
        <v>46331</v>
      </c>
      <c r="B97" s="0" t="str">
        <f aca="false">IF(Pipeline_Sort!$C97="","",INDEX(Pipeline_Calc!$C$2:$C$5251,Pipeline_Sort!$C97))</f>
        <v>office</v>
      </c>
      <c r="C97" s="0" t="str">
        <f aca="false">IF(Pipeline_Sort!$C97="","",INDEX(Pipeline_Calc!$D$2:$D$5251,Pipeline_Sort!$C97))</f>
        <v>SAMPLE-O-028</v>
      </c>
      <c r="D97" s="0" t="str">
        <f aca="false">IF(Pipeline_Sort!$C97="","",INDEX(Pipeline_Calc!$E$2:$E$5251,Pipeline_Sort!$C97))</f>
        <v>SAMPLE Office 28</v>
      </c>
      <c r="E97" s="0" t="str">
        <f aca="false">IF(Pipeline_Sort!$C97="","",INDEX(Pipeline_Calc!$F$2:$F$5251,Pipeline_Sort!$C97))</f>
        <v>outreach_sent</v>
      </c>
      <c r="F97" s="0" t="str">
        <f aca="false">IF(Pipeline_Sort!$C97="","",INDEX(Pipeline_Calc!$G$2:$G$5251,Pipeline_Sort!$C97))</f>
        <v/>
      </c>
      <c r="G97" s="0" t="str">
        <f aca="false">IF(Pipeline_Sort!$C97="","",INDEX(Pipeline_Calc!$H$2:$H$5251,Pipeline_Sort!$C97))</f>
        <v/>
      </c>
      <c r="H97" s="0" t="str">
        <f aca="false">IF(Pipeline_Sort!$C97="","",INDEX(Pipeline_Calc!$I$2:$I$5251,Pipeline_Sort!$C97))</f>
        <v/>
      </c>
      <c r="I97" s="0" t="str">
        <f aca="false">IF(Pipeline_Sort!$C97="","",INDEX(Pipeline_Calc!$J$2:$J$5251,Pipeline_Sort!$C97))</f>
        <v>touch_1; office-discovery-B; linkedin</v>
      </c>
    </row>
    <row r="98" customFormat="false" ht="15" hidden="false" customHeight="false" outlineLevel="0" collapsed="false">
      <c r="A98" s="33" t="n">
        <f aca="false">IF(Pipeline_Sort!$C98="","",INDEX(Pipeline_Calc!$B$2:$B$5251,Pipeline_Sort!$C98))</f>
        <v>46331</v>
      </c>
      <c r="B98" s="0" t="str">
        <f aca="false">IF(Pipeline_Sort!$C98="","",INDEX(Pipeline_Calc!$C$2:$C$5251,Pipeline_Sort!$C98))</f>
        <v>office</v>
      </c>
      <c r="C98" s="0" t="str">
        <f aca="false">IF(Pipeline_Sort!$C98="","",INDEX(Pipeline_Calc!$D$2:$D$5251,Pipeline_Sort!$C98))</f>
        <v>SAMPLE-O-027</v>
      </c>
      <c r="D98" s="0" t="str">
        <f aca="false">IF(Pipeline_Sort!$C98="","",INDEX(Pipeline_Calc!$E$2:$E$5251,Pipeline_Sort!$C98))</f>
        <v>SAMPLE Office 27</v>
      </c>
      <c r="E98" s="0" t="str">
        <f aca="false">IF(Pipeline_Sort!$C98="","",INDEX(Pipeline_Calc!$F$2:$F$5251,Pipeline_Sort!$C98))</f>
        <v>outreach_sent</v>
      </c>
      <c r="F98" s="0" t="str">
        <f aca="false">IF(Pipeline_Sort!$C98="","",INDEX(Pipeline_Calc!$G$2:$G$5251,Pipeline_Sort!$C98))</f>
        <v/>
      </c>
      <c r="G98" s="0" t="str">
        <f aca="false">IF(Pipeline_Sort!$C98="","",INDEX(Pipeline_Calc!$H$2:$H$5251,Pipeline_Sort!$C98))</f>
        <v/>
      </c>
      <c r="H98" s="0" t="str">
        <f aca="false">IF(Pipeline_Sort!$C98="","",INDEX(Pipeline_Calc!$I$2:$I$5251,Pipeline_Sort!$C98))</f>
        <v/>
      </c>
      <c r="I98" s="0" t="str">
        <f aca="false">IF(Pipeline_Sort!$C98="","",INDEX(Pipeline_Calc!$J$2:$J$5251,Pipeline_Sort!$C98))</f>
        <v>touch_2; office-discovery-A; linkedin</v>
      </c>
    </row>
    <row r="99" customFormat="false" ht="15" hidden="false" customHeight="false" outlineLevel="0" collapsed="false">
      <c r="A99" s="33" t="n">
        <f aca="false">IF(Pipeline_Sort!$C99="","",INDEX(Pipeline_Calc!$B$2:$B$5251,Pipeline_Sort!$C99))</f>
        <v>46331</v>
      </c>
      <c r="B99" s="0" t="str">
        <f aca="false">IF(Pipeline_Sort!$C99="","",INDEX(Pipeline_Calc!$C$2:$C$5251,Pipeline_Sort!$C99))</f>
        <v>brand</v>
      </c>
      <c r="C99" s="0" t="str">
        <f aca="false">IF(Pipeline_Sort!$C99="","",INDEX(Pipeline_Calc!$D$2:$D$5251,Pipeline_Sort!$C99))</f>
        <v>SAMPLE-B-010</v>
      </c>
      <c r="D99" s="0" t="str">
        <f aca="false">IF(Pipeline_Sort!$C99="","",INDEX(Pipeline_Calc!$E$2:$E$5251,Pipeline_Sort!$C99))</f>
        <v>SAMPLE Brand 10</v>
      </c>
      <c r="E99" s="0" t="str">
        <f aca="false">IF(Pipeline_Sort!$C99="","",INDEX(Pipeline_Calc!$F$2:$F$5251,Pipeline_Sort!$C99))</f>
        <v>outreach_sent</v>
      </c>
      <c r="F99" s="0" t="str">
        <f aca="false">IF(Pipeline_Sort!$C99="","",INDEX(Pipeline_Calc!$G$2:$G$5251,Pipeline_Sort!$C99))</f>
        <v/>
      </c>
      <c r="G99" s="0" t="str">
        <f aca="false">IF(Pipeline_Sort!$C99="","",INDEX(Pipeline_Calc!$H$2:$H$5251,Pipeline_Sort!$C99))</f>
        <v/>
      </c>
      <c r="H99" s="0" t="str">
        <f aca="false">IF(Pipeline_Sort!$C99="","",INDEX(Pipeline_Calc!$I$2:$I$5251,Pipeline_Sort!$C99))</f>
        <v/>
      </c>
      <c r="I99" s="0" t="str">
        <f aca="false">IF(Pipeline_Sort!$C99="","",INDEX(Pipeline_Calc!$J$2:$J$5251,Pipeline_Sort!$C99))</f>
        <v>touch_1; brand-discovery-B; warm-intro</v>
      </c>
    </row>
    <row r="100" customFormat="false" ht="15" hidden="false" customHeight="false" outlineLevel="0" collapsed="false">
      <c r="A100" s="33" t="n">
        <f aca="false">IF(Pipeline_Sort!$C100="","",INDEX(Pipeline_Calc!$B$2:$B$5251,Pipeline_Sort!$C100))</f>
        <v>46331</v>
      </c>
      <c r="B100" s="0" t="str">
        <f aca="false">IF(Pipeline_Sort!$C100="","",INDEX(Pipeline_Calc!$C$2:$C$5251,Pipeline_Sort!$C100))</f>
        <v>brand</v>
      </c>
      <c r="C100" s="0" t="str">
        <f aca="false">IF(Pipeline_Sort!$C100="","",INDEX(Pipeline_Calc!$D$2:$D$5251,Pipeline_Sort!$C100))</f>
        <v>SAMPLE-B-011</v>
      </c>
      <c r="D100" s="0" t="str">
        <f aca="false">IF(Pipeline_Sort!$C100="","",INDEX(Pipeline_Calc!$E$2:$E$5251,Pipeline_Sort!$C100))</f>
        <v>SAMPLE Brand 11</v>
      </c>
      <c r="E100" s="0" t="str">
        <f aca="false">IF(Pipeline_Sort!$C100="","",INDEX(Pipeline_Calc!$F$2:$F$5251,Pipeline_Sort!$C100))</f>
        <v>outreach_sent</v>
      </c>
      <c r="F100" s="0" t="str">
        <f aca="false">IF(Pipeline_Sort!$C100="","",INDEX(Pipeline_Calc!$G$2:$G$5251,Pipeline_Sort!$C100))</f>
        <v/>
      </c>
      <c r="G100" s="0" t="str">
        <f aca="false">IF(Pipeline_Sort!$C100="","",INDEX(Pipeline_Calc!$H$2:$H$5251,Pipeline_Sort!$C100))</f>
        <v/>
      </c>
      <c r="H100" s="0" t="str">
        <f aca="false">IF(Pipeline_Sort!$C100="","",INDEX(Pipeline_Calc!$I$2:$I$5251,Pipeline_Sort!$C100))</f>
        <v/>
      </c>
      <c r="I100" s="0" t="str">
        <f aca="false">IF(Pipeline_Sort!$C100="","",INDEX(Pipeline_Calc!$J$2:$J$5251,Pipeline_Sort!$C100))</f>
        <v>touch_1; brand-discovery-A; warm-intro</v>
      </c>
    </row>
    <row r="101" customFormat="false" ht="15" hidden="false" customHeight="false" outlineLevel="0" collapsed="false">
      <c r="A101" s="33" t="n">
        <f aca="false">IF(Pipeline_Sort!$C101="","",INDEX(Pipeline_Calc!$B$2:$B$5251,Pipeline_Sort!$C101))</f>
        <v>46331</v>
      </c>
      <c r="B101" s="0" t="str">
        <f aca="false">IF(Pipeline_Sort!$C101="","",INDEX(Pipeline_Calc!$C$2:$C$5251,Pipeline_Sort!$C101))</f>
        <v>brand</v>
      </c>
      <c r="C101" s="0" t="str">
        <f aca="false">IF(Pipeline_Sort!$C101="","",INDEX(Pipeline_Calc!$D$2:$D$5251,Pipeline_Sort!$C101))</f>
        <v>SAMPLE-B-028</v>
      </c>
      <c r="D101" s="0" t="str">
        <f aca="false">IF(Pipeline_Sort!$C101="","",INDEX(Pipeline_Calc!$E$2:$E$5251,Pipeline_Sort!$C101))</f>
        <v>SAMPLE Brand 28</v>
      </c>
      <c r="E101" s="0" t="str">
        <f aca="false">IF(Pipeline_Sort!$C101="","",INDEX(Pipeline_Calc!$F$2:$F$5251,Pipeline_Sort!$C101))</f>
        <v>outreach_sent</v>
      </c>
      <c r="F101" s="0" t="str">
        <f aca="false">IF(Pipeline_Sort!$C101="","",INDEX(Pipeline_Calc!$G$2:$G$5251,Pipeline_Sort!$C101))</f>
        <v/>
      </c>
      <c r="G101" s="0" t="str">
        <f aca="false">IF(Pipeline_Sort!$C101="","",INDEX(Pipeline_Calc!$H$2:$H$5251,Pipeline_Sort!$C101))</f>
        <v/>
      </c>
      <c r="H101" s="0" t="str">
        <f aca="false">IF(Pipeline_Sort!$C101="","",INDEX(Pipeline_Calc!$I$2:$I$5251,Pipeline_Sort!$C101))</f>
        <v/>
      </c>
      <c r="I101" s="0" t="str">
        <f aca="false">IF(Pipeline_Sort!$C101="","",INDEX(Pipeline_Calc!$J$2:$J$5251,Pipeline_Sort!$C101))</f>
        <v>touch_1; brand-discovery-B; linkedin</v>
      </c>
    </row>
    <row r="102" customFormat="false" ht="15" hidden="false" customHeight="false" outlineLevel="0" collapsed="false">
      <c r="A102" s="33" t="n">
        <f aca="false">IF(Pipeline_Sort!$C102="","",INDEX(Pipeline_Calc!$B$2:$B$5251,Pipeline_Sort!$C102))</f>
        <v>46331</v>
      </c>
      <c r="B102" s="0" t="str">
        <f aca="false">IF(Pipeline_Sort!$C102="","",INDEX(Pipeline_Calc!$C$2:$C$5251,Pipeline_Sort!$C102))</f>
        <v>brand</v>
      </c>
      <c r="C102" s="0" t="str">
        <f aca="false">IF(Pipeline_Sort!$C102="","",INDEX(Pipeline_Calc!$D$2:$D$5251,Pipeline_Sort!$C102))</f>
        <v>SAMPLE-B-027</v>
      </c>
      <c r="D102" s="0" t="str">
        <f aca="false">IF(Pipeline_Sort!$C102="","",INDEX(Pipeline_Calc!$E$2:$E$5251,Pipeline_Sort!$C102))</f>
        <v>SAMPLE Brand 27</v>
      </c>
      <c r="E102" s="0" t="str">
        <f aca="false">IF(Pipeline_Sort!$C102="","",INDEX(Pipeline_Calc!$F$2:$F$5251,Pipeline_Sort!$C102))</f>
        <v>outreach_sent</v>
      </c>
      <c r="F102" s="0" t="str">
        <f aca="false">IF(Pipeline_Sort!$C102="","",INDEX(Pipeline_Calc!$G$2:$G$5251,Pipeline_Sort!$C102))</f>
        <v/>
      </c>
      <c r="G102" s="0" t="str">
        <f aca="false">IF(Pipeline_Sort!$C102="","",INDEX(Pipeline_Calc!$H$2:$H$5251,Pipeline_Sort!$C102))</f>
        <v/>
      </c>
      <c r="H102" s="0" t="str">
        <f aca="false">IF(Pipeline_Sort!$C102="","",INDEX(Pipeline_Calc!$I$2:$I$5251,Pipeline_Sort!$C102))</f>
        <v/>
      </c>
      <c r="I102" s="0" t="str">
        <f aca="false">IF(Pipeline_Sort!$C102="","",INDEX(Pipeline_Calc!$J$2:$J$5251,Pipeline_Sort!$C102))</f>
        <v>touch_2; brand-discovery-A; linkedin</v>
      </c>
    </row>
    <row r="103" customFormat="false" ht="15" hidden="false" customHeight="false" outlineLevel="0" collapsed="false">
      <c r="A103" s="33" t="n">
        <f aca="false">IF(Pipeline_Sort!$C103="","",INDEX(Pipeline_Calc!$B$2:$B$5251,Pipeline_Sort!$C103))</f>
        <v>46332</v>
      </c>
      <c r="B103" s="0" t="str">
        <f aca="false">IF(Pipeline_Sort!$C103="","",INDEX(Pipeline_Calc!$C$2:$C$5251,Pipeline_Sort!$C103))</f>
        <v>office</v>
      </c>
      <c r="C103" s="0" t="str">
        <f aca="false">IF(Pipeline_Sort!$C103="","",INDEX(Pipeline_Calc!$D$2:$D$5251,Pipeline_Sort!$C103))</f>
        <v>SAMPLE-O-001</v>
      </c>
      <c r="D103" s="0" t="str">
        <f aca="false">IF(Pipeline_Sort!$C103="","",INDEX(Pipeline_Calc!$E$2:$E$5251,Pipeline_Sort!$C103))</f>
        <v>SAMPLE Office 01</v>
      </c>
      <c r="E103" s="0" t="str">
        <f aca="false">IF(Pipeline_Sort!$C103="","",INDEX(Pipeline_Calc!$F$2:$F$5251,Pipeline_Sort!$C103))</f>
        <v>conversation</v>
      </c>
      <c r="F103" s="0" t="str">
        <f aca="false">IF(Pipeline_Sort!$C103="","",INDEX(Pipeline_Calc!$G$2:$G$5251,Pipeline_Sort!$C103))</f>
        <v/>
      </c>
      <c r="G103" s="0" t="str">
        <f aca="false">IF(Pipeline_Sort!$C103="","",INDEX(Pipeline_Calc!$H$2:$H$5251,Pipeline_Sort!$C103))</f>
        <v/>
      </c>
      <c r="H103" s="0" t="str">
        <f aca="false">IF(Pipeline_Sort!$C103="","",INDEX(Pipeline_Calc!$I$2:$I$5251,Pipeline_Sort!$C103))</f>
        <v/>
      </c>
      <c r="I103" s="0" t="str">
        <f aca="false">IF(Pipeline_Sort!$C103="","",INDEX(Pipeline_Calc!$J$2:$J$5251,Pipeline_Sort!$C103))</f>
        <v>phone</v>
      </c>
    </row>
    <row r="104" customFormat="false" ht="15" hidden="false" customHeight="false" outlineLevel="0" collapsed="false">
      <c r="A104" s="33" t="n">
        <f aca="false">IF(Pipeline_Sort!$C104="","",INDEX(Pipeline_Calc!$B$2:$B$5251,Pipeline_Sort!$C104))</f>
        <v>46332</v>
      </c>
      <c r="B104" s="0" t="str">
        <f aca="false">IF(Pipeline_Sort!$C104="","",INDEX(Pipeline_Calc!$C$2:$C$5251,Pipeline_Sort!$C104))</f>
        <v>office</v>
      </c>
      <c r="C104" s="0" t="str">
        <f aca="false">IF(Pipeline_Sort!$C104="","",INDEX(Pipeline_Calc!$D$2:$D$5251,Pipeline_Sort!$C104))</f>
        <v>SAMPLE-O-001</v>
      </c>
      <c r="D104" s="0" t="str">
        <f aca="false">IF(Pipeline_Sort!$C104="","",INDEX(Pipeline_Calc!$E$2:$E$5251,Pipeline_Sort!$C104))</f>
        <v>SAMPLE Office 01</v>
      </c>
      <c r="E104" s="0" t="str">
        <f aca="false">IF(Pipeline_Sort!$C104="","",INDEX(Pipeline_Calc!$F$2:$F$5251,Pipeline_Sort!$C104))</f>
        <v>yes_in_principle</v>
      </c>
      <c r="F104" s="0" t="str">
        <f aca="false">IF(Pipeline_Sort!$C104="","",INDEX(Pipeline_Calc!$G$2:$G$5251,Pipeline_Sort!$C104))</f>
        <v/>
      </c>
      <c r="G104" s="0" t="str">
        <f aca="false">IF(Pipeline_Sort!$C104="","",INDEX(Pipeline_Calc!$H$2:$H$5251,Pipeline_Sort!$C104))</f>
        <v/>
      </c>
      <c r="H104" s="0" t="str">
        <f aca="false">IF(Pipeline_Sort!$C104="","",INDEX(Pipeline_Calc!$I$2:$I$5251,Pipeline_Sort!$C104))</f>
        <v/>
      </c>
      <c r="I104" s="0" t="str">
        <f aca="false">IF(Pipeline_Sort!$C104="","",INDEX(Pipeline_Calc!$J$2:$J$5251,Pipeline_Sort!$C104))</f>
        <v>owner: Office Manager; window: SAMPLE Tue-Wed 9-11am</v>
      </c>
    </row>
    <row r="105" customFormat="false" ht="15" hidden="false" customHeight="false" outlineLevel="0" collapsed="false">
      <c r="A105" s="33" t="n">
        <f aca="false">IF(Pipeline_Sort!$C105="","",INDEX(Pipeline_Calc!$B$2:$B$5251,Pipeline_Sort!$C105))</f>
        <v>46332</v>
      </c>
      <c r="B105" s="0" t="str">
        <f aca="false">IF(Pipeline_Sort!$C105="","",INDEX(Pipeline_Calc!$C$2:$C$5251,Pipeline_Sort!$C105))</f>
        <v>office</v>
      </c>
      <c r="C105" s="0" t="str">
        <f aca="false">IF(Pipeline_Sort!$C105="","",INDEX(Pipeline_Calc!$D$2:$D$5251,Pipeline_Sort!$C105))</f>
        <v>SAMPLE-O-001</v>
      </c>
      <c r="D105" s="0" t="str">
        <f aca="false">IF(Pipeline_Sort!$C105="","",INDEX(Pipeline_Calc!$E$2:$E$5251,Pipeline_Sort!$C105))</f>
        <v>SAMPLE Office 01</v>
      </c>
      <c r="E105" s="0" t="str">
        <f aca="false">IF(Pipeline_Sort!$C105="","",INDEX(Pipeline_Calc!$F$2:$F$5251,Pipeline_Sort!$C105))</f>
        <v>budget_probe</v>
      </c>
      <c r="F105" s="32" t="n">
        <f aca="false">IF(Pipeline_Sort!$C105="","",INDEX(Pipeline_Calc!$G$2:$G$5251,Pipeline_Sort!$C105))</f>
        <v>150</v>
      </c>
      <c r="G105" s="0" t="str">
        <f aca="false">IF(Pipeline_Sort!$C105="","",INDEX(Pipeline_Calc!$H$2:$H$5251,Pipeline_Sort!$C105))</f>
        <v>SAMPLE: $150 a month</v>
      </c>
      <c r="H105" s="0" t="str">
        <f aca="false">IF(Pipeline_Sort!$C105="","",INDEX(Pipeline_Calc!$I$2:$I$5251,Pipeline_Sort!$C105))</f>
        <v/>
      </c>
      <c r="I105" s="0" t="str">
        <f aca="false">IF(Pipeline_Sort!$C105="","",INDEX(Pipeline_Calc!$J$2:$J$5251,Pipeline_Sort!$C105))</f>
        <v/>
      </c>
    </row>
    <row r="106" customFormat="false" ht="15" hidden="false" customHeight="false" outlineLevel="0" collapsed="false">
      <c r="A106" s="33" t="n">
        <f aca="false">IF(Pipeline_Sort!$C106="","",INDEX(Pipeline_Calc!$B$2:$B$5251,Pipeline_Sort!$C106))</f>
        <v>46332</v>
      </c>
      <c r="B106" s="0" t="str">
        <f aca="false">IF(Pipeline_Sort!$C106="","",INDEX(Pipeline_Calc!$C$2:$C$5251,Pipeline_Sort!$C106))</f>
        <v>office</v>
      </c>
      <c r="C106" s="0" t="str">
        <f aca="false">IF(Pipeline_Sort!$C106="","",INDEX(Pipeline_Calc!$D$2:$D$5251,Pipeline_Sort!$C106))</f>
        <v>SAMPLE-O-013</v>
      </c>
      <c r="D106" s="0" t="str">
        <f aca="false">IF(Pipeline_Sort!$C106="","",INDEX(Pipeline_Calc!$E$2:$E$5251,Pipeline_Sort!$C106))</f>
        <v>SAMPLE Office 13</v>
      </c>
      <c r="E106" s="0" t="str">
        <f aca="false">IF(Pipeline_Sort!$C106="","",INDEX(Pipeline_Calc!$F$2:$F$5251,Pipeline_Sort!$C106))</f>
        <v>outreach_sent</v>
      </c>
      <c r="F106" s="0" t="str">
        <f aca="false">IF(Pipeline_Sort!$C106="","",INDEX(Pipeline_Calc!$G$2:$G$5251,Pipeline_Sort!$C106))</f>
        <v/>
      </c>
      <c r="G106" s="0" t="str">
        <f aca="false">IF(Pipeline_Sort!$C106="","",INDEX(Pipeline_Calc!$H$2:$H$5251,Pipeline_Sort!$C106))</f>
        <v/>
      </c>
      <c r="H106" s="0" t="str">
        <f aca="false">IF(Pipeline_Sort!$C106="","",INDEX(Pipeline_Calc!$I$2:$I$5251,Pipeline_Sort!$C106))</f>
        <v/>
      </c>
      <c r="I106" s="0" t="str">
        <f aca="false">IF(Pipeline_Sort!$C106="","",INDEX(Pipeline_Calc!$J$2:$J$5251,Pipeline_Sort!$C106))</f>
        <v>touch_1; office-discovery-A; walk-in</v>
      </c>
    </row>
    <row r="107" customFormat="false" ht="15" hidden="false" customHeight="false" outlineLevel="0" collapsed="false">
      <c r="A107" s="33" t="n">
        <f aca="false">IF(Pipeline_Sort!$C107="","",INDEX(Pipeline_Calc!$B$2:$B$5251,Pipeline_Sort!$C107))</f>
        <v>46332</v>
      </c>
      <c r="B107" s="0" t="str">
        <f aca="false">IF(Pipeline_Sort!$C107="","",INDEX(Pipeline_Calc!$C$2:$C$5251,Pipeline_Sort!$C107))</f>
        <v>office</v>
      </c>
      <c r="C107" s="0" t="str">
        <f aca="false">IF(Pipeline_Sort!$C107="","",INDEX(Pipeline_Calc!$D$2:$D$5251,Pipeline_Sort!$C107))</f>
        <v>SAMPLE-O-022</v>
      </c>
      <c r="D107" s="0" t="str">
        <f aca="false">IF(Pipeline_Sort!$C107="","",INDEX(Pipeline_Calc!$E$2:$E$5251,Pipeline_Sort!$C107))</f>
        <v>SAMPLE Office 22</v>
      </c>
      <c r="E107" s="0" t="str">
        <f aca="false">IF(Pipeline_Sort!$C107="","",INDEX(Pipeline_Calc!$F$2:$F$5251,Pipeline_Sort!$C107))</f>
        <v>outreach_sent</v>
      </c>
      <c r="F107" s="0" t="str">
        <f aca="false">IF(Pipeline_Sort!$C107="","",INDEX(Pipeline_Calc!$G$2:$G$5251,Pipeline_Sort!$C107))</f>
        <v/>
      </c>
      <c r="G107" s="0" t="str">
        <f aca="false">IF(Pipeline_Sort!$C107="","",INDEX(Pipeline_Calc!$H$2:$H$5251,Pipeline_Sort!$C107))</f>
        <v/>
      </c>
      <c r="H107" s="0" t="str">
        <f aca="false">IF(Pipeline_Sort!$C107="","",INDEX(Pipeline_Calc!$I$2:$I$5251,Pipeline_Sort!$C107))</f>
        <v/>
      </c>
      <c r="I107" s="0" t="str">
        <f aca="false">IF(Pipeline_Sort!$C107="","",INDEX(Pipeline_Calc!$J$2:$J$5251,Pipeline_Sort!$C107))</f>
        <v>touch_1; office-discovery-B; linkedin</v>
      </c>
    </row>
    <row r="108" customFormat="false" ht="15" hidden="false" customHeight="false" outlineLevel="0" collapsed="false">
      <c r="A108" s="33" t="n">
        <f aca="false">IF(Pipeline_Sort!$C108="","",INDEX(Pipeline_Calc!$B$2:$B$5251,Pipeline_Sort!$C108))</f>
        <v>46332</v>
      </c>
      <c r="B108" s="0" t="str">
        <f aca="false">IF(Pipeline_Sort!$C108="","",INDEX(Pipeline_Calc!$C$2:$C$5251,Pipeline_Sort!$C108))</f>
        <v>office</v>
      </c>
      <c r="C108" s="0" t="str">
        <f aca="false">IF(Pipeline_Sort!$C108="","",INDEX(Pipeline_Calc!$D$2:$D$5251,Pipeline_Sort!$C108))</f>
        <v>SAMPLE-O-021</v>
      </c>
      <c r="D108" s="0" t="str">
        <f aca="false">IF(Pipeline_Sort!$C108="","",INDEX(Pipeline_Calc!$E$2:$E$5251,Pipeline_Sort!$C108))</f>
        <v>SAMPLE Office 21</v>
      </c>
      <c r="E108" s="0" t="str">
        <f aca="false">IF(Pipeline_Sort!$C108="","",INDEX(Pipeline_Calc!$F$2:$F$5251,Pipeline_Sort!$C108))</f>
        <v>outreach_sent</v>
      </c>
      <c r="F108" s="0" t="str">
        <f aca="false">IF(Pipeline_Sort!$C108="","",INDEX(Pipeline_Calc!$G$2:$G$5251,Pipeline_Sort!$C108))</f>
        <v/>
      </c>
      <c r="G108" s="0" t="str">
        <f aca="false">IF(Pipeline_Sort!$C108="","",INDEX(Pipeline_Calc!$H$2:$H$5251,Pipeline_Sort!$C108))</f>
        <v/>
      </c>
      <c r="H108" s="0" t="str">
        <f aca="false">IF(Pipeline_Sort!$C108="","",INDEX(Pipeline_Calc!$I$2:$I$5251,Pipeline_Sort!$C108))</f>
        <v/>
      </c>
      <c r="I108" s="0" t="str">
        <f aca="false">IF(Pipeline_Sort!$C108="","",INDEX(Pipeline_Calc!$J$2:$J$5251,Pipeline_Sort!$C108))</f>
        <v>touch_2; office-discovery-A; linkedin</v>
      </c>
    </row>
    <row r="109" customFormat="false" ht="15" hidden="false" customHeight="false" outlineLevel="0" collapsed="false">
      <c r="A109" s="33" t="n">
        <f aca="false">IF(Pipeline_Sort!$C109="","",INDEX(Pipeline_Calc!$B$2:$B$5251,Pipeline_Sort!$C109))</f>
        <v>46332</v>
      </c>
      <c r="B109" s="0" t="str">
        <f aca="false">IF(Pipeline_Sort!$C109="","",INDEX(Pipeline_Calc!$C$2:$C$5251,Pipeline_Sort!$C109))</f>
        <v>brand</v>
      </c>
      <c r="C109" s="0" t="str">
        <f aca="false">IF(Pipeline_Sort!$C109="","",INDEX(Pipeline_Calc!$D$2:$D$5251,Pipeline_Sort!$C109))</f>
        <v>SAMPLE-B-012</v>
      </c>
      <c r="D109" s="0" t="str">
        <f aca="false">IF(Pipeline_Sort!$C109="","",INDEX(Pipeline_Calc!$E$2:$E$5251,Pipeline_Sort!$C109))</f>
        <v>SAMPLE Brand 12</v>
      </c>
      <c r="E109" s="0" t="str">
        <f aca="false">IF(Pipeline_Sort!$C109="","",INDEX(Pipeline_Calc!$F$2:$F$5251,Pipeline_Sort!$C109))</f>
        <v>outreach_sent</v>
      </c>
      <c r="F109" s="0" t="str">
        <f aca="false">IF(Pipeline_Sort!$C109="","",INDEX(Pipeline_Calc!$G$2:$G$5251,Pipeline_Sort!$C109))</f>
        <v/>
      </c>
      <c r="G109" s="0" t="str">
        <f aca="false">IF(Pipeline_Sort!$C109="","",INDEX(Pipeline_Calc!$H$2:$H$5251,Pipeline_Sort!$C109))</f>
        <v/>
      </c>
      <c r="H109" s="0" t="str">
        <f aca="false">IF(Pipeline_Sort!$C109="","",INDEX(Pipeline_Calc!$I$2:$I$5251,Pipeline_Sort!$C109))</f>
        <v/>
      </c>
      <c r="I109" s="0" t="str">
        <f aca="false">IF(Pipeline_Sort!$C109="","",INDEX(Pipeline_Calc!$J$2:$J$5251,Pipeline_Sort!$C109))</f>
        <v>touch_1; brand-discovery-B; linkedin</v>
      </c>
    </row>
    <row r="110" customFormat="false" ht="15" hidden="false" customHeight="false" outlineLevel="0" collapsed="false">
      <c r="A110" s="33" t="n">
        <f aca="false">IF(Pipeline_Sort!$C110="","",INDEX(Pipeline_Calc!$B$2:$B$5251,Pipeline_Sort!$C110))</f>
        <v>46332</v>
      </c>
      <c r="B110" s="0" t="str">
        <f aca="false">IF(Pipeline_Sort!$C110="","",INDEX(Pipeline_Calc!$C$2:$C$5251,Pipeline_Sort!$C110))</f>
        <v>brand</v>
      </c>
      <c r="C110" s="0" t="str">
        <f aca="false">IF(Pipeline_Sort!$C110="","",INDEX(Pipeline_Calc!$D$2:$D$5251,Pipeline_Sort!$C110))</f>
        <v>SAMPLE-B-013</v>
      </c>
      <c r="D110" s="0" t="str">
        <f aca="false">IF(Pipeline_Sort!$C110="","",INDEX(Pipeline_Calc!$E$2:$E$5251,Pipeline_Sort!$C110))</f>
        <v>SAMPLE Brand 13</v>
      </c>
      <c r="E110" s="0" t="str">
        <f aca="false">IF(Pipeline_Sort!$C110="","",INDEX(Pipeline_Calc!$F$2:$F$5251,Pipeline_Sort!$C110))</f>
        <v>outreach_sent</v>
      </c>
      <c r="F110" s="0" t="str">
        <f aca="false">IF(Pipeline_Sort!$C110="","",INDEX(Pipeline_Calc!$G$2:$G$5251,Pipeline_Sort!$C110))</f>
        <v/>
      </c>
      <c r="G110" s="0" t="str">
        <f aca="false">IF(Pipeline_Sort!$C110="","",INDEX(Pipeline_Calc!$H$2:$H$5251,Pipeline_Sort!$C110))</f>
        <v/>
      </c>
      <c r="H110" s="0" t="str">
        <f aca="false">IF(Pipeline_Sort!$C110="","",INDEX(Pipeline_Calc!$I$2:$I$5251,Pipeline_Sort!$C110))</f>
        <v/>
      </c>
      <c r="I110" s="0" t="str">
        <f aca="false">IF(Pipeline_Sort!$C110="","",INDEX(Pipeline_Calc!$J$2:$J$5251,Pipeline_Sort!$C110))</f>
        <v>touch_1; brand-discovery-A; warm-intro</v>
      </c>
    </row>
    <row r="111" customFormat="false" ht="15" hidden="false" customHeight="false" outlineLevel="0" collapsed="false">
      <c r="A111" s="33" t="n">
        <f aca="false">IF(Pipeline_Sort!$C111="","",INDEX(Pipeline_Calc!$B$2:$B$5251,Pipeline_Sort!$C111))</f>
        <v>46332</v>
      </c>
      <c r="B111" s="0" t="str">
        <f aca="false">IF(Pipeline_Sort!$C111="","",INDEX(Pipeline_Calc!$C$2:$C$5251,Pipeline_Sort!$C111))</f>
        <v>brand</v>
      </c>
      <c r="C111" s="0" t="str">
        <f aca="false">IF(Pipeline_Sort!$C111="","",INDEX(Pipeline_Calc!$D$2:$D$5251,Pipeline_Sort!$C111))</f>
        <v>SAMPLE-B-022</v>
      </c>
      <c r="D111" s="0" t="str">
        <f aca="false">IF(Pipeline_Sort!$C111="","",INDEX(Pipeline_Calc!$E$2:$E$5251,Pipeline_Sort!$C111))</f>
        <v>SAMPLE Brand 22</v>
      </c>
      <c r="E111" s="0" t="str">
        <f aca="false">IF(Pipeline_Sort!$C111="","",INDEX(Pipeline_Calc!$F$2:$F$5251,Pipeline_Sort!$C111))</f>
        <v>outreach_sent</v>
      </c>
      <c r="F111" s="0" t="str">
        <f aca="false">IF(Pipeline_Sort!$C111="","",INDEX(Pipeline_Calc!$G$2:$G$5251,Pipeline_Sort!$C111))</f>
        <v/>
      </c>
      <c r="G111" s="0" t="str">
        <f aca="false">IF(Pipeline_Sort!$C111="","",INDEX(Pipeline_Calc!$H$2:$H$5251,Pipeline_Sort!$C111))</f>
        <v/>
      </c>
      <c r="H111" s="0" t="str">
        <f aca="false">IF(Pipeline_Sort!$C111="","",INDEX(Pipeline_Calc!$I$2:$I$5251,Pipeline_Sort!$C111))</f>
        <v/>
      </c>
      <c r="I111" s="0" t="str">
        <f aca="false">IF(Pipeline_Sort!$C111="","",INDEX(Pipeline_Calc!$J$2:$J$5251,Pipeline_Sort!$C111))</f>
        <v>touch_1; brand-discovery-B; linkedin</v>
      </c>
    </row>
    <row r="112" customFormat="false" ht="15" hidden="false" customHeight="false" outlineLevel="0" collapsed="false">
      <c r="A112" s="33" t="n">
        <f aca="false">IF(Pipeline_Sort!$C112="","",INDEX(Pipeline_Calc!$B$2:$B$5251,Pipeline_Sort!$C112))</f>
        <v>46332</v>
      </c>
      <c r="B112" s="0" t="str">
        <f aca="false">IF(Pipeline_Sort!$C112="","",INDEX(Pipeline_Calc!$C$2:$C$5251,Pipeline_Sort!$C112))</f>
        <v>brand</v>
      </c>
      <c r="C112" s="0" t="str">
        <f aca="false">IF(Pipeline_Sort!$C112="","",INDEX(Pipeline_Calc!$D$2:$D$5251,Pipeline_Sort!$C112))</f>
        <v>SAMPLE-B-021</v>
      </c>
      <c r="D112" s="0" t="str">
        <f aca="false">IF(Pipeline_Sort!$C112="","",INDEX(Pipeline_Calc!$E$2:$E$5251,Pipeline_Sort!$C112))</f>
        <v>SAMPLE Brand 21</v>
      </c>
      <c r="E112" s="0" t="str">
        <f aca="false">IF(Pipeline_Sort!$C112="","",INDEX(Pipeline_Calc!$F$2:$F$5251,Pipeline_Sort!$C112))</f>
        <v>outreach_sent</v>
      </c>
      <c r="F112" s="0" t="str">
        <f aca="false">IF(Pipeline_Sort!$C112="","",INDEX(Pipeline_Calc!$G$2:$G$5251,Pipeline_Sort!$C112))</f>
        <v/>
      </c>
      <c r="G112" s="0" t="str">
        <f aca="false">IF(Pipeline_Sort!$C112="","",INDEX(Pipeline_Calc!$H$2:$H$5251,Pipeline_Sort!$C112))</f>
        <v/>
      </c>
      <c r="H112" s="0" t="str">
        <f aca="false">IF(Pipeline_Sort!$C112="","",INDEX(Pipeline_Calc!$I$2:$I$5251,Pipeline_Sort!$C112))</f>
        <v/>
      </c>
      <c r="I112" s="0" t="str">
        <f aca="false">IF(Pipeline_Sort!$C112="","",INDEX(Pipeline_Calc!$J$2:$J$5251,Pipeline_Sort!$C112))</f>
        <v>touch_2; brand-discovery-A; linkedin</v>
      </c>
    </row>
    <row r="113" customFormat="false" ht="15" hidden="false" customHeight="false" outlineLevel="0" collapsed="false">
      <c r="A113" s="33" t="n">
        <f aca="false">IF(Pipeline_Sort!$C113="","",INDEX(Pipeline_Calc!$B$2:$B$5251,Pipeline_Sort!$C113))</f>
        <v>46335</v>
      </c>
      <c r="B113" s="0" t="str">
        <f aca="false">IF(Pipeline_Sort!$C113="","",INDEX(Pipeline_Calc!$C$2:$C$5251,Pipeline_Sort!$C113))</f>
        <v>office</v>
      </c>
      <c r="C113" s="0" t="str">
        <f aca="false">IF(Pipeline_Sort!$C113="","",INDEX(Pipeline_Calc!$D$2:$D$5251,Pipeline_Sort!$C113))</f>
        <v>SAMPLE-O-008</v>
      </c>
      <c r="D113" s="0" t="str">
        <f aca="false">IF(Pipeline_Sort!$C113="","",INDEX(Pipeline_Calc!$E$2:$E$5251,Pipeline_Sort!$C113))</f>
        <v>SAMPLE Office 08</v>
      </c>
      <c r="E113" s="0" t="str">
        <f aca="false">IF(Pipeline_Sort!$C113="","",INDEX(Pipeline_Calc!$F$2:$F$5251,Pipeline_Sort!$C113))</f>
        <v>conversation</v>
      </c>
      <c r="F113" s="0" t="str">
        <f aca="false">IF(Pipeline_Sort!$C113="","",INDEX(Pipeline_Calc!$G$2:$G$5251,Pipeline_Sort!$C113))</f>
        <v/>
      </c>
      <c r="G113" s="0" t="str">
        <f aca="false">IF(Pipeline_Sort!$C113="","",INDEX(Pipeline_Calc!$H$2:$H$5251,Pipeline_Sort!$C113))</f>
        <v/>
      </c>
      <c r="H113" s="0" t="str">
        <f aca="false">IF(Pipeline_Sort!$C113="","",INDEX(Pipeline_Calc!$I$2:$I$5251,Pipeline_Sort!$C113))</f>
        <v/>
      </c>
      <c r="I113" s="0" t="str">
        <f aca="false">IF(Pipeline_Sort!$C113="","",INDEX(Pipeline_Calc!$J$2:$J$5251,Pipeline_Sort!$C113))</f>
        <v>phone</v>
      </c>
    </row>
    <row r="114" customFormat="false" ht="15" hidden="false" customHeight="false" outlineLevel="0" collapsed="false">
      <c r="A114" s="33" t="n">
        <f aca="false">IF(Pipeline_Sort!$C114="","",INDEX(Pipeline_Calc!$B$2:$B$5251,Pipeline_Sort!$C114))</f>
        <v>46335</v>
      </c>
      <c r="B114" s="0" t="str">
        <f aca="false">IF(Pipeline_Sort!$C114="","",INDEX(Pipeline_Calc!$C$2:$C$5251,Pipeline_Sort!$C114))</f>
        <v>office</v>
      </c>
      <c r="C114" s="0" t="str">
        <f aca="false">IF(Pipeline_Sort!$C114="","",INDEX(Pipeline_Calc!$D$2:$D$5251,Pipeline_Sort!$C114))</f>
        <v>SAMPLE-O-008</v>
      </c>
      <c r="D114" s="0" t="str">
        <f aca="false">IF(Pipeline_Sort!$C114="","",INDEX(Pipeline_Calc!$E$2:$E$5251,Pipeline_Sort!$C114))</f>
        <v>SAMPLE Office 08</v>
      </c>
      <c r="E114" s="0" t="str">
        <f aca="false">IF(Pipeline_Sort!$C114="","",INDEX(Pipeline_Calc!$F$2:$F$5251,Pipeline_Sort!$C114))</f>
        <v>yes_in_principle</v>
      </c>
      <c r="F114" s="0" t="str">
        <f aca="false">IF(Pipeline_Sort!$C114="","",INDEX(Pipeline_Calc!$G$2:$G$5251,Pipeline_Sort!$C114))</f>
        <v/>
      </c>
      <c r="G114" s="0" t="str">
        <f aca="false">IF(Pipeline_Sort!$C114="","",INDEX(Pipeline_Calc!$H$2:$H$5251,Pipeline_Sort!$C114))</f>
        <v/>
      </c>
      <c r="H114" s="0" t="str">
        <f aca="false">IF(Pipeline_Sort!$C114="","",INDEX(Pipeline_Calc!$I$2:$I$5251,Pipeline_Sort!$C114))</f>
        <v/>
      </c>
      <c r="I114" s="0" t="str">
        <f aca="false">IF(Pipeline_Sort!$C114="","",INDEX(Pipeline_Calc!$J$2:$J$5251,Pipeline_Sort!$C114))</f>
        <v>owner: Office Manager; window: SAMPLE Wed 9-12</v>
      </c>
    </row>
    <row r="115" customFormat="false" ht="15" hidden="false" customHeight="false" outlineLevel="0" collapsed="false">
      <c r="A115" s="33" t="n">
        <f aca="false">IF(Pipeline_Sort!$C115="","",INDEX(Pipeline_Calc!$B$2:$B$5251,Pipeline_Sort!$C115))</f>
        <v>46335</v>
      </c>
      <c r="B115" s="0" t="str">
        <f aca="false">IF(Pipeline_Sort!$C115="","",INDEX(Pipeline_Calc!$C$2:$C$5251,Pipeline_Sort!$C115))</f>
        <v>office</v>
      </c>
      <c r="C115" s="0" t="str">
        <f aca="false">IF(Pipeline_Sort!$C115="","",INDEX(Pipeline_Calc!$D$2:$D$5251,Pipeline_Sort!$C115))</f>
        <v>SAMPLE-O-008</v>
      </c>
      <c r="D115" s="0" t="str">
        <f aca="false">IF(Pipeline_Sort!$C115="","",INDEX(Pipeline_Calc!$E$2:$E$5251,Pipeline_Sort!$C115))</f>
        <v>SAMPLE Office 08</v>
      </c>
      <c r="E115" s="0" t="str">
        <f aca="false">IF(Pipeline_Sort!$C115="","",INDEX(Pipeline_Calc!$F$2:$F$5251,Pipeline_Sort!$C115))</f>
        <v>budget_probe</v>
      </c>
      <c r="F115" s="32" t="n">
        <f aca="false">IF(Pipeline_Sort!$C115="","",INDEX(Pipeline_Calc!$G$2:$G$5251,Pipeline_Sort!$C115))</f>
        <v>0</v>
      </c>
      <c r="G115" s="0" t="str">
        <f aca="false">IF(Pipeline_Sort!$C115="","",INDEX(Pipeline_Calc!$H$2:$H$5251,Pipeline_Sort!$C115))</f>
        <v>SAMPLE: we would not pay</v>
      </c>
      <c r="H115" s="0" t="str">
        <f aca="false">IF(Pipeline_Sort!$C115="","",INDEX(Pipeline_Calc!$I$2:$I$5251,Pipeline_Sort!$C115))</f>
        <v/>
      </c>
      <c r="I115" s="0" t="str">
        <f aca="false">IF(Pipeline_Sort!$C115="","",INDEX(Pipeline_Calc!$J$2:$J$5251,Pipeline_Sort!$C115))</f>
        <v/>
      </c>
    </row>
    <row r="116" customFormat="false" ht="15" hidden="false" customHeight="false" outlineLevel="0" collapsed="false">
      <c r="A116" s="33" t="n">
        <f aca="false">IF(Pipeline_Sort!$C116="","",INDEX(Pipeline_Calc!$B$2:$B$5251,Pipeline_Sort!$C116))</f>
        <v>46335</v>
      </c>
      <c r="B116" s="0" t="str">
        <f aca="false">IF(Pipeline_Sort!$C116="","",INDEX(Pipeline_Calc!$C$2:$C$5251,Pipeline_Sort!$C116))</f>
        <v>brand</v>
      </c>
      <c r="C116" s="0" t="str">
        <f aca="false">IF(Pipeline_Sort!$C116="","",INDEX(Pipeline_Calc!$D$2:$D$5251,Pipeline_Sort!$C116))</f>
        <v>SAMPLE-B-008</v>
      </c>
      <c r="D116" s="0" t="str">
        <f aca="false">IF(Pipeline_Sort!$C116="","",INDEX(Pipeline_Calc!$E$2:$E$5251,Pipeline_Sort!$C116))</f>
        <v>SAMPLE Brand 08</v>
      </c>
      <c r="E116" s="0" t="str">
        <f aca="false">IF(Pipeline_Sort!$C116="","",INDEX(Pipeline_Calc!$F$2:$F$5251,Pipeline_Sort!$C116))</f>
        <v>conversation</v>
      </c>
      <c r="F116" s="0" t="str">
        <f aca="false">IF(Pipeline_Sort!$C116="","",INDEX(Pipeline_Calc!$G$2:$G$5251,Pipeline_Sort!$C116))</f>
        <v/>
      </c>
      <c r="G116" s="0" t="str">
        <f aca="false">IF(Pipeline_Sort!$C116="","",INDEX(Pipeline_Calc!$H$2:$H$5251,Pipeline_Sort!$C116))</f>
        <v/>
      </c>
      <c r="H116" s="0" t="str">
        <f aca="false">IF(Pipeline_Sort!$C116="","",INDEX(Pipeline_Calc!$I$2:$I$5251,Pipeline_Sort!$C116))</f>
        <v/>
      </c>
      <c r="I116" s="0" t="str">
        <f aca="false">IF(Pipeline_Sort!$C116="","",INDEX(Pipeline_Calc!$J$2:$J$5251,Pipeline_Sort!$C116))</f>
        <v>video</v>
      </c>
    </row>
    <row r="117" customFormat="false" ht="15" hidden="false" customHeight="false" outlineLevel="0" collapsed="false">
      <c r="A117" s="33" t="n">
        <f aca="false">IF(Pipeline_Sort!$C117="","",INDEX(Pipeline_Calc!$B$2:$B$5251,Pipeline_Sort!$C117))</f>
        <v>46335</v>
      </c>
      <c r="B117" s="0" t="str">
        <f aca="false">IF(Pipeline_Sort!$C117="","",INDEX(Pipeline_Calc!$C$2:$C$5251,Pipeline_Sort!$C117))</f>
        <v>brand</v>
      </c>
      <c r="C117" s="0" t="str">
        <f aca="false">IF(Pipeline_Sort!$C117="","",INDEX(Pipeline_Calc!$D$2:$D$5251,Pipeline_Sort!$C117))</f>
        <v>SAMPLE-B-008</v>
      </c>
      <c r="D117" s="0" t="str">
        <f aca="false">IF(Pipeline_Sort!$C117="","",INDEX(Pipeline_Calc!$E$2:$E$5251,Pipeline_Sort!$C117))</f>
        <v>SAMPLE Brand 08</v>
      </c>
      <c r="E117" s="0" t="str">
        <f aca="false">IF(Pipeline_Sort!$C117="","",INDEX(Pipeline_Calc!$F$2:$F$5251,Pipeline_Sort!$C117))</f>
        <v>yes_in_principle</v>
      </c>
      <c r="F117" s="0" t="str">
        <f aca="false">IF(Pipeline_Sort!$C117="","",INDEX(Pipeline_Calc!$G$2:$G$5251,Pipeline_Sort!$C117))</f>
        <v/>
      </c>
      <c r="G117" s="0" t="str">
        <f aca="false">IF(Pipeline_Sort!$C117="","",INDEX(Pipeline_Calc!$H$2:$H$5251,Pipeline_Sort!$C117))</f>
        <v/>
      </c>
      <c r="H117" s="0" t="str">
        <f aca="false">IF(Pipeline_Sort!$C117="","",INDEX(Pipeline_Calc!$I$2:$I$5251,Pipeline_Sort!$C117))</f>
        <v>Y</v>
      </c>
      <c r="I117" s="0" t="str">
        <f aca="false">IF(Pipeline_Sort!$C117="","",INDEX(Pipeline_Calc!$J$2:$J$5251,Pipeline_Sort!$C117))</f>
        <v/>
      </c>
    </row>
    <row r="118" customFormat="false" ht="15" hidden="false" customHeight="false" outlineLevel="0" collapsed="false">
      <c r="A118" s="33" t="n">
        <f aca="false">IF(Pipeline_Sort!$C118="","",INDEX(Pipeline_Calc!$B$2:$B$5251,Pipeline_Sort!$C118))</f>
        <v>46335</v>
      </c>
      <c r="B118" s="0" t="str">
        <f aca="false">IF(Pipeline_Sort!$C118="","",INDEX(Pipeline_Calc!$C$2:$C$5251,Pipeline_Sort!$C118))</f>
        <v>brand</v>
      </c>
      <c r="C118" s="0" t="str">
        <f aca="false">IF(Pipeline_Sort!$C118="","",INDEX(Pipeline_Calc!$D$2:$D$5251,Pipeline_Sort!$C118))</f>
        <v>SAMPLE-B-008</v>
      </c>
      <c r="D118" s="0" t="str">
        <f aca="false">IF(Pipeline_Sort!$C118="","",INDEX(Pipeline_Calc!$E$2:$E$5251,Pipeline_Sort!$C118))</f>
        <v>SAMPLE Brand 08</v>
      </c>
      <c r="E118" s="0" t="str">
        <f aca="false">IF(Pipeline_Sort!$C118="","",INDEX(Pipeline_Calc!$F$2:$F$5251,Pipeline_Sort!$C118))</f>
        <v>budget_probe</v>
      </c>
      <c r="F118" s="32" t="n">
        <f aca="false">IF(Pipeline_Sort!$C118="","",INDEX(Pipeline_Calc!$G$2:$G$5251,Pipeline_Sort!$C118))</f>
        <v>2000</v>
      </c>
      <c r="G118" s="0" t="str">
        <f aca="false">IF(Pipeline_Sort!$C118="","",INDEX(Pipeline_Calc!$H$2:$H$5251,Pipeline_Sort!$C118))</f>
        <v>SAMPLE: we spend $2,000 a weekend on demos</v>
      </c>
      <c r="H118" s="0" t="str">
        <f aca="false">IF(Pipeline_Sort!$C118="","",INDEX(Pipeline_Calc!$I$2:$I$5251,Pipeline_Sort!$C118))</f>
        <v>Y</v>
      </c>
      <c r="I118" s="0" t="str">
        <f aca="false">IF(Pipeline_Sort!$C118="","",INDEX(Pipeline_Calc!$J$2:$J$5251,Pipeline_Sort!$C118))</f>
        <v/>
      </c>
    </row>
    <row r="119" customFormat="false" ht="15" hidden="false" customHeight="false" outlineLevel="0" collapsed="false">
      <c r="A119" s="33" t="n">
        <f aca="false">IF(Pipeline_Sort!$C119="","",INDEX(Pipeline_Calc!$B$2:$B$5251,Pipeline_Sort!$C119))</f>
        <v>46335</v>
      </c>
      <c r="B119" s="0" t="str">
        <f aca="false">IF(Pipeline_Sort!$C119="","",INDEX(Pipeline_Calc!$C$2:$C$5251,Pipeline_Sort!$C119))</f>
        <v>office</v>
      </c>
      <c r="C119" s="0" t="str">
        <f aca="false">IF(Pipeline_Sort!$C119="","",INDEX(Pipeline_Calc!$D$2:$D$5251,Pipeline_Sort!$C119))</f>
        <v>SAMPLE-O-016</v>
      </c>
      <c r="D119" s="0" t="str">
        <f aca="false">IF(Pipeline_Sort!$C119="","",INDEX(Pipeline_Calc!$E$2:$E$5251,Pipeline_Sort!$C119))</f>
        <v>SAMPLE Office 16</v>
      </c>
      <c r="E119" s="0" t="str">
        <f aca="false">IF(Pipeline_Sort!$C119="","",INDEX(Pipeline_Calc!$F$2:$F$5251,Pipeline_Sort!$C119))</f>
        <v>outreach_sent</v>
      </c>
      <c r="F119" s="0" t="str">
        <f aca="false">IF(Pipeline_Sort!$C119="","",INDEX(Pipeline_Calc!$G$2:$G$5251,Pipeline_Sort!$C119))</f>
        <v/>
      </c>
      <c r="G119" s="0" t="str">
        <f aca="false">IF(Pipeline_Sort!$C119="","",INDEX(Pipeline_Calc!$H$2:$H$5251,Pipeline_Sort!$C119))</f>
        <v/>
      </c>
      <c r="H119" s="0" t="str">
        <f aca="false">IF(Pipeline_Sort!$C119="","",INDEX(Pipeline_Calc!$I$2:$I$5251,Pipeline_Sort!$C119))</f>
        <v/>
      </c>
      <c r="I119" s="0" t="str">
        <f aca="false">IF(Pipeline_Sort!$C119="","",INDEX(Pipeline_Calc!$J$2:$J$5251,Pipeline_Sort!$C119))</f>
        <v>touch_1; office-discovery-B; linkedin</v>
      </c>
    </row>
    <row r="120" customFormat="false" ht="15" hidden="false" customHeight="false" outlineLevel="0" collapsed="false">
      <c r="A120" s="33" t="n">
        <f aca="false">IF(Pipeline_Sort!$C120="","",INDEX(Pipeline_Calc!$B$2:$B$5251,Pipeline_Sort!$C120))</f>
        <v>46335</v>
      </c>
      <c r="B120" s="0" t="str">
        <f aca="false">IF(Pipeline_Sort!$C120="","",INDEX(Pipeline_Calc!$C$2:$C$5251,Pipeline_Sort!$C120))</f>
        <v>office</v>
      </c>
      <c r="C120" s="0" t="str">
        <f aca="false">IF(Pipeline_Sort!$C120="","",INDEX(Pipeline_Calc!$D$2:$D$5251,Pipeline_Sort!$C120))</f>
        <v>SAMPLE-O-035</v>
      </c>
      <c r="D120" s="0" t="str">
        <f aca="false">IF(Pipeline_Sort!$C120="","",INDEX(Pipeline_Calc!$E$2:$E$5251,Pipeline_Sort!$C120))</f>
        <v>SAMPLE Office 35</v>
      </c>
      <c r="E120" s="0" t="str">
        <f aca="false">IF(Pipeline_Sort!$C120="","",INDEX(Pipeline_Calc!$F$2:$F$5251,Pipeline_Sort!$C120))</f>
        <v>outreach_sent</v>
      </c>
      <c r="F120" s="0" t="str">
        <f aca="false">IF(Pipeline_Sort!$C120="","",INDEX(Pipeline_Calc!$G$2:$G$5251,Pipeline_Sort!$C120))</f>
        <v/>
      </c>
      <c r="G120" s="0" t="str">
        <f aca="false">IF(Pipeline_Sort!$C120="","",INDEX(Pipeline_Calc!$H$2:$H$5251,Pipeline_Sort!$C120))</f>
        <v/>
      </c>
      <c r="H120" s="0" t="str">
        <f aca="false">IF(Pipeline_Sort!$C120="","",INDEX(Pipeline_Calc!$I$2:$I$5251,Pipeline_Sort!$C120))</f>
        <v/>
      </c>
      <c r="I120" s="0" t="str">
        <f aca="false">IF(Pipeline_Sort!$C120="","",INDEX(Pipeline_Calc!$J$2:$J$5251,Pipeline_Sort!$C120))</f>
        <v>touch_1; office-discovery-A; email</v>
      </c>
    </row>
    <row r="121" customFormat="false" ht="15" hidden="false" customHeight="false" outlineLevel="0" collapsed="false">
      <c r="A121" s="33" t="n">
        <f aca="false">IF(Pipeline_Sort!$C121="","",INDEX(Pipeline_Calc!$B$2:$B$5251,Pipeline_Sort!$C121))</f>
        <v>46335</v>
      </c>
      <c r="B121" s="0" t="str">
        <f aca="false">IF(Pipeline_Sort!$C121="","",INDEX(Pipeline_Calc!$C$2:$C$5251,Pipeline_Sort!$C121))</f>
        <v>office</v>
      </c>
      <c r="C121" s="0" t="str">
        <f aca="false">IF(Pipeline_Sort!$C121="","",INDEX(Pipeline_Calc!$D$2:$D$5251,Pipeline_Sort!$C121))</f>
        <v>SAMPLE-O-034</v>
      </c>
      <c r="D121" s="0" t="str">
        <f aca="false">IF(Pipeline_Sort!$C121="","",INDEX(Pipeline_Calc!$E$2:$E$5251,Pipeline_Sort!$C121))</f>
        <v>SAMPLE Office 34</v>
      </c>
      <c r="E121" s="0" t="str">
        <f aca="false">IF(Pipeline_Sort!$C121="","",INDEX(Pipeline_Calc!$F$2:$F$5251,Pipeline_Sort!$C121))</f>
        <v>outreach_sent</v>
      </c>
      <c r="F121" s="0" t="str">
        <f aca="false">IF(Pipeline_Sort!$C121="","",INDEX(Pipeline_Calc!$G$2:$G$5251,Pipeline_Sort!$C121))</f>
        <v/>
      </c>
      <c r="G121" s="0" t="str">
        <f aca="false">IF(Pipeline_Sort!$C121="","",INDEX(Pipeline_Calc!$H$2:$H$5251,Pipeline_Sort!$C121))</f>
        <v/>
      </c>
      <c r="H121" s="0" t="str">
        <f aca="false">IF(Pipeline_Sort!$C121="","",INDEX(Pipeline_Calc!$I$2:$I$5251,Pipeline_Sort!$C121))</f>
        <v/>
      </c>
      <c r="I121" s="0" t="str">
        <f aca="false">IF(Pipeline_Sort!$C121="","",INDEX(Pipeline_Calc!$J$2:$J$5251,Pipeline_Sort!$C121))</f>
        <v>touch_2; office-discovery-B; linkedin</v>
      </c>
    </row>
    <row r="122" customFormat="false" ht="15" hidden="false" customHeight="false" outlineLevel="0" collapsed="false">
      <c r="A122" s="33" t="n">
        <f aca="false">IF(Pipeline_Sort!$C122="","",INDEX(Pipeline_Calc!$B$2:$B$5251,Pipeline_Sort!$C122))</f>
        <v>46335</v>
      </c>
      <c r="B122" s="0" t="str">
        <f aca="false">IF(Pipeline_Sort!$C122="","",INDEX(Pipeline_Calc!$C$2:$C$5251,Pipeline_Sort!$C122))</f>
        <v>brand</v>
      </c>
      <c r="C122" s="0" t="str">
        <f aca="false">IF(Pipeline_Sort!$C122="","",INDEX(Pipeline_Calc!$D$2:$D$5251,Pipeline_Sort!$C122))</f>
        <v>SAMPLE-B-016</v>
      </c>
      <c r="D122" s="0" t="str">
        <f aca="false">IF(Pipeline_Sort!$C122="","",INDEX(Pipeline_Calc!$E$2:$E$5251,Pipeline_Sort!$C122))</f>
        <v>SAMPLE Brand 16</v>
      </c>
      <c r="E122" s="0" t="str">
        <f aca="false">IF(Pipeline_Sort!$C122="","",INDEX(Pipeline_Calc!$F$2:$F$5251,Pipeline_Sort!$C122))</f>
        <v>outreach_sent</v>
      </c>
      <c r="F122" s="0" t="str">
        <f aca="false">IF(Pipeline_Sort!$C122="","",INDEX(Pipeline_Calc!$G$2:$G$5251,Pipeline_Sort!$C122))</f>
        <v/>
      </c>
      <c r="G122" s="0" t="str">
        <f aca="false">IF(Pipeline_Sort!$C122="","",INDEX(Pipeline_Calc!$H$2:$H$5251,Pipeline_Sort!$C122))</f>
        <v/>
      </c>
      <c r="H122" s="0" t="str">
        <f aca="false">IF(Pipeline_Sort!$C122="","",INDEX(Pipeline_Calc!$I$2:$I$5251,Pipeline_Sort!$C122))</f>
        <v/>
      </c>
      <c r="I122" s="0" t="str">
        <f aca="false">IF(Pipeline_Sort!$C122="","",INDEX(Pipeline_Calc!$J$2:$J$5251,Pipeline_Sort!$C122))</f>
        <v>touch_1; brand-discovery-B; linkedin</v>
      </c>
    </row>
    <row r="123" customFormat="false" ht="15" hidden="false" customHeight="false" outlineLevel="0" collapsed="false">
      <c r="A123" s="33" t="n">
        <f aca="false">IF(Pipeline_Sort!$C123="","",INDEX(Pipeline_Calc!$B$2:$B$5251,Pipeline_Sort!$C123))</f>
        <v>46335</v>
      </c>
      <c r="B123" s="0" t="str">
        <f aca="false">IF(Pipeline_Sort!$C123="","",INDEX(Pipeline_Calc!$C$2:$C$5251,Pipeline_Sort!$C123))</f>
        <v>brand</v>
      </c>
      <c r="C123" s="0" t="str">
        <f aca="false">IF(Pipeline_Sort!$C123="","",INDEX(Pipeline_Calc!$D$2:$D$5251,Pipeline_Sort!$C123))</f>
        <v>SAMPLE-B-035</v>
      </c>
      <c r="D123" s="0" t="str">
        <f aca="false">IF(Pipeline_Sort!$C123="","",INDEX(Pipeline_Calc!$E$2:$E$5251,Pipeline_Sort!$C123))</f>
        <v>SAMPLE Brand 35</v>
      </c>
      <c r="E123" s="0" t="str">
        <f aca="false">IF(Pipeline_Sort!$C123="","",INDEX(Pipeline_Calc!$F$2:$F$5251,Pipeline_Sort!$C123))</f>
        <v>outreach_sent</v>
      </c>
      <c r="F123" s="0" t="str">
        <f aca="false">IF(Pipeline_Sort!$C123="","",INDEX(Pipeline_Calc!$G$2:$G$5251,Pipeline_Sort!$C123))</f>
        <v/>
      </c>
      <c r="G123" s="0" t="str">
        <f aca="false">IF(Pipeline_Sort!$C123="","",INDEX(Pipeline_Calc!$H$2:$H$5251,Pipeline_Sort!$C123))</f>
        <v/>
      </c>
      <c r="H123" s="0" t="str">
        <f aca="false">IF(Pipeline_Sort!$C123="","",INDEX(Pipeline_Calc!$I$2:$I$5251,Pipeline_Sort!$C123))</f>
        <v/>
      </c>
      <c r="I123" s="0" t="str">
        <f aca="false">IF(Pipeline_Sort!$C123="","",INDEX(Pipeline_Calc!$J$2:$J$5251,Pipeline_Sort!$C123))</f>
        <v>touch_1; brand-discovery-A; email</v>
      </c>
    </row>
    <row r="124" customFormat="false" ht="15" hidden="false" customHeight="false" outlineLevel="0" collapsed="false">
      <c r="A124" s="33" t="n">
        <f aca="false">IF(Pipeline_Sort!$C124="","",INDEX(Pipeline_Calc!$B$2:$B$5251,Pipeline_Sort!$C124))</f>
        <v>46335</v>
      </c>
      <c r="B124" s="0" t="str">
        <f aca="false">IF(Pipeline_Sort!$C124="","",INDEX(Pipeline_Calc!$C$2:$C$5251,Pipeline_Sort!$C124))</f>
        <v>brand</v>
      </c>
      <c r="C124" s="0" t="str">
        <f aca="false">IF(Pipeline_Sort!$C124="","",INDEX(Pipeline_Calc!$D$2:$D$5251,Pipeline_Sort!$C124))</f>
        <v>SAMPLE-B-034</v>
      </c>
      <c r="D124" s="0" t="str">
        <f aca="false">IF(Pipeline_Sort!$C124="","",INDEX(Pipeline_Calc!$E$2:$E$5251,Pipeline_Sort!$C124))</f>
        <v>SAMPLE Brand 34</v>
      </c>
      <c r="E124" s="0" t="str">
        <f aca="false">IF(Pipeline_Sort!$C124="","",INDEX(Pipeline_Calc!$F$2:$F$5251,Pipeline_Sort!$C124))</f>
        <v>outreach_sent</v>
      </c>
      <c r="F124" s="0" t="str">
        <f aca="false">IF(Pipeline_Sort!$C124="","",INDEX(Pipeline_Calc!$G$2:$G$5251,Pipeline_Sort!$C124))</f>
        <v/>
      </c>
      <c r="G124" s="0" t="str">
        <f aca="false">IF(Pipeline_Sort!$C124="","",INDEX(Pipeline_Calc!$H$2:$H$5251,Pipeline_Sort!$C124))</f>
        <v/>
      </c>
      <c r="H124" s="0" t="str">
        <f aca="false">IF(Pipeline_Sort!$C124="","",INDEX(Pipeline_Calc!$I$2:$I$5251,Pipeline_Sort!$C124))</f>
        <v/>
      </c>
      <c r="I124" s="0" t="str">
        <f aca="false">IF(Pipeline_Sort!$C124="","",INDEX(Pipeline_Calc!$J$2:$J$5251,Pipeline_Sort!$C124))</f>
        <v>touch_2; brand-discovery-B; linkedin</v>
      </c>
    </row>
    <row r="125" customFormat="false" ht="15" hidden="false" customHeight="false" outlineLevel="0" collapsed="false">
      <c r="A125" s="33" t="n">
        <f aca="false">IF(Pipeline_Sort!$C125="","",INDEX(Pipeline_Calc!$B$2:$B$5251,Pipeline_Sort!$C125))</f>
        <v>46336</v>
      </c>
      <c r="B125" s="0" t="str">
        <f aca="false">IF(Pipeline_Sort!$C125="","",INDEX(Pipeline_Calc!$C$2:$C$5251,Pipeline_Sort!$C125))</f>
        <v>office</v>
      </c>
      <c r="C125" s="0" t="str">
        <f aca="false">IF(Pipeline_Sort!$C125="","",INDEX(Pipeline_Calc!$D$2:$D$5251,Pipeline_Sort!$C125))</f>
        <v>SAMPLE-O-009</v>
      </c>
      <c r="D125" s="0" t="str">
        <f aca="false">IF(Pipeline_Sort!$C125="","",INDEX(Pipeline_Calc!$E$2:$E$5251,Pipeline_Sort!$C125))</f>
        <v>SAMPLE Office 09</v>
      </c>
      <c r="E125" s="0" t="str">
        <f aca="false">IF(Pipeline_Sort!$C125="","",INDEX(Pipeline_Calc!$F$2:$F$5251,Pipeline_Sort!$C125))</f>
        <v>conversation</v>
      </c>
      <c r="F125" s="0" t="str">
        <f aca="false">IF(Pipeline_Sort!$C125="","",INDEX(Pipeline_Calc!$G$2:$G$5251,Pipeline_Sort!$C125))</f>
        <v/>
      </c>
      <c r="G125" s="0" t="str">
        <f aca="false">IF(Pipeline_Sort!$C125="","",INDEX(Pipeline_Calc!$H$2:$H$5251,Pipeline_Sort!$C125))</f>
        <v/>
      </c>
      <c r="H125" s="0" t="str">
        <f aca="false">IF(Pipeline_Sort!$C125="","",INDEX(Pipeline_Calc!$I$2:$I$5251,Pipeline_Sort!$C125))</f>
        <v/>
      </c>
      <c r="I125" s="0" t="str">
        <f aca="false">IF(Pipeline_Sort!$C125="","",INDEX(Pipeline_Calc!$J$2:$J$5251,Pipeline_Sort!$C125))</f>
        <v>phone</v>
      </c>
    </row>
    <row r="126" customFormat="false" ht="15" hidden="false" customHeight="false" outlineLevel="0" collapsed="false">
      <c r="A126" s="33" t="n">
        <f aca="false">IF(Pipeline_Sort!$C126="","",INDEX(Pipeline_Calc!$B$2:$B$5251,Pipeline_Sort!$C126))</f>
        <v>46336</v>
      </c>
      <c r="B126" s="0" t="str">
        <f aca="false">IF(Pipeline_Sort!$C126="","",INDEX(Pipeline_Calc!$C$2:$C$5251,Pipeline_Sort!$C126))</f>
        <v>office</v>
      </c>
      <c r="C126" s="0" t="str">
        <f aca="false">IF(Pipeline_Sort!$C126="","",INDEX(Pipeline_Calc!$D$2:$D$5251,Pipeline_Sort!$C126))</f>
        <v>SAMPLE-O-010</v>
      </c>
      <c r="D126" s="0" t="str">
        <f aca="false">IF(Pipeline_Sort!$C126="","",INDEX(Pipeline_Calc!$E$2:$E$5251,Pipeline_Sort!$C126))</f>
        <v>SAMPLE Office 10</v>
      </c>
      <c r="E126" s="0" t="str">
        <f aca="false">IF(Pipeline_Sort!$C126="","",INDEX(Pipeline_Calc!$F$2:$F$5251,Pipeline_Sort!$C126))</f>
        <v>conversation</v>
      </c>
      <c r="F126" s="0" t="str">
        <f aca="false">IF(Pipeline_Sort!$C126="","",INDEX(Pipeline_Calc!$G$2:$G$5251,Pipeline_Sort!$C126))</f>
        <v/>
      </c>
      <c r="G126" s="0" t="str">
        <f aca="false">IF(Pipeline_Sort!$C126="","",INDEX(Pipeline_Calc!$H$2:$H$5251,Pipeline_Sort!$C126))</f>
        <v/>
      </c>
      <c r="H126" s="0" t="str">
        <f aca="false">IF(Pipeline_Sort!$C126="","",INDEX(Pipeline_Calc!$I$2:$I$5251,Pipeline_Sort!$C126))</f>
        <v/>
      </c>
      <c r="I126" s="0" t="str">
        <f aca="false">IF(Pipeline_Sort!$C126="","",INDEX(Pipeline_Calc!$J$2:$J$5251,Pipeline_Sort!$C126))</f>
        <v>video</v>
      </c>
    </row>
    <row r="127" customFormat="false" ht="15" hidden="false" customHeight="false" outlineLevel="0" collapsed="false">
      <c r="A127" s="33" t="n">
        <f aca="false">IF(Pipeline_Sort!$C127="","",INDEX(Pipeline_Calc!$B$2:$B$5251,Pipeline_Sort!$C127))</f>
        <v>46336</v>
      </c>
      <c r="B127" s="0" t="str">
        <f aca="false">IF(Pipeline_Sort!$C127="","",INDEX(Pipeline_Calc!$C$2:$C$5251,Pipeline_Sort!$C127))</f>
        <v>office</v>
      </c>
      <c r="C127" s="0" t="str">
        <f aca="false">IF(Pipeline_Sort!$C127="","",INDEX(Pipeline_Calc!$D$2:$D$5251,Pipeline_Sort!$C127))</f>
        <v>SAMPLE-O-010</v>
      </c>
      <c r="D127" s="0" t="str">
        <f aca="false">IF(Pipeline_Sort!$C127="","",INDEX(Pipeline_Calc!$E$2:$E$5251,Pipeline_Sort!$C127))</f>
        <v>SAMPLE Office 10</v>
      </c>
      <c r="E127" s="0" t="str">
        <f aca="false">IF(Pipeline_Sort!$C127="","",INDEX(Pipeline_Calc!$F$2:$F$5251,Pipeline_Sort!$C127))</f>
        <v>yes_in_principle</v>
      </c>
      <c r="F127" s="0" t="str">
        <f aca="false">IF(Pipeline_Sort!$C127="","",INDEX(Pipeline_Calc!$G$2:$G$5251,Pipeline_Sort!$C127))</f>
        <v/>
      </c>
      <c r="G127" s="0" t="str">
        <f aca="false">IF(Pipeline_Sort!$C127="","",INDEX(Pipeline_Calc!$H$2:$H$5251,Pipeline_Sort!$C127))</f>
        <v/>
      </c>
      <c r="H127" s="0" t="str">
        <f aca="false">IF(Pipeline_Sort!$C127="","",INDEX(Pipeline_Calc!$I$2:$I$5251,Pipeline_Sort!$C127))</f>
        <v/>
      </c>
      <c r="I127" s="0" t="str">
        <f aca="false">IF(Pipeline_Sort!$C127="","",INDEX(Pipeline_Calc!$J$2:$J$5251,Pipeline_Sort!$C127))</f>
        <v>owner: Office Manager; window: SAMPLE Tue 10-11</v>
      </c>
    </row>
    <row r="128" customFormat="false" ht="15" hidden="false" customHeight="false" outlineLevel="0" collapsed="false">
      <c r="A128" s="33" t="n">
        <f aca="false">IF(Pipeline_Sort!$C128="","",INDEX(Pipeline_Calc!$B$2:$B$5251,Pipeline_Sort!$C128))</f>
        <v>46336</v>
      </c>
      <c r="B128" s="0" t="str">
        <f aca="false">IF(Pipeline_Sort!$C128="","",INDEX(Pipeline_Calc!$C$2:$C$5251,Pipeline_Sort!$C128))</f>
        <v>office</v>
      </c>
      <c r="C128" s="0" t="str">
        <f aca="false">IF(Pipeline_Sort!$C128="","",INDEX(Pipeline_Calc!$D$2:$D$5251,Pipeline_Sort!$C128))</f>
        <v>SAMPLE-O-010</v>
      </c>
      <c r="D128" s="0" t="str">
        <f aca="false">IF(Pipeline_Sort!$C128="","",INDEX(Pipeline_Calc!$E$2:$E$5251,Pipeline_Sort!$C128))</f>
        <v>SAMPLE Office 10</v>
      </c>
      <c r="E128" s="0" t="str">
        <f aca="false">IF(Pipeline_Sort!$C128="","",INDEX(Pipeline_Calc!$F$2:$F$5251,Pipeline_Sort!$C128))</f>
        <v>budget_probe</v>
      </c>
      <c r="F128" s="32" t="n">
        <f aca="false">IF(Pipeline_Sort!$C128="","",INDEX(Pipeline_Calc!$G$2:$G$5251,Pipeline_Sort!$C128))</f>
        <v>200</v>
      </c>
      <c r="G128" s="0" t="str">
        <f aca="false">IF(Pipeline_Sort!$C128="","",INDEX(Pipeline_Calc!$H$2:$H$5251,Pipeline_Sort!$C128))</f>
        <v>SAMPLE: $200 to $400 if the team votes on it</v>
      </c>
      <c r="H128" s="0" t="str">
        <f aca="false">IF(Pipeline_Sort!$C128="","",INDEX(Pipeline_Calc!$I$2:$I$5251,Pipeline_Sort!$C128))</f>
        <v/>
      </c>
      <c r="I128" s="0" t="str">
        <f aca="false">IF(Pipeline_Sort!$C128="","",INDEX(Pipeline_Calc!$J$2:$J$5251,Pipeline_Sort!$C128))</f>
        <v>range to 400 per month</v>
      </c>
    </row>
    <row r="129" customFormat="false" ht="15" hidden="false" customHeight="false" outlineLevel="0" collapsed="false">
      <c r="A129" s="33" t="n">
        <f aca="false">IF(Pipeline_Sort!$C129="","",INDEX(Pipeline_Calc!$B$2:$B$5251,Pipeline_Sort!$C129))</f>
        <v>46336</v>
      </c>
      <c r="B129" s="0" t="str">
        <f aca="false">IF(Pipeline_Sort!$C129="","",INDEX(Pipeline_Calc!$C$2:$C$5251,Pipeline_Sort!$C129))</f>
        <v>brand</v>
      </c>
      <c r="C129" s="0" t="str">
        <f aca="false">IF(Pipeline_Sort!$C129="","",INDEX(Pipeline_Calc!$D$2:$D$5251,Pipeline_Sort!$C129))</f>
        <v>SAMPLE-B-009</v>
      </c>
      <c r="D129" s="0" t="str">
        <f aca="false">IF(Pipeline_Sort!$C129="","",INDEX(Pipeline_Calc!$E$2:$E$5251,Pipeline_Sort!$C129))</f>
        <v>SAMPLE Brand 09</v>
      </c>
      <c r="E129" s="0" t="str">
        <f aca="false">IF(Pipeline_Sort!$C129="","",INDEX(Pipeline_Calc!$F$2:$F$5251,Pipeline_Sort!$C129))</f>
        <v>conversation</v>
      </c>
      <c r="F129" s="0" t="str">
        <f aca="false">IF(Pipeline_Sort!$C129="","",INDEX(Pipeline_Calc!$G$2:$G$5251,Pipeline_Sort!$C129))</f>
        <v/>
      </c>
      <c r="G129" s="0" t="str">
        <f aca="false">IF(Pipeline_Sort!$C129="","",INDEX(Pipeline_Calc!$H$2:$H$5251,Pipeline_Sort!$C129))</f>
        <v/>
      </c>
      <c r="H129" s="0" t="str">
        <f aca="false">IF(Pipeline_Sort!$C129="","",INDEX(Pipeline_Calc!$I$2:$I$5251,Pipeline_Sort!$C129))</f>
        <v/>
      </c>
      <c r="I129" s="0" t="str">
        <f aca="false">IF(Pipeline_Sort!$C129="","",INDEX(Pipeline_Calc!$J$2:$J$5251,Pipeline_Sort!$C129))</f>
        <v>video</v>
      </c>
    </row>
    <row r="130" customFormat="false" ht="15" hidden="false" customHeight="false" outlineLevel="0" collapsed="false">
      <c r="A130" s="33" t="n">
        <f aca="false">IF(Pipeline_Sort!$C130="","",INDEX(Pipeline_Calc!$B$2:$B$5251,Pipeline_Sort!$C130))</f>
        <v>46336</v>
      </c>
      <c r="B130" s="0" t="str">
        <f aca="false">IF(Pipeline_Sort!$C130="","",INDEX(Pipeline_Calc!$C$2:$C$5251,Pipeline_Sort!$C130))</f>
        <v>office</v>
      </c>
      <c r="C130" s="0" t="str">
        <f aca="false">IF(Pipeline_Sort!$C130="","",INDEX(Pipeline_Calc!$D$2:$D$5251,Pipeline_Sort!$C130))</f>
        <v>SAMPLE-O-029</v>
      </c>
      <c r="D130" s="0" t="str">
        <f aca="false">IF(Pipeline_Sort!$C130="","",INDEX(Pipeline_Calc!$E$2:$E$5251,Pipeline_Sort!$C130))</f>
        <v>SAMPLE Office 29</v>
      </c>
      <c r="E130" s="0" t="str">
        <f aca="false">IF(Pipeline_Sort!$C130="","",INDEX(Pipeline_Calc!$F$2:$F$5251,Pipeline_Sort!$C130))</f>
        <v>outreach_sent</v>
      </c>
      <c r="F130" s="0" t="str">
        <f aca="false">IF(Pipeline_Sort!$C130="","",INDEX(Pipeline_Calc!$G$2:$G$5251,Pipeline_Sort!$C130))</f>
        <v/>
      </c>
      <c r="G130" s="0" t="str">
        <f aca="false">IF(Pipeline_Sort!$C130="","",INDEX(Pipeline_Calc!$H$2:$H$5251,Pipeline_Sort!$C130))</f>
        <v/>
      </c>
      <c r="H130" s="0" t="str">
        <f aca="false">IF(Pipeline_Sort!$C130="","",INDEX(Pipeline_Calc!$I$2:$I$5251,Pipeline_Sort!$C130))</f>
        <v/>
      </c>
      <c r="I130" s="0" t="str">
        <f aca="false">IF(Pipeline_Sort!$C130="","",INDEX(Pipeline_Calc!$J$2:$J$5251,Pipeline_Sort!$C130))</f>
        <v>touch_1; office-discovery-A; email</v>
      </c>
    </row>
    <row r="131" customFormat="false" ht="15" hidden="false" customHeight="false" outlineLevel="0" collapsed="false">
      <c r="A131" s="33" t="n">
        <f aca="false">IF(Pipeline_Sort!$C131="","",INDEX(Pipeline_Calc!$B$2:$B$5251,Pipeline_Sort!$C131))</f>
        <v>46336</v>
      </c>
      <c r="B131" s="0" t="str">
        <f aca="false">IF(Pipeline_Sort!$C131="","",INDEX(Pipeline_Calc!$C$2:$C$5251,Pipeline_Sort!$C131))</f>
        <v>office</v>
      </c>
      <c r="C131" s="0" t="str">
        <f aca="false">IF(Pipeline_Sort!$C131="","",INDEX(Pipeline_Calc!$D$2:$D$5251,Pipeline_Sort!$C131))</f>
        <v>SAMPLE-O-028</v>
      </c>
      <c r="D131" s="0" t="str">
        <f aca="false">IF(Pipeline_Sort!$C131="","",INDEX(Pipeline_Calc!$E$2:$E$5251,Pipeline_Sort!$C131))</f>
        <v>SAMPLE Office 28</v>
      </c>
      <c r="E131" s="0" t="str">
        <f aca="false">IF(Pipeline_Sort!$C131="","",INDEX(Pipeline_Calc!$F$2:$F$5251,Pipeline_Sort!$C131))</f>
        <v>outreach_sent</v>
      </c>
      <c r="F131" s="0" t="str">
        <f aca="false">IF(Pipeline_Sort!$C131="","",INDEX(Pipeline_Calc!$G$2:$G$5251,Pipeline_Sort!$C131))</f>
        <v/>
      </c>
      <c r="G131" s="0" t="str">
        <f aca="false">IF(Pipeline_Sort!$C131="","",INDEX(Pipeline_Calc!$H$2:$H$5251,Pipeline_Sort!$C131))</f>
        <v/>
      </c>
      <c r="H131" s="0" t="str">
        <f aca="false">IF(Pipeline_Sort!$C131="","",INDEX(Pipeline_Calc!$I$2:$I$5251,Pipeline_Sort!$C131))</f>
        <v/>
      </c>
      <c r="I131" s="0" t="str">
        <f aca="false">IF(Pipeline_Sort!$C131="","",INDEX(Pipeline_Calc!$J$2:$J$5251,Pipeline_Sort!$C131))</f>
        <v>touch_2; office-discovery-B; linkedin</v>
      </c>
    </row>
    <row r="132" customFormat="false" ht="15" hidden="false" customHeight="false" outlineLevel="0" collapsed="false">
      <c r="A132" s="33" t="n">
        <f aca="false">IF(Pipeline_Sort!$C132="","",INDEX(Pipeline_Calc!$B$2:$B$5251,Pipeline_Sort!$C132))</f>
        <v>46336</v>
      </c>
      <c r="B132" s="0" t="str">
        <f aca="false">IF(Pipeline_Sort!$C132="","",INDEX(Pipeline_Calc!$C$2:$C$5251,Pipeline_Sort!$C132))</f>
        <v>brand</v>
      </c>
      <c r="C132" s="0" t="str">
        <f aca="false">IF(Pipeline_Sort!$C132="","",INDEX(Pipeline_Calc!$D$2:$D$5251,Pipeline_Sort!$C132))</f>
        <v>SAMPLE-B-014</v>
      </c>
      <c r="D132" s="0" t="str">
        <f aca="false">IF(Pipeline_Sort!$C132="","",INDEX(Pipeline_Calc!$E$2:$E$5251,Pipeline_Sort!$C132))</f>
        <v>SAMPLE Brand 14</v>
      </c>
      <c r="E132" s="0" t="str">
        <f aca="false">IF(Pipeline_Sort!$C132="","",INDEX(Pipeline_Calc!$F$2:$F$5251,Pipeline_Sort!$C132))</f>
        <v>outreach_sent</v>
      </c>
      <c r="F132" s="0" t="str">
        <f aca="false">IF(Pipeline_Sort!$C132="","",INDEX(Pipeline_Calc!$G$2:$G$5251,Pipeline_Sort!$C132))</f>
        <v/>
      </c>
      <c r="G132" s="0" t="str">
        <f aca="false">IF(Pipeline_Sort!$C132="","",INDEX(Pipeline_Calc!$H$2:$H$5251,Pipeline_Sort!$C132))</f>
        <v/>
      </c>
      <c r="H132" s="0" t="str">
        <f aca="false">IF(Pipeline_Sort!$C132="","",INDEX(Pipeline_Calc!$I$2:$I$5251,Pipeline_Sort!$C132))</f>
        <v/>
      </c>
      <c r="I132" s="0" t="str">
        <f aca="false">IF(Pipeline_Sort!$C132="","",INDEX(Pipeline_Calc!$J$2:$J$5251,Pipeline_Sort!$C132))</f>
        <v>touch_1; brand-discovery-B; email</v>
      </c>
    </row>
    <row r="133" customFormat="false" ht="15" hidden="false" customHeight="false" outlineLevel="0" collapsed="false">
      <c r="A133" s="33" t="n">
        <f aca="false">IF(Pipeline_Sort!$C133="","",INDEX(Pipeline_Calc!$B$2:$B$5251,Pipeline_Sort!$C133))</f>
        <v>46336</v>
      </c>
      <c r="B133" s="0" t="str">
        <f aca="false">IF(Pipeline_Sort!$C133="","",INDEX(Pipeline_Calc!$C$2:$C$5251,Pipeline_Sort!$C133))</f>
        <v>brand</v>
      </c>
      <c r="C133" s="0" t="str">
        <f aca="false">IF(Pipeline_Sort!$C133="","",INDEX(Pipeline_Calc!$D$2:$D$5251,Pipeline_Sort!$C133))</f>
        <v>SAMPLE-B-029</v>
      </c>
      <c r="D133" s="0" t="str">
        <f aca="false">IF(Pipeline_Sort!$C133="","",INDEX(Pipeline_Calc!$E$2:$E$5251,Pipeline_Sort!$C133))</f>
        <v>SAMPLE Brand 29</v>
      </c>
      <c r="E133" s="0" t="str">
        <f aca="false">IF(Pipeline_Sort!$C133="","",INDEX(Pipeline_Calc!$F$2:$F$5251,Pipeline_Sort!$C133))</f>
        <v>outreach_sent</v>
      </c>
      <c r="F133" s="0" t="str">
        <f aca="false">IF(Pipeline_Sort!$C133="","",INDEX(Pipeline_Calc!$G$2:$G$5251,Pipeline_Sort!$C133))</f>
        <v/>
      </c>
      <c r="G133" s="0" t="str">
        <f aca="false">IF(Pipeline_Sort!$C133="","",INDEX(Pipeline_Calc!$H$2:$H$5251,Pipeline_Sort!$C133))</f>
        <v/>
      </c>
      <c r="H133" s="0" t="str">
        <f aca="false">IF(Pipeline_Sort!$C133="","",INDEX(Pipeline_Calc!$I$2:$I$5251,Pipeline_Sort!$C133))</f>
        <v/>
      </c>
      <c r="I133" s="0" t="str">
        <f aca="false">IF(Pipeline_Sort!$C133="","",INDEX(Pipeline_Calc!$J$2:$J$5251,Pipeline_Sort!$C133))</f>
        <v>touch_1; brand-discovery-A; email</v>
      </c>
    </row>
    <row r="134" customFormat="false" ht="15" hidden="false" customHeight="false" outlineLevel="0" collapsed="false">
      <c r="A134" s="33" t="n">
        <f aca="false">IF(Pipeline_Sort!$C134="","",INDEX(Pipeline_Calc!$B$2:$B$5251,Pipeline_Sort!$C134))</f>
        <v>46336</v>
      </c>
      <c r="B134" s="0" t="str">
        <f aca="false">IF(Pipeline_Sort!$C134="","",INDEX(Pipeline_Calc!$C$2:$C$5251,Pipeline_Sort!$C134))</f>
        <v>brand</v>
      </c>
      <c r="C134" s="0" t="str">
        <f aca="false">IF(Pipeline_Sort!$C134="","",INDEX(Pipeline_Calc!$D$2:$D$5251,Pipeline_Sort!$C134))</f>
        <v>SAMPLE-B-028</v>
      </c>
      <c r="D134" s="0" t="str">
        <f aca="false">IF(Pipeline_Sort!$C134="","",INDEX(Pipeline_Calc!$E$2:$E$5251,Pipeline_Sort!$C134))</f>
        <v>SAMPLE Brand 28</v>
      </c>
      <c r="E134" s="0" t="str">
        <f aca="false">IF(Pipeline_Sort!$C134="","",INDEX(Pipeline_Calc!$F$2:$F$5251,Pipeline_Sort!$C134))</f>
        <v>outreach_sent</v>
      </c>
      <c r="F134" s="0" t="str">
        <f aca="false">IF(Pipeline_Sort!$C134="","",INDEX(Pipeline_Calc!$G$2:$G$5251,Pipeline_Sort!$C134))</f>
        <v/>
      </c>
      <c r="G134" s="0" t="str">
        <f aca="false">IF(Pipeline_Sort!$C134="","",INDEX(Pipeline_Calc!$H$2:$H$5251,Pipeline_Sort!$C134))</f>
        <v/>
      </c>
      <c r="H134" s="0" t="str">
        <f aca="false">IF(Pipeline_Sort!$C134="","",INDEX(Pipeline_Calc!$I$2:$I$5251,Pipeline_Sort!$C134))</f>
        <v/>
      </c>
      <c r="I134" s="0" t="str">
        <f aca="false">IF(Pipeline_Sort!$C134="","",INDEX(Pipeline_Calc!$J$2:$J$5251,Pipeline_Sort!$C134))</f>
        <v>touch_2; brand-discovery-B; linkedin</v>
      </c>
    </row>
    <row r="135" customFormat="false" ht="15" hidden="false" customHeight="false" outlineLevel="0" collapsed="false">
      <c r="A135" s="33" t="n">
        <f aca="false">IF(Pipeline_Sort!$C135="","",INDEX(Pipeline_Calc!$B$2:$B$5251,Pipeline_Sort!$C135))</f>
        <v>46337</v>
      </c>
      <c r="B135" s="0" t="str">
        <f aca="false">IF(Pipeline_Sort!$C135="","",INDEX(Pipeline_Calc!$C$2:$C$5251,Pipeline_Sort!$C135))</f>
        <v>brand</v>
      </c>
      <c r="C135" s="0" t="str">
        <f aca="false">IF(Pipeline_Sort!$C135="","",INDEX(Pipeline_Calc!$D$2:$D$5251,Pipeline_Sort!$C135))</f>
        <v>SAMPLE-B-010</v>
      </c>
      <c r="D135" s="0" t="str">
        <f aca="false">IF(Pipeline_Sort!$C135="","",INDEX(Pipeline_Calc!$E$2:$E$5251,Pipeline_Sort!$C135))</f>
        <v>SAMPLE Brand 10</v>
      </c>
      <c r="E135" s="0" t="str">
        <f aca="false">IF(Pipeline_Sort!$C135="","",INDEX(Pipeline_Calc!$F$2:$F$5251,Pipeline_Sort!$C135))</f>
        <v>conversation</v>
      </c>
      <c r="F135" s="0" t="str">
        <f aca="false">IF(Pipeline_Sort!$C135="","",INDEX(Pipeline_Calc!$G$2:$G$5251,Pipeline_Sort!$C135))</f>
        <v/>
      </c>
      <c r="G135" s="0" t="str">
        <f aca="false">IF(Pipeline_Sort!$C135="","",INDEX(Pipeline_Calc!$H$2:$H$5251,Pipeline_Sort!$C135))</f>
        <v/>
      </c>
      <c r="H135" s="0" t="str">
        <f aca="false">IF(Pipeline_Sort!$C135="","",INDEX(Pipeline_Calc!$I$2:$I$5251,Pipeline_Sort!$C135))</f>
        <v/>
      </c>
      <c r="I135" s="0" t="str">
        <f aca="false">IF(Pipeline_Sort!$C135="","",INDEX(Pipeline_Calc!$J$2:$J$5251,Pipeline_Sort!$C135))</f>
        <v>video</v>
      </c>
    </row>
    <row r="136" customFormat="false" ht="15" hidden="false" customHeight="false" outlineLevel="0" collapsed="false">
      <c r="A136" s="33" t="n">
        <f aca="false">IF(Pipeline_Sort!$C136="","",INDEX(Pipeline_Calc!$B$2:$B$5251,Pipeline_Sort!$C136))</f>
        <v>46337</v>
      </c>
      <c r="B136" s="0" t="str">
        <f aca="false">IF(Pipeline_Sort!$C136="","",INDEX(Pipeline_Calc!$C$2:$C$5251,Pipeline_Sort!$C136))</f>
        <v>brand</v>
      </c>
      <c r="C136" s="0" t="str">
        <f aca="false">IF(Pipeline_Sort!$C136="","",INDEX(Pipeline_Calc!$D$2:$D$5251,Pipeline_Sort!$C136))</f>
        <v>SAMPLE-B-010</v>
      </c>
      <c r="D136" s="0" t="str">
        <f aca="false">IF(Pipeline_Sort!$C136="","",INDEX(Pipeline_Calc!$E$2:$E$5251,Pipeline_Sort!$C136))</f>
        <v>SAMPLE Brand 10</v>
      </c>
      <c r="E136" s="0" t="str">
        <f aca="false">IF(Pipeline_Sort!$C136="","",INDEX(Pipeline_Calc!$F$2:$F$5251,Pipeline_Sort!$C136))</f>
        <v>budget_probe</v>
      </c>
      <c r="F136" s="32" t="n">
        <f aca="false">IF(Pipeline_Sort!$C136="","",INDEX(Pipeline_Calc!$G$2:$G$5251,Pipeline_Sort!$C136))</f>
        <v>400</v>
      </c>
      <c r="G136" s="0" t="str">
        <f aca="false">IF(Pipeline_Sort!$C136="","",INDEX(Pipeline_Calc!$H$2:$H$5251,Pipeline_Sort!$C136))</f>
        <v>SAMPLE: $400 tops</v>
      </c>
      <c r="H136" s="0" t="str">
        <f aca="false">IF(Pipeline_Sort!$C136="","",INDEX(Pipeline_Calc!$I$2:$I$5251,Pipeline_Sort!$C136))</f>
        <v>N</v>
      </c>
      <c r="I136" s="0" t="str">
        <f aca="false">IF(Pipeline_Sort!$C136="","",INDEX(Pipeline_Calc!$J$2:$J$5251,Pipeline_Sort!$C136))</f>
        <v/>
      </c>
    </row>
    <row r="137" customFormat="false" ht="15" hidden="false" customHeight="false" outlineLevel="0" collapsed="false">
      <c r="A137" s="33" t="n">
        <f aca="false">IF(Pipeline_Sort!$C137="","",INDEX(Pipeline_Calc!$B$2:$B$5251,Pipeline_Sort!$C137))</f>
        <v>46338</v>
      </c>
      <c r="B137" s="0" t="str">
        <f aca="false">IF(Pipeline_Sort!$C137="","",INDEX(Pipeline_Calc!$C$2:$C$5251,Pipeline_Sort!$C137))</f>
        <v>office</v>
      </c>
      <c r="C137" s="0" t="str">
        <f aca="false">IF(Pipeline_Sort!$C137="","",INDEX(Pipeline_Calc!$D$2:$D$5251,Pipeline_Sort!$C137))</f>
        <v>SAMPLE-O-011</v>
      </c>
      <c r="D137" s="0" t="str">
        <f aca="false">IF(Pipeline_Sort!$C137="","",INDEX(Pipeline_Calc!$E$2:$E$5251,Pipeline_Sort!$C137))</f>
        <v>SAMPLE Office 11</v>
      </c>
      <c r="E137" s="0" t="str">
        <f aca="false">IF(Pipeline_Sort!$C137="","",INDEX(Pipeline_Calc!$F$2:$F$5251,Pipeline_Sort!$C137))</f>
        <v>conversation</v>
      </c>
      <c r="F137" s="0" t="str">
        <f aca="false">IF(Pipeline_Sort!$C137="","",INDEX(Pipeline_Calc!$G$2:$G$5251,Pipeline_Sort!$C137))</f>
        <v/>
      </c>
      <c r="G137" s="0" t="str">
        <f aca="false">IF(Pipeline_Sort!$C137="","",INDEX(Pipeline_Calc!$H$2:$H$5251,Pipeline_Sort!$C137))</f>
        <v/>
      </c>
      <c r="H137" s="0" t="str">
        <f aca="false">IF(Pipeline_Sort!$C137="","",INDEX(Pipeline_Calc!$I$2:$I$5251,Pipeline_Sort!$C137))</f>
        <v/>
      </c>
      <c r="I137" s="0" t="str">
        <f aca="false">IF(Pipeline_Sort!$C137="","",INDEX(Pipeline_Calc!$J$2:$J$5251,Pipeline_Sort!$C137))</f>
        <v>phone</v>
      </c>
    </row>
    <row r="138" customFormat="false" ht="15" hidden="false" customHeight="false" outlineLevel="0" collapsed="false">
      <c r="A138" s="33" t="n">
        <f aca="false">IF(Pipeline_Sort!$C138="","",INDEX(Pipeline_Calc!$B$2:$B$5251,Pipeline_Sort!$C138))</f>
        <v>46338</v>
      </c>
      <c r="B138" s="0" t="str">
        <f aca="false">IF(Pipeline_Sort!$C138="","",INDEX(Pipeline_Calc!$C$2:$C$5251,Pipeline_Sort!$C138))</f>
        <v>office</v>
      </c>
      <c r="C138" s="0" t="str">
        <f aca="false">IF(Pipeline_Sort!$C138="","",INDEX(Pipeline_Calc!$D$2:$D$5251,Pipeline_Sort!$C138))</f>
        <v>SAMPLE-O-012</v>
      </c>
      <c r="D138" s="0" t="str">
        <f aca="false">IF(Pipeline_Sort!$C138="","",INDEX(Pipeline_Calc!$E$2:$E$5251,Pipeline_Sort!$C138))</f>
        <v>SAMPLE Office 12</v>
      </c>
      <c r="E138" s="0" t="str">
        <f aca="false">IF(Pipeline_Sort!$C138="","",INDEX(Pipeline_Calc!$F$2:$F$5251,Pipeline_Sort!$C138))</f>
        <v>conversation</v>
      </c>
      <c r="F138" s="0" t="str">
        <f aca="false">IF(Pipeline_Sort!$C138="","",INDEX(Pipeline_Calc!$G$2:$G$5251,Pipeline_Sort!$C138))</f>
        <v/>
      </c>
      <c r="G138" s="0" t="str">
        <f aca="false">IF(Pipeline_Sort!$C138="","",INDEX(Pipeline_Calc!$H$2:$H$5251,Pipeline_Sort!$C138))</f>
        <v/>
      </c>
      <c r="H138" s="0" t="str">
        <f aca="false">IF(Pipeline_Sort!$C138="","",INDEX(Pipeline_Calc!$I$2:$I$5251,Pipeline_Sort!$C138))</f>
        <v/>
      </c>
      <c r="I138" s="0" t="str">
        <f aca="false">IF(Pipeline_Sort!$C138="","",INDEX(Pipeline_Calc!$J$2:$J$5251,Pipeline_Sort!$C138))</f>
        <v>video</v>
      </c>
    </row>
    <row r="139" customFormat="false" ht="15" hidden="false" customHeight="false" outlineLevel="0" collapsed="false">
      <c r="A139" s="33" t="n">
        <f aca="false">IF(Pipeline_Sort!$C139="","",INDEX(Pipeline_Calc!$B$2:$B$5251,Pipeline_Sort!$C139))</f>
        <v>46338</v>
      </c>
      <c r="B139" s="0" t="str">
        <f aca="false">IF(Pipeline_Sort!$C139="","",INDEX(Pipeline_Calc!$C$2:$C$5251,Pipeline_Sort!$C139))</f>
        <v>office</v>
      </c>
      <c r="C139" s="0" t="str">
        <f aca="false">IF(Pipeline_Sort!$C139="","",INDEX(Pipeline_Calc!$D$2:$D$5251,Pipeline_Sort!$C139))</f>
        <v>SAMPLE-O-004</v>
      </c>
      <c r="D139" s="0" t="str">
        <f aca="false">IF(Pipeline_Sort!$C139="","",INDEX(Pipeline_Calc!$E$2:$E$5251,Pipeline_Sort!$C139))</f>
        <v>SAMPLE Office 04</v>
      </c>
      <c r="E139" s="0" t="str">
        <f aca="false">IF(Pipeline_Sort!$C139="","",INDEX(Pipeline_Calc!$F$2:$F$5251,Pipeline_Sort!$C139))</f>
        <v>conversation</v>
      </c>
      <c r="F139" s="0" t="str">
        <f aca="false">IF(Pipeline_Sort!$C139="","",INDEX(Pipeline_Calc!$G$2:$G$5251,Pipeline_Sort!$C139))</f>
        <v/>
      </c>
      <c r="G139" s="0" t="str">
        <f aca="false">IF(Pipeline_Sort!$C139="","",INDEX(Pipeline_Calc!$H$2:$H$5251,Pipeline_Sort!$C139))</f>
        <v/>
      </c>
      <c r="H139" s="0" t="str">
        <f aca="false">IF(Pipeline_Sort!$C139="","",INDEX(Pipeline_Calc!$I$2:$I$5251,Pipeline_Sort!$C139))</f>
        <v/>
      </c>
      <c r="I139" s="0" t="str">
        <f aca="false">IF(Pipeline_Sort!$C139="","",INDEX(Pipeline_Calc!$J$2:$J$5251,Pipeline_Sort!$C139))</f>
        <v>phone</v>
      </c>
    </row>
    <row r="140" customFormat="false" ht="15" hidden="false" customHeight="false" outlineLevel="0" collapsed="false">
      <c r="A140" s="33" t="n">
        <f aca="false">IF(Pipeline_Sort!$C140="","",INDEX(Pipeline_Calc!$B$2:$B$5251,Pipeline_Sort!$C140))</f>
        <v>46338</v>
      </c>
      <c r="B140" s="0" t="str">
        <f aca="false">IF(Pipeline_Sort!$C140="","",INDEX(Pipeline_Calc!$C$2:$C$5251,Pipeline_Sort!$C140))</f>
        <v>office</v>
      </c>
      <c r="C140" s="0" t="str">
        <f aca="false">IF(Pipeline_Sort!$C140="","",INDEX(Pipeline_Calc!$D$2:$D$5251,Pipeline_Sort!$C140))</f>
        <v>SAMPLE-O-012</v>
      </c>
      <c r="D140" s="0" t="str">
        <f aca="false">IF(Pipeline_Sort!$C140="","",INDEX(Pipeline_Calc!$E$2:$E$5251,Pipeline_Sort!$C140))</f>
        <v>SAMPLE Office 12</v>
      </c>
      <c r="E140" s="0" t="str">
        <f aca="false">IF(Pipeline_Sort!$C140="","",INDEX(Pipeline_Calc!$F$2:$F$5251,Pipeline_Sort!$C140))</f>
        <v>budget_probe</v>
      </c>
      <c r="F140" s="32" t="n">
        <f aca="false">IF(Pipeline_Sort!$C140="","",INDEX(Pipeline_Calc!$G$2:$G$5251,Pipeline_Sort!$C140))</f>
        <v>100</v>
      </c>
      <c r="G140" s="0" t="str">
        <f aca="false">IF(Pipeline_Sort!$C140="","",INDEX(Pipeline_Calc!$H$2:$H$5251,Pipeline_Sort!$C140))</f>
        <v>SAMPLE: a hundred a month, tops</v>
      </c>
      <c r="H140" s="0" t="str">
        <f aca="false">IF(Pipeline_Sort!$C140="","",INDEX(Pipeline_Calc!$I$2:$I$5251,Pipeline_Sort!$C140))</f>
        <v/>
      </c>
      <c r="I140" s="0" t="str">
        <f aca="false">IF(Pipeline_Sort!$C140="","",INDEX(Pipeline_Calc!$J$2:$J$5251,Pipeline_Sort!$C140))</f>
        <v/>
      </c>
    </row>
    <row r="141" customFormat="false" ht="15" hidden="false" customHeight="false" outlineLevel="0" collapsed="false">
      <c r="A141" s="33" t="n">
        <f aca="false">IF(Pipeline_Sort!$C141="","",INDEX(Pipeline_Calc!$B$2:$B$5251,Pipeline_Sort!$C141))</f>
        <v>46338</v>
      </c>
      <c r="B141" s="0" t="str">
        <f aca="false">IF(Pipeline_Sort!$C141="","",INDEX(Pipeline_Calc!$C$2:$C$5251,Pipeline_Sort!$C141))</f>
        <v>brand</v>
      </c>
      <c r="C141" s="0" t="str">
        <f aca="false">IF(Pipeline_Sort!$C141="","",INDEX(Pipeline_Calc!$D$2:$D$5251,Pipeline_Sort!$C141))</f>
        <v>SAMPLE-B-011</v>
      </c>
      <c r="D141" s="0" t="str">
        <f aca="false">IF(Pipeline_Sort!$C141="","",INDEX(Pipeline_Calc!$E$2:$E$5251,Pipeline_Sort!$C141))</f>
        <v>SAMPLE Brand 11</v>
      </c>
      <c r="E141" s="0" t="str">
        <f aca="false">IF(Pipeline_Sort!$C141="","",INDEX(Pipeline_Calc!$F$2:$F$5251,Pipeline_Sort!$C141))</f>
        <v>conversation</v>
      </c>
      <c r="F141" s="0" t="str">
        <f aca="false">IF(Pipeline_Sort!$C141="","",INDEX(Pipeline_Calc!$G$2:$G$5251,Pipeline_Sort!$C141))</f>
        <v/>
      </c>
      <c r="G141" s="0" t="str">
        <f aca="false">IF(Pipeline_Sort!$C141="","",INDEX(Pipeline_Calc!$H$2:$H$5251,Pipeline_Sort!$C141))</f>
        <v/>
      </c>
      <c r="H141" s="0" t="str">
        <f aca="false">IF(Pipeline_Sort!$C141="","",INDEX(Pipeline_Calc!$I$2:$I$5251,Pipeline_Sort!$C141))</f>
        <v/>
      </c>
      <c r="I141" s="0" t="str">
        <f aca="false">IF(Pipeline_Sort!$C141="","",INDEX(Pipeline_Calc!$J$2:$J$5251,Pipeline_Sort!$C141))</f>
        <v>video</v>
      </c>
    </row>
    <row r="142" customFormat="false" ht="15" hidden="false" customHeight="false" outlineLevel="0" collapsed="false">
      <c r="A142" s="33" t="n">
        <f aca="false">IF(Pipeline_Sort!$C142="","",INDEX(Pipeline_Calc!$B$2:$B$5251,Pipeline_Sort!$C142))</f>
        <v>46338</v>
      </c>
      <c r="B142" s="0" t="str">
        <f aca="false">IF(Pipeline_Sort!$C142="","",INDEX(Pipeline_Calc!$C$2:$C$5251,Pipeline_Sort!$C142))</f>
        <v>brand</v>
      </c>
      <c r="C142" s="0" t="str">
        <f aca="false">IF(Pipeline_Sort!$C142="","",INDEX(Pipeline_Calc!$D$2:$D$5251,Pipeline_Sort!$C142))</f>
        <v>SAMPLE-B-002</v>
      </c>
      <c r="D142" s="0" t="str">
        <f aca="false">IF(Pipeline_Sort!$C142="","",INDEX(Pipeline_Calc!$E$2:$E$5251,Pipeline_Sort!$C142))</f>
        <v>SAMPLE Brand 02</v>
      </c>
      <c r="E142" s="0" t="str">
        <f aca="false">IF(Pipeline_Sort!$C142="","",INDEX(Pipeline_Calc!$F$2:$F$5251,Pipeline_Sort!$C142))</f>
        <v>conversation</v>
      </c>
      <c r="F142" s="0" t="str">
        <f aca="false">IF(Pipeline_Sort!$C142="","",INDEX(Pipeline_Calc!$G$2:$G$5251,Pipeline_Sort!$C142))</f>
        <v/>
      </c>
      <c r="G142" s="0" t="str">
        <f aca="false">IF(Pipeline_Sort!$C142="","",INDEX(Pipeline_Calc!$H$2:$H$5251,Pipeline_Sort!$C142))</f>
        <v/>
      </c>
      <c r="H142" s="0" t="str">
        <f aca="false">IF(Pipeline_Sort!$C142="","",INDEX(Pipeline_Calc!$I$2:$I$5251,Pipeline_Sort!$C142))</f>
        <v/>
      </c>
      <c r="I142" s="0" t="str">
        <f aca="false">IF(Pipeline_Sort!$C142="","",INDEX(Pipeline_Calc!$J$2:$J$5251,Pipeline_Sort!$C142))</f>
        <v>video</v>
      </c>
    </row>
    <row r="143" customFormat="false" ht="15" hidden="false" customHeight="false" outlineLevel="0" collapsed="false">
      <c r="A143" s="33" t="n">
        <f aca="false">IF(Pipeline_Sort!$C143="","",INDEX(Pipeline_Calc!$B$2:$B$5251,Pipeline_Sort!$C143))</f>
        <v>46338</v>
      </c>
      <c r="B143" s="0" t="str">
        <f aca="false">IF(Pipeline_Sort!$C143="","",INDEX(Pipeline_Calc!$C$2:$C$5251,Pipeline_Sort!$C143))</f>
        <v>brand</v>
      </c>
      <c r="C143" s="0" t="str">
        <f aca="false">IF(Pipeline_Sort!$C143="","",INDEX(Pipeline_Calc!$D$2:$D$5251,Pipeline_Sort!$C143))</f>
        <v>SAMPLE-B-011</v>
      </c>
      <c r="D143" s="0" t="str">
        <f aca="false">IF(Pipeline_Sort!$C143="","",INDEX(Pipeline_Calc!$E$2:$E$5251,Pipeline_Sort!$C143))</f>
        <v>SAMPLE Brand 11</v>
      </c>
      <c r="E143" s="0" t="str">
        <f aca="false">IF(Pipeline_Sort!$C143="","",INDEX(Pipeline_Calc!$F$2:$F$5251,Pipeline_Sort!$C143))</f>
        <v>yes_in_principle</v>
      </c>
      <c r="F143" s="0" t="str">
        <f aca="false">IF(Pipeline_Sort!$C143="","",INDEX(Pipeline_Calc!$G$2:$G$5251,Pipeline_Sort!$C143))</f>
        <v/>
      </c>
      <c r="G143" s="0" t="str">
        <f aca="false">IF(Pipeline_Sort!$C143="","",INDEX(Pipeline_Calc!$H$2:$H$5251,Pipeline_Sort!$C143))</f>
        <v/>
      </c>
      <c r="H143" s="0" t="str">
        <f aca="false">IF(Pipeline_Sort!$C143="","",INDEX(Pipeline_Calc!$I$2:$I$5251,Pipeline_Sort!$C143))</f>
        <v>Y</v>
      </c>
      <c r="I143" s="0" t="str">
        <f aca="false">IF(Pipeline_Sort!$C143="","",INDEX(Pipeline_Calc!$J$2:$J$5251,Pipeline_Sort!$C143))</f>
        <v/>
      </c>
    </row>
    <row r="144" customFormat="false" ht="15" hidden="false" customHeight="false" outlineLevel="0" collapsed="false">
      <c r="A144" s="33" t="n">
        <f aca="false">IF(Pipeline_Sort!$C144="","",INDEX(Pipeline_Calc!$B$2:$B$5251,Pipeline_Sort!$C144))</f>
        <v>46338</v>
      </c>
      <c r="B144" s="0" t="str">
        <f aca="false">IF(Pipeline_Sort!$C144="","",INDEX(Pipeline_Calc!$C$2:$C$5251,Pipeline_Sort!$C144))</f>
        <v>brand</v>
      </c>
      <c r="C144" s="0" t="str">
        <f aca="false">IF(Pipeline_Sort!$C144="","",INDEX(Pipeline_Calc!$D$2:$D$5251,Pipeline_Sort!$C144))</f>
        <v>SAMPLE-B-002</v>
      </c>
      <c r="D144" s="0" t="str">
        <f aca="false">IF(Pipeline_Sort!$C144="","",INDEX(Pipeline_Calc!$E$2:$E$5251,Pipeline_Sort!$C144))</f>
        <v>SAMPLE Brand 02</v>
      </c>
      <c r="E144" s="0" t="str">
        <f aca="false">IF(Pipeline_Sort!$C144="","",INDEX(Pipeline_Calc!$F$2:$F$5251,Pipeline_Sort!$C144))</f>
        <v>yes_in_principle</v>
      </c>
      <c r="F144" s="0" t="str">
        <f aca="false">IF(Pipeline_Sort!$C144="","",INDEX(Pipeline_Calc!$G$2:$G$5251,Pipeline_Sort!$C144))</f>
        <v/>
      </c>
      <c r="G144" s="0" t="str">
        <f aca="false">IF(Pipeline_Sort!$C144="","",INDEX(Pipeline_Calc!$H$2:$H$5251,Pipeline_Sort!$C144))</f>
        <v/>
      </c>
      <c r="H144" s="0" t="str">
        <f aca="false">IF(Pipeline_Sort!$C144="","",INDEX(Pipeline_Calc!$I$2:$I$5251,Pipeline_Sort!$C144))</f>
        <v>Y</v>
      </c>
      <c r="I144" s="0" t="str">
        <f aca="false">IF(Pipeline_Sort!$C144="","",INDEX(Pipeline_Calc!$J$2:$J$5251,Pipeline_Sort!$C144))</f>
        <v/>
      </c>
    </row>
    <row r="145" customFormat="false" ht="15" hidden="false" customHeight="false" outlineLevel="0" collapsed="false">
      <c r="A145" s="33" t="n">
        <f aca="false">IF(Pipeline_Sort!$C145="","",INDEX(Pipeline_Calc!$B$2:$B$5251,Pipeline_Sort!$C145))</f>
        <v>46338</v>
      </c>
      <c r="B145" s="0" t="str">
        <f aca="false">IF(Pipeline_Sort!$C145="","",INDEX(Pipeline_Calc!$C$2:$C$5251,Pipeline_Sort!$C145))</f>
        <v>brand</v>
      </c>
      <c r="C145" s="0" t="str">
        <f aca="false">IF(Pipeline_Sort!$C145="","",INDEX(Pipeline_Calc!$D$2:$D$5251,Pipeline_Sort!$C145))</f>
        <v>SAMPLE-B-011</v>
      </c>
      <c r="D145" s="0" t="str">
        <f aca="false">IF(Pipeline_Sort!$C145="","",INDEX(Pipeline_Calc!$E$2:$E$5251,Pipeline_Sort!$C145))</f>
        <v>SAMPLE Brand 11</v>
      </c>
      <c r="E145" s="0" t="str">
        <f aca="false">IF(Pipeline_Sort!$C145="","",INDEX(Pipeline_Calc!$F$2:$F$5251,Pipeline_Sort!$C145))</f>
        <v>budget_probe</v>
      </c>
      <c r="F145" s="32" t="n">
        <f aca="false">IF(Pipeline_Sort!$C145="","",INDEX(Pipeline_Calc!$G$2:$G$5251,Pipeline_Sort!$C145))</f>
        <v>600</v>
      </c>
      <c r="G145" s="0" t="str">
        <f aca="false">IF(Pipeline_Sort!$C145="","",INDEX(Pipeline_Calc!$H$2:$H$5251,Pipeline_Sort!$C145))</f>
        <v>SAMPLE: $600</v>
      </c>
      <c r="H145" s="0" t="str">
        <f aca="false">IF(Pipeline_Sort!$C145="","",INDEX(Pipeline_Calc!$I$2:$I$5251,Pipeline_Sort!$C145))</f>
        <v>Y</v>
      </c>
      <c r="I145" s="0" t="str">
        <f aca="false">IF(Pipeline_Sort!$C145="","",INDEX(Pipeline_Calc!$J$2:$J$5251,Pipeline_Sort!$C145))</f>
        <v/>
      </c>
    </row>
    <row r="146" customFormat="false" ht="15" hidden="false" customHeight="false" outlineLevel="0" collapsed="false">
      <c r="A146" s="33" t="n">
        <f aca="false">IF(Pipeline_Sort!$C146="","",INDEX(Pipeline_Calc!$B$2:$B$5251,Pipeline_Sort!$C146))</f>
        <v>46338</v>
      </c>
      <c r="B146" s="0" t="str">
        <f aca="false">IF(Pipeline_Sort!$C146="","",INDEX(Pipeline_Calc!$C$2:$C$5251,Pipeline_Sort!$C146))</f>
        <v>brand</v>
      </c>
      <c r="C146" s="0" t="str">
        <f aca="false">IF(Pipeline_Sort!$C146="","",INDEX(Pipeline_Calc!$D$2:$D$5251,Pipeline_Sort!$C146))</f>
        <v>SAMPLE-B-011</v>
      </c>
      <c r="D146" s="0" t="str">
        <f aca="false">IF(Pipeline_Sort!$C146="","",INDEX(Pipeline_Calc!$E$2:$E$5251,Pipeline_Sort!$C146))</f>
        <v>SAMPLE Brand 11</v>
      </c>
      <c r="E146" s="0" t="str">
        <f aca="false">IF(Pipeline_Sort!$C146="","",INDEX(Pipeline_Calc!$F$2:$F$5251,Pipeline_Sort!$C146))</f>
        <v>budget_probe</v>
      </c>
      <c r="F146" s="32" t="n">
        <f aca="false">IF(Pipeline_Sort!$C146="","",INDEX(Pipeline_Calc!$G$2:$G$5251,Pipeline_Sort!$C146))</f>
        <v>900</v>
      </c>
      <c r="G146" s="0" t="str">
        <f aca="false">IF(Pipeline_Sort!$C146="","",INDEX(Pipeline_Calc!$H$2:$H$5251,Pipeline_Sort!$C146))</f>
        <v>SAMPLE: $900</v>
      </c>
      <c r="H146" s="0" t="str">
        <f aca="false">IF(Pipeline_Sort!$C146="","",INDEX(Pipeline_Calc!$I$2:$I$5251,Pipeline_Sort!$C146))</f>
        <v>Y</v>
      </c>
      <c r="I146" s="0" t="str">
        <f aca="false">IF(Pipeline_Sort!$C146="","",INDEX(Pipeline_Calc!$J$2:$J$5251,Pipeline_Sort!$C146))</f>
        <v>after_1500</v>
      </c>
    </row>
    <row r="147" customFormat="false" ht="15" hidden="false" customHeight="false" outlineLevel="0" collapsed="false">
      <c r="A147" s="33" t="n">
        <f aca="false">IF(Pipeline_Sort!$C147="","",INDEX(Pipeline_Calc!$B$2:$B$5251,Pipeline_Sort!$C147))</f>
        <v>46338</v>
      </c>
      <c r="B147" s="0" t="str">
        <f aca="false">IF(Pipeline_Sort!$C147="","",INDEX(Pipeline_Calc!$C$2:$C$5251,Pipeline_Sort!$C147))</f>
        <v>brand</v>
      </c>
      <c r="C147" s="0" t="str">
        <f aca="false">IF(Pipeline_Sort!$C147="","",INDEX(Pipeline_Calc!$D$2:$D$5251,Pipeline_Sort!$C147))</f>
        <v>SAMPLE-B-002</v>
      </c>
      <c r="D147" s="0" t="str">
        <f aca="false">IF(Pipeline_Sort!$C147="","",INDEX(Pipeline_Calc!$E$2:$E$5251,Pipeline_Sort!$C147))</f>
        <v>SAMPLE Brand 02</v>
      </c>
      <c r="E147" s="0" t="str">
        <f aca="false">IF(Pipeline_Sort!$C147="","",INDEX(Pipeline_Calc!$F$2:$F$5251,Pipeline_Sort!$C147))</f>
        <v>budget_probe</v>
      </c>
      <c r="F147" s="32" t="n">
        <f aca="false">IF(Pipeline_Sort!$C147="","",INDEX(Pipeline_Calc!$G$2:$G$5251,Pipeline_Sort!$C147))</f>
        <v>700</v>
      </c>
      <c r="G147" s="0" t="str">
        <f aca="false">IF(Pipeline_Sort!$C147="","",INDEX(Pipeline_Calc!$H$2:$H$5251,Pipeline_Sort!$C147))</f>
        <v>SAMPLE: $700 on reflection</v>
      </c>
      <c r="H147" s="0" t="str">
        <f aca="false">IF(Pipeline_Sort!$C147="","",INDEX(Pipeline_Calc!$I$2:$I$5251,Pipeline_Sort!$C147))</f>
        <v>Y</v>
      </c>
      <c r="I147" s="0" t="str">
        <f aca="false">IF(Pipeline_Sort!$C147="","",INDEX(Pipeline_Calc!$J$2:$J$5251,Pipeline_Sort!$C147))</f>
        <v>after_1500</v>
      </c>
    </row>
    <row r="148" customFormat="false" ht="15" hidden="false" customHeight="false" outlineLevel="0" collapsed="false">
      <c r="A148" s="33" t="n">
        <f aca="false">IF(Pipeline_Sort!$C148="","",INDEX(Pipeline_Calc!$B$2:$B$5251,Pipeline_Sort!$C148))</f>
        <v>46338</v>
      </c>
      <c r="B148" s="0" t="str">
        <f aca="false">IF(Pipeline_Sort!$C148="","",INDEX(Pipeline_Calc!$C$2:$C$5251,Pipeline_Sort!$C148))</f>
        <v>office</v>
      </c>
      <c r="C148" s="0" t="str">
        <f aca="false">IF(Pipeline_Sort!$C148="","",INDEX(Pipeline_Calc!$D$2:$D$5251,Pipeline_Sort!$C148))</f>
        <v>SAMPLE-O-023</v>
      </c>
      <c r="D148" s="0" t="str">
        <f aca="false">IF(Pipeline_Sort!$C148="","",INDEX(Pipeline_Calc!$E$2:$E$5251,Pipeline_Sort!$C148))</f>
        <v>SAMPLE Office 23</v>
      </c>
      <c r="E148" s="0" t="str">
        <f aca="false">IF(Pipeline_Sort!$C148="","",INDEX(Pipeline_Calc!$F$2:$F$5251,Pipeline_Sort!$C148))</f>
        <v>outreach_sent</v>
      </c>
      <c r="F148" s="0" t="str">
        <f aca="false">IF(Pipeline_Sort!$C148="","",INDEX(Pipeline_Calc!$G$2:$G$5251,Pipeline_Sort!$C148))</f>
        <v/>
      </c>
      <c r="G148" s="0" t="str">
        <f aca="false">IF(Pipeline_Sort!$C148="","",INDEX(Pipeline_Calc!$H$2:$H$5251,Pipeline_Sort!$C148))</f>
        <v/>
      </c>
      <c r="H148" s="0" t="str">
        <f aca="false">IF(Pipeline_Sort!$C148="","",INDEX(Pipeline_Calc!$I$2:$I$5251,Pipeline_Sort!$C148))</f>
        <v/>
      </c>
      <c r="I148" s="0" t="str">
        <f aca="false">IF(Pipeline_Sort!$C148="","",INDEX(Pipeline_Calc!$J$2:$J$5251,Pipeline_Sort!$C148))</f>
        <v>touch_1; office-discovery-A; email</v>
      </c>
    </row>
    <row r="149" customFormat="false" ht="15" hidden="false" customHeight="false" outlineLevel="0" collapsed="false">
      <c r="A149" s="33" t="n">
        <f aca="false">IF(Pipeline_Sort!$C149="","",INDEX(Pipeline_Calc!$B$2:$B$5251,Pipeline_Sort!$C149))</f>
        <v>46338</v>
      </c>
      <c r="B149" s="0" t="str">
        <f aca="false">IF(Pipeline_Sort!$C149="","",INDEX(Pipeline_Calc!$C$2:$C$5251,Pipeline_Sort!$C149))</f>
        <v>office</v>
      </c>
      <c r="C149" s="0" t="str">
        <f aca="false">IF(Pipeline_Sort!$C149="","",INDEX(Pipeline_Calc!$D$2:$D$5251,Pipeline_Sort!$C149))</f>
        <v>SAMPLE-O-022</v>
      </c>
      <c r="D149" s="0" t="str">
        <f aca="false">IF(Pipeline_Sort!$C149="","",INDEX(Pipeline_Calc!$E$2:$E$5251,Pipeline_Sort!$C149))</f>
        <v>SAMPLE Office 22</v>
      </c>
      <c r="E149" s="0" t="str">
        <f aca="false">IF(Pipeline_Sort!$C149="","",INDEX(Pipeline_Calc!$F$2:$F$5251,Pipeline_Sort!$C149))</f>
        <v>outreach_sent</v>
      </c>
      <c r="F149" s="0" t="str">
        <f aca="false">IF(Pipeline_Sort!$C149="","",INDEX(Pipeline_Calc!$G$2:$G$5251,Pipeline_Sort!$C149))</f>
        <v/>
      </c>
      <c r="G149" s="0" t="str">
        <f aca="false">IF(Pipeline_Sort!$C149="","",INDEX(Pipeline_Calc!$H$2:$H$5251,Pipeline_Sort!$C149))</f>
        <v/>
      </c>
      <c r="H149" s="0" t="str">
        <f aca="false">IF(Pipeline_Sort!$C149="","",INDEX(Pipeline_Calc!$I$2:$I$5251,Pipeline_Sort!$C149))</f>
        <v/>
      </c>
      <c r="I149" s="0" t="str">
        <f aca="false">IF(Pipeline_Sort!$C149="","",INDEX(Pipeline_Calc!$J$2:$J$5251,Pipeline_Sort!$C149))</f>
        <v>touch_2; office-discovery-B; linkedin</v>
      </c>
    </row>
    <row r="150" customFormat="false" ht="15" hidden="false" customHeight="false" outlineLevel="0" collapsed="false">
      <c r="A150" s="33" t="n">
        <f aca="false">IF(Pipeline_Sort!$C150="","",INDEX(Pipeline_Calc!$B$2:$B$5251,Pipeline_Sort!$C150))</f>
        <v>46338</v>
      </c>
      <c r="B150" s="0" t="str">
        <f aca="false">IF(Pipeline_Sort!$C150="","",INDEX(Pipeline_Calc!$C$2:$C$5251,Pipeline_Sort!$C150))</f>
        <v>brand</v>
      </c>
      <c r="C150" s="0" t="str">
        <f aca="false">IF(Pipeline_Sort!$C150="","",INDEX(Pipeline_Calc!$D$2:$D$5251,Pipeline_Sort!$C150))</f>
        <v>SAMPLE-B-015</v>
      </c>
      <c r="D150" s="0" t="str">
        <f aca="false">IF(Pipeline_Sort!$C150="","",INDEX(Pipeline_Calc!$E$2:$E$5251,Pipeline_Sort!$C150))</f>
        <v>SAMPLE Brand 15</v>
      </c>
      <c r="E150" s="0" t="str">
        <f aca="false">IF(Pipeline_Sort!$C150="","",INDEX(Pipeline_Calc!$F$2:$F$5251,Pipeline_Sort!$C150))</f>
        <v>outreach_sent</v>
      </c>
      <c r="F150" s="0" t="str">
        <f aca="false">IF(Pipeline_Sort!$C150="","",INDEX(Pipeline_Calc!$G$2:$G$5251,Pipeline_Sort!$C150))</f>
        <v/>
      </c>
      <c r="G150" s="0" t="str">
        <f aca="false">IF(Pipeline_Sort!$C150="","",INDEX(Pipeline_Calc!$H$2:$H$5251,Pipeline_Sort!$C150))</f>
        <v/>
      </c>
      <c r="H150" s="0" t="str">
        <f aca="false">IF(Pipeline_Sort!$C150="","",INDEX(Pipeline_Calc!$I$2:$I$5251,Pipeline_Sort!$C150))</f>
        <v/>
      </c>
      <c r="I150" s="0" t="str">
        <f aca="false">IF(Pipeline_Sort!$C150="","",INDEX(Pipeline_Calc!$J$2:$J$5251,Pipeline_Sort!$C150))</f>
        <v>touch_1; brand-discovery-A; linkedin</v>
      </c>
    </row>
    <row r="151" customFormat="false" ht="15" hidden="false" customHeight="false" outlineLevel="0" collapsed="false">
      <c r="A151" s="33" t="n">
        <f aca="false">IF(Pipeline_Sort!$C151="","",INDEX(Pipeline_Calc!$B$2:$B$5251,Pipeline_Sort!$C151))</f>
        <v>46338</v>
      </c>
      <c r="B151" s="0" t="str">
        <f aca="false">IF(Pipeline_Sort!$C151="","",INDEX(Pipeline_Calc!$C$2:$C$5251,Pipeline_Sort!$C151))</f>
        <v>brand</v>
      </c>
      <c r="C151" s="0" t="str">
        <f aca="false">IF(Pipeline_Sort!$C151="","",INDEX(Pipeline_Calc!$D$2:$D$5251,Pipeline_Sort!$C151))</f>
        <v>SAMPLE-B-023</v>
      </c>
      <c r="D151" s="0" t="str">
        <f aca="false">IF(Pipeline_Sort!$C151="","",INDEX(Pipeline_Calc!$E$2:$E$5251,Pipeline_Sort!$C151))</f>
        <v>SAMPLE Brand 23</v>
      </c>
      <c r="E151" s="0" t="str">
        <f aca="false">IF(Pipeline_Sort!$C151="","",INDEX(Pipeline_Calc!$F$2:$F$5251,Pipeline_Sort!$C151))</f>
        <v>outreach_sent</v>
      </c>
      <c r="F151" s="0" t="str">
        <f aca="false">IF(Pipeline_Sort!$C151="","",INDEX(Pipeline_Calc!$G$2:$G$5251,Pipeline_Sort!$C151))</f>
        <v/>
      </c>
      <c r="G151" s="0" t="str">
        <f aca="false">IF(Pipeline_Sort!$C151="","",INDEX(Pipeline_Calc!$H$2:$H$5251,Pipeline_Sort!$C151))</f>
        <v/>
      </c>
      <c r="H151" s="0" t="str">
        <f aca="false">IF(Pipeline_Sort!$C151="","",INDEX(Pipeline_Calc!$I$2:$I$5251,Pipeline_Sort!$C151))</f>
        <v/>
      </c>
      <c r="I151" s="0" t="str">
        <f aca="false">IF(Pipeline_Sort!$C151="","",INDEX(Pipeline_Calc!$J$2:$J$5251,Pipeline_Sort!$C151))</f>
        <v>touch_1; brand-discovery-A; email</v>
      </c>
    </row>
    <row r="152" customFormat="false" ht="15" hidden="false" customHeight="false" outlineLevel="0" collapsed="false">
      <c r="A152" s="33" t="n">
        <f aca="false">IF(Pipeline_Sort!$C152="","",INDEX(Pipeline_Calc!$B$2:$B$5251,Pipeline_Sort!$C152))</f>
        <v>46338</v>
      </c>
      <c r="B152" s="0" t="str">
        <f aca="false">IF(Pipeline_Sort!$C152="","",INDEX(Pipeline_Calc!$C$2:$C$5251,Pipeline_Sort!$C152))</f>
        <v>brand</v>
      </c>
      <c r="C152" s="0" t="str">
        <f aca="false">IF(Pipeline_Sort!$C152="","",INDEX(Pipeline_Calc!$D$2:$D$5251,Pipeline_Sort!$C152))</f>
        <v>SAMPLE-B-022</v>
      </c>
      <c r="D152" s="0" t="str">
        <f aca="false">IF(Pipeline_Sort!$C152="","",INDEX(Pipeline_Calc!$E$2:$E$5251,Pipeline_Sort!$C152))</f>
        <v>SAMPLE Brand 22</v>
      </c>
      <c r="E152" s="0" t="str">
        <f aca="false">IF(Pipeline_Sort!$C152="","",INDEX(Pipeline_Calc!$F$2:$F$5251,Pipeline_Sort!$C152))</f>
        <v>outreach_sent</v>
      </c>
      <c r="F152" s="0" t="str">
        <f aca="false">IF(Pipeline_Sort!$C152="","",INDEX(Pipeline_Calc!$G$2:$G$5251,Pipeline_Sort!$C152))</f>
        <v/>
      </c>
      <c r="G152" s="0" t="str">
        <f aca="false">IF(Pipeline_Sort!$C152="","",INDEX(Pipeline_Calc!$H$2:$H$5251,Pipeline_Sort!$C152))</f>
        <v/>
      </c>
      <c r="H152" s="0" t="str">
        <f aca="false">IF(Pipeline_Sort!$C152="","",INDEX(Pipeline_Calc!$I$2:$I$5251,Pipeline_Sort!$C152))</f>
        <v/>
      </c>
      <c r="I152" s="0" t="str">
        <f aca="false">IF(Pipeline_Sort!$C152="","",INDEX(Pipeline_Calc!$J$2:$J$5251,Pipeline_Sort!$C152))</f>
        <v>touch_2; brand-discovery-B; linkedin</v>
      </c>
    </row>
    <row r="153" customFormat="false" ht="15" hidden="false" customHeight="false" outlineLevel="0" collapsed="false">
      <c r="A153" s="33" t="n">
        <f aca="false">IF(Pipeline_Sort!$C153="","",INDEX(Pipeline_Calc!$B$2:$B$5251,Pipeline_Sort!$C153))</f>
        <v>46339</v>
      </c>
      <c r="B153" s="0" t="str">
        <f aca="false">IF(Pipeline_Sort!$C153="","",INDEX(Pipeline_Calc!$C$2:$C$5251,Pipeline_Sort!$C153))</f>
        <v>office</v>
      </c>
      <c r="C153" s="0" t="str">
        <f aca="false">IF(Pipeline_Sort!$C153="","",INDEX(Pipeline_Calc!$D$2:$D$5251,Pipeline_Sort!$C153))</f>
        <v>SAMPLE-O-013</v>
      </c>
      <c r="D153" s="0" t="str">
        <f aca="false">IF(Pipeline_Sort!$C153="","",INDEX(Pipeline_Calc!$E$2:$E$5251,Pipeline_Sort!$C153))</f>
        <v>SAMPLE Office 13</v>
      </c>
      <c r="E153" s="0" t="str">
        <f aca="false">IF(Pipeline_Sort!$C153="","",INDEX(Pipeline_Calc!$F$2:$F$5251,Pipeline_Sort!$C153))</f>
        <v>conversation</v>
      </c>
      <c r="F153" s="0" t="str">
        <f aca="false">IF(Pipeline_Sort!$C153="","",INDEX(Pipeline_Calc!$G$2:$G$5251,Pipeline_Sort!$C153))</f>
        <v/>
      </c>
      <c r="G153" s="0" t="str">
        <f aca="false">IF(Pipeline_Sort!$C153="","",INDEX(Pipeline_Calc!$H$2:$H$5251,Pipeline_Sort!$C153))</f>
        <v/>
      </c>
      <c r="H153" s="0" t="str">
        <f aca="false">IF(Pipeline_Sort!$C153="","",INDEX(Pipeline_Calc!$I$2:$I$5251,Pipeline_Sort!$C153))</f>
        <v/>
      </c>
      <c r="I153" s="0" t="str">
        <f aca="false">IF(Pipeline_Sort!$C153="","",INDEX(Pipeline_Calc!$J$2:$J$5251,Pipeline_Sort!$C153))</f>
        <v>in-person</v>
      </c>
    </row>
    <row r="154" customFormat="false" ht="15" hidden="false" customHeight="false" outlineLevel="0" collapsed="false">
      <c r="A154" s="33" t="n">
        <f aca="false">IF(Pipeline_Sort!$C154="","",INDEX(Pipeline_Calc!$B$2:$B$5251,Pipeline_Sort!$C154))</f>
        <v>46339</v>
      </c>
      <c r="B154" s="0" t="str">
        <f aca="false">IF(Pipeline_Sort!$C154="","",INDEX(Pipeline_Calc!$C$2:$C$5251,Pipeline_Sort!$C154))</f>
        <v>office</v>
      </c>
      <c r="C154" s="0" t="str">
        <f aca="false">IF(Pipeline_Sort!$C154="","",INDEX(Pipeline_Calc!$D$2:$D$5251,Pipeline_Sort!$C154))</f>
        <v>SAMPLE-O-013</v>
      </c>
      <c r="D154" s="0" t="str">
        <f aca="false">IF(Pipeline_Sort!$C154="","",INDEX(Pipeline_Calc!$E$2:$E$5251,Pipeline_Sort!$C154))</f>
        <v>SAMPLE Office 13</v>
      </c>
      <c r="E154" s="0" t="str">
        <f aca="false">IF(Pipeline_Sort!$C154="","",INDEX(Pipeline_Calc!$F$2:$F$5251,Pipeline_Sort!$C154))</f>
        <v>yes_in_principle</v>
      </c>
      <c r="F154" s="0" t="str">
        <f aca="false">IF(Pipeline_Sort!$C154="","",INDEX(Pipeline_Calc!$G$2:$G$5251,Pipeline_Sort!$C154))</f>
        <v/>
      </c>
      <c r="G154" s="0" t="str">
        <f aca="false">IF(Pipeline_Sort!$C154="","",INDEX(Pipeline_Calc!$H$2:$H$5251,Pipeline_Sort!$C154))</f>
        <v/>
      </c>
      <c r="H154" s="0" t="str">
        <f aca="false">IF(Pipeline_Sort!$C154="","",INDEX(Pipeline_Calc!$I$2:$I$5251,Pipeline_Sort!$C154))</f>
        <v/>
      </c>
      <c r="I154" s="0" t="str">
        <f aca="false">IF(Pipeline_Sort!$C154="","",INDEX(Pipeline_Calc!$J$2:$J$5251,Pipeline_Sort!$C154))</f>
        <v>owner: Office Manager; window: SAMPLE Tue 9am</v>
      </c>
    </row>
    <row r="155" customFormat="false" ht="15" hidden="false" customHeight="false" outlineLevel="0" collapsed="false">
      <c r="A155" s="33" t="n">
        <f aca="false">IF(Pipeline_Sort!$C155="","",INDEX(Pipeline_Calc!$B$2:$B$5251,Pipeline_Sort!$C155))</f>
        <v>46339</v>
      </c>
      <c r="B155" s="0" t="str">
        <f aca="false">IF(Pipeline_Sort!$C155="","",INDEX(Pipeline_Calc!$C$2:$C$5251,Pipeline_Sort!$C155))</f>
        <v>brand</v>
      </c>
      <c r="C155" s="0" t="str">
        <f aca="false">IF(Pipeline_Sort!$C155="","",INDEX(Pipeline_Calc!$D$2:$D$5251,Pipeline_Sort!$C155))</f>
        <v>SAMPLE-B-012</v>
      </c>
      <c r="D155" s="0" t="str">
        <f aca="false">IF(Pipeline_Sort!$C155="","",INDEX(Pipeline_Calc!$E$2:$E$5251,Pipeline_Sort!$C155))</f>
        <v>SAMPLE Brand 12</v>
      </c>
      <c r="E155" s="0" t="str">
        <f aca="false">IF(Pipeline_Sort!$C155="","",INDEX(Pipeline_Calc!$F$2:$F$5251,Pipeline_Sort!$C155))</f>
        <v>conversation</v>
      </c>
      <c r="F155" s="0" t="str">
        <f aca="false">IF(Pipeline_Sort!$C155="","",INDEX(Pipeline_Calc!$G$2:$G$5251,Pipeline_Sort!$C155))</f>
        <v/>
      </c>
      <c r="G155" s="0" t="str">
        <f aca="false">IF(Pipeline_Sort!$C155="","",INDEX(Pipeline_Calc!$H$2:$H$5251,Pipeline_Sort!$C155))</f>
        <v/>
      </c>
      <c r="H155" s="0" t="str">
        <f aca="false">IF(Pipeline_Sort!$C155="","",INDEX(Pipeline_Calc!$I$2:$I$5251,Pipeline_Sort!$C155))</f>
        <v/>
      </c>
      <c r="I155" s="0" t="str">
        <f aca="false">IF(Pipeline_Sort!$C155="","",INDEX(Pipeline_Calc!$J$2:$J$5251,Pipeline_Sort!$C155))</f>
        <v>video</v>
      </c>
    </row>
    <row r="156" customFormat="false" ht="15" hidden="false" customHeight="false" outlineLevel="0" collapsed="false">
      <c r="A156" s="33" t="n">
        <f aca="false">IF(Pipeline_Sort!$C156="","",INDEX(Pipeline_Calc!$B$2:$B$5251,Pipeline_Sort!$C156))</f>
        <v>46339</v>
      </c>
      <c r="B156" s="0" t="str">
        <f aca="false">IF(Pipeline_Sort!$C156="","",INDEX(Pipeline_Calc!$C$2:$C$5251,Pipeline_Sort!$C156))</f>
        <v>brand</v>
      </c>
      <c r="C156" s="0" t="str">
        <f aca="false">IF(Pipeline_Sort!$C156="","",INDEX(Pipeline_Calc!$D$2:$D$5251,Pipeline_Sort!$C156))</f>
        <v>SAMPLE-B-013</v>
      </c>
      <c r="D156" s="0" t="str">
        <f aca="false">IF(Pipeline_Sort!$C156="","",INDEX(Pipeline_Calc!$E$2:$E$5251,Pipeline_Sort!$C156))</f>
        <v>SAMPLE Brand 13</v>
      </c>
      <c r="E156" s="0" t="str">
        <f aca="false">IF(Pipeline_Sort!$C156="","",INDEX(Pipeline_Calc!$F$2:$F$5251,Pipeline_Sort!$C156))</f>
        <v>conversation</v>
      </c>
      <c r="F156" s="0" t="str">
        <f aca="false">IF(Pipeline_Sort!$C156="","",INDEX(Pipeline_Calc!$G$2:$G$5251,Pipeline_Sort!$C156))</f>
        <v/>
      </c>
      <c r="G156" s="0" t="str">
        <f aca="false">IF(Pipeline_Sort!$C156="","",INDEX(Pipeline_Calc!$H$2:$H$5251,Pipeline_Sort!$C156))</f>
        <v/>
      </c>
      <c r="H156" s="0" t="str">
        <f aca="false">IF(Pipeline_Sort!$C156="","",INDEX(Pipeline_Calc!$I$2:$I$5251,Pipeline_Sort!$C156))</f>
        <v/>
      </c>
      <c r="I156" s="0" t="str">
        <f aca="false">IF(Pipeline_Sort!$C156="","",INDEX(Pipeline_Calc!$J$2:$J$5251,Pipeline_Sort!$C156))</f>
        <v>video</v>
      </c>
    </row>
    <row r="157" customFormat="false" ht="15" hidden="false" customHeight="false" outlineLevel="0" collapsed="false">
      <c r="A157" s="33" t="n">
        <f aca="false">IF(Pipeline_Sort!$C157="","",INDEX(Pipeline_Calc!$B$2:$B$5251,Pipeline_Sort!$C157))</f>
        <v>46339</v>
      </c>
      <c r="B157" s="0" t="str">
        <f aca="false">IF(Pipeline_Sort!$C157="","",INDEX(Pipeline_Calc!$C$2:$C$5251,Pipeline_Sort!$C157))</f>
        <v>brand</v>
      </c>
      <c r="C157" s="0" t="str">
        <f aca="false">IF(Pipeline_Sort!$C157="","",INDEX(Pipeline_Calc!$D$2:$D$5251,Pipeline_Sort!$C157))</f>
        <v>SAMPLE-B-013</v>
      </c>
      <c r="D157" s="0" t="str">
        <f aca="false">IF(Pipeline_Sort!$C157="","",INDEX(Pipeline_Calc!$E$2:$E$5251,Pipeline_Sort!$C157))</f>
        <v>SAMPLE Brand 13</v>
      </c>
      <c r="E157" s="0" t="str">
        <f aca="false">IF(Pipeline_Sort!$C157="","",INDEX(Pipeline_Calc!$F$2:$F$5251,Pipeline_Sort!$C157))</f>
        <v>yes_in_principle</v>
      </c>
      <c r="F157" s="0" t="str">
        <f aca="false">IF(Pipeline_Sort!$C157="","",INDEX(Pipeline_Calc!$G$2:$G$5251,Pipeline_Sort!$C157))</f>
        <v/>
      </c>
      <c r="G157" s="0" t="str">
        <f aca="false">IF(Pipeline_Sort!$C157="","",INDEX(Pipeline_Calc!$H$2:$H$5251,Pipeline_Sort!$C157))</f>
        <v/>
      </c>
      <c r="H157" s="0" t="str">
        <f aca="false">IF(Pipeline_Sort!$C157="","",INDEX(Pipeline_Calc!$I$2:$I$5251,Pipeline_Sort!$C157))</f>
        <v>Y</v>
      </c>
      <c r="I157" s="0" t="str">
        <f aca="false">IF(Pipeline_Sort!$C157="","",INDEX(Pipeline_Calc!$J$2:$J$5251,Pipeline_Sort!$C157))</f>
        <v/>
      </c>
    </row>
    <row r="158" customFormat="false" ht="15" hidden="false" customHeight="false" outlineLevel="0" collapsed="false">
      <c r="A158" s="33" t="n">
        <f aca="false">IF(Pipeline_Sort!$C158="","",INDEX(Pipeline_Calc!$B$2:$B$5251,Pipeline_Sort!$C158))</f>
        <v>46339</v>
      </c>
      <c r="B158" s="0" t="str">
        <f aca="false">IF(Pipeline_Sort!$C158="","",INDEX(Pipeline_Calc!$C$2:$C$5251,Pipeline_Sort!$C158))</f>
        <v>brand</v>
      </c>
      <c r="C158" s="0" t="str">
        <f aca="false">IF(Pipeline_Sort!$C158="","",INDEX(Pipeline_Calc!$D$2:$D$5251,Pipeline_Sort!$C158))</f>
        <v>SAMPLE-B-012</v>
      </c>
      <c r="D158" s="0" t="str">
        <f aca="false">IF(Pipeline_Sort!$C158="","",INDEX(Pipeline_Calc!$E$2:$E$5251,Pipeline_Sort!$C158))</f>
        <v>SAMPLE Brand 12</v>
      </c>
      <c r="E158" s="0" t="str">
        <f aca="false">IF(Pipeline_Sort!$C158="","",INDEX(Pipeline_Calc!$F$2:$F$5251,Pipeline_Sort!$C158))</f>
        <v>budget_probe</v>
      </c>
      <c r="F158" s="32" t="n">
        <f aca="false">IF(Pipeline_Sort!$C158="","",INDEX(Pipeline_Calc!$G$2:$G$5251,Pipeline_Sort!$C158))</f>
        <v>100</v>
      </c>
      <c r="G158" s="0" t="str">
        <f aca="false">IF(Pipeline_Sort!$C158="","",INDEX(Pipeline_Calc!$H$2:$H$5251,Pipeline_Sort!$C158))</f>
        <v>SAMPLE: a hundred bucks</v>
      </c>
      <c r="H158" s="0" t="str">
        <f aca="false">IF(Pipeline_Sort!$C158="","",INDEX(Pipeline_Calc!$I$2:$I$5251,Pipeline_Sort!$C158))</f>
        <v>Y</v>
      </c>
      <c r="I158" s="0" t="str">
        <f aca="false">IF(Pipeline_Sort!$C158="","",INDEX(Pipeline_Calc!$J$2:$J$5251,Pipeline_Sort!$C158))</f>
        <v/>
      </c>
    </row>
    <row r="159" customFormat="false" ht="15" hidden="false" customHeight="false" outlineLevel="0" collapsed="false">
      <c r="A159" s="33" t="n">
        <f aca="false">IF(Pipeline_Sort!$C159="","",INDEX(Pipeline_Calc!$B$2:$B$5251,Pipeline_Sort!$C159))</f>
        <v>46339</v>
      </c>
      <c r="B159" s="0" t="str">
        <f aca="false">IF(Pipeline_Sort!$C159="","",INDEX(Pipeline_Calc!$C$2:$C$5251,Pipeline_Sort!$C159))</f>
        <v>brand</v>
      </c>
      <c r="C159" s="0" t="str">
        <f aca="false">IF(Pipeline_Sort!$C159="","",INDEX(Pipeline_Calc!$D$2:$D$5251,Pipeline_Sort!$C159))</f>
        <v>SAMPLE-B-013</v>
      </c>
      <c r="D159" s="0" t="str">
        <f aca="false">IF(Pipeline_Sort!$C159="","",INDEX(Pipeline_Calc!$E$2:$E$5251,Pipeline_Sort!$C159))</f>
        <v>SAMPLE Brand 13</v>
      </c>
      <c r="E159" s="0" t="str">
        <f aca="false">IF(Pipeline_Sort!$C159="","",INDEX(Pipeline_Calc!$F$2:$F$5251,Pipeline_Sort!$C159))</f>
        <v>budget_probe</v>
      </c>
      <c r="F159" s="32" t="n">
        <f aca="false">IF(Pipeline_Sort!$C159="","",INDEX(Pipeline_Calc!$G$2:$G$5251,Pipeline_Sort!$C159))</f>
        <v>500</v>
      </c>
      <c r="G159" s="0" t="str">
        <f aca="false">IF(Pipeline_Sort!$C159="","",INDEX(Pipeline_Calc!$H$2:$H$5251,Pipeline_Sort!$C159))</f>
        <v>SAMPLE: five hundred</v>
      </c>
      <c r="H159" s="0" t="str">
        <f aca="false">IF(Pipeline_Sort!$C159="","",INDEX(Pipeline_Calc!$I$2:$I$5251,Pipeline_Sort!$C159))</f>
        <v>Y</v>
      </c>
      <c r="I159" s="0" t="str">
        <f aca="false">IF(Pipeline_Sort!$C159="","",INDEX(Pipeline_Calc!$J$2:$J$5251,Pipeline_Sort!$C159))</f>
        <v/>
      </c>
    </row>
    <row r="160" customFormat="false" ht="15" hidden="false" customHeight="false" outlineLevel="0" collapsed="false">
      <c r="A160" s="33" t="n">
        <f aca="false">IF(Pipeline_Sort!$C160="","",INDEX(Pipeline_Calc!$B$2:$B$5251,Pipeline_Sort!$C160))</f>
        <v>46339</v>
      </c>
      <c r="B160" s="0" t="str">
        <f aca="false">IF(Pipeline_Sort!$C160="","",INDEX(Pipeline_Calc!$C$2:$C$5251,Pipeline_Sort!$C160))</f>
        <v>office</v>
      </c>
      <c r="C160" s="0" t="str">
        <f aca="false">IF(Pipeline_Sort!$C160="","",INDEX(Pipeline_Calc!$D$2:$D$5251,Pipeline_Sort!$C160))</f>
        <v>SAMPLE-O-017</v>
      </c>
      <c r="D160" s="0" t="str">
        <f aca="false">IF(Pipeline_Sort!$C160="","",INDEX(Pipeline_Calc!$E$2:$E$5251,Pipeline_Sort!$C160))</f>
        <v>SAMPLE Office 17</v>
      </c>
      <c r="E160" s="0" t="str">
        <f aca="false">IF(Pipeline_Sort!$C160="","",INDEX(Pipeline_Calc!$F$2:$F$5251,Pipeline_Sort!$C160))</f>
        <v>outreach_sent</v>
      </c>
      <c r="F160" s="0" t="str">
        <f aca="false">IF(Pipeline_Sort!$C160="","",INDEX(Pipeline_Calc!$G$2:$G$5251,Pipeline_Sort!$C160))</f>
        <v/>
      </c>
      <c r="G160" s="0" t="str">
        <f aca="false">IF(Pipeline_Sort!$C160="","",INDEX(Pipeline_Calc!$H$2:$H$5251,Pipeline_Sort!$C160))</f>
        <v/>
      </c>
      <c r="H160" s="0" t="str">
        <f aca="false">IF(Pipeline_Sort!$C160="","",INDEX(Pipeline_Calc!$I$2:$I$5251,Pipeline_Sort!$C160))</f>
        <v/>
      </c>
      <c r="I160" s="0" t="str">
        <f aca="false">IF(Pipeline_Sort!$C160="","",INDEX(Pipeline_Calc!$J$2:$J$5251,Pipeline_Sort!$C160))</f>
        <v>touch_1; office-discovery-A; email</v>
      </c>
    </row>
    <row r="161" customFormat="false" ht="15" hidden="false" customHeight="false" outlineLevel="0" collapsed="false">
      <c r="A161" s="33" t="n">
        <f aca="false">IF(Pipeline_Sort!$C161="","",INDEX(Pipeline_Calc!$B$2:$B$5251,Pipeline_Sort!$C161))</f>
        <v>46339</v>
      </c>
      <c r="B161" s="0" t="str">
        <f aca="false">IF(Pipeline_Sort!$C161="","",INDEX(Pipeline_Calc!$C$2:$C$5251,Pipeline_Sort!$C161))</f>
        <v>office</v>
      </c>
      <c r="C161" s="0" t="str">
        <f aca="false">IF(Pipeline_Sort!$C161="","",INDEX(Pipeline_Calc!$D$2:$D$5251,Pipeline_Sort!$C161))</f>
        <v>SAMPLE-O-036</v>
      </c>
      <c r="D161" s="0" t="str">
        <f aca="false">IF(Pipeline_Sort!$C161="","",INDEX(Pipeline_Calc!$E$2:$E$5251,Pipeline_Sort!$C161))</f>
        <v>SAMPLE Office 36</v>
      </c>
      <c r="E161" s="0" t="str">
        <f aca="false">IF(Pipeline_Sort!$C161="","",INDEX(Pipeline_Calc!$F$2:$F$5251,Pipeline_Sort!$C161))</f>
        <v>outreach_sent</v>
      </c>
      <c r="F161" s="0" t="str">
        <f aca="false">IF(Pipeline_Sort!$C161="","",INDEX(Pipeline_Calc!$G$2:$G$5251,Pipeline_Sort!$C161))</f>
        <v/>
      </c>
      <c r="G161" s="0" t="str">
        <f aca="false">IF(Pipeline_Sort!$C161="","",INDEX(Pipeline_Calc!$H$2:$H$5251,Pipeline_Sort!$C161))</f>
        <v/>
      </c>
      <c r="H161" s="0" t="str">
        <f aca="false">IF(Pipeline_Sort!$C161="","",INDEX(Pipeline_Calc!$I$2:$I$5251,Pipeline_Sort!$C161))</f>
        <v/>
      </c>
      <c r="I161" s="0" t="str">
        <f aca="false">IF(Pipeline_Sort!$C161="","",INDEX(Pipeline_Calc!$J$2:$J$5251,Pipeline_Sort!$C161))</f>
        <v>touch_1; office-discovery-B; linkedin</v>
      </c>
    </row>
    <row r="162" customFormat="false" ht="15" hidden="false" customHeight="false" outlineLevel="0" collapsed="false">
      <c r="A162" s="33" t="n">
        <f aca="false">IF(Pipeline_Sort!$C162="","",INDEX(Pipeline_Calc!$B$2:$B$5251,Pipeline_Sort!$C162))</f>
        <v>46339</v>
      </c>
      <c r="B162" s="0" t="str">
        <f aca="false">IF(Pipeline_Sort!$C162="","",INDEX(Pipeline_Calc!$C$2:$C$5251,Pipeline_Sort!$C162))</f>
        <v>office</v>
      </c>
      <c r="C162" s="0" t="str">
        <f aca="false">IF(Pipeline_Sort!$C162="","",INDEX(Pipeline_Calc!$D$2:$D$5251,Pipeline_Sort!$C162))</f>
        <v>SAMPLE-O-016</v>
      </c>
      <c r="D162" s="0" t="str">
        <f aca="false">IF(Pipeline_Sort!$C162="","",INDEX(Pipeline_Calc!$E$2:$E$5251,Pipeline_Sort!$C162))</f>
        <v>SAMPLE Office 16</v>
      </c>
      <c r="E162" s="0" t="str">
        <f aca="false">IF(Pipeline_Sort!$C162="","",INDEX(Pipeline_Calc!$F$2:$F$5251,Pipeline_Sort!$C162))</f>
        <v>outreach_sent</v>
      </c>
      <c r="F162" s="0" t="str">
        <f aca="false">IF(Pipeline_Sort!$C162="","",INDEX(Pipeline_Calc!$G$2:$G$5251,Pipeline_Sort!$C162))</f>
        <v/>
      </c>
      <c r="G162" s="0" t="str">
        <f aca="false">IF(Pipeline_Sort!$C162="","",INDEX(Pipeline_Calc!$H$2:$H$5251,Pipeline_Sort!$C162))</f>
        <v/>
      </c>
      <c r="H162" s="0" t="str">
        <f aca="false">IF(Pipeline_Sort!$C162="","",INDEX(Pipeline_Calc!$I$2:$I$5251,Pipeline_Sort!$C162))</f>
        <v/>
      </c>
      <c r="I162" s="0" t="str">
        <f aca="false">IF(Pipeline_Sort!$C162="","",INDEX(Pipeline_Calc!$J$2:$J$5251,Pipeline_Sort!$C162))</f>
        <v>touch_2; office-discovery-B; linkedin</v>
      </c>
    </row>
    <row r="163" customFormat="false" ht="15" hidden="false" customHeight="false" outlineLevel="0" collapsed="false">
      <c r="A163" s="33" t="n">
        <f aca="false">IF(Pipeline_Sort!$C163="","",INDEX(Pipeline_Calc!$B$2:$B$5251,Pipeline_Sort!$C163))</f>
        <v>46339</v>
      </c>
      <c r="B163" s="0" t="str">
        <f aca="false">IF(Pipeline_Sort!$C163="","",INDEX(Pipeline_Calc!$C$2:$C$5251,Pipeline_Sort!$C163))</f>
        <v>brand</v>
      </c>
      <c r="C163" s="0" t="str">
        <f aca="false">IF(Pipeline_Sort!$C163="","",INDEX(Pipeline_Calc!$D$2:$D$5251,Pipeline_Sort!$C163))</f>
        <v>SAMPLE-B-017</v>
      </c>
      <c r="D163" s="0" t="str">
        <f aca="false">IF(Pipeline_Sort!$C163="","",INDEX(Pipeline_Calc!$E$2:$E$5251,Pipeline_Sort!$C163))</f>
        <v>SAMPLE Brand 17</v>
      </c>
      <c r="E163" s="0" t="str">
        <f aca="false">IF(Pipeline_Sort!$C163="","",INDEX(Pipeline_Calc!$F$2:$F$5251,Pipeline_Sort!$C163))</f>
        <v>outreach_sent</v>
      </c>
      <c r="F163" s="0" t="str">
        <f aca="false">IF(Pipeline_Sort!$C163="","",INDEX(Pipeline_Calc!$G$2:$G$5251,Pipeline_Sort!$C163))</f>
        <v/>
      </c>
      <c r="G163" s="0" t="str">
        <f aca="false">IF(Pipeline_Sort!$C163="","",INDEX(Pipeline_Calc!$H$2:$H$5251,Pipeline_Sort!$C163))</f>
        <v/>
      </c>
      <c r="H163" s="0" t="str">
        <f aca="false">IF(Pipeline_Sort!$C163="","",INDEX(Pipeline_Calc!$I$2:$I$5251,Pipeline_Sort!$C163))</f>
        <v/>
      </c>
      <c r="I163" s="0" t="str">
        <f aca="false">IF(Pipeline_Sort!$C163="","",INDEX(Pipeline_Calc!$J$2:$J$5251,Pipeline_Sort!$C163))</f>
        <v>touch_1; brand-discovery-A; email</v>
      </c>
    </row>
    <row r="164" customFormat="false" ht="15" hidden="false" customHeight="false" outlineLevel="0" collapsed="false">
      <c r="A164" s="33" t="n">
        <f aca="false">IF(Pipeline_Sort!$C164="","",INDEX(Pipeline_Calc!$B$2:$B$5251,Pipeline_Sort!$C164))</f>
        <v>46339</v>
      </c>
      <c r="B164" s="0" t="str">
        <f aca="false">IF(Pipeline_Sort!$C164="","",INDEX(Pipeline_Calc!$C$2:$C$5251,Pipeline_Sort!$C164))</f>
        <v>brand</v>
      </c>
      <c r="C164" s="0" t="str">
        <f aca="false">IF(Pipeline_Sort!$C164="","",INDEX(Pipeline_Calc!$D$2:$D$5251,Pipeline_Sort!$C164))</f>
        <v>SAMPLE-B-036</v>
      </c>
      <c r="D164" s="0" t="str">
        <f aca="false">IF(Pipeline_Sort!$C164="","",INDEX(Pipeline_Calc!$E$2:$E$5251,Pipeline_Sort!$C164))</f>
        <v>SAMPLE Brand 36</v>
      </c>
      <c r="E164" s="0" t="str">
        <f aca="false">IF(Pipeline_Sort!$C164="","",INDEX(Pipeline_Calc!$F$2:$F$5251,Pipeline_Sort!$C164))</f>
        <v>outreach_sent</v>
      </c>
      <c r="F164" s="0" t="str">
        <f aca="false">IF(Pipeline_Sort!$C164="","",INDEX(Pipeline_Calc!$G$2:$G$5251,Pipeline_Sort!$C164))</f>
        <v/>
      </c>
      <c r="G164" s="0" t="str">
        <f aca="false">IF(Pipeline_Sort!$C164="","",INDEX(Pipeline_Calc!$H$2:$H$5251,Pipeline_Sort!$C164))</f>
        <v/>
      </c>
      <c r="H164" s="0" t="str">
        <f aca="false">IF(Pipeline_Sort!$C164="","",INDEX(Pipeline_Calc!$I$2:$I$5251,Pipeline_Sort!$C164))</f>
        <v/>
      </c>
      <c r="I164" s="0" t="str">
        <f aca="false">IF(Pipeline_Sort!$C164="","",INDEX(Pipeline_Calc!$J$2:$J$5251,Pipeline_Sort!$C164))</f>
        <v>touch_1; brand-discovery-B; linkedin</v>
      </c>
    </row>
    <row r="165" customFormat="false" ht="15" hidden="false" customHeight="false" outlineLevel="0" collapsed="false">
      <c r="A165" s="33" t="n">
        <f aca="false">IF(Pipeline_Sort!$C165="","",INDEX(Pipeline_Calc!$B$2:$B$5251,Pipeline_Sort!$C165))</f>
        <v>46339</v>
      </c>
      <c r="B165" s="0" t="str">
        <f aca="false">IF(Pipeline_Sort!$C165="","",INDEX(Pipeline_Calc!$C$2:$C$5251,Pipeline_Sort!$C165))</f>
        <v>brand</v>
      </c>
      <c r="C165" s="0" t="str">
        <f aca="false">IF(Pipeline_Sort!$C165="","",INDEX(Pipeline_Calc!$D$2:$D$5251,Pipeline_Sort!$C165))</f>
        <v>SAMPLE-B-016</v>
      </c>
      <c r="D165" s="0" t="str">
        <f aca="false">IF(Pipeline_Sort!$C165="","",INDEX(Pipeline_Calc!$E$2:$E$5251,Pipeline_Sort!$C165))</f>
        <v>SAMPLE Brand 16</v>
      </c>
      <c r="E165" s="0" t="str">
        <f aca="false">IF(Pipeline_Sort!$C165="","",INDEX(Pipeline_Calc!$F$2:$F$5251,Pipeline_Sort!$C165))</f>
        <v>outreach_sent</v>
      </c>
      <c r="F165" s="0" t="str">
        <f aca="false">IF(Pipeline_Sort!$C165="","",INDEX(Pipeline_Calc!$G$2:$G$5251,Pipeline_Sort!$C165))</f>
        <v/>
      </c>
      <c r="G165" s="0" t="str">
        <f aca="false">IF(Pipeline_Sort!$C165="","",INDEX(Pipeline_Calc!$H$2:$H$5251,Pipeline_Sort!$C165))</f>
        <v/>
      </c>
      <c r="H165" s="0" t="str">
        <f aca="false">IF(Pipeline_Sort!$C165="","",INDEX(Pipeline_Calc!$I$2:$I$5251,Pipeline_Sort!$C165))</f>
        <v/>
      </c>
      <c r="I165" s="0" t="str">
        <f aca="false">IF(Pipeline_Sort!$C165="","",INDEX(Pipeline_Calc!$J$2:$J$5251,Pipeline_Sort!$C165))</f>
        <v>touch_2; brand-discovery-B; linkedin</v>
      </c>
    </row>
    <row r="166" customFormat="false" ht="15" hidden="false" customHeight="false" outlineLevel="0" collapsed="false">
      <c r="A166" s="33" t="n">
        <f aca="false">IF(Pipeline_Sort!$C166="","",INDEX(Pipeline_Calc!$B$2:$B$5251,Pipeline_Sort!$C166))</f>
        <v>46342</v>
      </c>
      <c r="B166" s="0" t="str">
        <f aca="false">IF(Pipeline_Sort!$C166="","",INDEX(Pipeline_Calc!$C$2:$C$5251,Pipeline_Sort!$C166))</f>
        <v>office</v>
      </c>
      <c r="C166" s="0" t="str">
        <f aca="false">IF(Pipeline_Sort!$C166="","",INDEX(Pipeline_Calc!$D$2:$D$5251,Pipeline_Sort!$C166))</f>
        <v>SAMPLE-O-014</v>
      </c>
      <c r="D166" s="0" t="str">
        <f aca="false">IF(Pipeline_Sort!$C166="","",INDEX(Pipeline_Calc!$E$2:$E$5251,Pipeline_Sort!$C166))</f>
        <v>SAMPLE Office 14</v>
      </c>
      <c r="E166" s="0" t="str">
        <f aca="false">IF(Pipeline_Sort!$C166="","",INDEX(Pipeline_Calc!$F$2:$F$5251,Pipeline_Sort!$C166))</f>
        <v>conversation</v>
      </c>
      <c r="F166" s="0" t="str">
        <f aca="false">IF(Pipeline_Sort!$C166="","",INDEX(Pipeline_Calc!$G$2:$G$5251,Pipeline_Sort!$C166))</f>
        <v/>
      </c>
      <c r="G166" s="0" t="str">
        <f aca="false">IF(Pipeline_Sort!$C166="","",INDEX(Pipeline_Calc!$H$2:$H$5251,Pipeline_Sort!$C166))</f>
        <v/>
      </c>
      <c r="H166" s="0" t="str">
        <f aca="false">IF(Pipeline_Sort!$C166="","",INDEX(Pipeline_Calc!$I$2:$I$5251,Pipeline_Sort!$C166))</f>
        <v/>
      </c>
      <c r="I166" s="0" t="str">
        <f aca="false">IF(Pipeline_Sort!$C166="","",INDEX(Pipeline_Calc!$J$2:$J$5251,Pipeline_Sort!$C166))</f>
        <v>video</v>
      </c>
    </row>
    <row r="167" customFormat="false" ht="15" hidden="false" customHeight="false" outlineLevel="0" collapsed="false">
      <c r="A167" s="33" t="n">
        <f aca="false">IF(Pipeline_Sort!$C167="","",INDEX(Pipeline_Calc!$B$2:$B$5251,Pipeline_Sort!$C167))</f>
        <v>46342</v>
      </c>
      <c r="B167" s="0" t="str">
        <f aca="false">IF(Pipeline_Sort!$C167="","",INDEX(Pipeline_Calc!$C$2:$C$5251,Pipeline_Sort!$C167))</f>
        <v>office</v>
      </c>
      <c r="C167" s="0" t="str">
        <f aca="false">IF(Pipeline_Sort!$C167="","",INDEX(Pipeline_Calc!$D$2:$D$5251,Pipeline_Sort!$C167))</f>
        <v>SAMPLE-O-014</v>
      </c>
      <c r="D167" s="0" t="str">
        <f aca="false">IF(Pipeline_Sort!$C167="","",INDEX(Pipeline_Calc!$E$2:$E$5251,Pipeline_Sort!$C167))</f>
        <v>SAMPLE Office 14</v>
      </c>
      <c r="E167" s="0" t="str">
        <f aca="false">IF(Pipeline_Sort!$C167="","",INDEX(Pipeline_Calc!$F$2:$F$5251,Pipeline_Sort!$C167))</f>
        <v>yes_in_principle</v>
      </c>
      <c r="F167" s="0" t="str">
        <f aca="false">IF(Pipeline_Sort!$C167="","",INDEX(Pipeline_Calc!$G$2:$G$5251,Pipeline_Sort!$C167))</f>
        <v/>
      </c>
      <c r="G167" s="0" t="str">
        <f aca="false">IF(Pipeline_Sort!$C167="","",INDEX(Pipeline_Calc!$H$2:$H$5251,Pipeline_Sort!$C167))</f>
        <v/>
      </c>
      <c r="H167" s="0" t="str">
        <f aca="false">IF(Pipeline_Sort!$C167="","",INDEX(Pipeline_Calc!$I$2:$I$5251,Pipeline_Sort!$C167))</f>
        <v/>
      </c>
      <c r="I167" s="0" t="str">
        <f aca="false">IF(Pipeline_Sort!$C167="","",INDEX(Pipeline_Calc!$J$2:$J$5251,Pipeline_Sort!$C167))</f>
        <v>owner: Office Manager; window: SAMPLE Wed 8-9am</v>
      </c>
    </row>
    <row r="168" customFormat="false" ht="15" hidden="false" customHeight="false" outlineLevel="0" collapsed="false">
      <c r="A168" s="33" t="n">
        <f aca="false">IF(Pipeline_Sort!$C168="","",INDEX(Pipeline_Calc!$B$2:$B$5251,Pipeline_Sort!$C168))</f>
        <v>46342</v>
      </c>
      <c r="B168" s="0" t="str">
        <f aca="false">IF(Pipeline_Sort!$C168="","",INDEX(Pipeline_Calc!$C$2:$C$5251,Pipeline_Sort!$C168))</f>
        <v>office</v>
      </c>
      <c r="C168" s="0" t="str">
        <f aca="false">IF(Pipeline_Sort!$C168="","",INDEX(Pipeline_Calc!$D$2:$D$5251,Pipeline_Sort!$C168))</f>
        <v>SAMPLE-O-030</v>
      </c>
      <c r="D168" s="0" t="str">
        <f aca="false">IF(Pipeline_Sort!$C168="","",INDEX(Pipeline_Calc!$E$2:$E$5251,Pipeline_Sort!$C168))</f>
        <v>SAMPLE Office 30</v>
      </c>
      <c r="E168" s="0" t="str">
        <f aca="false">IF(Pipeline_Sort!$C168="","",INDEX(Pipeline_Calc!$F$2:$F$5251,Pipeline_Sort!$C168))</f>
        <v>outreach_sent</v>
      </c>
      <c r="F168" s="0" t="str">
        <f aca="false">IF(Pipeline_Sort!$C168="","",INDEX(Pipeline_Calc!$G$2:$G$5251,Pipeline_Sort!$C168))</f>
        <v/>
      </c>
      <c r="G168" s="0" t="str">
        <f aca="false">IF(Pipeline_Sort!$C168="","",INDEX(Pipeline_Calc!$H$2:$H$5251,Pipeline_Sort!$C168))</f>
        <v/>
      </c>
      <c r="H168" s="0" t="str">
        <f aca="false">IF(Pipeline_Sort!$C168="","",INDEX(Pipeline_Calc!$I$2:$I$5251,Pipeline_Sort!$C168))</f>
        <v/>
      </c>
      <c r="I168" s="0" t="str">
        <f aca="false">IF(Pipeline_Sort!$C168="","",INDEX(Pipeline_Calc!$J$2:$J$5251,Pipeline_Sort!$C168))</f>
        <v>touch_1; office-discovery-B; email</v>
      </c>
    </row>
    <row r="169" customFormat="false" ht="15" hidden="false" customHeight="false" outlineLevel="0" collapsed="false">
      <c r="A169" s="33" t="n">
        <f aca="false">IF(Pipeline_Sort!$C169="","",INDEX(Pipeline_Calc!$B$2:$B$5251,Pipeline_Sort!$C169))</f>
        <v>46342</v>
      </c>
      <c r="B169" s="0" t="str">
        <f aca="false">IF(Pipeline_Sort!$C169="","",INDEX(Pipeline_Calc!$C$2:$C$5251,Pipeline_Sort!$C169))</f>
        <v>office</v>
      </c>
      <c r="C169" s="0" t="str">
        <f aca="false">IF(Pipeline_Sort!$C169="","",INDEX(Pipeline_Calc!$D$2:$D$5251,Pipeline_Sort!$C169))</f>
        <v>SAMPLE-O-029</v>
      </c>
      <c r="D169" s="0" t="str">
        <f aca="false">IF(Pipeline_Sort!$C169="","",INDEX(Pipeline_Calc!$E$2:$E$5251,Pipeline_Sort!$C169))</f>
        <v>SAMPLE Office 29</v>
      </c>
      <c r="E169" s="0" t="str">
        <f aca="false">IF(Pipeline_Sort!$C169="","",INDEX(Pipeline_Calc!$F$2:$F$5251,Pipeline_Sort!$C169))</f>
        <v>outreach_sent</v>
      </c>
      <c r="F169" s="0" t="str">
        <f aca="false">IF(Pipeline_Sort!$C169="","",INDEX(Pipeline_Calc!$G$2:$G$5251,Pipeline_Sort!$C169))</f>
        <v/>
      </c>
      <c r="G169" s="0" t="str">
        <f aca="false">IF(Pipeline_Sort!$C169="","",INDEX(Pipeline_Calc!$H$2:$H$5251,Pipeline_Sort!$C169))</f>
        <v/>
      </c>
      <c r="H169" s="0" t="str">
        <f aca="false">IF(Pipeline_Sort!$C169="","",INDEX(Pipeline_Calc!$I$2:$I$5251,Pipeline_Sort!$C169))</f>
        <v/>
      </c>
      <c r="I169" s="0" t="str">
        <f aca="false">IF(Pipeline_Sort!$C169="","",INDEX(Pipeline_Calc!$J$2:$J$5251,Pipeline_Sort!$C169))</f>
        <v>touch_2; office-discovery-A; email</v>
      </c>
    </row>
    <row r="170" customFormat="false" ht="15" hidden="false" customHeight="false" outlineLevel="0" collapsed="false">
      <c r="A170" s="33" t="n">
        <f aca="false">IF(Pipeline_Sort!$C170="","",INDEX(Pipeline_Calc!$B$2:$B$5251,Pipeline_Sort!$C170))</f>
        <v>46342</v>
      </c>
      <c r="B170" s="0" t="str">
        <f aca="false">IF(Pipeline_Sort!$C170="","",INDEX(Pipeline_Calc!$C$2:$C$5251,Pipeline_Sort!$C170))</f>
        <v>office</v>
      </c>
      <c r="C170" s="0" t="str">
        <f aca="false">IF(Pipeline_Sort!$C170="","",INDEX(Pipeline_Calc!$D$2:$D$5251,Pipeline_Sort!$C170))</f>
        <v>SAMPLE-O-015</v>
      </c>
      <c r="D170" s="0" t="str">
        <f aca="false">IF(Pipeline_Sort!$C170="","",INDEX(Pipeline_Calc!$E$2:$E$5251,Pipeline_Sort!$C170))</f>
        <v>SAMPLE Office 15</v>
      </c>
      <c r="E170" s="0" t="str">
        <f aca="false">IF(Pipeline_Sort!$C170="","",INDEX(Pipeline_Calc!$F$2:$F$5251,Pipeline_Sort!$C170))</f>
        <v>outreach_sent</v>
      </c>
      <c r="F170" s="0" t="str">
        <f aca="false">IF(Pipeline_Sort!$C170="","",INDEX(Pipeline_Calc!$G$2:$G$5251,Pipeline_Sort!$C170))</f>
        <v/>
      </c>
      <c r="G170" s="0" t="str">
        <f aca="false">IF(Pipeline_Sort!$C170="","",INDEX(Pipeline_Calc!$H$2:$H$5251,Pipeline_Sort!$C170))</f>
        <v/>
      </c>
      <c r="H170" s="0" t="str">
        <f aca="false">IF(Pipeline_Sort!$C170="","",INDEX(Pipeline_Calc!$I$2:$I$5251,Pipeline_Sort!$C170))</f>
        <v/>
      </c>
      <c r="I170" s="0" t="str">
        <f aca="false">IF(Pipeline_Sort!$C170="","",INDEX(Pipeline_Calc!$J$2:$J$5251,Pipeline_Sort!$C170))</f>
        <v>touch_3; office-discovery-A; linkedin</v>
      </c>
    </row>
    <row r="171" customFormat="false" ht="15" hidden="false" customHeight="false" outlineLevel="0" collapsed="false">
      <c r="A171" s="33" t="n">
        <f aca="false">IF(Pipeline_Sort!$C171="","",INDEX(Pipeline_Calc!$B$2:$B$5251,Pipeline_Sort!$C171))</f>
        <v>46342</v>
      </c>
      <c r="B171" s="0" t="str">
        <f aca="false">IF(Pipeline_Sort!$C171="","",INDEX(Pipeline_Calc!$C$2:$C$5251,Pipeline_Sort!$C171))</f>
        <v>brand</v>
      </c>
      <c r="C171" s="0" t="str">
        <f aca="false">IF(Pipeline_Sort!$C171="","",INDEX(Pipeline_Calc!$D$2:$D$5251,Pipeline_Sort!$C171))</f>
        <v>SAMPLE-B-030</v>
      </c>
      <c r="D171" s="0" t="str">
        <f aca="false">IF(Pipeline_Sort!$C171="","",INDEX(Pipeline_Calc!$E$2:$E$5251,Pipeline_Sort!$C171))</f>
        <v>SAMPLE Brand 30</v>
      </c>
      <c r="E171" s="0" t="str">
        <f aca="false">IF(Pipeline_Sort!$C171="","",INDEX(Pipeline_Calc!$F$2:$F$5251,Pipeline_Sort!$C171))</f>
        <v>outreach_sent</v>
      </c>
      <c r="F171" s="0" t="str">
        <f aca="false">IF(Pipeline_Sort!$C171="","",INDEX(Pipeline_Calc!$G$2:$G$5251,Pipeline_Sort!$C171))</f>
        <v/>
      </c>
      <c r="G171" s="0" t="str">
        <f aca="false">IF(Pipeline_Sort!$C171="","",INDEX(Pipeline_Calc!$H$2:$H$5251,Pipeline_Sort!$C171))</f>
        <v/>
      </c>
      <c r="H171" s="0" t="str">
        <f aca="false">IF(Pipeline_Sort!$C171="","",INDEX(Pipeline_Calc!$I$2:$I$5251,Pipeline_Sort!$C171))</f>
        <v/>
      </c>
      <c r="I171" s="0" t="str">
        <f aca="false">IF(Pipeline_Sort!$C171="","",INDEX(Pipeline_Calc!$J$2:$J$5251,Pipeline_Sort!$C171))</f>
        <v>touch_1; brand-discovery-B; email</v>
      </c>
    </row>
    <row r="172" customFormat="false" ht="15" hidden="false" customHeight="false" outlineLevel="0" collapsed="false">
      <c r="A172" s="33" t="n">
        <f aca="false">IF(Pipeline_Sort!$C172="","",INDEX(Pipeline_Calc!$B$2:$B$5251,Pipeline_Sort!$C172))</f>
        <v>46342</v>
      </c>
      <c r="B172" s="0" t="str">
        <f aca="false">IF(Pipeline_Sort!$C172="","",INDEX(Pipeline_Calc!$C$2:$C$5251,Pipeline_Sort!$C172))</f>
        <v>brand</v>
      </c>
      <c r="C172" s="0" t="str">
        <f aca="false">IF(Pipeline_Sort!$C172="","",INDEX(Pipeline_Calc!$D$2:$D$5251,Pipeline_Sort!$C172))</f>
        <v>SAMPLE-B-029</v>
      </c>
      <c r="D172" s="0" t="str">
        <f aca="false">IF(Pipeline_Sort!$C172="","",INDEX(Pipeline_Calc!$E$2:$E$5251,Pipeline_Sort!$C172))</f>
        <v>SAMPLE Brand 29</v>
      </c>
      <c r="E172" s="0" t="str">
        <f aca="false">IF(Pipeline_Sort!$C172="","",INDEX(Pipeline_Calc!$F$2:$F$5251,Pipeline_Sort!$C172))</f>
        <v>outreach_sent</v>
      </c>
      <c r="F172" s="0" t="str">
        <f aca="false">IF(Pipeline_Sort!$C172="","",INDEX(Pipeline_Calc!$G$2:$G$5251,Pipeline_Sort!$C172))</f>
        <v/>
      </c>
      <c r="G172" s="0" t="str">
        <f aca="false">IF(Pipeline_Sort!$C172="","",INDEX(Pipeline_Calc!$H$2:$H$5251,Pipeline_Sort!$C172))</f>
        <v/>
      </c>
      <c r="H172" s="0" t="str">
        <f aca="false">IF(Pipeline_Sort!$C172="","",INDEX(Pipeline_Calc!$I$2:$I$5251,Pipeline_Sort!$C172))</f>
        <v/>
      </c>
      <c r="I172" s="0" t="str">
        <f aca="false">IF(Pipeline_Sort!$C172="","",INDEX(Pipeline_Calc!$J$2:$J$5251,Pipeline_Sort!$C172))</f>
        <v>touch_2; brand-discovery-A; email</v>
      </c>
    </row>
    <row r="173" customFormat="false" ht="15" hidden="false" customHeight="false" outlineLevel="0" collapsed="false">
      <c r="A173" s="33" t="n">
        <f aca="false">IF(Pipeline_Sort!$C173="","",INDEX(Pipeline_Calc!$B$2:$B$5251,Pipeline_Sort!$C173))</f>
        <v>46343</v>
      </c>
      <c r="B173" s="0" t="str">
        <f aca="false">IF(Pipeline_Sort!$C173="","",INDEX(Pipeline_Calc!$C$2:$C$5251,Pipeline_Sort!$C173))</f>
        <v>brand</v>
      </c>
      <c r="C173" s="0" t="str">
        <f aca="false">IF(Pipeline_Sort!$C173="","",INDEX(Pipeline_Calc!$D$2:$D$5251,Pipeline_Sort!$C173))</f>
        <v>SAMPLE-B-014</v>
      </c>
      <c r="D173" s="0" t="str">
        <f aca="false">IF(Pipeline_Sort!$C173="","",INDEX(Pipeline_Calc!$E$2:$E$5251,Pipeline_Sort!$C173))</f>
        <v>SAMPLE Brand 14</v>
      </c>
      <c r="E173" s="0" t="str">
        <f aca="false">IF(Pipeline_Sort!$C173="","",INDEX(Pipeline_Calc!$F$2:$F$5251,Pipeline_Sort!$C173))</f>
        <v>conversation</v>
      </c>
      <c r="F173" s="0" t="str">
        <f aca="false">IF(Pipeline_Sort!$C173="","",INDEX(Pipeline_Calc!$G$2:$G$5251,Pipeline_Sort!$C173))</f>
        <v/>
      </c>
      <c r="G173" s="0" t="str">
        <f aca="false">IF(Pipeline_Sort!$C173="","",INDEX(Pipeline_Calc!$H$2:$H$5251,Pipeline_Sort!$C173))</f>
        <v/>
      </c>
      <c r="H173" s="0" t="str">
        <f aca="false">IF(Pipeline_Sort!$C173="","",INDEX(Pipeline_Calc!$I$2:$I$5251,Pipeline_Sort!$C173))</f>
        <v/>
      </c>
      <c r="I173" s="0" t="str">
        <f aca="false">IF(Pipeline_Sort!$C173="","",INDEX(Pipeline_Calc!$J$2:$J$5251,Pipeline_Sort!$C173))</f>
        <v>video</v>
      </c>
    </row>
    <row r="174" customFormat="false" ht="15" hidden="false" customHeight="false" outlineLevel="0" collapsed="false">
      <c r="A174" s="33" t="n">
        <f aca="false">IF(Pipeline_Sort!$C174="","",INDEX(Pipeline_Calc!$B$2:$B$5251,Pipeline_Sort!$C174))</f>
        <v>46343</v>
      </c>
      <c r="B174" s="0" t="str">
        <f aca="false">IF(Pipeline_Sort!$C174="","",INDEX(Pipeline_Calc!$C$2:$C$5251,Pipeline_Sort!$C174))</f>
        <v>brand</v>
      </c>
      <c r="C174" s="0" t="str">
        <f aca="false">IF(Pipeline_Sort!$C174="","",INDEX(Pipeline_Calc!$D$2:$D$5251,Pipeline_Sort!$C174))</f>
        <v>SAMPLE-B-014</v>
      </c>
      <c r="D174" s="0" t="str">
        <f aca="false">IF(Pipeline_Sort!$C174="","",INDEX(Pipeline_Calc!$E$2:$E$5251,Pipeline_Sort!$C174))</f>
        <v>SAMPLE Brand 14</v>
      </c>
      <c r="E174" s="0" t="str">
        <f aca="false">IF(Pipeline_Sort!$C174="","",INDEX(Pipeline_Calc!$F$2:$F$5251,Pipeline_Sort!$C174))</f>
        <v>yes_in_principle</v>
      </c>
      <c r="F174" s="0" t="str">
        <f aca="false">IF(Pipeline_Sort!$C174="","",INDEX(Pipeline_Calc!$G$2:$G$5251,Pipeline_Sort!$C174))</f>
        <v/>
      </c>
      <c r="G174" s="0" t="str">
        <f aca="false">IF(Pipeline_Sort!$C174="","",INDEX(Pipeline_Calc!$H$2:$H$5251,Pipeline_Sort!$C174))</f>
        <v/>
      </c>
      <c r="H174" s="0" t="str">
        <f aca="false">IF(Pipeline_Sort!$C174="","",INDEX(Pipeline_Calc!$I$2:$I$5251,Pipeline_Sort!$C174))</f>
        <v>Y</v>
      </c>
      <c r="I174" s="0" t="str">
        <f aca="false">IF(Pipeline_Sort!$C174="","",INDEX(Pipeline_Calc!$J$2:$J$5251,Pipeline_Sort!$C174))</f>
        <v/>
      </c>
    </row>
    <row r="175" customFormat="false" ht="15" hidden="false" customHeight="false" outlineLevel="0" collapsed="false">
      <c r="A175" s="33" t="n">
        <f aca="false">IF(Pipeline_Sort!$C175="","",INDEX(Pipeline_Calc!$B$2:$B$5251,Pipeline_Sort!$C175))</f>
        <v>46343</v>
      </c>
      <c r="B175" s="0" t="str">
        <f aca="false">IF(Pipeline_Sort!$C175="","",INDEX(Pipeline_Calc!$C$2:$C$5251,Pipeline_Sort!$C175))</f>
        <v>brand</v>
      </c>
      <c r="C175" s="0" t="str">
        <f aca="false">IF(Pipeline_Sort!$C175="","",INDEX(Pipeline_Calc!$D$2:$D$5251,Pipeline_Sort!$C175))</f>
        <v>SAMPLE-B-014</v>
      </c>
      <c r="D175" s="0" t="str">
        <f aca="false">IF(Pipeline_Sort!$C175="","",INDEX(Pipeline_Calc!$E$2:$E$5251,Pipeline_Sort!$C175))</f>
        <v>SAMPLE Brand 14</v>
      </c>
      <c r="E175" s="0" t="str">
        <f aca="false">IF(Pipeline_Sort!$C175="","",INDEX(Pipeline_Calc!$F$2:$F$5251,Pipeline_Sort!$C175))</f>
        <v>budget_probe</v>
      </c>
      <c r="F175" s="32" t="n">
        <f aca="false">IF(Pipeline_Sort!$C175="","",INDEX(Pipeline_Calc!$G$2:$G$5251,Pipeline_Sort!$C175))</f>
        <v>900</v>
      </c>
      <c r="G175" s="0" t="str">
        <f aca="false">IF(Pipeline_Sort!$C175="","",INDEX(Pipeline_Calc!$H$2:$H$5251,Pipeline_Sort!$C175))</f>
        <v>SAMPLE: $900</v>
      </c>
      <c r="H175" s="0" t="str">
        <f aca="false">IF(Pipeline_Sort!$C175="","",INDEX(Pipeline_Calc!$I$2:$I$5251,Pipeline_Sort!$C175))</f>
        <v>Y</v>
      </c>
      <c r="I175" s="0" t="str">
        <f aca="false">IF(Pipeline_Sort!$C175="","",INDEX(Pipeline_Calc!$J$2:$J$5251,Pipeline_Sort!$C175))</f>
        <v/>
      </c>
    </row>
    <row r="176" customFormat="false" ht="15" hidden="false" customHeight="false" outlineLevel="0" collapsed="false">
      <c r="A176" s="33" t="n">
        <f aca="false">IF(Pipeline_Sort!$C176="","",INDEX(Pipeline_Calc!$B$2:$B$5251,Pipeline_Sort!$C176))</f>
        <v>46343</v>
      </c>
      <c r="B176" s="0" t="str">
        <f aca="false">IF(Pipeline_Sort!$C176="","",INDEX(Pipeline_Calc!$C$2:$C$5251,Pipeline_Sort!$C176))</f>
        <v>brand</v>
      </c>
      <c r="C176" s="0" t="str">
        <f aca="false">IF(Pipeline_Sort!$C176="","",INDEX(Pipeline_Calc!$D$2:$D$5251,Pipeline_Sort!$C176))</f>
        <v>SAMPLE-B-014</v>
      </c>
      <c r="D176" s="0" t="str">
        <f aca="false">IF(Pipeline_Sort!$C176="","",INDEX(Pipeline_Calc!$E$2:$E$5251,Pipeline_Sort!$C176))</f>
        <v>SAMPLE Brand 14</v>
      </c>
      <c r="E176" s="0" t="str">
        <f aca="false">IF(Pipeline_Sort!$C176="","",INDEX(Pipeline_Calc!$F$2:$F$5251,Pipeline_Sort!$C176))</f>
        <v>budget_probe</v>
      </c>
      <c r="F176" s="32" t="n">
        <f aca="false">IF(Pipeline_Sort!$C176="","",INDEX(Pipeline_Calc!$G$2:$G$5251,Pipeline_Sort!$C176))</f>
        <v>1500</v>
      </c>
      <c r="G176" s="0" t="str">
        <f aca="false">IF(Pipeline_Sort!$C176="","",INDEX(Pipeline_Calc!$H$2:$H$5251,Pipeline_Sort!$C176))</f>
        <v>SAMPLE: fine at $1,500</v>
      </c>
      <c r="H176" s="0" t="str">
        <f aca="false">IF(Pipeline_Sort!$C176="","",INDEX(Pipeline_Calc!$I$2:$I$5251,Pipeline_Sort!$C176))</f>
        <v>Y</v>
      </c>
      <c r="I176" s="0" t="str">
        <f aca="false">IF(Pipeline_Sort!$C176="","",INDEX(Pipeline_Calc!$J$2:$J$5251,Pipeline_Sort!$C176))</f>
        <v>after_1500</v>
      </c>
    </row>
    <row r="177" customFormat="false" ht="15" hidden="false" customHeight="false" outlineLevel="0" collapsed="false">
      <c r="A177" s="33" t="n">
        <f aca="false">IF(Pipeline_Sort!$C177="","",INDEX(Pipeline_Calc!$B$2:$B$5251,Pipeline_Sort!$C177))</f>
        <v>46343</v>
      </c>
      <c r="B177" s="0" t="str">
        <f aca="false">IF(Pipeline_Sort!$C177="","",INDEX(Pipeline_Calc!$C$2:$C$5251,Pipeline_Sort!$C177))</f>
        <v>office</v>
      </c>
      <c r="C177" s="0" t="str">
        <f aca="false">IF(Pipeline_Sort!$C177="","",INDEX(Pipeline_Calc!$D$2:$D$5251,Pipeline_Sort!$C177))</f>
        <v>SAMPLE-O-024</v>
      </c>
      <c r="D177" s="0" t="str">
        <f aca="false">IF(Pipeline_Sort!$C177="","",INDEX(Pipeline_Calc!$E$2:$E$5251,Pipeline_Sort!$C177))</f>
        <v>SAMPLE Office 24</v>
      </c>
      <c r="E177" s="0" t="str">
        <f aca="false">IF(Pipeline_Sort!$C177="","",INDEX(Pipeline_Calc!$F$2:$F$5251,Pipeline_Sort!$C177))</f>
        <v>outreach_sent</v>
      </c>
      <c r="F177" s="0" t="str">
        <f aca="false">IF(Pipeline_Sort!$C177="","",INDEX(Pipeline_Calc!$G$2:$G$5251,Pipeline_Sort!$C177))</f>
        <v/>
      </c>
      <c r="G177" s="0" t="str">
        <f aca="false">IF(Pipeline_Sort!$C177="","",INDEX(Pipeline_Calc!$H$2:$H$5251,Pipeline_Sort!$C177))</f>
        <v/>
      </c>
      <c r="H177" s="0" t="str">
        <f aca="false">IF(Pipeline_Sort!$C177="","",INDEX(Pipeline_Calc!$I$2:$I$5251,Pipeline_Sort!$C177))</f>
        <v/>
      </c>
      <c r="I177" s="0" t="str">
        <f aca="false">IF(Pipeline_Sort!$C177="","",INDEX(Pipeline_Calc!$J$2:$J$5251,Pipeline_Sort!$C177))</f>
        <v>touch_1; office-discovery-B; linkedin</v>
      </c>
    </row>
    <row r="178" customFormat="false" ht="15" hidden="false" customHeight="false" outlineLevel="0" collapsed="false">
      <c r="A178" s="33" t="n">
        <f aca="false">IF(Pipeline_Sort!$C178="","",INDEX(Pipeline_Calc!$B$2:$B$5251,Pipeline_Sort!$C178))</f>
        <v>46343</v>
      </c>
      <c r="B178" s="0" t="str">
        <f aca="false">IF(Pipeline_Sort!$C178="","",INDEX(Pipeline_Calc!$C$2:$C$5251,Pipeline_Sort!$C178))</f>
        <v>office</v>
      </c>
      <c r="C178" s="0" t="str">
        <f aca="false">IF(Pipeline_Sort!$C178="","",INDEX(Pipeline_Calc!$D$2:$D$5251,Pipeline_Sort!$C178))</f>
        <v>SAMPLE-O-023</v>
      </c>
      <c r="D178" s="0" t="str">
        <f aca="false">IF(Pipeline_Sort!$C178="","",INDEX(Pipeline_Calc!$E$2:$E$5251,Pipeline_Sort!$C178))</f>
        <v>SAMPLE Office 23</v>
      </c>
      <c r="E178" s="0" t="str">
        <f aca="false">IF(Pipeline_Sort!$C178="","",INDEX(Pipeline_Calc!$F$2:$F$5251,Pipeline_Sort!$C178))</f>
        <v>outreach_sent</v>
      </c>
      <c r="F178" s="0" t="str">
        <f aca="false">IF(Pipeline_Sort!$C178="","",INDEX(Pipeline_Calc!$G$2:$G$5251,Pipeline_Sort!$C178))</f>
        <v/>
      </c>
      <c r="G178" s="0" t="str">
        <f aca="false">IF(Pipeline_Sort!$C178="","",INDEX(Pipeline_Calc!$H$2:$H$5251,Pipeline_Sort!$C178))</f>
        <v/>
      </c>
      <c r="H178" s="0" t="str">
        <f aca="false">IF(Pipeline_Sort!$C178="","",INDEX(Pipeline_Calc!$I$2:$I$5251,Pipeline_Sort!$C178))</f>
        <v/>
      </c>
      <c r="I178" s="0" t="str">
        <f aca="false">IF(Pipeline_Sort!$C178="","",INDEX(Pipeline_Calc!$J$2:$J$5251,Pipeline_Sort!$C178))</f>
        <v>touch_2; office-discovery-A; email</v>
      </c>
    </row>
    <row r="179" customFormat="false" ht="15" hidden="false" customHeight="false" outlineLevel="0" collapsed="false">
      <c r="A179" s="33" t="n">
        <f aca="false">IF(Pipeline_Sort!$C179="","",INDEX(Pipeline_Calc!$B$2:$B$5251,Pipeline_Sort!$C179))</f>
        <v>46343</v>
      </c>
      <c r="B179" s="0" t="str">
        <f aca="false">IF(Pipeline_Sort!$C179="","",INDEX(Pipeline_Calc!$C$2:$C$5251,Pipeline_Sort!$C179))</f>
        <v>brand</v>
      </c>
      <c r="C179" s="0" t="str">
        <f aca="false">IF(Pipeline_Sort!$C179="","",INDEX(Pipeline_Calc!$D$2:$D$5251,Pipeline_Sort!$C179))</f>
        <v>SAMPLE-B-024</v>
      </c>
      <c r="D179" s="0" t="str">
        <f aca="false">IF(Pipeline_Sort!$C179="","",INDEX(Pipeline_Calc!$E$2:$E$5251,Pipeline_Sort!$C179))</f>
        <v>SAMPLE Brand 24</v>
      </c>
      <c r="E179" s="0" t="str">
        <f aca="false">IF(Pipeline_Sort!$C179="","",INDEX(Pipeline_Calc!$F$2:$F$5251,Pipeline_Sort!$C179))</f>
        <v>outreach_sent</v>
      </c>
      <c r="F179" s="0" t="str">
        <f aca="false">IF(Pipeline_Sort!$C179="","",INDEX(Pipeline_Calc!$G$2:$G$5251,Pipeline_Sort!$C179))</f>
        <v/>
      </c>
      <c r="G179" s="0" t="str">
        <f aca="false">IF(Pipeline_Sort!$C179="","",INDEX(Pipeline_Calc!$H$2:$H$5251,Pipeline_Sort!$C179))</f>
        <v/>
      </c>
      <c r="H179" s="0" t="str">
        <f aca="false">IF(Pipeline_Sort!$C179="","",INDEX(Pipeline_Calc!$I$2:$I$5251,Pipeline_Sort!$C179))</f>
        <v/>
      </c>
      <c r="I179" s="0" t="str">
        <f aca="false">IF(Pipeline_Sort!$C179="","",INDEX(Pipeline_Calc!$J$2:$J$5251,Pipeline_Sort!$C179))</f>
        <v>touch_1; brand-discovery-B; linkedin</v>
      </c>
    </row>
    <row r="180" customFormat="false" ht="15" hidden="false" customHeight="false" outlineLevel="0" collapsed="false">
      <c r="A180" s="33" t="n">
        <f aca="false">IF(Pipeline_Sort!$C180="","",INDEX(Pipeline_Calc!$B$2:$B$5251,Pipeline_Sort!$C180))</f>
        <v>46343</v>
      </c>
      <c r="B180" s="0" t="str">
        <f aca="false">IF(Pipeline_Sort!$C180="","",INDEX(Pipeline_Calc!$C$2:$C$5251,Pipeline_Sort!$C180))</f>
        <v>brand</v>
      </c>
      <c r="C180" s="0" t="str">
        <f aca="false">IF(Pipeline_Sort!$C180="","",INDEX(Pipeline_Calc!$D$2:$D$5251,Pipeline_Sort!$C180))</f>
        <v>SAMPLE-B-023</v>
      </c>
      <c r="D180" s="0" t="str">
        <f aca="false">IF(Pipeline_Sort!$C180="","",INDEX(Pipeline_Calc!$E$2:$E$5251,Pipeline_Sort!$C180))</f>
        <v>SAMPLE Brand 23</v>
      </c>
      <c r="E180" s="0" t="str">
        <f aca="false">IF(Pipeline_Sort!$C180="","",INDEX(Pipeline_Calc!$F$2:$F$5251,Pipeline_Sort!$C180))</f>
        <v>outreach_sent</v>
      </c>
      <c r="F180" s="0" t="str">
        <f aca="false">IF(Pipeline_Sort!$C180="","",INDEX(Pipeline_Calc!$G$2:$G$5251,Pipeline_Sort!$C180))</f>
        <v/>
      </c>
      <c r="G180" s="0" t="str">
        <f aca="false">IF(Pipeline_Sort!$C180="","",INDEX(Pipeline_Calc!$H$2:$H$5251,Pipeline_Sort!$C180))</f>
        <v/>
      </c>
      <c r="H180" s="0" t="str">
        <f aca="false">IF(Pipeline_Sort!$C180="","",INDEX(Pipeline_Calc!$I$2:$I$5251,Pipeline_Sort!$C180))</f>
        <v/>
      </c>
      <c r="I180" s="0" t="str">
        <f aca="false">IF(Pipeline_Sort!$C180="","",INDEX(Pipeline_Calc!$J$2:$J$5251,Pipeline_Sort!$C180))</f>
        <v>touch_2; brand-discovery-A; email</v>
      </c>
    </row>
    <row r="181" customFormat="false" ht="15" hidden="false" customHeight="false" outlineLevel="0" collapsed="false">
      <c r="A181" s="33" t="n">
        <f aca="false">IF(Pipeline_Sort!$C181="","",INDEX(Pipeline_Calc!$B$2:$B$5251,Pipeline_Sort!$C181))</f>
        <v>46344</v>
      </c>
      <c r="B181" s="0" t="str">
        <f aca="false">IF(Pipeline_Sort!$C181="","",INDEX(Pipeline_Calc!$C$2:$C$5251,Pipeline_Sort!$C181))</f>
        <v>brand</v>
      </c>
      <c r="C181" s="0" t="str">
        <f aca="false">IF(Pipeline_Sort!$C181="","",INDEX(Pipeline_Calc!$D$2:$D$5251,Pipeline_Sort!$C181))</f>
        <v>SAMPLE-B-015</v>
      </c>
      <c r="D181" s="0" t="str">
        <f aca="false">IF(Pipeline_Sort!$C181="","",INDEX(Pipeline_Calc!$E$2:$E$5251,Pipeline_Sort!$C181))</f>
        <v>SAMPLE Brand 15</v>
      </c>
      <c r="E181" s="0" t="str">
        <f aca="false">IF(Pipeline_Sort!$C181="","",INDEX(Pipeline_Calc!$F$2:$F$5251,Pipeline_Sort!$C181))</f>
        <v>conversation</v>
      </c>
      <c r="F181" s="0" t="str">
        <f aca="false">IF(Pipeline_Sort!$C181="","",INDEX(Pipeline_Calc!$G$2:$G$5251,Pipeline_Sort!$C181))</f>
        <v/>
      </c>
      <c r="G181" s="0" t="str">
        <f aca="false">IF(Pipeline_Sort!$C181="","",INDEX(Pipeline_Calc!$H$2:$H$5251,Pipeline_Sort!$C181))</f>
        <v/>
      </c>
      <c r="H181" s="0" t="str">
        <f aca="false">IF(Pipeline_Sort!$C181="","",INDEX(Pipeline_Calc!$I$2:$I$5251,Pipeline_Sort!$C181))</f>
        <v/>
      </c>
      <c r="I181" s="0" t="str">
        <f aca="false">IF(Pipeline_Sort!$C181="","",INDEX(Pipeline_Calc!$J$2:$J$5251,Pipeline_Sort!$C181))</f>
        <v>video</v>
      </c>
    </row>
    <row r="182" customFormat="false" ht="15" hidden="false" customHeight="false" outlineLevel="0" collapsed="false">
      <c r="A182" s="33" t="n">
        <f aca="false">IF(Pipeline_Sort!$C182="","",INDEX(Pipeline_Calc!$B$2:$B$5251,Pipeline_Sort!$C182))</f>
        <v>46344</v>
      </c>
      <c r="B182" s="0" t="str">
        <f aca="false">IF(Pipeline_Sort!$C182="","",INDEX(Pipeline_Calc!$C$2:$C$5251,Pipeline_Sort!$C182))</f>
        <v>brand</v>
      </c>
      <c r="C182" s="0" t="str">
        <f aca="false">IF(Pipeline_Sort!$C182="","",INDEX(Pipeline_Calc!$D$2:$D$5251,Pipeline_Sort!$C182))</f>
        <v>SAMPLE-B-015</v>
      </c>
      <c r="D182" s="0" t="str">
        <f aca="false">IF(Pipeline_Sort!$C182="","",INDEX(Pipeline_Calc!$E$2:$E$5251,Pipeline_Sort!$C182))</f>
        <v>SAMPLE Brand 15</v>
      </c>
      <c r="E182" s="0" t="str">
        <f aca="false">IF(Pipeline_Sort!$C182="","",INDEX(Pipeline_Calc!$F$2:$F$5251,Pipeline_Sort!$C182))</f>
        <v>budget_probe</v>
      </c>
      <c r="F182" s="32" t="n">
        <f aca="false">IF(Pipeline_Sort!$C182="","",INDEX(Pipeline_Calc!$G$2:$G$5251,Pipeline_Sort!$C182))</f>
        <v>50</v>
      </c>
      <c r="G182" s="0" t="str">
        <f aca="false">IF(Pipeline_Sort!$C182="","",INDEX(Pipeline_Calc!$H$2:$H$5251,Pipeline_Sort!$C182))</f>
        <v>SAMPLE: fifty</v>
      </c>
      <c r="H182" s="0" t="str">
        <f aca="false">IF(Pipeline_Sort!$C182="","",INDEX(Pipeline_Calc!$I$2:$I$5251,Pipeline_Sort!$C182))</f>
        <v>N</v>
      </c>
      <c r="I182" s="0" t="str">
        <f aca="false">IF(Pipeline_Sort!$C182="","",INDEX(Pipeline_Calc!$J$2:$J$5251,Pipeline_Sort!$C182))</f>
        <v/>
      </c>
    </row>
    <row r="183" customFormat="false" ht="15" hidden="false" customHeight="false" outlineLevel="0" collapsed="false">
      <c r="A183" s="33" t="n">
        <f aca="false">IF(Pipeline_Sort!$C183="","",INDEX(Pipeline_Calc!$B$2:$B$5251,Pipeline_Sort!$C183))</f>
        <v>46344</v>
      </c>
      <c r="B183" s="0" t="str">
        <f aca="false">IF(Pipeline_Sort!$C183="","",INDEX(Pipeline_Calc!$C$2:$C$5251,Pipeline_Sort!$C183))</f>
        <v>office</v>
      </c>
      <c r="C183" s="0" t="str">
        <f aca="false">IF(Pipeline_Sort!$C183="","",INDEX(Pipeline_Calc!$D$2:$D$5251,Pipeline_Sort!$C183))</f>
        <v>SAMPLE-O-018</v>
      </c>
      <c r="D183" s="0" t="str">
        <f aca="false">IF(Pipeline_Sort!$C183="","",INDEX(Pipeline_Calc!$E$2:$E$5251,Pipeline_Sort!$C183))</f>
        <v>SAMPLE Office 18</v>
      </c>
      <c r="E183" s="0" t="str">
        <f aca="false">IF(Pipeline_Sort!$C183="","",INDEX(Pipeline_Calc!$F$2:$F$5251,Pipeline_Sort!$C183))</f>
        <v>outreach_sent</v>
      </c>
      <c r="F183" s="0" t="str">
        <f aca="false">IF(Pipeline_Sort!$C183="","",INDEX(Pipeline_Calc!$G$2:$G$5251,Pipeline_Sort!$C183))</f>
        <v/>
      </c>
      <c r="G183" s="0" t="str">
        <f aca="false">IF(Pipeline_Sort!$C183="","",INDEX(Pipeline_Calc!$H$2:$H$5251,Pipeline_Sort!$C183))</f>
        <v/>
      </c>
      <c r="H183" s="0" t="str">
        <f aca="false">IF(Pipeline_Sort!$C183="","",INDEX(Pipeline_Calc!$I$2:$I$5251,Pipeline_Sort!$C183))</f>
        <v/>
      </c>
      <c r="I183" s="0" t="str">
        <f aca="false">IF(Pipeline_Sort!$C183="","",INDEX(Pipeline_Calc!$J$2:$J$5251,Pipeline_Sort!$C183))</f>
        <v>touch_1; office-discovery-B; email</v>
      </c>
    </row>
    <row r="184" customFormat="false" ht="15" hidden="false" customHeight="false" outlineLevel="0" collapsed="false">
      <c r="A184" s="33" t="n">
        <f aca="false">IF(Pipeline_Sort!$C184="","",INDEX(Pipeline_Calc!$B$2:$B$5251,Pipeline_Sort!$C184))</f>
        <v>46344</v>
      </c>
      <c r="B184" s="0" t="str">
        <f aca="false">IF(Pipeline_Sort!$C184="","",INDEX(Pipeline_Calc!$C$2:$C$5251,Pipeline_Sort!$C184))</f>
        <v>office</v>
      </c>
      <c r="C184" s="0" t="str">
        <f aca="false">IF(Pipeline_Sort!$C184="","",INDEX(Pipeline_Calc!$D$2:$D$5251,Pipeline_Sort!$C184))</f>
        <v>SAMPLE-O-037</v>
      </c>
      <c r="D184" s="0" t="str">
        <f aca="false">IF(Pipeline_Sort!$C184="","",INDEX(Pipeline_Calc!$E$2:$E$5251,Pipeline_Sort!$C184))</f>
        <v>SAMPLE Office 37</v>
      </c>
      <c r="E184" s="0" t="str">
        <f aca="false">IF(Pipeline_Sort!$C184="","",INDEX(Pipeline_Calc!$F$2:$F$5251,Pipeline_Sort!$C184))</f>
        <v>outreach_sent</v>
      </c>
      <c r="F184" s="0" t="str">
        <f aca="false">IF(Pipeline_Sort!$C184="","",INDEX(Pipeline_Calc!$G$2:$G$5251,Pipeline_Sort!$C184))</f>
        <v/>
      </c>
      <c r="G184" s="0" t="str">
        <f aca="false">IF(Pipeline_Sort!$C184="","",INDEX(Pipeline_Calc!$H$2:$H$5251,Pipeline_Sort!$C184))</f>
        <v/>
      </c>
      <c r="H184" s="0" t="str">
        <f aca="false">IF(Pipeline_Sort!$C184="","",INDEX(Pipeline_Calc!$I$2:$I$5251,Pipeline_Sort!$C184))</f>
        <v/>
      </c>
      <c r="I184" s="0" t="str">
        <f aca="false">IF(Pipeline_Sort!$C184="","",INDEX(Pipeline_Calc!$J$2:$J$5251,Pipeline_Sort!$C184))</f>
        <v>touch_1; office-discovery-A; email</v>
      </c>
    </row>
    <row r="185" customFormat="false" ht="15" hidden="false" customHeight="false" outlineLevel="0" collapsed="false">
      <c r="A185" s="33" t="n">
        <f aca="false">IF(Pipeline_Sort!$C185="","",INDEX(Pipeline_Calc!$B$2:$B$5251,Pipeline_Sort!$C185))</f>
        <v>46344</v>
      </c>
      <c r="B185" s="0" t="str">
        <f aca="false">IF(Pipeline_Sort!$C185="","",INDEX(Pipeline_Calc!$C$2:$C$5251,Pipeline_Sort!$C185))</f>
        <v>office</v>
      </c>
      <c r="C185" s="0" t="str">
        <f aca="false">IF(Pipeline_Sort!$C185="","",INDEX(Pipeline_Calc!$D$2:$D$5251,Pipeline_Sort!$C185))</f>
        <v>SAMPLE-O-017</v>
      </c>
      <c r="D185" s="0" t="str">
        <f aca="false">IF(Pipeline_Sort!$C185="","",INDEX(Pipeline_Calc!$E$2:$E$5251,Pipeline_Sort!$C185))</f>
        <v>SAMPLE Office 17</v>
      </c>
      <c r="E185" s="0" t="str">
        <f aca="false">IF(Pipeline_Sort!$C185="","",INDEX(Pipeline_Calc!$F$2:$F$5251,Pipeline_Sort!$C185))</f>
        <v>outreach_sent</v>
      </c>
      <c r="F185" s="0" t="str">
        <f aca="false">IF(Pipeline_Sort!$C185="","",INDEX(Pipeline_Calc!$G$2:$G$5251,Pipeline_Sort!$C185))</f>
        <v/>
      </c>
      <c r="G185" s="0" t="str">
        <f aca="false">IF(Pipeline_Sort!$C185="","",INDEX(Pipeline_Calc!$H$2:$H$5251,Pipeline_Sort!$C185))</f>
        <v/>
      </c>
      <c r="H185" s="0" t="str">
        <f aca="false">IF(Pipeline_Sort!$C185="","",INDEX(Pipeline_Calc!$I$2:$I$5251,Pipeline_Sort!$C185))</f>
        <v/>
      </c>
      <c r="I185" s="0" t="str">
        <f aca="false">IF(Pipeline_Sort!$C185="","",INDEX(Pipeline_Calc!$J$2:$J$5251,Pipeline_Sort!$C185))</f>
        <v>touch_2; office-discovery-A; email</v>
      </c>
    </row>
    <row r="186" customFormat="false" ht="15" hidden="false" customHeight="false" outlineLevel="0" collapsed="false">
      <c r="A186" s="33" t="n">
        <f aca="false">IF(Pipeline_Sort!$C186="","",INDEX(Pipeline_Calc!$B$2:$B$5251,Pipeline_Sort!$C186))</f>
        <v>46344</v>
      </c>
      <c r="B186" s="0" t="str">
        <f aca="false">IF(Pipeline_Sort!$C186="","",INDEX(Pipeline_Calc!$C$2:$C$5251,Pipeline_Sort!$C186))</f>
        <v>office</v>
      </c>
      <c r="C186" s="0" t="str">
        <f aca="false">IF(Pipeline_Sort!$C186="","",INDEX(Pipeline_Calc!$D$2:$D$5251,Pipeline_Sort!$C186))</f>
        <v>SAMPLE-O-036</v>
      </c>
      <c r="D186" s="0" t="str">
        <f aca="false">IF(Pipeline_Sort!$C186="","",INDEX(Pipeline_Calc!$E$2:$E$5251,Pipeline_Sort!$C186))</f>
        <v>SAMPLE Office 36</v>
      </c>
      <c r="E186" s="0" t="str">
        <f aca="false">IF(Pipeline_Sort!$C186="","",INDEX(Pipeline_Calc!$F$2:$F$5251,Pipeline_Sort!$C186))</f>
        <v>outreach_sent</v>
      </c>
      <c r="F186" s="0" t="str">
        <f aca="false">IF(Pipeline_Sort!$C186="","",INDEX(Pipeline_Calc!$G$2:$G$5251,Pipeline_Sort!$C186))</f>
        <v/>
      </c>
      <c r="G186" s="0" t="str">
        <f aca="false">IF(Pipeline_Sort!$C186="","",INDEX(Pipeline_Calc!$H$2:$H$5251,Pipeline_Sort!$C186))</f>
        <v/>
      </c>
      <c r="H186" s="0" t="str">
        <f aca="false">IF(Pipeline_Sort!$C186="","",INDEX(Pipeline_Calc!$I$2:$I$5251,Pipeline_Sort!$C186))</f>
        <v/>
      </c>
      <c r="I186" s="0" t="str">
        <f aca="false">IF(Pipeline_Sort!$C186="","",INDEX(Pipeline_Calc!$J$2:$J$5251,Pipeline_Sort!$C186))</f>
        <v>touch_2; office-discovery-B; linkedin</v>
      </c>
    </row>
    <row r="187" customFormat="false" ht="15" hidden="false" customHeight="false" outlineLevel="0" collapsed="false">
      <c r="A187" s="33" t="n">
        <f aca="false">IF(Pipeline_Sort!$C187="","",INDEX(Pipeline_Calc!$B$2:$B$5251,Pipeline_Sort!$C187))</f>
        <v>46344</v>
      </c>
      <c r="B187" s="0" t="str">
        <f aca="false">IF(Pipeline_Sort!$C187="","",INDEX(Pipeline_Calc!$C$2:$C$5251,Pipeline_Sort!$C187))</f>
        <v>office</v>
      </c>
      <c r="C187" s="0" t="str">
        <f aca="false">IF(Pipeline_Sort!$C187="","",INDEX(Pipeline_Calc!$D$2:$D$5251,Pipeline_Sort!$C187))</f>
        <v>SAMPLE-O-022</v>
      </c>
      <c r="D187" s="0" t="str">
        <f aca="false">IF(Pipeline_Sort!$C187="","",INDEX(Pipeline_Calc!$E$2:$E$5251,Pipeline_Sort!$C187))</f>
        <v>SAMPLE Office 22</v>
      </c>
      <c r="E187" s="0" t="str">
        <f aca="false">IF(Pipeline_Sort!$C187="","",INDEX(Pipeline_Calc!$F$2:$F$5251,Pipeline_Sort!$C187))</f>
        <v>outreach_sent</v>
      </c>
      <c r="F187" s="0" t="str">
        <f aca="false">IF(Pipeline_Sort!$C187="","",INDEX(Pipeline_Calc!$G$2:$G$5251,Pipeline_Sort!$C187))</f>
        <v/>
      </c>
      <c r="G187" s="0" t="str">
        <f aca="false">IF(Pipeline_Sort!$C187="","",INDEX(Pipeline_Calc!$H$2:$H$5251,Pipeline_Sort!$C187))</f>
        <v/>
      </c>
      <c r="H187" s="0" t="str">
        <f aca="false">IF(Pipeline_Sort!$C187="","",INDEX(Pipeline_Calc!$I$2:$I$5251,Pipeline_Sort!$C187))</f>
        <v/>
      </c>
      <c r="I187" s="0" t="str">
        <f aca="false">IF(Pipeline_Sort!$C187="","",INDEX(Pipeline_Calc!$J$2:$J$5251,Pipeline_Sort!$C187))</f>
        <v>touch_3; office-discovery-B; linkedin</v>
      </c>
    </row>
    <row r="188" customFormat="false" ht="15" hidden="false" customHeight="false" outlineLevel="0" collapsed="false">
      <c r="A188" s="33" t="n">
        <f aca="false">IF(Pipeline_Sort!$C188="","",INDEX(Pipeline_Calc!$B$2:$B$5251,Pipeline_Sort!$C188))</f>
        <v>46344</v>
      </c>
      <c r="B188" s="0" t="str">
        <f aca="false">IF(Pipeline_Sort!$C188="","",INDEX(Pipeline_Calc!$C$2:$C$5251,Pipeline_Sort!$C188))</f>
        <v>brand</v>
      </c>
      <c r="C188" s="0" t="str">
        <f aca="false">IF(Pipeline_Sort!$C188="","",INDEX(Pipeline_Calc!$D$2:$D$5251,Pipeline_Sort!$C188))</f>
        <v>SAMPLE-B-018</v>
      </c>
      <c r="D188" s="0" t="str">
        <f aca="false">IF(Pipeline_Sort!$C188="","",INDEX(Pipeline_Calc!$E$2:$E$5251,Pipeline_Sort!$C188))</f>
        <v>SAMPLE Brand 18</v>
      </c>
      <c r="E188" s="0" t="str">
        <f aca="false">IF(Pipeline_Sort!$C188="","",INDEX(Pipeline_Calc!$F$2:$F$5251,Pipeline_Sort!$C188))</f>
        <v>outreach_sent</v>
      </c>
      <c r="F188" s="0" t="str">
        <f aca="false">IF(Pipeline_Sort!$C188="","",INDEX(Pipeline_Calc!$G$2:$G$5251,Pipeline_Sort!$C188))</f>
        <v/>
      </c>
      <c r="G188" s="0" t="str">
        <f aca="false">IF(Pipeline_Sort!$C188="","",INDEX(Pipeline_Calc!$H$2:$H$5251,Pipeline_Sort!$C188))</f>
        <v/>
      </c>
      <c r="H188" s="0" t="str">
        <f aca="false">IF(Pipeline_Sort!$C188="","",INDEX(Pipeline_Calc!$I$2:$I$5251,Pipeline_Sort!$C188))</f>
        <v/>
      </c>
      <c r="I188" s="0" t="str">
        <f aca="false">IF(Pipeline_Sort!$C188="","",INDEX(Pipeline_Calc!$J$2:$J$5251,Pipeline_Sort!$C188))</f>
        <v>touch_1; brand-discovery-B; email</v>
      </c>
    </row>
    <row r="189" customFormat="false" ht="15" hidden="false" customHeight="false" outlineLevel="0" collapsed="false">
      <c r="A189" s="33" t="n">
        <f aca="false">IF(Pipeline_Sort!$C189="","",INDEX(Pipeline_Calc!$B$2:$B$5251,Pipeline_Sort!$C189))</f>
        <v>46344</v>
      </c>
      <c r="B189" s="0" t="str">
        <f aca="false">IF(Pipeline_Sort!$C189="","",INDEX(Pipeline_Calc!$C$2:$C$5251,Pipeline_Sort!$C189))</f>
        <v>brand</v>
      </c>
      <c r="C189" s="0" t="str">
        <f aca="false">IF(Pipeline_Sort!$C189="","",INDEX(Pipeline_Calc!$D$2:$D$5251,Pipeline_Sort!$C189))</f>
        <v>SAMPLE-B-037</v>
      </c>
      <c r="D189" s="0" t="str">
        <f aca="false">IF(Pipeline_Sort!$C189="","",INDEX(Pipeline_Calc!$E$2:$E$5251,Pipeline_Sort!$C189))</f>
        <v>SAMPLE Brand 37</v>
      </c>
      <c r="E189" s="0" t="str">
        <f aca="false">IF(Pipeline_Sort!$C189="","",INDEX(Pipeline_Calc!$F$2:$F$5251,Pipeline_Sort!$C189))</f>
        <v>outreach_sent</v>
      </c>
      <c r="F189" s="0" t="str">
        <f aca="false">IF(Pipeline_Sort!$C189="","",INDEX(Pipeline_Calc!$G$2:$G$5251,Pipeline_Sort!$C189))</f>
        <v/>
      </c>
      <c r="G189" s="0" t="str">
        <f aca="false">IF(Pipeline_Sort!$C189="","",INDEX(Pipeline_Calc!$H$2:$H$5251,Pipeline_Sort!$C189))</f>
        <v/>
      </c>
      <c r="H189" s="0" t="str">
        <f aca="false">IF(Pipeline_Sort!$C189="","",INDEX(Pipeline_Calc!$I$2:$I$5251,Pipeline_Sort!$C189))</f>
        <v/>
      </c>
      <c r="I189" s="0" t="str">
        <f aca="false">IF(Pipeline_Sort!$C189="","",INDEX(Pipeline_Calc!$J$2:$J$5251,Pipeline_Sort!$C189))</f>
        <v>touch_1; brand-discovery-A; email</v>
      </c>
    </row>
    <row r="190" customFormat="false" ht="15" hidden="false" customHeight="false" outlineLevel="0" collapsed="false">
      <c r="A190" s="33" t="n">
        <f aca="false">IF(Pipeline_Sort!$C190="","",INDEX(Pipeline_Calc!$B$2:$B$5251,Pipeline_Sort!$C190))</f>
        <v>46344</v>
      </c>
      <c r="B190" s="0" t="str">
        <f aca="false">IF(Pipeline_Sort!$C190="","",INDEX(Pipeline_Calc!$C$2:$C$5251,Pipeline_Sort!$C190))</f>
        <v>brand</v>
      </c>
      <c r="C190" s="0" t="str">
        <f aca="false">IF(Pipeline_Sort!$C190="","",INDEX(Pipeline_Calc!$D$2:$D$5251,Pipeline_Sort!$C190))</f>
        <v>SAMPLE-B-017</v>
      </c>
      <c r="D190" s="0" t="str">
        <f aca="false">IF(Pipeline_Sort!$C190="","",INDEX(Pipeline_Calc!$E$2:$E$5251,Pipeline_Sort!$C190))</f>
        <v>SAMPLE Brand 17</v>
      </c>
      <c r="E190" s="0" t="str">
        <f aca="false">IF(Pipeline_Sort!$C190="","",INDEX(Pipeline_Calc!$F$2:$F$5251,Pipeline_Sort!$C190))</f>
        <v>outreach_sent</v>
      </c>
      <c r="F190" s="0" t="str">
        <f aca="false">IF(Pipeline_Sort!$C190="","",INDEX(Pipeline_Calc!$G$2:$G$5251,Pipeline_Sort!$C190))</f>
        <v/>
      </c>
      <c r="G190" s="0" t="str">
        <f aca="false">IF(Pipeline_Sort!$C190="","",INDEX(Pipeline_Calc!$H$2:$H$5251,Pipeline_Sort!$C190))</f>
        <v/>
      </c>
      <c r="H190" s="0" t="str">
        <f aca="false">IF(Pipeline_Sort!$C190="","",INDEX(Pipeline_Calc!$I$2:$I$5251,Pipeline_Sort!$C190))</f>
        <v/>
      </c>
      <c r="I190" s="0" t="str">
        <f aca="false">IF(Pipeline_Sort!$C190="","",INDEX(Pipeline_Calc!$J$2:$J$5251,Pipeline_Sort!$C190))</f>
        <v>touch_2; brand-discovery-A; email</v>
      </c>
    </row>
    <row r="191" customFormat="false" ht="15" hidden="false" customHeight="false" outlineLevel="0" collapsed="false">
      <c r="A191" s="33" t="n">
        <f aca="false">IF(Pipeline_Sort!$C191="","",INDEX(Pipeline_Calc!$B$2:$B$5251,Pipeline_Sort!$C191))</f>
        <v>46344</v>
      </c>
      <c r="B191" s="0" t="str">
        <f aca="false">IF(Pipeline_Sort!$C191="","",INDEX(Pipeline_Calc!$C$2:$C$5251,Pipeline_Sort!$C191))</f>
        <v>brand</v>
      </c>
      <c r="C191" s="0" t="str">
        <f aca="false">IF(Pipeline_Sort!$C191="","",INDEX(Pipeline_Calc!$D$2:$D$5251,Pipeline_Sort!$C191))</f>
        <v>SAMPLE-B-036</v>
      </c>
      <c r="D191" s="0" t="str">
        <f aca="false">IF(Pipeline_Sort!$C191="","",INDEX(Pipeline_Calc!$E$2:$E$5251,Pipeline_Sort!$C191))</f>
        <v>SAMPLE Brand 36</v>
      </c>
      <c r="E191" s="0" t="str">
        <f aca="false">IF(Pipeline_Sort!$C191="","",INDEX(Pipeline_Calc!$F$2:$F$5251,Pipeline_Sort!$C191))</f>
        <v>outreach_sent</v>
      </c>
      <c r="F191" s="0" t="str">
        <f aca="false">IF(Pipeline_Sort!$C191="","",INDEX(Pipeline_Calc!$G$2:$G$5251,Pipeline_Sort!$C191))</f>
        <v/>
      </c>
      <c r="G191" s="0" t="str">
        <f aca="false">IF(Pipeline_Sort!$C191="","",INDEX(Pipeline_Calc!$H$2:$H$5251,Pipeline_Sort!$C191))</f>
        <v/>
      </c>
      <c r="H191" s="0" t="str">
        <f aca="false">IF(Pipeline_Sort!$C191="","",INDEX(Pipeline_Calc!$I$2:$I$5251,Pipeline_Sort!$C191))</f>
        <v/>
      </c>
      <c r="I191" s="0" t="str">
        <f aca="false">IF(Pipeline_Sort!$C191="","",INDEX(Pipeline_Calc!$J$2:$J$5251,Pipeline_Sort!$C191))</f>
        <v>touch_2; brand-discovery-B; linkedin</v>
      </c>
    </row>
    <row r="192" customFormat="false" ht="15" hidden="false" customHeight="false" outlineLevel="0" collapsed="false">
      <c r="A192" s="33" t="n">
        <f aca="false">IF(Pipeline_Sort!$C192="","",INDEX(Pipeline_Calc!$B$2:$B$5251,Pipeline_Sort!$C192))</f>
        <v>46344</v>
      </c>
      <c r="B192" s="0" t="str">
        <f aca="false">IF(Pipeline_Sort!$C192="","",INDEX(Pipeline_Calc!$C$2:$C$5251,Pipeline_Sort!$C192))</f>
        <v>brand</v>
      </c>
      <c r="C192" s="0" t="str">
        <f aca="false">IF(Pipeline_Sort!$C192="","",INDEX(Pipeline_Calc!$D$2:$D$5251,Pipeline_Sort!$C192))</f>
        <v>SAMPLE-B-022</v>
      </c>
      <c r="D192" s="0" t="str">
        <f aca="false">IF(Pipeline_Sort!$C192="","",INDEX(Pipeline_Calc!$E$2:$E$5251,Pipeline_Sort!$C192))</f>
        <v>SAMPLE Brand 22</v>
      </c>
      <c r="E192" s="0" t="str">
        <f aca="false">IF(Pipeline_Sort!$C192="","",INDEX(Pipeline_Calc!$F$2:$F$5251,Pipeline_Sort!$C192))</f>
        <v>outreach_sent</v>
      </c>
      <c r="F192" s="0" t="str">
        <f aca="false">IF(Pipeline_Sort!$C192="","",INDEX(Pipeline_Calc!$G$2:$G$5251,Pipeline_Sort!$C192))</f>
        <v/>
      </c>
      <c r="G192" s="0" t="str">
        <f aca="false">IF(Pipeline_Sort!$C192="","",INDEX(Pipeline_Calc!$H$2:$H$5251,Pipeline_Sort!$C192))</f>
        <v/>
      </c>
      <c r="H192" s="0" t="str">
        <f aca="false">IF(Pipeline_Sort!$C192="","",INDEX(Pipeline_Calc!$I$2:$I$5251,Pipeline_Sort!$C192))</f>
        <v/>
      </c>
      <c r="I192" s="0" t="str">
        <f aca="false">IF(Pipeline_Sort!$C192="","",INDEX(Pipeline_Calc!$J$2:$J$5251,Pipeline_Sort!$C192))</f>
        <v>touch_3; brand-discovery-B; linkedin</v>
      </c>
    </row>
    <row r="193" customFormat="false" ht="15" hidden="false" customHeight="false" outlineLevel="0" collapsed="false">
      <c r="A193" s="33" t="n">
        <f aca="false">IF(Pipeline_Sort!$C193="","",INDEX(Pipeline_Calc!$B$2:$B$5251,Pipeline_Sort!$C193))</f>
        <v>46345</v>
      </c>
      <c r="B193" s="0" t="str">
        <f aca="false">IF(Pipeline_Sort!$C193="","",INDEX(Pipeline_Calc!$C$2:$C$5251,Pipeline_Sort!$C193))</f>
        <v>office</v>
      </c>
      <c r="C193" s="0" t="str">
        <f aca="false">IF(Pipeline_Sort!$C193="","",INDEX(Pipeline_Calc!$D$2:$D$5251,Pipeline_Sort!$C193))</f>
        <v>SAMPLE-O-031</v>
      </c>
      <c r="D193" s="0" t="str">
        <f aca="false">IF(Pipeline_Sort!$C193="","",INDEX(Pipeline_Calc!$E$2:$E$5251,Pipeline_Sort!$C193))</f>
        <v>SAMPLE Office 31</v>
      </c>
      <c r="E193" s="0" t="str">
        <f aca="false">IF(Pipeline_Sort!$C193="","",INDEX(Pipeline_Calc!$F$2:$F$5251,Pipeline_Sort!$C193))</f>
        <v>outreach_sent</v>
      </c>
      <c r="F193" s="0" t="str">
        <f aca="false">IF(Pipeline_Sort!$C193="","",INDEX(Pipeline_Calc!$G$2:$G$5251,Pipeline_Sort!$C193))</f>
        <v/>
      </c>
      <c r="G193" s="0" t="str">
        <f aca="false">IF(Pipeline_Sort!$C193="","",INDEX(Pipeline_Calc!$H$2:$H$5251,Pipeline_Sort!$C193))</f>
        <v/>
      </c>
      <c r="H193" s="0" t="str">
        <f aca="false">IF(Pipeline_Sort!$C193="","",INDEX(Pipeline_Calc!$I$2:$I$5251,Pipeline_Sort!$C193))</f>
        <v/>
      </c>
      <c r="I193" s="0" t="str">
        <f aca="false">IF(Pipeline_Sort!$C193="","",INDEX(Pipeline_Calc!$J$2:$J$5251,Pipeline_Sort!$C193))</f>
        <v>touch_1; office-discovery-A; email</v>
      </c>
    </row>
    <row r="194" customFormat="false" ht="15" hidden="false" customHeight="false" outlineLevel="0" collapsed="false">
      <c r="A194" s="33" t="n">
        <f aca="false">IF(Pipeline_Sort!$C194="","",INDEX(Pipeline_Calc!$B$2:$B$5251,Pipeline_Sort!$C194))</f>
        <v>46345</v>
      </c>
      <c r="B194" s="0" t="str">
        <f aca="false">IF(Pipeline_Sort!$C194="","",INDEX(Pipeline_Calc!$C$2:$C$5251,Pipeline_Sort!$C194))</f>
        <v>brand</v>
      </c>
      <c r="C194" s="0" t="str">
        <f aca="false">IF(Pipeline_Sort!$C194="","",INDEX(Pipeline_Calc!$D$2:$D$5251,Pipeline_Sort!$C194))</f>
        <v>SAMPLE-B-031</v>
      </c>
      <c r="D194" s="0" t="str">
        <f aca="false">IF(Pipeline_Sort!$C194="","",INDEX(Pipeline_Calc!$E$2:$E$5251,Pipeline_Sort!$C194))</f>
        <v>SAMPLE Brand 31</v>
      </c>
      <c r="E194" s="0" t="str">
        <f aca="false">IF(Pipeline_Sort!$C194="","",INDEX(Pipeline_Calc!$F$2:$F$5251,Pipeline_Sort!$C194))</f>
        <v>outreach_sent</v>
      </c>
      <c r="F194" s="0" t="str">
        <f aca="false">IF(Pipeline_Sort!$C194="","",INDEX(Pipeline_Calc!$G$2:$G$5251,Pipeline_Sort!$C194))</f>
        <v/>
      </c>
      <c r="G194" s="0" t="str">
        <f aca="false">IF(Pipeline_Sort!$C194="","",INDEX(Pipeline_Calc!$H$2:$H$5251,Pipeline_Sort!$C194))</f>
        <v/>
      </c>
      <c r="H194" s="0" t="str">
        <f aca="false">IF(Pipeline_Sort!$C194="","",INDEX(Pipeline_Calc!$I$2:$I$5251,Pipeline_Sort!$C194))</f>
        <v/>
      </c>
      <c r="I194" s="0" t="str">
        <f aca="false">IF(Pipeline_Sort!$C194="","",INDEX(Pipeline_Calc!$J$2:$J$5251,Pipeline_Sort!$C194))</f>
        <v>touch_1; brand-discovery-A; email</v>
      </c>
    </row>
    <row r="195" customFormat="false" ht="15" hidden="false" customHeight="false" outlineLevel="0" collapsed="false">
      <c r="A195" s="33" t="n">
        <f aca="false">IF(Pipeline_Sort!$C195="","",INDEX(Pipeline_Calc!$B$2:$B$5251,Pipeline_Sort!$C195))</f>
        <v>46346</v>
      </c>
      <c r="B195" s="0" t="str">
        <f aca="false">IF(Pipeline_Sort!$C195="","",INDEX(Pipeline_Calc!$C$2:$C$5251,Pipeline_Sort!$C195))</f>
        <v>office</v>
      </c>
      <c r="C195" s="0" t="str">
        <f aca="false">IF(Pipeline_Sort!$C195="","",INDEX(Pipeline_Calc!$D$2:$D$5251,Pipeline_Sort!$C195))</f>
        <v>SAMPLE-O-025</v>
      </c>
      <c r="D195" s="0" t="str">
        <f aca="false">IF(Pipeline_Sort!$C195="","",INDEX(Pipeline_Calc!$E$2:$E$5251,Pipeline_Sort!$C195))</f>
        <v>SAMPLE Office 25</v>
      </c>
      <c r="E195" s="0" t="str">
        <f aca="false">IF(Pipeline_Sort!$C195="","",INDEX(Pipeline_Calc!$F$2:$F$5251,Pipeline_Sort!$C195))</f>
        <v>outreach_sent</v>
      </c>
      <c r="F195" s="0" t="str">
        <f aca="false">IF(Pipeline_Sort!$C195="","",INDEX(Pipeline_Calc!$G$2:$G$5251,Pipeline_Sort!$C195))</f>
        <v/>
      </c>
      <c r="G195" s="0" t="str">
        <f aca="false">IF(Pipeline_Sort!$C195="","",INDEX(Pipeline_Calc!$H$2:$H$5251,Pipeline_Sort!$C195))</f>
        <v/>
      </c>
      <c r="H195" s="0" t="str">
        <f aca="false">IF(Pipeline_Sort!$C195="","",INDEX(Pipeline_Calc!$I$2:$I$5251,Pipeline_Sort!$C195))</f>
        <v/>
      </c>
      <c r="I195" s="0" t="str">
        <f aca="false">IF(Pipeline_Sort!$C195="","",INDEX(Pipeline_Calc!$J$2:$J$5251,Pipeline_Sort!$C195))</f>
        <v>touch_1; office-discovery-A; email</v>
      </c>
    </row>
    <row r="196" customFormat="false" ht="15" hidden="false" customHeight="false" outlineLevel="0" collapsed="false">
      <c r="A196" s="33" t="n">
        <f aca="false">IF(Pipeline_Sort!$C196="","",INDEX(Pipeline_Calc!$B$2:$B$5251,Pipeline_Sort!$C196))</f>
        <v>46346</v>
      </c>
      <c r="B196" s="0" t="str">
        <f aca="false">IF(Pipeline_Sort!$C196="","",INDEX(Pipeline_Calc!$C$2:$C$5251,Pipeline_Sort!$C196))</f>
        <v>office</v>
      </c>
      <c r="C196" s="0" t="str">
        <f aca="false">IF(Pipeline_Sort!$C196="","",INDEX(Pipeline_Calc!$D$2:$D$5251,Pipeline_Sort!$C196))</f>
        <v>SAMPLE-O-024</v>
      </c>
      <c r="D196" s="0" t="str">
        <f aca="false">IF(Pipeline_Sort!$C196="","",INDEX(Pipeline_Calc!$E$2:$E$5251,Pipeline_Sort!$C196))</f>
        <v>SAMPLE Office 24</v>
      </c>
      <c r="E196" s="0" t="str">
        <f aca="false">IF(Pipeline_Sort!$C196="","",INDEX(Pipeline_Calc!$F$2:$F$5251,Pipeline_Sort!$C196))</f>
        <v>outreach_sent</v>
      </c>
      <c r="F196" s="0" t="str">
        <f aca="false">IF(Pipeline_Sort!$C196="","",INDEX(Pipeline_Calc!$G$2:$G$5251,Pipeline_Sort!$C196))</f>
        <v/>
      </c>
      <c r="G196" s="0" t="str">
        <f aca="false">IF(Pipeline_Sort!$C196="","",INDEX(Pipeline_Calc!$H$2:$H$5251,Pipeline_Sort!$C196))</f>
        <v/>
      </c>
      <c r="H196" s="0" t="str">
        <f aca="false">IF(Pipeline_Sort!$C196="","",INDEX(Pipeline_Calc!$I$2:$I$5251,Pipeline_Sort!$C196))</f>
        <v/>
      </c>
      <c r="I196" s="0" t="str">
        <f aca="false">IF(Pipeline_Sort!$C196="","",INDEX(Pipeline_Calc!$J$2:$J$5251,Pipeline_Sort!$C196))</f>
        <v>touch_2; office-discovery-B; linkedin</v>
      </c>
    </row>
    <row r="197" customFormat="false" ht="15" hidden="false" customHeight="false" outlineLevel="0" collapsed="false">
      <c r="A197" s="33" t="n">
        <f aca="false">IF(Pipeline_Sort!$C197="","",INDEX(Pipeline_Calc!$B$2:$B$5251,Pipeline_Sort!$C197))</f>
        <v>46346</v>
      </c>
      <c r="B197" s="0" t="str">
        <f aca="false">IF(Pipeline_Sort!$C197="","",INDEX(Pipeline_Calc!$C$2:$C$5251,Pipeline_Sort!$C197))</f>
        <v>office</v>
      </c>
      <c r="C197" s="0" t="str">
        <f aca="false">IF(Pipeline_Sort!$C197="","",INDEX(Pipeline_Calc!$D$2:$D$5251,Pipeline_Sort!$C197))</f>
        <v>SAMPLE-O-029</v>
      </c>
      <c r="D197" s="0" t="str">
        <f aca="false">IF(Pipeline_Sort!$C197="","",INDEX(Pipeline_Calc!$E$2:$E$5251,Pipeline_Sort!$C197))</f>
        <v>SAMPLE Office 29</v>
      </c>
      <c r="E197" s="0" t="str">
        <f aca="false">IF(Pipeline_Sort!$C197="","",INDEX(Pipeline_Calc!$F$2:$F$5251,Pipeline_Sort!$C197))</f>
        <v>outreach_sent</v>
      </c>
      <c r="F197" s="0" t="str">
        <f aca="false">IF(Pipeline_Sort!$C197="","",INDEX(Pipeline_Calc!$G$2:$G$5251,Pipeline_Sort!$C197))</f>
        <v/>
      </c>
      <c r="G197" s="0" t="str">
        <f aca="false">IF(Pipeline_Sort!$C197="","",INDEX(Pipeline_Calc!$H$2:$H$5251,Pipeline_Sort!$C197))</f>
        <v/>
      </c>
      <c r="H197" s="0" t="str">
        <f aca="false">IF(Pipeline_Sort!$C197="","",INDEX(Pipeline_Calc!$I$2:$I$5251,Pipeline_Sort!$C197))</f>
        <v/>
      </c>
      <c r="I197" s="0" t="str">
        <f aca="false">IF(Pipeline_Sort!$C197="","",INDEX(Pipeline_Calc!$J$2:$J$5251,Pipeline_Sort!$C197))</f>
        <v>touch_3; office-discovery-A; email</v>
      </c>
    </row>
    <row r="198" customFormat="false" ht="15" hidden="false" customHeight="false" outlineLevel="0" collapsed="false">
      <c r="A198" s="33" t="n">
        <f aca="false">IF(Pipeline_Sort!$C198="","",INDEX(Pipeline_Calc!$B$2:$B$5251,Pipeline_Sort!$C198))</f>
        <v>46346</v>
      </c>
      <c r="B198" s="0" t="str">
        <f aca="false">IF(Pipeline_Sort!$C198="","",INDEX(Pipeline_Calc!$C$2:$C$5251,Pipeline_Sort!$C198))</f>
        <v>brand</v>
      </c>
      <c r="C198" s="0" t="str">
        <f aca="false">IF(Pipeline_Sort!$C198="","",INDEX(Pipeline_Calc!$D$2:$D$5251,Pipeline_Sort!$C198))</f>
        <v>SAMPLE-B-025</v>
      </c>
      <c r="D198" s="0" t="str">
        <f aca="false">IF(Pipeline_Sort!$C198="","",INDEX(Pipeline_Calc!$E$2:$E$5251,Pipeline_Sort!$C198))</f>
        <v>SAMPLE Brand 25</v>
      </c>
      <c r="E198" s="0" t="str">
        <f aca="false">IF(Pipeline_Sort!$C198="","",INDEX(Pipeline_Calc!$F$2:$F$5251,Pipeline_Sort!$C198))</f>
        <v>outreach_sent</v>
      </c>
      <c r="F198" s="0" t="str">
        <f aca="false">IF(Pipeline_Sort!$C198="","",INDEX(Pipeline_Calc!$G$2:$G$5251,Pipeline_Sort!$C198))</f>
        <v/>
      </c>
      <c r="G198" s="0" t="str">
        <f aca="false">IF(Pipeline_Sort!$C198="","",INDEX(Pipeline_Calc!$H$2:$H$5251,Pipeline_Sort!$C198))</f>
        <v/>
      </c>
      <c r="H198" s="0" t="str">
        <f aca="false">IF(Pipeline_Sort!$C198="","",INDEX(Pipeline_Calc!$I$2:$I$5251,Pipeline_Sort!$C198))</f>
        <v/>
      </c>
      <c r="I198" s="0" t="str">
        <f aca="false">IF(Pipeline_Sort!$C198="","",INDEX(Pipeline_Calc!$J$2:$J$5251,Pipeline_Sort!$C198))</f>
        <v>touch_1; brand-discovery-A; email</v>
      </c>
    </row>
    <row r="199" customFormat="false" ht="15" hidden="false" customHeight="false" outlineLevel="0" collapsed="false">
      <c r="A199" s="33" t="n">
        <f aca="false">IF(Pipeline_Sort!$C199="","",INDEX(Pipeline_Calc!$B$2:$B$5251,Pipeline_Sort!$C199))</f>
        <v>46346</v>
      </c>
      <c r="B199" s="0" t="str">
        <f aca="false">IF(Pipeline_Sort!$C199="","",INDEX(Pipeline_Calc!$C$2:$C$5251,Pipeline_Sort!$C199))</f>
        <v>brand</v>
      </c>
      <c r="C199" s="0" t="str">
        <f aca="false">IF(Pipeline_Sort!$C199="","",INDEX(Pipeline_Calc!$D$2:$D$5251,Pipeline_Sort!$C199))</f>
        <v>SAMPLE-B-024</v>
      </c>
      <c r="D199" s="0" t="str">
        <f aca="false">IF(Pipeline_Sort!$C199="","",INDEX(Pipeline_Calc!$E$2:$E$5251,Pipeline_Sort!$C199))</f>
        <v>SAMPLE Brand 24</v>
      </c>
      <c r="E199" s="0" t="str">
        <f aca="false">IF(Pipeline_Sort!$C199="","",INDEX(Pipeline_Calc!$F$2:$F$5251,Pipeline_Sort!$C199))</f>
        <v>outreach_sent</v>
      </c>
      <c r="F199" s="0" t="str">
        <f aca="false">IF(Pipeline_Sort!$C199="","",INDEX(Pipeline_Calc!$G$2:$G$5251,Pipeline_Sort!$C199))</f>
        <v/>
      </c>
      <c r="G199" s="0" t="str">
        <f aca="false">IF(Pipeline_Sort!$C199="","",INDEX(Pipeline_Calc!$H$2:$H$5251,Pipeline_Sort!$C199))</f>
        <v/>
      </c>
      <c r="H199" s="0" t="str">
        <f aca="false">IF(Pipeline_Sort!$C199="","",INDEX(Pipeline_Calc!$I$2:$I$5251,Pipeline_Sort!$C199))</f>
        <v/>
      </c>
      <c r="I199" s="0" t="str">
        <f aca="false">IF(Pipeline_Sort!$C199="","",INDEX(Pipeline_Calc!$J$2:$J$5251,Pipeline_Sort!$C199))</f>
        <v>touch_2; brand-discovery-B; linkedin</v>
      </c>
    </row>
    <row r="200" customFormat="false" ht="15" hidden="false" customHeight="false" outlineLevel="0" collapsed="false">
      <c r="A200" s="33" t="n">
        <f aca="false">IF(Pipeline_Sort!$C200="","",INDEX(Pipeline_Calc!$B$2:$B$5251,Pipeline_Sort!$C200))</f>
        <v>46346</v>
      </c>
      <c r="B200" s="0" t="str">
        <f aca="false">IF(Pipeline_Sort!$C200="","",INDEX(Pipeline_Calc!$C$2:$C$5251,Pipeline_Sort!$C200))</f>
        <v>brand</v>
      </c>
      <c r="C200" s="0" t="str">
        <f aca="false">IF(Pipeline_Sort!$C200="","",INDEX(Pipeline_Calc!$D$2:$D$5251,Pipeline_Sort!$C200))</f>
        <v>SAMPLE-B-029</v>
      </c>
      <c r="D200" s="0" t="str">
        <f aca="false">IF(Pipeline_Sort!$C200="","",INDEX(Pipeline_Calc!$E$2:$E$5251,Pipeline_Sort!$C200))</f>
        <v>SAMPLE Brand 29</v>
      </c>
      <c r="E200" s="0" t="str">
        <f aca="false">IF(Pipeline_Sort!$C200="","",INDEX(Pipeline_Calc!$F$2:$F$5251,Pipeline_Sort!$C200))</f>
        <v>outreach_sent</v>
      </c>
      <c r="F200" s="0" t="str">
        <f aca="false">IF(Pipeline_Sort!$C200="","",INDEX(Pipeline_Calc!$G$2:$G$5251,Pipeline_Sort!$C200))</f>
        <v/>
      </c>
      <c r="G200" s="0" t="str">
        <f aca="false">IF(Pipeline_Sort!$C200="","",INDEX(Pipeline_Calc!$H$2:$H$5251,Pipeline_Sort!$C200))</f>
        <v/>
      </c>
      <c r="H200" s="0" t="str">
        <f aca="false">IF(Pipeline_Sort!$C200="","",INDEX(Pipeline_Calc!$I$2:$I$5251,Pipeline_Sort!$C200))</f>
        <v/>
      </c>
      <c r="I200" s="0" t="str">
        <f aca="false">IF(Pipeline_Sort!$C200="","",INDEX(Pipeline_Calc!$J$2:$J$5251,Pipeline_Sort!$C200))</f>
        <v>touch_3; brand-discovery-A; email</v>
      </c>
    </row>
    <row r="201" customFormat="false" ht="15" hidden="false" customHeight="false" outlineLevel="0" collapsed="false">
      <c r="A201" s="33" t="n">
        <f aca="false">IF(Pipeline_Sort!$C201="","",INDEX(Pipeline_Calc!$B$2:$B$5251,Pipeline_Sort!$C201))</f>
        <v>46349</v>
      </c>
      <c r="B201" s="0" t="str">
        <f aca="false">IF(Pipeline_Sort!$C201="","",INDEX(Pipeline_Calc!$C$2:$C$5251,Pipeline_Sort!$C201))</f>
        <v>office</v>
      </c>
      <c r="C201" s="0" t="str">
        <f aca="false">IF(Pipeline_Sort!$C201="","",INDEX(Pipeline_Calc!$D$2:$D$5251,Pipeline_Sort!$C201))</f>
        <v>SAMPLE-O-006</v>
      </c>
      <c r="D201" s="0" t="str">
        <f aca="false">IF(Pipeline_Sort!$C201="","",INDEX(Pipeline_Calc!$E$2:$E$5251,Pipeline_Sort!$C201))</f>
        <v>SAMPLE Office 06</v>
      </c>
      <c r="E201" s="0" t="str">
        <f aca="false">IF(Pipeline_Sort!$C201="","",INDEX(Pipeline_Calc!$F$2:$F$5251,Pipeline_Sort!$C201))</f>
        <v>signed</v>
      </c>
      <c r="F201" s="32" t="n">
        <f aca="false">IF(Pipeline_Sort!$C201="","",INDEX(Pipeline_Calc!$G$2:$G$5251,Pipeline_Sort!$C201))</f>
        <v>55</v>
      </c>
      <c r="G201" s="0" t="str">
        <f aca="false">IF(Pipeline_Sort!$C201="","",INDEX(Pipeline_Calc!$H$2:$H$5251,Pipeline_Sort!$C201))</f>
        <v/>
      </c>
      <c r="H201" s="0" t="str">
        <f aca="false">IF(Pipeline_Sort!$C201="","",INDEX(Pipeline_Calc!$I$2:$I$5251,Pipeline_Sort!$C201))</f>
        <v/>
      </c>
      <c r="I201" s="0" t="str">
        <f aca="false">IF(Pipeline_Sort!$C201="","",INDEX(Pipeline_Calc!$J$2:$J$5251,Pipeline_Sort!$C201))</f>
        <v>SAMPLE-O-102</v>
      </c>
    </row>
    <row r="202" customFormat="false" ht="15" hidden="false" customHeight="false" outlineLevel="0" collapsed="false">
      <c r="A202" s="33" t="n">
        <f aca="false">IF(Pipeline_Sort!$C202="","",INDEX(Pipeline_Calc!$B$2:$B$5251,Pipeline_Sort!$C202))</f>
        <v>46349</v>
      </c>
      <c r="B202" s="0" t="str">
        <f aca="false">IF(Pipeline_Sort!$C202="","",INDEX(Pipeline_Calc!$C$2:$C$5251,Pipeline_Sort!$C202))</f>
        <v>office</v>
      </c>
      <c r="C202" s="0" t="str">
        <f aca="false">IF(Pipeline_Sort!$C202="","",INDEX(Pipeline_Calc!$D$2:$D$5251,Pipeline_Sort!$C202))</f>
        <v>SAMPLE-O-018</v>
      </c>
      <c r="D202" s="0" t="str">
        <f aca="false">IF(Pipeline_Sort!$C202="","",INDEX(Pipeline_Calc!$E$2:$E$5251,Pipeline_Sort!$C202))</f>
        <v>SAMPLE Office 18</v>
      </c>
      <c r="E202" s="0" t="str">
        <f aca="false">IF(Pipeline_Sort!$C202="","",INDEX(Pipeline_Calc!$F$2:$F$5251,Pipeline_Sort!$C202))</f>
        <v>outreach_sent</v>
      </c>
      <c r="F202" s="0" t="str">
        <f aca="false">IF(Pipeline_Sort!$C202="","",INDEX(Pipeline_Calc!$G$2:$G$5251,Pipeline_Sort!$C202))</f>
        <v/>
      </c>
      <c r="G202" s="0" t="str">
        <f aca="false">IF(Pipeline_Sort!$C202="","",INDEX(Pipeline_Calc!$H$2:$H$5251,Pipeline_Sort!$C202))</f>
        <v/>
      </c>
      <c r="H202" s="0" t="str">
        <f aca="false">IF(Pipeline_Sort!$C202="","",INDEX(Pipeline_Calc!$I$2:$I$5251,Pipeline_Sort!$C202))</f>
        <v/>
      </c>
      <c r="I202" s="0" t="str">
        <f aca="false">IF(Pipeline_Sort!$C202="","",INDEX(Pipeline_Calc!$J$2:$J$5251,Pipeline_Sort!$C202))</f>
        <v>touch_2; office-discovery-B; email</v>
      </c>
    </row>
    <row r="203" customFormat="false" ht="15" hidden="false" customHeight="false" outlineLevel="0" collapsed="false">
      <c r="A203" s="33" t="n">
        <f aca="false">IF(Pipeline_Sort!$C203="","",INDEX(Pipeline_Calc!$B$2:$B$5251,Pipeline_Sort!$C203))</f>
        <v>46349</v>
      </c>
      <c r="B203" s="0" t="str">
        <f aca="false">IF(Pipeline_Sort!$C203="","",INDEX(Pipeline_Calc!$C$2:$C$5251,Pipeline_Sort!$C203))</f>
        <v>office</v>
      </c>
      <c r="C203" s="0" t="str">
        <f aca="false">IF(Pipeline_Sort!$C203="","",INDEX(Pipeline_Calc!$D$2:$D$5251,Pipeline_Sort!$C203))</f>
        <v>SAMPLE-O-037</v>
      </c>
      <c r="D203" s="0" t="str">
        <f aca="false">IF(Pipeline_Sort!$C203="","",INDEX(Pipeline_Calc!$E$2:$E$5251,Pipeline_Sort!$C203))</f>
        <v>SAMPLE Office 37</v>
      </c>
      <c r="E203" s="0" t="str">
        <f aca="false">IF(Pipeline_Sort!$C203="","",INDEX(Pipeline_Calc!$F$2:$F$5251,Pipeline_Sort!$C203))</f>
        <v>outreach_sent</v>
      </c>
      <c r="F203" s="0" t="str">
        <f aca="false">IF(Pipeline_Sort!$C203="","",INDEX(Pipeline_Calc!$G$2:$G$5251,Pipeline_Sort!$C203))</f>
        <v/>
      </c>
      <c r="G203" s="0" t="str">
        <f aca="false">IF(Pipeline_Sort!$C203="","",INDEX(Pipeline_Calc!$H$2:$H$5251,Pipeline_Sort!$C203))</f>
        <v/>
      </c>
      <c r="H203" s="0" t="str">
        <f aca="false">IF(Pipeline_Sort!$C203="","",INDEX(Pipeline_Calc!$I$2:$I$5251,Pipeline_Sort!$C203))</f>
        <v/>
      </c>
      <c r="I203" s="0" t="str">
        <f aca="false">IF(Pipeline_Sort!$C203="","",INDEX(Pipeline_Calc!$J$2:$J$5251,Pipeline_Sort!$C203))</f>
        <v>touch_2; office-discovery-A; email</v>
      </c>
    </row>
    <row r="204" customFormat="false" ht="15" hidden="false" customHeight="false" outlineLevel="0" collapsed="false">
      <c r="A204" s="33" t="n">
        <f aca="false">IF(Pipeline_Sort!$C204="","",INDEX(Pipeline_Calc!$B$2:$B$5251,Pipeline_Sort!$C204))</f>
        <v>46349</v>
      </c>
      <c r="B204" s="0" t="str">
        <f aca="false">IF(Pipeline_Sort!$C204="","",INDEX(Pipeline_Calc!$C$2:$C$5251,Pipeline_Sort!$C204))</f>
        <v>brand</v>
      </c>
      <c r="C204" s="0" t="str">
        <f aca="false">IF(Pipeline_Sort!$C204="","",INDEX(Pipeline_Calc!$D$2:$D$5251,Pipeline_Sort!$C204))</f>
        <v>SAMPLE-B-018</v>
      </c>
      <c r="D204" s="0" t="str">
        <f aca="false">IF(Pipeline_Sort!$C204="","",INDEX(Pipeline_Calc!$E$2:$E$5251,Pipeline_Sort!$C204))</f>
        <v>SAMPLE Brand 18</v>
      </c>
      <c r="E204" s="0" t="str">
        <f aca="false">IF(Pipeline_Sort!$C204="","",INDEX(Pipeline_Calc!$F$2:$F$5251,Pipeline_Sort!$C204))</f>
        <v>outreach_sent</v>
      </c>
      <c r="F204" s="0" t="str">
        <f aca="false">IF(Pipeline_Sort!$C204="","",INDEX(Pipeline_Calc!$G$2:$G$5251,Pipeline_Sort!$C204))</f>
        <v/>
      </c>
      <c r="G204" s="0" t="str">
        <f aca="false">IF(Pipeline_Sort!$C204="","",INDEX(Pipeline_Calc!$H$2:$H$5251,Pipeline_Sort!$C204))</f>
        <v/>
      </c>
      <c r="H204" s="0" t="str">
        <f aca="false">IF(Pipeline_Sort!$C204="","",INDEX(Pipeline_Calc!$I$2:$I$5251,Pipeline_Sort!$C204))</f>
        <v/>
      </c>
      <c r="I204" s="0" t="str">
        <f aca="false">IF(Pipeline_Sort!$C204="","",INDEX(Pipeline_Calc!$J$2:$J$5251,Pipeline_Sort!$C204))</f>
        <v>touch_2; brand-discovery-B; email</v>
      </c>
    </row>
    <row r="205" customFormat="false" ht="15" hidden="false" customHeight="false" outlineLevel="0" collapsed="false">
      <c r="A205" s="33" t="n">
        <f aca="false">IF(Pipeline_Sort!$C205="","",INDEX(Pipeline_Calc!$B$2:$B$5251,Pipeline_Sort!$C205))</f>
        <v>46349</v>
      </c>
      <c r="B205" s="0" t="str">
        <f aca="false">IF(Pipeline_Sort!$C205="","",INDEX(Pipeline_Calc!$C$2:$C$5251,Pipeline_Sort!$C205))</f>
        <v>brand</v>
      </c>
      <c r="C205" s="0" t="str">
        <f aca="false">IF(Pipeline_Sort!$C205="","",INDEX(Pipeline_Calc!$D$2:$D$5251,Pipeline_Sort!$C205))</f>
        <v>SAMPLE-B-037</v>
      </c>
      <c r="D205" s="0" t="str">
        <f aca="false">IF(Pipeline_Sort!$C205="","",INDEX(Pipeline_Calc!$E$2:$E$5251,Pipeline_Sort!$C205))</f>
        <v>SAMPLE Brand 37</v>
      </c>
      <c r="E205" s="0" t="str">
        <f aca="false">IF(Pipeline_Sort!$C205="","",INDEX(Pipeline_Calc!$F$2:$F$5251,Pipeline_Sort!$C205))</f>
        <v>outreach_sent</v>
      </c>
      <c r="F205" s="0" t="str">
        <f aca="false">IF(Pipeline_Sort!$C205="","",INDEX(Pipeline_Calc!$G$2:$G$5251,Pipeline_Sort!$C205))</f>
        <v/>
      </c>
      <c r="G205" s="0" t="str">
        <f aca="false">IF(Pipeline_Sort!$C205="","",INDEX(Pipeline_Calc!$H$2:$H$5251,Pipeline_Sort!$C205))</f>
        <v/>
      </c>
      <c r="H205" s="0" t="str">
        <f aca="false">IF(Pipeline_Sort!$C205="","",INDEX(Pipeline_Calc!$I$2:$I$5251,Pipeline_Sort!$C205))</f>
        <v/>
      </c>
      <c r="I205" s="0" t="str">
        <f aca="false">IF(Pipeline_Sort!$C205="","",INDEX(Pipeline_Calc!$J$2:$J$5251,Pipeline_Sort!$C205))</f>
        <v>touch_2; brand-discovery-A; email</v>
      </c>
    </row>
    <row r="206" customFormat="false" ht="15" hidden="false" customHeight="false" outlineLevel="0" collapsed="false">
      <c r="A206" s="33" t="n">
        <f aca="false">IF(Pipeline_Sort!$C206="","",INDEX(Pipeline_Calc!$B$2:$B$5251,Pipeline_Sort!$C206))</f>
        <v>46350</v>
      </c>
      <c r="B206" s="0" t="str">
        <f aca="false">IF(Pipeline_Sort!$C206="","",INDEX(Pipeline_Calc!$C$2:$C$5251,Pipeline_Sort!$C206))</f>
        <v>office</v>
      </c>
      <c r="C206" s="0" t="str">
        <f aca="false">IF(Pipeline_Sort!$C206="","",INDEX(Pipeline_Calc!$D$2:$D$5251,Pipeline_Sort!$C206))</f>
        <v>SAMPLE-O-001</v>
      </c>
      <c r="D206" s="0" t="str">
        <f aca="false">IF(Pipeline_Sort!$C206="","",INDEX(Pipeline_Calc!$E$2:$E$5251,Pipeline_Sort!$C206))</f>
        <v>SAMPLE Office 01</v>
      </c>
      <c r="E206" s="0" t="str">
        <f aca="false">IF(Pipeline_Sort!$C206="","",INDEX(Pipeline_Calc!$F$2:$F$5251,Pipeline_Sort!$C206))</f>
        <v>signed</v>
      </c>
      <c r="F206" s="32" t="n">
        <f aca="false">IF(Pipeline_Sort!$C206="","",INDEX(Pipeline_Calc!$G$2:$G$5251,Pipeline_Sort!$C206))</f>
        <v>62</v>
      </c>
      <c r="G206" s="0" t="str">
        <f aca="false">IF(Pipeline_Sort!$C206="","",INDEX(Pipeline_Calc!$H$2:$H$5251,Pipeline_Sort!$C206))</f>
        <v/>
      </c>
      <c r="H206" s="0" t="str">
        <f aca="false">IF(Pipeline_Sort!$C206="","",INDEX(Pipeline_Calc!$I$2:$I$5251,Pipeline_Sort!$C206))</f>
        <v/>
      </c>
      <c r="I206" s="0" t="str">
        <f aca="false">IF(Pipeline_Sort!$C206="","",INDEX(Pipeline_Calc!$J$2:$J$5251,Pipeline_Sort!$C206))</f>
        <v>SAMPLE-O-101</v>
      </c>
    </row>
    <row r="207" customFormat="false" ht="15" hidden="false" customHeight="false" outlineLevel="0" collapsed="false">
      <c r="A207" s="33" t="n">
        <f aca="false">IF(Pipeline_Sort!$C207="","",INDEX(Pipeline_Calc!$B$2:$B$5251,Pipeline_Sort!$C207))</f>
        <v>46350</v>
      </c>
      <c r="B207" s="0" t="str">
        <f aca="false">IF(Pipeline_Sort!$C207="","",INDEX(Pipeline_Calc!$C$2:$C$5251,Pipeline_Sort!$C207))</f>
        <v>office</v>
      </c>
      <c r="C207" s="0" t="str">
        <f aca="false">IF(Pipeline_Sort!$C207="","",INDEX(Pipeline_Calc!$D$2:$D$5251,Pipeline_Sort!$C207))</f>
        <v>SAMPLE-O-008</v>
      </c>
      <c r="D207" s="0" t="str">
        <f aca="false">IF(Pipeline_Sort!$C207="","",INDEX(Pipeline_Calc!$E$2:$E$5251,Pipeline_Sort!$C207))</f>
        <v>SAMPLE Office 08</v>
      </c>
      <c r="E207" s="0" t="str">
        <f aca="false">IF(Pipeline_Sort!$C207="","",INDEX(Pipeline_Calc!$F$2:$F$5251,Pipeline_Sort!$C207))</f>
        <v>signed</v>
      </c>
      <c r="F207" s="32" t="n">
        <f aca="false">IF(Pipeline_Sort!$C207="","",INDEX(Pipeline_Calc!$G$2:$G$5251,Pipeline_Sort!$C207))</f>
        <v>70</v>
      </c>
      <c r="G207" s="0" t="str">
        <f aca="false">IF(Pipeline_Sort!$C207="","",INDEX(Pipeline_Calc!$H$2:$H$5251,Pipeline_Sort!$C207))</f>
        <v/>
      </c>
      <c r="H207" s="0" t="str">
        <f aca="false">IF(Pipeline_Sort!$C207="","",INDEX(Pipeline_Calc!$I$2:$I$5251,Pipeline_Sort!$C207))</f>
        <v/>
      </c>
      <c r="I207" s="0" t="str">
        <f aca="false">IF(Pipeline_Sort!$C207="","",INDEX(Pipeline_Calc!$J$2:$J$5251,Pipeline_Sort!$C207))</f>
        <v>SAMPLE-O-103</v>
      </c>
    </row>
    <row r="208" customFormat="false" ht="15" hidden="false" customHeight="false" outlineLevel="0" collapsed="false">
      <c r="A208" s="33" t="n">
        <f aca="false">IF(Pipeline_Sort!$C208="","",INDEX(Pipeline_Calc!$B$2:$B$5251,Pipeline_Sort!$C208))</f>
        <v>46350</v>
      </c>
      <c r="B208" s="0" t="str">
        <f aca="false">IF(Pipeline_Sort!$C208="","",INDEX(Pipeline_Calc!$C$2:$C$5251,Pipeline_Sort!$C208))</f>
        <v>office</v>
      </c>
      <c r="C208" s="0" t="str">
        <f aca="false">IF(Pipeline_Sort!$C208="","",INDEX(Pipeline_Calc!$D$2:$D$5251,Pipeline_Sort!$C208))</f>
        <v>SAMPLE-O-031</v>
      </c>
      <c r="D208" s="0" t="str">
        <f aca="false">IF(Pipeline_Sort!$C208="","",INDEX(Pipeline_Calc!$E$2:$E$5251,Pipeline_Sort!$C208))</f>
        <v>SAMPLE Office 31</v>
      </c>
      <c r="E208" s="0" t="str">
        <f aca="false">IF(Pipeline_Sort!$C208="","",INDEX(Pipeline_Calc!$F$2:$F$5251,Pipeline_Sort!$C208))</f>
        <v>outreach_sent</v>
      </c>
      <c r="F208" s="0" t="str">
        <f aca="false">IF(Pipeline_Sort!$C208="","",INDEX(Pipeline_Calc!$G$2:$G$5251,Pipeline_Sort!$C208))</f>
        <v/>
      </c>
      <c r="G208" s="0" t="str">
        <f aca="false">IF(Pipeline_Sort!$C208="","",INDEX(Pipeline_Calc!$H$2:$H$5251,Pipeline_Sort!$C208))</f>
        <v/>
      </c>
      <c r="H208" s="0" t="str">
        <f aca="false">IF(Pipeline_Sort!$C208="","",INDEX(Pipeline_Calc!$I$2:$I$5251,Pipeline_Sort!$C208))</f>
        <v/>
      </c>
      <c r="I208" s="0" t="str">
        <f aca="false">IF(Pipeline_Sort!$C208="","",INDEX(Pipeline_Calc!$J$2:$J$5251,Pipeline_Sort!$C208))</f>
        <v>touch_2; office-discovery-A; email</v>
      </c>
    </row>
    <row r="209" customFormat="false" ht="15" hidden="false" customHeight="false" outlineLevel="0" collapsed="false">
      <c r="A209" s="33" t="n">
        <f aca="false">IF(Pipeline_Sort!$C209="","",INDEX(Pipeline_Calc!$B$2:$B$5251,Pipeline_Sort!$C209))</f>
        <v>46350</v>
      </c>
      <c r="B209" s="0" t="str">
        <f aca="false">IF(Pipeline_Sort!$C209="","",INDEX(Pipeline_Calc!$C$2:$C$5251,Pipeline_Sort!$C209))</f>
        <v>office</v>
      </c>
      <c r="C209" s="0" t="str">
        <f aca="false">IF(Pipeline_Sort!$C209="","",INDEX(Pipeline_Calc!$D$2:$D$5251,Pipeline_Sort!$C209))</f>
        <v>SAMPLE-O-036</v>
      </c>
      <c r="D209" s="0" t="str">
        <f aca="false">IF(Pipeline_Sort!$C209="","",INDEX(Pipeline_Calc!$E$2:$E$5251,Pipeline_Sort!$C209))</f>
        <v>SAMPLE Office 36</v>
      </c>
      <c r="E209" s="0" t="str">
        <f aca="false">IF(Pipeline_Sort!$C209="","",INDEX(Pipeline_Calc!$F$2:$F$5251,Pipeline_Sort!$C209))</f>
        <v>outreach_sent</v>
      </c>
      <c r="F209" s="0" t="str">
        <f aca="false">IF(Pipeline_Sort!$C209="","",INDEX(Pipeline_Calc!$G$2:$G$5251,Pipeline_Sort!$C209))</f>
        <v/>
      </c>
      <c r="G209" s="0" t="str">
        <f aca="false">IF(Pipeline_Sort!$C209="","",INDEX(Pipeline_Calc!$H$2:$H$5251,Pipeline_Sort!$C209))</f>
        <v/>
      </c>
      <c r="H209" s="0" t="str">
        <f aca="false">IF(Pipeline_Sort!$C209="","",INDEX(Pipeline_Calc!$I$2:$I$5251,Pipeline_Sort!$C209))</f>
        <v/>
      </c>
      <c r="I209" s="0" t="str">
        <f aca="false">IF(Pipeline_Sort!$C209="","",INDEX(Pipeline_Calc!$J$2:$J$5251,Pipeline_Sort!$C209))</f>
        <v>touch_3; office-discovery-B; linkedin</v>
      </c>
    </row>
    <row r="210" customFormat="false" ht="15" hidden="false" customHeight="false" outlineLevel="0" collapsed="false">
      <c r="A210" s="33" t="n">
        <f aca="false">IF(Pipeline_Sort!$C210="","",INDEX(Pipeline_Calc!$B$2:$B$5251,Pipeline_Sort!$C210))</f>
        <v>46350</v>
      </c>
      <c r="B210" s="0" t="str">
        <f aca="false">IF(Pipeline_Sort!$C210="","",INDEX(Pipeline_Calc!$C$2:$C$5251,Pipeline_Sort!$C210))</f>
        <v>brand</v>
      </c>
      <c r="C210" s="0" t="str">
        <f aca="false">IF(Pipeline_Sort!$C210="","",INDEX(Pipeline_Calc!$D$2:$D$5251,Pipeline_Sort!$C210))</f>
        <v>SAMPLE-B-031</v>
      </c>
      <c r="D210" s="0" t="str">
        <f aca="false">IF(Pipeline_Sort!$C210="","",INDEX(Pipeline_Calc!$E$2:$E$5251,Pipeline_Sort!$C210))</f>
        <v>SAMPLE Brand 31</v>
      </c>
      <c r="E210" s="0" t="str">
        <f aca="false">IF(Pipeline_Sort!$C210="","",INDEX(Pipeline_Calc!$F$2:$F$5251,Pipeline_Sort!$C210))</f>
        <v>outreach_sent</v>
      </c>
      <c r="F210" s="0" t="str">
        <f aca="false">IF(Pipeline_Sort!$C210="","",INDEX(Pipeline_Calc!$G$2:$G$5251,Pipeline_Sort!$C210))</f>
        <v/>
      </c>
      <c r="G210" s="0" t="str">
        <f aca="false">IF(Pipeline_Sort!$C210="","",INDEX(Pipeline_Calc!$H$2:$H$5251,Pipeline_Sort!$C210))</f>
        <v/>
      </c>
      <c r="H210" s="0" t="str">
        <f aca="false">IF(Pipeline_Sort!$C210="","",INDEX(Pipeline_Calc!$I$2:$I$5251,Pipeline_Sort!$C210))</f>
        <v/>
      </c>
      <c r="I210" s="0" t="str">
        <f aca="false">IF(Pipeline_Sort!$C210="","",INDEX(Pipeline_Calc!$J$2:$J$5251,Pipeline_Sort!$C210))</f>
        <v>touch_2; brand-discovery-A; email</v>
      </c>
    </row>
    <row r="211" customFormat="false" ht="15" hidden="false" customHeight="false" outlineLevel="0" collapsed="false">
      <c r="A211" s="33" t="n">
        <f aca="false">IF(Pipeline_Sort!$C211="","",INDEX(Pipeline_Calc!$B$2:$B$5251,Pipeline_Sort!$C211))</f>
        <v>46350</v>
      </c>
      <c r="B211" s="0" t="str">
        <f aca="false">IF(Pipeline_Sort!$C211="","",INDEX(Pipeline_Calc!$C$2:$C$5251,Pipeline_Sort!$C211))</f>
        <v>brand</v>
      </c>
      <c r="C211" s="0" t="str">
        <f aca="false">IF(Pipeline_Sort!$C211="","",INDEX(Pipeline_Calc!$D$2:$D$5251,Pipeline_Sort!$C211))</f>
        <v>SAMPLE-B-036</v>
      </c>
      <c r="D211" s="0" t="str">
        <f aca="false">IF(Pipeline_Sort!$C211="","",INDEX(Pipeline_Calc!$E$2:$E$5251,Pipeline_Sort!$C211))</f>
        <v>SAMPLE Brand 36</v>
      </c>
      <c r="E211" s="0" t="str">
        <f aca="false">IF(Pipeline_Sort!$C211="","",INDEX(Pipeline_Calc!$F$2:$F$5251,Pipeline_Sort!$C211))</f>
        <v>outreach_sent</v>
      </c>
      <c r="F211" s="0" t="str">
        <f aca="false">IF(Pipeline_Sort!$C211="","",INDEX(Pipeline_Calc!$G$2:$G$5251,Pipeline_Sort!$C211))</f>
        <v/>
      </c>
      <c r="G211" s="0" t="str">
        <f aca="false">IF(Pipeline_Sort!$C211="","",INDEX(Pipeline_Calc!$H$2:$H$5251,Pipeline_Sort!$C211))</f>
        <v/>
      </c>
      <c r="H211" s="0" t="str">
        <f aca="false">IF(Pipeline_Sort!$C211="","",INDEX(Pipeline_Calc!$I$2:$I$5251,Pipeline_Sort!$C211))</f>
        <v/>
      </c>
      <c r="I211" s="0" t="str">
        <f aca="false">IF(Pipeline_Sort!$C211="","",INDEX(Pipeline_Calc!$J$2:$J$5251,Pipeline_Sort!$C211))</f>
        <v>touch_3; brand-discovery-B; linkedin</v>
      </c>
    </row>
    <row r="212" customFormat="false" ht="15" hidden="false" customHeight="false" outlineLevel="0" collapsed="false">
      <c r="A212" s="33" t="n">
        <f aca="false">IF(Pipeline_Sort!$C212="","",INDEX(Pipeline_Calc!$B$2:$B$5251,Pipeline_Sort!$C212))</f>
        <v>46351</v>
      </c>
      <c r="B212" s="0" t="str">
        <f aca="false">IF(Pipeline_Sort!$C212="","",INDEX(Pipeline_Calc!$C$2:$C$5251,Pipeline_Sort!$C212))</f>
        <v>office</v>
      </c>
      <c r="C212" s="0" t="str">
        <f aca="false">IF(Pipeline_Sort!$C212="","",INDEX(Pipeline_Calc!$D$2:$D$5251,Pipeline_Sort!$C212))</f>
        <v>SAMPLE-O-010</v>
      </c>
      <c r="D212" s="0" t="str">
        <f aca="false">IF(Pipeline_Sort!$C212="","",INDEX(Pipeline_Calc!$E$2:$E$5251,Pipeline_Sort!$C212))</f>
        <v>SAMPLE Office 10</v>
      </c>
      <c r="E212" s="0" t="str">
        <f aca="false">IF(Pipeline_Sort!$C212="","",INDEX(Pipeline_Calc!$F$2:$F$5251,Pipeline_Sort!$C212))</f>
        <v>signed</v>
      </c>
      <c r="F212" s="32" t="n">
        <f aca="false">IF(Pipeline_Sort!$C212="","",INDEX(Pipeline_Calc!$G$2:$G$5251,Pipeline_Sort!$C212))</f>
        <v>110</v>
      </c>
      <c r="G212" s="0" t="str">
        <f aca="false">IF(Pipeline_Sort!$C212="","",INDEX(Pipeline_Calc!$H$2:$H$5251,Pipeline_Sort!$C212))</f>
        <v/>
      </c>
      <c r="H212" s="0" t="str">
        <f aca="false">IF(Pipeline_Sort!$C212="","",INDEX(Pipeline_Calc!$I$2:$I$5251,Pipeline_Sort!$C212))</f>
        <v/>
      </c>
      <c r="I212" s="0" t="str">
        <f aca="false">IF(Pipeline_Sort!$C212="","",INDEX(Pipeline_Calc!$J$2:$J$5251,Pipeline_Sort!$C212))</f>
        <v>SAMPLE-O-104</v>
      </c>
    </row>
    <row r="213" customFormat="false" ht="15" hidden="false" customHeight="false" outlineLevel="0" collapsed="false">
      <c r="A213" s="33" t="n">
        <f aca="false">IF(Pipeline_Sort!$C213="","",INDEX(Pipeline_Calc!$B$2:$B$5251,Pipeline_Sort!$C213))</f>
        <v>46356</v>
      </c>
      <c r="B213" s="0" t="str">
        <f aca="false">IF(Pipeline_Sort!$C213="","",INDEX(Pipeline_Calc!$C$2:$C$5251,Pipeline_Sort!$C213))</f>
        <v>office</v>
      </c>
      <c r="C213" s="0" t="str">
        <f aca="false">IF(Pipeline_Sort!$C213="","",INDEX(Pipeline_Calc!$D$2:$D$5251,Pipeline_Sort!$C213))</f>
        <v>SAMPLE-O-013</v>
      </c>
      <c r="D213" s="0" t="str">
        <f aca="false">IF(Pipeline_Sort!$C213="","",INDEX(Pipeline_Calc!$E$2:$E$5251,Pipeline_Sort!$C213))</f>
        <v>SAMPLE Office 13</v>
      </c>
      <c r="E213" s="0" t="str">
        <f aca="false">IF(Pipeline_Sort!$C213="","",INDEX(Pipeline_Calc!$F$2:$F$5251,Pipeline_Sort!$C213))</f>
        <v>signed</v>
      </c>
      <c r="F213" s="32" t="n">
        <f aca="false">IF(Pipeline_Sort!$C213="","",INDEX(Pipeline_Calc!$G$2:$G$5251,Pipeline_Sort!$C213))</f>
        <v>65</v>
      </c>
      <c r="G213" s="0" t="str">
        <f aca="false">IF(Pipeline_Sort!$C213="","",INDEX(Pipeline_Calc!$H$2:$H$5251,Pipeline_Sort!$C213))</f>
        <v/>
      </c>
      <c r="H213" s="0" t="str">
        <f aca="false">IF(Pipeline_Sort!$C213="","",INDEX(Pipeline_Calc!$I$2:$I$5251,Pipeline_Sort!$C213))</f>
        <v/>
      </c>
      <c r="I213" s="0" t="str">
        <f aca="false">IF(Pipeline_Sort!$C213="","",INDEX(Pipeline_Calc!$J$2:$J$5251,Pipeline_Sort!$C213))</f>
        <v>SAMPLE-O-105</v>
      </c>
    </row>
    <row r="214" customFormat="false" ht="15" hidden="false" customHeight="false" outlineLevel="0" collapsed="false">
      <c r="A214" s="33" t="n">
        <f aca="false">IF(Pipeline_Sort!$C214="","",INDEX(Pipeline_Calc!$B$2:$B$5251,Pipeline_Sort!$C214))</f>
        <v>46359</v>
      </c>
      <c r="B214" s="0" t="str">
        <f aca="false">IF(Pipeline_Sort!$C214="","",INDEX(Pipeline_Calc!$C$2:$C$5251,Pipeline_Sort!$C214))</f>
        <v>brand</v>
      </c>
      <c r="C214" s="0" t="str">
        <f aca="false">IF(Pipeline_Sort!$C214="","",INDEX(Pipeline_Calc!$D$2:$D$5251,Pipeline_Sort!$C214))</f>
        <v>SAMPLE-B-001</v>
      </c>
      <c r="D214" s="0" t="str">
        <f aca="false">IF(Pipeline_Sort!$C214="","",INDEX(Pipeline_Calc!$E$2:$E$5251,Pipeline_Sort!$C214))</f>
        <v>SAMPLE Brand 01</v>
      </c>
      <c r="E214" s="0" t="str">
        <f aca="false">IF(Pipeline_Sort!$C214="","",INDEX(Pipeline_Calc!$F$2:$F$5251,Pipeline_Sort!$C214))</f>
        <v>paid</v>
      </c>
      <c r="F214" s="32" t="n">
        <f aca="false">IF(Pipeline_Sort!$C214="","",INDEX(Pipeline_Calc!$G$2:$G$5251,Pipeline_Sort!$C214))</f>
        <v>600</v>
      </c>
      <c r="G214" s="0" t="str">
        <f aca="false">IF(Pipeline_Sort!$C214="","",INDEX(Pipeline_Calc!$H$2:$H$5251,Pipeline_Sort!$C214))</f>
        <v/>
      </c>
      <c r="H214" s="0" t="str">
        <f aca="false">IF(Pipeline_Sort!$C214="","",INDEX(Pipeline_Calc!$I$2:$I$5251,Pipeline_Sort!$C214))</f>
        <v/>
      </c>
      <c r="I214" s="0" t="str">
        <f aca="false">IF(Pipeline_Sort!$C214="","",INDEX(Pipeline_Calc!$J$2:$J$5251,Pipeline_Sort!$C214))</f>
        <v>payment 1; SAMPLE-BR-101; founding; invoice SAMPLE-INV-0001</v>
      </c>
    </row>
    <row r="215" customFormat="false" ht="15" hidden="false" customHeight="false" outlineLevel="0" collapsed="false">
      <c r="A215" s="33" t="n">
        <f aca="false">IF(Pipeline_Sort!$C215="","",INDEX(Pipeline_Calc!$B$2:$B$5251,Pipeline_Sort!$C215))</f>
        <v>46414</v>
      </c>
      <c r="B215" s="0" t="str">
        <f aca="false">IF(Pipeline_Sort!$C215="","",INDEX(Pipeline_Calc!$C$2:$C$5251,Pipeline_Sort!$C215))</f>
        <v>brand</v>
      </c>
      <c r="C215" s="0" t="str">
        <f aca="false">IF(Pipeline_Sort!$C215="","",INDEX(Pipeline_Calc!$D$2:$D$5251,Pipeline_Sort!$C215))</f>
        <v>SAMPLE-B-001</v>
      </c>
      <c r="D215" s="0" t="str">
        <f aca="false">IF(Pipeline_Sort!$C215="","",INDEX(Pipeline_Calc!$E$2:$E$5251,Pipeline_Sort!$C215))</f>
        <v>SAMPLE Brand 01</v>
      </c>
      <c r="E215" s="0" t="str">
        <f aca="false">IF(Pipeline_Sort!$C215="","",INDEX(Pipeline_Calc!$F$2:$F$5251,Pipeline_Sort!$C215))</f>
        <v>renewal_answer</v>
      </c>
      <c r="F215" s="0" t="str">
        <f aca="false">IF(Pipeline_Sort!$C215="","",INDEX(Pipeline_Calc!$G$2:$G$5251,Pipeline_Sort!$C215))</f>
        <v/>
      </c>
      <c r="G215" s="0" t="str">
        <f aca="false">IF(Pipeline_Sort!$C215="","",INDEX(Pipeline_Calc!$H$2:$H$5251,Pipeline_Sort!$C215))</f>
        <v>maybe</v>
      </c>
      <c r="H215" s="0" t="str">
        <f aca="false">IF(Pipeline_Sort!$C215="","",INDEX(Pipeline_Calc!$I$2:$I$5251,Pipeline_Sort!$C215))</f>
        <v/>
      </c>
      <c r="I215" s="0" t="str">
        <f aca="false">IF(Pipeline_Sort!$C215="","",INDEX(Pipeline_Calc!$J$2:$J$5251,Pipeline_Sort!$C215))</f>
        <v>SAMPLE: debrief, wants the report first</v>
      </c>
    </row>
    <row r="216" customFormat="false" ht="15" hidden="false" customHeight="false" outlineLevel="0" collapsed="false">
      <c r="A216" s="33" t="str">
        <f aca="false">IF(Pipeline_Sort!$C216="","",INDEX(Pipeline_Calc!$B$2:$B$5251,Pipeline_Sort!$C216))</f>
        <v/>
      </c>
      <c r="B216" s="0" t="str">
        <f aca="false">IF(Pipeline_Sort!$C216="","",INDEX(Pipeline_Calc!$C$2:$C$5251,Pipeline_Sort!$C216))</f>
        <v/>
      </c>
      <c r="C216" s="0" t="str">
        <f aca="false">IF(Pipeline_Sort!$C216="","",INDEX(Pipeline_Calc!$D$2:$D$5251,Pipeline_Sort!$C216))</f>
        <v/>
      </c>
      <c r="D216" s="0" t="str">
        <f aca="false">IF(Pipeline_Sort!$C216="","",INDEX(Pipeline_Calc!$E$2:$E$5251,Pipeline_Sort!$C216))</f>
        <v/>
      </c>
      <c r="E216" s="0" t="str">
        <f aca="false">IF(Pipeline_Sort!$C216="","",INDEX(Pipeline_Calc!$F$2:$F$5251,Pipeline_Sort!$C216))</f>
        <v/>
      </c>
      <c r="F216" s="0" t="str">
        <f aca="false">IF(Pipeline_Sort!$C216="","",INDEX(Pipeline_Calc!$G$2:$G$5251,Pipeline_Sort!$C216))</f>
        <v/>
      </c>
      <c r="G216" s="0" t="str">
        <f aca="false">IF(Pipeline_Sort!$C216="","",INDEX(Pipeline_Calc!$H$2:$H$5251,Pipeline_Sort!$C216))</f>
        <v/>
      </c>
      <c r="H216" s="0" t="str">
        <f aca="false">IF(Pipeline_Sort!$C216="","",INDEX(Pipeline_Calc!$I$2:$I$5251,Pipeline_Sort!$C216))</f>
        <v/>
      </c>
      <c r="I216" s="0" t="str">
        <f aca="false">IF(Pipeline_Sort!$C216="","",INDEX(Pipeline_Calc!$J$2:$J$5251,Pipeline_Sort!$C216))</f>
        <v/>
      </c>
    </row>
    <row r="217" customFormat="false" ht="15" hidden="false" customHeight="false" outlineLevel="0" collapsed="false">
      <c r="A217" s="33" t="str">
        <f aca="false">IF(Pipeline_Sort!$C217="","",INDEX(Pipeline_Calc!$B$2:$B$5251,Pipeline_Sort!$C217))</f>
        <v/>
      </c>
      <c r="B217" s="0" t="str">
        <f aca="false">IF(Pipeline_Sort!$C217="","",INDEX(Pipeline_Calc!$C$2:$C$5251,Pipeline_Sort!$C217))</f>
        <v/>
      </c>
      <c r="C217" s="0" t="str">
        <f aca="false">IF(Pipeline_Sort!$C217="","",INDEX(Pipeline_Calc!$D$2:$D$5251,Pipeline_Sort!$C217))</f>
        <v/>
      </c>
      <c r="D217" s="0" t="str">
        <f aca="false">IF(Pipeline_Sort!$C217="","",INDEX(Pipeline_Calc!$E$2:$E$5251,Pipeline_Sort!$C217))</f>
        <v/>
      </c>
      <c r="E217" s="0" t="str">
        <f aca="false">IF(Pipeline_Sort!$C217="","",INDEX(Pipeline_Calc!$F$2:$F$5251,Pipeline_Sort!$C217))</f>
        <v/>
      </c>
      <c r="F217" s="0" t="str">
        <f aca="false">IF(Pipeline_Sort!$C217="","",INDEX(Pipeline_Calc!$G$2:$G$5251,Pipeline_Sort!$C217))</f>
        <v/>
      </c>
      <c r="G217" s="0" t="str">
        <f aca="false">IF(Pipeline_Sort!$C217="","",INDEX(Pipeline_Calc!$H$2:$H$5251,Pipeline_Sort!$C217))</f>
        <v/>
      </c>
      <c r="H217" s="0" t="str">
        <f aca="false">IF(Pipeline_Sort!$C217="","",INDEX(Pipeline_Calc!$I$2:$I$5251,Pipeline_Sort!$C217))</f>
        <v/>
      </c>
      <c r="I217" s="0" t="str">
        <f aca="false">IF(Pipeline_Sort!$C217="","",INDEX(Pipeline_Calc!$J$2:$J$5251,Pipeline_Sort!$C217))</f>
        <v/>
      </c>
    </row>
    <row r="218" customFormat="false" ht="15" hidden="false" customHeight="false" outlineLevel="0" collapsed="false">
      <c r="A218" s="33" t="str">
        <f aca="false">IF(Pipeline_Sort!$C218="","",INDEX(Pipeline_Calc!$B$2:$B$5251,Pipeline_Sort!$C218))</f>
        <v/>
      </c>
      <c r="B218" s="0" t="str">
        <f aca="false">IF(Pipeline_Sort!$C218="","",INDEX(Pipeline_Calc!$C$2:$C$5251,Pipeline_Sort!$C218))</f>
        <v/>
      </c>
      <c r="C218" s="0" t="str">
        <f aca="false">IF(Pipeline_Sort!$C218="","",INDEX(Pipeline_Calc!$D$2:$D$5251,Pipeline_Sort!$C218))</f>
        <v/>
      </c>
      <c r="D218" s="0" t="str">
        <f aca="false">IF(Pipeline_Sort!$C218="","",INDEX(Pipeline_Calc!$E$2:$E$5251,Pipeline_Sort!$C218))</f>
        <v/>
      </c>
      <c r="E218" s="0" t="str">
        <f aca="false">IF(Pipeline_Sort!$C218="","",INDEX(Pipeline_Calc!$F$2:$F$5251,Pipeline_Sort!$C218))</f>
        <v/>
      </c>
      <c r="F218" s="0" t="str">
        <f aca="false">IF(Pipeline_Sort!$C218="","",INDEX(Pipeline_Calc!$G$2:$G$5251,Pipeline_Sort!$C218))</f>
        <v/>
      </c>
      <c r="G218" s="0" t="str">
        <f aca="false">IF(Pipeline_Sort!$C218="","",INDEX(Pipeline_Calc!$H$2:$H$5251,Pipeline_Sort!$C218))</f>
        <v/>
      </c>
      <c r="H218" s="0" t="str">
        <f aca="false">IF(Pipeline_Sort!$C218="","",INDEX(Pipeline_Calc!$I$2:$I$5251,Pipeline_Sort!$C218))</f>
        <v/>
      </c>
      <c r="I218" s="0" t="str">
        <f aca="false">IF(Pipeline_Sort!$C218="","",INDEX(Pipeline_Calc!$J$2:$J$5251,Pipeline_Sort!$C218))</f>
        <v/>
      </c>
    </row>
    <row r="219" customFormat="false" ht="15" hidden="false" customHeight="false" outlineLevel="0" collapsed="false">
      <c r="A219" s="33" t="str">
        <f aca="false">IF(Pipeline_Sort!$C219="","",INDEX(Pipeline_Calc!$B$2:$B$5251,Pipeline_Sort!$C219))</f>
        <v/>
      </c>
      <c r="B219" s="0" t="str">
        <f aca="false">IF(Pipeline_Sort!$C219="","",INDEX(Pipeline_Calc!$C$2:$C$5251,Pipeline_Sort!$C219))</f>
        <v/>
      </c>
      <c r="C219" s="0" t="str">
        <f aca="false">IF(Pipeline_Sort!$C219="","",INDEX(Pipeline_Calc!$D$2:$D$5251,Pipeline_Sort!$C219))</f>
        <v/>
      </c>
      <c r="D219" s="0" t="str">
        <f aca="false">IF(Pipeline_Sort!$C219="","",INDEX(Pipeline_Calc!$E$2:$E$5251,Pipeline_Sort!$C219))</f>
        <v/>
      </c>
      <c r="E219" s="0" t="str">
        <f aca="false">IF(Pipeline_Sort!$C219="","",INDEX(Pipeline_Calc!$F$2:$F$5251,Pipeline_Sort!$C219))</f>
        <v/>
      </c>
      <c r="F219" s="0" t="str">
        <f aca="false">IF(Pipeline_Sort!$C219="","",INDEX(Pipeline_Calc!$G$2:$G$5251,Pipeline_Sort!$C219))</f>
        <v/>
      </c>
      <c r="G219" s="0" t="str">
        <f aca="false">IF(Pipeline_Sort!$C219="","",INDEX(Pipeline_Calc!$H$2:$H$5251,Pipeline_Sort!$C219))</f>
        <v/>
      </c>
      <c r="H219" s="0" t="str">
        <f aca="false">IF(Pipeline_Sort!$C219="","",INDEX(Pipeline_Calc!$I$2:$I$5251,Pipeline_Sort!$C219))</f>
        <v/>
      </c>
      <c r="I219" s="0" t="str">
        <f aca="false">IF(Pipeline_Sort!$C219="","",INDEX(Pipeline_Calc!$J$2:$J$5251,Pipeline_Sort!$C219))</f>
        <v/>
      </c>
    </row>
    <row r="220" customFormat="false" ht="15" hidden="false" customHeight="false" outlineLevel="0" collapsed="false">
      <c r="A220" s="33" t="str">
        <f aca="false">IF(Pipeline_Sort!$C220="","",INDEX(Pipeline_Calc!$B$2:$B$5251,Pipeline_Sort!$C220))</f>
        <v/>
      </c>
      <c r="B220" s="0" t="str">
        <f aca="false">IF(Pipeline_Sort!$C220="","",INDEX(Pipeline_Calc!$C$2:$C$5251,Pipeline_Sort!$C220))</f>
        <v/>
      </c>
      <c r="C220" s="0" t="str">
        <f aca="false">IF(Pipeline_Sort!$C220="","",INDEX(Pipeline_Calc!$D$2:$D$5251,Pipeline_Sort!$C220))</f>
        <v/>
      </c>
      <c r="D220" s="0" t="str">
        <f aca="false">IF(Pipeline_Sort!$C220="","",INDEX(Pipeline_Calc!$E$2:$E$5251,Pipeline_Sort!$C220))</f>
        <v/>
      </c>
      <c r="E220" s="0" t="str">
        <f aca="false">IF(Pipeline_Sort!$C220="","",INDEX(Pipeline_Calc!$F$2:$F$5251,Pipeline_Sort!$C220))</f>
        <v/>
      </c>
      <c r="F220" s="0" t="str">
        <f aca="false">IF(Pipeline_Sort!$C220="","",INDEX(Pipeline_Calc!$G$2:$G$5251,Pipeline_Sort!$C220))</f>
        <v/>
      </c>
      <c r="G220" s="0" t="str">
        <f aca="false">IF(Pipeline_Sort!$C220="","",INDEX(Pipeline_Calc!$H$2:$H$5251,Pipeline_Sort!$C220))</f>
        <v/>
      </c>
      <c r="H220" s="0" t="str">
        <f aca="false">IF(Pipeline_Sort!$C220="","",INDEX(Pipeline_Calc!$I$2:$I$5251,Pipeline_Sort!$C220))</f>
        <v/>
      </c>
      <c r="I220" s="0" t="str">
        <f aca="false">IF(Pipeline_Sort!$C220="","",INDEX(Pipeline_Calc!$J$2:$J$5251,Pipeline_Sort!$C220))</f>
        <v/>
      </c>
    </row>
    <row r="221" customFormat="false" ht="15" hidden="false" customHeight="false" outlineLevel="0" collapsed="false">
      <c r="A221" s="33" t="str">
        <f aca="false">IF(Pipeline_Sort!$C221="","",INDEX(Pipeline_Calc!$B$2:$B$5251,Pipeline_Sort!$C221))</f>
        <v/>
      </c>
      <c r="B221" s="0" t="str">
        <f aca="false">IF(Pipeline_Sort!$C221="","",INDEX(Pipeline_Calc!$C$2:$C$5251,Pipeline_Sort!$C221))</f>
        <v/>
      </c>
      <c r="C221" s="0" t="str">
        <f aca="false">IF(Pipeline_Sort!$C221="","",INDEX(Pipeline_Calc!$D$2:$D$5251,Pipeline_Sort!$C221))</f>
        <v/>
      </c>
      <c r="D221" s="0" t="str">
        <f aca="false">IF(Pipeline_Sort!$C221="","",INDEX(Pipeline_Calc!$E$2:$E$5251,Pipeline_Sort!$C221))</f>
        <v/>
      </c>
      <c r="E221" s="0" t="str">
        <f aca="false">IF(Pipeline_Sort!$C221="","",INDEX(Pipeline_Calc!$F$2:$F$5251,Pipeline_Sort!$C221))</f>
        <v/>
      </c>
      <c r="F221" s="0" t="str">
        <f aca="false">IF(Pipeline_Sort!$C221="","",INDEX(Pipeline_Calc!$G$2:$G$5251,Pipeline_Sort!$C221))</f>
        <v/>
      </c>
      <c r="G221" s="0" t="str">
        <f aca="false">IF(Pipeline_Sort!$C221="","",INDEX(Pipeline_Calc!$H$2:$H$5251,Pipeline_Sort!$C221))</f>
        <v/>
      </c>
      <c r="H221" s="0" t="str">
        <f aca="false">IF(Pipeline_Sort!$C221="","",INDEX(Pipeline_Calc!$I$2:$I$5251,Pipeline_Sort!$C221))</f>
        <v/>
      </c>
      <c r="I221" s="0" t="str">
        <f aca="false">IF(Pipeline_Sort!$C221="","",INDEX(Pipeline_Calc!$J$2:$J$5251,Pipeline_Sort!$C221))</f>
        <v/>
      </c>
    </row>
    <row r="222" customFormat="false" ht="15" hidden="false" customHeight="false" outlineLevel="0" collapsed="false">
      <c r="A222" s="33" t="str">
        <f aca="false">IF(Pipeline_Sort!$C222="","",INDEX(Pipeline_Calc!$B$2:$B$5251,Pipeline_Sort!$C222))</f>
        <v/>
      </c>
      <c r="B222" s="0" t="str">
        <f aca="false">IF(Pipeline_Sort!$C222="","",INDEX(Pipeline_Calc!$C$2:$C$5251,Pipeline_Sort!$C222))</f>
        <v/>
      </c>
      <c r="C222" s="0" t="str">
        <f aca="false">IF(Pipeline_Sort!$C222="","",INDEX(Pipeline_Calc!$D$2:$D$5251,Pipeline_Sort!$C222))</f>
        <v/>
      </c>
      <c r="D222" s="0" t="str">
        <f aca="false">IF(Pipeline_Sort!$C222="","",INDEX(Pipeline_Calc!$E$2:$E$5251,Pipeline_Sort!$C222))</f>
        <v/>
      </c>
      <c r="E222" s="0" t="str">
        <f aca="false">IF(Pipeline_Sort!$C222="","",INDEX(Pipeline_Calc!$F$2:$F$5251,Pipeline_Sort!$C222))</f>
        <v/>
      </c>
      <c r="F222" s="0" t="str">
        <f aca="false">IF(Pipeline_Sort!$C222="","",INDEX(Pipeline_Calc!$G$2:$G$5251,Pipeline_Sort!$C222))</f>
        <v/>
      </c>
      <c r="G222" s="0" t="str">
        <f aca="false">IF(Pipeline_Sort!$C222="","",INDEX(Pipeline_Calc!$H$2:$H$5251,Pipeline_Sort!$C222))</f>
        <v/>
      </c>
      <c r="H222" s="0" t="str">
        <f aca="false">IF(Pipeline_Sort!$C222="","",INDEX(Pipeline_Calc!$I$2:$I$5251,Pipeline_Sort!$C222))</f>
        <v/>
      </c>
      <c r="I222" s="0" t="str">
        <f aca="false">IF(Pipeline_Sort!$C222="","",INDEX(Pipeline_Calc!$J$2:$J$5251,Pipeline_Sort!$C222))</f>
        <v/>
      </c>
    </row>
    <row r="223" customFormat="false" ht="15" hidden="false" customHeight="false" outlineLevel="0" collapsed="false">
      <c r="A223" s="33" t="str">
        <f aca="false">IF(Pipeline_Sort!$C223="","",INDEX(Pipeline_Calc!$B$2:$B$5251,Pipeline_Sort!$C223))</f>
        <v/>
      </c>
      <c r="B223" s="0" t="str">
        <f aca="false">IF(Pipeline_Sort!$C223="","",INDEX(Pipeline_Calc!$C$2:$C$5251,Pipeline_Sort!$C223))</f>
        <v/>
      </c>
      <c r="C223" s="0" t="str">
        <f aca="false">IF(Pipeline_Sort!$C223="","",INDEX(Pipeline_Calc!$D$2:$D$5251,Pipeline_Sort!$C223))</f>
        <v/>
      </c>
      <c r="D223" s="0" t="str">
        <f aca="false">IF(Pipeline_Sort!$C223="","",INDEX(Pipeline_Calc!$E$2:$E$5251,Pipeline_Sort!$C223))</f>
        <v/>
      </c>
      <c r="E223" s="0" t="str">
        <f aca="false">IF(Pipeline_Sort!$C223="","",INDEX(Pipeline_Calc!$F$2:$F$5251,Pipeline_Sort!$C223))</f>
        <v/>
      </c>
      <c r="F223" s="0" t="str">
        <f aca="false">IF(Pipeline_Sort!$C223="","",INDEX(Pipeline_Calc!$G$2:$G$5251,Pipeline_Sort!$C223))</f>
        <v/>
      </c>
      <c r="G223" s="0" t="str">
        <f aca="false">IF(Pipeline_Sort!$C223="","",INDEX(Pipeline_Calc!$H$2:$H$5251,Pipeline_Sort!$C223))</f>
        <v/>
      </c>
      <c r="H223" s="0" t="str">
        <f aca="false">IF(Pipeline_Sort!$C223="","",INDEX(Pipeline_Calc!$I$2:$I$5251,Pipeline_Sort!$C223))</f>
        <v/>
      </c>
      <c r="I223" s="0" t="str">
        <f aca="false">IF(Pipeline_Sort!$C223="","",INDEX(Pipeline_Calc!$J$2:$J$5251,Pipeline_Sort!$C223))</f>
        <v/>
      </c>
    </row>
    <row r="224" customFormat="false" ht="15" hidden="false" customHeight="false" outlineLevel="0" collapsed="false">
      <c r="A224" s="33" t="str">
        <f aca="false">IF(Pipeline_Sort!$C224="","",INDEX(Pipeline_Calc!$B$2:$B$5251,Pipeline_Sort!$C224))</f>
        <v/>
      </c>
      <c r="B224" s="0" t="str">
        <f aca="false">IF(Pipeline_Sort!$C224="","",INDEX(Pipeline_Calc!$C$2:$C$5251,Pipeline_Sort!$C224))</f>
        <v/>
      </c>
      <c r="C224" s="0" t="str">
        <f aca="false">IF(Pipeline_Sort!$C224="","",INDEX(Pipeline_Calc!$D$2:$D$5251,Pipeline_Sort!$C224))</f>
        <v/>
      </c>
      <c r="D224" s="0" t="str">
        <f aca="false">IF(Pipeline_Sort!$C224="","",INDEX(Pipeline_Calc!$E$2:$E$5251,Pipeline_Sort!$C224))</f>
        <v/>
      </c>
      <c r="E224" s="0" t="str">
        <f aca="false">IF(Pipeline_Sort!$C224="","",INDEX(Pipeline_Calc!$F$2:$F$5251,Pipeline_Sort!$C224))</f>
        <v/>
      </c>
      <c r="F224" s="0" t="str">
        <f aca="false">IF(Pipeline_Sort!$C224="","",INDEX(Pipeline_Calc!$G$2:$G$5251,Pipeline_Sort!$C224))</f>
        <v/>
      </c>
      <c r="G224" s="0" t="str">
        <f aca="false">IF(Pipeline_Sort!$C224="","",INDEX(Pipeline_Calc!$H$2:$H$5251,Pipeline_Sort!$C224))</f>
        <v/>
      </c>
      <c r="H224" s="0" t="str">
        <f aca="false">IF(Pipeline_Sort!$C224="","",INDEX(Pipeline_Calc!$I$2:$I$5251,Pipeline_Sort!$C224))</f>
        <v/>
      </c>
      <c r="I224" s="0" t="str">
        <f aca="false">IF(Pipeline_Sort!$C224="","",INDEX(Pipeline_Calc!$J$2:$J$5251,Pipeline_Sort!$C224))</f>
        <v/>
      </c>
    </row>
    <row r="225" customFormat="false" ht="15" hidden="false" customHeight="false" outlineLevel="0" collapsed="false">
      <c r="A225" s="33" t="str">
        <f aca="false">IF(Pipeline_Sort!$C225="","",INDEX(Pipeline_Calc!$B$2:$B$5251,Pipeline_Sort!$C225))</f>
        <v/>
      </c>
      <c r="B225" s="0" t="str">
        <f aca="false">IF(Pipeline_Sort!$C225="","",INDEX(Pipeline_Calc!$C$2:$C$5251,Pipeline_Sort!$C225))</f>
        <v/>
      </c>
      <c r="C225" s="0" t="str">
        <f aca="false">IF(Pipeline_Sort!$C225="","",INDEX(Pipeline_Calc!$D$2:$D$5251,Pipeline_Sort!$C225))</f>
        <v/>
      </c>
      <c r="D225" s="0" t="str">
        <f aca="false">IF(Pipeline_Sort!$C225="","",INDEX(Pipeline_Calc!$E$2:$E$5251,Pipeline_Sort!$C225))</f>
        <v/>
      </c>
      <c r="E225" s="0" t="str">
        <f aca="false">IF(Pipeline_Sort!$C225="","",INDEX(Pipeline_Calc!$F$2:$F$5251,Pipeline_Sort!$C225))</f>
        <v/>
      </c>
      <c r="F225" s="0" t="str">
        <f aca="false">IF(Pipeline_Sort!$C225="","",INDEX(Pipeline_Calc!$G$2:$G$5251,Pipeline_Sort!$C225))</f>
        <v/>
      </c>
      <c r="G225" s="0" t="str">
        <f aca="false">IF(Pipeline_Sort!$C225="","",INDEX(Pipeline_Calc!$H$2:$H$5251,Pipeline_Sort!$C225))</f>
        <v/>
      </c>
      <c r="H225" s="0" t="str">
        <f aca="false">IF(Pipeline_Sort!$C225="","",INDEX(Pipeline_Calc!$I$2:$I$5251,Pipeline_Sort!$C225))</f>
        <v/>
      </c>
      <c r="I225" s="0" t="str">
        <f aca="false">IF(Pipeline_Sort!$C225="","",INDEX(Pipeline_Calc!$J$2:$J$5251,Pipeline_Sort!$C225))</f>
        <v/>
      </c>
    </row>
    <row r="226" customFormat="false" ht="15" hidden="false" customHeight="false" outlineLevel="0" collapsed="false">
      <c r="A226" s="33" t="str">
        <f aca="false">IF(Pipeline_Sort!$C226="","",INDEX(Pipeline_Calc!$B$2:$B$5251,Pipeline_Sort!$C226))</f>
        <v/>
      </c>
      <c r="B226" s="0" t="str">
        <f aca="false">IF(Pipeline_Sort!$C226="","",INDEX(Pipeline_Calc!$C$2:$C$5251,Pipeline_Sort!$C226))</f>
        <v/>
      </c>
      <c r="C226" s="0" t="str">
        <f aca="false">IF(Pipeline_Sort!$C226="","",INDEX(Pipeline_Calc!$D$2:$D$5251,Pipeline_Sort!$C226))</f>
        <v/>
      </c>
      <c r="D226" s="0" t="str">
        <f aca="false">IF(Pipeline_Sort!$C226="","",INDEX(Pipeline_Calc!$E$2:$E$5251,Pipeline_Sort!$C226))</f>
        <v/>
      </c>
      <c r="E226" s="0" t="str">
        <f aca="false">IF(Pipeline_Sort!$C226="","",INDEX(Pipeline_Calc!$F$2:$F$5251,Pipeline_Sort!$C226))</f>
        <v/>
      </c>
      <c r="F226" s="0" t="str">
        <f aca="false">IF(Pipeline_Sort!$C226="","",INDEX(Pipeline_Calc!$G$2:$G$5251,Pipeline_Sort!$C226))</f>
        <v/>
      </c>
      <c r="G226" s="0" t="str">
        <f aca="false">IF(Pipeline_Sort!$C226="","",INDEX(Pipeline_Calc!$H$2:$H$5251,Pipeline_Sort!$C226))</f>
        <v/>
      </c>
      <c r="H226" s="0" t="str">
        <f aca="false">IF(Pipeline_Sort!$C226="","",INDEX(Pipeline_Calc!$I$2:$I$5251,Pipeline_Sort!$C226))</f>
        <v/>
      </c>
      <c r="I226" s="0" t="str">
        <f aca="false">IF(Pipeline_Sort!$C226="","",INDEX(Pipeline_Calc!$J$2:$J$5251,Pipeline_Sort!$C226))</f>
        <v/>
      </c>
    </row>
    <row r="227" customFormat="false" ht="15" hidden="false" customHeight="false" outlineLevel="0" collapsed="false">
      <c r="A227" s="33" t="str">
        <f aca="false">IF(Pipeline_Sort!$C227="","",INDEX(Pipeline_Calc!$B$2:$B$5251,Pipeline_Sort!$C227))</f>
        <v/>
      </c>
      <c r="B227" s="0" t="str">
        <f aca="false">IF(Pipeline_Sort!$C227="","",INDEX(Pipeline_Calc!$C$2:$C$5251,Pipeline_Sort!$C227))</f>
        <v/>
      </c>
      <c r="C227" s="0" t="str">
        <f aca="false">IF(Pipeline_Sort!$C227="","",INDEX(Pipeline_Calc!$D$2:$D$5251,Pipeline_Sort!$C227))</f>
        <v/>
      </c>
      <c r="D227" s="0" t="str">
        <f aca="false">IF(Pipeline_Sort!$C227="","",INDEX(Pipeline_Calc!$E$2:$E$5251,Pipeline_Sort!$C227))</f>
        <v/>
      </c>
      <c r="E227" s="0" t="str">
        <f aca="false">IF(Pipeline_Sort!$C227="","",INDEX(Pipeline_Calc!$F$2:$F$5251,Pipeline_Sort!$C227))</f>
        <v/>
      </c>
      <c r="F227" s="0" t="str">
        <f aca="false">IF(Pipeline_Sort!$C227="","",INDEX(Pipeline_Calc!$G$2:$G$5251,Pipeline_Sort!$C227))</f>
        <v/>
      </c>
      <c r="G227" s="0" t="str">
        <f aca="false">IF(Pipeline_Sort!$C227="","",INDEX(Pipeline_Calc!$H$2:$H$5251,Pipeline_Sort!$C227))</f>
        <v/>
      </c>
      <c r="H227" s="0" t="str">
        <f aca="false">IF(Pipeline_Sort!$C227="","",INDEX(Pipeline_Calc!$I$2:$I$5251,Pipeline_Sort!$C227))</f>
        <v/>
      </c>
      <c r="I227" s="0" t="str">
        <f aca="false">IF(Pipeline_Sort!$C227="","",INDEX(Pipeline_Calc!$J$2:$J$5251,Pipeline_Sort!$C227))</f>
        <v/>
      </c>
    </row>
    <row r="228" customFormat="false" ht="15" hidden="false" customHeight="false" outlineLevel="0" collapsed="false">
      <c r="A228" s="33" t="str">
        <f aca="false">IF(Pipeline_Sort!$C228="","",INDEX(Pipeline_Calc!$B$2:$B$5251,Pipeline_Sort!$C228))</f>
        <v/>
      </c>
      <c r="B228" s="0" t="str">
        <f aca="false">IF(Pipeline_Sort!$C228="","",INDEX(Pipeline_Calc!$C$2:$C$5251,Pipeline_Sort!$C228))</f>
        <v/>
      </c>
      <c r="C228" s="0" t="str">
        <f aca="false">IF(Pipeline_Sort!$C228="","",INDEX(Pipeline_Calc!$D$2:$D$5251,Pipeline_Sort!$C228))</f>
        <v/>
      </c>
      <c r="D228" s="0" t="str">
        <f aca="false">IF(Pipeline_Sort!$C228="","",INDEX(Pipeline_Calc!$E$2:$E$5251,Pipeline_Sort!$C228))</f>
        <v/>
      </c>
      <c r="E228" s="0" t="str">
        <f aca="false">IF(Pipeline_Sort!$C228="","",INDEX(Pipeline_Calc!$F$2:$F$5251,Pipeline_Sort!$C228))</f>
        <v/>
      </c>
      <c r="F228" s="0" t="str">
        <f aca="false">IF(Pipeline_Sort!$C228="","",INDEX(Pipeline_Calc!$G$2:$G$5251,Pipeline_Sort!$C228))</f>
        <v/>
      </c>
      <c r="G228" s="0" t="str">
        <f aca="false">IF(Pipeline_Sort!$C228="","",INDEX(Pipeline_Calc!$H$2:$H$5251,Pipeline_Sort!$C228))</f>
        <v/>
      </c>
      <c r="H228" s="0" t="str">
        <f aca="false">IF(Pipeline_Sort!$C228="","",INDEX(Pipeline_Calc!$I$2:$I$5251,Pipeline_Sort!$C228))</f>
        <v/>
      </c>
      <c r="I228" s="0" t="str">
        <f aca="false">IF(Pipeline_Sort!$C228="","",INDEX(Pipeline_Calc!$J$2:$J$5251,Pipeline_Sort!$C228))</f>
        <v/>
      </c>
    </row>
    <row r="229" customFormat="false" ht="15" hidden="false" customHeight="false" outlineLevel="0" collapsed="false">
      <c r="A229" s="33" t="str">
        <f aca="false">IF(Pipeline_Sort!$C229="","",INDEX(Pipeline_Calc!$B$2:$B$5251,Pipeline_Sort!$C229))</f>
        <v/>
      </c>
      <c r="B229" s="0" t="str">
        <f aca="false">IF(Pipeline_Sort!$C229="","",INDEX(Pipeline_Calc!$C$2:$C$5251,Pipeline_Sort!$C229))</f>
        <v/>
      </c>
      <c r="C229" s="0" t="str">
        <f aca="false">IF(Pipeline_Sort!$C229="","",INDEX(Pipeline_Calc!$D$2:$D$5251,Pipeline_Sort!$C229))</f>
        <v/>
      </c>
      <c r="D229" s="0" t="str">
        <f aca="false">IF(Pipeline_Sort!$C229="","",INDEX(Pipeline_Calc!$E$2:$E$5251,Pipeline_Sort!$C229))</f>
        <v/>
      </c>
      <c r="E229" s="0" t="str">
        <f aca="false">IF(Pipeline_Sort!$C229="","",INDEX(Pipeline_Calc!$F$2:$F$5251,Pipeline_Sort!$C229))</f>
        <v/>
      </c>
      <c r="F229" s="0" t="str">
        <f aca="false">IF(Pipeline_Sort!$C229="","",INDEX(Pipeline_Calc!$G$2:$G$5251,Pipeline_Sort!$C229))</f>
        <v/>
      </c>
      <c r="G229" s="0" t="str">
        <f aca="false">IF(Pipeline_Sort!$C229="","",INDEX(Pipeline_Calc!$H$2:$H$5251,Pipeline_Sort!$C229))</f>
        <v/>
      </c>
      <c r="H229" s="0" t="str">
        <f aca="false">IF(Pipeline_Sort!$C229="","",INDEX(Pipeline_Calc!$I$2:$I$5251,Pipeline_Sort!$C229))</f>
        <v/>
      </c>
      <c r="I229" s="0" t="str">
        <f aca="false">IF(Pipeline_Sort!$C229="","",INDEX(Pipeline_Calc!$J$2:$J$5251,Pipeline_Sort!$C229))</f>
        <v/>
      </c>
    </row>
    <row r="230" customFormat="false" ht="15" hidden="false" customHeight="false" outlineLevel="0" collapsed="false">
      <c r="A230" s="33" t="str">
        <f aca="false">IF(Pipeline_Sort!$C230="","",INDEX(Pipeline_Calc!$B$2:$B$5251,Pipeline_Sort!$C230))</f>
        <v/>
      </c>
      <c r="B230" s="0" t="str">
        <f aca="false">IF(Pipeline_Sort!$C230="","",INDEX(Pipeline_Calc!$C$2:$C$5251,Pipeline_Sort!$C230))</f>
        <v/>
      </c>
      <c r="C230" s="0" t="str">
        <f aca="false">IF(Pipeline_Sort!$C230="","",INDEX(Pipeline_Calc!$D$2:$D$5251,Pipeline_Sort!$C230))</f>
        <v/>
      </c>
      <c r="D230" s="0" t="str">
        <f aca="false">IF(Pipeline_Sort!$C230="","",INDEX(Pipeline_Calc!$E$2:$E$5251,Pipeline_Sort!$C230))</f>
        <v/>
      </c>
      <c r="E230" s="0" t="str">
        <f aca="false">IF(Pipeline_Sort!$C230="","",INDEX(Pipeline_Calc!$F$2:$F$5251,Pipeline_Sort!$C230))</f>
        <v/>
      </c>
      <c r="F230" s="0" t="str">
        <f aca="false">IF(Pipeline_Sort!$C230="","",INDEX(Pipeline_Calc!$G$2:$G$5251,Pipeline_Sort!$C230))</f>
        <v/>
      </c>
      <c r="G230" s="0" t="str">
        <f aca="false">IF(Pipeline_Sort!$C230="","",INDEX(Pipeline_Calc!$H$2:$H$5251,Pipeline_Sort!$C230))</f>
        <v/>
      </c>
      <c r="H230" s="0" t="str">
        <f aca="false">IF(Pipeline_Sort!$C230="","",INDEX(Pipeline_Calc!$I$2:$I$5251,Pipeline_Sort!$C230))</f>
        <v/>
      </c>
      <c r="I230" s="0" t="str">
        <f aca="false">IF(Pipeline_Sort!$C230="","",INDEX(Pipeline_Calc!$J$2:$J$5251,Pipeline_Sort!$C230))</f>
        <v/>
      </c>
    </row>
    <row r="231" customFormat="false" ht="15" hidden="false" customHeight="false" outlineLevel="0" collapsed="false">
      <c r="A231" s="33" t="str">
        <f aca="false">IF(Pipeline_Sort!$C231="","",INDEX(Pipeline_Calc!$B$2:$B$5251,Pipeline_Sort!$C231))</f>
        <v/>
      </c>
      <c r="B231" s="0" t="str">
        <f aca="false">IF(Pipeline_Sort!$C231="","",INDEX(Pipeline_Calc!$C$2:$C$5251,Pipeline_Sort!$C231))</f>
        <v/>
      </c>
      <c r="C231" s="0" t="str">
        <f aca="false">IF(Pipeline_Sort!$C231="","",INDEX(Pipeline_Calc!$D$2:$D$5251,Pipeline_Sort!$C231))</f>
        <v/>
      </c>
      <c r="D231" s="0" t="str">
        <f aca="false">IF(Pipeline_Sort!$C231="","",INDEX(Pipeline_Calc!$E$2:$E$5251,Pipeline_Sort!$C231))</f>
        <v/>
      </c>
      <c r="E231" s="0" t="str">
        <f aca="false">IF(Pipeline_Sort!$C231="","",INDEX(Pipeline_Calc!$F$2:$F$5251,Pipeline_Sort!$C231))</f>
        <v/>
      </c>
      <c r="F231" s="0" t="str">
        <f aca="false">IF(Pipeline_Sort!$C231="","",INDEX(Pipeline_Calc!$G$2:$G$5251,Pipeline_Sort!$C231))</f>
        <v/>
      </c>
      <c r="G231" s="0" t="str">
        <f aca="false">IF(Pipeline_Sort!$C231="","",INDEX(Pipeline_Calc!$H$2:$H$5251,Pipeline_Sort!$C231))</f>
        <v/>
      </c>
      <c r="H231" s="0" t="str">
        <f aca="false">IF(Pipeline_Sort!$C231="","",INDEX(Pipeline_Calc!$I$2:$I$5251,Pipeline_Sort!$C231))</f>
        <v/>
      </c>
      <c r="I231" s="0" t="str">
        <f aca="false">IF(Pipeline_Sort!$C231="","",INDEX(Pipeline_Calc!$J$2:$J$5251,Pipeline_Sort!$C231))</f>
        <v/>
      </c>
    </row>
    <row r="232" customFormat="false" ht="15" hidden="false" customHeight="false" outlineLevel="0" collapsed="false">
      <c r="A232" s="33" t="str">
        <f aca="false">IF(Pipeline_Sort!$C232="","",INDEX(Pipeline_Calc!$B$2:$B$5251,Pipeline_Sort!$C232))</f>
        <v/>
      </c>
      <c r="B232" s="0" t="str">
        <f aca="false">IF(Pipeline_Sort!$C232="","",INDEX(Pipeline_Calc!$C$2:$C$5251,Pipeline_Sort!$C232))</f>
        <v/>
      </c>
      <c r="C232" s="0" t="str">
        <f aca="false">IF(Pipeline_Sort!$C232="","",INDEX(Pipeline_Calc!$D$2:$D$5251,Pipeline_Sort!$C232))</f>
        <v/>
      </c>
      <c r="D232" s="0" t="str">
        <f aca="false">IF(Pipeline_Sort!$C232="","",INDEX(Pipeline_Calc!$E$2:$E$5251,Pipeline_Sort!$C232))</f>
        <v/>
      </c>
      <c r="E232" s="0" t="str">
        <f aca="false">IF(Pipeline_Sort!$C232="","",INDEX(Pipeline_Calc!$F$2:$F$5251,Pipeline_Sort!$C232))</f>
        <v/>
      </c>
      <c r="F232" s="0" t="str">
        <f aca="false">IF(Pipeline_Sort!$C232="","",INDEX(Pipeline_Calc!$G$2:$G$5251,Pipeline_Sort!$C232))</f>
        <v/>
      </c>
      <c r="G232" s="0" t="str">
        <f aca="false">IF(Pipeline_Sort!$C232="","",INDEX(Pipeline_Calc!$H$2:$H$5251,Pipeline_Sort!$C232))</f>
        <v/>
      </c>
      <c r="H232" s="0" t="str">
        <f aca="false">IF(Pipeline_Sort!$C232="","",INDEX(Pipeline_Calc!$I$2:$I$5251,Pipeline_Sort!$C232))</f>
        <v/>
      </c>
      <c r="I232" s="0" t="str">
        <f aca="false">IF(Pipeline_Sort!$C232="","",INDEX(Pipeline_Calc!$J$2:$J$5251,Pipeline_Sort!$C232))</f>
        <v/>
      </c>
    </row>
    <row r="233" customFormat="false" ht="15" hidden="false" customHeight="false" outlineLevel="0" collapsed="false">
      <c r="A233" s="33" t="str">
        <f aca="false">IF(Pipeline_Sort!$C233="","",INDEX(Pipeline_Calc!$B$2:$B$5251,Pipeline_Sort!$C233))</f>
        <v/>
      </c>
      <c r="B233" s="0" t="str">
        <f aca="false">IF(Pipeline_Sort!$C233="","",INDEX(Pipeline_Calc!$C$2:$C$5251,Pipeline_Sort!$C233))</f>
        <v/>
      </c>
      <c r="C233" s="0" t="str">
        <f aca="false">IF(Pipeline_Sort!$C233="","",INDEX(Pipeline_Calc!$D$2:$D$5251,Pipeline_Sort!$C233))</f>
        <v/>
      </c>
      <c r="D233" s="0" t="str">
        <f aca="false">IF(Pipeline_Sort!$C233="","",INDEX(Pipeline_Calc!$E$2:$E$5251,Pipeline_Sort!$C233))</f>
        <v/>
      </c>
      <c r="E233" s="0" t="str">
        <f aca="false">IF(Pipeline_Sort!$C233="","",INDEX(Pipeline_Calc!$F$2:$F$5251,Pipeline_Sort!$C233))</f>
        <v/>
      </c>
      <c r="F233" s="0" t="str">
        <f aca="false">IF(Pipeline_Sort!$C233="","",INDEX(Pipeline_Calc!$G$2:$G$5251,Pipeline_Sort!$C233))</f>
        <v/>
      </c>
      <c r="G233" s="0" t="str">
        <f aca="false">IF(Pipeline_Sort!$C233="","",INDEX(Pipeline_Calc!$H$2:$H$5251,Pipeline_Sort!$C233))</f>
        <v/>
      </c>
      <c r="H233" s="0" t="str">
        <f aca="false">IF(Pipeline_Sort!$C233="","",INDEX(Pipeline_Calc!$I$2:$I$5251,Pipeline_Sort!$C233))</f>
        <v/>
      </c>
      <c r="I233" s="0" t="str">
        <f aca="false">IF(Pipeline_Sort!$C233="","",INDEX(Pipeline_Calc!$J$2:$J$5251,Pipeline_Sort!$C233))</f>
        <v/>
      </c>
    </row>
    <row r="234" customFormat="false" ht="15" hidden="false" customHeight="false" outlineLevel="0" collapsed="false">
      <c r="A234" s="33" t="str">
        <f aca="false">IF(Pipeline_Sort!$C234="","",INDEX(Pipeline_Calc!$B$2:$B$5251,Pipeline_Sort!$C234))</f>
        <v/>
      </c>
      <c r="B234" s="0" t="str">
        <f aca="false">IF(Pipeline_Sort!$C234="","",INDEX(Pipeline_Calc!$C$2:$C$5251,Pipeline_Sort!$C234))</f>
        <v/>
      </c>
      <c r="C234" s="0" t="str">
        <f aca="false">IF(Pipeline_Sort!$C234="","",INDEX(Pipeline_Calc!$D$2:$D$5251,Pipeline_Sort!$C234))</f>
        <v/>
      </c>
      <c r="D234" s="0" t="str">
        <f aca="false">IF(Pipeline_Sort!$C234="","",INDEX(Pipeline_Calc!$E$2:$E$5251,Pipeline_Sort!$C234))</f>
        <v/>
      </c>
      <c r="E234" s="0" t="str">
        <f aca="false">IF(Pipeline_Sort!$C234="","",INDEX(Pipeline_Calc!$F$2:$F$5251,Pipeline_Sort!$C234))</f>
        <v/>
      </c>
      <c r="F234" s="0" t="str">
        <f aca="false">IF(Pipeline_Sort!$C234="","",INDEX(Pipeline_Calc!$G$2:$G$5251,Pipeline_Sort!$C234))</f>
        <v/>
      </c>
      <c r="G234" s="0" t="str">
        <f aca="false">IF(Pipeline_Sort!$C234="","",INDEX(Pipeline_Calc!$H$2:$H$5251,Pipeline_Sort!$C234))</f>
        <v/>
      </c>
      <c r="H234" s="0" t="str">
        <f aca="false">IF(Pipeline_Sort!$C234="","",INDEX(Pipeline_Calc!$I$2:$I$5251,Pipeline_Sort!$C234))</f>
        <v/>
      </c>
      <c r="I234" s="0" t="str">
        <f aca="false">IF(Pipeline_Sort!$C234="","",INDEX(Pipeline_Calc!$J$2:$J$5251,Pipeline_Sort!$C234))</f>
        <v/>
      </c>
    </row>
    <row r="235" customFormat="false" ht="15" hidden="false" customHeight="false" outlineLevel="0" collapsed="false">
      <c r="A235" s="33" t="str">
        <f aca="false">IF(Pipeline_Sort!$C235="","",INDEX(Pipeline_Calc!$B$2:$B$5251,Pipeline_Sort!$C235))</f>
        <v/>
      </c>
      <c r="B235" s="0" t="str">
        <f aca="false">IF(Pipeline_Sort!$C235="","",INDEX(Pipeline_Calc!$C$2:$C$5251,Pipeline_Sort!$C235))</f>
        <v/>
      </c>
      <c r="C235" s="0" t="str">
        <f aca="false">IF(Pipeline_Sort!$C235="","",INDEX(Pipeline_Calc!$D$2:$D$5251,Pipeline_Sort!$C235))</f>
        <v/>
      </c>
      <c r="D235" s="0" t="str">
        <f aca="false">IF(Pipeline_Sort!$C235="","",INDEX(Pipeline_Calc!$E$2:$E$5251,Pipeline_Sort!$C235))</f>
        <v/>
      </c>
      <c r="E235" s="0" t="str">
        <f aca="false">IF(Pipeline_Sort!$C235="","",INDEX(Pipeline_Calc!$F$2:$F$5251,Pipeline_Sort!$C235))</f>
        <v/>
      </c>
      <c r="F235" s="0" t="str">
        <f aca="false">IF(Pipeline_Sort!$C235="","",INDEX(Pipeline_Calc!$G$2:$G$5251,Pipeline_Sort!$C235))</f>
        <v/>
      </c>
      <c r="G235" s="0" t="str">
        <f aca="false">IF(Pipeline_Sort!$C235="","",INDEX(Pipeline_Calc!$H$2:$H$5251,Pipeline_Sort!$C235))</f>
        <v/>
      </c>
      <c r="H235" s="0" t="str">
        <f aca="false">IF(Pipeline_Sort!$C235="","",INDEX(Pipeline_Calc!$I$2:$I$5251,Pipeline_Sort!$C235))</f>
        <v/>
      </c>
      <c r="I235" s="0" t="str">
        <f aca="false">IF(Pipeline_Sort!$C235="","",INDEX(Pipeline_Calc!$J$2:$J$5251,Pipeline_Sort!$C235))</f>
        <v/>
      </c>
    </row>
    <row r="236" customFormat="false" ht="15" hidden="false" customHeight="false" outlineLevel="0" collapsed="false">
      <c r="A236" s="33" t="str">
        <f aca="false">IF(Pipeline_Sort!$C236="","",INDEX(Pipeline_Calc!$B$2:$B$5251,Pipeline_Sort!$C236))</f>
        <v/>
      </c>
      <c r="B236" s="0" t="str">
        <f aca="false">IF(Pipeline_Sort!$C236="","",INDEX(Pipeline_Calc!$C$2:$C$5251,Pipeline_Sort!$C236))</f>
        <v/>
      </c>
      <c r="C236" s="0" t="str">
        <f aca="false">IF(Pipeline_Sort!$C236="","",INDEX(Pipeline_Calc!$D$2:$D$5251,Pipeline_Sort!$C236))</f>
        <v/>
      </c>
      <c r="D236" s="0" t="str">
        <f aca="false">IF(Pipeline_Sort!$C236="","",INDEX(Pipeline_Calc!$E$2:$E$5251,Pipeline_Sort!$C236))</f>
        <v/>
      </c>
      <c r="E236" s="0" t="str">
        <f aca="false">IF(Pipeline_Sort!$C236="","",INDEX(Pipeline_Calc!$F$2:$F$5251,Pipeline_Sort!$C236))</f>
        <v/>
      </c>
      <c r="F236" s="0" t="str">
        <f aca="false">IF(Pipeline_Sort!$C236="","",INDEX(Pipeline_Calc!$G$2:$G$5251,Pipeline_Sort!$C236))</f>
        <v/>
      </c>
      <c r="G236" s="0" t="str">
        <f aca="false">IF(Pipeline_Sort!$C236="","",INDEX(Pipeline_Calc!$H$2:$H$5251,Pipeline_Sort!$C236))</f>
        <v/>
      </c>
      <c r="H236" s="0" t="str">
        <f aca="false">IF(Pipeline_Sort!$C236="","",INDEX(Pipeline_Calc!$I$2:$I$5251,Pipeline_Sort!$C236))</f>
        <v/>
      </c>
      <c r="I236" s="0" t="str">
        <f aca="false">IF(Pipeline_Sort!$C236="","",INDEX(Pipeline_Calc!$J$2:$J$5251,Pipeline_Sort!$C236))</f>
        <v/>
      </c>
    </row>
    <row r="237" customFormat="false" ht="15" hidden="false" customHeight="false" outlineLevel="0" collapsed="false">
      <c r="A237" s="33" t="str">
        <f aca="false">IF(Pipeline_Sort!$C237="","",INDEX(Pipeline_Calc!$B$2:$B$5251,Pipeline_Sort!$C237))</f>
        <v/>
      </c>
      <c r="B237" s="0" t="str">
        <f aca="false">IF(Pipeline_Sort!$C237="","",INDEX(Pipeline_Calc!$C$2:$C$5251,Pipeline_Sort!$C237))</f>
        <v/>
      </c>
      <c r="C237" s="0" t="str">
        <f aca="false">IF(Pipeline_Sort!$C237="","",INDEX(Pipeline_Calc!$D$2:$D$5251,Pipeline_Sort!$C237))</f>
        <v/>
      </c>
      <c r="D237" s="0" t="str">
        <f aca="false">IF(Pipeline_Sort!$C237="","",INDEX(Pipeline_Calc!$E$2:$E$5251,Pipeline_Sort!$C237))</f>
        <v/>
      </c>
      <c r="E237" s="0" t="str">
        <f aca="false">IF(Pipeline_Sort!$C237="","",INDEX(Pipeline_Calc!$F$2:$F$5251,Pipeline_Sort!$C237))</f>
        <v/>
      </c>
      <c r="F237" s="0" t="str">
        <f aca="false">IF(Pipeline_Sort!$C237="","",INDEX(Pipeline_Calc!$G$2:$G$5251,Pipeline_Sort!$C237))</f>
        <v/>
      </c>
      <c r="G237" s="0" t="str">
        <f aca="false">IF(Pipeline_Sort!$C237="","",INDEX(Pipeline_Calc!$H$2:$H$5251,Pipeline_Sort!$C237))</f>
        <v/>
      </c>
      <c r="H237" s="0" t="str">
        <f aca="false">IF(Pipeline_Sort!$C237="","",INDEX(Pipeline_Calc!$I$2:$I$5251,Pipeline_Sort!$C237))</f>
        <v/>
      </c>
      <c r="I237" s="0" t="str">
        <f aca="false">IF(Pipeline_Sort!$C237="","",INDEX(Pipeline_Calc!$J$2:$J$5251,Pipeline_Sort!$C237))</f>
        <v/>
      </c>
    </row>
    <row r="238" customFormat="false" ht="15" hidden="false" customHeight="false" outlineLevel="0" collapsed="false">
      <c r="A238" s="33" t="str">
        <f aca="false">IF(Pipeline_Sort!$C238="","",INDEX(Pipeline_Calc!$B$2:$B$5251,Pipeline_Sort!$C238))</f>
        <v/>
      </c>
      <c r="B238" s="0" t="str">
        <f aca="false">IF(Pipeline_Sort!$C238="","",INDEX(Pipeline_Calc!$C$2:$C$5251,Pipeline_Sort!$C238))</f>
        <v/>
      </c>
      <c r="C238" s="0" t="str">
        <f aca="false">IF(Pipeline_Sort!$C238="","",INDEX(Pipeline_Calc!$D$2:$D$5251,Pipeline_Sort!$C238))</f>
        <v/>
      </c>
      <c r="D238" s="0" t="str">
        <f aca="false">IF(Pipeline_Sort!$C238="","",INDEX(Pipeline_Calc!$E$2:$E$5251,Pipeline_Sort!$C238))</f>
        <v/>
      </c>
      <c r="E238" s="0" t="str">
        <f aca="false">IF(Pipeline_Sort!$C238="","",INDEX(Pipeline_Calc!$F$2:$F$5251,Pipeline_Sort!$C238))</f>
        <v/>
      </c>
      <c r="F238" s="0" t="str">
        <f aca="false">IF(Pipeline_Sort!$C238="","",INDEX(Pipeline_Calc!$G$2:$G$5251,Pipeline_Sort!$C238))</f>
        <v/>
      </c>
      <c r="G238" s="0" t="str">
        <f aca="false">IF(Pipeline_Sort!$C238="","",INDEX(Pipeline_Calc!$H$2:$H$5251,Pipeline_Sort!$C238))</f>
        <v/>
      </c>
      <c r="H238" s="0" t="str">
        <f aca="false">IF(Pipeline_Sort!$C238="","",INDEX(Pipeline_Calc!$I$2:$I$5251,Pipeline_Sort!$C238))</f>
        <v/>
      </c>
      <c r="I238" s="0" t="str">
        <f aca="false">IF(Pipeline_Sort!$C238="","",INDEX(Pipeline_Calc!$J$2:$J$5251,Pipeline_Sort!$C238))</f>
        <v/>
      </c>
    </row>
    <row r="239" customFormat="false" ht="15" hidden="false" customHeight="false" outlineLevel="0" collapsed="false">
      <c r="A239" s="33" t="str">
        <f aca="false">IF(Pipeline_Sort!$C239="","",INDEX(Pipeline_Calc!$B$2:$B$5251,Pipeline_Sort!$C239))</f>
        <v/>
      </c>
      <c r="B239" s="0" t="str">
        <f aca="false">IF(Pipeline_Sort!$C239="","",INDEX(Pipeline_Calc!$C$2:$C$5251,Pipeline_Sort!$C239))</f>
        <v/>
      </c>
      <c r="C239" s="0" t="str">
        <f aca="false">IF(Pipeline_Sort!$C239="","",INDEX(Pipeline_Calc!$D$2:$D$5251,Pipeline_Sort!$C239))</f>
        <v/>
      </c>
      <c r="D239" s="0" t="str">
        <f aca="false">IF(Pipeline_Sort!$C239="","",INDEX(Pipeline_Calc!$E$2:$E$5251,Pipeline_Sort!$C239))</f>
        <v/>
      </c>
      <c r="E239" s="0" t="str">
        <f aca="false">IF(Pipeline_Sort!$C239="","",INDEX(Pipeline_Calc!$F$2:$F$5251,Pipeline_Sort!$C239))</f>
        <v/>
      </c>
      <c r="F239" s="0" t="str">
        <f aca="false">IF(Pipeline_Sort!$C239="","",INDEX(Pipeline_Calc!$G$2:$G$5251,Pipeline_Sort!$C239))</f>
        <v/>
      </c>
      <c r="G239" s="0" t="str">
        <f aca="false">IF(Pipeline_Sort!$C239="","",INDEX(Pipeline_Calc!$H$2:$H$5251,Pipeline_Sort!$C239))</f>
        <v/>
      </c>
      <c r="H239" s="0" t="str">
        <f aca="false">IF(Pipeline_Sort!$C239="","",INDEX(Pipeline_Calc!$I$2:$I$5251,Pipeline_Sort!$C239))</f>
        <v/>
      </c>
      <c r="I239" s="0" t="str">
        <f aca="false">IF(Pipeline_Sort!$C239="","",INDEX(Pipeline_Calc!$J$2:$J$5251,Pipeline_Sort!$C239))</f>
        <v/>
      </c>
    </row>
    <row r="240" customFormat="false" ht="15" hidden="false" customHeight="false" outlineLevel="0" collapsed="false">
      <c r="A240" s="33" t="str">
        <f aca="false">IF(Pipeline_Sort!$C240="","",INDEX(Pipeline_Calc!$B$2:$B$5251,Pipeline_Sort!$C240))</f>
        <v/>
      </c>
      <c r="B240" s="0" t="str">
        <f aca="false">IF(Pipeline_Sort!$C240="","",INDEX(Pipeline_Calc!$C$2:$C$5251,Pipeline_Sort!$C240))</f>
        <v/>
      </c>
      <c r="C240" s="0" t="str">
        <f aca="false">IF(Pipeline_Sort!$C240="","",INDEX(Pipeline_Calc!$D$2:$D$5251,Pipeline_Sort!$C240))</f>
        <v/>
      </c>
      <c r="D240" s="0" t="str">
        <f aca="false">IF(Pipeline_Sort!$C240="","",INDEX(Pipeline_Calc!$E$2:$E$5251,Pipeline_Sort!$C240))</f>
        <v/>
      </c>
      <c r="E240" s="0" t="str">
        <f aca="false">IF(Pipeline_Sort!$C240="","",INDEX(Pipeline_Calc!$F$2:$F$5251,Pipeline_Sort!$C240))</f>
        <v/>
      </c>
      <c r="F240" s="0" t="str">
        <f aca="false">IF(Pipeline_Sort!$C240="","",INDEX(Pipeline_Calc!$G$2:$G$5251,Pipeline_Sort!$C240))</f>
        <v/>
      </c>
      <c r="G240" s="0" t="str">
        <f aca="false">IF(Pipeline_Sort!$C240="","",INDEX(Pipeline_Calc!$H$2:$H$5251,Pipeline_Sort!$C240))</f>
        <v/>
      </c>
      <c r="H240" s="0" t="str">
        <f aca="false">IF(Pipeline_Sort!$C240="","",INDEX(Pipeline_Calc!$I$2:$I$5251,Pipeline_Sort!$C240))</f>
        <v/>
      </c>
      <c r="I240" s="0" t="str">
        <f aca="false">IF(Pipeline_Sort!$C240="","",INDEX(Pipeline_Calc!$J$2:$J$5251,Pipeline_Sort!$C240))</f>
        <v/>
      </c>
    </row>
    <row r="241" customFormat="false" ht="15" hidden="false" customHeight="false" outlineLevel="0" collapsed="false">
      <c r="A241" s="33" t="str">
        <f aca="false">IF(Pipeline_Sort!$C241="","",INDEX(Pipeline_Calc!$B$2:$B$5251,Pipeline_Sort!$C241))</f>
        <v/>
      </c>
      <c r="B241" s="0" t="str">
        <f aca="false">IF(Pipeline_Sort!$C241="","",INDEX(Pipeline_Calc!$C$2:$C$5251,Pipeline_Sort!$C241))</f>
        <v/>
      </c>
      <c r="C241" s="0" t="str">
        <f aca="false">IF(Pipeline_Sort!$C241="","",INDEX(Pipeline_Calc!$D$2:$D$5251,Pipeline_Sort!$C241))</f>
        <v/>
      </c>
      <c r="D241" s="0" t="str">
        <f aca="false">IF(Pipeline_Sort!$C241="","",INDEX(Pipeline_Calc!$E$2:$E$5251,Pipeline_Sort!$C241))</f>
        <v/>
      </c>
      <c r="E241" s="0" t="str">
        <f aca="false">IF(Pipeline_Sort!$C241="","",INDEX(Pipeline_Calc!$F$2:$F$5251,Pipeline_Sort!$C241))</f>
        <v/>
      </c>
      <c r="F241" s="0" t="str">
        <f aca="false">IF(Pipeline_Sort!$C241="","",INDEX(Pipeline_Calc!$G$2:$G$5251,Pipeline_Sort!$C241))</f>
        <v/>
      </c>
      <c r="G241" s="0" t="str">
        <f aca="false">IF(Pipeline_Sort!$C241="","",INDEX(Pipeline_Calc!$H$2:$H$5251,Pipeline_Sort!$C241))</f>
        <v/>
      </c>
      <c r="H241" s="0" t="str">
        <f aca="false">IF(Pipeline_Sort!$C241="","",INDEX(Pipeline_Calc!$I$2:$I$5251,Pipeline_Sort!$C241))</f>
        <v/>
      </c>
      <c r="I241" s="0" t="str">
        <f aca="false">IF(Pipeline_Sort!$C241="","",INDEX(Pipeline_Calc!$J$2:$J$5251,Pipeline_Sort!$C241))</f>
        <v/>
      </c>
    </row>
    <row r="242" customFormat="false" ht="15" hidden="false" customHeight="false" outlineLevel="0" collapsed="false">
      <c r="A242" s="33" t="str">
        <f aca="false">IF(Pipeline_Sort!$C242="","",INDEX(Pipeline_Calc!$B$2:$B$5251,Pipeline_Sort!$C242))</f>
        <v/>
      </c>
      <c r="B242" s="0" t="str">
        <f aca="false">IF(Pipeline_Sort!$C242="","",INDEX(Pipeline_Calc!$C$2:$C$5251,Pipeline_Sort!$C242))</f>
        <v/>
      </c>
      <c r="C242" s="0" t="str">
        <f aca="false">IF(Pipeline_Sort!$C242="","",INDEX(Pipeline_Calc!$D$2:$D$5251,Pipeline_Sort!$C242))</f>
        <v/>
      </c>
      <c r="D242" s="0" t="str">
        <f aca="false">IF(Pipeline_Sort!$C242="","",INDEX(Pipeline_Calc!$E$2:$E$5251,Pipeline_Sort!$C242))</f>
        <v/>
      </c>
      <c r="E242" s="0" t="str">
        <f aca="false">IF(Pipeline_Sort!$C242="","",INDEX(Pipeline_Calc!$F$2:$F$5251,Pipeline_Sort!$C242))</f>
        <v/>
      </c>
      <c r="F242" s="0" t="str">
        <f aca="false">IF(Pipeline_Sort!$C242="","",INDEX(Pipeline_Calc!$G$2:$G$5251,Pipeline_Sort!$C242))</f>
        <v/>
      </c>
      <c r="G242" s="0" t="str">
        <f aca="false">IF(Pipeline_Sort!$C242="","",INDEX(Pipeline_Calc!$H$2:$H$5251,Pipeline_Sort!$C242))</f>
        <v/>
      </c>
      <c r="H242" s="0" t="str">
        <f aca="false">IF(Pipeline_Sort!$C242="","",INDEX(Pipeline_Calc!$I$2:$I$5251,Pipeline_Sort!$C242))</f>
        <v/>
      </c>
      <c r="I242" s="0" t="str">
        <f aca="false">IF(Pipeline_Sort!$C242="","",INDEX(Pipeline_Calc!$J$2:$J$5251,Pipeline_Sort!$C242))</f>
        <v/>
      </c>
    </row>
    <row r="243" customFormat="false" ht="15" hidden="false" customHeight="false" outlineLevel="0" collapsed="false">
      <c r="A243" s="33" t="str">
        <f aca="false">IF(Pipeline_Sort!$C243="","",INDEX(Pipeline_Calc!$B$2:$B$5251,Pipeline_Sort!$C243))</f>
        <v/>
      </c>
      <c r="B243" s="0" t="str">
        <f aca="false">IF(Pipeline_Sort!$C243="","",INDEX(Pipeline_Calc!$C$2:$C$5251,Pipeline_Sort!$C243))</f>
        <v/>
      </c>
      <c r="C243" s="0" t="str">
        <f aca="false">IF(Pipeline_Sort!$C243="","",INDEX(Pipeline_Calc!$D$2:$D$5251,Pipeline_Sort!$C243))</f>
        <v/>
      </c>
      <c r="D243" s="0" t="str">
        <f aca="false">IF(Pipeline_Sort!$C243="","",INDEX(Pipeline_Calc!$E$2:$E$5251,Pipeline_Sort!$C243))</f>
        <v/>
      </c>
      <c r="E243" s="0" t="str">
        <f aca="false">IF(Pipeline_Sort!$C243="","",INDEX(Pipeline_Calc!$F$2:$F$5251,Pipeline_Sort!$C243))</f>
        <v/>
      </c>
      <c r="F243" s="0" t="str">
        <f aca="false">IF(Pipeline_Sort!$C243="","",INDEX(Pipeline_Calc!$G$2:$G$5251,Pipeline_Sort!$C243))</f>
        <v/>
      </c>
      <c r="G243" s="0" t="str">
        <f aca="false">IF(Pipeline_Sort!$C243="","",INDEX(Pipeline_Calc!$H$2:$H$5251,Pipeline_Sort!$C243))</f>
        <v/>
      </c>
      <c r="H243" s="0" t="str">
        <f aca="false">IF(Pipeline_Sort!$C243="","",INDEX(Pipeline_Calc!$I$2:$I$5251,Pipeline_Sort!$C243))</f>
        <v/>
      </c>
      <c r="I243" s="0" t="str">
        <f aca="false">IF(Pipeline_Sort!$C243="","",INDEX(Pipeline_Calc!$J$2:$J$5251,Pipeline_Sort!$C243))</f>
        <v/>
      </c>
    </row>
    <row r="244" customFormat="false" ht="15" hidden="false" customHeight="false" outlineLevel="0" collapsed="false">
      <c r="A244" s="33" t="str">
        <f aca="false">IF(Pipeline_Sort!$C244="","",INDEX(Pipeline_Calc!$B$2:$B$5251,Pipeline_Sort!$C244))</f>
        <v/>
      </c>
      <c r="B244" s="0" t="str">
        <f aca="false">IF(Pipeline_Sort!$C244="","",INDEX(Pipeline_Calc!$C$2:$C$5251,Pipeline_Sort!$C244))</f>
        <v/>
      </c>
      <c r="C244" s="0" t="str">
        <f aca="false">IF(Pipeline_Sort!$C244="","",INDEX(Pipeline_Calc!$D$2:$D$5251,Pipeline_Sort!$C244))</f>
        <v/>
      </c>
      <c r="D244" s="0" t="str">
        <f aca="false">IF(Pipeline_Sort!$C244="","",INDEX(Pipeline_Calc!$E$2:$E$5251,Pipeline_Sort!$C244))</f>
        <v/>
      </c>
      <c r="E244" s="0" t="str">
        <f aca="false">IF(Pipeline_Sort!$C244="","",INDEX(Pipeline_Calc!$F$2:$F$5251,Pipeline_Sort!$C244))</f>
        <v/>
      </c>
      <c r="F244" s="0" t="str">
        <f aca="false">IF(Pipeline_Sort!$C244="","",INDEX(Pipeline_Calc!$G$2:$G$5251,Pipeline_Sort!$C244))</f>
        <v/>
      </c>
      <c r="G244" s="0" t="str">
        <f aca="false">IF(Pipeline_Sort!$C244="","",INDEX(Pipeline_Calc!$H$2:$H$5251,Pipeline_Sort!$C244))</f>
        <v/>
      </c>
      <c r="H244" s="0" t="str">
        <f aca="false">IF(Pipeline_Sort!$C244="","",INDEX(Pipeline_Calc!$I$2:$I$5251,Pipeline_Sort!$C244))</f>
        <v/>
      </c>
      <c r="I244" s="0" t="str">
        <f aca="false">IF(Pipeline_Sort!$C244="","",INDEX(Pipeline_Calc!$J$2:$J$5251,Pipeline_Sort!$C244))</f>
        <v/>
      </c>
    </row>
    <row r="245" customFormat="false" ht="15" hidden="false" customHeight="false" outlineLevel="0" collapsed="false">
      <c r="A245" s="33" t="str">
        <f aca="false">IF(Pipeline_Sort!$C245="","",INDEX(Pipeline_Calc!$B$2:$B$5251,Pipeline_Sort!$C245))</f>
        <v/>
      </c>
      <c r="B245" s="0" t="str">
        <f aca="false">IF(Pipeline_Sort!$C245="","",INDEX(Pipeline_Calc!$C$2:$C$5251,Pipeline_Sort!$C245))</f>
        <v/>
      </c>
      <c r="C245" s="0" t="str">
        <f aca="false">IF(Pipeline_Sort!$C245="","",INDEX(Pipeline_Calc!$D$2:$D$5251,Pipeline_Sort!$C245))</f>
        <v/>
      </c>
      <c r="D245" s="0" t="str">
        <f aca="false">IF(Pipeline_Sort!$C245="","",INDEX(Pipeline_Calc!$E$2:$E$5251,Pipeline_Sort!$C245))</f>
        <v/>
      </c>
      <c r="E245" s="0" t="str">
        <f aca="false">IF(Pipeline_Sort!$C245="","",INDEX(Pipeline_Calc!$F$2:$F$5251,Pipeline_Sort!$C245))</f>
        <v/>
      </c>
      <c r="F245" s="0" t="str">
        <f aca="false">IF(Pipeline_Sort!$C245="","",INDEX(Pipeline_Calc!$G$2:$G$5251,Pipeline_Sort!$C245))</f>
        <v/>
      </c>
      <c r="G245" s="0" t="str">
        <f aca="false">IF(Pipeline_Sort!$C245="","",INDEX(Pipeline_Calc!$H$2:$H$5251,Pipeline_Sort!$C245))</f>
        <v/>
      </c>
      <c r="H245" s="0" t="str">
        <f aca="false">IF(Pipeline_Sort!$C245="","",INDEX(Pipeline_Calc!$I$2:$I$5251,Pipeline_Sort!$C245))</f>
        <v/>
      </c>
      <c r="I245" s="0" t="str">
        <f aca="false">IF(Pipeline_Sort!$C245="","",INDEX(Pipeline_Calc!$J$2:$J$5251,Pipeline_Sort!$C245))</f>
        <v/>
      </c>
    </row>
    <row r="246" customFormat="false" ht="15" hidden="false" customHeight="false" outlineLevel="0" collapsed="false">
      <c r="A246" s="33" t="str">
        <f aca="false">IF(Pipeline_Sort!$C246="","",INDEX(Pipeline_Calc!$B$2:$B$5251,Pipeline_Sort!$C246))</f>
        <v/>
      </c>
      <c r="B246" s="0" t="str">
        <f aca="false">IF(Pipeline_Sort!$C246="","",INDEX(Pipeline_Calc!$C$2:$C$5251,Pipeline_Sort!$C246))</f>
        <v/>
      </c>
      <c r="C246" s="0" t="str">
        <f aca="false">IF(Pipeline_Sort!$C246="","",INDEX(Pipeline_Calc!$D$2:$D$5251,Pipeline_Sort!$C246))</f>
        <v/>
      </c>
      <c r="D246" s="0" t="str">
        <f aca="false">IF(Pipeline_Sort!$C246="","",INDEX(Pipeline_Calc!$E$2:$E$5251,Pipeline_Sort!$C246))</f>
        <v/>
      </c>
      <c r="E246" s="0" t="str">
        <f aca="false">IF(Pipeline_Sort!$C246="","",INDEX(Pipeline_Calc!$F$2:$F$5251,Pipeline_Sort!$C246))</f>
        <v/>
      </c>
      <c r="F246" s="0" t="str">
        <f aca="false">IF(Pipeline_Sort!$C246="","",INDEX(Pipeline_Calc!$G$2:$G$5251,Pipeline_Sort!$C246))</f>
        <v/>
      </c>
      <c r="G246" s="0" t="str">
        <f aca="false">IF(Pipeline_Sort!$C246="","",INDEX(Pipeline_Calc!$H$2:$H$5251,Pipeline_Sort!$C246))</f>
        <v/>
      </c>
      <c r="H246" s="0" t="str">
        <f aca="false">IF(Pipeline_Sort!$C246="","",INDEX(Pipeline_Calc!$I$2:$I$5251,Pipeline_Sort!$C246))</f>
        <v/>
      </c>
      <c r="I246" s="0" t="str">
        <f aca="false">IF(Pipeline_Sort!$C246="","",INDEX(Pipeline_Calc!$J$2:$J$5251,Pipeline_Sort!$C246))</f>
        <v/>
      </c>
    </row>
    <row r="247" customFormat="false" ht="15" hidden="false" customHeight="false" outlineLevel="0" collapsed="false">
      <c r="A247" s="33" t="str">
        <f aca="false">IF(Pipeline_Sort!$C247="","",INDEX(Pipeline_Calc!$B$2:$B$5251,Pipeline_Sort!$C247))</f>
        <v/>
      </c>
      <c r="B247" s="0" t="str">
        <f aca="false">IF(Pipeline_Sort!$C247="","",INDEX(Pipeline_Calc!$C$2:$C$5251,Pipeline_Sort!$C247))</f>
        <v/>
      </c>
      <c r="C247" s="0" t="str">
        <f aca="false">IF(Pipeline_Sort!$C247="","",INDEX(Pipeline_Calc!$D$2:$D$5251,Pipeline_Sort!$C247))</f>
        <v/>
      </c>
      <c r="D247" s="0" t="str">
        <f aca="false">IF(Pipeline_Sort!$C247="","",INDEX(Pipeline_Calc!$E$2:$E$5251,Pipeline_Sort!$C247))</f>
        <v/>
      </c>
      <c r="E247" s="0" t="str">
        <f aca="false">IF(Pipeline_Sort!$C247="","",INDEX(Pipeline_Calc!$F$2:$F$5251,Pipeline_Sort!$C247))</f>
        <v/>
      </c>
      <c r="F247" s="0" t="str">
        <f aca="false">IF(Pipeline_Sort!$C247="","",INDEX(Pipeline_Calc!$G$2:$G$5251,Pipeline_Sort!$C247))</f>
        <v/>
      </c>
      <c r="G247" s="0" t="str">
        <f aca="false">IF(Pipeline_Sort!$C247="","",INDEX(Pipeline_Calc!$H$2:$H$5251,Pipeline_Sort!$C247))</f>
        <v/>
      </c>
      <c r="H247" s="0" t="str">
        <f aca="false">IF(Pipeline_Sort!$C247="","",INDEX(Pipeline_Calc!$I$2:$I$5251,Pipeline_Sort!$C247))</f>
        <v/>
      </c>
      <c r="I247" s="0" t="str">
        <f aca="false">IF(Pipeline_Sort!$C247="","",INDEX(Pipeline_Calc!$J$2:$J$5251,Pipeline_Sort!$C247))</f>
        <v/>
      </c>
    </row>
    <row r="248" customFormat="false" ht="15" hidden="false" customHeight="false" outlineLevel="0" collapsed="false">
      <c r="A248" s="33" t="str">
        <f aca="false">IF(Pipeline_Sort!$C248="","",INDEX(Pipeline_Calc!$B$2:$B$5251,Pipeline_Sort!$C248))</f>
        <v/>
      </c>
      <c r="B248" s="0" t="str">
        <f aca="false">IF(Pipeline_Sort!$C248="","",INDEX(Pipeline_Calc!$C$2:$C$5251,Pipeline_Sort!$C248))</f>
        <v/>
      </c>
      <c r="C248" s="0" t="str">
        <f aca="false">IF(Pipeline_Sort!$C248="","",INDEX(Pipeline_Calc!$D$2:$D$5251,Pipeline_Sort!$C248))</f>
        <v/>
      </c>
      <c r="D248" s="0" t="str">
        <f aca="false">IF(Pipeline_Sort!$C248="","",INDEX(Pipeline_Calc!$E$2:$E$5251,Pipeline_Sort!$C248))</f>
        <v/>
      </c>
      <c r="E248" s="0" t="str">
        <f aca="false">IF(Pipeline_Sort!$C248="","",INDEX(Pipeline_Calc!$F$2:$F$5251,Pipeline_Sort!$C248))</f>
        <v/>
      </c>
      <c r="F248" s="0" t="str">
        <f aca="false">IF(Pipeline_Sort!$C248="","",INDEX(Pipeline_Calc!$G$2:$G$5251,Pipeline_Sort!$C248))</f>
        <v/>
      </c>
      <c r="G248" s="0" t="str">
        <f aca="false">IF(Pipeline_Sort!$C248="","",INDEX(Pipeline_Calc!$H$2:$H$5251,Pipeline_Sort!$C248))</f>
        <v/>
      </c>
      <c r="H248" s="0" t="str">
        <f aca="false">IF(Pipeline_Sort!$C248="","",INDEX(Pipeline_Calc!$I$2:$I$5251,Pipeline_Sort!$C248))</f>
        <v/>
      </c>
      <c r="I248" s="0" t="str">
        <f aca="false">IF(Pipeline_Sort!$C248="","",INDEX(Pipeline_Calc!$J$2:$J$5251,Pipeline_Sort!$C248))</f>
        <v/>
      </c>
    </row>
    <row r="249" customFormat="false" ht="15" hidden="false" customHeight="false" outlineLevel="0" collapsed="false">
      <c r="A249" s="33" t="str">
        <f aca="false">IF(Pipeline_Sort!$C249="","",INDEX(Pipeline_Calc!$B$2:$B$5251,Pipeline_Sort!$C249))</f>
        <v/>
      </c>
      <c r="B249" s="0" t="str">
        <f aca="false">IF(Pipeline_Sort!$C249="","",INDEX(Pipeline_Calc!$C$2:$C$5251,Pipeline_Sort!$C249))</f>
        <v/>
      </c>
      <c r="C249" s="0" t="str">
        <f aca="false">IF(Pipeline_Sort!$C249="","",INDEX(Pipeline_Calc!$D$2:$D$5251,Pipeline_Sort!$C249))</f>
        <v/>
      </c>
      <c r="D249" s="0" t="str">
        <f aca="false">IF(Pipeline_Sort!$C249="","",INDEX(Pipeline_Calc!$E$2:$E$5251,Pipeline_Sort!$C249))</f>
        <v/>
      </c>
      <c r="E249" s="0" t="str">
        <f aca="false">IF(Pipeline_Sort!$C249="","",INDEX(Pipeline_Calc!$F$2:$F$5251,Pipeline_Sort!$C249))</f>
        <v/>
      </c>
      <c r="F249" s="0" t="str">
        <f aca="false">IF(Pipeline_Sort!$C249="","",INDEX(Pipeline_Calc!$G$2:$G$5251,Pipeline_Sort!$C249))</f>
        <v/>
      </c>
      <c r="G249" s="0" t="str">
        <f aca="false">IF(Pipeline_Sort!$C249="","",INDEX(Pipeline_Calc!$H$2:$H$5251,Pipeline_Sort!$C249))</f>
        <v/>
      </c>
      <c r="H249" s="0" t="str">
        <f aca="false">IF(Pipeline_Sort!$C249="","",INDEX(Pipeline_Calc!$I$2:$I$5251,Pipeline_Sort!$C249))</f>
        <v/>
      </c>
      <c r="I249" s="0" t="str">
        <f aca="false">IF(Pipeline_Sort!$C249="","",INDEX(Pipeline_Calc!$J$2:$J$5251,Pipeline_Sort!$C249))</f>
        <v/>
      </c>
    </row>
    <row r="250" customFormat="false" ht="15" hidden="false" customHeight="false" outlineLevel="0" collapsed="false">
      <c r="A250" s="33" t="str">
        <f aca="false">IF(Pipeline_Sort!$C250="","",INDEX(Pipeline_Calc!$B$2:$B$5251,Pipeline_Sort!$C250))</f>
        <v/>
      </c>
      <c r="B250" s="0" t="str">
        <f aca="false">IF(Pipeline_Sort!$C250="","",INDEX(Pipeline_Calc!$C$2:$C$5251,Pipeline_Sort!$C250))</f>
        <v/>
      </c>
      <c r="C250" s="0" t="str">
        <f aca="false">IF(Pipeline_Sort!$C250="","",INDEX(Pipeline_Calc!$D$2:$D$5251,Pipeline_Sort!$C250))</f>
        <v/>
      </c>
      <c r="D250" s="0" t="str">
        <f aca="false">IF(Pipeline_Sort!$C250="","",INDEX(Pipeline_Calc!$E$2:$E$5251,Pipeline_Sort!$C250))</f>
        <v/>
      </c>
      <c r="E250" s="0" t="str">
        <f aca="false">IF(Pipeline_Sort!$C250="","",INDEX(Pipeline_Calc!$F$2:$F$5251,Pipeline_Sort!$C250))</f>
        <v/>
      </c>
      <c r="F250" s="0" t="str">
        <f aca="false">IF(Pipeline_Sort!$C250="","",INDEX(Pipeline_Calc!$G$2:$G$5251,Pipeline_Sort!$C250))</f>
        <v/>
      </c>
      <c r="G250" s="0" t="str">
        <f aca="false">IF(Pipeline_Sort!$C250="","",INDEX(Pipeline_Calc!$H$2:$H$5251,Pipeline_Sort!$C250))</f>
        <v/>
      </c>
      <c r="H250" s="0" t="str">
        <f aca="false">IF(Pipeline_Sort!$C250="","",INDEX(Pipeline_Calc!$I$2:$I$5251,Pipeline_Sort!$C250))</f>
        <v/>
      </c>
      <c r="I250" s="0" t="str">
        <f aca="false">IF(Pipeline_Sort!$C250="","",INDEX(Pipeline_Calc!$J$2:$J$5251,Pipeline_Sort!$C250))</f>
        <v/>
      </c>
    </row>
    <row r="251" customFormat="false" ht="15" hidden="false" customHeight="false" outlineLevel="0" collapsed="false">
      <c r="A251" s="33" t="str">
        <f aca="false">IF(Pipeline_Sort!$C251="","",INDEX(Pipeline_Calc!$B$2:$B$5251,Pipeline_Sort!$C251))</f>
        <v/>
      </c>
      <c r="B251" s="0" t="str">
        <f aca="false">IF(Pipeline_Sort!$C251="","",INDEX(Pipeline_Calc!$C$2:$C$5251,Pipeline_Sort!$C251))</f>
        <v/>
      </c>
      <c r="C251" s="0" t="str">
        <f aca="false">IF(Pipeline_Sort!$C251="","",INDEX(Pipeline_Calc!$D$2:$D$5251,Pipeline_Sort!$C251))</f>
        <v/>
      </c>
      <c r="D251" s="0" t="str">
        <f aca="false">IF(Pipeline_Sort!$C251="","",INDEX(Pipeline_Calc!$E$2:$E$5251,Pipeline_Sort!$C251))</f>
        <v/>
      </c>
      <c r="E251" s="0" t="str">
        <f aca="false">IF(Pipeline_Sort!$C251="","",INDEX(Pipeline_Calc!$F$2:$F$5251,Pipeline_Sort!$C251))</f>
        <v/>
      </c>
      <c r="F251" s="0" t="str">
        <f aca="false">IF(Pipeline_Sort!$C251="","",INDEX(Pipeline_Calc!$G$2:$G$5251,Pipeline_Sort!$C251))</f>
        <v/>
      </c>
      <c r="G251" s="0" t="str">
        <f aca="false">IF(Pipeline_Sort!$C251="","",INDEX(Pipeline_Calc!$H$2:$H$5251,Pipeline_Sort!$C251))</f>
        <v/>
      </c>
      <c r="H251" s="0" t="str">
        <f aca="false">IF(Pipeline_Sort!$C251="","",INDEX(Pipeline_Calc!$I$2:$I$5251,Pipeline_Sort!$C251))</f>
        <v/>
      </c>
      <c r="I251" s="0" t="str">
        <f aca="false">IF(Pipeline_Sort!$C251="","",INDEX(Pipeline_Calc!$J$2:$J$5251,Pipeline_Sort!$C251))</f>
        <v/>
      </c>
    </row>
    <row r="252" customFormat="false" ht="15" hidden="false" customHeight="false" outlineLevel="0" collapsed="false">
      <c r="A252" s="33" t="str">
        <f aca="false">IF(Pipeline_Sort!$C252="","",INDEX(Pipeline_Calc!$B$2:$B$5251,Pipeline_Sort!$C252))</f>
        <v/>
      </c>
      <c r="B252" s="0" t="str">
        <f aca="false">IF(Pipeline_Sort!$C252="","",INDEX(Pipeline_Calc!$C$2:$C$5251,Pipeline_Sort!$C252))</f>
        <v/>
      </c>
      <c r="C252" s="0" t="str">
        <f aca="false">IF(Pipeline_Sort!$C252="","",INDEX(Pipeline_Calc!$D$2:$D$5251,Pipeline_Sort!$C252))</f>
        <v/>
      </c>
      <c r="D252" s="0" t="str">
        <f aca="false">IF(Pipeline_Sort!$C252="","",INDEX(Pipeline_Calc!$E$2:$E$5251,Pipeline_Sort!$C252))</f>
        <v/>
      </c>
      <c r="E252" s="0" t="str">
        <f aca="false">IF(Pipeline_Sort!$C252="","",INDEX(Pipeline_Calc!$F$2:$F$5251,Pipeline_Sort!$C252))</f>
        <v/>
      </c>
      <c r="F252" s="0" t="str">
        <f aca="false">IF(Pipeline_Sort!$C252="","",INDEX(Pipeline_Calc!$G$2:$G$5251,Pipeline_Sort!$C252))</f>
        <v/>
      </c>
      <c r="G252" s="0" t="str">
        <f aca="false">IF(Pipeline_Sort!$C252="","",INDEX(Pipeline_Calc!$H$2:$H$5251,Pipeline_Sort!$C252))</f>
        <v/>
      </c>
      <c r="H252" s="0" t="str">
        <f aca="false">IF(Pipeline_Sort!$C252="","",INDEX(Pipeline_Calc!$I$2:$I$5251,Pipeline_Sort!$C252))</f>
        <v/>
      </c>
      <c r="I252" s="0" t="str">
        <f aca="false">IF(Pipeline_Sort!$C252="","",INDEX(Pipeline_Calc!$J$2:$J$5251,Pipeline_Sort!$C252))</f>
        <v/>
      </c>
    </row>
    <row r="253" customFormat="false" ht="15" hidden="false" customHeight="false" outlineLevel="0" collapsed="false">
      <c r="A253" s="33" t="str">
        <f aca="false">IF(Pipeline_Sort!$C253="","",INDEX(Pipeline_Calc!$B$2:$B$5251,Pipeline_Sort!$C253))</f>
        <v/>
      </c>
      <c r="B253" s="0" t="str">
        <f aca="false">IF(Pipeline_Sort!$C253="","",INDEX(Pipeline_Calc!$C$2:$C$5251,Pipeline_Sort!$C253))</f>
        <v/>
      </c>
      <c r="C253" s="0" t="str">
        <f aca="false">IF(Pipeline_Sort!$C253="","",INDEX(Pipeline_Calc!$D$2:$D$5251,Pipeline_Sort!$C253))</f>
        <v/>
      </c>
      <c r="D253" s="0" t="str">
        <f aca="false">IF(Pipeline_Sort!$C253="","",INDEX(Pipeline_Calc!$E$2:$E$5251,Pipeline_Sort!$C253))</f>
        <v/>
      </c>
      <c r="E253" s="0" t="str">
        <f aca="false">IF(Pipeline_Sort!$C253="","",INDEX(Pipeline_Calc!$F$2:$F$5251,Pipeline_Sort!$C253))</f>
        <v/>
      </c>
      <c r="F253" s="0" t="str">
        <f aca="false">IF(Pipeline_Sort!$C253="","",INDEX(Pipeline_Calc!$G$2:$G$5251,Pipeline_Sort!$C253))</f>
        <v/>
      </c>
      <c r="G253" s="0" t="str">
        <f aca="false">IF(Pipeline_Sort!$C253="","",INDEX(Pipeline_Calc!$H$2:$H$5251,Pipeline_Sort!$C253))</f>
        <v/>
      </c>
      <c r="H253" s="0" t="str">
        <f aca="false">IF(Pipeline_Sort!$C253="","",INDEX(Pipeline_Calc!$I$2:$I$5251,Pipeline_Sort!$C253))</f>
        <v/>
      </c>
      <c r="I253" s="0" t="str">
        <f aca="false">IF(Pipeline_Sort!$C253="","",INDEX(Pipeline_Calc!$J$2:$J$5251,Pipeline_Sort!$C253))</f>
        <v/>
      </c>
    </row>
    <row r="254" customFormat="false" ht="15" hidden="false" customHeight="false" outlineLevel="0" collapsed="false">
      <c r="A254" s="33" t="str">
        <f aca="false">IF(Pipeline_Sort!$C254="","",INDEX(Pipeline_Calc!$B$2:$B$5251,Pipeline_Sort!$C254))</f>
        <v/>
      </c>
      <c r="B254" s="0" t="str">
        <f aca="false">IF(Pipeline_Sort!$C254="","",INDEX(Pipeline_Calc!$C$2:$C$5251,Pipeline_Sort!$C254))</f>
        <v/>
      </c>
      <c r="C254" s="0" t="str">
        <f aca="false">IF(Pipeline_Sort!$C254="","",INDEX(Pipeline_Calc!$D$2:$D$5251,Pipeline_Sort!$C254))</f>
        <v/>
      </c>
      <c r="D254" s="0" t="str">
        <f aca="false">IF(Pipeline_Sort!$C254="","",INDEX(Pipeline_Calc!$E$2:$E$5251,Pipeline_Sort!$C254))</f>
        <v/>
      </c>
      <c r="E254" s="0" t="str">
        <f aca="false">IF(Pipeline_Sort!$C254="","",INDEX(Pipeline_Calc!$F$2:$F$5251,Pipeline_Sort!$C254))</f>
        <v/>
      </c>
      <c r="F254" s="0" t="str">
        <f aca="false">IF(Pipeline_Sort!$C254="","",INDEX(Pipeline_Calc!$G$2:$G$5251,Pipeline_Sort!$C254))</f>
        <v/>
      </c>
      <c r="G254" s="0" t="str">
        <f aca="false">IF(Pipeline_Sort!$C254="","",INDEX(Pipeline_Calc!$H$2:$H$5251,Pipeline_Sort!$C254))</f>
        <v/>
      </c>
      <c r="H254" s="0" t="str">
        <f aca="false">IF(Pipeline_Sort!$C254="","",INDEX(Pipeline_Calc!$I$2:$I$5251,Pipeline_Sort!$C254))</f>
        <v/>
      </c>
      <c r="I254" s="0" t="str">
        <f aca="false">IF(Pipeline_Sort!$C254="","",INDEX(Pipeline_Calc!$J$2:$J$5251,Pipeline_Sort!$C254))</f>
        <v/>
      </c>
    </row>
    <row r="255" customFormat="false" ht="15" hidden="false" customHeight="false" outlineLevel="0" collapsed="false">
      <c r="A255" s="33" t="str">
        <f aca="false">IF(Pipeline_Sort!$C255="","",INDEX(Pipeline_Calc!$B$2:$B$5251,Pipeline_Sort!$C255))</f>
        <v/>
      </c>
      <c r="B255" s="0" t="str">
        <f aca="false">IF(Pipeline_Sort!$C255="","",INDEX(Pipeline_Calc!$C$2:$C$5251,Pipeline_Sort!$C255))</f>
        <v/>
      </c>
      <c r="C255" s="0" t="str">
        <f aca="false">IF(Pipeline_Sort!$C255="","",INDEX(Pipeline_Calc!$D$2:$D$5251,Pipeline_Sort!$C255))</f>
        <v/>
      </c>
      <c r="D255" s="0" t="str">
        <f aca="false">IF(Pipeline_Sort!$C255="","",INDEX(Pipeline_Calc!$E$2:$E$5251,Pipeline_Sort!$C255))</f>
        <v/>
      </c>
      <c r="E255" s="0" t="str">
        <f aca="false">IF(Pipeline_Sort!$C255="","",INDEX(Pipeline_Calc!$F$2:$F$5251,Pipeline_Sort!$C255))</f>
        <v/>
      </c>
      <c r="F255" s="0" t="str">
        <f aca="false">IF(Pipeline_Sort!$C255="","",INDEX(Pipeline_Calc!$G$2:$G$5251,Pipeline_Sort!$C255))</f>
        <v/>
      </c>
      <c r="G255" s="0" t="str">
        <f aca="false">IF(Pipeline_Sort!$C255="","",INDEX(Pipeline_Calc!$H$2:$H$5251,Pipeline_Sort!$C255))</f>
        <v/>
      </c>
      <c r="H255" s="0" t="str">
        <f aca="false">IF(Pipeline_Sort!$C255="","",INDEX(Pipeline_Calc!$I$2:$I$5251,Pipeline_Sort!$C255))</f>
        <v/>
      </c>
      <c r="I255" s="0" t="str">
        <f aca="false">IF(Pipeline_Sort!$C255="","",INDEX(Pipeline_Calc!$J$2:$J$5251,Pipeline_Sort!$C255))</f>
        <v/>
      </c>
    </row>
    <row r="256" customFormat="false" ht="15" hidden="false" customHeight="false" outlineLevel="0" collapsed="false">
      <c r="A256" s="33" t="str">
        <f aca="false">IF(Pipeline_Sort!$C256="","",INDEX(Pipeline_Calc!$B$2:$B$5251,Pipeline_Sort!$C256))</f>
        <v/>
      </c>
      <c r="B256" s="0" t="str">
        <f aca="false">IF(Pipeline_Sort!$C256="","",INDEX(Pipeline_Calc!$C$2:$C$5251,Pipeline_Sort!$C256))</f>
        <v/>
      </c>
      <c r="C256" s="0" t="str">
        <f aca="false">IF(Pipeline_Sort!$C256="","",INDEX(Pipeline_Calc!$D$2:$D$5251,Pipeline_Sort!$C256))</f>
        <v/>
      </c>
      <c r="D256" s="0" t="str">
        <f aca="false">IF(Pipeline_Sort!$C256="","",INDEX(Pipeline_Calc!$E$2:$E$5251,Pipeline_Sort!$C256))</f>
        <v/>
      </c>
      <c r="E256" s="0" t="str">
        <f aca="false">IF(Pipeline_Sort!$C256="","",INDEX(Pipeline_Calc!$F$2:$F$5251,Pipeline_Sort!$C256))</f>
        <v/>
      </c>
      <c r="F256" s="0" t="str">
        <f aca="false">IF(Pipeline_Sort!$C256="","",INDEX(Pipeline_Calc!$G$2:$G$5251,Pipeline_Sort!$C256))</f>
        <v/>
      </c>
      <c r="G256" s="0" t="str">
        <f aca="false">IF(Pipeline_Sort!$C256="","",INDEX(Pipeline_Calc!$H$2:$H$5251,Pipeline_Sort!$C256))</f>
        <v/>
      </c>
      <c r="H256" s="0" t="str">
        <f aca="false">IF(Pipeline_Sort!$C256="","",INDEX(Pipeline_Calc!$I$2:$I$5251,Pipeline_Sort!$C256))</f>
        <v/>
      </c>
      <c r="I256" s="0" t="str">
        <f aca="false">IF(Pipeline_Sort!$C256="","",INDEX(Pipeline_Calc!$J$2:$J$5251,Pipeline_Sort!$C256))</f>
        <v/>
      </c>
    </row>
    <row r="257" customFormat="false" ht="15" hidden="false" customHeight="false" outlineLevel="0" collapsed="false">
      <c r="A257" s="33" t="str">
        <f aca="false">IF(Pipeline_Sort!$C257="","",INDEX(Pipeline_Calc!$B$2:$B$5251,Pipeline_Sort!$C257))</f>
        <v/>
      </c>
      <c r="B257" s="0" t="str">
        <f aca="false">IF(Pipeline_Sort!$C257="","",INDEX(Pipeline_Calc!$C$2:$C$5251,Pipeline_Sort!$C257))</f>
        <v/>
      </c>
      <c r="C257" s="0" t="str">
        <f aca="false">IF(Pipeline_Sort!$C257="","",INDEX(Pipeline_Calc!$D$2:$D$5251,Pipeline_Sort!$C257))</f>
        <v/>
      </c>
      <c r="D257" s="0" t="str">
        <f aca="false">IF(Pipeline_Sort!$C257="","",INDEX(Pipeline_Calc!$E$2:$E$5251,Pipeline_Sort!$C257))</f>
        <v/>
      </c>
      <c r="E257" s="0" t="str">
        <f aca="false">IF(Pipeline_Sort!$C257="","",INDEX(Pipeline_Calc!$F$2:$F$5251,Pipeline_Sort!$C257))</f>
        <v/>
      </c>
      <c r="F257" s="0" t="str">
        <f aca="false">IF(Pipeline_Sort!$C257="","",INDEX(Pipeline_Calc!$G$2:$G$5251,Pipeline_Sort!$C257))</f>
        <v/>
      </c>
      <c r="G257" s="0" t="str">
        <f aca="false">IF(Pipeline_Sort!$C257="","",INDEX(Pipeline_Calc!$H$2:$H$5251,Pipeline_Sort!$C257))</f>
        <v/>
      </c>
      <c r="H257" s="0" t="str">
        <f aca="false">IF(Pipeline_Sort!$C257="","",INDEX(Pipeline_Calc!$I$2:$I$5251,Pipeline_Sort!$C257))</f>
        <v/>
      </c>
      <c r="I257" s="0" t="str">
        <f aca="false">IF(Pipeline_Sort!$C257="","",INDEX(Pipeline_Calc!$J$2:$J$5251,Pipeline_Sort!$C257))</f>
        <v/>
      </c>
    </row>
    <row r="258" customFormat="false" ht="15" hidden="false" customHeight="false" outlineLevel="0" collapsed="false">
      <c r="A258" s="33" t="str">
        <f aca="false">IF(Pipeline_Sort!$C258="","",INDEX(Pipeline_Calc!$B$2:$B$5251,Pipeline_Sort!$C258))</f>
        <v/>
      </c>
      <c r="B258" s="0" t="str">
        <f aca="false">IF(Pipeline_Sort!$C258="","",INDEX(Pipeline_Calc!$C$2:$C$5251,Pipeline_Sort!$C258))</f>
        <v/>
      </c>
      <c r="C258" s="0" t="str">
        <f aca="false">IF(Pipeline_Sort!$C258="","",INDEX(Pipeline_Calc!$D$2:$D$5251,Pipeline_Sort!$C258))</f>
        <v/>
      </c>
      <c r="D258" s="0" t="str">
        <f aca="false">IF(Pipeline_Sort!$C258="","",INDEX(Pipeline_Calc!$E$2:$E$5251,Pipeline_Sort!$C258))</f>
        <v/>
      </c>
      <c r="E258" s="0" t="str">
        <f aca="false">IF(Pipeline_Sort!$C258="","",INDEX(Pipeline_Calc!$F$2:$F$5251,Pipeline_Sort!$C258))</f>
        <v/>
      </c>
      <c r="F258" s="0" t="str">
        <f aca="false">IF(Pipeline_Sort!$C258="","",INDEX(Pipeline_Calc!$G$2:$G$5251,Pipeline_Sort!$C258))</f>
        <v/>
      </c>
      <c r="G258" s="0" t="str">
        <f aca="false">IF(Pipeline_Sort!$C258="","",INDEX(Pipeline_Calc!$H$2:$H$5251,Pipeline_Sort!$C258))</f>
        <v/>
      </c>
      <c r="H258" s="0" t="str">
        <f aca="false">IF(Pipeline_Sort!$C258="","",INDEX(Pipeline_Calc!$I$2:$I$5251,Pipeline_Sort!$C258))</f>
        <v/>
      </c>
      <c r="I258" s="0" t="str">
        <f aca="false">IF(Pipeline_Sort!$C258="","",INDEX(Pipeline_Calc!$J$2:$J$5251,Pipeline_Sort!$C258))</f>
        <v/>
      </c>
    </row>
    <row r="259" customFormat="false" ht="15" hidden="false" customHeight="false" outlineLevel="0" collapsed="false">
      <c r="A259" s="33" t="str">
        <f aca="false">IF(Pipeline_Sort!$C259="","",INDEX(Pipeline_Calc!$B$2:$B$5251,Pipeline_Sort!$C259))</f>
        <v/>
      </c>
      <c r="B259" s="0" t="str">
        <f aca="false">IF(Pipeline_Sort!$C259="","",INDEX(Pipeline_Calc!$C$2:$C$5251,Pipeline_Sort!$C259))</f>
        <v/>
      </c>
      <c r="C259" s="0" t="str">
        <f aca="false">IF(Pipeline_Sort!$C259="","",INDEX(Pipeline_Calc!$D$2:$D$5251,Pipeline_Sort!$C259))</f>
        <v/>
      </c>
      <c r="D259" s="0" t="str">
        <f aca="false">IF(Pipeline_Sort!$C259="","",INDEX(Pipeline_Calc!$E$2:$E$5251,Pipeline_Sort!$C259))</f>
        <v/>
      </c>
      <c r="E259" s="0" t="str">
        <f aca="false">IF(Pipeline_Sort!$C259="","",INDEX(Pipeline_Calc!$F$2:$F$5251,Pipeline_Sort!$C259))</f>
        <v/>
      </c>
      <c r="F259" s="0" t="str">
        <f aca="false">IF(Pipeline_Sort!$C259="","",INDEX(Pipeline_Calc!$G$2:$G$5251,Pipeline_Sort!$C259))</f>
        <v/>
      </c>
      <c r="G259" s="0" t="str">
        <f aca="false">IF(Pipeline_Sort!$C259="","",INDEX(Pipeline_Calc!$H$2:$H$5251,Pipeline_Sort!$C259))</f>
        <v/>
      </c>
      <c r="H259" s="0" t="str">
        <f aca="false">IF(Pipeline_Sort!$C259="","",INDEX(Pipeline_Calc!$I$2:$I$5251,Pipeline_Sort!$C259))</f>
        <v/>
      </c>
      <c r="I259" s="0" t="str">
        <f aca="false">IF(Pipeline_Sort!$C259="","",INDEX(Pipeline_Calc!$J$2:$J$5251,Pipeline_Sort!$C259))</f>
        <v/>
      </c>
    </row>
    <row r="260" customFormat="false" ht="15" hidden="false" customHeight="false" outlineLevel="0" collapsed="false">
      <c r="A260" s="33" t="str">
        <f aca="false">IF(Pipeline_Sort!$C260="","",INDEX(Pipeline_Calc!$B$2:$B$5251,Pipeline_Sort!$C260))</f>
        <v/>
      </c>
      <c r="B260" s="0" t="str">
        <f aca="false">IF(Pipeline_Sort!$C260="","",INDEX(Pipeline_Calc!$C$2:$C$5251,Pipeline_Sort!$C260))</f>
        <v/>
      </c>
      <c r="C260" s="0" t="str">
        <f aca="false">IF(Pipeline_Sort!$C260="","",INDEX(Pipeline_Calc!$D$2:$D$5251,Pipeline_Sort!$C260))</f>
        <v/>
      </c>
      <c r="D260" s="0" t="str">
        <f aca="false">IF(Pipeline_Sort!$C260="","",INDEX(Pipeline_Calc!$E$2:$E$5251,Pipeline_Sort!$C260))</f>
        <v/>
      </c>
      <c r="E260" s="0" t="str">
        <f aca="false">IF(Pipeline_Sort!$C260="","",INDEX(Pipeline_Calc!$F$2:$F$5251,Pipeline_Sort!$C260))</f>
        <v/>
      </c>
      <c r="F260" s="0" t="str">
        <f aca="false">IF(Pipeline_Sort!$C260="","",INDEX(Pipeline_Calc!$G$2:$G$5251,Pipeline_Sort!$C260))</f>
        <v/>
      </c>
      <c r="G260" s="0" t="str">
        <f aca="false">IF(Pipeline_Sort!$C260="","",INDEX(Pipeline_Calc!$H$2:$H$5251,Pipeline_Sort!$C260))</f>
        <v/>
      </c>
      <c r="H260" s="0" t="str">
        <f aca="false">IF(Pipeline_Sort!$C260="","",INDEX(Pipeline_Calc!$I$2:$I$5251,Pipeline_Sort!$C260))</f>
        <v/>
      </c>
      <c r="I260" s="0" t="str">
        <f aca="false">IF(Pipeline_Sort!$C260="","",INDEX(Pipeline_Calc!$J$2:$J$5251,Pipeline_Sort!$C260))</f>
        <v/>
      </c>
    </row>
    <row r="261" customFormat="false" ht="15" hidden="false" customHeight="false" outlineLevel="0" collapsed="false">
      <c r="A261" s="33" t="str">
        <f aca="false">IF(Pipeline_Sort!$C261="","",INDEX(Pipeline_Calc!$B$2:$B$5251,Pipeline_Sort!$C261))</f>
        <v/>
      </c>
      <c r="B261" s="0" t="str">
        <f aca="false">IF(Pipeline_Sort!$C261="","",INDEX(Pipeline_Calc!$C$2:$C$5251,Pipeline_Sort!$C261))</f>
        <v/>
      </c>
      <c r="C261" s="0" t="str">
        <f aca="false">IF(Pipeline_Sort!$C261="","",INDEX(Pipeline_Calc!$D$2:$D$5251,Pipeline_Sort!$C261))</f>
        <v/>
      </c>
      <c r="D261" s="0" t="str">
        <f aca="false">IF(Pipeline_Sort!$C261="","",INDEX(Pipeline_Calc!$E$2:$E$5251,Pipeline_Sort!$C261))</f>
        <v/>
      </c>
      <c r="E261" s="0" t="str">
        <f aca="false">IF(Pipeline_Sort!$C261="","",INDEX(Pipeline_Calc!$F$2:$F$5251,Pipeline_Sort!$C261))</f>
        <v/>
      </c>
      <c r="F261" s="0" t="str">
        <f aca="false">IF(Pipeline_Sort!$C261="","",INDEX(Pipeline_Calc!$G$2:$G$5251,Pipeline_Sort!$C261))</f>
        <v/>
      </c>
      <c r="G261" s="0" t="str">
        <f aca="false">IF(Pipeline_Sort!$C261="","",INDEX(Pipeline_Calc!$H$2:$H$5251,Pipeline_Sort!$C261))</f>
        <v/>
      </c>
      <c r="H261" s="0" t="str">
        <f aca="false">IF(Pipeline_Sort!$C261="","",INDEX(Pipeline_Calc!$I$2:$I$5251,Pipeline_Sort!$C261))</f>
        <v/>
      </c>
      <c r="I261" s="0" t="str">
        <f aca="false">IF(Pipeline_Sort!$C261="","",INDEX(Pipeline_Calc!$J$2:$J$5251,Pipeline_Sort!$C261))</f>
        <v/>
      </c>
    </row>
    <row r="262" customFormat="false" ht="15" hidden="false" customHeight="false" outlineLevel="0" collapsed="false">
      <c r="A262" s="33" t="str">
        <f aca="false">IF(Pipeline_Sort!$C262="","",INDEX(Pipeline_Calc!$B$2:$B$5251,Pipeline_Sort!$C262))</f>
        <v/>
      </c>
      <c r="B262" s="0" t="str">
        <f aca="false">IF(Pipeline_Sort!$C262="","",INDEX(Pipeline_Calc!$C$2:$C$5251,Pipeline_Sort!$C262))</f>
        <v/>
      </c>
      <c r="C262" s="0" t="str">
        <f aca="false">IF(Pipeline_Sort!$C262="","",INDEX(Pipeline_Calc!$D$2:$D$5251,Pipeline_Sort!$C262))</f>
        <v/>
      </c>
      <c r="D262" s="0" t="str">
        <f aca="false">IF(Pipeline_Sort!$C262="","",INDEX(Pipeline_Calc!$E$2:$E$5251,Pipeline_Sort!$C262))</f>
        <v/>
      </c>
      <c r="E262" s="0" t="str">
        <f aca="false">IF(Pipeline_Sort!$C262="","",INDEX(Pipeline_Calc!$F$2:$F$5251,Pipeline_Sort!$C262))</f>
        <v/>
      </c>
      <c r="F262" s="0" t="str">
        <f aca="false">IF(Pipeline_Sort!$C262="","",INDEX(Pipeline_Calc!$G$2:$G$5251,Pipeline_Sort!$C262))</f>
        <v/>
      </c>
      <c r="G262" s="0" t="str">
        <f aca="false">IF(Pipeline_Sort!$C262="","",INDEX(Pipeline_Calc!$H$2:$H$5251,Pipeline_Sort!$C262))</f>
        <v/>
      </c>
      <c r="H262" s="0" t="str">
        <f aca="false">IF(Pipeline_Sort!$C262="","",INDEX(Pipeline_Calc!$I$2:$I$5251,Pipeline_Sort!$C262))</f>
        <v/>
      </c>
      <c r="I262" s="0" t="str">
        <f aca="false">IF(Pipeline_Sort!$C262="","",INDEX(Pipeline_Calc!$J$2:$J$5251,Pipeline_Sort!$C262))</f>
        <v/>
      </c>
    </row>
    <row r="263" customFormat="false" ht="15" hidden="false" customHeight="false" outlineLevel="0" collapsed="false">
      <c r="A263" s="33" t="str">
        <f aca="false">IF(Pipeline_Sort!$C263="","",INDEX(Pipeline_Calc!$B$2:$B$5251,Pipeline_Sort!$C263))</f>
        <v/>
      </c>
      <c r="B263" s="0" t="str">
        <f aca="false">IF(Pipeline_Sort!$C263="","",INDEX(Pipeline_Calc!$C$2:$C$5251,Pipeline_Sort!$C263))</f>
        <v/>
      </c>
      <c r="C263" s="0" t="str">
        <f aca="false">IF(Pipeline_Sort!$C263="","",INDEX(Pipeline_Calc!$D$2:$D$5251,Pipeline_Sort!$C263))</f>
        <v/>
      </c>
      <c r="D263" s="0" t="str">
        <f aca="false">IF(Pipeline_Sort!$C263="","",INDEX(Pipeline_Calc!$E$2:$E$5251,Pipeline_Sort!$C263))</f>
        <v/>
      </c>
      <c r="E263" s="0" t="str">
        <f aca="false">IF(Pipeline_Sort!$C263="","",INDEX(Pipeline_Calc!$F$2:$F$5251,Pipeline_Sort!$C263))</f>
        <v/>
      </c>
      <c r="F263" s="0" t="str">
        <f aca="false">IF(Pipeline_Sort!$C263="","",INDEX(Pipeline_Calc!$G$2:$G$5251,Pipeline_Sort!$C263))</f>
        <v/>
      </c>
      <c r="G263" s="0" t="str">
        <f aca="false">IF(Pipeline_Sort!$C263="","",INDEX(Pipeline_Calc!$H$2:$H$5251,Pipeline_Sort!$C263))</f>
        <v/>
      </c>
      <c r="H263" s="0" t="str">
        <f aca="false">IF(Pipeline_Sort!$C263="","",INDEX(Pipeline_Calc!$I$2:$I$5251,Pipeline_Sort!$C263))</f>
        <v/>
      </c>
      <c r="I263" s="0" t="str">
        <f aca="false">IF(Pipeline_Sort!$C263="","",INDEX(Pipeline_Calc!$J$2:$J$5251,Pipeline_Sort!$C263))</f>
        <v/>
      </c>
    </row>
    <row r="264" customFormat="false" ht="15" hidden="false" customHeight="false" outlineLevel="0" collapsed="false">
      <c r="A264" s="33" t="str">
        <f aca="false">IF(Pipeline_Sort!$C264="","",INDEX(Pipeline_Calc!$B$2:$B$5251,Pipeline_Sort!$C264))</f>
        <v/>
      </c>
      <c r="B264" s="0" t="str">
        <f aca="false">IF(Pipeline_Sort!$C264="","",INDEX(Pipeline_Calc!$C$2:$C$5251,Pipeline_Sort!$C264))</f>
        <v/>
      </c>
      <c r="C264" s="0" t="str">
        <f aca="false">IF(Pipeline_Sort!$C264="","",INDEX(Pipeline_Calc!$D$2:$D$5251,Pipeline_Sort!$C264))</f>
        <v/>
      </c>
      <c r="D264" s="0" t="str">
        <f aca="false">IF(Pipeline_Sort!$C264="","",INDEX(Pipeline_Calc!$E$2:$E$5251,Pipeline_Sort!$C264))</f>
        <v/>
      </c>
      <c r="E264" s="0" t="str">
        <f aca="false">IF(Pipeline_Sort!$C264="","",INDEX(Pipeline_Calc!$F$2:$F$5251,Pipeline_Sort!$C264))</f>
        <v/>
      </c>
      <c r="F264" s="0" t="str">
        <f aca="false">IF(Pipeline_Sort!$C264="","",INDEX(Pipeline_Calc!$G$2:$G$5251,Pipeline_Sort!$C264))</f>
        <v/>
      </c>
      <c r="G264" s="0" t="str">
        <f aca="false">IF(Pipeline_Sort!$C264="","",INDEX(Pipeline_Calc!$H$2:$H$5251,Pipeline_Sort!$C264))</f>
        <v/>
      </c>
      <c r="H264" s="0" t="str">
        <f aca="false">IF(Pipeline_Sort!$C264="","",INDEX(Pipeline_Calc!$I$2:$I$5251,Pipeline_Sort!$C264))</f>
        <v/>
      </c>
      <c r="I264" s="0" t="str">
        <f aca="false">IF(Pipeline_Sort!$C264="","",INDEX(Pipeline_Calc!$J$2:$J$5251,Pipeline_Sort!$C264))</f>
        <v/>
      </c>
    </row>
    <row r="265" customFormat="false" ht="15" hidden="false" customHeight="false" outlineLevel="0" collapsed="false">
      <c r="A265" s="33" t="str">
        <f aca="false">IF(Pipeline_Sort!$C265="","",INDEX(Pipeline_Calc!$B$2:$B$5251,Pipeline_Sort!$C265))</f>
        <v/>
      </c>
      <c r="B265" s="0" t="str">
        <f aca="false">IF(Pipeline_Sort!$C265="","",INDEX(Pipeline_Calc!$C$2:$C$5251,Pipeline_Sort!$C265))</f>
        <v/>
      </c>
      <c r="C265" s="0" t="str">
        <f aca="false">IF(Pipeline_Sort!$C265="","",INDEX(Pipeline_Calc!$D$2:$D$5251,Pipeline_Sort!$C265))</f>
        <v/>
      </c>
      <c r="D265" s="0" t="str">
        <f aca="false">IF(Pipeline_Sort!$C265="","",INDEX(Pipeline_Calc!$E$2:$E$5251,Pipeline_Sort!$C265))</f>
        <v/>
      </c>
      <c r="E265" s="0" t="str">
        <f aca="false">IF(Pipeline_Sort!$C265="","",INDEX(Pipeline_Calc!$F$2:$F$5251,Pipeline_Sort!$C265))</f>
        <v/>
      </c>
      <c r="F265" s="0" t="str">
        <f aca="false">IF(Pipeline_Sort!$C265="","",INDEX(Pipeline_Calc!$G$2:$G$5251,Pipeline_Sort!$C265))</f>
        <v/>
      </c>
      <c r="G265" s="0" t="str">
        <f aca="false">IF(Pipeline_Sort!$C265="","",INDEX(Pipeline_Calc!$H$2:$H$5251,Pipeline_Sort!$C265))</f>
        <v/>
      </c>
      <c r="H265" s="0" t="str">
        <f aca="false">IF(Pipeline_Sort!$C265="","",INDEX(Pipeline_Calc!$I$2:$I$5251,Pipeline_Sort!$C265))</f>
        <v/>
      </c>
      <c r="I265" s="0" t="str">
        <f aca="false">IF(Pipeline_Sort!$C265="","",INDEX(Pipeline_Calc!$J$2:$J$5251,Pipeline_Sort!$C265))</f>
        <v/>
      </c>
    </row>
    <row r="266" customFormat="false" ht="15" hidden="false" customHeight="false" outlineLevel="0" collapsed="false">
      <c r="A266" s="33" t="str">
        <f aca="false">IF(Pipeline_Sort!$C266="","",INDEX(Pipeline_Calc!$B$2:$B$5251,Pipeline_Sort!$C266))</f>
        <v/>
      </c>
      <c r="B266" s="0" t="str">
        <f aca="false">IF(Pipeline_Sort!$C266="","",INDEX(Pipeline_Calc!$C$2:$C$5251,Pipeline_Sort!$C266))</f>
        <v/>
      </c>
      <c r="C266" s="0" t="str">
        <f aca="false">IF(Pipeline_Sort!$C266="","",INDEX(Pipeline_Calc!$D$2:$D$5251,Pipeline_Sort!$C266))</f>
        <v/>
      </c>
      <c r="D266" s="0" t="str">
        <f aca="false">IF(Pipeline_Sort!$C266="","",INDEX(Pipeline_Calc!$E$2:$E$5251,Pipeline_Sort!$C266))</f>
        <v/>
      </c>
      <c r="E266" s="0" t="str">
        <f aca="false">IF(Pipeline_Sort!$C266="","",INDEX(Pipeline_Calc!$F$2:$F$5251,Pipeline_Sort!$C266))</f>
        <v/>
      </c>
      <c r="F266" s="0" t="str">
        <f aca="false">IF(Pipeline_Sort!$C266="","",INDEX(Pipeline_Calc!$G$2:$G$5251,Pipeline_Sort!$C266))</f>
        <v/>
      </c>
      <c r="G266" s="0" t="str">
        <f aca="false">IF(Pipeline_Sort!$C266="","",INDEX(Pipeline_Calc!$H$2:$H$5251,Pipeline_Sort!$C266))</f>
        <v/>
      </c>
      <c r="H266" s="0" t="str">
        <f aca="false">IF(Pipeline_Sort!$C266="","",INDEX(Pipeline_Calc!$I$2:$I$5251,Pipeline_Sort!$C266))</f>
        <v/>
      </c>
      <c r="I266" s="0" t="str">
        <f aca="false">IF(Pipeline_Sort!$C266="","",INDEX(Pipeline_Calc!$J$2:$J$5251,Pipeline_Sort!$C266))</f>
        <v/>
      </c>
    </row>
    <row r="267" customFormat="false" ht="15" hidden="false" customHeight="false" outlineLevel="0" collapsed="false">
      <c r="A267" s="33" t="str">
        <f aca="false">IF(Pipeline_Sort!$C267="","",INDEX(Pipeline_Calc!$B$2:$B$5251,Pipeline_Sort!$C267))</f>
        <v/>
      </c>
      <c r="B267" s="0" t="str">
        <f aca="false">IF(Pipeline_Sort!$C267="","",INDEX(Pipeline_Calc!$C$2:$C$5251,Pipeline_Sort!$C267))</f>
        <v/>
      </c>
      <c r="C267" s="0" t="str">
        <f aca="false">IF(Pipeline_Sort!$C267="","",INDEX(Pipeline_Calc!$D$2:$D$5251,Pipeline_Sort!$C267))</f>
        <v/>
      </c>
      <c r="D267" s="0" t="str">
        <f aca="false">IF(Pipeline_Sort!$C267="","",INDEX(Pipeline_Calc!$E$2:$E$5251,Pipeline_Sort!$C267))</f>
        <v/>
      </c>
      <c r="E267" s="0" t="str">
        <f aca="false">IF(Pipeline_Sort!$C267="","",INDEX(Pipeline_Calc!$F$2:$F$5251,Pipeline_Sort!$C267))</f>
        <v/>
      </c>
      <c r="F267" s="0" t="str">
        <f aca="false">IF(Pipeline_Sort!$C267="","",INDEX(Pipeline_Calc!$G$2:$G$5251,Pipeline_Sort!$C267))</f>
        <v/>
      </c>
      <c r="G267" s="0" t="str">
        <f aca="false">IF(Pipeline_Sort!$C267="","",INDEX(Pipeline_Calc!$H$2:$H$5251,Pipeline_Sort!$C267))</f>
        <v/>
      </c>
      <c r="H267" s="0" t="str">
        <f aca="false">IF(Pipeline_Sort!$C267="","",INDEX(Pipeline_Calc!$I$2:$I$5251,Pipeline_Sort!$C267))</f>
        <v/>
      </c>
      <c r="I267" s="0" t="str">
        <f aca="false">IF(Pipeline_Sort!$C267="","",INDEX(Pipeline_Calc!$J$2:$J$5251,Pipeline_Sort!$C267))</f>
        <v/>
      </c>
    </row>
    <row r="268" customFormat="false" ht="15" hidden="false" customHeight="false" outlineLevel="0" collapsed="false">
      <c r="A268" s="33" t="str">
        <f aca="false">IF(Pipeline_Sort!$C268="","",INDEX(Pipeline_Calc!$B$2:$B$5251,Pipeline_Sort!$C268))</f>
        <v/>
      </c>
      <c r="B268" s="0" t="str">
        <f aca="false">IF(Pipeline_Sort!$C268="","",INDEX(Pipeline_Calc!$C$2:$C$5251,Pipeline_Sort!$C268))</f>
        <v/>
      </c>
      <c r="C268" s="0" t="str">
        <f aca="false">IF(Pipeline_Sort!$C268="","",INDEX(Pipeline_Calc!$D$2:$D$5251,Pipeline_Sort!$C268))</f>
        <v/>
      </c>
      <c r="D268" s="0" t="str">
        <f aca="false">IF(Pipeline_Sort!$C268="","",INDEX(Pipeline_Calc!$E$2:$E$5251,Pipeline_Sort!$C268))</f>
        <v/>
      </c>
      <c r="E268" s="0" t="str">
        <f aca="false">IF(Pipeline_Sort!$C268="","",INDEX(Pipeline_Calc!$F$2:$F$5251,Pipeline_Sort!$C268))</f>
        <v/>
      </c>
      <c r="F268" s="0" t="str">
        <f aca="false">IF(Pipeline_Sort!$C268="","",INDEX(Pipeline_Calc!$G$2:$G$5251,Pipeline_Sort!$C268))</f>
        <v/>
      </c>
      <c r="G268" s="0" t="str">
        <f aca="false">IF(Pipeline_Sort!$C268="","",INDEX(Pipeline_Calc!$H$2:$H$5251,Pipeline_Sort!$C268))</f>
        <v/>
      </c>
      <c r="H268" s="0" t="str">
        <f aca="false">IF(Pipeline_Sort!$C268="","",INDEX(Pipeline_Calc!$I$2:$I$5251,Pipeline_Sort!$C268))</f>
        <v/>
      </c>
      <c r="I268" s="0" t="str">
        <f aca="false">IF(Pipeline_Sort!$C268="","",INDEX(Pipeline_Calc!$J$2:$J$5251,Pipeline_Sort!$C268))</f>
        <v/>
      </c>
    </row>
    <row r="269" customFormat="false" ht="15" hidden="false" customHeight="false" outlineLevel="0" collapsed="false">
      <c r="A269" s="33" t="str">
        <f aca="false">IF(Pipeline_Sort!$C269="","",INDEX(Pipeline_Calc!$B$2:$B$5251,Pipeline_Sort!$C269))</f>
        <v/>
      </c>
      <c r="B269" s="0" t="str">
        <f aca="false">IF(Pipeline_Sort!$C269="","",INDEX(Pipeline_Calc!$C$2:$C$5251,Pipeline_Sort!$C269))</f>
        <v/>
      </c>
      <c r="C269" s="0" t="str">
        <f aca="false">IF(Pipeline_Sort!$C269="","",INDEX(Pipeline_Calc!$D$2:$D$5251,Pipeline_Sort!$C269))</f>
        <v/>
      </c>
      <c r="D269" s="0" t="str">
        <f aca="false">IF(Pipeline_Sort!$C269="","",INDEX(Pipeline_Calc!$E$2:$E$5251,Pipeline_Sort!$C269))</f>
        <v/>
      </c>
      <c r="E269" s="0" t="str">
        <f aca="false">IF(Pipeline_Sort!$C269="","",INDEX(Pipeline_Calc!$F$2:$F$5251,Pipeline_Sort!$C269))</f>
        <v/>
      </c>
      <c r="F269" s="0" t="str">
        <f aca="false">IF(Pipeline_Sort!$C269="","",INDEX(Pipeline_Calc!$G$2:$G$5251,Pipeline_Sort!$C269))</f>
        <v/>
      </c>
      <c r="G269" s="0" t="str">
        <f aca="false">IF(Pipeline_Sort!$C269="","",INDEX(Pipeline_Calc!$H$2:$H$5251,Pipeline_Sort!$C269))</f>
        <v/>
      </c>
      <c r="H269" s="0" t="str">
        <f aca="false">IF(Pipeline_Sort!$C269="","",INDEX(Pipeline_Calc!$I$2:$I$5251,Pipeline_Sort!$C269))</f>
        <v/>
      </c>
      <c r="I269" s="0" t="str">
        <f aca="false">IF(Pipeline_Sort!$C269="","",INDEX(Pipeline_Calc!$J$2:$J$5251,Pipeline_Sort!$C269))</f>
        <v/>
      </c>
    </row>
    <row r="270" customFormat="false" ht="15" hidden="false" customHeight="false" outlineLevel="0" collapsed="false">
      <c r="A270" s="33" t="str">
        <f aca="false">IF(Pipeline_Sort!$C270="","",INDEX(Pipeline_Calc!$B$2:$B$5251,Pipeline_Sort!$C270))</f>
        <v/>
      </c>
      <c r="B270" s="0" t="str">
        <f aca="false">IF(Pipeline_Sort!$C270="","",INDEX(Pipeline_Calc!$C$2:$C$5251,Pipeline_Sort!$C270))</f>
        <v/>
      </c>
      <c r="C270" s="0" t="str">
        <f aca="false">IF(Pipeline_Sort!$C270="","",INDEX(Pipeline_Calc!$D$2:$D$5251,Pipeline_Sort!$C270))</f>
        <v/>
      </c>
      <c r="D270" s="0" t="str">
        <f aca="false">IF(Pipeline_Sort!$C270="","",INDEX(Pipeline_Calc!$E$2:$E$5251,Pipeline_Sort!$C270))</f>
        <v/>
      </c>
      <c r="E270" s="0" t="str">
        <f aca="false">IF(Pipeline_Sort!$C270="","",INDEX(Pipeline_Calc!$F$2:$F$5251,Pipeline_Sort!$C270))</f>
        <v/>
      </c>
      <c r="F270" s="0" t="str">
        <f aca="false">IF(Pipeline_Sort!$C270="","",INDEX(Pipeline_Calc!$G$2:$G$5251,Pipeline_Sort!$C270))</f>
        <v/>
      </c>
      <c r="G270" s="0" t="str">
        <f aca="false">IF(Pipeline_Sort!$C270="","",INDEX(Pipeline_Calc!$H$2:$H$5251,Pipeline_Sort!$C270))</f>
        <v/>
      </c>
      <c r="H270" s="0" t="str">
        <f aca="false">IF(Pipeline_Sort!$C270="","",INDEX(Pipeline_Calc!$I$2:$I$5251,Pipeline_Sort!$C270))</f>
        <v/>
      </c>
      <c r="I270" s="0" t="str">
        <f aca="false">IF(Pipeline_Sort!$C270="","",INDEX(Pipeline_Calc!$J$2:$J$5251,Pipeline_Sort!$C270))</f>
        <v/>
      </c>
    </row>
    <row r="271" customFormat="false" ht="15" hidden="false" customHeight="false" outlineLevel="0" collapsed="false">
      <c r="A271" s="33" t="str">
        <f aca="false">IF(Pipeline_Sort!$C271="","",INDEX(Pipeline_Calc!$B$2:$B$5251,Pipeline_Sort!$C271))</f>
        <v/>
      </c>
      <c r="B271" s="0" t="str">
        <f aca="false">IF(Pipeline_Sort!$C271="","",INDEX(Pipeline_Calc!$C$2:$C$5251,Pipeline_Sort!$C271))</f>
        <v/>
      </c>
      <c r="C271" s="0" t="str">
        <f aca="false">IF(Pipeline_Sort!$C271="","",INDEX(Pipeline_Calc!$D$2:$D$5251,Pipeline_Sort!$C271))</f>
        <v/>
      </c>
      <c r="D271" s="0" t="str">
        <f aca="false">IF(Pipeline_Sort!$C271="","",INDEX(Pipeline_Calc!$E$2:$E$5251,Pipeline_Sort!$C271))</f>
        <v/>
      </c>
      <c r="E271" s="0" t="str">
        <f aca="false">IF(Pipeline_Sort!$C271="","",INDEX(Pipeline_Calc!$F$2:$F$5251,Pipeline_Sort!$C271))</f>
        <v/>
      </c>
      <c r="F271" s="0" t="str">
        <f aca="false">IF(Pipeline_Sort!$C271="","",INDEX(Pipeline_Calc!$G$2:$G$5251,Pipeline_Sort!$C271))</f>
        <v/>
      </c>
      <c r="G271" s="0" t="str">
        <f aca="false">IF(Pipeline_Sort!$C271="","",INDEX(Pipeline_Calc!$H$2:$H$5251,Pipeline_Sort!$C271))</f>
        <v/>
      </c>
      <c r="H271" s="0" t="str">
        <f aca="false">IF(Pipeline_Sort!$C271="","",INDEX(Pipeline_Calc!$I$2:$I$5251,Pipeline_Sort!$C271))</f>
        <v/>
      </c>
      <c r="I271" s="0" t="str">
        <f aca="false">IF(Pipeline_Sort!$C271="","",INDEX(Pipeline_Calc!$J$2:$J$5251,Pipeline_Sort!$C271))</f>
        <v/>
      </c>
    </row>
    <row r="272" customFormat="false" ht="15" hidden="false" customHeight="false" outlineLevel="0" collapsed="false">
      <c r="A272" s="33" t="str">
        <f aca="false">IF(Pipeline_Sort!$C272="","",INDEX(Pipeline_Calc!$B$2:$B$5251,Pipeline_Sort!$C272))</f>
        <v/>
      </c>
      <c r="B272" s="0" t="str">
        <f aca="false">IF(Pipeline_Sort!$C272="","",INDEX(Pipeline_Calc!$C$2:$C$5251,Pipeline_Sort!$C272))</f>
        <v/>
      </c>
      <c r="C272" s="0" t="str">
        <f aca="false">IF(Pipeline_Sort!$C272="","",INDEX(Pipeline_Calc!$D$2:$D$5251,Pipeline_Sort!$C272))</f>
        <v/>
      </c>
      <c r="D272" s="0" t="str">
        <f aca="false">IF(Pipeline_Sort!$C272="","",INDEX(Pipeline_Calc!$E$2:$E$5251,Pipeline_Sort!$C272))</f>
        <v/>
      </c>
      <c r="E272" s="0" t="str">
        <f aca="false">IF(Pipeline_Sort!$C272="","",INDEX(Pipeline_Calc!$F$2:$F$5251,Pipeline_Sort!$C272))</f>
        <v/>
      </c>
      <c r="F272" s="0" t="str">
        <f aca="false">IF(Pipeline_Sort!$C272="","",INDEX(Pipeline_Calc!$G$2:$G$5251,Pipeline_Sort!$C272))</f>
        <v/>
      </c>
      <c r="G272" s="0" t="str">
        <f aca="false">IF(Pipeline_Sort!$C272="","",INDEX(Pipeline_Calc!$H$2:$H$5251,Pipeline_Sort!$C272))</f>
        <v/>
      </c>
      <c r="H272" s="0" t="str">
        <f aca="false">IF(Pipeline_Sort!$C272="","",INDEX(Pipeline_Calc!$I$2:$I$5251,Pipeline_Sort!$C272))</f>
        <v/>
      </c>
      <c r="I272" s="0" t="str">
        <f aca="false">IF(Pipeline_Sort!$C272="","",INDEX(Pipeline_Calc!$J$2:$J$5251,Pipeline_Sort!$C272))</f>
        <v/>
      </c>
    </row>
    <row r="273" customFormat="false" ht="15" hidden="false" customHeight="false" outlineLevel="0" collapsed="false">
      <c r="A273" s="33" t="str">
        <f aca="false">IF(Pipeline_Sort!$C273="","",INDEX(Pipeline_Calc!$B$2:$B$5251,Pipeline_Sort!$C273))</f>
        <v/>
      </c>
      <c r="B273" s="0" t="str">
        <f aca="false">IF(Pipeline_Sort!$C273="","",INDEX(Pipeline_Calc!$C$2:$C$5251,Pipeline_Sort!$C273))</f>
        <v/>
      </c>
      <c r="C273" s="0" t="str">
        <f aca="false">IF(Pipeline_Sort!$C273="","",INDEX(Pipeline_Calc!$D$2:$D$5251,Pipeline_Sort!$C273))</f>
        <v/>
      </c>
      <c r="D273" s="0" t="str">
        <f aca="false">IF(Pipeline_Sort!$C273="","",INDEX(Pipeline_Calc!$E$2:$E$5251,Pipeline_Sort!$C273))</f>
        <v/>
      </c>
      <c r="E273" s="0" t="str">
        <f aca="false">IF(Pipeline_Sort!$C273="","",INDEX(Pipeline_Calc!$F$2:$F$5251,Pipeline_Sort!$C273))</f>
        <v/>
      </c>
      <c r="F273" s="0" t="str">
        <f aca="false">IF(Pipeline_Sort!$C273="","",INDEX(Pipeline_Calc!$G$2:$G$5251,Pipeline_Sort!$C273))</f>
        <v/>
      </c>
      <c r="G273" s="0" t="str">
        <f aca="false">IF(Pipeline_Sort!$C273="","",INDEX(Pipeline_Calc!$H$2:$H$5251,Pipeline_Sort!$C273))</f>
        <v/>
      </c>
      <c r="H273" s="0" t="str">
        <f aca="false">IF(Pipeline_Sort!$C273="","",INDEX(Pipeline_Calc!$I$2:$I$5251,Pipeline_Sort!$C273))</f>
        <v/>
      </c>
      <c r="I273" s="0" t="str">
        <f aca="false">IF(Pipeline_Sort!$C273="","",INDEX(Pipeline_Calc!$J$2:$J$5251,Pipeline_Sort!$C273))</f>
        <v/>
      </c>
    </row>
    <row r="274" customFormat="false" ht="15" hidden="false" customHeight="false" outlineLevel="0" collapsed="false">
      <c r="A274" s="33" t="str">
        <f aca="false">IF(Pipeline_Sort!$C274="","",INDEX(Pipeline_Calc!$B$2:$B$5251,Pipeline_Sort!$C274))</f>
        <v/>
      </c>
      <c r="B274" s="0" t="str">
        <f aca="false">IF(Pipeline_Sort!$C274="","",INDEX(Pipeline_Calc!$C$2:$C$5251,Pipeline_Sort!$C274))</f>
        <v/>
      </c>
      <c r="C274" s="0" t="str">
        <f aca="false">IF(Pipeline_Sort!$C274="","",INDEX(Pipeline_Calc!$D$2:$D$5251,Pipeline_Sort!$C274))</f>
        <v/>
      </c>
      <c r="D274" s="0" t="str">
        <f aca="false">IF(Pipeline_Sort!$C274="","",INDEX(Pipeline_Calc!$E$2:$E$5251,Pipeline_Sort!$C274))</f>
        <v/>
      </c>
      <c r="E274" s="0" t="str">
        <f aca="false">IF(Pipeline_Sort!$C274="","",INDEX(Pipeline_Calc!$F$2:$F$5251,Pipeline_Sort!$C274))</f>
        <v/>
      </c>
      <c r="F274" s="0" t="str">
        <f aca="false">IF(Pipeline_Sort!$C274="","",INDEX(Pipeline_Calc!$G$2:$G$5251,Pipeline_Sort!$C274))</f>
        <v/>
      </c>
      <c r="G274" s="0" t="str">
        <f aca="false">IF(Pipeline_Sort!$C274="","",INDEX(Pipeline_Calc!$H$2:$H$5251,Pipeline_Sort!$C274))</f>
        <v/>
      </c>
      <c r="H274" s="0" t="str">
        <f aca="false">IF(Pipeline_Sort!$C274="","",INDEX(Pipeline_Calc!$I$2:$I$5251,Pipeline_Sort!$C274))</f>
        <v/>
      </c>
      <c r="I274" s="0" t="str">
        <f aca="false">IF(Pipeline_Sort!$C274="","",INDEX(Pipeline_Calc!$J$2:$J$5251,Pipeline_Sort!$C274))</f>
        <v/>
      </c>
    </row>
    <row r="275" customFormat="false" ht="15" hidden="false" customHeight="false" outlineLevel="0" collapsed="false">
      <c r="A275" s="33" t="str">
        <f aca="false">IF(Pipeline_Sort!$C275="","",INDEX(Pipeline_Calc!$B$2:$B$5251,Pipeline_Sort!$C275))</f>
        <v/>
      </c>
      <c r="B275" s="0" t="str">
        <f aca="false">IF(Pipeline_Sort!$C275="","",INDEX(Pipeline_Calc!$C$2:$C$5251,Pipeline_Sort!$C275))</f>
        <v/>
      </c>
      <c r="C275" s="0" t="str">
        <f aca="false">IF(Pipeline_Sort!$C275="","",INDEX(Pipeline_Calc!$D$2:$D$5251,Pipeline_Sort!$C275))</f>
        <v/>
      </c>
      <c r="D275" s="0" t="str">
        <f aca="false">IF(Pipeline_Sort!$C275="","",INDEX(Pipeline_Calc!$E$2:$E$5251,Pipeline_Sort!$C275))</f>
        <v/>
      </c>
      <c r="E275" s="0" t="str">
        <f aca="false">IF(Pipeline_Sort!$C275="","",INDEX(Pipeline_Calc!$F$2:$F$5251,Pipeline_Sort!$C275))</f>
        <v/>
      </c>
      <c r="F275" s="0" t="str">
        <f aca="false">IF(Pipeline_Sort!$C275="","",INDEX(Pipeline_Calc!$G$2:$G$5251,Pipeline_Sort!$C275))</f>
        <v/>
      </c>
      <c r="G275" s="0" t="str">
        <f aca="false">IF(Pipeline_Sort!$C275="","",INDEX(Pipeline_Calc!$H$2:$H$5251,Pipeline_Sort!$C275))</f>
        <v/>
      </c>
      <c r="H275" s="0" t="str">
        <f aca="false">IF(Pipeline_Sort!$C275="","",INDEX(Pipeline_Calc!$I$2:$I$5251,Pipeline_Sort!$C275))</f>
        <v/>
      </c>
      <c r="I275" s="0" t="str">
        <f aca="false">IF(Pipeline_Sort!$C275="","",INDEX(Pipeline_Calc!$J$2:$J$5251,Pipeline_Sort!$C275))</f>
        <v/>
      </c>
    </row>
    <row r="276" customFormat="false" ht="15" hidden="false" customHeight="false" outlineLevel="0" collapsed="false">
      <c r="A276" s="33" t="str">
        <f aca="false">IF(Pipeline_Sort!$C276="","",INDEX(Pipeline_Calc!$B$2:$B$5251,Pipeline_Sort!$C276))</f>
        <v/>
      </c>
      <c r="B276" s="0" t="str">
        <f aca="false">IF(Pipeline_Sort!$C276="","",INDEX(Pipeline_Calc!$C$2:$C$5251,Pipeline_Sort!$C276))</f>
        <v/>
      </c>
      <c r="C276" s="0" t="str">
        <f aca="false">IF(Pipeline_Sort!$C276="","",INDEX(Pipeline_Calc!$D$2:$D$5251,Pipeline_Sort!$C276))</f>
        <v/>
      </c>
      <c r="D276" s="0" t="str">
        <f aca="false">IF(Pipeline_Sort!$C276="","",INDEX(Pipeline_Calc!$E$2:$E$5251,Pipeline_Sort!$C276))</f>
        <v/>
      </c>
      <c r="E276" s="0" t="str">
        <f aca="false">IF(Pipeline_Sort!$C276="","",INDEX(Pipeline_Calc!$F$2:$F$5251,Pipeline_Sort!$C276))</f>
        <v/>
      </c>
      <c r="F276" s="0" t="str">
        <f aca="false">IF(Pipeline_Sort!$C276="","",INDEX(Pipeline_Calc!$G$2:$G$5251,Pipeline_Sort!$C276))</f>
        <v/>
      </c>
      <c r="G276" s="0" t="str">
        <f aca="false">IF(Pipeline_Sort!$C276="","",INDEX(Pipeline_Calc!$H$2:$H$5251,Pipeline_Sort!$C276))</f>
        <v/>
      </c>
      <c r="H276" s="0" t="str">
        <f aca="false">IF(Pipeline_Sort!$C276="","",INDEX(Pipeline_Calc!$I$2:$I$5251,Pipeline_Sort!$C276))</f>
        <v/>
      </c>
      <c r="I276" s="0" t="str">
        <f aca="false">IF(Pipeline_Sort!$C276="","",INDEX(Pipeline_Calc!$J$2:$J$5251,Pipeline_Sort!$C276))</f>
        <v/>
      </c>
    </row>
    <row r="277" customFormat="false" ht="15" hidden="false" customHeight="false" outlineLevel="0" collapsed="false">
      <c r="A277" s="33" t="str">
        <f aca="false">IF(Pipeline_Sort!$C277="","",INDEX(Pipeline_Calc!$B$2:$B$5251,Pipeline_Sort!$C277))</f>
        <v/>
      </c>
      <c r="B277" s="0" t="str">
        <f aca="false">IF(Pipeline_Sort!$C277="","",INDEX(Pipeline_Calc!$C$2:$C$5251,Pipeline_Sort!$C277))</f>
        <v/>
      </c>
      <c r="C277" s="0" t="str">
        <f aca="false">IF(Pipeline_Sort!$C277="","",INDEX(Pipeline_Calc!$D$2:$D$5251,Pipeline_Sort!$C277))</f>
        <v/>
      </c>
      <c r="D277" s="0" t="str">
        <f aca="false">IF(Pipeline_Sort!$C277="","",INDEX(Pipeline_Calc!$E$2:$E$5251,Pipeline_Sort!$C277))</f>
        <v/>
      </c>
      <c r="E277" s="0" t="str">
        <f aca="false">IF(Pipeline_Sort!$C277="","",INDEX(Pipeline_Calc!$F$2:$F$5251,Pipeline_Sort!$C277))</f>
        <v/>
      </c>
      <c r="F277" s="0" t="str">
        <f aca="false">IF(Pipeline_Sort!$C277="","",INDEX(Pipeline_Calc!$G$2:$G$5251,Pipeline_Sort!$C277))</f>
        <v/>
      </c>
      <c r="G277" s="0" t="str">
        <f aca="false">IF(Pipeline_Sort!$C277="","",INDEX(Pipeline_Calc!$H$2:$H$5251,Pipeline_Sort!$C277))</f>
        <v/>
      </c>
      <c r="H277" s="0" t="str">
        <f aca="false">IF(Pipeline_Sort!$C277="","",INDEX(Pipeline_Calc!$I$2:$I$5251,Pipeline_Sort!$C277))</f>
        <v/>
      </c>
      <c r="I277" s="0" t="str">
        <f aca="false">IF(Pipeline_Sort!$C277="","",INDEX(Pipeline_Calc!$J$2:$J$5251,Pipeline_Sort!$C277))</f>
        <v/>
      </c>
    </row>
    <row r="278" customFormat="false" ht="15" hidden="false" customHeight="false" outlineLevel="0" collapsed="false">
      <c r="A278" s="33" t="str">
        <f aca="false">IF(Pipeline_Sort!$C278="","",INDEX(Pipeline_Calc!$B$2:$B$5251,Pipeline_Sort!$C278))</f>
        <v/>
      </c>
      <c r="B278" s="0" t="str">
        <f aca="false">IF(Pipeline_Sort!$C278="","",INDEX(Pipeline_Calc!$C$2:$C$5251,Pipeline_Sort!$C278))</f>
        <v/>
      </c>
      <c r="C278" s="0" t="str">
        <f aca="false">IF(Pipeline_Sort!$C278="","",INDEX(Pipeline_Calc!$D$2:$D$5251,Pipeline_Sort!$C278))</f>
        <v/>
      </c>
      <c r="D278" s="0" t="str">
        <f aca="false">IF(Pipeline_Sort!$C278="","",INDEX(Pipeline_Calc!$E$2:$E$5251,Pipeline_Sort!$C278))</f>
        <v/>
      </c>
      <c r="E278" s="0" t="str">
        <f aca="false">IF(Pipeline_Sort!$C278="","",INDEX(Pipeline_Calc!$F$2:$F$5251,Pipeline_Sort!$C278))</f>
        <v/>
      </c>
      <c r="F278" s="0" t="str">
        <f aca="false">IF(Pipeline_Sort!$C278="","",INDEX(Pipeline_Calc!$G$2:$G$5251,Pipeline_Sort!$C278))</f>
        <v/>
      </c>
      <c r="G278" s="0" t="str">
        <f aca="false">IF(Pipeline_Sort!$C278="","",INDEX(Pipeline_Calc!$H$2:$H$5251,Pipeline_Sort!$C278))</f>
        <v/>
      </c>
      <c r="H278" s="0" t="str">
        <f aca="false">IF(Pipeline_Sort!$C278="","",INDEX(Pipeline_Calc!$I$2:$I$5251,Pipeline_Sort!$C278))</f>
        <v/>
      </c>
      <c r="I278" s="0" t="str">
        <f aca="false">IF(Pipeline_Sort!$C278="","",INDEX(Pipeline_Calc!$J$2:$J$5251,Pipeline_Sort!$C278))</f>
        <v/>
      </c>
    </row>
    <row r="279" customFormat="false" ht="15" hidden="false" customHeight="false" outlineLevel="0" collapsed="false">
      <c r="A279" s="33" t="str">
        <f aca="false">IF(Pipeline_Sort!$C279="","",INDEX(Pipeline_Calc!$B$2:$B$5251,Pipeline_Sort!$C279))</f>
        <v/>
      </c>
      <c r="B279" s="0" t="str">
        <f aca="false">IF(Pipeline_Sort!$C279="","",INDEX(Pipeline_Calc!$C$2:$C$5251,Pipeline_Sort!$C279))</f>
        <v/>
      </c>
      <c r="C279" s="0" t="str">
        <f aca="false">IF(Pipeline_Sort!$C279="","",INDEX(Pipeline_Calc!$D$2:$D$5251,Pipeline_Sort!$C279))</f>
        <v/>
      </c>
      <c r="D279" s="0" t="str">
        <f aca="false">IF(Pipeline_Sort!$C279="","",INDEX(Pipeline_Calc!$E$2:$E$5251,Pipeline_Sort!$C279))</f>
        <v/>
      </c>
      <c r="E279" s="0" t="str">
        <f aca="false">IF(Pipeline_Sort!$C279="","",INDEX(Pipeline_Calc!$F$2:$F$5251,Pipeline_Sort!$C279))</f>
        <v/>
      </c>
      <c r="F279" s="0" t="str">
        <f aca="false">IF(Pipeline_Sort!$C279="","",INDEX(Pipeline_Calc!$G$2:$G$5251,Pipeline_Sort!$C279))</f>
        <v/>
      </c>
      <c r="G279" s="0" t="str">
        <f aca="false">IF(Pipeline_Sort!$C279="","",INDEX(Pipeline_Calc!$H$2:$H$5251,Pipeline_Sort!$C279))</f>
        <v/>
      </c>
      <c r="H279" s="0" t="str">
        <f aca="false">IF(Pipeline_Sort!$C279="","",INDEX(Pipeline_Calc!$I$2:$I$5251,Pipeline_Sort!$C279))</f>
        <v/>
      </c>
      <c r="I279" s="0" t="str">
        <f aca="false">IF(Pipeline_Sort!$C279="","",INDEX(Pipeline_Calc!$J$2:$J$5251,Pipeline_Sort!$C279))</f>
        <v/>
      </c>
    </row>
    <row r="280" customFormat="false" ht="15" hidden="false" customHeight="false" outlineLevel="0" collapsed="false">
      <c r="A280" s="33" t="str">
        <f aca="false">IF(Pipeline_Sort!$C280="","",INDEX(Pipeline_Calc!$B$2:$B$5251,Pipeline_Sort!$C280))</f>
        <v/>
      </c>
      <c r="B280" s="0" t="str">
        <f aca="false">IF(Pipeline_Sort!$C280="","",INDEX(Pipeline_Calc!$C$2:$C$5251,Pipeline_Sort!$C280))</f>
        <v/>
      </c>
      <c r="C280" s="0" t="str">
        <f aca="false">IF(Pipeline_Sort!$C280="","",INDEX(Pipeline_Calc!$D$2:$D$5251,Pipeline_Sort!$C280))</f>
        <v/>
      </c>
      <c r="D280" s="0" t="str">
        <f aca="false">IF(Pipeline_Sort!$C280="","",INDEX(Pipeline_Calc!$E$2:$E$5251,Pipeline_Sort!$C280))</f>
        <v/>
      </c>
      <c r="E280" s="0" t="str">
        <f aca="false">IF(Pipeline_Sort!$C280="","",INDEX(Pipeline_Calc!$F$2:$F$5251,Pipeline_Sort!$C280))</f>
        <v/>
      </c>
      <c r="F280" s="0" t="str">
        <f aca="false">IF(Pipeline_Sort!$C280="","",INDEX(Pipeline_Calc!$G$2:$G$5251,Pipeline_Sort!$C280))</f>
        <v/>
      </c>
      <c r="G280" s="0" t="str">
        <f aca="false">IF(Pipeline_Sort!$C280="","",INDEX(Pipeline_Calc!$H$2:$H$5251,Pipeline_Sort!$C280))</f>
        <v/>
      </c>
      <c r="H280" s="0" t="str">
        <f aca="false">IF(Pipeline_Sort!$C280="","",INDEX(Pipeline_Calc!$I$2:$I$5251,Pipeline_Sort!$C280))</f>
        <v/>
      </c>
      <c r="I280" s="0" t="str">
        <f aca="false">IF(Pipeline_Sort!$C280="","",INDEX(Pipeline_Calc!$J$2:$J$5251,Pipeline_Sort!$C280))</f>
        <v/>
      </c>
    </row>
    <row r="281" customFormat="false" ht="15" hidden="false" customHeight="false" outlineLevel="0" collapsed="false">
      <c r="A281" s="33" t="str">
        <f aca="false">IF(Pipeline_Sort!$C281="","",INDEX(Pipeline_Calc!$B$2:$B$5251,Pipeline_Sort!$C281))</f>
        <v/>
      </c>
      <c r="B281" s="0" t="str">
        <f aca="false">IF(Pipeline_Sort!$C281="","",INDEX(Pipeline_Calc!$C$2:$C$5251,Pipeline_Sort!$C281))</f>
        <v/>
      </c>
      <c r="C281" s="0" t="str">
        <f aca="false">IF(Pipeline_Sort!$C281="","",INDEX(Pipeline_Calc!$D$2:$D$5251,Pipeline_Sort!$C281))</f>
        <v/>
      </c>
      <c r="D281" s="0" t="str">
        <f aca="false">IF(Pipeline_Sort!$C281="","",INDEX(Pipeline_Calc!$E$2:$E$5251,Pipeline_Sort!$C281))</f>
        <v/>
      </c>
      <c r="E281" s="0" t="str">
        <f aca="false">IF(Pipeline_Sort!$C281="","",INDEX(Pipeline_Calc!$F$2:$F$5251,Pipeline_Sort!$C281))</f>
        <v/>
      </c>
      <c r="F281" s="0" t="str">
        <f aca="false">IF(Pipeline_Sort!$C281="","",INDEX(Pipeline_Calc!$G$2:$G$5251,Pipeline_Sort!$C281))</f>
        <v/>
      </c>
      <c r="G281" s="0" t="str">
        <f aca="false">IF(Pipeline_Sort!$C281="","",INDEX(Pipeline_Calc!$H$2:$H$5251,Pipeline_Sort!$C281))</f>
        <v/>
      </c>
      <c r="H281" s="0" t="str">
        <f aca="false">IF(Pipeline_Sort!$C281="","",INDEX(Pipeline_Calc!$I$2:$I$5251,Pipeline_Sort!$C281))</f>
        <v/>
      </c>
      <c r="I281" s="0" t="str">
        <f aca="false">IF(Pipeline_Sort!$C281="","",INDEX(Pipeline_Calc!$J$2:$J$5251,Pipeline_Sort!$C281))</f>
        <v/>
      </c>
    </row>
    <row r="282" customFormat="false" ht="15" hidden="false" customHeight="false" outlineLevel="0" collapsed="false">
      <c r="A282" s="33" t="str">
        <f aca="false">IF(Pipeline_Sort!$C282="","",INDEX(Pipeline_Calc!$B$2:$B$5251,Pipeline_Sort!$C282))</f>
        <v/>
      </c>
      <c r="B282" s="0" t="str">
        <f aca="false">IF(Pipeline_Sort!$C282="","",INDEX(Pipeline_Calc!$C$2:$C$5251,Pipeline_Sort!$C282))</f>
        <v/>
      </c>
      <c r="C282" s="0" t="str">
        <f aca="false">IF(Pipeline_Sort!$C282="","",INDEX(Pipeline_Calc!$D$2:$D$5251,Pipeline_Sort!$C282))</f>
        <v/>
      </c>
      <c r="D282" s="0" t="str">
        <f aca="false">IF(Pipeline_Sort!$C282="","",INDEX(Pipeline_Calc!$E$2:$E$5251,Pipeline_Sort!$C282))</f>
        <v/>
      </c>
      <c r="E282" s="0" t="str">
        <f aca="false">IF(Pipeline_Sort!$C282="","",INDEX(Pipeline_Calc!$F$2:$F$5251,Pipeline_Sort!$C282))</f>
        <v/>
      </c>
      <c r="F282" s="0" t="str">
        <f aca="false">IF(Pipeline_Sort!$C282="","",INDEX(Pipeline_Calc!$G$2:$G$5251,Pipeline_Sort!$C282))</f>
        <v/>
      </c>
      <c r="G282" s="0" t="str">
        <f aca="false">IF(Pipeline_Sort!$C282="","",INDEX(Pipeline_Calc!$H$2:$H$5251,Pipeline_Sort!$C282))</f>
        <v/>
      </c>
      <c r="H282" s="0" t="str">
        <f aca="false">IF(Pipeline_Sort!$C282="","",INDEX(Pipeline_Calc!$I$2:$I$5251,Pipeline_Sort!$C282))</f>
        <v/>
      </c>
      <c r="I282" s="0" t="str">
        <f aca="false">IF(Pipeline_Sort!$C282="","",INDEX(Pipeline_Calc!$J$2:$J$5251,Pipeline_Sort!$C282))</f>
        <v/>
      </c>
    </row>
    <row r="283" customFormat="false" ht="15" hidden="false" customHeight="false" outlineLevel="0" collapsed="false">
      <c r="A283" s="33" t="str">
        <f aca="false">IF(Pipeline_Sort!$C283="","",INDEX(Pipeline_Calc!$B$2:$B$5251,Pipeline_Sort!$C283))</f>
        <v/>
      </c>
      <c r="B283" s="0" t="str">
        <f aca="false">IF(Pipeline_Sort!$C283="","",INDEX(Pipeline_Calc!$C$2:$C$5251,Pipeline_Sort!$C283))</f>
        <v/>
      </c>
      <c r="C283" s="0" t="str">
        <f aca="false">IF(Pipeline_Sort!$C283="","",INDEX(Pipeline_Calc!$D$2:$D$5251,Pipeline_Sort!$C283))</f>
        <v/>
      </c>
      <c r="D283" s="0" t="str">
        <f aca="false">IF(Pipeline_Sort!$C283="","",INDEX(Pipeline_Calc!$E$2:$E$5251,Pipeline_Sort!$C283))</f>
        <v/>
      </c>
      <c r="E283" s="0" t="str">
        <f aca="false">IF(Pipeline_Sort!$C283="","",INDEX(Pipeline_Calc!$F$2:$F$5251,Pipeline_Sort!$C283))</f>
        <v/>
      </c>
      <c r="F283" s="0" t="str">
        <f aca="false">IF(Pipeline_Sort!$C283="","",INDEX(Pipeline_Calc!$G$2:$G$5251,Pipeline_Sort!$C283))</f>
        <v/>
      </c>
      <c r="G283" s="0" t="str">
        <f aca="false">IF(Pipeline_Sort!$C283="","",INDEX(Pipeline_Calc!$H$2:$H$5251,Pipeline_Sort!$C283))</f>
        <v/>
      </c>
      <c r="H283" s="0" t="str">
        <f aca="false">IF(Pipeline_Sort!$C283="","",INDEX(Pipeline_Calc!$I$2:$I$5251,Pipeline_Sort!$C283))</f>
        <v/>
      </c>
      <c r="I283" s="0" t="str">
        <f aca="false">IF(Pipeline_Sort!$C283="","",INDEX(Pipeline_Calc!$J$2:$J$5251,Pipeline_Sort!$C283))</f>
        <v/>
      </c>
    </row>
    <row r="284" customFormat="false" ht="15" hidden="false" customHeight="false" outlineLevel="0" collapsed="false">
      <c r="A284" s="33" t="str">
        <f aca="false">IF(Pipeline_Sort!$C284="","",INDEX(Pipeline_Calc!$B$2:$B$5251,Pipeline_Sort!$C284))</f>
        <v/>
      </c>
      <c r="B284" s="0" t="str">
        <f aca="false">IF(Pipeline_Sort!$C284="","",INDEX(Pipeline_Calc!$C$2:$C$5251,Pipeline_Sort!$C284))</f>
        <v/>
      </c>
      <c r="C284" s="0" t="str">
        <f aca="false">IF(Pipeline_Sort!$C284="","",INDEX(Pipeline_Calc!$D$2:$D$5251,Pipeline_Sort!$C284))</f>
        <v/>
      </c>
      <c r="D284" s="0" t="str">
        <f aca="false">IF(Pipeline_Sort!$C284="","",INDEX(Pipeline_Calc!$E$2:$E$5251,Pipeline_Sort!$C284))</f>
        <v/>
      </c>
      <c r="E284" s="0" t="str">
        <f aca="false">IF(Pipeline_Sort!$C284="","",INDEX(Pipeline_Calc!$F$2:$F$5251,Pipeline_Sort!$C284))</f>
        <v/>
      </c>
      <c r="F284" s="0" t="str">
        <f aca="false">IF(Pipeline_Sort!$C284="","",INDEX(Pipeline_Calc!$G$2:$G$5251,Pipeline_Sort!$C284))</f>
        <v/>
      </c>
      <c r="G284" s="0" t="str">
        <f aca="false">IF(Pipeline_Sort!$C284="","",INDEX(Pipeline_Calc!$H$2:$H$5251,Pipeline_Sort!$C284))</f>
        <v/>
      </c>
      <c r="H284" s="0" t="str">
        <f aca="false">IF(Pipeline_Sort!$C284="","",INDEX(Pipeline_Calc!$I$2:$I$5251,Pipeline_Sort!$C284))</f>
        <v/>
      </c>
      <c r="I284" s="0" t="str">
        <f aca="false">IF(Pipeline_Sort!$C284="","",INDEX(Pipeline_Calc!$J$2:$J$5251,Pipeline_Sort!$C284))</f>
        <v/>
      </c>
    </row>
    <row r="285" customFormat="false" ht="15" hidden="false" customHeight="false" outlineLevel="0" collapsed="false">
      <c r="A285" s="33" t="str">
        <f aca="false">IF(Pipeline_Sort!$C285="","",INDEX(Pipeline_Calc!$B$2:$B$5251,Pipeline_Sort!$C285))</f>
        <v/>
      </c>
      <c r="B285" s="0" t="str">
        <f aca="false">IF(Pipeline_Sort!$C285="","",INDEX(Pipeline_Calc!$C$2:$C$5251,Pipeline_Sort!$C285))</f>
        <v/>
      </c>
      <c r="C285" s="0" t="str">
        <f aca="false">IF(Pipeline_Sort!$C285="","",INDEX(Pipeline_Calc!$D$2:$D$5251,Pipeline_Sort!$C285))</f>
        <v/>
      </c>
      <c r="D285" s="0" t="str">
        <f aca="false">IF(Pipeline_Sort!$C285="","",INDEX(Pipeline_Calc!$E$2:$E$5251,Pipeline_Sort!$C285))</f>
        <v/>
      </c>
      <c r="E285" s="0" t="str">
        <f aca="false">IF(Pipeline_Sort!$C285="","",INDEX(Pipeline_Calc!$F$2:$F$5251,Pipeline_Sort!$C285))</f>
        <v/>
      </c>
      <c r="F285" s="0" t="str">
        <f aca="false">IF(Pipeline_Sort!$C285="","",INDEX(Pipeline_Calc!$G$2:$G$5251,Pipeline_Sort!$C285))</f>
        <v/>
      </c>
      <c r="G285" s="0" t="str">
        <f aca="false">IF(Pipeline_Sort!$C285="","",INDEX(Pipeline_Calc!$H$2:$H$5251,Pipeline_Sort!$C285))</f>
        <v/>
      </c>
      <c r="H285" s="0" t="str">
        <f aca="false">IF(Pipeline_Sort!$C285="","",INDEX(Pipeline_Calc!$I$2:$I$5251,Pipeline_Sort!$C285))</f>
        <v/>
      </c>
      <c r="I285" s="0" t="str">
        <f aca="false">IF(Pipeline_Sort!$C285="","",INDEX(Pipeline_Calc!$J$2:$J$5251,Pipeline_Sort!$C285))</f>
        <v/>
      </c>
    </row>
    <row r="286" customFormat="false" ht="15" hidden="false" customHeight="false" outlineLevel="0" collapsed="false">
      <c r="A286" s="33" t="str">
        <f aca="false">IF(Pipeline_Sort!$C286="","",INDEX(Pipeline_Calc!$B$2:$B$5251,Pipeline_Sort!$C286))</f>
        <v/>
      </c>
      <c r="B286" s="0" t="str">
        <f aca="false">IF(Pipeline_Sort!$C286="","",INDEX(Pipeline_Calc!$C$2:$C$5251,Pipeline_Sort!$C286))</f>
        <v/>
      </c>
      <c r="C286" s="0" t="str">
        <f aca="false">IF(Pipeline_Sort!$C286="","",INDEX(Pipeline_Calc!$D$2:$D$5251,Pipeline_Sort!$C286))</f>
        <v/>
      </c>
      <c r="D286" s="0" t="str">
        <f aca="false">IF(Pipeline_Sort!$C286="","",INDEX(Pipeline_Calc!$E$2:$E$5251,Pipeline_Sort!$C286))</f>
        <v/>
      </c>
      <c r="E286" s="0" t="str">
        <f aca="false">IF(Pipeline_Sort!$C286="","",INDEX(Pipeline_Calc!$F$2:$F$5251,Pipeline_Sort!$C286))</f>
        <v/>
      </c>
      <c r="F286" s="0" t="str">
        <f aca="false">IF(Pipeline_Sort!$C286="","",INDEX(Pipeline_Calc!$G$2:$G$5251,Pipeline_Sort!$C286))</f>
        <v/>
      </c>
      <c r="G286" s="0" t="str">
        <f aca="false">IF(Pipeline_Sort!$C286="","",INDEX(Pipeline_Calc!$H$2:$H$5251,Pipeline_Sort!$C286))</f>
        <v/>
      </c>
      <c r="H286" s="0" t="str">
        <f aca="false">IF(Pipeline_Sort!$C286="","",INDEX(Pipeline_Calc!$I$2:$I$5251,Pipeline_Sort!$C286))</f>
        <v/>
      </c>
      <c r="I286" s="0" t="str">
        <f aca="false">IF(Pipeline_Sort!$C286="","",INDEX(Pipeline_Calc!$J$2:$J$5251,Pipeline_Sort!$C286))</f>
        <v/>
      </c>
    </row>
    <row r="287" customFormat="false" ht="15" hidden="false" customHeight="false" outlineLevel="0" collapsed="false">
      <c r="A287" s="33" t="str">
        <f aca="false">IF(Pipeline_Sort!$C287="","",INDEX(Pipeline_Calc!$B$2:$B$5251,Pipeline_Sort!$C287))</f>
        <v/>
      </c>
      <c r="B287" s="0" t="str">
        <f aca="false">IF(Pipeline_Sort!$C287="","",INDEX(Pipeline_Calc!$C$2:$C$5251,Pipeline_Sort!$C287))</f>
        <v/>
      </c>
      <c r="C287" s="0" t="str">
        <f aca="false">IF(Pipeline_Sort!$C287="","",INDEX(Pipeline_Calc!$D$2:$D$5251,Pipeline_Sort!$C287))</f>
        <v/>
      </c>
      <c r="D287" s="0" t="str">
        <f aca="false">IF(Pipeline_Sort!$C287="","",INDEX(Pipeline_Calc!$E$2:$E$5251,Pipeline_Sort!$C287))</f>
        <v/>
      </c>
      <c r="E287" s="0" t="str">
        <f aca="false">IF(Pipeline_Sort!$C287="","",INDEX(Pipeline_Calc!$F$2:$F$5251,Pipeline_Sort!$C287))</f>
        <v/>
      </c>
      <c r="F287" s="0" t="str">
        <f aca="false">IF(Pipeline_Sort!$C287="","",INDEX(Pipeline_Calc!$G$2:$G$5251,Pipeline_Sort!$C287))</f>
        <v/>
      </c>
      <c r="G287" s="0" t="str">
        <f aca="false">IF(Pipeline_Sort!$C287="","",INDEX(Pipeline_Calc!$H$2:$H$5251,Pipeline_Sort!$C287))</f>
        <v/>
      </c>
      <c r="H287" s="0" t="str">
        <f aca="false">IF(Pipeline_Sort!$C287="","",INDEX(Pipeline_Calc!$I$2:$I$5251,Pipeline_Sort!$C287))</f>
        <v/>
      </c>
      <c r="I287" s="0" t="str">
        <f aca="false">IF(Pipeline_Sort!$C287="","",INDEX(Pipeline_Calc!$J$2:$J$5251,Pipeline_Sort!$C287))</f>
        <v/>
      </c>
    </row>
    <row r="288" customFormat="false" ht="15" hidden="false" customHeight="false" outlineLevel="0" collapsed="false">
      <c r="A288" s="33" t="str">
        <f aca="false">IF(Pipeline_Sort!$C288="","",INDEX(Pipeline_Calc!$B$2:$B$5251,Pipeline_Sort!$C288))</f>
        <v/>
      </c>
      <c r="B288" s="0" t="str">
        <f aca="false">IF(Pipeline_Sort!$C288="","",INDEX(Pipeline_Calc!$C$2:$C$5251,Pipeline_Sort!$C288))</f>
        <v/>
      </c>
      <c r="C288" s="0" t="str">
        <f aca="false">IF(Pipeline_Sort!$C288="","",INDEX(Pipeline_Calc!$D$2:$D$5251,Pipeline_Sort!$C288))</f>
        <v/>
      </c>
      <c r="D288" s="0" t="str">
        <f aca="false">IF(Pipeline_Sort!$C288="","",INDEX(Pipeline_Calc!$E$2:$E$5251,Pipeline_Sort!$C288))</f>
        <v/>
      </c>
      <c r="E288" s="0" t="str">
        <f aca="false">IF(Pipeline_Sort!$C288="","",INDEX(Pipeline_Calc!$F$2:$F$5251,Pipeline_Sort!$C288))</f>
        <v/>
      </c>
      <c r="F288" s="0" t="str">
        <f aca="false">IF(Pipeline_Sort!$C288="","",INDEX(Pipeline_Calc!$G$2:$G$5251,Pipeline_Sort!$C288))</f>
        <v/>
      </c>
      <c r="G288" s="0" t="str">
        <f aca="false">IF(Pipeline_Sort!$C288="","",INDEX(Pipeline_Calc!$H$2:$H$5251,Pipeline_Sort!$C288))</f>
        <v/>
      </c>
      <c r="H288" s="0" t="str">
        <f aca="false">IF(Pipeline_Sort!$C288="","",INDEX(Pipeline_Calc!$I$2:$I$5251,Pipeline_Sort!$C288))</f>
        <v/>
      </c>
      <c r="I288" s="0" t="str">
        <f aca="false">IF(Pipeline_Sort!$C288="","",INDEX(Pipeline_Calc!$J$2:$J$5251,Pipeline_Sort!$C288))</f>
        <v/>
      </c>
    </row>
    <row r="289" customFormat="false" ht="15" hidden="false" customHeight="false" outlineLevel="0" collapsed="false">
      <c r="A289" s="33" t="str">
        <f aca="false">IF(Pipeline_Sort!$C289="","",INDEX(Pipeline_Calc!$B$2:$B$5251,Pipeline_Sort!$C289))</f>
        <v/>
      </c>
      <c r="B289" s="0" t="str">
        <f aca="false">IF(Pipeline_Sort!$C289="","",INDEX(Pipeline_Calc!$C$2:$C$5251,Pipeline_Sort!$C289))</f>
        <v/>
      </c>
      <c r="C289" s="0" t="str">
        <f aca="false">IF(Pipeline_Sort!$C289="","",INDEX(Pipeline_Calc!$D$2:$D$5251,Pipeline_Sort!$C289))</f>
        <v/>
      </c>
      <c r="D289" s="0" t="str">
        <f aca="false">IF(Pipeline_Sort!$C289="","",INDEX(Pipeline_Calc!$E$2:$E$5251,Pipeline_Sort!$C289))</f>
        <v/>
      </c>
      <c r="E289" s="0" t="str">
        <f aca="false">IF(Pipeline_Sort!$C289="","",INDEX(Pipeline_Calc!$F$2:$F$5251,Pipeline_Sort!$C289))</f>
        <v/>
      </c>
      <c r="F289" s="0" t="str">
        <f aca="false">IF(Pipeline_Sort!$C289="","",INDEX(Pipeline_Calc!$G$2:$G$5251,Pipeline_Sort!$C289))</f>
        <v/>
      </c>
      <c r="G289" s="0" t="str">
        <f aca="false">IF(Pipeline_Sort!$C289="","",INDEX(Pipeline_Calc!$H$2:$H$5251,Pipeline_Sort!$C289))</f>
        <v/>
      </c>
      <c r="H289" s="0" t="str">
        <f aca="false">IF(Pipeline_Sort!$C289="","",INDEX(Pipeline_Calc!$I$2:$I$5251,Pipeline_Sort!$C289))</f>
        <v/>
      </c>
      <c r="I289" s="0" t="str">
        <f aca="false">IF(Pipeline_Sort!$C289="","",INDEX(Pipeline_Calc!$J$2:$J$5251,Pipeline_Sort!$C289))</f>
        <v/>
      </c>
    </row>
    <row r="290" customFormat="false" ht="15" hidden="false" customHeight="false" outlineLevel="0" collapsed="false">
      <c r="A290" s="33" t="str">
        <f aca="false">IF(Pipeline_Sort!$C290="","",INDEX(Pipeline_Calc!$B$2:$B$5251,Pipeline_Sort!$C290))</f>
        <v/>
      </c>
      <c r="B290" s="0" t="str">
        <f aca="false">IF(Pipeline_Sort!$C290="","",INDEX(Pipeline_Calc!$C$2:$C$5251,Pipeline_Sort!$C290))</f>
        <v/>
      </c>
      <c r="C290" s="0" t="str">
        <f aca="false">IF(Pipeline_Sort!$C290="","",INDEX(Pipeline_Calc!$D$2:$D$5251,Pipeline_Sort!$C290))</f>
        <v/>
      </c>
      <c r="D290" s="0" t="str">
        <f aca="false">IF(Pipeline_Sort!$C290="","",INDEX(Pipeline_Calc!$E$2:$E$5251,Pipeline_Sort!$C290))</f>
        <v/>
      </c>
      <c r="E290" s="0" t="str">
        <f aca="false">IF(Pipeline_Sort!$C290="","",INDEX(Pipeline_Calc!$F$2:$F$5251,Pipeline_Sort!$C290))</f>
        <v/>
      </c>
      <c r="F290" s="0" t="str">
        <f aca="false">IF(Pipeline_Sort!$C290="","",INDEX(Pipeline_Calc!$G$2:$G$5251,Pipeline_Sort!$C290))</f>
        <v/>
      </c>
      <c r="G290" s="0" t="str">
        <f aca="false">IF(Pipeline_Sort!$C290="","",INDEX(Pipeline_Calc!$H$2:$H$5251,Pipeline_Sort!$C290))</f>
        <v/>
      </c>
      <c r="H290" s="0" t="str">
        <f aca="false">IF(Pipeline_Sort!$C290="","",INDEX(Pipeline_Calc!$I$2:$I$5251,Pipeline_Sort!$C290))</f>
        <v/>
      </c>
      <c r="I290" s="0" t="str">
        <f aca="false">IF(Pipeline_Sort!$C290="","",INDEX(Pipeline_Calc!$J$2:$J$5251,Pipeline_Sort!$C290))</f>
        <v/>
      </c>
    </row>
    <row r="291" customFormat="false" ht="15" hidden="false" customHeight="false" outlineLevel="0" collapsed="false">
      <c r="A291" s="33" t="str">
        <f aca="false">IF(Pipeline_Sort!$C291="","",INDEX(Pipeline_Calc!$B$2:$B$5251,Pipeline_Sort!$C291))</f>
        <v/>
      </c>
      <c r="B291" s="0" t="str">
        <f aca="false">IF(Pipeline_Sort!$C291="","",INDEX(Pipeline_Calc!$C$2:$C$5251,Pipeline_Sort!$C291))</f>
        <v/>
      </c>
      <c r="C291" s="0" t="str">
        <f aca="false">IF(Pipeline_Sort!$C291="","",INDEX(Pipeline_Calc!$D$2:$D$5251,Pipeline_Sort!$C291))</f>
        <v/>
      </c>
      <c r="D291" s="0" t="str">
        <f aca="false">IF(Pipeline_Sort!$C291="","",INDEX(Pipeline_Calc!$E$2:$E$5251,Pipeline_Sort!$C291))</f>
        <v/>
      </c>
      <c r="E291" s="0" t="str">
        <f aca="false">IF(Pipeline_Sort!$C291="","",INDEX(Pipeline_Calc!$F$2:$F$5251,Pipeline_Sort!$C291))</f>
        <v/>
      </c>
      <c r="F291" s="0" t="str">
        <f aca="false">IF(Pipeline_Sort!$C291="","",INDEX(Pipeline_Calc!$G$2:$G$5251,Pipeline_Sort!$C291))</f>
        <v/>
      </c>
      <c r="G291" s="0" t="str">
        <f aca="false">IF(Pipeline_Sort!$C291="","",INDEX(Pipeline_Calc!$H$2:$H$5251,Pipeline_Sort!$C291))</f>
        <v/>
      </c>
      <c r="H291" s="0" t="str">
        <f aca="false">IF(Pipeline_Sort!$C291="","",INDEX(Pipeline_Calc!$I$2:$I$5251,Pipeline_Sort!$C291))</f>
        <v/>
      </c>
      <c r="I291" s="0" t="str">
        <f aca="false">IF(Pipeline_Sort!$C291="","",INDEX(Pipeline_Calc!$J$2:$J$5251,Pipeline_Sort!$C291))</f>
        <v/>
      </c>
    </row>
    <row r="292" customFormat="false" ht="15" hidden="false" customHeight="false" outlineLevel="0" collapsed="false">
      <c r="A292" s="33" t="str">
        <f aca="false">IF(Pipeline_Sort!$C292="","",INDEX(Pipeline_Calc!$B$2:$B$5251,Pipeline_Sort!$C292))</f>
        <v/>
      </c>
      <c r="B292" s="0" t="str">
        <f aca="false">IF(Pipeline_Sort!$C292="","",INDEX(Pipeline_Calc!$C$2:$C$5251,Pipeline_Sort!$C292))</f>
        <v/>
      </c>
      <c r="C292" s="0" t="str">
        <f aca="false">IF(Pipeline_Sort!$C292="","",INDEX(Pipeline_Calc!$D$2:$D$5251,Pipeline_Sort!$C292))</f>
        <v/>
      </c>
      <c r="D292" s="0" t="str">
        <f aca="false">IF(Pipeline_Sort!$C292="","",INDEX(Pipeline_Calc!$E$2:$E$5251,Pipeline_Sort!$C292))</f>
        <v/>
      </c>
      <c r="E292" s="0" t="str">
        <f aca="false">IF(Pipeline_Sort!$C292="","",INDEX(Pipeline_Calc!$F$2:$F$5251,Pipeline_Sort!$C292))</f>
        <v/>
      </c>
      <c r="F292" s="0" t="str">
        <f aca="false">IF(Pipeline_Sort!$C292="","",INDEX(Pipeline_Calc!$G$2:$G$5251,Pipeline_Sort!$C292))</f>
        <v/>
      </c>
      <c r="G292" s="0" t="str">
        <f aca="false">IF(Pipeline_Sort!$C292="","",INDEX(Pipeline_Calc!$H$2:$H$5251,Pipeline_Sort!$C292))</f>
        <v/>
      </c>
      <c r="H292" s="0" t="str">
        <f aca="false">IF(Pipeline_Sort!$C292="","",INDEX(Pipeline_Calc!$I$2:$I$5251,Pipeline_Sort!$C292))</f>
        <v/>
      </c>
      <c r="I292" s="0" t="str">
        <f aca="false">IF(Pipeline_Sort!$C292="","",INDEX(Pipeline_Calc!$J$2:$J$5251,Pipeline_Sort!$C292))</f>
        <v/>
      </c>
    </row>
    <row r="293" customFormat="false" ht="15" hidden="false" customHeight="false" outlineLevel="0" collapsed="false">
      <c r="A293" s="33" t="str">
        <f aca="false">IF(Pipeline_Sort!$C293="","",INDEX(Pipeline_Calc!$B$2:$B$5251,Pipeline_Sort!$C293))</f>
        <v/>
      </c>
      <c r="B293" s="0" t="str">
        <f aca="false">IF(Pipeline_Sort!$C293="","",INDEX(Pipeline_Calc!$C$2:$C$5251,Pipeline_Sort!$C293))</f>
        <v/>
      </c>
      <c r="C293" s="0" t="str">
        <f aca="false">IF(Pipeline_Sort!$C293="","",INDEX(Pipeline_Calc!$D$2:$D$5251,Pipeline_Sort!$C293))</f>
        <v/>
      </c>
      <c r="D293" s="0" t="str">
        <f aca="false">IF(Pipeline_Sort!$C293="","",INDEX(Pipeline_Calc!$E$2:$E$5251,Pipeline_Sort!$C293))</f>
        <v/>
      </c>
      <c r="E293" s="0" t="str">
        <f aca="false">IF(Pipeline_Sort!$C293="","",INDEX(Pipeline_Calc!$F$2:$F$5251,Pipeline_Sort!$C293))</f>
        <v/>
      </c>
      <c r="F293" s="0" t="str">
        <f aca="false">IF(Pipeline_Sort!$C293="","",INDEX(Pipeline_Calc!$G$2:$G$5251,Pipeline_Sort!$C293))</f>
        <v/>
      </c>
      <c r="G293" s="0" t="str">
        <f aca="false">IF(Pipeline_Sort!$C293="","",INDEX(Pipeline_Calc!$H$2:$H$5251,Pipeline_Sort!$C293))</f>
        <v/>
      </c>
      <c r="H293" s="0" t="str">
        <f aca="false">IF(Pipeline_Sort!$C293="","",INDEX(Pipeline_Calc!$I$2:$I$5251,Pipeline_Sort!$C293))</f>
        <v/>
      </c>
      <c r="I293" s="0" t="str">
        <f aca="false">IF(Pipeline_Sort!$C293="","",INDEX(Pipeline_Calc!$J$2:$J$5251,Pipeline_Sort!$C293))</f>
        <v/>
      </c>
    </row>
    <row r="294" customFormat="false" ht="15" hidden="false" customHeight="false" outlineLevel="0" collapsed="false">
      <c r="A294" s="33" t="str">
        <f aca="false">IF(Pipeline_Sort!$C294="","",INDEX(Pipeline_Calc!$B$2:$B$5251,Pipeline_Sort!$C294))</f>
        <v/>
      </c>
      <c r="B294" s="0" t="str">
        <f aca="false">IF(Pipeline_Sort!$C294="","",INDEX(Pipeline_Calc!$C$2:$C$5251,Pipeline_Sort!$C294))</f>
        <v/>
      </c>
      <c r="C294" s="0" t="str">
        <f aca="false">IF(Pipeline_Sort!$C294="","",INDEX(Pipeline_Calc!$D$2:$D$5251,Pipeline_Sort!$C294))</f>
        <v/>
      </c>
      <c r="D294" s="0" t="str">
        <f aca="false">IF(Pipeline_Sort!$C294="","",INDEX(Pipeline_Calc!$E$2:$E$5251,Pipeline_Sort!$C294))</f>
        <v/>
      </c>
      <c r="E294" s="0" t="str">
        <f aca="false">IF(Pipeline_Sort!$C294="","",INDEX(Pipeline_Calc!$F$2:$F$5251,Pipeline_Sort!$C294))</f>
        <v/>
      </c>
      <c r="F294" s="0" t="str">
        <f aca="false">IF(Pipeline_Sort!$C294="","",INDEX(Pipeline_Calc!$G$2:$G$5251,Pipeline_Sort!$C294))</f>
        <v/>
      </c>
      <c r="G294" s="0" t="str">
        <f aca="false">IF(Pipeline_Sort!$C294="","",INDEX(Pipeline_Calc!$H$2:$H$5251,Pipeline_Sort!$C294))</f>
        <v/>
      </c>
      <c r="H294" s="0" t="str">
        <f aca="false">IF(Pipeline_Sort!$C294="","",INDEX(Pipeline_Calc!$I$2:$I$5251,Pipeline_Sort!$C294))</f>
        <v/>
      </c>
      <c r="I294" s="0" t="str">
        <f aca="false">IF(Pipeline_Sort!$C294="","",INDEX(Pipeline_Calc!$J$2:$J$5251,Pipeline_Sort!$C294))</f>
        <v/>
      </c>
    </row>
    <row r="295" customFormat="false" ht="15" hidden="false" customHeight="false" outlineLevel="0" collapsed="false">
      <c r="A295" s="33" t="str">
        <f aca="false">IF(Pipeline_Sort!$C295="","",INDEX(Pipeline_Calc!$B$2:$B$5251,Pipeline_Sort!$C295))</f>
        <v/>
      </c>
      <c r="B295" s="0" t="str">
        <f aca="false">IF(Pipeline_Sort!$C295="","",INDEX(Pipeline_Calc!$C$2:$C$5251,Pipeline_Sort!$C295))</f>
        <v/>
      </c>
      <c r="C295" s="0" t="str">
        <f aca="false">IF(Pipeline_Sort!$C295="","",INDEX(Pipeline_Calc!$D$2:$D$5251,Pipeline_Sort!$C295))</f>
        <v/>
      </c>
      <c r="D295" s="0" t="str">
        <f aca="false">IF(Pipeline_Sort!$C295="","",INDEX(Pipeline_Calc!$E$2:$E$5251,Pipeline_Sort!$C295))</f>
        <v/>
      </c>
      <c r="E295" s="0" t="str">
        <f aca="false">IF(Pipeline_Sort!$C295="","",INDEX(Pipeline_Calc!$F$2:$F$5251,Pipeline_Sort!$C295))</f>
        <v/>
      </c>
      <c r="F295" s="0" t="str">
        <f aca="false">IF(Pipeline_Sort!$C295="","",INDEX(Pipeline_Calc!$G$2:$G$5251,Pipeline_Sort!$C295))</f>
        <v/>
      </c>
      <c r="G295" s="0" t="str">
        <f aca="false">IF(Pipeline_Sort!$C295="","",INDEX(Pipeline_Calc!$H$2:$H$5251,Pipeline_Sort!$C295))</f>
        <v/>
      </c>
      <c r="H295" s="0" t="str">
        <f aca="false">IF(Pipeline_Sort!$C295="","",INDEX(Pipeline_Calc!$I$2:$I$5251,Pipeline_Sort!$C295))</f>
        <v/>
      </c>
      <c r="I295" s="0" t="str">
        <f aca="false">IF(Pipeline_Sort!$C295="","",INDEX(Pipeline_Calc!$J$2:$J$5251,Pipeline_Sort!$C295))</f>
        <v/>
      </c>
    </row>
    <row r="296" customFormat="false" ht="15" hidden="false" customHeight="false" outlineLevel="0" collapsed="false">
      <c r="A296" s="33" t="str">
        <f aca="false">IF(Pipeline_Sort!$C296="","",INDEX(Pipeline_Calc!$B$2:$B$5251,Pipeline_Sort!$C296))</f>
        <v/>
      </c>
      <c r="B296" s="0" t="str">
        <f aca="false">IF(Pipeline_Sort!$C296="","",INDEX(Pipeline_Calc!$C$2:$C$5251,Pipeline_Sort!$C296))</f>
        <v/>
      </c>
      <c r="C296" s="0" t="str">
        <f aca="false">IF(Pipeline_Sort!$C296="","",INDEX(Pipeline_Calc!$D$2:$D$5251,Pipeline_Sort!$C296))</f>
        <v/>
      </c>
      <c r="D296" s="0" t="str">
        <f aca="false">IF(Pipeline_Sort!$C296="","",INDEX(Pipeline_Calc!$E$2:$E$5251,Pipeline_Sort!$C296))</f>
        <v/>
      </c>
      <c r="E296" s="0" t="str">
        <f aca="false">IF(Pipeline_Sort!$C296="","",INDEX(Pipeline_Calc!$F$2:$F$5251,Pipeline_Sort!$C296))</f>
        <v/>
      </c>
      <c r="F296" s="0" t="str">
        <f aca="false">IF(Pipeline_Sort!$C296="","",INDEX(Pipeline_Calc!$G$2:$G$5251,Pipeline_Sort!$C296))</f>
        <v/>
      </c>
      <c r="G296" s="0" t="str">
        <f aca="false">IF(Pipeline_Sort!$C296="","",INDEX(Pipeline_Calc!$H$2:$H$5251,Pipeline_Sort!$C296))</f>
        <v/>
      </c>
      <c r="H296" s="0" t="str">
        <f aca="false">IF(Pipeline_Sort!$C296="","",INDEX(Pipeline_Calc!$I$2:$I$5251,Pipeline_Sort!$C296))</f>
        <v/>
      </c>
      <c r="I296" s="0" t="str">
        <f aca="false">IF(Pipeline_Sort!$C296="","",INDEX(Pipeline_Calc!$J$2:$J$5251,Pipeline_Sort!$C296))</f>
        <v/>
      </c>
    </row>
    <row r="297" customFormat="false" ht="15" hidden="false" customHeight="false" outlineLevel="0" collapsed="false">
      <c r="A297" s="33" t="str">
        <f aca="false">IF(Pipeline_Sort!$C297="","",INDEX(Pipeline_Calc!$B$2:$B$5251,Pipeline_Sort!$C297))</f>
        <v/>
      </c>
      <c r="B297" s="0" t="str">
        <f aca="false">IF(Pipeline_Sort!$C297="","",INDEX(Pipeline_Calc!$C$2:$C$5251,Pipeline_Sort!$C297))</f>
        <v/>
      </c>
      <c r="C297" s="0" t="str">
        <f aca="false">IF(Pipeline_Sort!$C297="","",INDEX(Pipeline_Calc!$D$2:$D$5251,Pipeline_Sort!$C297))</f>
        <v/>
      </c>
      <c r="D297" s="0" t="str">
        <f aca="false">IF(Pipeline_Sort!$C297="","",INDEX(Pipeline_Calc!$E$2:$E$5251,Pipeline_Sort!$C297))</f>
        <v/>
      </c>
      <c r="E297" s="0" t="str">
        <f aca="false">IF(Pipeline_Sort!$C297="","",INDEX(Pipeline_Calc!$F$2:$F$5251,Pipeline_Sort!$C297))</f>
        <v/>
      </c>
      <c r="F297" s="0" t="str">
        <f aca="false">IF(Pipeline_Sort!$C297="","",INDEX(Pipeline_Calc!$G$2:$G$5251,Pipeline_Sort!$C297))</f>
        <v/>
      </c>
      <c r="G297" s="0" t="str">
        <f aca="false">IF(Pipeline_Sort!$C297="","",INDEX(Pipeline_Calc!$H$2:$H$5251,Pipeline_Sort!$C297))</f>
        <v/>
      </c>
      <c r="H297" s="0" t="str">
        <f aca="false">IF(Pipeline_Sort!$C297="","",INDEX(Pipeline_Calc!$I$2:$I$5251,Pipeline_Sort!$C297))</f>
        <v/>
      </c>
      <c r="I297" s="0" t="str">
        <f aca="false">IF(Pipeline_Sort!$C297="","",INDEX(Pipeline_Calc!$J$2:$J$5251,Pipeline_Sort!$C297))</f>
        <v/>
      </c>
    </row>
    <row r="298" customFormat="false" ht="15" hidden="false" customHeight="false" outlineLevel="0" collapsed="false">
      <c r="A298" s="33" t="str">
        <f aca="false">IF(Pipeline_Sort!$C298="","",INDEX(Pipeline_Calc!$B$2:$B$5251,Pipeline_Sort!$C298))</f>
        <v/>
      </c>
      <c r="B298" s="0" t="str">
        <f aca="false">IF(Pipeline_Sort!$C298="","",INDEX(Pipeline_Calc!$C$2:$C$5251,Pipeline_Sort!$C298))</f>
        <v/>
      </c>
      <c r="C298" s="0" t="str">
        <f aca="false">IF(Pipeline_Sort!$C298="","",INDEX(Pipeline_Calc!$D$2:$D$5251,Pipeline_Sort!$C298))</f>
        <v/>
      </c>
      <c r="D298" s="0" t="str">
        <f aca="false">IF(Pipeline_Sort!$C298="","",INDEX(Pipeline_Calc!$E$2:$E$5251,Pipeline_Sort!$C298))</f>
        <v/>
      </c>
      <c r="E298" s="0" t="str">
        <f aca="false">IF(Pipeline_Sort!$C298="","",INDEX(Pipeline_Calc!$F$2:$F$5251,Pipeline_Sort!$C298))</f>
        <v/>
      </c>
      <c r="F298" s="0" t="str">
        <f aca="false">IF(Pipeline_Sort!$C298="","",INDEX(Pipeline_Calc!$G$2:$G$5251,Pipeline_Sort!$C298))</f>
        <v/>
      </c>
      <c r="G298" s="0" t="str">
        <f aca="false">IF(Pipeline_Sort!$C298="","",INDEX(Pipeline_Calc!$H$2:$H$5251,Pipeline_Sort!$C298))</f>
        <v/>
      </c>
      <c r="H298" s="0" t="str">
        <f aca="false">IF(Pipeline_Sort!$C298="","",INDEX(Pipeline_Calc!$I$2:$I$5251,Pipeline_Sort!$C298))</f>
        <v/>
      </c>
      <c r="I298" s="0" t="str">
        <f aca="false">IF(Pipeline_Sort!$C298="","",INDEX(Pipeline_Calc!$J$2:$J$5251,Pipeline_Sort!$C298))</f>
        <v/>
      </c>
    </row>
    <row r="299" customFormat="false" ht="15" hidden="false" customHeight="false" outlineLevel="0" collapsed="false">
      <c r="A299" s="33" t="str">
        <f aca="false">IF(Pipeline_Sort!$C299="","",INDEX(Pipeline_Calc!$B$2:$B$5251,Pipeline_Sort!$C299))</f>
        <v/>
      </c>
      <c r="B299" s="0" t="str">
        <f aca="false">IF(Pipeline_Sort!$C299="","",INDEX(Pipeline_Calc!$C$2:$C$5251,Pipeline_Sort!$C299))</f>
        <v/>
      </c>
      <c r="C299" s="0" t="str">
        <f aca="false">IF(Pipeline_Sort!$C299="","",INDEX(Pipeline_Calc!$D$2:$D$5251,Pipeline_Sort!$C299))</f>
        <v/>
      </c>
      <c r="D299" s="0" t="str">
        <f aca="false">IF(Pipeline_Sort!$C299="","",INDEX(Pipeline_Calc!$E$2:$E$5251,Pipeline_Sort!$C299))</f>
        <v/>
      </c>
      <c r="E299" s="0" t="str">
        <f aca="false">IF(Pipeline_Sort!$C299="","",INDEX(Pipeline_Calc!$F$2:$F$5251,Pipeline_Sort!$C299))</f>
        <v/>
      </c>
      <c r="F299" s="0" t="str">
        <f aca="false">IF(Pipeline_Sort!$C299="","",INDEX(Pipeline_Calc!$G$2:$G$5251,Pipeline_Sort!$C299))</f>
        <v/>
      </c>
      <c r="G299" s="0" t="str">
        <f aca="false">IF(Pipeline_Sort!$C299="","",INDEX(Pipeline_Calc!$H$2:$H$5251,Pipeline_Sort!$C299))</f>
        <v/>
      </c>
      <c r="H299" s="0" t="str">
        <f aca="false">IF(Pipeline_Sort!$C299="","",INDEX(Pipeline_Calc!$I$2:$I$5251,Pipeline_Sort!$C299))</f>
        <v/>
      </c>
      <c r="I299" s="0" t="str">
        <f aca="false">IF(Pipeline_Sort!$C299="","",INDEX(Pipeline_Calc!$J$2:$J$5251,Pipeline_Sort!$C299))</f>
        <v/>
      </c>
    </row>
    <row r="300" customFormat="false" ht="15" hidden="false" customHeight="false" outlineLevel="0" collapsed="false">
      <c r="A300" s="33" t="str">
        <f aca="false">IF(Pipeline_Sort!$C300="","",INDEX(Pipeline_Calc!$B$2:$B$5251,Pipeline_Sort!$C300))</f>
        <v/>
      </c>
      <c r="B300" s="0" t="str">
        <f aca="false">IF(Pipeline_Sort!$C300="","",INDEX(Pipeline_Calc!$C$2:$C$5251,Pipeline_Sort!$C300))</f>
        <v/>
      </c>
      <c r="C300" s="0" t="str">
        <f aca="false">IF(Pipeline_Sort!$C300="","",INDEX(Pipeline_Calc!$D$2:$D$5251,Pipeline_Sort!$C300))</f>
        <v/>
      </c>
      <c r="D300" s="0" t="str">
        <f aca="false">IF(Pipeline_Sort!$C300="","",INDEX(Pipeline_Calc!$E$2:$E$5251,Pipeline_Sort!$C300))</f>
        <v/>
      </c>
      <c r="E300" s="0" t="str">
        <f aca="false">IF(Pipeline_Sort!$C300="","",INDEX(Pipeline_Calc!$F$2:$F$5251,Pipeline_Sort!$C300))</f>
        <v/>
      </c>
      <c r="F300" s="0" t="str">
        <f aca="false">IF(Pipeline_Sort!$C300="","",INDEX(Pipeline_Calc!$G$2:$G$5251,Pipeline_Sort!$C300))</f>
        <v/>
      </c>
      <c r="G300" s="0" t="str">
        <f aca="false">IF(Pipeline_Sort!$C300="","",INDEX(Pipeline_Calc!$H$2:$H$5251,Pipeline_Sort!$C300))</f>
        <v/>
      </c>
      <c r="H300" s="0" t="str">
        <f aca="false">IF(Pipeline_Sort!$C300="","",INDEX(Pipeline_Calc!$I$2:$I$5251,Pipeline_Sort!$C300))</f>
        <v/>
      </c>
      <c r="I300" s="0" t="str">
        <f aca="false">IF(Pipeline_Sort!$C300="","",INDEX(Pipeline_Calc!$J$2:$J$5251,Pipeline_Sort!$C300))</f>
        <v/>
      </c>
    </row>
    <row r="301" customFormat="false" ht="15" hidden="false" customHeight="false" outlineLevel="0" collapsed="false">
      <c r="A301" s="33" t="str">
        <f aca="false">IF(Pipeline_Sort!$C301="","",INDEX(Pipeline_Calc!$B$2:$B$5251,Pipeline_Sort!$C301))</f>
        <v/>
      </c>
      <c r="B301" s="0" t="str">
        <f aca="false">IF(Pipeline_Sort!$C301="","",INDEX(Pipeline_Calc!$C$2:$C$5251,Pipeline_Sort!$C301))</f>
        <v/>
      </c>
      <c r="C301" s="0" t="str">
        <f aca="false">IF(Pipeline_Sort!$C301="","",INDEX(Pipeline_Calc!$D$2:$D$5251,Pipeline_Sort!$C301))</f>
        <v/>
      </c>
      <c r="D301" s="0" t="str">
        <f aca="false">IF(Pipeline_Sort!$C301="","",INDEX(Pipeline_Calc!$E$2:$E$5251,Pipeline_Sort!$C301))</f>
        <v/>
      </c>
      <c r="E301" s="0" t="str">
        <f aca="false">IF(Pipeline_Sort!$C301="","",INDEX(Pipeline_Calc!$F$2:$F$5251,Pipeline_Sort!$C301))</f>
        <v/>
      </c>
      <c r="F301" s="0" t="str">
        <f aca="false">IF(Pipeline_Sort!$C301="","",INDEX(Pipeline_Calc!$G$2:$G$5251,Pipeline_Sort!$C301))</f>
        <v/>
      </c>
      <c r="G301" s="0" t="str">
        <f aca="false">IF(Pipeline_Sort!$C301="","",INDEX(Pipeline_Calc!$H$2:$H$5251,Pipeline_Sort!$C301))</f>
        <v/>
      </c>
      <c r="H301" s="0" t="str">
        <f aca="false">IF(Pipeline_Sort!$C301="","",INDEX(Pipeline_Calc!$I$2:$I$5251,Pipeline_Sort!$C301))</f>
        <v/>
      </c>
      <c r="I301" s="0" t="str">
        <f aca="false">IF(Pipeline_Sort!$C301="","",INDEX(Pipeline_Calc!$J$2:$J$5251,Pipeline_Sort!$C301))</f>
        <v/>
      </c>
    </row>
    <row r="302" customFormat="false" ht="15" hidden="false" customHeight="false" outlineLevel="0" collapsed="false">
      <c r="A302" s="33" t="str">
        <f aca="false">IF(Pipeline_Sort!$C302="","",INDEX(Pipeline_Calc!$B$2:$B$5251,Pipeline_Sort!$C302))</f>
        <v/>
      </c>
      <c r="B302" s="0" t="str">
        <f aca="false">IF(Pipeline_Sort!$C302="","",INDEX(Pipeline_Calc!$C$2:$C$5251,Pipeline_Sort!$C302))</f>
        <v/>
      </c>
      <c r="C302" s="0" t="str">
        <f aca="false">IF(Pipeline_Sort!$C302="","",INDEX(Pipeline_Calc!$D$2:$D$5251,Pipeline_Sort!$C302))</f>
        <v/>
      </c>
      <c r="D302" s="0" t="str">
        <f aca="false">IF(Pipeline_Sort!$C302="","",INDEX(Pipeline_Calc!$E$2:$E$5251,Pipeline_Sort!$C302))</f>
        <v/>
      </c>
      <c r="E302" s="0" t="str">
        <f aca="false">IF(Pipeline_Sort!$C302="","",INDEX(Pipeline_Calc!$F$2:$F$5251,Pipeline_Sort!$C302))</f>
        <v/>
      </c>
      <c r="F302" s="0" t="str">
        <f aca="false">IF(Pipeline_Sort!$C302="","",INDEX(Pipeline_Calc!$G$2:$G$5251,Pipeline_Sort!$C302))</f>
        <v/>
      </c>
      <c r="G302" s="0" t="str">
        <f aca="false">IF(Pipeline_Sort!$C302="","",INDEX(Pipeline_Calc!$H$2:$H$5251,Pipeline_Sort!$C302))</f>
        <v/>
      </c>
      <c r="H302" s="0" t="str">
        <f aca="false">IF(Pipeline_Sort!$C302="","",INDEX(Pipeline_Calc!$I$2:$I$5251,Pipeline_Sort!$C302))</f>
        <v/>
      </c>
      <c r="I302" s="0" t="str">
        <f aca="false">IF(Pipeline_Sort!$C302="","",INDEX(Pipeline_Calc!$J$2:$J$5251,Pipeline_Sort!$C302))</f>
        <v/>
      </c>
    </row>
    <row r="303" customFormat="false" ht="15" hidden="false" customHeight="false" outlineLevel="0" collapsed="false">
      <c r="A303" s="33" t="str">
        <f aca="false">IF(Pipeline_Sort!$C303="","",INDEX(Pipeline_Calc!$B$2:$B$5251,Pipeline_Sort!$C303))</f>
        <v/>
      </c>
      <c r="B303" s="0" t="str">
        <f aca="false">IF(Pipeline_Sort!$C303="","",INDEX(Pipeline_Calc!$C$2:$C$5251,Pipeline_Sort!$C303))</f>
        <v/>
      </c>
      <c r="C303" s="0" t="str">
        <f aca="false">IF(Pipeline_Sort!$C303="","",INDEX(Pipeline_Calc!$D$2:$D$5251,Pipeline_Sort!$C303))</f>
        <v/>
      </c>
      <c r="D303" s="0" t="str">
        <f aca="false">IF(Pipeline_Sort!$C303="","",INDEX(Pipeline_Calc!$E$2:$E$5251,Pipeline_Sort!$C303))</f>
        <v/>
      </c>
      <c r="E303" s="0" t="str">
        <f aca="false">IF(Pipeline_Sort!$C303="","",INDEX(Pipeline_Calc!$F$2:$F$5251,Pipeline_Sort!$C303))</f>
        <v/>
      </c>
      <c r="F303" s="0" t="str">
        <f aca="false">IF(Pipeline_Sort!$C303="","",INDEX(Pipeline_Calc!$G$2:$G$5251,Pipeline_Sort!$C303))</f>
        <v/>
      </c>
      <c r="G303" s="0" t="str">
        <f aca="false">IF(Pipeline_Sort!$C303="","",INDEX(Pipeline_Calc!$H$2:$H$5251,Pipeline_Sort!$C303))</f>
        <v/>
      </c>
      <c r="H303" s="0" t="str">
        <f aca="false">IF(Pipeline_Sort!$C303="","",INDEX(Pipeline_Calc!$I$2:$I$5251,Pipeline_Sort!$C303))</f>
        <v/>
      </c>
      <c r="I303" s="0" t="str">
        <f aca="false">IF(Pipeline_Sort!$C303="","",INDEX(Pipeline_Calc!$J$2:$J$5251,Pipeline_Sort!$C303))</f>
        <v/>
      </c>
    </row>
    <row r="304" customFormat="false" ht="15" hidden="false" customHeight="false" outlineLevel="0" collapsed="false">
      <c r="A304" s="33" t="str">
        <f aca="false">IF(Pipeline_Sort!$C304="","",INDEX(Pipeline_Calc!$B$2:$B$5251,Pipeline_Sort!$C304))</f>
        <v/>
      </c>
      <c r="B304" s="0" t="str">
        <f aca="false">IF(Pipeline_Sort!$C304="","",INDEX(Pipeline_Calc!$C$2:$C$5251,Pipeline_Sort!$C304))</f>
        <v/>
      </c>
      <c r="C304" s="0" t="str">
        <f aca="false">IF(Pipeline_Sort!$C304="","",INDEX(Pipeline_Calc!$D$2:$D$5251,Pipeline_Sort!$C304))</f>
        <v/>
      </c>
      <c r="D304" s="0" t="str">
        <f aca="false">IF(Pipeline_Sort!$C304="","",INDEX(Pipeline_Calc!$E$2:$E$5251,Pipeline_Sort!$C304))</f>
        <v/>
      </c>
      <c r="E304" s="0" t="str">
        <f aca="false">IF(Pipeline_Sort!$C304="","",INDEX(Pipeline_Calc!$F$2:$F$5251,Pipeline_Sort!$C304))</f>
        <v/>
      </c>
      <c r="F304" s="0" t="str">
        <f aca="false">IF(Pipeline_Sort!$C304="","",INDEX(Pipeline_Calc!$G$2:$G$5251,Pipeline_Sort!$C304))</f>
        <v/>
      </c>
      <c r="G304" s="0" t="str">
        <f aca="false">IF(Pipeline_Sort!$C304="","",INDEX(Pipeline_Calc!$H$2:$H$5251,Pipeline_Sort!$C304))</f>
        <v/>
      </c>
      <c r="H304" s="0" t="str">
        <f aca="false">IF(Pipeline_Sort!$C304="","",INDEX(Pipeline_Calc!$I$2:$I$5251,Pipeline_Sort!$C304))</f>
        <v/>
      </c>
      <c r="I304" s="0" t="str">
        <f aca="false">IF(Pipeline_Sort!$C304="","",INDEX(Pipeline_Calc!$J$2:$J$5251,Pipeline_Sort!$C304))</f>
        <v/>
      </c>
    </row>
    <row r="305" customFormat="false" ht="15" hidden="false" customHeight="false" outlineLevel="0" collapsed="false">
      <c r="A305" s="33" t="str">
        <f aca="false">IF(Pipeline_Sort!$C305="","",INDEX(Pipeline_Calc!$B$2:$B$5251,Pipeline_Sort!$C305))</f>
        <v/>
      </c>
      <c r="B305" s="0" t="str">
        <f aca="false">IF(Pipeline_Sort!$C305="","",INDEX(Pipeline_Calc!$C$2:$C$5251,Pipeline_Sort!$C305))</f>
        <v/>
      </c>
      <c r="C305" s="0" t="str">
        <f aca="false">IF(Pipeline_Sort!$C305="","",INDEX(Pipeline_Calc!$D$2:$D$5251,Pipeline_Sort!$C305))</f>
        <v/>
      </c>
      <c r="D305" s="0" t="str">
        <f aca="false">IF(Pipeline_Sort!$C305="","",INDEX(Pipeline_Calc!$E$2:$E$5251,Pipeline_Sort!$C305))</f>
        <v/>
      </c>
      <c r="E305" s="0" t="str">
        <f aca="false">IF(Pipeline_Sort!$C305="","",INDEX(Pipeline_Calc!$F$2:$F$5251,Pipeline_Sort!$C305))</f>
        <v/>
      </c>
      <c r="F305" s="0" t="str">
        <f aca="false">IF(Pipeline_Sort!$C305="","",INDEX(Pipeline_Calc!$G$2:$G$5251,Pipeline_Sort!$C305))</f>
        <v/>
      </c>
      <c r="G305" s="0" t="str">
        <f aca="false">IF(Pipeline_Sort!$C305="","",INDEX(Pipeline_Calc!$H$2:$H$5251,Pipeline_Sort!$C305))</f>
        <v/>
      </c>
      <c r="H305" s="0" t="str">
        <f aca="false">IF(Pipeline_Sort!$C305="","",INDEX(Pipeline_Calc!$I$2:$I$5251,Pipeline_Sort!$C305))</f>
        <v/>
      </c>
      <c r="I305" s="0" t="str">
        <f aca="false">IF(Pipeline_Sort!$C305="","",INDEX(Pipeline_Calc!$J$2:$J$5251,Pipeline_Sort!$C305))</f>
        <v/>
      </c>
    </row>
    <row r="306" customFormat="false" ht="15" hidden="false" customHeight="false" outlineLevel="0" collapsed="false">
      <c r="A306" s="33" t="str">
        <f aca="false">IF(Pipeline_Sort!$C306="","",INDEX(Pipeline_Calc!$B$2:$B$5251,Pipeline_Sort!$C306))</f>
        <v/>
      </c>
      <c r="B306" s="0" t="str">
        <f aca="false">IF(Pipeline_Sort!$C306="","",INDEX(Pipeline_Calc!$C$2:$C$5251,Pipeline_Sort!$C306))</f>
        <v/>
      </c>
      <c r="C306" s="0" t="str">
        <f aca="false">IF(Pipeline_Sort!$C306="","",INDEX(Pipeline_Calc!$D$2:$D$5251,Pipeline_Sort!$C306))</f>
        <v/>
      </c>
      <c r="D306" s="0" t="str">
        <f aca="false">IF(Pipeline_Sort!$C306="","",INDEX(Pipeline_Calc!$E$2:$E$5251,Pipeline_Sort!$C306))</f>
        <v/>
      </c>
      <c r="E306" s="0" t="str">
        <f aca="false">IF(Pipeline_Sort!$C306="","",INDEX(Pipeline_Calc!$F$2:$F$5251,Pipeline_Sort!$C306))</f>
        <v/>
      </c>
      <c r="F306" s="0" t="str">
        <f aca="false">IF(Pipeline_Sort!$C306="","",INDEX(Pipeline_Calc!$G$2:$G$5251,Pipeline_Sort!$C306))</f>
        <v/>
      </c>
      <c r="G306" s="0" t="str">
        <f aca="false">IF(Pipeline_Sort!$C306="","",INDEX(Pipeline_Calc!$H$2:$H$5251,Pipeline_Sort!$C306))</f>
        <v/>
      </c>
      <c r="H306" s="0" t="str">
        <f aca="false">IF(Pipeline_Sort!$C306="","",INDEX(Pipeline_Calc!$I$2:$I$5251,Pipeline_Sort!$C306))</f>
        <v/>
      </c>
      <c r="I306" s="0" t="str">
        <f aca="false">IF(Pipeline_Sort!$C306="","",INDEX(Pipeline_Calc!$J$2:$J$5251,Pipeline_Sort!$C306))</f>
        <v/>
      </c>
    </row>
    <row r="307" customFormat="false" ht="15" hidden="false" customHeight="false" outlineLevel="0" collapsed="false">
      <c r="A307" s="33" t="str">
        <f aca="false">IF(Pipeline_Sort!$C307="","",INDEX(Pipeline_Calc!$B$2:$B$5251,Pipeline_Sort!$C307))</f>
        <v/>
      </c>
      <c r="B307" s="0" t="str">
        <f aca="false">IF(Pipeline_Sort!$C307="","",INDEX(Pipeline_Calc!$C$2:$C$5251,Pipeline_Sort!$C307))</f>
        <v/>
      </c>
      <c r="C307" s="0" t="str">
        <f aca="false">IF(Pipeline_Sort!$C307="","",INDEX(Pipeline_Calc!$D$2:$D$5251,Pipeline_Sort!$C307))</f>
        <v/>
      </c>
      <c r="D307" s="0" t="str">
        <f aca="false">IF(Pipeline_Sort!$C307="","",INDEX(Pipeline_Calc!$E$2:$E$5251,Pipeline_Sort!$C307))</f>
        <v/>
      </c>
      <c r="E307" s="0" t="str">
        <f aca="false">IF(Pipeline_Sort!$C307="","",INDEX(Pipeline_Calc!$F$2:$F$5251,Pipeline_Sort!$C307))</f>
        <v/>
      </c>
      <c r="F307" s="0" t="str">
        <f aca="false">IF(Pipeline_Sort!$C307="","",INDEX(Pipeline_Calc!$G$2:$G$5251,Pipeline_Sort!$C307))</f>
        <v/>
      </c>
      <c r="G307" s="0" t="str">
        <f aca="false">IF(Pipeline_Sort!$C307="","",INDEX(Pipeline_Calc!$H$2:$H$5251,Pipeline_Sort!$C307))</f>
        <v/>
      </c>
      <c r="H307" s="0" t="str">
        <f aca="false">IF(Pipeline_Sort!$C307="","",INDEX(Pipeline_Calc!$I$2:$I$5251,Pipeline_Sort!$C307))</f>
        <v/>
      </c>
      <c r="I307" s="0" t="str">
        <f aca="false">IF(Pipeline_Sort!$C307="","",INDEX(Pipeline_Calc!$J$2:$J$5251,Pipeline_Sort!$C307))</f>
        <v/>
      </c>
    </row>
    <row r="308" customFormat="false" ht="15" hidden="false" customHeight="false" outlineLevel="0" collapsed="false">
      <c r="A308" s="33" t="str">
        <f aca="false">IF(Pipeline_Sort!$C308="","",INDEX(Pipeline_Calc!$B$2:$B$5251,Pipeline_Sort!$C308))</f>
        <v/>
      </c>
      <c r="B308" s="0" t="str">
        <f aca="false">IF(Pipeline_Sort!$C308="","",INDEX(Pipeline_Calc!$C$2:$C$5251,Pipeline_Sort!$C308))</f>
        <v/>
      </c>
      <c r="C308" s="0" t="str">
        <f aca="false">IF(Pipeline_Sort!$C308="","",INDEX(Pipeline_Calc!$D$2:$D$5251,Pipeline_Sort!$C308))</f>
        <v/>
      </c>
      <c r="D308" s="0" t="str">
        <f aca="false">IF(Pipeline_Sort!$C308="","",INDEX(Pipeline_Calc!$E$2:$E$5251,Pipeline_Sort!$C308))</f>
        <v/>
      </c>
      <c r="E308" s="0" t="str">
        <f aca="false">IF(Pipeline_Sort!$C308="","",INDEX(Pipeline_Calc!$F$2:$F$5251,Pipeline_Sort!$C308))</f>
        <v/>
      </c>
      <c r="F308" s="0" t="str">
        <f aca="false">IF(Pipeline_Sort!$C308="","",INDEX(Pipeline_Calc!$G$2:$G$5251,Pipeline_Sort!$C308))</f>
        <v/>
      </c>
      <c r="G308" s="0" t="str">
        <f aca="false">IF(Pipeline_Sort!$C308="","",INDEX(Pipeline_Calc!$H$2:$H$5251,Pipeline_Sort!$C308))</f>
        <v/>
      </c>
      <c r="H308" s="0" t="str">
        <f aca="false">IF(Pipeline_Sort!$C308="","",INDEX(Pipeline_Calc!$I$2:$I$5251,Pipeline_Sort!$C308))</f>
        <v/>
      </c>
      <c r="I308" s="0" t="str">
        <f aca="false">IF(Pipeline_Sort!$C308="","",INDEX(Pipeline_Calc!$J$2:$J$5251,Pipeline_Sort!$C308))</f>
        <v/>
      </c>
    </row>
    <row r="309" customFormat="false" ht="15" hidden="false" customHeight="false" outlineLevel="0" collapsed="false">
      <c r="A309" s="33" t="str">
        <f aca="false">IF(Pipeline_Sort!$C309="","",INDEX(Pipeline_Calc!$B$2:$B$5251,Pipeline_Sort!$C309))</f>
        <v/>
      </c>
      <c r="B309" s="0" t="str">
        <f aca="false">IF(Pipeline_Sort!$C309="","",INDEX(Pipeline_Calc!$C$2:$C$5251,Pipeline_Sort!$C309))</f>
        <v/>
      </c>
      <c r="C309" s="0" t="str">
        <f aca="false">IF(Pipeline_Sort!$C309="","",INDEX(Pipeline_Calc!$D$2:$D$5251,Pipeline_Sort!$C309))</f>
        <v/>
      </c>
      <c r="D309" s="0" t="str">
        <f aca="false">IF(Pipeline_Sort!$C309="","",INDEX(Pipeline_Calc!$E$2:$E$5251,Pipeline_Sort!$C309))</f>
        <v/>
      </c>
      <c r="E309" s="0" t="str">
        <f aca="false">IF(Pipeline_Sort!$C309="","",INDEX(Pipeline_Calc!$F$2:$F$5251,Pipeline_Sort!$C309))</f>
        <v/>
      </c>
      <c r="F309" s="0" t="str">
        <f aca="false">IF(Pipeline_Sort!$C309="","",INDEX(Pipeline_Calc!$G$2:$G$5251,Pipeline_Sort!$C309))</f>
        <v/>
      </c>
      <c r="G309" s="0" t="str">
        <f aca="false">IF(Pipeline_Sort!$C309="","",INDEX(Pipeline_Calc!$H$2:$H$5251,Pipeline_Sort!$C309))</f>
        <v/>
      </c>
      <c r="H309" s="0" t="str">
        <f aca="false">IF(Pipeline_Sort!$C309="","",INDEX(Pipeline_Calc!$I$2:$I$5251,Pipeline_Sort!$C309))</f>
        <v/>
      </c>
      <c r="I309" s="0" t="str">
        <f aca="false">IF(Pipeline_Sort!$C309="","",INDEX(Pipeline_Calc!$J$2:$J$5251,Pipeline_Sort!$C309))</f>
        <v/>
      </c>
    </row>
    <row r="310" customFormat="false" ht="15" hidden="false" customHeight="false" outlineLevel="0" collapsed="false">
      <c r="A310" s="33" t="str">
        <f aca="false">IF(Pipeline_Sort!$C310="","",INDEX(Pipeline_Calc!$B$2:$B$5251,Pipeline_Sort!$C310))</f>
        <v/>
      </c>
      <c r="B310" s="0" t="str">
        <f aca="false">IF(Pipeline_Sort!$C310="","",INDEX(Pipeline_Calc!$C$2:$C$5251,Pipeline_Sort!$C310))</f>
        <v/>
      </c>
      <c r="C310" s="0" t="str">
        <f aca="false">IF(Pipeline_Sort!$C310="","",INDEX(Pipeline_Calc!$D$2:$D$5251,Pipeline_Sort!$C310))</f>
        <v/>
      </c>
      <c r="D310" s="0" t="str">
        <f aca="false">IF(Pipeline_Sort!$C310="","",INDEX(Pipeline_Calc!$E$2:$E$5251,Pipeline_Sort!$C310))</f>
        <v/>
      </c>
      <c r="E310" s="0" t="str">
        <f aca="false">IF(Pipeline_Sort!$C310="","",INDEX(Pipeline_Calc!$F$2:$F$5251,Pipeline_Sort!$C310))</f>
        <v/>
      </c>
      <c r="F310" s="0" t="str">
        <f aca="false">IF(Pipeline_Sort!$C310="","",INDEX(Pipeline_Calc!$G$2:$G$5251,Pipeline_Sort!$C310))</f>
        <v/>
      </c>
      <c r="G310" s="0" t="str">
        <f aca="false">IF(Pipeline_Sort!$C310="","",INDEX(Pipeline_Calc!$H$2:$H$5251,Pipeline_Sort!$C310))</f>
        <v/>
      </c>
      <c r="H310" s="0" t="str">
        <f aca="false">IF(Pipeline_Sort!$C310="","",INDEX(Pipeline_Calc!$I$2:$I$5251,Pipeline_Sort!$C310))</f>
        <v/>
      </c>
      <c r="I310" s="0" t="str">
        <f aca="false">IF(Pipeline_Sort!$C310="","",INDEX(Pipeline_Calc!$J$2:$J$5251,Pipeline_Sort!$C310))</f>
        <v/>
      </c>
    </row>
    <row r="311" customFormat="false" ht="15" hidden="false" customHeight="false" outlineLevel="0" collapsed="false">
      <c r="A311" s="33" t="str">
        <f aca="false">IF(Pipeline_Sort!$C311="","",INDEX(Pipeline_Calc!$B$2:$B$5251,Pipeline_Sort!$C311))</f>
        <v/>
      </c>
      <c r="B311" s="0" t="str">
        <f aca="false">IF(Pipeline_Sort!$C311="","",INDEX(Pipeline_Calc!$C$2:$C$5251,Pipeline_Sort!$C311))</f>
        <v/>
      </c>
      <c r="C311" s="0" t="str">
        <f aca="false">IF(Pipeline_Sort!$C311="","",INDEX(Pipeline_Calc!$D$2:$D$5251,Pipeline_Sort!$C311))</f>
        <v/>
      </c>
      <c r="D311" s="0" t="str">
        <f aca="false">IF(Pipeline_Sort!$C311="","",INDEX(Pipeline_Calc!$E$2:$E$5251,Pipeline_Sort!$C311))</f>
        <v/>
      </c>
      <c r="E311" s="0" t="str">
        <f aca="false">IF(Pipeline_Sort!$C311="","",INDEX(Pipeline_Calc!$F$2:$F$5251,Pipeline_Sort!$C311))</f>
        <v/>
      </c>
      <c r="F311" s="0" t="str">
        <f aca="false">IF(Pipeline_Sort!$C311="","",INDEX(Pipeline_Calc!$G$2:$G$5251,Pipeline_Sort!$C311))</f>
        <v/>
      </c>
      <c r="G311" s="0" t="str">
        <f aca="false">IF(Pipeline_Sort!$C311="","",INDEX(Pipeline_Calc!$H$2:$H$5251,Pipeline_Sort!$C311))</f>
        <v/>
      </c>
      <c r="H311" s="0" t="str">
        <f aca="false">IF(Pipeline_Sort!$C311="","",INDEX(Pipeline_Calc!$I$2:$I$5251,Pipeline_Sort!$C311))</f>
        <v/>
      </c>
      <c r="I311" s="0" t="str">
        <f aca="false">IF(Pipeline_Sort!$C311="","",INDEX(Pipeline_Calc!$J$2:$J$5251,Pipeline_Sort!$C311))</f>
        <v/>
      </c>
    </row>
    <row r="312" customFormat="false" ht="15" hidden="false" customHeight="false" outlineLevel="0" collapsed="false">
      <c r="A312" s="33" t="str">
        <f aca="false">IF(Pipeline_Sort!$C312="","",INDEX(Pipeline_Calc!$B$2:$B$5251,Pipeline_Sort!$C312))</f>
        <v/>
      </c>
      <c r="B312" s="0" t="str">
        <f aca="false">IF(Pipeline_Sort!$C312="","",INDEX(Pipeline_Calc!$C$2:$C$5251,Pipeline_Sort!$C312))</f>
        <v/>
      </c>
      <c r="C312" s="0" t="str">
        <f aca="false">IF(Pipeline_Sort!$C312="","",INDEX(Pipeline_Calc!$D$2:$D$5251,Pipeline_Sort!$C312))</f>
        <v/>
      </c>
      <c r="D312" s="0" t="str">
        <f aca="false">IF(Pipeline_Sort!$C312="","",INDEX(Pipeline_Calc!$E$2:$E$5251,Pipeline_Sort!$C312))</f>
        <v/>
      </c>
      <c r="E312" s="0" t="str">
        <f aca="false">IF(Pipeline_Sort!$C312="","",INDEX(Pipeline_Calc!$F$2:$F$5251,Pipeline_Sort!$C312))</f>
        <v/>
      </c>
      <c r="F312" s="0" t="str">
        <f aca="false">IF(Pipeline_Sort!$C312="","",INDEX(Pipeline_Calc!$G$2:$G$5251,Pipeline_Sort!$C312))</f>
        <v/>
      </c>
      <c r="G312" s="0" t="str">
        <f aca="false">IF(Pipeline_Sort!$C312="","",INDEX(Pipeline_Calc!$H$2:$H$5251,Pipeline_Sort!$C312))</f>
        <v/>
      </c>
      <c r="H312" s="0" t="str">
        <f aca="false">IF(Pipeline_Sort!$C312="","",INDEX(Pipeline_Calc!$I$2:$I$5251,Pipeline_Sort!$C312))</f>
        <v/>
      </c>
      <c r="I312" s="0" t="str">
        <f aca="false">IF(Pipeline_Sort!$C312="","",INDEX(Pipeline_Calc!$J$2:$J$5251,Pipeline_Sort!$C312))</f>
        <v/>
      </c>
    </row>
    <row r="313" customFormat="false" ht="15" hidden="false" customHeight="false" outlineLevel="0" collapsed="false">
      <c r="A313" s="33" t="str">
        <f aca="false">IF(Pipeline_Sort!$C313="","",INDEX(Pipeline_Calc!$B$2:$B$5251,Pipeline_Sort!$C313))</f>
        <v/>
      </c>
      <c r="B313" s="0" t="str">
        <f aca="false">IF(Pipeline_Sort!$C313="","",INDEX(Pipeline_Calc!$C$2:$C$5251,Pipeline_Sort!$C313))</f>
        <v/>
      </c>
      <c r="C313" s="0" t="str">
        <f aca="false">IF(Pipeline_Sort!$C313="","",INDEX(Pipeline_Calc!$D$2:$D$5251,Pipeline_Sort!$C313))</f>
        <v/>
      </c>
      <c r="D313" s="0" t="str">
        <f aca="false">IF(Pipeline_Sort!$C313="","",INDEX(Pipeline_Calc!$E$2:$E$5251,Pipeline_Sort!$C313))</f>
        <v/>
      </c>
      <c r="E313" s="0" t="str">
        <f aca="false">IF(Pipeline_Sort!$C313="","",INDEX(Pipeline_Calc!$F$2:$F$5251,Pipeline_Sort!$C313))</f>
        <v/>
      </c>
      <c r="F313" s="0" t="str">
        <f aca="false">IF(Pipeline_Sort!$C313="","",INDEX(Pipeline_Calc!$G$2:$G$5251,Pipeline_Sort!$C313))</f>
        <v/>
      </c>
      <c r="G313" s="0" t="str">
        <f aca="false">IF(Pipeline_Sort!$C313="","",INDEX(Pipeline_Calc!$H$2:$H$5251,Pipeline_Sort!$C313))</f>
        <v/>
      </c>
      <c r="H313" s="0" t="str">
        <f aca="false">IF(Pipeline_Sort!$C313="","",INDEX(Pipeline_Calc!$I$2:$I$5251,Pipeline_Sort!$C313))</f>
        <v/>
      </c>
      <c r="I313" s="0" t="str">
        <f aca="false">IF(Pipeline_Sort!$C313="","",INDEX(Pipeline_Calc!$J$2:$J$5251,Pipeline_Sort!$C313))</f>
        <v/>
      </c>
    </row>
    <row r="314" customFormat="false" ht="15" hidden="false" customHeight="false" outlineLevel="0" collapsed="false">
      <c r="A314" s="33" t="str">
        <f aca="false">IF(Pipeline_Sort!$C314="","",INDEX(Pipeline_Calc!$B$2:$B$5251,Pipeline_Sort!$C314))</f>
        <v/>
      </c>
      <c r="B314" s="0" t="str">
        <f aca="false">IF(Pipeline_Sort!$C314="","",INDEX(Pipeline_Calc!$C$2:$C$5251,Pipeline_Sort!$C314))</f>
        <v/>
      </c>
      <c r="C314" s="0" t="str">
        <f aca="false">IF(Pipeline_Sort!$C314="","",INDEX(Pipeline_Calc!$D$2:$D$5251,Pipeline_Sort!$C314))</f>
        <v/>
      </c>
      <c r="D314" s="0" t="str">
        <f aca="false">IF(Pipeline_Sort!$C314="","",INDEX(Pipeline_Calc!$E$2:$E$5251,Pipeline_Sort!$C314))</f>
        <v/>
      </c>
      <c r="E314" s="0" t="str">
        <f aca="false">IF(Pipeline_Sort!$C314="","",INDEX(Pipeline_Calc!$F$2:$F$5251,Pipeline_Sort!$C314))</f>
        <v/>
      </c>
      <c r="F314" s="0" t="str">
        <f aca="false">IF(Pipeline_Sort!$C314="","",INDEX(Pipeline_Calc!$G$2:$G$5251,Pipeline_Sort!$C314))</f>
        <v/>
      </c>
      <c r="G314" s="0" t="str">
        <f aca="false">IF(Pipeline_Sort!$C314="","",INDEX(Pipeline_Calc!$H$2:$H$5251,Pipeline_Sort!$C314))</f>
        <v/>
      </c>
      <c r="H314" s="0" t="str">
        <f aca="false">IF(Pipeline_Sort!$C314="","",INDEX(Pipeline_Calc!$I$2:$I$5251,Pipeline_Sort!$C314))</f>
        <v/>
      </c>
      <c r="I314" s="0" t="str">
        <f aca="false">IF(Pipeline_Sort!$C314="","",INDEX(Pipeline_Calc!$J$2:$J$5251,Pipeline_Sort!$C314))</f>
        <v/>
      </c>
    </row>
    <row r="315" customFormat="false" ht="15" hidden="false" customHeight="false" outlineLevel="0" collapsed="false">
      <c r="A315" s="33" t="str">
        <f aca="false">IF(Pipeline_Sort!$C315="","",INDEX(Pipeline_Calc!$B$2:$B$5251,Pipeline_Sort!$C315))</f>
        <v/>
      </c>
      <c r="B315" s="0" t="str">
        <f aca="false">IF(Pipeline_Sort!$C315="","",INDEX(Pipeline_Calc!$C$2:$C$5251,Pipeline_Sort!$C315))</f>
        <v/>
      </c>
      <c r="C315" s="0" t="str">
        <f aca="false">IF(Pipeline_Sort!$C315="","",INDEX(Pipeline_Calc!$D$2:$D$5251,Pipeline_Sort!$C315))</f>
        <v/>
      </c>
      <c r="D315" s="0" t="str">
        <f aca="false">IF(Pipeline_Sort!$C315="","",INDEX(Pipeline_Calc!$E$2:$E$5251,Pipeline_Sort!$C315))</f>
        <v/>
      </c>
      <c r="E315" s="0" t="str">
        <f aca="false">IF(Pipeline_Sort!$C315="","",INDEX(Pipeline_Calc!$F$2:$F$5251,Pipeline_Sort!$C315))</f>
        <v/>
      </c>
      <c r="F315" s="0" t="str">
        <f aca="false">IF(Pipeline_Sort!$C315="","",INDEX(Pipeline_Calc!$G$2:$G$5251,Pipeline_Sort!$C315))</f>
        <v/>
      </c>
      <c r="G315" s="0" t="str">
        <f aca="false">IF(Pipeline_Sort!$C315="","",INDEX(Pipeline_Calc!$H$2:$H$5251,Pipeline_Sort!$C315))</f>
        <v/>
      </c>
      <c r="H315" s="0" t="str">
        <f aca="false">IF(Pipeline_Sort!$C315="","",INDEX(Pipeline_Calc!$I$2:$I$5251,Pipeline_Sort!$C315))</f>
        <v/>
      </c>
      <c r="I315" s="0" t="str">
        <f aca="false">IF(Pipeline_Sort!$C315="","",INDEX(Pipeline_Calc!$J$2:$J$5251,Pipeline_Sort!$C315))</f>
        <v/>
      </c>
    </row>
    <row r="316" customFormat="false" ht="15" hidden="false" customHeight="false" outlineLevel="0" collapsed="false">
      <c r="A316" s="33" t="str">
        <f aca="false">IF(Pipeline_Sort!$C316="","",INDEX(Pipeline_Calc!$B$2:$B$5251,Pipeline_Sort!$C316))</f>
        <v/>
      </c>
      <c r="B316" s="0" t="str">
        <f aca="false">IF(Pipeline_Sort!$C316="","",INDEX(Pipeline_Calc!$C$2:$C$5251,Pipeline_Sort!$C316))</f>
        <v/>
      </c>
      <c r="C316" s="0" t="str">
        <f aca="false">IF(Pipeline_Sort!$C316="","",INDEX(Pipeline_Calc!$D$2:$D$5251,Pipeline_Sort!$C316))</f>
        <v/>
      </c>
      <c r="D316" s="0" t="str">
        <f aca="false">IF(Pipeline_Sort!$C316="","",INDEX(Pipeline_Calc!$E$2:$E$5251,Pipeline_Sort!$C316))</f>
        <v/>
      </c>
      <c r="E316" s="0" t="str">
        <f aca="false">IF(Pipeline_Sort!$C316="","",INDEX(Pipeline_Calc!$F$2:$F$5251,Pipeline_Sort!$C316))</f>
        <v/>
      </c>
      <c r="F316" s="0" t="str">
        <f aca="false">IF(Pipeline_Sort!$C316="","",INDEX(Pipeline_Calc!$G$2:$G$5251,Pipeline_Sort!$C316))</f>
        <v/>
      </c>
      <c r="G316" s="0" t="str">
        <f aca="false">IF(Pipeline_Sort!$C316="","",INDEX(Pipeline_Calc!$H$2:$H$5251,Pipeline_Sort!$C316))</f>
        <v/>
      </c>
      <c r="H316" s="0" t="str">
        <f aca="false">IF(Pipeline_Sort!$C316="","",INDEX(Pipeline_Calc!$I$2:$I$5251,Pipeline_Sort!$C316))</f>
        <v/>
      </c>
      <c r="I316" s="0" t="str">
        <f aca="false">IF(Pipeline_Sort!$C316="","",INDEX(Pipeline_Calc!$J$2:$J$5251,Pipeline_Sort!$C316))</f>
        <v/>
      </c>
    </row>
    <row r="317" customFormat="false" ht="15" hidden="false" customHeight="false" outlineLevel="0" collapsed="false">
      <c r="A317" s="33" t="str">
        <f aca="false">IF(Pipeline_Sort!$C317="","",INDEX(Pipeline_Calc!$B$2:$B$5251,Pipeline_Sort!$C317))</f>
        <v/>
      </c>
      <c r="B317" s="0" t="str">
        <f aca="false">IF(Pipeline_Sort!$C317="","",INDEX(Pipeline_Calc!$C$2:$C$5251,Pipeline_Sort!$C317))</f>
        <v/>
      </c>
      <c r="C317" s="0" t="str">
        <f aca="false">IF(Pipeline_Sort!$C317="","",INDEX(Pipeline_Calc!$D$2:$D$5251,Pipeline_Sort!$C317))</f>
        <v/>
      </c>
      <c r="D317" s="0" t="str">
        <f aca="false">IF(Pipeline_Sort!$C317="","",INDEX(Pipeline_Calc!$E$2:$E$5251,Pipeline_Sort!$C317))</f>
        <v/>
      </c>
      <c r="E317" s="0" t="str">
        <f aca="false">IF(Pipeline_Sort!$C317="","",INDEX(Pipeline_Calc!$F$2:$F$5251,Pipeline_Sort!$C317))</f>
        <v/>
      </c>
      <c r="F317" s="0" t="str">
        <f aca="false">IF(Pipeline_Sort!$C317="","",INDEX(Pipeline_Calc!$G$2:$G$5251,Pipeline_Sort!$C317))</f>
        <v/>
      </c>
      <c r="G317" s="0" t="str">
        <f aca="false">IF(Pipeline_Sort!$C317="","",INDEX(Pipeline_Calc!$H$2:$H$5251,Pipeline_Sort!$C317))</f>
        <v/>
      </c>
      <c r="H317" s="0" t="str">
        <f aca="false">IF(Pipeline_Sort!$C317="","",INDEX(Pipeline_Calc!$I$2:$I$5251,Pipeline_Sort!$C317))</f>
        <v/>
      </c>
      <c r="I317" s="0" t="str">
        <f aca="false">IF(Pipeline_Sort!$C317="","",INDEX(Pipeline_Calc!$J$2:$J$5251,Pipeline_Sort!$C317))</f>
        <v/>
      </c>
    </row>
    <row r="318" customFormat="false" ht="15" hidden="false" customHeight="false" outlineLevel="0" collapsed="false">
      <c r="A318" s="33" t="str">
        <f aca="false">IF(Pipeline_Sort!$C318="","",INDEX(Pipeline_Calc!$B$2:$B$5251,Pipeline_Sort!$C318))</f>
        <v/>
      </c>
      <c r="B318" s="0" t="str">
        <f aca="false">IF(Pipeline_Sort!$C318="","",INDEX(Pipeline_Calc!$C$2:$C$5251,Pipeline_Sort!$C318))</f>
        <v/>
      </c>
      <c r="C318" s="0" t="str">
        <f aca="false">IF(Pipeline_Sort!$C318="","",INDEX(Pipeline_Calc!$D$2:$D$5251,Pipeline_Sort!$C318))</f>
        <v/>
      </c>
      <c r="D318" s="0" t="str">
        <f aca="false">IF(Pipeline_Sort!$C318="","",INDEX(Pipeline_Calc!$E$2:$E$5251,Pipeline_Sort!$C318))</f>
        <v/>
      </c>
      <c r="E318" s="0" t="str">
        <f aca="false">IF(Pipeline_Sort!$C318="","",INDEX(Pipeline_Calc!$F$2:$F$5251,Pipeline_Sort!$C318))</f>
        <v/>
      </c>
      <c r="F318" s="0" t="str">
        <f aca="false">IF(Pipeline_Sort!$C318="","",INDEX(Pipeline_Calc!$G$2:$G$5251,Pipeline_Sort!$C318))</f>
        <v/>
      </c>
      <c r="G318" s="0" t="str">
        <f aca="false">IF(Pipeline_Sort!$C318="","",INDEX(Pipeline_Calc!$H$2:$H$5251,Pipeline_Sort!$C318))</f>
        <v/>
      </c>
      <c r="H318" s="0" t="str">
        <f aca="false">IF(Pipeline_Sort!$C318="","",INDEX(Pipeline_Calc!$I$2:$I$5251,Pipeline_Sort!$C318))</f>
        <v/>
      </c>
      <c r="I318" s="0" t="str">
        <f aca="false">IF(Pipeline_Sort!$C318="","",INDEX(Pipeline_Calc!$J$2:$J$5251,Pipeline_Sort!$C318))</f>
        <v/>
      </c>
    </row>
    <row r="319" customFormat="false" ht="15" hidden="false" customHeight="false" outlineLevel="0" collapsed="false">
      <c r="A319" s="33" t="str">
        <f aca="false">IF(Pipeline_Sort!$C319="","",INDEX(Pipeline_Calc!$B$2:$B$5251,Pipeline_Sort!$C319))</f>
        <v/>
      </c>
      <c r="B319" s="0" t="str">
        <f aca="false">IF(Pipeline_Sort!$C319="","",INDEX(Pipeline_Calc!$C$2:$C$5251,Pipeline_Sort!$C319))</f>
        <v/>
      </c>
      <c r="C319" s="0" t="str">
        <f aca="false">IF(Pipeline_Sort!$C319="","",INDEX(Pipeline_Calc!$D$2:$D$5251,Pipeline_Sort!$C319))</f>
        <v/>
      </c>
      <c r="D319" s="0" t="str">
        <f aca="false">IF(Pipeline_Sort!$C319="","",INDEX(Pipeline_Calc!$E$2:$E$5251,Pipeline_Sort!$C319))</f>
        <v/>
      </c>
      <c r="E319" s="0" t="str">
        <f aca="false">IF(Pipeline_Sort!$C319="","",INDEX(Pipeline_Calc!$F$2:$F$5251,Pipeline_Sort!$C319))</f>
        <v/>
      </c>
      <c r="F319" s="0" t="str">
        <f aca="false">IF(Pipeline_Sort!$C319="","",INDEX(Pipeline_Calc!$G$2:$G$5251,Pipeline_Sort!$C319))</f>
        <v/>
      </c>
      <c r="G319" s="0" t="str">
        <f aca="false">IF(Pipeline_Sort!$C319="","",INDEX(Pipeline_Calc!$H$2:$H$5251,Pipeline_Sort!$C319))</f>
        <v/>
      </c>
      <c r="H319" s="0" t="str">
        <f aca="false">IF(Pipeline_Sort!$C319="","",INDEX(Pipeline_Calc!$I$2:$I$5251,Pipeline_Sort!$C319))</f>
        <v/>
      </c>
      <c r="I319" s="0" t="str">
        <f aca="false">IF(Pipeline_Sort!$C319="","",INDEX(Pipeline_Calc!$J$2:$J$5251,Pipeline_Sort!$C319))</f>
        <v/>
      </c>
    </row>
    <row r="320" customFormat="false" ht="15" hidden="false" customHeight="false" outlineLevel="0" collapsed="false">
      <c r="A320" s="33" t="str">
        <f aca="false">IF(Pipeline_Sort!$C320="","",INDEX(Pipeline_Calc!$B$2:$B$5251,Pipeline_Sort!$C320))</f>
        <v/>
      </c>
      <c r="B320" s="0" t="str">
        <f aca="false">IF(Pipeline_Sort!$C320="","",INDEX(Pipeline_Calc!$C$2:$C$5251,Pipeline_Sort!$C320))</f>
        <v/>
      </c>
      <c r="C320" s="0" t="str">
        <f aca="false">IF(Pipeline_Sort!$C320="","",INDEX(Pipeline_Calc!$D$2:$D$5251,Pipeline_Sort!$C320))</f>
        <v/>
      </c>
      <c r="D320" s="0" t="str">
        <f aca="false">IF(Pipeline_Sort!$C320="","",INDEX(Pipeline_Calc!$E$2:$E$5251,Pipeline_Sort!$C320))</f>
        <v/>
      </c>
      <c r="E320" s="0" t="str">
        <f aca="false">IF(Pipeline_Sort!$C320="","",INDEX(Pipeline_Calc!$F$2:$F$5251,Pipeline_Sort!$C320))</f>
        <v/>
      </c>
      <c r="F320" s="0" t="str">
        <f aca="false">IF(Pipeline_Sort!$C320="","",INDEX(Pipeline_Calc!$G$2:$G$5251,Pipeline_Sort!$C320))</f>
        <v/>
      </c>
      <c r="G320" s="0" t="str">
        <f aca="false">IF(Pipeline_Sort!$C320="","",INDEX(Pipeline_Calc!$H$2:$H$5251,Pipeline_Sort!$C320))</f>
        <v/>
      </c>
      <c r="H320" s="0" t="str">
        <f aca="false">IF(Pipeline_Sort!$C320="","",INDEX(Pipeline_Calc!$I$2:$I$5251,Pipeline_Sort!$C320))</f>
        <v/>
      </c>
      <c r="I320" s="0" t="str">
        <f aca="false">IF(Pipeline_Sort!$C320="","",INDEX(Pipeline_Calc!$J$2:$J$5251,Pipeline_Sort!$C320))</f>
        <v/>
      </c>
    </row>
    <row r="321" customFormat="false" ht="15" hidden="false" customHeight="false" outlineLevel="0" collapsed="false">
      <c r="A321" s="33" t="str">
        <f aca="false">IF(Pipeline_Sort!$C321="","",INDEX(Pipeline_Calc!$B$2:$B$5251,Pipeline_Sort!$C321))</f>
        <v/>
      </c>
      <c r="B321" s="0" t="str">
        <f aca="false">IF(Pipeline_Sort!$C321="","",INDEX(Pipeline_Calc!$C$2:$C$5251,Pipeline_Sort!$C321))</f>
        <v/>
      </c>
      <c r="C321" s="0" t="str">
        <f aca="false">IF(Pipeline_Sort!$C321="","",INDEX(Pipeline_Calc!$D$2:$D$5251,Pipeline_Sort!$C321))</f>
        <v/>
      </c>
      <c r="D321" s="0" t="str">
        <f aca="false">IF(Pipeline_Sort!$C321="","",INDEX(Pipeline_Calc!$E$2:$E$5251,Pipeline_Sort!$C321))</f>
        <v/>
      </c>
      <c r="E321" s="0" t="str">
        <f aca="false">IF(Pipeline_Sort!$C321="","",INDEX(Pipeline_Calc!$F$2:$F$5251,Pipeline_Sort!$C321))</f>
        <v/>
      </c>
      <c r="F321" s="0" t="str">
        <f aca="false">IF(Pipeline_Sort!$C321="","",INDEX(Pipeline_Calc!$G$2:$G$5251,Pipeline_Sort!$C321))</f>
        <v/>
      </c>
      <c r="G321" s="0" t="str">
        <f aca="false">IF(Pipeline_Sort!$C321="","",INDEX(Pipeline_Calc!$H$2:$H$5251,Pipeline_Sort!$C321))</f>
        <v/>
      </c>
      <c r="H321" s="0" t="str">
        <f aca="false">IF(Pipeline_Sort!$C321="","",INDEX(Pipeline_Calc!$I$2:$I$5251,Pipeline_Sort!$C321))</f>
        <v/>
      </c>
      <c r="I321" s="0" t="str">
        <f aca="false">IF(Pipeline_Sort!$C321="","",INDEX(Pipeline_Calc!$J$2:$J$5251,Pipeline_Sort!$C321))</f>
        <v/>
      </c>
    </row>
    <row r="322" customFormat="false" ht="15" hidden="false" customHeight="false" outlineLevel="0" collapsed="false">
      <c r="A322" s="33" t="str">
        <f aca="false">IF(Pipeline_Sort!$C322="","",INDEX(Pipeline_Calc!$B$2:$B$5251,Pipeline_Sort!$C322))</f>
        <v/>
      </c>
      <c r="B322" s="0" t="str">
        <f aca="false">IF(Pipeline_Sort!$C322="","",INDEX(Pipeline_Calc!$C$2:$C$5251,Pipeline_Sort!$C322))</f>
        <v/>
      </c>
      <c r="C322" s="0" t="str">
        <f aca="false">IF(Pipeline_Sort!$C322="","",INDEX(Pipeline_Calc!$D$2:$D$5251,Pipeline_Sort!$C322))</f>
        <v/>
      </c>
      <c r="D322" s="0" t="str">
        <f aca="false">IF(Pipeline_Sort!$C322="","",INDEX(Pipeline_Calc!$E$2:$E$5251,Pipeline_Sort!$C322))</f>
        <v/>
      </c>
      <c r="E322" s="0" t="str">
        <f aca="false">IF(Pipeline_Sort!$C322="","",INDEX(Pipeline_Calc!$F$2:$F$5251,Pipeline_Sort!$C322))</f>
        <v/>
      </c>
      <c r="F322" s="0" t="str">
        <f aca="false">IF(Pipeline_Sort!$C322="","",INDEX(Pipeline_Calc!$G$2:$G$5251,Pipeline_Sort!$C322))</f>
        <v/>
      </c>
      <c r="G322" s="0" t="str">
        <f aca="false">IF(Pipeline_Sort!$C322="","",INDEX(Pipeline_Calc!$H$2:$H$5251,Pipeline_Sort!$C322))</f>
        <v/>
      </c>
      <c r="H322" s="0" t="str">
        <f aca="false">IF(Pipeline_Sort!$C322="","",INDEX(Pipeline_Calc!$I$2:$I$5251,Pipeline_Sort!$C322))</f>
        <v/>
      </c>
      <c r="I322" s="0" t="str">
        <f aca="false">IF(Pipeline_Sort!$C322="","",INDEX(Pipeline_Calc!$J$2:$J$5251,Pipeline_Sort!$C322))</f>
        <v/>
      </c>
    </row>
    <row r="323" customFormat="false" ht="15" hidden="false" customHeight="false" outlineLevel="0" collapsed="false">
      <c r="A323" s="33" t="str">
        <f aca="false">IF(Pipeline_Sort!$C323="","",INDEX(Pipeline_Calc!$B$2:$B$5251,Pipeline_Sort!$C323))</f>
        <v/>
      </c>
      <c r="B323" s="0" t="str">
        <f aca="false">IF(Pipeline_Sort!$C323="","",INDEX(Pipeline_Calc!$C$2:$C$5251,Pipeline_Sort!$C323))</f>
        <v/>
      </c>
      <c r="C323" s="0" t="str">
        <f aca="false">IF(Pipeline_Sort!$C323="","",INDEX(Pipeline_Calc!$D$2:$D$5251,Pipeline_Sort!$C323))</f>
        <v/>
      </c>
      <c r="D323" s="0" t="str">
        <f aca="false">IF(Pipeline_Sort!$C323="","",INDEX(Pipeline_Calc!$E$2:$E$5251,Pipeline_Sort!$C323))</f>
        <v/>
      </c>
      <c r="E323" s="0" t="str">
        <f aca="false">IF(Pipeline_Sort!$C323="","",INDEX(Pipeline_Calc!$F$2:$F$5251,Pipeline_Sort!$C323))</f>
        <v/>
      </c>
      <c r="F323" s="0" t="str">
        <f aca="false">IF(Pipeline_Sort!$C323="","",INDEX(Pipeline_Calc!$G$2:$G$5251,Pipeline_Sort!$C323))</f>
        <v/>
      </c>
      <c r="G323" s="0" t="str">
        <f aca="false">IF(Pipeline_Sort!$C323="","",INDEX(Pipeline_Calc!$H$2:$H$5251,Pipeline_Sort!$C323))</f>
        <v/>
      </c>
      <c r="H323" s="0" t="str">
        <f aca="false">IF(Pipeline_Sort!$C323="","",INDEX(Pipeline_Calc!$I$2:$I$5251,Pipeline_Sort!$C323))</f>
        <v/>
      </c>
      <c r="I323" s="0" t="str">
        <f aca="false">IF(Pipeline_Sort!$C323="","",INDEX(Pipeline_Calc!$J$2:$J$5251,Pipeline_Sort!$C323))</f>
        <v/>
      </c>
    </row>
    <row r="324" customFormat="false" ht="15" hidden="false" customHeight="false" outlineLevel="0" collapsed="false">
      <c r="A324" s="33" t="str">
        <f aca="false">IF(Pipeline_Sort!$C324="","",INDEX(Pipeline_Calc!$B$2:$B$5251,Pipeline_Sort!$C324))</f>
        <v/>
      </c>
      <c r="B324" s="0" t="str">
        <f aca="false">IF(Pipeline_Sort!$C324="","",INDEX(Pipeline_Calc!$C$2:$C$5251,Pipeline_Sort!$C324))</f>
        <v/>
      </c>
      <c r="C324" s="0" t="str">
        <f aca="false">IF(Pipeline_Sort!$C324="","",INDEX(Pipeline_Calc!$D$2:$D$5251,Pipeline_Sort!$C324))</f>
        <v/>
      </c>
      <c r="D324" s="0" t="str">
        <f aca="false">IF(Pipeline_Sort!$C324="","",INDEX(Pipeline_Calc!$E$2:$E$5251,Pipeline_Sort!$C324))</f>
        <v/>
      </c>
      <c r="E324" s="0" t="str">
        <f aca="false">IF(Pipeline_Sort!$C324="","",INDEX(Pipeline_Calc!$F$2:$F$5251,Pipeline_Sort!$C324))</f>
        <v/>
      </c>
      <c r="F324" s="0" t="str">
        <f aca="false">IF(Pipeline_Sort!$C324="","",INDEX(Pipeline_Calc!$G$2:$G$5251,Pipeline_Sort!$C324))</f>
        <v/>
      </c>
      <c r="G324" s="0" t="str">
        <f aca="false">IF(Pipeline_Sort!$C324="","",INDEX(Pipeline_Calc!$H$2:$H$5251,Pipeline_Sort!$C324))</f>
        <v/>
      </c>
      <c r="H324" s="0" t="str">
        <f aca="false">IF(Pipeline_Sort!$C324="","",INDEX(Pipeline_Calc!$I$2:$I$5251,Pipeline_Sort!$C324))</f>
        <v/>
      </c>
      <c r="I324" s="0" t="str">
        <f aca="false">IF(Pipeline_Sort!$C324="","",INDEX(Pipeline_Calc!$J$2:$J$5251,Pipeline_Sort!$C324))</f>
        <v/>
      </c>
    </row>
    <row r="325" customFormat="false" ht="15" hidden="false" customHeight="false" outlineLevel="0" collapsed="false">
      <c r="A325" s="33" t="str">
        <f aca="false">IF(Pipeline_Sort!$C325="","",INDEX(Pipeline_Calc!$B$2:$B$5251,Pipeline_Sort!$C325))</f>
        <v/>
      </c>
      <c r="B325" s="0" t="str">
        <f aca="false">IF(Pipeline_Sort!$C325="","",INDEX(Pipeline_Calc!$C$2:$C$5251,Pipeline_Sort!$C325))</f>
        <v/>
      </c>
      <c r="C325" s="0" t="str">
        <f aca="false">IF(Pipeline_Sort!$C325="","",INDEX(Pipeline_Calc!$D$2:$D$5251,Pipeline_Sort!$C325))</f>
        <v/>
      </c>
      <c r="D325" s="0" t="str">
        <f aca="false">IF(Pipeline_Sort!$C325="","",INDEX(Pipeline_Calc!$E$2:$E$5251,Pipeline_Sort!$C325))</f>
        <v/>
      </c>
      <c r="E325" s="0" t="str">
        <f aca="false">IF(Pipeline_Sort!$C325="","",INDEX(Pipeline_Calc!$F$2:$F$5251,Pipeline_Sort!$C325))</f>
        <v/>
      </c>
      <c r="F325" s="0" t="str">
        <f aca="false">IF(Pipeline_Sort!$C325="","",INDEX(Pipeline_Calc!$G$2:$G$5251,Pipeline_Sort!$C325))</f>
        <v/>
      </c>
      <c r="G325" s="0" t="str">
        <f aca="false">IF(Pipeline_Sort!$C325="","",INDEX(Pipeline_Calc!$H$2:$H$5251,Pipeline_Sort!$C325))</f>
        <v/>
      </c>
      <c r="H325" s="0" t="str">
        <f aca="false">IF(Pipeline_Sort!$C325="","",INDEX(Pipeline_Calc!$I$2:$I$5251,Pipeline_Sort!$C325))</f>
        <v/>
      </c>
      <c r="I325" s="0" t="str">
        <f aca="false">IF(Pipeline_Sort!$C325="","",INDEX(Pipeline_Calc!$J$2:$J$5251,Pipeline_Sort!$C325))</f>
        <v/>
      </c>
    </row>
    <row r="326" customFormat="false" ht="15" hidden="false" customHeight="false" outlineLevel="0" collapsed="false">
      <c r="A326" s="33" t="str">
        <f aca="false">IF(Pipeline_Sort!$C326="","",INDEX(Pipeline_Calc!$B$2:$B$5251,Pipeline_Sort!$C326))</f>
        <v/>
      </c>
      <c r="B326" s="0" t="str">
        <f aca="false">IF(Pipeline_Sort!$C326="","",INDEX(Pipeline_Calc!$C$2:$C$5251,Pipeline_Sort!$C326))</f>
        <v/>
      </c>
      <c r="C326" s="0" t="str">
        <f aca="false">IF(Pipeline_Sort!$C326="","",INDEX(Pipeline_Calc!$D$2:$D$5251,Pipeline_Sort!$C326))</f>
        <v/>
      </c>
      <c r="D326" s="0" t="str">
        <f aca="false">IF(Pipeline_Sort!$C326="","",INDEX(Pipeline_Calc!$E$2:$E$5251,Pipeline_Sort!$C326))</f>
        <v/>
      </c>
      <c r="E326" s="0" t="str">
        <f aca="false">IF(Pipeline_Sort!$C326="","",INDEX(Pipeline_Calc!$F$2:$F$5251,Pipeline_Sort!$C326))</f>
        <v/>
      </c>
      <c r="F326" s="0" t="str">
        <f aca="false">IF(Pipeline_Sort!$C326="","",INDEX(Pipeline_Calc!$G$2:$G$5251,Pipeline_Sort!$C326))</f>
        <v/>
      </c>
      <c r="G326" s="0" t="str">
        <f aca="false">IF(Pipeline_Sort!$C326="","",INDEX(Pipeline_Calc!$H$2:$H$5251,Pipeline_Sort!$C326))</f>
        <v/>
      </c>
      <c r="H326" s="0" t="str">
        <f aca="false">IF(Pipeline_Sort!$C326="","",INDEX(Pipeline_Calc!$I$2:$I$5251,Pipeline_Sort!$C326))</f>
        <v/>
      </c>
      <c r="I326" s="0" t="str">
        <f aca="false">IF(Pipeline_Sort!$C326="","",INDEX(Pipeline_Calc!$J$2:$J$5251,Pipeline_Sort!$C326))</f>
        <v/>
      </c>
    </row>
    <row r="327" customFormat="false" ht="15" hidden="false" customHeight="false" outlineLevel="0" collapsed="false">
      <c r="A327" s="33" t="str">
        <f aca="false">IF(Pipeline_Sort!$C327="","",INDEX(Pipeline_Calc!$B$2:$B$5251,Pipeline_Sort!$C327))</f>
        <v/>
      </c>
      <c r="B327" s="0" t="str">
        <f aca="false">IF(Pipeline_Sort!$C327="","",INDEX(Pipeline_Calc!$C$2:$C$5251,Pipeline_Sort!$C327))</f>
        <v/>
      </c>
      <c r="C327" s="0" t="str">
        <f aca="false">IF(Pipeline_Sort!$C327="","",INDEX(Pipeline_Calc!$D$2:$D$5251,Pipeline_Sort!$C327))</f>
        <v/>
      </c>
      <c r="D327" s="0" t="str">
        <f aca="false">IF(Pipeline_Sort!$C327="","",INDEX(Pipeline_Calc!$E$2:$E$5251,Pipeline_Sort!$C327))</f>
        <v/>
      </c>
      <c r="E327" s="0" t="str">
        <f aca="false">IF(Pipeline_Sort!$C327="","",INDEX(Pipeline_Calc!$F$2:$F$5251,Pipeline_Sort!$C327))</f>
        <v/>
      </c>
      <c r="F327" s="0" t="str">
        <f aca="false">IF(Pipeline_Sort!$C327="","",INDEX(Pipeline_Calc!$G$2:$G$5251,Pipeline_Sort!$C327))</f>
        <v/>
      </c>
      <c r="G327" s="0" t="str">
        <f aca="false">IF(Pipeline_Sort!$C327="","",INDEX(Pipeline_Calc!$H$2:$H$5251,Pipeline_Sort!$C327))</f>
        <v/>
      </c>
      <c r="H327" s="0" t="str">
        <f aca="false">IF(Pipeline_Sort!$C327="","",INDEX(Pipeline_Calc!$I$2:$I$5251,Pipeline_Sort!$C327))</f>
        <v/>
      </c>
      <c r="I327" s="0" t="str">
        <f aca="false">IF(Pipeline_Sort!$C327="","",INDEX(Pipeline_Calc!$J$2:$J$5251,Pipeline_Sort!$C327))</f>
        <v/>
      </c>
    </row>
    <row r="328" customFormat="false" ht="15" hidden="false" customHeight="false" outlineLevel="0" collapsed="false">
      <c r="A328" s="33" t="str">
        <f aca="false">IF(Pipeline_Sort!$C328="","",INDEX(Pipeline_Calc!$B$2:$B$5251,Pipeline_Sort!$C328))</f>
        <v/>
      </c>
      <c r="B328" s="0" t="str">
        <f aca="false">IF(Pipeline_Sort!$C328="","",INDEX(Pipeline_Calc!$C$2:$C$5251,Pipeline_Sort!$C328))</f>
        <v/>
      </c>
      <c r="C328" s="0" t="str">
        <f aca="false">IF(Pipeline_Sort!$C328="","",INDEX(Pipeline_Calc!$D$2:$D$5251,Pipeline_Sort!$C328))</f>
        <v/>
      </c>
      <c r="D328" s="0" t="str">
        <f aca="false">IF(Pipeline_Sort!$C328="","",INDEX(Pipeline_Calc!$E$2:$E$5251,Pipeline_Sort!$C328))</f>
        <v/>
      </c>
      <c r="E328" s="0" t="str">
        <f aca="false">IF(Pipeline_Sort!$C328="","",INDEX(Pipeline_Calc!$F$2:$F$5251,Pipeline_Sort!$C328))</f>
        <v/>
      </c>
      <c r="F328" s="0" t="str">
        <f aca="false">IF(Pipeline_Sort!$C328="","",INDEX(Pipeline_Calc!$G$2:$G$5251,Pipeline_Sort!$C328))</f>
        <v/>
      </c>
      <c r="G328" s="0" t="str">
        <f aca="false">IF(Pipeline_Sort!$C328="","",INDEX(Pipeline_Calc!$H$2:$H$5251,Pipeline_Sort!$C328))</f>
        <v/>
      </c>
      <c r="H328" s="0" t="str">
        <f aca="false">IF(Pipeline_Sort!$C328="","",INDEX(Pipeline_Calc!$I$2:$I$5251,Pipeline_Sort!$C328))</f>
        <v/>
      </c>
      <c r="I328" s="0" t="str">
        <f aca="false">IF(Pipeline_Sort!$C328="","",INDEX(Pipeline_Calc!$J$2:$J$5251,Pipeline_Sort!$C328))</f>
        <v/>
      </c>
    </row>
    <row r="329" customFormat="false" ht="15" hidden="false" customHeight="false" outlineLevel="0" collapsed="false">
      <c r="A329" s="33" t="str">
        <f aca="false">IF(Pipeline_Sort!$C329="","",INDEX(Pipeline_Calc!$B$2:$B$5251,Pipeline_Sort!$C329))</f>
        <v/>
      </c>
      <c r="B329" s="0" t="str">
        <f aca="false">IF(Pipeline_Sort!$C329="","",INDEX(Pipeline_Calc!$C$2:$C$5251,Pipeline_Sort!$C329))</f>
        <v/>
      </c>
      <c r="C329" s="0" t="str">
        <f aca="false">IF(Pipeline_Sort!$C329="","",INDEX(Pipeline_Calc!$D$2:$D$5251,Pipeline_Sort!$C329))</f>
        <v/>
      </c>
      <c r="D329" s="0" t="str">
        <f aca="false">IF(Pipeline_Sort!$C329="","",INDEX(Pipeline_Calc!$E$2:$E$5251,Pipeline_Sort!$C329))</f>
        <v/>
      </c>
      <c r="E329" s="0" t="str">
        <f aca="false">IF(Pipeline_Sort!$C329="","",INDEX(Pipeline_Calc!$F$2:$F$5251,Pipeline_Sort!$C329))</f>
        <v/>
      </c>
      <c r="F329" s="0" t="str">
        <f aca="false">IF(Pipeline_Sort!$C329="","",INDEX(Pipeline_Calc!$G$2:$G$5251,Pipeline_Sort!$C329))</f>
        <v/>
      </c>
      <c r="G329" s="0" t="str">
        <f aca="false">IF(Pipeline_Sort!$C329="","",INDEX(Pipeline_Calc!$H$2:$H$5251,Pipeline_Sort!$C329))</f>
        <v/>
      </c>
      <c r="H329" s="0" t="str">
        <f aca="false">IF(Pipeline_Sort!$C329="","",INDEX(Pipeline_Calc!$I$2:$I$5251,Pipeline_Sort!$C329))</f>
        <v/>
      </c>
      <c r="I329" s="0" t="str">
        <f aca="false">IF(Pipeline_Sort!$C329="","",INDEX(Pipeline_Calc!$J$2:$J$5251,Pipeline_Sort!$C329))</f>
        <v/>
      </c>
    </row>
    <row r="330" customFormat="false" ht="15" hidden="false" customHeight="false" outlineLevel="0" collapsed="false">
      <c r="A330" s="33" t="str">
        <f aca="false">IF(Pipeline_Sort!$C330="","",INDEX(Pipeline_Calc!$B$2:$B$5251,Pipeline_Sort!$C330))</f>
        <v/>
      </c>
      <c r="B330" s="0" t="str">
        <f aca="false">IF(Pipeline_Sort!$C330="","",INDEX(Pipeline_Calc!$C$2:$C$5251,Pipeline_Sort!$C330))</f>
        <v/>
      </c>
      <c r="C330" s="0" t="str">
        <f aca="false">IF(Pipeline_Sort!$C330="","",INDEX(Pipeline_Calc!$D$2:$D$5251,Pipeline_Sort!$C330))</f>
        <v/>
      </c>
      <c r="D330" s="0" t="str">
        <f aca="false">IF(Pipeline_Sort!$C330="","",INDEX(Pipeline_Calc!$E$2:$E$5251,Pipeline_Sort!$C330))</f>
        <v/>
      </c>
      <c r="E330" s="0" t="str">
        <f aca="false">IF(Pipeline_Sort!$C330="","",INDEX(Pipeline_Calc!$F$2:$F$5251,Pipeline_Sort!$C330))</f>
        <v/>
      </c>
      <c r="F330" s="0" t="str">
        <f aca="false">IF(Pipeline_Sort!$C330="","",INDEX(Pipeline_Calc!$G$2:$G$5251,Pipeline_Sort!$C330))</f>
        <v/>
      </c>
      <c r="G330" s="0" t="str">
        <f aca="false">IF(Pipeline_Sort!$C330="","",INDEX(Pipeline_Calc!$H$2:$H$5251,Pipeline_Sort!$C330))</f>
        <v/>
      </c>
      <c r="H330" s="0" t="str">
        <f aca="false">IF(Pipeline_Sort!$C330="","",INDEX(Pipeline_Calc!$I$2:$I$5251,Pipeline_Sort!$C330))</f>
        <v/>
      </c>
      <c r="I330" s="0" t="str">
        <f aca="false">IF(Pipeline_Sort!$C330="","",INDEX(Pipeline_Calc!$J$2:$J$5251,Pipeline_Sort!$C330))</f>
        <v/>
      </c>
    </row>
    <row r="331" customFormat="false" ht="15" hidden="false" customHeight="false" outlineLevel="0" collapsed="false">
      <c r="A331" s="33" t="str">
        <f aca="false">IF(Pipeline_Sort!$C331="","",INDEX(Pipeline_Calc!$B$2:$B$5251,Pipeline_Sort!$C331))</f>
        <v/>
      </c>
      <c r="B331" s="0" t="str">
        <f aca="false">IF(Pipeline_Sort!$C331="","",INDEX(Pipeline_Calc!$C$2:$C$5251,Pipeline_Sort!$C331))</f>
        <v/>
      </c>
      <c r="C331" s="0" t="str">
        <f aca="false">IF(Pipeline_Sort!$C331="","",INDEX(Pipeline_Calc!$D$2:$D$5251,Pipeline_Sort!$C331))</f>
        <v/>
      </c>
      <c r="D331" s="0" t="str">
        <f aca="false">IF(Pipeline_Sort!$C331="","",INDEX(Pipeline_Calc!$E$2:$E$5251,Pipeline_Sort!$C331))</f>
        <v/>
      </c>
      <c r="E331" s="0" t="str">
        <f aca="false">IF(Pipeline_Sort!$C331="","",INDEX(Pipeline_Calc!$F$2:$F$5251,Pipeline_Sort!$C331))</f>
        <v/>
      </c>
      <c r="F331" s="0" t="str">
        <f aca="false">IF(Pipeline_Sort!$C331="","",INDEX(Pipeline_Calc!$G$2:$G$5251,Pipeline_Sort!$C331))</f>
        <v/>
      </c>
      <c r="G331" s="0" t="str">
        <f aca="false">IF(Pipeline_Sort!$C331="","",INDEX(Pipeline_Calc!$H$2:$H$5251,Pipeline_Sort!$C331))</f>
        <v/>
      </c>
      <c r="H331" s="0" t="str">
        <f aca="false">IF(Pipeline_Sort!$C331="","",INDEX(Pipeline_Calc!$I$2:$I$5251,Pipeline_Sort!$C331))</f>
        <v/>
      </c>
      <c r="I331" s="0" t="str">
        <f aca="false">IF(Pipeline_Sort!$C331="","",INDEX(Pipeline_Calc!$J$2:$J$5251,Pipeline_Sort!$C331))</f>
        <v/>
      </c>
    </row>
    <row r="332" customFormat="false" ht="15" hidden="false" customHeight="false" outlineLevel="0" collapsed="false">
      <c r="A332" s="33" t="str">
        <f aca="false">IF(Pipeline_Sort!$C332="","",INDEX(Pipeline_Calc!$B$2:$B$5251,Pipeline_Sort!$C332))</f>
        <v/>
      </c>
      <c r="B332" s="0" t="str">
        <f aca="false">IF(Pipeline_Sort!$C332="","",INDEX(Pipeline_Calc!$C$2:$C$5251,Pipeline_Sort!$C332))</f>
        <v/>
      </c>
      <c r="C332" s="0" t="str">
        <f aca="false">IF(Pipeline_Sort!$C332="","",INDEX(Pipeline_Calc!$D$2:$D$5251,Pipeline_Sort!$C332))</f>
        <v/>
      </c>
      <c r="D332" s="0" t="str">
        <f aca="false">IF(Pipeline_Sort!$C332="","",INDEX(Pipeline_Calc!$E$2:$E$5251,Pipeline_Sort!$C332))</f>
        <v/>
      </c>
      <c r="E332" s="0" t="str">
        <f aca="false">IF(Pipeline_Sort!$C332="","",INDEX(Pipeline_Calc!$F$2:$F$5251,Pipeline_Sort!$C332))</f>
        <v/>
      </c>
      <c r="F332" s="0" t="str">
        <f aca="false">IF(Pipeline_Sort!$C332="","",INDEX(Pipeline_Calc!$G$2:$G$5251,Pipeline_Sort!$C332))</f>
        <v/>
      </c>
      <c r="G332" s="0" t="str">
        <f aca="false">IF(Pipeline_Sort!$C332="","",INDEX(Pipeline_Calc!$H$2:$H$5251,Pipeline_Sort!$C332))</f>
        <v/>
      </c>
      <c r="H332" s="0" t="str">
        <f aca="false">IF(Pipeline_Sort!$C332="","",INDEX(Pipeline_Calc!$I$2:$I$5251,Pipeline_Sort!$C332))</f>
        <v/>
      </c>
      <c r="I332" s="0" t="str">
        <f aca="false">IF(Pipeline_Sort!$C332="","",INDEX(Pipeline_Calc!$J$2:$J$5251,Pipeline_Sort!$C332))</f>
        <v/>
      </c>
    </row>
    <row r="333" customFormat="false" ht="15" hidden="false" customHeight="false" outlineLevel="0" collapsed="false">
      <c r="A333" s="33" t="str">
        <f aca="false">IF(Pipeline_Sort!$C333="","",INDEX(Pipeline_Calc!$B$2:$B$5251,Pipeline_Sort!$C333))</f>
        <v/>
      </c>
      <c r="B333" s="0" t="str">
        <f aca="false">IF(Pipeline_Sort!$C333="","",INDEX(Pipeline_Calc!$C$2:$C$5251,Pipeline_Sort!$C333))</f>
        <v/>
      </c>
      <c r="C333" s="0" t="str">
        <f aca="false">IF(Pipeline_Sort!$C333="","",INDEX(Pipeline_Calc!$D$2:$D$5251,Pipeline_Sort!$C333))</f>
        <v/>
      </c>
      <c r="D333" s="0" t="str">
        <f aca="false">IF(Pipeline_Sort!$C333="","",INDEX(Pipeline_Calc!$E$2:$E$5251,Pipeline_Sort!$C333))</f>
        <v/>
      </c>
      <c r="E333" s="0" t="str">
        <f aca="false">IF(Pipeline_Sort!$C333="","",INDEX(Pipeline_Calc!$F$2:$F$5251,Pipeline_Sort!$C333))</f>
        <v/>
      </c>
      <c r="F333" s="0" t="str">
        <f aca="false">IF(Pipeline_Sort!$C333="","",INDEX(Pipeline_Calc!$G$2:$G$5251,Pipeline_Sort!$C333))</f>
        <v/>
      </c>
      <c r="G333" s="0" t="str">
        <f aca="false">IF(Pipeline_Sort!$C333="","",INDEX(Pipeline_Calc!$H$2:$H$5251,Pipeline_Sort!$C333))</f>
        <v/>
      </c>
      <c r="H333" s="0" t="str">
        <f aca="false">IF(Pipeline_Sort!$C333="","",INDEX(Pipeline_Calc!$I$2:$I$5251,Pipeline_Sort!$C333))</f>
        <v/>
      </c>
      <c r="I333" s="0" t="str">
        <f aca="false">IF(Pipeline_Sort!$C333="","",INDEX(Pipeline_Calc!$J$2:$J$5251,Pipeline_Sort!$C333))</f>
        <v/>
      </c>
    </row>
    <row r="334" customFormat="false" ht="15" hidden="false" customHeight="false" outlineLevel="0" collapsed="false">
      <c r="A334" s="33" t="str">
        <f aca="false">IF(Pipeline_Sort!$C334="","",INDEX(Pipeline_Calc!$B$2:$B$5251,Pipeline_Sort!$C334))</f>
        <v/>
      </c>
      <c r="B334" s="0" t="str">
        <f aca="false">IF(Pipeline_Sort!$C334="","",INDEX(Pipeline_Calc!$C$2:$C$5251,Pipeline_Sort!$C334))</f>
        <v/>
      </c>
      <c r="C334" s="0" t="str">
        <f aca="false">IF(Pipeline_Sort!$C334="","",INDEX(Pipeline_Calc!$D$2:$D$5251,Pipeline_Sort!$C334))</f>
        <v/>
      </c>
      <c r="D334" s="0" t="str">
        <f aca="false">IF(Pipeline_Sort!$C334="","",INDEX(Pipeline_Calc!$E$2:$E$5251,Pipeline_Sort!$C334))</f>
        <v/>
      </c>
      <c r="E334" s="0" t="str">
        <f aca="false">IF(Pipeline_Sort!$C334="","",INDEX(Pipeline_Calc!$F$2:$F$5251,Pipeline_Sort!$C334))</f>
        <v/>
      </c>
      <c r="F334" s="0" t="str">
        <f aca="false">IF(Pipeline_Sort!$C334="","",INDEX(Pipeline_Calc!$G$2:$G$5251,Pipeline_Sort!$C334))</f>
        <v/>
      </c>
      <c r="G334" s="0" t="str">
        <f aca="false">IF(Pipeline_Sort!$C334="","",INDEX(Pipeline_Calc!$H$2:$H$5251,Pipeline_Sort!$C334))</f>
        <v/>
      </c>
      <c r="H334" s="0" t="str">
        <f aca="false">IF(Pipeline_Sort!$C334="","",INDEX(Pipeline_Calc!$I$2:$I$5251,Pipeline_Sort!$C334))</f>
        <v/>
      </c>
      <c r="I334" s="0" t="str">
        <f aca="false">IF(Pipeline_Sort!$C334="","",INDEX(Pipeline_Calc!$J$2:$J$5251,Pipeline_Sort!$C334))</f>
        <v/>
      </c>
    </row>
    <row r="335" customFormat="false" ht="15" hidden="false" customHeight="false" outlineLevel="0" collapsed="false">
      <c r="A335" s="33" t="str">
        <f aca="false">IF(Pipeline_Sort!$C335="","",INDEX(Pipeline_Calc!$B$2:$B$5251,Pipeline_Sort!$C335))</f>
        <v/>
      </c>
      <c r="B335" s="0" t="str">
        <f aca="false">IF(Pipeline_Sort!$C335="","",INDEX(Pipeline_Calc!$C$2:$C$5251,Pipeline_Sort!$C335))</f>
        <v/>
      </c>
      <c r="C335" s="0" t="str">
        <f aca="false">IF(Pipeline_Sort!$C335="","",INDEX(Pipeline_Calc!$D$2:$D$5251,Pipeline_Sort!$C335))</f>
        <v/>
      </c>
      <c r="D335" s="0" t="str">
        <f aca="false">IF(Pipeline_Sort!$C335="","",INDEX(Pipeline_Calc!$E$2:$E$5251,Pipeline_Sort!$C335))</f>
        <v/>
      </c>
      <c r="E335" s="0" t="str">
        <f aca="false">IF(Pipeline_Sort!$C335="","",INDEX(Pipeline_Calc!$F$2:$F$5251,Pipeline_Sort!$C335))</f>
        <v/>
      </c>
      <c r="F335" s="0" t="str">
        <f aca="false">IF(Pipeline_Sort!$C335="","",INDEX(Pipeline_Calc!$G$2:$G$5251,Pipeline_Sort!$C335))</f>
        <v/>
      </c>
      <c r="G335" s="0" t="str">
        <f aca="false">IF(Pipeline_Sort!$C335="","",INDEX(Pipeline_Calc!$H$2:$H$5251,Pipeline_Sort!$C335))</f>
        <v/>
      </c>
      <c r="H335" s="0" t="str">
        <f aca="false">IF(Pipeline_Sort!$C335="","",INDEX(Pipeline_Calc!$I$2:$I$5251,Pipeline_Sort!$C335))</f>
        <v/>
      </c>
      <c r="I335" s="0" t="str">
        <f aca="false">IF(Pipeline_Sort!$C335="","",INDEX(Pipeline_Calc!$J$2:$J$5251,Pipeline_Sort!$C335))</f>
        <v/>
      </c>
    </row>
    <row r="336" customFormat="false" ht="15" hidden="false" customHeight="false" outlineLevel="0" collapsed="false">
      <c r="A336" s="33" t="str">
        <f aca="false">IF(Pipeline_Sort!$C336="","",INDEX(Pipeline_Calc!$B$2:$B$5251,Pipeline_Sort!$C336))</f>
        <v/>
      </c>
      <c r="B336" s="0" t="str">
        <f aca="false">IF(Pipeline_Sort!$C336="","",INDEX(Pipeline_Calc!$C$2:$C$5251,Pipeline_Sort!$C336))</f>
        <v/>
      </c>
      <c r="C336" s="0" t="str">
        <f aca="false">IF(Pipeline_Sort!$C336="","",INDEX(Pipeline_Calc!$D$2:$D$5251,Pipeline_Sort!$C336))</f>
        <v/>
      </c>
      <c r="D336" s="0" t="str">
        <f aca="false">IF(Pipeline_Sort!$C336="","",INDEX(Pipeline_Calc!$E$2:$E$5251,Pipeline_Sort!$C336))</f>
        <v/>
      </c>
      <c r="E336" s="0" t="str">
        <f aca="false">IF(Pipeline_Sort!$C336="","",INDEX(Pipeline_Calc!$F$2:$F$5251,Pipeline_Sort!$C336))</f>
        <v/>
      </c>
      <c r="F336" s="0" t="str">
        <f aca="false">IF(Pipeline_Sort!$C336="","",INDEX(Pipeline_Calc!$G$2:$G$5251,Pipeline_Sort!$C336))</f>
        <v/>
      </c>
      <c r="G336" s="0" t="str">
        <f aca="false">IF(Pipeline_Sort!$C336="","",INDEX(Pipeline_Calc!$H$2:$H$5251,Pipeline_Sort!$C336))</f>
        <v/>
      </c>
      <c r="H336" s="0" t="str">
        <f aca="false">IF(Pipeline_Sort!$C336="","",INDEX(Pipeline_Calc!$I$2:$I$5251,Pipeline_Sort!$C336))</f>
        <v/>
      </c>
      <c r="I336" s="0" t="str">
        <f aca="false">IF(Pipeline_Sort!$C336="","",INDEX(Pipeline_Calc!$J$2:$J$5251,Pipeline_Sort!$C336))</f>
        <v/>
      </c>
    </row>
    <row r="337" customFormat="false" ht="15" hidden="false" customHeight="false" outlineLevel="0" collapsed="false">
      <c r="A337" s="33" t="str">
        <f aca="false">IF(Pipeline_Sort!$C337="","",INDEX(Pipeline_Calc!$B$2:$B$5251,Pipeline_Sort!$C337))</f>
        <v/>
      </c>
      <c r="B337" s="0" t="str">
        <f aca="false">IF(Pipeline_Sort!$C337="","",INDEX(Pipeline_Calc!$C$2:$C$5251,Pipeline_Sort!$C337))</f>
        <v/>
      </c>
      <c r="C337" s="0" t="str">
        <f aca="false">IF(Pipeline_Sort!$C337="","",INDEX(Pipeline_Calc!$D$2:$D$5251,Pipeline_Sort!$C337))</f>
        <v/>
      </c>
      <c r="D337" s="0" t="str">
        <f aca="false">IF(Pipeline_Sort!$C337="","",INDEX(Pipeline_Calc!$E$2:$E$5251,Pipeline_Sort!$C337))</f>
        <v/>
      </c>
      <c r="E337" s="0" t="str">
        <f aca="false">IF(Pipeline_Sort!$C337="","",INDEX(Pipeline_Calc!$F$2:$F$5251,Pipeline_Sort!$C337))</f>
        <v/>
      </c>
      <c r="F337" s="0" t="str">
        <f aca="false">IF(Pipeline_Sort!$C337="","",INDEX(Pipeline_Calc!$G$2:$G$5251,Pipeline_Sort!$C337))</f>
        <v/>
      </c>
      <c r="G337" s="0" t="str">
        <f aca="false">IF(Pipeline_Sort!$C337="","",INDEX(Pipeline_Calc!$H$2:$H$5251,Pipeline_Sort!$C337))</f>
        <v/>
      </c>
      <c r="H337" s="0" t="str">
        <f aca="false">IF(Pipeline_Sort!$C337="","",INDEX(Pipeline_Calc!$I$2:$I$5251,Pipeline_Sort!$C337))</f>
        <v/>
      </c>
      <c r="I337" s="0" t="str">
        <f aca="false">IF(Pipeline_Sort!$C337="","",INDEX(Pipeline_Calc!$J$2:$J$5251,Pipeline_Sort!$C337))</f>
        <v/>
      </c>
    </row>
    <row r="338" customFormat="false" ht="15" hidden="false" customHeight="false" outlineLevel="0" collapsed="false">
      <c r="A338" s="33" t="str">
        <f aca="false">IF(Pipeline_Sort!$C338="","",INDEX(Pipeline_Calc!$B$2:$B$5251,Pipeline_Sort!$C338))</f>
        <v/>
      </c>
      <c r="B338" s="0" t="str">
        <f aca="false">IF(Pipeline_Sort!$C338="","",INDEX(Pipeline_Calc!$C$2:$C$5251,Pipeline_Sort!$C338))</f>
        <v/>
      </c>
      <c r="C338" s="0" t="str">
        <f aca="false">IF(Pipeline_Sort!$C338="","",INDEX(Pipeline_Calc!$D$2:$D$5251,Pipeline_Sort!$C338))</f>
        <v/>
      </c>
      <c r="D338" s="0" t="str">
        <f aca="false">IF(Pipeline_Sort!$C338="","",INDEX(Pipeline_Calc!$E$2:$E$5251,Pipeline_Sort!$C338))</f>
        <v/>
      </c>
      <c r="E338" s="0" t="str">
        <f aca="false">IF(Pipeline_Sort!$C338="","",INDEX(Pipeline_Calc!$F$2:$F$5251,Pipeline_Sort!$C338))</f>
        <v/>
      </c>
      <c r="F338" s="0" t="str">
        <f aca="false">IF(Pipeline_Sort!$C338="","",INDEX(Pipeline_Calc!$G$2:$G$5251,Pipeline_Sort!$C338))</f>
        <v/>
      </c>
      <c r="G338" s="0" t="str">
        <f aca="false">IF(Pipeline_Sort!$C338="","",INDEX(Pipeline_Calc!$H$2:$H$5251,Pipeline_Sort!$C338))</f>
        <v/>
      </c>
      <c r="H338" s="0" t="str">
        <f aca="false">IF(Pipeline_Sort!$C338="","",INDEX(Pipeline_Calc!$I$2:$I$5251,Pipeline_Sort!$C338))</f>
        <v/>
      </c>
      <c r="I338" s="0" t="str">
        <f aca="false">IF(Pipeline_Sort!$C338="","",INDEX(Pipeline_Calc!$J$2:$J$5251,Pipeline_Sort!$C338))</f>
        <v/>
      </c>
    </row>
    <row r="339" customFormat="false" ht="15" hidden="false" customHeight="false" outlineLevel="0" collapsed="false">
      <c r="A339" s="33" t="str">
        <f aca="false">IF(Pipeline_Sort!$C339="","",INDEX(Pipeline_Calc!$B$2:$B$5251,Pipeline_Sort!$C339))</f>
        <v/>
      </c>
      <c r="B339" s="0" t="str">
        <f aca="false">IF(Pipeline_Sort!$C339="","",INDEX(Pipeline_Calc!$C$2:$C$5251,Pipeline_Sort!$C339))</f>
        <v/>
      </c>
      <c r="C339" s="0" t="str">
        <f aca="false">IF(Pipeline_Sort!$C339="","",INDEX(Pipeline_Calc!$D$2:$D$5251,Pipeline_Sort!$C339))</f>
        <v/>
      </c>
      <c r="D339" s="0" t="str">
        <f aca="false">IF(Pipeline_Sort!$C339="","",INDEX(Pipeline_Calc!$E$2:$E$5251,Pipeline_Sort!$C339))</f>
        <v/>
      </c>
      <c r="E339" s="0" t="str">
        <f aca="false">IF(Pipeline_Sort!$C339="","",INDEX(Pipeline_Calc!$F$2:$F$5251,Pipeline_Sort!$C339))</f>
        <v/>
      </c>
      <c r="F339" s="0" t="str">
        <f aca="false">IF(Pipeline_Sort!$C339="","",INDEX(Pipeline_Calc!$G$2:$G$5251,Pipeline_Sort!$C339))</f>
        <v/>
      </c>
      <c r="G339" s="0" t="str">
        <f aca="false">IF(Pipeline_Sort!$C339="","",INDEX(Pipeline_Calc!$H$2:$H$5251,Pipeline_Sort!$C339))</f>
        <v/>
      </c>
      <c r="H339" s="0" t="str">
        <f aca="false">IF(Pipeline_Sort!$C339="","",INDEX(Pipeline_Calc!$I$2:$I$5251,Pipeline_Sort!$C339))</f>
        <v/>
      </c>
      <c r="I339" s="0" t="str">
        <f aca="false">IF(Pipeline_Sort!$C339="","",INDEX(Pipeline_Calc!$J$2:$J$5251,Pipeline_Sort!$C339))</f>
        <v/>
      </c>
    </row>
    <row r="340" customFormat="false" ht="15" hidden="false" customHeight="false" outlineLevel="0" collapsed="false">
      <c r="A340" s="33" t="str">
        <f aca="false">IF(Pipeline_Sort!$C340="","",INDEX(Pipeline_Calc!$B$2:$B$5251,Pipeline_Sort!$C340))</f>
        <v/>
      </c>
      <c r="B340" s="0" t="str">
        <f aca="false">IF(Pipeline_Sort!$C340="","",INDEX(Pipeline_Calc!$C$2:$C$5251,Pipeline_Sort!$C340))</f>
        <v/>
      </c>
      <c r="C340" s="0" t="str">
        <f aca="false">IF(Pipeline_Sort!$C340="","",INDEX(Pipeline_Calc!$D$2:$D$5251,Pipeline_Sort!$C340))</f>
        <v/>
      </c>
      <c r="D340" s="0" t="str">
        <f aca="false">IF(Pipeline_Sort!$C340="","",INDEX(Pipeline_Calc!$E$2:$E$5251,Pipeline_Sort!$C340))</f>
        <v/>
      </c>
      <c r="E340" s="0" t="str">
        <f aca="false">IF(Pipeline_Sort!$C340="","",INDEX(Pipeline_Calc!$F$2:$F$5251,Pipeline_Sort!$C340))</f>
        <v/>
      </c>
      <c r="F340" s="0" t="str">
        <f aca="false">IF(Pipeline_Sort!$C340="","",INDEX(Pipeline_Calc!$G$2:$G$5251,Pipeline_Sort!$C340))</f>
        <v/>
      </c>
      <c r="G340" s="0" t="str">
        <f aca="false">IF(Pipeline_Sort!$C340="","",INDEX(Pipeline_Calc!$H$2:$H$5251,Pipeline_Sort!$C340))</f>
        <v/>
      </c>
      <c r="H340" s="0" t="str">
        <f aca="false">IF(Pipeline_Sort!$C340="","",INDEX(Pipeline_Calc!$I$2:$I$5251,Pipeline_Sort!$C340))</f>
        <v/>
      </c>
      <c r="I340" s="0" t="str">
        <f aca="false">IF(Pipeline_Sort!$C340="","",INDEX(Pipeline_Calc!$J$2:$J$5251,Pipeline_Sort!$C340))</f>
        <v/>
      </c>
    </row>
    <row r="341" customFormat="false" ht="15" hidden="false" customHeight="false" outlineLevel="0" collapsed="false">
      <c r="A341" s="33" t="str">
        <f aca="false">IF(Pipeline_Sort!$C341="","",INDEX(Pipeline_Calc!$B$2:$B$5251,Pipeline_Sort!$C341))</f>
        <v/>
      </c>
      <c r="B341" s="0" t="str">
        <f aca="false">IF(Pipeline_Sort!$C341="","",INDEX(Pipeline_Calc!$C$2:$C$5251,Pipeline_Sort!$C341))</f>
        <v/>
      </c>
      <c r="C341" s="0" t="str">
        <f aca="false">IF(Pipeline_Sort!$C341="","",INDEX(Pipeline_Calc!$D$2:$D$5251,Pipeline_Sort!$C341))</f>
        <v/>
      </c>
      <c r="D341" s="0" t="str">
        <f aca="false">IF(Pipeline_Sort!$C341="","",INDEX(Pipeline_Calc!$E$2:$E$5251,Pipeline_Sort!$C341))</f>
        <v/>
      </c>
      <c r="E341" s="0" t="str">
        <f aca="false">IF(Pipeline_Sort!$C341="","",INDEX(Pipeline_Calc!$F$2:$F$5251,Pipeline_Sort!$C341))</f>
        <v/>
      </c>
      <c r="F341" s="0" t="str">
        <f aca="false">IF(Pipeline_Sort!$C341="","",INDEX(Pipeline_Calc!$G$2:$G$5251,Pipeline_Sort!$C341))</f>
        <v/>
      </c>
      <c r="G341" s="0" t="str">
        <f aca="false">IF(Pipeline_Sort!$C341="","",INDEX(Pipeline_Calc!$H$2:$H$5251,Pipeline_Sort!$C341))</f>
        <v/>
      </c>
      <c r="H341" s="0" t="str">
        <f aca="false">IF(Pipeline_Sort!$C341="","",INDEX(Pipeline_Calc!$I$2:$I$5251,Pipeline_Sort!$C341))</f>
        <v/>
      </c>
      <c r="I341" s="0" t="str">
        <f aca="false">IF(Pipeline_Sort!$C341="","",INDEX(Pipeline_Calc!$J$2:$J$5251,Pipeline_Sort!$C341))</f>
        <v/>
      </c>
    </row>
    <row r="342" customFormat="false" ht="15" hidden="false" customHeight="false" outlineLevel="0" collapsed="false">
      <c r="A342" s="33" t="str">
        <f aca="false">IF(Pipeline_Sort!$C342="","",INDEX(Pipeline_Calc!$B$2:$B$5251,Pipeline_Sort!$C342))</f>
        <v/>
      </c>
      <c r="B342" s="0" t="str">
        <f aca="false">IF(Pipeline_Sort!$C342="","",INDEX(Pipeline_Calc!$C$2:$C$5251,Pipeline_Sort!$C342))</f>
        <v/>
      </c>
      <c r="C342" s="0" t="str">
        <f aca="false">IF(Pipeline_Sort!$C342="","",INDEX(Pipeline_Calc!$D$2:$D$5251,Pipeline_Sort!$C342))</f>
        <v/>
      </c>
      <c r="D342" s="0" t="str">
        <f aca="false">IF(Pipeline_Sort!$C342="","",INDEX(Pipeline_Calc!$E$2:$E$5251,Pipeline_Sort!$C342))</f>
        <v/>
      </c>
      <c r="E342" s="0" t="str">
        <f aca="false">IF(Pipeline_Sort!$C342="","",INDEX(Pipeline_Calc!$F$2:$F$5251,Pipeline_Sort!$C342))</f>
        <v/>
      </c>
      <c r="F342" s="0" t="str">
        <f aca="false">IF(Pipeline_Sort!$C342="","",INDEX(Pipeline_Calc!$G$2:$G$5251,Pipeline_Sort!$C342))</f>
        <v/>
      </c>
      <c r="G342" s="0" t="str">
        <f aca="false">IF(Pipeline_Sort!$C342="","",INDEX(Pipeline_Calc!$H$2:$H$5251,Pipeline_Sort!$C342))</f>
        <v/>
      </c>
      <c r="H342" s="0" t="str">
        <f aca="false">IF(Pipeline_Sort!$C342="","",INDEX(Pipeline_Calc!$I$2:$I$5251,Pipeline_Sort!$C342))</f>
        <v/>
      </c>
      <c r="I342" s="0" t="str">
        <f aca="false">IF(Pipeline_Sort!$C342="","",INDEX(Pipeline_Calc!$J$2:$J$5251,Pipeline_Sort!$C342))</f>
        <v/>
      </c>
    </row>
    <row r="343" customFormat="false" ht="15" hidden="false" customHeight="false" outlineLevel="0" collapsed="false">
      <c r="A343" s="33" t="str">
        <f aca="false">IF(Pipeline_Sort!$C343="","",INDEX(Pipeline_Calc!$B$2:$B$5251,Pipeline_Sort!$C343))</f>
        <v/>
      </c>
      <c r="B343" s="0" t="str">
        <f aca="false">IF(Pipeline_Sort!$C343="","",INDEX(Pipeline_Calc!$C$2:$C$5251,Pipeline_Sort!$C343))</f>
        <v/>
      </c>
      <c r="C343" s="0" t="str">
        <f aca="false">IF(Pipeline_Sort!$C343="","",INDEX(Pipeline_Calc!$D$2:$D$5251,Pipeline_Sort!$C343))</f>
        <v/>
      </c>
      <c r="D343" s="0" t="str">
        <f aca="false">IF(Pipeline_Sort!$C343="","",INDEX(Pipeline_Calc!$E$2:$E$5251,Pipeline_Sort!$C343))</f>
        <v/>
      </c>
      <c r="E343" s="0" t="str">
        <f aca="false">IF(Pipeline_Sort!$C343="","",INDEX(Pipeline_Calc!$F$2:$F$5251,Pipeline_Sort!$C343))</f>
        <v/>
      </c>
      <c r="F343" s="0" t="str">
        <f aca="false">IF(Pipeline_Sort!$C343="","",INDEX(Pipeline_Calc!$G$2:$G$5251,Pipeline_Sort!$C343))</f>
        <v/>
      </c>
      <c r="G343" s="0" t="str">
        <f aca="false">IF(Pipeline_Sort!$C343="","",INDEX(Pipeline_Calc!$H$2:$H$5251,Pipeline_Sort!$C343))</f>
        <v/>
      </c>
      <c r="H343" s="0" t="str">
        <f aca="false">IF(Pipeline_Sort!$C343="","",INDEX(Pipeline_Calc!$I$2:$I$5251,Pipeline_Sort!$C343))</f>
        <v/>
      </c>
      <c r="I343" s="0" t="str">
        <f aca="false">IF(Pipeline_Sort!$C343="","",INDEX(Pipeline_Calc!$J$2:$J$5251,Pipeline_Sort!$C343))</f>
        <v/>
      </c>
    </row>
    <row r="344" customFormat="false" ht="15" hidden="false" customHeight="false" outlineLevel="0" collapsed="false">
      <c r="A344" s="33" t="str">
        <f aca="false">IF(Pipeline_Sort!$C344="","",INDEX(Pipeline_Calc!$B$2:$B$5251,Pipeline_Sort!$C344))</f>
        <v/>
      </c>
      <c r="B344" s="0" t="str">
        <f aca="false">IF(Pipeline_Sort!$C344="","",INDEX(Pipeline_Calc!$C$2:$C$5251,Pipeline_Sort!$C344))</f>
        <v/>
      </c>
      <c r="C344" s="0" t="str">
        <f aca="false">IF(Pipeline_Sort!$C344="","",INDEX(Pipeline_Calc!$D$2:$D$5251,Pipeline_Sort!$C344))</f>
        <v/>
      </c>
      <c r="D344" s="0" t="str">
        <f aca="false">IF(Pipeline_Sort!$C344="","",INDEX(Pipeline_Calc!$E$2:$E$5251,Pipeline_Sort!$C344))</f>
        <v/>
      </c>
      <c r="E344" s="0" t="str">
        <f aca="false">IF(Pipeline_Sort!$C344="","",INDEX(Pipeline_Calc!$F$2:$F$5251,Pipeline_Sort!$C344))</f>
        <v/>
      </c>
      <c r="F344" s="0" t="str">
        <f aca="false">IF(Pipeline_Sort!$C344="","",INDEX(Pipeline_Calc!$G$2:$G$5251,Pipeline_Sort!$C344))</f>
        <v/>
      </c>
      <c r="G344" s="0" t="str">
        <f aca="false">IF(Pipeline_Sort!$C344="","",INDEX(Pipeline_Calc!$H$2:$H$5251,Pipeline_Sort!$C344))</f>
        <v/>
      </c>
      <c r="H344" s="0" t="str">
        <f aca="false">IF(Pipeline_Sort!$C344="","",INDEX(Pipeline_Calc!$I$2:$I$5251,Pipeline_Sort!$C344))</f>
        <v/>
      </c>
      <c r="I344" s="0" t="str">
        <f aca="false">IF(Pipeline_Sort!$C344="","",INDEX(Pipeline_Calc!$J$2:$J$5251,Pipeline_Sort!$C344))</f>
        <v/>
      </c>
    </row>
    <row r="345" customFormat="false" ht="15" hidden="false" customHeight="false" outlineLevel="0" collapsed="false">
      <c r="A345" s="33" t="str">
        <f aca="false">IF(Pipeline_Sort!$C345="","",INDEX(Pipeline_Calc!$B$2:$B$5251,Pipeline_Sort!$C345))</f>
        <v/>
      </c>
      <c r="B345" s="0" t="str">
        <f aca="false">IF(Pipeline_Sort!$C345="","",INDEX(Pipeline_Calc!$C$2:$C$5251,Pipeline_Sort!$C345))</f>
        <v/>
      </c>
      <c r="C345" s="0" t="str">
        <f aca="false">IF(Pipeline_Sort!$C345="","",INDEX(Pipeline_Calc!$D$2:$D$5251,Pipeline_Sort!$C345))</f>
        <v/>
      </c>
      <c r="D345" s="0" t="str">
        <f aca="false">IF(Pipeline_Sort!$C345="","",INDEX(Pipeline_Calc!$E$2:$E$5251,Pipeline_Sort!$C345))</f>
        <v/>
      </c>
      <c r="E345" s="0" t="str">
        <f aca="false">IF(Pipeline_Sort!$C345="","",INDEX(Pipeline_Calc!$F$2:$F$5251,Pipeline_Sort!$C345))</f>
        <v/>
      </c>
      <c r="F345" s="0" t="str">
        <f aca="false">IF(Pipeline_Sort!$C345="","",INDEX(Pipeline_Calc!$G$2:$G$5251,Pipeline_Sort!$C345))</f>
        <v/>
      </c>
      <c r="G345" s="0" t="str">
        <f aca="false">IF(Pipeline_Sort!$C345="","",INDEX(Pipeline_Calc!$H$2:$H$5251,Pipeline_Sort!$C345))</f>
        <v/>
      </c>
      <c r="H345" s="0" t="str">
        <f aca="false">IF(Pipeline_Sort!$C345="","",INDEX(Pipeline_Calc!$I$2:$I$5251,Pipeline_Sort!$C345))</f>
        <v/>
      </c>
      <c r="I345" s="0" t="str">
        <f aca="false">IF(Pipeline_Sort!$C345="","",INDEX(Pipeline_Calc!$J$2:$J$5251,Pipeline_Sort!$C345))</f>
        <v/>
      </c>
    </row>
    <row r="346" customFormat="false" ht="15" hidden="false" customHeight="false" outlineLevel="0" collapsed="false">
      <c r="A346" s="33" t="str">
        <f aca="false">IF(Pipeline_Sort!$C346="","",INDEX(Pipeline_Calc!$B$2:$B$5251,Pipeline_Sort!$C346))</f>
        <v/>
      </c>
      <c r="B346" s="0" t="str">
        <f aca="false">IF(Pipeline_Sort!$C346="","",INDEX(Pipeline_Calc!$C$2:$C$5251,Pipeline_Sort!$C346))</f>
        <v/>
      </c>
      <c r="C346" s="0" t="str">
        <f aca="false">IF(Pipeline_Sort!$C346="","",INDEX(Pipeline_Calc!$D$2:$D$5251,Pipeline_Sort!$C346))</f>
        <v/>
      </c>
      <c r="D346" s="0" t="str">
        <f aca="false">IF(Pipeline_Sort!$C346="","",INDEX(Pipeline_Calc!$E$2:$E$5251,Pipeline_Sort!$C346))</f>
        <v/>
      </c>
      <c r="E346" s="0" t="str">
        <f aca="false">IF(Pipeline_Sort!$C346="","",INDEX(Pipeline_Calc!$F$2:$F$5251,Pipeline_Sort!$C346))</f>
        <v/>
      </c>
      <c r="F346" s="0" t="str">
        <f aca="false">IF(Pipeline_Sort!$C346="","",INDEX(Pipeline_Calc!$G$2:$G$5251,Pipeline_Sort!$C346))</f>
        <v/>
      </c>
      <c r="G346" s="0" t="str">
        <f aca="false">IF(Pipeline_Sort!$C346="","",INDEX(Pipeline_Calc!$H$2:$H$5251,Pipeline_Sort!$C346))</f>
        <v/>
      </c>
      <c r="H346" s="0" t="str">
        <f aca="false">IF(Pipeline_Sort!$C346="","",INDEX(Pipeline_Calc!$I$2:$I$5251,Pipeline_Sort!$C346))</f>
        <v/>
      </c>
      <c r="I346" s="0" t="str">
        <f aca="false">IF(Pipeline_Sort!$C346="","",INDEX(Pipeline_Calc!$J$2:$J$5251,Pipeline_Sort!$C346))</f>
        <v/>
      </c>
    </row>
    <row r="347" customFormat="false" ht="15" hidden="false" customHeight="false" outlineLevel="0" collapsed="false">
      <c r="A347" s="33" t="str">
        <f aca="false">IF(Pipeline_Sort!$C347="","",INDEX(Pipeline_Calc!$B$2:$B$5251,Pipeline_Sort!$C347))</f>
        <v/>
      </c>
      <c r="B347" s="0" t="str">
        <f aca="false">IF(Pipeline_Sort!$C347="","",INDEX(Pipeline_Calc!$C$2:$C$5251,Pipeline_Sort!$C347))</f>
        <v/>
      </c>
      <c r="C347" s="0" t="str">
        <f aca="false">IF(Pipeline_Sort!$C347="","",INDEX(Pipeline_Calc!$D$2:$D$5251,Pipeline_Sort!$C347))</f>
        <v/>
      </c>
      <c r="D347" s="0" t="str">
        <f aca="false">IF(Pipeline_Sort!$C347="","",INDEX(Pipeline_Calc!$E$2:$E$5251,Pipeline_Sort!$C347))</f>
        <v/>
      </c>
      <c r="E347" s="0" t="str">
        <f aca="false">IF(Pipeline_Sort!$C347="","",INDEX(Pipeline_Calc!$F$2:$F$5251,Pipeline_Sort!$C347))</f>
        <v/>
      </c>
      <c r="F347" s="0" t="str">
        <f aca="false">IF(Pipeline_Sort!$C347="","",INDEX(Pipeline_Calc!$G$2:$G$5251,Pipeline_Sort!$C347))</f>
        <v/>
      </c>
      <c r="G347" s="0" t="str">
        <f aca="false">IF(Pipeline_Sort!$C347="","",INDEX(Pipeline_Calc!$H$2:$H$5251,Pipeline_Sort!$C347))</f>
        <v/>
      </c>
      <c r="H347" s="0" t="str">
        <f aca="false">IF(Pipeline_Sort!$C347="","",INDEX(Pipeline_Calc!$I$2:$I$5251,Pipeline_Sort!$C347))</f>
        <v/>
      </c>
      <c r="I347" s="0" t="str">
        <f aca="false">IF(Pipeline_Sort!$C347="","",INDEX(Pipeline_Calc!$J$2:$J$5251,Pipeline_Sort!$C347))</f>
        <v/>
      </c>
    </row>
    <row r="348" customFormat="false" ht="15" hidden="false" customHeight="false" outlineLevel="0" collapsed="false">
      <c r="A348" s="33" t="str">
        <f aca="false">IF(Pipeline_Sort!$C348="","",INDEX(Pipeline_Calc!$B$2:$B$5251,Pipeline_Sort!$C348))</f>
        <v/>
      </c>
      <c r="B348" s="0" t="str">
        <f aca="false">IF(Pipeline_Sort!$C348="","",INDEX(Pipeline_Calc!$C$2:$C$5251,Pipeline_Sort!$C348))</f>
        <v/>
      </c>
      <c r="C348" s="0" t="str">
        <f aca="false">IF(Pipeline_Sort!$C348="","",INDEX(Pipeline_Calc!$D$2:$D$5251,Pipeline_Sort!$C348))</f>
        <v/>
      </c>
      <c r="D348" s="0" t="str">
        <f aca="false">IF(Pipeline_Sort!$C348="","",INDEX(Pipeline_Calc!$E$2:$E$5251,Pipeline_Sort!$C348))</f>
        <v/>
      </c>
      <c r="E348" s="0" t="str">
        <f aca="false">IF(Pipeline_Sort!$C348="","",INDEX(Pipeline_Calc!$F$2:$F$5251,Pipeline_Sort!$C348))</f>
        <v/>
      </c>
      <c r="F348" s="0" t="str">
        <f aca="false">IF(Pipeline_Sort!$C348="","",INDEX(Pipeline_Calc!$G$2:$G$5251,Pipeline_Sort!$C348))</f>
        <v/>
      </c>
      <c r="G348" s="0" t="str">
        <f aca="false">IF(Pipeline_Sort!$C348="","",INDEX(Pipeline_Calc!$H$2:$H$5251,Pipeline_Sort!$C348))</f>
        <v/>
      </c>
      <c r="H348" s="0" t="str">
        <f aca="false">IF(Pipeline_Sort!$C348="","",INDEX(Pipeline_Calc!$I$2:$I$5251,Pipeline_Sort!$C348))</f>
        <v/>
      </c>
      <c r="I348" s="0" t="str">
        <f aca="false">IF(Pipeline_Sort!$C348="","",INDEX(Pipeline_Calc!$J$2:$J$5251,Pipeline_Sort!$C348))</f>
        <v/>
      </c>
    </row>
    <row r="349" customFormat="false" ht="15" hidden="false" customHeight="false" outlineLevel="0" collapsed="false">
      <c r="A349" s="33" t="str">
        <f aca="false">IF(Pipeline_Sort!$C349="","",INDEX(Pipeline_Calc!$B$2:$B$5251,Pipeline_Sort!$C349))</f>
        <v/>
      </c>
      <c r="B349" s="0" t="str">
        <f aca="false">IF(Pipeline_Sort!$C349="","",INDEX(Pipeline_Calc!$C$2:$C$5251,Pipeline_Sort!$C349))</f>
        <v/>
      </c>
      <c r="C349" s="0" t="str">
        <f aca="false">IF(Pipeline_Sort!$C349="","",INDEX(Pipeline_Calc!$D$2:$D$5251,Pipeline_Sort!$C349))</f>
        <v/>
      </c>
      <c r="D349" s="0" t="str">
        <f aca="false">IF(Pipeline_Sort!$C349="","",INDEX(Pipeline_Calc!$E$2:$E$5251,Pipeline_Sort!$C349))</f>
        <v/>
      </c>
      <c r="E349" s="0" t="str">
        <f aca="false">IF(Pipeline_Sort!$C349="","",INDEX(Pipeline_Calc!$F$2:$F$5251,Pipeline_Sort!$C349))</f>
        <v/>
      </c>
      <c r="F349" s="0" t="str">
        <f aca="false">IF(Pipeline_Sort!$C349="","",INDEX(Pipeline_Calc!$G$2:$G$5251,Pipeline_Sort!$C349))</f>
        <v/>
      </c>
      <c r="G349" s="0" t="str">
        <f aca="false">IF(Pipeline_Sort!$C349="","",INDEX(Pipeline_Calc!$H$2:$H$5251,Pipeline_Sort!$C349))</f>
        <v/>
      </c>
      <c r="H349" s="0" t="str">
        <f aca="false">IF(Pipeline_Sort!$C349="","",INDEX(Pipeline_Calc!$I$2:$I$5251,Pipeline_Sort!$C349))</f>
        <v/>
      </c>
      <c r="I349" s="0" t="str">
        <f aca="false">IF(Pipeline_Sort!$C349="","",INDEX(Pipeline_Calc!$J$2:$J$5251,Pipeline_Sort!$C349))</f>
        <v/>
      </c>
    </row>
    <row r="350" customFormat="false" ht="15" hidden="false" customHeight="false" outlineLevel="0" collapsed="false">
      <c r="A350" s="33" t="str">
        <f aca="false">IF(Pipeline_Sort!$C350="","",INDEX(Pipeline_Calc!$B$2:$B$5251,Pipeline_Sort!$C350))</f>
        <v/>
      </c>
      <c r="B350" s="0" t="str">
        <f aca="false">IF(Pipeline_Sort!$C350="","",INDEX(Pipeline_Calc!$C$2:$C$5251,Pipeline_Sort!$C350))</f>
        <v/>
      </c>
      <c r="C350" s="0" t="str">
        <f aca="false">IF(Pipeline_Sort!$C350="","",INDEX(Pipeline_Calc!$D$2:$D$5251,Pipeline_Sort!$C350))</f>
        <v/>
      </c>
      <c r="D350" s="0" t="str">
        <f aca="false">IF(Pipeline_Sort!$C350="","",INDEX(Pipeline_Calc!$E$2:$E$5251,Pipeline_Sort!$C350))</f>
        <v/>
      </c>
      <c r="E350" s="0" t="str">
        <f aca="false">IF(Pipeline_Sort!$C350="","",INDEX(Pipeline_Calc!$F$2:$F$5251,Pipeline_Sort!$C350))</f>
        <v/>
      </c>
      <c r="F350" s="0" t="str">
        <f aca="false">IF(Pipeline_Sort!$C350="","",INDEX(Pipeline_Calc!$G$2:$G$5251,Pipeline_Sort!$C350))</f>
        <v/>
      </c>
      <c r="G350" s="0" t="str">
        <f aca="false">IF(Pipeline_Sort!$C350="","",INDEX(Pipeline_Calc!$H$2:$H$5251,Pipeline_Sort!$C350))</f>
        <v/>
      </c>
      <c r="H350" s="0" t="str">
        <f aca="false">IF(Pipeline_Sort!$C350="","",INDEX(Pipeline_Calc!$I$2:$I$5251,Pipeline_Sort!$C350))</f>
        <v/>
      </c>
      <c r="I350" s="0" t="str">
        <f aca="false">IF(Pipeline_Sort!$C350="","",INDEX(Pipeline_Calc!$J$2:$J$5251,Pipeline_Sort!$C350))</f>
        <v/>
      </c>
    </row>
    <row r="351" customFormat="false" ht="15" hidden="false" customHeight="false" outlineLevel="0" collapsed="false">
      <c r="A351" s="33" t="str">
        <f aca="false">IF(Pipeline_Sort!$C351="","",INDEX(Pipeline_Calc!$B$2:$B$5251,Pipeline_Sort!$C351))</f>
        <v/>
      </c>
      <c r="B351" s="0" t="str">
        <f aca="false">IF(Pipeline_Sort!$C351="","",INDEX(Pipeline_Calc!$C$2:$C$5251,Pipeline_Sort!$C351))</f>
        <v/>
      </c>
      <c r="C351" s="0" t="str">
        <f aca="false">IF(Pipeline_Sort!$C351="","",INDEX(Pipeline_Calc!$D$2:$D$5251,Pipeline_Sort!$C351))</f>
        <v/>
      </c>
      <c r="D351" s="0" t="str">
        <f aca="false">IF(Pipeline_Sort!$C351="","",INDEX(Pipeline_Calc!$E$2:$E$5251,Pipeline_Sort!$C351))</f>
        <v/>
      </c>
      <c r="E351" s="0" t="str">
        <f aca="false">IF(Pipeline_Sort!$C351="","",INDEX(Pipeline_Calc!$F$2:$F$5251,Pipeline_Sort!$C351))</f>
        <v/>
      </c>
      <c r="F351" s="0" t="str">
        <f aca="false">IF(Pipeline_Sort!$C351="","",INDEX(Pipeline_Calc!$G$2:$G$5251,Pipeline_Sort!$C351))</f>
        <v/>
      </c>
      <c r="G351" s="0" t="str">
        <f aca="false">IF(Pipeline_Sort!$C351="","",INDEX(Pipeline_Calc!$H$2:$H$5251,Pipeline_Sort!$C351))</f>
        <v/>
      </c>
      <c r="H351" s="0" t="str">
        <f aca="false">IF(Pipeline_Sort!$C351="","",INDEX(Pipeline_Calc!$I$2:$I$5251,Pipeline_Sort!$C351))</f>
        <v/>
      </c>
      <c r="I351" s="0" t="str">
        <f aca="false">IF(Pipeline_Sort!$C351="","",INDEX(Pipeline_Calc!$J$2:$J$5251,Pipeline_Sort!$C351))</f>
        <v/>
      </c>
    </row>
    <row r="352" customFormat="false" ht="15" hidden="false" customHeight="false" outlineLevel="0" collapsed="false">
      <c r="A352" s="33" t="str">
        <f aca="false">IF(Pipeline_Sort!$C352="","",INDEX(Pipeline_Calc!$B$2:$B$5251,Pipeline_Sort!$C352))</f>
        <v/>
      </c>
      <c r="B352" s="0" t="str">
        <f aca="false">IF(Pipeline_Sort!$C352="","",INDEX(Pipeline_Calc!$C$2:$C$5251,Pipeline_Sort!$C352))</f>
        <v/>
      </c>
      <c r="C352" s="0" t="str">
        <f aca="false">IF(Pipeline_Sort!$C352="","",INDEX(Pipeline_Calc!$D$2:$D$5251,Pipeline_Sort!$C352))</f>
        <v/>
      </c>
      <c r="D352" s="0" t="str">
        <f aca="false">IF(Pipeline_Sort!$C352="","",INDEX(Pipeline_Calc!$E$2:$E$5251,Pipeline_Sort!$C352))</f>
        <v/>
      </c>
      <c r="E352" s="0" t="str">
        <f aca="false">IF(Pipeline_Sort!$C352="","",INDEX(Pipeline_Calc!$F$2:$F$5251,Pipeline_Sort!$C352))</f>
        <v/>
      </c>
      <c r="F352" s="0" t="str">
        <f aca="false">IF(Pipeline_Sort!$C352="","",INDEX(Pipeline_Calc!$G$2:$G$5251,Pipeline_Sort!$C352))</f>
        <v/>
      </c>
      <c r="G352" s="0" t="str">
        <f aca="false">IF(Pipeline_Sort!$C352="","",INDEX(Pipeline_Calc!$H$2:$H$5251,Pipeline_Sort!$C352))</f>
        <v/>
      </c>
      <c r="H352" s="0" t="str">
        <f aca="false">IF(Pipeline_Sort!$C352="","",INDEX(Pipeline_Calc!$I$2:$I$5251,Pipeline_Sort!$C352))</f>
        <v/>
      </c>
      <c r="I352" s="0" t="str">
        <f aca="false">IF(Pipeline_Sort!$C352="","",INDEX(Pipeline_Calc!$J$2:$J$5251,Pipeline_Sort!$C352))</f>
        <v/>
      </c>
    </row>
    <row r="353" customFormat="false" ht="15" hidden="false" customHeight="false" outlineLevel="0" collapsed="false">
      <c r="A353" s="33" t="str">
        <f aca="false">IF(Pipeline_Sort!$C353="","",INDEX(Pipeline_Calc!$B$2:$B$5251,Pipeline_Sort!$C353))</f>
        <v/>
      </c>
      <c r="B353" s="0" t="str">
        <f aca="false">IF(Pipeline_Sort!$C353="","",INDEX(Pipeline_Calc!$C$2:$C$5251,Pipeline_Sort!$C353))</f>
        <v/>
      </c>
      <c r="C353" s="0" t="str">
        <f aca="false">IF(Pipeline_Sort!$C353="","",INDEX(Pipeline_Calc!$D$2:$D$5251,Pipeline_Sort!$C353))</f>
        <v/>
      </c>
      <c r="D353" s="0" t="str">
        <f aca="false">IF(Pipeline_Sort!$C353="","",INDEX(Pipeline_Calc!$E$2:$E$5251,Pipeline_Sort!$C353))</f>
        <v/>
      </c>
      <c r="E353" s="0" t="str">
        <f aca="false">IF(Pipeline_Sort!$C353="","",INDEX(Pipeline_Calc!$F$2:$F$5251,Pipeline_Sort!$C353))</f>
        <v/>
      </c>
      <c r="F353" s="0" t="str">
        <f aca="false">IF(Pipeline_Sort!$C353="","",INDEX(Pipeline_Calc!$G$2:$G$5251,Pipeline_Sort!$C353))</f>
        <v/>
      </c>
      <c r="G353" s="0" t="str">
        <f aca="false">IF(Pipeline_Sort!$C353="","",INDEX(Pipeline_Calc!$H$2:$H$5251,Pipeline_Sort!$C353))</f>
        <v/>
      </c>
      <c r="H353" s="0" t="str">
        <f aca="false">IF(Pipeline_Sort!$C353="","",INDEX(Pipeline_Calc!$I$2:$I$5251,Pipeline_Sort!$C353))</f>
        <v/>
      </c>
      <c r="I353" s="0" t="str">
        <f aca="false">IF(Pipeline_Sort!$C353="","",INDEX(Pipeline_Calc!$J$2:$J$5251,Pipeline_Sort!$C353))</f>
        <v/>
      </c>
    </row>
    <row r="354" customFormat="false" ht="15" hidden="false" customHeight="false" outlineLevel="0" collapsed="false">
      <c r="A354" s="33" t="str">
        <f aca="false">IF(Pipeline_Sort!$C354="","",INDEX(Pipeline_Calc!$B$2:$B$5251,Pipeline_Sort!$C354))</f>
        <v/>
      </c>
      <c r="B354" s="0" t="str">
        <f aca="false">IF(Pipeline_Sort!$C354="","",INDEX(Pipeline_Calc!$C$2:$C$5251,Pipeline_Sort!$C354))</f>
        <v/>
      </c>
      <c r="C354" s="0" t="str">
        <f aca="false">IF(Pipeline_Sort!$C354="","",INDEX(Pipeline_Calc!$D$2:$D$5251,Pipeline_Sort!$C354))</f>
        <v/>
      </c>
      <c r="D354" s="0" t="str">
        <f aca="false">IF(Pipeline_Sort!$C354="","",INDEX(Pipeline_Calc!$E$2:$E$5251,Pipeline_Sort!$C354))</f>
        <v/>
      </c>
      <c r="E354" s="0" t="str">
        <f aca="false">IF(Pipeline_Sort!$C354="","",INDEX(Pipeline_Calc!$F$2:$F$5251,Pipeline_Sort!$C354))</f>
        <v/>
      </c>
      <c r="F354" s="0" t="str">
        <f aca="false">IF(Pipeline_Sort!$C354="","",INDEX(Pipeline_Calc!$G$2:$G$5251,Pipeline_Sort!$C354))</f>
        <v/>
      </c>
      <c r="G354" s="0" t="str">
        <f aca="false">IF(Pipeline_Sort!$C354="","",INDEX(Pipeline_Calc!$H$2:$H$5251,Pipeline_Sort!$C354))</f>
        <v/>
      </c>
      <c r="H354" s="0" t="str">
        <f aca="false">IF(Pipeline_Sort!$C354="","",INDEX(Pipeline_Calc!$I$2:$I$5251,Pipeline_Sort!$C354))</f>
        <v/>
      </c>
      <c r="I354" s="0" t="str">
        <f aca="false">IF(Pipeline_Sort!$C354="","",INDEX(Pipeline_Calc!$J$2:$J$5251,Pipeline_Sort!$C354))</f>
        <v/>
      </c>
    </row>
    <row r="355" customFormat="false" ht="15" hidden="false" customHeight="false" outlineLevel="0" collapsed="false">
      <c r="A355" s="33" t="str">
        <f aca="false">IF(Pipeline_Sort!$C355="","",INDEX(Pipeline_Calc!$B$2:$B$5251,Pipeline_Sort!$C355))</f>
        <v/>
      </c>
      <c r="B355" s="0" t="str">
        <f aca="false">IF(Pipeline_Sort!$C355="","",INDEX(Pipeline_Calc!$C$2:$C$5251,Pipeline_Sort!$C355))</f>
        <v/>
      </c>
      <c r="C355" s="0" t="str">
        <f aca="false">IF(Pipeline_Sort!$C355="","",INDEX(Pipeline_Calc!$D$2:$D$5251,Pipeline_Sort!$C355))</f>
        <v/>
      </c>
      <c r="D355" s="0" t="str">
        <f aca="false">IF(Pipeline_Sort!$C355="","",INDEX(Pipeline_Calc!$E$2:$E$5251,Pipeline_Sort!$C355))</f>
        <v/>
      </c>
      <c r="E355" s="0" t="str">
        <f aca="false">IF(Pipeline_Sort!$C355="","",INDEX(Pipeline_Calc!$F$2:$F$5251,Pipeline_Sort!$C355))</f>
        <v/>
      </c>
      <c r="F355" s="0" t="str">
        <f aca="false">IF(Pipeline_Sort!$C355="","",INDEX(Pipeline_Calc!$G$2:$G$5251,Pipeline_Sort!$C355))</f>
        <v/>
      </c>
      <c r="G355" s="0" t="str">
        <f aca="false">IF(Pipeline_Sort!$C355="","",INDEX(Pipeline_Calc!$H$2:$H$5251,Pipeline_Sort!$C355))</f>
        <v/>
      </c>
      <c r="H355" s="0" t="str">
        <f aca="false">IF(Pipeline_Sort!$C355="","",INDEX(Pipeline_Calc!$I$2:$I$5251,Pipeline_Sort!$C355))</f>
        <v/>
      </c>
      <c r="I355" s="0" t="str">
        <f aca="false">IF(Pipeline_Sort!$C355="","",INDEX(Pipeline_Calc!$J$2:$J$5251,Pipeline_Sort!$C355))</f>
        <v/>
      </c>
    </row>
    <row r="356" customFormat="false" ht="15" hidden="false" customHeight="false" outlineLevel="0" collapsed="false">
      <c r="A356" s="33" t="str">
        <f aca="false">IF(Pipeline_Sort!$C356="","",INDEX(Pipeline_Calc!$B$2:$B$5251,Pipeline_Sort!$C356))</f>
        <v/>
      </c>
      <c r="B356" s="0" t="str">
        <f aca="false">IF(Pipeline_Sort!$C356="","",INDEX(Pipeline_Calc!$C$2:$C$5251,Pipeline_Sort!$C356))</f>
        <v/>
      </c>
      <c r="C356" s="0" t="str">
        <f aca="false">IF(Pipeline_Sort!$C356="","",INDEX(Pipeline_Calc!$D$2:$D$5251,Pipeline_Sort!$C356))</f>
        <v/>
      </c>
      <c r="D356" s="0" t="str">
        <f aca="false">IF(Pipeline_Sort!$C356="","",INDEX(Pipeline_Calc!$E$2:$E$5251,Pipeline_Sort!$C356))</f>
        <v/>
      </c>
      <c r="E356" s="0" t="str">
        <f aca="false">IF(Pipeline_Sort!$C356="","",INDEX(Pipeline_Calc!$F$2:$F$5251,Pipeline_Sort!$C356))</f>
        <v/>
      </c>
      <c r="F356" s="0" t="str">
        <f aca="false">IF(Pipeline_Sort!$C356="","",INDEX(Pipeline_Calc!$G$2:$G$5251,Pipeline_Sort!$C356))</f>
        <v/>
      </c>
      <c r="G356" s="0" t="str">
        <f aca="false">IF(Pipeline_Sort!$C356="","",INDEX(Pipeline_Calc!$H$2:$H$5251,Pipeline_Sort!$C356))</f>
        <v/>
      </c>
      <c r="H356" s="0" t="str">
        <f aca="false">IF(Pipeline_Sort!$C356="","",INDEX(Pipeline_Calc!$I$2:$I$5251,Pipeline_Sort!$C356))</f>
        <v/>
      </c>
      <c r="I356" s="0" t="str">
        <f aca="false">IF(Pipeline_Sort!$C356="","",INDEX(Pipeline_Calc!$J$2:$J$5251,Pipeline_Sort!$C356))</f>
        <v/>
      </c>
    </row>
    <row r="357" customFormat="false" ht="15" hidden="false" customHeight="false" outlineLevel="0" collapsed="false">
      <c r="A357" s="33" t="str">
        <f aca="false">IF(Pipeline_Sort!$C357="","",INDEX(Pipeline_Calc!$B$2:$B$5251,Pipeline_Sort!$C357))</f>
        <v/>
      </c>
      <c r="B357" s="0" t="str">
        <f aca="false">IF(Pipeline_Sort!$C357="","",INDEX(Pipeline_Calc!$C$2:$C$5251,Pipeline_Sort!$C357))</f>
        <v/>
      </c>
      <c r="C357" s="0" t="str">
        <f aca="false">IF(Pipeline_Sort!$C357="","",INDEX(Pipeline_Calc!$D$2:$D$5251,Pipeline_Sort!$C357))</f>
        <v/>
      </c>
      <c r="D357" s="0" t="str">
        <f aca="false">IF(Pipeline_Sort!$C357="","",INDEX(Pipeline_Calc!$E$2:$E$5251,Pipeline_Sort!$C357))</f>
        <v/>
      </c>
      <c r="E357" s="0" t="str">
        <f aca="false">IF(Pipeline_Sort!$C357="","",INDEX(Pipeline_Calc!$F$2:$F$5251,Pipeline_Sort!$C357))</f>
        <v/>
      </c>
      <c r="F357" s="0" t="str">
        <f aca="false">IF(Pipeline_Sort!$C357="","",INDEX(Pipeline_Calc!$G$2:$G$5251,Pipeline_Sort!$C357))</f>
        <v/>
      </c>
      <c r="G357" s="0" t="str">
        <f aca="false">IF(Pipeline_Sort!$C357="","",INDEX(Pipeline_Calc!$H$2:$H$5251,Pipeline_Sort!$C357))</f>
        <v/>
      </c>
      <c r="H357" s="0" t="str">
        <f aca="false">IF(Pipeline_Sort!$C357="","",INDEX(Pipeline_Calc!$I$2:$I$5251,Pipeline_Sort!$C357))</f>
        <v/>
      </c>
      <c r="I357" s="0" t="str">
        <f aca="false">IF(Pipeline_Sort!$C357="","",INDEX(Pipeline_Calc!$J$2:$J$5251,Pipeline_Sort!$C357))</f>
        <v/>
      </c>
    </row>
    <row r="358" customFormat="false" ht="15" hidden="false" customHeight="false" outlineLevel="0" collapsed="false">
      <c r="A358" s="33" t="str">
        <f aca="false">IF(Pipeline_Sort!$C358="","",INDEX(Pipeline_Calc!$B$2:$B$5251,Pipeline_Sort!$C358))</f>
        <v/>
      </c>
      <c r="B358" s="0" t="str">
        <f aca="false">IF(Pipeline_Sort!$C358="","",INDEX(Pipeline_Calc!$C$2:$C$5251,Pipeline_Sort!$C358))</f>
        <v/>
      </c>
      <c r="C358" s="0" t="str">
        <f aca="false">IF(Pipeline_Sort!$C358="","",INDEX(Pipeline_Calc!$D$2:$D$5251,Pipeline_Sort!$C358))</f>
        <v/>
      </c>
      <c r="D358" s="0" t="str">
        <f aca="false">IF(Pipeline_Sort!$C358="","",INDEX(Pipeline_Calc!$E$2:$E$5251,Pipeline_Sort!$C358))</f>
        <v/>
      </c>
      <c r="E358" s="0" t="str">
        <f aca="false">IF(Pipeline_Sort!$C358="","",INDEX(Pipeline_Calc!$F$2:$F$5251,Pipeline_Sort!$C358))</f>
        <v/>
      </c>
      <c r="F358" s="0" t="str">
        <f aca="false">IF(Pipeline_Sort!$C358="","",INDEX(Pipeline_Calc!$G$2:$G$5251,Pipeline_Sort!$C358))</f>
        <v/>
      </c>
      <c r="G358" s="0" t="str">
        <f aca="false">IF(Pipeline_Sort!$C358="","",INDEX(Pipeline_Calc!$H$2:$H$5251,Pipeline_Sort!$C358))</f>
        <v/>
      </c>
      <c r="H358" s="0" t="str">
        <f aca="false">IF(Pipeline_Sort!$C358="","",INDEX(Pipeline_Calc!$I$2:$I$5251,Pipeline_Sort!$C358))</f>
        <v/>
      </c>
      <c r="I358" s="0" t="str">
        <f aca="false">IF(Pipeline_Sort!$C358="","",INDEX(Pipeline_Calc!$J$2:$J$5251,Pipeline_Sort!$C358))</f>
        <v/>
      </c>
    </row>
    <row r="359" customFormat="false" ht="15" hidden="false" customHeight="false" outlineLevel="0" collapsed="false">
      <c r="A359" s="33" t="str">
        <f aca="false">IF(Pipeline_Sort!$C359="","",INDEX(Pipeline_Calc!$B$2:$B$5251,Pipeline_Sort!$C359))</f>
        <v/>
      </c>
      <c r="B359" s="0" t="str">
        <f aca="false">IF(Pipeline_Sort!$C359="","",INDEX(Pipeline_Calc!$C$2:$C$5251,Pipeline_Sort!$C359))</f>
        <v/>
      </c>
      <c r="C359" s="0" t="str">
        <f aca="false">IF(Pipeline_Sort!$C359="","",INDEX(Pipeline_Calc!$D$2:$D$5251,Pipeline_Sort!$C359))</f>
        <v/>
      </c>
      <c r="D359" s="0" t="str">
        <f aca="false">IF(Pipeline_Sort!$C359="","",INDEX(Pipeline_Calc!$E$2:$E$5251,Pipeline_Sort!$C359))</f>
        <v/>
      </c>
      <c r="E359" s="0" t="str">
        <f aca="false">IF(Pipeline_Sort!$C359="","",INDEX(Pipeline_Calc!$F$2:$F$5251,Pipeline_Sort!$C359))</f>
        <v/>
      </c>
      <c r="F359" s="0" t="str">
        <f aca="false">IF(Pipeline_Sort!$C359="","",INDEX(Pipeline_Calc!$G$2:$G$5251,Pipeline_Sort!$C359))</f>
        <v/>
      </c>
      <c r="G359" s="0" t="str">
        <f aca="false">IF(Pipeline_Sort!$C359="","",INDEX(Pipeline_Calc!$H$2:$H$5251,Pipeline_Sort!$C359))</f>
        <v/>
      </c>
      <c r="H359" s="0" t="str">
        <f aca="false">IF(Pipeline_Sort!$C359="","",INDEX(Pipeline_Calc!$I$2:$I$5251,Pipeline_Sort!$C359))</f>
        <v/>
      </c>
      <c r="I359" s="0" t="str">
        <f aca="false">IF(Pipeline_Sort!$C359="","",INDEX(Pipeline_Calc!$J$2:$J$5251,Pipeline_Sort!$C359))</f>
        <v/>
      </c>
    </row>
    <row r="360" customFormat="false" ht="15" hidden="false" customHeight="false" outlineLevel="0" collapsed="false">
      <c r="A360" s="33" t="str">
        <f aca="false">IF(Pipeline_Sort!$C360="","",INDEX(Pipeline_Calc!$B$2:$B$5251,Pipeline_Sort!$C360))</f>
        <v/>
      </c>
      <c r="B360" s="0" t="str">
        <f aca="false">IF(Pipeline_Sort!$C360="","",INDEX(Pipeline_Calc!$C$2:$C$5251,Pipeline_Sort!$C360))</f>
        <v/>
      </c>
      <c r="C360" s="0" t="str">
        <f aca="false">IF(Pipeline_Sort!$C360="","",INDEX(Pipeline_Calc!$D$2:$D$5251,Pipeline_Sort!$C360))</f>
        <v/>
      </c>
      <c r="D360" s="0" t="str">
        <f aca="false">IF(Pipeline_Sort!$C360="","",INDEX(Pipeline_Calc!$E$2:$E$5251,Pipeline_Sort!$C360))</f>
        <v/>
      </c>
      <c r="E360" s="0" t="str">
        <f aca="false">IF(Pipeline_Sort!$C360="","",INDEX(Pipeline_Calc!$F$2:$F$5251,Pipeline_Sort!$C360))</f>
        <v/>
      </c>
      <c r="F360" s="0" t="str">
        <f aca="false">IF(Pipeline_Sort!$C360="","",INDEX(Pipeline_Calc!$G$2:$G$5251,Pipeline_Sort!$C360))</f>
        <v/>
      </c>
      <c r="G360" s="0" t="str">
        <f aca="false">IF(Pipeline_Sort!$C360="","",INDEX(Pipeline_Calc!$H$2:$H$5251,Pipeline_Sort!$C360))</f>
        <v/>
      </c>
      <c r="H360" s="0" t="str">
        <f aca="false">IF(Pipeline_Sort!$C360="","",INDEX(Pipeline_Calc!$I$2:$I$5251,Pipeline_Sort!$C360))</f>
        <v/>
      </c>
      <c r="I360" s="0" t="str">
        <f aca="false">IF(Pipeline_Sort!$C360="","",INDEX(Pipeline_Calc!$J$2:$J$5251,Pipeline_Sort!$C360))</f>
        <v/>
      </c>
    </row>
    <row r="361" customFormat="false" ht="15" hidden="false" customHeight="false" outlineLevel="0" collapsed="false">
      <c r="A361" s="33" t="str">
        <f aca="false">IF(Pipeline_Sort!$C361="","",INDEX(Pipeline_Calc!$B$2:$B$5251,Pipeline_Sort!$C361))</f>
        <v/>
      </c>
      <c r="B361" s="0" t="str">
        <f aca="false">IF(Pipeline_Sort!$C361="","",INDEX(Pipeline_Calc!$C$2:$C$5251,Pipeline_Sort!$C361))</f>
        <v/>
      </c>
      <c r="C361" s="0" t="str">
        <f aca="false">IF(Pipeline_Sort!$C361="","",INDEX(Pipeline_Calc!$D$2:$D$5251,Pipeline_Sort!$C361))</f>
        <v/>
      </c>
      <c r="D361" s="0" t="str">
        <f aca="false">IF(Pipeline_Sort!$C361="","",INDEX(Pipeline_Calc!$E$2:$E$5251,Pipeline_Sort!$C361))</f>
        <v/>
      </c>
      <c r="E361" s="0" t="str">
        <f aca="false">IF(Pipeline_Sort!$C361="","",INDEX(Pipeline_Calc!$F$2:$F$5251,Pipeline_Sort!$C361))</f>
        <v/>
      </c>
      <c r="F361" s="0" t="str">
        <f aca="false">IF(Pipeline_Sort!$C361="","",INDEX(Pipeline_Calc!$G$2:$G$5251,Pipeline_Sort!$C361))</f>
        <v/>
      </c>
      <c r="G361" s="0" t="str">
        <f aca="false">IF(Pipeline_Sort!$C361="","",INDEX(Pipeline_Calc!$H$2:$H$5251,Pipeline_Sort!$C361))</f>
        <v/>
      </c>
      <c r="H361" s="0" t="str">
        <f aca="false">IF(Pipeline_Sort!$C361="","",INDEX(Pipeline_Calc!$I$2:$I$5251,Pipeline_Sort!$C361))</f>
        <v/>
      </c>
      <c r="I361" s="0" t="str">
        <f aca="false">IF(Pipeline_Sort!$C361="","",INDEX(Pipeline_Calc!$J$2:$J$5251,Pipeline_Sort!$C361))</f>
        <v/>
      </c>
    </row>
    <row r="362" customFormat="false" ht="15" hidden="false" customHeight="false" outlineLevel="0" collapsed="false">
      <c r="A362" s="33" t="str">
        <f aca="false">IF(Pipeline_Sort!$C362="","",INDEX(Pipeline_Calc!$B$2:$B$5251,Pipeline_Sort!$C362))</f>
        <v/>
      </c>
      <c r="B362" s="0" t="str">
        <f aca="false">IF(Pipeline_Sort!$C362="","",INDEX(Pipeline_Calc!$C$2:$C$5251,Pipeline_Sort!$C362))</f>
        <v/>
      </c>
      <c r="C362" s="0" t="str">
        <f aca="false">IF(Pipeline_Sort!$C362="","",INDEX(Pipeline_Calc!$D$2:$D$5251,Pipeline_Sort!$C362))</f>
        <v/>
      </c>
      <c r="D362" s="0" t="str">
        <f aca="false">IF(Pipeline_Sort!$C362="","",INDEX(Pipeline_Calc!$E$2:$E$5251,Pipeline_Sort!$C362))</f>
        <v/>
      </c>
      <c r="E362" s="0" t="str">
        <f aca="false">IF(Pipeline_Sort!$C362="","",INDEX(Pipeline_Calc!$F$2:$F$5251,Pipeline_Sort!$C362))</f>
        <v/>
      </c>
      <c r="F362" s="0" t="str">
        <f aca="false">IF(Pipeline_Sort!$C362="","",INDEX(Pipeline_Calc!$G$2:$G$5251,Pipeline_Sort!$C362))</f>
        <v/>
      </c>
      <c r="G362" s="0" t="str">
        <f aca="false">IF(Pipeline_Sort!$C362="","",INDEX(Pipeline_Calc!$H$2:$H$5251,Pipeline_Sort!$C362))</f>
        <v/>
      </c>
      <c r="H362" s="0" t="str">
        <f aca="false">IF(Pipeline_Sort!$C362="","",INDEX(Pipeline_Calc!$I$2:$I$5251,Pipeline_Sort!$C362))</f>
        <v/>
      </c>
      <c r="I362" s="0" t="str">
        <f aca="false">IF(Pipeline_Sort!$C362="","",INDEX(Pipeline_Calc!$J$2:$J$5251,Pipeline_Sort!$C362))</f>
        <v/>
      </c>
    </row>
    <row r="363" customFormat="false" ht="15" hidden="false" customHeight="false" outlineLevel="0" collapsed="false">
      <c r="A363" s="33" t="str">
        <f aca="false">IF(Pipeline_Sort!$C363="","",INDEX(Pipeline_Calc!$B$2:$B$5251,Pipeline_Sort!$C363))</f>
        <v/>
      </c>
      <c r="B363" s="0" t="str">
        <f aca="false">IF(Pipeline_Sort!$C363="","",INDEX(Pipeline_Calc!$C$2:$C$5251,Pipeline_Sort!$C363))</f>
        <v/>
      </c>
      <c r="C363" s="0" t="str">
        <f aca="false">IF(Pipeline_Sort!$C363="","",INDEX(Pipeline_Calc!$D$2:$D$5251,Pipeline_Sort!$C363))</f>
        <v/>
      </c>
      <c r="D363" s="0" t="str">
        <f aca="false">IF(Pipeline_Sort!$C363="","",INDEX(Pipeline_Calc!$E$2:$E$5251,Pipeline_Sort!$C363))</f>
        <v/>
      </c>
      <c r="E363" s="0" t="str">
        <f aca="false">IF(Pipeline_Sort!$C363="","",INDEX(Pipeline_Calc!$F$2:$F$5251,Pipeline_Sort!$C363))</f>
        <v/>
      </c>
      <c r="F363" s="0" t="str">
        <f aca="false">IF(Pipeline_Sort!$C363="","",INDEX(Pipeline_Calc!$G$2:$G$5251,Pipeline_Sort!$C363))</f>
        <v/>
      </c>
      <c r="G363" s="0" t="str">
        <f aca="false">IF(Pipeline_Sort!$C363="","",INDEX(Pipeline_Calc!$H$2:$H$5251,Pipeline_Sort!$C363))</f>
        <v/>
      </c>
      <c r="H363" s="0" t="str">
        <f aca="false">IF(Pipeline_Sort!$C363="","",INDEX(Pipeline_Calc!$I$2:$I$5251,Pipeline_Sort!$C363))</f>
        <v/>
      </c>
      <c r="I363" s="0" t="str">
        <f aca="false">IF(Pipeline_Sort!$C363="","",INDEX(Pipeline_Calc!$J$2:$J$5251,Pipeline_Sort!$C363))</f>
        <v/>
      </c>
    </row>
    <row r="364" customFormat="false" ht="15" hidden="false" customHeight="false" outlineLevel="0" collapsed="false">
      <c r="A364" s="33" t="str">
        <f aca="false">IF(Pipeline_Sort!$C364="","",INDEX(Pipeline_Calc!$B$2:$B$5251,Pipeline_Sort!$C364))</f>
        <v/>
      </c>
      <c r="B364" s="0" t="str">
        <f aca="false">IF(Pipeline_Sort!$C364="","",INDEX(Pipeline_Calc!$C$2:$C$5251,Pipeline_Sort!$C364))</f>
        <v/>
      </c>
      <c r="C364" s="0" t="str">
        <f aca="false">IF(Pipeline_Sort!$C364="","",INDEX(Pipeline_Calc!$D$2:$D$5251,Pipeline_Sort!$C364))</f>
        <v/>
      </c>
      <c r="D364" s="0" t="str">
        <f aca="false">IF(Pipeline_Sort!$C364="","",INDEX(Pipeline_Calc!$E$2:$E$5251,Pipeline_Sort!$C364))</f>
        <v/>
      </c>
      <c r="E364" s="0" t="str">
        <f aca="false">IF(Pipeline_Sort!$C364="","",INDEX(Pipeline_Calc!$F$2:$F$5251,Pipeline_Sort!$C364))</f>
        <v/>
      </c>
      <c r="F364" s="0" t="str">
        <f aca="false">IF(Pipeline_Sort!$C364="","",INDEX(Pipeline_Calc!$G$2:$G$5251,Pipeline_Sort!$C364))</f>
        <v/>
      </c>
      <c r="G364" s="0" t="str">
        <f aca="false">IF(Pipeline_Sort!$C364="","",INDEX(Pipeline_Calc!$H$2:$H$5251,Pipeline_Sort!$C364))</f>
        <v/>
      </c>
      <c r="H364" s="0" t="str">
        <f aca="false">IF(Pipeline_Sort!$C364="","",INDEX(Pipeline_Calc!$I$2:$I$5251,Pipeline_Sort!$C364))</f>
        <v/>
      </c>
      <c r="I364" s="0" t="str">
        <f aca="false">IF(Pipeline_Sort!$C364="","",INDEX(Pipeline_Calc!$J$2:$J$5251,Pipeline_Sort!$C364))</f>
        <v/>
      </c>
    </row>
    <row r="365" customFormat="false" ht="15" hidden="false" customHeight="false" outlineLevel="0" collapsed="false">
      <c r="A365" s="33" t="str">
        <f aca="false">IF(Pipeline_Sort!$C365="","",INDEX(Pipeline_Calc!$B$2:$B$5251,Pipeline_Sort!$C365))</f>
        <v/>
      </c>
      <c r="B365" s="0" t="str">
        <f aca="false">IF(Pipeline_Sort!$C365="","",INDEX(Pipeline_Calc!$C$2:$C$5251,Pipeline_Sort!$C365))</f>
        <v/>
      </c>
      <c r="C365" s="0" t="str">
        <f aca="false">IF(Pipeline_Sort!$C365="","",INDEX(Pipeline_Calc!$D$2:$D$5251,Pipeline_Sort!$C365))</f>
        <v/>
      </c>
      <c r="D365" s="0" t="str">
        <f aca="false">IF(Pipeline_Sort!$C365="","",INDEX(Pipeline_Calc!$E$2:$E$5251,Pipeline_Sort!$C365))</f>
        <v/>
      </c>
      <c r="E365" s="0" t="str">
        <f aca="false">IF(Pipeline_Sort!$C365="","",INDEX(Pipeline_Calc!$F$2:$F$5251,Pipeline_Sort!$C365))</f>
        <v/>
      </c>
      <c r="F365" s="0" t="str">
        <f aca="false">IF(Pipeline_Sort!$C365="","",INDEX(Pipeline_Calc!$G$2:$G$5251,Pipeline_Sort!$C365))</f>
        <v/>
      </c>
      <c r="G365" s="0" t="str">
        <f aca="false">IF(Pipeline_Sort!$C365="","",INDEX(Pipeline_Calc!$H$2:$H$5251,Pipeline_Sort!$C365))</f>
        <v/>
      </c>
      <c r="H365" s="0" t="str">
        <f aca="false">IF(Pipeline_Sort!$C365="","",INDEX(Pipeline_Calc!$I$2:$I$5251,Pipeline_Sort!$C365))</f>
        <v/>
      </c>
      <c r="I365" s="0" t="str">
        <f aca="false">IF(Pipeline_Sort!$C365="","",INDEX(Pipeline_Calc!$J$2:$J$5251,Pipeline_Sort!$C365))</f>
        <v/>
      </c>
    </row>
    <row r="366" customFormat="false" ht="15" hidden="false" customHeight="false" outlineLevel="0" collapsed="false">
      <c r="A366" s="33" t="str">
        <f aca="false">IF(Pipeline_Sort!$C366="","",INDEX(Pipeline_Calc!$B$2:$B$5251,Pipeline_Sort!$C366))</f>
        <v/>
      </c>
      <c r="B366" s="0" t="str">
        <f aca="false">IF(Pipeline_Sort!$C366="","",INDEX(Pipeline_Calc!$C$2:$C$5251,Pipeline_Sort!$C366))</f>
        <v/>
      </c>
      <c r="C366" s="0" t="str">
        <f aca="false">IF(Pipeline_Sort!$C366="","",INDEX(Pipeline_Calc!$D$2:$D$5251,Pipeline_Sort!$C366))</f>
        <v/>
      </c>
      <c r="D366" s="0" t="str">
        <f aca="false">IF(Pipeline_Sort!$C366="","",INDEX(Pipeline_Calc!$E$2:$E$5251,Pipeline_Sort!$C366))</f>
        <v/>
      </c>
      <c r="E366" s="0" t="str">
        <f aca="false">IF(Pipeline_Sort!$C366="","",INDEX(Pipeline_Calc!$F$2:$F$5251,Pipeline_Sort!$C366))</f>
        <v/>
      </c>
      <c r="F366" s="0" t="str">
        <f aca="false">IF(Pipeline_Sort!$C366="","",INDEX(Pipeline_Calc!$G$2:$G$5251,Pipeline_Sort!$C366))</f>
        <v/>
      </c>
      <c r="G366" s="0" t="str">
        <f aca="false">IF(Pipeline_Sort!$C366="","",INDEX(Pipeline_Calc!$H$2:$H$5251,Pipeline_Sort!$C366))</f>
        <v/>
      </c>
      <c r="H366" s="0" t="str">
        <f aca="false">IF(Pipeline_Sort!$C366="","",INDEX(Pipeline_Calc!$I$2:$I$5251,Pipeline_Sort!$C366))</f>
        <v/>
      </c>
      <c r="I366" s="0" t="str">
        <f aca="false">IF(Pipeline_Sort!$C366="","",INDEX(Pipeline_Calc!$J$2:$J$5251,Pipeline_Sort!$C366))</f>
        <v/>
      </c>
    </row>
    <row r="367" customFormat="false" ht="15" hidden="false" customHeight="false" outlineLevel="0" collapsed="false">
      <c r="A367" s="33" t="str">
        <f aca="false">IF(Pipeline_Sort!$C367="","",INDEX(Pipeline_Calc!$B$2:$B$5251,Pipeline_Sort!$C367))</f>
        <v/>
      </c>
      <c r="B367" s="0" t="str">
        <f aca="false">IF(Pipeline_Sort!$C367="","",INDEX(Pipeline_Calc!$C$2:$C$5251,Pipeline_Sort!$C367))</f>
        <v/>
      </c>
      <c r="C367" s="0" t="str">
        <f aca="false">IF(Pipeline_Sort!$C367="","",INDEX(Pipeline_Calc!$D$2:$D$5251,Pipeline_Sort!$C367))</f>
        <v/>
      </c>
      <c r="D367" s="0" t="str">
        <f aca="false">IF(Pipeline_Sort!$C367="","",INDEX(Pipeline_Calc!$E$2:$E$5251,Pipeline_Sort!$C367))</f>
        <v/>
      </c>
      <c r="E367" s="0" t="str">
        <f aca="false">IF(Pipeline_Sort!$C367="","",INDEX(Pipeline_Calc!$F$2:$F$5251,Pipeline_Sort!$C367))</f>
        <v/>
      </c>
      <c r="F367" s="0" t="str">
        <f aca="false">IF(Pipeline_Sort!$C367="","",INDEX(Pipeline_Calc!$G$2:$G$5251,Pipeline_Sort!$C367))</f>
        <v/>
      </c>
      <c r="G367" s="0" t="str">
        <f aca="false">IF(Pipeline_Sort!$C367="","",INDEX(Pipeline_Calc!$H$2:$H$5251,Pipeline_Sort!$C367))</f>
        <v/>
      </c>
      <c r="H367" s="0" t="str">
        <f aca="false">IF(Pipeline_Sort!$C367="","",INDEX(Pipeline_Calc!$I$2:$I$5251,Pipeline_Sort!$C367))</f>
        <v/>
      </c>
      <c r="I367" s="0" t="str">
        <f aca="false">IF(Pipeline_Sort!$C367="","",INDEX(Pipeline_Calc!$J$2:$J$5251,Pipeline_Sort!$C367))</f>
        <v/>
      </c>
    </row>
    <row r="368" customFormat="false" ht="15" hidden="false" customHeight="false" outlineLevel="0" collapsed="false">
      <c r="A368" s="33" t="str">
        <f aca="false">IF(Pipeline_Sort!$C368="","",INDEX(Pipeline_Calc!$B$2:$B$5251,Pipeline_Sort!$C368))</f>
        <v/>
      </c>
      <c r="B368" s="0" t="str">
        <f aca="false">IF(Pipeline_Sort!$C368="","",INDEX(Pipeline_Calc!$C$2:$C$5251,Pipeline_Sort!$C368))</f>
        <v/>
      </c>
      <c r="C368" s="0" t="str">
        <f aca="false">IF(Pipeline_Sort!$C368="","",INDEX(Pipeline_Calc!$D$2:$D$5251,Pipeline_Sort!$C368))</f>
        <v/>
      </c>
      <c r="D368" s="0" t="str">
        <f aca="false">IF(Pipeline_Sort!$C368="","",INDEX(Pipeline_Calc!$E$2:$E$5251,Pipeline_Sort!$C368))</f>
        <v/>
      </c>
      <c r="E368" s="0" t="str">
        <f aca="false">IF(Pipeline_Sort!$C368="","",INDEX(Pipeline_Calc!$F$2:$F$5251,Pipeline_Sort!$C368))</f>
        <v/>
      </c>
      <c r="F368" s="0" t="str">
        <f aca="false">IF(Pipeline_Sort!$C368="","",INDEX(Pipeline_Calc!$G$2:$G$5251,Pipeline_Sort!$C368))</f>
        <v/>
      </c>
      <c r="G368" s="0" t="str">
        <f aca="false">IF(Pipeline_Sort!$C368="","",INDEX(Pipeline_Calc!$H$2:$H$5251,Pipeline_Sort!$C368))</f>
        <v/>
      </c>
      <c r="H368" s="0" t="str">
        <f aca="false">IF(Pipeline_Sort!$C368="","",INDEX(Pipeline_Calc!$I$2:$I$5251,Pipeline_Sort!$C368))</f>
        <v/>
      </c>
      <c r="I368" s="0" t="str">
        <f aca="false">IF(Pipeline_Sort!$C368="","",INDEX(Pipeline_Calc!$J$2:$J$5251,Pipeline_Sort!$C368))</f>
        <v/>
      </c>
    </row>
    <row r="369" customFormat="false" ht="15" hidden="false" customHeight="false" outlineLevel="0" collapsed="false">
      <c r="A369" s="33" t="str">
        <f aca="false">IF(Pipeline_Sort!$C369="","",INDEX(Pipeline_Calc!$B$2:$B$5251,Pipeline_Sort!$C369))</f>
        <v/>
      </c>
      <c r="B369" s="0" t="str">
        <f aca="false">IF(Pipeline_Sort!$C369="","",INDEX(Pipeline_Calc!$C$2:$C$5251,Pipeline_Sort!$C369))</f>
        <v/>
      </c>
      <c r="C369" s="0" t="str">
        <f aca="false">IF(Pipeline_Sort!$C369="","",INDEX(Pipeline_Calc!$D$2:$D$5251,Pipeline_Sort!$C369))</f>
        <v/>
      </c>
      <c r="D369" s="0" t="str">
        <f aca="false">IF(Pipeline_Sort!$C369="","",INDEX(Pipeline_Calc!$E$2:$E$5251,Pipeline_Sort!$C369))</f>
        <v/>
      </c>
      <c r="E369" s="0" t="str">
        <f aca="false">IF(Pipeline_Sort!$C369="","",INDEX(Pipeline_Calc!$F$2:$F$5251,Pipeline_Sort!$C369))</f>
        <v/>
      </c>
      <c r="F369" s="0" t="str">
        <f aca="false">IF(Pipeline_Sort!$C369="","",INDEX(Pipeline_Calc!$G$2:$G$5251,Pipeline_Sort!$C369))</f>
        <v/>
      </c>
      <c r="G369" s="0" t="str">
        <f aca="false">IF(Pipeline_Sort!$C369="","",INDEX(Pipeline_Calc!$H$2:$H$5251,Pipeline_Sort!$C369))</f>
        <v/>
      </c>
      <c r="H369" s="0" t="str">
        <f aca="false">IF(Pipeline_Sort!$C369="","",INDEX(Pipeline_Calc!$I$2:$I$5251,Pipeline_Sort!$C369))</f>
        <v/>
      </c>
      <c r="I369" s="0" t="str">
        <f aca="false">IF(Pipeline_Sort!$C369="","",INDEX(Pipeline_Calc!$J$2:$J$5251,Pipeline_Sort!$C369))</f>
        <v/>
      </c>
    </row>
    <row r="370" customFormat="false" ht="15" hidden="false" customHeight="false" outlineLevel="0" collapsed="false">
      <c r="A370" s="33" t="str">
        <f aca="false">IF(Pipeline_Sort!$C370="","",INDEX(Pipeline_Calc!$B$2:$B$5251,Pipeline_Sort!$C370))</f>
        <v/>
      </c>
      <c r="B370" s="0" t="str">
        <f aca="false">IF(Pipeline_Sort!$C370="","",INDEX(Pipeline_Calc!$C$2:$C$5251,Pipeline_Sort!$C370))</f>
        <v/>
      </c>
      <c r="C370" s="0" t="str">
        <f aca="false">IF(Pipeline_Sort!$C370="","",INDEX(Pipeline_Calc!$D$2:$D$5251,Pipeline_Sort!$C370))</f>
        <v/>
      </c>
      <c r="D370" s="0" t="str">
        <f aca="false">IF(Pipeline_Sort!$C370="","",INDEX(Pipeline_Calc!$E$2:$E$5251,Pipeline_Sort!$C370))</f>
        <v/>
      </c>
      <c r="E370" s="0" t="str">
        <f aca="false">IF(Pipeline_Sort!$C370="","",INDEX(Pipeline_Calc!$F$2:$F$5251,Pipeline_Sort!$C370))</f>
        <v/>
      </c>
      <c r="F370" s="0" t="str">
        <f aca="false">IF(Pipeline_Sort!$C370="","",INDEX(Pipeline_Calc!$G$2:$G$5251,Pipeline_Sort!$C370))</f>
        <v/>
      </c>
      <c r="G370" s="0" t="str">
        <f aca="false">IF(Pipeline_Sort!$C370="","",INDEX(Pipeline_Calc!$H$2:$H$5251,Pipeline_Sort!$C370))</f>
        <v/>
      </c>
      <c r="H370" s="0" t="str">
        <f aca="false">IF(Pipeline_Sort!$C370="","",INDEX(Pipeline_Calc!$I$2:$I$5251,Pipeline_Sort!$C370))</f>
        <v/>
      </c>
      <c r="I370" s="0" t="str">
        <f aca="false">IF(Pipeline_Sort!$C370="","",INDEX(Pipeline_Calc!$J$2:$J$5251,Pipeline_Sort!$C370))</f>
        <v/>
      </c>
    </row>
    <row r="371" customFormat="false" ht="15" hidden="false" customHeight="false" outlineLevel="0" collapsed="false">
      <c r="A371" s="33" t="str">
        <f aca="false">IF(Pipeline_Sort!$C371="","",INDEX(Pipeline_Calc!$B$2:$B$5251,Pipeline_Sort!$C371))</f>
        <v/>
      </c>
      <c r="B371" s="0" t="str">
        <f aca="false">IF(Pipeline_Sort!$C371="","",INDEX(Pipeline_Calc!$C$2:$C$5251,Pipeline_Sort!$C371))</f>
        <v/>
      </c>
      <c r="C371" s="0" t="str">
        <f aca="false">IF(Pipeline_Sort!$C371="","",INDEX(Pipeline_Calc!$D$2:$D$5251,Pipeline_Sort!$C371))</f>
        <v/>
      </c>
      <c r="D371" s="0" t="str">
        <f aca="false">IF(Pipeline_Sort!$C371="","",INDEX(Pipeline_Calc!$E$2:$E$5251,Pipeline_Sort!$C371))</f>
        <v/>
      </c>
      <c r="E371" s="0" t="str">
        <f aca="false">IF(Pipeline_Sort!$C371="","",INDEX(Pipeline_Calc!$F$2:$F$5251,Pipeline_Sort!$C371))</f>
        <v/>
      </c>
      <c r="F371" s="0" t="str">
        <f aca="false">IF(Pipeline_Sort!$C371="","",INDEX(Pipeline_Calc!$G$2:$G$5251,Pipeline_Sort!$C371))</f>
        <v/>
      </c>
      <c r="G371" s="0" t="str">
        <f aca="false">IF(Pipeline_Sort!$C371="","",INDEX(Pipeline_Calc!$H$2:$H$5251,Pipeline_Sort!$C371))</f>
        <v/>
      </c>
      <c r="H371" s="0" t="str">
        <f aca="false">IF(Pipeline_Sort!$C371="","",INDEX(Pipeline_Calc!$I$2:$I$5251,Pipeline_Sort!$C371))</f>
        <v/>
      </c>
      <c r="I371" s="0" t="str">
        <f aca="false">IF(Pipeline_Sort!$C371="","",INDEX(Pipeline_Calc!$J$2:$J$5251,Pipeline_Sort!$C371))</f>
        <v/>
      </c>
    </row>
    <row r="372" customFormat="false" ht="15" hidden="false" customHeight="false" outlineLevel="0" collapsed="false">
      <c r="A372" s="33" t="str">
        <f aca="false">IF(Pipeline_Sort!$C372="","",INDEX(Pipeline_Calc!$B$2:$B$5251,Pipeline_Sort!$C372))</f>
        <v/>
      </c>
      <c r="B372" s="0" t="str">
        <f aca="false">IF(Pipeline_Sort!$C372="","",INDEX(Pipeline_Calc!$C$2:$C$5251,Pipeline_Sort!$C372))</f>
        <v/>
      </c>
      <c r="C372" s="0" t="str">
        <f aca="false">IF(Pipeline_Sort!$C372="","",INDEX(Pipeline_Calc!$D$2:$D$5251,Pipeline_Sort!$C372))</f>
        <v/>
      </c>
      <c r="D372" s="0" t="str">
        <f aca="false">IF(Pipeline_Sort!$C372="","",INDEX(Pipeline_Calc!$E$2:$E$5251,Pipeline_Sort!$C372))</f>
        <v/>
      </c>
      <c r="E372" s="0" t="str">
        <f aca="false">IF(Pipeline_Sort!$C372="","",INDEX(Pipeline_Calc!$F$2:$F$5251,Pipeline_Sort!$C372))</f>
        <v/>
      </c>
      <c r="F372" s="0" t="str">
        <f aca="false">IF(Pipeline_Sort!$C372="","",INDEX(Pipeline_Calc!$G$2:$G$5251,Pipeline_Sort!$C372))</f>
        <v/>
      </c>
      <c r="G372" s="0" t="str">
        <f aca="false">IF(Pipeline_Sort!$C372="","",INDEX(Pipeline_Calc!$H$2:$H$5251,Pipeline_Sort!$C372))</f>
        <v/>
      </c>
      <c r="H372" s="0" t="str">
        <f aca="false">IF(Pipeline_Sort!$C372="","",INDEX(Pipeline_Calc!$I$2:$I$5251,Pipeline_Sort!$C372))</f>
        <v/>
      </c>
      <c r="I372" s="0" t="str">
        <f aca="false">IF(Pipeline_Sort!$C372="","",INDEX(Pipeline_Calc!$J$2:$J$5251,Pipeline_Sort!$C372))</f>
        <v/>
      </c>
    </row>
    <row r="373" customFormat="false" ht="15" hidden="false" customHeight="false" outlineLevel="0" collapsed="false">
      <c r="A373" s="33" t="str">
        <f aca="false">IF(Pipeline_Sort!$C373="","",INDEX(Pipeline_Calc!$B$2:$B$5251,Pipeline_Sort!$C373))</f>
        <v/>
      </c>
      <c r="B373" s="0" t="str">
        <f aca="false">IF(Pipeline_Sort!$C373="","",INDEX(Pipeline_Calc!$C$2:$C$5251,Pipeline_Sort!$C373))</f>
        <v/>
      </c>
      <c r="C373" s="0" t="str">
        <f aca="false">IF(Pipeline_Sort!$C373="","",INDEX(Pipeline_Calc!$D$2:$D$5251,Pipeline_Sort!$C373))</f>
        <v/>
      </c>
      <c r="D373" s="0" t="str">
        <f aca="false">IF(Pipeline_Sort!$C373="","",INDEX(Pipeline_Calc!$E$2:$E$5251,Pipeline_Sort!$C373))</f>
        <v/>
      </c>
      <c r="E373" s="0" t="str">
        <f aca="false">IF(Pipeline_Sort!$C373="","",INDEX(Pipeline_Calc!$F$2:$F$5251,Pipeline_Sort!$C373))</f>
        <v/>
      </c>
      <c r="F373" s="0" t="str">
        <f aca="false">IF(Pipeline_Sort!$C373="","",INDEX(Pipeline_Calc!$G$2:$G$5251,Pipeline_Sort!$C373))</f>
        <v/>
      </c>
      <c r="G373" s="0" t="str">
        <f aca="false">IF(Pipeline_Sort!$C373="","",INDEX(Pipeline_Calc!$H$2:$H$5251,Pipeline_Sort!$C373))</f>
        <v/>
      </c>
      <c r="H373" s="0" t="str">
        <f aca="false">IF(Pipeline_Sort!$C373="","",INDEX(Pipeline_Calc!$I$2:$I$5251,Pipeline_Sort!$C373))</f>
        <v/>
      </c>
      <c r="I373" s="0" t="str">
        <f aca="false">IF(Pipeline_Sort!$C373="","",INDEX(Pipeline_Calc!$J$2:$J$5251,Pipeline_Sort!$C373))</f>
        <v/>
      </c>
    </row>
    <row r="374" customFormat="false" ht="15" hidden="false" customHeight="false" outlineLevel="0" collapsed="false">
      <c r="A374" s="33" t="str">
        <f aca="false">IF(Pipeline_Sort!$C374="","",INDEX(Pipeline_Calc!$B$2:$B$5251,Pipeline_Sort!$C374))</f>
        <v/>
      </c>
      <c r="B374" s="0" t="str">
        <f aca="false">IF(Pipeline_Sort!$C374="","",INDEX(Pipeline_Calc!$C$2:$C$5251,Pipeline_Sort!$C374))</f>
        <v/>
      </c>
      <c r="C374" s="0" t="str">
        <f aca="false">IF(Pipeline_Sort!$C374="","",INDEX(Pipeline_Calc!$D$2:$D$5251,Pipeline_Sort!$C374))</f>
        <v/>
      </c>
      <c r="D374" s="0" t="str">
        <f aca="false">IF(Pipeline_Sort!$C374="","",INDEX(Pipeline_Calc!$E$2:$E$5251,Pipeline_Sort!$C374))</f>
        <v/>
      </c>
      <c r="E374" s="0" t="str">
        <f aca="false">IF(Pipeline_Sort!$C374="","",INDEX(Pipeline_Calc!$F$2:$F$5251,Pipeline_Sort!$C374))</f>
        <v/>
      </c>
      <c r="F374" s="0" t="str">
        <f aca="false">IF(Pipeline_Sort!$C374="","",INDEX(Pipeline_Calc!$G$2:$G$5251,Pipeline_Sort!$C374))</f>
        <v/>
      </c>
      <c r="G374" s="0" t="str">
        <f aca="false">IF(Pipeline_Sort!$C374="","",INDEX(Pipeline_Calc!$H$2:$H$5251,Pipeline_Sort!$C374))</f>
        <v/>
      </c>
      <c r="H374" s="0" t="str">
        <f aca="false">IF(Pipeline_Sort!$C374="","",INDEX(Pipeline_Calc!$I$2:$I$5251,Pipeline_Sort!$C374))</f>
        <v/>
      </c>
      <c r="I374" s="0" t="str">
        <f aca="false">IF(Pipeline_Sort!$C374="","",INDEX(Pipeline_Calc!$J$2:$J$5251,Pipeline_Sort!$C374))</f>
        <v/>
      </c>
    </row>
    <row r="375" customFormat="false" ht="15" hidden="false" customHeight="false" outlineLevel="0" collapsed="false">
      <c r="A375" s="33" t="str">
        <f aca="false">IF(Pipeline_Sort!$C375="","",INDEX(Pipeline_Calc!$B$2:$B$5251,Pipeline_Sort!$C375))</f>
        <v/>
      </c>
      <c r="B375" s="0" t="str">
        <f aca="false">IF(Pipeline_Sort!$C375="","",INDEX(Pipeline_Calc!$C$2:$C$5251,Pipeline_Sort!$C375))</f>
        <v/>
      </c>
      <c r="C375" s="0" t="str">
        <f aca="false">IF(Pipeline_Sort!$C375="","",INDEX(Pipeline_Calc!$D$2:$D$5251,Pipeline_Sort!$C375))</f>
        <v/>
      </c>
      <c r="D375" s="0" t="str">
        <f aca="false">IF(Pipeline_Sort!$C375="","",INDEX(Pipeline_Calc!$E$2:$E$5251,Pipeline_Sort!$C375))</f>
        <v/>
      </c>
      <c r="E375" s="0" t="str">
        <f aca="false">IF(Pipeline_Sort!$C375="","",INDEX(Pipeline_Calc!$F$2:$F$5251,Pipeline_Sort!$C375))</f>
        <v/>
      </c>
      <c r="F375" s="0" t="str">
        <f aca="false">IF(Pipeline_Sort!$C375="","",INDEX(Pipeline_Calc!$G$2:$G$5251,Pipeline_Sort!$C375))</f>
        <v/>
      </c>
      <c r="G375" s="0" t="str">
        <f aca="false">IF(Pipeline_Sort!$C375="","",INDEX(Pipeline_Calc!$H$2:$H$5251,Pipeline_Sort!$C375))</f>
        <v/>
      </c>
      <c r="H375" s="0" t="str">
        <f aca="false">IF(Pipeline_Sort!$C375="","",INDEX(Pipeline_Calc!$I$2:$I$5251,Pipeline_Sort!$C375))</f>
        <v/>
      </c>
      <c r="I375" s="0" t="str">
        <f aca="false">IF(Pipeline_Sort!$C375="","",INDEX(Pipeline_Calc!$J$2:$J$5251,Pipeline_Sort!$C375))</f>
        <v/>
      </c>
    </row>
    <row r="376" customFormat="false" ht="15" hidden="false" customHeight="false" outlineLevel="0" collapsed="false">
      <c r="A376" s="33" t="str">
        <f aca="false">IF(Pipeline_Sort!$C376="","",INDEX(Pipeline_Calc!$B$2:$B$5251,Pipeline_Sort!$C376))</f>
        <v/>
      </c>
      <c r="B376" s="0" t="str">
        <f aca="false">IF(Pipeline_Sort!$C376="","",INDEX(Pipeline_Calc!$C$2:$C$5251,Pipeline_Sort!$C376))</f>
        <v/>
      </c>
      <c r="C376" s="0" t="str">
        <f aca="false">IF(Pipeline_Sort!$C376="","",INDEX(Pipeline_Calc!$D$2:$D$5251,Pipeline_Sort!$C376))</f>
        <v/>
      </c>
      <c r="D376" s="0" t="str">
        <f aca="false">IF(Pipeline_Sort!$C376="","",INDEX(Pipeline_Calc!$E$2:$E$5251,Pipeline_Sort!$C376))</f>
        <v/>
      </c>
      <c r="E376" s="0" t="str">
        <f aca="false">IF(Pipeline_Sort!$C376="","",INDEX(Pipeline_Calc!$F$2:$F$5251,Pipeline_Sort!$C376))</f>
        <v/>
      </c>
      <c r="F376" s="0" t="str">
        <f aca="false">IF(Pipeline_Sort!$C376="","",INDEX(Pipeline_Calc!$G$2:$G$5251,Pipeline_Sort!$C376))</f>
        <v/>
      </c>
      <c r="G376" s="0" t="str">
        <f aca="false">IF(Pipeline_Sort!$C376="","",INDEX(Pipeline_Calc!$H$2:$H$5251,Pipeline_Sort!$C376))</f>
        <v/>
      </c>
      <c r="H376" s="0" t="str">
        <f aca="false">IF(Pipeline_Sort!$C376="","",INDEX(Pipeline_Calc!$I$2:$I$5251,Pipeline_Sort!$C376))</f>
        <v/>
      </c>
      <c r="I376" s="0" t="str">
        <f aca="false">IF(Pipeline_Sort!$C376="","",INDEX(Pipeline_Calc!$J$2:$J$5251,Pipeline_Sort!$C376))</f>
        <v/>
      </c>
    </row>
    <row r="377" customFormat="false" ht="15" hidden="false" customHeight="false" outlineLevel="0" collapsed="false">
      <c r="A377" s="33" t="str">
        <f aca="false">IF(Pipeline_Sort!$C377="","",INDEX(Pipeline_Calc!$B$2:$B$5251,Pipeline_Sort!$C377))</f>
        <v/>
      </c>
      <c r="B377" s="0" t="str">
        <f aca="false">IF(Pipeline_Sort!$C377="","",INDEX(Pipeline_Calc!$C$2:$C$5251,Pipeline_Sort!$C377))</f>
        <v/>
      </c>
      <c r="C377" s="0" t="str">
        <f aca="false">IF(Pipeline_Sort!$C377="","",INDEX(Pipeline_Calc!$D$2:$D$5251,Pipeline_Sort!$C377))</f>
        <v/>
      </c>
      <c r="D377" s="0" t="str">
        <f aca="false">IF(Pipeline_Sort!$C377="","",INDEX(Pipeline_Calc!$E$2:$E$5251,Pipeline_Sort!$C377))</f>
        <v/>
      </c>
      <c r="E377" s="0" t="str">
        <f aca="false">IF(Pipeline_Sort!$C377="","",INDEX(Pipeline_Calc!$F$2:$F$5251,Pipeline_Sort!$C377))</f>
        <v/>
      </c>
      <c r="F377" s="0" t="str">
        <f aca="false">IF(Pipeline_Sort!$C377="","",INDEX(Pipeline_Calc!$G$2:$G$5251,Pipeline_Sort!$C377))</f>
        <v/>
      </c>
      <c r="G377" s="0" t="str">
        <f aca="false">IF(Pipeline_Sort!$C377="","",INDEX(Pipeline_Calc!$H$2:$H$5251,Pipeline_Sort!$C377))</f>
        <v/>
      </c>
      <c r="H377" s="0" t="str">
        <f aca="false">IF(Pipeline_Sort!$C377="","",INDEX(Pipeline_Calc!$I$2:$I$5251,Pipeline_Sort!$C377))</f>
        <v/>
      </c>
      <c r="I377" s="0" t="str">
        <f aca="false">IF(Pipeline_Sort!$C377="","",INDEX(Pipeline_Calc!$J$2:$J$5251,Pipeline_Sort!$C377))</f>
        <v/>
      </c>
    </row>
    <row r="378" customFormat="false" ht="15" hidden="false" customHeight="false" outlineLevel="0" collapsed="false">
      <c r="A378" s="33" t="str">
        <f aca="false">IF(Pipeline_Sort!$C378="","",INDEX(Pipeline_Calc!$B$2:$B$5251,Pipeline_Sort!$C378))</f>
        <v/>
      </c>
      <c r="B378" s="0" t="str">
        <f aca="false">IF(Pipeline_Sort!$C378="","",INDEX(Pipeline_Calc!$C$2:$C$5251,Pipeline_Sort!$C378))</f>
        <v/>
      </c>
      <c r="C378" s="0" t="str">
        <f aca="false">IF(Pipeline_Sort!$C378="","",INDEX(Pipeline_Calc!$D$2:$D$5251,Pipeline_Sort!$C378))</f>
        <v/>
      </c>
      <c r="D378" s="0" t="str">
        <f aca="false">IF(Pipeline_Sort!$C378="","",INDEX(Pipeline_Calc!$E$2:$E$5251,Pipeline_Sort!$C378))</f>
        <v/>
      </c>
      <c r="E378" s="0" t="str">
        <f aca="false">IF(Pipeline_Sort!$C378="","",INDEX(Pipeline_Calc!$F$2:$F$5251,Pipeline_Sort!$C378))</f>
        <v/>
      </c>
      <c r="F378" s="0" t="str">
        <f aca="false">IF(Pipeline_Sort!$C378="","",INDEX(Pipeline_Calc!$G$2:$G$5251,Pipeline_Sort!$C378))</f>
        <v/>
      </c>
      <c r="G378" s="0" t="str">
        <f aca="false">IF(Pipeline_Sort!$C378="","",INDEX(Pipeline_Calc!$H$2:$H$5251,Pipeline_Sort!$C378))</f>
        <v/>
      </c>
      <c r="H378" s="0" t="str">
        <f aca="false">IF(Pipeline_Sort!$C378="","",INDEX(Pipeline_Calc!$I$2:$I$5251,Pipeline_Sort!$C378))</f>
        <v/>
      </c>
      <c r="I378" s="0" t="str">
        <f aca="false">IF(Pipeline_Sort!$C378="","",INDEX(Pipeline_Calc!$J$2:$J$5251,Pipeline_Sort!$C378))</f>
        <v/>
      </c>
    </row>
    <row r="379" customFormat="false" ht="15" hidden="false" customHeight="false" outlineLevel="0" collapsed="false">
      <c r="A379" s="33" t="str">
        <f aca="false">IF(Pipeline_Sort!$C379="","",INDEX(Pipeline_Calc!$B$2:$B$5251,Pipeline_Sort!$C379))</f>
        <v/>
      </c>
      <c r="B379" s="0" t="str">
        <f aca="false">IF(Pipeline_Sort!$C379="","",INDEX(Pipeline_Calc!$C$2:$C$5251,Pipeline_Sort!$C379))</f>
        <v/>
      </c>
      <c r="C379" s="0" t="str">
        <f aca="false">IF(Pipeline_Sort!$C379="","",INDEX(Pipeline_Calc!$D$2:$D$5251,Pipeline_Sort!$C379))</f>
        <v/>
      </c>
      <c r="D379" s="0" t="str">
        <f aca="false">IF(Pipeline_Sort!$C379="","",INDEX(Pipeline_Calc!$E$2:$E$5251,Pipeline_Sort!$C379))</f>
        <v/>
      </c>
      <c r="E379" s="0" t="str">
        <f aca="false">IF(Pipeline_Sort!$C379="","",INDEX(Pipeline_Calc!$F$2:$F$5251,Pipeline_Sort!$C379))</f>
        <v/>
      </c>
      <c r="F379" s="0" t="str">
        <f aca="false">IF(Pipeline_Sort!$C379="","",INDEX(Pipeline_Calc!$G$2:$G$5251,Pipeline_Sort!$C379))</f>
        <v/>
      </c>
      <c r="G379" s="0" t="str">
        <f aca="false">IF(Pipeline_Sort!$C379="","",INDEX(Pipeline_Calc!$H$2:$H$5251,Pipeline_Sort!$C379))</f>
        <v/>
      </c>
      <c r="H379" s="0" t="str">
        <f aca="false">IF(Pipeline_Sort!$C379="","",INDEX(Pipeline_Calc!$I$2:$I$5251,Pipeline_Sort!$C379))</f>
        <v/>
      </c>
      <c r="I379" s="0" t="str">
        <f aca="false">IF(Pipeline_Sort!$C379="","",INDEX(Pipeline_Calc!$J$2:$J$5251,Pipeline_Sort!$C379))</f>
        <v/>
      </c>
    </row>
    <row r="380" customFormat="false" ht="15" hidden="false" customHeight="false" outlineLevel="0" collapsed="false">
      <c r="A380" s="33" t="str">
        <f aca="false">IF(Pipeline_Sort!$C380="","",INDEX(Pipeline_Calc!$B$2:$B$5251,Pipeline_Sort!$C380))</f>
        <v/>
      </c>
      <c r="B380" s="0" t="str">
        <f aca="false">IF(Pipeline_Sort!$C380="","",INDEX(Pipeline_Calc!$C$2:$C$5251,Pipeline_Sort!$C380))</f>
        <v/>
      </c>
      <c r="C380" s="0" t="str">
        <f aca="false">IF(Pipeline_Sort!$C380="","",INDEX(Pipeline_Calc!$D$2:$D$5251,Pipeline_Sort!$C380))</f>
        <v/>
      </c>
      <c r="D380" s="0" t="str">
        <f aca="false">IF(Pipeline_Sort!$C380="","",INDEX(Pipeline_Calc!$E$2:$E$5251,Pipeline_Sort!$C380))</f>
        <v/>
      </c>
      <c r="E380" s="0" t="str">
        <f aca="false">IF(Pipeline_Sort!$C380="","",INDEX(Pipeline_Calc!$F$2:$F$5251,Pipeline_Sort!$C380))</f>
        <v/>
      </c>
      <c r="F380" s="0" t="str">
        <f aca="false">IF(Pipeline_Sort!$C380="","",INDEX(Pipeline_Calc!$G$2:$G$5251,Pipeline_Sort!$C380))</f>
        <v/>
      </c>
      <c r="G380" s="0" t="str">
        <f aca="false">IF(Pipeline_Sort!$C380="","",INDEX(Pipeline_Calc!$H$2:$H$5251,Pipeline_Sort!$C380))</f>
        <v/>
      </c>
      <c r="H380" s="0" t="str">
        <f aca="false">IF(Pipeline_Sort!$C380="","",INDEX(Pipeline_Calc!$I$2:$I$5251,Pipeline_Sort!$C380))</f>
        <v/>
      </c>
      <c r="I380" s="0" t="str">
        <f aca="false">IF(Pipeline_Sort!$C380="","",INDEX(Pipeline_Calc!$J$2:$J$5251,Pipeline_Sort!$C380))</f>
        <v/>
      </c>
    </row>
    <row r="381" customFormat="false" ht="15" hidden="false" customHeight="false" outlineLevel="0" collapsed="false">
      <c r="A381" s="33" t="str">
        <f aca="false">IF(Pipeline_Sort!$C381="","",INDEX(Pipeline_Calc!$B$2:$B$5251,Pipeline_Sort!$C381))</f>
        <v/>
      </c>
      <c r="B381" s="0" t="str">
        <f aca="false">IF(Pipeline_Sort!$C381="","",INDEX(Pipeline_Calc!$C$2:$C$5251,Pipeline_Sort!$C381))</f>
        <v/>
      </c>
      <c r="C381" s="0" t="str">
        <f aca="false">IF(Pipeline_Sort!$C381="","",INDEX(Pipeline_Calc!$D$2:$D$5251,Pipeline_Sort!$C381))</f>
        <v/>
      </c>
      <c r="D381" s="0" t="str">
        <f aca="false">IF(Pipeline_Sort!$C381="","",INDEX(Pipeline_Calc!$E$2:$E$5251,Pipeline_Sort!$C381))</f>
        <v/>
      </c>
      <c r="E381" s="0" t="str">
        <f aca="false">IF(Pipeline_Sort!$C381="","",INDEX(Pipeline_Calc!$F$2:$F$5251,Pipeline_Sort!$C381))</f>
        <v/>
      </c>
      <c r="F381" s="0" t="str">
        <f aca="false">IF(Pipeline_Sort!$C381="","",INDEX(Pipeline_Calc!$G$2:$G$5251,Pipeline_Sort!$C381))</f>
        <v/>
      </c>
      <c r="G381" s="0" t="str">
        <f aca="false">IF(Pipeline_Sort!$C381="","",INDEX(Pipeline_Calc!$H$2:$H$5251,Pipeline_Sort!$C381))</f>
        <v/>
      </c>
      <c r="H381" s="0" t="str">
        <f aca="false">IF(Pipeline_Sort!$C381="","",INDEX(Pipeline_Calc!$I$2:$I$5251,Pipeline_Sort!$C381))</f>
        <v/>
      </c>
      <c r="I381" s="0" t="str">
        <f aca="false">IF(Pipeline_Sort!$C381="","",INDEX(Pipeline_Calc!$J$2:$J$5251,Pipeline_Sort!$C381))</f>
        <v/>
      </c>
    </row>
    <row r="382" customFormat="false" ht="15" hidden="false" customHeight="false" outlineLevel="0" collapsed="false">
      <c r="A382" s="33" t="str">
        <f aca="false">IF(Pipeline_Sort!$C382="","",INDEX(Pipeline_Calc!$B$2:$B$5251,Pipeline_Sort!$C382))</f>
        <v/>
      </c>
      <c r="B382" s="0" t="str">
        <f aca="false">IF(Pipeline_Sort!$C382="","",INDEX(Pipeline_Calc!$C$2:$C$5251,Pipeline_Sort!$C382))</f>
        <v/>
      </c>
      <c r="C382" s="0" t="str">
        <f aca="false">IF(Pipeline_Sort!$C382="","",INDEX(Pipeline_Calc!$D$2:$D$5251,Pipeline_Sort!$C382))</f>
        <v/>
      </c>
      <c r="D382" s="0" t="str">
        <f aca="false">IF(Pipeline_Sort!$C382="","",INDEX(Pipeline_Calc!$E$2:$E$5251,Pipeline_Sort!$C382))</f>
        <v/>
      </c>
      <c r="E382" s="0" t="str">
        <f aca="false">IF(Pipeline_Sort!$C382="","",INDEX(Pipeline_Calc!$F$2:$F$5251,Pipeline_Sort!$C382))</f>
        <v/>
      </c>
      <c r="F382" s="0" t="str">
        <f aca="false">IF(Pipeline_Sort!$C382="","",INDEX(Pipeline_Calc!$G$2:$G$5251,Pipeline_Sort!$C382))</f>
        <v/>
      </c>
      <c r="G382" s="0" t="str">
        <f aca="false">IF(Pipeline_Sort!$C382="","",INDEX(Pipeline_Calc!$H$2:$H$5251,Pipeline_Sort!$C382))</f>
        <v/>
      </c>
      <c r="H382" s="0" t="str">
        <f aca="false">IF(Pipeline_Sort!$C382="","",INDEX(Pipeline_Calc!$I$2:$I$5251,Pipeline_Sort!$C382))</f>
        <v/>
      </c>
      <c r="I382" s="0" t="str">
        <f aca="false">IF(Pipeline_Sort!$C382="","",INDEX(Pipeline_Calc!$J$2:$J$5251,Pipeline_Sort!$C382))</f>
        <v/>
      </c>
    </row>
    <row r="383" customFormat="false" ht="15" hidden="false" customHeight="false" outlineLevel="0" collapsed="false">
      <c r="A383" s="33" t="str">
        <f aca="false">IF(Pipeline_Sort!$C383="","",INDEX(Pipeline_Calc!$B$2:$B$5251,Pipeline_Sort!$C383))</f>
        <v/>
      </c>
      <c r="B383" s="0" t="str">
        <f aca="false">IF(Pipeline_Sort!$C383="","",INDEX(Pipeline_Calc!$C$2:$C$5251,Pipeline_Sort!$C383))</f>
        <v/>
      </c>
      <c r="C383" s="0" t="str">
        <f aca="false">IF(Pipeline_Sort!$C383="","",INDEX(Pipeline_Calc!$D$2:$D$5251,Pipeline_Sort!$C383))</f>
        <v/>
      </c>
      <c r="D383" s="0" t="str">
        <f aca="false">IF(Pipeline_Sort!$C383="","",INDEX(Pipeline_Calc!$E$2:$E$5251,Pipeline_Sort!$C383))</f>
        <v/>
      </c>
      <c r="E383" s="0" t="str">
        <f aca="false">IF(Pipeline_Sort!$C383="","",INDEX(Pipeline_Calc!$F$2:$F$5251,Pipeline_Sort!$C383))</f>
        <v/>
      </c>
      <c r="F383" s="0" t="str">
        <f aca="false">IF(Pipeline_Sort!$C383="","",INDEX(Pipeline_Calc!$G$2:$G$5251,Pipeline_Sort!$C383))</f>
        <v/>
      </c>
      <c r="G383" s="0" t="str">
        <f aca="false">IF(Pipeline_Sort!$C383="","",INDEX(Pipeline_Calc!$H$2:$H$5251,Pipeline_Sort!$C383))</f>
        <v/>
      </c>
      <c r="H383" s="0" t="str">
        <f aca="false">IF(Pipeline_Sort!$C383="","",INDEX(Pipeline_Calc!$I$2:$I$5251,Pipeline_Sort!$C383))</f>
        <v/>
      </c>
      <c r="I383" s="0" t="str">
        <f aca="false">IF(Pipeline_Sort!$C383="","",INDEX(Pipeline_Calc!$J$2:$J$5251,Pipeline_Sort!$C383))</f>
        <v/>
      </c>
    </row>
    <row r="384" customFormat="false" ht="15" hidden="false" customHeight="false" outlineLevel="0" collapsed="false">
      <c r="A384" s="33" t="str">
        <f aca="false">IF(Pipeline_Sort!$C384="","",INDEX(Pipeline_Calc!$B$2:$B$5251,Pipeline_Sort!$C384))</f>
        <v/>
      </c>
      <c r="B384" s="0" t="str">
        <f aca="false">IF(Pipeline_Sort!$C384="","",INDEX(Pipeline_Calc!$C$2:$C$5251,Pipeline_Sort!$C384))</f>
        <v/>
      </c>
      <c r="C384" s="0" t="str">
        <f aca="false">IF(Pipeline_Sort!$C384="","",INDEX(Pipeline_Calc!$D$2:$D$5251,Pipeline_Sort!$C384))</f>
        <v/>
      </c>
      <c r="D384" s="0" t="str">
        <f aca="false">IF(Pipeline_Sort!$C384="","",INDEX(Pipeline_Calc!$E$2:$E$5251,Pipeline_Sort!$C384))</f>
        <v/>
      </c>
      <c r="E384" s="0" t="str">
        <f aca="false">IF(Pipeline_Sort!$C384="","",INDEX(Pipeline_Calc!$F$2:$F$5251,Pipeline_Sort!$C384))</f>
        <v/>
      </c>
      <c r="F384" s="0" t="str">
        <f aca="false">IF(Pipeline_Sort!$C384="","",INDEX(Pipeline_Calc!$G$2:$G$5251,Pipeline_Sort!$C384))</f>
        <v/>
      </c>
      <c r="G384" s="0" t="str">
        <f aca="false">IF(Pipeline_Sort!$C384="","",INDEX(Pipeline_Calc!$H$2:$H$5251,Pipeline_Sort!$C384))</f>
        <v/>
      </c>
      <c r="H384" s="0" t="str">
        <f aca="false">IF(Pipeline_Sort!$C384="","",INDEX(Pipeline_Calc!$I$2:$I$5251,Pipeline_Sort!$C384))</f>
        <v/>
      </c>
      <c r="I384" s="0" t="str">
        <f aca="false">IF(Pipeline_Sort!$C384="","",INDEX(Pipeline_Calc!$J$2:$J$5251,Pipeline_Sort!$C384))</f>
        <v/>
      </c>
    </row>
    <row r="385" customFormat="false" ht="15" hidden="false" customHeight="false" outlineLevel="0" collapsed="false">
      <c r="A385" s="33" t="str">
        <f aca="false">IF(Pipeline_Sort!$C385="","",INDEX(Pipeline_Calc!$B$2:$B$5251,Pipeline_Sort!$C385))</f>
        <v/>
      </c>
      <c r="B385" s="0" t="str">
        <f aca="false">IF(Pipeline_Sort!$C385="","",INDEX(Pipeline_Calc!$C$2:$C$5251,Pipeline_Sort!$C385))</f>
        <v/>
      </c>
      <c r="C385" s="0" t="str">
        <f aca="false">IF(Pipeline_Sort!$C385="","",INDEX(Pipeline_Calc!$D$2:$D$5251,Pipeline_Sort!$C385))</f>
        <v/>
      </c>
      <c r="D385" s="0" t="str">
        <f aca="false">IF(Pipeline_Sort!$C385="","",INDEX(Pipeline_Calc!$E$2:$E$5251,Pipeline_Sort!$C385))</f>
        <v/>
      </c>
      <c r="E385" s="0" t="str">
        <f aca="false">IF(Pipeline_Sort!$C385="","",INDEX(Pipeline_Calc!$F$2:$F$5251,Pipeline_Sort!$C385))</f>
        <v/>
      </c>
      <c r="F385" s="0" t="str">
        <f aca="false">IF(Pipeline_Sort!$C385="","",INDEX(Pipeline_Calc!$G$2:$G$5251,Pipeline_Sort!$C385))</f>
        <v/>
      </c>
      <c r="G385" s="0" t="str">
        <f aca="false">IF(Pipeline_Sort!$C385="","",INDEX(Pipeline_Calc!$H$2:$H$5251,Pipeline_Sort!$C385))</f>
        <v/>
      </c>
      <c r="H385" s="0" t="str">
        <f aca="false">IF(Pipeline_Sort!$C385="","",INDEX(Pipeline_Calc!$I$2:$I$5251,Pipeline_Sort!$C385))</f>
        <v/>
      </c>
      <c r="I385" s="0" t="str">
        <f aca="false">IF(Pipeline_Sort!$C385="","",INDEX(Pipeline_Calc!$J$2:$J$5251,Pipeline_Sort!$C385))</f>
        <v/>
      </c>
    </row>
    <row r="386" customFormat="false" ht="15" hidden="false" customHeight="false" outlineLevel="0" collapsed="false">
      <c r="A386" s="33" t="str">
        <f aca="false">IF(Pipeline_Sort!$C386="","",INDEX(Pipeline_Calc!$B$2:$B$5251,Pipeline_Sort!$C386))</f>
        <v/>
      </c>
      <c r="B386" s="0" t="str">
        <f aca="false">IF(Pipeline_Sort!$C386="","",INDEX(Pipeline_Calc!$C$2:$C$5251,Pipeline_Sort!$C386))</f>
        <v/>
      </c>
      <c r="C386" s="0" t="str">
        <f aca="false">IF(Pipeline_Sort!$C386="","",INDEX(Pipeline_Calc!$D$2:$D$5251,Pipeline_Sort!$C386))</f>
        <v/>
      </c>
      <c r="D386" s="0" t="str">
        <f aca="false">IF(Pipeline_Sort!$C386="","",INDEX(Pipeline_Calc!$E$2:$E$5251,Pipeline_Sort!$C386))</f>
        <v/>
      </c>
      <c r="E386" s="0" t="str">
        <f aca="false">IF(Pipeline_Sort!$C386="","",INDEX(Pipeline_Calc!$F$2:$F$5251,Pipeline_Sort!$C386))</f>
        <v/>
      </c>
      <c r="F386" s="0" t="str">
        <f aca="false">IF(Pipeline_Sort!$C386="","",INDEX(Pipeline_Calc!$G$2:$G$5251,Pipeline_Sort!$C386))</f>
        <v/>
      </c>
      <c r="G386" s="0" t="str">
        <f aca="false">IF(Pipeline_Sort!$C386="","",INDEX(Pipeline_Calc!$H$2:$H$5251,Pipeline_Sort!$C386))</f>
        <v/>
      </c>
      <c r="H386" s="0" t="str">
        <f aca="false">IF(Pipeline_Sort!$C386="","",INDEX(Pipeline_Calc!$I$2:$I$5251,Pipeline_Sort!$C386))</f>
        <v/>
      </c>
      <c r="I386" s="0" t="str">
        <f aca="false">IF(Pipeline_Sort!$C386="","",INDEX(Pipeline_Calc!$J$2:$J$5251,Pipeline_Sort!$C386))</f>
        <v/>
      </c>
    </row>
    <row r="387" customFormat="false" ht="15" hidden="false" customHeight="false" outlineLevel="0" collapsed="false">
      <c r="A387" s="33" t="str">
        <f aca="false">IF(Pipeline_Sort!$C387="","",INDEX(Pipeline_Calc!$B$2:$B$5251,Pipeline_Sort!$C387))</f>
        <v/>
      </c>
      <c r="B387" s="0" t="str">
        <f aca="false">IF(Pipeline_Sort!$C387="","",INDEX(Pipeline_Calc!$C$2:$C$5251,Pipeline_Sort!$C387))</f>
        <v/>
      </c>
      <c r="C387" s="0" t="str">
        <f aca="false">IF(Pipeline_Sort!$C387="","",INDEX(Pipeline_Calc!$D$2:$D$5251,Pipeline_Sort!$C387))</f>
        <v/>
      </c>
      <c r="D387" s="0" t="str">
        <f aca="false">IF(Pipeline_Sort!$C387="","",INDEX(Pipeline_Calc!$E$2:$E$5251,Pipeline_Sort!$C387))</f>
        <v/>
      </c>
      <c r="E387" s="0" t="str">
        <f aca="false">IF(Pipeline_Sort!$C387="","",INDEX(Pipeline_Calc!$F$2:$F$5251,Pipeline_Sort!$C387))</f>
        <v/>
      </c>
      <c r="F387" s="0" t="str">
        <f aca="false">IF(Pipeline_Sort!$C387="","",INDEX(Pipeline_Calc!$G$2:$G$5251,Pipeline_Sort!$C387))</f>
        <v/>
      </c>
      <c r="G387" s="0" t="str">
        <f aca="false">IF(Pipeline_Sort!$C387="","",INDEX(Pipeline_Calc!$H$2:$H$5251,Pipeline_Sort!$C387))</f>
        <v/>
      </c>
      <c r="H387" s="0" t="str">
        <f aca="false">IF(Pipeline_Sort!$C387="","",INDEX(Pipeline_Calc!$I$2:$I$5251,Pipeline_Sort!$C387))</f>
        <v/>
      </c>
      <c r="I387" s="0" t="str">
        <f aca="false">IF(Pipeline_Sort!$C387="","",INDEX(Pipeline_Calc!$J$2:$J$5251,Pipeline_Sort!$C387))</f>
        <v/>
      </c>
    </row>
    <row r="388" customFormat="false" ht="15" hidden="false" customHeight="false" outlineLevel="0" collapsed="false">
      <c r="A388" s="33" t="str">
        <f aca="false">IF(Pipeline_Sort!$C388="","",INDEX(Pipeline_Calc!$B$2:$B$5251,Pipeline_Sort!$C388))</f>
        <v/>
      </c>
      <c r="B388" s="0" t="str">
        <f aca="false">IF(Pipeline_Sort!$C388="","",INDEX(Pipeline_Calc!$C$2:$C$5251,Pipeline_Sort!$C388))</f>
        <v/>
      </c>
      <c r="C388" s="0" t="str">
        <f aca="false">IF(Pipeline_Sort!$C388="","",INDEX(Pipeline_Calc!$D$2:$D$5251,Pipeline_Sort!$C388))</f>
        <v/>
      </c>
      <c r="D388" s="0" t="str">
        <f aca="false">IF(Pipeline_Sort!$C388="","",INDEX(Pipeline_Calc!$E$2:$E$5251,Pipeline_Sort!$C388))</f>
        <v/>
      </c>
      <c r="E388" s="0" t="str">
        <f aca="false">IF(Pipeline_Sort!$C388="","",INDEX(Pipeline_Calc!$F$2:$F$5251,Pipeline_Sort!$C388))</f>
        <v/>
      </c>
      <c r="F388" s="0" t="str">
        <f aca="false">IF(Pipeline_Sort!$C388="","",INDEX(Pipeline_Calc!$G$2:$G$5251,Pipeline_Sort!$C388))</f>
        <v/>
      </c>
      <c r="G388" s="0" t="str">
        <f aca="false">IF(Pipeline_Sort!$C388="","",INDEX(Pipeline_Calc!$H$2:$H$5251,Pipeline_Sort!$C388))</f>
        <v/>
      </c>
      <c r="H388" s="0" t="str">
        <f aca="false">IF(Pipeline_Sort!$C388="","",INDEX(Pipeline_Calc!$I$2:$I$5251,Pipeline_Sort!$C388))</f>
        <v/>
      </c>
      <c r="I388" s="0" t="str">
        <f aca="false">IF(Pipeline_Sort!$C388="","",INDEX(Pipeline_Calc!$J$2:$J$5251,Pipeline_Sort!$C388))</f>
        <v/>
      </c>
    </row>
    <row r="389" customFormat="false" ht="15" hidden="false" customHeight="false" outlineLevel="0" collapsed="false">
      <c r="A389" s="33" t="str">
        <f aca="false">IF(Pipeline_Sort!$C389="","",INDEX(Pipeline_Calc!$B$2:$B$5251,Pipeline_Sort!$C389))</f>
        <v/>
      </c>
      <c r="B389" s="0" t="str">
        <f aca="false">IF(Pipeline_Sort!$C389="","",INDEX(Pipeline_Calc!$C$2:$C$5251,Pipeline_Sort!$C389))</f>
        <v/>
      </c>
      <c r="C389" s="0" t="str">
        <f aca="false">IF(Pipeline_Sort!$C389="","",INDEX(Pipeline_Calc!$D$2:$D$5251,Pipeline_Sort!$C389))</f>
        <v/>
      </c>
      <c r="D389" s="0" t="str">
        <f aca="false">IF(Pipeline_Sort!$C389="","",INDEX(Pipeline_Calc!$E$2:$E$5251,Pipeline_Sort!$C389))</f>
        <v/>
      </c>
      <c r="E389" s="0" t="str">
        <f aca="false">IF(Pipeline_Sort!$C389="","",INDEX(Pipeline_Calc!$F$2:$F$5251,Pipeline_Sort!$C389))</f>
        <v/>
      </c>
      <c r="F389" s="0" t="str">
        <f aca="false">IF(Pipeline_Sort!$C389="","",INDEX(Pipeline_Calc!$G$2:$G$5251,Pipeline_Sort!$C389))</f>
        <v/>
      </c>
      <c r="G389" s="0" t="str">
        <f aca="false">IF(Pipeline_Sort!$C389="","",INDEX(Pipeline_Calc!$H$2:$H$5251,Pipeline_Sort!$C389))</f>
        <v/>
      </c>
      <c r="H389" s="0" t="str">
        <f aca="false">IF(Pipeline_Sort!$C389="","",INDEX(Pipeline_Calc!$I$2:$I$5251,Pipeline_Sort!$C389))</f>
        <v/>
      </c>
      <c r="I389" s="0" t="str">
        <f aca="false">IF(Pipeline_Sort!$C389="","",INDEX(Pipeline_Calc!$J$2:$J$5251,Pipeline_Sort!$C389))</f>
        <v/>
      </c>
    </row>
    <row r="390" customFormat="false" ht="15" hidden="false" customHeight="false" outlineLevel="0" collapsed="false">
      <c r="A390" s="33" t="str">
        <f aca="false">IF(Pipeline_Sort!$C390="","",INDEX(Pipeline_Calc!$B$2:$B$5251,Pipeline_Sort!$C390))</f>
        <v/>
      </c>
      <c r="B390" s="0" t="str">
        <f aca="false">IF(Pipeline_Sort!$C390="","",INDEX(Pipeline_Calc!$C$2:$C$5251,Pipeline_Sort!$C390))</f>
        <v/>
      </c>
      <c r="C390" s="0" t="str">
        <f aca="false">IF(Pipeline_Sort!$C390="","",INDEX(Pipeline_Calc!$D$2:$D$5251,Pipeline_Sort!$C390))</f>
        <v/>
      </c>
      <c r="D390" s="0" t="str">
        <f aca="false">IF(Pipeline_Sort!$C390="","",INDEX(Pipeline_Calc!$E$2:$E$5251,Pipeline_Sort!$C390))</f>
        <v/>
      </c>
      <c r="E390" s="0" t="str">
        <f aca="false">IF(Pipeline_Sort!$C390="","",INDEX(Pipeline_Calc!$F$2:$F$5251,Pipeline_Sort!$C390))</f>
        <v/>
      </c>
      <c r="F390" s="0" t="str">
        <f aca="false">IF(Pipeline_Sort!$C390="","",INDEX(Pipeline_Calc!$G$2:$G$5251,Pipeline_Sort!$C390))</f>
        <v/>
      </c>
      <c r="G390" s="0" t="str">
        <f aca="false">IF(Pipeline_Sort!$C390="","",INDEX(Pipeline_Calc!$H$2:$H$5251,Pipeline_Sort!$C390))</f>
        <v/>
      </c>
      <c r="H390" s="0" t="str">
        <f aca="false">IF(Pipeline_Sort!$C390="","",INDEX(Pipeline_Calc!$I$2:$I$5251,Pipeline_Sort!$C390))</f>
        <v/>
      </c>
      <c r="I390" s="0" t="str">
        <f aca="false">IF(Pipeline_Sort!$C390="","",INDEX(Pipeline_Calc!$J$2:$J$5251,Pipeline_Sort!$C390))</f>
        <v/>
      </c>
    </row>
    <row r="391" customFormat="false" ht="15" hidden="false" customHeight="false" outlineLevel="0" collapsed="false">
      <c r="A391" s="33" t="str">
        <f aca="false">IF(Pipeline_Sort!$C391="","",INDEX(Pipeline_Calc!$B$2:$B$5251,Pipeline_Sort!$C391))</f>
        <v/>
      </c>
      <c r="B391" s="0" t="str">
        <f aca="false">IF(Pipeline_Sort!$C391="","",INDEX(Pipeline_Calc!$C$2:$C$5251,Pipeline_Sort!$C391))</f>
        <v/>
      </c>
      <c r="C391" s="0" t="str">
        <f aca="false">IF(Pipeline_Sort!$C391="","",INDEX(Pipeline_Calc!$D$2:$D$5251,Pipeline_Sort!$C391))</f>
        <v/>
      </c>
      <c r="D391" s="0" t="str">
        <f aca="false">IF(Pipeline_Sort!$C391="","",INDEX(Pipeline_Calc!$E$2:$E$5251,Pipeline_Sort!$C391))</f>
        <v/>
      </c>
      <c r="E391" s="0" t="str">
        <f aca="false">IF(Pipeline_Sort!$C391="","",INDEX(Pipeline_Calc!$F$2:$F$5251,Pipeline_Sort!$C391))</f>
        <v/>
      </c>
      <c r="F391" s="0" t="str">
        <f aca="false">IF(Pipeline_Sort!$C391="","",INDEX(Pipeline_Calc!$G$2:$G$5251,Pipeline_Sort!$C391))</f>
        <v/>
      </c>
      <c r="G391" s="0" t="str">
        <f aca="false">IF(Pipeline_Sort!$C391="","",INDEX(Pipeline_Calc!$H$2:$H$5251,Pipeline_Sort!$C391))</f>
        <v/>
      </c>
      <c r="H391" s="0" t="str">
        <f aca="false">IF(Pipeline_Sort!$C391="","",INDEX(Pipeline_Calc!$I$2:$I$5251,Pipeline_Sort!$C391))</f>
        <v/>
      </c>
      <c r="I391" s="0" t="str">
        <f aca="false">IF(Pipeline_Sort!$C391="","",INDEX(Pipeline_Calc!$J$2:$J$5251,Pipeline_Sort!$C391))</f>
        <v/>
      </c>
    </row>
    <row r="392" customFormat="false" ht="15" hidden="false" customHeight="false" outlineLevel="0" collapsed="false">
      <c r="A392" s="33" t="str">
        <f aca="false">IF(Pipeline_Sort!$C392="","",INDEX(Pipeline_Calc!$B$2:$B$5251,Pipeline_Sort!$C392))</f>
        <v/>
      </c>
      <c r="B392" s="0" t="str">
        <f aca="false">IF(Pipeline_Sort!$C392="","",INDEX(Pipeline_Calc!$C$2:$C$5251,Pipeline_Sort!$C392))</f>
        <v/>
      </c>
      <c r="C392" s="0" t="str">
        <f aca="false">IF(Pipeline_Sort!$C392="","",INDEX(Pipeline_Calc!$D$2:$D$5251,Pipeline_Sort!$C392))</f>
        <v/>
      </c>
      <c r="D392" s="0" t="str">
        <f aca="false">IF(Pipeline_Sort!$C392="","",INDEX(Pipeline_Calc!$E$2:$E$5251,Pipeline_Sort!$C392))</f>
        <v/>
      </c>
      <c r="E392" s="0" t="str">
        <f aca="false">IF(Pipeline_Sort!$C392="","",INDEX(Pipeline_Calc!$F$2:$F$5251,Pipeline_Sort!$C392))</f>
        <v/>
      </c>
      <c r="F392" s="0" t="str">
        <f aca="false">IF(Pipeline_Sort!$C392="","",INDEX(Pipeline_Calc!$G$2:$G$5251,Pipeline_Sort!$C392))</f>
        <v/>
      </c>
      <c r="G392" s="0" t="str">
        <f aca="false">IF(Pipeline_Sort!$C392="","",INDEX(Pipeline_Calc!$H$2:$H$5251,Pipeline_Sort!$C392))</f>
        <v/>
      </c>
      <c r="H392" s="0" t="str">
        <f aca="false">IF(Pipeline_Sort!$C392="","",INDEX(Pipeline_Calc!$I$2:$I$5251,Pipeline_Sort!$C392))</f>
        <v/>
      </c>
      <c r="I392" s="0" t="str">
        <f aca="false">IF(Pipeline_Sort!$C392="","",INDEX(Pipeline_Calc!$J$2:$J$5251,Pipeline_Sort!$C392))</f>
        <v/>
      </c>
    </row>
    <row r="393" customFormat="false" ht="15" hidden="false" customHeight="false" outlineLevel="0" collapsed="false">
      <c r="A393" s="33" t="str">
        <f aca="false">IF(Pipeline_Sort!$C393="","",INDEX(Pipeline_Calc!$B$2:$B$5251,Pipeline_Sort!$C393))</f>
        <v/>
      </c>
      <c r="B393" s="0" t="str">
        <f aca="false">IF(Pipeline_Sort!$C393="","",INDEX(Pipeline_Calc!$C$2:$C$5251,Pipeline_Sort!$C393))</f>
        <v/>
      </c>
      <c r="C393" s="0" t="str">
        <f aca="false">IF(Pipeline_Sort!$C393="","",INDEX(Pipeline_Calc!$D$2:$D$5251,Pipeline_Sort!$C393))</f>
        <v/>
      </c>
      <c r="D393" s="0" t="str">
        <f aca="false">IF(Pipeline_Sort!$C393="","",INDEX(Pipeline_Calc!$E$2:$E$5251,Pipeline_Sort!$C393))</f>
        <v/>
      </c>
      <c r="E393" s="0" t="str">
        <f aca="false">IF(Pipeline_Sort!$C393="","",INDEX(Pipeline_Calc!$F$2:$F$5251,Pipeline_Sort!$C393))</f>
        <v/>
      </c>
      <c r="F393" s="0" t="str">
        <f aca="false">IF(Pipeline_Sort!$C393="","",INDEX(Pipeline_Calc!$G$2:$G$5251,Pipeline_Sort!$C393))</f>
        <v/>
      </c>
      <c r="G393" s="0" t="str">
        <f aca="false">IF(Pipeline_Sort!$C393="","",INDEX(Pipeline_Calc!$H$2:$H$5251,Pipeline_Sort!$C393))</f>
        <v/>
      </c>
      <c r="H393" s="0" t="str">
        <f aca="false">IF(Pipeline_Sort!$C393="","",INDEX(Pipeline_Calc!$I$2:$I$5251,Pipeline_Sort!$C393))</f>
        <v/>
      </c>
      <c r="I393" s="0" t="str">
        <f aca="false">IF(Pipeline_Sort!$C393="","",INDEX(Pipeline_Calc!$J$2:$J$5251,Pipeline_Sort!$C393))</f>
        <v/>
      </c>
    </row>
    <row r="394" customFormat="false" ht="15" hidden="false" customHeight="false" outlineLevel="0" collapsed="false">
      <c r="A394" s="33" t="str">
        <f aca="false">IF(Pipeline_Sort!$C394="","",INDEX(Pipeline_Calc!$B$2:$B$5251,Pipeline_Sort!$C394))</f>
        <v/>
      </c>
      <c r="B394" s="0" t="str">
        <f aca="false">IF(Pipeline_Sort!$C394="","",INDEX(Pipeline_Calc!$C$2:$C$5251,Pipeline_Sort!$C394))</f>
        <v/>
      </c>
      <c r="C394" s="0" t="str">
        <f aca="false">IF(Pipeline_Sort!$C394="","",INDEX(Pipeline_Calc!$D$2:$D$5251,Pipeline_Sort!$C394))</f>
        <v/>
      </c>
      <c r="D394" s="0" t="str">
        <f aca="false">IF(Pipeline_Sort!$C394="","",INDEX(Pipeline_Calc!$E$2:$E$5251,Pipeline_Sort!$C394))</f>
        <v/>
      </c>
      <c r="E394" s="0" t="str">
        <f aca="false">IF(Pipeline_Sort!$C394="","",INDEX(Pipeline_Calc!$F$2:$F$5251,Pipeline_Sort!$C394))</f>
        <v/>
      </c>
      <c r="F394" s="0" t="str">
        <f aca="false">IF(Pipeline_Sort!$C394="","",INDEX(Pipeline_Calc!$G$2:$G$5251,Pipeline_Sort!$C394))</f>
        <v/>
      </c>
      <c r="G394" s="0" t="str">
        <f aca="false">IF(Pipeline_Sort!$C394="","",INDEX(Pipeline_Calc!$H$2:$H$5251,Pipeline_Sort!$C394))</f>
        <v/>
      </c>
      <c r="H394" s="0" t="str">
        <f aca="false">IF(Pipeline_Sort!$C394="","",INDEX(Pipeline_Calc!$I$2:$I$5251,Pipeline_Sort!$C394))</f>
        <v/>
      </c>
      <c r="I394" s="0" t="str">
        <f aca="false">IF(Pipeline_Sort!$C394="","",INDEX(Pipeline_Calc!$J$2:$J$5251,Pipeline_Sort!$C394))</f>
        <v/>
      </c>
    </row>
    <row r="395" customFormat="false" ht="15" hidden="false" customHeight="false" outlineLevel="0" collapsed="false">
      <c r="A395" s="33" t="str">
        <f aca="false">IF(Pipeline_Sort!$C395="","",INDEX(Pipeline_Calc!$B$2:$B$5251,Pipeline_Sort!$C395))</f>
        <v/>
      </c>
      <c r="B395" s="0" t="str">
        <f aca="false">IF(Pipeline_Sort!$C395="","",INDEX(Pipeline_Calc!$C$2:$C$5251,Pipeline_Sort!$C395))</f>
        <v/>
      </c>
      <c r="C395" s="0" t="str">
        <f aca="false">IF(Pipeline_Sort!$C395="","",INDEX(Pipeline_Calc!$D$2:$D$5251,Pipeline_Sort!$C395))</f>
        <v/>
      </c>
      <c r="D395" s="0" t="str">
        <f aca="false">IF(Pipeline_Sort!$C395="","",INDEX(Pipeline_Calc!$E$2:$E$5251,Pipeline_Sort!$C395))</f>
        <v/>
      </c>
      <c r="E395" s="0" t="str">
        <f aca="false">IF(Pipeline_Sort!$C395="","",INDEX(Pipeline_Calc!$F$2:$F$5251,Pipeline_Sort!$C395))</f>
        <v/>
      </c>
      <c r="F395" s="0" t="str">
        <f aca="false">IF(Pipeline_Sort!$C395="","",INDEX(Pipeline_Calc!$G$2:$G$5251,Pipeline_Sort!$C395))</f>
        <v/>
      </c>
      <c r="G395" s="0" t="str">
        <f aca="false">IF(Pipeline_Sort!$C395="","",INDEX(Pipeline_Calc!$H$2:$H$5251,Pipeline_Sort!$C395))</f>
        <v/>
      </c>
      <c r="H395" s="0" t="str">
        <f aca="false">IF(Pipeline_Sort!$C395="","",INDEX(Pipeline_Calc!$I$2:$I$5251,Pipeline_Sort!$C395))</f>
        <v/>
      </c>
      <c r="I395" s="0" t="str">
        <f aca="false">IF(Pipeline_Sort!$C395="","",INDEX(Pipeline_Calc!$J$2:$J$5251,Pipeline_Sort!$C395))</f>
        <v/>
      </c>
    </row>
    <row r="396" customFormat="false" ht="15" hidden="false" customHeight="false" outlineLevel="0" collapsed="false">
      <c r="A396" s="33" t="str">
        <f aca="false">IF(Pipeline_Sort!$C396="","",INDEX(Pipeline_Calc!$B$2:$B$5251,Pipeline_Sort!$C396))</f>
        <v/>
      </c>
      <c r="B396" s="0" t="str">
        <f aca="false">IF(Pipeline_Sort!$C396="","",INDEX(Pipeline_Calc!$C$2:$C$5251,Pipeline_Sort!$C396))</f>
        <v/>
      </c>
      <c r="C396" s="0" t="str">
        <f aca="false">IF(Pipeline_Sort!$C396="","",INDEX(Pipeline_Calc!$D$2:$D$5251,Pipeline_Sort!$C396))</f>
        <v/>
      </c>
      <c r="D396" s="0" t="str">
        <f aca="false">IF(Pipeline_Sort!$C396="","",INDEX(Pipeline_Calc!$E$2:$E$5251,Pipeline_Sort!$C396))</f>
        <v/>
      </c>
      <c r="E396" s="0" t="str">
        <f aca="false">IF(Pipeline_Sort!$C396="","",INDEX(Pipeline_Calc!$F$2:$F$5251,Pipeline_Sort!$C396))</f>
        <v/>
      </c>
      <c r="F396" s="0" t="str">
        <f aca="false">IF(Pipeline_Sort!$C396="","",INDEX(Pipeline_Calc!$G$2:$G$5251,Pipeline_Sort!$C396))</f>
        <v/>
      </c>
      <c r="G396" s="0" t="str">
        <f aca="false">IF(Pipeline_Sort!$C396="","",INDEX(Pipeline_Calc!$H$2:$H$5251,Pipeline_Sort!$C396))</f>
        <v/>
      </c>
      <c r="H396" s="0" t="str">
        <f aca="false">IF(Pipeline_Sort!$C396="","",INDEX(Pipeline_Calc!$I$2:$I$5251,Pipeline_Sort!$C396))</f>
        <v/>
      </c>
      <c r="I396" s="0" t="str">
        <f aca="false">IF(Pipeline_Sort!$C396="","",INDEX(Pipeline_Calc!$J$2:$J$5251,Pipeline_Sort!$C396))</f>
        <v/>
      </c>
    </row>
    <row r="397" customFormat="false" ht="15" hidden="false" customHeight="false" outlineLevel="0" collapsed="false">
      <c r="A397" s="33" t="str">
        <f aca="false">IF(Pipeline_Sort!$C397="","",INDEX(Pipeline_Calc!$B$2:$B$5251,Pipeline_Sort!$C397))</f>
        <v/>
      </c>
      <c r="B397" s="0" t="str">
        <f aca="false">IF(Pipeline_Sort!$C397="","",INDEX(Pipeline_Calc!$C$2:$C$5251,Pipeline_Sort!$C397))</f>
        <v/>
      </c>
      <c r="C397" s="0" t="str">
        <f aca="false">IF(Pipeline_Sort!$C397="","",INDEX(Pipeline_Calc!$D$2:$D$5251,Pipeline_Sort!$C397))</f>
        <v/>
      </c>
      <c r="D397" s="0" t="str">
        <f aca="false">IF(Pipeline_Sort!$C397="","",INDEX(Pipeline_Calc!$E$2:$E$5251,Pipeline_Sort!$C397))</f>
        <v/>
      </c>
      <c r="E397" s="0" t="str">
        <f aca="false">IF(Pipeline_Sort!$C397="","",INDEX(Pipeline_Calc!$F$2:$F$5251,Pipeline_Sort!$C397))</f>
        <v/>
      </c>
      <c r="F397" s="0" t="str">
        <f aca="false">IF(Pipeline_Sort!$C397="","",INDEX(Pipeline_Calc!$G$2:$G$5251,Pipeline_Sort!$C397))</f>
        <v/>
      </c>
      <c r="G397" s="0" t="str">
        <f aca="false">IF(Pipeline_Sort!$C397="","",INDEX(Pipeline_Calc!$H$2:$H$5251,Pipeline_Sort!$C397))</f>
        <v/>
      </c>
      <c r="H397" s="0" t="str">
        <f aca="false">IF(Pipeline_Sort!$C397="","",INDEX(Pipeline_Calc!$I$2:$I$5251,Pipeline_Sort!$C397))</f>
        <v/>
      </c>
      <c r="I397" s="0" t="str">
        <f aca="false">IF(Pipeline_Sort!$C397="","",INDEX(Pipeline_Calc!$J$2:$J$5251,Pipeline_Sort!$C397))</f>
        <v/>
      </c>
    </row>
    <row r="398" customFormat="false" ht="15" hidden="false" customHeight="false" outlineLevel="0" collapsed="false">
      <c r="A398" s="33" t="str">
        <f aca="false">IF(Pipeline_Sort!$C398="","",INDEX(Pipeline_Calc!$B$2:$B$5251,Pipeline_Sort!$C398))</f>
        <v/>
      </c>
      <c r="B398" s="0" t="str">
        <f aca="false">IF(Pipeline_Sort!$C398="","",INDEX(Pipeline_Calc!$C$2:$C$5251,Pipeline_Sort!$C398))</f>
        <v/>
      </c>
      <c r="C398" s="0" t="str">
        <f aca="false">IF(Pipeline_Sort!$C398="","",INDEX(Pipeline_Calc!$D$2:$D$5251,Pipeline_Sort!$C398))</f>
        <v/>
      </c>
      <c r="D398" s="0" t="str">
        <f aca="false">IF(Pipeline_Sort!$C398="","",INDEX(Pipeline_Calc!$E$2:$E$5251,Pipeline_Sort!$C398))</f>
        <v/>
      </c>
      <c r="E398" s="0" t="str">
        <f aca="false">IF(Pipeline_Sort!$C398="","",INDEX(Pipeline_Calc!$F$2:$F$5251,Pipeline_Sort!$C398))</f>
        <v/>
      </c>
      <c r="F398" s="0" t="str">
        <f aca="false">IF(Pipeline_Sort!$C398="","",INDEX(Pipeline_Calc!$G$2:$G$5251,Pipeline_Sort!$C398))</f>
        <v/>
      </c>
      <c r="G398" s="0" t="str">
        <f aca="false">IF(Pipeline_Sort!$C398="","",INDEX(Pipeline_Calc!$H$2:$H$5251,Pipeline_Sort!$C398))</f>
        <v/>
      </c>
      <c r="H398" s="0" t="str">
        <f aca="false">IF(Pipeline_Sort!$C398="","",INDEX(Pipeline_Calc!$I$2:$I$5251,Pipeline_Sort!$C398))</f>
        <v/>
      </c>
      <c r="I398" s="0" t="str">
        <f aca="false">IF(Pipeline_Sort!$C398="","",INDEX(Pipeline_Calc!$J$2:$J$5251,Pipeline_Sort!$C398))</f>
        <v/>
      </c>
    </row>
    <row r="399" customFormat="false" ht="15" hidden="false" customHeight="false" outlineLevel="0" collapsed="false">
      <c r="A399" s="33" t="str">
        <f aca="false">IF(Pipeline_Sort!$C399="","",INDEX(Pipeline_Calc!$B$2:$B$5251,Pipeline_Sort!$C399))</f>
        <v/>
      </c>
      <c r="B399" s="0" t="str">
        <f aca="false">IF(Pipeline_Sort!$C399="","",INDEX(Pipeline_Calc!$C$2:$C$5251,Pipeline_Sort!$C399))</f>
        <v/>
      </c>
      <c r="C399" s="0" t="str">
        <f aca="false">IF(Pipeline_Sort!$C399="","",INDEX(Pipeline_Calc!$D$2:$D$5251,Pipeline_Sort!$C399))</f>
        <v/>
      </c>
      <c r="D399" s="0" t="str">
        <f aca="false">IF(Pipeline_Sort!$C399="","",INDEX(Pipeline_Calc!$E$2:$E$5251,Pipeline_Sort!$C399))</f>
        <v/>
      </c>
      <c r="E399" s="0" t="str">
        <f aca="false">IF(Pipeline_Sort!$C399="","",INDEX(Pipeline_Calc!$F$2:$F$5251,Pipeline_Sort!$C399))</f>
        <v/>
      </c>
      <c r="F399" s="0" t="str">
        <f aca="false">IF(Pipeline_Sort!$C399="","",INDEX(Pipeline_Calc!$G$2:$G$5251,Pipeline_Sort!$C399))</f>
        <v/>
      </c>
      <c r="G399" s="0" t="str">
        <f aca="false">IF(Pipeline_Sort!$C399="","",INDEX(Pipeline_Calc!$H$2:$H$5251,Pipeline_Sort!$C399))</f>
        <v/>
      </c>
      <c r="H399" s="0" t="str">
        <f aca="false">IF(Pipeline_Sort!$C399="","",INDEX(Pipeline_Calc!$I$2:$I$5251,Pipeline_Sort!$C399))</f>
        <v/>
      </c>
      <c r="I399" s="0" t="str">
        <f aca="false">IF(Pipeline_Sort!$C399="","",INDEX(Pipeline_Calc!$J$2:$J$5251,Pipeline_Sort!$C399))</f>
        <v/>
      </c>
    </row>
    <row r="400" customFormat="false" ht="15" hidden="false" customHeight="false" outlineLevel="0" collapsed="false">
      <c r="A400" s="33" t="str">
        <f aca="false">IF(Pipeline_Sort!$C400="","",INDEX(Pipeline_Calc!$B$2:$B$5251,Pipeline_Sort!$C400))</f>
        <v/>
      </c>
      <c r="B400" s="0" t="str">
        <f aca="false">IF(Pipeline_Sort!$C400="","",INDEX(Pipeline_Calc!$C$2:$C$5251,Pipeline_Sort!$C400))</f>
        <v/>
      </c>
      <c r="C400" s="0" t="str">
        <f aca="false">IF(Pipeline_Sort!$C400="","",INDEX(Pipeline_Calc!$D$2:$D$5251,Pipeline_Sort!$C400))</f>
        <v/>
      </c>
      <c r="D400" s="0" t="str">
        <f aca="false">IF(Pipeline_Sort!$C400="","",INDEX(Pipeline_Calc!$E$2:$E$5251,Pipeline_Sort!$C400))</f>
        <v/>
      </c>
      <c r="E400" s="0" t="str">
        <f aca="false">IF(Pipeline_Sort!$C400="","",INDEX(Pipeline_Calc!$F$2:$F$5251,Pipeline_Sort!$C400))</f>
        <v/>
      </c>
      <c r="F400" s="0" t="str">
        <f aca="false">IF(Pipeline_Sort!$C400="","",INDEX(Pipeline_Calc!$G$2:$G$5251,Pipeline_Sort!$C400))</f>
        <v/>
      </c>
      <c r="G400" s="0" t="str">
        <f aca="false">IF(Pipeline_Sort!$C400="","",INDEX(Pipeline_Calc!$H$2:$H$5251,Pipeline_Sort!$C400))</f>
        <v/>
      </c>
      <c r="H400" s="0" t="str">
        <f aca="false">IF(Pipeline_Sort!$C400="","",INDEX(Pipeline_Calc!$I$2:$I$5251,Pipeline_Sort!$C400))</f>
        <v/>
      </c>
      <c r="I400" s="0" t="str">
        <f aca="false">IF(Pipeline_Sort!$C400="","",INDEX(Pipeline_Calc!$J$2:$J$5251,Pipeline_Sort!$C400))</f>
        <v/>
      </c>
    </row>
    <row r="401" customFormat="false" ht="15" hidden="false" customHeight="false" outlineLevel="0" collapsed="false">
      <c r="A401" s="33" t="str">
        <f aca="false">IF(Pipeline_Sort!$C401="","",INDEX(Pipeline_Calc!$B$2:$B$5251,Pipeline_Sort!$C401))</f>
        <v/>
      </c>
      <c r="B401" s="0" t="str">
        <f aca="false">IF(Pipeline_Sort!$C401="","",INDEX(Pipeline_Calc!$C$2:$C$5251,Pipeline_Sort!$C401))</f>
        <v/>
      </c>
      <c r="C401" s="0" t="str">
        <f aca="false">IF(Pipeline_Sort!$C401="","",INDEX(Pipeline_Calc!$D$2:$D$5251,Pipeline_Sort!$C401))</f>
        <v/>
      </c>
      <c r="D401" s="0" t="str">
        <f aca="false">IF(Pipeline_Sort!$C401="","",INDEX(Pipeline_Calc!$E$2:$E$5251,Pipeline_Sort!$C401))</f>
        <v/>
      </c>
      <c r="E401" s="0" t="str">
        <f aca="false">IF(Pipeline_Sort!$C401="","",INDEX(Pipeline_Calc!$F$2:$F$5251,Pipeline_Sort!$C401))</f>
        <v/>
      </c>
      <c r="F401" s="0" t="str">
        <f aca="false">IF(Pipeline_Sort!$C401="","",INDEX(Pipeline_Calc!$G$2:$G$5251,Pipeline_Sort!$C401))</f>
        <v/>
      </c>
      <c r="G401" s="0" t="str">
        <f aca="false">IF(Pipeline_Sort!$C401="","",INDEX(Pipeline_Calc!$H$2:$H$5251,Pipeline_Sort!$C401))</f>
        <v/>
      </c>
      <c r="H401" s="0" t="str">
        <f aca="false">IF(Pipeline_Sort!$C401="","",INDEX(Pipeline_Calc!$I$2:$I$5251,Pipeline_Sort!$C401))</f>
        <v/>
      </c>
      <c r="I401" s="0" t="str">
        <f aca="false">IF(Pipeline_Sort!$C401="","",INDEX(Pipeline_Calc!$J$2:$J$5251,Pipeline_Sort!$C401))</f>
        <v/>
      </c>
    </row>
    <row r="402" customFormat="false" ht="15" hidden="false" customHeight="false" outlineLevel="0" collapsed="false">
      <c r="A402" s="33" t="str">
        <f aca="false">IF(Pipeline_Sort!$C402="","",INDEX(Pipeline_Calc!$B$2:$B$5251,Pipeline_Sort!$C402))</f>
        <v/>
      </c>
      <c r="B402" s="0" t="str">
        <f aca="false">IF(Pipeline_Sort!$C402="","",INDEX(Pipeline_Calc!$C$2:$C$5251,Pipeline_Sort!$C402))</f>
        <v/>
      </c>
      <c r="C402" s="0" t="str">
        <f aca="false">IF(Pipeline_Sort!$C402="","",INDEX(Pipeline_Calc!$D$2:$D$5251,Pipeline_Sort!$C402))</f>
        <v/>
      </c>
      <c r="D402" s="0" t="str">
        <f aca="false">IF(Pipeline_Sort!$C402="","",INDEX(Pipeline_Calc!$E$2:$E$5251,Pipeline_Sort!$C402))</f>
        <v/>
      </c>
      <c r="E402" s="0" t="str">
        <f aca="false">IF(Pipeline_Sort!$C402="","",INDEX(Pipeline_Calc!$F$2:$F$5251,Pipeline_Sort!$C402))</f>
        <v/>
      </c>
      <c r="F402" s="0" t="str">
        <f aca="false">IF(Pipeline_Sort!$C402="","",INDEX(Pipeline_Calc!$G$2:$G$5251,Pipeline_Sort!$C402))</f>
        <v/>
      </c>
      <c r="G402" s="0" t="str">
        <f aca="false">IF(Pipeline_Sort!$C402="","",INDEX(Pipeline_Calc!$H$2:$H$5251,Pipeline_Sort!$C402))</f>
        <v/>
      </c>
      <c r="H402" s="0" t="str">
        <f aca="false">IF(Pipeline_Sort!$C402="","",INDEX(Pipeline_Calc!$I$2:$I$5251,Pipeline_Sort!$C402))</f>
        <v/>
      </c>
      <c r="I402" s="0" t="str">
        <f aca="false">IF(Pipeline_Sort!$C402="","",INDEX(Pipeline_Calc!$J$2:$J$5251,Pipeline_Sort!$C402))</f>
        <v/>
      </c>
    </row>
    <row r="403" customFormat="false" ht="15" hidden="false" customHeight="false" outlineLevel="0" collapsed="false">
      <c r="A403" s="33" t="str">
        <f aca="false">IF(Pipeline_Sort!$C403="","",INDEX(Pipeline_Calc!$B$2:$B$5251,Pipeline_Sort!$C403))</f>
        <v/>
      </c>
      <c r="B403" s="0" t="str">
        <f aca="false">IF(Pipeline_Sort!$C403="","",INDEX(Pipeline_Calc!$C$2:$C$5251,Pipeline_Sort!$C403))</f>
        <v/>
      </c>
      <c r="C403" s="0" t="str">
        <f aca="false">IF(Pipeline_Sort!$C403="","",INDEX(Pipeline_Calc!$D$2:$D$5251,Pipeline_Sort!$C403))</f>
        <v/>
      </c>
      <c r="D403" s="0" t="str">
        <f aca="false">IF(Pipeline_Sort!$C403="","",INDEX(Pipeline_Calc!$E$2:$E$5251,Pipeline_Sort!$C403))</f>
        <v/>
      </c>
      <c r="E403" s="0" t="str">
        <f aca="false">IF(Pipeline_Sort!$C403="","",INDEX(Pipeline_Calc!$F$2:$F$5251,Pipeline_Sort!$C403))</f>
        <v/>
      </c>
      <c r="F403" s="0" t="str">
        <f aca="false">IF(Pipeline_Sort!$C403="","",INDEX(Pipeline_Calc!$G$2:$G$5251,Pipeline_Sort!$C403))</f>
        <v/>
      </c>
      <c r="G403" s="0" t="str">
        <f aca="false">IF(Pipeline_Sort!$C403="","",INDEX(Pipeline_Calc!$H$2:$H$5251,Pipeline_Sort!$C403))</f>
        <v/>
      </c>
      <c r="H403" s="0" t="str">
        <f aca="false">IF(Pipeline_Sort!$C403="","",INDEX(Pipeline_Calc!$I$2:$I$5251,Pipeline_Sort!$C403))</f>
        <v/>
      </c>
      <c r="I403" s="0" t="str">
        <f aca="false">IF(Pipeline_Sort!$C403="","",INDEX(Pipeline_Calc!$J$2:$J$5251,Pipeline_Sort!$C403))</f>
        <v/>
      </c>
    </row>
    <row r="404" customFormat="false" ht="15" hidden="false" customHeight="false" outlineLevel="0" collapsed="false">
      <c r="A404" s="33" t="str">
        <f aca="false">IF(Pipeline_Sort!$C404="","",INDEX(Pipeline_Calc!$B$2:$B$5251,Pipeline_Sort!$C404))</f>
        <v/>
      </c>
      <c r="B404" s="0" t="str">
        <f aca="false">IF(Pipeline_Sort!$C404="","",INDEX(Pipeline_Calc!$C$2:$C$5251,Pipeline_Sort!$C404))</f>
        <v/>
      </c>
      <c r="C404" s="0" t="str">
        <f aca="false">IF(Pipeline_Sort!$C404="","",INDEX(Pipeline_Calc!$D$2:$D$5251,Pipeline_Sort!$C404))</f>
        <v/>
      </c>
      <c r="D404" s="0" t="str">
        <f aca="false">IF(Pipeline_Sort!$C404="","",INDEX(Pipeline_Calc!$E$2:$E$5251,Pipeline_Sort!$C404))</f>
        <v/>
      </c>
      <c r="E404" s="0" t="str">
        <f aca="false">IF(Pipeline_Sort!$C404="","",INDEX(Pipeline_Calc!$F$2:$F$5251,Pipeline_Sort!$C404))</f>
        <v/>
      </c>
      <c r="F404" s="0" t="str">
        <f aca="false">IF(Pipeline_Sort!$C404="","",INDEX(Pipeline_Calc!$G$2:$G$5251,Pipeline_Sort!$C404))</f>
        <v/>
      </c>
      <c r="G404" s="0" t="str">
        <f aca="false">IF(Pipeline_Sort!$C404="","",INDEX(Pipeline_Calc!$H$2:$H$5251,Pipeline_Sort!$C404))</f>
        <v/>
      </c>
      <c r="H404" s="0" t="str">
        <f aca="false">IF(Pipeline_Sort!$C404="","",INDEX(Pipeline_Calc!$I$2:$I$5251,Pipeline_Sort!$C404))</f>
        <v/>
      </c>
      <c r="I404" s="0" t="str">
        <f aca="false">IF(Pipeline_Sort!$C404="","",INDEX(Pipeline_Calc!$J$2:$J$5251,Pipeline_Sort!$C404))</f>
        <v/>
      </c>
    </row>
    <row r="405" customFormat="false" ht="15" hidden="false" customHeight="false" outlineLevel="0" collapsed="false">
      <c r="A405" s="33" t="str">
        <f aca="false">IF(Pipeline_Sort!$C405="","",INDEX(Pipeline_Calc!$B$2:$B$5251,Pipeline_Sort!$C405))</f>
        <v/>
      </c>
      <c r="B405" s="0" t="str">
        <f aca="false">IF(Pipeline_Sort!$C405="","",INDEX(Pipeline_Calc!$C$2:$C$5251,Pipeline_Sort!$C405))</f>
        <v/>
      </c>
      <c r="C405" s="0" t="str">
        <f aca="false">IF(Pipeline_Sort!$C405="","",INDEX(Pipeline_Calc!$D$2:$D$5251,Pipeline_Sort!$C405))</f>
        <v/>
      </c>
      <c r="D405" s="0" t="str">
        <f aca="false">IF(Pipeline_Sort!$C405="","",INDEX(Pipeline_Calc!$E$2:$E$5251,Pipeline_Sort!$C405))</f>
        <v/>
      </c>
      <c r="E405" s="0" t="str">
        <f aca="false">IF(Pipeline_Sort!$C405="","",INDEX(Pipeline_Calc!$F$2:$F$5251,Pipeline_Sort!$C405))</f>
        <v/>
      </c>
      <c r="F405" s="0" t="str">
        <f aca="false">IF(Pipeline_Sort!$C405="","",INDEX(Pipeline_Calc!$G$2:$G$5251,Pipeline_Sort!$C405))</f>
        <v/>
      </c>
      <c r="G405" s="0" t="str">
        <f aca="false">IF(Pipeline_Sort!$C405="","",INDEX(Pipeline_Calc!$H$2:$H$5251,Pipeline_Sort!$C405))</f>
        <v/>
      </c>
      <c r="H405" s="0" t="str">
        <f aca="false">IF(Pipeline_Sort!$C405="","",INDEX(Pipeline_Calc!$I$2:$I$5251,Pipeline_Sort!$C405))</f>
        <v/>
      </c>
      <c r="I405" s="0" t="str">
        <f aca="false">IF(Pipeline_Sort!$C405="","",INDEX(Pipeline_Calc!$J$2:$J$5251,Pipeline_Sort!$C405))</f>
        <v/>
      </c>
    </row>
    <row r="406" customFormat="false" ht="15" hidden="false" customHeight="false" outlineLevel="0" collapsed="false">
      <c r="A406" s="33" t="str">
        <f aca="false">IF(Pipeline_Sort!$C406="","",INDEX(Pipeline_Calc!$B$2:$B$5251,Pipeline_Sort!$C406))</f>
        <v/>
      </c>
      <c r="B406" s="0" t="str">
        <f aca="false">IF(Pipeline_Sort!$C406="","",INDEX(Pipeline_Calc!$C$2:$C$5251,Pipeline_Sort!$C406))</f>
        <v/>
      </c>
      <c r="C406" s="0" t="str">
        <f aca="false">IF(Pipeline_Sort!$C406="","",INDEX(Pipeline_Calc!$D$2:$D$5251,Pipeline_Sort!$C406))</f>
        <v/>
      </c>
      <c r="D406" s="0" t="str">
        <f aca="false">IF(Pipeline_Sort!$C406="","",INDEX(Pipeline_Calc!$E$2:$E$5251,Pipeline_Sort!$C406))</f>
        <v/>
      </c>
      <c r="E406" s="0" t="str">
        <f aca="false">IF(Pipeline_Sort!$C406="","",INDEX(Pipeline_Calc!$F$2:$F$5251,Pipeline_Sort!$C406))</f>
        <v/>
      </c>
      <c r="F406" s="0" t="str">
        <f aca="false">IF(Pipeline_Sort!$C406="","",INDEX(Pipeline_Calc!$G$2:$G$5251,Pipeline_Sort!$C406))</f>
        <v/>
      </c>
      <c r="G406" s="0" t="str">
        <f aca="false">IF(Pipeline_Sort!$C406="","",INDEX(Pipeline_Calc!$H$2:$H$5251,Pipeline_Sort!$C406))</f>
        <v/>
      </c>
      <c r="H406" s="0" t="str">
        <f aca="false">IF(Pipeline_Sort!$C406="","",INDEX(Pipeline_Calc!$I$2:$I$5251,Pipeline_Sort!$C406))</f>
        <v/>
      </c>
      <c r="I406" s="0" t="str">
        <f aca="false">IF(Pipeline_Sort!$C406="","",INDEX(Pipeline_Calc!$J$2:$J$5251,Pipeline_Sort!$C406))</f>
        <v/>
      </c>
    </row>
    <row r="407" customFormat="false" ht="15" hidden="false" customHeight="false" outlineLevel="0" collapsed="false">
      <c r="A407" s="33" t="str">
        <f aca="false">IF(Pipeline_Sort!$C407="","",INDEX(Pipeline_Calc!$B$2:$B$5251,Pipeline_Sort!$C407))</f>
        <v/>
      </c>
      <c r="B407" s="0" t="str">
        <f aca="false">IF(Pipeline_Sort!$C407="","",INDEX(Pipeline_Calc!$C$2:$C$5251,Pipeline_Sort!$C407))</f>
        <v/>
      </c>
      <c r="C407" s="0" t="str">
        <f aca="false">IF(Pipeline_Sort!$C407="","",INDEX(Pipeline_Calc!$D$2:$D$5251,Pipeline_Sort!$C407))</f>
        <v/>
      </c>
      <c r="D407" s="0" t="str">
        <f aca="false">IF(Pipeline_Sort!$C407="","",INDEX(Pipeline_Calc!$E$2:$E$5251,Pipeline_Sort!$C407))</f>
        <v/>
      </c>
      <c r="E407" s="0" t="str">
        <f aca="false">IF(Pipeline_Sort!$C407="","",INDEX(Pipeline_Calc!$F$2:$F$5251,Pipeline_Sort!$C407))</f>
        <v/>
      </c>
      <c r="F407" s="0" t="str">
        <f aca="false">IF(Pipeline_Sort!$C407="","",INDEX(Pipeline_Calc!$G$2:$G$5251,Pipeline_Sort!$C407))</f>
        <v/>
      </c>
      <c r="G407" s="0" t="str">
        <f aca="false">IF(Pipeline_Sort!$C407="","",INDEX(Pipeline_Calc!$H$2:$H$5251,Pipeline_Sort!$C407))</f>
        <v/>
      </c>
      <c r="H407" s="0" t="str">
        <f aca="false">IF(Pipeline_Sort!$C407="","",INDEX(Pipeline_Calc!$I$2:$I$5251,Pipeline_Sort!$C407))</f>
        <v/>
      </c>
      <c r="I407" s="0" t="str">
        <f aca="false">IF(Pipeline_Sort!$C407="","",INDEX(Pipeline_Calc!$J$2:$J$5251,Pipeline_Sort!$C407))</f>
        <v/>
      </c>
    </row>
    <row r="408" customFormat="false" ht="15" hidden="false" customHeight="false" outlineLevel="0" collapsed="false">
      <c r="A408" s="33" t="str">
        <f aca="false">IF(Pipeline_Sort!$C408="","",INDEX(Pipeline_Calc!$B$2:$B$5251,Pipeline_Sort!$C408))</f>
        <v/>
      </c>
      <c r="B408" s="0" t="str">
        <f aca="false">IF(Pipeline_Sort!$C408="","",INDEX(Pipeline_Calc!$C$2:$C$5251,Pipeline_Sort!$C408))</f>
        <v/>
      </c>
      <c r="C408" s="0" t="str">
        <f aca="false">IF(Pipeline_Sort!$C408="","",INDEX(Pipeline_Calc!$D$2:$D$5251,Pipeline_Sort!$C408))</f>
        <v/>
      </c>
      <c r="D408" s="0" t="str">
        <f aca="false">IF(Pipeline_Sort!$C408="","",INDEX(Pipeline_Calc!$E$2:$E$5251,Pipeline_Sort!$C408))</f>
        <v/>
      </c>
      <c r="E408" s="0" t="str">
        <f aca="false">IF(Pipeline_Sort!$C408="","",INDEX(Pipeline_Calc!$F$2:$F$5251,Pipeline_Sort!$C408))</f>
        <v/>
      </c>
      <c r="F408" s="0" t="str">
        <f aca="false">IF(Pipeline_Sort!$C408="","",INDEX(Pipeline_Calc!$G$2:$G$5251,Pipeline_Sort!$C408))</f>
        <v/>
      </c>
      <c r="G408" s="0" t="str">
        <f aca="false">IF(Pipeline_Sort!$C408="","",INDEX(Pipeline_Calc!$H$2:$H$5251,Pipeline_Sort!$C408))</f>
        <v/>
      </c>
      <c r="H408" s="0" t="str">
        <f aca="false">IF(Pipeline_Sort!$C408="","",INDEX(Pipeline_Calc!$I$2:$I$5251,Pipeline_Sort!$C408))</f>
        <v/>
      </c>
      <c r="I408" s="0" t="str">
        <f aca="false">IF(Pipeline_Sort!$C408="","",INDEX(Pipeline_Calc!$J$2:$J$5251,Pipeline_Sort!$C408))</f>
        <v/>
      </c>
    </row>
    <row r="409" customFormat="false" ht="15" hidden="false" customHeight="false" outlineLevel="0" collapsed="false">
      <c r="A409" s="33" t="str">
        <f aca="false">IF(Pipeline_Sort!$C409="","",INDEX(Pipeline_Calc!$B$2:$B$5251,Pipeline_Sort!$C409))</f>
        <v/>
      </c>
      <c r="B409" s="0" t="str">
        <f aca="false">IF(Pipeline_Sort!$C409="","",INDEX(Pipeline_Calc!$C$2:$C$5251,Pipeline_Sort!$C409))</f>
        <v/>
      </c>
      <c r="C409" s="0" t="str">
        <f aca="false">IF(Pipeline_Sort!$C409="","",INDEX(Pipeline_Calc!$D$2:$D$5251,Pipeline_Sort!$C409))</f>
        <v/>
      </c>
      <c r="D409" s="0" t="str">
        <f aca="false">IF(Pipeline_Sort!$C409="","",INDEX(Pipeline_Calc!$E$2:$E$5251,Pipeline_Sort!$C409))</f>
        <v/>
      </c>
      <c r="E409" s="0" t="str">
        <f aca="false">IF(Pipeline_Sort!$C409="","",INDEX(Pipeline_Calc!$F$2:$F$5251,Pipeline_Sort!$C409))</f>
        <v/>
      </c>
      <c r="F409" s="0" t="str">
        <f aca="false">IF(Pipeline_Sort!$C409="","",INDEX(Pipeline_Calc!$G$2:$G$5251,Pipeline_Sort!$C409))</f>
        <v/>
      </c>
      <c r="G409" s="0" t="str">
        <f aca="false">IF(Pipeline_Sort!$C409="","",INDEX(Pipeline_Calc!$H$2:$H$5251,Pipeline_Sort!$C409))</f>
        <v/>
      </c>
      <c r="H409" s="0" t="str">
        <f aca="false">IF(Pipeline_Sort!$C409="","",INDEX(Pipeline_Calc!$I$2:$I$5251,Pipeline_Sort!$C409))</f>
        <v/>
      </c>
      <c r="I409" s="0" t="str">
        <f aca="false">IF(Pipeline_Sort!$C409="","",INDEX(Pipeline_Calc!$J$2:$J$5251,Pipeline_Sort!$C409))</f>
        <v/>
      </c>
    </row>
    <row r="410" customFormat="false" ht="15" hidden="false" customHeight="false" outlineLevel="0" collapsed="false">
      <c r="A410" s="33" t="str">
        <f aca="false">IF(Pipeline_Sort!$C410="","",INDEX(Pipeline_Calc!$B$2:$B$5251,Pipeline_Sort!$C410))</f>
        <v/>
      </c>
      <c r="B410" s="0" t="str">
        <f aca="false">IF(Pipeline_Sort!$C410="","",INDEX(Pipeline_Calc!$C$2:$C$5251,Pipeline_Sort!$C410))</f>
        <v/>
      </c>
      <c r="C410" s="0" t="str">
        <f aca="false">IF(Pipeline_Sort!$C410="","",INDEX(Pipeline_Calc!$D$2:$D$5251,Pipeline_Sort!$C410))</f>
        <v/>
      </c>
      <c r="D410" s="0" t="str">
        <f aca="false">IF(Pipeline_Sort!$C410="","",INDEX(Pipeline_Calc!$E$2:$E$5251,Pipeline_Sort!$C410))</f>
        <v/>
      </c>
      <c r="E410" s="0" t="str">
        <f aca="false">IF(Pipeline_Sort!$C410="","",INDEX(Pipeline_Calc!$F$2:$F$5251,Pipeline_Sort!$C410))</f>
        <v/>
      </c>
      <c r="F410" s="0" t="str">
        <f aca="false">IF(Pipeline_Sort!$C410="","",INDEX(Pipeline_Calc!$G$2:$G$5251,Pipeline_Sort!$C410))</f>
        <v/>
      </c>
      <c r="G410" s="0" t="str">
        <f aca="false">IF(Pipeline_Sort!$C410="","",INDEX(Pipeline_Calc!$H$2:$H$5251,Pipeline_Sort!$C410))</f>
        <v/>
      </c>
      <c r="H410" s="0" t="str">
        <f aca="false">IF(Pipeline_Sort!$C410="","",INDEX(Pipeline_Calc!$I$2:$I$5251,Pipeline_Sort!$C410))</f>
        <v/>
      </c>
      <c r="I410" s="0" t="str">
        <f aca="false">IF(Pipeline_Sort!$C410="","",INDEX(Pipeline_Calc!$J$2:$J$5251,Pipeline_Sort!$C410))</f>
        <v/>
      </c>
    </row>
    <row r="411" customFormat="false" ht="15" hidden="false" customHeight="false" outlineLevel="0" collapsed="false">
      <c r="A411" s="33" t="str">
        <f aca="false">IF(Pipeline_Sort!$C411="","",INDEX(Pipeline_Calc!$B$2:$B$5251,Pipeline_Sort!$C411))</f>
        <v/>
      </c>
      <c r="B411" s="0" t="str">
        <f aca="false">IF(Pipeline_Sort!$C411="","",INDEX(Pipeline_Calc!$C$2:$C$5251,Pipeline_Sort!$C411))</f>
        <v/>
      </c>
      <c r="C411" s="0" t="str">
        <f aca="false">IF(Pipeline_Sort!$C411="","",INDEX(Pipeline_Calc!$D$2:$D$5251,Pipeline_Sort!$C411))</f>
        <v/>
      </c>
      <c r="D411" s="0" t="str">
        <f aca="false">IF(Pipeline_Sort!$C411="","",INDEX(Pipeline_Calc!$E$2:$E$5251,Pipeline_Sort!$C411))</f>
        <v/>
      </c>
      <c r="E411" s="0" t="str">
        <f aca="false">IF(Pipeline_Sort!$C411="","",INDEX(Pipeline_Calc!$F$2:$F$5251,Pipeline_Sort!$C411))</f>
        <v/>
      </c>
      <c r="F411" s="0" t="str">
        <f aca="false">IF(Pipeline_Sort!$C411="","",INDEX(Pipeline_Calc!$G$2:$G$5251,Pipeline_Sort!$C411))</f>
        <v/>
      </c>
      <c r="G411" s="0" t="str">
        <f aca="false">IF(Pipeline_Sort!$C411="","",INDEX(Pipeline_Calc!$H$2:$H$5251,Pipeline_Sort!$C411))</f>
        <v/>
      </c>
      <c r="H411" s="0" t="str">
        <f aca="false">IF(Pipeline_Sort!$C411="","",INDEX(Pipeline_Calc!$I$2:$I$5251,Pipeline_Sort!$C411))</f>
        <v/>
      </c>
      <c r="I411" s="0" t="str">
        <f aca="false">IF(Pipeline_Sort!$C411="","",INDEX(Pipeline_Calc!$J$2:$J$5251,Pipeline_Sort!$C411))</f>
        <v/>
      </c>
    </row>
    <row r="412" customFormat="false" ht="15" hidden="false" customHeight="false" outlineLevel="0" collapsed="false">
      <c r="A412" s="33" t="str">
        <f aca="false">IF(Pipeline_Sort!$C412="","",INDEX(Pipeline_Calc!$B$2:$B$5251,Pipeline_Sort!$C412))</f>
        <v/>
      </c>
      <c r="B412" s="0" t="str">
        <f aca="false">IF(Pipeline_Sort!$C412="","",INDEX(Pipeline_Calc!$C$2:$C$5251,Pipeline_Sort!$C412))</f>
        <v/>
      </c>
      <c r="C412" s="0" t="str">
        <f aca="false">IF(Pipeline_Sort!$C412="","",INDEX(Pipeline_Calc!$D$2:$D$5251,Pipeline_Sort!$C412))</f>
        <v/>
      </c>
      <c r="D412" s="0" t="str">
        <f aca="false">IF(Pipeline_Sort!$C412="","",INDEX(Pipeline_Calc!$E$2:$E$5251,Pipeline_Sort!$C412))</f>
        <v/>
      </c>
      <c r="E412" s="0" t="str">
        <f aca="false">IF(Pipeline_Sort!$C412="","",INDEX(Pipeline_Calc!$F$2:$F$5251,Pipeline_Sort!$C412))</f>
        <v/>
      </c>
      <c r="F412" s="0" t="str">
        <f aca="false">IF(Pipeline_Sort!$C412="","",INDEX(Pipeline_Calc!$G$2:$G$5251,Pipeline_Sort!$C412))</f>
        <v/>
      </c>
      <c r="G412" s="0" t="str">
        <f aca="false">IF(Pipeline_Sort!$C412="","",INDEX(Pipeline_Calc!$H$2:$H$5251,Pipeline_Sort!$C412))</f>
        <v/>
      </c>
      <c r="H412" s="0" t="str">
        <f aca="false">IF(Pipeline_Sort!$C412="","",INDEX(Pipeline_Calc!$I$2:$I$5251,Pipeline_Sort!$C412))</f>
        <v/>
      </c>
      <c r="I412" s="0" t="str">
        <f aca="false">IF(Pipeline_Sort!$C412="","",INDEX(Pipeline_Calc!$J$2:$J$5251,Pipeline_Sort!$C412))</f>
        <v/>
      </c>
    </row>
    <row r="413" customFormat="false" ht="15" hidden="false" customHeight="false" outlineLevel="0" collapsed="false">
      <c r="A413" s="33" t="str">
        <f aca="false">IF(Pipeline_Sort!$C413="","",INDEX(Pipeline_Calc!$B$2:$B$5251,Pipeline_Sort!$C413))</f>
        <v/>
      </c>
      <c r="B413" s="0" t="str">
        <f aca="false">IF(Pipeline_Sort!$C413="","",INDEX(Pipeline_Calc!$C$2:$C$5251,Pipeline_Sort!$C413))</f>
        <v/>
      </c>
      <c r="C413" s="0" t="str">
        <f aca="false">IF(Pipeline_Sort!$C413="","",INDEX(Pipeline_Calc!$D$2:$D$5251,Pipeline_Sort!$C413))</f>
        <v/>
      </c>
      <c r="D413" s="0" t="str">
        <f aca="false">IF(Pipeline_Sort!$C413="","",INDEX(Pipeline_Calc!$E$2:$E$5251,Pipeline_Sort!$C413))</f>
        <v/>
      </c>
      <c r="E413" s="0" t="str">
        <f aca="false">IF(Pipeline_Sort!$C413="","",INDEX(Pipeline_Calc!$F$2:$F$5251,Pipeline_Sort!$C413))</f>
        <v/>
      </c>
      <c r="F413" s="0" t="str">
        <f aca="false">IF(Pipeline_Sort!$C413="","",INDEX(Pipeline_Calc!$G$2:$G$5251,Pipeline_Sort!$C413))</f>
        <v/>
      </c>
      <c r="G413" s="0" t="str">
        <f aca="false">IF(Pipeline_Sort!$C413="","",INDEX(Pipeline_Calc!$H$2:$H$5251,Pipeline_Sort!$C413))</f>
        <v/>
      </c>
      <c r="H413" s="0" t="str">
        <f aca="false">IF(Pipeline_Sort!$C413="","",INDEX(Pipeline_Calc!$I$2:$I$5251,Pipeline_Sort!$C413))</f>
        <v/>
      </c>
      <c r="I413" s="0" t="str">
        <f aca="false">IF(Pipeline_Sort!$C413="","",INDEX(Pipeline_Calc!$J$2:$J$5251,Pipeline_Sort!$C413))</f>
        <v/>
      </c>
    </row>
    <row r="414" customFormat="false" ht="15" hidden="false" customHeight="false" outlineLevel="0" collapsed="false">
      <c r="A414" s="33" t="str">
        <f aca="false">IF(Pipeline_Sort!$C414="","",INDEX(Pipeline_Calc!$B$2:$B$5251,Pipeline_Sort!$C414))</f>
        <v/>
      </c>
      <c r="B414" s="0" t="str">
        <f aca="false">IF(Pipeline_Sort!$C414="","",INDEX(Pipeline_Calc!$C$2:$C$5251,Pipeline_Sort!$C414))</f>
        <v/>
      </c>
      <c r="C414" s="0" t="str">
        <f aca="false">IF(Pipeline_Sort!$C414="","",INDEX(Pipeline_Calc!$D$2:$D$5251,Pipeline_Sort!$C414))</f>
        <v/>
      </c>
      <c r="D414" s="0" t="str">
        <f aca="false">IF(Pipeline_Sort!$C414="","",INDEX(Pipeline_Calc!$E$2:$E$5251,Pipeline_Sort!$C414))</f>
        <v/>
      </c>
      <c r="E414" s="0" t="str">
        <f aca="false">IF(Pipeline_Sort!$C414="","",INDEX(Pipeline_Calc!$F$2:$F$5251,Pipeline_Sort!$C414))</f>
        <v/>
      </c>
      <c r="F414" s="0" t="str">
        <f aca="false">IF(Pipeline_Sort!$C414="","",INDEX(Pipeline_Calc!$G$2:$G$5251,Pipeline_Sort!$C414))</f>
        <v/>
      </c>
      <c r="G414" s="0" t="str">
        <f aca="false">IF(Pipeline_Sort!$C414="","",INDEX(Pipeline_Calc!$H$2:$H$5251,Pipeline_Sort!$C414))</f>
        <v/>
      </c>
      <c r="H414" s="0" t="str">
        <f aca="false">IF(Pipeline_Sort!$C414="","",INDEX(Pipeline_Calc!$I$2:$I$5251,Pipeline_Sort!$C414))</f>
        <v/>
      </c>
      <c r="I414" s="0" t="str">
        <f aca="false">IF(Pipeline_Sort!$C414="","",INDEX(Pipeline_Calc!$J$2:$J$5251,Pipeline_Sort!$C414))</f>
        <v/>
      </c>
    </row>
    <row r="415" customFormat="false" ht="15" hidden="false" customHeight="false" outlineLevel="0" collapsed="false">
      <c r="A415" s="33" t="str">
        <f aca="false">IF(Pipeline_Sort!$C415="","",INDEX(Pipeline_Calc!$B$2:$B$5251,Pipeline_Sort!$C415))</f>
        <v/>
      </c>
      <c r="B415" s="0" t="str">
        <f aca="false">IF(Pipeline_Sort!$C415="","",INDEX(Pipeline_Calc!$C$2:$C$5251,Pipeline_Sort!$C415))</f>
        <v/>
      </c>
      <c r="C415" s="0" t="str">
        <f aca="false">IF(Pipeline_Sort!$C415="","",INDEX(Pipeline_Calc!$D$2:$D$5251,Pipeline_Sort!$C415))</f>
        <v/>
      </c>
      <c r="D415" s="0" t="str">
        <f aca="false">IF(Pipeline_Sort!$C415="","",INDEX(Pipeline_Calc!$E$2:$E$5251,Pipeline_Sort!$C415))</f>
        <v/>
      </c>
      <c r="E415" s="0" t="str">
        <f aca="false">IF(Pipeline_Sort!$C415="","",INDEX(Pipeline_Calc!$F$2:$F$5251,Pipeline_Sort!$C415))</f>
        <v/>
      </c>
      <c r="F415" s="0" t="str">
        <f aca="false">IF(Pipeline_Sort!$C415="","",INDEX(Pipeline_Calc!$G$2:$G$5251,Pipeline_Sort!$C415))</f>
        <v/>
      </c>
      <c r="G415" s="0" t="str">
        <f aca="false">IF(Pipeline_Sort!$C415="","",INDEX(Pipeline_Calc!$H$2:$H$5251,Pipeline_Sort!$C415))</f>
        <v/>
      </c>
      <c r="H415" s="0" t="str">
        <f aca="false">IF(Pipeline_Sort!$C415="","",INDEX(Pipeline_Calc!$I$2:$I$5251,Pipeline_Sort!$C415))</f>
        <v/>
      </c>
      <c r="I415" s="0" t="str">
        <f aca="false">IF(Pipeline_Sort!$C415="","",INDEX(Pipeline_Calc!$J$2:$J$5251,Pipeline_Sort!$C415))</f>
        <v/>
      </c>
    </row>
    <row r="416" customFormat="false" ht="15" hidden="false" customHeight="false" outlineLevel="0" collapsed="false">
      <c r="A416" s="33" t="str">
        <f aca="false">IF(Pipeline_Sort!$C416="","",INDEX(Pipeline_Calc!$B$2:$B$5251,Pipeline_Sort!$C416))</f>
        <v/>
      </c>
      <c r="B416" s="0" t="str">
        <f aca="false">IF(Pipeline_Sort!$C416="","",INDEX(Pipeline_Calc!$C$2:$C$5251,Pipeline_Sort!$C416))</f>
        <v/>
      </c>
      <c r="C416" s="0" t="str">
        <f aca="false">IF(Pipeline_Sort!$C416="","",INDEX(Pipeline_Calc!$D$2:$D$5251,Pipeline_Sort!$C416))</f>
        <v/>
      </c>
      <c r="D416" s="0" t="str">
        <f aca="false">IF(Pipeline_Sort!$C416="","",INDEX(Pipeline_Calc!$E$2:$E$5251,Pipeline_Sort!$C416))</f>
        <v/>
      </c>
      <c r="E416" s="0" t="str">
        <f aca="false">IF(Pipeline_Sort!$C416="","",INDEX(Pipeline_Calc!$F$2:$F$5251,Pipeline_Sort!$C416))</f>
        <v/>
      </c>
      <c r="F416" s="0" t="str">
        <f aca="false">IF(Pipeline_Sort!$C416="","",INDEX(Pipeline_Calc!$G$2:$G$5251,Pipeline_Sort!$C416))</f>
        <v/>
      </c>
      <c r="G416" s="0" t="str">
        <f aca="false">IF(Pipeline_Sort!$C416="","",INDEX(Pipeline_Calc!$H$2:$H$5251,Pipeline_Sort!$C416))</f>
        <v/>
      </c>
      <c r="H416" s="0" t="str">
        <f aca="false">IF(Pipeline_Sort!$C416="","",INDEX(Pipeline_Calc!$I$2:$I$5251,Pipeline_Sort!$C416))</f>
        <v/>
      </c>
      <c r="I416" s="0" t="str">
        <f aca="false">IF(Pipeline_Sort!$C416="","",INDEX(Pipeline_Calc!$J$2:$J$5251,Pipeline_Sort!$C416))</f>
        <v/>
      </c>
    </row>
    <row r="417" customFormat="false" ht="15" hidden="false" customHeight="false" outlineLevel="0" collapsed="false">
      <c r="A417" s="33" t="str">
        <f aca="false">IF(Pipeline_Sort!$C417="","",INDEX(Pipeline_Calc!$B$2:$B$5251,Pipeline_Sort!$C417))</f>
        <v/>
      </c>
      <c r="B417" s="0" t="str">
        <f aca="false">IF(Pipeline_Sort!$C417="","",INDEX(Pipeline_Calc!$C$2:$C$5251,Pipeline_Sort!$C417))</f>
        <v/>
      </c>
      <c r="C417" s="0" t="str">
        <f aca="false">IF(Pipeline_Sort!$C417="","",INDEX(Pipeline_Calc!$D$2:$D$5251,Pipeline_Sort!$C417))</f>
        <v/>
      </c>
      <c r="D417" s="0" t="str">
        <f aca="false">IF(Pipeline_Sort!$C417="","",INDEX(Pipeline_Calc!$E$2:$E$5251,Pipeline_Sort!$C417))</f>
        <v/>
      </c>
      <c r="E417" s="0" t="str">
        <f aca="false">IF(Pipeline_Sort!$C417="","",INDEX(Pipeline_Calc!$F$2:$F$5251,Pipeline_Sort!$C417))</f>
        <v/>
      </c>
      <c r="F417" s="0" t="str">
        <f aca="false">IF(Pipeline_Sort!$C417="","",INDEX(Pipeline_Calc!$G$2:$G$5251,Pipeline_Sort!$C417))</f>
        <v/>
      </c>
      <c r="G417" s="0" t="str">
        <f aca="false">IF(Pipeline_Sort!$C417="","",INDEX(Pipeline_Calc!$H$2:$H$5251,Pipeline_Sort!$C417))</f>
        <v/>
      </c>
      <c r="H417" s="0" t="str">
        <f aca="false">IF(Pipeline_Sort!$C417="","",INDEX(Pipeline_Calc!$I$2:$I$5251,Pipeline_Sort!$C417))</f>
        <v/>
      </c>
      <c r="I417" s="0" t="str">
        <f aca="false">IF(Pipeline_Sort!$C417="","",INDEX(Pipeline_Calc!$J$2:$J$5251,Pipeline_Sort!$C417))</f>
        <v/>
      </c>
    </row>
    <row r="418" customFormat="false" ht="15" hidden="false" customHeight="false" outlineLevel="0" collapsed="false">
      <c r="A418" s="33" t="str">
        <f aca="false">IF(Pipeline_Sort!$C418="","",INDEX(Pipeline_Calc!$B$2:$B$5251,Pipeline_Sort!$C418))</f>
        <v/>
      </c>
      <c r="B418" s="0" t="str">
        <f aca="false">IF(Pipeline_Sort!$C418="","",INDEX(Pipeline_Calc!$C$2:$C$5251,Pipeline_Sort!$C418))</f>
        <v/>
      </c>
      <c r="C418" s="0" t="str">
        <f aca="false">IF(Pipeline_Sort!$C418="","",INDEX(Pipeline_Calc!$D$2:$D$5251,Pipeline_Sort!$C418))</f>
        <v/>
      </c>
      <c r="D418" s="0" t="str">
        <f aca="false">IF(Pipeline_Sort!$C418="","",INDEX(Pipeline_Calc!$E$2:$E$5251,Pipeline_Sort!$C418))</f>
        <v/>
      </c>
      <c r="E418" s="0" t="str">
        <f aca="false">IF(Pipeline_Sort!$C418="","",INDEX(Pipeline_Calc!$F$2:$F$5251,Pipeline_Sort!$C418))</f>
        <v/>
      </c>
      <c r="F418" s="0" t="str">
        <f aca="false">IF(Pipeline_Sort!$C418="","",INDEX(Pipeline_Calc!$G$2:$G$5251,Pipeline_Sort!$C418))</f>
        <v/>
      </c>
      <c r="G418" s="0" t="str">
        <f aca="false">IF(Pipeline_Sort!$C418="","",INDEX(Pipeline_Calc!$H$2:$H$5251,Pipeline_Sort!$C418))</f>
        <v/>
      </c>
      <c r="H418" s="0" t="str">
        <f aca="false">IF(Pipeline_Sort!$C418="","",INDEX(Pipeline_Calc!$I$2:$I$5251,Pipeline_Sort!$C418))</f>
        <v/>
      </c>
      <c r="I418" s="0" t="str">
        <f aca="false">IF(Pipeline_Sort!$C418="","",INDEX(Pipeline_Calc!$J$2:$J$5251,Pipeline_Sort!$C418))</f>
        <v/>
      </c>
    </row>
    <row r="419" customFormat="false" ht="15" hidden="false" customHeight="false" outlineLevel="0" collapsed="false">
      <c r="A419" s="33" t="str">
        <f aca="false">IF(Pipeline_Sort!$C419="","",INDEX(Pipeline_Calc!$B$2:$B$5251,Pipeline_Sort!$C419))</f>
        <v/>
      </c>
      <c r="B419" s="0" t="str">
        <f aca="false">IF(Pipeline_Sort!$C419="","",INDEX(Pipeline_Calc!$C$2:$C$5251,Pipeline_Sort!$C419))</f>
        <v/>
      </c>
      <c r="C419" s="0" t="str">
        <f aca="false">IF(Pipeline_Sort!$C419="","",INDEX(Pipeline_Calc!$D$2:$D$5251,Pipeline_Sort!$C419))</f>
        <v/>
      </c>
      <c r="D419" s="0" t="str">
        <f aca="false">IF(Pipeline_Sort!$C419="","",INDEX(Pipeline_Calc!$E$2:$E$5251,Pipeline_Sort!$C419))</f>
        <v/>
      </c>
      <c r="E419" s="0" t="str">
        <f aca="false">IF(Pipeline_Sort!$C419="","",INDEX(Pipeline_Calc!$F$2:$F$5251,Pipeline_Sort!$C419))</f>
        <v/>
      </c>
      <c r="F419" s="0" t="str">
        <f aca="false">IF(Pipeline_Sort!$C419="","",INDEX(Pipeline_Calc!$G$2:$G$5251,Pipeline_Sort!$C419))</f>
        <v/>
      </c>
      <c r="G419" s="0" t="str">
        <f aca="false">IF(Pipeline_Sort!$C419="","",INDEX(Pipeline_Calc!$H$2:$H$5251,Pipeline_Sort!$C419))</f>
        <v/>
      </c>
      <c r="H419" s="0" t="str">
        <f aca="false">IF(Pipeline_Sort!$C419="","",INDEX(Pipeline_Calc!$I$2:$I$5251,Pipeline_Sort!$C419))</f>
        <v/>
      </c>
      <c r="I419" s="0" t="str">
        <f aca="false">IF(Pipeline_Sort!$C419="","",INDEX(Pipeline_Calc!$J$2:$J$5251,Pipeline_Sort!$C419))</f>
        <v/>
      </c>
    </row>
    <row r="420" customFormat="false" ht="15" hidden="false" customHeight="false" outlineLevel="0" collapsed="false">
      <c r="A420" s="33" t="str">
        <f aca="false">IF(Pipeline_Sort!$C420="","",INDEX(Pipeline_Calc!$B$2:$B$5251,Pipeline_Sort!$C420))</f>
        <v/>
      </c>
      <c r="B420" s="0" t="str">
        <f aca="false">IF(Pipeline_Sort!$C420="","",INDEX(Pipeline_Calc!$C$2:$C$5251,Pipeline_Sort!$C420))</f>
        <v/>
      </c>
      <c r="C420" s="0" t="str">
        <f aca="false">IF(Pipeline_Sort!$C420="","",INDEX(Pipeline_Calc!$D$2:$D$5251,Pipeline_Sort!$C420))</f>
        <v/>
      </c>
      <c r="D420" s="0" t="str">
        <f aca="false">IF(Pipeline_Sort!$C420="","",INDEX(Pipeline_Calc!$E$2:$E$5251,Pipeline_Sort!$C420))</f>
        <v/>
      </c>
      <c r="E420" s="0" t="str">
        <f aca="false">IF(Pipeline_Sort!$C420="","",INDEX(Pipeline_Calc!$F$2:$F$5251,Pipeline_Sort!$C420))</f>
        <v/>
      </c>
      <c r="F420" s="0" t="str">
        <f aca="false">IF(Pipeline_Sort!$C420="","",INDEX(Pipeline_Calc!$G$2:$G$5251,Pipeline_Sort!$C420))</f>
        <v/>
      </c>
      <c r="G420" s="0" t="str">
        <f aca="false">IF(Pipeline_Sort!$C420="","",INDEX(Pipeline_Calc!$H$2:$H$5251,Pipeline_Sort!$C420))</f>
        <v/>
      </c>
      <c r="H420" s="0" t="str">
        <f aca="false">IF(Pipeline_Sort!$C420="","",INDEX(Pipeline_Calc!$I$2:$I$5251,Pipeline_Sort!$C420))</f>
        <v/>
      </c>
      <c r="I420" s="0" t="str">
        <f aca="false">IF(Pipeline_Sort!$C420="","",INDEX(Pipeline_Calc!$J$2:$J$5251,Pipeline_Sort!$C420))</f>
        <v/>
      </c>
    </row>
    <row r="421" customFormat="false" ht="15" hidden="false" customHeight="false" outlineLevel="0" collapsed="false">
      <c r="A421" s="33" t="str">
        <f aca="false">IF(Pipeline_Sort!$C421="","",INDEX(Pipeline_Calc!$B$2:$B$5251,Pipeline_Sort!$C421))</f>
        <v/>
      </c>
      <c r="B421" s="0" t="str">
        <f aca="false">IF(Pipeline_Sort!$C421="","",INDEX(Pipeline_Calc!$C$2:$C$5251,Pipeline_Sort!$C421))</f>
        <v/>
      </c>
      <c r="C421" s="0" t="str">
        <f aca="false">IF(Pipeline_Sort!$C421="","",INDEX(Pipeline_Calc!$D$2:$D$5251,Pipeline_Sort!$C421))</f>
        <v/>
      </c>
      <c r="D421" s="0" t="str">
        <f aca="false">IF(Pipeline_Sort!$C421="","",INDEX(Pipeline_Calc!$E$2:$E$5251,Pipeline_Sort!$C421))</f>
        <v/>
      </c>
      <c r="E421" s="0" t="str">
        <f aca="false">IF(Pipeline_Sort!$C421="","",INDEX(Pipeline_Calc!$F$2:$F$5251,Pipeline_Sort!$C421))</f>
        <v/>
      </c>
      <c r="F421" s="0" t="str">
        <f aca="false">IF(Pipeline_Sort!$C421="","",INDEX(Pipeline_Calc!$G$2:$G$5251,Pipeline_Sort!$C421))</f>
        <v/>
      </c>
      <c r="G421" s="0" t="str">
        <f aca="false">IF(Pipeline_Sort!$C421="","",INDEX(Pipeline_Calc!$H$2:$H$5251,Pipeline_Sort!$C421))</f>
        <v/>
      </c>
      <c r="H421" s="0" t="str">
        <f aca="false">IF(Pipeline_Sort!$C421="","",INDEX(Pipeline_Calc!$I$2:$I$5251,Pipeline_Sort!$C421))</f>
        <v/>
      </c>
      <c r="I421" s="0" t="str">
        <f aca="false">IF(Pipeline_Sort!$C421="","",INDEX(Pipeline_Calc!$J$2:$J$5251,Pipeline_Sort!$C421))</f>
        <v/>
      </c>
    </row>
    <row r="422" customFormat="false" ht="15" hidden="false" customHeight="false" outlineLevel="0" collapsed="false">
      <c r="A422" s="33" t="str">
        <f aca="false">IF(Pipeline_Sort!$C422="","",INDEX(Pipeline_Calc!$B$2:$B$5251,Pipeline_Sort!$C422))</f>
        <v/>
      </c>
      <c r="B422" s="0" t="str">
        <f aca="false">IF(Pipeline_Sort!$C422="","",INDEX(Pipeline_Calc!$C$2:$C$5251,Pipeline_Sort!$C422))</f>
        <v/>
      </c>
      <c r="C422" s="0" t="str">
        <f aca="false">IF(Pipeline_Sort!$C422="","",INDEX(Pipeline_Calc!$D$2:$D$5251,Pipeline_Sort!$C422))</f>
        <v/>
      </c>
      <c r="D422" s="0" t="str">
        <f aca="false">IF(Pipeline_Sort!$C422="","",INDEX(Pipeline_Calc!$E$2:$E$5251,Pipeline_Sort!$C422))</f>
        <v/>
      </c>
      <c r="E422" s="0" t="str">
        <f aca="false">IF(Pipeline_Sort!$C422="","",INDEX(Pipeline_Calc!$F$2:$F$5251,Pipeline_Sort!$C422))</f>
        <v/>
      </c>
      <c r="F422" s="0" t="str">
        <f aca="false">IF(Pipeline_Sort!$C422="","",INDEX(Pipeline_Calc!$G$2:$G$5251,Pipeline_Sort!$C422))</f>
        <v/>
      </c>
      <c r="G422" s="0" t="str">
        <f aca="false">IF(Pipeline_Sort!$C422="","",INDEX(Pipeline_Calc!$H$2:$H$5251,Pipeline_Sort!$C422))</f>
        <v/>
      </c>
      <c r="H422" s="0" t="str">
        <f aca="false">IF(Pipeline_Sort!$C422="","",INDEX(Pipeline_Calc!$I$2:$I$5251,Pipeline_Sort!$C422))</f>
        <v/>
      </c>
      <c r="I422" s="0" t="str">
        <f aca="false">IF(Pipeline_Sort!$C422="","",INDEX(Pipeline_Calc!$J$2:$J$5251,Pipeline_Sort!$C422))</f>
        <v/>
      </c>
    </row>
    <row r="423" customFormat="false" ht="15" hidden="false" customHeight="false" outlineLevel="0" collapsed="false">
      <c r="A423" s="33" t="str">
        <f aca="false">IF(Pipeline_Sort!$C423="","",INDEX(Pipeline_Calc!$B$2:$B$5251,Pipeline_Sort!$C423))</f>
        <v/>
      </c>
      <c r="B423" s="0" t="str">
        <f aca="false">IF(Pipeline_Sort!$C423="","",INDEX(Pipeline_Calc!$C$2:$C$5251,Pipeline_Sort!$C423))</f>
        <v/>
      </c>
      <c r="C423" s="0" t="str">
        <f aca="false">IF(Pipeline_Sort!$C423="","",INDEX(Pipeline_Calc!$D$2:$D$5251,Pipeline_Sort!$C423))</f>
        <v/>
      </c>
      <c r="D423" s="0" t="str">
        <f aca="false">IF(Pipeline_Sort!$C423="","",INDEX(Pipeline_Calc!$E$2:$E$5251,Pipeline_Sort!$C423))</f>
        <v/>
      </c>
      <c r="E423" s="0" t="str">
        <f aca="false">IF(Pipeline_Sort!$C423="","",INDEX(Pipeline_Calc!$F$2:$F$5251,Pipeline_Sort!$C423))</f>
        <v/>
      </c>
      <c r="F423" s="0" t="str">
        <f aca="false">IF(Pipeline_Sort!$C423="","",INDEX(Pipeline_Calc!$G$2:$G$5251,Pipeline_Sort!$C423))</f>
        <v/>
      </c>
      <c r="G423" s="0" t="str">
        <f aca="false">IF(Pipeline_Sort!$C423="","",INDEX(Pipeline_Calc!$H$2:$H$5251,Pipeline_Sort!$C423))</f>
        <v/>
      </c>
      <c r="H423" s="0" t="str">
        <f aca="false">IF(Pipeline_Sort!$C423="","",INDEX(Pipeline_Calc!$I$2:$I$5251,Pipeline_Sort!$C423))</f>
        <v/>
      </c>
      <c r="I423" s="0" t="str">
        <f aca="false">IF(Pipeline_Sort!$C423="","",INDEX(Pipeline_Calc!$J$2:$J$5251,Pipeline_Sort!$C423))</f>
        <v/>
      </c>
    </row>
    <row r="424" customFormat="false" ht="15" hidden="false" customHeight="false" outlineLevel="0" collapsed="false">
      <c r="A424" s="33" t="str">
        <f aca="false">IF(Pipeline_Sort!$C424="","",INDEX(Pipeline_Calc!$B$2:$B$5251,Pipeline_Sort!$C424))</f>
        <v/>
      </c>
      <c r="B424" s="0" t="str">
        <f aca="false">IF(Pipeline_Sort!$C424="","",INDEX(Pipeline_Calc!$C$2:$C$5251,Pipeline_Sort!$C424))</f>
        <v/>
      </c>
      <c r="C424" s="0" t="str">
        <f aca="false">IF(Pipeline_Sort!$C424="","",INDEX(Pipeline_Calc!$D$2:$D$5251,Pipeline_Sort!$C424))</f>
        <v/>
      </c>
      <c r="D424" s="0" t="str">
        <f aca="false">IF(Pipeline_Sort!$C424="","",INDEX(Pipeline_Calc!$E$2:$E$5251,Pipeline_Sort!$C424))</f>
        <v/>
      </c>
      <c r="E424" s="0" t="str">
        <f aca="false">IF(Pipeline_Sort!$C424="","",INDEX(Pipeline_Calc!$F$2:$F$5251,Pipeline_Sort!$C424))</f>
        <v/>
      </c>
      <c r="F424" s="0" t="str">
        <f aca="false">IF(Pipeline_Sort!$C424="","",INDEX(Pipeline_Calc!$G$2:$G$5251,Pipeline_Sort!$C424))</f>
        <v/>
      </c>
      <c r="G424" s="0" t="str">
        <f aca="false">IF(Pipeline_Sort!$C424="","",INDEX(Pipeline_Calc!$H$2:$H$5251,Pipeline_Sort!$C424))</f>
        <v/>
      </c>
      <c r="H424" s="0" t="str">
        <f aca="false">IF(Pipeline_Sort!$C424="","",INDEX(Pipeline_Calc!$I$2:$I$5251,Pipeline_Sort!$C424))</f>
        <v/>
      </c>
      <c r="I424" s="0" t="str">
        <f aca="false">IF(Pipeline_Sort!$C424="","",INDEX(Pipeline_Calc!$J$2:$J$5251,Pipeline_Sort!$C424))</f>
        <v/>
      </c>
    </row>
    <row r="425" customFormat="false" ht="15" hidden="false" customHeight="false" outlineLevel="0" collapsed="false">
      <c r="A425" s="33" t="str">
        <f aca="false">IF(Pipeline_Sort!$C425="","",INDEX(Pipeline_Calc!$B$2:$B$5251,Pipeline_Sort!$C425))</f>
        <v/>
      </c>
      <c r="B425" s="0" t="str">
        <f aca="false">IF(Pipeline_Sort!$C425="","",INDEX(Pipeline_Calc!$C$2:$C$5251,Pipeline_Sort!$C425))</f>
        <v/>
      </c>
      <c r="C425" s="0" t="str">
        <f aca="false">IF(Pipeline_Sort!$C425="","",INDEX(Pipeline_Calc!$D$2:$D$5251,Pipeline_Sort!$C425))</f>
        <v/>
      </c>
      <c r="D425" s="0" t="str">
        <f aca="false">IF(Pipeline_Sort!$C425="","",INDEX(Pipeline_Calc!$E$2:$E$5251,Pipeline_Sort!$C425))</f>
        <v/>
      </c>
      <c r="E425" s="0" t="str">
        <f aca="false">IF(Pipeline_Sort!$C425="","",INDEX(Pipeline_Calc!$F$2:$F$5251,Pipeline_Sort!$C425))</f>
        <v/>
      </c>
      <c r="F425" s="0" t="str">
        <f aca="false">IF(Pipeline_Sort!$C425="","",INDEX(Pipeline_Calc!$G$2:$G$5251,Pipeline_Sort!$C425))</f>
        <v/>
      </c>
      <c r="G425" s="0" t="str">
        <f aca="false">IF(Pipeline_Sort!$C425="","",INDEX(Pipeline_Calc!$H$2:$H$5251,Pipeline_Sort!$C425))</f>
        <v/>
      </c>
      <c r="H425" s="0" t="str">
        <f aca="false">IF(Pipeline_Sort!$C425="","",INDEX(Pipeline_Calc!$I$2:$I$5251,Pipeline_Sort!$C425))</f>
        <v/>
      </c>
      <c r="I425" s="0" t="str">
        <f aca="false">IF(Pipeline_Sort!$C425="","",INDEX(Pipeline_Calc!$J$2:$J$5251,Pipeline_Sort!$C425))</f>
        <v/>
      </c>
    </row>
    <row r="426" customFormat="false" ht="15" hidden="false" customHeight="false" outlineLevel="0" collapsed="false">
      <c r="A426" s="33" t="str">
        <f aca="false">IF(Pipeline_Sort!$C426="","",INDEX(Pipeline_Calc!$B$2:$B$5251,Pipeline_Sort!$C426))</f>
        <v/>
      </c>
      <c r="B426" s="0" t="str">
        <f aca="false">IF(Pipeline_Sort!$C426="","",INDEX(Pipeline_Calc!$C$2:$C$5251,Pipeline_Sort!$C426))</f>
        <v/>
      </c>
      <c r="C426" s="0" t="str">
        <f aca="false">IF(Pipeline_Sort!$C426="","",INDEX(Pipeline_Calc!$D$2:$D$5251,Pipeline_Sort!$C426))</f>
        <v/>
      </c>
      <c r="D426" s="0" t="str">
        <f aca="false">IF(Pipeline_Sort!$C426="","",INDEX(Pipeline_Calc!$E$2:$E$5251,Pipeline_Sort!$C426))</f>
        <v/>
      </c>
      <c r="E426" s="0" t="str">
        <f aca="false">IF(Pipeline_Sort!$C426="","",INDEX(Pipeline_Calc!$F$2:$F$5251,Pipeline_Sort!$C426))</f>
        <v/>
      </c>
      <c r="F426" s="0" t="str">
        <f aca="false">IF(Pipeline_Sort!$C426="","",INDEX(Pipeline_Calc!$G$2:$G$5251,Pipeline_Sort!$C426))</f>
        <v/>
      </c>
      <c r="G426" s="0" t="str">
        <f aca="false">IF(Pipeline_Sort!$C426="","",INDEX(Pipeline_Calc!$H$2:$H$5251,Pipeline_Sort!$C426))</f>
        <v/>
      </c>
      <c r="H426" s="0" t="str">
        <f aca="false">IF(Pipeline_Sort!$C426="","",INDEX(Pipeline_Calc!$I$2:$I$5251,Pipeline_Sort!$C426))</f>
        <v/>
      </c>
      <c r="I426" s="0" t="str">
        <f aca="false">IF(Pipeline_Sort!$C426="","",INDEX(Pipeline_Calc!$J$2:$J$5251,Pipeline_Sort!$C426))</f>
        <v/>
      </c>
    </row>
    <row r="427" customFormat="false" ht="15" hidden="false" customHeight="false" outlineLevel="0" collapsed="false">
      <c r="A427" s="33" t="str">
        <f aca="false">IF(Pipeline_Sort!$C427="","",INDEX(Pipeline_Calc!$B$2:$B$5251,Pipeline_Sort!$C427))</f>
        <v/>
      </c>
      <c r="B427" s="0" t="str">
        <f aca="false">IF(Pipeline_Sort!$C427="","",INDEX(Pipeline_Calc!$C$2:$C$5251,Pipeline_Sort!$C427))</f>
        <v/>
      </c>
      <c r="C427" s="0" t="str">
        <f aca="false">IF(Pipeline_Sort!$C427="","",INDEX(Pipeline_Calc!$D$2:$D$5251,Pipeline_Sort!$C427))</f>
        <v/>
      </c>
      <c r="D427" s="0" t="str">
        <f aca="false">IF(Pipeline_Sort!$C427="","",INDEX(Pipeline_Calc!$E$2:$E$5251,Pipeline_Sort!$C427))</f>
        <v/>
      </c>
      <c r="E427" s="0" t="str">
        <f aca="false">IF(Pipeline_Sort!$C427="","",INDEX(Pipeline_Calc!$F$2:$F$5251,Pipeline_Sort!$C427))</f>
        <v/>
      </c>
      <c r="F427" s="0" t="str">
        <f aca="false">IF(Pipeline_Sort!$C427="","",INDEX(Pipeline_Calc!$G$2:$G$5251,Pipeline_Sort!$C427))</f>
        <v/>
      </c>
      <c r="G427" s="0" t="str">
        <f aca="false">IF(Pipeline_Sort!$C427="","",INDEX(Pipeline_Calc!$H$2:$H$5251,Pipeline_Sort!$C427))</f>
        <v/>
      </c>
      <c r="H427" s="0" t="str">
        <f aca="false">IF(Pipeline_Sort!$C427="","",INDEX(Pipeline_Calc!$I$2:$I$5251,Pipeline_Sort!$C427))</f>
        <v/>
      </c>
      <c r="I427" s="0" t="str">
        <f aca="false">IF(Pipeline_Sort!$C427="","",INDEX(Pipeline_Calc!$J$2:$J$5251,Pipeline_Sort!$C427))</f>
        <v/>
      </c>
    </row>
    <row r="428" customFormat="false" ht="15" hidden="false" customHeight="false" outlineLevel="0" collapsed="false">
      <c r="A428" s="33" t="str">
        <f aca="false">IF(Pipeline_Sort!$C428="","",INDEX(Pipeline_Calc!$B$2:$B$5251,Pipeline_Sort!$C428))</f>
        <v/>
      </c>
      <c r="B428" s="0" t="str">
        <f aca="false">IF(Pipeline_Sort!$C428="","",INDEX(Pipeline_Calc!$C$2:$C$5251,Pipeline_Sort!$C428))</f>
        <v/>
      </c>
      <c r="C428" s="0" t="str">
        <f aca="false">IF(Pipeline_Sort!$C428="","",INDEX(Pipeline_Calc!$D$2:$D$5251,Pipeline_Sort!$C428))</f>
        <v/>
      </c>
      <c r="D428" s="0" t="str">
        <f aca="false">IF(Pipeline_Sort!$C428="","",INDEX(Pipeline_Calc!$E$2:$E$5251,Pipeline_Sort!$C428))</f>
        <v/>
      </c>
      <c r="E428" s="0" t="str">
        <f aca="false">IF(Pipeline_Sort!$C428="","",INDEX(Pipeline_Calc!$F$2:$F$5251,Pipeline_Sort!$C428))</f>
        <v/>
      </c>
      <c r="F428" s="0" t="str">
        <f aca="false">IF(Pipeline_Sort!$C428="","",INDEX(Pipeline_Calc!$G$2:$G$5251,Pipeline_Sort!$C428))</f>
        <v/>
      </c>
      <c r="G428" s="0" t="str">
        <f aca="false">IF(Pipeline_Sort!$C428="","",INDEX(Pipeline_Calc!$H$2:$H$5251,Pipeline_Sort!$C428))</f>
        <v/>
      </c>
      <c r="H428" s="0" t="str">
        <f aca="false">IF(Pipeline_Sort!$C428="","",INDEX(Pipeline_Calc!$I$2:$I$5251,Pipeline_Sort!$C428))</f>
        <v/>
      </c>
      <c r="I428" s="0" t="str">
        <f aca="false">IF(Pipeline_Sort!$C428="","",INDEX(Pipeline_Calc!$J$2:$J$5251,Pipeline_Sort!$C428))</f>
        <v/>
      </c>
    </row>
    <row r="429" customFormat="false" ht="15" hidden="false" customHeight="false" outlineLevel="0" collapsed="false">
      <c r="A429" s="33" t="str">
        <f aca="false">IF(Pipeline_Sort!$C429="","",INDEX(Pipeline_Calc!$B$2:$B$5251,Pipeline_Sort!$C429))</f>
        <v/>
      </c>
      <c r="B429" s="0" t="str">
        <f aca="false">IF(Pipeline_Sort!$C429="","",INDEX(Pipeline_Calc!$C$2:$C$5251,Pipeline_Sort!$C429))</f>
        <v/>
      </c>
      <c r="C429" s="0" t="str">
        <f aca="false">IF(Pipeline_Sort!$C429="","",INDEX(Pipeline_Calc!$D$2:$D$5251,Pipeline_Sort!$C429))</f>
        <v/>
      </c>
      <c r="D429" s="0" t="str">
        <f aca="false">IF(Pipeline_Sort!$C429="","",INDEX(Pipeline_Calc!$E$2:$E$5251,Pipeline_Sort!$C429))</f>
        <v/>
      </c>
      <c r="E429" s="0" t="str">
        <f aca="false">IF(Pipeline_Sort!$C429="","",INDEX(Pipeline_Calc!$F$2:$F$5251,Pipeline_Sort!$C429))</f>
        <v/>
      </c>
      <c r="F429" s="0" t="str">
        <f aca="false">IF(Pipeline_Sort!$C429="","",INDEX(Pipeline_Calc!$G$2:$G$5251,Pipeline_Sort!$C429))</f>
        <v/>
      </c>
      <c r="G429" s="0" t="str">
        <f aca="false">IF(Pipeline_Sort!$C429="","",INDEX(Pipeline_Calc!$H$2:$H$5251,Pipeline_Sort!$C429))</f>
        <v/>
      </c>
      <c r="H429" s="0" t="str">
        <f aca="false">IF(Pipeline_Sort!$C429="","",INDEX(Pipeline_Calc!$I$2:$I$5251,Pipeline_Sort!$C429))</f>
        <v/>
      </c>
      <c r="I429" s="0" t="str">
        <f aca="false">IF(Pipeline_Sort!$C429="","",INDEX(Pipeline_Calc!$J$2:$J$5251,Pipeline_Sort!$C429))</f>
        <v/>
      </c>
    </row>
    <row r="430" customFormat="false" ht="15" hidden="false" customHeight="false" outlineLevel="0" collapsed="false">
      <c r="A430" s="33" t="str">
        <f aca="false">IF(Pipeline_Sort!$C430="","",INDEX(Pipeline_Calc!$B$2:$B$5251,Pipeline_Sort!$C430))</f>
        <v/>
      </c>
      <c r="B430" s="0" t="str">
        <f aca="false">IF(Pipeline_Sort!$C430="","",INDEX(Pipeline_Calc!$C$2:$C$5251,Pipeline_Sort!$C430))</f>
        <v/>
      </c>
      <c r="C430" s="0" t="str">
        <f aca="false">IF(Pipeline_Sort!$C430="","",INDEX(Pipeline_Calc!$D$2:$D$5251,Pipeline_Sort!$C430))</f>
        <v/>
      </c>
      <c r="D430" s="0" t="str">
        <f aca="false">IF(Pipeline_Sort!$C430="","",INDEX(Pipeline_Calc!$E$2:$E$5251,Pipeline_Sort!$C430))</f>
        <v/>
      </c>
      <c r="E430" s="0" t="str">
        <f aca="false">IF(Pipeline_Sort!$C430="","",INDEX(Pipeline_Calc!$F$2:$F$5251,Pipeline_Sort!$C430))</f>
        <v/>
      </c>
      <c r="F430" s="0" t="str">
        <f aca="false">IF(Pipeline_Sort!$C430="","",INDEX(Pipeline_Calc!$G$2:$G$5251,Pipeline_Sort!$C430))</f>
        <v/>
      </c>
      <c r="G430" s="0" t="str">
        <f aca="false">IF(Pipeline_Sort!$C430="","",INDEX(Pipeline_Calc!$H$2:$H$5251,Pipeline_Sort!$C430))</f>
        <v/>
      </c>
      <c r="H430" s="0" t="str">
        <f aca="false">IF(Pipeline_Sort!$C430="","",INDEX(Pipeline_Calc!$I$2:$I$5251,Pipeline_Sort!$C430))</f>
        <v/>
      </c>
      <c r="I430" s="0" t="str">
        <f aca="false">IF(Pipeline_Sort!$C430="","",INDEX(Pipeline_Calc!$J$2:$J$5251,Pipeline_Sort!$C430))</f>
        <v/>
      </c>
    </row>
    <row r="431" customFormat="false" ht="15" hidden="false" customHeight="false" outlineLevel="0" collapsed="false">
      <c r="A431" s="33" t="str">
        <f aca="false">IF(Pipeline_Sort!$C431="","",INDEX(Pipeline_Calc!$B$2:$B$5251,Pipeline_Sort!$C431))</f>
        <v/>
      </c>
      <c r="B431" s="0" t="str">
        <f aca="false">IF(Pipeline_Sort!$C431="","",INDEX(Pipeline_Calc!$C$2:$C$5251,Pipeline_Sort!$C431))</f>
        <v/>
      </c>
      <c r="C431" s="0" t="str">
        <f aca="false">IF(Pipeline_Sort!$C431="","",INDEX(Pipeline_Calc!$D$2:$D$5251,Pipeline_Sort!$C431))</f>
        <v/>
      </c>
      <c r="D431" s="0" t="str">
        <f aca="false">IF(Pipeline_Sort!$C431="","",INDEX(Pipeline_Calc!$E$2:$E$5251,Pipeline_Sort!$C431))</f>
        <v/>
      </c>
      <c r="E431" s="0" t="str">
        <f aca="false">IF(Pipeline_Sort!$C431="","",INDEX(Pipeline_Calc!$F$2:$F$5251,Pipeline_Sort!$C431))</f>
        <v/>
      </c>
      <c r="F431" s="0" t="str">
        <f aca="false">IF(Pipeline_Sort!$C431="","",INDEX(Pipeline_Calc!$G$2:$G$5251,Pipeline_Sort!$C431))</f>
        <v/>
      </c>
      <c r="G431" s="0" t="str">
        <f aca="false">IF(Pipeline_Sort!$C431="","",INDEX(Pipeline_Calc!$H$2:$H$5251,Pipeline_Sort!$C431))</f>
        <v/>
      </c>
      <c r="H431" s="0" t="str">
        <f aca="false">IF(Pipeline_Sort!$C431="","",INDEX(Pipeline_Calc!$I$2:$I$5251,Pipeline_Sort!$C431))</f>
        <v/>
      </c>
      <c r="I431" s="0" t="str">
        <f aca="false">IF(Pipeline_Sort!$C431="","",INDEX(Pipeline_Calc!$J$2:$J$5251,Pipeline_Sort!$C431))</f>
        <v/>
      </c>
    </row>
    <row r="432" customFormat="false" ht="15" hidden="false" customHeight="false" outlineLevel="0" collapsed="false">
      <c r="A432" s="33" t="str">
        <f aca="false">IF(Pipeline_Sort!$C432="","",INDEX(Pipeline_Calc!$B$2:$B$5251,Pipeline_Sort!$C432))</f>
        <v/>
      </c>
      <c r="B432" s="0" t="str">
        <f aca="false">IF(Pipeline_Sort!$C432="","",INDEX(Pipeline_Calc!$C$2:$C$5251,Pipeline_Sort!$C432))</f>
        <v/>
      </c>
      <c r="C432" s="0" t="str">
        <f aca="false">IF(Pipeline_Sort!$C432="","",INDEX(Pipeline_Calc!$D$2:$D$5251,Pipeline_Sort!$C432))</f>
        <v/>
      </c>
      <c r="D432" s="0" t="str">
        <f aca="false">IF(Pipeline_Sort!$C432="","",INDEX(Pipeline_Calc!$E$2:$E$5251,Pipeline_Sort!$C432))</f>
        <v/>
      </c>
      <c r="E432" s="0" t="str">
        <f aca="false">IF(Pipeline_Sort!$C432="","",INDEX(Pipeline_Calc!$F$2:$F$5251,Pipeline_Sort!$C432))</f>
        <v/>
      </c>
      <c r="F432" s="0" t="str">
        <f aca="false">IF(Pipeline_Sort!$C432="","",INDEX(Pipeline_Calc!$G$2:$G$5251,Pipeline_Sort!$C432))</f>
        <v/>
      </c>
      <c r="G432" s="0" t="str">
        <f aca="false">IF(Pipeline_Sort!$C432="","",INDEX(Pipeline_Calc!$H$2:$H$5251,Pipeline_Sort!$C432))</f>
        <v/>
      </c>
      <c r="H432" s="0" t="str">
        <f aca="false">IF(Pipeline_Sort!$C432="","",INDEX(Pipeline_Calc!$I$2:$I$5251,Pipeline_Sort!$C432))</f>
        <v/>
      </c>
      <c r="I432" s="0" t="str">
        <f aca="false">IF(Pipeline_Sort!$C432="","",INDEX(Pipeline_Calc!$J$2:$J$5251,Pipeline_Sort!$C432))</f>
        <v/>
      </c>
    </row>
    <row r="433" customFormat="false" ht="15" hidden="false" customHeight="false" outlineLevel="0" collapsed="false">
      <c r="A433" s="33" t="str">
        <f aca="false">IF(Pipeline_Sort!$C433="","",INDEX(Pipeline_Calc!$B$2:$B$5251,Pipeline_Sort!$C433))</f>
        <v/>
      </c>
      <c r="B433" s="0" t="str">
        <f aca="false">IF(Pipeline_Sort!$C433="","",INDEX(Pipeline_Calc!$C$2:$C$5251,Pipeline_Sort!$C433))</f>
        <v/>
      </c>
      <c r="C433" s="0" t="str">
        <f aca="false">IF(Pipeline_Sort!$C433="","",INDEX(Pipeline_Calc!$D$2:$D$5251,Pipeline_Sort!$C433))</f>
        <v/>
      </c>
      <c r="D433" s="0" t="str">
        <f aca="false">IF(Pipeline_Sort!$C433="","",INDEX(Pipeline_Calc!$E$2:$E$5251,Pipeline_Sort!$C433))</f>
        <v/>
      </c>
      <c r="E433" s="0" t="str">
        <f aca="false">IF(Pipeline_Sort!$C433="","",INDEX(Pipeline_Calc!$F$2:$F$5251,Pipeline_Sort!$C433))</f>
        <v/>
      </c>
      <c r="F433" s="0" t="str">
        <f aca="false">IF(Pipeline_Sort!$C433="","",INDEX(Pipeline_Calc!$G$2:$G$5251,Pipeline_Sort!$C433))</f>
        <v/>
      </c>
      <c r="G433" s="0" t="str">
        <f aca="false">IF(Pipeline_Sort!$C433="","",INDEX(Pipeline_Calc!$H$2:$H$5251,Pipeline_Sort!$C433))</f>
        <v/>
      </c>
      <c r="H433" s="0" t="str">
        <f aca="false">IF(Pipeline_Sort!$C433="","",INDEX(Pipeline_Calc!$I$2:$I$5251,Pipeline_Sort!$C433))</f>
        <v/>
      </c>
      <c r="I433" s="0" t="str">
        <f aca="false">IF(Pipeline_Sort!$C433="","",INDEX(Pipeline_Calc!$J$2:$J$5251,Pipeline_Sort!$C433))</f>
        <v/>
      </c>
    </row>
    <row r="434" customFormat="false" ht="15" hidden="false" customHeight="false" outlineLevel="0" collapsed="false">
      <c r="A434" s="33" t="str">
        <f aca="false">IF(Pipeline_Sort!$C434="","",INDEX(Pipeline_Calc!$B$2:$B$5251,Pipeline_Sort!$C434))</f>
        <v/>
      </c>
      <c r="B434" s="0" t="str">
        <f aca="false">IF(Pipeline_Sort!$C434="","",INDEX(Pipeline_Calc!$C$2:$C$5251,Pipeline_Sort!$C434))</f>
        <v/>
      </c>
      <c r="C434" s="0" t="str">
        <f aca="false">IF(Pipeline_Sort!$C434="","",INDEX(Pipeline_Calc!$D$2:$D$5251,Pipeline_Sort!$C434))</f>
        <v/>
      </c>
      <c r="D434" s="0" t="str">
        <f aca="false">IF(Pipeline_Sort!$C434="","",INDEX(Pipeline_Calc!$E$2:$E$5251,Pipeline_Sort!$C434))</f>
        <v/>
      </c>
      <c r="E434" s="0" t="str">
        <f aca="false">IF(Pipeline_Sort!$C434="","",INDEX(Pipeline_Calc!$F$2:$F$5251,Pipeline_Sort!$C434))</f>
        <v/>
      </c>
      <c r="F434" s="0" t="str">
        <f aca="false">IF(Pipeline_Sort!$C434="","",INDEX(Pipeline_Calc!$G$2:$G$5251,Pipeline_Sort!$C434))</f>
        <v/>
      </c>
      <c r="G434" s="0" t="str">
        <f aca="false">IF(Pipeline_Sort!$C434="","",INDEX(Pipeline_Calc!$H$2:$H$5251,Pipeline_Sort!$C434))</f>
        <v/>
      </c>
      <c r="H434" s="0" t="str">
        <f aca="false">IF(Pipeline_Sort!$C434="","",INDEX(Pipeline_Calc!$I$2:$I$5251,Pipeline_Sort!$C434))</f>
        <v/>
      </c>
      <c r="I434" s="0" t="str">
        <f aca="false">IF(Pipeline_Sort!$C434="","",INDEX(Pipeline_Calc!$J$2:$J$5251,Pipeline_Sort!$C434))</f>
        <v/>
      </c>
    </row>
    <row r="435" customFormat="false" ht="15" hidden="false" customHeight="false" outlineLevel="0" collapsed="false">
      <c r="A435" s="33" t="str">
        <f aca="false">IF(Pipeline_Sort!$C435="","",INDEX(Pipeline_Calc!$B$2:$B$5251,Pipeline_Sort!$C435))</f>
        <v/>
      </c>
      <c r="B435" s="0" t="str">
        <f aca="false">IF(Pipeline_Sort!$C435="","",INDEX(Pipeline_Calc!$C$2:$C$5251,Pipeline_Sort!$C435))</f>
        <v/>
      </c>
      <c r="C435" s="0" t="str">
        <f aca="false">IF(Pipeline_Sort!$C435="","",INDEX(Pipeline_Calc!$D$2:$D$5251,Pipeline_Sort!$C435))</f>
        <v/>
      </c>
      <c r="D435" s="0" t="str">
        <f aca="false">IF(Pipeline_Sort!$C435="","",INDEX(Pipeline_Calc!$E$2:$E$5251,Pipeline_Sort!$C435))</f>
        <v/>
      </c>
      <c r="E435" s="0" t="str">
        <f aca="false">IF(Pipeline_Sort!$C435="","",INDEX(Pipeline_Calc!$F$2:$F$5251,Pipeline_Sort!$C435))</f>
        <v/>
      </c>
      <c r="F435" s="0" t="str">
        <f aca="false">IF(Pipeline_Sort!$C435="","",INDEX(Pipeline_Calc!$G$2:$G$5251,Pipeline_Sort!$C435))</f>
        <v/>
      </c>
      <c r="G435" s="0" t="str">
        <f aca="false">IF(Pipeline_Sort!$C435="","",INDEX(Pipeline_Calc!$H$2:$H$5251,Pipeline_Sort!$C435))</f>
        <v/>
      </c>
      <c r="H435" s="0" t="str">
        <f aca="false">IF(Pipeline_Sort!$C435="","",INDEX(Pipeline_Calc!$I$2:$I$5251,Pipeline_Sort!$C435))</f>
        <v/>
      </c>
      <c r="I435" s="0" t="str">
        <f aca="false">IF(Pipeline_Sort!$C435="","",INDEX(Pipeline_Calc!$J$2:$J$5251,Pipeline_Sort!$C435))</f>
        <v/>
      </c>
    </row>
    <row r="436" customFormat="false" ht="15" hidden="false" customHeight="false" outlineLevel="0" collapsed="false">
      <c r="A436" s="33" t="str">
        <f aca="false">IF(Pipeline_Sort!$C436="","",INDEX(Pipeline_Calc!$B$2:$B$5251,Pipeline_Sort!$C436))</f>
        <v/>
      </c>
      <c r="B436" s="0" t="str">
        <f aca="false">IF(Pipeline_Sort!$C436="","",INDEX(Pipeline_Calc!$C$2:$C$5251,Pipeline_Sort!$C436))</f>
        <v/>
      </c>
      <c r="C436" s="0" t="str">
        <f aca="false">IF(Pipeline_Sort!$C436="","",INDEX(Pipeline_Calc!$D$2:$D$5251,Pipeline_Sort!$C436))</f>
        <v/>
      </c>
      <c r="D436" s="0" t="str">
        <f aca="false">IF(Pipeline_Sort!$C436="","",INDEX(Pipeline_Calc!$E$2:$E$5251,Pipeline_Sort!$C436))</f>
        <v/>
      </c>
      <c r="E436" s="0" t="str">
        <f aca="false">IF(Pipeline_Sort!$C436="","",INDEX(Pipeline_Calc!$F$2:$F$5251,Pipeline_Sort!$C436))</f>
        <v/>
      </c>
      <c r="F436" s="0" t="str">
        <f aca="false">IF(Pipeline_Sort!$C436="","",INDEX(Pipeline_Calc!$G$2:$G$5251,Pipeline_Sort!$C436))</f>
        <v/>
      </c>
      <c r="G436" s="0" t="str">
        <f aca="false">IF(Pipeline_Sort!$C436="","",INDEX(Pipeline_Calc!$H$2:$H$5251,Pipeline_Sort!$C436))</f>
        <v/>
      </c>
      <c r="H436" s="0" t="str">
        <f aca="false">IF(Pipeline_Sort!$C436="","",INDEX(Pipeline_Calc!$I$2:$I$5251,Pipeline_Sort!$C436))</f>
        <v/>
      </c>
      <c r="I436" s="0" t="str">
        <f aca="false">IF(Pipeline_Sort!$C436="","",INDEX(Pipeline_Calc!$J$2:$J$5251,Pipeline_Sort!$C436))</f>
        <v/>
      </c>
    </row>
    <row r="437" customFormat="false" ht="15" hidden="false" customHeight="false" outlineLevel="0" collapsed="false">
      <c r="A437" s="33" t="str">
        <f aca="false">IF(Pipeline_Sort!$C437="","",INDEX(Pipeline_Calc!$B$2:$B$5251,Pipeline_Sort!$C437))</f>
        <v/>
      </c>
      <c r="B437" s="0" t="str">
        <f aca="false">IF(Pipeline_Sort!$C437="","",INDEX(Pipeline_Calc!$C$2:$C$5251,Pipeline_Sort!$C437))</f>
        <v/>
      </c>
      <c r="C437" s="0" t="str">
        <f aca="false">IF(Pipeline_Sort!$C437="","",INDEX(Pipeline_Calc!$D$2:$D$5251,Pipeline_Sort!$C437))</f>
        <v/>
      </c>
      <c r="D437" s="0" t="str">
        <f aca="false">IF(Pipeline_Sort!$C437="","",INDEX(Pipeline_Calc!$E$2:$E$5251,Pipeline_Sort!$C437))</f>
        <v/>
      </c>
      <c r="E437" s="0" t="str">
        <f aca="false">IF(Pipeline_Sort!$C437="","",INDEX(Pipeline_Calc!$F$2:$F$5251,Pipeline_Sort!$C437))</f>
        <v/>
      </c>
      <c r="F437" s="0" t="str">
        <f aca="false">IF(Pipeline_Sort!$C437="","",INDEX(Pipeline_Calc!$G$2:$G$5251,Pipeline_Sort!$C437))</f>
        <v/>
      </c>
      <c r="G437" s="0" t="str">
        <f aca="false">IF(Pipeline_Sort!$C437="","",INDEX(Pipeline_Calc!$H$2:$H$5251,Pipeline_Sort!$C437))</f>
        <v/>
      </c>
      <c r="H437" s="0" t="str">
        <f aca="false">IF(Pipeline_Sort!$C437="","",INDEX(Pipeline_Calc!$I$2:$I$5251,Pipeline_Sort!$C437))</f>
        <v/>
      </c>
      <c r="I437" s="0" t="str">
        <f aca="false">IF(Pipeline_Sort!$C437="","",INDEX(Pipeline_Calc!$J$2:$J$5251,Pipeline_Sort!$C437))</f>
        <v/>
      </c>
    </row>
    <row r="438" customFormat="false" ht="15" hidden="false" customHeight="false" outlineLevel="0" collapsed="false">
      <c r="A438" s="33" t="str">
        <f aca="false">IF(Pipeline_Sort!$C438="","",INDEX(Pipeline_Calc!$B$2:$B$5251,Pipeline_Sort!$C438))</f>
        <v/>
      </c>
      <c r="B438" s="0" t="str">
        <f aca="false">IF(Pipeline_Sort!$C438="","",INDEX(Pipeline_Calc!$C$2:$C$5251,Pipeline_Sort!$C438))</f>
        <v/>
      </c>
      <c r="C438" s="0" t="str">
        <f aca="false">IF(Pipeline_Sort!$C438="","",INDEX(Pipeline_Calc!$D$2:$D$5251,Pipeline_Sort!$C438))</f>
        <v/>
      </c>
      <c r="D438" s="0" t="str">
        <f aca="false">IF(Pipeline_Sort!$C438="","",INDEX(Pipeline_Calc!$E$2:$E$5251,Pipeline_Sort!$C438))</f>
        <v/>
      </c>
      <c r="E438" s="0" t="str">
        <f aca="false">IF(Pipeline_Sort!$C438="","",INDEX(Pipeline_Calc!$F$2:$F$5251,Pipeline_Sort!$C438))</f>
        <v/>
      </c>
      <c r="F438" s="0" t="str">
        <f aca="false">IF(Pipeline_Sort!$C438="","",INDEX(Pipeline_Calc!$G$2:$G$5251,Pipeline_Sort!$C438))</f>
        <v/>
      </c>
      <c r="G438" s="0" t="str">
        <f aca="false">IF(Pipeline_Sort!$C438="","",INDEX(Pipeline_Calc!$H$2:$H$5251,Pipeline_Sort!$C438))</f>
        <v/>
      </c>
      <c r="H438" s="0" t="str">
        <f aca="false">IF(Pipeline_Sort!$C438="","",INDEX(Pipeline_Calc!$I$2:$I$5251,Pipeline_Sort!$C438))</f>
        <v/>
      </c>
      <c r="I438" s="0" t="str">
        <f aca="false">IF(Pipeline_Sort!$C438="","",INDEX(Pipeline_Calc!$J$2:$J$5251,Pipeline_Sort!$C438))</f>
        <v/>
      </c>
    </row>
    <row r="439" customFormat="false" ht="15" hidden="false" customHeight="false" outlineLevel="0" collapsed="false">
      <c r="A439" s="33" t="str">
        <f aca="false">IF(Pipeline_Sort!$C439="","",INDEX(Pipeline_Calc!$B$2:$B$5251,Pipeline_Sort!$C439))</f>
        <v/>
      </c>
      <c r="B439" s="0" t="str">
        <f aca="false">IF(Pipeline_Sort!$C439="","",INDEX(Pipeline_Calc!$C$2:$C$5251,Pipeline_Sort!$C439))</f>
        <v/>
      </c>
      <c r="C439" s="0" t="str">
        <f aca="false">IF(Pipeline_Sort!$C439="","",INDEX(Pipeline_Calc!$D$2:$D$5251,Pipeline_Sort!$C439))</f>
        <v/>
      </c>
      <c r="D439" s="0" t="str">
        <f aca="false">IF(Pipeline_Sort!$C439="","",INDEX(Pipeline_Calc!$E$2:$E$5251,Pipeline_Sort!$C439))</f>
        <v/>
      </c>
      <c r="E439" s="0" t="str">
        <f aca="false">IF(Pipeline_Sort!$C439="","",INDEX(Pipeline_Calc!$F$2:$F$5251,Pipeline_Sort!$C439))</f>
        <v/>
      </c>
      <c r="F439" s="0" t="str">
        <f aca="false">IF(Pipeline_Sort!$C439="","",INDEX(Pipeline_Calc!$G$2:$G$5251,Pipeline_Sort!$C439))</f>
        <v/>
      </c>
      <c r="G439" s="0" t="str">
        <f aca="false">IF(Pipeline_Sort!$C439="","",INDEX(Pipeline_Calc!$H$2:$H$5251,Pipeline_Sort!$C439))</f>
        <v/>
      </c>
      <c r="H439" s="0" t="str">
        <f aca="false">IF(Pipeline_Sort!$C439="","",INDEX(Pipeline_Calc!$I$2:$I$5251,Pipeline_Sort!$C439))</f>
        <v/>
      </c>
      <c r="I439" s="0" t="str">
        <f aca="false">IF(Pipeline_Sort!$C439="","",INDEX(Pipeline_Calc!$J$2:$J$5251,Pipeline_Sort!$C439))</f>
        <v/>
      </c>
    </row>
    <row r="440" customFormat="false" ht="15" hidden="false" customHeight="false" outlineLevel="0" collapsed="false">
      <c r="A440" s="33" t="str">
        <f aca="false">IF(Pipeline_Sort!$C440="","",INDEX(Pipeline_Calc!$B$2:$B$5251,Pipeline_Sort!$C440))</f>
        <v/>
      </c>
      <c r="B440" s="0" t="str">
        <f aca="false">IF(Pipeline_Sort!$C440="","",INDEX(Pipeline_Calc!$C$2:$C$5251,Pipeline_Sort!$C440))</f>
        <v/>
      </c>
      <c r="C440" s="0" t="str">
        <f aca="false">IF(Pipeline_Sort!$C440="","",INDEX(Pipeline_Calc!$D$2:$D$5251,Pipeline_Sort!$C440))</f>
        <v/>
      </c>
      <c r="D440" s="0" t="str">
        <f aca="false">IF(Pipeline_Sort!$C440="","",INDEX(Pipeline_Calc!$E$2:$E$5251,Pipeline_Sort!$C440))</f>
        <v/>
      </c>
      <c r="E440" s="0" t="str">
        <f aca="false">IF(Pipeline_Sort!$C440="","",INDEX(Pipeline_Calc!$F$2:$F$5251,Pipeline_Sort!$C440))</f>
        <v/>
      </c>
      <c r="F440" s="0" t="str">
        <f aca="false">IF(Pipeline_Sort!$C440="","",INDEX(Pipeline_Calc!$G$2:$G$5251,Pipeline_Sort!$C440))</f>
        <v/>
      </c>
      <c r="G440" s="0" t="str">
        <f aca="false">IF(Pipeline_Sort!$C440="","",INDEX(Pipeline_Calc!$H$2:$H$5251,Pipeline_Sort!$C440))</f>
        <v/>
      </c>
      <c r="H440" s="0" t="str">
        <f aca="false">IF(Pipeline_Sort!$C440="","",INDEX(Pipeline_Calc!$I$2:$I$5251,Pipeline_Sort!$C440))</f>
        <v/>
      </c>
      <c r="I440" s="0" t="str">
        <f aca="false">IF(Pipeline_Sort!$C440="","",INDEX(Pipeline_Calc!$J$2:$J$5251,Pipeline_Sort!$C440))</f>
        <v/>
      </c>
    </row>
    <row r="441" customFormat="false" ht="15" hidden="false" customHeight="false" outlineLevel="0" collapsed="false">
      <c r="A441" s="33" t="str">
        <f aca="false">IF(Pipeline_Sort!$C441="","",INDEX(Pipeline_Calc!$B$2:$B$5251,Pipeline_Sort!$C441))</f>
        <v/>
      </c>
      <c r="B441" s="0" t="str">
        <f aca="false">IF(Pipeline_Sort!$C441="","",INDEX(Pipeline_Calc!$C$2:$C$5251,Pipeline_Sort!$C441))</f>
        <v/>
      </c>
      <c r="C441" s="0" t="str">
        <f aca="false">IF(Pipeline_Sort!$C441="","",INDEX(Pipeline_Calc!$D$2:$D$5251,Pipeline_Sort!$C441))</f>
        <v/>
      </c>
      <c r="D441" s="0" t="str">
        <f aca="false">IF(Pipeline_Sort!$C441="","",INDEX(Pipeline_Calc!$E$2:$E$5251,Pipeline_Sort!$C441))</f>
        <v/>
      </c>
      <c r="E441" s="0" t="str">
        <f aca="false">IF(Pipeline_Sort!$C441="","",INDEX(Pipeline_Calc!$F$2:$F$5251,Pipeline_Sort!$C441))</f>
        <v/>
      </c>
      <c r="F441" s="0" t="str">
        <f aca="false">IF(Pipeline_Sort!$C441="","",INDEX(Pipeline_Calc!$G$2:$G$5251,Pipeline_Sort!$C441))</f>
        <v/>
      </c>
      <c r="G441" s="0" t="str">
        <f aca="false">IF(Pipeline_Sort!$C441="","",INDEX(Pipeline_Calc!$H$2:$H$5251,Pipeline_Sort!$C441))</f>
        <v/>
      </c>
      <c r="H441" s="0" t="str">
        <f aca="false">IF(Pipeline_Sort!$C441="","",INDEX(Pipeline_Calc!$I$2:$I$5251,Pipeline_Sort!$C441))</f>
        <v/>
      </c>
      <c r="I441" s="0" t="str">
        <f aca="false">IF(Pipeline_Sort!$C441="","",INDEX(Pipeline_Calc!$J$2:$J$5251,Pipeline_Sort!$C441))</f>
        <v/>
      </c>
    </row>
    <row r="442" customFormat="false" ht="15" hidden="false" customHeight="false" outlineLevel="0" collapsed="false">
      <c r="A442" s="33" t="str">
        <f aca="false">IF(Pipeline_Sort!$C442="","",INDEX(Pipeline_Calc!$B$2:$B$5251,Pipeline_Sort!$C442))</f>
        <v/>
      </c>
      <c r="B442" s="0" t="str">
        <f aca="false">IF(Pipeline_Sort!$C442="","",INDEX(Pipeline_Calc!$C$2:$C$5251,Pipeline_Sort!$C442))</f>
        <v/>
      </c>
      <c r="C442" s="0" t="str">
        <f aca="false">IF(Pipeline_Sort!$C442="","",INDEX(Pipeline_Calc!$D$2:$D$5251,Pipeline_Sort!$C442))</f>
        <v/>
      </c>
      <c r="D442" s="0" t="str">
        <f aca="false">IF(Pipeline_Sort!$C442="","",INDEX(Pipeline_Calc!$E$2:$E$5251,Pipeline_Sort!$C442))</f>
        <v/>
      </c>
      <c r="E442" s="0" t="str">
        <f aca="false">IF(Pipeline_Sort!$C442="","",INDEX(Pipeline_Calc!$F$2:$F$5251,Pipeline_Sort!$C442))</f>
        <v/>
      </c>
      <c r="F442" s="0" t="str">
        <f aca="false">IF(Pipeline_Sort!$C442="","",INDEX(Pipeline_Calc!$G$2:$G$5251,Pipeline_Sort!$C442))</f>
        <v/>
      </c>
      <c r="G442" s="0" t="str">
        <f aca="false">IF(Pipeline_Sort!$C442="","",INDEX(Pipeline_Calc!$H$2:$H$5251,Pipeline_Sort!$C442))</f>
        <v/>
      </c>
      <c r="H442" s="0" t="str">
        <f aca="false">IF(Pipeline_Sort!$C442="","",INDEX(Pipeline_Calc!$I$2:$I$5251,Pipeline_Sort!$C442))</f>
        <v/>
      </c>
      <c r="I442" s="0" t="str">
        <f aca="false">IF(Pipeline_Sort!$C442="","",INDEX(Pipeline_Calc!$J$2:$J$5251,Pipeline_Sort!$C442))</f>
        <v/>
      </c>
    </row>
    <row r="443" customFormat="false" ht="15" hidden="false" customHeight="false" outlineLevel="0" collapsed="false">
      <c r="A443" s="33" t="str">
        <f aca="false">IF(Pipeline_Sort!$C443="","",INDEX(Pipeline_Calc!$B$2:$B$5251,Pipeline_Sort!$C443))</f>
        <v/>
      </c>
      <c r="B443" s="0" t="str">
        <f aca="false">IF(Pipeline_Sort!$C443="","",INDEX(Pipeline_Calc!$C$2:$C$5251,Pipeline_Sort!$C443))</f>
        <v/>
      </c>
      <c r="C443" s="0" t="str">
        <f aca="false">IF(Pipeline_Sort!$C443="","",INDEX(Pipeline_Calc!$D$2:$D$5251,Pipeline_Sort!$C443))</f>
        <v/>
      </c>
      <c r="D443" s="0" t="str">
        <f aca="false">IF(Pipeline_Sort!$C443="","",INDEX(Pipeline_Calc!$E$2:$E$5251,Pipeline_Sort!$C443))</f>
        <v/>
      </c>
      <c r="E443" s="0" t="str">
        <f aca="false">IF(Pipeline_Sort!$C443="","",INDEX(Pipeline_Calc!$F$2:$F$5251,Pipeline_Sort!$C443))</f>
        <v/>
      </c>
      <c r="F443" s="0" t="str">
        <f aca="false">IF(Pipeline_Sort!$C443="","",INDEX(Pipeline_Calc!$G$2:$G$5251,Pipeline_Sort!$C443))</f>
        <v/>
      </c>
      <c r="G443" s="0" t="str">
        <f aca="false">IF(Pipeline_Sort!$C443="","",INDEX(Pipeline_Calc!$H$2:$H$5251,Pipeline_Sort!$C443))</f>
        <v/>
      </c>
      <c r="H443" s="0" t="str">
        <f aca="false">IF(Pipeline_Sort!$C443="","",INDEX(Pipeline_Calc!$I$2:$I$5251,Pipeline_Sort!$C443))</f>
        <v/>
      </c>
      <c r="I443" s="0" t="str">
        <f aca="false">IF(Pipeline_Sort!$C443="","",INDEX(Pipeline_Calc!$J$2:$J$5251,Pipeline_Sort!$C443))</f>
        <v/>
      </c>
    </row>
    <row r="444" customFormat="false" ht="15" hidden="false" customHeight="false" outlineLevel="0" collapsed="false">
      <c r="A444" s="33" t="str">
        <f aca="false">IF(Pipeline_Sort!$C444="","",INDEX(Pipeline_Calc!$B$2:$B$5251,Pipeline_Sort!$C444))</f>
        <v/>
      </c>
      <c r="B444" s="0" t="str">
        <f aca="false">IF(Pipeline_Sort!$C444="","",INDEX(Pipeline_Calc!$C$2:$C$5251,Pipeline_Sort!$C444))</f>
        <v/>
      </c>
      <c r="C444" s="0" t="str">
        <f aca="false">IF(Pipeline_Sort!$C444="","",INDEX(Pipeline_Calc!$D$2:$D$5251,Pipeline_Sort!$C444))</f>
        <v/>
      </c>
      <c r="D444" s="0" t="str">
        <f aca="false">IF(Pipeline_Sort!$C444="","",INDEX(Pipeline_Calc!$E$2:$E$5251,Pipeline_Sort!$C444))</f>
        <v/>
      </c>
      <c r="E444" s="0" t="str">
        <f aca="false">IF(Pipeline_Sort!$C444="","",INDEX(Pipeline_Calc!$F$2:$F$5251,Pipeline_Sort!$C444))</f>
        <v/>
      </c>
      <c r="F444" s="0" t="str">
        <f aca="false">IF(Pipeline_Sort!$C444="","",INDEX(Pipeline_Calc!$G$2:$G$5251,Pipeline_Sort!$C444))</f>
        <v/>
      </c>
      <c r="G444" s="0" t="str">
        <f aca="false">IF(Pipeline_Sort!$C444="","",INDEX(Pipeline_Calc!$H$2:$H$5251,Pipeline_Sort!$C444))</f>
        <v/>
      </c>
      <c r="H444" s="0" t="str">
        <f aca="false">IF(Pipeline_Sort!$C444="","",INDEX(Pipeline_Calc!$I$2:$I$5251,Pipeline_Sort!$C444))</f>
        <v/>
      </c>
      <c r="I444" s="0" t="str">
        <f aca="false">IF(Pipeline_Sort!$C444="","",INDEX(Pipeline_Calc!$J$2:$J$5251,Pipeline_Sort!$C444))</f>
        <v/>
      </c>
    </row>
    <row r="445" customFormat="false" ht="15" hidden="false" customHeight="false" outlineLevel="0" collapsed="false">
      <c r="A445" s="33" t="str">
        <f aca="false">IF(Pipeline_Sort!$C445="","",INDEX(Pipeline_Calc!$B$2:$B$5251,Pipeline_Sort!$C445))</f>
        <v/>
      </c>
      <c r="B445" s="0" t="str">
        <f aca="false">IF(Pipeline_Sort!$C445="","",INDEX(Pipeline_Calc!$C$2:$C$5251,Pipeline_Sort!$C445))</f>
        <v/>
      </c>
      <c r="C445" s="0" t="str">
        <f aca="false">IF(Pipeline_Sort!$C445="","",INDEX(Pipeline_Calc!$D$2:$D$5251,Pipeline_Sort!$C445))</f>
        <v/>
      </c>
      <c r="D445" s="0" t="str">
        <f aca="false">IF(Pipeline_Sort!$C445="","",INDEX(Pipeline_Calc!$E$2:$E$5251,Pipeline_Sort!$C445))</f>
        <v/>
      </c>
      <c r="E445" s="0" t="str">
        <f aca="false">IF(Pipeline_Sort!$C445="","",INDEX(Pipeline_Calc!$F$2:$F$5251,Pipeline_Sort!$C445))</f>
        <v/>
      </c>
      <c r="F445" s="0" t="str">
        <f aca="false">IF(Pipeline_Sort!$C445="","",INDEX(Pipeline_Calc!$G$2:$G$5251,Pipeline_Sort!$C445))</f>
        <v/>
      </c>
      <c r="G445" s="0" t="str">
        <f aca="false">IF(Pipeline_Sort!$C445="","",INDEX(Pipeline_Calc!$H$2:$H$5251,Pipeline_Sort!$C445))</f>
        <v/>
      </c>
      <c r="H445" s="0" t="str">
        <f aca="false">IF(Pipeline_Sort!$C445="","",INDEX(Pipeline_Calc!$I$2:$I$5251,Pipeline_Sort!$C445))</f>
        <v/>
      </c>
      <c r="I445" s="0" t="str">
        <f aca="false">IF(Pipeline_Sort!$C445="","",INDEX(Pipeline_Calc!$J$2:$J$5251,Pipeline_Sort!$C445))</f>
        <v/>
      </c>
    </row>
    <row r="446" customFormat="false" ht="15" hidden="false" customHeight="false" outlineLevel="0" collapsed="false">
      <c r="A446" s="33" t="str">
        <f aca="false">IF(Pipeline_Sort!$C446="","",INDEX(Pipeline_Calc!$B$2:$B$5251,Pipeline_Sort!$C446))</f>
        <v/>
      </c>
      <c r="B446" s="0" t="str">
        <f aca="false">IF(Pipeline_Sort!$C446="","",INDEX(Pipeline_Calc!$C$2:$C$5251,Pipeline_Sort!$C446))</f>
        <v/>
      </c>
      <c r="C446" s="0" t="str">
        <f aca="false">IF(Pipeline_Sort!$C446="","",INDEX(Pipeline_Calc!$D$2:$D$5251,Pipeline_Sort!$C446))</f>
        <v/>
      </c>
      <c r="D446" s="0" t="str">
        <f aca="false">IF(Pipeline_Sort!$C446="","",INDEX(Pipeline_Calc!$E$2:$E$5251,Pipeline_Sort!$C446))</f>
        <v/>
      </c>
      <c r="E446" s="0" t="str">
        <f aca="false">IF(Pipeline_Sort!$C446="","",INDEX(Pipeline_Calc!$F$2:$F$5251,Pipeline_Sort!$C446))</f>
        <v/>
      </c>
      <c r="F446" s="0" t="str">
        <f aca="false">IF(Pipeline_Sort!$C446="","",INDEX(Pipeline_Calc!$G$2:$G$5251,Pipeline_Sort!$C446))</f>
        <v/>
      </c>
      <c r="G446" s="0" t="str">
        <f aca="false">IF(Pipeline_Sort!$C446="","",INDEX(Pipeline_Calc!$H$2:$H$5251,Pipeline_Sort!$C446))</f>
        <v/>
      </c>
      <c r="H446" s="0" t="str">
        <f aca="false">IF(Pipeline_Sort!$C446="","",INDEX(Pipeline_Calc!$I$2:$I$5251,Pipeline_Sort!$C446))</f>
        <v/>
      </c>
      <c r="I446" s="0" t="str">
        <f aca="false">IF(Pipeline_Sort!$C446="","",INDEX(Pipeline_Calc!$J$2:$J$5251,Pipeline_Sort!$C446))</f>
        <v/>
      </c>
    </row>
    <row r="447" customFormat="false" ht="15" hidden="false" customHeight="false" outlineLevel="0" collapsed="false">
      <c r="A447" s="33" t="str">
        <f aca="false">IF(Pipeline_Sort!$C447="","",INDEX(Pipeline_Calc!$B$2:$B$5251,Pipeline_Sort!$C447))</f>
        <v/>
      </c>
      <c r="B447" s="0" t="str">
        <f aca="false">IF(Pipeline_Sort!$C447="","",INDEX(Pipeline_Calc!$C$2:$C$5251,Pipeline_Sort!$C447))</f>
        <v/>
      </c>
      <c r="C447" s="0" t="str">
        <f aca="false">IF(Pipeline_Sort!$C447="","",INDEX(Pipeline_Calc!$D$2:$D$5251,Pipeline_Sort!$C447))</f>
        <v/>
      </c>
      <c r="D447" s="0" t="str">
        <f aca="false">IF(Pipeline_Sort!$C447="","",INDEX(Pipeline_Calc!$E$2:$E$5251,Pipeline_Sort!$C447))</f>
        <v/>
      </c>
      <c r="E447" s="0" t="str">
        <f aca="false">IF(Pipeline_Sort!$C447="","",INDEX(Pipeline_Calc!$F$2:$F$5251,Pipeline_Sort!$C447))</f>
        <v/>
      </c>
      <c r="F447" s="0" t="str">
        <f aca="false">IF(Pipeline_Sort!$C447="","",INDEX(Pipeline_Calc!$G$2:$G$5251,Pipeline_Sort!$C447))</f>
        <v/>
      </c>
      <c r="G447" s="0" t="str">
        <f aca="false">IF(Pipeline_Sort!$C447="","",INDEX(Pipeline_Calc!$H$2:$H$5251,Pipeline_Sort!$C447))</f>
        <v/>
      </c>
      <c r="H447" s="0" t="str">
        <f aca="false">IF(Pipeline_Sort!$C447="","",INDEX(Pipeline_Calc!$I$2:$I$5251,Pipeline_Sort!$C447))</f>
        <v/>
      </c>
      <c r="I447" s="0" t="str">
        <f aca="false">IF(Pipeline_Sort!$C447="","",INDEX(Pipeline_Calc!$J$2:$J$5251,Pipeline_Sort!$C447))</f>
        <v/>
      </c>
    </row>
    <row r="448" customFormat="false" ht="15" hidden="false" customHeight="false" outlineLevel="0" collapsed="false">
      <c r="A448" s="33" t="str">
        <f aca="false">IF(Pipeline_Sort!$C448="","",INDEX(Pipeline_Calc!$B$2:$B$5251,Pipeline_Sort!$C448))</f>
        <v/>
      </c>
      <c r="B448" s="0" t="str">
        <f aca="false">IF(Pipeline_Sort!$C448="","",INDEX(Pipeline_Calc!$C$2:$C$5251,Pipeline_Sort!$C448))</f>
        <v/>
      </c>
      <c r="C448" s="0" t="str">
        <f aca="false">IF(Pipeline_Sort!$C448="","",INDEX(Pipeline_Calc!$D$2:$D$5251,Pipeline_Sort!$C448))</f>
        <v/>
      </c>
      <c r="D448" s="0" t="str">
        <f aca="false">IF(Pipeline_Sort!$C448="","",INDEX(Pipeline_Calc!$E$2:$E$5251,Pipeline_Sort!$C448))</f>
        <v/>
      </c>
      <c r="E448" s="0" t="str">
        <f aca="false">IF(Pipeline_Sort!$C448="","",INDEX(Pipeline_Calc!$F$2:$F$5251,Pipeline_Sort!$C448))</f>
        <v/>
      </c>
      <c r="F448" s="0" t="str">
        <f aca="false">IF(Pipeline_Sort!$C448="","",INDEX(Pipeline_Calc!$G$2:$G$5251,Pipeline_Sort!$C448))</f>
        <v/>
      </c>
      <c r="G448" s="0" t="str">
        <f aca="false">IF(Pipeline_Sort!$C448="","",INDEX(Pipeline_Calc!$H$2:$H$5251,Pipeline_Sort!$C448))</f>
        <v/>
      </c>
      <c r="H448" s="0" t="str">
        <f aca="false">IF(Pipeline_Sort!$C448="","",INDEX(Pipeline_Calc!$I$2:$I$5251,Pipeline_Sort!$C448))</f>
        <v/>
      </c>
      <c r="I448" s="0" t="str">
        <f aca="false">IF(Pipeline_Sort!$C448="","",INDEX(Pipeline_Calc!$J$2:$J$5251,Pipeline_Sort!$C448))</f>
        <v/>
      </c>
    </row>
    <row r="449" customFormat="false" ht="15" hidden="false" customHeight="false" outlineLevel="0" collapsed="false">
      <c r="A449" s="33" t="str">
        <f aca="false">IF(Pipeline_Sort!$C449="","",INDEX(Pipeline_Calc!$B$2:$B$5251,Pipeline_Sort!$C449))</f>
        <v/>
      </c>
      <c r="B449" s="0" t="str">
        <f aca="false">IF(Pipeline_Sort!$C449="","",INDEX(Pipeline_Calc!$C$2:$C$5251,Pipeline_Sort!$C449))</f>
        <v/>
      </c>
      <c r="C449" s="0" t="str">
        <f aca="false">IF(Pipeline_Sort!$C449="","",INDEX(Pipeline_Calc!$D$2:$D$5251,Pipeline_Sort!$C449))</f>
        <v/>
      </c>
      <c r="D449" s="0" t="str">
        <f aca="false">IF(Pipeline_Sort!$C449="","",INDEX(Pipeline_Calc!$E$2:$E$5251,Pipeline_Sort!$C449))</f>
        <v/>
      </c>
      <c r="E449" s="0" t="str">
        <f aca="false">IF(Pipeline_Sort!$C449="","",INDEX(Pipeline_Calc!$F$2:$F$5251,Pipeline_Sort!$C449))</f>
        <v/>
      </c>
      <c r="F449" s="0" t="str">
        <f aca="false">IF(Pipeline_Sort!$C449="","",INDEX(Pipeline_Calc!$G$2:$G$5251,Pipeline_Sort!$C449))</f>
        <v/>
      </c>
      <c r="G449" s="0" t="str">
        <f aca="false">IF(Pipeline_Sort!$C449="","",INDEX(Pipeline_Calc!$H$2:$H$5251,Pipeline_Sort!$C449))</f>
        <v/>
      </c>
      <c r="H449" s="0" t="str">
        <f aca="false">IF(Pipeline_Sort!$C449="","",INDEX(Pipeline_Calc!$I$2:$I$5251,Pipeline_Sort!$C449))</f>
        <v/>
      </c>
      <c r="I449" s="0" t="str">
        <f aca="false">IF(Pipeline_Sort!$C449="","",INDEX(Pipeline_Calc!$J$2:$J$5251,Pipeline_Sort!$C449))</f>
        <v/>
      </c>
    </row>
    <row r="450" customFormat="false" ht="15" hidden="false" customHeight="false" outlineLevel="0" collapsed="false">
      <c r="A450" s="33" t="str">
        <f aca="false">IF(Pipeline_Sort!$C450="","",INDEX(Pipeline_Calc!$B$2:$B$5251,Pipeline_Sort!$C450))</f>
        <v/>
      </c>
      <c r="B450" s="0" t="str">
        <f aca="false">IF(Pipeline_Sort!$C450="","",INDEX(Pipeline_Calc!$C$2:$C$5251,Pipeline_Sort!$C450))</f>
        <v/>
      </c>
      <c r="C450" s="0" t="str">
        <f aca="false">IF(Pipeline_Sort!$C450="","",INDEX(Pipeline_Calc!$D$2:$D$5251,Pipeline_Sort!$C450))</f>
        <v/>
      </c>
      <c r="D450" s="0" t="str">
        <f aca="false">IF(Pipeline_Sort!$C450="","",INDEX(Pipeline_Calc!$E$2:$E$5251,Pipeline_Sort!$C450))</f>
        <v/>
      </c>
      <c r="E450" s="0" t="str">
        <f aca="false">IF(Pipeline_Sort!$C450="","",INDEX(Pipeline_Calc!$F$2:$F$5251,Pipeline_Sort!$C450))</f>
        <v/>
      </c>
      <c r="F450" s="0" t="str">
        <f aca="false">IF(Pipeline_Sort!$C450="","",INDEX(Pipeline_Calc!$G$2:$G$5251,Pipeline_Sort!$C450))</f>
        <v/>
      </c>
      <c r="G450" s="0" t="str">
        <f aca="false">IF(Pipeline_Sort!$C450="","",INDEX(Pipeline_Calc!$H$2:$H$5251,Pipeline_Sort!$C450))</f>
        <v/>
      </c>
      <c r="H450" s="0" t="str">
        <f aca="false">IF(Pipeline_Sort!$C450="","",INDEX(Pipeline_Calc!$I$2:$I$5251,Pipeline_Sort!$C450))</f>
        <v/>
      </c>
      <c r="I450" s="0" t="str">
        <f aca="false">IF(Pipeline_Sort!$C450="","",INDEX(Pipeline_Calc!$J$2:$J$5251,Pipeline_Sort!$C450))</f>
        <v/>
      </c>
    </row>
    <row r="451" customFormat="false" ht="15" hidden="false" customHeight="false" outlineLevel="0" collapsed="false">
      <c r="A451" s="33" t="str">
        <f aca="false">IF(Pipeline_Sort!$C451="","",INDEX(Pipeline_Calc!$B$2:$B$5251,Pipeline_Sort!$C451))</f>
        <v/>
      </c>
      <c r="B451" s="0" t="str">
        <f aca="false">IF(Pipeline_Sort!$C451="","",INDEX(Pipeline_Calc!$C$2:$C$5251,Pipeline_Sort!$C451))</f>
        <v/>
      </c>
      <c r="C451" s="0" t="str">
        <f aca="false">IF(Pipeline_Sort!$C451="","",INDEX(Pipeline_Calc!$D$2:$D$5251,Pipeline_Sort!$C451))</f>
        <v/>
      </c>
      <c r="D451" s="0" t="str">
        <f aca="false">IF(Pipeline_Sort!$C451="","",INDEX(Pipeline_Calc!$E$2:$E$5251,Pipeline_Sort!$C451))</f>
        <v/>
      </c>
      <c r="E451" s="0" t="str">
        <f aca="false">IF(Pipeline_Sort!$C451="","",INDEX(Pipeline_Calc!$F$2:$F$5251,Pipeline_Sort!$C451))</f>
        <v/>
      </c>
      <c r="F451" s="0" t="str">
        <f aca="false">IF(Pipeline_Sort!$C451="","",INDEX(Pipeline_Calc!$G$2:$G$5251,Pipeline_Sort!$C451))</f>
        <v/>
      </c>
      <c r="G451" s="0" t="str">
        <f aca="false">IF(Pipeline_Sort!$C451="","",INDEX(Pipeline_Calc!$H$2:$H$5251,Pipeline_Sort!$C451))</f>
        <v/>
      </c>
      <c r="H451" s="0" t="str">
        <f aca="false">IF(Pipeline_Sort!$C451="","",INDEX(Pipeline_Calc!$I$2:$I$5251,Pipeline_Sort!$C451))</f>
        <v/>
      </c>
      <c r="I451" s="0" t="str">
        <f aca="false">IF(Pipeline_Sort!$C451="","",INDEX(Pipeline_Calc!$J$2:$J$5251,Pipeline_Sort!$C451))</f>
        <v/>
      </c>
    </row>
    <row r="452" customFormat="false" ht="15" hidden="false" customHeight="false" outlineLevel="0" collapsed="false">
      <c r="A452" s="33" t="str">
        <f aca="false">IF(Pipeline_Sort!$C452="","",INDEX(Pipeline_Calc!$B$2:$B$5251,Pipeline_Sort!$C452))</f>
        <v/>
      </c>
      <c r="B452" s="0" t="str">
        <f aca="false">IF(Pipeline_Sort!$C452="","",INDEX(Pipeline_Calc!$C$2:$C$5251,Pipeline_Sort!$C452))</f>
        <v/>
      </c>
      <c r="C452" s="0" t="str">
        <f aca="false">IF(Pipeline_Sort!$C452="","",INDEX(Pipeline_Calc!$D$2:$D$5251,Pipeline_Sort!$C452))</f>
        <v/>
      </c>
      <c r="D452" s="0" t="str">
        <f aca="false">IF(Pipeline_Sort!$C452="","",INDEX(Pipeline_Calc!$E$2:$E$5251,Pipeline_Sort!$C452))</f>
        <v/>
      </c>
      <c r="E452" s="0" t="str">
        <f aca="false">IF(Pipeline_Sort!$C452="","",INDEX(Pipeline_Calc!$F$2:$F$5251,Pipeline_Sort!$C452))</f>
        <v/>
      </c>
      <c r="F452" s="0" t="str">
        <f aca="false">IF(Pipeline_Sort!$C452="","",INDEX(Pipeline_Calc!$G$2:$G$5251,Pipeline_Sort!$C452))</f>
        <v/>
      </c>
      <c r="G452" s="0" t="str">
        <f aca="false">IF(Pipeline_Sort!$C452="","",INDEX(Pipeline_Calc!$H$2:$H$5251,Pipeline_Sort!$C452))</f>
        <v/>
      </c>
      <c r="H452" s="0" t="str">
        <f aca="false">IF(Pipeline_Sort!$C452="","",INDEX(Pipeline_Calc!$I$2:$I$5251,Pipeline_Sort!$C452))</f>
        <v/>
      </c>
      <c r="I452" s="0" t="str">
        <f aca="false">IF(Pipeline_Sort!$C452="","",INDEX(Pipeline_Calc!$J$2:$J$5251,Pipeline_Sort!$C452))</f>
        <v/>
      </c>
    </row>
    <row r="453" customFormat="false" ht="15" hidden="false" customHeight="false" outlineLevel="0" collapsed="false">
      <c r="A453" s="33" t="str">
        <f aca="false">IF(Pipeline_Sort!$C453="","",INDEX(Pipeline_Calc!$B$2:$B$5251,Pipeline_Sort!$C453))</f>
        <v/>
      </c>
      <c r="B453" s="0" t="str">
        <f aca="false">IF(Pipeline_Sort!$C453="","",INDEX(Pipeline_Calc!$C$2:$C$5251,Pipeline_Sort!$C453))</f>
        <v/>
      </c>
      <c r="C453" s="0" t="str">
        <f aca="false">IF(Pipeline_Sort!$C453="","",INDEX(Pipeline_Calc!$D$2:$D$5251,Pipeline_Sort!$C453))</f>
        <v/>
      </c>
      <c r="D453" s="0" t="str">
        <f aca="false">IF(Pipeline_Sort!$C453="","",INDEX(Pipeline_Calc!$E$2:$E$5251,Pipeline_Sort!$C453))</f>
        <v/>
      </c>
      <c r="E453" s="0" t="str">
        <f aca="false">IF(Pipeline_Sort!$C453="","",INDEX(Pipeline_Calc!$F$2:$F$5251,Pipeline_Sort!$C453))</f>
        <v/>
      </c>
      <c r="F453" s="0" t="str">
        <f aca="false">IF(Pipeline_Sort!$C453="","",INDEX(Pipeline_Calc!$G$2:$G$5251,Pipeline_Sort!$C453))</f>
        <v/>
      </c>
      <c r="G453" s="0" t="str">
        <f aca="false">IF(Pipeline_Sort!$C453="","",INDEX(Pipeline_Calc!$H$2:$H$5251,Pipeline_Sort!$C453))</f>
        <v/>
      </c>
      <c r="H453" s="0" t="str">
        <f aca="false">IF(Pipeline_Sort!$C453="","",INDEX(Pipeline_Calc!$I$2:$I$5251,Pipeline_Sort!$C453))</f>
        <v/>
      </c>
      <c r="I453" s="0" t="str">
        <f aca="false">IF(Pipeline_Sort!$C453="","",INDEX(Pipeline_Calc!$J$2:$J$5251,Pipeline_Sort!$C453))</f>
        <v/>
      </c>
    </row>
    <row r="454" customFormat="false" ht="15" hidden="false" customHeight="false" outlineLevel="0" collapsed="false">
      <c r="A454" s="33" t="str">
        <f aca="false">IF(Pipeline_Sort!$C454="","",INDEX(Pipeline_Calc!$B$2:$B$5251,Pipeline_Sort!$C454))</f>
        <v/>
      </c>
      <c r="B454" s="0" t="str">
        <f aca="false">IF(Pipeline_Sort!$C454="","",INDEX(Pipeline_Calc!$C$2:$C$5251,Pipeline_Sort!$C454))</f>
        <v/>
      </c>
      <c r="C454" s="0" t="str">
        <f aca="false">IF(Pipeline_Sort!$C454="","",INDEX(Pipeline_Calc!$D$2:$D$5251,Pipeline_Sort!$C454))</f>
        <v/>
      </c>
      <c r="D454" s="0" t="str">
        <f aca="false">IF(Pipeline_Sort!$C454="","",INDEX(Pipeline_Calc!$E$2:$E$5251,Pipeline_Sort!$C454))</f>
        <v/>
      </c>
      <c r="E454" s="0" t="str">
        <f aca="false">IF(Pipeline_Sort!$C454="","",INDEX(Pipeline_Calc!$F$2:$F$5251,Pipeline_Sort!$C454))</f>
        <v/>
      </c>
      <c r="F454" s="0" t="str">
        <f aca="false">IF(Pipeline_Sort!$C454="","",INDEX(Pipeline_Calc!$G$2:$G$5251,Pipeline_Sort!$C454))</f>
        <v/>
      </c>
      <c r="G454" s="0" t="str">
        <f aca="false">IF(Pipeline_Sort!$C454="","",INDEX(Pipeline_Calc!$H$2:$H$5251,Pipeline_Sort!$C454))</f>
        <v/>
      </c>
      <c r="H454" s="0" t="str">
        <f aca="false">IF(Pipeline_Sort!$C454="","",INDEX(Pipeline_Calc!$I$2:$I$5251,Pipeline_Sort!$C454))</f>
        <v/>
      </c>
      <c r="I454" s="0" t="str">
        <f aca="false">IF(Pipeline_Sort!$C454="","",INDEX(Pipeline_Calc!$J$2:$J$5251,Pipeline_Sort!$C454))</f>
        <v/>
      </c>
    </row>
    <row r="455" customFormat="false" ht="15" hidden="false" customHeight="false" outlineLevel="0" collapsed="false">
      <c r="A455" s="33" t="str">
        <f aca="false">IF(Pipeline_Sort!$C455="","",INDEX(Pipeline_Calc!$B$2:$B$5251,Pipeline_Sort!$C455))</f>
        <v/>
      </c>
      <c r="B455" s="0" t="str">
        <f aca="false">IF(Pipeline_Sort!$C455="","",INDEX(Pipeline_Calc!$C$2:$C$5251,Pipeline_Sort!$C455))</f>
        <v/>
      </c>
      <c r="C455" s="0" t="str">
        <f aca="false">IF(Pipeline_Sort!$C455="","",INDEX(Pipeline_Calc!$D$2:$D$5251,Pipeline_Sort!$C455))</f>
        <v/>
      </c>
      <c r="D455" s="0" t="str">
        <f aca="false">IF(Pipeline_Sort!$C455="","",INDEX(Pipeline_Calc!$E$2:$E$5251,Pipeline_Sort!$C455))</f>
        <v/>
      </c>
      <c r="E455" s="0" t="str">
        <f aca="false">IF(Pipeline_Sort!$C455="","",INDEX(Pipeline_Calc!$F$2:$F$5251,Pipeline_Sort!$C455))</f>
        <v/>
      </c>
      <c r="F455" s="0" t="str">
        <f aca="false">IF(Pipeline_Sort!$C455="","",INDEX(Pipeline_Calc!$G$2:$G$5251,Pipeline_Sort!$C455))</f>
        <v/>
      </c>
      <c r="G455" s="0" t="str">
        <f aca="false">IF(Pipeline_Sort!$C455="","",INDEX(Pipeline_Calc!$H$2:$H$5251,Pipeline_Sort!$C455))</f>
        <v/>
      </c>
      <c r="H455" s="0" t="str">
        <f aca="false">IF(Pipeline_Sort!$C455="","",INDEX(Pipeline_Calc!$I$2:$I$5251,Pipeline_Sort!$C455))</f>
        <v/>
      </c>
      <c r="I455" s="0" t="str">
        <f aca="false">IF(Pipeline_Sort!$C455="","",INDEX(Pipeline_Calc!$J$2:$J$5251,Pipeline_Sort!$C455))</f>
        <v/>
      </c>
    </row>
    <row r="456" customFormat="false" ht="15" hidden="false" customHeight="false" outlineLevel="0" collapsed="false">
      <c r="A456" s="33" t="str">
        <f aca="false">IF(Pipeline_Sort!$C456="","",INDEX(Pipeline_Calc!$B$2:$B$5251,Pipeline_Sort!$C456))</f>
        <v/>
      </c>
      <c r="B456" s="0" t="str">
        <f aca="false">IF(Pipeline_Sort!$C456="","",INDEX(Pipeline_Calc!$C$2:$C$5251,Pipeline_Sort!$C456))</f>
        <v/>
      </c>
      <c r="C456" s="0" t="str">
        <f aca="false">IF(Pipeline_Sort!$C456="","",INDEX(Pipeline_Calc!$D$2:$D$5251,Pipeline_Sort!$C456))</f>
        <v/>
      </c>
      <c r="D456" s="0" t="str">
        <f aca="false">IF(Pipeline_Sort!$C456="","",INDEX(Pipeline_Calc!$E$2:$E$5251,Pipeline_Sort!$C456))</f>
        <v/>
      </c>
      <c r="E456" s="0" t="str">
        <f aca="false">IF(Pipeline_Sort!$C456="","",INDEX(Pipeline_Calc!$F$2:$F$5251,Pipeline_Sort!$C456))</f>
        <v/>
      </c>
      <c r="F456" s="0" t="str">
        <f aca="false">IF(Pipeline_Sort!$C456="","",INDEX(Pipeline_Calc!$G$2:$G$5251,Pipeline_Sort!$C456))</f>
        <v/>
      </c>
      <c r="G456" s="0" t="str">
        <f aca="false">IF(Pipeline_Sort!$C456="","",INDEX(Pipeline_Calc!$H$2:$H$5251,Pipeline_Sort!$C456))</f>
        <v/>
      </c>
      <c r="H456" s="0" t="str">
        <f aca="false">IF(Pipeline_Sort!$C456="","",INDEX(Pipeline_Calc!$I$2:$I$5251,Pipeline_Sort!$C456))</f>
        <v/>
      </c>
      <c r="I456" s="0" t="str">
        <f aca="false">IF(Pipeline_Sort!$C456="","",INDEX(Pipeline_Calc!$J$2:$J$5251,Pipeline_Sort!$C456))</f>
        <v/>
      </c>
    </row>
    <row r="457" customFormat="false" ht="15" hidden="false" customHeight="false" outlineLevel="0" collapsed="false">
      <c r="A457" s="33" t="str">
        <f aca="false">IF(Pipeline_Sort!$C457="","",INDEX(Pipeline_Calc!$B$2:$B$5251,Pipeline_Sort!$C457))</f>
        <v/>
      </c>
      <c r="B457" s="0" t="str">
        <f aca="false">IF(Pipeline_Sort!$C457="","",INDEX(Pipeline_Calc!$C$2:$C$5251,Pipeline_Sort!$C457))</f>
        <v/>
      </c>
      <c r="C457" s="0" t="str">
        <f aca="false">IF(Pipeline_Sort!$C457="","",INDEX(Pipeline_Calc!$D$2:$D$5251,Pipeline_Sort!$C457))</f>
        <v/>
      </c>
      <c r="D457" s="0" t="str">
        <f aca="false">IF(Pipeline_Sort!$C457="","",INDEX(Pipeline_Calc!$E$2:$E$5251,Pipeline_Sort!$C457))</f>
        <v/>
      </c>
      <c r="E457" s="0" t="str">
        <f aca="false">IF(Pipeline_Sort!$C457="","",INDEX(Pipeline_Calc!$F$2:$F$5251,Pipeline_Sort!$C457))</f>
        <v/>
      </c>
      <c r="F457" s="0" t="str">
        <f aca="false">IF(Pipeline_Sort!$C457="","",INDEX(Pipeline_Calc!$G$2:$G$5251,Pipeline_Sort!$C457))</f>
        <v/>
      </c>
      <c r="G457" s="0" t="str">
        <f aca="false">IF(Pipeline_Sort!$C457="","",INDEX(Pipeline_Calc!$H$2:$H$5251,Pipeline_Sort!$C457))</f>
        <v/>
      </c>
      <c r="H457" s="0" t="str">
        <f aca="false">IF(Pipeline_Sort!$C457="","",INDEX(Pipeline_Calc!$I$2:$I$5251,Pipeline_Sort!$C457))</f>
        <v/>
      </c>
      <c r="I457" s="0" t="str">
        <f aca="false">IF(Pipeline_Sort!$C457="","",INDEX(Pipeline_Calc!$J$2:$J$5251,Pipeline_Sort!$C457))</f>
        <v/>
      </c>
    </row>
    <row r="458" customFormat="false" ht="15" hidden="false" customHeight="false" outlineLevel="0" collapsed="false">
      <c r="A458" s="33" t="str">
        <f aca="false">IF(Pipeline_Sort!$C458="","",INDEX(Pipeline_Calc!$B$2:$B$5251,Pipeline_Sort!$C458))</f>
        <v/>
      </c>
      <c r="B458" s="0" t="str">
        <f aca="false">IF(Pipeline_Sort!$C458="","",INDEX(Pipeline_Calc!$C$2:$C$5251,Pipeline_Sort!$C458))</f>
        <v/>
      </c>
      <c r="C458" s="0" t="str">
        <f aca="false">IF(Pipeline_Sort!$C458="","",INDEX(Pipeline_Calc!$D$2:$D$5251,Pipeline_Sort!$C458))</f>
        <v/>
      </c>
      <c r="D458" s="0" t="str">
        <f aca="false">IF(Pipeline_Sort!$C458="","",INDEX(Pipeline_Calc!$E$2:$E$5251,Pipeline_Sort!$C458))</f>
        <v/>
      </c>
      <c r="E458" s="0" t="str">
        <f aca="false">IF(Pipeline_Sort!$C458="","",INDEX(Pipeline_Calc!$F$2:$F$5251,Pipeline_Sort!$C458))</f>
        <v/>
      </c>
      <c r="F458" s="0" t="str">
        <f aca="false">IF(Pipeline_Sort!$C458="","",INDEX(Pipeline_Calc!$G$2:$G$5251,Pipeline_Sort!$C458))</f>
        <v/>
      </c>
      <c r="G458" s="0" t="str">
        <f aca="false">IF(Pipeline_Sort!$C458="","",INDEX(Pipeline_Calc!$H$2:$H$5251,Pipeline_Sort!$C458))</f>
        <v/>
      </c>
      <c r="H458" s="0" t="str">
        <f aca="false">IF(Pipeline_Sort!$C458="","",INDEX(Pipeline_Calc!$I$2:$I$5251,Pipeline_Sort!$C458))</f>
        <v/>
      </c>
      <c r="I458" s="0" t="str">
        <f aca="false">IF(Pipeline_Sort!$C458="","",INDEX(Pipeline_Calc!$J$2:$J$5251,Pipeline_Sort!$C458))</f>
        <v/>
      </c>
    </row>
    <row r="459" customFormat="false" ht="15" hidden="false" customHeight="false" outlineLevel="0" collapsed="false">
      <c r="A459" s="33" t="str">
        <f aca="false">IF(Pipeline_Sort!$C459="","",INDEX(Pipeline_Calc!$B$2:$B$5251,Pipeline_Sort!$C459))</f>
        <v/>
      </c>
      <c r="B459" s="0" t="str">
        <f aca="false">IF(Pipeline_Sort!$C459="","",INDEX(Pipeline_Calc!$C$2:$C$5251,Pipeline_Sort!$C459))</f>
        <v/>
      </c>
      <c r="C459" s="0" t="str">
        <f aca="false">IF(Pipeline_Sort!$C459="","",INDEX(Pipeline_Calc!$D$2:$D$5251,Pipeline_Sort!$C459))</f>
        <v/>
      </c>
      <c r="D459" s="0" t="str">
        <f aca="false">IF(Pipeline_Sort!$C459="","",INDEX(Pipeline_Calc!$E$2:$E$5251,Pipeline_Sort!$C459))</f>
        <v/>
      </c>
      <c r="E459" s="0" t="str">
        <f aca="false">IF(Pipeline_Sort!$C459="","",INDEX(Pipeline_Calc!$F$2:$F$5251,Pipeline_Sort!$C459))</f>
        <v/>
      </c>
      <c r="F459" s="0" t="str">
        <f aca="false">IF(Pipeline_Sort!$C459="","",INDEX(Pipeline_Calc!$G$2:$G$5251,Pipeline_Sort!$C459))</f>
        <v/>
      </c>
      <c r="G459" s="0" t="str">
        <f aca="false">IF(Pipeline_Sort!$C459="","",INDEX(Pipeline_Calc!$H$2:$H$5251,Pipeline_Sort!$C459))</f>
        <v/>
      </c>
      <c r="H459" s="0" t="str">
        <f aca="false">IF(Pipeline_Sort!$C459="","",INDEX(Pipeline_Calc!$I$2:$I$5251,Pipeline_Sort!$C459))</f>
        <v/>
      </c>
      <c r="I459" s="0" t="str">
        <f aca="false">IF(Pipeline_Sort!$C459="","",INDEX(Pipeline_Calc!$J$2:$J$5251,Pipeline_Sort!$C459))</f>
        <v/>
      </c>
    </row>
    <row r="460" customFormat="false" ht="15" hidden="false" customHeight="false" outlineLevel="0" collapsed="false">
      <c r="A460" s="33" t="str">
        <f aca="false">IF(Pipeline_Sort!$C460="","",INDEX(Pipeline_Calc!$B$2:$B$5251,Pipeline_Sort!$C460))</f>
        <v/>
      </c>
      <c r="B460" s="0" t="str">
        <f aca="false">IF(Pipeline_Sort!$C460="","",INDEX(Pipeline_Calc!$C$2:$C$5251,Pipeline_Sort!$C460))</f>
        <v/>
      </c>
      <c r="C460" s="0" t="str">
        <f aca="false">IF(Pipeline_Sort!$C460="","",INDEX(Pipeline_Calc!$D$2:$D$5251,Pipeline_Sort!$C460))</f>
        <v/>
      </c>
      <c r="D460" s="0" t="str">
        <f aca="false">IF(Pipeline_Sort!$C460="","",INDEX(Pipeline_Calc!$E$2:$E$5251,Pipeline_Sort!$C460))</f>
        <v/>
      </c>
      <c r="E460" s="0" t="str">
        <f aca="false">IF(Pipeline_Sort!$C460="","",INDEX(Pipeline_Calc!$F$2:$F$5251,Pipeline_Sort!$C460))</f>
        <v/>
      </c>
      <c r="F460" s="0" t="str">
        <f aca="false">IF(Pipeline_Sort!$C460="","",INDEX(Pipeline_Calc!$G$2:$G$5251,Pipeline_Sort!$C460))</f>
        <v/>
      </c>
      <c r="G460" s="0" t="str">
        <f aca="false">IF(Pipeline_Sort!$C460="","",INDEX(Pipeline_Calc!$H$2:$H$5251,Pipeline_Sort!$C460))</f>
        <v/>
      </c>
      <c r="H460" s="0" t="str">
        <f aca="false">IF(Pipeline_Sort!$C460="","",INDEX(Pipeline_Calc!$I$2:$I$5251,Pipeline_Sort!$C460))</f>
        <v/>
      </c>
      <c r="I460" s="0" t="str">
        <f aca="false">IF(Pipeline_Sort!$C460="","",INDEX(Pipeline_Calc!$J$2:$J$5251,Pipeline_Sort!$C460))</f>
        <v/>
      </c>
    </row>
    <row r="461" customFormat="false" ht="15" hidden="false" customHeight="false" outlineLevel="0" collapsed="false">
      <c r="A461" s="33" t="str">
        <f aca="false">IF(Pipeline_Sort!$C461="","",INDEX(Pipeline_Calc!$B$2:$B$5251,Pipeline_Sort!$C461))</f>
        <v/>
      </c>
      <c r="B461" s="0" t="str">
        <f aca="false">IF(Pipeline_Sort!$C461="","",INDEX(Pipeline_Calc!$C$2:$C$5251,Pipeline_Sort!$C461))</f>
        <v/>
      </c>
      <c r="C461" s="0" t="str">
        <f aca="false">IF(Pipeline_Sort!$C461="","",INDEX(Pipeline_Calc!$D$2:$D$5251,Pipeline_Sort!$C461))</f>
        <v/>
      </c>
      <c r="D461" s="0" t="str">
        <f aca="false">IF(Pipeline_Sort!$C461="","",INDEX(Pipeline_Calc!$E$2:$E$5251,Pipeline_Sort!$C461))</f>
        <v/>
      </c>
      <c r="E461" s="0" t="str">
        <f aca="false">IF(Pipeline_Sort!$C461="","",INDEX(Pipeline_Calc!$F$2:$F$5251,Pipeline_Sort!$C461))</f>
        <v/>
      </c>
      <c r="F461" s="0" t="str">
        <f aca="false">IF(Pipeline_Sort!$C461="","",INDEX(Pipeline_Calc!$G$2:$G$5251,Pipeline_Sort!$C461))</f>
        <v/>
      </c>
      <c r="G461" s="0" t="str">
        <f aca="false">IF(Pipeline_Sort!$C461="","",INDEX(Pipeline_Calc!$H$2:$H$5251,Pipeline_Sort!$C461))</f>
        <v/>
      </c>
      <c r="H461" s="0" t="str">
        <f aca="false">IF(Pipeline_Sort!$C461="","",INDEX(Pipeline_Calc!$I$2:$I$5251,Pipeline_Sort!$C461))</f>
        <v/>
      </c>
      <c r="I461" s="0" t="str">
        <f aca="false">IF(Pipeline_Sort!$C461="","",INDEX(Pipeline_Calc!$J$2:$J$5251,Pipeline_Sort!$C461))</f>
        <v/>
      </c>
    </row>
    <row r="462" customFormat="false" ht="15" hidden="false" customHeight="false" outlineLevel="0" collapsed="false">
      <c r="A462" s="33" t="str">
        <f aca="false">IF(Pipeline_Sort!$C462="","",INDEX(Pipeline_Calc!$B$2:$B$5251,Pipeline_Sort!$C462))</f>
        <v/>
      </c>
      <c r="B462" s="0" t="str">
        <f aca="false">IF(Pipeline_Sort!$C462="","",INDEX(Pipeline_Calc!$C$2:$C$5251,Pipeline_Sort!$C462))</f>
        <v/>
      </c>
      <c r="C462" s="0" t="str">
        <f aca="false">IF(Pipeline_Sort!$C462="","",INDEX(Pipeline_Calc!$D$2:$D$5251,Pipeline_Sort!$C462))</f>
        <v/>
      </c>
      <c r="D462" s="0" t="str">
        <f aca="false">IF(Pipeline_Sort!$C462="","",INDEX(Pipeline_Calc!$E$2:$E$5251,Pipeline_Sort!$C462))</f>
        <v/>
      </c>
      <c r="E462" s="0" t="str">
        <f aca="false">IF(Pipeline_Sort!$C462="","",INDEX(Pipeline_Calc!$F$2:$F$5251,Pipeline_Sort!$C462))</f>
        <v/>
      </c>
      <c r="F462" s="0" t="str">
        <f aca="false">IF(Pipeline_Sort!$C462="","",INDEX(Pipeline_Calc!$G$2:$G$5251,Pipeline_Sort!$C462))</f>
        <v/>
      </c>
      <c r="G462" s="0" t="str">
        <f aca="false">IF(Pipeline_Sort!$C462="","",INDEX(Pipeline_Calc!$H$2:$H$5251,Pipeline_Sort!$C462))</f>
        <v/>
      </c>
      <c r="H462" s="0" t="str">
        <f aca="false">IF(Pipeline_Sort!$C462="","",INDEX(Pipeline_Calc!$I$2:$I$5251,Pipeline_Sort!$C462))</f>
        <v/>
      </c>
      <c r="I462" s="0" t="str">
        <f aca="false">IF(Pipeline_Sort!$C462="","",INDEX(Pipeline_Calc!$J$2:$J$5251,Pipeline_Sort!$C462))</f>
        <v/>
      </c>
    </row>
    <row r="463" customFormat="false" ht="15" hidden="false" customHeight="false" outlineLevel="0" collapsed="false">
      <c r="A463" s="33" t="str">
        <f aca="false">IF(Pipeline_Sort!$C463="","",INDEX(Pipeline_Calc!$B$2:$B$5251,Pipeline_Sort!$C463))</f>
        <v/>
      </c>
      <c r="B463" s="0" t="str">
        <f aca="false">IF(Pipeline_Sort!$C463="","",INDEX(Pipeline_Calc!$C$2:$C$5251,Pipeline_Sort!$C463))</f>
        <v/>
      </c>
      <c r="C463" s="0" t="str">
        <f aca="false">IF(Pipeline_Sort!$C463="","",INDEX(Pipeline_Calc!$D$2:$D$5251,Pipeline_Sort!$C463))</f>
        <v/>
      </c>
      <c r="D463" s="0" t="str">
        <f aca="false">IF(Pipeline_Sort!$C463="","",INDEX(Pipeline_Calc!$E$2:$E$5251,Pipeline_Sort!$C463))</f>
        <v/>
      </c>
      <c r="E463" s="0" t="str">
        <f aca="false">IF(Pipeline_Sort!$C463="","",INDEX(Pipeline_Calc!$F$2:$F$5251,Pipeline_Sort!$C463))</f>
        <v/>
      </c>
      <c r="F463" s="0" t="str">
        <f aca="false">IF(Pipeline_Sort!$C463="","",INDEX(Pipeline_Calc!$G$2:$G$5251,Pipeline_Sort!$C463))</f>
        <v/>
      </c>
      <c r="G463" s="0" t="str">
        <f aca="false">IF(Pipeline_Sort!$C463="","",INDEX(Pipeline_Calc!$H$2:$H$5251,Pipeline_Sort!$C463))</f>
        <v/>
      </c>
      <c r="H463" s="0" t="str">
        <f aca="false">IF(Pipeline_Sort!$C463="","",INDEX(Pipeline_Calc!$I$2:$I$5251,Pipeline_Sort!$C463))</f>
        <v/>
      </c>
      <c r="I463" s="0" t="str">
        <f aca="false">IF(Pipeline_Sort!$C463="","",INDEX(Pipeline_Calc!$J$2:$J$5251,Pipeline_Sort!$C463))</f>
        <v/>
      </c>
    </row>
    <row r="464" customFormat="false" ht="15" hidden="false" customHeight="false" outlineLevel="0" collapsed="false">
      <c r="A464" s="33" t="str">
        <f aca="false">IF(Pipeline_Sort!$C464="","",INDEX(Pipeline_Calc!$B$2:$B$5251,Pipeline_Sort!$C464))</f>
        <v/>
      </c>
      <c r="B464" s="0" t="str">
        <f aca="false">IF(Pipeline_Sort!$C464="","",INDEX(Pipeline_Calc!$C$2:$C$5251,Pipeline_Sort!$C464))</f>
        <v/>
      </c>
      <c r="C464" s="0" t="str">
        <f aca="false">IF(Pipeline_Sort!$C464="","",INDEX(Pipeline_Calc!$D$2:$D$5251,Pipeline_Sort!$C464))</f>
        <v/>
      </c>
      <c r="D464" s="0" t="str">
        <f aca="false">IF(Pipeline_Sort!$C464="","",INDEX(Pipeline_Calc!$E$2:$E$5251,Pipeline_Sort!$C464))</f>
        <v/>
      </c>
      <c r="E464" s="0" t="str">
        <f aca="false">IF(Pipeline_Sort!$C464="","",INDEX(Pipeline_Calc!$F$2:$F$5251,Pipeline_Sort!$C464))</f>
        <v/>
      </c>
      <c r="F464" s="0" t="str">
        <f aca="false">IF(Pipeline_Sort!$C464="","",INDEX(Pipeline_Calc!$G$2:$G$5251,Pipeline_Sort!$C464))</f>
        <v/>
      </c>
      <c r="G464" s="0" t="str">
        <f aca="false">IF(Pipeline_Sort!$C464="","",INDEX(Pipeline_Calc!$H$2:$H$5251,Pipeline_Sort!$C464))</f>
        <v/>
      </c>
      <c r="H464" s="0" t="str">
        <f aca="false">IF(Pipeline_Sort!$C464="","",INDEX(Pipeline_Calc!$I$2:$I$5251,Pipeline_Sort!$C464))</f>
        <v/>
      </c>
      <c r="I464" s="0" t="str">
        <f aca="false">IF(Pipeline_Sort!$C464="","",INDEX(Pipeline_Calc!$J$2:$J$5251,Pipeline_Sort!$C464))</f>
        <v/>
      </c>
    </row>
    <row r="465" customFormat="false" ht="15" hidden="false" customHeight="false" outlineLevel="0" collapsed="false">
      <c r="A465" s="33" t="str">
        <f aca="false">IF(Pipeline_Sort!$C465="","",INDEX(Pipeline_Calc!$B$2:$B$5251,Pipeline_Sort!$C465))</f>
        <v/>
      </c>
      <c r="B465" s="0" t="str">
        <f aca="false">IF(Pipeline_Sort!$C465="","",INDEX(Pipeline_Calc!$C$2:$C$5251,Pipeline_Sort!$C465))</f>
        <v/>
      </c>
      <c r="C465" s="0" t="str">
        <f aca="false">IF(Pipeline_Sort!$C465="","",INDEX(Pipeline_Calc!$D$2:$D$5251,Pipeline_Sort!$C465))</f>
        <v/>
      </c>
      <c r="D465" s="0" t="str">
        <f aca="false">IF(Pipeline_Sort!$C465="","",INDEX(Pipeline_Calc!$E$2:$E$5251,Pipeline_Sort!$C465))</f>
        <v/>
      </c>
      <c r="E465" s="0" t="str">
        <f aca="false">IF(Pipeline_Sort!$C465="","",INDEX(Pipeline_Calc!$F$2:$F$5251,Pipeline_Sort!$C465))</f>
        <v/>
      </c>
      <c r="F465" s="0" t="str">
        <f aca="false">IF(Pipeline_Sort!$C465="","",INDEX(Pipeline_Calc!$G$2:$G$5251,Pipeline_Sort!$C465))</f>
        <v/>
      </c>
      <c r="G465" s="0" t="str">
        <f aca="false">IF(Pipeline_Sort!$C465="","",INDEX(Pipeline_Calc!$H$2:$H$5251,Pipeline_Sort!$C465))</f>
        <v/>
      </c>
      <c r="H465" s="0" t="str">
        <f aca="false">IF(Pipeline_Sort!$C465="","",INDEX(Pipeline_Calc!$I$2:$I$5251,Pipeline_Sort!$C465))</f>
        <v/>
      </c>
      <c r="I465" s="0" t="str">
        <f aca="false">IF(Pipeline_Sort!$C465="","",INDEX(Pipeline_Calc!$J$2:$J$5251,Pipeline_Sort!$C465))</f>
        <v/>
      </c>
    </row>
    <row r="466" customFormat="false" ht="15" hidden="false" customHeight="false" outlineLevel="0" collapsed="false">
      <c r="A466" s="33" t="str">
        <f aca="false">IF(Pipeline_Sort!$C466="","",INDEX(Pipeline_Calc!$B$2:$B$5251,Pipeline_Sort!$C466))</f>
        <v/>
      </c>
      <c r="B466" s="0" t="str">
        <f aca="false">IF(Pipeline_Sort!$C466="","",INDEX(Pipeline_Calc!$C$2:$C$5251,Pipeline_Sort!$C466))</f>
        <v/>
      </c>
      <c r="C466" s="0" t="str">
        <f aca="false">IF(Pipeline_Sort!$C466="","",INDEX(Pipeline_Calc!$D$2:$D$5251,Pipeline_Sort!$C466))</f>
        <v/>
      </c>
      <c r="D466" s="0" t="str">
        <f aca="false">IF(Pipeline_Sort!$C466="","",INDEX(Pipeline_Calc!$E$2:$E$5251,Pipeline_Sort!$C466))</f>
        <v/>
      </c>
      <c r="E466" s="0" t="str">
        <f aca="false">IF(Pipeline_Sort!$C466="","",INDEX(Pipeline_Calc!$F$2:$F$5251,Pipeline_Sort!$C466))</f>
        <v/>
      </c>
      <c r="F466" s="0" t="str">
        <f aca="false">IF(Pipeline_Sort!$C466="","",INDEX(Pipeline_Calc!$G$2:$G$5251,Pipeline_Sort!$C466))</f>
        <v/>
      </c>
      <c r="G466" s="0" t="str">
        <f aca="false">IF(Pipeline_Sort!$C466="","",INDEX(Pipeline_Calc!$H$2:$H$5251,Pipeline_Sort!$C466))</f>
        <v/>
      </c>
      <c r="H466" s="0" t="str">
        <f aca="false">IF(Pipeline_Sort!$C466="","",INDEX(Pipeline_Calc!$I$2:$I$5251,Pipeline_Sort!$C466))</f>
        <v/>
      </c>
      <c r="I466" s="0" t="str">
        <f aca="false">IF(Pipeline_Sort!$C466="","",INDEX(Pipeline_Calc!$J$2:$J$5251,Pipeline_Sort!$C466))</f>
        <v/>
      </c>
    </row>
    <row r="467" customFormat="false" ht="15" hidden="false" customHeight="false" outlineLevel="0" collapsed="false">
      <c r="A467" s="33" t="str">
        <f aca="false">IF(Pipeline_Sort!$C467="","",INDEX(Pipeline_Calc!$B$2:$B$5251,Pipeline_Sort!$C467))</f>
        <v/>
      </c>
      <c r="B467" s="0" t="str">
        <f aca="false">IF(Pipeline_Sort!$C467="","",INDEX(Pipeline_Calc!$C$2:$C$5251,Pipeline_Sort!$C467))</f>
        <v/>
      </c>
      <c r="C467" s="0" t="str">
        <f aca="false">IF(Pipeline_Sort!$C467="","",INDEX(Pipeline_Calc!$D$2:$D$5251,Pipeline_Sort!$C467))</f>
        <v/>
      </c>
      <c r="D467" s="0" t="str">
        <f aca="false">IF(Pipeline_Sort!$C467="","",INDEX(Pipeline_Calc!$E$2:$E$5251,Pipeline_Sort!$C467))</f>
        <v/>
      </c>
      <c r="E467" s="0" t="str">
        <f aca="false">IF(Pipeline_Sort!$C467="","",INDEX(Pipeline_Calc!$F$2:$F$5251,Pipeline_Sort!$C467))</f>
        <v/>
      </c>
      <c r="F467" s="0" t="str">
        <f aca="false">IF(Pipeline_Sort!$C467="","",INDEX(Pipeline_Calc!$G$2:$G$5251,Pipeline_Sort!$C467))</f>
        <v/>
      </c>
      <c r="G467" s="0" t="str">
        <f aca="false">IF(Pipeline_Sort!$C467="","",INDEX(Pipeline_Calc!$H$2:$H$5251,Pipeline_Sort!$C467))</f>
        <v/>
      </c>
      <c r="H467" s="0" t="str">
        <f aca="false">IF(Pipeline_Sort!$C467="","",INDEX(Pipeline_Calc!$I$2:$I$5251,Pipeline_Sort!$C467))</f>
        <v/>
      </c>
      <c r="I467" s="0" t="str">
        <f aca="false">IF(Pipeline_Sort!$C467="","",INDEX(Pipeline_Calc!$J$2:$J$5251,Pipeline_Sort!$C467))</f>
        <v/>
      </c>
    </row>
    <row r="468" customFormat="false" ht="15" hidden="false" customHeight="false" outlineLevel="0" collapsed="false">
      <c r="A468" s="33" t="str">
        <f aca="false">IF(Pipeline_Sort!$C468="","",INDEX(Pipeline_Calc!$B$2:$B$5251,Pipeline_Sort!$C468))</f>
        <v/>
      </c>
      <c r="B468" s="0" t="str">
        <f aca="false">IF(Pipeline_Sort!$C468="","",INDEX(Pipeline_Calc!$C$2:$C$5251,Pipeline_Sort!$C468))</f>
        <v/>
      </c>
      <c r="C468" s="0" t="str">
        <f aca="false">IF(Pipeline_Sort!$C468="","",INDEX(Pipeline_Calc!$D$2:$D$5251,Pipeline_Sort!$C468))</f>
        <v/>
      </c>
      <c r="D468" s="0" t="str">
        <f aca="false">IF(Pipeline_Sort!$C468="","",INDEX(Pipeline_Calc!$E$2:$E$5251,Pipeline_Sort!$C468))</f>
        <v/>
      </c>
      <c r="E468" s="0" t="str">
        <f aca="false">IF(Pipeline_Sort!$C468="","",INDEX(Pipeline_Calc!$F$2:$F$5251,Pipeline_Sort!$C468))</f>
        <v/>
      </c>
      <c r="F468" s="0" t="str">
        <f aca="false">IF(Pipeline_Sort!$C468="","",INDEX(Pipeline_Calc!$G$2:$G$5251,Pipeline_Sort!$C468))</f>
        <v/>
      </c>
      <c r="G468" s="0" t="str">
        <f aca="false">IF(Pipeline_Sort!$C468="","",INDEX(Pipeline_Calc!$H$2:$H$5251,Pipeline_Sort!$C468))</f>
        <v/>
      </c>
      <c r="H468" s="0" t="str">
        <f aca="false">IF(Pipeline_Sort!$C468="","",INDEX(Pipeline_Calc!$I$2:$I$5251,Pipeline_Sort!$C468))</f>
        <v/>
      </c>
      <c r="I468" s="0" t="str">
        <f aca="false">IF(Pipeline_Sort!$C468="","",INDEX(Pipeline_Calc!$J$2:$J$5251,Pipeline_Sort!$C468))</f>
        <v/>
      </c>
    </row>
    <row r="469" customFormat="false" ht="15" hidden="false" customHeight="false" outlineLevel="0" collapsed="false">
      <c r="A469" s="33" t="str">
        <f aca="false">IF(Pipeline_Sort!$C469="","",INDEX(Pipeline_Calc!$B$2:$B$5251,Pipeline_Sort!$C469))</f>
        <v/>
      </c>
      <c r="B469" s="0" t="str">
        <f aca="false">IF(Pipeline_Sort!$C469="","",INDEX(Pipeline_Calc!$C$2:$C$5251,Pipeline_Sort!$C469))</f>
        <v/>
      </c>
      <c r="C469" s="0" t="str">
        <f aca="false">IF(Pipeline_Sort!$C469="","",INDEX(Pipeline_Calc!$D$2:$D$5251,Pipeline_Sort!$C469))</f>
        <v/>
      </c>
      <c r="D469" s="0" t="str">
        <f aca="false">IF(Pipeline_Sort!$C469="","",INDEX(Pipeline_Calc!$E$2:$E$5251,Pipeline_Sort!$C469))</f>
        <v/>
      </c>
      <c r="E469" s="0" t="str">
        <f aca="false">IF(Pipeline_Sort!$C469="","",INDEX(Pipeline_Calc!$F$2:$F$5251,Pipeline_Sort!$C469))</f>
        <v/>
      </c>
      <c r="F469" s="0" t="str">
        <f aca="false">IF(Pipeline_Sort!$C469="","",INDEX(Pipeline_Calc!$G$2:$G$5251,Pipeline_Sort!$C469))</f>
        <v/>
      </c>
      <c r="G469" s="0" t="str">
        <f aca="false">IF(Pipeline_Sort!$C469="","",INDEX(Pipeline_Calc!$H$2:$H$5251,Pipeline_Sort!$C469))</f>
        <v/>
      </c>
      <c r="H469" s="0" t="str">
        <f aca="false">IF(Pipeline_Sort!$C469="","",INDEX(Pipeline_Calc!$I$2:$I$5251,Pipeline_Sort!$C469))</f>
        <v/>
      </c>
      <c r="I469" s="0" t="str">
        <f aca="false">IF(Pipeline_Sort!$C469="","",INDEX(Pipeline_Calc!$J$2:$J$5251,Pipeline_Sort!$C469))</f>
        <v/>
      </c>
    </row>
    <row r="470" customFormat="false" ht="15" hidden="false" customHeight="false" outlineLevel="0" collapsed="false">
      <c r="A470" s="33" t="str">
        <f aca="false">IF(Pipeline_Sort!$C470="","",INDEX(Pipeline_Calc!$B$2:$B$5251,Pipeline_Sort!$C470))</f>
        <v/>
      </c>
      <c r="B470" s="0" t="str">
        <f aca="false">IF(Pipeline_Sort!$C470="","",INDEX(Pipeline_Calc!$C$2:$C$5251,Pipeline_Sort!$C470))</f>
        <v/>
      </c>
      <c r="C470" s="0" t="str">
        <f aca="false">IF(Pipeline_Sort!$C470="","",INDEX(Pipeline_Calc!$D$2:$D$5251,Pipeline_Sort!$C470))</f>
        <v/>
      </c>
      <c r="D470" s="0" t="str">
        <f aca="false">IF(Pipeline_Sort!$C470="","",INDEX(Pipeline_Calc!$E$2:$E$5251,Pipeline_Sort!$C470))</f>
        <v/>
      </c>
      <c r="E470" s="0" t="str">
        <f aca="false">IF(Pipeline_Sort!$C470="","",INDEX(Pipeline_Calc!$F$2:$F$5251,Pipeline_Sort!$C470))</f>
        <v/>
      </c>
      <c r="F470" s="0" t="str">
        <f aca="false">IF(Pipeline_Sort!$C470="","",INDEX(Pipeline_Calc!$G$2:$G$5251,Pipeline_Sort!$C470))</f>
        <v/>
      </c>
      <c r="G470" s="0" t="str">
        <f aca="false">IF(Pipeline_Sort!$C470="","",INDEX(Pipeline_Calc!$H$2:$H$5251,Pipeline_Sort!$C470))</f>
        <v/>
      </c>
      <c r="H470" s="0" t="str">
        <f aca="false">IF(Pipeline_Sort!$C470="","",INDEX(Pipeline_Calc!$I$2:$I$5251,Pipeline_Sort!$C470))</f>
        <v/>
      </c>
      <c r="I470" s="0" t="str">
        <f aca="false">IF(Pipeline_Sort!$C470="","",INDEX(Pipeline_Calc!$J$2:$J$5251,Pipeline_Sort!$C470))</f>
        <v/>
      </c>
    </row>
    <row r="471" customFormat="false" ht="15" hidden="false" customHeight="false" outlineLevel="0" collapsed="false">
      <c r="A471" s="33" t="str">
        <f aca="false">IF(Pipeline_Sort!$C471="","",INDEX(Pipeline_Calc!$B$2:$B$5251,Pipeline_Sort!$C471))</f>
        <v/>
      </c>
      <c r="B471" s="0" t="str">
        <f aca="false">IF(Pipeline_Sort!$C471="","",INDEX(Pipeline_Calc!$C$2:$C$5251,Pipeline_Sort!$C471))</f>
        <v/>
      </c>
      <c r="C471" s="0" t="str">
        <f aca="false">IF(Pipeline_Sort!$C471="","",INDEX(Pipeline_Calc!$D$2:$D$5251,Pipeline_Sort!$C471))</f>
        <v/>
      </c>
      <c r="D471" s="0" t="str">
        <f aca="false">IF(Pipeline_Sort!$C471="","",INDEX(Pipeline_Calc!$E$2:$E$5251,Pipeline_Sort!$C471))</f>
        <v/>
      </c>
      <c r="E471" s="0" t="str">
        <f aca="false">IF(Pipeline_Sort!$C471="","",INDEX(Pipeline_Calc!$F$2:$F$5251,Pipeline_Sort!$C471))</f>
        <v/>
      </c>
      <c r="F471" s="0" t="str">
        <f aca="false">IF(Pipeline_Sort!$C471="","",INDEX(Pipeline_Calc!$G$2:$G$5251,Pipeline_Sort!$C471))</f>
        <v/>
      </c>
      <c r="G471" s="0" t="str">
        <f aca="false">IF(Pipeline_Sort!$C471="","",INDEX(Pipeline_Calc!$H$2:$H$5251,Pipeline_Sort!$C471))</f>
        <v/>
      </c>
      <c r="H471" s="0" t="str">
        <f aca="false">IF(Pipeline_Sort!$C471="","",INDEX(Pipeline_Calc!$I$2:$I$5251,Pipeline_Sort!$C471))</f>
        <v/>
      </c>
      <c r="I471" s="0" t="str">
        <f aca="false">IF(Pipeline_Sort!$C471="","",INDEX(Pipeline_Calc!$J$2:$J$5251,Pipeline_Sort!$C471))</f>
        <v/>
      </c>
    </row>
    <row r="472" customFormat="false" ht="15" hidden="false" customHeight="false" outlineLevel="0" collapsed="false">
      <c r="A472" s="33" t="str">
        <f aca="false">IF(Pipeline_Sort!$C472="","",INDEX(Pipeline_Calc!$B$2:$B$5251,Pipeline_Sort!$C472))</f>
        <v/>
      </c>
      <c r="B472" s="0" t="str">
        <f aca="false">IF(Pipeline_Sort!$C472="","",INDEX(Pipeline_Calc!$C$2:$C$5251,Pipeline_Sort!$C472))</f>
        <v/>
      </c>
      <c r="C472" s="0" t="str">
        <f aca="false">IF(Pipeline_Sort!$C472="","",INDEX(Pipeline_Calc!$D$2:$D$5251,Pipeline_Sort!$C472))</f>
        <v/>
      </c>
      <c r="D472" s="0" t="str">
        <f aca="false">IF(Pipeline_Sort!$C472="","",INDEX(Pipeline_Calc!$E$2:$E$5251,Pipeline_Sort!$C472))</f>
        <v/>
      </c>
      <c r="E472" s="0" t="str">
        <f aca="false">IF(Pipeline_Sort!$C472="","",INDEX(Pipeline_Calc!$F$2:$F$5251,Pipeline_Sort!$C472))</f>
        <v/>
      </c>
      <c r="F472" s="0" t="str">
        <f aca="false">IF(Pipeline_Sort!$C472="","",INDEX(Pipeline_Calc!$G$2:$G$5251,Pipeline_Sort!$C472))</f>
        <v/>
      </c>
      <c r="G472" s="0" t="str">
        <f aca="false">IF(Pipeline_Sort!$C472="","",INDEX(Pipeline_Calc!$H$2:$H$5251,Pipeline_Sort!$C472))</f>
        <v/>
      </c>
      <c r="H472" s="0" t="str">
        <f aca="false">IF(Pipeline_Sort!$C472="","",INDEX(Pipeline_Calc!$I$2:$I$5251,Pipeline_Sort!$C472))</f>
        <v/>
      </c>
      <c r="I472" s="0" t="str">
        <f aca="false">IF(Pipeline_Sort!$C472="","",INDEX(Pipeline_Calc!$J$2:$J$5251,Pipeline_Sort!$C472))</f>
        <v/>
      </c>
    </row>
    <row r="473" customFormat="false" ht="15" hidden="false" customHeight="false" outlineLevel="0" collapsed="false">
      <c r="A473" s="33" t="str">
        <f aca="false">IF(Pipeline_Sort!$C473="","",INDEX(Pipeline_Calc!$B$2:$B$5251,Pipeline_Sort!$C473))</f>
        <v/>
      </c>
      <c r="B473" s="0" t="str">
        <f aca="false">IF(Pipeline_Sort!$C473="","",INDEX(Pipeline_Calc!$C$2:$C$5251,Pipeline_Sort!$C473))</f>
        <v/>
      </c>
      <c r="C473" s="0" t="str">
        <f aca="false">IF(Pipeline_Sort!$C473="","",INDEX(Pipeline_Calc!$D$2:$D$5251,Pipeline_Sort!$C473))</f>
        <v/>
      </c>
      <c r="D473" s="0" t="str">
        <f aca="false">IF(Pipeline_Sort!$C473="","",INDEX(Pipeline_Calc!$E$2:$E$5251,Pipeline_Sort!$C473))</f>
        <v/>
      </c>
      <c r="E473" s="0" t="str">
        <f aca="false">IF(Pipeline_Sort!$C473="","",INDEX(Pipeline_Calc!$F$2:$F$5251,Pipeline_Sort!$C473))</f>
        <v/>
      </c>
      <c r="F473" s="0" t="str">
        <f aca="false">IF(Pipeline_Sort!$C473="","",INDEX(Pipeline_Calc!$G$2:$G$5251,Pipeline_Sort!$C473))</f>
        <v/>
      </c>
      <c r="G473" s="0" t="str">
        <f aca="false">IF(Pipeline_Sort!$C473="","",INDEX(Pipeline_Calc!$H$2:$H$5251,Pipeline_Sort!$C473))</f>
        <v/>
      </c>
      <c r="H473" s="0" t="str">
        <f aca="false">IF(Pipeline_Sort!$C473="","",INDEX(Pipeline_Calc!$I$2:$I$5251,Pipeline_Sort!$C473))</f>
        <v/>
      </c>
      <c r="I473" s="0" t="str">
        <f aca="false">IF(Pipeline_Sort!$C473="","",INDEX(Pipeline_Calc!$J$2:$J$5251,Pipeline_Sort!$C473))</f>
        <v/>
      </c>
    </row>
    <row r="474" customFormat="false" ht="15" hidden="false" customHeight="false" outlineLevel="0" collapsed="false">
      <c r="A474" s="33" t="str">
        <f aca="false">IF(Pipeline_Sort!$C474="","",INDEX(Pipeline_Calc!$B$2:$B$5251,Pipeline_Sort!$C474))</f>
        <v/>
      </c>
      <c r="B474" s="0" t="str">
        <f aca="false">IF(Pipeline_Sort!$C474="","",INDEX(Pipeline_Calc!$C$2:$C$5251,Pipeline_Sort!$C474))</f>
        <v/>
      </c>
      <c r="C474" s="0" t="str">
        <f aca="false">IF(Pipeline_Sort!$C474="","",INDEX(Pipeline_Calc!$D$2:$D$5251,Pipeline_Sort!$C474))</f>
        <v/>
      </c>
      <c r="D474" s="0" t="str">
        <f aca="false">IF(Pipeline_Sort!$C474="","",INDEX(Pipeline_Calc!$E$2:$E$5251,Pipeline_Sort!$C474))</f>
        <v/>
      </c>
      <c r="E474" s="0" t="str">
        <f aca="false">IF(Pipeline_Sort!$C474="","",INDEX(Pipeline_Calc!$F$2:$F$5251,Pipeline_Sort!$C474))</f>
        <v/>
      </c>
      <c r="F474" s="0" t="str">
        <f aca="false">IF(Pipeline_Sort!$C474="","",INDEX(Pipeline_Calc!$G$2:$G$5251,Pipeline_Sort!$C474))</f>
        <v/>
      </c>
      <c r="G474" s="0" t="str">
        <f aca="false">IF(Pipeline_Sort!$C474="","",INDEX(Pipeline_Calc!$H$2:$H$5251,Pipeline_Sort!$C474))</f>
        <v/>
      </c>
      <c r="H474" s="0" t="str">
        <f aca="false">IF(Pipeline_Sort!$C474="","",INDEX(Pipeline_Calc!$I$2:$I$5251,Pipeline_Sort!$C474))</f>
        <v/>
      </c>
      <c r="I474" s="0" t="str">
        <f aca="false">IF(Pipeline_Sort!$C474="","",INDEX(Pipeline_Calc!$J$2:$J$5251,Pipeline_Sort!$C474))</f>
        <v/>
      </c>
    </row>
    <row r="475" customFormat="false" ht="15" hidden="false" customHeight="false" outlineLevel="0" collapsed="false">
      <c r="A475" s="33" t="str">
        <f aca="false">IF(Pipeline_Sort!$C475="","",INDEX(Pipeline_Calc!$B$2:$B$5251,Pipeline_Sort!$C475))</f>
        <v/>
      </c>
      <c r="B475" s="0" t="str">
        <f aca="false">IF(Pipeline_Sort!$C475="","",INDEX(Pipeline_Calc!$C$2:$C$5251,Pipeline_Sort!$C475))</f>
        <v/>
      </c>
      <c r="C475" s="0" t="str">
        <f aca="false">IF(Pipeline_Sort!$C475="","",INDEX(Pipeline_Calc!$D$2:$D$5251,Pipeline_Sort!$C475))</f>
        <v/>
      </c>
      <c r="D475" s="0" t="str">
        <f aca="false">IF(Pipeline_Sort!$C475="","",INDEX(Pipeline_Calc!$E$2:$E$5251,Pipeline_Sort!$C475))</f>
        <v/>
      </c>
      <c r="E475" s="0" t="str">
        <f aca="false">IF(Pipeline_Sort!$C475="","",INDEX(Pipeline_Calc!$F$2:$F$5251,Pipeline_Sort!$C475))</f>
        <v/>
      </c>
      <c r="F475" s="0" t="str">
        <f aca="false">IF(Pipeline_Sort!$C475="","",INDEX(Pipeline_Calc!$G$2:$G$5251,Pipeline_Sort!$C475))</f>
        <v/>
      </c>
      <c r="G475" s="0" t="str">
        <f aca="false">IF(Pipeline_Sort!$C475="","",INDEX(Pipeline_Calc!$H$2:$H$5251,Pipeline_Sort!$C475))</f>
        <v/>
      </c>
      <c r="H475" s="0" t="str">
        <f aca="false">IF(Pipeline_Sort!$C475="","",INDEX(Pipeline_Calc!$I$2:$I$5251,Pipeline_Sort!$C475))</f>
        <v/>
      </c>
      <c r="I475" s="0" t="str">
        <f aca="false">IF(Pipeline_Sort!$C475="","",INDEX(Pipeline_Calc!$J$2:$J$5251,Pipeline_Sort!$C475))</f>
        <v/>
      </c>
    </row>
    <row r="476" customFormat="false" ht="15" hidden="false" customHeight="false" outlineLevel="0" collapsed="false">
      <c r="A476" s="33" t="str">
        <f aca="false">IF(Pipeline_Sort!$C476="","",INDEX(Pipeline_Calc!$B$2:$B$5251,Pipeline_Sort!$C476))</f>
        <v/>
      </c>
      <c r="B476" s="0" t="str">
        <f aca="false">IF(Pipeline_Sort!$C476="","",INDEX(Pipeline_Calc!$C$2:$C$5251,Pipeline_Sort!$C476))</f>
        <v/>
      </c>
      <c r="C476" s="0" t="str">
        <f aca="false">IF(Pipeline_Sort!$C476="","",INDEX(Pipeline_Calc!$D$2:$D$5251,Pipeline_Sort!$C476))</f>
        <v/>
      </c>
      <c r="D476" s="0" t="str">
        <f aca="false">IF(Pipeline_Sort!$C476="","",INDEX(Pipeline_Calc!$E$2:$E$5251,Pipeline_Sort!$C476))</f>
        <v/>
      </c>
      <c r="E476" s="0" t="str">
        <f aca="false">IF(Pipeline_Sort!$C476="","",INDEX(Pipeline_Calc!$F$2:$F$5251,Pipeline_Sort!$C476))</f>
        <v/>
      </c>
      <c r="F476" s="0" t="str">
        <f aca="false">IF(Pipeline_Sort!$C476="","",INDEX(Pipeline_Calc!$G$2:$G$5251,Pipeline_Sort!$C476))</f>
        <v/>
      </c>
      <c r="G476" s="0" t="str">
        <f aca="false">IF(Pipeline_Sort!$C476="","",INDEX(Pipeline_Calc!$H$2:$H$5251,Pipeline_Sort!$C476))</f>
        <v/>
      </c>
      <c r="H476" s="0" t="str">
        <f aca="false">IF(Pipeline_Sort!$C476="","",INDEX(Pipeline_Calc!$I$2:$I$5251,Pipeline_Sort!$C476))</f>
        <v/>
      </c>
      <c r="I476" s="0" t="str">
        <f aca="false">IF(Pipeline_Sort!$C476="","",INDEX(Pipeline_Calc!$J$2:$J$5251,Pipeline_Sort!$C476))</f>
        <v/>
      </c>
    </row>
    <row r="477" customFormat="false" ht="15" hidden="false" customHeight="false" outlineLevel="0" collapsed="false">
      <c r="A477" s="33" t="str">
        <f aca="false">IF(Pipeline_Sort!$C477="","",INDEX(Pipeline_Calc!$B$2:$B$5251,Pipeline_Sort!$C477))</f>
        <v/>
      </c>
      <c r="B477" s="0" t="str">
        <f aca="false">IF(Pipeline_Sort!$C477="","",INDEX(Pipeline_Calc!$C$2:$C$5251,Pipeline_Sort!$C477))</f>
        <v/>
      </c>
      <c r="C477" s="0" t="str">
        <f aca="false">IF(Pipeline_Sort!$C477="","",INDEX(Pipeline_Calc!$D$2:$D$5251,Pipeline_Sort!$C477))</f>
        <v/>
      </c>
      <c r="D477" s="0" t="str">
        <f aca="false">IF(Pipeline_Sort!$C477="","",INDEX(Pipeline_Calc!$E$2:$E$5251,Pipeline_Sort!$C477))</f>
        <v/>
      </c>
      <c r="E477" s="0" t="str">
        <f aca="false">IF(Pipeline_Sort!$C477="","",INDEX(Pipeline_Calc!$F$2:$F$5251,Pipeline_Sort!$C477))</f>
        <v/>
      </c>
      <c r="F477" s="0" t="str">
        <f aca="false">IF(Pipeline_Sort!$C477="","",INDEX(Pipeline_Calc!$G$2:$G$5251,Pipeline_Sort!$C477))</f>
        <v/>
      </c>
      <c r="G477" s="0" t="str">
        <f aca="false">IF(Pipeline_Sort!$C477="","",INDEX(Pipeline_Calc!$H$2:$H$5251,Pipeline_Sort!$C477))</f>
        <v/>
      </c>
      <c r="H477" s="0" t="str">
        <f aca="false">IF(Pipeline_Sort!$C477="","",INDEX(Pipeline_Calc!$I$2:$I$5251,Pipeline_Sort!$C477))</f>
        <v/>
      </c>
      <c r="I477" s="0" t="str">
        <f aca="false">IF(Pipeline_Sort!$C477="","",INDEX(Pipeline_Calc!$J$2:$J$5251,Pipeline_Sort!$C477))</f>
        <v/>
      </c>
    </row>
    <row r="478" customFormat="false" ht="15" hidden="false" customHeight="false" outlineLevel="0" collapsed="false">
      <c r="A478" s="33" t="str">
        <f aca="false">IF(Pipeline_Sort!$C478="","",INDEX(Pipeline_Calc!$B$2:$B$5251,Pipeline_Sort!$C478))</f>
        <v/>
      </c>
      <c r="B478" s="0" t="str">
        <f aca="false">IF(Pipeline_Sort!$C478="","",INDEX(Pipeline_Calc!$C$2:$C$5251,Pipeline_Sort!$C478))</f>
        <v/>
      </c>
      <c r="C478" s="0" t="str">
        <f aca="false">IF(Pipeline_Sort!$C478="","",INDEX(Pipeline_Calc!$D$2:$D$5251,Pipeline_Sort!$C478))</f>
        <v/>
      </c>
      <c r="D478" s="0" t="str">
        <f aca="false">IF(Pipeline_Sort!$C478="","",INDEX(Pipeline_Calc!$E$2:$E$5251,Pipeline_Sort!$C478))</f>
        <v/>
      </c>
      <c r="E478" s="0" t="str">
        <f aca="false">IF(Pipeline_Sort!$C478="","",INDEX(Pipeline_Calc!$F$2:$F$5251,Pipeline_Sort!$C478))</f>
        <v/>
      </c>
      <c r="F478" s="0" t="str">
        <f aca="false">IF(Pipeline_Sort!$C478="","",INDEX(Pipeline_Calc!$G$2:$G$5251,Pipeline_Sort!$C478))</f>
        <v/>
      </c>
      <c r="G478" s="0" t="str">
        <f aca="false">IF(Pipeline_Sort!$C478="","",INDEX(Pipeline_Calc!$H$2:$H$5251,Pipeline_Sort!$C478))</f>
        <v/>
      </c>
      <c r="H478" s="0" t="str">
        <f aca="false">IF(Pipeline_Sort!$C478="","",INDEX(Pipeline_Calc!$I$2:$I$5251,Pipeline_Sort!$C478))</f>
        <v/>
      </c>
      <c r="I478" s="0" t="str">
        <f aca="false">IF(Pipeline_Sort!$C478="","",INDEX(Pipeline_Calc!$J$2:$J$5251,Pipeline_Sort!$C478))</f>
        <v/>
      </c>
    </row>
    <row r="479" customFormat="false" ht="15" hidden="false" customHeight="false" outlineLevel="0" collapsed="false">
      <c r="A479" s="33" t="str">
        <f aca="false">IF(Pipeline_Sort!$C479="","",INDEX(Pipeline_Calc!$B$2:$B$5251,Pipeline_Sort!$C479))</f>
        <v/>
      </c>
      <c r="B479" s="0" t="str">
        <f aca="false">IF(Pipeline_Sort!$C479="","",INDEX(Pipeline_Calc!$C$2:$C$5251,Pipeline_Sort!$C479))</f>
        <v/>
      </c>
      <c r="C479" s="0" t="str">
        <f aca="false">IF(Pipeline_Sort!$C479="","",INDEX(Pipeline_Calc!$D$2:$D$5251,Pipeline_Sort!$C479))</f>
        <v/>
      </c>
      <c r="D479" s="0" t="str">
        <f aca="false">IF(Pipeline_Sort!$C479="","",INDEX(Pipeline_Calc!$E$2:$E$5251,Pipeline_Sort!$C479))</f>
        <v/>
      </c>
      <c r="E479" s="0" t="str">
        <f aca="false">IF(Pipeline_Sort!$C479="","",INDEX(Pipeline_Calc!$F$2:$F$5251,Pipeline_Sort!$C479))</f>
        <v/>
      </c>
      <c r="F479" s="0" t="str">
        <f aca="false">IF(Pipeline_Sort!$C479="","",INDEX(Pipeline_Calc!$G$2:$G$5251,Pipeline_Sort!$C479))</f>
        <v/>
      </c>
      <c r="G479" s="0" t="str">
        <f aca="false">IF(Pipeline_Sort!$C479="","",INDEX(Pipeline_Calc!$H$2:$H$5251,Pipeline_Sort!$C479))</f>
        <v/>
      </c>
      <c r="H479" s="0" t="str">
        <f aca="false">IF(Pipeline_Sort!$C479="","",INDEX(Pipeline_Calc!$I$2:$I$5251,Pipeline_Sort!$C479))</f>
        <v/>
      </c>
      <c r="I479" s="0" t="str">
        <f aca="false">IF(Pipeline_Sort!$C479="","",INDEX(Pipeline_Calc!$J$2:$J$5251,Pipeline_Sort!$C479))</f>
        <v/>
      </c>
    </row>
    <row r="480" customFormat="false" ht="15" hidden="false" customHeight="false" outlineLevel="0" collapsed="false">
      <c r="A480" s="33" t="str">
        <f aca="false">IF(Pipeline_Sort!$C480="","",INDEX(Pipeline_Calc!$B$2:$B$5251,Pipeline_Sort!$C480))</f>
        <v/>
      </c>
      <c r="B480" s="0" t="str">
        <f aca="false">IF(Pipeline_Sort!$C480="","",INDEX(Pipeline_Calc!$C$2:$C$5251,Pipeline_Sort!$C480))</f>
        <v/>
      </c>
      <c r="C480" s="0" t="str">
        <f aca="false">IF(Pipeline_Sort!$C480="","",INDEX(Pipeline_Calc!$D$2:$D$5251,Pipeline_Sort!$C480))</f>
        <v/>
      </c>
      <c r="D480" s="0" t="str">
        <f aca="false">IF(Pipeline_Sort!$C480="","",INDEX(Pipeline_Calc!$E$2:$E$5251,Pipeline_Sort!$C480))</f>
        <v/>
      </c>
      <c r="E480" s="0" t="str">
        <f aca="false">IF(Pipeline_Sort!$C480="","",INDEX(Pipeline_Calc!$F$2:$F$5251,Pipeline_Sort!$C480))</f>
        <v/>
      </c>
      <c r="F480" s="0" t="str">
        <f aca="false">IF(Pipeline_Sort!$C480="","",INDEX(Pipeline_Calc!$G$2:$G$5251,Pipeline_Sort!$C480))</f>
        <v/>
      </c>
      <c r="G480" s="0" t="str">
        <f aca="false">IF(Pipeline_Sort!$C480="","",INDEX(Pipeline_Calc!$H$2:$H$5251,Pipeline_Sort!$C480))</f>
        <v/>
      </c>
      <c r="H480" s="0" t="str">
        <f aca="false">IF(Pipeline_Sort!$C480="","",INDEX(Pipeline_Calc!$I$2:$I$5251,Pipeline_Sort!$C480))</f>
        <v/>
      </c>
      <c r="I480" s="0" t="str">
        <f aca="false">IF(Pipeline_Sort!$C480="","",INDEX(Pipeline_Calc!$J$2:$J$5251,Pipeline_Sort!$C480))</f>
        <v/>
      </c>
    </row>
    <row r="481" customFormat="false" ht="15" hidden="false" customHeight="false" outlineLevel="0" collapsed="false">
      <c r="A481" s="33" t="str">
        <f aca="false">IF(Pipeline_Sort!$C481="","",INDEX(Pipeline_Calc!$B$2:$B$5251,Pipeline_Sort!$C481))</f>
        <v/>
      </c>
      <c r="B481" s="0" t="str">
        <f aca="false">IF(Pipeline_Sort!$C481="","",INDEX(Pipeline_Calc!$C$2:$C$5251,Pipeline_Sort!$C481))</f>
        <v/>
      </c>
      <c r="C481" s="0" t="str">
        <f aca="false">IF(Pipeline_Sort!$C481="","",INDEX(Pipeline_Calc!$D$2:$D$5251,Pipeline_Sort!$C481))</f>
        <v/>
      </c>
      <c r="D481" s="0" t="str">
        <f aca="false">IF(Pipeline_Sort!$C481="","",INDEX(Pipeline_Calc!$E$2:$E$5251,Pipeline_Sort!$C481))</f>
        <v/>
      </c>
      <c r="E481" s="0" t="str">
        <f aca="false">IF(Pipeline_Sort!$C481="","",INDEX(Pipeline_Calc!$F$2:$F$5251,Pipeline_Sort!$C481))</f>
        <v/>
      </c>
      <c r="F481" s="0" t="str">
        <f aca="false">IF(Pipeline_Sort!$C481="","",INDEX(Pipeline_Calc!$G$2:$G$5251,Pipeline_Sort!$C481))</f>
        <v/>
      </c>
      <c r="G481" s="0" t="str">
        <f aca="false">IF(Pipeline_Sort!$C481="","",INDEX(Pipeline_Calc!$H$2:$H$5251,Pipeline_Sort!$C481))</f>
        <v/>
      </c>
      <c r="H481" s="0" t="str">
        <f aca="false">IF(Pipeline_Sort!$C481="","",INDEX(Pipeline_Calc!$I$2:$I$5251,Pipeline_Sort!$C481))</f>
        <v/>
      </c>
      <c r="I481" s="0" t="str">
        <f aca="false">IF(Pipeline_Sort!$C481="","",INDEX(Pipeline_Calc!$J$2:$J$5251,Pipeline_Sort!$C481))</f>
        <v/>
      </c>
    </row>
    <row r="482" customFormat="false" ht="15" hidden="false" customHeight="false" outlineLevel="0" collapsed="false">
      <c r="A482" s="33" t="str">
        <f aca="false">IF(Pipeline_Sort!$C482="","",INDEX(Pipeline_Calc!$B$2:$B$5251,Pipeline_Sort!$C482))</f>
        <v/>
      </c>
      <c r="B482" s="0" t="str">
        <f aca="false">IF(Pipeline_Sort!$C482="","",INDEX(Pipeline_Calc!$C$2:$C$5251,Pipeline_Sort!$C482))</f>
        <v/>
      </c>
      <c r="C482" s="0" t="str">
        <f aca="false">IF(Pipeline_Sort!$C482="","",INDEX(Pipeline_Calc!$D$2:$D$5251,Pipeline_Sort!$C482))</f>
        <v/>
      </c>
      <c r="D482" s="0" t="str">
        <f aca="false">IF(Pipeline_Sort!$C482="","",INDEX(Pipeline_Calc!$E$2:$E$5251,Pipeline_Sort!$C482))</f>
        <v/>
      </c>
      <c r="E482" s="0" t="str">
        <f aca="false">IF(Pipeline_Sort!$C482="","",INDEX(Pipeline_Calc!$F$2:$F$5251,Pipeline_Sort!$C482))</f>
        <v/>
      </c>
      <c r="F482" s="0" t="str">
        <f aca="false">IF(Pipeline_Sort!$C482="","",INDEX(Pipeline_Calc!$G$2:$G$5251,Pipeline_Sort!$C482))</f>
        <v/>
      </c>
      <c r="G482" s="0" t="str">
        <f aca="false">IF(Pipeline_Sort!$C482="","",INDEX(Pipeline_Calc!$H$2:$H$5251,Pipeline_Sort!$C482))</f>
        <v/>
      </c>
      <c r="H482" s="0" t="str">
        <f aca="false">IF(Pipeline_Sort!$C482="","",INDEX(Pipeline_Calc!$I$2:$I$5251,Pipeline_Sort!$C482))</f>
        <v/>
      </c>
      <c r="I482" s="0" t="str">
        <f aca="false">IF(Pipeline_Sort!$C482="","",INDEX(Pipeline_Calc!$J$2:$J$5251,Pipeline_Sort!$C482))</f>
        <v/>
      </c>
    </row>
    <row r="483" customFormat="false" ht="15" hidden="false" customHeight="false" outlineLevel="0" collapsed="false">
      <c r="A483" s="33" t="str">
        <f aca="false">IF(Pipeline_Sort!$C483="","",INDEX(Pipeline_Calc!$B$2:$B$5251,Pipeline_Sort!$C483))</f>
        <v/>
      </c>
      <c r="B483" s="0" t="str">
        <f aca="false">IF(Pipeline_Sort!$C483="","",INDEX(Pipeline_Calc!$C$2:$C$5251,Pipeline_Sort!$C483))</f>
        <v/>
      </c>
      <c r="C483" s="0" t="str">
        <f aca="false">IF(Pipeline_Sort!$C483="","",INDEX(Pipeline_Calc!$D$2:$D$5251,Pipeline_Sort!$C483))</f>
        <v/>
      </c>
      <c r="D483" s="0" t="str">
        <f aca="false">IF(Pipeline_Sort!$C483="","",INDEX(Pipeline_Calc!$E$2:$E$5251,Pipeline_Sort!$C483))</f>
        <v/>
      </c>
      <c r="E483" s="0" t="str">
        <f aca="false">IF(Pipeline_Sort!$C483="","",INDEX(Pipeline_Calc!$F$2:$F$5251,Pipeline_Sort!$C483))</f>
        <v/>
      </c>
      <c r="F483" s="0" t="str">
        <f aca="false">IF(Pipeline_Sort!$C483="","",INDEX(Pipeline_Calc!$G$2:$G$5251,Pipeline_Sort!$C483))</f>
        <v/>
      </c>
      <c r="G483" s="0" t="str">
        <f aca="false">IF(Pipeline_Sort!$C483="","",INDEX(Pipeline_Calc!$H$2:$H$5251,Pipeline_Sort!$C483))</f>
        <v/>
      </c>
      <c r="H483" s="0" t="str">
        <f aca="false">IF(Pipeline_Sort!$C483="","",INDEX(Pipeline_Calc!$I$2:$I$5251,Pipeline_Sort!$C483))</f>
        <v/>
      </c>
      <c r="I483" s="0" t="str">
        <f aca="false">IF(Pipeline_Sort!$C483="","",INDEX(Pipeline_Calc!$J$2:$J$5251,Pipeline_Sort!$C483))</f>
        <v/>
      </c>
    </row>
    <row r="484" customFormat="false" ht="15" hidden="false" customHeight="false" outlineLevel="0" collapsed="false">
      <c r="A484" s="33" t="str">
        <f aca="false">IF(Pipeline_Sort!$C484="","",INDEX(Pipeline_Calc!$B$2:$B$5251,Pipeline_Sort!$C484))</f>
        <v/>
      </c>
      <c r="B484" s="0" t="str">
        <f aca="false">IF(Pipeline_Sort!$C484="","",INDEX(Pipeline_Calc!$C$2:$C$5251,Pipeline_Sort!$C484))</f>
        <v/>
      </c>
      <c r="C484" s="0" t="str">
        <f aca="false">IF(Pipeline_Sort!$C484="","",INDEX(Pipeline_Calc!$D$2:$D$5251,Pipeline_Sort!$C484))</f>
        <v/>
      </c>
      <c r="D484" s="0" t="str">
        <f aca="false">IF(Pipeline_Sort!$C484="","",INDEX(Pipeline_Calc!$E$2:$E$5251,Pipeline_Sort!$C484))</f>
        <v/>
      </c>
      <c r="E484" s="0" t="str">
        <f aca="false">IF(Pipeline_Sort!$C484="","",INDEX(Pipeline_Calc!$F$2:$F$5251,Pipeline_Sort!$C484))</f>
        <v/>
      </c>
      <c r="F484" s="0" t="str">
        <f aca="false">IF(Pipeline_Sort!$C484="","",INDEX(Pipeline_Calc!$G$2:$G$5251,Pipeline_Sort!$C484))</f>
        <v/>
      </c>
      <c r="G484" s="0" t="str">
        <f aca="false">IF(Pipeline_Sort!$C484="","",INDEX(Pipeline_Calc!$H$2:$H$5251,Pipeline_Sort!$C484))</f>
        <v/>
      </c>
      <c r="H484" s="0" t="str">
        <f aca="false">IF(Pipeline_Sort!$C484="","",INDEX(Pipeline_Calc!$I$2:$I$5251,Pipeline_Sort!$C484))</f>
        <v/>
      </c>
      <c r="I484" s="0" t="str">
        <f aca="false">IF(Pipeline_Sort!$C484="","",INDEX(Pipeline_Calc!$J$2:$J$5251,Pipeline_Sort!$C484))</f>
        <v/>
      </c>
    </row>
    <row r="485" customFormat="false" ht="15" hidden="false" customHeight="false" outlineLevel="0" collapsed="false">
      <c r="A485" s="33" t="str">
        <f aca="false">IF(Pipeline_Sort!$C485="","",INDEX(Pipeline_Calc!$B$2:$B$5251,Pipeline_Sort!$C485))</f>
        <v/>
      </c>
      <c r="B485" s="0" t="str">
        <f aca="false">IF(Pipeline_Sort!$C485="","",INDEX(Pipeline_Calc!$C$2:$C$5251,Pipeline_Sort!$C485))</f>
        <v/>
      </c>
      <c r="C485" s="0" t="str">
        <f aca="false">IF(Pipeline_Sort!$C485="","",INDEX(Pipeline_Calc!$D$2:$D$5251,Pipeline_Sort!$C485))</f>
        <v/>
      </c>
      <c r="D485" s="0" t="str">
        <f aca="false">IF(Pipeline_Sort!$C485="","",INDEX(Pipeline_Calc!$E$2:$E$5251,Pipeline_Sort!$C485))</f>
        <v/>
      </c>
      <c r="E485" s="0" t="str">
        <f aca="false">IF(Pipeline_Sort!$C485="","",INDEX(Pipeline_Calc!$F$2:$F$5251,Pipeline_Sort!$C485))</f>
        <v/>
      </c>
      <c r="F485" s="0" t="str">
        <f aca="false">IF(Pipeline_Sort!$C485="","",INDEX(Pipeline_Calc!$G$2:$G$5251,Pipeline_Sort!$C485))</f>
        <v/>
      </c>
      <c r="G485" s="0" t="str">
        <f aca="false">IF(Pipeline_Sort!$C485="","",INDEX(Pipeline_Calc!$H$2:$H$5251,Pipeline_Sort!$C485))</f>
        <v/>
      </c>
      <c r="H485" s="0" t="str">
        <f aca="false">IF(Pipeline_Sort!$C485="","",INDEX(Pipeline_Calc!$I$2:$I$5251,Pipeline_Sort!$C485))</f>
        <v/>
      </c>
      <c r="I485" s="0" t="str">
        <f aca="false">IF(Pipeline_Sort!$C485="","",INDEX(Pipeline_Calc!$J$2:$J$5251,Pipeline_Sort!$C485))</f>
        <v/>
      </c>
    </row>
    <row r="486" customFormat="false" ht="15" hidden="false" customHeight="false" outlineLevel="0" collapsed="false">
      <c r="A486" s="33" t="str">
        <f aca="false">IF(Pipeline_Sort!$C486="","",INDEX(Pipeline_Calc!$B$2:$B$5251,Pipeline_Sort!$C486))</f>
        <v/>
      </c>
      <c r="B486" s="0" t="str">
        <f aca="false">IF(Pipeline_Sort!$C486="","",INDEX(Pipeline_Calc!$C$2:$C$5251,Pipeline_Sort!$C486))</f>
        <v/>
      </c>
      <c r="C486" s="0" t="str">
        <f aca="false">IF(Pipeline_Sort!$C486="","",INDEX(Pipeline_Calc!$D$2:$D$5251,Pipeline_Sort!$C486))</f>
        <v/>
      </c>
      <c r="D486" s="0" t="str">
        <f aca="false">IF(Pipeline_Sort!$C486="","",INDEX(Pipeline_Calc!$E$2:$E$5251,Pipeline_Sort!$C486))</f>
        <v/>
      </c>
      <c r="E486" s="0" t="str">
        <f aca="false">IF(Pipeline_Sort!$C486="","",INDEX(Pipeline_Calc!$F$2:$F$5251,Pipeline_Sort!$C486))</f>
        <v/>
      </c>
      <c r="F486" s="0" t="str">
        <f aca="false">IF(Pipeline_Sort!$C486="","",INDEX(Pipeline_Calc!$G$2:$G$5251,Pipeline_Sort!$C486))</f>
        <v/>
      </c>
      <c r="G486" s="0" t="str">
        <f aca="false">IF(Pipeline_Sort!$C486="","",INDEX(Pipeline_Calc!$H$2:$H$5251,Pipeline_Sort!$C486))</f>
        <v/>
      </c>
      <c r="H486" s="0" t="str">
        <f aca="false">IF(Pipeline_Sort!$C486="","",INDEX(Pipeline_Calc!$I$2:$I$5251,Pipeline_Sort!$C486))</f>
        <v/>
      </c>
      <c r="I486" s="0" t="str">
        <f aca="false">IF(Pipeline_Sort!$C486="","",INDEX(Pipeline_Calc!$J$2:$J$5251,Pipeline_Sort!$C486))</f>
        <v/>
      </c>
    </row>
    <row r="487" customFormat="false" ht="15" hidden="false" customHeight="false" outlineLevel="0" collapsed="false">
      <c r="A487" s="33" t="str">
        <f aca="false">IF(Pipeline_Sort!$C487="","",INDEX(Pipeline_Calc!$B$2:$B$5251,Pipeline_Sort!$C487))</f>
        <v/>
      </c>
      <c r="B487" s="0" t="str">
        <f aca="false">IF(Pipeline_Sort!$C487="","",INDEX(Pipeline_Calc!$C$2:$C$5251,Pipeline_Sort!$C487))</f>
        <v/>
      </c>
      <c r="C487" s="0" t="str">
        <f aca="false">IF(Pipeline_Sort!$C487="","",INDEX(Pipeline_Calc!$D$2:$D$5251,Pipeline_Sort!$C487))</f>
        <v/>
      </c>
      <c r="D487" s="0" t="str">
        <f aca="false">IF(Pipeline_Sort!$C487="","",INDEX(Pipeline_Calc!$E$2:$E$5251,Pipeline_Sort!$C487))</f>
        <v/>
      </c>
      <c r="E487" s="0" t="str">
        <f aca="false">IF(Pipeline_Sort!$C487="","",INDEX(Pipeline_Calc!$F$2:$F$5251,Pipeline_Sort!$C487))</f>
        <v/>
      </c>
      <c r="F487" s="0" t="str">
        <f aca="false">IF(Pipeline_Sort!$C487="","",INDEX(Pipeline_Calc!$G$2:$G$5251,Pipeline_Sort!$C487))</f>
        <v/>
      </c>
      <c r="G487" s="0" t="str">
        <f aca="false">IF(Pipeline_Sort!$C487="","",INDEX(Pipeline_Calc!$H$2:$H$5251,Pipeline_Sort!$C487))</f>
        <v/>
      </c>
      <c r="H487" s="0" t="str">
        <f aca="false">IF(Pipeline_Sort!$C487="","",INDEX(Pipeline_Calc!$I$2:$I$5251,Pipeline_Sort!$C487))</f>
        <v/>
      </c>
      <c r="I487" s="0" t="str">
        <f aca="false">IF(Pipeline_Sort!$C487="","",INDEX(Pipeline_Calc!$J$2:$J$5251,Pipeline_Sort!$C487))</f>
        <v/>
      </c>
    </row>
    <row r="488" customFormat="false" ht="15" hidden="false" customHeight="false" outlineLevel="0" collapsed="false">
      <c r="A488" s="33" t="str">
        <f aca="false">IF(Pipeline_Sort!$C488="","",INDEX(Pipeline_Calc!$B$2:$B$5251,Pipeline_Sort!$C488))</f>
        <v/>
      </c>
      <c r="B488" s="0" t="str">
        <f aca="false">IF(Pipeline_Sort!$C488="","",INDEX(Pipeline_Calc!$C$2:$C$5251,Pipeline_Sort!$C488))</f>
        <v/>
      </c>
      <c r="C488" s="0" t="str">
        <f aca="false">IF(Pipeline_Sort!$C488="","",INDEX(Pipeline_Calc!$D$2:$D$5251,Pipeline_Sort!$C488))</f>
        <v/>
      </c>
      <c r="D488" s="0" t="str">
        <f aca="false">IF(Pipeline_Sort!$C488="","",INDEX(Pipeline_Calc!$E$2:$E$5251,Pipeline_Sort!$C488))</f>
        <v/>
      </c>
      <c r="E488" s="0" t="str">
        <f aca="false">IF(Pipeline_Sort!$C488="","",INDEX(Pipeline_Calc!$F$2:$F$5251,Pipeline_Sort!$C488))</f>
        <v/>
      </c>
      <c r="F488" s="0" t="str">
        <f aca="false">IF(Pipeline_Sort!$C488="","",INDEX(Pipeline_Calc!$G$2:$G$5251,Pipeline_Sort!$C488))</f>
        <v/>
      </c>
      <c r="G488" s="0" t="str">
        <f aca="false">IF(Pipeline_Sort!$C488="","",INDEX(Pipeline_Calc!$H$2:$H$5251,Pipeline_Sort!$C488))</f>
        <v/>
      </c>
      <c r="H488" s="0" t="str">
        <f aca="false">IF(Pipeline_Sort!$C488="","",INDEX(Pipeline_Calc!$I$2:$I$5251,Pipeline_Sort!$C488))</f>
        <v/>
      </c>
      <c r="I488" s="0" t="str">
        <f aca="false">IF(Pipeline_Sort!$C488="","",INDEX(Pipeline_Calc!$J$2:$J$5251,Pipeline_Sort!$C488))</f>
        <v/>
      </c>
    </row>
    <row r="489" customFormat="false" ht="15" hidden="false" customHeight="false" outlineLevel="0" collapsed="false">
      <c r="A489" s="33" t="str">
        <f aca="false">IF(Pipeline_Sort!$C489="","",INDEX(Pipeline_Calc!$B$2:$B$5251,Pipeline_Sort!$C489))</f>
        <v/>
      </c>
      <c r="B489" s="0" t="str">
        <f aca="false">IF(Pipeline_Sort!$C489="","",INDEX(Pipeline_Calc!$C$2:$C$5251,Pipeline_Sort!$C489))</f>
        <v/>
      </c>
      <c r="C489" s="0" t="str">
        <f aca="false">IF(Pipeline_Sort!$C489="","",INDEX(Pipeline_Calc!$D$2:$D$5251,Pipeline_Sort!$C489))</f>
        <v/>
      </c>
      <c r="D489" s="0" t="str">
        <f aca="false">IF(Pipeline_Sort!$C489="","",INDEX(Pipeline_Calc!$E$2:$E$5251,Pipeline_Sort!$C489))</f>
        <v/>
      </c>
      <c r="E489" s="0" t="str">
        <f aca="false">IF(Pipeline_Sort!$C489="","",INDEX(Pipeline_Calc!$F$2:$F$5251,Pipeline_Sort!$C489))</f>
        <v/>
      </c>
      <c r="F489" s="0" t="str">
        <f aca="false">IF(Pipeline_Sort!$C489="","",INDEX(Pipeline_Calc!$G$2:$G$5251,Pipeline_Sort!$C489))</f>
        <v/>
      </c>
      <c r="G489" s="0" t="str">
        <f aca="false">IF(Pipeline_Sort!$C489="","",INDEX(Pipeline_Calc!$H$2:$H$5251,Pipeline_Sort!$C489))</f>
        <v/>
      </c>
      <c r="H489" s="0" t="str">
        <f aca="false">IF(Pipeline_Sort!$C489="","",INDEX(Pipeline_Calc!$I$2:$I$5251,Pipeline_Sort!$C489))</f>
        <v/>
      </c>
      <c r="I489" s="0" t="str">
        <f aca="false">IF(Pipeline_Sort!$C489="","",INDEX(Pipeline_Calc!$J$2:$J$5251,Pipeline_Sort!$C489))</f>
        <v/>
      </c>
    </row>
    <row r="490" customFormat="false" ht="15" hidden="false" customHeight="false" outlineLevel="0" collapsed="false">
      <c r="A490" s="33" t="str">
        <f aca="false">IF(Pipeline_Sort!$C490="","",INDEX(Pipeline_Calc!$B$2:$B$5251,Pipeline_Sort!$C490))</f>
        <v/>
      </c>
      <c r="B490" s="0" t="str">
        <f aca="false">IF(Pipeline_Sort!$C490="","",INDEX(Pipeline_Calc!$C$2:$C$5251,Pipeline_Sort!$C490))</f>
        <v/>
      </c>
      <c r="C490" s="0" t="str">
        <f aca="false">IF(Pipeline_Sort!$C490="","",INDEX(Pipeline_Calc!$D$2:$D$5251,Pipeline_Sort!$C490))</f>
        <v/>
      </c>
      <c r="D490" s="0" t="str">
        <f aca="false">IF(Pipeline_Sort!$C490="","",INDEX(Pipeline_Calc!$E$2:$E$5251,Pipeline_Sort!$C490))</f>
        <v/>
      </c>
      <c r="E490" s="0" t="str">
        <f aca="false">IF(Pipeline_Sort!$C490="","",INDEX(Pipeline_Calc!$F$2:$F$5251,Pipeline_Sort!$C490))</f>
        <v/>
      </c>
      <c r="F490" s="0" t="str">
        <f aca="false">IF(Pipeline_Sort!$C490="","",INDEX(Pipeline_Calc!$G$2:$G$5251,Pipeline_Sort!$C490))</f>
        <v/>
      </c>
      <c r="G490" s="0" t="str">
        <f aca="false">IF(Pipeline_Sort!$C490="","",INDEX(Pipeline_Calc!$H$2:$H$5251,Pipeline_Sort!$C490))</f>
        <v/>
      </c>
      <c r="H490" s="0" t="str">
        <f aca="false">IF(Pipeline_Sort!$C490="","",INDEX(Pipeline_Calc!$I$2:$I$5251,Pipeline_Sort!$C490))</f>
        <v/>
      </c>
      <c r="I490" s="0" t="str">
        <f aca="false">IF(Pipeline_Sort!$C490="","",INDEX(Pipeline_Calc!$J$2:$J$5251,Pipeline_Sort!$C490))</f>
        <v/>
      </c>
    </row>
    <row r="491" customFormat="false" ht="15" hidden="false" customHeight="false" outlineLevel="0" collapsed="false">
      <c r="A491" s="33" t="str">
        <f aca="false">IF(Pipeline_Sort!$C491="","",INDEX(Pipeline_Calc!$B$2:$B$5251,Pipeline_Sort!$C491))</f>
        <v/>
      </c>
      <c r="B491" s="0" t="str">
        <f aca="false">IF(Pipeline_Sort!$C491="","",INDEX(Pipeline_Calc!$C$2:$C$5251,Pipeline_Sort!$C491))</f>
        <v/>
      </c>
      <c r="C491" s="0" t="str">
        <f aca="false">IF(Pipeline_Sort!$C491="","",INDEX(Pipeline_Calc!$D$2:$D$5251,Pipeline_Sort!$C491))</f>
        <v/>
      </c>
      <c r="D491" s="0" t="str">
        <f aca="false">IF(Pipeline_Sort!$C491="","",INDEX(Pipeline_Calc!$E$2:$E$5251,Pipeline_Sort!$C491))</f>
        <v/>
      </c>
      <c r="E491" s="0" t="str">
        <f aca="false">IF(Pipeline_Sort!$C491="","",INDEX(Pipeline_Calc!$F$2:$F$5251,Pipeline_Sort!$C491))</f>
        <v/>
      </c>
      <c r="F491" s="0" t="str">
        <f aca="false">IF(Pipeline_Sort!$C491="","",INDEX(Pipeline_Calc!$G$2:$G$5251,Pipeline_Sort!$C491))</f>
        <v/>
      </c>
      <c r="G491" s="0" t="str">
        <f aca="false">IF(Pipeline_Sort!$C491="","",INDEX(Pipeline_Calc!$H$2:$H$5251,Pipeline_Sort!$C491))</f>
        <v/>
      </c>
      <c r="H491" s="0" t="str">
        <f aca="false">IF(Pipeline_Sort!$C491="","",INDEX(Pipeline_Calc!$I$2:$I$5251,Pipeline_Sort!$C491))</f>
        <v/>
      </c>
      <c r="I491" s="0" t="str">
        <f aca="false">IF(Pipeline_Sort!$C491="","",INDEX(Pipeline_Calc!$J$2:$J$5251,Pipeline_Sort!$C491))</f>
        <v/>
      </c>
    </row>
    <row r="492" customFormat="false" ht="15" hidden="false" customHeight="false" outlineLevel="0" collapsed="false">
      <c r="A492" s="33" t="str">
        <f aca="false">IF(Pipeline_Sort!$C492="","",INDEX(Pipeline_Calc!$B$2:$B$5251,Pipeline_Sort!$C492))</f>
        <v/>
      </c>
      <c r="B492" s="0" t="str">
        <f aca="false">IF(Pipeline_Sort!$C492="","",INDEX(Pipeline_Calc!$C$2:$C$5251,Pipeline_Sort!$C492))</f>
        <v/>
      </c>
      <c r="C492" s="0" t="str">
        <f aca="false">IF(Pipeline_Sort!$C492="","",INDEX(Pipeline_Calc!$D$2:$D$5251,Pipeline_Sort!$C492))</f>
        <v/>
      </c>
      <c r="D492" s="0" t="str">
        <f aca="false">IF(Pipeline_Sort!$C492="","",INDEX(Pipeline_Calc!$E$2:$E$5251,Pipeline_Sort!$C492))</f>
        <v/>
      </c>
      <c r="E492" s="0" t="str">
        <f aca="false">IF(Pipeline_Sort!$C492="","",INDEX(Pipeline_Calc!$F$2:$F$5251,Pipeline_Sort!$C492))</f>
        <v/>
      </c>
      <c r="F492" s="0" t="str">
        <f aca="false">IF(Pipeline_Sort!$C492="","",INDEX(Pipeline_Calc!$G$2:$G$5251,Pipeline_Sort!$C492))</f>
        <v/>
      </c>
      <c r="G492" s="0" t="str">
        <f aca="false">IF(Pipeline_Sort!$C492="","",INDEX(Pipeline_Calc!$H$2:$H$5251,Pipeline_Sort!$C492))</f>
        <v/>
      </c>
      <c r="H492" s="0" t="str">
        <f aca="false">IF(Pipeline_Sort!$C492="","",INDEX(Pipeline_Calc!$I$2:$I$5251,Pipeline_Sort!$C492))</f>
        <v/>
      </c>
      <c r="I492" s="0" t="str">
        <f aca="false">IF(Pipeline_Sort!$C492="","",INDEX(Pipeline_Calc!$J$2:$J$5251,Pipeline_Sort!$C492))</f>
        <v/>
      </c>
    </row>
    <row r="493" customFormat="false" ht="15" hidden="false" customHeight="false" outlineLevel="0" collapsed="false">
      <c r="A493" s="33" t="str">
        <f aca="false">IF(Pipeline_Sort!$C493="","",INDEX(Pipeline_Calc!$B$2:$B$5251,Pipeline_Sort!$C493))</f>
        <v/>
      </c>
      <c r="B493" s="0" t="str">
        <f aca="false">IF(Pipeline_Sort!$C493="","",INDEX(Pipeline_Calc!$C$2:$C$5251,Pipeline_Sort!$C493))</f>
        <v/>
      </c>
      <c r="C493" s="0" t="str">
        <f aca="false">IF(Pipeline_Sort!$C493="","",INDEX(Pipeline_Calc!$D$2:$D$5251,Pipeline_Sort!$C493))</f>
        <v/>
      </c>
      <c r="D493" s="0" t="str">
        <f aca="false">IF(Pipeline_Sort!$C493="","",INDEX(Pipeline_Calc!$E$2:$E$5251,Pipeline_Sort!$C493))</f>
        <v/>
      </c>
      <c r="E493" s="0" t="str">
        <f aca="false">IF(Pipeline_Sort!$C493="","",INDEX(Pipeline_Calc!$F$2:$F$5251,Pipeline_Sort!$C493))</f>
        <v/>
      </c>
      <c r="F493" s="0" t="str">
        <f aca="false">IF(Pipeline_Sort!$C493="","",INDEX(Pipeline_Calc!$G$2:$G$5251,Pipeline_Sort!$C493))</f>
        <v/>
      </c>
      <c r="G493" s="0" t="str">
        <f aca="false">IF(Pipeline_Sort!$C493="","",INDEX(Pipeline_Calc!$H$2:$H$5251,Pipeline_Sort!$C493))</f>
        <v/>
      </c>
      <c r="H493" s="0" t="str">
        <f aca="false">IF(Pipeline_Sort!$C493="","",INDEX(Pipeline_Calc!$I$2:$I$5251,Pipeline_Sort!$C493))</f>
        <v/>
      </c>
      <c r="I493" s="0" t="str">
        <f aca="false">IF(Pipeline_Sort!$C493="","",INDEX(Pipeline_Calc!$J$2:$J$5251,Pipeline_Sort!$C493))</f>
        <v/>
      </c>
    </row>
    <row r="494" customFormat="false" ht="15" hidden="false" customHeight="false" outlineLevel="0" collapsed="false">
      <c r="A494" s="33" t="str">
        <f aca="false">IF(Pipeline_Sort!$C494="","",INDEX(Pipeline_Calc!$B$2:$B$5251,Pipeline_Sort!$C494))</f>
        <v/>
      </c>
      <c r="B494" s="0" t="str">
        <f aca="false">IF(Pipeline_Sort!$C494="","",INDEX(Pipeline_Calc!$C$2:$C$5251,Pipeline_Sort!$C494))</f>
        <v/>
      </c>
      <c r="C494" s="0" t="str">
        <f aca="false">IF(Pipeline_Sort!$C494="","",INDEX(Pipeline_Calc!$D$2:$D$5251,Pipeline_Sort!$C494))</f>
        <v/>
      </c>
      <c r="D494" s="0" t="str">
        <f aca="false">IF(Pipeline_Sort!$C494="","",INDEX(Pipeline_Calc!$E$2:$E$5251,Pipeline_Sort!$C494))</f>
        <v/>
      </c>
      <c r="E494" s="0" t="str">
        <f aca="false">IF(Pipeline_Sort!$C494="","",INDEX(Pipeline_Calc!$F$2:$F$5251,Pipeline_Sort!$C494))</f>
        <v/>
      </c>
      <c r="F494" s="0" t="str">
        <f aca="false">IF(Pipeline_Sort!$C494="","",INDEX(Pipeline_Calc!$G$2:$G$5251,Pipeline_Sort!$C494))</f>
        <v/>
      </c>
      <c r="G494" s="0" t="str">
        <f aca="false">IF(Pipeline_Sort!$C494="","",INDEX(Pipeline_Calc!$H$2:$H$5251,Pipeline_Sort!$C494))</f>
        <v/>
      </c>
      <c r="H494" s="0" t="str">
        <f aca="false">IF(Pipeline_Sort!$C494="","",INDEX(Pipeline_Calc!$I$2:$I$5251,Pipeline_Sort!$C494))</f>
        <v/>
      </c>
      <c r="I494" s="0" t="str">
        <f aca="false">IF(Pipeline_Sort!$C494="","",INDEX(Pipeline_Calc!$J$2:$J$5251,Pipeline_Sort!$C494))</f>
        <v/>
      </c>
    </row>
    <row r="495" customFormat="false" ht="15" hidden="false" customHeight="false" outlineLevel="0" collapsed="false">
      <c r="A495" s="33" t="str">
        <f aca="false">IF(Pipeline_Sort!$C495="","",INDEX(Pipeline_Calc!$B$2:$B$5251,Pipeline_Sort!$C495))</f>
        <v/>
      </c>
      <c r="B495" s="0" t="str">
        <f aca="false">IF(Pipeline_Sort!$C495="","",INDEX(Pipeline_Calc!$C$2:$C$5251,Pipeline_Sort!$C495))</f>
        <v/>
      </c>
      <c r="C495" s="0" t="str">
        <f aca="false">IF(Pipeline_Sort!$C495="","",INDEX(Pipeline_Calc!$D$2:$D$5251,Pipeline_Sort!$C495))</f>
        <v/>
      </c>
      <c r="D495" s="0" t="str">
        <f aca="false">IF(Pipeline_Sort!$C495="","",INDEX(Pipeline_Calc!$E$2:$E$5251,Pipeline_Sort!$C495))</f>
        <v/>
      </c>
      <c r="E495" s="0" t="str">
        <f aca="false">IF(Pipeline_Sort!$C495="","",INDEX(Pipeline_Calc!$F$2:$F$5251,Pipeline_Sort!$C495))</f>
        <v/>
      </c>
      <c r="F495" s="0" t="str">
        <f aca="false">IF(Pipeline_Sort!$C495="","",INDEX(Pipeline_Calc!$G$2:$G$5251,Pipeline_Sort!$C495))</f>
        <v/>
      </c>
      <c r="G495" s="0" t="str">
        <f aca="false">IF(Pipeline_Sort!$C495="","",INDEX(Pipeline_Calc!$H$2:$H$5251,Pipeline_Sort!$C495))</f>
        <v/>
      </c>
      <c r="H495" s="0" t="str">
        <f aca="false">IF(Pipeline_Sort!$C495="","",INDEX(Pipeline_Calc!$I$2:$I$5251,Pipeline_Sort!$C495))</f>
        <v/>
      </c>
      <c r="I495" s="0" t="str">
        <f aca="false">IF(Pipeline_Sort!$C495="","",INDEX(Pipeline_Calc!$J$2:$J$5251,Pipeline_Sort!$C495))</f>
        <v/>
      </c>
    </row>
    <row r="496" customFormat="false" ht="15" hidden="false" customHeight="false" outlineLevel="0" collapsed="false">
      <c r="A496" s="33" t="str">
        <f aca="false">IF(Pipeline_Sort!$C496="","",INDEX(Pipeline_Calc!$B$2:$B$5251,Pipeline_Sort!$C496))</f>
        <v/>
      </c>
      <c r="B496" s="0" t="str">
        <f aca="false">IF(Pipeline_Sort!$C496="","",INDEX(Pipeline_Calc!$C$2:$C$5251,Pipeline_Sort!$C496))</f>
        <v/>
      </c>
      <c r="C496" s="0" t="str">
        <f aca="false">IF(Pipeline_Sort!$C496="","",INDEX(Pipeline_Calc!$D$2:$D$5251,Pipeline_Sort!$C496))</f>
        <v/>
      </c>
      <c r="D496" s="0" t="str">
        <f aca="false">IF(Pipeline_Sort!$C496="","",INDEX(Pipeline_Calc!$E$2:$E$5251,Pipeline_Sort!$C496))</f>
        <v/>
      </c>
      <c r="E496" s="0" t="str">
        <f aca="false">IF(Pipeline_Sort!$C496="","",INDEX(Pipeline_Calc!$F$2:$F$5251,Pipeline_Sort!$C496))</f>
        <v/>
      </c>
      <c r="F496" s="0" t="str">
        <f aca="false">IF(Pipeline_Sort!$C496="","",INDEX(Pipeline_Calc!$G$2:$G$5251,Pipeline_Sort!$C496))</f>
        <v/>
      </c>
      <c r="G496" s="0" t="str">
        <f aca="false">IF(Pipeline_Sort!$C496="","",INDEX(Pipeline_Calc!$H$2:$H$5251,Pipeline_Sort!$C496))</f>
        <v/>
      </c>
      <c r="H496" s="0" t="str">
        <f aca="false">IF(Pipeline_Sort!$C496="","",INDEX(Pipeline_Calc!$I$2:$I$5251,Pipeline_Sort!$C496))</f>
        <v/>
      </c>
      <c r="I496" s="0" t="str">
        <f aca="false">IF(Pipeline_Sort!$C496="","",INDEX(Pipeline_Calc!$J$2:$J$5251,Pipeline_Sort!$C496))</f>
        <v/>
      </c>
    </row>
    <row r="497" customFormat="false" ht="15" hidden="false" customHeight="false" outlineLevel="0" collapsed="false">
      <c r="A497" s="33" t="str">
        <f aca="false">IF(Pipeline_Sort!$C497="","",INDEX(Pipeline_Calc!$B$2:$B$5251,Pipeline_Sort!$C497))</f>
        <v/>
      </c>
      <c r="B497" s="0" t="str">
        <f aca="false">IF(Pipeline_Sort!$C497="","",INDEX(Pipeline_Calc!$C$2:$C$5251,Pipeline_Sort!$C497))</f>
        <v/>
      </c>
      <c r="C497" s="0" t="str">
        <f aca="false">IF(Pipeline_Sort!$C497="","",INDEX(Pipeline_Calc!$D$2:$D$5251,Pipeline_Sort!$C497))</f>
        <v/>
      </c>
      <c r="D497" s="0" t="str">
        <f aca="false">IF(Pipeline_Sort!$C497="","",INDEX(Pipeline_Calc!$E$2:$E$5251,Pipeline_Sort!$C497))</f>
        <v/>
      </c>
      <c r="E497" s="0" t="str">
        <f aca="false">IF(Pipeline_Sort!$C497="","",INDEX(Pipeline_Calc!$F$2:$F$5251,Pipeline_Sort!$C497))</f>
        <v/>
      </c>
      <c r="F497" s="0" t="str">
        <f aca="false">IF(Pipeline_Sort!$C497="","",INDEX(Pipeline_Calc!$G$2:$G$5251,Pipeline_Sort!$C497))</f>
        <v/>
      </c>
      <c r="G497" s="0" t="str">
        <f aca="false">IF(Pipeline_Sort!$C497="","",INDEX(Pipeline_Calc!$H$2:$H$5251,Pipeline_Sort!$C497))</f>
        <v/>
      </c>
      <c r="H497" s="0" t="str">
        <f aca="false">IF(Pipeline_Sort!$C497="","",INDEX(Pipeline_Calc!$I$2:$I$5251,Pipeline_Sort!$C497))</f>
        <v/>
      </c>
      <c r="I497" s="0" t="str">
        <f aca="false">IF(Pipeline_Sort!$C497="","",INDEX(Pipeline_Calc!$J$2:$J$5251,Pipeline_Sort!$C497))</f>
        <v/>
      </c>
    </row>
    <row r="498" customFormat="false" ht="15" hidden="false" customHeight="false" outlineLevel="0" collapsed="false">
      <c r="A498" s="33" t="str">
        <f aca="false">IF(Pipeline_Sort!$C498="","",INDEX(Pipeline_Calc!$B$2:$B$5251,Pipeline_Sort!$C498))</f>
        <v/>
      </c>
      <c r="B498" s="0" t="str">
        <f aca="false">IF(Pipeline_Sort!$C498="","",INDEX(Pipeline_Calc!$C$2:$C$5251,Pipeline_Sort!$C498))</f>
        <v/>
      </c>
      <c r="C498" s="0" t="str">
        <f aca="false">IF(Pipeline_Sort!$C498="","",INDEX(Pipeline_Calc!$D$2:$D$5251,Pipeline_Sort!$C498))</f>
        <v/>
      </c>
      <c r="D498" s="0" t="str">
        <f aca="false">IF(Pipeline_Sort!$C498="","",INDEX(Pipeline_Calc!$E$2:$E$5251,Pipeline_Sort!$C498))</f>
        <v/>
      </c>
      <c r="E498" s="0" t="str">
        <f aca="false">IF(Pipeline_Sort!$C498="","",INDEX(Pipeline_Calc!$F$2:$F$5251,Pipeline_Sort!$C498))</f>
        <v/>
      </c>
      <c r="F498" s="0" t="str">
        <f aca="false">IF(Pipeline_Sort!$C498="","",INDEX(Pipeline_Calc!$G$2:$G$5251,Pipeline_Sort!$C498))</f>
        <v/>
      </c>
      <c r="G498" s="0" t="str">
        <f aca="false">IF(Pipeline_Sort!$C498="","",INDEX(Pipeline_Calc!$H$2:$H$5251,Pipeline_Sort!$C498))</f>
        <v/>
      </c>
      <c r="H498" s="0" t="str">
        <f aca="false">IF(Pipeline_Sort!$C498="","",INDEX(Pipeline_Calc!$I$2:$I$5251,Pipeline_Sort!$C498))</f>
        <v/>
      </c>
      <c r="I498" s="0" t="str">
        <f aca="false">IF(Pipeline_Sort!$C498="","",INDEX(Pipeline_Calc!$J$2:$J$5251,Pipeline_Sort!$C498))</f>
        <v/>
      </c>
    </row>
    <row r="499" customFormat="false" ht="15" hidden="false" customHeight="false" outlineLevel="0" collapsed="false">
      <c r="A499" s="33" t="str">
        <f aca="false">IF(Pipeline_Sort!$C499="","",INDEX(Pipeline_Calc!$B$2:$B$5251,Pipeline_Sort!$C499))</f>
        <v/>
      </c>
      <c r="B499" s="0" t="str">
        <f aca="false">IF(Pipeline_Sort!$C499="","",INDEX(Pipeline_Calc!$C$2:$C$5251,Pipeline_Sort!$C499))</f>
        <v/>
      </c>
      <c r="C499" s="0" t="str">
        <f aca="false">IF(Pipeline_Sort!$C499="","",INDEX(Pipeline_Calc!$D$2:$D$5251,Pipeline_Sort!$C499))</f>
        <v/>
      </c>
      <c r="D499" s="0" t="str">
        <f aca="false">IF(Pipeline_Sort!$C499="","",INDEX(Pipeline_Calc!$E$2:$E$5251,Pipeline_Sort!$C499))</f>
        <v/>
      </c>
      <c r="E499" s="0" t="str">
        <f aca="false">IF(Pipeline_Sort!$C499="","",INDEX(Pipeline_Calc!$F$2:$F$5251,Pipeline_Sort!$C499))</f>
        <v/>
      </c>
      <c r="F499" s="0" t="str">
        <f aca="false">IF(Pipeline_Sort!$C499="","",INDEX(Pipeline_Calc!$G$2:$G$5251,Pipeline_Sort!$C499))</f>
        <v/>
      </c>
      <c r="G499" s="0" t="str">
        <f aca="false">IF(Pipeline_Sort!$C499="","",INDEX(Pipeline_Calc!$H$2:$H$5251,Pipeline_Sort!$C499))</f>
        <v/>
      </c>
      <c r="H499" s="0" t="str">
        <f aca="false">IF(Pipeline_Sort!$C499="","",INDEX(Pipeline_Calc!$I$2:$I$5251,Pipeline_Sort!$C499))</f>
        <v/>
      </c>
      <c r="I499" s="0" t="str">
        <f aca="false">IF(Pipeline_Sort!$C499="","",INDEX(Pipeline_Calc!$J$2:$J$5251,Pipeline_Sort!$C499))</f>
        <v/>
      </c>
    </row>
    <row r="500" customFormat="false" ht="15" hidden="false" customHeight="false" outlineLevel="0" collapsed="false">
      <c r="A500" s="33" t="str">
        <f aca="false">IF(Pipeline_Sort!$C500="","",INDEX(Pipeline_Calc!$B$2:$B$5251,Pipeline_Sort!$C500))</f>
        <v/>
      </c>
      <c r="B500" s="0" t="str">
        <f aca="false">IF(Pipeline_Sort!$C500="","",INDEX(Pipeline_Calc!$C$2:$C$5251,Pipeline_Sort!$C500))</f>
        <v/>
      </c>
      <c r="C500" s="0" t="str">
        <f aca="false">IF(Pipeline_Sort!$C500="","",INDEX(Pipeline_Calc!$D$2:$D$5251,Pipeline_Sort!$C500))</f>
        <v/>
      </c>
      <c r="D500" s="0" t="str">
        <f aca="false">IF(Pipeline_Sort!$C500="","",INDEX(Pipeline_Calc!$E$2:$E$5251,Pipeline_Sort!$C500))</f>
        <v/>
      </c>
      <c r="E500" s="0" t="str">
        <f aca="false">IF(Pipeline_Sort!$C500="","",INDEX(Pipeline_Calc!$F$2:$F$5251,Pipeline_Sort!$C500))</f>
        <v/>
      </c>
      <c r="F500" s="0" t="str">
        <f aca="false">IF(Pipeline_Sort!$C500="","",INDEX(Pipeline_Calc!$G$2:$G$5251,Pipeline_Sort!$C500))</f>
        <v/>
      </c>
      <c r="G500" s="0" t="str">
        <f aca="false">IF(Pipeline_Sort!$C500="","",INDEX(Pipeline_Calc!$H$2:$H$5251,Pipeline_Sort!$C500))</f>
        <v/>
      </c>
      <c r="H500" s="0" t="str">
        <f aca="false">IF(Pipeline_Sort!$C500="","",INDEX(Pipeline_Calc!$I$2:$I$5251,Pipeline_Sort!$C500))</f>
        <v/>
      </c>
      <c r="I500" s="0" t="str">
        <f aca="false">IF(Pipeline_Sort!$C500="","",INDEX(Pipeline_Calc!$J$2:$J$5251,Pipeline_Sort!$C500))</f>
        <v/>
      </c>
    </row>
    <row r="501" customFormat="false" ht="15" hidden="false" customHeight="false" outlineLevel="0" collapsed="false">
      <c r="A501" s="33" t="str">
        <f aca="false">IF(Pipeline_Sort!$C501="","",INDEX(Pipeline_Calc!$B$2:$B$5251,Pipeline_Sort!$C501))</f>
        <v/>
      </c>
      <c r="B501" s="0" t="str">
        <f aca="false">IF(Pipeline_Sort!$C501="","",INDEX(Pipeline_Calc!$C$2:$C$5251,Pipeline_Sort!$C501))</f>
        <v/>
      </c>
      <c r="C501" s="0" t="str">
        <f aca="false">IF(Pipeline_Sort!$C501="","",INDEX(Pipeline_Calc!$D$2:$D$5251,Pipeline_Sort!$C501))</f>
        <v/>
      </c>
      <c r="D501" s="0" t="str">
        <f aca="false">IF(Pipeline_Sort!$C501="","",INDEX(Pipeline_Calc!$E$2:$E$5251,Pipeline_Sort!$C501))</f>
        <v/>
      </c>
      <c r="E501" s="0" t="str">
        <f aca="false">IF(Pipeline_Sort!$C501="","",INDEX(Pipeline_Calc!$F$2:$F$5251,Pipeline_Sort!$C501))</f>
        <v/>
      </c>
      <c r="F501" s="0" t="str">
        <f aca="false">IF(Pipeline_Sort!$C501="","",INDEX(Pipeline_Calc!$G$2:$G$5251,Pipeline_Sort!$C501))</f>
        <v/>
      </c>
      <c r="G501" s="0" t="str">
        <f aca="false">IF(Pipeline_Sort!$C501="","",INDEX(Pipeline_Calc!$H$2:$H$5251,Pipeline_Sort!$C501))</f>
        <v/>
      </c>
      <c r="H501" s="0" t="str">
        <f aca="false">IF(Pipeline_Sort!$C501="","",INDEX(Pipeline_Calc!$I$2:$I$5251,Pipeline_Sort!$C501))</f>
        <v/>
      </c>
      <c r="I501" s="0" t="str">
        <f aca="false">IF(Pipeline_Sort!$C501="","",INDEX(Pipeline_Calc!$J$2:$J$5251,Pipeline_Sort!$C501))</f>
        <v/>
      </c>
    </row>
    <row r="502" customFormat="false" ht="15" hidden="false" customHeight="false" outlineLevel="0" collapsed="false">
      <c r="A502" s="33" t="str">
        <f aca="false">IF(Pipeline_Sort!$C502="","",INDEX(Pipeline_Calc!$B$2:$B$5251,Pipeline_Sort!$C502))</f>
        <v/>
      </c>
      <c r="B502" s="0" t="str">
        <f aca="false">IF(Pipeline_Sort!$C502="","",INDEX(Pipeline_Calc!$C$2:$C$5251,Pipeline_Sort!$C502))</f>
        <v/>
      </c>
      <c r="C502" s="0" t="str">
        <f aca="false">IF(Pipeline_Sort!$C502="","",INDEX(Pipeline_Calc!$D$2:$D$5251,Pipeline_Sort!$C502))</f>
        <v/>
      </c>
      <c r="D502" s="0" t="str">
        <f aca="false">IF(Pipeline_Sort!$C502="","",INDEX(Pipeline_Calc!$E$2:$E$5251,Pipeline_Sort!$C502))</f>
        <v/>
      </c>
      <c r="E502" s="0" t="str">
        <f aca="false">IF(Pipeline_Sort!$C502="","",INDEX(Pipeline_Calc!$F$2:$F$5251,Pipeline_Sort!$C502))</f>
        <v/>
      </c>
      <c r="F502" s="0" t="str">
        <f aca="false">IF(Pipeline_Sort!$C502="","",INDEX(Pipeline_Calc!$G$2:$G$5251,Pipeline_Sort!$C502))</f>
        <v/>
      </c>
      <c r="G502" s="0" t="str">
        <f aca="false">IF(Pipeline_Sort!$C502="","",INDEX(Pipeline_Calc!$H$2:$H$5251,Pipeline_Sort!$C502))</f>
        <v/>
      </c>
      <c r="H502" s="0" t="str">
        <f aca="false">IF(Pipeline_Sort!$C502="","",INDEX(Pipeline_Calc!$I$2:$I$5251,Pipeline_Sort!$C502))</f>
        <v/>
      </c>
      <c r="I502" s="0" t="str">
        <f aca="false">IF(Pipeline_Sort!$C502="","",INDEX(Pipeline_Calc!$J$2:$J$5251,Pipeline_Sort!$C502))</f>
        <v/>
      </c>
    </row>
    <row r="503" customFormat="false" ht="15" hidden="false" customHeight="false" outlineLevel="0" collapsed="false">
      <c r="A503" s="33" t="str">
        <f aca="false">IF(Pipeline_Sort!$C503="","",INDEX(Pipeline_Calc!$B$2:$B$5251,Pipeline_Sort!$C503))</f>
        <v/>
      </c>
      <c r="B503" s="0" t="str">
        <f aca="false">IF(Pipeline_Sort!$C503="","",INDEX(Pipeline_Calc!$C$2:$C$5251,Pipeline_Sort!$C503))</f>
        <v/>
      </c>
      <c r="C503" s="0" t="str">
        <f aca="false">IF(Pipeline_Sort!$C503="","",INDEX(Pipeline_Calc!$D$2:$D$5251,Pipeline_Sort!$C503))</f>
        <v/>
      </c>
      <c r="D503" s="0" t="str">
        <f aca="false">IF(Pipeline_Sort!$C503="","",INDEX(Pipeline_Calc!$E$2:$E$5251,Pipeline_Sort!$C503))</f>
        <v/>
      </c>
      <c r="E503" s="0" t="str">
        <f aca="false">IF(Pipeline_Sort!$C503="","",INDEX(Pipeline_Calc!$F$2:$F$5251,Pipeline_Sort!$C503))</f>
        <v/>
      </c>
      <c r="F503" s="0" t="str">
        <f aca="false">IF(Pipeline_Sort!$C503="","",INDEX(Pipeline_Calc!$G$2:$G$5251,Pipeline_Sort!$C503))</f>
        <v/>
      </c>
      <c r="G503" s="0" t="str">
        <f aca="false">IF(Pipeline_Sort!$C503="","",INDEX(Pipeline_Calc!$H$2:$H$5251,Pipeline_Sort!$C503))</f>
        <v/>
      </c>
      <c r="H503" s="0" t="str">
        <f aca="false">IF(Pipeline_Sort!$C503="","",INDEX(Pipeline_Calc!$I$2:$I$5251,Pipeline_Sort!$C503))</f>
        <v/>
      </c>
      <c r="I503" s="0" t="str">
        <f aca="false">IF(Pipeline_Sort!$C503="","",INDEX(Pipeline_Calc!$J$2:$J$5251,Pipeline_Sort!$C503))</f>
        <v/>
      </c>
    </row>
    <row r="504" customFormat="false" ht="15" hidden="false" customHeight="false" outlineLevel="0" collapsed="false">
      <c r="A504" s="33" t="str">
        <f aca="false">IF(Pipeline_Sort!$C504="","",INDEX(Pipeline_Calc!$B$2:$B$5251,Pipeline_Sort!$C504))</f>
        <v/>
      </c>
      <c r="B504" s="0" t="str">
        <f aca="false">IF(Pipeline_Sort!$C504="","",INDEX(Pipeline_Calc!$C$2:$C$5251,Pipeline_Sort!$C504))</f>
        <v/>
      </c>
      <c r="C504" s="0" t="str">
        <f aca="false">IF(Pipeline_Sort!$C504="","",INDEX(Pipeline_Calc!$D$2:$D$5251,Pipeline_Sort!$C504))</f>
        <v/>
      </c>
      <c r="D504" s="0" t="str">
        <f aca="false">IF(Pipeline_Sort!$C504="","",INDEX(Pipeline_Calc!$E$2:$E$5251,Pipeline_Sort!$C504))</f>
        <v/>
      </c>
      <c r="E504" s="0" t="str">
        <f aca="false">IF(Pipeline_Sort!$C504="","",INDEX(Pipeline_Calc!$F$2:$F$5251,Pipeline_Sort!$C504))</f>
        <v/>
      </c>
      <c r="F504" s="0" t="str">
        <f aca="false">IF(Pipeline_Sort!$C504="","",INDEX(Pipeline_Calc!$G$2:$G$5251,Pipeline_Sort!$C504))</f>
        <v/>
      </c>
      <c r="G504" s="0" t="str">
        <f aca="false">IF(Pipeline_Sort!$C504="","",INDEX(Pipeline_Calc!$H$2:$H$5251,Pipeline_Sort!$C504))</f>
        <v/>
      </c>
      <c r="H504" s="0" t="str">
        <f aca="false">IF(Pipeline_Sort!$C504="","",INDEX(Pipeline_Calc!$I$2:$I$5251,Pipeline_Sort!$C504))</f>
        <v/>
      </c>
      <c r="I504" s="0" t="str">
        <f aca="false">IF(Pipeline_Sort!$C504="","",INDEX(Pipeline_Calc!$J$2:$J$5251,Pipeline_Sort!$C504))</f>
        <v/>
      </c>
    </row>
    <row r="505" customFormat="false" ht="15" hidden="false" customHeight="false" outlineLevel="0" collapsed="false">
      <c r="A505" s="33" t="str">
        <f aca="false">IF(Pipeline_Sort!$C505="","",INDEX(Pipeline_Calc!$B$2:$B$5251,Pipeline_Sort!$C505))</f>
        <v/>
      </c>
      <c r="B505" s="0" t="str">
        <f aca="false">IF(Pipeline_Sort!$C505="","",INDEX(Pipeline_Calc!$C$2:$C$5251,Pipeline_Sort!$C505))</f>
        <v/>
      </c>
      <c r="C505" s="0" t="str">
        <f aca="false">IF(Pipeline_Sort!$C505="","",INDEX(Pipeline_Calc!$D$2:$D$5251,Pipeline_Sort!$C505))</f>
        <v/>
      </c>
      <c r="D505" s="0" t="str">
        <f aca="false">IF(Pipeline_Sort!$C505="","",INDEX(Pipeline_Calc!$E$2:$E$5251,Pipeline_Sort!$C505))</f>
        <v/>
      </c>
      <c r="E505" s="0" t="str">
        <f aca="false">IF(Pipeline_Sort!$C505="","",INDEX(Pipeline_Calc!$F$2:$F$5251,Pipeline_Sort!$C505))</f>
        <v/>
      </c>
      <c r="F505" s="0" t="str">
        <f aca="false">IF(Pipeline_Sort!$C505="","",INDEX(Pipeline_Calc!$G$2:$G$5251,Pipeline_Sort!$C505))</f>
        <v/>
      </c>
      <c r="G505" s="0" t="str">
        <f aca="false">IF(Pipeline_Sort!$C505="","",INDEX(Pipeline_Calc!$H$2:$H$5251,Pipeline_Sort!$C505))</f>
        <v/>
      </c>
      <c r="H505" s="0" t="str">
        <f aca="false">IF(Pipeline_Sort!$C505="","",INDEX(Pipeline_Calc!$I$2:$I$5251,Pipeline_Sort!$C505))</f>
        <v/>
      </c>
      <c r="I505" s="0" t="str">
        <f aca="false">IF(Pipeline_Sort!$C505="","",INDEX(Pipeline_Calc!$J$2:$J$5251,Pipeline_Sort!$C505))</f>
        <v/>
      </c>
    </row>
    <row r="506" customFormat="false" ht="15" hidden="false" customHeight="false" outlineLevel="0" collapsed="false">
      <c r="A506" s="33" t="str">
        <f aca="false">IF(Pipeline_Sort!$C506="","",INDEX(Pipeline_Calc!$B$2:$B$5251,Pipeline_Sort!$C506))</f>
        <v/>
      </c>
      <c r="B506" s="0" t="str">
        <f aca="false">IF(Pipeline_Sort!$C506="","",INDEX(Pipeline_Calc!$C$2:$C$5251,Pipeline_Sort!$C506))</f>
        <v/>
      </c>
      <c r="C506" s="0" t="str">
        <f aca="false">IF(Pipeline_Sort!$C506="","",INDEX(Pipeline_Calc!$D$2:$D$5251,Pipeline_Sort!$C506))</f>
        <v/>
      </c>
      <c r="D506" s="0" t="str">
        <f aca="false">IF(Pipeline_Sort!$C506="","",INDEX(Pipeline_Calc!$E$2:$E$5251,Pipeline_Sort!$C506))</f>
        <v/>
      </c>
      <c r="E506" s="0" t="str">
        <f aca="false">IF(Pipeline_Sort!$C506="","",INDEX(Pipeline_Calc!$F$2:$F$5251,Pipeline_Sort!$C506))</f>
        <v/>
      </c>
      <c r="F506" s="0" t="str">
        <f aca="false">IF(Pipeline_Sort!$C506="","",INDEX(Pipeline_Calc!$G$2:$G$5251,Pipeline_Sort!$C506))</f>
        <v/>
      </c>
      <c r="G506" s="0" t="str">
        <f aca="false">IF(Pipeline_Sort!$C506="","",INDEX(Pipeline_Calc!$H$2:$H$5251,Pipeline_Sort!$C506))</f>
        <v/>
      </c>
      <c r="H506" s="0" t="str">
        <f aca="false">IF(Pipeline_Sort!$C506="","",INDEX(Pipeline_Calc!$I$2:$I$5251,Pipeline_Sort!$C506))</f>
        <v/>
      </c>
      <c r="I506" s="0" t="str">
        <f aca="false">IF(Pipeline_Sort!$C506="","",INDEX(Pipeline_Calc!$J$2:$J$5251,Pipeline_Sort!$C506))</f>
        <v/>
      </c>
    </row>
    <row r="507" customFormat="false" ht="15" hidden="false" customHeight="false" outlineLevel="0" collapsed="false">
      <c r="A507" s="33" t="str">
        <f aca="false">IF(Pipeline_Sort!$C507="","",INDEX(Pipeline_Calc!$B$2:$B$5251,Pipeline_Sort!$C507))</f>
        <v/>
      </c>
      <c r="B507" s="0" t="str">
        <f aca="false">IF(Pipeline_Sort!$C507="","",INDEX(Pipeline_Calc!$C$2:$C$5251,Pipeline_Sort!$C507))</f>
        <v/>
      </c>
      <c r="C507" s="0" t="str">
        <f aca="false">IF(Pipeline_Sort!$C507="","",INDEX(Pipeline_Calc!$D$2:$D$5251,Pipeline_Sort!$C507))</f>
        <v/>
      </c>
      <c r="D507" s="0" t="str">
        <f aca="false">IF(Pipeline_Sort!$C507="","",INDEX(Pipeline_Calc!$E$2:$E$5251,Pipeline_Sort!$C507))</f>
        <v/>
      </c>
      <c r="E507" s="0" t="str">
        <f aca="false">IF(Pipeline_Sort!$C507="","",INDEX(Pipeline_Calc!$F$2:$F$5251,Pipeline_Sort!$C507))</f>
        <v/>
      </c>
      <c r="F507" s="0" t="str">
        <f aca="false">IF(Pipeline_Sort!$C507="","",INDEX(Pipeline_Calc!$G$2:$G$5251,Pipeline_Sort!$C507))</f>
        <v/>
      </c>
      <c r="G507" s="0" t="str">
        <f aca="false">IF(Pipeline_Sort!$C507="","",INDEX(Pipeline_Calc!$H$2:$H$5251,Pipeline_Sort!$C507))</f>
        <v/>
      </c>
      <c r="H507" s="0" t="str">
        <f aca="false">IF(Pipeline_Sort!$C507="","",INDEX(Pipeline_Calc!$I$2:$I$5251,Pipeline_Sort!$C507))</f>
        <v/>
      </c>
      <c r="I507" s="0" t="str">
        <f aca="false">IF(Pipeline_Sort!$C507="","",INDEX(Pipeline_Calc!$J$2:$J$5251,Pipeline_Sort!$C507))</f>
        <v/>
      </c>
    </row>
    <row r="508" customFormat="false" ht="15" hidden="false" customHeight="false" outlineLevel="0" collapsed="false">
      <c r="A508" s="33" t="str">
        <f aca="false">IF(Pipeline_Sort!$C508="","",INDEX(Pipeline_Calc!$B$2:$B$5251,Pipeline_Sort!$C508))</f>
        <v/>
      </c>
      <c r="B508" s="0" t="str">
        <f aca="false">IF(Pipeline_Sort!$C508="","",INDEX(Pipeline_Calc!$C$2:$C$5251,Pipeline_Sort!$C508))</f>
        <v/>
      </c>
      <c r="C508" s="0" t="str">
        <f aca="false">IF(Pipeline_Sort!$C508="","",INDEX(Pipeline_Calc!$D$2:$D$5251,Pipeline_Sort!$C508))</f>
        <v/>
      </c>
      <c r="D508" s="0" t="str">
        <f aca="false">IF(Pipeline_Sort!$C508="","",INDEX(Pipeline_Calc!$E$2:$E$5251,Pipeline_Sort!$C508))</f>
        <v/>
      </c>
      <c r="E508" s="0" t="str">
        <f aca="false">IF(Pipeline_Sort!$C508="","",INDEX(Pipeline_Calc!$F$2:$F$5251,Pipeline_Sort!$C508))</f>
        <v/>
      </c>
      <c r="F508" s="0" t="str">
        <f aca="false">IF(Pipeline_Sort!$C508="","",INDEX(Pipeline_Calc!$G$2:$G$5251,Pipeline_Sort!$C508))</f>
        <v/>
      </c>
      <c r="G508" s="0" t="str">
        <f aca="false">IF(Pipeline_Sort!$C508="","",INDEX(Pipeline_Calc!$H$2:$H$5251,Pipeline_Sort!$C508))</f>
        <v/>
      </c>
      <c r="H508" s="0" t="str">
        <f aca="false">IF(Pipeline_Sort!$C508="","",INDEX(Pipeline_Calc!$I$2:$I$5251,Pipeline_Sort!$C508))</f>
        <v/>
      </c>
      <c r="I508" s="0" t="str">
        <f aca="false">IF(Pipeline_Sort!$C508="","",INDEX(Pipeline_Calc!$J$2:$J$5251,Pipeline_Sort!$C508))</f>
        <v/>
      </c>
    </row>
    <row r="509" customFormat="false" ht="15" hidden="false" customHeight="false" outlineLevel="0" collapsed="false">
      <c r="A509" s="33" t="str">
        <f aca="false">IF(Pipeline_Sort!$C509="","",INDEX(Pipeline_Calc!$B$2:$B$5251,Pipeline_Sort!$C509))</f>
        <v/>
      </c>
      <c r="B509" s="0" t="str">
        <f aca="false">IF(Pipeline_Sort!$C509="","",INDEX(Pipeline_Calc!$C$2:$C$5251,Pipeline_Sort!$C509))</f>
        <v/>
      </c>
      <c r="C509" s="0" t="str">
        <f aca="false">IF(Pipeline_Sort!$C509="","",INDEX(Pipeline_Calc!$D$2:$D$5251,Pipeline_Sort!$C509))</f>
        <v/>
      </c>
      <c r="D509" s="0" t="str">
        <f aca="false">IF(Pipeline_Sort!$C509="","",INDEX(Pipeline_Calc!$E$2:$E$5251,Pipeline_Sort!$C509))</f>
        <v/>
      </c>
      <c r="E509" s="0" t="str">
        <f aca="false">IF(Pipeline_Sort!$C509="","",INDEX(Pipeline_Calc!$F$2:$F$5251,Pipeline_Sort!$C509))</f>
        <v/>
      </c>
      <c r="F509" s="0" t="str">
        <f aca="false">IF(Pipeline_Sort!$C509="","",INDEX(Pipeline_Calc!$G$2:$G$5251,Pipeline_Sort!$C509))</f>
        <v/>
      </c>
      <c r="G509" s="0" t="str">
        <f aca="false">IF(Pipeline_Sort!$C509="","",INDEX(Pipeline_Calc!$H$2:$H$5251,Pipeline_Sort!$C509))</f>
        <v/>
      </c>
      <c r="H509" s="0" t="str">
        <f aca="false">IF(Pipeline_Sort!$C509="","",INDEX(Pipeline_Calc!$I$2:$I$5251,Pipeline_Sort!$C509))</f>
        <v/>
      </c>
      <c r="I509" s="0" t="str">
        <f aca="false">IF(Pipeline_Sort!$C509="","",INDEX(Pipeline_Calc!$J$2:$J$5251,Pipeline_Sort!$C509))</f>
        <v/>
      </c>
    </row>
    <row r="510" customFormat="false" ht="15" hidden="false" customHeight="false" outlineLevel="0" collapsed="false">
      <c r="A510" s="33" t="str">
        <f aca="false">IF(Pipeline_Sort!$C510="","",INDEX(Pipeline_Calc!$B$2:$B$5251,Pipeline_Sort!$C510))</f>
        <v/>
      </c>
      <c r="B510" s="0" t="str">
        <f aca="false">IF(Pipeline_Sort!$C510="","",INDEX(Pipeline_Calc!$C$2:$C$5251,Pipeline_Sort!$C510))</f>
        <v/>
      </c>
      <c r="C510" s="0" t="str">
        <f aca="false">IF(Pipeline_Sort!$C510="","",INDEX(Pipeline_Calc!$D$2:$D$5251,Pipeline_Sort!$C510))</f>
        <v/>
      </c>
      <c r="D510" s="0" t="str">
        <f aca="false">IF(Pipeline_Sort!$C510="","",INDEX(Pipeline_Calc!$E$2:$E$5251,Pipeline_Sort!$C510))</f>
        <v/>
      </c>
      <c r="E510" s="0" t="str">
        <f aca="false">IF(Pipeline_Sort!$C510="","",INDEX(Pipeline_Calc!$F$2:$F$5251,Pipeline_Sort!$C510))</f>
        <v/>
      </c>
      <c r="F510" s="0" t="str">
        <f aca="false">IF(Pipeline_Sort!$C510="","",INDEX(Pipeline_Calc!$G$2:$G$5251,Pipeline_Sort!$C510))</f>
        <v/>
      </c>
      <c r="G510" s="0" t="str">
        <f aca="false">IF(Pipeline_Sort!$C510="","",INDEX(Pipeline_Calc!$H$2:$H$5251,Pipeline_Sort!$C510))</f>
        <v/>
      </c>
      <c r="H510" s="0" t="str">
        <f aca="false">IF(Pipeline_Sort!$C510="","",INDEX(Pipeline_Calc!$I$2:$I$5251,Pipeline_Sort!$C510))</f>
        <v/>
      </c>
      <c r="I510" s="0" t="str">
        <f aca="false">IF(Pipeline_Sort!$C510="","",INDEX(Pipeline_Calc!$J$2:$J$5251,Pipeline_Sort!$C510))</f>
        <v/>
      </c>
    </row>
    <row r="511" customFormat="false" ht="15" hidden="false" customHeight="false" outlineLevel="0" collapsed="false">
      <c r="A511" s="33" t="str">
        <f aca="false">IF(Pipeline_Sort!$C511="","",INDEX(Pipeline_Calc!$B$2:$B$5251,Pipeline_Sort!$C511))</f>
        <v/>
      </c>
      <c r="B511" s="0" t="str">
        <f aca="false">IF(Pipeline_Sort!$C511="","",INDEX(Pipeline_Calc!$C$2:$C$5251,Pipeline_Sort!$C511))</f>
        <v/>
      </c>
      <c r="C511" s="0" t="str">
        <f aca="false">IF(Pipeline_Sort!$C511="","",INDEX(Pipeline_Calc!$D$2:$D$5251,Pipeline_Sort!$C511))</f>
        <v/>
      </c>
      <c r="D511" s="0" t="str">
        <f aca="false">IF(Pipeline_Sort!$C511="","",INDEX(Pipeline_Calc!$E$2:$E$5251,Pipeline_Sort!$C511))</f>
        <v/>
      </c>
      <c r="E511" s="0" t="str">
        <f aca="false">IF(Pipeline_Sort!$C511="","",INDEX(Pipeline_Calc!$F$2:$F$5251,Pipeline_Sort!$C511))</f>
        <v/>
      </c>
      <c r="F511" s="0" t="str">
        <f aca="false">IF(Pipeline_Sort!$C511="","",INDEX(Pipeline_Calc!$G$2:$G$5251,Pipeline_Sort!$C511))</f>
        <v/>
      </c>
      <c r="G511" s="0" t="str">
        <f aca="false">IF(Pipeline_Sort!$C511="","",INDEX(Pipeline_Calc!$H$2:$H$5251,Pipeline_Sort!$C511))</f>
        <v/>
      </c>
      <c r="H511" s="0" t="str">
        <f aca="false">IF(Pipeline_Sort!$C511="","",INDEX(Pipeline_Calc!$I$2:$I$5251,Pipeline_Sort!$C511))</f>
        <v/>
      </c>
      <c r="I511" s="0" t="str">
        <f aca="false">IF(Pipeline_Sort!$C511="","",INDEX(Pipeline_Calc!$J$2:$J$5251,Pipeline_Sort!$C511))</f>
        <v/>
      </c>
    </row>
    <row r="512" customFormat="false" ht="15" hidden="false" customHeight="false" outlineLevel="0" collapsed="false">
      <c r="A512" s="33" t="str">
        <f aca="false">IF(Pipeline_Sort!$C512="","",INDEX(Pipeline_Calc!$B$2:$B$5251,Pipeline_Sort!$C512))</f>
        <v/>
      </c>
      <c r="B512" s="0" t="str">
        <f aca="false">IF(Pipeline_Sort!$C512="","",INDEX(Pipeline_Calc!$C$2:$C$5251,Pipeline_Sort!$C512))</f>
        <v/>
      </c>
      <c r="C512" s="0" t="str">
        <f aca="false">IF(Pipeline_Sort!$C512="","",INDEX(Pipeline_Calc!$D$2:$D$5251,Pipeline_Sort!$C512))</f>
        <v/>
      </c>
      <c r="D512" s="0" t="str">
        <f aca="false">IF(Pipeline_Sort!$C512="","",INDEX(Pipeline_Calc!$E$2:$E$5251,Pipeline_Sort!$C512))</f>
        <v/>
      </c>
      <c r="E512" s="0" t="str">
        <f aca="false">IF(Pipeline_Sort!$C512="","",INDEX(Pipeline_Calc!$F$2:$F$5251,Pipeline_Sort!$C512))</f>
        <v/>
      </c>
      <c r="F512" s="0" t="str">
        <f aca="false">IF(Pipeline_Sort!$C512="","",INDEX(Pipeline_Calc!$G$2:$G$5251,Pipeline_Sort!$C512))</f>
        <v/>
      </c>
      <c r="G512" s="0" t="str">
        <f aca="false">IF(Pipeline_Sort!$C512="","",INDEX(Pipeline_Calc!$H$2:$H$5251,Pipeline_Sort!$C512))</f>
        <v/>
      </c>
      <c r="H512" s="0" t="str">
        <f aca="false">IF(Pipeline_Sort!$C512="","",INDEX(Pipeline_Calc!$I$2:$I$5251,Pipeline_Sort!$C512))</f>
        <v/>
      </c>
      <c r="I512" s="0" t="str">
        <f aca="false">IF(Pipeline_Sort!$C512="","",INDEX(Pipeline_Calc!$J$2:$J$5251,Pipeline_Sort!$C512))</f>
        <v/>
      </c>
    </row>
    <row r="513" customFormat="false" ht="15" hidden="false" customHeight="false" outlineLevel="0" collapsed="false">
      <c r="A513" s="33" t="str">
        <f aca="false">IF(Pipeline_Sort!$C513="","",INDEX(Pipeline_Calc!$B$2:$B$5251,Pipeline_Sort!$C513))</f>
        <v/>
      </c>
      <c r="B513" s="0" t="str">
        <f aca="false">IF(Pipeline_Sort!$C513="","",INDEX(Pipeline_Calc!$C$2:$C$5251,Pipeline_Sort!$C513))</f>
        <v/>
      </c>
      <c r="C513" s="0" t="str">
        <f aca="false">IF(Pipeline_Sort!$C513="","",INDEX(Pipeline_Calc!$D$2:$D$5251,Pipeline_Sort!$C513))</f>
        <v/>
      </c>
      <c r="D513" s="0" t="str">
        <f aca="false">IF(Pipeline_Sort!$C513="","",INDEX(Pipeline_Calc!$E$2:$E$5251,Pipeline_Sort!$C513))</f>
        <v/>
      </c>
      <c r="E513" s="0" t="str">
        <f aca="false">IF(Pipeline_Sort!$C513="","",INDEX(Pipeline_Calc!$F$2:$F$5251,Pipeline_Sort!$C513))</f>
        <v/>
      </c>
      <c r="F513" s="0" t="str">
        <f aca="false">IF(Pipeline_Sort!$C513="","",INDEX(Pipeline_Calc!$G$2:$G$5251,Pipeline_Sort!$C513))</f>
        <v/>
      </c>
      <c r="G513" s="0" t="str">
        <f aca="false">IF(Pipeline_Sort!$C513="","",INDEX(Pipeline_Calc!$H$2:$H$5251,Pipeline_Sort!$C513))</f>
        <v/>
      </c>
      <c r="H513" s="0" t="str">
        <f aca="false">IF(Pipeline_Sort!$C513="","",INDEX(Pipeline_Calc!$I$2:$I$5251,Pipeline_Sort!$C513))</f>
        <v/>
      </c>
      <c r="I513" s="0" t="str">
        <f aca="false">IF(Pipeline_Sort!$C513="","",INDEX(Pipeline_Calc!$J$2:$J$5251,Pipeline_Sort!$C513))</f>
        <v/>
      </c>
    </row>
    <row r="514" customFormat="false" ht="15" hidden="false" customHeight="false" outlineLevel="0" collapsed="false">
      <c r="A514" s="33" t="str">
        <f aca="false">IF(Pipeline_Sort!$C514="","",INDEX(Pipeline_Calc!$B$2:$B$5251,Pipeline_Sort!$C514))</f>
        <v/>
      </c>
      <c r="B514" s="0" t="str">
        <f aca="false">IF(Pipeline_Sort!$C514="","",INDEX(Pipeline_Calc!$C$2:$C$5251,Pipeline_Sort!$C514))</f>
        <v/>
      </c>
      <c r="C514" s="0" t="str">
        <f aca="false">IF(Pipeline_Sort!$C514="","",INDEX(Pipeline_Calc!$D$2:$D$5251,Pipeline_Sort!$C514))</f>
        <v/>
      </c>
      <c r="D514" s="0" t="str">
        <f aca="false">IF(Pipeline_Sort!$C514="","",INDEX(Pipeline_Calc!$E$2:$E$5251,Pipeline_Sort!$C514))</f>
        <v/>
      </c>
      <c r="E514" s="0" t="str">
        <f aca="false">IF(Pipeline_Sort!$C514="","",INDEX(Pipeline_Calc!$F$2:$F$5251,Pipeline_Sort!$C514))</f>
        <v/>
      </c>
      <c r="F514" s="0" t="str">
        <f aca="false">IF(Pipeline_Sort!$C514="","",INDEX(Pipeline_Calc!$G$2:$G$5251,Pipeline_Sort!$C514))</f>
        <v/>
      </c>
      <c r="G514" s="0" t="str">
        <f aca="false">IF(Pipeline_Sort!$C514="","",INDEX(Pipeline_Calc!$H$2:$H$5251,Pipeline_Sort!$C514))</f>
        <v/>
      </c>
      <c r="H514" s="0" t="str">
        <f aca="false">IF(Pipeline_Sort!$C514="","",INDEX(Pipeline_Calc!$I$2:$I$5251,Pipeline_Sort!$C514))</f>
        <v/>
      </c>
      <c r="I514" s="0" t="str">
        <f aca="false">IF(Pipeline_Sort!$C514="","",INDEX(Pipeline_Calc!$J$2:$J$5251,Pipeline_Sort!$C514))</f>
        <v/>
      </c>
    </row>
    <row r="515" customFormat="false" ht="15" hidden="false" customHeight="false" outlineLevel="0" collapsed="false">
      <c r="A515" s="33" t="str">
        <f aca="false">IF(Pipeline_Sort!$C515="","",INDEX(Pipeline_Calc!$B$2:$B$5251,Pipeline_Sort!$C515))</f>
        <v/>
      </c>
      <c r="B515" s="0" t="str">
        <f aca="false">IF(Pipeline_Sort!$C515="","",INDEX(Pipeline_Calc!$C$2:$C$5251,Pipeline_Sort!$C515))</f>
        <v/>
      </c>
      <c r="C515" s="0" t="str">
        <f aca="false">IF(Pipeline_Sort!$C515="","",INDEX(Pipeline_Calc!$D$2:$D$5251,Pipeline_Sort!$C515))</f>
        <v/>
      </c>
      <c r="D515" s="0" t="str">
        <f aca="false">IF(Pipeline_Sort!$C515="","",INDEX(Pipeline_Calc!$E$2:$E$5251,Pipeline_Sort!$C515))</f>
        <v/>
      </c>
      <c r="E515" s="0" t="str">
        <f aca="false">IF(Pipeline_Sort!$C515="","",INDEX(Pipeline_Calc!$F$2:$F$5251,Pipeline_Sort!$C515))</f>
        <v/>
      </c>
      <c r="F515" s="0" t="str">
        <f aca="false">IF(Pipeline_Sort!$C515="","",INDEX(Pipeline_Calc!$G$2:$G$5251,Pipeline_Sort!$C515))</f>
        <v/>
      </c>
      <c r="G515" s="0" t="str">
        <f aca="false">IF(Pipeline_Sort!$C515="","",INDEX(Pipeline_Calc!$H$2:$H$5251,Pipeline_Sort!$C515))</f>
        <v/>
      </c>
      <c r="H515" s="0" t="str">
        <f aca="false">IF(Pipeline_Sort!$C515="","",INDEX(Pipeline_Calc!$I$2:$I$5251,Pipeline_Sort!$C515))</f>
        <v/>
      </c>
      <c r="I515" s="0" t="str">
        <f aca="false">IF(Pipeline_Sort!$C515="","",INDEX(Pipeline_Calc!$J$2:$J$5251,Pipeline_Sort!$C515))</f>
        <v/>
      </c>
    </row>
    <row r="516" customFormat="false" ht="15" hidden="false" customHeight="false" outlineLevel="0" collapsed="false">
      <c r="A516" s="33" t="str">
        <f aca="false">IF(Pipeline_Sort!$C516="","",INDEX(Pipeline_Calc!$B$2:$B$5251,Pipeline_Sort!$C516))</f>
        <v/>
      </c>
      <c r="B516" s="0" t="str">
        <f aca="false">IF(Pipeline_Sort!$C516="","",INDEX(Pipeline_Calc!$C$2:$C$5251,Pipeline_Sort!$C516))</f>
        <v/>
      </c>
      <c r="C516" s="0" t="str">
        <f aca="false">IF(Pipeline_Sort!$C516="","",INDEX(Pipeline_Calc!$D$2:$D$5251,Pipeline_Sort!$C516))</f>
        <v/>
      </c>
      <c r="D516" s="0" t="str">
        <f aca="false">IF(Pipeline_Sort!$C516="","",INDEX(Pipeline_Calc!$E$2:$E$5251,Pipeline_Sort!$C516))</f>
        <v/>
      </c>
      <c r="E516" s="0" t="str">
        <f aca="false">IF(Pipeline_Sort!$C516="","",INDEX(Pipeline_Calc!$F$2:$F$5251,Pipeline_Sort!$C516))</f>
        <v/>
      </c>
      <c r="F516" s="0" t="str">
        <f aca="false">IF(Pipeline_Sort!$C516="","",INDEX(Pipeline_Calc!$G$2:$G$5251,Pipeline_Sort!$C516))</f>
        <v/>
      </c>
      <c r="G516" s="0" t="str">
        <f aca="false">IF(Pipeline_Sort!$C516="","",INDEX(Pipeline_Calc!$H$2:$H$5251,Pipeline_Sort!$C516))</f>
        <v/>
      </c>
      <c r="H516" s="0" t="str">
        <f aca="false">IF(Pipeline_Sort!$C516="","",INDEX(Pipeline_Calc!$I$2:$I$5251,Pipeline_Sort!$C516))</f>
        <v/>
      </c>
      <c r="I516" s="0" t="str">
        <f aca="false">IF(Pipeline_Sort!$C516="","",INDEX(Pipeline_Calc!$J$2:$J$5251,Pipeline_Sort!$C516))</f>
        <v/>
      </c>
    </row>
    <row r="517" customFormat="false" ht="15" hidden="false" customHeight="false" outlineLevel="0" collapsed="false">
      <c r="A517" s="33" t="str">
        <f aca="false">IF(Pipeline_Sort!$C517="","",INDEX(Pipeline_Calc!$B$2:$B$5251,Pipeline_Sort!$C517))</f>
        <v/>
      </c>
      <c r="B517" s="0" t="str">
        <f aca="false">IF(Pipeline_Sort!$C517="","",INDEX(Pipeline_Calc!$C$2:$C$5251,Pipeline_Sort!$C517))</f>
        <v/>
      </c>
      <c r="C517" s="0" t="str">
        <f aca="false">IF(Pipeline_Sort!$C517="","",INDEX(Pipeline_Calc!$D$2:$D$5251,Pipeline_Sort!$C517))</f>
        <v/>
      </c>
      <c r="D517" s="0" t="str">
        <f aca="false">IF(Pipeline_Sort!$C517="","",INDEX(Pipeline_Calc!$E$2:$E$5251,Pipeline_Sort!$C517))</f>
        <v/>
      </c>
      <c r="E517" s="0" t="str">
        <f aca="false">IF(Pipeline_Sort!$C517="","",INDEX(Pipeline_Calc!$F$2:$F$5251,Pipeline_Sort!$C517))</f>
        <v/>
      </c>
      <c r="F517" s="0" t="str">
        <f aca="false">IF(Pipeline_Sort!$C517="","",INDEX(Pipeline_Calc!$G$2:$G$5251,Pipeline_Sort!$C517))</f>
        <v/>
      </c>
      <c r="G517" s="0" t="str">
        <f aca="false">IF(Pipeline_Sort!$C517="","",INDEX(Pipeline_Calc!$H$2:$H$5251,Pipeline_Sort!$C517))</f>
        <v/>
      </c>
      <c r="H517" s="0" t="str">
        <f aca="false">IF(Pipeline_Sort!$C517="","",INDEX(Pipeline_Calc!$I$2:$I$5251,Pipeline_Sort!$C517))</f>
        <v/>
      </c>
      <c r="I517" s="0" t="str">
        <f aca="false">IF(Pipeline_Sort!$C517="","",INDEX(Pipeline_Calc!$J$2:$J$5251,Pipeline_Sort!$C517))</f>
        <v/>
      </c>
    </row>
    <row r="518" customFormat="false" ht="15" hidden="false" customHeight="false" outlineLevel="0" collapsed="false">
      <c r="A518" s="33" t="str">
        <f aca="false">IF(Pipeline_Sort!$C518="","",INDEX(Pipeline_Calc!$B$2:$B$5251,Pipeline_Sort!$C518))</f>
        <v/>
      </c>
      <c r="B518" s="0" t="str">
        <f aca="false">IF(Pipeline_Sort!$C518="","",INDEX(Pipeline_Calc!$C$2:$C$5251,Pipeline_Sort!$C518))</f>
        <v/>
      </c>
      <c r="C518" s="0" t="str">
        <f aca="false">IF(Pipeline_Sort!$C518="","",INDEX(Pipeline_Calc!$D$2:$D$5251,Pipeline_Sort!$C518))</f>
        <v/>
      </c>
      <c r="D518" s="0" t="str">
        <f aca="false">IF(Pipeline_Sort!$C518="","",INDEX(Pipeline_Calc!$E$2:$E$5251,Pipeline_Sort!$C518))</f>
        <v/>
      </c>
      <c r="E518" s="0" t="str">
        <f aca="false">IF(Pipeline_Sort!$C518="","",INDEX(Pipeline_Calc!$F$2:$F$5251,Pipeline_Sort!$C518))</f>
        <v/>
      </c>
      <c r="F518" s="0" t="str">
        <f aca="false">IF(Pipeline_Sort!$C518="","",INDEX(Pipeline_Calc!$G$2:$G$5251,Pipeline_Sort!$C518))</f>
        <v/>
      </c>
      <c r="G518" s="0" t="str">
        <f aca="false">IF(Pipeline_Sort!$C518="","",INDEX(Pipeline_Calc!$H$2:$H$5251,Pipeline_Sort!$C518))</f>
        <v/>
      </c>
      <c r="H518" s="0" t="str">
        <f aca="false">IF(Pipeline_Sort!$C518="","",INDEX(Pipeline_Calc!$I$2:$I$5251,Pipeline_Sort!$C518))</f>
        <v/>
      </c>
      <c r="I518" s="0" t="str">
        <f aca="false">IF(Pipeline_Sort!$C518="","",INDEX(Pipeline_Calc!$J$2:$J$5251,Pipeline_Sort!$C518))</f>
        <v/>
      </c>
    </row>
    <row r="519" customFormat="false" ht="15" hidden="false" customHeight="false" outlineLevel="0" collapsed="false">
      <c r="A519" s="33" t="str">
        <f aca="false">IF(Pipeline_Sort!$C519="","",INDEX(Pipeline_Calc!$B$2:$B$5251,Pipeline_Sort!$C519))</f>
        <v/>
      </c>
      <c r="B519" s="0" t="str">
        <f aca="false">IF(Pipeline_Sort!$C519="","",INDEX(Pipeline_Calc!$C$2:$C$5251,Pipeline_Sort!$C519))</f>
        <v/>
      </c>
      <c r="C519" s="0" t="str">
        <f aca="false">IF(Pipeline_Sort!$C519="","",INDEX(Pipeline_Calc!$D$2:$D$5251,Pipeline_Sort!$C519))</f>
        <v/>
      </c>
      <c r="D519" s="0" t="str">
        <f aca="false">IF(Pipeline_Sort!$C519="","",INDEX(Pipeline_Calc!$E$2:$E$5251,Pipeline_Sort!$C519))</f>
        <v/>
      </c>
      <c r="E519" s="0" t="str">
        <f aca="false">IF(Pipeline_Sort!$C519="","",INDEX(Pipeline_Calc!$F$2:$F$5251,Pipeline_Sort!$C519))</f>
        <v/>
      </c>
      <c r="F519" s="0" t="str">
        <f aca="false">IF(Pipeline_Sort!$C519="","",INDEX(Pipeline_Calc!$G$2:$G$5251,Pipeline_Sort!$C519))</f>
        <v/>
      </c>
      <c r="G519" s="0" t="str">
        <f aca="false">IF(Pipeline_Sort!$C519="","",INDEX(Pipeline_Calc!$H$2:$H$5251,Pipeline_Sort!$C519))</f>
        <v/>
      </c>
      <c r="H519" s="0" t="str">
        <f aca="false">IF(Pipeline_Sort!$C519="","",INDEX(Pipeline_Calc!$I$2:$I$5251,Pipeline_Sort!$C519))</f>
        <v/>
      </c>
      <c r="I519" s="0" t="str">
        <f aca="false">IF(Pipeline_Sort!$C519="","",INDEX(Pipeline_Calc!$J$2:$J$5251,Pipeline_Sort!$C519))</f>
        <v/>
      </c>
    </row>
    <row r="520" customFormat="false" ht="15" hidden="false" customHeight="false" outlineLevel="0" collapsed="false">
      <c r="A520" s="33" t="str">
        <f aca="false">IF(Pipeline_Sort!$C520="","",INDEX(Pipeline_Calc!$B$2:$B$5251,Pipeline_Sort!$C520))</f>
        <v/>
      </c>
      <c r="B520" s="0" t="str">
        <f aca="false">IF(Pipeline_Sort!$C520="","",INDEX(Pipeline_Calc!$C$2:$C$5251,Pipeline_Sort!$C520))</f>
        <v/>
      </c>
      <c r="C520" s="0" t="str">
        <f aca="false">IF(Pipeline_Sort!$C520="","",INDEX(Pipeline_Calc!$D$2:$D$5251,Pipeline_Sort!$C520))</f>
        <v/>
      </c>
      <c r="D520" s="0" t="str">
        <f aca="false">IF(Pipeline_Sort!$C520="","",INDEX(Pipeline_Calc!$E$2:$E$5251,Pipeline_Sort!$C520))</f>
        <v/>
      </c>
      <c r="E520" s="0" t="str">
        <f aca="false">IF(Pipeline_Sort!$C520="","",INDEX(Pipeline_Calc!$F$2:$F$5251,Pipeline_Sort!$C520))</f>
        <v/>
      </c>
      <c r="F520" s="0" t="str">
        <f aca="false">IF(Pipeline_Sort!$C520="","",INDEX(Pipeline_Calc!$G$2:$G$5251,Pipeline_Sort!$C520))</f>
        <v/>
      </c>
      <c r="G520" s="0" t="str">
        <f aca="false">IF(Pipeline_Sort!$C520="","",INDEX(Pipeline_Calc!$H$2:$H$5251,Pipeline_Sort!$C520))</f>
        <v/>
      </c>
      <c r="H520" s="0" t="str">
        <f aca="false">IF(Pipeline_Sort!$C520="","",INDEX(Pipeline_Calc!$I$2:$I$5251,Pipeline_Sort!$C520))</f>
        <v/>
      </c>
      <c r="I520" s="0" t="str">
        <f aca="false">IF(Pipeline_Sort!$C520="","",INDEX(Pipeline_Calc!$J$2:$J$5251,Pipeline_Sort!$C520))</f>
        <v/>
      </c>
    </row>
    <row r="521" customFormat="false" ht="15" hidden="false" customHeight="false" outlineLevel="0" collapsed="false">
      <c r="A521" s="33" t="str">
        <f aca="false">IF(Pipeline_Sort!$C521="","",INDEX(Pipeline_Calc!$B$2:$B$5251,Pipeline_Sort!$C521))</f>
        <v/>
      </c>
      <c r="B521" s="0" t="str">
        <f aca="false">IF(Pipeline_Sort!$C521="","",INDEX(Pipeline_Calc!$C$2:$C$5251,Pipeline_Sort!$C521))</f>
        <v/>
      </c>
      <c r="C521" s="0" t="str">
        <f aca="false">IF(Pipeline_Sort!$C521="","",INDEX(Pipeline_Calc!$D$2:$D$5251,Pipeline_Sort!$C521))</f>
        <v/>
      </c>
      <c r="D521" s="0" t="str">
        <f aca="false">IF(Pipeline_Sort!$C521="","",INDEX(Pipeline_Calc!$E$2:$E$5251,Pipeline_Sort!$C521))</f>
        <v/>
      </c>
      <c r="E521" s="0" t="str">
        <f aca="false">IF(Pipeline_Sort!$C521="","",INDEX(Pipeline_Calc!$F$2:$F$5251,Pipeline_Sort!$C521))</f>
        <v/>
      </c>
      <c r="F521" s="0" t="str">
        <f aca="false">IF(Pipeline_Sort!$C521="","",INDEX(Pipeline_Calc!$G$2:$G$5251,Pipeline_Sort!$C521))</f>
        <v/>
      </c>
      <c r="G521" s="0" t="str">
        <f aca="false">IF(Pipeline_Sort!$C521="","",INDEX(Pipeline_Calc!$H$2:$H$5251,Pipeline_Sort!$C521))</f>
        <v/>
      </c>
      <c r="H521" s="0" t="str">
        <f aca="false">IF(Pipeline_Sort!$C521="","",INDEX(Pipeline_Calc!$I$2:$I$5251,Pipeline_Sort!$C521))</f>
        <v/>
      </c>
      <c r="I521" s="0" t="str">
        <f aca="false">IF(Pipeline_Sort!$C521="","",INDEX(Pipeline_Calc!$J$2:$J$5251,Pipeline_Sort!$C521))</f>
        <v/>
      </c>
    </row>
    <row r="522" customFormat="false" ht="15" hidden="false" customHeight="false" outlineLevel="0" collapsed="false">
      <c r="A522" s="33" t="str">
        <f aca="false">IF(Pipeline_Sort!$C522="","",INDEX(Pipeline_Calc!$B$2:$B$5251,Pipeline_Sort!$C522))</f>
        <v/>
      </c>
      <c r="B522" s="0" t="str">
        <f aca="false">IF(Pipeline_Sort!$C522="","",INDEX(Pipeline_Calc!$C$2:$C$5251,Pipeline_Sort!$C522))</f>
        <v/>
      </c>
      <c r="C522" s="0" t="str">
        <f aca="false">IF(Pipeline_Sort!$C522="","",INDEX(Pipeline_Calc!$D$2:$D$5251,Pipeline_Sort!$C522))</f>
        <v/>
      </c>
      <c r="D522" s="0" t="str">
        <f aca="false">IF(Pipeline_Sort!$C522="","",INDEX(Pipeline_Calc!$E$2:$E$5251,Pipeline_Sort!$C522))</f>
        <v/>
      </c>
      <c r="E522" s="0" t="str">
        <f aca="false">IF(Pipeline_Sort!$C522="","",INDEX(Pipeline_Calc!$F$2:$F$5251,Pipeline_Sort!$C522))</f>
        <v/>
      </c>
      <c r="F522" s="0" t="str">
        <f aca="false">IF(Pipeline_Sort!$C522="","",INDEX(Pipeline_Calc!$G$2:$G$5251,Pipeline_Sort!$C522))</f>
        <v/>
      </c>
      <c r="G522" s="0" t="str">
        <f aca="false">IF(Pipeline_Sort!$C522="","",INDEX(Pipeline_Calc!$H$2:$H$5251,Pipeline_Sort!$C522))</f>
        <v/>
      </c>
      <c r="H522" s="0" t="str">
        <f aca="false">IF(Pipeline_Sort!$C522="","",INDEX(Pipeline_Calc!$I$2:$I$5251,Pipeline_Sort!$C522))</f>
        <v/>
      </c>
      <c r="I522" s="0" t="str">
        <f aca="false">IF(Pipeline_Sort!$C522="","",INDEX(Pipeline_Calc!$J$2:$J$5251,Pipeline_Sort!$C522))</f>
        <v/>
      </c>
    </row>
    <row r="523" customFormat="false" ht="15" hidden="false" customHeight="false" outlineLevel="0" collapsed="false">
      <c r="A523" s="33" t="str">
        <f aca="false">IF(Pipeline_Sort!$C523="","",INDEX(Pipeline_Calc!$B$2:$B$5251,Pipeline_Sort!$C523))</f>
        <v/>
      </c>
      <c r="B523" s="0" t="str">
        <f aca="false">IF(Pipeline_Sort!$C523="","",INDEX(Pipeline_Calc!$C$2:$C$5251,Pipeline_Sort!$C523))</f>
        <v/>
      </c>
      <c r="C523" s="0" t="str">
        <f aca="false">IF(Pipeline_Sort!$C523="","",INDEX(Pipeline_Calc!$D$2:$D$5251,Pipeline_Sort!$C523))</f>
        <v/>
      </c>
      <c r="D523" s="0" t="str">
        <f aca="false">IF(Pipeline_Sort!$C523="","",INDEX(Pipeline_Calc!$E$2:$E$5251,Pipeline_Sort!$C523))</f>
        <v/>
      </c>
      <c r="E523" s="0" t="str">
        <f aca="false">IF(Pipeline_Sort!$C523="","",INDEX(Pipeline_Calc!$F$2:$F$5251,Pipeline_Sort!$C523))</f>
        <v/>
      </c>
      <c r="F523" s="0" t="str">
        <f aca="false">IF(Pipeline_Sort!$C523="","",INDEX(Pipeline_Calc!$G$2:$G$5251,Pipeline_Sort!$C523))</f>
        <v/>
      </c>
      <c r="G523" s="0" t="str">
        <f aca="false">IF(Pipeline_Sort!$C523="","",INDEX(Pipeline_Calc!$H$2:$H$5251,Pipeline_Sort!$C523))</f>
        <v/>
      </c>
      <c r="H523" s="0" t="str">
        <f aca="false">IF(Pipeline_Sort!$C523="","",INDEX(Pipeline_Calc!$I$2:$I$5251,Pipeline_Sort!$C523))</f>
        <v/>
      </c>
      <c r="I523" s="0" t="str">
        <f aca="false">IF(Pipeline_Sort!$C523="","",INDEX(Pipeline_Calc!$J$2:$J$5251,Pipeline_Sort!$C523))</f>
        <v/>
      </c>
    </row>
    <row r="524" customFormat="false" ht="15" hidden="false" customHeight="false" outlineLevel="0" collapsed="false">
      <c r="A524" s="33" t="str">
        <f aca="false">IF(Pipeline_Sort!$C524="","",INDEX(Pipeline_Calc!$B$2:$B$5251,Pipeline_Sort!$C524))</f>
        <v/>
      </c>
      <c r="B524" s="0" t="str">
        <f aca="false">IF(Pipeline_Sort!$C524="","",INDEX(Pipeline_Calc!$C$2:$C$5251,Pipeline_Sort!$C524))</f>
        <v/>
      </c>
      <c r="C524" s="0" t="str">
        <f aca="false">IF(Pipeline_Sort!$C524="","",INDEX(Pipeline_Calc!$D$2:$D$5251,Pipeline_Sort!$C524))</f>
        <v/>
      </c>
      <c r="D524" s="0" t="str">
        <f aca="false">IF(Pipeline_Sort!$C524="","",INDEX(Pipeline_Calc!$E$2:$E$5251,Pipeline_Sort!$C524))</f>
        <v/>
      </c>
      <c r="E524" s="0" t="str">
        <f aca="false">IF(Pipeline_Sort!$C524="","",INDEX(Pipeline_Calc!$F$2:$F$5251,Pipeline_Sort!$C524))</f>
        <v/>
      </c>
      <c r="F524" s="0" t="str">
        <f aca="false">IF(Pipeline_Sort!$C524="","",INDEX(Pipeline_Calc!$G$2:$G$5251,Pipeline_Sort!$C524))</f>
        <v/>
      </c>
      <c r="G524" s="0" t="str">
        <f aca="false">IF(Pipeline_Sort!$C524="","",INDEX(Pipeline_Calc!$H$2:$H$5251,Pipeline_Sort!$C524))</f>
        <v/>
      </c>
      <c r="H524" s="0" t="str">
        <f aca="false">IF(Pipeline_Sort!$C524="","",INDEX(Pipeline_Calc!$I$2:$I$5251,Pipeline_Sort!$C524))</f>
        <v/>
      </c>
      <c r="I524" s="0" t="str">
        <f aca="false">IF(Pipeline_Sort!$C524="","",INDEX(Pipeline_Calc!$J$2:$J$5251,Pipeline_Sort!$C524))</f>
        <v/>
      </c>
    </row>
    <row r="525" customFormat="false" ht="15" hidden="false" customHeight="false" outlineLevel="0" collapsed="false">
      <c r="A525" s="33" t="str">
        <f aca="false">IF(Pipeline_Sort!$C525="","",INDEX(Pipeline_Calc!$B$2:$B$5251,Pipeline_Sort!$C525))</f>
        <v/>
      </c>
      <c r="B525" s="0" t="str">
        <f aca="false">IF(Pipeline_Sort!$C525="","",INDEX(Pipeline_Calc!$C$2:$C$5251,Pipeline_Sort!$C525))</f>
        <v/>
      </c>
      <c r="C525" s="0" t="str">
        <f aca="false">IF(Pipeline_Sort!$C525="","",INDEX(Pipeline_Calc!$D$2:$D$5251,Pipeline_Sort!$C525))</f>
        <v/>
      </c>
      <c r="D525" s="0" t="str">
        <f aca="false">IF(Pipeline_Sort!$C525="","",INDEX(Pipeline_Calc!$E$2:$E$5251,Pipeline_Sort!$C525))</f>
        <v/>
      </c>
      <c r="E525" s="0" t="str">
        <f aca="false">IF(Pipeline_Sort!$C525="","",INDEX(Pipeline_Calc!$F$2:$F$5251,Pipeline_Sort!$C525))</f>
        <v/>
      </c>
      <c r="F525" s="0" t="str">
        <f aca="false">IF(Pipeline_Sort!$C525="","",INDEX(Pipeline_Calc!$G$2:$G$5251,Pipeline_Sort!$C525))</f>
        <v/>
      </c>
      <c r="G525" s="0" t="str">
        <f aca="false">IF(Pipeline_Sort!$C525="","",INDEX(Pipeline_Calc!$H$2:$H$5251,Pipeline_Sort!$C525))</f>
        <v/>
      </c>
      <c r="H525" s="0" t="str">
        <f aca="false">IF(Pipeline_Sort!$C525="","",INDEX(Pipeline_Calc!$I$2:$I$5251,Pipeline_Sort!$C525))</f>
        <v/>
      </c>
      <c r="I525" s="0" t="str">
        <f aca="false">IF(Pipeline_Sort!$C525="","",INDEX(Pipeline_Calc!$J$2:$J$5251,Pipeline_Sort!$C525))</f>
        <v/>
      </c>
    </row>
    <row r="526" customFormat="false" ht="15" hidden="false" customHeight="false" outlineLevel="0" collapsed="false">
      <c r="A526" s="33" t="str">
        <f aca="false">IF(Pipeline_Sort!$C526="","",INDEX(Pipeline_Calc!$B$2:$B$5251,Pipeline_Sort!$C526))</f>
        <v/>
      </c>
      <c r="B526" s="0" t="str">
        <f aca="false">IF(Pipeline_Sort!$C526="","",INDEX(Pipeline_Calc!$C$2:$C$5251,Pipeline_Sort!$C526))</f>
        <v/>
      </c>
      <c r="C526" s="0" t="str">
        <f aca="false">IF(Pipeline_Sort!$C526="","",INDEX(Pipeline_Calc!$D$2:$D$5251,Pipeline_Sort!$C526))</f>
        <v/>
      </c>
      <c r="D526" s="0" t="str">
        <f aca="false">IF(Pipeline_Sort!$C526="","",INDEX(Pipeline_Calc!$E$2:$E$5251,Pipeline_Sort!$C526))</f>
        <v/>
      </c>
      <c r="E526" s="0" t="str">
        <f aca="false">IF(Pipeline_Sort!$C526="","",INDEX(Pipeline_Calc!$F$2:$F$5251,Pipeline_Sort!$C526))</f>
        <v/>
      </c>
      <c r="F526" s="0" t="str">
        <f aca="false">IF(Pipeline_Sort!$C526="","",INDEX(Pipeline_Calc!$G$2:$G$5251,Pipeline_Sort!$C526))</f>
        <v/>
      </c>
      <c r="G526" s="0" t="str">
        <f aca="false">IF(Pipeline_Sort!$C526="","",INDEX(Pipeline_Calc!$H$2:$H$5251,Pipeline_Sort!$C526))</f>
        <v/>
      </c>
      <c r="H526" s="0" t="str">
        <f aca="false">IF(Pipeline_Sort!$C526="","",INDEX(Pipeline_Calc!$I$2:$I$5251,Pipeline_Sort!$C526))</f>
        <v/>
      </c>
      <c r="I526" s="0" t="str">
        <f aca="false">IF(Pipeline_Sort!$C526="","",INDEX(Pipeline_Calc!$J$2:$J$5251,Pipeline_Sort!$C526))</f>
        <v/>
      </c>
    </row>
    <row r="527" customFormat="false" ht="15" hidden="false" customHeight="false" outlineLevel="0" collapsed="false">
      <c r="A527" s="33" t="str">
        <f aca="false">IF(Pipeline_Sort!$C527="","",INDEX(Pipeline_Calc!$B$2:$B$5251,Pipeline_Sort!$C527))</f>
        <v/>
      </c>
      <c r="B527" s="0" t="str">
        <f aca="false">IF(Pipeline_Sort!$C527="","",INDEX(Pipeline_Calc!$C$2:$C$5251,Pipeline_Sort!$C527))</f>
        <v/>
      </c>
      <c r="C527" s="0" t="str">
        <f aca="false">IF(Pipeline_Sort!$C527="","",INDEX(Pipeline_Calc!$D$2:$D$5251,Pipeline_Sort!$C527))</f>
        <v/>
      </c>
      <c r="D527" s="0" t="str">
        <f aca="false">IF(Pipeline_Sort!$C527="","",INDEX(Pipeline_Calc!$E$2:$E$5251,Pipeline_Sort!$C527))</f>
        <v/>
      </c>
      <c r="E527" s="0" t="str">
        <f aca="false">IF(Pipeline_Sort!$C527="","",INDEX(Pipeline_Calc!$F$2:$F$5251,Pipeline_Sort!$C527))</f>
        <v/>
      </c>
      <c r="F527" s="0" t="str">
        <f aca="false">IF(Pipeline_Sort!$C527="","",INDEX(Pipeline_Calc!$G$2:$G$5251,Pipeline_Sort!$C527))</f>
        <v/>
      </c>
      <c r="G527" s="0" t="str">
        <f aca="false">IF(Pipeline_Sort!$C527="","",INDEX(Pipeline_Calc!$H$2:$H$5251,Pipeline_Sort!$C527))</f>
        <v/>
      </c>
      <c r="H527" s="0" t="str">
        <f aca="false">IF(Pipeline_Sort!$C527="","",INDEX(Pipeline_Calc!$I$2:$I$5251,Pipeline_Sort!$C527))</f>
        <v/>
      </c>
      <c r="I527" s="0" t="str">
        <f aca="false">IF(Pipeline_Sort!$C527="","",INDEX(Pipeline_Calc!$J$2:$J$5251,Pipeline_Sort!$C527))</f>
        <v/>
      </c>
    </row>
    <row r="528" customFormat="false" ht="15" hidden="false" customHeight="false" outlineLevel="0" collapsed="false">
      <c r="A528" s="33" t="str">
        <f aca="false">IF(Pipeline_Sort!$C528="","",INDEX(Pipeline_Calc!$B$2:$B$5251,Pipeline_Sort!$C528))</f>
        <v/>
      </c>
      <c r="B528" s="0" t="str">
        <f aca="false">IF(Pipeline_Sort!$C528="","",INDEX(Pipeline_Calc!$C$2:$C$5251,Pipeline_Sort!$C528))</f>
        <v/>
      </c>
      <c r="C528" s="0" t="str">
        <f aca="false">IF(Pipeline_Sort!$C528="","",INDEX(Pipeline_Calc!$D$2:$D$5251,Pipeline_Sort!$C528))</f>
        <v/>
      </c>
      <c r="D528" s="0" t="str">
        <f aca="false">IF(Pipeline_Sort!$C528="","",INDEX(Pipeline_Calc!$E$2:$E$5251,Pipeline_Sort!$C528))</f>
        <v/>
      </c>
      <c r="E528" s="0" t="str">
        <f aca="false">IF(Pipeline_Sort!$C528="","",INDEX(Pipeline_Calc!$F$2:$F$5251,Pipeline_Sort!$C528))</f>
        <v/>
      </c>
      <c r="F528" s="0" t="str">
        <f aca="false">IF(Pipeline_Sort!$C528="","",INDEX(Pipeline_Calc!$G$2:$G$5251,Pipeline_Sort!$C528))</f>
        <v/>
      </c>
      <c r="G528" s="0" t="str">
        <f aca="false">IF(Pipeline_Sort!$C528="","",INDEX(Pipeline_Calc!$H$2:$H$5251,Pipeline_Sort!$C528))</f>
        <v/>
      </c>
      <c r="H528" s="0" t="str">
        <f aca="false">IF(Pipeline_Sort!$C528="","",INDEX(Pipeline_Calc!$I$2:$I$5251,Pipeline_Sort!$C528))</f>
        <v/>
      </c>
      <c r="I528" s="0" t="str">
        <f aca="false">IF(Pipeline_Sort!$C528="","",INDEX(Pipeline_Calc!$J$2:$J$5251,Pipeline_Sort!$C528))</f>
        <v/>
      </c>
    </row>
    <row r="529" customFormat="false" ht="15" hidden="false" customHeight="false" outlineLevel="0" collapsed="false">
      <c r="A529" s="33" t="str">
        <f aca="false">IF(Pipeline_Sort!$C529="","",INDEX(Pipeline_Calc!$B$2:$B$5251,Pipeline_Sort!$C529))</f>
        <v/>
      </c>
      <c r="B529" s="0" t="str">
        <f aca="false">IF(Pipeline_Sort!$C529="","",INDEX(Pipeline_Calc!$C$2:$C$5251,Pipeline_Sort!$C529))</f>
        <v/>
      </c>
      <c r="C529" s="0" t="str">
        <f aca="false">IF(Pipeline_Sort!$C529="","",INDEX(Pipeline_Calc!$D$2:$D$5251,Pipeline_Sort!$C529))</f>
        <v/>
      </c>
      <c r="D529" s="0" t="str">
        <f aca="false">IF(Pipeline_Sort!$C529="","",INDEX(Pipeline_Calc!$E$2:$E$5251,Pipeline_Sort!$C529))</f>
        <v/>
      </c>
      <c r="E529" s="0" t="str">
        <f aca="false">IF(Pipeline_Sort!$C529="","",INDEX(Pipeline_Calc!$F$2:$F$5251,Pipeline_Sort!$C529))</f>
        <v/>
      </c>
      <c r="F529" s="0" t="str">
        <f aca="false">IF(Pipeline_Sort!$C529="","",INDEX(Pipeline_Calc!$G$2:$G$5251,Pipeline_Sort!$C529))</f>
        <v/>
      </c>
      <c r="G529" s="0" t="str">
        <f aca="false">IF(Pipeline_Sort!$C529="","",INDEX(Pipeline_Calc!$H$2:$H$5251,Pipeline_Sort!$C529))</f>
        <v/>
      </c>
      <c r="H529" s="0" t="str">
        <f aca="false">IF(Pipeline_Sort!$C529="","",INDEX(Pipeline_Calc!$I$2:$I$5251,Pipeline_Sort!$C529))</f>
        <v/>
      </c>
      <c r="I529" s="0" t="str">
        <f aca="false">IF(Pipeline_Sort!$C529="","",INDEX(Pipeline_Calc!$J$2:$J$5251,Pipeline_Sort!$C529))</f>
        <v/>
      </c>
    </row>
    <row r="530" customFormat="false" ht="15" hidden="false" customHeight="false" outlineLevel="0" collapsed="false">
      <c r="A530" s="33" t="str">
        <f aca="false">IF(Pipeline_Sort!$C530="","",INDEX(Pipeline_Calc!$B$2:$B$5251,Pipeline_Sort!$C530))</f>
        <v/>
      </c>
      <c r="B530" s="0" t="str">
        <f aca="false">IF(Pipeline_Sort!$C530="","",INDEX(Pipeline_Calc!$C$2:$C$5251,Pipeline_Sort!$C530))</f>
        <v/>
      </c>
      <c r="C530" s="0" t="str">
        <f aca="false">IF(Pipeline_Sort!$C530="","",INDEX(Pipeline_Calc!$D$2:$D$5251,Pipeline_Sort!$C530))</f>
        <v/>
      </c>
      <c r="D530" s="0" t="str">
        <f aca="false">IF(Pipeline_Sort!$C530="","",INDEX(Pipeline_Calc!$E$2:$E$5251,Pipeline_Sort!$C530))</f>
        <v/>
      </c>
      <c r="E530" s="0" t="str">
        <f aca="false">IF(Pipeline_Sort!$C530="","",INDEX(Pipeline_Calc!$F$2:$F$5251,Pipeline_Sort!$C530))</f>
        <v/>
      </c>
      <c r="F530" s="0" t="str">
        <f aca="false">IF(Pipeline_Sort!$C530="","",INDEX(Pipeline_Calc!$G$2:$G$5251,Pipeline_Sort!$C530))</f>
        <v/>
      </c>
      <c r="G530" s="0" t="str">
        <f aca="false">IF(Pipeline_Sort!$C530="","",INDEX(Pipeline_Calc!$H$2:$H$5251,Pipeline_Sort!$C530))</f>
        <v/>
      </c>
      <c r="H530" s="0" t="str">
        <f aca="false">IF(Pipeline_Sort!$C530="","",INDEX(Pipeline_Calc!$I$2:$I$5251,Pipeline_Sort!$C530))</f>
        <v/>
      </c>
      <c r="I530" s="0" t="str">
        <f aca="false">IF(Pipeline_Sort!$C530="","",INDEX(Pipeline_Calc!$J$2:$J$5251,Pipeline_Sort!$C530))</f>
        <v/>
      </c>
    </row>
    <row r="531" customFormat="false" ht="15" hidden="false" customHeight="false" outlineLevel="0" collapsed="false">
      <c r="A531" s="33" t="str">
        <f aca="false">IF(Pipeline_Sort!$C531="","",INDEX(Pipeline_Calc!$B$2:$B$5251,Pipeline_Sort!$C531))</f>
        <v/>
      </c>
      <c r="B531" s="0" t="str">
        <f aca="false">IF(Pipeline_Sort!$C531="","",INDEX(Pipeline_Calc!$C$2:$C$5251,Pipeline_Sort!$C531))</f>
        <v/>
      </c>
      <c r="C531" s="0" t="str">
        <f aca="false">IF(Pipeline_Sort!$C531="","",INDEX(Pipeline_Calc!$D$2:$D$5251,Pipeline_Sort!$C531))</f>
        <v/>
      </c>
      <c r="D531" s="0" t="str">
        <f aca="false">IF(Pipeline_Sort!$C531="","",INDEX(Pipeline_Calc!$E$2:$E$5251,Pipeline_Sort!$C531))</f>
        <v/>
      </c>
      <c r="E531" s="0" t="str">
        <f aca="false">IF(Pipeline_Sort!$C531="","",INDEX(Pipeline_Calc!$F$2:$F$5251,Pipeline_Sort!$C531))</f>
        <v/>
      </c>
      <c r="F531" s="0" t="str">
        <f aca="false">IF(Pipeline_Sort!$C531="","",INDEX(Pipeline_Calc!$G$2:$G$5251,Pipeline_Sort!$C531))</f>
        <v/>
      </c>
      <c r="G531" s="0" t="str">
        <f aca="false">IF(Pipeline_Sort!$C531="","",INDEX(Pipeline_Calc!$H$2:$H$5251,Pipeline_Sort!$C531))</f>
        <v/>
      </c>
      <c r="H531" s="0" t="str">
        <f aca="false">IF(Pipeline_Sort!$C531="","",INDEX(Pipeline_Calc!$I$2:$I$5251,Pipeline_Sort!$C531))</f>
        <v/>
      </c>
      <c r="I531" s="0" t="str">
        <f aca="false">IF(Pipeline_Sort!$C531="","",INDEX(Pipeline_Calc!$J$2:$J$5251,Pipeline_Sort!$C531))</f>
        <v/>
      </c>
    </row>
    <row r="532" customFormat="false" ht="15" hidden="false" customHeight="false" outlineLevel="0" collapsed="false">
      <c r="A532" s="33" t="str">
        <f aca="false">IF(Pipeline_Sort!$C532="","",INDEX(Pipeline_Calc!$B$2:$B$5251,Pipeline_Sort!$C532))</f>
        <v/>
      </c>
      <c r="B532" s="0" t="str">
        <f aca="false">IF(Pipeline_Sort!$C532="","",INDEX(Pipeline_Calc!$C$2:$C$5251,Pipeline_Sort!$C532))</f>
        <v/>
      </c>
      <c r="C532" s="0" t="str">
        <f aca="false">IF(Pipeline_Sort!$C532="","",INDEX(Pipeline_Calc!$D$2:$D$5251,Pipeline_Sort!$C532))</f>
        <v/>
      </c>
      <c r="D532" s="0" t="str">
        <f aca="false">IF(Pipeline_Sort!$C532="","",INDEX(Pipeline_Calc!$E$2:$E$5251,Pipeline_Sort!$C532))</f>
        <v/>
      </c>
      <c r="E532" s="0" t="str">
        <f aca="false">IF(Pipeline_Sort!$C532="","",INDEX(Pipeline_Calc!$F$2:$F$5251,Pipeline_Sort!$C532))</f>
        <v/>
      </c>
      <c r="F532" s="0" t="str">
        <f aca="false">IF(Pipeline_Sort!$C532="","",INDEX(Pipeline_Calc!$G$2:$G$5251,Pipeline_Sort!$C532))</f>
        <v/>
      </c>
      <c r="G532" s="0" t="str">
        <f aca="false">IF(Pipeline_Sort!$C532="","",INDEX(Pipeline_Calc!$H$2:$H$5251,Pipeline_Sort!$C532))</f>
        <v/>
      </c>
      <c r="H532" s="0" t="str">
        <f aca="false">IF(Pipeline_Sort!$C532="","",INDEX(Pipeline_Calc!$I$2:$I$5251,Pipeline_Sort!$C532))</f>
        <v/>
      </c>
      <c r="I532" s="0" t="str">
        <f aca="false">IF(Pipeline_Sort!$C532="","",INDEX(Pipeline_Calc!$J$2:$J$5251,Pipeline_Sort!$C532))</f>
        <v/>
      </c>
    </row>
    <row r="533" customFormat="false" ht="15" hidden="false" customHeight="false" outlineLevel="0" collapsed="false">
      <c r="A533" s="33" t="str">
        <f aca="false">IF(Pipeline_Sort!$C533="","",INDEX(Pipeline_Calc!$B$2:$B$5251,Pipeline_Sort!$C533))</f>
        <v/>
      </c>
      <c r="B533" s="0" t="str">
        <f aca="false">IF(Pipeline_Sort!$C533="","",INDEX(Pipeline_Calc!$C$2:$C$5251,Pipeline_Sort!$C533))</f>
        <v/>
      </c>
      <c r="C533" s="0" t="str">
        <f aca="false">IF(Pipeline_Sort!$C533="","",INDEX(Pipeline_Calc!$D$2:$D$5251,Pipeline_Sort!$C533))</f>
        <v/>
      </c>
      <c r="D533" s="0" t="str">
        <f aca="false">IF(Pipeline_Sort!$C533="","",INDEX(Pipeline_Calc!$E$2:$E$5251,Pipeline_Sort!$C533))</f>
        <v/>
      </c>
      <c r="E533" s="0" t="str">
        <f aca="false">IF(Pipeline_Sort!$C533="","",INDEX(Pipeline_Calc!$F$2:$F$5251,Pipeline_Sort!$C533))</f>
        <v/>
      </c>
      <c r="F533" s="0" t="str">
        <f aca="false">IF(Pipeline_Sort!$C533="","",INDEX(Pipeline_Calc!$G$2:$G$5251,Pipeline_Sort!$C533))</f>
        <v/>
      </c>
      <c r="G533" s="0" t="str">
        <f aca="false">IF(Pipeline_Sort!$C533="","",INDEX(Pipeline_Calc!$H$2:$H$5251,Pipeline_Sort!$C533))</f>
        <v/>
      </c>
      <c r="H533" s="0" t="str">
        <f aca="false">IF(Pipeline_Sort!$C533="","",INDEX(Pipeline_Calc!$I$2:$I$5251,Pipeline_Sort!$C533))</f>
        <v/>
      </c>
      <c r="I533" s="0" t="str">
        <f aca="false">IF(Pipeline_Sort!$C533="","",INDEX(Pipeline_Calc!$J$2:$J$5251,Pipeline_Sort!$C533))</f>
        <v/>
      </c>
    </row>
    <row r="534" customFormat="false" ht="15" hidden="false" customHeight="false" outlineLevel="0" collapsed="false">
      <c r="A534" s="33" t="str">
        <f aca="false">IF(Pipeline_Sort!$C534="","",INDEX(Pipeline_Calc!$B$2:$B$5251,Pipeline_Sort!$C534))</f>
        <v/>
      </c>
      <c r="B534" s="0" t="str">
        <f aca="false">IF(Pipeline_Sort!$C534="","",INDEX(Pipeline_Calc!$C$2:$C$5251,Pipeline_Sort!$C534))</f>
        <v/>
      </c>
      <c r="C534" s="0" t="str">
        <f aca="false">IF(Pipeline_Sort!$C534="","",INDEX(Pipeline_Calc!$D$2:$D$5251,Pipeline_Sort!$C534))</f>
        <v/>
      </c>
      <c r="D534" s="0" t="str">
        <f aca="false">IF(Pipeline_Sort!$C534="","",INDEX(Pipeline_Calc!$E$2:$E$5251,Pipeline_Sort!$C534))</f>
        <v/>
      </c>
      <c r="E534" s="0" t="str">
        <f aca="false">IF(Pipeline_Sort!$C534="","",INDEX(Pipeline_Calc!$F$2:$F$5251,Pipeline_Sort!$C534))</f>
        <v/>
      </c>
      <c r="F534" s="0" t="str">
        <f aca="false">IF(Pipeline_Sort!$C534="","",INDEX(Pipeline_Calc!$G$2:$G$5251,Pipeline_Sort!$C534))</f>
        <v/>
      </c>
      <c r="G534" s="0" t="str">
        <f aca="false">IF(Pipeline_Sort!$C534="","",INDEX(Pipeline_Calc!$H$2:$H$5251,Pipeline_Sort!$C534))</f>
        <v/>
      </c>
      <c r="H534" s="0" t="str">
        <f aca="false">IF(Pipeline_Sort!$C534="","",INDEX(Pipeline_Calc!$I$2:$I$5251,Pipeline_Sort!$C534))</f>
        <v/>
      </c>
      <c r="I534" s="0" t="str">
        <f aca="false">IF(Pipeline_Sort!$C534="","",INDEX(Pipeline_Calc!$J$2:$J$5251,Pipeline_Sort!$C534))</f>
        <v/>
      </c>
    </row>
    <row r="535" customFormat="false" ht="15" hidden="false" customHeight="false" outlineLevel="0" collapsed="false">
      <c r="A535" s="33" t="str">
        <f aca="false">IF(Pipeline_Sort!$C535="","",INDEX(Pipeline_Calc!$B$2:$B$5251,Pipeline_Sort!$C535))</f>
        <v/>
      </c>
      <c r="B535" s="0" t="str">
        <f aca="false">IF(Pipeline_Sort!$C535="","",INDEX(Pipeline_Calc!$C$2:$C$5251,Pipeline_Sort!$C535))</f>
        <v/>
      </c>
      <c r="C535" s="0" t="str">
        <f aca="false">IF(Pipeline_Sort!$C535="","",INDEX(Pipeline_Calc!$D$2:$D$5251,Pipeline_Sort!$C535))</f>
        <v/>
      </c>
      <c r="D535" s="0" t="str">
        <f aca="false">IF(Pipeline_Sort!$C535="","",INDEX(Pipeline_Calc!$E$2:$E$5251,Pipeline_Sort!$C535))</f>
        <v/>
      </c>
      <c r="E535" s="0" t="str">
        <f aca="false">IF(Pipeline_Sort!$C535="","",INDEX(Pipeline_Calc!$F$2:$F$5251,Pipeline_Sort!$C535))</f>
        <v/>
      </c>
      <c r="F535" s="0" t="str">
        <f aca="false">IF(Pipeline_Sort!$C535="","",INDEX(Pipeline_Calc!$G$2:$G$5251,Pipeline_Sort!$C535))</f>
        <v/>
      </c>
      <c r="G535" s="0" t="str">
        <f aca="false">IF(Pipeline_Sort!$C535="","",INDEX(Pipeline_Calc!$H$2:$H$5251,Pipeline_Sort!$C535))</f>
        <v/>
      </c>
      <c r="H535" s="0" t="str">
        <f aca="false">IF(Pipeline_Sort!$C535="","",INDEX(Pipeline_Calc!$I$2:$I$5251,Pipeline_Sort!$C535))</f>
        <v/>
      </c>
      <c r="I535" s="0" t="str">
        <f aca="false">IF(Pipeline_Sort!$C535="","",INDEX(Pipeline_Calc!$J$2:$J$5251,Pipeline_Sort!$C535))</f>
        <v/>
      </c>
    </row>
    <row r="536" customFormat="false" ht="15" hidden="false" customHeight="false" outlineLevel="0" collapsed="false">
      <c r="A536" s="33" t="str">
        <f aca="false">IF(Pipeline_Sort!$C536="","",INDEX(Pipeline_Calc!$B$2:$B$5251,Pipeline_Sort!$C536))</f>
        <v/>
      </c>
      <c r="B536" s="0" t="str">
        <f aca="false">IF(Pipeline_Sort!$C536="","",INDEX(Pipeline_Calc!$C$2:$C$5251,Pipeline_Sort!$C536))</f>
        <v/>
      </c>
      <c r="C536" s="0" t="str">
        <f aca="false">IF(Pipeline_Sort!$C536="","",INDEX(Pipeline_Calc!$D$2:$D$5251,Pipeline_Sort!$C536))</f>
        <v/>
      </c>
      <c r="D536" s="0" t="str">
        <f aca="false">IF(Pipeline_Sort!$C536="","",INDEX(Pipeline_Calc!$E$2:$E$5251,Pipeline_Sort!$C536))</f>
        <v/>
      </c>
      <c r="E536" s="0" t="str">
        <f aca="false">IF(Pipeline_Sort!$C536="","",INDEX(Pipeline_Calc!$F$2:$F$5251,Pipeline_Sort!$C536))</f>
        <v/>
      </c>
      <c r="F536" s="0" t="str">
        <f aca="false">IF(Pipeline_Sort!$C536="","",INDEX(Pipeline_Calc!$G$2:$G$5251,Pipeline_Sort!$C536))</f>
        <v/>
      </c>
      <c r="G536" s="0" t="str">
        <f aca="false">IF(Pipeline_Sort!$C536="","",INDEX(Pipeline_Calc!$H$2:$H$5251,Pipeline_Sort!$C536))</f>
        <v/>
      </c>
      <c r="H536" s="0" t="str">
        <f aca="false">IF(Pipeline_Sort!$C536="","",INDEX(Pipeline_Calc!$I$2:$I$5251,Pipeline_Sort!$C536))</f>
        <v/>
      </c>
      <c r="I536" s="0" t="str">
        <f aca="false">IF(Pipeline_Sort!$C536="","",INDEX(Pipeline_Calc!$J$2:$J$5251,Pipeline_Sort!$C536))</f>
        <v/>
      </c>
    </row>
    <row r="537" customFormat="false" ht="15" hidden="false" customHeight="false" outlineLevel="0" collapsed="false">
      <c r="A537" s="33" t="str">
        <f aca="false">IF(Pipeline_Sort!$C537="","",INDEX(Pipeline_Calc!$B$2:$B$5251,Pipeline_Sort!$C537))</f>
        <v/>
      </c>
      <c r="B537" s="0" t="str">
        <f aca="false">IF(Pipeline_Sort!$C537="","",INDEX(Pipeline_Calc!$C$2:$C$5251,Pipeline_Sort!$C537))</f>
        <v/>
      </c>
      <c r="C537" s="0" t="str">
        <f aca="false">IF(Pipeline_Sort!$C537="","",INDEX(Pipeline_Calc!$D$2:$D$5251,Pipeline_Sort!$C537))</f>
        <v/>
      </c>
      <c r="D537" s="0" t="str">
        <f aca="false">IF(Pipeline_Sort!$C537="","",INDEX(Pipeline_Calc!$E$2:$E$5251,Pipeline_Sort!$C537))</f>
        <v/>
      </c>
      <c r="E537" s="0" t="str">
        <f aca="false">IF(Pipeline_Sort!$C537="","",INDEX(Pipeline_Calc!$F$2:$F$5251,Pipeline_Sort!$C537))</f>
        <v/>
      </c>
      <c r="F537" s="0" t="str">
        <f aca="false">IF(Pipeline_Sort!$C537="","",INDEX(Pipeline_Calc!$G$2:$G$5251,Pipeline_Sort!$C537))</f>
        <v/>
      </c>
      <c r="G537" s="0" t="str">
        <f aca="false">IF(Pipeline_Sort!$C537="","",INDEX(Pipeline_Calc!$H$2:$H$5251,Pipeline_Sort!$C537))</f>
        <v/>
      </c>
      <c r="H537" s="0" t="str">
        <f aca="false">IF(Pipeline_Sort!$C537="","",INDEX(Pipeline_Calc!$I$2:$I$5251,Pipeline_Sort!$C537))</f>
        <v/>
      </c>
      <c r="I537" s="0" t="str">
        <f aca="false">IF(Pipeline_Sort!$C537="","",INDEX(Pipeline_Calc!$J$2:$J$5251,Pipeline_Sort!$C537))</f>
        <v/>
      </c>
    </row>
    <row r="538" customFormat="false" ht="15" hidden="false" customHeight="false" outlineLevel="0" collapsed="false">
      <c r="A538" s="33" t="str">
        <f aca="false">IF(Pipeline_Sort!$C538="","",INDEX(Pipeline_Calc!$B$2:$B$5251,Pipeline_Sort!$C538))</f>
        <v/>
      </c>
      <c r="B538" s="0" t="str">
        <f aca="false">IF(Pipeline_Sort!$C538="","",INDEX(Pipeline_Calc!$C$2:$C$5251,Pipeline_Sort!$C538))</f>
        <v/>
      </c>
      <c r="C538" s="0" t="str">
        <f aca="false">IF(Pipeline_Sort!$C538="","",INDEX(Pipeline_Calc!$D$2:$D$5251,Pipeline_Sort!$C538))</f>
        <v/>
      </c>
      <c r="D538" s="0" t="str">
        <f aca="false">IF(Pipeline_Sort!$C538="","",INDEX(Pipeline_Calc!$E$2:$E$5251,Pipeline_Sort!$C538))</f>
        <v/>
      </c>
      <c r="E538" s="0" t="str">
        <f aca="false">IF(Pipeline_Sort!$C538="","",INDEX(Pipeline_Calc!$F$2:$F$5251,Pipeline_Sort!$C538))</f>
        <v/>
      </c>
      <c r="F538" s="0" t="str">
        <f aca="false">IF(Pipeline_Sort!$C538="","",INDEX(Pipeline_Calc!$G$2:$G$5251,Pipeline_Sort!$C538))</f>
        <v/>
      </c>
      <c r="G538" s="0" t="str">
        <f aca="false">IF(Pipeline_Sort!$C538="","",INDEX(Pipeline_Calc!$H$2:$H$5251,Pipeline_Sort!$C538))</f>
        <v/>
      </c>
      <c r="H538" s="0" t="str">
        <f aca="false">IF(Pipeline_Sort!$C538="","",INDEX(Pipeline_Calc!$I$2:$I$5251,Pipeline_Sort!$C538))</f>
        <v/>
      </c>
      <c r="I538" s="0" t="str">
        <f aca="false">IF(Pipeline_Sort!$C538="","",INDEX(Pipeline_Calc!$J$2:$J$5251,Pipeline_Sort!$C538))</f>
        <v/>
      </c>
    </row>
    <row r="539" customFormat="false" ht="15" hidden="false" customHeight="false" outlineLevel="0" collapsed="false">
      <c r="A539" s="33" t="str">
        <f aca="false">IF(Pipeline_Sort!$C539="","",INDEX(Pipeline_Calc!$B$2:$B$5251,Pipeline_Sort!$C539))</f>
        <v/>
      </c>
      <c r="B539" s="0" t="str">
        <f aca="false">IF(Pipeline_Sort!$C539="","",INDEX(Pipeline_Calc!$C$2:$C$5251,Pipeline_Sort!$C539))</f>
        <v/>
      </c>
      <c r="C539" s="0" t="str">
        <f aca="false">IF(Pipeline_Sort!$C539="","",INDEX(Pipeline_Calc!$D$2:$D$5251,Pipeline_Sort!$C539))</f>
        <v/>
      </c>
      <c r="D539" s="0" t="str">
        <f aca="false">IF(Pipeline_Sort!$C539="","",INDEX(Pipeline_Calc!$E$2:$E$5251,Pipeline_Sort!$C539))</f>
        <v/>
      </c>
      <c r="E539" s="0" t="str">
        <f aca="false">IF(Pipeline_Sort!$C539="","",INDEX(Pipeline_Calc!$F$2:$F$5251,Pipeline_Sort!$C539))</f>
        <v/>
      </c>
      <c r="F539" s="0" t="str">
        <f aca="false">IF(Pipeline_Sort!$C539="","",INDEX(Pipeline_Calc!$G$2:$G$5251,Pipeline_Sort!$C539))</f>
        <v/>
      </c>
      <c r="G539" s="0" t="str">
        <f aca="false">IF(Pipeline_Sort!$C539="","",INDEX(Pipeline_Calc!$H$2:$H$5251,Pipeline_Sort!$C539))</f>
        <v/>
      </c>
      <c r="H539" s="0" t="str">
        <f aca="false">IF(Pipeline_Sort!$C539="","",INDEX(Pipeline_Calc!$I$2:$I$5251,Pipeline_Sort!$C539))</f>
        <v/>
      </c>
      <c r="I539" s="0" t="str">
        <f aca="false">IF(Pipeline_Sort!$C539="","",INDEX(Pipeline_Calc!$J$2:$J$5251,Pipeline_Sort!$C539))</f>
        <v/>
      </c>
    </row>
    <row r="540" customFormat="false" ht="15" hidden="false" customHeight="false" outlineLevel="0" collapsed="false">
      <c r="A540" s="33" t="str">
        <f aca="false">IF(Pipeline_Sort!$C540="","",INDEX(Pipeline_Calc!$B$2:$B$5251,Pipeline_Sort!$C540))</f>
        <v/>
      </c>
      <c r="B540" s="0" t="str">
        <f aca="false">IF(Pipeline_Sort!$C540="","",INDEX(Pipeline_Calc!$C$2:$C$5251,Pipeline_Sort!$C540))</f>
        <v/>
      </c>
      <c r="C540" s="0" t="str">
        <f aca="false">IF(Pipeline_Sort!$C540="","",INDEX(Pipeline_Calc!$D$2:$D$5251,Pipeline_Sort!$C540))</f>
        <v/>
      </c>
      <c r="D540" s="0" t="str">
        <f aca="false">IF(Pipeline_Sort!$C540="","",INDEX(Pipeline_Calc!$E$2:$E$5251,Pipeline_Sort!$C540))</f>
        <v/>
      </c>
      <c r="E540" s="0" t="str">
        <f aca="false">IF(Pipeline_Sort!$C540="","",INDEX(Pipeline_Calc!$F$2:$F$5251,Pipeline_Sort!$C540))</f>
        <v/>
      </c>
      <c r="F540" s="0" t="str">
        <f aca="false">IF(Pipeline_Sort!$C540="","",INDEX(Pipeline_Calc!$G$2:$G$5251,Pipeline_Sort!$C540))</f>
        <v/>
      </c>
      <c r="G540" s="0" t="str">
        <f aca="false">IF(Pipeline_Sort!$C540="","",INDEX(Pipeline_Calc!$H$2:$H$5251,Pipeline_Sort!$C540))</f>
        <v/>
      </c>
      <c r="H540" s="0" t="str">
        <f aca="false">IF(Pipeline_Sort!$C540="","",INDEX(Pipeline_Calc!$I$2:$I$5251,Pipeline_Sort!$C540))</f>
        <v/>
      </c>
      <c r="I540" s="0" t="str">
        <f aca="false">IF(Pipeline_Sort!$C540="","",INDEX(Pipeline_Calc!$J$2:$J$5251,Pipeline_Sort!$C540))</f>
        <v/>
      </c>
    </row>
    <row r="541" customFormat="false" ht="15" hidden="false" customHeight="false" outlineLevel="0" collapsed="false">
      <c r="A541" s="33" t="str">
        <f aca="false">IF(Pipeline_Sort!$C541="","",INDEX(Pipeline_Calc!$B$2:$B$5251,Pipeline_Sort!$C541))</f>
        <v/>
      </c>
      <c r="B541" s="0" t="str">
        <f aca="false">IF(Pipeline_Sort!$C541="","",INDEX(Pipeline_Calc!$C$2:$C$5251,Pipeline_Sort!$C541))</f>
        <v/>
      </c>
      <c r="C541" s="0" t="str">
        <f aca="false">IF(Pipeline_Sort!$C541="","",INDEX(Pipeline_Calc!$D$2:$D$5251,Pipeline_Sort!$C541))</f>
        <v/>
      </c>
      <c r="D541" s="0" t="str">
        <f aca="false">IF(Pipeline_Sort!$C541="","",INDEX(Pipeline_Calc!$E$2:$E$5251,Pipeline_Sort!$C541))</f>
        <v/>
      </c>
      <c r="E541" s="0" t="str">
        <f aca="false">IF(Pipeline_Sort!$C541="","",INDEX(Pipeline_Calc!$F$2:$F$5251,Pipeline_Sort!$C541))</f>
        <v/>
      </c>
      <c r="F541" s="0" t="str">
        <f aca="false">IF(Pipeline_Sort!$C541="","",INDEX(Pipeline_Calc!$G$2:$G$5251,Pipeline_Sort!$C541))</f>
        <v/>
      </c>
      <c r="G541" s="0" t="str">
        <f aca="false">IF(Pipeline_Sort!$C541="","",INDEX(Pipeline_Calc!$H$2:$H$5251,Pipeline_Sort!$C541))</f>
        <v/>
      </c>
      <c r="H541" s="0" t="str">
        <f aca="false">IF(Pipeline_Sort!$C541="","",INDEX(Pipeline_Calc!$I$2:$I$5251,Pipeline_Sort!$C541))</f>
        <v/>
      </c>
      <c r="I541" s="0" t="str">
        <f aca="false">IF(Pipeline_Sort!$C541="","",INDEX(Pipeline_Calc!$J$2:$J$5251,Pipeline_Sort!$C541))</f>
        <v/>
      </c>
    </row>
    <row r="542" customFormat="false" ht="15" hidden="false" customHeight="false" outlineLevel="0" collapsed="false">
      <c r="A542" s="33" t="str">
        <f aca="false">IF(Pipeline_Sort!$C542="","",INDEX(Pipeline_Calc!$B$2:$B$5251,Pipeline_Sort!$C542))</f>
        <v/>
      </c>
      <c r="B542" s="0" t="str">
        <f aca="false">IF(Pipeline_Sort!$C542="","",INDEX(Pipeline_Calc!$C$2:$C$5251,Pipeline_Sort!$C542))</f>
        <v/>
      </c>
      <c r="C542" s="0" t="str">
        <f aca="false">IF(Pipeline_Sort!$C542="","",INDEX(Pipeline_Calc!$D$2:$D$5251,Pipeline_Sort!$C542))</f>
        <v/>
      </c>
      <c r="D542" s="0" t="str">
        <f aca="false">IF(Pipeline_Sort!$C542="","",INDEX(Pipeline_Calc!$E$2:$E$5251,Pipeline_Sort!$C542))</f>
        <v/>
      </c>
      <c r="E542" s="0" t="str">
        <f aca="false">IF(Pipeline_Sort!$C542="","",INDEX(Pipeline_Calc!$F$2:$F$5251,Pipeline_Sort!$C542))</f>
        <v/>
      </c>
      <c r="F542" s="0" t="str">
        <f aca="false">IF(Pipeline_Sort!$C542="","",INDEX(Pipeline_Calc!$G$2:$G$5251,Pipeline_Sort!$C542))</f>
        <v/>
      </c>
      <c r="G542" s="0" t="str">
        <f aca="false">IF(Pipeline_Sort!$C542="","",INDEX(Pipeline_Calc!$H$2:$H$5251,Pipeline_Sort!$C542))</f>
        <v/>
      </c>
      <c r="H542" s="0" t="str">
        <f aca="false">IF(Pipeline_Sort!$C542="","",INDEX(Pipeline_Calc!$I$2:$I$5251,Pipeline_Sort!$C542))</f>
        <v/>
      </c>
      <c r="I542" s="0" t="str">
        <f aca="false">IF(Pipeline_Sort!$C542="","",INDEX(Pipeline_Calc!$J$2:$J$5251,Pipeline_Sort!$C542))</f>
        <v/>
      </c>
    </row>
    <row r="543" customFormat="false" ht="15" hidden="false" customHeight="false" outlineLevel="0" collapsed="false">
      <c r="A543" s="33" t="str">
        <f aca="false">IF(Pipeline_Sort!$C543="","",INDEX(Pipeline_Calc!$B$2:$B$5251,Pipeline_Sort!$C543))</f>
        <v/>
      </c>
      <c r="B543" s="0" t="str">
        <f aca="false">IF(Pipeline_Sort!$C543="","",INDEX(Pipeline_Calc!$C$2:$C$5251,Pipeline_Sort!$C543))</f>
        <v/>
      </c>
      <c r="C543" s="0" t="str">
        <f aca="false">IF(Pipeline_Sort!$C543="","",INDEX(Pipeline_Calc!$D$2:$D$5251,Pipeline_Sort!$C543))</f>
        <v/>
      </c>
      <c r="D543" s="0" t="str">
        <f aca="false">IF(Pipeline_Sort!$C543="","",INDEX(Pipeline_Calc!$E$2:$E$5251,Pipeline_Sort!$C543))</f>
        <v/>
      </c>
      <c r="E543" s="0" t="str">
        <f aca="false">IF(Pipeline_Sort!$C543="","",INDEX(Pipeline_Calc!$F$2:$F$5251,Pipeline_Sort!$C543))</f>
        <v/>
      </c>
      <c r="F543" s="0" t="str">
        <f aca="false">IF(Pipeline_Sort!$C543="","",INDEX(Pipeline_Calc!$G$2:$G$5251,Pipeline_Sort!$C543))</f>
        <v/>
      </c>
      <c r="G543" s="0" t="str">
        <f aca="false">IF(Pipeline_Sort!$C543="","",INDEX(Pipeline_Calc!$H$2:$H$5251,Pipeline_Sort!$C543))</f>
        <v/>
      </c>
      <c r="H543" s="0" t="str">
        <f aca="false">IF(Pipeline_Sort!$C543="","",INDEX(Pipeline_Calc!$I$2:$I$5251,Pipeline_Sort!$C543))</f>
        <v/>
      </c>
      <c r="I543" s="0" t="str">
        <f aca="false">IF(Pipeline_Sort!$C543="","",INDEX(Pipeline_Calc!$J$2:$J$5251,Pipeline_Sort!$C543))</f>
        <v/>
      </c>
    </row>
    <row r="544" customFormat="false" ht="15" hidden="false" customHeight="false" outlineLevel="0" collapsed="false">
      <c r="A544" s="33" t="str">
        <f aca="false">IF(Pipeline_Sort!$C544="","",INDEX(Pipeline_Calc!$B$2:$B$5251,Pipeline_Sort!$C544))</f>
        <v/>
      </c>
      <c r="B544" s="0" t="str">
        <f aca="false">IF(Pipeline_Sort!$C544="","",INDEX(Pipeline_Calc!$C$2:$C$5251,Pipeline_Sort!$C544))</f>
        <v/>
      </c>
      <c r="C544" s="0" t="str">
        <f aca="false">IF(Pipeline_Sort!$C544="","",INDEX(Pipeline_Calc!$D$2:$D$5251,Pipeline_Sort!$C544))</f>
        <v/>
      </c>
      <c r="D544" s="0" t="str">
        <f aca="false">IF(Pipeline_Sort!$C544="","",INDEX(Pipeline_Calc!$E$2:$E$5251,Pipeline_Sort!$C544))</f>
        <v/>
      </c>
      <c r="E544" s="0" t="str">
        <f aca="false">IF(Pipeline_Sort!$C544="","",INDEX(Pipeline_Calc!$F$2:$F$5251,Pipeline_Sort!$C544))</f>
        <v/>
      </c>
      <c r="F544" s="0" t="str">
        <f aca="false">IF(Pipeline_Sort!$C544="","",INDEX(Pipeline_Calc!$G$2:$G$5251,Pipeline_Sort!$C544))</f>
        <v/>
      </c>
      <c r="G544" s="0" t="str">
        <f aca="false">IF(Pipeline_Sort!$C544="","",INDEX(Pipeline_Calc!$H$2:$H$5251,Pipeline_Sort!$C544))</f>
        <v/>
      </c>
      <c r="H544" s="0" t="str">
        <f aca="false">IF(Pipeline_Sort!$C544="","",INDEX(Pipeline_Calc!$I$2:$I$5251,Pipeline_Sort!$C544))</f>
        <v/>
      </c>
      <c r="I544" s="0" t="str">
        <f aca="false">IF(Pipeline_Sort!$C544="","",INDEX(Pipeline_Calc!$J$2:$J$5251,Pipeline_Sort!$C544))</f>
        <v/>
      </c>
    </row>
    <row r="545" customFormat="false" ht="15" hidden="false" customHeight="false" outlineLevel="0" collapsed="false">
      <c r="A545" s="33" t="str">
        <f aca="false">IF(Pipeline_Sort!$C545="","",INDEX(Pipeline_Calc!$B$2:$B$5251,Pipeline_Sort!$C545))</f>
        <v/>
      </c>
      <c r="B545" s="0" t="str">
        <f aca="false">IF(Pipeline_Sort!$C545="","",INDEX(Pipeline_Calc!$C$2:$C$5251,Pipeline_Sort!$C545))</f>
        <v/>
      </c>
      <c r="C545" s="0" t="str">
        <f aca="false">IF(Pipeline_Sort!$C545="","",INDEX(Pipeline_Calc!$D$2:$D$5251,Pipeline_Sort!$C545))</f>
        <v/>
      </c>
      <c r="D545" s="0" t="str">
        <f aca="false">IF(Pipeline_Sort!$C545="","",INDEX(Pipeline_Calc!$E$2:$E$5251,Pipeline_Sort!$C545))</f>
        <v/>
      </c>
      <c r="E545" s="0" t="str">
        <f aca="false">IF(Pipeline_Sort!$C545="","",INDEX(Pipeline_Calc!$F$2:$F$5251,Pipeline_Sort!$C545))</f>
        <v/>
      </c>
      <c r="F545" s="0" t="str">
        <f aca="false">IF(Pipeline_Sort!$C545="","",INDEX(Pipeline_Calc!$G$2:$G$5251,Pipeline_Sort!$C545))</f>
        <v/>
      </c>
      <c r="G545" s="0" t="str">
        <f aca="false">IF(Pipeline_Sort!$C545="","",INDEX(Pipeline_Calc!$H$2:$H$5251,Pipeline_Sort!$C545))</f>
        <v/>
      </c>
      <c r="H545" s="0" t="str">
        <f aca="false">IF(Pipeline_Sort!$C545="","",INDEX(Pipeline_Calc!$I$2:$I$5251,Pipeline_Sort!$C545))</f>
        <v/>
      </c>
      <c r="I545" s="0" t="str">
        <f aca="false">IF(Pipeline_Sort!$C545="","",INDEX(Pipeline_Calc!$J$2:$J$5251,Pipeline_Sort!$C545))</f>
        <v/>
      </c>
    </row>
    <row r="546" customFormat="false" ht="15" hidden="false" customHeight="false" outlineLevel="0" collapsed="false">
      <c r="A546" s="33" t="str">
        <f aca="false">IF(Pipeline_Sort!$C546="","",INDEX(Pipeline_Calc!$B$2:$B$5251,Pipeline_Sort!$C546))</f>
        <v/>
      </c>
      <c r="B546" s="0" t="str">
        <f aca="false">IF(Pipeline_Sort!$C546="","",INDEX(Pipeline_Calc!$C$2:$C$5251,Pipeline_Sort!$C546))</f>
        <v/>
      </c>
      <c r="C546" s="0" t="str">
        <f aca="false">IF(Pipeline_Sort!$C546="","",INDEX(Pipeline_Calc!$D$2:$D$5251,Pipeline_Sort!$C546))</f>
        <v/>
      </c>
      <c r="D546" s="0" t="str">
        <f aca="false">IF(Pipeline_Sort!$C546="","",INDEX(Pipeline_Calc!$E$2:$E$5251,Pipeline_Sort!$C546))</f>
        <v/>
      </c>
      <c r="E546" s="0" t="str">
        <f aca="false">IF(Pipeline_Sort!$C546="","",INDEX(Pipeline_Calc!$F$2:$F$5251,Pipeline_Sort!$C546))</f>
        <v/>
      </c>
      <c r="F546" s="0" t="str">
        <f aca="false">IF(Pipeline_Sort!$C546="","",INDEX(Pipeline_Calc!$G$2:$G$5251,Pipeline_Sort!$C546))</f>
        <v/>
      </c>
      <c r="G546" s="0" t="str">
        <f aca="false">IF(Pipeline_Sort!$C546="","",INDEX(Pipeline_Calc!$H$2:$H$5251,Pipeline_Sort!$C546))</f>
        <v/>
      </c>
      <c r="H546" s="0" t="str">
        <f aca="false">IF(Pipeline_Sort!$C546="","",INDEX(Pipeline_Calc!$I$2:$I$5251,Pipeline_Sort!$C546))</f>
        <v/>
      </c>
      <c r="I546" s="0" t="str">
        <f aca="false">IF(Pipeline_Sort!$C546="","",INDEX(Pipeline_Calc!$J$2:$J$5251,Pipeline_Sort!$C546))</f>
        <v/>
      </c>
    </row>
    <row r="547" customFormat="false" ht="15" hidden="false" customHeight="false" outlineLevel="0" collapsed="false">
      <c r="A547" s="33" t="str">
        <f aca="false">IF(Pipeline_Sort!$C547="","",INDEX(Pipeline_Calc!$B$2:$B$5251,Pipeline_Sort!$C547))</f>
        <v/>
      </c>
      <c r="B547" s="0" t="str">
        <f aca="false">IF(Pipeline_Sort!$C547="","",INDEX(Pipeline_Calc!$C$2:$C$5251,Pipeline_Sort!$C547))</f>
        <v/>
      </c>
      <c r="C547" s="0" t="str">
        <f aca="false">IF(Pipeline_Sort!$C547="","",INDEX(Pipeline_Calc!$D$2:$D$5251,Pipeline_Sort!$C547))</f>
        <v/>
      </c>
      <c r="D547" s="0" t="str">
        <f aca="false">IF(Pipeline_Sort!$C547="","",INDEX(Pipeline_Calc!$E$2:$E$5251,Pipeline_Sort!$C547))</f>
        <v/>
      </c>
      <c r="E547" s="0" t="str">
        <f aca="false">IF(Pipeline_Sort!$C547="","",INDEX(Pipeline_Calc!$F$2:$F$5251,Pipeline_Sort!$C547))</f>
        <v/>
      </c>
      <c r="F547" s="0" t="str">
        <f aca="false">IF(Pipeline_Sort!$C547="","",INDEX(Pipeline_Calc!$G$2:$G$5251,Pipeline_Sort!$C547))</f>
        <v/>
      </c>
      <c r="G547" s="0" t="str">
        <f aca="false">IF(Pipeline_Sort!$C547="","",INDEX(Pipeline_Calc!$H$2:$H$5251,Pipeline_Sort!$C547))</f>
        <v/>
      </c>
      <c r="H547" s="0" t="str">
        <f aca="false">IF(Pipeline_Sort!$C547="","",INDEX(Pipeline_Calc!$I$2:$I$5251,Pipeline_Sort!$C547))</f>
        <v/>
      </c>
      <c r="I547" s="0" t="str">
        <f aca="false">IF(Pipeline_Sort!$C547="","",INDEX(Pipeline_Calc!$J$2:$J$5251,Pipeline_Sort!$C547))</f>
        <v/>
      </c>
    </row>
    <row r="548" customFormat="false" ht="15" hidden="false" customHeight="false" outlineLevel="0" collapsed="false">
      <c r="A548" s="33" t="str">
        <f aca="false">IF(Pipeline_Sort!$C548="","",INDEX(Pipeline_Calc!$B$2:$B$5251,Pipeline_Sort!$C548))</f>
        <v/>
      </c>
      <c r="B548" s="0" t="str">
        <f aca="false">IF(Pipeline_Sort!$C548="","",INDEX(Pipeline_Calc!$C$2:$C$5251,Pipeline_Sort!$C548))</f>
        <v/>
      </c>
      <c r="C548" s="0" t="str">
        <f aca="false">IF(Pipeline_Sort!$C548="","",INDEX(Pipeline_Calc!$D$2:$D$5251,Pipeline_Sort!$C548))</f>
        <v/>
      </c>
      <c r="D548" s="0" t="str">
        <f aca="false">IF(Pipeline_Sort!$C548="","",INDEX(Pipeline_Calc!$E$2:$E$5251,Pipeline_Sort!$C548))</f>
        <v/>
      </c>
      <c r="E548" s="0" t="str">
        <f aca="false">IF(Pipeline_Sort!$C548="","",INDEX(Pipeline_Calc!$F$2:$F$5251,Pipeline_Sort!$C548))</f>
        <v/>
      </c>
      <c r="F548" s="0" t="str">
        <f aca="false">IF(Pipeline_Sort!$C548="","",INDEX(Pipeline_Calc!$G$2:$G$5251,Pipeline_Sort!$C548))</f>
        <v/>
      </c>
      <c r="G548" s="0" t="str">
        <f aca="false">IF(Pipeline_Sort!$C548="","",INDEX(Pipeline_Calc!$H$2:$H$5251,Pipeline_Sort!$C548))</f>
        <v/>
      </c>
      <c r="H548" s="0" t="str">
        <f aca="false">IF(Pipeline_Sort!$C548="","",INDEX(Pipeline_Calc!$I$2:$I$5251,Pipeline_Sort!$C548))</f>
        <v/>
      </c>
      <c r="I548" s="0" t="str">
        <f aca="false">IF(Pipeline_Sort!$C548="","",INDEX(Pipeline_Calc!$J$2:$J$5251,Pipeline_Sort!$C548))</f>
        <v/>
      </c>
    </row>
    <row r="549" customFormat="false" ht="15" hidden="false" customHeight="false" outlineLevel="0" collapsed="false">
      <c r="A549" s="33" t="str">
        <f aca="false">IF(Pipeline_Sort!$C549="","",INDEX(Pipeline_Calc!$B$2:$B$5251,Pipeline_Sort!$C549))</f>
        <v/>
      </c>
      <c r="B549" s="0" t="str">
        <f aca="false">IF(Pipeline_Sort!$C549="","",INDEX(Pipeline_Calc!$C$2:$C$5251,Pipeline_Sort!$C549))</f>
        <v/>
      </c>
      <c r="C549" s="0" t="str">
        <f aca="false">IF(Pipeline_Sort!$C549="","",INDEX(Pipeline_Calc!$D$2:$D$5251,Pipeline_Sort!$C549))</f>
        <v/>
      </c>
      <c r="D549" s="0" t="str">
        <f aca="false">IF(Pipeline_Sort!$C549="","",INDEX(Pipeline_Calc!$E$2:$E$5251,Pipeline_Sort!$C549))</f>
        <v/>
      </c>
      <c r="E549" s="0" t="str">
        <f aca="false">IF(Pipeline_Sort!$C549="","",INDEX(Pipeline_Calc!$F$2:$F$5251,Pipeline_Sort!$C549))</f>
        <v/>
      </c>
      <c r="F549" s="0" t="str">
        <f aca="false">IF(Pipeline_Sort!$C549="","",INDEX(Pipeline_Calc!$G$2:$G$5251,Pipeline_Sort!$C549))</f>
        <v/>
      </c>
      <c r="G549" s="0" t="str">
        <f aca="false">IF(Pipeline_Sort!$C549="","",INDEX(Pipeline_Calc!$H$2:$H$5251,Pipeline_Sort!$C549))</f>
        <v/>
      </c>
      <c r="H549" s="0" t="str">
        <f aca="false">IF(Pipeline_Sort!$C549="","",INDEX(Pipeline_Calc!$I$2:$I$5251,Pipeline_Sort!$C549))</f>
        <v/>
      </c>
      <c r="I549" s="0" t="str">
        <f aca="false">IF(Pipeline_Sort!$C549="","",INDEX(Pipeline_Calc!$J$2:$J$5251,Pipeline_Sort!$C549))</f>
        <v/>
      </c>
    </row>
    <row r="550" customFormat="false" ht="15" hidden="false" customHeight="false" outlineLevel="0" collapsed="false">
      <c r="A550" s="33" t="str">
        <f aca="false">IF(Pipeline_Sort!$C550="","",INDEX(Pipeline_Calc!$B$2:$B$5251,Pipeline_Sort!$C550))</f>
        <v/>
      </c>
      <c r="B550" s="0" t="str">
        <f aca="false">IF(Pipeline_Sort!$C550="","",INDEX(Pipeline_Calc!$C$2:$C$5251,Pipeline_Sort!$C550))</f>
        <v/>
      </c>
      <c r="C550" s="0" t="str">
        <f aca="false">IF(Pipeline_Sort!$C550="","",INDEX(Pipeline_Calc!$D$2:$D$5251,Pipeline_Sort!$C550))</f>
        <v/>
      </c>
      <c r="D550" s="0" t="str">
        <f aca="false">IF(Pipeline_Sort!$C550="","",INDEX(Pipeline_Calc!$E$2:$E$5251,Pipeline_Sort!$C550))</f>
        <v/>
      </c>
      <c r="E550" s="0" t="str">
        <f aca="false">IF(Pipeline_Sort!$C550="","",INDEX(Pipeline_Calc!$F$2:$F$5251,Pipeline_Sort!$C550))</f>
        <v/>
      </c>
      <c r="F550" s="0" t="str">
        <f aca="false">IF(Pipeline_Sort!$C550="","",INDEX(Pipeline_Calc!$G$2:$G$5251,Pipeline_Sort!$C550))</f>
        <v/>
      </c>
      <c r="G550" s="0" t="str">
        <f aca="false">IF(Pipeline_Sort!$C550="","",INDEX(Pipeline_Calc!$H$2:$H$5251,Pipeline_Sort!$C550))</f>
        <v/>
      </c>
      <c r="H550" s="0" t="str">
        <f aca="false">IF(Pipeline_Sort!$C550="","",INDEX(Pipeline_Calc!$I$2:$I$5251,Pipeline_Sort!$C550))</f>
        <v/>
      </c>
      <c r="I550" s="0" t="str">
        <f aca="false">IF(Pipeline_Sort!$C550="","",INDEX(Pipeline_Calc!$J$2:$J$5251,Pipeline_Sort!$C550))</f>
        <v/>
      </c>
    </row>
    <row r="551" customFormat="false" ht="15" hidden="false" customHeight="false" outlineLevel="0" collapsed="false">
      <c r="A551" s="33" t="str">
        <f aca="false">IF(Pipeline_Sort!$C551="","",INDEX(Pipeline_Calc!$B$2:$B$5251,Pipeline_Sort!$C551))</f>
        <v/>
      </c>
      <c r="B551" s="0" t="str">
        <f aca="false">IF(Pipeline_Sort!$C551="","",INDEX(Pipeline_Calc!$C$2:$C$5251,Pipeline_Sort!$C551))</f>
        <v/>
      </c>
      <c r="C551" s="0" t="str">
        <f aca="false">IF(Pipeline_Sort!$C551="","",INDEX(Pipeline_Calc!$D$2:$D$5251,Pipeline_Sort!$C551))</f>
        <v/>
      </c>
      <c r="D551" s="0" t="str">
        <f aca="false">IF(Pipeline_Sort!$C551="","",INDEX(Pipeline_Calc!$E$2:$E$5251,Pipeline_Sort!$C551))</f>
        <v/>
      </c>
      <c r="E551" s="0" t="str">
        <f aca="false">IF(Pipeline_Sort!$C551="","",INDEX(Pipeline_Calc!$F$2:$F$5251,Pipeline_Sort!$C551))</f>
        <v/>
      </c>
      <c r="F551" s="0" t="str">
        <f aca="false">IF(Pipeline_Sort!$C551="","",INDEX(Pipeline_Calc!$G$2:$G$5251,Pipeline_Sort!$C551))</f>
        <v/>
      </c>
      <c r="G551" s="0" t="str">
        <f aca="false">IF(Pipeline_Sort!$C551="","",INDEX(Pipeline_Calc!$H$2:$H$5251,Pipeline_Sort!$C551))</f>
        <v/>
      </c>
      <c r="H551" s="0" t="str">
        <f aca="false">IF(Pipeline_Sort!$C551="","",INDEX(Pipeline_Calc!$I$2:$I$5251,Pipeline_Sort!$C551))</f>
        <v/>
      </c>
      <c r="I551" s="0" t="str">
        <f aca="false">IF(Pipeline_Sort!$C551="","",INDEX(Pipeline_Calc!$J$2:$J$5251,Pipeline_Sort!$C551))</f>
        <v/>
      </c>
    </row>
    <row r="552" customFormat="false" ht="15" hidden="false" customHeight="false" outlineLevel="0" collapsed="false">
      <c r="A552" s="33" t="str">
        <f aca="false">IF(Pipeline_Sort!$C552="","",INDEX(Pipeline_Calc!$B$2:$B$5251,Pipeline_Sort!$C552))</f>
        <v/>
      </c>
      <c r="B552" s="0" t="str">
        <f aca="false">IF(Pipeline_Sort!$C552="","",INDEX(Pipeline_Calc!$C$2:$C$5251,Pipeline_Sort!$C552))</f>
        <v/>
      </c>
      <c r="C552" s="0" t="str">
        <f aca="false">IF(Pipeline_Sort!$C552="","",INDEX(Pipeline_Calc!$D$2:$D$5251,Pipeline_Sort!$C552))</f>
        <v/>
      </c>
      <c r="D552" s="0" t="str">
        <f aca="false">IF(Pipeline_Sort!$C552="","",INDEX(Pipeline_Calc!$E$2:$E$5251,Pipeline_Sort!$C552))</f>
        <v/>
      </c>
      <c r="E552" s="0" t="str">
        <f aca="false">IF(Pipeline_Sort!$C552="","",INDEX(Pipeline_Calc!$F$2:$F$5251,Pipeline_Sort!$C552))</f>
        <v/>
      </c>
      <c r="F552" s="0" t="str">
        <f aca="false">IF(Pipeline_Sort!$C552="","",INDEX(Pipeline_Calc!$G$2:$G$5251,Pipeline_Sort!$C552))</f>
        <v/>
      </c>
      <c r="G552" s="0" t="str">
        <f aca="false">IF(Pipeline_Sort!$C552="","",INDEX(Pipeline_Calc!$H$2:$H$5251,Pipeline_Sort!$C552))</f>
        <v/>
      </c>
      <c r="H552" s="0" t="str">
        <f aca="false">IF(Pipeline_Sort!$C552="","",INDEX(Pipeline_Calc!$I$2:$I$5251,Pipeline_Sort!$C552))</f>
        <v/>
      </c>
      <c r="I552" s="0" t="str">
        <f aca="false">IF(Pipeline_Sort!$C552="","",INDEX(Pipeline_Calc!$J$2:$J$5251,Pipeline_Sort!$C552))</f>
        <v/>
      </c>
    </row>
    <row r="553" customFormat="false" ht="15" hidden="false" customHeight="false" outlineLevel="0" collapsed="false">
      <c r="A553" s="33" t="str">
        <f aca="false">IF(Pipeline_Sort!$C553="","",INDEX(Pipeline_Calc!$B$2:$B$5251,Pipeline_Sort!$C553))</f>
        <v/>
      </c>
      <c r="B553" s="0" t="str">
        <f aca="false">IF(Pipeline_Sort!$C553="","",INDEX(Pipeline_Calc!$C$2:$C$5251,Pipeline_Sort!$C553))</f>
        <v/>
      </c>
      <c r="C553" s="0" t="str">
        <f aca="false">IF(Pipeline_Sort!$C553="","",INDEX(Pipeline_Calc!$D$2:$D$5251,Pipeline_Sort!$C553))</f>
        <v/>
      </c>
      <c r="D553" s="0" t="str">
        <f aca="false">IF(Pipeline_Sort!$C553="","",INDEX(Pipeline_Calc!$E$2:$E$5251,Pipeline_Sort!$C553))</f>
        <v/>
      </c>
      <c r="E553" s="0" t="str">
        <f aca="false">IF(Pipeline_Sort!$C553="","",INDEX(Pipeline_Calc!$F$2:$F$5251,Pipeline_Sort!$C553))</f>
        <v/>
      </c>
      <c r="F553" s="0" t="str">
        <f aca="false">IF(Pipeline_Sort!$C553="","",INDEX(Pipeline_Calc!$G$2:$G$5251,Pipeline_Sort!$C553))</f>
        <v/>
      </c>
      <c r="G553" s="0" t="str">
        <f aca="false">IF(Pipeline_Sort!$C553="","",INDEX(Pipeline_Calc!$H$2:$H$5251,Pipeline_Sort!$C553))</f>
        <v/>
      </c>
      <c r="H553" s="0" t="str">
        <f aca="false">IF(Pipeline_Sort!$C553="","",INDEX(Pipeline_Calc!$I$2:$I$5251,Pipeline_Sort!$C553))</f>
        <v/>
      </c>
      <c r="I553" s="0" t="str">
        <f aca="false">IF(Pipeline_Sort!$C553="","",INDEX(Pipeline_Calc!$J$2:$J$5251,Pipeline_Sort!$C553))</f>
        <v/>
      </c>
    </row>
    <row r="554" customFormat="false" ht="15" hidden="false" customHeight="false" outlineLevel="0" collapsed="false">
      <c r="A554" s="33" t="str">
        <f aca="false">IF(Pipeline_Sort!$C554="","",INDEX(Pipeline_Calc!$B$2:$B$5251,Pipeline_Sort!$C554))</f>
        <v/>
      </c>
      <c r="B554" s="0" t="str">
        <f aca="false">IF(Pipeline_Sort!$C554="","",INDEX(Pipeline_Calc!$C$2:$C$5251,Pipeline_Sort!$C554))</f>
        <v/>
      </c>
      <c r="C554" s="0" t="str">
        <f aca="false">IF(Pipeline_Sort!$C554="","",INDEX(Pipeline_Calc!$D$2:$D$5251,Pipeline_Sort!$C554))</f>
        <v/>
      </c>
      <c r="D554" s="0" t="str">
        <f aca="false">IF(Pipeline_Sort!$C554="","",INDEX(Pipeline_Calc!$E$2:$E$5251,Pipeline_Sort!$C554))</f>
        <v/>
      </c>
      <c r="E554" s="0" t="str">
        <f aca="false">IF(Pipeline_Sort!$C554="","",INDEX(Pipeline_Calc!$F$2:$F$5251,Pipeline_Sort!$C554))</f>
        <v/>
      </c>
      <c r="F554" s="0" t="str">
        <f aca="false">IF(Pipeline_Sort!$C554="","",INDEX(Pipeline_Calc!$G$2:$G$5251,Pipeline_Sort!$C554))</f>
        <v/>
      </c>
      <c r="G554" s="0" t="str">
        <f aca="false">IF(Pipeline_Sort!$C554="","",INDEX(Pipeline_Calc!$H$2:$H$5251,Pipeline_Sort!$C554))</f>
        <v/>
      </c>
      <c r="H554" s="0" t="str">
        <f aca="false">IF(Pipeline_Sort!$C554="","",INDEX(Pipeline_Calc!$I$2:$I$5251,Pipeline_Sort!$C554))</f>
        <v/>
      </c>
      <c r="I554" s="0" t="str">
        <f aca="false">IF(Pipeline_Sort!$C554="","",INDEX(Pipeline_Calc!$J$2:$J$5251,Pipeline_Sort!$C554))</f>
        <v/>
      </c>
    </row>
    <row r="555" customFormat="false" ht="15" hidden="false" customHeight="false" outlineLevel="0" collapsed="false">
      <c r="A555" s="33" t="str">
        <f aca="false">IF(Pipeline_Sort!$C555="","",INDEX(Pipeline_Calc!$B$2:$B$5251,Pipeline_Sort!$C555))</f>
        <v/>
      </c>
      <c r="B555" s="0" t="str">
        <f aca="false">IF(Pipeline_Sort!$C555="","",INDEX(Pipeline_Calc!$C$2:$C$5251,Pipeline_Sort!$C555))</f>
        <v/>
      </c>
      <c r="C555" s="0" t="str">
        <f aca="false">IF(Pipeline_Sort!$C555="","",INDEX(Pipeline_Calc!$D$2:$D$5251,Pipeline_Sort!$C555))</f>
        <v/>
      </c>
      <c r="D555" s="0" t="str">
        <f aca="false">IF(Pipeline_Sort!$C555="","",INDEX(Pipeline_Calc!$E$2:$E$5251,Pipeline_Sort!$C555))</f>
        <v/>
      </c>
      <c r="E555" s="0" t="str">
        <f aca="false">IF(Pipeline_Sort!$C555="","",INDEX(Pipeline_Calc!$F$2:$F$5251,Pipeline_Sort!$C555))</f>
        <v/>
      </c>
      <c r="F555" s="0" t="str">
        <f aca="false">IF(Pipeline_Sort!$C555="","",INDEX(Pipeline_Calc!$G$2:$G$5251,Pipeline_Sort!$C555))</f>
        <v/>
      </c>
      <c r="G555" s="0" t="str">
        <f aca="false">IF(Pipeline_Sort!$C555="","",INDEX(Pipeline_Calc!$H$2:$H$5251,Pipeline_Sort!$C555))</f>
        <v/>
      </c>
      <c r="H555" s="0" t="str">
        <f aca="false">IF(Pipeline_Sort!$C555="","",INDEX(Pipeline_Calc!$I$2:$I$5251,Pipeline_Sort!$C555))</f>
        <v/>
      </c>
      <c r="I555" s="0" t="str">
        <f aca="false">IF(Pipeline_Sort!$C555="","",INDEX(Pipeline_Calc!$J$2:$J$5251,Pipeline_Sort!$C555))</f>
        <v/>
      </c>
    </row>
    <row r="556" customFormat="false" ht="15" hidden="false" customHeight="false" outlineLevel="0" collapsed="false">
      <c r="A556" s="33" t="str">
        <f aca="false">IF(Pipeline_Sort!$C556="","",INDEX(Pipeline_Calc!$B$2:$B$5251,Pipeline_Sort!$C556))</f>
        <v/>
      </c>
      <c r="B556" s="0" t="str">
        <f aca="false">IF(Pipeline_Sort!$C556="","",INDEX(Pipeline_Calc!$C$2:$C$5251,Pipeline_Sort!$C556))</f>
        <v/>
      </c>
      <c r="C556" s="0" t="str">
        <f aca="false">IF(Pipeline_Sort!$C556="","",INDEX(Pipeline_Calc!$D$2:$D$5251,Pipeline_Sort!$C556))</f>
        <v/>
      </c>
      <c r="D556" s="0" t="str">
        <f aca="false">IF(Pipeline_Sort!$C556="","",INDEX(Pipeline_Calc!$E$2:$E$5251,Pipeline_Sort!$C556))</f>
        <v/>
      </c>
      <c r="E556" s="0" t="str">
        <f aca="false">IF(Pipeline_Sort!$C556="","",INDEX(Pipeline_Calc!$F$2:$F$5251,Pipeline_Sort!$C556))</f>
        <v/>
      </c>
      <c r="F556" s="0" t="str">
        <f aca="false">IF(Pipeline_Sort!$C556="","",INDEX(Pipeline_Calc!$G$2:$G$5251,Pipeline_Sort!$C556))</f>
        <v/>
      </c>
      <c r="G556" s="0" t="str">
        <f aca="false">IF(Pipeline_Sort!$C556="","",INDEX(Pipeline_Calc!$H$2:$H$5251,Pipeline_Sort!$C556))</f>
        <v/>
      </c>
      <c r="H556" s="0" t="str">
        <f aca="false">IF(Pipeline_Sort!$C556="","",INDEX(Pipeline_Calc!$I$2:$I$5251,Pipeline_Sort!$C556))</f>
        <v/>
      </c>
      <c r="I556" s="0" t="str">
        <f aca="false">IF(Pipeline_Sort!$C556="","",INDEX(Pipeline_Calc!$J$2:$J$5251,Pipeline_Sort!$C556))</f>
        <v/>
      </c>
    </row>
    <row r="557" customFormat="false" ht="15" hidden="false" customHeight="false" outlineLevel="0" collapsed="false">
      <c r="A557" s="33" t="str">
        <f aca="false">IF(Pipeline_Sort!$C557="","",INDEX(Pipeline_Calc!$B$2:$B$5251,Pipeline_Sort!$C557))</f>
        <v/>
      </c>
      <c r="B557" s="0" t="str">
        <f aca="false">IF(Pipeline_Sort!$C557="","",INDEX(Pipeline_Calc!$C$2:$C$5251,Pipeline_Sort!$C557))</f>
        <v/>
      </c>
      <c r="C557" s="0" t="str">
        <f aca="false">IF(Pipeline_Sort!$C557="","",INDEX(Pipeline_Calc!$D$2:$D$5251,Pipeline_Sort!$C557))</f>
        <v/>
      </c>
      <c r="D557" s="0" t="str">
        <f aca="false">IF(Pipeline_Sort!$C557="","",INDEX(Pipeline_Calc!$E$2:$E$5251,Pipeline_Sort!$C557))</f>
        <v/>
      </c>
      <c r="E557" s="0" t="str">
        <f aca="false">IF(Pipeline_Sort!$C557="","",INDEX(Pipeline_Calc!$F$2:$F$5251,Pipeline_Sort!$C557))</f>
        <v/>
      </c>
      <c r="F557" s="0" t="str">
        <f aca="false">IF(Pipeline_Sort!$C557="","",INDEX(Pipeline_Calc!$G$2:$G$5251,Pipeline_Sort!$C557))</f>
        <v/>
      </c>
      <c r="G557" s="0" t="str">
        <f aca="false">IF(Pipeline_Sort!$C557="","",INDEX(Pipeline_Calc!$H$2:$H$5251,Pipeline_Sort!$C557))</f>
        <v/>
      </c>
      <c r="H557" s="0" t="str">
        <f aca="false">IF(Pipeline_Sort!$C557="","",INDEX(Pipeline_Calc!$I$2:$I$5251,Pipeline_Sort!$C557))</f>
        <v/>
      </c>
      <c r="I557" s="0" t="str">
        <f aca="false">IF(Pipeline_Sort!$C557="","",INDEX(Pipeline_Calc!$J$2:$J$5251,Pipeline_Sort!$C557))</f>
        <v/>
      </c>
    </row>
    <row r="558" customFormat="false" ht="15" hidden="false" customHeight="false" outlineLevel="0" collapsed="false">
      <c r="A558" s="33" t="str">
        <f aca="false">IF(Pipeline_Sort!$C558="","",INDEX(Pipeline_Calc!$B$2:$B$5251,Pipeline_Sort!$C558))</f>
        <v/>
      </c>
      <c r="B558" s="0" t="str">
        <f aca="false">IF(Pipeline_Sort!$C558="","",INDEX(Pipeline_Calc!$C$2:$C$5251,Pipeline_Sort!$C558))</f>
        <v/>
      </c>
      <c r="C558" s="0" t="str">
        <f aca="false">IF(Pipeline_Sort!$C558="","",INDEX(Pipeline_Calc!$D$2:$D$5251,Pipeline_Sort!$C558))</f>
        <v/>
      </c>
      <c r="D558" s="0" t="str">
        <f aca="false">IF(Pipeline_Sort!$C558="","",INDEX(Pipeline_Calc!$E$2:$E$5251,Pipeline_Sort!$C558))</f>
        <v/>
      </c>
      <c r="E558" s="0" t="str">
        <f aca="false">IF(Pipeline_Sort!$C558="","",INDEX(Pipeline_Calc!$F$2:$F$5251,Pipeline_Sort!$C558))</f>
        <v/>
      </c>
      <c r="F558" s="0" t="str">
        <f aca="false">IF(Pipeline_Sort!$C558="","",INDEX(Pipeline_Calc!$G$2:$G$5251,Pipeline_Sort!$C558))</f>
        <v/>
      </c>
      <c r="G558" s="0" t="str">
        <f aca="false">IF(Pipeline_Sort!$C558="","",INDEX(Pipeline_Calc!$H$2:$H$5251,Pipeline_Sort!$C558))</f>
        <v/>
      </c>
      <c r="H558" s="0" t="str">
        <f aca="false">IF(Pipeline_Sort!$C558="","",INDEX(Pipeline_Calc!$I$2:$I$5251,Pipeline_Sort!$C558))</f>
        <v/>
      </c>
      <c r="I558" s="0" t="str">
        <f aca="false">IF(Pipeline_Sort!$C558="","",INDEX(Pipeline_Calc!$J$2:$J$5251,Pipeline_Sort!$C558))</f>
        <v/>
      </c>
    </row>
    <row r="559" customFormat="false" ht="15" hidden="false" customHeight="false" outlineLevel="0" collapsed="false">
      <c r="A559" s="33" t="str">
        <f aca="false">IF(Pipeline_Sort!$C559="","",INDEX(Pipeline_Calc!$B$2:$B$5251,Pipeline_Sort!$C559))</f>
        <v/>
      </c>
      <c r="B559" s="0" t="str">
        <f aca="false">IF(Pipeline_Sort!$C559="","",INDEX(Pipeline_Calc!$C$2:$C$5251,Pipeline_Sort!$C559))</f>
        <v/>
      </c>
      <c r="C559" s="0" t="str">
        <f aca="false">IF(Pipeline_Sort!$C559="","",INDEX(Pipeline_Calc!$D$2:$D$5251,Pipeline_Sort!$C559))</f>
        <v/>
      </c>
      <c r="D559" s="0" t="str">
        <f aca="false">IF(Pipeline_Sort!$C559="","",INDEX(Pipeline_Calc!$E$2:$E$5251,Pipeline_Sort!$C559))</f>
        <v/>
      </c>
      <c r="E559" s="0" t="str">
        <f aca="false">IF(Pipeline_Sort!$C559="","",INDEX(Pipeline_Calc!$F$2:$F$5251,Pipeline_Sort!$C559))</f>
        <v/>
      </c>
      <c r="F559" s="0" t="str">
        <f aca="false">IF(Pipeline_Sort!$C559="","",INDEX(Pipeline_Calc!$G$2:$G$5251,Pipeline_Sort!$C559))</f>
        <v/>
      </c>
      <c r="G559" s="0" t="str">
        <f aca="false">IF(Pipeline_Sort!$C559="","",INDEX(Pipeline_Calc!$H$2:$H$5251,Pipeline_Sort!$C559))</f>
        <v/>
      </c>
      <c r="H559" s="0" t="str">
        <f aca="false">IF(Pipeline_Sort!$C559="","",INDEX(Pipeline_Calc!$I$2:$I$5251,Pipeline_Sort!$C559))</f>
        <v/>
      </c>
      <c r="I559" s="0" t="str">
        <f aca="false">IF(Pipeline_Sort!$C559="","",INDEX(Pipeline_Calc!$J$2:$J$5251,Pipeline_Sort!$C559))</f>
        <v/>
      </c>
    </row>
    <row r="560" customFormat="false" ht="15" hidden="false" customHeight="false" outlineLevel="0" collapsed="false">
      <c r="A560" s="33" t="str">
        <f aca="false">IF(Pipeline_Sort!$C560="","",INDEX(Pipeline_Calc!$B$2:$B$5251,Pipeline_Sort!$C560))</f>
        <v/>
      </c>
      <c r="B560" s="0" t="str">
        <f aca="false">IF(Pipeline_Sort!$C560="","",INDEX(Pipeline_Calc!$C$2:$C$5251,Pipeline_Sort!$C560))</f>
        <v/>
      </c>
      <c r="C560" s="0" t="str">
        <f aca="false">IF(Pipeline_Sort!$C560="","",INDEX(Pipeline_Calc!$D$2:$D$5251,Pipeline_Sort!$C560))</f>
        <v/>
      </c>
      <c r="D560" s="0" t="str">
        <f aca="false">IF(Pipeline_Sort!$C560="","",INDEX(Pipeline_Calc!$E$2:$E$5251,Pipeline_Sort!$C560))</f>
        <v/>
      </c>
      <c r="E560" s="0" t="str">
        <f aca="false">IF(Pipeline_Sort!$C560="","",INDEX(Pipeline_Calc!$F$2:$F$5251,Pipeline_Sort!$C560))</f>
        <v/>
      </c>
      <c r="F560" s="0" t="str">
        <f aca="false">IF(Pipeline_Sort!$C560="","",INDEX(Pipeline_Calc!$G$2:$G$5251,Pipeline_Sort!$C560))</f>
        <v/>
      </c>
      <c r="G560" s="0" t="str">
        <f aca="false">IF(Pipeline_Sort!$C560="","",INDEX(Pipeline_Calc!$H$2:$H$5251,Pipeline_Sort!$C560))</f>
        <v/>
      </c>
      <c r="H560" s="0" t="str">
        <f aca="false">IF(Pipeline_Sort!$C560="","",INDEX(Pipeline_Calc!$I$2:$I$5251,Pipeline_Sort!$C560))</f>
        <v/>
      </c>
      <c r="I560" s="0" t="str">
        <f aca="false">IF(Pipeline_Sort!$C560="","",INDEX(Pipeline_Calc!$J$2:$J$5251,Pipeline_Sort!$C560))</f>
        <v/>
      </c>
    </row>
    <row r="561" customFormat="false" ht="15" hidden="false" customHeight="false" outlineLevel="0" collapsed="false">
      <c r="A561" s="33" t="str">
        <f aca="false">IF(Pipeline_Sort!$C561="","",INDEX(Pipeline_Calc!$B$2:$B$5251,Pipeline_Sort!$C561))</f>
        <v/>
      </c>
      <c r="B561" s="0" t="str">
        <f aca="false">IF(Pipeline_Sort!$C561="","",INDEX(Pipeline_Calc!$C$2:$C$5251,Pipeline_Sort!$C561))</f>
        <v/>
      </c>
      <c r="C561" s="0" t="str">
        <f aca="false">IF(Pipeline_Sort!$C561="","",INDEX(Pipeline_Calc!$D$2:$D$5251,Pipeline_Sort!$C561))</f>
        <v/>
      </c>
      <c r="D561" s="0" t="str">
        <f aca="false">IF(Pipeline_Sort!$C561="","",INDEX(Pipeline_Calc!$E$2:$E$5251,Pipeline_Sort!$C561))</f>
        <v/>
      </c>
      <c r="E561" s="0" t="str">
        <f aca="false">IF(Pipeline_Sort!$C561="","",INDEX(Pipeline_Calc!$F$2:$F$5251,Pipeline_Sort!$C561))</f>
        <v/>
      </c>
      <c r="F561" s="0" t="str">
        <f aca="false">IF(Pipeline_Sort!$C561="","",INDEX(Pipeline_Calc!$G$2:$G$5251,Pipeline_Sort!$C561))</f>
        <v/>
      </c>
      <c r="G561" s="0" t="str">
        <f aca="false">IF(Pipeline_Sort!$C561="","",INDEX(Pipeline_Calc!$H$2:$H$5251,Pipeline_Sort!$C561))</f>
        <v/>
      </c>
      <c r="H561" s="0" t="str">
        <f aca="false">IF(Pipeline_Sort!$C561="","",INDEX(Pipeline_Calc!$I$2:$I$5251,Pipeline_Sort!$C561))</f>
        <v/>
      </c>
      <c r="I561" s="0" t="str">
        <f aca="false">IF(Pipeline_Sort!$C561="","",INDEX(Pipeline_Calc!$J$2:$J$5251,Pipeline_Sort!$C561))</f>
        <v/>
      </c>
    </row>
    <row r="562" customFormat="false" ht="15" hidden="false" customHeight="false" outlineLevel="0" collapsed="false">
      <c r="A562" s="33" t="str">
        <f aca="false">IF(Pipeline_Sort!$C562="","",INDEX(Pipeline_Calc!$B$2:$B$5251,Pipeline_Sort!$C562))</f>
        <v/>
      </c>
      <c r="B562" s="0" t="str">
        <f aca="false">IF(Pipeline_Sort!$C562="","",INDEX(Pipeline_Calc!$C$2:$C$5251,Pipeline_Sort!$C562))</f>
        <v/>
      </c>
      <c r="C562" s="0" t="str">
        <f aca="false">IF(Pipeline_Sort!$C562="","",INDEX(Pipeline_Calc!$D$2:$D$5251,Pipeline_Sort!$C562))</f>
        <v/>
      </c>
      <c r="D562" s="0" t="str">
        <f aca="false">IF(Pipeline_Sort!$C562="","",INDEX(Pipeline_Calc!$E$2:$E$5251,Pipeline_Sort!$C562))</f>
        <v/>
      </c>
      <c r="E562" s="0" t="str">
        <f aca="false">IF(Pipeline_Sort!$C562="","",INDEX(Pipeline_Calc!$F$2:$F$5251,Pipeline_Sort!$C562))</f>
        <v/>
      </c>
      <c r="F562" s="0" t="str">
        <f aca="false">IF(Pipeline_Sort!$C562="","",INDEX(Pipeline_Calc!$G$2:$G$5251,Pipeline_Sort!$C562))</f>
        <v/>
      </c>
      <c r="G562" s="0" t="str">
        <f aca="false">IF(Pipeline_Sort!$C562="","",INDEX(Pipeline_Calc!$H$2:$H$5251,Pipeline_Sort!$C562))</f>
        <v/>
      </c>
      <c r="H562" s="0" t="str">
        <f aca="false">IF(Pipeline_Sort!$C562="","",INDEX(Pipeline_Calc!$I$2:$I$5251,Pipeline_Sort!$C562))</f>
        <v/>
      </c>
      <c r="I562" s="0" t="str">
        <f aca="false">IF(Pipeline_Sort!$C562="","",INDEX(Pipeline_Calc!$J$2:$J$5251,Pipeline_Sort!$C562))</f>
        <v/>
      </c>
    </row>
    <row r="563" customFormat="false" ht="15" hidden="false" customHeight="false" outlineLevel="0" collapsed="false">
      <c r="A563" s="33" t="str">
        <f aca="false">IF(Pipeline_Sort!$C563="","",INDEX(Pipeline_Calc!$B$2:$B$5251,Pipeline_Sort!$C563))</f>
        <v/>
      </c>
      <c r="B563" s="0" t="str">
        <f aca="false">IF(Pipeline_Sort!$C563="","",INDEX(Pipeline_Calc!$C$2:$C$5251,Pipeline_Sort!$C563))</f>
        <v/>
      </c>
      <c r="C563" s="0" t="str">
        <f aca="false">IF(Pipeline_Sort!$C563="","",INDEX(Pipeline_Calc!$D$2:$D$5251,Pipeline_Sort!$C563))</f>
        <v/>
      </c>
      <c r="D563" s="0" t="str">
        <f aca="false">IF(Pipeline_Sort!$C563="","",INDEX(Pipeline_Calc!$E$2:$E$5251,Pipeline_Sort!$C563))</f>
        <v/>
      </c>
      <c r="E563" s="0" t="str">
        <f aca="false">IF(Pipeline_Sort!$C563="","",INDEX(Pipeline_Calc!$F$2:$F$5251,Pipeline_Sort!$C563))</f>
        <v/>
      </c>
      <c r="F563" s="0" t="str">
        <f aca="false">IF(Pipeline_Sort!$C563="","",INDEX(Pipeline_Calc!$G$2:$G$5251,Pipeline_Sort!$C563))</f>
        <v/>
      </c>
      <c r="G563" s="0" t="str">
        <f aca="false">IF(Pipeline_Sort!$C563="","",INDEX(Pipeline_Calc!$H$2:$H$5251,Pipeline_Sort!$C563))</f>
        <v/>
      </c>
      <c r="H563" s="0" t="str">
        <f aca="false">IF(Pipeline_Sort!$C563="","",INDEX(Pipeline_Calc!$I$2:$I$5251,Pipeline_Sort!$C563))</f>
        <v/>
      </c>
      <c r="I563" s="0" t="str">
        <f aca="false">IF(Pipeline_Sort!$C563="","",INDEX(Pipeline_Calc!$J$2:$J$5251,Pipeline_Sort!$C563))</f>
        <v/>
      </c>
    </row>
    <row r="564" customFormat="false" ht="15" hidden="false" customHeight="false" outlineLevel="0" collapsed="false">
      <c r="A564" s="33" t="str">
        <f aca="false">IF(Pipeline_Sort!$C564="","",INDEX(Pipeline_Calc!$B$2:$B$5251,Pipeline_Sort!$C564))</f>
        <v/>
      </c>
      <c r="B564" s="0" t="str">
        <f aca="false">IF(Pipeline_Sort!$C564="","",INDEX(Pipeline_Calc!$C$2:$C$5251,Pipeline_Sort!$C564))</f>
        <v/>
      </c>
      <c r="C564" s="0" t="str">
        <f aca="false">IF(Pipeline_Sort!$C564="","",INDEX(Pipeline_Calc!$D$2:$D$5251,Pipeline_Sort!$C564))</f>
        <v/>
      </c>
      <c r="D564" s="0" t="str">
        <f aca="false">IF(Pipeline_Sort!$C564="","",INDEX(Pipeline_Calc!$E$2:$E$5251,Pipeline_Sort!$C564))</f>
        <v/>
      </c>
      <c r="E564" s="0" t="str">
        <f aca="false">IF(Pipeline_Sort!$C564="","",INDEX(Pipeline_Calc!$F$2:$F$5251,Pipeline_Sort!$C564))</f>
        <v/>
      </c>
      <c r="F564" s="0" t="str">
        <f aca="false">IF(Pipeline_Sort!$C564="","",INDEX(Pipeline_Calc!$G$2:$G$5251,Pipeline_Sort!$C564))</f>
        <v/>
      </c>
      <c r="G564" s="0" t="str">
        <f aca="false">IF(Pipeline_Sort!$C564="","",INDEX(Pipeline_Calc!$H$2:$H$5251,Pipeline_Sort!$C564))</f>
        <v/>
      </c>
      <c r="H564" s="0" t="str">
        <f aca="false">IF(Pipeline_Sort!$C564="","",INDEX(Pipeline_Calc!$I$2:$I$5251,Pipeline_Sort!$C564))</f>
        <v/>
      </c>
      <c r="I564" s="0" t="str">
        <f aca="false">IF(Pipeline_Sort!$C564="","",INDEX(Pipeline_Calc!$J$2:$J$5251,Pipeline_Sort!$C564))</f>
        <v/>
      </c>
    </row>
    <row r="565" customFormat="false" ht="15" hidden="false" customHeight="false" outlineLevel="0" collapsed="false">
      <c r="A565" s="33" t="str">
        <f aca="false">IF(Pipeline_Sort!$C565="","",INDEX(Pipeline_Calc!$B$2:$B$5251,Pipeline_Sort!$C565))</f>
        <v/>
      </c>
      <c r="B565" s="0" t="str">
        <f aca="false">IF(Pipeline_Sort!$C565="","",INDEX(Pipeline_Calc!$C$2:$C$5251,Pipeline_Sort!$C565))</f>
        <v/>
      </c>
      <c r="C565" s="0" t="str">
        <f aca="false">IF(Pipeline_Sort!$C565="","",INDEX(Pipeline_Calc!$D$2:$D$5251,Pipeline_Sort!$C565))</f>
        <v/>
      </c>
      <c r="D565" s="0" t="str">
        <f aca="false">IF(Pipeline_Sort!$C565="","",INDEX(Pipeline_Calc!$E$2:$E$5251,Pipeline_Sort!$C565))</f>
        <v/>
      </c>
      <c r="E565" s="0" t="str">
        <f aca="false">IF(Pipeline_Sort!$C565="","",INDEX(Pipeline_Calc!$F$2:$F$5251,Pipeline_Sort!$C565))</f>
        <v/>
      </c>
      <c r="F565" s="0" t="str">
        <f aca="false">IF(Pipeline_Sort!$C565="","",INDEX(Pipeline_Calc!$G$2:$G$5251,Pipeline_Sort!$C565))</f>
        <v/>
      </c>
      <c r="G565" s="0" t="str">
        <f aca="false">IF(Pipeline_Sort!$C565="","",INDEX(Pipeline_Calc!$H$2:$H$5251,Pipeline_Sort!$C565))</f>
        <v/>
      </c>
      <c r="H565" s="0" t="str">
        <f aca="false">IF(Pipeline_Sort!$C565="","",INDEX(Pipeline_Calc!$I$2:$I$5251,Pipeline_Sort!$C565))</f>
        <v/>
      </c>
      <c r="I565" s="0" t="str">
        <f aca="false">IF(Pipeline_Sort!$C565="","",INDEX(Pipeline_Calc!$J$2:$J$5251,Pipeline_Sort!$C565))</f>
        <v/>
      </c>
    </row>
    <row r="566" customFormat="false" ht="15" hidden="false" customHeight="false" outlineLevel="0" collapsed="false">
      <c r="A566" s="33" t="str">
        <f aca="false">IF(Pipeline_Sort!$C566="","",INDEX(Pipeline_Calc!$B$2:$B$5251,Pipeline_Sort!$C566))</f>
        <v/>
      </c>
      <c r="B566" s="0" t="str">
        <f aca="false">IF(Pipeline_Sort!$C566="","",INDEX(Pipeline_Calc!$C$2:$C$5251,Pipeline_Sort!$C566))</f>
        <v/>
      </c>
      <c r="C566" s="0" t="str">
        <f aca="false">IF(Pipeline_Sort!$C566="","",INDEX(Pipeline_Calc!$D$2:$D$5251,Pipeline_Sort!$C566))</f>
        <v/>
      </c>
      <c r="D566" s="0" t="str">
        <f aca="false">IF(Pipeline_Sort!$C566="","",INDEX(Pipeline_Calc!$E$2:$E$5251,Pipeline_Sort!$C566))</f>
        <v/>
      </c>
      <c r="E566" s="0" t="str">
        <f aca="false">IF(Pipeline_Sort!$C566="","",INDEX(Pipeline_Calc!$F$2:$F$5251,Pipeline_Sort!$C566))</f>
        <v/>
      </c>
      <c r="F566" s="0" t="str">
        <f aca="false">IF(Pipeline_Sort!$C566="","",INDEX(Pipeline_Calc!$G$2:$G$5251,Pipeline_Sort!$C566))</f>
        <v/>
      </c>
      <c r="G566" s="0" t="str">
        <f aca="false">IF(Pipeline_Sort!$C566="","",INDEX(Pipeline_Calc!$H$2:$H$5251,Pipeline_Sort!$C566))</f>
        <v/>
      </c>
      <c r="H566" s="0" t="str">
        <f aca="false">IF(Pipeline_Sort!$C566="","",INDEX(Pipeline_Calc!$I$2:$I$5251,Pipeline_Sort!$C566))</f>
        <v/>
      </c>
      <c r="I566" s="0" t="str">
        <f aca="false">IF(Pipeline_Sort!$C566="","",INDEX(Pipeline_Calc!$J$2:$J$5251,Pipeline_Sort!$C566))</f>
        <v/>
      </c>
    </row>
    <row r="567" customFormat="false" ht="15" hidden="false" customHeight="false" outlineLevel="0" collapsed="false">
      <c r="A567" s="33" t="str">
        <f aca="false">IF(Pipeline_Sort!$C567="","",INDEX(Pipeline_Calc!$B$2:$B$5251,Pipeline_Sort!$C567))</f>
        <v/>
      </c>
      <c r="B567" s="0" t="str">
        <f aca="false">IF(Pipeline_Sort!$C567="","",INDEX(Pipeline_Calc!$C$2:$C$5251,Pipeline_Sort!$C567))</f>
        <v/>
      </c>
      <c r="C567" s="0" t="str">
        <f aca="false">IF(Pipeline_Sort!$C567="","",INDEX(Pipeline_Calc!$D$2:$D$5251,Pipeline_Sort!$C567))</f>
        <v/>
      </c>
      <c r="D567" s="0" t="str">
        <f aca="false">IF(Pipeline_Sort!$C567="","",INDEX(Pipeline_Calc!$E$2:$E$5251,Pipeline_Sort!$C567))</f>
        <v/>
      </c>
      <c r="E567" s="0" t="str">
        <f aca="false">IF(Pipeline_Sort!$C567="","",INDEX(Pipeline_Calc!$F$2:$F$5251,Pipeline_Sort!$C567))</f>
        <v/>
      </c>
      <c r="F567" s="0" t="str">
        <f aca="false">IF(Pipeline_Sort!$C567="","",INDEX(Pipeline_Calc!$G$2:$G$5251,Pipeline_Sort!$C567))</f>
        <v/>
      </c>
      <c r="G567" s="0" t="str">
        <f aca="false">IF(Pipeline_Sort!$C567="","",INDEX(Pipeline_Calc!$H$2:$H$5251,Pipeline_Sort!$C567))</f>
        <v/>
      </c>
      <c r="H567" s="0" t="str">
        <f aca="false">IF(Pipeline_Sort!$C567="","",INDEX(Pipeline_Calc!$I$2:$I$5251,Pipeline_Sort!$C567))</f>
        <v/>
      </c>
      <c r="I567" s="0" t="str">
        <f aca="false">IF(Pipeline_Sort!$C567="","",INDEX(Pipeline_Calc!$J$2:$J$5251,Pipeline_Sort!$C567))</f>
        <v/>
      </c>
    </row>
    <row r="568" customFormat="false" ht="15" hidden="false" customHeight="false" outlineLevel="0" collapsed="false">
      <c r="A568" s="33" t="str">
        <f aca="false">IF(Pipeline_Sort!$C568="","",INDEX(Pipeline_Calc!$B$2:$B$5251,Pipeline_Sort!$C568))</f>
        <v/>
      </c>
      <c r="B568" s="0" t="str">
        <f aca="false">IF(Pipeline_Sort!$C568="","",INDEX(Pipeline_Calc!$C$2:$C$5251,Pipeline_Sort!$C568))</f>
        <v/>
      </c>
      <c r="C568" s="0" t="str">
        <f aca="false">IF(Pipeline_Sort!$C568="","",INDEX(Pipeline_Calc!$D$2:$D$5251,Pipeline_Sort!$C568))</f>
        <v/>
      </c>
      <c r="D568" s="0" t="str">
        <f aca="false">IF(Pipeline_Sort!$C568="","",INDEX(Pipeline_Calc!$E$2:$E$5251,Pipeline_Sort!$C568))</f>
        <v/>
      </c>
      <c r="E568" s="0" t="str">
        <f aca="false">IF(Pipeline_Sort!$C568="","",INDEX(Pipeline_Calc!$F$2:$F$5251,Pipeline_Sort!$C568))</f>
        <v/>
      </c>
      <c r="F568" s="0" t="str">
        <f aca="false">IF(Pipeline_Sort!$C568="","",INDEX(Pipeline_Calc!$G$2:$G$5251,Pipeline_Sort!$C568))</f>
        <v/>
      </c>
      <c r="G568" s="0" t="str">
        <f aca="false">IF(Pipeline_Sort!$C568="","",INDEX(Pipeline_Calc!$H$2:$H$5251,Pipeline_Sort!$C568))</f>
        <v/>
      </c>
      <c r="H568" s="0" t="str">
        <f aca="false">IF(Pipeline_Sort!$C568="","",INDEX(Pipeline_Calc!$I$2:$I$5251,Pipeline_Sort!$C568))</f>
        <v/>
      </c>
      <c r="I568" s="0" t="str">
        <f aca="false">IF(Pipeline_Sort!$C568="","",INDEX(Pipeline_Calc!$J$2:$J$5251,Pipeline_Sort!$C568))</f>
        <v/>
      </c>
    </row>
    <row r="569" customFormat="false" ht="15" hidden="false" customHeight="false" outlineLevel="0" collapsed="false">
      <c r="A569" s="33" t="str">
        <f aca="false">IF(Pipeline_Sort!$C569="","",INDEX(Pipeline_Calc!$B$2:$B$5251,Pipeline_Sort!$C569))</f>
        <v/>
      </c>
      <c r="B569" s="0" t="str">
        <f aca="false">IF(Pipeline_Sort!$C569="","",INDEX(Pipeline_Calc!$C$2:$C$5251,Pipeline_Sort!$C569))</f>
        <v/>
      </c>
      <c r="C569" s="0" t="str">
        <f aca="false">IF(Pipeline_Sort!$C569="","",INDEX(Pipeline_Calc!$D$2:$D$5251,Pipeline_Sort!$C569))</f>
        <v/>
      </c>
      <c r="D569" s="0" t="str">
        <f aca="false">IF(Pipeline_Sort!$C569="","",INDEX(Pipeline_Calc!$E$2:$E$5251,Pipeline_Sort!$C569))</f>
        <v/>
      </c>
      <c r="E569" s="0" t="str">
        <f aca="false">IF(Pipeline_Sort!$C569="","",INDEX(Pipeline_Calc!$F$2:$F$5251,Pipeline_Sort!$C569))</f>
        <v/>
      </c>
      <c r="F569" s="0" t="str">
        <f aca="false">IF(Pipeline_Sort!$C569="","",INDEX(Pipeline_Calc!$G$2:$G$5251,Pipeline_Sort!$C569))</f>
        <v/>
      </c>
      <c r="G569" s="0" t="str">
        <f aca="false">IF(Pipeline_Sort!$C569="","",INDEX(Pipeline_Calc!$H$2:$H$5251,Pipeline_Sort!$C569))</f>
        <v/>
      </c>
      <c r="H569" s="0" t="str">
        <f aca="false">IF(Pipeline_Sort!$C569="","",INDEX(Pipeline_Calc!$I$2:$I$5251,Pipeline_Sort!$C569))</f>
        <v/>
      </c>
      <c r="I569" s="0" t="str">
        <f aca="false">IF(Pipeline_Sort!$C569="","",INDEX(Pipeline_Calc!$J$2:$J$5251,Pipeline_Sort!$C569))</f>
        <v/>
      </c>
    </row>
    <row r="570" customFormat="false" ht="15" hidden="false" customHeight="false" outlineLevel="0" collapsed="false">
      <c r="A570" s="33" t="str">
        <f aca="false">IF(Pipeline_Sort!$C570="","",INDEX(Pipeline_Calc!$B$2:$B$5251,Pipeline_Sort!$C570))</f>
        <v/>
      </c>
      <c r="B570" s="0" t="str">
        <f aca="false">IF(Pipeline_Sort!$C570="","",INDEX(Pipeline_Calc!$C$2:$C$5251,Pipeline_Sort!$C570))</f>
        <v/>
      </c>
      <c r="C570" s="0" t="str">
        <f aca="false">IF(Pipeline_Sort!$C570="","",INDEX(Pipeline_Calc!$D$2:$D$5251,Pipeline_Sort!$C570))</f>
        <v/>
      </c>
      <c r="D570" s="0" t="str">
        <f aca="false">IF(Pipeline_Sort!$C570="","",INDEX(Pipeline_Calc!$E$2:$E$5251,Pipeline_Sort!$C570))</f>
        <v/>
      </c>
      <c r="E570" s="0" t="str">
        <f aca="false">IF(Pipeline_Sort!$C570="","",INDEX(Pipeline_Calc!$F$2:$F$5251,Pipeline_Sort!$C570))</f>
        <v/>
      </c>
      <c r="F570" s="0" t="str">
        <f aca="false">IF(Pipeline_Sort!$C570="","",INDEX(Pipeline_Calc!$G$2:$G$5251,Pipeline_Sort!$C570))</f>
        <v/>
      </c>
      <c r="G570" s="0" t="str">
        <f aca="false">IF(Pipeline_Sort!$C570="","",INDEX(Pipeline_Calc!$H$2:$H$5251,Pipeline_Sort!$C570))</f>
        <v/>
      </c>
      <c r="H570" s="0" t="str">
        <f aca="false">IF(Pipeline_Sort!$C570="","",INDEX(Pipeline_Calc!$I$2:$I$5251,Pipeline_Sort!$C570))</f>
        <v/>
      </c>
      <c r="I570" s="0" t="str">
        <f aca="false">IF(Pipeline_Sort!$C570="","",INDEX(Pipeline_Calc!$J$2:$J$5251,Pipeline_Sort!$C570))</f>
        <v/>
      </c>
    </row>
    <row r="571" customFormat="false" ht="15" hidden="false" customHeight="false" outlineLevel="0" collapsed="false">
      <c r="A571" s="33" t="str">
        <f aca="false">IF(Pipeline_Sort!$C571="","",INDEX(Pipeline_Calc!$B$2:$B$5251,Pipeline_Sort!$C571))</f>
        <v/>
      </c>
      <c r="B571" s="0" t="str">
        <f aca="false">IF(Pipeline_Sort!$C571="","",INDEX(Pipeline_Calc!$C$2:$C$5251,Pipeline_Sort!$C571))</f>
        <v/>
      </c>
      <c r="C571" s="0" t="str">
        <f aca="false">IF(Pipeline_Sort!$C571="","",INDEX(Pipeline_Calc!$D$2:$D$5251,Pipeline_Sort!$C571))</f>
        <v/>
      </c>
      <c r="D571" s="0" t="str">
        <f aca="false">IF(Pipeline_Sort!$C571="","",INDEX(Pipeline_Calc!$E$2:$E$5251,Pipeline_Sort!$C571))</f>
        <v/>
      </c>
      <c r="E571" s="0" t="str">
        <f aca="false">IF(Pipeline_Sort!$C571="","",INDEX(Pipeline_Calc!$F$2:$F$5251,Pipeline_Sort!$C571))</f>
        <v/>
      </c>
      <c r="F571" s="0" t="str">
        <f aca="false">IF(Pipeline_Sort!$C571="","",INDEX(Pipeline_Calc!$G$2:$G$5251,Pipeline_Sort!$C571))</f>
        <v/>
      </c>
      <c r="G571" s="0" t="str">
        <f aca="false">IF(Pipeline_Sort!$C571="","",INDEX(Pipeline_Calc!$H$2:$H$5251,Pipeline_Sort!$C571))</f>
        <v/>
      </c>
      <c r="H571" s="0" t="str">
        <f aca="false">IF(Pipeline_Sort!$C571="","",INDEX(Pipeline_Calc!$I$2:$I$5251,Pipeline_Sort!$C571))</f>
        <v/>
      </c>
      <c r="I571" s="0" t="str">
        <f aca="false">IF(Pipeline_Sort!$C571="","",INDEX(Pipeline_Calc!$J$2:$J$5251,Pipeline_Sort!$C571))</f>
        <v/>
      </c>
    </row>
    <row r="572" customFormat="false" ht="15" hidden="false" customHeight="false" outlineLevel="0" collapsed="false">
      <c r="A572" s="33" t="str">
        <f aca="false">IF(Pipeline_Sort!$C572="","",INDEX(Pipeline_Calc!$B$2:$B$5251,Pipeline_Sort!$C572))</f>
        <v/>
      </c>
      <c r="B572" s="0" t="str">
        <f aca="false">IF(Pipeline_Sort!$C572="","",INDEX(Pipeline_Calc!$C$2:$C$5251,Pipeline_Sort!$C572))</f>
        <v/>
      </c>
      <c r="C572" s="0" t="str">
        <f aca="false">IF(Pipeline_Sort!$C572="","",INDEX(Pipeline_Calc!$D$2:$D$5251,Pipeline_Sort!$C572))</f>
        <v/>
      </c>
      <c r="D572" s="0" t="str">
        <f aca="false">IF(Pipeline_Sort!$C572="","",INDEX(Pipeline_Calc!$E$2:$E$5251,Pipeline_Sort!$C572))</f>
        <v/>
      </c>
      <c r="E572" s="0" t="str">
        <f aca="false">IF(Pipeline_Sort!$C572="","",INDEX(Pipeline_Calc!$F$2:$F$5251,Pipeline_Sort!$C572))</f>
        <v/>
      </c>
      <c r="F572" s="0" t="str">
        <f aca="false">IF(Pipeline_Sort!$C572="","",INDEX(Pipeline_Calc!$G$2:$G$5251,Pipeline_Sort!$C572))</f>
        <v/>
      </c>
      <c r="G572" s="0" t="str">
        <f aca="false">IF(Pipeline_Sort!$C572="","",INDEX(Pipeline_Calc!$H$2:$H$5251,Pipeline_Sort!$C572))</f>
        <v/>
      </c>
      <c r="H572" s="0" t="str">
        <f aca="false">IF(Pipeline_Sort!$C572="","",INDEX(Pipeline_Calc!$I$2:$I$5251,Pipeline_Sort!$C572))</f>
        <v/>
      </c>
      <c r="I572" s="0" t="str">
        <f aca="false">IF(Pipeline_Sort!$C572="","",INDEX(Pipeline_Calc!$J$2:$J$5251,Pipeline_Sort!$C572))</f>
        <v/>
      </c>
    </row>
    <row r="573" customFormat="false" ht="15" hidden="false" customHeight="false" outlineLevel="0" collapsed="false">
      <c r="A573" s="33" t="str">
        <f aca="false">IF(Pipeline_Sort!$C573="","",INDEX(Pipeline_Calc!$B$2:$B$5251,Pipeline_Sort!$C573))</f>
        <v/>
      </c>
      <c r="B573" s="0" t="str">
        <f aca="false">IF(Pipeline_Sort!$C573="","",INDEX(Pipeline_Calc!$C$2:$C$5251,Pipeline_Sort!$C573))</f>
        <v/>
      </c>
      <c r="C573" s="0" t="str">
        <f aca="false">IF(Pipeline_Sort!$C573="","",INDEX(Pipeline_Calc!$D$2:$D$5251,Pipeline_Sort!$C573))</f>
        <v/>
      </c>
      <c r="D573" s="0" t="str">
        <f aca="false">IF(Pipeline_Sort!$C573="","",INDEX(Pipeline_Calc!$E$2:$E$5251,Pipeline_Sort!$C573))</f>
        <v/>
      </c>
      <c r="E573" s="0" t="str">
        <f aca="false">IF(Pipeline_Sort!$C573="","",INDEX(Pipeline_Calc!$F$2:$F$5251,Pipeline_Sort!$C573))</f>
        <v/>
      </c>
      <c r="F573" s="0" t="str">
        <f aca="false">IF(Pipeline_Sort!$C573="","",INDEX(Pipeline_Calc!$G$2:$G$5251,Pipeline_Sort!$C573))</f>
        <v/>
      </c>
      <c r="G573" s="0" t="str">
        <f aca="false">IF(Pipeline_Sort!$C573="","",INDEX(Pipeline_Calc!$H$2:$H$5251,Pipeline_Sort!$C573))</f>
        <v/>
      </c>
      <c r="H573" s="0" t="str">
        <f aca="false">IF(Pipeline_Sort!$C573="","",INDEX(Pipeline_Calc!$I$2:$I$5251,Pipeline_Sort!$C573))</f>
        <v/>
      </c>
      <c r="I573" s="0" t="str">
        <f aca="false">IF(Pipeline_Sort!$C573="","",INDEX(Pipeline_Calc!$J$2:$J$5251,Pipeline_Sort!$C573))</f>
        <v/>
      </c>
    </row>
    <row r="574" customFormat="false" ht="15" hidden="false" customHeight="false" outlineLevel="0" collapsed="false">
      <c r="A574" s="33" t="str">
        <f aca="false">IF(Pipeline_Sort!$C574="","",INDEX(Pipeline_Calc!$B$2:$B$5251,Pipeline_Sort!$C574))</f>
        <v/>
      </c>
      <c r="B574" s="0" t="str">
        <f aca="false">IF(Pipeline_Sort!$C574="","",INDEX(Pipeline_Calc!$C$2:$C$5251,Pipeline_Sort!$C574))</f>
        <v/>
      </c>
      <c r="C574" s="0" t="str">
        <f aca="false">IF(Pipeline_Sort!$C574="","",INDEX(Pipeline_Calc!$D$2:$D$5251,Pipeline_Sort!$C574))</f>
        <v/>
      </c>
      <c r="D574" s="0" t="str">
        <f aca="false">IF(Pipeline_Sort!$C574="","",INDEX(Pipeline_Calc!$E$2:$E$5251,Pipeline_Sort!$C574))</f>
        <v/>
      </c>
      <c r="E574" s="0" t="str">
        <f aca="false">IF(Pipeline_Sort!$C574="","",INDEX(Pipeline_Calc!$F$2:$F$5251,Pipeline_Sort!$C574))</f>
        <v/>
      </c>
      <c r="F574" s="0" t="str">
        <f aca="false">IF(Pipeline_Sort!$C574="","",INDEX(Pipeline_Calc!$G$2:$G$5251,Pipeline_Sort!$C574))</f>
        <v/>
      </c>
      <c r="G574" s="0" t="str">
        <f aca="false">IF(Pipeline_Sort!$C574="","",INDEX(Pipeline_Calc!$H$2:$H$5251,Pipeline_Sort!$C574))</f>
        <v/>
      </c>
      <c r="H574" s="0" t="str">
        <f aca="false">IF(Pipeline_Sort!$C574="","",INDEX(Pipeline_Calc!$I$2:$I$5251,Pipeline_Sort!$C574))</f>
        <v/>
      </c>
      <c r="I574" s="0" t="str">
        <f aca="false">IF(Pipeline_Sort!$C574="","",INDEX(Pipeline_Calc!$J$2:$J$5251,Pipeline_Sort!$C574))</f>
        <v/>
      </c>
    </row>
    <row r="575" customFormat="false" ht="15" hidden="false" customHeight="false" outlineLevel="0" collapsed="false">
      <c r="A575" s="33" t="str">
        <f aca="false">IF(Pipeline_Sort!$C575="","",INDEX(Pipeline_Calc!$B$2:$B$5251,Pipeline_Sort!$C575))</f>
        <v/>
      </c>
      <c r="B575" s="0" t="str">
        <f aca="false">IF(Pipeline_Sort!$C575="","",INDEX(Pipeline_Calc!$C$2:$C$5251,Pipeline_Sort!$C575))</f>
        <v/>
      </c>
      <c r="C575" s="0" t="str">
        <f aca="false">IF(Pipeline_Sort!$C575="","",INDEX(Pipeline_Calc!$D$2:$D$5251,Pipeline_Sort!$C575))</f>
        <v/>
      </c>
      <c r="D575" s="0" t="str">
        <f aca="false">IF(Pipeline_Sort!$C575="","",INDEX(Pipeline_Calc!$E$2:$E$5251,Pipeline_Sort!$C575))</f>
        <v/>
      </c>
      <c r="E575" s="0" t="str">
        <f aca="false">IF(Pipeline_Sort!$C575="","",INDEX(Pipeline_Calc!$F$2:$F$5251,Pipeline_Sort!$C575))</f>
        <v/>
      </c>
      <c r="F575" s="0" t="str">
        <f aca="false">IF(Pipeline_Sort!$C575="","",INDEX(Pipeline_Calc!$G$2:$G$5251,Pipeline_Sort!$C575))</f>
        <v/>
      </c>
      <c r="G575" s="0" t="str">
        <f aca="false">IF(Pipeline_Sort!$C575="","",INDEX(Pipeline_Calc!$H$2:$H$5251,Pipeline_Sort!$C575))</f>
        <v/>
      </c>
      <c r="H575" s="0" t="str">
        <f aca="false">IF(Pipeline_Sort!$C575="","",INDEX(Pipeline_Calc!$I$2:$I$5251,Pipeline_Sort!$C575))</f>
        <v/>
      </c>
      <c r="I575" s="0" t="str">
        <f aca="false">IF(Pipeline_Sort!$C575="","",INDEX(Pipeline_Calc!$J$2:$J$5251,Pipeline_Sort!$C575))</f>
        <v/>
      </c>
    </row>
    <row r="576" customFormat="false" ht="15" hidden="false" customHeight="false" outlineLevel="0" collapsed="false">
      <c r="A576" s="33" t="str">
        <f aca="false">IF(Pipeline_Sort!$C576="","",INDEX(Pipeline_Calc!$B$2:$B$5251,Pipeline_Sort!$C576))</f>
        <v/>
      </c>
      <c r="B576" s="0" t="str">
        <f aca="false">IF(Pipeline_Sort!$C576="","",INDEX(Pipeline_Calc!$C$2:$C$5251,Pipeline_Sort!$C576))</f>
        <v/>
      </c>
      <c r="C576" s="0" t="str">
        <f aca="false">IF(Pipeline_Sort!$C576="","",INDEX(Pipeline_Calc!$D$2:$D$5251,Pipeline_Sort!$C576))</f>
        <v/>
      </c>
      <c r="D576" s="0" t="str">
        <f aca="false">IF(Pipeline_Sort!$C576="","",INDEX(Pipeline_Calc!$E$2:$E$5251,Pipeline_Sort!$C576))</f>
        <v/>
      </c>
      <c r="E576" s="0" t="str">
        <f aca="false">IF(Pipeline_Sort!$C576="","",INDEX(Pipeline_Calc!$F$2:$F$5251,Pipeline_Sort!$C576))</f>
        <v/>
      </c>
      <c r="F576" s="0" t="str">
        <f aca="false">IF(Pipeline_Sort!$C576="","",INDEX(Pipeline_Calc!$G$2:$G$5251,Pipeline_Sort!$C576))</f>
        <v/>
      </c>
      <c r="G576" s="0" t="str">
        <f aca="false">IF(Pipeline_Sort!$C576="","",INDEX(Pipeline_Calc!$H$2:$H$5251,Pipeline_Sort!$C576))</f>
        <v/>
      </c>
      <c r="H576" s="0" t="str">
        <f aca="false">IF(Pipeline_Sort!$C576="","",INDEX(Pipeline_Calc!$I$2:$I$5251,Pipeline_Sort!$C576))</f>
        <v/>
      </c>
      <c r="I576" s="0" t="str">
        <f aca="false">IF(Pipeline_Sort!$C576="","",INDEX(Pipeline_Calc!$J$2:$J$5251,Pipeline_Sort!$C576))</f>
        <v/>
      </c>
    </row>
    <row r="577" customFormat="false" ht="15" hidden="false" customHeight="false" outlineLevel="0" collapsed="false">
      <c r="A577" s="33" t="str">
        <f aca="false">IF(Pipeline_Sort!$C577="","",INDEX(Pipeline_Calc!$B$2:$B$5251,Pipeline_Sort!$C577))</f>
        <v/>
      </c>
      <c r="B577" s="0" t="str">
        <f aca="false">IF(Pipeline_Sort!$C577="","",INDEX(Pipeline_Calc!$C$2:$C$5251,Pipeline_Sort!$C577))</f>
        <v/>
      </c>
      <c r="C577" s="0" t="str">
        <f aca="false">IF(Pipeline_Sort!$C577="","",INDEX(Pipeline_Calc!$D$2:$D$5251,Pipeline_Sort!$C577))</f>
        <v/>
      </c>
      <c r="D577" s="0" t="str">
        <f aca="false">IF(Pipeline_Sort!$C577="","",INDEX(Pipeline_Calc!$E$2:$E$5251,Pipeline_Sort!$C577))</f>
        <v/>
      </c>
      <c r="E577" s="0" t="str">
        <f aca="false">IF(Pipeline_Sort!$C577="","",INDEX(Pipeline_Calc!$F$2:$F$5251,Pipeline_Sort!$C577))</f>
        <v/>
      </c>
      <c r="F577" s="0" t="str">
        <f aca="false">IF(Pipeline_Sort!$C577="","",INDEX(Pipeline_Calc!$G$2:$G$5251,Pipeline_Sort!$C577))</f>
        <v/>
      </c>
      <c r="G577" s="0" t="str">
        <f aca="false">IF(Pipeline_Sort!$C577="","",INDEX(Pipeline_Calc!$H$2:$H$5251,Pipeline_Sort!$C577))</f>
        <v/>
      </c>
      <c r="H577" s="0" t="str">
        <f aca="false">IF(Pipeline_Sort!$C577="","",INDEX(Pipeline_Calc!$I$2:$I$5251,Pipeline_Sort!$C577))</f>
        <v/>
      </c>
      <c r="I577" s="0" t="str">
        <f aca="false">IF(Pipeline_Sort!$C577="","",INDEX(Pipeline_Calc!$J$2:$J$5251,Pipeline_Sort!$C577))</f>
        <v/>
      </c>
    </row>
    <row r="578" customFormat="false" ht="15" hidden="false" customHeight="false" outlineLevel="0" collapsed="false">
      <c r="A578" s="33" t="str">
        <f aca="false">IF(Pipeline_Sort!$C578="","",INDEX(Pipeline_Calc!$B$2:$B$5251,Pipeline_Sort!$C578))</f>
        <v/>
      </c>
      <c r="B578" s="0" t="str">
        <f aca="false">IF(Pipeline_Sort!$C578="","",INDEX(Pipeline_Calc!$C$2:$C$5251,Pipeline_Sort!$C578))</f>
        <v/>
      </c>
      <c r="C578" s="0" t="str">
        <f aca="false">IF(Pipeline_Sort!$C578="","",INDEX(Pipeline_Calc!$D$2:$D$5251,Pipeline_Sort!$C578))</f>
        <v/>
      </c>
      <c r="D578" s="0" t="str">
        <f aca="false">IF(Pipeline_Sort!$C578="","",INDEX(Pipeline_Calc!$E$2:$E$5251,Pipeline_Sort!$C578))</f>
        <v/>
      </c>
      <c r="E578" s="0" t="str">
        <f aca="false">IF(Pipeline_Sort!$C578="","",INDEX(Pipeline_Calc!$F$2:$F$5251,Pipeline_Sort!$C578))</f>
        <v/>
      </c>
      <c r="F578" s="0" t="str">
        <f aca="false">IF(Pipeline_Sort!$C578="","",INDEX(Pipeline_Calc!$G$2:$G$5251,Pipeline_Sort!$C578))</f>
        <v/>
      </c>
      <c r="G578" s="0" t="str">
        <f aca="false">IF(Pipeline_Sort!$C578="","",INDEX(Pipeline_Calc!$H$2:$H$5251,Pipeline_Sort!$C578))</f>
        <v/>
      </c>
      <c r="H578" s="0" t="str">
        <f aca="false">IF(Pipeline_Sort!$C578="","",INDEX(Pipeline_Calc!$I$2:$I$5251,Pipeline_Sort!$C578))</f>
        <v/>
      </c>
      <c r="I578" s="0" t="str">
        <f aca="false">IF(Pipeline_Sort!$C578="","",INDEX(Pipeline_Calc!$J$2:$J$5251,Pipeline_Sort!$C578))</f>
        <v/>
      </c>
    </row>
    <row r="579" customFormat="false" ht="15" hidden="false" customHeight="false" outlineLevel="0" collapsed="false">
      <c r="A579" s="33" t="str">
        <f aca="false">IF(Pipeline_Sort!$C579="","",INDEX(Pipeline_Calc!$B$2:$B$5251,Pipeline_Sort!$C579))</f>
        <v/>
      </c>
      <c r="B579" s="0" t="str">
        <f aca="false">IF(Pipeline_Sort!$C579="","",INDEX(Pipeline_Calc!$C$2:$C$5251,Pipeline_Sort!$C579))</f>
        <v/>
      </c>
      <c r="C579" s="0" t="str">
        <f aca="false">IF(Pipeline_Sort!$C579="","",INDEX(Pipeline_Calc!$D$2:$D$5251,Pipeline_Sort!$C579))</f>
        <v/>
      </c>
      <c r="D579" s="0" t="str">
        <f aca="false">IF(Pipeline_Sort!$C579="","",INDEX(Pipeline_Calc!$E$2:$E$5251,Pipeline_Sort!$C579))</f>
        <v/>
      </c>
      <c r="E579" s="0" t="str">
        <f aca="false">IF(Pipeline_Sort!$C579="","",INDEX(Pipeline_Calc!$F$2:$F$5251,Pipeline_Sort!$C579))</f>
        <v/>
      </c>
      <c r="F579" s="0" t="str">
        <f aca="false">IF(Pipeline_Sort!$C579="","",INDEX(Pipeline_Calc!$G$2:$G$5251,Pipeline_Sort!$C579))</f>
        <v/>
      </c>
      <c r="G579" s="0" t="str">
        <f aca="false">IF(Pipeline_Sort!$C579="","",INDEX(Pipeline_Calc!$H$2:$H$5251,Pipeline_Sort!$C579))</f>
        <v/>
      </c>
      <c r="H579" s="0" t="str">
        <f aca="false">IF(Pipeline_Sort!$C579="","",INDEX(Pipeline_Calc!$I$2:$I$5251,Pipeline_Sort!$C579))</f>
        <v/>
      </c>
      <c r="I579" s="0" t="str">
        <f aca="false">IF(Pipeline_Sort!$C579="","",INDEX(Pipeline_Calc!$J$2:$J$5251,Pipeline_Sort!$C579))</f>
        <v/>
      </c>
    </row>
    <row r="580" customFormat="false" ht="15" hidden="false" customHeight="false" outlineLevel="0" collapsed="false">
      <c r="A580" s="33" t="str">
        <f aca="false">IF(Pipeline_Sort!$C580="","",INDEX(Pipeline_Calc!$B$2:$B$5251,Pipeline_Sort!$C580))</f>
        <v/>
      </c>
      <c r="B580" s="0" t="str">
        <f aca="false">IF(Pipeline_Sort!$C580="","",INDEX(Pipeline_Calc!$C$2:$C$5251,Pipeline_Sort!$C580))</f>
        <v/>
      </c>
      <c r="C580" s="0" t="str">
        <f aca="false">IF(Pipeline_Sort!$C580="","",INDEX(Pipeline_Calc!$D$2:$D$5251,Pipeline_Sort!$C580))</f>
        <v/>
      </c>
      <c r="D580" s="0" t="str">
        <f aca="false">IF(Pipeline_Sort!$C580="","",INDEX(Pipeline_Calc!$E$2:$E$5251,Pipeline_Sort!$C580))</f>
        <v/>
      </c>
      <c r="E580" s="0" t="str">
        <f aca="false">IF(Pipeline_Sort!$C580="","",INDEX(Pipeline_Calc!$F$2:$F$5251,Pipeline_Sort!$C580))</f>
        <v/>
      </c>
      <c r="F580" s="0" t="str">
        <f aca="false">IF(Pipeline_Sort!$C580="","",INDEX(Pipeline_Calc!$G$2:$G$5251,Pipeline_Sort!$C580))</f>
        <v/>
      </c>
      <c r="G580" s="0" t="str">
        <f aca="false">IF(Pipeline_Sort!$C580="","",INDEX(Pipeline_Calc!$H$2:$H$5251,Pipeline_Sort!$C580))</f>
        <v/>
      </c>
      <c r="H580" s="0" t="str">
        <f aca="false">IF(Pipeline_Sort!$C580="","",INDEX(Pipeline_Calc!$I$2:$I$5251,Pipeline_Sort!$C580))</f>
        <v/>
      </c>
      <c r="I580" s="0" t="str">
        <f aca="false">IF(Pipeline_Sort!$C580="","",INDEX(Pipeline_Calc!$J$2:$J$5251,Pipeline_Sort!$C580))</f>
        <v/>
      </c>
    </row>
    <row r="581" customFormat="false" ht="15" hidden="false" customHeight="false" outlineLevel="0" collapsed="false">
      <c r="A581" s="33" t="str">
        <f aca="false">IF(Pipeline_Sort!$C581="","",INDEX(Pipeline_Calc!$B$2:$B$5251,Pipeline_Sort!$C581))</f>
        <v/>
      </c>
      <c r="B581" s="0" t="str">
        <f aca="false">IF(Pipeline_Sort!$C581="","",INDEX(Pipeline_Calc!$C$2:$C$5251,Pipeline_Sort!$C581))</f>
        <v/>
      </c>
      <c r="C581" s="0" t="str">
        <f aca="false">IF(Pipeline_Sort!$C581="","",INDEX(Pipeline_Calc!$D$2:$D$5251,Pipeline_Sort!$C581))</f>
        <v/>
      </c>
      <c r="D581" s="0" t="str">
        <f aca="false">IF(Pipeline_Sort!$C581="","",INDEX(Pipeline_Calc!$E$2:$E$5251,Pipeline_Sort!$C581))</f>
        <v/>
      </c>
      <c r="E581" s="0" t="str">
        <f aca="false">IF(Pipeline_Sort!$C581="","",INDEX(Pipeline_Calc!$F$2:$F$5251,Pipeline_Sort!$C581))</f>
        <v/>
      </c>
      <c r="F581" s="0" t="str">
        <f aca="false">IF(Pipeline_Sort!$C581="","",INDEX(Pipeline_Calc!$G$2:$G$5251,Pipeline_Sort!$C581))</f>
        <v/>
      </c>
      <c r="G581" s="0" t="str">
        <f aca="false">IF(Pipeline_Sort!$C581="","",INDEX(Pipeline_Calc!$H$2:$H$5251,Pipeline_Sort!$C581))</f>
        <v/>
      </c>
      <c r="H581" s="0" t="str">
        <f aca="false">IF(Pipeline_Sort!$C581="","",INDEX(Pipeline_Calc!$I$2:$I$5251,Pipeline_Sort!$C581))</f>
        <v/>
      </c>
      <c r="I581" s="0" t="str">
        <f aca="false">IF(Pipeline_Sort!$C581="","",INDEX(Pipeline_Calc!$J$2:$J$5251,Pipeline_Sort!$C581))</f>
        <v/>
      </c>
    </row>
    <row r="582" customFormat="false" ht="15" hidden="false" customHeight="false" outlineLevel="0" collapsed="false">
      <c r="A582" s="33" t="str">
        <f aca="false">IF(Pipeline_Sort!$C582="","",INDEX(Pipeline_Calc!$B$2:$B$5251,Pipeline_Sort!$C582))</f>
        <v/>
      </c>
      <c r="B582" s="0" t="str">
        <f aca="false">IF(Pipeline_Sort!$C582="","",INDEX(Pipeline_Calc!$C$2:$C$5251,Pipeline_Sort!$C582))</f>
        <v/>
      </c>
      <c r="C582" s="0" t="str">
        <f aca="false">IF(Pipeline_Sort!$C582="","",INDEX(Pipeline_Calc!$D$2:$D$5251,Pipeline_Sort!$C582))</f>
        <v/>
      </c>
      <c r="D582" s="0" t="str">
        <f aca="false">IF(Pipeline_Sort!$C582="","",INDEX(Pipeline_Calc!$E$2:$E$5251,Pipeline_Sort!$C582))</f>
        <v/>
      </c>
      <c r="E582" s="0" t="str">
        <f aca="false">IF(Pipeline_Sort!$C582="","",INDEX(Pipeline_Calc!$F$2:$F$5251,Pipeline_Sort!$C582))</f>
        <v/>
      </c>
      <c r="F582" s="0" t="str">
        <f aca="false">IF(Pipeline_Sort!$C582="","",INDEX(Pipeline_Calc!$G$2:$G$5251,Pipeline_Sort!$C582))</f>
        <v/>
      </c>
      <c r="G582" s="0" t="str">
        <f aca="false">IF(Pipeline_Sort!$C582="","",INDEX(Pipeline_Calc!$H$2:$H$5251,Pipeline_Sort!$C582))</f>
        <v/>
      </c>
      <c r="H582" s="0" t="str">
        <f aca="false">IF(Pipeline_Sort!$C582="","",INDEX(Pipeline_Calc!$I$2:$I$5251,Pipeline_Sort!$C582))</f>
        <v/>
      </c>
      <c r="I582" s="0" t="str">
        <f aca="false">IF(Pipeline_Sort!$C582="","",INDEX(Pipeline_Calc!$J$2:$J$5251,Pipeline_Sort!$C582))</f>
        <v/>
      </c>
    </row>
    <row r="583" customFormat="false" ht="15" hidden="false" customHeight="false" outlineLevel="0" collapsed="false">
      <c r="A583" s="33" t="str">
        <f aca="false">IF(Pipeline_Sort!$C583="","",INDEX(Pipeline_Calc!$B$2:$B$5251,Pipeline_Sort!$C583))</f>
        <v/>
      </c>
      <c r="B583" s="0" t="str">
        <f aca="false">IF(Pipeline_Sort!$C583="","",INDEX(Pipeline_Calc!$C$2:$C$5251,Pipeline_Sort!$C583))</f>
        <v/>
      </c>
      <c r="C583" s="0" t="str">
        <f aca="false">IF(Pipeline_Sort!$C583="","",INDEX(Pipeline_Calc!$D$2:$D$5251,Pipeline_Sort!$C583))</f>
        <v/>
      </c>
      <c r="D583" s="0" t="str">
        <f aca="false">IF(Pipeline_Sort!$C583="","",INDEX(Pipeline_Calc!$E$2:$E$5251,Pipeline_Sort!$C583))</f>
        <v/>
      </c>
      <c r="E583" s="0" t="str">
        <f aca="false">IF(Pipeline_Sort!$C583="","",INDEX(Pipeline_Calc!$F$2:$F$5251,Pipeline_Sort!$C583))</f>
        <v/>
      </c>
      <c r="F583" s="0" t="str">
        <f aca="false">IF(Pipeline_Sort!$C583="","",INDEX(Pipeline_Calc!$G$2:$G$5251,Pipeline_Sort!$C583))</f>
        <v/>
      </c>
      <c r="G583" s="0" t="str">
        <f aca="false">IF(Pipeline_Sort!$C583="","",INDEX(Pipeline_Calc!$H$2:$H$5251,Pipeline_Sort!$C583))</f>
        <v/>
      </c>
      <c r="H583" s="0" t="str">
        <f aca="false">IF(Pipeline_Sort!$C583="","",INDEX(Pipeline_Calc!$I$2:$I$5251,Pipeline_Sort!$C583))</f>
        <v/>
      </c>
      <c r="I583" s="0" t="str">
        <f aca="false">IF(Pipeline_Sort!$C583="","",INDEX(Pipeline_Calc!$J$2:$J$5251,Pipeline_Sort!$C583))</f>
        <v/>
      </c>
    </row>
    <row r="584" customFormat="false" ht="15" hidden="false" customHeight="false" outlineLevel="0" collapsed="false">
      <c r="A584" s="33" t="str">
        <f aca="false">IF(Pipeline_Sort!$C584="","",INDEX(Pipeline_Calc!$B$2:$B$5251,Pipeline_Sort!$C584))</f>
        <v/>
      </c>
      <c r="B584" s="0" t="str">
        <f aca="false">IF(Pipeline_Sort!$C584="","",INDEX(Pipeline_Calc!$C$2:$C$5251,Pipeline_Sort!$C584))</f>
        <v/>
      </c>
      <c r="C584" s="0" t="str">
        <f aca="false">IF(Pipeline_Sort!$C584="","",INDEX(Pipeline_Calc!$D$2:$D$5251,Pipeline_Sort!$C584))</f>
        <v/>
      </c>
      <c r="D584" s="0" t="str">
        <f aca="false">IF(Pipeline_Sort!$C584="","",INDEX(Pipeline_Calc!$E$2:$E$5251,Pipeline_Sort!$C584))</f>
        <v/>
      </c>
      <c r="E584" s="0" t="str">
        <f aca="false">IF(Pipeline_Sort!$C584="","",INDEX(Pipeline_Calc!$F$2:$F$5251,Pipeline_Sort!$C584))</f>
        <v/>
      </c>
      <c r="F584" s="0" t="str">
        <f aca="false">IF(Pipeline_Sort!$C584="","",INDEX(Pipeline_Calc!$G$2:$G$5251,Pipeline_Sort!$C584))</f>
        <v/>
      </c>
      <c r="G584" s="0" t="str">
        <f aca="false">IF(Pipeline_Sort!$C584="","",INDEX(Pipeline_Calc!$H$2:$H$5251,Pipeline_Sort!$C584))</f>
        <v/>
      </c>
      <c r="H584" s="0" t="str">
        <f aca="false">IF(Pipeline_Sort!$C584="","",INDEX(Pipeline_Calc!$I$2:$I$5251,Pipeline_Sort!$C584))</f>
        <v/>
      </c>
      <c r="I584" s="0" t="str">
        <f aca="false">IF(Pipeline_Sort!$C584="","",INDEX(Pipeline_Calc!$J$2:$J$5251,Pipeline_Sort!$C584))</f>
        <v/>
      </c>
    </row>
    <row r="585" customFormat="false" ht="15" hidden="false" customHeight="false" outlineLevel="0" collapsed="false">
      <c r="A585" s="33" t="str">
        <f aca="false">IF(Pipeline_Sort!$C585="","",INDEX(Pipeline_Calc!$B$2:$B$5251,Pipeline_Sort!$C585))</f>
        <v/>
      </c>
      <c r="B585" s="0" t="str">
        <f aca="false">IF(Pipeline_Sort!$C585="","",INDEX(Pipeline_Calc!$C$2:$C$5251,Pipeline_Sort!$C585))</f>
        <v/>
      </c>
      <c r="C585" s="0" t="str">
        <f aca="false">IF(Pipeline_Sort!$C585="","",INDEX(Pipeline_Calc!$D$2:$D$5251,Pipeline_Sort!$C585))</f>
        <v/>
      </c>
      <c r="D585" s="0" t="str">
        <f aca="false">IF(Pipeline_Sort!$C585="","",INDEX(Pipeline_Calc!$E$2:$E$5251,Pipeline_Sort!$C585))</f>
        <v/>
      </c>
      <c r="E585" s="0" t="str">
        <f aca="false">IF(Pipeline_Sort!$C585="","",INDEX(Pipeline_Calc!$F$2:$F$5251,Pipeline_Sort!$C585))</f>
        <v/>
      </c>
      <c r="F585" s="0" t="str">
        <f aca="false">IF(Pipeline_Sort!$C585="","",INDEX(Pipeline_Calc!$G$2:$G$5251,Pipeline_Sort!$C585))</f>
        <v/>
      </c>
      <c r="G585" s="0" t="str">
        <f aca="false">IF(Pipeline_Sort!$C585="","",INDEX(Pipeline_Calc!$H$2:$H$5251,Pipeline_Sort!$C585))</f>
        <v/>
      </c>
      <c r="H585" s="0" t="str">
        <f aca="false">IF(Pipeline_Sort!$C585="","",INDEX(Pipeline_Calc!$I$2:$I$5251,Pipeline_Sort!$C585))</f>
        <v/>
      </c>
      <c r="I585" s="0" t="str">
        <f aca="false">IF(Pipeline_Sort!$C585="","",INDEX(Pipeline_Calc!$J$2:$J$5251,Pipeline_Sort!$C585))</f>
        <v/>
      </c>
    </row>
    <row r="586" customFormat="false" ht="15" hidden="false" customHeight="false" outlineLevel="0" collapsed="false">
      <c r="A586" s="33" t="str">
        <f aca="false">IF(Pipeline_Sort!$C586="","",INDEX(Pipeline_Calc!$B$2:$B$5251,Pipeline_Sort!$C586))</f>
        <v/>
      </c>
      <c r="B586" s="0" t="str">
        <f aca="false">IF(Pipeline_Sort!$C586="","",INDEX(Pipeline_Calc!$C$2:$C$5251,Pipeline_Sort!$C586))</f>
        <v/>
      </c>
      <c r="C586" s="0" t="str">
        <f aca="false">IF(Pipeline_Sort!$C586="","",INDEX(Pipeline_Calc!$D$2:$D$5251,Pipeline_Sort!$C586))</f>
        <v/>
      </c>
      <c r="D586" s="0" t="str">
        <f aca="false">IF(Pipeline_Sort!$C586="","",INDEX(Pipeline_Calc!$E$2:$E$5251,Pipeline_Sort!$C586))</f>
        <v/>
      </c>
      <c r="E586" s="0" t="str">
        <f aca="false">IF(Pipeline_Sort!$C586="","",INDEX(Pipeline_Calc!$F$2:$F$5251,Pipeline_Sort!$C586))</f>
        <v/>
      </c>
      <c r="F586" s="0" t="str">
        <f aca="false">IF(Pipeline_Sort!$C586="","",INDEX(Pipeline_Calc!$G$2:$G$5251,Pipeline_Sort!$C586))</f>
        <v/>
      </c>
      <c r="G586" s="0" t="str">
        <f aca="false">IF(Pipeline_Sort!$C586="","",INDEX(Pipeline_Calc!$H$2:$H$5251,Pipeline_Sort!$C586))</f>
        <v/>
      </c>
      <c r="H586" s="0" t="str">
        <f aca="false">IF(Pipeline_Sort!$C586="","",INDEX(Pipeline_Calc!$I$2:$I$5251,Pipeline_Sort!$C586))</f>
        <v/>
      </c>
      <c r="I586" s="0" t="str">
        <f aca="false">IF(Pipeline_Sort!$C586="","",INDEX(Pipeline_Calc!$J$2:$J$5251,Pipeline_Sort!$C586))</f>
        <v/>
      </c>
    </row>
    <row r="587" customFormat="false" ht="15" hidden="false" customHeight="false" outlineLevel="0" collapsed="false">
      <c r="A587" s="33" t="str">
        <f aca="false">IF(Pipeline_Sort!$C587="","",INDEX(Pipeline_Calc!$B$2:$B$5251,Pipeline_Sort!$C587))</f>
        <v/>
      </c>
      <c r="B587" s="0" t="str">
        <f aca="false">IF(Pipeline_Sort!$C587="","",INDEX(Pipeline_Calc!$C$2:$C$5251,Pipeline_Sort!$C587))</f>
        <v/>
      </c>
      <c r="C587" s="0" t="str">
        <f aca="false">IF(Pipeline_Sort!$C587="","",INDEX(Pipeline_Calc!$D$2:$D$5251,Pipeline_Sort!$C587))</f>
        <v/>
      </c>
      <c r="D587" s="0" t="str">
        <f aca="false">IF(Pipeline_Sort!$C587="","",INDEX(Pipeline_Calc!$E$2:$E$5251,Pipeline_Sort!$C587))</f>
        <v/>
      </c>
      <c r="E587" s="0" t="str">
        <f aca="false">IF(Pipeline_Sort!$C587="","",INDEX(Pipeline_Calc!$F$2:$F$5251,Pipeline_Sort!$C587))</f>
        <v/>
      </c>
      <c r="F587" s="0" t="str">
        <f aca="false">IF(Pipeline_Sort!$C587="","",INDEX(Pipeline_Calc!$G$2:$G$5251,Pipeline_Sort!$C587))</f>
        <v/>
      </c>
      <c r="G587" s="0" t="str">
        <f aca="false">IF(Pipeline_Sort!$C587="","",INDEX(Pipeline_Calc!$H$2:$H$5251,Pipeline_Sort!$C587))</f>
        <v/>
      </c>
      <c r="H587" s="0" t="str">
        <f aca="false">IF(Pipeline_Sort!$C587="","",INDEX(Pipeline_Calc!$I$2:$I$5251,Pipeline_Sort!$C587))</f>
        <v/>
      </c>
      <c r="I587" s="0" t="str">
        <f aca="false">IF(Pipeline_Sort!$C587="","",INDEX(Pipeline_Calc!$J$2:$J$5251,Pipeline_Sort!$C587))</f>
        <v/>
      </c>
    </row>
    <row r="588" customFormat="false" ht="15" hidden="false" customHeight="false" outlineLevel="0" collapsed="false">
      <c r="A588" s="33" t="str">
        <f aca="false">IF(Pipeline_Sort!$C588="","",INDEX(Pipeline_Calc!$B$2:$B$5251,Pipeline_Sort!$C588))</f>
        <v/>
      </c>
      <c r="B588" s="0" t="str">
        <f aca="false">IF(Pipeline_Sort!$C588="","",INDEX(Pipeline_Calc!$C$2:$C$5251,Pipeline_Sort!$C588))</f>
        <v/>
      </c>
      <c r="C588" s="0" t="str">
        <f aca="false">IF(Pipeline_Sort!$C588="","",INDEX(Pipeline_Calc!$D$2:$D$5251,Pipeline_Sort!$C588))</f>
        <v/>
      </c>
      <c r="D588" s="0" t="str">
        <f aca="false">IF(Pipeline_Sort!$C588="","",INDEX(Pipeline_Calc!$E$2:$E$5251,Pipeline_Sort!$C588))</f>
        <v/>
      </c>
      <c r="E588" s="0" t="str">
        <f aca="false">IF(Pipeline_Sort!$C588="","",INDEX(Pipeline_Calc!$F$2:$F$5251,Pipeline_Sort!$C588))</f>
        <v/>
      </c>
      <c r="F588" s="0" t="str">
        <f aca="false">IF(Pipeline_Sort!$C588="","",INDEX(Pipeline_Calc!$G$2:$G$5251,Pipeline_Sort!$C588))</f>
        <v/>
      </c>
      <c r="G588" s="0" t="str">
        <f aca="false">IF(Pipeline_Sort!$C588="","",INDEX(Pipeline_Calc!$H$2:$H$5251,Pipeline_Sort!$C588))</f>
        <v/>
      </c>
      <c r="H588" s="0" t="str">
        <f aca="false">IF(Pipeline_Sort!$C588="","",INDEX(Pipeline_Calc!$I$2:$I$5251,Pipeline_Sort!$C588))</f>
        <v/>
      </c>
      <c r="I588" s="0" t="str">
        <f aca="false">IF(Pipeline_Sort!$C588="","",INDEX(Pipeline_Calc!$J$2:$J$5251,Pipeline_Sort!$C588))</f>
        <v/>
      </c>
    </row>
    <row r="589" customFormat="false" ht="15" hidden="false" customHeight="false" outlineLevel="0" collapsed="false">
      <c r="A589" s="33" t="str">
        <f aca="false">IF(Pipeline_Sort!$C589="","",INDEX(Pipeline_Calc!$B$2:$B$5251,Pipeline_Sort!$C589))</f>
        <v/>
      </c>
      <c r="B589" s="0" t="str">
        <f aca="false">IF(Pipeline_Sort!$C589="","",INDEX(Pipeline_Calc!$C$2:$C$5251,Pipeline_Sort!$C589))</f>
        <v/>
      </c>
      <c r="C589" s="0" t="str">
        <f aca="false">IF(Pipeline_Sort!$C589="","",INDEX(Pipeline_Calc!$D$2:$D$5251,Pipeline_Sort!$C589))</f>
        <v/>
      </c>
      <c r="D589" s="0" t="str">
        <f aca="false">IF(Pipeline_Sort!$C589="","",INDEX(Pipeline_Calc!$E$2:$E$5251,Pipeline_Sort!$C589))</f>
        <v/>
      </c>
      <c r="E589" s="0" t="str">
        <f aca="false">IF(Pipeline_Sort!$C589="","",INDEX(Pipeline_Calc!$F$2:$F$5251,Pipeline_Sort!$C589))</f>
        <v/>
      </c>
      <c r="F589" s="0" t="str">
        <f aca="false">IF(Pipeline_Sort!$C589="","",INDEX(Pipeline_Calc!$G$2:$G$5251,Pipeline_Sort!$C589))</f>
        <v/>
      </c>
      <c r="G589" s="0" t="str">
        <f aca="false">IF(Pipeline_Sort!$C589="","",INDEX(Pipeline_Calc!$H$2:$H$5251,Pipeline_Sort!$C589))</f>
        <v/>
      </c>
      <c r="H589" s="0" t="str">
        <f aca="false">IF(Pipeline_Sort!$C589="","",INDEX(Pipeline_Calc!$I$2:$I$5251,Pipeline_Sort!$C589))</f>
        <v/>
      </c>
      <c r="I589" s="0" t="str">
        <f aca="false">IF(Pipeline_Sort!$C589="","",INDEX(Pipeline_Calc!$J$2:$J$5251,Pipeline_Sort!$C589))</f>
        <v/>
      </c>
    </row>
    <row r="590" customFormat="false" ht="15" hidden="false" customHeight="false" outlineLevel="0" collapsed="false">
      <c r="A590" s="33" t="str">
        <f aca="false">IF(Pipeline_Sort!$C590="","",INDEX(Pipeline_Calc!$B$2:$B$5251,Pipeline_Sort!$C590))</f>
        <v/>
      </c>
      <c r="B590" s="0" t="str">
        <f aca="false">IF(Pipeline_Sort!$C590="","",INDEX(Pipeline_Calc!$C$2:$C$5251,Pipeline_Sort!$C590))</f>
        <v/>
      </c>
      <c r="C590" s="0" t="str">
        <f aca="false">IF(Pipeline_Sort!$C590="","",INDEX(Pipeline_Calc!$D$2:$D$5251,Pipeline_Sort!$C590))</f>
        <v/>
      </c>
      <c r="D590" s="0" t="str">
        <f aca="false">IF(Pipeline_Sort!$C590="","",INDEX(Pipeline_Calc!$E$2:$E$5251,Pipeline_Sort!$C590))</f>
        <v/>
      </c>
      <c r="E590" s="0" t="str">
        <f aca="false">IF(Pipeline_Sort!$C590="","",INDEX(Pipeline_Calc!$F$2:$F$5251,Pipeline_Sort!$C590))</f>
        <v/>
      </c>
      <c r="F590" s="0" t="str">
        <f aca="false">IF(Pipeline_Sort!$C590="","",INDEX(Pipeline_Calc!$G$2:$G$5251,Pipeline_Sort!$C590))</f>
        <v/>
      </c>
      <c r="G590" s="0" t="str">
        <f aca="false">IF(Pipeline_Sort!$C590="","",INDEX(Pipeline_Calc!$H$2:$H$5251,Pipeline_Sort!$C590))</f>
        <v/>
      </c>
      <c r="H590" s="0" t="str">
        <f aca="false">IF(Pipeline_Sort!$C590="","",INDEX(Pipeline_Calc!$I$2:$I$5251,Pipeline_Sort!$C590))</f>
        <v/>
      </c>
      <c r="I590" s="0" t="str">
        <f aca="false">IF(Pipeline_Sort!$C590="","",INDEX(Pipeline_Calc!$J$2:$J$5251,Pipeline_Sort!$C590))</f>
        <v/>
      </c>
    </row>
    <row r="591" customFormat="false" ht="15" hidden="false" customHeight="false" outlineLevel="0" collapsed="false">
      <c r="A591" s="33" t="str">
        <f aca="false">IF(Pipeline_Sort!$C591="","",INDEX(Pipeline_Calc!$B$2:$B$5251,Pipeline_Sort!$C591))</f>
        <v/>
      </c>
      <c r="B591" s="0" t="str">
        <f aca="false">IF(Pipeline_Sort!$C591="","",INDEX(Pipeline_Calc!$C$2:$C$5251,Pipeline_Sort!$C591))</f>
        <v/>
      </c>
      <c r="C591" s="0" t="str">
        <f aca="false">IF(Pipeline_Sort!$C591="","",INDEX(Pipeline_Calc!$D$2:$D$5251,Pipeline_Sort!$C591))</f>
        <v/>
      </c>
      <c r="D591" s="0" t="str">
        <f aca="false">IF(Pipeline_Sort!$C591="","",INDEX(Pipeline_Calc!$E$2:$E$5251,Pipeline_Sort!$C591))</f>
        <v/>
      </c>
      <c r="E591" s="0" t="str">
        <f aca="false">IF(Pipeline_Sort!$C591="","",INDEX(Pipeline_Calc!$F$2:$F$5251,Pipeline_Sort!$C591))</f>
        <v/>
      </c>
      <c r="F591" s="0" t="str">
        <f aca="false">IF(Pipeline_Sort!$C591="","",INDEX(Pipeline_Calc!$G$2:$G$5251,Pipeline_Sort!$C591))</f>
        <v/>
      </c>
      <c r="G591" s="0" t="str">
        <f aca="false">IF(Pipeline_Sort!$C591="","",INDEX(Pipeline_Calc!$H$2:$H$5251,Pipeline_Sort!$C591))</f>
        <v/>
      </c>
      <c r="H591" s="0" t="str">
        <f aca="false">IF(Pipeline_Sort!$C591="","",INDEX(Pipeline_Calc!$I$2:$I$5251,Pipeline_Sort!$C591))</f>
        <v/>
      </c>
      <c r="I591" s="0" t="str">
        <f aca="false">IF(Pipeline_Sort!$C591="","",INDEX(Pipeline_Calc!$J$2:$J$5251,Pipeline_Sort!$C591))</f>
        <v/>
      </c>
    </row>
    <row r="592" customFormat="false" ht="15" hidden="false" customHeight="false" outlineLevel="0" collapsed="false">
      <c r="A592" s="33" t="str">
        <f aca="false">IF(Pipeline_Sort!$C592="","",INDEX(Pipeline_Calc!$B$2:$B$5251,Pipeline_Sort!$C592))</f>
        <v/>
      </c>
      <c r="B592" s="0" t="str">
        <f aca="false">IF(Pipeline_Sort!$C592="","",INDEX(Pipeline_Calc!$C$2:$C$5251,Pipeline_Sort!$C592))</f>
        <v/>
      </c>
      <c r="C592" s="0" t="str">
        <f aca="false">IF(Pipeline_Sort!$C592="","",INDEX(Pipeline_Calc!$D$2:$D$5251,Pipeline_Sort!$C592))</f>
        <v/>
      </c>
      <c r="D592" s="0" t="str">
        <f aca="false">IF(Pipeline_Sort!$C592="","",INDEX(Pipeline_Calc!$E$2:$E$5251,Pipeline_Sort!$C592))</f>
        <v/>
      </c>
      <c r="E592" s="0" t="str">
        <f aca="false">IF(Pipeline_Sort!$C592="","",INDEX(Pipeline_Calc!$F$2:$F$5251,Pipeline_Sort!$C592))</f>
        <v/>
      </c>
      <c r="F592" s="0" t="str">
        <f aca="false">IF(Pipeline_Sort!$C592="","",INDEX(Pipeline_Calc!$G$2:$G$5251,Pipeline_Sort!$C592))</f>
        <v/>
      </c>
      <c r="G592" s="0" t="str">
        <f aca="false">IF(Pipeline_Sort!$C592="","",INDEX(Pipeline_Calc!$H$2:$H$5251,Pipeline_Sort!$C592))</f>
        <v/>
      </c>
      <c r="H592" s="0" t="str">
        <f aca="false">IF(Pipeline_Sort!$C592="","",INDEX(Pipeline_Calc!$I$2:$I$5251,Pipeline_Sort!$C592))</f>
        <v/>
      </c>
      <c r="I592" s="0" t="str">
        <f aca="false">IF(Pipeline_Sort!$C592="","",INDEX(Pipeline_Calc!$J$2:$J$5251,Pipeline_Sort!$C592))</f>
        <v/>
      </c>
    </row>
    <row r="593" customFormat="false" ht="15" hidden="false" customHeight="false" outlineLevel="0" collapsed="false">
      <c r="A593" s="33" t="str">
        <f aca="false">IF(Pipeline_Sort!$C593="","",INDEX(Pipeline_Calc!$B$2:$B$5251,Pipeline_Sort!$C593))</f>
        <v/>
      </c>
      <c r="B593" s="0" t="str">
        <f aca="false">IF(Pipeline_Sort!$C593="","",INDEX(Pipeline_Calc!$C$2:$C$5251,Pipeline_Sort!$C593))</f>
        <v/>
      </c>
      <c r="C593" s="0" t="str">
        <f aca="false">IF(Pipeline_Sort!$C593="","",INDEX(Pipeline_Calc!$D$2:$D$5251,Pipeline_Sort!$C593))</f>
        <v/>
      </c>
      <c r="D593" s="0" t="str">
        <f aca="false">IF(Pipeline_Sort!$C593="","",INDEX(Pipeline_Calc!$E$2:$E$5251,Pipeline_Sort!$C593))</f>
        <v/>
      </c>
      <c r="E593" s="0" t="str">
        <f aca="false">IF(Pipeline_Sort!$C593="","",INDEX(Pipeline_Calc!$F$2:$F$5251,Pipeline_Sort!$C593))</f>
        <v/>
      </c>
      <c r="F593" s="0" t="str">
        <f aca="false">IF(Pipeline_Sort!$C593="","",INDEX(Pipeline_Calc!$G$2:$G$5251,Pipeline_Sort!$C593))</f>
        <v/>
      </c>
      <c r="G593" s="0" t="str">
        <f aca="false">IF(Pipeline_Sort!$C593="","",INDEX(Pipeline_Calc!$H$2:$H$5251,Pipeline_Sort!$C593))</f>
        <v/>
      </c>
      <c r="H593" s="0" t="str">
        <f aca="false">IF(Pipeline_Sort!$C593="","",INDEX(Pipeline_Calc!$I$2:$I$5251,Pipeline_Sort!$C593))</f>
        <v/>
      </c>
      <c r="I593" s="0" t="str">
        <f aca="false">IF(Pipeline_Sort!$C593="","",INDEX(Pipeline_Calc!$J$2:$J$5251,Pipeline_Sort!$C593))</f>
        <v/>
      </c>
    </row>
    <row r="594" customFormat="false" ht="15" hidden="false" customHeight="false" outlineLevel="0" collapsed="false">
      <c r="A594" s="33" t="str">
        <f aca="false">IF(Pipeline_Sort!$C594="","",INDEX(Pipeline_Calc!$B$2:$B$5251,Pipeline_Sort!$C594))</f>
        <v/>
      </c>
      <c r="B594" s="0" t="str">
        <f aca="false">IF(Pipeline_Sort!$C594="","",INDEX(Pipeline_Calc!$C$2:$C$5251,Pipeline_Sort!$C594))</f>
        <v/>
      </c>
      <c r="C594" s="0" t="str">
        <f aca="false">IF(Pipeline_Sort!$C594="","",INDEX(Pipeline_Calc!$D$2:$D$5251,Pipeline_Sort!$C594))</f>
        <v/>
      </c>
      <c r="D594" s="0" t="str">
        <f aca="false">IF(Pipeline_Sort!$C594="","",INDEX(Pipeline_Calc!$E$2:$E$5251,Pipeline_Sort!$C594))</f>
        <v/>
      </c>
      <c r="E594" s="0" t="str">
        <f aca="false">IF(Pipeline_Sort!$C594="","",INDEX(Pipeline_Calc!$F$2:$F$5251,Pipeline_Sort!$C594))</f>
        <v/>
      </c>
      <c r="F594" s="0" t="str">
        <f aca="false">IF(Pipeline_Sort!$C594="","",INDEX(Pipeline_Calc!$G$2:$G$5251,Pipeline_Sort!$C594))</f>
        <v/>
      </c>
      <c r="G594" s="0" t="str">
        <f aca="false">IF(Pipeline_Sort!$C594="","",INDEX(Pipeline_Calc!$H$2:$H$5251,Pipeline_Sort!$C594))</f>
        <v/>
      </c>
      <c r="H594" s="0" t="str">
        <f aca="false">IF(Pipeline_Sort!$C594="","",INDEX(Pipeline_Calc!$I$2:$I$5251,Pipeline_Sort!$C594))</f>
        <v/>
      </c>
      <c r="I594" s="0" t="str">
        <f aca="false">IF(Pipeline_Sort!$C594="","",INDEX(Pipeline_Calc!$J$2:$J$5251,Pipeline_Sort!$C594))</f>
        <v/>
      </c>
    </row>
    <row r="595" customFormat="false" ht="15" hidden="false" customHeight="false" outlineLevel="0" collapsed="false">
      <c r="A595" s="33" t="str">
        <f aca="false">IF(Pipeline_Sort!$C595="","",INDEX(Pipeline_Calc!$B$2:$B$5251,Pipeline_Sort!$C595))</f>
        <v/>
      </c>
      <c r="B595" s="0" t="str">
        <f aca="false">IF(Pipeline_Sort!$C595="","",INDEX(Pipeline_Calc!$C$2:$C$5251,Pipeline_Sort!$C595))</f>
        <v/>
      </c>
      <c r="C595" s="0" t="str">
        <f aca="false">IF(Pipeline_Sort!$C595="","",INDEX(Pipeline_Calc!$D$2:$D$5251,Pipeline_Sort!$C595))</f>
        <v/>
      </c>
      <c r="D595" s="0" t="str">
        <f aca="false">IF(Pipeline_Sort!$C595="","",INDEX(Pipeline_Calc!$E$2:$E$5251,Pipeline_Sort!$C595))</f>
        <v/>
      </c>
      <c r="E595" s="0" t="str">
        <f aca="false">IF(Pipeline_Sort!$C595="","",INDEX(Pipeline_Calc!$F$2:$F$5251,Pipeline_Sort!$C595))</f>
        <v/>
      </c>
      <c r="F595" s="0" t="str">
        <f aca="false">IF(Pipeline_Sort!$C595="","",INDEX(Pipeline_Calc!$G$2:$G$5251,Pipeline_Sort!$C595))</f>
        <v/>
      </c>
      <c r="G595" s="0" t="str">
        <f aca="false">IF(Pipeline_Sort!$C595="","",INDEX(Pipeline_Calc!$H$2:$H$5251,Pipeline_Sort!$C595))</f>
        <v/>
      </c>
      <c r="H595" s="0" t="str">
        <f aca="false">IF(Pipeline_Sort!$C595="","",INDEX(Pipeline_Calc!$I$2:$I$5251,Pipeline_Sort!$C595))</f>
        <v/>
      </c>
      <c r="I595" s="0" t="str">
        <f aca="false">IF(Pipeline_Sort!$C595="","",INDEX(Pipeline_Calc!$J$2:$J$5251,Pipeline_Sort!$C595))</f>
        <v/>
      </c>
    </row>
    <row r="596" customFormat="false" ht="15" hidden="false" customHeight="false" outlineLevel="0" collapsed="false">
      <c r="A596" s="33" t="str">
        <f aca="false">IF(Pipeline_Sort!$C596="","",INDEX(Pipeline_Calc!$B$2:$B$5251,Pipeline_Sort!$C596))</f>
        <v/>
      </c>
      <c r="B596" s="0" t="str">
        <f aca="false">IF(Pipeline_Sort!$C596="","",INDEX(Pipeline_Calc!$C$2:$C$5251,Pipeline_Sort!$C596))</f>
        <v/>
      </c>
      <c r="C596" s="0" t="str">
        <f aca="false">IF(Pipeline_Sort!$C596="","",INDEX(Pipeline_Calc!$D$2:$D$5251,Pipeline_Sort!$C596))</f>
        <v/>
      </c>
      <c r="D596" s="0" t="str">
        <f aca="false">IF(Pipeline_Sort!$C596="","",INDEX(Pipeline_Calc!$E$2:$E$5251,Pipeline_Sort!$C596))</f>
        <v/>
      </c>
      <c r="E596" s="0" t="str">
        <f aca="false">IF(Pipeline_Sort!$C596="","",INDEX(Pipeline_Calc!$F$2:$F$5251,Pipeline_Sort!$C596))</f>
        <v/>
      </c>
      <c r="F596" s="0" t="str">
        <f aca="false">IF(Pipeline_Sort!$C596="","",INDEX(Pipeline_Calc!$G$2:$G$5251,Pipeline_Sort!$C596))</f>
        <v/>
      </c>
      <c r="G596" s="0" t="str">
        <f aca="false">IF(Pipeline_Sort!$C596="","",INDEX(Pipeline_Calc!$H$2:$H$5251,Pipeline_Sort!$C596))</f>
        <v/>
      </c>
      <c r="H596" s="0" t="str">
        <f aca="false">IF(Pipeline_Sort!$C596="","",INDEX(Pipeline_Calc!$I$2:$I$5251,Pipeline_Sort!$C596))</f>
        <v/>
      </c>
      <c r="I596" s="0" t="str">
        <f aca="false">IF(Pipeline_Sort!$C596="","",INDEX(Pipeline_Calc!$J$2:$J$5251,Pipeline_Sort!$C596))</f>
        <v/>
      </c>
    </row>
    <row r="597" customFormat="false" ht="15" hidden="false" customHeight="false" outlineLevel="0" collapsed="false">
      <c r="A597" s="33" t="str">
        <f aca="false">IF(Pipeline_Sort!$C597="","",INDEX(Pipeline_Calc!$B$2:$B$5251,Pipeline_Sort!$C597))</f>
        <v/>
      </c>
      <c r="B597" s="0" t="str">
        <f aca="false">IF(Pipeline_Sort!$C597="","",INDEX(Pipeline_Calc!$C$2:$C$5251,Pipeline_Sort!$C597))</f>
        <v/>
      </c>
      <c r="C597" s="0" t="str">
        <f aca="false">IF(Pipeline_Sort!$C597="","",INDEX(Pipeline_Calc!$D$2:$D$5251,Pipeline_Sort!$C597))</f>
        <v/>
      </c>
      <c r="D597" s="0" t="str">
        <f aca="false">IF(Pipeline_Sort!$C597="","",INDEX(Pipeline_Calc!$E$2:$E$5251,Pipeline_Sort!$C597))</f>
        <v/>
      </c>
      <c r="E597" s="0" t="str">
        <f aca="false">IF(Pipeline_Sort!$C597="","",INDEX(Pipeline_Calc!$F$2:$F$5251,Pipeline_Sort!$C597))</f>
        <v/>
      </c>
      <c r="F597" s="0" t="str">
        <f aca="false">IF(Pipeline_Sort!$C597="","",INDEX(Pipeline_Calc!$G$2:$G$5251,Pipeline_Sort!$C597))</f>
        <v/>
      </c>
      <c r="G597" s="0" t="str">
        <f aca="false">IF(Pipeline_Sort!$C597="","",INDEX(Pipeline_Calc!$H$2:$H$5251,Pipeline_Sort!$C597))</f>
        <v/>
      </c>
      <c r="H597" s="0" t="str">
        <f aca="false">IF(Pipeline_Sort!$C597="","",INDEX(Pipeline_Calc!$I$2:$I$5251,Pipeline_Sort!$C597))</f>
        <v/>
      </c>
      <c r="I597" s="0" t="str">
        <f aca="false">IF(Pipeline_Sort!$C597="","",INDEX(Pipeline_Calc!$J$2:$J$5251,Pipeline_Sort!$C597))</f>
        <v/>
      </c>
    </row>
    <row r="598" customFormat="false" ht="15" hidden="false" customHeight="false" outlineLevel="0" collapsed="false">
      <c r="A598" s="33" t="str">
        <f aca="false">IF(Pipeline_Sort!$C598="","",INDEX(Pipeline_Calc!$B$2:$B$5251,Pipeline_Sort!$C598))</f>
        <v/>
      </c>
      <c r="B598" s="0" t="str">
        <f aca="false">IF(Pipeline_Sort!$C598="","",INDEX(Pipeline_Calc!$C$2:$C$5251,Pipeline_Sort!$C598))</f>
        <v/>
      </c>
      <c r="C598" s="0" t="str">
        <f aca="false">IF(Pipeline_Sort!$C598="","",INDEX(Pipeline_Calc!$D$2:$D$5251,Pipeline_Sort!$C598))</f>
        <v/>
      </c>
      <c r="D598" s="0" t="str">
        <f aca="false">IF(Pipeline_Sort!$C598="","",INDEX(Pipeline_Calc!$E$2:$E$5251,Pipeline_Sort!$C598))</f>
        <v/>
      </c>
      <c r="E598" s="0" t="str">
        <f aca="false">IF(Pipeline_Sort!$C598="","",INDEX(Pipeline_Calc!$F$2:$F$5251,Pipeline_Sort!$C598))</f>
        <v/>
      </c>
      <c r="F598" s="0" t="str">
        <f aca="false">IF(Pipeline_Sort!$C598="","",INDEX(Pipeline_Calc!$G$2:$G$5251,Pipeline_Sort!$C598))</f>
        <v/>
      </c>
      <c r="G598" s="0" t="str">
        <f aca="false">IF(Pipeline_Sort!$C598="","",INDEX(Pipeline_Calc!$H$2:$H$5251,Pipeline_Sort!$C598))</f>
        <v/>
      </c>
      <c r="H598" s="0" t="str">
        <f aca="false">IF(Pipeline_Sort!$C598="","",INDEX(Pipeline_Calc!$I$2:$I$5251,Pipeline_Sort!$C598))</f>
        <v/>
      </c>
      <c r="I598" s="0" t="str">
        <f aca="false">IF(Pipeline_Sort!$C598="","",INDEX(Pipeline_Calc!$J$2:$J$5251,Pipeline_Sort!$C598))</f>
        <v/>
      </c>
    </row>
    <row r="599" customFormat="false" ht="15" hidden="false" customHeight="false" outlineLevel="0" collapsed="false">
      <c r="A599" s="33" t="str">
        <f aca="false">IF(Pipeline_Sort!$C599="","",INDEX(Pipeline_Calc!$B$2:$B$5251,Pipeline_Sort!$C599))</f>
        <v/>
      </c>
      <c r="B599" s="0" t="str">
        <f aca="false">IF(Pipeline_Sort!$C599="","",INDEX(Pipeline_Calc!$C$2:$C$5251,Pipeline_Sort!$C599))</f>
        <v/>
      </c>
      <c r="C599" s="0" t="str">
        <f aca="false">IF(Pipeline_Sort!$C599="","",INDEX(Pipeline_Calc!$D$2:$D$5251,Pipeline_Sort!$C599))</f>
        <v/>
      </c>
      <c r="D599" s="0" t="str">
        <f aca="false">IF(Pipeline_Sort!$C599="","",INDEX(Pipeline_Calc!$E$2:$E$5251,Pipeline_Sort!$C599))</f>
        <v/>
      </c>
      <c r="E599" s="0" t="str">
        <f aca="false">IF(Pipeline_Sort!$C599="","",INDEX(Pipeline_Calc!$F$2:$F$5251,Pipeline_Sort!$C599))</f>
        <v/>
      </c>
      <c r="F599" s="0" t="str">
        <f aca="false">IF(Pipeline_Sort!$C599="","",INDEX(Pipeline_Calc!$G$2:$G$5251,Pipeline_Sort!$C599))</f>
        <v/>
      </c>
      <c r="G599" s="0" t="str">
        <f aca="false">IF(Pipeline_Sort!$C599="","",INDEX(Pipeline_Calc!$H$2:$H$5251,Pipeline_Sort!$C599))</f>
        <v/>
      </c>
      <c r="H599" s="0" t="str">
        <f aca="false">IF(Pipeline_Sort!$C599="","",INDEX(Pipeline_Calc!$I$2:$I$5251,Pipeline_Sort!$C599))</f>
        <v/>
      </c>
      <c r="I599" s="0" t="str">
        <f aca="false">IF(Pipeline_Sort!$C599="","",INDEX(Pipeline_Calc!$J$2:$J$5251,Pipeline_Sort!$C599))</f>
        <v/>
      </c>
    </row>
    <row r="600" customFormat="false" ht="15" hidden="false" customHeight="false" outlineLevel="0" collapsed="false">
      <c r="A600" s="33" t="str">
        <f aca="false">IF(Pipeline_Sort!$C600="","",INDEX(Pipeline_Calc!$B$2:$B$5251,Pipeline_Sort!$C600))</f>
        <v/>
      </c>
      <c r="B600" s="0" t="str">
        <f aca="false">IF(Pipeline_Sort!$C600="","",INDEX(Pipeline_Calc!$C$2:$C$5251,Pipeline_Sort!$C600))</f>
        <v/>
      </c>
      <c r="C600" s="0" t="str">
        <f aca="false">IF(Pipeline_Sort!$C600="","",INDEX(Pipeline_Calc!$D$2:$D$5251,Pipeline_Sort!$C600))</f>
        <v/>
      </c>
      <c r="D600" s="0" t="str">
        <f aca="false">IF(Pipeline_Sort!$C600="","",INDEX(Pipeline_Calc!$E$2:$E$5251,Pipeline_Sort!$C600))</f>
        <v/>
      </c>
      <c r="E600" s="0" t="str">
        <f aca="false">IF(Pipeline_Sort!$C600="","",INDEX(Pipeline_Calc!$F$2:$F$5251,Pipeline_Sort!$C600))</f>
        <v/>
      </c>
      <c r="F600" s="0" t="str">
        <f aca="false">IF(Pipeline_Sort!$C600="","",INDEX(Pipeline_Calc!$G$2:$G$5251,Pipeline_Sort!$C600))</f>
        <v/>
      </c>
      <c r="G600" s="0" t="str">
        <f aca="false">IF(Pipeline_Sort!$C600="","",INDEX(Pipeline_Calc!$H$2:$H$5251,Pipeline_Sort!$C600))</f>
        <v/>
      </c>
      <c r="H600" s="0" t="str">
        <f aca="false">IF(Pipeline_Sort!$C600="","",INDEX(Pipeline_Calc!$I$2:$I$5251,Pipeline_Sort!$C600))</f>
        <v/>
      </c>
      <c r="I600" s="0" t="str">
        <f aca="false">IF(Pipeline_Sort!$C600="","",INDEX(Pipeline_Calc!$J$2:$J$5251,Pipeline_Sort!$C600))</f>
        <v/>
      </c>
    </row>
    <row r="601" customFormat="false" ht="15" hidden="false" customHeight="false" outlineLevel="0" collapsed="false">
      <c r="A601" s="33" t="str">
        <f aca="false">IF(Pipeline_Sort!$C601="","",INDEX(Pipeline_Calc!$B$2:$B$5251,Pipeline_Sort!$C601))</f>
        <v/>
      </c>
      <c r="B601" s="0" t="str">
        <f aca="false">IF(Pipeline_Sort!$C601="","",INDEX(Pipeline_Calc!$C$2:$C$5251,Pipeline_Sort!$C601))</f>
        <v/>
      </c>
      <c r="C601" s="0" t="str">
        <f aca="false">IF(Pipeline_Sort!$C601="","",INDEX(Pipeline_Calc!$D$2:$D$5251,Pipeline_Sort!$C601))</f>
        <v/>
      </c>
      <c r="D601" s="0" t="str">
        <f aca="false">IF(Pipeline_Sort!$C601="","",INDEX(Pipeline_Calc!$E$2:$E$5251,Pipeline_Sort!$C601))</f>
        <v/>
      </c>
      <c r="E601" s="0" t="str">
        <f aca="false">IF(Pipeline_Sort!$C601="","",INDEX(Pipeline_Calc!$F$2:$F$5251,Pipeline_Sort!$C601))</f>
        <v/>
      </c>
      <c r="F601" s="0" t="str">
        <f aca="false">IF(Pipeline_Sort!$C601="","",INDEX(Pipeline_Calc!$G$2:$G$5251,Pipeline_Sort!$C601))</f>
        <v/>
      </c>
      <c r="G601" s="0" t="str">
        <f aca="false">IF(Pipeline_Sort!$C601="","",INDEX(Pipeline_Calc!$H$2:$H$5251,Pipeline_Sort!$C601))</f>
        <v/>
      </c>
      <c r="H601" s="0" t="str">
        <f aca="false">IF(Pipeline_Sort!$C601="","",INDEX(Pipeline_Calc!$I$2:$I$5251,Pipeline_Sort!$C601))</f>
        <v/>
      </c>
      <c r="I601" s="0" t="str">
        <f aca="false">IF(Pipeline_Sort!$C601="","",INDEX(Pipeline_Calc!$J$2:$J$5251,Pipeline_Sort!$C601))</f>
        <v/>
      </c>
    </row>
    <row r="602" customFormat="false" ht="15" hidden="false" customHeight="false" outlineLevel="0" collapsed="false">
      <c r="A602" s="33" t="str">
        <f aca="false">IF(Pipeline_Sort!$C602="","",INDEX(Pipeline_Calc!$B$2:$B$5251,Pipeline_Sort!$C602))</f>
        <v/>
      </c>
      <c r="B602" s="0" t="str">
        <f aca="false">IF(Pipeline_Sort!$C602="","",INDEX(Pipeline_Calc!$C$2:$C$5251,Pipeline_Sort!$C602))</f>
        <v/>
      </c>
      <c r="C602" s="0" t="str">
        <f aca="false">IF(Pipeline_Sort!$C602="","",INDEX(Pipeline_Calc!$D$2:$D$5251,Pipeline_Sort!$C602))</f>
        <v/>
      </c>
      <c r="D602" s="0" t="str">
        <f aca="false">IF(Pipeline_Sort!$C602="","",INDEX(Pipeline_Calc!$E$2:$E$5251,Pipeline_Sort!$C602))</f>
        <v/>
      </c>
      <c r="E602" s="0" t="str">
        <f aca="false">IF(Pipeline_Sort!$C602="","",INDEX(Pipeline_Calc!$F$2:$F$5251,Pipeline_Sort!$C602))</f>
        <v/>
      </c>
      <c r="F602" s="0" t="str">
        <f aca="false">IF(Pipeline_Sort!$C602="","",INDEX(Pipeline_Calc!$G$2:$G$5251,Pipeline_Sort!$C602))</f>
        <v/>
      </c>
      <c r="G602" s="0" t="str">
        <f aca="false">IF(Pipeline_Sort!$C602="","",INDEX(Pipeline_Calc!$H$2:$H$5251,Pipeline_Sort!$C602))</f>
        <v/>
      </c>
      <c r="H602" s="0" t="str">
        <f aca="false">IF(Pipeline_Sort!$C602="","",INDEX(Pipeline_Calc!$I$2:$I$5251,Pipeline_Sort!$C602))</f>
        <v/>
      </c>
      <c r="I602" s="0" t="str">
        <f aca="false">IF(Pipeline_Sort!$C602="","",INDEX(Pipeline_Calc!$J$2:$J$5251,Pipeline_Sort!$C602))</f>
        <v/>
      </c>
    </row>
    <row r="603" customFormat="false" ht="15" hidden="false" customHeight="false" outlineLevel="0" collapsed="false">
      <c r="A603" s="33" t="str">
        <f aca="false">IF(Pipeline_Sort!$C603="","",INDEX(Pipeline_Calc!$B$2:$B$5251,Pipeline_Sort!$C603))</f>
        <v/>
      </c>
      <c r="B603" s="0" t="str">
        <f aca="false">IF(Pipeline_Sort!$C603="","",INDEX(Pipeline_Calc!$C$2:$C$5251,Pipeline_Sort!$C603))</f>
        <v/>
      </c>
      <c r="C603" s="0" t="str">
        <f aca="false">IF(Pipeline_Sort!$C603="","",INDEX(Pipeline_Calc!$D$2:$D$5251,Pipeline_Sort!$C603))</f>
        <v/>
      </c>
      <c r="D603" s="0" t="str">
        <f aca="false">IF(Pipeline_Sort!$C603="","",INDEX(Pipeline_Calc!$E$2:$E$5251,Pipeline_Sort!$C603))</f>
        <v/>
      </c>
      <c r="E603" s="0" t="str">
        <f aca="false">IF(Pipeline_Sort!$C603="","",INDEX(Pipeline_Calc!$F$2:$F$5251,Pipeline_Sort!$C603))</f>
        <v/>
      </c>
      <c r="F603" s="0" t="str">
        <f aca="false">IF(Pipeline_Sort!$C603="","",INDEX(Pipeline_Calc!$G$2:$G$5251,Pipeline_Sort!$C603))</f>
        <v/>
      </c>
      <c r="G603" s="0" t="str">
        <f aca="false">IF(Pipeline_Sort!$C603="","",INDEX(Pipeline_Calc!$H$2:$H$5251,Pipeline_Sort!$C603))</f>
        <v/>
      </c>
      <c r="H603" s="0" t="str">
        <f aca="false">IF(Pipeline_Sort!$C603="","",INDEX(Pipeline_Calc!$I$2:$I$5251,Pipeline_Sort!$C603))</f>
        <v/>
      </c>
      <c r="I603" s="0" t="str">
        <f aca="false">IF(Pipeline_Sort!$C603="","",INDEX(Pipeline_Calc!$J$2:$J$5251,Pipeline_Sort!$C603))</f>
        <v/>
      </c>
    </row>
    <row r="604" customFormat="false" ht="15" hidden="false" customHeight="false" outlineLevel="0" collapsed="false">
      <c r="A604" s="33" t="str">
        <f aca="false">IF(Pipeline_Sort!$C604="","",INDEX(Pipeline_Calc!$B$2:$B$5251,Pipeline_Sort!$C604))</f>
        <v/>
      </c>
      <c r="B604" s="0" t="str">
        <f aca="false">IF(Pipeline_Sort!$C604="","",INDEX(Pipeline_Calc!$C$2:$C$5251,Pipeline_Sort!$C604))</f>
        <v/>
      </c>
      <c r="C604" s="0" t="str">
        <f aca="false">IF(Pipeline_Sort!$C604="","",INDEX(Pipeline_Calc!$D$2:$D$5251,Pipeline_Sort!$C604))</f>
        <v/>
      </c>
      <c r="D604" s="0" t="str">
        <f aca="false">IF(Pipeline_Sort!$C604="","",INDEX(Pipeline_Calc!$E$2:$E$5251,Pipeline_Sort!$C604))</f>
        <v/>
      </c>
      <c r="E604" s="0" t="str">
        <f aca="false">IF(Pipeline_Sort!$C604="","",INDEX(Pipeline_Calc!$F$2:$F$5251,Pipeline_Sort!$C604))</f>
        <v/>
      </c>
      <c r="F604" s="0" t="str">
        <f aca="false">IF(Pipeline_Sort!$C604="","",INDEX(Pipeline_Calc!$G$2:$G$5251,Pipeline_Sort!$C604))</f>
        <v/>
      </c>
      <c r="G604" s="0" t="str">
        <f aca="false">IF(Pipeline_Sort!$C604="","",INDEX(Pipeline_Calc!$H$2:$H$5251,Pipeline_Sort!$C604))</f>
        <v/>
      </c>
      <c r="H604" s="0" t="str">
        <f aca="false">IF(Pipeline_Sort!$C604="","",INDEX(Pipeline_Calc!$I$2:$I$5251,Pipeline_Sort!$C604))</f>
        <v/>
      </c>
      <c r="I604" s="0" t="str">
        <f aca="false">IF(Pipeline_Sort!$C604="","",INDEX(Pipeline_Calc!$J$2:$J$5251,Pipeline_Sort!$C604))</f>
        <v/>
      </c>
    </row>
    <row r="605" customFormat="false" ht="15" hidden="false" customHeight="false" outlineLevel="0" collapsed="false">
      <c r="A605" s="33" t="str">
        <f aca="false">IF(Pipeline_Sort!$C605="","",INDEX(Pipeline_Calc!$B$2:$B$5251,Pipeline_Sort!$C605))</f>
        <v/>
      </c>
      <c r="B605" s="0" t="str">
        <f aca="false">IF(Pipeline_Sort!$C605="","",INDEX(Pipeline_Calc!$C$2:$C$5251,Pipeline_Sort!$C605))</f>
        <v/>
      </c>
      <c r="C605" s="0" t="str">
        <f aca="false">IF(Pipeline_Sort!$C605="","",INDEX(Pipeline_Calc!$D$2:$D$5251,Pipeline_Sort!$C605))</f>
        <v/>
      </c>
      <c r="D605" s="0" t="str">
        <f aca="false">IF(Pipeline_Sort!$C605="","",INDEX(Pipeline_Calc!$E$2:$E$5251,Pipeline_Sort!$C605))</f>
        <v/>
      </c>
      <c r="E605" s="0" t="str">
        <f aca="false">IF(Pipeline_Sort!$C605="","",INDEX(Pipeline_Calc!$F$2:$F$5251,Pipeline_Sort!$C605))</f>
        <v/>
      </c>
      <c r="F605" s="0" t="str">
        <f aca="false">IF(Pipeline_Sort!$C605="","",INDEX(Pipeline_Calc!$G$2:$G$5251,Pipeline_Sort!$C605))</f>
        <v/>
      </c>
      <c r="G605" s="0" t="str">
        <f aca="false">IF(Pipeline_Sort!$C605="","",INDEX(Pipeline_Calc!$H$2:$H$5251,Pipeline_Sort!$C605))</f>
        <v/>
      </c>
      <c r="H605" s="0" t="str">
        <f aca="false">IF(Pipeline_Sort!$C605="","",INDEX(Pipeline_Calc!$I$2:$I$5251,Pipeline_Sort!$C605))</f>
        <v/>
      </c>
      <c r="I605" s="0" t="str">
        <f aca="false">IF(Pipeline_Sort!$C605="","",INDEX(Pipeline_Calc!$J$2:$J$5251,Pipeline_Sort!$C605))</f>
        <v/>
      </c>
    </row>
    <row r="606" customFormat="false" ht="15" hidden="false" customHeight="false" outlineLevel="0" collapsed="false">
      <c r="A606" s="33" t="str">
        <f aca="false">IF(Pipeline_Sort!$C606="","",INDEX(Pipeline_Calc!$B$2:$B$5251,Pipeline_Sort!$C606))</f>
        <v/>
      </c>
      <c r="B606" s="0" t="str">
        <f aca="false">IF(Pipeline_Sort!$C606="","",INDEX(Pipeline_Calc!$C$2:$C$5251,Pipeline_Sort!$C606))</f>
        <v/>
      </c>
      <c r="C606" s="0" t="str">
        <f aca="false">IF(Pipeline_Sort!$C606="","",INDEX(Pipeline_Calc!$D$2:$D$5251,Pipeline_Sort!$C606))</f>
        <v/>
      </c>
      <c r="D606" s="0" t="str">
        <f aca="false">IF(Pipeline_Sort!$C606="","",INDEX(Pipeline_Calc!$E$2:$E$5251,Pipeline_Sort!$C606))</f>
        <v/>
      </c>
      <c r="E606" s="0" t="str">
        <f aca="false">IF(Pipeline_Sort!$C606="","",INDEX(Pipeline_Calc!$F$2:$F$5251,Pipeline_Sort!$C606))</f>
        <v/>
      </c>
      <c r="F606" s="0" t="str">
        <f aca="false">IF(Pipeline_Sort!$C606="","",INDEX(Pipeline_Calc!$G$2:$G$5251,Pipeline_Sort!$C606))</f>
        <v/>
      </c>
      <c r="G606" s="0" t="str">
        <f aca="false">IF(Pipeline_Sort!$C606="","",INDEX(Pipeline_Calc!$H$2:$H$5251,Pipeline_Sort!$C606))</f>
        <v/>
      </c>
      <c r="H606" s="0" t="str">
        <f aca="false">IF(Pipeline_Sort!$C606="","",INDEX(Pipeline_Calc!$I$2:$I$5251,Pipeline_Sort!$C606))</f>
        <v/>
      </c>
      <c r="I606" s="0" t="str">
        <f aca="false">IF(Pipeline_Sort!$C606="","",INDEX(Pipeline_Calc!$J$2:$J$5251,Pipeline_Sort!$C606))</f>
        <v/>
      </c>
    </row>
    <row r="607" customFormat="false" ht="15" hidden="false" customHeight="false" outlineLevel="0" collapsed="false">
      <c r="A607" s="33" t="str">
        <f aca="false">IF(Pipeline_Sort!$C607="","",INDEX(Pipeline_Calc!$B$2:$B$5251,Pipeline_Sort!$C607))</f>
        <v/>
      </c>
      <c r="B607" s="0" t="str">
        <f aca="false">IF(Pipeline_Sort!$C607="","",INDEX(Pipeline_Calc!$C$2:$C$5251,Pipeline_Sort!$C607))</f>
        <v/>
      </c>
      <c r="C607" s="0" t="str">
        <f aca="false">IF(Pipeline_Sort!$C607="","",INDEX(Pipeline_Calc!$D$2:$D$5251,Pipeline_Sort!$C607))</f>
        <v/>
      </c>
      <c r="D607" s="0" t="str">
        <f aca="false">IF(Pipeline_Sort!$C607="","",INDEX(Pipeline_Calc!$E$2:$E$5251,Pipeline_Sort!$C607))</f>
        <v/>
      </c>
      <c r="E607" s="0" t="str">
        <f aca="false">IF(Pipeline_Sort!$C607="","",INDEX(Pipeline_Calc!$F$2:$F$5251,Pipeline_Sort!$C607))</f>
        <v/>
      </c>
      <c r="F607" s="0" t="str">
        <f aca="false">IF(Pipeline_Sort!$C607="","",INDEX(Pipeline_Calc!$G$2:$G$5251,Pipeline_Sort!$C607))</f>
        <v/>
      </c>
      <c r="G607" s="0" t="str">
        <f aca="false">IF(Pipeline_Sort!$C607="","",INDEX(Pipeline_Calc!$H$2:$H$5251,Pipeline_Sort!$C607))</f>
        <v/>
      </c>
      <c r="H607" s="0" t="str">
        <f aca="false">IF(Pipeline_Sort!$C607="","",INDEX(Pipeline_Calc!$I$2:$I$5251,Pipeline_Sort!$C607))</f>
        <v/>
      </c>
      <c r="I607" s="0" t="str">
        <f aca="false">IF(Pipeline_Sort!$C607="","",INDEX(Pipeline_Calc!$J$2:$J$5251,Pipeline_Sort!$C607))</f>
        <v/>
      </c>
    </row>
    <row r="608" customFormat="false" ht="15" hidden="false" customHeight="false" outlineLevel="0" collapsed="false">
      <c r="A608" s="33" t="str">
        <f aca="false">IF(Pipeline_Sort!$C608="","",INDEX(Pipeline_Calc!$B$2:$B$5251,Pipeline_Sort!$C608))</f>
        <v/>
      </c>
      <c r="B608" s="0" t="str">
        <f aca="false">IF(Pipeline_Sort!$C608="","",INDEX(Pipeline_Calc!$C$2:$C$5251,Pipeline_Sort!$C608))</f>
        <v/>
      </c>
      <c r="C608" s="0" t="str">
        <f aca="false">IF(Pipeline_Sort!$C608="","",INDEX(Pipeline_Calc!$D$2:$D$5251,Pipeline_Sort!$C608))</f>
        <v/>
      </c>
      <c r="D608" s="0" t="str">
        <f aca="false">IF(Pipeline_Sort!$C608="","",INDEX(Pipeline_Calc!$E$2:$E$5251,Pipeline_Sort!$C608))</f>
        <v/>
      </c>
      <c r="E608" s="0" t="str">
        <f aca="false">IF(Pipeline_Sort!$C608="","",INDEX(Pipeline_Calc!$F$2:$F$5251,Pipeline_Sort!$C608))</f>
        <v/>
      </c>
      <c r="F608" s="0" t="str">
        <f aca="false">IF(Pipeline_Sort!$C608="","",INDEX(Pipeline_Calc!$G$2:$G$5251,Pipeline_Sort!$C608))</f>
        <v/>
      </c>
      <c r="G608" s="0" t="str">
        <f aca="false">IF(Pipeline_Sort!$C608="","",INDEX(Pipeline_Calc!$H$2:$H$5251,Pipeline_Sort!$C608))</f>
        <v/>
      </c>
      <c r="H608" s="0" t="str">
        <f aca="false">IF(Pipeline_Sort!$C608="","",INDEX(Pipeline_Calc!$I$2:$I$5251,Pipeline_Sort!$C608))</f>
        <v/>
      </c>
      <c r="I608" s="0" t="str">
        <f aca="false">IF(Pipeline_Sort!$C608="","",INDEX(Pipeline_Calc!$J$2:$J$5251,Pipeline_Sort!$C608))</f>
        <v/>
      </c>
    </row>
    <row r="609" customFormat="false" ht="15" hidden="false" customHeight="false" outlineLevel="0" collapsed="false">
      <c r="A609" s="33" t="str">
        <f aca="false">IF(Pipeline_Sort!$C609="","",INDEX(Pipeline_Calc!$B$2:$B$5251,Pipeline_Sort!$C609))</f>
        <v/>
      </c>
      <c r="B609" s="0" t="str">
        <f aca="false">IF(Pipeline_Sort!$C609="","",INDEX(Pipeline_Calc!$C$2:$C$5251,Pipeline_Sort!$C609))</f>
        <v/>
      </c>
      <c r="C609" s="0" t="str">
        <f aca="false">IF(Pipeline_Sort!$C609="","",INDEX(Pipeline_Calc!$D$2:$D$5251,Pipeline_Sort!$C609))</f>
        <v/>
      </c>
      <c r="D609" s="0" t="str">
        <f aca="false">IF(Pipeline_Sort!$C609="","",INDEX(Pipeline_Calc!$E$2:$E$5251,Pipeline_Sort!$C609))</f>
        <v/>
      </c>
      <c r="E609" s="0" t="str">
        <f aca="false">IF(Pipeline_Sort!$C609="","",INDEX(Pipeline_Calc!$F$2:$F$5251,Pipeline_Sort!$C609))</f>
        <v/>
      </c>
      <c r="F609" s="0" t="str">
        <f aca="false">IF(Pipeline_Sort!$C609="","",INDEX(Pipeline_Calc!$G$2:$G$5251,Pipeline_Sort!$C609))</f>
        <v/>
      </c>
      <c r="G609" s="0" t="str">
        <f aca="false">IF(Pipeline_Sort!$C609="","",INDEX(Pipeline_Calc!$H$2:$H$5251,Pipeline_Sort!$C609))</f>
        <v/>
      </c>
      <c r="H609" s="0" t="str">
        <f aca="false">IF(Pipeline_Sort!$C609="","",INDEX(Pipeline_Calc!$I$2:$I$5251,Pipeline_Sort!$C609))</f>
        <v/>
      </c>
      <c r="I609" s="0" t="str">
        <f aca="false">IF(Pipeline_Sort!$C609="","",INDEX(Pipeline_Calc!$J$2:$J$5251,Pipeline_Sort!$C609))</f>
        <v/>
      </c>
    </row>
    <row r="610" customFormat="false" ht="15" hidden="false" customHeight="false" outlineLevel="0" collapsed="false">
      <c r="A610" s="33" t="str">
        <f aca="false">IF(Pipeline_Sort!$C610="","",INDEX(Pipeline_Calc!$B$2:$B$5251,Pipeline_Sort!$C610))</f>
        <v/>
      </c>
      <c r="B610" s="0" t="str">
        <f aca="false">IF(Pipeline_Sort!$C610="","",INDEX(Pipeline_Calc!$C$2:$C$5251,Pipeline_Sort!$C610))</f>
        <v/>
      </c>
      <c r="C610" s="0" t="str">
        <f aca="false">IF(Pipeline_Sort!$C610="","",INDEX(Pipeline_Calc!$D$2:$D$5251,Pipeline_Sort!$C610))</f>
        <v/>
      </c>
      <c r="D610" s="0" t="str">
        <f aca="false">IF(Pipeline_Sort!$C610="","",INDEX(Pipeline_Calc!$E$2:$E$5251,Pipeline_Sort!$C610))</f>
        <v/>
      </c>
      <c r="E610" s="0" t="str">
        <f aca="false">IF(Pipeline_Sort!$C610="","",INDEX(Pipeline_Calc!$F$2:$F$5251,Pipeline_Sort!$C610))</f>
        <v/>
      </c>
      <c r="F610" s="0" t="str">
        <f aca="false">IF(Pipeline_Sort!$C610="","",INDEX(Pipeline_Calc!$G$2:$G$5251,Pipeline_Sort!$C610))</f>
        <v/>
      </c>
      <c r="G610" s="0" t="str">
        <f aca="false">IF(Pipeline_Sort!$C610="","",INDEX(Pipeline_Calc!$H$2:$H$5251,Pipeline_Sort!$C610))</f>
        <v/>
      </c>
      <c r="H610" s="0" t="str">
        <f aca="false">IF(Pipeline_Sort!$C610="","",INDEX(Pipeline_Calc!$I$2:$I$5251,Pipeline_Sort!$C610))</f>
        <v/>
      </c>
      <c r="I610" s="0" t="str">
        <f aca="false">IF(Pipeline_Sort!$C610="","",INDEX(Pipeline_Calc!$J$2:$J$5251,Pipeline_Sort!$C610))</f>
        <v/>
      </c>
    </row>
    <row r="611" customFormat="false" ht="15" hidden="false" customHeight="false" outlineLevel="0" collapsed="false">
      <c r="A611" s="33" t="str">
        <f aca="false">IF(Pipeline_Sort!$C611="","",INDEX(Pipeline_Calc!$B$2:$B$5251,Pipeline_Sort!$C611))</f>
        <v/>
      </c>
      <c r="B611" s="0" t="str">
        <f aca="false">IF(Pipeline_Sort!$C611="","",INDEX(Pipeline_Calc!$C$2:$C$5251,Pipeline_Sort!$C611))</f>
        <v/>
      </c>
      <c r="C611" s="0" t="str">
        <f aca="false">IF(Pipeline_Sort!$C611="","",INDEX(Pipeline_Calc!$D$2:$D$5251,Pipeline_Sort!$C611))</f>
        <v/>
      </c>
      <c r="D611" s="0" t="str">
        <f aca="false">IF(Pipeline_Sort!$C611="","",INDEX(Pipeline_Calc!$E$2:$E$5251,Pipeline_Sort!$C611))</f>
        <v/>
      </c>
      <c r="E611" s="0" t="str">
        <f aca="false">IF(Pipeline_Sort!$C611="","",INDEX(Pipeline_Calc!$F$2:$F$5251,Pipeline_Sort!$C611))</f>
        <v/>
      </c>
      <c r="F611" s="0" t="str">
        <f aca="false">IF(Pipeline_Sort!$C611="","",INDEX(Pipeline_Calc!$G$2:$G$5251,Pipeline_Sort!$C611))</f>
        <v/>
      </c>
      <c r="G611" s="0" t="str">
        <f aca="false">IF(Pipeline_Sort!$C611="","",INDEX(Pipeline_Calc!$H$2:$H$5251,Pipeline_Sort!$C611))</f>
        <v/>
      </c>
      <c r="H611" s="0" t="str">
        <f aca="false">IF(Pipeline_Sort!$C611="","",INDEX(Pipeline_Calc!$I$2:$I$5251,Pipeline_Sort!$C611))</f>
        <v/>
      </c>
      <c r="I611" s="0" t="str">
        <f aca="false">IF(Pipeline_Sort!$C611="","",INDEX(Pipeline_Calc!$J$2:$J$5251,Pipeline_Sort!$C611))</f>
        <v/>
      </c>
    </row>
    <row r="612" customFormat="false" ht="15" hidden="false" customHeight="false" outlineLevel="0" collapsed="false">
      <c r="A612" s="33" t="str">
        <f aca="false">IF(Pipeline_Sort!$C612="","",INDEX(Pipeline_Calc!$B$2:$B$5251,Pipeline_Sort!$C612))</f>
        <v/>
      </c>
      <c r="B612" s="0" t="str">
        <f aca="false">IF(Pipeline_Sort!$C612="","",INDEX(Pipeline_Calc!$C$2:$C$5251,Pipeline_Sort!$C612))</f>
        <v/>
      </c>
      <c r="C612" s="0" t="str">
        <f aca="false">IF(Pipeline_Sort!$C612="","",INDEX(Pipeline_Calc!$D$2:$D$5251,Pipeline_Sort!$C612))</f>
        <v/>
      </c>
      <c r="D612" s="0" t="str">
        <f aca="false">IF(Pipeline_Sort!$C612="","",INDEX(Pipeline_Calc!$E$2:$E$5251,Pipeline_Sort!$C612))</f>
        <v/>
      </c>
      <c r="E612" s="0" t="str">
        <f aca="false">IF(Pipeline_Sort!$C612="","",INDEX(Pipeline_Calc!$F$2:$F$5251,Pipeline_Sort!$C612))</f>
        <v/>
      </c>
      <c r="F612" s="0" t="str">
        <f aca="false">IF(Pipeline_Sort!$C612="","",INDEX(Pipeline_Calc!$G$2:$G$5251,Pipeline_Sort!$C612))</f>
        <v/>
      </c>
      <c r="G612" s="0" t="str">
        <f aca="false">IF(Pipeline_Sort!$C612="","",INDEX(Pipeline_Calc!$H$2:$H$5251,Pipeline_Sort!$C612))</f>
        <v/>
      </c>
      <c r="H612" s="0" t="str">
        <f aca="false">IF(Pipeline_Sort!$C612="","",INDEX(Pipeline_Calc!$I$2:$I$5251,Pipeline_Sort!$C612))</f>
        <v/>
      </c>
      <c r="I612" s="0" t="str">
        <f aca="false">IF(Pipeline_Sort!$C612="","",INDEX(Pipeline_Calc!$J$2:$J$5251,Pipeline_Sort!$C612))</f>
        <v/>
      </c>
    </row>
    <row r="613" customFormat="false" ht="15" hidden="false" customHeight="false" outlineLevel="0" collapsed="false">
      <c r="A613" s="33" t="str">
        <f aca="false">IF(Pipeline_Sort!$C613="","",INDEX(Pipeline_Calc!$B$2:$B$5251,Pipeline_Sort!$C613))</f>
        <v/>
      </c>
      <c r="B613" s="0" t="str">
        <f aca="false">IF(Pipeline_Sort!$C613="","",INDEX(Pipeline_Calc!$C$2:$C$5251,Pipeline_Sort!$C613))</f>
        <v/>
      </c>
      <c r="C613" s="0" t="str">
        <f aca="false">IF(Pipeline_Sort!$C613="","",INDEX(Pipeline_Calc!$D$2:$D$5251,Pipeline_Sort!$C613))</f>
        <v/>
      </c>
      <c r="D613" s="0" t="str">
        <f aca="false">IF(Pipeline_Sort!$C613="","",INDEX(Pipeline_Calc!$E$2:$E$5251,Pipeline_Sort!$C613))</f>
        <v/>
      </c>
      <c r="E613" s="0" t="str">
        <f aca="false">IF(Pipeline_Sort!$C613="","",INDEX(Pipeline_Calc!$F$2:$F$5251,Pipeline_Sort!$C613))</f>
        <v/>
      </c>
      <c r="F613" s="0" t="str">
        <f aca="false">IF(Pipeline_Sort!$C613="","",INDEX(Pipeline_Calc!$G$2:$G$5251,Pipeline_Sort!$C613))</f>
        <v/>
      </c>
      <c r="G613" s="0" t="str">
        <f aca="false">IF(Pipeline_Sort!$C613="","",INDEX(Pipeline_Calc!$H$2:$H$5251,Pipeline_Sort!$C613))</f>
        <v/>
      </c>
      <c r="H613" s="0" t="str">
        <f aca="false">IF(Pipeline_Sort!$C613="","",INDEX(Pipeline_Calc!$I$2:$I$5251,Pipeline_Sort!$C613))</f>
        <v/>
      </c>
      <c r="I613" s="0" t="str">
        <f aca="false">IF(Pipeline_Sort!$C613="","",INDEX(Pipeline_Calc!$J$2:$J$5251,Pipeline_Sort!$C613))</f>
        <v/>
      </c>
    </row>
    <row r="614" customFormat="false" ht="15" hidden="false" customHeight="false" outlineLevel="0" collapsed="false">
      <c r="A614" s="33" t="str">
        <f aca="false">IF(Pipeline_Sort!$C614="","",INDEX(Pipeline_Calc!$B$2:$B$5251,Pipeline_Sort!$C614))</f>
        <v/>
      </c>
      <c r="B614" s="0" t="str">
        <f aca="false">IF(Pipeline_Sort!$C614="","",INDEX(Pipeline_Calc!$C$2:$C$5251,Pipeline_Sort!$C614))</f>
        <v/>
      </c>
      <c r="C614" s="0" t="str">
        <f aca="false">IF(Pipeline_Sort!$C614="","",INDEX(Pipeline_Calc!$D$2:$D$5251,Pipeline_Sort!$C614))</f>
        <v/>
      </c>
      <c r="D614" s="0" t="str">
        <f aca="false">IF(Pipeline_Sort!$C614="","",INDEX(Pipeline_Calc!$E$2:$E$5251,Pipeline_Sort!$C614))</f>
        <v/>
      </c>
      <c r="E614" s="0" t="str">
        <f aca="false">IF(Pipeline_Sort!$C614="","",INDEX(Pipeline_Calc!$F$2:$F$5251,Pipeline_Sort!$C614))</f>
        <v/>
      </c>
      <c r="F614" s="0" t="str">
        <f aca="false">IF(Pipeline_Sort!$C614="","",INDEX(Pipeline_Calc!$G$2:$G$5251,Pipeline_Sort!$C614))</f>
        <v/>
      </c>
      <c r="G614" s="0" t="str">
        <f aca="false">IF(Pipeline_Sort!$C614="","",INDEX(Pipeline_Calc!$H$2:$H$5251,Pipeline_Sort!$C614))</f>
        <v/>
      </c>
      <c r="H614" s="0" t="str">
        <f aca="false">IF(Pipeline_Sort!$C614="","",INDEX(Pipeline_Calc!$I$2:$I$5251,Pipeline_Sort!$C614))</f>
        <v/>
      </c>
      <c r="I614" s="0" t="str">
        <f aca="false">IF(Pipeline_Sort!$C614="","",INDEX(Pipeline_Calc!$J$2:$J$5251,Pipeline_Sort!$C614))</f>
        <v/>
      </c>
    </row>
    <row r="615" customFormat="false" ht="15" hidden="false" customHeight="false" outlineLevel="0" collapsed="false">
      <c r="A615" s="33" t="str">
        <f aca="false">IF(Pipeline_Sort!$C615="","",INDEX(Pipeline_Calc!$B$2:$B$5251,Pipeline_Sort!$C615))</f>
        <v/>
      </c>
      <c r="B615" s="0" t="str">
        <f aca="false">IF(Pipeline_Sort!$C615="","",INDEX(Pipeline_Calc!$C$2:$C$5251,Pipeline_Sort!$C615))</f>
        <v/>
      </c>
      <c r="C615" s="0" t="str">
        <f aca="false">IF(Pipeline_Sort!$C615="","",INDEX(Pipeline_Calc!$D$2:$D$5251,Pipeline_Sort!$C615))</f>
        <v/>
      </c>
      <c r="D615" s="0" t="str">
        <f aca="false">IF(Pipeline_Sort!$C615="","",INDEX(Pipeline_Calc!$E$2:$E$5251,Pipeline_Sort!$C615))</f>
        <v/>
      </c>
      <c r="E615" s="0" t="str">
        <f aca="false">IF(Pipeline_Sort!$C615="","",INDEX(Pipeline_Calc!$F$2:$F$5251,Pipeline_Sort!$C615))</f>
        <v/>
      </c>
      <c r="F615" s="0" t="str">
        <f aca="false">IF(Pipeline_Sort!$C615="","",INDEX(Pipeline_Calc!$G$2:$G$5251,Pipeline_Sort!$C615))</f>
        <v/>
      </c>
      <c r="G615" s="0" t="str">
        <f aca="false">IF(Pipeline_Sort!$C615="","",INDEX(Pipeline_Calc!$H$2:$H$5251,Pipeline_Sort!$C615))</f>
        <v/>
      </c>
      <c r="H615" s="0" t="str">
        <f aca="false">IF(Pipeline_Sort!$C615="","",INDEX(Pipeline_Calc!$I$2:$I$5251,Pipeline_Sort!$C615))</f>
        <v/>
      </c>
      <c r="I615" s="0" t="str">
        <f aca="false">IF(Pipeline_Sort!$C615="","",INDEX(Pipeline_Calc!$J$2:$J$5251,Pipeline_Sort!$C615))</f>
        <v/>
      </c>
    </row>
    <row r="616" customFormat="false" ht="15" hidden="false" customHeight="false" outlineLevel="0" collapsed="false">
      <c r="A616" s="33" t="str">
        <f aca="false">IF(Pipeline_Sort!$C616="","",INDEX(Pipeline_Calc!$B$2:$B$5251,Pipeline_Sort!$C616))</f>
        <v/>
      </c>
      <c r="B616" s="0" t="str">
        <f aca="false">IF(Pipeline_Sort!$C616="","",INDEX(Pipeline_Calc!$C$2:$C$5251,Pipeline_Sort!$C616))</f>
        <v/>
      </c>
      <c r="C616" s="0" t="str">
        <f aca="false">IF(Pipeline_Sort!$C616="","",INDEX(Pipeline_Calc!$D$2:$D$5251,Pipeline_Sort!$C616))</f>
        <v/>
      </c>
      <c r="D616" s="0" t="str">
        <f aca="false">IF(Pipeline_Sort!$C616="","",INDEX(Pipeline_Calc!$E$2:$E$5251,Pipeline_Sort!$C616))</f>
        <v/>
      </c>
      <c r="E616" s="0" t="str">
        <f aca="false">IF(Pipeline_Sort!$C616="","",INDEX(Pipeline_Calc!$F$2:$F$5251,Pipeline_Sort!$C616))</f>
        <v/>
      </c>
      <c r="F616" s="0" t="str">
        <f aca="false">IF(Pipeline_Sort!$C616="","",INDEX(Pipeline_Calc!$G$2:$G$5251,Pipeline_Sort!$C616))</f>
        <v/>
      </c>
      <c r="G616" s="0" t="str">
        <f aca="false">IF(Pipeline_Sort!$C616="","",INDEX(Pipeline_Calc!$H$2:$H$5251,Pipeline_Sort!$C616))</f>
        <v/>
      </c>
      <c r="H616" s="0" t="str">
        <f aca="false">IF(Pipeline_Sort!$C616="","",INDEX(Pipeline_Calc!$I$2:$I$5251,Pipeline_Sort!$C616))</f>
        <v/>
      </c>
      <c r="I616" s="0" t="str">
        <f aca="false">IF(Pipeline_Sort!$C616="","",INDEX(Pipeline_Calc!$J$2:$J$5251,Pipeline_Sort!$C616))</f>
        <v/>
      </c>
    </row>
    <row r="617" customFormat="false" ht="15" hidden="false" customHeight="false" outlineLevel="0" collapsed="false">
      <c r="A617" s="33" t="str">
        <f aca="false">IF(Pipeline_Sort!$C617="","",INDEX(Pipeline_Calc!$B$2:$B$5251,Pipeline_Sort!$C617))</f>
        <v/>
      </c>
      <c r="B617" s="0" t="str">
        <f aca="false">IF(Pipeline_Sort!$C617="","",INDEX(Pipeline_Calc!$C$2:$C$5251,Pipeline_Sort!$C617))</f>
        <v/>
      </c>
      <c r="C617" s="0" t="str">
        <f aca="false">IF(Pipeline_Sort!$C617="","",INDEX(Pipeline_Calc!$D$2:$D$5251,Pipeline_Sort!$C617))</f>
        <v/>
      </c>
      <c r="D617" s="0" t="str">
        <f aca="false">IF(Pipeline_Sort!$C617="","",INDEX(Pipeline_Calc!$E$2:$E$5251,Pipeline_Sort!$C617))</f>
        <v/>
      </c>
      <c r="E617" s="0" t="str">
        <f aca="false">IF(Pipeline_Sort!$C617="","",INDEX(Pipeline_Calc!$F$2:$F$5251,Pipeline_Sort!$C617))</f>
        <v/>
      </c>
      <c r="F617" s="0" t="str">
        <f aca="false">IF(Pipeline_Sort!$C617="","",INDEX(Pipeline_Calc!$G$2:$G$5251,Pipeline_Sort!$C617))</f>
        <v/>
      </c>
      <c r="G617" s="0" t="str">
        <f aca="false">IF(Pipeline_Sort!$C617="","",INDEX(Pipeline_Calc!$H$2:$H$5251,Pipeline_Sort!$C617))</f>
        <v/>
      </c>
      <c r="H617" s="0" t="str">
        <f aca="false">IF(Pipeline_Sort!$C617="","",INDEX(Pipeline_Calc!$I$2:$I$5251,Pipeline_Sort!$C617))</f>
        <v/>
      </c>
      <c r="I617" s="0" t="str">
        <f aca="false">IF(Pipeline_Sort!$C617="","",INDEX(Pipeline_Calc!$J$2:$J$5251,Pipeline_Sort!$C617))</f>
        <v/>
      </c>
    </row>
    <row r="618" customFormat="false" ht="15" hidden="false" customHeight="false" outlineLevel="0" collapsed="false">
      <c r="A618" s="33" t="str">
        <f aca="false">IF(Pipeline_Sort!$C618="","",INDEX(Pipeline_Calc!$B$2:$B$5251,Pipeline_Sort!$C618))</f>
        <v/>
      </c>
      <c r="B618" s="0" t="str">
        <f aca="false">IF(Pipeline_Sort!$C618="","",INDEX(Pipeline_Calc!$C$2:$C$5251,Pipeline_Sort!$C618))</f>
        <v/>
      </c>
      <c r="C618" s="0" t="str">
        <f aca="false">IF(Pipeline_Sort!$C618="","",INDEX(Pipeline_Calc!$D$2:$D$5251,Pipeline_Sort!$C618))</f>
        <v/>
      </c>
      <c r="D618" s="0" t="str">
        <f aca="false">IF(Pipeline_Sort!$C618="","",INDEX(Pipeline_Calc!$E$2:$E$5251,Pipeline_Sort!$C618))</f>
        <v/>
      </c>
      <c r="E618" s="0" t="str">
        <f aca="false">IF(Pipeline_Sort!$C618="","",INDEX(Pipeline_Calc!$F$2:$F$5251,Pipeline_Sort!$C618))</f>
        <v/>
      </c>
      <c r="F618" s="0" t="str">
        <f aca="false">IF(Pipeline_Sort!$C618="","",INDEX(Pipeline_Calc!$G$2:$G$5251,Pipeline_Sort!$C618))</f>
        <v/>
      </c>
      <c r="G618" s="0" t="str">
        <f aca="false">IF(Pipeline_Sort!$C618="","",INDEX(Pipeline_Calc!$H$2:$H$5251,Pipeline_Sort!$C618))</f>
        <v/>
      </c>
      <c r="H618" s="0" t="str">
        <f aca="false">IF(Pipeline_Sort!$C618="","",INDEX(Pipeline_Calc!$I$2:$I$5251,Pipeline_Sort!$C618))</f>
        <v/>
      </c>
      <c r="I618" s="0" t="str">
        <f aca="false">IF(Pipeline_Sort!$C618="","",INDEX(Pipeline_Calc!$J$2:$J$5251,Pipeline_Sort!$C618))</f>
        <v/>
      </c>
    </row>
    <row r="619" customFormat="false" ht="15" hidden="false" customHeight="false" outlineLevel="0" collapsed="false">
      <c r="A619" s="33" t="str">
        <f aca="false">IF(Pipeline_Sort!$C619="","",INDEX(Pipeline_Calc!$B$2:$B$5251,Pipeline_Sort!$C619))</f>
        <v/>
      </c>
      <c r="B619" s="0" t="str">
        <f aca="false">IF(Pipeline_Sort!$C619="","",INDEX(Pipeline_Calc!$C$2:$C$5251,Pipeline_Sort!$C619))</f>
        <v/>
      </c>
      <c r="C619" s="0" t="str">
        <f aca="false">IF(Pipeline_Sort!$C619="","",INDEX(Pipeline_Calc!$D$2:$D$5251,Pipeline_Sort!$C619))</f>
        <v/>
      </c>
      <c r="D619" s="0" t="str">
        <f aca="false">IF(Pipeline_Sort!$C619="","",INDEX(Pipeline_Calc!$E$2:$E$5251,Pipeline_Sort!$C619))</f>
        <v/>
      </c>
      <c r="E619" s="0" t="str">
        <f aca="false">IF(Pipeline_Sort!$C619="","",INDEX(Pipeline_Calc!$F$2:$F$5251,Pipeline_Sort!$C619))</f>
        <v/>
      </c>
      <c r="F619" s="0" t="str">
        <f aca="false">IF(Pipeline_Sort!$C619="","",INDEX(Pipeline_Calc!$G$2:$G$5251,Pipeline_Sort!$C619))</f>
        <v/>
      </c>
      <c r="G619" s="0" t="str">
        <f aca="false">IF(Pipeline_Sort!$C619="","",INDEX(Pipeline_Calc!$H$2:$H$5251,Pipeline_Sort!$C619))</f>
        <v/>
      </c>
      <c r="H619" s="0" t="str">
        <f aca="false">IF(Pipeline_Sort!$C619="","",INDEX(Pipeline_Calc!$I$2:$I$5251,Pipeline_Sort!$C619))</f>
        <v/>
      </c>
      <c r="I619" s="0" t="str">
        <f aca="false">IF(Pipeline_Sort!$C619="","",INDEX(Pipeline_Calc!$J$2:$J$5251,Pipeline_Sort!$C619))</f>
        <v/>
      </c>
    </row>
    <row r="620" customFormat="false" ht="15" hidden="false" customHeight="false" outlineLevel="0" collapsed="false">
      <c r="A620" s="33" t="str">
        <f aca="false">IF(Pipeline_Sort!$C620="","",INDEX(Pipeline_Calc!$B$2:$B$5251,Pipeline_Sort!$C620))</f>
        <v/>
      </c>
      <c r="B620" s="0" t="str">
        <f aca="false">IF(Pipeline_Sort!$C620="","",INDEX(Pipeline_Calc!$C$2:$C$5251,Pipeline_Sort!$C620))</f>
        <v/>
      </c>
      <c r="C620" s="0" t="str">
        <f aca="false">IF(Pipeline_Sort!$C620="","",INDEX(Pipeline_Calc!$D$2:$D$5251,Pipeline_Sort!$C620))</f>
        <v/>
      </c>
      <c r="D620" s="0" t="str">
        <f aca="false">IF(Pipeline_Sort!$C620="","",INDEX(Pipeline_Calc!$E$2:$E$5251,Pipeline_Sort!$C620))</f>
        <v/>
      </c>
      <c r="E620" s="0" t="str">
        <f aca="false">IF(Pipeline_Sort!$C620="","",INDEX(Pipeline_Calc!$F$2:$F$5251,Pipeline_Sort!$C620))</f>
        <v/>
      </c>
      <c r="F620" s="0" t="str">
        <f aca="false">IF(Pipeline_Sort!$C620="","",INDEX(Pipeline_Calc!$G$2:$G$5251,Pipeline_Sort!$C620))</f>
        <v/>
      </c>
      <c r="G620" s="0" t="str">
        <f aca="false">IF(Pipeline_Sort!$C620="","",INDEX(Pipeline_Calc!$H$2:$H$5251,Pipeline_Sort!$C620))</f>
        <v/>
      </c>
      <c r="H620" s="0" t="str">
        <f aca="false">IF(Pipeline_Sort!$C620="","",INDEX(Pipeline_Calc!$I$2:$I$5251,Pipeline_Sort!$C620))</f>
        <v/>
      </c>
      <c r="I620" s="0" t="str">
        <f aca="false">IF(Pipeline_Sort!$C620="","",INDEX(Pipeline_Calc!$J$2:$J$5251,Pipeline_Sort!$C620))</f>
        <v/>
      </c>
    </row>
    <row r="621" customFormat="false" ht="15" hidden="false" customHeight="false" outlineLevel="0" collapsed="false">
      <c r="A621" s="33" t="str">
        <f aca="false">IF(Pipeline_Sort!$C621="","",INDEX(Pipeline_Calc!$B$2:$B$5251,Pipeline_Sort!$C621))</f>
        <v/>
      </c>
      <c r="B621" s="0" t="str">
        <f aca="false">IF(Pipeline_Sort!$C621="","",INDEX(Pipeline_Calc!$C$2:$C$5251,Pipeline_Sort!$C621))</f>
        <v/>
      </c>
      <c r="C621" s="0" t="str">
        <f aca="false">IF(Pipeline_Sort!$C621="","",INDEX(Pipeline_Calc!$D$2:$D$5251,Pipeline_Sort!$C621))</f>
        <v/>
      </c>
      <c r="D621" s="0" t="str">
        <f aca="false">IF(Pipeline_Sort!$C621="","",INDEX(Pipeline_Calc!$E$2:$E$5251,Pipeline_Sort!$C621))</f>
        <v/>
      </c>
      <c r="E621" s="0" t="str">
        <f aca="false">IF(Pipeline_Sort!$C621="","",INDEX(Pipeline_Calc!$F$2:$F$5251,Pipeline_Sort!$C621))</f>
        <v/>
      </c>
      <c r="F621" s="0" t="str">
        <f aca="false">IF(Pipeline_Sort!$C621="","",INDEX(Pipeline_Calc!$G$2:$G$5251,Pipeline_Sort!$C621))</f>
        <v/>
      </c>
      <c r="G621" s="0" t="str">
        <f aca="false">IF(Pipeline_Sort!$C621="","",INDEX(Pipeline_Calc!$H$2:$H$5251,Pipeline_Sort!$C621))</f>
        <v/>
      </c>
      <c r="H621" s="0" t="str">
        <f aca="false">IF(Pipeline_Sort!$C621="","",INDEX(Pipeline_Calc!$I$2:$I$5251,Pipeline_Sort!$C621))</f>
        <v/>
      </c>
      <c r="I621" s="0" t="str">
        <f aca="false">IF(Pipeline_Sort!$C621="","",INDEX(Pipeline_Calc!$J$2:$J$5251,Pipeline_Sort!$C621))</f>
        <v/>
      </c>
    </row>
    <row r="622" customFormat="false" ht="15" hidden="false" customHeight="false" outlineLevel="0" collapsed="false">
      <c r="A622" s="33" t="str">
        <f aca="false">IF(Pipeline_Sort!$C622="","",INDEX(Pipeline_Calc!$B$2:$B$5251,Pipeline_Sort!$C622))</f>
        <v/>
      </c>
      <c r="B622" s="0" t="str">
        <f aca="false">IF(Pipeline_Sort!$C622="","",INDEX(Pipeline_Calc!$C$2:$C$5251,Pipeline_Sort!$C622))</f>
        <v/>
      </c>
      <c r="C622" s="0" t="str">
        <f aca="false">IF(Pipeline_Sort!$C622="","",INDEX(Pipeline_Calc!$D$2:$D$5251,Pipeline_Sort!$C622))</f>
        <v/>
      </c>
      <c r="D622" s="0" t="str">
        <f aca="false">IF(Pipeline_Sort!$C622="","",INDEX(Pipeline_Calc!$E$2:$E$5251,Pipeline_Sort!$C622))</f>
        <v/>
      </c>
      <c r="E622" s="0" t="str">
        <f aca="false">IF(Pipeline_Sort!$C622="","",INDEX(Pipeline_Calc!$F$2:$F$5251,Pipeline_Sort!$C622))</f>
        <v/>
      </c>
      <c r="F622" s="0" t="str">
        <f aca="false">IF(Pipeline_Sort!$C622="","",INDEX(Pipeline_Calc!$G$2:$G$5251,Pipeline_Sort!$C622))</f>
        <v/>
      </c>
      <c r="G622" s="0" t="str">
        <f aca="false">IF(Pipeline_Sort!$C622="","",INDEX(Pipeline_Calc!$H$2:$H$5251,Pipeline_Sort!$C622))</f>
        <v/>
      </c>
      <c r="H622" s="0" t="str">
        <f aca="false">IF(Pipeline_Sort!$C622="","",INDEX(Pipeline_Calc!$I$2:$I$5251,Pipeline_Sort!$C622))</f>
        <v/>
      </c>
      <c r="I622" s="0" t="str">
        <f aca="false">IF(Pipeline_Sort!$C622="","",INDEX(Pipeline_Calc!$J$2:$J$5251,Pipeline_Sort!$C622))</f>
        <v/>
      </c>
    </row>
    <row r="623" customFormat="false" ht="15" hidden="false" customHeight="false" outlineLevel="0" collapsed="false">
      <c r="A623" s="33" t="str">
        <f aca="false">IF(Pipeline_Sort!$C623="","",INDEX(Pipeline_Calc!$B$2:$B$5251,Pipeline_Sort!$C623))</f>
        <v/>
      </c>
      <c r="B623" s="0" t="str">
        <f aca="false">IF(Pipeline_Sort!$C623="","",INDEX(Pipeline_Calc!$C$2:$C$5251,Pipeline_Sort!$C623))</f>
        <v/>
      </c>
      <c r="C623" s="0" t="str">
        <f aca="false">IF(Pipeline_Sort!$C623="","",INDEX(Pipeline_Calc!$D$2:$D$5251,Pipeline_Sort!$C623))</f>
        <v/>
      </c>
      <c r="D623" s="0" t="str">
        <f aca="false">IF(Pipeline_Sort!$C623="","",INDEX(Pipeline_Calc!$E$2:$E$5251,Pipeline_Sort!$C623))</f>
        <v/>
      </c>
      <c r="E623" s="0" t="str">
        <f aca="false">IF(Pipeline_Sort!$C623="","",INDEX(Pipeline_Calc!$F$2:$F$5251,Pipeline_Sort!$C623))</f>
        <v/>
      </c>
      <c r="F623" s="0" t="str">
        <f aca="false">IF(Pipeline_Sort!$C623="","",INDEX(Pipeline_Calc!$G$2:$G$5251,Pipeline_Sort!$C623))</f>
        <v/>
      </c>
      <c r="G623" s="0" t="str">
        <f aca="false">IF(Pipeline_Sort!$C623="","",INDEX(Pipeline_Calc!$H$2:$H$5251,Pipeline_Sort!$C623))</f>
        <v/>
      </c>
      <c r="H623" s="0" t="str">
        <f aca="false">IF(Pipeline_Sort!$C623="","",INDEX(Pipeline_Calc!$I$2:$I$5251,Pipeline_Sort!$C623))</f>
        <v/>
      </c>
      <c r="I623" s="0" t="str">
        <f aca="false">IF(Pipeline_Sort!$C623="","",INDEX(Pipeline_Calc!$J$2:$J$5251,Pipeline_Sort!$C623))</f>
        <v/>
      </c>
    </row>
    <row r="624" customFormat="false" ht="15" hidden="false" customHeight="false" outlineLevel="0" collapsed="false">
      <c r="A624" s="33" t="str">
        <f aca="false">IF(Pipeline_Sort!$C624="","",INDEX(Pipeline_Calc!$B$2:$B$5251,Pipeline_Sort!$C624))</f>
        <v/>
      </c>
      <c r="B624" s="0" t="str">
        <f aca="false">IF(Pipeline_Sort!$C624="","",INDEX(Pipeline_Calc!$C$2:$C$5251,Pipeline_Sort!$C624))</f>
        <v/>
      </c>
      <c r="C624" s="0" t="str">
        <f aca="false">IF(Pipeline_Sort!$C624="","",INDEX(Pipeline_Calc!$D$2:$D$5251,Pipeline_Sort!$C624))</f>
        <v/>
      </c>
      <c r="D624" s="0" t="str">
        <f aca="false">IF(Pipeline_Sort!$C624="","",INDEX(Pipeline_Calc!$E$2:$E$5251,Pipeline_Sort!$C624))</f>
        <v/>
      </c>
      <c r="E624" s="0" t="str">
        <f aca="false">IF(Pipeline_Sort!$C624="","",INDEX(Pipeline_Calc!$F$2:$F$5251,Pipeline_Sort!$C624))</f>
        <v/>
      </c>
      <c r="F624" s="0" t="str">
        <f aca="false">IF(Pipeline_Sort!$C624="","",INDEX(Pipeline_Calc!$G$2:$G$5251,Pipeline_Sort!$C624))</f>
        <v/>
      </c>
      <c r="G624" s="0" t="str">
        <f aca="false">IF(Pipeline_Sort!$C624="","",INDEX(Pipeline_Calc!$H$2:$H$5251,Pipeline_Sort!$C624))</f>
        <v/>
      </c>
      <c r="H624" s="0" t="str">
        <f aca="false">IF(Pipeline_Sort!$C624="","",INDEX(Pipeline_Calc!$I$2:$I$5251,Pipeline_Sort!$C624))</f>
        <v/>
      </c>
      <c r="I624" s="0" t="str">
        <f aca="false">IF(Pipeline_Sort!$C624="","",INDEX(Pipeline_Calc!$J$2:$J$5251,Pipeline_Sort!$C624))</f>
        <v/>
      </c>
    </row>
    <row r="625" customFormat="false" ht="15" hidden="false" customHeight="false" outlineLevel="0" collapsed="false">
      <c r="A625" s="33" t="str">
        <f aca="false">IF(Pipeline_Sort!$C625="","",INDEX(Pipeline_Calc!$B$2:$B$5251,Pipeline_Sort!$C625))</f>
        <v/>
      </c>
      <c r="B625" s="0" t="str">
        <f aca="false">IF(Pipeline_Sort!$C625="","",INDEX(Pipeline_Calc!$C$2:$C$5251,Pipeline_Sort!$C625))</f>
        <v/>
      </c>
      <c r="C625" s="0" t="str">
        <f aca="false">IF(Pipeline_Sort!$C625="","",INDEX(Pipeline_Calc!$D$2:$D$5251,Pipeline_Sort!$C625))</f>
        <v/>
      </c>
      <c r="D625" s="0" t="str">
        <f aca="false">IF(Pipeline_Sort!$C625="","",INDEX(Pipeline_Calc!$E$2:$E$5251,Pipeline_Sort!$C625))</f>
        <v/>
      </c>
      <c r="E625" s="0" t="str">
        <f aca="false">IF(Pipeline_Sort!$C625="","",INDEX(Pipeline_Calc!$F$2:$F$5251,Pipeline_Sort!$C625))</f>
        <v/>
      </c>
      <c r="F625" s="0" t="str">
        <f aca="false">IF(Pipeline_Sort!$C625="","",INDEX(Pipeline_Calc!$G$2:$G$5251,Pipeline_Sort!$C625))</f>
        <v/>
      </c>
      <c r="G625" s="0" t="str">
        <f aca="false">IF(Pipeline_Sort!$C625="","",INDEX(Pipeline_Calc!$H$2:$H$5251,Pipeline_Sort!$C625))</f>
        <v/>
      </c>
      <c r="H625" s="0" t="str">
        <f aca="false">IF(Pipeline_Sort!$C625="","",INDEX(Pipeline_Calc!$I$2:$I$5251,Pipeline_Sort!$C625))</f>
        <v/>
      </c>
      <c r="I625" s="0" t="str">
        <f aca="false">IF(Pipeline_Sort!$C625="","",INDEX(Pipeline_Calc!$J$2:$J$5251,Pipeline_Sort!$C625))</f>
        <v/>
      </c>
    </row>
    <row r="626" customFormat="false" ht="15" hidden="false" customHeight="false" outlineLevel="0" collapsed="false">
      <c r="A626" s="33" t="str">
        <f aca="false">IF(Pipeline_Sort!$C626="","",INDEX(Pipeline_Calc!$B$2:$B$5251,Pipeline_Sort!$C626))</f>
        <v/>
      </c>
      <c r="B626" s="0" t="str">
        <f aca="false">IF(Pipeline_Sort!$C626="","",INDEX(Pipeline_Calc!$C$2:$C$5251,Pipeline_Sort!$C626))</f>
        <v/>
      </c>
      <c r="C626" s="0" t="str">
        <f aca="false">IF(Pipeline_Sort!$C626="","",INDEX(Pipeline_Calc!$D$2:$D$5251,Pipeline_Sort!$C626))</f>
        <v/>
      </c>
      <c r="D626" s="0" t="str">
        <f aca="false">IF(Pipeline_Sort!$C626="","",INDEX(Pipeline_Calc!$E$2:$E$5251,Pipeline_Sort!$C626))</f>
        <v/>
      </c>
      <c r="E626" s="0" t="str">
        <f aca="false">IF(Pipeline_Sort!$C626="","",INDEX(Pipeline_Calc!$F$2:$F$5251,Pipeline_Sort!$C626))</f>
        <v/>
      </c>
      <c r="F626" s="0" t="str">
        <f aca="false">IF(Pipeline_Sort!$C626="","",INDEX(Pipeline_Calc!$G$2:$G$5251,Pipeline_Sort!$C626))</f>
        <v/>
      </c>
      <c r="G626" s="0" t="str">
        <f aca="false">IF(Pipeline_Sort!$C626="","",INDEX(Pipeline_Calc!$H$2:$H$5251,Pipeline_Sort!$C626))</f>
        <v/>
      </c>
      <c r="H626" s="0" t="str">
        <f aca="false">IF(Pipeline_Sort!$C626="","",INDEX(Pipeline_Calc!$I$2:$I$5251,Pipeline_Sort!$C626))</f>
        <v/>
      </c>
      <c r="I626" s="0" t="str">
        <f aca="false">IF(Pipeline_Sort!$C626="","",INDEX(Pipeline_Calc!$J$2:$J$5251,Pipeline_Sort!$C626))</f>
        <v/>
      </c>
    </row>
    <row r="627" customFormat="false" ht="15" hidden="false" customHeight="false" outlineLevel="0" collapsed="false">
      <c r="A627" s="33" t="str">
        <f aca="false">IF(Pipeline_Sort!$C627="","",INDEX(Pipeline_Calc!$B$2:$B$5251,Pipeline_Sort!$C627))</f>
        <v/>
      </c>
      <c r="B627" s="0" t="str">
        <f aca="false">IF(Pipeline_Sort!$C627="","",INDEX(Pipeline_Calc!$C$2:$C$5251,Pipeline_Sort!$C627))</f>
        <v/>
      </c>
      <c r="C627" s="0" t="str">
        <f aca="false">IF(Pipeline_Sort!$C627="","",INDEX(Pipeline_Calc!$D$2:$D$5251,Pipeline_Sort!$C627))</f>
        <v/>
      </c>
      <c r="D627" s="0" t="str">
        <f aca="false">IF(Pipeline_Sort!$C627="","",INDEX(Pipeline_Calc!$E$2:$E$5251,Pipeline_Sort!$C627))</f>
        <v/>
      </c>
      <c r="E627" s="0" t="str">
        <f aca="false">IF(Pipeline_Sort!$C627="","",INDEX(Pipeline_Calc!$F$2:$F$5251,Pipeline_Sort!$C627))</f>
        <v/>
      </c>
      <c r="F627" s="0" t="str">
        <f aca="false">IF(Pipeline_Sort!$C627="","",INDEX(Pipeline_Calc!$G$2:$G$5251,Pipeline_Sort!$C627))</f>
        <v/>
      </c>
      <c r="G627" s="0" t="str">
        <f aca="false">IF(Pipeline_Sort!$C627="","",INDEX(Pipeline_Calc!$H$2:$H$5251,Pipeline_Sort!$C627))</f>
        <v/>
      </c>
      <c r="H627" s="0" t="str">
        <f aca="false">IF(Pipeline_Sort!$C627="","",INDEX(Pipeline_Calc!$I$2:$I$5251,Pipeline_Sort!$C627))</f>
        <v/>
      </c>
      <c r="I627" s="0" t="str">
        <f aca="false">IF(Pipeline_Sort!$C627="","",INDEX(Pipeline_Calc!$J$2:$J$5251,Pipeline_Sort!$C627))</f>
        <v/>
      </c>
    </row>
    <row r="628" customFormat="false" ht="15" hidden="false" customHeight="false" outlineLevel="0" collapsed="false">
      <c r="A628" s="33" t="str">
        <f aca="false">IF(Pipeline_Sort!$C628="","",INDEX(Pipeline_Calc!$B$2:$B$5251,Pipeline_Sort!$C628))</f>
        <v/>
      </c>
      <c r="B628" s="0" t="str">
        <f aca="false">IF(Pipeline_Sort!$C628="","",INDEX(Pipeline_Calc!$C$2:$C$5251,Pipeline_Sort!$C628))</f>
        <v/>
      </c>
      <c r="C628" s="0" t="str">
        <f aca="false">IF(Pipeline_Sort!$C628="","",INDEX(Pipeline_Calc!$D$2:$D$5251,Pipeline_Sort!$C628))</f>
        <v/>
      </c>
      <c r="D628" s="0" t="str">
        <f aca="false">IF(Pipeline_Sort!$C628="","",INDEX(Pipeline_Calc!$E$2:$E$5251,Pipeline_Sort!$C628))</f>
        <v/>
      </c>
      <c r="E628" s="0" t="str">
        <f aca="false">IF(Pipeline_Sort!$C628="","",INDEX(Pipeline_Calc!$F$2:$F$5251,Pipeline_Sort!$C628))</f>
        <v/>
      </c>
      <c r="F628" s="0" t="str">
        <f aca="false">IF(Pipeline_Sort!$C628="","",INDEX(Pipeline_Calc!$G$2:$G$5251,Pipeline_Sort!$C628))</f>
        <v/>
      </c>
      <c r="G628" s="0" t="str">
        <f aca="false">IF(Pipeline_Sort!$C628="","",INDEX(Pipeline_Calc!$H$2:$H$5251,Pipeline_Sort!$C628))</f>
        <v/>
      </c>
      <c r="H628" s="0" t="str">
        <f aca="false">IF(Pipeline_Sort!$C628="","",INDEX(Pipeline_Calc!$I$2:$I$5251,Pipeline_Sort!$C628))</f>
        <v/>
      </c>
      <c r="I628" s="0" t="str">
        <f aca="false">IF(Pipeline_Sort!$C628="","",INDEX(Pipeline_Calc!$J$2:$J$5251,Pipeline_Sort!$C628))</f>
        <v/>
      </c>
    </row>
    <row r="629" customFormat="false" ht="15" hidden="false" customHeight="false" outlineLevel="0" collapsed="false">
      <c r="A629" s="33" t="str">
        <f aca="false">IF(Pipeline_Sort!$C629="","",INDEX(Pipeline_Calc!$B$2:$B$5251,Pipeline_Sort!$C629))</f>
        <v/>
      </c>
      <c r="B629" s="0" t="str">
        <f aca="false">IF(Pipeline_Sort!$C629="","",INDEX(Pipeline_Calc!$C$2:$C$5251,Pipeline_Sort!$C629))</f>
        <v/>
      </c>
      <c r="C629" s="0" t="str">
        <f aca="false">IF(Pipeline_Sort!$C629="","",INDEX(Pipeline_Calc!$D$2:$D$5251,Pipeline_Sort!$C629))</f>
        <v/>
      </c>
      <c r="D629" s="0" t="str">
        <f aca="false">IF(Pipeline_Sort!$C629="","",INDEX(Pipeline_Calc!$E$2:$E$5251,Pipeline_Sort!$C629))</f>
        <v/>
      </c>
      <c r="E629" s="0" t="str">
        <f aca="false">IF(Pipeline_Sort!$C629="","",INDEX(Pipeline_Calc!$F$2:$F$5251,Pipeline_Sort!$C629))</f>
        <v/>
      </c>
      <c r="F629" s="0" t="str">
        <f aca="false">IF(Pipeline_Sort!$C629="","",INDEX(Pipeline_Calc!$G$2:$G$5251,Pipeline_Sort!$C629))</f>
        <v/>
      </c>
      <c r="G629" s="0" t="str">
        <f aca="false">IF(Pipeline_Sort!$C629="","",INDEX(Pipeline_Calc!$H$2:$H$5251,Pipeline_Sort!$C629))</f>
        <v/>
      </c>
      <c r="H629" s="0" t="str">
        <f aca="false">IF(Pipeline_Sort!$C629="","",INDEX(Pipeline_Calc!$I$2:$I$5251,Pipeline_Sort!$C629))</f>
        <v/>
      </c>
      <c r="I629" s="0" t="str">
        <f aca="false">IF(Pipeline_Sort!$C629="","",INDEX(Pipeline_Calc!$J$2:$J$5251,Pipeline_Sort!$C629))</f>
        <v/>
      </c>
    </row>
    <row r="630" customFormat="false" ht="15" hidden="false" customHeight="false" outlineLevel="0" collapsed="false">
      <c r="A630" s="33" t="str">
        <f aca="false">IF(Pipeline_Sort!$C630="","",INDEX(Pipeline_Calc!$B$2:$B$5251,Pipeline_Sort!$C630))</f>
        <v/>
      </c>
      <c r="B630" s="0" t="str">
        <f aca="false">IF(Pipeline_Sort!$C630="","",INDEX(Pipeline_Calc!$C$2:$C$5251,Pipeline_Sort!$C630))</f>
        <v/>
      </c>
      <c r="C630" s="0" t="str">
        <f aca="false">IF(Pipeline_Sort!$C630="","",INDEX(Pipeline_Calc!$D$2:$D$5251,Pipeline_Sort!$C630))</f>
        <v/>
      </c>
      <c r="D630" s="0" t="str">
        <f aca="false">IF(Pipeline_Sort!$C630="","",INDEX(Pipeline_Calc!$E$2:$E$5251,Pipeline_Sort!$C630))</f>
        <v/>
      </c>
      <c r="E630" s="0" t="str">
        <f aca="false">IF(Pipeline_Sort!$C630="","",INDEX(Pipeline_Calc!$F$2:$F$5251,Pipeline_Sort!$C630))</f>
        <v/>
      </c>
      <c r="F630" s="0" t="str">
        <f aca="false">IF(Pipeline_Sort!$C630="","",INDEX(Pipeline_Calc!$G$2:$G$5251,Pipeline_Sort!$C630))</f>
        <v/>
      </c>
      <c r="G630" s="0" t="str">
        <f aca="false">IF(Pipeline_Sort!$C630="","",INDEX(Pipeline_Calc!$H$2:$H$5251,Pipeline_Sort!$C630))</f>
        <v/>
      </c>
      <c r="H630" s="0" t="str">
        <f aca="false">IF(Pipeline_Sort!$C630="","",INDEX(Pipeline_Calc!$I$2:$I$5251,Pipeline_Sort!$C630))</f>
        <v/>
      </c>
      <c r="I630" s="0" t="str">
        <f aca="false">IF(Pipeline_Sort!$C630="","",INDEX(Pipeline_Calc!$J$2:$J$5251,Pipeline_Sort!$C630))</f>
        <v/>
      </c>
    </row>
    <row r="631" customFormat="false" ht="15" hidden="false" customHeight="false" outlineLevel="0" collapsed="false">
      <c r="A631" s="33" t="str">
        <f aca="false">IF(Pipeline_Sort!$C631="","",INDEX(Pipeline_Calc!$B$2:$B$5251,Pipeline_Sort!$C631))</f>
        <v/>
      </c>
      <c r="B631" s="0" t="str">
        <f aca="false">IF(Pipeline_Sort!$C631="","",INDEX(Pipeline_Calc!$C$2:$C$5251,Pipeline_Sort!$C631))</f>
        <v/>
      </c>
      <c r="C631" s="0" t="str">
        <f aca="false">IF(Pipeline_Sort!$C631="","",INDEX(Pipeline_Calc!$D$2:$D$5251,Pipeline_Sort!$C631))</f>
        <v/>
      </c>
      <c r="D631" s="0" t="str">
        <f aca="false">IF(Pipeline_Sort!$C631="","",INDEX(Pipeline_Calc!$E$2:$E$5251,Pipeline_Sort!$C631))</f>
        <v/>
      </c>
      <c r="E631" s="0" t="str">
        <f aca="false">IF(Pipeline_Sort!$C631="","",INDEX(Pipeline_Calc!$F$2:$F$5251,Pipeline_Sort!$C631))</f>
        <v/>
      </c>
      <c r="F631" s="0" t="str">
        <f aca="false">IF(Pipeline_Sort!$C631="","",INDEX(Pipeline_Calc!$G$2:$G$5251,Pipeline_Sort!$C631))</f>
        <v/>
      </c>
      <c r="G631" s="0" t="str">
        <f aca="false">IF(Pipeline_Sort!$C631="","",INDEX(Pipeline_Calc!$H$2:$H$5251,Pipeline_Sort!$C631))</f>
        <v/>
      </c>
      <c r="H631" s="0" t="str">
        <f aca="false">IF(Pipeline_Sort!$C631="","",INDEX(Pipeline_Calc!$I$2:$I$5251,Pipeline_Sort!$C631))</f>
        <v/>
      </c>
      <c r="I631" s="0" t="str">
        <f aca="false">IF(Pipeline_Sort!$C631="","",INDEX(Pipeline_Calc!$J$2:$J$5251,Pipeline_Sort!$C631))</f>
        <v/>
      </c>
    </row>
    <row r="632" customFormat="false" ht="15" hidden="false" customHeight="false" outlineLevel="0" collapsed="false">
      <c r="A632" s="33" t="str">
        <f aca="false">IF(Pipeline_Sort!$C632="","",INDEX(Pipeline_Calc!$B$2:$B$5251,Pipeline_Sort!$C632))</f>
        <v/>
      </c>
      <c r="B632" s="0" t="str">
        <f aca="false">IF(Pipeline_Sort!$C632="","",INDEX(Pipeline_Calc!$C$2:$C$5251,Pipeline_Sort!$C632))</f>
        <v/>
      </c>
      <c r="C632" s="0" t="str">
        <f aca="false">IF(Pipeline_Sort!$C632="","",INDEX(Pipeline_Calc!$D$2:$D$5251,Pipeline_Sort!$C632))</f>
        <v/>
      </c>
      <c r="D632" s="0" t="str">
        <f aca="false">IF(Pipeline_Sort!$C632="","",INDEX(Pipeline_Calc!$E$2:$E$5251,Pipeline_Sort!$C632))</f>
        <v/>
      </c>
      <c r="E632" s="0" t="str">
        <f aca="false">IF(Pipeline_Sort!$C632="","",INDEX(Pipeline_Calc!$F$2:$F$5251,Pipeline_Sort!$C632))</f>
        <v/>
      </c>
      <c r="F632" s="0" t="str">
        <f aca="false">IF(Pipeline_Sort!$C632="","",INDEX(Pipeline_Calc!$G$2:$G$5251,Pipeline_Sort!$C632))</f>
        <v/>
      </c>
      <c r="G632" s="0" t="str">
        <f aca="false">IF(Pipeline_Sort!$C632="","",INDEX(Pipeline_Calc!$H$2:$H$5251,Pipeline_Sort!$C632))</f>
        <v/>
      </c>
      <c r="H632" s="0" t="str">
        <f aca="false">IF(Pipeline_Sort!$C632="","",INDEX(Pipeline_Calc!$I$2:$I$5251,Pipeline_Sort!$C632))</f>
        <v/>
      </c>
      <c r="I632" s="0" t="str">
        <f aca="false">IF(Pipeline_Sort!$C632="","",INDEX(Pipeline_Calc!$J$2:$J$5251,Pipeline_Sort!$C632))</f>
        <v/>
      </c>
    </row>
    <row r="633" customFormat="false" ht="15" hidden="false" customHeight="false" outlineLevel="0" collapsed="false">
      <c r="A633" s="33" t="str">
        <f aca="false">IF(Pipeline_Sort!$C633="","",INDEX(Pipeline_Calc!$B$2:$B$5251,Pipeline_Sort!$C633))</f>
        <v/>
      </c>
      <c r="B633" s="0" t="str">
        <f aca="false">IF(Pipeline_Sort!$C633="","",INDEX(Pipeline_Calc!$C$2:$C$5251,Pipeline_Sort!$C633))</f>
        <v/>
      </c>
      <c r="C633" s="0" t="str">
        <f aca="false">IF(Pipeline_Sort!$C633="","",INDEX(Pipeline_Calc!$D$2:$D$5251,Pipeline_Sort!$C633))</f>
        <v/>
      </c>
      <c r="D633" s="0" t="str">
        <f aca="false">IF(Pipeline_Sort!$C633="","",INDEX(Pipeline_Calc!$E$2:$E$5251,Pipeline_Sort!$C633))</f>
        <v/>
      </c>
      <c r="E633" s="0" t="str">
        <f aca="false">IF(Pipeline_Sort!$C633="","",INDEX(Pipeline_Calc!$F$2:$F$5251,Pipeline_Sort!$C633))</f>
        <v/>
      </c>
      <c r="F633" s="0" t="str">
        <f aca="false">IF(Pipeline_Sort!$C633="","",INDEX(Pipeline_Calc!$G$2:$G$5251,Pipeline_Sort!$C633))</f>
        <v/>
      </c>
      <c r="G633" s="0" t="str">
        <f aca="false">IF(Pipeline_Sort!$C633="","",INDEX(Pipeline_Calc!$H$2:$H$5251,Pipeline_Sort!$C633))</f>
        <v/>
      </c>
      <c r="H633" s="0" t="str">
        <f aca="false">IF(Pipeline_Sort!$C633="","",INDEX(Pipeline_Calc!$I$2:$I$5251,Pipeline_Sort!$C633))</f>
        <v/>
      </c>
      <c r="I633" s="0" t="str">
        <f aca="false">IF(Pipeline_Sort!$C633="","",INDEX(Pipeline_Calc!$J$2:$J$5251,Pipeline_Sort!$C633))</f>
        <v/>
      </c>
    </row>
    <row r="634" customFormat="false" ht="15" hidden="false" customHeight="false" outlineLevel="0" collapsed="false">
      <c r="A634" s="33" t="str">
        <f aca="false">IF(Pipeline_Sort!$C634="","",INDEX(Pipeline_Calc!$B$2:$B$5251,Pipeline_Sort!$C634))</f>
        <v/>
      </c>
      <c r="B634" s="0" t="str">
        <f aca="false">IF(Pipeline_Sort!$C634="","",INDEX(Pipeline_Calc!$C$2:$C$5251,Pipeline_Sort!$C634))</f>
        <v/>
      </c>
      <c r="C634" s="0" t="str">
        <f aca="false">IF(Pipeline_Sort!$C634="","",INDEX(Pipeline_Calc!$D$2:$D$5251,Pipeline_Sort!$C634))</f>
        <v/>
      </c>
      <c r="D634" s="0" t="str">
        <f aca="false">IF(Pipeline_Sort!$C634="","",INDEX(Pipeline_Calc!$E$2:$E$5251,Pipeline_Sort!$C634))</f>
        <v/>
      </c>
      <c r="E634" s="0" t="str">
        <f aca="false">IF(Pipeline_Sort!$C634="","",INDEX(Pipeline_Calc!$F$2:$F$5251,Pipeline_Sort!$C634))</f>
        <v/>
      </c>
      <c r="F634" s="0" t="str">
        <f aca="false">IF(Pipeline_Sort!$C634="","",INDEX(Pipeline_Calc!$G$2:$G$5251,Pipeline_Sort!$C634))</f>
        <v/>
      </c>
      <c r="G634" s="0" t="str">
        <f aca="false">IF(Pipeline_Sort!$C634="","",INDEX(Pipeline_Calc!$H$2:$H$5251,Pipeline_Sort!$C634))</f>
        <v/>
      </c>
      <c r="H634" s="0" t="str">
        <f aca="false">IF(Pipeline_Sort!$C634="","",INDEX(Pipeline_Calc!$I$2:$I$5251,Pipeline_Sort!$C634))</f>
        <v/>
      </c>
      <c r="I634" s="0" t="str">
        <f aca="false">IF(Pipeline_Sort!$C634="","",INDEX(Pipeline_Calc!$J$2:$J$5251,Pipeline_Sort!$C634))</f>
        <v/>
      </c>
    </row>
    <row r="635" customFormat="false" ht="15" hidden="false" customHeight="false" outlineLevel="0" collapsed="false">
      <c r="A635" s="33" t="str">
        <f aca="false">IF(Pipeline_Sort!$C635="","",INDEX(Pipeline_Calc!$B$2:$B$5251,Pipeline_Sort!$C635))</f>
        <v/>
      </c>
      <c r="B635" s="0" t="str">
        <f aca="false">IF(Pipeline_Sort!$C635="","",INDEX(Pipeline_Calc!$C$2:$C$5251,Pipeline_Sort!$C635))</f>
        <v/>
      </c>
      <c r="C635" s="0" t="str">
        <f aca="false">IF(Pipeline_Sort!$C635="","",INDEX(Pipeline_Calc!$D$2:$D$5251,Pipeline_Sort!$C635))</f>
        <v/>
      </c>
      <c r="D635" s="0" t="str">
        <f aca="false">IF(Pipeline_Sort!$C635="","",INDEX(Pipeline_Calc!$E$2:$E$5251,Pipeline_Sort!$C635))</f>
        <v/>
      </c>
      <c r="E635" s="0" t="str">
        <f aca="false">IF(Pipeline_Sort!$C635="","",INDEX(Pipeline_Calc!$F$2:$F$5251,Pipeline_Sort!$C635))</f>
        <v/>
      </c>
      <c r="F635" s="0" t="str">
        <f aca="false">IF(Pipeline_Sort!$C635="","",INDEX(Pipeline_Calc!$G$2:$G$5251,Pipeline_Sort!$C635))</f>
        <v/>
      </c>
      <c r="G635" s="0" t="str">
        <f aca="false">IF(Pipeline_Sort!$C635="","",INDEX(Pipeline_Calc!$H$2:$H$5251,Pipeline_Sort!$C635))</f>
        <v/>
      </c>
      <c r="H635" s="0" t="str">
        <f aca="false">IF(Pipeline_Sort!$C635="","",INDEX(Pipeline_Calc!$I$2:$I$5251,Pipeline_Sort!$C635))</f>
        <v/>
      </c>
      <c r="I635" s="0" t="str">
        <f aca="false">IF(Pipeline_Sort!$C635="","",INDEX(Pipeline_Calc!$J$2:$J$5251,Pipeline_Sort!$C635))</f>
        <v/>
      </c>
    </row>
    <row r="636" customFormat="false" ht="15" hidden="false" customHeight="false" outlineLevel="0" collapsed="false">
      <c r="A636" s="33" t="str">
        <f aca="false">IF(Pipeline_Sort!$C636="","",INDEX(Pipeline_Calc!$B$2:$B$5251,Pipeline_Sort!$C636))</f>
        <v/>
      </c>
      <c r="B636" s="0" t="str">
        <f aca="false">IF(Pipeline_Sort!$C636="","",INDEX(Pipeline_Calc!$C$2:$C$5251,Pipeline_Sort!$C636))</f>
        <v/>
      </c>
      <c r="C636" s="0" t="str">
        <f aca="false">IF(Pipeline_Sort!$C636="","",INDEX(Pipeline_Calc!$D$2:$D$5251,Pipeline_Sort!$C636))</f>
        <v/>
      </c>
      <c r="D636" s="0" t="str">
        <f aca="false">IF(Pipeline_Sort!$C636="","",INDEX(Pipeline_Calc!$E$2:$E$5251,Pipeline_Sort!$C636))</f>
        <v/>
      </c>
      <c r="E636" s="0" t="str">
        <f aca="false">IF(Pipeline_Sort!$C636="","",INDEX(Pipeline_Calc!$F$2:$F$5251,Pipeline_Sort!$C636))</f>
        <v/>
      </c>
      <c r="F636" s="0" t="str">
        <f aca="false">IF(Pipeline_Sort!$C636="","",INDEX(Pipeline_Calc!$G$2:$G$5251,Pipeline_Sort!$C636))</f>
        <v/>
      </c>
      <c r="G636" s="0" t="str">
        <f aca="false">IF(Pipeline_Sort!$C636="","",INDEX(Pipeline_Calc!$H$2:$H$5251,Pipeline_Sort!$C636))</f>
        <v/>
      </c>
      <c r="H636" s="0" t="str">
        <f aca="false">IF(Pipeline_Sort!$C636="","",INDEX(Pipeline_Calc!$I$2:$I$5251,Pipeline_Sort!$C636))</f>
        <v/>
      </c>
      <c r="I636" s="0" t="str">
        <f aca="false">IF(Pipeline_Sort!$C636="","",INDEX(Pipeline_Calc!$J$2:$J$5251,Pipeline_Sort!$C636))</f>
        <v/>
      </c>
    </row>
    <row r="637" customFormat="false" ht="15" hidden="false" customHeight="false" outlineLevel="0" collapsed="false">
      <c r="A637" s="33" t="str">
        <f aca="false">IF(Pipeline_Sort!$C637="","",INDEX(Pipeline_Calc!$B$2:$B$5251,Pipeline_Sort!$C637))</f>
        <v/>
      </c>
      <c r="B637" s="0" t="str">
        <f aca="false">IF(Pipeline_Sort!$C637="","",INDEX(Pipeline_Calc!$C$2:$C$5251,Pipeline_Sort!$C637))</f>
        <v/>
      </c>
      <c r="C637" s="0" t="str">
        <f aca="false">IF(Pipeline_Sort!$C637="","",INDEX(Pipeline_Calc!$D$2:$D$5251,Pipeline_Sort!$C637))</f>
        <v/>
      </c>
      <c r="D637" s="0" t="str">
        <f aca="false">IF(Pipeline_Sort!$C637="","",INDEX(Pipeline_Calc!$E$2:$E$5251,Pipeline_Sort!$C637))</f>
        <v/>
      </c>
      <c r="E637" s="0" t="str">
        <f aca="false">IF(Pipeline_Sort!$C637="","",INDEX(Pipeline_Calc!$F$2:$F$5251,Pipeline_Sort!$C637))</f>
        <v/>
      </c>
      <c r="F637" s="0" t="str">
        <f aca="false">IF(Pipeline_Sort!$C637="","",INDEX(Pipeline_Calc!$G$2:$G$5251,Pipeline_Sort!$C637))</f>
        <v/>
      </c>
      <c r="G637" s="0" t="str">
        <f aca="false">IF(Pipeline_Sort!$C637="","",INDEX(Pipeline_Calc!$H$2:$H$5251,Pipeline_Sort!$C637))</f>
        <v/>
      </c>
      <c r="H637" s="0" t="str">
        <f aca="false">IF(Pipeline_Sort!$C637="","",INDEX(Pipeline_Calc!$I$2:$I$5251,Pipeline_Sort!$C637))</f>
        <v/>
      </c>
      <c r="I637" s="0" t="str">
        <f aca="false">IF(Pipeline_Sort!$C637="","",INDEX(Pipeline_Calc!$J$2:$J$5251,Pipeline_Sort!$C637))</f>
        <v/>
      </c>
    </row>
    <row r="638" customFormat="false" ht="15" hidden="false" customHeight="false" outlineLevel="0" collapsed="false">
      <c r="A638" s="33" t="str">
        <f aca="false">IF(Pipeline_Sort!$C638="","",INDEX(Pipeline_Calc!$B$2:$B$5251,Pipeline_Sort!$C638))</f>
        <v/>
      </c>
      <c r="B638" s="0" t="str">
        <f aca="false">IF(Pipeline_Sort!$C638="","",INDEX(Pipeline_Calc!$C$2:$C$5251,Pipeline_Sort!$C638))</f>
        <v/>
      </c>
      <c r="C638" s="0" t="str">
        <f aca="false">IF(Pipeline_Sort!$C638="","",INDEX(Pipeline_Calc!$D$2:$D$5251,Pipeline_Sort!$C638))</f>
        <v/>
      </c>
      <c r="D638" s="0" t="str">
        <f aca="false">IF(Pipeline_Sort!$C638="","",INDEX(Pipeline_Calc!$E$2:$E$5251,Pipeline_Sort!$C638))</f>
        <v/>
      </c>
      <c r="E638" s="0" t="str">
        <f aca="false">IF(Pipeline_Sort!$C638="","",INDEX(Pipeline_Calc!$F$2:$F$5251,Pipeline_Sort!$C638))</f>
        <v/>
      </c>
      <c r="F638" s="0" t="str">
        <f aca="false">IF(Pipeline_Sort!$C638="","",INDEX(Pipeline_Calc!$G$2:$G$5251,Pipeline_Sort!$C638))</f>
        <v/>
      </c>
      <c r="G638" s="0" t="str">
        <f aca="false">IF(Pipeline_Sort!$C638="","",INDEX(Pipeline_Calc!$H$2:$H$5251,Pipeline_Sort!$C638))</f>
        <v/>
      </c>
      <c r="H638" s="0" t="str">
        <f aca="false">IF(Pipeline_Sort!$C638="","",INDEX(Pipeline_Calc!$I$2:$I$5251,Pipeline_Sort!$C638))</f>
        <v/>
      </c>
      <c r="I638" s="0" t="str">
        <f aca="false">IF(Pipeline_Sort!$C638="","",INDEX(Pipeline_Calc!$J$2:$J$5251,Pipeline_Sort!$C638))</f>
        <v/>
      </c>
    </row>
    <row r="639" customFormat="false" ht="15" hidden="false" customHeight="false" outlineLevel="0" collapsed="false">
      <c r="A639" s="33" t="str">
        <f aca="false">IF(Pipeline_Sort!$C639="","",INDEX(Pipeline_Calc!$B$2:$B$5251,Pipeline_Sort!$C639))</f>
        <v/>
      </c>
      <c r="B639" s="0" t="str">
        <f aca="false">IF(Pipeline_Sort!$C639="","",INDEX(Pipeline_Calc!$C$2:$C$5251,Pipeline_Sort!$C639))</f>
        <v/>
      </c>
      <c r="C639" s="0" t="str">
        <f aca="false">IF(Pipeline_Sort!$C639="","",INDEX(Pipeline_Calc!$D$2:$D$5251,Pipeline_Sort!$C639))</f>
        <v/>
      </c>
      <c r="D639" s="0" t="str">
        <f aca="false">IF(Pipeline_Sort!$C639="","",INDEX(Pipeline_Calc!$E$2:$E$5251,Pipeline_Sort!$C639))</f>
        <v/>
      </c>
      <c r="E639" s="0" t="str">
        <f aca="false">IF(Pipeline_Sort!$C639="","",INDEX(Pipeline_Calc!$F$2:$F$5251,Pipeline_Sort!$C639))</f>
        <v/>
      </c>
      <c r="F639" s="0" t="str">
        <f aca="false">IF(Pipeline_Sort!$C639="","",INDEX(Pipeline_Calc!$G$2:$G$5251,Pipeline_Sort!$C639))</f>
        <v/>
      </c>
      <c r="G639" s="0" t="str">
        <f aca="false">IF(Pipeline_Sort!$C639="","",INDEX(Pipeline_Calc!$H$2:$H$5251,Pipeline_Sort!$C639))</f>
        <v/>
      </c>
      <c r="H639" s="0" t="str">
        <f aca="false">IF(Pipeline_Sort!$C639="","",INDEX(Pipeline_Calc!$I$2:$I$5251,Pipeline_Sort!$C639))</f>
        <v/>
      </c>
      <c r="I639" s="0" t="str">
        <f aca="false">IF(Pipeline_Sort!$C639="","",INDEX(Pipeline_Calc!$J$2:$J$5251,Pipeline_Sort!$C639))</f>
        <v/>
      </c>
    </row>
    <row r="640" customFormat="false" ht="15" hidden="false" customHeight="false" outlineLevel="0" collapsed="false">
      <c r="A640" s="33" t="str">
        <f aca="false">IF(Pipeline_Sort!$C640="","",INDEX(Pipeline_Calc!$B$2:$B$5251,Pipeline_Sort!$C640))</f>
        <v/>
      </c>
      <c r="B640" s="0" t="str">
        <f aca="false">IF(Pipeline_Sort!$C640="","",INDEX(Pipeline_Calc!$C$2:$C$5251,Pipeline_Sort!$C640))</f>
        <v/>
      </c>
      <c r="C640" s="0" t="str">
        <f aca="false">IF(Pipeline_Sort!$C640="","",INDEX(Pipeline_Calc!$D$2:$D$5251,Pipeline_Sort!$C640))</f>
        <v/>
      </c>
      <c r="D640" s="0" t="str">
        <f aca="false">IF(Pipeline_Sort!$C640="","",INDEX(Pipeline_Calc!$E$2:$E$5251,Pipeline_Sort!$C640))</f>
        <v/>
      </c>
      <c r="E640" s="0" t="str">
        <f aca="false">IF(Pipeline_Sort!$C640="","",INDEX(Pipeline_Calc!$F$2:$F$5251,Pipeline_Sort!$C640))</f>
        <v/>
      </c>
      <c r="F640" s="0" t="str">
        <f aca="false">IF(Pipeline_Sort!$C640="","",INDEX(Pipeline_Calc!$G$2:$G$5251,Pipeline_Sort!$C640))</f>
        <v/>
      </c>
      <c r="G640" s="0" t="str">
        <f aca="false">IF(Pipeline_Sort!$C640="","",INDEX(Pipeline_Calc!$H$2:$H$5251,Pipeline_Sort!$C640))</f>
        <v/>
      </c>
      <c r="H640" s="0" t="str">
        <f aca="false">IF(Pipeline_Sort!$C640="","",INDEX(Pipeline_Calc!$I$2:$I$5251,Pipeline_Sort!$C640))</f>
        <v/>
      </c>
      <c r="I640" s="0" t="str">
        <f aca="false">IF(Pipeline_Sort!$C640="","",INDEX(Pipeline_Calc!$J$2:$J$5251,Pipeline_Sort!$C640))</f>
        <v/>
      </c>
    </row>
    <row r="641" customFormat="false" ht="15" hidden="false" customHeight="false" outlineLevel="0" collapsed="false">
      <c r="A641" s="33" t="str">
        <f aca="false">IF(Pipeline_Sort!$C641="","",INDEX(Pipeline_Calc!$B$2:$B$5251,Pipeline_Sort!$C641))</f>
        <v/>
      </c>
      <c r="B641" s="0" t="str">
        <f aca="false">IF(Pipeline_Sort!$C641="","",INDEX(Pipeline_Calc!$C$2:$C$5251,Pipeline_Sort!$C641))</f>
        <v/>
      </c>
      <c r="C641" s="0" t="str">
        <f aca="false">IF(Pipeline_Sort!$C641="","",INDEX(Pipeline_Calc!$D$2:$D$5251,Pipeline_Sort!$C641))</f>
        <v/>
      </c>
      <c r="D641" s="0" t="str">
        <f aca="false">IF(Pipeline_Sort!$C641="","",INDEX(Pipeline_Calc!$E$2:$E$5251,Pipeline_Sort!$C641))</f>
        <v/>
      </c>
      <c r="E641" s="0" t="str">
        <f aca="false">IF(Pipeline_Sort!$C641="","",INDEX(Pipeline_Calc!$F$2:$F$5251,Pipeline_Sort!$C641))</f>
        <v/>
      </c>
      <c r="F641" s="0" t="str">
        <f aca="false">IF(Pipeline_Sort!$C641="","",INDEX(Pipeline_Calc!$G$2:$G$5251,Pipeline_Sort!$C641))</f>
        <v/>
      </c>
      <c r="G641" s="0" t="str">
        <f aca="false">IF(Pipeline_Sort!$C641="","",INDEX(Pipeline_Calc!$H$2:$H$5251,Pipeline_Sort!$C641))</f>
        <v/>
      </c>
      <c r="H641" s="0" t="str">
        <f aca="false">IF(Pipeline_Sort!$C641="","",INDEX(Pipeline_Calc!$I$2:$I$5251,Pipeline_Sort!$C641))</f>
        <v/>
      </c>
      <c r="I641" s="0" t="str">
        <f aca="false">IF(Pipeline_Sort!$C641="","",INDEX(Pipeline_Calc!$J$2:$J$5251,Pipeline_Sort!$C641))</f>
        <v/>
      </c>
    </row>
    <row r="642" customFormat="false" ht="15" hidden="false" customHeight="false" outlineLevel="0" collapsed="false">
      <c r="A642" s="33" t="str">
        <f aca="false">IF(Pipeline_Sort!$C642="","",INDEX(Pipeline_Calc!$B$2:$B$5251,Pipeline_Sort!$C642))</f>
        <v/>
      </c>
      <c r="B642" s="0" t="str">
        <f aca="false">IF(Pipeline_Sort!$C642="","",INDEX(Pipeline_Calc!$C$2:$C$5251,Pipeline_Sort!$C642))</f>
        <v/>
      </c>
      <c r="C642" s="0" t="str">
        <f aca="false">IF(Pipeline_Sort!$C642="","",INDEX(Pipeline_Calc!$D$2:$D$5251,Pipeline_Sort!$C642))</f>
        <v/>
      </c>
      <c r="D642" s="0" t="str">
        <f aca="false">IF(Pipeline_Sort!$C642="","",INDEX(Pipeline_Calc!$E$2:$E$5251,Pipeline_Sort!$C642))</f>
        <v/>
      </c>
      <c r="E642" s="0" t="str">
        <f aca="false">IF(Pipeline_Sort!$C642="","",INDEX(Pipeline_Calc!$F$2:$F$5251,Pipeline_Sort!$C642))</f>
        <v/>
      </c>
      <c r="F642" s="0" t="str">
        <f aca="false">IF(Pipeline_Sort!$C642="","",INDEX(Pipeline_Calc!$G$2:$G$5251,Pipeline_Sort!$C642))</f>
        <v/>
      </c>
      <c r="G642" s="0" t="str">
        <f aca="false">IF(Pipeline_Sort!$C642="","",INDEX(Pipeline_Calc!$H$2:$H$5251,Pipeline_Sort!$C642))</f>
        <v/>
      </c>
      <c r="H642" s="0" t="str">
        <f aca="false">IF(Pipeline_Sort!$C642="","",INDEX(Pipeline_Calc!$I$2:$I$5251,Pipeline_Sort!$C642))</f>
        <v/>
      </c>
      <c r="I642" s="0" t="str">
        <f aca="false">IF(Pipeline_Sort!$C642="","",INDEX(Pipeline_Calc!$J$2:$J$5251,Pipeline_Sort!$C642))</f>
        <v/>
      </c>
    </row>
    <row r="643" customFormat="false" ht="15" hidden="false" customHeight="false" outlineLevel="0" collapsed="false">
      <c r="A643" s="33" t="str">
        <f aca="false">IF(Pipeline_Sort!$C643="","",INDEX(Pipeline_Calc!$B$2:$B$5251,Pipeline_Sort!$C643))</f>
        <v/>
      </c>
      <c r="B643" s="0" t="str">
        <f aca="false">IF(Pipeline_Sort!$C643="","",INDEX(Pipeline_Calc!$C$2:$C$5251,Pipeline_Sort!$C643))</f>
        <v/>
      </c>
      <c r="C643" s="0" t="str">
        <f aca="false">IF(Pipeline_Sort!$C643="","",INDEX(Pipeline_Calc!$D$2:$D$5251,Pipeline_Sort!$C643))</f>
        <v/>
      </c>
      <c r="D643" s="0" t="str">
        <f aca="false">IF(Pipeline_Sort!$C643="","",INDEX(Pipeline_Calc!$E$2:$E$5251,Pipeline_Sort!$C643))</f>
        <v/>
      </c>
      <c r="E643" s="0" t="str">
        <f aca="false">IF(Pipeline_Sort!$C643="","",INDEX(Pipeline_Calc!$F$2:$F$5251,Pipeline_Sort!$C643))</f>
        <v/>
      </c>
      <c r="F643" s="0" t="str">
        <f aca="false">IF(Pipeline_Sort!$C643="","",INDEX(Pipeline_Calc!$G$2:$G$5251,Pipeline_Sort!$C643))</f>
        <v/>
      </c>
      <c r="G643" s="0" t="str">
        <f aca="false">IF(Pipeline_Sort!$C643="","",INDEX(Pipeline_Calc!$H$2:$H$5251,Pipeline_Sort!$C643))</f>
        <v/>
      </c>
      <c r="H643" s="0" t="str">
        <f aca="false">IF(Pipeline_Sort!$C643="","",INDEX(Pipeline_Calc!$I$2:$I$5251,Pipeline_Sort!$C643))</f>
        <v/>
      </c>
      <c r="I643" s="0" t="str">
        <f aca="false">IF(Pipeline_Sort!$C643="","",INDEX(Pipeline_Calc!$J$2:$J$5251,Pipeline_Sort!$C643))</f>
        <v/>
      </c>
    </row>
    <row r="644" customFormat="false" ht="15" hidden="false" customHeight="false" outlineLevel="0" collapsed="false">
      <c r="A644" s="33" t="str">
        <f aca="false">IF(Pipeline_Sort!$C644="","",INDEX(Pipeline_Calc!$B$2:$B$5251,Pipeline_Sort!$C644))</f>
        <v/>
      </c>
      <c r="B644" s="0" t="str">
        <f aca="false">IF(Pipeline_Sort!$C644="","",INDEX(Pipeline_Calc!$C$2:$C$5251,Pipeline_Sort!$C644))</f>
        <v/>
      </c>
      <c r="C644" s="0" t="str">
        <f aca="false">IF(Pipeline_Sort!$C644="","",INDEX(Pipeline_Calc!$D$2:$D$5251,Pipeline_Sort!$C644))</f>
        <v/>
      </c>
      <c r="D644" s="0" t="str">
        <f aca="false">IF(Pipeline_Sort!$C644="","",INDEX(Pipeline_Calc!$E$2:$E$5251,Pipeline_Sort!$C644))</f>
        <v/>
      </c>
      <c r="E644" s="0" t="str">
        <f aca="false">IF(Pipeline_Sort!$C644="","",INDEX(Pipeline_Calc!$F$2:$F$5251,Pipeline_Sort!$C644))</f>
        <v/>
      </c>
      <c r="F644" s="0" t="str">
        <f aca="false">IF(Pipeline_Sort!$C644="","",INDEX(Pipeline_Calc!$G$2:$G$5251,Pipeline_Sort!$C644))</f>
        <v/>
      </c>
      <c r="G644" s="0" t="str">
        <f aca="false">IF(Pipeline_Sort!$C644="","",INDEX(Pipeline_Calc!$H$2:$H$5251,Pipeline_Sort!$C644))</f>
        <v/>
      </c>
      <c r="H644" s="0" t="str">
        <f aca="false">IF(Pipeline_Sort!$C644="","",INDEX(Pipeline_Calc!$I$2:$I$5251,Pipeline_Sort!$C644))</f>
        <v/>
      </c>
      <c r="I644" s="0" t="str">
        <f aca="false">IF(Pipeline_Sort!$C644="","",INDEX(Pipeline_Calc!$J$2:$J$5251,Pipeline_Sort!$C644))</f>
        <v/>
      </c>
    </row>
    <row r="645" customFormat="false" ht="15" hidden="false" customHeight="false" outlineLevel="0" collapsed="false">
      <c r="A645" s="33" t="str">
        <f aca="false">IF(Pipeline_Sort!$C645="","",INDEX(Pipeline_Calc!$B$2:$B$5251,Pipeline_Sort!$C645))</f>
        <v/>
      </c>
      <c r="B645" s="0" t="str">
        <f aca="false">IF(Pipeline_Sort!$C645="","",INDEX(Pipeline_Calc!$C$2:$C$5251,Pipeline_Sort!$C645))</f>
        <v/>
      </c>
      <c r="C645" s="0" t="str">
        <f aca="false">IF(Pipeline_Sort!$C645="","",INDEX(Pipeline_Calc!$D$2:$D$5251,Pipeline_Sort!$C645))</f>
        <v/>
      </c>
      <c r="D645" s="0" t="str">
        <f aca="false">IF(Pipeline_Sort!$C645="","",INDEX(Pipeline_Calc!$E$2:$E$5251,Pipeline_Sort!$C645))</f>
        <v/>
      </c>
      <c r="E645" s="0" t="str">
        <f aca="false">IF(Pipeline_Sort!$C645="","",INDEX(Pipeline_Calc!$F$2:$F$5251,Pipeline_Sort!$C645))</f>
        <v/>
      </c>
      <c r="F645" s="0" t="str">
        <f aca="false">IF(Pipeline_Sort!$C645="","",INDEX(Pipeline_Calc!$G$2:$G$5251,Pipeline_Sort!$C645))</f>
        <v/>
      </c>
      <c r="G645" s="0" t="str">
        <f aca="false">IF(Pipeline_Sort!$C645="","",INDEX(Pipeline_Calc!$H$2:$H$5251,Pipeline_Sort!$C645))</f>
        <v/>
      </c>
      <c r="H645" s="0" t="str">
        <f aca="false">IF(Pipeline_Sort!$C645="","",INDEX(Pipeline_Calc!$I$2:$I$5251,Pipeline_Sort!$C645))</f>
        <v/>
      </c>
      <c r="I645" s="0" t="str">
        <f aca="false">IF(Pipeline_Sort!$C645="","",INDEX(Pipeline_Calc!$J$2:$J$5251,Pipeline_Sort!$C645))</f>
        <v/>
      </c>
    </row>
    <row r="646" customFormat="false" ht="15" hidden="false" customHeight="false" outlineLevel="0" collapsed="false">
      <c r="A646" s="33" t="str">
        <f aca="false">IF(Pipeline_Sort!$C646="","",INDEX(Pipeline_Calc!$B$2:$B$5251,Pipeline_Sort!$C646))</f>
        <v/>
      </c>
      <c r="B646" s="0" t="str">
        <f aca="false">IF(Pipeline_Sort!$C646="","",INDEX(Pipeline_Calc!$C$2:$C$5251,Pipeline_Sort!$C646))</f>
        <v/>
      </c>
      <c r="C646" s="0" t="str">
        <f aca="false">IF(Pipeline_Sort!$C646="","",INDEX(Pipeline_Calc!$D$2:$D$5251,Pipeline_Sort!$C646))</f>
        <v/>
      </c>
      <c r="D646" s="0" t="str">
        <f aca="false">IF(Pipeline_Sort!$C646="","",INDEX(Pipeline_Calc!$E$2:$E$5251,Pipeline_Sort!$C646))</f>
        <v/>
      </c>
      <c r="E646" s="0" t="str">
        <f aca="false">IF(Pipeline_Sort!$C646="","",INDEX(Pipeline_Calc!$F$2:$F$5251,Pipeline_Sort!$C646))</f>
        <v/>
      </c>
      <c r="F646" s="0" t="str">
        <f aca="false">IF(Pipeline_Sort!$C646="","",INDEX(Pipeline_Calc!$G$2:$G$5251,Pipeline_Sort!$C646))</f>
        <v/>
      </c>
      <c r="G646" s="0" t="str">
        <f aca="false">IF(Pipeline_Sort!$C646="","",INDEX(Pipeline_Calc!$H$2:$H$5251,Pipeline_Sort!$C646))</f>
        <v/>
      </c>
      <c r="H646" s="0" t="str">
        <f aca="false">IF(Pipeline_Sort!$C646="","",INDEX(Pipeline_Calc!$I$2:$I$5251,Pipeline_Sort!$C646))</f>
        <v/>
      </c>
      <c r="I646" s="0" t="str">
        <f aca="false">IF(Pipeline_Sort!$C646="","",INDEX(Pipeline_Calc!$J$2:$J$5251,Pipeline_Sort!$C646))</f>
        <v/>
      </c>
    </row>
    <row r="647" customFormat="false" ht="15" hidden="false" customHeight="false" outlineLevel="0" collapsed="false">
      <c r="A647" s="33" t="str">
        <f aca="false">IF(Pipeline_Sort!$C647="","",INDEX(Pipeline_Calc!$B$2:$B$5251,Pipeline_Sort!$C647))</f>
        <v/>
      </c>
      <c r="B647" s="0" t="str">
        <f aca="false">IF(Pipeline_Sort!$C647="","",INDEX(Pipeline_Calc!$C$2:$C$5251,Pipeline_Sort!$C647))</f>
        <v/>
      </c>
      <c r="C647" s="0" t="str">
        <f aca="false">IF(Pipeline_Sort!$C647="","",INDEX(Pipeline_Calc!$D$2:$D$5251,Pipeline_Sort!$C647))</f>
        <v/>
      </c>
      <c r="D647" s="0" t="str">
        <f aca="false">IF(Pipeline_Sort!$C647="","",INDEX(Pipeline_Calc!$E$2:$E$5251,Pipeline_Sort!$C647))</f>
        <v/>
      </c>
      <c r="E647" s="0" t="str">
        <f aca="false">IF(Pipeline_Sort!$C647="","",INDEX(Pipeline_Calc!$F$2:$F$5251,Pipeline_Sort!$C647))</f>
        <v/>
      </c>
      <c r="F647" s="0" t="str">
        <f aca="false">IF(Pipeline_Sort!$C647="","",INDEX(Pipeline_Calc!$G$2:$G$5251,Pipeline_Sort!$C647))</f>
        <v/>
      </c>
      <c r="G647" s="0" t="str">
        <f aca="false">IF(Pipeline_Sort!$C647="","",INDEX(Pipeline_Calc!$H$2:$H$5251,Pipeline_Sort!$C647))</f>
        <v/>
      </c>
      <c r="H647" s="0" t="str">
        <f aca="false">IF(Pipeline_Sort!$C647="","",INDEX(Pipeline_Calc!$I$2:$I$5251,Pipeline_Sort!$C647))</f>
        <v/>
      </c>
      <c r="I647" s="0" t="str">
        <f aca="false">IF(Pipeline_Sort!$C647="","",INDEX(Pipeline_Calc!$J$2:$J$5251,Pipeline_Sort!$C647))</f>
        <v/>
      </c>
    </row>
    <row r="648" customFormat="false" ht="15" hidden="false" customHeight="false" outlineLevel="0" collapsed="false">
      <c r="A648" s="33" t="str">
        <f aca="false">IF(Pipeline_Sort!$C648="","",INDEX(Pipeline_Calc!$B$2:$B$5251,Pipeline_Sort!$C648))</f>
        <v/>
      </c>
      <c r="B648" s="0" t="str">
        <f aca="false">IF(Pipeline_Sort!$C648="","",INDEX(Pipeline_Calc!$C$2:$C$5251,Pipeline_Sort!$C648))</f>
        <v/>
      </c>
      <c r="C648" s="0" t="str">
        <f aca="false">IF(Pipeline_Sort!$C648="","",INDEX(Pipeline_Calc!$D$2:$D$5251,Pipeline_Sort!$C648))</f>
        <v/>
      </c>
      <c r="D648" s="0" t="str">
        <f aca="false">IF(Pipeline_Sort!$C648="","",INDEX(Pipeline_Calc!$E$2:$E$5251,Pipeline_Sort!$C648))</f>
        <v/>
      </c>
      <c r="E648" s="0" t="str">
        <f aca="false">IF(Pipeline_Sort!$C648="","",INDEX(Pipeline_Calc!$F$2:$F$5251,Pipeline_Sort!$C648))</f>
        <v/>
      </c>
      <c r="F648" s="0" t="str">
        <f aca="false">IF(Pipeline_Sort!$C648="","",INDEX(Pipeline_Calc!$G$2:$G$5251,Pipeline_Sort!$C648))</f>
        <v/>
      </c>
      <c r="G648" s="0" t="str">
        <f aca="false">IF(Pipeline_Sort!$C648="","",INDEX(Pipeline_Calc!$H$2:$H$5251,Pipeline_Sort!$C648))</f>
        <v/>
      </c>
      <c r="H648" s="0" t="str">
        <f aca="false">IF(Pipeline_Sort!$C648="","",INDEX(Pipeline_Calc!$I$2:$I$5251,Pipeline_Sort!$C648))</f>
        <v/>
      </c>
      <c r="I648" s="0" t="str">
        <f aca="false">IF(Pipeline_Sort!$C648="","",INDEX(Pipeline_Calc!$J$2:$J$5251,Pipeline_Sort!$C648))</f>
        <v/>
      </c>
    </row>
    <row r="649" customFormat="false" ht="15" hidden="false" customHeight="false" outlineLevel="0" collapsed="false">
      <c r="A649" s="33" t="str">
        <f aca="false">IF(Pipeline_Sort!$C649="","",INDEX(Pipeline_Calc!$B$2:$B$5251,Pipeline_Sort!$C649))</f>
        <v/>
      </c>
      <c r="B649" s="0" t="str">
        <f aca="false">IF(Pipeline_Sort!$C649="","",INDEX(Pipeline_Calc!$C$2:$C$5251,Pipeline_Sort!$C649))</f>
        <v/>
      </c>
      <c r="C649" s="0" t="str">
        <f aca="false">IF(Pipeline_Sort!$C649="","",INDEX(Pipeline_Calc!$D$2:$D$5251,Pipeline_Sort!$C649))</f>
        <v/>
      </c>
      <c r="D649" s="0" t="str">
        <f aca="false">IF(Pipeline_Sort!$C649="","",INDEX(Pipeline_Calc!$E$2:$E$5251,Pipeline_Sort!$C649))</f>
        <v/>
      </c>
      <c r="E649" s="0" t="str">
        <f aca="false">IF(Pipeline_Sort!$C649="","",INDEX(Pipeline_Calc!$F$2:$F$5251,Pipeline_Sort!$C649))</f>
        <v/>
      </c>
      <c r="F649" s="0" t="str">
        <f aca="false">IF(Pipeline_Sort!$C649="","",INDEX(Pipeline_Calc!$G$2:$G$5251,Pipeline_Sort!$C649))</f>
        <v/>
      </c>
      <c r="G649" s="0" t="str">
        <f aca="false">IF(Pipeline_Sort!$C649="","",INDEX(Pipeline_Calc!$H$2:$H$5251,Pipeline_Sort!$C649))</f>
        <v/>
      </c>
      <c r="H649" s="0" t="str">
        <f aca="false">IF(Pipeline_Sort!$C649="","",INDEX(Pipeline_Calc!$I$2:$I$5251,Pipeline_Sort!$C649))</f>
        <v/>
      </c>
      <c r="I649" s="0" t="str">
        <f aca="false">IF(Pipeline_Sort!$C649="","",INDEX(Pipeline_Calc!$J$2:$J$5251,Pipeline_Sort!$C649))</f>
        <v/>
      </c>
    </row>
    <row r="650" customFormat="false" ht="15" hidden="false" customHeight="false" outlineLevel="0" collapsed="false">
      <c r="A650" s="33" t="str">
        <f aca="false">IF(Pipeline_Sort!$C650="","",INDEX(Pipeline_Calc!$B$2:$B$5251,Pipeline_Sort!$C650))</f>
        <v/>
      </c>
      <c r="B650" s="0" t="str">
        <f aca="false">IF(Pipeline_Sort!$C650="","",INDEX(Pipeline_Calc!$C$2:$C$5251,Pipeline_Sort!$C650))</f>
        <v/>
      </c>
      <c r="C650" s="0" t="str">
        <f aca="false">IF(Pipeline_Sort!$C650="","",INDEX(Pipeline_Calc!$D$2:$D$5251,Pipeline_Sort!$C650))</f>
        <v/>
      </c>
      <c r="D650" s="0" t="str">
        <f aca="false">IF(Pipeline_Sort!$C650="","",INDEX(Pipeline_Calc!$E$2:$E$5251,Pipeline_Sort!$C650))</f>
        <v/>
      </c>
      <c r="E650" s="0" t="str">
        <f aca="false">IF(Pipeline_Sort!$C650="","",INDEX(Pipeline_Calc!$F$2:$F$5251,Pipeline_Sort!$C650))</f>
        <v/>
      </c>
      <c r="F650" s="0" t="str">
        <f aca="false">IF(Pipeline_Sort!$C650="","",INDEX(Pipeline_Calc!$G$2:$G$5251,Pipeline_Sort!$C650))</f>
        <v/>
      </c>
      <c r="G650" s="0" t="str">
        <f aca="false">IF(Pipeline_Sort!$C650="","",INDEX(Pipeline_Calc!$H$2:$H$5251,Pipeline_Sort!$C650))</f>
        <v/>
      </c>
      <c r="H650" s="0" t="str">
        <f aca="false">IF(Pipeline_Sort!$C650="","",INDEX(Pipeline_Calc!$I$2:$I$5251,Pipeline_Sort!$C650))</f>
        <v/>
      </c>
      <c r="I650" s="0" t="str">
        <f aca="false">IF(Pipeline_Sort!$C650="","",INDEX(Pipeline_Calc!$J$2:$J$5251,Pipeline_Sort!$C650))</f>
        <v/>
      </c>
    </row>
    <row r="651" customFormat="false" ht="15" hidden="false" customHeight="false" outlineLevel="0" collapsed="false">
      <c r="A651" s="33" t="str">
        <f aca="false">IF(Pipeline_Sort!$C651="","",INDEX(Pipeline_Calc!$B$2:$B$5251,Pipeline_Sort!$C651))</f>
        <v/>
      </c>
      <c r="B651" s="0" t="str">
        <f aca="false">IF(Pipeline_Sort!$C651="","",INDEX(Pipeline_Calc!$C$2:$C$5251,Pipeline_Sort!$C651))</f>
        <v/>
      </c>
      <c r="C651" s="0" t="str">
        <f aca="false">IF(Pipeline_Sort!$C651="","",INDEX(Pipeline_Calc!$D$2:$D$5251,Pipeline_Sort!$C651))</f>
        <v/>
      </c>
      <c r="D651" s="0" t="str">
        <f aca="false">IF(Pipeline_Sort!$C651="","",INDEX(Pipeline_Calc!$E$2:$E$5251,Pipeline_Sort!$C651))</f>
        <v/>
      </c>
      <c r="E651" s="0" t="str">
        <f aca="false">IF(Pipeline_Sort!$C651="","",INDEX(Pipeline_Calc!$F$2:$F$5251,Pipeline_Sort!$C651))</f>
        <v/>
      </c>
      <c r="F651" s="0" t="str">
        <f aca="false">IF(Pipeline_Sort!$C651="","",INDEX(Pipeline_Calc!$G$2:$G$5251,Pipeline_Sort!$C651))</f>
        <v/>
      </c>
      <c r="G651" s="0" t="str">
        <f aca="false">IF(Pipeline_Sort!$C651="","",INDEX(Pipeline_Calc!$H$2:$H$5251,Pipeline_Sort!$C651))</f>
        <v/>
      </c>
      <c r="H651" s="0" t="str">
        <f aca="false">IF(Pipeline_Sort!$C651="","",INDEX(Pipeline_Calc!$I$2:$I$5251,Pipeline_Sort!$C651))</f>
        <v/>
      </c>
      <c r="I651" s="0" t="str">
        <f aca="false">IF(Pipeline_Sort!$C651="","",INDEX(Pipeline_Calc!$J$2:$J$5251,Pipeline_Sort!$C651))</f>
        <v/>
      </c>
    </row>
    <row r="652" customFormat="false" ht="15" hidden="false" customHeight="false" outlineLevel="0" collapsed="false">
      <c r="A652" s="33" t="str">
        <f aca="false">IF(Pipeline_Sort!$C652="","",INDEX(Pipeline_Calc!$B$2:$B$5251,Pipeline_Sort!$C652))</f>
        <v/>
      </c>
      <c r="B652" s="0" t="str">
        <f aca="false">IF(Pipeline_Sort!$C652="","",INDEX(Pipeline_Calc!$C$2:$C$5251,Pipeline_Sort!$C652))</f>
        <v/>
      </c>
      <c r="C652" s="0" t="str">
        <f aca="false">IF(Pipeline_Sort!$C652="","",INDEX(Pipeline_Calc!$D$2:$D$5251,Pipeline_Sort!$C652))</f>
        <v/>
      </c>
      <c r="D652" s="0" t="str">
        <f aca="false">IF(Pipeline_Sort!$C652="","",INDEX(Pipeline_Calc!$E$2:$E$5251,Pipeline_Sort!$C652))</f>
        <v/>
      </c>
      <c r="E652" s="0" t="str">
        <f aca="false">IF(Pipeline_Sort!$C652="","",INDEX(Pipeline_Calc!$F$2:$F$5251,Pipeline_Sort!$C652))</f>
        <v/>
      </c>
      <c r="F652" s="0" t="str">
        <f aca="false">IF(Pipeline_Sort!$C652="","",INDEX(Pipeline_Calc!$G$2:$G$5251,Pipeline_Sort!$C652))</f>
        <v/>
      </c>
      <c r="G652" s="0" t="str">
        <f aca="false">IF(Pipeline_Sort!$C652="","",INDEX(Pipeline_Calc!$H$2:$H$5251,Pipeline_Sort!$C652))</f>
        <v/>
      </c>
      <c r="H652" s="0" t="str">
        <f aca="false">IF(Pipeline_Sort!$C652="","",INDEX(Pipeline_Calc!$I$2:$I$5251,Pipeline_Sort!$C652))</f>
        <v/>
      </c>
      <c r="I652" s="0" t="str">
        <f aca="false">IF(Pipeline_Sort!$C652="","",INDEX(Pipeline_Calc!$J$2:$J$5251,Pipeline_Sort!$C652))</f>
        <v/>
      </c>
    </row>
    <row r="653" customFormat="false" ht="15" hidden="false" customHeight="false" outlineLevel="0" collapsed="false">
      <c r="A653" s="33" t="str">
        <f aca="false">IF(Pipeline_Sort!$C653="","",INDEX(Pipeline_Calc!$B$2:$B$5251,Pipeline_Sort!$C653))</f>
        <v/>
      </c>
      <c r="B653" s="0" t="str">
        <f aca="false">IF(Pipeline_Sort!$C653="","",INDEX(Pipeline_Calc!$C$2:$C$5251,Pipeline_Sort!$C653))</f>
        <v/>
      </c>
      <c r="C653" s="0" t="str">
        <f aca="false">IF(Pipeline_Sort!$C653="","",INDEX(Pipeline_Calc!$D$2:$D$5251,Pipeline_Sort!$C653))</f>
        <v/>
      </c>
      <c r="D653" s="0" t="str">
        <f aca="false">IF(Pipeline_Sort!$C653="","",INDEX(Pipeline_Calc!$E$2:$E$5251,Pipeline_Sort!$C653))</f>
        <v/>
      </c>
      <c r="E653" s="0" t="str">
        <f aca="false">IF(Pipeline_Sort!$C653="","",INDEX(Pipeline_Calc!$F$2:$F$5251,Pipeline_Sort!$C653))</f>
        <v/>
      </c>
      <c r="F653" s="0" t="str">
        <f aca="false">IF(Pipeline_Sort!$C653="","",INDEX(Pipeline_Calc!$G$2:$G$5251,Pipeline_Sort!$C653))</f>
        <v/>
      </c>
      <c r="G653" s="0" t="str">
        <f aca="false">IF(Pipeline_Sort!$C653="","",INDEX(Pipeline_Calc!$H$2:$H$5251,Pipeline_Sort!$C653))</f>
        <v/>
      </c>
      <c r="H653" s="0" t="str">
        <f aca="false">IF(Pipeline_Sort!$C653="","",INDEX(Pipeline_Calc!$I$2:$I$5251,Pipeline_Sort!$C653))</f>
        <v/>
      </c>
      <c r="I653" s="0" t="str">
        <f aca="false">IF(Pipeline_Sort!$C653="","",INDEX(Pipeline_Calc!$J$2:$J$5251,Pipeline_Sort!$C653))</f>
        <v/>
      </c>
    </row>
    <row r="654" customFormat="false" ht="15" hidden="false" customHeight="false" outlineLevel="0" collapsed="false">
      <c r="A654" s="33" t="str">
        <f aca="false">IF(Pipeline_Sort!$C654="","",INDEX(Pipeline_Calc!$B$2:$B$5251,Pipeline_Sort!$C654))</f>
        <v/>
      </c>
      <c r="B654" s="0" t="str">
        <f aca="false">IF(Pipeline_Sort!$C654="","",INDEX(Pipeline_Calc!$C$2:$C$5251,Pipeline_Sort!$C654))</f>
        <v/>
      </c>
      <c r="C654" s="0" t="str">
        <f aca="false">IF(Pipeline_Sort!$C654="","",INDEX(Pipeline_Calc!$D$2:$D$5251,Pipeline_Sort!$C654))</f>
        <v/>
      </c>
      <c r="D654" s="0" t="str">
        <f aca="false">IF(Pipeline_Sort!$C654="","",INDEX(Pipeline_Calc!$E$2:$E$5251,Pipeline_Sort!$C654))</f>
        <v/>
      </c>
      <c r="E654" s="0" t="str">
        <f aca="false">IF(Pipeline_Sort!$C654="","",INDEX(Pipeline_Calc!$F$2:$F$5251,Pipeline_Sort!$C654))</f>
        <v/>
      </c>
      <c r="F654" s="0" t="str">
        <f aca="false">IF(Pipeline_Sort!$C654="","",INDEX(Pipeline_Calc!$G$2:$G$5251,Pipeline_Sort!$C654))</f>
        <v/>
      </c>
      <c r="G654" s="0" t="str">
        <f aca="false">IF(Pipeline_Sort!$C654="","",INDEX(Pipeline_Calc!$H$2:$H$5251,Pipeline_Sort!$C654))</f>
        <v/>
      </c>
      <c r="H654" s="0" t="str">
        <f aca="false">IF(Pipeline_Sort!$C654="","",INDEX(Pipeline_Calc!$I$2:$I$5251,Pipeline_Sort!$C654))</f>
        <v/>
      </c>
      <c r="I654" s="0" t="str">
        <f aca="false">IF(Pipeline_Sort!$C654="","",INDEX(Pipeline_Calc!$J$2:$J$5251,Pipeline_Sort!$C654))</f>
        <v/>
      </c>
    </row>
    <row r="655" customFormat="false" ht="15" hidden="false" customHeight="false" outlineLevel="0" collapsed="false">
      <c r="A655" s="33" t="str">
        <f aca="false">IF(Pipeline_Sort!$C655="","",INDEX(Pipeline_Calc!$B$2:$B$5251,Pipeline_Sort!$C655))</f>
        <v/>
      </c>
      <c r="B655" s="0" t="str">
        <f aca="false">IF(Pipeline_Sort!$C655="","",INDEX(Pipeline_Calc!$C$2:$C$5251,Pipeline_Sort!$C655))</f>
        <v/>
      </c>
      <c r="C655" s="0" t="str">
        <f aca="false">IF(Pipeline_Sort!$C655="","",INDEX(Pipeline_Calc!$D$2:$D$5251,Pipeline_Sort!$C655))</f>
        <v/>
      </c>
      <c r="D655" s="0" t="str">
        <f aca="false">IF(Pipeline_Sort!$C655="","",INDEX(Pipeline_Calc!$E$2:$E$5251,Pipeline_Sort!$C655))</f>
        <v/>
      </c>
      <c r="E655" s="0" t="str">
        <f aca="false">IF(Pipeline_Sort!$C655="","",INDEX(Pipeline_Calc!$F$2:$F$5251,Pipeline_Sort!$C655))</f>
        <v/>
      </c>
      <c r="F655" s="0" t="str">
        <f aca="false">IF(Pipeline_Sort!$C655="","",INDEX(Pipeline_Calc!$G$2:$G$5251,Pipeline_Sort!$C655))</f>
        <v/>
      </c>
      <c r="G655" s="0" t="str">
        <f aca="false">IF(Pipeline_Sort!$C655="","",INDEX(Pipeline_Calc!$H$2:$H$5251,Pipeline_Sort!$C655))</f>
        <v/>
      </c>
      <c r="H655" s="0" t="str">
        <f aca="false">IF(Pipeline_Sort!$C655="","",INDEX(Pipeline_Calc!$I$2:$I$5251,Pipeline_Sort!$C655))</f>
        <v/>
      </c>
      <c r="I655" s="0" t="str">
        <f aca="false">IF(Pipeline_Sort!$C655="","",INDEX(Pipeline_Calc!$J$2:$J$5251,Pipeline_Sort!$C655))</f>
        <v/>
      </c>
    </row>
    <row r="656" customFormat="false" ht="15" hidden="false" customHeight="false" outlineLevel="0" collapsed="false">
      <c r="A656" s="33" t="str">
        <f aca="false">IF(Pipeline_Sort!$C656="","",INDEX(Pipeline_Calc!$B$2:$B$5251,Pipeline_Sort!$C656))</f>
        <v/>
      </c>
      <c r="B656" s="0" t="str">
        <f aca="false">IF(Pipeline_Sort!$C656="","",INDEX(Pipeline_Calc!$C$2:$C$5251,Pipeline_Sort!$C656))</f>
        <v/>
      </c>
      <c r="C656" s="0" t="str">
        <f aca="false">IF(Pipeline_Sort!$C656="","",INDEX(Pipeline_Calc!$D$2:$D$5251,Pipeline_Sort!$C656))</f>
        <v/>
      </c>
      <c r="D656" s="0" t="str">
        <f aca="false">IF(Pipeline_Sort!$C656="","",INDEX(Pipeline_Calc!$E$2:$E$5251,Pipeline_Sort!$C656))</f>
        <v/>
      </c>
      <c r="E656" s="0" t="str">
        <f aca="false">IF(Pipeline_Sort!$C656="","",INDEX(Pipeline_Calc!$F$2:$F$5251,Pipeline_Sort!$C656))</f>
        <v/>
      </c>
      <c r="F656" s="0" t="str">
        <f aca="false">IF(Pipeline_Sort!$C656="","",INDEX(Pipeline_Calc!$G$2:$G$5251,Pipeline_Sort!$C656))</f>
        <v/>
      </c>
      <c r="G656" s="0" t="str">
        <f aca="false">IF(Pipeline_Sort!$C656="","",INDEX(Pipeline_Calc!$H$2:$H$5251,Pipeline_Sort!$C656))</f>
        <v/>
      </c>
      <c r="H656" s="0" t="str">
        <f aca="false">IF(Pipeline_Sort!$C656="","",INDEX(Pipeline_Calc!$I$2:$I$5251,Pipeline_Sort!$C656))</f>
        <v/>
      </c>
      <c r="I656" s="0" t="str">
        <f aca="false">IF(Pipeline_Sort!$C656="","",INDEX(Pipeline_Calc!$J$2:$J$5251,Pipeline_Sort!$C656))</f>
        <v/>
      </c>
    </row>
    <row r="657" customFormat="false" ht="15" hidden="false" customHeight="false" outlineLevel="0" collapsed="false">
      <c r="A657" s="33" t="str">
        <f aca="false">IF(Pipeline_Sort!$C657="","",INDEX(Pipeline_Calc!$B$2:$B$5251,Pipeline_Sort!$C657))</f>
        <v/>
      </c>
      <c r="B657" s="0" t="str">
        <f aca="false">IF(Pipeline_Sort!$C657="","",INDEX(Pipeline_Calc!$C$2:$C$5251,Pipeline_Sort!$C657))</f>
        <v/>
      </c>
      <c r="C657" s="0" t="str">
        <f aca="false">IF(Pipeline_Sort!$C657="","",INDEX(Pipeline_Calc!$D$2:$D$5251,Pipeline_Sort!$C657))</f>
        <v/>
      </c>
      <c r="D657" s="0" t="str">
        <f aca="false">IF(Pipeline_Sort!$C657="","",INDEX(Pipeline_Calc!$E$2:$E$5251,Pipeline_Sort!$C657))</f>
        <v/>
      </c>
      <c r="E657" s="0" t="str">
        <f aca="false">IF(Pipeline_Sort!$C657="","",INDEX(Pipeline_Calc!$F$2:$F$5251,Pipeline_Sort!$C657))</f>
        <v/>
      </c>
      <c r="F657" s="0" t="str">
        <f aca="false">IF(Pipeline_Sort!$C657="","",INDEX(Pipeline_Calc!$G$2:$G$5251,Pipeline_Sort!$C657))</f>
        <v/>
      </c>
      <c r="G657" s="0" t="str">
        <f aca="false">IF(Pipeline_Sort!$C657="","",INDEX(Pipeline_Calc!$H$2:$H$5251,Pipeline_Sort!$C657))</f>
        <v/>
      </c>
      <c r="H657" s="0" t="str">
        <f aca="false">IF(Pipeline_Sort!$C657="","",INDEX(Pipeline_Calc!$I$2:$I$5251,Pipeline_Sort!$C657))</f>
        <v/>
      </c>
      <c r="I657" s="0" t="str">
        <f aca="false">IF(Pipeline_Sort!$C657="","",INDEX(Pipeline_Calc!$J$2:$J$5251,Pipeline_Sort!$C657))</f>
        <v/>
      </c>
    </row>
    <row r="658" customFormat="false" ht="15" hidden="false" customHeight="false" outlineLevel="0" collapsed="false">
      <c r="A658" s="33" t="str">
        <f aca="false">IF(Pipeline_Sort!$C658="","",INDEX(Pipeline_Calc!$B$2:$B$5251,Pipeline_Sort!$C658))</f>
        <v/>
      </c>
      <c r="B658" s="0" t="str">
        <f aca="false">IF(Pipeline_Sort!$C658="","",INDEX(Pipeline_Calc!$C$2:$C$5251,Pipeline_Sort!$C658))</f>
        <v/>
      </c>
      <c r="C658" s="0" t="str">
        <f aca="false">IF(Pipeline_Sort!$C658="","",INDEX(Pipeline_Calc!$D$2:$D$5251,Pipeline_Sort!$C658))</f>
        <v/>
      </c>
      <c r="D658" s="0" t="str">
        <f aca="false">IF(Pipeline_Sort!$C658="","",INDEX(Pipeline_Calc!$E$2:$E$5251,Pipeline_Sort!$C658))</f>
        <v/>
      </c>
      <c r="E658" s="0" t="str">
        <f aca="false">IF(Pipeline_Sort!$C658="","",INDEX(Pipeline_Calc!$F$2:$F$5251,Pipeline_Sort!$C658))</f>
        <v/>
      </c>
      <c r="F658" s="0" t="str">
        <f aca="false">IF(Pipeline_Sort!$C658="","",INDEX(Pipeline_Calc!$G$2:$G$5251,Pipeline_Sort!$C658))</f>
        <v/>
      </c>
      <c r="G658" s="0" t="str">
        <f aca="false">IF(Pipeline_Sort!$C658="","",INDEX(Pipeline_Calc!$H$2:$H$5251,Pipeline_Sort!$C658))</f>
        <v/>
      </c>
      <c r="H658" s="0" t="str">
        <f aca="false">IF(Pipeline_Sort!$C658="","",INDEX(Pipeline_Calc!$I$2:$I$5251,Pipeline_Sort!$C658))</f>
        <v/>
      </c>
      <c r="I658" s="0" t="str">
        <f aca="false">IF(Pipeline_Sort!$C658="","",INDEX(Pipeline_Calc!$J$2:$J$5251,Pipeline_Sort!$C658))</f>
        <v/>
      </c>
    </row>
    <row r="659" customFormat="false" ht="15" hidden="false" customHeight="false" outlineLevel="0" collapsed="false">
      <c r="A659" s="33" t="str">
        <f aca="false">IF(Pipeline_Sort!$C659="","",INDEX(Pipeline_Calc!$B$2:$B$5251,Pipeline_Sort!$C659))</f>
        <v/>
      </c>
      <c r="B659" s="0" t="str">
        <f aca="false">IF(Pipeline_Sort!$C659="","",INDEX(Pipeline_Calc!$C$2:$C$5251,Pipeline_Sort!$C659))</f>
        <v/>
      </c>
      <c r="C659" s="0" t="str">
        <f aca="false">IF(Pipeline_Sort!$C659="","",INDEX(Pipeline_Calc!$D$2:$D$5251,Pipeline_Sort!$C659))</f>
        <v/>
      </c>
      <c r="D659" s="0" t="str">
        <f aca="false">IF(Pipeline_Sort!$C659="","",INDEX(Pipeline_Calc!$E$2:$E$5251,Pipeline_Sort!$C659))</f>
        <v/>
      </c>
      <c r="E659" s="0" t="str">
        <f aca="false">IF(Pipeline_Sort!$C659="","",INDEX(Pipeline_Calc!$F$2:$F$5251,Pipeline_Sort!$C659))</f>
        <v/>
      </c>
      <c r="F659" s="0" t="str">
        <f aca="false">IF(Pipeline_Sort!$C659="","",INDEX(Pipeline_Calc!$G$2:$G$5251,Pipeline_Sort!$C659))</f>
        <v/>
      </c>
      <c r="G659" s="0" t="str">
        <f aca="false">IF(Pipeline_Sort!$C659="","",INDEX(Pipeline_Calc!$H$2:$H$5251,Pipeline_Sort!$C659))</f>
        <v/>
      </c>
      <c r="H659" s="0" t="str">
        <f aca="false">IF(Pipeline_Sort!$C659="","",INDEX(Pipeline_Calc!$I$2:$I$5251,Pipeline_Sort!$C659))</f>
        <v/>
      </c>
      <c r="I659" s="0" t="str">
        <f aca="false">IF(Pipeline_Sort!$C659="","",INDEX(Pipeline_Calc!$J$2:$J$5251,Pipeline_Sort!$C659))</f>
        <v/>
      </c>
    </row>
    <row r="660" customFormat="false" ht="15" hidden="false" customHeight="false" outlineLevel="0" collapsed="false">
      <c r="A660" s="33" t="str">
        <f aca="false">IF(Pipeline_Sort!$C660="","",INDEX(Pipeline_Calc!$B$2:$B$5251,Pipeline_Sort!$C660))</f>
        <v/>
      </c>
      <c r="B660" s="0" t="str">
        <f aca="false">IF(Pipeline_Sort!$C660="","",INDEX(Pipeline_Calc!$C$2:$C$5251,Pipeline_Sort!$C660))</f>
        <v/>
      </c>
      <c r="C660" s="0" t="str">
        <f aca="false">IF(Pipeline_Sort!$C660="","",INDEX(Pipeline_Calc!$D$2:$D$5251,Pipeline_Sort!$C660))</f>
        <v/>
      </c>
      <c r="D660" s="0" t="str">
        <f aca="false">IF(Pipeline_Sort!$C660="","",INDEX(Pipeline_Calc!$E$2:$E$5251,Pipeline_Sort!$C660))</f>
        <v/>
      </c>
      <c r="E660" s="0" t="str">
        <f aca="false">IF(Pipeline_Sort!$C660="","",INDEX(Pipeline_Calc!$F$2:$F$5251,Pipeline_Sort!$C660))</f>
        <v/>
      </c>
      <c r="F660" s="0" t="str">
        <f aca="false">IF(Pipeline_Sort!$C660="","",INDEX(Pipeline_Calc!$G$2:$G$5251,Pipeline_Sort!$C660))</f>
        <v/>
      </c>
      <c r="G660" s="0" t="str">
        <f aca="false">IF(Pipeline_Sort!$C660="","",INDEX(Pipeline_Calc!$H$2:$H$5251,Pipeline_Sort!$C660))</f>
        <v/>
      </c>
      <c r="H660" s="0" t="str">
        <f aca="false">IF(Pipeline_Sort!$C660="","",INDEX(Pipeline_Calc!$I$2:$I$5251,Pipeline_Sort!$C660))</f>
        <v/>
      </c>
      <c r="I660" s="0" t="str">
        <f aca="false">IF(Pipeline_Sort!$C660="","",INDEX(Pipeline_Calc!$J$2:$J$5251,Pipeline_Sort!$C660))</f>
        <v/>
      </c>
    </row>
    <row r="661" customFormat="false" ht="15" hidden="false" customHeight="false" outlineLevel="0" collapsed="false">
      <c r="A661" s="33" t="str">
        <f aca="false">IF(Pipeline_Sort!$C661="","",INDEX(Pipeline_Calc!$B$2:$B$5251,Pipeline_Sort!$C661))</f>
        <v/>
      </c>
      <c r="B661" s="0" t="str">
        <f aca="false">IF(Pipeline_Sort!$C661="","",INDEX(Pipeline_Calc!$C$2:$C$5251,Pipeline_Sort!$C661))</f>
        <v/>
      </c>
      <c r="C661" s="0" t="str">
        <f aca="false">IF(Pipeline_Sort!$C661="","",INDEX(Pipeline_Calc!$D$2:$D$5251,Pipeline_Sort!$C661))</f>
        <v/>
      </c>
      <c r="D661" s="0" t="str">
        <f aca="false">IF(Pipeline_Sort!$C661="","",INDEX(Pipeline_Calc!$E$2:$E$5251,Pipeline_Sort!$C661))</f>
        <v/>
      </c>
      <c r="E661" s="0" t="str">
        <f aca="false">IF(Pipeline_Sort!$C661="","",INDEX(Pipeline_Calc!$F$2:$F$5251,Pipeline_Sort!$C661))</f>
        <v/>
      </c>
      <c r="F661" s="0" t="str">
        <f aca="false">IF(Pipeline_Sort!$C661="","",INDEX(Pipeline_Calc!$G$2:$G$5251,Pipeline_Sort!$C661))</f>
        <v/>
      </c>
      <c r="G661" s="0" t="str">
        <f aca="false">IF(Pipeline_Sort!$C661="","",INDEX(Pipeline_Calc!$H$2:$H$5251,Pipeline_Sort!$C661))</f>
        <v/>
      </c>
      <c r="H661" s="0" t="str">
        <f aca="false">IF(Pipeline_Sort!$C661="","",INDEX(Pipeline_Calc!$I$2:$I$5251,Pipeline_Sort!$C661))</f>
        <v/>
      </c>
      <c r="I661" s="0" t="str">
        <f aca="false">IF(Pipeline_Sort!$C661="","",INDEX(Pipeline_Calc!$J$2:$J$5251,Pipeline_Sort!$C661))</f>
        <v/>
      </c>
    </row>
    <row r="662" customFormat="false" ht="15" hidden="false" customHeight="false" outlineLevel="0" collapsed="false">
      <c r="A662" s="33" t="str">
        <f aca="false">IF(Pipeline_Sort!$C662="","",INDEX(Pipeline_Calc!$B$2:$B$5251,Pipeline_Sort!$C662))</f>
        <v/>
      </c>
      <c r="B662" s="0" t="str">
        <f aca="false">IF(Pipeline_Sort!$C662="","",INDEX(Pipeline_Calc!$C$2:$C$5251,Pipeline_Sort!$C662))</f>
        <v/>
      </c>
      <c r="C662" s="0" t="str">
        <f aca="false">IF(Pipeline_Sort!$C662="","",INDEX(Pipeline_Calc!$D$2:$D$5251,Pipeline_Sort!$C662))</f>
        <v/>
      </c>
      <c r="D662" s="0" t="str">
        <f aca="false">IF(Pipeline_Sort!$C662="","",INDEX(Pipeline_Calc!$E$2:$E$5251,Pipeline_Sort!$C662))</f>
        <v/>
      </c>
      <c r="E662" s="0" t="str">
        <f aca="false">IF(Pipeline_Sort!$C662="","",INDEX(Pipeline_Calc!$F$2:$F$5251,Pipeline_Sort!$C662))</f>
        <v/>
      </c>
      <c r="F662" s="0" t="str">
        <f aca="false">IF(Pipeline_Sort!$C662="","",INDEX(Pipeline_Calc!$G$2:$G$5251,Pipeline_Sort!$C662))</f>
        <v/>
      </c>
      <c r="G662" s="0" t="str">
        <f aca="false">IF(Pipeline_Sort!$C662="","",INDEX(Pipeline_Calc!$H$2:$H$5251,Pipeline_Sort!$C662))</f>
        <v/>
      </c>
      <c r="H662" s="0" t="str">
        <f aca="false">IF(Pipeline_Sort!$C662="","",INDEX(Pipeline_Calc!$I$2:$I$5251,Pipeline_Sort!$C662))</f>
        <v/>
      </c>
      <c r="I662" s="0" t="str">
        <f aca="false">IF(Pipeline_Sort!$C662="","",INDEX(Pipeline_Calc!$J$2:$J$5251,Pipeline_Sort!$C662))</f>
        <v/>
      </c>
    </row>
    <row r="663" customFormat="false" ht="15" hidden="false" customHeight="false" outlineLevel="0" collapsed="false">
      <c r="A663" s="33" t="str">
        <f aca="false">IF(Pipeline_Sort!$C663="","",INDEX(Pipeline_Calc!$B$2:$B$5251,Pipeline_Sort!$C663))</f>
        <v/>
      </c>
      <c r="B663" s="0" t="str">
        <f aca="false">IF(Pipeline_Sort!$C663="","",INDEX(Pipeline_Calc!$C$2:$C$5251,Pipeline_Sort!$C663))</f>
        <v/>
      </c>
      <c r="C663" s="0" t="str">
        <f aca="false">IF(Pipeline_Sort!$C663="","",INDEX(Pipeline_Calc!$D$2:$D$5251,Pipeline_Sort!$C663))</f>
        <v/>
      </c>
      <c r="D663" s="0" t="str">
        <f aca="false">IF(Pipeline_Sort!$C663="","",INDEX(Pipeline_Calc!$E$2:$E$5251,Pipeline_Sort!$C663))</f>
        <v/>
      </c>
      <c r="E663" s="0" t="str">
        <f aca="false">IF(Pipeline_Sort!$C663="","",INDEX(Pipeline_Calc!$F$2:$F$5251,Pipeline_Sort!$C663))</f>
        <v/>
      </c>
      <c r="F663" s="0" t="str">
        <f aca="false">IF(Pipeline_Sort!$C663="","",INDEX(Pipeline_Calc!$G$2:$G$5251,Pipeline_Sort!$C663))</f>
        <v/>
      </c>
      <c r="G663" s="0" t="str">
        <f aca="false">IF(Pipeline_Sort!$C663="","",INDEX(Pipeline_Calc!$H$2:$H$5251,Pipeline_Sort!$C663))</f>
        <v/>
      </c>
      <c r="H663" s="0" t="str">
        <f aca="false">IF(Pipeline_Sort!$C663="","",INDEX(Pipeline_Calc!$I$2:$I$5251,Pipeline_Sort!$C663))</f>
        <v/>
      </c>
      <c r="I663" s="0" t="str">
        <f aca="false">IF(Pipeline_Sort!$C663="","",INDEX(Pipeline_Calc!$J$2:$J$5251,Pipeline_Sort!$C663))</f>
        <v/>
      </c>
    </row>
    <row r="664" customFormat="false" ht="15" hidden="false" customHeight="false" outlineLevel="0" collapsed="false">
      <c r="A664" s="33" t="str">
        <f aca="false">IF(Pipeline_Sort!$C664="","",INDEX(Pipeline_Calc!$B$2:$B$5251,Pipeline_Sort!$C664))</f>
        <v/>
      </c>
      <c r="B664" s="0" t="str">
        <f aca="false">IF(Pipeline_Sort!$C664="","",INDEX(Pipeline_Calc!$C$2:$C$5251,Pipeline_Sort!$C664))</f>
        <v/>
      </c>
      <c r="C664" s="0" t="str">
        <f aca="false">IF(Pipeline_Sort!$C664="","",INDEX(Pipeline_Calc!$D$2:$D$5251,Pipeline_Sort!$C664))</f>
        <v/>
      </c>
      <c r="D664" s="0" t="str">
        <f aca="false">IF(Pipeline_Sort!$C664="","",INDEX(Pipeline_Calc!$E$2:$E$5251,Pipeline_Sort!$C664))</f>
        <v/>
      </c>
      <c r="E664" s="0" t="str">
        <f aca="false">IF(Pipeline_Sort!$C664="","",INDEX(Pipeline_Calc!$F$2:$F$5251,Pipeline_Sort!$C664))</f>
        <v/>
      </c>
      <c r="F664" s="0" t="str">
        <f aca="false">IF(Pipeline_Sort!$C664="","",INDEX(Pipeline_Calc!$G$2:$G$5251,Pipeline_Sort!$C664))</f>
        <v/>
      </c>
      <c r="G664" s="0" t="str">
        <f aca="false">IF(Pipeline_Sort!$C664="","",INDEX(Pipeline_Calc!$H$2:$H$5251,Pipeline_Sort!$C664))</f>
        <v/>
      </c>
      <c r="H664" s="0" t="str">
        <f aca="false">IF(Pipeline_Sort!$C664="","",INDEX(Pipeline_Calc!$I$2:$I$5251,Pipeline_Sort!$C664))</f>
        <v/>
      </c>
      <c r="I664" s="0" t="str">
        <f aca="false">IF(Pipeline_Sort!$C664="","",INDEX(Pipeline_Calc!$J$2:$J$5251,Pipeline_Sort!$C664))</f>
        <v/>
      </c>
    </row>
    <row r="665" customFormat="false" ht="15" hidden="false" customHeight="false" outlineLevel="0" collapsed="false">
      <c r="A665" s="33" t="str">
        <f aca="false">IF(Pipeline_Sort!$C665="","",INDEX(Pipeline_Calc!$B$2:$B$5251,Pipeline_Sort!$C665))</f>
        <v/>
      </c>
      <c r="B665" s="0" t="str">
        <f aca="false">IF(Pipeline_Sort!$C665="","",INDEX(Pipeline_Calc!$C$2:$C$5251,Pipeline_Sort!$C665))</f>
        <v/>
      </c>
      <c r="C665" s="0" t="str">
        <f aca="false">IF(Pipeline_Sort!$C665="","",INDEX(Pipeline_Calc!$D$2:$D$5251,Pipeline_Sort!$C665))</f>
        <v/>
      </c>
      <c r="D665" s="0" t="str">
        <f aca="false">IF(Pipeline_Sort!$C665="","",INDEX(Pipeline_Calc!$E$2:$E$5251,Pipeline_Sort!$C665))</f>
        <v/>
      </c>
      <c r="E665" s="0" t="str">
        <f aca="false">IF(Pipeline_Sort!$C665="","",INDEX(Pipeline_Calc!$F$2:$F$5251,Pipeline_Sort!$C665))</f>
        <v/>
      </c>
      <c r="F665" s="0" t="str">
        <f aca="false">IF(Pipeline_Sort!$C665="","",INDEX(Pipeline_Calc!$G$2:$G$5251,Pipeline_Sort!$C665))</f>
        <v/>
      </c>
      <c r="G665" s="0" t="str">
        <f aca="false">IF(Pipeline_Sort!$C665="","",INDEX(Pipeline_Calc!$H$2:$H$5251,Pipeline_Sort!$C665))</f>
        <v/>
      </c>
      <c r="H665" s="0" t="str">
        <f aca="false">IF(Pipeline_Sort!$C665="","",INDEX(Pipeline_Calc!$I$2:$I$5251,Pipeline_Sort!$C665))</f>
        <v/>
      </c>
      <c r="I665" s="0" t="str">
        <f aca="false">IF(Pipeline_Sort!$C665="","",INDEX(Pipeline_Calc!$J$2:$J$5251,Pipeline_Sort!$C665))</f>
        <v/>
      </c>
    </row>
    <row r="666" customFormat="false" ht="15" hidden="false" customHeight="false" outlineLevel="0" collapsed="false">
      <c r="A666" s="33" t="str">
        <f aca="false">IF(Pipeline_Sort!$C666="","",INDEX(Pipeline_Calc!$B$2:$B$5251,Pipeline_Sort!$C666))</f>
        <v/>
      </c>
      <c r="B666" s="0" t="str">
        <f aca="false">IF(Pipeline_Sort!$C666="","",INDEX(Pipeline_Calc!$C$2:$C$5251,Pipeline_Sort!$C666))</f>
        <v/>
      </c>
      <c r="C666" s="0" t="str">
        <f aca="false">IF(Pipeline_Sort!$C666="","",INDEX(Pipeline_Calc!$D$2:$D$5251,Pipeline_Sort!$C666))</f>
        <v/>
      </c>
      <c r="D666" s="0" t="str">
        <f aca="false">IF(Pipeline_Sort!$C666="","",INDEX(Pipeline_Calc!$E$2:$E$5251,Pipeline_Sort!$C666))</f>
        <v/>
      </c>
      <c r="E666" s="0" t="str">
        <f aca="false">IF(Pipeline_Sort!$C666="","",INDEX(Pipeline_Calc!$F$2:$F$5251,Pipeline_Sort!$C666))</f>
        <v/>
      </c>
      <c r="F666" s="0" t="str">
        <f aca="false">IF(Pipeline_Sort!$C666="","",INDEX(Pipeline_Calc!$G$2:$G$5251,Pipeline_Sort!$C666))</f>
        <v/>
      </c>
      <c r="G666" s="0" t="str">
        <f aca="false">IF(Pipeline_Sort!$C666="","",INDEX(Pipeline_Calc!$H$2:$H$5251,Pipeline_Sort!$C666))</f>
        <v/>
      </c>
      <c r="H666" s="0" t="str">
        <f aca="false">IF(Pipeline_Sort!$C666="","",INDEX(Pipeline_Calc!$I$2:$I$5251,Pipeline_Sort!$C666))</f>
        <v/>
      </c>
      <c r="I666" s="0" t="str">
        <f aca="false">IF(Pipeline_Sort!$C666="","",INDEX(Pipeline_Calc!$J$2:$J$5251,Pipeline_Sort!$C666))</f>
        <v/>
      </c>
    </row>
    <row r="667" customFormat="false" ht="15" hidden="false" customHeight="false" outlineLevel="0" collapsed="false">
      <c r="A667" s="33" t="str">
        <f aca="false">IF(Pipeline_Sort!$C667="","",INDEX(Pipeline_Calc!$B$2:$B$5251,Pipeline_Sort!$C667))</f>
        <v/>
      </c>
      <c r="B667" s="0" t="str">
        <f aca="false">IF(Pipeline_Sort!$C667="","",INDEX(Pipeline_Calc!$C$2:$C$5251,Pipeline_Sort!$C667))</f>
        <v/>
      </c>
      <c r="C667" s="0" t="str">
        <f aca="false">IF(Pipeline_Sort!$C667="","",INDEX(Pipeline_Calc!$D$2:$D$5251,Pipeline_Sort!$C667))</f>
        <v/>
      </c>
      <c r="D667" s="0" t="str">
        <f aca="false">IF(Pipeline_Sort!$C667="","",INDEX(Pipeline_Calc!$E$2:$E$5251,Pipeline_Sort!$C667))</f>
        <v/>
      </c>
      <c r="E667" s="0" t="str">
        <f aca="false">IF(Pipeline_Sort!$C667="","",INDEX(Pipeline_Calc!$F$2:$F$5251,Pipeline_Sort!$C667))</f>
        <v/>
      </c>
      <c r="F667" s="0" t="str">
        <f aca="false">IF(Pipeline_Sort!$C667="","",INDEX(Pipeline_Calc!$G$2:$G$5251,Pipeline_Sort!$C667))</f>
        <v/>
      </c>
      <c r="G667" s="0" t="str">
        <f aca="false">IF(Pipeline_Sort!$C667="","",INDEX(Pipeline_Calc!$H$2:$H$5251,Pipeline_Sort!$C667))</f>
        <v/>
      </c>
      <c r="H667" s="0" t="str">
        <f aca="false">IF(Pipeline_Sort!$C667="","",INDEX(Pipeline_Calc!$I$2:$I$5251,Pipeline_Sort!$C667))</f>
        <v/>
      </c>
      <c r="I667" s="0" t="str">
        <f aca="false">IF(Pipeline_Sort!$C667="","",INDEX(Pipeline_Calc!$J$2:$J$5251,Pipeline_Sort!$C667))</f>
        <v/>
      </c>
    </row>
    <row r="668" customFormat="false" ht="15" hidden="false" customHeight="false" outlineLevel="0" collapsed="false">
      <c r="A668" s="33" t="str">
        <f aca="false">IF(Pipeline_Sort!$C668="","",INDEX(Pipeline_Calc!$B$2:$B$5251,Pipeline_Sort!$C668))</f>
        <v/>
      </c>
      <c r="B668" s="0" t="str">
        <f aca="false">IF(Pipeline_Sort!$C668="","",INDEX(Pipeline_Calc!$C$2:$C$5251,Pipeline_Sort!$C668))</f>
        <v/>
      </c>
      <c r="C668" s="0" t="str">
        <f aca="false">IF(Pipeline_Sort!$C668="","",INDEX(Pipeline_Calc!$D$2:$D$5251,Pipeline_Sort!$C668))</f>
        <v/>
      </c>
      <c r="D668" s="0" t="str">
        <f aca="false">IF(Pipeline_Sort!$C668="","",INDEX(Pipeline_Calc!$E$2:$E$5251,Pipeline_Sort!$C668))</f>
        <v/>
      </c>
      <c r="E668" s="0" t="str">
        <f aca="false">IF(Pipeline_Sort!$C668="","",INDEX(Pipeline_Calc!$F$2:$F$5251,Pipeline_Sort!$C668))</f>
        <v/>
      </c>
      <c r="F668" s="0" t="str">
        <f aca="false">IF(Pipeline_Sort!$C668="","",INDEX(Pipeline_Calc!$G$2:$G$5251,Pipeline_Sort!$C668))</f>
        <v/>
      </c>
      <c r="G668" s="0" t="str">
        <f aca="false">IF(Pipeline_Sort!$C668="","",INDEX(Pipeline_Calc!$H$2:$H$5251,Pipeline_Sort!$C668))</f>
        <v/>
      </c>
      <c r="H668" s="0" t="str">
        <f aca="false">IF(Pipeline_Sort!$C668="","",INDEX(Pipeline_Calc!$I$2:$I$5251,Pipeline_Sort!$C668))</f>
        <v/>
      </c>
      <c r="I668" s="0" t="str">
        <f aca="false">IF(Pipeline_Sort!$C668="","",INDEX(Pipeline_Calc!$J$2:$J$5251,Pipeline_Sort!$C668))</f>
        <v/>
      </c>
    </row>
    <row r="669" customFormat="false" ht="15" hidden="false" customHeight="false" outlineLevel="0" collapsed="false">
      <c r="A669" s="33" t="str">
        <f aca="false">IF(Pipeline_Sort!$C669="","",INDEX(Pipeline_Calc!$B$2:$B$5251,Pipeline_Sort!$C669))</f>
        <v/>
      </c>
      <c r="B669" s="0" t="str">
        <f aca="false">IF(Pipeline_Sort!$C669="","",INDEX(Pipeline_Calc!$C$2:$C$5251,Pipeline_Sort!$C669))</f>
        <v/>
      </c>
      <c r="C669" s="0" t="str">
        <f aca="false">IF(Pipeline_Sort!$C669="","",INDEX(Pipeline_Calc!$D$2:$D$5251,Pipeline_Sort!$C669))</f>
        <v/>
      </c>
      <c r="D669" s="0" t="str">
        <f aca="false">IF(Pipeline_Sort!$C669="","",INDEX(Pipeline_Calc!$E$2:$E$5251,Pipeline_Sort!$C669))</f>
        <v/>
      </c>
      <c r="E669" s="0" t="str">
        <f aca="false">IF(Pipeline_Sort!$C669="","",INDEX(Pipeline_Calc!$F$2:$F$5251,Pipeline_Sort!$C669))</f>
        <v/>
      </c>
      <c r="F669" s="0" t="str">
        <f aca="false">IF(Pipeline_Sort!$C669="","",INDEX(Pipeline_Calc!$G$2:$G$5251,Pipeline_Sort!$C669))</f>
        <v/>
      </c>
      <c r="G669" s="0" t="str">
        <f aca="false">IF(Pipeline_Sort!$C669="","",INDEX(Pipeline_Calc!$H$2:$H$5251,Pipeline_Sort!$C669))</f>
        <v/>
      </c>
      <c r="H669" s="0" t="str">
        <f aca="false">IF(Pipeline_Sort!$C669="","",INDEX(Pipeline_Calc!$I$2:$I$5251,Pipeline_Sort!$C669))</f>
        <v/>
      </c>
      <c r="I669" s="0" t="str">
        <f aca="false">IF(Pipeline_Sort!$C669="","",INDEX(Pipeline_Calc!$J$2:$J$5251,Pipeline_Sort!$C669))</f>
        <v/>
      </c>
    </row>
    <row r="670" customFormat="false" ht="15" hidden="false" customHeight="false" outlineLevel="0" collapsed="false">
      <c r="A670" s="33" t="str">
        <f aca="false">IF(Pipeline_Sort!$C670="","",INDEX(Pipeline_Calc!$B$2:$B$5251,Pipeline_Sort!$C670))</f>
        <v/>
      </c>
      <c r="B670" s="0" t="str">
        <f aca="false">IF(Pipeline_Sort!$C670="","",INDEX(Pipeline_Calc!$C$2:$C$5251,Pipeline_Sort!$C670))</f>
        <v/>
      </c>
      <c r="C670" s="0" t="str">
        <f aca="false">IF(Pipeline_Sort!$C670="","",INDEX(Pipeline_Calc!$D$2:$D$5251,Pipeline_Sort!$C670))</f>
        <v/>
      </c>
      <c r="D670" s="0" t="str">
        <f aca="false">IF(Pipeline_Sort!$C670="","",INDEX(Pipeline_Calc!$E$2:$E$5251,Pipeline_Sort!$C670))</f>
        <v/>
      </c>
      <c r="E670" s="0" t="str">
        <f aca="false">IF(Pipeline_Sort!$C670="","",INDEX(Pipeline_Calc!$F$2:$F$5251,Pipeline_Sort!$C670))</f>
        <v/>
      </c>
      <c r="F670" s="0" t="str">
        <f aca="false">IF(Pipeline_Sort!$C670="","",INDEX(Pipeline_Calc!$G$2:$G$5251,Pipeline_Sort!$C670))</f>
        <v/>
      </c>
      <c r="G670" s="0" t="str">
        <f aca="false">IF(Pipeline_Sort!$C670="","",INDEX(Pipeline_Calc!$H$2:$H$5251,Pipeline_Sort!$C670))</f>
        <v/>
      </c>
      <c r="H670" s="0" t="str">
        <f aca="false">IF(Pipeline_Sort!$C670="","",INDEX(Pipeline_Calc!$I$2:$I$5251,Pipeline_Sort!$C670))</f>
        <v/>
      </c>
      <c r="I670" s="0" t="str">
        <f aca="false">IF(Pipeline_Sort!$C670="","",INDEX(Pipeline_Calc!$J$2:$J$5251,Pipeline_Sort!$C670))</f>
        <v/>
      </c>
    </row>
    <row r="671" customFormat="false" ht="15" hidden="false" customHeight="false" outlineLevel="0" collapsed="false">
      <c r="A671" s="33" t="str">
        <f aca="false">IF(Pipeline_Sort!$C671="","",INDEX(Pipeline_Calc!$B$2:$B$5251,Pipeline_Sort!$C671))</f>
        <v/>
      </c>
      <c r="B671" s="0" t="str">
        <f aca="false">IF(Pipeline_Sort!$C671="","",INDEX(Pipeline_Calc!$C$2:$C$5251,Pipeline_Sort!$C671))</f>
        <v/>
      </c>
      <c r="C671" s="0" t="str">
        <f aca="false">IF(Pipeline_Sort!$C671="","",INDEX(Pipeline_Calc!$D$2:$D$5251,Pipeline_Sort!$C671))</f>
        <v/>
      </c>
      <c r="D671" s="0" t="str">
        <f aca="false">IF(Pipeline_Sort!$C671="","",INDEX(Pipeline_Calc!$E$2:$E$5251,Pipeline_Sort!$C671))</f>
        <v/>
      </c>
      <c r="E671" s="0" t="str">
        <f aca="false">IF(Pipeline_Sort!$C671="","",INDEX(Pipeline_Calc!$F$2:$F$5251,Pipeline_Sort!$C671))</f>
        <v/>
      </c>
      <c r="F671" s="0" t="str">
        <f aca="false">IF(Pipeline_Sort!$C671="","",INDEX(Pipeline_Calc!$G$2:$G$5251,Pipeline_Sort!$C671))</f>
        <v/>
      </c>
      <c r="G671" s="0" t="str">
        <f aca="false">IF(Pipeline_Sort!$C671="","",INDEX(Pipeline_Calc!$H$2:$H$5251,Pipeline_Sort!$C671))</f>
        <v/>
      </c>
      <c r="H671" s="0" t="str">
        <f aca="false">IF(Pipeline_Sort!$C671="","",INDEX(Pipeline_Calc!$I$2:$I$5251,Pipeline_Sort!$C671))</f>
        <v/>
      </c>
      <c r="I671" s="0" t="str">
        <f aca="false">IF(Pipeline_Sort!$C671="","",INDEX(Pipeline_Calc!$J$2:$J$5251,Pipeline_Sort!$C671))</f>
        <v/>
      </c>
    </row>
    <row r="672" customFormat="false" ht="15" hidden="false" customHeight="false" outlineLevel="0" collapsed="false">
      <c r="A672" s="33" t="str">
        <f aca="false">IF(Pipeline_Sort!$C672="","",INDEX(Pipeline_Calc!$B$2:$B$5251,Pipeline_Sort!$C672))</f>
        <v/>
      </c>
      <c r="B672" s="0" t="str">
        <f aca="false">IF(Pipeline_Sort!$C672="","",INDEX(Pipeline_Calc!$C$2:$C$5251,Pipeline_Sort!$C672))</f>
        <v/>
      </c>
      <c r="C672" s="0" t="str">
        <f aca="false">IF(Pipeline_Sort!$C672="","",INDEX(Pipeline_Calc!$D$2:$D$5251,Pipeline_Sort!$C672))</f>
        <v/>
      </c>
      <c r="D672" s="0" t="str">
        <f aca="false">IF(Pipeline_Sort!$C672="","",INDEX(Pipeline_Calc!$E$2:$E$5251,Pipeline_Sort!$C672))</f>
        <v/>
      </c>
      <c r="E672" s="0" t="str">
        <f aca="false">IF(Pipeline_Sort!$C672="","",INDEX(Pipeline_Calc!$F$2:$F$5251,Pipeline_Sort!$C672))</f>
        <v/>
      </c>
      <c r="F672" s="0" t="str">
        <f aca="false">IF(Pipeline_Sort!$C672="","",INDEX(Pipeline_Calc!$G$2:$G$5251,Pipeline_Sort!$C672))</f>
        <v/>
      </c>
      <c r="G672" s="0" t="str">
        <f aca="false">IF(Pipeline_Sort!$C672="","",INDEX(Pipeline_Calc!$H$2:$H$5251,Pipeline_Sort!$C672))</f>
        <v/>
      </c>
      <c r="H672" s="0" t="str">
        <f aca="false">IF(Pipeline_Sort!$C672="","",INDEX(Pipeline_Calc!$I$2:$I$5251,Pipeline_Sort!$C672))</f>
        <v/>
      </c>
      <c r="I672" s="0" t="str">
        <f aca="false">IF(Pipeline_Sort!$C672="","",INDEX(Pipeline_Calc!$J$2:$J$5251,Pipeline_Sort!$C672))</f>
        <v/>
      </c>
    </row>
    <row r="673" customFormat="false" ht="15" hidden="false" customHeight="false" outlineLevel="0" collapsed="false">
      <c r="A673" s="33" t="str">
        <f aca="false">IF(Pipeline_Sort!$C673="","",INDEX(Pipeline_Calc!$B$2:$B$5251,Pipeline_Sort!$C673))</f>
        <v/>
      </c>
      <c r="B673" s="0" t="str">
        <f aca="false">IF(Pipeline_Sort!$C673="","",INDEX(Pipeline_Calc!$C$2:$C$5251,Pipeline_Sort!$C673))</f>
        <v/>
      </c>
      <c r="C673" s="0" t="str">
        <f aca="false">IF(Pipeline_Sort!$C673="","",INDEX(Pipeline_Calc!$D$2:$D$5251,Pipeline_Sort!$C673))</f>
        <v/>
      </c>
      <c r="D673" s="0" t="str">
        <f aca="false">IF(Pipeline_Sort!$C673="","",INDEX(Pipeline_Calc!$E$2:$E$5251,Pipeline_Sort!$C673))</f>
        <v/>
      </c>
      <c r="E673" s="0" t="str">
        <f aca="false">IF(Pipeline_Sort!$C673="","",INDEX(Pipeline_Calc!$F$2:$F$5251,Pipeline_Sort!$C673))</f>
        <v/>
      </c>
      <c r="F673" s="0" t="str">
        <f aca="false">IF(Pipeline_Sort!$C673="","",INDEX(Pipeline_Calc!$G$2:$G$5251,Pipeline_Sort!$C673))</f>
        <v/>
      </c>
      <c r="G673" s="0" t="str">
        <f aca="false">IF(Pipeline_Sort!$C673="","",INDEX(Pipeline_Calc!$H$2:$H$5251,Pipeline_Sort!$C673))</f>
        <v/>
      </c>
      <c r="H673" s="0" t="str">
        <f aca="false">IF(Pipeline_Sort!$C673="","",INDEX(Pipeline_Calc!$I$2:$I$5251,Pipeline_Sort!$C673))</f>
        <v/>
      </c>
      <c r="I673" s="0" t="str">
        <f aca="false">IF(Pipeline_Sort!$C673="","",INDEX(Pipeline_Calc!$J$2:$J$5251,Pipeline_Sort!$C673))</f>
        <v/>
      </c>
    </row>
    <row r="674" customFormat="false" ht="15" hidden="false" customHeight="false" outlineLevel="0" collapsed="false">
      <c r="A674" s="33" t="str">
        <f aca="false">IF(Pipeline_Sort!$C674="","",INDEX(Pipeline_Calc!$B$2:$B$5251,Pipeline_Sort!$C674))</f>
        <v/>
      </c>
      <c r="B674" s="0" t="str">
        <f aca="false">IF(Pipeline_Sort!$C674="","",INDEX(Pipeline_Calc!$C$2:$C$5251,Pipeline_Sort!$C674))</f>
        <v/>
      </c>
      <c r="C674" s="0" t="str">
        <f aca="false">IF(Pipeline_Sort!$C674="","",INDEX(Pipeline_Calc!$D$2:$D$5251,Pipeline_Sort!$C674))</f>
        <v/>
      </c>
      <c r="D674" s="0" t="str">
        <f aca="false">IF(Pipeline_Sort!$C674="","",INDEX(Pipeline_Calc!$E$2:$E$5251,Pipeline_Sort!$C674))</f>
        <v/>
      </c>
      <c r="E674" s="0" t="str">
        <f aca="false">IF(Pipeline_Sort!$C674="","",INDEX(Pipeline_Calc!$F$2:$F$5251,Pipeline_Sort!$C674))</f>
        <v/>
      </c>
      <c r="F674" s="0" t="str">
        <f aca="false">IF(Pipeline_Sort!$C674="","",INDEX(Pipeline_Calc!$G$2:$G$5251,Pipeline_Sort!$C674))</f>
        <v/>
      </c>
      <c r="G674" s="0" t="str">
        <f aca="false">IF(Pipeline_Sort!$C674="","",INDEX(Pipeline_Calc!$H$2:$H$5251,Pipeline_Sort!$C674))</f>
        <v/>
      </c>
      <c r="H674" s="0" t="str">
        <f aca="false">IF(Pipeline_Sort!$C674="","",INDEX(Pipeline_Calc!$I$2:$I$5251,Pipeline_Sort!$C674))</f>
        <v/>
      </c>
      <c r="I674" s="0" t="str">
        <f aca="false">IF(Pipeline_Sort!$C674="","",INDEX(Pipeline_Calc!$J$2:$J$5251,Pipeline_Sort!$C674))</f>
        <v/>
      </c>
    </row>
    <row r="675" customFormat="false" ht="15" hidden="false" customHeight="false" outlineLevel="0" collapsed="false">
      <c r="A675" s="33" t="str">
        <f aca="false">IF(Pipeline_Sort!$C675="","",INDEX(Pipeline_Calc!$B$2:$B$5251,Pipeline_Sort!$C675))</f>
        <v/>
      </c>
      <c r="B675" s="0" t="str">
        <f aca="false">IF(Pipeline_Sort!$C675="","",INDEX(Pipeline_Calc!$C$2:$C$5251,Pipeline_Sort!$C675))</f>
        <v/>
      </c>
      <c r="C675" s="0" t="str">
        <f aca="false">IF(Pipeline_Sort!$C675="","",INDEX(Pipeline_Calc!$D$2:$D$5251,Pipeline_Sort!$C675))</f>
        <v/>
      </c>
      <c r="D675" s="0" t="str">
        <f aca="false">IF(Pipeline_Sort!$C675="","",INDEX(Pipeline_Calc!$E$2:$E$5251,Pipeline_Sort!$C675))</f>
        <v/>
      </c>
      <c r="E675" s="0" t="str">
        <f aca="false">IF(Pipeline_Sort!$C675="","",INDEX(Pipeline_Calc!$F$2:$F$5251,Pipeline_Sort!$C675))</f>
        <v/>
      </c>
      <c r="F675" s="0" t="str">
        <f aca="false">IF(Pipeline_Sort!$C675="","",INDEX(Pipeline_Calc!$G$2:$G$5251,Pipeline_Sort!$C675))</f>
        <v/>
      </c>
      <c r="G675" s="0" t="str">
        <f aca="false">IF(Pipeline_Sort!$C675="","",INDEX(Pipeline_Calc!$H$2:$H$5251,Pipeline_Sort!$C675))</f>
        <v/>
      </c>
      <c r="H675" s="0" t="str">
        <f aca="false">IF(Pipeline_Sort!$C675="","",INDEX(Pipeline_Calc!$I$2:$I$5251,Pipeline_Sort!$C675))</f>
        <v/>
      </c>
      <c r="I675" s="0" t="str">
        <f aca="false">IF(Pipeline_Sort!$C675="","",INDEX(Pipeline_Calc!$J$2:$J$5251,Pipeline_Sort!$C675))</f>
        <v/>
      </c>
    </row>
    <row r="676" customFormat="false" ht="15" hidden="false" customHeight="false" outlineLevel="0" collapsed="false">
      <c r="A676" s="33" t="str">
        <f aca="false">IF(Pipeline_Sort!$C676="","",INDEX(Pipeline_Calc!$B$2:$B$5251,Pipeline_Sort!$C676))</f>
        <v/>
      </c>
      <c r="B676" s="0" t="str">
        <f aca="false">IF(Pipeline_Sort!$C676="","",INDEX(Pipeline_Calc!$C$2:$C$5251,Pipeline_Sort!$C676))</f>
        <v/>
      </c>
      <c r="C676" s="0" t="str">
        <f aca="false">IF(Pipeline_Sort!$C676="","",INDEX(Pipeline_Calc!$D$2:$D$5251,Pipeline_Sort!$C676))</f>
        <v/>
      </c>
      <c r="D676" s="0" t="str">
        <f aca="false">IF(Pipeline_Sort!$C676="","",INDEX(Pipeline_Calc!$E$2:$E$5251,Pipeline_Sort!$C676))</f>
        <v/>
      </c>
      <c r="E676" s="0" t="str">
        <f aca="false">IF(Pipeline_Sort!$C676="","",INDEX(Pipeline_Calc!$F$2:$F$5251,Pipeline_Sort!$C676))</f>
        <v/>
      </c>
      <c r="F676" s="0" t="str">
        <f aca="false">IF(Pipeline_Sort!$C676="","",INDEX(Pipeline_Calc!$G$2:$G$5251,Pipeline_Sort!$C676))</f>
        <v/>
      </c>
      <c r="G676" s="0" t="str">
        <f aca="false">IF(Pipeline_Sort!$C676="","",INDEX(Pipeline_Calc!$H$2:$H$5251,Pipeline_Sort!$C676))</f>
        <v/>
      </c>
      <c r="H676" s="0" t="str">
        <f aca="false">IF(Pipeline_Sort!$C676="","",INDEX(Pipeline_Calc!$I$2:$I$5251,Pipeline_Sort!$C676))</f>
        <v/>
      </c>
      <c r="I676" s="0" t="str">
        <f aca="false">IF(Pipeline_Sort!$C676="","",INDEX(Pipeline_Calc!$J$2:$J$5251,Pipeline_Sort!$C676))</f>
        <v/>
      </c>
    </row>
    <row r="677" customFormat="false" ht="15" hidden="false" customHeight="false" outlineLevel="0" collapsed="false">
      <c r="A677" s="33" t="str">
        <f aca="false">IF(Pipeline_Sort!$C677="","",INDEX(Pipeline_Calc!$B$2:$B$5251,Pipeline_Sort!$C677))</f>
        <v/>
      </c>
      <c r="B677" s="0" t="str">
        <f aca="false">IF(Pipeline_Sort!$C677="","",INDEX(Pipeline_Calc!$C$2:$C$5251,Pipeline_Sort!$C677))</f>
        <v/>
      </c>
      <c r="C677" s="0" t="str">
        <f aca="false">IF(Pipeline_Sort!$C677="","",INDEX(Pipeline_Calc!$D$2:$D$5251,Pipeline_Sort!$C677))</f>
        <v/>
      </c>
      <c r="D677" s="0" t="str">
        <f aca="false">IF(Pipeline_Sort!$C677="","",INDEX(Pipeline_Calc!$E$2:$E$5251,Pipeline_Sort!$C677))</f>
        <v/>
      </c>
      <c r="E677" s="0" t="str">
        <f aca="false">IF(Pipeline_Sort!$C677="","",INDEX(Pipeline_Calc!$F$2:$F$5251,Pipeline_Sort!$C677))</f>
        <v/>
      </c>
      <c r="F677" s="0" t="str">
        <f aca="false">IF(Pipeline_Sort!$C677="","",INDEX(Pipeline_Calc!$G$2:$G$5251,Pipeline_Sort!$C677))</f>
        <v/>
      </c>
      <c r="G677" s="0" t="str">
        <f aca="false">IF(Pipeline_Sort!$C677="","",INDEX(Pipeline_Calc!$H$2:$H$5251,Pipeline_Sort!$C677))</f>
        <v/>
      </c>
      <c r="H677" s="0" t="str">
        <f aca="false">IF(Pipeline_Sort!$C677="","",INDEX(Pipeline_Calc!$I$2:$I$5251,Pipeline_Sort!$C677))</f>
        <v/>
      </c>
      <c r="I677" s="0" t="str">
        <f aca="false">IF(Pipeline_Sort!$C677="","",INDEX(Pipeline_Calc!$J$2:$J$5251,Pipeline_Sort!$C677))</f>
        <v/>
      </c>
    </row>
    <row r="678" customFormat="false" ht="15" hidden="false" customHeight="false" outlineLevel="0" collapsed="false">
      <c r="A678" s="33" t="str">
        <f aca="false">IF(Pipeline_Sort!$C678="","",INDEX(Pipeline_Calc!$B$2:$B$5251,Pipeline_Sort!$C678))</f>
        <v/>
      </c>
      <c r="B678" s="0" t="str">
        <f aca="false">IF(Pipeline_Sort!$C678="","",INDEX(Pipeline_Calc!$C$2:$C$5251,Pipeline_Sort!$C678))</f>
        <v/>
      </c>
      <c r="C678" s="0" t="str">
        <f aca="false">IF(Pipeline_Sort!$C678="","",INDEX(Pipeline_Calc!$D$2:$D$5251,Pipeline_Sort!$C678))</f>
        <v/>
      </c>
      <c r="D678" s="0" t="str">
        <f aca="false">IF(Pipeline_Sort!$C678="","",INDEX(Pipeline_Calc!$E$2:$E$5251,Pipeline_Sort!$C678))</f>
        <v/>
      </c>
      <c r="E678" s="0" t="str">
        <f aca="false">IF(Pipeline_Sort!$C678="","",INDEX(Pipeline_Calc!$F$2:$F$5251,Pipeline_Sort!$C678))</f>
        <v/>
      </c>
      <c r="F678" s="0" t="str">
        <f aca="false">IF(Pipeline_Sort!$C678="","",INDEX(Pipeline_Calc!$G$2:$G$5251,Pipeline_Sort!$C678))</f>
        <v/>
      </c>
      <c r="G678" s="0" t="str">
        <f aca="false">IF(Pipeline_Sort!$C678="","",INDEX(Pipeline_Calc!$H$2:$H$5251,Pipeline_Sort!$C678))</f>
        <v/>
      </c>
      <c r="H678" s="0" t="str">
        <f aca="false">IF(Pipeline_Sort!$C678="","",INDEX(Pipeline_Calc!$I$2:$I$5251,Pipeline_Sort!$C678))</f>
        <v/>
      </c>
      <c r="I678" s="0" t="str">
        <f aca="false">IF(Pipeline_Sort!$C678="","",INDEX(Pipeline_Calc!$J$2:$J$5251,Pipeline_Sort!$C678))</f>
        <v/>
      </c>
    </row>
    <row r="679" customFormat="false" ht="15" hidden="false" customHeight="false" outlineLevel="0" collapsed="false">
      <c r="A679" s="33" t="str">
        <f aca="false">IF(Pipeline_Sort!$C679="","",INDEX(Pipeline_Calc!$B$2:$B$5251,Pipeline_Sort!$C679))</f>
        <v/>
      </c>
      <c r="B679" s="0" t="str">
        <f aca="false">IF(Pipeline_Sort!$C679="","",INDEX(Pipeline_Calc!$C$2:$C$5251,Pipeline_Sort!$C679))</f>
        <v/>
      </c>
      <c r="C679" s="0" t="str">
        <f aca="false">IF(Pipeline_Sort!$C679="","",INDEX(Pipeline_Calc!$D$2:$D$5251,Pipeline_Sort!$C679))</f>
        <v/>
      </c>
      <c r="D679" s="0" t="str">
        <f aca="false">IF(Pipeline_Sort!$C679="","",INDEX(Pipeline_Calc!$E$2:$E$5251,Pipeline_Sort!$C679))</f>
        <v/>
      </c>
      <c r="E679" s="0" t="str">
        <f aca="false">IF(Pipeline_Sort!$C679="","",INDEX(Pipeline_Calc!$F$2:$F$5251,Pipeline_Sort!$C679))</f>
        <v/>
      </c>
      <c r="F679" s="0" t="str">
        <f aca="false">IF(Pipeline_Sort!$C679="","",INDEX(Pipeline_Calc!$G$2:$G$5251,Pipeline_Sort!$C679))</f>
        <v/>
      </c>
      <c r="G679" s="0" t="str">
        <f aca="false">IF(Pipeline_Sort!$C679="","",INDEX(Pipeline_Calc!$H$2:$H$5251,Pipeline_Sort!$C679))</f>
        <v/>
      </c>
      <c r="H679" s="0" t="str">
        <f aca="false">IF(Pipeline_Sort!$C679="","",INDEX(Pipeline_Calc!$I$2:$I$5251,Pipeline_Sort!$C679))</f>
        <v/>
      </c>
      <c r="I679" s="0" t="str">
        <f aca="false">IF(Pipeline_Sort!$C679="","",INDEX(Pipeline_Calc!$J$2:$J$5251,Pipeline_Sort!$C679))</f>
        <v/>
      </c>
    </row>
    <row r="680" customFormat="false" ht="15" hidden="false" customHeight="false" outlineLevel="0" collapsed="false">
      <c r="A680" s="33" t="str">
        <f aca="false">IF(Pipeline_Sort!$C680="","",INDEX(Pipeline_Calc!$B$2:$B$5251,Pipeline_Sort!$C680))</f>
        <v/>
      </c>
      <c r="B680" s="0" t="str">
        <f aca="false">IF(Pipeline_Sort!$C680="","",INDEX(Pipeline_Calc!$C$2:$C$5251,Pipeline_Sort!$C680))</f>
        <v/>
      </c>
      <c r="C680" s="0" t="str">
        <f aca="false">IF(Pipeline_Sort!$C680="","",INDEX(Pipeline_Calc!$D$2:$D$5251,Pipeline_Sort!$C680))</f>
        <v/>
      </c>
      <c r="D680" s="0" t="str">
        <f aca="false">IF(Pipeline_Sort!$C680="","",INDEX(Pipeline_Calc!$E$2:$E$5251,Pipeline_Sort!$C680))</f>
        <v/>
      </c>
      <c r="E680" s="0" t="str">
        <f aca="false">IF(Pipeline_Sort!$C680="","",INDEX(Pipeline_Calc!$F$2:$F$5251,Pipeline_Sort!$C680))</f>
        <v/>
      </c>
      <c r="F680" s="0" t="str">
        <f aca="false">IF(Pipeline_Sort!$C680="","",INDEX(Pipeline_Calc!$G$2:$G$5251,Pipeline_Sort!$C680))</f>
        <v/>
      </c>
      <c r="G680" s="0" t="str">
        <f aca="false">IF(Pipeline_Sort!$C680="","",INDEX(Pipeline_Calc!$H$2:$H$5251,Pipeline_Sort!$C680))</f>
        <v/>
      </c>
      <c r="H680" s="0" t="str">
        <f aca="false">IF(Pipeline_Sort!$C680="","",INDEX(Pipeline_Calc!$I$2:$I$5251,Pipeline_Sort!$C680))</f>
        <v/>
      </c>
      <c r="I680" s="0" t="str">
        <f aca="false">IF(Pipeline_Sort!$C680="","",INDEX(Pipeline_Calc!$J$2:$J$5251,Pipeline_Sort!$C680))</f>
        <v/>
      </c>
    </row>
    <row r="681" customFormat="false" ht="15" hidden="false" customHeight="false" outlineLevel="0" collapsed="false">
      <c r="A681" s="33" t="str">
        <f aca="false">IF(Pipeline_Sort!$C681="","",INDEX(Pipeline_Calc!$B$2:$B$5251,Pipeline_Sort!$C681))</f>
        <v/>
      </c>
      <c r="B681" s="0" t="str">
        <f aca="false">IF(Pipeline_Sort!$C681="","",INDEX(Pipeline_Calc!$C$2:$C$5251,Pipeline_Sort!$C681))</f>
        <v/>
      </c>
      <c r="C681" s="0" t="str">
        <f aca="false">IF(Pipeline_Sort!$C681="","",INDEX(Pipeline_Calc!$D$2:$D$5251,Pipeline_Sort!$C681))</f>
        <v/>
      </c>
      <c r="D681" s="0" t="str">
        <f aca="false">IF(Pipeline_Sort!$C681="","",INDEX(Pipeline_Calc!$E$2:$E$5251,Pipeline_Sort!$C681))</f>
        <v/>
      </c>
      <c r="E681" s="0" t="str">
        <f aca="false">IF(Pipeline_Sort!$C681="","",INDEX(Pipeline_Calc!$F$2:$F$5251,Pipeline_Sort!$C681))</f>
        <v/>
      </c>
      <c r="F681" s="0" t="str">
        <f aca="false">IF(Pipeline_Sort!$C681="","",INDEX(Pipeline_Calc!$G$2:$G$5251,Pipeline_Sort!$C681))</f>
        <v/>
      </c>
      <c r="G681" s="0" t="str">
        <f aca="false">IF(Pipeline_Sort!$C681="","",INDEX(Pipeline_Calc!$H$2:$H$5251,Pipeline_Sort!$C681))</f>
        <v/>
      </c>
      <c r="H681" s="0" t="str">
        <f aca="false">IF(Pipeline_Sort!$C681="","",INDEX(Pipeline_Calc!$I$2:$I$5251,Pipeline_Sort!$C681))</f>
        <v/>
      </c>
      <c r="I681" s="0" t="str">
        <f aca="false">IF(Pipeline_Sort!$C681="","",INDEX(Pipeline_Calc!$J$2:$J$5251,Pipeline_Sort!$C681))</f>
        <v/>
      </c>
    </row>
    <row r="682" customFormat="false" ht="15" hidden="false" customHeight="false" outlineLevel="0" collapsed="false">
      <c r="A682" s="33" t="str">
        <f aca="false">IF(Pipeline_Sort!$C682="","",INDEX(Pipeline_Calc!$B$2:$B$5251,Pipeline_Sort!$C682))</f>
        <v/>
      </c>
      <c r="B682" s="0" t="str">
        <f aca="false">IF(Pipeline_Sort!$C682="","",INDEX(Pipeline_Calc!$C$2:$C$5251,Pipeline_Sort!$C682))</f>
        <v/>
      </c>
      <c r="C682" s="0" t="str">
        <f aca="false">IF(Pipeline_Sort!$C682="","",INDEX(Pipeline_Calc!$D$2:$D$5251,Pipeline_Sort!$C682))</f>
        <v/>
      </c>
      <c r="D682" s="0" t="str">
        <f aca="false">IF(Pipeline_Sort!$C682="","",INDEX(Pipeline_Calc!$E$2:$E$5251,Pipeline_Sort!$C682))</f>
        <v/>
      </c>
      <c r="E682" s="0" t="str">
        <f aca="false">IF(Pipeline_Sort!$C682="","",INDEX(Pipeline_Calc!$F$2:$F$5251,Pipeline_Sort!$C682))</f>
        <v/>
      </c>
      <c r="F682" s="0" t="str">
        <f aca="false">IF(Pipeline_Sort!$C682="","",INDEX(Pipeline_Calc!$G$2:$G$5251,Pipeline_Sort!$C682))</f>
        <v/>
      </c>
      <c r="G682" s="0" t="str">
        <f aca="false">IF(Pipeline_Sort!$C682="","",INDEX(Pipeline_Calc!$H$2:$H$5251,Pipeline_Sort!$C682))</f>
        <v/>
      </c>
      <c r="H682" s="0" t="str">
        <f aca="false">IF(Pipeline_Sort!$C682="","",INDEX(Pipeline_Calc!$I$2:$I$5251,Pipeline_Sort!$C682))</f>
        <v/>
      </c>
      <c r="I682" s="0" t="str">
        <f aca="false">IF(Pipeline_Sort!$C682="","",INDEX(Pipeline_Calc!$J$2:$J$5251,Pipeline_Sort!$C682))</f>
        <v/>
      </c>
    </row>
    <row r="683" customFormat="false" ht="15" hidden="false" customHeight="false" outlineLevel="0" collapsed="false">
      <c r="A683" s="33" t="str">
        <f aca="false">IF(Pipeline_Sort!$C683="","",INDEX(Pipeline_Calc!$B$2:$B$5251,Pipeline_Sort!$C683))</f>
        <v/>
      </c>
      <c r="B683" s="0" t="str">
        <f aca="false">IF(Pipeline_Sort!$C683="","",INDEX(Pipeline_Calc!$C$2:$C$5251,Pipeline_Sort!$C683))</f>
        <v/>
      </c>
      <c r="C683" s="0" t="str">
        <f aca="false">IF(Pipeline_Sort!$C683="","",INDEX(Pipeline_Calc!$D$2:$D$5251,Pipeline_Sort!$C683))</f>
        <v/>
      </c>
      <c r="D683" s="0" t="str">
        <f aca="false">IF(Pipeline_Sort!$C683="","",INDEX(Pipeline_Calc!$E$2:$E$5251,Pipeline_Sort!$C683))</f>
        <v/>
      </c>
      <c r="E683" s="0" t="str">
        <f aca="false">IF(Pipeline_Sort!$C683="","",INDEX(Pipeline_Calc!$F$2:$F$5251,Pipeline_Sort!$C683))</f>
        <v/>
      </c>
      <c r="F683" s="0" t="str">
        <f aca="false">IF(Pipeline_Sort!$C683="","",INDEX(Pipeline_Calc!$G$2:$G$5251,Pipeline_Sort!$C683))</f>
        <v/>
      </c>
      <c r="G683" s="0" t="str">
        <f aca="false">IF(Pipeline_Sort!$C683="","",INDEX(Pipeline_Calc!$H$2:$H$5251,Pipeline_Sort!$C683))</f>
        <v/>
      </c>
      <c r="H683" s="0" t="str">
        <f aca="false">IF(Pipeline_Sort!$C683="","",INDEX(Pipeline_Calc!$I$2:$I$5251,Pipeline_Sort!$C683))</f>
        <v/>
      </c>
      <c r="I683" s="0" t="str">
        <f aca="false">IF(Pipeline_Sort!$C683="","",INDEX(Pipeline_Calc!$J$2:$J$5251,Pipeline_Sort!$C683))</f>
        <v/>
      </c>
    </row>
    <row r="684" customFormat="false" ht="15" hidden="false" customHeight="false" outlineLevel="0" collapsed="false">
      <c r="A684" s="33" t="str">
        <f aca="false">IF(Pipeline_Sort!$C684="","",INDEX(Pipeline_Calc!$B$2:$B$5251,Pipeline_Sort!$C684))</f>
        <v/>
      </c>
      <c r="B684" s="0" t="str">
        <f aca="false">IF(Pipeline_Sort!$C684="","",INDEX(Pipeline_Calc!$C$2:$C$5251,Pipeline_Sort!$C684))</f>
        <v/>
      </c>
      <c r="C684" s="0" t="str">
        <f aca="false">IF(Pipeline_Sort!$C684="","",INDEX(Pipeline_Calc!$D$2:$D$5251,Pipeline_Sort!$C684))</f>
        <v/>
      </c>
      <c r="D684" s="0" t="str">
        <f aca="false">IF(Pipeline_Sort!$C684="","",INDEX(Pipeline_Calc!$E$2:$E$5251,Pipeline_Sort!$C684))</f>
        <v/>
      </c>
      <c r="E684" s="0" t="str">
        <f aca="false">IF(Pipeline_Sort!$C684="","",INDEX(Pipeline_Calc!$F$2:$F$5251,Pipeline_Sort!$C684))</f>
        <v/>
      </c>
      <c r="F684" s="0" t="str">
        <f aca="false">IF(Pipeline_Sort!$C684="","",INDEX(Pipeline_Calc!$G$2:$G$5251,Pipeline_Sort!$C684))</f>
        <v/>
      </c>
      <c r="G684" s="0" t="str">
        <f aca="false">IF(Pipeline_Sort!$C684="","",INDEX(Pipeline_Calc!$H$2:$H$5251,Pipeline_Sort!$C684))</f>
        <v/>
      </c>
      <c r="H684" s="0" t="str">
        <f aca="false">IF(Pipeline_Sort!$C684="","",INDEX(Pipeline_Calc!$I$2:$I$5251,Pipeline_Sort!$C684))</f>
        <v/>
      </c>
      <c r="I684" s="0" t="str">
        <f aca="false">IF(Pipeline_Sort!$C684="","",INDEX(Pipeline_Calc!$J$2:$J$5251,Pipeline_Sort!$C684))</f>
        <v/>
      </c>
    </row>
    <row r="685" customFormat="false" ht="15" hidden="false" customHeight="false" outlineLevel="0" collapsed="false">
      <c r="A685" s="33" t="str">
        <f aca="false">IF(Pipeline_Sort!$C685="","",INDEX(Pipeline_Calc!$B$2:$B$5251,Pipeline_Sort!$C685))</f>
        <v/>
      </c>
      <c r="B685" s="0" t="str">
        <f aca="false">IF(Pipeline_Sort!$C685="","",INDEX(Pipeline_Calc!$C$2:$C$5251,Pipeline_Sort!$C685))</f>
        <v/>
      </c>
      <c r="C685" s="0" t="str">
        <f aca="false">IF(Pipeline_Sort!$C685="","",INDEX(Pipeline_Calc!$D$2:$D$5251,Pipeline_Sort!$C685))</f>
        <v/>
      </c>
      <c r="D685" s="0" t="str">
        <f aca="false">IF(Pipeline_Sort!$C685="","",INDEX(Pipeline_Calc!$E$2:$E$5251,Pipeline_Sort!$C685))</f>
        <v/>
      </c>
      <c r="E685" s="0" t="str">
        <f aca="false">IF(Pipeline_Sort!$C685="","",INDEX(Pipeline_Calc!$F$2:$F$5251,Pipeline_Sort!$C685))</f>
        <v/>
      </c>
      <c r="F685" s="0" t="str">
        <f aca="false">IF(Pipeline_Sort!$C685="","",INDEX(Pipeline_Calc!$G$2:$G$5251,Pipeline_Sort!$C685))</f>
        <v/>
      </c>
      <c r="G685" s="0" t="str">
        <f aca="false">IF(Pipeline_Sort!$C685="","",INDEX(Pipeline_Calc!$H$2:$H$5251,Pipeline_Sort!$C685))</f>
        <v/>
      </c>
      <c r="H685" s="0" t="str">
        <f aca="false">IF(Pipeline_Sort!$C685="","",INDEX(Pipeline_Calc!$I$2:$I$5251,Pipeline_Sort!$C685))</f>
        <v/>
      </c>
      <c r="I685" s="0" t="str">
        <f aca="false">IF(Pipeline_Sort!$C685="","",INDEX(Pipeline_Calc!$J$2:$J$5251,Pipeline_Sort!$C685))</f>
        <v/>
      </c>
    </row>
    <row r="686" customFormat="false" ht="15" hidden="false" customHeight="false" outlineLevel="0" collapsed="false">
      <c r="A686" s="33" t="str">
        <f aca="false">IF(Pipeline_Sort!$C686="","",INDEX(Pipeline_Calc!$B$2:$B$5251,Pipeline_Sort!$C686))</f>
        <v/>
      </c>
      <c r="B686" s="0" t="str">
        <f aca="false">IF(Pipeline_Sort!$C686="","",INDEX(Pipeline_Calc!$C$2:$C$5251,Pipeline_Sort!$C686))</f>
        <v/>
      </c>
      <c r="C686" s="0" t="str">
        <f aca="false">IF(Pipeline_Sort!$C686="","",INDEX(Pipeline_Calc!$D$2:$D$5251,Pipeline_Sort!$C686))</f>
        <v/>
      </c>
      <c r="D686" s="0" t="str">
        <f aca="false">IF(Pipeline_Sort!$C686="","",INDEX(Pipeline_Calc!$E$2:$E$5251,Pipeline_Sort!$C686))</f>
        <v/>
      </c>
      <c r="E686" s="0" t="str">
        <f aca="false">IF(Pipeline_Sort!$C686="","",INDEX(Pipeline_Calc!$F$2:$F$5251,Pipeline_Sort!$C686))</f>
        <v/>
      </c>
      <c r="F686" s="0" t="str">
        <f aca="false">IF(Pipeline_Sort!$C686="","",INDEX(Pipeline_Calc!$G$2:$G$5251,Pipeline_Sort!$C686))</f>
        <v/>
      </c>
      <c r="G686" s="0" t="str">
        <f aca="false">IF(Pipeline_Sort!$C686="","",INDEX(Pipeline_Calc!$H$2:$H$5251,Pipeline_Sort!$C686))</f>
        <v/>
      </c>
      <c r="H686" s="0" t="str">
        <f aca="false">IF(Pipeline_Sort!$C686="","",INDEX(Pipeline_Calc!$I$2:$I$5251,Pipeline_Sort!$C686))</f>
        <v/>
      </c>
      <c r="I686" s="0" t="str">
        <f aca="false">IF(Pipeline_Sort!$C686="","",INDEX(Pipeline_Calc!$J$2:$J$5251,Pipeline_Sort!$C686))</f>
        <v/>
      </c>
    </row>
    <row r="687" customFormat="false" ht="15" hidden="false" customHeight="false" outlineLevel="0" collapsed="false">
      <c r="A687" s="33" t="str">
        <f aca="false">IF(Pipeline_Sort!$C687="","",INDEX(Pipeline_Calc!$B$2:$B$5251,Pipeline_Sort!$C687))</f>
        <v/>
      </c>
      <c r="B687" s="0" t="str">
        <f aca="false">IF(Pipeline_Sort!$C687="","",INDEX(Pipeline_Calc!$C$2:$C$5251,Pipeline_Sort!$C687))</f>
        <v/>
      </c>
      <c r="C687" s="0" t="str">
        <f aca="false">IF(Pipeline_Sort!$C687="","",INDEX(Pipeline_Calc!$D$2:$D$5251,Pipeline_Sort!$C687))</f>
        <v/>
      </c>
      <c r="D687" s="0" t="str">
        <f aca="false">IF(Pipeline_Sort!$C687="","",INDEX(Pipeline_Calc!$E$2:$E$5251,Pipeline_Sort!$C687))</f>
        <v/>
      </c>
      <c r="E687" s="0" t="str">
        <f aca="false">IF(Pipeline_Sort!$C687="","",INDEX(Pipeline_Calc!$F$2:$F$5251,Pipeline_Sort!$C687))</f>
        <v/>
      </c>
      <c r="F687" s="0" t="str">
        <f aca="false">IF(Pipeline_Sort!$C687="","",INDEX(Pipeline_Calc!$G$2:$G$5251,Pipeline_Sort!$C687))</f>
        <v/>
      </c>
      <c r="G687" s="0" t="str">
        <f aca="false">IF(Pipeline_Sort!$C687="","",INDEX(Pipeline_Calc!$H$2:$H$5251,Pipeline_Sort!$C687))</f>
        <v/>
      </c>
      <c r="H687" s="0" t="str">
        <f aca="false">IF(Pipeline_Sort!$C687="","",INDEX(Pipeline_Calc!$I$2:$I$5251,Pipeline_Sort!$C687))</f>
        <v/>
      </c>
      <c r="I687" s="0" t="str">
        <f aca="false">IF(Pipeline_Sort!$C687="","",INDEX(Pipeline_Calc!$J$2:$J$5251,Pipeline_Sort!$C687))</f>
        <v/>
      </c>
    </row>
    <row r="688" customFormat="false" ht="15" hidden="false" customHeight="false" outlineLevel="0" collapsed="false">
      <c r="A688" s="33" t="str">
        <f aca="false">IF(Pipeline_Sort!$C688="","",INDEX(Pipeline_Calc!$B$2:$B$5251,Pipeline_Sort!$C688))</f>
        <v/>
      </c>
      <c r="B688" s="0" t="str">
        <f aca="false">IF(Pipeline_Sort!$C688="","",INDEX(Pipeline_Calc!$C$2:$C$5251,Pipeline_Sort!$C688))</f>
        <v/>
      </c>
      <c r="C688" s="0" t="str">
        <f aca="false">IF(Pipeline_Sort!$C688="","",INDEX(Pipeline_Calc!$D$2:$D$5251,Pipeline_Sort!$C688))</f>
        <v/>
      </c>
      <c r="D688" s="0" t="str">
        <f aca="false">IF(Pipeline_Sort!$C688="","",INDEX(Pipeline_Calc!$E$2:$E$5251,Pipeline_Sort!$C688))</f>
        <v/>
      </c>
      <c r="E688" s="0" t="str">
        <f aca="false">IF(Pipeline_Sort!$C688="","",INDEX(Pipeline_Calc!$F$2:$F$5251,Pipeline_Sort!$C688))</f>
        <v/>
      </c>
      <c r="F688" s="0" t="str">
        <f aca="false">IF(Pipeline_Sort!$C688="","",INDEX(Pipeline_Calc!$G$2:$G$5251,Pipeline_Sort!$C688))</f>
        <v/>
      </c>
      <c r="G688" s="0" t="str">
        <f aca="false">IF(Pipeline_Sort!$C688="","",INDEX(Pipeline_Calc!$H$2:$H$5251,Pipeline_Sort!$C688))</f>
        <v/>
      </c>
      <c r="H688" s="0" t="str">
        <f aca="false">IF(Pipeline_Sort!$C688="","",INDEX(Pipeline_Calc!$I$2:$I$5251,Pipeline_Sort!$C688))</f>
        <v/>
      </c>
      <c r="I688" s="0" t="str">
        <f aca="false">IF(Pipeline_Sort!$C688="","",INDEX(Pipeline_Calc!$J$2:$J$5251,Pipeline_Sort!$C688))</f>
        <v/>
      </c>
    </row>
    <row r="689" customFormat="false" ht="15" hidden="false" customHeight="false" outlineLevel="0" collapsed="false">
      <c r="A689" s="33" t="str">
        <f aca="false">IF(Pipeline_Sort!$C689="","",INDEX(Pipeline_Calc!$B$2:$B$5251,Pipeline_Sort!$C689))</f>
        <v/>
      </c>
      <c r="B689" s="0" t="str">
        <f aca="false">IF(Pipeline_Sort!$C689="","",INDEX(Pipeline_Calc!$C$2:$C$5251,Pipeline_Sort!$C689))</f>
        <v/>
      </c>
      <c r="C689" s="0" t="str">
        <f aca="false">IF(Pipeline_Sort!$C689="","",INDEX(Pipeline_Calc!$D$2:$D$5251,Pipeline_Sort!$C689))</f>
        <v/>
      </c>
      <c r="D689" s="0" t="str">
        <f aca="false">IF(Pipeline_Sort!$C689="","",INDEX(Pipeline_Calc!$E$2:$E$5251,Pipeline_Sort!$C689))</f>
        <v/>
      </c>
      <c r="E689" s="0" t="str">
        <f aca="false">IF(Pipeline_Sort!$C689="","",INDEX(Pipeline_Calc!$F$2:$F$5251,Pipeline_Sort!$C689))</f>
        <v/>
      </c>
      <c r="F689" s="0" t="str">
        <f aca="false">IF(Pipeline_Sort!$C689="","",INDEX(Pipeline_Calc!$G$2:$G$5251,Pipeline_Sort!$C689))</f>
        <v/>
      </c>
      <c r="G689" s="0" t="str">
        <f aca="false">IF(Pipeline_Sort!$C689="","",INDEX(Pipeline_Calc!$H$2:$H$5251,Pipeline_Sort!$C689))</f>
        <v/>
      </c>
      <c r="H689" s="0" t="str">
        <f aca="false">IF(Pipeline_Sort!$C689="","",INDEX(Pipeline_Calc!$I$2:$I$5251,Pipeline_Sort!$C689))</f>
        <v/>
      </c>
      <c r="I689" s="0" t="str">
        <f aca="false">IF(Pipeline_Sort!$C689="","",INDEX(Pipeline_Calc!$J$2:$J$5251,Pipeline_Sort!$C689))</f>
        <v/>
      </c>
    </row>
    <row r="690" customFormat="false" ht="15" hidden="false" customHeight="false" outlineLevel="0" collapsed="false">
      <c r="A690" s="33" t="str">
        <f aca="false">IF(Pipeline_Sort!$C690="","",INDEX(Pipeline_Calc!$B$2:$B$5251,Pipeline_Sort!$C690))</f>
        <v/>
      </c>
      <c r="B690" s="0" t="str">
        <f aca="false">IF(Pipeline_Sort!$C690="","",INDEX(Pipeline_Calc!$C$2:$C$5251,Pipeline_Sort!$C690))</f>
        <v/>
      </c>
      <c r="C690" s="0" t="str">
        <f aca="false">IF(Pipeline_Sort!$C690="","",INDEX(Pipeline_Calc!$D$2:$D$5251,Pipeline_Sort!$C690))</f>
        <v/>
      </c>
      <c r="D690" s="0" t="str">
        <f aca="false">IF(Pipeline_Sort!$C690="","",INDEX(Pipeline_Calc!$E$2:$E$5251,Pipeline_Sort!$C690))</f>
        <v/>
      </c>
      <c r="E690" s="0" t="str">
        <f aca="false">IF(Pipeline_Sort!$C690="","",INDEX(Pipeline_Calc!$F$2:$F$5251,Pipeline_Sort!$C690))</f>
        <v/>
      </c>
      <c r="F690" s="0" t="str">
        <f aca="false">IF(Pipeline_Sort!$C690="","",INDEX(Pipeline_Calc!$G$2:$G$5251,Pipeline_Sort!$C690))</f>
        <v/>
      </c>
      <c r="G690" s="0" t="str">
        <f aca="false">IF(Pipeline_Sort!$C690="","",INDEX(Pipeline_Calc!$H$2:$H$5251,Pipeline_Sort!$C690))</f>
        <v/>
      </c>
      <c r="H690" s="0" t="str">
        <f aca="false">IF(Pipeline_Sort!$C690="","",INDEX(Pipeline_Calc!$I$2:$I$5251,Pipeline_Sort!$C690))</f>
        <v/>
      </c>
      <c r="I690" s="0" t="str">
        <f aca="false">IF(Pipeline_Sort!$C690="","",INDEX(Pipeline_Calc!$J$2:$J$5251,Pipeline_Sort!$C690))</f>
        <v/>
      </c>
    </row>
    <row r="691" customFormat="false" ht="15" hidden="false" customHeight="false" outlineLevel="0" collapsed="false">
      <c r="A691" s="33" t="str">
        <f aca="false">IF(Pipeline_Sort!$C691="","",INDEX(Pipeline_Calc!$B$2:$B$5251,Pipeline_Sort!$C691))</f>
        <v/>
      </c>
      <c r="B691" s="0" t="str">
        <f aca="false">IF(Pipeline_Sort!$C691="","",INDEX(Pipeline_Calc!$C$2:$C$5251,Pipeline_Sort!$C691))</f>
        <v/>
      </c>
      <c r="C691" s="0" t="str">
        <f aca="false">IF(Pipeline_Sort!$C691="","",INDEX(Pipeline_Calc!$D$2:$D$5251,Pipeline_Sort!$C691))</f>
        <v/>
      </c>
      <c r="D691" s="0" t="str">
        <f aca="false">IF(Pipeline_Sort!$C691="","",INDEX(Pipeline_Calc!$E$2:$E$5251,Pipeline_Sort!$C691))</f>
        <v/>
      </c>
      <c r="E691" s="0" t="str">
        <f aca="false">IF(Pipeline_Sort!$C691="","",INDEX(Pipeline_Calc!$F$2:$F$5251,Pipeline_Sort!$C691))</f>
        <v/>
      </c>
      <c r="F691" s="0" t="str">
        <f aca="false">IF(Pipeline_Sort!$C691="","",INDEX(Pipeline_Calc!$G$2:$G$5251,Pipeline_Sort!$C691))</f>
        <v/>
      </c>
      <c r="G691" s="0" t="str">
        <f aca="false">IF(Pipeline_Sort!$C691="","",INDEX(Pipeline_Calc!$H$2:$H$5251,Pipeline_Sort!$C691))</f>
        <v/>
      </c>
      <c r="H691" s="0" t="str">
        <f aca="false">IF(Pipeline_Sort!$C691="","",INDEX(Pipeline_Calc!$I$2:$I$5251,Pipeline_Sort!$C691))</f>
        <v/>
      </c>
      <c r="I691" s="0" t="str">
        <f aca="false">IF(Pipeline_Sort!$C691="","",INDEX(Pipeline_Calc!$J$2:$J$5251,Pipeline_Sort!$C691))</f>
        <v/>
      </c>
    </row>
    <row r="692" customFormat="false" ht="15" hidden="false" customHeight="false" outlineLevel="0" collapsed="false">
      <c r="A692" s="33" t="str">
        <f aca="false">IF(Pipeline_Sort!$C692="","",INDEX(Pipeline_Calc!$B$2:$B$5251,Pipeline_Sort!$C692))</f>
        <v/>
      </c>
      <c r="B692" s="0" t="str">
        <f aca="false">IF(Pipeline_Sort!$C692="","",INDEX(Pipeline_Calc!$C$2:$C$5251,Pipeline_Sort!$C692))</f>
        <v/>
      </c>
      <c r="C692" s="0" t="str">
        <f aca="false">IF(Pipeline_Sort!$C692="","",INDEX(Pipeline_Calc!$D$2:$D$5251,Pipeline_Sort!$C692))</f>
        <v/>
      </c>
      <c r="D692" s="0" t="str">
        <f aca="false">IF(Pipeline_Sort!$C692="","",INDEX(Pipeline_Calc!$E$2:$E$5251,Pipeline_Sort!$C692))</f>
        <v/>
      </c>
      <c r="E692" s="0" t="str">
        <f aca="false">IF(Pipeline_Sort!$C692="","",INDEX(Pipeline_Calc!$F$2:$F$5251,Pipeline_Sort!$C692))</f>
        <v/>
      </c>
      <c r="F692" s="0" t="str">
        <f aca="false">IF(Pipeline_Sort!$C692="","",INDEX(Pipeline_Calc!$G$2:$G$5251,Pipeline_Sort!$C692))</f>
        <v/>
      </c>
      <c r="G692" s="0" t="str">
        <f aca="false">IF(Pipeline_Sort!$C692="","",INDEX(Pipeline_Calc!$H$2:$H$5251,Pipeline_Sort!$C692))</f>
        <v/>
      </c>
      <c r="H692" s="0" t="str">
        <f aca="false">IF(Pipeline_Sort!$C692="","",INDEX(Pipeline_Calc!$I$2:$I$5251,Pipeline_Sort!$C692))</f>
        <v/>
      </c>
      <c r="I692" s="0" t="str">
        <f aca="false">IF(Pipeline_Sort!$C692="","",INDEX(Pipeline_Calc!$J$2:$J$5251,Pipeline_Sort!$C692))</f>
        <v/>
      </c>
    </row>
    <row r="693" customFormat="false" ht="15" hidden="false" customHeight="false" outlineLevel="0" collapsed="false">
      <c r="A693" s="33" t="str">
        <f aca="false">IF(Pipeline_Sort!$C693="","",INDEX(Pipeline_Calc!$B$2:$B$5251,Pipeline_Sort!$C693))</f>
        <v/>
      </c>
      <c r="B693" s="0" t="str">
        <f aca="false">IF(Pipeline_Sort!$C693="","",INDEX(Pipeline_Calc!$C$2:$C$5251,Pipeline_Sort!$C693))</f>
        <v/>
      </c>
      <c r="C693" s="0" t="str">
        <f aca="false">IF(Pipeline_Sort!$C693="","",INDEX(Pipeline_Calc!$D$2:$D$5251,Pipeline_Sort!$C693))</f>
        <v/>
      </c>
      <c r="D693" s="0" t="str">
        <f aca="false">IF(Pipeline_Sort!$C693="","",INDEX(Pipeline_Calc!$E$2:$E$5251,Pipeline_Sort!$C693))</f>
        <v/>
      </c>
      <c r="E693" s="0" t="str">
        <f aca="false">IF(Pipeline_Sort!$C693="","",INDEX(Pipeline_Calc!$F$2:$F$5251,Pipeline_Sort!$C693))</f>
        <v/>
      </c>
      <c r="F693" s="0" t="str">
        <f aca="false">IF(Pipeline_Sort!$C693="","",INDEX(Pipeline_Calc!$G$2:$G$5251,Pipeline_Sort!$C693))</f>
        <v/>
      </c>
      <c r="G693" s="0" t="str">
        <f aca="false">IF(Pipeline_Sort!$C693="","",INDEX(Pipeline_Calc!$H$2:$H$5251,Pipeline_Sort!$C693))</f>
        <v/>
      </c>
      <c r="H693" s="0" t="str">
        <f aca="false">IF(Pipeline_Sort!$C693="","",INDEX(Pipeline_Calc!$I$2:$I$5251,Pipeline_Sort!$C693))</f>
        <v/>
      </c>
      <c r="I693" s="0" t="str">
        <f aca="false">IF(Pipeline_Sort!$C693="","",INDEX(Pipeline_Calc!$J$2:$J$5251,Pipeline_Sort!$C693))</f>
        <v/>
      </c>
    </row>
    <row r="694" customFormat="false" ht="15" hidden="false" customHeight="false" outlineLevel="0" collapsed="false">
      <c r="A694" s="33" t="str">
        <f aca="false">IF(Pipeline_Sort!$C694="","",INDEX(Pipeline_Calc!$B$2:$B$5251,Pipeline_Sort!$C694))</f>
        <v/>
      </c>
      <c r="B694" s="0" t="str">
        <f aca="false">IF(Pipeline_Sort!$C694="","",INDEX(Pipeline_Calc!$C$2:$C$5251,Pipeline_Sort!$C694))</f>
        <v/>
      </c>
      <c r="C694" s="0" t="str">
        <f aca="false">IF(Pipeline_Sort!$C694="","",INDEX(Pipeline_Calc!$D$2:$D$5251,Pipeline_Sort!$C694))</f>
        <v/>
      </c>
      <c r="D694" s="0" t="str">
        <f aca="false">IF(Pipeline_Sort!$C694="","",INDEX(Pipeline_Calc!$E$2:$E$5251,Pipeline_Sort!$C694))</f>
        <v/>
      </c>
      <c r="E694" s="0" t="str">
        <f aca="false">IF(Pipeline_Sort!$C694="","",INDEX(Pipeline_Calc!$F$2:$F$5251,Pipeline_Sort!$C694))</f>
        <v/>
      </c>
      <c r="F694" s="0" t="str">
        <f aca="false">IF(Pipeline_Sort!$C694="","",INDEX(Pipeline_Calc!$G$2:$G$5251,Pipeline_Sort!$C694))</f>
        <v/>
      </c>
      <c r="G694" s="0" t="str">
        <f aca="false">IF(Pipeline_Sort!$C694="","",INDEX(Pipeline_Calc!$H$2:$H$5251,Pipeline_Sort!$C694))</f>
        <v/>
      </c>
      <c r="H694" s="0" t="str">
        <f aca="false">IF(Pipeline_Sort!$C694="","",INDEX(Pipeline_Calc!$I$2:$I$5251,Pipeline_Sort!$C694))</f>
        <v/>
      </c>
      <c r="I694" s="0" t="str">
        <f aca="false">IF(Pipeline_Sort!$C694="","",INDEX(Pipeline_Calc!$J$2:$J$5251,Pipeline_Sort!$C694))</f>
        <v/>
      </c>
    </row>
    <row r="695" customFormat="false" ht="15" hidden="false" customHeight="false" outlineLevel="0" collapsed="false">
      <c r="A695" s="33" t="str">
        <f aca="false">IF(Pipeline_Sort!$C695="","",INDEX(Pipeline_Calc!$B$2:$B$5251,Pipeline_Sort!$C695))</f>
        <v/>
      </c>
      <c r="B695" s="0" t="str">
        <f aca="false">IF(Pipeline_Sort!$C695="","",INDEX(Pipeline_Calc!$C$2:$C$5251,Pipeline_Sort!$C695))</f>
        <v/>
      </c>
      <c r="C695" s="0" t="str">
        <f aca="false">IF(Pipeline_Sort!$C695="","",INDEX(Pipeline_Calc!$D$2:$D$5251,Pipeline_Sort!$C695))</f>
        <v/>
      </c>
      <c r="D695" s="0" t="str">
        <f aca="false">IF(Pipeline_Sort!$C695="","",INDEX(Pipeline_Calc!$E$2:$E$5251,Pipeline_Sort!$C695))</f>
        <v/>
      </c>
      <c r="E695" s="0" t="str">
        <f aca="false">IF(Pipeline_Sort!$C695="","",INDEX(Pipeline_Calc!$F$2:$F$5251,Pipeline_Sort!$C695))</f>
        <v/>
      </c>
      <c r="F695" s="0" t="str">
        <f aca="false">IF(Pipeline_Sort!$C695="","",INDEX(Pipeline_Calc!$G$2:$G$5251,Pipeline_Sort!$C695))</f>
        <v/>
      </c>
      <c r="G695" s="0" t="str">
        <f aca="false">IF(Pipeline_Sort!$C695="","",INDEX(Pipeline_Calc!$H$2:$H$5251,Pipeline_Sort!$C695))</f>
        <v/>
      </c>
      <c r="H695" s="0" t="str">
        <f aca="false">IF(Pipeline_Sort!$C695="","",INDEX(Pipeline_Calc!$I$2:$I$5251,Pipeline_Sort!$C695))</f>
        <v/>
      </c>
      <c r="I695" s="0" t="str">
        <f aca="false">IF(Pipeline_Sort!$C695="","",INDEX(Pipeline_Calc!$J$2:$J$5251,Pipeline_Sort!$C695))</f>
        <v/>
      </c>
    </row>
    <row r="696" customFormat="false" ht="15" hidden="false" customHeight="false" outlineLevel="0" collapsed="false">
      <c r="A696" s="33" t="str">
        <f aca="false">IF(Pipeline_Sort!$C696="","",INDEX(Pipeline_Calc!$B$2:$B$5251,Pipeline_Sort!$C696))</f>
        <v/>
      </c>
      <c r="B696" s="0" t="str">
        <f aca="false">IF(Pipeline_Sort!$C696="","",INDEX(Pipeline_Calc!$C$2:$C$5251,Pipeline_Sort!$C696))</f>
        <v/>
      </c>
      <c r="C696" s="0" t="str">
        <f aca="false">IF(Pipeline_Sort!$C696="","",INDEX(Pipeline_Calc!$D$2:$D$5251,Pipeline_Sort!$C696))</f>
        <v/>
      </c>
      <c r="D696" s="0" t="str">
        <f aca="false">IF(Pipeline_Sort!$C696="","",INDEX(Pipeline_Calc!$E$2:$E$5251,Pipeline_Sort!$C696))</f>
        <v/>
      </c>
      <c r="E696" s="0" t="str">
        <f aca="false">IF(Pipeline_Sort!$C696="","",INDEX(Pipeline_Calc!$F$2:$F$5251,Pipeline_Sort!$C696))</f>
        <v/>
      </c>
      <c r="F696" s="0" t="str">
        <f aca="false">IF(Pipeline_Sort!$C696="","",INDEX(Pipeline_Calc!$G$2:$G$5251,Pipeline_Sort!$C696))</f>
        <v/>
      </c>
      <c r="G696" s="0" t="str">
        <f aca="false">IF(Pipeline_Sort!$C696="","",INDEX(Pipeline_Calc!$H$2:$H$5251,Pipeline_Sort!$C696))</f>
        <v/>
      </c>
      <c r="H696" s="0" t="str">
        <f aca="false">IF(Pipeline_Sort!$C696="","",INDEX(Pipeline_Calc!$I$2:$I$5251,Pipeline_Sort!$C696))</f>
        <v/>
      </c>
      <c r="I696" s="0" t="str">
        <f aca="false">IF(Pipeline_Sort!$C696="","",INDEX(Pipeline_Calc!$J$2:$J$5251,Pipeline_Sort!$C696))</f>
        <v/>
      </c>
    </row>
    <row r="697" customFormat="false" ht="15" hidden="false" customHeight="false" outlineLevel="0" collapsed="false">
      <c r="A697" s="33" t="str">
        <f aca="false">IF(Pipeline_Sort!$C697="","",INDEX(Pipeline_Calc!$B$2:$B$5251,Pipeline_Sort!$C697))</f>
        <v/>
      </c>
      <c r="B697" s="0" t="str">
        <f aca="false">IF(Pipeline_Sort!$C697="","",INDEX(Pipeline_Calc!$C$2:$C$5251,Pipeline_Sort!$C697))</f>
        <v/>
      </c>
      <c r="C697" s="0" t="str">
        <f aca="false">IF(Pipeline_Sort!$C697="","",INDEX(Pipeline_Calc!$D$2:$D$5251,Pipeline_Sort!$C697))</f>
        <v/>
      </c>
      <c r="D697" s="0" t="str">
        <f aca="false">IF(Pipeline_Sort!$C697="","",INDEX(Pipeline_Calc!$E$2:$E$5251,Pipeline_Sort!$C697))</f>
        <v/>
      </c>
      <c r="E697" s="0" t="str">
        <f aca="false">IF(Pipeline_Sort!$C697="","",INDEX(Pipeline_Calc!$F$2:$F$5251,Pipeline_Sort!$C697))</f>
        <v/>
      </c>
      <c r="F697" s="0" t="str">
        <f aca="false">IF(Pipeline_Sort!$C697="","",INDEX(Pipeline_Calc!$G$2:$G$5251,Pipeline_Sort!$C697))</f>
        <v/>
      </c>
      <c r="G697" s="0" t="str">
        <f aca="false">IF(Pipeline_Sort!$C697="","",INDEX(Pipeline_Calc!$H$2:$H$5251,Pipeline_Sort!$C697))</f>
        <v/>
      </c>
      <c r="H697" s="0" t="str">
        <f aca="false">IF(Pipeline_Sort!$C697="","",INDEX(Pipeline_Calc!$I$2:$I$5251,Pipeline_Sort!$C697))</f>
        <v/>
      </c>
      <c r="I697" s="0" t="str">
        <f aca="false">IF(Pipeline_Sort!$C697="","",INDEX(Pipeline_Calc!$J$2:$J$5251,Pipeline_Sort!$C697))</f>
        <v/>
      </c>
    </row>
    <row r="698" customFormat="false" ht="15" hidden="false" customHeight="false" outlineLevel="0" collapsed="false">
      <c r="A698" s="33" t="str">
        <f aca="false">IF(Pipeline_Sort!$C698="","",INDEX(Pipeline_Calc!$B$2:$B$5251,Pipeline_Sort!$C698))</f>
        <v/>
      </c>
      <c r="B698" s="0" t="str">
        <f aca="false">IF(Pipeline_Sort!$C698="","",INDEX(Pipeline_Calc!$C$2:$C$5251,Pipeline_Sort!$C698))</f>
        <v/>
      </c>
      <c r="C698" s="0" t="str">
        <f aca="false">IF(Pipeline_Sort!$C698="","",INDEX(Pipeline_Calc!$D$2:$D$5251,Pipeline_Sort!$C698))</f>
        <v/>
      </c>
      <c r="D698" s="0" t="str">
        <f aca="false">IF(Pipeline_Sort!$C698="","",INDEX(Pipeline_Calc!$E$2:$E$5251,Pipeline_Sort!$C698))</f>
        <v/>
      </c>
      <c r="E698" s="0" t="str">
        <f aca="false">IF(Pipeline_Sort!$C698="","",INDEX(Pipeline_Calc!$F$2:$F$5251,Pipeline_Sort!$C698))</f>
        <v/>
      </c>
      <c r="F698" s="0" t="str">
        <f aca="false">IF(Pipeline_Sort!$C698="","",INDEX(Pipeline_Calc!$G$2:$G$5251,Pipeline_Sort!$C698))</f>
        <v/>
      </c>
      <c r="G698" s="0" t="str">
        <f aca="false">IF(Pipeline_Sort!$C698="","",INDEX(Pipeline_Calc!$H$2:$H$5251,Pipeline_Sort!$C698))</f>
        <v/>
      </c>
      <c r="H698" s="0" t="str">
        <f aca="false">IF(Pipeline_Sort!$C698="","",INDEX(Pipeline_Calc!$I$2:$I$5251,Pipeline_Sort!$C698))</f>
        <v/>
      </c>
      <c r="I698" s="0" t="str">
        <f aca="false">IF(Pipeline_Sort!$C698="","",INDEX(Pipeline_Calc!$J$2:$J$5251,Pipeline_Sort!$C698))</f>
        <v/>
      </c>
    </row>
    <row r="699" customFormat="false" ht="15" hidden="false" customHeight="false" outlineLevel="0" collapsed="false">
      <c r="A699" s="33" t="str">
        <f aca="false">IF(Pipeline_Sort!$C699="","",INDEX(Pipeline_Calc!$B$2:$B$5251,Pipeline_Sort!$C699))</f>
        <v/>
      </c>
      <c r="B699" s="0" t="str">
        <f aca="false">IF(Pipeline_Sort!$C699="","",INDEX(Pipeline_Calc!$C$2:$C$5251,Pipeline_Sort!$C699))</f>
        <v/>
      </c>
      <c r="C699" s="0" t="str">
        <f aca="false">IF(Pipeline_Sort!$C699="","",INDEX(Pipeline_Calc!$D$2:$D$5251,Pipeline_Sort!$C699))</f>
        <v/>
      </c>
      <c r="D699" s="0" t="str">
        <f aca="false">IF(Pipeline_Sort!$C699="","",INDEX(Pipeline_Calc!$E$2:$E$5251,Pipeline_Sort!$C699))</f>
        <v/>
      </c>
      <c r="E699" s="0" t="str">
        <f aca="false">IF(Pipeline_Sort!$C699="","",INDEX(Pipeline_Calc!$F$2:$F$5251,Pipeline_Sort!$C699))</f>
        <v/>
      </c>
      <c r="F699" s="0" t="str">
        <f aca="false">IF(Pipeline_Sort!$C699="","",INDEX(Pipeline_Calc!$G$2:$G$5251,Pipeline_Sort!$C699))</f>
        <v/>
      </c>
      <c r="G699" s="0" t="str">
        <f aca="false">IF(Pipeline_Sort!$C699="","",INDEX(Pipeline_Calc!$H$2:$H$5251,Pipeline_Sort!$C699))</f>
        <v/>
      </c>
      <c r="H699" s="0" t="str">
        <f aca="false">IF(Pipeline_Sort!$C699="","",INDEX(Pipeline_Calc!$I$2:$I$5251,Pipeline_Sort!$C699))</f>
        <v/>
      </c>
      <c r="I699" s="0" t="str">
        <f aca="false">IF(Pipeline_Sort!$C699="","",INDEX(Pipeline_Calc!$J$2:$J$5251,Pipeline_Sort!$C699))</f>
        <v/>
      </c>
    </row>
    <row r="700" customFormat="false" ht="15" hidden="false" customHeight="false" outlineLevel="0" collapsed="false">
      <c r="A700" s="33" t="str">
        <f aca="false">IF(Pipeline_Sort!$C700="","",INDEX(Pipeline_Calc!$B$2:$B$5251,Pipeline_Sort!$C700))</f>
        <v/>
      </c>
      <c r="B700" s="0" t="str">
        <f aca="false">IF(Pipeline_Sort!$C700="","",INDEX(Pipeline_Calc!$C$2:$C$5251,Pipeline_Sort!$C700))</f>
        <v/>
      </c>
      <c r="C700" s="0" t="str">
        <f aca="false">IF(Pipeline_Sort!$C700="","",INDEX(Pipeline_Calc!$D$2:$D$5251,Pipeline_Sort!$C700))</f>
        <v/>
      </c>
      <c r="D700" s="0" t="str">
        <f aca="false">IF(Pipeline_Sort!$C700="","",INDEX(Pipeline_Calc!$E$2:$E$5251,Pipeline_Sort!$C700))</f>
        <v/>
      </c>
      <c r="E700" s="0" t="str">
        <f aca="false">IF(Pipeline_Sort!$C700="","",INDEX(Pipeline_Calc!$F$2:$F$5251,Pipeline_Sort!$C700))</f>
        <v/>
      </c>
      <c r="F700" s="0" t="str">
        <f aca="false">IF(Pipeline_Sort!$C700="","",INDEX(Pipeline_Calc!$G$2:$G$5251,Pipeline_Sort!$C700))</f>
        <v/>
      </c>
      <c r="G700" s="0" t="str">
        <f aca="false">IF(Pipeline_Sort!$C700="","",INDEX(Pipeline_Calc!$H$2:$H$5251,Pipeline_Sort!$C700))</f>
        <v/>
      </c>
      <c r="H700" s="0" t="str">
        <f aca="false">IF(Pipeline_Sort!$C700="","",INDEX(Pipeline_Calc!$I$2:$I$5251,Pipeline_Sort!$C700))</f>
        <v/>
      </c>
      <c r="I700" s="0" t="str">
        <f aca="false">IF(Pipeline_Sort!$C700="","",INDEX(Pipeline_Calc!$J$2:$J$5251,Pipeline_Sort!$C700))</f>
        <v/>
      </c>
    </row>
    <row r="701" customFormat="false" ht="15" hidden="false" customHeight="false" outlineLevel="0" collapsed="false">
      <c r="A701" s="33" t="str">
        <f aca="false">IF(Pipeline_Sort!$C701="","",INDEX(Pipeline_Calc!$B$2:$B$5251,Pipeline_Sort!$C701))</f>
        <v/>
      </c>
      <c r="B701" s="0" t="str">
        <f aca="false">IF(Pipeline_Sort!$C701="","",INDEX(Pipeline_Calc!$C$2:$C$5251,Pipeline_Sort!$C701))</f>
        <v/>
      </c>
      <c r="C701" s="0" t="str">
        <f aca="false">IF(Pipeline_Sort!$C701="","",INDEX(Pipeline_Calc!$D$2:$D$5251,Pipeline_Sort!$C701))</f>
        <v/>
      </c>
      <c r="D701" s="0" t="str">
        <f aca="false">IF(Pipeline_Sort!$C701="","",INDEX(Pipeline_Calc!$E$2:$E$5251,Pipeline_Sort!$C701))</f>
        <v/>
      </c>
      <c r="E701" s="0" t="str">
        <f aca="false">IF(Pipeline_Sort!$C701="","",INDEX(Pipeline_Calc!$F$2:$F$5251,Pipeline_Sort!$C701))</f>
        <v/>
      </c>
      <c r="F701" s="0" t="str">
        <f aca="false">IF(Pipeline_Sort!$C701="","",INDEX(Pipeline_Calc!$G$2:$G$5251,Pipeline_Sort!$C701))</f>
        <v/>
      </c>
      <c r="G701" s="0" t="str">
        <f aca="false">IF(Pipeline_Sort!$C701="","",INDEX(Pipeline_Calc!$H$2:$H$5251,Pipeline_Sort!$C701))</f>
        <v/>
      </c>
      <c r="H701" s="0" t="str">
        <f aca="false">IF(Pipeline_Sort!$C701="","",INDEX(Pipeline_Calc!$I$2:$I$5251,Pipeline_Sort!$C701))</f>
        <v/>
      </c>
      <c r="I701" s="0" t="str">
        <f aca="false">IF(Pipeline_Sort!$C701="","",INDEX(Pipeline_Calc!$J$2:$J$5251,Pipeline_Sort!$C701))</f>
        <v/>
      </c>
    </row>
    <row r="702" customFormat="false" ht="15" hidden="false" customHeight="false" outlineLevel="0" collapsed="false">
      <c r="A702" s="33" t="str">
        <f aca="false">IF(Pipeline_Sort!$C702="","",INDEX(Pipeline_Calc!$B$2:$B$5251,Pipeline_Sort!$C702))</f>
        <v/>
      </c>
      <c r="B702" s="0" t="str">
        <f aca="false">IF(Pipeline_Sort!$C702="","",INDEX(Pipeline_Calc!$C$2:$C$5251,Pipeline_Sort!$C702))</f>
        <v/>
      </c>
      <c r="C702" s="0" t="str">
        <f aca="false">IF(Pipeline_Sort!$C702="","",INDEX(Pipeline_Calc!$D$2:$D$5251,Pipeline_Sort!$C702))</f>
        <v/>
      </c>
      <c r="D702" s="0" t="str">
        <f aca="false">IF(Pipeline_Sort!$C702="","",INDEX(Pipeline_Calc!$E$2:$E$5251,Pipeline_Sort!$C702))</f>
        <v/>
      </c>
      <c r="E702" s="0" t="str">
        <f aca="false">IF(Pipeline_Sort!$C702="","",INDEX(Pipeline_Calc!$F$2:$F$5251,Pipeline_Sort!$C702))</f>
        <v/>
      </c>
      <c r="F702" s="0" t="str">
        <f aca="false">IF(Pipeline_Sort!$C702="","",INDEX(Pipeline_Calc!$G$2:$G$5251,Pipeline_Sort!$C702))</f>
        <v/>
      </c>
      <c r="G702" s="0" t="str">
        <f aca="false">IF(Pipeline_Sort!$C702="","",INDEX(Pipeline_Calc!$H$2:$H$5251,Pipeline_Sort!$C702))</f>
        <v/>
      </c>
      <c r="H702" s="0" t="str">
        <f aca="false">IF(Pipeline_Sort!$C702="","",INDEX(Pipeline_Calc!$I$2:$I$5251,Pipeline_Sort!$C702))</f>
        <v/>
      </c>
      <c r="I702" s="0" t="str">
        <f aca="false">IF(Pipeline_Sort!$C702="","",INDEX(Pipeline_Calc!$J$2:$J$5251,Pipeline_Sort!$C702))</f>
        <v/>
      </c>
    </row>
    <row r="703" customFormat="false" ht="15" hidden="false" customHeight="false" outlineLevel="0" collapsed="false">
      <c r="A703" s="33" t="str">
        <f aca="false">IF(Pipeline_Sort!$C703="","",INDEX(Pipeline_Calc!$B$2:$B$5251,Pipeline_Sort!$C703))</f>
        <v/>
      </c>
      <c r="B703" s="0" t="str">
        <f aca="false">IF(Pipeline_Sort!$C703="","",INDEX(Pipeline_Calc!$C$2:$C$5251,Pipeline_Sort!$C703))</f>
        <v/>
      </c>
      <c r="C703" s="0" t="str">
        <f aca="false">IF(Pipeline_Sort!$C703="","",INDEX(Pipeline_Calc!$D$2:$D$5251,Pipeline_Sort!$C703))</f>
        <v/>
      </c>
      <c r="D703" s="0" t="str">
        <f aca="false">IF(Pipeline_Sort!$C703="","",INDEX(Pipeline_Calc!$E$2:$E$5251,Pipeline_Sort!$C703))</f>
        <v/>
      </c>
      <c r="E703" s="0" t="str">
        <f aca="false">IF(Pipeline_Sort!$C703="","",INDEX(Pipeline_Calc!$F$2:$F$5251,Pipeline_Sort!$C703))</f>
        <v/>
      </c>
      <c r="F703" s="0" t="str">
        <f aca="false">IF(Pipeline_Sort!$C703="","",INDEX(Pipeline_Calc!$G$2:$G$5251,Pipeline_Sort!$C703))</f>
        <v/>
      </c>
      <c r="G703" s="0" t="str">
        <f aca="false">IF(Pipeline_Sort!$C703="","",INDEX(Pipeline_Calc!$H$2:$H$5251,Pipeline_Sort!$C703))</f>
        <v/>
      </c>
      <c r="H703" s="0" t="str">
        <f aca="false">IF(Pipeline_Sort!$C703="","",INDEX(Pipeline_Calc!$I$2:$I$5251,Pipeline_Sort!$C703))</f>
        <v/>
      </c>
      <c r="I703" s="0" t="str">
        <f aca="false">IF(Pipeline_Sort!$C703="","",INDEX(Pipeline_Calc!$J$2:$J$5251,Pipeline_Sort!$C703))</f>
        <v/>
      </c>
    </row>
    <row r="704" customFormat="false" ht="15" hidden="false" customHeight="false" outlineLevel="0" collapsed="false">
      <c r="A704" s="33" t="str">
        <f aca="false">IF(Pipeline_Sort!$C704="","",INDEX(Pipeline_Calc!$B$2:$B$5251,Pipeline_Sort!$C704))</f>
        <v/>
      </c>
      <c r="B704" s="0" t="str">
        <f aca="false">IF(Pipeline_Sort!$C704="","",INDEX(Pipeline_Calc!$C$2:$C$5251,Pipeline_Sort!$C704))</f>
        <v/>
      </c>
      <c r="C704" s="0" t="str">
        <f aca="false">IF(Pipeline_Sort!$C704="","",INDEX(Pipeline_Calc!$D$2:$D$5251,Pipeline_Sort!$C704))</f>
        <v/>
      </c>
      <c r="D704" s="0" t="str">
        <f aca="false">IF(Pipeline_Sort!$C704="","",INDEX(Pipeline_Calc!$E$2:$E$5251,Pipeline_Sort!$C704))</f>
        <v/>
      </c>
      <c r="E704" s="0" t="str">
        <f aca="false">IF(Pipeline_Sort!$C704="","",INDEX(Pipeline_Calc!$F$2:$F$5251,Pipeline_Sort!$C704))</f>
        <v/>
      </c>
      <c r="F704" s="0" t="str">
        <f aca="false">IF(Pipeline_Sort!$C704="","",INDEX(Pipeline_Calc!$G$2:$G$5251,Pipeline_Sort!$C704))</f>
        <v/>
      </c>
      <c r="G704" s="0" t="str">
        <f aca="false">IF(Pipeline_Sort!$C704="","",INDEX(Pipeline_Calc!$H$2:$H$5251,Pipeline_Sort!$C704))</f>
        <v/>
      </c>
      <c r="H704" s="0" t="str">
        <f aca="false">IF(Pipeline_Sort!$C704="","",INDEX(Pipeline_Calc!$I$2:$I$5251,Pipeline_Sort!$C704))</f>
        <v/>
      </c>
      <c r="I704" s="0" t="str">
        <f aca="false">IF(Pipeline_Sort!$C704="","",INDEX(Pipeline_Calc!$J$2:$J$5251,Pipeline_Sort!$C704))</f>
        <v/>
      </c>
    </row>
    <row r="705" customFormat="false" ht="15" hidden="false" customHeight="false" outlineLevel="0" collapsed="false">
      <c r="A705" s="33" t="str">
        <f aca="false">IF(Pipeline_Sort!$C705="","",INDEX(Pipeline_Calc!$B$2:$B$5251,Pipeline_Sort!$C705))</f>
        <v/>
      </c>
      <c r="B705" s="0" t="str">
        <f aca="false">IF(Pipeline_Sort!$C705="","",INDEX(Pipeline_Calc!$C$2:$C$5251,Pipeline_Sort!$C705))</f>
        <v/>
      </c>
      <c r="C705" s="0" t="str">
        <f aca="false">IF(Pipeline_Sort!$C705="","",INDEX(Pipeline_Calc!$D$2:$D$5251,Pipeline_Sort!$C705))</f>
        <v/>
      </c>
      <c r="D705" s="0" t="str">
        <f aca="false">IF(Pipeline_Sort!$C705="","",INDEX(Pipeline_Calc!$E$2:$E$5251,Pipeline_Sort!$C705))</f>
        <v/>
      </c>
      <c r="E705" s="0" t="str">
        <f aca="false">IF(Pipeline_Sort!$C705="","",INDEX(Pipeline_Calc!$F$2:$F$5251,Pipeline_Sort!$C705))</f>
        <v/>
      </c>
      <c r="F705" s="0" t="str">
        <f aca="false">IF(Pipeline_Sort!$C705="","",INDEX(Pipeline_Calc!$G$2:$G$5251,Pipeline_Sort!$C705))</f>
        <v/>
      </c>
      <c r="G705" s="0" t="str">
        <f aca="false">IF(Pipeline_Sort!$C705="","",INDEX(Pipeline_Calc!$H$2:$H$5251,Pipeline_Sort!$C705))</f>
        <v/>
      </c>
      <c r="H705" s="0" t="str">
        <f aca="false">IF(Pipeline_Sort!$C705="","",INDEX(Pipeline_Calc!$I$2:$I$5251,Pipeline_Sort!$C705))</f>
        <v/>
      </c>
      <c r="I705" s="0" t="str">
        <f aca="false">IF(Pipeline_Sort!$C705="","",INDEX(Pipeline_Calc!$J$2:$J$5251,Pipeline_Sort!$C705))</f>
        <v/>
      </c>
    </row>
    <row r="706" customFormat="false" ht="15" hidden="false" customHeight="false" outlineLevel="0" collapsed="false">
      <c r="A706" s="33" t="str">
        <f aca="false">IF(Pipeline_Sort!$C706="","",INDEX(Pipeline_Calc!$B$2:$B$5251,Pipeline_Sort!$C706))</f>
        <v/>
      </c>
      <c r="B706" s="0" t="str">
        <f aca="false">IF(Pipeline_Sort!$C706="","",INDEX(Pipeline_Calc!$C$2:$C$5251,Pipeline_Sort!$C706))</f>
        <v/>
      </c>
      <c r="C706" s="0" t="str">
        <f aca="false">IF(Pipeline_Sort!$C706="","",INDEX(Pipeline_Calc!$D$2:$D$5251,Pipeline_Sort!$C706))</f>
        <v/>
      </c>
      <c r="D706" s="0" t="str">
        <f aca="false">IF(Pipeline_Sort!$C706="","",INDEX(Pipeline_Calc!$E$2:$E$5251,Pipeline_Sort!$C706))</f>
        <v/>
      </c>
      <c r="E706" s="0" t="str">
        <f aca="false">IF(Pipeline_Sort!$C706="","",INDEX(Pipeline_Calc!$F$2:$F$5251,Pipeline_Sort!$C706))</f>
        <v/>
      </c>
      <c r="F706" s="0" t="str">
        <f aca="false">IF(Pipeline_Sort!$C706="","",INDEX(Pipeline_Calc!$G$2:$G$5251,Pipeline_Sort!$C706))</f>
        <v/>
      </c>
      <c r="G706" s="0" t="str">
        <f aca="false">IF(Pipeline_Sort!$C706="","",INDEX(Pipeline_Calc!$H$2:$H$5251,Pipeline_Sort!$C706))</f>
        <v/>
      </c>
      <c r="H706" s="0" t="str">
        <f aca="false">IF(Pipeline_Sort!$C706="","",INDEX(Pipeline_Calc!$I$2:$I$5251,Pipeline_Sort!$C706))</f>
        <v/>
      </c>
      <c r="I706" s="0" t="str">
        <f aca="false">IF(Pipeline_Sort!$C706="","",INDEX(Pipeline_Calc!$J$2:$J$5251,Pipeline_Sort!$C706))</f>
        <v/>
      </c>
    </row>
    <row r="707" customFormat="false" ht="15" hidden="false" customHeight="false" outlineLevel="0" collapsed="false">
      <c r="A707" s="33" t="str">
        <f aca="false">IF(Pipeline_Sort!$C707="","",INDEX(Pipeline_Calc!$B$2:$B$5251,Pipeline_Sort!$C707))</f>
        <v/>
      </c>
      <c r="B707" s="0" t="str">
        <f aca="false">IF(Pipeline_Sort!$C707="","",INDEX(Pipeline_Calc!$C$2:$C$5251,Pipeline_Sort!$C707))</f>
        <v/>
      </c>
      <c r="C707" s="0" t="str">
        <f aca="false">IF(Pipeline_Sort!$C707="","",INDEX(Pipeline_Calc!$D$2:$D$5251,Pipeline_Sort!$C707))</f>
        <v/>
      </c>
      <c r="D707" s="0" t="str">
        <f aca="false">IF(Pipeline_Sort!$C707="","",INDEX(Pipeline_Calc!$E$2:$E$5251,Pipeline_Sort!$C707))</f>
        <v/>
      </c>
      <c r="E707" s="0" t="str">
        <f aca="false">IF(Pipeline_Sort!$C707="","",INDEX(Pipeline_Calc!$F$2:$F$5251,Pipeline_Sort!$C707))</f>
        <v/>
      </c>
      <c r="F707" s="0" t="str">
        <f aca="false">IF(Pipeline_Sort!$C707="","",INDEX(Pipeline_Calc!$G$2:$G$5251,Pipeline_Sort!$C707))</f>
        <v/>
      </c>
      <c r="G707" s="0" t="str">
        <f aca="false">IF(Pipeline_Sort!$C707="","",INDEX(Pipeline_Calc!$H$2:$H$5251,Pipeline_Sort!$C707))</f>
        <v/>
      </c>
      <c r="H707" s="0" t="str">
        <f aca="false">IF(Pipeline_Sort!$C707="","",INDEX(Pipeline_Calc!$I$2:$I$5251,Pipeline_Sort!$C707))</f>
        <v/>
      </c>
      <c r="I707" s="0" t="str">
        <f aca="false">IF(Pipeline_Sort!$C707="","",INDEX(Pipeline_Calc!$J$2:$J$5251,Pipeline_Sort!$C707))</f>
        <v/>
      </c>
    </row>
    <row r="708" customFormat="false" ht="15" hidden="false" customHeight="false" outlineLevel="0" collapsed="false">
      <c r="A708" s="33" t="str">
        <f aca="false">IF(Pipeline_Sort!$C708="","",INDEX(Pipeline_Calc!$B$2:$B$5251,Pipeline_Sort!$C708))</f>
        <v/>
      </c>
      <c r="B708" s="0" t="str">
        <f aca="false">IF(Pipeline_Sort!$C708="","",INDEX(Pipeline_Calc!$C$2:$C$5251,Pipeline_Sort!$C708))</f>
        <v/>
      </c>
      <c r="C708" s="0" t="str">
        <f aca="false">IF(Pipeline_Sort!$C708="","",INDEX(Pipeline_Calc!$D$2:$D$5251,Pipeline_Sort!$C708))</f>
        <v/>
      </c>
      <c r="D708" s="0" t="str">
        <f aca="false">IF(Pipeline_Sort!$C708="","",INDEX(Pipeline_Calc!$E$2:$E$5251,Pipeline_Sort!$C708))</f>
        <v/>
      </c>
      <c r="E708" s="0" t="str">
        <f aca="false">IF(Pipeline_Sort!$C708="","",INDEX(Pipeline_Calc!$F$2:$F$5251,Pipeline_Sort!$C708))</f>
        <v/>
      </c>
      <c r="F708" s="0" t="str">
        <f aca="false">IF(Pipeline_Sort!$C708="","",INDEX(Pipeline_Calc!$G$2:$G$5251,Pipeline_Sort!$C708))</f>
        <v/>
      </c>
      <c r="G708" s="0" t="str">
        <f aca="false">IF(Pipeline_Sort!$C708="","",INDEX(Pipeline_Calc!$H$2:$H$5251,Pipeline_Sort!$C708))</f>
        <v/>
      </c>
      <c r="H708" s="0" t="str">
        <f aca="false">IF(Pipeline_Sort!$C708="","",INDEX(Pipeline_Calc!$I$2:$I$5251,Pipeline_Sort!$C708))</f>
        <v/>
      </c>
      <c r="I708" s="0" t="str">
        <f aca="false">IF(Pipeline_Sort!$C708="","",INDEX(Pipeline_Calc!$J$2:$J$5251,Pipeline_Sort!$C708))</f>
        <v/>
      </c>
    </row>
    <row r="709" customFormat="false" ht="15" hidden="false" customHeight="false" outlineLevel="0" collapsed="false">
      <c r="A709" s="33" t="str">
        <f aca="false">IF(Pipeline_Sort!$C709="","",INDEX(Pipeline_Calc!$B$2:$B$5251,Pipeline_Sort!$C709))</f>
        <v/>
      </c>
      <c r="B709" s="0" t="str">
        <f aca="false">IF(Pipeline_Sort!$C709="","",INDEX(Pipeline_Calc!$C$2:$C$5251,Pipeline_Sort!$C709))</f>
        <v/>
      </c>
      <c r="C709" s="0" t="str">
        <f aca="false">IF(Pipeline_Sort!$C709="","",INDEX(Pipeline_Calc!$D$2:$D$5251,Pipeline_Sort!$C709))</f>
        <v/>
      </c>
      <c r="D709" s="0" t="str">
        <f aca="false">IF(Pipeline_Sort!$C709="","",INDEX(Pipeline_Calc!$E$2:$E$5251,Pipeline_Sort!$C709))</f>
        <v/>
      </c>
      <c r="E709" s="0" t="str">
        <f aca="false">IF(Pipeline_Sort!$C709="","",INDEX(Pipeline_Calc!$F$2:$F$5251,Pipeline_Sort!$C709))</f>
        <v/>
      </c>
      <c r="F709" s="0" t="str">
        <f aca="false">IF(Pipeline_Sort!$C709="","",INDEX(Pipeline_Calc!$G$2:$G$5251,Pipeline_Sort!$C709))</f>
        <v/>
      </c>
      <c r="G709" s="0" t="str">
        <f aca="false">IF(Pipeline_Sort!$C709="","",INDEX(Pipeline_Calc!$H$2:$H$5251,Pipeline_Sort!$C709))</f>
        <v/>
      </c>
      <c r="H709" s="0" t="str">
        <f aca="false">IF(Pipeline_Sort!$C709="","",INDEX(Pipeline_Calc!$I$2:$I$5251,Pipeline_Sort!$C709))</f>
        <v/>
      </c>
      <c r="I709" s="0" t="str">
        <f aca="false">IF(Pipeline_Sort!$C709="","",INDEX(Pipeline_Calc!$J$2:$J$5251,Pipeline_Sort!$C709))</f>
        <v/>
      </c>
    </row>
    <row r="710" customFormat="false" ht="15" hidden="false" customHeight="false" outlineLevel="0" collapsed="false">
      <c r="A710" s="33" t="str">
        <f aca="false">IF(Pipeline_Sort!$C710="","",INDEX(Pipeline_Calc!$B$2:$B$5251,Pipeline_Sort!$C710))</f>
        <v/>
      </c>
      <c r="B710" s="0" t="str">
        <f aca="false">IF(Pipeline_Sort!$C710="","",INDEX(Pipeline_Calc!$C$2:$C$5251,Pipeline_Sort!$C710))</f>
        <v/>
      </c>
      <c r="C710" s="0" t="str">
        <f aca="false">IF(Pipeline_Sort!$C710="","",INDEX(Pipeline_Calc!$D$2:$D$5251,Pipeline_Sort!$C710))</f>
        <v/>
      </c>
      <c r="D710" s="0" t="str">
        <f aca="false">IF(Pipeline_Sort!$C710="","",INDEX(Pipeline_Calc!$E$2:$E$5251,Pipeline_Sort!$C710))</f>
        <v/>
      </c>
      <c r="E710" s="0" t="str">
        <f aca="false">IF(Pipeline_Sort!$C710="","",INDEX(Pipeline_Calc!$F$2:$F$5251,Pipeline_Sort!$C710))</f>
        <v/>
      </c>
      <c r="F710" s="0" t="str">
        <f aca="false">IF(Pipeline_Sort!$C710="","",INDEX(Pipeline_Calc!$G$2:$G$5251,Pipeline_Sort!$C710))</f>
        <v/>
      </c>
      <c r="G710" s="0" t="str">
        <f aca="false">IF(Pipeline_Sort!$C710="","",INDEX(Pipeline_Calc!$H$2:$H$5251,Pipeline_Sort!$C710))</f>
        <v/>
      </c>
      <c r="H710" s="0" t="str">
        <f aca="false">IF(Pipeline_Sort!$C710="","",INDEX(Pipeline_Calc!$I$2:$I$5251,Pipeline_Sort!$C710))</f>
        <v/>
      </c>
      <c r="I710" s="0" t="str">
        <f aca="false">IF(Pipeline_Sort!$C710="","",INDEX(Pipeline_Calc!$J$2:$J$5251,Pipeline_Sort!$C710))</f>
        <v/>
      </c>
    </row>
    <row r="711" customFormat="false" ht="15" hidden="false" customHeight="false" outlineLevel="0" collapsed="false">
      <c r="A711" s="33" t="str">
        <f aca="false">IF(Pipeline_Sort!$C711="","",INDEX(Pipeline_Calc!$B$2:$B$5251,Pipeline_Sort!$C711))</f>
        <v/>
      </c>
      <c r="B711" s="0" t="str">
        <f aca="false">IF(Pipeline_Sort!$C711="","",INDEX(Pipeline_Calc!$C$2:$C$5251,Pipeline_Sort!$C711))</f>
        <v/>
      </c>
      <c r="C711" s="0" t="str">
        <f aca="false">IF(Pipeline_Sort!$C711="","",INDEX(Pipeline_Calc!$D$2:$D$5251,Pipeline_Sort!$C711))</f>
        <v/>
      </c>
      <c r="D711" s="0" t="str">
        <f aca="false">IF(Pipeline_Sort!$C711="","",INDEX(Pipeline_Calc!$E$2:$E$5251,Pipeline_Sort!$C711))</f>
        <v/>
      </c>
      <c r="E711" s="0" t="str">
        <f aca="false">IF(Pipeline_Sort!$C711="","",INDEX(Pipeline_Calc!$F$2:$F$5251,Pipeline_Sort!$C711))</f>
        <v/>
      </c>
      <c r="F711" s="0" t="str">
        <f aca="false">IF(Pipeline_Sort!$C711="","",INDEX(Pipeline_Calc!$G$2:$G$5251,Pipeline_Sort!$C711))</f>
        <v/>
      </c>
      <c r="G711" s="0" t="str">
        <f aca="false">IF(Pipeline_Sort!$C711="","",INDEX(Pipeline_Calc!$H$2:$H$5251,Pipeline_Sort!$C711))</f>
        <v/>
      </c>
      <c r="H711" s="0" t="str">
        <f aca="false">IF(Pipeline_Sort!$C711="","",INDEX(Pipeline_Calc!$I$2:$I$5251,Pipeline_Sort!$C711))</f>
        <v/>
      </c>
      <c r="I711" s="0" t="str">
        <f aca="false">IF(Pipeline_Sort!$C711="","",INDEX(Pipeline_Calc!$J$2:$J$5251,Pipeline_Sort!$C711))</f>
        <v/>
      </c>
    </row>
    <row r="712" customFormat="false" ht="15" hidden="false" customHeight="false" outlineLevel="0" collapsed="false">
      <c r="A712" s="33" t="str">
        <f aca="false">IF(Pipeline_Sort!$C712="","",INDEX(Pipeline_Calc!$B$2:$B$5251,Pipeline_Sort!$C712))</f>
        <v/>
      </c>
      <c r="B712" s="0" t="str">
        <f aca="false">IF(Pipeline_Sort!$C712="","",INDEX(Pipeline_Calc!$C$2:$C$5251,Pipeline_Sort!$C712))</f>
        <v/>
      </c>
      <c r="C712" s="0" t="str">
        <f aca="false">IF(Pipeline_Sort!$C712="","",INDEX(Pipeline_Calc!$D$2:$D$5251,Pipeline_Sort!$C712))</f>
        <v/>
      </c>
      <c r="D712" s="0" t="str">
        <f aca="false">IF(Pipeline_Sort!$C712="","",INDEX(Pipeline_Calc!$E$2:$E$5251,Pipeline_Sort!$C712))</f>
        <v/>
      </c>
      <c r="E712" s="0" t="str">
        <f aca="false">IF(Pipeline_Sort!$C712="","",INDEX(Pipeline_Calc!$F$2:$F$5251,Pipeline_Sort!$C712))</f>
        <v/>
      </c>
      <c r="F712" s="0" t="str">
        <f aca="false">IF(Pipeline_Sort!$C712="","",INDEX(Pipeline_Calc!$G$2:$G$5251,Pipeline_Sort!$C712))</f>
        <v/>
      </c>
      <c r="G712" s="0" t="str">
        <f aca="false">IF(Pipeline_Sort!$C712="","",INDEX(Pipeline_Calc!$H$2:$H$5251,Pipeline_Sort!$C712))</f>
        <v/>
      </c>
      <c r="H712" s="0" t="str">
        <f aca="false">IF(Pipeline_Sort!$C712="","",INDEX(Pipeline_Calc!$I$2:$I$5251,Pipeline_Sort!$C712))</f>
        <v/>
      </c>
      <c r="I712" s="0" t="str">
        <f aca="false">IF(Pipeline_Sort!$C712="","",INDEX(Pipeline_Calc!$J$2:$J$5251,Pipeline_Sort!$C712))</f>
        <v/>
      </c>
    </row>
    <row r="713" customFormat="false" ht="15" hidden="false" customHeight="false" outlineLevel="0" collapsed="false">
      <c r="A713" s="33" t="str">
        <f aca="false">IF(Pipeline_Sort!$C713="","",INDEX(Pipeline_Calc!$B$2:$B$5251,Pipeline_Sort!$C713))</f>
        <v/>
      </c>
      <c r="B713" s="0" t="str">
        <f aca="false">IF(Pipeline_Sort!$C713="","",INDEX(Pipeline_Calc!$C$2:$C$5251,Pipeline_Sort!$C713))</f>
        <v/>
      </c>
      <c r="C713" s="0" t="str">
        <f aca="false">IF(Pipeline_Sort!$C713="","",INDEX(Pipeline_Calc!$D$2:$D$5251,Pipeline_Sort!$C713))</f>
        <v/>
      </c>
      <c r="D713" s="0" t="str">
        <f aca="false">IF(Pipeline_Sort!$C713="","",INDEX(Pipeline_Calc!$E$2:$E$5251,Pipeline_Sort!$C713))</f>
        <v/>
      </c>
      <c r="E713" s="0" t="str">
        <f aca="false">IF(Pipeline_Sort!$C713="","",INDEX(Pipeline_Calc!$F$2:$F$5251,Pipeline_Sort!$C713))</f>
        <v/>
      </c>
      <c r="F713" s="0" t="str">
        <f aca="false">IF(Pipeline_Sort!$C713="","",INDEX(Pipeline_Calc!$G$2:$G$5251,Pipeline_Sort!$C713))</f>
        <v/>
      </c>
      <c r="G713" s="0" t="str">
        <f aca="false">IF(Pipeline_Sort!$C713="","",INDEX(Pipeline_Calc!$H$2:$H$5251,Pipeline_Sort!$C713))</f>
        <v/>
      </c>
      <c r="H713" s="0" t="str">
        <f aca="false">IF(Pipeline_Sort!$C713="","",INDEX(Pipeline_Calc!$I$2:$I$5251,Pipeline_Sort!$C713))</f>
        <v/>
      </c>
      <c r="I713" s="0" t="str">
        <f aca="false">IF(Pipeline_Sort!$C713="","",INDEX(Pipeline_Calc!$J$2:$J$5251,Pipeline_Sort!$C713))</f>
        <v/>
      </c>
    </row>
    <row r="714" customFormat="false" ht="15" hidden="false" customHeight="false" outlineLevel="0" collapsed="false">
      <c r="A714" s="33" t="str">
        <f aca="false">IF(Pipeline_Sort!$C714="","",INDEX(Pipeline_Calc!$B$2:$B$5251,Pipeline_Sort!$C714))</f>
        <v/>
      </c>
      <c r="B714" s="0" t="str">
        <f aca="false">IF(Pipeline_Sort!$C714="","",INDEX(Pipeline_Calc!$C$2:$C$5251,Pipeline_Sort!$C714))</f>
        <v/>
      </c>
      <c r="C714" s="0" t="str">
        <f aca="false">IF(Pipeline_Sort!$C714="","",INDEX(Pipeline_Calc!$D$2:$D$5251,Pipeline_Sort!$C714))</f>
        <v/>
      </c>
      <c r="D714" s="0" t="str">
        <f aca="false">IF(Pipeline_Sort!$C714="","",INDEX(Pipeline_Calc!$E$2:$E$5251,Pipeline_Sort!$C714))</f>
        <v/>
      </c>
      <c r="E714" s="0" t="str">
        <f aca="false">IF(Pipeline_Sort!$C714="","",INDEX(Pipeline_Calc!$F$2:$F$5251,Pipeline_Sort!$C714))</f>
        <v/>
      </c>
      <c r="F714" s="0" t="str">
        <f aca="false">IF(Pipeline_Sort!$C714="","",INDEX(Pipeline_Calc!$G$2:$G$5251,Pipeline_Sort!$C714))</f>
        <v/>
      </c>
      <c r="G714" s="0" t="str">
        <f aca="false">IF(Pipeline_Sort!$C714="","",INDEX(Pipeline_Calc!$H$2:$H$5251,Pipeline_Sort!$C714))</f>
        <v/>
      </c>
      <c r="H714" s="0" t="str">
        <f aca="false">IF(Pipeline_Sort!$C714="","",INDEX(Pipeline_Calc!$I$2:$I$5251,Pipeline_Sort!$C714))</f>
        <v/>
      </c>
      <c r="I714" s="0" t="str">
        <f aca="false">IF(Pipeline_Sort!$C714="","",INDEX(Pipeline_Calc!$J$2:$J$5251,Pipeline_Sort!$C714))</f>
        <v/>
      </c>
    </row>
    <row r="715" customFormat="false" ht="15" hidden="false" customHeight="false" outlineLevel="0" collapsed="false">
      <c r="A715" s="33" t="str">
        <f aca="false">IF(Pipeline_Sort!$C715="","",INDEX(Pipeline_Calc!$B$2:$B$5251,Pipeline_Sort!$C715))</f>
        <v/>
      </c>
      <c r="B715" s="0" t="str">
        <f aca="false">IF(Pipeline_Sort!$C715="","",INDEX(Pipeline_Calc!$C$2:$C$5251,Pipeline_Sort!$C715))</f>
        <v/>
      </c>
      <c r="C715" s="0" t="str">
        <f aca="false">IF(Pipeline_Sort!$C715="","",INDEX(Pipeline_Calc!$D$2:$D$5251,Pipeline_Sort!$C715))</f>
        <v/>
      </c>
      <c r="D715" s="0" t="str">
        <f aca="false">IF(Pipeline_Sort!$C715="","",INDEX(Pipeline_Calc!$E$2:$E$5251,Pipeline_Sort!$C715))</f>
        <v/>
      </c>
      <c r="E715" s="0" t="str">
        <f aca="false">IF(Pipeline_Sort!$C715="","",INDEX(Pipeline_Calc!$F$2:$F$5251,Pipeline_Sort!$C715))</f>
        <v/>
      </c>
      <c r="F715" s="0" t="str">
        <f aca="false">IF(Pipeline_Sort!$C715="","",INDEX(Pipeline_Calc!$G$2:$G$5251,Pipeline_Sort!$C715))</f>
        <v/>
      </c>
      <c r="G715" s="0" t="str">
        <f aca="false">IF(Pipeline_Sort!$C715="","",INDEX(Pipeline_Calc!$H$2:$H$5251,Pipeline_Sort!$C715))</f>
        <v/>
      </c>
      <c r="H715" s="0" t="str">
        <f aca="false">IF(Pipeline_Sort!$C715="","",INDEX(Pipeline_Calc!$I$2:$I$5251,Pipeline_Sort!$C715))</f>
        <v/>
      </c>
      <c r="I715" s="0" t="str">
        <f aca="false">IF(Pipeline_Sort!$C715="","",INDEX(Pipeline_Calc!$J$2:$J$5251,Pipeline_Sort!$C715))</f>
        <v/>
      </c>
    </row>
    <row r="716" customFormat="false" ht="15" hidden="false" customHeight="false" outlineLevel="0" collapsed="false">
      <c r="A716" s="33" t="str">
        <f aca="false">IF(Pipeline_Sort!$C716="","",INDEX(Pipeline_Calc!$B$2:$B$5251,Pipeline_Sort!$C716))</f>
        <v/>
      </c>
      <c r="B716" s="0" t="str">
        <f aca="false">IF(Pipeline_Sort!$C716="","",INDEX(Pipeline_Calc!$C$2:$C$5251,Pipeline_Sort!$C716))</f>
        <v/>
      </c>
      <c r="C716" s="0" t="str">
        <f aca="false">IF(Pipeline_Sort!$C716="","",INDEX(Pipeline_Calc!$D$2:$D$5251,Pipeline_Sort!$C716))</f>
        <v/>
      </c>
      <c r="D716" s="0" t="str">
        <f aca="false">IF(Pipeline_Sort!$C716="","",INDEX(Pipeline_Calc!$E$2:$E$5251,Pipeline_Sort!$C716))</f>
        <v/>
      </c>
      <c r="E716" s="0" t="str">
        <f aca="false">IF(Pipeline_Sort!$C716="","",INDEX(Pipeline_Calc!$F$2:$F$5251,Pipeline_Sort!$C716))</f>
        <v/>
      </c>
      <c r="F716" s="0" t="str">
        <f aca="false">IF(Pipeline_Sort!$C716="","",INDEX(Pipeline_Calc!$G$2:$G$5251,Pipeline_Sort!$C716))</f>
        <v/>
      </c>
      <c r="G716" s="0" t="str">
        <f aca="false">IF(Pipeline_Sort!$C716="","",INDEX(Pipeline_Calc!$H$2:$H$5251,Pipeline_Sort!$C716))</f>
        <v/>
      </c>
      <c r="H716" s="0" t="str">
        <f aca="false">IF(Pipeline_Sort!$C716="","",INDEX(Pipeline_Calc!$I$2:$I$5251,Pipeline_Sort!$C716))</f>
        <v/>
      </c>
      <c r="I716" s="0" t="str">
        <f aca="false">IF(Pipeline_Sort!$C716="","",INDEX(Pipeline_Calc!$J$2:$J$5251,Pipeline_Sort!$C716))</f>
        <v/>
      </c>
    </row>
    <row r="717" customFormat="false" ht="15" hidden="false" customHeight="false" outlineLevel="0" collapsed="false">
      <c r="A717" s="33" t="str">
        <f aca="false">IF(Pipeline_Sort!$C717="","",INDEX(Pipeline_Calc!$B$2:$B$5251,Pipeline_Sort!$C717))</f>
        <v/>
      </c>
      <c r="B717" s="0" t="str">
        <f aca="false">IF(Pipeline_Sort!$C717="","",INDEX(Pipeline_Calc!$C$2:$C$5251,Pipeline_Sort!$C717))</f>
        <v/>
      </c>
      <c r="C717" s="0" t="str">
        <f aca="false">IF(Pipeline_Sort!$C717="","",INDEX(Pipeline_Calc!$D$2:$D$5251,Pipeline_Sort!$C717))</f>
        <v/>
      </c>
      <c r="D717" s="0" t="str">
        <f aca="false">IF(Pipeline_Sort!$C717="","",INDEX(Pipeline_Calc!$E$2:$E$5251,Pipeline_Sort!$C717))</f>
        <v/>
      </c>
      <c r="E717" s="0" t="str">
        <f aca="false">IF(Pipeline_Sort!$C717="","",INDEX(Pipeline_Calc!$F$2:$F$5251,Pipeline_Sort!$C717))</f>
        <v/>
      </c>
      <c r="F717" s="0" t="str">
        <f aca="false">IF(Pipeline_Sort!$C717="","",INDEX(Pipeline_Calc!$G$2:$G$5251,Pipeline_Sort!$C717))</f>
        <v/>
      </c>
      <c r="G717" s="0" t="str">
        <f aca="false">IF(Pipeline_Sort!$C717="","",INDEX(Pipeline_Calc!$H$2:$H$5251,Pipeline_Sort!$C717))</f>
        <v/>
      </c>
      <c r="H717" s="0" t="str">
        <f aca="false">IF(Pipeline_Sort!$C717="","",INDEX(Pipeline_Calc!$I$2:$I$5251,Pipeline_Sort!$C717))</f>
        <v/>
      </c>
      <c r="I717" s="0" t="str">
        <f aca="false">IF(Pipeline_Sort!$C717="","",INDEX(Pipeline_Calc!$J$2:$J$5251,Pipeline_Sort!$C717))</f>
        <v/>
      </c>
    </row>
    <row r="718" customFormat="false" ht="15" hidden="false" customHeight="false" outlineLevel="0" collapsed="false">
      <c r="A718" s="33" t="str">
        <f aca="false">IF(Pipeline_Sort!$C718="","",INDEX(Pipeline_Calc!$B$2:$B$5251,Pipeline_Sort!$C718))</f>
        <v/>
      </c>
      <c r="B718" s="0" t="str">
        <f aca="false">IF(Pipeline_Sort!$C718="","",INDEX(Pipeline_Calc!$C$2:$C$5251,Pipeline_Sort!$C718))</f>
        <v/>
      </c>
      <c r="C718" s="0" t="str">
        <f aca="false">IF(Pipeline_Sort!$C718="","",INDEX(Pipeline_Calc!$D$2:$D$5251,Pipeline_Sort!$C718))</f>
        <v/>
      </c>
      <c r="D718" s="0" t="str">
        <f aca="false">IF(Pipeline_Sort!$C718="","",INDEX(Pipeline_Calc!$E$2:$E$5251,Pipeline_Sort!$C718))</f>
        <v/>
      </c>
      <c r="E718" s="0" t="str">
        <f aca="false">IF(Pipeline_Sort!$C718="","",INDEX(Pipeline_Calc!$F$2:$F$5251,Pipeline_Sort!$C718))</f>
        <v/>
      </c>
      <c r="F718" s="0" t="str">
        <f aca="false">IF(Pipeline_Sort!$C718="","",INDEX(Pipeline_Calc!$G$2:$G$5251,Pipeline_Sort!$C718))</f>
        <v/>
      </c>
      <c r="G718" s="0" t="str">
        <f aca="false">IF(Pipeline_Sort!$C718="","",INDEX(Pipeline_Calc!$H$2:$H$5251,Pipeline_Sort!$C718))</f>
        <v/>
      </c>
      <c r="H718" s="0" t="str">
        <f aca="false">IF(Pipeline_Sort!$C718="","",INDEX(Pipeline_Calc!$I$2:$I$5251,Pipeline_Sort!$C718))</f>
        <v/>
      </c>
      <c r="I718" s="0" t="str">
        <f aca="false">IF(Pipeline_Sort!$C718="","",INDEX(Pipeline_Calc!$J$2:$J$5251,Pipeline_Sort!$C718))</f>
        <v/>
      </c>
    </row>
    <row r="719" customFormat="false" ht="15" hidden="false" customHeight="false" outlineLevel="0" collapsed="false">
      <c r="A719" s="33" t="str">
        <f aca="false">IF(Pipeline_Sort!$C719="","",INDEX(Pipeline_Calc!$B$2:$B$5251,Pipeline_Sort!$C719))</f>
        <v/>
      </c>
      <c r="B719" s="0" t="str">
        <f aca="false">IF(Pipeline_Sort!$C719="","",INDEX(Pipeline_Calc!$C$2:$C$5251,Pipeline_Sort!$C719))</f>
        <v/>
      </c>
      <c r="C719" s="0" t="str">
        <f aca="false">IF(Pipeline_Sort!$C719="","",INDEX(Pipeline_Calc!$D$2:$D$5251,Pipeline_Sort!$C719))</f>
        <v/>
      </c>
      <c r="D719" s="0" t="str">
        <f aca="false">IF(Pipeline_Sort!$C719="","",INDEX(Pipeline_Calc!$E$2:$E$5251,Pipeline_Sort!$C719))</f>
        <v/>
      </c>
      <c r="E719" s="0" t="str">
        <f aca="false">IF(Pipeline_Sort!$C719="","",INDEX(Pipeline_Calc!$F$2:$F$5251,Pipeline_Sort!$C719))</f>
        <v/>
      </c>
      <c r="F719" s="0" t="str">
        <f aca="false">IF(Pipeline_Sort!$C719="","",INDEX(Pipeline_Calc!$G$2:$G$5251,Pipeline_Sort!$C719))</f>
        <v/>
      </c>
      <c r="G719" s="0" t="str">
        <f aca="false">IF(Pipeline_Sort!$C719="","",INDEX(Pipeline_Calc!$H$2:$H$5251,Pipeline_Sort!$C719))</f>
        <v/>
      </c>
      <c r="H719" s="0" t="str">
        <f aca="false">IF(Pipeline_Sort!$C719="","",INDEX(Pipeline_Calc!$I$2:$I$5251,Pipeline_Sort!$C719))</f>
        <v/>
      </c>
      <c r="I719" s="0" t="str">
        <f aca="false">IF(Pipeline_Sort!$C719="","",INDEX(Pipeline_Calc!$J$2:$J$5251,Pipeline_Sort!$C719))</f>
        <v/>
      </c>
    </row>
    <row r="720" customFormat="false" ht="15" hidden="false" customHeight="false" outlineLevel="0" collapsed="false">
      <c r="A720" s="33" t="str">
        <f aca="false">IF(Pipeline_Sort!$C720="","",INDEX(Pipeline_Calc!$B$2:$B$5251,Pipeline_Sort!$C720))</f>
        <v/>
      </c>
      <c r="B720" s="0" t="str">
        <f aca="false">IF(Pipeline_Sort!$C720="","",INDEX(Pipeline_Calc!$C$2:$C$5251,Pipeline_Sort!$C720))</f>
        <v/>
      </c>
      <c r="C720" s="0" t="str">
        <f aca="false">IF(Pipeline_Sort!$C720="","",INDEX(Pipeline_Calc!$D$2:$D$5251,Pipeline_Sort!$C720))</f>
        <v/>
      </c>
      <c r="D720" s="0" t="str">
        <f aca="false">IF(Pipeline_Sort!$C720="","",INDEX(Pipeline_Calc!$E$2:$E$5251,Pipeline_Sort!$C720))</f>
        <v/>
      </c>
      <c r="E720" s="0" t="str">
        <f aca="false">IF(Pipeline_Sort!$C720="","",INDEX(Pipeline_Calc!$F$2:$F$5251,Pipeline_Sort!$C720))</f>
        <v/>
      </c>
      <c r="F720" s="0" t="str">
        <f aca="false">IF(Pipeline_Sort!$C720="","",INDEX(Pipeline_Calc!$G$2:$G$5251,Pipeline_Sort!$C720))</f>
        <v/>
      </c>
      <c r="G720" s="0" t="str">
        <f aca="false">IF(Pipeline_Sort!$C720="","",INDEX(Pipeline_Calc!$H$2:$H$5251,Pipeline_Sort!$C720))</f>
        <v/>
      </c>
      <c r="H720" s="0" t="str">
        <f aca="false">IF(Pipeline_Sort!$C720="","",INDEX(Pipeline_Calc!$I$2:$I$5251,Pipeline_Sort!$C720))</f>
        <v/>
      </c>
      <c r="I720" s="0" t="str">
        <f aca="false">IF(Pipeline_Sort!$C720="","",INDEX(Pipeline_Calc!$J$2:$J$5251,Pipeline_Sort!$C720))</f>
        <v/>
      </c>
    </row>
    <row r="721" customFormat="false" ht="15" hidden="false" customHeight="false" outlineLevel="0" collapsed="false">
      <c r="A721" s="33" t="str">
        <f aca="false">IF(Pipeline_Sort!$C721="","",INDEX(Pipeline_Calc!$B$2:$B$5251,Pipeline_Sort!$C721))</f>
        <v/>
      </c>
      <c r="B721" s="0" t="str">
        <f aca="false">IF(Pipeline_Sort!$C721="","",INDEX(Pipeline_Calc!$C$2:$C$5251,Pipeline_Sort!$C721))</f>
        <v/>
      </c>
      <c r="C721" s="0" t="str">
        <f aca="false">IF(Pipeline_Sort!$C721="","",INDEX(Pipeline_Calc!$D$2:$D$5251,Pipeline_Sort!$C721))</f>
        <v/>
      </c>
      <c r="D721" s="0" t="str">
        <f aca="false">IF(Pipeline_Sort!$C721="","",INDEX(Pipeline_Calc!$E$2:$E$5251,Pipeline_Sort!$C721))</f>
        <v/>
      </c>
      <c r="E721" s="0" t="str">
        <f aca="false">IF(Pipeline_Sort!$C721="","",INDEX(Pipeline_Calc!$F$2:$F$5251,Pipeline_Sort!$C721))</f>
        <v/>
      </c>
      <c r="F721" s="0" t="str">
        <f aca="false">IF(Pipeline_Sort!$C721="","",INDEX(Pipeline_Calc!$G$2:$G$5251,Pipeline_Sort!$C721))</f>
        <v/>
      </c>
      <c r="G721" s="0" t="str">
        <f aca="false">IF(Pipeline_Sort!$C721="","",INDEX(Pipeline_Calc!$H$2:$H$5251,Pipeline_Sort!$C721))</f>
        <v/>
      </c>
      <c r="H721" s="0" t="str">
        <f aca="false">IF(Pipeline_Sort!$C721="","",INDEX(Pipeline_Calc!$I$2:$I$5251,Pipeline_Sort!$C721))</f>
        <v/>
      </c>
      <c r="I721" s="0" t="str">
        <f aca="false">IF(Pipeline_Sort!$C721="","",INDEX(Pipeline_Calc!$J$2:$J$5251,Pipeline_Sort!$C721))</f>
        <v/>
      </c>
    </row>
    <row r="722" customFormat="false" ht="15" hidden="false" customHeight="false" outlineLevel="0" collapsed="false">
      <c r="A722" s="33" t="str">
        <f aca="false">IF(Pipeline_Sort!$C722="","",INDEX(Pipeline_Calc!$B$2:$B$5251,Pipeline_Sort!$C722))</f>
        <v/>
      </c>
      <c r="B722" s="0" t="str">
        <f aca="false">IF(Pipeline_Sort!$C722="","",INDEX(Pipeline_Calc!$C$2:$C$5251,Pipeline_Sort!$C722))</f>
        <v/>
      </c>
      <c r="C722" s="0" t="str">
        <f aca="false">IF(Pipeline_Sort!$C722="","",INDEX(Pipeline_Calc!$D$2:$D$5251,Pipeline_Sort!$C722))</f>
        <v/>
      </c>
      <c r="D722" s="0" t="str">
        <f aca="false">IF(Pipeline_Sort!$C722="","",INDEX(Pipeline_Calc!$E$2:$E$5251,Pipeline_Sort!$C722))</f>
        <v/>
      </c>
      <c r="E722" s="0" t="str">
        <f aca="false">IF(Pipeline_Sort!$C722="","",INDEX(Pipeline_Calc!$F$2:$F$5251,Pipeline_Sort!$C722))</f>
        <v/>
      </c>
      <c r="F722" s="0" t="str">
        <f aca="false">IF(Pipeline_Sort!$C722="","",INDEX(Pipeline_Calc!$G$2:$G$5251,Pipeline_Sort!$C722))</f>
        <v/>
      </c>
      <c r="G722" s="0" t="str">
        <f aca="false">IF(Pipeline_Sort!$C722="","",INDEX(Pipeline_Calc!$H$2:$H$5251,Pipeline_Sort!$C722))</f>
        <v/>
      </c>
      <c r="H722" s="0" t="str">
        <f aca="false">IF(Pipeline_Sort!$C722="","",INDEX(Pipeline_Calc!$I$2:$I$5251,Pipeline_Sort!$C722))</f>
        <v/>
      </c>
      <c r="I722" s="0" t="str">
        <f aca="false">IF(Pipeline_Sort!$C722="","",INDEX(Pipeline_Calc!$J$2:$J$5251,Pipeline_Sort!$C722))</f>
        <v/>
      </c>
    </row>
    <row r="723" customFormat="false" ht="15" hidden="false" customHeight="false" outlineLevel="0" collapsed="false">
      <c r="A723" s="33" t="str">
        <f aca="false">IF(Pipeline_Sort!$C723="","",INDEX(Pipeline_Calc!$B$2:$B$5251,Pipeline_Sort!$C723))</f>
        <v/>
      </c>
      <c r="B723" s="0" t="str">
        <f aca="false">IF(Pipeline_Sort!$C723="","",INDEX(Pipeline_Calc!$C$2:$C$5251,Pipeline_Sort!$C723))</f>
        <v/>
      </c>
      <c r="C723" s="0" t="str">
        <f aca="false">IF(Pipeline_Sort!$C723="","",INDEX(Pipeline_Calc!$D$2:$D$5251,Pipeline_Sort!$C723))</f>
        <v/>
      </c>
      <c r="D723" s="0" t="str">
        <f aca="false">IF(Pipeline_Sort!$C723="","",INDEX(Pipeline_Calc!$E$2:$E$5251,Pipeline_Sort!$C723))</f>
        <v/>
      </c>
      <c r="E723" s="0" t="str">
        <f aca="false">IF(Pipeline_Sort!$C723="","",INDEX(Pipeline_Calc!$F$2:$F$5251,Pipeline_Sort!$C723))</f>
        <v/>
      </c>
      <c r="F723" s="0" t="str">
        <f aca="false">IF(Pipeline_Sort!$C723="","",INDEX(Pipeline_Calc!$G$2:$G$5251,Pipeline_Sort!$C723))</f>
        <v/>
      </c>
      <c r="G723" s="0" t="str">
        <f aca="false">IF(Pipeline_Sort!$C723="","",INDEX(Pipeline_Calc!$H$2:$H$5251,Pipeline_Sort!$C723))</f>
        <v/>
      </c>
      <c r="H723" s="0" t="str">
        <f aca="false">IF(Pipeline_Sort!$C723="","",INDEX(Pipeline_Calc!$I$2:$I$5251,Pipeline_Sort!$C723))</f>
        <v/>
      </c>
      <c r="I723" s="0" t="str">
        <f aca="false">IF(Pipeline_Sort!$C723="","",INDEX(Pipeline_Calc!$J$2:$J$5251,Pipeline_Sort!$C723))</f>
        <v/>
      </c>
    </row>
    <row r="724" customFormat="false" ht="15" hidden="false" customHeight="false" outlineLevel="0" collapsed="false">
      <c r="A724" s="33" t="str">
        <f aca="false">IF(Pipeline_Sort!$C724="","",INDEX(Pipeline_Calc!$B$2:$B$5251,Pipeline_Sort!$C724))</f>
        <v/>
      </c>
      <c r="B724" s="0" t="str">
        <f aca="false">IF(Pipeline_Sort!$C724="","",INDEX(Pipeline_Calc!$C$2:$C$5251,Pipeline_Sort!$C724))</f>
        <v/>
      </c>
      <c r="C724" s="0" t="str">
        <f aca="false">IF(Pipeline_Sort!$C724="","",INDEX(Pipeline_Calc!$D$2:$D$5251,Pipeline_Sort!$C724))</f>
        <v/>
      </c>
      <c r="D724" s="0" t="str">
        <f aca="false">IF(Pipeline_Sort!$C724="","",INDEX(Pipeline_Calc!$E$2:$E$5251,Pipeline_Sort!$C724))</f>
        <v/>
      </c>
      <c r="E724" s="0" t="str">
        <f aca="false">IF(Pipeline_Sort!$C724="","",INDEX(Pipeline_Calc!$F$2:$F$5251,Pipeline_Sort!$C724))</f>
        <v/>
      </c>
      <c r="F724" s="0" t="str">
        <f aca="false">IF(Pipeline_Sort!$C724="","",INDEX(Pipeline_Calc!$G$2:$G$5251,Pipeline_Sort!$C724))</f>
        <v/>
      </c>
      <c r="G724" s="0" t="str">
        <f aca="false">IF(Pipeline_Sort!$C724="","",INDEX(Pipeline_Calc!$H$2:$H$5251,Pipeline_Sort!$C724))</f>
        <v/>
      </c>
      <c r="H724" s="0" t="str">
        <f aca="false">IF(Pipeline_Sort!$C724="","",INDEX(Pipeline_Calc!$I$2:$I$5251,Pipeline_Sort!$C724))</f>
        <v/>
      </c>
      <c r="I724" s="0" t="str">
        <f aca="false">IF(Pipeline_Sort!$C724="","",INDEX(Pipeline_Calc!$J$2:$J$5251,Pipeline_Sort!$C724))</f>
        <v/>
      </c>
    </row>
    <row r="725" customFormat="false" ht="15" hidden="false" customHeight="false" outlineLevel="0" collapsed="false">
      <c r="A725" s="33" t="str">
        <f aca="false">IF(Pipeline_Sort!$C725="","",INDEX(Pipeline_Calc!$B$2:$B$5251,Pipeline_Sort!$C725))</f>
        <v/>
      </c>
      <c r="B725" s="0" t="str">
        <f aca="false">IF(Pipeline_Sort!$C725="","",INDEX(Pipeline_Calc!$C$2:$C$5251,Pipeline_Sort!$C725))</f>
        <v/>
      </c>
      <c r="C725" s="0" t="str">
        <f aca="false">IF(Pipeline_Sort!$C725="","",INDEX(Pipeline_Calc!$D$2:$D$5251,Pipeline_Sort!$C725))</f>
        <v/>
      </c>
      <c r="D725" s="0" t="str">
        <f aca="false">IF(Pipeline_Sort!$C725="","",INDEX(Pipeline_Calc!$E$2:$E$5251,Pipeline_Sort!$C725))</f>
        <v/>
      </c>
      <c r="E725" s="0" t="str">
        <f aca="false">IF(Pipeline_Sort!$C725="","",INDEX(Pipeline_Calc!$F$2:$F$5251,Pipeline_Sort!$C725))</f>
        <v/>
      </c>
      <c r="F725" s="0" t="str">
        <f aca="false">IF(Pipeline_Sort!$C725="","",INDEX(Pipeline_Calc!$G$2:$G$5251,Pipeline_Sort!$C725))</f>
        <v/>
      </c>
      <c r="G725" s="0" t="str">
        <f aca="false">IF(Pipeline_Sort!$C725="","",INDEX(Pipeline_Calc!$H$2:$H$5251,Pipeline_Sort!$C725))</f>
        <v/>
      </c>
      <c r="H725" s="0" t="str">
        <f aca="false">IF(Pipeline_Sort!$C725="","",INDEX(Pipeline_Calc!$I$2:$I$5251,Pipeline_Sort!$C725))</f>
        <v/>
      </c>
      <c r="I725" s="0" t="str">
        <f aca="false">IF(Pipeline_Sort!$C725="","",INDEX(Pipeline_Calc!$J$2:$J$5251,Pipeline_Sort!$C725))</f>
        <v/>
      </c>
    </row>
    <row r="726" customFormat="false" ht="15" hidden="false" customHeight="false" outlineLevel="0" collapsed="false">
      <c r="A726" s="33" t="str">
        <f aca="false">IF(Pipeline_Sort!$C726="","",INDEX(Pipeline_Calc!$B$2:$B$5251,Pipeline_Sort!$C726))</f>
        <v/>
      </c>
      <c r="B726" s="0" t="str">
        <f aca="false">IF(Pipeline_Sort!$C726="","",INDEX(Pipeline_Calc!$C$2:$C$5251,Pipeline_Sort!$C726))</f>
        <v/>
      </c>
      <c r="C726" s="0" t="str">
        <f aca="false">IF(Pipeline_Sort!$C726="","",INDEX(Pipeline_Calc!$D$2:$D$5251,Pipeline_Sort!$C726))</f>
        <v/>
      </c>
      <c r="D726" s="0" t="str">
        <f aca="false">IF(Pipeline_Sort!$C726="","",INDEX(Pipeline_Calc!$E$2:$E$5251,Pipeline_Sort!$C726))</f>
        <v/>
      </c>
      <c r="E726" s="0" t="str">
        <f aca="false">IF(Pipeline_Sort!$C726="","",INDEX(Pipeline_Calc!$F$2:$F$5251,Pipeline_Sort!$C726))</f>
        <v/>
      </c>
      <c r="F726" s="0" t="str">
        <f aca="false">IF(Pipeline_Sort!$C726="","",INDEX(Pipeline_Calc!$G$2:$G$5251,Pipeline_Sort!$C726))</f>
        <v/>
      </c>
      <c r="G726" s="0" t="str">
        <f aca="false">IF(Pipeline_Sort!$C726="","",INDEX(Pipeline_Calc!$H$2:$H$5251,Pipeline_Sort!$C726))</f>
        <v/>
      </c>
      <c r="H726" s="0" t="str">
        <f aca="false">IF(Pipeline_Sort!$C726="","",INDEX(Pipeline_Calc!$I$2:$I$5251,Pipeline_Sort!$C726))</f>
        <v/>
      </c>
      <c r="I726" s="0" t="str">
        <f aca="false">IF(Pipeline_Sort!$C726="","",INDEX(Pipeline_Calc!$J$2:$J$5251,Pipeline_Sort!$C726))</f>
        <v/>
      </c>
    </row>
    <row r="727" customFormat="false" ht="15" hidden="false" customHeight="false" outlineLevel="0" collapsed="false">
      <c r="A727" s="33" t="str">
        <f aca="false">IF(Pipeline_Sort!$C727="","",INDEX(Pipeline_Calc!$B$2:$B$5251,Pipeline_Sort!$C727))</f>
        <v/>
      </c>
      <c r="B727" s="0" t="str">
        <f aca="false">IF(Pipeline_Sort!$C727="","",INDEX(Pipeline_Calc!$C$2:$C$5251,Pipeline_Sort!$C727))</f>
        <v/>
      </c>
      <c r="C727" s="0" t="str">
        <f aca="false">IF(Pipeline_Sort!$C727="","",INDEX(Pipeline_Calc!$D$2:$D$5251,Pipeline_Sort!$C727))</f>
        <v/>
      </c>
      <c r="D727" s="0" t="str">
        <f aca="false">IF(Pipeline_Sort!$C727="","",INDEX(Pipeline_Calc!$E$2:$E$5251,Pipeline_Sort!$C727))</f>
        <v/>
      </c>
      <c r="E727" s="0" t="str">
        <f aca="false">IF(Pipeline_Sort!$C727="","",INDEX(Pipeline_Calc!$F$2:$F$5251,Pipeline_Sort!$C727))</f>
        <v/>
      </c>
      <c r="F727" s="0" t="str">
        <f aca="false">IF(Pipeline_Sort!$C727="","",INDEX(Pipeline_Calc!$G$2:$G$5251,Pipeline_Sort!$C727))</f>
        <v/>
      </c>
      <c r="G727" s="0" t="str">
        <f aca="false">IF(Pipeline_Sort!$C727="","",INDEX(Pipeline_Calc!$H$2:$H$5251,Pipeline_Sort!$C727))</f>
        <v/>
      </c>
      <c r="H727" s="0" t="str">
        <f aca="false">IF(Pipeline_Sort!$C727="","",INDEX(Pipeline_Calc!$I$2:$I$5251,Pipeline_Sort!$C727))</f>
        <v/>
      </c>
      <c r="I727" s="0" t="str">
        <f aca="false">IF(Pipeline_Sort!$C727="","",INDEX(Pipeline_Calc!$J$2:$J$5251,Pipeline_Sort!$C727))</f>
        <v/>
      </c>
    </row>
    <row r="728" customFormat="false" ht="15" hidden="false" customHeight="false" outlineLevel="0" collapsed="false">
      <c r="A728" s="33" t="str">
        <f aca="false">IF(Pipeline_Sort!$C728="","",INDEX(Pipeline_Calc!$B$2:$B$5251,Pipeline_Sort!$C728))</f>
        <v/>
      </c>
      <c r="B728" s="0" t="str">
        <f aca="false">IF(Pipeline_Sort!$C728="","",INDEX(Pipeline_Calc!$C$2:$C$5251,Pipeline_Sort!$C728))</f>
        <v/>
      </c>
      <c r="C728" s="0" t="str">
        <f aca="false">IF(Pipeline_Sort!$C728="","",INDEX(Pipeline_Calc!$D$2:$D$5251,Pipeline_Sort!$C728))</f>
        <v/>
      </c>
      <c r="D728" s="0" t="str">
        <f aca="false">IF(Pipeline_Sort!$C728="","",INDEX(Pipeline_Calc!$E$2:$E$5251,Pipeline_Sort!$C728))</f>
        <v/>
      </c>
      <c r="E728" s="0" t="str">
        <f aca="false">IF(Pipeline_Sort!$C728="","",INDEX(Pipeline_Calc!$F$2:$F$5251,Pipeline_Sort!$C728))</f>
        <v/>
      </c>
      <c r="F728" s="0" t="str">
        <f aca="false">IF(Pipeline_Sort!$C728="","",INDEX(Pipeline_Calc!$G$2:$G$5251,Pipeline_Sort!$C728))</f>
        <v/>
      </c>
      <c r="G728" s="0" t="str">
        <f aca="false">IF(Pipeline_Sort!$C728="","",INDEX(Pipeline_Calc!$H$2:$H$5251,Pipeline_Sort!$C728))</f>
        <v/>
      </c>
      <c r="H728" s="0" t="str">
        <f aca="false">IF(Pipeline_Sort!$C728="","",INDEX(Pipeline_Calc!$I$2:$I$5251,Pipeline_Sort!$C728))</f>
        <v/>
      </c>
      <c r="I728" s="0" t="str">
        <f aca="false">IF(Pipeline_Sort!$C728="","",INDEX(Pipeline_Calc!$J$2:$J$5251,Pipeline_Sort!$C728))</f>
        <v/>
      </c>
    </row>
    <row r="729" customFormat="false" ht="15" hidden="false" customHeight="false" outlineLevel="0" collapsed="false">
      <c r="A729" s="33" t="str">
        <f aca="false">IF(Pipeline_Sort!$C729="","",INDEX(Pipeline_Calc!$B$2:$B$5251,Pipeline_Sort!$C729))</f>
        <v/>
      </c>
      <c r="B729" s="0" t="str">
        <f aca="false">IF(Pipeline_Sort!$C729="","",INDEX(Pipeline_Calc!$C$2:$C$5251,Pipeline_Sort!$C729))</f>
        <v/>
      </c>
      <c r="C729" s="0" t="str">
        <f aca="false">IF(Pipeline_Sort!$C729="","",INDEX(Pipeline_Calc!$D$2:$D$5251,Pipeline_Sort!$C729))</f>
        <v/>
      </c>
      <c r="D729" s="0" t="str">
        <f aca="false">IF(Pipeline_Sort!$C729="","",INDEX(Pipeline_Calc!$E$2:$E$5251,Pipeline_Sort!$C729))</f>
        <v/>
      </c>
      <c r="E729" s="0" t="str">
        <f aca="false">IF(Pipeline_Sort!$C729="","",INDEX(Pipeline_Calc!$F$2:$F$5251,Pipeline_Sort!$C729))</f>
        <v/>
      </c>
      <c r="F729" s="0" t="str">
        <f aca="false">IF(Pipeline_Sort!$C729="","",INDEX(Pipeline_Calc!$G$2:$G$5251,Pipeline_Sort!$C729))</f>
        <v/>
      </c>
      <c r="G729" s="0" t="str">
        <f aca="false">IF(Pipeline_Sort!$C729="","",INDEX(Pipeline_Calc!$H$2:$H$5251,Pipeline_Sort!$C729))</f>
        <v/>
      </c>
      <c r="H729" s="0" t="str">
        <f aca="false">IF(Pipeline_Sort!$C729="","",INDEX(Pipeline_Calc!$I$2:$I$5251,Pipeline_Sort!$C729))</f>
        <v/>
      </c>
      <c r="I729" s="0" t="str">
        <f aca="false">IF(Pipeline_Sort!$C729="","",INDEX(Pipeline_Calc!$J$2:$J$5251,Pipeline_Sort!$C729))</f>
        <v/>
      </c>
    </row>
    <row r="730" customFormat="false" ht="15" hidden="false" customHeight="false" outlineLevel="0" collapsed="false">
      <c r="A730" s="33" t="str">
        <f aca="false">IF(Pipeline_Sort!$C730="","",INDEX(Pipeline_Calc!$B$2:$B$5251,Pipeline_Sort!$C730))</f>
        <v/>
      </c>
      <c r="B730" s="0" t="str">
        <f aca="false">IF(Pipeline_Sort!$C730="","",INDEX(Pipeline_Calc!$C$2:$C$5251,Pipeline_Sort!$C730))</f>
        <v/>
      </c>
      <c r="C730" s="0" t="str">
        <f aca="false">IF(Pipeline_Sort!$C730="","",INDEX(Pipeline_Calc!$D$2:$D$5251,Pipeline_Sort!$C730))</f>
        <v/>
      </c>
      <c r="D730" s="0" t="str">
        <f aca="false">IF(Pipeline_Sort!$C730="","",INDEX(Pipeline_Calc!$E$2:$E$5251,Pipeline_Sort!$C730))</f>
        <v/>
      </c>
      <c r="E730" s="0" t="str">
        <f aca="false">IF(Pipeline_Sort!$C730="","",INDEX(Pipeline_Calc!$F$2:$F$5251,Pipeline_Sort!$C730))</f>
        <v/>
      </c>
      <c r="F730" s="0" t="str">
        <f aca="false">IF(Pipeline_Sort!$C730="","",INDEX(Pipeline_Calc!$G$2:$G$5251,Pipeline_Sort!$C730))</f>
        <v/>
      </c>
      <c r="G730" s="0" t="str">
        <f aca="false">IF(Pipeline_Sort!$C730="","",INDEX(Pipeline_Calc!$H$2:$H$5251,Pipeline_Sort!$C730))</f>
        <v/>
      </c>
      <c r="H730" s="0" t="str">
        <f aca="false">IF(Pipeline_Sort!$C730="","",INDEX(Pipeline_Calc!$I$2:$I$5251,Pipeline_Sort!$C730))</f>
        <v/>
      </c>
      <c r="I730" s="0" t="str">
        <f aca="false">IF(Pipeline_Sort!$C730="","",INDEX(Pipeline_Calc!$J$2:$J$5251,Pipeline_Sort!$C730))</f>
        <v/>
      </c>
    </row>
    <row r="731" customFormat="false" ht="15" hidden="false" customHeight="false" outlineLevel="0" collapsed="false">
      <c r="A731" s="33" t="str">
        <f aca="false">IF(Pipeline_Sort!$C731="","",INDEX(Pipeline_Calc!$B$2:$B$5251,Pipeline_Sort!$C731))</f>
        <v/>
      </c>
      <c r="B731" s="0" t="str">
        <f aca="false">IF(Pipeline_Sort!$C731="","",INDEX(Pipeline_Calc!$C$2:$C$5251,Pipeline_Sort!$C731))</f>
        <v/>
      </c>
      <c r="C731" s="0" t="str">
        <f aca="false">IF(Pipeline_Sort!$C731="","",INDEX(Pipeline_Calc!$D$2:$D$5251,Pipeline_Sort!$C731))</f>
        <v/>
      </c>
      <c r="D731" s="0" t="str">
        <f aca="false">IF(Pipeline_Sort!$C731="","",INDEX(Pipeline_Calc!$E$2:$E$5251,Pipeline_Sort!$C731))</f>
        <v/>
      </c>
      <c r="E731" s="0" t="str">
        <f aca="false">IF(Pipeline_Sort!$C731="","",INDEX(Pipeline_Calc!$F$2:$F$5251,Pipeline_Sort!$C731))</f>
        <v/>
      </c>
      <c r="F731" s="0" t="str">
        <f aca="false">IF(Pipeline_Sort!$C731="","",INDEX(Pipeline_Calc!$G$2:$G$5251,Pipeline_Sort!$C731))</f>
        <v/>
      </c>
      <c r="G731" s="0" t="str">
        <f aca="false">IF(Pipeline_Sort!$C731="","",INDEX(Pipeline_Calc!$H$2:$H$5251,Pipeline_Sort!$C731))</f>
        <v/>
      </c>
      <c r="H731" s="0" t="str">
        <f aca="false">IF(Pipeline_Sort!$C731="","",INDEX(Pipeline_Calc!$I$2:$I$5251,Pipeline_Sort!$C731))</f>
        <v/>
      </c>
      <c r="I731" s="0" t="str">
        <f aca="false">IF(Pipeline_Sort!$C731="","",INDEX(Pipeline_Calc!$J$2:$J$5251,Pipeline_Sort!$C731))</f>
        <v/>
      </c>
    </row>
    <row r="732" customFormat="false" ht="15" hidden="false" customHeight="false" outlineLevel="0" collapsed="false">
      <c r="A732" s="33" t="str">
        <f aca="false">IF(Pipeline_Sort!$C732="","",INDEX(Pipeline_Calc!$B$2:$B$5251,Pipeline_Sort!$C732))</f>
        <v/>
      </c>
      <c r="B732" s="0" t="str">
        <f aca="false">IF(Pipeline_Sort!$C732="","",INDEX(Pipeline_Calc!$C$2:$C$5251,Pipeline_Sort!$C732))</f>
        <v/>
      </c>
      <c r="C732" s="0" t="str">
        <f aca="false">IF(Pipeline_Sort!$C732="","",INDEX(Pipeline_Calc!$D$2:$D$5251,Pipeline_Sort!$C732))</f>
        <v/>
      </c>
      <c r="D732" s="0" t="str">
        <f aca="false">IF(Pipeline_Sort!$C732="","",INDEX(Pipeline_Calc!$E$2:$E$5251,Pipeline_Sort!$C732))</f>
        <v/>
      </c>
      <c r="E732" s="0" t="str">
        <f aca="false">IF(Pipeline_Sort!$C732="","",INDEX(Pipeline_Calc!$F$2:$F$5251,Pipeline_Sort!$C732))</f>
        <v/>
      </c>
      <c r="F732" s="0" t="str">
        <f aca="false">IF(Pipeline_Sort!$C732="","",INDEX(Pipeline_Calc!$G$2:$G$5251,Pipeline_Sort!$C732))</f>
        <v/>
      </c>
      <c r="G732" s="0" t="str">
        <f aca="false">IF(Pipeline_Sort!$C732="","",INDEX(Pipeline_Calc!$H$2:$H$5251,Pipeline_Sort!$C732))</f>
        <v/>
      </c>
      <c r="H732" s="0" t="str">
        <f aca="false">IF(Pipeline_Sort!$C732="","",INDEX(Pipeline_Calc!$I$2:$I$5251,Pipeline_Sort!$C732))</f>
        <v/>
      </c>
      <c r="I732" s="0" t="str">
        <f aca="false">IF(Pipeline_Sort!$C732="","",INDEX(Pipeline_Calc!$J$2:$J$5251,Pipeline_Sort!$C732))</f>
        <v/>
      </c>
    </row>
    <row r="733" customFormat="false" ht="15" hidden="false" customHeight="false" outlineLevel="0" collapsed="false">
      <c r="A733" s="33" t="str">
        <f aca="false">IF(Pipeline_Sort!$C733="","",INDEX(Pipeline_Calc!$B$2:$B$5251,Pipeline_Sort!$C733))</f>
        <v/>
      </c>
      <c r="B733" s="0" t="str">
        <f aca="false">IF(Pipeline_Sort!$C733="","",INDEX(Pipeline_Calc!$C$2:$C$5251,Pipeline_Sort!$C733))</f>
        <v/>
      </c>
      <c r="C733" s="0" t="str">
        <f aca="false">IF(Pipeline_Sort!$C733="","",INDEX(Pipeline_Calc!$D$2:$D$5251,Pipeline_Sort!$C733))</f>
        <v/>
      </c>
      <c r="D733" s="0" t="str">
        <f aca="false">IF(Pipeline_Sort!$C733="","",INDEX(Pipeline_Calc!$E$2:$E$5251,Pipeline_Sort!$C733))</f>
        <v/>
      </c>
      <c r="E733" s="0" t="str">
        <f aca="false">IF(Pipeline_Sort!$C733="","",INDEX(Pipeline_Calc!$F$2:$F$5251,Pipeline_Sort!$C733))</f>
        <v/>
      </c>
      <c r="F733" s="0" t="str">
        <f aca="false">IF(Pipeline_Sort!$C733="","",INDEX(Pipeline_Calc!$G$2:$G$5251,Pipeline_Sort!$C733))</f>
        <v/>
      </c>
      <c r="G733" s="0" t="str">
        <f aca="false">IF(Pipeline_Sort!$C733="","",INDEX(Pipeline_Calc!$H$2:$H$5251,Pipeline_Sort!$C733))</f>
        <v/>
      </c>
      <c r="H733" s="0" t="str">
        <f aca="false">IF(Pipeline_Sort!$C733="","",INDEX(Pipeline_Calc!$I$2:$I$5251,Pipeline_Sort!$C733))</f>
        <v/>
      </c>
      <c r="I733" s="0" t="str">
        <f aca="false">IF(Pipeline_Sort!$C733="","",INDEX(Pipeline_Calc!$J$2:$J$5251,Pipeline_Sort!$C733))</f>
        <v/>
      </c>
    </row>
    <row r="734" customFormat="false" ht="15" hidden="false" customHeight="false" outlineLevel="0" collapsed="false">
      <c r="A734" s="33" t="str">
        <f aca="false">IF(Pipeline_Sort!$C734="","",INDEX(Pipeline_Calc!$B$2:$B$5251,Pipeline_Sort!$C734))</f>
        <v/>
      </c>
      <c r="B734" s="0" t="str">
        <f aca="false">IF(Pipeline_Sort!$C734="","",INDEX(Pipeline_Calc!$C$2:$C$5251,Pipeline_Sort!$C734))</f>
        <v/>
      </c>
      <c r="C734" s="0" t="str">
        <f aca="false">IF(Pipeline_Sort!$C734="","",INDEX(Pipeline_Calc!$D$2:$D$5251,Pipeline_Sort!$C734))</f>
        <v/>
      </c>
      <c r="D734" s="0" t="str">
        <f aca="false">IF(Pipeline_Sort!$C734="","",INDEX(Pipeline_Calc!$E$2:$E$5251,Pipeline_Sort!$C734))</f>
        <v/>
      </c>
      <c r="E734" s="0" t="str">
        <f aca="false">IF(Pipeline_Sort!$C734="","",INDEX(Pipeline_Calc!$F$2:$F$5251,Pipeline_Sort!$C734))</f>
        <v/>
      </c>
      <c r="F734" s="0" t="str">
        <f aca="false">IF(Pipeline_Sort!$C734="","",INDEX(Pipeline_Calc!$G$2:$G$5251,Pipeline_Sort!$C734))</f>
        <v/>
      </c>
      <c r="G734" s="0" t="str">
        <f aca="false">IF(Pipeline_Sort!$C734="","",INDEX(Pipeline_Calc!$H$2:$H$5251,Pipeline_Sort!$C734))</f>
        <v/>
      </c>
      <c r="H734" s="0" t="str">
        <f aca="false">IF(Pipeline_Sort!$C734="","",INDEX(Pipeline_Calc!$I$2:$I$5251,Pipeline_Sort!$C734))</f>
        <v/>
      </c>
      <c r="I734" s="0" t="str">
        <f aca="false">IF(Pipeline_Sort!$C734="","",INDEX(Pipeline_Calc!$J$2:$J$5251,Pipeline_Sort!$C734))</f>
        <v/>
      </c>
    </row>
    <row r="735" customFormat="false" ht="15" hidden="false" customHeight="false" outlineLevel="0" collapsed="false">
      <c r="A735" s="33" t="str">
        <f aca="false">IF(Pipeline_Sort!$C735="","",INDEX(Pipeline_Calc!$B$2:$B$5251,Pipeline_Sort!$C735))</f>
        <v/>
      </c>
      <c r="B735" s="0" t="str">
        <f aca="false">IF(Pipeline_Sort!$C735="","",INDEX(Pipeline_Calc!$C$2:$C$5251,Pipeline_Sort!$C735))</f>
        <v/>
      </c>
      <c r="C735" s="0" t="str">
        <f aca="false">IF(Pipeline_Sort!$C735="","",INDEX(Pipeline_Calc!$D$2:$D$5251,Pipeline_Sort!$C735))</f>
        <v/>
      </c>
      <c r="D735" s="0" t="str">
        <f aca="false">IF(Pipeline_Sort!$C735="","",INDEX(Pipeline_Calc!$E$2:$E$5251,Pipeline_Sort!$C735))</f>
        <v/>
      </c>
      <c r="E735" s="0" t="str">
        <f aca="false">IF(Pipeline_Sort!$C735="","",INDEX(Pipeline_Calc!$F$2:$F$5251,Pipeline_Sort!$C735))</f>
        <v/>
      </c>
      <c r="F735" s="0" t="str">
        <f aca="false">IF(Pipeline_Sort!$C735="","",INDEX(Pipeline_Calc!$G$2:$G$5251,Pipeline_Sort!$C735))</f>
        <v/>
      </c>
      <c r="G735" s="0" t="str">
        <f aca="false">IF(Pipeline_Sort!$C735="","",INDEX(Pipeline_Calc!$H$2:$H$5251,Pipeline_Sort!$C735))</f>
        <v/>
      </c>
      <c r="H735" s="0" t="str">
        <f aca="false">IF(Pipeline_Sort!$C735="","",INDEX(Pipeline_Calc!$I$2:$I$5251,Pipeline_Sort!$C735))</f>
        <v/>
      </c>
      <c r="I735" s="0" t="str">
        <f aca="false">IF(Pipeline_Sort!$C735="","",INDEX(Pipeline_Calc!$J$2:$J$5251,Pipeline_Sort!$C735))</f>
        <v/>
      </c>
    </row>
    <row r="736" customFormat="false" ht="15" hidden="false" customHeight="false" outlineLevel="0" collapsed="false">
      <c r="A736" s="33" t="str">
        <f aca="false">IF(Pipeline_Sort!$C736="","",INDEX(Pipeline_Calc!$B$2:$B$5251,Pipeline_Sort!$C736))</f>
        <v/>
      </c>
      <c r="B736" s="0" t="str">
        <f aca="false">IF(Pipeline_Sort!$C736="","",INDEX(Pipeline_Calc!$C$2:$C$5251,Pipeline_Sort!$C736))</f>
        <v/>
      </c>
      <c r="C736" s="0" t="str">
        <f aca="false">IF(Pipeline_Sort!$C736="","",INDEX(Pipeline_Calc!$D$2:$D$5251,Pipeline_Sort!$C736))</f>
        <v/>
      </c>
      <c r="D736" s="0" t="str">
        <f aca="false">IF(Pipeline_Sort!$C736="","",INDEX(Pipeline_Calc!$E$2:$E$5251,Pipeline_Sort!$C736))</f>
        <v/>
      </c>
      <c r="E736" s="0" t="str">
        <f aca="false">IF(Pipeline_Sort!$C736="","",INDEX(Pipeline_Calc!$F$2:$F$5251,Pipeline_Sort!$C736))</f>
        <v/>
      </c>
      <c r="F736" s="0" t="str">
        <f aca="false">IF(Pipeline_Sort!$C736="","",INDEX(Pipeline_Calc!$G$2:$G$5251,Pipeline_Sort!$C736))</f>
        <v/>
      </c>
      <c r="G736" s="0" t="str">
        <f aca="false">IF(Pipeline_Sort!$C736="","",INDEX(Pipeline_Calc!$H$2:$H$5251,Pipeline_Sort!$C736))</f>
        <v/>
      </c>
      <c r="H736" s="0" t="str">
        <f aca="false">IF(Pipeline_Sort!$C736="","",INDEX(Pipeline_Calc!$I$2:$I$5251,Pipeline_Sort!$C736))</f>
        <v/>
      </c>
      <c r="I736" s="0" t="str">
        <f aca="false">IF(Pipeline_Sort!$C736="","",INDEX(Pipeline_Calc!$J$2:$J$5251,Pipeline_Sort!$C736))</f>
        <v/>
      </c>
    </row>
    <row r="737" customFormat="false" ht="15" hidden="false" customHeight="false" outlineLevel="0" collapsed="false">
      <c r="A737" s="33" t="str">
        <f aca="false">IF(Pipeline_Sort!$C737="","",INDEX(Pipeline_Calc!$B$2:$B$5251,Pipeline_Sort!$C737))</f>
        <v/>
      </c>
      <c r="B737" s="0" t="str">
        <f aca="false">IF(Pipeline_Sort!$C737="","",INDEX(Pipeline_Calc!$C$2:$C$5251,Pipeline_Sort!$C737))</f>
        <v/>
      </c>
      <c r="C737" s="0" t="str">
        <f aca="false">IF(Pipeline_Sort!$C737="","",INDEX(Pipeline_Calc!$D$2:$D$5251,Pipeline_Sort!$C737))</f>
        <v/>
      </c>
      <c r="D737" s="0" t="str">
        <f aca="false">IF(Pipeline_Sort!$C737="","",INDEX(Pipeline_Calc!$E$2:$E$5251,Pipeline_Sort!$C737))</f>
        <v/>
      </c>
      <c r="E737" s="0" t="str">
        <f aca="false">IF(Pipeline_Sort!$C737="","",INDEX(Pipeline_Calc!$F$2:$F$5251,Pipeline_Sort!$C737))</f>
        <v/>
      </c>
      <c r="F737" s="0" t="str">
        <f aca="false">IF(Pipeline_Sort!$C737="","",INDEX(Pipeline_Calc!$G$2:$G$5251,Pipeline_Sort!$C737))</f>
        <v/>
      </c>
      <c r="G737" s="0" t="str">
        <f aca="false">IF(Pipeline_Sort!$C737="","",INDEX(Pipeline_Calc!$H$2:$H$5251,Pipeline_Sort!$C737))</f>
        <v/>
      </c>
      <c r="H737" s="0" t="str">
        <f aca="false">IF(Pipeline_Sort!$C737="","",INDEX(Pipeline_Calc!$I$2:$I$5251,Pipeline_Sort!$C737))</f>
        <v/>
      </c>
      <c r="I737" s="0" t="str">
        <f aca="false">IF(Pipeline_Sort!$C737="","",INDEX(Pipeline_Calc!$J$2:$J$5251,Pipeline_Sort!$C737))</f>
        <v/>
      </c>
    </row>
    <row r="738" customFormat="false" ht="15" hidden="false" customHeight="false" outlineLevel="0" collapsed="false">
      <c r="A738" s="33" t="str">
        <f aca="false">IF(Pipeline_Sort!$C738="","",INDEX(Pipeline_Calc!$B$2:$B$5251,Pipeline_Sort!$C738))</f>
        <v/>
      </c>
      <c r="B738" s="0" t="str">
        <f aca="false">IF(Pipeline_Sort!$C738="","",INDEX(Pipeline_Calc!$C$2:$C$5251,Pipeline_Sort!$C738))</f>
        <v/>
      </c>
      <c r="C738" s="0" t="str">
        <f aca="false">IF(Pipeline_Sort!$C738="","",INDEX(Pipeline_Calc!$D$2:$D$5251,Pipeline_Sort!$C738))</f>
        <v/>
      </c>
      <c r="D738" s="0" t="str">
        <f aca="false">IF(Pipeline_Sort!$C738="","",INDEX(Pipeline_Calc!$E$2:$E$5251,Pipeline_Sort!$C738))</f>
        <v/>
      </c>
      <c r="E738" s="0" t="str">
        <f aca="false">IF(Pipeline_Sort!$C738="","",INDEX(Pipeline_Calc!$F$2:$F$5251,Pipeline_Sort!$C738))</f>
        <v/>
      </c>
      <c r="F738" s="0" t="str">
        <f aca="false">IF(Pipeline_Sort!$C738="","",INDEX(Pipeline_Calc!$G$2:$G$5251,Pipeline_Sort!$C738))</f>
        <v/>
      </c>
      <c r="G738" s="0" t="str">
        <f aca="false">IF(Pipeline_Sort!$C738="","",INDEX(Pipeline_Calc!$H$2:$H$5251,Pipeline_Sort!$C738))</f>
        <v/>
      </c>
      <c r="H738" s="0" t="str">
        <f aca="false">IF(Pipeline_Sort!$C738="","",INDEX(Pipeline_Calc!$I$2:$I$5251,Pipeline_Sort!$C738))</f>
        <v/>
      </c>
      <c r="I738" s="0" t="str">
        <f aca="false">IF(Pipeline_Sort!$C738="","",INDEX(Pipeline_Calc!$J$2:$J$5251,Pipeline_Sort!$C738))</f>
        <v/>
      </c>
    </row>
    <row r="739" customFormat="false" ht="15" hidden="false" customHeight="false" outlineLevel="0" collapsed="false">
      <c r="A739" s="33" t="str">
        <f aca="false">IF(Pipeline_Sort!$C739="","",INDEX(Pipeline_Calc!$B$2:$B$5251,Pipeline_Sort!$C739))</f>
        <v/>
      </c>
      <c r="B739" s="0" t="str">
        <f aca="false">IF(Pipeline_Sort!$C739="","",INDEX(Pipeline_Calc!$C$2:$C$5251,Pipeline_Sort!$C739))</f>
        <v/>
      </c>
      <c r="C739" s="0" t="str">
        <f aca="false">IF(Pipeline_Sort!$C739="","",INDEX(Pipeline_Calc!$D$2:$D$5251,Pipeline_Sort!$C739))</f>
        <v/>
      </c>
      <c r="D739" s="0" t="str">
        <f aca="false">IF(Pipeline_Sort!$C739="","",INDEX(Pipeline_Calc!$E$2:$E$5251,Pipeline_Sort!$C739))</f>
        <v/>
      </c>
      <c r="E739" s="0" t="str">
        <f aca="false">IF(Pipeline_Sort!$C739="","",INDEX(Pipeline_Calc!$F$2:$F$5251,Pipeline_Sort!$C739))</f>
        <v/>
      </c>
      <c r="F739" s="0" t="str">
        <f aca="false">IF(Pipeline_Sort!$C739="","",INDEX(Pipeline_Calc!$G$2:$G$5251,Pipeline_Sort!$C739))</f>
        <v/>
      </c>
      <c r="G739" s="0" t="str">
        <f aca="false">IF(Pipeline_Sort!$C739="","",INDEX(Pipeline_Calc!$H$2:$H$5251,Pipeline_Sort!$C739))</f>
        <v/>
      </c>
      <c r="H739" s="0" t="str">
        <f aca="false">IF(Pipeline_Sort!$C739="","",INDEX(Pipeline_Calc!$I$2:$I$5251,Pipeline_Sort!$C739))</f>
        <v/>
      </c>
      <c r="I739" s="0" t="str">
        <f aca="false">IF(Pipeline_Sort!$C739="","",INDEX(Pipeline_Calc!$J$2:$J$5251,Pipeline_Sort!$C739))</f>
        <v/>
      </c>
    </row>
    <row r="740" customFormat="false" ht="15" hidden="false" customHeight="false" outlineLevel="0" collapsed="false">
      <c r="A740" s="33" t="str">
        <f aca="false">IF(Pipeline_Sort!$C740="","",INDEX(Pipeline_Calc!$B$2:$B$5251,Pipeline_Sort!$C740))</f>
        <v/>
      </c>
      <c r="B740" s="0" t="str">
        <f aca="false">IF(Pipeline_Sort!$C740="","",INDEX(Pipeline_Calc!$C$2:$C$5251,Pipeline_Sort!$C740))</f>
        <v/>
      </c>
      <c r="C740" s="0" t="str">
        <f aca="false">IF(Pipeline_Sort!$C740="","",INDEX(Pipeline_Calc!$D$2:$D$5251,Pipeline_Sort!$C740))</f>
        <v/>
      </c>
      <c r="D740" s="0" t="str">
        <f aca="false">IF(Pipeline_Sort!$C740="","",INDEX(Pipeline_Calc!$E$2:$E$5251,Pipeline_Sort!$C740))</f>
        <v/>
      </c>
      <c r="E740" s="0" t="str">
        <f aca="false">IF(Pipeline_Sort!$C740="","",INDEX(Pipeline_Calc!$F$2:$F$5251,Pipeline_Sort!$C740))</f>
        <v/>
      </c>
      <c r="F740" s="0" t="str">
        <f aca="false">IF(Pipeline_Sort!$C740="","",INDEX(Pipeline_Calc!$G$2:$G$5251,Pipeline_Sort!$C740))</f>
        <v/>
      </c>
      <c r="G740" s="0" t="str">
        <f aca="false">IF(Pipeline_Sort!$C740="","",INDEX(Pipeline_Calc!$H$2:$H$5251,Pipeline_Sort!$C740))</f>
        <v/>
      </c>
      <c r="H740" s="0" t="str">
        <f aca="false">IF(Pipeline_Sort!$C740="","",INDEX(Pipeline_Calc!$I$2:$I$5251,Pipeline_Sort!$C740))</f>
        <v/>
      </c>
      <c r="I740" s="0" t="str">
        <f aca="false">IF(Pipeline_Sort!$C740="","",INDEX(Pipeline_Calc!$J$2:$J$5251,Pipeline_Sort!$C740))</f>
        <v/>
      </c>
    </row>
    <row r="741" customFormat="false" ht="15" hidden="false" customHeight="false" outlineLevel="0" collapsed="false">
      <c r="A741" s="33" t="str">
        <f aca="false">IF(Pipeline_Sort!$C741="","",INDEX(Pipeline_Calc!$B$2:$B$5251,Pipeline_Sort!$C741))</f>
        <v/>
      </c>
      <c r="B741" s="0" t="str">
        <f aca="false">IF(Pipeline_Sort!$C741="","",INDEX(Pipeline_Calc!$C$2:$C$5251,Pipeline_Sort!$C741))</f>
        <v/>
      </c>
      <c r="C741" s="0" t="str">
        <f aca="false">IF(Pipeline_Sort!$C741="","",INDEX(Pipeline_Calc!$D$2:$D$5251,Pipeline_Sort!$C741))</f>
        <v/>
      </c>
      <c r="D741" s="0" t="str">
        <f aca="false">IF(Pipeline_Sort!$C741="","",INDEX(Pipeline_Calc!$E$2:$E$5251,Pipeline_Sort!$C741))</f>
        <v/>
      </c>
      <c r="E741" s="0" t="str">
        <f aca="false">IF(Pipeline_Sort!$C741="","",INDEX(Pipeline_Calc!$F$2:$F$5251,Pipeline_Sort!$C741))</f>
        <v/>
      </c>
      <c r="F741" s="0" t="str">
        <f aca="false">IF(Pipeline_Sort!$C741="","",INDEX(Pipeline_Calc!$G$2:$G$5251,Pipeline_Sort!$C741))</f>
        <v/>
      </c>
      <c r="G741" s="0" t="str">
        <f aca="false">IF(Pipeline_Sort!$C741="","",INDEX(Pipeline_Calc!$H$2:$H$5251,Pipeline_Sort!$C741))</f>
        <v/>
      </c>
      <c r="H741" s="0" t="str">
        <f aca="false">IF(Pipeline_Sort!$C741="","",INDEX(Pipeline_Calc!$I$2:$I$5251,Pipeline_Sort!$C741))</f>
        <v/>
      </c>
      <c r="I741" s="0" t="str">
        <f aca="false">IF(Pipeline_Sort!$C741="","",INDEX(Pipeline_Calc!$J$2:$J$5251,Pipeline_Sort!$C741))</f>
        <v/>
      </c>
    </row>
    <row r="742" customFormat="false" ht="15" hidden="false" customHeight="false" outlineLevel="0" collapsed="false">
      <c r="A742" s="33" t="str">
        <f aca="false">IF(Pipeline_Sort!$C742="","",INDEX(Pipeline_Calc!$B$2:$B$5251,Pipeline_Sort!$C742))</f>
        <v/>
      </c>
      <c r="B742" s="0" t="str">
        <f aca="false">IF(Pipeline_Sort!$C742="","",INDEX(Pipeline_Calc!$C$2:$C$5251,Pipeline_Sort!$C742))</f>
        <v/>
      </c>
      <c r="C742" s="0" t="str">
        <f aca="false">IF(Pipeline_Sort!$C742="","",INDEX(Pipeline_Calc!$D$2:$D$5251,Pipeline_Sort!$C742))</f>
        <v/>
      </c>
      <c r="D742" s="0" t="str">
        <f aca="false">IF(Pipeline_Sort!$C742="","",INDEX(Pipeline_Calc!$E$2:$E$5251,Pipeline_Sort!$C742))</f>
        <v/>
      </c>
      <c r="E742" s="0" t="str">
        <f aca="false">IF(Pipeline_Sort!$C742="","",INDEX(Pipeline_Calc!$F$2:$F$5251,Pipeline_Sort!$C742))</f>
        <v/>
      </c>
      <c r="F742" s="0" t="str">
        <f aca="false">IF(Pipeline_Sort!$C742="","",INDEX(Pipeline_Calc!$G$2:$G$5251,Pipeline_Sort!$C742))</f>
        <v/>
      </c>
      <c r="G742" s="0" t="str">
        <f aca="false">IF(Pipeline_Sort!$C742="","",INDEX(Pipeline_Calc!$H$2:$H$5251,Pipeline_Sort!$C742))</f>
        <v/>
      </c>
      <c r="H742" s="0" t="str">
        <f aca="false">IF(Pipeline_Sort!$C742="","",INDEX(Pipeline_Calc!$I$2:$I$5251,Pipeline_Sort!$C742))</f>
        <v/>
      </c>
      <c r="I742" s="0" t="str">
        <f aca="false">IF(Pipeline_Sort!$C742="","",INDEX(Pipeline_Calc!$J$2:$J$5251,Pipeline_Sort!$C742))</f>
        <v/>
      </c>
    </row>
    <row r="743" customFormat="false" ht="15" hidden="false" customHeight="false" outlineLevel="0" collapsed="false">
      <c r="A743" s="33" t="str">
        <f aca="false">IF(Pipeline_Sort!$C743="","",INDEX(Pipeline_Calc!$B$2:$B$5251,Pipeline_Sort!$C743))</f>
        <v/>
      </c>
      <c r="B743" s="0" t="str">
        <f aca="false">IF(Pipeline_Sort!$C743="","",INDEX(Pipeline_Calc!$C$2:$C$5251,Pipeline_Sort!$C743))</f>
        <v/>
      </c>
      <c r="C743" s="0" t="str">
        <f aca="false">IF(Pipeline_Sort!$C743="","",INDEX(Pipeline_Calc!$D$2:$D$5251,Pipeline_Sort!$C743))</f>
        <v/>
      </c>
      <c r="D743" s="0" t="str">
        <f aca="false">IF(Pipeline_Sort!$C743="","",INDEX(Pipeline_Calc!$E$2:$E$5251,Pipeline_Sort!$C743))</f>
        <v/>
      </c>
      <c r="E743" s="0" t="str">
        <f aca="false">IF(Pipeline_Sort!$C743="","",INDEX(Pipeline_Calc!$F$2:$F$5251,Pipeline_Sort!$C743))</f>
        <v/>
      </c>
      <c r="F743" s="0" t="str">
        <f aca="false">IF(Pipeline_Sort!$C743="","",INDEX(Pipeline_Calc!$G$2:$G$5251,Pipeline_Sort!$C743))</f>
        <v/>
      </c>
      <c r="G743" s="0" t="str">
        <f aca="false">IF(Pipeline_Sort!$C743="","",INDEX(Pipeline_Calc!$H$2:$H$5251,Pipeline_Sort!$C743))</f>
        <v/>
      </c>
      <c r="H743" s="0" t="str">
        <f aca="false">IF(Pipeline_Sort!$C743="","",INDEX(Pipeline_Calc!$I$2:$I$5251,Pipeline_Sort!$C743))</f>
        <v/>
      </c>
      <c r="I743" s="0" t="str">
        <f aca="false">IF(Pipeline_Sort!$C743="","",INDEX(Pipeline_Calc!$J$2:$J$5251,Pipeline_Sort!$C743))</f>
        <v/>
      </c>
    </row>
    <row r="744" customFormat="false" ht="15" hidden="false" customHeight="false" outlineLevel="0" collapsed="false">
      <c r="A744" s="33" t="str">
        <f aca="false">IF(Pipeline_Sort!$C744="","",INDEX(Pipeline_Calc!$B$2:$B$5251,Pipeline_Sort!$C744))</f>
        <v/>
      </c>
      <c r="B744" s="0" t="str">
        <f aca="false">IF(Pipeline_Sort!$C744="","",INDEX(Pipeline_Calc!$C$2:$C$5251,Pipeline_Sort!$C744))</f>
        <v/>
      </c>
      <c r="C744" s="0" t="str">
        <f aca="false">IF(Pipeline_Sort!$C744="","",INDEX(Pipeline_Calc!$D$2:$D$5251,Pipeline_Sort!$C744))</f>
        <v/>
      </c>
      <c r="D744" s="0" t="str">
        <f aca="false">IF(Pipeline_Sort!$C744="","",INDEX(Pipeline_Calc!$E$2:$E$5251,Pipeline_Sort!$C744))</f>
        <v/>
      </c>
      <c r="E744" s="0" t="str">
        <f aca="false">IF(Pipeline_Sort!$C744="","",INDEX(Pipeline_Calc!$F$2:$F$5251,Pipeline_Sort!$C744))</f>
        <v/>
      </c>
      <c r="F744" s="0" t="str">
        <f aca="false">IF(Pipeline_Sort!$C744="","",INDEX(Pipeline_Calc!$G$2:$G$5251,Pipeline_Sort!$C744))</f>
        <v/>
      </c>
      <c r="G744" s="0" t="str">
        <f aca="false">IF(Pipeline_Sort!$C744="","",INDEX(Pipeline_Calc!$H$2:$H$5251,Pipeline_Sort!$C744))</f>
        <v/>
      </c>
      <c r="H744" s="0" t="str">
        <f aca="false">IF(Pipeline_Sort!$C744="","",INDEX(Pipeline_Calc!$I$2:$I$5251,Pipeline_Sort!$C744))</f>
        <v/>
      </c>
      <c r="I744" s="0" t="str">
        <f aca="false">IF(Pipeline_Sort!$C744="","",INDEX(Pipeline_Calc!$J$2:$J$5251,Pipeline_Sort!$C744))</f>
        <v/>
      </c>
    </row>
    <row r="745" customFormat="false" ht="15" hidden="false" customHeight="false" outlineLevel="0" collapsed="false">
      <c r="A745" s="33" t="str">
        <f aca="false">IF(Pipeline_Sort!$C745="","",INDEX(Pipeline_Calc!$B$2:$B$5251,Pipeline_Sort!$C745))</f>
        <v/>
      </c>
      <c r="B745" s="0" t="str">
        <f aca="false">IF(Pipeline_Sort!$C745="","",INDEX(Pipeline_Calc!$C$2:$C$5251,Pipeline_Sort!$C745))</f>
        <v/>
      </c>
      <c r="C745" s="0" t="str">
        <f aca="false">IF(Pipeline_Sort!$C745="","",INDEX(Pipeline_Calc!$D$2:$D$5251,Pipeline_Sort!$C745))</f>
        <v/>
      </c>
      <c r="D745" s="0" t="str">
        <f aca="false">IF(Pipeline_Sort!$C745="","",INDEX(Pipeline_Calc!$E$2:$E$5251,Pipeline_Sort!$C745))</f>
        <v/>
      </c>
      <c r="E745" s="0" t="str">
        <f aca="false">IF(Pipeline_Sort!$C745="","",INDEX(Pipeline_Calc!$F$2:$F$5251,Pipeline_Sort!$C745))</f>
        <v/>
      </c>
      <c r="F745" s="0" t="str">
        <f aca="false">IF(Pipeline_Sort!$C745="","",INDEX(Pipeline_Calc!$G$2:$G$5251,Pipeline_Sort!$C745))</f>
        <v/>
      </c>
      <c r="G745" s="0" t="str">
        <f aca="false">IF(Pipeline_Sort!$C745="","",INDEX(Pipeline_Calc!$H$2:$H$5251,Pipeline_Sort!$C745))</f>
        <v/>
      </c>
      <c r="H745" s="0" t="str">
        <f aca="false">IF(Pipeline_Sort!$C745="","",INDEX(Pipeline_Calc!$I$2:$I$5251,Pipeline_Sort!$C745))</f>
        <v/>
      </c>
      <c r="I745" s="0" t="str">
        <f aca="false">IF(Pipeline_Sort!$C745="","",INDEX(Pipeline_Calc!$J$2:$J$5251,Pipeline_Sort!$C745))</f>
        <v/>
      </c>
    </row>
    <row r="746" customFormat="false" ht="15" hidden="false" customHeight="false" outlineLevel="0" collapsed="false">
      <c r="A746" s="33" t="str">
        <f aca="false">IF(Pipeline_Sort!$C746="","",INDEX(Pipeline_Calc!$B$2:$B$5251,Pipeline_Sort!$C746))</f>
        <v/>
      </c>
      <c r="B746" s="0" t="str">
        <f aca="false">IF(Pipeline_Sort!$C746="","",INDEX(Pipeline_Calc!$C$2:$C$5251,Pipeline_Sort!$C746))</f>
        <v/>
      </c>
      <c r="C746" s="0" t="str">
        <f aca="false">IF(Pipeline_Sort!$C746="","",INDEX(Pipeline_Calc!$D$2:$D$5251,Pipeline_Sort!$C746))</f>
        <v/>
      </c>
      <c r="D746" s="0" t="str">
        <f aca="false">IF(Pipeline_Sort!$C746="","",INDEX(Pipeline_Calc!$E$2:$E$5251,Pipeline_Sort!$C746))</f>
        <v/>
      </c>
      <c r="E746" s="0" t="str">
        <f aca="false">IF(Pipeline_Sort!$C746="","",INDEX(Pipeline_Calc!$F$2:$F$5251,Pipeline_Sort!$C746))</f>
        <v/>
      </c>
      <c r="F746" s="0" t="str">
        <f aca="false">IF(Pipeline_Sort!$C746="","",INDEX(Pipeline_Calc!$G$2:$G$5251,Pipeline_Sort!$C746))</f>
        <v/>
      </c>
      <c r="G746" s="0" t="str">
        <f aca="false">IF(Pipeline_Sort!$C746="","",INDEX(Pipeline_Calc!$H$2:$H$5251,Pipeline_Sort!$C746))</f>
        <v/>
      </c>
      <c r="H746" s="0" t="str">
        <f aca="false">IF(Pipeline_Sort!$C746="","",INDEX(Pipeline_Calc!$I$2:$I$5251,Pipeline_Sort!$C746))</f>
        <v/>
      </c>
      <c r="I746" s="0" t="str">
        <f aca="false">IF(Pipeline_Sort!$C746="","",INDEX(Pipeline_Calc!$J$2:$J$5251,Pipeline_Sort!$C746))</f>
        <v/>
      </c>
    </row>
    <row r="747" customFormat="false" ht="15" hidden="false" customHeight="false" outlineLevel="0" collapsed="false">
      <c r="A747" s="33" t="str">
        <f aca="false">IF(Pipeline_Sort!$C747="","",INDEX(Pipeline_Calc!$B$2:$B$5251,Pipeline_Sort!$C747))</f>
        <v/>
      </c>
      <c r="B747" s="0" t="str">
        <f aca="false">IF(Pipeline_Sort!$C747="","",INDEX(Pipeline_Calc!$C$2:$C$5251,Pipeline_Sort!$C747))</f>
        <v/>
      </c>
      <c r="C747" s="0" t="str">
        <f aca="false">IF(Pipeline_Sort!$C747="","",INDEX(Pipeline_Calc!$D$2:$D$5251,Pipeline_Sort!$C747))</f>
        <v/>
      </c>
      <c r="D747" s="0" t="str">
        <f aca="false">IF(Pipeline_Sort!$C747="","",INDEX(Pipeline_Calc!$E$2:$E$5251,Pipeline_Sort!$C747))</f>
        <v/>
      </c>
      <c r="E747" s="0" t="str">
        <f aca="false">IF(Pipeline_Sort!$C747="","",INDEX(Pipeline_Calc!$F$2:$F$5251,Pipeline_Sort!$C747))</f>
        <v/>
      </c>
      <c r="F747" s="0" t="str">
        <f aca="false">IF(Pipeline_Sort!$C747="","",INDEX(Pipeline_Calc!$G$2:$G$5251,Pipeline_Sort!$C747))</f>
        <v/>
      </c>
      <c r="G747" s="0" t="str">
        <f aca="false">IF(Pipeline_Sort!$C747="","",INDEX(Pipeline_Calc!$H$2:$H$5251,Pipeline_Sort!$C747))</f>
        <v/>
      </c>
      <c r="H747" s="0" t="str">
        <f aca="false">IF(Pipeline_Sort!$C747="","",INDEX(Pipeline_Calc!$I$2:$I$5251,Pipeline_Sort!$C747))</f>
        <v/>
      </c>
      <c r="I747" s="0" t="str">
        <f aca="false">IF(Pipeline_Sort!$C747="","",INDEX(Pipeline_Calc!$J$2:$J$5251,Pipeline_Sort!$C747))</f>
        <v/>
      </c>
    </row>
    <row r="748" customFormat="false" ht="15" hidden="false" customHeight="false" outlineLevel="0" collapsed="false">
      <c r="A748" s="33" t="str">
        <f aca="false">IF(Pipeline_Sort!$C748="","",INDEX(Pipeline_Calc!$B$2:$B$5251,Pipeline_Sort!$C748))</f>
        <v/>
      </c>
      <c r="B748" s="0" t="str">
        <f aca="false">IF(Pipeline_Sort!$C748="","",INDEX(Pipeline_Calc!$C$2:$C$5251,Pipeline_Sort!$C748))</f>
        <v/>
      </c>
      <c r="C748" s="0" t="str">
        <f aca="false">IF(Pipeline_Sort!$C748="","",INDEX(Pipeline_Calc!$D$2:$D$5251,Pipeline_Sort!$C748))</f>
        <v/>
      </c>
      <c r="D748" s="0" t="str">
        <f aca="false">IF(Pipeline_Sort!$C748="","",INDEX(Pipeline_Calc!$E$2:$E$5251,Pipeline_Sort!$C748))</f>
        <v/>
      </c>
      <c r="E748" s="0" t="str">
        <f aca="false">IF(Pipeline_Sort!$C748="","",INDEX(Pipeline_Calc!$F$2:$F$5251,Pipeline_Sort!$C748))</f>
        <v/>
      </c>
      <c r="F748" s="0" t="str">
        <f aca="false">IF(Pipeline_Sort!$C748="","",INDEX(Pipeline_Calc!$G$2:$G$5251,Pipeline_Sort!$C748))</f>
        <v/>
      </c>
      <c r="G748" s="0" t="str">
        <f aca="false">IF(Pipeline_Sort!$C748="","",INDEX(Pipeline_Calc!$H$2:$H$5251,Pipeline_Sort!$C748))</f>
        <v/>
      </c>
      <c r="H748" s="0" t="str">
        <f aca="false">IF(Pipeline_Sort!$C748="","",INDEX(Pipeline_Calc!$I$2:$I$5251,Pipeline_Sort!$C748))</f>
        <v/>
      </c>
      <c r="I748" s="0" t="str">
        <f aca="false">IF(Pipeline_Sort!$C748="","",INDEX(Pipeline_Calc!$J$2:$J$5251,Pipeline_Sort!$C748))</f>
        <v/>
      </c>
    </row>
    <row r="749" customFormat="false" ht="15" hidden="false" customHeight="false" outlineLevel="0" collapsed="false">
      <c r="A749" s="33" t="str">
        <f aca="false">IF(Pipeline_Sort!$C749="","",INDEX(Pipeline_Calc!$B$2:$B$5251,Pipeline_Sort!$C749))</f>
        <v/>
      </c>
      <c r="B749" s="0" t="str">
        <f aca="false">IF(Pipeline_Sort!$C749="","",INDEX(Pipeline_Calc!$C$2:$C$5251,Pipeline_Sort!$C749))</f>
        <v/>
      </c>
      <c r="C749" s="0" t="str">
        <f aca="false">IF(Pipeline_Sort!$C749="","",INDEX(Pipeline_Calc!$D$2:$D$5251,Pipeline_Sort!$C749))</f>
        <v/>
      </c>
      <c r="D749" s="0" t="str">
        <f aca="false">IF(Pipeline_Sort!$C749="","",INDEX(Pipeline_Calc!$E$2:$E$5251,Pipeline_Sort!$C749))</f>
        <v/>
      </c>
      <c r="E749" s="0" t="str">
        <f aca="false">IF(Pipeline_Sort!$C749="","",INDEX(Pipeline_Calc!$F$2:$F$5251,Pipeline_Sort!$C749))</f>
        <v/>
      </c>
      <c r="F749" s="0" t="str">
        <f aca="false">IF(Pipeline_Sort!$C749="","",INDEX(Pipeline_Calc!$G$2:$G$5251,Pipeline_Sort!$C749))</f>
        <v/>
      </c>
      <c r="G749" s="0" t="str">
        <f aca="false">IF(Pipeline_Sort!$C749="","",INDEX(Pipeline_Calc!$H$2:$H$5251,Pipeline_Sort!$C749))</f>
        <v/>
      </c>
      <c r="H749" s="0" t="str">
        <f aca="false">IF(Pipeline_Sort!$C749="","",INDEX(Pipeline_Calc!$I$2:$I$5251,Pipeline_Sort!$C749))</f>
        <v/>
      </c>
      <c r="I749" s="0" t="str">
        <f aca="false">IF(Pipeline_Sort!$C749="","",INDEX(Pipeline_Calc!$J$2:$J$5251,Pipeline_Sort!$C749))</f>
        <v/>
      </c>
    </row>
    <row r="750" customFormat="false" ht="15" hidden="false" customHeight="false" outlineLevel="0" collapsed="false">
      <c r="A750" s="33" t="str">
        <f aca="false">IF(Pipeline_Sort!$C750="","",INDEX(Pipeline_Calc!$B$2:$B$5251,Pipeline_Sort!$C750))</f>
        <v/>
      </c>
      <c r="B750" s="0" t="str">
        <f aca="false">IF(Pipeline_Sort!$C750="","",INDEX(Pipeline_Calc!$C$2:$C$5251,Pipeline_Sort!$C750))</f>
        <v/>
      </c>
      <c r="C750" s="0" t="str">
        <f aca="false">IF(Pipeline_Sort!$C750="","",INDEX(Pipeline_Calc!$D$2:$D$5251,Pipeline_Sort!$C750))</f>
        <v/>
      </c>
      <c r="D750" s="0" t="str">
        <f aca="false">IF(Pipeline_Sort!$C750="","",INDEX(Pipeline_Calc!$E$2:$E$5251,Pipeline_Sort!$C750))</f>
        <v/>
      </c>
      <c r="E750" s="0" t="str">
        <f aca="false">IF(Pipeline_Sort!$C750="","",INDEX(Pipeline_Calc!$F$2:$F$5251,Pipeline_Sort!$C750))</f>
        <v/>
      </c>
      <c r="F750" s="0" t="str">
        <f aca="false">IF(Pipeline_Sort!$C750="","",INDEX(Pipeline_Calc!$G$2:$G$5251,Pipeline_Sort!$C750))</f>
        <v/>
      </c>
      <c r="G750" s="0" t="str">
        <f aca="false">IF(Pipeline_Sort!$C750="","",INDEX(Pipeline_Calc!$H$2:$H$5251,Pipeline_Sort!$C750))</f>
        <v/>
      </c>
      <c r="H750" s="0" t="str">
        <f aca="false">IF(Pipeline_Sort!$C750="","",INDEX(Pipeline_Calc!$I$2:$I$5251,Pipeline_Sort!$C750))</f>
        <v/>
      </c>
      <c r="I750" s="0" t="str">
        <f aca="false">IF(Pipeline_Sort!$C750="","",INDEX(Pipeline_Calc!$J$2:$J$5251,Pipeline_Sort!$C750))</f>
        <v/>
      </c>
    </row>
    <row r="751" customFormat="false" ht="15" hidden="false" customHeight="false" outlineLevel="0" collapsed="false">
      <c r="A751" s="33" t="str">
        <f aca="false">IF(Pipeline_Sort!$C751="","",INDEX(Pipeline_Calc!$B$2:$B$5251,Pipeline_Sort!$C751))</f>
        <v/>
      </c>
      <c r="B751" s="0" t="str">
        <f aca="false">IF(Pipeline_Sort!$C751="","",INDEX(Pipeline_Calc!$C$2:$C$5251,Pipeline_Sort!$C751))</f>
        <v/>
      </c>
      <c r="C751" s="0" t="str">
        <f aca="false">IF(Pipeline_Sort!$C751="","",INDEX(Pipeline_Calc!$D$2:$D$5251,Pipeline_Sort!$C751))</f>
        <v/>
      </c>
      <c r="D751" s="0" t="str">
        <f aca="false">IF(Pipeline_Sort!$C751="","",INDEX(Pipeline_Calc!$E$2:$E$5251,Pipeline_Sort!$C751))</f>
        <v/>
      </c>
      <c r="E751" s="0" t="str">
        <f aca="false">IF(Pipeline_Sort!$C751="","",INDEX(Pipeline_Calc!$F$2:$F$5251,Pipeline_Sort!$C751))</f>
        <v/>
      </c>
      <c r="F751" s="0" t="str">
        <f aca="false">IF(Pipeline_Sort!$C751="","",INDEX(Pipeline_Calc!$G$2:$G$5251,Pipeline_Sort!$C751))</f>
        <v/>
      </c>
      <c r="G751" s="0" t="str">
        <f aca="false">IF(Pipeline_Sort!$C751="","",INDEX(Pipeline_Calc!$H$2:$H$5251,Pipeline_Sort!$C751))</f>
        <v/>
      </c>
      <c r="H751" s="0" t="str">
        <f aca="false">IF(Pipeline_Sort!$C751="","",INDEX(Pipeline_Calc!$I$2:$I$5251,Pipeline_Sort!$C751))</f>
        <v/>
      </c>
      <c r="I751" s="0" t="str">
        <f aca="false">IF(Pipeline_Sort!$C751="","",INDEX(Pipeline_Calc!$J$2:$J$5251,Pipeline_Sort!$C751))</f>
        <v/>
      </c>
    </row>
    <row r="752" customFormat="false" ht="15" hidden="false" customHeight="false" outlineLevel="0" collapsed="false">
      <c r="A752" s="33" t="str">
        <f aca="false">IF(Pipeline_Sort!$C752="","",INDEX(Pipeline_Calc!$B$2:$B$5251,Pipeline_Sort!$C752))</f>
        <v/>
      </c>
      <c r="B752" s="0" t="str">
        <f aca="false">IF(Pipeline_Sort!$C752="","",INDEX(Pipeline_Calc!$C$2:$C$5251,Pipeline_Sort!$C752))</f>
        <v/>
      </c>
      <c r="C752" s="0" t="str">
        <f aca="false">IF(Pipeline_Sort!$C752="","",INDEX(Pipeline_Calc!$D$2:$D$5251,Pipeline_Sort!$C752))</f>
        <v/>
      </c>
      <c r="D752" s="0" t="str">
        <f aca="false">IF(Pipeline_Sort!$C752="","",INDEX(Pipeline_Calc!$E$2:$E$5251,Pipeline_Sort!$C752))</f>
        <v/>
      </c>
      <c r="E752" s="0" t="str">
        <f aca="false">IF(Pipeline_Sort!$C752="","",INDEX(Pipeline_Calc!$F$2:$F$5251,Pipeline_Sort!$C752))</f>
        <v/>
      </c>
      <c r="F752" s="0" t="str">
        <f aca="false">IF(Pipeline_Sort!$C752="","",INDEX(Pipeline_Calc!$G$2:$G$5251,Pipeline_Sort!$C752))</f>
        <v/>
      </c>
      <c r="G752" s="0" t="str">
        <f aca="false">IF(Pipeline_Sort!$C752="","",INDEX(Pipeline_Calc!$H$2:$H$5251,Pipeline_Sort!$C752))</f>
        <v/>
      </c>
      <c r="H752" s="0" t="str">
        <f aca="false">IF(Pipeline_Sort!$C752="","",INDEX(Pipeline_Calc!$I$2:$I$5251,Pipeline_Sort!$C752))</f>
        <v/>
      </c>
      <c r="I752" s="0" t="str">
        <f aca="false">IF(Pipeline_Sort!$C752="","",INDEX(Pipeline_Calc!$J$2:$J$5251,Pipeline_Sort!$C752))</f>
        <v/>
      </c>
    </row>
    <row r="753" customFormat="false" ht="15" hidden="false" customHeight="false" outlineLevel="0" collapsed="false">
      <c r="A753" s="33" t="str">
        <f aca="false">IF(Pipeline_Sort!$C753="","",INDEX(Pipeline_Calc!$B$2:$B$5251,Pipeline_Sort!$C753))</f>
        <v/>
      </c>
      <c r="B753" s="0" t="str">
        <f aca="false">IF(Pipeline_Sort!$C753="","",INDEX(Pipeline_Calc!$C$2:$C$5251,Pipeline_Sort!$C753))</f>
        <v/>
      </c>
      <c r="C753" s="0" t="str">
        <f aca="false">IF(Pipeline_Sort!$C753="","",INDEX(Pipeline_Calc!$D$2:$D$5251,Pipeline_Sort!$C753))</f>
        <v/>
      </c>
      <c r="D753" s="0" t="str">
        <f aca="false">IF(Pipeline_Sort!$C753="","",INDEX(Pipeline_Calc!$E$2:$E$5251,Pipeline_Sort!$C753))</f>
        <v/>
      </c>
      <c r="E753" s="0" t="str">
        <f aca="false">IF(Pipeline_Sort!$C753="","",INDEX(Pipeline_Calc!$F$2:$F$5251,Pipeline_Sort!$C753))</f>
        <v/>
      </c>
      <c r="F753" s="0" t="str">
        <f aca="false">IF(Pipeline_Sort!$C753="","",INDEX(Pipeline_Calc!$G$2:$G$5251,Pipeline_Sort!$C753))</f>
        <v/>
      </c>
      <c r="G753" s="0" t="str">
        <f aca="false">IF(Pipeline_Sort!$C753="","",INDEX(Pipeline_Calc!$H$2:$H$5251,Pipeline_Sort!$C753))</f>
        <v/>
      </c>
      <c r="H753" s="0" t="str">
        <f aca="false">IF(Pipeline_Sort!$C753="","",INDEX(Pipeline_Calc!$I$2:$I$5251,Pipeline_Sort!$C753))</f>
        <v/>
      </c>
      <c r="I753" s="0" t="str">
        <f aca="false">IF(Pipeline_Sort!$C753="","",INDEX(Pipeline_Calc!$J$2:$J$5251,Pipeline_Sort!$C753))</f>
        <v/>
      </c>
    </row>
    <row r="754" customFormat="false" ht="15" hidden="false" customHeight="false" outlineLevel="0" collapsed="false">
      <c r="A754" s="33" t="str">
        <f aca="false">IF(Pipeline_Sort!$C754="","",INDEX(Pipeline_Calc!$B$2:$B$5251,Pipeline_Sort!$C754))</f>
        <v/>
      </c>
      <c r="B754" s="0" t="str">
        <f aca="false">IF(Pipeline_Sort!$C754="","",INDEX(Pipeline_Calc!$C$2:$C$5251,Pipeline_Sort!$C754))</f>
        <v/>
      </c>
      <c r="C754" s="0" t="str">
        <f aca="false">IF(Pipeline_Sort!$C754="","",INDEX(Pipeline_Calc!$D$2:$D$5251,Pipeline_Sort!$C754))</f>
        <v/>
      </c>
      <c r="D754" s="0" t="str">
        <f aca="false">IF(Pipeline_Sort!$C754="","",INDEX(Pipeline_Calc!$E$2:$E$5251,Pipeline_Sort!$C754))</f>
        <v/>
      </c>
      <c r="E754" s="0" t="str">
        <f aca="false">IF(Pipeline_Sort!$C754="","",INDEX(Pipeline_Calc!$F$2:$F$5251,Pipeline_Sort!$C754))</f>
        <v/>
      </c>
      <c r="F754" s="0" t="str">
        <f aca="false">IF(Pipeline_Sort!$C754="","",INDEX(Pipeline_Calc!$G$2:$G$5251,Pipeline_Sort!$C754))</f>
        <v/>
      </c>
      <c r="G754" s="0" t="str">
        <f aca="false">IF(Pipeline_Sort!$C754="","",INDEX(Pipeline_Calc!$H$2:$H$5251,Pipeline_Sort!$C754))</f>
        <v/>
      </c>
      <c r="H754" s="0" t="str">
        <f aca="false">IF(Pipeline_Sort!$C754="","",INDEX(Pipeline_Calc!$I$2:$I$5251,Pipeline_Sort!$C754))</f>
        <v/>
      </c>
      <c r="I754" s="0" t="str">
        <f aca="false">IF(Pipeline_Sort!$C754="","",INDEX(Pipeline_Calc!$J$2:$J$5251,Pipeline_Sort!$C754))</f>
        <v/>
      </c>
    </row>
    <row r="755" customFormat="false" ht="15" hidden="false" customHeight="false" outlineLevel="0" collapsed="false">
      <c r="A755" s="33" t="str">
        <f aca="false">IF(Pipeline_Sort!$C755="","",INDEX(Pipeline_Calc!$B$2:$B$5251,Pipeline_Sort!$C755))</f>
        <v/>
      </c>
      <c r="B755" s="0" t="str">
        <f aca="false">IF(Pipeline_Sort!$C755="","",INDEX(Pipeline_Calc!$C$2:$C$5251,Pipeline_Sort!$C755))</f>
        <v/>
      </c>
      <c r="C755" s="0" t="str">
        <f aca="false">IF(Pipeline_Sort!$C755="","",INDEX(Pipeline_Calc!$D$2:$D$5251,Pipeline_Sort!$C755))</f>
        <v/>
      </c>
      <c r="D755" s="0" t="str">
        <f aca="false">IF(Pipeline_Sort!$C755="","",INDEX(Pipeline_Calc!$E$2:$E$5251,Pipeline_Sort!$C755))</f>
        <v/>
      </c>
      <c r="E755" s="0" t="str">
        <f aca="false">IF(Pipeline_Sort!$C755="","",INDEX(Pipeline_Calc!$F$2:$F$5251,Pipeline_Sort!$C755))</f>
        <v/>
      </c>
      <c r="F755" s="0" t="str">
        <f aca="false">IF(Pipeline_Sort!$C755="","",INDEX(Pipeline_Calc!$G$2:$G$5251,Pipeline_Sort!$C755))</f>
        <v/>
      </c>
      <c r="G755" s="0" t="str">
        <f aca="false">IF(Pipeline_Sort!$C755="","",INDEX(Pipeline_Calc!$H$2:$H$5251,Pipeline_Sort!$C755))</f>
        <v/>
      </c>
      <c r="H755" s="0" t="str">
        <f aca="false">IF(Pipeline_Sort!$C755="","",INDEX(Pipeline_Calc!$I$2:$I$5251,Pipeline_Sort!$C755))</f>
        <v/>
      </c>
      <c r="I755" s="0" t="str">
        <f aca="false">IF(Pipeline_Sort!$C755="","",INDEX(Pipeline_Calc!$J$2:$J$5251,Pipeline_Sort!$C755))</f>
        <v/>
      </c>
    </row>
    <row r="756" customFormat="false" ht="15" hidden="false" customHeight="false" outlineLevel="0" collapsed="false">
      <c r="A756" s="33" t="str">
        <f aca="false">IF(Pipeline_Sort!$C756="","",INDEX(Pipeline_Calc!$B$2:$B$5251,Pipeline_Sort!$C756))</f>
        <v/>
      </c>
      <c r="B756" s="0" t="str">
        <f aca="false">IF(Pipeline_Sort!$C756="","",INDEX(Pipeline_Calc!$C$2:$C$5251,Pipeline_Sort!$C756))</f>
        <v/>
      </c>
      <c r="C756" s="0" t="str">
        <f aca="false">IF(Pipeline_Sort!$C756="","",INDEX(Pipeline_Calc!$D$2:$D$5251,Pipeline_Sort!$C756))</f>
        <v/>
      </c>
      <c r="D756" s="0" t="str">
        <f aca="false">IF(Pipeline_Sort!$C756="","",INDEX(Pipeline_Calc!$E$2:$E$5251,Pipeline_Sort!$C756))</f>
        <v/>
      </c>
      <c r="E756" s="0" t="str">
        <f aca="false">IF(Pipeline_Sort!$C756="","",INDEX(Pipeline_Calc!$F$2:$F$5251,Pipeline_Sort!$C756))</f>
        <v/>
      </c>
      <c r="F756" s="0" t="str">
        <f aca="false">IF(Pipeline_Sort!$C756="","",INDEX(Pipeline_Calc!$G$2:$G$5251,Pipeline_Sort!$C756))</f>
        <v/>
      </c>
      <c r="G756" s="0" t="str">
        <f aca="false">IF(Pipeline_Sort!$C756="","",INDEX(Pipeline_Calc!$H$2:$H$5251,Pipeline_Sort!$C756))</f>
        <v/>
      </c>
      <c r="H756" s="0" t="str">
        <f aca="false">IF(Pipeline_Sort!$C756="","",INDEX(Pipeline_Calc!$I$2:$I$5251,Pipeline_Sort!$C756))</f>
        <v/>
      </c>
      <c r="I756" s="0" t="str">
        <f aca="false">IF(Pipeline_Sort!$C756="","",INDEX(Pipeline_Calc!$J$2:$J$5251,Pipeline_Sort!$C756))</f>
        <v/>
      </c>
    </row>
    <row r="757" customFormat="false" ht="15" hidden="false" customHeight="false" outlineLevel="0" collapsed="false">
      <c r="A757" s="33" t="str">
        <f aca="false">IF(Pipeline_Sort!$C757="","",INDEX(Pipeline_Calc!$B$2:$B$5251,Pipeline_Sort!$C757))</f>
        <v/>
      </c>
      <c r="B757" s="0" t="str">
        <f aca="false">IF(Pipeline_Sort!$C757="","",INDEX(Pipeline_Calc!$C$2:$C$5251,Pipeline_Sort!$C757))</f>
        <v/>
      </c>
      <c r="C757" s="0" t="str">
        <f aca="false">IF(Pipeline_Sort!$C757="","",INDEX(Pipeline_Calc!$D$2:$D$5251,Pipeline_Sort!$C757))</f>
        <v/>
      </c>
      <c r="D757" s="0" t="str">
        <f aca="false">IF(Pipeline_Sort!$C757="","",INDEX(Pipeline_Calc!$E$2:$E$5251,Pipeline_Sort!$C757))</f>
        <v/>
      </c>
      <c r="E757" s="0" t="str">
        <f aca="false">IF(Pipeline_Sort!$C757="","",INDEX(Pipeline_Calc!$F$2:$F$5251,Pipeline_Sort!$C757))</f>
        <v/>
      </c>
      <c r="F757" s="0" t="str">
        <f aca="false">IF(Pipeline_Sort!$C757="","",INDEX(Pipeline_Calc!$G$2:$G$5251,Pipeline_Sort!$C757))</f>
        <v/>
      </c>
      <c r="G757" s="0" t="str">
        <f aca="false">IF(Pipeline_Sort!$C757="","",INDEX(Pipeline_Calc!$H$2:$H$5251,Pipeline_Sort!$C757))</f>
        <v/>
      </c>
      <c r="H757" s="0" t="str">
        <f aca="false">IF(Pipeline_Sort!$C757="","",INDEX(Pipeline_Calc!$I$2:$I$5251,Pipeline_Sort!$C757))</f>
        <v/>
      </c>
      <c r="I757" s="0" t="str">
        <f aca="false">IF(Pipeline_Sort!$C757="","",INDEX(Pipeline_Calc!$J$2:$J$5251,Pipeline_Sort!$C757))</f>
        <v/>
      </c>
    </row>
    <row r="758" customFormat="false" ht="15" hidden="false" customHeight="false" outlineLevel="0" collapsed="false">
      <c r="A758" s="33" t="str">
        <f aca="false">IF(Pipeline_Sort!$C758="","",INDEX(Pipeline_Calc!$B$2:$B$5251,Pipeline_Sort!$C758))</f>
        <v/>
      </c>
      <c r="B758" s="0" t="str">
        <f aca="false">IF(Pipeline_Sort!$C758="","",INDEX(Pipeline_Calc!$C$2:$C$5251,Pipeline_Sort!$C758))</f>
        <v/>
      </c>
      <c r="C758" s="0" t="str">
        <f aca="false">IF(Pipeline_Sort!$C758="","",INDEX(Pipeline_Calc!$D$2:$D$5251,Pipeline_Sort!$C758))</f>
        <v/>
      </c>
      <c r="D758" s="0" t="str">
        <f aca="false">IF(Pipeline_Sort!$C758="","",INDEX(Pipeline_Calc!$E$2:$E$5251,Pipeline_Sort!$C758))</f>
        <v/>
      </c>
      <c r="E758" s="0" t="str">
        <f aca="false">IF(Pipeline_Sort!$C758="","",INDEX(Pipeline_Calc!$F$2:$F$5251,Pipeline_Sort!$C758))</f>
        <v/>
      </c>
      <c r="F758" s="0" t="str">
        <f aca="false">IF(Pipeline_Sort!$C758="","",INDEX(Pipeline_Calc!$G$2:$G$5251,Pipeline_Sort!$C758))</f>
        <v/>
      </c>
      <c r="G758" s="0" t="str">
        <f aca="false">IF(Pipeline_Sort!$C758="","",INDEX(Pipeline_Calc!$H$2:$H$5251,Pipeline_Sort!$C758))</f>
        <v/>
      </c>
      <c r="H758" s="0" t="str">
        <f aca="false">IF(Pipeline_Sort!$C758="","",INDEX(Pipeline_Calc!$I$2:$I$5251,Pipeline_Sort!$C758))</f>
        <v/>
      </c>
      <c r="I758" s="0" t="str">
        <f aca="false">IF(Pipeline_Sort!$C758="","",INDEX(Pipeline_Calc!$J$2:$J$5251,Pipeline_Sort!$C758))</f>
        <v/>
      </c>
    </row>
    <row r="759" customFormat="false" ht="15" hidden="false" customHeight="false" outlineLevel="0" collapsed="false">
      <c r="A759" s="33" t="str">
        <f aca="false">IF(Pipeline_Sort!$C759="","",INDEX(Pipeline_Calc!$B$2:$B$5251,Pipeline_Sort!$C759))</f>
        <v/>
      </c>
      <c r="B759" s="0" t="str">
        <f aca="false">IF(Pipeline_Sort!$C759="","",INDEX(Pipeline_Calc!$C$2:$C$5251,Pipeline_Sort!$C759))</f>
        <v/>
      </c>
      <c r="C759" s="0" t="str">
        <f aca="false">IF(Pipeline_Sort!$C759="","",INDEX(Pipeline_Calc!$D$2:$D$5251,Pipeline_Sort!$C759))</f>
        <v/>
      </c>
      <c r="D759" s="0" t="str">
        <f aca="false">IF(Pipeline_Sort!$C759="","",INDEX(Pipeline_Calc!$E$2:$E$5251,Pipeline_Sort!$C759))</f>
        <v/>
      </c>
      <c r="E759" s="0" t="str">
        <f aca="false">IF(Pipeline_Sort!$C759="","",INDEX(Pipeline_Calc!$F$2:$F$5251,Pipeline_Sort!$C759))</f>
        <v/>
      </c>
      <c r="F759" s="0" t="str">
        <f aca="false">IF(Pipeline_Sort!$C759="","",INDEX(Pipeline_Calc!$G$2:$G$5251,Pipeline_Sort!$C759))</f>
        <v/>
      </c>
      <c r="G759" s="0" t="str">
        <f aca="false">IF(Pipeline_Sort!$C759="","",INDEX(Pipeline_Calc!$H$2:$H$5251,Pipeline_Sort!$C759))</f>
        <v/>
      </c>
      <c r="H759" s="0" t="str">
        <f aca="false">IF(Pipeline_Sort!$C759="","",INDEX(Pipeline_Calc!$I$2:$I$5251,Pipeline_Sort!$C759))</f>
        <v/>
      </c>
      <c r="I759" s="0" t="str">
        <f aca="false">IF(Pipeline_Sort!$C759="","",INDEX(Pipeline_Calc!$J$2:$J$5251,Pipeline_Sort!$C759))</f>
        <v/>
      </c>
    </row>
    <row r="760" customFormat="false" ht="15" hidden="false" customHeight="false" outlineLevel="0" collapsed="false">
      <c r="A760" s="33" t="str">
        <f aca="false">IF(Pipeline_Sort!$C760="","",INDEX(Pipeline_Calc!$B$2:$B$5251,Pipeline_Sort!$C760))</f>
        <v/>
      </c>
      <c r="B760" s="0" t="str">
        <f aca="false">IF(Pipeline_Sort!$C760="","",INDEX(Pipeline_Calc!$C$2:$C$5251,Pipeline_Sort!$C760))</f>
        <v/>
      </c>
      <c r="C760" s="0" t="str">
        <f aca="false">IF(Pipeline_Sort!$C760="","",INDEX(Pipeline_Calc!$D$2:$D$5251,Pipeline_Sort!$C760))</f>
        <v/>
      </c>
      <c r="D760" s="0" t="str">
        <f aca="false">IF(Pipeline_Sort!$C760="","",INDEX(Pipeline_Calc!$E$2:$E$5251,Pipeline_Sort!$C760))</f>
        <v/>
      </c>
      <c r="E760" s="0" t="str">
        <f aca="false">IF(Pipeline_Sort!$C760="","",INDEX(Pipeline_Calc!$F$2:$F$5251,Pipeline_Sort!$C760))</f>
        <v/>
      </c>
      <c r="F760" s="0" t="str">
        <f aca="false">IF(Pipeline_Sort!$C760="","",INDEX(Pipeline_Calc!$G$2:$G$5251,Pipeline_Sort!$C760))</f>
        <v/>
      </c>
      <c r="G760" s="0" t="str">
        <f aca="false">IF(Pipeline_Sort!$C760="","",INDEX(Pipeline_Calc!$H$2:$H$5251,Pipeline_Sort!$C760))</f>
        <v/>
      </c>
      <c r="H760" s="0" t="str">
        <f aca="false">IF(Pipeline_Sort!$C760="","",INDEX(Pipeline_Calc!$I$2:$I$5251,Pipeline_Sort!$C760))</f>
        <v/>
      </c>
      <c r="I760" s="0" t="str">
        <f aca="false">IF(Pipeline_Sort!$C760="","",INDEX(Pipeline_Calc!$J$2:$J$5251,Pipeline_Sort!$C760))</f>
        <v/>
      </c>
    </row>
    <row r="761" customFormat="false" ht="15" hidden="false" customHeight="false" outlineLevel="0" collapsed="false">
      <c r="A761" s="33" t="str">
        <f aca="false">IF(Pipeline_Sort!$C761="","",INDEX(Pipeline_Calc!$B$2:$B$5251,Pipeline_Sort!$C761))</f>
        <v/>
      </c>
      <c r="B761" s="0" t="str">
        <f aca="false">IF(Pipeline_Sort!$C761="","",INDEX(Pipeline_Calc!$C$2:$C$5251,Pipeline_Sort!$C761))</f>
        <v/>
      </c>
      <c r="C761" s="0" t="str">
        <f aca="false">IF(Pipeline_Sort!$C761="","",INDEX(Pipeline_Calc!$D$2:$D$5251,Pipeline_Sort!$C761))</f>
        <v/>
      </c>
      <c r="D761" s="0" t="str">
        <f aca="false">IF(Pipeline_Sort!$C761="","",INDEX(Pipeline_Calc!$E$2:$E$5251,Pipeline_Sort!$C761))</f>
        <v/>
      </c>
      <c r="E761" s="0" t="str">
        <f aca="false">IF(Pipeline_Sort!$C761="","",INDEX(Pipeline_Calc!$F$2:$F$5251,Pipeline_Sort!$C761))</f>
        <v/>
      </c>
      <c r="F761" s="0" t="str">
        <f aca="false">IF(Pipeline_Sort!$C761="","",INDEX(Pipeline_Calc!$G$2:$G$5251,Pipeline_Sort!$C761))</f>
        <v/>
      </c>
      <c r="G761" s="0" t="str">
        <f aca="false">IF(Pipeline_Sort!$C761="","",INDEX(Pipeline_Calc!$H$2:$H$5251,Pipeline_Sort!$C761))</f>
        <v/>
      </c>
      <c r="H761" s="0" t="str">
        <f aca="false">IF(Pipeline_Sort!$C761="","",INDEX(Pipeline_Calc!$I$2:$I$5251,Pipeline_Sort!$C761))</f>
        <v/>
      </c>
      <c r="I761" s="0" t="str">
        <f aca="false">IF(Pipeline_Sort!$C761="","",INDEX(Pipeline_Calc!$J$2:$J$5251,Pipeline_Sort!$C761))</f>
        <v/>
      </c>
    </row>
    <row r="762" customFormat="false" ht="15" hidden="false" customHeight="false" outlineLevel="0" collapsed="false">
      <c r="A762" s="33" t="str">
        <f aca="false">IF(Pipeline_Sort!$C762="","",INDEX(Pipeline_Calc!$B$2:$B$5251,Pipeline_Sort!$C762))</f>
        <v/>
      </c>
      <c r="B762" s="0" t="str">
        <f aca="false">IF(Pipeline_Sort!$C762="","",INDEX(Pipeline_Calc!$C$2:$C$5251,Pipeline_Sort!$C762))</f>
        <v/>
      </c>
      <c r="C762" s="0" t="str">
        <f aca="false">IF(Pipeline_Sort!$C762="","",INDEX(Pipeline_Calc!$D$2:$D$5251,Pipeline_Sort!$C762))</f>
        <v/>
      </c>
      <c r="D762" s="0" t="str">
        <f aca="false">IF(Pipeline_Sort!$C762="","",INDEX(Pipeline_Calc!$E$2:$E$5251,Pipeline_Sort!$C762))</f>
        <v/>
      </c>
      <c r="E762" s="0" t="str">
        <f aca="false">IF(Pipeline_Sort!$C762="","",INDEX(Pipeline_Calc!$F$2:$F$5251,Pipeline_Sort!$C762))</f>
        <v/>
      </c>
      <c r="F762" s="0" t="str">
        <f aca="false">IF(Pipeline_Sort!$C762="","",INDEX(Pipeline_Calc!$G$2:$G$5251,Pipeline_Sort!$C762))</f>
        <v/>
      </c>
      <c r="G762" s="0" t="str">
        <f aca="false">IF(Pipeline_Sort!$C762="","",INDEX(Pipeline_Calc!$H$2:$H$5251,Pipeline_Sort!$C762))</f>
        <v/>
      </c>
      <c r="H762" s="0" t="str">
        <f aca="false">IF(Pipeline_Sort!$C762="","",INDEX(Pipeline_Calc!$I$2:$I$5251,Pipeline_Sort!$C762))</f>
        <v/>
      </c>
      <c r="I762" s="0" t="str">
        <f aca="false">IF(Pipeline_Sort!$C762="","",INDEX(Pipeline_Calc!$J$2:$J$5251,Pipeline_Sort!$C762))</f>
        <v/>
      </c>
    </row>
    <row r="763" customFormat="false" ht="15" hidden="false" customHeight="false" outlineLevel="0" collapsed="false">
      <c r="A763" s="33" t="str">
        <f aca="false">IF(Pipeline_Sort!$C763="","",INDEX(Pipeline_Calc!$B$2:$B$5251,Pipeline_Sort!$C763))</f>
        <v/>
      </c>
      <c r="B763" s="0" t="str">
        <f aca="false">IF(Pipeline_Sort!$C763="","",INDEX(Pipeline_Calc!$C$2:$C$5251,Pipeline_Sort!$C763))</f>
        <v/>
      </c>
      <c r="C763" s="0" t="str">
        <f aca="false">IF(Pipeline_Sort!$C763="","",INDEX(Pipeline_Calc!$D$2:$D$5251,Pipeline_Sort!$C763))</f>
        <v/>
      </c>
      <c r="D763" s="0" t="str">
        <f aca="false">IF(Pipeline_Sort!$C763="","",INDEX(Pipeline_Calc!$E$2:$E$5251,Pipeline_Sort!$C763))</f>
        <v/>
      </c>
      <c r="E763" s="0" t="str">
        <f aca="false">IF(Pipeline_Sort!$C763="","",INDEX(Pipeline_Calc!$F$2:$F$5251,Pipeline_Sort!$C763))</f>
        <v/>
      </c>
      <c r="F763" s="0" t="str">
        <f aca="false">IF(Pipeline_Sort!$C763="","",INDEX(Pipeline_Calc!$G$2:$G$5251,Pipeline_Sort!$C763))</f>
        <v/>
      </c>
      <c r="G763" s="0" t="str">
        <f aca="false">IF(Pipeline_Sort!$C763="","",INDEX(Pipeline_Calc!$H$2:$H$5251,Pipeline_Sort!$C763))</f>
        <v/>
      </c>
      <c r="H763" s="0" t="str">
        <f aca="false">IF(Pipeline_Sort!$C763="","",INDEX(Pipeline_Calc!$I$2:$I$5251,Pipeline_Sort!$C763))</f>
        <v/>
      </c>
      <c r="I763" s="0" t="str">
        <f aca="false">IF(Pipeline_Sort!$C763="","",INDEX(Pipeline_Calc!$J$2:$J$5251,Pipeline_Sort!$C763))</f>
        <v/>
      </c>
    </row>
    <row r="764" customFormat="false" ht="15" hidden="false" customHeight="false" outlineLevel="0" collapsed="false">
      <c r="A764" s="33" t="str">
        <f aca="false">IF(Pipeline_Sort!$C764="","",INDEX(Pipeline_Calc!$B$2:$B$5251,Pipeline_Sort!$C764))</f>
        <v/>
      </c>
      <c r="B764" s="0" t="str">
        <f aca="false">IF(Pipeline_Sort!$C764="","",INDEX(Pipeline_Calc!$C$2:$C$5251,Pipeline_Sort!$C764))</f>
        <v/>
      </c>
      <c r="C764" s="0" t="str">
        <f aca="false">IF(Pipeline_Sort!$C764="","",INDEX(Pipeline_Calc!$D$2:$D$5251,Pipeline_Sort!$C764))</f>
        <v/>
      </c>
      <c r="D764" s="0" t="str">
        <f aca="false">IF(Pipeline_Sort!$C764="","",INDEX(Pipeline_Calc!$E$2:$E$5251,Pipeline_Sort!$C764))</f>
        <v/>
      </c>
      <c r="E764" s="0" t="str">
        <f aca="false">IF(Pipeline_Sort!$C764="","",INDEX(Pipeline_Calc!$F$2:$F$5251,Pipeline_Sort!$C764))</f>
        <v/>
      </c>
      <c r="F764" s="0" t="str">
        <f aca="false">IF(Pipeline_Sort!$C764="","",INDEX(Pipeline_Calc!$G$2:$G$5251,Pipeline_Sort!$C764))</f>
        <v/>
      </c>
      <c r="G764" s="0" t="str">
        <f aca="false">IF(Pipeline_Sort!$C764="","",INDEX(Pipeline_Calc!$H$2:$H$5251,Pipeline_Sort!$C764))</f>
        <v/>
      </c>
      <c r="H764" s="0" t="str">
        <f aca="false">IF(Pipeline_Sort!$C764="","",INDEX(Pipeline_Calc!$I$2:$I$5251,Pipeline_Sort!$C764))</f>
        <v/>
      </c>
      <c r="I764" s="0" t="str">
        <f aca="false">IF(Pipeline_Sort!$C764="","",INDEX(Pipeline_Calc!$J$2:$J$5251,Pipeline_Sort!$C764))</f>
        <v/>
      </c>
    </row>
    <row r="765" customFormat="false" ht="15" hidden="false" customHeight="false" outlineLevel="0" collapsed="false">
      <c r="A765" s="33" t="str">
        <f aca="false">IF(Pipeline_Sort!$C765="","",INDEX(Pipeline_Calc!$B$2:$B$5251,Pipeline_Sort!$C765))</f>
        <v/>
      </c>
      <c r="B765" s="0" t="str">
        <f aca="false">IF(Pipeline_Sort!$C765="","",INDEX(Pipeline_Calc!$C$2:$C$5251,Pipeline_Sort!$C765))</f>
        <v/>
      </c>
      <c r="C765" s="0" t="str">
        <f aca="false">IF(Pipeline_Sort!$C765="","",INDEX(Pipeline_Calc!$D$2:$D$5251,Pipeline_Sort!$C765))</f>
        <v/>
      </c>
      <c r="D765" s="0" t="str">
        <f aca="false">IF(Pipeline_Sort!$C765="","",INDEX(Pipeline_Calc!$E$2:$E$5251,Pipeline_Sort!$C765))</f>
        <v/>
      </c>
      <c r="E765" s="0" t="str">
        <f aca="false">IF(Pipeline_Sort!$C765="","",INDEX(Pipeline_Calc!$F$2:$F$5251,Pipeline_Sort!$C765))</f>
        <v/>
      </c>
      <c r="F765" s="0" t="str">
        <f aca="false">IF(Pipeline_Sort!$C765="","",INDEX(Pipeline_Calc!$G$2:$G$5251,Pipeline_Sort!$C765))</f>
        <v/>
      </c>
      <c r="G765" s="0" t="str">
        <f aca="false">IF(Pipeline_Sort!$C765="","",INDEX(Pipeline_Calc!$H$2:$H$5251,Pipeline_Sort!$C765))</f>
        <v/>
      </c>
      <c r="H765" s="0" t="str">
        <f aca="false">IF(Pipeline_Sort!$C765="","",INDEX(Pipeline_Calc!$I$2:$I$5251,Pipeline_Sort!$C765))</f>
        <v/>
      </c>
      <c r="I765" s="0" t="str">
        <f aca="false">IF(Pipeline_Sort!$C765="","",INDEX(Pipeline_Calc!$J$2:$J$5251,Pipeline_Sort!$C765))</f>
        <v/>
      </c>
    </row>
    <row r="766" customFormat="false" ht="15" hidden="false" customHeight="false" outlineLevel="0" collapsed="false">
      <c r="A766" s="33" t="str">
        <f aca="false">IF(Pipeline_Sort!$C766="","",INDEX(Pipeline_Calc!$B$2:$B$5251,Pipeline_Sort!$C766))</f>
        <v/>
      </c>
      <c r="B766" s="0" t="str">
        <f aca="false">IF(Pipeline_Sort!$C766="","",INDEX(Pipeline_Calc!$C$2:$C$5251,Pipeline_Sort!$C766))</f>
        <v/>
      </c>
      <c r="C766" s="0" t="str">
        <f aca="false">IF(Pipeline_Sort!$C766="","",INDEX(Pipeline_Calc!$D$2:$D$5251,Pipeline_Sort!$C766))</f>
        <v/>
      </c>
      <c r="D766" s="0" t="str">
        <f aca="false">IF(Pipeline_Sort!$C766="","",INDEX(Pipeline_Calc!$E$2:$E$5251,Pipeline_Sort!$C766))</f>
        <v/>
      </c>
      <c r="E766" s="0" t="str">
        <f aca="false">IF(Pipeline_Sort!$C766="","",INDEX(Pipeline_Calc!$F$2:$F$5251,Pipeline_Sort!$C766))</f>
        <v/>
      </c>
      <c r="F766" s="0" t="str">
        <f aca="false">IF(Pipeline_Sort!$C766="","",INDEX(Pipeline_Calc!$G$2:$G$5251,Pipeline_Sort!$C766))</f>
        <v/>
      </c>
      <c r="G766" s="0" t="str">
        <f aca="false">IF(Pipeline_Sort!$C766="","",INDEX(Pipeline_Calc!$H$2:$H$5251,Pipeline_Sort!$C766))</f>
        <v/>
      </c>
      <c r="H766" s="0" t="str">
        <f aca="false">IF(Pipeline_Sort!$C766="","",INDEX(Pipeline_Calc!$I$2:$I$5251,Pipeline_Sort!$C766))</f>
        <v/>
      </c>
      <c r="I766" s="0" t="str">
        <f aca="false">IF(Pipeline_Sort!$C766="","",INDEX(Pipeline_Calc!$J$2:$J$5251,Pipeline_Sort!$C766))</f>
        <v/>
      </c>
    </row>
    <row r="767" customFormat="false" ht="15" hidden="false" customHeight="false" outlineLevel="0" collapsed="false">
      <c r="A767" s="33" t="str">
        <f aca="false">IF(Pipeline_Sort!$C767="","",INDEX(Pipeline_Calc!$B$2:$B$5251,Pipeline_Sort!$C767))</f>
        <v/>
      </c>
      <c r="B767" s="0" t="str">
        <f aca="false">IF(Pipeline_Sort!$C767="","",INDEX(Pipeline_Calc!$C$2:$C$5251,Pipeline_Sort!$C767))</f>
        <v/>
      </c>
      <c r="C767" s="0" t="str">
        <f aca="false">IF(Pipeline_Sort!$C767="","",INDEX(Pipeline_Calc!$D$2:$D$5251,Pipeline_Sort!$C767))</f>
        <v/>
      </c>
      <c r="D767" s="0" t="str">
        <f aca="false">IF(Pipeline_Sort!$C767="","",INDEX(Pipeline_Calc!$E$2:$E$5251,Pipeline_Sort!$C767))</f>
        <v/>
      </c>
      <c r="E767" s="0" t="str">
        <f aca="false">IF(Pipeline_Sort!$C767="","",INDEX(Pipeline_Calc!$F$2:$F$5251,Pipeline_Sort!$C767))</f>
        <v/>
      </c>
      <c r="F767" s="0" t="str">
        <f aca="false">IF(Pipeline_Sort!$C767="","",INDEX(Pipeline_Calc!$G$2:$G$5251,Pipeline_Sort!$C767))</f>
        <v/>
      </c>
      <c r="G767" s="0" t="str">
        <f aca="false">IF(Pipeline_Sort!$C767="","",INDEX(Pipeline_Calc!$H$2:$H$5251,Pipeline_Sort!$C767))</f>
        <v/>
      </c>
      <c r="H767" s="0" t="str">
        <f aca="false">IF(Pipeline_Sort!$C767="","",INDEX(Pipeline_Calc!$I$2:$I$5251,Pipeline_Sort!$C767))</f>
        <v/>
      </c>
      <c r="I767" s="0" t="str">
        <f aca="false">IF(Pipeline_Sort!$C767="","",INDEX(Pipeline_Calc!$J$2:$J$5251,Pipeline_Sort!$C767))</f>
        <v/>
      </c>
    </row>
    <row r="768" customFormat="false" ht="15" hidden="false" customHeight="false" outlineLevel="0" collapsed="false">
      <c r="A768" s="33" t="str">
        <f aca="false">IF(Pipeline_Sort!$C768="","",INDEX(Pipeline_Calc!$B$2:$B$5251,Pipeline_Sort!$C768))</f>
        <v/>
      </c>
      <c r="B768" s="0" t="str">
        <f aca="false">IF(Pipeline_Sort!$C768="","",INDEX(Pipeline_Calc!$C$2:$C$5251,Pipeline_Sort!$C768))</f>
        <v/>
      </c>
      <c r="C768" s="0" t="str">
        <f aca="false">IF(Pipeline_Sort!$C768="","",INDEX(Pipeline_Calc!$D$2:$D$5251,Pipeline_Sort!$C768))</f>
        <v/>
      </c>
      <c r="D768" s="0" t="str">
        <f aca="false">IF(Pipeline_Sort!$C768="","",INDEX(Pipeline_Calc!$E$2:$E$5251,Pipeline_Sort!$C768))</f>
        <v/>
      </c>
      <c r="E768" s="0" t="str">
        <f aca="false">IF(Pipeline_Sort!$C768="","",INDEX(Pipeline_Calc!$F$2:$F$5251,Pipeline_Sort!$C768))</f>
        <v/>
      </c>
      <c r="F768" s="0" t="str">
        <f aca="false">IF(Pipeline_Sort!$C768="","",INDEX(Pipeline_Calc!$G$2:$G$5251,Pipeline_Sort!$C768))</f>
        <v/>
      </c>
      <c r="G768" s="0" t="str">
        <f aca="false">IF(Pipeline_Sort!$C768="","",INDEX(Pipeline_Calc!$H$2:$H$5251,Pipeline_Sort!$C768))</f>
        <v/>
      </c>
      <c r="H768" s="0" t="str">
        <f aca="false">IF(Pipeline_Sort!$C768="","",INDEX(Pipeline_Calc!$I$2:$I$5251,Pipeline_Sort!$C768))</f>
        <v/>
      </c>
      <c r="I768" s="0" t="str">
        <f aca="false">IF(Pipeline_Sort!$C768="","",INDEX(Pipeline_Calc!$J$2:$J$5251,Pipeline_Sort!$C768))</f>
        <v/>
      </c>
    </row>
    <row r="769" customFormat="false" ht="15" hidden="false" customHeight="false" outlineLevel="0" collapsed="false">
      <c r="A769" s="33" t="str">
        <f aca="false">IF(Pipeline_Sort!$C769="","",INDEX(Pipeline_Calc!$B$2:$B$5251,Pipeline_Sort!$C769))</f>
        <v/>
      </c>
      <c r="B769" s="0" t="str">
        <f aca="false">IF(Pipeline_Sort!$C769="","",INDEX(Pipeline_Calc!$C$2:$C$5251,Pipeline_Sort!$C769))</f>
        <v/>
      </c>
      <c r="C769" s="0" t="str">
        <f aca="false">IF(Pipeline_Sort!$C769="","",INDEX(Pipeline_Calc!$D$2:$D$5251,Pipeline_Sort!$C769))</f>
        <v/>
      </c>
      <c r="D769" s="0" t="str">
        <f aca="false">IF(Pipeline_Sort!$C769="","",INDEX(Pipeline_Calc!$E$2:$E$5251,Pipeline_Sort!$C769))</f>
        <v/>
      </c>
      <c r="E769" s="0" t="str">
        <f aca="false">IF(Pipeline_Sort!$C769="","",INDEX(Pipeline_Calc!$F$2:$F$5251,Pipeline_Sort!$C769))</f>
        <v/>
      </c>
      <c r="F769" s="0" t="str">
        <f aca="false">IF(Pipeline_Sort!$C769="","",INDEX(Pipeline_Calc!$G$2:$G$5251,Pipeline_Sort!$C769))</f>
        <v/>
      </c>
      <c r="G769" s="0" t="str">
        <f aca="false">IF(Pipeline_Sort!$C769="","",INDEX(Pipeline_Calc!$H$2:$H$5251,Pipeline_Sort!$C769))</f>
        <v/>
      </c>
      <c r="H769" s="0" t="str">
        <f aca="false">IF(Pipeline_Sort!$C769="","",INDEX(Pipeline_Calc!$I$2:$I$5251,Pipeline_Sort!$C769))</f>
        <v/>
      </c>
      <c r="I769" s="0" t="str">
        <f aca="false">IF(Pipeline_Sort!$C769="","",INDEX(Pipeline_Calc!$J$2:$J$5251,Pipeline_Sort!$C769))</f>
        <v/>
      </c>
    </row>
    <row r="770" customFormat="false" ht="15" hidden="false" customHeight="false" outlineLevel="0" collapsed="false">
      <c r="A770" s="33" t="str">
        <f aca="false">IF(Pipeline_Sort!$C770="","",INDEX(Pipeline_Calc!$B$2:$B$5251,Pipeline_Sort!$C770))</f>
        <v/>
      </c>
      <c r="B770" s="0" t="str">
        <f aca="false">IF(Pipeline_Sort!$C770="","",INDEX(Pipeline_Calc!$C$2:$C$5251,Pipeline_Sort!$C770))</f>
        <v/>
      </c>
      <c r="C770" s="0" t="str">
        <f aca="false">IF(Pipeline_Sort!$C770="","",INDEX(Pipeline_Calc!$D$2:$D$5251,Pipeline_Sort!$C770))</f>
        <v/>
      </c>
      <c r="D770" s="0" t="str">
        <f aca="false">IF(Pipeline_Sort!$C770="","",INDEX(Pipeline_Calc!$E$2:$E$5251,Pipeline_Sort!$C770))</f>
        <v/>
      </c>
      <c r="E770" s="0" t="str">
        <f aca="false">IF(Pipeline_Sort!$C770="","",INDEX(Pipeline_Calc!$F$2:$F$5251,Pipeline_Sort!$C770))</f>
        <v/>
      </c>
      <c r="F770" s="0" t="str">
        <f aca="false">IF(Pipeline_Sort!$C770="","",INDEX(Pipeline_Calc!$G$2:$G$5251,Pipeline_Sort!$C770))</f>
        <v/>
      </c>
      <c r="G770" s="0" t="str">
        <f aca="false">IF(Pipeline_Sort!$C770="","",INDEX(Pipeline_Calc!$H$2:$H$5251,Pipeline_Sort!$C770))</f>
        <v/>
      </c>
      <c r="H770" s="0" t="str">
        <f aca="false">IF(Pipeline_Sort!$C770="","",INDEX(Pipeline_Calc!$I$2:$I$5251,Pipeline_Sort!$C770))</f>
        <v/>
      </c>
      <c r="I770" s="0" t="str">
        <f aca="false">IF(Pipeline_Sort!$C770="","",INDEX(Pipeline_Calc!$J$2:$J$5251,Pipeline_Sort!$C770))</f>
        <v/>
      </c>
    </row>
    <row r="771" customFormat="false" ht="15" hidden="false" customHeight="false" outlineLevel="0" collapsed="false">
      <c r="A771" s="33" t="str">
        <f aca="false">IF(Pipeline_Sort!$C771="","",INDEX(Pipeline_Calc!$B$2:$B$5251,Pipeline_Sort!$C771))</f>
        <v/>
      </c>
      <c r="B771" s="0" t="str">
        <f aca="false">IF(Pipeline_Sort!$C771="","",INDEX(Pipeline_Calc!$C$2:$C$5251,Pipeline_Sort!$C771))</f>
        <v/>
      </c>
      <c r="C771" s="0" t="str">
        <f aca="false">IF(Pipeline_Sort!$C771="","",INDEX(Pipeline_Calc!$D$2:$D$5251,Pipeline_Sort!$C771))</f>
        <v/>
      </c>
      <c r="D771" s="0" t="str">
        <f aca="false">IF(Pipeline_Sort!$C771="","",INDEX(Pipeline_Calc!$E$2:$E$5251,Pipeline_Sort!$C771))</f>
        <v/>
      </c>
      <c r="E771" s="0" t="str">
        <f aca="false">IF(Pipeline_Sort!$C771="","",INDEX(Pipeline_Calc!$F$2:$F$5251,Pipeline_Sort!$C771))</f>
        <v/>
      </c>
      <c r="F771" s="0" t="str">
        <f aca="false">IF(Pipeline_Sort!$C771="","",INDEX(Pipeline_Calc!$G$2:$G$5251,Pipeline_Sort!$C771))</f>
        <v/>
      </c>
      <c r="G771" s="0" t="str">
        <f aca="false">IF(Pipeline_Sort!$C771="","",INDEX(Pipeline_Calc!$H$2:$H$5251,Pipeline_Sort!$C771))</f>
        <v/>
      </c>
      <c r="H771" s="0" t="str">
        <f aca="false">IF(Pipeline_Sort!$C771="","",INDEX(Pipeline_Calc!$I$2:$I$5251,Pipeline_Sort!$C771))</f>
        <v/>
      </c>
      <c r="I771" s="0" t="str">
        <f aca="false">IF(Pipeline_Sort!$C771="","",INDEX(Pipeline_Calc!$J$2:$J$5251,Pipeline_Sort!$C771))</f>
        <v/>
      </c>
    </row>
    <row r="772" customFormat="false" ht="15" hidden="false" customHeight="false" outlineLevel="0" collapsed="false">
      <c r="A772" s="33" t="str">
        <f aca="false">IF(Pipeline_Sort!$C772="","",INDEX(Pipeline_Calc!$B$2:$B$5251,Pipeline_Sort!$C772))</f>
        <v/>
      </c>
      <c r="B772" s="0" t="str">
        <f aca="false">IF(Pipeline_Sort!$C772="","",INDEX(Pipeline_Calc!$C$2:$C$5251,Pipeline_Sort!$C772))</f>
        <v/>
      </c>
      <c r="C772" s="0" t="str">
        <f aca="false">IF(Pipeline_Sort!$C772="","",INDEX(Pipeline_Calc!$D$2:$D$5251,Pipeline_Sort!$C772))</f>
        <v/>
      </c>
      <c r="D772" s="0" t="str">
        <f aca="false">IF(Pipeline_Sort!$C772="","",INDEX(Pipeline_Calc!$E$2:$E$5251,Pipeline_Sort!$C772))</f>
        <v/>
      </c>
      <c r="E772" s="0" t="str">
        <f aca="false">IF(Pipeline_Sort!$C772="","",INDEX(Pipeline_Calc!$F$2:$F$5251,Pipeline_Sort!$C772))</f>
        <v/>
      </c>
      <c r="F772" s="0" t="str">
        <f aca="false">IF(Pipeline_Sort!$C772="","",INDEX(Pipeline_Calc!$G$2:$G$5251,Pipeline_Sort!$C772))</f>
        <v/>
      </c>
      <c r="G772" s="0" t="str">
        <f aca="false">IF(Pipeline_Sort!$C772="","",INDEX(Pipeline_Calc!$H$2:$H$5251,Pipeline_Sort!$C772))</f>
        <v/>
      </c>
      <c r="H772" s="0" t="str">
        <f aca="false">IF(Pipeline_Sort!$C772="","",INDEX(Pipeline_Calc!$I$2:$I$5251,Pipeline_Sort!$C772))</f>
        <v/>
      </c>
      <c r="I772" s="0" t="str">
        <f aca="false">IF(Pipeline_Sort!$C772="","",INDEX(Pipeline_Calc!$J$2:$J$5251,Pipeline_Sort!$C772))</f>
        <v/>
      </c>
    </row>
    <row r="773" customFormat="false" ht="15" hidden="false" customHeight="false" outlineLevel="0" collapsed="false">
      <c r="A773" s="33" t="str">
        <f aca="false">IF(Pipeline_Sort!$C773="","",INDEX(Pipeline_Calc!$B$2:$B$5251,Pipeline_Sort!$C773))</f>
        <v/>
      </c>
      <c r="B773" s="0" t="str">
        <f aca="false">IF(Pipeline_Sort!$C773="","",INDEX(Pipeline_Calc!$C$2:$C$5251,Pipeline_Sort!$C773))</f>
        <v/>
      </c>
      <c r="C773" s="0" t="str">
        <f aca="false">IF(Pipeline_Sort!$C773="","",INDEX(Pipeline_Calc!$D$2:$D$5251,Pipeline_Sort!$C773))</f>
        <v/>
      </c>
      <c r="D773" s="0" t="str">
        <f aca="false">IF(Pipeline_Sort!$C773="","",INDEX(Pipeline_Calc!$E$2:$E$5251,Pipeline_Sort!$C773))</f>
        <v/>
      </c>
      <c r="E773" s="0" t="str">
        <f aca="false">IF(Pipeline_Sort!$C773="","",INDEX(Pipeline_Calc!$F$2:$F$5251,Pipeline_Sort!$C773))</f>
        <v/>
      </c>
      <c r="F773" s="0" t="str">
        <f aca="false">IF(Pipeline_Sort!$C773="","",INDEX(Pipeline_Calc!$G$2:$G$5251,Pipeline_Sort!$C773))</f>
        <v/>
      </c>
      <c r="G773" s="0" t="str">
        <f aca="false">IF(Pipeline_Sort!$C773="","",INDEX(Pipeline_Calc!$H$2:$H$5251,Pipeline_Sort!$C773))</f>
        <v/>
      </c>
      <c r="H773" s="0" t="str">
        <f aca="false">IF(Pipeline_Sort!$C773="","",INDEX(Pipeline_Calc!$I$2:$I$5251,Pipeline_Sort!$C773))</f>
        <v/>
      </c>
      <c r="I773" s="0" t="str">
        <f aca="false">IF(Pipeline_Sort!$C773="","",INDEX(Pipeline_Calc!$J$2:$J$5251,Pipeline_Sort!$C773))</f>
        <v/>
      </c>
    </row>
    <row r="774" customFormat="false" ht="15" hidden="false" customHeight="false" outlineLevel="0" collapsed="false">
      <c r="A774" s="33" t="str">
        <f aca="false">IF(Pipeline_Sort!$C774="","",INDEX(Pipeline_Calc!$B$2:$B$5251,Pipeline_Sort!$C774))</f>
        <v/>
      </c>
      <c r="B774" s="0" t="str">
        <f aca="false">IF(Pipeline_Sort!$C774="","",INDEX(Pipeline_Calc!$C$2:$C$5251,Pipeline_Sort!$C774))</f>
        <v/>
      </c>
      <c r="C774" s="0" t="str">
        <f aca="false">IF(Pipeline_Sort!$C774="","",INDEX(Pipeline_Calc!$D$2:$D$5251,Pipeline_Sort!$C774))</f>
        <v/>
      </c>
      <c r="D774" s="0" t="str">
        <f aca="false">IF(Pipeline_Sort!$C774="","",INDEX(Pipeline_Calc!$E$2:$E$5251,Pipeline_Sort!$C774))</f>
        <v/>
      </c>
      <c r="E774" s="0" t="str">
        <f aca="false">IF(Pipeline_Sort!$C774="","",INDEX(Pipeline_Calc!$F$2:$F$5251,Pipeline_Sort!$C774))</f>
        <v/>
      </c>
      <c r="F774" s="0" t="str">
        <f aca="false">IF(Pipeline_Sort!$C774="","",INDEX(Pipeline_Calc!$G$2:$G$5251,Pipeline_Sort!$C774))</f>
        <v/>
      </c>
      <c r="G774" s="0" t="str">
        <f aca="false">IF(Pipeline_Sort!$C774="","",INDEX(Pipeline_Calc!$H$2:$H$5251,Pipeline_Sort!$C774))</f>
        <v/>
      </c>
      <c r="H774" s="0" t="str">
        <f aca="false">IF(Pipeline_Sort!$C774="","",INDEX(Pipeline_Calc!$I$2:$I$5251,Pipeline_Sort!$C774))</f>
        <v/>
      </c>
      <c r="I774" s="0" t="str">
        <f aca="false">IF(Pipeline_Sort!$C774="","",INDEX(Pipeline_Calc!$J$2:$J$5251,Pipeline_Sort!$C774))</f>
        <v/>
      </c>
    </row>
    <row r="775" customFormat="false" ht="15" hidden="false" customHeight="false" outlineLevel="0" collapsed="false">
      <c r="A775" s="33" t="str">
        <f aca="false">IF(Pipeline_Sort!$C775="","",INDEX(Pipeline_Calc!$B$2:$B$5251,Pipeline_Sort!$C775))</f>
        <v/>
      </c>
      <c r="B775" s="0" t="str">
        <f aca="false">IF(Pipeline_Sort!$C775="","",INDEX(Pipeline_Calc!$C$2:$C$5251,Pipeline_Sort!$C775))</f>
        <v/>
      </c>
      <c r="C775" s="0" t="str">
        <f aca="false">IF(Pipeline_Sort!$C775="","",INDEX(Pipeline_Calc!$D$2:$D$5251,Pipeline_Sort!$C775))</f>
        <v/>
      </c>
      <c r="D775" s="0" t="str">
        <f aca="false">IF(Pipeline_Sort!$C775="","",INDEX(Pipeline_Calc!$E$2:$E$5251,Pipeline_Sort!$C775))</f>
        <v/>
      </c>
      <c r="E775" s="0" t="str">
        <f aca="false">IF(Pipeline_Sort!$C775="","",INDEX(Pipeline_Calc!$F$2:$F$5251,Pipeline_Sort!$C775))</f>
        <v/>
      </c>
      <c r="F775" s="0" t="str">
        <f aca="false">IF(Pipeline_Sort!$C775="","",INDEX(Pipeline_Calc!$G$2:$G$5251,Pipeline_Sort!$C775))</f>
        <v/>
      </c>
      <c r="G775" s="0" t="str">
        <f aca="false">IF(Pipeline_Sort!$C775="","",INDEX(Pipeline_Calc!$H$2:$H$5251,Pipeline_Sort!$C775))</f>
        <v/>
      </c>
      <c r="H775" s="0" t="str">
        <f aca="false">IF(Pipeline_Sort!$C775="","",INDEX(Pipeline_Calc!$I$2:$I$5251,Pipeline_Sort!$C775))</f>
        <v/>
      </c>
      <c r="I775" s="0" t="str">
        <f aca="false">IF(Pipeline_Sort!$C775="","",INDEX(Pipeline_Calc!$J$2:$J$5251,Pipeline_Sort!$C775))</f>
        <v/>
      </c>
    </row>
    <row r="776" customFormat="false" ht="15" hidden="false" customHeight="false" outlineLevel="0" collapsed="false">
      <c r="A776" s="33" t="str">
        <f aca="false">IF(Pipeline_Sort!$C776="","",INDEX(Pipeline_Calc!$B$2:$B$5251,Pipeline_Sort!$C776))</f>
        <v/>
      </c>
      <c r="B776" s="0" t="str">
        <f aca="false">IF(Pipeline_Sort!$C776="","",INDEX(Pipeline_Calc!$C$2:$C$5251,Pipeline_Sort!$C776))</f>
        <v/>
      </c>
      <c r="C776" s="0" t="str">
        <f aca="false">IF(Pipeline_Sort!$C776="","",INDEX(Pipeline_Calc!$D$2:$D$5251,Pipeline_Sort!$C776))</f>
        <v/>
      </c>
      <c r="D776" s="0" t="str">
        <f aca="false">IF(Pipeline_Sort!$C776="","",INDEX(Pipeline_Calc!$E$2:$E$5251,Pipeline_Sort!$C776))</f>
        <v/>
      </c>
      <c r="E776" s="0" t="str">
        <f aca="false">IF(Pipeline_Sort!$C776="","",INDEX(Pipeline_Calc!$F$2:$F$5251,Pipeline_Sort!$C776))</f>
        <v/>
      </c>
      <c r="F776" s="0" t="str">
        <f aca="false">IF(Pipeline_Sort!$C776="","",INDEX(Pipeline_Calc!$G$2:$G$5251,Pipeline_Sort!$C776))</f>
        <v/>
      </c>
      <c r="G776" s="0" t="str">
        <f aca="false">IF(Pipeline_Sort!$C776="","",INDEX(Pipeline_Calc!$H$2:$H$5251,Pipeline_Sort!$C776))</f>
        <v/>
      </c>
      <c r="H776" s="0" t="str">
        <f aca="false">IF(Pipeline_Sort!$C776="","",INDEX(Pipeline_Calc!$I$2:$I$5251,Pipeline_Sort!$C776))</f>
        <v/>
      </c>
      <c r="I776" s="0" t="str">
        <f aca="false">IF(Pipeline_Sort!$C776="","",INDEX(Pipeline_Calc!$J$2:$J$5251,Pipeline_Sort!$C776))</f>
        <v/>
      </c>
    </row>
    <row r="777" customFormat="false" ht="15" hidden="false" customHeight="false" outlineLevel="0" collapsed="false">
      <c r="A777" s="33" t="str">
        <f aca="false">IF(Pipeline_Sort!$C777="","",INDEX(Pipeline_Calc!$B$2:$B$5251,Pipeline_Sort!$C777))</f>
        <v/>
      </c>
      <c r="B777" s="0" t="str">
        <f aca="false">IF(Pipeline_Sort!$C777="","",INDEX(Pipeline_Calc!$C$2:$C$5251,Pipeline_Sort!$C777))</f>
        <v/>
      </c>
      <c r="C777" s="0" t="str">
        <f aca="false">IF(Pipeline_Sort!$C777="","",INDEX(Pipeline_Calc!$D$2:$D$5251,Pipeline_Sort!$C777))</f>
        <v/>
      </c>
      <c r="D777" s="0" t="str">
        <f aca="false">IF(Pipeline_Sort!$C777="","",INDEX(Pipeline_Calc!$E$2:$E$5251,Pipeline_Sort!$C777))</f>
        <v/>
      </c>
      <c r="E777" s="0" t="str">
        <f aca="false">IF(Pipeline_Sort!$C777="","",INDEX(Pipeline_Calc!$F$2:$F$5251,Pipeline_Sort!$C777))</f>
        <v/>
      </c>
      <c r="F777" s="0" t="str">
        <f aca="false">IF(Pipeline_Sort!$C777="","",INDEX(Pipeline_Calc!$G$2:$G$5251,Pipeline_Sort!$C777))</f>
        <v/>
      </c>
      <c r="G777" s="0" t="str">
        <f aca="false">IF(Pipeline_Sort!$C777="","",INDEX(Pipeline_Calc!$H$2:$H$5251,Pipeline_Sort!$C777))</f>
        <v/>
      </c>
      <c r="H777" s="0" t="str">
        <f aca="false">IF(Pipeline_Sort!$C777="","",INDEX(Pipeline_Calc!$I$2:$I$5251,Pipeline_Sort!$C777))</f>
        <v/>
      </c>
      <c r="I777" s="0" t="str">
        <f aca="false">IF(Pipeline_Sort!$C777="","",INDEX(Pipeline_Calc!$J$2:$J$5251,Pipeline_Sort!$C777))</f>
        <v/>
      </c>
    </row>
    <row r="778" customFormat="false" ht="15" hidden="false" customHeight="false" outlineLevel="0" collapsed="false">
      <c r="A778" s="33" t="str">
        <f aca="false">IF(Pipeline_Sort!$C778="","",INDEX(Pipeline_Calc!$B$2:$B$5251,Pipeline_Sort!$C778))</f>
        <v/>
      </c>
      <c r="B778" s="0" t="str">
        <f aca="false">IF(Pipeline_Sort!$C778="","",INDEX(Pipeline_Calc!$C$2:$C$5251,Pipeline_Sort!$C778))</f>
        <v/>
      </c>
      <c r="C778" s="0" t="str">
        <f aca="false">IF(Pipeline_Sort!$C778="","",INDEX(Pipeline_Calc!$D$2:$D$5251,Pipeline_Sort!$C778))</f>
        <v/>
      </c>
      <c r="D778" s="0" t="str">
        <f aca="false">IF(Pipeline_Sort!$C778="","",INDEX(Pipeline_Calc!$E$2:$E$5251,Pipeline_Sort!$C778))</f>
        <v/>
      </c>
      <c r="E778" s="0" t="str">
        <f aca="false">IF(Pipeline_Sort!$C778="","",INDEX(Pipeline_Calc!$F$2:$F$5251,Pipeline_Sort!$C778))</f>
        <v/>
      </c>
      <c r="F778" s="0" t="str">
        <f aca="false">IF(Pipeline_Sort!$C778="","",INDEX(Pipeline_Calc!$G$2:$G$5251,Pipeline_Sort!$C778))</f>
        <v/>
      </c>
      <c r="G778" s="0" t="str">
        <f aca="false">IF(Pipeline_Sort!$C778="","",INDEX(Pipeline_Calc!$H$2:$H$5251,Pipeline_Sort!$C778))</f>
        <v/>
      </c>
      <c r="H778" s="0" t="str">
        <f aca="false">IF(Pipeline_Sort!$C778="","",INDEX(Pipeline_Calc!$I$2:$I$5251,Pipeline_Sort!$C778))</f>
        <v/>
      </c>
      <c r="I778" s="0" t="str">
        <f aca="false">IF(Pipeline_Sort!$C778="","",INDEX(Pipeline_Calc!$J$2:$J$5251,Pipeline_Sort!$C778))</f>
        <v/>
      </c>
    </row>
    <row r="779" customFormat="false" ht="15" hidden="false" customHeight="false" outlineLevel="0" collapsed="false">
      <c r="A779" s="33" t="str">
        <f aca="false">IF(Pipeline_Sort!$C779="","",INDEX(Pipeline_Calc!$B$2:$B$5251,Pipeline_Sort!$C779))</f>
        <v/>
      </c>
      <c r="B779" s="0" t="str">
        <f aca="false">IF(Pipeline_Sort!$C779="","",INDEX(Pipeline_Calc!$C$2:$C$5251,Pipeline_Sort!$C779))</f>
        <v/>
      </c>
      <c r="C779" s="0" t="str">
        <f aca="false">IF(Pipeline_Sort!$C779="","",INDEX(Pipeline_Calc!$D$2:$D$5251,Pipeline_Sort!$C779))</f>
        <v/>
      </c>
      <c r="D779" s="0" t="str">
        <f aca="false">IF(Pipeline_Sort!$C779="","",INDEX(Pipeline_Calc!$E$2:$E$5251,Pipeline_Sort!$C779))</f>
        <v/>
      </c>
      <c r="E779" s="0" t="str">
        <f aca="false">IF(Pipeline_Sort!$C779="","",INDEX(Pipeline_Calc!$F$2:$F$5251,Pipeline_Sort!$C779))</f>
        <v/>
      </c>
      <c r="F779" s="0" t="str">
        <f aca="false">IF(Pipeline_Sort!$C779="","",INDEX(Pipeline_Calc!$G$2:$G$5251,Pipeline_Sort!$C779))</f>
        <v/>
      </c>
      <c r="G779" s="0" t="str">
        <f aca="false">IF(Pipeline_Sort!$C779="","",INDEX(Pipeline_Calc!$H$2:$H$5251,Pipeline_Sort!$C779))</f>
        <v/>
      </c>
      <c r="H779" s="0" t="str">
        <f aca="false">IF(Pipeline_Sort!$C779="","",INDEX(Pipeline_Calc!$I$2:$I$5251,Pipeline_Sort!$C779))</f>
        <v/>
      </c>
      <c r="I779" s="0" t="str">
        <f aca="false">IF(Pipeline_Sort!$C779="","",INDEX(Pipeline_Calc!$J$2:$J$5251,Pipeline_Sort!$C779))</f>
        <v/>
      </c>
    </row>
    <row r="780" customFormat="false" ht="15" hidden="false" customHeight="false" outlineLevel="0" collapsed="false">
      <c r="A780" s="33" t="str">
        <f aca="false">IF(Pipeline_Sort!$C780="","",INDEX(Pipeline_Calc!$B$2:$B$5251,Pipeline_Sort!$C780))</f>
        <v/>
      </c>
      <c r="B780" s="0" t="str">
        <f aca="false">IF(Pipeline_Sort!$C780="","",INDEX(Pipeline_Calc!$C$2:$C$5251,Pipeline_Sort!$C780))</f>
        <v/>
      </c>
      <c r="C780" s="0" t="str">
        <f aca="false">IF(Pipeline_Sort!$C780="","",INDEX(Pipeline_Calc!$D$2:$D$5251,Pipeline_Sort!$C780))</f>
        <v/>
      </c>
      <c r="D780" s="0" t="str">
        <f aca="false">IF(Pipeline_Sort!$C780="","",INDEX(Pipeline_Calc!$E$2:$E$5251,Pipeline_Sort!$C780))</f>
        <v/>
      </c>
      <c r="E780" s="0" t="str">
        <f aca="false">IF(Pipeline_Sort!$C780="","",INDEX(Pipeline_Calc!$F$2:$F$5251,Pipeline_Sort!$C780))</f>
        <v/>
      </c>
      <c r="F780" s="0" t="str">
        <f aca="false">IF(Pipeline_Sort!$C780="","",INDEX(Pipeline_Calc!$G$2:$G$5251,Pipeline_Sort!$C780))</f>
        <v/>
      </c>
      <c r="G780" s="0" t="str">
        <f aca="false">IF(Pipeline_Sort!$C780="","",INDEX(Pipeline_Calc!$H$2:$H$5251,Pipeline_Sort!$C780))</f>
        <v/>
      </c>
      <c r="H780" s="0" t="str">
        <f aca="false">IF(Pipeline_Sort!$C780="","",INDEX(Pipeline_Calc!$I$2:$I$5251,Pipeline_Sort!$C780))</f>
        <v/>
      </c>
      <c r="I780" s="0" t="str">
        <f aca="false">IF(Pipeline_Sort!$C780="","",INDEX(Pipeline_Calc!$J$2:$J$5251,Pipeline_Sort!$C780))</f>
        <v/>
      </c>
    </row>
    <row r="781" customFormat="false" ht="15" hidden="false" customHeight="false" outlineLevel="0" collapsed="false">
      <c r="A781" s="33" t="str">
        <f aca="false">IF(Pipeline_Sort!$C781="","",INDEX(Pipeline_Calc!$B$2:$B$5251,Pipeline_Sort!$C781))</f>
        <v/>
      </c>
      <c r="B781" s="0" t="str">
        <f aca="false">IF(Pipeline_Sort!$C781="","",INDEX(Pipeline_Calc!$C$2:$C$5251,Pipeline_Sort!$C781))</f>
        <v/>
      </c>
      <c r="C781" s="0" t="str">
        <f aca="false">IF(Pipeline_Sort!$C781="","",INDEX(Pipeline_Calc!$D$2:$D$5251,Pipeline_Sort!$C781))</f>
        <v/>
      </c>
      <c r="D781" s="0" t="str">
        <f aca="false">IF(Pipeline_Sort!$C781="","",INDEX(Pipeline_Calc!$E$2:$E$5251,Pipeline_Sort!$C781))</f>
        <v/>
      </c>
      <c r="E781" s="0" t="str">
        <f aca="false">IF(Pipeline_Sort!$C781="","",INDEX(Pipeline_Calc!$F$2:$F$5251,Pipeline_Sort!$C781))</f>
        <v/>
      </c>
      <c r="F781" s="0" t="str">
        <f aca="false">IF(Pipeline_Sort!$C781="","",INDEX(Pipeline_Calc!$G$2:$G$5251,Pipeline_Sort!$C781))</f>
        <v/>
      </c>
      <c r="G781" s="0" t="str">
        <f aca="false">IF(Pipeline_Sort!$C781="","",INDEX(Pipeline_Calc!$H$2:$H$5251,Pipeline_Sort!$C781))</f>
        <v/>
      </c>
      <c r="H781" s="0" t="str">
        <f aca="false">IF(Pipeline_Sort!$C781="","",INDEX(Pipeline_Calc!$I$2:$I$5251,Pipeline_Sort!$C781))</f>
        <v/>
      </c>
      <c r="I781" s="0" t="str">
        <f aca="false">IF(Pipeline_Sort!$C781="","",INDEX(Pipeline_Calc!$J$2:$J$5251,Pipeline_Sort!$C781))</f>
        <v/>
      </c>
    </row>
    <row r="782" customFormat="false" ht="15" hidden="false" customHeight="false" outlineLevel="0" collapsed="false">
      <c r="A782" s="33" t="str">
        <f aca="false">IF(Pipeline_Sort!$C782="","",INDEX(Pipeline_Calc!$B$2:$B$5251,Pipeline_Sort!$C782))</f>
        <v/>
      </c>
      <c r="B782" s="0" t="str">
        <f aca="false">IF(Pipeline_Sort!$C782="","",INDEX(Pipeline_Calc!$C$2:$C$5251,Pipeline_Sort!$C782))</f>
        <v/>
      </c>
      <c r="C782" s="0" t="str">
        <f aca="false">IF(Pipeline_Sort!$C782="","",INDEX(Pipeline_Calc!$D$2:$D$5251,Pipeline_Sort!$C782))</f>
        <v/>
      </c>
      <c r="D782" s="0" t="str">
        <f aca="false">IF(Pipeline_Sort!$C782="","",INDEX(Pipeline_Calc!$E$2:$E$5251,Pipeline_Sort!$C782))</f>
        <v/>
      </c>
      <c r="E782" s="0" t="str">
        <f aca="false">IF(Pipeline_Sort!$C782="","",INDEX(Pipeline_Calc!$F$2:$F$5251,Pipeline_Sort!$C782))</f>
        <v/>
      </c>
      <c r="F782" s="0" t="str">
        <f aca="false">IF(Pipeline_Sort!$C782="","",INDEX(Pipeline_Calc!$G$2:$G$5251,Pipeline_Sort!$C782))</f>
        <v/>
      </c>
      <c r="G782" s="0" t="str">
        <f aca="false">IF(Pipeline_Sort!$C782="","",INDEX(Pipeline_Calc!$H$2:$H$5251,Pipeline_Sort!$C782))</f>
        <v/>
      </c>
      <c r="H782" s="0" t="str">
        <f aca="false">IF(Pipeline_Sort!$C782="","",INDEX(Pipeline_Calc!$I$2:$I$5251,Pipeline_Sort!$C782))</f>
        <v/>
      </c>
      <c r="I782" s="0" t="str">
        <f aca="false">IF(Pipeline_Sort!$C782="","",INDEX(Pipeline_Calc!$J$2:$J$5251,Pipeline_Sort!$C782))</f>
        <v/>
      </c>
    </row>
    <row r="783" customFormat="false" ht="15" hidden="false" customHeight="false" outlineLevel="0" collapsed="false">
      <c r="A783" s="33" t="str">
        <f aca="false">IF(Pipeline_Sort!$C783="","",INDEX(Pipeline_Calc!$B$2:$B$5251,Pipeline_Sort!$C783))</f>
        <v/>
      </c>
      <c r="B783" s="0" t="str">
        <f aca="false">IF(Pipeline_Sort!$C783="","",INDEX(Pipeline_Calc!$C$2:$C$5251,Pipeline_Sort!$C783))</f>
        <v/>
      </c>
      <c r="C783" s="0" t="str">
        <f aca="false">IF(Pipeline_Sort!$C783="","",INDEX(Pipeline_Calc!$D$2:$D$5251,Pipeline_Sort!$C783))</f>
        <v/>
      </c>
      <c r="D783" s="0" t="str">
        <f aca="false">IF(Pipeline_Sort!$C783="","",INDEX(Pipeline_Calc!$E$2:$E$5251,Pipeline_Sort!$C783))</f>
        <v/>
      </c>
      <c r="E783" s="0" t="str">
        <f aca="false">IF(Pipeline_Sort!$C783="","",INDEX(Pipeline_Calc!$F$2:$F$5251,Pipeline_Sort!$C783))</f>
        <v/>
      </c>
      <c r="F783" s="0" t="str">
        <f aca="false">IF(Pipeline_Sort!$C783="","",INDEX(Pipeline_Calc!$G$2:$G$5251,Pipeline_Sort!$C783))</f>
        <v/>
      </c>
      <c r="G783" s="0" t="str">
        <f aca="false">IF(Pipeline_Sort!$C783="","",INDEX(Pipeline_Calc!$H$2:$H$5251,Pipeline_Sort!$C783))</f>
        <v/>
      </c>
      <c r="H783" s="0" t="str">
        <f aca="false">IF(Pipeline_Sort!$C783="","",INDEX(Pipeline_Calc!$I$2:$I$5251,Pipeline_Sort!$C783))</f>
        <v/>
      </c>
      <c r="I783" s="0" t="str">
        <f aca="false">IF(Pipeline_Sort!$C783="","",INDEX(Pipeline_Calc!$J$2:$J$5251,Pipeline_Sort!$C783))</f>
        <v/>
      </c>
    </row>
    <row r="784" customFormat="false" ht="15" hidden="false" customHeight="false" outlineLevel="0" collapsed="false">
      <c r="A784" s="33" t="str">
        <f aca="false">IF(Pipeline_Sort!$C784="","",INDEX(Pipeline_Calc!$B$2:$B$5251,Pipeline_Sort!$C784))</f>
        <v/>
      </c>
      <c r="B784" s="0" t="str">
        <f aca="false">IF(Pipeline_Sort!$C784="","",INDEX(Pipeline_Calc!$C$2:$C$5251,Pipeline_Sort!$C784))</f>
        <v/>
      </c>
      <c r="C784" s="0" t="str">
        <f aca="false">IF(Pipeline_Sort!$C784="","",INDEX(Pipeline_Calc!$D$2:$D$5251,Pipeline_Sort!$C784))</f>
        <v/>
      </c>
      <c r="D784" s="0" t="str">
        <f aca="false">IF(Pipeline_Sort!$C784="","",INDEX(Pipeline_Calc!$E$2:$E$5251,Pipeline_Sort!$C784))</f>
        <v/>
      </c>
      <c r="E784" s="0" t="str">
        <f aca="false">IF(Pipeline_Sort!$C784="","",INDEX(Pipeline_Calc!$F$2:$F$5251,Pipeline_Sort!$C784))</f>
        <v/>
      </c>
      <c r="F784" s="0" t="str">
        <f aca="false">IF(Pipeline_Sort!$C784="","",INDEX(Pipeline_Calc!$G$2:$G$5251,Pipeline_Sort!$C784))</f>
        <v/>
      </c>
      <c r="G784" s="0" t="str">
        <f aca="false">IF(Pipeline_Sort!$C784="","",INDEX(Pipeline_Calc!$H$2:$H$5251,Pipeline_Sort!$C784))</f>
        <v/>
      </c>
      <c r="H784" s="0" t="str">
        <f aca="false">IF(Pipeline_Sort!$C784="","",INDEX(Pipeline_Calc!$I$2:$I$5251,Pipeline_Sort!$C784))</f>
        <v/>
      </c>
      <c r="I784" s="0" t="str">
        <f aca="false">IF(Pipeline_Sort!$C784="","",INDEX(Pipeline_Calc!$J$2:$J$5251,Pipeline_Sort!$C784))</f>
        <v/>
      </c>
    </row>
    <row r="785" customFormat="false" ht="15" hidden="false" customHeight="false" outlineLevel="0" collapsed="false">
      <c r="A785" s="33" t="str">
        <f aca="false">IF(Pipeline_Sort!$C785="","",INDEX(Pipeline_Calc!$B$2:$B$5251,Pipeline_Sort!$C785))</f>
        <v/>
      </c>
      <c r="B785" s="0" t="str">
        <f aca="false">IF(Pipeline_Sort!$C785="","",INDEX(Pipeline_Calc!$C$2:$C$5251,Pipeline_Sort!$C785))</f>
        <v/>
      </c>
      <c r="C785" s="0" t="str">
        <f aca="false">IF(Pipeline_Sort!$C785="","",INDEX(Pipeline_Calc!$D$2:$D$5251,Pipeline_Sort!$C785))</f>
        <v/>
      </c>
      <c r="D785" s="0" t="str">
        <f aca="false">IF(Pipeline_Sort!$C785="","",INDEX(Pipeline_Calc!$E$2:$E$5251,Pipeline_Sort!$C785))</f>
        <v/>
      </c>
      <c r="E785" s="0" t="str">
        <f aca="false">IF(Pipeline_Sort!$C785="","",INDEX(Pipeline_Calc!$F$2:$F$5251,Pipeline_Sort!$C785))</f>
        <v/>
      </c>
      <c r="F785" s="0" t="str">
        <f aca="false">IF(Pipeline_Sort!$C785="","",INDEX(Pipeline_Calc!$G$2:$G$5251,Pipeline_Sort!$C785))</f>
        <v/>
      </c>
      <c r="G785" s="0" t="str">
        <f aca="false">IF(Pipeline_Sort!$C785="","",INDEX(Pipeline_Calc!$H$2:$H$5251,Pipeline_Sort!$C785))</f>
        <v/>
      </c>
      <c r="H785" s="0" t="str">
        <f aca="false">IF(Pipeline_Sort!$C785="","",INDEX(Pipeline_Calc!$I$2:$I$5251,Pipeline_Sort!$C785))</f>
        <v/>
      </c>
      <c r="I785" s="0" t="str">
        <f aca="false">IF(Pipeline_Sort!$C785="","",INDEX(Pipeline_Calc!$J$2:$J$5251,Pipeline_Sort!$C785))</f>
        <v/>
      </c>
    </row>
    <row r="786" customFormat="false" ht="15" hidden="false" customHeight="false" outlineLevel="0" collapsed="false">
      <c r="A786" s="33" t="str">
        <f aca="false">IF(Pipeline_Sort!$C786="","",INDEX(Pipeline_Calc!$B$2:$B$5251,Pipeline_Sort!$C786))</f>
        <v/>
      </c>
      <c r="B786" s="0" t="str">
        <f aca="false">IF(Pipeline_Sort!$C786="","",INDEX(Pipeline_Calc!$C$2:$C$5251,Pipeline_Sort!$C786))</f>
        <v/>
      </c>
      <c r="C786" s="0" t="str">
        <f aca="false">IF(Pipeline_Sort!$C786="","",INDEX(Pipeline_Calc!$D$2:$D$5251,Pipeline_Sort!$C786))</f>
        <v/>
      </c>
      <c r="D786" s="0" t="str">
        <f aca="false">IF(Pipeline_Sort!$C786="","",INDEX(Pipeline_Calc!$E$2:$E$5251,Pipeline_Sort!$C786))</f>
        <v/>
      </c>
      <c r="E786" s="0" t="str">
        <f aca="false">IF(Pipeline_Sort!$C786="","",INDEX(Pipeline_Calc!$F$2:$F$5251,Pipeline_Sort!$C786))</f>
        <v/>
      </c>
      <c r="F786" s="0" t="str">
        <f aca="false">IF(Pipeline_Sort!$C786="","",INDEX(Pipeline_Calc!$G$2:$G$5251,Pipeline_Sort!$C786))</f>
        <v/>
      </c>
      <c r="G786" s="0" t="str">
        <f aca="false">IF(Pipeline_Sort!$C786="","",INDEX(Pipeline_Calc!$H$2:$H$5251,Pipeline_Sort!$C786))</f>
        <v/>
      </c>
      <c r="H786" s="0" t="str">
        <f aca="false">IF(Pipeline_Sort!$C786="","",INDEX(Pipeline_Calc!$I$2:$I$5251,Pipeline_Sort!$C786))</f>
        <v/>
      </c>
      <c r="I786" s="0" t="str">
        <f aca="false">IF(Pipeline_Sort!$C786="","",INDEX(Pipeline_Calc!$J$2:$J$5251,Pipeline_Sort!$C786))</f>
        <v/>
      </c>
    </row>
    <row r="787" customFormat="false" ht="15" hidden="false" customHeight="false" outlineLevel="0" collapsed="false">
      <c r="A787" s="33" t="str">
        <f aca="false">IF(Pipeline_Sort!$C787="","",INDEX(Pipeline_Calc!$B$2:$B$5251,Pipeline_Sort!$C787))</f>
        <v/>
      </c>
      <c r="B787" s="0" t="str">
        <f aca="false">IF(Pipeline_Sort!$C787="","",INDEX(Pipeline_Calc!$C$2:$C$5251,Pipeline_Sort!$C787))</f>
        <v/>
      </c>
      <c r="C787" s="0" t="str">
        <f aca="false">IF(Pipeline_Sort!$C787="","",INDEX(Pipeline_Calc!$D$2:$D$5251,Pipeline_Sort!$C787))</f>
        <v/>
      </c>
      <c r="D787" s="0" t="str">
        <f aca="false">IF(Pipeline_Sort!$C787="","",INDEX(Pipeline_Calc!$E$2:$E$5251,Pipeline_Sort!$C787))</f>
        <v/>
      </c>
      <c r="E787" s="0" t="str">
        <f aca="false">IF(Pipeline_Sort!$C787="","",INDEX(Pipeline_Calc!$F$2:$F$5251,Pipeline_Sort!$C787))</f>
        <v/>
      </c>
      <c r="F787" s="0" t="str">
        <f aca="false">IF(Pipeline_Sort!$C787="","",INDEX(Pipeline_Calc!$G$2:$G$5251,Pipeline_Sort!$C787))</f>
        <v/>
      </c>
      <c r="G787" s="0" t="str">
        <f aca="false">IF(Pipeline_Sort!$C787="","",INDEX(Pipeline_Calc!$H$2:$H$5251,Pipeline_Sort!$C787))</f>
        <v/>
      </c>
      <c r="H787" s="0" t="str">
        <f aca="false">IF(Pipeline_Sort!$C787="","",INDEX(Pipeline_Calc!$I$2:$I$5251,Pipeline_Sort!$C787))</f>
        <v/>
      </c>
      <c r="I787" s="0" t="str">
        <f aca="false">IF(Pipeline_Sort!$C787="","",INDEX(Pipeline_Calc!$J$2:$J$5251,Pipeline_Sort!$C787))</f>
        <v/>
      </c>
    </row>
    <row r="788" customFormat="false" ht="15" hidden="false" customHeight="false" outlineLevel="0" collapsed="false">
      <c r="A788" s="33" t="str">
        <f aca="false">IF(Pipeline_Sort!$C788="","",INDEX(Pipeline_Calc!$B$2:$B$5251,Pipeline_Sort!$C788))</f>
        <v/>
      </c>
      <c r="B788" s="0" t="str">
        <f aca="false">IF(Pipeline_Sort!$C788="","",INDEX(Pipeline_Calc!$C$2:$C$5251,Pipeline_Sort!$C788))</f>
        <v/>
      </c>
      <c r="C788" s="0" t="str">
        <f aca="false">IF(Pipeline_Sort!$C788="","",INDEX(Pipeline_Calc!$D$2:$D$5251,Pipeline_Sort!$C788))</f>
        <v/>
      </c>
      <c r="D788" s="0" t="str">
        <f aca="false">IF(Pipeline_Sort!$C788="","",INDEX(Pipeline_Calc!$E$2:$E$5251,Pipeline_Sort!$C788))</f>
        <v/>
      </c>
      <c r="E788" s="0" t="str">
        <f aca="false">IF(Pipeline_Sort!$C788="","",INDEX(Pipeline_Calc!$F$2:$F$5251,Pipeline_Sort!$C788))</f>
        <v/>
      </c>
      <c r="F788" s="0" t="str">
        <f aca="false">IF(Pipeline_Sort!$C788="","",INDEX(Pipeline_Calc!$G$2:$G$5251,Pipeline_Sort!$C788))</f>
        <v/>
      </c>
      <c r="G788" s="0" t="str">
        <f aca="false">IF(Pipeline_Sort!$C788="","",INDEX(Pipeline_Calc!$H$2:$H$5251,Pipeline_Sort!$C788))</f>
        <v/>
      </c>
      <c r="H788" s="0" t="str">
        <f aca="false">IF(Pipeline_Sort!$C788="","",INDEX(Pipeline_Calc!$I$2:$I$5251,Pipeline_Sort!$C788))</f>
        <v/>
      </c>
      <c r="I788" s="0" t="str">
        <f aca="false">IF(Pipeline_Sort!$C788="","",INDEX(Pipeline_Calc!$J$2:$J$5251,Pipeline_Sort!$C788))</f>
        <v/>
      </c>
    </row>
    <row r="789" customFormat="false" ht="15" hidden="false" customHeight="false" outlineLevel="0" collapsed="false">
      <c r="A789" s="33" t="str">
        <f aca="false">IF(Pipeline_Sort!$C789="","",INDEX(Pipeline_Calc!$B$2:$B$5251,Pipeline_Sort!$C789))</f>
        <v/>
      </c>
      <c r="B789" s="0" t="str">
        <f aca="false">IF(Pipeline_Sort!$C789="","",INDEX(Pipeline_Calc!$C$2:$C$5251,Pipeline_Sort!$C789))</f>
        <v/>
      </c>
      <c r="C789" s="0" t="str">
        <f aca="false">IF(Pipeline_Sort!$C789="","",INDEX(Pipeline_Calc!$D$2:$D$5251,Pipeline_Sort!$C789))</f>
        <v/>
      </c>
      <c r="D789" s="0" t="str">
        <f aca="false">IF(Pipeline_Sort!$C789="","",INDEX(Pipeline_Calc!$E$2:$E$5251,Pipeline_Sort!$C789))</f>
        <v/>
      </c>
      <c r="E789" s="0" t="str">
        <f aca="false">IF(Pipeline_Sort!$C789="","",INDEX(Pipeline_Calc!$F$2:$F$5251,Pipeline_Sort!$C789))</f>
        <v/>
      </c>
      <c r="F789" s="0" t="str">
        <f aca="false">IF(Pipeline_Sort!$C789="","",INDEX(Pipeline_Calc!$G$2:$G$5251,Pipeline_Sort!$C789))</f>
        <v/>
      </c>
      <c r="G789" s="0" t="str">
        <f aca="false">IF(Pipeline_Sort!$C789="","",INDEX(Pipeline_Calc!$H$2:$H$5251,Pipeline_Sort!$C789))</f>
        <v/>
      </c>
      <c r="H789" s="0" t="str">
        <f aca="false">IF(Pipeline_Sort!$C789="","",INDEX(Pipeline_Calc!$I$2:$I$5251,Pipeline_Sort!$C789))</f>
        <v/>
      </c>
      <c r="I789" s="0" t="str">
        <f aca="false">IF(Pipeline_Sort!$C789="","",INDEX(Pipeline_Calc!$J$2:$J$5251,Pipeline_Sort!$C789))</f>
        <v/>
      </c>
    </row>
    <row r="790" customFormat="false" ht="15" hidden="false" customHeight="false" outlineLevel="0" collapsed="false">
      <c r="A790" s="33" t="str">
        <f aca="false">IF(Pipeline_Sort!$C790="","",INDEX(Pipeline_Calc!$B$2:$B$5251,Pipeline_Sort!$C790))</f>
        <v/>
      </c>
      <c r="B790" s="0" t="str">
        <f aca="false">IF(Pipeline_Sort!$C790="","",INDEX(Pipeline_Calc!$C$2:$C$5251,Pipeline_Sort!$C790))</f>
        <v/>
      </c>
      <c r="C790" s="0" t="str">
        <f aca="false">IF(Pipeline_Sort!$C790="","",INDEX(Pipeline_Calc!$D$2:$D$5251,Pipeline_Sort!$C790))</f>
        <v/>
      </c>
      <c r="D790" s="0" t="str">
        <f aca="false">IF(Pipeline_Sort!$C790="","",INDEX(Pipeline_Calc!$E$2:$E$5251,Pipeline_Sort!$C790))</f>
        <v/>
      </c>
      <c r="E790" s="0" t="str">
        <f aca="false">IF(Pipeline_Sort!$C790="","",INDEX(Pipeline_Calc!$F$2:$F$5251,Pipeline_Sort!$C790))</f>
        <v/>
      </c>
      <c r="F790" s="0" t="str">
        <f aca="false">IF(Pipeline_Sort!$C790="","",INDEX(Pipeline_Calc!$G$2:$G$5251,Pipeline_Sort!$C790))</f>
        <v/>
      </c>
      <c r="G790" s="0" t="str">
        <f aca="false">IF(Pipeline_Sort!$C790="","",INDEX(Pipeline_Calc!$H$2:$H$5251,Pipeline_Sort!$C790))</f>
        <v/>
      </c>
      <c r="H790" s="0" t="str">
        <f aca="false">IF(Pipeline_Sort!$C790="","",INDEX(Pipeline_Calc!$I$2:$I$5251,Pipeline_Sort!$C790))</f>
        <v/>
      </c>
      <c r="I790" s="0" t="str">
        <f aca="false">IF(Pipeline_Sort!$C790="","",INDEX(Pipeline_Calc!$J$2:$J$5251,Pipeline_Sort!$C790))</f>
        <v/>
      </c>
    </row>
    <row r="791" customFormat="false" ht="15" hidden="false" customHeight="false" outlineLevel="0" collapsed="false">
      <c r="A791" s="33" t="str">
        <f aca="false">IF(Pipeline_Sort!$C791="","",INDEX(Pipeline_Calc!$B$2:$B$5251,Pipeline_Sort!$C791))</f>
        <v/>
      </c>
      <c r="B791" s="0" t="str">
        <f aca="false">IF(Pipeline_Sort!$C791="","",INDEX(Pipeline_Calc!$C$2:$C$5251,Pipeline_Sort!$C791))</f>
        <v/>
      </c>
      <c r="C791" s="0" t="str">
        <f aca="false">IF(Pipeline_Sort!$C791="","",INDEX(Pipeline_Calc!$D$2:$D$5251,Pipeline_Sort!$C791))</f>
        <v/>
      </c>
      <c r="D791" s="0" t="str">
        <f aca="false">IF(Pipeline_Sort!$C791="","",INDEX(Pipeline_Calc!$E$2:$E$5251,Pipeline_Sort!$C791))</f>
        <v/>
      </c>
      <c r="E791" s="0" t="str">
        <f aca="false">IF(Pipeline_Sort!$C791="","",INDEX(Pipeline_Calc!$F$2:$F$5251,Pipeline_Sort!$C791))</f>
        <v/>
      </c>
      <c r="F791" s="0" t="str">
        <f aca="false">IF(Pipeline_Sort!$C791="","",INDEX(Pipeline_Calc!$G$2:$G$5251,Pipeline_Sort!$C791))</f>
        <v/>
      </c>
      <c r="G791" s="0" t="str">
        <f aca="false">IF(Pipeline_Sort!$C791="","",INDEX(Pipeline_Calc!$H$2:$H$5251,Pipeline_Sort!$C791))</f>
        <v/>
      </c>
      <c r="H791" s="0" t="str">
        <f aca="false">IF(Pipeline_Sort!$C791="","",INDEX(Pipeline_Calc!$I$2:$I$5251,Pipeline_Sort!$C791))</f>
        <v/>
      </c>
      <c r="I791" s="0" t="str">
        <f aca="false">IF(Pipeline_Sort!$C791="","",INDEX(Pipeline_Calc!$J$2:$J$5251,Pipeline_Sort!$C791))</f>
        <v/>
      </c>
    </row>
    <row r="792" customFormat="false" ht="15" hidden="false" customHeight="false" outlineLevel="0" collapsed="false">
      <c r="A792" s="33" t="str">
        <f aca="false">IF(Pipeline_Sort!$C792="","",INDEX(Pipeline_Calc!$B$2:$B$5251,Pipeline_Sort!$C792))</f>
        <v/>
      </c>
      <c r="B792" s="0" t="str">
        <f aca="false">IF(Pipeline_Sort!$C792="","",INDEX(Pipeline_Calc!$C$2:$C$5251,Pipeline_Sort!$C792))</f>
        <v/>
      </c>
      <c r="C792" s="0" t="str">
        <f aca="false">IF(Pipeline_Sort!$C792="","",INDEX(Pipeline_Calc!$D$2:$D$5251,Pipeline_Sort!$C792))</f>
        <v/>
      </c>
      <c r="D792" s="0" t="str">
        <f aca="false">IF(Pipeline_Sort!$C792="","",INDEX(Pipeline_Calc!$E$2:$E$5251,Pipeline_Sort!$C792))</f>
        <v/>
      </c>
      <c r="E792" s="0" t="str">
        <f aca="false">IF(Pipeline_Sort!$C792="","",INDEX(Pipeline_Calc!$F$2:$F$5251,Pipeline_Sort!$C792))</f>
        <v/>
      </c>
      <c r="F792" s="0" t="str">
        <f aca="false">IF(Pipeline_Sort!$C792="","",INDEX(Pipeline_Calc!$G$2:$G$5251,Pipeline_Sort!$C792))</f>
        <v/>
      </c>
      <c r="G792" s="0" t="str">
        <f aca="false">IF(Pipeline_Sort!$C792="","",INDEX(Pipeline_Calc!$H$2:$H$5251,Pipeline_Sort!$C792))</f>
        <v/>
      </c>
      <c r="H792" s="0" t="str">
        <f aca="false">IF(Pipeline_Sort!$C792="","",INDEX(Pipeline_Calc!$I$2:$I$5251,Pipeline_Sort!$C792))</f>
        <v/>
      </c>
      <c r="I792" s="0" t="str">
        <f aca="false">IF(Pipeline_Sort!$C792="","",INDEX(Pipeline_Calc!$J$2:$J$5251,Pipeline_Sort!$C792))</f>
        <v/>
      </c>
    </row>
    <row r="793" customFormat="false" ht="15" hidden="false" customHeight="false" outlineLevel="0" collapsed="false">
      <c r="A793" s="33" t="str">
        <f aca="false">IF(Pipeline_Sort!$C793="","",INDEX(Pipeline_Calc!$B$2:$B$5251,Pipeline_Sort!$C793))</f>
        <v/>
      </c>
      <c r="B793" s="0" t="str">
        <f aca="false">IF(Pipeline_Sort!$C793="","",INDEX(Pipeline_Calc!$C$2:$C$5251,Pipeline_Sort!$C793))</f>
        <v/>
      </c>
      <c r="C793" s="0" t="str">
        <f aca="false">IF(Pipeline_Sort!$C793="","",INDEX(Pipeline_Calc!$D$2:$D$5251,Pipeline_Sort!$C793))</f>
        <v/>
      </c>
      <c r="D793" s="0" t="str">
        <f aca="false">IF(Pipeline_Sort!$C793="","",INDEX(Pipeline_Calc!$E$2:$E$5251,Pipeline_Sort!$C793))</f>
        <v/>
      </c>
      <c r="E793" s="0" t="str">
        <f aca="false">IF(Pipeline_Sort!$C793="","",INDEX(Pipeline_Calc!$F$2:$F$5251,Pipeline_Sort!$C793))</f>
        <v/>
      </c>
      <c r="F793" s="0" t="str">
        <f aca="false">IF(Pipeline_Sort!$C793="","",INDEX(Pipeline_Calc!$G$2:$G$5251,Pipeline_Sort!$C793))</f>
        <v/>
      </c>
      <c r="G793" s="0" t="str">
        <f aca="false">IF(Pipeline_Sort!$C793="","",INDEX(Pipeline_Calc!$H$2:$H$5251,Pipeline_Sort!$C793))</f>
        <v/>
      </c>
      <c r="H793" s="0" t="str">
        <f aca="false">IF(Pipeline_Sort!$C793="","",INDEX(Pipeline_Calc!$I$2:$I$5251,Pipeline_Sort!$C793))</f>
        <v/>
      </c>
      <c r="I793" s="0" t="str">
        <f aca="false">IF(Pipeline_Sort!$C793="","",INDEX(Pipeline_Calc!$J$2:$J$5251,Pipeline_Sort!$C793))</f>
        <v/>
      </c>
    </row>
    <row r="794" customFormat="false" ht="15" hidden="false" customHeight="false" outlineLevel="0" collapsed="false">
      <c r="A794" s="33" t="str">
        <f aca="false">IF(Pipeline_Sort!$C794="","",INDEX(Pipeline_Calc!$B$2:$B$5251,Pipeline_Sort!$C794))</f>
        <v/>
      </c>
      <c r="B794" s="0" t="str">
        <f aca="false">IF(Pipeline_Sort!$C794="","",INDEX(Pipeline_Calc!$C$2:$C$5251,Pipeline_Sort!$C794))</f>
        <v/>
      </c>
      <c r="C794" s="0" t="str">
        <f aca="false">IF(Pipeline_Sort!$C794="","",INDEX(Pipeline_Calc!$D$2:$D$5251,Pipeline_Sort!$C794))</f>
        <v/>
      </c>
      <c r="D794" s="0" t="str">
        <f aca="false">IF(Pipeline_Sort!$C794="","",INDEX(Pipeline_Calc!$E$2:$E$5251,Pipeline_Sort!$C794))</f>
        <v/>
      </c>
      <c r="E794" s="0" t="str">
        <f aca="false">IF(Pipeline_Sort!$C794="","",INDEX(Pipeline_Calc!$F$2:$F$5251,Pipeline_Sort!$C794))</f>
        <v/>
      </c>
      <c r="F794" s="0" t="str">
        <f aca="false">IF(Pipeline_Sort!$C794="","",INDEX(Pipeline_Calc!$G$2:$G$5251,Pipeline_Sort!$C794))</f>
        <v/>
      </c>
      <c r="G794" s="0" t="str">
        <f aca="false">IF(Pipeline_Sort!$C794="","",INDEX(Pipeline_Calc!$H$2:$H$5251,Pipeline_Sort!$C794))</f>
        <v/>
      </c>
      <c r="H794" s="0" t="str">
        <f aca="false">IF(Pipeline_Sort!$C794="","",INDEX(Pipeline_Calc!$I$2:$I$5251,Pipeline_Sort!$C794))</f>
        <v/>
      </c>
      <c r="I794" s="0" t="str">
        <f aca="false">IF(Pipeline_Sort!$C794="","",INDEX(Pipeline_Calc!$J$2:$J$5251,Pipeline_Sort!$C794))</f>
        <v/>
      </c>
    </row>
    <row r="795" customFormat="false" ht="15" hidden="false" customHeight="false" outlineLevel="0" collapsed="false">
      <c r="A795" s="33" t="str">
        <f aca="false">IF(Pipeline_Sort!$C795="","",INDEX(Pipeline_Calc!$B$2:$B$5251,Pipeline_Sort!$C795))</f>
        <v/>
      </c>
      <c r="B795" s="0" t="str">
        <f aca="false">IF(Pipeline_Sort!$C795="","",INDEX(Pipeline_Calc!$C$2:$C$5251,Pipeline_Sort!$C795))</f>
        <v/>
      </c>
      <c r="C795" s="0" t="str">
        <f aca="false">IF(Pipeline_Sort!$C795="","",INDEX(Pipeline_Calc!$D$2:$D$5251,Pipeline_Sort!$C795))</f>
        <v/>
      </c>
      <c r="D795" s="0" t="str">
        <f aca="false">IF(Pipeline_Sort!$C795="","",INDEX(Pipeline_Calc!$E$2:$E$5251,Pipeline_Sort!$C795))</f>
        <v/>
      </c>
      <c r="E795" s="0" t="str">
        <f aca="false">IF(Pipeline_Sort!$C795="","",INDEX(Pipeline_Calc!$F$2:$F$5251,Pipeline_Sort!$C795))</f>
        <v/>
      </c>
      <c r="F795" s="0" t="str">
        <f aca="false">IF(Pipeline_Sort!$C795="","",INDEX(Pipeline_Calc!$G$2:$G$5251,Pipeline_Sort!$C795))</f>
        <v/>
      </c>
      <c r="G795" s="0" t="str">
        <f aca="false">IF(Pipeline_Sort!$C795="","",INDEX(Pipeline_Calc!$H$2:$H$5251,Pipeline_Sort!$C795))</f>
        <v/>
      </c>
      <c r="H795" s="0" t="str">
        <f aca="false">IF(Pipeline_Sort!$C795="","",INDEX(Pipeline_Calc!$I$2:$I$5251,Pipeline_Sort!$C795))</f>
        <v/>
      </c>
      <c r="I795" s="0" t="str">
        <f aca="false">IF(Pipeline_Sort!$C795="","",INDEX(Pipeline_Calc!$J$2:$J$5251,Pipeline_Sort!$C795))</f>
        <v/>
      </c>
    </row>
    <row r="796" customFormat="false" ht="15" hidden="false" customHeight="false" outlineLevel="0" collapsed="false">
      <c r="A796" s="33" t="str">
        <f aca="false">IF(Pipeline_Sort!$C796="","",INDEX(Pipeline_Calc!$B$2:$B$5251,Pipeline_Sort!$C796))</f>
        <v/>
      </c>
      <c r="B796" s="0" t="str">
        <f aca="false">IF(Pipeline_Sort!$C796="","",INDEX(Pipeline_Calc!$C$2:$C$5251,Pipeline_Sort!$C796))</f>
        <v/>
      </c>
      <c r="C796" s="0" t="str">
        <f aca="false">IF(Pipeline_Sort!$C796="","",INDEX(Pipeline_Calc!$D$2:$D$5251,Pipeline_Sort!$C796))</f>
        <v/>
      </c>
      <c r="D796" s="0" t="str">
        <f aca="false">IF(Pipeline_Sort!$C796="","",INDEX(Pipeline_Calc!$E$2:$E$5251,Pipeline_Sort!$C796))</f>
        <v/>
      </c>
      <c r="E796" s="0" t="str">
        <f aca="false">IF(Pipeline_Sort!$C796="","",INDEX(Pipeline_Calc!$F$2:$F$5251,Pipeline_Sort!$C796))</f>
        <v/>
      </c>
      <c r="F796" s="0" t="str">
        <f aca="false">IF(Pipeline_Sort!$C796="","",INDEX(Pipeline_Calc!$G$2:$G$5251,Pipeline_Sort!$C796))</f>
        <v/>
      </c>
      <c r="G796" s="0" t="str">
        <f aca="false">IF(Pipeline_Sort!$C796="","",INDEX(Pipeline_Calc!$H$2:$H$5251,Pipeline_Sort!$C796))</f>
        <v/>
      </c>
      <c r="H796" s="0" t="str">
        <f aca="false">IF(Pipeline_Sort!$C796="","",INDEX(Pipeline_Calc!$I$2:$I$5251,Pipeline_Sort!$C796))</f>
        <v/>
      </c>
      <c r="I796" s="0" t="str">
        <f aca="false">IF(Pipeline_Sort!$C796="","",INDEX(Pipeline_Calc!$J$2:$J$5251,Pipeline_Sort!$C796))</f>
        <v/>
      </c>
    </row>
    <row r="797" customFormat="false" ht="15" hidden="false" customHeight="false" outlineLevel="0" collapsed="false">
      <c r="A797" s="33" t="str">
        <f aca="false">IF(Pipeline_Sort!$C797="","",INDEX(Pipeline_Calc!$B$2:$B$5251,Pipeline_Sort!$C797))</f>
        <v/>
      </c>
      <c r="B797" s="0" t="str">
        <f aca="false">IF(Pipeline_Sort!$C797="","",INDEX(Pipeline_Calc!$C$2:$C$5251,Pipeline_Sort!$C797))</f>
        <v/>
      </c>
      <c r="C797" s="0" t="str">
        <f aca="false">IF(Pipeline_Sort!$C797="","",INDEX(Pipeline_Calc!$D$2:$D$5251,Pipeline_Sort!$C797))</f>
        <v/>
      </c>
      <c r="D797" s="0" t="str">
        <f aca="false">IF(Pipeline_Sort!$C797="","",INDEX(Pipeline_Calc!$E$2:$E$5251,Pipeline_Sort!$C797))</f>
        <v/>
      </c>
      <c r="E797" s="0" t="str">
        <f aca="false">IF(Pipeline_Sort!$C797="","",INDEX(Pipeline_Calc!$F$2:$F$5251,Pipeline_Sort!$C797))</f>
        <v/>
      </c>
      <c r="F797" s="0" t="str">
        <f aca="false">IF(Pipeline_Sort!$C797="","",INDEX(Pipeline_Calc!$G$2:$G$5251,Pipeline_Sort!$C797))</f>
        <v/>
      </c>
      <c r="G797" s="0" t="str">
        <f aca="false">IF(Pipeline_Sort!$C797="","",INDEX(Pipeline_Calc!$H$2:$H$5251,Pipeline_Sort!$C797))</f>
        <v/>
      </c>
      <c r="H797" s="0" t="str">
        <f aca="false">IF(Pipeline_Sort!$C797="","",INDEX(Pipeline_Calc!$I$2:$I$5251,Pipeline_Sort!$C797))</f>
        <v/>
      </c>
      <c r="I797" s="0" t="str">
        <f aca="false">IF(Pipeline_Sort!$C797="","",INDEX(Pipeline_Calc!$J$2:$J$5251,Pipeline_Sort!$C797))</f>
        <v/>
      </c>
    </row>
    <row r="798" customFormat="false" ht="15" hidden="false" customHeight="false" outlineLevel="0" collapsed="false">
      <c r="A798" s="33" t="str">
        <f aca="false">IF(Pipeline_Sort!$C798="","",INDEX(Pipeline_Calc!$B$2:$B$5251,Pipeline_Sort!$C798))</f>
        <v/>
      </c>
      <c r="B798" s="0" t="str">
        <f aca="false">IF(Pipeline_Sort!$C798="","",INDEX(Pipeline_Calc!$C$2:$C$5251,Pipeline_Sort!$C798))</f>
        <v/>
      </c>
      <c r="C798" s="0" t="str">
        <f aca="false">IF(Pipeline_Sort!$C798="","",INDEX(Pipeline_Calc!$D$2:$D$5251,Pipeline_Sort!$C798))</f>
        <v/>
      </c>
      <c r="D798" s="0" t="str">
        <f aca="false">IF(Pipeline_Sort!$C798="","",INDEX(Pipeline_Calc!$E$2:$E$5251,Pipeline_Sort!$C798))</f>
        <v/>
      </c>
      <c r="E798" s="0" t="str">
        <f aca="false">IF(Pipeline_Sort!$C798="","",INDEX(Pipeline_Calc!$F$2:$F$5251,Pipeline_Sort!$C798))</f>
        <v/>
      </c>
      <c r="F798" s="0" t="str">
        <f aca="false">IF(Pipeline_Sort!$C798="","",INDEX(Pipeline_Calc!$G$2:$G$5251,Pipeline_Sort!$C798))</f>
        <v/>
      </c>
      <c r="G798" s="0" t="str">
        <f aca="false">IF(Pipeline_Sort!$C798="","",INDEX(Pipeline_Calc!$H$2:$H$5251,Pipeline_Sort!$C798))</f>
        <v/>
      </c>
      <c r="H798" s="0" t="str">
        <f aca="false">IF(Pipeline_Sort!$C798="","",INDEX(Pipeline_Calc!$I$2:$I$5251,Pipeline_Sort!$C798))</f>
        <v/>
      </c>
      <c r="I798" s="0" t="str">
        <f aca="false">IF(Pipeline_Sort!$C798="","",INDEX(Pipeline_Calc!$J$2:$J$5251,Pipeline_Sort!$C798))</f>
        <v/>
      </c>
    </row>
    <row r="799" customFormat="false" ht="15" hidden="false" customHeight="false" outlineLevel="0" collapsed="false">
      <c r="A799" s="33" t="str">
        <f aca="false">IF(Pipeline_Sort!$C799="","",INDEX(Pipeline_Calc!$B$2:$B$5251,Pipeline_Sort!$C799))</f>
        <v/>
      </c>
      <c r="B799" s="0" t="str">
        <f aca="false">IF(Pipeline_Sort!$C799="","",INDEX(Pipeline_Calc!$C$2:$C$5251,Pipeline_Sort!$C799))</f>
        <v/>
      </c>
      <c r="C799" s="0" t="str">
        <f aca="false">IF(Pipeline_Sort!$C799="","",INDEX(Pipeline_Calc!$D$2:$D$5251,Pipeline_Sort!$C799))</f>
        <v/>
      </c>
      <c r="D799" s="0" t="str">
        <f aca="false">IF(Pipeline_Sort!$C799="","",INDEX(Pipeline_Calc!$E$2:$E$5251,Pipeline_Sort!$C799))</f>
        <v/>
      </c>
      <c r="E799" s="0" t="str">
        <f aca="false">IF(Pipeline_Sort!$C799="","",INDEX(Pipeline_Calc!$F$2:$F$5251,Pipeline_Sort!$C799))</f>
        <v/>
      </c>
      <c r="F799" s="0" t="str">
        <f aca="false">IF(Pipeline_Sort!$C799="","",INDEX(Pipeline_Calc!$G$2:$G$5251,Pipeline_Sort!$C799))</f>
        <v/>
      </c>
      <c r="G799" s="0" t="str">
        <f aca="false">IF(Pipeline_Sort!$C799="","",INDEX(Pipeline_Calc!$H$2:$H$5251,Pipeline_Sort!$C799))</f>
        <v/>
      </c>
      <c r="H799" s="0" t="str">
        <f aca="false">IF(Pipeline_Sort!$C799="","",INDEX(Pipeline_Calc!$I$2:$I$5251,Pipeline_Sort!$C799))</f>
        <v/>
      </c>
      <c r="I799" s="0" t="str">
        <f aca="false">IF(Pipeline_Sort!$C799="","",INDEX(Pipeline_Calc!$J$2:$J$5251,Pipeline_Sort!$C799))</f>
        <v/>
      </c>
    </row>
    <row r="800" customFormat="false" ht="15" hidden="false" customHeight="false" outlineLevel="0" collapsed="false">
      <c r="A800" s="33" t="str">
        <f aca="false">IF(Pipeline_Sort!$C800="","",INDEX(Pipeline_Calc!$B$2:$B$5251,Pipeline_Sort!$C800))</f>
        <v/>
      </c>
      <c r="B800" s="0" t="str">
        <f aca="false">IF(Pipeline_Sort!$C800="","",INDEX(Pipeline_Calc!$C$2:$C$5251,Pipeline_Sort!$C800))</f>
        <v/>
      </c>
      <c r="C800" s="0" t="str">
        <f aca="false">IF(Pipeline_Sort!$C800="","",INDEX(Pipeline_Calc!$D$2:$D$5251,Pipeline_Sort!$C800))</f>
        <v/>
      </c>
      <c r="D800" s="0" t="str">
        <f aca="false">IF(Pipeline_Sort!$C800="","",INDEX(Pipeline_Calc!$E$2:$E$5251,Pipeline_Sort!$C800))</f>
        <v/>
      </c>
      <c r="E800" s="0" t="str">
        <f aca="false">IF(Pipeline_Sort!$C800="","",INDEX(Pipeline_Calc!$F$2:$F$5251,Pipeline_Sort!$C800))</f>
        <v/>
      </c>
      <c r="F800" s="0" t="str">
        <f aca="false">IF(Pipeline_Sort!$C800="","",INDEX(Pipeline_Calc!$G$2:$G$5251,Pipeline_Sort!$C800))</f>
        <v/>
      </c>
      <c r="G800" s="0" t="str">
        <f aca="false">IF(Pipeline_Sort!$C800="","",INDEX(Pipeline_Calc!$H$2:$H$5251,Pipeline_Sort!$C800))</f>
        <v/>
      </c>
      <c r="H800" s="0" t="str">
        <f aca="false">IF(Pipeline_Sort!$C800="","",INDEX(Pipeline_Calc!$I$2:$I$5251,Pipeline_Sort!$C800))</f>
        <v/>
      </c>
      <c r="I800" s="0" t="str">
        <f aca="false">IF(Pipeline_Sort!$C800="","",INDEX(Pipeline_Calc!$J$2:$J$5251,Pipeline_Sort!$C800))</f>
        <v/>
      </c>
    </row>
    <row r="801" customFormat="false" ht="15" hidden="false" customHeight="false" outlineLevel="0" collapsed="false">
      <c r="A801" s="33" t="str">
        <f aca="false">IF(Pipeline_Sort!$C801="","",INDEX(Pipeline_Calc!$B$2:$B$5251,Pipeline_Sort!$C801))</f>
        <v/>
      </c>
      <c r="B801" s="0" t="str">
        <f aca="false">IF(Pipeline_Sort!$C801="","",INDEX(Pipeline_Calc!$C$2:$C$5251,Pipeline_Sort!$C801))</f>
        <v/>
      </c>
      <c r="C801" s="0" t="str">
        <f aca="false">IF(Pipeline_Sort!$C801="","",INDEX(Pipeline_Calc!$D$2:$D$5251,Pipeline_Sort!$C801))</f>
        <v/>
      </c>
      <c r="D801" s="0" t="str">
        <f aca="false">IF(Pipeline_Sort!$C801="","",INDEX(Pipeline_Calc!$E$2:$E$5251,Pipeline_Sort!$C801))</f>
        <v/>
      </c>
      <c r="E801" s="0" t="str">
        <f aca="false">IF(Pipeline_Sort!$C801="","",INDEX(Pipeline_Calc!$F$2:$F$5251,Pipeline_Sort!$C801))</f>
        <v/>
      </c>
      <c r="F801" s="0" t="str">
        <f aca="false">IF(Pipeline_Sort!$C801="","",INDEX(Pipeline_Calc!$G$2:$G$5251,Pipeline_Sort!$C801))</f>
        <v/>
      </c>
      <c r="G801" s="0" t="str">
        <f aca="false">IF(Pipeline_Sort!$C801="","",INDEX(Pipeline_Calc!$H$2:$H$5251,Pipeline_Sort!$C801))</f>
        <v/>
      </c>
      <c r="H801" s="0" t="str">
        <f aca="false">IF(Pipeline_Sort!$C801="","",INDEX(Pipeline_Calc!$I$2:$I$5251,Pipeline_Sort!$C801))</f>
        <v/>
      </c>
      <c r="I801" s="0" t="str">
        <f aca="false">IF(Pipeline_Sort!$C801="","",INDEX(Pipeline_Calc!$J$2:$J$5251,Pipeline_Sort!$C801))</f>
        <v/>
      </c>
    </row>
    <row r="802" customFormat="false" ht="15" hidden="false" customHeight="false" outlineLevel="0" collapsed="false">
      <c r="A802" s="33" t="str">
        <f aca="false">IF(Pipeline_Sort!$C802="","",INDEX(Pipeline_Calc!$B$2:$B$5251,Pipeline_Sort!$C802))</f>
        <v/>
      </c>
      <c r="B802" s="0" t="str">
        <f aca="false">IF(Pipeline_Sort!$C802="","",INDEX(Pipeline_Calc!$C$2:$C$5251,Pipeline_Sort!$C802))</f>
        <v/>
      </c>
      <c r="C802" s="0" t="str">
        <f aca="false">IF(Pipeline_Sort!$C802="","",INDEX(Pipeline_Calc!$D$2:$D$5251,Pipeline_Sort!$C802))</f>
        <v/>
      </c>
      <c r="D802" s="0" t="str">
        <f aca="false">IF(Pipeline_Sort!$C802="","",INDEX(Pipeline_Calc!$E$2:$E$5251,Pipeline_Sort!$C802))</f>
        <v/>
      </c>
      <c r="E802" s="0" t="str">
        <f aca="false">IF(Pipeline_Sort!$C802="","",INDEX(Pipeline_Calc!$F$2:$F$5251,Pipeline_Sort!$C802))</f>
        <v/>
      </c>
      <c r="F802" s="0" t="str">
        <f aca="false">IF(Pipeline_Sort!$C802="","",INDEX(Pipeline_Calc!$G$2:$G$5251,Pipeline_Sort!$C802))</f>
        <v/>
      </c>
      <c r="G802" s="0" t="str">
        <f aca="false">IF(Pipeline_Sort!$C802="","",INDEX(Pipeline_Calc!$H$2:$H$5251,Pipeline_Sort!$C802))</f>
        <v/>
      </c>
      <c r="H802" s="0" t="str">
        <f aca="false">IF(Pipeline_Sort!$C802="","",INDEX(Pipeline_Calc!$I$2:$I$5251,Pipeline_Sort!$C802))</f>
        <v/>
      </c>
      <c r="I802" s="0" t="str">
        <f aca="false">IF(Pipeline_Sort!$C802="","",INDEX(Pipeline_Calc!$J$2:$J$5251,Pipeline_Sort!$C802))</f>
        <v/>
      </c>
    </row>
    <row r="803" customFormat="false" ht="15" hidden="false" customHeight="false" outlineLevel="0" collapsed="false">
      <c r="A803" s="33" t="str">
        <f aca="false">IF(Pipeline_Sort!$C803="","",INDEX(Pipeline_Calc!$B$2:$B$5251,Pipeline_Sort!$C803))</f>
        <v/>
      </c>
      <c r="B803" s="0" t="str">
        <f aca="false">IF(Pipeline_Sort!$C803="","",INDEX(Pipeline_Calc!$C$2:$C$5251,Pipeline_Sort!$C803))</f>
        <v/>
      </c>
      <c r="C803" s="0" t="str">
        <f aca="false">IF(Pipeline_Sort!$C803="","",INDEX(Pipeline_Calc!$D$2:$D$5251,Pipeline_Sort!$C803))</f>
        <v/>
      </c>
      <c r="D803" s="0" t="str">
        <f aca="false">IF(Pipeline_Sort!$C803="","",INDEX(Pipeline_Calc!$E$2:$E$5251,Pipeline_Sort!$C803))</f>
        <v/>
      </c>
      <c r="E803" s="0" t="str">
        <f aca="false">IF(Pipeline_Sort!$C803="","",INDEX(Pipeline_Calc!$F$2:$F$5251,Pipeline_Sort!$C803))</f>
        <v/>
      </c>
      <c r="F803" s="0" t="str">
        <f aca="false">IF(Pipeline_Sort!$C803="","",INDEX(Pipeline_Calc!$G$2:$G$5251,Pipeline_Sort!$C803))</f>
        <v/>
      </c>
      <c r="G803" s="0" t="str">
        <f aca="false">IF(Pipeline_Sort!$C803="","",INDEX(Pipeline_Calc!$H$2:$H$5251,Pipeline_Sort!$C803))</f>
        <v/>
      </c>
      <c r="H803" s="0" t="str">
        <f aca="false">IF(Pipeline_Sort!$C803="","",INDEX(Pipeline_Calc!$I$2:$I$5251,Pipeline_Sort!$C803))</f>
        <v/>
      </c>
      <c r="I803" s="0" t="str">
        <f aca="false">IF(Pipeline_Sort!$C803="","",INDEX(Pipeline_Calc!$J$2:$J$5251,Pipeline_Sort!$C803))</f>
        <v/>
      </c>
    </row>
    <row r="804" customFormat="false" ht="15" hidden="false" customHeight="false" outlineLevel="0" collapsed="false">
      <c r="A804" s="33" t="str">
        <f aca="false">IF(Pipeline_Sort!$C804="","",INDEX(Pipeline_Calc!$B$2:$B$5251,Pipeline_Sort!$C804))</f>
        <v/>
      </c>
      <c r="B804" s="0" t="str">
        <f aca="false">IF(Pipeline_Sort!$C804="","",INDEX(Pipeline_Calc!$C$2:$C$5251,Pipeline_Sort!$C804))</f>
        <v/>
      </c>
      <c r="C804" s="0" t="str">
        <f aca="false">IF(Pipeline_Sort!$C804="","",INDEX(Pipeline_Calc!$D$2:$D$5251,Pipeline_Sort!$C804))</f>
        <v/>
      </c>
      <c r="D804" s="0" t="str">
        <f aca="false">IF(Pipeline_Sort!$C804="","",INDEX(Pipeline_Calc!$E$2:$E$5251,Pipeline_Sort!$C804))</f>
        <v/>
      </c>
      <c r="E804" s="0" t="str">
        <f aca="false">IF(Pipeline_Sort!$C804="","",INDEX(Pipeline_Calc!$F$2:$F$5251,Pipeline_Sort!$C804))</f>
        <v/>
      </c>
      <c r="F804" s="0" t="str">
        <f aca="false">IF(Pipeline_Sort!$C804="","",INDEX(Pipeline_Calc!$G$2:$G$5251,Pipeline_Sort!$C804))</f>
        <v/>
      </c>
      <c r="G804" s="0" t="str">
        <f aca="false">IF(Pipeline_Sort!$C804="","",INDEX(Pipeline_Calc!$H$2:$H$5251,Pipeline_Sort!$C804))</f>
        <v/>
      </c>
      <c r="H804" s="0" t="str">
        <f aca="false">IF(Pipeline_Sort!$C804="","",INDEX(Pipeline_Calc!$I$2:$I$5251,Pipeline_Sort!$C804))</f>
        <v/>
      </c>
      <c r="I804" s="0" t="str">
        <f aca="false">IF(Pipeline_Sort!$C804="","",INDEX(Pipeline_Calc!$J$2:$J$5251,Pipeline_Sort!$C804))</f>
        <v/>
      </c>
    </row>
    <row r="805" customFormat="false" ht="15" hidden="false" customHeight="false" outlineLevel="0" collapsed="false">
      <c r="A805" s="33" t="str">
        <f aca="false">IF(Pipeline_Sort!$C805="","",INDEX(Pipeline_Calc!$B$2:$B$5251,Pipeline_Sort!$C805))</f>
        <v/>
      </c>
      <c r="B805" s="0" t="str">
        <f aca="false">IF(Pipeline_Sort!$C805="","",INDEX(Pipeline_Calc!$C$2:$C$5251,Pipeline_Sort!$C805))</f>
        <v/>
      </c>
      <c r="C805" s="0" t="str">
        <f aca="false">IF(Pipeline_Sort!$C805="","",INDEX(Pipeline_Calc!$D$2:$D$5251,Pipeline_Sort!$C805))</f>
        <v/>
      </c>
      <c r="D805" s="0" t="str">
        <f aca="false">IF(Pipeline_Sort!$C805="","",INDEX(Pipeline_Calc!$E$2:$E$5251,Pipeline_Sort!$C805))</f>
        <v/>
      </c>
      <c r="E805" s="0" t="str">
        <f aca="false">IF(Pipeline_Sort!$C805="","",INDEX(Pipeline_Calc!$F$2:$F$5251,Pipeline_Sort!$C805))</f>
        <v/>
      </c>
      <c r="F805" s="0" t="str">
        <f aca="false">IF(Pipeline_Sort!$C805="","",INDEX(Pipeline_Calc!$G$2:$G$5251,Pipeline_Sort!$C805))</f>
        <v/>
      </c>
      <c r="G805" s="0" t="str">
        <f aca="false">IF(Pipeline_Sort!$C805="","",INDEX(Pipeline_Calc!$H$2:$H$5251,Pipeline_Sort!$C805))</f>
        <v/>
      </c>
      <c r="H805" s="0" t="str">
        <f aca="false">IF(Pipeline_Sort!$C805="","",INDEX(Pipeline_Calc!$I$2:$I$5251,Pipeline_Sort!$C805))</f>
        <v/>
      </c>
      <c r="I805" s="0" t="str">
        <f aca="false">IF(Pipeline_Sort!$C805="","",INDEX(Pipeline_Calc!$J$2:$J$5251,Pipeline_Sort!$C805))</f>
        <v/>
      </c>
    </row>
    <row r="806" customFormat="false" ht="15" hidden="false" customHeight="false" outlineLevel="0" collapsed="false">
      <c r="A806" s="33" t="str">
        <f aca="false">IF(Pipeline_Sort!$C806="","",INDEX(Pipeline_Calc!$B$2:$B$5251,Pipeline_Sort!$C806))</f>
        <v/>
      </c>
      <c r="B806" s="0" t="str">
        <f aca="false">IF(Pipeline_Sort!$C806="","",INDEX(Pipeline_Calc!$C$2:$C$5251,Pipeline_Sort!$C806))</f>
        <v/>
      </c>
      <c r="C806" s="0" t="str">
        <f aca="false">IF(Pipeline_Sort!$C806="","",INDEX(Pipeline_Calc!$D$2:$D$5251,Pipeline_Sort!$C806))</f>
        <v/>
      </c>
      <c r="D806" s="0" t="str">
        <f aca="false">IF(Pipeline_Sort!$C806="","",INDEX(Pipeline_Calc!$E$2:$E$5251,Pipeline_Sort!$C806))</f>
        <v/>
      </c>
      <c r="E806" s="0" t="str">
        <f aca="false">IF(Pipeline_Sort!$C806="","",INDEX(Pipeline_Calc!$F$2:$F$5251,Pipeline_Sort!$C806))</f>
        <v/>
      </c>
      <c r="F806" s="0" t="str">
        <f aca="false">IF(Pipeline_Sort!$C806="","",INDEX(Pipeline_Calc!$G$2:$G$5251,Pipeline_Sort!$C806))</f>
        <v/>
      </c>
      <c r="G806" s="0" t="str">
        <f aca="false">IF(Pipeline_Sort!$C806="","",INDEX(Pipeline_Calc!$H$2:$H$5251,Pipeline_Sort!$C806))</f>
        <v/>
      </c>
      <c r="H806" s="0" t="str">
        <f aca="false">IF(Pipeline_Sort!$C806="","",INDEX(Pipeline_Calc!$I$2:$I$5251,Pipeline_Sort!$C806))</f>
        <v/>
      </c>
      <c r="I806" s="0" t="str">
        <f aca="false">IF(Pipeline_Sort!$C806="","",INDEX(Pipeline_Calc!$J$2:$J$5251,Pipeline_Sort!$C806))</f>
        <v/>
      </c>
    </row>
    <row r="807" customFormat="false" ht="15" hidden="false" customHeight="false" outlineLevel="0" collapsed="false">
      <c r="A807" s="33" t="str">
        <f aca="false">IF(Pipeline_Sort!$C807="","",INDEX(Pipeline_Calc!$B$2:$B$5251,Pipeline_Sort!$C807))</f>
        <v/>
      </c>
      <c r="B807" s="0" t="str">
        <f aca="false">IF(Pipeline_Sort!$C807="","",INDEX(Pipeline_Calc!$C$2:$C$5251,Pipeline_Sort!$C807))</f>
        <v/>
      </c>
      <c r="C807" s="0" t="str">
        <f aca="false">IF(Pipeline_Sort!$C807="","",INDEX(Pipeline_Calc!$D$2:$D$5251,Pipeline_Sort!$C807))</f>
        <v/>
      </c>
      <c r="D807" s="0" t="str">
        <f aca="false">IF(Pipeline_Sort!$C807="","",INDEX(Pipeline_Calc!$E$2:$E$5251,Pipeline_Sort!$C807))</f>
        <v/>
      </c>
      <c r="E807" s="0" t="str">
        <f aca="false">IF(Pipeline_Sort!$C807="","",INDEX(Pipeline_Calc!$F$2:$F$5251,Pipeline_Sort!$C807))</f>
        <v/>
      </c>
      <c r="F807" s="0" t="str">
        <f aca="false">IF(Pipeline_Sort!$C807="","",INDEX(Pipeline_Calc!$G$2:$G$5251,Pipeline_Sort!$C807))</f>
        <v/>
      </c>
      <c r="G807" s="0" t="str">
        <f aca="false">IF(Pipeline_Sort!$C807="","",INDEX(Pipeline_Calc!$H$2:$H$5251,Pipeline_Sort!$C807))</f>
        <v/>
      </c>
      <c r="H807" s="0" t="str">
        <f aca="false">IF(Pipeline_Sort!$C807="","",INDEX(Pipeline_Calc!$I$2:$I$5251,Pipeline_Sort!$C807))</f>
        <v/>
      </c>
      <c r="I807" s="0" t="str">
        <f aca="false">IF(Pipeline_Sort!$C807="","",INDEX(Pipeline_Calc!$J$2:$J$5251,Pipeline_Sort!$C807))</f>
        <v/>
      </c>
    </row>
    <row r="808" customFormat="false" ht="15" hidden="false" customHeight="false" outlineLevel="0" collapsed="false">
      <c r="A808" s="33" t="str">
        <f aca="false">IF(Pipeline_Sort!$C808="","",INDEX(Pipeline_Calc!$B$2:$B$5251,Pipeline_Sort!$C808))</f>
        <v/>
      </c>
      <c r="B808" s="0" t="str">
        <f aca="false">IF(Pipeline_Sort!$C808="","",INDEX(Pipeline_Calc!$C$2:$C$5251,Pipeline_Sort!$C808))</f>
        <v/>
      </c>
      <c r="C808" s="0" t="str">
        <f aca="false">IF(Pipeline_Sort!$C808="","",INDEX(Pipeline_Calc!$D$2:$D$5251,Pipeline_Sort!$C808))</f>
        <v/>
      </c>
      <c r="D808" s="0" t="str">
        <f aca="false">IF(Pipeline_Sort!$C808="","",INDEX(Pipeline_Calc!$E$2:$E$5251,Pipeline_Sort!$C808))</f>
        <v/>
      </c>
      <c r="E808" s="0" t="str">
        <f aca="false">IF(Pipeline_Sort!$C808="","",INDEX(Pipeline_Calc!$F$2:$F$5251,Pipeline_Sort!$C808))</f>
        <v/>
      </c>
      <c r="F808" s="0" t="str">
        <f aca="false">IF(Pipeline_Sort!$C808="","",INDEX(Pipeline_Calc!$G$2:$G$5251,Pipeline_Sort!$C808))</f>
        <v/>
      </c>
      <c r="G808" s="0" t="str">
        <f aca="false">IF(Pipeline_Sort!$C808="","",INDEX(Pipeline_Calc!$H$2:$H$5251,Pipeline_Sort!$C808))</f>
        <v/>
      </c>
      <c r="H808" s="0" t="str">
        <f aca="false">IF(Pipeline_Sort!$C808="","",INDEX(Pipeline_Calc!$I$2:$I$5251,Pipeline_Sort!$C808))</f>
        <v/>
      </c>
      <c r="I808" s="0" t="str">
        <f aca="false">IF(Pipeline_Sort!$C808="","",INDEX(Pipeline_Calc!$J$2:$J$5251,Pipeline_Sort!$C808))</f>
        <v/>
      </c>
    </row>
    <row r="809" customFormat="false" ht="15" hidden="false" customHeight="false" outlineLevel="0" collapsed="false">
      <c r="A809" s="33" t="str">
        <f aca="false">IF(Pipeline_Sort!$C809="","",INDEX(Pipeline_Calc!$B$2:$B$5251,Pipeline_Sort!$C809))</f>
        <v/>
      </c>
      <c r="B809" s="0" t="str">
        <f aca="false">IF(Pipeline_Sort!$C809="","",INDEX(Pipeline_Calc!$C$2:$C$5251,Pipeline_Sort!$C809))</f>
        <v/>
      </c>
      <c r="C809" s="0" t="str">
        <f aca="false">IF(Pipeline_Sort!$C809="","",INDEX(Pipeline_Calc!$D$2:$D$5251,Pipeline_Sort!$C809))</f>
        <v/>
      </c>
      <c r="D809" s="0" t="str">
        <f aca="false">IF(Pipeline_Sort!$C809="","",INDEX(Pipeline_Calc!$E$2:$E$5251,Pipeline_Sort!$C809))</f>
        <v/>
      </c>
      <c r="E809" s="0" t="str">
        <f aca="false">IF(Pipeline_Sort!$C809="","",INDEX(Pipeline_Calc!$F$2:$F$5251,Pipeline_Sort!$C809))</f>
        <v/>
      </c>
      <c r="F809" s="0" t="str">
        <f aca="false">IF(Pipeline_Sort!$C809="","",INDEX(Pipeline_Calc!$G$2:$G$5251,Pipeline_Sort!$C809))</f>
        <v/>
      </c>
      <c r="G809" s="0" t="str">
        <f aca="false">IF(Pipeline_Sort!$C809="","",INDEX(Pipeline_Calc!$H$2:$H$5251,Pipeline_Sort!$C809))</f>
        <v/>
      </c>
      <c r="H809" s="0" t="str">
        <f aca="false">IF(Pipeline_Sort!$C809="","",INDEX(Pipeline_Calc!$I$2:$I$5251,Pipeline_Sort!$C809))</f>
        <v/>
      </c>
      <c r="I809" s="0" t="str">
        <f aca="false">IF(Pipeline_Sort!$C809="","",INDEX(Pipeline_Calc!$J$2:$J$5251,Pipeline_Sort!$C809))</f>
        <v/>
      </c>
    </row>
    <row r="810" customFormat="false" ht="15" hidden="false" customHeight="false" outlineLevel="0" collapsed="false">
      <c r="A810" s="33" t="str">
        <f aca="false">IF(Pipeline_Sort!$C810="","",INDEX(Pipeline_Calc!$B$2:$B$5251,Pipeline_Sort!$C810))</f>
        <v/>
      </c>
      <c r="B810" s="0" t="str">
        <f aca="false">IF(Pipeline_Sort!$C810="","",INDEX(Pipeline_Calc!$C$2:$C$5251,Pipeline_Sort!$C810))</f>
        <v/>
      </c>
      <c r="C810" s="0" t="str">
        <f aca="false">IF(Pipeline_Sort!$C810="","",INDEX(Pipeline_Calc!$D$2:$D$5251,Pipeline_Sort!$C810))</f>
        <v/>
      </c>
      <c r="D810" s="0" t="str">
        <f aca="false">IF(Pipeline_Sort!$C810="","",INDEX(Pipeline_Calc!$E$2:$E$5251,Pipeline_Sort!$C810))</f>
        <v/>
      </c>
      <c r="E810" s="0" t="str">
        <f aca="false">IF(Pipeline_Sort!$C810="","",INDEX(Pipeline_Calc!$F$2:$F$5251,Pipeline_Sort!$C810))</f>
        <v/>
      </c>
      <c r="F810" s="0" t="str">
        <f aca="false">IF(Pipeline_Sort!$C810="","",INDEX(Pipeline_Calc!$G$2:$G$5251,Pipeline_Sort!$C810))</f>
        <v/>
      </c>
      <c r="G810" s="0" t="str">
        <f aca="false">IF(Pipeline_Sort!$C810="","",INDEX(Pipeline_Calc!$H$2:$H$5251,Pipeline_Sort!$C810))</f>
        <v/>
      </c>
      <c r="H810" s="0" t="str">
        <f aca="false">IF(Pipeline_Sort!$C810="","",INDEX(Pipeline_Calc!$I$2:$I$5251,Pipeline_Sort!$C810))</f>
        <v/>
      </c>
      <c r="I810" s="0" t="str">
        <f aca="false">IF(Pipeline_Sort!$C810="","",INDEX(Pipeline_Calc!$J$2:$J$5251,Pipeline_Sort!$C810))</f>
        <v/>
      </c>
    </row>
    <row r="811" customFormat="false" ht="15" hidden="false" customHeight="false" outlineLevel="0" collapsed="false">
      <c r="A811" s="33" t="str">
        <f aca="false">IF(Pipeline_Sort!$C811="","",INDEX(Pipeline_Calc!$B$2:$B$5251,Pipeline_Sort!$C811))</f>
        <v/>
      </c>
      <c r="B811" s="0" t="str">
        <f aca="false">IF(Pipeline_Sort!$C811="","",INDEX(Pipeline_Calc!$C$2:$C$5251,Pipeline_Sort!$C811))</f>
        <v/>
      </c>
      <c r="C811" s="0" t="str">
        <f aca="false">IF(Pipeline_Sort!$C811="","",INDEX(Pipeline_Calc!$D$2:$D$5251,Pipeline_Sort!$C811))</f>
        <v/>
      </c>
      <c r="D811" s="0" t="str">
        <f aca="false">IF(Pipeline_Sort!$C811="","",INDEX(Pipeline_Calc!$E$2:$E$5251,Pipeline_Sort!$C811))</f>
        <v/>
      </c>
      <c r="E811" s="0" t="str">
        <f aca="false">IF(Pipeline_Sort!$C811="","",INDEX(Pipeline_Calc!$F$2:$F$5251,Pipeline_Sort!$C811))</f>
        <v/>
      </c>
      <c r="F811" s="0" t="str">
        <f aca="false">IF(Pipeline_Sort!$C811="","",INDEX(Pipeline_Calc!$G$2:$G$5251,Pipeline_Sort!$C811))</f>
        <v/>
      </c>
      <c r="G811" s="0" t="str">
        <f aca="false">IF(Pipeline_Sort!$C811="","",INDEX(Pipeline_Calc!$H$2:$H$5251,Pipeline_Sort!$C811))</f>
        <v/>
      </c>
      <c r="H811" s="0" t="str">
        <f aca="false">IF(Pipeline_Sort!$C811="","",INDEX(Pipeline_Calc!$I$2:$I$5251,Pipeline_Sort!$C811))</f>
        <v/>
      </c>
      <c r="I811" s="0" t="str">
        <f aca="false">IF(Pipeline_Sort!$C811="","",INDEX(Pipeline_Calc!$J$2:$J$5251,Pipeline_Sort!$C811))</f>
        <v/>
      </c>
    </row>
    <row r="812" customFormat="false" ht="15" hidden="false" customHeight="false" outlineLevel="0" collapsed="false">
      <c r="A812" s="33" t="str">
        <f aca="false">IF(Pipeline_Sort!$C812="","",INDEX(Pipeline_Calc!$B$2:$B$5251,Pipeline_Sort!$C812))</f>
        <v/>
      </c>
      <c r="B812" s="0" t="str">
        <f aca="false">IF(Pipeline_Sort!$C812="","",INDEX(Pipeline_Calc!$C$2:$C$5251,Pipeline_Sort!$C812))</f>
        <v/>
      </c>
      <c r="C812" s="0" t="str">
        <f aca="false">IF(Pipeline_Sort!$C812="","",INDEX(Pipeline_Calc!$D$2:$D$5251,Pipeline_Sort!$C812))</f>
        <v/>
      </c>
      <c r="D812" s="0" t="str">
        <f aca="false">IF(Pipeline_Sort!$C812="","",INDEX(Pipeline_Calc!$E$2:$E$5251,Pipeline_Sort!$C812))</f>
        <v/>
      </c>
      <c r="E812" s="0" t="str">
        <f aca="false">IF(Pipeline_Sort!$C812="","",INDEX(Pipeline_Calc!$F$2:$F$5251,Pipeline_Sort!$C812))</f>
        <v/>
      </c>
      <c r="F812" s="0" t="str">
        <f aca="false">IF(Pipeline_Sort!$C812="","",INDEX(Pipeline_Calc!$G$2:$G$5251,Pipeline_Sort!$C812))</f>
        <v/>
      </c>
      <c r="G812" s="0" t="str">
        <f aca="false">IF(Pipeline_Sort!$C812="","",INDEX(Pipeline_Calc!$H$2:$H$5251,Pipeline_Sort!$C812))</f>
        <v/>
      </c>
      <c r="H812" s="0" t="str">
        <f aca="false">IF(Pipeline_Sort!$C812="","",INDEX(Pipeline_Calc!$I$2:$I$5251,Pipeline_Sort!$C812))</f>
        <v/>
      </c>
      <c r="I812" s="0" t="str">
        <f aca="false">IF(Pipeline_Sort!$C812="","",INDEX(Pipeline_Calc!$J$2:$J$5251,Pipeline_Sort!$C812))</f>
        <v/>
      </c>
    </row>
    <row r="813" customFormat="false" ht="15" hidden="false" customHeight="false" outlineLevel="0" collapsed="false">
      <c r="A813" s="33" t="str">
        <f aca="false">IF(Pipeline_Sort!$C813="","",INDEX(Pipeline_Calc!$B$2:$B$5251,Pipeline_Sort!$C813))</f>
        <v/>
      </c>
      <c r="B813" s="0" t="str">
        <f aca="false">IF(Pipeline_Sort!$C813="","",INDEX(Pipeline_Calc!$C$2:$C$5251,Pipeline_Sort!$C813))</f>
        <v/>
      </c>
      <c r="C813" s="0" t="str">
        <f aca="false">IF(Pipeline_Sort!$C813="","",INDEX(Pipeline_Calc!$D$2:$D$5251,Pipeline_Sort!$C813))</f>
        <v/>
      </c>
      <c r="D813" s="0" t="str">
        <f aca="false">IF(Pipeline_Sort!$C813="","",INDEX(Pipeline_Calc!$E$2:$E$5251,Pipeline_Sort!$C813))</f>
        <v/>
      </c>
      <c r="E813" s="0" t="str">
        <f aca="false">IF(Pipeline_Sort!$C813="","",INDEX(Pipeline_Calc!$F$2:$F$5251,Pipeline_Sort!$C813))</f>
        <v/>
      </c>
      <c r="F813" s="0" t="str">
        <f aca="false">IF(Pipeline_Sort!$C813="","",INDEX(Pipeline_Calc!$G$2:$G$5251,Pipeline_Sort!$C813))</f>
        <v/>
      </c>
      <c r="G813" s="0" t="str">
        <f aca="false">IF(Pipeline_Sort!$C813="","",INDEX(Pipeline_Calc!$H$2:$H$5251,Pipeline_Sort!$C813))</f>
        <v/>
      </c>
      <c r="H813" s="0" t="str">
        <f aca="false">IF(Pipeline_Sort!$C813="","",INDEX(Pipeline_Calc!$I$2:$I$5251,Pipeline_Sort!$C813))</f>
        <v/>
      </c>
      <c r="I813" s="0" t="str">
        <f aca="false">IF(Pipeline_Sort!$C813="","",INDEX(Pipeline_Calc!$J$2:$J$5251,Pipeline_Sort!$C813))</f>
        <v/>
      </c>
    </row>
    <row r="814" customFormat="false" ht="15" hidden="false" customHeight="false" outlineLevel="0" collapsed="false">
      <c r="A814" s="33" t="str">
        <f aca="false">IF(Pipeline_Sort!$C814="","",INDEX(Pipeline_Calc!$B$2:$B$5251,Pipeline_Sort!$C814))</f>
        <v/>
      </c>
      <c r="B814" s="0" t="str">
        <f aca="false">IF(Pipeline_Sort!$C814="","",INDEX(Pipeline_Calc!$C$2:$C$5251,Pipeline_Sort!$C814))</f>
        <v/>
      </c>
      <c r="C814" s="0" t="str">
        <f aca="false">IF(Pipeline_Sort!$C814="","",INDEX(Pipeline_Calc!$D$2:$D$5251,Pipeline_Sort!$C814))</f>
        <v/>
      </c>
      <c r="D814" s="0" t="str">
        <f aca="false">IF(Pipeline_Sort!$C814="","",INDEX(Pipeline_Calc!$E$2:$E$5251,Pipeline_Sort!$C814))</f>
        <v/>
      </c>
      <c r="E814" s="0" t="str">
        <f aca="false">IF(Pipeline_Sort!$C814="","",INDEX(Pipeline_Calc!$F$2:$F$5251,Pipeline_Sort!$C814))</f>
        <v/>
      </c>
      <c r="F814" s="0" t="str">
        <f aca="false">IF(Pipeline_Sort!$C814="","",INDEX(Pipeline_Calc!$G$2:$G$5251,Pipeline_Sort!$C814))</f>
        <v/>
      </c>
      <c r="G814" s="0" t="str">
        <f aca="false">IF(Pipeline_Sort!$C814="","",INDEX(Pipeline_Calc!$H$2:$H$5251,Pipeline_Sort!$C814))</f>
        <v/>
      </c>
      <c r="H814" s="0" t="str">
        <f aca="false">IF(Pipeline_Sort!$C814="","",INDEX(Pipeline_Calc!$I$2:$I$5251,Pipeline_Sort!$C814))</f>
        <v/>
      </c>
      <c r="I814" s="0" t="str">
        <f aca="false">IF(Pipeline_Sort!$C814="","",INDEX(Pipeline_Calc!$J$2:$J$5251,Pipeline_Sort!$C814))</f>
        <v/>
      </c>
    </row>
    <row r="815" customFormat="false" ht="15" hidden="false" customHeight="false" outlineLevel="0" collapsed="false">
      <c r="A815" s="33" t="str">
        <f aca="false">IF(Pipeline_Sort!$C815="","",INDEX(Pipeline_Calc!$B$2:$B$5251,Pipeline_Sort!$C815))</f>
        <v/>
      </c>
      <c r="B815" s="0" t="str">
        <f aca="false">IF(Pipeline_Sort!$C815="","",INDEX(Pipeline_Calc!$C$2:$C$5251,Pipeline_Sort!$C815))</f>
        <v/>
      </c>
      <c r="C815" s="0" t="str">
        <f aca="false">IF(Pipeline_Sort!$C815="","",INDEX(Pipeline_Calc!$D$2:$D$5251,Pipeline_Sort!$C815))</f>
        <v/>
      </c>
      <c r="D815" s="0" t="str">
        <f aca="false">IF(Pipeline_Sort!$C815="","",INDEX(Pipeline_Calc!$E$2:$E$5251,Pipeline_Sort!$C815))</f>
        <v/>
      </c>
      <c r="E815" s="0" t="str">
        <f aca="false">IF(Pipeline_Sort!$C815="","",INDEX(Pipeline_Calc!$F$2:$F$5251,Pipeline_Sort!$C815))</f>
        <v/>
      </c>
      <c r="F815" s="0" t="str">
        <f aca="false">IF(Pipeline_Sort!$C815="","",INDEX(Pipeline_Calc!$G$2:$G$5251,Pipeline_Sort!$C815))</f>
        <v/>
      </c>
      <c r="G815" s="0" t="str">
        <f aca="false">IF(Pipeline_Sort!$C815="","",INDEX(Pipeline_Calc!$H$2:$H$5251,Pipeline_Sort!$C815))</f>
        <v/>
      </c>
      <c r="H815" s="0" t="str">
        <f aca="false">IF(Pipeline_Sort!$C815="","",INDEX(Pipeline_Calc!$I$2:$I$5251,Pipeline_Sort!$C815))</f>
        <v/>
      </c>
      <c r="I815" s="0" t="str">
        <f aca="false">IF(Pipeline_Sort!$C815="","",INDEX(Pipeline_Calc!$J$2:$J$5251,Pipeline_Sort!$C815))</f>
        <v/>
      </c>
    </row>
    <row r="816" customFormat="false" ht="15" hidden="false" customHeight="false" outlineLevel="0" collapsed="false">
      <c r="A816" s="33" t="str">
        <f aca="false">IF(Pipeline_Sort!$C816="","",INDEX(Pipeline_Calc!$B$2:$B$5251,Pipeline_Sort!$C816))</f>
        <v/>
      </c>
      <c r="B816" s="0" t="str">
        <f aca="false">IF(Pipeline_Sort!$C816="","",INDEX(Pipeline_Calc!$C$2:$C$5251,Pipeline_Sort!$C816))</f>
        <v/>
      </c>
      <c r="C816" s="0" t="str">
        <f aca="false">IF(Pipeline_Sort!$C816="","",INDEX(Pipeline_Calc!$D$2:$D$5251,Pipeline_Sort!$C816))</f>
        <v/>
      </c>
      <c r="D816" s="0" t="str">
        <f aca="false">IF(Pipeline_Sort!$C816="","",INDEX(Pipeline_Calc!$E$2:$E$5251,Pipeline_Sort!$C816))</f>
        <v/>
      </c>
      <c r="E816" s="0" t="str">
        <f aca="false">IF(Pipeline_Sort!$C816="","",INDEX(Pipeline_Calc!$F$2:$F$5251,Pipeline_Sort!$C816))</f>
        <v/>
      </c>
      <c r="F816" s="0" t="str">
        <f aca="false">IF(Pipeline_Sort!$C816="","",INDEX(Pipeline_Calc!$G$2:$G$5251,Pipeline_Sort!$C816))</f>
        <v/>
      </c>
      <c r="G816" s="0" t="str">
        <f aca="false">IF(Pipeline_Sort!$C816="","",INDEX(Pipeline_Calc!$H$2:$H$5251,Pipeline_Sort!$C816))</f>
        <v/>
      </c>
      <c r="H816" s="0" t="str">
        <f aca="false">IF(Pipeline_Sort!$C816="","",INDEX(Pipeline_Calc!$I$2:$I$5251,Pipeline_Sort!$C816))</f>
        <v/>
      </c>
      <c r="I816" s="0" t="str">
        <f aca="false">IF(Pipeline_Sort!$C816="","",INDEX(Pipeline_Calc!$J$2:$J$5251,Pipeline_Sort!$C816))</f>
        <v/>
      </c>
    </row>
    <row r="817" customFormat="false" ht="15" hidden="false" customHeight="false" outlineLevel="0" collapsed="false">
      <c r="A817" s="33" t="str">
        <f aca="false">IF(Pipeline_Sort!$C817="","",INDEX(Pipeline_Calc!$B$2:$B$5251,Pipeline_Sort!$C817))</f>
        <v/>
      </c>
      <c r="B817" s="0" t="str">
        <f aca="false">IF(Pipeline_Sort!$C817="","",INDEX(Pipeline_Calc!$C$2:$C$5251,Pipeline_Sort!$C817))</f>
        <v/>
      </c>
      <c r="C817" s="0" t="str">
        <f aca="false">IF(Pipeline_Sort!$C817="","",INDEX(Pipeline_Calc!$D$2:$D$5251,Pipeline_Sort!$C817))</f>
        <v/>
      </c>
      <c r="D817" s="0" t="str">
        <f aca="false">IF(Pipeline_Sort!$C817="","",INDEX(Pipeline_Calc!$E$2:$E$5251,Pipeline_Sort!$C817))</f>
        <v/>
      </c>
      <c r="E817" s="0" t="str">
        <f aca="false">IF(Pipeline_Sort!$C817="","",INDEX(Pipeline_Calc!$F$2:$F$5251,Pipeline_Sort!$C817))</f>
        <v/>
      </c>
      <c r="F817" s="0" t="str">
        <f aca="false">IF(Pipeline_Sort!$C817="","",INDEX(Pipeline_Calc!$G$2:$G$5251,Pipeline_Sort!$C817))</f>
        <v/>
      </c>
      <c r="G817" s="0" t="str">
        <f aca="false">IF(Pipeline_Sort!$C817="","",INDEX(Pipeline_Calc!$H$2:$H$5251,Pipeline_Sort!$C817))</f>
        <v/>
      </c>
      <c r="H817" s="0" t="str">
        <f aca="false">IF(Pipeline_Sort!$C817="","",INDEX(Pipeline_Calc!$I$2:$I$5251,Pipeline_Sort!$C817))</f>
        <v/>
      </c>
      <c r="I817" s="0" t="str">
        <f aca="false">IF(Pipeline_Sort!$C817="","",INDEX(Pipeline_Calc!$J$2:$J$5251,Pipeline_Sort!$C817))</f>
        <v/>
      </c>
    </row>
    <row r="818" customFormat="false" ht="15" hidden="false" customHeight="false" outlineLevel="0" collapsed="false">
      <c r="A818" s="33" t="str">
        <f aca="false">IF(Pipeline_Sort!$C818="","",INDEX(Pipeline_Calc!$B$2:$B$5251,Pipeline_Sort!$C818))</f>
        <v/>
      </c>
      <c r="B818" s="0" t="str">
        <f aca="false">IF(Pipeline_Sort!$C818="","",INDEX(Pipeline_Calc!$C$2:$C$5251,Pipeline_Sort!$C818))</f>
        <v/>
      </c>
      <c r="C818" s="0" t="str">
        <f aca="false">IF(Pipeline_Sort!$C818="","",INDEX(Pipeline_Calc!$D$2:$D$5251,Pipeline_Sort!$C818))</f>
        <v/>
      </c>
      <c r="D818" s="0" t="str">
        <f aca="false">IF(Pipeline_Sort!$C818="","",INDEX(Pipeline_Calc!$E$2:$E$5251,Pipeline_Sort!$C818))</f>
        <v/>
      </c>
      <c r="E818" s="0" t="str">
        <f aca="false">IF(Pipeline_Sort!$C818="","",INDEX(Pipeline_Calc!$F$2:$F$5251,Pipeline_Sort!$C818))</f>
        <v/>
      </c>
      <c r="F818" s="0" t="str">
        <f aca="false">IF(Pipeline_Sort!$C818="","",INDEX(Pipeline_Calc!$G$2:$G$5251,Pipeline_Sort!$C818))</f>
        <v/>
      </c>
      <c r="G818" s="0" t="str">
        <f aca="false">IF(Pipeline_Sort!$C818="","",INDEX(Pipeline_Calc!$H$2:$H$5251,Pipeline_Sort!$C818))</f>
        <v/>
      </c>
      <c r="H818" s="0" t="str">
        <f aca="false">IF(Pipeline_Sort!$C818="","",INDEX(Pipeline_Calc!$I$2:$I$5251,Pipeline_Sort!$C818))</f>
        <v/>
      </c>
      <c r="I818" s="0" t="str">
        <f aca="false">IF(Pipeline_Sort!$C818="","",INDEX(Pipeline_Calc!$J$2:$J$5251,Pipeline_Sort!$C818))</f>
        <v/>
      </c>
    </row>
    <row r="819" customFormat="false" ht="15" hidden="false" customHeight="false" outlineLevel="0" collapsed="false">
      <c r="A819" s="33" t="str">
        <f aca="false">IF(Pipeline_Sort!$C819="","",INDEX(Pipeline_Calc!$B$2:$B$5251,Pipeline_Sort!$C819))</f>
        <v/>
      </c>
      <c r="B819" s="0" t="str">
        <f aca="false">IF(Pipeline_Sort!$C819="","",INDEX(Pipeline_Calc!$C$2:$C$5251,Pipeline_Sort!$C819))</f>
        <v/>
      </c>
      <c r="C819" s="0" t="str">
        <f aca="false">IF(Pipeline_Sort!$C819="","",INDEX(Pipeline_Calc!$D$2:$D$5251,Pipeline_Sort!$C819))</f>
        <v/>
      </c>
      <c r="D819" s="0" t="str">
        <f aca="false">IF(Pipeline_Sort!$C819="","",INDEX(Pipeline_Calc!$E$2:$E$5251,Pipeline_Sort!$C819))</f>
        <v/>
      </c>
      <c r="E819" s="0" t="str">
        <f aca="false">IF(Pipeline_Sort!$C819="","",INDEX(Pipeline_Calc!$F$2:$F$5251,Pipeline_Sort!$C819))</f>
        <v/>
      </c>
      <c r="F819" s="0" t="str">
        <f aca="false">IF(Pipeline_Sort!$C819="","",INDEX(Pipeline_Calc!$G$2:$G$5251,Pipeline_Sort!$C819))</f>
        <v/>
      </c>
      <c r="G819" s="0" t="str">
        <f aca="false">IF(Pipeline_Sort!$C819="","",INDEX(Pipeline_Calc!$H$2:$H$5251,Pipeline_Sort!$C819))</f>
        <v/>
      </c>
      <c r="H819" s="0" t="str">
        <f aca="false">IF(Pipeline_Sort!$C819="","",INDEX(Pipeline_Calc!$I$2:$I$5251,Pipeline_Sort!$C819))</f>
        <v/>
      </c>
      <c r="I819" s="0" t="str">
        <f aca="false">IF(Pipeline_Sort!$C819="","",INDEX(Pipeline_Calc!$J$2:$J$5251,Pipeline_Sort!$C819))</f>
        <v/>
      </c>
    </row>
    <row r="820" customFormat="false" ht="15" hidden="false" customHeight="false" outlineLevel="0" collapsed="false">
      <c r="A820" s="33" t="str">
        <f aca="false">IF(Pipeline_Sort!$C820="","",INDEX(Pipeline_Calc!$B$2:$B$5251,Pipeline_Sort!$C820))</f>
        <v/>
      </c>
      <c r="B820" s="0" t="str">
        <f aca="false">IF(Pipeline_Sort!$C820="","",INDEX(Pipeline_Calc!$C$2:$C$5251,Pipeline_Sort!$C820))</f>
        <v/>
      </c>
      <c r="C820" s="0" t="str">
        <f aca="false">IF(Pipeline_Sort!$C820="","",INDEX(Pipeline_Calc!$D$2:$D$5251,Pipeline_Sort!$C820))</f>
        <v/>
      </c>
      <c r="D820" s="0" t="str">
        <f aca="false">IF(Pipeline_Sort!$C820="","",INDEX(Pipeline_Calc!$E$2:$E$5251,Pipeline_Sort!$C820))</f>
        <v/>
      </c>
      <c r="E820" s="0" t="str">
        <f aca="false">IF(Pipeline_Sort!$C820="","",INDEX(Pipeline_Calc!$F$2:$F$5251,Pipeline_Sort!$C820))</f>
        <v/>
      </c>
      <c r="F820" s="0" t="str">
        <f aca="false">IF(Pipeline_Sort!$C820="","",INDEX(Pipeline_Calc!$G$2:$G$5251,Pipeline_Sort!$C820))</f>
        <v/>
      </c>
      <c r="G820" s="0" t="str">
        <f aca="false">IF(Pipeline_Sort!$C820="","",INDEX(Pipeline_Calc!$H$2:$H$5251,Pipeline_Sort!$C820))</f>
        <v/>
      </c>
      <c r="H820" s="0" t="str">
        <f aca="false">IF(Pipeline_Sort!$C820="","",INDEX(Pipeline_Calc!$I$2:$I$5251,Pipeline_Sort!$C820))</f>
        <v/>
      </c>
      <c r="I820" s="0" t="str">
        <f aca="false">IF(Pipeline_Sort!$C820="","",INDEX(Pipeline_Calc!$J$2:$J$5251,Pipeline_Sort!$C820))</f>
        <v/>
      </c>
    </row>
    <row r="821" customFormat="false" ht="15" hidden="false" customHeight="false" outlineLevel="0" collapsed="false">
      <c r="A821" s="33" t="str">
        <f aca="false">IF(Pipeline_Sort!$C821="","",INDEX(Pipeline_Calc!$B$2:$B$5251,Pipeline_Sort!$C821))</f>
        <v/>
      </c>
      <c r="B821" s="0" t="str">
        <f aca="false">IF(Pipeline_Sort!$C821="","",INDEX(Pipeline_Calc!$C$2:$C$5251,Pipeline_Sort!$C821))</f>
        <v/>
      </c>
      <c r="C821" s="0" t="str">
        <f aca="false">IF(Pipeline_Sort!$C821="","",INDEX(Pipeline_Calc!$D$2:$D$5251,Pipeline_Sort!$C821))</f>
        <v/>
      </c>
      <c r="D821" s="0" t="str">
        <f aca="false">IF(Pipeline_Sort!$C821="","",INDEX(Pipeline_Calc!$E$2:$E$5251,Pipeline_Sort!$C821))</f>
        <v/>
      </c>
      <c r="E821" s="0" t="str">
        <f aca="false">IF(Pipeline_Sort!$C821="","",INDEX(Pipeline_Calc!$F$2:$F$5251,Pipeline_Sort!$C821))</f>
        <v/>
      </c>
      <c r="F821" s="0" t="str">
        <f aca="false">IF(Pipeline_Sort!$C821="","",INDEX(Pipeline_Calc!$G$2:$G$5251,Pipeline_Sort!$C821))</f>
        <v/>
      </c>
      <c r="G821" s="0" t="str">
        <f aca="false">IF(Pipeline_Sort!$C821="","",INDEX(Pipeline_Calc!$H$2:$H$5251,Pipeline_Sort!$C821))</f>
        <v/>
      </c>
      <c r="H821" s="0" t="str">
        <f aca="false">IF(Pipeline_Sort!$C821="","",INDEX(Pipeline_Calc!$I$2:$I$5251,Pipeline_Sort!$C821))</f>
        <v/>
      </c>
      <c r="I821" s="0" t="str">
        <f aca="false">IF(Pipeline_Sort!$C821="","",INDEX(Pipeline_Calc!$J$2:$J$5251,Pipeline_Sort!$C821))</f>
        <v/>
      </c>
    </row>
    <row r="822" customFormat="false" ht="15" hidden="false" customHeight="false" outlineLevel="0" collapsed="false">
      <c r="A822" s="33" t="str">
        <f aca="false">IF(Pipeline_Sort!$C822="","",INDEX(Pipeline_Calc!$B$2:$B$5251,Pipeline_Sort!$C822))</f>
        <v/>
      </c>
      <c r="B822" s="0" t="str">
        <f aca="false">IF(Pipeline_Sort!$C822="","",INDEX(Pipeline_Calc!$C$2:$C$5251,Pipeline_Sort!$C822))</f>
        <v/>
      </c>
      <c r="C822" s="0" t="str">
        <f aca="false">IF(Pipeline_Sort!$C822="","",INDEX(Pipeline_Calc!$D$2:$D$5251,Pipeline_Sort!$C822))</f>
        <v/>
      </c>
      <c r="D822" s="0" t="str">
        <f aca="false">IF(Pipeline_Sort!$C822="","",INDEX(Pipeline_Calc!$E$2:$E$5251,Pipeline_Sort!$C822))</f>
        <v/>
      </c>
      <c r="E822" s="0" t="str">
        <f aca="false">IF(Pipeline_Sort!$C822="","",INDEX(Pipeline_Calc!$F$2:$F$5251,Pipeline_Sort!$C822))</f>
        <v/>
      </c>
      <c r="F822" s="0" t="str">
        <f aca="false">IF(Pipeline_Sort!$C822="","",INDEX(Pipeline_Calc!$G$2:$G$5251,Pipeline_Sort!$C822))</f>
        <v/>
      </c>
      <c r="G822" s="0" t="str">
        <f aca="false">IF(Pipeline_Sort!$C822="","",INDEX(Pipeline_Calc!$H$2:$H$5251,Pipeline_Sort!$C822))</f>
        <v/>
      </c>
      <c r="H822" s="0" t="str">
        <f aca="false">IF(Pipeline_Sort!$C822="","",INDEX(Pipeline_Calc!$I$2:$I$5251,Pipeline_Sort!$C822))</f>
        <v/>
      </c>
      <c r="I822" s="0" t="str">
        <f aca="false">IF(Pipeline_Sort!$C822="","",INDEX(Pipeline_Calc!$J$2:$J$5251,Pipeline_Sort!$C822))</f>
        <v/>
      </c>
    </row>
    <row r="823" customFormat="false" ht="15" hidden="false" customHeight="false" outlineLevel="0" collapsed="false">
      <c r="A823" s="33" t="str">
        <f aca="false">IF(Pipeline_Sort!$C823="","",INDEX(Pipeline_Calc!$B$2:$B$5251,Pipeline_Sort!$C823))</f>
        <v/>
      </c>
      <c r="B823" s="0" t="str">
        <f aca="false">IF(Pipeline_Sort!$C823="","",INDEX(Pipeline_Calc!$C$2:$C$5251,Pipeline_Sort!$C823))</f>
        <v/>
      </c>
      <c r="C823" s="0" t="str">
        <f aca="false">IF(Pipeline_Sort!$C823="","",INDEX(Pipeline_Calc!$D$2:$D$5251,Pipeline_Sort!$C823))</f>
        <v/>
      </c>
      <c r="D823" s="0" t="str">
        <f aca="false">IF(Pipeline_Sort!$C823="","",INDEX(Pipeline_Calc!$E$2:$E$5251,Pipeline_Sort!$C823))</f>
        <v/>
      </c>
      <c r="E823" s="0" t="str">
        <f aca="false">IF(Pipeline_Sort!$C823="","",INDEX(Pipeline_Calc!$F$2:$F$5251,Pipeline_Sort!$C823))</f>
        <v/>
      </c>
      <c r="F823" s="0" t="str">
        <f aca="false">IF(Pipeline_Sort!$C823="","",INDEX(Pipeline_Calc!$G$2:$G$5251,Pipeline_Sort!$C823))</f>
        <v/>
      </c>
      <c r="G823" s="0" t="str">
        <f aca="false">IF(Pipeline_Sort!$C823="","",INDEX(Pipeline_Calc!$H$2:$H$5251,Pipeline_Sort!$C823))</f>
        <v/>
      </c>
      <c r="H823" s="0" t="str">
        <f aca="false">IF(Pipeline_Sort!$C823="","",INDEX(Pipeline_Calc!$I$2:$I$5251,Pipeline_Sort!$C823))</f>
        <v/>
      </c>
      <c r="I823" s="0" t="str">
        <f aca="false">IF(Pipeline_Sort!$C823="","",INDEX(Pipeline_Calc!$J$2:$J$5251,Pipeline_Sort!$C823))</f>
        <v/>
      </c>
    </row>
    <row r="824" customFormat="false" ht="15" hidden="false" customHeight="false" outlineLevel="0" collapsed="false">
      <c r="A824" s="33" t="str">
        <f aca="false">IF(Pipeline_Sort!$C824="","",INDEX(Pipeline_Calc!$B$2:$B$5251,Pipeline_Sort!$C824))</f>
        <v/>
      </c>
      <c r="B824" s="0" t="str">
        <f aca="false">IF(Pipeline_Sort!$C824="","",INDEX(Pipeline_Calc!$C$2:$C$5251,Pipeline_Sort!$C824))</f>
        <v/>
      </c>
      <c r="C824" s="0" t="str">
        <f aca="false">IF(Pipeline_Sort!$C824="","",INDEX(Pipeline_Calc!$D$2:$D$5251,Pipeline_Sort!$C824))</f>
        <v/>
      </c>
      <c r="D824" s="0" t="str">
        <f aca="false">IF(Pipeline_Sort!$C824="","",INDEX(Pipeline_Calc!$E$2:$E$5251,Pipeline_Sort!$C824))</f>
        <v/>
      </c>
      <c r="E824" s="0" t="str">
        <f aca="false">IF(Pipeline_Sort!$C824="","",INDEX(Pipeline_Calc!$F$2:$F$5251,Pipeline_Sort!$C824))</f>
        <v/>
      </c>
      <c r="F824" s="0" t="str">
        <f aca="false">IF(Pipeline_Sort!$C824="","",INDEX(Pipeline_Calc!$G$2:$G$5251,Pipeline_Sort!$C824))</f>
        <v/>
      </c>
      <c r="G824" s="0" t="str">
        <f aca="false">IF(Pipeline_Sort!$C824="","",INDEX(Pipeline_Calc!$H$2:$H$5251,Pipeline_Sort!$C824))</f>
        <v/>
      </c>
      <c r="H824" s="0" t="str">
        <f aca="false">IF(Pipeline_Sort!$C824="","",INDEX(Pipeline_Calc!$I$2:$I$5251,Pipeline_Sort!$C824))</f>
        <v/>
      </c>
      <c r="I824" s="0" t="str">
        <f aca="false">IF(Pipeline_Sort!$C824="","",INDEX(Pipeline_Calc!$J$2:$J$5251,Pipeline_Sort!$C824))</f>
        <v/>
      </c>
    </row>
    <row r="825" customFormat="false" ht="15" hidden="false" customHeight="false" outlineLevel="0" collapsed="false">
      <c r="A825" s="33" t="str">
        <f aca="false">IF(Pipeline_Sort!$C825="","",INDEX(Pipeline_Calc!$B$2:$B$5251,Pipeline_Sort!$C825))</f>
        <v/>
      </c>
      <c r="B825" s="0" t="str">
        <f aca="false">IF(Pipeline_Sort!$C825="","",INDEX(Pipeline_Calc!$C$2:$C$5251,Pipeline_Sort!$C825))</f>
        <v/>
      </c>
      <c r="C825" s="0" t="str">
        <f aca="false">IF(Pipeline_Sort!$C825="","",INDEX(Pipeline_Calc!$D$2:$D$5251,Pipeline_Sort!$C825))</f>
        <v/>
      </c>
      <c r="D825" s="0" t="str">
        <f aca="false">IF(Pipeline_Sort!$C825="","",INDEX(Pipeline_Calc!$E$2:$E$5251,Pipeline_Sort!$C825))</f>
        <v/>
      </c>
      <c r="E825" s="0" t="str">
        <f aca="false">IF(Pipeline_Sort!$C825="","",INDEX(Pipeline_Calc!$F$2:$F$5251,Pipeline_Sort!$C825))</f>
        <v/>
      </c>
      <c r="F825" s="0" t="str">
        <f aca="false">IF(Pipeline_Sort!$C825="","",INDEX(Pipeline_Calc!$G$2:$G$5251,Pipeline_Sort!$C825))</f>
        <v/>
      </c>
      <c r="G825" s="0" t="str">
        <f aca="false">IF(Pipeline_Sort!$C825="","",INDEX(Pipeline_Calc!$H$2:$H$5251,Pipeline_Sort!$C825))</f>
        <v/>
      </c>
      <c r="H825" s="0" t="str">
        <f aca="false">IF(Pipeline_Sort!$C825="","",INDEX(Pipeline_Calc!$I$2:$I$5251,Pipeline_Sort!$C825))</f>
        <v/>
      </c>
      <c r="I825" s="0" t="str">
        <f aca="false">IF(Pipeline_Sort!$C825="","",INDEX(Pipeline_Calc!$J$2:$J$5251,Pipeline_Sort!$C825))</f>
        <v/>
      </c>
    </row>
    <row r="826" customFormat="false" ht="15" hidden="false" customHeight="false" outlineLevel="0" collapsed="false">
      <c r="A826" s="33" t="str">
        <f aca="false">IF(Pipeline_Sort!$C826="","",INDEX(Pipeline_Calc!$B$2:$B$5251,Pipeline_Sort!$C826))</f>
        <v/>
      </c>
      <c r="B826" s="0" t="str">
        <f aca="false">IF(Pipeline_Sort!$C826="","",INDEX(Pipeline_Calc!$C$2:$C$5251,Pipeline_Sort!$C826))</f>
        <v/>
      </c>
      <c r="C826" s="0" t="str">
        <f aca="false">IF(Pipeline_Sort!$C826="","",INDEX(Pipeline_Calc!$D$2:$D$5251,Pipeline_Sort!$C826))</f>
        <v/>
      </c>
      <c r="D826" s="0" t="str">
        <f aca="false">IF(Pipeline_Sort!$C826="","",INDEX(Pipeline_Calc!$E$2:$E$5251,Pipeline_Sort!$C826))</f>
        <v/>
      </c>
      <c r="E826" s="0" t="str">
        <f aca="false">IF(Pipeline_Sort!$C826="","",INDEX(Pipeline_Calc!$F$2:$F$5251,Pipeline_Sort!$C826))</f>
        <v/>
      </c>
      <c r="F826" s="0" t="str">
        <f aca="false">IF(Pipeline_Sort!$C826="","",INDEX(Pipeline_Calc!$G$2:$G$5251,Pipeline_Sort!$C826))</f>
        <v/>
      </c>
      <c r="G826" s="0" t="str">
        <f aca="false">IF(Pipeline_Sort!$C826="","",INDEX(Pipeline_Calc!$H$2:$H$5251,Pipeline_Sort!$C826))</f>
        <v/>
      </c>
      <c r="H826" s="0" t="str">
        <f aca="false">IF(Pipeline_Sort!$C826="","",INDEX(Pipeline_Calc!$I$2:$I$5251,Pipeline_Sort!$C826))</f>
        <v/>
      </c>
      <c r="I826" s="0" t="str">
        <f aca="false">IF(Pipeline_Sort!$C826="","",INDEX(Pipeline_Calc!$J$2:$J$5251,Pipeline_Sort!$C826))</f>
        <v/>
      </c>
    </row>
    <row r="827" customFormat="false" ht="15" hidden="false" customHeight="false" outlineLevel="0" collapsed="false">
      <c r="A827" s="33" t="str">
        <f aca="false">IF(Pipeline_Sort!$C827="","",INDEX(Pipeline_Calc!$B$2:$B$5251,Pipeline_Sort!$C827))</f>
        <v/>
      </c>
      <c r="B827" s="0" t="str">
        <f aca="false">IF(Pipeline_Sort!$C827="","",INDEX(Pipeline_Calc!$C$2:$C$5251,Pipeline_Sort!$C827))</f>
        <v/>
      </c>
      <c r="C827" s="0" t="str">
        <f aca="false">IF(Pipeline_Sort!$C827="","",INDEX(Pipeline_Calc!$D$2:$D$5251,Pipeline_Sort!$C827))</f>
        <v/>
      </c>
      <c r="D827" s="0" t="str">
        <f aca="false">IF(Pipeline_Sort!$C827="","",INDEX(Pipeline_Calc!$E$2:$E$5251,Pipeline_Sort!$C827))</f>
        <v/>
      </c>
      <c r="E827" s="0" t="str">
        <f aca="false">IF(Pipeline_Sort!$C827="","",INDEX(Pipeline_Calc!$F$2:$F$5251,Pipeline_Sort!$C827))</f>
        <v/>
      </c>
      <c r="F827" s="0" t="str">
        <f aca="false">IF(Pipeline_Sort!$C827="","",INDEX(Pipeline_Calc!$G$2:$G$5251,Pipeline_Sort!$C827))</f>
        <v/>
      </c>
      <c r="G827" s="0" t="str">
        <f aca="false">IF(Pipeline_Sort!$C827="","",INDEX(Pipeline_Calc!$H$2:$H$5251,Pipeline_Sort!$C827))</f>
        <v/>
      </c>
      <c r="H827" s="0" t="str">
        <f aca="false">IF(Pipeline_Sort!$C827="","",INDEX(Pipeline_Calc!$I$2:$I$5251,Pipeline_Sort!$C827))</f>
        <v/>
      </c>
      <c r="I827" s="0" t="str">
        <f aca="false">IF(Pipeline_Sort!$C827="","",INDEX(Pipeline_Calc!$J$2:$J$5251,Pipeline_Sort!$C827))</f>
        <v/>
      </c>
    </row>
    <row r="828" customFormat="false" ht="15" hidden="false" customHeight="false" outlineLevel="0" collapsed="false">
      <c r="A828" s="33" t="str">
        <f aca="false">IF(Pipeline_Sort!$C828="","",INDEX(Pipeline_Calc!$B$2:$B$5251,Pipeline_Sort!$C828))</f>
        <v/>
      </c>
      <c r="B828" s="0" t="str">
        <f aca="false">IF(Pipeline_Sort!$C828="","",INDEX(Pipeline_Calc!$C$2:$C$5251,Pipeline_Sort!$C828))</f>
        <v/>
      </c>
      <c r="C828" s="0" t="str">
        <f aca="false">IF(Pipeline_Sort!$C828="","",INDEX(Pipeline_Calc!$D$2:$D$5251,Pipeline_Sort!$C828))</f>
        <v/>
      </c>
      <c r="D828" s="0" t="str">
        <f aca="false">IF(Pipeline_Sort!$C828="","",INDEX(Pipeline_Calc!$E$2:$E$5251,Pipeline_Sort!$C828))</f>
        <v/>
      </c>
      <c r="E828" s="0" t="str">
        <f aca="false">IF(Pipeline_Sort!$C828="","",INDEX(Pipeline_Calc!$F$2:$F$5251,Pipeline_Sort!$C828))</f>
        <v/>
      </c>
      <c r="F828" s="0" t="str">
        <f aca="false">IF(Pipeline_Sort!$C828="","",INDEX(Pipeline_Calc!$G$2:$G$5251,Pipeline_Sort!$C828))</f>
        <v/>
      </c>
      <c r="G828" s="0" t="str">
        <f aca="false">IF(Pipeline_Sort!$C828="","",INDEX(Pipeline_Calc!$H$2:$H$5251,Pipeline_Sort!$C828))</f>
        <v/>
      </c>
      <c r="H828" s="0" t="str">
        <f aca="false">IF(Pipeline_Sort!$C828="","",INDEX(Pipeline_Calc!$I$2:$I$5251,Pipeline_Sort!$C828))</f>
        <v/>
      </c>
      <c r="I828" s="0" t="str">
        <f aca="false">IF(Pipeline_Sort!$C828="","",INDEX(Pipeline_Calc!$J$2:$J$5251,Pipeline_Sort!$C828))</f>
        <v/>
      </c>
    </row>
    <row r="829" customFormat="false" ht="15" hidden="false" customHeight="false" outlineLevel="0" collapsed="false">
      <c r="A829" s="33" t="str">
        <f aca="false">IF(Pipeline_Sort!$C829="","",INDEX(Pipeline_Calc!$B$2:$B$5251,Pipeline_Sort!$C829))</f>
        <v/>
      </c>
      <c r="B829" s="0" t="str">
        <f aca="false">IF(Pipeline_Sort!$C829="","",INDEX(Pipeline_Calc!$C$2:$C$5251,Pipeline_Sort!$C829))</f>
        <v/>
      </c>
      <c r="C829" s="0" t="str">
        <f aca="false">IF(Pipeline_Sort!$C829="","",INDEX(Pipeline_Calc!$D$2:$D$5251,Pipeline_Sort!$C829))</f>
        <v/>
      </c>
      <c r="D829" s="0" t="str">
        <f aca="false">IF(Pipeline_Sort!$C829="","",INDEX(Pipeline_Calc!$E$2:$E$5251,Pipeline_Sort!$C829))</f>
        <v/>
      </c>
      <c r="E829" s="0" t="str">
        <f aca="false">IF(Pipeline_Sort!$C829="","",INDEX(Pipeline_Calc!$F$2:$F$5251,Pipeline_Sort!$C829))</f>
        <v/>
      </c>
      <c r="F829" s="0" t="str">
        <f aca="false">IF(Pipeline_Sort!$C829="","",INDEX(Pipeline_Calc!$G$2:$G$5251,Pipeline_Sort!$C829))</f>
        <v/>
      </c>
      <c r="G829" s="0" t="str">
        <f aca="false">IF(Pipeline_Sort!$C829="","",INDEX(Pipeline_Calc!$H$2:$H$5251,Pipeline_Sort!$C829))</f>
        <v/>
      </c>
      <c r="H829" s="0" t="str">
        <f aca="false">IF(Pipeline_Sort!$C829="","",INDEX(Pipeline_Calc!$I$2:$I$5251,Pipeline_Sort!$C829))</f>
        <v/>
      </c>
      <c r="I829" s="0" t="str">
        <f aca="false">IF(Pipeline_Sort!$C829="","",INDEX(Pipeline_Calc!$J$2:$J$5251,Pipeline_Sort!$C829))</f>
        <v/>
      </c>
    </row>
    <row r="830" customFormat="false" ht="15" hidden="false" customHeight="false" outlineLevel="0" collapsed="false">
      <c r="A830" s="33" t="str">
        <f aca="false">IF(Pipeline_Sort!$C830="","",INDEX(Pipeline_Calc!$B$2:$B$5251,Pipeline_Sort!$C830))</f>
        <v/>
      </c>
      <c r="B830" s="0" t="str">
        <f aca="false">IF(Pipeline_Sort!$C830="","",INDEX(Pipeline_Calc!$C$2:$C$5251,Pipeline_Sort!$C830))</f>
        <v/>
      </c>
      <c r="C830" s="0" t="str">
        <f aca="false">IF(Pipeline_Sort!$C830="","",INDEX(Pipeline_Calc!$D$2:$D$5251,Pipeline_Sort!$C830))</f>
        <v/>
      </c>
      <c r="D830" s="0" t="str">
        <f aca="false">IF(Pipeline_Sort!$C830="","",INDEX(Pipeline_Calc!$E$2:$E$5251,Pipeline_Sort!$C830))</f>
        <v/>
      </c>
      <c r="E830" s="0" t="str">
        <f aca="false">IF(Pipeline_Sort!$C830="","",INDEX(Pipeline_Calc!$F$2:$F$5251,Pipeline_Sort!$C830))</f>
        <v/>
      </c>
      <c r="F830" s="0" t="str">
        <f aca="false">IF(Pipeline_Sort!$C830="","",INDEX(Pipeline_Calc!$G$2:$G$5251,Pipeline_Sort!$C830))</f>
        <v/>
      </c>
      <c r="G830" s="0" t="str">
        <f aca="false">IF(Pipeline_Sort!$C830="","",INDEX(Pipeline_Calc!$H$2:$H$5251,Pipeline_Sort!$C830))</f>
        <v/>
      </c>
      <c r="H830" s="0" t="str">
        <f aca="false">IF(Pipeline_Sort!$C830="","",INDEX(Pipeline_Calc!$I$2:$I$5251,Pipeline_Sort!$C830))</f>
        <v/>
      </c>
      <c r="I830" s="0" t="str">
        <f aca="false">IF(Pipeline_Sort!$C830="","",INDEX(Pipeline_Calc!$J$2:$J$5251,Pipeline_Sort!$C830))</f>
        <v/>
      </c>
    </row>
    <row r="831" customFormat="false" ht="15" hidden="false" customHeight="false" outlineLevel="0" collapsed="false">
      <c r="A831" s="33" t="str">
        <f aca="false">IF(Pipeline_Sort!$C831="","",INDEX(Pipeline_Calc!$B$2:$B$5251,Pipeline_Sort!$C831))</f>
        <v/>
      </c>
      <c r="B831" s="0" t="str">
        <f aca="false">IF(Pipeline_Sort!$C831="","",INDEX(Pipeline_Calc!$C$2:$C$5251,Pipeline_Sort!$C831))</f>
        <v/>
      </c>
      <c r="C831" s="0" t="str">
        <f aca="false">IF(Pipeline_Sort!$C831="","",INDEX(Pipeline_Calc!$D$2:$D$5251,Pipeline_Sort!$C831))</f>
        <v/>
      </c>
      <c r="D831" s="0" t="str">
        <f aca="false">IF(Pipeline_Sort!$C831="","",INDEX(Pipeline_Calc!$E$2:$E$5251,Pipeline_Sort!$C831))</f>
        <v/>
      </c>
      <c r="E831" s="0" t="str">
        <f aca="false">IF(Pipeline_Sort!$C831="","",INDEX(Pipeline_Calc!$F$2:$F$5251,Pipeline_Sort!$C831))</f>
        <v/>
      </c>
      <c r="F831" s="0" t="str">
        <f aca="false">IF(Pipeline_Sort!$C831="","",INDEX(Pipeline_Calc!$G$2:$G$5251,Pipeline_Sort!$C831))</f>
        <v/>
      </c>
      <c r="G831" s="0" t="str">
        <f aca="false">IF(Pipeline_Sort!$C831="","",INDEX(Pipeline_Calc!$H$2:$H$5251,Pipeline_Sort!$C831))</f>
        <v/>
      </c>
      <c r="H831" s="0" t="str">
        <f aca="false">IF(Pipeline_Sort!$C831="","",INDEX(Pipeline_Calc!$I$2:$I$5251,Pipeline_Sort!$C831))</f>
        <v/>
      </c>
      <c r="I831" s="0" t="str">
        <f aca="false">IF(Pipeline_Sort!$C831="","",INDEX(Pipeline_Calc!$J$2:$J$5251,Pipeline_Sort!$C831))</f>
        <v/>
      </c>
    </row>
    <row r="832" customFormat="false" ht="15" hidden="false" customHeight="false" outlineLevel="0" collapsed="false">
      <c r="A832" s="33" t="str">
        <f aca="false">IF(Pipeline_Sort!$C832="","",INDEX(Pipeline_Calc!$B$2:$B$5251,Pipeline_Sort!$C832))</f>
        <v/>
      </c>
      <c r="B832" s="0" t="str">
        <f aca="false">IF(Pipeline_Sort!$C832="","",INDEX(Pipeline_Calc!$C$2:$C$5251,Pipeline_Sort!$C832))</f>
        <v/>
      </c>
      <c r="C832" s="0" t="str">
        <f aca="false">IF(Pipeline_Sort!$C832="","",INDEX(Pipeline_Calc!$D$2:$D$5251,Pipeline_Sort!$C832))</f>
        <v/>
      </c>
      <c r="D832" s="0" t="str">
        <f aca="false">IF(Pipeline_Sort!$C832="","",INDEX(Pipeline_Calc!$E$2:$E$5251,Pipeline_Sort!$C832))</f>
        <v/>
      </c>
      <c r="E832" s="0" t="str">
        <f aca="false">IF(Pipeline_Sort!$C832="","",INDEX(Pipeline_Calc!$F$2:$F$5251,Pipeline_Sort!$C832))</f>
        <v/>
      </c>
      <c r="F832" s="0" t="str">
        <f aca="false">IF(Pipeline_Sort!$C832="","",INDEX(Pipeline_Calc!$G$2:$G$5251,Pipeline_Sort!$C832))</f>
        <v/>
      </c>
      <c r="G832" s="0" t="str">
        <f aca="false">IF(Pipeline_Sort!$C832="","",INDEX(Pipeline_Calc!$H$2:$H$5251,Pipeline_Sort!$C832))</f>
        <v/>
      </c>
      <c r="H832" s="0" t="str">
        <f aca="false">IF(Pipeline_Sort!$C832="","",INDEX(Pipeline_Calc!$I$2:$I$5251,Pipeline_Sort!$C832))</f>
        <v/>
      </c>
      <c r="I832" s="0" t="str">
        <f aca="false">IF(Pipeline_Sort!$C832="","",INDEX(Pipeline_Calc!$J$2:$J$5251,Pipeline_Sort!$C832))</f>
        <v/>
      </c>
    </row>
    <row r="833" customFormat="false" ht="15" hidden="false" customHeight="false" outlineLevel="0" collapsed="false">
      <c r="A833" s="33" t="str">
        <f aca="false">IF(Pipeline_Sort!$C833="","",INDEX(Pipeline_Calc!$B$2:$B$5251,Pipeline_Sort!$C833))</f>
        <v/>
      </c>
      <c r="B833" s="0" t="str">
        <f aca="false">IF(Pipeline_Sort!$C833="","",INDEX(Pipeline_Calc!$C$2:$C$5251,Pipeline_Sort!$C833))</f>
        <v/>
      </c>
      <c r="C833" s="0" t="str">
        <f aca="false">IF(Pipeline_Sort!$C833="","",INDEX(Pipeline_Calc!$D$2:$D$5251,Pipeline_Sort!$C833))</f>
        <v/>
      </c>
      <c r="D833" s="0" t="str">
        <f aca="false">IF(Pipeline_Sort!$C833="","",INDEX(Pipeline_Calc!$E$2:$E$5251,Pipeline_Sort!$C833))</f>
        <v/>
      </c>
      <c r="E833" s="0" t="str">
        <f aca="false">IF(Pipeline_Sort!$C833="","",INDEX(Pipeline_Calc!$F$2:$F$5251,Pipeline_Sort!$C833))</f>
        <v/>
      </c>
      <c r="F833" s="0" t="str">
        <f aca="false">IF(Pipeline_Sort!$C833="","",INDEX(Pipeline_Calc!$G$2:$G$5251,Pipeline_Sort!$C833))</f>
        <v/>
      </c>
      <c r="G833" s="0" t="str">
        <f aca="false">IF(Pipeline_Sort!$C833="","",INDEX(Pipeline_Calc!$H$2:$H$5251,Pipeline_Sort!$C833))</f>
        <v/>
      </c>
      <c r="H833" s="0" t="str">
        <f aca="false">IF(Pipeline_Sort!$C833="","",INDEX(Pipeline_Calc!$I$2:$I$5251,Pipeline_Sort!$C833))</f>
        <v/>
      </c>
      <c r="I833" s="0" t="str">
        <f aca="false">IF(Pipeline_Sort!$C833="","",INDEX(Pipeline_Calc!$J$2:$J$5251,Pipeline_Sort!$C833))</f>
        <v/>
      </c>
    </row>
    <row r="834" customFormat="false" ht="15" hidden="false" customHeight="false" outlineLevel="0" collapsed="false">
      <c r="A834" s="33" t="str">
        <f aca="false">IF(Pipeline_Sort!$C834="","",INDEX(Pipeline_Calc!$B$2:$B$5251,Pipeline_Sort!$C834))</f>
        <v/>
      </c>
      <c r="B834" s="0" t="str">
        <f aca="false">IF(Pipeline_Sort!$C834="","",INDEX(Pipeline_Calc!$C$2:$C$5251,Pipeline_Sort!$C834))</f>
        <v/>
      </c>
      <c r="C834" s="0" t="str">
        <f aca="false">IF(Pipeline_Sort!$C834="","",INDEX(Pipeline_Calc!$D$2:$D$5251,Pipeline_Sort!$C834))</f>
        <v/>
      </c>
      <c r="D834" s="0" t="str">
        <f aca="false">IF(Pipeline_Sort!$C834="","",INDEX(Pipeline_Calc!$E$2:$E$5251,Pipeline_Sort!$C834))</f>
        <v/>
      </c>
      <c r="E834" s="0" t="str">
        <f aca="false">IF(Pipeline_Sort!$C834="","",INDEX(Pipeline_Calc!$F$2:$F$5251,Pipeline_Sort!$C834))</f>
        <v/>
      </c>
      <c r="F834" s="0" t="str">
        <f aca="false">IF(Pipeline_Sort!$C834="","",INDEX(Pipeline_Calc!$G$2:$G$5251,Pipeline_Sort!$C834))</f>
        <v/>
      </c>
      <c r="G834" s="0" t="str">
        <f aca="false">IF(Pipeline_Sort!$C834="","",INDEX(Pipeline_Calc!$H$2:$H$5251,Pipeline_Sort!$C834))</f>
        <v/>
      </c>
      <c r="H834" s="0" t="str">
        <f aca="false">IF(Pipeline_Sort!$C834="","",INDEX(Pipeline_Calc!$I$2:$I$5251,Pipeline_Sort!$C834))</f>
        <v/>
      </c>
      <c r="I834" s="0" t="str">
        <f aca="false">IF(Pipeline_Sort!$C834="","",INDEX(Pipeline_Calc!$J$2:$J$5251,Pipeline_Sort!$C834))</f>
        <v/>
      </c>
    </row>
    <row r="835" customFormat="false" ht="15" hidden="false" customHeight="false" outlineLevel="0" collapsed="false">
      <c r="A835" s="33" t="str">
        <f aca="false">IF(Pipeline_Sort!$C835="","",INDEX(Pipeline_Calc!$B$2:$B$5251,Pipeline_Sort!$C835))</f>
        <v/>
      </c>
      <c r="B835" s="0" t="str">
        <f aca="false">IF(Pipeline_Sort!$C835="","",INDEX(Pipeline_Calc!$C$2:$C$5251,Pipeline_Sort!$C835))</f>
        <v/>
      </c>
      <c r="C835" s="0" t="str">
        <f aca="false">IF(Pipeline_Sort!$C835="","",INDEX(Pipeline_Calc!$D$2:$D$5251,Pipeline_Sort!$C835))</f>
        <v/>
      </c>
      <c r="D835" s="0" t="str">
        <f aca="false">IF(Pipeline_Sort!$C835="","",INDEX(Pipeline_Calc!$E$2:$E$5251,Pipeline_Sort!$C835))</f>
        <v/>
      </c>
      <c r="E835" s="0" t="str">
        <f aca="false">IF(Pipeline_Sort!$C835="","",INDEX(Pipeline_Calc!$F$2:$F$5251,Pipeline_Sort!$C835))</f>
        <v/>
      </c>
      <c r="F835" s="0" t="str">
        <f aca="false">IF(Pipeline_Sort!$C835="","",INDEX(Pipeline_Calc!$G$2:$G$5251,Pipeline_Sort!$C835))</f>
        <v/>
      </c>
      <c r="G835" s="0" t="str">
        <f aca="false">IF(Pipeline_Sort!$C835="","",INDEX(Pipeline_Calc!$H$2:$H$5251,Pipeline_Sort!$C835))</f>
        <v/>
      </c>
      <c r="H835" s="0" t="str">
        <f aca="false">IF(Pipeline_Sort!$C835="","",INDEX(Pipeline_Calc!$I$2:$I$5251,Pipeline_Sort!$C835))</f>
        <v/>
      </c>
      <c r="I835" s="0" t="str">
        <f aca="false">IF(Pipeline_Sort!$C835="","",INDEX(Pipeline_Calc!$J$2:$J$5251,Pipeline_Sort!$C835))</f>
        <v/>
      </c>
    </row>
    <row r="836" customFormat="false" ht="15" hidden="false" customHeight="false" outlineLevel="0" collapsed="false">
      <c r="A836" s="33" t="str">
        <f aca="false">IF(Pipeline_Sort!$C836="","",INDEX(Pipeline_Calc!$B$2:$B$5251,Pipeline_Sort!$C836))</f>
        <v/>
      </c>
      <c r="B836" s="0" t="str">
        <f aca="false">IF(Pipeline_Sort!$C836="","",INDEX(Pipeline_Calc!$C$2:$C$5251,Pipeline_Sort!$C836))</f>
        <v/>
      </c>
      <c r="C836" s="0" t="str">
        <f aca="false">IF(Pipeline_Sort!$C836="","",INDEX(Pipeline_Calc!$D$2:$D$5251,Pipeline_Sort!$C836))</f>
        <v/>
      </c>
      <c r="D836" s="0" t="str">
        <f aca="false">IF(Pipeline_Sort!$C836="","",INDEX(Pipeline_Calc!$E$2:$E$5251,Pipeline_Sort!$C836))</f>
        <v/>
      </c>
      <c r="E836" s="0" t="str">
        <f aca="false">IF(Pipeline_Sort!$C836="","",INDEX(Pipeline_Calc!$F$2:$F$5251,Pipeline_Sort!$C836))</f>
        <v/>
      </c>
      <c r="F836" s="0" t="str">
        <f aca="false">IF(Pipeline_Sort!$C836="","",INDEX(Pipeline_Calc!$G$2:$G$5251,Pipeline_Sort!$C836))</f>
        <v/>
      </c>
      <c r="G836" s="0" t="str">
        <f aca="false">IF(Pipeline_Sort!$C836="","",INDEX(Pipeline_Calc!$H$2:$H$5251,Pipeline_Sort!$C836))</f>
        <v/>
      </c>
      <c r="H836" s="0" t="str">
        <f aca="false">IF(Pipeline_Sort!$C836="","",INDEX(Pipeline_Calc!$I$2:$I$5251,Pipeline_Sort!$C836))</f>
        <v/>
      </c>
      <c r="I836" s="0" t="str">
        <f aca="false">IF(Pipeline_Sort!$C836="","",INDEX(Pipeline_Calc!$J$2:$J$5251,Pipeline_Sort!$C836))</f>
        <v/>
      </c>
    </row>
    <row r="837" customFormat="false" ht="15" hidden="false" customHeight="false" outlineLevel="0" collapsed="false">
      <c r="A837" s="33" t="str">
        <f aca="false">IF(Pipeline_Sort!$C837="","",INDEX(Pipeline_Calc!$B$2:$B$5251,Pipeline_Sort!$C837))</f>
        <v/>
      </c>
      <c r="B837" s="0" t="str">
        <f aca="false">IF(Pipeline_Sort!$C837="","",INDEX(Pipeline_Calc!$C$2:$C$5251,Pipeline_Sort!$C837))</f>
        <v/>
      </c>
      <c r="C837" s="0" t="str">
        <f aca="false">IF(Pipeline_Sort!$C837="","",INDEX(Pipeline_Calc!$D$2:$D$5251,Pipeline_Sort!$C837))</f>
        <v/>
      </c>
      <c r="D837" s="0" t="str">
        <f aca="false">IF(Pipeline_Sort!$C837="","",INDEX(Pipeline_Calc!$E$2:$E$5251,Pipeline_Sort!$C837))</f>
        <v/>
      </c>
      <c r="E837" s="0" t="str">
        <f aca="false">IF(Pipeline_Sort!$C837="","",INDEX(Pipeline_Calc!$F$2:$F$5251,Pipeline_Sort!$C837))</f>
        <v/>
      </c>
      <c r="F837" s="0" t="str">
        <f aca="false">IF(Pipeline_Sort!$C837="","",INDEX(Pipeline_Calc!$G$2:$G$5251,Pipeline_Sort!$C837))</f>
        <v/>
      </c>
      <c r="G837" s="0" t="str">
        <f aca="false">IF(Pipeline_Sort!$C837="","",INDEX(Pipeline_Calc!$H$2:$H$5251,Pipeline_Sort!$C837))</f>
        <v/>
      </c>
      <c r="H837" s="0" t="str">
        <f aca="false">IF(Pipeline_Sort!$C837="","",INDEX(Pipeline_Calc!$I$2:$I$5251,Pipeline_Sort!$C837))</f>
        <v/>
      </c>
      <c r="I837" s="0" t="str">
        <f aca="false">IF(Pipeline_Sort!$C837="","",INDEX(Pipeline_Calc!$J$2:$J$5251,Pipeline_Sort!$C837))</f>
        <v/>
      </c>
    </row>
    <row r="838" customFormat="false" ht="15" hidden="false" customHeight="false" outlineLevel="0" collapsed="false">
      <c r="A838" s="33" t="str">
        <f aca="false">IF(Pipeline_Sort!$C838="","",INDEX(Pipeline_Calc!$B$2:$B$5251,Pipeline_Sort!$C838))</f>
        <v/>
      </c>
      <c r="B838" s="0" t="str">
        <f aca="false">IF(Pipeline_Sort!$C838="","",INDEX(Pipeline_Calc!$C$2:$C$5251,Pipeline_Sort!$C838))</f>
        <v/>
      </c>
      <c r="C838" s="0" t="str">
        <f aca="false">IF(Pipeline_Sort!$C838="","",INDEX(Pipeline_Calc!$D$2:$D$5251,Pipeline_Sort!$C838))</f>
        <v/>
      </c>
      <c r="D838" s="0" t="str">
        <f aca="false">IF(Pipeline_Sort!$C838="","",INDEX(Pipeline_Calc!$E$2:$E$5251,Pipeline_Sort!$C838))</f>
        <v/>
      </c>
      <c r="E838" s="0" t="str">
        <f aca="false">IF(Pipeline_Sort!$C838="","",INDEX(Pipeline_Calc!$F$2:$F$5251,Pipeline_Sort!$C838))</f>
        <v/>
      </c>
      <c r="F838" s="0" t="str">
        <f aca="false">IF(Pipeline_Sort!$C838="","",INDEX(Pipeline_Calc!$G$2:$G$5251,Pipeline_Sort!$C838))</f>
        <v/>
      </c>
      <c r="G838" s="0" t="str">
        <f aca="false">IF(Pipeline_Sort!$C838="","",INDEX(Pipeline_Calc!$H$2:$H$5251,Pipeline_Sort!$C838))</f>
        <v/>
      </c>
      <c r="H838" s="0" t="str">
        <f aca="false">IF(Pipeline_Sort!$C838="","",INDEX(Pipeline_Calc!$I$2:$I$5251,Pipeline_Sort!$C838))</f>
        <v/>
      </c>
      <c r="I838" s="0" t="str">
        <f aca="false">IF(Pipeline_Sort!$C838="","",INDEX(Pipeline_Calc!$J$2:$J$5251,Pipeline_Sort!$C838))</f>
        <v/>
      </c>
    </row>
    <row r="839" customFormat="false" ht="15" hidden="false" customHeight="false" outlineLevel="0" collapsed="false">
      <c r="A839" s="33" t="str">
        <f aca="false">IF(Pipeline_Sort!$C839="","",INDEX(Pipeline_Calc!$B$2:$B$5251,Pipeline_Sort!$C839))</f>
        <v/>
      </c>
      <c r="B839" s="0" t="str">
        <f aca="false">IF(Pipeline_Sort!$C839="","",INDEX(Pipeline_Calc!$C$2:$C$5251,Pipeline_Sort!$C839))</f>
        <v/>
      </c>
      <c r="C839" s="0" t="str">
        <f aca="false">IF(Pipeline_Sort!$C839="","",INDEX(Pipeline_Calc!$D$2:$D$5251,Pipeline_Sort!$C839))</f>
        <v/>
      </c>
      <c r="D839" s="0" t="str">
        <f aca="false">IF(Pipeline_Sort!$C839="","",INDEX(Pipeline_Calc!$E$2:$E$5251,Pipeline_Sort!$C839))</f>
        <v/>
      </c>
      <c r="E839" s="0" t="str">
        <f aca="false">IF(Pipeline_Sort!$C839="","",INDEX(Pipeline_Calc!$F$2:$F$5251,Pipeline_Sort!$C839))</f>
        <v/>
      </c>
      <c r="F839" s="0" t="str">
        <f aca="false">IF(Pipeline_Sort!$C839="","",INDEX(Pipeline_Calc!$G$2:$G$5251,Pipeline_Sort!$C839))</f>
        <v/>
      </c>
      <c r="G839" s="0" t="str">
        <f aca="false">IF(Pipeline_Sort!$C839="","",INDEX(Pipeline_Calc!$H$2:$H$5251,Pipeline_Sort!$C839))</f>
        <v/>
      </c>
      <c r="H839" s="0" t="str">
        <f aca="false">IF(Pipeline_Sort!$C839="","",INDEX(Pipeline_Calc!$I$2:$I$5251,Pipeline_Sort!$C839))</f>
        <v/>
      </c>
      <c r="I839" s="0" t="str">
        <f aca="false">IF(Pipeline_Sort!$C839="","",INDEX(Pipeline_Calc!$J$2:$J$5251,Pipeline_Sort!$C839))</f>
        <v/>
      </c>
    </row>
    <row r="840" customFormat="false" ht="15" hidden="false" customHeight="false" outlineLevel="0" collapsed="false">
      <c r="A840" s="33" t="str">
        <f aca="false">IF(Pipeline_Sort!$C840="","",INDEX(Pipeline_Calc!$B$2:$B$5251,Pipeline_Sort!$C840))</f>
        <v/>
      </c>
      <c r="B840" s="0" t="str">
        <f aca="false">IF(Pipeline_Sort!$C840="","",INDEX(Pipeline_Calc!$C$2:$C$5251,Pipeline_Sort!$C840))</f>
        <v/>
      </c>
      <c r="C840" s="0" t="str">
        <f aca="false">IF(Pipeline_Sort!$C840="","",INDEX(Pipeline_Calc!$D$2:$D$5251,Pipeline_Sort!$C840))</f>
        <v/>
      </c>
      <c r="D840" s="0" t="str">
        <f aca="false">IF(Pipeline_Sort!$C840="","",INDEX(Pipeline_Calc!$E$2:$E$5251,Pipeline_Sort!$C840))</f>
        <v/>
      </c>
      <c r="E840" s="0" t="str">
        <f aca="false">IF(Pipeline_Sort!$C840="","",INDEX(Pipeline_Calc!$F$2:$F$5251,Pipeline_Sort!$C840))</f>
        <v/>
      </c>
      <c r="F840" s="0" t="str">
        <f aca="false">IF(Pipeline_Sort!$C840="","",INDEX(Pipeline_Calc!$G$2:$G$5251,Pipeline_Sort!$C840))</f>
        <v/>
      </c>
      <c r="G840" s="0" t="str">
        <f aca="false">IF(Pipeline_Sort!$C840="","",INDEX(Pipeline_Calc!$H$2:$H$5251,Pipeline_Sort!$C840))</f>
        <v/>
      </c>
      <c r="H840" s="0" t="str">
        <f aca="false">IF(Pipeline_Sort!$C840="","",INDEX(Pipeline_Calc!$I$2:$I$5251,Pipeline_Sort!$C840))</f>
        <v/>
      </c>
      <c r="I840" s="0" t="str">
        <f aca="false">IF(Pipeline_Sort!$C840="","",INDEX(Pipeline_Calc!$J$2:$J$5251,Pipeline_Sort!$C840))</f>
        <v/>
      </c>
    </row>
    <row r="841" customFormat="false" ht="15" hidden="false" customHeight="false" outlineLevel="0" collapsed="false">
      <c r="A841" s="33" t="str">
        <f aca="false">IF(Pipeline_Sort!$C841="","",INDEX(Pipeline_Calc!$B$2:$B$5251,Pipeline_Sort!$C841))</f>
        <v/>
      </c>
      <c r="B841" s="0" t="str">
        <f aca="false">IF(Pipeline_Sort!$C841="","",INDEX(Pipeline_Calc!$C$2:$C$5251,Pipeline_Sort!$C841))</f>
        <v/>
      </c>
      <c r="C841" s="0" t="str">
        <f aca="false">IF(Pipeline_Sort!$C841="","",INDEX(Pipeline_Calc!$D$2:$D$5251,Pipeline_Sort!$C841))</f>
        <v/>
      </c>
      <c r="D841" s="0" t="str">
        <f aca="false">IF(Pipeline_Sort!$C841="","",INDEX(Pipeline_Calc!$E$2:$E$5251,Pipeline_Sort!$C841))</f>
        <v/>
      </c>
      <c r="E841" s="0" t="str">
        <f aca="false">IF(Pipeline_Sort!$C841="","",INDEX(Pipeline_Calc!$F$2:$F$5251,Pipeline_Sort!$C841))</f>
        <v/>
      </c>
      <c r="F841" s="0" t="str">
        <f aca="false">IF(Pipeline_Sort!$C841="","",INDEX(Pipeline_Calc!$G$2:$G$5251,Pipeline_Sort!$C841))</f>
        <v/>
      </c>
      <c r="G841" s="0" t="str">
        <f aca="false">IF(Pipeline_Sort!$C841="","",INDEX(Pipeline_Calc!$H$2:$H$5251,Pipeline_Sort!$C841))</f>
        <v/>
      </c>
      <c r="H841" s="0" t="str">
        <f aca="false">IF(Pipeline_Sort!$C841="","",INDEX(Pipeline_Calc!$I$2:$I$5251,Pipeline_Sort!$C841))</f>
        <v/>
      </c>
      <c r="I841" s="0" t="str">
        <f aca="false">IF(Pipeline_Sort!$C841="","",INDEX(Pipeline_Calc!$J$2:$J$5251,Pipeline_Sort!$C841))</f>
        <v/>
      </c>
    </row>
    <row r="842" customFormat="false" ht="15" hidden="false" customHeight="false" outlineLevel="0" collapsed="false">
      <c r="A842" s="33" t="str">
        <f aca="false">IF(Pipeline_Sort!$C842="","",INDEX(Pipeline_Calc!$B$2:$B$5251,Pipeline_Sort!$C842))</f>
        <v/>
      </c>
      <c r="B842" s="0" t="str">
        <f aca="false">IF(Pipeline_Sort!$C842="","",INDEX(Pipeline_Calc!$C$2:$C$5251,Pipeline_Sort!$C842))</f>
        <v/>
      </c>
      <c r="C842" s="0" t="str">
        <f aca="false">IF(Pipeline_Sort!$C842="","",INDEX(Pipeline_Calc!$D$2:$D$5251,Pipeline_Sort!$C842))</f>
        <v/>
      </c>
      <c r="D842" s="0" t="str">
        <f aca="false">IF(Pipeline_Sort!$C842="","",INDEX(Pipeline_Calc!$E$2:$E$5251,Pipeline_Sort!$C842))</f>
        <v/>
      </c>
      <c r="E842" s="0" t="str">
        <f aca="false">IF(Pipeline_Sort!$C842="","",INDEX(Pipeline_Calc!$F$2:$F$5251,Pipeline_Sort!$C842))</f>
        <v/>
      </c>
      <c r="F842" s="0" t="str">
        <f aca="false">IF(Pipeline_Sort!$C842="","",INDEX(Pipeline_Calc!$G$2:$G$5251,Pipeline_Sort!$C842))</f>
        <v/>
      </c>
      <c r="G842" s="0" t="str">
        <f aca="false">IF(Pipeline_Sort!$C842="","",INDEX(Pipeline_Calc!$H$2:$H$5251,Pipeline_Sort!$C842))</f>
        <v/>
      </c>
      <c r="H842" s="0" t="str">
        <f aca="false">IF(Pipeline_Sort!$C842="","",INDEX(Pipeline_Calc!$I$2:$I$5251,Pipeline_Sort!$C842))</f>
        <v/>
      </c>
      <c r="I842" s="0" t="str">
        <f aca="false">IF(Pipeline_Sort!$C842="","",INDEX(Pipeline_Calc!$J$2:$J$5251,Pipeline_Sort!$C842))</f>
        <v/>
      </c>
    </row>
    <row r="843" customFormat="false" ht="15" hidden="false" customHeight="false" outlineLevel="0" collapsed="false">
      <c r="A843" s="33" t="str">
        <f aca="false">IF(Pipeline_Sort!$C843="","",INDEX(Pipeline_Calc!$B$2:$B$5251,Pipeline_Sort!$C843))</f>
        <v/>
      </c>
      <c r="B843" s="0" t="str">
        <f aca="false">IF(Pipeline_Sort!$C843="","",INDEX(Pipeline_Calc!$C$2:$C$5251,Pipeline_Sort!$C843))</f>
        <v/>
      </c>
      <c r="C843" s="0" t="str">
        <f aca="false">IF(Pipeline_Sort!$C843="","",INDEX(Pipeline_Calc!$D$2:$D$5251,Pipeline_Sort!$C843))</f>
        <v/>
      </c>
      <c r="D843" s="0" t="str">
        <f aca="false">IF(Pipeline_Sort!$C843="","",INDEX(Pipeline_Calc!$E$2:$E$5251,Pipeline_Sort!$C843))</f>
        <v/>
      </c>
      <c r="E843" s="0" t="str">
        <f aca="false">IF(Pipeline_Sort!$C843="","",INDEX(Pipeline_Calc!$F$2:$F$5251,Pipeline_Sort!$C843))</f>
        <v/>
      </c>
      <c r="F843" s="0" t="str">
        <f aca="false">IF(Pipeline_Sort!$C843="","",INDEX(Pipeline_Calc!$G$2:$G$5251,Pipeline_Sort!$C843))</f>
        <v/>
      </c>
      <c r="G843" s="0" t="str">
        <f aca="false">IF(Pipeline_Sort!$C843="","",INDEX(Pipeline_Calc!$H$2:$H$5251,Pipeline_Sort!$C843))</f>
        <v/>
      </c>
      <c r="H843" s="0" t="str">
        <f aca="false">IF(Pipeline_Sort!$C843="","",INDEX(Pipeline_Calc!$I$2:$I$5251,Pipeline_Sort!$C843))</f>
        <v/>
      </c>
      <c r="I843" s="0" t="str">
        <f aca="false">IF(Pipeline_Sort!$C843="","",INDEX(Pipeline_Calc!$J$2:$J$5251,Pipeline_Sort!$C843))</f>
        <v/>
      </c>
    </row>
    <row r="844" customFormat="false" ht="15" hidden="false" customHeight="false" outlineLevel="0" collapsed="false">
      <c r="A844" s="33" t="str">
        <f aca="false">IF(Pipeline_Sort!$C844="","",INDEX(Pipeline_Calc!$B$2:$B$5251,Pipeline_Sort!$C844))</f>
        <v/>
      </c>
      <c r="B844" s="0" t="str">
        <f aca="false">IF(Pipeline_Sort!$C844="","",INDEX(Pipeline_Calc!$C$2:$C$5251,Pipeline_Sort!$C844))</f>
        <v/>
      </c>
      <c r="C844" s="0" t="str">
        <f aca="false">IF(Pipeline_Sort!$C844="","",INDEX(Pipeline_Calc!$D$2:$D$5251,Pipeline_Sort!$C844))</f>
        <v/>
      </c>
      <c r="D844" s="0" t="str">
        <f aca="false">IF(Pipeline_Sort!$C844="","",INDEX(Pipeline_Calc!$E$2:$E$5251,Pipeline_Sort!$C844))</f>
        <v/>
      </c>
      <c r="E844" s="0" t="str">
        <f aca="false">IF(Pipeline_Sort!$C844="","",INDEX(Pipeline_Calc!$F$2:$F$5251,Pipeline_Sort!$C844))</f>
        <v/>
      </c>
      <c r="F844" s="0" t="str">
        <f aca="false">IF(Pipeline_Sort!$C844="","",INDEX(Pipeline_Calc!$G$2:$G$5251,Pipeline_Sort!$C844))</f>
        <v/>
      </c>
      <c r="G844" s="0" t="str">
        <f aca="false">IF(Pipeline_Sort!$C844="","",INDEX(Pipeline_Calc!$H$2:$H$5251,Pipeline_Sort!$C844))</f>
        <v/>
      </c>
      <c r="H844" s="0" t="str">
        <f aca="false">IF(Pipeline_Sort!$C844="","",INDEX(Pipeline_Calc!$I$2:$I$5251,Pipeline_Sort!$C844))</f>
        <v/>
      </c>
      <c r="I844" s="0" t="str">
        <f aca="false">IF(Pipeline_Sort!$C844="","",INDEX(Pipeline_Calc!$J$2:$J$5251,Pipeline_Sort!$C844))</f>
        <v/>
      </c>
    </row>
    <row r="845" customFormat="false" ht="15" hidden="false" customHeight="false" outlineLevel="0" collapsed="false">
      <c r="A845" s="33" t="str">
        <f aca="false">IF(Pipeline_Sort!$C845="","",INDEX(Pipeline_Calc!$B$2:$B$5251,Pipeline_Sort!$C845))</f>
        <v/>
      </c>
      <c r="B845" s="0" t="str">
        <f aca="false">IF(Pipeline_Sort!$C845="","",INDEX(Pipeline_Calc!$C$2:$C$5251,Pipeline_Sort!$C845))</f>
        <v/>
      </c>
      <c r="C845" s="0" t="str">
        <f aca="false">IF(Pipeline_Sort!$C845="","",INDEX(Pipeline_Calc!$D$2:$D$5251,Pipeline_Sort!$C845))</f>
        <v/>
      </c>
      <c r="D845" s="0" t="str">
        <f aca="false">IF(Pipeline_Sort!$C845="","",INDEX(Pipeline_Calc!$E$2:$E$5251,Pipeline_Sort!$C845))</f>
        <v/>
      </c>
      <c r="E845" s="0" t="str">
        <f aca="false">IF(Pipeline_Sort!$C845="","",INDEX(Pipeline_Calc!$F$2:$F$5251,Pipeline_Sort!$C845))</f>
        <v/>
      </c>
      <c r="F845" s="0" t="str">
        <f aca="false">IF(Pipeline_Sort!$C845="","",INDEX(Pipeline_Calc!$G$2:$G$5251,Pipeline_Sort!$C845))</f>
        <v/>
      </c>
      <c r="G845" s="0" t="str">
        <f aca="false">IF(Pipeline_Sort!$C845="","",INDEX(Pipeline_Calc!$H$2:$H$5251,Pipeline_Sort!$C845))</f>
        <v/>
      </c>
      <c r="H845" s="0" t="str">
        <f aca="false">IF(Pipeline_Sort!$C845="","",INDEX(Pipeline_Calc!$I$2:$I$5251,Pipeline_Sort!$C845))</f>
        <v/>
      </c>
      <c r="I845" s="0" t="str">
        <f aca="false">IF(Pipeline_Sort!$C845="","",INDEX(Pipeline_Calc!$J$2:$J$5251,Pipeline_Sort!$C845))</f>
        <v/>
      </c>
    </row>
    <row r="846" customFormat="false" ht="15" hidden="false" customHeight="false" outlineLevel="0" collapsed="false">
      <c r="A846" s="33" t="str">
        <f aca="false">IF(Pipeline_Sort!$C846="","",INDEX(Pipeline_Calc!$B$2:$B$5251,Pipeline_Sort!$C846))</f>
        <v/>
      </c>
      <c r="B846" s="0" t="str">
        <f aca="false">IF(Pipeline_Sort!$C846="","",INDEX(Pipeline_Calc!$C$2:$C$5251,Pipeline_Sort!$C846))</f>
        <v/>
      </c>
      <c r="C846" s="0" t="str">
        <f aca="false">IF(Pipeline_Sort!$C846="","",INDEX(Pipeline_Calc!$D$2:$D$5251,Pipeline_Sort!$C846))</f>
        <v/>
      </c>
      <c r="D846" s="0" t="str">
        <f aca="false">IF(Pipeline_Sort!$C846="","",INDEX(Pipeline_Calc!$E$2:$E$5251,Pipeline_Sort!$C846))</f>
        <v/>
      </c>
      <c r="E846" s="0" t="str">
        <f aca="false">IF(Pipeline_Sort!$C846="","",INDEX(Pipeline_Calc!$F$2:$F$5251,Pipeline_Sort!$C846))</f>
        <v/>
      </c>
      <c r="F846" s="0" t="str">
        <f aca="false">IF(Pipeline_Sort!$C846="","",INDEX(Pipeline_Calc!$G$2:$G$5251,Pipeline_Sort!$C846))</f>
        <v/>
      </c>
      <c r="G846" s="0" t="str">
        <f aca="false">IF(Pipeline_Sort!$C846="","",INDEX(Pipeline_Calc!$H$2:$H$5251,Pipeline_Sort!$C846))</f>
        <v/>
      </c>
      <c r="H846" s="0" t="str">
        <f aca="false">IF(Pipeline_Sort!$C846="","",INDEX(Pipeline_Calc!$I$2:$I$5251,Pipeline_Sort!$C846))</f>
        <v/>
      </c>
      <c r="I846" s="0" t="str">
        <f aca="false">IF(Pipeline_Sort!$C846="","",INDEX(Pipeline_Calc!$J$2:$J$5251,Pipeline_Sort!$C846))</f>
        <v/>
      </c>
    </row>
    <row r="847" customFormat="false" ht="15" hidden="false" customHeight="false" outlineLevel="0" collapsed="false">
      <c r="A847" s="33" t="str">
        <f aca="false">IF(Pipeline_Sort!$C847="","",INDEX(Pipeline_Calc!$B$2:$B$5251,Pipeline_Sort!$C847))</f>
        <v/>
      </c>
      <c r="B847" s="0" t="str">
        <f aca="false">IF(Pipeline_Sort!$C847="","",INDEX(Pipeline_Calc!$C$2:$C$5251,Pipeline_Sort!$C847))</f>
        <v/>
      </c>
      <c r="C847" s="0" t="str">
        <f aca="false">IF(Pipeline_Sort!$C847="","",INDEX(Pipeline_Calc!$D$2:$D$5251,Pipeline_Sort!$C847))</f>
        <v/>
      </c>
      <c r="D847" s="0" t="str">
        <f aca="false">IF(Pipeline_Sort!$C847="","",INDEX(Pipeline_Calc!$E$2:$E$5251,Pipeline_Sort!$C847))</f>
        <v/>
      </c>
      <c r="E847" s="0" t="str">
        <f aca="false">IF(Pipeline_Sort!$C847="","",INDEX(Pipeline_Calc!$F$2:$F$5251,Pipeline_Sort!$C847))</f>
        <v/>
      </c>
      <c r="F847" s="0" t="str">
        <f aca="false">IF(Pipeline_Sort!$C847="","",INDEX(Pipeline_Calc!$G$2:$G$5251,Pipeline_Sort!$C847))</f>
        <v/>
      </c>
      <c r="G847" s="0" t="str">
        <f aca="false">IF(Pipeline_Sort!$C847="","",INDEX(Pipeline_Calc!$H$2:$H$5251,Pipeline_Sort!$C847))</f>
        <v/>
      </c>
      <c r="H847" s="0" t="str">
        <f aca="false">IF(Pipeline_Sort!$C847="","",INDEX(Pipeline_Calc!$I$2:$I$5251,Pipeline_Sort!$C847))</f>
        <v/>
      </c>
      <c r="I847" s="0" t="str">
        <f aca="false">IF(Pipeline_Sort!$C847="","",INDEX(Pipeline_Calc!$J$2:$J$5251,Pipeline_Sort!$C847))</f>
        <v/>
      </c>
    </row>
    <row r="848" customFormat="false" ht="15" hidden="false" customHeight="false" outlineLevel="0" collapsed="false">
      <c r="A848" s="33" t="str">
        <f aca="false">IF(Pipeline_Sort!$C848="","",INDEX(Pipeline_Calc!$B$2:$B$5251,Pipeline_Sort!$C848))</f>
        <v/>
      </c>
      <c r="B848" s="0" t="str">
        <f aca="false">IF(Pipeline_Sort!$C848="","",INDEX(Pipeline_Calc!$C$2:$C$5251,Pipeline_Sort!$C848))</f>
        <v/>
      </c>
      <c r="C848" s="0" t="str">
        <f aca="false">IF(Pipeline_Sort!$C848="","",INDEX(Pipeline_Calc!$D$2:$D$5251,Pipeline_Sort!$C848))</f>
        <v/>
      </c>
      <c r="D848" s="0" t="str">
        <f aca="false">IF(Pipeline_Sort!$C848="","",INDEX(Pipeline_Calc!$E$2:$E$5251,Pipeline_Sort!$C848))</f>
        <v/>
      </c>
      <c r="E848" s="0" t="str">
        <f aca="false">IF(Pipeline_Sort!$C848="","",INDEX(Pipeline_Calc!$F$2:$F$5251,Pipeline_Sort!$C848))</f>
        <v/>
      </c>
      <c r="F848" s="0" t="str">
        <f aca="false">IF(Pipeline_Sort!$C848="","",INDEX(Pipeline_Calc!$G$2:$G$5251,Pipeline_Sort!$C848))</f>
        <v/>
      </c>
      <c r="G848" s="0" t="str">
        <f aca="false">IF(Pipeline_Sort!$C848="","",INDEX(Pipeline_Calc!$H$2:$H$5251,Pipeline_Sort!$C848))</f>
        <v/>
      </c>
      <c r="H848" s="0" t="str">
        <f aca="false">IF(Pipeline_Sort!$C848="","",INDEX(Pipeline_Calc!$I$2:$I$5251,Pipeline_Sort!$C848))</f>
        <v/>
      </c>
      <c r="I848" s="0" t="str">
        <f aca="false">IF(Pipeline_Sort!$C848="","",INDEX(Pipeline_Calc!$J$2:$J$5251,Pipeline_Sort!$C848))</f>
        <v/>
      </c>
    </row>
    <row r="849" customFormat="false" ht="15" hidden="false" customHeight="false" outlineLevel="0" collapsed="false">
      <c r="A849" s="33" t="str">
        <f aca="false">IF(Pipeline_Sort!$C849="","",INDEX(Pipeline_Calc!$B$2:$B$5251,Pipeline_Sort!$C849))</f>
        <v/>
      </c>
      <c r="B849" s="0" t="str">
        <f aca="false">IF(Pipeline_Sort!$C849="","",INDEX(Pipeline_Calc!$C$2:$C$5251,Pipeline_Sort!$C849))</f>
        <v/>
      </c>
      <c r="C849" s="0" t="str">
        <f aca="false">IF(Pipeline_Sort!$C849="","",INDEX(Pipeline_Calc!$D$2:$D$5251,Pipeline_Sort!$C849))</f>
        <v/>
      </c>
      <c r="D849" s="0" t="str">
        <f aca="false">IF(Pipeline_Sort!$C849="","",INDEX(Pipeline_Calc!$E$2:$E$5251,Pipeline_Sort!$C849))</f>
        <v/>
      </c>
      <c r="E849" s="0" t="str">
        <f aca="false">IF(Pipeline_Sort!$C849="","",INDEX(Pipeline_Calc!$F$2:$F$5251,Pipeline_Sort!$C849))</f>
        <v/>
      </c>
      <c r="F849" s="0" t="str">
        <f aca="false">IF(Pipeline_Sort!$C849="","",INDEX(Pipeline_Calc!$G$2:$G$5251,Pipeline_Sort!$C849))</f>
        <v/>
      </c>
      <c r="G849" s="0" t="str">
        <f aca="false">IF(Pipeline_Sort!$C849="","",INDEX(Pipeline_Calc!$H$2:$H$5251,Pipeline_Sort!$C849))</f>
        <v/>
      </c>
      <c r="H849" s="0" t="str">
        <f aca="false">IF(Pipeline_Sort!$C849="","",INDEX(Pipeline_Calc!$I$2:$I$5251,Pipeline_Sort!$C849))</f>
        <v/>
      </c>
      <c r="I849" s="0" t="str">
        <f aca="false">IF(Pipeline_Sort!$C849="","",INDEX(Pipeline_Calc!$J$2:$J$5251,Pipeline_Sort!$C849))</f>
        <v/>
      </c>
    </row>
    <row r="850" customFormat="false" ht="15" hidden="false" customHeight="false" outlineLevel="0" collapsed="false">
      <c r="A850" s="33" t="str">
        <f aca="false">IF(Pipeline_Sort!$C850="","",INDEX(Pipeline_Calc!$B$2:$B$5251,Pipeline_Sort!$C850))</f>
        <v/>
      </c>
      <c r="B850" s="0" t="str">
        <f aca="false">IF(Pipeline_Sort!$C850="","",INDEX(Pipeline_Calc!$C$2:$C$5251,Pipeline_Sort!$C850))</f>
        <v/>
      </c>
      <c r="C850" s="0" t="str">
        <f aca="false">IF(Pipeline_Sort!$C850="","",INDEX(Pipeline_Calc!$D$2:$D$5251,Pipeline_Sort!$C850))</f>
        <v/>
      </c>
      <c r="D850" s="0" t="str">
        <f aca="false">IF(Pipeline_Sort!$C850="","",INDEX(Pipeline_Calc!$E$2:$E$5251,Pipeline_Sort!$C850))</f>
        <v/>
      </c>
      <c r="E850" s="0" t="str">
        <f aca="false">IF(Pipeline_Sort!$C850="","",INDEX(Pipeline_Calc!$F$2:$F$5251,Pipeline_Sort!$C850))</f>
        <v/>
      </c>
      <c r="F850" s="0" t="str">
        <f aca="false">IF(Pipeline_Sort!$C850="","",INDEX(Pipeline_Calc!$G$2:$G$5251,Pipeline_Sort!$C850))</f>
        <v/>
      </c>
      <c r="G850" s="0" t="str">
        <f aca="false">IF(Pipeline_Sort!$C850="","",INDEX(Pipeline_Calc!$H$2:$H$5251,Pipeline_Sort!$C850))</f>
        <v/>
      </c>
      <c r="H850" s="0" t="str">
        <f aca="false">IF(Pipeline_Sort!$C850="","",INDEX(Pipeline_Calc!$I$2:$I$5251,Pipeline_Sort!$C850))</f>
        <v/>
      </c>
      <c r="I850" s="0" t="str">
        <f aca="false">IF(Pipeline_Sort!$C850="","",INDEX(Pipeline_Calc!$J$2:$J$5251,Pipeline_Sort!$C850))</f>
        <v/>
      </c>
    </row>
    <row r="851" customFormat="false" ht="15" hidden="false" customHeight="false" outlineLevel="0" collapsed="false">
      <c r="A851" s="33" t="str">
        <f aca="false">IF(Pipeline_Sort!$C851="","",INDEX(Pipeline_Calc!$B$2:$B$5251,Pipeline_Sort!$C851))</f>
        <v/>
      </c>
      <c r="B851" s="0" t="str">
        <f aca="false">IF(Pipeline_Sort!$C851="","",INDEX(Pipeline_Calc!$C$2:$C$5251,Pipeline_Sort!$C851))</f>
        <v/>
      </c>
      <c r="C851" s="0" t="str">
        <f aca="false">IF(Pipeline_Sort!$C851="","",INDEX(Pipeline_Calc!$D$2:$D$5251,Pipeline_Sort!$C851))</f>
        <v/>
      </c>
      <c r="D851" s="0" t="str">
        <f aca="false">IF(Pipeline_Sort!$C851="","",INDEX(Pipeline_Calc!$E$2:$E$5251,Pipeline_Sort!$C851))</f>
        <v/>
      </c>
      <c r="E851" s="0" t="str">
        <f aca="false">IF(Pipeline_Sort!$C851="","",INDEX(Pipeline_Calc!$F$2:$F$5251,Pipeline_Sort!$C851))</f>
        <v/>
      </c>
      <c r="F851" s="0" t="str">
        <f aca="false">IF(Pipeline_Sort!$C851="","",INDEX(Pipeline_Calc!$G$2:$G$5251,Pipeline_Sort!$C851))</f>
        <v/>
      </c>
      <c r="G851" s="0" t="str">
        <f aca="false">IF(Pipeline_Sort!$C851="","",INDEX(Pipeline_Calc!$H$2:$H$5251,Pipeline_Sort!$C851))</f>
        <v/>
      </c>
      <c r="H851" s="0" t="str">
        <f aca="false">IF(Pipeline_Sort!$C851="","",INDEX(Pipeline_Calc!$I$2:$I$5251,Pipeline_Sort!$C851))</f>
        <v/>
      </c>
      <c r="I851" s="0" t="str">
        <f aca="false">IF(Pipeline_Sort!$C851="","",INDEX(Pipeline_Calc!$J$2:$J$5251,Pipeline_Sort!$C851))</f>
        <v/>
      </c>
    </row>
    <row r="852" customFormat="false" ht="15" hidden="false" customHeight="false" outlineLevel="0" collapsed="false">
      <c r="A852" s="33" t="str">
        <f aca="false">IF(Pipeline_Sort!$C852="","",INDEX(Pipeline_Calc!$B$2:$B$5251,Pipeline_Sort!$C852))</f>
        <v/>
      </c>
      <c r="B852" s="0" t="str">
        <f aca="false">IF(Pipeline_Sort!$C852="","",INDEX(Pipeline_Calc!$C$2:$C$5251,Pipeline_Sort!$C852))</f>
        <v/>
      </c>
      <c r="C852" s="0" t="str">
        <f aca="false">IF(Pipeline_Sort!$C852="","",INDEX(Pipeline_Calc!$D$2:$D$5251,Pipeline_Sort!$C852))</f>
        <v/>
      </c>
      <c r="D852" s="0" t="str">
        <f aca="false">IF(Pipeline_Sort!$C852="","",INDEX(Pipeline_Calc!$E$2:$E$5251,Pipeline_Sort!$C852))</f>
        <v/>
      </c>
      <c r="E852" s="0" t="str">
        <f aca="false">IF(Pipeline_Sort!$C852="","",INDEX(Pipeline_Calc!$F$2:$F$5251,Pipeline_Sort!$C852))</f>
        <v/>
      </c>
      <c r="F852" s="0" t="str">
        <f aca="false">IF(Pipeline_Sort!$C852="","",INDEX(Pipeline_Calc!$G$2:$G$5251,Pipeline_Sort!$C852))</f>
        <v/>
      </c>
      <c r="G852" s="0" t="str">
        <f aca="false">IF(Pipeline_Sort!$C852="","",INDEX(Pipeline_Calc!$H$2:$H$5251,Pipeline_Sort!$C852))</f>
        <v/>
      </c>
      <c r="H852" s="0" t="str">
        <f aca="false">IF(Pipeline_Sort!$C852="","",INDEX(Pipeline_Calc!$I$2:$I$5251,Pipeline_Sort!$C852))</f>
        <v/>
      </c>
      <c r="I852" s="0" t="str">
        <f aca="false">IF(Pipeline_Sort!$C852="","",INDEX(Pipeline_Calc!$J$2:$J$5251,Pipeline_Sort!$C852))</f>
        <v/>
      </c>
    </row>
    <row r="853" customFormat="false" ht="15" hidden="false" customHeight="false" outlineLevel="0" collapsed="false">
      <c r="A853" s="33" t="str">
        <f aca="false">IF(Pipeline_Sort!$C853="","",INDEX(Pipeline_Calc!$B$2:$B$5251,Pipeline_Sort!$C853))</f>
        <v/>
      </c>
      <c r="B853" s="0" t="str">
        <f aca="false">IF(Pipeline_Sort!$C853="","",INDEX(Pipeline_Calc!$C$2:$C$5251,Pipeline_Sort!$C853))</f>
        <v/>
      </c>
      <c r="C853" s="0" t="str">
        <f aca="false">IF(Pipeline_Sort!$C853="","",INDEX(Pipeline_Calc!$D$2:$D$5251,Pipeline_Sort!$C853))</f>
        <v/>
      </c>
      <c r="D853" s="0" t="str">
        <f aca="false">IF(Pipeline_Sort!$C853="","",INDEX(Pipeline_Calc!$E$2:$E$5251,Pipeline_Sort!$C853))</f>
        <v/>
      </c>
      <c r="E853" s="0" t="str">
        <f aca="false">IF(Pipeline_Sort!$C853="","",INDEX(Pipeline_Calc!$F$2:$F$5251,Pipeline_Sort!$C853))</f>
        <v/>
      </c>
      <c r="F853" s="0" t="str">
        <f aca="false">IF(Pipeline_Sort!$C853="","",INDEX(Pipeline_Calc!$G$2:$G$5251,Pipeline_Sort!$C853))</f>
        <v/>
      </c>
      <c r="G853" s="0" t="str">
        <f aca="false">IF(Pipeline_Sort!$C853="","",INDEX(Pipeline_Calc!$H$2:$H$5251,Pipeline_Sort!$C853))</f>
        <v/>
      </c>
      <c r="H853" s="0" t="str">
        <f aca="false">IF(Pipeline_Sort!$C853="","",INDEX(Pipeline_Calc!$I$2:$I$5251,Pipeline_Sort!$C853))</f>
        <v/>
      </c>
      <c r="I853" s="0" t="str">
        <f aca="false">IF(Pipeline_Sort!$C853="","",INDEX(Pipeline_Calc!$J$2:$J$5251,Pipeline_Sort!$C853))</f>
        <v/>
      </c>
    </row>
    <row r="854" customFormat="false" ht="15" hidden="false" customHeight="false" outlineLevel="0" collapsed="false">
      <c r="A854" s="33" t="str">
        <f aca="false">IF(Pipeline_Sort!$C854="","",INDEX(Pipeline_Calc!$B$2:$B$5251,Pipeline_Sort!$C854))</f>
        <v/>
      </c>
      <c r="B854" s="0" t="str">
        <f aca="false">IF(Pipeline_Sort!$C854="","",INDEX(Pipeline_Calc!$C$2:$C$5251,Pipeline_Sort!$C854))</f>
        <v/>
      </c>
      <c r="C854" s="0" t="str">
        <f aca="false">IF(Pipeline_Sort!$C854="","",INDEX(Pipeline_Calc!$D$2:$D$5251,Pipeline_Sort!$C854))</f>
        <v/>
      </c>
      <c r="D854" s="0" t="str">
        <f aca="false">IF(Pipeline_Sort!$C854="","",INDEX(Pipeline_Calc!$E$2:$E$5251,Pipeline_Sort!$C854))</f>
        <v/>
      </c>
      <c r="E854" s="0" t="str">
        <f aca="false">IF(Pipeline_Sort!$C854="","",INDEX(Pipeline_Calc!$F$2:$F$5251,Pipeline_Sort!$C854))</f>
        <v/>
      </c>
      <c r="F854" s="0" t="str">
        <f aca="false">IF(Pipeline_Sort!$C854="","",INDEX(Pipeline_Calc!$G$2:$G$5251,Pipeline_Sort!$C854))</f>
        <v/>
      </c>
      <c r="G854" s="0" t="str">
        <f aca="false">IF(Pipeline_Sort!$C854="","",INDEX(Pipeline_Calc!$H$2:$H$5251,Pipeline_Sort!$C854))</f>
        <v/>
      </c>
      <c r="H854" s="0" t="str">
        <f aca="false">IF(Pipeline_Sort!$C854="","",INDEX(Pipeline_Calc!$I$2:$I$5251,Pipeline_Sort!$C854))</f>
        <v/>
      </c>
      <c r="I854" s="0" t="str">
        <f aca="false">IF(Pipeline_Sort!$C854="","",INDEX(Pipeline_Calc!$J$2:$J$5251,Pipeline_Sort!$C854))</f>
        <v/>
      </c>
    </row>
    <row r="855" customFormat="false" ht="15" hidden="false" customHeight="false" outlineLevel="0" collapsed="false">
      <c r="A855" s="33" t="str">
        <f aca="false">IF(Pipeline_Sort!$C855="","",INDEX(Pipeline_Calc!$B$2:$B$5251,Pipeline_Sort!$C855))</f>
        <v/>
      </c>
      <c r="B855" s="0" t="str">
        <f aca="false">IF(Pipeline_Sort!$C855="","",INDEX(Pipeline_Calc!$C$2:$C$5251,Pipeline_Sort!$C855))</f>
        <v/>
      </c>
      <c r="C855" s="0" t="str">
        <f aca="false">IF(Pipeline_Sort!$C855="","",INDEX(Pipeline_Calc!$D$2:$D$5251,Pipeline_Sort!$C855))</f>
        <v/>
      </c>
      <c r="D855" s="0" t="str">
        <f aca="false">IF(Pipeline_Sort!$C855="","",INDEX(Pipeline_Calc!$E$2:$E$5251,Pipeline_Sort!$C855))</f>
        <v/>
      </c>
      <c r="E855" s="0" t="str">
        <f aca="false">IF(Pipeline_Sort!$C855="","",INDEX(Pipeline_Calc!$F$2:$F$5251,Pipeline_Sort!$C855))</f>
        <v/>
      </c>
      <c r="F855" s="0" t="str">
        <f aca="false">IF(Pipeline_Sort!$C855="","",INDEX(Pipeline_Calc!$G$2:$G$5251,Pipeline_Sort!$C855))</f>
        <v/>
      </c>
      <c r="G855" s="0" t="str">
        <f aca="false">IF(Pipeline_Sort!$C855="","",INDEX(Pipeline_Calc!$H$2:$H$5251,Pipeline_Sort!$C855))</f>
        <v/>
      </c>
      <c r="H855" s="0" t="str">
        <f aca="false">IF(Pipeline_Sort!$C855="","",INDEX(Pipeline_Calc!$I$2:$I$5251,Pipeline_Sort!$C855))</f>
        <v/>
      </c>
      <c r="I855" s="0" t="str">
        <f aca="false">IF(Pipeline_Sort!$C855="","",INDEX(Pipeline_Calc!$J$2:$J$5251,Pipeline_Sort!$C855))</f>
        <v/>
      </c>
    </row>
    <row r="856" customFormat="false" ht="15" hidden="false" customHeight="false" outlineLevel="0" collapsed="false">
      <c r="A856" s="33" t="str">
        <f aca="false">IF(Pipeline_Sort!$C856="","",INDEX(Pipeline_Calc!$B$2:$B$5251,Pipeline_Sort!$C856))</f>
        <v/>
      </c>
      <c r="B856" s="0" t="str">
        <f aca="false">IF(Pipeline_Sort!$C856="","",INDEX(Pipeline_Calc!$C$2:$C$5251,Pipeline_Sort!$C856))</f>
        <v/>
      </c>
      <c r="C856" s="0" t="str">
        <f aca="false">IF(Pipeline_Sort!$C856="","",INDEX(Pipeline_Calc!$D$2:$D$5251,Pipeline_Sort!$C856))</f>
        <v/>
      </c>
      <c r="D856" s="0" t="str">
        <f aca="false">IF(Pipeline_Sort!$C856="","",INDEX(Pipeline_Calc!$E$2:$E$5251,Pipeline_Sort!$C856))</f>
        <v/>
      </c>
      <c r="E856" s="0" t="str">
        <f aca="false">IF(Pipeline_Sort!$C856="","",INDEX(Pipeline_Calc!$F$2:$F$5251,Pipeline_Sort!$C856))</f>
        <v/>
      </c>
      <c r="F856" s="0" t="str">
        <f aca="false">IF(Pipeline_Sort!$C856="","",INDEX(Pipeline_Calc!$G$2:$G$5251,Pipeline_Sort!$C856))</f>
        <v/>
      </c>
      <c r="G856" s="0" t="str">
        <f aca="false">IF(Pipeline_Sort!$C856="","",INDEX(Pipeline_Calc!$H$2:$H$5251,Pipeline_Sort!$C856))</f>
        <v/>
      </c>
      <c r="H856" s="0" t="str">
        <f aca="false">IF(Pipeline_Sort!$C856="","",INDEX(Pipeline_Calc!$I$2:$I$5251,Pipeline_Sort!$C856))</f>
        <v/>
      </c>
      <c r="I856" s="0" t="str">
        <f aca="false">IF(Pipeline_Sort!$C856="","",INDEX(Pipeline_Calc!$J$2:$J$5251,Pipeline_Sort!$C856))</f>
        <v/>
      </c>
    </row>
    <row r="857" customFormat="false" ht="15" hidden="false" customHeight="false" outlineLevel="0" collapsed="false">
      <c r="A857" s="33" t="str">
        <f aca="false">IF(Pipeline_Sort!$C857="","",INDEX(Pipeline_Calc!$B$2:$B$5251,Pipeline_Sort!$C857))</f>
        <v/>
      </c>
      <c r="B857" s="0" t="str">
        <f aca="false">IF(Pipeline_Sort!$C857="","",INDEX(Pipeline_Calc!$C$2:$C$5251,Pipeline_Sort!$C857))</f>
        <v/>
      </c>
      <c r="C857" s="0" t="str">
        <f aca="false">IF(Pipeline_Sort!$C857="","",INDEX(Pipeline_Calc!$D$2:$D$5251,Pipeline_Sort!$C857))</f>
        <v/>
      </c>
      <c r="D857" s="0" t="str">
        <f aca="false">IF(Pipeline_Sort!$C857="","",INDEX(Pipeline_Calc!$E$2:$E$5251,Pipeline_Sort!$C857))</f>
        <v/>
      </c>
      <c r="E857" s="0" t="str">
        <f aca="false">IF(Pipeline_Sort!$C857="","",INDEX(Pipeline_Calc!$F$2:$F$5251,Pipeline_Sort!$C857))</f>
        <v/>
      </c>
      <c r="F857" s="0" t="str">
        <f aca="false">IF(Pipeline_Sort!$C857="","",INDEX(Pipeline_Calc!$G$2:$G$5251,Pipeline_Sort!$C857))</f>
        <v/>
      </c>
      <c r="G857" s="0" t="str">
        <f aca="false">IF(Pipeline_Sort!$C857="","",INDEX(Pipeline_Calc!$H$2:$H$5251,Pipeline_Sort!$C857))</f>
        <v/>
      </c>
      <c r="H857" s="0" t="str">
        <f aca="false">IF(Pipeline_Sort!$C857="","",INDEX(Pipeline_Calc!$I$2:$I$5251,Pipeline_Sort!$C857))</f>
        <v/>
      </c>
      <c r="I857" s="0" t="str">
        <f aca="false">IF(Pipeline_Sort!$C857="","",INDEX(Pipeline_Calc!$J$2:$J$5251,Pipeline_Sort!$C857))</f>
        <v/>
      </c>
    </row>
    <row r="858" customFormat="false" ht="15" hidden="false" customHeight="false" outlineLevel="0" collapsed="false">
      <c r="A858" s="33" t="str">
        <f aca="false">IF(Pipeline_Sort!$C858="","",INDEX(Pipeline_Calc!$B$2:$B$5251,Pipeline_Sort!$C858))</f>
        <v/>
      </c>
      <c r="B858" s="0" t="str">
        <f aca="false">IF(Pipeline_Sort!$C858="","",INDEX(Pipeline_Calc!$C$2:$C$5251,Pipeline_Sort!$C858))</f>
        <v/>
      </c>
      <c r="C858" s="0" t="str">
        <f aca="false">IF(Pipeline_Sort!$C858="","",INDEX(Pipeline_Calc!$D$2:$D$5251,Pipeline_Sort!$C858))</f>
        <v/>
      </c>
      <c r="D858" s="0" t="str">
        <f aca="false">IF(Pipeline_Sort!$C858="","",INDEX(Pipeline_Calc!$E$2:$E$5251,Pipeline_Sort!$C858))</f>
        <v/>
      </c>
      <c r="E858" s="0" t="str">
        <f aca="false">IF(Pipeline_Sort!$C858="","",INDEX(Pipeline_Calc!$F$2:$F$5251,Pipeline_Sort!$C858))</f>
        <v/>
      </c>
      <c r="F858" s="0" t="str">
        <f aca="false">IF(Pipeline_Sort!$C858="","",INDEX(Pipeline_Calc!$G$2:$G$5251,Pipeline_Sort!$C858))</f>
        <v/>
      </c>
      <c r="G858" s="0" t="str">
        <f aca="false">IF(Pipeline_Sort!$C858="","",INDEX(Pipeline_Calc!$H$2:$H$5251,Pipeline_Sort!$C858))</f>
        <v/>
      </c>
      <c r="H858" s="0" t="str">
        <f aca="false">IF(Pipeline_Sort!$C858="","",INDEX(Pipeline_Calc!$I$2:$I$5251,Pipeline_Sort!$C858))</f>
        <v/>
      </c>
      <c r="I858" s="0" t="str">
        <f aca="false">IF(Pipeline_Sort!$C858="","",INDEX(Pipeline_Calc!$J$2:$J$5251,Pipeline_Sort!$C858))</f>
        <v/>
      </c>
    </row>
    <row r="859" customFormat="false" ht="15" hidden="false" customHeight="false" outlineLevel="0" collapsed="false">
      <c r="A859" s="33" t="str">
        <f aca="false">IF(Pipeline_Sort!$C859="","",INDEX(Pipeline_Calc!$B$2:$B$5251,Pipeline_Sort!$C859))</f>
        <v/>
      </c>
      <c r="B859" s="0" t="str">
        <f aca="false">IF(Pipeline_Sort!$C859="","",INDEX(Pipeline_Calc!$C$2:$C$5251,Pipeline_Sort!$C859))</f>
        <v/>
      </c>
      <c r="C859" s="0" t="str">
        <f aca="false">IF(Pipeline_Sort!$C859="","",INDEX(Pipeline_Calc!$D$2:$D$5251,Pipeline_Sort!$C859))</f>
        <v/>
      </c>
      <c r="D859" s="0" t="str">
        <f aca="false">IF(Pipeline_Sort!$C859="","",INDEX(Pipeline_Calc!$E$2:$E$5251,Pipeline_Sort!$C859))</f>
        <v/>
      </c>
      <c r="E859" s="0" t="str">
        <f aca="false">IF(Pipeline_Sort!$C859="","",INDEX(Pipeline_Calc!$F$2:$F$5251,Pipeline_Sort!$C859))</f>
        <v/>
      </c>
      <c r="F859" s="0" t="str">
        <f aca="false">IF(Pipeline_Sort!$C859="","",INDEX(Pipeline_Calc!$G$2:$G$5251,Pipeline_Sort!$C859))</f>
        <v/>
      </c>
      <c r="G859" s="0" t="str">
        <f aca="false">IF(Pipeline_Sort!$C859="","",INDEX(Pipeline_Calc!$H$2:$H$5251,Pipeline_Sort!$C859))</f>
        <v/>
      </c>
      <c r="H859" s="0" t="str">
        <f aca="false">IF(Pipeline_Sort!$C859="","",INDEX(Pipeline_Calc!$I$2:$I$5251,Pipeline_Sort!$C859))</f>
        <v/>
      </c>
      <c r="I859" s="0" t="str">
        <f aca="false">IF(Pipeline_Sort!$C859="","",INDEX(Pipeline_Calc!$J$2:$J$5251,Pipeline_Sort!$C859))</f>
        <v/>
      </c>
    </row>
    <row r="860" customFormat="false" ht="15" hidden="false" customHeight="false" outlineLevel="0" collapsed="false">
      <c r="A860" s="33" t="str">
        <f aca="false">IF(Pipeline_Sort!$C860="","",INDEX(Pipeline_Calc!$B$2:$B$5251,Pipeline_Sort!$C860))</f>
        <v/>
      </c>
      <c r="B860" s="0" t="str">
        <f aca="false">IF(Pipeline_Sort!$C860="","",INDEX(Pipeline_Calc!$C$2:$C$5251,Pipeline_Sort!$C860))</f>
        <v/>
      </c>
      <c r="C860" s="0" t="str">
        <f aca="false">IF(Pipeline_Sort!$C860="","",INDEX(Pipeline_Calc!$D$2:$D$5251,Pipeline_Sort!$C860))</f>
        <v/>
      </c>
      <c r="D860" s="0" t="str">
        <f aca="false">IF(Pipeline_Sort!$C860="","",INDEX(Pipeline_Calc!$E$2:$E$5251,Pipeline_Sort!$C860))</f>
        <v/>
      </c>
      <c r="E860" s="0" t="str">
        <f aca="false">IF(Pipeline_Sort!$C860="","",INDEX(Pipeline_Calc!$F$2:$F$5251,Pipeline_Sort!$C860))</f>
        <v/>
      </c>
      <c r="F860" s="0" t="str">
        <f aca="false">IF(Pipeline_Sort!$C860="","",INDEX(Pipeline_Calc!$G$2:$G$5251,Pipeline_Sort!$C860))</f>
        <v/>
      </c>
      <c r="G860" s="0" t="str">
        <f aca="false">IF(Pipeline_Sort!$C860="","",INDEX(Pipeline_Calc!$H$2:$H$5251,Pipeline_Sort!$C860))</f>
        <v/>
      </c>
      <c r="H860" s="0" t="str">
        <f aca="false">IF(Pipeline_Sort!$C860="","",INDEX(Pipeline_Calc!$I$2:$I$5251,Pipeline_Sort!$C860))</f>
        <v/>
      </c>
      <c r="I860" s="0" t="str">
        <f aca="false">IF(Pipeline_Sort!$C860="","",INDEX(Pipeline_Calc!$J$2:$J$5251,Pipeline_Sort!$C860))</f>
        <v/>
      </c>
    </row>
    <row r="861" customFormat="false" ht="15" hidden="false" customHeight="false" outlineLevel="0" collapsed="false">
      <c r="A861" s="33" t="str">
        <f aca="false">IF(Pipeline_Sort!$C861="","",INDEX(Pipeline_Calc!$B$2:$B$5251,Pipeline_Sort!$C861))</f>
        <v/>
      </c>
      <c r="B861" s="0" t="str">
        <f aca="false">IF(Pipeline_Sort!$C861="","",INDEX(Pipeline_Calc!$C$2:$C$5251,Pipeline_Sort!$C861))</f>
        <v/>
      </c>
      <c r="C861" s="0" t="str">
        <f aca="false">IF(Pipeline_Sort!$C861="","",INDEX(Pipeline_Calc!$D$2:$D$5251,Pipeline_Sort!$C861))</f>
        <v/>
      </c>
      <c r="D861" s="0" t="str">
        <f aca="false">IF(Pipeline_Sort!$C861="","",INDEX(Pipeline_Calc!$E$2:$E$5251,Pipeline_Sort!$C861))</f>
        <v/>
      </c>
      <c r="E861" s="0" t="str">
        <f aca="false">IF(Pipeline_Sort!$C861="","",INDEX(Pipeline_Calc!$F$2:$F$5251,Pipeline_Sort!$C861))</f>
        <v/>
      </c>
      <c r="F861" s="0" t="str">
        <f aca="false">IF(Pipeline_Sort!$C861="","",INDEX(Pipeline_Calc!$G$2:$G$5251,Pipeline_Sort!$C861))</f>
        <v/>
      </c>
      <c r="G861" s="0" t="str">
        <f aca="false">IF(Pipeline_Sort!$C861="","",INDEX(Pipeline_Calc!$H$2:$H$5251,Pipeline_Sort!$C861))</f>
        <v/>
      </c>
      <c r="H861" s="0" t="str">
        <f aca="false">IF(Pipeline_Sort!$C861="","",INDEX(Pipeline_Calc!$I$2:$I$5251,Pipeline_Sort!$C861))</f>
        <v/>
      </c>
      <c r="I861" s="0" t="str">
        <f aca="false">IF(Pipeline_Sort!$C861="","",INDEX(Pipeline_Calc!$J$2:$J$5251,Pipeline_Sort!$C861))</f>
        <v/>
      </c>
    </row>
    <row r="862" customFormat="false" ht="15" hidden="false" customHeight="false" outlineLevel="0" collapsed="false">
      <c r="A862" s="33" t="str">
        <f aca="false">IF(Pipeline_Sort!$C862="","",INDEX(Pipeline_Calc!$B$2:$B$5251,Pipeline_Sort!$C862))</f>
        <v/>
      </c>
      <c r="B862" s="0" t="str">
        <f aca="false">IF(Pipeline_Sort!$C862="","",INDEX(Pipeline_Calc!$C$2:$C$5251,Pipeline_Sort!$C862))</f>
        <v/>
      </c>
      <c r="C862" s="0" t="str">
        <f aca="false">IF(Pipeline_Sort!$C862="","",INDEX(Pipeline_Calc!$D$2:$D$5251,Pipeline_Sort!$C862))</f>
        <v/>
      </c>
      <c r="D862" s="0" t="str">
        <f aca="false">IF(Pipeline_Sort!$C862="","",INDEX(Pipeline_Calc!$E$2:$E$5251,Pipeline_Sort!$C862))</f>
        <v/>
      </c>
      <c r="E862" s="0" t="str">
        <f aca="false">IF(Pipeline_Sort!$C862="","",INDEX(Pipeline_Calc!$F$2:$F$5251,Pipeline_Sort!$C862))</f>
        <v/>
      </c>
      <c r="F862" s="0" t="str">
        <f aca="false">IF(Pipeline_Sort!$C862="","",INDEX(Pipeline_Calc!$G$2:$G$5251,Pipeline_Sort!$C862))</f>
        <v/>
      </c>
      <c r="G862" s="0" t="str">
        <f aca="false">IF(Pipeline_Sort!$C862="","",INDEX(Pipeline_Calc!$H$2:$H$5251,Pipeline_Sort!$C862))</f>
        <v/>
      </c>
      <c r="H862" s="0" t="str">
        <f aca="false">IF(Pipeline_Sort!$C862="","",INDEX(Pipeline_Calc!$I$2:$I$5251,Pipeline_Sort!$C862))</f>
        <v/>
      </c>
      <c r="I862" s="0" t="str">
        <f aca="false">IF(Pipeline_Sort!$C862="","",INDEX(Pipeline_Calc!$J$2:$J$5251,Pipeline_Sort!$C862))</f>
        <v/>
      </c>
    </row>
    <row r="863" customFormat="false" ht="15" hidden="false" customHeight="false" outlineLevel="0" collapsed="false">
      <c r="A863" s="33" t="str">
        <f aca="false">IF(Pipeline_Sort!$C863="","",INDEX(Pipeline_Calc!$B$2:$B$5251,Pipeline_Sort!$C863))</f>
        <v/>
      </c>
      <c r="B863" s="0" t="str">
        <f aca="false">IF(Pipeline_Sort!$C863="","",INDEX(Pipeline_Calc!$C$2:$C$5251,Pipeline_Sort!$C863))</f>
        <v/>
      </c>
      <c r="C863" s="0" t="str">
        <f aca="false">IF(Pipeline_Sort!$C863="","",INDEX(Pipeline_Calc!$D$2:$D$5251,Pipeline_Sort!$C863))</f>
        <v/>
      </c>
      <c r="D863" s="0" t="str">
        <f aca="false">IF(Pipeline_Sort!$C863="","",INDEX(Pipeline_Calc!$E$2:$E$5251,Pipeline_Sort!$C863))</f>
        <v/>
      </c>
      <c r="E863" s="0" t="str">
        <f aca="false">IF(Pipeline_Sort!$C863="","",INDEX(Pipeline_Calc!$F$2:$F$5251,Pipeline_Sort!$C863))</f>
        <v/>
      </c>
      <c r="F863" s="0" t="str">
        <f aca="false">IF(Pipeline_Sort!$C863="","",INDEX(Pipeline_Calc!$G$2:$G$5251,Pipeline_Sort!$C863))</f>
        <v/>
      </c>
      <c r="G863" s="0" t="str">
        <f aca="false">IF(Pipeline_Sort!$C863="","",INDEX(Pipeline_Calc!$H$2:$H$5251,Pipeline_Sort!$C863))</f>
        <v/>
      </c>
      <c r="H863" s="0" t="str">
        <f aca="false">IF(Pipeline_Sort!$C863="","",INDEX(Pipeline_Calc!$I$2:$I$5251,Pipeline_Sort!$C863))</f>
        <v/>
      </c>
      <c r="I863" s="0" t="str">
        <f aca="false">IF(Pipeline_Sort!$C863="","",INDEX(Pipeline_Calc!$J$2:$J$5251,Pipeline_Sort!$C863))</f>
        <v/>
      </c>
    </row>
    <row r="864" customFormat="false" ht="15" hidden="false" customHeight="false" outlineLevel="0" collapsed="false">
      <c r="A864" s="33" t="str">
        <f aca="false">IF(Pipeline_Sort!$C864="","",INDEX(Pipeline_Calc!$B$2:$B$5251,Pipeline_Sort!$C864))</f>
        <v/>
      </c>
      <c r="B864" s="0" t="str">
        <f aca="false">IF(Pipeline_Sort!$C864="","",INDEX(Pipeline_Calc!$C$2:$C$5251,Pipeline_Sort!$C864))</f>
        <v/>
      </c>
      <c r="C864" s="0" t="str">
        <f aca="false">IF(Pipeline_Sort!$C864="","",INDEX(Pipeline_Calc!$D$2:$D$5251,Pipeline_Sort!$C864))</f>
        <v/>
      </c>
      <c r="D864" s="0" t="str">
        <f aca="false">IF(Pipeline_Sort!$C864="","",INDEX(Pipeline_Calc!$E$2:$E$5251,Pipeline_Sort!$C864))</f>
        <v/>
      </c>
      <c r="E864" s="0" t="str">
        <f aca="false">IF(Pipeline_Sort!$C864="","",INDEX(Pipeline_Calc!$F$2:$F$5251,Pipeline_Sort!$C864))</f>
        <v/>
      </c>
      <c r="F864" s="0" t="str">
        <f aca="false">IF(Pipeline_Sort!$C864="","",INDEX(Pipeline_Calc!$G$2:$G$5251,Pipeline_Sort!$C864))</f>
        <v/>
      </c>
      <c r="G864" s="0" t="str">
        <f aca="false">IF(Pipeline_Sort!$C864="","",INDEX(Pipeline_Calc!$H$2:$H$5251,Pipeline_Sort!$C864))</f>
        <v/>
      </c>
      <c r="H864" s="0" t="str">
        <f aca="false">IF(Pipeline_Sort!$C864="","",INDEX(Pipeline_Calc!$I$2:$I$5251,Pipeline_Sort!$C864))</f>
        <v/>
      </c>
      <c r="I864" s="0" t="str">
        <f aca="false">IF(Pipeline_Sort!$C864="","",INDEX(Pipeline_Calc!$J$2:$J$5251,Pipeline_Sort!$C864))</f>
        <v/>
      </c>
    </row>
    <row r="865" customFormat="false" ht="15" hidden="false" customHeight="false" outlineLevel="0" collapsed="false">
      <c r="A865" s="33" t="str">
        <f aca="false">IF(Pipeline_Sort!$C865="","",INDEX(Pipeline_Calc!$B$2:$B$5251,Pipeline_Sort!$C865))</f>
        <v/>
      </c>
      <c r="B865" s="0" t="str">
        <f aca="false">IF(Pipeline_Sort!$C865="","",INDEX(Pipeline_Calc!$C$2:$C$5251,Pipeline_Sort!$C865))</f>
        <v/>
      </c>
      <c r="C865" s="0" t="str">
        <f aca="false">IF(Pipeline_Sort!$C865="","",INDEX(Pipeline_Calc!$D$2:$D$5251,Pipeline_Sort!$C865))</f>
        <v/>
      </c>
      <c r="D865" s="0" t="str">
        <f aca="false">IF(Pipeline_Sort!$C865="","",INDEX(Pipeline_Calc!$E$2:$E$5251,Pipeline_Sort!$C865))</f>
        <v/>
      </c>
      <c r="E865" s="0" t="str">
        <f aca="false">IF(Pipeline_Sort!$C865="","",INDEX(Pipeline_Calc!$F$2:$F$5251,Pipeline_Sort!$C865))</f>
        <v/>
      </c>
      <c r="F865" s="0" t="str">
        <f aca="false">IF(Pipeline_Sort!$C865="","",INDEX(Pipeline_Calc!$G$2:$G$5251,Pipeline_Sort!$C865))</f>
        <v/>
      </c>
      <c r="G865" s="0" t="str">
        <f aca="false">IF(Pipeline_Sort!$C865="","",INDEX(Pipeline_Calc!$H$2:$H$5251,Pipeline_Sort!$C865))</f>
        <v/>
      </c>
      <c r="H865" s="0" t="str">
        <f aca="false">IF(Pipeline_Sort!$C865="","",INDEX(Pipeline_Calc!$I$2:$I$5251,Pipeline_Sort!$C865))</f>
        <v/>
      </c>
      <c r="I865" s="0" t="str">
        <f aca="false">IF(Pipeline_Sort!$C865="","",INDEX(Pipeline_Calc!$J$2:$J$5251,Pipeline_Sort!$C865))</f>
        <v/>
      </c>
    </row>
    <row r="866" customFormat="false" ht="15" hidden="false" customHeight="false" outlineLevel="0" collapsed="false">
      <c r="A866" s="33" t="str">
        <f aca="false">IF(Pipeline_Sort!$C866="","",INDEX(Pipeline_Calc!$B$2:$B$5251,Pipeline_Sort!$C866))</f>
        <v/>
      </c>
      <c r="B866" s="0" t="str">
        <f aca="false">IF(Pipeline_Sort!$C866="","",INDEX(Pipeline_Calc!$C$2:$C$5251,Pipeline_Sort!$C866))</f>
        <v/>
      </c>
      <c r="C866" s="0" t="str">
        <f aca="false">IF(Pipeline_Sort!$C866="","",INDEX(Pipeline_Calc!$D$2:$D$5251,Pipeline_Sort!$C866))</f>
        <v/>
      </c>
      <c r="D866" s="0" t="str">
        <f aca="false">IF(Pipeline_Sort!$C866="","",INDEX(Pipeline_Calc!$E$2:$E$5251,Pipeline_Sort!$C866))</f>
        <v/>
      </c>
      <c r="E866" s="0" t="str">
        <f aca="false">IF(Pipeline_Sort!$C866="","",INDEX(Pipeline_Calc!$F$2:$F$5251,Pipeline_Sort!$C866))</f>
        <v/>
      </c>
      <c r="F866" s="0" t="str">
        <f aca="false">IF(Pipeline_Sort!$C866="","",INDEX(Pipeline_Calc!$G$2:$G$5251,Pipeline_Sort!$C866))</f>
        <v/>
      </c>
      <c r="G866" s="0" t="str">
        <f aca="false">IF(Pipeline_Sort!$C866="","",INDEX(Pipeline_Calc!$H$2:$H$5251,Pipeline_Sort!$C866))</f>
        <v/>
      </c>
      <c r="H866" s="0" t="str">
        <f aca="false">IF(Pipeline_Sort!$C866="","",INDEX(Pipeline_Calc!$I$2:$I$5251,Pipeline_Sort!$C866))</f>
        <v/>
      </c>
      <c r="I866" s="0" t="str">
        <f aca="false">IF(Pipeline_Sort!$C866="","",INDEX(Pipeline_Calc!$J$2:$J$5251,Pipeline_Sort!$C866))</f>
        <v/>
      </c>
    </row>
    <row r="867" customFormat="false" ht="15" hidden="false" customHeight="false" outlineLevel="0" collapsed="false">
      <c r="A867" s="33" t="str">
        <f aca="false">IF(Pipeline_Sort!$C867="","",INDEX(Pipeline_Calc!$B$2:$B$5251,Pipeline_Sort!$C867))</f>
        <v/>
      </c>
      <c r="B867" s="0" t="str">
        <f aca="false">IF(Pipeline_Sort!$C867="","",INDEX(Pipeline_Calc!$C$2:$C$5251,Pipeline_Sort!$C867))</f>
        <v/>
      </c>
      <c r="C867" s="0" t="str">
        <f aca="false">IF(Pipeline_Sort!$C867="","",INDEX(Pipeline_Calc!$D$2:$D$5251,Pipeline_Sort!$C867))</f>
        <v/>
      </c>
      <c r="D867" s="0" t="str">
        <f aca="false">IF(Pipeline_Sort!$C867="","",INDEX(Pipeline_Calc!$E$2:$E$5251,Pipeline_Sort!$C867))</f>
        <v/>
      </c>
      <c r="E867" s="0" t="str">
        <f aca="false">IF(Pipeline_Sort!$C867="","",INDEX(Pipeline_Calc!$F$2:$F$5251,Pipeline_Sort!$C867))</f>
        <v/>
      </c>
      <c r="F867" s="0" t="str">
        <f aca="false">IF(Pipeline_Sort!$C867="","",INDEX(Pipeline_Calc!$G$2:$G$5251,Pipeline_Sort!$C867))</f>
        <v/>
      </c>
      <c r="G867" s="0" t="str">
        <f aca="false">IF(Pipeline_Sort!$C867="","",INDEX(Pipeline_Calc!$H$2:$H$5251,Pipeline_Sort!$C867))</f>
        <v/>
      </c>
      <c r="H867" s="0" t="str">
        <f aca="false">IF(Pipeline_Sort!$C867="","",INDEX(Pipeline_Calc!$I$2:$I$5251,Pipeline_Sort!$C867))</f>
        <v/>
      </c>
      <c r="I867" s="0" t="str">
        <f aca="false">IF(Pipeline_Sort!$C867="","",INDEX(Pipeline_Calc!$J$2:$J$5251,Pipeline_Sort!$C867))</f>
        <v/>
      </c>
    </row>
    <row r="868" customFormat="false" ht="15" hidden="false" customHeight="false" outlineLevel="0" collapsed="false">
      <c r="A868" s="33" t="str">
        <f aca="false">IF(Pipeline_Sort!$C868="","",INDEX(Pipeline_Calc!$B$2:$B$5251,Pipeline_Sort!$C868))</f>
        <v/>
      </c>
      <c r="B868" s="0" t="str">
        <f aca="false">IF(Pipeline_Sort!$C868="","",INDEX(Pipeline_Calc!$C$2:$C$5251,Pipeline_Sort!$C868))</f>
        <v/>
      </c>
      <c r="C868" s="0" t="str">
        <f aca="false">IF(Pipeline_Sort!$C868="","",INDEX(Pipeline_Calc!$D$2:$D$5251,Pipeline_Sort!$C868))</f>
        <v/>
      </c>
      <c r="D868" s="0" t="str">
        <f aca="false">IF(Pipeline_Sort!$C868="","",INDEX(Pipeline_Calc!$E$2:$E$5251,Pipeline_Sort!$C868))</f>
        <v/>
      </c>
      <c r="E868" s="0" t="str">
        <f aca="false">IF(Pipeline_Sort!$C868="","",INDEX(Pipeline_Calc!$F$2:$F$5251,Pipeline_Sort!$C868))</f>
        <v/>
      </c>
      <c r="F868" s="0" t="str">
        <f aca="false">IF(Pipeline_Sort!$C868="","",INDEX(Pipeline_Calc!$G$2:$G$5251,Pipeline_Sort!$C868))</f>
        <v/>
      </c>
      <c r="G868" s="0" t="str">
        <f aca="false">IF(Pipeline_Sort!$C868="","",INDEX(Pipeline_Calc!$H$2:$H$5251,Pipeline_Sort!$C868))</f>
        <v/>
      </c>
      <c r="H868" s="0" t="str">
        <f aca="false">IF(Pipeline_Sort!$C868="","",INDEX(Pipeline_Calc!$I$2:$I$5251,Pipeline_Sort!$C868))</f>
        <v/>
      </c>
      <c r="I868" s="0" t="str">
        <f aca="false">IF(Pipeline_Sort!$C868="","",INDEX(Pipeline_Calc!$J$2:$J$5251,Pipeline_Sort!$C868))</f>
        <v/>
      </c>
    </row>
    <row r="869" customFormat="false" ht="15" hidden="false" customHeight="false" outlineLevel="0" collapsed="false">
      <c r="A869" s="33" t="str">
        <f aca="false">IF(Pipeline_Sort!$C869="","",INDEX(Pipeline_Calc!$B$2:$B$5251,Pipeline_Sort!$C869))</f>
        <v/>
      </c>
      <c r="B869" s="0" t="str">
        <f aca="false">IF(Pipeline_Sort!$C869="","",INDEX(Pipeline_Calc!$C$2:$C$5251,Pipeline_Sort!$C869))</f>
        <v/>
      </c>
      <c r="C869" s="0" t="str">
        <f aca="false">IF(Pipeline_Sort!$C869="","",INDEX(Pipeline_Calc!$D$2:$D$5251,Pipeline_Sort!$C869))</f>
        <v/>
      </c>
      <c r="D869" s="0" t="str">
        <f aca="false">IF(Pipeline_Sort!$C869="","",INDEX(Pipeline_Calc!$E$2:$E$5251,Pipeline_Sort!$C869))</f>
        <v/>
      </c>
      <c r="E869" s="0" t="str">
        <f aca="false">IF(Pipeline_Sort!$C869="","",INDEX(Pipeline_Calc!$F$2:$F$5251,Pipeline_Sort!$C869))</f>
        <v/>
      </c>
      <c r="F869" s="0" t="str">
        <f aca="false">IF(Pipeline_Sort!$C869="","",INDEX(Pipeline_Calc!$G$2:$G$5251,Pipeline_Sort!$C869))</f>
        <v/>
      </c>
      <c r="G869" s="0" t="str">
        <f aca="false">IF(Pipeline_Sort!$C869="","",INDEX(Pipeline_Calc!$H$2:$H$5251,Pipeline_Sort!$C869))</f>
        <v/>
      </c>
      <c r="H869" s="0" t="str">
        <f aca="false">IF(Pipeline_Sort!$C869="","",INDEX(Pipeline_Calc!$I$2:$I$5251,Pipeline_Sort!$C869))</f>
        <v/>
      </c>
      <c r="I869" s="0" t="str">
        <f aca="false">IF(Pipeline_Sort!$C869="","",INDEX(Pipeline_Calc!$J$2:$J$5251,Pipeline_Sort!$C869))</f>
        <v/>
      </c>
    </row>
    <row r="870" customFormat="false" ht="15" hidden="false" customHeight="false" outlineLevel="0" collapsed="false">
      <c r="A870" s="33" t="str">
        <f aca="false">IF(Pipeline_Sort!$C870="","",INDEX(Pipeline_Calc!$B$2:$B$5251,Pipeline_Sort!$C870))</f>
        <v/>
      </c>
      <c r="B870" s="0" t="str">
        <f aca="false">IF(Pipeline_Sort!$C870="","",INDEX(Pipeline_Calc!$C$2:$C$5251,Pipeline_Sort!$C870))</f>
        <v/>
      </c>
      <c r="C870" s="0" t="str">
        <f aca="false">IF(Pipeline_Sort!$C870="","",INDEX(Pipeline_Calc!$D$2:$D$5251,Pipeline_Sort!$C870))</f>
        <v/>
      </c>
      <c r="D870" s="0" t="str">
        <f aca="false">IF(Pipeline_Sort!$C870="","",INDEX(Pipeline_Calc!$E$2:$E$5251,Pipeline_Sort!$C870))</f>
        <v/>
      </c>
      <c r="E870" s="0" t="str">
        <f aca="false">IF(Pipeline_Sort!$C870="","",INDEX(Pipeline_Calc!$F$2:$F$5251,Pipeline_Sort!$C870))</f>
        <v/>
      </c>
      <c r="F870" s="0" t="str">
        <f aca="false">IF(Pipeline_Sort!$C870="","",INDEX(Pipeline_Calc!$G$2:$G$5251,Pipeline_Sort!$C870))</f>
        <v/>
      </c>
      <c r="G870" s="0" t="str">
        <f aca="false">IF(Pipeline_Sort!$C870="","",INDEX(Pipeline_Calc!$H$2:$H$5251,Pipeline_Sort!$C870))</f>
        <v/>
      </c>
      <c r="H870" s="0" t="str">
        <f aca="false">IF(Pipeline_Sort!$C870="","",INDEX(Pipeline_Calc!$I$2:$I$5251,Pipeline_Sort!$C870))</f>
        <v/>
      </c>
      <c r="I870" s="0" t="str">
        <f aca="false">IF(Pipeline_Sort!$C870="","",INDEX(Pipeline_Calc!$J$2:$J$5251,Pipeline_Sort!$C870))</f>
        <v/>
      </c>
    </row>
    <row r="871" customFormat="false" ht="15" hidden="false" customHeight="false" outlineLevel="0" collapsed="false">
      <c r="A871" s="33" t="str">
        <f aca="false">IF(Pipeline_Sort!$C871="","",INDEX(Pipeline_Calc!$B$2:$B$5251,Pipeline_Sort!$C871))</f>
        <v/>
      </c>
      <c r="B871" s="0" t="str">
        <f aca="false">IF(Pipeline_Sort!$C871="","",INDEX(Pipeline_Calc!$C$2:$C$5251,Pipeline_Sort!$C871))</f>
        <v/>
      </c>
      <c r="C871" s="0" t="str">
        <f aca="false">IF(Pipeline_Sort!$C871="","",INDEX(Pipeline_Calc!$D$2:$D$5251,Pipeline_Sort!$C871))</f>
        <v/>
      </c>
      <c r="D871" s="0" t="str">
        <f aca="false">IF(Pipeline_Sort!$C871="","",INDEX(Pipeline_Calc!$E$2:$E$5251,Pipeline_Sort!$C871))</f>
        <v/>
      </c>
      <c r="E871" s="0" t="str">
        <f aca="false">IF(Pipeline_Sort!$C871="","",INDEX(Pipeline_Calc!$F$2:$F$5251,Pipeline_Sort!$C871))</f>
        <v/>
      </c>
      <c r="F871" s="0" t="str">
        <f aca="false">IF(Pipeline_Sort!$C871="","",INDEX(Pipeline_Calc!$G$2:$G$5251,Pipeline_Sort!$C871))</f>
        <v/>
      </c>
      <c r="G871" s="0" t="str">
        <f aca="false">IF(Pipeline_Sort!$C871="","",INDEX(Pipeline_Calc!$H$2:$H$5251,Pipeline_Sort!$C871))</f>
        <v/>
      </c>
      <c r="H871" s="0" t="str">
        <f aca="false">IF(Pipeline_Sort!$C871="","",INDEX(Pipeline_Calc!$I$2:$I$5251,Pipeline_Sort!$C871))</f>
        <v/>
      </c>
      <c r="I871" s="0" t="str">
        <f aca="false">IF(Pipeline_Sort!$C871="","",INDEX(Pipeline_Calc!$J$2:$J$5251,Pipeline_Sort!$C871))</f>
        <v/>
      </c>
    </row>
    <row r="872" customFormat="false" ht="15" hidden="false" customHeight="false" outlineLevel="0" collapsed="false">
      <c r="A872" s="33" t="str">
        <f aca="false">IF(Pipeline_Sort!$C872="","",INDEX(Pipeline_Calc!$B$2:$B$5251,Pipeline_Sort!$C872))</f>
        <v/>
      </c>
      <c r="B872" s="0" t="str">
        <f aca="false">IF(Pipeline_Sort!$C872="","",INDEX(Pipeline_Calc!$C$2:$C$5251,Pipeline_Sort!$C872))</f>
        <v/>
      </c>
      <c r="C872" s="0" t="str">
        <f aca="false">IF(Pipeline_Sort!$C872="","",INDEX(Pipeline_Calc!$D$2:$D$5251,Pipeline_Sort!$C872))</f>
        <v/>
      </c>
      <c r="D872" s="0" t="str">
        <f aca="false">IF(Pipeline_Sort!$C872="","",INDEX(Pipeline_Calc!$E$2:$E$5251,Pipeline_Sort!$C872))</f>
        <v/>
      </c>
      <c r="E872" s="0" t="str">
        <f aca="false">IF(Pipeline_Sort!$C872="","",INDEX(Pipeline_Calc!$F$2:$F$5251,Pipeline_Sort!$C872))</f>
        <v/>
      </c>
      <c r="F872" s="0" t="str">
        <f aca="false">IF(Pipeline_Sort!$C872="","",INDEX(Pipeline_Calc!$G$2:$G$5251,Pipeline_Sort!$C872))</f>
        <v/>
      </c>
      <c r="G872" s="0" t="str">
        <f aca="false">IF(Pipeline_Sort!$C872="","",INDEX(Pipeline_Calc!$H$2:$H$5251,Pipeline_Sort!$C872))</f>
        <v/>
      </c>
      <c r="H872" s="0" t="str">
        <f aca="false">IF(Pipeline_Sort!$C872="","",INDEX(Pipeline_Calc!$I$2:$I$5251,Pipeline_Sort!$C872))</f>
        <v/>
      </c>
      <c r="I872" s="0" t="str">
        <f aca="false">IF(Pipeline_Sort!$C872="","",INDEX(Pipeline_Calc!$J$2:$J$5251,Pipeline_Sort!$C872))</f>
        <v/>
      </c>
    </row>
    <row r="873" customFormat="false" ht="15" hidden="false" customHeight="false" outlineLevel="0" collapsed="false">
      <c r="A873" s="33" t="str">
        <f aca="false">IF(Pipeline_Sort!$C873="","",INDEX(Pipeline_Calc!$B$2:$B$5251,Pipeline_Sort!$C873))</f>
        <v/>
      </c>
      <c r="B873" s="0" t="str">
        <f aca="false">IF(Pipeline_Sort!$C873="","",INDEX(Pipeline_Calc!$C$2:$C$5251,Pipeline_Sort!$C873))</f>
        <v/>
      </c>
      <c r="C873" s="0" t="str">
        <f aca="false">IF(Pipeline_Sort!$C873="","",INDEX(Pipeline_Calc!$D$2:$D$5251,Pipeline_Sort!$C873))</f>
        <v/>
      </c>
      <c r="D873" s="0" t="str">
        <f aca="false">IF(Pipeline_Sort!$C873="","",INDEX(Pipeline_Calc!$E$2:$E$5251,Pipeline_Sort!$C873))</f>
        <v/>
      </c>
      <c r="E873" s="0" t="str">
        <f aca="false">IF(Pipeline_Sort!$C873="","",INDEX(Pipeline_Calc!$F$2:$F$5251,Pipeline_Sort!$C873))</f>
        <v/>
      </c>
      <c r="F873" s="0" t="str">
        <f aca="false">IF(Pipeline_Sort!$C873="","",INDEX(Pipeline_Calc!$G$2:$G$5251,Pipeline_Sort!$C873))</f>
        <v/>
      </c>
      <c r="G873" s="0" t="str">
        <f aca="false">IF(Pipeline_Sort!$C873="","",INDEX(Pipeline_Calc!$H$2:$H$5251,Pipeline_Sort!$C873))</f>
        <v/>
      </c>
      <c r="H873" s="0" t="str">
        <f aca="false">IF(Pipeline_Sort!$C873="","",INDEX(Pipeline_Calc!$I$2:$I$5251,Pipeline_Sort!$C873))</f>
        <v/>
      </c>
      <c r="I873" s="0" t="str">
        <f aca="false">IF(Pipeline_Sort!$C873="","",INDEX(Pipeline_Calc!$J$2:$J$5251,Pipeline_Sort!$C873))</f>
        <v/>
      </c>
    </row>
    <row r="874" customFormat="false" ht="15" hidden="false" customHeight="false" outlineLevel="0" collapsed="false">
      <c r="A874" s="33" t="str">
        <f aca="false">IF(Pipeline_Sort!$C874="","",INDEX(Pipeline_Calc!$B$2:$B$5251,Pipeline_Sort!$C874))</f>
        <v/>
      </c>
      <c r="B874" s="0" t="str">
        <f aca="false">IF(Pipeline_Sort!$C874="","",INDEX(Pipeline_Calc!$C$2:$C$5251,Pipeline_Sort!$C874))</f>
        <v/>
      </c>
      <c r="C874" s="0" t="str">
        <f aca="false">IF(Pipeline_Sort!$C874="","",INDEX(Pipeline_Calc!$D$2:$D$5251,Pipeline_Sort!$C874))</f>
        <v/>
      </c>
      <c r="D874" s="0" t="str">
        <f aca="false">IF(Pipeline_Sort!$C874="","",INDEX(Pipeline_Calc!$E$2:$E$5251,Pipeline_Sort!$C874))</f>
        <v/>
      </c>
      <c r="E874" s="0" t="str">
        <f aca="false">IF(Pipeline_Sort!$C874="","",INDEX(Pipeline_Calc!$F$2:$F$5251,Pipeline_Sort!$C874))</f>
        <v/>
      </c>
      <c r="F874" s="0" t="str">
        <f aca="false">IF(Pipeline_Sort!$C874="","",INDEX(Pipeline_Calc!$G$2:$G$5251,Pipeline_Sort!$C874))</f>
        <v/>
      </c>
      <c r="G874" s="0" t="str">
        <f aca="false">IF(Pipeline_Sort!$C874="","",INDEX(Pipeline_Calc!$H$2:$H$5251,Pipeline_Sort!$C874))</f>
        <v/>
      </c>
      <c r="H874" s="0" t="str">
        <f aca="false">IF(Pipeline_Sort!$C874="","",INDEX(Pipeline_Calc!$I$2:$I$5251,Pipeline_Sort!$C874))</f>
        <v/>
      </c>
      <c r="I874" s="0" t="str">
        <f aca="false">IF(Pipeline_Sort!$C874="","",INDEX(Pipeline_Calc!$J$2:$J$5251,Pipeline_Sort!$C874))</f>
        <v/>
      </c>
    </row>
    <row r="875" customFormat="false" ht="15" hidden="false" customHeight="false" outlineLevel="0" collapsed="false">
      <c r="A875" s="33" t="str">
        <f aca="false">IF(Pipeline_Sort!$C875="","",INDEX(Pipeline_Calc!$B$2:$B$5251,Pipeline_Sort!$C875))</f>
        <v/>
      </c>
      <c r="B875" s="0" t="str">
        <f aca="false">IF(Pipeline_Sort!$C875="","",INDEX(Pipeline_Calc!$C$2:$C$5251,Pipeline_Sort!$C875))</f>
        <v/>
      </c>
      <c r="C875" s="0" t="str">
        <f aca="false">IF(Pipeline_Sort!$C875="","",INDEX(Pipeline_Calc!$D$2:$D$5251,Pipeline_Sort!$C875))</f>
        <v/>
      </c>
      <c r="D875" s="0" t="str">
        <f aca="false">IF(Pipeline_Sort!$C875="","",INDEX(Pipeline_Calc!$E$2:$E$5251,Pipeline_Sort!$C875))</f>
        <v/>
      </c>
      <c r="E875" s="0" t="str">
        <f aca="false">IF(Pipeline_Sort!$C875="","",INDEX(Pipeline_Calc!$F$2:$F$5251,Pipeline_Sort!$C875))</f>
        <v/>
      </c>
      <c r="F875" s="0" t="str">
        <f aca="false">IF(Pipeline_Sort!$C875="","",INDEX(Pipeline_Calc!$G$2:$G$5251,Pipeline_Sort!$C875))</f>
        <v/>
      </c>
      <c r="G875" s="0" t="str">
        <f aca="false">IF(Pipeline_Sort!$C875="","",INDEX(Pipeline_Calc!$H$2:$H$5251,Pipeline_Sort!$C875))</f>
        <v/>
      </c>
      <c r="H875" s="0" t="str">
        <f aca="false">IF(Pipeline_Sort!$C875="","",INDEX(Pipeline_Calc!$I$2:$I$5251,Pipeline_Sort!$C875))</f>
        <v/>
      </c>
      <c r="I875" s="0" t="str">
        <f aca="false">IF(Pipeline_Sort!$C875="","",INDEX(Pipeline_Calc!$J$2:$J$5251,Pipeline_Sort!$C875))</f>
        <v/>
      </c>
    </row>
    <row r="876" customFormat="false" ht="15" hidden="false" customHeight="false" outlineLevel="0" collapsed="false">
      <c r="A876" s="33" t="str">
        <f aca="false">IF(Pipeline_Sort!$C876="","",INDEX(Pipeline_Calc!$B$2:$B$5251,Pipeline_Sort!$C876))</f>
        <v/>
      </c>
      <c r="B876" s="0" t="str">
        <f aca="false">IF(Pipeline_Sort!$C876="","",INDEX(Pipeline_Calc!$C$2:$C$5251,Pipeline_Sort!$C876))</f>
        <v/>
      </c>
      <c r="C876" s="0" t="str">
        <f aca="false">IF(Pipeline_Sort!$C876="","",INDEX(Pipeline_Calc!$D$2:$D$5251,Pipeline_Sort!$C876))</f>
        <v/>
      </c>
      <c r="D876" s="0" t="str">
        <f aca="false">IF(Pipeline_Sort!$C876="","",INDEX(Pipeline_Calc!$E$2:$E$5251,Pipeline_Sort!$C876))</f>
        <v/>
      </c>
      <c r="E876" s="0" t="str">
        <f aca="false">IF(Pipeline_Sort!$C876="","",INDEX(Pipeline_Calc!$F$2:$F$5251,Pipeline_Sort!$C876))</f>
        <v/>
      </c>
      <c r="F876" s="0" t="str">
        <f aca="false">IF(Pipeline_Sort!$C876="","",INDEX(Pipeline_Calc!$G$2:$G$5251,Pipeline_Sort!$C876))</f>
        <v/>
      </c>
      <c r="G876" s="0" t="str">
        <f aca="false">IF(Pipeline_Sort!$C876="","",INDEX(Pipeline_Calc!$H$2:$H$5251,Pipeline_Sort!$C876))</f>
        <v/>
      </c>
      <c r="H876" s="0" t="str">
        <f aca="false">IF(Pipeline_Sort!$C876="","",INDEX(Pipeline_Calc!$I$2:$I$5251,Pipeline_Sort!$C876))</f>
        <v/>
      </c>
      <c r="I876" s="0" t="str">
        <f aca="false">IF(Pipeline_Sort!$C876="","",INDEX(Pipeline_Calc!$J$2:$J$5251,Pipeline_Sort!$C876))</f>
        <v/>
      </c>
    </row>
    <row r="877" customFormat="false" ht="15" hidden="false" customHeight="false" outlineLevel="0" collapsed="false">
      <c r="A877" s="33" t="str">
        <f aca="false">IF(Pipeline_Sort!$C877="","",INDEX(Pipeline_Calc!$B$2:$B$5251,Pipeline_Sort!$C877))</f>
        <v/>
      </c>
      <c r="B877" s="0" t="str">
        <f aca="false">IF(Pipeline_Sort!$C877="","",INDEX(Pipeline_Calc!$C$2:$C$5251,Pipeline_Sort!$C877))</f>
        <v/>
      </c>
      <c r="C877" s="0" t="str">
        <f aca="false">IF(Pipeline_Sort!$C877="","",INDEX(Pipeline_Calc!$D$2:$D$5251,Pipeline_Sort!$C877))</f>
        <v/>
      </c>
      <c r="D877" s="0" t="str">
        <f aca="false">IF(Pipeline_Sort!$C877="","",INDEX(Pipeline_Calc!$E$2:$E$5251,Pipeline_Sort!$C877))</f>
        <v/>
      </c>
      <c r="E877" s="0" t="str">
        <f aca="false">IF(Pipeline_Sort!$C877="","",INDEX(Pipeline_Calc!$F$2:$F$5251,Pipeline_Sort!$C877))</f>
        <v/>
      </c>
      <c r="F877" s="0" t="str">
        <f aca="false">IF(Pipeline_Sort!$C877="","",INDEX(Pipeline_Calc!$G$2:$G$5251,Pipeline_Sort!$C877))</f>
        <v/>
      </c>
      <c r="G877" s="0" t="str">
        <f aca="false">IF(Pipeline_Sort!$C877="","",INDEX(Pipeline_Calc!$H$2:$H$5251,Pipeline_Sort!$C877))</f>
        <v/>
      </c>
      <c r="H877" s="0" t="str">
        <f aca="false">IF(Pipeline_Sort!$C877="","",INDEX(Pipeline_Calc!$I$2:$I$5251,Pipeline_Sort!$C877))</f>
        <v/>
      </c>
      <c r="I877" s="0" t="str">
        <f aca="false">IF(Pipeline_Sort!$C877="","",INDEX(Pipeline_Calc!$J$2:$J$5251,Pipeline_Sort!$C877))</f>
        <v/>
      </c>
    </row>
    <row r="878" customFormat="false" ht="15" hidden="false" customHeight="false" outlineLevel="0" collapsed="false">
      <c r="A878" s="33" t="str">
        <f aca="false">IF(Pipeline_Sort!$C878="","",INDEX(Pipeline_Calc!$B$2:$B$5251,Pipeline_Sort!$C878))</f>
        <v/>
      </c>
      <c r="B878" s="0" t="str">
        <f aca="false">IF(Pipeline_Sort!$C878="","",INDEX(Pipeline_Calc!$C$2:$C$5251,Pipeline_Sort!$C878))</f>
        <v/>
      </c>
      <c r="C878" s="0" t="str">
        <f aca="false">IF(Pipeline_Sort!$C878="","",INDEX(Pipeline_Calc!$D$2:$D$5251,Pipeline_Sort!$C878))</f>
        <v/>
      </c>
      <c r="D878" s="0" t="str">
        <f aca="false">IF(Pipeline_Sort!$C878="","",INDEX(Pipeline_Calc!$E$2:$E$5251,Pipeline_Sort!$C878))</f>
        <v/>
      </c>
      <c r="E878" s="0" t="str">
        <f aca="false">IF(Pipeline_Sort!$C878="","",INDEX(Pipeline_Calc!$F$2:$F$5251,Pipeline_Sort!$C878))</f>
        <v/>
      </c>
      <c r="F878" s="0" t="str">
        <f aca="false">IF(Pipeline_Sort!$C878="","",INDEX(Pipeline_Calc!$G$2:$G$5251,Pipeline_Sort!$C878))</f>
        <v/>
      </c>
      <c r="G878" s="0" t="str">
        <f aca="false">IF(Pipeline_Sort!$C878="","",INDEX(Pipeline_Calc!$H$2:$H$5251,Pipeline_Sort!$C878))</f>
        <v/>
      </c>
      <c r="H878" s="0" t="str">
        <f aca="false">IF(Pipeline_Sort!$C878="","",INDEX(Pipeline_Calc!$I$2:$I$5251,Pipeline_Sort!$C878))</f>
        <v/>
      </c>
      <c r="I878" s="0" t="str">
        <f aca="false">IF(Pipeline_Sort!$C878="","",INDEX(Pipeline_Calc!$J$2:$J$5251,Pipeline_Sort!$C878))</f>
        <v/>
      </c>
    </row>
    <row r="879" customFormat="false" ht="15" hidden="false" customHeight="false" outlineLevel="0" collapsed="false">
      <c r="A879" s="33" t="str">
        <f aca="false">IF(Pipeline_Sort!$C879="","",INDEX(Pipeline_Calc!$B$2:$B$5251,Pipeline_Sort!$C879))</f>
        <v/>
      </c>
      <c r="B879" s="0" t="str">
        <f aca="false">IF(Pipeline_Sort!$C879="","",INDEX(Pipeline_Calc!$C$2:$C$5251,Pipeline_Sort!$C879))</f>
        <v/>
      </c>
      <c r="C879" s="0" t="str">
        <f aca="false">IF(Pipeline_Sort!$C879="","",INDEX(Pipeline_Calc!$D$2:$D$5251,Pipeline_Sort!$C879))</f>
        <v/>
      </c>
      <c r="D879" s="0" t="str">
        <f aca="false">IF(Pipeline_Sort!$C879="","",INDEX(Pipeline_Calc!$E$2:$E$5251,Pipeline_Sort!$C879))</f>
        <v/>
      </c>
      <c r="E879" s="0" t="str">
        <f aca="false">IF(Pipeline_Sort!$C879="","",INDEX(Pipeline_Calc!$F$2:$F$5251,Pipeline_Sort!$C879))</f>
        <v/>
      </c>
      <c r="F879" s="0" t="str">
        <f aca="false">IF(Pipeline_Sort!$C879="","",INDEX(Pipeline_Calc!$G$2:$G$5251,Pipeline_Sort!$C879))</f>
        <v/>
      </c>
      <c r="G879" s="0" t="str">
        <f aca="false">IF(Pipeline_Sort!$C879="","",INDEX(Pipeline_Calc!$H$2:$H$5251,Pipeline_Sort!$C879))</f>
        <v/>
      </c>
      <c r="H879" s="0" t="str">
        <f aca="false">IF(Pipeline_Sort!$C879="","",INDEX(Pipeline_Calc!$I$2:$I$5251,Pipeline_Sort!$C879))</f>
        <v/>
      </c>
      <c r="I879" s="0" t="str">
        <f aca="false">IF(Pipeline_Sort!$C879="","",INDEX(Pipeline_Calc!$J$2:$J$5251,Pipeline_Sort!$C879))</f>
        <v/>
      </c>
    </row>
    <row r="880" customFormat="false" ht="15" hidden="false" customHeight="false" outlineLevel="0" collapsed="false">
      <c r="A880" s="33" t="str">
        <f aca="false">IF(Pipeline_Sort!$C880="","",INDEX(Pipeline_Calc!$B$2:$B$5251,Pipeline_Sort!$C880))</f>
        <v/>
      </c>
      <c r="B880" s="0" t="str">
        <f aca="false">IF(Pipeline_Sort!$C880="","",INDEX(Pipeline_Calc!$C$2:$C$5251,Pipeline_Sort!$C880))</f>
        <v/>
      </c>
      <c r="C880" s="0" t="str">
        <f aca="false">IF(Pipeline_Sort!$C880="","",INDEX(Pipeline_Calc!$D$2:$D$5251,Pipeline_Sort!$C880))</f>
        <v/>
      </c>
      <c r="D880" s="0" t="str">
        <f aca="false">IF(Pipeline_Sort!$C880="","",INDEX(Pipeline_Calc!$E$2:$E$5251,Pipeline_Sort!$C880))</f>
        <v/>
      </c>
      <c r="E880" s="0" t="str">
        <f aca="false">IF(Pipeline_Sort!$C880="","",INDEX(Pipeline_Calc!$F$2:$F$5251,Pipeline_Sort!$C880))</f>
        <v/>
      </c>
      <c r="F880" s="0" t="str">
        <f aca="false">IF(Pipeline_Sort!$C880="","",INDEX(Pipeline_Calc!$G$2:$G$5251,Pipeline_Sort!$C880))</f>
        <v/>
      </c>
      <c r="G880" s="0" t="str">
        <f aca="false">IF(Pipeline_Sort!$C880="","",INDEX(Pipeline_Calc!$H$2:$H$5251,Pipeline_Sort!$C880))</f>
        <v/>
      </c>
      <c r="H880" s="0" t="str">
        <f aca="false">IF(Pipeline_Sort!$C880="","",INDEX(Pipeline_Calc!$I$2:$I$5251,Pipeline_Sort!$C880))</f>
        <v/>
      </c>
      <c r="I880" s="0" t="str">
        <f aca="false">IF(Pipeline_Sort!$C880="","",INDEX(Pipeline_Calc!$J$2:$J$5251,Pipeline_Sort!$C880))</f>
        <v/>
      </c>
    </row>
    <row r="881" customFormat="false" ht="15" hidden="false" customHeight="false" outlineLevel="0" collapsed="false">
      <c r="A881" s="33" t="str">
        <f aca="false">IF(Pipeline_Sort!$C881="","",INDEX(Pipeline_Calc!$B$2:$B$5251,Pipeline_Sort!$C881))</f>
        <v/>
      </c>
      <c r="B881" s="0" t="str">
        <f aca="false">IF(Pipeline_Sort!$C881="","",INDEX(Pipeline_Calc!$C$2:$C$5251,Pipeline_Sort!$C881))</f>
        <v/>
      </c>
      <c r="C881" s="0" t="str">
        <f aca="false">IF(Pipeline_Sort!$C881="","",INDEX(Pipeline_Calc!$D$2:$D$5251,Pipeline_Sort!$C881))</f>
        <v/>
      </c>
      <c r="D881" s="0" t="str">
        <f aca="false">IF(Pipeline_Sort!$C881="","",INDEX(Pipeline_Calc!$E$2:$E$5251,Pipeline_Sort!$C881))</f>
        <v/>
      </c>
      <c r="E881" s="0" t="str">
        <f aca="false">IF(Pipeline_Sort!$C881="","",INDEX(Pipeline_Calc!$F$2:$F$5251,Pipeline_Sort!$C881))</f>
        <v/>
      </c>
      <c r="F881" s="0" t="str">
        <f aca="false">IF(Pipeline_Sort!$C881="","",INDEX(Pipeline_Calc!$G$2:$G$5251,Pipeline_Sort!$C881))</f>
        <v/>
      </c>
      <c r="G881" s="0" t="str">
        <f aca="false">IF(Pipeline_Sort!$C881="","",INDEX(Pipeline_Calc!$H$2:$H$5251,Pipeline_Sort!$C881))</f>
        <v/>
      </c>
      <c r="H881" s="0" t="str">
        <f aca="false">IF(Pipeline_Sort!$C881="","",INDEX(Pipeline_Calc!$I$2:$I$5251,Pipeline_Sort!$C881))</f>
        <v/>
      </c>
      <c r="I881" s="0" t="str">
        <f aca="false">IF(Pipeline_Sort!$C881="","",INDEX(Pipeline_Calc!$J$2:$J$5251,Pipeline_Sort!$C881))</f>
        <v/>
      </c>
    </row>
    <row r="882" customFormat="false" ht="15" hidden="false" customHeight="false" outlineLevel="0" collapsed="false">
      <c r="A882" s="33" t="str">
        <f aca="false">IF(Pipeline_Sort!$C882="","",INDEX(Pipeline_Calc!$B$2:$B$5251,Pipeline_Sort!$C882))</f>
        <v/>
      </c>
      <c r="B882" s="0" t="str">
        <f aca="false">IF(Pipeline_Sort!$C882="","",INDEX(Pipeline_Calc!$C$2:$C$5251,Pipeline_Sort!$C882))</f>
        <v/>
      </c>
      <c r="C882" s="0" t="str">
        <f aca="false">IF(Pipeline_Sort!$C882="","",INDEX(Pipeline_Calc!$D$2:$D$5251,Pipeline_Sort!$C882))</f>
        <v/>
      </c>
      <c r="D882" s="0" t="str">
        <f aca="false">IF(Pipeline_Sort!$C882="","",INDEX(Pipeline_Calc!$E$2:$E$5251,Pipeline_Sort!$C882))</f>
        <v/>
      </c>
      <c r="E882" s="0" t="str">
        <f aca="false">IF(Pipeline_Sort!$C882="","",INDEX(Pipeline_Calc!$F$2:$F$5251,Pipeline_Sort!$C882))</f>
        <v/>
      </c>
      <c r="F882" s="0" t="str">
        <f aca="false">IF(Pipeline_Sort!$C882="","",INDEX(Pipeline_Calc!$G$2:$G$5251,Pipeline_Sort!$C882))</f>
        <v/>
      </c>
      <c r="G882" s="0" t="str">
        <f aca="false">IF(Pipeline_Sort!$C882="","",INDEX(Pipeline_Calc!$H$2:$H$5251,Pipeline_Sort!$C882))</f>
        <v/>
      </c>
      <c r="H882" s="0" t="str">
        <f aca="false">IF(Pipeline_Sort!$C882="","",INDEX(Pipeline_Calc!$I$2:$I$5251,Pipeline_Sort!$C882))</f>
        <v/>
      </c>
      <c r="I882" s="0" t="str">
        <f aca="false">IF(Pipeline_Sort!$C882="","",INDEX(Pipeline_Calc!$J$2:$J$5251,Pipeline_Sort!$C882))</f>
        <v/>
      </c>
    </row>
    <row r="883" customFormat="false" ht="15" hidden="false" customHeight="false" outlineLevel="0" collapsed="false">
      <c r="A883" s="33" t="str">
        <f aca="false">IF(Pipeline_Sort!$C883="","",INDEX(Pipeline_Calc!$B$2:$B$5251,Pipeline_Sort!$C883))</f>
        <v/>
      </c>
      <c r="B883" s="0" t="str">
        <f aca="false">IF(Pipeline_Sort!$C883="","",INDEX(Pipeline_Calc!$C$2:$C$5251,Pipeline_Sort!$C883))</f>
        <v/>
      </c>
      <c r="C883" s="0" t="str">
        <f aca="false">IF(Pipeline_Sort!$C883="","",INDEX(Pipeline_Calc!$D$2:$D$5251,Pipeline_Sort!$C883))</f>
        <v/>
      </c>
      <c r="D883" s="0" t="str">
        <f aca="false">IF(Pipeline_Sort!$C883="","",INDEX(Pipeline_Calc!$E$2:$E$5251,Pipeline_Sort!$C883))</f>
        <v/>
      </c>
      <c r="E883" s="0" t="str">
        <f aca="false">IF(Pipeline_Sort!$C883="","",INDEX(Pipeline_Calc!$F$2:$F$5251,Pipeline_Sort!$C883))</f>
        <v/>
      </c>
      <c r="F883" s="0" t="str">
        <f aca="false">IF(Pipeline_Sort!$C883="","",INDEX(Pipeline_Calc!$G$2:$G$5251,Pipeline_Sort!$C883))</f>
        <v/>
      </c>
      <c r="G883" s="0" t="str">
        <f aca="false">IF(Pipeline_Sort!$C883="","",INDEX(Pipeline_Calc!$H$2:$H$5251,Pipeline_Sort!$C883))</f>
        <v/>
      </c>
      <c r="H883" s="0" t="str">
        <f aca="false">IF(Pipeline_Sort!$C883="","",INDEX(Pipeline_Calc!$I$2:$I$5251,Pipeline_Sort!$C883))</f>
        <v/>
      </c>
      <c r="I883" s="0" t="str">
        <f aca="false">IF(Pipeline_Sort!$C883="","",INDEX(Pipeline_Calc!$J$2:$J$5251,Pipeline_Sort!$C883))</f>
        <v/>
      </c>
    </row>
    <row r="884" customFormat="false" ht="15" hidden="false" customHeight="false" outlineLevel="0" collapsed="false">
      <c r="A884" s="33" t="str">
        <f aca="false">IF(Pipeline_Sort!$C884="","",INDEX(Pipeline_Calc!$B$2:$B$5251,Pipeline_Sort!$C884))</f>
        <v/>
      </c>
      <c r="B884" s="0" t="str">
        <f aca="false">IF(Pipeline_Sort!$C884="","",INDEX(Pipeline_Calc!$C$2:$C$5251,Pipeline_Sort!$C884))</f>
        <v/>
      </c>
      <c r="C884" s="0" t="str">
        <f aca="false">IF(Pipeline_Sort!$C884="","",INDEX(Pipeline_Calc!$D$2:$D$5251,Pipeline_Sort!$C884))</f>
        <v/>
      </c>
      <c r="D884" s="0" t="str">
        <f aca="false">IF(Pipeline_Sort!$C884="","",INDEX(Pipeline_Calc!$E$2:$E$5251,Pipeline_Sort!$C884))</f>
        <v/>
      </c>
      <c r="E884" s="0" t="str">
        <f aca="false">IF(Pipeline_Sort!$C884="","",INDEX(Pipeline_Calc!$F$2:$F$5251,Pipeline_Sort!$C884))</f>
        <v/>
      </c>
      <c r="F884" s="0" t="str">
        <f aca="false">IF(Pipeline_Sort!$C884="","",INDEX(Pipeline_Calc!$G$2:$G$5251,Pipeline_Sort!$C884))</f>
        <v/>
      </c>
      <c r="G884" s="0" t="str">
        <f aca="false">IF(Pipeline_Sort!$C884="","",INDEX(Pipeline_Calc!$H$2:$H$5251,Pipeline_Sort!$C884))</f>
        <v/>
      </c>
      <c r="H884" s="0" t="str">
        <f aca="false">IF(Pipeline_Sort!$C884="","",INDEX(Pipeline_Calc!$I$2:$I$5251,Pipeline_Sort!$C884))</f>
        <v/>
      </c>
      <c r="I884" s="0" t="str">
        <f aca="false">IF(Pipeline_Sort!$C884="","",INDEX(Pipeline_Calc!$J$2:$J$5251,Pipeline_Sort!$C884))</f>
        <v/>
      </c>
    </row>
    <row r="885" customFormat="false" ht="15" hidden="false" customHeight="false" outlineLevel="0" collapsed="false">
      <c r="A885" s="33" t="str">
        <f aca="false">IF(Pipeline_Sort!$C885="","",INDEX(Pipeline_Calc!$B$2:$B$5251,Pipeline_Sort!$C885))</f>
        <v/>
      </c>
      <c r="B885" s="0" t="str">
        <f aca="false">IF(Pipeline_Sort!$C885="","",INDEX(Pipeline_Calc!$C$2:$C$5251,Pipeline_Sort!$C885))</f>
        <v/>
      </c>
      <c r="C885" s="0" t="str">
        <f aca="false">IF(Pipeline_Sort!$C885="","",INDEX(Pipeline_Calc!$D$2:$D$5251,Pipeline_Sort!$C885))</f>
        <v/>
      </c>
      <c r="D885" s="0" t="str">
        <f aca="false">IF(Pipeline_Sort!$C885="","",INDEX(Pipeline_Calc!$E$2:$E$5251,Pipeline_Sort!$C885))</f>
        <v/>
      </c>
      <c r="E885" s="0" t="str">
        <f aca="false">IF(Pipeline_Sort!$C885="","",INDEX(Pipeline_Calc!$F$2:$F$5251,Pipeline_Sort!$C885))</f>
        <v/>
      </c>
      <c r="F885" s="0" t="str">
        <f aca="false">IF(Pipeline_Sort!$C885="","",INDEX(Pipeline_Calc!$G$2:$G$5251,Pipeline_Sort!$C885))</f>
        <v/>
      </c>
      <c r="G885" s="0" t="str">
        <f aca="false">IF(Pipeline_Sort!$C885="","",INDEX(Pipeline_Calc!$H$2:$H$5251,Pipeline_Sort!$C885))</f>
        <v/>
      </c>
      <c r="H885" s="0" t="str">
        <f aca="false">IF(Pipeline_Sort!$C885="","",INDEX(Pipeline_Calc!$I$2:$I$5251,Pipeline_Sort!$C885))</f>
        <v/>
      </c>
      <c r="I885" s="0" t="str">
        <f aca="false">IF(Pipeline_Sort!$C885="","",INDEX(Pipeline_Calc!$J$2:$J$5251,Pipeline_Sort!$C885))</f>
        <v/>
      </c>
    </row>
    <row r="886" customFormat="false" ht="15" hidden="false" customHeight="false" outlineLevel="0" collapsed="false">
      <c r="A886" s="33" t="str">
        <f aca="false">IF(Pipeline_Sort!$C886="","",INDEX(Pipeline_Calc!$B$2:$B$5251,Pipeline_Sort!$C886))</f>
        <v/>
      </c>
      <c r="B886" s="0" t="str">
        <f aca="false">IF(Pipeline_Sort!$C886="","",INDEX(Pipeline_Calc!$C$2:$C$5251,Pipeline_Sort!$C886))</f>
        <v/>
      </c>
      <c r="C886" s="0" t="str">
        <f aca="false">IF(Pipeline_Sort!$C886="","",INDEX(Pipeline_Calc!$D$2:$D$5251,Pipeline_Sort!$C886))</f>
        <v/>
      </c>
      <c r="D886" s="0" t="str">
        <f aca="false">IF(Pipeline_Sort!$C886="","",INDEX(Pipeline_Calc!$E$2:$E$5251,Pipeline_Sort!$C886))</f>
        <v/>
      </c>
      <c r="E886" s="0" t="str">
        <f aca="false">IF(Pipeline_Sort!$C886="","",INDEX(Pipeline_Calc!$F$2:$F$5251,Pipeline_Sort!$C886))</f>
        <v/>
      </c>
      <c r="F886" s="0" t="str">
        <f aca="false">IF(Pipeline_Sort!$C886="","",INDEX(Pipeline_Calc!$G$2:$G$5251,Pipeline_Sort!$C886))</f>
        <v/>
      </c>
      <c r="G886" s="0" t="str">
        <f aca="false">IF(Pipeline_Sort!$C886="","",INDEX(Pipeline_Calc!$H$2:$H$5251,Pipeline_Sort!$C886))</f>
        <v/>
      </c>
      <c r="H886" s="0" t="str">
        <f aca="false">IF(Pipeline_Sort!$C886="","",INDEX(Pipeline_Calc!$I$2:$I$5251,Pipeline_Sort!$C886))</f>
        <v/>
      </c>
      <c r="I886" s="0" t="str">
        <f aca="false">IF(Pipeline_Sort!$C886="","",INDEX(Pipeline_Calc!$J$2:$J$5251,Pipeline_Sort!$C886))</f>
        <v/>
      </c>
    </row>
    <row r="887" customFormat="false" ht="15" hidden="false" customHeight="false" outlineLevel="0" collapsed="false">
      <c r="A887" s="33" t="str">
        <f aca="false">IF(Pipeline_Sort!$C887="","",INDEX(Pipeline_Calc!$B$2:$B$5251,Pipeline_Sort!$C887))</f>
        <v/>
      </c>
      <c r="B887" s="0" t="str">
        <f aca="false">IF(Pipeline_Sort!$C887="","",INDEX(Pipeline_Calc!$C$2:$C$5251,Pipeline_Sort!$C887))</f>
        <v/>
      </c>
      <c r="C887" s="0" t="str">
        <f aca="false">IF(Pipeline_Sort!$C887="","",INDEX(Pipeline_Calc!$D$2:$D$5251,Pipeline_Sort!$C887))</f>
        <v/>
      </c>
      <c r="D887" s="0" t="str">
        <f aca="false">IF(Pipeline_Sort!$C887="","",INDEX(Pipeline_Calc!$E$2:$E$5251,Pipeline_Sort!$C887))</f>
        <v/>
      </c>
      <c r="E887" s="0" t="str">
        <f aca="false">IF(Pipeline_Sort!$C887="","",INDEX(Pipeline_Calc!$F$2:$F$5251,Pipeline_Sort!$C887))</f>
        <v/>
      </c>
      <c r="F887" s="0" t="str">
        <f aca="false">IF(Pipeline_Sort!$C887="","",INDEX(Pipeline_Calc!$G$2:$G$5251,Pipeline_Sort!$C887))</f>
        <v/>
      </c>
      <c r="G887" s="0" t="str">
        <f aca="false">IF(Pipeline_Sort!$C887="","",INDEX(Pipeline_Calc!$H$2:$H$5251,Pipeline_Sort!$C887))</f>
        <v/>
      </c>
      <c r="H887" s="0" t="str">
        <f aca="false">IF(Pipeline_Sort!$C887="","",INDEX(Pipeline_Calc!$I$2:$I$5251,Pipeline_Sort!$C887))</f>
        <v/>
      </c>
      <c r="I887" s="0" t="str">
        <f aca="false">IF(Pipeline_Sort!$C887="","",INDEX(Pipeline_Calc!$J$2:$J$5251,Pipeline_Sort!$C887))</f>
        <v/>
      </c>
    </row>
    <row r="888" customFormat="false" ht="15" hidden="false" customHeight="false" outlineLevel="0" collapsed="false">
      <c r="A888" s="33" t="str">
        <f aca="false">IF(Pipeline_Sort!$C888="","",INDEX(Pipeline_Calc!$B$2:$B$5251,Pipeline_Sort!$C888))</f>
        <v/>
      </c>
      <c r="B888" s="0" t="str">
        <f aca="false">IF(Pipeline_Sort!$C888="","",INDEX(Pipeline_Calc!$C$2:$C$5251,Pipeline_Sort!$C888))</f>
        <v/>
      </c>
      <c r="C888" s="0" t="str">
        <f aca="false">IF(Pipeline_Sort!$C888="","",INDEX(Pipeline_Calc!$D$2:$D$5251,Pipeline_Sort!$C888))</f>
        <v/>
      </c>
      <c r="D888" s="0" t="str">
        <f aca="false">IF(Pipeline_Sort!$C888="","",INDEX(Pipeline_Calc!$E$2:$E$5251,Pipeline_Sort!$C888))</f>
        <v/>
      </c>
      <c r="E888" s="0" t="str">
        <f aca="false">IF(Pipeline_Sort!$C888="","",INDEX(Pipeline_Calc!$F$2:$F$5251,Pipeline_Sort!$C888))</f>
        <v/>
      </c>
      <c r="F888" s="0" t="str">
        <f aca="false">IF(Pipeline_Sort!$C888="","",INDEX(Pipeline_Calc!$G$2:$G$5251,Pipeline_Sort!$C888))</f>
        <v/>
      </c>
      <c r="G888" s="0" t="str">
        <f aca="false">IF(Pipeline_Sort!$C888="","",INDEX(Pipeline_Calc!$H$2:$H$5251,Pipeline_Sort!$C888))</f>
        <v/>
      </c>
      <c r="H888" s="0" t="str">
        <f aca="false">IF(Pipeline_Sort!$C888="","",INDEX(Pipeline_Calc!$I$2:$I$5251,Pipeline_Sort!$C888))</f>
        <v/>
      </c>
      <c r="I888" s="0" t="str">
        <f aca="false">IF(Pipeline_Sort!$C888="","",INDEX(Pipeline_Calc!$J$2:$J$5251,Pipeline_Sort!$C888))</f>
        <v/>
      </c>
    </row>
    <row r="889" customFormat="false" ht="15" hidden="false" customHeight="false" outlineLevel="0" collapsed="false">
      <c r="A889" s="33" t="str">
        <f aca="false">IF(Pipeline_Sort!$C889="","",INDEX(Pipeline_Calc!$B$2:$B$5251,Pipeline_Sort!$C889))</f>
        <v/>
      </c>
      <c r="B889" s="0" t="str">
        <f aca="false">IF(Pipeline_Sort!$C889="","",INDEX(Pipeline_Calc!$C$2:$C$5251,Pipeline_Sort!$C889))</f>
        <v/>
      </c>
      <c r="C889" s="0" t="str">
        <f aca="false">IF(Pipeline_Sort!$C889="","",INDEX(Pipeline_Calc!$D$2:$D$5251,Pipeline_Sort!$C889))</f>
        <v/>
      </c>
      <c r="D889" s="0" t="str">
        <f aca="false">IF(Pipeline_Sort!$C889="","",INDEX(Pipeline_Calc!$E$2:$E$5251,Pipeline_Sort!$C889))</f>
        <v/>
      </c>
      <c r="E889" s="0" t="str">
        <f aca="false">IF(Pipeline_Sort!$C889="","",INDEX(Pipeline_Calc!$F$2:$F$5251,Pipeline_Sort!$C889))</f>
        <v/>
      </c>
      <c r="F889" s="0" t="str">
        <f aca="false">IF(Pipeline_Sort!$C889="","",INDEX(Pipeline_Calc!$G$2:$G$5251,Pipeline_Sort!$C889))</f>
        <v/>
      </c>
      <c r="G889" s="0" t="str">
        <f aca="false">IF(Pipeline_Sort!$C889="","",INDEX(Pipeline_Calc!$H$2:$H$5251,Pipeline_Sort!$C889))</f>
        <v/>
      </c>
      <c r="H889" s="0" t="str">
        <f aca="false">IF(Pipeline_Sort!$C889="","",INDEX(Pipeline_Calc!$I$2:$I$5251,Pipeline_Sort!$C889))</f>
        <v/>
      </c>
      <c r="I889" s="0" t="str">
        <f aca="false">IF(Pipeline_Sort!$C889="","",INDEX(Pipeline_Calc!$J$2:$J$5251,Pipeline_Sort!$C889))</f>
        <v/>
      </c>
    </row>
    <row r="890" customFormat="false" ht="15" hidden="false" customHeight="false" outlineLevel="0" collapsed="false">
      <c r="A890" s="33" t="str">
        <f aca="false">IF(Pipeline_Sort!$C890="","",INDEX(Pipeline_Calc!$B$2:$B$5251,Pipeline_Sort!$C890))</f>
        <v/>
      </c>
      <c r="B890" s="0" t="str">
        <f aca="false">IF(Pipeline_Sort!$C890="","",INDEX(Pipeline_Calc!$C$2:$C$5251,Pipeline_Sort!$C890))</f>
        <v/>
      </c>
      <c r="C890" s="0" t="str">
        <f aca="false">IF(Pipeline_Sort!$C890="","",INDEX(Pipeline_Calc!$D$2:$D$5251,Pipeline_Sort!$C890))</f>
        <v/>
      </c>
      <c r="D890" s="0" t="str">
        <f aca="false">IF(Pipeline_Sort!$C890="","",INDEX(Pipeline_Calc!$E$2:$E$5251,Pipeline_Sort!$C890))</f>
        <v/>
      </c>
      <c r="E890" s="0" t="str">
        <f aca="false">IF(Pipeline_Sort!$C890="","",INDEX(Pipeline_Calc!$F$2:$F$5251,Pipeline_Sort!$C890))</f>
        <v/>
      </c>
      <c r="F890" s="0" t="str">
        <f aca="false">IF(Pipeline_Sort!$C890="","",INDEX(Pipeline_Calc!$G$2:$G$5251,Pipeline_Sort!$C890))</f>
        <v/>
      </c>
      <c r="G890" s="0" t="str">
        <f aca="false">IF(Pipeline_Sort!$C890="","",INDEX(Pipeline_Calc!$H$2:$H$5251,Pipeline_Sort!$C890))</f>
        <v/>
      </c>
      <c r="H890" s="0" t="str">
        <f aca="false">IF(Pipeline_Sort!$C890="","",INDEX(Pipeline_Calc!$I$2:$I$5251,Pipeline_Sort!$C890))</f>
        <v/>
      </c>
      <c r="I890" s="0" t="str">
        <f aca="false">IF(Pipeline_Sort!$C890="","",INDEX(Pipeline_Calc!$J$2:$J$5251,Pipeline_Sort!$C890))</f>
        <v/>
      </c>
    </row>
    <row r="891" customFormat="false" ht="15" hidden="false" customHeight="false" outlineLevel="0" collapsed="false">
      <c r="A891" s="33" t="str">
        <f aca="false">IF(Pipeline_Sort!$C891="","",INDEX(Pipeline_Calc!$B$2:$B$5251,Pipeline_Sort!$C891))</f>
        <v/>
      </c>
      <c r="B891" s="0" t="str">
        <f aca="false">IF(Pipeline_Sort!$C891="","",INDEX(Pipeline_Calc!$C$2:$C$5251,Pipeline_Sort!$C891))</f>
        <v/>
      </c>
      <c r="C891" s="0" t="str">
        <f aca="false">IF(Pipeline_Sort!$C891="","",INDEX(Pipeline_Calc!$D$2:$D$5251,Pipeline_Sort!$C891))</f>
        <v/>
      </c>
      <c r="D891" s="0" t="str">
        <f aca="false">IF(Pipeline_Sort!$C891="","",INDEX(Pipeline_Calc!$E$2:$E$5251,Pipeline_Sort!$C891))</f>
        <v/>
      </c>
      <c r="E891" s="0" t="str">
        <f aca="false">IF(Pipeline_Sort!$C891="","",INDEX(Pipeline_Calc!$F$2:$F$5251,Pipeline_Sort!$C891))</f>
        <v/>
      </c>
      <c r="F891" s="0" t="str">
        <f aca="false">IF(Pipeline_Sort!$C891="","",INDEX(Pipeline_Calc!$G$2:$G$5251,Pipeline_Sort!$C891))</f>
        <v/>
      </c>
      <c r="G891" s="0" t="str">
        <f aca="false">IF(Pipeline_Sort!$C891="","",INDEX(Pipeline_Calc!$H$2:$H$5251,Pipeline_Sort!$C891))</f>
        <v/>
      </c>
      <c r="H891" s="0" t="str">
        <f aca="false">IF(Pipeline_Sort!$C891="","",INDEX(Pipeline_Calc!$I$2:$I$5251,Pipeline_Sort!$C891))</f>
        <v/>
      </c>
      <c r="I891" s="0" t="str">
        <f aca="false">IF(Pipeline_Sort!$C891="","",INDEX(Pipeline_Calc!$J$2:$J$5251,Pipeline_Sort!$C891))</f>
        <v/>
      </c>
    </row>
    <row r="892" customFormat="false" ht="15" hidden="false" customHeight="false" outlineLevel="0" collapsed="false">
      <c r="A892" s="33" t="str">
        <f aca="false">IF(Pipeline_Sort!$C892="","",INDEX(Pipeline_Calc!$B$2:$B$5251,Pipeline_Sort!$C892))</f>
        <v/>
      </c>
      <c r="B892" s="0" t="str">
        <f aca="false">IF(Pipeline_Sort!$C892="","",INDEX(Pipeline_Calc!$C$2:$C$5251,Pipeline_Sort!$C892))</f>
        <v/>
      </c>
      <c r="C892" s="0" t="str">
        <f aca="false">IF(Pipeline_Sort!$C892="","",INDEX(Pipeline_Calc!$D$2:$D$5251,Pipeline_Sort!$C892))</f>
        <v/>
      </c>
      <c r="D892" s="0" t="str">
        <f aca="false">IF(Pipeline_Sort!$C892="","",INDEX(Pipeline_Calc!$E$2:$E$5251,Pipeline_Sort!$C892))</f>
        <v/>
      </c>
      <c r="E892" s="0" t="str">
        <f aca="false">IF(Pipeline_Sort!$C892="","",INDEX(Pipeline_Calc!$F$2:$F$5251,Pipeline_Sort!$C892))</f>
        <v/>
      </c>
      <c r="F892" s="0" t="str">
        <f aca="false">IF(Pipeline_Sort!$C892="","",INDEX(Pipeline_Calc!$G$2:$G$5251,Pipeline_Sort!$C892))</f>
        <v/>
      </c>
      <c r="G892" s="0" t="str">
        <f aca="false">IF(Pipeline_Sort!$C892="","",INDEX(Pipeline_Calc!$H$2:$H$5251,Pipeline_Sort!$C892))</f>
        <v/>
      </c>
      <c r="H892" s="0" t="str">
        <f aca="false">IF(Pipeline_Sort!$C892="","",INDEX(Pipeline_Calc!$I$2:$I$5251,Pipeline_Sort!$C892))</f>
        <v/>
      </c>
      <c r="I892" s="0" t="str">
        <f aca="false">IF(Pipeline_Sort!$C892="","",INDEX(Pipeline_Calc!$J$2:$J$5251,Pipeline_Sort!$C892))</f>
        <v/>
      </c>
    </row>
    <row r="893" customFormat="false" ht="15" hidden="false" customHeight="false" outlineLevel="0" collapsed="false">
      <c r="A893" s="33" t="str">
        <f aca="false">IF(Pipeline_Sort!$C893="","",INDEX(Pipeline_Calc!$B$2:$B$5251,Pipeline_Sort!$C893))</f>
        <v/>
      </c>
      <c r="B893" s="0" t="str">
        <f aca="false">IF(Pipeline_Sort!$C893="","",INDEX(Pipeline_Calc!$C$2:$C$5251,Pipeline_Sort!$C893))</f>
        <v/>
      </c>
      <c r="C893" s="0" t="str">
        <f aca="false">IF(Pipeline_Sort!$C893="","",INDEX(Pipeline_Calc!$D$2:$D$5251,Pipeline_Sort!$C893))</f>
        <v/>
      </c>
      <c r="D893" s="0" t="str">
        <f aca="false">IF(Pipeline_Sort!$C893="","",INDEX(Pipeline_Calc!$E$2:$E$5251,Pipeline_Sort!$C893))</f>
        <v/>
      </c>
      <c r="E893" s="0" t="str">
        <f aca="false">IF(Pipeline_Sort!$C893="","",INDEX(Pipeline_Calc!$F$2:$F$5251,Pipeline_Sort!$C893))</f>
        <v/>
      </c>
      <c r="F893" s="0" t="str">
        <f aca="false">IF(Pipeline_Sort!$C893="","",INDEX(Pipeline_Calc!$G$2:$G$5251,Pipeline_Sort!$C893))</f>
        <v/>
      </c>
      <c r="G893" s="0" t="str">
        <f aca="false">IF(Pipeline_Sort!$C893="","",INDEX(Pipeline_Calc!$H$2:$H$5251,Pipeline_Sort!$C893))</f>
        <v/>
      </c>
      <c r="H893" s="0" t="str">
        <f aca="false">IF(Pipeline_Sort!$C893="","",INDEX(Pipeline_Calc!$I$2:$I$5251,Pipeline_Sort!$C893))</f>
        <v/>
      </c>
      <c r="I893" s="0" t="str">
        <f aca="false">IF(Pipeline_Sort!$C893="","",INDEX(Pipeline_Calc!$J$2:$J$5251,Pipeline_Sort!$C893))</f>
        <v/>
      </c>
    </row>
    <row r="894" customFormat="false" ht="15" hidden="false" customHeight="false" outlineLevel="0" collapsed="false">
      <c r="A894" s="33" t="str">
        <f aca="false">IF(Pipeline_Sort!$C894="","",INDEX(Pipeline_Calc!$B$2:$B$5251,Pipeline_Sort!$C894))</f>
        <v/>
      </c>
      <c r="B894" s="0" t="str">
        <f aca="false">IF(Pipeline_Sort!$C894="","",INDEX(Pipeline_Calc!$C$2:$C$5251,Pipeline_Sort!$C894))</f>
        <v/>
      </c>
      <c r="C894" s="0" t="str">
        <f aca="false">IF(Pipeline_Sort!$C894="","",INDEX(Pipeline_Calc!$D$2:$D$5251,Pipeline_Sort!$C894))</f>
        <v/>
      </c>
      <c r="D894" s="0" t="str">
        <f aca="false">IF(Pipeline_Sort!$C894="","",INDEX(Pipeline_Calc!$E$2:$E$5251,Pipeline_Sort!$C894))</f>
        <v/>
      </c>
      <c r="E894" s="0" t="str">
        <f aca="false">IF(Pipeline_Sort!$C894="","",INDEX(Pipeline_Calc!$F$2:$F$5251,Pipeline_Sort!$C894))</f>
        <v/>
      </c>
      <c r="F894" s="0" t="str">
        <f aca="false">IF(Pipeline_Sort!$C894="","",INDEX(Pipeline_Calc!$G$2:$G$5251,Pipeline_Sort!$C894))</f>
        <v/>
      </c>
      <c r="G894" s="0" t="str">
        <f aca="false">IF(Pipeline_Sort!$C894="","",INDEX(Pipeline_Calc!$H$2:$H$5251,Pipeline_Sort!$C894))</f>
        <v/>
      </c>
      <c r="H894" s="0" t="str">
        <f aca="false">IF(Pipeline_Sort!$C894="","",INDEX(Pipeline_Calc!$I$2:$I$5251,Pipeline_Sort!$C894))</f>
        <v/>
      </c>
      <c r="I894" s="0" t="str">
        <f aca="false">IF(Pipeline_Sort!$C894="","",INDEX(Pipeline_Calc!$J$2:$J$5251,Pipeline_Sort!$C894))</f>
        <v/>
      </c>
    </row>
    <row r="895" customFormat="false" ht="15" hidden="false" customHeight="false" outlineLevel="0" collapsed="false">
      <c r="A895" s="33" t="str">
        <f aca="false">IF(Pipeline_Sort!$C895="","",INDEX(Pipeline_Calc!$B$2:$B$5251,Pipeline_Sort!$C895))</f>
        <v/>
      </c>
      <c r="B895" s="0" t="str">
        <f aca="false">IF(Pipeline_Sort!$C895="","",INDEX(Pipeline_Calc!$C$2:$C$5251,Pipeline_Sort!$C895))</f>
        <v/>
      </c>
      <c r="C895" s="0" t="str">
        <f aca="false">IF(Pipeline_Sort!$C895="","",INDEX(Pipeline_Calc!$D$2:$D$5251,Pipeline_Sort!$C895))</f>
        <v/>
      </c>
      <c r="D895" s="0" t="str">
        <f aca="false">IF(Pipeline_Sort!$C895="","",INDEX(Pipeline_Calc!$E$2:$E$5251,Pipeline_Sort!$C895))</f>
        <v/>
      </c>
      <c r="E895" s="0" t="str">
        <f aca="false">IF(Pipeline_Sort!$C895="","",INDEX(Pipeline_Calc!$F$2:$F$5251,Pipeline_Sort!$C895))</f>
        <v/>
      </c>
      <c r="F895" s="0" t="str">
        <f aca="false">IF(Pipeline_Sort!$C895="","",INDEX(Pipeline_Calc!$G$2:$G$5251,Pipeline_Sort!$C895))</f>
        <v/>
      </c>
      <c r="G895" s="0" t="str">
        <f aca="false">IF(Pipeline_Sort!$C895="","",INDEX(Pipeline_Calc!$H$2:$H$5251,Pipeline_Sort!$C895))</f>
        <v/>
      </c>
      <c r="H895" s="0" t="str">
        <f aca="false">IF(Pipeline_Sort!$C895="","",INDEX(Pipeline_Calc!$I$2:$I$5251,Pipeline_Sort!$C895))</f>
        <v/>
      </c>
      <c r="I895" s="0" t="str">
        <f aca="false">IF(Pipeline_Sort!$C895="","",INDEX(Pipeline_Calc!$J$2:$J$5251,Pipeline_Sort!$C895))</f>
        <v/>
      </c>
    </row>
    <row r="896" customFormat="false" ht="15" hidden="false" customHeight="false" outlineLevel="0" collapsed="false">
      <c r="A896" s="33" t="str">
        <f aca="false">IF(Pipeline_Sort!$C896="","",INDEX(Pipeline_Calc!$B$2:$B$5251,Pipeline_Sort!$C896))</f>
        <v/>
      </c>
      <c r="B896" s="0" t="str">
        <f aca="false">IF(Pipeline_Sort!$C896="","",INDEX(Pipeline_Calc!$C$2:$C$5251,Pipeline_Sort!$C896))</f>
        <v/>
      </c>
      <c r="C896" s="0" t="str">
        <f aca="false">IF(Pipeline_Sort!$C896="","",INDEX(Pipeline_Calc!$D$2:$D$5251,Pipeline_Sort!$C896))</f>
        <v/>
      </c>
      <c r="D896" s="0" t="str">
        <f aca="false">IF(Pipeline_Sort!$C896="","",INDEX(Pipeline_Calc!$E$2:$E$5251,Pipeline_Sort!$C896))</f>
        <v/>
      </c>
      <c r="E896" s="0" t="str">
        <f aca="false">IF(Pipeline_Sort!$C896="","",INDEX(Pipeline_Calc!$F$2:$F$5251,Pipeline_Sort!$C896))</f>
        <v/>
      </c>
      <c r="F896" s="0" t="str">
        <f aca="false">IF(Pipeline_Sort!$C896="","",INDEX(Pipeline_Calc!$G$2:$G$5251,Pipeline_Sort!$C896))</f>
        <v/>
      </c>
      <c r="G896" s="0" t="str">
        <f aca="false">IF(Pipeline_Sort!$C896="","",INDEX(Pipeline_Calc!$H$2:$H$5251,Pipeline_Sort!$C896))</f>
        <v/>
      </c>
      <c r="H896" s="0" t="str">
        <f aca="false">IF(Pipeline_Sort!$C896="","",INDEX(Pipeline_Calc!$I$2:$I$5251,Pipeline_Sort!$C896))</f>
        <v/>
      </c>
      <c r="I896" s="0" t="str">
        <f aca="false">IF(Pipeline_Sort!$C896="","",INDEX(Pipeline_Calc!$J$2:$J$5251,Pipeline_Sort!$C896))</f>
        <v/>
      </c>
    </row>
    <row r="897" customFormat="false" ht="15" hidden="false" customHeight="false" outlineLevel="0" collapsed="false">
      <c r="A897" s="33" t="str">
        <f aca="false">IF(Pipeline_Sort!$C897="","",INDEX(Pipeline_Calc!$B$2:$B$5251,Pipeline_Sort!$C897))</f>
        <v/>
      </c>
      <c r="B897" s="0" t="str">
        <f aca="false">IF(Pipeline_Sort!$C897="","",INDEX(Pipeline_Calc!$C$2:$C$5251,Pipeline_Sort!$C897))</f>
        <v/>
      </c>
      <c r="C897" s="0" t="str">
        <f aca="false">IF(Pipeline_Sort!$C897="","",INDEX(Pipeline_Calc!$D$2:$D$5251,Pipeline_Sort!$C897))</f>
        <v/>
      </c>
      <c r="D897" s="0" t="str">
        <f aca="false">IF(Pipeline_Sort!$C897="","",INDEX(Pipeline_Calc!$E$2:$E$5251,Pipeline_Sort!$C897))</f>
        <v/>
      </c>
      <c r="E897" s="0" t="str">
        <f aca="false">IF(Pipeline_Sort!$C897="","",INDEX(Pipeline_Calc!$F$2:$F$5251,Pipeline_Sort!$C897))</f>
        <v/>
      </c>
      <c r="F897" s="0" t="str">
        <f aca="false">IF(Pipeline_Sort!$C897="","",INDEX(Pipeline_Calc!$G$2:$G$5251,Pipeline_Sort!$C897))</f>
        <v/>
      </c>
      <c r="G897" s="0" t="str">
        <f aca="false">IF(Pipeline_Sort!$C897="","",INDEX(Pipeline_Calc!$H$2:$H$5251,Pipeline_Sort!$C897))</f>
        <v/>
      </c>
      <c r="H897" s="0" t="str">
        <f aca="false">IF(Pipeline_Sort!$C897="","",INDEX(Pipeline_Calc!$I$2:$I$5251,Pipeline_Sort!$C897))</f>
        <v/>
      </c>
      <c r="I897" s="0" t="str">
        <f aca="false">IF(Pipeline_Sort!$C897="","",INDEX(Pipeline_Calc!$J$2:$J$5251,Pipeline_Sort!$C897))</f>
        <v/>
      </c>
    </row>
    <row r="898" customFormat="false" ht="15" hidden="false" customHeight="false" outlineLevel="0" collapsed="false">
      <c r="A898" s="33" t="str">
        <f aca="false">IF(Pipeline_Sort!$C898="","",INDEX(Pipeline_Calc!$B$2:$B$5251,Pipeline_Sort!$C898))</f>
        <v/>
      </c>
      <c r="B898" s="0" t="str">
        <f aca="false">IF(Pipeline_Sort!$C898="","",INDEX(Pipeline_Calc!$C$2:$C$5251,Pipeline_Sort!$C898))</f>
        <v/>
      </c>
      <c r="C898" s="0" t="str">
        <f aca="false">IF(Pipeline_Sort!$C898="","",INDEX(Pipeline_Calc!$D$2:$D$5251,Pipeline_Sort!$C898))</f>
        <v/>
      </c>
      <c r="D898" s="0" t="str">
        <f aca="false">IF(Pipeline_Sort!$C898="","",INDEX(Pipeline_Calc!$E$2:$E$5251,Pipeline_Sort!$C898))</f>
        <v/>
      </c>
      <c r="E898" s="0" t="str">
        <f aca="false">IF(Pipeline_Sort!$C898="","",INDEX(Pipeline_Calc!$F$2:$F$5251,Pipeline_Sort!$C898))</f>
        <v/>
      </c>
      <c r="F898" s="0" t="str">
        <f aca="false">IF(Pipeline_Sort!$C898="","",INDEX(Pipeline_Calc!$G$2:$G$5251,Pipeline_Sort!$C898))</f>
        <v/>
      </c>
      <c r="G898" s="0" t="str">
        <f aca="false">IF(Pipeline_Sort!$C898="","",INDEX(Pipeline_Calc!$H$2:$H$5251,Pipeline_Sort!$C898))</f>
        <v/>
      </c>
      <c r="H898" s="0" t="str">
        <f aca="false">IF(Pipeline_Sort!$C898="","",INDEX(Pipeline_Calc!$I$2:$I$5251,Pipeline_Sort!$C898))</f>
        <v/>
      </c>
      <c r="I898" s="0" t="str">
        <f aca="false">IF(Pipeline_Sort!$C898="","",INDEX(Pipeline_Calc!$J$2:$J$5251,Pipeline_Sort!$C898))</f>
        <v/>
      </c>
    </row>
    <row r="899" customFormat="false" ht="15" hidden="false" customHeight="false" outlineLevel="0" collapsed="false">
      <c r="A899" s="33" t="str">
        <f aca="false">IF(Pipeline_Sort!$C899="","",INDEX(Pipeline_Calc!$B$2:$B$5251,Pipeline_Sort!$C899))</f>
        <v/>
      </c>
      <c r="B899" s="0" t="str">
        <f aca="false">IF(Pipeline_Sort!$C899="","",INDEX(Pipeline_Calc!$C$2:$C$5251,Pipeline_Sort!$C899))</f>
        <v/>
      </c>
      <c r="C899" s="0" t="str">
        <f aca="false">IF(Pipeline_Sort!$C899="","",INDEX(Pipeline_Calc!$D$2:$D$5251,Pipeline_Sort!$C899))</f>
        <v/>
      </c>
      <c r="D899" s="0" t="str">
        <f aca="false">IF(Pipeline_Sort!$C899="","",INDEX(Pipeline_Calc!$E$2:$E$5251,Pipeline_Sort!$C899))</f>
        <v/>
      </c>
      <c r="E899" s="0" t="str">
        <f aca="false">IF(Pipeline_Sort!$C899="","",INDEX(Pipeline_Calc!$F$2:$F$5251,Pipeline_Sort!$C899))</f>
        <v/>
      </c>
      <c r="F899" s="0" t="str">
        <f aca="false">IF(Pipeline_Sort!$C899="","",INDEX(Pipeline_Calc!$G$2:$G$5251,Pipeline_Sort!$C899))</f>
        <v/>
      </c>
      <c r="G899" s="0" t="str">
        <f aca="false">IF(Pipeline_Sort!$C899="","",INDEX(Pipeline_Calc!$H$2:$H$5251,Pipeline_Sort!$C899))</f>
        <v/>
      </c>
      <c r="H899" s="0" t="str">
        <f aca="false">IF(Pipeline_Sort!$C899="","",INDEX(Pipeline_Calc!$I$2:$I$5251,Pipeline_Sort!$C899))</f>
        <v/>
      </c>
      <c r="I899" s="0" t="str">
        <f aca="false">IF(Pipeline_Sort!$C899="","",INDEX(Pipeline_Calc!$J$2:$J$5251,Pipeline_Sort!$C899))</f>
        <v/>
      </c>
    </row>
    <row r="900" customFormat="false" ht="15" hidden="false" customHeight="false" outlineLevel="0" collapsed="false">
      <c r="A900" s="33" t="str">
        <f aca="false">IF(Pipeline_Sort!$C900="","",INDEX(Pipeline_Calc!$B$2:$B$5251,Pipeline_Sort!$C900))</f>
        <v/>
      </c>
      <c r="B900" s="0" t="str">
        <f aca="false">IF(Pipeline_Sort!$C900="","",INDEX(Pipeline_Calc!$C$2:$C$5251,Pipeline_Sort!$C900))</f>
        <v/>
      </c>
      <c r="C900" s="0" t="str">
        <f aca="false">IF(Pipeline_Sort!$C900="","",INDEX(Pipeline_Calc!$D$2:$D$5251,Pipeline_Sort!$C900))</f>
        <v/>
      </c>
      <c r="D900" s="0" t="str">
        <f aca="false">IF(Pipeline_Sort!$C900="","",INDEX(Pipeline_Calc!$E$2:$E$5251,Pipeline_Sort!$C900))</f>
        <v/>
      </c>
      <c r="E900" s="0" t="str">
        <f aca="false">IF(Pipeline_Sort!$C900="","",INDEX(Pipeline_Calc!$F$2:$F$5251,Pipeline_Sort!$C900))</f>
        <v/>
      </c>
      <c r="F900" s="0" t="str">
        <f aca="false">IF(Pipeline_Sort!$C900="","",INDEX(Pipeline_Calc!$G$2:$G$5251,Pipeline_Sort!$C900))</f>
        <v/>
      </c>
      <c r="G900" s="0" t="str">
        <f aca="false">IF(Pipeline_Sort!$C900="","",INDEX(Pipeline_Calc!$H$2:$H$5251,Pipeline_Sort!$C900))</f>
        <v/>
      </c>
      <c r="H900" s="0" t="str">
        <f aca="false">IF(Pipeline_Sort!$C900="","",INDEX(Pipeline_Calc!$I$2:$I$5251,Pipeline_Sort!$C900))</f>
        <v/>
      </c>
      <c r="I900" s="0" t="str">
        <f aca="false">IF(Pipeline_Sort!$C900="","",INDEX(Pipeline_Calc!$J$2:$J$5251,Pipeline_Sort!$C900))</f>
        <v/>
      </c>
    </row>
    <row r="901" customFormat="false" ht="15" hidden="false" customHeight="false" outlineLevel="0" collapsed="false">
      <c r="A901" s="33" t="str">
        <f aca="false">IF(Pipeline_Sort!$C901="","",INDEX(Pipeline_Calc!$B$2:$B$5251,Pipeline_Sort!$C901))</f>
        <v/>
      </c>
      <c r="B901" s="0" t="str">
        <f aca="false">IF(Pipeline_Sort!$C901="","",INDEX(Pipeline_Calc!$C$2:$C$5251,Pipeline_Sort!$C901))</f>
        <v/>
      </c>
      <c r="C901" s="0" t="str">
        <f aca="false">IF(Pipeline_Sort!$C901="","",INDEX(Pipeline_Calc!$D$2:$D$5251,Pipeline_Sort!$C901))</f>
        <v/>
      </c>
      <c r="D901" s="0" t="str">
        <f aca="false">IF(Pipeline_Sort!$C901="","",INDEX(Pipeline_Calc!$E$2:$E$5251,Pipeline_Sort!$C901))</f>
        <v/>
      </c>
      <c r="E901" s="0" t="str">
        <f aca="false">IF(Pipeline_Sort!$C901="","",INDEX(Pipeline_Calc!$F$2:$F$5251,Pipeline_Sort!$C901))</f>
        <v/>
      </c>
      <c r="F901" s="0" t="str">
        <f aca="false">IF(Pipeline_Sort!$C901="","",INDEX(Pipeline_Calc!$G$2:$G$5251,Pipeline_Sort!$C901))</f>
        <v/>
      </c>
      <c r="G901" s="0" t="str">
        <f aca="false">IF(Pipeline_Sort!$C901="","",INDEX(Pipeline_Calc!$H$2:$H$5251,Pipeline_Sort!$C901))</f>
        <v/>
      </c>
      <c r="H901" s="0" t="str">
        <f aca="false">IF(Pipeline_Sort!$C901="","",INDEX(Pipeline_Calc!$I$2:$I$5251,Pipeline_Sort!$C901))</f>
        <v/>
      </c>
      <c r="I901" s="0" t="str">
        <f aca="false">IF(Pipeline_Sort!$C901="","",INDEX(Pipeline_Calc!$J$2:$J$5251,Pipeline_Sort!$C901))</f>
        <v/>
      </c>
    </row>
    <row r="902" customFormat="false" ht="15" hidden="false" customHeight="false" outlineLevel="0" collapsed="false">
      <c r="A902" s="33" t="str">
        <f aca="false">IF(Pipeline_Sort!$C902="","",INDEX(Pipeline_Calc!$B$2:$B$5251,Pipeline_Sort!$C902))</f>
        <v/>
      </c>
      <c r="B902" s="0" t="str">
        <f aca="false">IF(Pipeline_Sort!$C902="","",INDEX(Pipeline_Calc!$C$2:$C$5251,Pipeline_Sort!$C902))</f>
        <v/>
      </c>
      <c r="C902" s="0" t="str">
        <f aca="false">IF(Pipeline_Sort!$C902="","",INDEX(Pipeline_Calc!$D$2:$D$5251,Pipeline_Sort!$C902))</f>
        <v/>
      </c>
      <c r="D902" s="0" t="str">
        <f aca="false">IF(Pipeline_Sort!$C902="","",INDEX(Pipeline_Calc!$E$2:$E$5251,Pipeline_Sort!$C902))</f>
        <v/>
      </c>
      <c r="E902" s="0" t="str">
        <f aca="false">IF(Pipeline_Sort!$C902="","",INDEX(Pipeline_Calc!$F$2:$F$5251,Pipeline_Sort!$C902))</f>
        <v/>
      </c>
      <c r="F902" s="0" t="str">
        <f aca="false">IF(Pipeline_Sort!$C902="","",INDEX(Pipeline_Calc!$G$2:$G$5251,Pipeline_Sort!$C902))</f>
        <v/>
      </c>
      <c r="G902" s="0" t="str">
        <f aca="false">IF(Pipeline_Sort!$C902="","",INDEX(Pipeline_Calc!$H$2:$H$5251,Pipeline_Sort!$C902))</f>
        <v/>
      </c>
      <c r="H902" s="0" t="str">
        <f aca="false">IF(Pipeline_Sort!$C902="","",INDEX(Pipeline_Calc!$I$2:$I$5251,Pipeline_Sort!$C902))</f>
        <v/>
      </c>
      <c r="I902" s="0" t="str">
        <f aca="false">IF(Pipeline_Sort!$C902="","",INDEX(Pipeline_Calc!$J$2:$J$5251,Pipeline_Sort!$C902))</f>
        <v/>
      </c>
    </row>
    <row r="903" customFormat="false" ht="15" hidden="false" customHeight="false" outlineLevel="0" collapsed="false">
      <c r="A903" s="33" t="str">
        <f aca="false">IF(Pipeline_Sort!$C903="","",INDEX(Pipeline_Calc!$B$2:$B$5251,Pipeline_Sort!$C903))</f>
        <v/>
      </c>
      <c r="B903" s="0" t="str">
        <f aca="false">IF(Pipeline_Sort!$C903="","",INDEX(Pipeline_Calc!$C$2:$C$5251,Pipeline_Sort!$C903))</f>
        <v/>
      </c>
      <c r="C903" s="0" t="str">
        <f aca="false">IF(Pipeline_Sort!$C903="","",INDEX(Pipeline_Calc!$D$2:$D$5251,Pipeline_Sort!$C903))</f>
        <v/>
      </c>
      <c r="D903" s="0" t="str">
        <f aca="false">IF(Pipeline_Sort!$C903="","",INDEX(Pipeline_Calc!$E$2:$E$5251,Pipeline_Sort!$C903))</f>
        <v/>
      </c>
      <c r="E903" s="0" t="str">
        <f aca="false">IF(Pipeline_Sort!$C903="","",INDEX(Pipeline_Calc!$F$2:$F$5251,Pipeline_Sort!$C903))</f>
        <v/>
      </c>
      <c r="F903" s="0" t="str">
        <f aca="false">IF(Pipeline_Sort!$C903="","",INDEX(Pipeline_Calc!$G$2:$G$5251,Pipeline_Sort!$C903))</f>
        <v/>
      </c>
      <c r="G903" s="0" t="str">
        <f aca="false">IF(Pipeline_Sort!$C903="","",INDEX(Pipeline_Calc!$H$2:$H$5251,Pipeline_Sort!$C903))</f>
        <v/>
      </c>
      <c r="H903" s="0" t="str">
        <f aca="false">IF(Pipeline_Sort!$C903="","",INDEX(Pipeline_Calc!$I$2:$I$5251,Pipeline_Sort!$C903))</f>
        <v/>
      </c>
      <c r="I903" s="0" t="str">
        <f aca="false">IF(Pipeline_Sort!$C903="","",INDEX(Pipeline_Calc!$J$2:$J$5251,Pipeline_Sort!$C903))</f>
        <v/>
      </c>
    </row>
    <row r="904" customFormat="false" ht="15" hidden="false" customHeight="false" outlineLevel="0" collapsed="false">
      <c r="A904" s="33" t="str">
        <f aca="false">IF(Pipeline_Sort!$C904="","",INDEX(Pipeline_Calc!$B$2:$B$5251,Pipeline_Sort!$C904))</f>
        <v/>
      </c>
      <c r="B904" s="0" t="str">
        <f aca="false">IF(Pipeline_Sort!$C904="","",INDEX(Pipeline_Calc!$C$2:$C$5251,Pipeline_Sort!$C904))</f>
        <v/>
      </c>
      <c r="C904" s="0" t="str">
        <f aca="false">IF(Pipeline_Sort!$C904="","",INDEX(Pipeline_Calc!$D$2:$D$5251,Pipeline_Sort!$C904))</f>
        <v/>
      </c>
      <c r="D904" s="0" t="str">
        <f aca="false">IF(Pipeline_Sort!$C904="","",INDEX(Pipeline_Calc!$E$2:$E$5251,Pipeline_Sort!$C904))</f>
        <v/>
      </c>
      <c r="E904" s="0" t="str">
        <f aca="false">IF(Pipeline_Sort!$C904="","",INDEX(Pipeline_Calc!$F$2:$F$5251,Pipeline_Sort!$C904))</f>
        <v/>
      </c>
      <c r="F904" s="0" t="str">
        <f aca="false">IF(Pipeline_Sort!$C904="","",INDEX(Pipeline_Calc!$G$2:$G$5251,Pipeline_Sort!$C904))</f>
        <v/>
      </c>
      <c r="G904" s="0" t="str">
        <f aca="false">IF(Pipeline_Sort!$C904="","",INDEX(Pipeline_Calc!$H$2:$H$5251,Pipeline_Sort!$C904))</f>
        <v/>
      </c>
      <c r="H904" s="0" t="str">
        <f aca="false">IF(Pipeline_Sort!$C904="","",INDEX(Pipeline_Calc!$I$2:$I$5251,Pipeline_Sort!$C904))</f>
        <v/>
      </c>
      <c r="I904" s="0" t="str">
        <f aca="false">IF(Pipeline_Sort!$C904="","",INDEX(Pipeline_Calc!$J$2:$J$5251,Pipeline_Sort!$C904))</f>
        <v/>
      </c>
    </row>
    <row r="905" customFormat="false" ht="15" hidden="false" customHeight="false" outlineLevel="0" collapsed="false">
      <c r="A905" s="33" t="str">
        <f aca="false">IF(Pipeline_Sort!$C905="","",INDEX(Pipeline_Calc!$B$2:$B$5251,Pipeline_Sort!$C905))</f>
        <v/>
      </c>
      <c r="B905" s="0" t="str">
        <f aca="false">IF(Pipeline_Sort!$C905="","",INDEX(Pipeline_Calc!$C$2:$C$5251,Pipeline_Sort!$C905))</f>
        <v/>
      </c>
      <c r="C905" s="0" t="str">
        <f aca="false">IF(Pipeline_Sort!$C905="","",INDEX(Pipeline_Calc!$D$2:$D$5251,Pipeline_Sort!$C905))</f>
        <v/>
      </c>
      <c r="D905" s="0" t="str">
        <f aca="false">IF(Pipeline_Sort!$C905="","",INDEX(Pipeline_Calc!$E$2:$E$5251,Pipeline_Sort!$C905))</f>
        <v/>
      </c>
      <c r="E905" s="0" t="str">
        <f aca="false">IF(Pipeline_Sort!$C905="","",INDEX(Pipeline_Calc!$F$2:$F$5251,Pipeline_Sort!$C905))</f>
        <v/>
      </c>
      <c r="F905" s="0" t="str">
        <f aca="false">IF(Pipeline_Sort!$C905="","",INDEX(Pipeline_Calc!$G$2:$G$5251,Pipeline_Sort!$C905))</f>
        <v/>
      </c>
      <c r="G905" s="0" t="str">
        <f aca="false">IF(Pipeline_Sort!$C905="","",INDEX(Pipeline_Calc!$H$2:$H$5251,Pipeline_Sort!$C905))</f>
        <v/>
      </c>
      <c r="H905" s="0" t="str">
        <f aca="false">IF(Pipeline_Sort!$C905="","",INDEX(Pipeline_Calc!$I$2:$I$5251,Pipeline_Sort!$C905))</f>
        <v/>
      </c>
      <c r="I905" s="0" t="str">
        <f aca="false">IF(Pipeline_Sort!$C905="","",INDEX(Pipeline_Calc!$J$2:$J$5251,Pipeline_Sort!$C905))</f>
        <v/>
      </c>
    </row>
    <row r="906" customFormat="false" ht="15" hidden="false" customHeight="false" outlineLevel="0" collapsed="false">
      <c r="A906" s="33" t="str">
        <f aca="false">IF(Pipeline_Sort!$C906="","",INDEX(Pipeline_Calc!$B$2:$B$5251,Pipeline_Sort!$C906))</f>
        <v/>
      </c>
      <c r="B906" s="0" t="str">
        <f aca="false">IF(Pipeline_Sort!$C906="","",INDEX(Pipeline_Calc!$C$2:$C$5251,Pipeline_Sort!$C906))</f>
        <v/>
      </c>
      <c r="C906" s="0" t="str">
        <f aca="false">IF(Pipeline_Sort!$C906="","",INDEX(Pipeline_Calc!$D$2:$D$5251,Pipeline_Sort!$C906))</f>
        <v/>
      </c>
      <c r="D906" s="0" t="str">
        <f aca="false">IF(Pipeline_Sort!$C906="","",INDEX(Pipeline_Calc!$E$2:$E$5251,Pipeline_Sort!$C906))</f>
        <v/>
      </c>
      <c r="E906" s="0" t="str">
        <f aca="false">IF(Pipeline_Sort!$C906="","",INDEX(Pipeline_Calc!$F$2:$F$5251,Pipeline_Sort!$C906))</f>
        <v/>
      </c>
      <c r="F906" s="0" t="str">
        <f aca="false">IF(Pipeline_Sort!$C906="","",INDEX(Pipeline_Calc!$G$2:$G$5251,Pipeline_Sort!$C906))</f>
        <v/>
      </c>
      <c r="G906" s="0" t="str">
        <f aca="false">IF(Pipeline_Sort!$C906="","",INDEX(Pipeline_Calc!$H$2:$H$5251,Pipeline_Sort!$C906))</f>
        <v/>
      </c>
      <c r="H906" s="0" t="str">
        <f aca="false">IF(Pipeline_Sort!$C906="","",INDEX(Pipeline_Calc!$I$2:$I$5251,Pipeline_Sort!$C906))</f>
        <v/>
      </c>
      <c r="I906" s="0" t="str">
        <f aca="false">IF(Pipeline_Sort!$C906="","",INDEX(Pipeline_Calc!$J$2:$J$5251,Pipeline_Sort!$C906))</f>
        <v/>
      </c>
    </row>
    <row r="907" customFormat="false" ht="15" hidden="false" customHeight="false" outlineLevel="0" collapsed="false">
      <c r="A907" s="33" t="str">
        <f aca="false">IF(Pipeline_Sort!$C907="","",INDEX(Pipeline_Calc!$B$2:$B$5251,Pipeline_Sort!$C907))</f>
        <v/>
      </c>
      <c r="B907" s="0" t="str">
        <f aca="false">IF(Pipeline_Sort!$C907="","",INDEX(Pipeline_Calc!$C$2:$C$5251,Pipeline_Sort!$C907))</f>
        <v/>
      </c>
      <c r="C907" s="0" t="str">
        <f aca="false">IF(Pipeline_Sort!$C907="","",INDEX(Pipeline_Calc!$D$2:$D$5251,Pipeline_Sort!$C907))</f>
        <v/>
      </c>
      <c r="D907" s="0" t="str">
        <f aca="false">IF(Pipeline_Sort!$C907="","",INDEX(Pipeline_Calc!$E$2:$E$5251,Pipeline_Sort!$C907))</f>
        <v/>
      </c>
      <c r="E907" s="0" t="str">
        <f aca="false">IF(Pipeline_Sort!$C907="","",INDEX(Pipeline_Calc!$F$2:$F$5251,Pipeline_Sort!$C907))</f>
        <v/>
      </c>
      <c r="F907" s="0" t="str">
        <f aca="false">IF(Pipeline_Sort!$C907="","",INDEX(Pipeline_Calc!$G$2:$G$5251,Pipeline_Sort!$C907))</f>
        <v/>
      </c>
      <c r="G907" s="0" t="str">
        <f aca="false">IF(Pipeline_Sort!$C907="","",INDEX(Pipeline_Calc!$H$2:$H$5251,Pipeline_Sort!$C907))</f>
        <v/>
      </c>
      <c r="H907" s="0" t="str">
        <f aca="false">IF(Pipeline_Sort!$C907="","",INDEX(Pipeline_Calc!$I$2:$I$5251,Pipeline_Sort!$C907))</f>
        <v/>
      </c>
      <c r="I907" s="0" t="str">
        <f aca="false">IF(Pipeline_Sort!$C907="","",INDEX(Pipeline_Calc!$J$2:$J$5251,Pipeline_Sort!$C907))</f>
        <v/>
      </c>
    </row>
    <row r="908" customFormat="false" ht="15" hidden="false" customHeight="false" outlineLevel="0" collapsed="false">
      <c r="A908" s="33" t="str">
        <f aca="false">IF(Pipeline_Sort!$C908="","",INDEX(Pipeline_Calc!$B$2:$B$5251,Pipeline_Sort!$C908))</f>
        <v/>
      </c>
      <c r="B908" s="0" t="str">
        <f aca="false">IF(Pipeline_Sort!$C908="","",INDEX(Pipeline_Calc!$C$2:$C$5251,Pipeline_Sort!$C908))</f>
        <v/>
      </c>
      <c r="C908" s="0" t="str">
        <f aca="false">IF(Pipeline_Sort!$C908="","",INDEX(Pipeline_Calc!$D$2:$D$5251,Pipeline_Sort!$C908))</f>
        <v/>
      </c>
      <c r="D908" s="0" t="str">
        <f aca="false">IF(Pipeline_Sort!$C908="","",INDEX(Pipeline_Calc!$E$2:$E$5251,Pipeline_Sort!$C908))</f>
        <v/>
      </c>
      <c r="E908" s="0" t="str">
        <f aca="false">IF(Pipeline_Sort!$C908="","",INDEX(Pipeline_Calc!$F$2:$F$5251,Pipeline_Sort!$C908))</f>
        <v/>
      </c>
      <c r="F908" s="0" t="str">
        <f aca="false">IF(Pipeline_Sort!$C908="","",INDEX(Pipeline_Calc!$G$2:$G$5251,Pipeline_Sort!$C908))</f>
        <v/>
      </c>
      <c r="G908" s="0" t="str">
        <f aca="false">IF(Pipeline_Sort!$C908="","",INDEX(Pipeline_Calc!$H$2:$H$5251,Pipeline_Sort!$C908))</f>
        <v/>
      </c>
      <c r="H908" s="0" t="str">
        <f aca="false">IF(Pipeline_Sort!$C908="","",INDEX(Pipeline_Calc!$I$2:$I$5251,Pipeline_Sort!$C908))</f>
        <v/>
      </c>
      <c r="I908" s="0" t="str">
        <f aca="false">IF(Pipeline_Sort!$C908="","",INDEX(Pipeline_Calc!$J$2:$J$5251,Pipeline_Sort!$C908))</f>
        <v/>
      </c>
    </row>
    <row r="909" customFormat="false" ht="15" hidden="false" customHeight="false" outlineLevel="0" collapsed="false">
      <c r="A909" s="33" t="str">
        <f aca="false">IF(Pipeline_Sort!$C909="","",INDEX(Pipeline_Calc!$B$2:$B$5251,Pipeline_Sort!$C909))</f>
        <v/>
      </c>
      <c r="B909" s="0" t="str">
        <f aca="false">IF(Pipeline_Sort!$C909="","",INDEX(Pipeline_Calc!$C$2:$C$5251,Pipeline_Sort!$C909))</f>
        <v/>
      </c>
      <c r="C909" s="0" t="str">
        <f aca="false">IF(Pipeline_Sort!$C909="","",INDEX(Pipeline_Calc!$D$2:$D$5251,Pipeline_Sort!$C909))</f>
        <v/>
      </c>
      <c r="D909" s="0" t="str">
        <f aca="false">IF(Pipeline_Sort!$C909="","",INDEX(Pipeline_Calc!$E$2:$E$5251,Pipeline_Sort!$C909))</f>
        <v/>
      </c>
      <c r="E909" s="0" t="str">
        <f aca="false">IF(Pipeline_Sort!$C909="","",INDEX(Pipeline_Calc!$F$2:$F$5251,Pipeline_Sort!$C909))</f>
        <v/>
      </c>
      <c r="F909" s="0" t="str">
        <f aca="false">IF(Pipeline_Sort!$C909="","",INDEX(Pipeline_Calc!$G$2:$G$5251,Pipeline_Sort!$C909))</f>
        <v/>
      </c>
      <c r="G909" s="0" t="str">
        <f aca="false">IF(Pipeline_Sort!$C909="","",INDEX(Pipeline_Calc!$H$2:$H$5251,Pipeline_Sort!$C909))</f>
        <v/>
      </c>
      <c r="H909" s="0" t="str">
        <f aca="false">IF(Pipeline_Sort!$C909="","",INDEX(Pipeline_Calc!$I$2:$I$5251,Pipeline_Sort!$C909))</f>
        <v/>
      </c>
      <c r="I909" s="0" t="str">
        <f aca="false">IF(Pipeline_Sort!$C909="","",INDEX(Pipeline_Calc!$J$2:$J$5251,Pipeline_Sort!$C909))</f>
        <v/>
      </c>
    </row>
    <row r="910" customFormat="false" ht="15" hidden="false" customHeight="false" outlineLevel="0" collapsed="false">
      <c r="A910" s="33" t="str">
        <f aca="false">IF(Pipeline_Sort!$C910="","",INDEX(Pipeline_Calc!$B$2:$B$5251,Pipeline_Sort!$C910))</f>
        <v/>
      </c>
      <c r="B910" s="0" t="str">
        <f aca="false">IF(Pipeline_Sort!$C910="","",INDEX(Pipeline_Calc!$C$2:$C$5251,Pipeline_Sort!$C910))</f>
        <v/>
      </c>
      <c r="C910" s="0" t="str">
        <f aca="false">IF(Pipeline_Sort!$C910="","",INDEX(Pipeline_Calc!$D$2:$D$5251,Pipeline_Sort!$C910))</f>
        <v/>
      </c>
      <c r="D910" s="0" t="str">
        <f aca="false">IF(Pipeline_Sort!$C910="","",INDEX(Pipeline_Calc!$E$2:$E$5251,Pipeline_Sort!$C910))</f>
        <v/>
      </c>
      <c r="E910" s="0" t="str">
        <f aca="false">IF(Pipeline_Sort!$C910="","",INDEX(Pipeline_Calc!$F$2:$F$5251,Pipeline_Sort!$C910))</f>
        <v/>
      </c>
      <c r="F910" s="0" t="str">
        <f aca="false">IF(Pipeline_Sort!$C910="","",INDEX(Pipeline_Calc!$G$2:$G$5251,Pipeline_Sort!$C910))</f>
        <v/>
      </c>
      <c r="G910" s="0" t="str">
        <f aca="false">IF(Pipeline_Sort!$C910="","",INDEX(Pipeline_Calc!$H$2:$H$5251,Pipeline_Sort!$C910))</f>
        <v/>
      </c>
      <c r="H910" s="0" t="str">
        <f aca="false">IF(Pipeline_Sort!$C910="","",INDEX(Pipeline_Calc!$I$2:$I$5251,Pipeline_Sort!$C910))</f>
        <v/>
      </c>
      <c r="I910" s="0" t="str">
        <f aca="false">IF(Pipeline_Sort!$C910="","",INDEX(Pipeline_Calc!$J$2:$J$5251,Pipeline_Sort!$C910))</f>
        <v/>
      </c>
    </row>
    <row r="911" customFormat="false" ht="15" hidden="false" customHeight="false" outlineLevel="0" collapsed="false">
      <c r="A911" s="33" t="str">
        <f aca="false">IF(Pipeline_Sort!$C911="","",INDEX(Pipeline_Calc!$B$2:$B$5251,Pipeline_Sort!$C911))</f>
        <v/>
      </c>
      <c r="B911" s="0" t="str">
        <f aca="false">IF(Pipeline_Sort!$C911="","",INDEX(Pipeline_Calc!$C$2:$C$5251,Pipeline_Sort!$C911))</f>
        <v/>
      </c>
      <c r="C911" s="0" t="str">
        <f aca="false">IF(Pipeline_Sort!$C911="","",INDEX(Pipeline_Calc!$D$2:$D$5251,Pipeline_Sort!$C911))</f>
        <v/>
      </c>
      <c r="D911" s="0" t="str">
        <f aca="false">IF(Pipeline_Sort!$C911="","",INDEX(Pipeline_Calc!$E$2:$E$5251,Pipeline_Sort!$C911))</f>
        <v/>
      </c>
      <c r="E911" s="0" t="str">
        <f aca="false">IF(Pipeline_Sort!$C911="","",INDEX(Pipeline_Calc!$F$2:$F$5251,Pipeline_Sort!$C911))</f>
        <v/>
      </c>
      <c r="F911" s="0" t="str">
        <f aca="false">IF(Pipeline_Sort!$C911="","",INDEX(Pipeline_Calc!$G$2:$G$5251,Pipeline_Sort!$C911))</f>
        <v/>
      </c>
      <c r="G911" s="0" t="str">
        <f aca="false">IF(Pipeline_Sort!$C911="","",INDEX(Pipeline_Calc!$H$2:$H$5251,Pipeline_Sort!$C911))</f>
        <v/>
      </c>
      <c r="H911" s="0" t="str">
        <f aca="false">IF(Pipeline_Sort!$C911="","",INDEX(Pipeline_Calc!$I$2:$I$5251,Pipeline_Sort!$C911))</f>
        <v/>
      </c>
      <c r="I911" s="0" t="str">
        <f aca="false">IF(Pipeline_Sort!$C911="","",INDEX(Pipeline_Calc!$J$2:$J$5251,Pipeline_Sort!$C911))</f>
        <v/>
      </c>
    </row>
    <row r="912" customFormat="false" ht="15" hidden="false" customHeight="false" outlineLevel="0" collapsed="false">
      <c r="A912" s="33" t="str">
        <f aca="false">IF(Pipeline_Sort!$C912="","",INDEX(Pipeline_Calc!$B$2:$B$5251,Pipeline_Sort!$C912))</f>
        <v/>
      </c>
      <c r="B912" s="0" t="str">
        <f aca="false">IF(Pipeline_Sort!$C912="","",INDEX(Pipeline_Calc!$C$2:$C$5251,Pipeline_Sort!$C912))</f>
        <v/>
      </c>
      <c r="C912" s="0" t="str">
        <f aca="false">IF(Pipeline_Sort!$C912="","",INDEX(Pipeline_Calc!$D$2:$D$5251,Pipeline_Sort!$C912))</f>
        <v/>
      </c>
      <c r="D912" s="0" t="str">
        <f aca="false">IF(Pipeline_Sort!$C912="","",INDEX(Pipeline_Calc!$E$2:$E$5251,Pipeline_Sort!$C912))</f>
        <v/>
      </c>
      <c r="E912" s="0" t="str">
        <f aca="false">IF(Pipeline_Sort!$C912="","",INDEX(Pipeline_Calc!$F$2:$F$5251,Pipeline_Sort!$C912))</f>
        <v/>
      </c>
      <c r="F912" s="0" t="str">
        <f aca="false">IF(Pipeline_Sort!$C912="","",INDEX(Pipeline_Calc!$G$2:$G$5251,Pipeline_Sort!$C912))</f>
        <v/>
      </c>
      <c r="G912" s="0" t="str">
        <f aca="false">IF(Pipeline_Sort!$C912="","",INDEX(Pipeline_Calc!$H$2:$H$5251,Pipeline_Sort!$C912))</f>
        <v/>
      </c>
      <c r="H912" s="0" t="str">
        <f aca="false">IF(Pipeline_Sort!$C912="","",INDEX(Pipeline_Calc!$I$2:$I$5251,Pipeline_Sort!$C912))</f>
        <v/>
      </c>
      <c r="I912" s="0" t="str">
        <f aca="false">IF(Pipeline_Sort!$C912="","",INDEX(Pipeline_Calc!$J$2:$J$5251,Pipeline_Sort!$C912))</f>
        <v/>
      </c>
    </row>
    <row r="913" customFormat="false" ht="15" hidden="false" customHeight="false" outlineLevel="0" collapsed="false">
      <c r="A913" s="33" t="str">
        <f aca="false">IF(Pipeline_Sort!$C913="","",INDEX(Pipeline_Calc!$B$2:$B$5251,Pipeline_Sort!$C913))</f>
        <v/>
      </c>
      <c r="B913" s="0" t="str">
        <f aca="false">IF(Pipeline_Sort!$C913="","",INDEX(Pipeline_Calc!$C$2:$C$5251,Pipeline_Sort!$C913))</f>
        <v/>
      </c>
      <c r="C913" s="0" t="str">
        <f aca="false">IF(Pipeline_Sort!$C913="","",INDEX(Pipeline_Calc!$D$2:$D$5251,Pipeline_Sort!$C913))</f>
        <v/>
      </c>
      <c r="D913" s="0" t="str">
        <f aca="false">IF(Pipeline_Sort!$C913="","",INDEX(Pipeline_Calc!$E$2:$E$5251,Pipeline_Sort!$C913))</f>
        <v/>
      </c>
      <c r="E913" s="0" t="str">
        <f aca="false">IF(Pipeline_Sort!$C913="","",INDEX(Pipeline_Calc!$F$2:$F$5251,Pipeline_Sort!$C913))</f>
        <v/>
      </c>
      <c r="F913" s="0" t="str">
        <f aca="false">IF(Pipeline_Sort!$C913="","",INDEX(Pipeline_Calc!$G$2:$G$5251,Pipeline_Sort!$C913))</f>
        <v/>
      </c>
      <c r="G913" s="0" t="str">
        <f aca="false">IF(Pipeline_Sort!$C913="","",INDEX(Pipeline_Calc!$H$2:$H$5251,Pipeline_Sort!$C913))</f>
        <v/>
      </c>
      <c r="H913" s="0" t="str">
        <f aca="false">IF(Pipeline_Sort!$C913="","",INDEX(Pipeline_Calc!$I$2:$I$5251,Pipeline_Sort!$C913))</f>
        <v/>
      </c>
      <c r="I913" s="0" t="str">
        <f aca="false">IF(Pipeline_Sort!$C913="","",INDEX(Pipeline_Calc!$J$2:$J$5251,Pipeline_Sort!$C913))</f>
        <v/>
      </c>
    </row>
    <row r="914" customFormat="false" ht="15" hidden="false" customHeight="false" outlineLevel="0" collapsed="false">
      <c r="A914" s="33" t="str">
        <f aca="false">IF(Pipeline_Sort!$C914="","",INDEX(Pipeline_Calc!$B$2:$B$5251,Pipeline_Sort!$C914))</f>
        <v/>
      </c>
      <c r="B914" s="0" t="str">
        <f aca="false">IF(Pipeline_Sort!$C914="","",INDEX(Pipeline_Calc!$C$2:$C$5251,Pipeline_Sort!$C914))</f>
        <v/>
      </c>
      <c r="C914" s="0" t="str">
        <f aca="false">IF(Pipeline_Sort!$C914="","",INDEX(Pipeline_Calc!$D$2:$D$5251,Pipeline_Sort!$C914))</f>
        <v/>
      </c>
      <c r="D914" s="0" t="str">
        <f aca="false">IF(Pipeline_Sort!$C914="","",INDEX(Pipeline_Calc!$E$2:$E$5251,Pipeline_Sort!$C914))</f>
        <v/>
      </c>
      <c r="E914" s="0" t="str">
        <f aca="false">IF(Pipeline_Sort!$C914="","",INDEX(Pipeline_Calc!$F$2:$F$5251,Pipeline_Sort!$C914))</f>
        <v/>
      </c>
      <c r="F914" s="0" t="str">
        <f aca="false">IF(Pipeline_Sort!$C914="","",INDEX(Pipeline_Calc!$G$2:$G$5251,Pipeline_Sort!$C914))</f>
        <v/>
      </c>
      <c r="G914" s="0" t="str">
        <f aca="false">IF(Pipeline_Sort!$C914="","",INDEX(Pipeline_Calc!$H$2:$H$5251,Pipeline_Sort!$C914))</f>
        <v/>
      </c>
      <c r="H914" s="0" t="str">
        <f aca="false">IF(Pipeline_Sort!$C914="","",INDEX(Pipeline_Calc!$I$2:$I$5251,Pipeline_Sort!$C914))</f>
        <v/>
      </c>
      <c r="I914" s="0" t="str">
        <f aca="false">IF(Pipeline_Sort!$C914="","",INDEX(Pipeline_Calc!$J$2:$J$5251,Pipeline_Sort!$C914))</f>
        <v/>
      </c>
    </row>
    <row r="915" customFormat="false" ht="15" hidden="false" customHeight="false" outlineLevel="0" collapsed="false">
      <c r="A915" s="33" t="str">
        <f aca="false">IF(Pipeline_Sort!$C915="","",INDEX(Pipeline_Calc!$B$2:$B$5251,Pipeline_Sort!$C915))</f>
        <v/>
      </c>
      <c r="B915" s="0" t="str">
        <f aca="false">IF(Pipeline_Sort!$C915="","",INDEX(Pipeline_Calc!$C$2:$C$5251,Pipeline_Sort!$C915))</f>
        <v/>
      </c>
      <c r="C915" s="0" t="str">
        <f aca="false">IF(Pipeline_Sort!$C915="","",INDEX(Pipeline_Calc!$D$2:$D$5251,Pipeline_Sort!$C915))</f>
        <v/>
      </c>
      <c r="D915" s="0" t="str">
        <f aca="false">IF(Pipeline_Sort!$C915="","",INDEX(Pipeline_Calc!$E$2:$E$5251,Pipeline_Sort!$C915))</f>
        <v/>
      </c>
      <c r="E915" s="0" t="str">
        <f aca="false">IF(Pipeline_Sort!$C915="","",INDEX(Pipeline_Calc!$F$2:$F$5251,Pipeline_Sort!$C915))</f>
        <v/>
      </c>
      <c r="F915" s="0" t="str">
        <f aca="false">IF(Pipeline_Sort!$C915="","",INDEX(Pipeline_Calc!$G$2:$G$5251,Pipeline_Sort!$C915))</f>
        <v/>
      </c>
      <c r="G915" s="0" t="str">
        <f aca="false">IF(Pipeline_Sort!$C915="","",INDEX(Pipeline_Calc!$H$2:$H$5251,Pipeline_Sort!$C915))</f>
        <v/>
      </c>
      <c r="H915" s="0" t="str">
        <f aca="false">IF(Pipeline_Sort!$C915="","",INDEX(Pipeline_Calc!$I$2:$I$5251,Pipeline_Sort!$C915))</f>
        <v/>
      </c>
      <c r="I915" s="0" t="str">
        <f aca="false">IF(Pipeline_Sort!$C915="","",INDEX(Pipeline_Calc!$J$2:$J$5251,Pipeline_Sort!$C915))</f>
        <v/>
      </c>
    </row>
    <row r="916" customFormat="false" ht="15" hidden="false" customHeight="false" outlineLevel="0" collapsed="false">
      <c r="A916" s="33" t="str">
        <f aca="false">IF(Pipeline_Sort!$C916="","",INDEX(Pipeline_Calc!$B$2:$B$5251,Pipeline_Sort!$C916))</f>
        <v/>
      </c>
      <c r="B916" s="0" t="str">
        <f aca="false">IF(Pipeline_Sort!$C916="","",INDEX(Pipeline_Calc!$C$2:$C$5251,Pipeline_Sort!$C916))</f>
        <v/>
      </c>
      <c r="C916" s="0" t="str">
        <f aca="false">IF(Pipeline_Sort!$C916="","",INDEX(Pipeline_Calc!$D$2:$D$5251,Pipeline_Sort!$C916))</f>
        <v/>
      </c>
      <c r="D916" s="0" t="str">
        <f aca="false">IF(Pipeline_Sort!$C916="","",INDEX(Pipeline_Calc!$E$2:$E$5251,Pipeline_Sort!$C916))</f>
        <v/>
      </c>
      <c r="E916" s="0" t="str">
        <f aca="false">IF(Pipeline_Sort!$C916="","",INDEX(Pipeline_Calc!$F$2:$F$5251,Pipeline_Sort!$C916))</f>
        <v/>
      </c>
      <c r="F916" s="0" t="str">
        <f aca="false">IF(Pipeline_Sort!$C916="","",INDEX(Pipeline_Calc!$G$2:$G$5251,Pipeline_Sort!$C916))</f>
        <v/>
      </c>
      <c r="G916" s="0" t="str">
        <f aca="false">IF(Pipeline_Sort!$C916="","",INDEX(Pipeline_Calc!$H$2:$H$5251,Pipeline_Sort!$C916))</f>
        <v/>
      </c>
      <c r="H916" s="0" t="str">
        <f aca="false">IF(Pipeline_Sort!$C916="","",INDEX(Pipeline_Calc!$I$2:$I$5251,Pipeline_Sort!$C916))</f>
        <v/>
      </c>
      <c r="I916" s="0" t="str">
        <f aca="false">IF(Pipeline_Sort!$C916="","",INDEX(Pipeline_Calc!$J$2:$J$5251,Pipeline_Sort!$C916))</f>
        <v/>
      </c>
    </row>
    <row r="917" customFormat="false" ht="15" hidden="false" customHeight="false" outlineLevel="0" collapsed="false">
      <c r="A917" s="33" t="str">
        <f aca="false">IF(Pipeline_Sort!$C917="","",INDEX(Pipeline_Calc!$B$2:$B$5251,Pipeline_Sort!$C917))</f>
        <v/>
      </c>
      <c r="B917" s="0" t="str">
        <f aca="false">IF(Pipeline_Sort!$C917="","",INDEX(Pipeline_Calc!$C$2:$C$5251,Pipeline_Sort!$C917))</f>
        <v/>
      </c>
      <c r="C917" s="0" t="str">
        <f aca="false">IF(Pipeline_Sort!$C917="","",INDEX(Pipeline_Calc!$D$2:$D$5251,Pipeline_Sort!$C917))</f>
        <v/>
      </c>
      <c r="D917" s="0" t="str">
        <f aca="false">IF(Pipeline_Sort!$C917="","",INDEX(Pipeline_Calc!$E$2:$E$5251,Pipeline_Sort!$C917))</f>
        <v/>
      </c>
      <c r="E917" s="0" t="str">
        <f aca="false">IF(Pipeline_Sort!$C917="","",INDEX(Pipeline_Calc!$F$2:$F$5251,Pipeline_Sort!$C917))</f>
        <v/>
      </c>
      <c r="F917" s="0" t="str">
        <f aca="false">IF(Pipeline_Sort!$C917="","",INDEX(Pipeline_Calc!$G$2:$G$5251,Pipeline_Sort!$C917))</f>
        <v/>
      </c>
      <c r="G917" s="0" t="str">
        <f aca="false">IF(Pipeline_Sort!$C917="","",INDEX(Pipeline_Calc!$H$2:$H$5251,Pipeline_Sort!$C917))</f>
        <v/>
      </c>
      <c r="H917" s="0" t="str">
        <f aca="false">IF(Pipeline_Sort!$C917="","",INDEX(Pipeline_Calc!$I$2:$I$5251,Pipeline_Sort!$C917))</f>
        <v/>
      </c>
      <c r="I917" s="0" t="str">
        <f aca="false">IF(Pipeline_Sort!$C917="","",INDEX(Pipeline_Calc!$J$2:$J$5251,Pipeline_Sort!$C917))</f>
        <v/>
      </c>
    </row>
    <row r="918" customFormat="false" ht="15" hidden="false" customHeight="false" outlineLevel="0" collapsed="false">
      <c r="A918" s="33" t="str">
        <f aca="false">IF(Pipeline_Sort!$C918="","",INDEX(Pipeline_Calc!$B$2:$B$5251,Pipeline_Sort!$C918))</f>
        <v/>
      </c>
      <c r="B918" s="0" t="str">
        <f aca="false">IF(Pipeline_Sort!$C918="","",INDEX(Pipeline_Calc!$C$2:$C$5251,Pipeline_Sort!$C918))</f>
        <v/>
      </c>
      <c r="C918" s="0" t="str">
        <f aca="false">IF(Pipeline_Sort!$C918="","",INDEX(Pipeline_Calc!$D$2:$D$5251,Pipeline_Sort!$C918))</f>
        <v/>
      </c>
      <c r="D918" s="0" t="str">
        <f aca="false">IF(Pipeline_Sort!$C918="","",INDEX(Pipeline_Calc!$E$2:$E$5251,Pipeline_Sort!$C918))</f>
        <v/>
      </c>
      <c r="E918" s="0" t="str">
        <f aca="false">IF(Pipeline_Sort!$C918="","",INDEX(Pipeline_Calc!$F$2:$F$5251,Pipeline_Sort!$C918))</f>
        <v/>
      </c>
      <c r="F918" s="0" t="str">
        <f aca="false">IF(Pipeline_Sort!$C918="","",INDEX(Pipeline_Calc!$G$2:$G$5251,Pipeline_Sort!$C918))</f>
        <v/>
      </c>
      <c r="G918" s="0" t="str">
        <f aca="false">IF(Pipeline_Sort!$C918="","",INDEX(Pipeline_Calc!$H$2:$H$5251,Pipeline_Sort!$C918))</f>
        <v/>
      </c>
      <c r="H918" s="0" t="str">
        <f aca="false">IF(Pipeline_Sort!$C918="","",INDEX(Pipeline_Calc!$I$2:$I$5251,Pipeline_Sort!$C918))</f>
        <v/>
      </c>
      <c r="I918" s="0" t="str">
        <f aca="false">IF(Pipeline_Sort!$C918="","",INDEX(Pipeline_Calc!$J$2:$J$5251,Pipeline_Sort!$C918))</f>
        <v/>
      </c>
    </row>
    <row r="919" customFormat="false" ht="15" hidden="false" customHeight="false" outlineLevel="0" collapsed="false">
      <c r="A919" s="33" t="str">
        <f aca="false">IF(Pipeline_Sort!$C919="","",INDEX(Pipeline_Calc!$B$2:$B$5251,Pipeline_Sort!$C919))</f>
        <v/>
      </c>
      <c r="B919" s="0" t="str">
        <f aca="false">IF(Pipeline_Sort!$C919="","",INDEX(Pipeline_Calc!$C$2:$C$5251,Pipeline_Sort!$C919))</f>
        <v/>
      </c>
      <c r="C919" s="0" t="str">
        <f aca="false">IF(Pipeline_Sort!$C919="","",INDEX(Pipeline_Calc!$D$2:$D$5251,Pipeline_Sort!$C919))</f>
        <v/>
      </c>
      <c r="D919" s="0" t="str">
        <f aca="false">IF(Pipeline_Sort!$C919="","",INDEX(Pipeline_Calc!$E$2:$E$5251,Pipeline_Sort!$C919))</f>
        <v/>
      </c>
      <c r="E919" s="0" t="str">
        <f aca="false">IF(Pipeline_Sort!$C919="","",INDEX(Pipeline_Calc!$F$2:$F$5251,Pipeline_Sort!$C919))</f>
        <v/>
      </c>
      <c r="F919" s="0" t="str">
        <f aca="false">IF(Pipeline_Sort!$C919="","",INDEX(Pipeline_Calc!$G$2:$G$5251,Pipeline_Sort!$C919))</f>
        <v/>
      </c>
      <c r="G919" s="0" t="str">
        <f aca="false">IF(Pipeline_Sort!$C919="","",INDEX(Pipeline_Calc!$H$2:$H$5251,Pipeline_Sort!$C919))</f>
        <v/>
      </c>
      <c r="H919" s="0" t="str">
        <f aca="false">IF(Pipeline_Sort!$C919="","",INDEX(Pipeline_Calc!$I$2:$I$5251,Pipeline_Sort!$C919))</f>
        <v/>
      </c>
      <c r="I919" s="0" t="str">
        <f aca="false">IF(Pipeline_Sort!$C919="","",INDEX(Pipeline_Calc!$J$2:$J$5251,Pipeline_Sort!$C919))</f>
        <v/>
      </c>
    </row>
    <row r="920" customFormat="false" ht="15" hidden="false" customHeight="false" outlineLevel="0" collapsed="false">
      <c r="A920" s="33" t="str">
        <f aca="false">IF(Pipeline_Sort!$C920="","",INDEX(Pipeline_Calc!$B$2:$B$5251,Pipeline_Sort!$C920))</f>
        <v/>
      </c>
      <c r="B920" s="0" t="str">
        <f aca="false">IF(Pipeline_Sort!$C920="","",INDEX(Pipeline_Calc!$C$2:$C$5251,Pipeline_Sort!$C920))</f>
        <v/>
      </c>
      <c r="C920" s="0" t="str">
        <f aca="false">IF(Pipeline_Sort!$C920="","",INDEX(Pipeline_Calc!$D$2:$D$5251,Pipeline_Sort!$C920))</f>
        <v/>
      </c>
      <c r="D920" s="0" t="str">
        <f aca="false">IF(Pipeline_Sort!$C920="","",INDEX(Pipeline_Calc!$E$2:$E$5251,Pipeline_Sort!$C920))</f>
        <v/>
      </c>
      <c r="E920" s="0" t="str">
        <f aca="false">IF(Pipeline_Sort!$C920="","",INDEX(Pipeline_Calc!$F$2:$F$5251,Pipeline_Sort!$C920))</f>
        <v/>
      </c>
      <c r="F920" s="0" t="str">
        <f aca="false">IF(Pipeline_Sort!$C920="","",INDEX(Pipeline_Calc!$G$2:$G$5251,Pipeline_Sort!$C920))</f>
        <v/>
      </c>
      <c r="G920" s="0" t="str">
        <f aca="false">IF(Pipeline_Sort!$C920="","",INDEX(Pipeline_Calc!$H$2:$H$5251,Pipeline_Sort!$C920))</f>
        <v/>
      </c>
      <c r="H920" s="0" t="str">
        <f aca="false">IF(Pipeline_Sort!$C920="","",INDEX(Pipeline_Calc!$I$2:$I$5251,Pipeline_Sort!$C920))</f>
        <v/>
      </c>
      <c r="I920" s="0" t="str">
        <f aca="false">IF(Pipeline_Sort!$C920="","",INDEX(Pipeline_Calc!$J$2:$J$5251,Pipeline_Sort!$C920))</f>
        <v/>
      </c>
    </row>
    <row r="921" customFormat="false" ht="15" hidden="false" customHeight="false" outlineLevel="0" collapsed="false">
      <c r="A921" s="33" t="str">
        <f aca="false">IF(Pipeline_Sort!$C921="","",INDEX(Pipeline_Calc!$B$2:$B$5251,Pipeline_Sort!$C921))</f>
        <v/>
      </c>
      <c r="B921" s="0" t="str">
        <f aca="false">IF(Pipeline_Sort!$C921="","",INDEX(Pipeline_Calc!$C$2:$C$5251,Pipeline_Sort!$C921))</f>
        <v/>
      </c>
      <c r="C921" s="0" t="str">
        <f aca="false">IF(Pipeline_Sort!$C921="","",INDEX(Pipeline_Calc!$D$2:$D$5251,Pipeline_Sort!$C921))</f>
        <v/>
      </c>
      <c r="D921" s="0" t="str">
        <f aca="false">IF(Pipeline_Sort!$C921="","",INDEX(Pipeline_Calc!$E$2:$E$5251,Pipeline_Sort!$C921))</f>
        <v/>
      </c>
      <c r="E921" s="0" t="str">
        <f aca="false">IF(Pipeline_Sort!$C921="","",INDEX(Pipeline_Calc!$F$2:$F$5251,Pipeline_Sort!$C921))</f>
        <v/>
      </c>
      <c r="F921" s="0" t="str">
        <f aca="false">IF(Pipeline_Sort!$C921="","",INDEX(Pipeline_Calc!$G$2:$G$5251,Pipeline_Sort!$C921))</f>
        <v/>
      </c>
      <c r="G921" s="0" t="str">
        <f aca="false">IF(Pipeline_Sort!$C921="","",INDEX(Pipeline_Calc!$H$2:$H$5251,Pipeline_Sort!$C921))</f>
        <v/>
      </c>
      <c r="H921" s="0" t="str">
        <f aca="false">IF(Pipeline_Sort!$C921="","",INDEX(Pipeline_Calc!$I$2:$I$5251,Pipeline_Sort!$C921))</f>
        <v/>
      </c>
      <c r="I921" s="0" t="str">
        <f aca="false">IF(Pipeline_Sort!$C921="","",INDEX(Pipeline_Calc!$J$2:$J$5251,Pipeline_Sort!$C921))</f>
        <v/>
      </c>
    </row>
    <row r="922" customFormat="false" ht="15" hidden="false" customHeight="false" outlineLevel="0" collapsed="false">
      <c r="A922" s="33" t="str">
        <f aca="false">IF(Pipeline_Sort!$C922="","",INDEX(Pipeline_Calc!$B$2:$B$5251,Pipeline_Sort!$C922))</f>
        <v/>
      </c>
      <c r="B922" s="0" t="str">
        <f aca="false">IF(Pipeline_Sort!$C922="","",INDEX(Pipeline_Calc!$C$2:$C$5251,Pipeline_Sort!$C922))</f>
        <v/>
      </c>
      <c r="C922" s="0" t="str">
        <f aca="false">IF(Pipeline_Sort!$C922="","",INDEX(Pipeline_Calc!$D$2:$D$5251,Pipeline_Sort!$C922))</f>
        <v/>
      </c>
      <c r="D922" s="0" t="str">
        <f aca="false">IF(Pipeline_Sort!$C922="","",INDEX(Pipeline_Calc!$E$2:$E$5251,Pipeline_Sort!$C922))</f>
        <v/>
      </c>
      <c r="E922" s="0" t="str">
        <f aca="false">IF(Pipeline_Sort!$C922="","",INDEX(Pipeline_Calc!$F$2:$F$5251,Pipeline_Sort!$C922))</f>
        <v/>
      </c>
      <c r="F922" s="0" t="str">
        <f aca="false">IF(Pipeline_Sort!$C922="","",INDEX(Pipeline_Calc!$G$2:$G$5251,Pipeline_Sort!$C922))</f>
        <v/>
      </c>
      <c r="G922" s="0" t="str">
        <f aca="false">IF(Pipeline_Sort!$C922="","",INDEX(Pipeline_Calc!$H$2:$H$5251,Pipeline_Sort!$C922))</f>
        <v/>
      </c>
      <c r="H922" s="0" t="str">
        <f aca="false">IF(Pipeline_Sort!$C922="","",INDEX(Pipeline_Calc!$I$2:$I$5251,Pipeline_Sort!$C922))</f>
        <v/>
      </c>
      <c r="I922" s="0" t="str">
        <f aca="false">IF(Pipeline_Sort!$C922="","",INDEX(Pipeline_Calc!$J$2:$J$5251,Pipeline_Sort!$C922))</f>
        <v/>
      </c>
    </row>
    <row r="923" customFormat="false" ht="15" hidden="false" customHeight="false" outlineLevel="0" collapsed="false">
      <c r="A923" s="33" t="str">
        <f aca="false">IF(Pipeline_Sort!$C923="","",INDEX(Pipeline_Calc!$B$2:$B$5251,Pipeline_Sort!$C923))</f>
        <v/>
      </c>
      <c r="B923" s="0" t="str">
        <f aca="false">IF(Pipeline_Sort!$C923="","",INDEX(Pipeline_Calc!$C$2:$C$5251,Pipeline_Sort!$C923))</f>
        <v/>
      </c>
      <c r="C923" s="0" t="str">
        <f aca="false">IF(Pipeline_Sort!$C923="","",INDEX(Pipeline_Calc!$D$2:$D$5251,Pipeline_Sort!$C923))</f>
        <v/>
      </c>
      <c r="D923" s="0" t="str">
        <f aca="false">IF(Pipeline_Sort!$C923="","",INDEX(Pipeline_Calc!$E$2:$E$5251,Pipeline_Sort!$C923))</f>
        <v/>
      </c>
      <c r="E923" s="0" t="str">
        <f aca="false">IF(Pipeline_Sort!$C923="","",INDEX(Pipeline_Calc!$F$2:$F$5251,Pipeline_Sort!$C923))</f>
        <v/>
      </c>
      <c r="F923" s="0" t="str">
        <f aca="false">IF(Pipeline_Sort!$C923="","",INDEX(Pipeline_Calc!$G$2:$G$5251,Pipeline_Sort!$C923))</f>
        <v/>
      </c>
      <c r="G923" s="0" t="str">
        <f aca="false">IF(Pipeline_Sort!$C923="","",INDEX(Pipeline_Calc!$H$2:$H$5251,Pipeline_Sort!$C923))</f>
        <v/>
      </c>
      <c r="H923" s="0" t="str">
        <f aca="false">IF(Pipeline_Sort!$C923="","",INDEX(Pipeline_Calc!$I$2:$I$5251,Pipeline_Sort!$C923))</f>
        <v/>
      </c>
      <c r="I923" s="0" t="str">
        <f aca="false">IF(Pipeline_Sort!$C923="","",INDEX(Pipeline_Calc!$J$2:$J$5251,Pipeline_Sort!$C923))</f>
        <v/>
      </c>
    </row>
    <row r="924" customFormat="false" ht="15" hidden="false" customHeight="false" outlineLevel="0" collapsed="false">
      <c r="A924" s="33" t="str">
        <f aca="false">IF(Pipeline_Sort!$C924="","",INDEX(Pipeline_Calc!$B$2:$B$5251,Pipeline_Sort!$C924))</f>
        <v/>
      </c>
      <c r="B924" s="0" t="str">
        <f aca="false">IF(Pipeline_Sort!$C924="","",INDEX(Pipeline_Calc!$C$2:$C$5251,Pipeline_Sort!$C924))</f>
        <v/>
      </c>
      <c r="C924" s="0" t="str">
        <f aca="false">IF(Pipeline_Sort!$C924="","",INDEX(Pipeline_Calc!$D$2:$D$5251,Pipeline_Sort!$C924))</f>
        <v/>
      </c>
      <c r="D924" s="0" t="str">
        <f aca="false">IF(Pipeline_Sort!$C924="","",INDEX(Pipeline_Calc!$E$2:$E$5251,Pipeline_Sort!$C924))</f>
        <v/>
      </c>
      <c r="E924" s="0" t="str">
        <f aca="false">IF(Pipeline_Sort!$C924="","",INDEX(Pipeline_Calc!$F$2:$F$5251,Pipeline_Sort!$C924))</f>
        <v/>
      </c>
      <c r="F924" s="0" t="str">
        <f aca="false">IF(Pipeline_Sort!$C924="","",INDEX(Pipeline_Calc!$G$2:$G$5251,Pipeline_Sort!$C924))</f>
        <v/>
      </c>
      <c r="G924" s="0" t="str">
        <f aca="false">IF(Pipeline_Sort!$C924="","",INDEX(Pipeline_Calc!$H$2:$H$5251,Pipeline_Sort!$C924))</f>
        <v/>
      </c>
      <c r="H924" s="0" t="str">
        <f aca="false">IF(Pipeline_Sort!$C924="","",INDEX(Pipeline_Calc!$I$2:$I$5251,Pipeline_Sort!$C924))</f>
        <v/>
      </c>
      <c r="I924" s="0" t="str">
        <f aca="false">IF(Pipeline_Sort!$C924="","",INDEX(Pipeline_Calc!$J$2:$J$5251,Pipeline_Sort!$C924))</f>
        <v/>
      </c>
    </row>
    <row r="925" customFormat="false" ht="15" hidden="false" customHeight="false" outlineLevel="0" collapsed="false">
      <c r="A925" s="33" t="str">
        <f aca="false">IF(Pipeline_Sort!$C925="","",INDEX(Pipeline_Calc!$B$2:$B$5251,Pipeline_Sort!$C925))</f>
        <v/>
      </c>
      <c r="B925" s="0" t="str">
        <f aca="false">IF(Pipeline_Sort!$C925="","",INDEX(Pipeline_Calc!$C$2:$C$5251,Pipeline_Sort!$C925))</f>
        <v/>
      </c>
      <c r="C925" s="0" t="str">
        <f aca="false">IF(Pipeline_Sort!$C925="","",INDEX(Pipeline_Calc!$D$2:$D$5251,Pipeline_Sort!$C925))</f>
        <v/>
      </c>
      <c r="D925" s="0" t="str">
        <f aca="false">IF(Pipeline_Sort!$C925="","",INDEX(Pipeline_Calc!$E$2:$E$5251,Pipeline_Sort!$C925))</f>
        <v/>
      </c>
      <c r="E925" s="0" t="str">
        <f aca="false">IF(Pipeline_Sort!$C925="","",INDEX(Pipeline_Calc!$F$2:$F$5251,Pipeline_Sort!$C925))</f>
        <v/>
      </c>
      <c r="F925" s="0" t="str">
        <f aca="false">IF(Pipeline_Sort!$C925="","",INDEX(Pipeline_Calc!$G$2:$G$5251,Pipeline_Sort!$C925))</f>
        <v/>
      </c>
      <c r="G925" s="0" t="str">
        <f aca="false">IF(Pipeline_Sort!$C925="","",INDEX(Pipeline_Calc!$H$2:$H$5251,Pipeline_Sort!$C925))</f>
        <v/>
      </c>
      <c r="H925" s="0" t="str">
        <f aca="false">IF(Pipeline_Sort!$C925="","",INDEX(Pipeline_Calc!$I$2:$I$5251,Pipeline_Sort!$C925))</f>
        <v/>
      </c>
      <c r="I925" s="0" t="str">
        <f aca="false">IF(Pipeline_Sort!$C925="","",INDEX(Pipeline_Calc!$J$2:$J$5251,Pipeline_Sort!$C925))</f>
        <v/>
      </c>
    </row>
    <row r="926" customFormat="false" ht="15" hidden="false" customHeight="false" outlineLevel="0" collapsed="false">
      <c r="A926" s="33" t="str">
        <f aca="false">IF(Pipeline_Sort!$C926="","",INDEX(Pipeline_Calc!$B$2:$B$5251,Pipeline_Sort!$C926))</f>
        <v/>
      </c>
      <c r="B926" s="0" t="str">
        <f aca="false">IF(Pipeline_Sort!$C926="","",INDEX(Pipeline_Calc!$C$2:$C$5251,Pipeline_Sort!$C926))</f>
        <v/>
      </c>
      <c r="C926" s="0" t="str">
        <f aca="false">IF(Pipeline_Sort!$C926="","",INDEX(Pipeline_Calc!$D$2:$D$5251,Pipeline_Sort!$C926))</f>
        <v/>
      </c>
      <c r="D926" s="0" t="str">
        <f aca="false">IF(Pipeline_Sort!$C926="","",INDEX(Pipeline_Calc!$E$2:$E$5251,Pipeline_Sort!$C926))</f>
        <v/>
      </c>
      <c r="E926" s="0" t="str">
        <f aca="false">IF(Pipeline_Sort!$C926="","",INDEX(Pipeline_Calc!$F$2:$F$5251,Pipeline_Sort!$C926))</f>
        <v/>
      </c>
      <c r="F926" s="0" t="str">
        <f aca="false">IF(Pipeline_Sort!$C926="","",INDEX(Pipeline_Calc!$G$2:$G$5251,Pipeline_Sort!$C926))</f>
        <v/>
      </c>
      <c r="G926" s="0" t="str">
        <f aca="false">IF(Pipeline_Sort!$C926="","",INDEX(Pipeline_Calc!$H$2:$H$5251,Pipeline_Sort!$C926))</f>
        <v/>
      </c>
      <c r="H926" s="0" t="str">
        <f aca="false">IF(Pipeline_Sort!$C926="","",INDEX(Pipeline_Calc!$I$2:$I$5251,Pipeline_Sort!$C926))</f>
        <v/>
      </c>
      <c r="I926" s="0" t="str">
        <f aca="false">IF(Pipeline_Sort!$C926="","",INDEX(Pipeline_Calc!$J$2:$J$5251,Pipeline_Sort!$C926))</f>
        <v/>
      </c>
    </row>
    <row r="927" customFormat="false" ht="15" hidden="false" customHeight="false" outlineLevel="0" collapsed="false">
      <c r="A927" s="33" t="str">
        <f aca="false">IF(Pipeline_Sort!$C927="","",INDEX(Pipeline_Calc!$B$2:$B$5251,Pipeline_Sort!$C927))</f>
        <v/>
      </c>
      <c r="B927" s="0" t="str">
        <f aca="false">IF(Pipeline_Sort!$C927="","",INDEX(Pipeline_Calc!$C$2:$C$5251,Pipeline_Sort!$C927))</f>
        <v/>
      </c>
      <c r="C927" s="0" t="str">
        <f aca="false">IF(Pipeline_Sort!$C927="","",INDEX(Pipeline_Calc!$D$2:$D$5251,Pipeline_Sort!$C927))</f>
        <v/>
      </c>
      <c r="D927" s="0" t="str">
        <f aca="false">IF(Pipeline_Sort!$C927="","",INDEX(Pipeline_Calc!$E$2:$E$5251,Pipeline_Sort!$C927))</f>
        <v/>
      </c>
      <c r="E927" s="0" t="str">
        <f aca="false">IF(Pipeline_Sort!$C927="","",INDEX(Pipeline_Calc!$F$2:$F$5251,Pipeline_Sort!$C927))</f>
        <v/>
      </c>
      <c r="F927" s="0" t="str">
        <f aca="false">IF(Pipeline_Sort!$C927="","",INDEX(Pipeline_Calc!$G$2:$G$5251,Pipeline_Sort!$C927))</f>
        <v/>
      </c>
      <c r="G927" s="0" t="str">
        <f aca="false">IF(Pipeline_Sort!$C927="","",INDEX(Pipeline_Calc!$H$2:$H$5251,Pipeline_Sort!$C927))</f>
        <v/>
      </c>
      <c r="H927" s="0" t="str">
        <f aca="false">IF(Pipeline_Sort!$C927="","",INDEX(Pipeline_Calc!$I$2:$I$5251,Pipeline_Sort!$C927))</f>
        <v/>
      </c>
      <c r="I927" s="0" t="str">
        <f aca="false">IF(Pipeline_Sort!$C927="","",INDEX(Pipeline_Calc!$J$2:$J$5251,Pipeline_Sort!$C927))</f>
        <v/>
      </c>
    </row>
    <row r="928" customFormat="false" ht="15" hidden="false" customHeight="false" outlineLevel="0" collapsed="false">
      <c r="A928" s="33" t="str">
        <f aca="false">IF(Pipeline_Sort!$C928="","",INDEX(Pipeline_Calc!$B$2:$B$5251,Pipeline_Sort!$C928))</f>
        <v/>
      </c>
      <c r="B928" s="0" t="str">
        <f aca="false">IF(Pipeline_Sort!$C928="","",INDEX(Pipeline_Calc!$C$2:$C$5251,Pipeline_Sort!$C928))</f>
        <v/>
      </c>
      <c r="C928" s="0" t="str">
        <f aca="false">IF(Pipeline_Sort!$C928="","",INDEX(Pipeline_Calc!$D$2:$D$5251,Pipeline_Sort!$C928))</f>
        <v/>
      </c>
      <c r="D928" s="0" t="str">
        <f aca="false">IF(Pipeline_Sort!$C928="","",INDEX(Pipeline_Calc!$E$2:$E$5251,Pipeline_Sort!$C928))</f>
        <v/>
      </c>
      <c r="E928" s="0" t="str">
        <f aca="false">IF(Pipeline_Sort!$C928="","",INDEX(Pipeline_Calc!$F$2:$F$5251,Pipeline_Sort!$C928))</f>
        <v/>
      </c>
      <c r="F928" s="0" t="str">
        <f aca="false">IF(Pipeline_Sort!$C928="","",INDEX(Pipeline_Calc!$G$2:$G$5251,Pipeline_Sort!$C928))</f>
        <v/>
      </c>
      <c r="G928" s="0" t="str">
        <f aca="false">IF(Pipeline_Sort!$C928="","",INDEX(Pipeline_Calc!$H$2:$H$5251,Pipeline_Sort!$C928))</f>
        <v/>
      </c>
      <c r="H928" s="0" t="str">
        <f aca="false">IF(Pipeline_Sort!$C928="","",INDEX(Pipeline_Calc!$I$2:$I$5251,Pipeline_Sort!$C928))</f>
        <v/>
      </c>
      <c r="I928" s="0" t="str">
        <f aca="false">IF(Pipeline_Sort!$C928="","",INDEX(Pipeline_Calc!$J$2:$J$5251,Pipeline_Sort!$C928))</f>
        <v/>
      </c>
    </row>
    <row r="929" customFormat="false" ht="15" hidden="false" customHeight="false" outlineLevel="0" collapsed="false">
      <c r="A929" s="33" t="str">
        <f aca="false">IF(Pipeline_Sort!$C929="","",INDEX(Pipeline_Calc!$B$2:$B$5251,Pipeline_Sort!$C929))</f>
        <v/>
      </c>
      <c r="B929" s="0" t="str">
        <f aca="false">IF(Pipeline_Sort!$C929="","",INDEX(Pipeline_Calc!$C$2:$C$5251,Pipeline_Sort!$C929))</f>
        <v/>
      </c>
      <c r="C929" s="0" t="str">
        <f aca="false">IF(Pipeline_Sort!$C929="","",INDEX(Pipeline_Calc!$D$2:$D$5251,Pipeline_Sort!$C929))</f>
        <v/>
      </c>
      <c r="D929" s="0" t="str">
        <f aca="false">IF(Pipeline_Sort!$C929="","",INDEX(Pipeline_Calc!$E$2:$E$5251,Pipeline_Sort!$C929))</f>
        <v/>
      </c>
      <c r="E929" s="0" t="str">
        <f aca="false">IF(Pipeline_Sort!$C929="","",INDEX(Pipeline_Calc!$F$2:$F$5251,Pipeline_Sort!$C929))</f>
        <v/>
      </c>
      <c r="F929" s="0" t="str">
        <f aca="false">IF(Pipeline_Sort!$C929="","",INDEX(Pipeline_Calc!$G$2:$G$5251,Pipeline_Sort!$C929))</f>
        <v/>
      </c>
      <c r="G929" s="0" t="str">
        <f aca="false">IF(Pipeline_Sort!$C929="","",INDEX(Pipeline_Calc!$H$2:$H$5251,Pipeline_Sort!$C929))</f>
        <v/>
      </c>
      <c r="H929" s="0" t="str">
        <f aca="false">IF(Pipeline_Sort!$C929="","",INDEX(Pipeline_Calc!$I$2:$I$5251,Pipeline_Sort!$C929))</f>
        <v/>
      </c>
      <c r="I929" s="0" t="str">
        <f aca="false">IF(Pipeline_Sort!$C929="","",INDEX(Pipeline_Calc!$J$2:$J$5251,Pipeline_Sort!$C929))</f>
        <v/>
      </c>
    </row>
    <row r="930" customFormat="false" ht="15" hidden="false" customHeight="false" outlineLevel="0" collapsed="false">
      <c r="A930" s="33" t="str">
        <f aca="false">IF(Pipeline_Sort!$C930="","",INDEX(Pipeline_Calc!$B$2:$B$5251,Pipeline_Sort!$C930))</f>
        <v/>
      </c>
      <c r="B930" s="0" t="str">
        <f aca="false">IF(Pipeline_Sort!$C930="","",INDEX(Pipeline_Calc!$C$2:$C$5251,Pipeline_Sort!$C930))</f>
        <v/>
      </c>
      <c r="C930" s="0" t="str">
        <f aca="false">IF(Pipeline_Sort!$C930="","",INDEX(Pipeline_Calc!$D$2:$D$5251,Pipeline_Sort!$C930))</f>
        <v/>
      </c>
      <c r="D930" s="0" t="str">
        <f aca="false">IF(Pipeline_Sort!$C930="","",INDEX(Pipeline_Calc!$E$2:$E$5251,Pipeline_Sort!$C930))</f>
        <v/>
      </c>
      <c r="E930" s="0" t="str">
        <f aca="false">IF(Pipeline_Sort!$C930="","",INDEX(Pipeline_Calc!$F$2:$F$5251,Pipeline_Sort!$C930))</f>
        <v/>
      </c>
      <c r="F930" s="0" t="str">
        <f aca="false">IF(Pipeline_Sort!$C930="","",INDEX(Pipeline_Calc!$G$2:$G$5251,Pipeline_Sort!$C930))</f>
        <v/>
      </c>
      <c r="G930" s="0" t="str">
        <f aca="false">IF(Pipeline_Sort!$C930="","",INDEX(Pipeline_Calc!$H$2:$H$5251,Pipeline_Sort!$C930))</f>
        <v/>
      </c>
      <c r="H930" s="0" t="str">
        <f aca="false">IF(Pipeline_Sort!$C930="","",INDEX(Pipeline_Calc!$I$2:$I$5251,Pipeline_Sort!$C930))</f>
        <v/>
      </c>
      <c r="I930" s="0" t="str">
        <f aca="false">IF(Pipeline_Sort!$C930="","",INDEX(Pipeline_Calc!$J$2:$J$5251,Pipeline_Sort!$C930))</f>
        <v/>
      </c>
    </row>
    <row r="931" customFormat="false" ht="15" hidden="false" customHeight="false" outlineLevel="0" collapsed="false">
      <c r="A931" s="33" t="str">
        <f aca="false">IF(Pipeline_Sort!$C931="","",INDEX(Pipeline_Calc!$B$2:$B$5251,Pipeline_Sort!$C931))</f>
        <v/>
      </c>
      <c r="B931" s="0" t="str">
        <f aca="false">IF(Pipeline_Sort!$C931="","",INDEX(Pipeline_Calc!$C$2:$C$5251,Pipeline_Sort!$C931))</f>
        <v/>
      </c>
      <c r="C931" s="0" t="str">
        <f aca="false">IF(Pipeline_Sort!$C931="","",INDEX(Pipeline_Calc!$D$2:$D$5251,Pipeline_Sort!$C931))</f>
        <v/>
      </c>
      <c r="D931" s="0" t="str">
        <f aca="false">IF(Pipeline_Sort!$C931="","",INDEX(Pipeline_Calc!$E$2:$E$5251,Pipeline_Sort!$C931))</f>
        <v/>
      </c>
      <c r="E931" s="0" t="str">
        <f aca="false">IF(Pipeline_Sort!$C931="","",INDEX(Pipeline_Calc!$F$2:$F$5251,Pipeline_Sort!$C931))</f>
        <v/>
      </c>
      <c r="F931" s="0" t="str">
        <f aca="false">IF(Pipeline_Sort!$C931="","",INDEX(Pipeline_Calc!$G$2:$G$5251,Pipeline_Sort!$C931))</f>
        <v/>
      </c>
      <c r="G931" s="0" t="str">
        <f aca="false">IF(Pipeline_Sort!$C931="","",INDEX(Pipeline_Calc!$H$2:$H$5251,Pipeline_Sort!$C931))</f>
        <v/>
      </c>
      <c r="H931" s="0" t="str">
        <f aca="false">IF(Pipeline_Sort!$C931="","",INDEX(Pipeline_Calc!$I$2:$I$5251,Pipeline_Sort!$C931))</f>
        <v/>
      </c>
      <c r="I931" s="0" t="str">
        <f aca="false">IF(Pipeline_Sort!$C931="","",INDEX(Pipeline_Calc!$J$2:$J$5251,Pipeline_Sort!$C931))</f>
        <v/>
      </c>
    </row>
    <row r="932" customFormat="false" ht="15" hidden="false" customHeight="false" outlineLevel="0" collapsed="false">
      <c r="A932" s="33" t="str">
        <f aca="false">IF(Pipeline_Sort!$C932="","",INDEX(Pipeline_Calc!$B$2:$B$5251,Pipeline_Sort!$C932))</f>
        <v/>
      </c>
      <c r="B932" s="0" t="str">
        <f aca="false">IF(Pipeline_Sort!$C932="","",INDEX(Pipeline_Calc!$C$2:$C$5251,Pipeline_Sort!$C932))</f>
        <v/>
      </c>
      <c r="C932" s="0" t="str">
        <f aca="false">IF(Pipeline_Sort!$C932="","",INDEX(Pipeline_Calc!$D$2:$D$5251,Pipeline_Sort!$C932))</f>
        <v/>
      </c>
      <c r="D932" s="0" t="str">
        <f aca="false">IF(Pipeline_Sort!$C932="","",INDEX(Pipeline_Calc!$E$2:$E$5251,Pipeline_Sort!$C932))</f>
        <v/>
      </c>
      <c r="E932" s="0" t="str">
        <f aca="false">IF(Pipeline_Sort!$C932="","",INDEX(Pipeline_Calc!$F$2:$F$5251,Pipeline_Sort!$C932))</f>
        <v/>
      </c>
      <c r="F932" s="0" t="str">
        <f aca="false">IF(Pipeline_Sort!$C932="","",INDEX(Pipeline_Calc!$G$2:$G$5251,Pipeline_Sort!$C932))</f>
        <v/>
      </c>
      <c r="G932" s="0" t="str">
        <f aca="false">IF(Pipeline_Sort!$C932="","",INDEX(Pipeline_Calc!$H$2:$H$5251,Pipeline_Sort!$C932))</f>
        <v/>
      </c>
      <c r="H932" s="0" t="str">
        <f aca="false">IF(Pipeline_Sort!$C932="","",INDEX(Pipeline_Calc!$I$2:$I$5251,Pipeline_Sort!$C932))</f>
        <v/>
      </c>
      <c r="I932" s="0" t="str">
        <f aca="false">IF(Pipeline_Sort!$C932="","",INDEX(Pipeline_Calc!$J$2:$J$5251,Pipeline_Sort!$C932))</f>
        <v/>
      </c>
    </row>
    <row r="933" customFormat="false" ht="15" hidden="false" customHeight="false" outlineLevel="0" collapsed="false">
      <c r="A933" s="33" t="str">
        <f aca="false">IF(Pipeline_Sort!$C933="","",INDEX(Pipeline_Calc!$B$2:$B$5251,Pipeline_Sort!$C933))</f>
        <v/>
      </c>
      <c r="B933" s="0" t="str">
        <f aca="false">IF(Pipeline_Sort!$C933="","",INDEX(Pipeline_Calc!$C$2:$C$5251,Pipeline_Sort!$C933))</f>
        <v/>
      </c>
      <c r="C933" s="0" t="str">
        <f aca="false">IF(Pipeline_Sort!$C933="","",INDEX(Pipeline_Calc!$D$2:$D$5251,Pipeline_Sort!$C933))</f>
        <v/>
      </c>
      <c r="D933" s="0" t="str">
        <f aca="false">IF(Pipeline_Sort!$C933="","",INDEX(Pipeline_Calc!$E$2:$E$5251,Pipeline_Sort!$C933))</f>
        <v/>
      </c>
      <c r="E933" s="0" t="str">
        <f aca="false">IF(Pipeline_Sort!$C933="","",INDEX(Pipeline_Calc!$F$2:$F$5251,Pipeline_Sort!$C933))</f>
        <v/>
      </c>
      <c r="F933" s="0" t="str">
        <f aca="false">IF(Pipeline_Sort!$C933="","",INDEX(Pipeline_Calc!$G$2:$G$5251,Pipeline_Sort!$C933))</f>
        <v/>
      </c>
      <c r="G933" s="0" t="str">
        <f aca="false">IF(Pipeline_Sort!$C933="","",INDEX(Pipeline_Calc!$H$2:$H$5251,Pipeline_Sort!$C933))</f>
        <v/>
      </c>
      <c r="H933" s="0" t="str">
        <f aca="false">IF(Pipeline_Sort!$C933="","",INDEX(Pipeline_Calc!$I$2:$I$5251,Pipeline_Sort!$C933))</f>
        <v/>
      </c>
      <c r="I933" s="0" t="str">
        <f aca="false">IF(Pipeline_Sort!$C933="","",INDEX(Pipeline_Calc!$J$2:$J$5251,Pipeline_Sort!$C933))</f>
        <v/>
      </c>
    </row>
    <row r="934" customFormat="false" ht="15" hidden="false" customHeight="false" outlineLevel="0" collapsed="false">
      <c r="A934" s="33" t="str">
        <f aca="false">IF(Pipeline_Sort!$C934="","",INDEX(Pipeline_Calc!$B$2:$B$5251,Pipeline_Sort!$C934))</f>
        <v/>
      </c>
      <c r="B934" s="0" t="str">
        <f aca="false">IF(Pipeline_Sort!$C934="","",INDEX(Pipeline_Calc!$C$2:$C$5251,Pipeline_Sort!$C934))</f>
        <v/>
      </c>
      <c r="C934" s="0" t="str">
        <f aca="false">IF(Pipeline_Sort!$C934="","",INDEX(Pipeline_Calc!$D$2:$D$5251,Pipeline_Sort!$C934))</f>
        <v/>
      </c>
      <c r="D934" s="0" t="str">
        <f aca="false">IF(Pipeline_Sort!$C934="","",INDEX(Pipeline_Calc!$E$2:$E$5251,Pipeline_Sort!$C934))</f>
        <v/>
      </c>
      <c r="E934" s="0" t="str">
        <f aca="false">IF(Pipeline_Sort!$C934="","",INDEX(Pipeline_Calc!$F$2:$F$5251,Pipeline_Sort!$C934))</f>
        <v/>
      </c>
      <c r="F934" s="0" t="str">
        <f aca="false">IF(Pipeline_Sort!$C934="","",INDEX(Pipeline_Calc!$G$2:$G$5251,Pipeline_Sort!$C934))</f>
        <v/>
      </c>
      <c r="G934" s="0" t="str">
        <f aca="false">IF(Pipeline_Sort!$C934="","",INDEX(Pipeline_Calc!$H$2:$H$5251,Pipeline_Sort!$C934))</f>
        <v/>
      </c>
      <c r="H934" s="0" t="str">
        <f aca="false">IF(Pipeline_Sort!$C934="","",INDEX(Pipeline_Calc!$I$2:$I$5251,Pipeline_Sort!$C934))</f>
        <v/>
      </c>
      <c r="I934" s="0" t="str">
        <f aca="false">IF(Pipeline_Sort!$C934="","",INDEX(Pipeline_Calc!$J$2:$J$5251,Pipeline_Sort!$C934))</f>
        <v/>
      </c>
    </row>
    <row r="935" customFormat="false" ht="15" hidden="false" customHeight="false" outlineLevel="0" collapsed="false">
      <c r="A935" s="33" t="str">
        <f aca="false">IF(Pipeline_Sort!$C935="","",INDEX(Pipeline_Calc!$B$2:$B$5251,Pipeline_Sort!$C935))</f>
        <v/>
      </c>
      <c r="B935" s="0" t="str">
        <f aca="false">IF(Pipeline_Sort!$C935="","",INDEX(Pipeline_Calc!$C$2:$C$5251,Pipeline_Sort!$C935))</f>
        <v/>
      </c>
      <c r="C935" s="0" t="str">
        <f aca="false">IF(Pipeline_Sort!$C935="","",INDEX(Pipeline_Calc!$D$2:$D$5251,Pipeline_Sort!$C935))</f>
        <v/>
      </c>
      <c r="D935" s="0" t="str">
        <f aca="false">IF(Pipeline_Sort!$C935="","",INDEX(Pipeline_Calc!$E$2:$E$5251,Pipeline_Sort!$C935))</f>
        <v/>
      </c>
      <c r="E935" s="0" t="str">
        <f aca="false">IF(Pipeline_Sort!$C935="","",INDEX(Pipeline_Calc!$F$2:$F$5251,Pipeline_Sort!$C935))</f>
        <v/>
      </c>
      <c r="F935" s="0" t="str">
        <f aca="false">IF(Pipeline_Sort!$C935="","",INDEX(Pipeline_Calc!$G$2:$G$5251,Pipeline_Sort!$C935))</f>
        <v/>
      </c>
      <c r="G935" s="0" t="str">
        <f aca="false">IF(Pipeline_Sort!$C935="","",INDEX(Pipeline_Calc!$H$2:$H$5251,Pipeline_Sort!$C935))</f>
        <v/>
      </c>
      <c r="H935" s="0" t="str">
        <f aca="false">IF(Pipeline_Sort!$C935="","",INDEX(Pipeline_Calc!$I$2:$I$5251,Pipeline_Sort!$C935))</f>
        <v/>
      </c>
      <c r="I935" s="0" t="str">
        <f aca="false">IF(Pipeline_Sort!$C935="","",INDEX(Pipeline_Calc!$J$2:$J$5251,Pipeline_Sort!$C935))</f>
        <v/>
      </c>
    </row>
    <row r="936" customFormat="false" ht="15" hidden="false" customHeight="false" outlineLevel="0" collapsed="false">
      <c r="A936" s="33" t="str">
        <f aca="false">IF(Pipeline_Sort!$C936="","",INDEX(Pipeline_Calc!$B$2:$B$5251,Pipeline_Sort!$C936))</f>
        <v/>
      </c>
      <c r="B936" s="0" t="str">
        <f aca="false">IF(Pipeline_Sort!$C936="","",INDEX(Pipeline_Calc!$C$2:$C$5251,Pipeline_Sort!$C936))</f>
        <v/>
      </c>
      <c r="C936" s="0" t="str">
        <f aca="false">IF(Pipeline_Sort!$C936="","",INDEX(Pipeline_Calc!$D$2:$D$5251,Pipeline_Sort!$C936))</f>
        <v/>
      </c>
      <c r="D936" s="0" t="str">
        <f aca="false">IF(Pipeline_Sort!$C936="","",INDEX(Pipeline_Calc!$E$2:$E$5251,Pipeline_Sort!$C936))</f>
        <v/>
      </c>
      <c r="E936" s="0" t="str">
        <f aca="false">IF(Pipeline_Sort!$C936="","",INDEX(Pipeline_Calc!$F$2:$F$5251,Pipeline_Sort!$C936))</f>
        <v/>
      </c>
      <c r="F936" s="0" t="str">
        <f aca="false">IF(Pipeline_Sort!$C936="","",INDEX(Pipeline_Calc!$G$2:$G$5251,Pipeline_Sort!$C936))</f>
        <v/>
      </c>
      <c r="G936" s="0" t="str">
        <f aca="false">IF(Pipeline_Sort!$C936="","",INDEX(Pipeline_Calc!$H$2:$H$5251,Pipeline_Sort!$C936))</f>
        <v/>
      </c>
      <c r="H936" s="0" t="str">
        <f aca="false">IF(Pipeline_Sort!$C936="","",INDEX(Pipeline_Calc!$I$2:$I$5251,Pipeline_Sort!$C936))</f>
        <v/>
      </c>
      <c r="I936" s="0" t="str">
        <f aca="false">IF(Pipeline_Sort!$C936="","",INDEX(Pipeline_Calc!$J$2:$J$5251,Pipeline_Sort!$C936))</f>
        <v/>
      </c>
    </row>
    <row r="937" customFormat="false" ht="15" hidden="false" customHeight="false" outlineLevel="0" collapsed="false">
      <c r="A937" s="33" t="str">
        <f aca="false">IF(Pipeline_Sort!$C937="","",INDEX(Pipeline_Calc!$B$2:$B$5251,Pipeline_Sort!$C937))</f>
        <v/>
      </c>
      <c r="B937" s="0" t="str">
        <f aca="false">IF(Pipeline_Sort!$C937="","",INDEX(Pipeline_Calc!$C$2:$C$5251,Pipeline_Sort!$C937))</f>
        <v/>
      </c>
      <c r="C937" s="0" t="str">
        <f aca="false">IF(Pipeline_Sort!$C937="","",INDEX(Pipeline_Calc!$D$2:$D$5251,Pipeline_Sort!$C937))</f>
        <v/>
      </c>
      <c r="D937" s="0" t="str">
        <f aca="false">IF(Pipeline_Sort!$C937="","",INDEX(Pipeline_Calc!$E$2:$E$5251,Pipeline_Sort!$C937))</f>
        <v/>
      </c>
      <c r="E937" s="0" t="str">
        <f aca="false">IF(Pipeline_Sort!$C937="","",INDEX(Pipeline_Calc!$F$2:$F$5251,Pipeline_Sort!$C937))</f>
        <v/>
      </c>
      <c r="F937" s="0" t="str">
        <f aca="false">IF(Pipeline_Sort!$C937="","",INDEX(Pipeline_Calc!$G$2:$G$5251,Pipeline_Sort!$C937))</f>
        <v/>
      </c>
      <c r="G937" s="0" t="str">
        <f aca="false">IF(Pipeline_Sort!$C937="","",INDEX(Pipeline_Calc!$H$2:$H$5251,Pipeline_Sort!$C937))</f>
        <v/>
      </c>
      <c r="H937" s="0" t="str">
        <f aca="false">IF(Pipeline_Sort!$C937="","",INDEX(Pipeline_Calc!$I$2:$I$5251,Pipeline_Sort!$C937))</f>
        <v/>
      </c>
      <c r="I937" s="0" t="str">
        <f aca="false">IF(Pipeline_Sort!$C937="","",INDEX(Pipeline_Calc!$J$2:$J$5251,Pipeline_Sort!$C937))</f>
        <v/>
      </c>
    </row>
    <row r="938" customFormat="false" ht="15" hidden="false" customHeight="false" outlineLevel="0" collapsed="false">
      <c r="A938" s="33" t="str">
        <f aca="false">IF(Pipeline_Sort!$C938="","",INDEX(Pipeline_Calc!$B$2:$B$5251,Pipeline_Sort!$C938))</f>
        <v/>
      </c>
      <c r="B938" s="0" t="str">
        <f aca="false">IF(Pipeline_Sort!$C938="","",INDEX(Pipeline_Calc!$C$2:$C$5251,Pipeline_Sort!$C938))</f>
        <v/>
      </c>
      <c r="C938" s="0" t="str">
        <f aca="false">IF(Pipeline_Sort!$C938="","",INDEX(Pipeline_Calc!$D$2:$D$5251,Pipeline_Sort!$C938))</f>
        <v/>
      </c>
      <c r="D938" s="0" t="str">
        <f aca="false">IF(Pipeline_Sort!$C938="","",INDEX(Pipeline_Calc!$E$2:$E$5251,Pipeline_Sort!$C938))</f>
        <v/>
      </c>
      <c r="E938" s="0" t="str">
        <f aca="false">IF(Pipeline_Sort!$C938="","",INDEX(Pipeline_Calc!$F$2:$F$5251,Pipeline_Sort!$C938))</f>
        <v/>
      </c>
      <c r="F938" s="0" t="str">
        <f aca="false">IF(Pipeline_Sort!$C938="","",INDEX(Pipeline_Calc!$G$2:$G$5251,Pipeline_Sort!$C938))</f>
        <v/>
      </c>
      <c r="G938" s="0" t="str">
        <f aca="false">IF(Pipeline_Sort!$C938="","",INDEX(Pipeline_Calc!$H$2:$H$5251,Pipeline_Sort!$C938))</f>
        <v/>
      </c>
      <c r="H938" s="0" t="str">
        <f aca="false">IF(Pipeline_Sort!$C938="","",INDEX(Pipeline_Calc!$I$2:$I$5251,Pipeline_Sort!$C938))</f>
        <v/>
      </c>
      <c r="I938" s="0" t="str">
        <f aca="false">IF(Pipeline_Sort!$C938="","",INDEX(Pipeline_Calc!$J$2:$J$5251,Pipeline_Sort!$C938))</f>
        <v/>
      </c>
    </row>
    <row r="939" customFormat="false" ht="15" hidden="false" customHeight="false" outlineLevel="0" collapsed="false">
      <c r="A939" s="33" t="str">
        <f aca="false">IF(Pipeline_Sort!$C939="","",INDEX(Pipeline_Calc!$B$2:$B$5251,Pipeline_Sort!$C939))</f>
        <v/>
      </c>
      <c r="B939" s="0" t="str">
        <f aca="false">IF(Pipeline_Sort!$C939="","",INDEX(Pipeline_Calc!$C$2:$C$5251,Pipeline_Sort!$C939))</f>
        <v/>
      </c>
      <c r="C939" s="0" t="str">
        <f aca="false">IF(Pipeline_Sort!$C939="","",INDEX(Pipeline_Calc!$D$2:$D$5251,Pipeline_Sort!$C939))</f>
        <v/>
      </c>
      <c r="D939" s="0" t="str">
        <f aca="false">IF(Pipeline_Sort!$C939="","",INDEX(Pipeline_Calc!$E$2:$E$5251,Pipeline_Sort!$C939))</f>
        <v/>
      </c>
      <c r="E939" s="0" t="str">
        <f aca="false">IF(Pipeline_Sort!$C939="","",INDEX(Pipeline_Calc!$F$2:$F$5251,Pipeline_Sort!$C939))</f>
        <v/>
      </c>
      <c r="F939" s="0" t="str">
        <f aca="false">IF(Pipeline_Sort!$C939="","",INDEX(Pipeline_Calc!$G$2:$G$5251,Pipeline_Sort!$C939))</f>
        <v/>
      </c>
      <c r="G939" s="0" t="str">
        <f aca="false">IF(Pipeline_Sort!$C939="","",INDEX(Pipeline_Calc!$H$2:$H$5251,Pipeline_Sort!$C939))</f>
        <v/>
      </c>
      <c r="H939" s="0" t="str">
        <f aca="false">IF(Pipeline_Sort!$C939="","",INDEX(Pipeline_Calc!$I$2:$I$5251,Pipeline_Sort!$C939))</f>
        <v/>
      </c>
      <c r="I939" s="0" t="str">
        <f aca="false">IF(Pipeline_Sort!$C939="","",INDEX(Pipeline_Calc!$J$2:$J$5251,Pipeline_Sort!$C939))</f>
        <v/>
      </c>
    </row>
    <row r="940" customFormat="false" ht="15" hidden="false" customHeight="false" outlineLevel="0" collapsed="false">
      <c r="A940" s="33" t="str">
        <f aca="false">IF(Pipeline_Sort!$C940="","",INDEX(Pipeline_Calc!$B$2:$B$5251,Pipeline_Sort!$C940))</f>
        <v/>
      </c>
      <c r="B940" s="0" t="str">
        <f aca="false">IF(Pipeline_Sort!$C940="","",INDEX(Pipeline_Calc!$C$2:$C$5251,Pipeline_Sort!$C940))</f>
        <v/>
      </c>
      <c r="C940" s="0" t="str">
        <f aca="false">IF(Pipeline_Sort!$C940="","",INDEX(Pipeline_Calc!$D$2:$D$5251,Pipeline_Sort!$C940))</f>
        <v/>
      </c>
      <c r="D940" s="0" t="str">
        <f aca="false">IF(Pipeline_Sort!$C940="","",INDEX(Pipeline_Calc!$E$2:$E$5251,Pipeline_Sort!$C940))</f>
        <v/>
      </c>
      <c r="E940" s="0" t="str">
        <f aca="false">IF(Pipeline_Sort!$C940="","",INDEX(Pipeline_Calc!$F$2:$F$5251,Pipeline_Sort!$C940))</f>
        <v/>
      </c>
      <c r="F940" s="0" t="str">
        <f aca="false">IF(Pipeline_Sort!$C940="","",INDEX(Pipeline_Calc!$G$2:$G$5251,Pipeline_Sort!$C940))</f>
        <v/>
      </c>
      <c r="G940" s="0" t="str">
        <f aca="false">IF(Pipeline_Sort!$C940="","",INDEX(Pipeline_Calc!$H$2:$H$5251,Pipeline_Sort!$C940))</f>
        <v/>
      </c>
      <c r="H940" s="0" t="str">
        <f aca="false">IF(Pipeline_Sort!$C940="","",INDEX(Pipeline_Calc!$I$2:$I$5251,Pipeline_Sort!$C940))</f>
        <v/>
      </c>
      <c r="I940" s="0" t="str">
        <f aca="false">IF(Pipeline_Sort!$C940="","",INDEX(Pipeline_Calc!$J$2:$J$5251,Pipeline_Sort!$C940))</f>
        <v/>
      </c>
    </row>
    <row r="941" customFormat="false" ht="15" hidden="false" customHeight="false" outlineLevel="0" collapsed="false">
      <c r="A941" s="33" t="str">
        <f aca="false">IF(Pipeline_Sort!$C941="","",INDEX(Pipeline_Calc!$B$2:$B$5251,Pipeline_Sort!$C941))</f>
        <v/>
      </c>
      <c r="B941" s="0" t="str">
        <f aca="false">IF(Pipeline_Sort!$C941="","",INDEX(Pipeline_Calc!$C$2:$C$5251,Pipeline_Sort!$C941))</f>
        <v/>
      </c>
      <c r="C941" s="0" t="str">
        <f aca="false">IF(Pipeline_Sort!$C941="","",INDEX(Pipeline_Calc!$D$2:$D$5251,Pipeline_Sort!$C941))</f>
        <v/>
      </c>
      <c r="D941" s="0" t="str">
        <f aca="false">IF(Pipeline_Sort!$C941="","",INDEX(Pipeline_Calc!$E$2:$E$5251,Pipeline_Sort!$C941))</f>
        <v/>
      </c>
      <c r="E941" s="0" t="str">
        <f aca="false">IF(Pipeline_Sort!$C941="","",INDEX(Pipeline_Calc!$F$2:$F$5251,Pipeline_Sort!$C941))</f>
        <v/>
      </c>
      <c r="F941" s="0" t="str">
        <f aca="false">IF(Pipeline_Sort!$C941="","",INDEX(Pipeline_Calc!$G$2:$G$5251,Pipeline_Sort!$C941))</f>
        <v/>
      </c>
      <c r="G941" s="0" t="str">
        <f aca="false">IF(Pipeline_Sort!$C941="","",INDEX(Pipeline_Calc!$H$2:$H$5251,Pipeline_Sort!$C941))</f>
        <v/>
      </c>
      <c r="H941" s="0" t="str">
        <f aca="false">IF(Pipeline_Sort!$C941="","",INDEX(Pipeline_Calc!$I$2:$I$5251,Pipeline_Sort!$C941))</f>
        <v/>
      </c>
      <c r="I941" s="0" t="str">
        <f aca="false">IF(Pipeline_Sort!$C941="","",INDEX(Pipeline_Calc!$J$2:$J$5251,Pipeline_Sort!$C941))</f>
        <v/>
      </c>
    </row>
    <row r="942" customFormat="false" ht="15" hidden="false" customHeight="false" outlineLevel="0" collapsed="false">
      <c r="A942" s="33" t="str">
        <f aca="false">IF(Pipeline_Sort!$C942="","",INDEX(Pipeline_Calc!$B$2:$B$5251,Pipeline_Sort!$C942))</f>
        <v/>
      </c>
      <c r="B942" s="0" t="str">
        <f aca="false">IF(Pipeline_Sort!$C942="","",INDEX(Pipeline_Calc!$C$2:$C$5251,Pipeline_Sort!$C942))</f>
        <v/>
      </c>
      <c r="C942" s="0" t="str">
        <f aca="false">IF(Pipeline_Sort!$C942="","",INDEX(Pipeline_Calc!$D$2:$D$5251,Pipeline_Sort!$C942))</f>
        <v/>
      </c>
      <c r="D942" s="0" t="str">
        <f aca="false">IF(Pipeline_Sort!$C942="","",INDEX(Pipeline_Calc!$E$2:$E$5251,Pipeline_Sort!$C942))</f>
        <v/>
      </c>
      <c r="E942" s="0" t="str">
        <f aca="false">IF(Pipeline_Sort!$C942="","",INDEX(Pipeline_Calc!$F$2:$F$5251,Pipeline_Sort!$C942))</f>
        <v/>
      </c>
      <c r="F942" s="0" t="str">
        <f aca="false">IF(Pipeline_Sort!$C942="","",INDEX(Pipeline_Calc!$G$2:$G$5251,Pipeline_Sort!$C942))</f>
        <v/>
      </c>
      <c r="G942" s="0" t="str">
        <f aca="false">IF(Pipeline_Sort!$C942="","",INDEX(Pipeline_Calc!$H$2:$H$5251,Pipeline_Sort!$C942))</f>
        <v/>
      </c>
      <c r="H942" s="0" t="str">
        <f aca="false">IF(Pipeline_Sort!$C942="","",INDEX(Pipeline_Calc!$I$2:$I$5251,Pipeline_Sort!$C942))</f>
        <v/>
      </c>
      <c r="I942" s="0" t="str">
        <f aca="false">IF(Pipeline_Sort!$C942="","",INDEX(Pipeline_Calc!$J$2:$J$5251,Pipeline_Sort!$C942))</f>
        <v/>
      </c>
    </row>
    <row r="943" customFormat="false" ht="15" hidden="false" customHeight="false" outlineLevel="0" collapsed="false">
      <c r="A943" s="33" t="str">
        <f aca="false">IF(Pipeline_Sort!$C943="","",INDEX(Pipeline_Calc!$B$2:$B$5251,Pipeline_Sort!$C943))</f>
        <v/>
      </c>
      <c r="B943" s="0" t="str">
        <f aca="false">IF(Pipeline_Sort!$C943="","",INDEX(Pipeline_Calc!$C$2:$C$5251,Pipeline_Sort!$C943))</f>
        <v/>
      </c>
      <c r="C943" s="0" t="str">
        <f aca="false">IF(Pipeline_Sort!$C943="","",INDEX(Pipeline_Calc!$D$2:$D$5251,Pipeline_Sort!$C943))</f>
        <v/>
      </c>
      <c r="D943" s="0" t="str">
        <f aca="false">IF(Pipeline_Sort!$C943="","",INDEX(Pipeline_Calc!$E$2:$E$5251,Pipeline_Sort!$C943))</f>
        <v/>
      </c>
      <c r="E943" s="0" t="str">
        <f aca="false">IF(Pipeline_Sort!$C943="","",INDEX(Pipeline_Calc!$F$2:$F$5251,Pipeline_Sort!$C943))</f>
        <v/>
      </c>
      <c r="F943" s="0" t="str">
        <f aca="false">IF(Pipeline_Sort!$C943="","",INDEX(Pipeline_Calc!$G$2:$G$5251,Pipeline_Sort!$C943))</f>
        <v/>
      </c>
      <c r="G943" s="0" t="str">
        <f aca="false">IF(Pipeline_Sort!$C943="","",INDEX(Pipeline_Calc!$H$2:$H$5251,Pipeline_Sort!$C943))</f>
        <v/>
      </c>
      <c r="H943" s="0" t="str">
        <f aca="false">IF(Pipeline_Sort!$C943="","",INDEX(Pipeline_Calc!$I$2:$I$5251,Pipeline_Sort!$C943))</f>
        <v/>
      </c>
      <c r="I943" s="0" t="str">
        <f aca="false">IF(Pipeline_Sort!$C943="","",INDEX(Pipeline_Calc!$J$2:$J$5251,Pipeline_Sort!$C943))</f>
        <v/>
      </c>
    </row>
    <row r="944" customFormat="false" ht="15" hidden="false" customHeight="false" outlineLevel="0" collapsed="false">
      <c r="A944" s="33" t="str">
        <f aca="false">IF(Pipeline_Sort!$C944="","",INDEX(Pipeline_Calc!$B$2:$B$5251,Pipeline_Sort!$C944))</f>
        <v/>
      </c>
      <c r="B944" s="0" t="str">
        <f aca="false">IF(Pipeline_Sort!$C944="","",INDEX(Pipeline_Calc!$C$2:$C$5251,Pipeline_Sort!$C944))</f>
        <v/>
      </c>
      <c r="C944" s="0" t="str">
        <f aca="false">IF(Pipeline_Sort!$C944="","",INDEX(Pipeline_Calc!$D$2:$D$5251,Pipeline_Sort!$C944))</f>
        <v/>
      </c>
      <c r="D944" s="0" t="str">
        <f aca="false">IF(Pipeline_Sort!$C944="","",INDEX(Pipeline_Calc!$E$2:$E$5251,Pipeline_Sort!$C944))</f>
        <v/>
      </c>
      <c r="E944" s="0" t="str">
        <f aca="false">IF(Pipeline_Sort!$C944="","",INDEX(Pipeline_Calc!$F$2:$F$5251,Pipeline_Sort!$C944))</f>
        <v/>
      </c>
      <c r="F944" s="0" t="str">
        <f aca="false">IF(Pipeline_Sort!$C944="","",INDEX(Pipeline_Calc!$G$2:$G$5251,Pipeline_Sort!$C944))</f>
        <v/>
      </c>
      <c r="G944" s="0" t="str">
        <f aca="false">IF(Pipeline_Sort!$C944="","",INDEX(Pipeline_Calc!$H$2:$H$5251,Pipeline_Sort!$C944))</f>
        <v/>
      </c>
      <c r="H944" s="0" t="str">
        <f aca="false">IF(Pipeline_Sort!$C944="","",INDEX(Pipeline_Calc!$I$2:$I$5251,Pipeline_Sort!$C944))</f>
        <v/>
      </c>
      <c r="I944" s="0" t="str">
        <f aca="false">IF(Pipeline_Sort!$C944="","",INDEX(Pipeline_Calc!$J$2:$J$5251,Pipeline_Sort!$C944))</f>
        <v/>
      </c>
    </row>
    <row r="945" customFormat="false" ht="15" hidden="false" customHeight="false" outlineLevel="0" collapsed="false">
      <c r="A945" s="33" t="str">
        <f aca="false">IF(Pipeline_Sort!$C945="","",INDEX(Pipeline_Calc!$B$2:$B$5251,Pipeline_Sort!$C945))</f>
        <v/>
      </c>
      <c r="B945" s="0" t="str">
        <f aca="false">IF(Pipeline_Sort!$C945="","",INDEX(Pipeline_Calc!$C$2:$C$5251,Pipeline_Sort!$C945))</f>
        <v/>
      </c>
      <c r="C945" s="0" t="str">
        <f aca="false">IF(Pipeline_Sort!$C945="","",INDEX(Pipeline_Calc!$D$2:$D$5251,Pipeline_Sort!$C945))</f>
        <v/>
      </c>
      <c r="D945" s="0" t="str">
        <f aca="false">IF(Pipeline_Sort!$C945="","",INDEX(Pipeline_Calc!$E$2:$E$5251,Pipeline_Sort!$C945))</f>
        <v/>
      </c>
      <c r="E945" s="0" t="str">
        <f aca="false">IF(Pipeline_Sort!$C945="","",INDEX(Pipeline_Calc!$F$2:$F$5251,Pipeline_Sort!$C945))</f>
        <v/>
      </c>
      <c r="F945" s="0" t="str">
        <f aca="false">IF(Pipeline_Sort!$C945="","",INDEX(Pipeline_Calc!$G$2:$G$5251,Pipeline_Sort!$C945))</f>
        <v/>
      </c>
      <c r="G945" s="0" t="str">
        <f aca="false">IF(Pipeline_Sort!$C945="","",INDEX(Pipeline_Calc!$H$2:$H$5251,Pipeline_Sort!$C945))</f>
        <v/>
      </c>
      <c r="H945" s="0" t="str">
        <f aca="false">IF(Pipeline_Sort!$C945="","",INDEX(Pipeline_Calc!$I$2:$I$5251,Pipeline_Sort!$C945))</f>
        <v/>
      </c>
      <c r="I945" s="0" t="str">
        <f aca="false">IF(Pipeline_Sort!$C945="","",INDEX(Pipeline_Calc!$J$2:$J$5251,Pipeline_Sort!$C945))</f>
        <v/>
      </c>
    </row>
    <row r="946" customFormat="false" ht="15" hidden="false" customHeight="false" outlineLevel="0" collapsed="false">
      <c r="A946" s="33" t="str">
        <f aca="false">IF(Pipeline_Sort!$C946="","",INDEX(Pipeline_Calc!$B$2:$B$5251,Pipeline_Sort!$C946))</f>
        <v/>
      </c>
      <c r="B946" s="0" t="str">
        <f aca="false">IF(Pipeline_Sort!$C946="","",INDEX(Pipeline_Calc!$C$2:$C$5251,Pipeline_Sort!$C946))</f>
        <v/>
      </c>
      <c r="C946" s="0" t="str">
        <f aca="false">IF(Pipeline_Sort!$C946="","",INDEX(Pipeline_Calc!$D$2:$D$5251,Pipeline_Sort!$C946))</f>
        <v/>
      </c>
      <c r="D946" s="0" t="str">
        <f aca="false">IF(Pipeline_Sort!$C946="","",INDEX(Pipeline_Calc!$E$2:$E$5251,Pipeline_Sort!$C946))</f>
        <v/>
      </c>
      <c r="E946" s="0" t="str">
        <f aca="false">IF(Pipeline_Sort!$C946="","",INDEX(Pipeline_Calc!$F$2:$F$5251,Pipeline_Sort!$C946))</f>
        <v/>
      </c>
      <c r="F946" s="0" t="str">
        <f aca="false">IF(Pipeline_Sort!$C946="","",INDEX(Pipeline_Calc!$G$2:$G$5251,Pipeline_Sort!$C946))</f>
        <v/>
      </c>
      <c r="G946" s="0" t="str">
        <f aca="false">IF(Pipeline_Sort!$C946="","",INDEX(Pipeline_Calc!$H$2:$H$5251,Pipeline_Sort!$C946))</f>
        <v/>
      </c>
      <c r="H946" s="0" t="str">
        <f aca="false">IF(Pipeline_Sort!$C946="","",INDEX(Pipeline_Calc!$I$2:$I$5251,Pipeline_Sort!$C946))</f>
        <v/>
      </c>
      <c r="I946" s="0" t="str">
        <f aca="false">IF(Pipeline_Sort!$C946="","",INDEX(Pipeline_Calc!$J$2:$J$5251,Pipeline_Sort!$C946))</f>
        <v/>
      </c>
    </row>
    <row r="947" customFormat="false" ht="15" hidden="false" customHeight="false" outlineLevel="0" collapsed="false">
      <c r="A947" s="33" t="str">
        <f aca="false">IF(Pipeline_Sort!$C947="","",INDEX(Pipeline_Calc!$B$2:$B$5251,Pipeline_Sort!$C947))</f>
        <v/>
      </c>
      <c r="B947" s="0" t="str">
        <f aca="false">IF(Pipeline_Sort!$C947="","",INDEX(Pipeline_Calc!$C$2:$C$5251,Pipeline_Sort!$C947))</f>
        <v/>
      </c>
      <c r="C947" s="0" t="str">
        <f aca="false">IF(Pipeline_Sort!$C947="","",INDEX(Pipeline_Calc!$D$2:$D$5251,Pipeline_Sort!$C947))</f>
        <v/>
      </c>
      <c r="D947" s="0" t="str">
        <f aca="false">IF(Pipeline_Sort!$C947="","",INDEX(Pipeline_Calc!$E$2:$E$5251,Pipeline_Sort!$C947))</f>
        <v/>
      </c>
      <c r="E947" s="0" t="str">
        <f aca="false">IF(Pipeline_Sort!$C947="","",INDEX(Pipeline_Calc!$F$2:$F$5251,Pipeline_Sort!$C947))</f>
        <v/>
      </c>
      <c r="F947" s="0" t="str">
        <f aca="false">IF(Pipeline_Sort!$C947="","",INDEX(Pipeline_Calc!$G$2:$G$5251,Pipeline_Sort!$C947))</f>
        <v/>
      </c>
      <c r="G947" s="0" t="str">
        <f aca="false">IF(Pipeline_Sort!$C947="","",INDEX(Pipeline_Calc!$H$2:$H$5251,Pipeline_Sort!$C947))</f>
        <v/>
      </c>
      <c r="H947" s="0" t="str">
        <f aca="false">IF(Pipeline_Sort!$C947="","",INDEX(Pipeline_Calc!$I$2:$I$5251,Pipeline_Sort!$C947))</f>
        <v/>
      </c>
      <c r="I947" s="0" t="str">
        <f aca="false">IF(Pipeline_Sort!$C947="","",INDEX(Pipeline_Calc!$J$2:$J$5251,Pipeline_Sort!$C947))</f>
        <v/>
      </c>
    </row>
    <row r="948" customFormat="false" ht="15" hidden="false" customHeight="false" outlineLevel="0" collapsed="false">
      <c r="A948" s="33" t="str">
        <f aca="false">IF(Pipeline_Sort!$C948="","",INDEX(Pipeline_Calc!$B$2:$B$5251,Pipeline_Sort!$C948))</f>
        <v/>
      </c>
      <c r="B948" s="0" t="str">
        <f aca="false">IF(Pipeline_Sort!$C948="","",INDEX(Pipeline_Calc!$C$2:$C$5251,Pipeline_Sort!$C948))</f>
        <v/>
      </c>
      <c r="C948" s="0" t="str">
        <f aca="false">IF(Pipeline_Sort!$C948="","",INDEX(Pipeline_Calc!$D$2:$D$5251,Pipeline_Sort!$C948))</f>
        <v/>
      </c>
      <c r="D948" s="0" t="str">
        <f aca="false">IF(Pipeline_Sort!$C948="","",INDEX(Pipeline_Calc!$E$2:$E$5251,Pipeline_Sort!$C948))</f>
        <v/>
      </c>
      <c r="E948" s="0" t="str">
        <f aca="false">IF(Pipeline_Sort!$C948="","",INDEX(Pipeline_Calc!$F$2:$F$5251,Pipeline_Sort!$C948))</f>
        <v/>
      </c>
      <c r="F948" s="0" t="str">
        <f aca="false">IF(Pipeline_Sort!$C948="","",INDEX(Pipeline_Calc!$G$2:$G$5251,Pipeline_Sort!$C948))</f>
        <v/>
      </c>
      <c r="G948" s="0" t="str">
        <f aca="false">IF(Pipeline_Sort!$C948="","",INDEX(Pipeline_Calc!$H$2:$H$5251,Pipeline_Sort!$C948))</f>
        <v/>
      </c>
      <c r="H948" s="0" t="str">
        <f aca="false">IF(Pipeline_Sort!$C948="","",INDEX(Pipeline_Calc!$I$2:$I$5251,Pipeline_Sort!$C948))</f>
        <v/>
      </c>
      <c r="I948" s="0" t="str">
        <f aca="false">IF(Pipeline_Sort!$C948="","",INDEX(Pipeline_Calc!$J$2:$J$5251,Pipeline_Sort!$C948))</f>
        <v/>
      </c>
    </row>
    <row r="949" customFormat="false" ht="15" hidden="false" customHeight="false" outlineLevel="0" collapsed="false">
      <c r="A949" s="33" t="str">
        <f aca="false">IF(Pipeline_Sort!$C949="","",INDEX(Pipeline_Calc!$B$2:$B$5251,Pipeline_Sort!$C949))</f>
        <v/>
      </c>
      <c r="B949" s="0" t="str">
        <f aca="false">IF(Pipeline_Sort!$C949="","",INDEX(Pipeline_Calc!$C$2:$C$5251,Pipeline_Sort!$C949))</f>
        <v/>
      </c>
      <c r="C949" s="0" t="str">
        <f aca="false">IF(Pipeline_Sort!$C949="","",INDEX(Pipeline_Calc!$D$2:$D$5251,Pipeline_Sort!$C949))</f>
        <v/>
      </c>
      <c r="D949" s="0" t="str">
        <f aca="false">IF(Pipeline_Sort!$C949="","",INDEX(Pipeline_Calc!$E$2:$E$5251,Pipeline_Sort!$C949))</f>
        <v/>
      </c>
      <c r="E949" s="0" t="str">
        <f aca="false">IF(Pipeline_Sort!$C949="","",INDEX(Pipeline_Calc!$F$2:$F$5251,Pipeline_Sort!$C949))</f>
        <v/>
      </c>
      <c r="F949" s="0" t="str">
        <f aca="false">IF(Pipeline_Sort!$C949="","",INDEX(Pipeline_Calc!$G$2:$G$5251,Pipeline_Sort!$C949))</f>
        <v/>
      </c>
      <c r="G949" s="0" t="str">
        <f aca="false">IF(Pipeline_Sort!$C949="","",INDEX(Pipeline_Calc!$H$2:$H$5251,Pipeline_Sort!$C949))</f>
        <v/>
      </c>
      <c r="H949" s="0" t="str">
        <f aca="false">IF(Pipeline_Sort!$C949="","",INDEX(Pipeline_Calc!$I$2:$I$5251,Pipeline_Sort!$C949))</f>
        <v/>
      </c>
      <c r="I949" s="0" t="str">
        <f aca="false">IF(Pipeline_Sort!$C949="","",INDEX(Pipeline_Calc!$J$2:$J$5251,Pipeline_Sort!$C949))</f>
        <v/>
      </c>
    </row>
    <row r="950" customFormat="false" ht="15" hidden="false" customHeight="false" outlineLevel="0" collapsed="false">
      <c r="A950" s="33" t="str">
        <f aca="false">IF(Pipeline_Sort!$C950="","",INDEX(Pipeline_Calc!$B$2:$B$5251,Pipeline_Sort!$C950))</f>
        <v/>
      </c>
      <c r="B950" s="0" t="str">
        <f aca="false">IF(Pipeline_Sort!$C950="","",INDEX(Pipeline_Calc!$C$2:$C$5251,Pipeline_Sort!$C950))</f>
        <v/>
      </c>
      <c r="C950" s="0" t="str">
        <f aca="false">IF(Pipeline_Sort!$C950="","",INDEX(Pipeline_Calc!$D$2:$D$5251,Pipeline_Sort!$C950))</f>
        <v/>
      </c>
      <c r="D950" s="0" t="str">
        <f aca="false">IF(Pipeline_Sort!$C950="","",INDEX(Pipeline_Calc!$E$2:$E$5251,Pipeline_Sort!$C950))</f>
        <v/>
      </c>
      <c r="E950" s="0" t="str">
        <f aca="false">IF(Pipeline_Sort!$C950="","",INDEX(Pipeline_Calc!$F$2:$F$5251,Pipeline_Sort!$C950))</f>
        <v/>
      </c>
      <c r="F950" s="0" t="str">
        <f aca="false">IF(Pipeline_Sort!$C950="","",INDEX(Pipeline_Calc!$G$2:$G$5251,Pipeline_Sort!$C950))</f>
        <v/>
      </c>
      <c r="G950" s="0" t="str">
        <f aca="false">IF(Pipeline_Sort!$C950="","",INDEX(Pipeline_Calc!$H$2:$H$5251,Pipeline_Sort!$C950))</f>
        <v/>
      </c>
      <c r="H950" s="0" t="str">
        <f aca="false">IF(Pipeline_Sort!$C950="","",INDEX(Pipeline_Calc!$I$2:$I$5251,Pipeline_Sort!$C950))</f>
        <v/>
      </c>
      <c r="I950" s="0" t="str">
        <f aca="false">IF(Pipeline_Sort!$C950="","",INDEX(Pipeline_Calc!$J$2:$J$5251,Pipeline_Sort!$C950))</f>
        <v/>
      </c>
    </row>
    <row r="951" customFormat="false" ht="15" hidden="false" customHeight="false" outlineLevel="0" collapsed="false">
      <c r="A951" s="33" t="str">
        <f aca="false">IF(Pipeline_Sort!$C951="","",INDEX(Pipeline_Calc!$B$2:$B$5251,Pipeline_Sort!$C951))</f>
        <v/>
      </c>
      <c r="B951" s="0" t="str">
        <f aca="false">IF(Pipeline_Sort!$C951="","",INDEX(Pipeline_Calc!$C$2:$C$5251,Pipeline_Sort!$C951))</f>
        <v/>
      </c>
      <c r="C951" s="0" t="str">
        <f aca="false">IF(Pipeline_Sort!$C951="","",INDEX(Pipeline_Calc!$D$2:$D$5251,Pipeline_Sort!$C951))</f>
        <v/>
      </c>
      <c r="D951" s="0" t="str">
        <f aca="false">IF(Pipeline_Sort!$C951="","",INDEX(Pipeline_Calc!$E$2:$E$5251,Pipeline_Sort!$C951))</f>
        <v/>
      </c>
      <c r="E951" s="0" t="str">
        <f aca="false">IF(Pipeline_Sort!$C951="","",INDEX(Pipeline_Calc!$F$2:$F$5251,Pipeline_Sort!$C951))</f>
        <v/>
      </c>
      <c r="F951" s="0" t="str">
        <f aca="false">IF(Pipeline_Sort!$C951="","",INDEX(Pipeline_Calc!$G$2:$G$5251,Pipeline_Sort!$C951))</f>
        <v/>
      </c>
      <c r="G951" s="0" t="str">
        <f aca="false">IF(Pipeline_Sort!$C951="","",INDEX(Pipeline_Calc!$H$2:$H$5251,Pipeline_Sort!$C951))</f>
        <v/>
      </c>
      <c r="H951" s="0" t="str">
        <f aca="false">IF(Pipeline_Sort!$C951="","",INDEX(Pipeline_Calc!$I$2:$I$5251,Pipeline_Sort!$C951))</f>
        <v/>
      </c>
      <c r="I951" s="0" t="str">
        <f aca="false">IF(Pipeline_Sort!$C951="","",INDEX(Pipeline_Calc!$J$2:$J$5251,Pipeline_Sort!$C951))</f>
        <v/>
      </c>
    </row>
    <row r="952" customFormat="false" ht="15" hidden="false" customHeight="false" outlineLevel="0" collapsed="false">
      <c r="A952" s="33" t="str">
        <f aca="false">IF(Pipeline_Sort!$C952="","",INDEX(Pipeline_Calc!$B$2:$B$5251,Pipeline_Sort!$C952))</f>
        <v/>
      </c>
      <c r="B952" s="0" t="str">
        <f aca="false">IF(Pipeline_Sort!$C952="","",INDEX(Pipeline_Calc!$C$2:$C$5251,Pipeline_Sort!$C952))</f>
        <v/>
      </c>
      <c r="C952" s="0" t="str">
        <f aca="false">IF(Pipeline_Sort!$C952="","",INDEX(Pipeline_Calc!$D$2:$D$5251,Pipeline_Sort!$C952))</f>
        <v/>
      </c>
      <c r="D952" s="0" t="str">
        <f aca="false">IF(Pipeline_Sort!$C952="","",INDEX(Pipeline_Calc!$E$2:$E$5251,Pipeline_Sort!$C952))</f>
        <v/>
      </c>
      <c r="E952" s="0" t="str">
        <f aca="false">IF(Pipeline_Sort!$C952="","",INDEX(Pipeline_Calc!$F$2:$F$5251,Pipeline_Sort!$C952))</f>
        <v/>
      </c>
      <c r="F952" s="0" t="str">
        <f aca="false">IF(Pipeline_Sort!$C952="","",INDEX(Pipeline_Calc!$G$2:$G$5251,Pipeline_Sort!$C952))</f>
        <v/>
      </c>
      <c r="G952" s="0" t="str">
        <f aca="false">IF(Pipeline_Sort!$C952="","",INDEX(Pipeline_Calc!$H$2:$H$5251,Pipeline_Sort!$C952))</f>
        <v/>
      </c>
      <c r="H952" s="0" t="str">
        <f aca="false">IF(Pipeline_Sort!$C952="","",INDEX(Pipeline_Calc!$I$2:$I$5251,Pipeline_Sort!$C952))</f>
        <v/>
      </c>
      <c r="I952" s="0" t="str">
        <f aca="false">IF(Pipeline_Sort!$C952="","",INDEX(Pipeline_Calc!$J$2:$J$5251,Pipeline_Sort!$C952))</f>
        <v/>
      </c>
    </row>
    <row r="953" customFormat="false" ht="15" hidden="false" customHeight="false" outlineLevel="0" collapsed="false">
      <c r="A953" s="33" t="str">
        <f aca="false">IF(Pipeline_Sort!$C953="","",INDEX(Pipeline_Calc!$B$2:$B$5251,Pipeline_Sort!$C953))</f>
        <v/>
      </c>
      <c r="B953" s="0" t="str">
        <f aca="false">IF(Pipeline_Sort!$C953="","",INDEX(Pipeline_Calc!$C$2:$C$5251,Pipeline_Sort!$C953))</f>
        <v/>
      </c>
      <c r="C953" s="0" t="str">
        <f aca="false">IF(Pipeline_Sort!$C953="","",INDEX(Pipeline_Calc!$D$2:$D$5251,Pipeline_Sort!$C953))</f>
        <v/>
      </c>
      <c r="D953" s="0" t="str">
        <f aca="false">IF(Pipeline_Sort!$C953="","",INDEX(Pipeline_Calc!$E$2:$E$5251,Pipeline_Sort!$C953))</f>
        <v/>
      </c>
      <c r="E953" s="0" t="str">
        <f aca="false">IF(Pipeline_Sort!$C953="","",INDEX(Pipeline_Calc!$F$2:$F$5251,Pipeline_Sort!$C953))</f>
        <v/>
      </c>
      <c r="F953" s="0" t="str">
        <f aca="false">IF(Pipeline_Sort!$C953="","",INDEX(Pipeline_Calc!$G$2:$G$5251,Pipeline_Sort!$C953))</f>
        <v/>
      </c>
      <c r="G953" s="0" t="str">
        <f aca="false">IF(Pipeline_Sort!$C953="","",INDEX(Pipeline_Calc!$H$2:$H$5251,Pipeline_Sort!$C953))</f>
        <v/>
      </c>
      <c r="H953" s="0" t="str">
        <f aca="false">IF(Pipeline_Sort!$C953="","",INDEX(Pipeline_Calc!$I$2:$I$5251,Pipeline_Sort!$C953))</f>
        <v/>
      </c>
      <c r="I953" s="0" t="str">
        <f aca="false">IF(Pipeline_Sort!$C953="","",INDEX(Pipeline_Calc!$J$2:$J$5251,Pipeline_Sort!$C953))</f>
        <v/>
      </c>
    </row>
    <row r="954" customFormat="false" ht="15" hidden="false" customHeight="false" outlineLevel="0" collapsed="false">
      <c r="A954" s="33" t="str">
        <f aca="false">IF(Pipeline_Sort!$C954="","",INDEX(Pipeline_Calc!$B$2:$B$5251,Pipeline_Sort!$C954))</f>
        <v/>
      </c>
      <c r="B954" s="0" t="str">
        <f aca="false">IF(Pipeline_Sort!$C954="","",INDEX(Pipeline_Calc!$C$2:$C$5251,Pipeline_Sort!$C954))</f>
        <v/>
      </c>
      <c r="C954" s="0" t="str">
        <f aca="false">IF(Pipeline_Sort!$C954="","",INDEX(Pipeline_Calc!$D$2:$D$5251,Pipeline_Sort!$C954))</f>
        <v/>
      </c>
      <c r="D954" s="0" t="str">
        <f aca="false">IF(Pipeline_Sort!$C954="","",INDEX(Pipeline_Calc!$E$2:$E$5251,Pipeline_Sort!$C954))</f>
        <v/>
      </c>
      <c r="E954" s="0" t="str">
        <f aca="false">IF(Pipeline_Sort!$C954="","",INDEX(Pipeline_Calc!$F$2:$F$5251,Pipeline_Sort!$C954))</f>
        <v/>
      </c>
      <c r="F954" s="0" t="str">
        <f aca="false">IF(Pipeline_Sort!$C954="","",INDEX(Pipeline_Calc!$G$2:$G$5251,Pipeline_Sort!$C954))</f>
        <v/>
      </c>
      <c r="G954" s="0" t="str">
        <f aca="false">IF(Pipeline_Sort!$C954="","",INDEX(Pipeline_Calc!$H$2:$H$5251,Pipeline_Sort!$C954))</f>
        <v/>
      </c>
      <c r="H954" s="0" t="str">
        <f aca="false">IF(Pipeline_Sort!$C954="","",INDEX(Pipeline_Calc!$I$2:$I$5251,Pipeline_Sort!$C954))</f>
        <v/>
      </c>
      <c r="I954" s="0" t="str">
        <f aca="false">IF(Pipeline_Sort!$C954="","",INDEX(Pipeline_Calc!$J$2:$J$5251,Pipeline_Sort!$C954))</f>
        <v/>
      </c>
    </row>
    <row r="955" customFormat="false" ht="15" hidden="false" customHeight="false" outlineLevel="0" collapsed="false">
      <c r="A955" s="33" t="str">
        <f aca="false">IF(Pipeline_Sort!$C955="","",INDEX(Pipeline_Calc!$B$2:$B$5251,Pipeline_Sort!$C955))</f>
        <v/>
      </c>
      <c r="B955" s="0" t="str">
        <f aca="false">IF(Pipeline_Sort!$C955="","",INDEX(Pipeline_Calc!$C$2:$C$5251,Pipeline_Sort!$C955))</f>
        <v/>
      </c>
      <c r="C955" s="0" t="str">
        <f aca="false">IF(Pipeline_Sort!$C955="","",INDEX(Pipeline_Calc!$D$2:$D$5251,Pipeline_Sort!$C955))</f>
        <v/>
      </c>
      <c r="D955" s="0" t="str">
        <f aca="false">IF(Pipeline_Sort!$C955="","",INDEX(Pipeline_Calc!$E$2:$E$5251,Pipeline_Sort!$C955))</f>
        <v/>
      </c>
      <c r="E955" s="0" t="str">
        <f aca="false">IF(Pipeline_Sort!$C955="","",INDEX(Pipeline_Calc!$F$2:$F$5251,Pipeline_Sort!$C955))</f>
        <v/>
      </c>
      <c r="F955" s="0" t="str">
        <f aca="false">IF(Pipeline_Sort!$C955="","",INDEX(Pipeline_Calc!$G$2:$G$5251,Pipeline_Sort!$C955))</f>
        <v/>
      </c>
      <c r="G955" s="0" t="str">
        <f aca="false">IF(Pipeline_Sort!$C955="","",INDEX(Pipeline_Calc!$H$2:$H$5251,Pipeline_Sort!$C955))</f>
        <v/>
      </c>
      <c r="H955" s="0" t="str">
        <f aca="false">IF(Pipeline_Sort!$C955="","",INDEX(Pipeline_Calc!$I$2:$I$5251,Pipeline_Sort!$C955))</f>
        <v/>
      </c>
      <c r="I955" s="0" t="str">
        <f aca="false">IF(Pipeline_Sort!$C955="","",INDEX(Pipeline_Calc!$J$2:$J$5251,Pipeline_Sort!$C955))</f>
        <v/>
      </c>
    </row>
    <row r="956" customFormat="false" ht="15" hidden="false" customHeight="false" outlineLevel="0" collapsed="false">
      <c r="A956" s="33" t="str">
        <f aca="false">IF(Pipeline_Sort!$C956="","",INDEX(Pipeline_Calc!$B$2:$B$5251,Pipeline_Sort!$C956))</f>
        <v/>
      </c>
      <c r="B956" s="0" t="str">
        <f aca="false">IF(Pipeline_Sort!$C956="","",INDEX(Pipeline_Calc!$C$2:$C$5251,Pipeline_Sort!$C956))</f>
        <v/>
      </c>
      <c r="C956" s="0" t="str">
        <f aca="false">IF(Pipeline_Sort!$C956="","",INDEX(Pipeline_Calc!$D$2:$D$5251,Pipeline_Sort!$C956))</f>
        <v/>
      </c>
      <c r="D956" s="0" t="str">
        <f aca="false">IF(Pipeline_Sort!$C956="","",INDEX(Pipeline_Calc!$E$2:$E$5251,Pipeline_Sort!$C956))</f>
        <v/>
      </c>
      <c r="E956" s="0" t="str">
        <f aca="false">IF(Pipeline_Sort!$C956="","",INDEX(Pipeline_Calc!$F$2:$F$5251,Pipeline_Sort!$C956))</f>
        <v/>
      </c>
      <c r="F956" s="0" t="str">
        <f aca="false">IF(Pipeline_Sort!$C956="","",INDEX(Pipeline_Calc!$G$2:$G$5251,Pipeline_Sort!$C956))</f>
        <v/>
      </c>
      <c r="G956" s="0" t="str">
        <f aca="false">IF(Pipeline_Sort!$C956="","",INDEX(Pipeline_Calc!$H$2:$H$5251,Pipeline_Sort!$C956))</f>
        <v/>
      </c>
      <c r="H956" s="0" t="str">
        <f aca="false">IF(Pipeline_Sort!$C956="","",INDEX(Pipeline_Calc!$I$2:$I$5251,Pipeline_Sort!$C956))</f>
        <v/>
      </c>
      <c r="I956" s="0" t="str">
        <f aca="false">IF(Pipeline_Sort!$C956="","",INDEX(Pipeline_Calc!$J$2:$J$5251,Pipeline_Sort!$C956))</f>
        <v/>
      </c>
    </row>
    <row r="957" customFormat="false" ht="15" hidden="false" customHeight="false" outlineLevel="0" collapsed="false">
      <c r="A957" s="33" t="str">
        <f aca="false">IF(Pipeline_Sort!$C957="","",INDEX(Pipeline_Calc!$B$2:$B$5251,Pipeline_Sort!$C957))</f>
        <v/>
      </c>
      <c r="B957" s="0" t="str">
        <f aca="false">IF(Pipeline_Sort!$C957="","",INDEX(Pipeline_Calc!$C$2:$C$5251,Pipeline_Sort!$C957))</f>
        <v/>
      </c>
      <c r="C957" s="0" t="str">
        <f aca="false">IF(Pipeline_Sort!$C957="","",INDEX(Pipeline_Calc!$D$2:$D$5251,Pipeline_Sort!$C957))</f>
        <v/>
      </c>
      <c r="D957" s="0" t="str">
        <f aca="false">IF(Pipeline_Sort!$C957="","",INDEX(Pipeline_Calc!$E$2:$E$5251,Pipeline_Sort!$C957))</f>
        <v/>
      </c>
      <c r="E957" s="0" t="str">
        <f aca="false">IF(Pipeline_Sort!$C957="","",INDEX(Pipeline_Calc!$F$2:$F$5251,Pipeline_Sort!$C957))</f>
        <v/>
      </c>
      <c r="F957" s="0" t="str">
        <f aca="false">IF(Pipeline_Sort!$C957="","",INDEX(Pipeline_Calc!$G$2:$G$5251,Pipeline_Sort!$C957))</f>
        <v/>
      </c>
      <c r="G957" s="0" t="str">
        <f aca="false">IF(Pipeline_Sort!$C957="","",INDEX(Pipeline_Calc!$H$2:$H$5251,Pipeline_Sort!$C957))</f>
        <v/>
      </c>
      <c r="H957" s="0" t="str">
        <f aca="false">IF(Pipeline_Sort!$C957="","",INDEX(Pipeline_Calc!$I$2:$I$5251,Pipeline_Sort!$C957))</f>
        <v/>
      </c>
      <c r="I957" s="0" t="str">
        <f aca="false">IF(Pipeline_Sort!$C957="","",INDEX(Pipeline_Calc!$J$2:$J$5251,Pipeline_Sort!$C957))</f>
        <v/>
      </c>
    </row>
    <row r="958" customFormat="false" ht="15" hidden="false" customHeight="false" outlineLevel="0" collapsed="false">
      <c r="A958" s="33" t="str">
        <f aca="false">IF(Pipeline_Sort!$C958="","",INDEX(Pipeline_Calc!$B$2:$B$5251,Pipeline_Sort!$C958))</f>
        <v/>
      </c>
      <c r="B958" s="0" t="str">
        <f aca="false">IF(Pipeline_Sort!$C958="","",INDEX(Pipeline_Calc!$C$2:$C$5251,Pipeline_Sort!$C958))</f>
        <v/>
      </c>
      <c r="C958" s="0" t="str">
        <f aca="false">IF(Pipeline_Sort!$C958="","",INDEX(Pipeline_Calc!$D$2:$D$5251,Pipeline_Sort!$C958))</f>
        <v/>
      </c>
      <c r="D958" s="0" t="str">
        <f aca="false">IF(Pipeline_Sort!$C958="","",INDEX(Pipeline_Calc!$E$2:$E$5251,Pipeline_Sort!$C958))</f>
        <v/>
      </c>
      <c r="E958" s="0" t="str">
        <f aca="false">IF(Pipeline_Sort!$C958="","",INDEX(Pipeline_Calc!$F$2:$F$5251,Pipeline_Sort!$C958))</f>
        <v/>
      </c>
      <c r="F958" s="0" t="str">
        <f aca="false">IF(Pipeline_Sort!$C958="","",INDEX(Pipeline_Calc!$G$2:$G$5251,Pipeline_Sort!$C958))</f>
        <v/>
      </c>
      <c r="G958" s="0" t="str">
        <f aca="false">IF(Pipeline_Sort!$C958="","",INDEX(Pipeline_Calc!$H$2:$H$5251,Pipeline_Sort!$C958))</f>
        <v/>
      </c>
      <c r="H958" s="0" t="str">
        <f aca="false">IF(Pipeline_Sort!$C958="","",INDEX(Pipeline_Calc!$I$2:$I$5251,Pipeline_Sort!$C958))</f>
        <v/>
      </c>
      <c r="I958" s="0" t="str">
        <f aca="false">IF(Pipeline_Sort!$C958="","",INDEX(Pipeline_Calc!$J$2:$J$5251,Pipeline_Sort!$C958))</f>
        <v/>
      </c>
    </row>
    <row r="959" customFormat="false" ht="15" hidden="false" customHeight="false" outlineLevel="0" collapsed="false">
      <c r="A959" s="33" t="str">
        <f aca="false">IF(Pipeline_Sort!$C959="","",INDEX(Pipeline_Calc!$B$2:$B$5251,Pipeline_Sort!$C959))</f>
        <v/>
      </c>
      <c r="B959" s="0" t="str">
        <f aca="false">IF(Pipeline_Sort!$C959="","",INDEX(Pipeline_Calc!$C$2:$C$5251,Pipeline_Sort!$C959))</f>
        <v/>
      </c>
      <c r="C959" s="0" t="str">
        <f aca="false">IF(Pipeline_Sort!$C959="","",INDEX(Pipeline_Calc!$D$2:$D$5251,Pipeline_Sort!$C959))</f>
        <v/>
      </c>
      <c r="D959" s="0" t="str">
        <f aca="false">IF(Pipeline_Sort!$C959="","",INDEX(Pipeline_Calc!$E$2:$E$5251,Pipeline_Sort!$C959))</f>
        <v/>
      </c>
      <c r="E959" s="0" t="str">
        <f aca="false">IF(Pipeline_Sort!$C959="","",INDEX(Pipeline_Calc!$F$2:$F$5251,Pipeline_Sort!$C959))</f>
        <v/>
      </c>
      <c r="F959" s="0" t="str">
        <f aca="false">IF(Pipeline_Sort!$C959="","",INDEX(Pipeline_Calc!$G$2:$G$5251,Pipeline_Sort!$C959))</f>
        <v/>
      </c>
      <c r="G959" s="0" t="str">
        <f aca="false">IF(Pipeline_Sort!$C959="","",INDEX(Pipeline_Calc!$H$2:$H$5251,Pipeline_Sort!$C959))</f>
        <v/>
      </c>
      <c r="H959" s="0" t="str">
        <f aca="false">IF(Pipeline_Sort!$C959="","",INDEX(Pipeline_Calc!$I$2:$I$5251,Pipeline_Sort!$C959))</f>
        <v/>
      </c>
      <c r="I959" s="0" t="str">
        <f aca="false">IF(Pipeline_Sort!$C959="","",INDEX(Pipeline_Calc!$J$2:$J$5251,Pipeline_Sort!$C959))</f>
        <v/>
      </c>
    </row>
    <row r="960" customFormat="false" ht="15" hidden="false" customHeight="false" outlineLevel="0" collapsed="false">
      <c r="A960" s="33" t="str">
        <f aca="false">IF(Pipeline_Sort!$C960="","",INDEX(Pipeline_Calc!$B$2:$B$5251,Pipeline_Sort!$C960))</f>
        <v/>
      </c>
      <c r="B960" s="0" t="str">
        <f aca="false">IF(Pipeline_Sort!$C960="","",INDEX(Pipeline_Calc!$C$2:$C$5251,Pipeline_Sort!$C960))</f>
        <v/>
      </c>
      <c r="C960" s="0" t="str">
        <f aca="false">IF(Pipeline_Sort!$C960="","",INDEX(Pipeline_Calc!$D$2:$D$5251,Pipeline_Sort!$C960))</f>
        <v/>
      </c>
      <c r="D960" s="0" t="str">
        <f aca="false">IF(Pipeline_Sort!$C960="","",INDEX(Pipeline_Calc!$E$2:$E$5251,Pipeline_Sort!$C960))</f>
        <v/>
      </c>
      <c r="E960" s="0" t="str">
        <f aca="false">IF(Pipeline_Sort!$C960="","",INDEX(Pipeline_Calc!$F$2:$F$5251,Pipeline_Sort!$C960))</f>
        <v/>
      </c>
      <c r="F960" s="0" t="str">
        <f aca="false">IF(Pipeline_Sort!$C960="","",INDEX(Pipeline_Calc!$G$2:$G$5251,Pipeline_Sort!$C960))</f>
        <v/>
      </c>
      <c r="G960" s="0" t="str">
        <f aca="false">IF(Pipeline_Sort!$C960="","",INDEX(Pipeline_Calc!$H$2:$H$5251,Pipeline_Sort!$C960))</f>
        <v/>
      </c>
      <c r="H960" s="0" t="str">
        <f aca="false">IF(Pipeline_Sort!$C960="","",INDEX(Pipeline_Calc!$I$2:$I$5251,Pipeline_Sort!$C960))</f>
        <v/>
      </c>
      <c r="I960" s="0" t="str">
        <f aca="false">IF(Pipeline_Sort!$C960="","",INDEX(Pipeline_Calc!$J$2:$J$5251,Pipeline_Sort!$C960))</f>
        <v/>
      </c>
    </row>
    <row r="961" customFormat="false" ht="15" hidden="false" customHeight="false" outlineLevel="0" collapsed="false">
      <c r="A961" s="33" t="str">
        <f aca="false">IF(Pipeline_Sort!$C961="","",INDEX(Pipeline_Calc!$B$2:$B$5251,Pipeline_Sort!$C961))</f>
        <v/>
      </c>
      <c r="B961" s="0" t="str">
        <f aca="false">IF(Pipeline_Sort!$C961="","",INDEX(Pipeline_Calc!$C$2:$C$5251,Pipeline_Sort!$C961))</f>
        <v/>
      </c>
      <c r="C961" s="0" t="str">
        <f aca="false">IF(Pipeline_Sort!$C961="","",INDEX(Pipeline_Calc!$D$2:$D$5251,Pipeline_Sort!$C961))</f>
        <v/>
      </c>
      <c r="D961" s="0" t="str">
        <f aca="false">IF(Pipeline_Sort!$C961="","",INDEX(Pipeline_Calc!$E$2:$E$5251,Pipeline_Sort!$C961))</f>
        <v/>
      </c>
      <c r="E961" s="0" t="str">
        <f aca="false">IF(Pipeline_Sort!$C961="","",INDEX(Pipeline_Calc!$F$2:$F$5251,Pipeline_Sort!$C961))</f>
        <v/>
      </c>
      <c r="F961" s="0" t="str">
        <f aca="false">IF(Pipeline_Sort!$C961="","",INDEX(Pipeline_Calc!$G$2:$G$5251,Pipeline_Sort!$C961))</f>
        <v/>
      </c>
      <c r="G961" s="0" t="str">
        <f aca="false">IF(Pipeline_Sort!$C961="","",INDEX(Pipeline_Calc!$H$2:$H$5251,Pipeline_Sort!$C961))</f>
        <v/>
      </c>
      <c r="H961" s="0" t="str">
        <f aca="false">IF(Pipeline_Sort!$C961="","",INDEX(Pipeline_Calc!$I$2:$I$5251,Pipeline_Sort!$C961))</f>
        <v/>
      </c>
      <c r="I961" s="0" t="str">
        <f aca="false">IF(Pipeline_Sort!$C961="","",INDEX(Pipeline_Calc!$J$2:$J$5251,Pipeline_Sort!$C961))</f>
        <v/>
      </c>
    </row>
    <row r="962" customFormat="false" ht="15" hidden="false" customHeight="false" outlineLevel="0" collapsed="false">
      <c r="A962" s="33" t="str">
        <f aca="false">IF(Pipeline_Sort!$C962="","",INDEX(Pipeline_Calc!$B$2:$B$5251,Pipeline_Sort!$C962))</f>
        <v/>
      </c>
      <c r="B962" s="0" t="str">
        <f aca="false">IF(Pipeline_Sort!$C962="","",INDEX(Pipeline_Calc!$C$2:$C$5251,Pipeline_Sort!$C962))</f>
        <v/>
      </c>
      <c r="C962" s="0" t="str">
        <f aca="false">IF(Pipeline_Sort!$C962="","",INDEX(Pipeline_Calc!$D$2:$D$5251,Pipeline_Sort!$C962))</f>
        <v/>
      </c>
      <c r="D962" s="0" t="str">
        <f aca="false">IF(Pipeline_Sort!$C962="","",INDEX(Pipeline_Calc!$E$2:$E$5251,Pipeline_Sort!$C962))</f>
        <v/>
      </c>
      <c r="E962" s="0" t="str">
        <f aca="false">IF(Pipeline_Sort!$C962="","",INDEX(Pipeline_Calc!$F$2:$F$5251,Pipeline_Sort!$C962))</f>
        <v/>
      </c>
      <c r="F962" s="0" t="str">
        <f aca="false">IF(Pipeline_Sort!$C962="","",INDEX(Pipeline_Calc!$G$2:$G$5251,Pipeline_Sort!$C962))</f>
        <v/>
      </c>
      <c r="G962" s="0" t="str">
        <f aca="false">IF(Pipeline_Sort!$C962="","",INDEX(Pipeline_Calc!$H$2:$H$5251,Pipeline_Sort!$C962))</f>
        <v/>
      </c>
      <c r="H962" s="0" t="str">
        <f aca="false">IF(Pipeline_Sort!$C962="","",INDEX(Pipeline_Calc!$I$2:$I$5251,Pipeline_Sort!$C962))</f>
        <v/>
      </c>
      <c r="I962" s="0" t="str">
        <f aca="false">IF(Pipeline_Sort!$C962="","",INDEX(Pipeline_Calc!$J$2:$J$5251,Pipeline_Sort!$C962))</f>
        <v/>
      </c>
    </row>
    <row r="963" customFormat="false" ht="15" hidden="false" customHeight="false" outlineLevel="0" collapsed="false">
      <c r="A963" s="33" t="str">
        <f aca="false">IF(Pipeline_Sort!$C963="","",INDEX(Pipeline_Calc!$B$2:$B$5251,Pipeline_Sort!$C963))</f>
        <v/>
      </c>
      <c r="B963" s="0" t="str">
        <f aca="false">IF(Pipeline_Sort!$C963="","",INDEX(Pipeline_Calc!$C$2:$C$5251,Pipeline_Sort!$C963))</f>
        <v/>
      </c>
      <c r="C963" s="0" t="str">
        <f aca="false">IF(Pipeline_Sort!$C963="","",INDEX(Pipeline_Calc!$D$2:$D$5251,Pipeline_Sort!$C963))</f>
        <v/>
      </c>
      <c r="D963" s="0" t="str">
        <f aca="false">IF(Pipeline_Sort!$C963="","",INDEX(Pipeline_Calc!$E$2:$E$5251,Pipeline_Sort!$C963))</f>
        <v/>
      </c>
      <c r="E963" s="0" t="str">
        <f aca="false">IF(Pipeline_Sort!$C963="","",INDEX(Pipeline_Calc!$F$2:$F$5251,Pipeline_Sort!$C963))</f>
        <v/>
      </c>
      <c r="F963" s="0" t="str">
        <f aca="false">IF(Pipeline_Sort!$C963="","",INDEX(Pipeline_Calc!$G$2:$G$5251,Pipeline_Sort!$C963))</f>
        <v/>
      </c>
      <c r="G963" s="0" t="str">
        <f aca="false">IF(Pipeline_Sort!$C963="","",INDEX(Pipeline_Calc!$H$2:$H$5251,Pipeline_Sort!$C963))</f>
        <v/>
      </c>
      <c r="H963" s="0" t="str">
        <f aca="false">IF(Pipeline_Sort!$C963="","",INDEX(Pipeline_Calc!$I$2:$I$5251,Pipeline_Sort!$C963))</f>
        <v/>
      </c>
      <c r="I963" s="0" t="str">
        <f aca="false">IF(Pipeline_Sort!$C963="","",INDEX(Pipeline_Calc!$J$2:$J$5251,Pipeline_Sort!$C963))</f>
        <v/>
      </c>
    </row>
    <row r="964" customFormat="false" ht="15" hidden="false" customHeight="false" outlineLevel="0" collapsed="false">
      <c r="A964" s="33" t="str">
        <f aca="false">IF(Pipeline_Sort!$C964="","",INDEX(Pipeline_Calc!$B$2:$B$5251,Pipeline_Sort!$C964))</f>
        <v/>
      </c>
      <c r="B964" s="0" t="str">
        <f aca="false">IF(Pipeline_Sort!$C964="","",INDEX(Pipeline_Calc!$C$2:$C$5251,Pipeline_Sort!$C964))</f>
        <v/>
      </c>
      <c r="C964" s="0" t="str">
        <f aca="false">IF(Pipeline_Sort!$C964="","",INDEX(Pipeline_Calc!$D$2:$D$5251,Pipeline_Sort!$C964))</f>
        <v/>
      </c>
      <c r="D964" s="0" t="str">
        <f aca="false">IF(Pipeline_Sort!$C964="","",INDEX(Pipeline_Calc!$E$2:$E$5251,Pipeline_Sort!$C964))</f>
        <v/>
      </c>
      <c r="E964" s="0" t="str">
        <f aca="false">IF(Pipeline_Sort!$C964="","",INDEX(Pipeline_Calc!$F$2:$F$5251,Pipeline_Sort!$C964))</f>
        <v/>
      </c>
      <c r="F964" s="0" t="str">
        <f aca="false">IF(Pipeline_Sort!$C964="","",INDEX(Pipeline_Calc!$G$2:$G$5251,Pipeline_Sort!$C964))</f>
        <v/>
      </c>
      <c r="G964" s="0" t="str">
        <f aca="false">IF(Pipeline_Sort!$C964="","",INDEX(Pipeline_Calc!$H$2:$H$5251,Pipeline_Sort!$C964))</f>
        <v/>
      </c>
      <c r="H964" s="0" t="str">
        <f aca="false">IF(Pipeline_Sort!$C964="","",INDEX(Pipeline_Calc!$I$2:$I$5251,Pipeline_Sort!$C964))</f>
        <v/>
      </c>
      <c r="I964" s="0" t="str">
        <f aca="false">IF(Pipeline_Sort!$C964="","",INDEX(Pipeline_Calc!$J$2:$J$5251,Pipeline_Sort!$C964))</f>
        <v/>
      </c>
    </row>
    <row r="965" customFormat="false" ht="15" hidden="false" customHeight="false" outlineLevel="0" collapsed="false">
      <c r="A965" s="33" t="str">
        <f aca="false">IF(Pipeline_Sort!$C965="","",INDEX(Pipeline_Calc!$B$2:$B$5251,Pipeline_Sort!$C965))</f>
        <v/>
      </c>
      <c r="B965" s="0" t="str">
        <f aca="false">IF(Pipeline_Sort!$C965="","",INDEX(Pipeline_Calc!$C$2:$C$5251,Pipeline_Sort!$C965))</f>
        <v/>
      </c>
      <c r="C965" s="0" t="str">
        <f aca="false">IF(Pipeline_Sort!$C965="","",INDEX(Pipeline_Calc!$D$2:$D$5251,Pipeline_Sort!$C965))</f>
        <v/>
      </c>
      <c r="D965" s="0" t="str">
        <f aca="false">IF(Pipeline_Sort!$C965="","",INDEX(Pipeline_Calc!$E$2:$E$5251,Pipeline_Sort!$C965))</f>
        <v/>
      </c>
      <c r="E965" s="0" t="str">
        <f aca="false">IF(Pipeline_Sort!$C965="","",INDEX(Pipeline_Calc!$F$2:$F$5251,Pipeline_Sort!$C965))</f>
        <v/>
      </c>
      <c r="F965" s="0" t="str">
        <f aca="false">IF(Pipeline_Sort!$C965="","",INDEX(Pipeline_Calc!$G$2:$G$5251,Pipeline_Sort!$C965))</f>
        <v/>
      </c>
      <c r="G965" s="0" t="str">
        <f aca="false">IF(Pipeline_Sort!$C965="","",INDEX(Pipeline_Calc!$H$2:$H$5251,Pipeline_Sort!$C965))</f>
        <v/>
      </c>
      <c r="H965" s="0" t="str">
        <f aca="false">IF(Pipeline_Sort!$C965="","",INDEX(Pipeline_Calc!$I$2:$I$5251,Pipeline_Sort!$C965))</f>
        <v/>
      </c>
      <c r="I965" s="0" t="str">
        <f aca="false">IF(Pipeline_Sort!$C965="","",INDEX(Pipeline_Calc!$J$2:$J$5251,Pipeline_Sort!$C965))</f>
        <v/>
      </c>
    </row>
    <row r="966" customFormat="false" ht="15" hidden="false" customHeight="false" outlineLevel="0" collapsed="false">
      <c r="A966" s="33" t="str">
        <f aca="false">IF(Pipeline_Sort!$C966="","",INDEX(Pipeline_Calc!$B$2:$B$5251,Pipeline_Sort!$C966))</f>
        <v/>
      </c>
      <c r="B966" s="0" t="str">
        <f aca="false">IF(Pipeline_Sort!$C966="","",INDEX(Pipeline_Calc!$C$2:$C$5251,Pipeline_Sort!$C966))</f>
        <v/>
      </c>
      <c r="C966" s="0" t="str">
        <f aca="false">IF(Pipeline_Sort!$C966="","",INDEX(Pipeline_Calc!$D$2:$D$5251,Pipeline_Sort!$C966))</f>
        <v/>
      </c>
      <c r="D966" s="0" t="str">
        <f aca="false">IF(Pipeline_Sort!$C966="","",INDEX(Pipeline_Calc!$E$2:$E$5251,Pipeline_Sort!$C966))</f>
        <v/>
      </c>
      <c r="E966" s="0" t="str">
        <f aca="false">IF(Pipeline_Sort!$C966="","",INDEX(Pipeline_Calc!$F$2:$F$5251,Pipeline_Sort!$C966))</f>
        <v/>
      </c>
      <c r="F966" s="0" t="str">
        <f aca="false">IF(Pipeline_Sort!$C966="","",INDEX(Pipeline_Calc!$G$2:$G$5251,Pipeline_Sort!$C966))</f>
        <v/>
      </c>
      <c r="G966" s="0" t="str">
        <f aca="false">IF(Pipeline_Sort!$C966="","",INDEX(Pipeline_Calc!$H$2:$H$5251,Pipeline_Sort!$C966))</f>
        <v/>
      </c>
      <c r="H966" s="0" t="str">
        <f aca="false">IF(Pipeline_Sort!$C966="","",INDEX(Pipeline_Calc!$I$2:$I$5251,Pipeline_Sort!$C966))</f>
        <v/>
      </c>
      <c r="I966" s="0" t="str">
        <f aca="false">IF(Pipeline_Sort!$C966="","",INDEX(Pipeline_Calc!$J$2:$J$5251,Pipeline_Sort!$C966))</f>
        <v/>
      </c>
    </row>
    <row r="967" customFormat="false" ht="15" hidden="false" customHeight="false" outlineLevel="0" collapsed="false">
      <c r="A967" s="33" t="str">
        <f aca="false">IF(Pipeline_Sort!$C967="","",INDEX(Pipeline_Calc!$B$2:$B$5251,Pipeline_Sort!$C967))</f>
        <v/>
      </c>
      <c r="B967" s="0" t="str">
        <f aca="false">IF(Pipeline_Sort!$C967="","",INDEX(Pipeline_Calc!$C$2:$C$5251,Pipeline_Sort!$C967))</f>
        <v/>
      </c>
      <c r="C967" s="0" t="str">
        <f aca="false">IF(Pipeline_Sort!$C967="","",INDEX(Pipeline_Calc!$D$2:$D$5251,Pipeline_Sort!$C967))</f>
        <v/>
      </c>
      <c r="D967" s="0" t="str">
        <f aca="false">IF(Pipeline_Sort!$C967="","",INDEX(Pipeline_Calc!$E$2:$E$5251,Pipeline_Sort!$C967))</f>
        <v/>
      </c>
      <c r="E967" s="0" t="str">
        <f aca="false">IF(Pipeline_Sort!$C967="","",INDEX(Pipeline_Calc!$F$2:$F$5251,Pipeline_Sort!$C967))</f>
        <v/>
      </c>
      <c r="F967" s="0" t="str">
        <f aca="false">IF(Pipeline_Sort!$C967="","",INDEX(Pipeline_Calc!$G$2:$G$5251,Pipeline_Sort!$C967))</f>
        <v/>
      </c>
      <c r="G967" s="0" t="str">
        <f aca="false">IF(Pipeline_Sort!$C967="","",INDEX(Pipeline_Calc!$H$2:$H$5251,Pipeline_Sort!$C967))</f>
        <v/>
      </c>
      <c r="H967" s="0" t="str">
        <f aca="false">IF(Pipeline_Sort!$C967="","",INDEX(Pipeline_Calc!$I$2:$I$5251,Pipeline_Sort!$C967))</f>
        <v/>
      </c>
      <c r="I967" s="0" t="str">
        <f aca="false">IF(Pipeline_Sort!$C967="","",INDEX(Pipeline_Calc!$J$2:$J$5251,Pipeline_Sort!$C967))</f>
        <v/>
      </c>
    </row>
    <row r="968" customFormat="false" ht="15" hidden="false" customHeight="false" outlineLevel="0" collapsed="false">
      <c r="A968" s="33" t="str">
        <f aca="false">IF(Pipeline_Sort!$C968="","",INDEX(Pipeline_Calc!$B$2:$B$5251,Pipeline_Sort!$C968))</f>
        <v/>
      </c>
      <c r="B968" s="0" t="str">
        <f aca="false">IF(Pipeline_Sort!$C968="","",INDEX(Pipeline_Calc!$C$2:$C$5251,Pipeline_Sort!$C968))</f>
        <v/>
      </c>
      <c r="C968" s="0" t="str">
        <f aca="false">IF(Pipeline_Sort!$C968="","",INDEX(Pipeline_Calc!$D$2:$D$5251,Pipeline_Sort!$C968))</f>
        <v/>
      </c>
      <c r="D968" s="0" t="str">
        <f aca="false">IF(Pipeline_Sort!$C968="","",INDEX(Pipeline_Calc!$E$2:$E$5251,Pipeline_Sort!$C968))</f>
        <v/>
      </c>
      <c r="E968" s="0" t="str">
        <f aca="false">IF(Pipeline_Sort!$C968="","",INDEX(Pipeline_Calc!$F$2:$F$5251,Pipeline_Sort!$C968))</f>
        <v/>
      </c>
      <c r="F968" s="0" t="str">
        <f aca="false">IF(Pipeline_Sort!$C968="","",INDEX(Pipeline_Calc!$G$2:$G$5251,Pipeline_Sort!$C968))</f>
        <v/>
      </c>
      <c r="G968" s="0" t="str">
        <f aca="false">IF(Pipeline_Sort!$C968="","",INDEX(Pipeline_Calc!$H$2:$H$5251,Pipeline_Sort!$C968))</f>
        <v/>
      </c>
      <c r="H968" s="0" t="str">
        <f aca="false">IF(Pipeline_Sort!$C968="","",INDEX(Pipeline_Calc!$I$2:$I$5251,Pipeline_Sort!$C968))</f>
        <v/>
      </c>
      <c r="I968" s="0" t="str">
        <f aca="false">IF(Pipeline_Sort!$C968="","",INDEX(Pipeline_Calc!$J$2:$J$5251,Pipeline_Sort!$C968))</f>
        <v/>
      </c>
    </row>
    <row r="969" customFormat="false" ht="15" hidden="false" customHeight="false" outlineLevel="0" collapsed="false">
      <c r="A969" s="33" t="str">
        <f aca="false">IF(Pipeline_Sort!$C969="","",INDEX(Pipeline_Calc!$B$2:$B$5251,Pipeline_Sort!$C969))</f>
        <v/>
      </c>
      <c r="B969" s="0" t="str">
        <f aca="false">IF(Pipeline_Sort!$C969="","",INDEX(Pipeline_Calc!$C$2:$C$5251,Pipeline_Sort!$C969))</f>
        <v/>
      </c>
      <c r="C969" s="0" t="str">
        <f aca="false">IF(Pipeline_Sort!$C969="","",INDEX(Pipeline_Calc!$D$2:$D$5251,Pipeline_Sort!$C969))</f>
        <v/>
      </c>
      <c r="D969" s="0" t="str">
        <f aca="false">IF(Pipeline_Sort!$C969="","",INDEX(Pipeline_Calc!$E$2:$E$5251,Pipeline_Sort!$C969))</f>
        <v/>
      </c>
      <c r="E969" s="0" t="str">
        <f aca="false">IF(Pipeline_Sort!$C969="","",INDEX(Pipeline_Calc!$F$2:$F$5251,Pipeline_Sort!$C969))</f>
        <v/>
      </c>
      <c r="F969" s="0" t="str">
        <f aca="false">IF(Pipeline_Sort!$C969="","",INDEX(Pipeline_Calc!$G$2:$G$5251,Pipeline_Sort!$C969))</f>
        <v/>
      </c>
      <c r="G969" s="0" t="str">
        <f aca="false">IF(Pipeline_Sort!$C969="","",INDEX(Pipeline_Calc!$H$2:$H$5251,Pipeline_Sort!$C969))</f>
        <v/>
      </c>
      <c r="H969" s="0" t="str">
        <f aca="false">IF(Pipeline_Sort!$C969="","",INDEX(Pipeline_Calc!$I$2:$I$5251,Pipeline_Sort!$C969))</f>
        <v/>
      </c>
      <c r="I969" s="0" t="str">
        <f aca="false">IF(Pipeline_Sort!$C969="","",INDEX(Pipeline_Calc!$J$2:$J$5251,Pipeline_Sort!$C969))</f>
        <v/>
      </c>
    </row>
    <row r="970" customFormat="false" ht="15" hidden="false" customHeight="false" outlineLevel="0" collapsed="false">
      <c r="A970" s="33" t="str">
        <f aca="false">IF(Pipeline_Sort!$C970="","",INDEX(Pipeline_Calc!$B$2:$B$5251,Pipeline_Sort!$C970))</f>
        <v/>
      </c>
      <c r="B970" s="0" t="str">
        <f aca="false">IF(Pipeline_Sort!$C970="","",INDEX(Pipeline_Calc!$C$2:$C$5251,Pipeline_Sort!$C970))</f>
        <v/>
      </c>
      <c r="C970" s="0" t="str">
        <f aca="false">IF(Pipeline_Sort!$C970="","",INDEX(Pipeline_Calc!$D$2:$D$5251,Pipeline_Sort!$C970))</f>
        <v/>
      </c>
      <c r="D970" s="0" t="str">
        <f aca="false">IF(Pipeline_Sort!$C970="","",INDEX(Pipeline_Calc!$E$2:$E$5251,Pipeline_Sort!$C970))</f>
        <v/>
      </c>
      <c r="E970" s="0" t="str">
        <f aca="false">IF(Pipeline_Sort!$C970="","",INDEX(Pipeline_Calc!$F$2:$F$5251,Pipeline_Sort!$C970))</f>
        <v/>
      </c>
      <c r="F970" s="0" t="str">
        <f aca="false">IF(Pipeline_Sort!$C970="","",INDEX(Pipeline_Calc!$G$2:$G$5251,Pipeline_Sort!$C970))</f>
        <v/>
      </c>
      <c r="G970" s="0" t="str">
        <f aca="false">IF(Pipeline_Sort!$C970="","",INDEX(Pipeline_Calc!$H$2:$H$5251,Pipeline_Sort!$C970))</f>
        <v/>
      </c>
      <c r="H970" s="0" t="str">
        <f aca="false">IF(Pipeline_Sort!$C970="","",INDEX(Pipeline_Calc!$I$2:$I$5251,Pipeline_Sort!$C970))</f>
        <v/>
      </c>
      <c r="I970" s="0" t="str">
        <f aca="false">IF(Pipeline_Sort!$C970="","",INDEX(Pipeline_Calc!$J$2:$J$5251,Pipeline_Sort!$C970))</f>
        <v/>
      </c>
    </row>
    <row r="971" customFormat="false" ht="15" hidden="false" customHeight="false" outlineLevel="0" collapsed="false">
      <c r="A971" s="33" t="str">
        <f aca="false">IF(Pipeline_Sort!$C971="","",INDEX(Pipeline_Calc!$B$2:$B$5251,Pipeline_Sort!$C971))</f>
        <v/>
      </c>
      <c r="B971" s="0" t="str">
        <f aca="false">IF(Pipeline_Sort!$C971="","",INDEX(Pipeline_Calc!$C$2:$C$5251,Pipeline_Sort!$C971))</f>
        <v/>
      </c>
      <c r="C971" s="0" t="str">
        <f aca="false">IF(Pipeline_Sort!$C971="","",INDEX(Pipeline_Calc!$D$2:$D$5251,Pipeline_Sort!$C971))</f>
        <v/>
      </c>
      <c r="D971" s="0" t="str">
        <f aca="false">IF(Pipeline_Sort!$C971="","",INDEX(Pipeline_Calc!$E$2:$E$5251,Pipeline_Sort!$C971))</f>
        <v/>
      </c>
      <c r="E971" s="0" t="str">
        <f aca="false">IF(Pipeline_Sort!$C971="","",INDEX(Pipeline_Calc!$F$2:$F$5251,Pipeline_Sort!$C971))</f>
        <v/>
      </c>
      <c r="F971" s="0" t="str">
        <f aca="false">IF(Pipeline_Sort!$C971="","",INDEX(Pipeline_Calc!$G$2:$G$5251,Pipeline_Sort!$C971))</f>
        <v/>
      </c>
      <c r="G971" s="0" t="str">
        <f aca="false">IF(Pipeline_Sort!$C971="","",INDEX(Pipeline_Calc!$H$2:$H$5251,Pipeline_Sort!$C971))</f>
        <v/>
      </c>
      <c r="H971" s="0" t="str">
        <f aca="false">IF(Pipeline_Sort!$C971="","",INDEX(Pipeline_Calc!$I$2:$I$5251,Pipeline_Sort!$C971))</f>
        <v/>
      </c>
      <c r="I971" s="0" t="str">
        <f aca="false">IF(Pipeline_Sort!$C971="","",INDEX(Pipeline_Calc!$J$2:$J$5251,Pipeline_Sort!$C971))</f>
        <v/>
      </c>
    </row>
    <row r="972" customFormat="false" ht="15" hidden="false" customHeight="false" outlineLevel="0" collapsed="false">
      <c r="A972" s="33" t="str">
        <f aca="false">IF(Pipeline_Sort!$C972="","",INDEX(Pipeline_Calc!$B$2:$B$5251,Pipeline_Sort!$C972))</f>
        <v/>
      </c>
      <c r="B972" s="0" t="str">
        <f aca="false">IF(Pipeline_Sort!$C972="","",INDEX(Pipeline_Calc!$C$2:$C$5251,Pipeline_Sort!$C972))</f>
        <v/>
      </c>
      <c r="C972" s="0" t="str">
        <f aca="false">IF(Pipeline_Sort!$C972="","",INDEX(Pipeline_Calc!$D$2:$D$5251,Pipeline_Sort!$C972))</f>
        <v/>
      </c>
      <c r="D972" s="0" t="str">
        <f aca="false">IF(Pipeline_Sort!$C972="","",INDEX(Pipeline_Calc!$E$2:$E$5251,Pipeline_Sort!$C972))</f>
        <v/>
      </c>
      <c r="E972" s="0" t="str">
        <f aca="false">IF(Pipeline_Sort!$C972="","",INDEX(Pipeline_Calc!$F$2:$F$5251,Pipeline_Sort!$C972))</f>
        <v/>
      </c>
      <c r="F972" s="0" t="str">
        <f aca="false">IF(Pipeline_Sort!$C972="","",INDEX(Pipeline_Calc!$G$2:$G$5251,Pipeline_Sort!$C972))</f>
        <v/>
      </c>
      <c r="G972" s="0" t="str">
        <f aca="false">IF(Pipeline_Sort!$C972="","",INDEX(Pipeline_Calc!$H$2:$H$5251,Pipeline_Sort!$C972))</f>
        <v/>
      </c>
      <c r="H972" s="0" t="str">
        <f aca="false">IF(Pipeline_Sort!$C972="","",INDEX(Pipeline_Calc!$I$2:$I$5251,Pipeline_Sort!$C972))</f>
        <v/>
      </c>
      <c r="I972" s="0" t="str">
        <f aca="false">IF(Pipeline_Sort!$C972="","",INDEX(Pipeline_Calc!$J$2:$J$5251,Pipeline_Sort!$C972))</f>
        <v/>
      </c>
    </row>
    <row r="973" customFormat="false" ht="15" hidden="false" customHeight="false" outlineLevel="0" collapsed="false">
      <c r="A973" s="33" t="str">
        <f aca="false">IF(Pipeline_Sort!$C973="","",INDEX(Pipeline_Calc!$B$2:$B$5251,Pipeline_Sort!$C973))</f>
        <v/>
      </c>
      <c r="B973" s="0" t="str">
        <f aca="false">IF(Pipeline_Sort!$C973="","",INDEX(Pipeline_Calc!$C$2:$C$5251,Pipeline_Sort!$C973))</f>
        <v/>
      </c>
      <c r="C973" s="0" t="str">
        <f aca="false">IF(Pipeline_Sort!$C973="","",INDEX(Pipeline_Calc!$D$2:$D$5251,Pipeline_Sort!$C973))</f>
        <v/>
      </c>
      <c r="D973" s="0" t="str">
        <f aca="false">IF(Pipeline_Sort!$C973="","",INDEX(Pipeline_Calc!$E$2:$E$5251,Pipeline_Sort!$C973))</f>
        <v/>
      </c>
      <c r="E973" s="0" t="str">
        <f aca="false">IF(Pipeline_Sort!$C973="","",INDEX(Pipeline_Calc!$F$2:$F$5251,Pipeline_Sort!$C973))</f>
        <v/>
      </c>
      <c r="F973" s="0" t="str">
        <f aca="false">IF(Pipeline_Sort!$C973="","",INDEX(Pipeline_Calc!$G$2:$G$5251,Pipeline_Sort!$C973))</f>
        <v/>
      </c>
      <c r="G973" s="0" t="str">
        <f aca="false">IF(Pipeline_Sort!$C973="","",INDEX(Pipeline_Calc!$H$2:$H$5251,Pipeline_Sort!$C973))</f>
        <v/>
      </c>
      <c r="H973" s="0" t="str">
        <f aca="false">IF(Pipeline_Sort!$C973="","",INDEX(Pipeline_Calc!$I$2:$I$5251,Pipeline_Sort!$C973))</f>
        <v/>
      </c>
      <c r="I973" s="0" t="str">
        <f aca="false">IF(Pipeline_Sort!$C973="","",INDEX(Pipeline_Calc!$J$2:$J$5251,Pipeline_Sort!$C973))</f>
        <v/>
      </c>
    </row>
    <row r="974" customFormat="false" ht="15" hidden="false" customHeight="false" outlineLevel="0" collapsed="false">
      <c r="A974" s="33" t="str">
        <f aca="false">IF(Pipeline_Sort!$C974="","",INDEX(Pipeline_Calc!$B$2:$B$5251,Pipeline_Sort!$C974))</f>
        <v/>
      </c>
      <c r="B974" s="0" t="str">
        <f aca="false">IF(Pipeline_Sort!$C974="","",INDEX(Pipeline_Calc!$C$2:$C$5251,Pipeline_Sort!$C974))</f>
        <v/>
      </c>
      <c r="C974" s="0" t="str">
        <f aca="false">IF(Pipeline_Sort!$C974="","",INDEX(Pipeline_Calc!$D$2:$D$5251,Pipeline_Sort!$C974))</f>
        <v/>
      </c>
      <c r="D974" s="0" t="str">
        <f aca="false">IF(Pipeline_Sort!$C974="","",INDEX(Pipeline_Calc!$E$2:$E$5251,Pipeline_Sort!$C974))</f>
        <v/>
      </c>
      <c r="E974" s="0" t="str">
        <f aca="false">IF(Pipeline_Sort!$C974="","",INDEX(Pipeline_Calc!$F$2:$F$5251,Pipeline_Sort!$C974))</f>
        <v/>
      </c>
      <c r="F974" s="0" t="str">
        <f aca="false">IF(Pipeline_Sort!$C974="","",INDEX(Pipeline_Calc!$G$2:$G$5251,Pipeline_Sort!$C974))</f>
        <v/>
      </c>
      <c r="G974" s="0" t="str">
        <f aca="false">IF(Pipeline_Sort!$C974="","",INDEX(Pipeline_Calc!$H$2:$H$5251,Pipeline_Sort!$C974))</f>
        <v/>
      </c>
      <c r="H974" s="0" t="str">
        <f aca="false">IF(Pipeline_Sort!$C974="","",INDEX(Pipeline_Calc!$I$2:$I$5251,Pipeline_Sort!$C974))</f>
        <v/>
      </c>
      <c r="I974" s="0" t="str">
        <f aca="false">IF(Pipeline_Sort!$C974="","",INDEX(Pipeline_Calc!$J$2:$J$5251,Pipeline_Sort!$C974))</f>
        <v/>
      </c>
    </row>
    <row r="975" customFormat="false" ht="15" hidden="false" customHeight="false" outlineLevel="0" collapsed="false">
      <c r="A975" s="33" t="str">
        <f aca="false">IF(Pipeline_Sort!$C975="","",INDEX(Pipeline_Calc!$B$2:$B$5251,Pipeline_Sort!$C975))</f>
        <v/>
      </c>
      <c r="B975" s="0" t="str">
        <f aca="false">IF(Pipeline_Sort!$C975="","",INDEX(Pipeline_Calc!$C$2:$C$5251,Pipeline_Sort!$C975))</f>
        <v/>
      </c>
      <c r="C975" s="0" t="str">
        <f aca="false">IF(Pipeline_Sort!$C975="","",INDEX(Pipeline_Calc!$D$2:$D$5251,Pipeline_Sort!$C975))</f>
        <v/>
      </c>
      <c r="D975" s="0" t="str">
        <f aca="false">IF(Pipeline_Sort!$C975="","",INDEX(Pipeline_Calc!$E$2:$E$5251,Pipeline_Sort!$C975))</f>
        <v/>
      </c>
      <c r="E975" s="0" t="str">
        <f aca="false">IF(Pipeline_Sort!$C975="","",INDEX(Pipeline_Calc!$F$2:$F$5251,Pipeline_Sort!$C975))</f>
        <v/>
      </c>
      <c r="F975" s="0" t="str">
        <f aca="false">IF(Pipeline_Sort!$C975="","",INDEX(Pipeline_Calc!$G$2:$G$5251,Pipeline_Sort!$C975))</f>
        <v/>
      </c>
      <c r="G975" s="0" t="str">
        <f aca="false">IF(Pipeline_Sort!$C975="","",INDEX(Pipeline_Calc!$H$2:$H$5251,Pipeline_Sort!$C975))</f>
        <v/>
      </c>
      <c r="H975" s="0" t="str">
        <f aca="false">IF(Pipeline_Sort!$C975="","",INDEX(Pipeline_Calc!$I$2:$I$5251,Pipeline_Sort!$C975))</f>
        <v/>
      </c>
      <c r="I975" s="0" t="str">
        <f aca="false">IF(Pipeline_Sort!$C975="","",INDEX(Pipeline_Calc!$J$2:$J$5251,Pipeline_Sort!$C975))</f>
        <v/>
      </c>
    </row>
    <row r="976" customFormat="false" ht="15" hidden="false" customHeight="false" outlineLevel="0" collapsed="false">
      <c r="A976" s="33" t="str">
        <f aca="false">IF(Pipeline_Sort!$C976="","",INDEX(Pipeline_Calc!$B$2:$B$5251,Pipeline_Sort!$C976))</f>
        <v/>
      </c>
      <c r="B976" s="0" t="str">
        <f aca="false">IF(Pipeline_Sort!$C976="","",INDEX(Pipeline_Calc!$C$2:$C$5251,Pipeline_Sort!$C976))</f>
        <v/>
      </c>
      <c r="C976" s="0" t="str">
        <f aca="false">IF(Pipeline_Sort!$C976="","",INDEX(Pipeline_Calc!$D$2:$D$5251,Pipeline_Sort!$C976))</f>
        <v/>
      </c>
      <c r="D976" s="0" t="str">
        <f aca="false">IF(Pipeline_Sort!$C976="","",INDEX(Pipeline_Calc!$E$2:$E$5251,Pipeline_Sort!$C976))</f>
        <v/>
      </c>
      <c r="E976" s="0" t="str">
        <f aca="false">IF(Pipeline_Sort!$C976="","",INDEX(Pipeline_Calc!$F$2:$F$5251,Pipeline_Sort!$C976))</f>
        <v/>
      </c>
      <c r="F976" s="0" t="str">
        <f aca="false">IF(Pipeline_Sort!$C976="","",INDEX(Pipeline_Calc!$G$2:$G$5251,Pipeline_Sort!$C976))</f>
        <v/>
      </c>
      <c r="G976" s="0" t="str">
        <f aca="false">IF(Pipeline_Sort!$C976="","",INDEX(Pipeline_Calc!$H$2:$H$5251,Pipeline_Sort!$C976))</f>
        <v/>
      </c>
      <c r="H976" s="0" t="str">
        <f aca="false">IF(Pipeline_Sort!$C976="","",INDEX(Pipeline_Calc!$I$2:$I$5251,Pipeline_Sort!$C976))</f>
        <v/>
      </c>
      <c r="I976" s="0" t="str">
        <f aca="false">IF(Pipeline_Sort!$C976="","",INDEX(Pipeline_Calc!$J$2:$J$5251,Pipeline_Sort!$C976))</f>
        <v/>
      </c>
    </row>
    <row r="977" customFormat="false" ht="15" hidden="false" customHeight="false" outlineLevel="0" collapsed="false">
      <c r="A977" s="33" t="str">
        <f aca="false">IF(Pipeline_Sort!$C977="","",INDEX(Pipeline_Calc!$B$2:$B$5251,Pipeline_Sort!$C977))</f>
        <v/>
      </c>
      <c r="B977" s="0" t="str">
        <f aca="false">IF(Pipeline_Sort!$C977="","",INDEX(Pipeline_Calc!$C$2:$C$5251,Pipeline_Sort!$C977))</f>
        <v/>
      </c>
      <c r="C977" s="0" t="str">
        <f aca="false">IF(Pipeline_Sort!$C977="","",INDEX(Pipeline_Calc!$D$2:$D$5251,Pipeline_Sort!$C977))</f>
        <v/>
      </c>
      <c r="D977" s="0" t="str">
        <f aca="false">IF(Pipeline_Sort!$C977="","",INDEX(Pipeline_Calc!$E$2:$E$5251,Pipeline_Sort!$C977))</f>
        <v/>
      </c>
      <c r="E977" s="0" t="str">
        <f aca="false">IF(Pipeline_Sort!$C977="","",INDEX(Pipeline_Calc!$F$2:$F$5251,Pipeline_Sort!$C977))</f>
        <v/>
      </c>
      <c r="F977" s="0" t="str">
        <f aca="false">IF(Pipeline_Sort!$C977="","",INDEX(Pipeline_Calc!$G$2:$G$5251,Pipeline_Sort!$C977))</f>
        <v/>
      </c>
      <c r="G977" s="0" t="str">
        <f aca="false">IF(Pipeline_Sort!$C977="","",INDEX(Pipeline_Calc!$H$2:$H$5251,Pipeline_Sort!$C977))</f>
        <v/>
      </c>
      <c r="H977" s="0" t="str">
        <f aca="false">IF(Pipeline_Sort!$C977="","",INDEX(Pipeline_Calc!$I$2:$I$5251,Pipeline_Sort!$C977))</f>
        <v/>
      </c>
      <c r="I977" s="0" t="str">
        <f aca="false">IF(Pipeline_Sort!$C977="","",INDEX(Pipeline_Calc!$J$2:$J$5251,Pipeline_Sort!$C977))</f>
        <v/>
      </c>
    </row>
    <row r="978" customFormat="false" ht="15" hidden="false" customHeight="false" outlineLevel="0" collapsed="false">
      <c r="A978" s="33" t="str">
        <f aca="false">IF(Pipeline_Sort!$C978="","",INDEX(Pipeline_Calc!$B$2:$B$5251,Pipeline_Sort!$C978))</f>
        <v/>
      </c>
      <c r="B978" s="0" t="str">
        <f aca="false">IF(Pipeline_Sort!$C978="","",INDEX(Pipeline_Calc!$C$2:$C$5251,Pipeline_Sort!$C978))</f>
        <v/>
      </c>
      <c r="C978" s="0" t="str">
        <f aca="false">IF(Pipeline_Sort!$C978="","",INDEX(Pipeline_Calc!$D$2:$D$5251,Pipeline_Sort!$C978))</f>
        <v/>
      </c>
      <c r="D978" s="0" t="str">
        <f aca="false">IF(Pipeline_Sort!$C978="","",INDEX(Pipeline_Calc!$E$2:$E$5251,Pipeline_Sort!$C978))</f>
        <v/>
      </c>
      <c r="E978" s="0" t="str">
        <f aca="false">IF(Pipeline_Sort!$C978="","",INDEX(Pipeline_Calc!$F$2:$F$5251,Pipeline_Sort!$C978))</f>
        <v/>
      </c>
      <c r="F978" s="0" t="str">
        <f aca="false">IF(Pipeline_Sort!$C978="","",INDEX(Pipeline_Calc!$G$2:$G$5251,Pipeline_Sort!$C978))</f>
        <v/>
      </c>
      <c r="G978" s="0" t="str">
        <f aca="false">IF(Pipeline_Sort!$C978="","",INDEX(Pipeline_Calc!$H$2:$H$5251,Pipeline_Sort!$C978))</f>
        <v/>
      </c>
      <c r="H978" s="0" t="str">
        <f aca="false">IF(Pipeline_Sort!$C978="","",INDEX(Pipeline_Calc!$I$2:$I$5251,Pipeline_Sort!$C978))</f>
        <v/>
      </c>
      <c r="I978" s="0" t="str">
        <f aca="false">IF(Pipeline_Sort!$C978="","",INDEX(Pipeline_Calc!$J$2:$J$5251,Pipeline_Sort!$C978))</f>
        <v/>
      </c>
    </row>
    <row r="979" customFormat="false" ht="15" hidden="false" customHeight="false" outlineLevel="0" collapsed="false">
      <c r="A979" s="33" t="str">
        <f aca="false">IF(Pipeline_Sort!$C979="","",INDEX(Pipeline_Calc!$B$2:$B$5251,Pipeline_Sort!$C979))</f>
        <v/>
      </c>
      <c r="B979" s="0" t="str">
        <f aca="false">IF(Pipeline_Sort!$C979="","",INDEX(Pipeline_Calc!$C$2:$C$5251,Pipeline_Sort!$C979))</f>
        <v/>
      </c>
      <c r="C979" s="0" t="str">
        <f aca="false">IF(Pipeline_Sort!$C979="","",INDEX(Pipeline_Calc!$D$2:$D$5251,Pipeline_Sort!$C979))</f>
        <v/>
      </c>
      <c r="D979" s="0" t="str">
        <f aca="false">IF(Pipeline_Sort!$C979="","",INDEX(Pipeline_Calc!$E$2:$E$5251,Pipeline_Sort!$C979))</f>
        <v/>
      </c>
      <c r="E979" s="0" t="str">
        <f aca="false">IF(Pipeline_Sort!$C979="","",INDEX(Pipeline_Calc!$F$2:$F$5251,Pipeline_Sort!$C979))</f>
        <v/>
      </c>
      <c r="F979" s="0" t="str">
        <f aca="false">IF(Pipeline_Sort!$C979="","",INDEX(Pipeline_Calc!$G$2:$G$5251,Pipeline_Sort!$C979))</f>
        <v/>
      </c>
      <c r="G979" s="0" t="str">
        <f aca="false">IF(Pipeline_Sort!$C979="","",INDEX(Pipeline_Calc!$H$2:$H$5251,Pipeline_Sort!$C979))</f>
        <v/>
      </c>
      <c r="H979" s="0" t="str">
        <f aca="false">IF(Pipeline_Sort!$C979="","",INDEX(Pipeline_Calc!$I$2:$I$5251,Pipeline_Sort!$C979))</f>
        <v/>
      </c>
      <c r="I979" s="0" t="str">
        <f aca="false">IF(Pipeline_Sort!$C979="","",INDEX(Pipeline_Calc!$J$2:$J$5251,Pipeline_Sort!$C979))</f>
        <v/>
      </c>
    </row>
    <row r="980" customFormat="false" ht="15" hidden="false" customHeight="false" outlineLevel="0" collapsed="false">
      <c r="A980" s="33" t="str">
        <f aca="false">IF(Pipeline_Sort!$C980="","",INDEX(Pipeline_Calc!$B$2:$B$5251,Pipeline_Sort!$C980))</f>
        <v/>
      </c>
      <c r="B980" s="0" t="str">
        <f aca="false">IF(Pipeline_Sort!$C980="","",INDEX(Pipeline_Calc!$C$2:$C$5251,Pipeline_Sort!$C980))</f>
        <v/>
      </c>
      <c r="C980" s="0" t="str">
        <f aca="false">IF(Pipeline_Sort!$C980="","",INDEX(Pipeline_Calc!$D$2:$D$5251,Pipeline_Sort!$C980))</f>
        <v/>
      </c>
      <c r="D980" s="0" t="str">
        <f aca="false">IF(Pipeline_Sort!$C980="","",INDEX(Pipeline_Calc!$E$2:$E$5251,Pipeline_Sort!$C980))</f>
        <v/>
      </c>
      <c r="E980" s="0" t="str">
        <f aca="false">IF(Pipeline_Sort!$C980="","",INDEX(Pipeline_Calc!$F$2:$F$5251,Pipeline_Sort!$C980))</f>
        <v/>
      </c>
      <c r="F980" s="0" t="str">
        <f aca="false">IF(Pipeline_Sort!$C980="","",INDEX(Pipeline_Calc!$G$2:$G$5251,Pipeline_Sort!$C980))</f>
        <v/>
      </c>
      <c r="G980" s="0" t="str">
        <f aca="false">IF(Pipeline_Sort!$C980="","",INDEX(Pipeline_Calc!$H$2:$H$5251,Pipeline_Sort!$C980))</f>
        <v/>
      </c>
      <c r="H980" s="0" t="str">
        <f aca="false">IF(Pipeline_Sort!$C980="","",INDEX(Pipeline_Calc!$I$2:$I$5251,Pipeline_Sort!$C980))</f>
        <v/>
      </c>
      <c r="I980" s="0" t="str">
        <f aca="false">IF(Pipeline_Sort!$C980="","",INDEX(Pipeline_Calc!$J$2:$J$5251,Pipeline_Sort!$C980))</f>
        <v/>
      </c>
    </row>
    <row r="981" customFormat="false" ht="15" hidden="false" customHeight="false" outlineLevel="0" collapsed="false">
      <c r="A981" s="33" t="str">
        <f aca="false">IF(Pipeline_Sort!$C981="","",INDEX(Pipeline_Calc!$B$2:$B$5251,Pipeline_Sort!$C981))</f>
        <v/>
      </c>
      <c r="B981" s="0" t="str">
        <f aca="false">IF(Pipeline_Sort!$C981="","",INDEX(Pipeline_Calc!$C$2:$C$5251,Pipeline_Sort!$C981))</f>
        <v/>
      </c>
      <c r="C981" s="0" t="str">
        <f aca="false">IF(Pipeline_Sort!$C981="","",INDEX(Pipeline_Calc!$D$2:$D$5251,Pipeline_Sort!$C981))</f>
        <v/>
      </c>
      <c r="D981" s="0" t="str">
        <f aca="false">IF(Pipeline_Sort!$C981="","",INDEX(Pipeline_Calc!$E$2:$E$5251,Pipeline_Sort!$C981))</f>
        <v/>
      </c>
      <c r="E981" s="0" t="str">
        <f aca="false">IF(Pipeline_Sort!$C981="","",INDEX(Pipeline_Calc!$F$2:$F$5251,Pipeline_Sort!$C981))</f>
        <v/>
      </c>
      <c r="F981" s="0" t="str">
        <f aca="false">IF(Pipeline_Sort!$C981="","",INDEX(Pipeline_Calc!$G$2:$G$5251,Pipeline_Sort!$C981))</f>
        <v/>
      </c>
      <c r="G981" s="0" t="str">
        <f aca="false">IF(Pipeline_Sort!$C981="","",INDEX(Pipeline_Calc!$H$2:$H$5251,Pipeline_Sort!$C981))</f>
        <v/>
      </c>
      <c r="H981" s="0" t="str">
        <f aca="false">IF(Pipeline_Sort!$C981="","",INDEX(Pipeline_Calc!$I$2:$I$5251,Pipeline_Sort!$C981))</f>
        <v/>
      </c>
      <c r="I981" s="0" t="str">
        <f aca="false">IF(Pipeline_Sort!$C981="","",INDEX(Pipeline_Calc!$J$2:$J$5251,Pipeline_Sort!$C981))</f>
        <v/>
      </c>
    </row>
    <row r="982" customFormat="false" ht="15" hidden="false" customHeight="false" outlineLevel="0" collapsed="false">
      <c r="A982" s="33" t="str">
        <f aca="false">IF(Pipeline_Sort!$C982="","",INDEX(Pipeline_Calc!$B$2:$B$5251,Pipeline_Sort!$C982))</f>
        <v/>
      </c>
      <c r="B982" s="0" t="str">
        <f aca="false">IF(Pipeline_Sort!$C982="","",INDEX(Pipeline_Calc!$C$2:$C$5251,Pipeline_Sort!$C982))</f>
        <v/>
      </c>
      <c r="C982" s="0" t="str">
        <f aca="false">IF(Pipeline_Sort!$C982="","",INDEX(Pipeline_Calc!$D$2:$D$5251,Pipeline_Sort!$C982))</f>
        <v/>
      </c>
      <c r="D982" s="0" t="str">
        <f aca="false">IF(Pipeline_Sort!$C982="","",INDEX(Pipeline_Calc!$E$2:$E$5251,Pipeline_Sort!$C982))</f>
        <v/>
      </c>
      <c r="E982" s="0" t="str">
        <f aca="false">IF(Pipeline_Sort!$C982="","",INDEX(Pipeline_Calc!$F$2:$F$5251,Pipeline_Sort!$C982))</f>
        <v/>
      </c>
      <c r="F982" s="0" t="str">
        <f aca="false">IF(Pipeline_Sort!$C982="","",INDEX(Pipeline_Calc!$G$2:$G$5251,Pipeline_Sort!$C982))</f>
        <v/>
      </c>
      <c r="G982" s="0" t="str">
        <f aca="false">IF(Pipeline_Sort!$C982="","",INDEX(Pipeline_Calc!$H$2:$H$5251,Pipeline_Sort!$C982))</f>
        <v/>
      </c>
      <c r="H982" s="0" t="str">
        <f aca="false">IF(Pipeline_Sort!$C982="","",INDEX(Pipeline_Calc!$I$2:$I$5251,Pipeline_Sort!$C982))</f>
        <v/>
      </c>
      <c r="I982" s="0" t="str">
        <f aca="false">IF(Pipeline_Sort!$C982="","",INDEX(Pipeline_Calc!$J$2:$J$5251,Pipeline_Sort!$C982))</f>
        <v/>
      </c>
    </row>
    <row r="983" customFormat="false" ht="15" hidden="false" customHeight="false" outlineLevel="0" collapsed="false">
      <c r="A983" s="33" t="str">
        <f aca="false">IF(Pipeline_Sort!$C983="","",INDEX(Pipeline_Calc!$B$2:$B$5251,Pipeline_Sort!$C983))</f>
        <v/>
      </c>
      <c r="B983" s="0" t="str">
        <f aca="false">IF(Pipeline_Sort!$C983="","",INDEX(Pipeline_Calc!$C$2:$C$5251,Pipeline_Sort!$C983))</f>
        <v/>
      </c>
      <c r="C983" s="0" t="str">
        <f aca="false">IF(Pipeline_Sort!$C983="","",INDEX(Pipeline_Calc!$D$2:$D$5251,Pipeline_Sort!$C983))</f>
        <v/>
      </c>
      <c r="D983" s="0" t="str">
        <f aca="false">IF(Pipeline_Sort!$C983="","",INDEX(Pipeline_Calc!$E$2:$E$5251,Pipeline_Sort!$C983))</f>
        <v/>
      </c>
      <c r="E983" s="0" t="str">
        <f aca="false">IF(Pipeline_Sort!$C983="","",INDEX(Pipeline_Calc!$F$2:$F$5251,Pipeline_Sort!$C983))</f>
        <v/>
      </c>
      <c r="F983" s="0" t="str">
        <f aca="false">IF(Pipeline_Sort!$C983="","",INDEX(Pipeline_Calc!$G$2:$G$5251,Pipeline_Sort!$C983))</f>
        <v/>
      </c>
      <c r="G983" s="0" t="str">
        <f aca="false">IF(Pipeline_Sort!$C983="","",INDEX(Pipeline_Calc!$H$2:$H$5251,Pipeline_Sort!$C983))</f>
        <v/>
      </c>
      <c r="H983" s="0" t="str">
        <f aca="false">IF(Pipeline_Sort!$C983="","",INDEX(Pipeline_Calc!$I$2:$I$5251,Pipeline_Sort!$C983))</f>
        <v/>
      </c>
      <c r="I983" s="0" t="str">
        <f aca="false">IF(Pipeline_Sort!$C983="","",INDEX(Pipeline_Calc!$J$2:$J$5251,Pipeline_Sort!$C983))</f>
        <v/>
      </c>
    </row>
    <row r="984" customFormat="false" ht="15" hidden="false" customHeight="false" outlineLevel="0" collapsed="false">
      <c r="A984" s="33" t="str">
        <f aca="false">IF(Pipeline_Sort!$C984="","",INDEX(Pipeline_Calc!$B$2:$B$5251,Pipeline_Sort!$C984))</f>
        <v/>
      </c>
      <c r="B984" s="0" t="str">
        <f aca="false">IF(Pipeline_Sort!$C984="","",INDEX(Pipeline_Calc!$C$2:$C$5251,Pipeline_Sort!$C984))</f>
        <v/>
      </c>
      <c r="C984" s="0" t="str">
        <f aca="false">IF(Pipeline_Sort!$C984="","",INDEX(Pipeline_Calc!$D$2:$D$5251,Pipeline_Sort!$C984))</f>
        <v/>
      </c>
      <c r="D984" s="0" t="str">
        <f aca="false">IF(Pipeline_Sort!$C984="","",INDEX(Pipeline_Calc!$E$2:$E$5251,Pipeline_Sort!$C984))</f>
        <v/>
      </c>
      <c r="E984" s="0" t="str">
        <f aca="false">IF(Pipeline_Sort!$C984="","",INDEX(Pipeline_Calc!$F$2:$F$5251,Pipeline_Sort!$C984))</f>
        <v/>
      </c>
      <c r="F984" s="0" t="str">
        <f aca="false">IF(Pipeline_Sort!$C984="","",INDEX(Pipeline_Calc!$G$2:$G$5251,Pipeline_Sort!$C984))</f>
        <v/>
      </c>
      <c r="G984" s="0" t="str">
        <f aca="false">IF(Pipeline_Sort!$C984="","",INDEX(Pipeline_Calc!$H$2:$H$5251,Pipeline_Sort!$C984))</f>
        <v/>
      </c>
      <c r="H984" s="0" t="str">
        <f aca="false">IF(Pipeline_Sort!$C984="","",INDEX(Pipeline_Calc!$I$2:$I$5251,Pipeline_Sort!$C984))</f>
        <v/>
      </c>
      <c r="I984" s="0" t="str">
        <f aca="false">IF(Pipeline_Sort!$C984="","",INDEX(Pipeline_Calc!$J$2:$J$5251,Pipeline_Sort!$C984))</f>
        <v/>
      </c>
    </row>
    <row r="985" customFormat="false" ht="15" hidden="false" customHeight="false" outlineLevel="0" collapsed="false">
      <c r="A985" s="33" t="str">
        <f aca="false">IF(Pipeline_Sort!$C985="","",INDEX(Pipeline_Calc!$B$2:$B$5251,Pipeline_Sort!$C985))</f>
        <v/>
      </c>
      <c r="B985" s="0" t="str">
        <f aca="false">IF(Pipeline_Sort!$C985="","",INDEX(Pipeline_Calc!$C$2:$C$5251,Pipeline_Sort!$C985))</f>
        <v/>
      </c>
      <c r="C985" s="0" t="str">
        <f aca="false">IF(Pipeline_Sort!$C985="","",INDEX(Pipeline_Calc!$D$2:$D$5251,Pipeline_Sort!$C985))</f>
        <v/>
      </c>
      <c r="D985" s="0" t="str">
        <f aca="false">IF(Pipeline_Sort!$C985="","",INDEX(Pipeline_Calc!$E$2:$E$5251,Pipeline_Sort!$C985))</f>
        <v/>
      </c>
      <c r="E985" s="0" t="str">
        <f aca="false">IF(Pipeline_Sort!$C985="","",INDEX(Pipeline_Calc!$F$2:$F$5251,Pipeline_Sort!$C985))</f>
        <v/>
      </c>
      <c r="F985" s="0" t="str">
        <f aca="false">IF(Pipeline_Sort!$C985="","",INDEX(Pipeline_Calc!$G$2:$G$5251,Pipeline_Sort!$C985))</f>
        <v/>
      </c>
      <c r="G985" s="0" t="str">
        <f aca="false">IF(Pipeline_Sort!$C985="","",INDEX(Pipeline_Calc!$H$2:$H$5251,Pipeline_Sort!$C985))</f>
        <v/>
      </c>
      <c r="H985" s="0" t="str">
        <f aca="false">IF(Pipeline_Sort!$C985="","",INDEX(Pipeline_Calc!$I$2:$I$5251,Pipeline_Sort!$C985))</f>
        <v/>
      </c>
      <c r="I985" s="0" t="str">
        <f aca="false">IF(Pipeline_Sort!$C985="","",INDEX(Pipeline_Calc!$J$2:$J$5251,Pipeline_Sort!$C985))</f>
        <v/>
      </c>
    </row>
    <row r="986" customFormat="false" ht="15" hidden="false" customHeight="false" outlineLevel="0" collapsed="false">
      <c r="A986" s="33" t="str">
        <f aca="false">IF(Pipeline_Sort!$C986="","",INDEX(Pipeline_Calc!$B$2:$B$5251,Pipeline_Sort!$C986))</f>
        <v/>
      </c>
      <c r="B986" s="0" t="str">
        <f aca="false">IF(Pipeline_Sort!$C986="","",INDEX(Pipeline_Calc!$C$2:$C$5251,Pipeline_Sort!$C986))</f>
        <v/>
      </c>
      <c r="C986" s="0" t="str">
        <f aca="false">IF(Pipeline_Sort!$C986="","",INDEX(Pipeline_Calc!$D$2:$D$5251,Pipeline_Sort!$C986))</f>
        <v/>
      </c>
      <c r="D986" s="0" t="str">
        <f aca="false">IF(Pipeline_Sort!$C986="","",INDEX(Pipeline_Calc!$E$2:$E$5251,Pipeline_Sort!$C986))</f>
        <v/>
      </c>
      <c r="E986" s="0" t="str">
        <f aca="false">IF(Pipeline_Sort!$C986="","",INDEX(Pipeline_Calc!$F$2:$F$5251,Pipeline_Sort!$C986))</f>
        <v/>
      </c>
      <c r="F986" s="0" t="str">
        <f aca="false">IF(Pipeline_Sort!$C986="","",INDEX(Pipeline_Calc!$G$2:$G$5251,Pipeline_Sort!$C986))</f>
        <v/>
      </c>
      <c r="G986" s="0" t="str">
        <f aca="false">IF(Pipeline_Sort!$C986="","",INDEX(Pipeline_Calc!$H$2:$H$5251,Pipeline_Sort!$C986))</f>
        <v/>
      </c>
      <c r="H986" s="0" t="str">
        <f aca="false">IF(Pipeline_Sort!$C986="","",INDEX(Pipeline_Calc!$I$2:$I$5251,Pipeline_Sort!$C986))</f>
        <v/>
      </c>
      <c r="I986" s="0" t="str">
        <f aca="false">IF(Pipeline_Sort!$C986="","",INDEX(Pipeline_Calc!$J$2:$J$5251,Pipeline_Sort!$C986))</f>
        <v/>
      </c>
    </row>
    <row r="987" customFormat="false" ht="15" hidden="false" customHeight="false" outlineLevel="0" collapsed="false">
      <c r="A987" s="33" t="str">
        <f aca="false">IF(Pipeline_Sort!$C987="","",INDEX(Pipeline_Calc!$B$2:$B$5251,Pipeline_Sort!$C987))</f>
        <v/>
      </c>
      <c r="B987" s="0" t="str">
        <f aca="false">IF(Pipeline_Sort!$C987="","",INDEX(Pipeline_Calc!$C$2:$C$5251,Pipeline_Sort!$C987))</f>
        <v/>
      </c>
      <c r="C987" s="0" t="str">
        <f aca="false">IF(Pipeline_Sort!$C987="","",INDEX(Pipeline_Calc!$D$2:$D$5251,Pipeline_Sort!$C987))</f>
        <v/>
      </c>
      <c r="D987" s="0" t="str">
        <f aca="false">IF(Pipeline_Sort!$C987="","",INDEX(Pipeline_Calc!$E$2:$E$5251,Pipeline_Sort!$C987))</f>
        <v/>
      </c>
      <c r="E987" s="0" t="str">
        <f aca="false">IF(Pipeline_Sort!$C987="","",INDEX(Pipeline_Calc!$F$2:$F$5251,Pipeline_Sort!$C987))</f>
        <v/>
      </c>
      <c r="F987" s="0" t="str">
        <f aca="false">IF(Pipeline_Sort!$C987="","",INDEX(Pipeline_Calc!$G$2:$G$5251,Pipeline_Sort!$C987))</f>
        <v/>
      </c>
      <c r="G987" s="0" t="str">
        <f aca="false">IF(Pipeline_Sort!$C987="","",INDEX(Pipeline_Calc!$H$2:$H$5251,Pipeline_Sort!$C987))</f>
        <v/>
      </c>
      <c r="H987" s="0" t="str">
        <f aca="false">IF(Pipeline_Sort!$C987="","",INDEX(Pipeline_Calc!$I$2:$I$5251,Pipeline_Sort!$C987))</f>
        <v/>
      </c>
      <c r="I987" s="0" t="str">
        <f aca="false">IF(Pipeline_Sort!$C987="","",INDEX(Pipeline_Calc!$J$2:$J$5251,Pipeline_Sort!$C987))</f>
        <v/>
      </c>
    </row>
    <row r="988" customFormat="false" ht="15" hidden="false" customHeight="false" outlineLevel="0" collapsed="false">
      <c r="A988" s="33" t="str">
        <f aca="false">IF(Pipeline_Sort!$C988="","",INDEX(Pipeline_Calc!$B$2:$B$5251,Pipeline_Sort!$C988))</f>
        <v/>
      </c>
      <c r="B988" s="0" t="str">
        <f aca="false">IF(Pipeline_Sort!$C988="","",INDEX(Pipeline_Calc!$C$2:$C$5251,Pipeline_Sort!$C988))</f>
        <v/>
      </c>
      <c r="C988" s="0" t="str">
        <f aca="false">IF(Pipeline_Sort!$C988="","",INDEX(Pipeline_Calc!$D$2:$D$5251,Pipeline_Sort!$C988))</f>
        <v/>
      </c>
      <c r="D988" s="0" t="str">
        <f aca="false">IF(Pipeline_Sort!$C988="","",INDEX(Pipeline_Calc!$E$2:$E$5251,Pipeline_Sort!$C988))</f>
        <v/>
      </c>
      <c r="E988" s="0" t="str">
        <f aca="false">IF(Pipeline_Sort!$C988="","",INDEX(Pipeline_Calc!$F$2:$F$5251,Pipeline_Sort!$C988))</f>
        <v/>
      </c>
      <c r="F988" s="0" t="str">
        <f aca="false">IF(Pipeline_Sort!$C988="","",INDEX(Pipeline_Calc!$G$2:$G$5251,Pipeline_Sort!$C988))</f>
        <v/>
      </c>
      <c r="G988" s="0" t="str">
        <f aca="false">IF(Pipeline_Sort!$C988="","",INDEX(Pipeline_Calc!$H$2:$H$5251,Pipeline_Sort!$C988))</f>
        <v/>
      </c>
      <c r="H988" s="0" t="str">
        <f aca="false">IF(Pipeline_Sort!$C988="","",INDEX(Pipeline_Calc!$I$2:$I$5251,Pipeline_Sort!$C988))</f>
        <v/>
      </c>
      <c r="I988" s="0" t="str">
        <f aca="false">IF(Pipeline_Sort!$C988="","",INDEX(Pipeline_Calc!$J$2:$J$5251,Pipeline_Sort!$C988))</f>
        <v/>
      </c>
    </row>
    <row r="989" customFormat="false" ht="15" hidden="false" customHeight="false" outlineLevel="0" collapsed="false">
      <c r="A989" s="33" t="str">
        <f aca="false">IF(Pipeline_Sort!$C989="","",INDEX(Pipeline_Calc!$B$2:$B$5251,Pipeline_Sort!$C989))</f>
        <v/>
      </c>
      <c r="B989" s="0" t="str">
        <f aca="false">IF(Pipeline_Sort!$C989="","",INDEX(Pipeline_Calc!$C$2:$C$5251,Pipeline_Sort!$C989))</f>
        <v/>
      </c>
      <c r="C989" s="0" t="str">
        <f aca="false">IF(Pipeline_Sort!$C989="","",INDEX(Pipeline_Calc!$D$2:$D$5251,Pipeline_Sort!$C989))</f>
        <v/>
      </c>
      <c r="D989" s="0" t="str">
        <f aca="false">IF(Pipeline_Sort!$C989="","",INDEX(Pipeline_Calc!$E$2:$E$5251,Pipeline_Sort!$C989))</f>
        <v/>
      </c>
      <c r="E989" s="0" t="str">
        <f aca="false">IF(Pipeline_Sort!$C989="","",INDEX(Pipeline_Calc!$F$2:$F$5251,Pipeline_Sort!$C989))</f>
        <v/>
      </c>
      <c r="F989" s="0" t="str">
        <f aca="false">IF(Pipeline_Sort!$C989="","",INDEX(Pipeline_Calc!$G$2:$G$5251,Pipeline_Sort!$C989))</f>
        <v/>
      </c>
      <c r="G989" s="0" t="str">
        <f aca="false">IF(Pipeline_Sort!$C989="","",INDEX(Pipeline_Calc!$H$2:$H$5251,Pipeline_Sort!$C989))</f>
        <v/>
      </c>
      <c r="H989" s="0" t="str">
        <f aca="false">IF(Pipeline_Sort!$C989="","",INDEX(Pipeline_Calc!$I$2:$I$5251,Pipeline_Sort!$C989))</f>
        <v/>
      </c>
      <c r="I989" s="0" t="str">
        <f aca="false">IF(Pipeline_Sort!$C989="","",INDEX(Pipeline_Calc!$J$2:$J$5251,Pipeline_Sort!$C989))</f>
        <v/>
      </c>
    </row>
    <row r="990" customFormat="false" ht="15" hidden="false" customHeight="false" outlineLevel="0" collapsed="false">
      <c r="A990" s="33" t="str">
        <f aca="false">IF(Pipeline_Sort!$C990="","",INDEX(Pipeline_Calc!$B$2:$B$5251,Pipeline_Sort!$C990))</f>
        <v/>
      </c>
      <c r="B990" s="0" t="str">
        <f aca="false">IF(Pipeline_Sort!$C990="","",INDEX(Pipeline_Calc!$C$2:$C$5251,Pipeline_Sort!$C990))</f>
        <v/>
      </c>
      <c r="C990" s="0" t="str">
        <f aca="false">IF(Pipeline_Sort!$C990="","",INDEX(Pipeline_Calc!$D$2:$D$5251,Pipeline_Sort!$C990))</f>
        <v/>
      </c>
      <c r="D990" s="0" t="str">
        <f aca="false">IF(Pipeline_Sort!$C990="","",INDEX(Pipeline_Calc!$E$2:$E$5251,Pipeline_Sort!$C990))</f>
        <v/>
      </c>
      <c r="E990" s="0" t="str">
        <f aca="false">IF(Pipeline_Sort!$C990="","",INDEX(Pipeline_Calc!$F$2:$F$5251,Pipeline_Sort!$C990))</f>
        <v/>
      </c>
      <c r="F990" s="0" t="str">
        <f aca="false">IF(Pipeline_Sort!$C990="","",INDEX(Pipeline_Calc!$G$2:$G$5251,Pipeline_Sort!$C990))</f>
        <v/>
      </c>
      <c r="G990" s="0" t="str">
        <f aca="false">IF(Pipeline_Sort!$C990="","",INDEX(Pipeline_Calc!$H$2:$H$5251,Pipeline_Sort!$C990))</f>
        <v/>
      </c>
      <c r="H990" s="0" t="str">
        <f aca="false">IF(Pipeline_Sort!$C990="","",INDEX(Pipeline_Calc!$I$2:$I$5251,Pipeline_Sort!$C990))</f>
        <v/>
      </c>
      <c r="I990" s="0" t="str">
        <f aca="false">IF(Pipeline_Sort!$C990="","",INDEX(Pipeline_Calc!$J$2:$J$5251,Pipeline_Sort!$C990))</f>
        <v/>
      </c>
    </row>
    <row r="991" customFormat="false" ht="15" hidden="false" customHeight="false" outlineLevel="0" collapsed="false">
      <c r="A991" s="33" t="str">
        <f aca="false">IF(Pipeline_Sort!$C991="","",INDEX(Pipeline_Calc!$B$2:$B$5251,Pipeline_Sort!$C991))</f>
        <v/>
      </c>
      <c r="B991" s="0" t="str">
        <f aca="false">IF(Pipeline_Sort!$C991="","",INDEX(Pipeline_Calc!$C$2:$C$5251,Pipeline_Sort!$C991))</f>
        <v/>
      </c>
      <c r="C991" s="0" t="str">
        <f aca="false">IF(Pipeline_Sort!$C991="","",INDEX(Pipeline_Calc!$D$2:$D$5251,Pipeline_Sort!$C991))</f>
        <v/>
      </c>
      <c r="D991" s="0" t="str">
        <f aca="false">IF(Pipeline_Sort!$C991="","",INDEX(Pipeline_Calc!$E$2:$E$5251,Pipeline_Sort!$C991))</f>
        <v/>
      </c>
      <c r="E991" s="0" t="str">
        <f aca="false">IF(Pipeline_Sort!$C991="","",INDEX(Pipeline_Calc!$F$2:$F$5251,Pipeline_Sort!$C991))</f>
        <v/>
      </c>
      <c r="F991" s="0" t="str">
        <f aca="false">IF(Pipeline_Sort!$C991="","",INDEX(Pipeline_Calc!$G$2:$G$5251,Pipeline_Sort!$C991))</f>
        <v/>
      </c>
      <c r="G991" s="0" t="str">
        <f aca="false">IF(Pipeline_Sort!$C991="","",INDEX(Pipeline_Calc!$H$2:$H$5251,Pipeline_Sort!$C991))</f>
        <v/>
      </c>
      <c r="H991" s="0" t="str">
        <f aca="false">IF(Pipeline_Sort!$C991="","",INDEX(Pipeline_Calc!$I$2:$I$5251,Pipeline_Sort!$C991))</f>
        <v/>
      </c>
      <c r="I991" s="0" t="str">
        <f aca="false">IF(Pipeline_Sort!$C991="","",INDEX(Pipeline_Calc!$J$2:$J$5251,Pipeline_Sort!$C991))</f>
        <v/>
      </c>
    </row>
    <row r="992" customFormat="false" ht="15" hidden="false" customHeight="false" outlineLevel="0" collapsed="false">
      <c r="A992" s="33" t="str">
        <f aca="false">IF(Pipeline_Sort!$C992="","",INDEX(Pipeline_Calc!$B$2:$B$5251,Pipeline_Sort!$C992))</f>
        <v/>
      </c>
      <c r="B992" s="0" t="str">
        <f aca="false">IF(Pipeline_Sort!$C992="","",INDEX(Pipeline_Calc!$C$2:$C$5251,Pipeline_Sort!$C992))</f>
        <v/>
      </c>
      <c r="C992" s="0" t="str">
        <f aca="false">IF(Pipeline_Sort!$C992="","",INDEX(Pipeline_Calc!$D$2:$D$5251,Pipeline_Sort!$C992))</f>
        <v/>
      </c>
      <c r="D992" s="0" t="str">
        <f aca="false">IF(Pipeline_Sort!$C992="","",INDEX(Pipeline_Calc!$E$2:$E$5251,Pipeline_Sort!$C992))</f>
        <v/>
      </c>
      <c r="E992" s="0" t="str">
        <f aca="false">IF(Pipeline_Sort!$C992="","",INDEX(Pipeline_Calc!$F$2:$F$5251,Pipeline_Sort!$C992))</f>
        <v/>
      </c>
      <c r="F992" s="0" t="str">
        <f aca="false">IF(Pipeline_Sort!$C992="","",INDEX(Pipeline_Calc!$G$2:$G$5251,Pipeline_Sort!$C992))</f>
        <v/>
      </c>
      <c r="G992" s="0" t="str">
        <f aca="false">IF(Pipeline_Sort!$C992="","",INDEX(Pipeline_Calc!$H$2:$H$5251,Pipeline_Sort!$C992))</f>
        <v/>
      </c>
      <c r="H992" s="0" t="str">
        <f aca="false">IF(Pipeline_Sort!$C992="","",INDEX(Pipeline_Calc!$I$2:$I$5251,Pipeline_Sort!$C992))</f>
        <v/>
      </c>
      <c r="I992" s="0" t="str">
        <f aca="false">IF(Pipeline_Sort!$C992="","",INDEX(Pipeline_Calc!$J$2:$J$5251,Pipeline_Sort!$C992))</f>
        <v/>
      </c>
    </row>
    <row r="993" customFormat="false" ht="15" hidden="false" customHeight="false" outlineLevel="0" collapsed="false">
      <c r="A993" s="33" t="str">
        <f aca="false">IF(Pipeline_Sort!$C993="","",INDEX(Pipeline_Calc!$B$2:$B$5251,Pipeline_Sort!$C993))</f>
        <v/>
      </c>
      <c r="B993" s="0" t="str">
        <f aca="false">IF(Pipeline_Sort!$C993="","",INDEX(Pipeline_Calc!$C$2:$C$5251,Pipeline_Sort!$C993))</f>
        <v/>
      </c>
      <c r="C993" s="0" t="str">
        <f aca="false">IF(Pipeline_Sort!$C993="","",INDEX(Pipeline_Calc!$D$2:$D$5251,Pipeline_Sort!$C993))</f>
        <v/>
      </c>
      <c r="D993" s="0" t="str">
        <f aca="false">IF(Pipeline_Sort!$C993="","",INDEX(Pipeline_Calc!$E$2:$E$5251,Pipeline_Sort!$C993))</f>
        <v/>
      </c>
      <c r="E993" s="0" t="str">
        <f aca="false">IF(Pipeline_Sort!$C993="","",INDEX(Pipeline_Calc!$F$2:$F$5251,Pipeline_Sort!$C993))</f>
        <v/>
      </c>
      <c r="F993" s="0" t="str">
        <f aca="false">IF(Pipeline_Sort!$C993="","",INDEX(Pipeline_Calc!$G$2:$G$5251,Pipeline_Sort!$C993))</f>
        <v/>
      </c>
      <c r="G993" s="0" t="str">
        <f aca="false">IF(Pipeline_Sort!$C993="","",INDEX(Pipeline_Calc!$H$2:$H$5251,Pipeline_Sort!$C993))</f>
        <v/>
      </c>
      <c r="H993" s="0" t="str">
        <f aca="false">IF(Pipeline_Sort!$C993="","",INDEX(Pipeline_Calc!$I$2:$I$5251,Pipeline_Sort!$C993))</f>
        <v/>
      </c>
      <c r="I993" s="0" t="str">
        <f aca="false">IF(Pipeline_Sort!$C993="","",INDEX(Pipeline_Calc!$J$2:$J$5251,Pipeline_Sort!$C993))</f>
        <v/>
      </c>
    </row>
    <row r="994" customFormat="false" ht="15" hidden="false" customHeight="false" outlineLevel="0" collapsed="false">
      <c r="A994" s="33" t="str">
        <f aca="false">IF(Pipeline_Sort!$C994="","",INDEX(Pipeline_Calc!$B$2:$B$5251,Pipeline_Sort!$C994))</f>
        <v/>
      </c>
      <c r="B994" s="0" t="str">
        <f aca="false">IF(Pipeline_Sort!$C994="","",INDEX(Pipeline_Calc!$C$2:$C$5251,Pipeline_Sort!$C994))</f>
        <v/>
      </c>
      <c r="C994" s="0" t="str">
        <f aca="false">IF(Pipeline_Sort!$C994="","",INDEX(Pipeline_Calc!$D$2:$D$5251,Pipeline_Sort!$C994))</f>
        <v/>
      </c>
      <c r="D994" s="0" t="str">
        <f aca="false">IF(Pipeline_Sort!$C994="","",INDEX(Pipeline_Calc!$E$2:$E$5251,Pipeline_Sort!$C994))</f>
        <v/>
      </c>
      <c r="E994" s="0" t="str">
        <f aca="false">IF(Pipeline_Sort!$C994="","",INDEX(Pipeline_Calc!$F$2:$F$5251,Pipeline_Sort!$C994))</f>
        <v/>
      </c>
      <c r="F994" s="0" t="str">
        <f aca="false">IF(Pipeline_Sort!$C994="","",INDEX(Pipeline_Calc!$G$2:$G$5251,Pipeline_Sort!$C994))</f>
        <v/>
      </c>
      <c r="G994" s="0" t="str">
        <f aca="false">IF(Pipeline_Sort!$C994="","",INDEX(Pipeline_Calc!$H$2:$H$5251,Pipeline_Sort!$C994))</f>
        <v/>
      </c>
      <c r="H994" s="0" t="str">
        <f aca="false">IF(Pipeline_Sort!$C994="","",INDEX(Pipeline_Calc!$I$2:$I$5251,Pipeline_Sort!$C994))</f>
        <v/>
      </c>
      <c r="I994" s="0" t="str">
        <f aca="false">IF(Pipeline_Sort!$C994="","",INDEX(Pipeline_Calc!$J$2:$J$5251,Pipeline_Sort!$C994))</f>
        <v/>
      </c>
    </row>
    <row r="995" customFormat="false" ht="15" hidden="false" customHeight="false" outlineLevel="0" collapsed="false">
      <c r="A995" s="33" t="str">
        <f aca="false">IF(Pipeline_Sort!$C995="","",INDEX(Pipeline_Calc!$B$2:$B$5251,Pipeline_Sort!$C995))</f>
        <v/>
      </c>
      <c r="B995" s="0" t="str">
        <f aca="false">IF(Pipeline_Sort!$C995="","",INDEX(Pipeline_Calc!$C$2:$C$5251,Pipeline_Sort!$C995))</f>
        <v/>
      </c>
      <c r="C995" s="0" t="str">
        <f aca="false">IF(Pipeline_Sort!$C995="","",INDEX(Pipeline_Calc!$D$2:$D$5251,Pipeline_Sort!$C995))</f>
        <v/>
      </c>
      <c r="D995" s="0" t="str">
        <f aca="false">IF(Pipeline_Sort!$C995="","",INDEX(Pipeline_Calc!$E$2:$E$5251,Pipeline_Sort!$C995))</f>
        <v/>
      </c>
      <c r="E995" s="0" t="str">
        <f aca="false">IF(Pipeline_Sort!$C995="","",INDEX(Pipeline_Calc!$F$2:$F$5251,Pipeline_Sort!$C995))</f>
        <v/>
      </c>
      <c r="F995" s="0" t="str">
        <f aca="false">IF(Pipeline_Sort!$C995="","",INDEX(Pipeline_Calc!$G$2:$G$5251,Pipeline_Sort!$C995))</f>
        <v/>
      </c>
      <c r="G995" s="0" t="str">
        <f aca="false">IF(Pipeline_Sort!$C995="","",INDEX(Pipeline_Calc!$H$2:$H$5251,Pipeline_Sort!$C995))</f>
        <v/>
      </c>
      <c r="H995" s="0" t="str">
        <f aca="false">IF(Pipeline_Sort!$C995="","",INDEX(Pipeline_Calc!$I$2:$I$5251,Pipeline_Sort!$C995))</f>
        <v/>
      </c>
      <c r="I995" s="0" t="str">
        <f aca="false">IF(Pipeline_Sort!$C995="","",INDEX(Pipeline_Calc!$J$2:$J$5251,Pipeline_Sort!$C995))</f>
        <v/>
      </c>
    </row>
    <row r="996" customFormat="false" ht="15" hidden="false" customHeight="false" outlineLevel="0" collapsed="false">
      <c r="A996" s="33" t="str">
        <f aca="false">IF(Pipeline_Sort!$C996="","",INDEX(Pipeline_Calc!$B$2:$B$5251,Pipeline_Sort!$C996))</f>
        <v/>
      </c>
      <c r="B996" s="0" t="str">
        <f aca="false">IF(Pipeline_Sort!$C996="","",INDEX(Pipeline_Calc!$C$2:$C$5251,Pipeline_Sort!$C996))</f>
        <v/>
      </c>
      <c r="C996" s="0" t="str">
        <f aca="false">IF(Pipeline_Sort!$C996="","",INDEX(Pipeline_Calc!$D$2:$D$5251,Pipeline_Sort!$C996))</f>
        <v/>
      </c>
      <c r="D996" s="0" t="str">
        <f aca="false">IF(Pipeline_Sort!$C996="","",INDEX(Pipeline_Calc!$E$2:$E$5251,Pipeline_Sort!$C996))</f>
        <v/>
      </c>
      <c r="E996" s="0" t="str">
        <f aca="false">IF(Pipeline_Sort!$C996="","",INDEX(Pipeline_Calc!$F$2:$F$5251,Pipeline_Sort!$C996))</f>
        <v/>
      </c>
      <c r="F996" s="0" t="str">
        <f aca="false">IF(Pipeline_Sort!$C996="","",INDEX(Pipeline_Calc!$G$2:$G$5251,Pipeline_Sort!$C996))</f>
        <v/>
      </c>
      <c r="G996" s="0" t="str">
        <f aca="false">IF(Pipeline_Sort!$C996="","",INDEX(Pipeline_Calc!$H$2:$H$5251,Pipeline_Sort!$C996))</f>
        <v/>
      </c>
      <c r="H996" s="0" t="str">
        <f aca="false">IF(Pipeline_Sort!$C996="","",INDEX(Pipeline_Calc!$I$2:$I$5251,Pipeline_Sort!$C996))</f>
        <v/>
      </c>
      <c r="I996" s="0" t="str">
        <f aca="false">IF(Pipeline_Sort!$C996="","",INDEX(Pipeline_Calc!$J$2:$J$5251,Pipeline_Sort!$C996))</f>
        <v/>
      </c>
    </row>
    <row r="997" customFormat="false" ht="15" hidden="false" customHeight="false" outlineLevel="0" collapsed="false">
      <c r="A997" s="33" t="str">
        <f aca="false">IF(Pipeline_Sort!$C997="","",INDEX(Pipeline_Calc!$B$2:$B$5251,Pipeline_Sort!$C997))</f>
        <v/>
      </c>
      <c r="B997" s="0" t="str">
        <f aca="false">IF(Pipeline_Sort!$C997="","",INDEX(Pipeline_Calc!$C$2:$C$5251,Pipeline_Sort!$C997))</f>
        <v/>
      </c>
      <c r="C997" s="0" t="str">
        <f aca="false">IF(Pipeline_Sort!$C997="","",INDEX(Pipeline_Calc!$D$2:$D$5251,Pipeline_Sort!$C997))</f>
        <v/>
      </c>
      <c r="D997" s="0" t="str">
        <f aca="false">IF(Pipeline_Sort!$C997="","",INDEX(Pipeline_Calc!$E$2:$E$5251,Pipeline_Sort!$C997))</f>
        <v/>
      </c>
      <c r="E997" s="0" t="str">
        <f aca="false">IF(Pipeline_Sort!$C997="","",INDEX(Pipeline_Calc!$F$2:$F$5251,Pipeline_Sort!$C997))</f>
        <v/>
      </c>
      <c r="F997" s="0" t="str">
        <f aca="false">IF(Pipeline_Sort!$C997="","",INDEX(Pipeline_Calc!$G$2:$G$5251,Pipeline_Sort!$C997))</f>
        <v/>
      </c>
      <c r="G997" s="0" t="str">
        <f aca="false">IF(Pipeline_Sort!$C997="","",INDEX(Pipeline_Calc!$H$2:$H$5251,Pipeline_Sort!$C997))</f>
        <v/>
      </c>
      <c r="H997" s="0" t="str">
        <f aca="false">IF(Pipeline_Sort!$C997="","",INDEX(Pipeline_Calc!$I$2:$I$5251,Pipeline_Sort!$C997))</f>
        <v/>
      </c>
      <c r="I997" s="0" t="str">
        <f aca="false">IF(Pipeline_Sort!$C997="","",INDEX(Pipeline_Calc!$J$2:$J$5251,Pipeline_Sort!$C997))</f>
        <v/>
      </c>
    </row>
    <row r="998" customFormat="false" ht="15" hidden="false" customHeight="false" outlineLevel="0" collapsed="false">
      <c r="A998" s="33" t="str">
        <f aca="false">IF(Pipeline_Sort!$C998="","",INDEX(Pipeline_Calc!$B$2:$B$5251,Pipeline_Sort!$C998))</f>
        <v/>
      </c>
      <c r="B998" s="0" t="str">
        <f aca="false">IF(Pipeline_Sort!$C998="","",INDEX(Pipeline_Calc!$C$2:$C$5251,Pipeline_Sort!$C998))</f>
        <v/>
      </c>
      <c r="C998" s="0" t="str">
        <f aca="false">IF(Pipeline_Sort!$C998="","",INDEX(Pipeline_Calc!$D$2:$D$5251,Pipeline_Sort!$C998))</f>
        <v/>
      </c>
      <c r="D998" s="0" t="str">
        <f aca="false">IF(Pipeline_Sort!$C998="","",INDEX(Pipeline_Calc!$E$2:$E$5251,Pipeline_Sort!$C998))</f>
        <v/>
      </c>
      <c r="E998" s="0" t="str">
        <f aca="false">IF(Pipeline_Sort!$C998="","",INDEX(Pipeline_Calc!$F$2:$F$5251,Pipeline_Sort!$C998))</f>
        <v/>
      </c>
      <c r="F998" s="0" t="str">
        <f aca="false">IF(Pipeline_Sort!$C998="","",INDEX(Pipeline_Calc!$G$2:$G$5251,Pipeline_Sort!$C998))</f>
        <v/>
      </c>
      <c r="G998" s="0" t="str">
        <f aca="false">IF(Pipeline_Sort!$C998="","",INDEX(Pipeline_Calc!$H$2:$H$5251,Pipeline_Sort!$C998))</f>
        <v/>
      </c>
      <c r="H998" s="0" t="str">
        <f aca="false">IF(Pipeline_Sort!$C998="","",INDEX(Pipeline_Calc!$I$2:$I$5251,Pipeline_Sort!$C998))</f>
        <v/>
      </c>
      <c r="I998" s="0" t="str">
        <f aca="false">IF(Pipeline_Sort!$C998="","",INDEX(Pipeline_Calc!$J$2:$J$5251,Pipeline_Sort!$C998))</f>
        <v/>
      </c>
    </row>
    <row r="999" customFormat="false" ht="15" hidden="false" customHeight="false" outlineLevel="0" collapsed="false">
      <c r="A999" s="33" t="str">
        <f aca="false">IF(Pipeline_Sort!$C999="","",INDEX(Pipeline_Calc!$B$2:$B$5251,Pipeline_Sort!$C999))</f>
        <v/>
      </c>
      <c r="B999" s="0" t="str">
        <f aca="false">IF(Pipeline_Sort!$C999="","",INDEX(Pipeline_Calc!$C$2:$C$5251,Pipeline_Sort!$C999))</f>
        <v/>
      </c>
      <c r="C999" s="0" t="str">
        <f aca="false">IF(Pipeline_Sort!$C999="","",INDEX(Pipeline_Calc!$D$2:$D$5251,Pipeline_Sort!$C999))</f>
        <v/>
      </c>
      <c r="D999" s="0" t="str">
        <f aca="false">IF(Pipeline_Sort!$C999="","",INDEX(Pipeline_Calc!$E$2:$E$5251,Pipeline_Sort!$C999))</f>
        <v/>
      </c>
      <c r="E999" s="0" t="str">
        <f aca="false">IF(Pipeline_Sort!$C999="","",INDEX(Pipeline_Calc!$F$2:$F$5251,Pipeline_Sort!$C999))</f>
        <v/>
      </c>
      <c r="F999" s="0" t="str">
        <f aca="false">IF(Pipeline_Sort!$C999="","",INDEX(Pipeline_Calc!$G$2:$G$5251,Pipeline_Sort!$C999))</f>
        <v/>
      </c>
      <c r="G999" s="0" t="str">
        <f aca="false">IF(Pipeline_Sort!$C999="","",INDEX(Pipeline_Calc!$H$2:$H$5251,Pipeline_Sort!$C999))</f>
        <v/>
      </c>
      <c r="H999" s="0" t="str">
        <f aca="false">IF(Pipeline_Sort!$C999="","",INDEX(Pipeline_Calc!$I$2:$I$5251,Pipeline_Sort!$C999))</f>
        <v/>
      </c>
      <c r="I999" s="0" t="str">
        <f aca="false">IF(Pipeline_Sort!$C999="","",INDEX(Pipeline_Calc!$J$2:$J$5251,Pipeline_Sort!$C999))</f>
        <v/>
      </c>
    </row>
    <row r="1000" customFormat="false" ht="15" hidden="false" customHeight="false" outlineLevel="0" collapsed="false">
      <c r="A1000" s="33" t="str">
        <f aca="false">IF(Pipeline_Sort!$C1000="","",INDEX(Pipeline_Calc!$B$2:$B$5251,Pipeline_Sort!$C1000))</f>
        <v/>
      </c>
      <c r="B1000" s="0" t="str">
        <f aca="false">IF(Pipeline_Sort!$C1000="","",INDEX(Pipeline_Calc!$C$2:$C$5251,Pipeline_Sort!$C1000))</f>
        <v/>
      </c>
      <c r="C1000" s="0" t="str">
        <f aca="false">IF(Pipeline_Sort!$C1000="","",INDEX(Pipeline_Calc!$D$2:$D$5251,Pipeline_Sort!$C1000))</f>
        <v/>
      </c>
      <c r="D1000" s="0" t="str">
        <f aca="false">IF(Pipeline_Sort!$C1000="","",INDEX(Pipeline_Calc!$E$2:$E$5251,Pipeline_Sort!$C1000))</f>
        <v/>
      </c>
      <c r="E1000" s="0" t="str">
        <f aca="false">IF(Pipeline_Sort!$C1000="","",INDEX(Pipeline_Calc!$F$2:$F$5251,Pipeline_Sort!$C1000))</f>
        <v/>
      </c>
      <c r="F1000" s="0" t="str">
        <f aca="false">IF(Pipeline_Sort!$C1000="","",INDEX(Pipeline_Calc!$G$2:$G$5251,Pipeline_Sort!$C1000))</f>
        <v/>
      </c>
      <c r="G1000" s="0" t="str">
        <f aca="false">IF(Pipeline_Sort!$C1000="","",INDEX(Pipeline_Calc!$H$2:$H$5251,Pipeline_Sort!$C1000))</f>
        <v/>
      </c>
      <c r="H1000" s="0" t="str">
        <f aca="false">IF(Pipeline_Sort!$C1000="","",INDEX(Pipeline_Calc!$I$2:$I$5251,Pipeline_Sort!$C1000))</f>
        <v/>
      </c>
      <c r="I1000" s="0" t="str">
        <f aca="false">IF(Pipeline_Sort!$C1000="","",INDEX(Pipeline_Calc!$J$2:$J$5251,Pipeline_Sort!$C1000))</f>
        <v/>
      </c>
    </row>
    <row r="1001" customFormat="false" ht="15" hidden="false" customHeight="false" outlineLevel="0" collapsed="false">
      <c r="A1001" s="33" t="str">
        <f aca="false">IF(Pipeline_Sort!$C1001="","",INDEX(Pipeline_Calc!$B$2:$B$5251,Pipeline_Sort!$C1001))</f>
        <v/>
      </c>
      <c r="B1001" s="0" t="str">
        <f aca="false">IF(Pipeline_Sort!$C1001="","",INDEX(Pipeline_Calc!$C$2:$C$5251,Pipeline_Sort!$C1001))</f>
        <v/>
      </c>
      <c r="C1001" s="0" t="str">
        <f aca="false">IF(Pipeline_Sort!$C1001="","",INDEX(Pipeline_Calc!$D$2:$D$5251,Pipeline_Sort!$C1001))</f>
        <v/>
      </c>
      <c r="D1001" s="0" t="str">
        <f aca="false">IF(Pipeline_Sort!$C1001="","",INDEX(Pipeline_Calc!$E$2:$E$5251,Pipeline_Sort!$C1001))</f>
        <v/>
      </c>
      <c r="E1001" s="0" t="str">
        <f aca="false">IF(Pipeline_Sort!$C1001="","",INDEX(Pipeline_Calc!$F$2:$F$5251,Pipeline_Sort!$C1001))</f>
        <v/>
      </c>
      <c r="F1001" s="0" t="str">
        <f aca="false">IF(Pipeline_Sort!$C1001="","",INDEX(Pipeline_Calc!$G$2:$G$5251,Pipeline_Sort!$C1001))</f>
        <v/>
      </c>
      <c r="G1001" s="0" t="str">
        <f aca="false">IF(Pipeline_Sort!$C1001="","",INDEX(Pipeline_Calc!$H$2:$H$5251,Pipeline_Sort!$C1001))</f>
        <v/>
      </c>
      <c r="H1001" s="0" t="str">
        <f aca="false">IF(Pipeline_Sort!$C1001="","",INDEX(Pipeline_Calc!$I$2:$I$5251,Pipeline_Sort!$C1001))</f>
        <v/>
      </c>
      <c r="I1001" s="0" t="str">
        <f aca="false">IF(Pipeline_Sort!$C1001="","",INDEX(Pipeline_Calc!$J$2:$J$5251,Pipeline_Sort!$C1001))</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3" min="1" style="0" width="12"/>
  </cols>
  <sheetData>
    <row r="1" customFormat="false" ht="15" hidden="false" customHeight="false" outlineLevel="0" collapsed="false">
      <c r="A1" s="21" t="s">
        <v>1347</v>
      </c>
      <c r="B1" s="21" t="s">
        <v>1348</v>
      </c>
      <c r="C1" s="21" t="s">
        <v>1349</v>
      </c>
    </row>
    <row r="2" customFormat="false" ht="15" hidden="false" customHeight="false" outlineLevel="0" collapsed="false">
      <c r="A2" s="0" t="n">
        <v>1</v>
      </c>
      <c r="B2" s="0" t="n">
        <f aca="false">IFERROR(SMALL(Pipeline_Calc!$A$2:$A$5251,A2),"")</f>
        <v>46321.0012001</v>
      </c>
      <c r="C2" s="0" t="n">
        <f aca="false">IF(B2="","",MATCH(B2,Pipeline_Calc!$A$2:$A$5251,0))</f>
        <v>1651</v>
      </c>
    </row>
    <row r="3" customFormat="false" ht="15" hidden="false" customHeight="false" outlineLevel="0" collapsed="false">
      <c r="A3" s="0" t="n">
        <v>2</v>
      </c>
      <c r="B3" s="0" t="n">
        <f aca="false">IFERROR(SMALL(Pipeline_Calc!$A$2:$A$5251,A3),"")</f>
        <v>46321.0012002</v>
      </c>
      <c r="C3" s="0" t="n">
        <f aca="false">IF(B3="","",MATCH(B3,Pipeline_Calc!$A$2:$A$5251,0))</f>
        <v>1652</v>
      </c>
    </row>
    <row r="4" customFormat="false" ht="15" hidden="false" customHeight="false" outlineLevel="0" collapsed="false">
      <c r="A4" s="0" t="n">
        <v>3</v>
      </c>
      <c r="B4" s="0" t="n">
        <f aca="false">IFERROR(SMALL(Pipeline_Calc!$A$2:$A$5251,A4),"")</f>
        <v>46321.0012003</v>
      </c>
      <c r="C4" s="0" t="n">
        <f aca="false">IF(B4="","",MATCH(B4,Pipeline_Calc!$A$2:$A$5251,0))</f>
        <v>1653</v>
      </c>
    </row>
    <row r="5" customFormat="false" ht="15" hidden="false" customHeight="false" outlineLevel="0" collapsed="false">
      <c r="A5" s="0" t="n">
        <v>4</v>
      </c>
      <c r="B5" s="0" t="n">
        <f aca="false">IFERROR(SMALL(Pipeline_Calc!$A$2:$A$5251,A5),"")</f>
        <v>46321.0012018</v>
      </c>
      <c r="C5" s="0" t="n">
        <f aca="false">IF(B5="","",MATCH(B5,Pipeline_Calc!$A$2:$A$5251,0))</f>
        <v>1668</v>
      </c>
    </row>
    <row r="6" customFormat="false" ht="15" hidden="false" customHeight="false" outlineLevel="0" collapsed="false">
      <c r="A6" s="0" t="n">
        <v>5</v>
      </c>
      <c r="B6" s="0" t="n">
        <f aca="false">IFERROR(SMALL(Pipeline_Calc!$A$2:$A$5251,A6),"")</f>
        <v>46321.0012037</v>
      </c>
      <c r="C6" s="0" t="n">
        <f aca="false">IF(B6="","",MATCH(B6,Pipeline_Calc!$A$2:$A$5251,0))</f>
        <v>1687</v>
      </c>
    </row>
    <row r="7" customFormat="false" ht="15" hidden="false" customHeight="false" outlineLevel="0" collapsed="false">
      <c r="A7" s="0" t="n">
        <v>6</v>
      </c>
      <c r="B7" s="0" t="n">
        <f aca="false">IFERROR(SMALL(Pipeline_Calc!$A$2:$A$5251,A7),"")</f>
        <v>46321.0015001</v>
      </c>
      <c r="C7" s="0" t="n">
        <f aca="false">IF(B7="","",MATCH(B7,Pipeline_Calc!$A$2:$A$5251,0))</f>
        <v>3451</v>
      </c>
    </row>
    <row r="8" customFormat="false" ht="15" hidden="false" customHeight="false" outlineLevel="0" collapsed="false">
      <c r="A8" s="0" t="n">
        <v>7</v>
      </c>
      <c r="B8" s="0" t="n">
        <f aca="false">IFERROR(SMALL(Pipeline_Calc!$A$2:$A$5251,A8),"")</f>
        <v>46321.0015002</v>
      </c>
      <c r="C8" s="0" t="n">
        <f aca="false">IF(B8="","",MATCH(B8,Pipeline_Calc!$A$2:$A$5251,0))</f>
        <v>3452</v>
      </c>
    </row>
    <row r="9" customFormat="false" ht="15" hidden="false" customHeight="false" outlineLevel="0" collapsed="false">
      <c r="A9" s="0" t="n">
        <v>8</v>
      </c>
      <c r="B9" s="0" t="n">
        <f aca="false">IFERROR(SMALL(Pipeline_Calc!$A$2:$A$5251,A9),"")</f>
        <v>46321.0015003</v>
      </c>
      <c r="C9" s="0" t="n">
        <f aca="false">IF(B9="","",MATCH(B9,Pipeline_Calc!$A$2:$A$5251,0))</f>
        <v>3453</v>
      </c>
    </row>
    <row r="10" customFormat="false" ht="15" hidden="false" customHeight="false" outlineLevel="0" collapsed="false">
      <c r="A10" s="0" t="n">
        <v>9</v>
      </c>
      <c r="B10" s="0" t="n">
        <f aca="false">IFERROR(SMALL(Pipeline_Calc!$A$2:$A$5251,A10),"")</f>
        <v>46321.0015019</v>
      </c>
      <c r="C10" s="0" t="n">
        <f aca="false">IF(B10="","",MATCH(B10,Pipeline_Calc!$A$2:$A$5251,0))</f>
        <v>3469</v>
      </c>
    </row>
    <row r="11" customFormat="false" ht="15" hidden="false" customHeight="false" outlineLevel="0" collapsed="false">
      <c r="A11" s="0" t="n">
        <v>10</v>
      </c>
      <c r="B11" s="0" t="n">
        <f aca="false">IFERROR(SMALL(Pipeline_Calc!$A$2:$A$5251,A11),"")</f>
        <v>46321.0015038</v>
      </c>
      <c r="C11" s="0" t="n">
        <f aca="false">IF(B11="","",MATCH(B11,Pipeline_Calc!$A$2:$A$5251,0))</f>
        <v>3488</v>
      </c>
    </row>
    <row r="12" customFormat="false" ht="15" hidden="false" customHeight="false" outlineLevel="0" collapsed="false">
      <c r="A12" s="0" t="n">
        <v>11</v>
      </c>
      <c r="B12" s="0" t="n">
        <f aca="false">IFERROR(SMALL(Pipeline_Calc!$A$2:$A$5251,A12),"")</f>
        <v>46322.0001001</v>
      </c>
      <c r="C12" s="0" t="n">
        <f aca="false">IF(B12="","",MATCH(B12,Pipeline_Calc!$A$2:$A$5251,0))</f>
        <v>1</v>
      </c>
    </row>
    <row r="13" customFormat="false" ht="15" hidden="false" customHeight="false" outlineLevel="0" collapsed="false">
      <c r="A13" s="0" t="n">
        <v>12</v>
      </c>
      <c r="B13" s="0" t="n">
        <f aca="false">IFERROR(SMALL(Pipeline_Calc!$A$2:$A$5251,A13),"")</f>
        <v>46322.0002001</v>
      </c>
      <c r="C13" s="0" t="n">
        <f aca="false">IF(B13="","",MATCH(B13,Pipeline_Calc!$A$2:$A$5251,0))</f>
        <v>201</v>
      </c>
    </row>
    <row r="14" customFormat="false" ht="15" hidden="false" customHeight="false" outlineLevel="0" collapsed="false">
      <c r="A14" s="0" t="n">
        <v>13</v>
      </c>
      <c r="B14" s="0" t="n">
        <f aca="false">IFERROR(SMALL(Pipeline_Calc!$A$2:$A$5251,A14),"")</f>
        <v>46322.0003001</v>
      </c>
      <c r="C14" s="0" t="n">
        <f aca="false">IF(B14="","",MATCH(B14,Pipeline_Calc!$A$2:$A$5251,0))</f>
        <v>401</v>
      </c>
    </row>
    <row r="15" customFormat="false" ht="15" hidden="false" customHeight="false" outlineLevel="0" collapsed="false">
      <c r="A15" s="0" t="n">
        <v>14</v>
      </c>
      <c r="B15" s="0" t="n">
        <f aca="false">IFERROR(SMALL(Pipeline_Calc!$A$2:$A$5251,A15),"")</f>
        <v>46322.0004001</v>
      </c>
      <c r="C15" s="0" t="n">
        <f aca="false">IF(B15="","",MATCH(B15,Pipeline_Calc!$A$2:$A$5251,0))</f>
        <v>601</v>
      </c>
    </row>
    <row r="16" customFormat="false" ht="15" hidden="false" customHeight="false" outlineLevel="0" collapsed="false">
      <c r="A16" s="0" t="n">
        <v>15</v>
      </c>
      <c r="B16" s="0" t="n">
        <f aca="false">IFERROR(SMALL(Pipeline_Calc!$A$2:$A$5251,A16),"")</f>
        <v>46322.0005001</v>
      </c>
      <c r="C16" s="0" t="n">
        <f aca="false">IF(B16="","",MATCH(B16,Pipeline_Calc!$A$2:$A$5251,0))</f>
        <v>801</v>
      </c>
    </row>
    <row r="17" customFormat="false" ht="15" hidden="false" customHeight="false" outlineLevel="0" collapsed="false">
      <c r="A17" s="0" t="n">
        <v>16</v>
      </c>
      <c r="B17" s="0" t="n">
        <f aca="false">IFERROR(SMALL(Pipeline_Calc!$A$2:$A$5251,A17),"")</f>
        <v>46322.0006001</v>
      </c>
      <c r="C17" s="0" t="n">
        <f aca="false">IF(B17="","",MATCH(B17,Pipeline_Calc!$A$2:$A$5251,0))</f>
        <v>1001</v>
      </c>
    </row>
    <row r="18" customFormat="false" ht="15" hidden="false" customHeight="false" outlineLevel="0" collapsed="false">
      <c r="A18" s="0" t="n">
        <v>17</v>
      </c>
      <c r="B18" s="0" t="n">
        <f aca="false">IFERROR(SMALL(Pipeline_Calc!$A$2:$A$5251,A18),"")</f>
        <v>46322.0007001</v>
      </c>
      <c r="C18" s="0" t="n">
        <f aca="false">IF(B18="","",MATCH(B18,Pipeline_Calc!$A$2:$A$5251,0))</f>
        <v>1201</v>
      </c>
    </row>
    <row r="19" customFormat="false" ht="15" hidden="false" customHeight="false" outlineLevel="0" collapsed="false">
      <c r="A19" s="0" t="n">
        <v>18</v>
      </c>
      <c r="B19" s="0" t="n">
        <f aca="false">IFERROR(SMALL(Pipeline_Calc!$A$2:$A$5251,A19),"")</f>
        <v>46322.0012004</v>
      </c>
      <c r="C19" s="0" t="n">
        <f aca="false">IF(B19="","",MATCH(B19,Pipeline_Calc!$A$2:$A$5251,0))</f>
        <v>1654</v>
      </c>
    </row>
    <row r="20" customFormat="false" ht="15" hidden="false" customHeight="false" outlineLevel="0" collapsed="false">
      <c r="A20" s="0" t="n">
        <v>19</v>
      </c>
      <c r="B20" s="0" t="n">
        <f aca="false">IFERROR(SMALL(Pipeline_Calc!$A$2:$A$5251,A20),"")</f>
        <v>46322.0012031</v>
      </c>
      <c r="C20" s="0" t="n">
        <f aca="false">IF(B20="","",MATCH(B20,Pipeline_Calc!$A$2:$A$5251,0))</f>
        <v>1681</v>
      </c>
    </row>
    <row r="21" customFormat="false" ht="15" hidden="false" customHeight="false" outlineLevel="0" collapsed="false">
      <c r="A21" s="0" t="n">
        <v>20</v>
      </c>
      <c r="B21" s="0" t="n">
        <f aca="false">IFERROR(SMALL(Pipeline_Calc!$A$2:$A$5251,A21),"")</f>
        <v>46322.0015004</v>
      </c>
      <c r="C21" s="0" t="n">
        <f aca="false">IF(B21="","",MATCH(B21,Pipeline_Calc!$A$2:$A$5251,0))</f>
        <v>3454</v>
      </c>
    </row>
    <row r="22" customFormat="false" ht="15" hidden="false" customHeight="false" outlineLevel="0" collapsed="false">
      <c r="A22" s="0" t="n">
        <v>21</v>
      </c>
      <c r="B22" s="0" t="n">
        <f aca="false">IFERROR(SMALL(Pipeline_Calc!$A$2:$A$5251,A22),"")</f>
        <v>46322.0015032</v>
      </c>
      <c r="C22" s="0" t="n">
        <f aca="false">IF(B22="","",MATCH(B22,Pipeline_Calc!$A$2:$A$5251,0))</f>
        <v>3482</v>
      </c>
    </row>
    <row r="23" customFormat="false" ht="15" hidden="false" customHeight="false" outlineLevel="0" collapsed="false">
      <c r="A23" s="0" t="n">
        <v>22</v>
      </c>
      <c r="B23" s="0" t="n">
        <f aca="false">IFERROR(SMALL(Pipeline_Calc!$A$2:$A$5251,A23),"")</f>
        <v>46323.0001002</v>
      </c>
      <c r="C23" s="0" t="n">
        <f aca="false">IF(B23="","",MATCH(B23,Pipeline_Calc!$A$2:$A$5251,0))</f>
        <v>2</v>
      </c>
    </row>
    <row r="24" customFormat="false" ht="15" hidden="false" customHeight="false" outlineLevel="0" collapsed="false">
      <c r="A24" s="0" t="n">
        <v>23</v>
      </c>
      <c r="B24" s="0" t="n">
        <f aca="false">IFERROR(SMALL(Pipeline_Calc!$A$2:$A$5251,A24),"")</f>
        <v>46323.0003002</v>
      </c>
      <c r="C24" s="0" t="n">
        <f aca="false">IF(B24="","",MATCH(B24,Pipeline_Calc!$A$2:$A$5251,0))</f>
        <v>402</v>
      </c>
    </row>
    <row r="25" customFormat="false" ht="15" hidden="false" customHeight="false" outlineLevel="0" collapsed="false">
      <c r="A25" s="0" t="n">
        <v>24</v>
      </c>
      <c r="B25" s="0" t="n">
        <f aca="false">IFERROR(SMALL(Pipeline_Calc!$A$2:$A$5251,A25),"")</f>
        <v>46323.0004002</v>
      </c>
      <c r="C25" s="0" t="n">
        <f aca="false">IF(B25="","",MATCH(B25,Pipeline_Calc!$A$2:$A$5251,0))</f>
        <v>602</v>
      </c>
    </row>
    <row r="26" customFormat="false" ht="15" hidden="false" customHeight="false" outlineLevel="0" collapsed="false">
      <c r="A26" s="0" t="n">
        <v>25</v>
      </c>
      <c r="B26" s="0" t="n">
        <f aca="false">IFERROR(SMALL(Pipeline_Calc!$A$2:$A$5251,A26),"")</f>
        <v>46323.0005002</v>
      </c>
      <c r="C26" s="0" t="n">
        <f aca="false">IF(B26="","",MATCH(B26,Pipeline_Calc!$A$2:$A$5251,0))</f>
        <v>802</v>
      </c>
    </row>
    <row r="27" customFormat="false" ht="15" hidden="false" customHeight="false" outlineLevel="0" collapsed="false">
      <c r="A27" s="0" t="n">
        <v>26</v>
      </c>
      <c r="B27" s="0" t="n">
        <f aca="false">IFERROR(SMALL(Pipeline_Calc!$A$2:$A$5251,A27),"")</f>
        <v>46323.0006002</v>
      </c>
      <c r="C27" s="0" t="n">
        <f aca="false">IF(B27="","",MATCH(B27,Pipeline_Calc!$A$2:$A$5251,0))</f>
        <v>1002</v>
      </c>
    </row>
    <row r="28" customFormat="false" ht="15" hidden="false" customHeight="false" outlineLevel="0" collapsed="false">
      <c r="A28" s="0" t="n">
        <v>27</v>
      </c>
      <c r="B28" s="0" t="n">
        <f aca="false">IFERROR(SMALL(Pipeline_Calc!$A$2:$A$5251,A28),"")</f>
        <v>46323.0007002</v>
      </c>
      <c r="C28" s="0" t="n">
        <f aca="false">IF(B28="","",MATCH(B28,Pipeline_Calc!$A$2:$A$5251,0))</f>
        <v>1202</v>
      </c>
    </row>
    <row r="29" customFormat="false" ht="15" hidden="false" customHeight="false" outlineLevel="0" collapsed="false">
      <c r="A29" s="0" t="n">
        <v>28</v>
      </c>
      <c r="B29" s="0" t="n">
        <f aca="false">IFERROR(SMALL(Pipeline_Calc!$A$2:$A$5251,A29),"")</f>
        <v>46323.0012005</v>
      </c>
      <c r="C29" s="0" t="n">
        <f aca="false">IF(B29="","",MATCH(B29,Pipeline_Calc!$A$2:$A$5251,0))</f>
        <v>1655</v>
      </c>
    </row>
    <row r="30" customFormat="false" ht="15" hidden="false" customHeight="false" outlineLevel="0" collapsed="false">
      <c r="A30" s="0" t="n">
        <v>29</v>
      </c>
      <c r="B30" s="0" t="n">
        <f aca="false">IFERROR(SMALL(Pipeline_Calc!$A$2:$A$5251,A30),"")</f>
        <v>46323.0012025</v>
      </c>
      <c r="C30" s="0" t="n">
        <f aca="false">IF(B30="","",MATCH(B30,Pipeline_Calc!$A$2:$A$5251,0))</f>
        <v>1675</v>
      </c>
    </row>
    <row r="31" customFormat="false" ht="15" hidden="false" customHeight="false" outlineLevel="0" collapsed="false">
      <c r="A31" s="0" t="n">
        <v>30</v>
      </c>
      <c r="B31" s="0" t="n">
        <f aca="false">IFERROR(SMALL(Pipeline_Calc!$A$2:$A$5251,A31),"")</f>
        <v>46323.0015005</v>
      </c>
      <c r="C31" s="0" t="n">
        <f aca="false">IF(B31="","",MATCH(B31,Pipeline_Calc!$A$2:$A$5251,0))</f>
        <v>3455</v>
      </c>
    </row>
    <row r="32" customFormat="false" ht="15" hidden="false" customHeight="false" outlineLevel="0" collapsed="false">
      <c r="A32" s="0" t="n">
        <v>31</v>
      </c>
      <c r="B32" s="0" t="n">
        <f aca="false">IFERROR(SMALL(Pipeline_Calc!$A$2:$A$5251,A32),"")</f>
        <v>46323.0015026</v>
      </c>
      <c r="C32" s="0" t="n">
        <f aca="false">IF(B32="","",MATCH(B32,Pipeline_Calc!$A$2:$A$5251,0))</f>
        <v>3476</v>
      </c>
    </row>
    <row r="33" customFormat="false" ht="15" hidden="false" customHeight="false" outlineLevel="0" collapsed="false">
      <c r="A33" s="0" t="n">
        <v>32</v>
      </c>
      <c r="B33" s="0" t="n">
        <f aca="false">IFERROR(SMALL(Pipeline_Calc!$A$2:$A$5251,A33),"")</f>
        <v>46324.0001003</v>
      </c>
      <c r="C33" s="0" t="n">
        <f aca="false">IF(B33="","",MATCH(B33,Pipeline_Calc!$A$2:$A$5251,0))</f>
        <v>3</v>
      </c>
    </row>
    <row r="34" customFormat="false" ht="15" hidden="false" customHeight="false" outlineLevel="0" collapsed="false">
      <c r="A34" s="0" t="n">
        <v>33</v>
      </c>
      <c r="B34" s="0" t="n">
        <f aca="false">IFERROR(SMALL(Pipeline_Calc!$A$2:$A$5251,A34),"")</f>
        <v>46324.0003003</v>
      </c>
      <c r="C34" s="0" t="n">
        <f aca="false">IF(B34="","",MATCH(B34,Pipeline_Calc!$A$2:$A$5251,0))</f>
        <v>403</v>
      </c>
    </row>
    <row r="35" customFormat="false" ht="15" hidden="false" customHeight="false" outlineLevel="0" collapsed="false">
      <c r="A35" s="0" t="n">
        <v>34</v>
      </c>
      <c r="B35" s="0" t="n">
        <f aca="false">IFERROR(SMALL(Pipeline_Calc!$A$2:$A$5251,A35),"")</f>
        <v>46324.0004003</v>
      </c>
      <c r="C35" s="0" t="n">
        <f aca="false">IF(B35="","",MATCH(B35,Pipeline_Calc!$A$2:$A$5251,0))</f>
        <v>603</v>
      </c>
    </row>
    <row r="36" customFormat="false" ht="15" hidden="false" customHeight="false" outlineLevel="0" collapsed="false">
      <c r="A36" s="0" t="n">
        <v>35</v>
      </c>
      <c r="B36" s="0" t="n">
        <f aca="false">IFERROR(SMALL(Pipeline_Calc!$A$2:$A$5251,A36),"")</f>
        <v>46324.0006003</v>
      </c>
      <c r="C36" s="0" t="n">
        <f aca="false">IF(B36="","",MATCH(B36,Pipeline_Calc!$A$2:$A$5251,0))</f>
        <v>1003</v>
      </c>
    </row>
    <row r="37" customFormat="false" ht="15" hidden="false" customHeight="false" outlineLevel="0" collapsed="false">
      <c r="A37" s="0" t="n">
        <v>36</v>
      </c>
      <c r="B37" s="0" t="n">
        <f aca="false">IFERROR(SMALL(Pipeline_Calc!$A$2:$A$5251,A37),"")</f>
        <v>46324.0007003</v>
      </c>
      <c r="C37" s="0" t="n">
        <f aca="false">IF(B37="","",MATCH(B37,Pipeline_Calc!$A$2:$A$5251,0))</f>
        <v>1203</v>
      </c>
    </row>
    <row r="38" customFormat="false" ht="15" hidden="false" customHeight="false" outlineLevel="0" collapsed="false">
      <c r="A38" s="0" t="n">
        <v>37</v>
      </c>
      <c r="B38" s="0" t="n">
        <f aca="false">IFERROR(SMALL(Pipeline_Calc!$A$2:$A$5251,A38),"")</f>
        <v>46324.0012006</v>
      </c>
      <c r="C38" s="0" t="n">
        <f aca="false">IF(B38="","",MATCH(B38,Pipeline_Calc!$A$2:$A$5251,0))</f>
        <v>1656</v>
      </c>
    </row>
    <row r="39" customFormat="false" ht="15" hidden="false" customHeight="false" outlineLevel="0" collapsed="false">
      <c r="A39" s="0" t="n">
        <v>38</v>
      </c>
      <c r="B39" s="0" t="n">
        <f aca="false">IFERROR(SMALL(Pipeline_Calc!$A$2:$A$5251,A39),"")</f>
        <v>46324.0012019</v>
      </c>
      <c r="C39" s="0" t="n">
        <f aca="false">IF(B39="","",MATCH(B39,Pipeline_Calc!$A$2:$A$5251,0))</f>
        <v>1669</v>
      </c>
    </row>
    <row r="40" customFormat="false" ht="15" hidden="false" customHeight="false" outlineLevel="0" collapsed="false">
      <c r="A40" s="0" t="n">
        <v>39</v>
      </c>
      <c r="B40" s="0" t="n">
        <f aca="false">IFERROR(SMALL(Pipeline_Calc!$A$2:$A$5251,A40),"")</f>
        <v>46324.0012038</v>
      </c>
      <c r="C40" s="0" t="n">
        <f aca="false">IF(B40="","",MATCH(B40,Pipeline_Calc!$A$2:$A$5251,0))</f>
        <v>1688</v>
      </c>
    </row>
    <row r="41" customFormat="false" ht="15" hidden="false" customHeight="false" outlineLevel="0" collapsed="false">
      <c r="A41" s="0" t="n">
        <v>40</v>
      </c>
      <c r="B41" s="0" t="n">
        <f aca="false">IFERROR(SMALL(Pipeline_Calc!$A$2:$A$5251,A41),"")</f>
        <v>46324.0013018</v>
      </c>
      <c r="C41" s="0" t="n">
        <f aca="false">IF(B41="","",MATCH(B41,Pipeline_Calc!$A$2:$A$5251,0))</f>
        <v>2268</v>
      </c>
    </row>
    <row r="42" customFormat="false" ht="15" hidden="false" customHeight="false" outlineLevel="0" collapsed="false">
      <c r="A42" s="0" t="n">
        <v>41</v>
      </c>
      <c r="B42" s="0" t="n">
        <f aca="false">IFERROR(SMALL(Pipeline_Calc!$A$2:$A$5251,A42),"")</f>
        <v>46324.0013037</v>
      </c>
      <c r="C42" s="0" t="n">
        <f aca="false">IF(B42="","",MATCH(B42,Pipeline_Calc!$A$2:$A$5251,0))</f>
        <v>2287</v>
      </c>
    </row>
    <row r="43" customFormat="false" ht="15" hidden="false" customHeight="false" outlineLevel="0" collapsed="false">
      <c r="A43" s="0" t="n">
        <v>42</v>
      </c>
      <c r="B43" s="0" t="n">
        <f aca="false">IFERROR(SMALL(Pipeline_Calc!$A$2:$A$5251,A43),"")</f>
        <v>46324.0015006</v>
      </c>
      <c r="C43" s="0" t="n">
        <f aca="false">IF(B43="","",MATCH(B43,Pipeline_Calc!$A$2:$A$5251,0))</f>
        <v>3456</v>
      </c>
    </row>
    <row r="44" customFormat="false" ht="15" hidden="false" customHeight="false" outlineLevel="0" collapsed="false">
      <c r="A44" s="0" t="n">
        <v>43</v>
      </c>
      <c r="B44" s="0" t="n">
        <f aca="false">IFERROR(SMALL(Pipeline_Calc!$A$2:$A$5251,A44),"")</f>
        <v>46324.001502</v>
      </c>
      <c r="C44" s="0" t="n">
        <f aca="false">IF(B44="","",MATCH(B44,Pipeline_Calc!$A$2:$A$5251,0))</f>
        <v>3470</v>
      </c>
    </row>
    <row r="45" customFormat="false" ht="15" hidden="false" customHeight="false" outlineLevel="0" collapsed="false">
      <c r="A45" s="0" t="n">
        <v>44</v>
      </c>
      <c r="B45" s="0" t="n">
        <f aca="false">IFERROR(SMALL(Pipeline_Calc!$A$2:$A$5251,A45),"")</f>
        <v>46324.0015039</v>
      </c>
      <c r="C45" s="0" t="n">
        <f aca="false">IF(B45="","",MATCH(B45,Pipeline_Calc!$A$2:$A$5251,0))</f>
        <v>3489</v>
      </c>
    </row>
    <row r="46" customFormat="false" ht="15" hidden="false" customHeight="false" outlineLevel="0" collapsed="false">
      <c r="A46" s="0" t="n">
        <v>45</v>
      </c>
      <c r="B46" s="0" t="n">
        <f aca="false">IFERROR(SMALL(Pipeline_Calc!$A$2:$A$5251,A46),"")</f>
        <v>46324.0016019</v>
      </c>
      <c r="C46" s="0" t="n">
        <f aca="false">IF(B46="","",MATCH(B46,Pipeline_Calc!$A$2:$A$5251,0))</f>
        <v>4069</v>
      </c>
    </row>
    <row r="47" customFormat="false" ht="15" hidden="false" customHeight="false" outlineLevel="0" collapsed="false">
      <c r="A47" s="0" t="n">
        <v>46</v>
      </c>
      <c r="B47" s="0" t="n">
        <f aca="false">IFERROR(SMALL(Pipeline_Calc!$A$2:$A$5251,A47),"")</f>
        <v>46324.0016038</v>
      </c>
      <c r="C47" s="0" t="n">
        <f aca="false">IF(B47="","",MATCH(B47,Pipeline_Calc!$A$2:$A$5251,0))</f>
        <v>4088</v>
      </c>
    </row>
    <row r="48" customFormat="false" ht="15" hidden="false" customHeight="false" outlineLevel="0" collapsed="false">
      <c r="A48" s="0" t="n">
        <v>47</v>
      </c>
      <c r="B48" s="0" t="n">
        <f aca="false">IFERROR(SMALL(Pipeline_Calc!$A$2:$A$5251,A48),"")</f>
        <v>46325.0012007</v>
      </c>
      <c r="C48" s="0" t="n">
        <f aca="false">IF(B48="","",MATCH(B48,Pipeline_Calc!$A$2:$A$5251,0))</f>
        <v>1657</v>
      </c>
    </row>
    <row r="49" customFormat="false" ht="15" hidden="false" customHeight="false" outlineLevel="0" collapsed="false">
      <c r="A49" s="0" t="n">
        <v>48</v>
      </c>
      <c r="B49" s="0" t="n">
        <f aca="false">IFERROR(SMALL(Pipeline_Calc!$A$2:$A$5251,A49),"")</f>
        <v>46325.0012032</v>
      </c>
      <c r="C49" s="0" t="n">
        <f aca="false">IF(B49="","",MATCH(B49,Pipeline_Calc!$A$2:$A$5251,0))</f>
        <v>1682</v>
      </c>
    </row>
    <row r="50" customFormat="false" ht="15" hidden="false" customHeight="false" outlineLevel="0" collapsed="false">
      <c r="A50" s="0" t="n">
        <v>49</v>
      </c>
      <c r="B50" s="0" t="n">
        <f aca="false">IFERROR(SMALL(Pipeline_Calc!$A$2:$A$5251,A50),"")</f>
        <v>46325.0013031</v>
      </c>
      <c r="C50" s="0" t="n">
        <f aca="false">IF(B50="","",MATCH(B50,Pipeline_Calc!$A$2:$A$5251,0))</f>
        <v>2281</v>
      </c>
    </row>
    <row r="51" customFormat="false" ht="15" hidden="false" customHeight="false" outlineLevel="0" collapsed="false">
      <c r="A51" s="0" t="n">
        <v>50</v>
      </c>
      <c r="B51" s="0" t="n">
        <f aca="false">IFERROR(SMALL(Pipeline_Calc!$A$2:$A$5251,A51),"")</f>
        <v>46325.0015007</v>
      </c>
      <c r="C51" s="0" t="n">
        <f aca="false">IF(B51="","",MATCH(B51,Pipeline_Calc!$A$2:$A$5251,0))</f>
        <v>3457</v>
      </c>
    </row>
    <row r="52" customFormat="false" ht="15" hidden="false" customHeight="false" outlineLevel="0" collapsed="false">
      <c r="A52" s="0" t="n">
        <v>51</v>
      </c>
      <c r="B52" s="0" t="n">
        <f aca="false">IFERROR(SMALL(Pipeline_Calc!$A$2:$A$5251,A52),"")</f>
        <v>46325.0015033</v>
      </c>
      <c r="C52" s="0" t="n">
        <f aca="false">IF(B52="","",MATCH(B52,Pipeline_Calc!$A$2:$A$5251,0))</f>
        <v>3483</v>
      </c>
    </row>
    <row r="53" customFormat="false" ht="15" hidden="false" customHeight="false" outlineLevel="0" collapsed="false">
      <c r="A53" s="0" t="n">
        <v>52</v>
      </c>
      <c r="B53" s="0" t="n">
        <f aca="false">IFERROR(SMALL(Pipeline_Calc!$A$2:$A$5251,A53),"")</f>
        <v>46325.0016032</v>
      </c>
      <c r="C53" s="0" t="n">
        <f aca="false">IF(B53="","",MATCH(B53,Pipeline_Calc!$A$2:$A$5251,0))</f>
        <v>4082</v>
      </c>
    </row>
    <row r="54" customFormat="false" ht="15" hidden="false" customHeight="false" outlineLevel="0" collapsed="false">
      <c r="A54" s="0" t="n">
        <v>53</v>
      </c>
      <c r="B54" s="0" t="n">
        <f aca="false">IFERROR(SMALL(Pipeline_Calc!$A$2:$A$5251,A54),"")</f>
        <v>46328.0001004</v>
      </c>
      <c r="C54" s="0" t="n">
        <f aca="false">IF(B54="","",MATCH(B54,Pipeline_Calc!$A$2:$A$5251,0))</f>
        <v>4</v>
      </c>
    </row>
    <row r="55" customFormat="false" ht="15" hidden="false" customHeight="false" outlineLevel="0" collapsed="false">
      <c r="A55" s="0" t="n">
        <v>54</v>
      </c>
      <c r="B55" s="0" t="n">
        <f aca="false">IFERROR(SMALL(Pipeline_Calc!$A$2:$A$5251,A55),"")</f>
        <v>46328.0003004</v>
      </c>
      <c r="C55" s="0" t="n">
        <f aca="false">IF(B55="","",MATCH(B55,Pipeline_Calc!$A$2:$A$5251,0))</f>
        <v>404</v>
      </c>
    </row>
    <row r="56" customFormat="false" ht="15" hidden="false" customHeight="false" outlineLevel="0" collapsed="false">
      <c r="A56" s="0" t="n">
        <v>55</v>
      </c>
      <c r="B56" s="0" t="n">
        <f aca="false">IFERROR(SMALL(Pipeline_Calc!$A$2:$A$5251,A56),"")</f>
        <v>46328.0004004</v>
      </c>
      <c r="C56" s="0" t="n">
        <f aca="false">IF(B56="","",MATCH(B56,Pipeline_Calc!$A$2:$A$5251,0))</f>
        <v>604</v>
      </c>
    </row>
    <row r="57" customFormat="false" ht="15" hidden="false" customHeight="false" outlineLevel="0" collapsed="false">
      <c r="A57" s="0" t="n">
        <v>56</v>
      </c>
      <c r="B57" s="0" t="n">
        <f aca="false">IFERROR(SMALL(Pipeline_Calc!$A$2:$A$5251,A57),"")</f>
        <v>46328.0006004</v>
      </c>
      <c r="C57" s="0" t="n">
        <f aca="false">IF(B57="","",MATCH(B57,Pipeline_Calc!$A$2:$A$5251,0))</f>
        <v>1004</v>
      </c>
    </row>
    <row r="58" customFormat="false" ht="15" hidden="false" customHeight="false" outlineLevel="0" collapsed="false">
      <c r="A58" s="0" t="n">
        <v>57</v>
      </c>
      <c r="B58" s="0" t="n">
        <f aca="false">IFERROR(SMALL(Pipeline_Calc!$A$2:$A$5251,A58),"")</f>
        <v>46328.0007004</v>
      </c>
      <c r="C58" s="0" t="n">
        <f aca="false">IF(B58="","",MATCH(B58,Pipeline_Calc!$A$2:$A$5251,0))</f>
        <v>1204</v>
      </c>
    </row>
    <row r="59" customFormat="false" ht="15" hidden="false" customHeight="false" outlineLevel="0" collapsed="false">
      <c r="A59" s="0" t="n">
        <v>58</v>
      </c>
      <c r="B59" s="0" t="n">
        <f aca="false">IFERROR(SMALL(Pipeline_Calc!$A$2:$A$5251,A59),"")</f>
        <v>46328.0012026</v>
      </c>
      <c r="C59" s="0" t="n">
        <f aca="false">IF(B59="","",MATCH(B59,Pipeline_Calc!$A$2:$A$5251,0))</f>
        <v>1676</v>
      </c>
    </row>
    <row r="60" customFormat="false" ht="15" hidden="false" customHeight="false" outlineLevel="0" collapsed="false">
      <c r="A60" s="0" t="n">
        <v>59</v>
      </c>
      <c r="B60" s="0" t="n">
        <f aca="false">IFERROR(SMALL(Pipeline_Calc!$A$2:$A$5251,A60),"")</f>
        <v>46328.0013025</v>
      </c>
      <c r="C60" s="0" t="n">
        <f aca="false">IF(B60="","",MATCH(B60,Pipeline_Calc!$A$2:$A$5251,0))</f>
        <v>2275</v>
      </c>
    </row>
    <row r="61" customFormat="false" ht="15" hidden="false" customHeight="false" outlineLevel="0" collapsed="false">
      <c r="A61" s="0" t="n">
        <v>60</v>
      </c>
      <c r="B61" s="0" t="n">
        <f aca="false">IFERROR(SMALL(Pipeline_Calc!$A$2:$A$5251,A61),"")</f>
        <v>46328.0015027</v>
      </c>
      <c r="C61" s="0" t="n">
        <f aca="false">IF(B61="","",MATCH(B61,Pipeline_Calc!$A$2:$A$5251,0))</f>
        <v>3477</v>
      </c>
    </row>
    <row r="62" customFormat="false" ht="15" hidden="false" customHeight="false" outlineLevel="0" collapsed="false">
      <c r="A62" s="0" t="n">
        <v>61</v>
      </c>
      <c r="B62" s="0" t="n">
        <f aca="false">IFERROR(SMALL(Pipeline_Calc!$A$2:$A$5251,A62),"")</f>
        <v>46328.0016026</v>
      </c>
      <c r="C62" s="0" t="n">
        <f aca="false">IF(B62="","",MATCH(B62,Pipeline_Calc!$A$2:$A$5251,0))</f>
        <v>4076</v>
      </c>
    </row>
    <row r="63" customFormat="false" ht="15" hidden="false" customHeight="false" outlineLevel="0" collapsed="false">
      <c r="A63" s="0" t="n">
        <v>62</v>
      </c>
      <c r="B63" s="0" t="n">
        <f aca="false">IFERROR(SMALL(Pipeline_Calc!$A$2:$A$5251,A63),"")</f>
        <v>46329.0001005</v>
      </c>
      <c r="C63" s="0" t="n">
        <f aca="false">IF(B63="","",MATCH(B63,Pipeline_Calc!$A$2:$A$5251,0))</f>
        <v>5</v>
      </c>
    </row>
    <row r="64" customFormat="false" ht="15" hidden="false" customHeight="false" outlineLevel="0" collapsed="false">
      <c r="A64" s="0" t="n">
        <v>63</v>
      </c>
      <c r="B64" s="0" t="n">
        <f aca="false">IFERROR(SMALL(Pipeline_Calc!$A$2:$A$5251,A64),"")</f>
        <v>46329.0003005</v>
      </c>
      <c r="C64" s="0" t="n">
        <f aca="false">IF(B64="","",MATCH(B64,Pipeline_Calc!$A$2:$A$5251,0))</f>
        <v>405</v>
      </c>
    </row>
    <row r="65" customFormat="false" ht="15" hidden="false" customHeight="false" outlineLevel="0" collapsed="false">
      <c r="A65" s="0" t="n">
        <v>64</v>
      </c>
      <c r="B65" s="0" t="n">
        <f aca="false">IFERROR(SMALL(Pipeline_Calc!$A$2:$A$5251,A65),"")</f>
        <v>46329.0004005</v>
      </c>
      <c r="C65" s="0" t="n">
        <f aca="false">IF(B65="","",MATCH(B65,Pipeline_Calc!$A$2:$A$5251,0))</f>
        <v>605</v>
      </c>
    </row>
    <row r="66" customFormat="false" ht="15" hidden="false" customHeight="false" outlineLevel="0" collapsed="false">
      <c r="A66" s="0" t="n">
        <v>65</v>
      </c>
      <c r="B66" s="0" t="n">
        <f aca="false">IFERROR(SMALL(Pipeline_Calc!$A$2:$A$5251,A66),"")</f>
        <v>46329.0006005</v>
      </c>
      <c r="C66" s="0" t="n">
        <f aca="false">IF(B66="","",MATCH(B66,Pipeline_Calc!$A$2:$A$5251,0))</f>
        <v>1005</v>
      </c>
    </row>
    <row r="67" customFormat="false" ht="15" hidden="false" customHeight="false" outlineLevel="0" collapsed="false">
      <c r="A67" s="0" t="n">
        <v>66</v>
      </c>
      <c r="B67" s="0" t="n">
        <f aca="false">IFERROR(SMALL(Pipeline_Calc!$A$2:$A$5251,A67),"")</f>
        <v>46329.0012008</v>
      </c>
      <c r="C67" s="0" t="n">
        <f aca="false">IF(B67="","",MATCH(B67,Pipeline_Calc!$A$2:$A$5251,0))</f>
        <v>1658</v>
      </c>
    </row>
    <row r="68" customFormat="false" ht="15" hidden="false" customHeight="false" outlineLevel="0" collapsed="false">
      <c r="A68" s="0" t="n">
        <v>67</v>
      </c>
      <c r="B68" s="0" t="n">
        <f aca="false">IFERROR(SMALL(Pipeline_Calc!$A$2:$A$5251,A68),"")</f>
        <v>46329.001202</v>
      </c>
      <c r="C68" s="0" t="n">
        <f aca="false">IF(B68="","",MATCH(B68,Pipeline_Calc!$A$2:$A$5251,0))</f>
        <v>1670</v>
      </c>
    </row>
    <row r="69" customFormat="false" ht="15" hidden="false" customHeight="false" outlineLevel="0" collapsed="false">
      <c r="A69" s="0" t="n">
        <v>68</v>
      </c>
      <c r="B69" s="0" t="n">
        <f aca="false">IFERROR(SMALL(Pipeline_Calc!$A$2:$A$5251,A69),"")</f>
        <v>46329.0012039</v>
      </c>
      <c r="C69" s="0" t="n">
        <f aca="false">IF(B69="","",MATCH(B69,Pipeline_Calc!$A$2:$A$5251,0))</f>
        <v>1689</v>
      </c>
    </row>
    <row r="70" customFormat="false" ht="15" hidden="false" customHeight="false" outlineLevel="0" collapsed="false">
      <c r="A70" s="0" t="n">
        <v>69</v>
      </c>
      <c r="B70" s="0" t="n">
        <f aca="false">IFERROR(SMALL(Pipeline_Calc!$A$2:$A$5251,A70),"")</f>
        <v>46329.0013038</v>
      </c>
      <c r="C70" s="0" t="n">
        <f aca="false">IF(B70="","",MATCH(B70,Pipeline_Calc!$A$2:$A$5251,0))</f>
        <v>2288</v>
      </c>
    </row>
    <row r="71" customFormat="false" ht="15" hidden="false" customHeight="false" outlineLevel="0" collapsed="false">
      <c r="A71" s="0" t="n">
        <v>70</v>
      </c>
      <c r="B71" s="0" t="n">
        <f aca="false">IFERROR(SMALL(Pipeline_Calc!$A$2:$A$5251,A71),"")</f>
        <v>46329.0015008</v>
      </c>
      <c r="C71" s="0" t="n">
        <f aca="false">IF(B71="","",MATCH(B71,Pipeline_Calc!$A$2:$A$5251,0))</f>
        <v>3458</v>
      </c>
    </row>
    <row r="72" customFormat="false" ht="15" hidden="false" customHeight="false" outlineLevel="0" collapsed="false">
      <c r="A72" s="0" t="n">
        <v>71</v>
      </c>
      <c r="B72" s="0" t="n">
        <f aca="false">IFERROR(SMALL(Pipeline_Calc!$A$2:$A$5251,A72),"")</f>
        <v>46329.0015021</v>
      </c>
      <c r="C72" s="0" t="n">
        <f aca="false">IF(B72="","",MATCH(B72,Pipeline_Calc!$A$2:$A$5251,0))</f>
        <v>3471</v>
      </c>
    </row>
    <row r="73" customFormat="false" ht="15" hidden="false" customHeight="false" outlineLevel="0" collapsed="false">
      <c r="A73" s="0" t="n">
        <v>72</v>
      </c>
      <c r="B73" s="0" t="n">
        <f aca="false">IFERROR(SMALL(Pipeline_Calc!$A$2:$A$5251,A73),"")</f>
        <v>46329.001504</v>
      </c>
      <c r="C73" s="0" t="n">
        <f aca="false">IF(B73="","",MATCH(B73,Pipeline_Calc!$A$2:$A$5251,0))</f>
        <v>3490</v>
      </c>
    </row>
    <row r="74" customFormat="false" ht="15" hidden="false" customHeight="false" outlineLevel="0" collapsed="false">
      <c r="A74" s="0" t="n">
        <v>73</v>
      </c>
      <c r="B74" s="0" t="n">
        <f aca="false">IFERROR(SMALL(Pipeline_Calc!$A$2:$A$5251,A74),"")</f>
        <v>46329.0016039</v>
      </c>
      <c r="C74" s="0" t="n">
        <f aca="false">IF(B74="","",MATCH(B74,Pipeline_Calc!$A$2:$A$5251,0))</f>
        <v>4089</v>
      </c>
    </row>
    <row r="75" customFormat="false" ht="15" hidden="false" customHeight="false" outlineLevel="0" collapsed="false">
      <c r="A75" s="0" t="n">
        <v>74</v>
      </c>
      <c r="B75" s="0" t="n">
        <f aca="false">IFERROR(SMALL(Pipeline_Calc!$A$2:$A$5251,A75),"")</f>
        <v>46330.0001006</v>
      </c>
      <c r="C75" s="0" t="n">
        <f aca="false">IF(B75="","",MATCH(B75,Pipeline_Calc!$A$2:$A$5251,0))</f>
        <v>6</v>
      </c>
    </row>
    <row r="76" customFormat="false" ht="15" hidden="false" customHeight="false" outlineLevel="0" collapsed="false">
      <c r="A76" s="0" t="n">
        <v>75</v>
      </c>
      <c r="B76" s="0" t="n">
        <f aca="false">IFERROR(SMALL(Pipeline_Calc!$A$2:$A$5251,A76),"")</f>
        <v>46330.0002006</v>
      </c>
      <c r="C76" s="0" t="n">
        <f aca="false">IF(B76="","",MATCH(B76,Pipeline_Calc!$A$2:$A$5251,0))</f>
        <v>206</v>
      </c>
    </row>
    <row r="77" customFormat="false" ht="15" hidden="false" customHeight="false" outlineLevel="0" collapsed="false">
      <c r="A77" s="0" t="n">
        <v>76</v>
      </c>
      <c r="B77" s="0" t="n">
        <f aca="false">IFERROR(SMALL(Pipeline_Calc!$A$2:$A$5251,A77),"")</f>
        <v>46330.0003006</v>
      </c>
      <c r="C77" s="0" t="n">
        <f aca="false">IF(B77="","",MATCH(B77,Pipeline_Calc!$A$2:$A$5251,0))</f>
        <v>406</v>
      </c>
    </row>
    <row r="78" customFormat="false" ht="15" hidden="false" customHeight="false" outlineLevel="0" collapsed="false">
      <c r="A78" s="0" t="n">
        <v>77</v>
      </c>
      <c r="B78" s="0" t="n">
        <f aca="false">IFERROR(SMALL(Pipeline_Calc!$A$2:$A$5251,A78),"")</f>
        <v>46330.0004006</v>
      </c>
      <c r="C78" s="0" t="n">
        <f aca="false">IF(B78="","",MATCH(B78,Pipeline_Calc!$A$2:$A$5251,0))</f>
        <v>606</v>
      </c>
    </row>
    <row r="79" customFormat="false" ht="15" hidden="false" customHeight="false" outlineLevel="0" collapsed="false">
      <c r="A79" s="0" t="n">
        <v>78</v>
      </c>
      <c r="B79" s="0" t="n">
        <f aca="false">IFERROR(SMALL(Pipeline_Calc!$A$2:$A$5251,A79),"")</f>
        <v>46330.0005006</v>
      </c>
      <c r="C79" s="0" t="n">
        <f aca="false">IF(B79="","",MATCH(B79,Pipeline_Calc!$A$2:$A$5251,0))</f>
        <v>806</v>
      </c>
    </row>
    <row r="80" customFormat="false" ht="15" hidden="false" customHeight="false" outlineLevel="0" collapsed="false">
      <c r="A80" s="0" t="n">
        <v>79</v>
      </c>
      <c r="B80" s="0" t="n">
        <f aca="false">IFERROR(SMALL(Pipeline_Calc!$A$2:$A$5251,A80),"")</f>
        <v>46330.0006006</v>
      </c>
      <c r="C80" s="0" t="n">
        <f aca="false">IF(B80="","",MATCH(B80,Pipeline_Calc!$A$2:$A$5251,0))</f>
        <v>1006</v>
      </c>
    </row>
    <row r="81" customFormat="false" ht="15" hidden="false" customHeight="false" outlineLevel="0" collapsed="false">
      <c r="A81" s="0" t="n">
        <v>80</v>
      </c>
      <c r="B81" s="0" t="n">
        <f aca="false">IFERROR(SMALL(Pipeline_Calc!$A$2:$A$5251,A81),"")</f>
        <v>46330.0007006</v>
      </c>
      <c r="C81" s="0" t="n">
        <f aca="false">IF(B81="","",MATCH(B81,Pipeline_Calc!$A$2:$A$5251,0))</f>
        <v>1206</v>
      </c>
    </row>
    <row r="82" customFormat="false" ht="15" hidden="false" customHeight="false" outlineLevel="0" collapsed="false">
      <c r="A82" s="0" t="n">
        <v>81</v>
      </c>
      <c r="B82" s="0" t="n">
        <f aca="false">IFERROR(SMALL(Pipeline_Calc!$A$2:$A$5251,A82),"")</f>
        <v>46330.0012009</v>
      </c>
      <c r="C82" s="0" t="n">
        <f aca="false">IF(B82="","",MATCH(B82,Pipeline_Calc!$A$2:$A$5251,0))</f>
        <v>1659</v>
      </c>
    </row>
    <row r="83" customFormat="false" ht="15" hidden="false" customHeight="false" outlineLevel="0" collapsed="false">
      <c r="A83" s="0" t="n">
        <v>82</v>
      </c>
      <c r="B83" s="0" t="n">
        <f aca="false">IFERROR(SMALL(Pipeline_Calc!$A$2:$A$5251,A83),"")</f>
        <v>46330.001201</v>
      </c>
      <c r="C83" s="0" t="n">
        <f aca="false">IF(B83="","",MATCH(B83,Pipeline_Calc!$A$2:$A$5251,0))</f>
        <v>1660</v>
      </c>
    </row>
    <row r="84" customFormat="false" ht="15" hidden="false" customHeight="false" outlineLevel="0" collapsed="false">
      <c r="A84" s="0" t="n">
        <v>83</v>
      </c>
      <c r="B84" s="0" t="n">
        <f aca="false">IFERROR(SMALL(Pipeline_Calc!$A$2:$A$5251,A84),"")</f>
        <v>46330.0012014</v>
      </c>
      <c r="C84" s="0" t="n">
        <f aca="false">IF(B84="","",MATCH(B84,Pipeline_Calc!$A$2:$A$5251,0))</f>
        <v>1664</v>
      </c>
    </row>
    <row r="85" customFormat="false" ht="15" hidden="false" customHeight="false" outlineLevel="0" collapsed="false">
      <c r="A85" s="0" t="n">
        <v>84</v>
      </c>
      <c r="B85" s="0" t="n">
        <f aca="false">IFERROR(SMALL(Pipeline_Calc!$A$2:$A$5251,A85),"")</f>
        <v>46330.0012033</v>
      </c>
      <c r="C85" s="0" t="n">
        <f aca="false">IF(B85="","",MATCH(B85,Pipeline_Calc!$A$2:$A$5251,0))</f>
        <v>1683</v>
      </c>
    </row>
    <row r="86" customFormat="false" ht="15" hidden="false" customHeight="false" outlineLevel="0" collapsed="false">
      <c r="A86" s="0" t="n">
        <v>85</v>
      </c>
      <c r="B86" s="0" t="n">
        <f aca="false">IFERROR(SMALL(Pipeline_Calc!$A$2:$A$5251,A86),"")</f>
        <v>46330.0013032</v>
      </c>
      <c r="C86" s="0" t="n">
        <f aca="false">IF(B86="","",MATCH(B86,Pipeline_Calc!$A$2:$A$5251,0))</f>
        <v>2282</v>
      </c>
    </row>
    <row r="87" customFormat="false" ht="15" hidden="false" customHeight="false" outlineLevel="0" collapsed="false">
      <c r="A87" s="0" t="n">
        <v>86</v>
      </c>
      <c r="B87" s="0" t="n">
        <f aca="false">IFERROR(SMALL(Pipeline_Calc!$A$2:$A$5251,A87),"")</f>
        <v>46330.0015009</v>
      </c>
      <c r="C87" s="0" t="n">
        <f aca="false">IF(B87="","",MATCH(B87,Pipeline_Calc!$A$2:$A$5251,0))</f>
        <v>3459</v>
      </c>
    </row>
    <row r="88" customFormat="false" ht="15" hidden="false" customHeight="false" outlineLevel="0" collapsed="false">
      <c r="A88" s="0" t="n">
        <v>87</v>
      </c>
      <c r="B88" s="0" t="n">
        <f aca="false">IFERROR(SMALL(Pipeline_Calc!$A$2:$A$5251,A88),"")</f>
        <v>46330.0015034</v>
      </c>
      <c r="C88" s="0" t="n">
        <f aca="false">IF(B88="","",MATCH(B88,Pipeline_Calc!$A$2:$A$5251,0))</f>
        <v>3484</v>
      </c>
    </row>
    <row r="89" customFormat="false" ht="15" hidden="false" customHeight="false" outlineLevel="0" collapsed="false">
      <c r="A89" s="0" t="n">
        <v>88</v>
      </c>
      <c r="B89" s="0" t="n">
        <f aca="false">IFERROR(SMALL(Pipeline_Calc!$A$2:$A$5251,A89),"")</f>
        <v>46330.0016033</v>
      </c>
      <c r="C89" s="0" t="n">
        <f aca="false">IF(B89="","",MATCH(B89,Pipeline_Calc!$A$2:$A$5251,0))</f>
        <v>4083</v>
      </c>
    </row>
    <row r="90" customFormat="false" ht="15" hidden="false" customHeight="false" outlineLevel="0" collapsed="false">
      <c r="A90" s="0" t="n">
        <v>89</v>
      </c>
      <c r="B90" s="0" t="n">
        <f aca="false">IFERROR(SMALL(Pipeline_Calc!$A$2:$A$5251,A90),"")</f>
        <v>46331.0001007</v>
      </c>
      <c r="C90" s="0" t="n">
        <f aca="false">IF(B90="","",MATCH(B90,Pipeline_Calc!$A$2:$A$5251,0))</f>
        <v>7</v>
      </c>
    </row>
    <row r="91" customFormat="false" ht="15" hidden="false" customHeight="false" outlineLevel="0" collapsed="false">
      <c r="A91" s="0" t="n">
        <v>90</v>
      </c>
      <c r="B91" s="0" t="n">
        <f aca="false">IFERROR(SMALL(Pipeline_Calc!$A$2:$A$5251,A91),"")</f>
        <v>46331.0003007</v>
      </c>
      <c r="C91" s="0" t="n">
        <f aca="false">IF(B91="","",MATCH(B91,Pipeline_Calc!$A$2:$A$5251,0))</f>
        <v>407</v>
      </c>
    </row>
    <row r="92" customFormat="false" ht="15" hidden="false" customHeight="false" outlineLevel="0" collapsed="false">
      <c r="A92" s="0" t="n">
        <v>91</v>
      </c>
      <c r="B92" s="0" t="n">
        <f aca="false">IFERROR(SMALL(Pipeline_Calc!$A$2:$A$5251,A92),"")</f>
        <v>46331.0004007</v>
      </c>
      <c r="C92" s="0" t="n">
        <f aca="false">IF(B92="","",MATCH(B92,Pipeline_Calc!$A$2:$A$5251,0))</f>
        <v>607</v>
      </c>
    </row>
    <row r="93" customFormat="false" ht="15" hidden="false" customHeight="false" outlineLevel="0" collapsed="false">
      <c r="A93" s="0" t="n">
        <v>92</v>
      </c>
      <c r="B93" s="0" t="n">
        <f aca="false">IFERROR(SMALL(Pipeline_Calc!$A$2:$A$5251,A93),"")</f>
        <v>46331.0006007</v>
      </c>
      <c r="C93" s="0" t="n">
        <f aca="false">IF(B93="","",MATCH(B93,Pipeline_Calc!$A$2:$A$5251,0))</f>
        <v>1007</v>
      </c>
    </row>
    <row r="94" customFormat="false" ht="15" hidden="false" customHeight="false" outlineLevel="0" collapsed="false">
      <c r="A94" s="0" t="n">
        <v>93</v>
      </c>
      <c r="B94" s="0" t="n">
        <f aca="false">IFERROR(SMALL(Pipeline_Calc!$A$2:$A$5251,A94),"")</f>
        <v>46331.0007007</v>
      </c>
      <c r="C94" s="0" t="n">
        <f aca="false">IF(B94="","",MATCH(B94,Pipeline_Calc!$A$2:$A$5251,0))</f>
        <v>1207</v>
      </c>
    </row>
    <row r="95" customFormat="false" ht="15" hidden="false" customHeight="false" outlineLevel="0" collapsed="false">
      <c r="A95" s="0" t="n">
        <v>94</v>
      </c>
      <c r="B95" s="0" t="n">
        <f aca="false">IFERROR(SMALL(Pipeline_Calc!$A$2:$A$5251,A95),"")</f>
        <v>46331.0012011</v>
      </c>
      <c r="C95" s="0" t="n">
        <f aca="false">IF(B95="","",MATCH(B95,Pipeline_Calc!$A$2:$A$5251,0))</f>
        <v>1661</v>
      </c>
    </row>
    <row r="96" customFormat="false" ht="15" hidden="false" customHeight="false" outlineLevel="0" collapsed="false">
      <c r="A96" s="0" t="n">
        <v>95</v>
      </c>
      <c r="B96" s="0" t="n">
        <f aca="false">IFERROR(SMALL(Pipeline_Calc!$A$2:$A$5251,A96),"")</f>
        <v>46331.0012012</v>
      </c>
      <c r="C96" s="0" t="n">
        <f aca="false">IF(B96="","",MATCH(B96,Pipeline_Calc!$A$2:$A$5251,0))</f>
        <v>1662</v>
      </c>
    </row>
    <row r="97" customFormat="false" ht="15" hidden="false" customHeight="false" outlineLevel="0" collapsed="false">
      <c r="A97" s="0" t="n">
        <v>96</v>
      </c>
      <c r="B97" s="0" t="n">
        <f aca="false">IFERROR(SMALL(Pipeline_Calc!$A$2:$A$5251,A97),"")</f>
        <v>46331.0012027</v>
      </c>
      <c r="C97" s="0" t="n">
        <f aca="false">IF(B97="","",MATCH(B97,Pipeline_Calc!$A$2:$A$5251,0))</f>
        <v>1677</v>
      </c>
    </row>
    <row r="98" customFormat="false" ht="15" hidden="false" customHeight="false" outlineLevel="0" collapsed="false">
      <c r="A98" s="0" t="n">
        <v>97</v>
      </c>
      <c r="B98" s="0" t="n">
        <f aca="false">IFERROR(SMALL(Pipeline_Calc!$A$2:$A$5251,A98),"")</f>
        <v>46331.0013026</v>
      </c>
      <c r="C98" s="0" t="n">
        <f aca="false">IF(B98="","",MATCH(B98,Pipeline_Calc!$A$2:$A$5251,0))</f>
        <v>2276</v>
      </c>
    </row>
    <row r="99" customFormat="false" ht="15" hidden="false" customHeight="false" outlineLevel="0" collapsed="false">
      <c r="A99" s="0" t="n">
        <v>98</v>
      </c>
      <c r="B99" s="0" t="n">
        <f aca="false">IFERROR(SMALL(Pipeline_Calc!$A$2:$A$5251,A99),"")</f>
        <v>46331.001501</v>
      </c>
      <c r="C99" s="0" t="n">
        <f aca="false">IF(B99="","",MATCH(B99,Pipeline_Calc!$A$2:$A$5251,0))</f>
        <v>3460</v>
      </c>
    </row>
    <row r="100" customFormat="false" ht="15" hidden="false" customHeight="false" outlineLevel="0" collapsed="false">
      <c r="A100" s="0" t="n">
        <v>99</v>
      </c>
      <c r="B100" s="0" t="n">
        <f aca="false">IFERROR(SMALL(Pipeline_Calc!$A$2:$A$5251,A100),"")</f>
        <v>46331.0015011</v>
      </c>
      <c r="C100" s="0" t="n">
        <f aca="false">IF(B100="","",MATCH(B100,Pipeline_Calc!$A$2:$A$5251,0))</f>
        <v>3461</v>
      </c>
    </row>
    <row r="101" customFormat="false" ht="15" hidden="false" customHeight="false" outlineLevel="0" collapsed="false">
      <c r="A101" s="0" t="n">
        <v>100</v>
      </c>
      <c r="B101" s="0" t="n">
        <f aca="false">IFERROR(SMALL(Pipeline_Calc!$A$2:$A$5251,A101),"")</f>
        <v>46331.0015028</v>
      </c>
      <c r="C101" s="0" t="n">
        <f aca="false">IF(B101="","",MATCH(B101,Pipeline_Calc!$A$2:$A$5251,0))</f>
        <v>3478</v>
      </c>
    </row>
    <row r="102" customFormat="false" ht="15" hidden="false" customHeight="false" outlineLevel="0" collapsed="false">
      <c r="A102" s="0" t="n">
        <v>101</v>
      </c>
      <c r="B102" s="0" t="n">
        <f aca="false">IFERROR(SMALL(Pipeline_Calc!$A$2:$A$5251,A102),"")</f>
        <v>46331.0016027</v>
      </c>
      <c r="C102" s="0" t="n">
        <f aca="false">IF(B102="","",MATCH(B102,Pipeline_Calc!$A$2:$A$5251,0))</f>
        <v>4077</v>
      </c>
    </row>
    <row r="103" customFormat="false" ht="15" hidden="false" customHeight="false" outlineLevel="0" collapsed="false">
      <c r="A103" s="0" t="n">
        <v>102</v>
      </c>
      <c r="B103" s="0" t="n">
        <f aca="false">IFERROR(SMALL(Pipeline_Calc!$A$2:$A$5251,A103),"")</f>
        <v>46332.0001014</v>
      </c>
      <c r="C103" s="0" t="n">
        <f aca="false">IF(B103="","",MATCH(B103,Pipeline_Calc!$A$2:$A$5251,0))</f>
        <v>14</v>
      </c>
    </row>
    <row r="104" customFormat="false" ht="15" hidden="false" customHeight="false" outlineLevel="0" collapsed="false">
      <c r="A104" s="0" t="n">
        <v>103</v>
      </c>
      <c r="B104" s="0" t="n">
        <f aca="false">IFERROR(SMALL(Pipeline_Calc!$A$2:$A$5251,A104),"")</f>
        <v>46332.0002014</v>
      </c>
      <c r="C104" s="0" t="n">
        <f aca="false">IF(B104="","",MATCH(B104,Pipeline_Calc!$A$2:$A$5251,0))</f>
        <v>214</v>
      </c>
    </row>
    <row r="105" customFormat="false" ht="15" hidden="false" customHeight="false" outlineLevel="0" collapsed="false">
      <c r="A105" s="0" t="n">
        <v>104</v>
      </c>
      <c r="B105" s="0" t="n">
        <f aca="false">IFERROR(SMALL(Pipeline_Calc!$A$2:$A$5251,A105),"")</f>
        <v>46332.0003014</v>
      </c>
      <c r="C105" s="0" t="n">
        <f aca="false">IF(B105="","",MATCH(B105,Pipeline_Calc!$A$2:$A$5251,0))</f>
        <v>414</v>
      </c>
    </row>
    <row r="106" customFormat="false" ht="15" hidden="false" customHeight="false" outlineLevel="0" collapsed="false">
      <c r="A106" s="0" t="n">
        <v>105</v>
      </c>
      <c r="B106" s="0" t="n">
        <f aca="false">IFERROR(SMALL(Pipeline_Calc!$A$2:$A$5251,A106),"")</f>
        <v>46332.0012013</v>
      </c>
      <c r="C106" s="0" t="n">
        <f aca="false">IF(B106="","",MATCH(B106,Pipeline_Calc!$A$2:$A$5251,0))</f>
        <v>1663</v>
      </c>
    </row>
    <row r="107" customFormat="false" ht="15" hidden="false" customHeight="false" outlineLevel="0" collapsed="false">
      <c r="A107" s="0" t="n">
        <v>106</v>
      </c>
      <c r="B107" s="0" t="n">
        <f aca="false">IFERROR(SMALL(Pipeline_Calc!$A$2:$A$5251,A107),"")</f>
        <v>46332.0012021</v>
      </c>
      <c r="C107" s="0" t="n">
        <f aca="false">IF(B107="","",MATCH(B107,Pipeline_Calc!$A$2:$A$5251,0))</f>
        <v>1671</v>
      </c>
    </row>
    <row r="108" customFormat="false" ht="15" hidden="false" customHeight="false" outlineLevel="0" collapsed="false">
      <c r="A108" s="0" t="n">
        <v>107</v>
      </c>
      <c r="B108" s="0" t="n">
        <f aca="false">IFERROR(SMALL(Pipeline_Calc!$A$2:$A$5251,A108),"")</f>
        <v>46332.001302</v>
      </c>
      <c r="C108" s="0" t="n">
        <f aca="false">IF(B108="","",MATCH(B108,Pipeline_Calc!$A$2:$A$5251,0))</f>
        <v>2270</v>
      </c>
    </row>
    <row r="109" customFormat="false" ht="15" hidden="false" customHeight="false" outlineLevel="0" collapsed="false">
      <c r="A109" s="0" t="n">
        <v>108</v>
      </c>
      <c r="B109" s="0" t="n">
        <f aca="false">IFERROR(SMALL(Pipeline_Calc!$A$2:$A$5251,A109),"")</f>
        <v>46332.0015012</v>
      </c>
      <c r="C109" s="0" t="n">
        <f aca="false">IF(B109="","",MATCH(B109,Pipeline_Calc!$A$2:$A$5251,0))</f>
        <v>3462</v>
      </c>
    </row>
    <row r="110" customFormat="false" ht="15" hidden="false" customHeight="false" outlineLevel="0" collapsed="false">
      <c r="A110" s="0" t="n">
        <v>109</v>
      </c>
      <c r="B110" s="0" t="n">
        <f aca="false">IFERROR(SMALL(Pipeline_Calc!$A$2:$A$5251,A110),"")</f>
        <v>46332.0015013</v>
      </c>
      <c r="C110" s="0" t="n">
        <f aca="false">IF(B110="","",MATCH(B110,Pipeline_Calc!$A$2:$A$5251,0))</f>
        <v>3463</v>
      </c>
    </row>
    <row r="111" customFormat="false" ht="15" hidden="false" customHeight="false" outlineLevel="0" collapsed="false">
      <c r="A111" s="0" t="n">
        <v>110</v>
      </c>
      <c r="B111" s="0" t="n">
        <f aca="false">IFERROR(SMALL(Pipeline_Calc!$A$2:$A$5251,A111),"")</f>
        <v>46332.0015022</v>
      </c>
      <c r="C111" s="0" t="n">
        <f aca="false">IF(B111="","",MATCH(B111,Pipeline_Calc!$A$2:$A$5251,0))</f>
        <v>3472</v>
      </c>
    </row>
    <row r="112" customFormat="false" ht="15" hidden="false" customHeight="false" outlineLevel="0" collapsed="false">
      <c r="A112" s="0" t="n">
        <v>111</v>
      </c>
      <c r="B112" s="0" t="n">
        <f aca="false">IFERROR(SMALL(Pipeline_Calc!$A$2:$A$5251,A112),"")</f>
        <v>46332.0016021</v>
      </c>
      <c r="C112" s="0" t="n">
        <f aca="false">IF(B112="","",MATCH(B112,Pipeline_Calc!$A$2:$A$5251,0))</f>
        <v>4071</v>
      </c>
    </row>
    <row r="113" customFormat="false" ht="15" hidden="false" customHeight="false" outlineLevel="0" collapsed="false">
      <c r="A113" s="0" t="n">
        <v>112</v>
      </c>
      <c r="B113" s="0" t="n">
        <f aca="false">IFERROR(SMALL(Pipeline_Calc!$A$2:$A$5251,A113),"")</f>
        <v>46335.0001008</v>
      </c>
      <c r="C113" s="0" t="n">
        <f aca="false">IF(B113="","",MATCH(B113,Pipeline_Calc!$A$2:$A$5251,0))</f>
        <v>8</v>
      </c>
    </row>
    <row r="114" customFormat="false" ht="15" hidden="false" customHeight="false" outlineLevel="0" collapsed="false">
      <c r="A114" s="0" t="n">
        <v>113</v>
      </c>
      <c r="B114" s="0" t="n">
        <f aca="false">IFERROR(SMALL(Pipeline_Calc!$A$2:$A$5251,A114),"")</f>
        <v>46335.0002008</v>
      </c>
      <c r="C114" s="0" t="n">
        <f aca="false">IF(B114="","",MATCH(B114,Pipeline_Calc!$A$2:$A$5251,0))</f>
        <v>208</v>
      </c>
    </row>
    <row r="115" customFormat="false" ht="15" hidden="false" customHeight="false" outlineLevel="0" collapsed="false">
      <c r="A115" s="0" t="n">
        <v>114</v>
      </c>
      <c r="B115" s="0" t="n">
        <f aca="false">IFERROR(SMALL(Pipeline_Calc!$A$2:$A$5251,A115),"")</f>
        <v>46335.0003008</v>
      </c>
      <c r="C115" s="0" t="n">
        <f aca="false">IF(B115="","",MATCH(B115,Pipeline_Calc!$A$2:$A$5251,0))</f>
        <v>408</v>
      </c>
    </row>
    <row r="116" customFormat="false" ht="15" hidden="false" customHeight="false" outlineLevel="0" collapsed="false">
      <c r="A116" s="0" t="n">
        <v>115</v>
      </c>
      <c r="B116" s="0" t="n">
        <f aca="false">IFERROR(SMALL(Pipeline_Calc!$A$2:$A$5251,A116),"")</f>
        <v>46335.0004008</v>
      </c>
      <c r="C116" s="0" t="n">
        <f aca="false">IF(B116="","",MATCH(B116,Pipeline_Calc!$A$2:$A$5251,0))</f>
        <v>608</v>
      </c>
    </row>
    <row r="117" customFormat="false" ht="15" hidden="false" customHeight="false" outlineLevel="0" collapsed="false">
      <c r="A117" s="0" t="n">
        <v>116</v>
      </c>
      <c r="B117" s="0" t="n">
        <f aca="false">IFERROR(SMALL(Pipeline_Calc!$A$2:$A$5251,A117),"")</f>
        <v>46335.0005008</v>
      </c>
      <c r="C117" s="0" t="n">
        <f aca="false">IF(B117="","",MATCH(B117,Pipeline_Calc!$A$2:$A$5251,0))</f>
        <v>808</v>
      </c>
    </row>
    <row r="118" customFormat="false" ht="15" hidden="false" customHeight="false" outlineLevel="0" collapsed="false">
      <c r="A118" s="0" t="n">
        <v>117</v>
      </c>
      <c r="B118" s="0" t="n">
        <f aca="false">IFERROR(SMALL(Pipeline_Calc!$A$2:$A$5251,A118),"")</f>
        <v>46335.0006008</v>
      </c>
      <c r="C118" s="0" t="n">
        <f aca="false">IF(B118="","",MATCH(B118,Pipeline_Calc!$A$2:$A$5251,0))</f>
        <v>1008</v>
      </c>
    </row>
    <row r="119" customFormat="false" ht="15" hidden="false" customHeight="false" outlineLevel="0" collapsed="false">
      <c r="A119" s="0" t="n">
        <v>118</v>
      </c>
      <c r="B119" s="0" t="n">
        <f aca="false">IFERROR(SMALL(Pipeline_Calc!$A$2:$A$5251,A119),"")</f>
        <v>46335.0012015</v>
      </c>
      <c r="C119" s="0" t="n">
        <f aca="false">IF(B119="","",MATCH(B119,Pipeline_Calc!$A$2:$A$5251,0))</f>
        <v>1665</v>
      </c>
    </row>
    <row r="120" customFormat="false" ht="15" hidden="false" customHeight="false" outlineLevel="0" collapsed="false">
      <c r="A120" s="0" t="n">
        <v>119</v>
      </c>
      <c r="B120" s="0" t="n">
        <f aca="false">IFERROR(SMALL(Pipeline_Calc!$A$2:$A$5251,A120),"")</f>
        <v>46335.0012034</v>
      </c>
      <c r="C120" s="0" t="n">
        <f aca="false">IF(B120="","",MATCH(B120,Pipeline_Calc!$A$2:$A$5251,0))</f>
        <v>1684</v>
      </c>
    </row>
    <row r="121" customFormat="false" ht="15" hidden="false" customHeight="false" outlineLevel="0" collapsed="false">
      <c r="A121" s="0" t="n">
        <v>120</v>
      </c>
      <c r="B121" s="0" t="n">
        <f aca="false">IFERROR(SMALL(Pipeline_Calc!$A$2:$A$5251,A121),"")</f>
        <v>46335.0013033</v>
      </c>
      <c r="C121" s="0" t="n">
        <f aca="false">IF(B121="","",MATCH(B121,Pipeline_Calc!$A$2:$A$5251,0))</f>
        <v>2283</v>
      </c>
    </row>
    <row r="122" customFormat="false" ht="15" hidden="false" customHeight="false" outlineLevel="0" collapsed="false">
      <c r="A122" s="0" t="n">
        <v>121</v>
      </c>
      <c r="B122" s="0" t="n">
        <f aca="false">IFERROR(SMALL(Pipeline_Calc!$A$2:$A$5251,A122),"")</f>
        <v>46335.0015016</v>
      </c>
      <c r="C122" s="0" t="n">
        <f aca="false">IF(B122="","",MATCH(B122,Pipeline_Calc!$A$2:$A$5251,0))</f>
        <v>3466</v>
      </c>
    </row>
    <row r="123" customFormat="false" ht="15" hidden="false" customHeight="false" outlineLevel="0" collapsed="false">
      <c r="A123" s="0" t="n">
        <v>122</v>
      </c>
      <c r="B123" s="0" t="n">
        <f aca="false">IFERROR(SMALL(Pipeline_Calc!$A$2:$A$5251,A123),"")</f>
        <v>46335.0015035</v>
      </c>
      <c r="C123" s="0" t="n">
        <f aca="false">IF(B123="","",MATCH(B123,Pipeline_Calc!$A$2:$A$5251,0))</f>
        <v>3485</v>
      </c>
    </row>
    <row r="124" customFormat="false" ht="15" hidden="false" customHeight="false" outlineLevel="0" collapsed="false">
      <c r="A124" s="0" t="n">
        <v>123</v>
      </c>
      <c r="B124" s="0" t="n">
        <f aca="false">IFERROR(SMALL(Pipeline_Calc!$A$2:$A$5251,A124),"")</f>
        <v>46335.0016034</v>
      </c>
      <c r="C124" s="0" t="n">
        <f aca="false">IF(B124="","",MATCH(B124,Pipeline_Calc!$A$2:$A$5251,0))</f>
        <v>4084</v>
      </c>
    </row>
    <row r="125" customFormat="false" ht="15" hidden="false" customHeight="false" outlineLevel="0" collapsed="false">
      <c r="A125" s="0" t="n">
        <v>124</v>
      </c>
      <c r="B125" s="0" t="n">
        <f aca="false">IFERROR(SMALL(Pipeline_Calc!$A$2:$A$5251,A125),"")</f>
        <v>46336.0001009</v>
      </c>
      <c r="C125" s="0" t="n">
        <f aca="false">IF(B125="","",MATCH(B125,Pipeline_Calc!$A$2:$A$5251,0))</f>
        <v>9</v>
      </c>
    </row>
    <row r="126" customFormat="false" ht="15" hidden="false" customHeight="false" outlineLevel="0" collapsed="false">
      <c r="A126" s="0" t="n">
        <v>125</v>
      </c>
      <c r="B126" s="0" t="n">
        <f aca="false">IFERROR(SMALL(Pipeline_Calc!$A$2:$A$5251,A126),"")</f>
        <v>46336.000101</v>
      </c>
      <c r="C126" s="0" t="n">
        <f aca="false">IF(B126="","",MATCH(B126,Pipeline_Calc!$A$2:$A$5251,0))</f>
        <v>10</v>
      </c>
    </row>
    <row r="127" customFormat="false" ht="15" hidden="false" customHeight="false" outlineLevel="0" collapsed="false">
      <c r="A127" s="0" t="n">
        <v>126</v>
      </c>
      <c r="B127" s="0" t="n">
        <f aca="false">IFERROR(SMALL(Pipeline_Calc!$A$2:$A$5251,A127),"")</f>
        <v>46336.000201</v>
      </c>
      <c r="C127" s="0" t="n">
        <f aca="false">IF(B127="","",MATCH(B127,Pipeline_Calc!$A$2:$A$5251,0))</f>
        <v>210</v>
      </c>
    </row>
    <row r="128" customFormat="false" ht="15" hidden="false" customHeight="false" outlineLevel="0" collapsed="false">
      <c r="A128" s="0" t="n">
        <v>127</v>
      </c>
      <c r="B128" s="0" t="n">
        <f aca="false">IFERROR(SMALL(Pipeline_Calc!$A$2:$A$5251,A128),"")</f>
        <v>46336.000301</v>
      </c>
      <c r="C128" s="0" t="n">
        <f aca="false">IF(B128="","",MATCH(B128,Pipeline_Calc!$A$2:$A$5251,0))</f>
        <v>410</v>
      </c>
    </row>
    <row r="129" customFormat="false" ht="15" hidden="false" customHeight="false" outlineLevel="0" collapsed="false">
      <c r="A129" s="0" t="n">
        <v>128</v>
      </c>
      <c r="B129" s="0" t="n">
        <f aca="false">IFERROR(SMALL(Pipeline_Calc!$A$2:$A$5251,A129),"")</f>
        <v>46336.0004009</v>
      </c>
      <c r="C129" s="0" t="n">
        <f aca="false">IF(B129="","",MATCH(B129,Pipeline_Calc!$A$2:$A$5251,0))</f>
        <v>609</v>
      </c>
    </row>
    <row r="130" customFormat="false" ht="15" hidden="false" customHeight="false" outlineLevel="0" collapsed="false">
      <c r="A130" s="0" t="n">
        <v>129</v>
      </c>
      <c r="B130" s="0" t="n">
        <f aca="false">IFERROR(SMALL(Pipeline_Calc!$A$2:$A$5251,A130),"")</f>
        <v>46336.0012028</v>
      </c>
      <c r="C130" s="0" t="n">
        <f aca="false">IF(B130="","",MATCH(B130,Pipeline_Calc!$A$2:$A$5251,0))</f>
        <v>1678</v>
      </c>
    </row>
    <row r="131" customFormat="false" ht="15" hidden="false" customHeight="false" outlineLevel="0" collapsed="false">
      <c r="A131" s="0" t="n">
        <v>130</v>
      </c>
      <c r="B131" s="0" t="n">
        <f aca="false">IFERROR(SMALL(Pipeline_Calc!$A$2:$A$5251,A131),"")</f>
        <v>46336.0013027</v>
      </c>
      <c r="C131" s="0" t="n">
        <f aca="false">IF(B131="","",MATCH(B131,Pipeline_Calc!$A$2:$A$5251,0))</f>
        <v>2277</v>
      </c>
    </row>
    <row r="132" customFormat="false" ht="15" hidden="false" customHeight="false" outlineLevel="0" collapsed="false">
      <c r="A132" s="0" t="n">
        <v>131</v>
      </c>
      <c r="B132" s="0" t="n">
        <f aca="false">IFERROR(SMALL(Pipeline_Calc!$A$2:$A$5251,A132),"")</f>
        <v>46336.0015014</v>
      </c>
      <c r="C132" s="0" t="n">
        <f aca="false">IF(B132="","",MATCH(B132,Pipeline_Calc!$A$2:$A$5251,0))</f>
        <v>3464</v>
      </c>
    </row>
    <row r="133" customFormat="false" ht="15" hidden="false" customHeight="false" outlineLevel="0" collapsed="false">
      <c r="A133" s="0" t="n">
        <v>132</v>
      </c>
      <c r="B133" s="0" t="n">
        <f aca="false">IFERROR(SMALL(Pipeline_Calc!$A$2:$A$5251,A133),"")</f>
        <v>46336.0015029</v>
      </c>
      <c r="C133" s="0" t="n">
        <f aca="false">IF(B133="","",MATCH(B133,Pipeline_Calc!$A$2:$A$5251,0))</f>
        <v>3479</v>
      </c>
    </row>
    <row r="134" customFormat="false" ht="15" hidden="false" customHeight="false" outlineLevel="0" collapsed="false">
      <c r="A134" s="0" t="n">
        <v>133</v>
      </c>
      <c r="B134" s="0" t="n">
        <f aca="false">IFERROR(SMALL(Pipeline_Calc!$A$2:$A$5251,A134),"")</f>
        <v>46336.0016028</v>
      </c>
      <c r="C134" s="0" t="n">
        <f aca="false">IF(B134="","",MATCH(B134,Pipeline_Calc!$A$2:$A$5251,0))</f>
        <v>4078</v>
      </c>
    </row>
    <row r="135" customFormat="false" ht="15" hidden="false" customHeight="false" outlineLevel="0" collapsed="false">
      <c r="A135" s="0" t="n">
        <v>134</v>
      </c>
      <c r="B135" s="0" t="n">
        <f aca="false">IFERROR(SMALL(Pipeline_Calc!$A$2:$A$5251,A135),"")</f>
        <v>46337.000401</v>
      </c>
      <c r="C135" s="0" t="n">
        <f aca="false">IF(B135="","",MATCH(B135,Pipeline_Calc!$A$2:$A$5251,0))</f>
        <v>610</v>
      </c>
    </row>
    <row r="136" customFormat="false" ht="15" hidden="false" customHeight="false" outlineLevel="0" collapsed="false">
      <c r="A136" s="0" t="n">
        <v>135</v>
      </c>
      <c r="B136" s="0" t="n">
        <f aca="false">IFERROR(SMALL(Pipeline_Calc!$A$2:$A$5251,A136),"")</f>
        <v>46337.000601</v>
      </c>
      <c r="C136" s="0" t="n">
        <f aca="false">IF(B136="","",MATCH(B136,Pipeline_Calc!$A$2:$A$5251,0))</f>
        <v>1010</v>
      </c>
    </row>
    <row r="137" customFormat="false" ht="15" hidden="false" customHeight="false" outlineLevel="0" collapsed="false">
      <c r="A137" s="0" t="n">
        <v>136</v>
      </c>
      <c r="B137" s="0" t="n">
        <f aca="false">IFERROR(SMALL(Pipeline_Calc!$A$2:$A$5251,A137),"")</f>
        <v>46338.0001011</v>
      </c>
      <c r="C137" s="0" t="n">
        <f aca="false">IF(B137="","",MATCH(B137,Pipeline_Calc!$A$2:$A$5251,0))</f>
        <v>11</v>
      </c>
    </row>
    <row r="138" customFormat="false" ht="15" hidden="false" customHeight="false" outlineLevel="0" collapsed="false">
      <c r="A138" s="0" t="n">
        <v>137</v>
      </c>
      <c r="B138" s="0" t="n">
        <f aca="false">IFERROR(SMALL(Pipeline_Calc!$A$2:$A$5251,A138),"")</f>
        <v>46338.0001012</v>
      </c>
      <c r="C138" s="0" t="n">
        <f aca="false">IF(B138="","",MATCH(B138,Pipeline_Calc!$A$2:$A$5251,0))</f>
        <v>12</v>
      </c>
    </row>
    <row r="139" customFormat="false" ht="15" hidden="false" customHeight="false" outlineLevel="0" collapsed="false">
      <c r="A139" s="0" t="n">
        <v>138</v>
      </c>
      <c r="B139" s="0" t="n">
        <f aca="false">IFERROR(SMALL(Pipeline_Calc!$A$2:$A$5251,A139),"")</f>
        <v>46338.0001016</v>
      </c>
      <c r="C139" s="0" t="n">
        <f aca="false">IF(B139="","",MATCH(B139,Pipeline_Calc!$A$2:$A$5251,0))</f>
        <v>16</v>
      </c>
    </row>
    <row r="140" customFormat="false" ht="15" hidden="false" customHeight="false" outlineLevel="0" collapsed="false">
      <c r="A140" s="0" t="n">
        <v>139</v>
      </c>
      <c r="B140" s="0" t="n">
        <f aca="false">IFERROR(SMALL(Pipeline_Calc!$A$2:$A$5251,A140),"")</f>
        <v>46338.0003012</v>
      </c>
      <c r="C140" s="0" t="n">
        <f aca="false">IF(B140="","",MATCH(B140,Pipeline_Calc!$A$2:$A$5251,0))</f>
        <v>412</v>
      </c>
    </row>
    <row r="141" customFormat="false" ht="15" hidden="false" customHeight="false" outlineLevel="0" collapsed="false">
      <c r="A141" s="0" t="n">
        <v>140</v>
      </c>
      <c r="B141" s="0" t="n">
        <f aca="false">IFERROR(SMALL(Pipeline_Calc!$A$2:$A$5251,A141),"")</f>
        <v>46338.0004011</v>
      </c>
      <c r="C141" s="0" t="n">
        <f aca="false">IF(B141="","",MATCH(B141,Pipeline_Calc!$A$2:$A$5251,0))</f>
        <v>611</v>
      </c>
    </row>
    <row r="142" customFormat="false" ht="15" hidden="false" customHeight="false" outlineLevel="0" collapsed="false">
      <c r="A142" s="0" t="n">
        <v>141</v>
      </c>
      <c r="B142" s="0" t="n">
        <f aca="false">IFERROR(SMALL(Pipeline_Calc!$A$2:$A$5251,A142),"")</f>
        <v>46338.0004012</v>
      </c>
      <c r="C142" s="0" t="n">
        <f aca="false">IF(B142="","",MATCH(B142,Pipeline_Calc!$A$2:$A$5251,0))</f>
        <v>612</v>
      </c>
    </row>
    <row r="143" customFormat="false" ht="15" hidden="false" customHeight="false" outlineLevel="0" collapsed="false">
      <c r="A143" s="0" t="n">
        <v>142</v>
      </c>
      <c r="B143" s="0" t="n">
        <f aca="false">IFERROR(SMALL(Pipeline_Calc!$A$2:$A$5251,A143),"")</f>
        <v>46338.0005011</v>
      </c>
      <c r="C143" s="0" t="n">
        <f aca="false">IF(B143="","",MATCH(B143,Pipeline_Calc!$A$2:$A$5251,0))</f>
        <v>811</v>
      </c>
    </row>
    <row r="144" customFormat="false" ht="15" hidden="false" customHeight="false" outlineLevel="0" collapsed="false">
      <c r="A144" s="0" t="n">
        <v>143</v>
      </c>
      <c r="B144" s="0" t="n">
        <f aca="false">IFERROR(SMALL(Pipeline_Calc!$A$2:$A$5251,A144),"")</f>
        <v>46338.0005012</v>
      </c>
      <c r="C144" s="0" t="n">
        <f aca="false">IF(B144="","",MATCH(B144,Pipeline_Calc!$A$2:$A$5251,0))</f>
        <v>812</v>
      </c>
    </row>
    <row r="145" customFormat="false" ht="15" hidden="false" customHeight="false" outlineLevel="0" collapsed="false">
      <c r="A145" s="0" t="n">
        <v>144</v>
      </c>
      <c r="B145" s="0" t="n">
        <f aca="false">IFERROR(SMALL(Pipeline_Calc!$A$2:$A$5251,A145),"")</f>
        <v>46338.0006011</v>
      </c>
      <c r="C145" s="0" t="n">
        <f aca="false">IF(B145="","",MATCH(B145,Pipeline_Calc!$A$2:$A$5251,0))</f>
        <v>1011</v>
      </c>
    </row>
    <row r="146" customFormat="false" ht="15" hidden="false" customHeight="false" outlineLevel="0" collapsed="false">
      <c r="A146" s="0" t="n">
        <v>145</v>
      </c>
      <c r="B146" s="0" t="n">
        <f aca="false">IFERROR(SMALL(Pipeline_Calc!$A$2:$A$5251,A146),"")</f>
        <v>46338.0007011</v>
      </c>
      <c r="C146" s="0" t="n">
        <f aca="false">IF(B146="","",MATCH(B146,Pipeline_Calc!$A$2:$A$5251,0))</f>
        <v>1211</v>
      </c>
    </row>
    <row r="147" customFormat="false" ht="15" hidden="false" customHeight="false" outlineLevel="0" collapsed="false">
      <c r="A147" s="0" t="n">
        <v>146</v>
      </c>
      <c r="B147" s="0" t="n">
        <f aca="false">IFERROR(SMALL(Pipeline_Calc!$A$2:$A$5251,A147),"")</f>
        <v>46338.0007012</v>
      </c>
      <c r="C147" s="0" t="n">
        <f aca="false">IF(B147="","",MATCH(B147,Pipeline_Calc!$A$2:$A$5251,0))</f>
        <v>1212</v>
      </c>
    </row>
    <row r="148" customFormat="false" ht="15" hidden="false" customHeight="false" outlineLevel="0" collapsed="false">
      <c r="A148" s="0" t="n">
        <v>147</v>
      </c>
      <c r="B148" s="0" t="n">
        <f aca="false">IFERROR(SMALL(Pipeline_Calc!$A$2:$A$5251,A148),"")</f>
        <v>46338.0012022</v>
      </c>
      <c r="C148" s="0" t="n">
        <f aca="false">IF(B148="","",MATCH(B148,Pipeline_Calc!$A$2:$A$5251,0))</f>
        <v>1672</v>
      </c>
    </row>
    <row r="149" customFormat="false" ht="15" hidden="false" customHeight="false" outlineLevel="0" collapsed="false">
      <c r="A149" s="0" t="n">
        <v>148</v>
      </c>
      <c r="B149" s="0" t="n">
        <f aca="false">IFERROR(SMALL(Pipeline_Calc!$A$2:$A$5251,A149),"")</f>
        <v>46338.0013021</v>
      </c>
      <c r="C149" s="0" t="n">
        <f aca="false">IF(B149="","",MATCH(B149,Pipeline_Calc!$A$2:$A$5251,0))</f>
        <v>2271</v>
      </c>
    </row>
    <row r="150" customFormat="false" ht="15" hidden="false" customHeight="false" outlineLevel="0" collapsed="false">
      <c r="A150" s="0" t="n">
        <v>149</v>
      </c>
      <c r="B150" s="0" t="n">
        <f aca="false">IFERROR(SMALL(Pipeline_Calc!$A$2:$A$5251,A150),"")</f>
        <v>46338.0015015</v>
      </c>
      <c r="C150" s="0" t="n">
        <f aca="false">IF(B150="","",MATCH(B150,Pipeline_Calc!$A$2:$A$5251,0))</f>
        <v>3465</v>
      </c>
    </row>
    <row r="151" customFormat="false" ht="15" hidden="false" customHeight="false" outlineLevel="0" collapsed="false">
      <c r="A151" s="0" t="n">
        <v>150</v>
      </c>
      <c r="B151" s="0" t="n">
        <f aca="false">IFERROR(SMALL(Pipeline_Calc!$A$2:$A$5251,A151),"")</f>
        <v>46338.0015023</v>
      </c>
      <c r="C151" s="0" t="n">
        <f aca="false">IF(B151="","",MATCH(B151,Pipeline_Calc!$A$2:$A$5251,0))</f>
        <v>3473</v>
      </c>
    </row>
    <row r="152" customFormat="false" ht="15" hidden="false" customHeight="false" outlineLevel="0" collapsed="false">
      <c r="A152" s="0" t="n">
        <v>151</v>
      </c>
      <c r="B152" s="0" t="n">
        <f aca="false">IFERROR(SMALL(Pipeline_Calc!$A$2:$A$5251,A152),"")</f>
        <v>46338.0016022</v>
      </c>
      <c r="C152" s="0" t="n">
        <f aca="false">IF(B152="","",MATCH(B152,Pipeline_Calc!$A$2:$A$5251,0))</f>
        <v>4072</v>
      </c>
    </row>
    <row r="153" customFormat="false" ht="15" hidden="false" customHeight="false" outlineLevel="0" collapsed="false">
      <c r="A153" s="0" t="n">
        <v>152</v>
      </c>
      <c r="B153" s="0" t="n">
        <f aca="false">IFERROR(SMALL(Pipeline_Calc!$A$2:$A$5251,A153),"")</f>
        <v>46339.0001013</v>
      </c>
      <c r="C153" s="0" t="n">
        <f aca="false">IF(B153="","",MATCH(B153,Pipeline_Calc!$A$2:$A$5251,0))</f>
        <v>13</v>
      </c>
    </row>
    <row r="154" customFormat="false" ht="15" hidden="false" customHeight="false" outlineLevel="0" collapsed="false">
      <c r="A154" s="0" t="n">
        <v>153</v>
      </c>
      <c r="B154" s="0" t="n">
        <f aca="false">IFERROR(SMALL(Pipeline_Calc!$A$2:$A$5251,A154),"")</f>
        <v>46339.0002013</v>
      </c>
      <c r="C154" s="0" t="n">
        <f aca="false">IF(B154="","",MATCH(B154,Pipeline_Calc!$A$2:$A$5251,0))</f>
        <v>213</v>
      </c>
    </row>
    <row r="155" customFormat="false" ht="15" hidden="false" customHeight="false" outlineLevel="0" collapsed="false">
      <c r="A155" s="0" t="n">
        <v>154</v>
      </c>
      <c r="B155" s="0" t="n">
        <f aca="false">IFERROR(SMALL(Pipeline_Calc!$A$2:$A$5251,A155),"")</f>
        <v>46339.0004013</v>
      </c>
      <c r="C155" s="0" t="n">
        <f aca="false">IF(B155="","",MATCH(B155,Pipeline_Calc!$A$2:$A$5251,0))</f>
        <v>613</v>
      </c>
    </row>
    <row r="156" customFormat="false" ht="15" hidden="false" customHeight="false" outlineLevel="0" collapsed="false">
      <c r="A156" s="0" t="n">
        <v>155</v>
      </c>
      <c r="B156" s="0" t="n">
        <f aca="false">IFERROR(SMALL(Pipeline_Calc!$A$2:$A$5251,A156),"")</f>
        <v>46339.0004014</v>
      </c>
      <c r="C156" s="0" t="n">
        <f aca="false">IF(B156="","",MATCH(B156,Pipeline_Calc!$A$2:$A$5251,0))</f>
        <v>614</v>
      </c>
    </row>
    <row r="157" customFormat="false" ht="15" hidden="false" customHeight="false" outlineLevel="0" collapsed="false">
      <c r="A157" s="0" t="n">
        <v>156</v>
      </c>
      <c r="B157" s="0" t="n">
        <f aca="false">IFERROR(SMALL(Pipeline_Calc!$A$2:$A$5251,A157),"")</f>
        <v>46339.0005014</v>
      </c>
      <c r="C157" s="0" t="n">
        <f aca="false">IF(B157="","",MATCH(B157,Pipeline_Calc!$A$2:$A$5251,0))</f>
        <v>814</v>
      </c>
    </row>
    <row r="158" customFormat="false" ht="15" hidden="false" customHeight="false" outlineLevel="0" collapsed="false">
      <c r="A158" s="0" t="n">
        <v>157</v>
      </c>
      <c r="B158" s="0" t="n">
        <f aca="false">IFERROR(SMALL(Pipeline_Calc!$A$2:$A$5251,A158),"")</f>
        <v>46339.0006013</v>
      </c>
      <c r="C158" s="0" t="n">
        <f aca="false">IF(B158="","",MATCH(B158,Pipeline_Calc!$A$2:$A$5251,0))</f>
        <v>1013</v>
      </c>
    </row>
    <row r="159" customFormat="false" ht="15" hidden="false" customHeight="false" outlineLevel="0" collapsed="false">
      <c r="A159" s="0" t="n">
        <v>158</v>
      </c>
      <c r="B159" s="0" t="n">
        <f aca="false">IFERROR(SMALL(Pipeline_Calc!$A$2:$A$5251,A159),"")</f>
        <v>46339.0006014</v>
      </c>
      <c r="C159" s="0" t="n">
        <f aca="false">IF(B159="","",MATCH(B159,Pipeline_Calc!$A$2:$A$5251,0))</f>
        <v>1014</v>
      </c>
    </row>
    <row r="160" customFormat="false" ht="15" hidden="false" customHeight="false" outlineLevel="0" collapsed="false">
      <c r="A160" s="0" t="n">
        <v>159</v>
      </c>
      <c r="B160" s="0" t="n">
        <f aca="false">IFERROR(SMALL(Pipeline_Calc!$A$2:$A$5251,A160),"")</f>
        <v>46339.0012016</v>
      </c>
      <c r="C160" s="0" t="n">
        <f aca="false">IF(B160="","",MATCH(B160,Pipeline_Calc!$A$2:$A$5251,0))</f>
        <v>1666</v>
      </c>
    </row>
    <row r="161" customFormat="false" ht="15" hidden="false" customHeight="false" outlineLevel="0" collapsed="false">
      <c r="A161" s="0" t="n">
        <v>160</v>
      </c>
      <c r="B161" s="0" t="n">
        <f aca="false">IFERROR(SMALL(Pipeline_Calc!$A$2:$A$5251,A161),"")</f>
        <v>46339.0012035</v>
      </c>
      <c r="C161" s="0" t="n">
        <f aca="false">IF(B161="","",MATCH(B161,Pipeline_Calc!$A$2:$A$5251,0))</f>
        <v>1685</v>
      </c>
    </row>
    <row r="162" customFormat="false" ht="15" hidden="false" customHeight="false" outlineLevel="0" collapsed="false">
      <c r="A162" s="0" t="n">
        <v>161</v>
      </c>
      <c r="B162" s="0" t="n">
        <f aca="false">IFERROR(SMALL(Pipeline_Calc!$A$2:$A$5251,A162),"")</f>
        <v>46339.0013015</v>
      </c>
      <c r="C162" s="0" t="n">
        <f aca="false">IF(B162="","",MATCH(B162,Pipeline_Calc!$A$2:$A$5251,0))</f>
        <v>2265</v>
      </c>
    </row>
    <row r="163" customFormat="false" ht="15" hidden="false" customHeight="false" outlineLevel="0" collapsed="false">
      <c r="A163" s="0" t="n">
        <v>162</v>
      </c>
      <c r="B163" s="0" t="n">
        <f aca="false">IFERROR(SMALL(Pipeline_Calc!$A$2:$A$5251,A163),"")</f>
        <v>46339.0015017</v>
      </c>
      <c r="C163" s="0" t="n">
        <f aca="false">IF(B163="","",MATCH(B163,Pipeline_Calc!$A$2:$A$5251,0))</f>
        <v>3467</v>
      </c>
    </row>
    <row r="164" customFormat="false" ht="15" hidden="false" customHeight="false" outlineLevel="0" collapsed="false">
      <c r="A164" s="0" t="n">
        <v>163</v>
      </c>
      <c r="B164" s="0" t="n">
        <f aca="false">IFERROR(SMALL(Pipeline_Calc!$A$2:$A$5251,A164),"")</f>
        <v>46339.0015036</v>
      </c>
      <c r="C164" s="0" t="n">
        <f aca="false">IF(B164="","",MATCH(B164,Pipeline_Calc!$A$2:$A$5251,0))</f>
        <v>3486</v>
      </c>
    </row>
    <row r="165" customFormat="false" ht="15" hidden="false" customHeight="false" outlineLevel="0" collapsed="false">
      <c r="A165" s="0" t="n">
        <v>164</v>
      </c>
      <c r="B165" s="0" t="n">
        <f aca="false">IFERROR(SMALL(Pipeline_Calc!$A$2:$A$5251,A165),"")</f>
        <v>46339.0016016</v>
      </c>
      <c r="C165" s="0" t="n">
        <f aca="false">IF(B165="","",MATCH(B165,Pipeline_Calc!$A$2:$A$5251,0))</f>
        <v>4066</v>
      </c>
    </row>
    <row r="166" customFormat="false" ht="15" hidden="false" customHeight="false" outlineLevel="0" collapsed="false">
      <c r="A166" s="0" t="n">
        <v>165</v>
      </c>
      <c r="B166" s="0" t="n">
        <f aca="false">IFERROR(SMALL(Pipeline_Calc!$A$2:$A$5251,A166),"")</f>
        <v>46342.0001015</v>
      </c>
      <c r="C166" s="0" t="n">
        <f aca="false">IF(B166="","",MATCH(B166,Pipeline_Calc!$A$2:$A$5251,0))</f>
        <v>15</v>
      </c>
    </row>
    <row r="167" customFormat="false" ht="15" hidden="false" customHeight="false" outlineLevel="0" collapsed="false">
      <c r="A167" s="0" t="n">
        <v>166</v>
      </c>
      <c r="B167" s="0" t="n">
        <f aca="false">IFERROR(SMALL(Pipeline_Calc!$A$2:$A$5251,A167),"")</f>
        <v>46342.0002015</v>
      </c>
      <c r="C167" s="0" t="n">
        <f aca="false">IF(B167="","",MATCH(B167,Pipeline_Calc!$A$2:$A$5251,0))</f>
        <v>215</v>
      </c>
    </row>
    <row r="168" customFormat="false" ht="15" hidden="false" customHeight="false" outlineLevel="0" collapsed="false">
      <c r="A168" s="0" t="n">
        <v>167</v>
      </c>
      <c r="B168" s="0" t="n">
        <f aca="false">IFERROR(SMALL(Pipeline_Calc!$A$2:$A$5251,A168),"")</f>
        <v>46342.0012029</v>
      </c>
      <c r="C168" s="0" t="n">
        <f aca="false">IF(B168="","",MATCH(B168,Pipeline_Calc!$A$2:$A$5251,0))</f>
        <v>1679</v>
      </c>
    </row>
    <row r="169" customFormat="false" ht="15" hidden="false" customHeight="false" outlineLevel="0" collapsed="false">
      <c r="A169" s="0" t="n">
        <v>168</v>
      </c>
      <c r="B169" s="0" t="n">
        <f aca="false">IFERROR(SMALL(Pipeline_Calc!$A$2:$A$5251,A169),"")</f>
        <v>46342.0013028</v>
      </c>
      <c r="C169" s="0" t="n">
        <f aca="false">IF(B169="","",MATCH(B169,Pipeline_Calc!$A$2:$A$5251,0))</f>
        <v>2278</v>
      </c>
    </row>
    <row r="170" customFormat="false" ht="15" hidden="false" customHeight="false" outlineLevel="0" collapsed="false">
      <c r="A170" s="0" t="n">
        <v>169</v>
      </c>
      <c r="B170" s="0" t="n">
        <f aca="false">IFERROR(SMALL(Pipeline_Calc!$A$2:$A$5251,A170),"")</f>
        <v>46342.0014014</v>
      </c>
      <c r="C170" s="0" t="n">
        <f aca="false">IF(B170="","",MATCH(B170,Pipeline_Calc!$A$2:$A$5251,0))</f>
        <v>2864</v>
      </c>
    </row>
    <row r="171" customFormat="false" ht="15" hidden="false" customHeight="false" outlineLevel="0" collapsed="false">
      <c r="A171" s="0" t="n">
        <v>170</v>
      </c>
      <c r="B171" s="0" t="n">
        <f aca="false">IFERROR(SMALL(Pipeline_Calc!$A$2:$A$5251,A171),"")</f>
        <v>46342.001503</v>
      </c>
      <c r="C171" s="0" t="n">
        <f aca="false">IF(B171="","",MATCH(B171,Pipeline_Calc!$A$2:$A$5251,0))</f>
        <v>3480</v>
      </c>
    </row>
    <row r="172" customFormat="false" ht="15" hidden="false" customHeight="false" outlineLevel="0" collapsed="false">
      <c r="A172" s="0" t="n">
        <v>171</v>
      </c>
      <c r="B172" s="0" t="n">
        <f aca="false">IFERROR(SMALL(Pipeline_Calc!$A$2:$A$5251,A172),"")</f>
        <v>46342.0016029</v>
      </c>
      <c r="C172" s="0" t="n">
        <f aca="false">IF(B172="","",MATCH(B172,Pipeline_Calc!$A$2:$A$5251,0))</f>
        <v>4079</v>
      </c>
    </row>
    <row r="173" customFormat="false" ht="15" hidden="false" customHeight="false" outlineLevel="0" collapsed="false">
      <c r="A173" s="0" t="n">
        <v>172</v>
      </c>
      <c r="B173" s="0" t="n">
        <f aca="false">IFERROR(SMALL(Pipeline_Calc!$A$2:$A$5251,A173),"")</f>
        <v>46343.0004015</v>
      </c>
      <c r="C173" s="0" t="n">
        <f aca="false">IF(B173="","",MATCH(B173,Pipeline_Calc!$A$2:$A$5251,0))</f>
        <v>615</v>
      </c>
    </row>
    <row r="174" customFormat="false" ht="15" hidden="false" customHeight="false" outlineLevel="0" collapsed="false">
      <c r="A174" s="0" t="n">
        <v>173</v>
      </c>
      <c r="B174" s="0" t="n">
        <f aca="false">IFERROR(SMALL(Pipeline_Calc!$A$2:$A$5251,A174),"")</f>
        <v>46343.0005015</v>
      </c>
      <c r="C174" s="0" t="n">
        <f aca="false">IF(B174="","",MATCH(B174,Pipeline_Calc!$A$2:$A$5251,0))</f>
        <v>815</v>
      </c>
    </row>
    <row r="175" customFormat="false" ht="15" hidden="false" customHeight="false" outlineLevel="0" collapsed="false">
      <c r="A175" s="0" t="n">
        <v>174</v>
      </c>
      <c r="B175" s="0" t="n">
        <f aca="false">IFERROR(SMALL(Pipeline_Calc!$A$2:$A$5251,A175),"")</f>
        <v>46343.0006015</v>
      </c>
      <c r="C175" s="0" t="n">
        <f aca="false">IF(B175="","",MATCH(B175,Pipeline_Calc!$A$2:$A$5251,0))</f>
        <v>1015</v>
      </c>
    </row>
    <row r="176" customFormat="false" ht="15" hidden="false" customHeight="false" outlineLevel="0" collapsed="false">
      <c r="A176" s="0" t="n">
        <v>175</v>
      </c>
      <c r="B176" s="0" t="n">
        <f aca="false">IFERROR(SMALL(Pipeline_Calc!$A$2:$A$5251,A176),"")</f>
        <v>46343.0007015</v>
      </c>
      <c r="C176" s="0" t="n">
        <f aca="false">IF(B176="","",MATCH(B176,Pipeline_Calc!$A$2:$A$5251,0))</f>
        <v>1215</v>
      </c>
    </row>
    <row r="177" customFormat="false" ht="15" hidden="false" customHeight="false" outlineLevel="0" collapsed="false">
      <c r="A177" s="0" t="n">
        <v>176</v>
      </c>
      <c r="B177" s="0" t="n">
        <f aca="false">IFERROR(SMALL(Pipeline_Calc!$A$2:$A$5251,A177),"")</f>
        <v>46343.0012023</v>
      </c>
      <c r="C177" s="0" t="n">
        <f aca="false">IF(B177="","",MATCH(B177,Pipeline_Calc!$A$2:$A$5251,0))</f>
        <v>1673</v>
      </c>
    </row>
    <row r="178" customFormat="false" ht="15" hidden="false" customHeight="false" outlineLevel="0" collapsed="false">
      <c r="A178" s="0" t="n">
        <v>177</v>
      </c>
      <c r="B178" s="0" t="n">
        <f aca="false">IFERROR(SMALL(Pipeline_Calc!$A$2:$A$5251,A178),"")</f>
        <v>46343.0013022</v>
      </c>
      <c r="C178" s="0" t="n">
        <f aca="false">IF(B178="","",MATCH(B178,Pipeline_Calc!$A$2:$A$5251,0))</f>
        <v>2272</v>
      </c>
    </row>
    <row r="179" customFormat="false" ht="15" hidden="false" customHeight="false" outlineLevel="0" collapsed="false">
      <c r="A179" s="0" t="n">
        <v>178</v>
      </c>
      <c r="B179" s="0" t="n">
        <f aca="false">IFERROR(SMALL(Pipeline_Calc!$A$2:$A$5251,A179),"")</f>
        <v>46343.0015024</v>
      </c>
      <c r="C179" s="0" t="n">
        <f aca="false">IF(B179="","",MATCH(B179,Pipeline_Calc!$A$2:$A$5251,0))</f>
        <v>3474</v>
      </c>
    </row>
    <row r="180" customFormat="false" ht="15" hidden="false" customHeight="false" outlineLevel="0" collapsed="false">
      <c r="A180" s="0" t="n">
        <v>179</v>
      </c>
      <c r="B180" s="0" t="n">
        <f aca="false">IFERROR(SMALL(Pipeline_Calc!$A$2:$A$5251,A180),"")</f>
        <v>46343.0016023</v>
      </c>
      <c r="C180" s="0" t="n">
        <f aca="false">IF(B180="","",MATCH(B180,Pipeline_Calc!$A$2:$A$5251,0))</f>
        <v>4073</v>
      </c>
    </row>
    <row r="181" customFormat="false" ht="15" hidden="false" customHeight="false" outlineLevel="0" collapsed="false">
      <c r="A181" s="0" t="n">
        <v>180</v>
      </c>
      <c r="B181" s="0" t="n">
        <f aca="false">IFERROR(SMALL(Pipeline_Calc!$A$2:$A$5251,A181),"")</f>
        <v>46344.0004016</v>
      </c>
      <c r="C181" s="0" t="n">
        <f aca="false">IF(B181="","",MATCH(B181,Pipeline_Calc!$A$2:$A$5251,0))</f>
        <v>616</v>
      </c>
    </row>
    <row r="182" customFormat="false" ht="15" hidden="false" customHeight="false" outlineLevel="0" collapsed="false">
      <c r="A182" s="0" t="n">
        <v>181</v>
      </c>
      <c r="B182" s="0" t="n">
        <f aca="false">IFERROR(SMALL(Pipeline_Calc!$A$2:$A$5251,A182),"")</f>
        <v>46344.0006016</v>
      </c>
      <c r="C182" s="0" t="n">
        <f aca="false">IF(B182="","",MATCH(B182,Pipeline_Calc!$A$2:$A$5251,0))</f>
        <v>1016</v>
      </c>
    </row>
    <row r="183" customFormat="false" ht="15" hidden="false" customHeight="false" outlineLevel="0" collapsed="false">
      <c r="A183" s="0" t="n">
        <v>182</v>
      </c>
      <c r="B183" s="0" t="n">
        <f aca="false">IFERROR(SMALL(Pipeline_Calc!$A$2:$A$5251,A183),"")</f>
        <v>46344.0012017</v>
      </c>
      <c r="C183" s="0" t="n">
        <f aca="false">IF(B183="","",MATCH(B183,Pipeline_Calc!$A$2:$A$5251,0))</f>
        <v>1667</v>
      </c>
    </row>
    <row r="184" customFormat="false" ht="15" hidden="false" customHeight="false" outlineLevel="0" collapsed="false">
      <c r="A184" s="0" t="n">
        <v>183</v>
      </c>
      <c r="B184" s="0" t="n">
        <f aca="false">IFERROR(SMALL(Pipeline_Calc!$A$2:$A$5251,A184),"")</f>
        <v>46344.0012036</v>
      </c>
      <c r="C184" s="0" t="n">
        <f aca="false">IF(B184="","",MATCH(B184,Pipeline_Calc!$A$2:$A$5251,0))</f>
        <v>1686</v>
      </c>
    </row>
    <row r="185" customFormat="false" ht="15" hidden="false" customHeight="false" outlineLevel="0" collapsed="false">
      <c r="A185" s="0" t="n">
        <v>184</v>
      </c>
      <c r="B185" s="0" t="n">
        <f aca="false">IFERROR(SMALL(Pipeline_Calc!$A$2:$A$5251,A185),"")</f>
        <v>46344.0013016</v>
      </c>
      <c r="C185" s="0" t="n">
        <f aca="false">IF(B185="","",MATCH(B185,Pipeline_Calc!$A$2:$A$5251,0))</f>
        <v>2266</v>
      </c>
    </row>
    <row r="186" customFormat="false" ht="15" hidden="false" customHeight="false" outlineLevel="0" collapsed="false">
      <c r="A186" s="0" t="n">
        <v>185</v>
      </c>
      <c r="B186" s="0" t="n">
        <f aca="false">IFERROR(SMALL(Pipeline_Calc!$A$2:$A$5251,A186),"")</f>
        <v>46344.0013035</v>
      </c>
      <c r="C186" s="0" t="n">
        <f aca="false">IF(B186="","",MATCH(B186,Pipeline_Calc!$A$2:$A$5251,0))</f>
        <v>2285</v>
      </c>
    </row>
    <row r="187" customFormat="false" ht="15" hidden="false" customHeight="false" outlineLevel="0" collapsed="false">
      <c r="A187" s="0" t="n">
        <v>186</v>
      </c>
      <c r="B187" s="0" t="n">
        <f aca="false">IFERROR(SMALL(Pipeline_Calc!$A$2:$A$5251,A187),"")</f>
        <v>46344.0014021</v>
      </c>
      <c r="C187" s="0" t="n">
        <f aca="false">IF(B187="","",MATCH(B187,Pipeline_Calc!$A$2:$A$5251,0))</f>
        <v>2871</v>
      </c>
    </row>
    <row r="188" customFormat="false" ht="15" hidden="false" customHeight="false" outlineLevel="0" collapsed="false">
      <c r="A188" s="0" t="n">
        <v>187</v>
      </c>
      <c r="B188" s="0" t="n">
        <f aca="false">IFERROR(SMALL(Pipeline_Calc!$A$2:$A$5251,A188),"")</f>
        <v>46344.0015018</v>
      </c>
      <c r="C188" s="0" t="n">
        <f aca="false">IF(B188="","",MATCH(B188,Pipeline_Calc!$A$2:$A$5251,0))</f>
        <v>3468</v>
      </c>
    </row>
    <row r="189" customFormat="false" ht="15" hidden="false" customHeight="false" outlineLevel="0" collapsed="false">
      <c r="A189" s="0" t="n">
        <v>188</v>
      </c>
      <c r="B189" s="0" t="n">
        <f aca="false">IFERROR(SMALL(Pipeline_Calc!$A$2:$A$5251,A189),"")</f>
        <v>46344.0015037</v>
      </c>
      <c r="C189" s="0" t="n">
        <f aca="false">IF(B189="","",MATCH(B189,Pipeline_Calc!$A$2:$A$5251,0))</f>
        <v>3487</v>
      </c>
    </row>
    <row r="190" customFormat="false" ht="15" hidden="false" customHeight="false" outlineLevel="0" collapsed="false">
      <c r="A190" s="0" t="n">
        <v>189</v>
      </c>
      <c r="B190" s="0" t="n">
        <f aca="false">IFERROR(SMALL(Pipeline_Calc!$A$2:$A$5251,A190),"")</f>
        <v>46344.0016017</v>
      </c>
      <c r="C190" s="0" t="n">
        <f aca="false">IF(B190="","",MATCH(B190,Pipeline_Calc!$A$2:$A$5251,0))</f>
        <v>4067</v>
      </c>
    </row>
    <row r="191" customFormat="false" ht="15" hidden="false" customHeight="false" outlineLevel="0" collapsed="false">
      <c r="A191" s="0" t="n">
        <v>190</v>
      </c>
      <c r="B191" s="0" t="n">
        <f aca="false">IFERROR(SMALL(Pipeline_Calc!$A$2:$A$5251,A191),"")</f>
        <v>46344.0016036</v>
      </c>
      <c r="C191" s="0" t="n">
        <f aca="false">IF(B191="","",MATCH(B191,Pipeline_Calc!$A$2:$A$5251,0))</f>
        <v>4086</v>
      </c>
    </row>
    <row r="192" customFormat="false" ht="15" hidden="false" customHeight="false" outlineLevel="0" collapsed="false">
      <c r="A192" s="0" t="n">
        <v>191</v>
      </c>
      <c r="B192" s="0" t="n">
        <f aca="false">IFERROR(SMALL(Pipeline_Calc!$A$2:$A$5251,A192),"")</f>
        <v>46344.0017022</v>
      </c>
      <c r="C192" s="0" t="n">
        <f aca="false">IF(B192="","",MATCH(B192,Pipeline_Calc!$A$2:$A$5251,0))</f>
        <v>4672</v>
      </c>
    </row>
    <row r="193" customFormat="false" ht="15" hidden="false" customHeight="false" outlineLevel="0" collapsed="false">
      <c r="A193" s="0" t="n">
        <v>192</v>
      </c>
      <c r="B193" s="0" t="n">
        <f aca="false">IFERROR(SMALL(Pipeline_Calc!$A$2:$A$5251,A193),"")</f>
        <v>46345.001203</v>
      </c>
      <c r="C193" s="0" t="n">
        <f aca="false">IF(B193="","",MATCH(B193,Pipeline_Calc!$A$2:$A$5251,0))</f>
        <v>1680</v>
      </c>
    </row>
    <row r="194" customFormat="false" ht="15" hidden="false" customHeight="false" outlineLevel="0" collapsed="false">
      <c r="A194" s="0" t="n">
        <v>193</v>
      </c>
      <c r="B194" s="0" t="n">
        <f aca="false">IFERROR(SMALL(Pipeline_Calc!$A$2:$A$5251,A194),"")</f>
        <v>46345.0015031</v>
      </c>
      <c r="C194" s="0" t="n">
        <f aca="false">IF(B194="","",MATCH(B194,Pipeline_Calc!$A$2:$A$5251,0))</f>
        <v>3481</v>
      </c>
    </row>
    <row r="195" customFormat="false" ht="15" hidden="false" customHeight="false" outlineLevel="0" collapsed="false">
      <c r="A195" s="0" t="n">
        <v>194</v>
      </c>
      <c r="B195" s="0" t="n">
        <f aca="false">IFERROR(SMALL(Pipeline_Calc!$A$2:$A$5251,A195),"")</f>
        <v>46346.0012024</v>
      </c>
      <c r="C195" s="0" t="n">
        <f aca="false">IF(B195="","",MATCH(B195,Pipeline_Calc!$A$2:$A$5251,0))</f>
        <v>1674</v>
      </c>
    </row>
    <row r="196" customFormat="false" ht="15" hidden="false" customHeight="false" outlineLevel="0" collapsed="false">
      <c r="A196" s="0" t="n">
        <v>195</v>
      </c>
      <c r="B196" s="0" t="n">
        <f aca="false">IFERROR(SMALL(Pipeline_Calc!$A$2:$A$5251,A196),"")</f>
        <v>46346.0013023</v>
      </c>
      <c r="C196" s="0" t="n">
        <f aca="false">IF(B196="","",MATCH(B196,Pipeline_Calc!$A$2:$A$5251,0))</f>
        <v>2273</v>
      </c>
    </row>
    <row r="197" customFormat="false" ht="15" hidden="false" customHeight="false" outlineLevel="0" collapsed="false">
      <c r="A197" s="0" t="n">
        <v>196</v>
      </c>
      <c r="B197" s="0" t="n">
        <f aca="false">IFERROR(SMALL(Pipeline_Calc!$A$2:$A$5251,A197),"")</f>
        <v>46346.0014028</v>
      </c>
      <c r="C197" s="0" t="n">
        <f aca="false">IF(B197="","",MATCH(B197,Pipeline_Calc!$A$2:$A$5251,0))</f>
        <v>2878</v>
      </c>
    </row>
    <row r="198" customFormat="false" ht="15" hidden="false" customHeight="false" outlineLevel="0" collapsed="false">
      <c r="A198" s="0" t="n">
        <v>197</v>
      </c>
      <c r="B198" s="0" t="n">
        <f aca="false">IFERROR(SMALL(Pipeline_Calc!$A$2:$A$5251,A198),"")</f>
        <v>46346.0015025</v>
      </c>
      <c r="C198" s="0" t="n">
        <f aca="false">IF(B198="","",MATCH(B198,Pipeline_Calc!$A$2:$A$5251,0))</f>
        <v>3475</v>
      </c>
    </row>
    <row r="199" customFormat="false" ht="15" hidden="false" customHeight="false" outlineLevel="0" collapsed="false">
      <c r="A199" s="0" t="n">
        <v>198</v>
      </c>
      <c r="B199" s="0" t="n">
        <f aca="false">IFERROR(SMALL(Pipeline_Calc!$A$2:$A$5251,A199),"")</f>
        <v>46346.0016024</v>
      </c>
      <c r="C199" s="0" t="n">
        <f aca="false">IF(B199="","",MATCH(B199,Pipeline_Calc!$A$2:$A$5251,0))</f>
        <v>4074</v>
      </c>
    </row>
    <row r="200" customFormat="false" ht="15" hidden="false" customHeight="false" outlineLevel="0" collapsed="false">
      <c r="A200" s="0" t="n">
        <v>199</v>
      </c>
      <c r="B200" s="0" t="n">
        <f aca="false">IFERROR(SMALL(Pipeline_Calc!$A$2:$A$5251,A200),"")</f>
        <v>46346.0017029</v>
      </c>
      <c r="C200" s="0" t="n">
        <f aca="false">IF(B200="","",MATCH(B200,Pipeline_Calc!$A$2:$A$5251,0))</f>
        <v>4679</v>
      </c>
    </row>
    <row r="201" customFormat="false" ht="15" hidden="false" customHeight="false" outlineLevel="0" collapsed="false">
      <c r="A201" s="0" t="n">
        <v>200</v>
      </c>
      <c r="B201" s="0" t="n">
        <f aca="false">IFERROR(SMALL(Pipeline_Calc!$A$2:$A$5251,A201),"")</f>
        <v>46349.0008002</v>
      </c>
      <c r="C201" s="0" t="n">
        <f aca="false">IF(B201="","",MATCH(B201,Pipeline_Calc!$A$2:$A$5251,0))</f>
        <v>1402</v>
      </c>
    </row>
    <row r="202" customFormat="false" ht="15" hidden="false" customHeight="false" outlineLevel="0" collapsed="false">
      <c r="A202" s="0" t="n">
        <v>201</v>
      </c>
      <c r="B202" s="0" t="n">
        <f aca="false">IFERROR(SMALL(Pipeline_Calc!$A$2:$A$5251,A202),"")</f>
        <v>46349.0013017</v>
      </c>
      <c r="C202" s="0" t="n">
        <f aca="false">IF(B202="","",MATCH(B202,Pipeline_Calc!$A$2:$A$5251,0))</f>
        <v>2267</v>
      </c>
    </row>
    <row r="203" customFormat="false" ht="15" hidden="false" customHeight="false" outlineLevel="0" collapsed="false">
      <c r="A203" s="0" t="n">
        <v>202</v>
      </c>
      <c r="B203" s="0" t="n">
        <f aca="false">IFERROR(SMALL(Pipeline_Calc!$A$2:$A$5251,A203),"")</f>
        <v>46349.0013036</v>
      </c>
      <c r="C203" s="0" t="n">
        <f aca="false">IF(B203="","",MATCH(B203,Pipeline_Calc!$A$2:$A$5251,0))</f>
        <v>2286</v>
      </c>
    </row>
    <row r="204" customFormat="false" ht="15" hidden="false" customHeight="false" outlineLevel="0" collapsed="false">
      <c r="A204" s="0" t="n">
        <v>203</v>
      </c>
      <c r="B204" s="0" t="n">
        <f aca="false">IFERROR(SMALL(Pipeline_Calc!$A$2:$A$5251,A204),"")</f>
        <v>46349.0016018</v>
      </c>
      <c r="C204" s="0" t="n">
        <f aca="false">IF(B204="","",MATCH(B204,Pipeline_Calc!$A$2:$A$5251,0))</f>
        <v>4068</v>
      </c>
    </row>
    <row r="205" customFormat="false" ht="15" hidden="false" customHeight="false" outlineLevel="0" collapsed="false">
      <c r="A205" s="0" t="n">
        <v>204</v>
      </c>
      <c r="B205" s="0" t="n">
        <f aca="false">IFERROR(SMALL(Pipeline_Calc!$A$2:$A$5251,A205),"")</f>
        <v>46349.0016037</v>
      </c>
      <c r="C205" s="0" t="n">
        <f aca="false">IF(B205="","",MATCH(B205,Pipeline_Calc!$A$2:$A$5251,0))</f>
        <v>4087</v>
      </c>
    </row>
    <row r="206" customFormat="false" ht="15" hidden="false" customHeight="false" outlineLevel="0" collapsed="false">
      <c r="A206" s="0" t="n">
        <v>205</v>
      </c>
      <c r="B206" s="0" t="n">
        <f aca="false">IFERROR(SMALL(Pipeline_Calc!$A$2:$A$5251,A206),"")</f>
        <v>46350.0008001</v>
      </c>
      <c r="C206" s="0" t="n">
        <f aca="false">IF(B206="","",MATCH(B206,Pipeline_Calc!$A$2:$A$5251,0))</f>
        <v>1401</v>
      </c>
    </row>
    <row r="207" customFormat="false" ht="15" hidden="false" customHeight="false" outlineLevel="0" collapsed="false">
      <c r="A207" s="0" t="n">
        <v>206</v>
      </c>
      <c r="B207" s="0" t="n">
        <f aca="false">IFERROR(SMALL(Pipeline_Calc!$A$2:$A$5251,A207),"")</f>
        <v>46350.0008003</v>
      </c>
      <c r="C207" s="0" t="n">
        <f aca="false">IF(B207="","",MATCH(B207,Pipeline_Calc!$A$2:$A$5251,0))</f>
        <v>1403</v>
      </c>
    </row>
    <row r="208" customFormat="false" ht="15" hidden="false" customHeight="false" outlineLevel="0" collapsed="false">
      <c r="A208" s="0" t="n">
        <v>207</v>
      </c>
      <c r="B208" s="0" t="n">
        <f aca="false">IFERROR(SMALL(Pipeline_Calc!$A$2:$A$5251,A208),"")</f>
        <v>46350.001303</v>
      </c>
      <c r="C208" s="0" t="n">
        <f aca="false">IF(B208="","",MATCH(B208,Pipeline_Calc!$A$2:$A$5251,0))</f>
        <v>2280</v>
      </c>
    </row>
    <row r="209" customFormat="false" ht="15" hidden="false" customHeight="false" outlineLevel="0" collapsed="false">
      <c r="A209" s="0" t="n">
        <v>208</v>
      </c>
      <c r="B209" s="0" t="n">
        <f aca="false">IFERROR(SMALL(Pipeline_Calc!$A$2:$A$5251,A209),"")</f>
        <v>46350.0014035</v>
      </c>
      <c r="C209" s="0" t="n">
        <f aca="false">IF(B209="","",MATCH(B209,Pipeline_Calc!$A$2:$A$5251,0))</f>
        <v>2885</v>
      </c>
    </row>
    <row r="210" customFormat="false" ht="15" hidden="false" customHeight="false" outlineLevel="0" collapsed="false">
      <c r="A210" s="0" t="n">
        <v>209</v>
      </c>
      <c r="B210" s="0" t="n">
        <f aca="false">IFERROR(SMALL(Pipeline_Calc!$A$2:$A$5251,A210),"")</f>
        <v>46350.0016031</v>
      </c>
      <c r="C210" s="0" t="n">
        <f aca="false">IF(B210="","",MATCH(B210,Pipeline_Calc!$A$2:$A$5251,0))</f>
        <v>4081</v>
      </c>
    </row>
    <row r="211" customFormat="false" ht="15" hidden="false" customHeight="false" outlineLevel="0" collapsed="false">
      <c r="A211" s="0" t="n">
        <v>210</v>
      </c>
      <c r="B211" s="0" t="n">
        <f aca="false">IFERROR(SMALL(Pipeline_Calc!$A$2:$A$5251,A211),"")</f>
        <v>46350.0017036</v>
      </c>
      <c r="C211" s="0" t="n">
        <f aca="false">IF(B211="","",MATCH(B211,Pipeline_Calc!$A$2:$A$5251,0))</f>
        <v>4686</v>
      </c>
    </row>
    <row r="212" customFormat="false" ht="15" hidden="false" customHeight="false" outlineLevel="0" collapsed="false">
      <c r="A212" s="0" t="n">
        <v>211</v>
      </c>
      <c r="B212" s="0" t="n">
        <f aca="false">IFERROR(SMALL(Pipeline_Calc!$A$2:$A$5251,A212),"")</f>
        <v>46351.0008004</v>
      </c>
      <c r="C212" s="0" t="n">
        <f aca="false">IF(B212="","",MATCH(B212,Pipeline_Calc!$A$2:$A$5251,0))</f>
        <v>1404</v>
      </c>
    </row>
    <row r="213" customFormat="false" ht="15" hidden="false" customHeight="false" outlineLevel="0" collapsed="false">
      <c r="A213" s="0" t="n">
        <v>212</v>
      </c>
      <c r="B213" s="0" t="n">
        <f aca="false">IFERROR(SMALL(Pipeline_Calc!$A$2:$A$5251,A213),"")</f>
        <v>46356.0008005</v>
      </c>
      <c r="C213" s="0" t="n">
        <f aca="false">IF(B213="","",MATCH(B213,Pipeline_Calc!$A$2:$A$5251,0))</f>
        <v>1405</v>
      </c>
    </row>
    <row r="214" customFormat="false" ht="15" hidden="false" customHeight="false" outlineLevel="0" collapsed="false">
      <c r="A214" s="0" t="n">
        <v>213</v>
      </c>
      <c r="B214" s="0" t="n">
        <f aca="false">IFERROR(SMALL(Pipeline_Calc!$A$2:$A$5251,A214),"")</f>
        <v>46359.0009001</v>
      </c>
      <c r="C214" s="0" t="n">
        <f aca="false">IF(B214="","",MATCH(B214,Pipeline_Calc!$A$2:$A$5251,0))</f>
        <v>1451</v>
      </c>
    </row>
    <row r="215" customFormat="false" ht="15" hidden="false" customHeight="false" outlineLevel="0" collapsed="false">
      <c r="A215" s="0" t="n">
        <v>214</v>
      </c>
      <c r="B215" s="0" t="n">
        <f aca="false">IFERROR(SMALL(Pipeline_Calc!$A$2:$A$5251,A215),"")</f>
        <v>46414.0011001</v>
      </c>
      <c r="C215" s="0" t="n">
        <f aca="false">IF(B215="","",MATCH(B215,Pipeline_Calc!$A$2:$A$5251,0))</f>
        <v>1551</v>
      </c>
    </row>
    <row r="216" customFormat="false" ht="15" hidden="false" customHeight="false" outlineLevel="0" collapsed="false">
      <c r="A216" s="0" t="n">
        <v>215</v>
      </c>
      <c r="B216" s="0" t="str">
        <f aca="false">IFERROR(SMALL(Pipeline_Calc!$A$2:$A$5251,A216),"")</f>
        <v/>
      </c>
      <c r="C216" s="0" t="str">
        <f aca="false">IF(B216="","",MATCH(B216,Pipeline_Calc!$A$2:$A$5251,0))</f>
        <v/>
      </c>
    </row>
    <row r="217" customFormat="false" ht="15" hidden="false" customHeight="false" outlineLevel="0" collapsed="false">
      <c r="A217" s="0" t="n">
        <v>216</v>
      </c>
      <c r="B217" s="0" t="str">
        <f aca="false">IFERROR(SMALL(Pipeline_Calc!$A$2:$A$5251,A217),"")</f>
        <v/>
      </c>
      <c r="C217" s="0" t="str">
        <f aca="false">IF(B217="","",MATCH(B217,Pipeline_Calc!$A$2:$A$5251,0))</f>
        <v/>
      </c>
    </row>
    <row r="218" customFormat="false" ht="15" hidden="false" customHeight="false" outlineLevel="0" collapsed="false">
      <c r="A218" s="0" t="n">
        <v>217</v>
      </c>
      <c r="B218" s="0" t="str">
        <f aca="false">IFERROR(SMALL(Pipeline_Calc!$A$2:$A$5251,A218),"")</f>
        <v/>
      </c>
      <c r="C218" s="0" t="str">
        <f aca="false">IF(B218="","",MATCH(B218,Pipeline_Calc!$A$2:$A$5251,0))</f>
        <v/>
      </c>
    </row>
    <row r="219" customFormat="false" ht="15" hidden="false" customHeight="false" outlineLevel="0" collapsed="false">
      <c r="A219" s="0" t="n">
        <v>218</v>
      </c>
      <c r="B219" s="0" t="str">
        <f aca="false">IFERROR(SMALL(Pipeline_Calc!$A$2:$A$5251,A219),"")</f>
        <v/>
      </c>
      <c r="C219" s="0" t="str">
        <f aca="false">IF(B219="","",MATCH(B219,Pipeline_Calc!$A$2:$A$5251,0))</f>
        <v/>
      </c>
    </row>
    <row r="220" customFormat="false" ht="15" hidden="false" customHeight="false" outlineLevel="0" collapsed="false">
      <c r="A220" s="0" t="n">
        <v>219</v>
      </c>
      <c r="B220" s="0" t="str">
        <f aca="false">IFERROR(SMALL(Pipeline_Calc!$A$2:$A$5251,A220),"")</f>
        <v/>
      </c>
      <c r="C220" s="0" t="str">
        <f aca="false">IF(B220="","",MATCH(B220,Pipeline_Calc!$A$2:$A$5251,0))</f>
        <v/>
      </c>
    </row>
    <row r="221" customFormat="false" ht="15" hidden="false" customHeight="false" outlineLevel="0" collapsed="false">
      <c r="A221" s="0" t="n">
        <v>220</v>
      </c>
      <c r="B221" s="0" t="str">
        <f aca="false">IFERROR(SMALL(Pipeline_Calc!$A$2:$A$5251,A221),"")</f>
        <v/>
      </c>
      <c r="C221" s="0" t="str">
        <f aca="false">IF(B221="","",MATCH(B221,Pipeline_Calc!$A$2:$A$5251,0))</f>
        <v/>
      </c>
    </row>
    <row r="222" customFormat="false" ht="15" hidden="false" customHeight="false" outlineLevel="0" collapsed="false">
      <c r="A222" s="0" t="n">
        <v>221</v>
      </c>
      <c r="B222" s="0" t="str">
        <f aca="false">IFERROR(SMALL(Pipeline_Calc!$A$2:$A$5251,A222),"")</f>
        <v/>
      </c>
      <c r="C222" s="0" t="str">
        <f aca="false">IF(B222="","",MATCH(B222,Pipeline_Calc!$A$2:$A$5251,0))</f>
        <v/>
      </c>
    </row>
    <row r="223" customFormat="false" ht="15" hidden="false" customHeight="false" outlineLevel="0" collapsed="false">
      <c r="A223" s="0" t="n">
        <v>222</v>
      </c>
      <c r="B223" s="0" t="str">
        <f aca="false">IFERROR(SMALL(Pipeline_Calc!$A$2:$A$5251,A223),"")</f>
        <v/>
      </c>
      <c r="C223" s="0" t="str">
        <f aca="false">IF(B223="","",MATCH(B223,Pipeline_Calc!$A$2:$A$5251,0))</f>
        <v/>
      </c>
    </row>
    <row r="224" customFormat="false" ht="15" hidden="false" customHeight="false" outlineLevel="0" collapsed="false">
      <c r="A224" s="0" t="n">
        <v>223</v>
      </c>
      <c r="B224" s="0" t="str">
        <f aca="false">IFERROR(SMALL(Pipeline_Calc!$A$2:$A$5251,A224),"")</f>
        <v/>
      </c>
      <c r="C224" s="0" t="str">
        <f aca="false">IF(B224="","",MATCH(B224,Pipeline_Calc!$A$2:$A$5251,0))</f>
        <v/>
      </c>
    </row>
    <row r="225" customFormat="false" ht="15" hidden="false" customHeight="false" outlineLevel="0" collapsed="false">
      <c r="A225" s="0" t="n">
        <v>224</v>
      </c>
      <c r="B225" s="0" t="str">
        <f aca="false">IFERROR(SMALL(Pipeline_Calc!$A$2:$A$5251,A225),"")</f>
        <v/>
      </c>
      <c r="C225" s="0" t="str">
        <f aca="false">IF(B225="","",MATCH(B225,Pipeline_Calc!$A$2:$A$5251,0))</f>
        <v/>
      </c>
    </row>
    <row r="226" customFormat="false" ht="15" hidden="false" customHeight="false" outlineLevel="0" collapsed="false">
      <c r="A226" s="0" t="n">
        <v>225</v>
      </c>
      <c r="B226" s="0" t="str">
        <f aca="false">IFERROR(SMALL(Pipeline_Calc!$A$2:$A$5251,A226),"")</f>
        <v/>
      </c>
      <c r="C226" s="0" t="str">
        <f aca="false">IF(B226="","",MATCH(B226,Pipeline_Calc!$A$2:$A$5251,0))</f>
        <v/>
      </c>
    </row>
    <row r="227" customFormat="false" ht="15" hidden="false" customHeight="false" outlineLevel="0" collapsed="false">
      <c r="A227" s="0" t="n">
        <v>226</v>
      </c>
      <c r="B227" s="0" t="str">
        <f aca="false">IFERROR(SMALL(Pipeline_Calc!$A$2:$A$5251,A227),"")</f>
        <v/>
      </c>
      <c r="C227" s="0" t="str">
        <f aca="false">IF(B227="","",MATCH(B227,Pipeline_Calc!$A$2:$A$5251,0))</f>
        <v/>
      </c>
    </row>
    <row r="228" customFormat="false" ht="15" hidden="false" customHeight="false" outlineLevel="0" collapsed="false">
      <c r="A228" s="0" t="n">
        <v>227</v>
      </c>
      <c r="B228" s="0" t="str">
        <f aca="false">IFERROR(SMALL(Pipeline_Calc!$A$2:$A$5251,A228),"")</f>
        <v/>
      </c>
      <c r="C228" s="0" t="str">
        <f aca="false">IF(B228="","",MATCH(B228,Pipeline_Calc!$A$2:$A$5251,0))</f>
        <v/>
      </c>
    </row>
    <row r="229" customFormat="false" ht="15" hidden="false" customHeight="false" outlineLevel="0" collapsed="false">
      <c r="A229" s="0" t="n">
        <v>228</v>
      </c>
      <c r="B229" s="0" t="str">
        <f aca="false">IFERROR(SMALL(Pipeline_Calc!$A$2:$A$5251,A229),"")</f>
        <v/>
      </c>
      <c r="C229" s="0" t="str">
        <f aca="false">IF(B229="","",MATCH(B229,Pipeline_Calc!$A$2:$A$5251,0))</f>
        <v/>
      </c>
    </row>
    <row r="230" customFormat="false" ht="15" hidden="false" customHeight="false" outlineLevel="0" collapsed="false">
      <c r="A230" s="0" t="n">
        <v>229</v>
      </c>
      <c r="B230" s="0" t="str">
        <f aca="false">IFERROR(SMALL(Pipeline_Calc!$A$2:$A$5251,A230),"")</f>
        <v/>
      </c>
      <c r="C230" s="0" t="str">
        <f aca="false">IF(B230="","",MATCH(B230,Pipeline_Calc!$A$2:$A$5251,0))</f>
        <v/>
      </c>
    </row>
    <row r="231" customFormat="false" ht="15" hidden="false" customHeight="false" outlineLevel="0" collapsed="false">
      <c r="A231" s="0" t="n">
        <v>230</v>
      </c>
      <c r="B231" s="0" t="str">
        <f aca="false">IFERROR(SMALL(Pipeline_Calc!$A$2:$A$5251,A231),"")</f>
        <v/>
      </c>
      <c r="C231" s="0" t="str">
        <f aca="false">IF(B231="","",MATCH(B231,Pipeline_Calc!$A$2:$A$5251,0))</f>
        <v/>
      </c>
    </row>
    <row r="232" customFormat="false" ht="15" hidden="false" customHeight="false" outlineLevel="0" collapsed="false">
      <c r="A232" s="0" t="n">
        <v>231</v>
      </c>
      <c r="B232" s="0" t="str">
        <f aca="false">IFERROR(SMALL(Pipeline_Calc!$A$2:$A$5251,A232),"")</f>
        <v/>
      </c>
      <c r="C232" s="0" t="str">
        <f aca="false">IF(B232="","",MATCH(B232,Pipeline_Calc!$A$2:$A$5251,0))</f>
        <v/>
      </c>
    </row>
    <row r="233" customFormat="false" ht="15" hidden="false" customHeight="false" outlineLevel="0" collapsed="false">
      <c r="A233" s="0" t="n">
        <v>232</v>
      </c>
      <c r="B233" s="0" t="str">
        <f aca="false">IFERROR(SMALL(Pipeline_Calc!$A$2:$A$5251,A233),"")</f>
        <v/>
      </c>
      <c r="C233" s="0" t="str">
        <f aca="false">IF(B233="","",MATCH(B233,Pipeline_Calc!$A$2:$A$5251,0))</f>
        <v/>
      </c>
    </row>
    <row r="234" customFormat="false" ht="15" hidden="false" customHeight="false" outlineLevel="0" collapsed="false">
      <c r="A234" s="0" t="n">
        <v>233</v>
      </c>
      <c r="B234" s="0" t="str">
        <f aca="false">IFERROR(SMALL(Pipeline_Calc!$A$2:$A$5251,A234),"")</f>
        <v/>
      </c>
      <c r="C234" s="0" t="str">
        <f aca="false">IF(B234="","",MATCH(B234,Pipeline_Calc!$A$2:$A$5251,0))</f>
        <v/>
      </c>
    </row>
    <row r="235" customFormat="false" ht="15" hidden="false" customHeight="false" outlineLevel="0" collapsed="false">
      <c r="A235" s="0" t="n">
        <v>234</v>
      </c>
      <c r="B235" s="0" t="str">
        <f aca="false">IFERROR(SMALL(Pipeline_Calc!$A$2:$A$5251,A235),"")</f>
        <v/>
      </c>
      <c r="C235" s="0" t="str">
        <f aca="false">IF(B235="","",MATCH(B235,Pipeline_Calc!$A$2:$A$5251,0))</f>
        <v/>
      </c>
    </row>
    <row r="236" customFormat="false" ht="15" hidden="false" customHeight="false" outlineLevel="0" collapsed="false">
      <c r="A236" s="0" t="n">
        <v>235</v>
      </c>
      <c r="B236" s="0" t="str">
        <f aca="false">IFERROR(SMALL(Pipeline_Calc!$A$2:$A$5251,A236),"")</f>
        <v/>
      </c>
      <c r="C236" s="0" t="str">
        <f aca="false">IF(B236="","",MATCH(B236,Pipeline_Calc!$A$2:$A$5251,0))</f>
        <v/>
      </c>
    </row>
    <row r="237" customFormat="false" ht="15" hidden="false" customHeight="false" outlineLevel="0" collapsed="false">
      <c r="A237" s="0" t="n">
        <v>236</v>
      </c>
      <c r="B237" s="0" t="str">
        <f aca="false">IFERROR(SMALL(Pipeline_Calc!$A$2:$A$5251,A237),"")</f>
        <v/>
      </c>
      <c r="C237" s="0" t="str">
        <f aca="false">IF(B237="","",MATCH(B237,Pipeline_Calc!$A$2:$A$5251,0))</f>
        <v/>
      </c>
    </row>
    <row r="238" customFormat="false" ht="15" hidden="false" customHeight="false" outlineLevel="0" collapsed="false">
      <c r="A238" s="0" t="n">
        <v>237</v>
      </c>
      <c r="B238" s="0" t="str">
        <f aca="false">IFERROR(SMALL(Pipeline_Calc!$A$2:$A$5251,A238),"")</f>
        <v/>
      </c>
      <c r="C238" s="0" t="str">
        <f aca="false">IF(B238="","",MATCH(B238,Pipeline_Calc!$A$2:$A$5251,0))</f>
        <v/>
      </c>
    </row>
    <row r="239" customFormat="false" ht="15" hidden="false" customHeight="false" outlineLevel="0" collapsed="false">
      <c r="A239" s="0" t="n">
        <v>238</v>
      </c>
      <c r="B239" s="0" t="str">
        <f aca="false">IFERROR(SMALL(Pipeline_Calc!$A$2:$A$5251,A239),"")</f>
        <v/>
      </c>
      <c r="C239" s="0" t="str">
        <f aca="false">IF(B239="","",MATCH(B239,Pipeline_Calc!$A$2:$A$5251,0))</f>
        <v/>
      </c>
    </row>
    <row r="240" customFormat="false" ht="15" hidden="false" customHeight="false" outlineLevel="0" collapsed="false">
      <c r="A240" s="0" t="n">
        <v>239</v>
      </c>
      <c r="B240" s="0" t="str">
        <f aca="false">IFERROR(SMALL(Pipeline_Calc!$A$2:$A$5251,A240),"")</f>
        <v/>
      </c>
      <c r="C240" s="0" t="str">
        <f aca="false">IF(B240="","",MATCH(B240,Pipeline_Calc!$A$2:$A$5251,0))</f>
        <v/>
      </c>
    </row>
    <row r="241" customFormat="false" ht="15" hidden="false" customHeight="false" outlineLevel="0" collapsed="false">
      <c r="A241" s="0" t="n">
        <v>240</v>
      </c>
      <c r="B241" s="0" t="str">
        <f aca="false">IFERROR(SMALL(Pipeline_Calc!$A$2:$A$5251,A241),"")</f>
        <v/>
      </c>
      <c r="C241" s="0" t="str">
        <f aca="false">IF(B241="","",MATCH(B241,Pipeline_Calc!$A$2:$A$5251,0))</f>
        <v/>
      </c>
    </row>
    <row r="242" customFormat="false" ht="15" hidden="false" customHeight="false" outlineLevel="0" collapsed="false">
      <c r="A242" s="0" t="n">
        <v>241</v>
      </c>
      <c r="B242" s="0" t="str">
        <f aca="false">IFERROR(SMALL(Pipeline_Calc!$A$2:$A$5251,A242),"")</f>
        <v/>
      </c>
      <c r="C242" s="0" t="str">
        <f aca="false">IF(B242="","",MATCH(B242,Pipeline_Calc!$A$2:$A$5251,0))</f>
        <v/>
      </c>
    </row>
    <row r="243" customFormat="false" ht="15" hidden="false" customHeight="false" outlineLevel="0" collapsed="false">
      <c r="A243" s="0" t="n">
        <v>242</v>
      </c>
      <c r="B243" s="0" t="str">
        <f aca="false">IFERROR(SMALL(Pipeline_Calc!$A$2:$A$5251,A243),"")</f>
        <v/>
      </c>
      <c r="C243" s="0" t="str">
        <f aca="false">IF(B243="","",MATCH(B243,Pipeline_Calc!$A$2:$A$5251,0))</f>
        <v/>
      </c>
    </row>
    <row r="244" customFormat="false" ht="15" hidden="false" customHeight="false" outlineLevel="0" collapsed="false">
      <c r="A244" s="0" t="n">
        <v>243</v>
      </c>
      <c r="B244" s="0" t="str">
        <f aca="false">IFERROR(SMALL(Pipeline_Calc!$A$2:$A$5251,A244),"")</f>
        <v/>
      </c>
      <c r="C244" s="0" t="str">
        <f aca="false">IF(B244="","",MATCH(B244,Pipeline_Calc!$A$2:$A$5251,0))</f>
        <v/>
      </c>
    </row>
    <row r="245" customFormat="false" ht="15" hidden="false" customHeight="false" outlineLevel="0" collapsed="false">
      <c r="A245" s="0" t="n">
        <v>244</v>
      </c>
      <c r="B245" s="0" t="str">
        <f aca="false">IFERROR(SMALL(Pipeline_Calc!$A$2:$A$5251,A245),"")</f>
        <v/>
      </c>
      <c r="C245" s="0" t="str">
        <f aca="false">IF(B245="","",MATCH(B245,Pipeline_Calc!$A$2:$A$5251,0))</f>
        <v/>
      </c>
    </row>
    <row r="246" customFormat="false" ht="15" hidden="false" customHeight="false" outlineLevel="0" collapsed="false">
      <c r="A246" s="0" t="n">
        <v>245</v>
      </c>
      <c r="B246" s="0" t="str">
        <f aca="false">IFERROR(SMALL(Pipeline_Calc!$A$2:$A$5251,A246),"")</f>
        <v/>
      </c>
      <c r="C246" s="0" t="str">
        <f aca="false">IF(B246="","",MATCH(B246,Pipeline_Calc!$A$2:$A$5251,0))</f>
        <v/>
      </c>
    </row>
    <row r="247" customFormat="false" ht="15" hidden="false" customHeight="false" outlineLevel="0" collapsed="false">
      <c r="A247" s="0" t="n">
        <v>246</v>
      </c>
      <c r="B247" s="0" t="str">
        <f aca="false">IFERROR(SMALL(Pipeline_Calc!$A$2:$A$5251,A247),"")</f>
        <v/>
      </c>
      <c r="C247" s="0" t="str">
        <f aca="false">IF(B247="","",MATCH(B247,Pipeline_Calc!$A$2:$A$5251,0))</f>
        <v/>
      </c>
    </row>
    <row r="248" customFormat="false" ht="15" hidden="false" customHeight="false" outlineLevel="0" collapsed="false">
      <c r="A248" s="0" t="n">
        <v>247</v>
      </c>
      <c r="B248" s="0" t="str">
        <f aca="false">IFERROR(SMALL(Pipeline_Calc!$A$2:$A$5251,A248),"")</f>
        <v/>
      </c>
      <c r="C248" s="0" t="str">
        <f aca="false">IF(B248="","",MATCH(B248,Pipeline_Calc!$A$2:$A$5251,0))</f>
        <v/>
      </c>
    </row>
    <row r="249" customFormat="false" ht="15" hidden="false" customHeight="false" outlineLevel="0" collapsed="false">
      <c r="A249" s="0" t="n">
        <v>248</v>
      </c>
      <c r="B249" s="0" t="str">
        <f aca="false">IFERROR(SMALL(Pipeline_Calc!$A$2:$A$5251,A249),"")</f>
        <v/>
      </c>
      <c r="C249" s="0" t="str">
        <f aca="false">IF(B249="","",MATCH(B249,Pipeline_Calc!$A$2:$A$5251,0))</f>
        <v/>
      </c>
    </row>
    <row r="250" customFormat="false" ht="15" hidden="false" customHeight="false" outlineLevel="0" collapsed="false">
      <c r="A250" s="0" t="n">
        <v>249</v>
      </c>
      <c r="B250" s="0" t="str">
        <f aca="false">IFERROR(SMALL(Pipeline_Calc!$A$2:$A$5251,A250),"")</f>
        <v/>
      </c>
      <c r="C250" s="0" t="str">
        <f aca="false">IF(B250="","",MATCH(B250,Pipeline_Calc!$A$2:$A$5251,0))</f>
        <v/>
      </c>
    </row>
    <row r="251" customFormat="false" ht="15" hidden="false" customHeight="false" outlineLevel="0" collapsed="false">
      <c r="A251" s="0" t="n">
        <v>250</v>
      </c>
      <c r="B251" s="0" t="str">
        <f aca="false">IFERROR(SMALL(Pipeline_Calc!$A$2:$A$5251,A251),"")</f>
        <v/>
      </c>
      <c r="C251" s="0" t="str">
        <f aca="false">IF(B251="","",MATCH(B251,Pipeline_Calc!$A$2:$A$5251,0))</f>
        <v/>
      </c>
    </row>
    <row r="252" customFormat="false" ht="15" hidden="false" customHeight="false" outlineLevel="0" collapsed="false">
      <c r="A252" s="0" t="n">
        <v>251</v>
      </c>
      <c r="B252" s="0" t="str">
        <f aca="false">IFERROR(SMALL(Pipeline_Calc!$A$2:$A$5251,A252),"")</f>
        <v/>
      </c>
      <c r="C252" s="0" t="str">
        <f aca="false">IF(B252="","",MATCH(B252,Pipeline_Calc!$A$2:$A$5251,0))</f>
        <v/>
      </c>
    </row>
    <row r="253" customFormat="false" ht="15" hidden="false" customHeight="false" outlineLevel="0" collapsed="false">
      <c r="A253" s="0" t="n">
        <v>252</v>
      </c>
      <c r="B253" s="0" t="str">
        <f aca="false">IFERROR(SMALL(Pipeline_Calc!$A$2:$A$5251,A253),"")</f>
        <v/>
      </c>
      <c r="C253" s="0" t="str">
        <f aca="false">IF(B253="","",MATCH(B253,Pipeline_Calc!$A$2:$A$5251,0))</f>
        <v/>
      </c>
    </row>
    <row r="254" customFormat="false" ht="15" hidden="false" customHeight="false" outlineLevel="0" collapsed="false">
      <c r="A254" s="0" t="n">
        <v>253</v>
      </c>
      <c r="B254" s="0" t="str">
        <f aca="false">IFERROR(SMALL(Pipeline_Calc!$A$2:$A$5251,A254),"")</f>
        <v/>
      </c>
      <c r="C254" s="0" t="str">
        <f aca="false">IF(B254="","",MATCH(B254,Pipeline_Calc!$A$2:$A$5251,0))</f>
        <v/>
      </c>
    </row>
    <row r="255" customFormat="false" ht="15" hidden="false" customHeight="false" outlineLevel="0" collapsed="false">
      <c r="A255" s="0" t="n">
        <v>254</v>
      </c>
      <c r="B255" s="0" t="str">
        <f aca="false">IFERROR(SMALL(Pipeline_Calc!$A$2:$A$5251,A255),"")</f>
        <v/>
      </c>
      <c r="C255" s="0" t="str">
        <f aca="false">IF(B255="","",MATCH(B255,Pipeline_Calc!$A$2:$A$5251,0))</f>
        <v/>
      </c>
    </row>
    <row r="256" customFormat="false" ht="15" hidden="false" customHeight="false" outlineLevel="0" collapsed="false">
      <c r="A256" s="0" t="n">
        <v>255</v>
      </c>
      <c r="B256" s="0" t="str">
        <f aca="false">IFERROR(SMALL(Pipeline_Calc!$A$2:$A$5251,A256),"")</f>
        <v/>
      </c>
      <c r="C256" s="0" t="str">
        <f aca="false">IF(B256="","",MATCH(B256,Pipeline_Calc!$A$2:$A$5251,0))</f>
        <v/>
      </c>
    </row>
    <row r="257" customFormat="false" ht="15" hidden="false" customHeight="false" outlineLevel="0" collapsed="false">
      <c r="A257" s="0" t="n">
        <v>256</v>
      </c>
      <c r="B257" s="0" t="str">
        <f aca="false">IFERROR(SMALL(Pipeline_Calc!$A$2:$A$5251,A257),"")</f>
        <v/>
      </c>
      <c r="C257" s="0" t="str">
        <f aca="false">IF(B257="","",MATCH(B257,Pipeline_Calc!$A$2:$A$5251,0))</f>
        <v/>
      </c>
    </row>
    <row r="258" customFormat="false" ht="15" hidden="false" customHeight="false" outlineLevel="0" collapsed="false">
      <c r="A258" s="0" t="n">
        <v>257</v>
      </c>
      <c r="B258" s="0" t="str">
        <f aca="false">IFERROR(SMALL(Pipeline_Calc!$A$2:$A$5251,A258),"")</f>
        <v/>
      </c>
      <c r="C258" s="0" t="str">
        <f aca="false">IF(B258="","",MATCH(B258,Pipeline_Calc!$A$2:$A$5251,0))</f>
        <v/>
      </c>
    </row>
    <row r="259" customFormat="false" ht="15" hidden="false" customHeight="false" outlineLevel="0" collapsed="false">
      <c r="A259" s="0" t="n">
        <v>258</v>
      </c>
      <c r="B259" s="0" t="str">
        <f aca="false">IFERROR(SMALL(Pipeline_Calc!$A$2:$A$5251,A259),"")</f>
        <v/>
      </c>
      <c r="C259" s="0" t="str">
        <f aca="false">IF(B259="","",MATCH(B259,Pipeline_Calc!$A$2:$A$5251,0))</f>
        <v/>
      </c>
    </row>
    <row r="260" customFormat="false" ht="15" hidden="false" customHeight="false" outlineLevel="0" collapsed="false">
      <c r="A260" s="0" t="n">
        <v>259</v>
      </c>
      <c r="B260" s="0" t="str">
        <f aca="false">IFERROR(SMALL(Pipeline_Calc!$A$2:$A$5251,A260),"")</f>
        <v/>
      </c>
      <c r="C260" s="0" t="str">
        <f aca="false">IF(B260="","",MATCH(B260,Pipeline_Calc!$A$2:$A$5251,0))</f>
        <v/>
      </c>
    </row>
    <row r="261" customFormat="false" ht="15" hidden="false" customHeight="false" outlineLevel="0" collapsed="false">
      <c r="A261" s="0" t="n">
        <v>260</v>
      </c>
      <c r="B261" s="0" t="str">
        <f aca="false">IFERROR(SMALL(Pipeline_Calc!$A$2:$A$5251,A261),"")</f>
        <v/>
      </c>
      <c r="C261" s="0" t="str">
        <f aca="false">IF(B261="","",MATCH(B261,Pipeline_Calc!$A$2:$A$5251,0))</f>
        <v/>
      </c>
    </row>
    <row r="262" customFormat="false" ht="15" hidden="false" customHeight="false" outlineLevel="0" collapsed="false">
      <c r="A262" s="0" t="n">
        <v>261</v>
      </c>
      <c r="B262" s="0" t="str">
        <f aca="false">IFERROR(SMALL(Pipeline_Calc!$A$2:$A$5251,A262),"")</f>
        <v/>
      </c>
      <c r="C262" s="0" t="str">
        <f aca="false">IF(B262="","",MATCH(B262,Pipeline_Calc!$A$2:$A$5251,0))</f>
        <v/>
      </c>
    </row>
    <row r="263" customFormat="false" ht="15" hidden="false" customHeight="false" outlineLevel="0" collapsed="false">
      <c r="A263" s="0" t="n">
        <v>262</v>
      </c>
      <c r="B263" s="0" t="str">
        <f aca="false">IFERROR(SMALL(Pipeline_Calc!$A$2:$A$5251,A263),"")</f>
        <v/>
      </c>
      <c r="C263" s="0" t="str">
        <f aca="false">IF(B263="","",MATCH(B263,Pipeline_Calc!$A$2:$A$5251,0))</f>
        <v/>
      </c>
    </row>
    <row r="264" customFormat="false" ht="15" hidden="false" customHeight="false" outlineLevel="0" collapsed="false">
      <c r="A264" s="0" t="n">
        <v>263</v>
      </c>
      <c r="B264" s="0" t="str">
        <f aca="false">IFERROR(SMALL(Pipeline_Calc!$A$2:$A$5251,A264),"")</f>
        <v/>
      </c>
      <c r="C264" s="0" t="str">
        <f aca="false">IF(B264="","",MATCH(B264,Pipeline_Calc!$A$2:$A$5251,0))</f>
        <v/>
      </c>
    </row>
    <row r="265" customFormat="false" ht="15" hidden="false" customHeight="false" outlineLevel="0" collapsed="false">
      <c r="A265" s="0" t="n">
        <v>264</v>
      </c>
      <c r="B265" s="0" t="str">
        <f aca="false">IFERROR(SMALL(Pipeline_Calc!$A$2:$A$5251,A265),"")</f>
        <v/>
      </c>
      <c r="C265" s="0" t="str">
        <f aca="false">IF(B265="","",MATCH(B265,Pipeline_Calc!$A$2:$A$5251,0))</f>
        <v/>
      </c>
    </row>
    <row r="266" customFormat="false" ht="15" hidden="false" customHeight="false" outlineLevel="0" collapsed="false">
      <c r="A266" s="0" t="n">
        <v>265</v>
      </c>
      <c r="B266" s="0" t="str">
        <f aca="false">IFERROR(SMALL(Pipeline_Calc!$A$2:$A$5251,A266),"")</f>
        <v/>
      </c>
      <c r="C266" s="0" t="str">
        <f aca="false">IF(B266="","",MATCH(B266,Pipeline_Calc!$A$2:$A$5251,0))</f>
        <v/>
      </c>
    </row>
    <row r="267" customFormat="false" ht="15" hidden="false" customHeight="false" outlineLevel="0" collapsed="false">
      <c r="A267" s="0" t="n">
        <v>266</v>
      </c>
      <c r="B267" s="0" t="str">
        <f aca="false">IFERROR(SMALL(Pipeline_Calc!$A$2:$A$5251,A267),"")</f>
        <v/>
      </c>
      <c r="C267" s="0" t="str">
        <f aca="false">IF(B267="","",MATCH(B267,Pipeline_Calc!$A$2:$A$5251,0))</f>
        <v/>
      </c>
    </row>
    <row r="268" customFormat="false" ht="15" hidden="false" customHeight="false" outlineLevel="0" collapsed="false">
      <c r="A268" s="0" t="n">
        <v>267</v>
      </c>
      <c r="B268" s="0" t="str">
        <f aca="false">IFERROR(SMALL(Pipeline_Calc!$A$2:$A$5251,A268),"")</f>
        <v/>
      </c>
      <c r="C268" s="0" t="str">
        <f aca="false">IF(B268="","",MATCH(B268,Pipeline_Calc!$A$2:$A$5251,0))</f>
        <v/>
      </c>
    </row>
    <row r="269" customFormat="false" ht="15" hidden="false" customHeight="false" outlineLevel="0" collapsed="false">
      <c r="A269" s="0" t="n">
        <v>268</v>
      </c>
      <c r="B269" s="0" t="str">
        <f aca="false">IFERROR(SMALL(Pipeline_Calc!$A$2:$A$5251,A269),"")</f>
        <v/>
      </c>
      <c r="C269" s="0" t="str">
        <f aca="false">IF(B269="","",MATCH(B269,Pipeline_Calc!$A$2:$A$5251,0))</f>
        <v/>
      </c>
    </row>
    <row r="270" customFormat="false" ht="15" hidden="false" customHeight="false" outlineLevel="0" collapsed="false">
      <c r="A270" s="0" t="n">
        <v>269</v>
      </c>
      <c r="B270" s="0" t="str">
        <f aca="false">IFERROR(SMALL(Pipeline_Calc!$A$2:$A$5251,A270),"")</f>
        <v/>
      </c>
      <c r="C270" s="0" t="str">
        <f aca="false">IF(B270="","",MATCH(B270,Pipeline_Calc!$A$2:$A$5251,0))</f>
        <v/>
      </c>
    </row>
    <row r="271" customFormat="false" ht="15" hidden="false" customHeight="false" outlineLevel="0" collapsed="false">
      <c r="A271" s="0" t="n">
        <v>270</v>
      </c>
      <c r="B271" s="0" t="str">
        <f aca="false">IFERROR(SMALL(Pipeline_Calc!$A$2:$A$5251,A271),"")</f>
        <v/>
      </c>
      <c r="C271" s="0" t="str">
        <f aca="false">IF(B271="","",MATCH(B271,Pipeline_Calc!$A$2:$A$5251,0))</f>
        <v/>
      </c>
    </row>
    <row r="272" customFormat="false" ht="15" hidden="false" customHeight="false" outlineLevel="0" collapsed="false">
      <c r="A272" s="0" t="n">
        <v>271</v>
      </c>
      <c r="B272" s="0" t="str">
        <f aca="false">IFERROR(SMALL(Pipeline_Calc!$A$2:$A$5251,A272),"")</f>
        <v/>
      </c>
      <c r="C272" s="0" t="str">
        <f aca="false">IF(B272="","",MATCH(B272,Pipeline_Calc!$A$2:$A$5251,0))</f>
        <v/>
      </c>
    </row>
    <row r="273" customFormat="false" ht="15" hidden="false" customHeight="false" outlineLevel="0" collapsed="false">
      <c r="A273" s="0" t="n">
        <v>272</v>
      </c>
      <c r="B273" s="0" t="str">
        <f aca="false">IFERROR(SMALL(Pipeline_Calc!$A$2:$A$5251,A273),"")</f>
        <v/>
      </c>
      <c r="C273" s="0" t="str">
        <f aca="false">IF(B273="","",MATCH(B273,Pipeline_Calc!$A$2:$A$5251,0))</f>
        <v/>
      </c>
    </row>
    <row r="274" customFormat="false" ht="15" hidden="false" customHeight="false" outlineLevel="0" collapsed="false">
      <c r="A274" s="0" t="n">
        <v>273</v>
      </c>
      <c r="B274" s="0" t="str">
        <f aca="false">IFERROR(SMALL(Pipeline_Calc!$A$2:$A$5251,A274),"")</f>
        <v/>
      </c>
      <c r="C274" s="0" t="str">
        <f aca="false">IF(B274="","",MATCH(B274,Pipeline_Calc!$A$2:$A$5251,0))</f>
        <v/>
      </c>
    </row>
    <row r="275" customFormat="false" ht="15" hidden="false" customHeight="false" outlineLevel="0" collapsed="false">
      <c r="A275" s="0" t="n">
        <v>274</v>
      </c>
      <c r="B275" s="0" t="str">
        <f aca="false">IFERROR(SMALL(Pipeline_Calc!$A$2:$A$5251,A275),"")</f>
        <v/>
      </c>
      <c r="C275" s="0" t="str">
        <f aca="false">IF(B275="","",MATCH(B275,Pipeline_Calc!$A$2:$A$5251,0))</f>
        <v/>
      </c>
    </row>
    <row r="276" customFormat="false" ht="15" hidden="false" customHeight="false" outlineLevel="0" collapsed="false">
      <c r="A276" s="0" t="n">
        <v>275</v>
      </c>
      <c r="B276" s="0" t="str">
        <f aca="false">IFERROR(SMALL(Pipeline_Calc!$A$2:$A$5251,A276),"")</f>
        <v/>
      </c>
      <c r="C276" s="0" t="str">
        <f aca="false">IF(B276="","",MATCH(B276,Pipeline_Calc!$A$2:$A$5251,0))</f>
        <v/>
      </c>
    </row>
    <row r="277" customFormat="false" ht="15" hidden="false" customHeight="false" outlineLevel="0" collapsed="false">
      <c r="A277" s="0" t="n">
        <v>276</v>
      </c>
      <c r="B277" s="0" t="str">
        <f aca="false">IFERROR(SMALL(Pipeline_Calc!$A$2:$A$5251,A277),"")</f>
        <v/>
      </c>
      <c r="C277" s="0" t="str">
        <f aca="false">IF(B277="","",MATCH(B277,Pipeline_Calc!$A$2:$A$5251,0))</f>
        <v/>
      </c>
    </row>
    <row r="278" customFormat="false" ht="15" hidden="false" customHeight="false" outlineLevel="0" collapsed="false">
      <c r="A278" s="0" t="n">
        <v>277</v>
      </c>
      <c r="B278" s="0" t="str">
        <f aca="false">IFERROR(SMALL(Pipeline_Calc!$A$2:$A$5251,A278),"")</f>
        <v/>
      </c>
      <c r="C278" s="0" t="str">
        <f aca="false">IF(B278="","",MATCH(B278,Pipeline_Calc!$A$2:$A$5251,0))</f>
        <v/>
      </c>
    </row>
    <row r="279" customFormat="false" ht="15" hidden="false" customHeight="false" outlineLevel="0" collapsed="false">
      <c r="A279" s="0" t="n">
        <v>278</v>
      </c>
      <c r="B279" s="0" t="str">
        <f aca="false">IFERROR(SMALL(Pipeline_Calc!$A$2:$A$5251,A279),"")</f>
        <v/>
      </c>
      <c r="C279" s="0" t="str">
        <f aca="false">IF(B279="","",MATCH(B279,Pipeline_Calc!$A$2:$A$5251,0))</f>
        <v/>
      </c>
    </row>
    <row r="280" customFormat="false" ht="15" hidden="false" customHeight="false" outlineLevel="0" collapsed="false">
      <c r="A280" s="0" t="n">
        <v>279</v>
      </c>
      <c r="B280" s="0" t="str">
        <f aca="false">IFERROR(SMALL(Pipeline_Calc!$A$2:$A$5251,A280),"")</f>
        <v/>
      </c>
      <c r="C280" s="0" t="str">
        <f aca="false">IF(B280="","",MATCH(B280,Pipeline_Calc!$A$2:$A$5251,0))</f>
        <v/>
      </c>
    </row>
    <row r="281" customFormat="false" ht="15" hidden="false" customHeight="false" outlineLevel="0" collapsed="false">
      <c r="A281" s="0" t="n">
        <v>280</v>
      </c>
      <c r="B281" s="0" t="str">
        <f aca="false">IFERROR(SMALL(Pipeline_Calc!$A$2:$A$5251,A281),"")</f>
        <v/>
      </c>
      <c r="C281" s="0" t="str">
        <f aca="false">IF(B281="","",MATCH(B281,Pipeline_Calc!$A$2:$A$5251,0))</f>
        <v/>
      </c>
    </row>
    <row r="282" customFormat="false" ht="15" hidden="false" customHeight="false" outlineLevel="0" collapsed="false">
      <c r="A282" s="0" t="n">
        <v>281</v>
      </c>
      <c r="B282" s="0" t="str">
        <f aca="false">IFERROR(SMALL(Pipeline_Calc!$A$2:$A$5251,A282),"")</f>
        <v/>
      </c>
      <c r="C282" s="0" t="str">
        <f aca="false">IF(B282="","",MATCH(B282,Pipeline_Calc!$A$2:$A$5251,0))</f>
        <v/>
      </c>
    </row>
    <row r="283" customFormat="false" ht="15" hidden="false" customHeight="false" outlineLevel="0" collapsed="false">
      <c r="A283" s="0" t="n">
        <v>282</v>
      </c>
      <c r="B283" s="0" t="str">
        <f aca="false">IFERROR(SMALL(Pipeline_Calc!$A$2:$A$5251,A283),"")</f>
        <v/>
      </c>
      <c r="C283" s="0" t="str">
        <f aca="false">IF(B283="","",MATCH(B283,Pipeline_Calc!$A$2:$A$5251,0))</f>
        <v/>
      </c>
    </row>
    <row r="284" customFormat="false" ht="15" hidden="false" customHeight="false" outlineLevel="0" collapsed="false">
      <c r="A284" s="0" t="n">
        <v>283</v>
      </c>
      <c r="B284" s="0" t="str">
        <f aca="false">IFERROR(SMALL(Pipeline_Calc!$A$2:$A$5251,A284),"")</f>
        <v/>
      </c>
      <c r="C284" s="0" t="str">
        <f aca="false">IF(B284="","",MATCH(B284,Pipeline_Calc!$A$2:$A$5251,0))</f>
        <v/>
      </c>
    </row>
    <row r="285" customFormat="false" ht="15" hidden="false" customHeight="false" outlineLevel="0" collapsed="false">
      <c r="A285" s="0" t="n">
        <v>284</v>
      </c>
      <c r="B285" s="0" t="str">
        <f aca="false">IFERROR(SMALL(Pipeline_Calc!$A$2:$A$5251,A285),"")</f>
        <v/>
      </c>
      <c r="C285" s="0" t="str">
        <f aca="false">IF(B285="","",MATCH(B285,Pipeline_Calc!$A$2:$A$5251,0))</f>
        <v/>
      </c>
    </row>
    <row r="286" customFormat="false" ht="15" hidden="false" customHeight="false" outlineLevel="0" collapsed="false">
      <c r="A286" s="0" t="n">
        <v>285</v>
      </c>
      <c r="B286" s="0" t="str">
        <f aca="false">IFERROR(SMALL(Pipeline_Calc!$A$2:$A$5251,A286),"")</f>
        <v/>
      </c>
      <c r="C286" s="0" t="str">
        <f aca="false">IF(B286="","",MATCH(B286,Pipeline_Calc!$A$2:$A$5251,0))</f>
        <v/>
      </c>
    </row>
    <row r="287" customFormat="false" ht="15" hidden="false" customHeight="false" outlineLevel="0" collapsed="false">
      <c r="A287" s="0" t="n">
        <v>286</v>
      </c>
      <c r="B287" s="0" t="str">
        <f aca="false">IFERROR(SMALL(Pipeline_Calc!$A$2:$A$5251,A287),"")</f>
        <v/>
      </c>
      <c r="C287" s="0" t="str">
        <f aca="false">IF(B287="","",MATCH(B287,Pipeline_Calc!$A$2:$A$5251,0))</f>
        <v/>
      </c>
    </row>
    <row r="288" customFormat="false" ht="15" hidden="false" customHeight="false" outlineLevel="0" collapsed="false">
      <c r="A288" s="0" t="n">
        <v>287</v>
      </c>
      <c r="B288" s="0" t="str">
        <f aca="false">IFERROR(SMALL(Pipeline_Calc!$A$2:$A$5251,A288),"")</f>
        <v/>
      </c>
      <c r="C288" s="0" t="str">
        <f aca="false">IF(B288="","",MATCH(B288,Pipeline_Calc!$A$2:$A$5251,0))</f>
        <v/>
      </c>
    </row>
    <row r="289" customFormat="false" ht="15" hidden="false" customHeight="false" outlineLevel="0" collapsed="false">
      <c r="A289" s="0" t="n">
        <v>288</v>
      </c>
      <c r="B289" s="0" t="str">
        <f aca="false">IFERROR(SMALL(Pipeline_Calc!$A$2:$A$5251,A289),"")</f>
        <v/>
      </c>
      <c r="C289" s="0" t="str">
        <f aca="false">IF(B289="","",MATCH(B289,Pipeline_Calc!$A$2:$A$5251,0))</f>
        <v/>
      </c>
    </row>
    <row r="290" customFormat="false" ht="15" hidden="false" customHeight="false" outlineLevel="0" collapsed="false">
      <c r="A290" s="0" t="n">
        <v>289</v>
      </c>
      <c r="B290" s="0" t="str">
        <f aca="false">IFERROR(SMALL(Pipeline_Calc!$A$2:$A$5251,A290),"")</f>
        <v/>
      </c>
      <c r="C290" s="0" t="str">
        <f aca="false">IF(B290="","",MATCH(B290,Pipeline_Calc!$A$2:$A$5251,0))</f>
        <v/>
      </c>
    </row>
    <row r="291" customFormat="false" ht="15" hidden="false" customHeight="false" outlineLevel="0" collapsed="false">
      <c r="A291" s="0" t="n">
        <v>290</v>
      </c>
      <c r="B291" s="0" t="str">
        <f aca="false">IFERROR(SMALL(Pipeline_Calc!$A$2:$A$5251,A291),"")</f>
        <v/>
      </c>
      <c r="C291" s="0" t="str">
        <f aca="false">IF(B291="","",MATCH(B291,Pipeline_Calc!$A$2:$A$5251,0))</f>
        <v/>
      </c>
    </row>
    <row r="292" customFormat="false" ht="15" hidden="false" customHeight="false" outlineLevel="0" collapsed="false">
      <c r="A292" s="0" t="n">
        <v>291</v>
      </c>
      <c r="B292" s="0" t="str">
        <f aca="false">IFERROR(SMALL(Pipeline_Calc!$A$2:$A$5251,A292),"")</f>
        <v/>
      </c>
      <c r="C292" s="0" t="str">
        <f aca="false">IF(B292="","",MATCH(B292,Pipeline_Calc!$A$2:$A$5251,0))</f>
        <v/>
      </c>
    </row>
    <row r="293" customFormat="false" ht="15" hidden="false" customHeight="false" outlineLevel="0" collapsed="false">
      <c r="A293" s="0" t="n">
        <v>292</v>
      </c>
      <c r="B293" s="0" t="str">
        <f aca="false">IFERROR(SMALL(Pipeline_Calc!$A$2:$A$5251,A293),"")</f>
        <v/>
      </c>
      <c r="C293" s="0" t="str">
        <f aca="false">IF(B293="","",MATCH(B293,Pipeline_Calc!$A$2:$A$5251,0))</f>
        <v/>
      </c>
    </row>
    <row r="294" customFormat="false" ht="15" hidden="false" customHeight="false" outlineLevel="0" collapsed="false">
      <c r="A294" s="0" t="n">
        <v>293</v>
      </c>
      <c r="B294" s="0" t="str">
        <f aca="false">IFERROR(SMALL(Pipeline_Calc!$A$2:$A$5251,A294),"")</f>
        <v/>
      </c>
      <c r="C294" s="0" t="str">
        <f aca="false">IF(B294="","",MATCH(B294,Pipeline_Calc!$A$2:$A$5251,0))</f>
        <v/>
      </c>
    </row>
    <row r="295" customFormat="false" ht="15" hidden="false" customHeight="false" outlineLevel="0" collapsed="false">
      <c r="A295" s="0" t="n">
        <v>294</v>
      </c>
      <c r="B295" s="0" t="str">
        <f aca="false">IFERROR(SMALL(Pipeline_Calc!$A$2:$A$5251,A295),"")</f>
        <v/>
      </c>
      <c r="C295" s="0" t="str">
        <f aca="false">IF(B295="","",MATCH(B295,Pipeline_Calc!$A$2:$A$5251,0))</f>
        <v/>
      </c>
    </row>
    <row r="296" customFormat="false" ht="15" hidden="false" customHeight="false" outlineLevel="0" collapsed="false">
      <c r="A296" s="0" t="n">
        <v>295</v>
      </c>
      <c r="B296" s="0" t="str">
        <f aca="false">IFERROR(SMALL(Pipeline_Calc!$A$2:$A$5251,A296),"")</f>
        <v/>
      </c>
      <c r="C296" s="0" t="str">
        <f aca="false">IF(B296="","",MATCH(B296,Pipeline_Calc!$A$2:$A$5251,0))</f>
        <v/>
      </c>
    </row>
    <row r="297" customFormat="false" ht="15" hidden="false" customHeight="false" outlineLevel="0" collapsed="false">
      <c r="A297" s="0" t="n">
        <v>296</v>
      </c>
      <c r="B297" s="0" t="str">
        <f aca="false">IFERROR(SMALL(Pipeline_Calc!$A$2:$A$5251,A297),"")</f>
        <v/>
      </c>
      <c r="C297" s="0" t="str">
        <f aca="false">IF(B297="","",MATCH(B297,Pipeline_Calc!$A$2:$A$5251,0))</f>
        <v/>
      </c>
    </row>
    <row r="298" customFormat="false" ht="15" hidden="false" customHeight="false" outlineLevel="0" collapsed="false">
      <c r="A298" s="0" t="n">
        <v>297</v>
      </c>
      <c r="B298" s="0" t="str">
        <f aca="false">IFERROR(SMALL(Pipeline_Calc!$A$2:$A$5251,A298),"")</f>
        <v/>
      </c>
      <c r="C298" s="0" t="str">
        <f aca="false">IF(B298="","",MATCH(B298,Pipeline_Calc!$A$2:$A$5251,0))</f>
        <v/>
      </c>
    </row>
    <row r="299" customFormat="false" ht="15" hidden="false" customHeight="false" outlineLevel="0" collapsed="false">
      <c r="A299" s="0" t="n">
        <v>298</v>
      </c>
      <c r="B299" s="0" t="str">
        <f aca="false">IFERROR(SMALL(Pipeline_Calc!$A$2:$A$5251,A299),"")</f>
        <v/>
      </c>
      <c r="C299" s="0" t="str">
        <f aca="false">IF(B299="","",MATCH(B299,Pipeline_Calc!$A$2:$A$5251,0))</f>
        <v/>
      </c>
    </row>
    <row r="300" customFormat="false" ht="15" hidden="false" customHeight="false" outlineLevel="0" collapsed="false">
      <c r="A300" s="0" t="n">
        <v>299</v>
      </c>
      <c r="B300" s="0" t="str">
        <f aca="false">IFERROR(SMALL(Pipeline_Calc!$A$2:$A$5251,A300),"")</f>
        <v/>
      </c>
      <c r="C300" s="0" t="str">
        <f aca="false">IF(B300="","",MATCH(B300,Pipeline_Calc!$A$2:$A$5251,0))</f>
        <v/>
      </c>
    </row>
    <row r="301" customFormat="false" ht="15" hidden="false" customHeight="false" outlineLevel="0" collapsed="false">
      <c r="A301" s="0" t="n">
        <v>300</v>
      </c>
      <c r="B301" s="0" t="str">
        <f aca="false">IFERROR(SMALL(Pipeline_Calc!$A$2:$A$5251,A301),"")</f>
        <v/>
      </c>
      <c r="C301" s="0" t="str">
        <f aca="false">IF(B301="","",MATCH(B301,Pipeline_Calc!$A$2:$A$5251,0))</f>
        <v/>
      </c>
    </row>
    <row r="302" customFormat="false" ht="15" hidden="false" customHeight="false" outlineLevel="0" collapsed="false">
      <c r="A302" s="0" t="n">
        <v>301</v>
      </c>
      <c r="B302" s="0" t="str">
        <f aca="false">IFERROR(SMALL(Pipeline_Calc!$A$2:$A$5251,A302),"")</f>
        <v/>
      </c>
      <c r="C302" s="0" t="str">
        <f aca="false">IF(B302="","",MATCH(B302,Pipeline_Calc!$A$2:$A$5251,0))</f>
        <v/>
      </c>
    </row>
    <row r="303" customFormat="false" ht="15" hidden="false" customHeight="false" outlineLevel="0" collapsed="false">
      <c r="A303" s="0" t="n">
        <v>302</v>
      </c>
      <c r="B303" s="0" t="str">
        <f aca="false">IFERROR(SMALL(Pipeline_Calc!$A$2:$A$5251,A303),"")</f>
        <v/>
      </c>
      <c r="C303" s="0" t="str">
        <f aca="false">IF(B303="","",MATCH(B303,Pipeline_Calc!$A$2:$A$5251,0))</f>
        <v/>
      </c>
    </row>
    <row r="304" customFormat="false" ht="15" hidden="false" customHeight="false" outlineLevel="0" collapsed="false">
      <c r="A304" s="0" t="n">
        <v>303</v>
      </c>
      <c r="B304" s="0" t="str">
        <f aca="false">IFERROR(SMALL(Pipeline_Calc!$A$2:$A$5251,A304),"")</f>
        <v/>
      </c>
      <c r="C304" s="0" t="str">
        <f aca="false">IF(B304="","",MATCH(B304,Pipeline_Calc!$A$2:$A$5251,0))</f>
        <v/>
      </c>
    </row>
    <row r="305" customFormat="false" ht="15" hidden="false" customHeight="false" outlineLevel="0" collapsed="false">
      <c r="A305" s="0" t="n">
        <v>304</v>
      </c>
      <c r="B305" s="0" t="str">
        <f aca="false">IFERROR(SMALL(Pipeline_Calc!$A$2:$A$5251,A305),"")</f>
        <v/>
      </c>
      <c r="C305" s="0" t="str">
        <f aca="false">IF(B305="","",MATCH(B305,Pipeline_Calc!$A$2:$A$5251,0))</f>
        <v/>
      </c>
    </row>
    <row r="306" customFormat="false" ht="15" hidden="false" customHeight="false" outlineLevel="0" collapsed="false">
      <c r="A306" s="0" t="n">
        <v>305</v>
      </c>
      <c r="B306" s="0" t="str">
        <f aca="false">IFERROR(SMALL(Pipeline_Calc!$A$2:$A$5251,A306),"")</f>
        <v/>
      </c>
      <c r="C306" s="0" t="str">
        <f aca="false">IF(B306="","",MATCH(B306,Pipeline_Calc!$A$2:$A$5251,0))</f>
        <v/>
      </c>
    </row>
    <row r="307" customFormat="false" ht="15" hidden="false" customHeight="false" outlineLevel="0" collapsed="false">
      <c r="A307" s="0" t="n">
        <v>306</v>
      </c>
      <c r="B307" s="0" t="str">
        <f aca="false">IFERROR(SMALL(Pipeline_Calc!$A$2:$A$5251,A307),"")</f>
        <v/>
      </c>
      <c r="C307" s="0" t="str">
        <f aca="false">IF(B307="","",MATCH(B307,Pipeline_Calc!$A$2:$A$5251,0))</f>
        <v/>
      </c>
    </row>
    <row r="308" customFormat="false" ht="15" hidden="false" customHeight="false" outlineLevel="0" collapsed="false">
      <c r="A308" s="0" t="n">
        <v>307</v>
      </c>
      <c r="B308" s="0" t="str">
        <f aca="false">IFERROR(SMALL(Pipeline_Calc!$A$2:$A$5251,A308),"")</f>
        <v/>
      </c>
      <c r="C308" s="0" t="str">
        <f aca="false">IF(B308="","",MATCH(B308,Pipeline_Calc!$A$2:$A$5251,0))</f>
        <v/>
      </c>
    </row>
    <row r="309" customFormat="false" ht="15" hidden="false" customHeight="false" outlineLevel="0" collapsed="false">
      <c r="A309" s="0" t="n">
        <v>308</v>
      </c>
      <c r="B309" s="0" t="str">
        <f aca="false">IFERROR(SMALL(Pipeline_Calc!$A$2:$A$5251,A309),"")</f>
        <v/>
      </c>
      <c r="C309" s="0" t="str">
        <f aca="false">IF(B309="","",MATCH(B309,Pipeline_Calc!$A$2:$A$5251,0))</f>
        <v/>
      </c>
    </row>
    <row r="310" customFormat="false" ht="15" hidden="false" customHeight="false" outlineLevel="0" collapsed="false">
      <c r="A310" s="0" t="n">
        <v>309</v>
      </c>
      <c r="B310" s="0" t="str">
        <f aca="false">IFERROR(SMALL(Pipeline_Calc!$A$2:$A$5251,A310),"")</f>
        <v/>
      </c>
      <c r="C310" s="0" t="str">
        <f aca="false">IF(B310="","",MATCH(B310,Pipeline_Calc!$A$2:$A$5251,0))</f>
        <v/>
      </c>
    </row>
    <row r="311" customFormat="false" ht="15" hidden="false" customHeight="false" outlineLevel="0" collapsed="false">
      <c r="A311" s="0" t="n">
        <v>310</v>
      </c>
      <c r="B311" s="0" t="str">
        <f aca="false">IFERROR(SMALL(Pipeline_Calc!$A$2:$A$5251,A311),"")</f>
        <v/>
      </c>
      <c r="C311" s="0" t="str">
        <f aca="false">IF(B311="","",MATCH(B311,Pipeline_Calc!$A$2:$A$5251,0))</f>
        <v/>
      </c>
    </row>
    <row r="312" customFormat="false" ht="15" hidden="false" customHeight="false" outlineLevel="0" collapsed="false">
      <c r="A312" s="0" t="n">
        <v>311</v>
      </c>
      <c r="B312" s="0" t="str">
        <f aca="false">IFERROR(SMALL(Pipeline_Calc!$A$2:$A$5251,A312),"")</f>
        <v/>
      </c>
      <c r="C312" s="0" t="str">
        <f aca="false">IF(B312="","",MATCH(B312,Pipeline_Calc!$A$2:$A$5251,0))</f>
        <v/>
      </c>
    </row>
    <row r="313" customFormat="false" ht="15" hidden="false" customHeight="false" outlineLevel="0" collapsed="false">
      <c r="A313" s="0" t="n">
        <v>312</v>
      </c>
      <c r="B313" s="0" t="str">
        <f aca="false">IFERROR(SMALL(Pipeline_Calc!$A$2:$A$5251,A313),"")</f>
        <v/>
      </c>
      <c r="C313" s="0" t="str">
        <f aca="false">IF(B313="","",MATCH(B313,Pipeline_Calc!$A$2:$A$5251,0))</f>
        <v/>
      </c>
    </row>
    <row r="314" customFormat="false" ht="15" hidden="false" customHeight="false" outlineLevel="0" collapsed="false">
      <c r="A314" s="0" t="n">
        <v>313</v>
      </c>
      <c r="B314" s="0" t="str">
        <f aca="false">IFERROR(SMALL(Pipeline_Calc!$A$2:$A$5251,A314),"")</f>
        <v/>
      </c>
      <c r="C314" s="0" t="str">
        <f aca="false">IF(B314="","",MATCH(B314,Pipeline_Calc!$A$2:$A$5251,0))</f>
        <v/>
      </c>
    </row>
    <row r="315" customFormat="false" ht="15" hidden="false" customHeight="false" outlineLevel="0" collapsed="false">
      <c r="A315" s="0" t="n">
        <v>314</v>
      </c>
      <c r="B315" s="0" t="str">
        <f aca="false">IFERROR(SMALL(Pipeline_Calc!$A$2:$A$5251,A315),"")</f>
        <v/>
      </c>
      <c r="C315" s="0" t="str">
        <f aca="false">IF(B315="","",MATCH(B315,Pipeline_Calc!$A$2:$A$5251,0))</f>
        <v/>
      </c>
    </row>
    <row r="316" customFormat="false" ht="15" hidden="false" customHeight="false" outlineLevel="0" collapsed="false">
      <c r="A316" s="0" t="n">
        <v>315</v>
      </c>
      <c r="B316" s="0" t="str">
        <f aca="false">IFERROR(SMALL(Pipeline_Calc!$A$2:$A$5251,A316),"")</f>
        <v/>
      </c>
      <c r="C316" s="0" t="str">
        <f aca="false">IF(B316="","",MATCH(B316,Pipeline_Calc!$A$2:$A$5251,0))</f>
        <v/>
      </c>
    </row>
    <row r="317" customFormat="false" ht="15" hidden="false" customHeight="false" outlineLevel="0" collapsed="false">
      <c r="A317" s="0" t="n">
        <v>316</v>
      </c>
      <c r="B317" s="0" t="str">
        <f aca="false">IFERROR(SMALL(Pipeline_Calc!$A$2:$A$5251,A317),"")</f>
        <v/>
      </c>
      <c r="C317" s="0" t="str">
        <f aca="false">IF(B317="","",MATCH(B317,Pipeline_Calc!$A$2:$A$5251,0))</f>
        <v/>
      </c>
    </row>
    <row r="318" customFormat="false" ht="15" hidden="false" customHeight="false" outlineLevel="0" collapsed="false">
      <c r="A318" s="0" t="n">
        <v>317</v>
      </c>
      <c r="B318" s="0" t="str">
        <f aca="false">IFERROR(SMALL(Pipeline_Calc!$A$2:$A$5251,A318),"")</f>
        <v/>
      </c>
      <c r="C318" s="0" t="str">
        <f aca="false">IF(B318="","",MATCH(B318,Pipeline_Calc!$A$2:$A$5251,0))</f>
        <v/>
      </c>
    </row>
    <row r="319" customFormat="false" ht="15" hidden="false" customHeight="false" outlineLevel="0" collapsed="false">
      <c r="A319" s="0" t="n">
        <v>318</v>
      </c>
      <c r="B319" s="0" t="str">
        <f aca="false">IFERROR(SMALL(Pipeline_Calc!$A$2:$A$5251,A319),"")</f>
        <v/>
      </c>
      <c r="C319" s="0" t="str">
        <f aca="false">IF(B319="","",MATCH(B319,Pipeline_Calc!$A$2:$A$5251,0))</f>
        <v/>
      </c>
    </row>
    <row r="320" customFormat="false" ht="15" hidden="false" customHeight="false" outlineLevel="0" collapsed="false">
      <c r="A320" s="0" t="n">
        <v>319</v>
      </c>
      <c r="B320" s="0" t="str">
        <f aca="false">IFERROR(SMALL(Pipeline_Calc!$A$2:$A$5251,A320),"")</f>
        <v/>
      </c>
      <c r="C320" s="0" t="str">
        <f aca="false">IF(B320="","",MATCH(B320,Pipeline_Calc!$A$2:$A$5251,0))</f>
        <v/>
      </c>
    </row>
    <row r="321" customFormat="false" ht="15" hidden="false" customHeight="false" outlineLevel="0" collapsed="false">
      <c r="A321" s="0" t="n">
        <v>320</v>
      </c>
      <c r="B321" s="0" t="str">
        <f aca="false">IFERROR(SMALL(Pipeline_Calc!$A$2:$A$5251,A321),"")</f>
        <v/>
      </c>
      <c r="C321" s="0" t="str">
        <f aca="false">IF(B321="","",MATCH(B321,Pipeline_Calc!$A$2:$A$5251,0))</f>
        <v/>
      </c>
    </row>
    <row r="322" customFormat="false" ht="15" hidden="false" customHeight="false" outlineLevel="0" collapsed="false">
      <c r="A322" s="0" t="n">
        <v>321</v>
      </c>
      <c r="B322" s="0" t="str">
        <f aca="false">IFERROR(SMALL(Pipeline_Calc!$A$2:$A$5251,A322),"")</f>
        <v/>
      </c>
      <c r="C322" s="0" t="str">
        <f aca="false">IF(B322="","",MATCH(B322,Pipeline_Calc!$A$2:$A$5251,0))</f>
        <v/>
      </c>
    </row>
    <row r="323" customFormat="false" ht="15" hidden="false" customHeight="false" outlineLevel="0" collapsed="false">
      <c r="A323" s="0" t="n">
        <v>322</v>
      </c>
      <c r="B323" s="0" t="str">
        <f aca="false">IFERROR(SMALL(Pipeline_Calc!$A$2:$A$5251,A323),"")</f>
        <v/>
      </c>
      <c r="C323" s="0" t="str">
        <f aca="false">IF(B323="","",MATCH(B323,Pipeline_Calc!$A$2:$A$5251,0))</f>
        <v/>
      </c>
    </row>
    <row r="324" customFormat="false" ht="15" hidden="false" customHeight="false" outlineLevel="0" collapsed="false">
      <c r="A324" s="0" t="n">
        <v>323</v>
      </c>
      <c r="B324" s="0" t="str">
        <f aca="false">IFERROR(SMALL(Pipeline_Calc!$A$2:$A$5251,A324),"")</f>
        <v/>
      </c>
      <c r="C324" s="0" t="str">
        <f aca="false">IF(B324="","",MATCH(B324,Pipeline_Calc!$A$2:$A$5251,0))</f>
        <v/>
      </c>
    </row>
    <row r="325" customFormat="false" ht="15" hidden="false" customHeight="false" outlineLevel="0" collapsed="false">
      <c r="A325" s="0" t="n">
        <v>324</v>
      </c>
      <c r="B325" s="0" t="str">
        <f aca="false">IFERROR(SMALL(Pipeline_Calc!$A$2:$A$5251,A325),"")</f>
        <v/>
      </c>
      <c r="C325" s="0" t="str">
        <f aca="false">IF(B325="","",MATCH(B325,Pipeline_Calc!$A$2:$A$5251,0))</f>
        <v/>
      </c>
    </row>
    <row r="326" customFormat="false" ht="15" hidden="false" customHeight="false" outlineLevel="0" collapsed="false">
      <c r="A326" s="0" t="n">
        <v>325</v>
      </c>
      <c r="B326" s="0" t="str">
        <f aca="false">IFERROR(SMALL(Pipeline_Calc!$A$2:$A$5251,A326),"")</f>
        <v/>
      </c>
      <c r="C326" s="0" t="str">
        <f aca="false">IF(B326="","",MATCH(B326,Pipeline_Calc!$A$2:$A$5251,0))</f>
        <v/>
      </c>
    </row>
    <row r="327" customFormat="false" ht="15" hidden="false" customHeight="false" outlineLevel="0" collapsed="false">
      <c r="A327" s="0" t="n">
        <v>326</v>
      </c>
      <c r="B327" s="0" t="str">
        <f aca="false">IFERROR(SMALL(Pipeline_Calc!$A$2:$A$5251,A327),"")</f>
        <v/>
      </c>
      <c r="C327" s="0" t="str">
        <f aca="false">IF(B327="","",MATCH(B327,Pipeline_Calc!$A$2:$A$5251,0))</f>
        <v/>
      </c>
    </row>
    <row r="328" customFormat="false" ht="15" hidden="false" customHeight="false" outlineLevel="0" collapsed="false">
      <c r="A328" s="0" t="n">
        <v>327</v>
      </c>
      <c r="B328" s="0" t="str">
        <f aca="false">IFERROR(SMALL(Pipeline_Calc!$A$2:$A$5251,A328),"")</f>
        <v/>
      </c>
      <c r="C328" s="0" t="str">
        <f aca="false">IF(B328="","",MATCH(B328,Pipeline_Calc!$A$2:$A$5251,0))</f>
        <v/>
      </c>
    </row>
    <row r="329" customFormat="false" ht="15" hidden="false" customHeight="false" outlineLevel="0" collapsed="false">
      <c r="A329" s="0" t="n">
        <v>328</v>
      </c>
      <c r="B329" s="0" t="str">
        <f aca="false">IFERROR(SMALL(Pipeline_Calc!$A$2:$A$5251,A329),"")</f>
        <v/>
      </c>
      <c r="C329" s="0" t="str">
        <f aca="false">IF(B329="","",MATCH(B329,Pipeline_Calc!$A$2:$A$5251,0))</f>
        <v/>
      </c>
    </row>
    <row r="330" customFormat="false" ht="15" hidden="false" customHeight="false" outlineLevel="0" collapsed="false">
      <c r="A330" s="0" t="n">
        <v>329</v>
      </c>
      <c r="B330" s="0" t="str">
        <f aca="false">IFERROR(SMALL(Pipeline_Calc!$A$2:$A$5251,A330),"")</f>
        <v/>
      </c>
      <c r="C330" s="0" t="str">
        <f aca="false">IF(B330="","",MATCH(B330,Pipeline_Calc!$A$2:$A$5251,0))</f>
        <v/>
      </c>
    </row>
    <row r="331" customFormat="false" ht="15" hidden="false" customHeight="false" outlineLevel="0" collapsed="false">
      <c r="A331" s="0" t="n">
        <v>330</v>
      </c>
      <c r="B331" s="0" t="str">
        <f aca="false">IFERROR(SMALL(Pipeline_Calc!$A$2:$A$5251,A331),"")</f>
        <v/>
      </c>
      <c r="C331" s="0" t="str">
        <f aca="false">IF(B331="","",MATCH(B331,Pipeline_Calc!$A$2:$A$5251,0))</f>
        <v/>
      </c>
    </row>
    <row r="332" customFormat="false" ht="15" hidden="false" customHeight="false" outlineLevel="0" collapsed="false">
      <c r="A332" s="0" t="n">
        <v>331</v>
      </c>
      <c r="B332" s="0" t="str">
        <f aca="false">IFERROR(SMALL(Pipeline_Calc!$A$2:$A$5251,A332),"")</f>
        <v/>
      </c>
      <c r="C332" s="0" t="str">
        <f aca="false">IF(B332="","",MATCH(B332,Pipeline_Calc!$A$2:$A$5251,0))</f>
        <v/>
      </c>
    </row>
    <row r="333" customFormat="false" ht="15" hidden="false" customHeight="false" outlineLevel="0" collapsed="false">
      <c r="A333" s="0" t="n">
        <v>332</v>
      </c>
      <c r="B333" s="0" t="str">
        <f aca="false">IFERROR(SMALL(Pipeline_Calc!$A$2:$A$5251,A333),"")</f>
        <v/>
      </c>
      <c r="C333" s="0" t="str">
        <f aca="false">IF(B333="","",MATCH(B333,Pipeline_Calc!$A$2:$A$5251,0))</f>
        <v/>
      </c>
    </row>
    <row r="334" customFormat="false" ht="15" hidden="false" customHeight="false" outlineLevel="0" collapsed="false">
      <c r="A334" s="0" t="n">
        <v>333</v>
      </c>
      <c r="B334" s="0" t="str">
        <f aca="false">IFERROR(SMALL(Pipeline_Calc!$A$2:$A$5251,A334),"")</f>
        <v/>
      </c>
      <c r="C334" s="0" t="str">
        <f aca="false">IF(B334="","",MATCH(B334,Pipeline_Calc!$A$2:$A$5251,0))</f>
        <v/>
      </c>
    </row>
    <row r="335" customFormat="false" ht="15" hidden="false" customHeight="false" outlineLevel="0" collapsed="false">
      <c r="A335" s="0" t="n">
        <v>334</v>
      </c>
      <c r="B335" s="0" t="str">
        <f aca="false">IFERROR(SMALL(Pipeline_Calc!$A$2:$A$5251,A335),"")</f>
        <v/>
      </c>
      <c r="C335" s="0" t="str">
        <f aca="false">IF(B335="","",MATCH(B335,Pipeline_Calc!$A$2:$A$5251,0))</f>
        <v/>
      </c>
    </row>
    <row r="336" customFormat="false" ht="15" hidden="false" customHeight="false" outlineLevel="0" collapsed="false">
      <c r="A336" s="0" t="n">
        <v>335</v>
      </c>
      <c r="B336" s="0" t="str">
        <f aca="false">IFERROR(SMALL(Pipeline_Calc!$A$2:$A$5251,A336),"")</f>
        <v/>
      </c>
      <c r="C336" s="0" t="str">
        <f aca="false">IF(B336="","",MATCH(B336,Pipeline_Calc!$A$2:$A$5251,0))</f>
        <v/>
      </c>
    </row>
    <row r="337" customFormat="false" ht="15" hidden="false" customHeight="false" outlineLevel="0" collapsed="false">
      <c r="A337" s="0" t="n">
        <v>336</v>
      </c>
      <c r="B337" s="0" t="str">
        <f aca="false">IFERROR(SMALL(Pipeline_Calc!$A$2:$A$5251,A337),"")</f>
        <v/>
      </c>
      <c r="C337" s="0" t="str">
        <f aca="false">IF(B337="","",MATCH(B337,Pipeline_Calc!$A$2:$A$5251,0))</f>
        <v/>
      </c>
    </row>
    <row r="338" customFormat="false" ht="15" hidden="false" customHeight="false" outlineLevel="0" collapsed="false">
      <c r="A338" s="0" t="n">
        <v>337</v>
      </c>
      <c r="B338" s="0" t="str">
        <f aca="false">IFERROR(SMALL(Pipeline_Calc!$A$2:$A$5251,A338),"")</f>
        <v/>
      </c>
      <c r="C338" s="0" t="str">
        <f aca="false">IF(B338="","",MATCH(B338,Pipeline_Calc!$A$2:$A$5251,0))</f>
        <v/>
      </c>
    </row>
    <row r="339" customFormat="false" ht="15" hidden="false" customHeight="false" outlineLevel="0" collapsed="false">
      <c r="A339" s="0" t="n">
        <v>338</v>
      </c>
      <c r="B339" s="0" t="str">
        <f aca="false">IFERROR(SMALL(Pipeline_Calc!$A$2:$A$5251,A339),"")</f>
        <v/>
      </c>
      <c r="C339" s="0" t="str">
        <f aca="false">IF(B339="","",MATCH(B339,Pipeline_Calc!$A$2:$A$5251,0))</f>
        <v/>
      </c>
    </row>
    <row r="340" customFormat="false" ht="15" hidden="false" customHeight="false" outlineLevel="0" collapsed="false">
      <c r="A340" s="0" t="n">
        <v>339</v>
      </c>
      <c r="B340" s="0" t="str">
        <f aca="false">IFERROR(SMALL(Pipeline_Calc!$A$2:$A$5251,A340),"")</f>
        <v/>
      </c>
      <c r="C340" s="0" t="str">
        <f aca="false">IF(B340="","",MATCH(B340,Pipeline_Calc!$A$2:$A$5251,0))</f>
        <v/>
      </c>
    </row>
    <row r="341" customFormat="false" ht="15" hidden="false" customHeight="false" outlineLevel="0" collapsed="false">
      <c r="A341" s="0" t="n">
        <v>340</v>
      </c>
      <c r="B341" s="0" t="str">
        <f aca="false">IFERROR(SMALL(Pipeline_Calc!$A$2:$A$5251,A341),"")</f>
        <v/>
      </c>
      <c r="C341" s="0" t="str">
        <f aca="false">IF(B341="","",MATCH(B341,Pipeline_Calc!$A$2:$A$5251,0))</f>
        <v/>
      </c>
    </row>
    <row r="342" customFormat="false" ht="15" hidden="false" customHeight="false" outlineLevel="0" collapsed="false">
      <c r="A342" s="0" t="n">
        <v>341</v>
      </c>
      <c r="B342" s="0" t="str">
        <f aca="false">IFERROR(SMALL(Pipeline_Calc!$A$2:$A$5251,A342),"")</f>
        <v/>
      </c>
      <c r="C342" s="0" t="str">
        <f aca="false">IF(B342="","",MATCH(B342,Pipeline_Calc!$A$2:$A$5251,0))</f>
        <v/>
      </c>
    </row>
    <row r="343" customFormat="false" ht="15" hidden="false" customHeight="false" outlineLevel="0" collapsed="false">
      <c r="A343" s="0" t="n">
        <v>342</v>
      </c>
      <c r="B343" s="0" t="str">
        <f aca="false">IFERROR(SMALL(Pipeline_Calc!$A$2:$A$5251,A343),"")</f>
        <v/>
      </c>
      <c r="C343" s="0" t="str">
        <f aca="false">IF(B343="","",MATCH(B343,Pipeline_Calc!$A$2:$A$5251,0))</f>
        <v/>
      </c>
    </row>
    <row r="344" customFormat="false" ht="15" hidden="false" customHeight="false" outlineLevel="0" collapsed="false">
      <c r="A344" s="0" t="n">
        <v>343</v>
      </c>
      <c r="B344" s="0" t="str">
        <f aca="false">IFERROR(SMALL(Pipeline_Calc!$A$2:$A$5251,A344),"")</f>
        <v/>
      </c>
      <c r="C344" s="0" t="str">
        <f aca="false">IF(B344="","",MATCH(B344,Pipeline_Calc!$A$2:$A$5251,0))</f>
        <v/>
      </c>
    </row>
    <row r="345" customFormat="false" ht="15" hidden="false" customHeight="false" outlineLevel="0" collapsed="false">
      <c r="A345" s="0" t="n">
        <v>344</v>
      </c>
      <c r="B345" s="0" t="str">
        <f aca="false">IFERROR(SMALL(Pipeline_Calc!$A$2:$A$5251,A345),"")</f>
        <v/>
      </c>
      <c r="C345" s="0" t="str">
        <f aca="false">IF(B345="","",MATCH(B345,Pipeline_Calc!$A$2:$A$5251,0))</f>
        <v/>
      </c>
    </row>
    <row r="346" customFormat="false" ht="15" hidden="false" customHeight="false" outlineLevel="0" collapsed="false">
      <c r="A346" s="0" t="n">
        <v>345</v>
      </c>
      <c r="B346" s="0" t="str">
        <f aca="false">IFERROR(SMALL(Pipeline_Calc!$A$2:$A$5251,A346),"")</f>
        <v/>
      </c>
      <c r="C346" s="0" t="str">
        <f aca="false">IF(B346="","",MATCH(B346,Pipeline_Calc!$A$2:$A$5251,0))</f>
        <v/>
      </c>
    </row>
    <row r="347" customFormat="false" ht="15" hidden="false" customHeight="false" outlineLevel="0" collapsed="false">
      <c r="A347" s="0" t="n">
        <v>346</v>
      </c>
      <c r="B347" s="0" t="str">
        <f aca="false">IFERROR(SMALL(Pipeline_Calc!$A$2:$A$5251,A347),"")</f>
        <v/>
      </c>
      <c r="C347" s="0" t="str">
        <f aca="false">IF(B347="","",MATCH(B347,Pipeline_Calc!$A$2:$A$5251,0))</f>
        <v/>
      </c>
    </row>
    <row r="348" customFormat="false" ht="15" hidden="false" customHeight="false" outlineLevel="0" collapsed="false">
      <c r="A348" s="0" t="n">
        <v>347</v>
      </c>
      <c r="B348" s="0" t="str">
        <f aca="false">IFERROR(SMALL(Pipeline_Calc!$A$2:$A$5251,A348),"")</f>
        <v/>
      </c>
      <c r="C348" s="0" t="str">
        <f aca="false">IF(B348="","",MATCH(B348,Pipeline_Calc!$A$2:$A$5251,0))</f>
        <v/>
      </c>
    </row>
    <row r="349" customFormat="false" ht="15" hidden="false" customHeight="false" outlineLevel="0" collapsed="false">
      <c r="A349" s="0" t="n">
        <v>348</v>
      </c>
      <c r="B349" s="0" t="str">
        <f aca="false">IFERROR(SMALL(Pipeline_Calc!$A$2:$A$5251,A349),"")</f>
        <v/>
      </c>
      <c r="C349" s="0" t="str">
        <f aca="false">IF(B349="","",MATCH(B349,Pipeline_Calc!$A$2:$A$5251,0))</f>
        <v/>
      </c>
    </row>
    <row r="350" customFormat="false" ht="15" hidden="false" customHeight="false" outlineLevel="0" collapsed="false">
      <c r="A350" s="0" t="n">
        <v>349</v>
      </c>
      <c r="B350" s="0" t="str">
        <f aca="false">IFERROR(SMALL(Pipeline_Calc!$A$2:$A$5251,A350),"")</f>
        <v/>
      </c>
      <c r="C350" s="0" t="str">
        <f aca="false">IF(B350="","",MATCH(B350,Pipeline_Calc!$A$2:$A$5251,0))</f>
        <v/>
      </c>
    </row>
    <row r="351" customFormat="false" ht="15" hidden="false" customHeight="false" outlineLevel="0" collapsed="false">
      <c r="A351" s="0" t="n">
        <v>350</v>
      </c>
      <c r="B351" s="0" t="str">
        <f aca="false">IFERROR(SMALL(Pipeline_Calc!$A$2:$A$5251,A351),"")</f>
        <v/>
      </c>
      <c r="C351" s="0" t="str">
        <f aca="false">IF(B351="","",MATCH(B351,Pipeline_Calc!$A$2:$A$5251,0))</f>
        <v/>
      </c>
    </row>
    <row r="352" customFormat="false" ht="15" hidden="false" customHeight="false" outlineLevel="0" collapsed="false">
      <c r="A352" s="0" t="n">
        <v>351</v>
      </c>
      <c r="B352" s="0" t="str">
        <f aca="false">IFERROR(SMALL(Pipeline_Calc!$A$2:$A$5251,A352),"")</f>
        <v/>
      </c>
      <c r="C352" s="0" t="str">
        <f aca="false">IF(B352="","",MATCH(B352,Pipeline_Calc!$A$2:$A$5251,0))</f>
        <v/>
      </c>
    </row>
    <row r="353" customFormat="false" ht="15" hidden="false" customHeight="false" outlineLevel="0" collapsed="false">
      <c r="A353" s="0" t="n">
        <v>352</v>
      </c>
      <c r="B353" s="0" t="str">
        <f aca="false">IFERROR(SMALL(Pipeline_Calc!$A$2:$A$5251,A353),"")</f>
        <v/>
      </c>
      <c r="C353" s="0" t="str">
        <f aca="false">IF(B353="","",MATCH(B353,Pipeline_Calc!$A$2:$A$5251,0))</f>
        <v/>
      </c>
    </row>
    <row r="354" customFormat="false" ht="15" hidden="false" customHeight="false" outlineLevel="0" collapsed="false">
      <c r="A354" s="0" t="n">
        <v>353</v>
      </c>
      <c r="B354" s="0" t="str">
        <f aca="false">IFERROR(SMALL(Pipeline_Calc!$A$2:$A$5251,A354),"")</f>
        <v/>
      </c>
      <c r="C354" s="0" t="str">
        <f aca="false">IF(B354="","",MATCH(B354,Pipeline_Calc!$A$2:$A$5251,0))</f>
        <v/>
      </c>
    </row>
    <row r="355" customFormat="false" ht="15" hidden="false" customHeight="false" outlineLevel="0" collapsed="false">
      <c r="A355" s="0" t="n">
        <v>354</v>
      </c>
      <c r="B355" s="0" t="str">
        <f aca="false">IFERROR(SMALL(Pipeline_Calc!$A$2:$A$5251,A355),"")</f>
        <v/>
      </c>
      <c r="C355" s="0" t="str">
        <f aca="false">IF(B355="","",MATCH(B355,Pipeline_Calc!$A$2:$A$5251,0))</f>
        <v/>
      </c>
    </row>
    <row r="356" customFormat="false" ht="15" hidden="false" customHeight="false" outlineLevel="0" collapsed="false">
      <c r="A356" s="0" t="n">
        <v>355</v>
      </c>
      <c r="B356" s="0" t="str">
        <f aca="false">IFERROR(SMALL(Pipeline_Calc!$A$2:$A$5251,A356),"")</f>
        <v/>
      </c>
      <c r="C356" s="0" t="str">
        <f aca="false">IF(B356="","",MATCH(B356,Pipeline_Calc!$A$2:$A$5251,0))</f>
        <v/>
      </c>
    </row>
    <row r="357" customFormat="false" ht="15" hidden="false" customHeight="false" outlineLevel="0" collapsed="false">
      <c r="A357" s="0" t="n">
        <v>356</v>
      </c>
      <c r="B357" s="0" t="str">
        <f aca="false">IFERROR(SMALL(Pipeline_Calc!$A$2:$A$5251,A357),"")</f>
        <v/>
      </c>
      <c r="C357" s="0" t="str">
        <f aca="false">IF(B357="","",MATCH(B357,Pipeline_Calc!$A$2:$A$5251,0))</f>
        <v/>
      </c>
    </row>
    <row r="358" customFormat="false" ht="15" hidden="false" customHeight="false" outlineLevel="0" collapsed="false">
      <c r="A358" s="0" t="n">
        <v>357</v>
      </c>
      <c r="B358" s="0" t="str">
        <f aca="false">IFERROR(SMALL(Pipeline_Calc!$A$2:$A$5251,A358),"")</f>
        <v/>
      </c>
      <c r="C358" s="0" t="str">
        <f aca="false">IF(B358="","",MATCH(B358,Pipeline_Calc!$A$2:$A$5251,0))</f>
        <v/>
      </c>
    </row>
    <row r="359" customFormat="false" ht="15" hidden="false" customHeight="false" outlineLevel="0" collapsed="false">
      <c r="A359" s="0" t="n">
        <v>358</v>
      </c>
      <c r="B359" s="0" t="str">
        <f aca="false">IFERROR(SMALL(Pipeline_Calc!$A$2:$A$5251,A359),"")</f>
        <v/>
      </c>
      <c r="C359" s="0" t="str">
        <f aca="false">IF(B359="","",MATCH(B359,Pipeline_Calc!$A$2:$A$5251,0))</f>
        <v/>
      </c>
    </row>
    <row r="360" customFormat="false" ht="15" hidden="false" customHeight="false" outlineLevel="0" collapsed="false">
      <c r="A360" s="0" t="n">
        <v>359</v>
      </c>
      <c r="B360" s="0" t="str">
        <f aca="false">IFERROR(SMALL(Pipeline_Calc!$A$2:$A$5251,A360),"")</f>
        <v/>
      </c>
      <c r="C360" s="0" t="str">
        <f aca="false">IF(B360="","",MATCH(B360,Pipeline_Calc!$A$2:$A$5251,0))</f>
        <v/>
      </c>
    </row>
    <row r="361" customFormat="false" ht="15" hidden="false" customHeight="false" outlineLevel="0" collapsed="false">
      <c r="A361" s="0" t="n">
        <v>360</v>
      </c>
      <c r="B361" s="0" t="str">
        <f aca="false">IFERROR(SMALL(Pipeline_Calc!$A$2:$A$5251,A361),"")</f>
        <v/>
      </c>
      <c r="C361" s="0" t="str">
        <f aca="false">IF(B361="","",MATCH(B361,Pipeline_Calc!$A$2:$A$5251,0))</f>
        <v/>
      </c>
    </row>
    <row r="362" customFormat="false" ht="15" hidden="false" customHeight="false" outlineLevel="0" collapsed="false">
      <c r="A362" s="0" t="n">
        <v>361</v>
      </c>
      <c r="B362" s="0" t="str">
        <f aca="false">IFERROR(SMALL(Pipeline_Calc!$A$2:$A$5251,A362),"")</f>
        <v/>
      </c>
      <c r="C362" s="0" t="str">
        <f aca="false">IF(B362="","",MATCH(B362,Pipeline_Calc!$A$2:$A$5251,0))</f>
        <v/>
      </c>
    </row>
    <row r="363" customFormat="false" ht="15" hidden="false" customHeight="false" outlineLevel="0" collapsed="false">
      <c r="A363" s="0" t="n">
        <v>362</v>
      </c>
      <c r="B363" s="0" t="str">
        <f aca="false">IFERROR(SMALL(Pipeline_Calc!$A$2:$A$5251,A363),"")</f>
        <v/>
      </c>
      <c r="C363" s="0" t="str">
        <f aca="false">IF(B363="","",MATCH(B363,Pipeline_Calc!$A$2:$A$5251,0))</f>
        <v/>
      </c>
    </row>
    <row r="364" customFormat="false" ht="15" hidden="false" customHeight="false" outlineLevel="0" collapsed="false">
      <c r="A364" s="0" t="n">
        <v>363</v>
      </c>
      <c r="B364" s="0" t="str">
        <f aca="false">IFERROR(SMALL(Pipeline_Calc!$A$2:$A$5251,A364),"")</f>
        <v/>
      </c>
      <c r="C364" s="0" t="str">
        <f aca="false">IF(B364="","",MATCH(B364,Pipeline_Calc!$A$2:$A$5251,0))</f>
        <v/>
      </c>
    </row>
    <row r="365" customFormat="false" ht="15" hidden="false" customHeight="false" outlineLevel="0" collapsed="false">
      <c r="A365" s="0" t="n">
        <v>364</v>
      </c>
      <c r="B365" s="0" t="str">
        <f aca="false">IFERROR(SMALL(Pipeline_Calc!$A$2:$A$5251,A365),"")</f>
        <v/>
      </c>
      <c r="C365" s="0" t="str">
        <f aca="false">IF(B365="","",MATCH(B365,Pipeline_Calc!$A$2:$A$5251,0))</f>
        <v/>
      </c>
    </row>
    <row r="366" customFormat="false" ht="15" hidden="false" customHeight="false" outlineLevel="0" collapsed="false">
      <c r="A366" s="0" t="n">
        <v>365</v>
      </c>
      <c r="B366" s="0" t="str">
        <f aca="false">IFERROR(SMALL(Pipeline_Calc!$A$2:$A$5251,A366),"")</f>
        <v/>
      </c>
      <c r="C366" s="0" t="str">
        <f aca="false">IF(B366="","",MATCH(B366,Pipeline_Calc!$A$2:$A$5251,0))</f>
        <v/>
      </c>
    </row>
    <row r="367" customFormat="false" ht="15" hidden="false" customHeight="false" outlineLevel="0" collapsed="false">
      <c r="A367" s="0" t="n">
        <v>366</v>
      </c>
      <c r="B367" s="0" t="str">
        <f aca="false">IFERROR(SMALL(Pipeline_Calc!$A$2:$A$5251,A367),"")</f>
        <v/>
      </c>
      <c r="C367" s="0" t="str">
        <f aca="false">IF(B367="","",MATCH(B367,Pipeline_Calc!$A$2:$A$5251,0))</f>
        <v/>
      </c>
    </row>
    <row r="368" customFormat="false" ht="15" hidden="false" customHeight="false" outlineLevel="0" collapsed="false">
      <c r="A368" s="0" t="n">
        <v>367</v>
      </c>
      <c r="B368" s="0" t="str">
        <f aca="false">IFERROR(SMALL(Pipeline_Calc!$A$2:$A$5251,A368),"")</f>
        <v/>
      </c>
      <c r="C368" s="0" t="str">
        <f aca="false">IF(B368="","",MATCH(B368,Pipeline_Calc!$A$2:$A$5251,0))</f>
        <v/>
      </c>
    </row>
    <row r="369" customFormat="false" ht="15" hidden="false" customHeight="false" outlineLevel="0" collapsed="false">
      <c r="A369" s="0" t="n">
        <v>368</v>
      </c>
      <c r="B369" s="0" t="str">
        <f aca="false">IFERROR(SMALL(Pipeline_Calc!$A$2:$A$5251,A369),"")</f>
        <v/>
      </c>
      <c r="C369" s="0" t="str">
        <f aca="false">IF(B369="","",MATCH(B369,Pipeline_Calc!$A$2:$A$5251,0))</f>
        <v/>
      </c>
    </row>
    <row r="370" customFormat="false" ht="15" hidden="false" customHeight="false" outlineLevel="0" collapsed="false">
      <c r="A370" s="0" t="n">
        <v>369</v>
      </c>
      <c r="B370" s="0" t="str">
        <f aca="false">IFERROR(SMALL(Pipeline_Calc!$A$2:$A$5251,A370),"")</f>
        <v/>
      </c>
      <c r="C370" s="0" t="str">
        <f aca="false">IF(B370="","",MATCH(B370,Pipeline_Calc!$A$2:$A$5251,0))</f>
        <v/>
      </c>
    </row>
    <row r="371" customFormat="false" ht="15" hidden="false" customHeight="false" outlineLevel="0" collapsed="false">
      <c r="A371" s="0" t="n">
        <v>370</v>
      </c>
      <c r="B371" s="0" t="str">
        <f aca="false">IFERROR(SMALL(Pipeline_Calc!$A$2:$A$5251,A371),"")</f>
        <v/>
      </c>
      <c r="C371" s="0" t="str">
        <f aca="false">IF(B371="","",MATCH(B371,Pipeline_Calc!$A$2:$A$5251,0))</f>
        <v/>
      </c>
    </row>
    <row r="372" customFormat="false" ht="15" hidden="false" customHeight="false" outlineLevel="0" collapsed="false">
      <c r="A372" s="0" t="n">
        <v>371</v>
      </c>
      <c r="B372" s="0" t="str">
        <f aca="false">IFERROR(SMALL(Pipeline_Calc!$A$2:$A$5251,A372),"")</f>
        <v/>
      </c>
      <c r="C372" s="0" t="str">
        <f aca="false">IF(B372="","",MATCH(B372,Pipeline_Calc!$A$2:$A$5251,0))</f>
        <v/>
      </c>
    </row>
    <row r="373" customFormat="false" ht="15" hidden="false" customHeight="false" outlineLevel="0" collapsed="false">
      <c r="A373" s="0" t="n">
        <v>372</v>
      </c>
      <c r="B373" s="0" t="str">
        <f aca="false">IFERROR(SMALL(Pipeline_Calc!$A$2:$A$5251,A373),"")</f>
        <v/>
      </c>
      <c r="C373" s="0" t="str">
        <f aca="false">IF(B373="","",MATCH(B373,Pipeline_Calc!$A$2:$A$5251,0))</f>
        <v/>
      </c>
    </row>
    <row r="374" customFormat="false" ht="15" hidden="false" customHeight="false" outlineLevel="0" collapsed="false">
      <c r="A374" s="0" t="n">
        <v>373</v>
      </c>
      <c r="B374" s="0" t="str">
        <f aca="false">IFERROR(SMALL(Pipeline_Calc!$A$2:$A$5251,A374),"")</f>
        <v/>
      </c>
      <c r="C374" s="0" t="str">
        <f aca="false">IF(B374="","",MATCH(B374,Pipeline_Calc!$A$2:$A$5251,0))</f>
        <v/>
      </c>
    </row>
    <row r="375" customFormat="false" ht="15" hidden="false" customHeight="false" outlineLevel="0" collapsed="false">
      <c r="A375" s="0" t="n">
        <v>374</v>
      </c>
      <c r="B375" s="0" t="str">
        <f aca="false">IFERROR(SMALL(Pipeline_Calc!$A$2:$A$5251,A375),"")</f>
        <v/>
      </c>
      <c r="C375" s="0" t="str">
        <f aca="false">IF(B375="","",MATCH(B375,Pipeline_Calc!$A$2:$A$5251,0))</f>
        <v/>
      </c>
    </row>
    <row r="376" customFormat="false" ht="15" hidden="false" customHeight="false" outlineLevel="0" collapsed="false">
      <c r="A376" s="0" t="n">
        <v>375</v>
      </c>
      <c r="B376" s="0" t="str">
        <f aca="false">IFERROR(SMALL(Pipeline_Calc!$A$2:$A$5251,A376),"")</f>
        <v/>
      </c>
      <c r="C376" s="0" t="str">
        <f aca="false">IF(B376="","",MATCH(B376,Pipeline_Calc!$A$2:$A$5251,0))</f>
        <v/>
      </c>
    </row>
    <row r="377" customFormat="false" ht="15" hidden="false" customHeight="false" outlineLevel="0" collapsed="false">
      <c r="A377" s="0" t="n">
        <v>376</v>
      </c>
      <c r="B377" s="0" t="str">
        <f aca="false">IFERROR(SMALL(Pipeline_Calc!$A$2:$A$5251,A377),"")</f>
        <v/>
      </c>
      <c r="C377" s="0" t="str">
        <f aca="false">IF(B377="","",MATCH(B377,Pipeline_Calc!$A$2:$A$5251,0))</f>
        <v/>
      </c>
    </row>
    <row r="378" customFormat="false" ht="15" hidden="false" customHeight="false" outlineLevel="0" collapsed="false">
      <c r="A378" s="0" t="n">
        <v>377</v>
      </c>
      <c r="B378" s="0" t="str">
        <f aca="false">IFERROR(SMALL(Pipeline_Calc!$A$2:$A$5251,A378),"")</f>
        <v/>
      </c>
      <c r="C378" s="0" t="str">
        <f aca="false">IF(B378="","",MATCH(B378,Pipeline_Calc!$A$2:$A$5251,0))</f>
        <v/>
      </c>
    </row>
    <row r="379" customFormat="false" ht="15" hidden="false" customHeight="false" outlineLevel="0" collapsed="false">
      <c r="A379" s="0" t="n">
        <v>378</v>
      </c>
      <c r="B379" s="0" t="str">
        <f aca="false">IFERROR(SMALL(Pipeline_Calc!$A$2:$A$5251,A379),"")</f>
        <v/>
      </c>
      <c r="C379" s="0" t="str">
        <f aca="false">IF(B379="","",MATCH(B379,Pipeline_Calc!$A$2:$A$5251,0))</f>
        <v/>
      </c>
    </row>
    <row r="380" customFormat="false" ht="15" hidden="false" customHeight="false" outlineLevel="0" collapsed="false">
      <c r="A380" s="0" t="n">
        <v>379</v>
      </c>
      <c r="B380" s="0" t="str">
        <f aca="false">IFERROR(SMALL(Pipeline_Calc!$A$2:$A$5251,A380),"")</f>
        <v/>
      </c>
      <c r="C380" s="0" t="str">
        <f aca="false">IF(B380="","",MATCH(B380,Pipeline_Calc!$A$2:$A$5251,0))</f>
        <v/>
      </c>
    </row>
    <row r="381" customFormat="false" ht="15" hidden="false" customHeight="false" outlineLevel="0" collapsed="false">
      <c r="A381" s="0" t="n">
        <v>380</v>
      </c>
      <c r="B381" s="0" t="str">
        <f aca="false">IFERROR(SMALL(Pipeline_Calc!$A$2:$A$5251,A381),"")</f>
        <v/>
      </c>
      <c r="C381" s="0" t="str">
        <f aca="false">IF(B381="","",MATCH(B381,Pipeline_Calc!$A$2:$A$5251,0))</f>
        <v/>
      </c>
    </row>
    <row r="382" customFormat="false" ht="15" hidden="false" customHeight="false" outlineLevel="0" collapsed="false">
      <c r="A382" s="0" t="n">
        <v>381</v>
      </c>
      <c r="B382" s="0" t="str">
        <f aca="false">IFERROR(SMALL(Pipeline_Calc!$A$2:$A$5251,A382),"")</f>
        <v/>
      </c>
      <c r="C382" s="0" t="str">
        <f aca="false">IF(B382="","",MATCH(B382,Pipeline_Calc!$A$2:$A$5251,0))</f>
        <v/>
      </c>
    </row>
    <row r="383" customFormat="false" ht="15" hidden="false" customHeight="false" outlineLevel="0" collapsed="false">
      <c r="A383" s="0" t="n">
        <v>382</v>
      </c>
      <c r="B383" s="0" t="str">
        <f aca="false">IFERROR(SMALL(Pipeline_Calc!$A$2:$A$5251,A383),"")</f>
        <v/>
      </c>
      <c r="C383" s="0" t="str">
        <f aca="false">IF(B383="","",MATCH(B383,Pipeline_Calc!$A$2:$A$5251,0))</f>
        <v/>
      </c>
    </row>
    <row r="384" customFormat="false" ht="15" hidden="false" customHeight="false" outlineLevel="0" collapsed="false">
      <c r="A384" s="0" t="n">
        <v>383</v>
      </c>
      <c r="B384" s="0" t="str">
        <f aca="false">IFERROR(SMALL(Pipeline_Calc!$A$2:$A$5251,A384),"")</f>
        <v/>
      </c>
      <c r="C384" s="0" t="str">
        <f aca="false">IF(B384="","",MATCH(B384,Pipeline_Calc!$A$2:$A$5251,0))</f>
        <v/>
      </c>
    </row>
    <row r="385" customFormat="false" ht="15" hidden="false" customHeight="false" outlineLevel="0" collapsed="false">
      <c r="A385" s="0" t="n">
        <v>384</v>
      </c>
      <c r="B385" s="0" t="str">
        <f aca="false">IFERROR(SMALL(Pipeline_Calc!$A$2:$A$5251,A385),"")</f>
        <v/>
      </c>
      <c r="C385" s="0" t="str">
        <f aca="false">IF(B385="","",MATCH(B385,Pipeline_Calc!$A$2:$A$5251,0))</f>
        <v/>
      </c>
    </row>
    <row r="386" customFormat="false" ht="15" hidden="false" customHeight="false" outlineLevel="0" collapsed="false">
      <c r="A386" s="0" t="n">
        <v>385</v>
      </c>
      <c r="B386" s="0" t="str">
        <f aca="false">IFERROR(SMALL(Pipeline_Calc!$A$2:$A$5251,A386),"")</f>
        <v/>
      </c>
      <c r="C386" s="0" t="str">
        <f aca="false">IF(B386="","",MATCH(B386,Pipeline_Calc!$A$2:$A$5251,0))</f>
        <v/>
      </c>
    </row>
    <row r="387" customFormat="false" ht="15" hidden="false" customHeight="false" outlineLevel="0" collapsed="false">
      <c r="A387" s="0" t="n">
        <v>386</v>
      </c>
      <c r="B387" s="0" t="str">
        <f aca="false">IFERROR(SMALL(Pipeline_Calc!$A$2:$A$5251,A387),"")</f>
        <v/>
      </c>
      <c r="C387" s="0" t="str">
        <f aca="false">IF(B387="","",MATCH(B387,Pipeline_Calc!$A$2:$A$5251,0))</f>
        <v/>
      </c>
    </row>
    <row r="388" customFormat="false" ht="15" hidden="false" customHeight="false" outlineLevel="0" collapsed="false">
      <c r="A388" s="0" t="n">
        <v>387</v>
      </c>
      <c r="B388" s="0" t="str">
        <f aca="false">IFERROR(SMALL(Pipeline_Calc!$A$2:$A$5251,A388),"")</f>
        <v/>
      </c>
      <c r="C388" s="0" t="str">
        <f aca="false">IF(B388="","",MATCH(B388,Pipeline_Calc!$A$2:$A$5251,0))</f>
        <v/>
      </c>
    </row>
    <row r="389" customFormat="false" ht="15" hidden="false" customHeight="false" outlineLevel="0" collapsed="false">
      <c r="A389" s="0" t="n">
        <v>388</v>
      </c>
      <c r="B389" s="0" t="str">
        <f aca="false">IFERROR(SMALL(Pipeline_Calc!$A$2:$A$5251,A389),"")</f>
        <v/>
      </c>
      <c r="C389" s="0" t="str">
        <f aca="false">IF(B389="","",MATCH(B389,Pipeline_Calc!$A$2:$A$5251,0))</f>
        <v/>
      </c>
    </row>
    <row r="390" customFormat="false" ht="15" hidden="false" customHeight="false" outlineLevel="0" collapsed="false">
      <c r="A390" s="0" t="n">
        <v>389</v>
      </c>
      <c r="B390" s="0" t="str">
        <f aca="false">IFERROR(SMALL(Pipeline_Calc!$A$2:$A$5251,A390),"")</f>
        <v/>
      </c>
      <c r="C390" s="0" t="str">
        <f aca="false">IF(B390="","",MATCH(B390,Pipeline_Calc!$A$2:$A$5251,0))</f>
        <v/>
      </c>
    </row>
    <row r="391" customFormat="false" ht="15" hidden="false" customHeight="false" outlineLevel="0" collapsed="false">
      <c r="A391" s="0" t="n">
        <v>390</v>
      </c>
      <c r="B391" s="0" t="str">
        <f aca="false">IFERROR(SMALL(Pipeline_Calc!$A$2:$A$5251,A391),"")</f>
        <v/>
      </c>
      <c r="C391" s="0" t="str">
        <f aca="false">IF(B391="","",MATCH(B391,Pipeline_Calc!$A$2:$A$5251,0))</f>
        <v/>
      </c>
    </row>
    <row r="392" customFormat="false" ht="15" hidden="false" customHeight="false" outlineLevel="0" collapsed="false">
      <c r="A392" s="0" t="n">
        <v>391</v>
      </c>
      <c r="B392" s="0" t="str">
        <f aca="false">IFERROR(SMALL(Pipeline_Calc!$A$2:$A$5251,A392),"")</f>
        <v/>
      </c>
      <c r="C392" s="0" t="str">
        <f aca="false">IF(B392="","",MATCH(B392,Pipeline_Calc!$A$2:$A$5251,0))</f>
        <v/>
      </c>
    </row>
    <row r="393" customFormat="false" ht="15" hidden="false" customHeight="false" outlineLevel="0" collapsed="false">
      <c r="A393" s="0" t="n">
        <v>392</v>
      </c>
      <c r="B393" s="0" t="str">
        <f aca="false">IFERROR(SMALL(Pipeline_Calc!$A$2:$A$5251,A393),"")</f>
        <v/>
      </c>
      <c r="C393" s="0" t="str">
        <f aca="false">IF(B393="","",MATCH(B393,Pipeline_Calc!$A$2:$A$5251,0))</f>
        <v/>
      </c>
    </row>
    <row r="394" customFormat="false" ht="15" hidden="false" customHeight="false" outlineLevel="0" collapsed="false">
      <c r="A394" s="0" t="n">
        <v>393</v>
      </c>
      <c r="B394" s="0" t="str">
        <f aca="false">IFERROR(SMALL(Pipeline_Calc!$A$2:$A$5251,A394),"")</f>
        <v/>
      </c>
      <c r="C394" s="0" t="str">
        <f aca="false">IF(B394="","",MATCH(B394,Pipeline_Calc!$A$2:$A$5251,0))</f>
        <v/>
      </c>
    </row>
    <row r="395" customFormat="false" ht="15" hidden="false" customHeight="false" outlineLevel="0" collapsed="false">
      <c r="A395" s="0" t="n">
        <v>394</v>
      </c>
      <c r="B395" s="0" t="str">
        <f aca="false">IFERROR(SMALL(Pipeline_Calc!$A$2:$A$5251,A395),"")</f>
        <v/>
      </c>
      <c r="C395" s="0" t="str">
        <f aca="false">IF(B395="","",MATCH(B395,Pipeline_Calc!$A$2:$A$5251,0))</f>
        <v/>
      </c>
    </row>
    <row r="396" customFormat="false" ht="15" hidden="false" customHeight="false" outlineLevel="0" collapsed="false">
      <c r="A396" s="0" t="n">
        <v>395</v>
      </c>
      <c r="B396" s="0" t="str">
        <f aca="false">IFERROR(SMALL(Pipeline_Calc!$A$2:$A$5251,A396),"")</f>
        <v/>
      </c>
      <c r="C396" s="0" t="str">
        <f aca="false">IF(B396="","",MATCH(B396,Pipeline_Calc!$A$2:$A$5251,0))</f>
        <v/>
      </c>
    </row>
    <row r="397" customFormat="false" ht="15" hidden="false" customHeight="false" outlineLevel="0" collapsed="false">
      <c r="A397" s="0" t="n">
        <v>396</v>
      </c>
      <c r="B397" s="0" t="str">
        <f aca="false">IFERROR(SMALL(Pipeline_Calc!$A$2:$A$5251,A397),"")</f>
        <v/>
      </c>
      <c r="C397" s="0" t="str">
        <f aca="false">IF(B397="","",MATCH(B397,Pipeline_Calc!$A$2:$A$5251,0))</f>
        <v/>
      </c>
    </row>
    <row r="398" customFormat="false" ht="15" hidden="false" customHeight="false" outlineLevel="0" collapsed="false">
      <c r="A398" s="0" t="n">
        <v>397</v>
      </c>
      <c r="B398" s="0" t="str">
        <f aca="false">IFERROR(SMALL(Pipeline_Calc!$A$2:$A$5251,A398),"")</f>
        <v/>
      </c>
      <c r="C398" s="0" t="str">
        <f aca="false">IF(B398="","",MATCH(B398,Pipeline_Calc!$A$2:$A$5251,0))</f>
        <v/>
      </c>
    </row>
    <row r="399" customFormat="false" ht="15" hidden="false" customHeight="false" outlineLevel="0" collapsed="false">
      <c r="A399" s="0" t="n">
        <v>398</v>
      </c>
      <c r="B399" s="0" t="str">
        <f aca="false">IFERROR(SMALL(Pipeline_Calc!$A$2:$A$5251,A399),"")</f>
        <v/>
      </c>
      <c r="C399" s="0" t="str">
        <f aca="false">IF(B399="","",MATCH(B399,Pipeline_Calc!$A$2:$A$5251,0))</f>
        <v/>
      </c>
    </row>
    <row r="400" customFormat="false" ht="15" hidden="false" customHeight="false" outlineLevel="0" collapsed="false">
      <c r="A400" s="0" t="n">
        <v>399</v>
      </c>
      <c r="B400" s="0" t="str">
        <f aca="false">IFERROR(SMALL(Pipeline_Calc!$A$2:$A$5251,A400),"")</f>
        <v/>
      </c>
      <c r="C400" s="0" t="str">
        <f aca="false">IF(B400="","",MATCH(B400,Pipeline_Calc!$A$2:$A$5251,0))</f>
        <v/>
      </c>
    </row>
    <row r="401" customFormat="false" ht="15" hidden="false" customHeight="false" outlineLevel="0" collapsed="false">
      <c r="A401" s="0" t="n">
        <v>400</v>
      </c>
      <c r="B401" s="0" t="str">
        <f aca="false">IFERROR(SMALL(Pipeline_Calc!$A$2:$A$5251,A401),"")</f>
        <v/>
      </c>
      <c r="C401" s="0" t="str">
        <f aca="false">IF(B401="","",MATCH(B401,Pipeline_Calc!$A$2:$A$5251,0))</f>
        <v/>
      </c>
    </row>
    <row r="402" customFormat="false" ht="15" hidden="false" customHeight="false" outlineLevel="0" collapsed="false">
      <c r="A402" s="0" t="n">
        <v>401</v>
      </c>
      <c r="B402" s="0" t="str">
        <f aca="false">IFERROR(SMALL(Pipeline_Calc!$A$2:$A$5251,A402),"")</f>
        <v/>
      </c>
      <c r="C402" s="0" t="str">
        <f aca="false">IF(B402="","",MATCH(B402,Pipeline_Calc!$A$2:$A$5251,0))</f>
        <v/>
      </c>
    </row>
    <row r="403" customFormat="false" ht="15" hidden="false" customHeight="false" outlineLevel="0" collapsed="false">
      <c r="A403" s="0" t="n">
        <v>402</v>
      </c>
      <c r="B403" s="0" t="str">
        <f aca="false">IFERROR(SMALL(Pipeline_Calc!$A$2:$A$5251,A403),"")</f>
        <v/>
      </c>
      <c r="C403" s="0" t="str">
        <f aca="false">IF(B403="","",MATCH(B403,Pipeline_Calc!$A$2:$A$5251,0))</f>
        <v/>
      </c>
    </row>
    <row r="404" customFormat="false" ht="15" hidden="false" customHeight="false" outlineLevel="0" collapsed="false">
      <c r="A404" s="0" t="n">
        <v>403</v>
      </c>
      <c r="B404" s="0" t="str">
        <f aca="false">IFERROR(SMALL(Pipeline_Calc!$A$2:$A$5251,A404),"")</f>
        <v/>
      </c>
      <c r="C404" s="0" t="str">
        <f aca="false">IF(B404="","",MATCH(B404,Pipeline_Calc!$A$2:$A$5251,0))</f>
        <v/>
      </c>
    </row>
    <row r="405" customFormat="false" ht="15" hidden="false" customHeight="false" outlineLevel="0" collapsed="false">
      <c r="A405" s="0" t="n">
        <v>404</v>
      </c>
      <c r="B405" s="0" t="str">
        <f aca="false">IFERROR(SMALL(Pipeline_Calc!$A$2:$A$5251,A405),"")</f>
        <v/>
      </c>
      <c r="C405" s="0" t="str">
        <f aca="false">IF(B405="","",MATCH(B405,Pipeline_Calc!$A$2:$A$5251,0))</f>
        <v/>
      </c>
    </row>
    <row r="406" customFormat="false" ht="15" hidden="false" customHeight="false" outlineLevel="0" collapsed="false">
      <c r="A406" s="0" t="n">
        <v>405</v>
      </c>
      <c r="B406" s="0" t="str">
        <f aca="false">IFERROR(SMALL(Pipeline_Calc!$A$2:$A$5251,A406),"")</f>
        <v/>
      </c>
      <c r="C406" s="0" t="str">
        <f aca="false">IF(B406="","",MATCH(B406,Pipeline_Calc!$A$2:$A$5251,0))</f>
        <v/>
      </c>
    </row>
    <row r="407" customFormat="false" ht="15" hidden="false" customHeight="false" outlineLevel="0" collapsed="false">
      <c r="A407" s="0" t="n">
        <v>406</v>
      </c>
      <c r="B407" s="0" t="str">
        <f aca="false">IFERROR(SMALL(Pipeline_Calc!$A$2:$A$5251,A407),"")</f>
        <v/>
      </c>
      <c r="C407" s="0" t="str">
        <f aca="false">IF(B407="","",MATCH(B407,Pipeline_Calc!$A$2:$A$5251,0))</f>
        <v/>
      </c>
    </row>
    <row r="408" customFormat="false" ht="15" hidden="false" customHeight="false" outlineLevel="0" collapsed="false">
      <c r="A408" s="0" t="n">
        <v>407</v>
      </c>
      <c r="B408" s="0" t="str">
        <f aca="false">IFERROR(SMALL(Pipeline_Calc!$A$2:$A$5251,A408),"")</f>
        <v/>
      </c>
      <c r="C408" s="0" t="str">
        <f aca="false">IF(B408="","",MATCH(B408,Pipeline_Calc!$A$2:$A$5251,0))</f>
        <v/>
      </c>
    </row>
    <row r="409" customFormat="false" ht="15" hidden="false" customHeight="false" outlineLevel="0" collapsed="false">
      <c r="A409" s="0" t="n">
        <v>408</v>
      </c>
      <c r="B409" s="0" t="str">
        <f aca="false">IFERROR(SMALL(Pipeline_Calc!$A$2:$A$5251,A409),"")</f>
        <v/>
      </c>
      <c r="C409" s="0" t="str">
        <f aca="false">IF(B409="","",MATCH(B409,Pipeline_Calc!$A$2:$A$5251,0))</f>
        <v/>
      </c>
    </row>
    <row r="410" customFormat="false" ht="15" hidden="false" customHeight="false" outlineLevel="0" collapsed="false">
      <c r="A410" s="0" t="n">
        <v>409</v>
      </c>
      <c r="B410" s="0" t="str">
        <f aca="false">IFERROR(SMALL(Pipeline_Calc!$A$2:$A$5251,A410),"")</f>
        <v/>
      </c>
      <c r="C410" s="0" t="str">
        <f aca="false">IF(B410="","",MATCH(B410,Pipeline_Calc!$A$2:$A$5251,0))</f>
        <v/>
      </c>
    </row>
    <row r="411" customFormat="false" ht="15" hidden="false" customHeight="false" outlineLevel="0" collapsed="false">
      <c r="A411" s="0" t="n">
        <v>410</v>
      </c>
      <c r="B411" s="0" t="str">
        <f aca="false">IFERROR(SMALL(Pipeline_Calc!$A$2:$A$5251,A411),"")</f>
        <v/>
      </c>
      <c r="C411" s="0" t="str">
        <f aca="false">IF(B411="","",MATCH(B411,Pipeline_Calc!$A$2:$A$5251,0))</f>
        <v/>
      </c>
    </row>
    <row r="412" customFormat="false" ht="15" hidden="false" customHeight="false" outlineLevel="0" collapsed="false">
      <c r="A412" s="0" t="n">
        <v>411</v>
      </c>
      <c r="B412" s="0" t="str">
        <f aca="false">IFERROR(SMALL(Pipeline_Calc!$A$2:$A$5251,A412),"")</f>
        <v/>
      </c>
      <c r="C412" s="0" t="str">
        <f aca="false">IF(B412="","",MATCH(B412,Pipeline_Calc!$A$2:$A$5251,0))</f>
        <v/>
      </c>
    </row>
    <row r="413" customFormat="false" ht="15" hidden="false" customHeight="false" outlineLevel="0" collapsed="false">
      <c r="A413" s="0" t="n">
        <v>412</v>
      </c>
      <c r="B413" s="0" t="str">
        <f aca="false">IFERROR(SMALL(Pipeline_Calc!$A$2:$A$5251,A413),"")</f>
        <v/>
      </c>
      <c r="C413" s="0" t="str">
        <f aca="false">IF(B413="","",MATCH(B413,Pipeline_Calc!$A$2:$A$5251,0))</f>
        <v/>
      </c>
    </row>
    <row r="414" customFormat="false" ht="15" hidden="false" customHeight="false" outlineLevel="0" collapsed="false">
      <c r="A414" s="0" t="n">
        <v>413</v>
      </c>
      <c r="B414" s="0" t="str">
        <f aca="false">IFERROR(SMALL(Pipeline_Calc!$A$2:$A$5251,A414),"")</f>
        <v/>
      </c>
      <c r="C414" s="0" t="str">
        <f aca="false">IF(B414="","",MATCH(B414,Pipeline_Calc!$A$2:$A$5251,0))</f>
        <v/>
      </c>
    </row>
    <row r="415" customFormat="false" ht="15" hidden="false" customHeight="false" outlineLevel="0" collapsed="false">
      <c r="A415" s="0" t="n">
        <v>414</v>
      </c>
      <c r="B415" s="0" t="str">
        <f aca="false">IFERROR(SMALL(Pipeline_Calc!$A$2:$A$5251,A415),"")</f>
        <v/>
      </c>
      <c r="C415" s="0" t="str">
        <f aca="false">IF(B415="","",MATCH(B415,Pipeline_Calc!$A$2:$A$5251,0))</f>
        <v/>
      </c>
    </row>
    <row r="416" customFormat="false" ht="15" hidden="false" customHeight="false" outlineLevel="0" collapsed="false">
      <c r="A416" s="0" t="n">
        <v>415</v>
      </c>
      <c r="B416" s="0" t="str">
        <f aca="false">IFERROR(SMALL(Pipeline_Calc!$A$2:$A$5251,A416),"")</f>
        <v/>
      </c>
      <c r="C416" s="0" t="str">
        <f aca="false">IF(B416="","",MATCH(B416,Pipeline_Calc!$A$2:$A$5251,0))</f>
        <v/>
      </c>
    </row>
    <row r="417" customFormat="false" ht="15" hidden="false" customHeight="false" outlineLevel="0" collapsed="false">
      <c r="A417" s="0" t="n">
        <v>416</v>
      </c>
      <c r="B417" s="0" t="str">
        <f aca="false">IFERROR(SMALL(Pipeline_Calc!$A$2:$A$5251,A417),"")</f>
        <v/>
      </c>
      <c r="C417" s="0" t="str">
        <f aca="false">IF(B417="","",MATCH(B417,Pipeline_Calc!$A$2:$A$5251,0))</f>
        <v/>
      </c>
    </row>
    <row r="418" customFormat="false" ht="15" hidden="false" customHeight="false" outlineLevel="0" collapsed="false">
      <c r="A418" s="0" t="n">
        <v>417</v>
      </c>
      <c r="B418" s="0" t="str">
        <f aca="false">IFERROR(SMALL(Pipeline_Calc!$A$2:$A$5251,A418),"")</f>
        <v/>
      </c>
      <c r="C418" s="0" t="str">
        <f aca="false">IF(B418="","",MATCH(B418,Pipeline_Calc!$A$2:$A$5251,0))</f>
        <v/>
      </c>
    </row>
    <row r="419" customFormat="false" ht="15" hidden="false" customHeight="false" outlineLevel="0" collapsed="false">
      <c r="A419" s="0" t="n">
        <v>418</v>
      </c>
      <c r="B419" s="0" t="str">
        <f aca="false">IFERROR(SMALL(Pipeline_Calc!$A$2:$A$5251,A419),"")</f>
        <v/>
      </c>
      <c r="C419" s="0" t="str">
        <f aca="false">IF(B419="","",MATCH(B419,Pipeline_Calc!$A$2:$A$5251,0))</f>
        <v/>
      </c>
    </row>
    <row r="420" customFormat="false" ht="15" hidden="false" customHeight="false" outlineLevel="0" collapsed="false">
      <c r="A420" s="0" t="n">
        <v>419</v>
      </c>
      <c r="B420" s="0" t="str">
        <f aca="false">IFERROR(SMALL(Pipeline_Calc!$A$2:$A$5251,A420),"")</f>
        <v/>
      </c>
      <c r="C420" s="0" t="str">
        <f aca="false">IF(B420="","",MATCH(B420,Pipeline_Calc!$A$2:$A$5251,0))</f>
        <v/>
      </c>
    </row>
    <row r="421" customFormat="false" ht="15" hidden="false" customHeight="false" outlineLevel="0" collapsed="false">
      <c r="A421" s="0" t="n">
        <v>420</v>
      </c>
      <c r="B421" s="0" t="str">
        <f aca="false">IFERROR(SMALL(Pipeline_Calc!$A$2:$A$5251,A421),"")</f>
        <v/>
      </c>
      <c r="C421" s="0" t="str">
        <f aca="false">IF(B421="","",MATCH(B421,Pipeline_Calc!$A$2:$A$5251,0))</f>
        <v/>
      </c>
    </row>
    <row r="422" customFormat="false" ht="15" hidden="false" customHeight="false" outlineLevel="0" collapsed="false">
      <c r="A422" s="0" t="n">
        <v>421</v>
      </c>
      <c r="B422" s="0" t="str">
        <f aca="false">IFERROR(SMALL(Pipeline_Calc!$A$2:$A$5251,A422),"")</f>
        <v/>
      </c>
      <c r="C422" s="0" t="str">
        <f aca="false">IF(B422="","",MATCH(B422,Pipeline_Calc!$A$2:$A$5251,0))</f>
        <v/>
      </c>
    </row>
    <row r="423" customFormat="false" ht="15" hidden="false" customHeight="false" outlineLevel="0" collapsed="false">
      <c r="A423" s="0" t="n">
        <v>422</v>
      </c>
      <c r="B423" s="0" t="str">
        <f aca="false">IFERROR(SMALL(Pipeline_Calc!$A$2:$A$5251,A423),"")</f>
        <v/>
      </c>
      <c r="C423" s="0" t="str">
        <f aca="false">IF(B423="","",MATCH(B423,Pipeline_Calc!$A$2:$A$5251,0))</f>
        <v/>
      </c>
    </row>
    <row r="424" customFormat="false" ht="15" hidden="false" customHeight="false" outlineLevel="0" collapsed="false">
      <c r="A424" s="0" t="n">
        <v>423</v>
      </c>
      <c r="B424" s="0" t="str">
        <f aca="false">IFERROR(SMALL(Pipeline_Calc!$A$2:$A$5251,A424),"")</f>
        <v/>
      </c>
      <c r="C424" s="0" t="str">
        <f aca="false">IF(B424="","",MATCH(B424,Pipeline_Calc!$A$2:$A$5251,0))</f>
        <v/>
      </c>
    </row>
    <row r="425" customFormat="false" ht="15" hidden="false" customHeight="false" outlineLevel="0" collapsed="false">
      <c r="A425" s="0" t="n">
        <v>424</v>
      </c>
      <c r="B425" s="0" t="str">
        <f aca="false">IFERROR(SMALL(Pipeline_Calc!$A$2:$A$5251,A425),"")</f>
        <v/>
      </c>
      <c r="C425" s="0" t="str">
        <f aca="false">IF(B425="","",MATCH(B425,Pipeline_Calc!$A$2:$A$5251,0))</f>
        <v/>
      </c>
    </row>
    <row r="426" customFormat="false" ht="15" hidden="false" customHeight="false" outlineLevel="0" collapsed="false">
      <c r="A426" s="0" t="n">
        <v>425</v>
      </c>
      <c r="B426" s="0" t="str">
        <f aca="false">IFERROR(SMALL(Pipeline_Calc!$A$2:$A$5251,A426),"")</f>
        <v/>
      </c>
      <c r="C426" s="0" t="str">
        <f aca="false">IF(B426="","",MATCH(B426,Pipeline_Calc!$A$2:$A$5251,0))</f>
        <v/>
      </c>
    </row>
    <row r="427" customFormat="false" ht="15" hidden="false" customHeight="false" outlineLevel="0" collapsed="false">
      <c r="A427" s="0" t="n">
        <v>426</v>
      </c>
      <c r="B427" s="0" t="str">
        <f aca="false">IFERROR(SMALL(Pipeline_Calc!$A$2:$A$5251,A427),"")</f>
        <v/>
      </c>
      <c r="C427" s="0" t="str">
        <f aca="false">IF(B427="","",MATCH(B427,Pipeline_Calc!$A$2:$A$5251,0))</f>
        <v/>
      </c>
    </row>
    <row r="428" customFormat="false" ht="15" hidden="false" customHeight="false" outlineLevel="0" collapsed="false">
      <c r="A428" s="0" t="n">
        <v>427</v>
      </c>
      <c r="B428" s="0" t="str">
        <f aca="false">IFERROR(SMALL(Pipeline_Calc!$A$2:$A$5251,A428),"")</f>
        <v/>
      </c>
      <c r="C428" s="0" t="str">
        <f aca="false">IF(B428="","",MATCH(B428,Pipeline_Calc!$A$2:$A$5251,0))</f>
        <v/>
      </c>
    </row>
    <row r="429" customFormat="false" ht="15" hidden="false" customHeight="false" outlineLevel="0" collapsed="false">
      <c r="A429" s="0" t="n">
        <v>428</v>
      </c>
      <c r="B429" s="0" t="str">
        <f aca="false">IFERROR(SMALL(Pipeline_Calc!$A$2:$A$5251,A429),"")</f>
        <v/>
      </c>
      <c r="C429" s="0" t="str">
        <f aca="false">IF(B429="","",MATCH(B429,Pipeline_Calc!$A$2:$A$5251,0))</f>
        <v/>
      </c>
    </row>
    <row r="430" customFormat="false" ht="15" hidden="false" customHeight="false" outlineLevel="0" collapsed="false">
      <c r="A430" s="0" t="n">
        <v>429</v>
      </c>
      <c r="B430" s="0" t="str">
        <f aca="false">IFERROR(SMALL(Pipeline_Calc!$A$2:$A$5251,A430),"")</f>
        <v/>
      </c>
      <c r="C430" s="0" t="str">
        <f aca="false">IF(B430="","",MATCH(B430,Pipeline_Calc!$A$2:$A$5251,0))</f>
        <v/>
      </c>
    </row>
    <row r="431" customFormat="false" ht="15" hidden="false" customHeight="false" outlineLevel="0" collapsed="false">
      <c r="A431" s="0" t="n">
        <v>430</v>
      </c>
      <c r="B431" s="0" t="str">
        <f aca="false">IFERROR(SMALL(Pipeline_Calc!$A$2:$A$5251,A431),"")</f>
        <v/>
      </c>
      <c r="C431" s="0" t="str">
        <f aca="false">IF(B431="","",MATCH(B431,Pipeline_Calc!$A$2:$A$5251,0))</f>
        <v/>
      </c>
    </row>
    <row r="432" customFormat="false" ht="15" hidden="false" customHeight="false" outlineLevel="0" collapsed="false">
      <c r="A432" s="0" t="n">
        <v>431</v>
      </c>
      <c r="B432" s="0" t="str">
        <f aca="false">IFERROR(SMALL(Pipeline_Calc!$A$2:$A$5251,A432),"")</f>
        <v/>
      </c>
      <c r="C432" s="0" t="str">
        <f aca="false">IF(B432="","",MATCH(B432,Pipeline_Calc!$A$2:$A$5251,0))</f>
        <v/>
      </c>
    </row>
    <row r="433" customFormat="false" ht="15" hidden="false" customHeight="false" outlineLevel="0" collapsed="false">
      <c r="A433" s="0" t="n">
        <v>432</v>
      </c>
      <c r="B433" s="0" t="str">
        <f aca="false">IFERROR(SMALL(Pipeline_Calc!$A$2:$A$5251,A433),"")</f>
        <v/>
      </c>
      <c r="C433" s="0" t="str">
        <f aca="false">IF(B433="","",MATCH(B433,Pipeline_Calc!$A$2:$A$5251,0))</f>
        <v/>
      </c>
    </row>
    <row r="434" customFormat="false" ht="15" hidden="false" customHeight="false" outlineLevel="0" collapsed="false">
      <c r="A434" s="0" t="n">
        <v>433</v>
      </c>
      <c r="B434" s="0" t="str">
        <f aca="false">IFERROR(SMALL(Pipeline_Calc!$A$2:$A$5251,A434),"")</f>
        <v/>
      </c>
      <c r="C434" s="0" t="str">
        <f aca="false">IF(B434="","",MATCH(B434,Pipeline_Calc!$A$2:$A$5251,0))</f>
        <v/>
      </c>
    </row>
    <row r="435" customFormat="false" ht="15" hidden="false" customHeight="false" outlineLevel="0" collapsed="false">
      <c r="A435" s="0" t="n">
        <v>434</v>
      </c>
      <c r="B435" s="0" t="str">
        <f aca="false">IFERROR(SMALL(Pipeline_Calc!$A$2:$A$5251,A435),"")</f>
        <v/>
      </c>
      <c r="C435" s="0" t="str">
        <f aca="false">IF(B435="","",MATCH(B435,Pipeline_Calc!$A$2:$A$5251,0))</f>
        <v/>
      </c>
    </row>
    <row r="436" customFormat="false" ht="15" hidden="false" customHeight="false" outlineLevel="0" collapsed="false">
      <c r="A436" s="0" t="n">
        <v>435</v>
      </c>
      <c r="B436" s="0" t="str">
        <f aca="false">IFERROR(SMALL(Pipeline_Calc!$A$2:$A$5251,A436),"")</f>
        <v/>
      </c>
      <c r="C436" s="0" t="str">
        <f aca="false">IF(B436="","",MATCH(B436,Pipeline_Calc!$A$2:$A$5251,0))</f>
        <v/>
      </c>
    </row>
    <row r="437" customFormat="false" ht="15" hidden="false" customHeight="false" outlineLevel="0" collapsed="false">
      <c r="A437" s="0" t="n">
        <v>436</v>
      </c>
      <c r="B437" s="0" t="str">
        <f aca="false">IFERROR(SMALL(Pipeline_Calc!$A$2:$A$5251,A437),"")</f>
        <v/>
      </c>
      <c r="C437" s="0" t="str">
        <f aca="false">IF(B437="","",MATCH(B437,Pipeline_Calc!$A$2:$A$5251,0))</f>
        <v/>
      </c>
    </row>
    <row r="438" customFormat="false" ht="15" hidden="false" customHeight="false" outlineLevel="0" collapsed="false">
      <c r="A438" s="0" t="n">
        <v>437</v>
      </c>
      <c r="B438" s="0" t="str">
        <f aca="false">IFERROR(SMALL(Pipeline_Calc!$A$2:$A$5251,A438),"")</f>
        <v/>
      </c>
      <c r="C438" s="0" t="str">
        <f aca="false">IF(B438="","",MATCH(B438,Pipeline_Calc!$A$2:$A$5251,0))</f>
        <v/>
      </c>
    </row>
    <row r="439" customFormat="false" ht="15" hidden="false" customHeight="false" outlineLevel="0" collapsed="false">
      <c r="A439" s="0" t="n">
        <v>438</v>
      </c>
      <c r="B439" s="0" t="str">
        <f aca="false">IFERROR(SMALL(Pipeline_Calc!$A$2:$A$5251,A439),"")</f>
        <v/>
      </c>
      <c r="C439" s="0" t="str">
        <f aca="false">IF(B439="","",MATCH(B439,Pipeline_Calc!$A$2:$A$5251,0))</f>
        <v/>
      </c>
    </row>
    <row r="440" customFormat="false" ht="15" hidden="false" customHeight="false" outlineLevel="0" collapsed="false">
      <c r="A440" s="0" t="n">
        <v>439</v>
      </c>
      <c r="B440" s="0" t="str">
        <f aca="false">IFERROR(SMALL(Pipeline_Calc!$A$2:$A$5251,A440),"")</f>
        <v/>
      </c>
      <c r="C440" s="0" t="str">
        <f aca="false">IF(B440="","",MATCH(B440,Pipeline_Calc!$A$2:$A$5251,0))</f>
        <v/>
      </c>
    </row>
    <row r="441" customFormat="false" ht="15" hidden="false" customHeight="false" outlineLevel="0" collapsed="false">
      <c r="A441" s="0" t="n">
        <v>440</v>
      </c>
      <c r="B441" s="0" t="str">
        <f aca="false">IFERROR(SMALL(Pipeline_Calc!$A$2:$A$5251,A441),"")</f>
        <v/>
      </c>
      <c r="C441" s="0" t="str">
        <f aca="false">IF(B441="","",MATCH(B441,Pipeline_Calc!$A$2:$A$5251,0))</f>
        <v/>
      </c>
    </row>
    <row r="442" customFormat="false" ht="15" hidden="false" customHeight="false" outlineLevel="0" collapsed="false">
      <c r="A442" s="0" t="n">
        <v>441</v>
      </c>
      <c r="B442" s="0" t="str">
        <f aca="false">IFERROR(SMALL(Pipeline_Calc!$A$2:$A$5251,A442),"")</f>
        <v/>
      </c>
      <c r="C442" s="0" t="str">
        <f aca="false">IF(B442="","",MATCH(B442,Pipeline_Calc!$A$2:$A$5251,0))</f>
        <v/>
      </c>
    </row>
    <row r="443" customFormat="false" ht="15" hidden="false" customHeight="false" outlineLevel="0" collapsed="false">
      <c r="A443" s="0" t="n">
        <v>442</v>
      </c>
      <c r="B443" s="0" t="str">
        <f aca="false">IFERROR(SMALL(Pipeline_Calc!$A$2:$A$5251,A443),"")</f>
        <v/>
      </c>
      <c r="C443" s="0" t="str">
        <f aca="false">IF(B443="","",MATCH(B443,Pipeline_Calc!$A$2:$A$5251,0))</f>
        <v/>
      </c>
    </row>
    <row r="444" customFormat="false" ht="15" hidden="false" customHeight="false" outlineLevel="0" collapsed="false">
      <c r="A444" s="0" t="n">
        <v>443</v>
      </c>
      <c r="B444" s="0" t="str">
        <f aca="false">IFERROR(SMALL(Pipeline_Calc!$A$2:$A$5251,A444),"")</f>
        <v/>
      </c>
      <c r="C444" s="0" t="str">
        <f aca="false">IF(B444="","",MATCH(B444,Pipeline_Calc!$A$2:$A$5251,0))</f>
        <v/>
      </c>
    </row>
    <row r="445" customFormat="false" ht="15" hidden="false" customHeight="false" outlineLevel="0" collapsed="false">
      <c r="A445" s="0" t="n">
        <v>444</v>
      </c>
      <c r="B445" s="0" t="str">
        <f aca="false">IFERROR(SMALL(Pipeline_Calc!$A$2:$A$5251,A445),"")</f>
        <v/>
      </c>
      <c r="C445" s="0" t="str">
        <f aca="false">IF(B445="","",MATCH(B445,Pipeline_Calc!$A$2:$A$5251,0))</f>
        <v/>
      </c>
    </row>
    <row r="446" customFormat="false" ht="15" hidden="false" customHeight="false" outlineLevel="0" collapsed="false">
      <c r="A446" s="0" t="n">
        <v>445</v>
      </c>
      <c r="B446" s="0" t="str">
        <f aca="false">IFERROR(SMALL(Pipeline_Calc!$A$2:$A$5251,A446),"")</f>
        <v/>
      </c>
      <c r="C446" s="0" t="str">
        <f aca="false">IF(B446="","",MATCH(B446,Pipeline_Calc!$A$2:$A$5251,0))</f>
        <v/>
      </c>
    </row>
    <row r="447" customFormat="false" ht="15" hidden="false" customHeight="false" outlineLevel="0" collapsed="false">
      <c r="A447" s="0" t="n">
        <v>446</v>
      </c>
      <c r="B447" s="0" t="str">
        <f aca="false">IFERROR(SMALL(Pipeline_Calc!$A$2:$A$5251,A447),"")</f>
        <v/>
      </c>
      <c r="C447" s="0" t="str">
        <f aca="false">IF(B447="","",MATCH(B447,Pipeline_Calc!$A$2:$A$5251,0))</f>
        <v/>
      </c>
    </row>
    <row r="448" customFormat="false" ht="15" hidden="false" customHeight="false" outlineLevel="0" collapsed="false">
      <c r="A448" s="0" t="n">
        <v>447</v>
      </c>
      <c r="B448" s="0" t="str">
        <f aca="false">IFERROR(SMALL(Pipeline_Calc!$A$2:$A$5251,A448),"")</f>
        <v/>
      </c>
      <c r="C448" s="0" t="str">
        <f aca="false">IF(B448="","",MATCH(B448,Pipeline_Calc!$A$2:$A$5251,0))</f>
        <v/>
      </c>
    </row>
    <row r="449" customFormat="false" ht="15" hidden="false" customHeight="false" outlineLevel="0" collapsed="false">
      <c r="A449" s="0" t="n">
        <v>448</v>
      </c>
      <c r="B449" s="0" t="str">
        <f aca="false">IFERROR(SMALL(Pipeline_Calc!$A$2:$A$5251,A449),"")</f>
        <v/>
      </c>
      <c r="C449" s="0" t="str">
        <f aca="false">IF(B449="","",MATCH(B449,Pipeline_Calc!$A$2:$A$5251,0))</f>
        <v/>
      </c>
    </row>
    <row r="450" customFormat="false" ht="15" hidden="false" customHeight="false" outlineLevel="0" collapsed="false">
      <c r="A450" s="0" t="n">
        <v>449</v>
      </c>
      <c r="B450" s="0" t="str">
        <f aca="false">IFERROR(SMALL(Pipeline_Calc!$A$2:$A$5251,A450),"")</f>
        <v/>
      </c>
      <c r="C450" s="0" t="str">
        <f aca="false">IF(B450="","",MATCH(B450,Pipeline_Calc!$A$2:$A$5251,0))</f>
        <v/>
      </c>
    </row>
    <row r="451" customFormat="false" ht="15" hidden="false" customHeight="false" outlineLevel="0" collapsed="false">
      <c r="A451" s="0" t="n">
        <v>450</v>
      </c>
      <c r="B451" s="0" t="str">
        <f aca="false">IFERROR(SMALL(Pipeline_Calc!$A$2:$A$5251,A451),"")</f>
        <v/>
      </c>
      <c r="C451" s="0" t="str">
        <f aca="false">IF(B451="","",MATCH(B451,Pipeline_Calc!$A$2:$A$5251,0))</f>
        <v/>
      </c>
    </row>
    <row r="452" customFormat="false" ht="15" hidden="false" customHeight="false" outlineLevel="0" collapsed="false">
      <c r="A452" s="0" t="n">
        <v>451</v>
      </c>
      <c r="B452" s="0" t="str">
        <f aca="false">IFERROR(SMALL(Pipeline_Calc!$A$2:$A$5251,A452),"")</f>
        <v/>
      </c>
      <c r="C452" s="0" t="str">
        <f aca="false">IF(B452="","",MATCH(B452,Pipeline_Calc!$A$2:$A$5251,0))</f>
        <v/>
      </c>
    </row>
    <row r="453" customFormat="false" ht="15" hidden="false" customHeight="false" outlineLevel="0" collapsed="false">
      <c r="A453" s="0" t="n">
        <v>452</v>
      </c>
      <c r="B453" s="0" t="str">
        <f aca="false">IFERROR(SMALL(Pipeline_Calc!$A$2:$A$5251,A453),"")</f>
        <v/>
      </c>
      <c r="C453" s="0" t="str">
        <f aca="false">IF(B453="","",MATCH(B453,Pipeline_Calc!$A$2:$A$5251,0))</f>
        <v/>
      </c>
    </row>
    <row r="454" customFormat="false" ht="15" hidden="false" customHeight="false" outlineLevel="0" collapsed="false">
      <c r="A454" s="0" t="n">
        <v>453</v>
      </c>
      <c r="B454" s="0" t="str">
        <f aca="false">IFERROR(SMALL(Pipeline_Calc!$A$2:$A$5251,A454),"")</f>
        <v/>
      </c>
      <c r="C454" s="0" t="str">
        <f aca="false">IF(B454="","",MATCH(B454,Pipeline_Calc!$A$2:$A$5251,0))</f>
        <v/>
      </c>
    </row>
    <row r="455" customFormat="false" ht="15" hidden="false" customHeight="false" outlineLevel="0" collapsed="false">
      <c r="A455" s="0" t="n">
        <v>454</v>
      </c>
      <c r="B455" s="0" t="str">
        <f aca="false">IFERROR(SMALL(Pipeline_Calc!$A$2:$A$5251,A455),"")</f>
        <v/>
      </c>
      <c r="C455" s="0" t="str">
        <f aca="false">IF(B455="","",MATCH(B455,Pipeline_Calc!$A$2:$A$5251,0))</f>
        <v/>
      </c>
    </row>
    <row r="456" customFormat="false" ht="15" hidden="false" customHeight="false" outlineLevel="0" collapsed="false">
      <c r="A456" s="0" t="n">
        <v>455</v>
      </c>
      <c r="B456" s="0" t="str">
        <f aca="false">IFERROR(SMALL(Pipeline_Calc!$A$2:$A$5251,A456),"")</f>
        <v/>
      </c>
      <c r="C456" s="0" t="str">
        <f aca="false">IF(B456="","",MATCH(B456,Pipeline_Calc!$A$2:$A$5251,0))</f>
        <v/>
      </c>
    </row>
    <row r="457" customFormat="false" ht="15" hidden="false" customHeight="false" outlineLevel="0" collapsed="false">
      <c r="A457" s="0" t="n">
        <v>456</v>
      </c>
      <c r="B457" s="0" t="str">
        <f aca="false">IFERROR(SMALL(Pipeline_Calc!$A$2:$A$5251,A457),"")</f>
        <v/>
      </c>
      <c r="C457" s="0" t="str">
        <f aca="false">IF(B457="","",MATCH(B457,Pipeline_Calc!$A$2:$A$5251,0))</f>
        <v/>
      </c>
    </row>
    <row r="458" customFormat="false" ht="15" hidden="false" customHeight="false" outlineLevel="0" collapsed="false">
      <c r="A458" s="0" t="n">
        <v>457</v>
      </c>
      <c r="B458" s="0" t="str">
        <f aca="false">IFERROR(SMALL(Pipeline_Calc!$A$2:$A$5251,A458),"")</f>
        <v/>
      </c>
      <c r="C458" s="0" t="str">
        <f aca="false">IF(B458="","",MATCH(B458,Pipeline_Calc!$A$2:$A$5251,0))</f>
        <v/>
      </c>
    </row>
    <row r="459" customFormat="false" ht="15" hidden="false" customHeight="false" outlineLevel="0" collapsed="false">
      <c r="A459" s="0" t="n">
        <v>458</v>
      </c>
      <c r="B459" s="0" t="str">
        <f aca="false">IFERROR(SMALL(Pipeline_Calc!$A$2:$A$5251,A459),"")</f>
        <v/>
      </c>
      <c r="C459" s="0" t="str">
        <f aca="false">IF(B459="","",MATCH(B459,Pipeline_Calc!$A$2:$A$5251,0))</f>
        <v/>
      </c>
    </row>
    <row r="460" customFormat="false" ht="15" hidden="false" customHeight="false" outlineLevel="0" collapsed="false">
      <c r="A460" s="0" t="n">
        <v>459</v>
      </c>
      <c r="B460" s="0" t="str">
        <f aca="false">IFERROR(SMALL(Pipeline_Calc!$A$2:$A$5251,A460),"")</f>
        <v/>
      </c>
      <c r="C460" s="0" t="str">
        <f aca="false">IF(B460="","",MATCH(B460,Pipeline_Calc!$A$2:$A$5251,0))</f>
        <v/>
      </c>
    </row>
    <row r="461" customFormat="false" ht="15" hidden="false" customHeight="false" outlineLevel="0" collapsed="false">
      <c r="A461" s="0" t="n">
        <v>460</v>
      </c>
      <c r="B461" s="0" t="str">
        <f aca="false">IFERROR(SMALL(Pipeline_Calc!$A$2:$A$5251,A461),"")</f>
        <v/>
      </c>
      <c r="C461" s="0" t="str">
        <f aca="false">IF(B461="","",MATCH(B461,Pipeline_Calc!$A$2:$A$5251,0))</f>
        <v/>
      </c>
    </row>
    <row r="462" customFormat="false" ht="15" hidden="false" customHeight="false" outlineLevel="0" collapsed="false">
      <c r="A462" s="0" t="n">
        <v>461</v>
      </c>
      <c r="B462" s="0" t="str">
        <f aca="false">IFERROR(SMALL(Pipeline_Calc!$A$2:$A$5251,A462),"")</f>
        <v/>
      </c>
      <c r="C462" s="0" t="str">
        <f aca="false">IF(B462="","",MATCH(B462,Pipeline_Calc!$A$2:$A$5251,0))</f>
        <v/>
      </c>
    </row>
    <row r="463" customFormat="false" ht="15" hidden="false" customHeight="false" outlineLevel="0" collapsed="false">
      <c r="A463" s="0" t="n">
        <v>462</v>
      </c>
      <c r="B463" s="0" t="str">
        <f aca="false">IFERROR(SMALL(Pipeline_Calc!$A$2:$A$5251,A463),"")</f>
        <v/>
      </c>
      <c r="C463" s="0" t="str">
        <f aca="false">IF(B463="","",MATCH(B463,Pipeline_Calc!$A$2:$A$5251,0))</f>
        <v/>
      </c>
    </row>
    <row r="464" customFormat="false" ht="15" hidden="false" customHeight="false" outlineLevel="0" collapsed="false">
      <c r="A464" s="0" t="n">
        <v>463</v>
      </c>
      <c r="B464" s="0" t="str">
        <f aca="false">IFERROR(SMALL(Pipeline_Calc!$A$2:$A$5251,A464),"")</f>
        <v/>
      </c>
      <c r="C464" s="0" t="str">
        <f aca="false">IF(B464="","",MATCH(B464,Pipeline_Calc!$A$2:$A$5251,0))</f>
        <v/>
      </c>
    </row>
    <row r="465" customFormat="false" ht="15" hidden="false" customHeight="false" outlineLevel="0" collapsed="false">
      <c r="A465" s="0" t="n">
        <v>464</v>
      </c>
      <c r="B465" s="0" t="str">
        <f aca="false">IFERROR(SMALL(Pipeline_Calc!$A$2:$A$5251,A465),"")</f>
        <v/>
      </c>
      <c r="C465" s="0" t="str">
        <f aca="false">IF(B465="","",MATCH(B465,Pipeline_Calc!$A$2:$A$5251,0))</f>
        <v/>
      </c>
    </row>
    <row r="466" customFormat="false" ht="15" hidden="false" customHeight="false" outlineLevel="0" collapsed="false">
      <c r="A466" s="0" t="n">
        <v>465</v>
      </c>
      <c r="B466" s="0" t="str">
        <f aca="false">IFERROR(SMALL(Pipeline_Calc!$A$2:$A$5251,A466),"")</f>
        <v/>
      </c>
      <c r="C466" s="0" t="str">
        <f aca="false">IF(B466="","",MATCH(B466,Pipeline_Calc!$A$2:$A$5251,0))</f>
        <v/>
      </c>
    </row>
    <row r="467" customFormat="false" ht="15" hidden="false" customHeight="false" outlineLevel="0" collapsed="false">
      <c r="A467" s="0" t="n">
        <v>466</v>
      </c>
      <c r="B467" s="0" t="str">
        <f aca="false">IFERROR(SMALL(Pipeline_Calc!$A$2:$A$5251,A467),"")</f>
        <v/>
      </c>
      <c r="C467" s="0" t="str">
        <f aca="false">IF(B467="","",MATCH(B467,Pipeline_Calc!$A$2:$A$5251,0))</f>
        <v/>
      </c>
    </row>
    <row r="468" customFormat="false" ht="15" hidden="false" customHeight="false" outlineLevel="0" collapsed="false">
      <c r="A468" s="0" t="n">
        <v>467</v>
      </c>
      <c r="B468" s="0" t="str">
        <f aca="false">IFERROR(SMALL(Pipeline_Calc!$A$2:$A$5251,A468),"")</f>
        <v/>
      </c>
      <c r="C468" s="0" t="str">
        <f aca="false">IF(B468="","",MATCH(B468,Pipeline_Calc!$A$2:$A$5251,0))</f>
        <v/>
      </c>
    </row>
    <row r="469" customFormat="false" ht="15" hidden="false" customHeight="false" outlineLevel="0" collapsed="false">
      <c r="A469" s="0" t="n">
        <v>468</v>
      </c>
      <c r="B469" s="0" t="str">
        <f aca="false">IFERROR(SMALL(Pipeline_Calc!$A$2:$A$5251,A469),"")</f>
        <v/>
      </c>
      <c r="C469" s="0" t="str">
        <f aca="false">IF(B469="","",MATCH(B469,Pipeline_Calc!$A$2:$A$5251,0))</f>
        <v/>
      </c>
    </row>
    <row r="470" customFormat="false" ht="15" hidden="false" customHeight="false" outlineLevel="0" collapsed="false">
      <c r="A470" s="0" t="n">
        <v>469</v>
      </c>
      <c r="B470" s="0" t="str">
        <f aca="false">IFERROR(SMALL(Pipeline_Calc!$A$2:$A$5251,A470),"")</f>
        <v/>
      </c>
      <c r="C470" s="0" t="str">
        <f aca="false">IF(B470="","",MATCH(B470,Pipeline_Calc!$A$2:$A$5251,0))</f>
        <v/>
      </c>
    </row>
    <row r="471" customFormat="false" ht="15" hidden="false" customHeight="false" outlineLevel="0" collapsed="false">
      <c r="A471" s="0" t="n">
        <v>470</v>
      </c>
      <c r="B471" s="0" t="str">
        <f aca="false">IFERROR(SMALL(Pipeline_Calc!$A$2:$A$5251,A471),"")</f>
        <v/>
      </c>
      <c r="C471" s="0" t="str">
        <f aca="false">IF(B471="","",MATCH(B471,Pipeline_Calc!$A$2:$A$5251,0))</f>
        <v/>
      </c>
    </row>
    <row r="472" customFormat="false" ht="15" hidden="false" customHeight="false" outlineLevel="0" collapsed="false">
      <c r="A472" s="0" t="n">
        <v>471</v>
      </c>
      <c r="B472" s="0" t="str">
        <f aca="false">IFERROR(SMALL(Pipeline_Calc!$A$2:$A$5251,A472),"")</f>
        <v/>
      </c>
      <c r="C472" s="0" t="str">
        <f aca="false">IF(B472="","",MATCH(B472,Pipeline_Calc!$A$2:$A$5251,0))</f>
        <v/>
      </c>
    </row>
    <row r="473" customFormat="false" ht="15" hidden="false" customHeight="false" outlineLevel="0" collapsed="false">
      <c r="A473" s="0" t="n">
        <v>472</v>
      </c>
      <c r="B473" s="0" t="str">
        <f aca="false">IFERROR(SMALL(Pipeline_Calc!$A$2:$A$5251,A473),"")</f>
        <v/>
      </c>
      <c r="C473" s="0" t="str">
        <f aca="false">IF(B473="","",MATCH(B473,Pipeline_Calc!$A$2:$A$5251,0))</f>
        <v/>
      </c>
    </row>
    <row r="474" customFormat="false" ht="15" hidden="false" customHeight="false" outlineLevel="0" collapsed="false">
      <c r="A474" s="0" t="n">
        <v>473</v>
      </c>
      <c r="B474" s="0" t="str">
        <f aca="false">IFERROR(SMALL(Pipeline_Calc!$A$2:$A$5251,A474),"")</f>
        <v/>
      </c>
      <c r="C474" s="0" t="str">
        <f aca="false">IF(B474="","",MATCH(B474,Pipeline_Calc!$A$2:$A$5251,0))</f>
        <v/>
      </c>
    </row>
    <row r="475" customFormat="false" ht="15" hidden="false" customHeight="false" outlineLevel="0" collapsed="false">
      <c r="A475" s="0" t="n">
        <v>474</v>
      </c>
      <c r="B475" s="0" t="str">
        <f aca="false">IFERROR(SMALL(Pipeline_Calc!$A$2:$A$5251,A475),"")</f>
        <v/>
      </c>
      <c r="C475" s="0" t="str">
        <f aca="false">IF(B475="","",MATCH(B475,Pipeline_Calc!$A$2:$A$5251,0))</f>
        <v/>
      </c>
    </row>
    <row r="476" customFormat="false" ht="15" hidden="false" customHeight="false" outlineLevel="0" collapsed="false">
      <c r="A476" s="0" t="n">
        <v>475</v>
      </c>
      <c r="B476" s="0" t="str">
        <f aca="false">IFERROR(SMALL(Pipeline_Calc!$A$2:$A$5251,A476),"")</f>
        <v/>
      </c>
      <c r="C476" s="0" t="str">
        <f aca="false">IF(B476="","",MATCH(B476,Pipeline_Calc!$A$2:$A$5251,0))</f>
        <v/>
      </c>
    </row>
    <row r="477" customFormat="false" ht="15" hidden="false" customHeight="false" outlineLevel="0" collapsed="false">
      <c r="A477" s="0" t="n">
        <v>476</v>
      </c>
      <c r="B477" s="0" t="str">
        <f aca="false">IFERROR(SMALL(Pipeline_Calc!$A$2:$A$5251,A477),"")</f>
        <v/>
      </c>
      <c r="C477" s="0" t="str">
        <f aca="false">IF(B477="","",MATCH(B477,Pipeline_Calc!$A$2:$A$5251,0))</f>
        <v/>
      </c>
    </row>
    <row r="478" customFormat="false" ht="15" hidden="false" customHeight="false" outlineLevel="0" collapsed="false">
      <c r="A478" s="0" t="n">
        <v>477</v>
      </c>
      <c r="B478" s="0" t="str">
        <f aca="false">IFERROR(SMALL(Pipeline_Calc!$A$2:$A$5251,A478),"")</f>
        <v/>
      </c>
      <c r="C478" s="0" t="str">
        <f aca="false">IF(B478="","",MATCH(B478,Pipeline_Calc!$A$2:$A$5251,0))</f>
        <v/>
      </c>
    </row>
    <row r="479" customFormat="false" ht="15" hidden="false" customHeight="false" outlineLevel="0" collapsed="false">
      <c r="A479" s="0" t="n">
        <v>478</v>
      </c>
      <c r="B479" s="0" t="str">
        <f aca="false">IFERROR(SMALL(Pipeline_Calc!$A$2:$A$5251,A479),"")</f>
        <v/>
      </c>
      <c r="C479" s="0" t="str">
        <f aca="false">IF(B479="","",MATCH(B479,Pipeline_Calc!$A$2:$A$5251,0))</f>
        <v/>
      </c>
    </row>
    <row r="480" customFormat="false" ht="15" hidden="false" customHeight="false" outlineLevel="0" collapsed="false">
      <c r="A480" s="0" t="n">
        <v>479</v>
      </c>
      <c r="B480" s="0" t="str">
        <f aca="false">IFERROR(SMALL(Pipeline_Calc!$A$2:$A$5251,A480),"")</f>
        <v/>
      </c>
      <c r="C480" s="0" t="str">
        <f aca="false">IF(B480="","",MATCH(B480,Pipeline_Calc!$A$2:$A$5251,0))</f>
        <v/>
      </c>
    </row>
    <row r="481" customFormat="false" ht="15" hidden="false" customHeight="false" outlineLevel="0" collapsed="false">
      <c r="A481" s="0" t="n">
        <v>480</v>
      </c>
      <c r="B481" s="0" t="str">
        <f aca="false">IFERROR(SMALL(Pipeline_Calc!$A$2:$A$5251,A481),"")</f>
        <v/>
      </c>
      <c r="C481" s="0" t="str">
        <f aca="false">IF(B481="","",MATCH(B481,Pipeline_Calc!$A$2:$A$5251,0))</f>
        <v/>
      </c>
    </row>
    <row r="482" customFormat="false" ht="15" hidden="false" customHeight="false" outlineLevel="0" collapsed="false">
      <c r="A482" s="0" t="n">
        <v>481</v>
      </c>
      <c r="B482" s="0" t="str">
        <f aca="false">IFERROR(SMALL(Pipeline_Calc!$A$2:$A$5251,A482),"")</f>
        <v/>
      </c>
      <c r="C482" s="0" t="str">
        <f aca="false">IF(B482="","",MATCH(B482,Pipeline_Calc!$A$2:$A$5251,0))</f>
        <v/>
      </c>
    </row>
    <row r="483" customFormat="false" ht="15" hidden="false" customHeight="false" outlineLevel="0" collapsed="false">
      <c r="A483" s="0" t="n">
        <v>482</v>
      </c>
      <c r="B483" s="0" t="str">
        <f aca="false">IFERROR(SMALL(Pipeline_Calc!$A$2:$A$5251,A483),"")</f>
        <v/>
      </c>
      <c r="C483" s="0" t="str">
        <f aca="false">IF(B483="","",MATCH(B483,Pipeline_Calc!$A$2:$A$5251,0))</f>
        <v/>
      </c>
    </row>
    <row r="484" customFormat="false" ht="15" hidden="false" customHeight="false" outlineLevel="0" collapsed="false">
      <c r="A484" s="0" t="n">
        <v>483</v>
      </c>
      <c r="B484" s="0" t="str">
        <f aca="false">IFERROR(SMALL(Pipeline_Calc!$A$2:$A$5251,A484),"")</f>
        <v/>
      </c>
      <c r="C484" s="0" t="str">
        <f aca="false">IF(B484="","",MATCH(B484,Pipeline_Calc!$A$2:$A$5251,0))</f>
        <v/>
      </c>
    </row>
    <row r="485" customFormat="false" ht="15" hidden="false" customHeight="false" outlineLevel="0" collapsed="false">
      <c r="A485" s="0" t="n">
        <v>484</v>
      </c>
      <c r="B485" s="0" t="str">
        <f aca="false">IFERROR(SMALL(Pipeline_Calc!$A$2:$A$5251,A485),"")</f>
        <v/>
      </c>
      <c r="C485" s="0" t="str">
        <f aca="false">IF(B485="","",MATCH(B485,Pipeline_Calc!$A$2:$A$5251,0))</f>
        <v/>
      </c>
    </row>
    <row r="486" customFormat="false" ht="15" hidden="false" customHeight="false" outlineLevel="0" collapsed="false">
      <c r="A486" s="0" t="n">
        <v>485</v>
      </c>
      <c r="B486" s="0" t="str">
        <f aca="false">IFERROR(SMALL(Pipeline_Calc!$A$2:$A$5251,A486),"")</f>
        <v/>
      </c>
      <c r="C486" s="0" t="str">
        <f aca="false">IF(B486="","",MATCH(B486,Pipeline_Calc!$A$2:$A$5251,0))</f>
        <v/>
      </c>
    </row>
    <row r="487" customFormat="false" ht="15" hidden="false" customHeight="false" outlineLevel="0" collapsed="false">
      <c r="A487" s="0" t="n">
        <v>486</v>
      </c>
      <c r="B487" s="0" t="str">
        <f aca="false">IFERROR(SMALL(Pipeline_Calc!$A$2:$A$5251,A487),"")</f>
        <v/>
      </c>
      <c r="C487" s="0" t="str">
        <f aca="false">IF(B487="","",MATCH(B487,Pipeline_Calc!$A$2:$A$5251,0))</f>
        <v/>
      </c>
    </row>
    <row r="488" customFormat="false" ht="15" hidden="false" customHeight="false" outlineLevel="0" collapsed="false">
      <c r="A488" s="0" t="n">
        <v>487</v>
      </c>
      <c r="B488" s="0" t="str">
        <f aca="false">IFERROR(SMALL(Pipeline_Calc!$A$2:$A$5251,A488),"")</f>
        <v/>
      </c>
      <c r="C488" s="0" t="str">
        <f aca="false">IF(B488="","",MATCH(B488,Pipeline_Calc!$A$2:$A$5251,0))</f>
        <v/>
      </c>
    </row>
    <row r="489" customFormat="false" ht="15" hidden="false" customHeight="false" outlineLevel="0" collapsed="false">
      <c r="A489" s="0" t="n">
        <v>488</v>
      </c>
      <c r="B489" s="0" t="str">
        <f aca="false">IFERROR(SMALL(Pipeline_Calc!$A$2:$A$5251,A489),"")</f>
        <v/>
      </c>
      <c r="C489" s="0" t="str">
        <f aca="false">IF(B489="","",MATCH(B489,Pipeline_Calc!$A$2:$A$5251,0))</f>
        <v/>
      </c>
    </row>
    <row r="490" customFormat="false" ht="15" hidden="false" customHeight="false" outlineLevel="0" collapsed="false">
      <c r="A490" s="0" t="n">
        <v>489</v>
      </c>
      <c r="B490" s="0" t="str">
        <f aca="false">IFERROR(SMALL(Pipeline_Calc!$A$2:$A$5251,A490),"")</f>
        <v/>
      </c>
      <c r="C490" s="0" t="str">
        <f aca="false">IF(B490="","",MATCH(B490,Pipeline_Calc!$A$2:$A$5251,0))</f>
        <v/>
      </c>
    </row>
    <row r="491" customFormat="false" ht="15" hidden="false" customHeight="false" outlineLevel="0" collapsed="false">
      <c r="A491" s="0" t="n">
        <v>490</v>
      </c>
      <c r="B491" s="0" t="str">
        <f aca="false">IFERROR(SMALL(Pipeline_Calc!$A$2:$A$5251,A491),"")</f>
        <v/>
      </c>
      <c r="C491" s="0" t="str">
        <f aca="false">IF(B491="","",MATCH(B491,Pipeline_Calc!$A$2:$A$5251,0))</f>
        <v/>
      </c>
    </row>
    <row r="492" customFormat="false" ht="15" hidden="false" customHeight="false" outlineLevel="0" collapsed="false">
      <c r="A492" s="0" t="n">
        <v>491</v>
      </c>
      <c r="B492" s="0" t="str">
        <f aca="false">IFERROR(SMALL(Pipeline_Calc!$A$2:$A$5251,A492),"")</f>
        <v/>
      </c>
      <c r="C492" s="0" t="str">
        <f aca="false">IF(B492="","",MATCH(B492,Pipeline_Calc!$A$2:$A$5251,0))</f>
        <v/>
      </c>
    </row>
    <row r="493" customFormat="false" ht="15" hidden="false" customHeight="false" outlineLevel="0" collapsed="false">
      <c r="A493" s="0" t="n">
        <v>492</v>
      </c>
      <c r="B493" s="0" t="str">
        <f aca="false">IFERROR(SMALL(Pipeline_Calc!$A$2:$A$5251,A493),"")</f>
        <v/>
      </c>
      <c r="C493" s="0" t="str">
        <f aca="false">IF(B493="","",MATCH(B493,Pipeline_Calc!$A$2:$A$5251,0))</f>
        <v/>
      </c>
    </row>
    <row r="494" customFormat="false" ht="15" hidden="false" customHeight="false" outlineLevel="0" collapsed="false">
      <c r="A494" s="0" t="n">
        <v>493</v>
      </c>
      <c r="B494" s="0" t="str">
        <f aca="false">IFERROR(SMALL(Pipeline_Calc!$A$2:$A$5251,A494),"")</f>
        <v/>
      </c>
      <c r="C494" s="0" t="str">
        <f aca="false">IF(B494="","",MATCH(B494,Pipeline_Calc!$A$2:$A$5251,0))</f>
        <v/>
      </c>
    </row>
    <row r="495" customFormat="false" ht="15" hidden="false" customHeight="false" outlineLevel="0" collapsed="false">
      <c r="A495" s="0" t="n">
        <v>494</v>
      </c>
      <c r="B495" s="0" t="str">
        <f aca="false">IFERROR(SMALL(Pipeline_Calc!$A$2:$A$5251,A495),"")</f>
        <v/>
      </c>
      <c r="C495" s="0" t="str">
        <f aca="false">IF(B495="","",MATCH(B495,Pipeline_Calc!$A$2:$A$5251,0))</f>
        <v/>
      </c>
    </row>
    <row r="496" customFormat="false" ht="15" hidden="false" customHeight="false" outlineLevel="0" collapsed="false">
      <c r="A496" s="0" t="n">
        <v>495</v>
      </c>
      <c r="B496" s="0" t="str">
        <f aca="false">IFERROR(SMALL(Pipeline_Calc!$A$2:$A$5251,A496),"")</f>
        <v/>
      </c>
      <c r="C496" s="0" t="str">
        <f aca="false">IF(B496="","",MATCH(B496,Pipeline_Calc!$A$2:$A$5251,0))</f>
        <v/>
      </c>
    </row>
    <row r="497" customFormat="false" ht="15" hidden="false" customHeight="false" outlineLevel="0" collapsed="false">
      <c r="A497" s="0" t="n">
        <v>496</v>
      </c>
      <c r="B497" s="0" t="str">
        <f aca="false">IFERROR(SMALL(Pipeline_Calc!$A$2:$A$5251,A497),"")</f>
        <v/>
      </c>
      <c r="C497" s="0" t="str">
        <f aca="false">IF(B497="","",MATCH(B497,Pipeline_Calc!$A$2:$A$5251,0))</f>
        <v/>
      </c>
    </row>
    <row r="498" customFormat="false" ht="15" hidden="false" customHeight="false" outlineLevel="0" collapsed="false">
      <c r="A498" s="0" t="n">
        <v>497</v>
      </c>
      <c r="B498" s="0" t="str">
        <f aca="false">IFERROR(SMALL(Pipeline_Calc!$A$2:$A$5251,A498),"")</f>
        <v/>
      </c>
      <c r="C498" s="0" t="str">
        <f aca="false">IF(B498="","",MATCH(B498,Pipeline_Calc!$A$2:$A$5251,0))</f>
        <v/>
      </c>
    </row>
    <row r="499" customFormat="false" ht="15" hidden="false" customHeight="false" outlineLevel="0" collapsed="false">
      <c r="A499" s="0" t="n">
        <v>498</v>
      </c>
      <c r="B499" s="0" t="str">
        <f aca="false">IFERROR(SMALL(Pipeline_Calc!$A$2:$A$5251,A499),"")</f>
        <v/>
      </c>
      <c r="C499" s="0" t="str">
        <f aca="false">IF(B499="","",MATCH(B499,Pipeline_Calc!$A$2:$A$5251,0))</f>
        <v/>
      </c>
    </row>
    <row r="500" customFormat="false" ht="15" hidden="false" customHeight="false" outlineLevel="0" collapsed="false">
      <c r="A500" s="0" t="n">
        <v>499</v>
      </c>
      <c r="B500" s="0" t="str">
        <f aca="false">IFERROR(SMALL(Pipeline_Calc!$A$2:$A$5251,A500),"")</f>
        <v/>
      </c>
      <c r="C500" s="0" t="str">
        <f aca="false">IF(B500="","",MATCH(B500,Pipeline_Calc!$A$2:$A$5251,0))</f>
        <v/>
      </c>
    </row>
    <row r="501" customFormat="false" ht="15" hidden="false" customHeight="false" outlineLevel="0" collapsed="false">
      <c r="A501" s="0" t="n">
        <v>500</v>
      </c>
      <c r="B501" s="0" t="str">
        <f aca="false">IFERROR(SMALL(Pipeline_Calc!$A$2:$A$5251,A501),"")</f>
        <v/>
      </c>
      <c r="C501" s="0" t="str">
        <f aca="false">IF(B501="","",MATCH(B501,Pipeline_Calc!$A$2:$A$5251,0))</f>
        <v/>
      </c>
    </row>
    <row r="502" customFormat="false" ht="15" hidden="false" customHeight="false" outlineLevel="0" collapsed="false">
      <c r="A502" s="0" t="n">
        <v>501</v>
      </c>
      <c r="B502" s="0" t="str">
        <f aca="false">IFERROR(SMALL(Pipeline_Calc!$A$2:$A$5251,A502),"")</f>
        <v/>
      </c>
      <c r="C502" s="0" t="str">
        <f aca="false">IF(B502="","",MATCH(B502,Pipeline_Calc!$A$2:$A$5251,0))</f>
        <v/>
      </c>
    </row>
    <row r="503" customFormat="false" ht="15" hidden="false" customHeight="false" outlineLevel="0" collapsed="false">
      <c r="A503" s="0" t="n">
        <v>502</v>
      </c>
      <c r="B503" s="0" t="str">
        <f aca="false">IFERROR(SMALL(Pipeline_Calc!$A$2:$A$5251,A503),"")</f>
        <v/>
      </c>
      <c r="C503" s="0" t="str">
        <f aca="false">IF(B503="","",MATCH(B503,Pipeline_Calc!$A$2:$A$5251,0))</f>
        <v/>
      </c>
    </row>
    <row r="504" customFormat="false" ht="15" hidden="false" customHeight="false" outlineLevel="0" collapsed="false">
      <c r="A504" s="0" t="n">
        <v>503</v>
      </c>
      <c r="B504" s="0" t="str">
        <f aca="false">IFERROR(SMALL(Pipeline_Calc!$A$2:$A$5251,A504),"")</f>
        <v/>
      </c>
      <c r="C504" s="0" t="str">
        <f aca="false">IF(B504="","",MATCH(B504,Pipeline_Calc!$A$2:$A$5251,0))</f>
        <v/>
      </c>
    </row>
    <row r="505" customFormat="false" ht="15" hidden="false" customHeight="false" outlineLevel="0" collapsed="false">
      <c r="A505" s="0" t="n">
        <v>504</v>
      </c>
      <c r="B505" s="0" t="str">
        <f aca="false">IFERROR(SMALL(Pipeline_Calc!$A$2:$A$5251,A505),"")</f>
        <v/>
      </c>
      <c r="C505" s="0" t="str">
        <f aca="false">IF(B505="","",MATCH(B505,Pipeline_Calc!$A$2:$A$5251,0))</f>
        <v/>
      </c>
    </row>
    <row r="506" customFormat="false" ht="15" hidden="false" customHeight="false" outlineLevel="0" collapsed="false">
      <c r="A506" s="0" t="n">
        <v>505</v>
      </c>
      <c r="B506" s="0" t="str">
        <f aca="false">IFERROR(SMALL(Pipeline_Calc!$A$2:$A$5251,A506),"")</f>
        <v/>
      </c>
      <c r="C506" s="0" t="str">
        <f aca="false">IF(B506="","",MATCH(B506,Pipeline_Calc!$A$2:$A$5251,0))</f>
        <v/>
      </c>
    </row>
    <row r="507" customFormat="false" ht="15" hidden="false" customHeight="false" outlineLevel="0" collapsed="false">
      <c r="A507" s="0" t="n">
        <v>506</v>
      </c>
      <c r="B507" s="0" t="str">
        <f aca="false">IFERROR(SMALL(Pipeline_Calc!$A$2:$A$5251,A507),"")</f>
        <v/>
      </c>
      <c r="C507" s="0" t="str">
        <f aca="false">IF(B507="","",MATCH(B507,Pipeline_Calc!$A$2:$A$5251,0))</f>
        <v/>
      </c>
    </row>
    <row r="508" customFormat="false" ht="15" hidden="false" customHeight="false" outlineLevel="0" collapsed="false">
      <c r="A508" s="0" t="n">
        <v>507</v>
      </c>
      <c r="B508" s="0" t="str">
        <f aca="false">IFERROR(SMALL(Pipeline_Calc!$A$2:$A$5251,A508),"")</f>
        <v/>
      </c>
      <c r="C508" s="0" t="str">
        <f aca="false">IF(B508="","",MATCH(B508,Pipeline_Calc!$A$2:$A$5251,0))</f>
        <v/>
      </c>
    </row>
    <row r="509" customFormat="false" ht="15" hidden="false" customHeight="false" outlineLevel="0" collapsed="false">
      <c r="A509" s="0" t="n">
        <v>508</v>
      </c>
      <c r="B509" s="0" t="str">
        <f aca="false">IFERROR(SMALL(Pipeline_Calc!$A$2:$A$5251,A509),"")</f>
        <v/>
      </c>
      <c r="C509" s="0" t="str">
        <f aca="false">IF(B509="","",MATCH(B509,Pipeline_Calc!$A$2:$A$5251,0))</f>
        <v/>
      </c>
    </row>
    <row r="510" customFormat="false" ht="15" hidden="false" customHeight="false" outlineLevel="0" collapsed="false">
      <c r="A510" s="0" t="n">
        <v>509</v>
      </c>
      <c r="B510" s="0" t="str">
        <f aca="false">IFERROR(SMALL(Pipeline_Calc!$A$2:$A$5251,A510),"")</f>
        <v/>
      </c>
      <c r="C510" s="0" t="str">
        <f aca="false">IF(B510="","",MATCH(B510,Pipeline_Calc!$A$2:$A$5251,0))</f>
        <v/>
      </c>
    </row>
    <row r="511" customFormat="false" ht="15" hidden="false" customHeight="false" outlineLevel="0" collapsed="false">
      <c r="A511" s="0" t="n">
        <v>510</v>
      </c>
      <c r="B511" s="0" t="str">
        <f aca="false">IFERROR(SMALL(Pipeline_Calc!$A$2:$A$5251,A511),"")</f>
        <v/>
      </c>
      <c r="C511" s="0" t="str">
        <f aca="false">IF(B511="","",MATCH(B511,Pipeline_Calc!$A$2:$A$5251,0))</f>
        <v/>
      </c>
    </row>
    <row r="512" customFormat="false" ht="15" hidden="false" customHeight="false" outlineLevel="0" collapsed="false">
      <c r="A512" s="0" t="n">
        <v>511</v>
      </c>
      <c r="B512" s="0" t="str">
        <f aca="false">IFERROR(SMALL(Pipeline_Calc!$A$2:$A$5251,A512),"")</f>
        <v/>
      </c>
      <c r="C512" s="0" t="str">
        <f aca="false">IF(B512="","",MATCH(B512,Pipeline_Calc!$A$2:$A$5251,0))</f>
        <v/>
      </c>
    </row>
    <row r="513" customFormat="false" ht="15" hidden="false" customHeight="false" outlineLevel="0" collapsed="false">
      <c r="A513" s="0" t="n">
        <v>512</v>
      </c>
      <c r="B513" s="0" t="str">
        <f aca="false">IFERROR(SMALL(Pipeline_Calc!$A$2:$A$5251,A513),"")</f>
        <v/>
      </c>
      <c r="C513" s="0" t="str">
        <f aca="false">IF(B513="","",MATCH(B513,Pipeline_Calc!$A$2:$A$5251,0))</f>
        <v/>
      </c>
    </row>
    <row r="514" customFormat="false" ht="15" hidden="false" customHeight="false" outlineLevel="0" collapsed="false">
      <c r="A514" s="0" t="n">
        <v>513</v>
      </c>
      <c r="B514" s="0" t="str">
        <f aca="false">IFERROR(SMALL(Pipeline_Calc!$A$2:$A$5251,A514),"")</f>
        <v/>
      </c>
      <c r="C514" s="0" t="str">
        <f aca="false">IF(B514="","",MATCH(B514,Pipeline_Calc!$A$2:$A$5251,0))</f>
        <v/>
      </c>
    </row>
    <row r="515" customFormat="false" ht="15" hidden="false" customHeight="false" outlineLevel="0" collapsed="false">
      <c r="A515" s="0" t="n">
        <v>514</v>
      </c>
      <c r="B515" s="0" t="str">
        <f aca="false">IFERROR(SMALL(Pipeline_Calc!$A$2:$A$5251,A515),"")</f>
        <v/>
      </c>
      <c r="C515" s="0" t="str">
        <f aca="false">IF(B515="","",MATCH(B515,Pipeline_Calc!$A$2:$A$5251,0))</f>
        <v/>
      </c>
    </row>
    <row r="516" customFormat="false" ht="15" hidden="false" customHeight="false" outlineLevel="0" collapsed="false">
      <c r="A516" s="0" t="n">
        <v>515</v>
      </c>
      <c r="B516" s="0" t="str">
        <f aca="false">IFERROR(SMALL(Pipeline_Calc!$A$2:$A$5251,A516),"")</f>
        <v/>
      </c>
      <c r="C516" s="0" t="str">
        <f aca="false">IF(B516="","",MATCH(B516,Pipeline_Calc!$A$2:$A$5251,0))</f>
        <v/>
      </c>
    </row>
    <row r="517" customFormat="false" ht="15" hidden="false" customHeight="false" outlineLevel="0" collapsed="false">
      <c r="A517" s="0" t="n">
        <v>516</v>
      </c>
      <c r="B517" s="0" t="str">
        <f aca="false">IFERROR(SMALL(Pipeline_Calc!$A$2:$A$5251,A517),"")</f>
        <v/>
      </c>
      <c r="C517" s="0" t="str">
        <f aca="false">IF(B517="","",MATCH(B517,Pipeline_Calc!$A$2:$A$5251,0))</f>
        <v/>
      </c>
    </row>
    <row r="518" customFormat="false" ht="15" hidden="false" customHeight="false" outlineLevel="0" collapsed="false">
      <c r="A518" s="0" t="n">
        <v>517</v>
      </c>
      <c r="B518" s="0" t="str">
        <f aca="false">IFERROR(SMALL(Pipeline_Calc!$A$2:$A$5251,A518),"")</f>
        <v/>
      </c>
      <c r="C518" s="0" t="str">
        <f aca="false">IF(B518="","",MATCH(B518,Pipeline_Calc!$A$2:$A$5251,0))</f>
        <v/>
      </c>
    </row>
    <row r="519" customFormat="false" ht="15" hidden="false" customHeight="false" outlineLevel="0" collapsed="false">
      <c r="A519" s="0" t="n">
        <v>518</v>
      </c>
      <c r="B519" s="0" t="str">
        <f aca="false">IFERROR(SMALL(Pipeline_Calc!$A$2:$A$5251,A519),"")</f>
        <v/>
      </c>
      <c r="C519" s="0" t="str">
        <f aca="false">IF(B519="","",MATCH(B519,Pipeline_Calc!$A$2:$A$5251,0))</f>
        <v/>
      </c>
    </row>
    <row r="520" customFormat="false" ht="15" hidden="false" customHeight="false" outlineLevel="0" collapsed="false">
      <c r="A520" s="0" t="n">
        <v>519</v>
      </c>
      <c r="B520" s="0" t="str">
        <f aca="false">IFERROR(SMALL(Pipeline_Calc!$A$2:$A$5251,A520),"")</f>
        <v/>
      </c>
      <c r="C520" s="0" t="str">
        <f aca="false">IF(B520="","",MATCH(B520,Pipeline_Calc!$A$2:$A$5251,0))</f>
        <v/>
      </c>
    </row>
    <row r="521" customFormat="false" ht="15" hidden="false" customHeight="false" outlineLevel="0" collapsed="false">
      <c r="A521" s="0" t="n">
        <v>520</v>
      </c>
      <c r="B521" s="0" t="str">
        <f aca="false">IFERROR(SMALL(Pipeline_Calc!$A$2:$A$5251,A521),"")</f>
        <v/>
      </c>
      <c r="C521" s="0" t="str">
        <f aca="false">IF(B521="","",MATCH(B521,Pipeline_Calc!$A$2:$A$5251,0))</f>
        <v/>
      </c>
    </row>
    <row r="522" customFormat="false" ht="15" hidden="false" customHeight="false" outlineLevel="0" collapsed="false">
      <c r="A522" s="0" t="n">
        <v>521</v>
      </c>
      <c r="B522" s="0" t="str">
        <f aca="false">IFERROR(SMALL(Pipeline_Calc!$A$2:$A$5251,A522),"")</f>
        <v/>
      </c>
      <c r="C522" s="0" t="str">
        <f aca="false">IF(B522="","",MATCH(B522,Pipeline_Calc!$A$2:$A$5251,0))</f>
        <v/>
      </c>
    </row>
    <row r="523" customFormat="false" ht="15" hidden="false" customHeight="false" outlineLevel="0" collapsed="false">
      <c r="A523" s="0" t="n">
        <v>522</v>
      </c>
      <c r="B523" s="0" t="str">
        <f aca="false">IFERROR(SMALL(Pipeline_Calc!$A$2:$A$5251,A523),"")</f>
        <v/>
      </c>
      <c r="C523" s="0" t="str">
        <f aca="false">IF(B523="","",MATCH(B523,Pipeline_Calc!$A$2:$A$5251,0))</f>
        <v/>
      </c>
    </row>
    <row r="524" customFormat="false" ht="15" hidden="false" customHeight="false" outlineLevel="0" collapsed="false">
      <c r="A524" s="0" t="n">
        <v>523</v>
      </c>
      <c r="B524" s="0" t="str">
        <f aca="false">IFERROR(SMALL(Pipeline_Calc!$A$2:$A$5251,A524),"")</f>
        <v/>
      </c>
      <c r="C524" s="0" t="str">
        <f aca="false">IF(B524="","",MATCH(B524,Pipeline_Calc!$A$2:$A$5251,0))</f>
        <v/>
      </c>
    </row>
    <row r="525" customFormat="false" ht="15" hidden="false" customHeight="false" outlineLevel="0" collapsed="false">
      <c r="A525" s="0" t="n">
        <v>524</v>
      </c>
      <c r="B525" s="0" t="str">
        <f aca="false">IFERROR(SMALL(Pipeline_Calc!$A$2:$A$5251,A525),"")</f>
        <v/>
      </c>
      <c r="C525" s="0" t="str">
        <f aca="false">IF(B525="","",MATCH(B525,Pipeline_Calc!$A$2:$A$5251,0))</f>
        <v/>
      </c>
    </row>
    <row r="526" customFormat="false" ht="15" hidden="false" customHeight="false" outlineLevel="0" collapsed="false">
      <c r="A526" s="0" t="n">
        <v>525</v>
      </c>
      <c r="B526" s="0" t="str">
        <f aca="false">IFERROR(SMALL(Pipeline_Calc!$A$2:$A$5251,A526),"")</f>
        <v/>
      </c>
      <c r="C526" s="0" t="str">
        <f aca="false">IF(B526="","",MATCH(B526,Pipeline_Calc!$A$2:$A$5251,0))</f>
        <v/>
      </c>
    </row>
    <row r="527" customFormat="false" ht="15" hidden="false" customHeight="false" outlineLevel="0" collapsed="false">
      <c r="A527" s="0" t="n">
        <v>526</v>
      </c>
      <c r="B527" s="0" t="str">
        <f aca="false">IFERROR(SMALL(Pipeline_Calc!$A$2:$A$5251,A527),"")</f>
        <v/>
      </c>
      <c r="C527" s="0" t="str">
        <f aca="false">IF(B527="","",MATCH(B527,Pipeline_Calc!$A$2:$A$5251,0))</f>
        <v/>
      </c>
    </row>
    <row r="528" customFormat="false" ht="15" hidden="false" customHeight="false" outlineLevel="0" collapsed="false">
      <c r="A528" s="0" t="n">
        <v>527</v>
      </c>
      <c r="B528" s="0" t="str">
        <f aca="false">IFERROR(SMALL(Pipeline_Calc!$A$2:$A$5251,A528),"")</f>
        <v/>
      </c>
      <c r="C528" s="0" t="str">
        <f aca="false">IF(B528="","",MATCH(B528,Pipeline_Calc!$A$2:$A$5251,0))</f>
        <v/>
      </c>
    </row>
    <row r="529" customFormat="false" ht="15" hidden="false" customHeight="false" outlineLevel="0" collapsed="false">
      <c r="A529" s="0" t="n">
        <v>528</v>
      </c>
      <c r="B529" s="0" t="str">
        <f aca="false">IFERROR(SMALL(Pipeline_Calc!$A$2:$A$5251,A529),"")</f>
        <v/>
      </c>
      <c r="C529" s="0" t="str">
        <f aca="false">IF(B529="","",MATCH(B529,Pipeline_Calc!$A$2:$A$5251,0))</f>
        <v/>
      </c>
    </row>
    <row r="530" customFormat="false" ht="15" hidden="false" customHeight="false" outlineLevel="0" collapsed="false">
      <c r="A530" s="0" t="n">
        <v>529</v>
      </c>
      <c r="B530" s="0" t="str">
        <f aca="false">IFERROR(SMALL(Pipeline_Calc!$A$2:$A$5251,A530),"")</f>
        <v/>
      </c>
      <c r="C530" s="0" t="str">
        <f aca="false">IF(B530="","",MATCH(B530,Pipeline_Calc!$A$2:$A$5251,0))</f>
        <v/>
      </c>
    </row>
    <row r="531" customFormat="false" ht="15" hidden="false" customHeight="false" outlineLevel="0" collapsed="false">
      <c r="A531" s="0" t="n">
        <v>530</v>
      </c>
      <c r="B531" s="0" t="str">
        <f aca="false">IFERROR(SMALL(Pipeline_Calc!$A$2:$A$5251,A531),"")</f>
        <v/>
      </c>
      <c r="C531" s="0" t="str">
        <f aca="false">IF(B531="","",MATCH(B531,Pipeline_Calc!$A$2:$A$5251,0))</f>
        <v/>
      </c>
    </row>
    <row r="532" customFormat="false" ht="15" hidden="false" customHeight="false" outlineLevel="0" collapsed="false">
      <c r="A532" s="0" t="n">
        <v>531</v>
      </c>
      <c r="B532" s="0" t="str">
        <f aca="false">IFERROR(SMALL(Pipeline_Calc!$A$2:$A$5251,A532),"")</f>
        <v/>
      </c>
      <c r="C532" s="0" t="str">
        <f aca="false">IF(B532="","",MATCH(B532,Pipeline_Calc!$A$2:$A$5251,0))</f>
        <v/>
      </c>
    </row>
    <row r="533" customFormat="false" ht="15" hidden="false" customHeight="false" outlineLevel="0" collapsed="false">
      <c r="A533" s="0" t="n">
        <v>532</v>
      </c>
      <c r="B533" s="0" t="str">
        <f aca="false">IFERROR(SMALL(Pipeline_Calc!$A$2:$A$5251,A533),"")</f>
        <v/>
      </c>
      <c r="C533" s="0" t="str">
        <f aca="false">IF(B533="","",MATCH(B533,Pipeline_Calc!$A$2:$A$5251,0))</f>
        <v/>
      </c>
    </row>
    <row r="534" customFormat="false" ht="15" hidden="false" customHeight="false" outlineLevel="0" collapsed="false">
      <c r="A534" s="0" t="n">
        <v>533</v>
      </c>
      <c r="B534" s="0" t="str">
        <f aca="false">IFERROR(SMALL(Pipeline_Calc!$A$2:$A$5251,A534),"")</f>
        <v/>
      </c>
      <c r="C534" s="0" t="str">
        <f aca="false">IF(B534="","",MATCH(B534,Pipeline_Calc!$A$2:$A$5251,0))</f>
        <v/>
      </c>
    </row>
    <row r="535" customFormat="false" ht="15" hidden="false" customHeight="false" outlineLevel="0" collapsed="false">
      <c r="A535" s="0" t="n">
        <v>534</v>
      </c>
      <c r="B535" s="0" t="str">
        <f aca="false">IFERROR(SMALL(Pipeline_Calc!$A$2:$A$5251,A535),"")</f>
        <v/>
      </c>
      <c r="C535" s="0" t="str">
        <f aca="false">IF(B535="","",MATCH(B535,Pipeline_Calc!$A$2:$A$5251,0))</f>
        <v/>
      </c>
    </row>
    <row r="536" customFormat="false" ht="15" hidden="false" customHeight="false" outlineLevel="0" collapsed="false">
      <c r="A536" s="0" t="n">
        <v>535</v>
      </c>
      <c r="B536" s="0" t="str">
        <f aca="false">IFERROR(SMALL(Pipeline_Calc!$A$2:$A$5251,A536),"")</f>
        <v/>
      </c>
      <c r="C536" s="0" t="str">
        <f aca="false">IF(B536="","",MATCH(B536,Pipeline_Calc!$A$2:$A$5251,0))</f>
        <v/>
      </c>
    </row>
    <row r="537" customFormat="false" ht="15" hidden="false" customHeight="false" outlineLevel="0" collapsed="false">
      <c r="A537" s="0" t="n">
        <v>536</v>
      </c>
      <c r="B537" s="0" t="str">
        <f aca="false">IFERROR(SMALL(Pipeline_Calc!$A$2:$A$5251,A537),"")</f>
        <v/>
      </c>
      <c r="C537" s="0" t="str">
        <f aca="false">IF(B537="","",MATCH(B537,Pipeline_Calc!$A$2:$A$5251,0))</f>
        <v/>
      </c>
    </row>
    <row r="538" customFormat="false" ht="15" hidden="false" customHeight="false" outlineLevel="0" collapsed="false">
      <c r="A538" s="0" t="n">
        <v>537</v>
      </c>
      <c r="B538" s="0" t="str">
        <f aca="false">IFERROR(SMALL(Pipeline_Calc!$A$2:$A$5251,A538),"")</f>
        <v/>
      </c>
      <c r="C538" s="0" t="str">
        <f aca="false">IF(B538="","",MATCH(B538,Pipeline_Calc!$A$2:$A$5251,0))</f>
        <v/>
      </c>
    </row>
    <row r="539" customFormat="false" ht="15" hidden="false" customHeight="false" outlineLevel="0" collapsed="false">
      <c r="A539" s="0" t="n">
        <v>538</v>
      </c>
      <c r="B539" s="0" t="str">
        <f aca="false">IFERROR(SMALL(Pipeline_Calc!$A$2:$A$5251,A539),"")</f>
        <v/>
      </c>
      <c r="C539" s="0" t="str">
        <f aca="false">IF(B539="","",MATCH(B539,Pipeline_Calc!$A$2:$A$5251,0))</f>
        <v/>
      </c>
    </row>
    <row r="540" customFormat="false" ht="15" hidden="false" customHeight="false" outlineLevel="0" collapsed="false">
      <c r="A540" s="0" t="n">
        <v>539</v>
      </c>
      <c r="B540" s="0" t="str">
        <f aca="false">IFERROR(SMALL(Pipeline_Calc!$A$2:$A$5251,A540),"")</f>
        <v/>
      </c>
      <c r="C540" s="0" t="str">
        <f aca="false">IF(B540="","",MATCH(B540,Pipeline_Calc!$A$2:$A$5251,0))</f>
        <v/>
      </c>
    </row>
    <row r="541" customFormat="false" ht="15" hidden="false" customHeight="false" outlineLevel="0" collapsed="false">
      <c r="A541" s="0" t="n">
        <v>540</v>
      </c>
      <c r="B541" s="0" t="str">
        <f aca="false">IFERROR(SMALL(Pipeline_Calc!$A$2:$A$5251,A541),"")</f>
        <v/>
      </c>
      <c r="C541" s="0" t="str">
        <f aca="false">IF(B541="","",MATCH(B541,Pipeline_Calc!$A$2:$A$5251,0))</f>
        <v/>
      </c>
    </row>
    <row r="542" customFormat="false" ht="15" hidden="false" customHeight="false" outlineLevel="0" collapsed="false">
      <c r="A542" s="0" t="n">
        <v>541</v>
      </c>
      <c r="B542" s="0" t="str">
        <f aca="false">IFERROR(SMALL(Pipeline_Calc!$A$2:$A$5251,A542),"")</f>
        <v/>
      </c>
      <c r="C542" s="0" t="str">
        <f aca="false">IF(B542="","",MATCH(B542,Pipeline_Calc!$A$2:$A$5251,0))</f>
        <v/>
      </c>
    </row>
    <row r="543" customFormat="false" ht="15" hidden="false" customHeight="false" outlineLevel="0" collapsed="false">
      <c r="A543" s="0" t="n">
        <v>542</v>
      </c>
      <c r="B543" s="0" t="str">
        <f aca="false">IFERROR(SMALL(Pipeline_Calc!$A$2:$A$5251,A543),"")</f>
        <v/>
      </c>
      <c r="C543" s="0" t="str">
        <f aca="false">IF(B543="","",MATCH(B543,Pipeline_Calc!$A$2:$A$5251,0))</f>
        <v/>
      </c>
    </row>
    <row r="544" customFormat="false" ht="15" hidden="false" customHeight="false" outlineLevel="0" collapsed="false">
      <c r="A544" s="0" t="n">
        <v>543</v>
      </c>
      <c r="B544" s="0" t="str">
        <f aca="false">IFERROR(SMALL(Pipeline_Calc!$A$2:$A$5251,A544),"")</f>
        <v/>
      </c>
      <c r="C544" s="0" t="str">
        <f aca="false">IF(B544="","",MATCH(B544,Pipeline_Calc!$A$2:$A$5251,0))</f>
        <v/>
      </c>
    </row>
    <row r="545" customFormat="false" ht="15" hidden="false" customHeight="false" outlineLevel="0" collapsed="false">
      <c r="A545" s="0" t="n">
        <v>544</v>
      </c>
      <c r="B545" s="0" t="str">
        <f aca="false">IFERROR(SMALL(Pipeline_Calc!$A$2:$A$5251,A545),"")</f>
        <v/>
      </c>
      <c r="C545" s="0" t="str">
        <f aca="false">IF(B545="","",MATCH(B545,Pipeline_Calc!$A$2:$A$5251,0))</f>
        <v/>
      </c>
    </row>
    <row r="546" customFormat="false" ht="15" hidden="false" customHeight="false" outlineLevel="0" collapsed="false">
      <c r="A546" s="0" t="n">
        <v>545</v>
      </c>
      <c r="B546" s="0" t="str">
        <f aca="false">IFERROR(SMALL(Pipeline_Calc!$A$2:$A$5251,A546),"")</f>
        <v/>
      </c>
      <c r="C546" s="0" t="str">
        <f aca="false">IF(B546="","",MATCH(B546,Pipeline_Calc!$A$2:$A$5251,0))</f>
        <v/>
      </c>
    </row>
    <row r="547" customFormat="false" ht="15" hidden="false" customHeight="false" outlineLevel="0" collapsed="false">
      <c r="A547" s="0" t="n">
        <v>546</v>
      </c>
      <c r="B547" s="0" t="str">
        <f aca="false">IFERROR(SMALL(Pipeline_Calc!$A$2:$A$5251,A547),"")</f>
        <v/>
      </c>
      <c r="C547" s="0" t="str">
        <f aca="false">IF(B547="","",MATCH(B547,Pipeline_Calc!$A$2:$A$5251,0))</f>
        <v/>
      </c>
    </row>
    <row r="548" customFormat="false" ht="15" hidden="false" customHeight="false" outlineLevel="0" collapsed="false">
      <c r="A548" s="0" t="n">
        <v>547</v>
      </c>
      <c r="B548" s="0" t="str">
        <f aca="false">IFERROR(SMALL(Pipeline_Calc!$A$2:$A$5251,A548),"")</f>
        <v/>
      </c>
      <c r="C548" s="0" t="str">
        <f aca="false">IF(B548="","",MATCH(B548,Pipeline_Calc!$A$2:$A$5251,0))</f>
        <v/>
      </c>
    </row>
    <row r="549" customFormat="false" ht="15" hidden="false" customHeight="false" outlineLevel="0" collapsed="false">
      <c r="A549" s="0" t="n">
        <v>548</v>
      </c>
      <c r="B549" s="0" t="str">
        <f aca="false">IFERROR(SMALL(Pipeline_Calc!$A$2:$A$5251,A549),"")</f>
        <v/>
      </c>
      <c r="C549" s="0" t="str">
        <f aca="false">IF(B549="","",MATCH(B549,Pipeline_Calc!$A$2:$A$5251,0))</f>
        <v/>
      </c>
    </row>
    <row r="550" customFormat="false" ht="15" hidden="false" customHeight="false" outlineLevel="0" collapsed="false">
      <c r="A550" s="0" t="n">
        <v>549</v>
      </c>
      <c r="B550" s="0" t="str">
        <f aca="false">IFERROR(SMALL(Pipeline_Calc!$A$2:$A$5251,A550),"")</f>
        <v/>
      </c>
      <c r="C550" s="0" t="str">
        <f aca="false">IF(B550="","",MATCH(B550,Pipeline_Calc!$A$2:$A$5251,0))</f>
        <v/>
      </c>
    </row>
    <row r="551" customFormat="false" ht="15" hidden="false" customHeight="false" outlineLevel="0" collapsed="false">
      <c r="A551" s="0" t="n">
        <v>550</v>
      </c>
      <c r="B551" s="0" t="str">
        <f aca="false">IFERROR(SMALL(Pipeline_Calc!$A$2:$A$5251,A551),"")</f>
        <v/>
      </c>
      <c r="C551" s="0" t="str">
        <f aca="false">IF(B551="","",MATCH(B551,Pipeline_Calc!$A$2:$A$5251,0))</f>
        <v/>
      </c>
    </row>
    <row r="552" customFormat="false" ht="15" hidden="false" customHeight="false" outlineLevel="0" collapsed="false">
      <c r="A552" s="0" t="n">
        <v>551</v>
      </c>
      <c r="B552" s="0" t="str">
        <f aca="false">IFERROR(SMALL(Pipeline_Calc!$A$2:$A$5251,A552),"")</f>
        <v/>
      </c>
      <c r="C552" s="0" t="str">
        <f aca="false">IF(B552="","",MATCH(B552,Pipeline_Calc!$A$2:$A$5251,0))</f>
        <v/>
      </c>
    </row>
    <row r="553" customFormat="false" ht="15" hidden="false" customHeight="false" outlineLevel="0" collapsed="false">
      <c r="A553" s="0" t="n">
        <v>552</v>
      </c>
      <c r="B553" s="0" t="str">
        <f aca="false">IFERROR(SMALL(Pipeline_Calc!$A$2:$A$5251,A553),"")</f>
        <v/>
      </c>
      <c r="C553" s="0" t="str">
        <f aca="false">IF(B553="","",MATCH(B553,Pipeline_Calc!$A$2:$A$5251,0))</f>
        <v/>
      </c>
    </row>
    <row r="554" customFormat="false" ht="15" hidden="false" customHeight="false" outlineLevel="0" collapsed="false">
      <c r="A554" s="0" t="n">
        <v>553</v>
      </c>
      <c r="B554" s="0" t="str">
        <f aca="false">IFERROR(SMALL(Pipeline_Calc!$A$2:$A$5251,A554),"")</f>
        <v/>
      </c>
      <c r="C554" s="0" t="str">
        <f aca="false">IF(B554="","",MATCH(B554,Pipeline_Calc!$A$2:$A$5251,0))</f>
        <v/>
      </c>
    </row>
    <row r="555" customFormat="false" ht="15" hidden="false" customHeight="false" outlineLevel="0" collapsed="false">
      <c r="A555" s="0" t="n">
        <v>554</v>
      </c>
      <c r="B555" s="0" t="str">
        <f aca="false">IFERROR(SMALL(Pipeline_Calc!$A$2:$A$5251,A555),"")</f>
        <v/>
      </c>
      <c r="C555" s="0" t="str">
        <f aca="false">IF(B555="","",MATCH(B555,Pipeline_Calc!$A$2:$A$5251,0))</f>
        <v/>
      </c>
    </row>
    <row r="556" customFormat="false" ht="15" hidden="false" customHeight="false" outlineLevel="0" collapsed="false">
      <c r="A556" s="0" t="n">
        <v>555</v>
      </c>
      <c r="B556" s="0" t="str">
        <f aca="false">IFERROR(SMALL(Pipeline_Calc!$A$2:$A$5251,A556),"")</f>
        <v/>
      </c>
      <c r="C556" s="0" t="str">
        <f aca="false">IF(B556="","",MATCH(B556,Pipeline_Calc!$A$2:$A$5251,0))</f>
        <v/>
      </c>
    </row>
    <row r="557" customFormat="false" ht="15" hidden="false" customHeight="false" outlineLevel="0" collapsed="false">
      <c r="A557" s="0" t="n">
        <v>556</v>
      </c>
      <c r="B557" s="0" t="str">
        <f aca="false">IFERROR(SMALL(Pipeline_Calc!$A$2:$A$5251,A557),"")</f>
        <v/>
      </c>
      <c r="C557" s="0" t="str">
        <f aca="false">IF(B557="","",MATCH(B557,Pipeline_Calc!$A$2:$A$5251,0))</f>
        <v/>
      </c>
    </row>
    <row r="558" customFormat="false" ht="15" hidden="false" customHeight="false" outlineLevel="0" collapsed="false">
      <c r="A558" s="0" t="n">
        <v>557</v>
      </c>
      <c r="B558" s="0" t="str">
        <f aca="false">IFERROR(SMALL(Pipeline_Calc!$A$2:$A$5251,A558),"")</f>
        <v/>
      </c>
      <c r="C558" s="0" t="str">
        <f aca="false">IF(B558="","",MATCH(B558,Pipeline_Calc!$A$2:$A$5251,0))</f>
        <v/>
      </c>
    </row>
    <row r="559" customFormat="false" ht="15" hidden="false" customHeight="false" outlineLevel="0" collapsed="false">
      <c r="A559" s="0" t="n">
        <v>558</v>
      </c>
      <c r="B559" s="0" t="str">
        <f aca="false">IFERROR(SMALL(Pipeline_Calc!$A$2:$A$5251,A559),"")</f>
        <v/>
      </c>
      <c r="C559" s="0" t="str">
        <f aca="false">IF(B559="","",MATCH(B559,Pipeline_Calc!$A$2:$A$5251,0))</f>
        <v/>
      </c>
    </row>
    <row r="560" customFormat="false" ht="15" hidden="false" customHeight="false" outlineLevel="0" collapsed="false">
      <c r="A560" s="0" t="n">
        <v>559</v>
      </c>
      <c r="B560" s="0" t="str">
        <f aca="false">IFERROR(SMALL(Pipeline_Calc!$A$2:$A$5251,A560),"")</f>
        <v/>
      </c>
      <c r="C560" s="0" t="str">
        <f aca="false">IF(B560="","",MATCH(B560,Pipeline_Calc!$A$2:$A$5251,0))</f>
        <v/>
      </c>
    </row>
    <row r="561" customFormat="false" ht="15" hidden="false" customHeight="false" outlineLevel="0" collapsed="false">
      <c r="A561" s="0" t="n">
        <v>560</v>
      </c>
      <c r="B561" s="0" t="str">
        <f aca="false">IFERROR(SMALL(Pipeline_Calc!$A$2:$A$5251,A561),"")</f>
        <v/>
      </c>
      <c r="C561" s="0" t="str">
        <f aca="false">IF(B561="","",MATCH(B561,Pipeline_Calc!$A$2:$A$5251,0))</f>
        <v/>
      </c>
    </row>
    <row r="562" customFormat="false" ht="15" hidden="false" customHeight="false" outlineLevel="0" collapsed="false">
      <c r="A562" s="0" t="n">
        <v>561</v>
      </c>
      <c r="B562" s="0" t="str">
        <f aca="false">IFERROR(SMALL(Pipeline_Calc!$A$2:$A$5251,A562),"")</f>
        <v/>
      </c>
      <c r="C562" s="0" t="str">
        <f aca="false">IF(B562="","",MATCH(B562,Pipeline_Calc!$A$2:$A$5251,0))</f>
        <v/>
      </c>
    </row>
    <row r="563" customFormat="false" ht="15" hidden="false" customHeight="false" outlineLevel="0" collapsed="false">
      <c r="A563" s="0" t="n">
        <v>562</v>
      </c>
      <c r="B563" s="0" t="str">
        <f aca="false">IFERROR(SMALL(Pipeline_Calc!$A$2:$A$5251,A563),"")</f>
        <v/>
      </c>
      <c r="C563" s="0" t="str">
        <f aca="false">IF(B563="","",MATCH(B563,Pipeline_Calc!$A$2:$A$5251,0))</f>
        <v/>
      </c>
    </row>
    <row r="564" customFormat="false" ht="15" hidden="false" customHeight="false" outlineLevel="0" collapsed="false">
      <c r="A564" s="0" t="n">
        <v>563</v>
      </c>
      <c r="B564" s="0" t="str">
        <f aca="false">IFERROR(SMALL(Pipeline_Calc!$A$2:$A$5251,A564),"")</f>
        <v/>
      </c>
      <c r="C564" s="0" t="str">
        <f aca="false">IF(B564="","",MATCH(B564,Pipeline_Calc!$A$2:$A$5251,0))</f>
        <v/>
      </c>
    </row>
    <row r="565" customFormat="false" ht="15" hidden="false" customHeight="false" outlineLevel="0" collapsed="false">
      <c r="A565" s="0" t="n">
        <v>564</v>
      </c>
      <c r="B565" s="0" t="str">
        <f aca="false">IFERROR(SMALL(Pipeline_Calc!$A$2:$A$5251,A565),"")</f>
        <v/>
      </c>
      <c r="C565" s="0" t="str">
        <f aca="false">IF(B565="","",MATCH(B565,Pipeline_Calc!$A$2:$A$5251,0))</f>
        <v/>
      </c>
    </row>
    <row r="566" customFormat="false" ht="15" hidden="false" customHeight="false" outlineLevel="0" collapsed="false">
      <c r="A566" s="0" t="n">
        <v>565</v>
      </c>
      <c r="B566" s="0" t="str">
        <f aca="false">IFERROR(SMALL(Pipeline_Calc!$A$2:$A$5251,A566),"")</f>
        <v/>
      </c>
      <c r="C566" s="0" t="str">
        <f aca="false">IF(B566="","",MATCH(B566,Pipeline_Calc!$A$2:$A$5251,0))</f>
        <v/>
      </c>
    </row>
    <row r="567" customFormat="false" ht="15" hidden="false" customHeight="false" outlineLevel="0" collapsed="false">
      <c r="A567" s="0" t="n">
        <v>566</v>
      </c>
      <c r="B567" s="0" t="str">
        <f aca="false">IFERROR(SMALL(Pipeline_Calc!$A$2:$A$5251,A567),"")</f>
        <v/>
      </c>
      <c r="C567" s="0" t="str">
        <f aca="false">IF(B567="","",MATCH(B567,Pipeline_Calc!$A$2:$A$5251,0))</f>
        <v/>
      </c>
    </row>
    <row r="568" customFormat="false" ht="15" hidden="false" customHeight="false" outlineLevel="0" collapsed="false">
      <c r="A568" s="0" t="n">
        <v>567</v>
      </c>
      <c r="B568" s="0" t="str">
        <f aca="false">IFERROR(SMALL(Pipeline_Calc!$A$2:$A$5251,A568),"")</f>
        <v/>
      </c>
      <c r="C568" s="0" t="str">
        <f aca="false">IF(B568="","",MATCH(B568,Pipeline_Calc!$A$2:$A$5251,0))</f>
        <v/>
      </c>
    </row>
    <row r="569" customFormat="false" ht="15" hidden="false" customHeight="false" outlineLevel="0" collapsed="false">
      <c r="A569" s="0" t="n">
        <v>568</v>
      </c>
      <c r="B569" s="0" t="str">
        <f aca="false">IFERROR(SMALL(Pipeline_Calc!$A$2:$A$5251,A569),"")</f>
        <v/>
      </c>
      <c r="C569" s="0" t="str">
        <f aca="false">IF(B569="","",MATCH(B569,Pipeline_Calc!$A$2:$A$5251,0))</f>
        <v/>
      </c>
    </row>
    <row r="570" customFormat="false" ht="15" hidden="false" customHeight="false" outlineLevel="0" collapsed="false">
      <c r="A570" s="0" t="n">
        <v>569</v>
      </c>
      <c r="B570" s="0" t="str">
        <f aca="false">IFERROR(SMALL(Pipeline_Calc!$A$2:$A$5251,A570),"")</f>
        <v/>
      </c>
      <c r="C570" s="0" t="str">
        <f aca="false">IF(B570="","",MATCH(B570,Pipeline_Calc!$A$2:$A$5251,0))</f>
        <v/>
      </c>
    </row>
    <row r="571" customFormat="false" ht="15" hidden="false" customHeight="false" outlineLevel="0" collapsed="false">
      <c r="A571" s="0" t="n">
        <v>570</v>
      </c>
      <c r="B571" s="0" t="str">
        <f aca="false">IFERROR(SMALL(Pipeline_Calc!$A$2:$A$5251,A571),"")</f>
        <v/>
      </c>
      <c r="C571" s="0" t="str">
        <f aca="false">IF(B571="","",MATCH(B571,Pipeline_Calc!$A$2:$A$5251,0))</f>
        <v/>
      </c>
    </row>
    <row r="572" customFormat="false" ht="15" hidden="false" customHeight="false" outlineLevel="0" collapsed="false">
      <c r="A572" s="0" t="n">
        <v>571</v>
      </c>
      <c r="B572" s="0" t="str">
        <f aca="false">IFERROR(SMALL(Pipeline_Calc!$A$2:$A$5251,A572),"")</f>
        <v/>
      </c>
      <c r="C572" s="0" t="str">
        <f aca="false">IF(B572="","",MATCH(B572,Pipeline_Calc!$A$2:$A$5251,0))</f>
        <v/>
      </c>
    </row>
    <row r="573" customFormat="false" ht="15" hidden="false" customHeight="false" outlineLevel="0" collapsed="false">
      <c r="A573" s="0" t="n">
        <v>572</v>
      </c>
      <c r="B573" s="0" t="str">
        <f aca="false">IFERROR(SMALL(Pipeline_Calc!$A$2:$A$5251,A573),"")</f>
        <v/>
      </c>
      <c r="C573" s="0" t="str">
        <f aca="false">IF(B573="","",MATCH(B573,Pipeline_Calc!$A$2:$A$5251,0))</f>
        <v/>
      </c>
    </row>
    <row r="574" customFormat="false" ht="15" hidden="false" customHeight="false" outlineLevel="0" collapsed="false">
      <c r="A574" s="0" t="n">
        <v>573</v>
      </c>
      <c r="B574" s="0" t="str">
        <f aca="false">IFERROR(SMALL(Pipeline_Calc!$A$2:$A$5251,A574),"")</f>
        <v/>
      </c>
      <c r="C574" s="0" t="str">
        <f aca="false">IF(B574="","",MATCH(B574,Pipeline_Calc!$A$2:$A$5251,0))</f>
        <v/>
      </c>
    </row>
    <row r="575" customFormat="false" ht="15" hidden="false" customHeight="false" outlineLevel="0" collapsed="false">
      <c r="A575" s="0" t="n">
        <v>574</v>
      </c>
      <c r="B575" s="0" t="str">
        <f aca="false">IFERROR(SMALL(Pipeline_Calc!$A$2:$A$5251,A575),"")</f>
        <v/>
      </c>
      <c r="C575" s="0" t="str">
        <f aca="false">IF(B575="","",MATCH(B575,Pipeline_Calc!$A$2:$A$5251,0))</f>
        <v/>
      </c>
    </row>
    <row r="576" customFormat="false" ht="15" hidden="false" customHeight="false" outlineLevel="0" collapsed="false">
      <c r="A576" s="0" t="n">
        <v>575</v>
      </c>
      <c r="B576" s="0" t="str">
        <f aca="false">IFERROR(SMALL(Pipeline_Calc!$A$2:$A$5251,A576),"")</f>
        <v/>
      </c>
      <c r="C576" s="0" t="str">
        <f aca="false">IF(B576="","",MATCH(B576,Pipeline_Calc!$A$2:$A$5251,0))</f>
        <v/>
      </c>
    </row>
    <row r="577" customFormat="false" ht="15" hidden="false" customHeight="false" outlineLevel="0" collapsed="false">
      <c r="A577" s="0" t="n">
        <v>576</v>
      </c>
      <c r="B577" s="0" t="str">
        <f aca="false">IFERROR(SMALL(Pipeline_Calc!$A$2:$A$5251,A577),"")</f>
        <v/>
      </c>
      <c r="C577" s="0" t="str">
        <f aca="false">IF(B577="","",MATCH(B577,Pipeline_Calc!$A$2:$A$5251,0))</f>
        <v/>
      </c>
    </row>
    <row r="578" customFormat="false" ht="15" hidden="false" customHeight="false" outlineLevel="0" collapsed="false">
      <c r="A578" s="0" t="n">
        <v>577</v>
      </c>
      <c r="B578" s="0" t="str">
        <f aca="false">IFERROR(SMALL(Pipeline_Calc!$A$2:$A$5251,A578),"")</f>
        <v/>
      </c>
      <c r="C578" s="0" t="str">
        <f aca="false">IF(B578="","",MATCH(B578,Pipeline_Calc!$A$2:$A$5251,0))</f>
        <v/>
      </c>
    </row>
    <row r="579" customFormat="false" ht="15" hidden="false" customHeight="false" outlineLevel="0" collapsed="false">
      <c r="A579" s="0" t="n">
        <v>578</v>
      </c>
      <c r="B579" s="0" t="str">
        <f aca="false">IFERROR(SMALL(Pipeline_Calc!$A$2:$A$5251,A579),"")</f>
        <v/>
      </c>
      <c r="C579" s="0" t="str">
        <f aca="false">IF(B579="","",MATCH(B579,Pipeline_Calc!$A$2:$A$5251,0))</f>
        <v/>
      </c>
    </row>
    <row r="580" customFormat="false" ht="15" hidden="false" customHeight="false" outlineLevel="0" collapsed="false">
      <c r="A580" s="0" t="n">
        <v>579</v>
      </c>
      <c r="B580" s="0" t="str">
        <f aca="false">IFERROR(SMALL(Pipeline_Calc!$A$2:$A$5251,A580),"")</f>
        <v/>
      </c>
      <c r="C580" s="0" t="str">
        <f aca="false">IF(B580="","",MATCH(B580,Pipeline_Calc!$A$2:$A$5251,0))</f>
        <v/>
      </c>
    </row>
    <row r="581" customFormat="false" ht="15" hidden="false" customHeight="false" outlineLevel="0" collapsed="false">
      <c r="A581" s="0" t="n">
        <v>580</v>
      </c>
      <c r="B581" s="0" t="str">
        <f aca="false">IFERROR(SMALL(Pipeline_Calc!$A$2:$A$5251,A581),"")</f>
        <v/>
      </c>
      <c r="C581" s="0" t="str">
        <f aca="false">IF(B581="","",MATCH(B581,Pipeline_Calc!$A$2:$A$5251,0))</f>
        <v/>
      </c>
    </row>
    <row r="582" customFormat="false" ht="15" hidden="false" customHeight="false" outlineLevel="0" collapsed="false">
      <c r="A582" s="0" t="n">
        <v>581</v>
      </c>
      <c r="B582" s="0" t="str">
        <f aca="false">IFERROR(SMALL(Pipeline_Calc!$A$2:$A$5251,A582),"")</f>
        <v/>
      </c>
      <c r="C582" s="0" t="str">
        <f aca="false">IF(B582="","",MATCH(B582,Pipeline_Calc!$A$2:$A$5251,0))</f>
        <v/>
      </c>
    </row>
    <row r="583" customFormat="false" ht="15" hidden="false" customHeight="false" outlineLevel="0" collapsed="false">
      <c r="A583" s="0" t="n">
        <v>582</v>
      </c>
      <c r="B583" s="0" t="str">
        <f aca="false">IFERROR(SMALL(Pipeline_Calc!$A$2:$A$5251,A583),"")</f>
        <v/>
      </c>
      <c r="C583" s="0" t="str">
        <f aca="false">IF(B583="","",MATCH(B583,Pipeline_Calc!$A$2:$A$5251,0))</f>
        <v/>
      </c>
    </row>
    <row r="584" customFormat="false" ht="15" hidden="false" customHeight="false" outlineLevel="0" collapsed="false">
      <c r="A584" s="0" t="n">
        <v>583</v>
      </c>
      <c r="B584" s="0" t="str">
        <f aca="false">IFERROR(SMALL(Pipeline_Calc!$A$2:$A$5251,A584),"")</f>
        <v/>
      </c>
      <c r="C584" s="0" t="str">
        <f aca="false">IF(B584="","",MATCH(B584,Pipeline_Calc!$A$2:$A$5251,0))</f>
        <v/>
      </c>
    </row>
    <row r="585" customFormat="false" ht="15" hidden="false" customHeight="false" outlineLevel="0" collapsed="false">
      <c r="A585" s="0" t="n">
        <v>584</v>
      </c>
      <c r="B585" s="0" t="str">
        <f aca="false">IFERROR(SMALL(Pipeline_Calc!$A$2:$A$5251,A585),"")</f>
        <v/>
      </c>
      <c r="C585" s="0" t="str">
        <f aca="false">IF(B585="","",MATCH(B585,Pipeline_Calc!$A$2:$A$5251,0))</f>
        <v/>
      </c>
    </row>
    <row r="586" customFormat="false" ht="15" hidden="false" customHeight="false" outlineLevel="0" collapsed="false">
      <c r="A586" s="0" t="n">
        <v>585</v>
      </c>
      <c r="B586" s="0" t="str">
        <f aca="false">IFERROR(SMALL(Pipeline_Calc!$A$2:$A$5251,A586),"")</f>
        <v/>
      </c>
      <c r="C586" s="0" t="str">
        <f aca="false">IF(B586="","",MATCH(B586,Pipeline_Calc!$A$2:$A$5251,0))</f>
        <v/>
      </c>
    </row>
    <row r="587" customFormat="false" ht="15" hidden="false" customHeight="false" outlineLevel="0" collapsed="false">
      <c r="A587" s="0" t="n">
        <v>586</v>
      </c>
      <c r="B587" s="0" t="str">
        <f aca="false">IFERROR(SMALL(Pipeline_Calc!$A$2:$A$5251,A587),"")</f>
        <v/>
      </c>
      <c r="C587" s="0" t="str">
        <f aca="false">IF(B587="","",MATCH(B587,Pipeline_Calc!$A$2:$A$5251,0))</f>
        <v/>
      </c>
    </row>
    <row r="588" customFormat="false" ht="15" hidden="false" customHeight="false" outlineLevel="0" collapsed="false">
      <c r="A588" s="0" t="n">
        <v>587</v>
      </c>
      <c r="B588" s="0" t="str">
        <f aca="false">IFERROR(SMALL(Pipeline_Calc!$A$2:$A$5251,A588),"")</f>
        <v/>
      </c>
      <c r="C588" s="0" t="str">
        <f aca="false">IF(B588="","",MATCH(B588,Pipeline_Calc!$A$2:$A$5251,0))</f>
        <v/>
      </c>
    </row>
    <row r="589" customFormat="false" ht="15" hidden="false" customHeight="false" outlineLevel="0" collapsed="false">
      <c r="A589" s="0" t="n">
        <v>588</v>
      </c>
      <c r="B589" s="0" t="str">
        <f aca="false">IFERROR(SMALL(Pipeline_Calc!$A$2:$A$5251,A589),"")</f>
        <v/>
      </c>
      <c r="C589" s="0" t="str">
        <f aca="false">IF(B589="","",MATCH(B589,Pipeline_Calc!$A$2:$A$5251,0))</f>
        <v/>
      </c>
    </row>
    <row r="590" customFormat="false" ht="15" hidden="false" customHeight="false" outlineLevel="0" collapsed="false">
      <c r="A590" s="0" t="n">
        <v>589</v>
      </c>
      <c r="B590" s="0" t="str">
        <f aca="false">IFERROR(SMALL(Pipeline_Calc!$A$2:$A$5251,A590),"")</f>
        <v/>
      </c>
      <c r="C590" s="0" t="str">
        <f aca="false">IF(B590="","",MATCH(B590,Pipeline_Calc!$A$2:$A$5251,0))</f>
        <v/>
      </c>
    </row>
    <row r="591" customFormat="false" ht="15" hidden="false" customHeight="false" outlineLevel="0" collapsed="false">
      <c r="A591" s="0" t="n">
        <v>590</v>
      </c>
      <c r="B591" s="0" t="str">
        <f aca="false">IFERROR(SMALL(Pipeline_Calc!$A$2:$A$5251,A591),"")</f>
        <v/>
      </c>
      <c r="C591" s="0" t="str">
        <f aca="false">IF(B591="","",MATCH(B591,Pipeline_Calc!$A$2:$A$5251,0))</f>
        <v/>
      </c>
    </row>
    <row r="592" customFormat="false" ht="15" hidden="false" customHeight="false" outlineLevel="0" collapsed="false">
      <c r="A592" s="0" t="n">
        <v>591</v>
      </c>
      <c r="B592" s="0" t="str">
        <f aca="false">IFERROR(SMALL(Pipeline_Calc!$A$2:$A$5251,A592),"")</f>
        <v/>
      </c>
      <c r="C592" s="0" t="str">
        <f aca="false">IF(B592="","",MATCH(B592,Pipeline_Calc!$A$2:$A$5251,0))</f>
        <v/>
      </c>
    </row>
    <row r="593" customFormat="false" ht="15" hidden="false" customHeight="false" outlineLevel="0" collapsed="false">
      <c r="A593" s="0" t="n">
        <v>592</v>
      </c>
      <c r="B593" s="0" t="str">
        <f aca="false">IFERROR(SMALL(Pipeline_Calc!$A$2:$A$5251,A593),"")</f>
        <v/>
      </c>
      <c r="C593" s="0" t="str">
        <f aca="false">IF(B593="","",MATCH(B593,Pipeline_Calc!$A$2:$A$5251,0))</f>
        <v/>
      </c>
    </row>
    <row r="594" customFormat="false" ht="15" hidden="false" customHeight="false" outlineLevel="0" collapsed="false">
      <c r="A594" s="0" t="n">
        <v>593</v>
      </c>
      <c r="B594" s="0" t="str">
        <f aca="false">IFERROR(SMALL(Pipeline_Calc!$A$2:$A$5251,A594),"")</f>
        <v/>
      </c>
      <c r="C594" s="0" t="str">
        <f aca="false">IF(B594="","",MATCH(B594,Pipeline_Calc!$A$2:$A$5251,0))</f>
        <v/>
      </c>
    </row>
    <row r="595" customFormat="false" ht="15" hidden="false" customHeight="false" outlineLevel="0" collapsed="false">
      <c r="A595" s="0" t="n">
        <v>594</v>
      </c>
      <c r="B595" s="0" t="str">
        <f aca="false">IFERROR(SMALL(Pipeline_Calc!$A$2:$A$5251,A595),"")</f>
        <v/>
      </c>
      <c r="C595" s="0" t="str">
        <f aca="false">IF(B595="","",MATCH(B595,Pipeline_Calc!$A$2:$A$5251,0))</f>
        <v/>
      </c>
    </row>
    <row r="596" customFormat="false" ht="15" hidden="false" customHeight="false" outlineLevel="0" collapsed="false">
      <c r="A596" s="0" t="n">
        <v>595</v>
      </c>
      <c r="B596" s="0" t="str">
        <f aca="false">IFERROR(SMALL(Pipeline_Calc!$A$2:$A$5251,A596),"")</f>
        <v/>
      </c>
      <c r="C596" s="0" t="str">
        <f aca="false">IF(B596="","",MATCH(B596,Pipeline_Calc!$A$2:$A$5251,0))</f>
        <v/>
      </c>
    </row>
    <row r="597" customFormat="false" ht="15" hidden="false" customHeight="false" outlineLevel="0" collapsed="false">
      <c r="A597" s="0" t="n">
        <v>596</v>
      </c>
      <c r="B597" s="0" t="str">
        <f aca="false">IFERROR(SMALL(Pipeline_Calc!$A$2:$A$5251,A597),"")</f>
        <v/>
      </c>
      <c r="C597" s="0" t="str">
        <f aca="false">IF(B597="","",MATCH(B597,Pipeline_Calc!$A$2:$A$5251,0))</f>
        <v/>
      </c>
    </row>
    <row r="598" customFormat="false" ht="15" hidden="false" customHeight="false" outlineLevel="0" collapsed="false">
      <c r="A598" s="0" t="n">
        <v>597</v>
      </c>
      <c r="B598" s="0" t="str">
        <f aca="false">IFERROR(SMALL(Pipeline_Calc!$A$2:$A$5251,A598),"")</f>
        <v/>
      </c>
      <c r="C598" s="0" t="str">
        <f aca="false">IF(B598="","",MATCH(B598,Pipeline_Calc!$A$2:$A$5251,0))</f>
        <v/>
      </c>
    </row>
    <row r="599" customFormat="false" ht="15" hidden="false" customHeight="false" outlineLevel="0" collapsed="false">
      <c r="A599" s="0" t="n">
        <v>598</v>
      </c>
      <c r="B599" s="0" t="str">
        <f aca="false">IFERROR(SMALL(Pipeline_Calc!$A$2:$A$5251,A599),"")</f>
        <v/>
      </c>
      <c r="C599" s="0" t="str">
        <f aca="false">IF(B599="","",MATCH(B599,Pipeline_Calc!$A$2:$A$5251,0))</f>
        <v/>
      </c>
    </row>
    <row r="600" customFormat="false" ht="15" hidden="false" customHeight="false" outlineLevel="0" collapsed="false">
      <c r="A600" s="0" t="n">
        <v>599</v>
      </c>
      <c r="B600" s="0" t="str">
        <f aca="false">IFERROR(SMALL(Pipeline_Calc!$A$2:$A$5251,A600),"")</f>
        <v/>
      </c>
      <c r="C600" s="0" t="str">
        <f aca="false">IF(B600="","",MATCH(B600,Pipeline_Calc!$A$2:$A$5251,0))</f>
        <v/>
      </c>
    </row>
    <row r="601" customFormat="false" ht="15" hidden="false" customHeight="false" outlineLevel="0" collapsed="false">
      <c r="A601" s="0" t="n">
        <v>600</v>
      </c>
      <c r="B601" s="0" t="str">
        <f aca="false">IFERROR(SMALL(Pipeline_Calc!$A$2:$A$5251,A601),"")</f>
        <v/>
      </c>
      <c r="C601" s="0" t="str">
        <f aca="false">IF(B601="","",MATCH(B601,Pipeline_Calc!$A$2:$A$5251,0))</f>
        <v/>
      </c>
    </row>
    <row r="602" customFormat="false" ht="15" hidden="false" customHeight="false" outlineLevel="0" collapsed="false">
      <c r="A602" s="0" t="n">
        <v>601</v>
      </c>
      <c r="B602" s="0" t="str">
        <f aca="false">IFERROR(SMALL(Pipeline_Calc!$A$2:$A$5251,A602),"")</f>
        <v/>
      </c>
      <c r="C602" s="0" t="str">
        <f aca="false">IF(B602="","",MATCH(B602,Pipeline_Calc!$A$2:$A$5251,0))</f>
        <v/>
      </c>
    </row>
    <row r="603" customFormat="false" ht="15" hidden="false" customHeight="false" outlineLevel="0" collapsed="false">
      <c r="A603" s="0" t="n">
        <v>602</v>
      </c>
      <c r="B603" s="0" t="str">
        <f aca="false">IFERROR(SMALL(Pipeline_Calc!$A$2:$A$5251,A603),"")</f>
        <v/>
      </c>
      <c r="C603" s="0" t="str">
        <f aca="false">IF(B603="","",MATCH(B603,Pipeline_Calc!$A$2:$A$5251,0))</f>
        <v/>
      </c>
    </row>
    <row r="604" customFormat="false" ht="15" hidden="false" customHeight="false" outlineLevel="0" collapsed="false">
      <c r="A604" s="0" t="n">
        <v>603</v>
      </c>
      <c r="B604" s="0" t="str">
        <f aca="false">IFERROR(SMALL(Pipeline_Calc!$A$2:$A$5251,A604),"")</f>
        <v/>
      </c>
      <c r="C604" s="0" t="str">
        <f aca="false">IF(B604="","",MATCH(B604,Pipeline_Calc!$A$2:$A$5251,0))</f>
        <v/>
      </c>
    </row>
    <row r="605" customFormat="false" ht="15" hidden="false" customHeight="false" outlineLevel="0" collapsed="false">
      <c r="A605" s="0" t="n">
        <v>604</v>
      </c>
      <c r="B605" s="0" t="str">
        <f aca="false">IFERROR(SMALL(Pipeline_Calc!$A$2:$A$5251,A605),"")</f>
        <v/>
      </c>
      <c r="C605" s="0" t="str">
        <f aca="false">IF(B605="","",MATCH(B605,Pipeline_Calc!$A$2:$A$5251,0))</f>
        <v/>
      </c>
    </row>
    <row r="606" customFormat="false" ht="15" hidden="false" customHeight="false" outlineLevel="0" collapsed="false">
      <c r="A606" s="0" t="n">
        <v>605</v>
      </c>
      <c r="B606" s="0" t="str">
        <f aca="false">IFERROR(SMALL(Pipeline_Calc!$A$2:$A$5251,A606),"")</f>
        <v/>
      </c>
      <c r="C606" s="0" t="str">
        <f aca="false">IF(B606="","",MATCH(B606,Pipeline_Calc!$A$2:$A$5251,0))</f>
        <v/>
      </c>
    </row>
    <row r="607" customFormat="false" ht="15" hidden="false" customHeight="false" outlineLevel="0" collapsed="false">
      <c r="A607" s="0" t="n">
        <v>606</v>
      </c>
      <c r="B607" s="0" t="str">
        <f aca="false">IFERROR(SMALL(Pipeline_Calc!$A$2:$A$5251,A607),"")</f>
        <v/>
      </c>
      <c r="C607" s="0" t="str">
        <f aca="false">IF(B607="","",MATCH(B607,Pipeline_Calc!$A$2:$A$5251,0))</f>
        <v/>
      </c>
    </row>
    <row r="608" customFormat="false" ht="15" hidden="false" customHeight="false" outlineLevel="0" collapsed="false">
      <c r="A608" s="0" t="n">
        <v>607</v>
      </c>
      <c r="B608" s="0" t="str">
        <f aca="false">IFERROR(SMALL(Pipeline_Calc!$A$2:$A$5251,A608),"")</f>
        <v/>
      </c>
      <c r="C608" s="0" t="str">
        <f aca="false">IF(B608="","",MATCH(B608,Pipeline_Calc!$A$2:$A$5251,0))</f>
        <v/>
      </c>
    </row>
    <row r="609" customFormat="false" ht="15" hidden="false" customHeight="false" outlineLevel="0" collapsed="false">
      <c r="A609" s="0" t="n">
        <v>608</v>
      </c>
      <c r="B609" s="0" t="str">
        <f aca="false">IFERROR(SMALL(Pipeline_Calc!$A$2:$A$5251,A609),"")</f>
        <v/>
      </c>
      <c r="C609" s="0" t="str">
        <f aca="false">IF(B609="","",MATCH(B609,Pipeline_Calc!$A$2:$A$5251,0))</f>
        <v/>
      </c>
    </row>
    <row r="610" customFormat="false" ht="15" hidden="false" customHeight="false" outlineLevel="0" collapsed="false">
      <c r="A610" s="0" t="n">
        <v>609</v>
      </c>
      <c r="B610" s="0" t="str">
        <f aca="false">IFERROR(SMALL(Pipeline_Calc!$A$2:$A$5251,A610),"")</f>
        <v/>
      </c>
      <c r="C610" s="0" t="str">
        <f aca="false">IF(B610="","",MATCH(B610,Pipeline_Calc!$A$2:$A$5251,0))</f>
        <v/>
      </c>
    </row>
    <row r="611" customFormat="false" ht="15" hidden="false" customHeight="false" outlineLevel="0" collapsed="false">
      <c r="A611" s="0" t="n">
        <v>610</v>
      </c>
      <c r="B611" s="0" t="str">
        <f aca="false">IFERROR(SMALL(Pipeline_Calc!$A$2:$A$5251,A611),"")</f>
        <v/>
      </c>
      <c r="C611" s="0" t="str">
        <f aca="false">IF(B611="","",MATCH(B611,Pipeline_Calc!$A$2:$A$5251,0))</f>
        <v/>
      </c>
    </row>
    <row r="612" customFormat="false" ht="15" hidden="false" customHeight="false" outlineLevel="0" collapsed="false">
      <c r="A612" s="0" t="n">
        <v>611</v>
      </c>
      <c r="B612" s="0" t="str">
        <f aca="false">IFERROR(SMALL(Pipeline_Calc!$A$2:$A$5251,A612),"")</f>
        <v/>
      </c>
      <c r="C612" s="0" t="str">
        <f aca="false">IF(B612="","",MATCH(B612,Pipeline_Calc!$A$2:$A$5251,0))</f>
        <v/>
      </c>
    </row>
    <row r="613" customFormat="false" ht="15" hidden="false" customHeight="false" outlineLevel="0" collapsed="false">
      <c r="A613" s="0" t="n">
        <v>612</v>
      </c>
      <c r="B613" s="0" t="str">
        <f aca="false">IFERROR(SMALL(Pipeline_Calc!$A$2:$A$5251,A613),"")</f>
        <v/>
      </c>
      <c r="C613" s="0" t="str">
        <f aca="false">IF(B613="","",MATCH(B613,Pipeline_Calc!$A$2:$A$5251,0))</f>
        <v/>
      </c>
    </row>
    <row r="614" customFormat="false" ht="15" hidden="false" customHeight="false" outlineLevel="0" collapsed="false">
      <c r="A614" s="0" t="n">
        <v>613</v>
      </c>
      <c r="B614" s="0" t="str">
        <f aca="false">IFERROR(SMALL(Pipeline_Calc!$A$2:$A$5251,A614),"")</f>
        <v/>
      </c>
      <c r="C614" s="0" t="str">
        <f aca="false">IF(B614="","",MATCH(B614,Pipeline_Calc!$A$2:$A$5251,0))</f>
        <v/>
      </c>
    </row>
    <row r="615" customFormat="false" ht="15" hidden="false" customHeight="false" outlineLevel="0" collapsed="false">
      <c r="A615" s="0" t="n">
        <v>614</v>
      </c>
      <c r="B615" s="0" t="str">
        <f aca="false">IFERROR(SMALL(Pipeline_Calc!$A$2:$A$5251,A615),"")</f>
        <v/>
      </c>
      <c r="C615" s="0" t="str">
        <f aca="false">IF(B615="","",MATCH(B615,Pipeline_Calc!$A$2:$A$5251,0))</f>
        <v/>
      </c>
    </row>
    <row r="616" customFormat="false" ht="15" hidden="false" customHeight="false" outlineLevel="0" collapsed="false">
      <c r="A616" s="0" t="n">
        <v>615</v>
      </c>
      <c r="B616" s="0" t="str">
        <f aca="false">IFERROR(SMALL(Pipeline_Calc!$A$2:$A$5251,A616),"")</f>
        <v/>
      </c>
      <c r="C616" s="0" t="str">
        <f aca="false">IF(B616="","",MATCH(B616,Pipeline_Calc!$A$2:$A$5251,0))</f>
        <v/>
      </c>
    </row>
    <row r="617" customFormat="false" ht="15" hidden="false" customHeight="false" outlineLevel="0" collapsed="false">
      <c r="A617" s="0" t="n">
        <v>616</v>
      </c>
      <c r="B617" s="0" t="str">
        <f aca="false">IFERROR(SMALL(Pipeline_Calc!$A$2:$A$5251,A617),"")</f>
        <v/>
      </c>
      <c r="C617" s="0" t="str">
        <f aca="false">IF(B617="","",MATCH(B617,Pipeline_Calc!$A$2:$A$5251,0))</f>
        <v/>
      </c>
    </row>
    <row r="618" customFormat="false" ht="15" hidden="false" customHeight="false" outlineLevel="0" collapsed="false">
      <c r="A618" s="0" t="n">
        <v>617</v>
      </c>
      <c r="B618" s="0" t="str">
        <f aca="false">IFERROR(SMALL(Pipeline_Calc!$A$2:$A$5251,A618),"")</f>
        <v/>
      </c>
      <c r="C618" s="0" t="str">
        <f aca="false">IF(B618="","",MATCH(B618,Pipeline_Calc!$A$2:$A$5251,0))</f>
        <v/>
      </c>
    </row>
    <row r="619" customFormat="false" ht="15" hidden="false" customHeight="false" outlineLevel="0" collapsed="false">
      <c r="A619" s="0" t="n">
        <v>618</v>
      </c>
      <c r="B619" s="0" t="str">
        <f aca="false">IFERROR(SMALL(Pipeline_Calc!$A$2:$A$5251,A619),"")</f>
        <v/>
      </c>
      <c r="C619" s="0" t="str">
        <f aca="false">IF(B619="","",MATCH(B619,Pipeline_Calc!$A$2:$A$5251,0))</f>
        <v/>
      </c>
    </row>
    <row r="620" customFormat="false" ht="15" hidden="false" customHeight="false" outlineLevel="0" collapsed="false">
      <c r="A620" s="0" t="n">
        <v>619</v>
      </c>
      <c r="B620" s="0" t="str">
        <f aca="false">IFERROR(SMALL(Pipeline_Calc!$A$2:$A$5251,A620),"")</f>
        <v/>
      </c>
      <c r="C620" s="0" t="str">
        <f aca="false">IF(B620="","",MATCH(B620,Pipeline_Calc!$A$2:$A$5251,0))</f>
        <v/>
      </c>
    </row>
    <row r="621" customFormat="false" ht="15" hidden="false" customHeight="false" outlineLevel="0" collapsed="false">
      <c r="A621" s="0" t="n">
        <v>620</v>
      </c>
      <c r="B621" s="0" t="str">
        <f aca="false">IFERROR(SMALL(Pipeline_Calc!$A$2:$A$5251,A621),"")</f>
        <v/>
      </c>
      <c r="C621" s="0" t="str">
        <f aca="false">IF(B621="","",MATCH(B621,Pipeline_Calc!$A$2:$A$5251,0))</f>
        <v/>
      </c>
    </row>
    <row r="622" customFormat="false" ht="15" hidden="false" customHeight="false" outlineLevel="0" collapsed="false">
      <c r="A622" s="0" t="n">
        <v>621</v>
      </c>
      <c r="B622" s="0" t="str">
        <f aca="false">IFERROR(SMALL(Pipeline_Calc!$A$2:$A$5251,A622),"")</f>
        <v/>
      </c>
      <c r="C622" s="0" t="str">
        <f aca="false">IF(B622="","",MATCH(B622,Pipeline_Calc!$A$2:$A$5251,0))</f>
        <v/>
      </c>
    </row>
    <row r="623" customFormat="false" ht="15" hidden="false" customHeight="false" outlineLevel="0" collapsed="false">
      <c r="A623" s="0" t="n">
        <v>622</v>
      </c>
      <c r="B623" s="0" t="str">
        <f aca="false">IFERROR(SMALL(Pipeline_Calc!$A$2:$A$5251,A623),"")</f>
        <v/>
      </c>
      <c r="C623" s="0" t="str">
        <f aca="false">IF(B623="","",MATCH(B623,Pipeline_Calc!$A$2:$A$5251,0))</f>
        <v/>
      </c>
    </row>
    <row r="624" customFormat="false" ht="15" hidden="false" customHeight="false" outlineLevel="0" collapsed="false">
      <c r="A624" s="0" t="n">
        <v>623</v>
      </c>
      <c r="B624" s="0" t="str">
        <f aca="false">IFERROR(SMALL(Pipeline_Calc!$A$2:$A$5251,A624),"")</f>
        <v/>
      </c>
      <c r="C624" s="0" t="str">
        <f aca="false">IF(B624="","",MATCH(B624,Pipeline_Calc!$A$2:$A$5251,0))</f>
        <v/>
      </c>
    </row>
    <row r="625" customFormat="false" ht="15" hidden="false" customHeight="false" outlineLevel="0" collapsed="false">
      <c r="A625" s="0" t="n">
        <v>624</v>
      </c>
      <c r="B625" s="0" t="str">
        <f aca="false">IFERROR(SMALL(Pipeline_Calc!$A$2:$A$5251,A625),"")</f>
        <v/>
      </c>
      <c r="C625" s="0" t="str">
        <f aca="false">IF(B625="","",MATCH(B625,Pipeline_Calc!$A$2:$A$5251,0))</f>
        <v/>
      </c>
    </row>
    <row r="626" customFormat="false" ht="15" hidden="false" customHeight="false" outlineLevel="0" collapsed="false">
      <c r="A626" s="0" t="n">
        <v>625</v>
      </c>
      <c r="B626" s="0" t="str">
        <f aca="false">IFERROR(SMALL(Pipeline_Calc!$A$2:$A$5251,A626),"")</f>
        <v/>
      </c>
      <c r="C626" s="0" t="str">
        <f aca="false">IF(B626="","",MATCH(B626,Pipeline_Calc!$A$2:$A$5251,0))</f>
        <v/>
      </c>
    </row>
    <row r="627" customFormat="false" ht="15" hidden="false" customHeight="false" outlineLevel="0" collapsed="false">
      <c r="A627" s="0" t="n">
        <v>626</v>
      </c>
      <c r="B627" s="0" t="str">
        <f aca="false">IFERROR(SMALL(Pipeline_Calc!$A$2:$A$5251,A627),"")</f>
        <v/>
      </c>
      <c r="C627" s="0" t="str">
        <f aca="false">IF(B627="","",MATCH(B627,Pipeline_Calc!$A$2:$A$5251,0))</f>
        <v/>
      </c>
    </row>
    <row r="628" customFormat="false" ht="15" hidden="false" customHeight="false" outlineLevel="0" collapsed="false">
      <c r="A628" s="0" t="n">
        <v>627</v>
      </c>
      <c r="B628" s="0" t="str">
        <f aca="false">IFERROR(SMALL(Pipeline_Calc!$A$2:$A$5251,A628),"")</f>
        <v/>
      </c>
      <c r="C628" s="0" t="str">
        <f aca="false">IF(B628="","",MATCH(B628,Pipeline_Calc!$A$2:$A$5251,0))</f>
        <v/>
      </c>
    </row>
    <row r="629" customFormat="false" ht="15" hidden="false" customHeight="false" outlineLevel="0" collapsed="false">
      <c r="A629" s="0" t="n">
        <v>628</v>
      </c>
      <c r="B629" s="0" t="str">
        <f aca="false">IFERROR(SMALL(Pipeline_Calc!$A$2:$A$5251,A629),"")</f>
        <v/>
      </c>
      <c r="C629" s="0" t="str">
        <f aca="false">IF(B629="","",MATCH(B629,Pipeline_Calc!$A$2:$A$5251,0))</f>
        <v/>
      </c>
    </row>
    <row r="630" customFormat="false" ht="15" hidden="false" customHeight="false" outlineLevel="0" collapsed="false">
      <c r="A630" s="0" t="n">
        <v>629</v>
      </c>
      <c r="B630" s="0" t="str">
        <f aca="false">IFERROR(SMALL(Pipeline_Calc!$A$2:$A$5251,A630),"")</f>
        <v/>
      </c>
      <c r="C630" s="0" t="str">
        <f aca="false">IF(B630="","",MATCH(B630,Pipeline_Calc!$A$2:$A$5251,0))</f>
        <v/>
      </c>
    </row>
    <row r="631" customFormat="false" ht="15" hidden="false" customHeight="false" outlineLevel="0" collapsed="false">
      <c r="A631" s="0" t="n">
        <v>630</v>
      </c>
      <c r="B631" s="0" t="str">
        <f aca="false">IFERROR(SMALL(Pipeline_Calc!$A$2:$A$5251,A631),"")</f>
        <v/>
      </c>
      <c r="C631" s="0" t="str">
        <f aca="false">IF(B631="","",MATCH(B631,Pipeline_Calc!$A$2:$A$5251,0))</f>
        <v/>
      </c>
    </row>
    <row r="632" customFormat="false" ht="15" hidden="false" customHeight="false" outlineLevel="0" collapsed="false">
      <c r="A632" s="0" t="n">
        <v>631</v>
      </c>
      <c r="B632" s="0" t="str">
        <f aca="false">IFERROR(SMALL(Pipeline_Calc!$A$2:$A$5251,A632),"")</f>
        <v/>
      </c>
      <c r="C632" s="0" t="str">
        <f aca="false">IF(B632="","",MATCH(B632,Pipeline_Calc!$A$2:$A$5251,0))</f>
        <v/>
      </c>
    </row>
    <row r="633" customFormat="false" ht="15" hidden="false" customHeight="false" outlineLevel="0" collapsed="false">
      <c r="A633" s="0" t="n">
        <v>632</v>
      </c>
      <c r="B633" s="0" t="str">
        <f aca="false">IFERROR(SMALL(Pipeline_Calc!$A$2:$A$5251,A633),"")</f>
        <v/>
      </c>
      <c r="C633" s="0" t="str">
        <f aca="false">IF(B633="","",MATCH(B633,Pipeline_Calc!$A$2:$A$5251,0))</f>
        <v/>
      </c>
    </row>
    <row r="634" customFormat="false" ht="15" hidden="false" customHeight="false" outlineLevel="0" collapsed="false">
      <c r="A634" s="0" t="n">
        <v>633</v>
      </c>
      <c r="B634" s="0" t="str">
        <f aca="false">IFERROR(SMALL(Pipeline_Calc!$A$2:$A$5251,A634),"")</f>
        <v/>
      </c>
      <c r="C634" s="0" t="str">
        <f aca="false">IF(B634="","",MATCH(B634,Pipeline_Calc!$A$2:$A$5251,0))</f>
        <v/>
      </c>
    </row>
    <row r="635" customFormat="false" ht="15" hidden="false" customHeight="false" outlineLevel="0" collapsed="false">
      <c r="A635" s="0" t="n">
        <v>634</v>
      </c>
      <c r="B635" s="0" t="str">
        <f aca="false">IFERROR(SMALL(Pipeline_Calc!$A$2:$A$5251,A635),"")</f>
        <v/>
      </c>
      <c r="C635" s="0" t="str">
        <f aca="false">IF(B635="","",MATCH(B635,Pipeline_Calc!$A$2:$A$5251,0))</f>
        <v/>
      </c>
    </row>
    <row r="636" customFormat="false" ht="15" hidden="false" customHeight="false" outlineLevel="0" collapsed="false">
      <c r="A636" s="0" t="n">
        <v>635</v>
      </c>
      <c r="B636" s="0" t="str">
        <f aca="false">IFERROR(SMALL(Pipeline_Calc!$A$2:$A$5251,A636),"")</f>
        <v/>
      </c>
      <c r="C636" s="0" t="str">
        <f aca="false">IF(B636="","",MATCH(B636,Pipeline_Calc!$A$2:$A$5251,0))</f>
        <v/>
      </c>
    </row>
    <row r="637" customFormat="false" ht="15" hidden="false" customHeight="false" outlineLevel="0" collapsed="false">
      <c r="A637" s="0" t="n">
        <v>636</v>
      </c>
      <c r="B637" s="0" t="str">
        <f aca="false">IFERROR(SMALL(Pipeline_Calc!$A$2:$A$5251,A637),"")</f>
        <v/>
      </c>
      <c r="C637" s="0" t="str">
        <f aca="false">IF(B637="","",MATCH(B637,Pipeline_Calc!$A$2:$A$5251,0))</f>
        <v/>
      </c>
    </row>
    <row r="638" customFormat="false" ht="15" hidden="false" customHeight="false" outlineLevel="0" collapsed="false">
      <c r="A638" s="0" t="n">
        <v>637</v>
      </c>
      <c r="B638" s="0" t="str">
        <f aca="false">IFERROR(SMALL(Pipeline_Calc!$A$2:$A$5251,A638),"")</f>
        <v/>
      </c>
      <c r="C638" s="0" t="str">
        <f aca="false">IF(B638="","",MATCH(B638,Pipeline_Calc!$A$2:$A$5251,0))</f>
        <v/>
      </c>
    </row>
    <row r="639" customFormat="false" ht="15" hidden="false" customHeight="false" outlineLevel="0" collapsed="false">
      <c r="A639" s="0" t="n">
        <v>638</v>
      </c>
      <c r="B639" s="0" t="str">
        <f aca="false">IFERROR(SMALL(Pipeline_Calc!$A$2:$A$5251,A639),"")</f>
        <v/>
      </c>
      <c r="C639" s="0" t="str">
        <f aca="false">IF(B639="","",MATCH(B639,Pipeline_Calc!$A$2:$A$5251,0))</f>
        <v/>
      </c>
    </row>
    <row r="640" customFormat="false" ht="15" hidden="false" customHeight="false" outlineLevel="0" collapsed="false">
      <c r="A640" s="0" t="n">
        <v>639</v>
      </c>
      <c r="B640" s="0" t="str">
        <f aca="false">IFERROR(SMALL(Pipeline_Calc!$A$2:$A$5251,A640),"")</f>
        <v/>
      </c>
      <c r="C640" s="0" t="str">
        <f aca="false">IF(B640="","",MATCH(B640,Pipeline_Calc!$A$2:$A$5251,0))</f>
        <v/>
      </c>
    </row>
    <row r="641" customFormat="false" ht="15" hidden="false" customHeight="false" outlineLevel="0" collapsed="false">
      <c r="A641" s="0" t="n">
        <v>640</v>
      </c>
      <c r="B641" s="0" t="str">
        <f aca="false">IFERROR(SMALL(Pipeline_Calc!$A$2:$A$5251,A641),"")</f>
        <v/>
      </c>
      <c r="C641" s="0" t="str">
        <f aca="false">IF(B641="","",MATCH(B641,Pipeline_Calc!$A$2:$A$5251,0))</f>
        <v/>
      </c>
    </row>
    <row r="642" customFormat="false" ht="15" hidden="false" customHeight="false" outlineLevel="0" collapsed="false">
      <c r="A642" s="0" t="n">
        <v>641</v>
      </c>
      <c r="B642" s="0" t="str">
        <f aca="false">IFERROR(SMALL(Pipeline_Calc!$A$2:$A$5251,A642),"")</f>
        <v/>
      </c>
      <c r="C642" s="0" t="str">
        <f aca="false">IF(B642="","",MATCH(B642,Pipeline_Calc!$A$2:$A$5251,0))</f>
        <v/>
      </c>
    </row>
    <row r="643" customFormat="false" ht="15" hidden="false" customHeight="false" outlineLevel="0" collapsed="false">
      <c r="A643" s="0" t="n">
        <v>642</v>
      </c>
      <c r="B643" s="0" t="str">
        <f aca="false">IFERROR(SMALL(Pipeline_Calc!$A$2:$A$5251,A643),"")</f>
        <v/>
      </c>
      <c r="C643" s="0" t="str">
        <f aca="false">IF(B643="","",MATCH(B643,Pipeline_Calc!$A$2:$A$5251,0))</f>
        <v/>
      </c>
    </row>
    <row r="644" customFormat="false" ht="15" hidden="false" customHeight="false" outlineLevel="0" collapsed="false">
      <c r="A644" s="0" t="n">
        <v>643</v>
      </c>
      <c r="B644" s="0" t="str">
        <f aca="false">IFERROR(SMALL(Pipeline_Calc!$A$2:$A$5251,A644),"")</f>
        <v/>
      </c>
      <c r="C644" s="0" t="str">
        <f aca="false">IF(B644="","",MATCH(B644,Pipeline_Calc!$A$2:$A$5251,0))</f>
        <v/>
      </c>
    </row>
    <row r="645" customFormat="false" ht="15" hidden="false" customHeight="false" outlineLevel="0" collapsed="false">
      <c r="A645" s="0" t="n">
        <v>644</v>
      </c>
      <c r="B645" s="0" t="str">
        <f aca="false">IFERROR(SMALL(Pipeline_Calc!$A$2:$A$5251,A645),"")</f>
        <v/>
      </c>
      <c r="C645" s="0" t="str">
        <f aca="false">IF(B645="","",MATCH(B645,Pipeline_Calc!$A$2:$A$5251,0))</f>
        <v/>
      </c>
    </row>
    <row r="646" customFormat="false" ht="15" hidden="false" customHeight="false" outlineLevel="0" collapsed="false">
      <c r="A646" s="0" t="n">
        <v>645</v>
      </c>
      <c r="B646" s="0" t="str">
        <f aca="false">IFERROR(SMALL(Pipeline_Calc!$A$2:$A$5251,A646),"")</f>
        <v/>
      </c>
      <c r="C646" s="0" t="str">
        <f aca="false">IF(B646="","",MATCH(B646,Pipeline_Calc!$A$2:$A$5251,0))</f>
        <v/>
      </c>
    </row>
    <row r="647" customFormat="false" ht="15" hidden="false" customHeight="false" outlineLevel="0" collapsed="false">
      <c r="A647" s="0" t="n">
        <v>646</v>
      </c>
      <c r="B647" s="0" t="str">
        <f aca="false">IFERROR(SMALL(Pipeline_Calc!$A$2:$A$5251,A647),"")</f>
        <v/>
      </c>
      <c r="C647" s="0" t="str">
        <f aca="false">IF(B647="","",MATCH(B647,Pipeline_Calc!$A$2:$A$5251,0))</f>
        <v/>
      </c>
    </row>
    <row r="648" customFormat="false" ht="15" hidden="false" customHeight="false" outlineLevel="0" collapsed="false">
      <c r="A648" s="0" t="n">
        <v>647</v>
      </c>
      <c r="B648" s="0" t="str">
        <f aca="false">IFERROR(SMALL(Pipeline_Calc!$A$2:$A$5251,A648),"")</f>
        <v/>
      </c>
      <c r="C648" s="0" t="str">
        <f aca="false">IF(B648="","",MATCH(B648,Pipeline_Calc!$A$2:$A$5251,0))</f>
        <v/>
      </c>
    </row>
    <row r="649" customFormat="false" ht="15" hidden="false" customHeight="false" outlineLevel="0" collapsed="false">
      <c r="A649" s="0" t="n">
        <v>648</v>
      </c>
      <c r="B649" s="0" t="str">
        <f aca="false">IFERROR(SMALL(Pipeline_Calc!$A$2:$A$5251,A649),"")</f>
        <v/>
      </c>
      <c r="C649" s="0" t="str">
        <f aca="false">IF(B649="","",MATCH(B649,Pipeline_Calc!$A$2:$A$5251,0))</f>
        <v/>
      </c>
    </row>
    <row r="650" customFormat="false" ht="15" hidden="false" customHeight="false" outlineLevel="0" collapsed="false">
      <c r="A650" s="0" t="n">
        <v>649</v>
      </c>
      <c r="B650" s="0" t="str">
        <f aca="false">IFERROR(SMALL(Pipeline_Calc!$A$2:$A$5251,A650),"")</f>
        <v/>
      </c>
      <c r="C650" s="0" t="str">
        <f aca="false">IF(B650="","",MATCH(B650,Pipeline_Calc!$A$2:$A$5251,0))</f>
        <v/>
      </c>
    </row>
    <row r="651" customFormat="false" ht="15" hidden="false" customHeight="false" outlineLevel="0" collapsed="false">
      <c r="A651" s="0" t="n">
        <v>650</v>
      </c>
      <c r="B651" s="0" t="str">
        <f aca="false">IFERROR(SMALL(Pipeline_Calc!$A$2:$A$5251,A651),"")</f>
        <v/>
      </c>
      <c r="C651" s="0" t="str">
        <f aca="false">IF(B651="","",MATCH(B651,Pipeline_Calc!$A$2:$A$5251,0))</f>
        <v/>
      </c>
    </row>
    <row r="652" customFormat="false" ht="15" hidden="false" customHeight="false" outlineLevel="0" collapsed="false">
      <c r="A652" s="0" t="n">
        <v>651</v>
      </c>
      <c r="B652" s="0" t="str">
        <f aca="false">IFERROR(SMALL(Pipeline_Calc!$A$2:$A$5251,A652),"")</f>
        <v/>
      </c>
      <c r="C652" s="0" t="str">
        <f aca="false">IF(B652="","",MATCH(B652,Pipeline_Calc!$A$2:$A$5251,0))</f>
        <v/>
      </c>
    </row>
    <row r="653" customFormat="false" ht="15" hidden="false" customHeight="false" outlineLevel="0" collapsed="false">
      <c r="A653" s="0" t="n">
        <v>652</v>
      </c>
      <c r="B653" s="0" t="str">
        <f aca="false">IFERROR(SMALL(Pipeline_Calc!$A$2:$A$5251,A653),"")</f>
        <v/>
      </c>
      <c r="C653" s="0" t="str">
        <f aca="false">IF(B653="","",MATCH(B653,Pipeline_Calc!$A$2:$A$5251,0))</f>
        <v/>
      </c>
    </row>
    <row r="654" customFormat="false" ht="15" hidden="false" customHeight="false" outlineLevel="0" collapsed="false">
      <c r="A654" s="0" t="n">
        <v>653</v>
      </c>
      <c r="B654" s="0" t="str">
        <f aca="false">IFERROR(SMALL(Pipeline_Calc!$A$2:$A$5251,A654),"")</f>
        <v/>
      </c>
      <c r="C654" s="0" t="str">
        <f aca="false">IF(B654="","",MATCH(B654,Pipeline_Calc!$A$2:$A$5251,0))</f>
        <v/>
      </c>
    </row>
    <row r="655" customFormat="false" ht="15" hidden="false" customHeight="false" outlineLevel="0" collapsed="false">
      <c r="A655" s="0" t="n">
        <v>654</v>
      </c>
      <c r="B655" s="0" t="str">
        <f aca="false">IFERROR(SMALL(Pipeline_Calc!$A$2:$A$5251,A655),"")</f>
        <v/>
      </c>
      <c r="C655" s="0" t="str">
        <f aca="false">IF(B655="","",MATCH(B655,Pipeline_Calc!$A$2:$A$5251,0))</f>
        <v/>
      </c>
    </row>
    <row r="656" customFormat="false" ht="15" hidden="false" customHeight="false" outlineLevel="0" collapsed="false">
      <c r="A656" s="0" t="n">
        <v>655</v>
      </c>
      <c r="B656" s="0" t="str">
        <f aca="false">IFERROR(SMALL(Pipeline_Calc!$A$2:$A$5251,A656),"")</f>
        <v/>
      </c>
      <c r="C656" s="0" t="str">
        <f aca="false">IF(B656="","",MATCH(B656,Pipeline_Calc!$A$2:$A$5251,0))</f>
        <v/>
      </c>
    </row>
    <row r="657" customFormat="false" ht="15" hidden="false" customHeight="false" outlineLevel="0" collapsed="false">
      <c r="A657" s="0" t="n">
        <v>656</v>
      </c>
      <c r="B657" s="0" t="str">
        <f aca="false">IFERROR(SMALL(Pipeline_Calc!$A$2:$A$5251,A657),"")</f>
        <v/>
      </c>
      <c r="C657" s="0" t="str">
        <f aca="false">IF(B657="","",MATCH(B657,Pipeline_Calc!$A$2:$A$5251,0))</f>
        <v/>
      </c>
    </row>
    <row r="658" customFormat="false" ht="15" hidden="false" customHeight="false" outlineLevel="0" collapsed="false">
      <c r="A658" s="0" t="n">
        <v>657</v>
      </c>
      <c r="B658" s="0" t="str">
        <f aca="false">IFERROR(SMALL(Pipeline_Calc!$A$2:$A$5251,A658),"")</f>
        <v/>
      </c>
      <c r="C658" s="0" t="str">
        <f aca="false">IF(B658="","",MATCH(B658,Pipeline_Calc!$A$2:$A$5251,0))</f>
        <v/>
      </c>
    </row>
    <row r="659" customFormat="false" ht="15" hidden="false" customHeight="false" outlineLevel="0" collapsed="false">
      <c r="A659" s="0" t="n">
        <v>658</v>
      </c>
      <c r="B659" s="0" t="str">
        <f aca="false">IFERROR(SMALL(Pipeline_Calc!$A$2:$A$5251,A659),"")</f>
        <v/>
      </c>
      <c r="C659" s="0" t="str">
        <f aca="false">IF(B659="","",MATCH(B659,Pipeline_Calc!$A$2:$A$5251,0))</f>
        <v/>
      </c>
    </row>
    <row r="660" customFormat="false" ht="15" hidden="false" customHeight="false" outlineLevel="0" collapsed="false">
      <c r="A660" s="0" t="n">
        <v>659</v>
      </c>
      <c r="B660" s="0" t="str">
        <f aca="false">IFERROR(SMALL(Pipeline_Calc!$A$2:$A$5251,A660),"")</f>
        <v/>
      </c>
      <c r="C660" s="0" t="str">
        <f aca="false">IF(B660="","",MATCH(B660,Pipeline_Calc!$A$2:$A$5251,0))</f>
        <v/>
      </c>
    </row>
    <row r="661" customFormat="false" ht="15" hidden="false" customHeight="false" outlineLevel="0" collapsed="false">
      <c r="A661" s="0" t="n">
        <v>660</v>
      </c>
      <c r="B661" s="0" t="str">
        <f aca="false">IFERROR(SMALL(Pipeline_Calc!$A$2:$A$5251,A661),"")</f>
        <v/>
      </c>
      <c r="C661" s="0" t="str">
        <f aca="false">IF(B661="","",MATCH(B661,Pipeline_Calc!$A$2:$A$5251,0))</f>
        <v/>
      </c>
    </row>
    <row r="662" customFormat="false" ht="15" hidden="false" customHeight="false" outlineLevel="0" collapsed="false">
      <c r="A662" s="0" t="n">
        <v>661</v>
      </c>
      <c r="B662" s="0" t="str">
        <f aca="false">IFERROR(SMALL(Pipeline_Calc!$A$2:$A$5251,A662),"")</f>
        <v/>
      </c>
      <c r="C662" s="0" t="str">
        <f aca="false">IF(B662="","",MATCH(B662,Pipeline_Calc!$A$2:$A$5251,0))</f>
        <v/>
      </c>
    </row>
    <row r="663" customFormat="false" ht="15" hidden="false" customHeight="false" outlineLevel="0" collapsed="false">
      <c r="A663" s="0" t="n">
        <v>662</v>
      </c>
      <c r="B663" s="0" t="str">
        <f aca="false">IFERROR(SMALL(Pipeline_Calc!$A$2:$A$5251,A663),"")</f>
        <v/>
      </c>
      <c r="C663" s="0" t="str">
        <f aca="false">IF(B663="","",MATCH(B663,Pipeline_Calc!$A$2:$A$5251,0))</f>
        <v/>
      </c>
    </row>
    <row r="664" customFormat="false" ht="15" hidden="false" customHeight="false" outlineLevel="0" collapsed="false">
      <c r="A664" s="0" t="n">
        <v>663</v>
      </c>
      <c r="B664" s="0" t="str">
        <f aca="false">IFERROR(SMALL(Pipeline_Calc!$A$2:$A$5251,A664),"")</f>
        <v/>
      </c>
      <c r="C664" s="0" t="str">
        <f aca="false">IF(B664="","",MATCH(B664,Pipeline_Calc!$A$2:$A$5251,0))</f>
        <v/>
      </c>
    </row>
    <row r="665" customFormat="false" ht="15" hidden="false" customHeight="false" outlineLevel="0" collapsed="false">
      <c r="A665" s="0" t="n">
        <v>664</v>
      </c>
      <c r="B665" s="0" t="str">
        <f aca="false">IFERROR(SMALL(Pipeline_Calc!$A$2:$A$5251,A665),"")</f>
        <v/>
      </c>
      <c r="C665" s="0" t="str">
        <f aca="false">IF(B665="","",MATCH(B665,Pipeline_Calc!$A$2:$A$5251,0))</f>
        <v/>
      </c>
    </row>
    <row r="666" customFormat="false" ht="15" hidden="false" customHeight="false" outlineLevel="0" collapsed="false">
      <c r="A666" s="0" t="n">
        <v>665</v>
      </c>
      <c r="B666" s="0" t="str">
        <f aca="false">IFERROR(SMALL(Pipeline_Calc!$A$2:$A$5251,A666),"")</f>
        <v/>
      </c>
      <c r="C666" s="0" t="str">
        <f aca="false">IF(B666="","",MATCH(B666,Pipeline_Calc!$A$2:$A$5251,0))</f>
        <v/>
      </c>
    </row>
    <row r="667" customFormat="false" ht="15" hidden="false" customHeight="false" outlineLevel="0" collapsed="false">
      <c r="A667" s="0" t="n">
        <v>666</v>
      </c>
      <c r="B667" s="0" t="str">
        <f aca="false">IFERROR(SMALL(Pipeline_Calc!$A$2:$A$5251,A667),"")</f>
        <v/>
      </c>
      <c r="C667" s="0" t="str">
        <f aca="false">IF(B667="","",MATCH(B667,Pipeline_Calc!$A$2:$A$5251,0))</f>
        <v/>
      </c>
    </row>
    <row r="668" customFormat="false" ht="15" hidden="false" customHeight="false" outlineLevel="0" collapsed="false">
      <c r="A668" s="0" t="n">
        <v>667</v>
      </c>
      <c r="B668" s="0" t="str">
        <f aca="false">IFERROR(SMALL(Pipeline_Calc!$A$2:$A$5251,A668),"")</f>
        <v/>
      </c>
      <c r="C668" s="0" t="str">
        <f aca="false">IF(B668="","",MATCH(B668,Pipeline_Calc!$A$2:$A$5251,0))</f>
        <v/>
      </c>
    </row>
    <row r="669" customFormat="false" ht="15" hidden="false" customHeight="false" outlineLevel="0" collapsed="false">
      <c r="A669" s="0" t="n">
        <v>668</v>
      </c>
      <c r="B669" s="0" t="str">
        <f aca="false">IFERROR(SMALL(Pipeline_Calc!$A$2:$A$5251,A669),"")</f>
        <v/>
      </c>
      <c r="C669" s="0" t="str">
        <f aca="false">IF(B669="","",MATCH(B669,Pipeline_Calc!$A$2:$A$5251,0))</f>
        <v/>
      </c>
    </row>
    <row r="670" customFormat="false" ht="15" hidden="false" customHeight="false" outlineLevel="0" collapsed="false">
      <c r="A670" s="0" t="n">
        <v>669</v>
      </c>
      <c r="B670" s="0" t="str">
        <f aca="false">IFERROR(SMALL(Pipeline_Calc!$A$2:$A$5251,A670),"")</f>
        <v/>
      </c>
      <c r="C670" s="0" t="str">
        <f aca="false">IF(B670="","",MATCH(B670,Pipeline_Calc!$A$2:$A$5251,0))</f>
        <v/>
      </c>
    </row>
    <row r="671" customFormat="false" ht="15" hidden="false" customHeight="false" outlineLevel="0" collapsed="false">
      <c r="A671" s="0" t="n">
        <v>670</v>
      </c>
      <c r="B671" s="0" t="str">
        <f aca="false">IFERROR(SMALL(Pipeline_Calc!$A$2:$A$5251,A671),"")</f>
        <v/>
      </c>
      <c r="C671" s="0" t="str">
        <f aca="false">IF(B671="","",MATCH(B671,Pipeline_Calc!$A$2:$A$5251,0))</f>
        <v/>
      </c>
    </row>
    <row r="672" customFormat="false" ht="15" hidden="false" customHeight="false" outlineLevel="0" collapsed="false">
      <c r="A672" s="0" t="n">
        <v>671</v>
      </c>
      <c r="B672" s="0" t="str">
        <f aca="false">IFERROR(SMALL(Pipeline_Calc!$A$2:$A$5251,A672),"")</f>
        <v/>
      </c>
      <c r="C672" s="0" t="str">
        <f aca="false">IF(B672="","",MATCH(B672,Pipeline_Calc!$A$2:$A$5251,0))</f>
        <v/>
      </c>
    </row>
    <row r="673" customFormat="false" ht="15" hidden="false" customHeight="false" outlineLevel="0" collapsed="false">
      <c r="A673" s="0" t="n">
        <v>672</v>
      </c>
      <c r="B673" s="0" t="str">
        <f aca="false">IFERROR(SMALL(Pipeline_Calc!$A$2:$A$5251,A673),"")</f>
        <v/>
      </c>
      <c r="C673" s="0" t="str">
        <f aca="false">IF(B673="","",MATCH(B673,Pipeline_Calc!$A$2:$A$5251,0))</f>
        <v/>
      </c>
    </row>
    <row r="674" customFormat="false" ht="15" hidden="false" customHeight="false" outlineLevel="0" collapsed="false">
      <c r="A674" s="0" t="n">
        <v>673</v>
      </c>
      <c r="B674" s="0" t="str">
        <f aca="false">IFERROR(SMALL(Pipeline_Calc!$A$2:$A$5251,A674),"")</f>
        <v/>
      </c>
      <c r="C674" s="0" t="str">
        <f aca="false">IF(B674="","",MATCH(B674,Pipeline_Calc!$A$2:$A$5251,0))</f>
        <v/>
      </c>
    </row>
    <row r="675" customFormat="false" ht="15" hidden="false" customHeight="false" outlineLevel="0" collapsed="false">
      <c r="A675" s="0" t="n">
        <v>674</v>
      </c>
      <c r="B675" s="0" t="str">
        <f aca="false">IFERROR(SMALL(Pipeline_Calc!$A$2:$A$5251,A675),"")</f>
        <v/>
      </c>
      <c r="C675" s="0" t="str">
        <f aca="false">IF(B675="","",MATCH(B675,Pipeline_Calc!$A$2:$A$5251,0))</f>
        <v/>
      </c>
    </row>
    <row r="676" customFormat="false" ht="15" hidden="false" customHeight="false" outlineLevel="0" collapsed="false">
      <c r="A676" s="0" t="n">
        <v>675</v>
      </c>
      <c r="B676" s="0" t="str">
        <f aca="false">IFERROR(SMALL(Pipeline_Calc!$A$2:$A$5251,A676),"")</f>
        <v/>
      </c>
      <c r="C676" s="0" t="str">
        <f aca="false">IF(B676="","",MATCH(B676,Pipeline_Calc!$A$2:$A$5251,0))</f>
        <v/>
      </c>
    </row>
    <row r="677" customFormat="false" ht="15" hidden="false" customHeight="false" outlineLevel="0" collapsed="false">
      <c r="A677" s="0" t="n">
        <v>676</v>
      </c>
      <c r="B677" s="0" t="str">
        <f aca="false">IFERROR(SMALL(Pipeline_Calc!$A$2:$A$5251,A677),"")</f>
        <v/>
      </c>
      <c r="C677" s="0" t="str">
        <f aca="false">IF(B677="","",MATCH(B677,Pipeline_Calc!$A$2:$A$5251,0))</f>
        <v/>
      </c>
    </row>
    <row r="678" customFormat="false" ht="15" hidden="false" customHeight="false" outlineLevel="0" collapsed="false">
      <c r="A678" s="0" t="n">
        <v>677</v>
      </c>
      <c r="B678" s="0" t="str">
        <f aca="false">IFERROR(SMALL(Pipeline_Calc!$A$2:$A$5251,A678),"")</f>
        <v/>
      </c>
      <c r="C678" s="0" t="str">
        <f aca="false">IF(B678="","",MATCH(B678,Pipeline_Calc!$A$2:$A$5251,0))</f>
        <v/>
      </c>
    </row>
    <row r="679" customFormat="false" ht="15" hidden="false" customHeight="false" outlineLevel="0" collapsed="false">
      <c r="A679" s="0" t="n">
        <v>678</v>
      </c>
      <c r="B679" s="0" t="str">
        <f aca="false">IFERROR(SMALL(Pipeline_Calc!$A$2:$A$5251,A679),"")</f>
        <v/>
      </c>
      <c r="C679" s="0" t="str">
        <f aca="false">IF(B679="","",MATCH(B679,Pipeline_Calc!$A$2:$A$5251,0))</f>
        <v/>
      </c>
    </row>
    <row r="680" customFormat="false" ht="15" hidden="false" customHeight="false" outlineLevel="0" collapsed="false">
      <c r="A680" s="0" t="n">
        <v>679</v>
      </c>
      <c r="B680" s="0" t="str">
        <f aca="false">IFERROR(SMALL(Pipeline_Calc!$A$2:$A$5251,A680),"")</f>
        <v/>
      </c>
      <c r="C680" s="0" t="str">
        <f aca="false">IF(B680="","",MATCH(B680,Pipeline_Calc!$A$2:$A$5251,0))</f>
        <v/>
      </c>
    </row>
    <row r="681" customFormat="false" ht="15" hidden="false" customHeight="false" outlineLevel="0" collapsed="false">
      <c r="A681" s="0" t="n">
        <v>680</v>
      </c>
      <c r="B681" s="0" t="str">
        <f aca="false">IFERROR(SMALL(Pipeline_Calc!$A$2:$A$5251,A681),"")</f>
        <v/>
      </c>
      <c r="C681" s="0" t="str">
        <f aca="false">IF(B681="","",MATCH(B681,Pipeline_Calc!$A$2:$A$5251,0))</f>
        <v/>
      </c>
    </row>
    <row r="682" customFormat="false" ht="15" hidden="false" customHeight="false" outlineLevel="0" collapsed="false">
      <c r="A682" s="0" t="n">
        <v>681</v>
      </c>
      <c r="B682" s="0" t="str">
        <f aca="false">IFERROR(SMALL(Pipeline_Calc!$A$2:$A$5251,A682),"")</f>
        <v/>
      </c>
      <c r="C682" s="0" t="str">
        <f aca="false">IF(B682="","",MATCH(B682,Pipeline_Calc!$A$2:$A$5251,0))</f>
        <v/>
      </c>
    </row>
    <row r="683" customFormat="false" ht="15" hidden="false" customHeight="false" outlineLevel="0" collapsed="false">
      <c r="A683" s="0" t="n">
        <v>682</v>
      </c>
      <c r="B683" s="0" t="str">
        <f aca="false">IFERROR(SMALL(Pipeline_Calc!$A$2:$A$5251,A683),"")</f>
        <v/>
      </c>
      <c r="C683" s="0" t="str">
        <f aca="false">IF(B683="","",MATCH(B683,Pipeline_Calc!$A$2:$A$5251,0))</f>
        <v/>
      </c>
    </row>
    <row r="684" customFormat="false" ht="15" hidden="false" customHeight="false" outlineLevel="0" collapsed="false">
      <c r="A684" s="0" t="n">
        <v>683</v>
      </c>
      <c r="B684" s="0" t="str">
        <f aca="false">IFERROR(SMALL(Pipeline_Calc!$A$2:$A$5251,A684),"")</f>
        <v/>
      </c>
      <c r="C684" s="0" t="str">
        <f aca="false">IF(B684="","",MATCH(B684,Pipeline_Calc!$A$2:$A$5251,0))</f>
        <v/>
      </c>
    </row>
    <row r="685" customFormat="false" ht="15" hidden="false" customHeight="false" outlineLevel="0" collapsed="false">
      <c r="A685" s="0" t="n">
        <v>684</v>
      </c>
      <c r="B685" s="0" t="str">
        <f aca="false">IFERROR(SMALL(Pipeline_Calc!$A$2:$A$5251,A685),"")</f>
        <v/>
      </c>
      <c r="C685" s="0" t="str">
        <f aca="false">IF(B685="","",MATCH(B685,Pipeline_Calc!$A$2:$A$5251,0))</f>
        <v/>
      </c>
    </row>
    <row r="686" customFormat="false" ht="15" hidden="false" customHeight="false" outlineLevel="0" collapsed="false">
      <c r="A686" s="0" t="n">
        <v>685</v>
      </c>
      <c r="B686" s="0" t="str">
        <f aca="false">IFERROR(SMALL(Pipeline_Calc!$A$2:$A$5251,A686),"")</f>
        <v/>
      </c>
      <c r="C686" s="0" t="str">
        <f aca="false">IF(B686="","",MATCH(B686,Pipeline_Calc!$A$2:$A$5251,0))</f>
        <v/>
      </c>
    </row>
    <row r="687" customFormat="false" ht="15" hidden="false" customHeight="false" outlineLevel="0" collapsed="false">
      <c r="A687" s="0" t="n">
        <v>686</v>
      </c>
      <c r="B687" s="0" t="str">
        <f aca="false">IFERROR(SMALL(Pipeline_Calc!$A$2:$A$5251,A687),"")</f>
        <v/>
      </c>
      <c r="C687" s="0" t="str">
        <f aca="false">IF(B687="","",MATCH(B687,Pipeline_Calc!$A$2:$A$5251,0))</f>
        <v/>
      </c>
    </row>
    <row r="688" customFormat="false" ht="15" hidden="false" customHeight="false" outlineLevel="0" collapsed="false">
      <c r="A688" s="0" t="n">
        <v>687</v>
      </c>
      <c r="B688" s="0" t="str">
        <f aca="false">IFERROR(SMALL(Pipeline_Calc!$A$2:$A$5251,A688),"")</f>
        <v/>
      </c>
      <c r="C688" s="0" t="str">
        <f aca="false">IF(B688="","",MATCH(B688,Pipeline_Calc!$A$2:$A$5251,0))</f>
        <v/>
      </c>
    </row>
    <row r="689" customFormat="false" ht="15" hidden="false" customHeight="false" outlineLevel="0" collapsed="false">
      <c r="A689" s="0" t="n">
        <v>688</v>
      </c>
      <c r="B689" s="0" t="str">
        <f aca="false">IFERROR(SMALL(Pipeline_Calc!$A$2:$A$5251,A689),"")</f>
        <v/>
      </c>
      <c r="C689" s="0" t="str">
        <f aca="false">IF(B689="","",MATCH(B689,Pipeline_Calc!$A$2:$A$5251,0))</f>
        <v/>
      </c>
    </row>
    <row r="690" customFormat="false" ht="15" hidden="false" customHeight="false" outlineLevel="0" collapsed="false">
      <c r="A690" s="0" t="n">
        <v>689</v>
      </c>
      <c r="B690" s="0" t="str">
        <f aca="false">IFERROR(SMALL(Pipeline_Calc!$A$2:$A$5251,A690),"")</f>
        <v/>
      </c>
      <c r="C690" s="0" t="str">
        <f aca="false">IF(B690="","",MATCH(B690,Pipeline_Calc!$A$2:$A$5251,0))</f>
        <v/>
      </c>
    </row>
    <row r="691" customFormat="false" ht="15" hidden="false" customHeight="false" outlineLevel="0" collapsed="false">
      <c r="A691" s="0" t="n">
        <v>690</v>
      </c>
      <c r="B691" s="0" t="str">
        <f aca="false">IFERROR(SMALL(Pipeline_Calc!$A$2:$A$5251,A691),"")</f>
        <v/>
      </c>
      <c r="C691" s="0" t="str">
        <f aca="false">IF(B691="","",MATCH(B691,Pipeline_Calc!$A$2:$A$5251,0))</f>
        <v/>
      </c>
    </row>
    <row r="692" customFormat="false" ht="15" hidden="false" customHeight="false" outlineLevel="0" collapsed="false">
      <c r="A692" s="0" t="n">
        <v>691</v>
      </c>
      <c r="B692" s="0" t="str">
        <f aca="false">IFERROR(SMALL(Pipeline_Calc!$A$2:$A$5251,A692),"")</f>
        <v/>
      </c>
      <c r="C692" s="0" t="str">
        <f aca="false">IF(B692="","",MATCH(B692,Pipeline_Calc!$A$2:$A$5251,0))</f>
        <v/>
      </c>
    </row>
    <row r="693" customFormat="false" ht="15" hidden="false" customHeight="false" outlineLevel="0" collapsed="false">
      <c r="A693" s="0" t="n">
        <v>692</v>
      </c>
      <c r="B693" s="0" t="str">
        <f aca="false">IFERROR(SMALL(Pipeline_Calc!$A$2:$A$5251,A693),"")</f>
        <v/>
      </c>
      <c r="C693" s="0" t="str">
        <f aca="false">IF(B693="","",MATCH(B693,Pipeline_Calc!$A$2:$A$5251,0))</f>
        <v/>
      </c>
    </row>
    <row r="694" customFormat="false" ht="15" hidden="false" customHeight="false" outlineLevel="0" collapsed="false">
      <c r="A694" s="0" t="n">
        <v>693</v>
      </c>
      <c r="B694" s="0" t="str">
        <f aca="false">IFERROR(SMALL(Pipeline_Calc!$A$2:$A$5251,A694),"")</f>
        <v/>
      </c>
      <c r="C694" s="0" t="str">
        <f aca="false">IF(B694="","",MATCH(B694,Pipeline_Calc!$A$2:$A$5251,0))</f>
        <v/>
      </c>
    </row>
    <row r="695" customFormat="false" ht="15" hidden="false" customHeight="false" outlineLevel="0" collapsed="false">
      <c r="A695" s="0" t="n">
        <v>694</v>
      </c>
      <c r="B695" s="0" t="str">
        <f aca="false">IFERROR(SMALL(Pipeline_Calc!$A$2:$A$5251,A695),"")</f>
        <v/>
      </c>
      <c r="C695" s="0" t="str">
        <f aca="false">IF(B695="","",MATCH(B695,Pipeline_Calc!$A$2:$A$5251,0))</f>
        <v/>
      </c>
    </row>
    <row r="696" customFormat="false" ht="15" hidden="false" customHeight="false" outlineLevel="0" collapsed="false">
      <c r="A696" s="0" t="n">
        <v>695</v>
      </c>
      <c r="B696" s="0" t="str">
        <f aca="false">IFERROR(SMALL(Pipeline_Calc!$A$2:$A$5251,A696),"")</f>
        <v/>
      </c>
      <c r="C696" s="0" t="str">
        <f aca="false">IF(B696="","",MATCH(B696,Pipeline_Calc!$A$2:$A$5251,0))</f>
        <v/>
      </c>
    </row>
    <row r="697" customFormat="false" ht="15" hidden="false" customHeight="false" outlineLevel="0" collapsed="false">
      <c r="A697" s="0" t="n">
        <v>696</v>
      </c>
      <c r="B697" s="0" t="str">
        <f aca="false">IFERROR(SMALL(Pipeline_Calc!$A$2:$A$5251,A697),"")</f>
        <v/>
      </c>
      <c r="C697" s="0" t="str">
        <f aca="false">IF(B697="","",MATCH(B697,Pipeline_Calc!$A$2:$A$5251,0))</f>
        <v/>
      </c>
    </row>
    <row r="698" customFormat="false" ht="15" hidden="false" customHeight="false" outlineLevel="0" collapsed="false">
      <c r="A698" s="0" t="n">
        <v>697</v>
      </c>
      <c r="B698" s="0" t="str">
        <f aca="false">IFERROR(SMALL(Pipeline_Calc!$A$2:$A$5251,A698),"")</f>
        <v/>
      </c>
      <c r="C698" s="0" t="str">
        <f aca="false">IF(B698="","",MATCH(B698,Pipeline_Calc!$A$2:$A$5251,0))</f>
        <v/>
      </c>
    </row>
    <row r="699" customFormat="false" ht="15" hidden="false" customHeight="false" outlineLevel="0" collapsed="false">
      <c r="A699" s="0" t="n">
        <v>698</v>
      </c>
      <c r="B699" s="0" t="str">
        <f aca="false">IFERROR(SMALL(Pipeline_Calc!$A$2:$A$5251,A699),"")</f>
        <v/>
      </c>
      <c r="C699" s="0" t="str">
        <f aca="false">IF(B699="","",MATCH(B699,Pipeline_Calc!$A$2:$A$5251,0))</f>
        <v/>
      </c>
    </row>
    <row r="700" customFormat="false" ht="15" hidden="false" customHeight="false" outlineLevel="0" collapsed="false">
      <c r="A700" s="0" t="n">
        <v>699</v>
      </c>
      <c r="B700" s="0" t="str">
        <f aca="false">IFERROR(SMALL(Pipeline_Calc!$A$2:$A$5251,A700),"")</f>
        <v/>
      </c>
      <c r="C700" s="0" t="str">
        <f aca="false">IF(B700="","",MATCH(B700,Pipeline_Calc!$A$2:$A$5251,0))</f>
        <v/>
      </c>
    </row>
    <row r="701" customFormat="false" ht="15" hidden="false" customHeight="false" outlineLevel="0" collapsed="false">
      <c r="A701" s="0" t="n">
        <v>700</v>
      </c>
      <c r="B701" s="0" t="str">
        <f aca="false">IFERROR(SMALL(Pipeline_Calc!$A$2:$A$5251,A701),"")</f>
        <v/>
      </c>
      <c r="C701" s="0" t="str">
        <f aca="false">IF(B701="","",MATCH(B701,Pipeline_Calc!$A$2:$A$5251,0))</f>
        <v/>
      </c>
    </row>
    <row r="702" customFormat="false" ht="15" hidden="false" customHeight="false" outlineLevel="0" collapsed="false">
      <c r="A702" s="0" t="n">
        <v>701</v>
      </c>
      <c r="B702" s="0" t="str">
        <f aca="false">IFERROR(SMALL(Pipeline_Calc!$A$2:$A$5251,A702),"")</f>
        <v/>
      </c>
      <c r="C702" s="0" t="str">
        <f aca="false">IF(B702="","",MATCH(B702,Pipeline_Calc!$A$2:$A$5251,0))</f>
        <v/>
      </c>
    </row>
    <row r="703" customFormat="false" ht="15" hidden="false" customHeight="false" outlineLevel="0" collapsed="false">
      <c r="A703" s="0" t="n">
        <v>702</v>
      </c>
      <c r="B703" s="0" t="str">
        <f aca="false">IFERROR(SMALL(Pipeline_Calc!$A$2:$A$5251,A703),"")</f>
        <v/>
      </c>
      <c r="C703" s="0" t="str">
        <f aca="false">IF(B703="","",MATCH(B703,Pipeline_Calc!$A$2:$A$5251,0))</f>
        <v/>
      </c>
    </row>
    <row r="704" customFormat="false" ht="15" hidden="false" customHeight="false" outlineLevel="0" collapsed="false">
      <c r="A704" s="0" t="n">
        <v>703</v>
      </c>
      <c r="B704" s="0" t="str">
        <f aca="false">IFERROR(SMALL(Pipeline_Calc!$A$2:$A$5251,A704),"")</f>
        <v/>
      </c>
      <c r="C704" s="0" t="str">
        <f aca="false">IF(B704="","",MATCH(B704,Pipeline_Calc!$A$2:$A$5251,0))</f>
        <v/>
      </c>
    </row>
    <row r="705" customFormat="false" ht="15" hidden="false" customHeight="false" outlineLevel="0" collapsed="false">
      <c r="A705" s="0" t="n">
        <v>704</v>
      </c>
      <c r="B705" s="0" t="str">
        <f aca="false">IFERROR(SMALL(Pipeline_Calc!$A$2:$A$5251,A705),"")</f>
        <v/>
      </c>
      <c r="C705" s="0" t="str">
        <f aca="false">IF(B705="","",MATCH(B705,Pipeline_Calc!$A$2:$A$5251,0))</f>
        <v/>
      </c>
    </row>
    <row r="706" customFormat="false" ht="15" hidden="false" customHeight="false" outlineLevel="0" collapsed="false">
      <c r="A706" s="0" t="n">
        <v>705</v>
      </c>
      <c r="B706" s="0" t="str">
        <f aca="false">IFERROR(SMALL(Pipeline_Calc!$A$2:$A$5251,A706),"")</f>
        <v/>
      </c>
      <c r="C706" s="0" t="str">
        <f aca="false">IF(B706="","",MATCH(B706,Pipeline_Calc!$A$2:$A$5251,0))</f>
        <v/>
      </c>
    </row>
    <row r="707" customFormat="false" ht="15" hidden="false" customHeight="false" outlineLevel="0" collapsed="false">
      <c r="A707" s="0" t="n">
        <v>706</v>
      </c>
      <c r="B707" s="0" t="str">
        <f aca="false">IFERROR(SMALL(Pipeline_Calc!$A$2:$A$5251,A707),"")</f>
        <v/>
      </c>
      <c r="C707" s="0" t="str">
        <f aca="false">IF(B707="","",MATCH(B707,Pipeline_Calc!$A$2:$A$5251,0))</f>
        <v/>
      </c>
    </row>
    <row r="708" customFormat="false" ht="15" hidden="false" customHeight="false" outlineLevel="0" collapsed="false">
      <c r="A708" s="0" t="n">
        <v>707</v>
      </c>
      <c r="B708" s="0" t="str">
        <f aca="false">IFERROR(SMALL(Pipeline_Calc!$A$2:$A$5251,A708),"")</f>
        <v/>
      </c>
      <c r="C708" s="0" t="str">
        <f aca="false">IF(B708="","",MATCH(B708,Pipeline_Calc!$A$2:$A$5251,0))</f>
        <v/>
      </c>
    </row>
    <row r="709" customFormat="false" ht="15" hidden="false" customHeight="false" outlineLevel="0" collapsed="false">
      <c r="A709" s="0" t="n">
        <v>708</v>
      </c>
      <c r="B709" s="0" t="str">
        <f aca="false">IFERROR(SMALL(Pipeline_Calc!$A$2:$A$5251,A709),"")</f>
        <v/>
      </c>
      <c r="C709" s="0" t="str">
        <f aca="false">IF(B709="","",MATCH(B709,Pipeline_Calc!$A$2:$A$5251,0))</f>
        <v/>
      </c>
    </row>
    <row r="710" customFormat="false" ht="15" hidden="false" customHeight="false" outlineLevel="0" collapsed="false">
      <c r="A710" s="0" t="n">
        <v>709</v>
      </c>
      <c r="B710" s="0" t="str">
        <f aca="false">IFERROR(SMALL(Pipeline_Calc!$A$2:$A$5251,A710),"")</f>
        <v/>
      </c>
      <c r="C710" s="0" t="str">
        <f aca="false">IF(B710="","",MATCH(B710,Pipeline_Calc!$A$2:$A$5251,0))</f>
        <v/>
      </c>
    </row>
    <row r="711" customFormat="false" ht="15" hidden="false" customHeight="false" outlineLevel="0" collapsed="false">
      <c r="A711" s="0" t="n">
        <v>710</v>
      </c>
      <c r="B711" s="0" t="str">
        <f aca="false">IFERROR(SMALL(Pipeline_Calc!$A$2:$A$5251,A711),"")</f>
        <v/>
      </c>
      <c r="C711" s="0" t="str">
        <f aca="false">IF(B711="","",MATCH(B711,Pipeline_Calc!$A$2:$A$5251,0))</f>
        <v/>
      </c>
    </row>
    <row r="712" customFormat="false" ht="15" hidden="false" customHeight="false" outlineLevel="0" collapsed="false">
      <c r="A712" s="0" t="n">
        <v>711</v>
      </c>
      <c r="B712" s="0" t="str">
        <f aca="false">IFERROR(SMALL(Pipeline_Calc!$A$2:$A$5251,A712),"")</f>
        <v/>
      </c>
      <c r="C712" s="0" t="str">
        <f aca="false">IF(B712="","",MATCH(B712,Pipeline_Calc!$A$2:$A$5251,0))</f>
        <v/>
      </c>
    </row>
    <row r="713" customFormat="false" ht="15" hidden="false" customHeight="false" outlineLevel="0" collapsed="false">
      <c r="A713" s="0" t="n">
        <v>712</v>
      </c>
      <c r="B713" s="0" t="str">
        <f aca="false">IFERROR(SMALL(Pipeline_Calc!$A$2:$A$5251,A713),"")</f>
        <v/>
      </c>
      <c r="C713" s="0" t="str">
        <f aca="false">IF(B713="","",MATCH(B713,Pipeline_Calc!$A$2:$A$5251,0))</f>
        <v/>
      </c>
    </row>
    <row r="714" customFormat="false" ht="15" hidden="false" customHeight="false" outlineLevel="0" collapsed="false">
      <c r="A714" s="0" t="n">
        <v>713</v>
      </c>
      <c r="B714" s="0" t="str">
        <f aca="false">IFERROR(SMALL(Pipeline_Calc!$A$2:$A$5251,A714),"")</f>
        <v/>
      </c>
      <c r="C714" s="0" t="str">
        <f aca="false">IF(B714="","",MATCH(B714,Pipeline_Calc!$A$2:$A$5251,0))</f>
        <v/>
      </c>
    </row>
    <row r="715" customFormat="false" ht="15" hidden="false" customHeight="false" outlineLevel="0" collapsed="false">
      <c r="A715" s="0" t="n">
        <v>714</v>
      </c>
      <c r="B715" s="0" t="str">
        <f aca="false">IFERROR(SMALL(Pipeline_Calc!$A$2:$A$5251,A715),"")</f>
        <v/>
      </c>
      <c r="C715" s="0" t="str">
        <f aca="false">IF(B715="","",MATCH(B715,Pipeline_Calc!$A$2:$A$5251,0))</f>
        <v/>
      </c>
    </row>
    <row r="716" customFormat="false" ht="15" hidden="false" customHeight="false" outlineLevel="0" collapsed="false">
      <c r="A716" s="0" t="n">
        <v>715</v>
      </c>
      <c r="B716" s="0" t="str">
        <f aca="false">IFERROR(SMALL(Pipeline_Calc!$A$2:$A$5251,A716),"")</f>
        <v/>
      </c>
      <c r="C716" s="0" t="str">
        <f aca="false">IF(B716="","",MATCH(B716,Pipeline_Calc!$A$2:$A$5251,0))</f>
        <v/>
      </c>
    </row>
    <row r="717" customFormat="false" ht="15" hidden="false" customHeight="false" outlineLevel="0" collapsed="false">
      <c r="A717" s="0" t="n">
        <v>716</v>
      </c>
      <c r="B717" s="0" t="str">
        <f aca="false">IFERROR(SMALL(Pipeline_Calc!$A$2:$A$5251,A717),"")</f>
        <v/>
      </c>
      <c r="C717" s="0" t="str">
        <f aca="false">IF(B717="","",MATCH(B717,Pipeline_Calc!$A$2:$A$5251,0))</f>
        <v/>
      </c>
    </row>
    <row r="718" customFormat="false" ht="15" hidden="false" customHeight="false" outlineLevel="0" collapsed="false">
      <c r="A718" s="0" t="n">
        <v>717</v>
      </c>
      <c r="B718" s="0" t="str">
        <f aca="false">IFERROR(SMALL(Pipeline_Calc!$A$2:$A$5251,A718),"")</f>
        <v/>
      </c>
      <c r="C718" s="0" t="str">
        <f aca="false">IF(B718="","",MATCH(B718,Pipeline_Calc!$A$2:$A$5251,0))</f>
        <v/>
      </c>
    </row>
    <row r="719" customFormat="false" ht="15" hidden="false" customHeight="false" outlineLevel="0" collapsed="false">
      <c r="A719" s="0" t="n">
        <v>718</v>
      </c>
      <c r="B719" s="0" t="str">
        <f aca="false">IFERROR(SMALL(Pipeline_Calc!$A$2:$A$5251,A719),"")</f>
        <v/>
      </c>
      <c r="C719" s="0" t="str">
        <f aca="false">IF(B719="","",MATCH(B719,Pipeline_Calc!$A$2:$A$5251,0))</f>
        <v/>
      </c>
    </row>
    <row r="720" customFormat="false" ht="15" hidden="false" customHeight="false" outlineLevel="0" collapsed="false">
      <c r="A720" s="0" t="n">
        <v>719</v>
      </c>
      <c r="B720" s="0" t="str">
        <f aca="false">IFERROR(SMALL(Pipeline_Calc!$A$2:$A$5251,A720),"")</f>
        <v/>
      </c>
      <c r="C720" s="0" t="str">
        <f aca="false">IF(B720="","",MATCH(B720,Pipeline_Calc!$A$2:$A$5251,0))</f>
        <v/>
      </c>
    </row>
    <row r="721" customFormat="false" ht="15" hidden="false" customHeight="false" outlineLevel="0" collapsed="false">
      <c r="A721" s="0" t="n">
        <v>720</v>
      </c>
      <c r="B721" s="0" t="str">
        <f aca="false">IFERROR(SMALL(Pipeline_Calc!$A$2:$A$5251,A721),"")</f>
        <v/>
      </c>
      <c r="C721" s="0" t="str">
        <f aca="false">IF(B721="","",MATCH(B721,Pipeline_Calc!$A$2:$A$5251,0))</f>
        <v/>
      </c>
    </row>
    <row r="722" customFormat="false" ht="15" hidden="false" customHeight="false" outlineLevel="0" collapsed="false">
      <c r="A722" s="0" t="n">
        <v>721</v>
      </c>
      <c r="B722" s="0" t="str">
        <f aca="false">IFERROR(SMALL(Pipeline_Calc!$A$2:$A$5251,A722),"")</f>
        <v/>
      </c>
      <c r="C722" s="0" t="str">
        <f aca="false">IF(B722="","",MATCH(B722,Pipeline_Calc!$A$2:$A$5251,0))</f>
        <v/>
      </c>
    </row>
    <row r="723" customFormat="false" ht="15" hidden="false" customHeight="false" outlineLevel="0" collapsed="false">
      <c r="A723" s="0" t="n">
        <v>722</v>
      </c>
      <c r="B723" s="0" t="str">
        <f aca="false">IFERROR(SMALL(Pipeline_Calc!$A$2:$A$5251,A723),"")</f>
        <v/>
      </c>
      <c r="C723" s="0" t="str">
        <f aca="false">IF(B723="","",MATCH(B723,Pipeline_Calc!$A$2:$A$5251,0))</f>
        <v/>
      </c>
    </row>
    <row r="724" customFormat="false" ht="15" hidden="false" customHeight="false" outlineLevel="0" collapsed="false">
      <c r="A724" s="0" t="n">
        <v>723</v>
      </c>
      <c r="B724" s="0" t="str">
        <f aca="false">IFERROR(SMALL(Pipeline_Calc!$A$2:$A$5251,A724),"")</f>
        <v/>
      </c>
      <c r="C724" s="0" t="str">
        <f aca="false">IF(B724="","",MATCH(B724,Pipeline_Calc!$A$2:$A$5251,0))</f>
        <v/>
      </c>
    </row>
    <row r="725" customFormat="false" ht="15" hidden="false" customHeight="false" outlineLevel="0" collapsed="false">
      <c r="A725" s="0" t="n">
        <v>724</v>
      </c>
      <c r="B725" s="0" t="str">
        <f aca="false">IFERROR(SMALL(Pipeline_Calc!$A$2:$A$5251,A725),"")</f>
        <v/>
      </c>
      <c r="C725" s="0" t="str">
        <f aca="false">IF(B725="","",MATCH(B725,Pipeline_Calc!$A$2:$A$5251,0))</f>
        <v/>
      </c>
    </row>
    <row r="726" customFormat="false" ht="15" hidden="false" customHeight="false" outlineLevel="0" collapsed="false">
      <c r="A726" s="0" t="n">
        <v>725</v>
      </c>
      <c r="B726" s="0" t="str">
        <f aca="false">IFERROR(SMALL(Pipeline_Calc!$A$2:$A$5251,A726),"")</f>
        <v/>
      </c>
      <c r="C726" s="0" t="str">
        <f aca="false">IF(B726="","",MATCH(B726,Pipeline_Calc!$A$2:$A$5251,0))</f>
        <v/>
      </c>
    </row>
    <row r="727" customFormat="false" ht="15" hidden="false" customHeight="false" outlineLevel="0" collapsed="false">
      <c r="A727" s="0" t="n">
        <v>726</v>
      </c>
      <c r="B727" s="0" t="str">
        <f aca="false">IFERROR(SMALL(Pipeline_Calc!$A$2:$A$5251,A727),"")</f>
        <v/>
      </c>
      <c r="C727" s="0" t="str">
        <f aca="false">IF(B727="","",MATCH(B727,Pipeline_Calc!$A$2:$A$5251,0))</f>
        <v/>
      </c>
    </row>
    <row r="728" customFormat="false" ht="15" hidden="false" customHeight="false" outlineLevel="0" collapsed="false">
      <c r="A728" s="0" t="n">
        <v>727</v>
      </c>
      <c r="B728" s="0" t="str">
        <f aca="false">IFERROR(SMALL(Pipeline_Calc!$A$2:$A$5251,A728),"")</f>
        <v/>
      </c>
      <c r="C728" s="0" t="str">
        <f aca="false">IF(B728="","",MATCH(B728,Pipeline_Calc!$A$2:$A$5251,0))</f>
        <v/>
      </c>
    </row>
    <row r="729" customFormat="false" ht="15" hidden="false" customHeight="false" outlineLevel="0" collapsed="false">
      <c r="A729" s="0" t="n">
        <v>728</v>
      </c>
      <c r="B729" s="0" t="str">
        <f aca="false">IFERROR(SMALL(Pipeline_Calc!$A$2:$A$5251,A729),"")</f>
        <v/>
      </c>
      <c r="C729" s="0" t="str">
        <f aca="false">IF(B729="","",MATCH(B729,Pipeline_Calc!$A$2:$A$5251,0))</f>
        <v/>
      </c>
    </row>
    <row r="730" customFormat="false" ht="15" hidden="false" customHeight="false" outlineLevel="0" collapsed="false">
      <c r="A730" s="0" t="n">
        <v>729</v>
      </c>
      <c r="B730" s="0" t="str">
        <f aca="false">IFERROR(SMALL(Pipeline_Calc!$A$2:$A$5251,A730),"")</f>
        <v/>
      </c>
      <c r="C730" s="0" t="str">
        <f aca="false">IF(B730="","",MATCH(B730,Pipeline_Calc!$A$2:$A$5251,0))</f>
        <v/>
      </c>
    </row>
    <row r="731" customFormat="false" ht="15" hidden="false" customHeight="false" outlineLevel="0" collapsed="false">
      <c r="A731" s="0" t="n">
        <v>730</v>
      </c>
      <c r="B731" s="0" t="str">
        <f aca="false">IFERROR(SMALL(Pipeline_Calc!$A$2:$A$5251,A731),"")</f>
        <v/>
      </c>
      <c r="C731" s="0" t="str">
        <f aca="false">IF(B731="","",MATCH(B731,Pipeline_Calc!$A$2:$A$5251,0))</f>
        <v/>
      </c>
    </row>
    <row r="732" customFormat="false" ht="15" hidden="false" customHeight="false" outlineLevel="0" collapsed="false">
      <c r="A732" s="0" t="n">
        <v>731</v>
      </c>
      <c r="B732" s="0" t="str">
        <f aca="false">IFERROR(SMALL(Pipeline_Calc!$A$2:$A$5251,A732),"")</f>
        <v/>
      </c>
      <c r="C732" s="0" t="str">
        <f aca="false">IF(B732="","",MATCH(B732,Pipeline_Calc!$A$2:$A$5251,0))</f>
        <v/>
      </c>
    </row>
    <row r="733" customFormat="false" ht="15" hidden="false" customHeight="false" outlineLevel="0" collapsed="false">
      <c r="A733" s="0" t="n">
        <v>732</v>
      </c>
      <c r="B733" s="0" t="str">
        <f aca="false">IFERROR(SMALL(Pipeline_Calc!$A$2:$A$5251,A733),"")</f>
        <v/>
      </c>
      <c r="C733" s="0" t="str">
        <f aca="false">IF(B733="","",MATCH(B733,Pipeline_Calc!$A$2:$A$5251,0))</f>
        <v/>
      </c>
    </row>
    <row r="734" customFormat="false" ht="15" hidden="false" customHeight="false" outlineLevel="0" collapsed="false">
      <c r="A734" s="0" t="n">
        <v>733</v>
      </c>
      <c r="B734" s="0" t="str">
        <f aca="false">IFERROR(SMALL(Pipeline_Calc!$A$2:$A$5251,A734),"")</f>
        <v/>
      </c>
      <c r="C734" s="0" t="str">
        <f aca="false">IF(B734="","",MATCH(B734,Pipeline_Calc!$A$2:$A$5251,0))</f>
        <v/>
      </c>
    </row>
    <row r="735" customFormat="false" ht="15" hidden="false" customHeight="false" outlineLevel="0" collapsed="false">
      <c r="A735" s="0" t="n">
        <v>734</v>
      </c>
      <c r="B735" s="0" t="str">
        <f aca="false">IFERROR(SMALL(Pipeline_Calc!$A$2:$A$5251,A735),"")</f>
        <v/>
      </c>
      <c r="C735" s="0" t="str">
        <f aca="false">IF(B735="","",MATCH(B735,Pipeline_Calc!$A$2:$A$5251,0))</f>
        <v/>
      </c>
    </row>
    <row r="736" customFormat="false" ht="15" hidden="false" customHeight="false" outlineLevel="0" collapsed="false">
      <c r="A736" s="0" t="n">
        <v>735</v>
      </c>
      <c r="B736" s="0" t="str">
        <f aca="false">IFERROR(SMALL(Pipeline_Calc!$A$2:$A$5251,A736),"")</f>
        <v/>
      </c>
      <c r="C736" s="0" t="str">
        <f aca="false">IF(B736="","",MATCH(B736,Pipeline_Calc!$A$2:$A$5251,0))</f>
        <v/>
      </c>
    </row>
    <row r="737" customFormat="false" ht="15" hidden="false" customHeight="false" outlineLevel="0" collapsed="false">
      <c r="A737" s="0" t="n">
        <v>736</v>
      </c>
      <c r="B737" s="0" t="str">
        <f aca="false">IFERROR(SMALL(Pipeline_Calc!$A$2:$A$5251,A737),"")</f>
        <v/>
      </c>
      <c r="C737" s="0" t="str">
        <f aca="false">IF(B737="","",MATCH(B737,Pipeline_Calc!$A$2:$A$5251,0))</f>
        <v/>
      </c>
    </row>
    <row r="738" customFormat="false" ht="15" hidden="false" customHeight="false" outlineLevel="0" collapsed="false">
      <c r="A738" s="0" t="n">
        <v>737</v>
      </c>
      <c r="B738" s="0" t="str">
        <f aca="false">IFERROR(SMALL(Pipeline_Calc!$A$2:$A$5251,A738),"")</f>
        <v/>
      </c>
      <c r="C738" s="0" t="str">
        <f aca="false">IF(B738="","",MATCH(B738,Pipeline_Calc!$A$2:$A$5251,0))</f>
        <v/>
      </c>
    </row>
    <row r="739" customFormat="false" ht="15" hidden="false" customHeight="false" outlineLevel="0" collapsed="false">
      <c r="A739" s="0" t="n">
        <v>738</v>
      </c>
      <c r="B739" s="0" t="str">
        <f aca="false">IFERROR(SMALL(Pipeline_Calc!$A$2:$A$5251,A739),"")</f>
        <v/>
      </c>
      <c r="C739" s="0" t="str">
        <f aca="false">IF(B739="","",MATCH(B739,Pipeline_Calc!$A$2:$A$5251,0))</f>
        <v/>
      </c>
    </row>
    <row r="740" customFormat="false" ht="15" hidden="false" customHeight="false" outlineLevel="0" collapsed="false">
      <c r="A740" s="0" t="n">
        <v>739</v>
      </c>
      <c r="B740" s="0" t="str">
        <f aca="false">IFERROR(SMALL(Pipeline_Calc!$A$2:$A$5251,A740),"")</f>
        <v/>
      </c>
      <c r="C740" s="0" t="str">
        <f aca="false">IF(B740="","",MATCH(B740,Pipeline_Calc!$A$2:$A$5251,0))</f>
        <v/>
      </c>
    </row>
    <row r="741" customFormat="false" ht="15" hidden="false" customHeight="false" outlineLevel="0" collapsed="false">
      <c r="A741" s="0" t="n">
        <v>740</v>
      </c>
      <c r="B741" s="0" t="str">
        <f aca="false">IFERROR(SMALL(Pipeline_Calc!$A$2:$A$5251,A741),"")</f>
        <v/>
      </c>
      <c r="C741" s="0" t="str">
        <f aca="false">IF(B741="","",MATCH(B741,Pipeline_Calc!$A$2:$A$5251,0))</f>
        <v/>
      </c>
    </row>
    <row r="742" customFormat="false" ht="15" hidden="false" customHeight="false" outlineLevel="0" collapsed="false">
      <c r="A742" s="0" t="n">
        <v>741</v>
      </c>
      <c r="B742" s="0" t="str">
        <f aca="false">IFERROR(SMALL(Pipeline_Calc!$A$2:$A$5251,A742),"")</f>
        <v/>
      </c>
      <c r="C742" s="0" t="str">
        <f aca="false">IF(B742="","",MATCH(B742,Pipeline_Calc!$A$2:$A$5251,0))</f>
        <v/>
      </c>
    </row>
    <row r="743" customFormat="false" ht="15" hidden="false" customHeight="false" outlineLevel="0" collapsed="false">
      <c r="A743" s="0" t="n">
        <v>742</v>
      </c>
      <c r="B743" s="0" t="str">
        <f aca="false">IFERROR(SMALL(Pipeline_Calc!$A$2:$A$5251,A743),"")</f>
        <v/>
      </c>
      <c r="C743" s="0" t="str">
        <f aca="false">IF(B743="","",MATCH(B743,Pipeline_Calc!$A$2:$A$5251,0))</f>
        <v/>
      </c>
    </row>
    <row r="744" customFormat="false" ht="15" hidden="false" customHeight="false" outlineLevel="0" collapsed="false">
      <c r="A744" s="0" t="n">
        <v>743</v>
      </c>
      <c r="B744" s="0" t="str">
        <f aca="false">IFERROR(SMALL(Pipeline_Calc!$A$2:$A$5251,A744),"")</f>
        <v/>
      </c>
      <c r="C744" s="0" t="str">
        <f aca="false">IF(B744="","",MATCH(B744,Pipeline_Calc!$A$2:$A$5251,0))</f>
        <v/>
      </c>
    </row>
    <row r="745" customFormat="false" ht="15" hidden="false" customHeight="false" outlineLevel="0" collapsed="false">
      <c r="A745" s="0" t="n">
        <v>744</v>
      </c>
      <c r="B745" s="0" t="str">
        <f aca="false">IFERROR(SMALL(Pipeline_Calc!$A$2:$A$5251,A745),"")</f>
        <v/>
      </c>
      <c r="C745" s="0" t="str">
        <f aca="false">IF(B745="","",MATCH(B745,Pipeline_Calc!$A$2:$A$5251,0))</f>
        <v/>
      </c>
    </row>
    <row r="746" customFormat="false" ht="15" hidden="false" customHeight="false" outlineLevel="0" collapsed="false">
      <c r="A746" s="0" t="n">
        <v>745</v>
      </c>
      <c r="B746" s="0" t="str">
        <f aca="false">IFERROR(SMALL(Pipeline_Calc!$A$2:$A$5251,A746),"")</f>
        <v/>
      </c>
      <c r="C746" s="0" t="str">
        <f aca="false">IF(B746="","",MATCH(B746,Pipeline_Calc!$A$2:$A$5251,0))</f>
        <v/>
      </c>
    </row>
    <row r="747" customFormat="false" ht="15" hidden="false" customHeight="false" outlineLevel="0" collapsed="false">
      <c r="A747" s="0" t="n">
        <v>746</v>
      </c>
      <c r="B747" s="0" t="str">
        <f aca="false">IFERROR(SMALL(Pipeline_Calc!$A$2:$A$5251,A747),"")</f>
        <v/>
      </c>
      <c r="C747" s="0" t="str">
        <f aca="false">IF(B747="","",MATCH(B747,Pipeline_Calc!$A$2:$A$5251,0))</f>
        <v/>
      </c>
    </row>
    <row r="748" customFormat="false" ht="15" hidden="false" customHeight="false" outlineLevel="0" collapsed="false">
      <c r="A748" s="0" t="n">
        <v>747</v>
      </c>
      <c r="B748" s="0" t="str">
        <f aca="false">IFERROR(SMALL(Pipeline_Calc!$A$2:$A$5251,A748),"")</f>
        <v/>
      </c>
      <c r="C748" s="0" t="str">
        <f aca="false">IF(B748="","",MATCH(B748,Pipeline_Calc!$A$2:$A$5251,0))</f>
        <v/>
      </c>
    </row>
    <row r="749" customFormat="false" ht="15" hidden="false" customHeight="false" outlineLevel="0" collapsed="false">
      <c r="A749" s="0" t="n">
        <v>748</v>
      </c>
      <c r="B749" s="0" t="str">
        <f aca="false">IFERROR(SMALL(Pipeline_Calc!$A$2:$A$5251,A749),"")</f>
        <v/>
      </c>
      <c r="C749" s="0" t="str">
        <f aca="false">IF(B749="","",MATCH(B749,Pipeline_Calc!$A$2:$A$5251,0))</f>
        <v/>
      </c>
    </row>
    <row r="750" customFormat="false" ht="15" hidden="false" customHeight="false" outlineLevel="0" collapsed="false">
      <c r="A750" s="0" t="n">
        <v>749</v>
      </c>
      <c r="B750" s="0" t="str">
        <f aca="false">IFERROR(SMALL(Pipeline_Calc!$A$2:$A$5251,A750),"")</f>
        <v/>
      </c>
      <c r="C750" s="0" t="str">
        <f aca="false">IF(B750="","",MATCH(B750,Pipeline_Calc!$A$2:$A$5251,0))</f>
        <v/>
      </c>
    </row>
    <row r="751" customFormat="false" ht="15" hidden="false" customHeight="false" outlineLevel="0" collapsed="false">
      <c r="A751" s="0" t="n">
        <v>750</v>
      </c>
      <c r="B751" s="0" t="str">
        <f aca="false">IFERROR(SMALL(Pipeline_Calc!$A$2:$A$5251,A751),"")</f>
        <v/>
      </c>
      <c r="C751" s="0" t="str">
        <f aca="false">IF(B751="","",MATCH(B751,Pipeline_Calc!$A$2:$A$5251,0))</f>
        <v/>
      </c>
    </row>
    <row r="752" customFormat="false" ht="15" hidden="false" customHeight="false" outlineLevel="0" collapsed="false">
      <c r="A752" s="0" t="n">
        <v>751</v>
      </c>
      <c r="B752" s="0" t="str">
        <f aca="false">IFERROR(SMALL(Pipeline_Calc!$A$2:$A$5251,A752),"")</f>
        <v/>
      </c>
      <c r="C752" s="0" t="str">
        <f aca="false">IF(B752="","",MATCH(B752,Pipeline_Calc!$A$2:$A$5251,0))</f>
        <v/>
      </c>
    </row>
    <row r="753" customFormat="false" ht="15" hidden="false" customHeight="false" outlineLevel="0" collapsed="false">
      <c r="A753" s="0" t="n">
        <v>752</v>
      </c>
      <c r="B753" s="0" t="str">
        <f aca="false">IFERROR(SMALL(Pipeline_Calc!$A$2:$A$5251,A753),"")</f>
        <v/>
      </c>
      <c r="C753" s="0" t="str">
        <f aca="false">IF(B753="","",MATCH(B753,Pipeline_Calc!$A$2:$A$5251,0))</f>
        <v/>
      </c>
    </row>
    <row r="754" customFormat="false" ht="15" hidden="false" customHeight="false" outlineLevel="0" collapsed="false">
      <c r="A754" s="0" t="n">
        <v>753</v>
      </c>
      <c r="B754" s="0" t="str">
        <f aca="false">IFERROR(SMALL(Pipeline_Calc!$A$2:$A$5251,A754),"")</f>
        <v/>
      </c>
      <c r="C754" s="0" t="str">
        <f aca="false">IF(B754="","",MATCH(B754,Pipeline_Calc!$A$2:$A$5251,0))</f>
        <v/>
      </c>
    </row>
    <row r="755" customFormat="false" ht="15" hidden="false" customHeight="false" outlineLevel="0" collapsed="false">
      <c r="A755" s="0" t="n">
        <v>754</v>
      </c>
      <c r="B755" s="0" t="str">
        <f aca="false">IFERROR(SMALL(Pipeline_Calc!$A$2:$A$5251,A755),"")</f>
        <v/>
      </c>
      <c r="C755" s="0" t="str">
        <f aca="false">IF(B755="","",MATCH(B755,Pipeline_Calc!$A$2:$A$5251,0))</f>
        <v/>
      </c>
    </row>
    <row r="756" customFormat="false" ht="15" hidden="false" customHeight="false" outlineLevel="0" collapsed="false">
      <c r="A756" s="0" t="n">
        <v>755</v>
      </c>
      <c r="B756" s="0" t="str">
        <f aca="false">IFERROR(SMALL(Pipeline_Calc!$A$2:$A$5251,A756),"")</f>
        <v/>
      </c>
      <c r="C756" s="0" t="str">
        <f aca="false">IF(B756="","",MATCH(B756,Pipeline_Calc!$A$2:$A$5251,0))</f>
        <v/>
      </c>
    </row>
    <row r="757" customFormat="false" ht="15" hidden="false" customHeight="false" outlineLevel="0" collapsed="false">
      <c r="A757" s="0" t="n">
        <v>756</v>
      </c>
      <c r="B757" s="0" t="str">
        <f aca="false">IFERROR(SMALL(Pipeline_Calc!$A$2:$A$5251,A757),"")</f>
        <v/>
      </c>
      <c r="C757" s="0" t="str">
        <f aca="false">IF(B757="","",MATCH(B757,Pipeline_Calc!$A$2:$A$5251,0))</f>
        <v/>
      </c>
    </row>
    <row r="758" customFormat="false" ht="15" hidden="false" customHeight="false" outlineLevel="0" collapsed="false">
      <c r="A758" s="0" t="n">
        <v>757</v>
      </c>
      <c r="B758" s="0" t="str">
        <f aca="false">IFERROR(SMALL(Pipeline_Calc!$A$2:$A$5251,A758),"")</f>
        <v/>
      </c>
      <c r="C758" s="0" t="str">
        <f aca="false">IF(B758="","",MATCH(B758,Pipeline_Calc!$A$2:$A$5251,0))</f>
        <v/>
      </c>
    </row>
    <row r="759" customFormat="false" ht="15" hidden="false" customHeight="false" outlineLevel="0" collapsed="false">
      <c r="A759" s="0" t="n">
        <v>758</v>
      </c>
      <c r="B759" s="0" t="str">
        <f aca="false">IFERROR(SMALL(Pipeline_Calc!$A$2:$A$5251,A759),"")</f>
        <v/>
      </c>
      <c r="C759" s="0" t="str">
        <f aca="false">IF(B759="","",MATCH(B759,Pipeline_Calc!$A$2:$A$5251,0))</f>
        <v/>
      </c>
    </row>
    <row r="760" customFormat="false" ht="15" hidden="false" customHeight="false" outlineLevel="0" collapsed="false">
      <c r="A760" s="0" t="n">
        <v>759</v>
      </c>
      <c r="B760" s="0" t="str">
        <f aca="false">IFERROR(SMALL(Pipeline_Calc!$A$2:$A$5251,A760),"")</f>
        <v/>
      </c>
      <c r="C760" s="0" t="str">
        <f aca="false">IF(B760="","",MATCH(B760,Pipeline_Calc!$A$2:$A$5251,0))</f>
        <v/>
      </c>
    </row>
    <row r="761" customFormat="false" ht="15" hidden="false" customHeight="false" outlineLevel="0" collapsed="false">
      <c r="A761" s="0" t="n">
        <v>760</v>
      </c>
      <c r="B761" s="0" t="str">
        <f aca="false">IFERROR(SMALL(Pipeline_Calc!$A$2:$A$5251,A761),"")</f>
        <v/>
      </c>
      <c r="C761" s="0" t="str">
        <f aca="false">IF(B761="","",MATCH(B761,Pipeline_Calc!$A$2:$A$5251,0))</f>
        <v/>
      </c>
    </row>
    <row r="762" customFormat="false" ht="15" hidden="false" customHeight="false" outlineLevel="0" collapsed="false">
      <c r="A762" s="0" t="n">
        <v>761</v>
      </c>
      <c r="B762" s="0" t="str">
        <f aca="false">IFERROR(SMALL(Pipeline_Calc!$A$2:$A$5251,A762),"")</f>
        <v/>
      </c>
      <c r="C762" s="0" t="str">
        <f aca="false">IF(B762="","",MATCH(B762,Pipeline_Calc!$A$2:$A$5251,0))</f>
        <v/>
      </c>
    </row>
    <row r="763" customFormat="false" ht="15" hidden="false" customHeight="false" outlineLevel="0" collapsed="false">
      <c r="A763" s="0" t="n">
        <v>762</v>
      </c>
      <c r="B763" s="0" t="str">
        <f aca="false">IFERROR(SMALL(Pipeline_Calc!$A$2:$A$5251,A763),"")</f>
        <v/>
      </c>
      <c r="C763" s="0" t="str">
        <f aca="false">IF(B763="","",MATCH(B763,Pipeline_Calc!$A$2:$A$5251,0))</f>
        <v/>
      </c>
    </row>
    <row r="764" customFormat="false" ht="15" hidden="false" customHeight="false" outlineLevel="0" collapsed="false">
      <c r="A764" s="0" t="n">
        <v>763</v>
      </c>
      <c r="B764" s="0" t="str">
        <f aca="false">IFERROR(SMALL(Pipeline_Calc!$A$2:$A$5251,A764),"")</f>
        <v/>
      </c>
      <c r="C764" s="0" t="str">
        <f aca="false">IF(B764="","",MATCH(B764,Pipeline_Calc!$A$2:$A$5251,0))</f>
        <v/>
      </c>
    </row>
    <row r="765" customFormat="false" ht="15" hidden="false" customHeight="false" outlineLevel="0" collapsed="false">
      <c r="A765" s="0" t="n">
        <v>764</v>
      </c>
      <c r="B765" s="0" t="str">
        <f aca="false">IFERROR(SMALL(Pipeline_Calc!$A$2:$A$5251,A765),"")</f>
        <v/>
      </c>
      <c r="C765" s="0" t="str">
        <f aca="false">IF(B765="","",MATCH(B765,Pipeline_Calc!$A$2:$A$5251,0))</f>
        <v/>
      </c>
    </row>
    <row r="766" customFormat="false" ht="15" hidden="false" customHeight="false" outlineLevel="0" collapsed="false">
      <c r="A766" s="0" t="n">
        <v>765</v>
      </c>
      <c r="B766" s="0" t="str">
        <f aca="false">IFERROR(SMALL(Pipeline_Calc!$A$2:$A$5251,A766),"")</f>
        <v/>
      </c>
      <c r="C766" s="0" t="str">
        <f aca="false">IF(B766="","",MATCH(B766,Pipeline_Calc!$A$2:$A$5251,0))</f>
        <v/>
      </c>
    </row>
    <row r="767" customFormat="false" ht="15" hidden="false" customHeight="false" outlineLevel="0" collapsed="false">
      <c r="A767" s="0" t="n">
        <v>766</v>
      </c>
      <c r="B767" s="0" t="str">
        <f aca="false">IFERROR(SMALL(Pipeline_Calc!$A$2:$A$5251,A767),"")</f>
        <v/>
      </c>
      <c r="C767" s="0" t="str">
        <f aca="false">IF(B767="","",MATCH(B767,Pipeline_Calc!$A$2:$A$5251,0))</f>
        <v/>
      </c>
    </row>
    <row r="768" customFormat="false" ht="15" hidden="false" customHeight="false" outlineLevel="0" collapsed="false">
      <c r="A768" s="0" t="n">
        <v>767</v>
      </c>
      <c r="B768" s="0" t="str">
        <f aca="false">IFERROR(SMALL(Pipeline_Calc!$A$2:$A$5251,A768),"")</f>
        <v/>
      </c>
      <c r="C768" s="0" t="str">
        <f aca="false">IF(B768="","",MATCH(B768,Pipeline_Calc!$A$2:$A$5251,0))</f>
        <v/>
      </c>
    </row>
    <row r="769" customFormat="false" ht="15" hidden="false" customHeight="false" outlineLevel="0" collapsed="false">
      <c r="A769" s="0" t="n">
        <v>768</v>
      </c>
      <c r="B769" s="0" t="str">
        <f aca="false">IFERROR(SMALL(Pipeline_Calc!$A$2:$A$5251,A769),"")</f>
        <v/>
      </c>
      <c r="C769" s="0" t="str">
        <f aca="false">IF(B769="","",MATCH(B769,Pipeline_Calc!$A$2:$A$5251,0))</f>
        <v/>
      </c>
    </row>
    <row r="770" customFormat="false" ht="15" hidden="false" customHeight="false" outlineLevel="0" collapsed="false">
      <c r="A770" s="0" t="n">
        <v>769</v>
      </c>
      <c r="B770" s="0" t="str">
        <f aca="false">IFERROR(SMALL(Pipeline_Calc!$A$2:$A$5251,A770),"")</f>
        <v/>
      </c>
      <c r="C770" s="0" t="str">
        <f aca="false">IF(B770="","",MATCH(B770,Pipeline_Calc!$A$2:$A$5251,0))</f>
        <v/>
      </c>
    </row>
    <row r="771" customFormat="false" ht="15" hidden="false" customHeight="false" outlineLevel="0" collapsed="false">
      <c r="A771" s="0" t="n">
        <v>770</v>
      </c>
      <c r="B771" s="0" t="str">
        <f aca="false">IFERROR(SMALL(Pipeline_Calc!$A$2:$A$5251,A771),"")</f>
        <v/>
      </c>
      <c r="C771" s="0" t="str">
        <f aca="false">IF(B771="","",MATCH(B771,Pipeline_Calc!$A$2:$A$5251,0))</f>
        <v/>
      </c>
    </row>
    <row r="772" customFormat="false" ht="15" hidden="false" customHeight="false" outlineLevel="0" collapsed="false">
      <c r="A772" s="0" t="n">
        <v>771</v>
      </c>
      <c r="B772" s="0" t="str">
        <f aca="false">IFERROR(SMALL(Pipeline_Calc!$A$2:$A$5251,A772),"")</f>
        <v/>
      </c>
      <c r="C772" s="0" t="str">
        <f aca="false">IF(B772="","",MATCH(B772,Pipeline_Calc!$A$2:$A$5251,0))</f>
        <v/>
      </c>
    </row>
    <row r="773" customFormat="false" ht="15" hidden="false" customHeight="false" outlineLevel="0" collapsed="false">
      <c r="A773" s="0" t="n">
        <v>772</v>
      </c>
      <c r="B773" s="0" t="str">
        <f aca="false">IFERROR(SMALL(Pipeline_Calc!$A$2:$A$5251,A773),"")</f>
        <v/>
      </c>
      <c r="C773" s="0" t="str">
        <f aca="false">IF(B773="","",MATCH(B773,Pipeline_Calc!$A$2:$A$5251,0))</f>
        <v/>
      </c>
    </row>
    <row r="774" customFormat="false" ht="15" hidden="false" customHeight="false" outlineLevel="0" collapsed="false">
      <c r="A774" s="0" t="n">
        <v>773</v>
      </c>
      <c r="B774" s="0" t="str">
        <f aca="false">IFERROR(SMALL(Pipeline_Calc!$A$2:$A$5251,A774),"")</f>
        <v/>
      </c>
      <c r="C774" s="0" t="str">
        <f aca="false">IF(B774="","",MATCH(B774,Pipeline_Calc!$A$2:$A$5251,0))</f>
        <v/>
      </c>
    </row>
    <row r="775" customFormat="false" ht="15" hidden="false" customHeight="false" outlineLevel="0" collapsed="false">
      <c r="A775" s="0" t="n">
        <v>774</v>
      </c>
      <c r="B775" s="0" t="str">
        <f aca="false">IFERROR(SMALL(Pipeline_Calc!$A$2:$A$5251,A775),"")</f>
        <v/>
      </c>
      <c r="C775" s="0" t="str">
        <f aca="false">IF(B775="","",MATCH(B775,Pipeline_Calc!$A$2:$A$5251,0))</f>
        <v/>
      </c>
    </row>
    <row r="776" customFormat="false" ht="15" hidden="false" customHeight="false" outlineLevel="0" collapsed="false">
      <c r="A776" s="0" t="n">
        <v>775</v>
      </c>
      <c r="B776" s="0" t="str">
        <f aca="false">IFERROR(SMALL(Pipeline_Calc!$A$2:$A$5251,A776),"")</f>
        <v/>
      </c>
      <c r="C776" s="0" t="str">
        <f aca="false">IF(B776="","",MATCH(B776,Pipeline_Calc!$A$2:$A$5251,0))</f>
        <v/>
      </c>
    </row>
    <row r="777" customFormat="false" ht="15" hidden="false" customHeight="false" outlineLevel="0" collapsed="false">
      <c r="A777" s="0" t="n">
        <v>776</v>
      </c>
      <c r="B777" s="0" t="str">
        <f aca="false">IFERROR(SMALL(Pipeline_Calc!$A$2:$A$5251,A777),"")</f>
        <v/>
      </c>
      <c r="C777" s="0" t="str">
        <f aca="false">IF(B777="","",MATCH(B777,Pipeline_Calc!$A$2:$A$5251,0))</f>
        <v/>
      </c>
    </row>
    <row r="778" customFormat="false" ht="15" hidden="false" customHeight="false" outlineLevel="0" collapsed="false">
      <c r="A778" s="0" t="n">
        <v>777</v>
      </c>
      <c r="B778" s="0" t="str">
        <f aca="false">IFERROR(SMALL(Pipeline_Calc!$A$2:$A$5251,A778),"")</f>
        <v/>
      </c>
      <c r="C778" s="0" t="str">
        <f aca="false">IF(B778="","",MATCH(B778,Pipeline_Calc!$A$2:$A$5251,0))</f>
        <v/>
      </c>
    </row>
    <row r="779" customFormat="false" ht="15" hidden="false" customHeight="false" outlineLevel="0" collapsed="false">
      <c r="A779" s="0" t="n">
        <v>778</v>
      </c>
      <c r="B779" s="0" t="str">
        <f aca="false">IFERROR(SMALL(Pipeline_Calc!$A$2:$A$5251,A779),"")</f>
        <v/>
      </c>
      <c r="C779" s="0" t="str">
        <f aca="false">IF(B779="","",MATCH(B779,Pipeline_Calc!$A$2:$A$5251,0))</f>
        <v/>
      </c>
    </row>
    <row r="780" customFormat="false" ht="15" hidden="false" customHeight="false" outlineLevel="0" collapsed="false">
      <c r="A780" s="0" t="n">
        <v>779</v>
      </c>
      <c r="B780" s="0" t="str">
        <f aca="false">IFERROR(SMALL(Pipeline_Calc!$A$2:$A$5251,A780),"")</f>
        <v/>
      </c>
      <c r="C780" s="0" t="str">
        <f aca="false">IF(B780="","",MATCH(B780,Pipeline_Calc!$A$2:$A$5251,0))</f>
        <v/>
      </c>
    </row>
    <row r="781" customFormat="false" ht="15" hidden="false" customHeight="false" outlineLevel="0" collapsed="false">
      <c r="A781" s="0" t="n">
        <v>780</v>
      </c>
      <c r="B781" s="0" t="str">
        <f aca="false">IFERROR(SMALL(Pipeline_Calc!$A$2:$A$5251,A781),"")</f>
        <v/>
      </c>
      <c r="C781" s="0" t="str">
        <f aca="false">IF(B781="","",MATCH(B781,Pipeline_Calc!$A$2:$A$5251,0))</f>
        <v/>
      </c>
    </row>
    <row r="782" customFormat="false" ht="15" hidden="false" customHeight="false" outlineLevel="0" collapsed="false">
      <c r="A782" s="0" t="n">
        <v>781</v>
      </c>
      <c r="B782" s="0" t="str">
        <f aca="false">IFERROR(SMALL(Pipeline_Calc!$A$2:$A$5251,A782),"")</f>
        <v/>
      </c>
      <c r="C782" s="0" t="str">
        <f aca="false">IF(B782="","",MATCH(B782,Pipeline_Calc!$A$2:$A$5251,0))</f>
        <v/>
      </c>
    </row>
    <row r="783" customFormat="false" ht="15" hidden="false" customHeight="false" outlineLevel="0" collapsed="false">
      <c r="A783" s="0" t="n">
        <v>782</v>
      </c>
      <c r="B783" s="0" t="str">
        <f aca="false">IFERROR(SMALL(Pipeline_Calc!$A$2:$A$5251,A783),"")</f>
        <v/>
      </c>
      <c r="C783" s="0" t="str">
        <f aca="false">IF(B783="","",MATCH(B783,Pipeline_Calc!$A$2:$A$5251,0))</f>
        <v/>
      </c>
    </row>
    <row r="784" customFormat="false" ht="15" hidden="false" customHeight="false" outlineLevel="0" collapsed="false">
      <c r="A784" s="0" t="n">
        <v>783</v>
      </c>
      <c r="B784" s="0" t="str">
        <f aca="false">IFERROR(SMALL(Pipeline_Calc!$A$2:$A$5251,A784),"")</f>
        <v/>
      </c>
      <c r="C784" s="0" t="str">
        <f aca="false">IF(B784="","",MATCH(B784,Pipeline_Calc!$A$2:$A$5251,0))</f>
        <v/>
      </c>
    </row>
    <row r="785" customFormat="false" ht="15" hidden="false" customHeight="false" outlineLevel="0" collapsed="false">
      <c r="A785" s="0" t="n">
        <v>784</v>
      </c>
      <c r="B785" s="0" t="str">
        <f aca="false">IFERROR(SMALL(Pipeline_Calc!$A$2:$A$5251,A785),"")</f>
        <v/>
      </c>
      <c r="C785" s="0" t="str">
        <f aca="false">IF(B785="","",MATCH(B785,Pipeline_Calc!$A$2:$A$5251,0))</f>
        <v/>
      </c>
    </row>
    <row r="786" customFormat="false" ht="15" hidden="false" customHeight="false" outlineLevel="0" collapsed="false">
      <c r="A786" s="0" t="n">
        <v>785</v>
      </c>
      <c r="B786" s="0" t="str">
        <f aca="false">IFERROR(SMALL(Pipeline_Calc!$A$2:$A$5251,A786),"")</f>
        <v/>
      </c>
      <c r="C786" s="0" t="str">
        <f aca="false">IF(B786="","",MATCH(B786,Pipeline_Calc!$A$2:$A$5251,0))</f>
        <v/>
      </c>
    </row>
    <row r="787" customFormat="false" ht="15" hidden="false" customHeight="false" outlineLevel="0" collapsed="false">
      <c r="A787" s="0" t="n">
        <v>786</v>
      </c>
      <c r="B787" s="0" t="str">
        <f aca="false">IFERROR(SMALL(Pipeline_Calc!$A$2:$A$5251,A787),"")</f>
        <v/>
      </c>
      <c r="C787" s="0" t="str">
        <f aca="false">IF(B787="","",MATCH(B787,Pipeline_Calc!$A$2:$A$5251,0))</f>
        <v/>
      </c>
    </row>
    <row r="788" customFormat="false" ht="15" hidden="false" customHeight="false" outlineLevel="0" collapsed="false">
      <c r="A788" s="0" t="n">
        <v>787</v>
      </c>
      <c r="B788" s="0" t="str">
        <f aca="false">IFERROR(SMALL(Pipeline_Calc!$A$2:$A$5251,A788),"")</f>
        <v/>
      </c>
      <c r="C788" s="0" t="str">
        <f aca="false">IF(B788="","",MATCH(B788,Pipeline_Calc!$A$2:$A$5251,0))</f>
        <v/>
      </c>
    </row>
    <row r="789" customFormat="false" ht="15" hidden="false" customHeight="false" outlineLevel="0" collapsed="false">
      <c r="A789" s="0" t="n">
        <v>788</v>
      </c>
      <c r="B789" s="0" t="str">
        <f aca="false">IFERROR(SMALL(Pipeline_Calc!$A$2:$A$5251,A789),"")</f>
        <v/>
      </c>
      <c r="C789" s="0" t="str">
        <f aca="false">IF(B789="","",MATCH(B789,Pipeline_Calc!$A$2:$A$5251,0))</f>
        <v/>
      </c>
    </row>
    <row r="790" customFormat="false" ht="15" hidden="false" customHeight="false" outlineLevel="0" collapsed="false">
      <c r="A790" s="0" t="n">
        <v>789</v>
      </c>
      <c r="B790" s="0" t="str">
        <f aca="false">IFERROR(SMALL(Pipeline_Calc!$A$2:$A$5251,A790),"")</f>
        <v/>
      </c>
      <c r="C790" s="0" t="str">
        <f aca="false">IF(B790="","",MATCH(B790,Pipeline_Calc!$A$2:$A$5251,0))</f>
        <v/>
      </c>
    </row>
    <row r="791" customFormat="false" ht="15" hidden="false" customHeight="false" outlineLevel="0" collapsed="false">
      <c r="A791" s="0" t="n">
        <v>790</v>
      </c>
      <c r="B791" s="0" t="str">
        <f aca="false">IFERROR(SMALL(Pipeline_Calc!$A$2:$A$5251,A791),"")</f>
        <v/>
      </c>
      <c r="C791" s="0" t="str">
        <f aca="false">IF(B791="","",MATCH(B791,Pipeline_Calc!$A$2:$A$5251,0))</f>
        <v/>
      </c>
    </row>
    <row r="792" customFormat="false" ht="15" hidden="false" customHeight="false" outlineLevel="0" collapsed="false">
      <c r="A792" s="0" t="n">
        <v>791</v>
      </c>
      <c r="B792" s="0" t="str">
        <f aca="false">IFERROR(SMALL(Pipeline_Calc!$A$2:$A$5251,A792),"")</f>
        <v/>
      </c>
      <c r="C792" s="0" t="str">
        <f aca="false">IF(B792="","",MATCH(B792,Pipeline_Calc!$A$2:$A$5251,0))</f>
        <v/>
      </c>
    </row>
    <row r="793" customFormat="false" ht="15" hidden="false" customHeight="false" outlineLevel="0" collapsed="false">
      <c r="A793" s="0" t="n">
        <v>792</v>
      </c>
      <c r="B793" s="0" t="str">
        <f aca="false">IFERROR(SMALL(Pipeline_Calc!$A$2:$A$5251,A793),"")</f>
        <v/>
      </c>
      <c r="C793" s="0" t="str">
        <f aca="false">IF(B793="","",MATCH(B793,Pipeline_Calc!$A$2:$A$5251,0))</f>
        <v/>
      </c>
    </row>
    <row r="794" customFormat="false" ht="15" hidden="false" customHeight="false" outlineLevel="0" collapsed="false">
      <c r="A794" s="0" t="n">
        <v>793</v>
      </c>
      <c r="B794" s="0" t="str">
        <f aca="false">IFERROR(SMALL(Pipeline_Calc!$A$2:$A$5251,A794),"")</f>
        <v/>
      </c>
      <c r="C794" s="0" t="str">
        <f aca="false">IF(B794="","",MATCH(B794,Pipeline_Calc!$A$2:$A$5251,0))</f>
        <v/>
      </c>
    </row>
    <row r="795" customFormat="false" ht="15" hidden="false" customHeight="false" outlineLevel="0" collapsed="false">
      <c r="A795" s="0" t="n">
        <v>794</v>
      </c>
      <c r="B795" s="0" t="str">
        <f aca="false">IFERROR(SMALL(Pipeline_Calc!$A$2:$A$5251,A795),"")</f>
        <v/>
      </c>
      <c r="C795" s="0" t="str">
        <f aca="false">IF(B795="","",MATCH(B795,Pipeline_Calc!$A$2:$A$5251,0))</f>
        <v/>
      </c>
    </row>
    <row r="796" customFormat="false" ht="15" hidden="false" customHeight="false" outlineLevel="0" collapsed="false">
      <c r="A796" s="0" t="n">
        <v>795</v>
      </c>
      <c r="B796" s="0" t="str">
        <f aca="false">IFERROR(SMALL(Pipeline_Calc!$A$2:$A$5251,A796),"")</f>
        <v/>
      </c>
      <c r="C796" s="0" t="str">
        <f aca="false">IF(B796="","",MATCH(B796,Pipeline_Calc!$A$2:$A$5251,0))</f>
        <v/>
      </c>
    </row>
    <row r="797" customFormat="false" ht="15" hidden="false" customHeight="false" outlineLevel="0" collapsed="false">
      <c r="A797" s="0" t="n">
        <v>796</v>
      </c>
      <c r="B797" s="0" t="str">
        <f aca="false">IFERROR(SMALL(Pipeline_Calc!$A$2:$A$5251,A797),"")</f>
        <v/>
      </c>
      <c r="C797" s="0" t="str">
        <f aca="false">IF(B797="","",MATCH(B797,Pipeline_Calc!$A$2:$A$5251,0))</f>
        <v/>
      </c>
    </row>
    <row r="798" customFormat="false" ht="15" hidden="false" customHeight="false" outlineLevel="0" collapsed="false">
      <c r="A798" s="0" t="n">
        <v>797</v>
      </c>
      <c r="B798" s="0" t="str">
        <f aca="false">IFERROR(SMALL(Pipeline_Calc!$A$2:$A$5251,A798),"")</f>
        <v/>
      </c>
      <c r="C798" s="0" t="str">
        <f aca="false">IF(B798="","",MATCH(B798,Pipeline_Calc!$A$2:$A$5251,0))</f>
        <v/>
      </c>
    </row>
    <row r="799" customFormat="false" ht="15" hidden="false" customHeight="false" outlineLevel="0" collapsed="false">
      <c r="A799" s="0" t="n">
        <v>798</v>
      </c>
      <c r="B799" s="0" t="str">
        <f aca="false">IFERROR(SMALL(Pipeline_Calc!$A$2:$A$5251,A799),"")</f>
        <v/>
      </c>
      <c r="C799" s="0" t="str">
        <f aca="false">IF(B799="","",MATCH(B799,Pipeline_Calc!$A$2:$A$5251,0))</f>
        <v/>
      </c>
    </row>
    <row r="800" customFormat="false" ht="15" hidden="false" customHeight="false" outlineLevel="0" collapsed="false">
      <c r="A800" s="0" t="n">
        <v>799</v>
      </c>
      <c r="B800" s="0" t="str">
        <f aca="false">IFERROR(SMALL(Pipeline_Calc!$A$2:$A$5251,A800),"")</f>
        <v/>
      </c>
      <c r="C800" s="0" t="str">
        <f aca="false">IF(B800="","",MATCH(B800,Pipeline_Calc!$A$2:$A$5251,0))</f>
        <v/>
      </c>
    </row>
    <row r="801" customFormat="false" ht="15" hidden="false" customHeight="false" outlineLevel="0" collapsed="false">
      <c r="A801" s="0" t="n">
        <v>800</v>
      </c>
      <c r="B801" s="0" t="str">
        <f aca="false">IFERROR(SMALL(Pipeline_Calc!$A$2:$A$5251,A801),"")</f>
        <v/>
      </c>
      <c r="C801" s="0" t="str">
        <f aca="false">IF(B801="","",MATCH(B801,Pipeline_Calc!$A$2:$A$5251,0))</f>
        <v/>
      </c>
    </row>
    <row r="802" customFormat="false" ht="15" hidden="false" customHeight="false" outlineLevel="0" collapsed="false">
      <c r="A802" s="0" t="n">
        <v>801</v>
      </c>
      <c r="B802" s="0" t="str">
        <f aca="false">IFERROR(SMALL(Pipeline_Calc!$A$2:$A$5251,A802),"")</f>
        <v/>
      </c>
      <c r="C802" s="0" t="str">
        <f aca="false">IF(B802="","",MATCH(B802,Pipeline_Calc!$A$2:$A$5251,0))</f>
        <v/>
      </c>
    </row>
    <row r="803" customFormat="false" ht="15" hidden="false" customHeight="false" outlineLevel="0" collapsed="false">
      <c r="A803" s="0" t="n">
        <v>802</v>
      </c>
      <c r="B803" s="0" t="str">
        <f aca="false">IFERROR(SMALL(Pipeline_Calc!$A$2:$A$5251,A803),"")</f>
        <v/>
      </c>
      <c r="C803" s="0" t="str">
        <f aca="false">IF(B803="","",MATCH(B803,Pipeline_Calc!$A$2:$A$5251,0))</f>
        <v/>
      </c>
    </row>
    <row r="804" customFormat="false" ht="15" hidden="false" customHeight="false" outlineLevel="0" collapsed="false">
      <c r="A804" s="0" t="n">
        <v>803</v>
      </c>
      <c r="B804" s="0" t="str">
        <f aca="false">IFERROR(SMALL(Pipeline_Calc!$A$2:$A$5251,A804),"")</f>
        <v/>
      </c>
      <c r="C804" s="0" t="str">
        <f aca="false">IF(B804="","",MATCH(B804,Pipeline_Calc!$A$2:$A$5251,0))</f>
        <v/>
      </c>
    </row>
    <row r="805" customFormat="false" ht="15" hidden="false" customHeight="false" outlineLevel="0" collapsed="false">
      <c r="A805" s="0" t="n">
        <v>804</v>
      </c>
      <c r="B805" s="0" t="str">
        <f aca="false">IFERROR(SMALL(Pipeline_Calc!$A$2:$A$5251,A805),"")</f>
        <v/>
      </c>
      <c r="C805" s="0" t="str">
        <f aca="false">IF(B805="","",MATCH(B805,Pipeline_Calc!$A$2:$A$5251,0))</f>
        <v/>
      </c>
    </row>
    <row r="806" customFormat="false" ht="15" hidden="false" customHeight="false" outlineLevel="0" collapsed="false">
      <c r="A806" s="0" t="n">
        <v>805</v>
      </c>
      <c r="B806" s="0" t="str">
        <f aca="false">IFERROR(SMALL(Pipeline_Calc!$A$2:$A$5251,A806),"")</f>
        <v/>
      </c>
      <c r="C806" s="0" t="str">
        <f aca="false">IF(B806="","",MATCH(B806,Pipeline_Calc!$A$2:$A$5251,0))</f>
        <v/>
      </c>
    </row>
    <row r="807" customFormat="false" ht="15" hidden="false" customHeight="false" outlineLevel="0" collapsed="false">
      <c r="A807" s="0" t="n">
        <v>806</v>
      </c>
      <c r="B807" s="0" t="str">
        <f aca="false">IFERROR(SMALL(Pipeline_Calc!$A$2:$A$5251,A807),"")</f>
        <v/>
      </c>
      <c r="C807" s="0" t="str">
        <f aca="false">IF(B807="","",MATCH(B807,Pipeline_Calc!$A$2:$A$5251,0))</f>
        <v/>
      </c>
    </row>
    <row r="808" customFormat="false" ht="15" hidden="false" customHeight="false" outlineLevel="0" collapsed="false">
      <c r="A808" s="0" t="n">
        <v>807</v>
      </c>
      <c r="B808" s="0" t="str">
        <f aca="false">IFERROR(SMALL(Pipeline_Calc!$A$2:$A$5251,A808),"")</f>
        <v/>
      </c>
      <c r="C808" s="0" t="str">
        <f aca="false">IF(B808="","",MATCH(B808,Pipeline_Calc!$A$2:$A$5251,0))</f>
        <v/>
      </c>
    </row>
    <row r="809" customFormat="false" ht="15" hidden="false" customHeight="false" outlineLevel="0" collapsed="false">
      <c r="A809" s="0" t="n">
        <v>808</v>
      </c>
      <c r="B809" s="0" t="str">
        <f aca="false">IFERROR(SMALL(Pipeline_Calc!$A$2:$A$5251,A809),"")</f>
        <v/>
      </c>
      <c r="C809" s="0" t="str">
        <f aca="false">IF(B809="","",MATCH(B809,Pipeline_Calc!$A$2:$A$5251,0))</f>
        <v/>
      </c>
    </row>
    <row r="810" customFormat="false" ht="15" hidden="false" customHeight="false" outlineLevel="0" collapsed="false">
      <c r="A810" s="0" t="n">
        <v>809</v>
      </c>
      <c r="B810" s="0" t="str">
        <f aca="false">IFERROR(SMALL(Pipeline_Calc!$A$2:$A$5251,A810),"")</f>
        <v/>
      </c>
      <c r="C810" s="0" t="str">
        <f aca="false">IF(B810="","",MATCH(B810,Pipeline_Calc!$A$2:$A$5251,0))</f>
        <v/>
      </c>
    </row>
    <row r="811" customFormat="false" ht="15" hidden="false" customHeight="false" outlineLevel="0" collapsed="false">
      <c r="A811" s="0" t="n">
        <v>810</v>
      </c>
      <c r="B811" s="0" t="str">
        <f aca="false">IFERROR(SMALL(Pipeline_Calc!$A$2:$A$5251,A811),"")</f>
        <v/>
      </c>
      <c r="C811" s="0" t="str">
        <f aca="false">IF(B811="","",MATCH(B811,Pipeline_Calc!$A$2:$A$5251,0))</f>
        <v/>
      </c>
    </row>
    <row r="812" customFormat="false" ht="15" hidden="false" customHeight="false" outlineLevel="0" collapsed="false">
      <c r="A812" s="0" t="n">
        <v>811</v>
      </c>
      <c r="B812" s="0" t="str">
        <f aca="false">IFERROR(SMALL(Pipeline_Calc!$A$2:$A$5251,A812),"")</f>
        <v/>
      </c>
      <c r="C812" s="0" t="str">
        <f aca="false">IF(B812="","",MATCH(B812,Pipeline_Calc!$A$2:$A$5251,0))</f>
        <v/>
      </c>
    </row>
    <row r="813" customFormat="false" ht="15" hidden="false" customHeight="false" outlineLevel="0" collapsed="false">
      <c r="A813" s="0" t="n">
        <v>812</v>
      </c>
      <c r="B813" s="0" t="str">
        <f aca="false">IFERROR(SMALL(Pipeline_Calc!$A$2:$A$5251,A813),"")</f>
        <v/>
      </c>
      <c r="C813" s="0" t="str">
        <f aca="false">IF(B813="","",MATCH(B813,Pipeline_Calc!$A$2:$A$5251,0))</f>
        <v/>
      </c>
    </row>
    <row r="814" customFormat="false" ht="15" hidden="false" customHeight="false" outlineLevel="0" collapsed="false">
      <c r="A814" s="0" t="n">
        <v>813</v>
      </c>
      <c r="B814" s="0" t="str">
        <f aca="false">IFERROR(SMALL(Pipeline_Calc!$A$2:$A$5251,A814),"")</f>
        <v/>
      </c>
      <c r="C814" s="0" t="str">
        <f aca="false">IF(B814="","",MATCH(B814,Pipeline_Calc!$A$2:$A$5251,0))</f>
        <v/>
      </c>
    </row>
    <row r="815" customFormat="false" ht="15" hidden="false" customHeight="false" outlineLevel="0" collapsed="false">
      <c r="A815" s="0" t="n">
        <v>814</v>
      </c>
      <c r="B815" s="0" t="str">
        <f aca="false">IFERROR(SMALL(Pipeline_Calc!$A$2:$A$5251,A815),"")</f>
        <v/>
      </c>
      <c r="C815" s="0" t="str">
        <f aca="false">IF(B815="","",MATCH(B815,Pipeline_Calc!$A$2:$A$5251,0))</f>
        <v/>
      </c>
    </row>
    <row r="816" customFormat="false" ht="15" hidden="false" customHeight="false" outlineLevel="0" collapsed="false">
      <c r="A816" s="0" t="n">
        <v>815</v>
      </c>
      <c r="B816" s="0" t="str">
        <f aca="false">IFERROR(SMALL(Pipeline_Calc!$A$2:$A$5251,A816),"")</f>
        <v/>
      </c>
      <c r="C816" s="0" t="str">
        <f aca="false">IF(B816="","",MATCH(B816,Pipeline_Calc!$A$2:$A$5251,0))</f>
        <v/>
      </c>
    </row>
    <row r="817" customFormat="false" ht="15" hidden="false" customHeight="false" outlineLevel="0" collapsed="false">
      <c r="A817" s="0" t="n">
        <v>816</v>
      </c>
      <c r="B817" s="0" t="str">
        <f aca="false">IFERROR(SMALL(Pipeline_Calc!$A$2:$A$5251,A817),"")</f>
        <v/>
      </c>
      <c r="C817" s="0" t="str">
        <f aca="false">IF(B817="","",MATCH(B817,Pipeline_Calc!$A$2:$A$5251,0))</f>
        <v/>
      </c>
    </row>
    <row r="818" customFormat="false" ht="15" hidden="false" customHeight="false" outlineLevel="0" collapsed="false">
      <c r="A818" s="0" t="n">
        <v>817</v>
      </c>
      <c r="B818" s="0" t="str">
        <f aca="false">IFERROR(SMALL(Pipeline_Calc!$A$2:$A$5251,A818),"")</f>
        <v/>
      </c>
      <c r="C818" s="0" t="str">
        <f aca="false">IF(B818="","",MATCH(B818,Pipeline_Calc!$A$2:$A$5251,0))</f>
        <v/>
      </c>
    </row>
    <row r="819" customFormat="false" ht="15" hidden="false" customHeight="false" outlineLevel="0" collapsed="false">
      <c r="A819" s="0" t="n">
        <v>818</v>
      </c>
      <c r="B819" s="0" t="str">
        <f aca="false">IFERROR(SMALL(Pipeline_Calc!$A$2:$A$5251,A819),"")</f>
        <v/>
      </c>
      <c r="C819" s="0" t="str">
        <f aca="false">IF(B819="","",MATCH(B819,Pipeline_Calc!$A$2:$A$5251,0))</f>
        <v/>
      </c>
    </row>
    <row r="820" customFormat="false" ht="15" hidden="false" customHeight="false" outlineLevel="0" collapsed="false">
      <c r="A820" s="0" t="n">
        <v>819</v>
      </c>
      <c r="B820" s="0" t="str">
        <f aca="false">IFERROR(SMALL(Pipeline_Calc!$A$2:$A$5251,A820),"")</f>
        <v/>
      </c>
      <c r="C820" s="0" t="str">
        <f aca="false">IF(B820="","",MATCH(B820,Pipeline_Calc!$A$2:$A$5251,0))</f>
        <v/>
      </c>
    </row>
    <row r="821" customFormat="false" ht="15" hidden="false" customHeight="false" outlineLevel="0" collapsed="false">
      <c r="A821" s="0" t="n">
        <v>820</v>
      </c>
      <c r="B821" s="0" t="str">
        <f aca="false">IFERROR(SMALL(Pipeline_Calc!$A$2:$A$5251,A821),"")</f>
        <v/>
      </c>
      <c r="C821" s="0" t="str">
        <f aca="false">IF(B821="","",MATCH(B821,Pipeline_Calc!$A$2:$A$5251,0))</f>
        <v/>
      </c>
    </row>
    <row r="822" customFormat="false" ht="15" hidden="false" customHeight="false" outlineLevel="0" collapsed="false">
      <c r="A822" s="0" t="n">
        <v>821</v>
      </c>
      <c r="B822" s="0" t="str">
        <f aca="false">IFERROR(SMALL(Pipeline_Calc!$A$2:$A$5251,A822),"")</f>
        <v/>
      </c>
      <c r="C822" s="0" t="str">
        <f aca="false">IF(B822="","",MATCH(B822,Pipeline_Calc!$A$2:$A$5251,0))</f>
        <v/>
      </c>
    </row>
    <row r="823" customFormat="false" ht="15" hidden="false" customHeight="false" outlineLevel="0" collapsed="false">
      <c r="A823" s="0" t="n">
        <v>822</v>
      </c>
      <c r="B823" s="0" t="str">
        <f aca="false">IFERROR(SMALL(Pipeline_Calc!$A$2:$A$5251,A823),"")</f>
        <v/>
      </c>
      <c r="C823" s="0" t="str">
        <f aca="false">IF(B823="","",MATCH(B823,Pipeline_Calc!$A$2:$A$5251,0))</f>
        <v/>
      </c>
    </row>
    <row r="824" customFormat="false" ht="15" hidden="false" customHeight="false" outlineLevel="0" collapsed="false">
      <c r="A824" s="0" t="n">
        <v>823</v>
      </c>
      <c r="B824" s="0" t="str">
        <f aca="false">IFERROR(SMALL(Pipeline_Calc!$A$2:$A$5251,A824),"")</f>
        <v/>
      </c>
      <c r="C824" s="0" t="str">
        <f aca="false">IF(B824="","",MATCH(B824,Pipeline_Calc!$A$2:$A$5251,0))</f>
        <v/>
      </c>
    </row>
    <row r="825" customFormat="false" ht="15" hidden="false" customHeight="false" outlineLevel="0" collapsed="false">
      <c r="A825" s="0" t="n">
        <v>824</v>
      </c>
      <c r="B825" s="0" t="str">
        <f aca="false">IFERROR(SMALL(Pipeline_Calc!$A$2:$A$5251,A825),"")</f>
        <v/>
      </c>
      <c r="C825" s="0" t="str">
        <f aca="false">IF(B825="","",MATCH(B825,Pipeline_Calc!$A$2:$A$5251,0))</f>
        <v/>
      </c>
    </row>
    <row r="826" customFormat="false" ht="15" hidden="false" customHeight="false" outlineLevel="0" collapsed="false">
      <c r="A826" s="0" t="n">
        <v>825</v>
      </c>
      <c r="B826" s="0" t="str">
        <f aca="false">IFERROR(SMALL(Pipeline_Calc!$A$2:$A$5251,A826),"")</f>
        <v/>
      </c>
      <c r="C826" s="0" t="str">
        <f aca="false">IF(B826="","",MATCH(B826,Pipeline_Calc!$A$2:$A$5251,0))</f>
        <v/>
      </c>
    </row>
    <row r="827" customFormat="false" ht="15" hidden="false" customHeight="false" outlineLevel="0" collapsed="false">
      <c r="A827" s="0" t="n">
        <v>826</v>
      </c>
      <c r="B827" s="0" t="str">
        <f aca="false">IFERROR(SMALL(Pipeline_Calc!$A$2:$A$5251,A827),"")</f>
        <v/>
      </c>
      <c r="C827" s="0" t="str">
        <f aca="false">IF(B827="","",MATCH(B827,Pipeline_Calc!$A$2:$A$5251,0))</f>
        <v/>
      </c>
    </row>
    <row r="828" customFormat="false" ht="15" hidden="false" customHeight="false" outlineLevel="0" collapsed="false">
      <c r="A828" s="0" t="n">
        <v>827</v>
      </c>
      <c r="B828" s="0" t="str">
        <f aca="false">IFERROR(SMALL(Pipeline_Calc!$A$2:$A$5251,A828),"")</f>
        <v/>
      </c>
      <c r="C828" s="0" t="str">
        <f aca="false">IF(B828="","",MATCH(B828,Pipeline_Calc!$A$2:$A$5251,0))</f>
        <v/>
      </c>
    </row>
    <row r="829" customFormat="false" ht="15" hidden="false" customHeight="false" outlineLevel="0" collapsed="false">
      <c r="A829" s="0" t="n">
        <v>828</v>
      </c>
      <c r="B829" s="0" t="str">
        <f aca="false">IFERROR(SMALL(Pipeline_Calc!$A$2:$A$5251,A829),"")</f>
        <v/>
      </c>
      <c r="C829" s="0" t="str">
        <f aca="false">IF(B829="","",MATCH(B829,Pipeline_Calc!$A$2:$A$5251,0))</f>
        <v/>
      </c>
    </row>
    <row r="830" customFormat="false" ht="15" hidden="false" customHeight="false" outlineLevel="0" collapsed="false">
      <c r="A830" s="0" t="n">
        <v>829</v>
      </c>
      <c r="B830" s="0" t="str">
        <f aca="false">IFERROR(SMALL(Pipeline_Calc!$A$2:$A$5251,A830),"")</f>
        <v/>
      </c>
      <c r="C830" s="0" t="str">
        <f aca="false">IF(B830="","",MATCH(B830,Pipeline_Calc!$A$2:$A$5251,0))</f>
        <v/>
      </c>
    </row>
    <row r="831" customFormat="false" ht="15" hidden="false" customHeight="false" outlineLevel="0" collapsed="false">
      <c r="A831" s="0" t="n">
        <v>830</v>
      </c>
      <c r="B831" s="0" t="str">
        <f aca="false">IFERROR(SMALL(Pipeline_Calc!$A$2:$A$5251,A831),"")</f>
        <v/>
      </c>
      <c r="C831" s="0" t="str">
        <f aca="false">IF(B831="","",MATCH(B831,Pipeline_Calc!$A$2:$A$5251,0))</f>
        <v/>
      </c>
    </row>
    <row r="832" customFormat="false" ht="15" hidden="false" customHeight="false" outlineLevel="0" collapsed="false">
      <c r="A832" s="0" t="n">
        <v>831</v>
      </c>
      <c r="B832" s="0" t="str">
        <f aca="false">IFERROR(SMALL(Pipeline_Calc!$A$2:$A$5251,A832),"")</f>
        <v/>
      </c>
      <c r="C832" s="0" t="str">
        <f aca="false">IF(B832="","",MATCH(B832,Pipeline_Calc!$A$2:$A$5251,0))</f>
        <v/>
      </c>
    </row>
    <row r="833" customFormat="false" ht="15" hidden="false" customHeight="false" outlineLevel="0" collapsed="false">
      <c r="A833" s="0" t="n">
        <v>832</v>
      </c>
      <c r="B833" s="0" t="str">
        <f aca="false">IFERROR(SMALL(Pipeline_Calc!$A$2:$A$5251,A833),"")</f>
        <v/>
      </c>
      <c r="C833" s="0" t="str">
        <f aca="false">IF(B833="","",MATCH(B833,Pipeline_Calc!$A$2:$A$5251,0))</f>
        <v/>
      </c>
    </row>
    <row r="834" customFormat="false" ht="15" hidden="false" customHeight="false" outlineLevel="0" collapsed="false">
      <c r="A834" s="0" t="n">
        <v>833</v>
      </c>
      <c r="B834" s="0" t="str">
        <f aca="false">IFERROR(SMALL(Pipeline_Calc!$A$2:$A$5251,A834),"")</f>
        <v/>
      </c>
      <c r="C834" s="0" t="str">
        <f aca="false">IF(B834="","",MATCH(B834,Pipeline_Calc!$A$2:$A$5251,0))</f>
        <v/>
      </c>
    </row>
    <row r="835" customFormat="false" ht="15" hidden="false" customHeight="false" outlineLevel="0" collapsed="false">
      <c r="A835" s="0" t="n">
        <v>834</v>
      </c>
      <c r="B835" s="0" t="str">
        <f aca="false">IFERROR(SMALL(Pipeline_Calc!$A$2:$A$5251,A835),"")</f>
        <v/>
      </c>
      <c r="C835" s="0" t="str">
        <f aca="false">IF(B835="","",MATCH(B835,Pipeline_Calc!$A$2:$A$5251,0))</f>
        <v/>
      </c>
    </row>
    <row r="836" customFormat="false" ht="15" hidden="false" customHeight="false" outlineLevel="0" collapsed="false">
      <c r="A836" s="0" t="n">
        <v>835</v>
      </c>
      <c r="B836" s="0" t="str">
        <f aca="false">IFERROR(SMALL(Pipeline_Calc!$A$2:$A$5251,A836),"")</f>
        <v/>
      </c>
      <c r="C836" s="0" t="str">
        <f aca="false">IF(B836="","",MATCH(B836,Pipeline_Calc!$A$2:$A$5251,0))</f>
        <v/>
      </c>
    </row>
    <row r="837" customFormat="false" ht="15" hidden="false" customHeight="false" outlineLevel="0" collapsed="false">
      <c r="A837" s="0" t="n">
        <v>836</v>
      </c>
      <c r="B837" s="0" t="str">
        <f aca="false">IFERROR(SMALL(Pipeline_Calc!$A$2:$A$5251,A837),"")</f>
        <v/>
      </c>
      <c r="C837" s="0" t="str">
        <f aca="false">IF(B837="","",MATCH(B837,Pipeline_Calc!$A$2:$A$5251,0))</f>
        <v/>
      </c>
    </row>
    <row r="838" customFormat="false" ht="15" hidden="false" customHeight="false" outlineLevel="0" collapsed="false">
      <c r="A838" s="0" t="n">
        <v>837</v>
      </c>
      <c r="B838" s="0" t="str">
        <f aca="false">IFERROR(SMALL(Pipeline_Calc!$A$2:$A$5251,A838),"")</f>
        <v/>
      </c>
      <c r="C838" s="0" t="str">
        <f aca="false">IF(B838="","",MATCH(B838,Pipeline_Calc!$A$2:$A$5251,0))</f>
        <v/>
      </c>
    </row>
    <row r="839" customFormat="false" ht="15" hidden="false" customHeight="false" outlineLevel="0" collapsed="false">
      <c r="A839" s="0" t="n">
        <v>838</v>
      </c>
      <c r="B839" s="0" t="str">
        <f aca="false">IFERROR(SMALL(Pipeline_Calc!$A$2:$A$5251,A839),"")</f>
        <v/>
      </c>
      <c r="C839" s="0" t="str">
        <f aca="false">IF(B839="","",MATCH(B839,Pipeline_Calc!$A$2:$A$5251,0))</f>
        <v/>
      </c>
    </row>
    <row r="840" customFormat="false" ht="15" hidden="false" customHeight="false" outlineLevel="0" collapsed="false">
      <c r="A840" s="0" t="n">
        <v>839</v>
      </c>
      <c r="B840" s="0" t="str">
        <f aca="false">IFERROR(SMALL(Pipeline_Calc!$A$2:$A$5251,A840),"")</f>
        <v/>
      </c>
      <c r="C840" s="0" t="str">
        <f aca="false">IF(B840="","",MATCH(B840,Pipeline_Calc!$A$2:$A$5251,0))</f>
        <v/>
      </c>
    </row>
    <row r="841" customFormat="false" ht="15" hidden="false" customHeight="false" outlineLevel="0" collapsed="false">
      <c r="A841" s="0" t="n">
        <v>840</v>
      </c>
      <c r="B841" s="0" t="str">
        <f aca="false">IFERROR(SMALL(Pipeline_Calc!$A$2:$A$5251,A841),"")</f>
        <v/>
      </c>
      <c r="C841" s="0" t="str">
        <f aca="false">IF(B841="","",MATCH(B841,Pipeline_Calc!$A$2:$A$5251,0))</f>
        <v/>
      </c>
    </row>
    <row r="842" customFormat="false" ht="15" hidden="false" customHeight="false" outlineLevel="0" collapsed="false">
      <c r="A842" s="0" t="n">
        <v>841</v>
      </c>
      <c r="B842" s="0" t="str">
        <f aca="false">IFERROR(SMALL(Pipeline_Calc!$A$2:$A$5251,A842),"")</f>
        <v/>
      </c>
      <c r="C842" s="0" t="str">
        <f aca="false">IF(B842="","",MATCH(B842,Pipeline_Calc!$A$2:$A$5251,0))</f>
        <v/>
      </c>
    </row>
    <row r="843" customFormat="false" ht="15" hidden="false" customHeight="false" outlineLevel="0" collapsed="false">
      <c r="A843" s="0" t="n">
        <v>842</v>
      </c>
      <c r="B843" s="0" t="str">
        <f aca="false">IFERROR(SMALL(Pipeline_Calc!$A$2:$A$5251,A843),"")</f>
        <v/>
      </c>
      <c r="C843" s="0" t="str">
        <f aca="false">IF(B843="","",MATCH(B843,Pipeline_Calc!$A$2:$A$5251,0))</f>
        <v/>
      </c>
    </row>
    <row r="844" customFormat="false" ht="15" hidden="false" customHeight="false" outlineLevel="0" collapsed="false">
      <c r="A844" s="0" t="n">
        <v>843</v>
      </c>
      <c r="B844" s="0" t="str">
        <f aca="false">IFERROR(SMALL(Pipeline_Calc!$A$2:$A$5251,A844),"")</f>
        <v/>
      </c>
      <c r="C844" s="0" t="str">
        <f aca="false">IF(B844="","",MATCH(B844,Pipeline_Calc!$A$2:$A$5251,0))</f>
        <v/>
      </c>
    </row>
    <row r="845" customFormat="false" ht="15" hidden="false" customHeight="false" outlineLevel="0" collapsed="false">
      <c r="A845" s="0" t="n">
        <v>844</v>
      </c>
      <c r="B845" s="0" t="str">
        <f aca="false">IFERROR(SMALL(Pipeline_Calc!$A$2:$A$5251,A845),"")</f>
        <v/>
      </c>
      <c r="C845" s="0" t="str">
        <f aca="false">IF(B845="","",MATCH(B845,Pipeline_Calc!$A$2:$A$5251,0))</f>
        <v/>
      </c>
    </row>
    <row r="846" customFormat="false" ht="15" hidden="false" customHeight="false" outlineLevel="0" collapsed="false">
      <c r="A846" s="0" t="n">
        <v>845</v>
      </c>
      <c r="B846" s="0" t="str">
        <f aca="false">IFERROR(SMALL(Pipeline_Calc!$A$2:$A$5251,A846),"")</f>
        <v/>
      </c>
      <c r="C846" s="0" t="str">
        <f aca="false">IF(B846="","",MATCH(B846,Pipeline_Calc!$A$2:$A$5251,0))</f>
        <v/>
      </c>
    </row>
    <row r="847" customFormat="false" ht="15" hidden="false" customHeight="false" outlineLevel="0" collapsed="false">
      <c r="A847" s="0" t="n">
        <v>846</v>
      </c>
      <c r="B847" s="0" t="str">
        <f aca="false">IFERROR(SMALL(Pipeline_Calc!$A$2:$A$5251,A847),"")</f>
        <v/>
      </c>
      <c r="C847" s="0" t="str">
        <f aca="false">IF(B847="","",MATCH(B847,Pipeline_Calc!$A$2:$A$5251,0))</f>
        <v/>
      </c>
    </row>
    <row r="848" customFormat="false" ht="15" hidden="false" customHeight="false" outlineLevel="0" collapsed="false">
      <c r="A848" s="0" t="n">
        <v>847</v>
      </c>
      <c r="B848" s="0" t="str">
        <f aca="false">IFERROR(SMALL(Pipeline_Calc!$A$2:$A$5251,A848),"")</f>
        <v/>
      </c>
      <c r="C848" s="0" t="str">
        <f aca="false">IF(B848="","",MATCH(B848,Pipeline_Calc!$A$2:$A$5251,0))</f>
        <v/>
      </c>
    </row>
    <row r="849" customFormat="false" ht="15" hidden="false" customHeight="false" outlineLevel="0" collapsed="false">
      <c r="A849" s="0" t="n">
        <v>848</v>
      </c>
      <c r="B849" s="0" t="str">
        <f aca="false">IFERROR(SMALL(Pipeline_Calc!$A$2:$A$5251,A849),"")</f>
        <v/>
      </c>
      <c r="C849" s="0" t="str">
        <f aca="false">IF(B849="","",MATCH(B849,Pipeline_Calc!$A$2:$A$5251,0))</f>
        <v/>
      </c>
    </row>
    <row r="850" customFormat="false" ht="15" hidden="false" customHeight="false" outlineLevel="0" collapsed="false">
      <c r="A850" s="0" t="n">
        <v>849</v>
      </c>
      <c r="B850" s="0" t="str">
        <f aca="false">IFERROR(SMALL(Pipeline_Calc!$A$2:$A$5251,A850),"")</f>
        <v/>
      </c>
      <c r="C850" s="0" t="str">
        <f aca="false">IF(B850="","",MATCH(B850,Pipeline_Calc!$A$2:$A$5251,0))</f>
        <v/>
      </c>
    </row>
    <row r="851" customFormat="false" ht="15" hidden="false" customHeight="false" outlineLevel="0" collapsed="false">
      <c r="A851" s="0" t="n">
        <v>850</v>
      </c>
      <c r="B851" s="0" t="str">
        <f aca="false">IFERROR(SMALL(Pipeline_Calc!$A$2:$A$5251,A851),"")</f>
        <v/>
      </c>
      <c r="C851" s="0" t="str">
        <f aca="false">IF(B851="","",MATCH(B851,Pipeline_Calc!$A$2:$A$5251,0))</f>
        <v/>
      </c>
    </row>
    <row r="852" customFormat="false" ht="15" hidden="false" customHeight="false" outlineLevel="0" collapsed="false">
      <c r="A852" s="0" t="n">
        <v>851</v>
      </c>
      <c r="B852" s="0" t="str">
        <f aca="false">IFERROR(SMALL(Pipeline_Calc!$A$2:$A$5251,A852),"")</f>
        <v/>
      </c>
      <c r="C852" s="0" t="str">
        <f aca="false">IF(B852="","",MATCH(B852,Pipeline_Calc!$A$2:$A$5251,0))</f>
        <v/>
      </c>
    </row>
    <row r="853" customFormat="false" ht="15" hidden="false" customHeight="false" outlineLevel="0" collapsed="false">
      <c r="A853" s="0" t="n">
        <v>852</v>
      </c>
      <c r="B853" s="0" t="str">
        <f aca="false">IFERROR(SMALL(Pipeline_Calc!$A$2:$A$5251,A853),"")</f>
        <v/>
      </c>
      <c r="C853" s="0" t="str">
        <f aca="false">IF(B853="","",MATCH(B853,Pipeline_Calc!$A$2:$A$5251,0))</f>
        <v/>
      </c>
    </row>
    <row r="854" customFormat="false" ht="15" hidden="false" customHeight="false" outlineLevel="0" collapsed="false">
      <c r="A854" s="0" t="n">
        <v>853</v>
      </c>
      <c r="B854" s="0" t="str">
        <f aca="false">IFERROR(SMALL(Pipeline_Calc!$A$2:$A$5251,A854),"")</f>
        <v/>
      </c>
      <c r="C854" s="0" t="str">
        <f aca="false">IF(B854="","",MATCH(B854,Pipeline_Calc!$A$2:$A$5251,0))</f>
        <v/>
      </c>
    </row>
    <row r="855" customFormat="false" ht="15" hidden="false" customHeight="false" outlineLevel="0" collapsed="false">
      <c r="A855" s="0" t="n">
        <v>854</v>
      </c>
      <c r="B855" s="0" t="str">
        <f aca="false">IFERROR(SMALL(Pipeline_Calc!$A$2:$A$5251,A855),"")</f>
        <v/>
      </c>
      <c r="C855" s="0" t="str">
        <f aca="false">IF(B855="","",MATCH(B855,Pipeline_Calc!$A$2:$A$5251,0))</f>
        <v/>
      </c>
    </row>
    <row r="856" customFormat="false" ht="15" hidden="false" customHeight="false" outlineLevel="0" collapsed="false">
      <c r="A856" s="0" t="n">
        <v>855</v>
      </c>
      <c r="B856" s="0" t="str">
        <f aca="false">IFERROR(SMALL(Pipeline_Calc!$A$2:$A$5251,A856),"")</f>
        <v/>
      </c>
      <c r="C856" s="0" t="str">
        <f aca="false">IF(B856="","",MATCH(B856,Pipeline_Calc!$A$2:$A$5251,0))</f>
        <v/>
      </c>
    </row>
    <row r="857" customFormat="false" ht="15" hidden="false" customHeight="false" outlineLevel="0" collapsed="false">
      <c r="A857" s="0" t="n">
        <v>856</v>
      </c>
      <c r="B857" s="0" t="str">
        <f aca="false">IFERROR(SMALL(Pipeline_Calc!$A$2:$A$5251,A857),"")</f>
        <v/>
      </c>
      <c r="C857" s="0" t="str">
        <f aca="false">IF(B857="","",MATCH(B857,Pipeline_Calc!$A$2:$A$5251,0))</f>
        <v/>
      </c>
    </row>
    <row r="858" customFormat="false" ht="15" hidden="false" customHeight="false" outlineLevel="0" collapsed="false">
      <c r="A858" s="0" t="n">
        <v>857</v>
      </c>
      <c r="B858" s="0" t="str">
        <f aca="false">IFERROR(SMALL(Pipeline_Calc!$A$2:$A$5251,A858),"")</f>
        <v/>
      </c>
      <c r="C858" s="0" t="str">
        <f aca="false">IF(B858="","",MATCH(B858,Pipeline_Calc!$A$2:$A$5251,0))</f>
        <v/>
      </c>
    </row>
    <row r="859" customFormat="false" ht="15" hidden="false" customHeight="false" outlineLevel="0" collapsed="false">
      <c r="A859" s="0" t="n">
        <v>858</v>
      </c>
      <c r="B859" s="0" t="str">
        <f aca="false">IFERROR(SMALL(Pipeline_Calc!$A$2:$A$5251,A859),"")</f>
        <v/>
      </c>
      <c r="C859" s="0" t="str">
        <f aca="false">IF(B859="","",MATCH(B859,Pipeline_Calc!$A$2:$A$5251,0))</f>
        <v/>
      </c>
    </row>
    <row r="860" customFormat="false" ht="15" hidden="false" customHeight="false" outlineLevel="0" collapsed="false">
      <c r="A860" s="0" t="n">
        <v>859</v>
      </c>
      <c r="B860" s="0" t="str">
        <f aca="false">IFERROR(SMALL(Pipeline_Calc!$A$2:$A$5251,A860),"")</f>
        <v/>
      </c>
      <c r="C860" s="0" t="str">
        <f aca="false">IF(B860="","",MATCH(B860,Pipeline_Calc!$A$2:$A$5251,0))</f>
        <v/>
      </c>
    </row>
    <row r="861" customFormat="false" ht="15" hidden="false" customHeight="false" outlineLevel="0" collapsed="false">
      <c r="A861" s="0" t="n">
        <v>860</v>
      </c>
      <c r="B861" s="0" t="str">
        <f aca="false">IFERROR(SMALL(Pipeline_Calc!$A$2:$A$5251,A861),"")</f>
        <v/>
      </c>
      <c r="C861" s="0" t="str">
        <f aca="false">IF(B861="","",MATCH(B861,Pipeline_Calc!$A$2:$A$5251,0))</f>
        <v/>
      </c>
    </row>
    <row r="862" customFormat="false" ht="15" hidden="false" customHeight="false" outlineLevel="0" collapsed="false">
      <c r="A862" s="0" t="n">
        <v>861</v>
      </c>
      <c r="B862" s="0" t="str">
        <f aca="false">IFERROR(SMALL(Pipeline_Calc!$A$2:$A$5251,A862),"")</f>
        <v/>
      </c>
      <c r="C862" s="0" t="str">
        <f aca="false">IF(B862="","",MATCH(B862,Pipeline_Calc!$A$2:$A$5251,0))</f>
        <v/>
      </c>
    </row>
    <row r="863" customFormat="false" ht="15" hidden="false" customHeight="false" outlineLevel="0" collapsed="false">
      <c r="A863" s="0" t="n">
        <v>862</v>
      </c>
      <c r="B863" s="0" t="str">
        <f aca="false">IFERROR(SMALL(Pipeline_Calc!$A$2:$A$5251,A863),"")</f>
        <v/>
      </c>
      <c r="C863" s="0" t="str">
        <f aca="false">IF(B863="","",MATCH(B863,Pipeline_Calc!$A$2:$A$5251,0))</f>
        <v/>
      </c>
    </row>
    <row r="864" customFormat="false" ht="15" hidden="false" customHeight="false" outlineLevel="0" collapsed="false">
      <c r="A864" s="0" t="n">
        <v>863</v>
      </c>
      <c r="B864" s="0" t="str">
        <f aca="false">IFERROR(SMALL(Pipeline_Calc!$A$2:$A$5251,A864),"")</f>
        <v/>
      </c>
      <c r="C864" s="0" t="str">
        <f aca="false">IF(B864="","",MATCH(B864,Pipeline_Calc!$A$2:$A$5251,0))</f>
        <v/>
      </c>
    </row>
    <row r="865" customFormat="false" ht="15" hidden="false" customHeight="false" outlineLevel="0" collapsed="false">
      <c r="A865" s="0" t="n">
        <v>864</v>
      </c>
      <c r="B865" s="0" t="str">
        <f aca="false">IFERROR(SMALL(Pipeline_Calc!$A$2:$A$5251,A865),"")</f>
        <v/>
      </c>
      <c r="C865" s="0" t="str">
        <f aca="false">IF(B865="","",MATCH(B865,Pipeline_Calc!$A$2:$A$5251,0))</f>
        <v/>
      </c>
    </row>
    <row r="866" customFormat="false" ht="15" hidden="false" customHeight="false" outlineLevel="0" collapsed="false">
      <c r="A866" s="0" t="n">
        <v>865</v>
      </c>
      <c r="B866" s="0" t="str">
        <f aca="false">IFERROR(SMALL(Pipeline_Calc!$A$2:$A$5251,A866),"")</f>
        <v/>
      </c>
      <c r="C866" s="0" t="str">
        <f aca="false">IF(B866="","",MATCH(B866,Pipeline_Calc!$A$2:$A$5251,0))</f>
        <v/>
      </c>
    </row>
    <row r="867" customFormat="false" ht="15" hidden="false" customHeight="false" outlineLevel="0" collapsed="false">
      <c r="A867" s="0" t="n">
        <v>866</v>
      </c>
      <c r="B867" s="0" t="str">
        <f aca="false">IFERROR(SMALL(Pipeline_Calc!$A$2:$A$5251,A867),"")</f>
        <v/>
      </c>
      <c r="C867" s="0" t="str">
        <f aca="false">IF(B867="","",MATCH(B867,Pipeline_Calc!$A$2:$A$5251,0))</f>
        <v/>
      </c>
    </row>
    <row r="868" customFormat="false" ht="15" hidden="false" customHeight="false" outlineLevel="0" collapsed="false">
      <c r="A868" s="0" t="n">
        <v>867</v>
      </c>
      <c r="B868" s="0" t="str">
        <f aca="false">IFERROR(SMALL(Pipeline_Calc!$A$2:$A$5251,A868),"")</f>
        <v/>
      </c>
      <c r="C868" s="0" t="str">
        <f aca="false">IF(B868="","",MATCH(B868,Pipeline_Calc!$A$2:$A$5251,0))</f>
        <v/>
      </c>
    </row>
    <row r="869" customFormat="false" ht="15" hidden="false" customHeight="false" outlineLevel="0" collapsed="false">
      <c r="A869" s="0" t="n">
        <v>868</v>
      </c>
      <c r="B869" s="0" t="str">
        <f aca="false">IFERROR(SMALL(Pipeline_Calc!$A$2:$A$5251,A869),"")</f>
        <v/>
      </c>
      <c r="C869" s="0" t="str">
        <f aca="false">IF(B869="","",MATCH(B869,Pipeline_Calc!$A$2:$A$5251,0))</f>
        <v/>
      </c>
    </row>
    <row r="870" customFormat="false" ht="15" hidden="false" customHeight="false" outlineLevel="0" collapsed="false">
      <c r="A870" s="0" t="n">
        <v>869</v>
      </c>
      <c r="B870" s="0" t="str">
        <f aca="false">IFERROR(SMALL(Pipeline_Calc!$A$2:$A$5251,A870),"")</f>
        <v/>
      </c>
      <c r="C870" s="0" t="str">
        <f aca="false">IF(B870="","",MATCH(B870,Pipeline_Calc!$A$2:$A$5251,0))</f>
        <v/>
      </c>
    </row>
    <row r="871" customFormat="false" ht="15" hidden="false" customHeight="false" outlineLevel="0" collapsed="false">
      <c r="A871" s="0" t="n">
        <v>870</v>
      </c>
      <c r="B871" s="0" t="str">
        <f aca="false">IFERROR(SMALL(Pipeline_Calc!$A$2:$A$5251,A871),"")</f>
        <v/>
      </c>
      <c r="C871" s="0" t="str">
        <f aca="false">IF(B871="","",MATCH(B871,Pipeline_Calc!$A$2:$A$5251,0))</f>
        <v/>
      </c>
    </row>
    <row r="872" customFormat="false" ht="15" hidden="false" customHeight="false" outlineLevel="0" collapsed="false">
      <c r="A872" s="0" t="n">
        <v>871</v>
      </c>
      <c r="B872" s="0" t="str">
        <f aca="false">IFERROR(SMALL(Pipeline_Calc!$A$2:$A$5251,A872),"")</f>
        <v/>
      </c>
      <c r="C872" s="0" t="str">
        <f aca="false">IF(B872="","",MATCH(B872,Pipeline_Calc!$A$2:$A$5251,0))</f>
        <v/>
      </c>
    </row>
    <row r="873" customFormat="false" ht="15" hidden="false" customHeight="false" outlineLevel="0" collapsed="false">
      <c r="A873" s="0" t="n">
        <v>872</v>
      </c>
      <c r="B873" s="0" t="str">
        <f aca="false">IFERROR(SMALL(Pipeline_Calc!$A$2:$A$5251,A873),"")</f>
        <v/>
      </c>
      <c r="C873" s="0" t="str">
        <f aca="false">IF(B873="","",MATCH(B873,Pipeline_Calc!$A$2:$A$5251,0))</f>
        <v/>
      </c>
    </row>
    <row r="874" customFormat="false" ht="15" hidden="false" customHeight="false" outlineLevel="0" collapsed="false">
      <c r="A874" s="0" t="n">
        <v>873</v>
      </c>
      <c r="B874" s="0" t="str">
        <f aca="false">IFERROR(SMALL(Pipeline_Calc!$A$2:$A$5251,A874),"")</f>
        <v/>
      </c>
      <c r="C874" s="0" t="str">
        <f aca="false">IF(B874="","",MATCH(B874,Pipeline_Calc!$A$2:$A$5251,0))</f>
        <v/>
      </c>
    </row>
    <row r="875" customFormat="false" ht="15" hidden="false" customHeight="false" outlineLevel="0" collapsed="false">
      <c r="A875" s="0" t="n">
        <v>874</v>
      </c>
      <c r="B875" s="0" t="str">
        <f aca="false">IFERROR(SMALL(Pipeline_Calc!$A$2:$A$5251,A875),"")</f>
        <v/>
      </c>
      <c r="C875" s="0" t="str">
        <f aca="false">IF(B875="","",MATCH(B875,Pipeline_Calc!$A$2:$A$5251,0))</f>
        <v/>
      </c>
    </row>
    <row r="876" customFormat="false" ht="15" hidden="false" customHeight="false" outlineLevel="0" collapsed="false">
      <c r="A876" s="0" t="n">
        <v>875</v>
      </c>
      <c r="B876" s="0" t="str">
        <f aca="false">IFERROR(SMALL(Pipeline_Calc!$A$2:$A$5251,A876),"")</f>
        <v/>
      </c>
      <c r="C876" s="0" t="str">
        <f aca="false">IF(B876="","",MATCH(B876,Pipeline_Calc!$A$2:$A$5251,0))</f>
        <v/>
      </c>
    </row>
    <row r="877" customFormat="false" ht="15" hidden="false" customHeight="false" outlineLevel="0" collapsed="false">
      <c r="A877" s="0" t="n">
        <v>876</v>
      </c>
      <c r="B877" s="0" t="str">
        <f aca="false">IFERROR(SMALL(Pipeline_Calc!$A$2:$A$5251,A877),"")</f>
        <v/>
      </c>
      <c r="C877" s="0" t="str">
        <f aca="false">IF(B877="","",MATCH(B877,Pipeline_Calc!$A$2:$A$5251,0))</f>
        <v/>
      </c>
    </row>
    <row r="878" customFormat="false" ht="15" hidden="false" customHeight="false" outlineLevel="0" collapsed="false">
      <c r="A878" s="0" t="n">
        <v>877</v>
      </c>
      <c r="B878" s="0" t="str">
        <f aca="false">IFERROR(SMALL(Pipeline_Calc!$A$2:$A$5251,A878),"")</f>
        <v/>
      </c>
      <c r="C878" s="0" t="str">
        <f aca="false">IF(B878="","",MATCH(B878,Pipeline_Calc!$A$2:$A$5251,0))</f>
        <v/>
      </c>
    </row>
    <row r="879" customFormat="false" ht="15" hidden="false" customHeight="false" outlineLevel="0" collapsed="false">
      <c r="A879" s="0" t="n">
        <v>878</v>
      </c>
      <c r="B879" s="0" t="str">
        <f aca="false">IFERROR(SMALL(Pipeline_Calc!$A$2:$A$5251,A879),"")</f>
        <v/>
      </c>
      <c r="C879" s="0" t="str">
        <f aca="false">IF(B879="","",MATCH(B879,Pipeline_Calc!$A$2:$A$5251,0))</f>
        <v/>
      </c>
    </row>
    <row r="880" customFormat="false" ht="15" hidden="false" customHeight="false" outlineLevel="0" collapsed="false">
      <c r="A880" s="0" t="n">
        <v>879</v>
      </c>
      <c r="B880" s="0" t="str">
        <f aca="false">IFERROR(SMALL(Pipeline_Calc!$A$2:$A$5251,A880),"")</f>
        <v/>
      </c>
      <c r="C880" s="0" t="str">
        <f aca="false">IF(B880="","",MATCH(B880,Pipeline_Calc!$A$2:$A$5251,0))</f>
        <v/>
      </c>
    </row>
    <row r="881" customFormat="false" ht="15" hidden="false" customHeight="false" outlineLevel="0" collapsed="false">
      <c r="A881" s="0" t="n">
        <v>880</v>
      </c>
      <c r="B881" s="0" t="str">
        <f aca="false">IFERROR(SMALL(Pipeline_Calc!$A$2:$A$5251,A881),"")</f>
        <v/>
      </c>
      <c r="C881" s="0" t="str">
        <f aca="false">IF(B881="","",MATCH(B881,Pipeline_Calc!$A$2:$A$5251,0))</f>
        <v/>
      </c>
    </row>
    <row r="882" customFormat="false" ht="15" hidden="false" customHeight="false" outlineLevel="0" collapsed="false">
      <c r="A882" s="0" t="n">
        <v>881</v>
      </c>
      <c r="B882" s="0" t="str">
        <f aca="false">IFERROR(SMALL(Pipeline_Calc!$A$2:$A$5251,A882),"")</f>
        <v/>
      </c>
      <c r="C882" s="0" t="str">
        <f aca="false">IF(B882="","",MATCH(B882,Pipeline_Calc!$A$2:$A$5251,0))</f>
        <v/>
      </c>
    </row>
    <row r="883" customFormat="false" ht="15" hidden="false" customHeight="false" outlineLevel="0" collapsed="false">
      <c r="A883" s="0" t="n">
        <v>882</v>
      </c>
      <c r="B883" s="0" t="str">
        <f aca="false">IFERROR(SMALL(Pipeline_Calc!$A$2:$A$5251,A883),"")</f>
        <v/>
      </c>
      <c r="C883" s="0" t="str">
        <f aca="false">IF(B883="","",MATCH(B883,Pipeline_Calc!$A$2:$A$5251,0))</f>
        <v/>
      </c>
    </row>
    <row r="884" customFormat="false" ht="15" hidden="false" customHeight="false" outlineLevel="0" collapsed="false">
      <c r="A884" s="0" t="n">
        <v>883</v>
      </c>
      <c r="B884" s="0" t="str">
        <f aca="false">IFERROR(SMALL(Pipeline_Calc!$A$2:$A$5251,A884),"")</f>
        <v/>
      </c>
      <c r="C884" s="0" t="str">
        <f aca="false">IF(B884="","",MATCH(B884,Pipeline_Calc!$A$2:$A$5251,0))</f>
        <v/>
      </c>
    </row>
    <row r="885" customFormat="false" ht="15" hidden="false" customHeight="false" outlineLevel="0" collapsed="false">
      <c r="A885" s="0" t="n">
        <v>884</v>
      </c>
      <c r="B885" s="0" t="str">
        <f aca="false">IFERROR(SMALL(Pipeline_Calc!$A$2:$A$5251,A885),"")</f>
        <v/>
      </c>
      <c r="C885" s="0" t="str">
        <f aca="false">IF(B885="","",MATCH(B885,Pipeline_Calc!$A$2:$A$5251,0))</f>
        <v/>
      </c>
    </row>
    <row r="886" customFormat="false" ht="15" hidden="false" customHeight="false" outlineLevel="0" collapsed="false">
      <c r="A886" s="0" t="n">
        <v>885</v>
      </c>
      <c r="B886" s="0" t="str">
        <f aca="false">IFERROR(SMALL(Pipeline_Calc!$A$2:$A$5251,A886),"")</f>
        <v/>
      </c>
      <c r="C886" s="0" t="str">
        <f aca="false">IF(B886="","",MATCH(B886,Pipeline_Calc!$A$2:$A$5251,0))</f>
        <v/>
      </c>
    </row>
    <row r="887" customFormat="false" ht="15" hidden="false" customHeight="false" outlineLevel="0" collapsed="false">
      <c r="A887" s="0" t="n">
        <v>886</v>
      </c>
      <c r="B887" s="0" t="str">
        <f aca="false">IFERROR(SMALL(Pipeline_Calc!$A$2:$A$5251,A887),"")</f>
        <v/>
      </c>
      <c r="C887" s="0" t="str">
        <f aca="false">IF(B887="","",MATCH(B887,Pipeline_Calc!$A$2:$A$5251,0))</f>
        <v/>
      </c>
    </row>
    <row r="888" customFormat="false" ht="15" hidden="false" customHeight="false" outlineLevel="0" collapsed="false">
      <c r="A888" s="0" t="n">
        <v>887</v>
      </c>
      <c r="B888" s="0" t="str">
        <f aca="false">IFERROR(SMALL(Pipeline_Calc!$A$2:$A$5251,A888),"")</f>
        <v/>
      </c>
      <c r="C888" s="0" t="str">
        <f aca="false">IF(B888="","",MATCH(B888,Pipeline_Calc!$A$2:$A$5251,0))</f>
        <v/>
      </c>
    </row>
    <row r="889" customFormat="false" ht="15" hidden="false" customHeight="false" outlineLevel="0" collapsed="false">
      <c r="A889" s="0" t="n">
        <v>888</v>
      </c>
      <c r="B889" s="0" t="str">
        <f aca="false">IFERROR(SMALL(Pipeline_Calc!$A$2:$A$5251,A889),"")</f>
        <v/>
      </c>
      <c r="C889" s="0" t="str">
        <f aca="false">IF(B889="","",MATCH(B889,Pipeline_Calc!$A$2:$A$5251,0))</f>
        <v/>
      </c>
    </row>
    <row r="890" customFormat="false" ht="15" hidden="false" customHeight="false" outlineLevel="0" collapsed="false">
      <c r="A890" s="0" t="n">
        <v>889</v>
      </c>
      <c r="B890" s="0" t="str">
        <f aca="false">IFERROR(SMALL(Pipeline_Calc!$A$2:$A$5251,A890),"")</f>
        <v/>
      </c>
      <c r="C890" s="0" t="str">
        <f aca="false">IF(B890="","",MATCH(B890,Pipeline_Calc!$A$2:$A$5251,0))</f>
        <v/>
      </c>
    </row>
    <row r="891" customFormat="false" ht="15" hidden="false" customHeight="false" outlineLevel="0" collapsed="false">
      <c r="A891" s="0" t="n">
        <v>890</v>
      </c>
      <c r="B891" s="0" t="str">
        <f aca="false">IFERROR(SMALL(Pipeline_Calc!$A$2:$A$5251,A891),"")</f>
        <v/>
      </c>
      <c r="C891" s="0" t="str">
        <f aca="false">IF(B891="","",MATCH(B891,Pipeline_Calc!$A$2:$A$5251,0))</f>
        <v/>
      </c>
    </row>
    <row r="892" customFormat="false" ht="15" hidden="false" customHeight="false" outlineLevel="0" collapsed="false">
      <c r="A892" s="0" t="n">
        <v>891</v>
      </c>
      <c r="B892" s="0" t="str">
        <f aca="false">IFERROR(SMALL(Pipeline_Calc!$A$2:$A$5251,A892),"")</f>
        <v/>
      </c>
      <c r="C892" s="0" t="str">
        <f aca="false">IF(B892="","",MATCH(B892,Pipeline_Calc!$A$2:$A$5251,0))</f>
        <v/>
      </c>
    </row>
    <row r="893" customFormat="false" ht="15" hidden="false" customHeight="false" outlineLevel="0" collapsed="false">
      <c r="A893" s="0" t="n">
        <v>892</v>
      </c>
      <c r="B893" s="0" t="str">
        <f aca="false">IFERROR(SMALL(Pipeline_Calc!$A$2:$A$5251,A893),"")</f>
        <v/>
      </c>
      <c r="C893" s="0" t="str">
        <f aca="false">IF(B893="","",MATCH(B893,Pipeline_Calc!$A$2:$A$5251,0))</f>
        <v/>
      </c>
    </row>
    <row r="894" customFormat="false" ht="15" hidden="false" customHeight="false" outlineLevel="0" collapsed="false">
      <c r="A894" s="0" t="n">
        <v>893</v>
      </c>
      <c r="B894" s="0" t="str">
        <f aca="false">IFERROR(SMALL(Pipeline_Calc!$A$2:$A$5251,A894),"")</f>
        <v/>
      </c>
      <c r="C894" s="0" t="str">
        <f aca="false">IF(B894="","",MATCH(B894,Pipeline_Calc!$A$2:$A$5251,0))</f>
        <v/>
      </c>
    </row>
    <row r="895" customFormat="false" ht="15" hidden="false" customHeight="false" outlineLevel="0" collapsed="false">
      <c r="A895" s="0" t="n">
        <v>894</v>
      </c>
      <c r="B895" s="0" t="str">
        <f aca="false">IFERROR(SMALL(Pipeline_Calc!$A$2:$A$5251,A895),"")</f>
        <v/>
      </c>
      <c r="C895" s="0" t="str">
        <f aca="false">IF(B895="","",MATCH(B895,Pipeline_Calc!$A$2:$A$5251,0))</f>
        <v/>
      </c>
    </row>
    <row r="896" customFormat="false" ht="15" hidden="false" customHeight="false" outlineLevel="0" collapsed="false">
      <c r="A896" s="0" t="n">
        <v>895</v>
      </c>
      <c r="B896" s="0" t="str">
        <f aca="false">IFERROR(SMALL(Pipeline_Calc!$A$2:$A$5251,A896),"")</f>
        <v/>
      </c>
      <c r="C896" s="0" t="str">
        <f aca="false">IF(B896="","",MATCH(B896,Pipeline_Calc!$A$2:$A$5251,0))</f>
        <v/>
      </c>
    </row>
    <row r="897" customFormat="false" ht="15" hidden="false" customHeight="false" outlineLevel="0" collapsed="false">
      <c r="A897" s="0" t="n">
        <v>896</v>
      </c>
      <c r="B897" s="0" t="str">
        <f aca="false">IFERROR(SMALL(Pipeline_Calc!$A$2:$A$5251,A897),"")</f>
        <v/>
      </c>
      <c r="C897" s="0" t="str">
        <f aca="false">IF(B897="","",MATCH(B897,Pipeline_Calc!$A$2:$A$5251,0))</f>
        <v/>
      </c>
    </row>
    <row r="898" customFormat="false" ht="15" hidden="false" customHeight="false" outlineLevel="0" collapsed="false">
      <c r="A898" s="0" t="n">
        <v>897</v>
      </c>
      <c r="B898" s="0" t="str">
        <f aca="false">IFERROR(SMALL(Pipeline_Calc!$A$2:$A$5251,A898),"")</f>
        <v/>
      </c>
      <c r="C898" s="0" t="str">
        <f aca="false">IF(B898="","",MATCH(B898,Pipeline_Calc!$A$2:$A$5251,0))</f>
        <v/>
      </c>
    </row>
    <row r="899" customFormat="false" ht="15" hidden="false" customHeight="false" outlineLevel="0" collapsed="false">
      <c r="A899" s="0" t="n">
        <v>898</v>
      </c>
      <c r="B899" s="0" t="str">
        <f aca="false">IFERROR(SMALL(Pipeline_Calc!$A$2:$A$5251,A899),"")</f>
        <v/>
      </c>
      <c r="C899" s="0" t="str">
        <f aca="false">IF(B899="","",MATCH(B899,Pipeline_Calc!$A$2:$A$5251,0))</f>
        <v/>
      </c>
    </row>
    <row r="900" customFormat="false" ht="15" hidden="false" customHeight="false" outlineLevel="0" collapsed="false">
      <c r="A900" s="0" t="n">
        <v>899</v>
      </c>
      <c r="B900" s="0" t="str">
        <f aca="false">IFERROR(SMALL(Pipeline_Calc!$A$2:$A$5251,A900),"")</f>
        <v/>
      </c>
      <c r="C900" s="0" t="str">
        <f aca="false">IF(B900="","",MATCH(B900,Pipeline_Calc!$A$2:$A$5251,0))</f>
        <v/>
      </c>
    </row>
    <row r="901" customFormat="false" ht="15" hidden="false" customHeight="false" outlineLevel="0" collapsed="false">
      <c r="A901" s="0" t="n">
        <v>900</v>
      </c>
      <c r="B901" s="0" t="str">
        <f aca="false">IFERROR(SMALL(Pipeline_Calc!$A$2:$A$5251,A901),"")</f>
        <v/>
      </c>
      <c r="C901" s="0" t="str">
        <f aca="false">IF(B901="","",MATCH(B901,Pipeline_Calc!$A$2:$A$5251,0))</f>
        <v/>
      </c>
    </row>
    <row r="902" customFormat="false" ht="15" hidden="false" customHeight="false" outlineLevel="0" collapsed="false">
      <c r="A902" s="0" t="n">
        <v>901</v>
      </c>
      <c r="B902" s="0" t="str">
        <f aca="false">IFERROR(SMALL(Pipeline_Calc!$A$2:$A$5251,A902),"")</f>
        <v/>
      </c>
      <c r="C902" s="0" t="str">
        <f aca="false">IF(B902="","",MATCH(B902,Pipeline_Calc!$A$2:$A$5251,0))</f>
        <v/>
      </c>
    </row>
    <row r="903" customFormat="false" ht="15" hidden="false" customHeight="false" outlineLevel="0" collapsed="false">
      <c r="A903" s="0" t="n">
        <v>902</v>
      </c>
      <c r="B903" s="0" t="str">
        <f aca="false">IFERROR(SMALL(Pipeline_Calc!$A$2:$A$5251,A903),"")</f>
        <v/>
      </c>
      <c r="C903" s="0" t="str">
        <f aca="false">IF(B903="","",MATCH(B903,Pipeline_Calc!$A$2:$A$5251,0))</f>
        <v/>
      </c>
    </row>
    <row r="904" customFormat="false" ht="15" hidden="false" customHeight="false" outlineLevel="0" collapsed="false">
      <c r="A904" s="0" t="n">
        <v>903</v>
      </c>
      <c r="B904" s="0" t="str">
        <f aca="false">IFERROR(SMALL(Pipeline_Calc!$A$2:$A$5251,A904),"")</f>
        <v/>
      </c>
      <c r="C904" s="0" t="str">
        <f aca="false">IF(B904="","",MATCH(B904,Pipeline_Calc!$A$2:$A$5251,0))</f>
        <v/>
      </c>
    </row>
    <row r="905" customFormat="false" ht="15" hidden="false" customHeight="false" outlineLevel="0" collapsed="false">
      <c r="A905" s="0" t="n">
        <v>904</v>
      </c>
      <c r="B905" s="0" t="str">
        <f aca="false">IFERROR(SMALL(Pipeline_Calc!$A$2:$A$5251,A905),"")</f>
        <v/>
      </c>
      <c r="C905" s="0" t="str">
        <f aca="false">IF(B905="","",MATCH(B905,Pipeline_Calc!$A$2:$A$5251,0))</f>
        <v/>
      </c>
    </row>
    <row r="906" customFormat="false" ht="15" hidden="false" customHeight="false" outlineLevel="0" collapsed="false">
      <c r="A906" s="0" t="n">
        <v>905</v>
      </c>
      <c r="B906" s="0" t="str">
        <f aca="false">IFERROR(SMALL(Pipeline_Calc!$A$2:$A$5251,A906),"")</f>
        <v/>
      </c>
      <c r="C906" s="0" t="str">
        <f aca="false">IF(B906="","",MATCH(B906,Pipeline_Calc!$A$2:$A$5251,0))</f>
        <v/>
      </c>
    </row>
    <row r="907" customFormat="false" ht="15" hidden="false" customHeight="false" outlineLevel="0" collapsed="false">
      <c r="A907" s="0" t="n">
        <v>906</v>
      </c>
      <c r="B907" s="0" t="str">
        <f aca="false">IFERROR(SMALL(Pipeline_Calc!$A$2:$A$5251,A907),"")</f>
        <v/>
      </c>
      <c r="C907" s="0" t="str">
        <f aca="false">IF(B907="","",MATCH(B907,Pipeline_Calc!$A$2:$A$5251,0))</f>
        <v/>
      </c>
    </row>
    <row r="908" customFormat="false" ht="15" hidden="false" customHeight="false" outlineLevel="0" collapsed="false">
      <c r="A908" s="0" t="n">
        <v>907</v>
      </c>
      <c r="B908" s="0" t="str">
        <f aca="false">IFERROR(SMALL(Pipeline_Calc!$A$2:$A$5251,A908),"")</f>
        <v/>
      </c>
      <c r="C908" s="0" t="str">
        <f aca="false">IF(B908="","",MATCH(B908,Pipeline_Calc!$A$2:$A$5251,0))</f>
        <v/>
      </c>
    </row>
    <row r="909" customFormat="false" ht="15" hidden="false" customHeight="false" outlineLevel="0" collapsed="false">
      <c r="A909" s="0" t="n">
        <v>908</v>
      </c>
      <c r="B909" s="0" t="str">
        <f aca="false">IFERROR(SMALL(Pipeline_Calc!$A$2:$A$5251,A909),"")</f>
        <v/>
      </c>
      <c r="C909" s="0" t="str">
        <f aca="false">IF(B909="","",MATCH(B909,Pipeline_Calc!$A$2:$A$5251,0))</f>
        <v/>
      </c>
    </row>
    <row r="910" customFormat="false" ht="15" hidden="false" customHeight="false" outlineLevel="0" collapsed="false">
      <c r="A910" s="0" t="n">
        <v>909</v>
      </c>
      <c r="B910" s="0" t="str">
        <f aca="false">IFERROR(SMALL(Pipeline_Calc!$A$2:$A$5251,A910),"")</f>
        <v/>
      </c>
      <c r="C910" s="0" t="str">
        <f aca="false">IF(B910="","",MATCH(B910,Pipeline_Calc!$A$2:$A$5251,0))</f>
        <v/>
      </c>
    </row>
    <row r="911" customFormat="false" ht="15" hidden="false" customHeight="false" outlineLevel="0" collapsed="false">
      <c r="A911" s="0" t="n">
        <v>910</v>
      </c>
      <c r="B911" s="0" t="str">
        <f aca="false">IFERROR(SMALL(Pipeline_Calc!$A$2:$A$5251,A911),"")</f>
        <v/>
      </c>
      <c r="C911" s="0" t="str">
        <f aca="false">IF(B911="","",MATCH(B911,Pipeline_Calc!$A$2:$A$5251,0))</f>
        <v/>
      </c>
    </row>
    <row r="912" customFormat="false" ht="15" hidden="false" customHeight="false" outlineLevel="0" collapsed="false">
      <c r="A912" s="0" t="n">
        <v>911</v>
      </c>
      <c r="B912" s="0" t="str">
        <f aca="false">IFERROR(SMALL(Pipeline_Calc!$A$2:$A$5251,A912),"")</f>
        <v/>
      </c>
      <c r="C912" s="0" t="str">
        <f aca="false">IF(B912="","",MATCH(B912,Pipeline_Calc!$A$2:$A$5251,0))</f>
        <v/>
      </c>
    </row>
    <row r="913" customFormat="false" ht="15" hidden="false" customHeight="false" outlineLevel="0" collapsed="false">
      <c r="A913" s="0" t="n">
        <v>912</v>
      </c>
      <c r="B913" s="0" t="str">
        <f aca="false">IFERROR(SMALL(Pipeline_Calc!$A$2:$A$5251,A913),"")</f>
        <v/>
      </c>
      <c r="C913" s="0" t="str">
        <f aca="false">IF(B913="","",MATCH(B913,Pipeline_Calc!$A$2:$A$5251,0))</f>
        <v/>
      </c>
    </row>
    <row r="914" customFormat="false" ht="15" hidden="false" customHeight="false" outlineLevel="0" collapsed="false">
      <c r="A914" s="0" t="n">
        <v>913</v>
      </c>
      <c r="B914" s="0" t="str">
        <f aca="false">IFERROR(SMALL(Pipeline_Calc!$A$2:$A$5251,A914),"")</f>
        <v/>
      </c>
      <c r="C914" s="0" t="str">
        <f aca="false">IF(B914="","",MATCH(B914,Pipeline_Calc!$A$2:$A$5251,0))</f>
        <v/>
      </c>
    </row>
    <row r="915" customFormat="false" ht="15" hidden="false" customHeight="false" outlineLevel="0" collapsed="false">
      <c r="A915" s="0" t="n">
        <v>914</v>
      </c>
      <c r="B915" s="0" t="str">
        <f aca="false">IFERROR(SMALL(Pipeline_Calc!$A$2:$A$5251,A915),"")</f>
        <v/>
      </c>
      <c r="C915" s="0" t="str">
        <f aca="false">IF(B915="","",MATCH(B915,Pipeline_Calc!$A$2:$A$5251,0))</f>
        <v/>
      </c>
    </row>
    <row r="916" customFormat="false" ht="15" hidden="false" customHeight="false" outlineLevel="0" collapsed="false">
      <c r="A916" s="0" t="n">
        <v>915</v>
      </c>
      <c r="B916" s="0" t="str">
        <f aca="false">IFERROR(SMALL(Pipeline_Calc!$A$2:$A$5251,A916),"")</f>
        <v/>
      </c>
      <c r="C916" s="0" t="str">
        <f aca="false">IF(B916="","",MATCH(B916,Pipeline_Calc!$A$2:$A$5251,0))</f>
        <v/>
      </c>
    </row>
    <row r="917" customFormat="false" ht="15" hidden="false" customHeight="false" outlineLevel="0" collapsed="false">
      <c r="A917" s="0" t="n">
        <v>916</v>
      </c>
      <c r="B917" s="0" t="str">
        <f aca="false">IFERROR(SMALL(Pipeline_Calc!$A$2:$A$5251,A917),"")</f>
        <v/>
      </c>
      <c r="C917" s="0" t="str">
        <f aca="false">IF(B917="","",MATCH(B917,Pipeline_Calc!$A$2:$A$5251,0))</f>
        <v/>
      </c>
    </row>
    <row r="918" customFormat="false" ht="15" hidden="false" customHeight="false" outlineLevel="0" collapsed="false">
      <c r="A918" s="0" t="n">
        <v>917</v>
      </c>
      <c r="B918" s="0" t="str">
        <f aca="false">IFERROR(SMALL(Pipeline_Calc!$A$2:$A$5251,A918),"")</f>
        <v/>
      </c>
      <c r="C918" s="0" t="str">
        <f aca="false">IF(B918="","",MATCH(B918,Pipeline_Calc!$A$2:$A$5251,0))</f>
        <v/>
      </c>
    </row>
    <row r="919" customFormat="false" ht="15" hidden="false" customHeight="false" outlineLevel="0" collapsed="false">
      <c r="A919" s="0" t="n">
        <v>918</v>
      </c>
      <c r="B919" s="0" t="str">
        <f aca="false">IFERROR(SMALL(Pipeline_Calc!$A$2:$A$5251,A919),"")</f>
        <v/>
      </c>
      <c r="C919" s="0" t="str">
        <f aca="false">IF(B919="","",MATCH(B919,Pipeline_Calc!$A$2:$A$5251,0))</f>
        <v/>
      </c>
    </row>
    <row r="920" customFormat="false" ht="15" hidden="false" customHeight="false" outlineLevel="0" collapsed="false">
      <c r="A920" s="0" t="n">
        <v>919</v>
      </c>
      <c r="B920" s="0" t="str">
        <f aca="false">IFERROR(SMALL(Pipeline_Calc!$A$2:$A$5251,A920),"")</f>
        <v/>
      </c>
      <c r="C920" s="0" t="str">
        <f aca="false">IF(B920="","",MATCH(B920,Pipeline_Calc!$A$2:$A$5251,0))</f>
        <v/>
      </c>
    </row>
    <row r="921" customFormat="false" ht="15" hidden="false" customHeight="false" outlineLevel="0" collapsed="false">
      <c r="A921" s="0" t="n">
        <v>920</v>
      </c>
      <c r="B921" s="0" t="str">
        <f aca="false">IFERROR(SMALL(Pipeline_Calc!$A$2:$A$5251,A921),"")</f>
        <v/>
      </c>
      <c r="C921" s="0" t="str">
        <f aca="false">IF(B921="","",MATCH(B921,Pipeline_Calc!$A$2:$A$5251,0))</f>
        <v/>
      </c>
    </row>
    <row r="922" customFormat="false" ht="15" hidden="false" customHeight="false" outlineLevel="0" collapsed="false">
      <c r="A922" s="0" t="n">
        <v>921</v>
      </c>
      <c r="B922" s="0" t="str">
        <f aca="false">IFERROR(SMALL(Pipeline_Calc!$A$2:$A$5251,A922),"")</f>
        <v/>
      </c>
      <c r="C922" s="0" t="str">
        <f aca="false">IF(B922="","",MATCH(B922,Pipeline_Calc!$A$2:$A$5251,0))</f>
        <v/>
      </c>
    </row>
    <row r="923" customFormat="false" ht="15" hidden="false" customHeight="false" outlineLevel="0" collapsed="false">
      <c r="A923" s="0" t="n">
        <v>922</v>
      </c>
      <c r="B923" s="0" t="str">
        <f aca="false">IFERROR(SMALL(Pipeline_Calc!$A$2:$A$5251,A923),"")</f>
        <v/>
      </c>
      <c r="C923" s="0" t="str">
        <f aca="false">IF(B923="","",MATCH(B923,Pipeline_Calc!$A$2:$A$5251,0))</f>
        <v/>
      </c>
    </row>
    <row r="924" customFormat="false" ht="15" hidden="false" customHeight="false" outlineLevel="0" collapsed="false">
      <c r="A924" s="0" t="n">
        <v>923</v>
      </c>
      <c r="B924" s="0" t="str">
        <f aca="false">IFERROR(SMALL(Pipeline_Calc!$A$2:$A$5251,A924),"")</f>
        <v/>
      </c>
      <c r="C924" s="0" t="str">
        <f aca="false">IF(B924="","",MATCH(B924,Pipeline_Calc!$A$2:$A$5251,0))</f>
        <v/>
      </c>
    </row>
    <row r="925" customFormat="false" ht="15" hidden="false" customHeight="false" outlineLevel="0" collapsed="false">
      <c r="A925" s="0" t="n">
        <v>924</v>
      </c>
      <c r="B925" s="0" t="str">
        <f aca="false">IFERROR(SMALL(Pipeline_Calc!$A$2:$A$5251,A925),"")</f>
        <v/>
      </c>
      <c r="C925" s="0" t="str">
        <f aca="false">IF(B925="","",MATCH(B925,Pipeline_Calc!$A$2:$A$5251,0))</f>
        <v/>
      </c>
    </row>
    <row r="926" customFormat="false" ht="15" hidden="false" customHeight="false" outlineLevel="0" collapsed="false">
      <c r="A926" s="0" t="n">
        <v>925</v>
      </c>
      <c r="B926" s="0" t="str">
        <f aca="false">IFERROR(SMALL(Pipeline_Calc!$A$2:$A$5251,A926),"")</f>
        <v/>
      </c>
      <c r="C926" s="0" t="str">
        <f aca="false">IF(B926="","",MATCH(B926,Pipeline_Calc!$A$2:$A$5251,0))</f>
        <v/>
      </c>
    </row>
    <row r="927" customFormat="false" ht="15" hidden="false" customHeight="false" outlineLevel="0" collapsed="false">
      <c r="A927" s="0" t="n">
        <v>926</v>
      </c>
      <c r="B927" s="0" t="str">
        <f aca="false">IFERROR(SMALL(Pipeline_Calc!$A$2:$A$5251,A927),"")</f>
        <v/>
      </c>
      <c r="C927" s="0" t="str">
        <f aca="false">IF(B927="","",MATCH(B927,Pipeline_Calc!$A$2:$A$5251,0))</f>
        <v/>
      </c>
    </row>
    <row r="928" customFormat="false" ht="15" hidden="false" customHeight="false" outlineLevel="0" collapsed="false">
      <c r="A928" s="0" t="n">
        <v>927</v>
      </c>
      <c r="B928" s="0" t="str">
        <f aca="false">IFERROR(SMALL(Pipeline_Calc!$A$2:$A$5251,A928),"")</f>
        <v/>
      </c>
      <c r="C928" s="0" t="str">
        <f aca="false">IF(B928="","",MATCH(B928,Pipeline_Calc!$A$2:$A$5251,0))</f>
        <v/>
      </c>
    </row>
    <row r="929" customFormat="false" ht="15" hidden="false" customHeight="false" outlineLevel="0" collapsed="false">
      <c r="A929" s="0" t="n">
        <v>928</v>
      </c>
      <c r="B929" s="0" t="str">
        <f aca="false">IFERROR(SMALL(Pipeline_Calc!$A$2:$A$5251,A929),"")</f>
        <v/>
      </c>
      <c r="C929" s="0" t="str">
        <f aca="false">IF(B929="","",MATCH(B929,Pipeline_Calc!$A$2:$A$5251,0))</f>
        <v/>
      </c>
    </row>
    <row r="930" customFormat="false" ht="15" hidden="false" customHeight="false" outlineLevel="0" collapsed="false">
      <c r="A930" s="0" t="n">
        <v>929</v>
      </c>
      <c r="B930" s="0" t="str">
        <f aca="false">IFERROR(SMALL(Pipeline_Calc!$A$2:$A$5251,A930),"")</f>
        <v/>
      </c>
      <c r="C930" s="0" t="str">
        <f aca="false">IF(B930="","",MATCH(B930,Pipeline_Calc!$A$2:$A$5251,0))</f>
        <v/>
      </c>
    </row>
    <row r="931" customFormat="false" ht="15" hidden="false" customHeight="false" outlineLevel="0" collapsed="false">
      <c r="A931" s="0" t="n">
        <v>930</v>
      </c>
      <c r="B931" s="0" t="str">
        <f aca="false">IFERROR(SMALL(Pipeline_Calc!$A$2:$A$5251,A931),"")</f>
        <v/>
      </c>
      <c r="C931" s="0" t="str">
        <f aca="false">IF(B931="","",MATCH(B931,Pipeline_Calc!$A$2:$A$5251,0))</f>
        <v/>
      </c>
    </row>
    <row r="932" customFormat="false" ht="15" hidden="false" customHeight="false" outlineLevel="0" collapsed="false">
      <c r="A932" s="0" t="n">
        <v>931</v>
      </c>
      <c r="B932" s="0" t="str">
        <f aca="false">IFERROR(SMALL(Pipeline_Calc!$A$2:$A$5251,A932),"")</f>
        <v/>
      </c>
      <c r="C932" s="0" t="str">
        <f aca="false">IF(B932="","",MATCH(B932,Pipeline_Calc!$A$2:$A$5251,0))</f>
        <v/>
      </c>
    </row>
    <row r="933" customFormat="false" ht="15" hidden="false" customHeight="false" outlineLevel="0" collapsed="false">
      <c r="A933" s="0" t="n">
        <v>932</v>
      </c>
      <c r="B933" s="0" t="str">
        <f aca="false">IFERROR(SMALL(Pipeline_Calc!$A$2:$A$5251,A933),"")</f>
        <v/>
      </c>
      <c r="C933" s="0" t="str">
        <f aca="false">IF(B933="","",MATCH(B933,Pipeline_Calc!$A$2:$A$5251,0))</f>
        <v/>
      </c>
    </row>
    <row r="934" customFormat="false" ht="15" hidden="false" customHeight="false" outlineLevel="0" collapsed="false">
      <c r="A934" s="0" t="n">
        <v>933</v>
      </c>
      <c r="B934" s="0" t="str">
        <f aca="false">IFERROR(SMALL(Pipeline_Calc!$A$2:$A$5251,A934),"")</f>
        <v/>
      </c>
      <c r="C934" s="0" t="str">
        <f aca="false">IF(B934="","",MATCH(B934,Pipeline_Calc!$A$2:$A$5251,0))</f>
        <v/>
      </c>
    </row>
    <row r="935" customFormat="false" ht="15" hidden="false" customHeight="false" outlineLevel="0" collapsed="false">
      <c r="A935" s="0" t="n">
        <v>934</v>
      </c>
      <c r="B935" s="0" t="str">
        <f aca="false">IFERROR(SMALL(Pipeline_Calc!$A$2:$A$5251,A935),"")</f>
        <v/>
      </c>
      <c r="C935" s="0" t="str">
        <f aca="false">IF(B935="","",MATCH(B935,Pipeline_Calc!$A$2:$A$5251,0))</f>
        <v/>
      </c>
    </row>
    <row r="936" customFormat="false" ht="15" hidden="false" customHeight="false" outlineLevel="0" collapsed="false">
      <c r="A936" s="0" t="n">
        <v>935</v>
      </c>
      <c r="B936" s="0" t="str">
        <f aca="false">IFERROR(SMALL(Pipeline_Calc!$A$2:$A$5251,A936),"")</f>
        <v/>
      </c>
      <c r="C936" s="0" t="str">
        <f aca="false">IF(B936="","",MATCH(B936,Pipeline_Calc!$A$2:$A$5251,0))</f>
        <v/>
      </c>
    </row>
    <row r="937" customFormat="false" ht="15" hidden="false" customHeight="false" outlineLevel="0" collapsed="false">
      <c r="A937" s="0" t="n">
        <v>936</v>
      </c>
      <c r="B937" s="0" t="str">
        <f aca="false">IFERROR(SMALL(Pipeline_Calc!$A$2:$A$5251,A937),"")</f>
        <v/>
      </c>
      <c r="C937" s="0" t="str">
        <f aca="false">IF(B937="","",MATCH(B937,Pipeline_Calc!$A$2:$A$5251,0))</f>
        <v/>
      </c>
    </row>
    <row r="938" customFormat="false" ht="15" hidden="false" customHeight="false" outlineLevel="0" collapsed="false">
      <c r="A938" s="0" t="n">
        <v>937</v>
      </c>
      <c r="B938" s="0" t="str">
        <f aca="false">IFERROR(SMALL(Pipeline_Calc!$A$2:$A$5251,A938),"")</f>
        <v/>
      </c>
      <c r="C938" s="0" t="str">
        <f aca="false">IF(B938="","",MATCH(B938,Pipeline_Calc!$A$2:$A$5251,0))</f>
        <v/>
      </c>
    </row>
    <row r="939" customFormat="false" ht="15" hidden="false" customHeight="false" outlineLevel="0" collapsed="false">
      <c r="A939" s="0" t="n">
        <v>938</v>
      </c>
      <c r="B939" s="0" t="str">
        <f aca="false">IFERROR(SMALL(Pipeline_Calc!$A$2:$A$5251,A939),"")</f>
        <v/>
      </c>
      <c r="C939" s="0" t="str">
        <f aca="false">IF(B939="","",MATCH(B939,Pipeline_Calc!$A$2:$A$5251,0))</f>
        <v/>
      </c>
    </row>
    <row r="940" customFormat="false" ht="15" hidden="false" customHeight="false" outlineLevel="0" collapsed="false">
      <c r="A940" s="0" t="n">
        <v>939</v>
      </c>
      <c r="B940" s="0" t="str">
        <f aca="false">IFERROR(SMALL(Pipeline_Calc!$A$2:$A$5251,A940),"")</f>
        <v/>
      </c>
      <c r="C940" s="0" t="str">
        <f aca="false">IF(B940="","",MATCH(B940,Pipeline_Calc!$A$2:$A$5251,0))</f>
        <v/>
      </c>
    </row>
    <row r="941" customFormat="false" ht="15" hidden="false" customHeight="false" outlineLevel="0" collapsed="false">
      <c r="A941" s="0" t="n">
        <v>940</v>
      </c>
      <c r="B941" s="0" t="str">
        <f aca="false">IFERROR(SMALL(Pipeline_Calc!$A$2:$A$5251,A941),"")</f>
        <v/>
      </c>
      <c r="C941" s="0" t="str">
        <f aca="false">IF(B941="","",MATCH(B941,Pipeline_Calc!$A$2:$A$5251,0))</f>
        <v/>
      </c>
    </row>
    <row r="942" customFormat="false" ht="15" hidden="false" customHeight="false" outlineLevel="0" collapsed="false">
      <c r="A942" s="0" t="n">
        <v>941</v>
      </c>
      <c r="B942" s="0" t="str">
        <f aca="false">IFERROR(SMALL(Pipeline_Calc!$A$2:$A$5251,A942),"")</f>
        <v/>
      </c>
      <c r="C942" s="0" t="str">
        <f aca="false">IF(B942="","",MATCH(B942,Pipeline_Calc!$A$2:$A$5251,0))</f>
        <v/>
      </c>
    </row>
    <row r="943" customFormat="false" ht="15" hidden="false" customHeight="false" outlineLevel="0" collapsed="false">
      <c r="A943" s="0" t="n">
        <v>942</v>
      </c>
      <c r="B943" s="0" t="str">
        <f aca="false">IFERROR(SMALL(Pipeline_Calc!$A$2:$A$5251,A943),"")</f>
        <v/>
      </c>
      <c r="C943" s="0" t="str">
        <f aca="false">IF(B943="","",MATCH(B943,Pipeline_Calc!$A$2:$A$5251,0))</f>
        <v/>
      </c>
    </row>
    <row r="944" customFormat="false" ht="15" hidden="false" customHeight="false" outlineLevel="0" collapsed="false">
      <c r="A944" s="0" t="n">
        <v>943</v>
      </c>
      <c r="B944" s="0" t="str">
        <f aca="false">IFERROR(SMALL(Pipeline_Calc!$A$2:$A$5251,A944),"")</f>
        <v/>
      </c>
      <c r="C944" s="0" t="str">
        <f aca="false">IF(B944="","",MATCH(B944,Pipeline_Calc!$A$2:$A$5251,0))</f>
        <v/>
      </c>
    </row>
    <row r="945" customFormat="false" ht="15" hidden="false" customHeight="false" outlineLevel="0" collapsed="false">
      <c r="A945" s="0" t="n">
        <v>944</v>
      </c>
      <c r="B945" s="0" t="str">
        <f aca="false">IFERROR(SMALL(Pipeline_Calc!$A$2:$A$5251,A945),"")</f>
        <v/>
      </c>
      <c r="C945" s="0" t="str">
        <f aca="false">IF(B945="","",MATCH(B945,Pipeline_Calc!$A$2:$A$5251,0))</f>
        <v/>
      </c>
    </row>
    <row r="946" customFormat="false" ht="15" hidden="false" customHeight="false" outlineLevel="0" collapsed="false">
      <c r="A946" s="0" t="n">
        <v>945</v>
      </c>
      <c r="B946" s="0" t="str">
        <f aca="false">IFERROR(SMALL(Pipeline_Calc!$A$2:$A$5251,A946),"")</f>
        <v/>
      </c>
      <c r="C946" s="0" t="str">
        <f aca="false">IF(B946="","",MATCH(B946,Pipeline_Calc!$A$2:$A$5251,0))</f>
        <v/>
      </c>
    </row>
    <row r="947" customFormat="false" ht="15" hidden="false" customHeight="false" outlineLevel="0" collapsed="false">
      <c r="A947" s="0" t="n">
        <v>946</v>
      </c>
      <c r="B947" s="0" t="str">
        <f aca="false">IFERROR(SMALL(Pipeline_Calc!$A$2:$A$5251,A947),"")</f>
        <v/>
      </c>
      <c r="C947" s="0" t="str">
        <f aca="false">IF(B947="","",MATCH(B947,Pipeline_Calc!$A$2:$A$5251,0))</f>
        <v/>
      </c>
    </row>
    <row r="948" customFormat="false" ht="15" hidden="false" customHeight="false" outlineLevel="0" collapsed="false">
      <c r="A948" s="0" t="n">
        <v>947</v>
      </c>
      <c r="B948" s="0" t="str">
        <f aca="false">IFERROR(SMALL(Pipeline_Calc!$A$2:$A$5251,A948),"")</f>
        <v/>
      </c>
      <c r="C948" s="0" t="str">
        <f aca="false">IF(B948="","",MATCH(B948,Pipeline_Calc!$A$2:$A$5251,0))</f>
        <v/>
      </c>
    </row>
    <row r="949" customFormat="false" ht="15" hidden="false" customHeight="false" outlineLevel="0" collapsed="false">
      <c r="A949" s="0" t="n">
        <v>948</v>
      </c>
      <c r="B949" s="0" t="str">
        <f aca="false">IFERROR(SMALL(Pipeline_Calc!$A$2:$A$5251,A949),"")</f>
        <v/>
      </c>
      <c r="C949" s="0" t="str">
        <f aca="false">IF(B949="","",MATCH(B949,Pipeline_Calc!$A$2:$A$5251,0))</f>
        <v/>
      </c>
    </row>
    <row r="950" customFormat="false" ht="15" hidden="false" customHeight="false" outlineLevel="0" collapsed="false">
      <c r="A950" s="0" t="n">
        <v>949</v>
      </c>
      <c r="B950" s="0" t="str">
        <f aca="false">IFERROR(SMALL(Pipeline_Calc!$A$2:$A$5251,A950),"")</f>
        <v/>
      </c>
      <c r="C950" s="0" t="str">
        <f aca="false">IF(B950="","",MATCH(B950,Pipeline_Calc!$A$2:$A$5251,0))</f>
        <v/>
      </c>
    </row>
    <row r="951" customFormat="false" ht="15" hidden="false" customHeight="false" outlineLevel="0" collapsed="false">
      <c r="A951" s="0" t="n">
        <v>950</v>
      </c>
      <c r="B951" s="0" t="str">
        <f aca="false">IFERROR(SMALL(Pipeline_Calc!$A$2:$A$5251,A951),"")</f>
        <v/>
      </c>
      <c r="C951" s="0" t="str">
        <f aca="false">IF(B951="","",MATCH(B951,Pipeline_Calc!$A$2:$A$5251,0))</f>
        <v/>
      </c>
    </row>
    <row r="952" customFormat="false" ht="15" hidden="false" customHeight="false" outlineLevel="0" collapsed="false">
      <c r="A952" s="0" t="n">
        <v>951</v>
      </c>
      <c r="B952" s="0" t="str">
        <f aca="false">IFERROR(SMALL(Pipeline_Calc!$A$2:$A$5251,A952),"")</f>
        <v/>
      </c>
      <c r="C952" s="0" t="str">
        <f aca="false">IF(B952="","",MATCH(B952,Pipeline_Calc!$A$2:$A$5251,0))</f>
        <v/>
      </c>
    </row>
    <row r="953" customFormat="false" ht="15" hidden="false" customHeight="false" outlineLevel="0" collapsed="false">
      <c r="A953" s="0" t="n">
        <v>952</v>
      </c>
      <c r="B953" s="0" t="str">
        <f aca="false">IFERROR(SMALL(Pipeline_Calc!$A$2:$A$5251,A953),"")</f>
        <v/>
      </c>
      <c r="C953" s="0" t="str">
        <f aca="false">IF(B953="","",MATCH(B953,Pipeline_Calc!$A$2:$A$5251,0))</f>
        <v/>
      </c>
    </row>
    <row r="954" customFormat="false" ht="15" hidden="false" customHeight="false" outlineLevel="0" collapsed="false">
      <c r="A954" s="0" t="n">
        <v>953</v>
      </c>
      <c r="B954" s="0" t="str">
        <f aca="false">IFERROR(SMALL(Pipeline_Calc!$A$2:$A$5251,A954),"")</f>
        <v/>
      </c>
      <c r="C954" s="0" t="str">
        <f aca="false">IF(B954="","",MATCH(B954,Pipeline_Calc!$A$2:$A$5251,0))</f>
        <v/>
      </c>
    </row>
    <row r="955" customFormat="false" ht="15" hidden="false" customHeight="false" outlineLevel="0" collapsed="false">
      <c r="A955" s="0" t="n">
        <v>954</v>
      </c>
      <c r="B955" s="0" t="str">
        <f aca="false">IFERROR(SMALL(Pipeline_Calc!$A$2:$A$5251,A955),"")</f>
        <v/>
      </c>
      <c r="C955" s="0" t="str">
        <f aca="false">IF(B955="","",MATCH(B955,Pipeline_Calc!$A$2:$A$5251,0))</f>
        <v/>
      </c>
    </row>
    <row r="956" customFormat="false" ht="15" hidden="false" customHeight="false" outlineLevel="0" collapsed="false">
      <c r="A956" s="0" t="n">
        <v>955</v>
      </c>
      <c r="B956" s="0" t="str">
        <f aca="false">IFERROR(SMALL(Pipeline_Calc!$A$2:$A$5251,A956),"")</f>
        <v/>
      </c>
      <c r="C956" s="0" t="str">
        <f aca="false">IF(B956="","",MATCH(B956,Pipeline_Calc!$A$2:$A$5251,0))</f>
        <v/>
      </c>
    </row>
    <row r="957" customFormat="false" ht="15" hidden="false" customHeight="false" outlineLevel="0" collapsed="false">
      <c r="A957" s="0" t="n">
        <v>956</v>
      </c>
      <c r="B957" s="0" t="str">
        <f aca="false">IFERROR(SMALL(Pipeline_Calc!$A$2:$A$5251,A957),"")</f>
        <v/>
      </c>
      <c r="C957" s="0" t="str">
        <f aca="false">IF(B957="","",MATCH(B957,Pipeline_Calc!$A$2:$A$5251,0))</f>
        <v/>
      </c>
    </row>
    <row r="958" customFormat="false" ht="15" hidden="false" customHeight="false" outlineLevel="0" collapsed="false">
      <c r="A958" s="0" t="n">
        <v>957</v>
      </c>
      <c r="B958" s="0" t="str">
        <f aca="false">IFERROR(SMALL(Pipeline_Calc!$A$2:$A$5251,A958),"")</f>
        <v/>
      </c>
      <c r="C958" s="0" t="str">
        <f aca="false">IF(B958="","",MATCH(B958,Pipeline_Calc!$A$2:$A$5251,0))</f>
        <v/>
      </c>
    </row>
    <row r="959" customFormat="false" ht="15" hidden="false" customHeight="false" outlineLevel="0" collapsed="false">
      <c r="A959" s="0" t="n">
        <v>958</v>
      </c>
      <c r="B959" s="0" t="str">
        <f aca="false">IFERROR(SMALL(Pipeline_Calc!$A$2:$A$5251,A959),"")</f>
        <v/>
      </c>
      <c r="C959" s="0" t="str">
        <f aca="false">IF(B959="","",MATCH(B959,Pipeline_Calc!$A$2:$A$5251,0))</f>
        <v/>
      </c>
    </row>
    <row r="960" customFormat="false" ht="15" hidden="false" customHeight="false" outlineLevel="0" collapsed="false">
      <c r="A960" s="0" t="n">
        <v>959</v>
      </c>
      <c r="B960" s="0" t="str">
        <f aca="false">IFERROR(SMALL(Pipeline_Calc!$A$2:$A$5251,A960),"")</f>
        <v/>
      </c>
      <c r="C960" s="0" t="str">
        <f aca="false">IF(B960="","",MATCH(B960,Pipeline_Calc!$A$2:$A$5251,0))</f>
        <v/>
      </c>
    </row>
    <row r="961" customFormat="false" ht="15" hidden="false" customHeight="false" outlineLevel="0" collapsed="false">
      <c r="A961" s="0" t="n">
        <v>960</v>
      </c>
      <c r="B961" s="0" t="str">
        <f aca="false">IFERROR(SMALL(Pipeline_Calc!$A$2:$A$5251,A961),"")</f>
        <v/>
      </c>
      <c r="C961" s="0" t="str">
        <f aca="false">IF(B961="","",MATCH(B961,Pipeline_Calc!$A$2:$A$5251,0))</f>
        <v/>
      </c>
    </row>
    <row r="962" customFormat="false" ht="15" hidden="false" customHeight="false" outlineLevel="0" collapsed="false">
      <c r="A962" s="0" t="n">
        <v>961</v>
      </c>
      <c r="B962" s="0" t="str">
        <f aca="false">IFERROR(SMALL(Pipeline_Calc!$A$2:$A$5251,A962),"")</f>
        <v/>
      </c>
      <c r="C962" s="0" t="str">
        <f aca="false">IF(B962="","",MATCH(B962,Pipeline_Calc!$A$2:$A$5251,0))</f>
        <v/>
      </c>
    </row>
    <row r="963" customFormat="false" ht="15" hidden="false" customHeight="false" outlineLevel="0" collapsed="false">
      <c r="A963" s="0" t="n">
        <v>962</v>
      </c>
      <c r="B963" s="0" t="str">
        <f aca="false">IFERROR(SMALL(Pipeline_Calc!$A$2:$A$5251,A963),"")</f>
        <v/>
      </c>
      <c r="C963" s="0" t="str">
        <f aca="false">IF(B963="","",MATCH(B963,Pipeline_Calc!$A$2:$A$5251,0))</f>
        <v/>
      </c>
    </row>
    <row r="964" customFormat="false" ht="15" hidden="false" customHeight="false" outlineLevel="0" collapsed="false">
      <c r="A964" s="0" t="n">
        <v>963</v>
      </c>
      <c r="B964" s="0" t="str">
        <f aca="false">IFERROR(SMALL(Pipeline_Calc!$A$2:$A$5251,A964),"")</f>
        <v/>
      </c>
      <c r="C964" s="0" t="str">
        <f aca="false">IF(B964="","",MATCH(B964,Pipeline_Calc!$A$2:$A$5251,0))</f>
        <v/>
      </c>
    </row>
    <row r="965" customFormat="false" ht="15" hidden="false" customHeight="false" outlineLevel="0" collapsed="false">
      <c r="A965" s="0" t="n">
        <v>964</v>
      </c>
      <c r="B965" s="0" t="str">
        <f aca="false">IFERROR(SMALL(Pipeline_Calc!$A$2:$A$5251,A965),"")</f>
        <v/>
      </c>
      <c r="C965" s="0" t="str">
        <f aca="false">IF(B965="","",MATCH(B965,Pipeline_Calc!$A$2:$A$5251,0))</f>
        <v/>
      </c>
    </row>
    <row r="966" customFormat="false" ht="15" hidden="false" customHeight="false" outlineLevel="0" collapsed="false">
      <c r="A966" s="0" t="n">
        <v>965</v>
      </c>
      <c r="B966" s="0" t="str">
        <f aca="false">IFERROR(SMALL(Pipeline_Calc!$A$2:$A$5251,A966),"")</f>
        <v/>
      </c>
      <c r="C966" s="0" t="str">
        <f aca="false">IF(B966="","",MATCH(B966,Pipeline_Calc!$A$2:$A$5251,0))</f>
        <v/>
      </c>
    </row>
    <row r="967" customFormat="false" ht="15" hidden="false" customHeight="false" outlineLevel="0" collapsed="false">
      <c r="A967" s="0" t="n">
        <v>966</v>
      </c>
      <c r="B967" s="0" t="str">
        <f aca="false">IFERROR(SMALL(Pipeline_Calc!$A$2:$A$5251,A967),"")</f>
        <v/>
      </c>
      <c r="C967" s="0" t="str">
        <f aca="false">IF(B967="","",MATCH(B967,Pipeline_Calc!$A$2:$A$5251,0))</f>
        <v/>
      </c>
    </row>
    <row r="968" customFormat="false" ht="15" hidden="false" customHeight="false" outlineLevel="0" collapsed="false">
      <c r="A968" s="0" t="n">
        <v>967</v>
      </c>
      <c r="B968" s="0" t="str">
        <f aca="false">IFERROR(SMALL(Pipeline_Calc!$A$2:$A$5251,A968),"")</f>
        <v/>
      </c>
      <c r="C968" s="0" t="str">
        <f aca="false">IF(B968="","",MATCH(B968,Pipeline_Calc!$A$2:$A$5251,0))</f>
        <v/>
      </c>
    </row>
    <row r="969" customFormat="false" ht="15" hidden="false" customHeight="false" outlineLevel="0" collapsed="false">
      <c r="A969" s="0" t="n">
        <v>968</v>
      </c>
      <c r="B969" s="0" t="str">
        <f aca="false">IFERROR(SMALL(Pipeline_Calc!$A$2:$A$5251,A969),"")</f>
        <v/>
      </c>
      <c r="C969" s="0" t="str">
        <f aca="false">IF(B969="","",MATCH(B969,Pipeline_Calc!$A$2:$A$5251,0))</f>
        <v/>
      </c>
    </row>
    <row r="970" customFormat="false" ht="15" hidden="false" customHeight="false" outlineLevel="0" collapsed="false">
      <c r="A970" s="0" t="n">
        <v>969</v>
      </c>
      <c r="B970" s="0" t="str">
        <f aca="false">IFERROR(SMALL(Pipeline_Calc!$A$2:$A$5251,A970),"")</f>
        <v/>
      </c>
      <c r="C970" s="0" t="str">
        <f aca="false">IF(B970="","",MATCH(B970,Pipeline_Calc!$A$2:$A$5251,0))</f>
        <v/>
      </c>
    </row>
    <row r="971" customFormat="false" ht="15" hidden="false" customHeight="false" outlineLevel="0" collapsed="false">
      <c r="A971" s="0" t="n">
        <v>970</v>
      </c>
      <c r="B971" s="0" t="str">
        <f aca="false">IFERROR(SMALL(Pipeline_Calc!$A$2:$A$5251,A971),"")</f>
        <v/>
      </c>
      <c r="C971" s="0" t="str">
        <f aca="false">IF(B971="","",MATCH(B971,Pipeline_Calc!$A$2:$A$5251,0))</f>
        <v/>
      </c>
    </row>
    <row r="972" customFormat="false" ht="15" hidden="false" customHeight="false" outlineLevel="0" collapsed="false">
      <c r="A972" s="0" t="n">
        <v>971</v>
      </c>
      <c r="B972" s="0" t="str">
        <f aca="false">IFERROR(SMALL(Pipeline_Calc!$A$2:$A$5251,A972),"")</f>
        <v/>
      </c>
      <c r="C972" s="0" t="str">
        <f aca="false">IF(B972="","",MATCH(B972,Pipeline_Calc!$A$2:$A$5251,0))</f>
        <v/>
      </c>
    </row>
    <row r="973" customFormat="false" ht="15" hidden="false" customHeight="false" outlineLevel="0" collapsed="false">
      <c r="A973" s="0" t="n">
        <v>972</v>
      </c>
      <c r="B973" s="0" t="str">
        <f aca="false">IFERROR(SMALL(Pipeline_Calc!$A$2:$A$5251,A973),"")</f>
        <v/>
      </c>
      <c r="C973" s="0" t="str">
        <f aca="false">IF(B973="","",MATCH(B973,Pipeline_Calc!$A$2:$A$5251,0))</f>
        <v/>
      </c>
    </row>
    <row r="974" customFormat="false" ht="15" hidden="false" customHeight="false" outlineLevel="0" collapsed="false">
      <c r="A974" s="0" t="n">
        <v>973</v>
      </c>
      <c r="B974" s="0" t="str">
        <f aca="false">IFERROR(SMALL(Pipeline_Calc!$A$2:$A$5251,A974),"")</f>
        <v/>
      </c>
      <c r="C974" s="0" t="str">
        <f aca="false">IF(B974="","",MATCH(B974,Pipeline_Calc!$A$2:$A$5251,0))</f>
        <v/>
      </c>
    </row>
    <row r="975" customFormat="false" ht="15" hidden="false" customHeight="false" outlineLevel="0" collapsed="false">
      <c r="A975" s="0" t="n">
        <v>974</v>
      </c>
      <c r="B975" s="0" t="str">
        <f aca="false">IFERROR(SMALL(Pipeline_Calc!$A$2:$A$5251,A975),"")</f>
        <v/>
      </c>
      <c r="C975" s="0" t="str">
        <f aca="false">IF(B975="","",MATCH(B975,Pipeline_Calc!$A$2:$A$5251,0))</f>
        <v/>
      </c>
    </row>
    <row r="976" customFormat="false" ht="15" hidden="false" customHeight="false" outlineLevel="0" collapsed="false">
      <c r="A976" s="0" t="n">
        <v>975</v>
      </c>
      <c r="B976" s="0" t="str">
        <f aca="false">IFERROR(SMALL(Pipeline_Calc!$A$2:$A$5251,A976),"")</f>
        <v/>
      </c>
      <c r="C976" s="0" t="str">
        <f aca="false">IF(B976="","",MATCH(B976,Pipeline_Calc!$A$2:$A$5251,0))</f>
        <v/>
      </c>
    </row>
    <row r="977" customFormat="false" ht="15" hidden="false" customHeight="false" outlineLevel="0" collapsed="false">
      <c r="A977" s="0" t="n">
        <v>976</v>
      </c>
      <c r="B977" s="0" t="str">
        <f aca="false">IFERROR(SMALL(Pipeline_Calc!$A$2:$A$5251,A977),"")</f>
        <v/>
      </c>
      <c r="C977" s="0" t="str">
        <f aca="false">IF(B977="","",MATCH(B977,Pipeline_Calc!$A$2:$A$5251,0))</f>
        <v/>
      </c>
    </row>
    <row r="978" customFormat="false" ht="15" hidden="false" customHeight="false" outlineLevel="0" collapsed="false">
      <c r="A978" s="0" t="n">
        <v>977</v>
      </c>
      <c r="B978" s="0" t="str">
        <f aca="false">IFERROR(SMALL(Pipeline_Calc!$A$2:$A$5251,A978),"")</f>
        <v/>
      </c>
      <c r="C978" s="0" t="str">
        <f aca="false">IF(B978="","",MATCH(B978,Pipeline_Calc!$A$2:$A$5251,0))</f>
        <v/>
      </c>
    </row>
    <row r="979" customFormat="false" ht="15" hidden="false" customHeight="false" outlineLevel="0" collapsed="false">
      <c r="A979" s="0" t="n">
        <v>978</v>
      </c>
      <c r="B979" s="0" t="str">
        <f aca="false">IFERROR(SMALL(Pipeline_Calc!$A$2:$A$5251,A979),"")</f>
        <v/>
      </c>
      <c r="C979" s="0" t="str">
        <f aca="false">IF(B979="","",MATCH(B979,Pipeline_Calc!$A$2:$A$5251,0))</f>
        <v/>
      </c>
    </row>
    <row r="980" customFormat="false" ht="15" hidden="false" customHeight="false" outlineLevel="0" collapsed="false">
      <c r="A980" s="0" t="n">
        <v>979</v>
      </c>
      <c r="B980" s="0" t="str">
        <f aca="false">IFERROR(SMALL(Pipeline_Calc!$A$2:$A$5251,A980),"")</f>
        <v/>
      </c>
      <c r="C980" s="0" t="str">
        <f aca="false">IF(B980="","",MATCH(B980,Pipeline_Calc!$A$2:$A$5251,0))</f>
        <v/>
      </c>
    </row>
    <row r="981" customFormat="false" ht="15" hidden="false" customHeight="false" outlineLevel="0" collapsed="false">
      <c r="A981" s="0" t="n">
        <v>980</v>
      </c>
      <c r="B981" s="0" t="str">
        <f aca="false">IFERROR(SMALL(Pipeline_Calc!$A$2:$A$5251,A981),"")</f>
        <v/>
      </c>
      <c r="C981" s="0" t="str">
        <f aca="false">IF(B981="","",MATCH(B981,Pipeline_Calc!$A$2:$A$5251,0))</f>
        <v/>
      </c>
    </row>
    <row r="982" customFormat="false" ht="15" hidden="false" customHeight="false" outlineLevel="0" collapsed="false">
      <c r="A982" s="0" t="n">
        <v>981</v>
      </c>
      <c r="B982" s="0" t="str">
        <f aca="false">IFERROR(SMALL(Pipeline_Calc!$A$2:$A$5251,A982),"")</f>
        <v/>
      </c>
      <c r="C982" s="0" t="str">
        <f aca="false">IF(B982="","",MATCH(B982,Pipeline_Calc!$A$2:$A$5251,0))</f>
        <v/>
      </c>
    </row>
    <row r="983" customFormat="false" ht="15" hidden="false" customHeight="false" outlineLevel="0" collapsed="false">
      <c r="A983" s="0" t="n">
        <v>982</v>
      </c>
      <c r="B983" s="0" t="str">
        <f aca="false">IFERROR(SMALL(Pipeline_Calc!$A$2:$A$5251,A983),"")</f>
        <v/>
      </c>
      <c r="C983" s="0" t="str">
        <f aca="false">IF(B983="","",MATCH(B983,Pipeline_Calc!$A$2:$A$5251,0))</f>
        <v/>
      </c>
    </row>
    <row r="984" customFormat="false" ht="15" hidden="false" customHeight="false" outlineLevel="0" collapsed="false">
      <c r="A984" s="0" t="n">
        <v>983</v>
      </c>
      <c r="B984" s="0" t="str">
        <f aca="false">IFERROR(SMALL(Pipeline_Calc!$A$2:$A$5251,A984),"")</f>
        <v/>
      </c>
      <c r="C984" s="0" t="str">
        <f aca="false">IF(B984="","",MATCH(B984,Pipeline_Calc!$A$2:$A$5251,0))</f>
        <v/>
      </c>
    </row>
    <row r="985" customFormat="false" ht="15" hidden="false" customHeight="false" outlineLevel="0" collapsed="false">
      <c r="A985" s="0" t="n">
        <v>984</v>
      </c>
      <c r="B985" s="0" t="str">
        <f aca="false">IFERROR(SMALL(Pipeline_Calc!$A$2:$A$5251,A985),"")</f>
        <v/>
      </c>
      <c r="C985" s="0" t="str">
        <f aca="false">IF(B985="","",MATCH(B985,Pipeline_Calc!$A$2:$A$5251,0))</f>
        <v/>
      </c>
    </row>
    <row r="986" customFormat="false" ht="15" hidden="false" customHeight="false" outlineLevel="0" collapsed="false">
      <c r="A986" s="0" t="n">
        <v>985</v>
      </c>
      <c r="B986" s="0" t="str">
        <f aca="false">IFERROR(SMALL(Pipeline_Calc!$A$2:$A$5251,A986),"")</f>
        <v/>
      </c>
      <c r="C986" s="0" t="str">
        <f aca="false">IF(B986="","",MATCH(B986,Pipeline_Calc!$A$2:$A$5251,0))</f>
        <v/>
      </c>
    </row>
    <row r="987" customFormat="false" ht="15" hidden="false" customHeight="false" outlineLevel="0" collapsed="false">
      <c r="A987" s="0" t="n">
        <v>986</v>
      </c>
      <c r="B987" s="0" t="str">
        <f aca="false">IFERROR(SMALL(Pipeline_Calc!$A$2:$A$5251,A987),"")</f>
        <v/>
      </c>
      <c r="C987" s="0" t="str">
        <f aca="false">IF(B987="","",MATCH(B987,Pipeline_Calc!$A$2:$A$5251,0))</f>
        <v/>
      </c>
    </row>
    <row r="988" customFormat="false" ht="15" hidden="false" customHeight="false" outlineLevel="0" collapsed="false">
      <c r="A988" s="0" t="n">
        <v>987</v>
      </c>
      <c r="B988" s="0" t="str">
        <f aca="false">IFERROR(SMALL(Pipeline_Calc!$A$2:$A$5251,A988),"")</f>
        <v/>
      </c>
      <c r="C988" s="0" t="str">
        <f aca="false">IF(B988="","",MATCH(B988,Pipeline_Calc!$A$2:$A$5251,0))</f>
        <v/>
      </c>
    </row>
    <row r="989" customFormat="false" ht="15" hidden="false" customHeight="false" outlineLevel="0" collapsed="false">
      <c r="A989" s="0" t="n">
        <v>988</v>
      </c>
      <c r="B989" s="0" t="str">
        <f aca="false">IFERROR(SMALL(Pipeline_Calc!$A$2:$A$5251,A989),"")</f>
        <v/>
      </c>
      <c r="C989" s="0" t="str">
        <f aca="false">IF(B989="","",MATCH(B989,Pipeline_Calc!$A$2:$A$5251,0))</f>
        <v/>
      </c>
    </row>
    <row r="990" customFormat="false" ht="15" hidden="false" customHeight="false" outlineLevel="0" collapsed="false">
      <c r="A990" s="0" t="n">
        <v>989</v>
      </c>
      <c r="B990" s="0" t="str">
        <f aca="false">IFERROR(SMALL(Pipeline_Calc!$A$2:$A$5251,A990),"")</f>
        <v/>
      </c>
      <c r="C990" s="0" t="str">
        <f aca="false">IF(B990="","",MATCH(B990,Pipeline_Calc!$A$2:$A$5251,0))</f>
        <v/>
      </c>
    </row>
    <row r="991" customFormat="false" ht="15" hidden="false" customHeight="false" outlineLevel="0" collapsed="false">
      <c r="A991" s="0" t="n">
        <v>990</v>
      </c>
      <c r="B991" s="0" t="str">
        <f aca="false">IFERROR(SMALL(Pipeline_Calc!$A$2:$A$5251,A991),"")</f>
        <v/>
      </c>
      <c r="C991" s="0" t="str">
        <f aca="false">IF(B991="","",MATCH(B991,Pipeline_Calc!$A$2:$A$5251,0))</f>
        <v/>
      </c>
    </row>
    <row r="992" customFormat="false" ht="15" hidden="false" customHeight="false" outlineLevel="0" collapsed="false">
      <c r="A992" s="0" t="n">
        <v>991</v>
      </c>
      <c r="B992" s="0" t="str">
        <f aca="false">IFERROR(SMALL(Pipeline_Calc!$A$2:$A$5251,A992),"")</f>
        <v/>
      </c>
      <c r="C992" s="0" t="str">
        <f aca="false">IF(B992="","",MATCH(B992,Pipeline_Calc!$A$2:$A$5251,0))</f>
        <v/>
      </c>
    </row>
    <row r="993" customFormat="false" ht="15" hidden="false" customHeight="false" outlineLevel="0" collapsed="false">
      <c r="A993" s="0" t="n">
        <v>992</v>
      </c>
      <c r="B993" s="0" t="str">
        <f aca="false">IFERROR(SMALL(Pipeline_Calc!$A$2:$A$5251,A993),"")</f>
        <v/>
      </c>
      <c r="C993" s="0" t="str">
        <f aca="false">IF(B993="","",MATCH(B993,Pipeline_Calc!$A$2:$A$5251,0))</f>
        <v/>
      </c>
    </row>
    <row r="994" customFormat="false" ht="15" hidden="false" customHeight="false" outlineLevel="0" collapsed="false">
      <c r="A994" s="0" t="n">
        <v>993</v>
      </c>
      <c r="B994" s="0" t="str">
        <f aca="false">IFERROR(SMALL(Pipeline_Calc!$A$2:$A$5251,A994),"")</f>
        <v/>
      </c>
      <c r="C994" s="0" t="str">
        <f aca="false">IF(B994="","",MATCH(B994,Pipeline_Calc!$A$2:$A$5251,0))</f>
        <v/>
      </c>
    </row>
    <row r="995" customFormat="false" ht="15" hidden="false" customHeight="false" outlineLevel="0" collapsed="false">
      <c r="A995" s="0" t="n">
        <v>994</v>
      </c>
      <c r="B995" s="0" t="str">
        <f aca="false">IFERROR(SMALL(Pipeline_Calc!$A$2:$A$5251,A995),"")</f>
        <v/>
      </c>
      <c r="C995" s="0" t="str">
        <f aca="false">IF(B995="","",MATCH(B995,Pipeline_Calc!$A$2:$A$5251,0))</f>
        <v/>
      </c>
    </row>
    <row r="996" customFormat="false" ht="15" hidden="false" customHeight="false" outlineLevel="0" collapsed="false">
      <c r="A996" s="0" t="n">
        <v>995</v>
      </c>
      <c r="B996" s="0" t="str">
        <f aca="false">IFERROR(SMALL(Pipeline_Calc!$A$2:$A$5251,A996),"")</f>
        <v/>
      </c>
      <c r="C996" s="0" t="str">
        <f aca="false">IF(B996="","",MATCH(B996,Pipeline_Calc!$A$2:$A$5251,0))</f>
        <v/>
      </c>
    </row>
    <row r="997" customFormat="false" ht="15" hidden="false" customHeight="false" outlineLevel="0" collapsed="false">
      <c r="A997" s="0" t="n">
        <v>996</v>
      </c>
      <c r="B997" s="0" t="str">
        <f aca="false">IFERROR(SMALL(Pipeline_Calc!$A$2:$A$5251,A997),"")</f>
        <v/>
      </c>
      <c r="C997" s="0" t="str">
        <f aca="false">IF(B997="","",MATCH(B997,Pipeline_Calc!$A$2:$A$5251,0))</f>
        <v/>
      </c>
    </row>
    <row r="998" customFormat="false" ht="15" hidden="false" customHeight="false" outlineLevel="0" collapsed="false">
      <c r="A998" s="0" t="n">
        <v>997</v>
      </c>
      <c r="B998" s="0" t="str">
        <f aca="false">IFERROR(SMALL(Pipeline_Calc!$A$2:$A$5251,A998),"")</f>
        <v/>
      </c>
      <c r="C998" s="0" t="str">
        <f aca="false">IF(B998="","",MATCH(B998,Pipeline_Calc!$A$2:$A$5251,0))</f>
        <v/>
      </c>
    </row>
    <row r="999" customFormat="false" ht="15" hidden="false" customHeight="false" outlineLevel="0" collapsed="false">
      <c r="A999" s="0" t="n">
        <v>998</v>
      </c>
      <c r="B999" s="0" t="str">
        <f aca="false">IFERROR(SMALL(Pipeline_Calc!$A$2:$A$5251,A999),"")</f>
        <v/>
      </c>
      <c r="C999" s="0" t="str">
        <f aca="false">IF(B999="","",MATCH(B999,Pipeline_Calc!$A$2:$A$5251,0))</f>
        <v/>
      </c>
    </row>
    <row r="1000" customFormat="false" ht="15" hidden="false" customHeight="false" outlineLevel="0" collapsed="false">
      <c r="A1000" s="0" t="n">
        <v>999</v>
      </c>
      <c r="B1000" s="0" t="str">
        <f aca="false">IFERROR(SMALL(Pipeline_Calc!$A$2:$A$5251,A1000),"")</f>
        <v/>
      </c>
      <c r="C1000" s="0" t="str">
        <f aca="false">IF(B1000="","",MATCH(B1000,Pipeline_Calc!$A$2:$A$5251,0))</f>
        <v/>
      </c>
    </row>
    <row r="1001" customFormat="false" ht="15" hidden="false" customHeight="false" outlineLevel="0" collapsed="false">
      <c r="A1001" s="0" t="n">
        <v>1000</v>
      </c>
      <c r="B1001" s="0" t="str">
        <f aca="false">IFERROR(SMALL(Pipeline_Calc!$A$2:$A$5251,A1001),"")</f>
        <v/>
      </c>
      <c r="C1001" s="0" t="str">
        <f aca="false">IF(B1001="","",MATCH(B1001,Pipeline_Calc!$A$2:$A$5251,0))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M52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1"/>
    <col collapsed="false" customWidth="true" hidden="false" outlineLevel="0" max="3" min="3" style="0" width="8"/>
    <col collapsed="false" customWidth="true" hidden="false" outlineLevel="0" max="4" min="4" style="0" width="15"/>
    <col collapsed="false" customWidth="true" hidden="false" outlineLevel="0" max="5" min="5" style="0" width="18"/>
    <col collapsed="false" customWidth="true" hidden="false" outlineLevel="0" max="6" min="6" style="0" width="16"/>
    <col collapsed="false" customWidth="true" hidden="false" outlineLevel="0" max="7" min="7" style="0" width="10"/>
    <col collapsed="false" customWidth="true" hidden="false" outlineLevel="0" max="8" min="8" style="0" width="24"/>
    <col collapsed="false" customWidth="true" hidden="false" outlineLevel="0" max="9" min="9" style="0" width="8"/>
    <col collapsed="false" customWidth="true" hidden="false" outlineLevel="0" max="10" min="10" style="0" width="26"/>
    <col collapsed="false" customWidth="true" hidden="false" outlineLevel="0" max="11" min="11" style="0" width="22"/>
  </cols>
  <sheetData>
    <row r="1" customFormat="false" ht="41.75" hidden="false" customHeight="false" outlineLevel="0" collapsed="false">
      <c r="A1" s="21" t="s">
        <v>1348</v>
      </c>
      <c r="B1" s="21" t="s">
        <v>1037</v>
      </c>
      <c r="C1" s="21" t="s">
        <v>1038</v>
      </c>
      <c r="D1" s="21" t="s">
        <v>1346</v>
      </c>
      <c r="E1" s="21" t="s">
        <v>1039</v>
      </c>
      <c r="F1" s="21" t="s">
        <v>1040</v>
      </c>
      <c r="G1" s="21" t="s">
        <v>1041</v>
      </c>
      <c r="H1" s="21" t="s">
        <v>1042</v>
      </c>
      <c r="I1" s="21" t="s">
        <v>605</v>
      </c>
      <c r="J1" s="21" t="s">
        <v>349</v>
      </c>
      <c r="K1" s="21" t="s">
        <v>1350</v>
      </c>
      <c r="M1" s="7" t="s">
        <v>1351</v>
      </c>
    </row>
    <row r="2" customFormat="false" ht="15" hidden="false" customHeight="false" outlineLevel="0" collapsed="false">
      <c r="A2" s="42" t="n">
        <f aca="false">IF(B2="","",B2+(1*1000+1)/10000000)</f>
        <v>46322.0001001</v>
      </c>
      <c r="B2" s="35" t="n">
        <f aca="false">IF(Office_Log!BB2=1,Office_Log!H2,"")</f>
        <v>46322</v>
      </c>
      <c r="C2" s="23" t="str">
        <f aca="false">IF(B2="","","office")</f>
        <v>office</v>
      </c>
      <c r="D2" s="23" t="str">
        <f aca="false">IF(B2="","",Office_Log!ED2&amp;"")</f>
        <v>SAMPLE-O-001</v>
      </c>
      <c r="E2" s="23" t="str">
        <f aca="false">IF(B2="","",IF(Office_Log!B2="","",Office_Log!B2&amp;""))</f>
        <v>SAMPLE Office 01</v>
      </c>
      <c r="F2" s="23" t="str">
        <f aca="false">IF(B2="","","conversation")</f>
        <v>conversation</v>
      </c>
      <c r="G2" s="23" t="str">
        <f aca="false">IF(B2="","","")</f>
        <v/>
      </c>
      <c r="H2" s="23" t="str">
        <f aca="false">IF(B2="","","")</f>
        <v/>
      </c>
      <c r="I2" s="23" t="str">
        <f aca="false">IF(B2="","","")</f>
        <v/>
      </c>
      <c r="J2" s="23" t="str">
        <f aca="false">IF(B2="","",IF(Office_Log!I2="","",Office_Log!I2&amp;""))</f>
        <v>video</v>
      </c>
      <c r="K2" s="32" t="s">
        <v>1352</v>
      </c>
    </row>
    <row r="3" customFormat="false" ht="15" hidden="false" customHeight="false" outlineLevel="0" collapsed="false">
      <c r="A3" s="42" t="n">
        <f aca="false">IF(B3="","",B3+(1*1000+2)/10000000)</f>
        <v>46323.0001002</v>
      </c>
      <c r="B3" s="35" t="n">
        <f aca="false">IF(Office_Log!BB3=1,Office_Log!H3,"")</f>
        <v>46323</v>
      </c>
      <c r="C3" s="23" t="str">
        <f aca="false">IF(B3="","","office")</f>
        <v>office</v>
      </c>
      <c r="D3" s="23" t="str">
        <f aca="false">IF(B3="","",Office_Log!ED3&amp;"")</f>
        <v>SAMPLE-O-002</v>
      </c>
      <c r="E3" s="23" t="str">
        <f aca="false">IF(B3="","",IF(Office_Log!B3="","",Office_Log!B3&amp;""))</f>
        <v>SAMPLE Office 02</v>
      </c>
      <c r="F3" s="23" t="str">
        <f aca="false">IF(B3="","","conversation")</f>
        <v>conversation</v>
      </c>
      <c r="G3" s="23" t="str">
        <f aca="false">IF(B3="","","")</f>
        <v/>
      </c>
      <c r="H3" s="23" t="str">
        <f aca="false">IF(B3="","","")</f>
        <v/>
      </c>
      <c r="I3" s="23" t="str">
        <f aca="false">IF(B3="","","")</f>
        <v/>
      </c>
      <c r="J3" s="23" t="str">
        <f aca="false">IF(B3="","",IF(Office_Log!I3="","",Office_Log!I3&amp;""))</f>
        <v>phone</v>
      </c>
      <c r="K3" s="32" t="s">
        <v>1352</v>
      </c>
    </row>
    <row r="4" customFormat="false" ht="15" hidden="false" customHeight="false" outlineLevel="0" collapsed="false">
      <c r="A4" s="42" t="n">
        <f aca="false">IF(B4="","",B4+(1*1000+3)/10000000)</f>
        <v>46324.0001003</v>
      </c>
      <c r="B4" s="35" t="n">
        <f aca="false">IF(Office_Log!BB4=1,Office_Log!H4,"")</f>
        <v>46324</v>
      </c>
      <c r="C4" s="23" t="str">
        <f aca="false">IF(B4="","","office")</f>
        <v>office</v>
      </c>
      <c r="D4" s="23" t="str">
        <f aca="false">IF(B4="","",Office_Log!ED4&amp;"")</f>
        <v>SAMPLE-O-003</v>
      </c>
      <c r="E4" s="23" t="str">
        <f aca="false">IF(B4="","",IF(Office_Log!B4="","",Office_Log!B4&amp;""))</f>
        <v>SAMPLE Office 03</v>
      </c>
      <c r="F4" s="23" t="str">
        <f aca="false">IF(B4="","","conversation")</f>
        <v>conversation</v>
      </c>
      <c r="G4" s="23" t="str">
        <f aca="false">IF(B4="","","")</f>
        <v/>
      </c>
      <c r="H4" s="23" t="str">
        <f aca="false">IF(B4="","","")</f>
        <v/>
      </c>
      <c r="I4" s="23" t="str">
        <f aca="false">IF(B4="","","")</f>
        <v/>
      </c>
      <c r="J4" s="23" t="str">
        <f aca="false">IF(B4="","",IF(Office_Log!I4="","",Office_Log!I4&amp;""))</f>
        <v>walk-in</v>
      </c>
      <c r="K4" s="32" t="s">
        <v>1352</v>
      </c>
    </row>
    <row r="5" customFormat="false" ht="15" hidden="false" customHeight="false" outlineLevel="0" collapsed="false">
      <c r="A5" s="42" t="n">
        <f aca="false">IF(B5="","",B5+(1*1000+4)/10000000)</f>
        <v>46328.0001004</v>
      </c>
      <c r="B5" s="35" t="n">
        <f aca="false">IF(Office_Log!BB5=1,Office_Log!H5,"")</f>
        <v>46328</v>
      </c>
      <c r="C5" s="23" t="str">
        <f aca="false">IF(B5="","","office")</f>
        <v>office</v>
      </c>
      <c r="D5" s="23" t="str">
        <f aca="false">IF(B5="","",Office_Log!ED5&amp;"")</f>
        <v>SAMPLE-O-004</v>
      </c>
      <c r="E5" s="23" t="str">
        <f aca="false">IF(B5="","",IF(Office_Log!B5="","",Office_Log!B5&amp;""))</f>
        <v>SAMPLE Office 04</v>
      </c>
      <c r="F5" s="23" t="str">
        <f aca="false">IF(B5="","","conversation")</f>
        <v>conversation</v>
      </c>
      <c r="G5" s="23" t="str">
        <f aca="false">IF(B5="","","")</f>
        <v/>
      </c>
      <c r="H5" s="23" t="str">
        <f aca="false">IF(B5="","","")</f>
        <v/>
      </c>
      <c r="I5" s="23" t="str">
        <f aca="false">IF(B5="","","")</f>
        <v/>
      </c>
      <c r="J5" s="23" t="str">
        <f aca="false">IF(B5="","",IF(Office_Log!I5="","",Office_Log!I5&amp;""))</f>
        <v>video</v>
      </c>
      <c r="K5" s="32" t="s">
        <v>1352</v>
      </c>
    </row>
    <row r="6" customFormat="false" ht="15" hidden="false" customHeight="false" outlineLevel="0" collapsed="false">
      <c r="A6" s="42" t="n">
        <f aca="false">IF(B6="","",B6+(1*1000+5)/10000000)</f>
        <v>46329.0001005</v>
      </c>
      <c r="B6" s="35" t="n">
        <f aca="false">IF(Office_Log!BB6=1,Office_Log!H6,"")</f>
        <v>46329</v>
      </c>
      <c r="C6" s="23" t="str">
        <f aca="false">IF(B6="","","office")</f>
        <v>office</v>
      </c>
      <c r="D6" s="23" t="str">
        <f aca="false">IF(B6="","",Office_Log!ED6&amp;"")</f>
        <v>SAMPLE-O-005</v>
      </c>
      <c r="E6" s="23" t="str">
        <f aca="false">IF(B6="","",IF(Office_Log!B6="","",Office_Log!B6&amp;""))</f>
        <v>SAMPLE Office 05</v>
      </c>
      <c r="F6" s="23" t="str">
        <f aca="false">IF(B6="","","conversation")</f>
        <v>conversation</v>
      </c>
      <c r="G6" s="23" t="str">
        <f aca="false">IF(B6="","","")</f>
        <v/>
      </c>
      <c r="H6" s="23" t="str">
        <f aca="false">IF(B6="","","")</f>
        <v/>
      </c>
      <c r="I6" s="23" t="str">
        <f aca="false">IF(B6="","","")</f>
        <v/>
      </c>
      <c r="J6" s="23" t="str">
        <f aca="false">IF(B6="","",IF(Office_Log!I6="","",Office_Log!I6&amp;""))</f>
        <v>phone</v>
      </c>
      <c r="K6" s="32" t="s">
        <v>1352</v>
      </c>
    </row>
    <row r="7" customFormat="false" ht="15" hidden="false" customHeight="false" outlineLevel="0" collapsed="false">
      <c r="A7" s="42" t="n">
        <f aca="false">IF(B7="","",B7+(1*1000+6)/10000000)</f>
        <v>46330.0001006</v>
      </c>
      <c r="B7" s="35" t="n">
        <f aca="false">IF(Office_Log!BB7=1,Office_Log!H7,"")</f>
        <v>46330</v>
      </c>
      <c r="C7" s="23" t="str">
        <f aca="false">IF(B7="","","office")</f>
        <v>office</v>
      </c>
      <c r="D7" s="23" t="str">
        <f aca="false">IF(B7="","",Office_Log!ED7&amp;"")</f>
        <v>SAMPLE-O-006</v>
      </c>
      <c r="E7" s="23" t="str">
        <f aca="false">IF(B7="","",IF(Office_Log!B7="","",Office_Log!B7&amp;""))</f>
        <v>SAMPLE Office 06</v>
      </c>
      <c r="F7" s="23" t="str">
        <f aca="false">IF(B7="","","conversation")</f>
        <v>conversation</v>
      </c>
      <c r="G7" s="23" t="str">
        <f aca="false">IF(B7="","","")</f>
        <v/>
      </c>
      <c r="H7" s="23" t="str">
        <f aca="false">IF(B7="","","")</f>
        <v/>
      </c>
      <c r="I7" s="23" t="str">
        <f aca="false">IF(B7="","","")</f>
        <v/>
      </c>
      <c r="J7" s="23" t="str">
        <f aca="false">IF(B7="","",IF(Office_Log!I7="","",Office_Log!I7&amp;""))</f>
        <v>in-person</v>
      </c>
      <c r="K7" s="32" t="s">
        <v>1352</v>
      </c>
    </row>
    <row r="8" customFormat="false" ht="15" hidden="false" customHeight="false" outlineLevel="0" collapsed="false">
      <c r="A8" s="42" t="n">
        <f aca="false">IF(B8="","",B8+(1*1000+7)/10000000)</f>
        <v>46331.0001007</v>
      </c>
      <c r="B8" s="35" t="n">
        <f aca="false">IF(Office_Log!BB8=1,Office_Log!H8,"")</f>
        <v>46331</v>
      </c>
      <c r="C8" s="23" t="str">
        <f aca="false">IF(B8="","","office")</f>
        <v>office</v>
      </c>
      <c r="D8" s="23" t="str">
        <f aca="false">IF(B8="","",Office_Log!ED8&amp;"")</f>
        <v>SAMPLE-O-007</v>
      </c>
      <c r="E8" s="23" t="str">
        <f aca="false">IF(B8="","",IF(Office_Log!B8="","",Office_Log!B8&amp;""))</f>
        <v>SAMPLE Office 07</v>
      </c>
      <c r="F8" s="23" t="str">
        <f aca="false">IF(B8="","","conversation")</f>
        <v>conversation</v>
      </c>
      <c r="G8" s="23" t="str">
        <f aca="false">IF(B8="","","")</f>
        <v/>
      </c>
      <c r="H8" s="23" t="str">
        <f aca="false">IF(B8="","","")</f>
        <v/>
      </c>
      <c r="I8" s="23" t="str">
        <f aca="false">IF(B8="","","")</f>
        <v/>
      </c>
      <c r="J8" s="23" t="str">
        <f aca="false">IF(B8="","",IF(Office_Log!I8="","",Office_Log!I8&amp;""))</f>
        <v>video</v>
      </c>
      <c r="K8" s="32" t="s">
        <v>1352</v>
      </c>
    </row>
    <row r="9" customFormat="false" ht="15" hidden="false" customHeight="false" outlineLevel="0" collapsed="false">
      <c r="A9" s="42" t="n">
        <f aca="false">IF(B9="","",B9+(1*1000+8)/10000000)</f>
        <v>46335.0001008</v>
      </c>
      <c r="B9" s="35" t="n">
        <f aca="false">IF(Office_Log!BB9=1,Office_Log!H9,"")</f>
        <v>46335</v>
      </c>
      <c r="C9" s="23" t="str">
        <f aca="false">IF(B9="","","office")</f>
        <v>office</v>
      </c>
      <c r="D9" s="23" t="str">
        <f aca="false">IF(B9="","",Office_Log!ED9&amp;"")</f>
        <v>SAMPLE-O-008</v>
      </c>
      <c r="E9" s="23" t="str">
        <f aca="false">IF(B9="","",IF(Office_Log!B9="","",Office_Log!B9&amp;""))</f>
        <v>SAMPLE Office 08</v>
      </c>
      <c r="F9" s="23" t="str">
        <f aca="false">IF(B9="","","conversation")</f>
        <v>conversation</v>
      </c>
      <c r="G9" s="23" t="str">
        <f aca="false">IF(B9="","","")</f>
        <v/>
      </c>
      <c r="H9" s="23" t="str">
        <f aca="false">IF(B9="","","")</f>
        <v/>
      </c>
      <c r="I9" s="23" t="str">
        <f aca="false">IF(B9="","","")</f>
        <v/>
      </c>
      <c r="J9" s="23" t="str">
        <f aca="false">IF(B9="","",IF(Office_Log!I9="","",Office_Log!I9&amp;""))</f>
        <v>phone</v>
      </c>
      <c r="K9" s="32" t="s">
        <v>1352</v>
      </c>
    </row>
    <row r="10" customFormat="false" ht="15" hidden="false" customHeight="false" outlineLevel="0" collapsed="false">
      <c r="A10" s="42" t="n">
        <f aca="false">IF(B10="","",B10+(1*1000+9)/10000000)</f>
        <v>46336.0001009</v>
      </c>
      <c r="B10" s="35" t="n">
        <f aca="false">IF(Office_Log!BB10=1,Office_Log!H10,"")</f>
        <v>46336</v>
      </c>
      <c r="C10" s="23" t="str">
        <f aca="false">IF(B10="","","office")</f>
        <v>office</v>
      </c>
      <c r="D10" s="23" t="str">
        <f aca="false">IF(B10="","",Office_Log!ED10&amp;"")</f>
        <v>SAMPLE-O-009</v>
      </c>
      <c r="E10" s="23" t="str">
        <f aca="false">IF(B10="","",IF(Office_Log!B10="","",Office_Log!B10&amp;""))</f>
        <v>SAMPLE Office 09</v>
      </c>
      <c r="F10" s="23" t="str">
        <f aca="false">IF(B10="","","conversation")</f>
        <v>conversation</v>
      </c>
      <c r="G10" s="23" t="str">
        <f aca="false">IF(B10="","","")</f>
        <v/>
      </c>
      <c r="H10" s="23" t="str">
        <f aca="false">IF(B10="","","")</f>
        <v/>
      </c>
      <c r="I10" s="23" t="str">
        <f aca="false">IF(B10="","","")</f>
        <v/>
      </c>
      <c r="J10" s="23" t="str">
        <f aca="false">IF(B10="","",IF(Office_Log!I10="","",Office_Log!I10&amp;""))</f>
        <v>phone</v>
      </c>
      <c r="K10" s="32" t="s">
        <v>1352</v>
      </c>
    </row>
    <row r="11" customFormat="false" ht="15" hidden="false" customHeight="false" outlineLevel="0" collapsed="false">
      <c r="A11" s="42" t="n">
        <f aca="false">IF(B11="","",B11+(1*1000+10)/10000000)</f>
        <v>46336.000101</v>
      </c>
      <c r="B11" s="35" t="n">
        <f aca="false">IF(Office_Log!BB11=1,Office_Log!H11,"")</f>
        <v>46336</v>
      </c>
      <c r="C11" s="23" t="str">
        <f aca="false">IF(B11="","","office")</f>
        <v>office</v>
      </c>
      <c r="D11" s="23" t="str">
        <f aca="false">IF(B11="","",Office_Log!ED11&amp;"")</f>
        <v>SAMPLE-O-010</v>
      </c>
      <c r="E11" s="23" t="str">
        <f aca="false">IF(B11="","",IF(Office_Log!B11="","",Office_Log!B11&amp;""))</f>
        <v>SAMPLE Office 10</v>
      </c>
      <c r="F11" s="23" t="str">
        <f aca="false">IF(B11="","","conversation")</f>
        <v>conversation</v>
      </c>
      <c r="G11" s="23" t="str">
        <f aca="false">IF(B11="","","")</f>
        <v/>
      </c>
      <c r="H11" s="23" t="str">
        <f aca="false">IF(B11="","","")</f>
        <v/>
      </c>
      <c r="I11" s="23" t="str">
        <f aca="false">IF(B11="","","")</f>
        <v/>
      </c>
      <c r="J11" s="23" t="str">
        <f aca="false">IF(B11="","",IF(Office_Log!I11="","",Office_Log!I11&amp;""))</f>
        <v>video</v>
      </c>
      <c r="K11" s="32" t="s">
        <v>1352</v>
      </c>
    </row>
    <row r="12" customFormat="false" ht="15" hidden="false" customHeight="false" outlineLevel="0" collapsed="false">
      <c r="A12" s="42" t="n">
        <f aca="false">IF(B12="","",B12+(1*1000+11)/10000000)</f>
        <v>46338.0001011</v>
      </c>
      <c r="B12" s="35" t="n">
        <f aca="false">IF(Office_Log!BB12=1,Office_Log!H12,"")</f>
        <v>46338</v>
      </c>
      <c r="C12" s="23" t="str">
        <f aca="false">IF(B12="","","office")</f>
        <v>office</v>
      </c>
      <c r="D12" s="23" t="str">
        <f aca="false">IF(B12="","",Office_Log!ED12&amp;"")</f>
        <v>SAMPLE-O-011</v>
      </c>
      <c r="E12" s="23" t="str">
        <f aca="false">IF(B12="","",IF(Office_Log!B12="","",Office_Log!B12&amp;""))</f>
        <v>SAMPLE Office 11</v>
      </c>
      <c r="F12" s="23" t="str">
        <f aca="false">IF(B12="","","conversation")</f>
        <v>conversation</v>
      </c>
      <c r="G12" s="23" t="str">
        <f aca="false">IF(B12="","","")</f>
        <v/>
      </c>
      <c r="H12" s="23" t="str">
        <f aca="false">IF(B12="","","")</f>
        <v/>
      </c>
      <c r="I12" s="23" t="str">
        <f aca="false">IF(B12="","","")</f>
        <v/>
      </c>
      <c r="J12" s="23" t="str">
        <f aca="false">IF(B12="","",IF(Office_Log!I12="","",Office_Log!I12&amp;""))</f>
        <v>phone</v>
      </c>
      <c r="K12" s="32" t="s">
        <v>1352</v>
      </c>
    </row>
    <row r="13" customFormat="false" ht="15" hidden="false" customHeight="false" outlineLevel="0" collapsed="false">
      <c r="A13" s="42" t="n">
        <f aca="false">IF(B13="","",B13+(1*1000+12)/10000000)</f>
        <v>46338.0001012</v>
      </c>
      <c r="B13" s="35" t="n">
        <f aca="false">IF(Office_Log!BB13=1,Office_Log!H13,"")</f>
        <v>46338</v>
      </c>
      <c r="C13" s="23" t="str">
        <f aca="false">IF(B13="","","office")</f>
        <v>office</v>
      </c>
      <c r="D13" s="23" t="str">
        <f aca="false">IF(B13="","",Office_Log!ED13&amp;"")</f>
        <v>SAMPLE-O-012</v>
      </c>
      <c r="E13" s="23" t="str">
        <f aca="false">IF(B13="","",IF(Office_Log!B13="","",Office_Log!B13&amp;""))</f>
        <v>SAMPLE Office 12</v>
      </c>
      <c r="F13" s="23" t="str">
        <f aca="false">IF(B13="","","conversation")</f>
        <v>conversation</v>
      </c>
      <c r="G13" s="23" t="str">
        <f aca="false">IF(B13="","","")</f>
        <v/>
      </c>
      <c r="H13" s="23" t="str">
        <f aca="false">IF(B13="","","")</f>
        <v/>
      </c>
      <c r="I13" s="23" t="str">
        <f aca="false">IF(B13="","","")</f>
        <v/>
      </c>
      <c r="J13" s="23" t="str">
        <f aca="false">IF(B13="","",IF(Office_Log!I13="","",Office_Log!I13&amp;""))</f>
        <v>video</v>
      </c>
      <c r="K13" s="32" t="s">
        <v>1352</v>
      </c>
    </row>
    <row r="14" customFormat="false" ht="15" hidden="false" customHeight="false" outlineLevel="0" collapsed="false">
      <c r="A14" s="42" t="n">
        <f aca="false">IF(B14="","",B14+(1*1000+13)/10000000)</f>
        <v>46339.0001013</v>
      </c>
      <c r="B14" s="35" t="n">
        <f aca="false">IF(Office_Log!BB14=1,Office_Log!H14,"")</f>
        <v>46339</v>
      </c>
      <c r="C14" s="23" t="str">
        <f aca="false">IF(B14="","","office")</f>
        <v>office</v>
      </c>
      <c r="D14" s="23" t="str">
        <f aca="false">IF(B14="","",Office_Log!ED14&amp;"")</f>
        <v>SAMPLE-O-013</v>
      </c>
      <c r="E14" s="23" t="str">
        <f aca="false">IF(B14="","",IF(Office_Log!B14="","",Office_Log!B14&amp;""))</f>
        <v>SAMPLE Office 13</v>
      </c>
      <c r="F14" s="23" t="str">
        <f aca="false">IF(B14="","","conversation")</f>
        <v>conversation</v>
      </c>
      <c r="G14" s="23" t="str">
        <f aca="false">IF(B14="","","")</f>
        <v/>
      </c>
      <c r="H14" s="23" t="str">
        <f aca="false">IF(B14="","","")</f>
        <v/>
      </c>
      <c r="I14" s="23" t="str">
        <f aca="false">IF(B14="","","")</f>
        <v/>
      </c>
      <c r="J14" s="23" t="str">
        <f aca="false">IF(B14="","",IF(Office_Log!I14="","",Office_Log!I14&amp;""))</f>
        <v>in-person</v>
      </c>
      <c r="K14" s="32" t="s">
        <v>1352</v>
      </c>
    </row>
    <row r="15" customFormat="false" ht="15" hidden="false" customHeight="false" outlineLevel="0" collapsed="false">
      <c r="A15" s="42" t="n">
        <f aca="false">IF(B15="","",B15+(1*1000+14)/10000000)</f>
        <v>46332.0001014</v>
      </c>
      <c r="B15" s="35" t="n">
        <f aca="false">IF(Office_Log!BB15=1,Office_Log!H15,"")</f>
        <v>46332</v>
      </c>
      <c r="C15" s="23" t="str">
        <f aca="false">IF(B15="","","office")</f>
        <v>office</v>
      </c>
      <c r="D15" s="23" t="str">
        <f aca="false">IF(B15="","",Office_Log!ED15&amp;"")</f>
        <v>SAMPLE-O-001</v>
      </c>
      <c r="E15" s="23" t="str">
        <f aca="false">IF(B15="","",IF(Office_Log!B15="","",Office_Log!B15&amp;""))</f>
        <v>SAMPLE Office 01</v>
      </c>
      <c r="F15" s="23" t="str">
        <f aca="false">IF(B15="","","conversation")</f>
        <v>conversation</v>
      </c>
      <c r="G15" s="23" t="str">
        <f aca="false">IF(B15="","","")</f>
        <v/>
      </c>
      <c r="H15" s="23" t="str">
        <f aca="false">IF(B15="","","")</f>
        <v/>
      </c>
      <c r="I15" s="23" t="str">
        <f aca="false">IF(B15="","","")</f>
        <v/>
      </c>
      <c r="J15" s="23" t="str">
        <f aca="false">IF(B15="","",IF(Office_Log!I15="","",Office_Log!I15&amp;""))</f>
        <v>phone</v>
      </c>
      <c r="K15" s="32" t="s">
        <v>1352</v>
      </c>
    </row>
    <row r="16" customFormat="false" ht="15" hidden="false" customHeight="false" outlineLevel="0" collapsed="false">
      <c r="A16" s="42" t="n">
        <f aca="false">IF(B16="","",B16+(1*1000+15)/10000000)</f>
        <v>46342.0001015</v>
      </c>
      <c r="B16" s="35" t="n">
        <f aca="false">IF(Office_Log!BB16=1,Office_Log!H16,"")</f>
        <v>46342</v>
      </c>
      <c r="C16" s="23" t="str">
        <f aca="false">IF(B16="","","office")</f>
        <v>office</v>
      </c>
      <c r="D16" s="23" t="str">
        <f aca="false">IF(B16="","",Office_Log!ED16&amp;"")</f>
        <v>SAMPLE-O-014</v>
      </c>
      <c r="E16" s="23" t="str">
        <f aca="false">IF(B16="","",IF(Office_Log!B16="","",Office_Log!B16&amp;""))</f>
        <v>SAMPLE Office 14</v>
      </c>
      <c r="F16" s="23" t="str">
        <f aca="false">IF(B16="","","conversation")</f>
        <v>conversation</v>
      </c>
      <c r="G16" s="23" t="str">
        <f aca="false">IF(B16="","","")</f>
        <v/>
      </c>
      <c r="H16" s="23" t="str">
        <f aca="false">IF(B16="","","")</f>
        <v/>
      </c>
      <c r="I16" s="23" t="str">
        <f aca="false">IF(B16="","","")</f>
        <v/>
      </c>
      <c r="J16" s="23" t="str">
        <f aca="false">IF(B16="","",IF(Office_Log!I16="","",Office_Log!I16&amp;""))</f>
        <v>video</v>
      </c>
      <c r="K16" s="32" t="s">
        <v>1352</v>
      </c>
    </row>
    <row r="17" customFormat="false" ht="15" hidden="false" customHeight="false" outlineLevel="0" collapsed="false">
      <c r="A17" s="42" t="n">
        <f aca="false">IF(B17="","",B17+(1*1000+16)/10000000)</f>
        <v>46338.0001016</v>
      </c>
      <c r="B17" s="35" t="n">
        <f aca="false">IF(Office_Log!BB17=1,Office_Log!H17,"")</f>
        <v>46338</v>
      </c>
      <c r="C17" s="23" t="str">
        <f aca="false">IF(B17="","","office")</f>
        <v>office</v>
      </c>
      <c r="D17" s="23" t="str">
        <f aca="false">IF(B17="","",Office_Log!ED17&amp;"")</f>
        <v>SAMPLE-O-004</v>
      </c>
      <c r="E17" s="23" t="str">
        <f aca="false">IF(B17="","",IF(Office_Log!B17="","",Office_Log!B17&amp;""))</f>
        <v>SAMPLE Office 04</v>
      </c>
      <c r="F17" s="23" t="str">
        <f aca="false">IF(B17="","","conversation")</f>
        <v>conversation</v>
      </c>
      <c r="G17" s="23" t="str">
        <f aca="false">IF(B17="","","")</f>
        <v/>
      </c>
      <c r="H17" s="23" t="str">
        <f aca="false">IF(B17="","","")</f>
        <v/>
      </c>
      <c r="I17" s="23" t="str">
        <f aca="false">IF(B17="","","")</f>
        <v/>
      </c>
      <c r="J17" s="23" t="str">
        <f aca="false">IF(B17="","",IF(Office_Log!I17="","",Office_Log!I17&amp;""))</f>
        <v>phone</v>
      </c>
      <c r="K17" s="32" t="s">
        <v>1352</v>
      </c>
    </row>
    <row r="18" customFormat="false" ht="15" hidden="false" customHeight="false" outlineLevel="0" collapsed="false">
      <c r="A18" s="23" t="str">
        <f aca="false">IF(B18="","",B18+(1*1000+17)/10000000)</f>
        <v/>
      </c>
      <c r="B18" s="35" t="str">
        <f aca="false">IF(Office_Log!BB18=1,Office_Log!H18,"")</f>
        <v/>
      </c>
      <c r="C18" s="23" t="str">
        <f aca="false">IF(B18="","","office")</f>
        <v/>
      </c>
      <c r="D18" s="23" t="str">
        <f aca="false">IF(B18="","",Office_Log!ED18&amp;"")</f>
        <v/>
      </c>
      <c r="E18" s="23" t="str">
        <f aca="false">IF(B18="","",IF(Office_Log!B18="","",Office_Log!B18&amp;""))</f>
        <v/>
      </c>
      <c r="F18" s="23" t="str">
        <f aca="false">IF(B18="","","conversation")</f>
        <v/>
      </c>
      <c r="G18" s="23" t="str">
        <f aca="false">IF(B18="","","")</f>
        <v/>
      </c>
      <c r="H18" s="23" t="str">
        <f aca="false">IF(B18="","","")</f>
        <v/>
      </c>
      <c r="I18" s="23" t="str">
        <f aca="false">IF(B18="","","")</f>
        <v/>
      </c>
      <c r="J18" s="23" t="str">
        <f aca="false">IF(B18="","",IF(Office_Log!I18="","",Office_Log!I18&amp;""))</f>
        <v/>
      </c>
      <c r="K18" s="32" t="s">
        <v>1352</v>
      </c>
    </row>
    <row r="19" customFormat="false" ht="15" hidden="false" customHeight="false" outlineLevel="0" collapsed="false">
      <c r="A19" s="23" t="str">
        <f aca="false">IF(B19="","",B19+(1*1000+18)/10000000)</f>
        <v/>
      </c>
      <c r="B19" s="35" t="str">
        <f aca="false">IF(Office_Log!BB19=1,Office_Log!H19,"")</f>
        <v/>
      </c>
      <c r="C19" s="23" t="str">
        <f aca="false">IF(B19="","","office")</f>
        <v/>
      </c>
      <c r="D19" s="23" t="str">
        <f aca="false">IF(B19="","",Office_Log!ED19&amp;"")</f>
        <v/>
      </c>
      <c r="E19" s="23" t="str">
        <f aca="false">IF(B19="","",IF(Office_Log!B19="","",Office_Log!B19&amp;""))</f>
        <v/>
      </c>
      <c r="F19" s="23" t="str">
        <f aca="false">IF(B19="","","conversation")</f>
        <v/>
      </c>
      <c r="G19" s="23" t="str">
        <f aca="false">IF(B19="","","")</f>
        <v/>
      </c>
      <c r="H19" s="23" t="str">
        <f aca="false">IF(B19="","","")</f>
        <v/>
      </c>
      <c r="I19" s="23" t="str">
        <f aca="false">IF(B19="","","")</f>
        <v/>
      </c>
      <c r="J19" s="23" t="str">
        <f aca="false">IF(B19="","",IF(Office_Log!I19="","",Office_Log!I19&amp;""))</f>
        <v/>
      </c>
      <c r="K19" s="32" t="s">
        <v>1352</v>
      </c>
    </row>
    <row r="20" customFormat="false" ht="15" hidden="false" customHeight="false" outlineLevel="0" collapsed="false">
      <c r="A20" s="23" t="str">
        <f aca="false">IF(B20="","",B20+(1*1000+19)/10000000)</f>
        <v/>
      </c>
      <c r="B20" s="35" t="str">
        <f aca="false">IF(Office_Log!BB20=1,Office_Log!H20,"")</f>
        <v/>
      </c>
      <c r="C20" s="23" t="str">
        <f aca="false">IF(B20="","","office")</f>
        <v/>
      </c>
      <c r="D20" s="23" t="str">
        <f aca="false">IF(B20="","",Office_Log!ED20&amp;"")</f>
        <v/>
      </c>
      <c r="E20" s="23" t="str">
        <f aca="false">IF(B20="","",IF(Office_Log!B20="","",Office_Log!B20&amp;""))</f>
        <v/>
      </c>
      <c r="F20" s="23" t="str">
        <f aca="false">IF(B20="","","conversation")</f>
        <v/>
      </c>
      <c r="G20" s="23" t="str">
        <f aca="false">IF(B20="","","")</f>
        <v/>
      </c>
      <c r="H20" s="23" t="str">
        <f aca="false">IF(B20="","","")</f>
        <v/>
      </c>
      <c r="I20" s="23" t="str">
        <f aca="false">IF(B20="","","")</f>
        <v/>
      </c>
      <c r="J20" s="23" t="str">
        <f aca="false">IF(B20="","",IF(Office_Log!I20="","",Office_Log!I20&amp;""))</f>
        <v/>
      </c>
      <c r="K20" s="32" t="s">
        <v>1352</v>
      </c>
    </row>
    <row r="21" customFormat="false" ht="15" hidden="false" customHeight="false" outlineLevel="0" collapsed="false">
      <c r="A21" s="23" t="str">
        <f aca="false">IF(B21="","",B21+(1*1000+20)/10000000)</f>
        <v/>
      </c>
      <c r="B21" s="35" t="str">
        <f aca="false">IF(Office_Log!BB21=1,Office_Log!H21,"")</f>
        <v/>
      </c>
      <c r="C21" s="23" t="str">
        <f aca="false">IF(B21="","","office")</f>
        <v/>
      </c>
      <c r="D21" s="23" t="str">
        <f aca="false">IF(B21="","",Office_Log!ED21&amp;"")</f>
        <v/>
      </c>
      <c r="E21" s="23" t="str">
        <f aca="false">IF(B21="","",IF(Office_Log!B21="","",Office_Log!B21&amp;""))</f>
        <v/>
      </c>
      <c r="F21" s="23" t="str">
        <f aca="false">IF(B21="","","conversation")</f>
        <v/>
      </c>
      <c r="G21" s="23" t="str">
        <f aca="false">IF(B21="","","")</f>
        <v/>
      </c>
      <c r="H21" s="23" t="str">
        <f aca="false">IF(B21="","","")</f>
        <v/>
      </c>
      <c r="I21" s="23" t="str">
        <f aca="false">IF(B21="","","")</f>
        <v/>
      </c>
      <c r="J21" s="23" t="str">
        <f aca="false">IF(B21="","",IF(Office_Log!I21="","",Office_Log!I21&amp;""))</f>
        <v/>
      </c>
      <c r="K21" s="32" t="s">
        <v>1352</v>
      </c>
    </row>
    <row r="22" customFormat="false" ht="15" hidden="false" customHeight="false" outlineLevel="0" collapsed="false">
      <c r="A22" s="23" t="str">
        <f aca="false">IF(B22="","",B22+(1*1000+21)/10000000)</f>
        <v/>
      </c>
      <c r="B22" s="35" t="str">
        <f aca="false">IF(Office_Log!BB22=1,Office_Log!H22,"")</f>
        <v/>
      </c>
      <c r="C22" s="23" t="str">
        <f aca="false">IF(B22="","","office")</f>
        <v/>
      </c>
      <c r="D22" s="23" t="str">
        <f aca="false">IF(B22="","",Office_Log!ED22&amp;"")</f>
        <v/>
      </c>
      <c r="E22" s="23" t="str">
        <f aca="false">IF(B22="","",IF(Office_Log!B22="","",Office_Log!B22&amp;""))</f>
        <v/>
      </c>
      <c r="F22" s="23" t="str">
        <f aca="false">IF(B22="","","conversation")</f>
        <v/>
      </c>
      <c r="G22" s="23" t="str">
        <f aca="false">IF(B22="","","")</f>
        <v/>
      </c>
      <c r="H22" s="23" t="str">
        <f aca="false">IF(B22="","","")</f>
        <v/>
      </c>
      <c r="I22" s="23" t="str">
        <f aca="false">IF(B22="","","")</f>
        <v/>
      </c>
      <c r="J22" s="23" t="str">
        <f aca="false">IF(B22="","",IF(Office_Log!I22="","",Office_Log!I22&amp;""))</f>
        <v/>
      </c>
      <c r="K22" s="32" t="s">
        <v>1352</v>
      </c>
    </row>
    <row r="23" customFormat="false" ht="15" hidden="false" customHeight="false" outlineLevel="0" collapsed="false">
      <c r="A23" s="23" t="str">
        <f aca="false">IF(B23="","",B23+(1*1000+22)/10000000)</f>
        <v/>
      </c>
      <c r="B23" s="35" t="str">
        <f aca="false">IF(Office_Log!BB23=1,Office_Log!H23,"")</f>
        <v/>
      </c>
      <c r="C23" s="23" t="str">
        <f aca="false">IF(B23="","","office")</f>
        <v/>
      </c>
      <c r="D23" s="23" t="str">
        <f aca="false">IF(B23="","",Office_Log!ED23&amp;"")</f>
        <v/>
      </c>
      <c r="E23" s="23" t="str">
        <f aca="false">IF(B23="","",IF(Office_Log!B23="","",Office_Log!B23&amp;""))</f>
        <v/>
      </c>
      <c r="F23" s="23" t="str">
        <f aca="false">IF(B23="","","conversation")</f>
        <v/>
      </c>
      <c r="G23" s="23" t="str">
        <f aca="false">IF(B23="","","")</f>
        <v/>
      </c>
      <c r="H23" s="23" t="str">
        <f aca="false">IF(B23="","","")</f>
        <v/>
      </c>
      <c r="I23" s="23" t="str">
        <f aca="false">IF(B23="","","")</f>
        <v/>
      </c>
      <c r="J23" s="23" t="str">
        <f aca="false">IF(B23="","",IF(Office_Log!I23="","",Office_Log!I23&amp;""))</f>
        <v/>
      </c>
      <c r="K23" s="32" t="s">
        <v>1352</v>
      </c>
    </row>
    <row r="24" customFormat="false" ht="15" hidden="false" customHeight="false" outlineLevel="0" collapsed="false">
      <c r="A24" s="23" t="str">
        <f aca="false">IF(B24="","",B24+(1*1000+23)/10000000)</f>
        <v/>
      </c>
      <c r="B24" s="35" t="str">
        <f aca="false">IF(Office_Log!BB24=1,Office_Log!H24,"")</f>
        <v/>
      </c>
      <c r="C24" s="23" t="str">
        <f aca="false">IF(B24="","","office")</f>
        <v/>
      </c>
      <c r="D24" s="23" t="str">
        <f aca="false">IF(B24="","",Office_Log!ED24&amp;"")</f>
        <v/>
      </c>
      <c r="E24" s="23" t="str">
        <f aca="false">IF(B24="","",IF(Office_Log!B24="","",Office_Log!B24&amp;""))</f>
        <v/>
      </c>
      <c r="F24" s="23" t="str">
        <f aca="false">IF(B24="","","conversation")</f>
        <v/>
      </c>
      <c r="G24" s="23" t="str">
        <f aca="false">IF(B24="","","")</f>
        <v/>
      </c>
      <c r="H24" s="23" t="str">
        <f aca="false">IF(B24="","","")</f>
        <v/>
      </c>
      <c r="I24" s="23" t="str">
        <f aca="false">IF(B24="","","")</f>
        <v/>
      </c>
      <c r="J24" s="23" t="str">
        <f aca="false">IF(B24="","",IF(Office_Log!I24="","",Office_Log!I24&amp;""))</f>
        <v/>
      </c>
      <c r="K24" s="32" t="s">
        <v>1352</v>
      </c>
    </row>
    <row r="25" customFormat="false" ht="15" hidden="false" customHeight="false" outlineLevel="0" collapsed="false">
      <c r="A25" s="23" t="str">
        <f aca="false">IF(B25="","",B25+(1*1000+24)/10000000)</f>
        <v/>
      </c>
      <c r="B25" s="35" t="str">
        <f aca="false">IF(Office_Log!BB25=1,Office_Log!H25,"")</f>
        <v/>
      </c>
      <c r="C25" s="23" t="str">
        <f aca="false">IF(B25="","","office")</f>
        <v/>
      </c>
      <c r="D25" s="23" t="str">
        <f aca="false">IF(B25="","",Office_Log!ED25&amp;"")</f>
        <v/>
      </c>
      <c r="E25" s="23" t="str">
        <f aca="false">IF(B25="","",IF(Office_Log!B25="","",Office_Log!B25&amp;""))</f>
        <v/>
      </c>
      <c r="F25" s="23" t="str">
        <f aca="false">IF(B25="","","conversation")</f>
        <v/>
      </c>
      <c r="G25" s="23" t="str">
        <f aca="false">IF(B25="","","")</f>
        <v/>
      </c>
      <c r="H25" s="23" t="str">
        <f aca="false">IF(B25="","","")</f>
        <v/>
      </c>
      <c r="I25" s="23" t="str">
        <f aca="false">IF(B25="","","")</f>
        <v/>
      </c>
      <c r="J25" s="23" t="str">
        <f aca="false">IF(B25="","",IF(Office_Log!I25="","",Office_Log!I25&amp;""))</f>
        <v/>
      </c>
      <c r="K25" s="32" t="s">
        <v>1352</v>
      </c>
    </row>
    <row r="26" customFormat="false" ht="15" hidden="false" customHeight="false" outlineLevel="0" collapsed="false">
      <c r="A26" s="23" t="str">
        <f aca="false">IF(B26="","",B26+(1*1000+25)/10000000)</f>
        <v/>
      </c>
      <c r="B26" s="35" t="str">
        <f aca="false">IF(Office_Log!BB26=1,Office_Log!H26,"")</f>
        <v/>
      </c>
      <c r="C26" s="23" t="str">
        <f aca="false">IF(B26="","","office")</f>
        <v/>
      </c>
      <c r="D26" s="23" t="str">
        <f aca="false">IF(B26="","",Office_Log!ED26&amp;"")</f>
        <v/>
      </c>
      <c r="E26" s="23" t="str">
        <f aca="false">IF(B26="","",IF(Office_Log!B26="","",Office_Log!B26&amp;""))</f>
        <v/>
      </c>
      <c r="F26" s="23" t="str">
        <f aca="false">IF(B26="","","conversation")</f>
        <v/>
      </c>
      <c r="G26" s="23" t="str">
        <f aca="false">IF(B26="","","")</f>
        <v/>
      </c>
      <c r="H26" s="23" t="str">
        <f aca="false">IF(B26="","","")</f>
        <v/>
      </c>
      <c r="I26" s="23" t="str">
        <f aca="false">IF(B26="","","")</f>
        <v/>
      </c>
      <c r="J26" s="23" t="str">
        <f aca="false">IF(B26="","",IF(Office_Log!I26="","",Office_Log!I26&amp;""))</f>
        <v/>
      </c>
      <c r="K26" s="32" t="s">
        <v>1352</v>
      </c>
    </row>
    <row r="27" customFormat="false" ht="15" hidden="false" customHeight="false" outlineLevel="0" collapsed="false">
      <c r="A27" s="23" t="str">
        <f aca="false">IF(B27="","",B27+(1*1000+26)/10000000)</f>
        <v/>
      </c>
      <c r="B27" s="35" t="str">
        <f aca="false">IF(Office_Log!BB27=1,Office_Log!H27,"")</f>
        <v/>
      </c>
      <c r="C27" s="23" t="str">
        <f aca="false">IF(B27="","","office")</f>
        <v/>
      </c>
      <c r="D27" s="23" t="str">
        <f aca="false">IF(B27="","",Office_Log!ED27&amp;"")</f>
        <v/>
      </c>
      <c r="E27" s="23" t="str">
        <f aca="false">IF(B27="","",IF(Office_Log!B27="","",Office_Log!B27&amp;""))</f>
        <v/>
      </c>
      <c r="F27" s="23" t="str">
        <f aca="false">IF(B27="","","conversation")</f>
        <v/>
      </c>
      <c r="G27" s="23" t="str">
        <f aca="false">IF(B27="","","")</f>
        <v/>
      </c>
      <c r="H27" s="23" t="str">
        <f aca="false">IF(B27="","","")</f>
        <v/>
      </c>
      <c r="I27" s="23" t="str">
        <f aca="false">IF(B27="","","")</f>
        <v/>
      </c>
      <c r="J27" s="23" t="str">
        <f aca="false">IF(B27="","",IF(Office_Log!I27="","",Office_Log!I27&amp;""))</f>
        <v/>
      </c>
      <c r="K27" s="32" t="s">
        <v>1352</v>
      </c>
    </row>
    <row r="28" customFormat="false" ht="15" hidden="false" customHeight="false" outlineLevel="0" collapsed="false">
      <c r="A28" s="23" t="str">
        <f aca="false">IF(B28="","",B28+(1*1000+27)/10000000)</f>
        <v/>
      </c>
      <c r="B28" s="35" t="str">
        <f aca="false">IF(Office_Log!BB28=1,Office_Log!H28,"")</f>
        <v/>
      </c>
      <c r="C28" s="23" t="str">
        <f aca="false">IF(B28="","","office")</f>
        <v/>
      </c>
      <c r="D28" s="23" t="str">
        <f aca="false">IF(B28="","",Office_Log!ED28&amp;"")</f>
        <v/>
      </c>
      <c r="E28" s="23" t="str">
        <f aca="false">IF(B28="","",IF(Office_Log!B28="","",Office_Log!B28&amp;""))</f>
        <v/>
      </c>
      <c r="F28" s="23" t="str">
        <f aca="false">IF(B28="","","conversation")</f>
        <v/>
      </c>
      <c r="G28" s="23" t="str">
        <f aca="false">IF(B28="","","")</f>
        <v/>
      </c>
      <c r="H28" s="23" t="str">
        <f aca="false">IF(B28="","","")</f>
        <v/>
      </c>
      <c r="I28" s="23" t="str">
        <f aca="false">IF(B28="","","")</f>
        <v/>
      </c>
      <c r="J28" s="23" t="str">
        <f aca="false">IF(B28="","",IF(Office_Log!I28="","",Office_Log!I28&amp;""))</f>
        <v/>
      </c>
      <c r="K28" s="32" t="s">
        <v>1352</v>
      </c>
    </row>
    <row r="29" customFormat="false" ht="15" hidden="false" customHeight="false" outlineLevel="0" collapsed="false">
      <c r="A29" s="23" t="str">
        <f aca="false">IF(B29="","",B29+(1*1000+28)/10000000)</f>
        <v/>
      </c>
      <c r="B29" s="35" t="str">
        <f aca="false">IF(Office_Log!BB29=1,Office_Log!H29,"")</f>
        <v/>
      </c>
      <c r="C29" s="23" t="str">
        <f aca="false">IF(B29="","","office")</f>
        <v/>
      </c>
      <c r="D29" s="23" t="str">
        <f aca="false">IF(B29="","",Office_Log!ED29&amp;"")</f>
        <v/>
      </c>
      <c r="E29" s="23" t="str">
        <f aca="false">IF(B29="","",IF(Office_Log!B29="","",Office_Log!B29&amp;""))</f>
        <v/>
      </c>
      <c r="F29" s="23" t="str">
        <f aca="false">IF(B29="","","conversation")</f>
        <v/>
      </c>
      <c r="G29" s="23" t="str">
        <f aca="false">IF(B29="","","")</f>
        <v/>
      </c>
      <c r="H29" s="23" t="str">
        <f aca="false">IF(B29="","","")</f>
        <v/>
      </c>
      <c r="I29" s="23" t="str">
        <f aca="false">IF(B29="","","")</f>
        <v/>
      </c>
      <c r="J29" s="23" t="str">
        <f aca="false">IF(B29="","",IF(Office_Log!I29="","",Office_Log!I29&amp;""))</f>
        <v/>
      </c>
      <c r="K29" s="32" t="s">
        <v>1352</v>
      </c>
    </row>
    <row r="30" customFormat="false" ht="15" hidden="false" customHeight="false" outlineLevel="0" collapsed="false">
      <c r="A30" s="23" t="str">
        <f aca="false">IF(B30="","",B30+(1*1000+29)/10000000)</f>
        <v/>
      </c>
      <c r="B30" s="35" t="str">
        <f aca="false">IF(Office_Log!BB30=1,Office_Log!H30,"")</f>
        <v/>
      </c>
      <c r="C30" s="23" t="str">
        <f aca="false">IF(B30="","","office")</f>
        <v/>
      </c>
      <c r="D30" s="23" t="str">
        <f aca="false">IF(B30="","",Office_Log!ED30&amp;"")</f>
        <v/>
      </c>
      <c r="E30" s="23" t="str">
        <f aca="false">IF(B30="","",IF(Office_Log!B30="","",Office_Log!B30&amp;""))</f>
        <v/>
      </c>
      <c r="F30" s="23" t="str">
        <f aca="false">IF(B30="","","conversation")</f>
        <v/>
      </c>
      <c r="G30" s="23" t="str">
        <f aca="false">IF(B30="","","")</f>
        <v/>
      </c>
      <c r="H30" s="23" t="str">
        <f aca="false">IF(B30="","","")</f>
        <v/>
      </c>
      <c r="I30" s="23" t="str">
        <f aca="false">IF(B30="","","")</f>
        <v/>
      </c>
      <c r="J30" s="23" t="str">
        <f aca="false">IF(B30="","",IF(Office_Log!I30="","",Office_Log!I30&amp;""))</f>
        <v/>
      </c>
      <c r="K30" s="32" t="s">
        <v>1352</v>
      </c>
    </row>
    <row r="31" customFormat="false" ht="15" hidden="false" customHeight="false" outlineLevel="0" collapsed="false">
      <c r="A31" s="23" t="str">
        <f aca="false">IF(B31="","",B31+(1*1000+30)/10000000)</f>
        <v/>
      </c>
      <c r="B31" s="35" t="str">
        <f aca="false">IF(Office_Log!BB31=1,Office_Log!H31,"")</f>
        <v/>
      </c>
      <c r="C31" s="23" t="str">
        <f aca="false">IF(B31="","","office")</f>
        <v/>
      </c>
      <c r="D31" s="23" t="str">
        <f aca="false">IF(B31="","",Office_Log!ED31&amp;"")</f>
        <v/>
      </c>
      <c r="E31" s="23" t="str">
        <f aca="false">IF(B31="","",IF(Office_Log!B31="","",Office_Log!B31&amp;""))</f>
        <v/>
      </c>
      <c r="F31" s="23" t="str">
        <f aca="false">IF(B31="","","conversation")</f>
        <v/>
      </c>
      <c r="G31" s="23" t="str">
        <f aca="false">IF(B31="","","")</f>
        <v/>
      </c>
      <c r="H31" s="23" t="str">
        <f aca="false">IF(B31="","","")</f>
        <v/>
      </c>
      <c r="I31" s="23" t="str">
        <f aca="false">IF(B31="","","")</f>
        <v/>
      </c>
      <c r="J31" s="23" t="str">
        <f aca="false">IF(B31="","",IF(Office_Log!I31="","",Office_Log!I31&amp;""))</f>
        <v/>
      </c>
      <c r="K31" s="32" t="s">
        <v>1352</v>
      </c>
    </row>
    <row r="32" customFormat="false" ht="15" hidden="false" customHeight="false" outlineLevel="0" collapsed="false">
      <c r="A32" s="23" t="str">
        <f aca="false">IF(B32="","",B32+(1*1000+31)/10000000)</f>
        <v/>
      </c>
      <c r="B32" s="35" t="str">
        <f aca="false">IF(Office_Log!BB32=1,Office_Log!H32,"")</f>
        <v/>
      </c>
      <c r="C32" s="23" t="str">
        <f aca="false">IF(B32="","","office")</f>
        <v/>
      </c>
      <c r="D32" s="23" t="str">
        <f aca="false">IF(B32="","",Office_Log!ED32&amp;"")</f>
        <v/>
      </c>
      <c r="E32" s="23" t="str">
        <f aca="false">IF(B32="","",IF(Office_Log!B32="","",Office_Log!B32&amp;""))</f>
        <v/>
      </c>
      <c r="F32" s="23" t="str">
        <f aca="false">IF(B32="","","conversation")</f>
        <v/>
      </c>
      <c r="G32" s="23" t="str">
        <f aca="false">IF(B32="","","")</f>
        <v/>
      </c>
      <c r="H32" s="23" t="str">
        <f aca="false">IF(B32="","","")</f>
        <v/>
      </c>
      <c r="I32" s="23" t="str">
        <f aca="false">IF(B32="","","")</f>
        <v/>
      </c>
      <c r="J32" s="23" t="str">
        <f aca="false">IF(B32="","",IF(Office_Log!I32="","",Office_Log!I32&amp;""))</f>
        <v/>
      </c>
      <c r="K32" s="32" t="s">
        <v>1352</v>
      </c>
    </row>
    <row r="33" customFormat="false" ht="15" hidden="false" customHeight="false" outlineLevel="0" collapsed="false">
      <c r="A33" s="23" t="str">
        <f aca="false">IF(B33="","",B33+(1*1000+32)/10000000)</f>
        <v/>
      </c>
      <c r="B33" s="35" t="str">
        <f aca="false">IF(Office_Log!BB33=1,Office_Log!H33,"")</f>
        <v/>
      </c>
      <c r="C33" s="23" t="str">
        <f aca="false">IF(B33="","","office")</f>
        <v/>
      </c>
      <c r="D33" s="23" t="str">
        <f aca="false">IF(B33="","",Office_Log!ED33&amp;"")</f>
        <v/>
      </c>
      <c r="E33" s="23" t="str">
        <f aca="false">IF(B33="","",IF(Office_Log!B33="","",Office_Log!B33&amp;""))</f>
        <v/>
      </c>
      <c r="F33" s="23" t="str">
        <f aca="false">IF(B33="","","conversation")</f>
        <v/>
      </c>
      <c r="G33" s="23" t="str">
        <f aca="false">IF(B33="","","")</f>
        <v/>
      </c>
      <c r="H33" s="23" t="str">
        <f aca="false">IF(B33="","","")</f>
        <v/>
      </c>
      <c r="I33" s="23" t="str">
        <f aca="false">IF(B33="","","")</f>
        <v/>
      </c>
      <c r="J33" s="23" t="str">
        <f aca="false">IF(B33="","",IF(Office_Log!I33="","",Office_Log!I33&amp;""))</f>
        <v/>
      </c>
      <c r="K33" s="32" t="s">
        <v>1352</v>
      </c>
    </row>
    <row r="34" customFormat="false" ht="15" hidden="false" customHeight="false" outlineLevel="0" collapsed="false">
      <c r="A34" s="23" t="str">
        <f aca="false">IF(B34="","",B34+(1*1000+33)/10000000)</f>
        <v/>
      </c>
      <c r="B34" s="35" t="str">
        <f aca="false">IF(Office_Log!BB34=1,Office_Log!H34,"")</f>
        <v/>
      </c>
      <c r="C34" s="23" t="str">
        <f aca="false">IF(B34="","","office")</f>
        <v/>
      </c>
      <c r="D34" s="23" t="str">
        <f aca="false">IF(B34="","",Office_Log!ED34&amp;"")</f>
        <v/>
      </c>
      <c r="E34" s="23" t="str">
        <f aca="false">IF(B34="","",IF(Office_Log!B34="","",Office_Log!B34&amp;""))</f>
        <v/>
      </c>
      <c r="F34" s="23" t="str">
        <f aca="false">IF(B34="","","conversation")</f>
        <v/>
      </c>
      <c r="G34" s="23" t="str">
        <f aca="false">IF(B34="","","")</f>
        <v/>
      </c>
      <c r="H34" s="23" t="str">
        <f aca="false">IF(B34="","","")</f>
        <v/>
      </c>
      <c r="I34" s="23" t="str">
        <f aca="false">IF(B34="","","")</f>
        <v/>
      </c>
      <c r="J34" s="23" t="str">
        <f aca="false">IF(B34="","",IF(Office_Log!I34="","",Office_Log!I34&amp;""))</f>
        <v/>
      </c>
      <c r="K34" s="32" t="s">
        <v>1352</v>
      </c>
    </row>
    <row r="35" customFormat="false" ht="15" hidden="false" customHeight="false" outlineLevel="0" collapsed="false">
      <c r="A35" s="23" t="str">
        <f aca="false">IF(B35="","",B35+(1*1000+34)/10000000)</f>
        <v/>
      </c>
      <c r="B35" s="35" t="str">
        <f aca="false">IF(Office_Log!BB35=1,Office_Log!H35,"")</f>
        <v/>
      </c>
      <c r="C35" s="23" t="str">
        <f aca="false">IF(B35="","","office")</f>
        <v/>
      </c>
      <c r="D35" s="23" t="str">
        <f aca="false">IF(B35="","",Office_Log!ED35&amp;"")</f>
        <v/>
      </c>
      <c r="E35" s="23" t="str">
        <f aca="false">IF(B35="","",IF(Office_Log!B35="","",Office_Log!B35&amp;""))</f>
        <v/>
      </c>
      <c r="F35" s="23" t="str">
        <f aca="false">IF(B35="","","conversation")</f>
        <v/>
      </c>
      <c r="G35" s="23" t="str">
        <f aca="false">IF(B35="","","")</f>
        <v/>
      </c>
      <c r="H35" s="23" t="str">
        <f aca="false">IF(B35="","","")</f>
        <v/>
      </c>
      <c r="I35" s="23" t="str">
        <f aca="false">IF(B35="","","")</f>
        <v/>
      </c>
      <c r="J35" s="23" t="str">
        <f aca="false">IF(B35="","",IF(Office_Log!I35="","",Office_Log!I35&amp;""))</f>
        <v/>
      </c>
      <c r="K35" s="32" t="s">
        <v>1352</v>
      </c>
    </row>
    <row r="36" customFormat="false" ht="15" hidden="false" customHeight="false" outlineLevel="0" collapsed="false">
      <c r="A36" s="23" t="str">
        <f aca="false">IF(B36="","",B36+(1*1000+35)/10000000)</f>
        <v/>
      </c>
      <c r="B36" s="35" t="str">
        <f aca="false">IF(Office_Log!BB36=1,Office_Log!H36,"")</f>
        <v/>
      </c>
      <c r="C36" s="23" t="str">
        <f aca="false">IF(B36="","","office")</f>
        <v/>
      </c>
      <c r="D36" s="23" t="str">
        <f aca="false">IF(B36="","",Office_Log!ED36&amp;"")</f>
        <v/>
      </c>
      <c r="E36" s="23" t="str">
        <f aca="false">IF(B36="","",IF(Office_Log!B36="","",Office_Log!B36&amp;""))</f>
        <v/>
      </c>
      <c r="F36" s="23" t="str">
        <f aca="false">IF(B36="","","conversation")</f>
        <v/>
      </c>
      <c r="G36" s="23" t="str">
        <f aca="false">IF(B36="","","")</f>
        <v/>
      </c>
      <c r="H36" s="23" t="str">
        <f aca="false">IF(B36="","","")</f>
        <v/>
      </c>
      <c r="I36" s="23" t="str">
        <f aca="false">IF(B36="","","")</f>
        <v/>
      </c>
      <c r="J36" s="23" t="str">
        <f aca="false">IF(B36="","",IF(Office_Log!I36="","",Office_Log!I36&amp;""))</f>
        <v/>
      </c>
      <c r="K36" s="32" t="s">
        <v>1352</v>
      </c>
    </row>
    <row r="37" customFormat="false" ht="15" hidden="false" customHeight="false" outlineLevel="0" collapsed="false">
      <c r="A37" s="23" t="str">
        <f aca="false">IF(B37="","",B37+(1*1000+36)/10000000)</f>
        <v/>
      </c>
      <c r="B37" s="35" t="str">
        <f aca="false">IF(Office_Log!BB37=1,Office_Log!H37,"")</f>
        <v/>
      </c>
      <c r="C37" s="23" t="str">
        <f aca="false">IF(B37="","","office")</f>
        <v/>
      </c>
      <c r="D37" s="23" t="str">
        <f aca="false">IF(B37="","",Office_Log!ED37&amp;"")</f>
        <v/>
      </c>
      <c r="E37" s="23" t="str">
        <f aca="false">IF(B37="","",IF(Office_Log!B37="","",Office_Log!B37&amp;""))</f>
        <v/>
      </c>
      <c r="F37" s="23" t="str">
        <f aca="false">IF(B37="","","conversation")</f>
        <v/>
      </c>
      <c r="G37" s="23" t="str">
        <f aca="false">IF(B37="","","")</f>
        <v/>
      </c>
      <c r="H37" s="23" t="str">
        <f aca="false">IF(B37="","","")</f>
        <v/>
      </c>
      <c r="I37" s="23" t="str">
        <f aca="false">IF(B37="","","")</f>
        <v/>
      </c>
      <c r="J37" s="23" t="str">
        <f aca="false">IF(B37="","",IF(Office_Log!I37="","",Office_Log!I37&amp;""))</f>
        <v/>
      </c>
      <c r="K37" s="32" t="s">
        <v>1352</v>
      </c>
    </row>
    <row r="38" customFormat="false" ht="15" hidden="false" customHeight="false" outlineLevel="0" collapsed="false">
      <c r="A38" s="23" t="str">
        <f aca="false">IF(B38="","",B38+(1*1000+37)/10000000)</f>
        <v/>
      </c>
      <c r="B38" s="35" t="str">
        <f aca="false">IF(Office_Log!BB38=1,Office_Log!H38,"")</f>
        <v/>
      </c>
      <c r="C38" s="23" t="str">
        <f aca="false">IF(B38="","","office")</f>
        <v/>
      </c>
      <c r="D38" s="23" t="str">
        <f aca="false">IF(B38="","",Office_Log!ED38&amp;"")</f>
        <v/>
      </c>
      <c r="E38" s="23" t="str">
        <f aca="false">IF(B38="","",IF(Office_Log!B38="","",Office_Log!B38&amp;""))</f>
        <v/>
      </c>
      <c r="F38" s="23" t="str">
        <f aca="false">IF(B38="","","conversation")</f>
        <v/>
      </c>
      <c r="G38" s="23" t="str">
        <f aca="false">IF(B38="","","")</f>
        <v/>
      </c>
      <c r="H38" s="23" t="str">
        <f aca="false">IF(B38="","","")</f>
        <v/>
      </c>
      <c r="I38" s="23" t="str">
        <f aca="false">IF(B38="","","")</f>
        <v/>
      </c>
      <c r="J38" s="23" t="str">
        <f aca="false">IF(B38="","",IF(Office_Log!I38="","",Office_Log!I38&amp;""))</f>
        <v/>
      </c>
      <c r="K38" s="32" t="s">
        <v>1352</v>
      </c>
    </row>
    <row r="39" customFormat="false" ht="15" hidden="false" customHeight="false" outlineLevel="0" collapsed="false">
      <c r="A39" s="23" t="str">
        <f aca="false">IF(B39="","",B39+(1*1000+38)/10000000)</f>
        <v/>
      </c>
      <c r="B39" s="35" t="str">
        <f aca="false">IF(Office_Log!BB39=1,Office_Log!H39,"")</f>
        <v/>
      </c>
      <c r="C39" s="23" t="str">
        <f aca="false">IF(B39="","","office")</f>
        <v/>
      </c>
      <c r="D39" s="23" t="str">
        <f aca="false">IF(B39="","",Office_Log!ED39&amp;"")</f>
        <v/>
      </c>
      <c r="E39" s="23" t="str">
        <f aca="false">IF(B39="","",IF(Office_Log!B39="","",Office_Log!B39&amp;""))</f>
        <v/>
      </c>
      <c r="F39" s="23" t="str">
        <f aca="false">IF(B39="","","conversation")</f>
        <v/>
      </c>
      <c r="G39" s="23" t="str">
        <f aca="false">IF(B39="","","")</f>
        <v/>
      </c>
      <c r="H39" s="23" t="str">
        <f aca="false">IF(B39="","","")</f>
        <v/>
      </c>
      <c r="I39" s="23" t="str">
        <f aca="false">IF(B39="","","")</f>
        <v/>
      </c>
      <c r="J39" s="23" t="str">
        <f aca="false">IF(B39="","",IF(Office_Log!I39="","",Office_Log!I39&amp;""))</f>
        <v/>
      </c>
      <c r="K39" s="32" t="s">
        <v>1352</v>
      </c>
    </row>
    <row r="40" customFormat="false" ht="15" hidden="false" customHeight="false" outlineLevel="0" collapsed="false">
      <c r="A40" s="23" t="str">
        <f aca="false">IF(B40="","",B40+(1*1000+39)/10000000)</f>
        <v/>
      </c>
      <c r="B40" s="35" t="str">
        <f aca="false">IF(Office_Log!BB40=1,Office_Log!H40,"")</f>
        <v/>
      </c>
      <c r="C40" s="23" t="str">
        <f aca="false">IF(B40="","","office")</f>
        <v/>
      </c>
      <c r="D40" s="23" t="str">
        <f aca="false">IF(B40="","",Office_Log!ED40&amp;"")</f>
        <v/>
      </c>
      <c r="E40" s="23" t="str">
        <f aca="false">IF(B40="","",IF(Office_Log!B40="","",Office_Log!B40&amp;""))</f>
        <v/>
      </c>
      <c r="F40" s="23" t="str">
        <f aca="false">IF(B40="","","conversation")</f>
        <v/>
      </c>
      <c r="G40" s="23" t="str">
        <f aca="false">IF(B40="","","")</f>
        <v/>
      </c>
      <c r="H40" s="23" t="str">
        <f aca="false">IF(B40="","","")</f>
        <v/>
      </c>
      <c r="I40" s="23" t="str">
        <f aca="false">IF(B40="","","")</f>
        <v/>
      </c>
      <c r="J40" s="23" t="str">
        <f aca="false">IF(B40="","",IF(Office_Log!I40="","",Office_Log!I40&amp;""))</f>
        <v/>
      </c>
      <c r="K40" s="32" t="s">
        <v>1352</v>
      </c>
    </row>
    <row r="41" customFormat="false" ht="15" hidden="false" customHeight="false" outlineLevel="0" collapsed="false">
      <c r="A41" s="23" t="str">
        <f aca="false">IF(B41="","",B41+(1*1000+40)/10000000)</f>
        <v/>
      </c>
      <c r="B41" s="35" t="str">
        <f aca="false">IF(Office_Log!BB41=1,Office_Log!H41,"")</f>
        <v/>
      </c>
      <c r="C41" s="23" t="str">
        <f aca="false">IF(B41="","","office")</f>
        <v/>
      </c>
      <c r="D41" s="23" t="str">
        <f aca="false">IF(B41="","",Office_Log!ED41&amp;"")</f>
        <v/>
      </c>
      <c r="E41" s="23" t="str">
        <f aca="false">IF(B41="","",IF(Office_Log!B41="","",Office_Log!B41&amp;""))</f>
        <v/>
      </c>
      <c r="F41" s="23" t="str">
        <f aca="false">IF(B41="","","conversation")</f>
        <v/>
      </c>
      <c r="G41" s="23" t="str">
        <f aca="false">IF(B41="","","")</f>
        <v/>
      </c>
      <c r="H41" s="23" t="str">
        <f aca="false">IF(B41="","","")</f>
        <v/>
      </c>
      <c r="I41" s="23" t="str">
        <f aca="false">IF(B41="","","")</f>
        <v/>
      </c>
      <c r="J41" s="23" t="str">
        <f aca="false">IF(B41="","",IF(Office_Log!I41="","",Office_Log!I41&amp;""))</f>
        <v/>
      </c>
      <c r="K41" s="32" t="s">
        <v>1352</v>
      </c>
    </row>
    <row r="42" customFormat="false" ht="15" hidden="false" customHeight="false" outlineLevel="0" collapsed="false">
      <c r="A42" s="23" t="str">
        <f aca="false">IF(B42="","",B42+(1*1000+41)/10000000)</f>
        <v/>
      </c>
      <c r="B42" s="35" t="str">
        <f aca="false">IF(Office_Log!BB42=1,Office_Log!H42,"")</f>
        <v/>
      </c>
      <c r="C42" s="23" t="str">
        <f aca="false">IF(B42="","","office")</f>
        <v/>
      </c>
      <c r="D42" s="23" t="str">
        <f aca="false">IF(B42="","",Office_Log!ED42&amp;"")</f>
        <v/>
      </c>
      <c r="E42" s="23" t="str">
        <f aca="false">IF(B42="","",IF(Office_Log!B42="","",Office_Log!B42&amp;""))</f>
        <v/>
      </c>
      <c r="F42" s="23" t="str">
        <f aca="false">IF(B42="","","conversation")</f>
        <v/>
      </c>
      <c r="G42" s="23" t="str">
        <f aca="false">IF(B42="","","")</f>
        <v/>
      </c>
      <c r="H42" s="23" t="str">
        <f aca="false">IF(B42="","","")</f>
        <v/>
      </c>
      <c r="I42" s="23" t="str">
        <f aca="false">IF(B42="","","")</f>
        <v/>
      </c>
      <c r="J42" s="23" t="str">
        <f aca="false">IF(B42="","",IF(Office_Log!I42="","",Office_Log!I42&amp;""))</f>
        <v/>
      </c>
      <c r="K42" s="32" t="s">
        <v>1352</v>
      </c>
    </row>
    <row r="43" customFormat="false" ht="15" hidden="false" customHeight="false" outlineLevel="0" collapsed="false">
      <c r="A43" s="23" t="str">
        <f aca="false">IF(B43="","",B43+(1*1000+42)/10000000)</f>
        <v/>
      </c>
      <c r="B43" s="35" t="str">
        <f aca="false">IF(Office_Log!BB43=1,Office_Log!H43,"")</f>
        <v/>
      </c>
      <c r="C43" s="23" t="str">
        <f aca="false">IF(B43="","","office")</f>
        <v/>
      </c>
      <c r="D43" s="23" t="str">
        <f aca="false">IF(B43="","",Office_Log!ED43&amp;"")</f>
        <v/>
      </c>
      <c r="E43" s="23" t="str">
        <f aca="false">IF(B43="","",IF(Office_Log!B43="","",Office_Log!B43&amp;""))</f>
        <v/>
      </c>
      <c r="F43" s="23" t="str">
        <f aca="false">IF(B43="","","conversation")</f>
        <v/>
      </c>
      <c r="G43" s="23" t="str">
        <f aca="false">IF(B43="","","")</f>
        <v/>
      </c>
      <c r="H43" s="23" t="str">
        <f aca="false">IF(B43="","","")</f>
        <v/>
      </c>
      <c r="I43" s="23" t="str">
        <f aca="false">IF(B43="","","")</f>
        <v/>
      </c>
      <c r="J43" s="23" t="str">
        <f aca="false">IF(B43="","",IF(Office_Log!I43="","",Office_Log!I43&amp;""))</f>
        <v/>
      </c>
      <c r="K43" s="32" t="s">
        <v>1352</v>
      </c>
    </row>
    <row r="44" customFormat="false" ht="15" hidden="false" customHeight="false" outlineLevel="0" collapsed="false">
      <c r="A44" s="23" t="str">
        <f aca="false">IF(B44="","",B44+(1*1000+43)/10000000)</f>
        <v/>
      </c>
      <c r="B44" s="35" t="str">
        <f aca="false">IF(Office_Log!BB44=1,Office_Log!H44,"")</f>
        <v/>
      </c>
      <c r="C44" s="23" t="str">
        <f aca="false">IF(B44="","","office")</f>
        <v/>
      </c>
      <c r="D44" s="23" t="str">
        <f aca="false">IF(B44="","",Office_Log!ED44&amp;"")</f>
        <v/>
      </c>
      <c r="E44" s="23" t="str">
        <f aca="false">IF(B44="","",IF(Office_Log!B44="","",Office_Log!B44&amp;""))</f>
        <v/>
      </c>
      <c r="F44" s="23" t="str">
        <f aca="false">IF(B44="","","conversation")</f>
        <v/>
      </c>
      <c r="G44" s="23" t="str">
        <f aca="false">IF(B44="","","")</f>
        <v/>
      </c>
      <c r="H44" s="23" t="str">
        <f aca="false">IF(B44="","","")</f>
        <v/>
      </c>
      <c r="I44" s="23" t="str">
        <f aca="false">IF(B44="","","")</f>
        <v/>
      </c>
      <c r="J44" s="23" t="str">
        <f aca="false">IF(B44="","",IF(Office_Log!I44="","",Office_Log!I44&amp;""))</f>
        <v/>
      </c>
      <c r="K44" s="32" t="s">
        <v>1352</v>
      </c>
    </row>
    <row r="45" customFormat="false" ht="15" hidden="false" customHeight="false" outlineLevel="0" collapsed="false">
      <c r="A45" s="23" t="str">
        <f aca="false">IF(B45="","",B45+(1*1000+44)/10000000)</f>
        <v/>
      </c>
      <c r="B45" s="35" t="str">
        <f aca="false">IF(Office_Log!BB45=1,Office_Log!H45,"")</f>
        <v/>
      </c>
      <c r="C45" s="23" t="str">
        <f aca="false">IF(B45="","","office")</f>
        <v/>
      </c>
      <c r="D45" s="23" t="str">
        <f aca="false">IF(B45="","",Office_Log!ED45&amp;"")</f>
        <v/>
      </c>
      <c r="E45" s="23" t="str">
        <f aca="false">IF(B45="","",IF(Office_Log!B45="","",Office_Log!B45&amp;""))</f>
        <v/>
      </c>
      <c r="F45" s="23" t="str">
        <f aca="false">IF(B45="","","conversation")</f>
        <v/>
      </c>
      <c r="G45" s="23" t="str">
        <f aca="false">IF(B45="","","")</f>
        <v/>
      </c>
      <c r="H45" s="23" t="str">
        <f aca="false">IF(B45="","","")</f>
        <v/>
      </c>
      <c r="I45" s="23" t="str">
        <f aca="false">IF(B45="","","")</f>
        <v/>
      </c>
      <c r="J45" s="23" t="str">
        <f aca="false">IF(B45="","",IF(Office_Log!I45="","",Office_Log!I45&amp;""))</f>
        <v/>
      </c>
      <c r="K45" s="32" t="s">
        <v>1352</v>
      </c>
    </row>
    <row r="46" customFormat="false" ht="15" hidden="false" customHeight="false" outlineLevel="0" collapsed="false">
      <c r="A46" s="23" t="str">
        <f aca="false">IF(B46="","",B46+(1*1000+45)/10000000)</f>
        <v/>
      </c>
      <c r="B46" s="35" t="str">
        <f aca="false">IF(Office_Log!BB46=1,Office_Log!H46,"")</f>
        <v/>
      </c>
      <c r="C46" s="23" t="str">
        <f aca="false">IF(B46="","","office")</f>
        <v/>
      </c>
      <c r="D46" s="23" t="str">
        <f aca="false">IF(B46="","",Office_Log!ED46&amp;"")</f>
        <v/>
      </c>
      <c r="E46" s="23" t="str">
        <f aca="false">IF(B46="","",IF(Office_Log!B46="","",Office_Log!B46&amp;""))</f>
        <v/>
      </c>
      <c r="F46" s="23" t="str">
        <f aca="false">IF(B46="","","conversation")</f>
        <v/>
      </c>
      <c r="G46" s="23" t="str">
        <f aca="false">IF(B46="","","")</f>
        <v/>
      </c>
      <c r="H46" s="23" t="str">
        <f aca="false">IF(B46="","","")</f>
        <v/>
      </c>
      <c r="I46" s="23" t="str">
        <f aca="false">IF(B46="","","")</f>
        <v/>
      </c>
      <c r="J46" s="23" t="str">
        <f aca="false">IF(B46="","",IF(Office_Log!I46="","",Office_Log!I46&amp;""))</f>
        <v/>
      </c>
      <c r="K46" s="32" t="s">
        <v>1352</v>
      </c>
    </row>
    <row r="47" customFormat="false" ht="15" hidden="false" customHeight="false" outlineLevel="0" collapsed="false">
      <c r="A47" s="23" t="str">
        <f aca="false">IF(B47="","",B47+(1*1000+46)/10000000)</f>
        <v/>
      </c>
      <c r="B47" s="35" t="str">
        <f aca="false">IF(Office_Log!BB47=1,Office_Log!H47,"")</f>
        <v/>
      </c>
      <c r="C47" s="23" t="str">
        <f aca="false">IF(B47="","","office")</f>
        <v/>
      </c>
      <c r="D47" s="23" t="str">
        <f aca="false">IF(B47="","",Office_Log!ED47&amp;"")</f>
        <v/>
      </c>
      <c r="E47" s="23" t="str">
        <f aca="false">IF(B47="","",IF(Office_Log!B47="","",Office_Log!B47&amp;""))</f>
        <v/>
      </c>
      <c r="F47" s="23" t="str">
        <f aca="false">IF(B47="","","conversation")</f>
        <v/>
      </c>
      <c r="G47" s="23" t="str">
        <f aca="false">IF(B47="","","")</f>
        <v/>
      </c>
      <c r="H47" s="23" t="str">
        <f aca="false">IF(B47="","","")</f>
        <v/>
      </c>
      <c r="I47" s="23" t="str">
        <f aca="false">IF(B47="","","")</f>
        <v/>
      </c>
      <c r="J47" s="23" t="str">
        <f aca="false">IF(B47="","",IF(Office_Log!I47="","",Office_Log!I47&amp;""))</f>
        <v/>
      </c>
      <c r="K47" s="32" t="s">
        <v>1352</v>
      </c>
    </row>
    <row r="48" customFormat="false" ht="15" hidden="false" customHeight="false" outlineLevel="0" collapsed="false">
      <c r="A48" s="23" t="str">
        <f aca="false">IF(B48="","",B48+(1*1000+47)/10000000)</f>
        <v/>
      </c>
      <c r="B48" s="35" t="str">
        <f aca="false">IF(Office_Log!BB48=1,Office_Log!H48,"")</f>
        <v/>
      </c>
      <c r="C48" s="23" t="str">
        <f aca="false">IF(B48="","","office")</f>
        <v/>
      </c>
      <c r="D48" s="23" t="str">
        <f aca="false">IF(B48="","",Office_Log!ED48&amp;"")</f>
        <v/>
      </c>
      <c r="E48" s="23" t="str">
        <f aca="false">IF(B48="","",IF(Office_Log!B48="","",Office_Log!B48&amp;""))</f>
        <v/>
      </c>
      <c r="F48" s="23" t="str">
        <f aca="false">IF(B48="","","conversation")</f>
        <v/>
      </c>
      <c r="G48" s="23" t="str">
        <f aca="false">IF(B48="","","")</f>
        <v/>
      </c>
      <c r="H48" s="23" t="str">
        <f aca="false">IF(B48="","","")</f>
        <v/>
      </c>
      <c r="I48" s="23" t="str">
        <f aca="false">IF(B48="","","")</f>
        <v/>
      </c>
      <c r="J48" s="23" t="str">
        <f aca="false">IF(B48="","",IF(Office_Log!I48="","",Office_Log!I48&amp;""))</f>
        <v/>
      </c>
      <c r="K48" s="32" t="s">
        <v>1352</v>
      </c>
    </row>
    <row r="49" customFormat="false" ht="15" hidden="false" customHeight="false" outlineLevel="0" collapsed="false">
      <c r="A49" s="23" t="str">
        <f aca="false">IF(B49="","",B49+(1*1000+48)/10000000)</f>
        <v/>
      </c>
      <c r="B49" s="35" t="str">
        <f aca="false">IF(Office_Log!BB49=1,Office_Log!H49,"")</f>
        <v/>
      </c>
      <c r="C49" s="23" t="str">
        <f aca="false">IF(B49="","","office")</f>
        <v/>
      </c>
      <c r="D49" s="23" t="str">
        <f aca="false">IF(B49="","",Office_Log!ED49&amp;"")</f>
        <v/>
      </c>
      <c r="E49" s="23" t="str">
        <f aca="false">IF(B49="","",IF(Office_Log!B49="","",Office_Log!B49&amp;""))</f>
        <v/>
      </c>
      <c r="F49" s="23" t="str">
        <f aca="false">IF(B49="","","conversation")</f>
        <v/>
      </c>
      <c r="G49" s="23" t="str">
        <f aca="false">IF(B49="","","")</f>
        <v/>
      </c>
      <c r="H49" s="23" t="str">
        <f aca="false">IF(B49="","","")</f>
        <v/>
      </c>
      <c r="I49" s="23" t="str">
        <f aca="false">IF(B49="","","")</f>
        <v/>
      </c>
      <c r="J49" s="23" t="str">
        <f aca="false">IF(B49="","",IF(Office_Log!I49="","",Office_Log!I49&amp;""))</f>
        <v/>
      </c>
      <c r="K49" s="32" t="s">
        <v>1352</v>
      </c>
    </row>
    <row r="50" customFormat="false" ht="15" hidden="false" customHeight="false" outlineLevel="0" collapsed="false">
      <c r="A50" s="23" t="str">
        <f aca="false">IF(B50="","",B50+(1*1000+49)/10000000)</f>
        <v/>
      </c>
      <c r="B50" s="35" t="str">
        <f aca="false">IF(Office_Log!BB50=1,Office_Log!H50,"")</f>
        <v/>
      </c>
      <c r="C50" s="23" t="str">
        <f aca="false">IF(B50="","","office")</f>
        <v/>
      </c>
      <c r="D50" s="23" t="str">
        <f aca="false">IF(B50="","",Office_Log!ED50&amp;"")</f>
        <v/>
      </c>
      <c r="E50" s="23" t="str">
        <f aca="false">IF(B50="","",IF(Office_Log!B50="","",Office_Log!B50&amp;""))</f>
        <v/>
      </c>
      <c r="F50" s="23" t="str">
        <f aca="false">IF(B50="","","conversation")</f>
        <v/>
      </c>
      <c r="G50" s="23" t="str">
        <f aca="false">IF(B50="","","")</f>
        <v/>
      </c>
      <c r="H50" s="23" t="str">
        <f aca="false">IF(B50="","","")</f>
        <v/>
      </c>
      <c r="I50" s="23" t="str">
        <f aca="false">IF(B50="","","")</f>
        <v/>
      </c>
      <c r="J50" s="23" t="str">
        <f aca="false">IF(B50="","",IF(Office_Log!I50="","",Office_Log!I50&amp;""))</f>
        <v/>
      </c>
      <c r="K50" s="32" t="s">
        <v>1352</v>
      </c>
    </row>
    <row r="51" customFormat="false" ht="15" hidden="false" customHeight="false" outlineLevel="0" collapsed="false">
      <c r="A51" s="23" t="str">
        <f aca="false">IF(B51="","",B51+(1*1000+50)/10000000)</f>
        <v/>
      </c>
      <c r="B51" s="35" t="str">
        <f aca="false">IF(Office_Log!BB51=1,Office_Log!H51,"")</f>
        <v/>
      </c>
      <c r="C51" s="23" t="str">
        <f aca="false">IF(B51="","","office")</f>
        <v/>
      </c>
      <c r="D51" s="23" t="str">
        <f aca="false">IF(B51="","",Office_Log!ED51&amp;"")</f>
        <v/>
      </c>
      <c r="E51" s="23" t="str">
        <f aca="false">IF(B51="","",IF(Office_Log!B51="","",Office_Log!B51&amp;""))</f>
        <v/>
      </c>
      <c r="F51" s="23" t="str">
        <f aca="false">IF(B51="","","conversation")</f>
        <v/>
      </c>
      <c r="G51" s="23" t="str">
        <f aca="false">IF(B51="","","")</f>
        <v/>
      </c>
      <c r="H51" s="23" t="str">
        <f aca="false">IF(B51="","","")</f>
        <v/>
      </c>
      <c r="I51" s="23" t="str">
        <f aca="false">IF(B51="","","")</f>
        <v/>
      </c>
      <c r="J51" s="23" t="str">
        <f aca="false">IF(B51="","",IF(Office_Log!I51="","",Office_Log!I51&amp;""))</f>
        <v/>
      </c>
      <c r="K51" s="32" t="s">
        <v>1352</v>
      </c>
    </row>
    <row r="52" customFormat="false" ht="15" hidden="false" customHeight="false" outlineLevel="0" collapsed="false">
      <c r="A52" s="23" t="str">
        <f aca="false">IF(B52="","",B52+(1*1000+51)/10000000)</f>
        <v/>
      </c>
      <c r="B52" s="35" t="str">
        <f aca="false">IF(Office_Log!BB52=1,Office_Log!H52,"")</f>
        <v/>
      </c>
      <c r="C52" s="23" t="str">
        <f aca="false">IF(B52="","","office")</f>
        <v/>
      </c>
      <c r="D52" s="23" t="str">
        <f aca="false">IF(B52="","",Office_Log!ED52&amp;"")</f>
        <v/>
      </c>
      <c r="E52" s="23" t="str">
        <f aca="false">IF(B52="","",IF(Office_Log!B52="","",Office_Log!B52&amp;""))</f>
        <v/>
      </c>
      <c r="F52" s="23" t="str">
        <f aca="false">IF(B52="","","conversation")</f>
        <v/>
      </c>
      <c r="G52" s="23" t="str">
        <f aca="false">IF(B52="","","")</f>
        <v/>
      </c>
      <c r="H52" s="23" t="str">
        <f aca="false">IF(B52="","","")</f>
        <v/>
      </c>
      <c r="I52" s="23" t="str">
        <f aca="false">IF(B52="","","")</f>
        <v/>
      </c>
      <c r="J52" s="23" t="str">
        <f aca="false">IF(B52="","",IF(Office_Log!I52="","",Office_Log!I52&amp;""))</f>
        <v/>
      </c>
      <c r="K52" s="32" t="s">
        <v>1352</v>
      </c>
    </row>
    <row r="53" customFormat="false" ht="15" hidden="false" customHeight="false" outlineLevel="0" collapsed="false">
      <c r="A53" s="23" t="str">
        <f aca="false">IF(B53="","",B53+(1*1000+52)/10000000)</f>
        <v/>
      </c>
      <c r="B53" s="35" t="str">
        <f aca="false">IF(Office_Log!BB53=1,Office_Log!H53,"")</f>
        <v/>
      </c>
      <c r="C53" s="23" t="str">
        <f aca="false">IF(B53="","","office")</f>
        <v/>
      </c>
      <c r="D53" s="23" t="str">
        <f aca="false">IF(B53="","",Office_Log!ED53&amp;"")</f>
        <v/>
      </c>
      <c r="E53" s="23" t="str">
        <f aca="false">IF(B53="","",IF(Office_Log!B53="","",Office_Log!B53&amp;""))</f>
        <v/>
      </c>
      <c r="F53" s="23" t="str">
        <f aca="false">IF(B53="","","conversation")</f>
        <v/>
      </c>
      <c r="G53" s="23" t="str">
        <f aca="false">IF(B53="","","")</f>
        <v/>
      </c>
      <c r="H53" s="23" t="str">
        <f aca="false">IF(B53="","","")</f>
        <v/>
      </c>
      <c r="I53" s="23" t="str">
        <f aca="false">IF(B53="","","")</f>
        <v/>
      </c>
      <c r="J53" s="23" t="str">
        <f aca="false">IF(B53="","",IF(Office_Log!I53="","",Office_Log!I53&amp;""))</f>
        <v/>
      </c>
      <c r="K53" s="32" t="s">
        <v>1352</v>
      </c>
    </row>
    <row r="54" customFormat="false" ht="15" hidden="false" customHeight="false" outlineLevel="0" collapsed="false">
      <c r="A54" s="23" t="str">
        <f aca="false">IF(B54="","",B54+(1*1000+53)/10000000)</f>
        <v/>
      </c>
      <c r="B54" s="35" t="str">
        <f aca="false">IF(Office_Log!BB54=1,Office_Log!H54,"")</f>
        <v/>
      </c>
      <c r="C54" s="23" t="str">
        <f aca="false">IF(B54="","","office")</f>
        <v/>
      </c>
      <c r="D54" s="23" t="str">
        <f aca="false">IF(B54="","",Office_Log!ED54&amp;"")</f>
        <v/>
      </c>
      <c r="E54" s="23" t="str">
        <f aca="false">IF(B54="","",IF(Office_Log!B54="","",Office_Log!B54&amp;""))</f>
        <v/>
      </c>
      <c r="F54" s="23" t="str">
        <f aca="false">IF(B54="","","conversation")</f>
        <v/>
      </c>
      <c r="G54" s="23" t="str">
        <f aca="false">IF(B54="","","")</f>
        <v/>
      </c>
      <c r="H54" s="23" t="str">
        <f aca="false">IF(B54="","","")</f>
        <v/>
      </c>
      <c r="I54" s="23" t="str">
        <f aca="false">IF(B54="","","")</f>
        <v/>
      </c>
      <c r="J54" s="23" t="str">
        <f aca="false">IF(B54="","",IF(Office_Log!I54="","",Office_Log!I54&amp;""))</f>
        <v/>
      </c>
      <c r="K54" s="32" t="s">
        <v>1352</v>
      </c>
    </row>
    <row r="55" customFormat="false" ht="15" hidden="false" customHeight="false" outlineLevel="0" collapsed="false">
      <c r="A55" s="23" t="str">
        <f aca="false">IF(B55="","",B55+(1*1000+54)/10000000)</f>
        <v/>
      </c>
      <c r="B55" s="35" t="str">
        <f aca="false">IF(Office_Log!BB55=1,Office_Log!H55,"")</f>
        <v/>
      </c>
      <c r="C55" s="23" t="str">
        <f aca="false">IF(B55="","","office")</f>
        <v/>
      </c>
      <c r="D55" s="23" t="str">
        <f aca="false">IF(B55="","",Office_Log!ED55&amp;"")</f>
        <v/>
      </c>
      <c r="E55" s="23" t="str">
        <f aca="false">IF(B55="","",IF(Office_Log!B55="","",Office_Log!B55&amp;""))</f>
        <v/>
      </c>
      <c r="F55" s="23" t="str">
        <f aca="false">IF(B55="","","conversation")</f>
        <v/>
      </c>
      <c r="G55" s="23" t="str">
        <f aca="false">IF(B55="","","")</f>
        <v/>
      </c>
      <c r="H55" s="23" t="str">
        <f aca="false">IF(B55="","","")</f>
        <v/>
      </c>
      <c r="I55" s="23" t="str">
        <f aca="false">IF(B55="","","")</f>
        <v/>
      </c>
      <c r="J55" s="23" t="str">
        <f aca="false">IF(B55="","",IF(Office_Log!I55="","",Office_Log!I55&amp;""))</f>
        <v/>
      </c>
      <c r="K55" s="32" t="s">
        <v>1352</v>
      </c>
    </row>
    <row r="56" customFormat="false" ht="15" hidden="false" customHeight="false" outlineLevel="0" collapsed="false">
      <c r="A56" s="23" t="str">
        <f aca="false">IF(B56="","",B56+(1*1000+55)/10000000)</f>
        <v/>
      </c>
      <c r="B56" s="35" t="str">
        <f aca="false">IF(Office_Log!BB56=1,Office_Log!H56,"")</f>
        <v/>
      </c>
      <c r="C56" s="23" t="str">
        <f aca="false">IF(B56="","","office")</f>
        <v/>
      </c>
      <c r="D56" s="23" t="str">
        <f aca="false">IF(B56="","",Office_Log!ED56&amp;"")</f>
        <v/>
      </c>
      <c r="E56" s="23" t="str">
        <f aca="false">IF(B56="","",IF(Office_Log!B56="","",Office_Log!B56&amp;""))</f>
        <v/>
      </c>
      <c r="F56" s="23" t="str">
        <f aca="false">IF(B56="","","conversation")</f>
        <v/>
      </c>
      <c r="G56" s="23" t="str">
        <f aca="false">IF(B56="","","")</f>
        <v/>
      </c>
      <c r="H56" s="23" t="str">
        <f aca="false">IF(B56="","","")</f>
        <v/>
      </c>
      <c r="I56" s="23" t="str">
        <f aca="false">IF(B56="","","")</f>
        <v/>
      </c>
      <c r="J56" s="23" t="str">
        <f aca="false">IF(B56="","",IF(Office_Log!I56="","",Office_Log!I56&amp;""))</f>
        <v/>
      </c>
      <c r="K56" s="32" t="s">
        <v>1352</v>
      </c>
    </row>
    <row r="57" customFormat="false" ht="15" hidden="false" customHeight="false" outlineLevel="0" collapsed="false">
      <c r="A57" s="23" t="str">
        <f aca="false">IF(B57="","",B57+(1*1000+56)/10000000)</f>
        <v/>
      </c>
      <c r="B57" s="35" t="str">
        <f aca="false">IF(Office_Log!BB57=1,Office_Log!H57,"")</f>
        <v/>
      </c>
      <c r="C57" s="23" t="str">
        <f aca="false">IF(B57="","","office")</f>
        <v/>
      </c>
      <c r="D57" s="23" t="str">
        <f aca="false">IF(B57="","",Office_Log!ED57&amp;"")</f>
        <v/>
      </c>
      <c r="E57" s="23" t="str">
        <f aca="false">IF(B57="","",IF(Office_Log!B57="","",Office_Log!B57&amp;""))</f>
        <v/>
      </c>
      <c r="F57" s="23" t="str">
        <f aca="false">IF(B57="","","conversation")</f>
        <v/>
      </c>
      <c r="G57" s="23" t="str">
        <f aca="false">IF(B57="","","")</f>
        <v/>
      </c>
      <c r="H57" s="23" t="str">
        <f aca="false">IF(B57="","","")</f>
        <v/>
      </c>
      <c r="I57" s="23" t="str">
        <f aca="false">IF(B57="","","")</f>
        <v/>
      </c>
      <c r="J57" s="23" t="str">
        <f aca="false">IF(B57="","",IF(Office_Log!I57="","",Office_Log!I57&amp;""))</f>
        <v/>
      </c>
      <c r="K57" s="32" t="s">
        <v>1352</v>
      </c>
    </row>
    <row r="58" customFormat="false" ht="15" hidden="false" customHeight="false" outlineLevel="0" collapsed="false">
      <c r="A58" s="23" t="str">
        <f aca="false">IF(B58="","",B58+(1*1000+57)/10000000)</f>
        <v/>
      </c>
      <c r="B58" s="35" t="str">
        <f aca="false">IF(Office_Log!BB58=1,Office_Log!H58,"")</f>
        <v/>
      </c>
      <c r="C58" s="23" t="str">
        <f aca="false">IF(B58="","","office")</f>
        <v/>
      </c>
      <c r="D58" s="23" t="str">
        <f aca="false">IF(B58="","",Office_Log!ED58&amp;"")</f>
        <v/>
      </c>
      <c r="E58" s="23" t="str">
        <f aca="false">IF(B58="","",IF(Office_Log!B58="","",Office_Log!B58&amp;""))</f>
        <v/>
      </c>
      <c r="F58" s="23" t="str">
        <f aca="false">IF(B58="","","conversation")</f>
        <v/>
      </c>
      <c r="G58" s="23" t="str">
        <f aca="false">IF(B58="","","")</f>
        <v/>
      </c>
      <c r="H58" s="23" t="str">
        <f aca="false">IF(B58="","","")</f>
        <v/>
      </c>
      <c r="I58" s="23" t="str">
        <f aca="false">IF(B58="","","")</f>
        <v/>
      </c>
      <c r="J58" s="23" t="str">
        <f aca="false">IF(B58="","",IF(Office_Log!I58="","",Office_Log!I58&amp;""))</f>
        <v/>
      </c>
      <c r="K58" s="32" t="s">
        <v>1352</v>
      </c>
    </row>
    <row r="59" customFormat="false" ht="15" hidden="false" customHeight="false" outlineLevel="0" collapsed="false">
      <c r="A59" s="23" t="str">
        <f aca="false">IF(B59="","",B59+(1*1000+58)/10000000)</f>
        <v/>
      </c>
      <c r="B59" s="35" t="str">
        <f aca="false">IF(Office_Log!BB59=1,Office_Log!H59,"")</f>
        <v/>
      </c>
      <c r="C59" s="23" t="str">
        <f aca="false">IF(B59="","","office")</f>
        <v/>
      </c>
      <c r="D59" s="23" t="str">
        <f aca="false">IF(B59="","",Office_Log!ED59&amp;"")</f>
        <v/>
      </c>
      <c r="E59" s="23" t="str">
        <f aca="false">IF(B59="","",IF(Office_Log!B59="","",Office_Log!B59&amp;""))</f>
        <v/>
      </c>
      <c r="F59" s="23" t="str">
        <f aca="false">IF(B59="","","conversation")</f>
        <v/>
      </c>
      <c r="G59" s="23" t="str">
        <f aca="false">IF(B59="","","")</f>
        <v/>
      </c>
      <c r="H59" s="23" t="str">
        <f aca="false">IF(B59="","","")</f>
        <v/>
      </c>
      <c r="I59" s="23" t="str">
        <f aca="false">IF(B59="","","")</f>
        <v/>
      </c>
      <c r="J59" s="23" t="str">
        <f aca="false">IF(B59="","",IF(Office_Log!I59="","",Office_Log!I59&amp;""))</f>
        <v/>
      </c>
      <c r="K59" s="32" t="s">
        <v>1352</v>
      </c>
    </row>
    <row r="60" customFormat="false" ht="15" hidden="false" customHeight="false" outlineLevel="0" collapsed="false">
      <c r="A60" s="23" t="str">
        <f aca="false">IF(B60="","",B60+(1*1000+59)/10000000)</f>
        <v/>
      </c>
      <c r="B60" s="35" t="str">
        <f aca="false">IF(Office_Log!BB60=1,Office_Log!H60,"")</f>
        <v/>
      </c>
      <c r="C60" s="23" t="str">
        <f aca="false">IF(B60="","","office")</f>
        <v/>
      </c>
      <c r="D60" s="23" t="str">
        <f aca="false">IF(B60="","",Office_Log!ED60&amp;"")</f>
        <v/>
      </c>
      <c r="E60" s="23" t="str">
        <f aca="false">IF(B60="","",IF(Office_Log!B60="","",Office_Log!B60&amp;""))</f>
        <v/>
      </c>
      <c r="F60" s="23" t="str">
        <f aca="false">IF(B60="","","conversation")</f>
        <v/>
      </c>
      <c r="G60" s="23" t="str">
        <f aca="false">IF(B60="","","")</f>
        <v/>
      </c>
      <c r="H60" s="23" t="str">
        <f aca="false">IF(B60="","","")</f>
        <v/>
      </c>
      <c r="I60" s="23" t="str">
        <f aca="false">IF(B60="","","")</f>
        <v/>
      </c>
      <c r="J60" s="23" t="str">
        <f aca="false">IF(B60="","",IF(Office_Log!I60="","",Office_Log!I60&amp;""))</f>
        <v/>
      </c>
      <c r="K60" s="32" t="s">
        <v>1352</v>
      </c>
    </row>
    <row r="61" customFormat="false" ht="15" hidden="false" customHeight="false" outlineLevel="0" collapsed="false">
      <c r="A61" s="23" t="str">
        <f aca="false">IF(B61="","",B61+(1*1000+60)/10000000)</f>
        <v/>
      </c>
      <c r="B61" s="35" t="str">
        <f aca="false">IF(Office_Log!BB61=1,Office_Log!H61,"")</f>
        <v/>
      </c>
      <c r="C61" s="23" t="str">
        <f aca="false">IF(B61="","","office")</f>
        <v/>
      </c>
      <c r="D61" s="23" t="str">
        <f aca="false">IF(B61="","",Office_Log!ED61&amp;"")</f>
        <v/>
      </c>
      <c r="E61" s="23" t="str">
        <f aca="false">IF(B61="","",IF(Office_Log!B61="","",Office_Log!B61&amp;""))</f>
        <v/>
      </c>
      <c r="F61" s="23" t="str">
        <f aca="false">IF(B61="","","conversation")</f>
        <v/>
      </c>
      <c r="G61" s="23" t="str">
        <f aca="false">IF(B61="","","")</f>
        <v/>
      </c>
      <c r="H61" s="23" t="str">
        <f aca="false">IF(B61="","","")</f>
        <v/>
      </c>
      <c r="I61" s="23" t="str">
        <f aca="false">IF(B61="","","")</f>
        <v/>
      </c>
      <c r="J61" s="23" t="str">
        <f aca="false">IF(B61="","",IF(Office_Log!I61="","",Office_Log!I61&amp;""))</f>
        <v/>
      </c>
      <c r="K61" s="32" t="s">
        <v>1352</v>
      </c>
    </row>
    <row r="62" customFormat="false" ht="15" hidden="false" customHeight="false" outlineLevel="0" collapsed="false">
      <c r="A62" s="23" t="str">
        <f aca="false">IF(B62="","",B62+(1*1000+61)/10000000)</f>
        <v/>
      </c>
      <c r="B62" s="35" t="str">
        <f aca="false">IF(Office_Log!BB62=1,Office_Log!H62,"")</f>
        <v/>
      </c>
      <c r="C62" s="23" t="str">
        <f aca="false">IF(B62="","","office")</f>
        <v/>
      </c>
      <c r="D62" s="23" t="str">
        <f aca="false">IF(B62="","",Office_Log!ED62&amp;"")</f>
        <v/>
      </c>
      <c r="E62" s="23" t="str">
        <f aca="false">IF(B62="","",IF(Office_Log!B62="","",Office_Log!B62&amp;""))</f>
        <v/>
      </c>
      <c r="F62" s="23" t="str">
        <f aca="false">IF(B62="","","conversation")</f>
        <v/>
      </c>
      <c r="G62" s="23" t="str">
        <f aca="false">IF(B62="","","")</f>
        <v/>
      </c>
      <c r="H62" s="23" t="str">
        <f aca="false">IF(B62="","","")</f>
        <v/>
      </c>
      <c r="I62" s="23" t="str">
        <f aca="false">IF(B62="","","")</f>
        <v/>
      </c>
      <c r="J62" s="23" t="str">
        <f aca="false">IF(B62="","",IF(Office_Log!I62="","",Office_Log!I62&amp;""))</f>
        <v/>
      </c>
      <c r="K62" s="32" t="s">
        <v>1352</v>
      </c>
    </row>
    <row r="63" customFormat="false" ht="15" hidden="false" customHeight="false" outlineLevel="0" collapsed="false">
      <c r="A63" s="23" t="str">
        <f aca="false">IF(B63="","",B63+(1*1000+62)/10000000)</f>
        <v/>
      </c>
      <c r="B63" s="35" t="str">
        <f aca="false">IF(Office_Log!BB63=1,Office_Log!H63,"")</f>
        <v/>
      </c>
      <c r="C63" s="23" t="str">
        <f aca="false">IF(B63="","","office")</f>
        <v/>
      </c>
      <c r="D63" s="23" t="str">
        <f aca="false">IF(B63="","",Office_Log!ED63&amp;"")</f>
        <v/>
      </c>
      <c r="E63" s="23" t="str">
        <f aca="false">IF(B63="","",IF(Office_Log!B63="","",Office_Log!B63&amp;""))</f>
        <v/>
      </c>
      <c r="F63" s="23" t="str">
        <f aca="false">IF(B63="","","conversation")</f>
        <v/>
      </c>
      <c r="G63" s="23" t="str">
        <f aca="false">IF(B63="","","")</f>
        <v/>
      </c>
      <c r="H63" s="23" t="str">
        <f aca="false">IF(B63="","","")</f>
        <v/>
      </c>
      <c r="I63" s="23" t="str">
        <f aca="false">IF(B63="","","")</f>
        <v/>
      </c>
      <c r="J63" s="23" t="str">
        <f aca="false">IF(B63="","",IF(Office_Log!I63="","",Office_Log!I63&amp;""))</f>
        <v/>
      </c>
      <c r="K63" s="32" t="s">
        <v>1352</v>
      </c>
    </row>
    <row r="64" customFormat="false" ht="15" hidden="false" customHeight="false" outlineLevel="0" collapsed="false">
      <c r="A64" s="23" t="str">
        <f aca="false">IF(B64="","",B64+(1*1000+63)/10000000)</f>
        <v/>
      </c>
      <c r="B64" s="35" t="str">
        <f aca="false">IF(Office_Log!BB64=1,Office_Log!H64,"")</f>
        <v/>
      </c>
      <c r="C64" s="23" t="str">
        <f aca="false">IF(B64="","","office")</f>
        <v/>
      </c>
      <c r="D64" s="23" t="str">
        <f aca="false">IF(B64="","",Office_Log!ED64&amp;"")</f>
        <v/>
      </c>
      <c r="E64" s="23" t="str">
        <f aca="false">IF(B64="","",IF(Office_Log!B64="","",Office_Log!B64&amp;""))</f>
        <v/>
      </c>
      <c r="F64" s="23" t="str">
        <f aca="false">IF(B64="","","conversation")</f>
        <v/>
      </c>
      <c r="G64" s="23" t="str">
        <f aca="false">IF(B64="","","")</f>
        <v/>
      </c>
      <c r="H64" s="23" t="str">
        <f aca="false">IF(B64="","","")</f>
        <v/>
      </c>
      <c r="I64" s="23" t="str">
        <f aca="false">IF(B64="","","")</f>
        <v/>
      </c>
      <c r="J64" s="23" t="str">
        <f aca="false">IF(B64="","",IF(Office_Log!I64="","",Office_Log!I64&amp;""))</f>
        <v/>
      </c>
      <c r="K64" s="32" t="s">
        <v>1352</v>
      </c>
    </row>
    <row r="65" customFormat="false" ht="15" hidden="false" customHeight="false" outlineLevel="0" collapsed="false">
      <c r="A65" s="23" t="str">
        <f aca="false">IF(B65="","",B65+(1*1000+64)/10000000)</f>
        <v/>
      </c>
      <c r="B65" s="35" t="str">
        <f aca="false">IF(Office_Log!BB65=1,Office_Log!H65,"")</f>
        <v/>
      </c>
      <c r="C65" s="23" t="str">
        <f aca="false">IF(B65="","","office")</f>
        <v/>
      </c>
      <c r="D65" s="23" t="str">
        <f aca="false">IF(B65="","",Office_Log!ED65&amp;"")</f>
        <v/>
      </c>
      <c r="E65" s="23" t="str">
        <f aca="false">IF(B65="","",IF(Office_Log!B65="","",Office_Log!B65&amp;""))</f>
        <v/>
      </c>
      <c r="F65" s="23" t="str">
        <f aca="false">IF(B65="","","conversation")</f>
        <v/>
      </c>
      <c r="G65" s="23" t="str">
        <f aca="false">IF(B65="","","")</f>
        <v/>
      </c>
      <c r="H65" s="23" t="str">
        <f aca="false">IF(B65="","","")</f>
        <v/>
      </c>
      <c r="I65" s="23" t="str">
        <f aca="false">IF(B65="","","")</f>
        <v/>
      </c>
      <c r="J65" s="23" t="str">
        <f aca="false">IF(B65="","",IF(Office_Log!I65="","",Office_Log!I65&amp;""))</f>
        <v/>
      </c>
      <c r="K65" s="32" t="s">
        <v>1352</v>
      </c>
    </row>
    <row r="66" customFormat="false" ht="15" hidden="false" customHeight="false" outlineLevel="0" collapsed="false">
      <c r="A66" s="23" t="str">
        <f aca="false">IF(B66="","",B66+(1*1000+65)/10000000)</f>
        <v/>
      </c>
      <c r="B66" s="35" t="str">
        <f aca="false">IF(Office_Log!BB66=1,Office_Log!H66,"")</f>
        <v/>
      </c>
      <c r="C66" s="23" t="str">
        <f aca="false">IF(B66="","","office")</f>
        <v/>
      </c>
      <c r="D66" s="23" t="str">
        <f aca="false">IF(B66="","",Office_Log!ED66&amp;"")</f>
        <v/>
      </c>
      <c r="E66" s="23" t="str">
        <f aca="false">IF(B66="","",IF(Office_Log!B66="","",Office_Log!B66&amp;""))</f>
        <v/>
      </c>
      <c r="F66" s="23" t="str">
        <f aca="false">IF(B66="","","conversation")</f>
        <v/>
      </c>
      <c r="G66" s="23" t="str">
        <f aca="false">IF(B66="","","")</f>
        <v/>
      </c>
      <c r="H66" s="23" t="str">
        <f aca="false">IF(B66="","","")</f>
        <v/>
      </c>
      <c r="I66" s="23" t="str">
        <f aca="false">IF(B66="","","")</f>
        <v/>
      </c>
      <c r="J66" s="23" t="str">
        <f aca="false">IF(B66="","",IF(Office_Log!I66="","",Office_Log!I66&amp;""))</f>
        <v/>
      </c>
      <c r="K66" s="32" t="s">
        <v>1352</v>
      </c>
    </row>
    <row r="67" customFormat="false" ht="15" hidden="false" customHeight="false" outlineLevel="0" collapsed="false">
      <c r="A67" s="23" t="str">
        <f aca="false">IF(B67="","",B67+(1*1000+66)/10000000)</f>
        <v/>
      </c>
      <c r="B67" s="35" t="str">
        <f aca="false">IF(Office_Log!BB67=1,Office_Log!H67,"")</f>
        <v/>
      </c>
      <c r="C67" s="23" t="str">
        <f aca="false">IF(B67="","","office")</f>
        <v/>
      </c>
      <c r="D67" s="23" t="str">
        <f aca="false">IF(B67="","",Office_Log!ED67&amp;"")</f>
        <v/>
      </c>
      <c r="E67" s="23" t="str">
        <f aca="false">IF(B67="","",IF(Office_Log!B67="","",Office_Log!B67&amp;""))</f>
        <v/>
      </c>
      <c r="F67" s="23" t="str">
        <f aca="false">IF(B67="","","conversation")</f>
        <v/>
      </c>
      <c r="G67" s="23" t="str">
        <f aca="false">IF(B67="","","")</f>
        <v/>
      </c>
      <c r="H67" s="23" t="str">
        <f aca="false">IF(B67="","","")</f>
        <v/>
      </c>
      <c r="I67" s="23" t="str">
        <f aca="false">IF(B67="","","")</f>
        <v/>
      </c>
      <c r="J67" s="23" t="str">
        <f aca="false">IF(B67="","",IF(Office_Log!I67="","",Office_Log!I67&amp;""))</f>
        <v/>
      </c>
      <c r="K67" s="32" t="s">
        <v>1352</v>
      </c>
    </row>
    <row r="68" customFormat="false" ht="15" hidden="false" customHeight="false" outlineLevel="0" collapsed="false">
      <c r="A68" s="23" t="str">
        <f aca="false">IF(B68="","",B68+(1*1000+67)/10000000)</f>
        <v/>
      </c>
      <c r="B68" s="35" t="str">
        <f aca="false">IF(Office_Log!BB68=1,Office_Log!H68,"")</f>
        <v/>
      </c>
      <c r="C68" s="23" t="str">
        <f aca="false">IF(B68="","","office")</f>
        <v/>
      </c>
      <c r="D68" s="23" t="str">
        <f aca="false">IF(B68="","",Office_Log!ED68&amp;"")</f>
        <v/>
      </c>
      <c r="E68" s="23" t="str">
        <f aca="false">IF(B68="","",IF(Office_Log!B68="","",Office_Log!B68&amp;""))</f>
        <v/>
      </c>
      <c r="F68" s="23" t="str">
        <f aca="false">IF(B68="","","conversation")</f>
        <v/>
      </c>
      <c r="G68" s="23" t="str">
        <f aca="false">IF(B68="","","")</f>
        <v/>
      </c>
      <c r="H68" s="23" t="str">
        <f aca="false">IF(B68="","","")</f>
        <v/>
      </c>
      <c r="I68" s="23" t="str">
        <f aca="false">IF(B68="","","")</f>
        <v/>
      </c>
      <c r="J68" s="23" t="str">
        <f aca="false">IF(B68="","",IF(Office_Log!I68="","",Office_Log!I68&amp;""))</f>
        <v/>
      </c>
      <c r="K68" s="32" t="s">
        <v>1352</v>
      </c>
    </row>
    <row r="69" customFormat="false" ht="15" hidden="false" customHeight="false" outlineLevel="0" collapsed="false">
      <c r="A69" s="23" t="str">
        <f aca="false">IF(B69="","",B69+(1*1000+68)/10000000)</f>
        <v/>
      </c>
      <c r="B69" s="35" t="str">
        <f aca="false">IF(Office_Log!BB69=1,Office_Log!H69,"")</f>
        <v/>
      </c>
      <c r="C69" s="23" t="str">
        <f aca="false">IF(B69="","","office")</f>
        <v/>
      </c>
      <c r="D69" s="23" t="str">
        <f aca="false">IF(B69="","",Office_Log!ED69&amp;"")</f>
        <v/>
      </c>
      <c r="E69" s="23" t="str">
        <f aca="false">IF(B69="","",IF(Office_Log!B69="","",Office_Log!B69&amp;""))</f>
        <v/>
      </c>
      <c r="F69" s="23" t="str">
        <f aca="false">IF(B69="","","conversation")</f>
        <v/>
      </c>
      <c r="G69" s="23" t="str">
        <f aca="false">IF(B69="","","")</f>
        <v/>
      </c>
      <c r="H69" s="23" t="str">
        <f aca="false">IF(B69="","","")</f>
        <v/>
      </c>
      <c r="I69" s="23" t="str">
        <f aca="false">IF(B69="","","")</f>
        <v/>
      </c>
      <c r="J69" s="23" t="str">
        <f aca="false">IF(B69="","",IF(Office_Log!I69="","",Office_Log!I69&amp;""))</f>
        <v/>
      </c>
      <c r="K69" s="32" t="s">
        <v>1352</v>
      </c>
    </row>
    <row r="70" customFormat="false" ht="15" hidden="false" customHeight="false" outlineLevel="0" collapsed="false">
      <c r="A70" s="23" t="str">
        <f aca="false">IF(B70="","",B70+(1*1000+69)/10000000)</f>
        <v/>
      </c>
      <c r="B70" s="35" t="str">
        <f aca="false">IF(Office_Log!BB70=1,Office_Log!H70,"")</f>
        <v/>
      </c>
      <c r="C70" s="23" t="str">
        <f aca="false">IF(B70="","","office")</f>
        <v/>
      </c>
      <c r="D70" s="23" t="str">
        <f aca="false">IF(B70="","",Office_Log!ED70&amp;"")</f>
        <v/>
      </c>
      <c r="E70" s="23" t="str">
        <f aca="false">IF(B70="","",IF(Office_Log!B70="","",Office_Log!B70&amp;""))</f>
        <v/>
      </c>
      <c r="F70" s="23" t="str">
        <f aca="false">IF(B70="","","conversation")</f>
        <v/>
      </c>
      <c r="G70" s="23" t="str">
        <f aca="false">IF(B70="","","")</f>
        <v/>
      </c>
      <c r="H70" s="23" t="str">
        <f aca="false">IF(B70="","","")</f>
        <v/>
      </c>
      <c r="I70" s="23" t="str">
        <f aca="false">IF(B70="","","")</f>
        <v/>
      </c>
      <c r="J70" s="23" t="str">
        <f aca="false">IF(B70="","",IF(Office_Log!I70="","",Office_Log!I70&amp;""))</f>
        <v/>
      </c>
      <c r="K70" s="32" t="s">
        <v>1352</v>
      </c>
    </row>
    <row r="71" customFormat="false" ht="15" hidden="false" customHeight="false" outlineLevel="0" collapsed="false">
      <c r="A71" s="23" t="str">
        <f aca="false">IF(B71="","",B71+(1*1000+70)/10000000)</f>
        <v/>
      </c>
      <c r="B71" s="35" t="str">
        <f aca="false">IF(Office_Log!BB71=1,Office_Log!H71,"")</f>
        <v/>
      </c>
      <c r="C71" s="23" t="str">
        <f aca="false">IF(B71="","","office")</f>
        <v/>
      </c>
      <c r="D71" s="23" t="str">
        <f aca="false">IF(B71="","",Office_Log!ED71&amp;"")</f>
        <v/>
      </c>
      <c r="E71" s="23" t="str">
        <f aca="false">IF(B71="","",IF(Office_Log!B71="","",Office_Log!B71&amp;""))</f>
        <v/>
      </c>
      <c r="F71" s="23" t="str">
        <f aca="false">IF(B71="","","conversation")</f>
        <v/>
      </c>
      <c r="G71" s="23" t="str">
        <f aca="false">IF(B71="","","")</f>
        <v/>
      </c>
      <c r="H71" s="23" t="str">
        <f aca="false">IF(B71="","","")</f>
        <v/>
      </c>
      <c r="I71" s="23" t="str">
        <f aca="false">IF(B71="","","")</f>
        <v/>
      </c>
      <c r="J71" s="23" t="str">
        <f aca="false">IF(B71="","",IF(Office_Log!I71="","",Office_Log!I71&amp;""))</f>
        <v/>
      </c>
      <c r="K71" s="32" t="s">
        <v>1352</v>
      </c>
    </row>
    <row r="72" customFormat="false" ht="15" hidden="false" customHeight="false" outlineLevel="0" collapsed="false">
      <c r="A72" s="23" t="str">
        <f aca="false">IF(B72="","",B72+(1*1000+71)/10000000)</f>
        <v/>
      </c>
      <c r="B72" s="35" t="str">
        <f aca="false">IF(Office_Log!BB72=1,Office_Log!H72,"")</f>
        <v/>
      </c>
      <c r="C72" s="23" t="str">
        <f aca="false">IF(B72="","","office")</f>
        <v/>
      </c>
      <c r="D72" s="23" t="str">
        <f aca="false">IF(B72="","",Office_Log!ED72&amp;"")</f>
        <v/>
      </c>
      <c r="E72" s="23" t="str">
        <f aca="false">IF(B72="","",IF(Office_Log!B72="","",Office_Log!B72&amp;""))</f>
        <v/>
      </c>
      <c r="F72" s="23" t="str">
        <f aca="false">IF(B72="","","conversation")</f>
        <v/>
      </c>
      <c r="G72" s="23" t="str">
        <f aca="false">IF(B72="","","")</f>
        <v/>
      </c>
      <c r="H72" s="23" t="str">
        <f aca="false">IF(B72="","","")</f>
        <v/>
      </c>
      <c r="I72" s="23" t="str">
        <f aca="false">IF(B72="","","")</f>
        <v/>
      </c>
      <c r="J72" s="23" t="str">
        <f aca="false">IF(B72="","",IF(Office_Log!I72="","",Office_Log!I72&amp;""))</f>
        <v/>
      </c>
      <c r="K72" s="32" t="s">
        <v>1352</v>
      </c>
    </row>
    <row r="73" customFormat="false" ht="15" hidden="false" customHeight="false" outlineLevel="0" collapsed="false">
      <c r="A73" s="23" t="str">
        <f aca="false">IF(B73="","",B73+(1*1000+72)/10000000)</f>
        <v/>
      </c>
      <c r="B73" s="35" t="str">
        <f aca="false">IF(Office_Log!BB73=1,Office_Log!H73,"")</f>
        <v/>
      </c>
      <c r="C73" s="23" t="str">
        <f aca="false">IF(B73="","","office")</f>
        <v/>
      </c>
      <c r="D73" s="23" t="str">
        <f aca="false">IF(B73="","",Office_Log!ED73&amp;"")</f>
        <v/>
      </c>
      <c r="E73" s="23" t="str">
        <f aca="false">IF(B73="","",IF(Office_Log!B73="","",Office_Log!B73&amp;""))</f>
        <v/>
      </c>
      <c r="F73" s="23" t="str">
        <f aca="false">IF(B73="","","conversation")</f>
        <v/>
      </c>
      <c r="G73" s="23" t="str">
        <f aca="false">IF(B73="","","")</f>
        <v/>
      </c>
      <c r="H73" s="23" t="str">
        <f aca="false">IF(B73="","","")</f>
        <v/>
      </c>
      <c r="I73" s="23" t="str">
        <f aca="false">IF(B73="","","")</f>
        <v/>
      </c>
      <c r="J73" s="23" t="str">
        <f aca="false">IF(B73="","",IF(Office_Log!I73="","",Office_Log!I73&amp;""))</f>
        <v/>
      </c>
      <c r="K73" s="32" t="s">
        <v>1352</v>
      </c>
    </row>
    <row r="74" customFormat="false" ht="15" hidden="false" customHeight="false" outlineLevel="0" collapsed="false">
      <c r="A74" s="23" t="str">
        <f aca="false">IF(B74="","",B74+(1*1000+73)/10000000)</f>
        <v/>
      </c>
      <c r="B74" s="35" t="str">
        <f aca="false">IF(Office_Log!BB74=1,Office_Log!H74,"")</f>
        <v/>
      </c>
      <c r="C74" s="23" t="str">
        <f aca="false">IF(B74="","","office")</f>
        <v/>
      </c>
      <c r="D74" s="23" t="str">
        <f aca="false">IF(B74="","",Office_Log!ED74&amp;"")</f>
        <v/>
      </c>
      <c r="E74" s="23" t="str">
        <f aca="false">IF(B74="","",IF(Office_Log!B74="","",Office_Log!B74&amp;""))</f>
        <v/>
      </c>
      <c r="F74" s="23" t="str">
        <f aca="false">IF(B74="","","conversation")</f>
        <v/>
      </c>
      <c r="G74" s="23" t="str">
        <f aca="false">IF(B74="","","")</f>
        <v/>
      </c>
      <c r="H74" s="23" t="str">
        <f aca="false">IF(B74="","","")</f>
        <v/>
      </c>
      <c r="I74" s="23" t="str">
        <f aca="false">IF(B74="","","")</f>
        <v/>
      </c>
      <c r="J74" s="23" t="str">
        <f aca="false">IF(B74="","",IF(Office_Log!I74="","",Office_Log!I74&amp;""))</f>
        <v/>
      </c>
      <c r="K74" s="32" t="s">
        <v>1352</v>
      </c>
    </row>
    <row r="75" customFormat="false" ht="15" hidden="false" customHeight="false" outlineLevel="0" collapsed="false">
      <c r="A75" s="23" t="str">
        <f aca="false">IF(B75="","",B75+(1*1000+74)/10000000)</f>
        <v/>
      </c>
      <c r="B75" s="35" t="str">
        <f aca="false">IF(Office_Log!BB75=1,Office_Log!H75,"")</f>
        <v/>
      </c>
      <c r="C75" s="23" t="str">
        <f aca="false">IF(B75="","","office")</f>
        <v/>
      </c>
      <c r="D75" s="23" t="str">
        <f aca="false">IF(B75="","",Office_Log!ED75&amp;"")</f>
        <v/>
      </c>
      <c r="E75" s="23" t="str">
        <f aca="false">IF(B75="","",IF(Office_Log!B75="","",Office_Log!B75&amp;""))</f>
        <v/>
      </c>
      <c r="F75" s="23" t="str">
        <f aca="false">IF(B75="","","conversation")</f>
        <v/>
      </c>
      <c r="G75" s="23" t="str">
        <f aca="false">IF(B75="","","")</f>
        <v/>
      </c>
      <c r="H75" s="23" t="str">
        <f aca="false">IF(B75="","","")</f>
        <v/>
      </c>
      <c r="I75" s="23" t="str">
        <f aca="false">IF(B75="","","")</f>
        <v/>
      </c>
      <c r="J75" s="23" t="str">
        <f aca="false">IF(B75="","",IF(Office_Log!I75="","",Office_Log!I75&amp;""))</f>
        <v/>
      </c>
      <c r="K75" s="32" t="s">
        <v>1352</v>
      </c>
    </row>
    <row r="76" customFormat="false" ht="15" hidden="false" customHeight="false" outlineLevel="0" collapsed="false">
      <c r="A76" s="23" t="str">
        <f aca="false">IF(B76="","",B76+(1*1000+75)/10000000)</f>
        <v/>
      </c>
      <c r="B76" s="35" t="str">
        <f aca="false">IF(Office_Log!BB76=1,Office_Log!H76,"")</f>
        <v/>
      </c>
      <c r="C76" s="23" t="str">
        <f aca="false">IF(B76="","","office")</f>
        <v/>
      </c>
      <c r="D76" s="23" t="str">
        <f aca="false">IF(B76="","",Office_Log!ED76&amp;"")</f>
        <v/>
      </c>
      <c r="E76" s="23" t="str">
        <f aca="false">IF(B76="","",IF(Office_Log!B76="","",Office_Log!B76&amp;""))</f>
        <v/>
      </c>
      <c r="F76" s="23" t="str">
        <f aca="false">IF(B76="","","conversation")</f>
        <v/>
      </c>
      <c r="G76" s="23" t="str">
        <f aca="false">IF(B76="","","")</f>
        <v/>
      </c>
      <c r="H76" s="23" t="str">
        <f aca="false">IF(B76="","","")</f>
        <v/>
      </c>
      <c r="I76" s="23" t="str">
        <f aca="false">IF(B76="","","")</f>
        <v/>
      </c>
      <c r="J76" s="23" t="str">
        <f aca="false">IF(B76="","",IF(Office_Log!I76="","",Office_Log!I76&amp;""))</f>
        <v/>
      </c>
      <c r="K76" s="32" t="s">
        <v>1352</v>
      </c>
    </row>
    <row r="77" customFormat="false" ht="15" hidden="false" customHeight="false" outlineLevel="0" collapsed="false">
      <c r="A77" s="23" t="str">
        <f aca="false">IF(B77="","",B77+(1*1000+76)/10000000)</f>
        <v/>
      </c>
      <c r="B77" s="35" t="str">
        <f aca="false">IF(Office_Log!BB77=1,Office_Log!H77,"")</f>
        <v/>
      </c>
      <c r="C77" s="23" t="str">
        <f aca="false">IF(B77="","","office")</f>
        <v/>
      </c>
      <c r="D77" s="23" t="str">
        <f aca="false">IF(B77="","",Office_Log!ED77&amp;"")</f>
        <v/>
      </c>
      <c r="E77" s="23" t="str">
        <f aca="false">IF(B77="","",IF(Office_Log!B77="","",Office_Log!B77&amp;""))</f>
        <v/>
      </c>
      <c r="F77" s="23" t="str">
        <f aca="false">IF(B77="","","conversation")</f>
        <v/>
      </c>
      <c r="G77" s="23" t="str">
        <f aca="false">IF(B77="","","")</f>
        <v/>
      </c>
      <c r="H77" s="23" t="str">
        <f aca="false">IF(B77="","","")</f>
        <v/>
      </c>
      <c r="I77" s="23" t="str">
        <f aca="false">IF(B77="","","")</f>
        <v/>
      </c>
      <c r="J77" s="23" t="str">
        <f aca="false">IF(B77="","",IF(Office_Log!I77="","",Office_Log!I77&amp;""))</f>
        <v/>
      </c>
      <c r="K77" s="32" t="s">
        <v>1352</v>
      </c>
    </row>
    <row r="78" customFormat="false" ht="15" hidden="false" customHeight="false" outlineLevel="0" collapsed="false">
      <c r="A78" s="23" t="str">
        <f aca="false">IF(B78="","",B78+(1*1000+77)/10000000)</f>
        <v/>
      </c>
      <c r="B78" s="35" t="str">
        <f aca="false">IF(Office_Log!BB78=1,Office_Log!H78,"")</f>
        <v/>
      </c>
      <c r="C78" s="23" t="str">
        <f aca="false">IF(B78="","","office")</f>
        <v/>
      </c>
      <c r="D78" s="23" t="str">
        <f aca="false">IF(B78="","",Office_Log!ED78&amp;"")</f>
        <v/>
      </c>
      <c r="E78" s="23" t="str">
        <f aca="false">IF(B78="","",IF(Office_Log!B78="","",Office_Log!B78&amp;""))</f>
        <v/>
      </c>
      <c r="F78" s="23" t="str">
        <f aca="false">IF(B78="","","conversation")</f>
        <v/>
      </c>
      <c r="G78" s="23" t="str">
        <f aca="false">IF(B78="","","")</f>
        <v/>
      </c>
      <c r="H78" s="23" t="str">
        <f aca="false">IF(B78="","","")</f>
        <v/>
      </c>
      <c r="I78" s="23" t="str">
        <f aca="false">IF(B78="","","")</f>
        <v/>
      </c>
      <c r="J78" s="23" t="str">
        <f aca="false">IF(B78="","",IF(Office_Log!I78="","",Office_Log!I78&amp;""))</f>
        <v/>
      </c>
      <c r="K78" s="32" t="s">
        <v>1352</v>
      </c>
    </row>
    <row r="79" customFormat="false" ht="15" hidden="false" customHeight="false" outlineLevel="0" collapsed="false">
      <c r="A79" s="23" t="str">
        <f aca="false">IF(B79="","",B79+(1*1000+78)/10000000)</f>
        <v/>
      </c>
      <c r="B79" s="35" t="str">
        <f aca="false">IF(Office_Log!BB79=1,Office_Log!H79,"")</f>
        <v/>
      </c>
      <c r="C79" s="23" t="str">
        <f aca="false">IF(B79="","","office")</f>
        <v/>
      </c>
      <c r="D79" s="23" t="str">
        <f aca="false">IF(B79="","",Office_Log!ED79&amp;"")</f>
        <v/>
      </c>
      <c r="E79" s="23" t="str">
        <f aca="false">IF(B79="","",IF(Office_Log!B79="","",Office_Log!B79&amp;""))</f>
        <v/>
      </c>
      <c r="F79" s="23" t="str">
        <f aca="false">IF(B79="","","conversation")</f>
        <v/>
      </c>
      <c r="G79" s="23" t="str">
        <f aca="false">IF(B79="","","")</f>
        <v/>
      </c>
      <c r="H79" s="23" t="str">
        <f aca="false">IF(B79="","","")</f>
        <v/>
      </c>
      <c r="I79" s="23" t="str">
        <f aca="false">IF(B79="","","")</f>
        <v/>
      </c>
      <c r="J79" s="23" t="str">
        <f aca="false">IF(B79="","",IF(Office_Log!I79="","",Office_Log!I79&amp;""))</f>
        <v/>
      </c>
      <c r="K79" s="32" t="s">
        <v>1352</v>
      </c>
    </row>
    <row r="80" customFormat="false" ht="15" hidden="false" customHeight="false" outlineLevel="0" collapsed="false">
      <c r="A80" s="23" t="str">
        <f aca="false">IF(B80="","",B80+(1*1000+79)/10000000)</f>
        <v/>
      </c>
      <c r="B80" s="35" t="str">
        <f aca="false">IF(Office_Log!BB80=1,Office_Log!H80,"")</f>
        <v/>
      </c>
      <c r="C80" s="23" t="str">
        <f aca="false">IF(B80="","","office")</f>
        <v/>
      </c>
      <c r="D80" s="23" t="str">
        <f aca="false">IF(B80="","",Office_Log!ED80&amp;"")</f>
        <v/>
      </c>
      <c r="E80" s="23" t="str">
        <f aca="false">IF(B80="","",IF(Office_Log!B80="","",Office_Log!B80&amp;""))</f>
        <v/>
      </c>
      <c r="F80" s="23" t="str">
        <f aca="false">IF(B80="","","conversation")</f>
        <v/>
      </c>
      <c r="G80" s="23" t="str">
        <f aca="false">IF(B80="","","")</f>
        <v/>
      </c>
      <c r="H80" s="23" t="str">
        <f aca="false">IF(B80="","","")</f>
        <v/>
      </c>
      <c r="I80" s="23" t="str">
        <f aca="false">IF(B80="","","")</f>
        <v/>
      </c>
      <c r="J80" s="23" t="str">
        <f aca="false">IF(B80="","",IF(Office_Log!I80="","",Office_Log!I80&amp;""))</f>
        <v/>
      </c>
      <c r="K80" s="32" t="s">
        <v>1352</v>
      </c>
    </row>
    <row r="81" customFormat="false" ht="15" hidden="false" customHeight="false" outlineLevel="0" collapsed="false">
      <c r="A81" s="23" t="str">
        <f aca="false">IF(B81="","",B81+(1*1000+80)/10000000)</f>
        <v/>
      </c>
      <c r="B81" s="35" t="str">
        <f aca="false">IF(Office_Log!BB81=1,Office_Log!H81,"")</f>
        <v/>
      </c>
      <c r="C81" s="23" t="str">
        <f aca="false">IF(B81="","","office")</f>
        <v/>
      </c>
      <c r="D81" s="23" t="str">
        <f aca="false">IF(B81="","",Office_Log!ED81&amp;"")</f>
        <v/>
      </c>
      <c r="E81" s="23" t="str">
        <f aca="false">IF(B81="","",IF(Office_Log!B81="","",Office_Log!B81&amp;""))</f>
        <v/>
      </c>
      <c r="F81" s="23" t="str">
        <f aca="false">IF(B81="","","conversation")</f>
        <v/>
      </c>
      <c r="G81" s="23" t="str">
        <f aca="false">IF(B81="","","")</f>
        <v/>
      </c>
      <c r="H81" s="23" t="str">
        <f aca="false">IF(B81="","","")</f>
        <v/>
      </c>
      <c r="I81" s="23" t="str">
        <f aca="false">IF(B81="","","")</f>
        <v/>
      </c>
      <c r="J81" s="23" t="str">
        <f aca="false">IF(B81="","",IF(Office_Log!I81="","",Office_Log!I81&amp;""))</f>
        <v/>
      </c>
      <c r="K81" s="32" t="s">
        <v>1352</v>
      </c>
    </row>
    <row r="82" customFormat="false" ht="15" hidden="false" customHeight="false" outlineLevel="0" collapsed="false">
      <c r="A82" s="23" t="str">
        <f aca="false">IF(B82="","",B82+(1*1000+81)/10000000)</f>
        <v/>
      </c>
      <c r="B82" s="35" t="str">
        <f aca="false">IF(Office_Log!BB82=1,Office_Log!H82,"")</f>
        <v/>
      </c>
      <c r="C82" s="23" t="str">
        <f aca="false">IF(B82="","","office")</f>
        <v/>
      </c>
      <c r="D82" s="23" t="str">
        <f aca="false">IF(B82="","",Office_Log!ED82&amp;"")</f>
        <v/>
      </c>
      <c r="E82" s="23" t="str">
        <f aca="false">IF(B82="","",IF(Office_Log!B82="","",Office_Log!B82&amp;""))</f>
        <v/>
      </c>
      <c r="F82" s="23" t="str">
        <f aca="false">IF(B82="","","conversation")</f>
        <v/>
      </c>
      <c r="G82" s="23" t="str">
        <f aca="false">IF(B82="","","")</f>
        <v/>
      </c>
      <c r="H82" s="23" t="str">
        <f aca="false">IF(B82="","","")</f>
        <v/>
      </c>
      <c r="I82" s="23" t="str">
        <f aca="false">IF(B82="","","")</f>
        <v/>
      </c>
      <c r="J82" s="23" t="str">
        <f aca="false">IF(B82="","",IF(Office_Log!I82="","",Office_Log!I82&amp;""))</f>
        <v/>
      </c>
      <c r="K82" s="32" t="s">
        <v>1352</v>
      </c>
    </row>
    <row r="83" customFormat="false" ht="15" hidden="false" customHeight="false" outlineLevel="0" collapsed="false">
      <c r="A83" s="23" t="str">
        <f aca="false">IF(B83="","",B83+(1*1000+82)/10000000)</f>
        <v/>
      </c>
      <c r="B83" s="35" t="str">
        <f aca="false">IF(Office_Log!BB83=1,Office_Log!H83,"")</f>
        <v/>
      </c>
      <c r="C83" s="23" t="str">
        <f aca="false">IF(B83="","","office")</f>
        <v/>
      </c>
      <c r="D83" s="23" t="str">
        <f aca="false">IF(B83="","",Office_Log!ED83&amp;"")</f>
        <v/>
      </c>
      <c r="E83" s="23" t="str">
        <f aca="false">IF(B83="","",IF(Office_Log!B83="","",Office_Log!B83&amp;""))</f>
        <v/>
      </c>
      <c r="F83" s="23" t="str">
        <f aca="false">IF(B83="","","conversation")</f>
        <v/>
      </c>
      <c r="G83" s="23" t="str">
        <f aca="false">IF(B83="","","")</f>
        <v/>
      </c>
      <c r="H83" s="23" t="str">
        <f aca="false">IF(B83="","","")</f>
        <v/>
      </c>
      <c r="I83" s="23" t="str">
        <f aca="false">IF(B83="","","")</f>
        <v/>
      </c>
      <c r="J83" s="23" t="str">
        <f aca="false">IF(B83="","",IF(Office_Log!I83="","",Office_Log!I83&amp;""))</f>
        <v/>
      </c>
      <c r="K83" s="32" t="s">
        <v>1352</v>
      </c>
    </row>
    <row r="84" customFormat="false" ht="15" hidden="false" customHeight="false" outlineLevel="0" collapsed="false">
      <c r="A84" s="23" t="str">
        <f aca="false">IF(B84="","",B84+(1*1000+83)/10000000)</f>
        <v/>
      </c>
      <c r="B84" s="35" t="str">
        <f aca="false">IF(Office_Log!BB84=1,Office_Log!H84,"")</f>
        <v/>
      </c>
      <c r="C84" s="23" t="str">
        <f aca="false">IF(B84="","","office")</f>
        <v/>
      </c>
      <c r="D84" s="23" t="str">
        <f aca="false">IF(B84="","",Office_Log!ED84&amp;"")</f>
        <v/>
      </c>
      <c r="E84" s="23" t="str">
        <f aca="false">IF(B84="","",IF(Office_Log!B84="","",Office_Log!B84&amp;""))</f>
        <v/>
      </c>
      <c r="F84" s="23" t="str">
        <f aca="false">IF(B84="","","conversation")</f>
        <v/>
      </c>
      <c r="G84" s="23" t="str">
        <f aca="false">IF(B84="","","")</f>
        <v/>
      </c>
      <c r="H84" s="23" t="str">
        <f aca="false">IF(B84="","","")</f>
        <v/>
      </c>
      <c r="I84" s="23" t="str">
        <f aca="false">IF(B84="","","")</f>
        <v/>
      </c>
      <c r="J84" s="23" t="str">
        <f aca="false">IF(B84="","",IF(Office_Log!I84="","",Office_Log!I84&amp;""))</f>
        <v/>
      </c>
      <c r="K84" s="32" t="s">
        <v>1352</v>
      </c>
    </row>
    <row r="85" customFormat="false" ht="15" hidden="false" customHeight="false" outlineLevel="0" collapsed="false">
      <c r="A85" s="23" t="str">
        <f aca="false">IF(B85="","",B85+(1*1000+84)/10000000)</f>
        <v/>
      </c>
      <c r="B85" s="35" t="str">
        <f aca="false">IF(Office_Log!BB85=1,Office_Log!H85,"")</f>
        <v/>
      </c>
      <c r="C85" s="23" t="str">
        <f aca="false">IF(B85="","","office")</f>
        <v/>
      </c>
      <c r="D85" s="23" t="str">
        <f aca="false">IF(B85="","",Office_Log!ED85&amp;"")</f>
        <v/>
      </c>
      <c r="E85" s="23" t="str">
        <f aca="false">IF(B85="","",IF(Office_Log!B85="","",Office_Log!B85&amp;""))</f>
        <v/>
      </c>
      <c r="F85" s="23" t="str">
        <f aca="false">IF(B85="","","conversation")</f>
        <v/>
      </c>
      <c r="G85" s="23" t="str">
        <f aca="false">IF(B85="","","")</f>
        <v/>
      </c>
      <c r="H85" s="23" t="str">
        <f aca="false">IF(B85="","","")</f>
        <v/>
      </c>
      <c r="I85" s="23" t="str">
        <f aca="false">IF(B85="","","")</f>
        <v/>
      </c>
      <c r="J85" s="23" t="str">
        <f aca="false">IF(B85="","",IF(Office_Log!I85="","",Office_Log!I85&amp;""))</f>
        <v/>
      </c>
      <c r="K85" s="32" t="s">
        <v>1352</v>
      </c>
    </row>
    <row r="86" customFormat="false" ht="15" hidden="false" customHeight="false" outlineLevel="0" collapsed="false">
      <c r="A86" s="23" t="str">
        <f aca="false">IF(B86="","",B86+(1*1000+85)/10000000)</f>
        <v/>
      </c>
      <c r="B86" s="35" t="str">
        <f aca="false">IF(Office_Log!BB86=1,Office_Log!H86,"")</f>
        <v/>
      </c>
      <c r="C86" s="23" t="str">
        <f aca="false">IF(B86="","","office")</f>
        <v/>
      </c>
      <c r="D86" s="23" t="str">
        <f aca="false">IF(B86="","",Office_Log!ED86&amp;"")</f>
        <v/>
      </c>
      <c r="E86" s="23" t="str">
        <f aca="false">IF(B86="","",IF(Office_Log!B86="","",Office_Log!B86&amp;""))</f>
        <v/>
      </c>
      <c r="F86" s="23" t="str">
        <f aca="false">IF(B86="","","conversation")</f>
        <v/>
      </c>
      <c r="G86" s="23" t="str">
        <f aca="false">IF(B86="","","")</f>
        <v/>
      </c>
      <c r="H86" s="23" t="str">
        <f aca="false">IF(B86="","","")</f>
        <v/>
      </c>
      <c r="I86" s="23" t="str">
        <f aca="false">IF(B86="","","")</f>
        <v/>
      </c>
      <c r="J86" s="23" t="str">
        <f aca="false">IF(B86="","",IF(Office_Log!I86="","",Office_Log!I86&amp;""))</f>
        <v/>
      </c>
      <c r="K86" s="32" t="s">
        <v>1352</v>
      </c>
    </row>
    <row r="87" customFormat="false" ht="15" hidden="false" customHeight="false" outlineLevel="0" collapsed="false">
      <c r="A87" s="23" t="str">
        <f aca="false">IF(B87="","",B87+(1*1000+86)/10000000)</f>
        <v/>
      </c>
      <c r="B87" s="35" t="str">
        <f aca="false">IF(Office_Log!BB87=1,Office_Log!H87,"")</f>
        <v/>
      </c>
      <c r="C87" s="23" t="str">
        <f aca="false">IF(B87="","","office")</f>
        <v/>
      </c>
      <c r="D87" s="23" t="str">
        <f aca="false">IF(B87="","",Office_Log!ED87&amp;"")</f>
        <v/>
      </c>
      <c r="E87" s="23" t="str">
        <f aca="false">IF(B87="","",IF(Office_Log!B87="","",Office_Log!B87&amp;""))</f>
        <v/>
      </c>
      <c r="F87" s="23" t="str">
        <f aca="false">IF(B87="","","conversation")</f>
        <v/>
      </c>
      <c r="G87" s="23" t="str">
        <f aca="false">IF(B87="","","")</f>
        <v/>
      </c>
      <c r="H87" s="23" t="str">
        <f aca="false">IF(B87="","","")</f>
        <v/>
      </c>
      <c r="I87" s="23" t="str">
        <f aca="false">IF(B87="","","")</f>
        <v/>
      </c>
      <c r="J87" s="23" t="str">
        <f aca="false">IF(B87="","",IF(Office_Log!I87="","",Office_Log!I87&amp;""))</f>
        <v/>
      </c>
      <c r="K87" s="32" t="s">
        <v>1352</v>
      </c>
    </row>
    <row r="88" customFormat="false" ht="15" hidden="false" customHeight="false" outlineLevel="0" collapsed="false">
      <c r="A88" s="23" t="str">
        <f aca="false">IF(B88="","",B88+(1*1000+87)/10000000)</f>
        <v/>
      </c>
      <c r="B88" s="35" t="str">
        <f aca="false">IF(Office_Log!BB88=1,Office_Log!H88,"")</f>
        <v/>
      </c>
      <c r="C88" s="23" t="str">
        <f aca="false">IF(B88="","","office")</f>
        <v/>
      </c>
      <c r="D88" s="23" t="str">
        <f aca="false">IF(B88="","",Office_Log!ED88&amp;"")</f>
        <v/>
      </c>
      <c r="E88" s="23" t="str">
        <f aca="false">IF(B88="","",IF(Office_Log!B88="","",Office_Log!B88&amp;""))</f>
        <v/>
      </c>
      <c r="F88" s="23" t="str">
        <f aca="false">IF(B88="","","conversation")</f>
        <v/>
      </c>
      <c r="G88" s="23" t="str">
        <f aca="false">IF(B88="","","")</f>
        <v/>
      </c>
      <c r="H88" s="23" t="str">
        <f aca="false">IF(B88="","","")</f>
        <v/>
      </c>
      <c r="I88" s="23" t="str">
        <f aca="false">IF(B88="","","")</f>
        <v/>
      </c>
      <c r="J88" s="23" t="str">
        <f aca="false">IF(B88="","",IF(Office_Log!I88="","",Office_Log!I88&amp;""))</f>
        <v/>
      </c>
      <c r="K88" s="32" t="s">
        <v>1352</v>
      </c>
    </row>
    <row r="89" customFormat="false" ht="15" hidden="false" customHeight="false" outlineLevel="0" collapsed="false">
      <c r="A89" s="23" t="str">
        <f aca="false">IF(B89="","",B89+(1*1000+88)/10000000)</f>
        <v/>
      </c>
      <c r="B89" s="35" t="str">
        <f aca="false">IF(Office_Log!BB89=1,Office_Log!H89,"")</f>
        <v/>
      </c>
      <c r="C89" s="23" t="str">
        <f aca="false">IF(B89="","","office")</f>
        <v/>
      </c>
      <c r="D89" s="23" t="str">
        <f aca="false">IF(B89="","",Office_Log!ED89&amp;"")</f>
        <v/>
      </c>
      <c r="E89" s="23" t="str">
        <f aca="false">IF(B89="","",IF(Office_Log!B89="","",Office_Log!B89&amp;""))</f>
        <v/>
      </c>
      <c r="F89" s="23" t="str">
        <f aca="false">IF(B89="","","conversation")</f>
        <v/>
      </c>
      <c r="G89" s="23" t="str">
        <f aca="false">IF(B89="","","")</f>
        <v/>
      </c>
      <c r="H89" s="23" t="str">
        <f aca="false">IF(B89="","","")</f>
        <v/>
      </c>
      <c r="I89" s="23" t="str">
        <f aca="false">IF(B89="","","")</f>
        <v/>
      </c>
      <c r="J89" s="23" t="str">
        <f aca="false">IF(B89="","",IF(Office_Log!I89="","",Office_Log!I89&amp;""))</f>
        <v/>
      </c>
      <c r="K89" s="32" t="s">
        <v>1352</v>
      </c>
    </row>
    <row r="90" customFormat="false" ht="15" hidden="false" customHeight="false" outlineLevel="0" collapsed="false">
      <c r="A90" s="23" t="str">
        <f aca="false">IF(B90="","",B90+(1*1000+89)/10000000)</f>
        <v/>
      </c>
      <c r="B90" s="35" t="str">
        <f aca="false">IF(Office_Log!BB90=1,Office_Log!H90,"")</f>
        <v/>
      </c>
      <c r="C90" s="23" t="str">
        <f aca="false">IF(B90="","","office")</f>
        <v/>
      </c>
      <c r="D90" s="23" t="str">
        <f aca="false">IF(B90="","",Office_Log!ED90&amp;"")</f>
        <v/>
      </c>
      <c r="E90" s="23" t="str">
        <f aca="false">IF(B90="","",IF(Office_Log!B90="","",Office_Log!B90&amp;""))</f>
        <v/>
      </c>
      <c r="F90" s="23" t="str">
        <f aca="false">IF(B90="","","conversation")</f>
        <v/>
      </c>
      <c r="G90" s="23" t="str">
        <f aca="false">IF(B90="","","")</f>
        <v/>
      </c>
      <c r="H90" s="23" t="str">
        <f aca="false">IF(B90="","","")</f>
        <v/>
      </c>
      <c r="I90" s="23" t="str">
        <f aca="false">IF(B90="","","")</f>
        <v/>
      </c>
      <c r="J90" s="23" t="str">
        <f aca="false">IF(B90="","",IF(Office_Log!I90="","",Office_Log!I90&amp;""))</f>
        <v/>
      </c>
      <c r="K90" s="32" t="s">
        <v>1352</v>
      </c>
    </row>
    <row r="91" customFormat="false" ht="15" hidden="false" customHeight="false" outlineLevel="0" collapsed="false">
      <c r="A91" s="23" t="str">
        <f aca="false">IF(B91="","",B91+(1*1000+90)/10000000)</f>
        <v/>
      </c>
      <c r="B91" s="35" t="str">
        <f aca="false">IF(Office_Log!BB91=1,Office_Log!H91,"")</f>
        <v/>
      </c>
      <c r="C91" s="23" t="str">
        <f aca="false">IF(B91="","","office")</f>
        <v/>
      </c>
      <c r="D91" s="23" t="str">
        <f aca="false">IF(B91="","",Office_Log!ED91&amp;"")</f>
        <v/>
      </c>
      <c r="E91" s="23" t="str">
        <f aca="false">IF(B91="","",IF(Office_Log!B91="","",Office_Log!B91&amp;""))</f>
        <v/>
      </c>
      <c r="F91" s="23" t="str">
        <f aca="false">IF(B91="","","conversation")</f>
        <v/>
      </c>
      <c r="G91" s="23" t="str">
        <f aca="false">IF(B91="","","")</f>
        <v/>
      </c>
      <c r="H91" s="23" t="str">
        <f aca="false">IF(B91="","","")</f>
        <v/>
      </c>
      <c r="I91" s="23" t="str">
        <f aca="false">IF(B91="","","")</f>
        <v/>
      </c>
      <c r="J91" s="23" t="str">
        <f aca="false">IF(B91="","",IF(Office_Log!I91="","",Office_Log!I91&amp;""))</f>
        <v/>
      </c>
      <c r="K91" s="32" t="s">
        <v>1352</v>
      </c>
    </row>
    <row r="92" customFormat="false" ht="15" hidden="false" customHeight="false" outlineLevel="0" collapsed="false">
      <c r="A92" s="23" t="str">
        <f aca="false">IF(B92="","",B92+(1*1000+91)/10000000)</f>
        <v/>
      </c>
      <c r="B92" s="35" t="str">
        <f aca="false">IF(Office_Log!BB92=1,Office_Log!H92,"")</f>
        <v/>
      </c>
      <c r="C92" s="23" t="str">
        <f aca="false">IF(B92="","","office")</f>
        <v/>
      </c>
      <c r="D92" s="23" t="str">
        <f aca="false">IF(B92="","",Office_Log!ED92&amp;"")</f>
        <v/>
      </c>
      <c r="E92" s="23" t="str">
        <f aca="false">IF(B92="","",IF(Office_Log!B92="","",Office_Log!B92&amp;""))</f>
        <v/>
      </c>
      <c r="F92" s="23" t="str">
        <f aca="false">IF(B92="","","conversation")</f>
        <v/>
      </c>
      <c r="G92" s="23" t="str">
        <f aca="false">IF(B92="","","")</f>
        <v/>
      </c>
      <c r="H92" s="23" t="str">
        <f aca="false">IF(B92="","","")</f>
        <v/>
      </c>
      <c r="I92" s="23" t="str">
        <f aca="false">IF(B92="","","")</f>
        <v/>
      </c>
      <c r="J92" s="23" t="str">
        <f aca="false">IF(B92="","",IF(Office_Log!I92="","",Office_Log!I92&amp;""))</f>
        <v/>
      </c>
      <c r="K92" s="32" t="s">
        <v>1352</v>
      </c>
    </row>
    <row r="93" customFormat="false" ht="15" hidden="false" customHeight="false" outlineLevel="0" collapsed="false">
      <c r="A93" s="23" t="str">
        <f aca="false">IF(B93="","",B93+(1*1000+92)/10000000)</f>
        <v/>
      </c>
      <c r="B93" s="35" t="str">
        <f aca="false">IF(Office_Log!BB93=1,Office_Log!H93,"")</f>
        <v/>
      </c>
      <c r="C93" s="23" t="str">
        <f aca="false">IF(B93="","","office")</f>
        <v/>
      </c>
      <c r="D93" s="23" t="str">
        <f aca="false">IF(B93="","",Office_Log!ED93&amp;"")</f>
        <v/>
      </c>
      <c r="E93" s="23" t="str">
        <f aca="false">IF(B93="","",IF(Office_Log!B93="","",Office_Log!B93&amp;""))</f>
        <v/>
      </c>
      <c r="F93" s="23" t="str">
        <f aca="false">IF(B93="","","conversation")</f>
        <v/>
      </c>
      <c r="G93" s="23" t="str">
        <f aca="false">IF(B93="","","")</f>
        <v/>
      </c>
      <c r="H93" s="23" t="str">
        <f aca="false">IF(B93="","","")</f>
        <v/>
      </c>
      <c r="I93" s="23" t="str">
        <f aca="false">IF(B93="","","")</f>
        <v/>
      </c>
      <c r="J93" s="23" t="str">
        <f aca="false">IF(B93="","",IF(Office_Log!I93="","",Office_Log!I93&amp;""))</f>
        <v/>
      </c>
      <c r="K93" s="32" t="s">
        <v>1352</v>
      </c>
    </row>
    <row r="94" customFormat="false" ht="15" hidden="false" customHeight="false" outlineLevel="0" collapsed="false">
      <c r="A94" s="23" t="str">
        <f aca="false">IF(B94="","",B94+(1*1000+93)/10000000)</f>
        <v/>
      </c>
      <c r="B94" s="35" t="str">
        <f aca="false">IF(Office_Log!BB94=1,Office_Log!H94,"")</f>
        <v/>
      </c>
      <c r="C94" s="23" t="str">
        <f aca="false">IF(B94="","","office")</f>
        <v/>
      </c>
      <c r="D94" s="23" t="str">
        <f aca="false">IF(B94="","",Office_Log!ED94&amp;"")</f>
        <v/>
      </c>
      <c r="E94" s="23" t="str">
        <f aca="false">IF(B94="","",IF(Office_Log!B94="","",Office_Log!B94&amp;""))</f>
        <v/>
      </c>
      <c r="F94" s="23" t="str">
        <f aca="false">IF(B94="","","conversation")</f>
        <v/>
      </c>
      <c r="G94" s="23" t="str">
        <f aca="false">IF(B94="","","")</f>
        <v/>
      </c>
      <c r="H94" s="23" t="str">
        <f aca="false">IF(B94="","","")</f>
        <v/>
      </c>
      <c r="I94" s="23" t="str">
        <f aca="false">IF(B94="","","")</f>
        <v/>
      </c>
      <c r="J94" s="23" t="str">
        <f aca="false">IF(B94="","",IF(Office_Log!I94="","",Office_Log!I94&amp;""))</f>
        <v/>
      </c>
      <c r="K94" s="32" t="s">
        <v>1352</v>
      </c>
    </row>
    <row r="95" customFormat="false" ht="15" hidden="false" customHeight="false" outlineLevel="0" collapsed="false">
      <c r="A95" s="23" t="str">
        <f aca="false">IF(B95="","",B95+(1*1000+94)/10000000)</f>
        <v/>
      </c>
      <c r="B95" s="35" t="str">
        <f aca="false">IF(Office_Log!BB95=1,Office_Log!H95,"")</f>
        <v/>
      </c>
      <c r="C95" s="23" t="str">
        <f aca="false">IF(B95="","","office")</f>
        <v/>
      </c>
      <c r="D95" s="23" t="str">
        <f aca="false">IF(B95="","",Office_Log!ED95&amp;"")</f>
        <v/>
      </c>
      <c r="E95" s="23" t="str">
        <f aca="false">IF(B95="","",IF(Office_Log!B95="","",Office_Log!B95&amp;""))</f>
        <v/>
      </c>
      <c r="F95" s="23" t="str">
        <f aca="false">IF(B95="","","conversation")</f>
        <v/>
      </c>
      <c r="G95" s="23" t="str">
        <f aca="false">IF(B95="","","")</f>
        <v/>
      </c>
      <c r="H95" s="23" t="str">
        <f aca="false">IF(B95="","","")</f>
        <v/>
      </c>
      <c r="I95" s="23" t="str">
        <f aca="false">IF(B95="","","")</f>
        <v/>
      </c>
      <c r="J95" s="23" t="str">
        <f aca="false">IF(B95="","",IF(Office_Log!I95="","",Office_Log!I95&amp;""))</f>
        <v/>
      </c>
      <c r="K95" s="32" t="s">
        <v>1352</v>
      </c>
    </row>
    <row r="96" customFormat="false" ht="15" hidden="false" customHeight="false" outlineLevel="0" collapsed="false">
      <c r="A96" s="23" t="str">
        <f aca="false">IF(B96="","",B96+(1*1000+95)/10000000)</f>
        <v/>
      </c>
      <c r="B96" s="35" t="str">
        <f aca="false">IF(Office_Log!BB96=1,Office_Log!H96,"")</f>
        <v/>
      </c>
      <c r="C96" s="23" t="str">
        <f aca="false">IF(B96="","","office")</f>
        <v/>
      </c>
      <c r="D96" s="23" t="str">
        <f aca="false">IF(B96="","",Office_Log!ED96&amp;"")</f>
        <v/>
      </c>
      <c r="E96" s="23" t="str">
        <f aca="false">IF(B96="","",IF(Office_Log!B96="","",Office_Log!B96&amp;""))</f>
        <v/>
      </c>
      <c r="F96" s="23" t="str">
        <f aca="false">IF(B96="","","conversation")</f>
        <v/>
      </c>
      <c r="G96" s="23" t="str">
        <f aca="false">IF(B96="","","")</f>
        <v/>
      </c>
      <c r="H96" s="23" t="str">
        <f aca="false">IF(B96="","","")</f>
        <v/>
      </c>
      <c r="I96" s="23" t="str">
        <f aca="false">IF(B96="","","")</f>
        <v/>
      </c>
      <c r="J96" s="23" t="str">
        <f aca="false">IF(B96="","",IF(Office_Log!I96="","",Office_Log!I96&amp;""))</f>
        <v/>
      </c>
      <c r="K96" s="32" t="s">
        <v>1352</v>
      </c>
    </row>
    <row r="97" customFormat="false" ht="15" hidden="false" customHeight="false" outlineLevel="0" collapsed="false">
      <c r="A97" s="23" t="str">
        <f aca="false">IF(B97="","",B97+(1*1000+96)/10000000)</f>
        <v/>
      </c>
      <c r="B97" s="35" t="str">
        <f aca="false">IF(Office_Log!BB97=1,Office_Log!H97,"")</f>
        <v/>
      </c>
      <c r="C97" s="23" t="str">
        <f aca="false">IF(B97="","","office")</f>
        <v/>
      </c>
      <c r="D97" s="23" t="str">
        <f aca="false">IF(B97="","",Office_Log!ED97&amp;"")</f>
        <v/>
      </c>
      <c r="E97" s="23" t="str">
        <f aca="false">IF(B97="","",IF(Office_Log!B97="","",Office_Log!B97&amp;""))</f>
        <v/>
      </c>
      <c r="F97" s="23" t="str">
        <f aca="false">IF(B97="","","conversation")</f>
        <v/>
      </c>
      <c r="G97" s="23" t="str">
        <f aca="false">IF(B97="","","")</f>
        <v/>
      </c>
      <c r="H97" s="23" t="str">
        <f aca="false">IF(B97="","","")</f>
        <v/>
      </c>
      <c r="I97" s="23" t="str">
        <f aca="false">IF(B97="","","")</f>
        <v/>
      </c>
      <c r="J97" s="23" t="str">
        <f aca="false">IF(B97="","",IF(Office_Log!I97="","",Office_Log!I97&amp;""))</f>
        <v/>
      </c>
      <c r="K97" s="32" t="s">
        <v>1352</v>
      </c>
    </row>
    <row r="98" customFormat="false" ht="15" hidden="false" customHeight="false" outlineLevel="0" collapsed="false">
      <c r="A98" s="23" t="str">
        <f aca="false">IF(B98="","",B98+(1*1000+97)/10000000)</f>
        <v/>
      </c>
      <c r="B98" s="35" t="str">
        <f aca="false">IF(Office_Log!BB98=1,Office_Log!H98,"")</f>
        <v/>
      </c>
      <c r="C98" s="23" t="str">
        <f aca="false">IF(B98="","","office")</f>
        <v/>
      </c>
      <c r="D98" s="23" t="str">
        <f aca="false">IF(B98="","",Office_Log!ED98&amp;"")</f>
        <v/>
      </c>
      <c r="E98" s="23" t="str">
        <f aca="false">IF(B98="","",IF(Office_Log!B98="","",Office_Log!B98&amp;""))</f>
        <v/>
      </c>
      <c r="F98" s="23" t="str">
        <f aca="false">IF(B98="","","conversation")</f>
        <v/>
      </c>
      <c r="G98" s="23" t="str">
        <f aca="false">IF(B98="","","")</f>
        <v/>
      </c>
      <c r="H98" s="23" t="str">
        <f aca="false">IF(B98="","","")</f>
        <v/>
      </c>
      <c r="I98" s="23" t="str">
        <f aca="false">IF(B98="","","")</f>
        <v/>
      </c>
      <c r="J98" s="23" t="str">
        <f aca="false">IF(B98="","",IF(Office_Log!I98="","",Office_Log!I98&amp;""))</f>
        <v/>
      </c>
      <c r="K98" s="32" t="s">
        <v>1352</v>
      </c>
    </row>
    <row r="99" customFormat="false" ht="15" hidden="false" customHeight="false" outlineLevel="0" collapsed="false">
      <c r="A99" s="23" t="str">
        <f aca="false">IF(B99="","",B99+(1*1000+98)/10000000)</f>
        <v/>
      </c>
      <c r="B99" s="35" t="str">
        <f aca="false">IF(Office_Log!BB99=1,Office_Log!H99,"")</f>
        <v/>
      </c>
      <c r="C99" s="23" t="str">
        <f aca="false">IF(B99="","","office")</f>
        <v/>
      </c>
      <c r="D99" s="23" t="str">
        <f aca="false">IF(B99="","",Office_Log!ED99&amp;"")</f>
        <v/>
      </c>
      <c r="E99" s="23" t="str">
        <f aca="false">IF(B99="","",IF(Office_Log!B99="","",Office_Log!B99&amp;""))</f>
        <v/>
      </c>
      <c r="F99" s="23" t="str">
        <f aca="false">IF(B99="","","conversation")</f>
        <v/>
      </c>
      <c r="G99" s="23" t="str">
        <f aca="false">IF(B99="","","")</f>
        <v/>
      </c>
      <c r="H99" s="23" t="str">
        <f aca="false">IF(B99="","","")</f>
        <v/>
      </c>
      <c r="I99" s="23" t="str">
        <f aca="false">IF(B99="","","")</f>
        <v/>
      </c>
      <c r="J99" s="23" t="str">
        <f aca="false">IF(B99="","",IF(Office_Log!I99="","",Office_Log!I99&amp;""))</f>
        <v/>
      </c>
      <c r="K99" s="32" t="s">
        <v>1352</v>
      </c>
    </row>
    <row r="100" customFormat="false" ht="15" hidden="false" customHeight="false" outlineLevel="0" collapsed="false">
      <c r="A100" s="23" t="str">
        <f aca="false">IF(B100="","",B100+(1*1000+99)/10000000)</f>
        <v/>
      </c>
      <c r="B100" s="35" t="str">
        <f aca="false">IF(Office_Log!BB100=1,Office_Log!H100,"")</f>
        <v/>
      </c>
      <c r="C100" s="23" t="str">
        <f aca="false">IF(B100="","","office")</f>
        <v/>
      </c>
      <c r="D100" s="23" t="str">
        <f aca="false">IF(B100="","",Office_Log!ED100&amp;"")</f>
        <v/>
      </c>
      <c r="E100" s="23" t="str">
        <f aca="false">IF(B100="","",IF(Office_Log!B100="","",Office_Log!B100&amp;""))</f>
        <v/>
      </c>
      <c r="F100" s="23" t="str">
        <f aca="false">IF(B100="","","conversation")</f>
        <v/>
      </c>
      <c r="G100" s="23" t="str">
        <f aca="false">IF(B100="","","")</f>
        <v/>
      </c>
      <c r="H100" s="23" t="str">
        <f aca="false">IF(B100="","","")</f>
        <v/>
      </c>
      <c r="I100" s="23" t="str">
        <f aca="false">IF(B100="","","")</f>
        <v/>
      </c>
      <c r="J100" s="23" t="str">
        <f aca="false">IF(B100="","",IF(Office_Log!I100="","",Office_Log!I100&amp;""))</f>
        <v/>
      </c>
      <c r="K100" s="32" t="s">
        <v>1352</v>
      </c>
    </row>
    <row r="101" customFormat="false" ht="15" hidden="false" customHeight="false" outlineLevel="0" collapsed="false">
      <c r="A101" s="23" t="str">
        <f aca="false">IF(B101="","",B101+(1*1000+100)/10000000)</f>
        <v/>
      </c>
      <c r="B101" s="35" t="str">
        <f aca="false">IF(Office_Log!BB101=1,Office_Log!H101,"")</f>
        <v/>
      </c>
      <c r="C101" s="23" t="str">
        <f aca="false">IF(B101="","","office")</f>
        <v/>
      </c>
      <c r="D101" s="23" t="str">
        <f aca="false">IF(B101="","",Office_Log!ED101&amp;"")</f>
        <v/>
      </c>
      <c r="E101" s="23" t="str">
        <f aca="false">IF(B101="","",IF(Office_Log!B101="","",Office_Log!B101&amp;""))</f>
        <v/>
      </c>
      <c r="F101" s="23" t="str">
        <f aca="false">IF(B101="","","conversation")</f>
        <v/>
      </c>
      <c r="G101" s="23" t="str">
        <f aca="false">IF(B101="","","")</f>
        <v/>
      </c>
      <c r="H101" s="23" t="str">
        <f aca="false">IF(B101="","","")</f>
        <v/>
      </c>
      <c r="I101" s="23" t="str">
        <f aca="false">IF(B101="","","")</f>
        <v/>
      </c>
      <c r="J101" s="23" t="str">
        <f aca="false">IF(B101="","",IF(Office_Log!I101="","",Office_Log!I101&amp;""))</f>
        <v/>
      </c>
      <c r="K101" s="32" t="s">
        <v>1352</v>
      </c>
    </row>
    <row r="102" customFormat="false" ht="15" hidden="false" customHeight="false" outlineLevel="0" collapsed="false">
      <c r="A102" s="23" t="str">
        <f aca="false">IF(B102="","",B102+(1*1000+101)/10000000)</f>
        <v/>
      </c>
      <c r="B102" s="35" t="str">
        <f aca="false">IF(Office_Log!BB102=1,Office_Log!H102,"")</f>
        <v/>
      </c>
      <c r="C102" s="23" t="str">
        <f aca="false">IF(B102="","","office")</f>
        <v/>
      </c>
      <c r="D102" s="23" t="str">
        <f aca="false">IF(B102="","",Office_Log!ED102&amp;"")</f>
        <v/>
      </c>
      <c r="E102" s="23" t="str">
        <f aca="false">IF(B102="","",IF(Office_Log!B102="","",Office_Log!B102&amp;""))</f>
        <v/>
      </c>
      <c r="F102" s="23" t="str">
        <f aca="false">IF(B102="","","conversation")</f>
        <v/>
      </c>
      <c r="G102" s="23" t="str">
        <f aca="false">IF(B102="","","")</f>
        <v/>
      </c>
      <c r="H102" s="23" t="str">
        <f aca="false">IF(B102="","","")</f>
        <v/>
      </c>
      <c r="I102" s="23" t="str">
        <f aca="false">IF(B102="","","")</f>
        <v/>
      </c>
      <c r="J102" s="23" t="str">
        <f aca="false">IF(B102="","",IF(Office_Log!I102="","",Office_Log!I102&amp;""))</f>
        <v/>
      </c>
      <c r="K102" s="32" t="s">
        <v>1352</v>
      </c>
    </row>
    <row r="103" customFormat="false" ht="15" hidden="false" customHeight="false" outlineLevel="0" collapsed="false">
      <c r="A103" s="23" t="str">
        <f aca="false">IF(B103="","",B103+(1*1000+102)/10000000)</f>
        <v/>
      </c>
      <c r="B103" s="35" t="str">
        <f aca="false">IF(Office_Log!BB103=1,Office_Log!H103,"")</f>
        <v/>
      </c>
      <c r="C103" s="23" t="str">
        <f aca="false">IF(B103="","","office")</f>
        <v/>
      </c>
      <c r="D103" s="23" t="str">
        <f aca="false">IF(B103="","",Office_Log!ED103&amp;"")</f>
        <v/>
      </c>
      <c r="E103" s="23" t="str">
        <f aca="false">IF(B103="","",IF(Office_Log!B103="","",Office_Log!B103&amp;""))</f>
        <v/>
      </c>
      <c r="F103" s="23" t="str">
        <f aca="false">IF(B103="","","conversation")</f>
        <v/>
      </c>
      <c r="G103" s="23" t="str">
        <f aca="false">IF(B103="","","")</f>
        <v/>
      </c>
      <c r="H103" s="23" t="str">
        <f aca="false">IF(B103="","","")</f>
        <v/>
      </c>
      <c r="I103" s="23" t="str">
        <f aca="false">IF(B103="","","")</f>
        <v/>
      </c>
      <c r="J103" s="23" t="str">
        <f aca="false">IF(B103="","",IF(Office_Log!I103="","",Office_Log!I103&amp;""))</f>
        <v/>
      </c>
      <c r="K103" s="32" t="s">
        <v>1352</v>
      </c>
    </row>
    <row r="104" customFormat="false" ht="15" hidden="false" customHeight="false" outlineLevel="0" collapsed="false">
      <c r="A104" s="23" t="str">
        <f aca="false">IF(B104="","",B104+(1*1000+103)/10000000)</f>
        <v/>
      </c>
      <c r="B104" s="35" t="str">
        <f aca="false">IF(Office_Log!BB104=1,Office_Log!H104,"")</f>
        <v/>
      </c>
      <c r="C104" s="23" t="str">
        <f aca="false">IF(B104="","","office")</f>
        <v/>
      </c>
      <c r="D104" s="23" t="str">
        <f aca="false">IF(B104="","",Office_Log!ED104&amp;"")</f>
        <v/>
      </c>
      <c r="E104" s="23" t="str">
        <f aca="false">IF(B104="","",IF(Office_Log!B104="","",Office_Log!B104&amp;""))</f>
        <v/>
      </c>
      <c r="F104" s="23" t="str">
        <f aca="false">IF(B104="","","conversation")</f>
        <v/>
      </c>
      <c r="G104" s="23" t="str">
        <f aca="false">IF(B104="","","")</f>
        <v/>
      </c>
      <c r="H104" s="23" t="str">
        <f aca="false">IF(B104="","","")</f>
        <v/>
      </c>
      <c r="I104" s="23" t="str">
        <f aca="false">IF(B104="","","")</f>
        <v/>
      </c>
      <c r="J104" s="23" t="str">
        <f aca="false">IF(B104="","",IF(Office_Log!I104="","",Office_Log!I104&amp;""))</f>
        <v/>
      </c>
      <c r="K104" s="32" t="s">
        <v>1352</v>
      </c>
    </row>
    <row r="105" customFormat="false" ht="15" hidden="false" customHeight="false" outlineLevel="0" collapsed="false">
      <c r="A105" s="23" t="str">
        <f aca="false">IF(B105="","",B105+(1*1000+104)/10000000)</f>
        <v/>
      </c>
      <c r="B105" s="35" t="str">
        <f aca="false">IF(Office_Log!BB105=1,Office_Log!H105,"")</f>
        <v/>
      </c>
      <c r="C105" s="23" t="str">
        <f aca="false">IF(B105="","","office")</f>
        <v/>
      </c>
      <c r="D105" s="23" t="str">
        <f aca="false">IF(B105="","",Office_Log!ED105&amp;"")</f>
        <v/>
      </c>
      <c r="E105" s="23" t="str">
        <f aca="false">IF(B105="","",IF(Office_Log!B105="","",Office_Log!B105&amp;""))</f>
        <v/>
      </c>
      <c r="F105" s="23" t="str">
        <f aca="false">IF(B105="","","conversation")</f>
        <v/>
      </c>
      <c r="G105" s="23" t="str">
        <f aca="false">IF(B105="","","")</f>
        <v/>
      </c>
      <c r="H105" s="23" t="str">
        <f aca="false">IF(B105="","","")</f>
        <v/>
      </c>
      <c r="I105" s="23" t="str">
        <f aca="false">IF(B105="","","")</f>
        <v/>
      </c>
      <c r="J105" s="23" t="str">
        <f aca="false">IF(B105="","",IF(Office_Log!I105="","",Office_Log!I105&amp;""))</f>
        <v/>
      </c>
      <c r="K105" s="32" t="s">
        <v>1352</v>
      </c>
    </row>
    <row r="106" customFormat="false" ht="15" hidden="false" customHeight="false" outlineLevel="0" collapsed="false">
      <c r="A106" s="23" t="str">
        <f aca="false">IF(B106="","",B106+(1*1000+105)/10000000)</f>
        <v/>
      </c>
      <c r="B106" s="35" t="str">
        <f aca="false">IF(Office_Log!BB106=1,Office_Log!H106,"")</f>
        <v/>
      </c>
      <c r="C106" s="23" t="str">
        <f aca="false">IF(B106="","","office")</f>
        <v/>
      </c>
      <c r="D106" s="23" t="str">
        <f aca="false">IF(B106="","",Office_Log!ED106&amp;"")</f>
        <v/>
      </c>
      <c r="E106" s="23" t="str">
        <f aca="false">IF(B106="","",IF(Office_Log!B106="","",Office_Log!B106&amp;""))</f>
        <v/>
      </c>
      <c r="F106" s="23" t="str">
        <f aca="false">IF(B106="","","conversation")</f>
        <v/>
      </c>
      <c r="G106" s="23" t="str">
        <f aca="false">IF(B106="","","")</f>
        <v/>
      </c>
      <c r="H106" s="23" t="str">
        <f aca="false">IF(B106="","","")</f>
        <v/>
      </c>
      <c r="I106" s="23" t="str">
        <f aca="false">IF(B106="","","")</f>
        <v/>
      </c>
      <c r="J106" s="23" t="str">
        <f aca="false">IF(B106="","",IF(Office_Log!I106="","",Office_Log!I106&amp;""))</f>
        <v/>
      </c>
      <c r="K106" s="32" t="s">
        <v>1352</v>
      </c>
    </row>
    <row r="107" customFormat="false" ht="15" hidden="false" customHeight="false" outlineLevel="0" collapsed="false">
      <c r="A107" s="23" t="str">
        <f aca="false">IF(B107="","",B107+(1*1000+106)/10000000)</f>
        <v/>
      </c>
      <c r="B107" s="35" t="str">
        <f aca="false">IF(Office_Log!BB107=1,Office_Log!H107,"")</f>
        <v/>
      </c>
      <c r="C107" s="23" t="str">
        <f aca="false">IF(B107="","","office")</f>
        <v/>
      </c>
      <c r="D107" s="23" t="str">
        <f aca="false">IF(B107="","",Office_Log!ED107&amp;"")</f>
        <v/>
      </c>
      <c r="E107" s="23" t="str">
        <f aca="false">IF(B107="","",IF(Office_Log!B107="","",Office_Log!B107&amp;""))</f>
        <v/>
      </c>
      <c r="F107" s="23" t="str">
        <f aca="false">IF(B107="","","conversation")</f>
        <v/>
      </c>
      <c r="G107" s="23" t="str">
        <f aca="false">IF(B107="","","")</f>
        <v/>
      </c>
      <c r="H107" s="23" t="str">
        <f aca="false">IF(B107="","","")</f>
        <v/>
      </c>
      <c r="I107" s="23" t="str">
        <f aca="false">IF(B107="","","")</f>
        <v/>
      </c>
      <c r="J107" s="23" t="str">
        <f aca="false">IF(B107="","",IF(Office_Log!I107="","",Office_Log!I107&amp;""))</f>
        <v/>
      </c>
      <c r="K107" s="32" t="s">
        <v>1352</v>
      </c>
    </row>
    <row r="108" customFormat="false" ht="15" hidden="false" customHeight="false" outlineLevel="0" collapsed="false">
      <c r="A108" s="23" t="str">
        <f aca="false">IF(B108="","",B108+(1*1000+107)/10000000)</f>
        <v/>
      </c>
      <c r="B108" s="35" t="str">
        <f aca="false">IF(Office_Log!BB108=1,Office_Log!H108,"")</f>
        <v/>
      </c>
      <c r="C108" s="23" t="str">
        <f aca="false">IF(B108="","","office")</f>
        <v/>
      </c>
      <c r="D108" s="23" t="str">
        <f aca="false">IF(B108="","",Office_Log!ED108&amp;"")</f>
        <v/>
      </c>
      <c r="E108" s="23" t="str">
        <f aca="false">IF(B108="","",IF(Office_Log!B108="","",Office_Log!B108&amp;""))</f>
        <v/>
      </c>
      <c r="F108" s="23" t="str">
        <f aca="false">IF(B108="","","conversation")</f>
        <v/>
      </c>
      <c r="G108" s="23" t="str">
        <f aca="false">IF(B108="","","")</f>
        <v/>
      </c>
      <c r="H108" s="23" t="str">
        <f aca="false">IF(B108="","","")</f>
        <v/>
      </c>
      <c r="I108" s="23" t="str">
        <f aca="false">IF(B108="","","")</f>
        <v/>
      </c>
      <c r="J108" s="23" t="str">
        <f aca="false">IF(B108="","",IF(Office_Log!I108="","",Office_Log!I108&amp;""))</f>
        <v/>
      </c>
      <c r="K108" s="32" t="s">
        <v>1352</v>
      </c>
    </row>
    <row r="109" customFormat="false" ht="15" hidden="false" customHeight="false" outlineLevel="0" collapsed="false">
      <c r="A109" s="23" t="str">
        <f aca="false">IF(B109="","",B109+(1*1000+108)/10000000)</f>
        <v/>
      </c>
      <c r="B109" s="35" t="str">
        <f aca="false">IF(Office_Log!BB109=1,Office_Log!H109,"")</f>
        <v/>
      </c>
      <c r="C109" s="23" t="str">
        <f aca="false">IF(B109="","","office")</f>
        <v/>
      </c>
      <c r="D109" s="23" t="str">
        <f aca="false">IF(B109="","",Office_Log!ED109&amp;"")</f>
        <v/>
      </c>
      <c r="E109" s="23" t="str">
        <f aca="false">IF(B109="","",IF(Office_Log!B109="","",Office_Log!B109&amp;""))</f>
        <v/>
      </c>
      <c r="F109" s="23" t="str">
        <f aca="false">IF(B109="","","conversation")</f>
        <v/>
      </c>
      <c r="G109" s="23" t="str">
        <f aca="false">IF(B109="","","")</f>
        <v/>
      </c>
      <c r="H109" s="23" t="str">
        <f aca="false">IF(B109="","","")</f>
        <v/>
      </c>
      <c r="I109" s="23" t="str">
        <f aca="false">IF(B109="","","")</f>
        <v/>
      </c>
      <c r="J109" s="23" t="str">
        <f aca="false">IF(B109="","",IF(Office_Log!I109="","",Office_Log!I109&amp;""))</f>
        <v/>
      </c>
      <c r="K109" s="32" t="s">
        <v>1352</v>
      </c>
    </row>
    <row r="110" customFormat="false" ht="15" hidden="false" customHeight="false" outlineLevel="0" collapsed="false">
      <c r="A110" s="23" t="str">
        <f aca="false">IF(B110="","",B110+(1*1000+109)/10000000)</f>
        <v/>
      </c>
      <c r="B110" s="35" t="str">
        <f aca="false">IF(Office_Log!BB110=1,Office_Log!H110,"")</f>
        <v/>
      </c>
      <c r="C110" s="23" t="str">
        <f aca="false">IF(B110="","","office")</f>
        <v/>
      </c>
      <c r="D110" s="23" t="str">
        <f aca="false">IF(B110="","",Office_Log!ED110&amp;"")</f>
        <v/>
      </c>
      <c r="E110" s="23" t="str">
        <f aca="false">IF(B110="","",IF(Office_Log!B110="","",Office_Log!B110&amp;""))</f>
        <v/>
      </c>
      <c r="F110" s="23" t="str">
        <f aca="false">IF(B110="","","conversation")</f>
        <v/>
      </c>
      <c r="G110" s="23" t="str">
        <f aca="false">IF(B110="","","")</f>
        <v/>
      </c>
      <c r="H110" s="23" t="str">
        <f aca="false">IF(B110="","","")</f>
        <v/>
      </c>
      <c r="I110" s="23" t="str">
        <f aca="false">IF(B110="","","")</f>
        <v/>
      </c>
      <c r="J110" s="23" t="str">
        <f aca="false">IF(B110="","",IF(Office_Log!I110="","",Office_Log!I110&amp;""))</f>
        <v/>
      </c>
      <c r="K110" s="32" t="s">
        <v>1352</v>
      </c>
    </row>
    <row r="111" customFormat="false" ht="15" hidden="false" customHeight="false" outlineLevel="0" collapsed="false">
      <c r="A111" s="23" t="str">
        <f aca="false">IF(B111="","",B111+(1*1000+110)/10000000)</f>
        <v/>
      </c>
      <c r="B111" s="35" t="str">
        <f aca="false">IF(Office_Log!BB111=1,Office_Log!H111,"")</f>
        <v/>
      </c>
      <c r="C111" s="23" t="str">
        <f aca="false">IF(B111="","","office")</f>
        <v/>
      </c>
      <c r="D111" s="23" t="str">
        <f aca="false">IF(B111="","",Office_Log!ED111&amp;"")</f>
        <v/>
      </c>
      <c r="E111" s="23" t="str">
        <f aca="false">IF(B111="","",IF(Office_Log!B111="","",Office_Log!B111&amp;""))</f>
        <v/>
      </c>
      <c r="F111" s="23" t="str">
        <f aca="false">IF(B111="","","conversation")</f>
        <v/>
      </c>
      <c r="G111" s="23" t="str">
        <f aca="false">IF(B111="","","")</f>
        <v/>
      </c>
      <c r="H111" s="23" t="str">
        <f aca="false">IF(B111="","","")</f>
        <v/>
      </c>
      <c r="I111" s="23" t="str">
        <f aca="false">IF(B111="","","")</f>
        <v/>
      </c>
      <c r="J111" s="23" t="str">
        <f aca="false">IF(B111="","",IF(Office_Log!I111="","",Office_Log!I111&amp;""))</f>
        <v/>
      </c>
      <c r="K111" s="32" t="s">
        <v>1352</v>
      </c>
    </row>
    <row r="112" customFormat="false" ht="15" hidden="false" customHeight="false" outlineLevel="0" collapsed="false">
      <c r="A112" s="23" t="str">
        <f aca="false">IF(B112="","",B112+(1*1000+111)/10000000)</f>
        <v/>
      </c>
      <c r="B112" s="35" t="str">
        <f aca="false">IF(Office_Log!BB112=1,Office_Log!H112,"")</f>
        <v/>
      </c>
      <c r="C112" s="23" t="str">
        <f aca="false">IF(B112="","","office")</f>
        <v/>
      </c>
      <c r="D112" s="23" t="str">
        <f aca="false">IF(B112="","",Office_Log!ED112&amp;"")</f>
        <v/>
      </c>
      <c r="E112" s="23" t="str">
        <f aca="false">IF(B112="","",IF(Office_Log!B112="","",Office_Log!B112&amp;""))</f>
        <v/>
      </c>
      <c r="F112" s="23" t="str">
        <f aca="false">IF(B112="","","conversation")</f>
        <v/>
      </c>
      <c r="G112" s="23" t="str">
        <f aca="false">IF(B112="","","")</f>
        <v/>
      </c>
      <c r="H112" s="23" t="str">
        <f aca="false">IF(B112="","","")</f>
        <v/>
      </c>
      <c r="I112" s="23" t="str">
        <f aca="false">IF(B112="","","")</f>
        <v/>
      </c>
      <c r="J112" s="23" t="str">
        <f aca="false">IF(B112="","",IF(Office_Log!I112="","",Office_Log!I112&amp;""))</f>
        <v/>
      </c>
      <c r="K112" s="32" t="s">
        <v>1352</v>
      </c>
    </row>
    <row r="113" customFormat="false" ht="15" hidden="false" customHeight="false" outlineLevel="0" collapsed="false">
      <c r="A113" s="23" t="str">
        <f aca="false">IF(B113="","",B113+(1*1000+112)/10000000)</f>
        <v/>
      </c>
      <c r="B113" s="35" t="str">
        <f aca="false">IF(Office_Log!BB113=1,Office_Log!H113,"")</f>
        <v/>
      </c>
      <c r="C113" s="23" t="str">
        <f aca="false">IF(B113="","","office")</f>
        <v/>
      </c>
      <c r="D113" s="23" t="str">
        <f aca="false">IF(B113="","",Office_Log!ED113&amp;"")</f>
        <v/>
      </c>
      <c r="E113" s="23" t="str">
        <f aca="false">IF(B113="","",IF(Office_Log!B113="","",Office_Log!B113&amp;""))</f>
        <v/>
      </c>
      <c r="F113" s="23" t="str">
        <f aca="false">IF(B113="","","conversation")</f>
        <v/>
      </c>
      <c r="G113" s="23" t="str">
        <f aca="false">IF(B113="","","")</f>
        <v/>
      </c>
      <c r="H113" s="23" t="str">
        <f aca="false">IF(B113="","","")</f>
        <v/>
      </c>
      <c r="I113" s="23" t="str">
        <f aca="false">IF(B113="","","")</f>
        <v/>
      </c>
      <c r="J113" s="23" t="str">
        <f aca="false">IF(B113="","",IF(Office_Log!I113="","",Office_Log!I113&amp;""))</f>
        <v/>
      </c>
      <c r="K113" s="32" t="s">
        <v>1352</v>
      </c>
    </row>
    <row r="114" customFormat="false" ht="15" hidden="false" customHeight="false" outlineLevel="0" collapsed="false">
      <c r="A114" s="23" t="str">
        <f aca="false">IF(B114="","",B114+(1*1000+113)/10000000)</f>
        <v/>
      </c>
      <c r="B114" s="35" t="str">
        <f aca="false">IF(Office_Log!BB114=1,Office_Log!H114,"")</f>
        <v/>
      </c>
      <c r="C114" s="23" t="str">
        <f aca="false">IF(B114="","","office")</f>
        <v/>
      </c>
      <c r="D114" s="23" t="str">
        <f aca="false">IF(B114="","",Office_Log!ED114&amp;"")</f>
        <v/>
      </c>
      <c r="E114" s="23" t="str">
        <f aca="false">IF(B114="","",IF(Office_Log!B114="","",Office_Log!B114&amp;""))</f>
        <v/>
      </c>
      <c r="F114" s="23" t="str">
        <f aca="false">IF(B114="","","conversation")</f>
        <v/>
      </c>
      <c r="G114" s="23" t="str">
        <f aca="false">IF(B114="","","")</f>
        <v/>
      </c>
      <c r="H114" s="23" t="str">
        <f aca="false">IF(B114="","","")</f>
        <v/>
      </c>
      <c r="I114" s="23" t="str">
        <f aca="false">IF(B114="","","")</f>
        <v/>
      </c>
      <c r="J114" s="23" t="str">
        <f aca="false">IF(B114="","",IF(Office_Log!I114="","",Office_Log!I114&amp;""))</f>
        <v/>
      </c>
      <c r="K114" s="32" t="s">
        <v>1352</v>
      </c>
    </row>
    <row r="115" customFormat="false" ht="15" hidden="false" customHeight="false" outlineLevel="0" collapsed="false">
      <c r="A115" s="23" t="str">
        <f aca="false">IF(B115="","",B115+(1*1000+114)/10000000)</f>
        <v/>
      </c>
      <c r="B115" s="35" t="str">
        <f aca="false">IF(Office_Log!BB115=1,Office_Log!H115,"")</f>
        <v/>
      </c>
      <c r="C115" s="23" t="str">
        <f aca="false">IF(B115="","","office")</f>
        <v/>
      </c>
      <c r="D115" s="23" t="str">
        <f aca="false">IF(B115="","",Office_Log!ED115&amp;"")</f>
        <v/>
      </c>
      <c r="E115" s="23" t="str">
        <f aca="false">IF(B115="","",IF(Office_Log!B115="","",Office_Log!B115&amp;""))</f>
        <v/>
      </c>
      <c r="F115" s="23" t="str">
        <f aca="false">IF(B115="","","conversation")</f>
        <v/>
      </c>
      <c r="G115" s="23" t="str">
        <f aca="false">IF(B115="","","")</f>
        <v/>
      </c>
      <c r="H115" s="23" t="str">
        <f aca="false">IF(B115="","","")</f>
        <v/>
      </c>
      <c r="I115" s="23" t="str">
        <f aca="false">IF(B115="","","")</f>
        <v/>
      </c>
      <c r="J115" s="23" t="str">
        <f aca="false">IF(B115="","",IF(Office_Log!I115="","",Office_Log!I115&amp;""))</f>
        <v/>
      </c>
      <c r="K115" s="32" t="s">
        <v>1352</v>
      </c>
    </row>
    <row r="116" customFormat="false" ht="15" hidden="false" customHeight="false" outlineLevel="0" collapsed="false">
      <c r="A116" s="23" t="str">
        <f aca="false">IF(B116="","",B116+(1*1000+115)/10000000)</f>
        <v/>
      </c>
      <c r="B116" s="35" t="str">
        <f aca="false">IF(Office_Log!BB116=1,Office_Log!H116,"")</f>
        <v/>
      </c>
      <c r="C116" s="23" t="str">
        <f aca="false">IF(B116="","","office")</f>
        <v/>
      </c>
      <c r="D116" s="23" t="str">
        <f aca="false">IF(B116="","",Office_Log!ED116&amp;"")</f>
        <v/>
      </c>
      <c r="E116" s="23" t="str">
        <f aca="false">IF(B116="","",IF(Office_Log!B116="","",Office_Log!B116&amp;""))</f>
        <v/>
      </c>
      <c r="F116" s="23" t="str">
        <f aca="false">IF(B116="","","conversation")</f>
        <v/>
      </c>
      <c r="G116" s="23" t="str">
        <f aca="false">IF(B116="","","")</f>
        <v/>
      </c>
      <c r="H116" s="23" t="str">
        <f aca="false">IF(B116="","","")</f>
        <v/>
      </c>
      <c r="I116" s="23" t="str">
        <f aca="false">IF(B116="","","")</f>
        <v/>
      </c>
      <c r="J116" s="23" t="str">
        <f aca="false">IF(B116="","",IF(Office_Log!I116="","",Office_Log!I116&amp;""))</f>
        <v/>
      </c>
      <c r="K116" s="32" t="s">
        <v>1352</v>
      </c>
    </row>
    <row r="117" customFormat="false" ht="15" hidden="false" customHeight="false" outlineLevel="0" collapsed="false">
      <c r="A117" s="23" t="str">
        <f aca="false">IF(B117="","",B117+(1*1000+116)/10000000)</f>
        <v/>
      </c>
      <c r="B117" s="35" t="str">
        <f aca="false">IF(Office_Log!BB117=1,Office_Log!H117,"")</f>
        <v/>
      </c>
      <c r="C117" s="23" t="str">
        <f aca="false">IF(B117="","","office")</f>
        <v/>
      </c>
      <c r="D117" s="23" t="str">
        <f aca="false">IF(B117="","",Office_Log!ED117&amp;"")</f>
        <v/>
      </c>
      <c r="E117" s="23" t="str">
        <f aca="false">IF(B117="","",IF(Office_Log!B117="","",Office_Log!B117&amp;""))</f>
        <v/>
      </c>
      <c r="F117" s="23" t="str">
        <f aca="false">IF(B117="","","conversation")</f>
        <v/>
      </c>
      <c r="G117" s="23" t="str">
        <f aca="false">IF(B117="","","")</f>
        <v/>
      </c>
      <c r="H117" s="23" t="str">
        <f aca="false">IF(B117="","","")</f>
        <v/>
      </c>
      <c r="I117" s="23" t="str">
        <f aca="false">IF(B117="","","")</f>
        <v/>
      </c>
      <c r="J117" s="23" t="str">
        <f aca="false">IF(B117="","",IF(Office_Log!I117="","",Office_Log!I117&amp;""))</f>
        <v/>
      </c>
      <c r="K117" s="32" t="s">
        <v>1352</v>
      </c>
    </row>
    <row r="118" customFormat="false" ht="15" hidden="false" customHeight="false" outlineLevel="0" collapsed="false">
      <c r="A118" s="23" t="str">
        <f aca="false">IF(B118="","",B118+(1*1000+117)/10000000)</f>
        <v/>
      </c>
      <c r="B118" s="35" t="str">
        <f aca="false">IF(Office_Log!BB118=1,Office_Log!H118,"")</f>
        <v/>
      </c>
      <c r="C118" s="23" t="str">
        <f aca="false">IF(B118="","","office")</f>
        <v/>
      </c>
      <c r="D118" s="23" t="str">
        <f aca="false">IF(B118="","",Office_Log!ED118&amp;"")</f>
        <v/>
      </c>
      <c r="E118" s="23" t="str">
        <f aca="false">IF(B118="","",IF(Office_Log!B118="","",Office_Log!B118&amp;""))</f>
        <v/>
      </c>
      <c r="F118" s="23" t="str">
        <f aca="false">IF(B118="","","conversation")</f>
        <v/>
      </c>
      <c r="G118" s="23" t="str">
        <f aca="false">IF(B118="","","")</f>
        <v/>
      </c>
      <c r="H118" s="23" t="str">
        <f aca="false">IF(B118="","","")</f>
        <v/>
      </c>
      <c r="I118" s="23" t="str">
        <f aca="false">IF(B118="","","")</f>
        <v/>
      </c>
      <c r="J118" s="23" t="str">
        <f aca="false">IF(B118="","",IF(Office_Log!I118="","",Office_Log!I118&amp;""))</f>
        <v/>
      </c>
      <c r="K118" s="32" t="s">
        <v>1352</v>
      </c>
    </row>
    <row r="119" customFormat="false" ht="15" hidden="false" customHeight="false" outlineLevel="0" collapsed="false">
      <c r="A119" s="23" t="str">
        <f aca="false">IF(B119="","",B119+(1*1000+118)/10000000)</f>
        <v/>
      </c>
      <c r="B119" s="35" t="str">
        <f aca="false">IF(Office_Log!BB119=1,Office_Log!H119,"")</f>
        <v/>
      </c>
      <c r="C119" s="23" t="str">
        <f aca="false">IF(B119="","","office")</f>
        <v/>
      </c>
      <c r="D119" s="23" t="str">
        <f aca="false">IF(B119="","",Office_Log!ED119&amp;"")</f>
        <v/>
      </c>
      <c r="E119" s="23" t="str">
        <f aca="false">IF(B119="","",IF(Office_Log!B119="","",Office_Log!B119&amp;""))</f>
        <v/>
      </c>
      <c r="F119" s="23" t="str">
        <f aca="false">IF(B119="","","conversation")</f>
        <v/>
      </c>
      <c r="G119" s="23" t="str">
        <f aca="false">IF(B119="","","")</f>
        <v/>
      </c>
      <c r="H119" s="23" t="str">
        <f aca="false">IF(B119="","","")</f>
        <v/>
      </c>
      <c r="I119" s="23" t="str">
        <f aca="false">IF(B119="","","")</f>
        <v/>
      </c>
      <c r="J119" s="23" t="str">
        <f aca="false">IF(B119="","",IF(Office_Log!I119="","",Office_Log!I119&amp;""))</f>
        <v/>
      </c>
      <c r="K119" s="32" t="s">
        <v>1352</v>
      </c>
    </row>
    <row r="120" customFormat="false" ht="15" hidden="false" customHeight="false" outlineLevel="0" collapsed="false">
      <c r="A120" s="23" t="str">
        <f aca="false">IF(B120="","",B120+(1*1000+119)/10000000)</f>
        <v/>
      </c>
      <c r="B120" s="35" t="str">
        <f aca="false">IF(Office_Log!BB120=1,Office_Log!H120,"")</f>
        <v/>
      </c>
      <c r="C120" s="23" t="str">
        <f aca="false">IF(B120="","","office")</f>
        <v/>
      </c>
      <c r="D120" s="23" t="str">
        <f aca="false">IF(B120="","",Office_Log!ED120&amp;"")</f>
        <v/>
      </c>
      <c r="E120" s="23" t="str">
        <f aca="false">IF(B120="","",IF(Office_Log!B120="","",Office_Log!B120&amp;""))</f>
        <v/>
      </c>
      <c r="F120" s="23" t="str">
        <f aca="false">IF(B120="","","conversation")</f>
        <v/>
      </c>
      <c r="G120" s="23" t="str">
        <f aca="false">IF(B120="","","")</f>
        <v/>
      </c>
      <c r="H120" s="23" t="str">
        <f aca="false">IF(B120="","","")</f>
        <v/>
      </c>
      <c r="I120" s="23" t="str">
        <f aca="false">IF(B120="","","")</f>
        <v/>
      </c>
      <c r="J120" s="23" t="str">
        <f aca="false">IF(B120="","",IF(Office_Log!I120="","",Office_Log!I120&amp;""))</f>
        <v/>
      </c>
      <c r="K120" s="32" t="s">
        <v>1352</v>
      </c>
    </row>
    <row r="121" customFormat="false" ht="15" hidden="false" customHeight="false" outlineLevel="0" collapsed="false">
      <c r="A121" s="23" t="str">
        <f aca="false">IF(B121="","",B121+(1*1000+120)/10000000)</f>
        <v/>
      </c>
      <c r="B121" s="35" t="str">
        <f aca="false">IF(Office_Log!BB121=1,Office_Log!H121,"")</f>
        <v/>
      </c>
      <c r="C121" s="23" t="str">
        <f aca="false">IF(B121="","","office")</f>
        <v/>
      </c>
      <c r="D121" s="23" t="str">
        <f aca="false">IF(B121="","",Office_Log!ED121&amp;"")</f>
        <v/>
      </c>
      <c r="E121" s="23" t="str">
        <f aca="false">IF(B121="","",IF(Office_Log!B121="","",Office_Log!B121&amp;""))</f>
        <v/>
      </c>
      <c r="F121" s="23" t="str">
        <f aca="false">IF(B121="","","conversation")</f>
        <v/>
      </c>
      <c r="G121" s="23" t="str">
        <f aca="false">IF(B121="","","")</f>
        <v/>
      </c>
      <c r="H121" s="23" t="str">
        <f aca="false">IF(B121="","","")</f>
        <v/>
      </c>
      <c r="I121" s="23" t="str">
        <f aca="false">IF(B121="","","")</f>
        <v/>
      </c>
      <c r="J121" s="23" t="str">
        <f aca="false">IF(B121="","",IF(Office_Log!I121="","",Office_Log!I121&amp;""))</f>
        <v/>
      </c>
      <c r="K121" s="32" t="s">
        <v>1352</v>
      </c>
    </row>
    <row r="122" customFormat="false" ht="15" hidden="false" customHeight="false" outlineLevel="0" collapsed="false">
      <c r="A122" s="23" t="str">
        <f aca="false">IF(B122="","",B122+(1*1000+121)/10000000)</f>
        <v/>
      </c>
      <c r="B122" s="35" t="str">
        <f aca="false">IF(Office_Log!BB122=1,Office_Log!H122,"")</f>
        <v/>
      </c>
      <c r="C122" s="23" t="str">
        <f aca="false">IF(B122="","","office")</f>
        <v/>
      </c>
      <c r="D122" s="23" t="str">
        <f aca="false">IF(B122="","",Office_Log!ED122&amp;"")</f>
        <v/>
      </c>
      <c r="E122" s="23" t="str">
        <f aca="false">IF(B122="","",IF(Office_Log!B122="","",Office_Log!B122&amp;""))</f>
        <v/>
      </c>
      <c r="F122" s="23" t="str">
        <f aca="false">IF(B122="","","conversation")</f>
        <v/>
      </c>
      <c r="G122" s="23" t="str">
        <f aca="false">IF(B122="","","")</f>
        <v/>
      </c>
      <c r="H122" s="23" t="str">
        <f aca="false">IF(B122="","","")</f>
        <v/>
      </c>
      <c r="I122" s="23" t="str">
        <f aca="false">IF(B122="","","")</f>
        <v/>
      </c>
      <c r="J122" s="23" t="str">
        <f aca="false">IF(B122="","",IF(Office_Log!I122="","",Office_Log!I122&amp;""))</f>
        <v/>
      </c>
      <c r="K122" s="32" t="s">
        <v>1352</v>
      </c>
    </row>
    <row r="123" customFormat="false" ht="15" hidden="false" customHeight="false" outlineLevel="0" collapsed="false">
      <c r="A123" s="23" t="str">
        <f aca="false">IF(B123="","",B123+(1*1000+122)/10000000)</f>
        <v/>
      </c>
      <c r="B123" s="35" t="str">
        <f aca="false">IF(Office_Log!BB123=1,Office_Log!H123,"")</f>
        <v/>
      </c>
      <c r="C123" s="23" t="str">
        <f aca="false">IF(B123="","","office")</f>
        <v/>
      </c>
      <c r="D123" s="23" t="str">
        <f aca="false">IF(B123="","",Office_Log!ED123&amp;"")</f>
        <v/>
      </c>
      <c r="E123" s="23" t="str">
        <f aca="false">IF(B123="","",IF(Office_Log!B123="","",Office_Log!B123&amp;""))</f>
        <v/>
      </c>
      <c r="F123" s="23" t="str">
        <f aca="false">IF(B123="","","conversation")</f>
        <v/>
      </c>
      <c r="G123" s="23" t="str">
        <f aca="false">IF(B123="","","")</f>
        <v/>
      </c>
      <c r="H123" s="23" t="str">
        <f aca="false">IF(B123="","","")</f>
        <v/>
      </c>
      <c r="I123" s="23" t="str">
        <f aca="false">IF(B123="","","")</f>
        <v/>
      </c>
      <c r="J123" s="23" t="str">
        <f aca="false">IF(B123="","",IF(Office_Log!I123="","",Office_Log!I123&amp;""))</f>
        <v/>
      </c>
      <c r="K123" s="32" t="s">
        <v>1352</v>
      </c>
    </row>
    <row r="124" customFormat="false" ht="15" hidden="false" customHeight="false" outlineLevel="0" collapsed="false">
      <c r="A124" s="23" t="str">
        <f aca="false">IF(B124="","",B124+(1*1000+123)/10000000)</f>
        <v/>
      </c>
      <c r="B124" s="35" t="str">
        <f aca="false">IF(Office_Log!BB124=1,Office_Log!H124,"")</f>
        <v/>
      </c>
      <c r="C124" s="23" t="str">
        <f aca="false">IF(B124="","","office")</f>
        <v/>
      </c>
      <c r="D124" s="23" t="str">
        <f aca="false">IF(B124="","",Office_Log!ED124&amp;"")</f>
        <v/>
      </c>
      <c r="E124" s="23" t="str">
        <f aca="false">IF(B124="","",IF(Office_Log!B124="","",Office_Log!B124&amp;""))</f>
        <v/>
      </c>
      <c r="F124" s="23" t="str">
        <f aca="false">IF(B124="","","conversation")</f>
        <v/>
      </c>
      <c r="G124" s="23" t="str">
        <f aca="false">IF(B124="","","")</f>
        <v/>
      </c>
      <c r="H124" s="23" t="str">
        <f aca="false">IF(B124="","","")</f>
        <v/>
      </c>
      <c r="I124" s="23" t="str">
        <f aca="false">IF(B124="","","")</f>
        <v/>
      </c>
      <c r="J124" s="23" t="str">
        <f aca="false">IF(B124="","",IF(Office_Log!I124="","",Office_Log!I124&amp;""))</f>
        <v/>
      </c>
      <c r="K124" s="32" t="s">
        <v>1352</v>
      </c>
    </row>
    <row r="125" customFormat="false" ht="15" hidden="false" customHeight="false" outlineLevel="0" collapsed="false">
      <c r="A125" s="23" t="str">
        <f aca="false">IF(B125="","",B125+(1*1000+124)/10000000)</f>
        <v/>
      </c>
      <c r="B125" s="35" t="str">
        <f aca="false">IF(Office_Log!BB125=1,Office_Log!H125,"")</f>
        <v/>
      </c>
      <c r="C125" s="23" t="str">
        <f aca="false">IF(B125="","","office")</f>
        <v/>
      </c>
      <c r="D125" s="23" t="str">
        <f aca="false">IF(B125="","",Office_Log!ED125&amp;"")</f>
        <v/>
      </c>
      <c r="E125" s="23" t="str">
        <f aca="false">IF(B125="","",IF(Office_Log!B125="","",Office_Log!B125&amp;""))</f>
        <v/>
      </c>
      <c r="F125" s="23" t="str">
        <f aca="false">IF(B125="","","conversation")</f>
        <v/>
      </c>
      <c r="G125" s="23" t="str">
        <f aca="false">IF(B125="","","")</f>
        <v/>
      </c>
      <c r="H125" s="23" t="str">
        <f aca="false">IF(B125="","","")</f>
        <v/>
      </c>
      <c r="I125" s="23" t="str">
        <f aca="false">IF(B125="","","")</f>
        <v/>
      </c>
      <c r="J125" s="23" t="str">
        <f aca="false">IF(B125="","",IF(Office_Log!I125="","",Office_Log!I125&amp;""))</f>
        <v/>
      </c>
      <c r="K125" s="32" t="s">
        <v>1352</v>
      </c>
    </row>
    <row r="126" customFormat="false" ht="15" hidden="false" customHeight="false" outlineLevel="0" collapsed="false">
      <c r="A126" s="23" t="str">
        <f aca="false">IF(B126="","",B126+(1*1000+125)/10000000)</f>
        <v/>
      </c>
      <c r="B126" s="35" t="str">
        <f aca="false">IF(Office_Log!BB126=1,Office_Log!H126,"")</f>
        <v/>
      </c>
      <c r="C126" s="23" t="str">
        <f aca="false">IF(B126="","","office")</f>
        <v/>
      </c>
      <c r="D126" s="23" t="str">
        <f aca="false">IF(B126="","",Office_Log!ED126&amp;"")</f>
        <v/>
      </c>
      <c r="E126" s="23" t="str">
        <f aca="false">IF(B126="","",IF(Office_Log!B126="","",Office_Log!B126&amp;""))</f>
        <v/>
      </c>
      <c r="F126" s="23" t="str">
        <f aca="false">IF(B126="","","conversation")</f>
        <v/>
      </c>
      <c r="G126" s="23" t="str">
        <f aca="false">IF(B126="","","")</f>
        <v/>
      </c>
      <c r="H126" s="23" t="str">
        <f aca="false">IF(B126="","","")</f>
        <v/>
      </c>
      <c r="I126" s="23" t="str">
        <f aca="false">IF(B126="","","")</f>
        <v/>
      </c>
      <c r="J126" s="23" t="str">
        <f aca="false">IF(B126="","",IF(Office_Log!I126="","",Office_Log!I126&amp;""))</f>
        <v/>
      </c>
      <c r="K126" s="32" t="s">
        <v>1352</v>
      </c>
    </row>
    <row r="127" customFormat="false" ht="15" hidden="false" customHeight="false" outlineLevel="0" collapsed="false">
      <c r="A127" s="23" t="str">
        <f aca="false">IF(B127="","",B127+(1*1000+126)/10000000)</f>
        <v/>
      </c>
      <c r="B127" s="35" t="str">
        <f aca="false">IF(Office_Log!BB127=1,Office_Log!H127,"")</f>
        <v/>
      </c>
      <c r="C127" s="23" t="str">
        <f aca="false">IF(B127="","","office")</f>
        <v/>
      </c>
      <c r="D127" s="23" t="str">
        <f aca="false">IF(B127="","",Office_Log!ED127&amp;"")</f>
        <v/>
      </c>
      <c r="E127" s="23" t="str">
        <f aca="false">IF(B127="","",IF(Office_Log!B127="","",Office_Log!B127&amp;""))</f>
        <v/>
      </c>
      <c r="F127" s="23" t="str">
        <f aca="false">IF(B127="","","conversation")</f>
        <v/>
      </c>
      <c r="G127" s="23" t="str">
        <f aca="false">IF(B127="","","")</f>
        <v/>
      </c>
      <c r="H127" s="23" t="str">
        <f aca="false">IF(B127="","","")</f>
        <v/>
      </c>
      <c r="I127" s="23" t="str">
        <f aca="false">IF(B127="","","")</f>
        <v/>
      </c>
      <c r="J127" s="23" t="str">
        <f aca="false">IF(B127="","",IF(Office_Log!I127="","",Office_Log!I127&amp;""))</f>
        <v/>
      </c>
      <c r="K127" s="32" t="s">
        <v>1352</v>
      </c>
    </row>
    <row r="128" customFormat="false" ht="15" hidden="false" customHeight="false" outlineLevel="0" collapsed="false">
      <c r="A128" s="23" t="str">
        <f aca="false">IF(B128="","",B128+(1*1000+127)/10000000)</f>
        <v/>
      </c>
      <c r="B128" s="35" t="str">
        <f aca="false">IF(Office_Log!BB128=1,Office_Log!H128,"")</f>
        <v/>
      </c>
      <c r="C128" s="23" t="str">
        <f aca="false">IF(B128="","","office")</f>
        <v/>
      </c>
      <c r="D128" s="23" t="str">
        <f aca="false">IF(B128="","",Office_Log!ED128&amp;"")</f>
        <v/>
      </c>
      <c r="E128" s="23" t="str">
        <f aca="false">IF(B128="","",IF(Office_Log!B128="","",Office_Log!B128&amp;""))</f>
        <v/>
      </c>
      <c r="F128" s="23" t="str">
        <f aca="false">IF(B128="","","conversation")</f>
        <v/>
      </c>
      <c r="G128" s="23" t="str">
        <f aca="false">IF(B128="","","")</f>
        <v/>
      </c>
      <c r="H128" s="23" t="str">
        <f aca="false">IF(B128="","","")</f>
        <v/>
      </c>
      <c r="I128" s="23" t="str">
        <f aca="false">IF(B128="","","")</f>
        <v/>
      </c>
      <c r="J128" s="23" t="str">
        <f aca="false">IF(B128="","",IF(Office_Log!I128="","",Office_Log!I128&amp;""))</f>
        <v/>
      </c>
      <c r="K128" s="32" t="s">
        <v>1352</v>
      </c>
    </row>
    <row r="129" customFormat="false" ht="15" hidden="false" customHeight="false" outlineLevel="0" collapsed="false">
      <c r="A129" s="23" t="str">
        <f aca="false">IF(B129="","",B129+(1*1000+128)/10000000)</f>
        <v/>
      </c>
      <c r="B129" s="35" t="str">
        <f aca="false">IF(Office_Log!BB129=1,Office_Log!H129,"")</f>
        <v/>
      </c>
      <c r="C129" s="23" t="str">
        <f aca="false">IF(B129="","","office")</f>
        <v/>
      </c>
      <c r="D129" s="23" t="str">
        <f aca="false">IF(B129="","",Office_Log!ED129&amp;"")</f>
        <v/>
      </c>
      <c r="E129" s="23" t="str">
        <f aca="false">IF(B129="","",IF(Office_Log!B129="","",Office_Log!B129&amp;""))</f>
        <v/>
      </c>
      <c r="F129" s="23" t="str">
        <f aca="false">IF(B129="","","conversation")</f>
        <v/>
      </c>
      <c r="G129" s="23" t="str">
        <f aca="false">IF(B129="","","")</f>
        <v/>
      </c>
      <c r="H129" s="23" t="str">
        <f aca="false">IF(B129="","","")</f>
        <v/>
      </c>
      <c r="I129" s="23" t="str">
        <f aca="false">IF(B129="","","")</f>
        <v/>
      </c>
      <c r="J129" s="23" t="str">
        <f aca="false">IF(B129="","",IF(Office_Log!I129="","",Office_Log!I129&amp;""))</f>
        <v/>
      </c>
      <c r="K129" s="32" t="s">
        <v>1352</v>
      </c>
    </row>
    <row r="130" customFormat="false" ht="15" hidden="false" customHeight="false" outlineLevel="0" collapsed="false">
      <c r="A130" s="23" t="str">
        <f aca="false">IF(B130="","",B130+(1*1000+129)/10000000)</f>
        <v/>
      </c>
      <c r="B130" s="35" t="str">
        <f aca="false">IF(Office_Log!BB130=1,Office_Log!H130,"")</f>
        <v/>
      </c>
      <c r="C130" s="23" t="str">
        <f aca="false">IF(B130="","","office")</f>
        <v/>
      </c>
      <c r="D130" s="23" t="str">
        <f aca="false">IF(B130="","",Office_Log!ED130&amp;"")</f>
        <v/>
      </c>
      <c r="E130" s="23" t="str">
        <f aca="false">IF(B130="","",IF(Office_Log!B130="","",Office_Log!B130&amp;""))</f>
        <v/>
      </c>
      <c r="F130" s="23" t="str">
        <f aca="false">IF(B130="","","conversation")</f>
        <v/>
      </c>
      <c r="G130" s="23" t="str">
        <f aca="false">IF(B130="","","")</f>
        <v/>
      </c>
      <c r="H130" s="23" t="str">
        <f aca="false">IF(B130="","","")</f>
        <v/>
      </c>
      <c r="I130" s="23" t="str">
        <f aca="false">IF(B130="","","")</f>
        <v/>
      </c>
      <c r="J130" s="23" t="str">
        <f aca="false">IF(B130="","",IF(Office_Log!I130="","",Office_Log!I130&amp;""))</f>
        <v/>
      </c>
      <c r="K130" s="32" t="s">
        <v>1352</v>
      </c>
    </row>
    <row r="131" customFormat="false" ht="15" hidden="false" customHeight="false" outlineLevel="0" collapsed="false">
      <c r="A131" s="23" t="str">
        <f aca="false">IF(B131="","",B131+(1*1000+130)/10000000)</f>
        <v/>
      </c>
      <c r="B131" s="35" t="str">
        <f aca="false">IF(Office_Log!BB131=1,Office_Log!H131,"")</f>
        <v/>
      </c>
      <c r="C131" s="23" t="str">
        <f aca="false">IF(B131="","","office")</f>
        <v/>
      </c>
      <c r="D131" s="23" t="str">
        <f aca="false">IF(B131="","",Office_Log!ED131&amp;"")</f>
        <v/>
      </c>
      <c r="E131" s="23" t="str">
        <f aca="false">IF(B131="","",IF(Office_Log!B131="","",Office_Log!B131&amp;""))</f>
        <v/>
      </c>
      <c r="F131" s="23" t="str">
        <f aca="false">IF(B131="","","conversation")</f>
        <v/>
      </c>
      <c r="G131" s="23" t="str">
        <f aca="false">IF(B131="","","")</f>
        <v/>
      </c>
      <c r="H131" s="23" t="str">
        <f aca="false">IF(B131="","","")</f>
        <v/>
      </c>
      <c r="I131" s="23" t="str">
        <f aca="false">IF(B131="","","")</f>
        <v/>
      </c>
      <c r="J131" s="23" t="str">
        <f aca="false">IF(B131="","",IF(Office_Log!I131="","",Office_Log!I131&amp;""))</f>
        <v/>
      </c>
      <c r="K131" s="32" t="s">
        <v>1352</v>
      </c>
    </row>
    <row r="132" customFormat="false" ht="15" hidden="false" customHeight="false" outlineLevel="0" collapsed="false">
      <c r="A132" s="23" t="str">
        <f aca="false">IF(B132="","",B132+(1*1000+131)/10000000)</f>
        <v/>
      </c>
      <c r="B132" s="35" t="str">
        <f aca="false">IF(Office_Log!BB132=1,Office_Log!H132,"")</f>
        <v/>
      </c>
      <c r="C132" s="23" t="str">
        <f aca="false">IF(B132="","","office")</f>
        <v/>
      </c>
      <c r="D132" s="23" t="str">
        <f aca="false">IF(B132="","",Office_Log!ED132&amp;"")</f>
        <v/>
      </c>
      <c r="E132" s="23" t="str">
        <f aca="false">IF(B132="","",IF(Office_Log!B132="","",Office_Log!B132&amp;""))</f>
        <v/>
      </c>
      <c r="F132" s="23" t="str">
        <f aca="false">IF(B132="","","conversation")</f>
        <v/>
      </c>
      <c r="G132" s="23" t="str">
        <f aca="false">IF(B132="","","")</f>
        <v/>
      </c>
      <c r="H132" s="23" t="str">
        <f aca="false">IF(B132="","","")</f>
        <v/>
      </c>
      <c r="I132" s="23" t="str">
        <f aca="false">IF(B132="","","")</f>
        <v/>
      </c>
      <c r="J132" s="23" t="str">
        <f aca="false">IF(B132="","",IF(Office_Log!I132="","",Office_Log!I132&amp;""))</f>
        <v/>
      </c>
      <c r="K132" s="32" t="s">
        <v>1352</v>
      </c>
    </row>
    <row r="133" customFormat="false" ht="15" hidden="false" customHeight="false" outlineLevel="0" collapsed="false">
      <c r="A133" s="23" t="str">
        <f aca="false">IF(B133="","",B133+(1*1000+132)/10000000)</f>
        <v/>
      </c>
      <c r="B133" s="35" t="str">
        <f aca="false">IF(Office_Log!BB133=1,Office_Log!H133,"")</f>
        <v/>
      </c>
      <c r="C133" s="23" t="str">
        <f aca="false">IF(B133="","","office")</f>
        <v/>
      </c>
      <c r="D133" s="23" t="str">
        <f aca="false">IF(B133="","",Office_Log!ED133&amp;"")</f>
        <v/>
      </c>
      <c r="E133" s="23" t="str">
        <f aca="false">IF(B133="","",IF(Office_Log!B133="","",Office_Log!B133&amp;""))</f>
        <v/>
      </c>
      <c r="F133" s="23" t="str">
        <f aca="false">IF(B133="","","conversation")</f>
        <v/>
      </c>
      <c r="G133" s="23" t="str">
        <f aca="false">IF(B133="","","")</f>
        <v/>
      </c>
      <c r="H133" s="23" t="str">
        <f aca="false">IF(B133="","","")</f>
        <v/>
      </c>
      <c r="I133" s="23" t="str">
        <f aca="false">IF(B133="","","")</f>
        <v/>
      </c>
      <c r="J133" s="23" t="str">
        <f aca="false">IF(B133="","",IF(Office_Log!I133="","",Office_Log!I133&amp;""))</f>
        <v/>
      </c>
      <c r="K133" s="32" t="s">
        <v>1352</v>
      </c>
    </row>
    <row r="134" customFormat="false" ht="15" hidden="false" customHeight="false" outlineLevel="0" collapsed="false">
      <c r="A134" s="23" t="str">
        <f aca="false">IF(B134="","",B134+(1*1000+133)/10000000)</f>
        <v/>
      </c>
      <c r="B134" s="35" t="str">
        <f aca="false">IF(Office_Log!BB134=1,Office_Log!H134,"")</f>
        <v/>
      </c>
      <c r="C134" s="23" t="str">
        <f aca="false">IF(B134="","","office")</f>
        <v/>
      </c>
      <c r="D134" s="23" t="str">
        <f aca="false">IF(B134="","",Office_Log!ED134&amp;"")</f>
        <v/>
      </c>
      <c r="E134" s="23" t="str">
        <f aca="false">IF(B134="","",IF(Office_Log!B134="","",Office_Log!B134&amp;""))</f>
        <v/>
      </c>
      <c r="F134" s="23" t="str">
        <f aca="false">IF(B134="","","conversation")</f>
        <v/>
      </c>
      <c r="G134" s="23" t="str">
        <f aca="false">IF(B134="","","")</f>
        <v/>
      </c>
      <c r="H134" s="23" t="str">
        <f aca="false">IF(B134="","","")</f>
        <v/>
      </c>
      <c r="I134" s="23" t="str">
        <f aca="false">IF(B134="","","")</f>
        <v/>
      </c>
      <c r="J134" s="23" t="str">
        <f aca="false">IF(B134="","",IF(Office_Log!I134="","",Office_Log!I134&amp;""))</f>
        <v/>
      </c>
      <c r="K134" s="32" t="s">
        <v>1352</v>
      </c>
    </row>
    <row r="135" customFormat="false" ht="15" hidden="false" customHeight="false" outlineLevel="0" collapsed="false">
      <c r="A135" s="23" t="str">
        <f aca="false">IF(B135="","",B135+(1*1000+134)/10000000)</f>
        <v/>
      </c>
      <c r="B135" s="35" t="str">
        <f aca="false">IF(Office_Log!BB135=1,Office_Log!H135,"")</f>
        <v/>
      </c>
      <c r="C135" s="23" t="str">
        <f aca="false">IF(B135="","","office")</f>
        <v/>
      </c>
      <c r="D135" s="23" t="str">
        <f aca="false">IF(B135="","",Office_Log!ED135&amp;"")</f>
        <v/>
      </c>
      <c r="E135" s="23" t="str">
        <f aca="false">IF(B135="","",IF(Office_Log!B135="","",Office_Log!B135&amp;""))</f>
        <v/>
      </c>
      <c r="F135" s="23" t="str">
        <f aca="false">IF(B135="","","conversation")</f>
        <v/>
      </c>
      <c r="G135" s="23" t="str">
        <f aca="false">IF(B135="","","")</f>
        <v/>
      </c>
      <c r="H135" s="23" t="str">
        <f aca="false">IF(B135="","","")</f>
        <v/>
      </c>
      <c r="I135" s="23" t="str">
        <f aca="false">IF(B135="","","")</f>
        <v/>
      </c>
      <c r="J135" s="23" t="str">
        <f aca="false">IF(B135="","",IF(Office_Log!I135="","",Office_Log!I135&amp;""))</f>
        <v/>
      </c>
      <c r="K135" s="32" t="s">
        <v>1352</v>
      </c>
    </row>
    <row r="136" customFormat="false" ht="15" hidden="false" customHeight="false" outlineLevel="0" collapsed="false">
      <c r="A136" s="23" t="str">
        <f aca="false">IF(B136="","",B136+(1*1000+135)/10000000)</f>
        <v/>
      </c>
      <c r="B136" s="35" t="str">
        <f aca="false">IF(Office_Log!BB136=1,Office_Log!H136,"")</f>
        <v/>
      </c>
      <c r="C136" s="23" t="str">
        <f aca="false">IF(B136="","","office")</f>
        <v/>
      </c>
      <c r="D136" s="23" t="str">
        <f aca="false">IF(B136="","",Office_Log!ED136&amp;"")</f>
        <v/>
      </c>
      <c r="E136" s="23" t="str">
        <f aca="false">IF(B136="","",IF(Office_Log!B136="","",Office_Log!B136&amp;""))</f>
        <v/>
      </c>
      <c r="F136" s="23" t="str">
        <f aca="false">IF(B136="","","conversation")</f>
        <v/>
      </c>
      <c r="G136" s="23" t="str">
        <f aca="false">IF(B136="","","")</f>
        <v/>
      </c>
      <c r="H136" s="23" t="str">
        <f aca="false">IF(B136="","","")</f>
        <v/>
      </c>
      <c r="I136" s="23" t="str">
        <f aca="false">IF(B136="","","")</f>
        <v/>
      </c>
      <c r="J136" s="23" t="str">
        <f aca="false">IF(B136="","",IF(Office_Log!I136="","",Office_Log!I136&amp;""))</f>
        <v/>
      </c>
      <c r="K136" s="32" t="s">
        <v>1352</v>
      </c>
    </row>
    <row r="137" customFormat="false" ht="15" hidden="false" customHeight="false" outlineLevel="0" collapsed="false">
      <c r="A137" s="23" t="str">
        <f aca="false">IF(B137="","",B137+(1*1000+136)/10000000)</f>
        <v/>
      </c>
      <c r="B137" s="35" t="str">
        <f aca="false">IF(Office_Log!BB137=1,Office_Log!H137,"")</f>
        <v/>
      </c>
      <c r="C137" s="23" t="str">
        <f aca="false">IF(B137="","","office")</f>
        <v/>
      </c>
      <c r="D137" s="23" t="str">
        <f aca="false">IF(B137="","",Office_Log!ED137&amp;"")</f>
        <v/>
      </c>
      <c r="E137" s="23" t="str">
        <f aca="false">IF(B137="","",IF(Office_Log!B137="","",Office_Log!B137&amp;""))</f>
        <v/>
      </c>
      <c r="F137" s="23" t="str">
        <f aca="false">IF(B137="","","conversation")</f>
        <v/>
      </c>
      <c r="G137" s="23" t="str">
        <f aca="false">IF(B137="","","")</f>
        <v/>
      </c>
      <c r="H137" s="23" t="str">
        <f aca="false">IF(B137="","","")</f>
        <v/>
      </c>
      <c r="I137" s="23" t="str">
        <f aca="false">IF(B137="","","")</f>
        <v/>
      </c>
      <c r="J137" s="23" t="str">
        <f aca="false">IF(B137="","",IF(Office_Log!I137="","",Office_Log!I137&amp;""))</f>
        <v/>
      </c>
      <c r="K137" s="32" t="s">
        <v>1352</v>
      </c>
    </row>
    <row r="138" customFormat="false" ht="15" hidden="false" customHeight="false" outlineLevel="0" collapsed="false">
      <c r="A138" s="23" t="str">
        <f aca="false">IF(B138="","",B138+(1*1000+137)/10000000)</f>
        <v/>
      </c>
      <c r="B138" s="35" t="str">
        <f aca="false">IF(Office_Log!BB138=1,Office_Log!H138,"")</f>
        <v/>
      </c>
      <c r="C138" s="23" t="str">
        <f aca="false">IF(B138="","","office")</f>
        <v/>
      </c>
      <c r="D138" s="23" t="str">
        <f aca="false">IF(B138="","",Office_Log!ED138&amp;"")</f>
        <v/>
      </c>
      <c r="E138" s="23" t="str">
        <f aca="false">IF(B138="","",IF(Office_Log!B138="","",Office_Log!B138&amp;""))</f>
        <v/>
      </c>
      <c r="F138" s="23" t="str">
        <f aca="false">IF(B138="","","conversation")</f>
        <v/>
      </c>
      <c r="G138" s="23" t="str">
        <f aca="false">IF(B138="","","")</f>
        <v/>
      </c>
      <c r="H138" s="23" t="str">
        <f aca="false">IF(B138="","","")</f>
        <v/>
      </c>
      <c r="I138" s="23" t="str">
        <f aca="false">IF(B138="","","")</f>
        <v/>
      </c>
      <c r="J138" s="23" t="str">
        <f aca="false">IF(B138="","",IF(Office_Log!I138="","",Office_Log!I138&amp;""))</f>
        <v/>
      </c>
      <c r="K138" s="32" t="s">
        <v>1352</v>
      </c>
    </row>
    <row r="139" customFormat="false" ht="15" hidden="false" customHeight="false" outlineLevel="0" collapsed="false">
      <c r="A139" s="23" t="str">
        <f aca="false">IF(B139="","",B139+(1*1000+138)/10000000)</f>
        <v/>
      </c>
      <c r="B139" s="35" t="str">
        <f aca="false">IF(Office_Log!BB139=1,Office_Log!H139,"")</f>
        <v/>
      </c>
      <c r="C139" s="23" t="str">
        <f aca="false">IF(B139="","","office")</f>
        <v/>
      </c>
      <c r="D139" s="23" t="str">
        <f aca="false">IF(B139="","",Office_Log!ED139&amp;"")</f>
        <v/>
      </c>
      <c r="E139" s="23" t="str">
        <f aca="false">IF(B139="","",IF(Office_Log!B139="","",Office_Log!B139&amp;""))</f>
        <v/>
      </c>
      <c r="F139" s="23" t="str">
        <f aca="false">IF(B139="","","conversation")</f>
        <v/>
      </c>
      <c r="G139" s="23" t="str">
        <f aca="false">IF(B139="","","")</f>
        <v/>
      </c>
      <c r="H139" s="23" t="str">
        <f aca="false">IF(B139="","","")</f>
        <v/>
      </c>
      <c r="I139" s="23" t="str">
        <f aca="false">IF(B139="","","")</f>
        <v/>
      </c>
      <c r="J139" s="23" t="str">
        <f aca="false">IF(B139="","",IF(Office_Log!I139="","",Office_Log!I139&amp;""))</f>
        <v/>
      </c>
      <c r="K139" s="32" t="s">
        <v>1352</v>
      </c>
    </row>
    <row r="140" customFormat="false" ht="15" hidden="false" customHeight="false" outlineLevel="0" collapsed="false">
      <c r="A140" s="23" t="str">
        <f aca="false">IF(B140="","",B140+(1*1000+139)/10000000)</f>
        <v/>
      </c>
      <c r="B140" s="35" t="str">
        <f aca="false">IF(Office_Log!BB140=1,Office_Log!H140,"")</f>
        <v/>
      </c>
      <c r="C140" s="23" t="str">
        <f aca="false">IF(B140="","","office")</f>
        <v/>
      </c>
      <c r="D140" s="23" t="str">
        <f aca="false">IF(B140="","",Office_Log!ED140&amp;"")</f>
        <v/>
      </c>
      <c r="E140" s="23" t="str">
        <f aca="false">IF(B140="","",IF(Office_Log!B140="","",Office_Log!B140&amp;""))</f>
        <v/>
      </c>
      <c r="F140" s="23" t="str">
        <f aca="false">IF(B140="","","conversation")</f>
        <v/>
      </c>
      <c r="G140" s="23" t="str">
        <f aca="false">IF(B140="","","")</f>
        <v/>
      </c>
      <c r="H140" s="23" t="str">
        <f aca="false">IF(B140="","","")</f>
        <v/>
      </c>
      <c r="I140" s="23" t="str">
        <f aca="false">IF(B140="","","")</f>
        <v/>
      </c>
      <c r="J140" s="23" t="str">
        <f aca="false">IF(B140="","",IF(Office_Log!I140="","",Office_Log!I140&amp;""))</f>
        <v/>
      </c>
      <c r="K140" s="32" t="s">
        <v>1352</v>
      </c>
    </row>
    <row r="141" customFormat="false" ht="15" hidden="false" customHeight="false" outlineLevel="0" collapsed="false">
      <c r="A141" s="23" t="str">
        <f aca="false">IF(B141="","",B141+(1*1000+140)/10000000)</f>
        <v/>
      </c>
      <c r="B141" s="35" t="str">
        <f aca="false">IF(Office_Log!BB141=1,Office_Log!H141,"")</f>
        <v/>
      </c>
      <c r="C141" s="23" t="str">
        <f aca="false">IF(B141="","","office")</f>
        <v/>
      </c>
      <c r="D141" s="23" t="str">
        <f aca="false">IF(B141="","",Office_Log!ED141&amp;"")</f>
        <v/>
      </c>
      <c r="E141" s="23" t="str">
        <f aca="false">IF(B141="","",IF(Office_Log!B141="","",Office_Log!B141&amp;""))</f>
        <v/>
      </c>
      <c r="F141" s="23" t="str">
        <f aca="false">IF(B141="","","conversation")</f>
        <v/>
      </c>
      <c r="G141" s="23" t="str">
        <f aca="false">IF(B141="","","")</f>
        <v/>
      </c>
      <c r="H141" s="23" t="str">
        <f aca="false">IF(B141="","","")</f>
        <v/>
      </c>
      <c r="I141" s="23" t="str">
        <f aca="false">IF(B141="","","")</f>
        <v/>
      </c>
      <c r="J141" s="23" t="str">
        <f aca="false">IF(B141="","",IF(Office_Log!I141="","",Office_Log!I141&amp;""))</f>
        <v/>
      </c>
      <c r="K141" s="32" t="s">
        <v>1352</v>
      </c>
    </row>
    <row r="142" customFormat="false" ht="15" hidden="false" customHeight="false" outlineLevel="0" collapsed="false">
      <c r="A142" s="23" t="str">
        <f aca="false">IF(B142="","",B142+(1*1000+141)/10000000)</f>
        <v/>
      </c>
      <c r="B142" s="35" t="str">
        <f aca="false">IF(Office_Log!BB142=1,Office_Log!H142,"")</f>
        <v/>
      </c>
      <c r="C142" s="23" t="str">
        <f aca="false">IF(B142="","","office")</f>
        <v/>
      </c>
      <c r="D142" s="23" t="str">
        <f aca="false">IF(B142="","",Office_Log!ED142&amp;"")</f>
        <v/>
      </c>
      <c r="E142" s="23" t="str">
        <f aca="false">IF(B142="","",IF(Office_Log!B142="","",Office_Log!B142&amp;""))</f>
        <v/>
      </c>
      <c r="F142" s="23" t="str">
        <f aca="false">IF(B142="","","conversation")</f>
        <v/>
      </c>
      <c r="G142" s="23" t="str">
        <f aca="false">IF(B142="","","")</f>
        <v/>
      </c>
      <c r="H142" s="23" t="str">
        <f aca="false">IF(B142="","","")</f>
        <v/>
      </c>
      <c r="I142" s="23" t="str">
        <f aca="false">IF(B142="","","")</f>
        <v/>
      </c>
      <c r="J142" s="23" t="str">
        <f aca="false">IF(B142="","",IF(Office_Log!I142="","",Office_Log!I142&amp;""))</f>
        <v/>
      </c>
      <c r="K142" s="32" t="s">
        <v>1352</v>
      </c>
    </row>
    <row r="143" customFormat="false" ht="15" hidden="false" customHeight="false" outlineLevel="0" collapsed="false">
      <c r="A143" s="23" t="str">
        <f aca="false">IF(B143="","",B143+(1*1000+142)/10000000)</f>
        <v/>
      </c>
      <c r="B143" s="35" t="str">
        <f aca="false">IF(Office_Log!BB143=1,Office_Log!H143,"")</f>
        <v/>
      </c>
      <c r="C143" s="23" t="str">
        <f aca="false">IF(B143="","","office")</f>
        <v/>
      </c>
      <c r="D143" s="23" t="str">
        <f aca="false">IF(B143="","",Office_Log!ED143&amp;"")</f>
        <v/>
      </c>
      <c r="E143" s="23" t="str">
        <f aca="false">IF(B143="","",IF(Office_Log!B143="","",Office_Log!B143&amp;""))</f>
        <v/>
      </c>
      <c r="F143" s="23" t="str">
        <f aca="false">IF(B143="","","conversation")</f>
        <v/>
      </c>
      <c r="G143" s="23" t="str">
        <f aca="false">IF(B143="","","")</f>
        <v/>
      </c>
      <c r="H143" s="23" t="str">
        <f aca="false">IF(B143="","","")</f>
        <v/>
      </c>
      <c r="I143" s="23" t="str">
        <f aca="false">IF(B143="","","")</f>
        <v/>
      </c>
      <c r="J143" s="23" t="str">
        <f aca="false">IF(B143="","",IF(Office_Log!I143="","",Office_Log!I143&amp;""))</f>
        <v/>
      </c>
      <c r="K143" s="32" t="s">
        <v>1352</v>
      </c>
    </row>
    <row r="144" customFormat="false" ht="15" hidden="false" customHeight="false" outlineLevel="0" collapsed="false">
      <c r="A144" s="23" t="str">
        <f aca="false">IF(B144="","",B144+(1*1000+143)/10000000)</f>
        <v/>
      </c>
      <c r="B144" s="35" t="str">
        <f aca="false">IF(Office_Log!BB144=1,Office_Log!H144,"")</f>
        <v/>
      </c>
      <c r="C144" s="23" t="str">
        <f aca="false">IF(B144="","","office")</f>
        <v/>
      </c>
      <c r="D144" s="23" t="str">
        <f aca="false">IF(B144="","",Office_Log!ED144&amp;"")</f>
        <v/>
      </c>
      <c r="E144" s="23" t="str">
        <f aca="false">IF(B144="","",IF(Office_Log!B144="","",Office_Log!B144&amp;""))</f>
        <v/>
      </c>
      <c r="F144" s="23" t="str">
        <f aca="false">IF(B144="","","conversation")</f>
        <v/>
      </c>
      <c r="G144" s="23" t="str">
        <f aca="false">IF(B144="","","")</f>
        <v/>
      </c>
      <c r="H144" s="23" t="str">
        <f aca="false">IF(B144="","","")</f>
        <v/>
      </c>
      <c r="I144" s="23" t="str">
        <f aca="false">IF(B144="","","")</f>
        <v/>
      </c>
      <c r="J144" s="23" t="str">
        <f aca="false">IF(B144="","",IF(Office_Log!I144="","",Office_Log!I144&amp;""))</f>
        <v/>
      </c>
      <c r="K144" s="32" t="s">
        <v>1352</v>
      </c>
    </row>
    <row r="145" customFormat="false" ht="15" hidden="false" customHeight="false" outlineLevel="0" collapsed="false">
      <c r="A145" s="23" t="str">
        <f aca="false">IF(B145="","",B145+(1*1000+144)/10000000)</f>
        <v/>
      </c>
      <c r="B145" s="35" t="str">
        <f aca="false">IF(Office_Log!BB145=1,Office_Log!H145,"")</f>
        <v/>
      </c>
      <c r="C145" s="23" t="str">
        <f aca="false">IF(B145="","","office")</f>
        <v/>
      </c>
      <c r="D145" s="23" t="str">
        <f aca="false">IF(B145="","",Office_Log!ED145&amp;"")</f>
        <v/>
      </c>
      <c r="E145" s="23" t="str">
        <f aca="false">IF(B145="","",IF(Office_Log!B145="","",Office_Log!B145&amp;""))</f>
        <v/>
      </c>
      <c r="F145" s="23" t="str">
        <f aca="false">IF(B145="","","conversation")</f>
        <v/>
      </c>
      <c r="G145" s="23" t="str">
        <f aca="false">IF(B145="","","")</f>
        <v/>
      </c>
      <c r="H145" s="23" t="str">
        <f aca="false">IF(B145="","","")</f>
        <v/>
      </c>
      <c r="I145" s="23" t="str">
        <f aca="false">IF(B145="","","")</f>
        <v/>
      </c>
      <c r="J145" s="23" t="str">
        <f aca="false">IF(B145="","",IF(Office_Log!I145="","",Office_Log!I145&amp;""))</f>
        <v/>
      </c>
      <c r="K145" s="32" t="s">
        <v>1352</v>
      </c>
    </row>
    <row r="146" customFormat="false" ht="15" hidden="false" customHeight="false" outlineLevel="0" collapsed="false">
      <c r="A146" s="23" t="str">
        <f aca="false">IF(B146="","",B146+(1*1000+145)/10000000)</f>
        <v/>
      </c>
      <c r="B146" s="35" t="str">
        <f aca="false">IF(Office_Log!BB146=1,Office_Log!H146,"")</f>
        <v/>
      </c>
      <c r="C146" s="23" t="str">
        <f aca="false">IF(B146="","","office")</f>
        <v/>
      </c>
      <c r="D146" s="23" t="str">
        <f aca="false">IF(B146="","",Office_Log!ED146&amp;"")</f>
        <v/>
      </c>
      <c r="E146" s="23" t="str">
        <f aca="false">IF(B146="","",IF(Office_Log!B146="","",Office_Log!B146&amp;""))</f>
        <v/>
      </c>
      <c r="F146" s="23" t="str">
        <f aca="false">IF(B146="","","conversation")</f>
        <v/>
      </c>
      <c r="G146" s="23" t="str">
        <f aca="false">IF(B146="","","")</f>
        <v/>
      </c>
      <c r="H146" s="23" t="str">
        <f aca="false">IF(B146="","","")</f>
        <v/>
      </c>
      <c r="I146" s="23" t="str">
        <f aca="false">IF(B146="","","")</f>
        <v/>
      </c>
      <c r="J146" s="23" t="str">
        <f aca="false">IF(B146="","",IF(Office_Log!I146="","",Office_Log!I146&amp;""))</f>
        <v/>
      </c>
      <c r="K146" s="32" t="s">
        <v>1352</v>
      </c>
    </row>
    <row r="147" customFormat="false" ht="15" hidden="false" customHeight="false" outlineLevel="0" collapsed="false">
      <c r="A147" s="23" t="str">
        <f aca="false">IF(B147="","",B147+(1*1000+146)/10000000)</f>
        <v/>
      </c>
      <c r="B147" s="35" t="str">
        <f aca="false">IF(Office_Log!BB147=1,Office_Log!H147,"")</f>
        <v/>
      </c>
      <c r="C147" s="23" t="str">
        <f aca="false">IF(B147="","","office")</f>
        <v/>
      </c>
      <c r="D147" s="23" t="str">
        <f aca="false">IF(B147="","",Office_Log!ED147&amp;"")</f>
        <v/>
      </c>
      <c r="E147" s="23" t="str">
        <f aca="false">IF(B147="","",IF(Office_Log!B147="","",Office_Log!B147&amp;""))</f>
        <v/>
      </c>
      <c r="F147" s="23" t="str">
        <f aca="false">IF(B147="","","conversation")</f>
        <v/>
      </c>
      <c r="G147" s="23" t="str">
        <f aca="false">IF(B147="","","")</f>
        <v/>
      </c>
      <c r="H147" s="23" t="str">
        <f aca="false">IF(B147="","","")</f>
        <v/>
      </c>
      <c r="I147" s="23" t="str">
        <f aca="false">IF(B147="","","")</f>
        <v/>
      </c>
      <c r="J147" s="23" t="str">
        <f aca="false">IF(B147="","",IF(Office_Log!I147="","",Office_Log!I147&amp;""))</f>
        <v/>
      </c>
      <c r="K147" s="32" t="s">
        <v>1352</v>
      </c>
    </row>
    <row r="148" customFormat="false" ht="15" hidden="false" customHeight="false" outlineLevel="0" collapsed="false">
      <c r="A148" s="23" t="str">
        <f aca="false">IF(B148="","",B148+(1*1000+147)/10000000)</f>
        <v/>
      </c>
      <c r="B148" s="35" t="str">
        <f aca="false">IF(Office_Log!BB148=1,Office_Log!H148,"")</f>
        <v/>
      </c>
      <c r="C148" s="23" t="str">
        <f aca="false">IF(B148="","","office")</f>
        <v/>
      </c>
      <c r="D148" s="23" t="str">
        <f aca="false">IF(B148="","",Office_Log!ED148&amp;"")</f>
        <v/>
      </c>
      <c r="E148" s="23" t="str">
        <f aca="false">IF(B148="","",IF(Office_Log!B148="","",Office_Log!B148&amp;""))</f>
        <v/>
      </c>
      <c r="F148" s="23" t="str">
        <f aca="false">IF(B148="","","conversation")</f>
        <v/>
      </c>
      <c r="G148" s="23" t="str">
        <f aca="false">IF(B148="","","")</f>
        <v/>
      </c>
      <c r="H148" s="23" t="str">
        <f aca="false">IF(B148="","","")</f>
        <v/>
      </c>
      <c r="I148" s="23" t="str">
        <f aca="false">IF(B148="","","")</f>
        <v/>
      </c>
      <c r="J148" s="23" t="str">
        <f aca="false">IF(B148="","",IF(Office_Log!I148="","",Office_Log!I148&amp;""))</f>
        <v/>
      </c>
      <c r="K148" s="32" t="s">
        <v>1352</v>
      </c>
    </row>
    <row r="149" customFormat="false" ht="15" hidden="false" customHeight="false" outlineLevel="0" collapsed="false">
      <c r="A149" s="23" t="str">
        <f aca="false">IF(B149="","",B149+(1*1000+148)/10000000)</f>
        <v/>
      </c>
      <c r="B149" s="35" t="str">
        <f aca="false">IF(Office_Log!BB149=1,Office_Log!H149,"")</f>
        <v/>
      </c>
      <c r="C149" s="23" t="str">
        <f aca="false">IF(B149="","","office")</f>
        <v/>
      </c>
      <c r="D149" s="23" t="str">
        <f aca="false">IF(B149="","",Office_Log!ED149&amp;"")</f>
        <v/>
      </c>
      <c r="E149" s="23" t="str">
        <f aca="false">IF(B149="","",IF(Office_Log!B149="","",Office_Log!B149&amp;""))</f>
        <v/>
      </c>
      <c r="F149" s="23" t="str">
        <f aca="false">IF(B149="","","conversation")</f>
        <v/>
      </c>
      <c r="G149" s="23" t="str">
        <f aca="false">IF(B149="","","")</f>
        <v/>
      </c>
      <c r="H149" s="23" t="str">
        <f aca="false">IF(B149="","","")</f>
        <v/>
      </c>
      <c r="I149" s="23" t="str">
        <f aca="false">IF(B149="","","")</f>
        <v/>
      </c>
      <c r="J149" s="23" t="str">
        <f aca="false">IF(B149="","",IF(Office_Log!I149="","",Office_Log!I149&amp;""))</f>
        <v/>
      </c>
      <c r="K149" s="32" t="s">
        <v>1352</v>
      </c>
    </row>
    <row r="150" customFormat="false" ht="15" hidden="false" customHeight="false" outlineLevel="0" collapsed="false">
      <c r="A150" s="23" t="str">
        <f aca="false">IF(B150="","",B150+(1*1000+149)/10000000)</f>
        <v/>
      </c>
      <c r="B150" s="35" t="str">
        <f aca="false">IF(Office_Log!BB150=1,Office_Log!H150,"")</f>
        <v/>
      </c>
      <c r="C150" s="23" t="str">
        <f aca="false">IF(B150="","","office")</f>
        <v/>
      </c>
      <c r="D150" s="23" t="str">
        <f aca="false">IF(B150="","",Office_Log!ED150&amp;"")</f>
        <v/>
      </c>
      <c r="E150" s="23" t="str">
        <f aca="false">IF(B150="","",IF(Office_Log!B150="","",Office_Log!B150&amp;""))</f>
        <v/>
      </c>
      <c r="F150" s="23" t="str">
        <f aca="false">IF(B150="","","conversation")</f>
        <v/>
      </c>
      <c r="G150" s="23" t="str">
        <f aca="false">IF(B150="","","")</f>
        <v/>
      </c>
      <c r="H150" s="23" t="str">
        <f aca="false">IF(B150="","","")</f>
        <v/>
      </c>
      <c r="I150" s="23" t="str">
        <f aca="false">IF(B150="","","")</f>
        <v/>
      </c>
      <c r="J150" s="23" t="str">
        <f aca="false">IF(B150="","",IF(Office_Log!I150="","",Office_Log!I150&amp;""))</f>
        <v/>
      </c>
      <c r="K150" s="32" t="s">
        <v>1352</v>
      </c>
    </row>
    <row r="151" customFormat="false" ht="15" hidden="false" customHeight="false" outlineLevel="0" collapsed="false">
      <c r="A151" s="23" t="str">
        <f aca="false">IF(B151="","",B151+(1*1000+150)/10000000)</f>
        <v/>
      </c>
      <c r="B151" s="35" t="str">
        <f aca="false">IF(Office_Log!BB151=1,Office_Log!H151,"")</f>
        <v/>
      </c>
      <c r="C151" s="23" t="str">
        <f aca="false">IF(B151="","","office")</f>
        <v/>
      </c>
      <c r="D151" s="23" t="str">
        <f aca="false">IF(B151="","",Office_Log!ED151&amp;"")</f>
        <v/>
      </c>
      <c r="E151" s="23" t="str">
        <f aca="false">IF(B151="","",IF(Office_Log!B151="","",Office_Log!B151&amp;""))</f>
        <v/>
      </c>
      <c r="F151" s="23" t="str">
        <f aca="false">IF(B151="","","conversation")</f>
        <v/>
      </c>
      <c r="G151" s="23" t="str">
        <f aca="false">IF(B151="","","")</f>
        <v/>
      </c>
      <c r="H151" s="23" t="str">
        <f aca="false">IF(B151="","","")</f>
        <v/>
      </c>
      <c r="I151" s="23" t="str">
        <f aca="false">IF(B151="","","")</f>
        <v/>
      </c>
      <c r="J151" s="23" t="str">
        <f aca="false">IF(B151="","",IF(Office_Log!I151="","",Office_Log!I151&amp;""))</f>
        <v/>
      </c>
      <c r="K151" s="32" t="s">
        <v>1352</v>
      </c>
    </row>
    <row r="152" customFormat="false" ht="15" hidden="false" customHeight="false" outlineLevel="0" collapsed="false">
      <c r="A152" s="23" t="str">
        <f aca="false">IF(B152="","",B152+(1*1000+151)/10000000)</f>
        <v/>
      </c>
      <c r="B152" s="35" t="str">
        <f aca="false">IF(Office_Log!BB152=1,Office_Log!H152,"")</f>
        <v/>
      </c>
      <c r="C152" s="23" t="str">
        <f aca="false">IF(B152="","","office")</f>
        <v/>
      </c>
      <c r="D152" s="23" t="str">
        <f aca="false">IF(B152="","",Office_Log!ED152&amp;"")</f>
        <v/>
      </c>
      <c r="E152" s="23" t="str">
        <f aca="false">IF(B152="","",IF(Office_Log!B152="","",Office_Log!B152&amp;""))</f>
        <v/>
      </c>
      <c r="F152" s="23" t="str">
        <f aca="false">IF(B152="","","conversation")</f>
        <v/>
      </c>
      <c r="G152" s="23" t="str">
        <f aca="false">IF(B152="","","")</f>
        <v/>
      </c>
      <c r="H152" s="23" t="str">
        <f aca="false">IF(B152="","","")</f>
        <v/>
      </c>
      <c r="I152" s="23" t="str">
        <f aca="false">IF(B152="","","")</f>
        <v/>
      </c>
      <c r="J152" s="23" t="str">
        <f aca="false">IF(B152="","",IF(Office_Log!I152="","",Office_Log!I152&amp;""))</f>
        <v/>
      </c>
      <c r="K152" s="32" t="s">
        <v>1352</v>
      </c>
    </row>
    <row r="153" customFormat="false" ht="15" hidden="false" customHeight="false" outlineLevel="0" collapsed="false">
      <c r="A153" s="23" t="str">
        <f aca="false">IF(B153="","",B153+(1*1000+152)/10000000)</f>
        <v/>
      </c>
      <c r="B153" s="35" t="str">
        <f aca="false">IF(Office_Log!BB153=1,Office_Log!H153,"")</f>
        <v/>
      </c>
      <c r="C153" s="23" t="str">
        <f aca="false">IF(B153="","","office")</f>
        <v/>
      </c>
      <c r="D153" s="23" t="str">
        <f aca="false">IF(B153="","",Office_Log!ED153&amp;"")</f>
        <v/>
      </c>
      <c r="E153" s="23" t="str">
        <f aca="false">IF(B153="","",IF(Office_Log!B153="","",Office_Log!B153&amp;""))</f>
        <v/>
      </c>
      <c r="F153" s="23" t="str">
        <f aca="false">IF(B153="","","conversation")</f>
        <v/>
      </c>
      <c r="G153" s="23" t="str">
        <f aca="false">IF(B153="","","")</f>
        <v/>
      </c>
      <c r="H153" s="23" t="str">
        <f aca="false">IF(B153="","","")</f>
        <v/>
      </c>
      <c r="I153" s="23" t="str">
        <f aca="false">IF(B153="","","")</f>
        <v/>
      </c>
      <c r="J153" s="23" t="str">
        <f aca="false">IF(B153="","",IF(Office_Log!I153="","",Office_Log!I153&amp;""))</f>
        <v/>
      </c>
      <c r="K153" s="32" t="s">
        <v>1352</v>
      </c>
    </row>
    <row r="154" customFormat="false" ht="15" hidden="false" customHeight="false" outlineLevel="0" collapsed="false">
      <c r="A154" s="23" t="str">
        <f aca="false">IF(B154="","",B154+(1*1000+153)/10000000)</f>
        <v/>
      </c>
      <c r="B154" s="35" t="str">
        <f aca="false">IF(Office_Log!BB154=1,Office_Log!H154,"")</f>
        <v/>
      </c>
      <c r="C154" s="23" t="str">
        <f aca="false">IF(B154="","","office")</f>
        <v/>
      </c>
      <c r="D154" s="23" t="str">
        <f aca="false">IF(B154="","",Office_Log!ED154&amp;"")</f>
        <v/>
      </c>
      <c r="E154" s="23" t="str">
        <f aca="false">IF(B154="","",IF(Office_Log!B154="","",Office_Log!B154&amp;""))</f>
        <v/>
      </c>
      <c r="F154" s="23" t="str">
        <f aca="false">IF(B154="","","conversation")</f>
        <v/>
      </c>
      <c r="G154" s="23" t="str">
        <f aca="false">IF(B154="","","")</f>
        <v/>
      </c>
      <c r="H154" s="23" t="str">
        <f aca="false">IF(B154="","","")</f>
        <v/>
      </c>
      <c r="I154" s="23" t="str">
        <f aca="false">IF(B154="","","")</f>
        <v/>
      </c>
      <c r="J154" s="23" t="str">
        <f aca="false">IF(B154="","",IF(Office_Log!I154="","",Office_Log!I154&amp;""))</f>
        <v/>
      </c>
      <c r="K154" s="32" t="s">
        <v>1352</v>
      </c>
    </row>
    <row r="155" customFormat="false" ht="15" hidden="false" customHeight="false" outlineLevel="0" collapsed="false">
      <c r="A155" s="23" t="str">
        <f aca="false">IF(B155="","",B155+(1*1000+154)/10000000)</f>
        <v/>
      </c>
      <c r="B155" s="35" t="str">
        <f aca="false">IF(Office_Log!BB155=1,Office_Log!H155,"")</f>
        <v/>
      </c>
      <c r="C155" s="23" t="str">
        <f aca="false">IF(B155="","","office")</f>
        <v/>
      </c>
      <c r="D155" s="23" t="str">
        <f aca="false">IF(B155="","",Office_Log!ED155&amp;"")</f>
        <v/>
      </c>
      <c r="E155" s="23" t="str">
        <f aca="false">IF(B155="","",IF(Office_Log!B155="","",Office_Log!B155&amp;""))</f>
        <v/>
      </c>
      <c r="F155" s="23" t="str">
        <f aca="false">IF(B155="","","conversation")</f>
        <v/>
      </c>
      <c r="G155" s="23" t="str">
        <f aca="false">IF(B155="","","")</f>
        <v/>
      </c>
      <c r="H155" s="23" t="str">
        <f aca="false">IF(B155="","","")</f>
        <v/>
      </c>
      <c r="I155" s="23" t="str">
        <f aca="false">IF(B155="","","")</f>
        <v/>
      </c>
      <c r="J155" s="23" t="str">
        <f aca="false">IF(B155="","",IF(Office_Log!I155="","",Office_Log!I155&amp;""))</f>
        <v/>
      </c>
      <c r="K155" s="32" t="s">
        <v>1352</v>
      </c>
    </row>
    <row r="156" customFormat="false" ht="15" hidden="false" customHeight="false" outlineLevel="0" collapsed="false">
      <c r="A156" s="23" t="str">
        <f aca="false">IF(B156="","",B156+(1*1000+155)/10000000)</f>
        <v/>
      </c>
      <c r="B156" s="35" t="str">
        <f aca="false">IF(Office_Log!BB156=1,Office_Log!H156,"")</f>
        <v/>
      </c>
      <c r="C156" s="23" t="str">
        <f aca="false">IF(B156="","","office")</f>
        <v/>
      </c>
      <c r="D156" s="23" t="str">
        <f aca="false">IF(B156="","",Office_Log!ED156&amp;"")</f>
        <v/>
      </c>
      <c r="E156" s="23" t="str">
        <f aca="false">IF(B156="","",IF(Office_Log!B156="","",Office_Log!B156&amp;""))</f>
        <v/>
      </c>
      <c r="F156" s="23" t="str">
        <f aca="false">IF(B156="","","conversation")</f>
        <v/>
      </c>
      <c r="G156" s="23" t="str">
        <f aca="false">IF(B156="","","")</f>
        <v/>
      </c>
      <c r="H156" s="23" t="str">
        <f aca="false">IF(B156="","","")</f>
        <v/>
      </c>
      <c r="I156" s="23" t="str">
        <f aca="false">IF(B156="","","")</f>
        <v/>
      </c>
      <c r="J156" s="23" t="str">
        <f aca="false">IF(B156="","",IF(Office_Log!I156="","",Office_Log!I156&amp;""))</f>
        <v/>
      </c>
      <c r="K156" s="32" t="s">
        <v>1352</v>
      </c>
    </row>
    <row r="157" customFormat="false" ht="15" hidden="false" customHeight="false" outlineLevel="0" collapsed="false">
      <c r="A157" s="23" t="str">
        <f aca="false">IF(B157="","",B157+(1*1000+156)/10000000)</f>
        <v/>
      </c>
      <c r="B157" s="35" t="str">
        <f aca="false">IF(Office_Log!BB157=1,Office_Log!H157,"")</f>
        <v/>
      </c>
      <c r="C157" s="23" t="str">
        <f aca="false">IF(B157="","","office")</f>
        <v/>
      </c>
      <c r="D157" s="23" t="str">
        <f aca="false">IF(B157="","",Office_Log!ED157&amp;"")</f>
        <v/>
      </c>
      <c r="E157" s="23" t="str">
        <f aca="false">IF(B157="","",IF(Office_Log!B157="","",Office_Log!B157&amp;""))</f>
        <v/>
      </c>
      <c r="F157" s="23" t="str">
        <f aca="false">IF(B157="","","conversation")</f>
        <v/>
      </c>
      <c r="G157" s="23" t="str">
        <f aca="false">IF(B157="","","")</f>
        <v/>
      </c>
      <c r="H157" s="23" t="str">
        <f aca="false">IF(B157="","","")</f>
        <v/>
      </c>
      <c r="I157" s="23" t="str">
        <f aca="false">IF(B157="","","")</f>
        <v/>
      </c>
      <c r="J157" s="23" t="str">
        <f aca="false">IF(B157="","",IF(Office_Log!I157="","",Office_Log!I157&amp;""))</f>
        <v/>
      </c>
      <c r="K157" s="32" t="s">
        <v>1352</v>
      </c>
    </row>
    <row r="158" customFormat="false" ht="15" hidden="false" customHeight="false" outlineLevel="0" collapsed="false">
      <c r="A158" s="23" t="str">
        <f aca="false">IF(B158="","",B158+(1*1000+157)/10000000)</f>
        <v/>
      </c>
      <c r="B158" s="35" t="str">
        <f aca="false">IF(Office_Log!BB158=1,Office_Log!H158,"")</f>
        <v/>
      </c>
      <c r="C158" s="23" t="str">
        <f aca="false">IF(B158="","","office")</f>
        <v/>
      </c>
      <c r="D158" s="23" t="str">
        <f aca="false">IF(B158="","",Office_Log!ED158&amp;"")</f>
        <v/>
      </c>
      <c r="E158" s="23" t="str">
        <f aca="false">IF(B158="","",IF(Office_Log!B158="","",Office_Log!B158&amp;""))</f>
        <v/>
      </c>
      <c r="F158" s="23" t="str">
        <f aca="false">IF(B158="","","conversation")</f>
        <v/>
      </c>
      <c r="G158" s="23" t="str">
        <f aca="false">IF(B158="","","")</f>
        <v/>
      </c>
      <c r="H158" s="23" t="str">
        <f aca="false">IF(B158="","","")</f>
        <v/>
      </c>
      <c r="I158" s="23" t="str">
        <f aca="false">IF(B158="","","")</f>
        <v/>
      </c>
      <c r="J158" s="23" t="str">
        <f aca="false">IF(B158="","",IF(Office_Log!I158="","",Office_Log!I158&amp;""))</f>
        <v/>
      </c>
      <c r="K158" s="32" t="s">
        <v>1352</v>
      </c>
    </row>
    <row r="159" customFormat="false" ht="15" hidden="false" customHeight="false" outlineLevel="0" collapsed="false">
      <c r="A159" s="23" t="str">
        <f aca="false">IF(B159="","",B159+(1*1000+158)/10000000)</f>
        <v/>
      </c>
      <c r="B159" s="35" t="str">
        <f aca="false">IF(Office_Log!BB159=1,Office_Log!H159,"")</f>
        <v/>
      </c>
      <c r="C159" s="23" t="str">
        <f aca="false">IF(B159="","","office")</f>
        <v/>
      </c>
      <c r="D159" s="23" t="str">
        <f aca="false">IF(B159="","",Office_Log!ED159&amp;"")</f>
        <v/>
      </c>
      <c r="E159" s="23" t="str">
        <f aca="false">IF(B159="","",IF(Office_Log!B159="","",Office_Log!B159&amp;""))</f>
        <v/>
      </c>
      <c r="F159" s="23" t="str">
        <f aca="false">IF(B159="","","conversation")</f>
        <v/>
      </c>
      <c r="G159" s="23" t="str">
        <f aca="false">IF(B159="","","")</f>
        <v/>
      </c>
      <c r="H159" s="23" t="str">
        <f aca="false">IF(B159="","","")</f>
        <v/>
      </c>
      <c r="I159" s="23" t="str">
        <f aca="false">IF(B159="","","")</f>
        <v/>
      </c>
      <c r="J159" s="23" t="str">
        <f aca="false">IF(B159="","",IF(Office_Log!I159="","",Office_Log!I159&amp;""))</f>
        <v/>
      </c>
      <c r="K159" s="32" t="s">
        <v>1352</v>
      </c>
    </row>
    <row r="160" customFormat="false" ht="15" hidden="false" customHeight="false" outlineLevel="0" collapsed="false">
      <c r="A160" s="23" t="str">
        <f aca="false">IF(B160="","",B160+(1*1000+159)/10000000)</f>
        <v/>
      </c>
      <c r="B160" s="35" t="str">
        <f aca="false">IF(Office_Log!BB160=1,Office_Log!H160,"")</f>
        <v/>
      </c>
      <c r="C160" s="23" t="str">
        <f aca="false">IF(B160="","","office")</f>
        <v/>
      </c>
      <c r="D160" s="23" t="str">
        <f aca="false">IF(B160="","",Office_Log!ED160&amp;"")</f>
        <v/>
      </c>
      <c r="E160" s="23" t="str">
        <f aca="false">IF(B160="","",IF(Office_Log!B160="","",Office_Log!B160&amp;""))</f>
        <v/>
      </c>
      <c r="F160" s="23" t="str">
        <f aca="false">IF(B160="","","conversation")</f>
        <v/>
      </c>
      <c r="G160" s="23" t="str">
        <f aca="false">IF(B160="","","")</f>
        <v/>
      </c>
      <c r="H160" s="23" t="str">
        <f aca="false">IF(B160="","","")</f>
        <v/>
      </c>
      <c r="I160" s="23" t="str">
        <f aca="false">IF(B160="","","")</f>
        <v/>
      </c>
      <c r="J160" s="23" t="str">
        <f aca="false">IF(B160="","",IF(Office_Log!I160="","",Office_Log!I160&amp;""))</f>
        <v/>
      </c>
      <c r="K160" s="32" t="s">
        <v>1352</v>
      </c>
    </row>
    <row r="161" customFormat="false" ht="15" hidden="false" customHeight="false" outlineLevel="0" collapsed="false">
      <c r="A161" s="23" t="str">
        <f aca="false">IF(B161="","",B161+(1*1000+160)/10000000)</f>
        <v/>
      </c>
      <c r="B161" s="35" t="str">
        <f aca="false">IF(Office_Log!BB161=1,Office_Log!H161,"")</f>
        <v/>
      </c>
      <c r="C161" s="23" t="str">
        <f aca="false">IF(B161="","","office")</f>
        <v/>
      </c>
      <c r="D161" s="23" t="str">
        <f aca="false">IF(B161="","",Office_Log!ED161&amp;"")</f>
        <v/>
      </c>
      <c r="E161" s="23" t="str">
        <f aca="false">IF(B161="","",IF(Office_Log!B161="","",Office_Log!B161&amp;""))</f>
        <v/>
      </c>
      <c r="F161" s="23" t="str">
        <f aca="false">IF(B161="","","conversation")</f>
        <v/>
      </c>
      <c r="G161" s="23" t="str">
        <f aca="false">IF(B161="","","")</f>
        <v/>
      </c>
      <c r="H161" s="23" t="str">
        <f aca="false">IF(B161="","","")</f>
        <v/>
      </c>
      <c r="I161" s="23" t="str">
        <f aca="false">IF(B161="","","")</f>
        <v/>
      </c>
      <c r="J161" s="23" t="str">
        <f aca="false">IF(B161="","",IF(Office_Log!I161="","",Office_Log!I161&amp;""))</f>
        <v/>
      </c>
      <c r="K161" s="32" t="s">
        <v>1352</v>
      </c>
    </row>
    <row r="162" customFormat="false" ht="15" hidden="false" customHeight="false" outlineLevel="0" collapsed="false">
      <c r="A162" s="23" t="str">
        <f aca="false">IF(B162="","",B162+(1*1000+161)/10000000)</f>
        <v/>
      </c>
      <c r="B162" s="35" t="str">
        <f aca="false">IF(Office_Log!BB162=1,Office_Log!H162,"")</f>
        <v/>
      </c>
      <c r="C162" s="23" t="str">
        <f aca="false">IF(B162="","","office")</f>
        <v/>
      </c>
      <c r="D162" s="23" t="str">
        <f aca="false">IF(B162="","",Office_Log!ED162&amp;"")</f>
        <v/>
      </c>
      <c r="E162" s="23" t="str">
        <f aca="false">IF(B162="","",IF(Office_Log!B162="","",Office_Log!B162&amp;""))</f>
        <v/>
      </c>
      <c r="F162" s="23" t="str">
        <f aca="false">IF(B162="","","conversation")</f>
        <v/>
      </c>
      <c r="G162" s="23" t="str">
        <f aca="false">IF(B162="","","")</f>
        <v/>
      </c>
      <c r="H162" s="23" t="str">
        <f aca="false">IF(B162="","","")</f>
        <v/>
      </c>
      <c r="I162" s="23" t="str">
        <f aca="false">IF(B162="","","")</f>
        <v/>
      </c>
      <c r="J162" s="23" t="str">
        <f aca="false">IF(B162="","",IF(Office_Log!I162="","",Office_Log!I162&amp;""))</f>
        <v/>
      </c>
      <c r="K162" s="32" t="s">
        <v>1352</v>
      </c>
    </row>
    <row r="163" customFormat="false" ht="15" hidden="false" customHeight="false" outlineLevel="0" collapsed="false">
      <c r="A163" s="23" t="str">
        <f aca="false">IF(B163="","",B163+(1*1000+162)/10000000)</f>
        <v/>
      </c>
      <c r="B163" s="35" t="str">
        <f aca="false">IF(Office_Log!BB163=1,Office_Log!H163,"")</f>
        <v/>
      </c>
      <c r="C163" s="23" t="str">
        <f aca="false">IF(B163="","","office")</f>
        <v/>
      </c>
      <c r="D163" s="23" t="str">
        <f aca="false">IF(B163="","",Office_Log!ED163&amp;"")</f>
        <v/>
      </c>
      <c r="E163" s="23" t="str">
        <f aca="false">IF(B163="","",IF(Office_Log!B163="","",Office_Log!B163&amp;""))</f>
        <v/>
      </c>
      <c r="F163" s="23" t="str">
        <f aca="false">IF(B163="","","conversation")</f>
        <v/>
      </c>
      <c r="G163" s="23" t="str">
        <f aca="false">IF(B163="","","")</f>
        <v/>
      </c>
      <c r="H163" s="23" t="str">
        <f aca="false">IF(B163="","","")</f>
        <v/>
      </c>
      <c r="I163" s="23" t="str">
        <f aca="false">IF(B163="","","")</f>
        <v/>
      </c>
      <c r="J163" s="23" t="str">
        <f aca="false">IF(B163="","",IF(Office_Log!I163="","",Office_Log!I163&amp;""))</f>
        <v/>
      </c>
      <c r="K163" s="32" t="s">
        <v>1352</v>
      </c>
    </row>
    <row r="164" customFormat="false" ht="15" hidden="false" customHeight="false" outlineLevel="0" collapsed="false">
      <c r="A164" s="23" t="str">
        <f aca="false">IF(B164="","",B164+(1*1000+163)/10000000)</f>
        <v/>
      </c>
      <c r="B164" s="35" t="str">
        <f aca="false">IF(Office_Log!BB164=1,Office_Log!H164,"")</f>
        <v/>
      </c>
      <c r="C164" s="23" t="str">
        <f aca="false">IF(B164="","","office")</f>
        <v/>
      </c>
      <c r="D164" s="23" t="str">
        <f aca="false">IF(B164="","",Office_Log!ED164&amp;"")</f>
        <v/>
      </c>
      <c r="E164" s="23" t="str">
        <f aca="false">IF(B164="","",IF(Office_Log!B164="","",Office_Log!B164&amp;""))</f>
        <v/>
      </c>
      <c r="F164" s="23" t="str">
        <f aca="false">IF(B164="","","conversation")</f>
        <v/>
      </c>
      <c r="G164" s="23" t="str">
        <f aca="false">IF(B164="","","")</f>
        <v/>
      </c>
      <c r="H164" s="23" t="str">
        <f aca="false">IF(B164="","","")</f>
        <v/>
      </c>
      <c r="I164" s="23" t="str">
        <f aca="false">IF(B164="","","")</f>
        <v/>
      </c>
      <c r="J164" s="23" t="str">
        <f aca="false">IF(B164="","",IF(Office_Log!I164="","",Office_Log!I164&amp;""))</f>
        <v/>
      </c>
      <c r="K164" s="32" t="s">
        <v>1352</v>
      </c>
    </row>
    <row r="165" customFormat="false" ht="15" hidden="false" customHeight="false" outlineLevel="0" collapsed="false">
      <c r="A165" s="23" t="str">
        <f aca="false">IF(B165="","",B165+(1*1000+164)/10000000)</f>
        <v/>
      </c>
      <c r="B165" s="35" t="str">
        <f aca="false">IF(Office_Log!BB165=1,Office_Log!H165,"")</f>
        <v/>
      </c>
      <c r="C165" s="23" t="str">
        <f aca="false">IF(B165="","","office")</f>
        <v/>
      </c>
      <c r="D165" s="23" t="str">
        <f aca="false">IF(B165="","",Office_Log!ED165&amp;"")</f>
        <v/>
      </c>
      <c r="E165" s="23" t="str">
        <f aca="false">IF(B165="","",IF(Office_Log!B165="","",Office_Log!B165&amp;""))</f>
        <v/>
      </c>
      <c r="F165" s="23" t="str">
        <f aca="false">IF(B165="","","conversation")</f>
        <v/>
      </c>
      <c r="G165" s="23" t="str">
        <f aca="false">IF(B165="","","")</f>
        <v/>
      </c>
      <c r="H165" s="23" t="str">
        <f aca="false">IF(B165="","","")</f>
        <v/>
      </c>
      <c r="I165" s="23" t="str">
        <f aca="false">IF(B165="","","")</f>
        <v/>
      </c>
      <c r="J165" s="23" t="str">
        <f aca="false">IF(B165="","",IF(Office_Log!I165="","",Office_Log!I165&amp;""))</f>
        <v/>
      </c>
      <c r="K165" s="32" t="s">
        <v>1352</v>
      </c>
    </row>
    <row r="166" customFormat="false" ht="15" hidden="false" customHeight="false" outlineLevel="0" collapsed="false">
      <c r="A166" s="23" t="str">
        <f aca="false">IF(B166="","",B166+(1*1000+165)/10000000)</f>
        <v/>
      </c>
      <c r="B166" s="35" t="str">
        <f aca="false">IF(Office_Log!BB166=1,Office_Log!H166,"")</f>
        <v/>
      </c>
      <c r="C166" s="23" t="str">
        <f aca="false">IF(B166="","","office")</f>
        <v/>
      </c>
      <c r="D166" s="23" t="str">
        <f aca="false">IF(B166="","",Office_Log!ED166&amp;"")</f>
        <v/>
      </c>
      <c r="E166" s="23" t="str">
        <f aca="false">IF(B166="","",IF(Office_Log!B166="","",Office_Log!B166&amp;""))</f>
        <v/>
      </c>
      <c r="F166" s="23" t="str">
        <f aca="false">IF(B166="","","conversation")</f>
        <v/>
      </c>
      <c r="G166" s="23" t="str">
        <f aca="false">IF(B166="","","")</f>
        <v/>
      </c>
      <c r="H166" s="23" t="str">
        <f aca="false">IF(B166="","","")</f>
        <v/>
      </c>
      <c r="I166" s="23" t="str">
        <f aca="false">IF(B166="","","")</f>
        <v/>
      </c>
      <c r="J166" s="23" t="str">
        <f aca="false">IF(B166="","",IF(Office_Log!I166="","",Office_Log!I166&amp;""))</f>
        <v/>
      </c>
      <c r="K166" s="32" t="s">
        <v>1352</v>
      </c>
    </row>
    <row r="167" customFormat="false" ht="15" hidden="false" customHeight="false" outlineLevel="0" collapsed="false">
      <c r="A167" s="23" t="str">
        <f aca="false">IF(B167="","",B167+(1*1000+166)/10000000)</f>
        <v/>
      </c>
      <c r="B167" s="35" t="str">
        <f aca="false">IF(Office_Log!BB167=1,Office_Log!H167,"")</f>
        <v/>
      </c>
      <c r="C167" s="23" t="str">
        <f aca="false">IF(B167="","","office")</f>
        <v/>
      </c>
      <c r="D167" s="23" t="str">
        <f aca="false">IF(B167="","",Office_Log!ED167&amp;"")</f>
        <v/>
      </c>
      <c r="E167" s="23" t="str">
        <f aca="false">IF(B167="","",IF(Office_Log!B167="","",Office_Log!B167&amp;""))</f>
        <v/>
      </c>
      <c r="F167" s="23" t="str">
        <f aca="false">IF(B167="","","conversation")</f>
        <v/>
      </c>
      <c r="G167" s="23" t="str">
        <f aca="false">IF(B167="","","")</f>
        <v/>
      </c>
      <c r="H167" s="23" t="str">
        <f aca="false">IF(B167="","","")</f>
        <v/>
      </c>
      <c r="I167" s="23" t="str">
        <f aca="false">IF(B167="","","")</f>
        <v/>
      </c>
      <c r="J167" s="23" t="str">
        <f aca="false">IF(B167="","",IF(Office_Log!I167="","",Office_Log!I167&amp;""))</f>
        <v/>
      </c>
      <c r="K167" s="32" t="s">
        <v>1352</v>
      </c>
    </row>
    <row r="168" customFormat="false" ht="15" hidden="false" customHeight="false" outlineLevel="0" collapsed="false">
      <c r="A168" s="23" t="str">
        <f aca="false">IF(B168="","",B168+(1*1000+167)/10000000)</f>
        <v/>
      </c>
      <c r="B168" s="35" t="str">
        <f aca="false">IF(Office_Log!BB168=1,Office_Log!H168,"")</f>
        <v/>
      </c>
      <c r="C168" s="23" t="str">
        <f aca="false">IF(B168="","","office")</f>
        <v/>
      </c>
      <c r="D168" s="23" t="str">
        <f aca="false">IF(B168="","",Office_Log!ED168&amp;"")</f>
        <v/>
      </c>
      <c r="E168" s="23" t="str">
        <f aca="false">IF(B168="","",IF(Office_Log!B168="","",Office_Log!B168&amp;""))</f>
        <v/>
      </c>
      <c r="F168" s="23" t="str">
        <f aca="false">IF(B168="","","conversation")</f>
        <v/>
      </c>
      <c r="G168" s="23" t="str">
        <f aca="false">IF(B168="","","")</f>
        <v/>
      </c>
      <c r="H168" s="23" t="str">
        <f aca="false">IF(B168="","","")</f>
        <v/>
      </c>
      <c r="I168" s="23" t="str">
        <f aca="false">IF(B168="","","")</f>
        <v/>
      </c>
      <c r="J168" s="23" t="str">
        <f aca="false">IF(B168="","",IF(Office_Log!I168="","",Office_Log!I168&amp;""))</f>
        <v/>
      </c>
      <c r="K168" s="32" t="s">
        <v>1352</v>
      </c>
    </row>
    <row r="169" customFormat="false" ht="15" hidden="false" customHeight="false" outlineLevel="0" collapsed="false">
      <c r="A169" s="23" t="str">
        <f aca="false">IF(B169="","",B169+(1*1000+168)/10000000)</f>
        <v/>
      </c>
      <c r="B169" s="35" t="str">
        <f aca="false">IF(Office_Log!BB169=1,Office_Log!H169,"")</f>
        <v/>
      </c>
      <c r="C169" s="23" t="str">
        <f aca="false">IF(B169="","","office")</f>
        <v/>
      </c>
      <c r="D169" s="23" t="str">
        <f aca="false">IF(B169="","",Office_Log!ED169&amp;"")</f>
        <v/>
      </c>
      <c r="E169" s="23" t="str">
        <f aca="false">IF(B169="","",IF(Office_Log!B169="","",Office_Log!B169&amp;""))</f>
        <v/>
      </c>
      <c r="F169" s="23" t="str">
        <f aca="false">IF(B169="","","conversation")</f>
        <v/>
      </c>
      <c r="G169" s="23" t="str">
        <f aca="false">IF(B169="","","")</f>
        <v/>
      </c>
      <c r="H169" s="23" t="str">
        <f aca="false">IF(B169="","","")</f>
        <v/>
      </c>
      <c r="I169" s="23" t="str">
        <f aca="false">IF(B169="","","")</f>
        <v/>
      </c>
      <c r="J169" s="23" t="str">
        <f aca="false">IF(B169="","",IF(Office_Log!I169="","",Office_Log!I169&amp;""))</f>
        <v/>
      </c>
      <c r="K169" s="32" t="s">
        <v>1352</v>
      </c>
    </row>
    <row r="170" customFormat="false" ht="15" hidden="false" customHeight="false" outlineLevel="0" collapsed="false">
      <c r="A170" s="23" t="str">
        <f aca="false">IF(B170="","",B170+(1*1000+169)/10000000)</f>
        <v/>
      </c>
      <c r="B170" s="35" t="str">
        <f aca="false">IF(Office_Log!BB170=1,Office_Log!H170,"")</f>
        <v/>
      </c>
      <c r="C170" s="23" t="str">
        <f aca="false">IF(B170="","","office")</f>
        <v/>
      </c>
      <c r="D170" s="23" t="str">
        <f aca="false">IF(B170="","",Office_Log!ED170&amp;"")</f>
        <v/>
      </c>
      <c r="E170" s="23" t="str">
        <f aca="false">IF(B170="","",IF(Office_Log!B170="","",Office_Log!B170&amp;""))</f>
        <v/>
      </c>
      <c r="F170" s="23" t="str">
        <f aca="false">IF(B170="","","conversation")</f>
        <v/>
      </c>
      <c r="G170" s="23" t="str">
        <f aca="false">IF(B170="","","")</f>
        <v/>
      </c>
      <c r="H170" s="23" t="str">
        <f aca="false">IF(B170="","","")</f>
        <v/>
      </c>
      <c r="I170" s="23" t="str">
        <f aca="false">IF(B170="","","")</f>
        <v/>
      </c>
      <c r="J170" s="23" t="str">
        <f aca="false">IF(B170="","",IF(Office_Log!I170="","",Office_Log!I170&amp;""))</f>
        <v/>
      </c>
      <c r="K170" s="32" t="s">
        <v>1352</v>
      </c>
    </row>
    <row r="171" customFormat="false" ht="15" hidden="false" customHeight="false" outlineLevel="0" collapsed="false">
      <c r="A171" s="23" t="str">
        <f aca="false">IF(B171="","",B171+(1*1000+170)/10000000)</f>
        <v/>
      </c>
      <c r="B171" s="35" t="str">
        <f aca="false">IF(Office_Log!BB171=1,Office_Log!H171,"")</f>
        <v/>
      </c>
      <c r="C171" s="23" t="str">
        <f aca="false">IF(B171="","","office")</f>
        <v/>
      </c>
      <c r="D171" s="23" t="str">
        <f aca="false">IF(B171="","",Office_Log!ED171&amp;"")</f>
        <v/>
      </c>
      <c r="E171" s="23" t="str">
        <f aca="false">IF(B171="","",IF(Office_Log!B171="","",Office_Log!B171&amp;""))</f>
        <v/>
      </c>
      <c r="F171" s="23" t="str">
        <f aca="false">IF(B171="","","conversation")</f>
        <v/>
      </c>
      <c r="G171" s="23" t="str">
        <f aca="false">IF(B171="","","")</f>
        <v/>
      </c>
      <c r="H171" s="23" t="str">
        <f aca="false">IF(B171="","","")</f>
        <v/>
      </c>
      <c r="I171" s="23" t="str">
        <f aca="false">IF(B171="","","")</f>
        <v/>
      </c>
      <c r="J171" s="23" t="str">
        <f aca="false">IF(B171="","",IF(Office_Log!I171="","",Office_Log!I171&amp;""))</f>
        <v/>
      </c>
      <c r="K171" s="32" t="s">
        <v>1352</v>
      </c>
    </row>
    <row r="172" customFormat="false" ht="15" hidden="false" customHeight="false" outlineLevel="0" collapsed="false">
      <c r="A172" s="23" t="str">
        <f aca="false">IF(B172="","",B172+(1*1000+171)/10000000)</f>
        <v/>
      </c>
      <c r="B172" s="35" t="str">
        <f aca="false">IF(Office_Log!BB172=1,Office_Log!H172,"")</f>
        <v/>
      </c>
      <c r="C172" s="23" t="str">
        <f aca="false">IF(B172="","","office")</f>
        <v/>
      </c>
      <c r="D172" s="23" t="str">
        <f aca="false">IF(B172="","",Office_Log!ED172&amp;"")</f>
        <v/>
      </c>
      <c r="E172" s="23" t="str">
        <f aca="false">IF(B172="","",IF(Office_Log!B172="","",Office_Log!B172&amp;""))</f>
        <v/>
      </c>
      <c r="F172" s="23" t="str">
        <f aca="false">IF(B172="","","conversation")</f>
        <v/>
      </c>
      <c r="G172" s="23" t="str">
        <f aca="false">IF(B172="","","")</f>
        <v/>
      </c>
      <c r="H172" s="23" t="str">
        <f aca="false">IF(B172="","","")</f>
        <v/>
      </c>
      <c r="I172" s="23" t="str">
        <f aca="false">IF(B172="","","")</f>
        <v/>
      </c>
      <c r="J172" s="23" t="str">
        <f aca="false">IF(B172="","",IF(Office_Log!I172="","",Office_Log!I172&amp;""))</f>
        <v/>
      </c>
      <c r="K172" s="32" t="s">
        <v>1352</v>
      </c>
    </row>
    <row r="173" customFormat="false" ht="15" hidden="false" customHeight="false" outlineLevel="0" collapsed="false">
      <c r="A173" s="23" t="str">
        <f aca="false">IF(B173="","",B173+(1*1000+172)/10000000)</f>
        <v/>
      </c>
      <c r="B173" s="35" t="str">
        <f aca="false">IF(Office_Log!BB173=1,Office_Log!H173,"")</f>
        <v/>
      </c>
      <c r="C173" s="23" t="str">
        <f aca="false">IF(B173="","","office")</f>
        <v/>
      </c>
      <c r="D173" s="23" t="str">
        <f aca="false">IF(B173="","",Office_Log!ED173&amp;"")</f>
        <v/>
      </c>
      <c r="E173" s="23" t="str">
        <f aca="false">IF(B173="","",IF(Office_Log!B173="","",Office_Log!B173&amp;""))</f>
        <v/>
      </c>
      <c r="F173" s="23" t="str">
        <f aca="false">IF(B173="","","conversation")</f>
        <v/>
      </c>
      <c r="G173" s="23" t="str">
        <f aca="false">IF(B173="","","")</f>
        <v/>
      </c>
      <c r="H173" s="23" t="str">
        <f aca="false">IF(B173="","","")</f>
        <v/>
      </c>
      <c r="I173" s="23" t="str">
        <f aca="false">IF(B173="","","")</f>
        <v/>
      </c>
      <c r="J173" s="23" t="str">
        <f aca="false">IF(B173="","",IF(Office_Log!I173="","",Office_Log!I173&amp;""))</f>
        <v/>
      </c>
      <c r="K173" s="32" t="s">
        <v>1352</v>
      </c>
    </row>
    <row r="174" customFormat="false" ht="15" hidden="false" customHeight="false" outlineLevel="0" collapsed="false">
      <c r="A174" s="23" t="str">
        <f aca="false">IF(B174="","",B174+(1*1000+173)/10000000)</f>
        <v/>
      </c>
      <c r="B174" s="35" t="str">
        <f aca="false">IF(Office_Log!BB174=1,Office_Log!H174,"")</f>
        <v/>
      </c>
      <c r="C174" s="23" t="str">
        <f aca="false">IF(B174="","","office")</f>
        <v/>
      </c>
      <c r="D174" s="23" t="str">
        <f aca="false">IF(B174="","",Office_Log!ED174&amp;"")</f>
        <v/>
      </c>
      <c r="E174" s="23" t="str">
        <f aca="false">IF(B174="","",IF(Office_Log!B174="","",Office_Log!B174&amp;""))</f>
        <v/>
      </c>
      <c r="F174" s="23" t="str">
        <f aca="false">IF(B174="","","conversation")</f>
        <v/>
      </c>
      <c r="G174" s="23" t="str">
        <f aca="false">IF(B174="","","")</f>
        <v/>
      </c>
      <c r="H174" s="23" t="str">
        <f aca="false">IF(B174="","","")</f>
        <v/>
      </c>
      <c r="I174" s="23" t="str">
        <f aca="false">IF(B174="","","")</f>
        <v/>
      </c>
      <c r="J174" s="23" t="str">
        <f aca="false">IF(B174="","",IF(Office_Log!I174="","",Office_Log!I174&amp;""))</f>
        <v/>
      </c>
      <c r="K174" s="32" t="s">
        <v>1352</v>
      </c>
    </row>
    <row r="175" customFormat="false" ht="15" hidden="false" customHeight="false" outlineLevel="0" collapsed="false">
      <c r="A175" s="23" t="str">
        <f aca="false">IF(B175="","",B175+(1*1000+174)/10000000)</f>
        <v/>
      </c>
      <c r="B175" s="35" t="str">
        <f aca="false">IF(Office_Log!BB175=1,Office_Log!H175,"")</f>
        <v/>
      </c>
      <c r="C175" s="23" t="str">
        <f aca="false">IF(B175="","","office")</f>
        <v/>
      </c>
      <c r="D175" s="23" t="str">
        <f aca="false">IF(B175="","",Office_Log!ED175&amp;"")</f>
        <v/>
      </c>
      <c r="E175" s="23" t="str">
        <f aca="false">IF(B175="","",IF(Office_Log!B175="","",Office_Log!B175&amp;""))</f>
        <v/>
      </c>
      <c r="F175" s="23" t="str">
        <f aca="false">IF(B175="","","conversation")</f>
        <v/>
      </c>
      <c r="G175" s="23" t="str">
        <f aca="false">IF(B175="","","")</f>
        <v/>
      </c>
      <c r="H175" s="23" t="str">
        <f aca="false">IF(B175="","","")</f>
        <v/>
      </c>
      <c r="I175" s="23" t="str">
        <f aca="false">IF(B175="","","")</f>
        <v/>
      </c>
      <c r="J175" s="23" t="str">
        <f aca="false">IF(B175="","",IF(Office_Log!I175="","",Office_Log!I175&amp;""))</f>
        <v/>
      </c>
      <c r="K175" s="32" t="s">
        <v>1352</v>
      </c>
    </row>
    <row r="176" customFormat="false" ht="15" hidden="false" customHeight="false" outlineLevel="0" collapsed="false">
      <c r="A176" s="23" t="str">
        <f aca="false">IF(B176="","",B176+(1*1000+175)/10000000)</f>
        <v/>
      </c>
      <c r="B176" s="35" t="str">
        <f aca="false">IF(Office_Log!BB176=1,Office_Log!H176,"")</f>
        <v/>
      </c>
      <c r="C176" s="23" t="str">
        <f aca="false">IF(B176="","","office")</f>
        <v/>
      </c>
      <c r="D176" s="23" t="str">
        <f aca="false">IF(B176="","",Office_Log!ED176&amp;"")</f>
        <v/>
      </c>
      <c r="E176" s="23" t="str">
        <f aca="false">IF(B176="","",IF(Office_Log!B176="","",Office_Log!B176&amp;""))</f>
        <v/>
      </c>
      <c r="F176" s="23" t="str">
        <f aca="false">IF(B176="","","conversation")</f>
        <v/>
      </c>
      <c r="G176" s="23" t="str">
        <f aca="false">IF(B176="","","")</f>
        <v/>
      </c>
      <c r="H176" s="23" t="str">
        <f aca="false">IF(B176="","","")</f>
        <v/>
      </c>
      <c r="I176" s="23" t="str">
        <f aca="false">IF(B176="","","")</f>
        <v/>
      </c>
      <c r="J176" s="23" t="str">
        <f aca="false">IF(B176="","",IF(Office_Log!I176="","",Office_Log!I176&amp;""))</f>
        <v/>
      </c>
      <c r="K176" s="32" t="s">
        <v>1352</v>
      </c>
    </row>
    <row r="177" customFormat="false" ht="15" hidden="false" customHeight="false" outlineLevel="0" collapsed="false">
      <c r="A177" s="23" t="str">
        <f aca="false">IF(B177="","",B177+(1*1000+176)/10000000)</f>
        <v/>
      </c>
      <c r="B177" s="35" t="str">
        <f aca="false">IF(Office_Log!BB177=1,Office_Log!H177,"")</f>
        <v/>
      </c>
      <c r="C177" s="23" t="str">
        <f aca="false">IF(B177="","","office")</f>
        <v/>
      </c>
      <c r="D177" s="23" t="str">
        <f aca="false">IF(B177="","",Office_Log!ED177&amp;"")</f>
        <v/>
      </c>
      <c r="E177" s="23" t="str">
        <f aca="false">IF(B177="","",IF(Office_Log!B177="","",Office_Log!B177&amp;""))</f>
        <v/>
      </c>
      <c r="F177" s="23" t="str">
        <f aca="false">IF(B177="","","conversation")</f>
        <v/>
      </c>
      <c r="G177" s="23" t="str">
        <f aca="false">IF(B177="","","")</f>
        <v/>
      </c>
      <c r="H177" s="23" t="str">
        <f aca="false">IF(B177="","","")</f>
        <v/>
      </c>
      <c r="I177" s="23" t="str">
        <f aca="false">IF(B177="","","")</f>
        <v/>
      </c>
      <c r="J177" s="23" t="str">
        <f aca="false">IF(B177="","",IF(Office_Log!I177="","",Office_Log!I177&amp;""))</f>
        <v/>
      </c>
      <c r="K177" s="32" t="s">
        <v>1352</v>
      </c>
    </row>
    <row r="178" customFormat="false" ht="15" hidden="false" customHeight="false" outlineLevel="0" collapsed="false">
      <c r="A178" s="23" t="str">
        <f aca="false">IF(B178="","",B178+(1*1000+177)/10000000)</f>
        <v/>
      </c>
      <c r="B178" s="35" t="str">
        <f aca="false">IF(Office_Log!BB178=1,Office_Log!H178,"")</f>
        <v/>
      </c>
      <c r="C178" s="23" t="str">
        <f aca="false">IF(B178="","","office")</f>
        <v/>
      </c>
      <c r="D178" s="23" t="str">
        <f aca="false">IF(B178="","",Office_Log!ED178&amp;"")</f>
        <v/>
      </c>
      <c r="E178" s="23" t="str">
        <f aca="false">IF(B178="","",IF(Office_Log!B178="","",Office_Log!B178&amp;""))</f>
        <v/>
      </c>
      <c r="F178" s="23" t="str">
        <f aca="false">IF(B178="","","conversation")</f>
        <v/>
      </c>
      <c r="G178" s="23" t="str">
        <f aca="false">IF(B178="","","")</f>
        <v/>
      </c>
      <c r="H178" s="23" t="str">
        <f aca="false">IF(B178="","","")</f>
        <v/>
      </c>
      <c r="I178" s="23" t="str">
        <f aca="false">IF(B178="","","")</f>
        <v/>
      </c>
      <c r="J178" s="23" t="str">
        <f aca="false">IF(B178="","",IF(Office_Log!I178="","",Office_Log!I178&amp;""))</f>
        <v/>
      </c>
      <c r="K178" s="32" t="s">
        <v>1352</v>
      </c>
    </row>
    <row r="179" customFormat="false" ht="15" hidden="false" customHeight="false" outlineLevel="0" collapsed="false">
      <c r="A179" s="23" t="str">
        <f aca="false">IF(B179="","",B179+(1*1000+178)/10000000)</f>
        <v/>
      </c>
      <c r="B179" s="35" t="str">
        <f aca="false">IF(Office_Log!BB179=1,Office_Log!H179,"")</f>
        <v/>
      </c>
      <c r="C179" s="23" t="str">
        <f aca="false">IF(B179="","","office")</f>
        <v/>
      </c>
      <c r="D179" s="23" t="str">
        <f aca="false">IF(B179="","",Office_Log!ED179&amp;"")</f>
        <v/>
      </c>
      <c r="E179" s="23" t="str">
        <f aca="false">IF(B179="","",IF(Office_Log!B179="","",Office_Log!B179&amp;""))</f>
        <v/>
      </c>
      <c r="F179" s="23" t="str">
        <f aca="false">IF(B179="","","conversation")</f>
        <v/>
      </c>
      <c r="G179" s="23" t="str">
        <f aca="false">IF(B179="","","")</f>
        <v/>
      </c>
      <c r="H179" s="23" t="str">
        <f aca="false">IF(B179="","","")</f>
        <v/>
      </c>
      <c r="I179" s="23" t="str">
        <f aca="false">IF(B179="","","")</f>
        <v/>
      </c>
      <c r="J179" s="23" t="str">
        <f aca="false">IF(B179="","",IF(Office_Log!I179="","",Office_Log!I179&amp;""))</f>
        <v/>
      </c>
      <c r="K179" s="32" t="s">
        <v>1352</v>
      </c>
    </row>
    <row r="180" customFormat="false" ht="15" hidden="false" customHeight="false" outlineLevel="0" collapsed="false">
      <c r="A180" s="23" t="str">
        <f aca="false">IF(B180="","",B180+(1*1000+179)/10000000)</f>
        <v/>
      </c>
      <c r="B180" s="35" t="str">
        <f aca="false">IF(Office_Log!BB180=1,Office_Log!H180,"")</f>
        <v/>
      </c>
      <c r="C180" s="23" t="str">
        <f aca="false">IF(B180="","","office")</f>
        <v/>
      </c>
      <c r="D180" s="23" t="str">
        <f aca="false">IF(B180="","",Office_Log!ED180&amp;"")</f>
        <v/>
      </c>
      <c r="E180" s="23" t="str">
        <f aca="false">IF(B180="","",IF(Office_Log!B180="","",Office_Log!B180&amp;""))</f>
        <v/>
      </c>
      <c r="F180" s="23" t="str">
        <f aca="false">IF(B180="","","conversation")</f>
        <v/>
      </c>
      <c r="G180" s="23" t="str">
        <f aca="false">IF(B180="","","")</f>
        <v/>
      </c>
      <c r="H180" s="23" t="str">
        <f aca="false">IF(B180="","","")</f>
        <v/>
      </c>
      <c r="I180" s="23" t="str">
        <f aca="false">IF(B180="","","")</f>
        <v/>
      </c>
      <c r="J180" s="23" t="str">
        <f aca="false">IF(B180="","",IF(Office_Log!I180="","",Office_Log!I180&amp;""))</f>
        <v/>
      </c>
      <c r="K180" s="32" t="s">
        <v>1352</v>
      </c>
    </row>
    <row r="181" customFormat="false" ht="15" hidden="false" customHeight="false" outlineLevel="0" collapsed="false">
      <c r="A181" s="23" t="str">
        <f aca="false">IF(B181="","",B181+(1*1000+180)/10000000)</f>
        <v/>
      </c>
      <c r="B181" s="35" t="str">
        <f aca="false">IF(Office_Log!BB181=1,Office_Log!H181,"")</f>
        <v/>
      </c>
      <c r="C181" s="23" t="str">
        <f aca="false">IF(B181="","","office")</f>
        <v/>
      </c>
      <c r="D181" s="23" t="str">
        <f aca="false">IF(B181="","",Office_Log!ED181&amp;"")</f>
        <v/>
      </c>
      <c r="E181" s="23" t="str">
        <f aca="false">IF(B181="","",IF(Office_Log!B181="","",Office_Log!B181&amp;""))</f>
        <v/>
      </c>
      <c r="F181" s="23" t="str">
        <f aca="false">IF(B181="","","conversation")</f>
        <v/>
      </c>
      <c r="G181" s="23" t="str">
        <f aca="false">IF(B181="","","")</f>
        <v/>
      </c>
      <c r="H181" s="23" t="str">
        <f aca="false">IF(B181="","","")</f>
        <v/>
      </c>
      <c r="I181" s="23" t="str">
        <f aca="false">IF(B181="","","")</f>
        <v/>
      </c>
      <c r="J181" s="23" t="str">
        <f aca="false">IF(B181="","",IF(Office_Log!I181="","",Office_Log!I181&amp;""))</f>
        <v/>
      </c>
      <c r="K181" s="32" t="s">
        <v>1352</v>
      </c>
    </row>
    <row r="182" customFormat="false" ht="15" hidden="false" customHeight="false" outlineLevel="0" collapsed="false">
      <c r="A182" s="23" t="str">
        <f aca="false">IF(B182="","",B182+(1*1000+181)/10000000)</f>
        <v/>
      </c>
      <c r="B182" s="35" t="str">
        <f aca="false">IF(Office_Log!BB182=1,Office_Log!H182,"")</f>
        <v/>
      </c>
      <c r="C182" s="23" t="str">
        <f aca="false">IF(B182="","","office")</f>
        <v/>
      </c>
      <c r="D182" s="23" t="str">
        <f aca="false">IF(B182="","",Office_Log!ED182&amp;"")</f>
        <v/>
      </c>
      <c r="E182" s="23" t="str">
        <f aca="false">IF(B182="","",IF(Office_Log!B182="","",Office_Log!B182&amp;""))</f>
        <v/>
      </c>
      <c r="F182" s="23" t="str">
        <f aca="false">IF(B182="","","conversation")</f>
        <v/>
      </c>
      <c r="G182" s="23" t="str">
        <f aca="false">IF(B182="","","")</f>
        <v/>
      </c>
      <c r="H182" s="23" t="str">
        <f aca="false">IF(B182="","","")</f>
        <v/>
      </c>
      <c r="I182" s="23" t="str">
        <f aca="false">IF(B182="","","")</f>
        <v/>
      </c>
      <c r="J182" s="23" t="str">
        <f aca="false">IF(B182="","",IF(Office_Log!I182="","",Office_Log!I182&amp;""))</f>
        <v/>
      </c>
      <c r="K182" s="32" t="s">
        <v>1352</v>
      </c>
    </row>
    <row r="183" customFormat="false" ht="15" hidden="false" customHeight="false" outlineLevel="0" collapsed="false">
      <c r="A183" s="23" t="str">
        <f aca="false">IF(B183="","",B183+(1*1000+182)/10000000)</f>
        <v/>
      </c>
      <c r="B183" s="35" t="str">
        <f aca="false">IF(Office_Log!BB183=1,Office_Log!H183,"")</f>
        <v/>
      </c>
      <c r="C183" s="23" t="str">
        <f aca="false">IF(B183="","","office")</f>
        <v/>
      </c>
      <c r="D183" s="23" t="str">
        <f aca="false">IF(B183="","",Office_Log!ED183&amp;"")</f>
        <v/>
      </c>
      <c r="E183" s="23" t="str">
        <f aca="false">IF(B183="","",IF(Office_Log!B183="","",Office_Log!B183&amp;""))</f>
        <v/>
      </c>
      <c r="F183" s="23" t="str">
        <f aca="false">IF(B183="","","conversation")</f>
        <v/>
      </c>
      <c r="G183" s="23" t="str">
        <f aca="false">IF(B183="","","")</f>
        <v/>
      </c>
      <c r="H183" s="23" t="str">
        <f aca="false">IF(B183="","","")</f>
        <v/>
      </c>
      <c r="I183" s="23" t="str">
        <f aca="false">IF(B183="","","")</f>
        <v/>
      </c>
      <c r="J183" s="23" t="str">
        <f aca="false">IF(B183="","",IF(Office_Log!I183="","",Office_Log!I183&amp;""))</f>
        <v/>
      </c>
      <c r="K183" s="32" t="s">
        <v>1352</v>
      </c>
    </row>
    <row r="184" customFormat="false" ht="15" hidden="false" customHeight="false" outlineLevel="0" collapsed="false">
      <c r="A184" s="23" t="str">
        <f aca="false">IF(B184="","",B184+(1*1000+183)/10000000)</f>
        <v/>
      </c>
      <c r="B184" s="35" t="str">
        <f aca="false">IF(Office_Log!BB184=1,Office_Log!H184,"")</f>
        <v/>
      </c>
      <c r="C184" s="23" t="str">
        <f aca="false">IF(B184="","","office")</f>
        <v/>
      </c>
      <c r="D184" s="23" t="str">
        <f aca="false">IF(B184="","",Office_Log!ED184&amp;"")</f>
        <v/>
      </c>
      <c r="E184" s="23" t="str">
        <f aca="false">IF(B184="","",IF(Office_Log!B184="","",Office_Log!B184&amp;""))</f>
        <v/>
      </c>
      <c r="F184" s="23" t="str">
        <f aca="false">IF(B184="","","conversation")</f>
        <v/>
      </c>
      <c r="G184" s="23" t="str">
        <f aca="false">IF(B184="","","")</f>
        <v/>
      </c>
      <c r="H184" s="23" t="str">
        <f aca="false">IF(B184="","","")</f>
        <v/>
      </c>
      <c r="I184" s="23" t="str">
        <f aca="false">IF(B184="","","")</f>
        <v/>
      </c>
      <c r="J184" s="23" t="str">
        <f aca="false">IF(B184="","",IF(Office_Log!I184="","",Office_Log!I184&amp;""))</f>
        <v/>
      </c>
      <c r="K184" s="32" t="s">
        <v>1352</v>
      </c>
    </row>
    <row r="185" customFormat="false" ht="15" hidden="false" customHeight="false" outlineLevel="0" collapsed="false">
      <c r="A185" s="23" t="str">
        <f aca="false">IF(B185="","",B185+(1*1000+184)/10000000)</f>
        <v/>
      </c>
      <c r="B185" s="35" t="str">
        <f aca="false">IF(Office_Log!BB185=1,Office_Log!H185,"")</f>
        <v/>
      </c>
      <c r="C185" s="23" t="str">
        <f aca="false">IF(B185="","","office")</f>
        <v/>
      </c>
      <c r="D185" s="23" t="str">
        <f aca="false">IF(B185="","",Office_Log!ED185&amp;"")</f>
        <v/>
      </c>
      <c r="E185" s="23" t="str">
        <f aca="false">IF(B185="","",IF(Office_Log!B185="","",Office_Log!B185&amp;""))</f>
        <v/>
      </c>
      <c r="F185" s="23" t="str">
        <f aca="false">IF(B185="","","conversation")</f>
        <v/>
      </c>
      <c r="G185" s="23" t="str">
        <f aca="false">IF(B185="","","")</f>
        <v/>
      </c>
      <c r="H185" s="23" t="str">
        <f aca="false">IF(B185="","","")</f>
        <v/>
      </c>
      <c r="I185" s="23" t="str">
        <f aca="false">IF(B185="","","")</f>
        <v/>
      </c>
      <c r="J185" s="23" t="str">
        <f aca="false">IF(B185="","",IF(Office_Log!I185="","",Office_Log!I185&amp;""))</f>
        <v/>
      </c>
      <c r="K185" s="32" t="s">
        <v>1352</v>
      </c>
    </row>
    <row r="186" customFormat="false" ht="15" hidden="false" customHeight="false" outlineLevel="0" collapsed="false">
      <c r="A186" s="23" t="str">
        <f aca="false">IF(B186="","",B186+(1*1000+185)/10000000)</f>
        <v/>
      </c>
      <c r="B186" s="35" t="str">
        <f aca="false">IF(Office_Log!BB186=1,Office_Log!H186,"")</f>
        <v/>
      </c>
      <c r="C186" s="23" t="str">
        <f aca="false">IF(B186="","","office")</f>
        <v/>
      </c>
      <c r="D186" s="23" t="str">
        <f aca="false">IF(B186="","",Office_Log!ED186&amp;"")</f>
        <v/>
      </c>
      <c r="E186" s="23" t="str">
        <f aca="false">IF(B186="","",IF(Office_Log!B186="","",Office_Log!B186&amp;""))</f>
        <v/>
      </c>
      <c r="F186" s="23" t="str">
        <f aca="false">IF(B186="","","conversation")</f>
        <v/>
      </c>
      <c r="G186" s="23" t="str">
        <f aca="false">IF(B186="","","")</f>
        <v/>
      </c>
      <c r="H186" s="23" t="str">
        <f aca="false">IF(B186="","","")</f>
        <v/>
      </c>
      <c r="I186" s="23" t="str">
        <f aca="false">IF(B186="","","")</f>
        <v/>
      </c>
      <c r="J186" s="23" t="str">
        <f aca="false">IF(B186="","",IF(Office_Log!I186="","",Office_Log!I186&amp;""))</f>
        <v/>
      </c>
      <c r="K186" s="32" t="s">
        <v>1352</v>
      </c>
    </row>
    <row r="187" customFormat="false" ht="15" hidden="false" customHeight="false" outlineLevel="0" collapsed="false">
      <c r="A187" s="23" t="str">
        <f aca="false">IF(B187="","",B187+(1*1000+186)/10000000)</f>
        <v/>
      </c>
      <c r="B187" s="35" t="str">
        <f aca="false">IF(Office_Log!BB187=1,Office_Log!H187,"")</f>
        <v/>
      </c>
      <c r="C187" s="23" t="str">
        <f aca="false">IF(B187="","","office")</f>
        <v/>
      </c>
      <c r="D187" s="23" t="str">
        <f aca="false">IF(B187="","",Office_Log!ED187&amp;"")</f>
        <v/>
      </c>
      <c r="E187" s="23" t="str">
        <f aca="false">IF(B187="","",IF(Office_Log!B187="","",Office_Log!B187&amp;""))</f>
        <v/>
      </c>
      <c r="F187" s="23" t="str">
        <f aca="false">IF(B187="","","conversation")</f>
        <v/>
      </c>
      <c r="G187" s="23" t="str">
        <f aca="false">IF(B187="","","")</f>
        <v/>
      </c>
      <c r="H187" s="23" t="str">
        <f aca="false">IF(B187="","","")</f>
        <v/>
      </c>
      <c r="I187" s="23" t="str">
        <f aca="false">IF(B187="","","")</f>
        <v/>
      </c>
      <c r="J187" s="23" t="str">
        <f aca="false">IF(B187="","",IF(Office_Log!I187="","",Office_Log!I187&amp;""))</f>
        <v/>
      </c>
      <c r="K187" s="32" t="s">
        <v>1352</v>
      </c>
    </row>
    <row r="188" customFormat="false" ht="15" hidden="false" customHeight="false" outlineLevel="0" collapsed="false">
      <c r="A188" s="23" t="str">
        <f aca="false">IF(B188="","",B188+(1*1000+187)/10000000)</f>
        <v/>
      </c>
      <c r="B188" s="35" t="str">
        <f aca="false">IF(Office_Log!BB188=1,Office_Log!H188,"")</f>
        <v/>
      </c>
      <c r="C188" s="23" t="str">
        <f aca="false">IF(B188="","","office")</f>
        <v/>
      </c>
      <c r="D188" s="23" t="str">
        <f aca="false">IF(B188="","",Office_Log!ED188&amp;"")</f>
        <v/>
      </c>
      <c r="E188" s="23" t="str">
        <f aca="false">IF(B188="","",IF(Office_Log!B188="","",Office_Log!B188&amp;""))</f>
        <v/>
      </c>
      <c r="F188" s="23" t="str">
        <f aca="false">IF(B188="","","conversation")</f>
        <v/>
      </c>
      <c r="G188" s="23" t="str">
        <f aca="false">IF(B188="","","")</f>
        <v/>
      </c>
      <c r="H188" s="23" t="str">
        <f aca="false">IF(B188="","","")</f>
        <v/>
      </c>
      <c r="I188" s="23" t="str">
        <f aca="false">IF(B188="","","")</f>
        <v/>
      </c>
      <c r="J188" s="23" t="str">
        <f aca="false">IF(B188="","",IF(Office_Log!I188="","",Office_Log!I188&amp;""))</f>
        <v/>
      </c>
      <c r="K188" s="32" t="s">
        <v>1352</v>
      </c>
    </row>
    <row r="189" customFormat="false" ht="15" hidden="false" customHeight="false" outlineLevel="0" collapsed="false">
      <c r="A189" s="23" t="str">
        <f aca="false">IF(B189="","",B189+(1*1000+188)/10000000)</f>
        <v/>
      </c>
      <c r="B189" s="35" t="str">
        <f aca="false">IF(Office_Log!BB189=1,Office_Log!H189,"")</f>
        <v/>
      </c>
      <c r="C189" s="23" t="str">
        <f aca="false">IF(B189="","","office")</f>
        <v/>
      </c>
      <c r="D189" s="23" t="str">
        <f aca="false">IF(B189="","",Office_Log!ED189&amp;"")</f>
        <v/>
      </c>
      <c r="E189" s="23" t="str">
        <f aca="false">IF(B189="","",IF(Office_Log!B189="","",Office_Log!B189&amp;""))</f>
        <v/>
      </c>
      <c r="F189" s="23" t="str">
        <f aca="false">IF(B189="","","conversation")</f>
        <v/>
      </c>
      <c r="G189" s="23" t="str">
        <f aca="false">IF(B189="","","")</f>
        <v/>
      </c>
      <c r="H189" s="23" t="str">
        <f aca="false">IF(B189="","","")</f>
        <v/>
      </c>
      <c r="I189" s="23" t="str">
        <f aca="false">IF(B189="","","")</f>
        <v/>
      </c>
      <c r="J189" s="23" t="str">
        <f aca="false">IF(B189="","",IF(Office_Log!I189="","",Office_Log!I189&amp;""))</f>
        <v/>
      </c>
      <c r="K189" s="32" t="s">
        <v>1352</v>
      </c>
    </row>
    <row r="190" customFormat="false" ht="15" hidden="false" customHeight="false" outlineLevel="0" collapsed="false">
      <c r="A190" s="23" t="str">
        <f aca="false">IF(B190="","",B190+(1*1000+189)/10000000)</f>
        <v/>
      </c>
      <c r="B190" s="35" t="str">
        <f aca="false">IF(Office_Log!BB190=1,Office_Log!H190,"")</f>
        <v/>
      </c>
      <c r="C190" s="23" t="str">
        <f aca="false">IF(B190="","","office")</f>
        <v/>
      </c>
      <c r="D190" s="23" t="str">
        <f aca="false">IF(B190="","",Office_Log!ED190&amp;"")</f>
        <v/>
      </c>
      <c r="E190" s="23" t="str">
        <f aca="false">IF(B190="","",IF(Office_Log!B190="","",Office_Log!B190&amp;""))</f>
        <v/>
      </c>
      <c r="F190" s="23" t="str">
        <f aca="false">IF(B190="","","conversation")</f>
        <v/>
      </c>
      <c r="G190" s="23" t="str">
        <f aca="false">IF(B190="","","")</f>
        <v/>
      </c>
      <c r="H190" s="23" t="str">
        <f aca="false">IF(B190="","","")</f>
        <v/>
      </c>
      <c r="I190" s="23" t="str">
        <f aca="false">IF(B190="","","")</f>
        <v/>
      </c>
      <c r="J190" s="23" t="str">
        <f aca="false">IF(B190="","",IF(Office_Log!I190="","",Office_Log!I190&amp;""))</f>
        <v/>
      </c>
      <c r="K190" s="32" t="s">
        <v>1352</v>
      </c>
    </row>
    <row r="191" customFormat="false" ht="15" hidden="false" customHeight="false" outlineLevel="0" collapsed="false">
      <c r="A191" s="23" t="str">
        <f aca="false">IF(B191="","",B191+(1*1000+190)/10000000)</f>
        <v/>
      </c>
      <c r="B191" s="35" t="str">
        <f aca="false">IF(Office_Log!BB191=1,Office_Log!H191,"")</f>
        <v/>
      </c>
      <c r="C191" s="23" t="str">
        <f aca="false">IF(B191="","","office")</f>
        <v/>
      </c>
      <c r="D191" s="23" t="str">
        <f aca="false">IF(B191="","",Office_Log!ED191&amp;"")</f>
        <v/>
      </c>
      <c r="E191" s="23" t="str">
        <f aca="false">IF(B191="","",IF(Office_Log!B191="","",Office_Log!B191&amp;""))</f>
        <v/>
      </c>
      <c r="F191" s="23" t="str">
        <f aca="false">IF(B191="","","conversation")</f>
        <v/>
      </c>
      <c r="G191" s="23" t="str">
        <f aca="false">IF(B191="","","")</f>
        <v/>
      </c>
      <c r="H191" s="23" t="str">
        <f aca="false">IF(B191="","","")</f>
        <v/>
      </c>
      <c r="I191" s="23" t="str">
        <f aca="false">IF(B191="","","")</f>
        <v/>
      </c>
      <c r="J191" s="23" t="str">
        <f aca="false">IF(B191="","",IF(Office_Log!I191="","",Office_Log!I191&amp;""))</f>
        <v/>
      </c>
      <c r="K191" s="32" t="s">
        <v>1352</v>
      </c>
    </row>
    <row r="192" customFormat="false" ht="15" hidden="false" customHeight="false" outlineLevel="0" collapsed="false">
      <c r="A192" s="23" t="str">
        <f aca="false">IF(B192="","",B192+(1*1000+191)/10000000)</f>
        <v/>
      </c>
      <c r="B192" s="35" t="str">
        <f aca="false">IF(Office_Log!BB192=1,Office_Log!H192,"")</f>
        <v/>
      </c>
      <c r="C192" s="23" t="str">
        <f aca="false">IF(B192="","","office")</f>
        <v/>
      </c>
      <c r="D192" s="23" t="str">
        <f aca="false">IF(B192="","",Office_Log!ED192&amp;"")</f>
        <v/>
      </c>
      <c r="E192" s="23" t="str">
        <f aca="false">IF(B192="","",IF(Office_Log!B192="","",Office_Log!B192&amp;""))</f>
        <v/>
      </c>
      <c r="F192" s="23" t="str">
        <f aca="false">IF(B192="","","conversation")</f>
        <v/>
      </c>
      <c r="G192" s="23" t="str">
        <f aca="false">IF(B192="","","")</f>
        <v/>
      </c>
      <c r="H192" s="23" t="str">
        <f aca="false">IF(B192="","","")</f>
        <v/>
      </c>
      <c r="I192" s="23" t="str">
        <f aca="false">IF(B192="","","")</f>
        <v/>
      </c>
      <c r="J192" s="23" t="str">
        <f aca="false">IF(B192="","",IF(Office_Log!I192="","",Office_Log!I192&amp;""))</f>
        <v/>
      </c>
      <c r="K192" s="32" t="s">
        <v>1352</v>
      </c>
    </row>
    <row r="193" customFormat="false" ht="15" hidden="false" customHeight="false" outlineLevel="0" collapsed="false">
      <c r="A193" s="23" t="str">
        <f aca="false">IF(B193="","",B193+(1*1000+192)/10000000)</f>
        <v/>
      </c>
      <c r="B193" s="35" t="str">
        <f aca="false">IF(Office_Log!BB193=1,Office_Log!H193,"")</f>
        <v/>
      </c>
      <c r="C193" s="23" t="str">
        <f aca="false">IF(B193="","","office")</f>
        <v/>
      </c>
      <c r="D193" s="23" t="str">
        <f aca="false">IF(B193="","",Office_Log!ED193&amp;"")</f>
        <v/>
      </c>
      <c r="E193" s="23" t="str">
        <f aca="false">IF(B193="","",IF(Office_Log!B193="","",Office_Log!B193&amp;""))</f>
        <v/>
      </c>
      <c r="F193" s="23" t="str">
        <f aca="false">IF(B193="","","conversation")</f>
        <v/>
      </c>
      <c r="G193" s="23" t="str">
        <f aca="false">IF(B193="","","")</f>
        <v/>
      </c>
      <c r="H193" s="23" t="str">
        <f aca="false">IF(B193="","","")</f>
        <v/>
      </c>
      <c r="I193" s="23" t="str">
        <f aca="false">IF(B193="","","")</f>
        <v/>
      </c>
      <c r="J193" s="23" t="str">
        <f aca="false">IF(B193="","",IF(Office_Log!I193="","",Office_Log!I193&amp;""))</f>
        <v/>
      </c>
      <c r="K193" s="32" t="s">
        <v>1352</v>
      </c>
    </row>
    <row r="194" customFormat="false" ht="15" hidden="false" customHeight="false" outlineLevel="0" collapsed="false">
      <c r="A194" s="23" t="str">
        <f aca="false">IF(B194="","",B194+(1*1000+193)/10000000)</f>
        <v/>
      </c>
      <c r="B194" s="35" t="str">
        <f aca="false">IF(Office_Log!BB194=1,Office_Log!H194,"")</f>
        <v/>
      </c>
      <c r="C194" s="23" t="str">
        <f aca="false">IF(B194="","","office")</f>
        <v/>
      </c>
      <c r="D194" s="23" t="str">
        <f aca="false">IF(B194="","",Office_Log!ED194&amp;"")</f>
        <v/>
      </c>
      <c r="E194" s="23" t="str">
        <f aca="false">IF(B194="","",IF(Office_Log!B194="","",Office_Log!B194&amp;""))</f>
        <v/>
      </c>
      <c r="F194" s="23" t="str">
        <f aca="false">IF(B194="","","conversation")</f>
        <v/>
      </c>
      <c r="G194" s="23" t="str">
        <f aca="false">IF(B194="","","")</f>
        <v/>
      </c>
      <c r="H194" s="23" t="str">
        <f aca="false">IF(B194="","","")</f>
        <v/>
      </c>
      <c r="I194" s="23" t="str">
        <f aca="false">IF(B194="","","")</f>
        <v/>
      </c>
      <c r="J194" s="23" t="str">
        <f aca="false">IF(B194="","",IF(Office_Log!I194="","",Office_Log!I194&amp;""))</f>
        <v/>
      </c>
      <c r="K194" s="32" t="s">
        <v>1352</v>
      </c>
    </row>
    <row r="195" customFormat="false" ht="15" hidden="false" customHeight="false" outlineLevel="0" collapsed="false">
      <c r="A195" s="23" t="str">
        <f aca="false">IF(B195="","",B195+(1*1000+194)/10000000)</f>
        <v/>
      </c>
      <c r="B195" s="35" t="str">
        <f aca="false">IF(Office_Log!BB195=1,Office_Log!H195,"")</f>
        <v/>
      </c>
      <c r="C195" s="23" t="str">
        <f aca="false">IF(B195="","","office")</f>
        <v/>
      </c>
      <c r="D195" s="23" t="str">
        <f aca="false">IF(B195="","",Office_Log!ED195&amp;"")</f>
        <v/>
      </c>
      <c r="E195" s="23" t="str">
        <f aca="false">IF(B195="","",IF(Office_Log!B195="","",Office_Log!B195&amp;""))</f>
        <v/>
      </c>
      <c r="F195" s="23" t="str">
        <f aca="false">IF(B195="","","conversation")</f>
        <v/>
      </c>
      <c r="G195" s="23" t="str">
        <f aca="false">IF(B195="","","")</f>
        <v/>
      </c>
      <c r="H195" s="23" t="str">
        <f aca="false">IF(B195="","","")</f>
        <v/>
      </c>
      <c r="I195" s="23" t="str">
        <f aca="false">IF(B195="","","")</f>
        <v/>
      </c>
      <c r="J195" s="23" t="str">
        <f aca="false">IF(B195="","",IF(Office_Log!I195="","",Office_Log!I195&amp;""))</f>
        <v/>
      </c>
      <c r="K195" s="32" t="s">
        <v>1352</v>
      </c>
    </row>
    <row r="196" customFormat="false" ht="15" hidden="false" customHeight="false" outlineLevel="0" collapsed="false">
      <c r="A196" s="23" t="str">
        <f aca="false">IF(B196="","",B196+(1*1000+195)/10000000)</f>
        <v/>
      </c>
      <c r="B196" s="35" t="str">
        <f aca="false">IF(Office_Log!BB196=1,Office_Log!H196,"")</f>
        <v/>
      </c>
      <c r="C196" s="23" t="str">
        <f aca="false">IF(B196="","","office")</f>
        <v/>
      </c>
      <c r="D196" s="23" t="str">
        <f aca="false">IF(B196="","",Office_Log!ED196&amp;"")</f>
        <v/>
      </c>
      <c r="E196" s="23" t="str">
        <f aca="false">IF(B196="","",IF(Office_Log!B196="","",Office_Log!B196&amp;""))</f>
        <v/>
      </c>
      <c r="F196" s="23" t="str">
        <f aca="false">IF(B196="","","conversation")</f>
        <v/>
      </c>
      <c r="G196" s="23" t="str">
        <f aca="false">IF(B196="","","")</f>
        <v/>
      </c>
      <c r="H196" s="23" t="str">
        <f aca="false">IF(B196="","","")</f>
        <v/>
      </c>
      <c r="I196" s="23" t="str">
        <f aca="false">IF(B196="","","")</f>
        <v/>
      </c>
      <c r="J196" s="23" t="str">
        <f aca="false">IF(B196="","",IF(Office_Log!I196="","",Office_Log!I196&amp;""))</f>
        <v/>
      </c>
      <c r="K196" s="32" t="s">
        <v>1352</v>
      </c>
    </row>
    <row r="197" customFormat="false" ht="15" hidden="false" customHeight="false" outlineLevel="0" collapsed="false">
      <c r="A197" s="23" t="str">
        <f aca="false">IF(B197="","",B197+(1*1000+196)/10000000)</f>
        <v/>
      </c>
      <c r="B197" s="35" t="str">
        <f aca="false">IF(Office_Log!BB197=1,Office_Log!H197,"")</f>
        <v/>
      </c>
      <c r="C197" s="23" t="str">
        <f aca="false">IF(B197="","","office")</f>
        <v/>
      </c>
      <c r="D197" s="23" t="str">
        <f aca="false">IF(B197="","",Office_Log!ED197&amp;"")</f>
        <v/>
      </c>
      <c r="E197" s="23" t="str">
        <f aca="false">IF(B197="","",IF(Office_Log!B197="","",Office_Log!B197&amp;""))</f>
        <v/>
      </c>
      <c r="F197" s="23" t="str">
        <f aca="false">IF(B197="","","conversation")</f>
        <v/>
      </c>
      <c r="G197" s="23" t="str">
        <f aca="false">IF(B197="","","")</f>
        <v/>
      </c>
      <c r="H197" s="23" t="str">
        <f aca="false">IF(B197="","","")</f>
        <v/>
      </c>
      <c r="I197" s="23" t="str">
        <f aca="false">IF(B197="","","")</f>
        <v/>
      </c>
      <c r="J197" s="23" t="str">
        <f aca="false">IF(B197="","",IF(Office_Log!I197="","",Office_Log!I197&amp;""))</f>
        <v/>
      </c>
      <c r="K197" s="32" t="s">
        <v>1352</v>
      </c>
    </row>
    <row r="198" customFormat="false" ht="15" hidden="false" customHeight="false" outlineLevel="0" collapsed="false">
      <c r="A198" s="23" t="str">
        <f aca="false">IF(B198="","",B198+(1*1000+197)/10000000)</f>
        <v/>
      </c>
      <c r="B198" s="35" t="str">
        <f aca="false">IF(Office_Log!BB198=1,Office_Log!H198,"")</f>
        <v/>
      </c>
      <c r="C198" s="23" t="str">
        <f aca="false">IF(B198="","","office")</f>
        <v/>
      </c>
      <c r="D198" s="23" t="str">
        <f aca="false">IF(B198="","",Office_Log!ED198&amp;"")</f>
        <v/>
      </c>
      <c r="E198" s="23" t="str">
        <f aca="false">IF(B198="","",IF(Office_Log!B198="","",Office_Log!B198&amp;""))</f>
        <v/>
      </c>
      <c r="F198" s="23" t="str">
        <f aca="false">IF(B198="","","conversation")</f>
        <v/>
      </c>
      <c r="G198" s="23" t="str">
        <f aca="false">IF(B198="","","")</f>
        <v/>
      </c>
      <c r="H198" s="23" t="str">
        <f aca="false">IF(B198="","","")</f>
        <v/>
      </c>
      <c r="I198" s="23" t="str">
        <f aca="false">IF(B198="","","")</f>
        <v/>
      </c>
      <c r="J198" s="23" t="str">
        <f aca="false">IF(B198="","",IF(Office_Log!I198="","",Office_Log!I198&amp;""))</f>
        <v/>
      </c>
      <c r="K198" s="32" t="s">
        <v>1352</v>
      </c>
    </row>
    <row r="199" customFormat="false" ht="15" hidden="false" customHeight="false" outlineLevel="0" collapsed="false">
      <c r="A199" s="23" t="str">
        <f aca="false">IF(B199="","",B199+(1*1000+198)/10000000)</f>
        <v/>
      </c>
      <c r="B199" s="35" t="str">
        <f aca="false">IF(Office_Log!BB199=1,Office_Log!H199,"")</f>
        <v/>
      </c>
      <c r="C199" s="23" t="str">
        <f aca="false">IF(B199="","","office")</f>
        <v/>
      </c>
      <c r="D199" s="23" t="str">
        <f aca="false">IF(B199="","",Office_Log!ED199&amp;"")</f>
        <v/>
      </c>
      <c r="E199" s="23" t="str">
        <f aca="false">IF(B199="","",IF(Office_Log!B199="","",Office_Log!B199&amp;""))</f>
        <v/>
      </c>
      <c r="F199" s="23" t="str">
        <f aca="false">IF(B199="","","conversation")</f>
        <v/>
      </c>
      <c r="G199" s="23" t="str">
        <f aca="false">IF(B199="","","")</f>
        <v/>
      </c>
      <c r="H199" s="23" t="str">
        <f aca="false">IF(B199="","","")</f>
        <v/>
      </c>
      <c r="I199" s="23" t="str">
        <f aca="false">IF(B199="","","")</f>
        <v/>
      </c>
      <c r="J199" s="23" t="str">
        <f aca="false">IF(B199="","",IF(Office_Log!I199="","",Office_Log!I199&amp;""))</f>
        <v/>
      </c>
      <c r="K199" s="32" t="s">
        <v>1352</v>
      </c>
    </row>
    <row r="200" customFormat="false" ht="15" hidden="false" customHeight="false" outlineLevel="0" collapsed="false">
      <c r="A200" s="23" t="str">
        <f aca="false">IF(B200="","",B200+(1*1000+199)/10000000)</f>
        <v/>
      </c>
      <c r="B200" s="35" t="str">
        <f aca="false">IF(Office_Log!BB200=1,Office_Log!H200,"")</f>
        <v/>
      </c>
      <c r="C200" s="23" t="str">
        <f aca="false">IF(B200="","","office")</f>
        <v/>
      </c>
      <c r="D200" s="23" t="str">
        <f aca="false">IF(B200="","",Office_Log!ED200&amp;"")</f>
        <v/>
      </c>
      <c r="E200" s="23" t="str">
        <f aca="false">IF(B200="","",IF(Office_Log!B200="","",Office_Log!B200&amp;""))</f>
        <v/>
      </c>
      <c r="F200" s="23" t="str">
        <f aca="false">IF(B200="","","conversation")</f>
        <v/>
      </c>
      <c r="G200" s="23" t="str">
        <f aca="false">IF(B200="","","")</f>
        <v/>
      </c>
      <c r="H200" s="23" t="str">
        <f aca="false">IF(B200="","","")</f>
        <v/>
      </c>
      <c r="I200" s="23" t="str">
        <f aca="false">IF(B200="","","")</f>
        <v/>
      </c>
      <c r="J200" s="23" t="str">
        <f aca="false">IF(B200="","",IF(Office_Log!I200="","",Office_Log!I200&amp;""))</f>
        <v/>
      </c>
      <c r="K200" s="32" t="s">
        <v>1352</v>
      </c>
    </row>
    <row r="201" customFormat="false" ht="15" hidden="false" customHeight="false" outlineLevel="0" collapsed="false">
      <c r="A201" s="23" t="str">
        <f aca="false">IF(B201="","",B201+(1*1000+200)/10000000)</f>
        <v/>
      </c>
      <c r="B201" s="35" t="str">
        <f aca="false">IF(Office_Log!BB201=1,Office_Log!H201,"")</f>
        <v/>
      </c>
      <c r="C201" s="23" t="str">
        <f aca="false">IF(B201="","","office")</f>
        <v/>
      </c>
      <c r="D201" s="23" t="str">
        <f aca="false">IF(B201="","",Office_Log!ED201&amp;"")</f>
        <v/>
      </c>
      <c r="E201" s="23" t="str">
        <f aca="false">IF(B201="","",IF(Office_Log!B201="","",Office_Log!B201&amp;""))</f>
        <v/>
      </c>
      <c r="F201" s="23" t="str">
        <f aca="false">IF(B201="","","conversation")</f>
        <v/>
      </c>
      <c r="G201" s="23" t="str">
        <f aca="false">IF(B201="","","")</f>
        <v/>
      </c>
      <c r="H201" s="23" t="str">
        <f aca="false">IF(B201="","","")</f>
        <v/>
      </c>
      <c r="I201" s="23" t="str">
        <f aca="false">IF(B201="","","")</f>
        <v/>
      </c>
      <c r="J201" s="23" t="str">
        <f aca="false">IF(B201="","",IF(Office_Log!I201="","",Office_Log!I201&amp;""))</f>
        <v/>
      </c>
      <c r="K201" s="32" t="s">
        <v>1352</v>
      </c>
    </row>
    <row r="202" customFormat="false" ht="15" hidden="false" customHeight="false" outlineLevel="0" collapsed="false">
      <c r="A202" s="42" t="n">
        <f aca="false">IF(B202="","",B202+(2*1000+1)/10000000)</f>
        <v>46322.0002001</v>
      </c>
      <c r="B202" s="35" t="n">
        <f aca="false">IF(AND(Office_Log!BE2=1,Office_Log!EI2=0,IF(INT(N(Office_Log!H2))&lt;=Config!$B$8,Office_Log!DJ2,Office_Log!DK2)=1),Office_Log!H2,"")</f>
        <v>46322</v>
      </c>
      <c r="C202" s="23" t="str">
        <f aca="false">IF(B202="","","office")</f>
        <v>office</v>
      </c>
      <c r="D202" s="23" t="str">
        <f aca="false">IF(B202="","",Office_Log!ED2&amp;"")</f>
        <v>SAMPLE-O-001</v>
      </c>
      <c r="E202" s="23" t="str">
        <f aca="false">IF(B202="","",IF(Office_Log!B2="","",Office_Log!B2&amp;""))</f>
        <v>SAMPLE Office 01</v>
      </c>
      <c r="F202" s="23" t="str">
        <f aca="false">IF(B202="","","yes_in_principle")</f>
        <v>yes_in_principle</v>
      </c>
      <c r="G202" s="23" t="str">
        <f aca="false">IF(B202="","","")</f>
        <v/>
      </c>
      <c r="H202" s="23" t="str">
        <f aca="false">IF(B202="","","")</f>
        <v/>
      </c>
      <c r="I202" s="23" t="str">
        <f aca="false">IF(B202="","","")</f>
        <v/>
      </c>
      <c r="J202" s="23" t="str">
        <f aca="false">IF(B202="","","owner: "&amp;Office_Log!AE2&amp;"; window: "&amp;Office_Log!AH2)</f>
        <v>owner: Office Manager; window: SAMPLE Tue-Wed 9-11am</v>
      </c>
      <c r="K202" s="32" t="s">
        <v>1353</v>
      </c>
    </row>
    <row r="203" customFormat="false" ht="15" hidden="false" customHeight="false" outlineLevel="0" collapsed="false">
      <c r="A203" s="23" t="str">
        <f aca="false">IF(B203="","",B203+(2*1000+2)/10000000)</f>
        <v/>
      </c>
      <c r="B203" s="35" t="str">
        <f aca="false">IF(AND(Office_Log!BE3=1,Office_Log!EI3=0,IF(INT(N(Office_Log!H3))&lt;=Config!$B$8,Office_Log!DJ3,Office_Log!DK3)=1),Office_Log!H3,"")</f>
        <v/>
      </c>
      <c r="C203" s="23" t="str">
        <f aca="false">IF(B203="","","office")</f>
        <v/>
      </c>
      <c r="D203" s="23" t="str">
        <f aca="false">IF(B203="","",Office_Log!ED3&amp;"")</f>
        <v/>
      </c>
      <c r="E203" s="23" t="str">
        <f aca="false">IF(B203="","",IF(Office_Log!B3="","",Office_Log!B3&amp;""))</f>
        <v/>
      </c>
      <c r="F203" s="23" t="str">
        <f aca="false">IF(B203="","","yes_in_principle")</f>
        <v/>
      </c>
      <c r="G203" s="23" t="str">
        <f aca="false">IF(B203="","","")</f>
        <v/>
      </c>
      <c r="H203" s="23" t="str">
        <f aca="false">IF(B203="","","")</f>
        <v/>
      </c>
      <c r="I203" s="23" t="str">
        <f aca="false">IF(B203="","","")</f>
        <v/>
      </c>
      <c r="J203" s="23" t="str">
        <f aca="false">IF(B203="","","owner: "&amp;Office_Log!AE3&amp;"; window: "&amp;Office_Log!AH3)</f>
        <v/>
      </c>
      <c r="K203" s="32" t="s">
        <v>1353</v>
      </c>
    </row>
    <row r="204" customFormat="false" ht="15" hidden="false" customHeight="false" outlineLevel="0" collapsed="false">
      <c r="A204" s="23" t="str">
        <f aca="false">IF(B204="","",B204+(2*1000+3)/10000000)</f>
        <v/>
      </c>
      <c r="B204" s="35" t="str">
        <f aca="false">IF(AND(Office_Log!BE4=1,Office_Log!EI4=0,IF(INT(N(Office_Log!H4))&lt;=Config!$B$8,Office_Log!DJ4,Office_Log!DK4)=1),Office_Log!H4,"")</f>
        <v/>
      </c>
      <c r="C204" s="23" t="str">
        <f aca="false">IF(B204="","","office")</f>
        <v/>
      </c>
      <c r="D204" s="23" t="str">
        <f aca="false">IF(B204="","",Office_Log!ED4&amp;"")</f>
        <v/>
      </c>
      <c r="E204" s="23" t="str">
        <f aca="false">IF(B204="","",IF(Office_Log!B4="","",Office_Log!B4&amp;""))</f>
        <v/>
      </c>
      <c r="F204" s="23" t="str">
        <f aca="false">IF(B204="","","yes_in_principle")</f>
        <v/>
      </c>
      <c r="G204" s="23" t="str">
        <f aca="false">IF(B204="","","")</f>
        <v/>
      </c>
      <c r="H204" s="23" t="str">
        <f aca="false">IF(B204="","","")</f>
        <v/>
      </c>
      <c r="I204" s="23" t="str">
        <f aca="false">IF(B204="","","")</f>
        <v/>
      </c>
      <c r="J204" s="23" t="str">
        <f aca="false">IF(B204="","","owner: "&amp;Office_Log!AE4&amp;"; window: "&amp;Office_Log!AH4)</f>
        <v/>
      </c>
      <c r="K204" s="32" t="s">
        <v>1353</v>
      </c>
    </row>
    <row r="205" customFormat="false" ht="15" hidden="false" customHeight="false" outlineLevel="0" collapsed="false">
      <c r="A205" s="23" t="str">
        <f aca="false">IF(B205="","",B205+(2*1000+4)/10000000)</f>
        <v/>
      </c>
      <c r="B205" s="35" t="str">
        <f aca="false">IF(AND(Office_Log!BE5=1,Office_Log!EI5=0,IF(INT(N(Office_Log!H5))&lt;=Config!$B$8,Office_Log!DJ5,Office_Log!DK5)=1),Office_Log!H5,"")</f>
        <v/>
      </c>
      <c r="C205" s="23" t="str">
        <f aca="false">IF(B205="","","office")</f>
        <v/>
      </c>
      <c r="D205" s="23" t="str">
        <f aca="false">IF(B205="","",Office_Log!ED5&amp;"")</f>
        <v/>
      </c>
      <c r="E205" s="23" t="str">
        <f aca="false">IF(B205="","",IF(Office_Log!B5="","",Office_Log!B5&amp;""))</f>
        <v/>
      </c>
      <c r="F205" s="23" t="str">
        <f aca="false">IF(B205="","","yes_in_principle")</f>
        <v/>
      </c>
      <c r="G205" s="23" t="str">
        <f aca="false">IF(B205="","","")</f>
        <v/>
      </c>
      <c r="H205" s="23" t="str">
        <f aca="false">IF(B205="","","")</f>
        <v/>
      </c>
      <c r="I205" s="23" t="str">
        <f aca="false">IF(B205="","","")</f>
        <v/>
      </c>
      <c r="J205" s="23" t="str">
        <f aca="false">IF(B205="","","owner: "&amp;Office_Log!AE5&amp;"; window: "&amp;Office_Log!AH5)</f>
        <v/>
      </c>
      <c r="K205" s="32" t="s">
        <v>1353</v>
      </c>
    </row>
    <row r="206" customFormat="false" ht="15" hidden="false" customHeight="false" outlineLevel="0" collapsed="false">
      <c r="A206" s="23" t="str">
        <f aca="false">IF(B206="","",B206+(2*1000+5)/10000000)</f>
        <v/>
      </c>
      <c r="B206" s="35" t="str">
        <f aca="false">IF(AND(Office_Log!BE6=1,Office_Log!EI6=0,IF(INT(N(Office_Log!H6))&lt;=Config!$B$8,Office_Log!DJ6,Office_Log!DK6)=1),Office_Log!H6,"")</f>
        <v/>
      </c>
      <c r="C206" s="23" t="str">
        <f aca="false">IF(B206="","","office")</f>
        <v/>
      </c>
      <c r="D206" s="23" t="str">
        <f aca="false">IF(B206="","",Office_Log!ED6&amp;"")</f>
        <v/>
      </c>
      <c r="E206" s="23" t="str">
        <f aca="false">IF(B206="","",IF(Office_Log!B6="","",Office_Log!B6&amp;""))</f>
        <v/>
      </c>
      <c r="F206" s="23" t="str">
        <f aca="false">IF(B206="","","yes_in_principle")</f>
        <v/>
      </c>
      <c r="G206" s="23" t="str">
        <f aca="false">IF(B206="","","")</f>
        <v/>
      </c>
      <c r="H206" s="23" t="str">
        <f aca="false">IF(B206="","","")</f>
        <v/>
      </c>
      <c r="I206" s="23" t="str">
        <f aca="false">IF(B206="","","")</f>
        <v/>
      </c>
      <c r="J206" s="23" t="str">
        <f aca="false">IF(B206="","","owner: "&amp;Office_Log!AE6&amp;"; window: "&amp;Office_Log!AH6)</f>
        <v/>
      </c>
      <c r="K206" s="32" t="s">
        <v>1353</v>
      </c>
    </row>
    <row r="207" customFormat="false" ht="15" hidden="false" customHeight="false" outlineLevel="0" collapsed="false">
      <c r="A207" s="42" t="n">
        <f aca="false">IF(B207="","",B207+(2*1000+6)/10000000)</f>
        <v>46330.0002006</v>
      </c>
      <c r="B207" s="35" t="n">
        <f aca="false">IF(AND(Office_Log!BE7=1,Office_Log!EI7=0,IF(INT(N(Office_Log!H7))&lt;=Config!$B$8,Office_Log!DJ7,Office_Log!DK7)=1),Office_Log!H7,"")</f>
        <v>46330</v>
      </c>
      <c r="C207" s="23" t="str">
        <f aca="false">IF(B207="","","office")</f>
        <v>office</v>
      </c>
      <c r="D207" s="23" t="str">
        <f aca="false">IF(B207="","",Office_Log!ED7&amp;"")</f>
        <v>SAMPLE-O-006</v>
      </c>
      <c r="E207" s="23" t="str">
        <f aca="false">IF(B207="","",IF(Office_Log!B7="","",Office_Log!B7&amp;""))</f>
        <v>SAMPLE Office 06</v>
      </c>
      <c r="F207" s="23" t="str">
        <f aca="false">IF(B207="","","yes_in_principle")</f>
        <v>yes_in_principle</v>
      </c>
      <c r="G207" s="23" t="str">
        <f aca="false">IF(B207="","","")</f>
        <v/>
      </c>
      <c r="H207" s="23" t="str">
        <f aca="false">IF(B207="","","")</f>
        <v/>
      </c>
      <c r="I207" s="23" t="str">
        <f aca="false">IF(B207="","","")</f>
        <v/>
      </c>
      <c r="J207" s="23" t="str">
        <f aca="false">IF(B207="","","owner: "&amp;Office_Log!AE7&amp;"; window: "&amp;Office_Log!AH7)</f>
        <v>owner: Office Manager; window: SAMPLE Tue 8-10am</v>
      </c>
      <c r="K207" s="32" t="s">
        <v>1353</v>
      </c>
    </row>
    <row r="208" customFormat="false" ht="15" hidden="false" customHeight="false" outlineLevel="0" collapsed="false">
      <c r="A208" s="23" t="str">
        <f aca="false">IF(B208="","",B208+(2*1000+7)/10000000)</f>
        <v/>
      </c>
      <c r="B208" s="35" t="str">
        <f aca="false">IF(AND(Office_Log!BE8=1,Office_Log!EI8=0,IF(INT(N(Office_Log!H8))&lt;=Config!$B$8,Office_Log!DJ8,Office_Log!DK8)=1),Office_Log!H8,"")</f>
        <v/>
      </c>
      <c r="C208" s="23" t="str">
        <f aca="false">IF(B208="","","office")</f>
        <v/>
      </c>
      <c r="D208" s="23" t="str">
        <f aca="false">IF(B208="","",Office_Log!ED8&amp;"")</f>
        <v/>
      </c>
      <c r="E208" s="23" t="str">
        <f aca="false">IF(B208="","",IF(Office_Log!B8="","",Office_Log!B8&amp;""))</f>
        <v/>
      </c>
      <c r="F208" s="23" t="str">
        <f aca="false">IF(B208="","","yes_in_principle")</f>
        <v/>
      </c>
      <c r="G208" s="23" t="str">
        <f aca="false">IF(B208="","","")</f>
        <v/>
      </c>
      <c r="H208" s="23" t="str">
        <f aca="false">IF(B208="","","")</f>
        <v/>
      </c>
      <c r="I208" s="23" t="str">
        <f aca="false">IF(B208="","","")</f>
        <v/>
      </c>
      <c r="J208" s="23" t="str">
        <f aca="false">IF(B208="","","owner: "&amp;Office_Log!AE8&amp;"; window: "&amp;Office_Log!AH8)</f>
        <v/>
      </c>
      <c r="K208" s="32" t="s">
        <v>1353</v>
      </c>
    </row>
    <row r="209" customFormat="false" ht="15" hidden="false" customHeight="false" outlineLevel="0" collapsed="false">
      <c r="A209" s="42" t="n">
        <f aca="false">IF(B209="","",B209+(2*1000+8)/10000000)</f>
        <v>46335.0002008</v>
      </c>
      <c r="B209" s="35" t="n">
        <f aca="false">IF(AND(Office_Log!BE9=1,Office_Log!EI9=0,IF(INT(N(Office_Log!H9))&lt;=Config!$B$8,Office_Log!DJ9,Office_Log!DK9)=1),Office_Log!H9,"")</f>
        <v>46335</v>
      </c>
      <c r="C209" s="23" t="str">
        <f aca="false">IF(B209="","","office")</f>
        <v>office</v>
      </c>
      <c r="D209" s="23" t="str">
        <f aca="false">IF(B209="","",Office_Log!ED9&amp;"")</f>
        <v>SAMPLE-O-008</v>
      </c>
      <c r="E209" s="23" t="str">
        <f aca="false">IF(B209="","",IF(Office_Log!B9="","",Office_Log!B9&amp;""))</f>
        <v>SAMPLE Office 08</v>
      </c>
      <c r="F209" s="23" t="str">
        <f aca="false">IF(B209="","","yes_in_principle")</f>
        <v>yes_in_principle</v>
      </c>
      <c r="G209" s="23" t="str">
        <f aca="false">IF(B209="","","")</f>
        <v/>
      </c>
      <c r="H209" s="23" t="str">
        <f aca="false">IF(B209="","","")</f>
        <v/>
      </c>
      <c r="I209" s="23" t="str">
        <f aca="false">IF(B209="","","")</f>
        <v/>
      </c>
      <c r="J209" s="23" t="str">
        <f aca="false">IF(B209="","","owner: "&amp;Office_Log!AE9&amp;"; window: "&amp;Office_Log!AH9)</f>
        <v>owner: Office Manager; window: SAMPLE Wed 9-12</v>
      </c>
      <c r="K209" s="32" t="s">
        <v>1353</v>
      </c>
    </row>
    <row r="210" customFormat="false" ht="15" hidden="false" customHeight="false" outlineLevel="0" collapsed="false">
      <c r="A210" s="23" t="str">
        <f aca="false">IF(B210="","",B210+(2*1000+9)/10000000)</f>
        <v/>
      </c>
      <c r="B210" s="35" t="str">
        <f aca="false">IF(AND(Office_Log!BE10=1,Office_Log!EI10=0,IF(INT(N(Office_Log!H10))&lt;=Config!$B$8,Office_Log!DJ10,Office_Log!DK10)=1),Office_Log!H10,"")</f>
        <v/>
      </c>
      <c r="C210" s="23" t="str">
        <f aca="false">IF(B210="","","office")</f>
        <v/>
      </c>
      <c r="D210" s="23" t="str">
        <f aca="false">IF(B210="","",Office_Log!ED10&amp;"")</f>
        <v/>
      </c>
      <c r="E210" s="23" t="str">
        <f aca="false">IF(B210="","",IF(Office_Log!B10="","",Office_Log!B10&amp;""))</f>
        <v/>
      </c>
      <c r="F210" s="23" t="str">
        <f aca="false">IF(B210="","","yes_in_principle")</f>
        <v/>
      </c>
      <c r="G210" s="23" t="str">
        <f aca="false">IF(B210="","","")</f>
        <v/>
      </c>
      <c r="H210" s="23" t="str">
        <f aca="false">IF(B210="","","")</f>
        <v/>
      </c>
      <c r="I210" s="23" t="str">
        <f aca="false">IF(B210="","","")</f>
        <v/>
      </c>
      <c r="J210" s="23" t="str">
        <f aca="false">IF(B210="","","owner: "&amp;Office_Log!AE10&amp;"; window: "&amp;Office_Log!AH10)</f>
        <v/>
      </c>
      <c r="K210" s="32" t="s">
        <v>1353</v>
      </c>
    </row>
    <row r="211" customFormat="false" ht="15" hidden="false" customHeight="false" outlineLevel="0" collapsed="false">
      <c r="A211" s="42" t="n">
        <f aca="false">IF(B211="","",B211+(2*1000+10)/10000000)</f>
        <v>46336.000201</v>
      </c>
      <c r="B211" s="35" t="n">
        <f aca="false">IF(AND(Office_Log!BE11=1,Office_Log!EI11=0,IF(INT(N(Office_Log!H11))&lt;=Config!$B$8,Office_Log!DJ11,Office_Log!DK11)=1),Office_Log!H11,"")</f>
        <v>46336</v>
      </c>
      <c r="C211" s="23" t="str">
        <f aca="false">IF(B211="","","office")</f>
        <v>office</v>
      </c>
      <c r="D211" s="23" t="str">
        <f aca="false">IF(B211="","",Office_Log!ED11&amp;"")</f>
        <v>SAMPLE-O-010</v>
      </c>
      <c r="E211" s="23" t="str">
        <f aca="false">IF(B211="","",IF(Office_Log!B11="","",Office_Log!B11&amp;""))</f>
        <v>SAMPLE Office 10</v>
      </c>
      <c r="F211" s="23" t="str">
        <f aca="false">IF(B211="","","yes_in_principle")</f>
        <v>yes_in_principle</v>
      </c>
      <c r="G211" s="23" t="str">
        <f aca="false">IF(B211="","","")</f>
        <v/>
      </c>
      <c r="H211" s="23" t="str">
        <f aca="false">IF(B211="","","")</f>
        <v/>
      </c>
      <c r="I211" s="23" t="str">
        <f aca="false">IF(B211="","","")</f>
        <v/>
      </c>
      <c r="J211" s="23" t="str">
        <f aca="false">IF(B211="","","owner: "&amp;Office_Log!AE11&amp;"; window: "&amp;Office_Log!AH11)</f>
        <v>owner: Office Manager; window: SAMPLE Tue 10-11</v>
      </c>
      <c r="K211" s="32" t="s">
        <v>1353</v>
      </c>
    </row>
    <row r="212" customFormat="false" ht="15" hidden="false" customHeight="false" outlineLevel="0" collapsed="false">
      <c r="A212" s="23" t="str">
        <f aca="false">IF(B212="","",B212+(2*1000+11)/10000000)</f>
        <v/>
      </c>
      <c r="B212" s="35" t="str">
        <f aca="false">IF(AND(Office_Log!BE12=1,Office_Log!EI12=0,IF(INT(N(Office_Log!H12))&lt;=Config!$B$8,Office_Log!DJ12,Office_Log!DK12)=1),Office_Log!H12,"")</f>
        <v/>
      </c>
      <c r="C212" s="23" t="str">
        <f aca="false">IF(B212="","","office")</f>
        <v/>
      </c>
      <c r="D212" s="23" t="str">
        <f aca="false">IF(B212="","",Office_Log!ED12&amp;"")</f>
        <v/>
      </c>
      <c r="E212" s="23" t="str">
        <f aca="false">IF(B212="","",IF(Office_Log!B12="","",Office_Log!B12&amp;""))</f>
        <v/>
      </c>
      <c r="F212" s="23" t="str">
        <f aca="false">IF(B212="","","yes_in_principle")</f>
        <v/>
      </c>
      <c r="G212" s="23" t="str">
        <f aca="false">IF(B212="","","")</f>
        <v/>
      </c>
      <c r="H212" s="23" t="str">
        <f aca="false">IF(B212="","","")</f>
        <v/>
      </c>
      <c r="I212" s="23" t="str">
        <f aca="false">IF(B212="","","")</f>
        <v/>
      </c>
      <c r="J212" s="23" t="str">
        <f aca="false">IF(B212="","","owner: "&amp;Office_Log!AE12&amp;"; window: "&amp;Office_Log!AH12)</f>
        <v/>
      </c>
      <c r="K212" s="32" t="s">
        <v>1353</v>
      </c>
    </row>
    <row r="213" customFormat="false" ht="15" hidden="false" customHeight="false" outlineLevel="0" collapsed="false">
      <c r="A213" s="23" t="str">
        <f aca="false">IF(B213="","",B213+(2*1000+12)/10000000)</f>
        <v/>
      </c>
      <c r="B213" s="35" t="str">
        <f aca="false">IF(AND(Office_Log!BE13=1,Office_Log!EI13=0,IF(INT(N(Office_Log!H13))&lt;=Config!$B$8,Office_Log!DJ13,Office_Log!DK13)=1),Office_Log!H13,"")</f>
        <v/>
      </c>
      <c r="C213" s="23" t="str">
        <f aca="false">IF(B213="","","office")</f>
        <v/>
      </c>
      <c r="D213" s="23" t="str">
        <f aca="false">IF(B213="","",Office_Log!ED13&amp;"")</f>
        <v/>
      </c>
      <c r="E213" s="23" t="str">
        <f aca="false">IF(B213="","",IF(Office_Log!B13="","",Office_Log!B13&amp;""))</f>
        <v/>
      </c>
      <c r="F213" s="23" t="str">
        <f aca="false">IF(B213="","","yes_in_principle")</f>
        <v/>
      </c>
      <c r="G213" s="23" t="str">
        <f aca="false">IF(B213="","","")</f>
        <v/>
      </c>
      <c r="H213" s="23" t="str">
        <f aca="false">IF(B213="","","")</f>
        <v/>
      </c>
      <c r="I213" s="23" t="str">
        <f aca="false">IF(B213="","","")</f>
        <v/>
      </c>
      <c r="J213" s="23" t="str">
        <f aca="false">IF(B213="","","owner: "&amp;Office_Log!AE13&amp;"; window: "&amp;Office_Log!AH13)</f>
        <v/>
      </c>
      <c r="K213" s="32" t="s">
        <v>1353</v>
      </c>
    </row>
    <row r="214" customFormat="false" ht="15" hidden="false" customHeight="false" outlineLevel="0" collapsed="false">
      <c r="A214" s="42" t="n">
        <f aca="false">IF(B214="","",B214+(2*1000+13)/10000000)</f>
        <v>46339.0002013</v>
      </c>
      <c r="B214" s="35" t="n">
        <f aca="false">IF(AND(Office_Log!BE14=1,Office_Log!EI14=0,IF(INT(N(Office_Log!H14))&lt;=Config!$B$8,Office_Log!DJ14,Office_Log!DK14)=1),Office_Log!H14,"")</f>
        <v>46339</v>
      </c>
      <c r="C214" s="23" t="str">
        <f aca="false">IF(B214="","","office")</f>
        <v>office</v>
      </c>
      <c r="D214" s="23" t="str">
        <f aca="false">IF(B214="","",Office_Log!ED14&amp;"")</f>
        <v>SAMPLE-O-013</v>
      </c>
      <c r="E214" s="23" t="str">
        <f aca="false">IF(B214="","",IF(Office_Log!B14="","",Office_Log!B14&amp;""))</f>
        <v>SAMPLE Office 13</v>
      </c>
      <c r="F214" s="23" t="str">
        <f aca="false">IF(B214="","","yes_in_principle")</f>
        <v>yes_in_principle</v>
      </c>
      <c r="G214" s="23" t="str">
        <f aca="false">IF(B214="","","")</f>
        <v/>
      </c>
      <c r="H214" s="23" t="str">
        <f aca="false">IF(B214="","","")</f>
        <v/>
      </c>
      <c r="I214" s="23" t="str">
        <f aca="false">IF(B214="","","")</f>
        <v/>
      </c>
      <c r="J214" s="23" t="str">
        <f aca="false">IF(B214="","","owner: "&amp;Office_Log!AE14&amp;"; window: "&amp;Office_Log!AH14)</f>
        <v>owner: Office Manager; window: SAMPLE Tue 9am</v>
      </c>
      <c r="K214" s="32" t="s">
        <v>1353</v>
      </c>
    </row>
    <row r="215" customFormat="false" ht="15" hidden="false" customHeight="false" outlineLevel="0" collapsed="false">
      <c r="A215" s="42" t="n">
        <f aca="false">IF(B215="","",B215+(2*1000+14)/10000000)</f>
        <v>46332.0002014</v>
      </c>
      <c r="B215" s="35" t="n">
        <f aca="false">IF(AND(Office_Log!BE15=1,Office_Log!EI15=0,IF(INT(N(Office_Log!H15))&lt;=Config!$B$8,Office_Log!DJ15,Office_Log!DK15)=1),Office_Log!H15,"")</f>
        <v>46332</v>
      </c>
      <c r="C215" s="23" t="str">
        <f aca="false">IF(B215="","","office")</f>
        <v>office</v>
      </c>
      <c r="D215" s="23" t="str">
        <f aca="false">IF(B215="","",Office_Log!ED15&amp;"")</f>
        <v>SAMPLE-O-001</v>
      </c>
      <c r="E215" s="23" t="str">
        <f aca="false">IF(B215="","",IF(Office_Log!B15="","",Office_Log!B15&amp;""))</f>
        <v>SAMPLE Office 01</v>
      </c>
      <c r="F215" s="23" t="str">
        <f aca="false">IF(B215="","","yes_in_principle")</f>
        <v>yes_in_principle</v>
      </c>
      <c r="G215" s="23" t="str">
        <f aca="false">IF(B215="","","")</f>
        <v/>
      </c>
      <c r="H215" s="23" t="str">
        <f aca="false">IF(B215="","","")</f>
        <v/>
      </c>
      <c r="I215" s="23" t="str">
        <f aca="false">IF(B215="","","")</f>
        <v/>
      </c>
      <c r="J215" s="23" t="str">
        <f aca="false">IF(B215="","","owner: "&amp;Office_Log!AE15&amp;"; window: "&amp;Office_Log!AH15)</f>
        <v>owner: Office Manager; window: SAMPLE Tue-Wed 9-11am</v>
      </c>
      <c r="K215" s="32" t="s">
        <v>1353</v>
      </c>
    </row>
    <row r="216" customFormat="false" ht="15" hidden="false" customHeight="false" outlineLevel="0" collapsed="false">
      <c r="A216" s="42" t="n">
        <f aca="false">IF(B216="","",B216+(2*1000+15)/10000000)</f>
        <v>46342.0002015</v>
      </c>
      <c r="B216" s="35" t="n">
        <f aca="false">IF(AND(Office_Log!BE16=1,Office_Log!EI16=0,IF(INT(N(Office_Log!H16))&lt;=Config!$B$8,Office_Log!DJ16,Office_Log!DK16)=1),Office_Log!H16,"")</f>
        <v>46342</v>
      </c>
      <c r="C216" s="23" t="str">
        <f aca="false">IF(B216="","","office")</f>
        <v>office</v>
      </c>
      <c r="D216" s="23" t="str">
        <f aca="false">IF(B216="","",Office_Log!ED16&amp;"")</f>
        <v>SAMPLE-O-014</v>
      </c>
      <c r="E216" s="23" t="str">
        <f aca="false">IF(B216="","",IF(Office_Log!B16="","",Office_Log!B16&amp;""))</f>
        <v>SAMPLE Office 14</v>
      </c>
      <c r="F216" s="23" t="str">
        <f aca="false">IF(B216="","","yes_in_principle")</f>
        <v>yes_in_principle</v>
      </c>
      <c r="G216" s="23" t="str">
        <f aca="false">IF(B216="","","")</f>
        <v/>
      </c>
      <c r="H216" s="23" t="str">
        <f aca="false">IF(B216="","","")</f>
        <v/>
      </c>
      <c r="I216" s="23" t="str">
        <f aca="false">IF(B216="","","")</f>
        <v/>
      </c>
      <c r="J216" s="23" t="str">
        <f aca="false">IF(B216="","","owner: "&amp;Office_Log!AE16&amp;"; window: "&amp;Office_Log!AH16)</f>
        <v>owner: Office Manager; window: SAMPLE Wed 8-9am</v>
      </c>
      <c r="K216" s="32" t="s">
        <v>1353</v>
      </c>
    </row>
    <row r="217" customFormat="false" ht="15" hidden="false" customHeight="false" outlineLevel="0" collapsed="false">
      <c r="A217" s="23" t="str">
        <f aca="false">IF(B217="","",B217+(2*1000+16)/10000000)</f>
        <v/>
      </c>
      <c r="B217" s="35" t="str">
        <f aca="false">IF(AND(Office_Log!BE17=1,Office_Log!EI17=0,IF(INT(N(Office_Log!H17))&lt;=Config!$B$8,Office_Log!DJ17,Office_Log!DK17)=1),Office_Log!H17,"")</f>
        <v/>
      </c>
      <c r="C217" s="23" t="str">
        <f aca="false">IF(B217="","","office")</f>
        <v/>
      </c>
      <c r="D217" s="23" t="str">
        <f aca="false">IF(B217="","",Office_Log!ED17&amp;"")</f>
        <v/>
      </c>
      <c r="E217" s="23" t="str">
        <f aca="false">IF(B217="","",IF(Office_Log!B17="","",Office_Log!B17&amp;""))</f>
        <v/>
      </c>
      <c r="F217" s="23" t="str">
        <f aca="false">IF(B217="","","yes_in_principle")</f>
        <v/>
      </c>
      <c r="G217" s="23" t="str">
        <f aca="false">IF(B217="","","")</f>
        <v/>
      </c>
      <c r="H217" s="23" t="str">
        <f aca="false">IF(B217="","","")</f>
        <v/>
      </c>
      <c r="I217" s="23" t="str">
        <f aca="false">IF(B217="","","")</f>
        <v/>
      </c>
      <c r="J217" s="23" t="str">
        <f aca="false">IF(B217="","","owner: "&amp;Office_Log!AE17&amp;"; window: "&amp;Office_Log!AH17)</f>
        <v/>
      </c>
      <c r="K217" s="32" t="s">
        <v>1353</v>
      </c>
    </row>
    <row r="218" customFormat="false" ht="15" hidden="false" customHeight="false" outlineLevel="0" collapsed="false">
      <c r="A218" s="23" t="str">
        <f aca="false">IF(B218="","",B218+(2*1000+17)/10000000)</f>
        <v/>
      </c>
      <c r="B218" s="35" t="str">
        <f aca="false">IF(AND(Office_Log!BE18=1,Office_Log!EI18=0,IF(INT(N(Office_Log!H18))&lt;=Config!$B$8,Office_Log!DJ18,Office_Log!DK18)=1),Office_Log!H18,"")</f>
        <v/>
      </c>
      <c r="C218" s="23" t="str">
        <f aca="false">IF(B218="","","office")</f>
        <v/>
      </c>
      <c r="D218" s="23" t="str">
        <f aca="false">IF(B218="","",Office_Log!ED18&amp;"")</f>
        <v/>
      </c>
      <c r="E218" s="23" t="str">
        <f aca="false">IF(B218="","",IF(Office_Log!B18="","",Office_Log!B18&amp;""))</f>
        <v/>
      </c>
      <c r="F218" s="23" t="str">
        <f aca="false">IF(B218="","","yes_in_principle")</f>
        <v/>
      </c>
      <c r="G218" s="23" t="str">
        <f aca="false">IF(B218="","","")</f>
        <v/>
      </c>
      <c r="H218" s="23" t="str">
        <f aca="false">IF(B218="","","")</f>
        <v/>
      </c>
      <c r="I218" s="23" t="str">
        <f aca="false">IF(B218="","","")</f>
        <v/>
      </c>
      <c r="J218" s="23" t="str">
        <f aca="false">IF(B218="","","owner: "&amp;Office_Log!AE18&amp;"; window: "&amp;Office_Log!AH18)</f>
        <v/>
      </c>
      <c r="K218" s="32" t="s">
        <v>1353</v>
      </c>
    </row>
    <row r="219" customFormat="false" ht="15" hidden="false" customHeight="false" outlineLevel="0" collapsed="false">
      <c r="A219" s="23" t="str">
        <f aca="false">IF(B219="","",B219+(2*1000+18)/10000000)</f>
        <v/>
      </c>
      <c r="B219" s="35" t="str">
        <f aca="false">IF(AND(Office_Log!BE19=1,Office_Log!EI19=0,IF(INT(N(Office_Log!H19))&lt;=Config!$B$8,Office_Log!DJ19,Office_Log!DK19)=1),Office_Log!H19,"")</f>
        <v/>
      </c>
      <c r="C219" s="23" t="str">
        <f aca="false">IF(B219="","","office")</f>
        <v/>
      </c>
      <c r="D219" s="23" t="str">
        <f aca="false">IF(B219="","",Office_Log!ED19&amp;"")</f>
        <v/>
      </c>
      <c r="E219" s="23" t="str">
        <f aca="false">IF(B219="","",IF(Office_Log!B19="","",Office_Log!B19&amp;""))</f>
        <v/>
      </c>
      <c r="F219" s="23" t="str">
        <f aca="false">IF(B219="","","yes_in_principle")</f>
        <v/>
      </c>
      <c r="G219" s="23" t="str">
        <f aca="false">IF(B219="","","")</f>
        <v/>
      </c>
      <c r="H219" s="23" t="str">
        <f aca="false">IF(B219="","","")</f>
        <v/>
      </c>
      <c r="I219" s="23" t="str">
        <f aca="false">IF(B219="","","")</f>
        <v/>
      </c>
      <c r="J219" s="23" t="str">
        <f aca="false">IF(B219="","","owner: "&amp;Office_Log!AE19&amp;"; window: "&amp;Office_Log!AH19)</f>
        <v/>
      </c>
      <c r="K219" s="32" t="s">
        <v>1353</v>
      </c>
    </row>
    <row r="220" customFormat="false" ht="15" hidden="false" customHeight="false" outlineLevel="0" collapsed="false">
      <c r="A220" s="23" t="str">
        <f aca="false">IF(B220="","",B220+(2*1000+19)/10000000)</f>
        <v/>
      </c>
      <c r="B220" s="35" t="str">
        <f aca="false">IF(AND(Office_Log!BE20=1,Office_Log!EI20=0,IF(INT(N(Office_Log!H20))&lt;=Config!$B$8,Office_Log!DJ20,Office_Log!DK20)=1),Office_Log!H20,"")</f>
        <v/>
      </c>
      <c r="C220" s="23" t="str">
        <f aca="false">IF(B220="","","office")</f>
        <v/>
      </c>
      <c r="D220" s="23" t="str">
        <f aca="false">IF(B220="","",Office_Log!ED20&amp;"")</f>
        <v/>
      </c>
      <c r="E220" s="23" t="str">
        <f aca="false">IF(B220="","",IF(Office_Log!B20="","",Office_Log!B20&amp;""))</f>
        <v/>
      </c>
      <c r="F220" s="23" t="str">
        <f aca="false">IF(B220="","","yes_in_principle")</f>
        <v/>
      </c>
      <c r="G220" s="23" t="str">
        <f aca="false">IF(B220="","","")</f>
        <v/>
      </c>
      <c r="H220" s="23" t="str">
        <f aca="false">IF(B220="","","")</f>
        <v/>
      </c>
      <c r="I220" s="23" t="str">
        <f aca="false">IF(B220="","","")</f>
        <v/>
      </c>
      <c r="J220" s="23" t="str">
        <f aca="false">IF(B220="","","owner: "&amp;Office_Log!AE20&amp;"; window: "&amp;Office_Log!AH20)</f>
        <v/>
      </c>
      <c r="K220" s="32" t="s">
        <v>1353</v>
      </c>
    </row>
    <row r="221" customFormat="false" ht="15" hidden="false" customHeight="false" outlineLevel="0" collapsed="false">
      <c r="A221" s="23" t="str">
        <f aca="false">IF(B221="","",B221+(2*1000+20)/10000000)</f>
        <v/>
      </c>
      <c r="B221" s="35" t="str">
        <f aca="false">IF(AND(Office_Log!BE21=1,Office_Log!EI21=0,IF(INT(N(Office_Log!H21))&lt;=Config!$B$8,Office_Log!DJ21,Office_Log!DK21)=1),Office_Log!H21,"")</f>
        <v/>
      </c>
      <c r="C221" s="23" t="str">
        <f aca="false">IF(B221="","","office")</f>
        <v/>
      </c>
      <c r="D221" s="23" t="str">
        <f aca="false">IF(B221="","",Office_Log!ED21&amp;"")</f>
        <v/>
      </c>
      <c r="E221" s="23" t="str">
        <f aca="false">IF(B221="","",IF(Office_Log!B21="","",Office_Log!B21&amp;""))</f>
        <v/>
      </c>
      <c r="F221" s="23" t="str">
        <f aca="false">IF(B221="","","yes_in_principle")</f>
        <v/>
      </c>
      <c r="G221" s="23" t="str">
        <f aca="false">IF(B221="","","")</f>
        <v/>
      </c>
      <c r="H221" s="23" t="str">
        <f aca="false">IF(B221="","","")</f>
        <v/>
      </c>
      <c r="I221" s="23" t="str">
        <f aca="false">IF(B221="","","")</f>
        <v/>
      </c>
      <c r="J221" s="23" t="str">
        <f aca="false">IF(B221="","","owner: "&amp;Office_Log!AE21&amp;"; window: "&amp;Office_Log!AH21)</f>
        <v/>
      </c>
      <c r="K221" s="32" t="s">
        <v>1353</v>
      </c>
    </row>
    <row r="222" customFormat="false" ht="15" hidden="false" customHeight="false" outlineLevel="0" collapsed="false">
      <c r="A222" s="23" t="str">
        <f aca="false">IF(B222="","",B222+(2*1000+21)/10000000)</f>
        <v/>
      </c>
      <c r="B222" s="35" t="str">
        <f aca="false">IF(AND(Office_Log!BE22=1,Office_Log!EI22=0,IF(INT(N(Office_Log!H22))&lt;=Config!$B$8,Office_Log!DJ22,Office_Log!DK22)=1),Office_Log!H22,"")</f>
        <v/>
      </c>
      <c r="C222" s="23" t="str">
        <f aca="false">IF(B222="","","office")</f>
        <v/>
      </c>
      <c r="D222" s="23" t="str">
        <f aca="false">IF(B222="","",Office_Log!ED22&amp;"")</f>
        <v/>
      </c>
      <c r="E222" s="23" t="str">
        <f aca="false">IF(B222="","",IF(Office_Log!B22="","",Office_Log!B22&amp;""))</f>
        <v/>
      </c>
      <c r="F222" s="23" t="str">
        <f aca="false">IF(B222="","","yes_in_principle")</f>
        <v/>
      </c>
      <c r="G222" s="23" t="str">
        <f aca="false">IF(B222="","","")</f>
        <v/>
      </c>
      <c r="H222" s="23" t="str">
        <f aca="false">IF(B222="","","")</f>
        <v/>
      </c>
      <c r="I222" s="23" t="str">
        <f aca="false">IF(B222="","","")</f>
        <v/>
      </c>
      <c r="J222" s="23" t="str">
        <f aca="false">IF(B222="","","owner: "&amp;Office_Log!AE22&amp;"; window: "&amp;Office_Log!AH22)</f>
        <v/>
      </c>
      <c r="K222" s="32" t="s">
        <v>1353</v>
      </c>
    </row>
    <row r="223" customFormat="false" ht="15" hidden="false" customHeight="false" outlineLevel="0" collapsed="false">
      <c r="A223" s="23" t="str">
        <f aca="false">IF(B223="","",B223+(2*1000+22)/10000000)</f>
        <v/>
      </c>
      <c r="B223" s="35" t="str">
        <f aca="false">IF(AND(Office_Log!BE23=1,Office_Log!EI23=0,IF(INT(N(Office_Log!H23))&lt;=Config!$B$8,Office_Log!DJ23,Office_Log!DK23)=1),Office_Log!H23,"")</f>
        <v/>
      </c>
      <c r="C223" s="23" t="str">
        <f aca="false">IF(B223="","","office")</f>
        <v/>
      </c>
      <c r="D223" s="23" t="str">
        <f aca="false">IF(B223="","",Office_Log!ED23&amp;"")</f>
        <v/>
      </c>
      <c r="E223" s="23" t="str">
        <f aca="false">IF(B223="","",IF(Office_Log!B23="","",Office_Log!B23&amp;""))</f>
        <v/>
      </c>
      <c r="F223" s="23" t="str">
        <f aca="false">IF(B223="","","yes_in_principle")</f>
        <v/>
      </c>
      <c r="G223" s="23" t="str">
        <f aca="false">IF(B223="","","")</f>
        <v/>
      </c>
      <c r="H223" s="23" t="str">
        <f aca="false">IF(B223="","","")</f>
        <v/>
      </c>
      <c r="I223" s="23" t="str">
        <f aca="false">IF(B223="","","")</f>
        <v/>
      </c>
      <c r="J223" s="23" t="str">
        <f aca="false">IF(B223="","","owner: "&amp;Office_Log!AE23&amp;"; window: "&amp;Office_Log!AH23)</f>
        <v/>
      </c>
      <c r="K223" s="32" t="s">
        <v>1353</v>
      </c>
    </row>
    <row r="224" customFormat="false" ht="15" hidden="false" customHeight="false" outlineLevel="0" collapsed="false">
      <c r="A224" s="23" t="str">
        <f aca="false">IF(B224="","",B224+(2*1000+23)/10000000)</f>
        <v/>
      </c>
      <c r="B224" s="35" t="str">
        <f aca="false">IF(AND(Office_Log!BE24=1,Office_Log!EI24=0,IF(INT(N(Office_Log!H24))&lt;=Config!$B$8,Office_Log!DJ24,Office_Log!DK24)=1),Office_Log!H24,"")</f>
        <v/>
      </c>
      <c r="C224" s="23" t="str">
        <f aca="false">IF(B224="","","office")</f>
        <v/>
      </c>
      <c r="D224" s="23" t="str">
        <f aca="false">IF(B224="","",Office_Log!ED24&amp;"")</f>
        <v/>
      </c>
      <c r="E224" s="23" t="str">
        <f aca="false">IF(B224="","",IF(Office_Log!B24="","",Office_Log!B24&amp;""))</f>
        <v/>
      </c>
      <c r="F224" s="23" t="str">
        <f aca="false">IF(B224="","","yes_in_principle")</f>
        <v/>
      </c>
      <c r="G224" s="23" t="str">
        <f aca="false">IF(B224="","","")</f>
        <v/>
      </c>
      <c r="H224" s="23" t="str">
        <f aca="false">IF(B224="","","")</f>
        <v/>
      </c>
      <c r="I224" s="23" t="str">
        <f aca="false">IF(B224="","","")</f>
        <v/>
      </c>
      <c r="J224" s="23" t="str">
        <f aca="false">IF(B224="","","owner: "&amp;Office_Log!AE24&amp;"; window: "&amp;Office_Log!AH24)</f>
        <v/>
      </c>
      <c r="K224" s="32" t="s">
        <v>1353</v>
      </c>
    </row>
    <row r="225" customFormat="false" ht="15" hidden="false" customHeight="false" outlineLevel="0" collapsed="false">
      <c r="A225" s="23" t="str">
        <f aca="false">IF(B225="","",B225+(2*1000+24)/10000000)</f>
        <v/>
      </c>
      <c r="B225" s="35" t="str">
        <f aca="false">IF(AND(Office_Log!BE25=1,Office_Log!EI25=0,IF(INT(N(Office_Log!H25))&lt;=Config!$B$8,Office_Log!DJ25,Office_Log!DK25)=1),Office_Log!H25,"")</f>
        <v/>
      </c>
      <c r="C225" s="23" t="str">
        <f aca="false">IF(B225="","","office")</f>
        <v/>
      </c>
      <c r="D225" s="23" t="str">
        <f aca="false">IF(B225="","",Office_Log!ED25&amp;"")</f>
        <v/>
      </c>
      <c r="E225" s="23" t="str">
        <f aca="false">IF(B225="","",IF(Office_Log!B25="","",Office_Log!B25&amp;""))</f>
        <v/>
      </c>
      <c r="F225" s="23" t="str">
        <f aca="false">IF(B225="","","yes_in_principle")</f>
        <v/>
      </c>
      <c r="G225" s="23" t="str">
        <f aca="false">IF(B225="","","")</f>
        <v/>
      </c>
      <c r="H225" s="23" t="str">
        <f aca="false">IF(B225="","","")</f>
        <v/>
      </c>
      <c r="I225" s="23" t="str">
        <f aca="false">IF(B225="","","")</f>
        <v/>
      </c>
      <c r="J225" s="23" t="str">
        <f aca="false">IF(B225="","","owner: "&amp;Office_Log!AE25&amp;"; window: "&amp;Office_Log!AH25)</f>
        <v/>
      </c>
      <c r="K225" s="32" t="s">
        <v>1353</v>
      </c>
    </row>
    <row r="226" customFormat="false" ht="15" hidden="false" customHeight="false" outlineLevel="0" collapsed="false">
      <c r="A226" s="23" t="str">
        <f aca="false">IF(B226="","",B226+(2*1000+25)/10000000)</f>
        <v/>
      </c>
      <c r="B226" s="35" t="str">
        <f aca="false">IF(AND(Office_Log!BE26=1,Office_Log!EI26=0,IF(INT(N(Office_Log!H26))&lt;=Config!$B$8,Office_Log!DJ26,Office_Log!DK26)=1),Office_Log!H26,"")</f>
        <v/>
      </c>
      <c r="C226" s="23" t="str">
        <f aca="false">IF(B226="","","office")</f>
        <v/>
      </c>
      <c r="D226" s="23" t="str">
        <f aca="false">IF(B226="","",Office_Log!ED26&amp;"")</f>
        <v/>
      </c>
      <c r="E226" s="23" t="str">
        <f aca="false">IF(B226="","",IF(Office_Log!B26="","",Office_Log!B26&amp;""))</f>
        <v/>
      </c>
      <c r="F226" s="23" t="str">
        <f aca="false">IF(B226="","","yes_in_principle")</f>
        <v/>
      </c>
      <c r="G226" s="23" t="str">
        <f aca="false">IF(B226="","","")</f>
        <v/>
      </c>
      <c r="H226" s="23" t="str">
        <f aca="false">IF(B226="","","")</f>
        <v/>
      </c>
      <c r="I226" s="23" t="str">
        <f aca="false">IF(B226="","","")</f>
        <v/>
      </c>
      <c r="J226" s="23" t="str">
        <f aca="false">IF(B226="","","owner: "&amp;Office_Log!AE26&amp;"; window: "&amp;Office_Log!AH26)</f>
        <v/>
      </c>
      <c r="K226" s="32" t="s">
        <v>1353</v>
      </c>
    </row>
    <row r="227" customFormat="false" ht="15" hidden="false" customHeight="false" outlineLevel="0" collapsed="false">
      <c r="A227" s="23" t="str">
        <f aca="false">IF(B227="","",B227+(2*1000+26)/10000000)</f>
        <v/>
      </c>
      <c r="B227" s="35" t="str">
        <f aca="false">IF(AND(Office_Log!BE27=1,Office_Log!EI27=0,IF(INT(N(Office_Log!H27))&lt;=Config!$B$8,Office_Log!DJ27,Office_Log!DK27)=1),Office_Log!H27,"")</f>
        <v/>
      </c>
      <c r="C227" s="23" t="str">
        <f aca="false">IF(B227="","","office")</f>
        <v/>
      </c>
      <c r="D227" s="23" t="str">
        <f aca="false">IF(B227="","",Office_Log!ED27&amp;"")</f>
        <v/>
      </c>
      <c r="E227" s="23" t="str">
        <f aca="false">IF(B227="","",IF(Office_Log!B27="","",Office_Log!B27&amp;""))</f>
        <v/>
      </c>
      <c r="F227" s="23" t="str">
        <f aca="false">IF(B227="","","yes_in_principle")</f>
        <v/>
      </c>
      <c r="G227" s="23" t="str">
        <f aca="false">IF(B227="","","")</f>
        <v/>
      </c>
      <c r="H227" s="23" t="str">
        <f aca="false">IF(B227="","","")</f>
        <v/>
      </c>
      <c r="I227" s="23" t="str">
        <f aca="false">IF(B227="","","")</f>
        <v/>
      </c>
      <c r="J227" s="23" t="str">
        <f aca="false">IF(B227="","","owner: "&amp;Office_Log!AE27&amp;"; window: "&amp;Office_Log!AH27)</f>
        <v/>
      </c>
      <c r="K227" s="32" t="s">
        <v>1353</v>
      </c>
    </row>
    <row r="228" customFormat="false" ht="15" hidden="false" customHeight="false" outlineLevel="0" collapsed="false">
      <c r="A228" s="23" t="str">
        <f aca="false">IF(B228="","",B228+(2*1000+27)/10000000)</f>
        <v/>
      </c>
      <c r="B228" s="35" t="str">
        <f aca="false">IF(AND(Office_Log!BE28=1,Office_Log!EI28=0,IF(INT(N(Office_Log!H28))&lt;=Config!$B$8,Office_Log!DJ28,Office_Log!DK28)=1),Office_Log!H28,"")</f>
        <v/>
      </c>
      <c r="C228" s="23" t="str">
        <f aca="false">IF(B228="","","office")</f>
        <v/>
      </c>
      <c r="D228" s="23" t="str">
        <f aca="false">IF(B228="","",Office_Log!ED28&amp;"")</f>
        <v/>
      </c>
      <c r="E228" s="23" t="str">
        <f aca="false">IF(B228="","",IF(Office_Log!B28="","",Office_Log!B28&amp;""))</f>
        <v/>
      </c>
      <c r="F228" s="23" t="str">
        <f aca="false">IF(B228="","","yes_in_principle")</f>
        <v/>
      </c>
      <c r="G228" s="23" t="str">
        <f aca="false">IF(B228="","","")</f>
        <v/>
      </c>
      <c r="H228" s="23" t="str">
        <f aca="false">IF(B228="","","")</f>
        <v/>
      </c>
      <c r="I228" s="23" t="str">
        <f aca="false">IF(B228="","","")</f>
        <v/>
      </c>
      <c r="J228" s="23" t="str">
        <f aca="false">IF(B228="","","owner: "&amp;Office_Log!AE28&amp;"; window: "&amp;Office_Log!AH28)</f>
        <v/>
      </c>
      <c r="K228" s="32" t="s">
        <v>1353</v>
      </c>
    </row>
    <row r="229" customFormat="false" ht="15" hidden="false" customHeight="false" outlineLevel="0" collapsed="false">
      <c r="A229" s="23" t="str">
        <f aca="false">IF(B229="","",B229+(2*1000+28)/10000000)</f>
        <v/>
      </c>
      <c r="B229" s="35" t="str">
        <f aca="false">IF(AND(Office_Log!BE29=1,Office_Log!EI29=0,IF(INT(N(Office_Log!H29))&lt;=Config!$B$8,Office_Log!DJ29,Office_Log!DK29)=1),Office_Log!H29,"")</f>
        <v/>
      </c>
      <c r="C229" s="23" t="str">
        <f aca="false">IF(B229="","","office")</f>
        <v/>
      </c>
      <c r="D229" s="23" t="str">
        <f aca="false">IF(B229="","",Office_Log!ED29&amp;"")</f>
        <v/>
      </c>
      <c r="E229" s="23" t="str">
        <f aca="false">IF(B229="","",IF(Office_Log!B29="","",Office_Log!B29&amp;""))</f>
        <v/>
      </c>
      <c r="F229" s="23" t="str">
        <f aca="false">IF(B229="","","yes_in_principle")</f>
        <v/>
      </c>
      <c r="G229" s="23" t="str">
        <f aca="false">IF(B229="","","")</f>
        <v/>
      </c>
      <c r="H229" s="23" t="str">
        <f aca="false">IF(B229="","","")</f>
        <v/>
      </c>
      <c r="I229" s="23" t="str">
        <f aca="false">IF(B229="","","")</f>
        <v/>
      </c>
      <c r="J229" s="23" t="str">
        <f aca="false">IF(B229="","","owner: "&amp;Office_Log!AE29&amp;"; window: "&amp;Office_Log!AH29)</f>
        <v/>
      </c>
      <c r="K229" s="32" t="s">
        <v>1353</v>
      </c>
    </row>
    <row r="230" customFormat="false" ht="15" hidden="false" customHeight="false" outlineLevel="0" collapsed="false">
      <c r="A230" s="23" t="str">
        <f aca="false">IF(B230="","",B230+(2*1000+29)/10000000)</f>
        <v/>
      </c>
      <c r="B230" s="35" t="str">
        <f aca="false">IF(AND(Office_Log!BE30=1,Office_Log!EI30=0,IF(INT(N(Office_Log!H30))&lt;=Config!$B$8,Office_Log!DJ30,Office_Log!DK30)=1),Office_Log!H30,"")</f>
        <v/>
      </c>
      <c r="C230" s="23" t="str">
        <f aca="false">IF(B230="","","office")</f>
        <v/>
      </c>
      <c r="D230" s="23" t="str">
        <f aca="false">IF(B230="","",Office_Log!ED30&amp;"")</f>
        <v/>
      </c>
      <c r="E230" s="23" t="str">
        <f aca="false">IF(B230="","",IF(Office_Log!B30="","",Office_Log!B30&amp;""))</f>
        <v/>
      </c>
      <c r="F230" s="23" t="str">
        <f aca="false">IF(B230="","","yes_in_principle")</f>
        <v/>
      </c>
      <c r="G230" s="23" t="str">
        <f aca="false">IF(B230="","","")</f>
        <v/>
      </c>
      <c r="H230" s="23" t="str">
        <f aca="false">IF(B230="","","")</f>
        <v/>
      </c>
      <c r="I230" s="23" t="str">
        <f aca="false">IF(B230="","","")</f>
        <v/>
      </c>
      <c r="J230" s="23" t="str">
        <f aca="false">IF(B230="","","owner: "&amp;Office_Log!AE30&amp;"; window: "&amp;Office_Log!AH30)</f>
        <v/>
      </c>
      <c r="K230" s="32" t="s">
        <v>1353</v>
      </c>
    </row>
    <row r="231" customFormat="false" ht="15" hidden="false" customHeight="false" outlineLevel="0" collapsed="false">
      <c r="A231" s="23" t="str">
        <f aca="false">IF(B231="","",B231+(2*1000+30)/10000000)</f>
        <v/>
      </c>
      <c r="B231" s="35" t="str">
        <f aca="false">IF(AND(Office_Log!BE31=1,Office_Log!EI31=0,IF(INT(N(Office_Log!H31))&lt;=Config!$B$8,Office_Log!DJ31,Office_Log!DK31)=1),Office_Log!H31,"")</f>
        <v/>
      </c>
      <c r="C231" s="23" t="str">
        <f aca="false">IF(B231="","","office")</f>
        <v/>
      </c>
      <c r="D231" s="23" t="str">
        <f aca="false">IF(B231="","",Office_Log!ED31&amp;"")</f>
        <v/>
      </c>
      <c r="E231" s="23" t="str">
        <f aca="false">IF(B231="","",IF(Office_Log!B31="","",Office_Log!B31&amp;""))</f>
        <v/>
      </c>
      <c r="F231" s="23" t="str">
        <f aca="false">IF(B231="","","yes_in_principle")</f>
        <v/>
      </c>
      <c r="G231" s="23" t="str">
        <f aca="false">IF(B231="","","")</f>
        <v/>
      </c>
      <c r="H231" s="23" t="str">
        <f aca="false">IF(B231="","","")</f>
        <v/>
      </c>
      <c r="I231" s="23" t="str">
        <f aca="false">IF(B231="","","")</f>
        <v/>
      </c>
      <c r="J231" s="23" t="str">
        <f aca="false">IF(B231="","","owner: "&amp;Office_Log!AE31&amp;"; window: "&amp;Office_Log!AH31)</f>
        <v/>
      </c>
      <c r="K231" s="32" t="s">
        <v>1353</v>
      </c>
    </row>
    <row r="232" customFormat="false" ht="15" hidden="false" customHeight="false" outlineLevel="0" collapsed="false">
      <c r="A232" s="23" t="str">
        <f aca="false">IF(B232="","",B232+(2*1000+31)/10000000)</f>
        <v/>
      </c>
      <c r="B232" s="35" t="str">
        <f aca="false">IF(AND(Office_Log!BE32=1,Office_Log!EI32=0,IF(INT(N(Office_Log!H32))&lt;=Config!$B$8,Office_Log!DJ32,Office_Log!DK32)=1),Office_Log!H32,"")</f>
        <v/>
      </c>
      <c r="C232" s="23" t="str">
        <f aca="false">IF(B232="","","office")</f>
        <v/>
      </c>
      <c r="D232" s="23" t="str">
        <f aca="false">IF(B232="","",Office_Log!ED32&amp;"")</f>
        <v/>
      </c>
      <c r="E232" s="23" t="str">
        <f aca="false">IF(B232="","",IF(Office_Log!B32="","",Office_Log!B32&amp;""))</f>
        <v/>
      </c>
      <c r="F232" s="23" t="str">
        <f aca="false">IF(B232="","","yes_in_principle")</f>
        <v/>
      </c>
      <c r="G232" s="23" t="str">
        <f aca="false">IF(B232="","","")</f>
        <v/>
      </c>
      <c r="H232" s="23" t="str">
        <f aca="false">IF(B232="","","")</f>
        <v/>
      </c>
      <c r="I232" s="23" t="str">
        <f aca="false">IF(B232="","","")</f>
        <v/>
      </c>
      <c r="J232" s="23" t="str">
        <f aca="false">IF(B232="","","owner: "&amp;Office_Log!AE32&amp;"; window: "&amp;Office_Log!AH32)</f>
        <v/>
      </c>
      <c r="K232" s="32" t="s">
        <v>1353</v>
      </c>
    </row>
    <row r="233" customFormat="false" ht="15" hidden="false" customHeight="false" outlineLevel="0" collapsed="false">
      <c r="A233" s="23" t="str">
        <f aca="false">IF(B233="","",B233+(2*1000+32)/10000000)</f>
        <v/>
      </c>
      <c r="B233" s="35" t="str">
        <f aca="false">IF(AND(Office_Log!BE33=1,Office_Log!EI33=0,IF(INT(N(Office_Log!H33))&lt;=Config!$B$8,Office_Log!DJ33,Office_Log!DK33)=1),Office_Log!H33,"")</f>
        <v/>
      </c>
      <c r="C233" s="23" t="str">
        <f aca="false">IF(B233="","","office")</f>
        <v/>
      </c>
      <c r="D233" s="23" t="str">
        <f aca="false">IF(B233="","",Office_Log!ED33&amp;"")</f>
        <v/>
      </c>
      <c r="E233" s="23" t="str">
        <f aca="false">IF(B233="","",IF(Office_Log!B33="","",Office_Log!B33&amp;""))</f>
        <v/>
      </c>
      <c r="F233" s="23" t="str">
        <f aca="false">IF(B233="","","yes_in_principle")</f>
        <v/>
      </c>
      <c r="G233" s="23" t="str">
        <f aca="false">IF(B233="","","")</f>
        <v/>
      </c>
      <c r="H233" s="23" t="str">
        <f aca="false">IF(B233="","","")</f>
        <v/>
      </c>
      <c r="I233" s="23" t="str">
        <f aca="false">IF(B233="","","")</f>
        <v/>
      </c>
      <c r="J233" s="23" t="str">
        <f aca="false">IF(B233="","","owner: "&amp;Office_Log!AE33&amp;"; window: "&amp;Office_Log!AH33)</f>
        <v/>
      </c>
      <c r="K233" s="32" t="s">
        <v>1353</v>
      </c>
    </row>
    <row r="234" customFormat="false" ht="15" hidden="false" customHeight="false" outlineLevel="0" collapsed="false">
      <c r="A234" s="23" t="str">
        <f aca="false">IF(B234="","",B234+(2*1000+33)/10000000)</f>
        <v/>
      </c>
      <c r="B234" s="35" t="str">
        <f aca="false">IF(AND(Office_Log!BE34=1,Office_Log!EI34=0,IF(INT(N(Office_Log!H34))&lt;=Config!$B$8,Office_Log!DJ34,Office_Log!DK34)=1),Office_Log!H34,"")</f>
        <v/>
      </c>
      <c r="C234" s="23" t="str">
        <f aca="false">IF(B234="","","office")</f>
        <v/>
      </c>
      <c r="D234" s="23" t="str">
        <f aca="false">IF(B234="","",Office_Log!ED34&amp;"")</f>
        <v/>
      </c>
      <c r="E234" s="23" t="str">
        <f aca="false">IF(B234="","",IF(Office_Log!B34="","",Office_Log!B34&amp;""))</f>
        <v/>
      </c>
      <c r="F234" s="23" t="str">
        <f aca="false">IF(B234="","","yes_in_principle")</f>
        <v/>
      </c>
      <c r="G234" s="23" t="str">
        <f aca="false">IF(B234="","","")</f>
        <v/>
      </c>
      <c r="H234" s="23" t="str">
        <f aca="false">IF(B234="","","")</f>
        <v/>
      </c>
      <c r="I234" s="23" t="str">
        <f aca="false">IF(B234="","","")</f>
        <v/>
      </c>
      <c r="J234" s="23" t="str">
        <f aca="false">IF(B234="","","owner: "&amp;Office_Log!AE34&amp;"; window: "&amp;Office_Log!AH34)</f>
        <v/>
      </c>
      <c r="K234" s="32" t="s">
        <v>1353</v>
      </c>
    </row>
    <row r="235" customFormat="false" ht="15" hidden="false" customHeight="false" outlineLevel="0" collapsed="false">
      <c r="A235" s="23" t="str">
        <f aca="false">IF(B235="","",B235+(2*1000+34)/10000000)</f>
        <v/>
      </c>
      <c r="B235" s="35" t="str">
        <f aca="false">IF(AND(Office_Log!BE35=1,Office_Log!EI35=0,IF(INT(N(Office_Log!H35))&lt;=Config!$B$8,Office_Log!DJ35,Office_Log!DK35)=1),Office_Log!H35,"")</f>
        <v/>
      </c>
      <c r="C235" s="23" t="str">
        <f aca="false">IF(B235="","","office")</f>
        <v/>
      </c>
      <c r="D235" s="23" t="str">
        <f aca="false">IF(B235="","",Office_Log!ED35&amp;"")</f>
        <v/>
      </c>
      <c r="E235" s="23" t="str">
        <f aca="false">IF(B235="","",IF(Office_Log!B35="","",Office_Log!B35&amp;""))</f>
        <v/>
      </c>
      <c r="F235" s="23" t="str">
        <f aca="false">IF(B235="","","yes_in_principle")</f>
        <v/>
      </c>
      <c r="G235" s="23" t="str">
        <f aca="false">IF(B235="","","")</f>
        <v/>
      </c>
      <c r="H235" s="23" t="str">
        <f aca="false">IF(B235="","","")</f>
        <v/>
      </c>
      <c r="I235" s="23" t="str">
        <f aca="false">IF(B235="","","")</f>
        <v/>
      </c>
      <c r="J235" s="23" t="str">
        <f aca="false">IF(B235="","","owner: "&amp;Office_Log!AE35&amp;"; window: "&amp;Office_Log!AH35)</f>
        <v/>
      </c>
      <c r="K235" s="32" t="s">
        <v>1353</v>
      </c>
    </row>
    <row r="236" customFormat="false" ht="15" hidden="false" customHeight="false" outlineLevel="0" collapsed="false">
      <c r="A236" s="23" t="str">
        <f aca="false">IF(B236="","",B236+(2*1000+35)/10000000)</f>
        <v/>
      </c>
      <c r="B236" s="35" t="str">
        <f aca="false">IF(AND(Office_Log!BE36=1,Office_Log!EI36=0,IF(INT(N(Office_Log!H36))&lt;=Config!$B$8,Office_Log!DJ36,Office_Log!DK36)=1),Office_Log!H36,"")</f>
        <v/>
      </c>
      <c r="C236" s="23" t="str">
        <f aca="false">IF(B236="","","office")</f>
        <v/>
      </c>
      <c r="D236" s="23" t="str">
        <f aca="false">IF(B236="","",Office_Log!ED36&amp;"")</f>
        <v/>
      </c>
      <c r="E236" s="23" t="str">
        <f aca="false">IF(B236="","",IF(Office_Log!B36="","",Office_Log!B36&amp;""))</f>
        <v/>
      </c>
      <c r="F236" s="23" t="str">
        <f aca="false">IF(B236="","","yes_in_principle")</f>
        <v/>
      </c>
      <c r="G236" s="23" t="str">
        <f aca="false">IF(B236="","","")</f>
        <v/>
      </c>
      <c r="H236" s="23" t="str">
        <f aca="false">IF(B236="","","")</f>
        <v/>
      </c>
      <c r="I236" s="23" t="str">
        <f aca="false">IF(B236="","","")</f>
        <v/>
      </c>
      <c r="J236" s="23" t="str">
        <f aca="false">IF(B236="","","owner: "&amp;Office_Log!AE36&amp;"; window: "&amp;Office_Log!AH36)</f>
        <v/>
      </c>
      <c r="K236" s="32" t="s">
        <v>1353</v>
      </c>
    </row>
    <row r="237" customFormat="false" ht="15" hidden="false" customHeight="false" outlineLevel="0" collapsed="false">
      <c r="A237" s="23" t="str">
        <f aca="false">IF(B237="","",B237+(2*1000+36)/10000000)</f>
        <v/>
      </c>
      <c r="B237" s="35" t="str">
        <f aca="false">IF(AND(Office_Log!BE37=1,Office_Log!EI37=0,IF(INT(N(Office_Log!H37))&lt;=Config!$B$8,Office_Log!DJ37,Office_Log!DK37)=1),Office_Log!H37,"")</f>
        <v/>
      </c>
      <c r="C237" s="23" t="str">
        <f aca="false">IF(B237="","","office")</f>
        <v/>
      </c>
      <c r="D237" s="23" t="str">
        <f aca="false">IF(B237="","",Office_Log!ED37&amp;"")</f>
        <v/>
      </c>
      <c r="E237" s="23" t="str">
        <f aca="false">IF(B237="","",IF(Office_Log!B37="","",Office_Log!B37&amp;""))</f>
        <v/>
      </c>
      <c r="F237" s="23" t="str">
        <f aca="false">IF(B237="","","yes_in_principle")</f>
        <v/>
      </c>
      <c r="G237" s="23" t="str">
        <f aca="false">IF(B237="","","")</f>
        <v/>
      </c>
      <c r="H237" s="23" t="str">
        <f aca="false">IF(B237="","","")</f>
        <v/>
      </c>
      <c r="I237" s="23" t="str">
        <f aca="false">IF(B237="","","")</f>
        <v/>
      </c>
      <c r="J237" s="23" t="str">
        <f aca="false">IF(B237="","","owner: "&amp;Office_Log!AE37&amp;"; window: "&amp;Office_Log!AH37)</f>
        <v/>
      </c>
      <c r="K237" s="32" t="s">
        <v>1353</v>
      </c>
    </row>
    <row r="238" customFormat="false" ht="15" hidden="false" customHeight="false" outlineLevel="0" collapsed="false">
      <c r="A238" s="23" t="str">
        <f aca="false">IF(B238="","",B238+(2*1000+37)/10000000)</f>
        <v/>
      </c>
      <c r="B238" s="35" t="str">
        <f aca="false">IF(AND(Office_Log!BE38=1,Office_Log!EI38=0,IF(INT(N(Office_Log!H38))&lt;=Config!$B$8,Office_Log!DJ38,Office_Log!DK38)=1),Office_Log!H38,"")</f>
        <v/>
      </c>
      <c r="C238" s="23" t="str">
        <f aca="false">IF(B238="","","office")</f>
        <v/>
      </c>
      <c r="D238" s="23" t="str">
        <f aca="false">IF(B238="","",Office_Log!ED38&amp;"")</f>
        <v/>
      </c>
      <c r="E238" s="23" t="str">
        <f aca="false">IF(B238="","",IF(Office_Log!B38="","",Office_Log!B38&amp;""))</f>
        <v/>
      </c>
      <c r="F238" s="23" t="str">
        <f aca="false">IF(B238="","","yes_in_principle")</f>
        <v/>
      </c>
      <c r="G238" s="23" t="str">
        <f aca="false">IF(B238="","","")</f>
        <v/>
      </c>
      <c r="H238" s="23" t="str">
        <f aca="false">IF(B238="","","")</f>
        <v/>
      </c>
      <c r="I238" s="23" t="str">
        <f aca="false">IF(B238="","","")</f>
        <v/>
      </c>
      <c r="J238" s="23" t="str">
        <f aca="false">IF(B238="","","owner: "&amp;Office_Log!AE38&amp;"; window: "&amp;Office_Log!AH38)</f>
        <v/>
      </c>
      <c r="K238" s="32" t="s">
        <v>1353</v>
      </c>
    </row>
    <row r="239" customFormat="false" ht="15" hidden="false" customHeight="false" outlineLevel="0" collapsed="false">
      <c r="A239" s="23" t="str">
        <f aca="false">IF(B239="","",B239+(2*1000+38)/10000000)</f>
        <v/>
      </c>
      <c r="B239" s="35" t="str">
        <f aca="false">IF(AND(Office_Log!BE39=1,Office_Log!EI39=0,IF(INT(N(Office_Log!H39))&lt;=Config!$B$8,Office_Log!DJ39,Office_Log!DK39)=1),Office_Log!H39,"")</f>
        <v/>
      </c>
      <c r="C239" s="23" t="str">
        <f aca="false">IF(B239="","","office")</f>
        <v/>
      </c>
      <c r="D239" s="23" t="str">
        <f aca="false">IF(B239="","",Office_Log!ED39&amp;"")</f>
        <v/>
      </c>
      <c r="E239" s="23" t="str">
        <f aca="false">IF(B239="","",IF(Office_Log!B39="","",Office_Log!B39&amp;""))</f>
        <v/>
      </c>
      <c r="F239" s="23" t="str">
        <f aca="false">IF(B239="","","yes_in_principle")</f>
        <v/>
      </c>
      <c r="G239" s="23" t="str">
        <f aca="false">IF(B239="","","")</f>
        <v/>
      </c>
      <c r="H239" s="23" t="str">
        <f aca="false">IF(B239="","","")</f>
        <v/>
      </c>
      <c r="I239" s="23" t="str">
        <f aca="false">IF(B239="","","")</f>
        <v/>
      </c>
      <c r="J239" s="23" t="str">
        <f aca="false">IF(B239="","","owner: "&amp;Office_Log!AE39&amp;"; window: "&amp;Office_Log!AH39)</f>
        <v/>
      </c>
      <c r="K239" s="32" t="s">
        <v>1353</v>
      </c>
    </row>
    <row r="240" customFormat="false" ht="15" hidden="false" customHeight="false" outlineLevel="0" collapsed="false">
      <c r="A240" s="23" t="str">
        <f aca="false">IF(B240="","",B240+(2*1000+39)/10000000)</f>
        <v/>
      </c>
      <c r="B240" s="35" t="str">
        <f aca="false">IF(AND(Office_Log!BE40=1,Office_Log!EI40=0,IF(INT(N(Office_Log!H40))&lt;=Config!$B$8,Office_Log!DJ40,Office_Log!DK40)=1),Office_Log!H40,"")</f>
        <v/>
      </c>
      <c r="C240" s="23" t="str">
        <f aca="false">IF(B240="","","office")</f>
        <v/>
      </c>
      <c r="D240" s="23" t="str">
        <f aca="false">IF(B240="","",Office_Log!ED40&amp;"")</f>
        <v/>
      </c>
      <c r="E240" s="23" t="str">
        <f aca="false">IF(B240="","",IF(Office_Log!B40="","",Office_Log!B40&amp;""))</f>
        <v/>
      </c>
      <c r="F240" s="23" t="str">
        <f aca="false">IF(B240="","","yes_in_principle")</f>
        <v/>
      </c>
      <c r="G240" s="23" t="str">
        <f aca="false">IF(B240="","","")</f>
        <v/>
      </c>
      <c r="H240" s="23" t="str">
        <f aca="false">IF(B240="","","")</f>
        <v/>
      </c>
      <c r="I240" s="23" t="str">
        <f aca="false">IF(B240="","","")</f>
        <v/>
      </c>
      <c r="J240" s="23" t="str">
        <f aca="false">IF(B240="","","owner: "&amp;Office_Log!AE40&amp;"; window: "&amp;Office_Log!AH40)</f>
        <v/>
      </c>
      <c r="K240" s="32" t="s">
        <v>1353</v>
      </c>
    </row>
    <row r="241" customFormat="false" ht="15" hidden="false" customHeight="false" outlineLevel="0" collapsed="false">
      <c r="A241" s="23" t="str">
        <f aca="false">IF(B241="","",B241+(2*1000+40)/10000000)</f>
        <v/>
      </c>
      <c r="B241" s="35" t="str">
        <f aca="false">IF(AND(Office_Log!BE41=1,Office_Log!EI41=0,IF(INT(N(Office_Log!H41))&lt;=Config!$B$8,Office_Log!DJ41,Office_Log!DK41)=1),Office_Log!H41,"")</f>
        <v/>
      </c>
      <c r="C241" s="23" t="str">
        <f aca="false">IF(B241="","","office")</f>
        <v/>
      </c>
      <c r="D241" s="23" t="str">
        <f aca="false">IF(B241="","",Office_Log!ED41&amp;"")</f>
        <v/>
      </c>
      <c r="E241" s="23" t="str">
        <f aca="false">IF(B241="","",IF(Office_Log!B41="","",Office_Log!B41&amp;""))</f>
        <v/>
      </c>
      <c r="F241" s="23" t="str">
        <f aca="false">IF(B241="","","yes_in_principle")</f>
        <v/>
      </c>
      <c r="G241" s="23" t="str">
        <f aca="false">IF(B241="","","")</f>
        <v/>
      </c>
      <c r="H241" s="23" t="str">
        <f aca="false">IF(B241="","","")</f>
        <v/>
      </c>
      <c r="I241" s="23" t="str">
        <f aca="false">IF(B241="","","")</f>
        <v/>
      </c>
      <c r="J241" s="23" t="str">
        <f aca="false">IF(B241="","","owner: "&amp;Office_Log!AE41&amp;"; window: "&amp;Office_Log!AH41)</f>
        <v/>
      </c>
      <c r="K241" s="32" t="s">
        <v>1353</v>
      </c>
    </row>
    <row r="242" customFormat="false" ht="15" hidden="false" customHeight="false" outlineLevel="0" collapsed="false">
      <c r="A242" s="23" t="str">
        <f aca="false">IF(B242="","",B242+(2*1000+41)/10000000)</f>
        <v/>
      </c>
      <c r="B242" s="35" t="str">
        <f aca="false">IF(AND(Office_Log!BE42=1,Office_Log!EI42=0,IF(INT(N(Office_Log!H42))&lt;=Config!$B$8,Office_Log!DJ42,Office_Log!DK42)=1),Office_Log!H42,"")</f>
        <v/>
      </c>
      <c r="C242" s="23" t="str">
        <f aca="false">IF(B242="","","office")</f>
        <v/>
      </c>
      <c r="D242" s="23" t="str">
        <f aca="false">IF(B242="","",Office_Log!ED42&amp;"")</f>
        <v/>
      </c>
      <c r="E242" s="23" t="str">
        <f aca="false">IF(B242="","",IF(Office_Log!B42="","",Office_Log!B42&amp;""))</f>
        <v/>
      </c>
      <c r="F242" s="23" t="str">
        <f aca="false">IF(B242="","","yes_in_principle")</f>
        <v/>
      </c>
      <c r="G242" s="23" t="str">
        <f aca="false">IF(B242="","","")</f>
        <v/>
      </c>
      <c r="H242" s="23" t="str">
        <f aca="false">IF(B242="","","")</f>
        <v/>
      </c>
      <c r="I242" s="23" t="str">
        <f aca="false">IF(B242="","","")</f>
        <v/>
      </c>
      <c r="J242" s="23" t="str">
        <f aca="false">IF(B242="","","owner: "&amp;Office_Log!AE42&amp;"; window: "&amp;Office_Log!AH42)</f>
        <v/>
      </c>
      <c r="K242" s="32" t="s">
        <v>1353</v>
      </c>
    </row>
    <row r="243" customFormat="false" ht="15" hidden="false" customHeight="false" outlineLevel="0" collapsed="false">
      <c r="A243" s="23" t="str">
        <f aca="false">IF(B243="","",B243+(2*1000+42)/10000000)</f>
        <v/>
      </c>
      <c r="B243" s="35" t="str">
        <f aca="false">IF(AND(Office_Log!BE43=1,Office_Log!EI43=0,IF(INT(N(Office_Log!H43))&lt;=Config!$B$8,Office_Log!DJ43,Office_Log!DK43)=1),Office_Log!H43,"")</f>
        <v/>
      </c>
      <c r="C243" s="23" t="str">
        <f aca="false">IF(B243="","","office")</f>
        <v/>
      </c>
      <c r="D243" s="23" t="str">
        <f aca="false">IF(B243="","",Office_Log!ED43&amp;"")</f>
        <v/>
      </c>
      <c r="E243" s="23" t="str">
        <f aca="false">IF(B243="","",IF(Office_Log!B43="","",Office_Log!B43&amp;""))</f>
        <v/>
      </c>
      <c r="F243" s="23" t="str">
        <f aca="false">IF(B243="","","yes_in_principle")</f>
        <v/>
      </c>
      <c r="G243" s="23" t="str">
        <f aca="false">IF(B243="","","")</f>
        <v/>
      </c>
      <c r="H243" s="23" t="str">
        <f aca="false">IF(B243="","","")</f>
        <v/>
      </c>
      <c r="I243" s="23" t="str">
        <f aca="false">IF(B243="","","")</f>
        <v/>
      </c>
      <c r="J243" s="23" t="str">
        <f aca="false">IF(B243="","","owner: "&amp;Office_Log!AE43&amp;"; window: "&amp;Office_Log!AH43)</f>
        <v/>
      </c>
      <c r="K243" s="32" t="s">
        <v>1353</v>
      </c>
    </row>
    <row r="244" customFormat="false" ht="15" hidden="false" customHeight="false" outlineLevel="0" collapsed="false">
      <c r="A244" s="23" t="str">
        <f aca="false">IF(B244="","",B244+(2*1000+43)/10000000)</f>
        <v/>
      </c>
      <c r="B244" s="35" t="str">
        <f aca="false">IF(AND(Office_Log!BE44=1,Office_Log!EI44=0,IF(INT(N(Office_Log!H44))&lt;=Config!$B$8,Office_Log!DJ44,Office_Log!DK44)=1),Office_Log!H44,"")</f>
        <v/>
      </c>
      <c r="C244" s="23" t="str">
        <f aca="false">IF(B244="","","office")</f>
        <v/>
      </c>
      <c r="D244" s="23" t="str">
        <f aca="false">IF(B244="","",Office_Log!ED44&amp;"")</f>
        <v/>
      </c>
      <c r="E244" s="23" t="str">
        <f aca="false">IF(B244="","",IF(Office_Log!B44="","",Office_Log!B44&amp;""))</f>
        <v/>
      </c>
      <c r="F244" s="23" t="str">
        <f aca="false">IF(B244="","","yes_in_principle")</f>
        <v/>
      </c>
      <c r="G244" s="23" t="str">
        <f aca="false">IF(B244="","","")</f>
        <v/>
      </c>
      <c r="H244" s="23" t="str">
        <f aca="false">IF(B244="","","")</f>
        <v/>
      </c>
      <c r="I244" s="23" t="str">
        <f aca="false">IF(B244="","","")</f>
        <v/>
      </c>
      <c r="J244" s="23" t="str">
        <f aca="false">IF(B244="","","owner: "&amp;Office_Log!AE44&amp;"; window: "&amp;Office_Log!AH44)</f>
        <v/>
      </c>
      <c r="K244" s="32" t="s">
        <v>1353</v>
      </c>
    </row>
    <row r="245" customFormat="false" ht="15" hidden="false" customHeight="false" outlineLevel="0" collapsed="false">
      <c r="A245" s="23" t="str">
        <f aca="false">IF(B245="","",B245+(2*1000+44)/10000000)</f>
        <v/>
      </c>
      <c r="B245" s="35" t="str">
        <f aca="false">IF(AND(Office_Log!BE45=1,Office_Log!EI45=0,IF(INT(N(Office_Log!H45))&lt;=Config!$B$8,Office_Log!DJ45,Office_Log!DK45)=1),Office_Log!H45,"")</f>
        <v/>
      </c>
      <c r="C245" s="23" t="str">
        <f aca="false">IF(B245="","","office")</f>
        <v/>
      </c>
      <c r="D245" s="23" t="str">
        <f aca="false">IF(B245="","",Office_Log!ED45&amp;"")</f>
        <v/>
      </c>
      <c r="E245" s="23" t="str">
        <f aca="false">IF(B245="","",IF(Office_Log!B45="","",Office_Log!B45&amp;""))</f>
        <v/>
      </c>
      <c r="F245" s="23" t="str">
        <f aca="false">IF(B245="","","yes_in_principle")</f>
        <v/>
      </c>
      <c r="G245" s="23" t="str">
        <f aca="false">IF(B245="","","")</f>
        <v/>
      </c>
      <c r="H245" s="23" t="str">
        <f aca="false">IF(B245="","","")</f>
        <v/>
      </c>
      <c r="I245" s="23" t="str">
        <f aca="false">IF(B245="","","")</f>
        <v/>
      </c>
      <c r="J245" s="23" t="str">
        <f aca="false">IF(B245="","","owner: "&amp;Office_Log!AE45&amp;"; window: "&amp;Office_Log!AH45)</f>
        <v/>
      </c>
      <c r="K245" s="32" t="s">
        <v>1353</v>
      </c>
    </row>
    <row r="246" customFormat="false" ht="15" hidden="false" customHeight="false" outlineLevel="0" collapsed="false">
      <c r="A246" s="23" t="str">
        <f aca="false">IF(B246="","",B246+(2*1000+45)/10000000)</f>
        <v/>
      </c>
      <c r="B246" s="35" t="str">
        <f aca="false">IF(AND(Office_Log!BE46=1,Office_Log!EI46=0,IF(INT(N(Office_Log!H46))&lt;=Config!$B$8,Office_Log!DJ46,Office_Log!DK46)=1),Office_Log!H46,"")</f>
        <v/>
      </c>
      <c r="C246" s="23" t="str">
        <f aca="false">IF(B246="","","office")</f>
        <v/>
      </c>
      <c r="D246" s="23" t="str">
        <f aca="false">IF(B246="","",Office_Log!ED46&amp;"")</f>
        <v/>
      </c>
      <c r="E246" s="23" t="str">
        <f aca="false">IF(B246="","",IF(Office_Log!B46="","",Office_Log!B46&amp;""))</f>
        <v/>
      </c>
      <c r="F246" s="23" t="str">
        <f aca="false">IF(B246="","","yes_in_principle")</f>
        <v/>
      </c>
      <c r="G246" s="23" t="str">
        <f aca="false">IF(B246="","","")</f>
        <v/>
      </c>
      <c r="H246" s="23" t="str">
        <f aca="false">IF(B246="","","")</f>
        <v/>
      </c>
      <c r="I246" s="23" t="str">
        <f aca="false">IF(B246="","","")</f>
        <v/>
      </c>
      <c r="J246" s="23" t="str">
        <f aca="false">IF(B246="","","owner: "&amp;Office_Log!AE46&amp;"; window: "&amp;Office_Log!AH46)</f>
        <v/>
      </c>
      <c r="K246" s="32" t="s">
        <v>1353</v>
      </c>
    </row>
    <row r="247" customFormat="false" ht="15" hidden="false" customHeight="false" outlineLevel="0" collapsed="false">
      <c r="A247" s="23" t="str">
        <f aca="false">IF(B247="","",B247+(2*1000+46)/10000000)</f>
        <v/>
      </c>
      <c r="B247" s="35" t="str">
        <f aca="false">IF(AND(Office_Log!BE47=1,Office_Log!EI47=0,IF(INT(N(Office_Log!H47))&lt;=Config!$B$8,Office_Log!DJ47,Office_Log!DK47)=1),Office_Log!H47,"")</f>
        <v/>
      </c>
      <c r="C247" s="23" t="str">
        <f aca="false">IF(B247="","","office")</f>
        <v/>
      </c>
      <c r="D247" s="23" t="str">
        <f aca="false">IF(B247="","",Office_Log!ED47&amp;"")</f>
        <v/>
      </c>
      <c r="E247" s="23" t="str">
        <f aca="false">IF(B247="","",IF(Office_Log!B47="","",Office_Log!B47&amp;""))</f>
        <v/>
      </c>
      <c r="F247" s="23" t="str">
        <f aca="false">IF(B247="","","yes_in_principle")</f>
        <v/>
      </c>
      <c r="G247" s="23" t="str">
        <f aca="false">IF(B247="","","")</f>
        <v/>
      </c>
      <c r="H247" s="23" t="str">
        <f aca="false">IF(B247="","","")</f>
        <v/>
      </c>
      <c r="I247" s="23" t="str">
        <f aca="false">IF(B247="","","")</f>
        <v/>
      </c>
      <c r="J247" s="23" t="str">
        <f aca="false">IF(B247="","","owner: "&amp;Office_Log!AE47&amp;"; window: "&amp;Office_Log!AH47)</f>
        <v/>
      </c>
      <c r="K247" s="32" t="s">
        <v>1353</v>
      </c>
    </row>
    <row r="248" customFormat="false" ht="15" hidden="false" customHeight="false" outlineLevel="0" collapsed="false">
      <c r="A248" s="23" t="str">
        <f aca="false">IF(B248="","",B248+(2*1000+47)/10000000)</f>
        <v/>
      </c>
      <c r="B248" s="35" t="str">
        <f aca="false">IF(AND(Office_Log!BE48=1,Office_Log!EI48=0,IF(INT(N(Office_Log!H48))&lt;=Config!$B$8,Office_Log!DJ48,Office_Log!DK48)=1),Office_Log!H48,"")</f>
        <v/>
      </c>
      <c r="C248" s="23" t="str">
        <f aca="false">IF(B248="","","office")</f>
        <v/>
      </c>
      <c r="D248" s="23" t="str">
        <f aca="false">IF(B248="","",Office_Log!ED48&amp;"")</f>
        <v/>
      </c>
      <c r="E248" s="23" t="str">
        <f aca="false">IF(B248="","",IF(Office_Log!B48="","",Office_Log!B48&amp;""))</f>
        <v/>
      </c>
      <c r="F248" s="23" t="str">
        <f aca="false">IF(B248="","","yes_in_principle")</f>
        <v/>
      </c>
      <c r="G248" s="23" t="str">
        <f aca="false">IF(B248="","","")</f>
        <v/>
      </c>
      <c r="H248" s="23" t="str">
        <f aca="false">IF(B248="","","")</f>
        <v/>
      </c>
      <c r="I248" s="23" t="str">
        <f aca="false">IF(B248="","","")</f>
        <v/>
      </c>
      <c r="J248" s="23" t="str">
        <f aca="false">IF(B248="","","owner: "&amp;Office_Log!AE48&amp;"; window: "&amp;Office_Log!AH48)</f>
        <v/>
      </c>
      <c r="K248" s="32" t="s">
        <v>1353</v>
      </c>
    </row>
    <row r="249" customFormat="false" ht="15" hidden="false" customHeight="false" outlineLevel="0" collapsed="false">
      <c r="A249" s="23" t="str">
        <f aca="false">IF(B249="","",B249+(2*1000+48)/10000000)</f>
        <v/>
      </c>
      <c r="B249" s="35" t="str">
        <f aca="false">IF(AND(Office_Log!BE49=1,Office_Log!EI49=0,IF(INT(N(Office_Log!H49))&lt;=Config!$B$8,Office_Log!DJ49,Office_Log!DK49)=1),Office_Log!H49,"")</f>
        <v/>
      </c>
      <c r="C249" s="23" t="str">
        <f aca="false">IF(B249="","","office")</f>
        <v/>
      </c>
      <c r="D249" s="23" t="str">
        <f aca="false">IF(B249="","",Office_Log!ED49&amp;"")</f>
        <v/>
      </c>
      <c r="E249" s="23" t="str">
        <f aca="false">IF(B249="","",IF(Office_Log!B49="","",Office_Log!B49&amp;""))</f>
        <v/>
      </c>
      <c r="F249" s="23" t="str">
        <f aca="false">IF(B249="","","yes_in_principle")</f>
        <v/>
      </c>
      <c r="G249" s="23" t="str">
        <f aca="false">IF(B249="","","")</f>
        <v/>
      </c>
      <c r="H249" s="23" t="str">
        <f aca="false">IF(B249="","","")</f>
        <v/>
      </c>
      <c r="I249" s="23" t="str">
        <f aca="false">IF(B249="","","")</f>
        <v/>
      </c>
      <c r="J249" s="23" t="str">
        <f aca="false">IF(B249="","","owner: "&amp;Office_Log!AE49&amp;"; window: "&amp;Office_Log!AH49)</f>
        <v/>
      </c>
      <c r="K249" s="32" t="s">
        <v>1353</v>
      </c>
    </row>
    <row r="250" customFormat="false" ht="15" hidden="false" customHeight="false" outlineLevel="0" collapsed="false">
      <c r="A250" s="23" t="str">
        <f aca="false">IF(B250="","",B250+(2*1000+49)/10000000)</f>
        <v/>
      </c>
      <c r="B250" s="35" t="str">
        <f aca="false">IF(AND(Office_Log!BE50=1,Office_Log!EI50=0,IF(INT(N(Office_Log!H50))&lt;=Config!$B$8,Office_Log!DJ50,Office_Log!DK50)=1),Office_Log!H50,"")</f>
        <v/>
      </c>
      <c r="C250" s="23" t="str">
        <f aca="false">IF(B250="","","office")</f>
        <v/>
      </c>
      <c r="D250" s="23" t="str">
        <f aca="false">IF(B250="","",Office_Log!ED50&amp;"")</f>
        <v/>
      </c>
      <c r="E250" s="23" t="str">
        <f aca="false">IF(B250="","",IF(Office_Log!B50="","",Office_Log!B50&amp;""))</f>
        <v/>
      </c>
      <c r="F250" s="23" t="str">
        <f aca="false">IF(B250="","","yes_in_principle")</f>
        <v/>
      </c>
      <c r="G250" s="23" t="str">
        <f aca="false">IF(B250="","","")</f>
        <v/>
      </c>
      <c r="H250" s="23" t="str">
        <f aca="false">IF(B250="","","")</f>
        <v/>
      </c>
      <c r="I250" s="23" t="str">
        <f aca="false">IF(B250="","","")</f>
        <v/>
      </c>
      <c r="J250" s="23" t="str">
        <f aca="false">IF(B250="","","owner: "&amp;Office_Log!AE50&amp;"; window: "&amp;Office_Log!AH50)</f>
        <v/>
      </c>
      <c r="K250" s="32" t="s">
        <v>1353</v>
      </c>
    </row>
    <row r="251" customFormat="false" ht="15" hidden="false" customHeight="false" outlineLevel="0" collapsed="false">
      <c r="A251" s="23" t="str">
        <f aca="false">IF(B251="","",B251+(2*1000+50)/10000000)</f>
        <v/>
      </c>
      <c r="B251" s="35" t="str">
        <f aca="false">IF(AND(Office_Log!BE51=1,Office_Log!EI51=0,IF(INT(N(Office_Log!H51))&lt;=Config!$B$8,Office_Log!DJ51,Office_Log!DK51)=1),Office_Log!H51,"")</f>
        <v/>
      </c>
      <c r="C251" s="23" t="str">
        <f aca="false">IF(B251="","","office")</f>
        <v/>
      </c>
      <c r="D251" s="23" t="str">
        <f aca="false">IF(B251="","",Office_Log!ED51&amp;"")</f>
        <v/>
      </c>
      <c r="E251" s="23" t="str">
        <f aca="false">IF(B251="","",IF(Office_Log!B51="","",Office_Log!B51&amp;""))</f>
        <v/>
      </c>
      <c r="F251" s="23" t="str">
        <f aca="false">IF(B251="","","yes_in_principle")</f>
        <v/>
      </c>
      <c r="G251" s="23" t="str">
        <f aca="false">IF(B251="","","")</f>
        <v/>
      </c>
      <c r="H251" s="23" t="str">
        <f aca="false">IF(B251="","","")</f>
        <v/>
      </c>
      <c r="I251" s="23" t="str">
        <f aca="false">IF(B251="","","")</f>
        <v/>
      </c>
      <c r="J251" s="23" t="str">
        <f aca="false">IF(B251="","","owner: "&amp;Office_Log!AE51&amp;"; window: "&amp;Office_Log!AH51)</f>
        <v/>
      </c>
      <c r="K251" s="32" t="s">
        <v>1353</v>
      </c>
    </row>
    <row r="252" customFormat="false" ht="15" hidden="false" customHeight="false" outlineLevel="0" collapsed="false">
      <c r="A252" s="23" t="str">
        <f aca="false">IF(B252="","",B252+(2*1000+51)/10000000)</f>
        <v/>
      </c>
      <c r="B252" s="35" t="str">
        <f aca="false">IF(AND(Office_Log!BE52=1,Office_Log!EI52=0,IF(INT(N(Office_Log!H52))&lt;=Config!$B$8,Office_Log!DJ52,Office_Log!DK52)=1),Office_Log!H52,"")</f>
        <v/>
      </c>
      <c r="C252" s="23" t="str">
        <f aca="false">IF(B252="","","office")</f>
        <v/>
      </c>
      <c r="D252" s="23" t="str">
        <f aca="false">IF(B252="","",Office_Log!ED52&amp;"")</f>
        <v/>
      </c>
      <c r="E252" s="23" t="str">
        <f aca="false">IF(B252="","",IF(Office_Log!B52="","",Office_Log!B52&amp;""))</f>
        <v/>
      </c>
      <c r="F252" s="23" t="str">
        <f aca="false">IF(B252="","","yes_in_principle")</f>
        <v/>
      </c>
      <c r="G252" s="23" t="str">
        <f aca="false">IF(B252="","","")</f>
        <v/>
      </c>
      <c r="H252" s="23" t="str">
        <f aca="false">IF(B252="","","")</f>
        <v/>
      </c>
      <c r="I252" s="23" t="str">
        <f aca="false">IF(B252="","","")</f>
        <v/>
      </c>
      <c r="J252" s="23" t="str">
        <f aca="false">IF(B252="","","owner: "&amp;Office_Log!AE52&amp;"; window: "&amp;Office_Log!AH52)</f>
        <v/>
      </c>
      <c r="K252" s="32" t="s">
        <v>1353</v>
      </c>
    </row>
    <row r="253" customFormat="false" ht="15" hidden="false" customHeight="false" outlineLevel="0" collapsed="false">
      <c r="A253" s="23" t="str">
        <f aca="false">IF(B253="","",B253+(2*1000+52)/10000000)</f>
        <v/>
      </c>
      <c r="B253" s="35" t="str">
        <f aca="false">IF(AND(Office_Log!BE53=1,Office_Log!EI53=0,IF(INT(N(Office_Log!H53))&lt;=Config!$B$8,Office_Log!DJ53,Office_Log!DK53)=1),Office_Log!H53,"")</f>
        <v/>
      </c>
      <c r="C253" s="23" t="str">
        <f aca="false">IF(B253="","","office")</f>
        <v/>
      </c>
      <c r="D253" s="23" t="str">
        <f aca="false">IF(B253="","",Office_Log!ED53&amp;"")</f>
        <v/>
      </c>
      <c r="E253" s="23" t="str">
        <f aca="false">IF(B253="","",IF(Office_Log!B53="","",Office_Log!B53&amp;""))</f>
        <v/>
      </c>
      <c r="F253" s="23" t="str">
        <f aca="false">IF(B253="","","yes_in_principle")</f>
        <v/>
      </c>
      <c r="G253" s="23" t="str">
        <f aca="false">IF(B253="","","")</f>
        <v/>
      </c>
      <c r="H253" s="23" t="str">
        <f aca="false">IF(B253="","","")</f>
        <v/>
      </c>
      <c r="I253" s="23" t="str">
        <f aca="false">IF(B253="","","")</f>
        <v/>
      </c>
      <c r="J253" s="23" t="str">
        <f aca="false">IF(B253="","","owner: "&amp;Office_Log!AE53&amp;"; window: "&amp;Office_Log!AH53)</f>
        <v/>
      </c>
      <c r="K253" s="32" t="s">
        <v>1353</v>
      </c>
    </row>
    <row r="254" customFormat="false" ht="15" hidden="false" customHeight="false" outlineLevel="0" collapsed="false">
      <c r="A254" s="23" t="str">
        <f aca="false">IF(B254="","",B254+(2*1000+53)/10000000)</f>
        <v/>
      </c>
      <c r="B254" s="35" t="str">
        <f aca="false">IF(AND(Office_Log!BE54=1,Office_Log!EI54=0,IF(INT(N(Office_Log!H54))&lt;=Config!$B$8,Office_Log!DJ54,Office_Log!DK54)=1),Office_Log!H54,"")</f>
        <v/>
      </c>
      <c r="C254" s="23" t="str">
        <f aca="false">IF(B254="","","office")</f>
        <v/>
      </c>
      <c r="D254" s="23" t="str">
        <f aca="false">IF(B254="","",Office_Log!ED54&amp;"")</f>
        <v/>
      </c>
      <c r="E254" s="23" t="str">
        <f aca="false">IF(B254="","",IF(Office_Log!B54="","",Office_Log!B54&amp;""))</f>
        <v/>
      </c>
      <c r="F254" s="23" t="str">
        <f aca="false">IF(B254="","","yes_in_principle")</f>
        <v/>
      </c>
      <c r="G254" s="23" t="str">
        <f aca="false">IF(B254="","","")</f>
        <v/>
      </c>
      <c r="H254" s="23" t="str">
        <f aca="false">IF(B254="","","")</f>
        <v/>
      </c>
      <c r="I254" s="23" t="str">
        <f aca="false">IF(B254="","","")</f>
        <v/>
      </c>
      <c r="J254" s="23" t="str">
        <f aca="false">IF(B254="","","owner: "&amp;Office_Log!AE54&amp;"; window: "&amp;Office_Log!AH54)</f>
        <v/>
      </c>
      <c r="K254" s="32" t="s">
        <v>1353</v>
      </c>
    </row>
    <row r="255" customFormat="false" ht="15" hidden="false" customHeight="false" outlineLevel="0" collapsed="false">
      <c r="A255" s="23" t="str">
        <f aca="false">IF(B255="","",B255+(2*1000+54)/10000000)</f>
        <v/>
      </c>
      <c r="B255" s="35" t="str">
        <f aca="false">IF(AND(Office_Log!BE55=1,Office_Log!EI55=0,IF(INT(N(Office_Log!H55))&lt;=Config!$B$8,Office_Log!DJ55,Office_Log!DK55)=1),Office_Log!H55,"")</f>
        <v/>
      </c>
      <c r="C255" s="23" t="str">
        <f aca="false">IF(B255="","","office")</f>
        <v/>
      </c>
      <c r="D255" s="23" t="str">
        <f aca="false">IF(B255="","",Office_Log!ED55&amp;"")</f>
        <v/>
      </c>
      <c r="E255" s="23" t="str">
        <f aca="false">IF(B255="","",IF(Office_Log!B55="","",Office_Log!B55&amp;""))</f>
        <v/>
      </c>
      <c r="F255" s="23" t="str">
        <f aca="false">IF(B255="","","yes_in_principle")</f>
        <v/>
      </c>
      <c r="G255" s="23" t="str">
        <f aca="false">IF(B255="","","")</f>
        <v/>
      </c>
      <c r="H255" s="23" t="str">
        <f aca="false">IF(B255="","","")</f>
        <v/>
      </c>
      <c r="I255" s="23" t="str">
        <f aca="false">IF(B255="","","")</f>
        <v/>
      </c>
      <c r="J255" s="23" t="str">
        <f aca="false">IF(B255="","","owner: "&amp;Office_Log!AE55&amp;"; window: "&amp;Office_Log!AH55)</f>
        <v/>
      </c>
      <c r="K255" s="32" t="s">
        <v>1353</v>
      </c>
    </row>
    <row r="256" customFormat="false" ht="15" hidden="false" customHeight="false" outlineLevel="0" collapsed="false">
      <c r="A256" s="23" t="str">
        <f aca="false">IF(B256="","",B256+(2*1000+55)/10000000)</f>
        <v/>
      </c>
      <c r="B256" s="35" t="str">
        <f aca="false">IF(AND(Office_Log!BE56=1,Office_Log!EI56=0,IF(INT(N(Office_Log!H56))&lt;=Config!$B$8,Office_Log!DJ56,Office_Log!DK56)=1),Office_Log!H56,"")</f>
        <v/>
      </c>
      <c r="C256" s="23" t="str">
        <f aca="false">IF(B256="","","office")</f>
        <v/>
      </c>
      <c r="D256" s="23" t="str">
        <f aca="false">IF(B256="","",Office_Log!ED56&amp;"")</f>
        <v/>
      </c>
      <c r="E256" s="23" t="str">
        <f aca="false">IF(B256="","",IF(Office_Log!B56="","",Office_Log!B56&amp;""))</f>
        <v/>
      </c>
      <c r="F256" s="23" t="str">
        <f aca="false">IF(B256="","","yes_in_principle")</f>
        <v/>
      </c>
      <c r="G256" s="23" t="str">
        <f aca="false">IF(B256="","","")</f>
        <v/>
      </c>
      <c r="H256" s="23" t="str">
        <f aca="false">IF(B256="","","")</f>
        <v/>
      </c>
      <c r="I256" s="23" t="str">
        <f aca="false">IF(B256="","","")</f>
        <v/>
      </c>
      <c r="J256" s="23" t="str">
        <f aca="false">IF(B256="","","owner: "&amp;Office_Log!AE56&amp;"; window: "&amp;Office_Log!AH56)</f>
        <v/>
      </c>
      <c r="K256" s="32" t="s">
        <v>1353</v>
      </c>
    </row>
    <row r="257" customFormat="false" ht="15" hidden="false" customHeight="false" outlineLevel="0" collapsed="false">
      <c r="A257" s="23" t="str">
        <f aca="false">IF(B257="","",B257+(2*1000+56)/10000000)</f>
        <v/>
      </c>
      <c r="B257" s="35" t="str">
        <f aca="false">IF(AND(Office_Log!BE57=1,Office_Log!EI57=0,IF(INT(N(Office_Log!H57))&lt;=Config!$B$8,Office_Log!DJ57,Office_Log!DK57)=1),Office_Log!H57,"")</f>
        <v/>
      </c>
      <c r="C257" s="23" t="str">
        <f aca="false">IF(B257="","","office")</f>
        <v/>
      </c>
      <c r="D257" s="23" t="str">
        <f aca="false">IF(B257="","",Office_Log!ED57&amp;"")</f>
        <v/>
      </c>
      <c r="E257" s="23" t="str">
        <f aca="false">IF(B257="","",IF(Office_Log!B57="","",Office_Log!B57&amp;""))</f>
        <v/>
      </c>
      <c r="F257" s="23" t="str">
        <f aca="false">IF(B257="","","yes_in_principle")</f>
        <v/>
      </c>
      <c r="G257" s="23" t="str">
        <f aca="false">IF(B257="","","")</f>
        <v/>
      </c>
      <c r="H257" s="23" t="str">
        <f aca="false">IF(B257="","","")</f>
        <v/>
      </c>
      <c r="I257" s="23" t="str">
        <f aca="false">IF(B257="","","")</f>
        <v/>
      </c>
      <c r="J257" s="23" t="str">
        <f aca="false">IF(B257="","","owner: "&amp;Office_Log!AE57&amp;"; window: "&amp;Office_Log!AH57)</f>
        <v/>
      </c>
      <c r="K257" s="32" t="s">
        <v>1353</v>
      </c>
    </row>
    <row r="258" customFormat="false" ht="15" hidden="false" customHeight="false" outlineLevel="0" collapsed="false">
      <c r="A258" s="23" t="str">
        <f aca="false">IF(B258="","",B258+(2*1000+57)/10000000)</f>
        <v/>
      </c>
      <c r="B258" s="35" t="str">
        <f aca="false">IF(AND(Office_Log!BE58=1,Office_Log!EI58=0,IF(INT(N(Office_Log!H58))&lt;=Config!$B$8,Office_Log!DJ58,Office_Log!DK58)=1),Office_Log!H58,"")</f>
        <v/>
      </c>
      <c r="C258" s="23" t="str">
        <f aca="false">IF(B258="","","office")</f>
        <v/>
      </c>
      <c r="D258" s="23" t="str">
        <f aca="false">IF(B258="","",Office_Log!ED58&amp;"")</f>
        <v/>
      </c>
      <c r="E258" s="23" t="str">
        <f aca="false">IF(B258="","",IF(Office_Log!B58="","",Office_Log!B58&amp;""))</f>
        <v/>
      </c>
      <c r="F258" s="23" t="str">
        <f aca="false">IF(B258="","","yes_in_principle")</f>
        <v/>
      </c>
      <c r="G258" s="23" t="str">
        <f aca="false">IF(B258="","","")</f>
        <v/>
      </c>
      <c r="H258" s="23" t="str">
        <f aca="false">IF(B258="","","")</f>
        <v/>
      </c>
      <c r="I258" s="23" t="str">
        <f aca="false">IF(B258="","","")</f>
        <v/>
      </c>
      <c r="J258" s="23" t="str">
        <f aca="false">IF(B258="","","owner: "&amp;Office_Log!AE58&amp;"; window: "&amp;Office_Log!AH58)</f>
        <v/>
      </c>
      <c r="K258" s="32" t="s">
        <v>1353</v>
      </c>
    </row>
    <row r="259" customFormat="false" ht="15" hidden="false" customHeight="false" outlineLevel="0" collapsed="false">
      <c r="A259" s="23" t="str">
        <f aca="false">IF(B259="","",B259+(2*1000+58)/10000000)</f>
        <v/>
      </c>
      <c r="B259" s="35" t="str">
        <f aca="false">IF(AND(Office_Log!BE59=1,Office_Log!EI59=0,IF(INT(N(Office_Log!H59))&lt;=Config!$B$8,Office_Log!DJ59,Office_Log!DK59)=1),Office_Log!H59,"")</f>
        <v/>
      </c>
      <c r="C259" s="23" t="str">
        <f aca="false">IF(B259="","","office")</f>
        <v/>
      </c>
      <c r="D259" s="23" t="str">
        <f aca="false">IF(B259="","",Office_Log!ED59&amp;"")</f>
        <v/>
      </c>
      <c r="E259" s="23" t="str">
        <f aca="false">IF(B259="","",IF(Office_Log!B59="","",Office_Log!B59&amp;""))</f>
        <v/>
      </c>
      <c r="F259" s="23" t="str">
        <f aca="false">IF(B259="","","yes_in_principle")</f>
        <v/>
      </c>
      <c r="G259" s="23" t="str">
        <f aca="false">IF(B259="","","")</f>
        <v/>
      </c>
      <c r="H259" s="23" t="str">
        <f aca="false">IF(B259="","","")</f>
        <v/>
      </c>
      <c r="I259" s="23" t="str">
        <f aca="false">IF(B259="","","")</f>
        <v/>
      </c>
      <c r="J259" s="23" t="str">
        <f aca="false">IF(B259="","","owner: "&amp;Office_Log!AE59&amp;"; window: "&amp;Office_Log!AH59)</f>
        <v/>
      </c>
      <c r="K259" s="32" t="s">
        <v>1353</v>
      </c>
    </row>
    <row r="260" customFormat="false" ht="15" hidden="false" customHeight="false" outlineLevel="0" collapsed="false">
      <c r="A260" s="23" t="str">
        <f aca="false">IF(B260="","",B260+(2*1000+59)/10000000)</f>
        <v/>
      </c>
      <c r="B260" s="35" t="str">
        <f aca="false">IF(AND(Office_Log!BE60=1,Office_Log!EI60=0,IF(INT(N(Office_Log!H60))&lt;=Config!$B$8,Office_Log!DJ60,Office_Log!DK60)=1),Office_Log!H60,"")</f>
        <v/>
      </c>
      <c r="C260" s="23" t="str">
        <f aca="false">IF(B260="","","office")</f>
        <v/>
      </c>
      <c r="D260" s="23" t="str">
        <f aca="false">IF(B260="","",Office_Log!ED60&amp;"")</f>
        <v/>
      </c>
      <c r="E260" s="23" t="str">
        <f aca="false">IF(B260="","",IF(Office_Log!B60="","",Office_Log!B60&amp;""))</f>
        <v/>
      </c>
      <c r="F260" s="23" t="str">
        <f aca="false">IF(B260="","","yes_in_principle")</f>
        <v/>
      </c>
      <c r="G260" s="23" t="str">
        <f aca="false">IF(B260="","","")</f>
        <v/>
      </c>
      <c r="H260" s="23" t="str">
        <f aca="false">IF(B260="","","")</f>
        <v/>
      </c>
      <c r="I260" s="23" t="str">
        <f aca="false">IF(B260="","","")</f>
        <v/>
      </c>
      <c r="J260" s="23" t="str">
        <f aca="false">IF(B260="","","owner: "&amp;Office_Log!AE60&amp;"; window: "&amp;Office_Log!AH60)</f>
        <v/>
      </c>
      <c r="K260" s="32" t="s">
        <v>1353</v>
      </c>
    </row>
    <row r="261" customFormat="false" ht="15" hidden="false" customHeight="false" outlineLevel="0" collapsed="false">
      <c r="A261" s="23" t="str">
        <f aca="false">IF(B261="","",B261+(2*1000+60)/10000000)</f>
        <v/>
      </c>
      <c r="B261" s="35" t="str">
        <f aca="false">IF(AND(Office_Log!BE61=1,Office_Log!EI61=0,IF(INT(N(Office_Log!H61))&lt;=Config!$B$8,Office_Log!DJ61,Office_Log!DK61)=1),Office_Log!H61,"")</f>
        <v/>
      </c>
      <c r="C261" s="23" t="str">
        <f aca="false">IF(B261="","","office")</f>
        <v/>
      </c>
      <c r="D261" s="23" t="str">
        <f aca="false">IF(B261="","",Office_Log!ED61&amp;"")</f>
        <v/>
      </c>
      <c r="E261" s="23" t="str">
        <f aca="false">IF(B261="","",IF(Office_Log!B61="","",Office_Log!B61&amp;""))</f>
        <v/>
      </c>
      <c r="F261" s="23" t="str">
        <f aca="false">IF(B261="","","yes_in_principle")</f>
        <v/>
      </c>
      <c r="G261" s="23" t="str">
        <f aca="false">IF(B261="","","")</f>
        <v/>
      </c>
      <c r="H261" s="23" t="str">
        <f aca="false">IF(B261="","","")</f>
        <v/>
      </c>
      <c r="I261" s="23" t="str">
        <f aca="false">IF(B261="","","")</f>
        <v/>
      </c>
      <c r="J261" s="23" t="str">
        <f aca="false">IF(B261="","","owner: "&amp;Office_Log!AE61&amp;"; window: "&amp;Office_Log!AH61)</f>
        <v/>
      </c>
      <c r="K261" s="32" t="s">
        <v>1353</v>
      </c>
    </row>
    <row r="262" customFormat="false" ht="15" hidden="false" customHeight="false" outlineLevel="0" collapsed="false">
      <c r="A262" s="23" t="str">
        <f aca="false">IF(B262="","",B262+(2*1000+61)/10000000)</f>
        <v/>
      </c>
      <c r="B262" s="35" t="str">
        <f aca="false">IF(AND(Office_Log!BE62=1,Office_Log!EI62=0,IF(INT(N(Office_Log!H62))&lt;=Config!$B$8,Office_Log!DJ62,Office_Log!DK62)=1),Office_Log!H62,"")</f>
        <v/>
      </c>
      <c r="C262" s="23" t="str">
        <f aca="false">IF(B262="","","office")</f>
        <v/>
      </c>
      <c r="D262" s="23" t="str">
        <f aca="false">IF(B262="","",Office_Log!ED62&amp;"")</f>
        <v/>
      </c>
      <c r="E262" s="23" t="str">
        <f aca="false">IF(B262="","",IF(Office_Log!B62="","",Office_Log!B62&amp;""))</f>
        <v/>
      </c>
      <c r="F262" s="23" t="str">
        <f aca="false">IF(B262="","","yes_in_principle")</f>
        <v/>
      </c>
      <c r="G262" s="23" t="str">
        <f aca="false">IF(B262="","","")</f>
        <v/>
      </c>
      <c r="H262" s="23" t="str">
        <f aca="false">IF(B262="","","")</f>
        <v/>
      </c>
      <c r="I262" s="23" t="str">
        <f aca="false">IF(B262="","","")</f>
        <v/>
      </c>
      <c r="J262" s="23" t="str">
        <f aca="false">IF(B262="","","owner: "&amp;Office_Log!AE62&amp;"; window: "&amp;Office_Log!AH62)</f>
        <v/>
      </c>
      <c r="K262" s="32" t="s">
        <v>1353</v>
      </c>
    </row>
    <row r="263" customFormat="false" ht="15" hidden="false" customHeight="false" outlineLevel="0" collapsed="false">
      <c r="A263" s="23" t="str">
        <f aca="false">IF(B263="","",B263+(2*1000+62)/10000000)</f>
        <v/>
      </c>
      <c r="B263" s="35" t="str">
        <f aca="false">IF(AND(Office_Log!BE63=1,Office_Log!EI63=0,IF(INT(N(Office_Log!H63))&lt;=Config!$B$8,Office_Log!DJ63,Office_Log!DK63)=1),Office_Log!H63,"")</f>
        <v/>
      </c>
      <c r="C263" s="23" t="str">
        <f aca="false">IF(B263="","","office")</f>
        <v/>
      </c>
      <c r="D263" s="23" t="str">
        <f aca="false">IF(B263="","",Office_Log!ED63&amp;"")</f>
        <v/>
      </c>
      <c r="E263" s="23" t="str">
        <f aca="false">IF(B263="","",IF(Office_Log!B63="","",Office_Log!B63&amp;""))</f>
        <v/>
      </c>
      <c r="F263" s="23" t="str">
        <f aca="false">IF(B263="","","yes_in_principle")</f>
        <v/>
      </c>
      <c r="G263" s="23" t="str">
        <f aca="false">IF(B263="","","")</f>
        <v/>
      </c>
      <c r="H263" s="23" t="str">
        <f aca="false">IF(B263="","","")</f>
        <v/>
      </c>
      <c r="I263" s="23" t="str">
        <f aca="false">IF(B263="","","")</f>
        <v/>
      </c>
      <c r="J263" s="23" t="str">
        <f aca="false">IF(B263="","","owner: "&amp;Office_Log!AE63&amp;"; window: "&amp;Office_Log!AH63)</f>
        <v/>
      </c>
      <c r="K263" s="32" t="s">
        <v>1353</v>
      </c>
    </row>
    <row r="264" customFormat="false" ht="15" hidden="false" customHeight="false" outlineLevel="0" collapsed="false">
      <c r="A264" s="23" t="str">
        <f aca="false">IF(B264="","",B264+(2*1000+63)/10000000)</f>
        <v/>
      </c>
      <c r="B264" s="35" t="str">
        <f aca="false">IF(AND(Office_Log!BE64=1,Office_Log!EI64=0,IF(INT(N(Office_Log!H64))&lt;=Config!$B$8,Office_Log!DJ64,Office_Log!DK64)=1),Office_Log!H64,"")</f>
        <v/>
      </c>
      <c r="C264" s="23" t="str">
        <f aca="false">IF(B264="","","office")</f>
        <v/>
      </c>
      <c r="D264" s="23" t="str">
        <f aca="false">IF(B264="","",Office_Log!ED64&amp;"")</f>
        <v/>
      </c>
      <c r="E264" s="23" t="str">
        <f aca="false">IF(B264="","",IF(Office_Log!B64="","",Office_Log!B64&amp;""))</f>
        <v/>
      </c>
      <c r="F264" s="23" t="str">
        <f aca="false">IF(B264="","","yes_in_principle")</f>
        <v/>
      </c>
      <c r="G264" s="23" t="str">
        <f aca="false">IF(B264="","","")</f>
        <v/>
      </c>
      <c r="H264" s="23" t="str">
        <f aca="false">IF(B264="","","")</f>
        <v/>
      </c>
      <c r="I264" s="23" t="str">
        <f aca="false">IF(B264="","","")</f>
        <v/>
      </c>
      <c r="J264" s="23" t="str">
        <f aca="false">IF(B264="","","owner: "&amp;Office_Log!AE64&amp;"; window: "&amp;Office_Log!AH64)</f>
        <v/>
      </c>
      <c r="K264" s="32" t="s">
        <v>1353</v>
      </c>
    </row>
    <row r="265" customFormat="false" ht="15" hidden="false" customHeight="false" outlineLevel="0" collapsed="false">
      <c r="A265" s="23" t="str">
        <f aca="false">IF(B265="","",B265+(2*1000+64)/10000000)</f>
        <v/>
      </c>
      <c r="B265" s="35" t="str">
        <f aca="false">IF(AND(Office_Log!BE65=1,Office_Log!EI65=0,IF(INT(N(Office_Log!H65))&lt;=Config!$B$8,Office_Log!DJ65,Office_Log!DK65)=1),Office_Log!H65,"")</f>
        <v/>
      </c>
      <c r="C265" s="23" t="str">
        <f aca="false">IF(B265="","","office")</f>
        <v/>
      </c>
      <c r="D265" s="23" t="str">
        <f aca="false">IF(B265="","",Office_Log!ED65&amp;"")</f>
        <v/>
      </c>
      <c r="E265" s="23" t="str">
        <f aca="false">IF(B265="","",IF(Office_Log!B65="","",Office_Log!B65&amp;""))</f>
        <v/>
      </c>
      <c r="F265" s="23" t="str">
        <f aca="false">IF(B265="","","yes_in_principle")</f>
        <v/>
      </c>
      <c r="G265" s="23" t="str">
        <f aca="false">IF(B265="","","")</f>
        <v/>
      </c>
      <c r="H265" s="23" t="str">
        <f aca="false">IF(B265="","","")</f>
        <v/>
      </c>
      <c r="I265" s="23" t="str">
        <f aca="false">IF(B265="","","")</f>
        <v/>
      </c>
      <c r="J265" s="23" t="str">
        <f aca="false">IF(B265="","","owner: "&amp;Office_Log!AE65&amp;"; window: "&amp;Office_Log!AH65)</f>
        <v/>
      </c>
      <c r="K265" s="32" t="s">
        <v>1353</v>
      </c>
    </row>
    <row r="266" customFormat="false" ht="15" hidden="false" customHeight="false" outlineLevel="0" collapsed="false">
      <c r="A266" s="23" t="str">
        <f aca="false">IF(B266="","",B266+(2*1000+65)/10000000)</f>
        <v/>
      </c>
      <c r="B266" s="35" t="str">
        <f aca="false">IF(AND(Office_Log!BE66=1,Office_Log!EI66=0,IF(INT(N(Office_Log!H66))&lt;=Config!$B$8,Office_Log!DJ66,Office_Log!DK66)=1),Office_Log!H66,"")</f>
        <v/>
      </c>
      <c r="C266" s="23" t="str">
        <f aca="false">IF(B266="","","office")</f>
        <v/>
      </c>
      <c r="D266" s="23" t="str">
        <f aca="false">IF(B266="","",Office_Log!ED66&amp;"")</f>
        <v/>
      </c>
      <c r="E266" s="23" t="str">
        <f aca="false">IF(B266="","",IF(Office_Log!B66="","",Office_Log!B66&amp;""))</f>
        <v/>
      </c>
      <c r="F266" s="23" t="str">
        <f aca="false">IF(B266="","","yes_in_principle")</f>
        <v/>
      </c>
      <c r="G266" s="23" t="str">
        <f aca="false">IF(B266="","","")</f>
        <v/>
      </c>
      <c r="H266" s="23" t="str">
        <f aca="false">IF(B266="","","")</f>
        <v/>
      </c>
      <c r="I266" s="23" t="str">
        <f aca="false">IF(B266="","","")</f>
        <v/>
      </c>
      <c r="J266" s="23" t="str">
        <f aca="false">IF(B266="","","owner: "&amp;Office_Log!AE66&amp;"; window: "&amp;Office_Log!AH66)</f>
        <v/>
      </c>
      <c r="K266" s="32" t="s">
        <v>1353</v>
      </c>
    </row>
    <row r="267" customFormat="false" ht="15" hidden="false" customHeight="false" outlineLevel="0" collapsed="false">
      <c r="A267" s="23" t="str">
        <f aca="false">IF(B267="","",B267+(2*1000+66)/10000000)</f>
        <v/>
      </c>
      <c r="B267" s="35" t="str">
        <f aca="false">IF(AND(Office_Log!BE67=1,Office_Log!EI67=0,IF(INT(N(Office_Log!H67))&lt;=Config!$B$8,Office_Log!DJ67,Office_Log!DK67)=1),Office_Log!H67,"")</f>
        <v/>
      </c>
      <c r="C267" s="23" t="str">
        <f aca="false">IF(B267="","","office")</f>
        <v/>
      </c>
      <c r="D267" s="23" t="str">
        <f aca="false">IF(B267="","",Office_Log!ED67&amp;"")</f>
        <v/>
      </c>
      <c r="E267" s="23" t="str">
        <f aca="false">IF(B267="","",IF(Office_Log!B67="","",Office_Log!B67&amp;""))</f>
        <v/>
      </c>
      <c r="F267" s="23" t="str">
        <f aca="false">IF(B267="","","yes_in_principle")</f>
        <v/>
      </c>
      <c r="G267" s="23" t="str">
        <f aca="false">IF(B267="","","")</f>
        <v/>
      </c>
      <c r="H267" s="23" t="str">
        <f aca="false">IF(B267="","","")</f>
        <v/>
      </c>
      <c r="I267" s="23" t="str">
        <f aca="false">IF(B267="","","")</f>
        <v/>
      </c>
      <c r="J267" s="23" t="str">
        <f aca="false">IF(B267="","","owner: "&amp;Office_Log!AE67&amp;"; window: "&amp;Office_Log!AH67)</f>
        <v/>
      </c>
      <c r="K267" s="32" t="s">
        <v>1353</v>
      </c>
    </row>
    <row r="268" customFormat="false" ht="15" hidden="false" customHeight="false" outlineLevel="0" collapsed="false">
      <c r="A268" s="23" t="str">
        <f aca="false">IF(B268="","",B268+(2*1000+67)/10000000)</f>
        <v/>
      </c>
      <c r="B268" s="35" t="str">
        <f aca="false">IF(AND(Office_Log!BE68=1,Office_Log!EI68=0,IF(INT(N(Office_Log!H68))&lt;=Config!$B$8,Office_Log!DJ68,Office_Log!DK68)=1),Office_Log!H68,"")</f>
        <v/>
      </c>
      <c r="C268" s="23" t="str">
        <f aca="false">IF(B268="","","office")</f>
        <v/>
      </c>
      <c r="D268" s="23" t="str">
        <f aca="false">IF(B268="","",Office_Log!ED68&amp;"")</f>
        <v/>
      </c>
      <c r="E268" s="23" t="str">
        <f aca="false">IF(B268="","",IF(Office_Log!B68="","",Office_Log!B68&amp;""))</f>
        <v/>
      </c>
      <c r="F268" s="23" t="str">
        <f aca="false">IF(B268="","","yes_in_principle")</f>
        <v/>
      </c>
      <c r="G268" s="23" t="str">
        <f aca="false">IF(B268="","","")</f>
        <v/>
      </c>
      <c r="H268" s="23" t="str">
        <f aca="false">IF(B268="","","")</f>
        <v/>
      </c>
      <c r="I268" s="23" t="str">
        <f aca="false">IF(B268="","","")</f>
        <v/>
      </c>
      <c r="J268" s="23" t="str">
        <f aca="false">IF(B268="","","owner: "&amp;Office_Log!AE68&amp;"; window: "&amp;Office_Log!AH68)</f>
        <v/>
      </c>
      <c r="K268" s="32" t="s">
        <v>1353</v>
      </c>
    </row>
    <row r="269" customFormat="false" ht="15" hidden="false" customHeight="false" outlineLevel="0" collapsed="false">
      <c r="A269" s="23" t="str">
        <f aca="false">IF(B269="","",B269+(2*1000+68)/10000000)</f>
        <v/>
      </c>
      <c r="B269" s="35" t="str">
        <f aca="false">IF(AND(Office_Log!BE69=1,Office_Log!EI69=0,IF(INT(N(Office_Log!H69))&lt;=Config!$B$8,Office_Log!DJ69,Office_Log!DK69)=1),Office_Log!H69,"")</f>
        <v/>
      </c>
      <c r="C269" s="23" t="str">
        <f aca="false">IF(B269="","","office")</f>
        <v/>
      </c>
      <c r="D269" s="23" t="str">
        <f aca="false">IF(B269="","",Office_Log!ED69&amp;"")</f>
        <v/>
      </c>
      <c r="E269" s="23" t="str">
        <f aca="false">IF(B269="","",IF(Office_Log!B69="","",Office_Log!B69&amp;""))</f>
        <v/>
      </c>
      <c r="F269" s="23" t="str">
        <f aca="false">IF(B269="","","yes_in_principle")</f>
        <v/>
      </c>
      <c r="G269" s="23" t="str">
        <f aca="false">IF(B269="","","")</f>
        <v/>
      </c>
      <c r="H269" s="23" t="str">
        <f aca="false">IF(B269="","","")</f>
        <v/>
      </c>
      <c r="I269" s="23" t="str">
        <f aca="false">IF(B269="","","")</f>
        <v/>
      </c>
      <c r="J269" s="23" t="str">
        <f aca="false">IF(B269="","","owner: "&amp;Office_Log!AE69&amp;"; window: "&amp;Office_Log!AH69)</f>
        <v/>
      </c>
      <c r="K269" s="32" t="s">
        <v>1353</v>
      </c>
    </row>
    <row r="270" customFormat="false" ht="15" hidden="false" customHeight="false" outlineLevel="0" collapsed="false">
      <c r="A270" s="23" t="str">
        <f aca="false">IF(B270="","",B270+(2*1000+69)/10000000)</f>
        <v/>
      </c>
      <c r="B270" s="35" t="str">
        <f aca="false">IF(AND(Office_Log!BE70=1,Office_Log!EI70=0,IF(INT(N(Office_Log!H70))&lt;=Config!$B$8,Office_Log!DJ70,Office_Log!DK70)=1),Office_Log!H70,"")</f>
        <v/>
      </c>
      <c r="C270" s="23" t="str">
        <f aca="false">IF(B270="","","office")</f>
        <v/>
      </c>
      <c r="D270" s="23" t="str">
        <f aca="false">IF(B270="","",Office_Log!ED70&amp;"")</f>
        <v/>
      </c>
      <c r="E270" s="23" t="str">
        <f aca="false">IF(B270="","",IF(Office_Log!B70="","",Office_Log!B70&amp;""))</f>
        <v/>
      </c>
      <c r="F270" s="23" t="str">
        <f aca="false">IF(B270="","","yes_in_principle")</f>
        <v/>
      </c>
      <c r="G270" s="23" t="str">
        <f aca="false">IF(B270="","","")</f>
        <v/>
      </c>
      <c r="H270" s="23" t="str">
        <f aca="false">IF(B270="","","")</f>
        <v/>
      </c>
      <c r="I270" s="23" t="str">
        <f aca="false">IF(B270="","","")</f>
        <v/>
      </c>
      <c r="J270" s="23" t="str">
        <f aca="false">IF(B270="","","owner: "&amp;Office_Log!AE70&amp;"; window: "&amp;Office_Log!AH70)</f>
        <v/>
      </c>
      <c r="K270" s="32" t="s">
        <v>1353</v>
      </c>
    </row>
    <row r="271" customFormat="false" ht="15" hidden="false" customHeight="false" outlineLevel="0" collapsed="false">
      <c r="A271" s="23" t="str">
        <f aca="false">IF(B271="","",B271+(2*1000+70)/10000000)</f>
        <v/>
      </c>
      <c r="B271" s="35" t="str">
        <f aca="false">IF(AND(Office_Log!BE71=1,Office_Log!EI71=0,IF(INT(N(Office_Log!H71))&lt;=Config!$B$8,Office_Log!DJ71,Office_Log!DK71)=1),Office_Log!H71,"")</f>
        <v/>
      </c>
      <c r="C271" s="23" t="str">
        <f aca="false">IF(B271="","","office")</f>
        <v/>
      </c>
      <c r="D271" s="23" t="str">
        <f aca="false">IF(B271="","",Office_Log!ED71&amp;"")</f>
        <v/>
      </c>
      <c r="E271" s="23" t="str">
        <f aca="false">IF(B271="","",IF(Office_Log!B71="","",Office_Log!B71&amp;""))</f>
        <v/>
      </c>
      <c r="F271" s="23" t="str">
        <f aca="false">IF(B271="","","yes_in_principle")</f>
        <v/>
      </c>
      <c r="G271" s="23" t="str">
        <f aca="false">IF(B271="","","")</f>
        <v/>
      </c>
      <c r="H271" s="23" t="str">
        <f aca="false">IF(B271="","","")</f>
        <v/>
      </c>
      <c r="I271" s="23" t="str">
        <f aca="false">IF(B271="","","")</f>
        <v/>
      </c>
      <c r="J271" s="23" t="str">
        <f aca="false">IF(B271="","","owner: "&amp;Office_Log!AE71&amp;"; window: "&amp;Office_Log!AH71)</f>
        <v/>
      </c>
      <c r="K271" s="32" t="s">
        <v>1353</v>
      </c>
    </row>
    <row r="272" customFormat="false" ht="15" hidden="false" customHeight="false" outlineLevel="0" collapsed="false">
      <c r="A272" s="23" t="str">
        <f aca="false">IF(B272="","",B272+(2*1000+71)/10000000)</f>
        <v/>
      </c>
      <c r="B272" s="35" t="str">
        <f aca="false">IF(AND(Office_Log!BE72=1,Office_Log!EI72=0,IF(INT(N(Office_Log!H72))&lt;=Config!$B$8,Office_Log!DJ72,Office_Log!DK72)=1),Office_Log!H72,"")</f>
        <v/>
      </c>
      <c r="C272" s="23" t="str">
        <f aca="false">IF(B272="","","office")</f>
        <v/>
      </c>
      <c r="D272" s="23" t="str">
        <f aca="false">IF(B272="","",Office_Log!ED72&amp;"")</f>
        <v/>
      </c>
      <c r="E272" s="23" t="str">
        <f aca="false">IF(B272="","",IF(Office_Log!B72="","",Office_Log!B72&amp;""))</f>
        <v/>
      </c>
      <c r="F272" s="23" t="str">
        <f aca="false">IF(B272="","","yes_in_principle")</f>
        <v/>
      </c>
      <c r="G272" s="23" t="str">
        <f aca="false">IF(B272="","","")</f>
        <v/>
      </c>
      <c r="H272" s="23" t="str">
        <f aca="false">IF(B272="","","")</f>
        <v/>
      </c>
      <c r="I272" s="23" t="str">
        <f aca="false">IF(B272="","","")</f>
        <v/>
      </c>
      <c r="J272" s="23" t="str">
        <f aca="false">IF(B272="","","owner: "&amp;Office_Log!AE72&amp;"; window: "&amp;Office_Log!AH72)</f>
        <v/>
      </c>
      <c r="K272" s="32" t="s">
        <v>1353</v>
      </c>
    </row>
    <row r="273" customFormat="false" ht="15" hidden="false" customHeight="false" outlineLevel="0" collapsed="false">
      <c r="A273" s="23" t="str">
        <f aca="false">IF(B273="","",B273+(2*1000+72)/10000000)</f>
        <v/>
      </c>
      <c r="B273" s="35" t="str">
        <f aca="false">IF(AND(Office_Log!BE73=1,Office_Log!EI73=0,IF(INT(N(Office_Log!H73))&lt;=Config!$B$8,Office_Log!DJ73,Office_Log!DK73)=1),Office_Log!H73,"")</f>
        <v/>
      </c>
      <c r="C273" s="23" t="str">
        <f aca="false">IF(B273="","","office")</f>
        <v/>
      </c>
      <c r="D273" s="23" t="str">
        <f aca="false">IF(B273="","",Office_Log!ED73&amp;"")</f>
        <v/>
      </c>
      <c r="E273" s="23" t="str">
        <f aca="false">IF(B273="","",IF(Office_Log!B73="","",Office_Log!B73&amp;""))</f>
        <v/>
      </c>
      <c r="F273" s="23" t="str">
        <f aca="false">IF(B273="","","yes_in_principle")</f>
        <v/>
      </c>
      <c r="G273" s="23" t="str">
        <f aca="false">IF(B273="","","")</f>
        <v/>
      </c>
      <c r="H273" s="23" t="str">
        <f aca="false">IF(B273="","","")</f>
        <v/>
      </c>
      <c r="I273" s="23" t="str">
        <f aca="false">IF(B273="","","")</f>
        <v/>
      </c>
      <c r="J273" s="23" t="str">
        <f aca="false">IF(B273="","","owner: "&amp;Office_Log!AE73&amp;"; window: "&amp;Office_Log!AH73)</f>
        <v/>
      </c>
      <c r="K273" s="32" t="s">
        <v>1353</v>
      </c>
    </row>
    <row r="274" customFormat="false" ht="15" hidden="false" customHeight="false" outlineLevel="0" collapsed="false">
      <c r="A274" s="23" t="str">
        <f aca="false">IF(B274="","",B274+(2*1000+73)/10000000)</f>
        <v/>
      </c>
      <c r="B274" s="35" t="str">
        <f aca="false">IF(AND(Office_Log!BE74=1,Office_Log!EI74=0,IF(INT(N(Office_Log!H74))&lt;=Config!$B$8,Office_Log!DJ74,Office_Log!DK74)=1),Office_Log!H74,"")</f>
        <v/>
      </c>
      <c r="C274" s="23" t="str">
        <f aca="false">IF(B274="","","office")</f>
        <v/>
      </c>
      <c r="D274" s="23" t="str">
        <f aca="false">IF(B274="","",Office_Log!ED74&amp;"")</f>
        <v/>
      </c>
      <c r="E274" s="23" t="str">
        <f aca="false">IF(B274="","",IF(Office_Log!B74="","",Office_Log!B74&amp;""))</f>
        <v/>
      </c>
      <c r="F274" s="23" t="str">
        <f aca="false">IF(B274="","","yes_in_principle")</f>
        <v/>
      </c>
      <c r="G274" s="23" t="str">
        <f aca="false">IF(B274="","","")</f>
        <v/>
      </c>
      <c r="H274" s="23" t="str">
        <f aca="false">IF(B274="","","")</f>
        <v/>
      </c>
      <c r="I274" s="23" t="str">
        <f aca="false">IF(B274="","","")</f>
        <v/>
      </c>
      <c r="J274" s="23" t="str">
        <f aca="false">IF(B274="","","owner: "&amp;Office_Log!AE74&amp;"; window: "&amp;Office_Log!AH74)</f>
        <v/>
      </c>
      <c r="K274" s="32" t="s">
        <v>1353</v>
      </c>
    </row>
    <row r="275" customFormat="false" ht="15" hidden="false" customHeight="false" outlineLevel="0" collapsed="false">
      <c r="A275" s="23" t="str">
        <f aca="false">IF(B275="","",B275+(2*1000+74)/10000000)</f>
        <v/>
      </c>
      <c r="B275" s="35" t="str">
        <f aca="false">IF(AND(Office_Log!BE75=1,Office_Log!EI75=0,IF(INT(N(Office_Log!H75))&lt;=Config!$B$8,Office_Log!DJ75,Office_Log!DK75)=1),Office_Log!H75,"")</f>
        <v/>
      </c>
      <c r="C275" s="23" t="str">
        <f aca="false">IF(B275="","","office")</f>
        <v/>
      </c>
      <c r="D275" s="23" t="str">
        <f aca="false">IF(B275="","",Office_Log!ED75&amp;"")</f>
        <v/>
      </c>
      <c r="E275" s="23" t="str">
        <f aca="false">IF(B275="","",IF(Office_Log!B75="","",Office_Log!B75&amp;""))</f>
        <v/>
      </c>
      <c r="F275" s="23" t="str">
        <f aca="false">IF(B275="","","yes_in_principle")</f>
        <v/>
      </c>
      <c r="G275" s="23" t="str">
        <f aca="false">IF(B275="","","")</f>
        <v/>
      </c>
      <c r="H275" s="23" t="str">
        <f aca="false">IF(B275="","","")</f>
        <v/>
      </c>
      <c r="I275" s="23" t="str">
        <f aca="false">IF(B275="","","")</f>
        <v/>
      </c>
      <c r="J275" s="23" t="str">
        <f aca="false">IF(B275="","","owner: "&amp;Office_Log!AE75&amp;"; window: "&amp;Office_Log!AH75)</f>
        <v/>
      </c>
      <c r="K275" s="32" t="s">
        <v>1353</v>
      </c>
    </row>
    <row r="276" customFormat="false" ht="15" hidden="false" customHeight="false" outlineLevel="0" collapsed="false">
      <c r="A276" s="23" t="str">
        <f aca="false">IF(B276="","",B276+(2*1000+75)/10000000)</f>
        <v/>
      </c>
      <c r="B276" s="35" t="str">
        <f aca="false">IF(AND(Office_Log!BE76=1,Office_Log!EI76=0,IF(INT(N(Office_Log!H76))&lt;=Config!$B$8,Office_Log!DJ76,Office_Log!DK76)=1),Office_Log!H76,"")</f>
        <v/>
      </c>
      <c r="C276" s="23" t="str">
        <f aca="false">IF(B276="","","office")</f>
        <v/>
      </c>
      <c r="D276" s="23" t="str">
        <f aca="false">IF(B276="","",Office_Log!ED76&amp;"")</f>
        <v/>
      </c>
      <c r="E276" s="23" t="str">
        <f aca="false">IF(B276="","",IF(Office_Log!B76="","",Office_Log!B76&amp;""))</f>
        <v/>
      </c>
      <c r="F276" s="23" t="str">
        <f aca="false">IF(B276="","","yes_in_principle")</f>
        <v/>
      </c>
      <c r="G276" s="23" t="str">
        <f aca="false">IF(B276="","","")</f>
        <v/>
      </c>
      <c r="H276" s="23" t="str">
        <f aca="false">IF(B276="","","")</f>
        <v/>
      </c>
      <c r="I276" s="23" t="str">
        <f aca="false">IF(B276="","","")</f>
        <v/>
      </c>
      <c r="J276" s="23" t="str">
        <f aca="false">IF(B276="","","owner: "&amp;Office_Log!AE76&amp;"; window: "&amp;Office_Log!AH76)</f>
        <v/>
      </c>
      <c r="K276" s="32" t="s">
        <v>1353</v>
      </c>
    </row>
    <row r="277" customFormat="false" ht="15" hidden="false" customHeight="false" outlineLevel="0" collapsed="false">
      <c r="A277" s="23" t="str">
        <f aca="false">IF(B277="","",B277+(2*1000+76)/10000000)</f>
        <v/>
      </c>
      <c r="B277" s="35" t="str">
        <f aca="false">IF(AND(Office_Log!BE77=1,Office_Log!EI77=0,IF(INT(N(Office_Log!H77))&lt;=Config!$B$8,Office_Log!DJ77,Office_Log!DK77)=1),Office_Log!H77,"")</f>
        <v/>
      </c>
      <c r="C277" s="23" t="str">
        <f aca="false">IF(B277="","","office")</f>
        <v/>
      </c>
      <c r="D277" s="23" t="str">
        <f aca="false">IF(B277="","",Office_Log!ED77&amp;"")</f>
        <v/>
      </c>
      <c r="E277" s="23" t="str">
        <f aca="false">IF(B277="","",IF(Office_Log!B77="","",Office_Log!B77&amp;""))</f>
        <v/>
      </c>
      <c r="F277" s="23" t="str">
        <f aca="false">IF(B277="","","yes_in_principle")</f>
        <v/>
      </c>
      <c r="G277" s="23" t="str">
        <f aca="false">IF(B277="","","")</f>
        <v/>
      </c>
      <c r="H277" s="23" t="str">
        <f aca="false">IF(B277="","","")</f>
        <v/>
      </c>
      <c r="I277" s="23" t="str">
        <f aca="false">IF(B277="","","")</f>
        <v/>
      </c>
      <c r="J277" s="23" t="str">
        <f aca="false">IF(B277="","","owner: "&amp;Office_Log!AE77&amp;"; window: "&amp;Office_Log!AH77)</f>
        <v/>
      </c>
      <c r="K277" s="32" t="s">
        <v>1353</v>
      </c>
    </row>
    <row r="278" customFormat="false" ht="15" hidden="false" customHeight="false" outlineLevel="0" collapsed="false">
      <c r="A278" s="23" t="str">
        <f aca="false">IF(B278="","",B278+(2*1000+77)/10000000)</f>
        <v/>
      </c>
      <c r="B278" s="35" t="str">
        <f aca="false">IF(AND(Office_Log!BE78=1,Office_Log!EI78=0,IF(INT(N(Office_Log!H78))&lt;=Config!$B$8,Office_Log!DJ78,Office_Log!DK78)=1),Office_Log!H78,"")</f>
        <v/>
      </c>
      <c r="C278" s="23" t="str">
        <f aca="false">IF(B278="","","office")</f>
        <v/>
      </c>
      <c r="D278" s="23" t="str">
        <f aca="false">IF(B278="","",Office_Log!ED78&amp;"")</f>
        <v/>
      </c>
      <c r="E278" s="23" t="str">
        <f aca="false">IF(B278="","",IF(Office_Log!B78="","",Office_Log!B78&amp;""))</f>
        <v/>
      </c>
      <c r="F278" s="23" t="str">
        <f aca="false">IF(B278="","","yes_in_principle")</f>
        <v/>
      </c>
      <c r="G278" s="23" t="str">
        <f aca="false">IF(B278="","","")</f>
        <v/>
      </c>
      <c r="H278" s="23" t="str">
        <f aca="false">IF(B278="","","")</f>
        <v/>
      </c>
      <c r="I278" s="23" t="str">
        <f aca="false">IF(B278="","","")</f>
        <v/>
      </c>
      <c r="J278" s="23" t="str">
        <f aca="false">IF(B278="","","owner: "&amp;Office_Log!AE78&amp;"; window: "&amp;Office_Log!AH78)</f>
        <v/>
      </c>
      <c r="K278" s="32" t="s">
        <v>1353</v>
      </c>
    </row>
    <row r="279" customFormat="false" ht="15" hidden="false" customHeight="false" outlineLevel="0" collapsed="false">
      <c r="A279" s="23" t="str">
        <f aca="false">IF(B279="","",B279+(2*1000+78)/10000000)</f>
        <v/>
      </c>
      <c r="B279" s="35" t="str">
        <f aca="false">IF(AND(Office_Log!BE79=1,Office_Log!EI79=0,IF(INT(N(Office_Log!H79))&lt;=Config!$B$8,Office_Log!DJ79,Office_Log!DK79)=1),Office_Log!H79,"")</f>
        <v/>
      </c>
      <c r="C279" s="23" t="str">
        <f aca="false">IF(B279="","","office")</f>
        <v/>
      </c>
      <c r="D279" s="23" t="str">
        <f aca="false">IF(B279="","",Office_Log!ED79&amp;"")</f>
        <v/>
      </c>
      <c r="E279" s="23" t="str">
        <f aca="false">IF(B279="","",IF(Office_Log!B79="","",Office_Log!B79&amp;""))</f>
        <v/>
      </c>
      <c r="F279" s="23" t="str">
        <f aca="false">IF(B279="","","yes_in_principle")</f>
        <v/>
      </c>
      <c r="G279" s="23" t="str">
        <f aca="false">IF(B279="","","")</f>
        <v/>
      </c>
      <c r="H279" s="23" t="str">
        <f aca="false">IF(B279="","","")</f>
        <v/>
      </c>
      <c r="I279" s="23" t="str">
        <f aca="false">IF(B279="","","")</f>
        <v/>
      </c>
      <c r="J279" s="23" t="str">
        <f aca="false">IF(B279="","","owner: "&amp;Office_Log!AE79&amp;"; window: "&amp;Office_Log!AH79)</f>
        <v/>
      </c>
      <c r="K279" s="32" t="s">
        <v>1353</v>
      </c>
    </row>
    <row r="280" customFormat="false" ht="15" hidden="false" customHeight="false" outlineLevel="0" collapsed="false">
      <c r="A280" s="23" t="str">
        <f aca="false">IF(B280="","",B280+(2*1000+79)/10000000)</f>
        <v/>
      </c>
      <c r="B280" s="35" t="str">
        <f aca="false">IF(AND(Office_Log!BE80=1,Office_Log!EI80=0,IF(INT(N(Office_Log!H80))&lt;=Config!$B$8,Office_Log!DJ80,Office_Log!DK80)=1),Office_Log!H80,"")</f>
        <v/>
      </c>
      <c r="C280" s="23" t="str">
        <f aca="false">IF(B280="","","office")</f>
        <v/>
      </c>
      <c r="D280" s="23" t="str">
        <f aca="false">IF(B280="","",Office_Log!ED80&amp;"")</f>
        <v/>
      </c>
      <c r="E280" s="23" t="str">
        <f aca="false">IF(B280="","",IF(Office_Log!B80="","",Office_Log!B80&amp;""))</f>
        <v/>
      </c>
      <c r="F280" s="23" t="str">
        <f aca="false">IF(B280="","","yes_in_principle")</f>
        <v/>
      </c>
      <c r="G280" s="23" t="str">
        <f aca="false">IF(B280="","","")</f>
        <v/>
      </c>
      <c r="H280" s="23" t="str">
        <f aca="false">IF(B280="","","")</f>
        <v/>
      </c>
      <c r="I280" s="23" t="str">
        <f aca="false">IF(B280="","","")</f>
        <v/>
      </c>
      <c r="J280" s="23" t="str">
        <f aca="false">IF(B280="","","owner: "&amp;Office_Log!AE80&amp;"; window: "&amp;Office_Log!AH80)</f>
        <v/>
      </c>
      <c r="K280" s="32" t="s">
        <v>1353</v>
      </c>
    </row>
    <row r="281" customFormat="false" ht="15" hidden="false" customHeight="false" outlineLevel="0" collapsed="false">
      <c r="A281" s="23" t="str">
        <f aca="false">IF(B281="","",B281+(2*1000+80)/10000000)</f>
        <v/>
      </c>
      <c r="B281" s="35" t="str">
        <f aca="false">IF(AND(Office_Log!BE81=1,Office_Log!EI81=0,IF(INT(N(Office_Log!H81))&lt;=Config!$B$8,Office_Log!DJ81,Office_Log!DK81)=1),Office_Log!H81,"")</f>
        <v/>
      </c>
      <c r="C281" s="23" t="str">
        <f aca="false">IF(B281="","","office")</f>
        <v/>
      </c>
      <c r="D281" s="23" t="str">
        <f aca="false">IF(B281="","",Office_Log!ED81&amp;"")</f>
        <v/>
      </c>
      <c r="E281" s="23" t="str">
        <f aca="false">IF(B281="","",IF(Office_Log!B81="","",Office_Log!B81&amp;""))</f>
        <v/>
      </c>
      <c r="F281" s="23" t="str">
        <f aca="false">IF(B281="","","yes_in_principle")</f>
        <v/>
      </c>
      <c r="G281" s="23" t="str">
        <f aca="false">IF(B281="","","")</f>
        <v/>
      </c>
      <c r="H281" s="23" t="str">
        <f aca="false">IF(B281="","","")</f>
        <v/>
      </c>
      <c r="I281" s="23" t="str">
        <f aca="false">IF(B281="","","")</f>
        <v/>
      </c>
      <c r="J281" s="23" t="str">
        <f aca="false">IF(B281="","","owner: "&amp;Office_Log!AE81&amp;"; window: "&amp;Office_Log!AH81)</f>
        <v/>
      </c>
      <c r="K281" s="32" t="s">
        <v>1353</v>
      </c>
    </row>
    <row r="282" customFormat="false" ht="15" hidden="false" customHeight="false" outlineLevel="0" collapsed="false">
      <c r="A282" s="23" t="str">
        <f aca="false">IF(B282="","",B282+(2*1000+81)/10000000)</f>
        <v/>
      </c>
      <c r="B282" s="35" t="str">
        <f aca="false">IF(AND(Office_Log!BE82=1,Office_Log!EI82=0,IF(INT(N(Office_Log!H82))&lt;=Config!$B$8,Office_Log!DJ82,Office_Log!DK82)=1),Office_Log!H82,"")</f>
        <v/>
      </c>
      <c r="C282" s="23" t="str">
        <f aca="false">IF(B282="","","office")</f>
        <v/>
      </c>
      <c r="D282" s="23" t="str">
        <f aca="false">IF(B282="","",Office_Log!ED82&amp;"")</f>
        <v/>
      </c>
      <c r="E282" s="23" t="str">
        <f aca="false">IF(B282="","",IF(Office_Log!B82="","",Office_Log!B82&amp;""))</f>
        <v/>
      </c>
      <c r="F282" s="23" t="str">
        <f aca="false">IF(B282="","","yes_in_principle")</f>
        <v/>
      </c>
      <c r="G282" s="23" t="str">
        <f aca="false">IF(B282="","","")</f>
        <v/>
      </c>
      <c r="H282" s="23" t="str">
        <f aca="false">IF(B282="","","")</f>
        <v/>
      </c>
      <c r="I282" s="23" t="str">
        <f aca="false">IF(B282="","","")</f>
        <v/>
      </c>
      <c r="J282" s="23" t="str">
        <f aca="false">IF(B282="","","owner: "&amp;Office_Log!AE82&amp;"; window: "&amp;Office_Log!AH82)</f>
        <v/>
      </c>
      <c r="K282" s="32" t="s">
        <v>1353</v>
      </c>
    </row>
    <row r="283" customFormat="false" ht="15" hidden="false" customHeight="false" outlineLevel="0" collapsed="false">
      <c r="A283" s="23" t="str">
        <f aca="false">IF(B283="","",B283+(2*1000+82)/10000000)</f>
        <v/>
      </c>
      <c r="B283" s="35" t="str">
        <f aca="false">IF(AND(Office_Log!BE83=1,Office_Log!EI83=0,IF(INT(N(Office_Log!H83))&lt;=Config!$B$8,Office_Log!DJ83,Office_Log!DK83)=1),Office_Log!H83,"")</f>
        <v/>
      </c>
      <c r="C283" s="23" t="str">
        <f aca="false">IF(B283="","","office")</f>
        <v/>
      </c>
      <c r="D283" s="23" t="str">
        <f aca="false">IF(B283="","",Office_Log!ED83&amp;"")</f>
        <v/>
      </c>
      <c r="E283" s="23" t="str">
        <f aca="false">IF(B283="","",IF(Office_Log!B83="","",Office_Log!B83&amp;""))</f>
        <v/>
      </c>
      <c r="F283" s="23" t="str">
        <f aca="false">IF(B283="","","yes_in_principle")</f>
        <v/>
      </c>
      <c r="G283" s="23" t="str">
        <f aca="false">IF(B283="","","")</f>
        <v/>
      </c>
      <c r="H283" s="23" t="str">
        <f aca="false">IF(B283="","","")</f>
        <v/>
      </c>
      <c r="I283" s="23" t="str">
        <f aca="false">IF(B283="","","")</f>
        <v/>
      </c>
      <c r="J283" s="23" t="str">
        <f aca="false">IF(B283="","","owner: "&amp;Office_Log!AE83&amp;"; window: "&amp;Office_Log!AH83)</f>
        <v/>
      </c>
      <c r="K283" s="32" t="s">
        <v>1353</v>
      </c>
    </row>
    <row r="284" customFormat="false" ht="15" hidden="false" customHeight="false" outlineLevel="0" collapsed="false">
      <c r="A284" s="23" t="str">
        <f aca="false">IF(B284="","",B284+(2*1000+83)/10000000)</f>
        <v/>
      </c>
      <c r="B284" s="35" t="str">
        <f aca="false">IF(AND(Office_Log!BE84=1,Office_Log!EI84=0,IF(INT(N(Office_Log!H84))&lt;=Config!$B$8,Office_Log!DJ84,Office_Log!DK84)=1),Office_Log!H84,"")</f>
        <v/>
      </c>
      <c r="C284" s="23" t="str">
        <f aca="false">IF(B284="","","office")</f>
        <v/>
      </c>
      <c r="D284" s="23" t="str">
        <f aca="false">IF(B284="","",Office_Log!ED84&amp;"")</f>
        <v/>
      </c>
      <c r="E284" s="23" t="str">
        <f aca="false">IF(B284="","",IF(Office_Log!B84="","",Office_Log!B84&amp;""))</f>
        <v/>
      </c>
      <c r="F284" s="23" t="str">
        <f aca="false">IF(B284="","","yes_in_principle")</f>
        <v/>
      </c>
      <c r="G284" s="23" t="str">
        <f aca="false">IF(B284="","","")</f>
        <v/>
      </c>
      <c r="H284" s="23" t="str">
        <f aca="false">IF(B284="","","")</f>
        <v/>
      </c>
      <c r="I284" s="23" t="str">
        <f aca="false">IF(B284="","","")</f>
        <v/>
      </c>
      <c r="J284" s="23" t="str">
        <f aca="false">IF(B284="","","owner: "&amp;Office_Log!AE84&amp;"; window: "&amp;Office_Log!AH84)</f>
        <v/>
      </c>
      <c r="K284" s="32" t="s">
        <v>1353</v>
      </c>
    </row>
    <row r="285" customFormat="false" ht="15" hidden="false" customHeight="false" outlineLevel="0" collapsed="false">
      <c r="A285" s="23" t="str">
        <f aca="false">IF(B285="","",B285+(2*1000+84)/10000000)</f>
        <v/>
      </c>
      <c r="B285" s="35" t="str">
        <f aca="false">IF(AND(Office_Log!BE85=1,Office_Log!EI85=0,IF(INT(N(Office_Log!H85))&lt;=Config!$B$8,Office_Log!DJ85,Office_Log!DK85)=1),Office_Log!H85,"")</f>
        <v/>
      </c>
      <c r="C285" s="23" t="str">
        <f aca="false">IF(B285="","","office")</f>
        <v/>
      </c>
      <c r="D285" s="23" t="str">
        <f aca="false">IF(B285="","",Office_Log!ED85&amp;"")</f>
        <v/>
      </c>
      <c r="E285" s="23" t="str">
        <f aca="false">IF(B285="","",IF(Office_Log!B85="","",Office_Log!B85&amp;""))</f>
        <v/>
      </c>
      <c r="F285" s="23" t="str">
        <f aca="false">IF(B285="","","yes_in_principle")</f>
        <v/>
      </c>
      <c r="G285" s="23" t="str">
        <f aca="false">IF(B285="","","")</f>
        <v/>
      </c>
      <c r="H285" s="23" t="str">
        <f aca="false">IF(B285="","","")</f>
        <v/>
      </c>
      <c r="I285" s="23" t="str">
        <f aca="false">IF(B285="","","")</f>
        <v/>
      </c>
      <c r="J285" s="23" t="str">
        <f aca="false">IF(B285="","","owner: "&amp;Office_Log!AE85&amp;"; window: "&amp;Office_Log!AH85)</f>
        <v/>
      </c>
      <c r="K285" s="32" t="s">
        <v>1353</v>
      </c>
    </row>
    <row r="286" customFormat="false" ht="15" hidden="false" customHeight="false" outlineLevel="0" collapsed="false">
      <c r="A286" s="23" t="str">
        <f aca="false">IF(B286="","",B286+(2*1000+85)/10000000)</f>
        <v/>
      </c>
      <c r="B286" s="35" t="str">
        <f aca="false">IF(AND(Office_Log!BE86=1,Office_Log!EI86=0,IF(INT(N(Office_Log!H86))&lt;=Config!$B$8,Office_Log!DJ86,Office_Log!DK86)=1),Office_Log!H86,"")</f>
        <v/>
      </c>
      <c r="C286" s="23" t="str">
        <f aca="false">IF(B286="","","office")</f>
        <v/>
      </c>
      <c r="D286" s="23" t="str">
        <f aca="false">IF(B286="","",Office_Log!ED86&amp;"")</f>
        <v/>
      </c>
      <c r="E286" s="23" t="str">
        <f aca="false">IF(B286="","",IF(Office_Log!B86="","",Office_Log!B86&amp;""))</f>
        <v/>
      </c>
      <c r="F286" s="23" t="str">
        <f aca="false">IF(B286="","","yes_in_principle")</f>
        <v/>
      </c>
      <c r="G286" s="23" t="str">
        <f aca="false">IF(B286="","","")</f>
        <v/>
      </c>
      <c r="H286" s="23" t="str">
        <f aca="false">IF(B286="","","")</f>
        <v/>
      </c>
      <c r="I286" s="23" t="str">
        <f aca="false">IF(B286="","","")</f>
        <v/>
      </c>
      <c r="J286" s="23" t="str">
        <f aca="false">IF(B286="","","owner: "&amp;Office_Log!AE86&amp;"; window: "&amp;Office_Log!AH86)</f>
        <v/>
      </c>
      <c r="K286" s="32" t="s">
        <v>1353</v>
      </c>
    </row>
    <row r="287" customFormat="false" ht="15" hidden="false" customHeight="false" outlineLevel="0" collapsed="false">
      <c r="A287" s="23" t="str">
        <f aca="false">IF(B287="","",B287+(2*1000+86)/10000000)</f>
        <v/>
      </c>
      <c r="B287" s="35" t="str">
        <f aca="false">IF(AND(Office_Log!BE87=1,Office_Log!EI87=0,IF(INT(N(Office_Log!H87))&lt;=Config!$B$8,Office_Log!DJ87,Office_Log!DK87)=1),Office_Log!H87,"")</f>
        <v/>
      </c>
      <c r="C287" s="23" t="str">
        <f aca="false">IF(B287="","","office")</f>
        <v/>
      </c>
      <c r="D287" s="23" t="str">
        <f aca="false">IF(B287="","",Office_Log!ED87&amp;"")</f>
        <v/>
      </c>
      <c r="E287" s="23" t="str">
        <f aca="false">IF(B287="","",IF(Office_Log!B87="","",Office_Log!B87&amp;""))</f>
        <v/>
      </c>
      <c r="F287" s="23" t="str">
        <f aca="false">IF(B287="","","yes_in_principle")</f>
        <v/>
      </c>
      <c r="G287" s="23" t="str">
        <f aca="false">IF(B287="","","")</f>
        <v/>
      </c>
      <c r="H287" s="23" t="str">
        <f aca="false">IF(B287="","","")</f>
        <v/>
      </c>
      <c r="I287" s="23" t="str">
        <f aca="false">IF(B287="","","")</f>
        <v/>
      </c>
      <c r="J287" s="23" t="str">
        <f aca="false">IF(B287="","","owner: "&amp;Office_Log!AE87&amp;"; window: "&amp;Office_Log!AH87)</f>
        <v/>
      </c>
      <c r="K287" s="32" t="s">
        <v>1353</v>
      </c>
    </row>
    <row r="288" customFormat="false" ht="15" hidden="false" customHeight="false" outlineLevel="0" collapsed="false">
      <c r="A288" s="23" t="str">
        <f aca="false">IF(B288="","",B288+(2*1000+87)/10000000)</f>
        <v/>
      </c>
      <c r="B288" s="35" t="str">
        <f aca="false">IF(AND(Office_Log!BE88=1,Office_Log!EI88=0,IF(INT(N(Office_Log!H88))&lt;=Config!$B$8,Office_Log!DJ88,Office_Log!DK88)=1),Office_Log!H88,"")</f>
        <v/>
      </c>
      <c r="C288" s="23" t="str">
        <f aca="false">IF(B288="","","office")</f>
        <v/>
      </c>
      <c r="D288" s="23" t="str">
        <f aca="false">IF(B288="","",Office_Log!ED88&amp;"")</f>
        <v/>
      </c>
      <c r="E288" s="23" t="str">
        <f aca="false">IF(B288="","",IF(Office_Log!B88="","",Office_Log!B88&amp;""))</f>
        <v/>
      </c>
      <c r="F288" s="23" t="str">
        <f aca="false">IF(B288="","","yes_in_principle")</f>
        <v/>
      </c>
      <c r="G288" s="23" t="str">
        <f aca="false">IF(B288="","","")</f>
        <v/>
      </c>
      <c r="H288" s="23" t="str">
        <f aca="false">IF(B288="","","")</f>
        <v/>
      </c>
      <c r="I288" s="23" t="str">
        <f aca="false">IF(B288="","","")</f>
        <v/>
      </c>
      <c r="J288" s="23" t="str">
        <f aca="false">IF(B288="","","owner: "&amp;Office_Log!AE88&amp;"; window: "&amp;Office_Log!AH88)</f>
        <v/>
      </c>
      <c r="K288" s="32" t="s">
        <v>1353</v>
      </c>
    </row>
    <row r="289" customFormat="false" ht="15" hidden="false" customHeight="false" outlineLevel="0" collapsed="false">
      <c r="A289" s="23" t="str">
        <f aca="false">IF(B289="","",B289+(2*1000+88)/10000000)</f>
        <v/>
      </c>
      <c r="B289" s="35" t="str">
        <f aca="false">IF(AND(Office_Log!BE89=1,Office_Log!EI89=0,IF(INT(N(Office_Log!H89))&lt;=Config!$B$8,Office_Log!DJ89,Office_Log!DK89)=1),Office_Log!H89,"")</f>
        <v/>
      </c>
      <c r="C289" s="23" t="str">
        <f aca="false">IF(B289="","","office")</f>
        <v/>
      </c>
      <c r="D289" s="23" t="str">
        <f aca="false">IF(B289="","",Office_Log!ED89&amp;"")</f>
        <v/>
      </c>
      <c r="E289" s="23" t="str">
        <f aca="false">IF(B289="","",IF(Office_Log!B89="","",Office_Log!B89&amp;""))</f>
        <v/>
      </c>
      <c r="F289" s="23" t="str">
        <f aca="false">IF(B289="","","yes_in_principle")</f>
        <v/>
      </c>
      <c r="G289" s="23" t="str">
        <f aca="false">IF(B289="","","")</f>
        <v/>
      </c>
      <c r="H289" s="23" t="str">
        <f aca="false">IF(B289="","","")</f>
        <v/>
      </c>
      <c r="I289" s="23" t="str">
        <f aca="false">IF(B289="","","")</f>
        <v/>
      </c>
      <c r="J289" s="23" t="str">
        <f aca="false">IF(B289="","","owner: "&amp;Office_Log!AE89&amp;"; window: "&amp;Office_Log!AH89)</f>
        <v/>
      </c>
      <c r="K289" s="32" t="s">
        <v>1353</v>
      </c>
    </row>
    <row r="290" customFormat="false" ht="15" hidden="false" customHeight="false" outlineLevel="0" collapsed="false">
      <c r="A290" s="23" t="str">
        <f aca="false">IF(B290="","",B290+(2*1000+89)/10000000)</f>
        <v/>
      </c>
      <c r="B290" s="35" t="str">
        <f aca="false">IF(AND(Office_Log!BE90=1,Office_Log!EI90=0,IF(INT(N(Office_Log!H90))&lt;=Config!$B$8,Office_Log!DJ90,Office_Log!DK90)=1),Office_Log!H90,"")</f>
        <v/>
      </c>
      <c r="C290" s="23" t="str">
        <f aca="false">IF(B290="","","office")</f>
        <v/>
      </c>
      <c r="D290" s="23" t="str">
        <f aca="false">IF(B290="","",Office_Log!ED90&amp;"")</f>
        <v/>
      </c>
      <c r="E290" s="23" t="str">
        <f aca="false">IF(B290="","",IF(Office_Log!B90="","",Office_Log!B90&amp;""))</f>
        <v/>
      </c>
      <c r="F290" s="23" t="str">
        <f aca="false">IF(B290="","","yes_in_principle")</f>
        <v/>
      </c>
      <c r="G290" s="23" t="str">
        <f aca="false">IF(B290="","","")</f>
        <v/>
      </c>
      <c r="H290" s="23" t="str">
        <f aca="false">IF(B290="","","")</f>
        <v/>
      </c>
      <c r="I290" s="23" t="str">
        <f aca="false">IF(B290="","","")</f>
        <v/>
      </c>
      <c r="J290" s="23" t="str">
        <f aca="false">IF(B290="","","owner: "&amp;Office_Log!AE90&amp;"; window: "&amp;Office_Log!AH90)</f>
        <v/>
      </c>
      <c r="K290" s="32" t="s">
        <v>1353</v>
      </c>
    </row>
    <row r="291" customFormat="false" ht="15" hidden="false" customHeight="false" outlineLevel="0" collapsed="false">
      <c r="A291" s="23" t="str">
        <f aca="false">IF(B291="","",B291+(2*1000+90)/10000000)</f>
        <v/>
      </c>
      <c r="B291" s="35" t="str">
        <f aca="false">IF(AND(Office_Log!BE91=1,Office_Log!EI91=0,IF(INT(N(Office_Log!H91))&lt;=Config!$B$8,Office_Log!DJ91,Office_Log!DK91)=1),Office_Log!H91,"")</f>
        <v/>
      </c>
      <c r="C291" s="23" t="str">
        <f aca="false">IF(B291="","","office")</f>
        <v/>
      </c>
      <c r="D291" s="23" t="str">
        <f aca="false">IF(B291="","",Office_Log!ED91&amp;"")</f>
        <v/>
      </c>
      <c r="E291" s="23" t="str">
        <f aca="false">IF(B291="","",IF(Office_Log!B91="","",Office_Log!B91&amp;""))</f>
        <v/>
      </c>
      <c r="F291" s="23" t="str">
        <f aca="false">IF(B291="","","yes_in_principle")</f>
        <v/>
      </c>
      <c r="G291" s="23" t="str">
        <f aca="false">IF(B291="","","")</f>
        <v/>
      </c>
      <c r="H291" s="23" t="str">
        <f aca="false">IF(B291="","","")</f>
        <v/>
      </c>
      <c r="I291" s="23" t="str">
        <f aca="false">IF(B291="","","")</f>
        <v/>
      </c>
      <c r="J291" s="23" t="str">
        <f aca="false">IF(B291="","","owner: "&amp;Office_Log!AE91&amp;"; window: "&amp;Office_Log!AH91)</f>
        <v/>
      </c>
      <c r="K291" s="32" t="s">
        <v>1353</v>
      </c>
    </row>
    <row r="292" customFormat="false" ht="15" hidden="false" customHeight="false" outlineLevel="0" collapsed="false">
      <c r="A292" s="23" t="str">
        <f aca="false">IF(B292="","",B292+(2*1000+91)/10000000)</f>
        <v/>
      </c>
      <c r="B292" s="35" t="str">
        <f aca="false">IF(AND(Office_Log!BE92=1,Office_Log!EI92=0,IF(INT(N(Office_Log!H92))&lt;=Config!$B$8,Office_Log!DJ92,Office_Log!DK92)=1),Office_Log!H92,"")</f>
        <v/>
      </c>
      <c r="C292" s="23" t="str">
        <f aca="false">IF(B292="","","office")</f>
        <v/>
      </c>
      <c r="D292" s="23" t="str">
        <f aca="false">IF(B292="","",Office_Log!ED92&amp;"")</f>
        <v/>
      </c>
      <c r="E292" s="23" t="str">
        <f aca="false">IF(B292="","",IF(Office_Log!B92="","",Office_Log!B92&amp;""))</f>
        <v/>
      </c>
      <c r="F292" s="23" t="str">
        <f aca="false">IF(B292="","","yes_in_principle")</f>
        <v/>
      </c>
      <c r="G292" s="23" t="str">
        <f aca="false">IF(B292="","","")</f>
        <v/>
      </c>
      <c r="H292" s="23" t="str">
        <f aca="false">IF(B292="","","")</f>
        <v/>
      </c>
      <c r="I292" s="23" t="str">
        <f aca="false">IF(B292="","","")</f>
        <v/>
      </c>
      <c r="J292" s="23" t="str">
        <f aca="false">IF(B292="","","owner: "&amp;Office_Log!AE92&amp;"; window: "&amp;Office_Log!AH92)</f>
        <v/>
      </c>
      <c r="K292" s="32" t="s">
        <v>1353</v>
      </c>
    </row>
    <row r="293" customFormat="false" ht="15" hidden="false" customHeight="false" outlineLevel="0" collapsed="false">
      <c r="A293" s="23" t="str">
        <f aca="false">IF(B293="","",B293+(2*1000+92)/10000000)</f>
        <v/>
      </c>
      <c r="B293" s="35" t="str">
        <f aca="false">IF(AND(Office_Log!BE93=1,Office_Log!EI93=0,IF(INT(N(Office_Log!H93))&lt;=Config!$B$8,Office_Log!DJ93,Office_Log!DK93)=1),Office_Log!H93,"")</f>
        <v/>
      </c>
      <c r="C293" s="23" t="str">
        <f aca="false">IF(B293="","","office")</f>
        <v/>
      </c>
      <c r="D293" s="23" t="str">
        <f aca="false">IF(B293="","",Office_Log!ED93&amp;"")</f>
        <v/>
      </c>
      <c r="E293" s="23" t="str">
        <f aca="false">IF(B293="","",IF(Office_Log!B93="","",Office_Log!B93&amp;""))</f>
        <v/>
      </c>
      <c r="F293" s="23" t="str">
        <f aca="false">IF(B293="","","yes_in_principle")</f>
        <v/>
      </c>
      <c r="G293" s="23" t="str">
        <f aca="false">IF(B293="","","")</f>
        <v/>
      </c>
      <c r="H293" s="23" t="str">
        <f aca="false">IF(B293="","","")</f>
        <v/>
      </c>
      <c r="I293" s="23" t="str">
        <f aca="false">IF(B293="","","")</f>
        <v/>
      </c>
      <c r="J293" s="23" t="str">
        <f aca="false">IF(B293="","","owner: "&amp;Office_Log!AE93&amp;"; window: "&amp;Office_Log!AH93)</f>
        <v/>
      </c>
      <c r="K293" s="32" t="s">
        <v>1353</v>
      </c>
    </row>
    <row r="294" customFormat="false" ht="15" hidden="false" customHeight="false" outlineLevel="0" collapsed="false">
      <c r="A294" s="23" t="str">
        <f aca="false">IF(B294="","",B294+(2*1000+93)/10000000)</f>
        <v/>
      </c>
      <c r="B294" s="35" t="str">
        <f aca="false">IF(AND(Office_Log!BE94=1,Office_Log!EI94=0,IF(INT(N(Office_Log!H94))&lt;=Config!$B$8,Office_Log!DJ94,Office_Log!DK94)=1),Office_Log!H94,"")</f>
        <v/>
      </c>
      <c r="C294" s="23" t="str">
        <f aca="false">IF(B294="","","office")</f>
        <v/>
      </c>
      <c r="D294" s="23" t="str">
        <f aca="false">IF(B294="","",Office_Log!ED94&amp;"")</f>
        <v/>
      </c>
      <c r="E294" s="23" t="str">
        <f aca="false">IF(B294="","",IF(Office_Log!B94="","",Office_Log!B94&amp;""))</f>
        <v/>
      </c>
      <c r="F294" s="23" t="str">
        <f aca="false">IF(B294="","","yes_in_principle")</f>
        <v/>
      </c>
      <c r="G294" s="23" t="str">
        <f aca="false">IF(B294="","","")</f>
        <v/>
      </c>
      <c r="H294" s="23" t="str">
        <f aca="false">IF(B294="","","")</f>
        <v/>
      </c>
      <c r="I294" s="23" t="str">
        <f aca="false">IF(B294="","","")</f>
        <v/>
      </c>
      <c r="J294" s="23" t="str">
        <f aca="false">IF(B294="","","owner: "&amp;Office_Log!AE94&amp;"; window: "&amp;Office_Log!AH94)</f>
        <v/>
      </c>
      <c r="K294" s="32" t="s">
        <v>1353</v>
      </c>
    </row>
    <row r="295" customFormat="false" ht="15" hidden="false" customHeight="false" outlineLevel="0" collapsed="false">
      <c r="A295" s="23" t="str">
        <f aca="false">IF(B295="","",B295+(2*1000+94)/10000000)</f>
        <v/>
      </c>
      <c r="B295" s="35" t="str">
        <f aca="false">IF(AND(Office_Log!BE95=1,Office_Log!EI95=0,IF(INT(N(Office_Log!H95))&lt;=Config!$B$8,Office_Log!DJ95,Office_Log!DK95)=1),Office_Log!H95,"")</f>
        <v/>
      </c>
      <c r="C295" s="23" t="str">
        <f aca="false">IF(B295="","","office")</f>
        <v/>
      </c>
      <c r="D295" s="23" t="str">
        <f aca="false">IF(B295="","",Office_Log!ED95&amp;"")</f>
        <v/>
      </c>
      <c r="E295" s="23" t="str">
        <f aca="false">IF(B295="","",IF(Office_Log!B95="","",Office_Log!B95&amp;""))</f>
        <v/>
      </c>
      <c r="F295" s="23" t="str">
        <f aca="false">IF(B295="","","yes_in_principle")</f>
        <v/>
      </c>
      <c r="G295" s="23" t="str">
        <f aca="false">IF(B295="","","")</f>
        <v/>
      </c>
      <c r="H295" s="23" t="str">
        <f aca="false">IF(B295="","","")</f>
        <v/>
      </c>
      <c r="I295" s="23" t="str">
        <f aca="false">IF(B295="","","")</f>
        <v/>
      </c>
      <c r="J295" s="23" t="str">
        <f aca="false">IF(B295="","","owner: "&amp;Office_Log!AE95&amp;"; window: "&amp;Office_Log!AH95)</f>
        <v/>
      </c>
      <c r="K295" s="32" t="s">
        <v>1353</v>
      </c>
    </row>
    <row r="296" customFormat="false" ht="15" hidden="false" customHeight="false" outlineLevel="0" collapsed="false">
      <c r="A296" s="23" t="str">
        <f aca="false">IF(B296="","",B296+(2*1000+95)/10000000)</f>
        <v/>
      </c>
      <c r="B296" s="35" t="str">
        <f aca="false">IF(AND(Office_Log!BE96=1,Office_Log!EI96=0,IF(INT(N(Office_Log!H96))&lt;=Config!$B$8,Office_Log!DJ96,Office_Log!DK96)=1),Office_Log!H96,"")</f>
        <v/>
      </c>
      <c r="C296" s="23" t="str">
        <f aca="false">IF(B296="","","office")</f>
        <v/>
      </c>
      <c r="D296" s="23" t="str">
        <f aca="false">IF(B296="","",Office_Log!ED96&amp;"")</f>
        <v/>
      </c>
      <c r="E296" s="23" t="str">
        <f aca="false">IF(B296="","",IF(Office_Log!B96="","",Office_Log!B96&amp;""))</f>
        <v/>
      </c>
      <c r="F296" s="23" t="str">
        <f aca="false">IF(B296="","","yes_in_principle")</f>
        <v/>
      </c>
      <c r="G296" s="23" t="str">
        <f aca="false">IF(B296="","","")</f>
        <v/>
      </c>
      <c r="H296" s="23" t="str">
        <f aca="false">IF(B296="","","")</f>
        <v/>
      </c>
      <c r="I296" s="23" t="str">
        <f aca="false">IF(B296="","","")</f>
        <v/>
      </c>
      <c r="J296" s="23" t="str">
        <f aca="false">IF(B296="","","owner: "&amp;Office_Log!AE96&amp;"; window: "&amp;Office_Log!AH96)</f>
        <v/>
      </c>
      <c r="K296" s="32" t="s">
        <v>1353</v>
      </c>
    </row>
    <row r="297" customFormat="false" ht="15" hidden="false" customHeight="false" outlineLevel="0" collapsed="false">
      <c r="A297" s="23" t="str">
        <f aca="false">IF(B297="","",B297+(2*1000+96)/10000000)</f>
        <v/>
      </c>
      <c r="B297" s="35" t="str">
        <f aca="false">IF(AND(Office_Log!BE97=1,Office_Log!EI97=0,IF(INT(N(Office_Log!H97))&lt;=Config!$B$8,Office_Log!DJ97,Office_Log!DK97)=1),Office_Log!H97,"")</f>
        <v/>
      </c>
      <c r="C297" s="23" t="str">
        <f aca="false">IF(B297="","","office")</f>
        <v/>
      </c>
      <c r="D297" s="23" t="str">
        <f aca="false">IF(B297="","",Office_Log!ED97&amp;"")</f>
        <v/>
      </c>
      <c r="E297" s="23" t="str">
        <f aca="false">IF(B297="","",IF(Office_Log!B97="","",Office_Log!B97&amp;""))</f>
        <v/>
      </c>
      <c r="F297" s="23" t="str">
        <f aca="false">IF(B297="","","yes_in_principle")</f>
        <v/>
      </c>
      <c r="G297" s="23" t="str">
        <f aca="false">IF(B297="","","")</f>
        <v/>
      </c>
      <c r="H297" s="23" t="str">
        <f aca="false">IF(B297="","","")</f>
        <v/>
      </c>
      <c r="I297" s="23" t="str">
        <f aca="false">IF(B297="","","")</f>
        <v/>
      </c>
      <c r="J297" s="23" t="str">
        <f aca="false">IF(B297="","","owner: "&amp;Office_Log!AE97&amp;"; window: "&amp;Office_Log!AH97)</f>
        <v/>
      </c>
      <c r="K297" s="32" t="s">
        <v>1353</v>
      </c>
    </row>
    <row r="298" customFormat="false" ht="15" hidden="false" customHeight="false" outlineLevel="0" collapsed="false">
      <c r="A298" s="23" t="str">
        <f aca="false">IF(B298="","",B298+(2*1000+97)/10000000)</f>
        <v/>
      </c>
      <c r="B298" s="35" t="str">
        <f aca="false">IF(AND(Office_Log!BE98=1,Office_Log!EI98=0,IF(INT(N(Office_Log!H98))&lt;=Config!$B$8,Office_Log!DJ98,Office_Log!DK98)=1),Office_Log!H98,"")</f>
        <v/>
      </c>
      <c r="C298" s="23" t="str">
        <f aca="false">IF(B298="","","office")</f>
        <v/>
      </c>
      <c r="D298" s="23" t="str">
        <f aca="false">IF(B298="","",Office_Log!ED98&amp;"")</f>
        <v/>
      </c>
      <c r="E298" s="23" t="str">
        <f aca="false">IF(B298="","",IF(Office_Log!B98="","",Office_Log!B98&amp;""))</f>
        <v/>
      </c>
      <c r="F298" s="23" t="str">
        <f aca="false">IF(B298="","","yes_in_principle")</f>
        <v/>
      </c>
      <c r="G298" s="23" t="str">
        <f aca="false">IF(B298="","","")</f>
        <v/>
      </c>
      <c r="H298" s="23" t="str">
        <f aca="false">IF(B298="","","")</f>
        <v/>
      </c>
      <c r="I298" s="23" t="str">
        <f aca="false">IF(B298="","","")</f>
        <v/>
      </c>
      <c r="J298" s="23" t="str">
        <f aca="false">IF(B298="","","owner: "&amp;Office_Log!AE98&amp;"; window: "&amp;Office_Log!AH98)</f>
        <v/>
      </c>
      <c r="K298" s="32" t="s">
        <v>1353</v>
      </c>
    </row>
    <row r="299" customFormat="false" ht="15" hidden="false" customHeight="false" outlineLevel="0" collapsed="false">
      <c r="A299" s="23" t="str">
        <f aca="false">IF(B299="","",B299+(2*1000+98)/10000000)</f>
        <v/>
      </c>
      <c r="B299" s="35" t="str">
        <f aca="false">IF(AND(Office_Log!BE99=1,Office_Log!EI99=0,IF(INT(N(Office_Log!H99))&lt;=Config!$B$8,Office_Log!DJ99,Office_Log!DK99)=1),Office_Log!H99,"")</f>
        <v/>
      </c>
      <c r="C299" s="23" t="str">
        <f aca="false">IF(B299="","","office")</f>
        <v/>
      </c>
      <c r="D299" s="23" t="str">
        <f aca="false">IF(B299="","",Office_Log!ED99&amp;"")</f>
        <v/>
      </c>
      <c r="E299" s="23" t="str">
        <f aca="false">IF(B299="","",IF(Office_Log!B99="","",Office_Log!B99&amp;""))</f>
        <v/>
      </c>
      <c r="F299" s="23" t="str">
        <f aca="false">IF(B299="","","yes_in_principle")</f>
        <v/>
      </c>
      <c r="G299" s="23" t="str">
        <f aca="false">IF(B299="","","")</f>
        <v/>
      </c>
      <c r="H299" s="23" t="str">
        <f aca="false">IF(B299="","","")</f>
        <v/>
      </c>
      <c r="I299" s="23" t="str">
        <f aca="false">IF(B299="","","")</f>
        <v/>
      </c>
      <c r="J299" s="23" t="str">
        <f aca="false">IF(B299="","","owner: "&amp;Office_Log!AE99&amp;"; window: "&amp;Office_Log!AH99)</f>
        <v/>
      </c>
      <c r="K299" s="32" t="s">
        <v>1353</v>
      </c>
    </row>
    <row r="300" customFormat="false" ht="15" hidden="false" customHeight="false" outlineLevel="0" collapsed="false">
      <c r="A300" s="23" t="str">
        <f aca="false">IF(B300="","",B300+(2*1000+99)/10000000)</f>
        <v/>
      </c>
      <c r="B300" s="35" t="str">
        <f aca="false">IF(AND(Office_Log!BE100=1,Office_Log!EI100=0,IF(INT(N(Office_Log!H100))&lt;=Config!$B$8,Office_Log!DJ100,Office_Log!DK100)=1),Office_Log!H100,"")</f>
        <v/>
      </c>
      <c r="C300" s="23" t="str">
        <f aca="false">IF(B300="","","office")</f>
        <v/>
      </c>
      <c r="D300" s="23" t="str">
        <f aca="false">IF(B300="","",Office_Log!ED100&amp;"")</f>
        <v/>
      </c>
      <c r="E300" s="23" t="str">
        <f aca="false">IF(B300="","",IF(Office_Log!B100="","",Office_Log!B100&amp;""))</f>
        <v/>
      </c>
      <c r="F300" s="23" t="str">
        <f aca="false">IF(B300="","","yes_in_principle")</f>
        <v/>
      </c>
      <c r="G300" s="23" t="str">
        <f aca="false">IF(B300="","","")</f>
        <v/>
      </c>
      <c r="H300" s="23" t="str">
        <f aca="false">IF(B300="","","")</f>
        <v/>
      </c>
      <c r="I300" s="23" t="str">
        <f aca="false">IF(B300="","","")</f>
        <v/>
      </c>
      <c r="J300" s="23" t="str">
        <f aca="false">IF(B300="","","owner: "&amp;Office_Log!AE100&amp;"; window: "&amp;Office_Log!AH100)</f>
        <v/>
      </c>
      <c r="K300" s="32" t="s">
        <v>1353</v>
      </c>
    </row>
    <row r="301" customFormat="false" ht="15" hidden="false" customHeight="false" outlineLevel="0" collapsed="false">
      <c r="A301" s="23" t="str">
        <f aca="false">IF(B301="","",B301+(2*1000+100)/10000000)</f>
        <v/>
      </c>
      <c r="B301" s="35" t="str">
        <f aca="false">IF(AND(Office_Log!BE101=1,Office_Log!EI101=0,IF(INT(N(Office_Log!H101))&lt;=Config!$B$8,Office_Log!DJ101,Office_Log!DK101)=1),Office_Log!H101,"")</f>
        <v/>
      </c>
      <c r="C301" s="23" t="str">
        <f aca="false">IF(B301="","","office")</f>
        <v/>
      </c>
      <c r="D301" s="23" t="str">
        <f aca="false">IF(B301="","",Office_Log!ED101&amp;"")</f>
        <v/>
      </c>
      <c r="E301" s="23" t="str">
        <f aca="false">IF(B301="","",IF(Office_Log!B101="","",Office_Log!B101&amp;""))</f>
        <v/>
      </c>
      <c r="F301" s="23" t="str">
        <f aca="false">IF(B301="","","yes_in_principle")</f>
        <v/>
      </c>
      <c r="G301" s="23" t="str">
        <f aca="false">IF(B301="","","")</f>
        <v/>
      </c>
      <c r="H301" s="23" t="str">
        <f aca="false">IF(B301="","","")</f>
        <v/>
      </c>
      <c r="I301" s="23" t="str">
        <f aca="false">IF(B301="","","")</f>
        <v/>
      </c>
      <c r="J301" s="23" t="str">
        <f aca="false">IF(B301="","","owner: "&amp;Office_Log!AE101&amp;"; window: "&amp;Office_Log!AH101)</f>
        <v/>
      </c>
      <c r="K301" s="32" t="s">
        <v>1353</v>
      </c>
    </row>
    <row r="302" customFormat="false" ht="15" hidden="false" customHeight="false" outlineLevel="0" collapsed="false">
      <c r="A302" s="23" t="str">
        <f aca="false">IF(B302="","",B302+(2*1000+101)/10000000)</f>
        <v/>
      </c>
      <c r="B302" s="35" t="str">
        <f aca="false">IF(AND(Office_Log!BE102=1,Office_Log!EI102=0,IF(INT(N(Office_Log!H102))&lt;=Config!$B$8,Office_Log!DJ102,Office_Log!DK102)=1),Office_Log!H102,"")</f>
        <v/>
      </c>
      <c r="C302" s="23" t="str">
        <f aca="false">IF(B302="","","office")</f>
        <v/>
      </c>
      <c r="D302" s="23" t="str">
        <f aca="false">IF(B302="","",Office_Log!ED102&amp;"")</f>
        <v/>
      </c>
      <c r="E302" s="23" t="str">
        <f aca="false">IF(B302="","",IF(Office_Log!B102="","",Office_Log!B102&amp;""))</f>
        <v/>
      </c>
      <c r="F302" s="23" t="str">
        <f aca="false">IF(B302="","","yes_in_principle")</f>
        <v/>
      </c>
      <c r="G302" s="23" t="str">
        <f aca="false">IF(B302="","","")</f>
        <v/>
      </c>
      <c r="H302" s="23" t="str">
        <f aca="false">IF(B302="","","")</f>
        <v/>
      </c>
      <c r="I302" s="23" t="str">
        <f aca="false">IF(B302="","","")</f>
        <v/>
      </c>
      <c r="J302" s="23" t="str">
        <f aca="false">IF(B302="","","owner: "&amp;Office_Log!AE102&amp;"; window: "&amp;Office_Log!AH102)</f>
        <v/>
      </c>
      <c r="K302" s="32" t="s">
        <v>1353</v>
      </c>
    </row>
    <row r="303" customFormat="false" ht="15" hidden="false" customHeight="false" outlineLevel="0" collapsed="false">
      <c r="A303" s="23" t="str">
        <f aca="false">IF(B303="","",B303+(2*1000+102)/10000000)</f>
        <v/>
      </c>
      <c r="B303" s="35" t="str">
        <f aca="false">IF(AND(Office_Log!BE103=1,Office_Log!EI103=0,IF(INT(N(Office_Log!H103))&lt;=Config!$B$8,Office_Log!DJ103,Office_Log!DK103)=1),Office_Log!H103,"")</f>
        <v/>
      </c>
      <c r="C303" s="23" t="str">
        <f aca="false">IF(B303="","","office")</f>
        <v/>
      </c>
      <c r="D303" s="23" t="str">
        <f aca="false">IF(B303="","",Office_Log!ED103&amp;"")</f>
        <v/>
      </c>
      <c r="E303" s="23" t="str">
        <f aca="false">IF(B303="","",IF(Office_Log!B103="","",Office_Log!B103&amp;""))</f>
        <v/>
      </c>
      <c r="F303" s="23" t="str">
        <f aca="false">IF(B303="","","yes_in_principle")</f>
        <v/>
      </c>
      <c r="G303" s="23" t="str">
        <f aca="false">IF(B303="","","")</f>
        <v/>
      </c>
      <c r="H303" s="23" t="str">
        <f aca="false">IF(B303="","","")</f>
        <v/>
      </c>
      <c r="I303" s="23" t="str">
        <f aca="false">IF(B303="","","")</f>
        <v/>
      </c>
      <c r="J303" s="23" t="str">
        <f aca="false">IF(B303="","","owner: "&amp;Office_Log!AE103&amp;"; window: "&amp;Office_Log!AH103)</f>
        <v/>
      </c>
      <c r="K303" s="32" t="s">
        <v>1353</v>
      </c>
    </row>
    <row r="304" customFormat="false" ht="15" hidden="false" customHeight="false" outlineLevel="0" collapsed="false">
      <c r="A304" s="23" t="str">
        <f aca="false">IF(B304="","",B304+(2*1000+103)/10000000)</f>
        <v/>
      </c>
      <c r="B304" s="35" t="str">
        <f aca="false">IF(AND(Office_Log!BE104=1,Office_Log!EI104=0,IF(INT(N(Office_Log!H104))&lt;=Config!$B$8,Office_Log!DJ104,Office_Log!DK104)=1),Office_Log!H104,"")</f>
        <v/>
      </c>
      <c r="C304" s="23" t="str">
        <f aca="false">IF(B304="","","office")</f>
        <v/>
      </c>
      <c r="D304" s="23" t="str">
        <f aca="false">IF(B304="","",Office_Log!ED104&amp;"")</f>
        <v/>
      </c>
      <c r="E304" s="23" t="str">
        <f aca="false">IF(B304="","",IF(Office_Log!B104="","",Office_Log!B104&amp;""))</f>
        <v/>
      </c>
      <c r="F304" s="23" t="str">
        <f aca="false">IF(B304="","","yes_in_principle")</f>
        <v/>
      </c>
      <c r="G304" s="23" t="str">
        <f aca="false">IF(B304="","","")</f>
        <v/>
      </c>
      <c r="H304" s="23" t="str">
        <f aca="false">IF(B304="","","")</f>
        <v/>
      </c>
      <c r="I304" s="23" t="str">
        <f aca="false">IF(B304="","","")</f>
        <v/>
      </c>
      <c r="J304" s="23" t="str">
        <f aca="false">IF(B304="","","owner: "&amp;Office_Log!AE104&amp;"; window: "&amp;Office_Log!AH104)</f>
        <v/>
      </c>
      <c r="K304" s="32" t="s">
        <v>1353</v>
      </c>
    </row>
    <row r="305" customFormat="false" ht="15" hidden="false" customHeight="false" outlineLevel="0" collapsed="false">
      <c r="A305" s="23" t="str">
        <f aca="false">IF(B305="","",B305+(2*1000+104)/10000000)</f>
        <v/>
      </c>
      <c r="B305" s="35" t="str">
        <f aca="false">IF(AND(Office_Log!BE105=1,Office_Log!EI105=0,IF(INT(N(Office_Log!H105))&lt;=Config!$B$8,Office_Log!DJ105,Office_Log!DK105)=1),Office_Log!H105,"")</f>
        <v/>
      </c>
      <c r="C305" s="23" t="str">
        <f aca="false">IF(B305="","","office")</f>
        <v/>
      </c>
      <c r="D305" s="23" t="str">
        <f aca="false">IF(B305="","",Office_Log!ED105&amp;"")</f>
        <v/>
      </c>
      <c r="E305" s="23" t="str">
        <f aca="false">IF(B305="","",IF(Office_Log!B105="","",Office_Log!B105&amp;""))</f>
        <v/>
      </c>
      <c r="F305" s="23" t="str">
        <f aca="false">IF(B305="","","yes_in_principle")</f>
        <v/>
      </c>
      <c r="G305" s="23" t="str">
        <f aca="false">IF(B305="","","")</f>
        <v/>
      </c>
      <c r="H305" s="23" t="str">
        <f aca="false">IF(B305="","","")</f>
        <v/>
      </c>
      <c r="I305" s="23" t="str">
        <f aca="false">IF(B305="","","")</f>
        <v/>
      </c>
      <c r="J305" s="23" t="str">
        <f aca="false">IF(B305="","","owner: "&amp;Office_Log!AE105&amp;"; window: "&amp;Office_Log!AH105)</f>
        <v/>
      </c>
      <c r="K305" s="32" t="s">
        <v>1353</v>
      </c>
    </row>
    <row r="306" customFormat="false" ht="15" hidden="false" customHeight="false" outlineLevel="0" collapsed="false">
      <c r="A306" s="23" t="str">
        <f aca="false">IF(B306="","",B306+(2*1000+105)/10000000)</f>
        <v/>
      </c>
      <c r="B306" s="35" t="str">
        <f aca="false">IF(AND(Office_Log!BE106=1,Office_Log!EI106=0,IF(INT(N(Office_Log!H106))&lt;=Config!$B$8,Office_Log!DJ106,Office_Log!DK106)=1),Office_Log!H106,"")</f>
        <v/>
      </c>
      <c r="C306" s="23" t="str">
        <f aca="false">IF(B306="","","office")</f>
        <v/>
      </c>
      <c r="D306" s="23" t="str">
        <f aca="false">IF(B306="","",Office_Log!ED106&amp;"")</f>
        <v/>
      </c>
      <c r="E306" s="23" t="str">
        <f aca="false">IF(B306="","",IF(Office_Log!B106="","",Office_Log!B106&amp;""))</f>
        <v/>
      </c>
      <c r="F306" s="23" t="str">
        <f aca="false">IF(B306="","","yes_in_principle")</f>
        <v/>
      </c>
      <c r="G306" s="23" t="str">
        <f aca="false">IF(B306="","","")</f>
        <v/>
      </c>
      <c r="H306" s="23" t="str">
        <f aca="false">IF(B306="","","")</f>
        <v/>
      </c>
      <c r="I306" s="23" t="str">
        <f aca="false">IF(B306="","","")</f>
        <v/>
      </c>
      <c r="J306" s="23" t="str">
        <f aca="false">IF(B306="","","owner: "&amp;Office_Log!AE106&amp;"; window: "&amp;Office_Log!AH106)</f>
        <v/>
      </c>
      <c r="K306" s="32" t="s">
        <v>1353</v>
      </c>
    </row>
    <row r="307" customFormat="false" ht="15" hidden="false" customHeight="false" outlineLevel="0" collapsed="false">
      <c r="A307" s="23" t="str">
        <f aca="false">IF(B307="","",B307+(2*1000+106)/10000000)</f>
        <v/>
      </c>
      <c r="B307" s="35" t="str">
        <f aca="false">IF(AND(Office_Log!BE107=1,Office_Log!EI107=0,IF(INT(N(Office_Log!H107))&lt;=Config!$B$8,Office_Log!DJ107,Office_Log!DK107)=1),Office_Log!H107,"")</f>
        <v/>
      </c>
      <c r="C307" s="23" t="str">
        <f aca="false">IF(B307="","","office")</f>
        <v/>
      </c>
      <c r="D307" s="23" t="str">
        <f aca="false">IF(B307="","",Office_Log!ED107&amp;"")</f>
        <v/>
      </c>
      <c r="E307" s="23" t="str">
        <f aca="false">IF(B307="","",IF(Office_Log!B107="","",Office_Log!B107&amp;""))</f>
        <v/>
      </c>
      <c r="F307" s="23" t="str">
        <f aca="false">IF(B307="","","yes_in_principle")</f>
        <v/>
      </c>
      <c r="G307" s="23" t="str">
        <f aca="false">IF(B307="","","")</f>
        <v/>
      </c>
      <c r="H307" s="23" t="str">
        <f aca="false">IF(B307="","","")</f>
        <v/>
      </c>
      <c r="I307" s="23" t="str">
        <f aca="false">IF(B307="","","")</f>
        <v/>
      </c>
      <c r="J307" s="23" t="str">
        <f aca="false">IF(B307="","","owner: "&amp;Office_Log!AE107&amp;"; window: "&amp;Office_Log!AH107)</f>
        <v/>
      </c>
      <c r="K307" s="32" t="s">
        <v>1353</v>
      </c>
    </row>
    <row r="308" customFormat="false" ht="15" hidden="false" customHeight="false" outlineLevel="0" collapsed="false">
      <c r="A308" s="23" t="str">
        <f aca="false">IF(B308="","",B308+(2*1000+107)/10000000)</f>
        <v/>
      </c>
      <c r="B308" s="35" t="str">
        <f aca="false">IF(AND(Office_Log!BE108=1,Office_Log!EI108=0,IF(INT(N(Office_Log!H108))&lt;=Config!$B$8,Office_Log!DJ108,Office_Log!DK108)=1),Office_Log!H108,"")</f>
        <v/>
      </c>
      <c r="C308" s="23" t="str">
        <f aca="false">IF(B308="","","office")</f>
        <v/>
      </c>
      <c r="D308" s="23" t="str">
        <f aca="false">IF(B308="","",Office_Log!ED108&amp;"")</f>
        <v/>
      </c>
      <c r="E308" s="23" t="str">
        <f aca="false">IF(B308="","",IF(Office_Log!B108="","",Office_Log!B108&amp;""))</f>
        <v/>
      </c>
      <c r="F308" s="23" t="str">
        <f aca="false">IF(B308="","","yes_in_principle")</f>
        <v/>
      </c>
      <c r="G308" s="23" t="str">
        <f aca="false">IF(B308="","","")</f>
        <v/>
      </c>
      <c r="H308" s="23" t="str">
        <f aca="false">IF(B308="","","")</f>
        <v/>
      </c>
      <c r="I308" s="23" t="str">
        <f aca="false">IF(B308="","","")</f>
        <v/>
      </c>
      <c r="J308" s="23" t="str">
        <f aca="false">IF(B308="","","owner: "&amp;Office_Log!AE108&amp;"; window: "&amp;Office_Log!AH108)</f>
        <v/>
      </c>
      <c r="K308" s="32" t="s">
        <v>1353</v>
      </c>
    </row>
    <row r="309" customFormat="false" ht="15" hidden="false" customHeight="false" outlineLevel="0" collapsed="false">
      <c r="A309" s="23" t="str">
        <f aca="false">IF(B309="","",B309+(2*1000+108)/10000000)</f>
        <v/>
      </c>
      <c r="B309" s="35" t="str">
        <f aca="false">IF(AND(Office_Log!BE109=1,Office_Log!EI109=0,IF(INT(N(Office_Log!H109))&lt;=Config!$B$8,Office_Log!DJ109,Office_Log!DK109)=1),Office_Log!H109,"")</f>
        <v/>
      </c>
      <c r="C309" s="23" t="str">
        <f aca="false">IF(B309="","","office")</f>
        <v/>
      </c>
      <c r="D309" s="23" t="str">
        <f aca="false">IF(B309="","",Office_Log!ED109&amp;"")</f>
        <v/>
      </c>
      <c r="E309" s="23" t="str">
        <f aca="false">IF(B309="","",IF(Office_Log!B109="","",Office_Log!B109&amp;""))</f>
        <v/>
      </c>
      <c r="F309" s="23" t="str">
        <f aca="false">IF(B309="","","yes_in_principle")</f>
        <v/>
      </c>
      <c r="G309" s="23" t="str">
        <f aca="false">IF(B309="","","")</f>
        <v/>
      </c>
      <c r="H309" s="23" t="str">
        <f aca="false">IF(B309="","","")</f>
        <v/>
      </c>
      <c r="I309" s="23" t="str">
        <f aca="false">IF(B309="","","")</f>
        <v/>
      </c>
      <c r="J309" s="23" t="str">
        <f aca="false">IF(B309="","","owner: "&amp;Office_Log!AE109&amp;"; window: "&amp;Office_Log!AH109)</f>
        <v/>
      </c>
      <c r="K309" s="32" t="s">
        <v>1353</v>
      </c>
    </row>
    <row r="310" customFormat="false" ht="15" hidden="false" customHeight="false" outlineLevel="0" collapsed="false">
      <c r="A310" s="23" t="str">
        <f aca="false">IF(B310="","",B310+(2*1000+109)/10000000)</f>
        <v/>
      </c>
      <c r="B310" s="35" t="str">
        <f aca="false">IF(AND(Office_Log!BE110=1,Office_Log!EI110=0,IF(INT(N(Office_Log!H110))&lt;=Config!$B$8,Office_Log!DJ110,Office_Log!DK110)=1),Office_Log!H110,"")</f>
        <v/>
      </c>
      <c r="C310" s="23" t="str">
        <f aca="false">IF(B310="","","office")</f>
        <v/>
      </c>
      <c r="D310" s="23" t="str">
        <f aca="false">IF(B310="","",Office_Log!ED110&amp;"")</f>
        <v/>
      </c>
      <c r="E310" s="23" t="str">
        <f aca="false">IF(B310="","",IF(Office_Log!B110="","",Office_Log!B110&amp;""))</f>
        <v/>
      </c>
      <c r="F310" s="23" t="str">
        <f aca="false">IF(B310="","","yes_in_principle")</f>
        <v/>
      </c>
      <c r="G310" s="23" t="str">
        <f aca="false">IF(B310="","","")</f>
        <v/>
      </c>
      <c r="H310" s="23" t="str">
        <f aca="false">IF(B310="","","")</f>
        <v/>
      </c>
      <c r="I310" s="23" t="str">
        <f aca="false">IF(B310="","","")</f>
        <v/>
      </c>
      <c r="J310" s="23" t="str">
        <f aca="false">IF(B310="","","owner: "&amp;Office_Log!AE110&amp;"; window: "&amp;Office_Log!AH110)</f>
        <v/>
      </c>
      <c r="K310" s="32" t="s">
        <v>1353</v>
      </c>
    </row>
    <row r="311" customFormat="false" ht="15" hidden="false" customHeight="false" outlineLevel="0" collapsed="false">
      <c r="A311" s="23" t="str">
        <f aca="false">IF(B311="","",B311+(2*1000+110)/10000000)</f>
        <v/>
      </c>
      <c r="B311" s="35" t="str">
        <f aca="false">IF(AND(Office_Log!BE111=1,Office_Log!EI111=0,IF(INT(N(Office_Log!H111))&lt;=Config!$B$8,Office_Log!DJ111,Office_Log!DK111)=1),Office_Log!H111,"")</f>
        <v/>
      </c>
      <c r="C311" s="23" t="str">
        <f aca="false">IF(B311="","","office")</f>
        <v/>
      </c>
      <c r="D311" s="23" t="str">
        <f aca="false">IF(B311="","",Office_Log!ED111&amp;"")</f>
        <v/>
      </c>
      <c r="E311" s="23" t="str">
        <f aca="false">IF(B311="","",IF(Office_Log!B111="","",Office_Log!B111&amp;""))</f>
        <v/>
      </c>
      <c r="F311" s="23" t="str">
        <f aca="false">IF(B311="","","yes_in_principle")</f>
        <v/>
      </c>
      <c r="G311" s="23" t="str">
        <f aca="false">IF(B311="","","")</f>
        <v/>
      </c>
      <c r="H311" s="23" t="str">
        <f aca="false">IF(B311="","","")</f>
        <v/>
      </c>
      <c r="I311" s="23" t="str">
        <f aca="false">IF(B311="","","")</f>
        <v/>
      </c>
      <c r="J311" s="23" t="str">
        <f aca="false">IF(B311="","","owner: "&amp;Office_Log!AE111&amp;"; window: "&amp;Office_Log!AH111)</f>
        <v/>
      </c>
      <c r="K311" s="32" t="s">
        <v>1353</v>
      </c>
    </row>
    <row r="312" customFormat="false" ht="15" hidden="false" customHeight="false" outlineLevel="0" collapsed="false">
      <c r="A312" s="23" t="str">
        <f aca="false">IF(B312="","",B312+(2*1000+111)/10000000)</f>
        <v/>
      </c>
      <c r="B312" s="35" t="str">
        <f aca="false">IF(AND(Office_Log!BE112=1,Office_Log!EI112=0,IF(INT(N(Office_Log!H112))&lt;=Config!$B$8,Office_Log!DJ112,Office_Log!DK112)=1),Office_Log!H112,"")</f>
        <v/>
      </c>
      <c r="C312" s="23" t="str">
        <f aca="false">IF(B312="","","office")</f>
        <v/>
      </c>
      <c r="D312" s="23" t="str">
        <f aca="false">IF(B312="","",Office_Log!ED112&amp;"")</f>
        <v/>
      </c>
      <c r="E312" s="23" t="str">
        <f aca="false">IF(B312="","",IF(Office_Log!B112="","",Office_Log!B112&amp;""))</f>
        <v/>
      </c>
      <c r="F312" s="23" t="str">
        <f aca="false">IF(B312="","","yes_in_principle")</f>
        <v/>
      </c>
      <c r="G312" s="23" t="str">
        <f aca="false">IF(B312="","","")</f>
        <v/>
      </c>
      <c r="H312" s="23" t="str">
        <f aca="false">IF(B312="","","")</f>
        <v/>
      </c>
      <c r="I312" s="23" t="str">
        <f aca="false">IF(B312="","","")</f>
        <v/>
      </c>
      <c r="J312" s="23" t="str">
        <f aca="false">IF(B312="","","owner: "&amp;Office_Log!AE112&amp;"; window: "&amp;Office_Log!AH112)</f>
        <v/>
      </c>
      <c r="K312" s="32" t="s">
        <v>1353</v>
      </c>
    </row>
    <row r="313" customFormat="false" ht="15" hidden="false" customHeight="false" outlineLevel="0" collapsed="false">
      <c r="A313" s="23" t="str">
        <f aca="false">IF(B313="","",B313+(2*1000+112)/10000000)</f>
        <v/>
      </c>
      <c r="B313" s="35" t="str">
        <f aca="false">IF(AND(Office_Log!BE113=1,Office_Log!EI113=0,IF(INT(N(Office_Log!H113))&lt;=Config!$B$8,Office_Log!DJ113,Office_Log!DK113)=1),Office_Log!H113,"")</f>
        <v/>
      </c>
      <c r="C313" s="23" t="str">
        <f aca="false">IF(B313="","","office")</f>
        <v/>
      </c>
      <c r="D313" s="23" t="str">
        <f aca="false">IF(B313="","",Office_Log!ED113&amp;"")</f>
        <v/>
      </c>
      <c r="E313" s="23" t="str">
        <f aca="false">IF(B313="","",IF(Office_Log!B113="","",Office_Log!B113&amp;""))</f>
        <v/>
      </c>
      <c r="F313" s="23" t="str">
        <f aca="false">IF(B313="","","yes_in_principle")</f>
        <v/>
      </c>
      <c r="G313" s="23" t="str">
        <f aca="false">IF(B313="","","")</f>
        <v/>
      </c>
      <c r="H313" s="23" t="str">
        <f aca="false">IF(B313="","","")</f>
        <v/>
      </c>
      <c r="I313" s="23" t="str">
        <f aca="false">IF(B313="","","")</f>
        <v/>
      </c>
      <c r="J313" s="23" t="str">
        <f aca="false">IF(B313="","","owner: "&amp;Office_Log!AE113&amp;"; window: "&amp;Office_Log!AH113)</f>
        <v/>
      </c>
      <c r="K313" s="32" t="s">
        <v>1353</v>
      </c>
    </row>
    <row r="314" customFormat="false" ht="15" hidden="false" customHeight="false" outlineLevel="0" collapsed="false">
      <c r="A314" s="23" t="str">
        <f aca="false">IF(B314="","",B314+(2*1000+113)/10000000)</f>
        <v/>
      </c>
      <c r="B314" s="35" t="str">
        <f aca="false">IF(AND(Office_Log!BE114=1,Office_Log!EI114=0,IF(INT(N(Office_Log!H114))&lt;=Config!$B$8,Office_Log!DJ114,Office_Log!DK114)=1),Office_Log!H114,"")</f>
        <v/>
      </c>
      <c r="C314" s="23" t="str">
        <f aca="false">IF(B314="","","office")</f>
        <v/>
      </c>
      <c r="D314" s="23" t="str">
        <f aca="false">IF(B314="","",Office_Log!ED114&amp;"")</f>
        <v/>
      </c>
      <c r="E314" s="23" t="str">
        <f aca="false">IF(B314="","",IF(Office_Log!B114="","",Office_Log!B114&amp;""))</f>
        <v/>
      </c>
      <c r="F314" s="23" t="str">
        <f aca="false">IF(B314="","","yes_in_principle")</f>
        <v/>
      </c>
      <c r="G314" s="23" t="str">
        <f aca="false">IF(B314="","","")</f>
        <v/>
      </c>
      <c r="H314" s="23" t="str">
        <f aca="false">IF(B314="","","")</f>
        <v/>
      </c>
      <c r="I314" s="23" t="str">
        <f aca="false">IF(B314="","","")</f>
        <v/>
      </c>
      <c r="J314" s="23" t="str">
        <f aca="false">IF(B314="","","owner: "&amp;Office_Log!AE114&amp;"; window: "&amp;Office_Log!AH114)</f>
        <v/>
      </c>
      <c r="K314" s="32" t="s">
        <v>1353</v>
      </c>
    </row>
    <row r="315" customFormat="false" ht="15" hidden="false" customHeight="false" outlineLevel="0" collapsed="false">
      <c r="A315" s="23" t="str">
        <f aca="false">IF(B315="","",B315+(2*1000+114)/10000000)</f>
        <v/>
      </c>
      <c r="B315" s="35" t="str">
        <f aca="false">IF(AND(Office_Log!BE115=1,Office_Log!EI115=0,IF(INT(N(Office_Log!H115))&lt;=Config!$B$8,Office_Log!DJ115,Office_Log!DK115)=1),Office_Log!H115,"")</f>
        <v/>
      </c>
      <c r="C315" s="23" t="str">
        <f aca="false">IF(B315="","","office")</f>
        <v/>
      </c>
      <c r="D315" s="23" t="str">
        <f aca="false">IF(B315="","",Office_Log!ED115&amp;"")</f>
        <v/>
      </c>
      <c r="E315" s="23" t="str">
        <f aca="false">IF(B315="","",IF(Office_Log!B115="","",Office_Log!B115&amp;""))</f>
        <v/>
      </c>
      <c r="F315" s="23" t="str">
        <f aca="false">IF(B315="","","yes_in_principle")</f>
        <v/>
      </c>
      <c r="G315" s="23" t="str">
        <f aca="false">IF(B315="","","")</f>
        <v/>
      </c>
      <c r="H315" s="23" t="str">
        <f aca="false">IF(B315="","","")</f>
        <v/>
      </c>
      <c r="I315" s="23" t="str">
        <f aca="false">IF(B315="","","")</f>
        <v/>
      </c>
      <c r="J315" s="23" t="str">
        <f aca="false">IF(B315="","","owner: "&amp;Office_Log!AE115&amp;"; window: "&amp;Office_Log!AH115)</f>
        <v/>
      </c>
      <c r="K315" s="32" t="s">
        <v>1353</v>
      </c>
    </row>
    <row r="316" customFormat="false" ht="15" hidden="false" customHeight="false" outlineLevel="0" collapsed="false">
      <c r="A316" s="23" t="str">
        <f aca="false">IF(B316="","",B316+(2*1000+115)/10000000)</f>
        <v/>
      </c>
      <c r="B316" s="35" t="str">
        <f aca="false">IF(AND(Office_Log!BE116=1,Office_Log!EI116=0,IF(INT(N(Office_Log!H116))&lt;=Config!$B$8,Office_Log!DJ116,Office_Log!DK116)=1),Office_Log!H116,"")</f>
        <v/>
      </c>
      <c r="C316" s="23" t="str">
        <f aca="false">IF(B316="","","office")</f>
        <v/>
      </c>
      <c r="D316" s="23" t="str">
        <f aca="false">IF(B316="","",Office_Log!ED116&amp;"")</f>
        <v/>
      </c>
      <c r="E316" s="23" t="str">
        <f aca="false">IF(B316="","",IF(Office_Log!B116="","",Office_Log!B116&amp;""))</f>
        <v/>
      </c>
      <c r="F316" s="23" t="str">
        <f aca="false">IF(B316="","","yes_in_principle")</f>
        <v/>
      </c>
      <c r="G316" s="23" t="str">
        <f aca="false">IF(B316="","","")</f>
        <v/>
      </c>
      <c r="H316" s="23" t="str">
        <f aca="false">IF(B316="","","")</f>
        <v/>
      </c>
      <c r="I316" s="23" t="str">
        <f aca="false">IF(B316="","","")</f>
        <v/>
      </c>
      <c r="J316" s="23" t="str">
        <f aca="false">IF(B316="","","owner: "&amp;Office_Log!AE116&amp;"; window: "&amp;Office_Log!AH116)</f>
        <v/>
      </c>
      <c r="K316" s="32" t="s">
        <v>1353</v>
      </c>
    </row>
    <row r="317" customFormat="false" ht="15" hidden="false" customHeight="false" outlineLevel="0" collapsed="false">
      <c r="A317" s="23" t="str">
        <f aca="false">IF(B317="","",B317+(2*1000+116)/10000000)</f>
        <v/>
      </c>
      <c r="B317" s="35" t="str">
        <f aca="false">IF(AND(Office_Log!BE117=1,Office_Log!EI117=0,IF(INT(N(Office_Log!H117))&lt;=Config!$B$8,Office_Log!DJ117,Office_Log!DK117)=1),Office_Log!H117,"")</f>
        <v/>
      </c>
      <c r="C317" s="23" t="str">
        <f aca="false">IF(B317="","","office")</f>
        <v/>
      </c>
      <c r="D317" s="23" t="str">
        <f aca="false">IF(B317="","",Office_Log!ED117&amp;"")</f>
        <v/>
      </c>
      <c r="E317" s="23" t="str">
        <f aca="false">IF(B317="","",IF(Office_Log!B117="","",Office_Log!B117&amp;""))</f>
        <v/>
      </c>
      <c r="F317" s="23" t="str">
        <f aca="false">IF(B317="","","yes_in_principle")</f>
        <v/>
      </c>
      <c r="G317" s="23" t="str">
        <f aca="false">IF(B317="","","")</f>
        <v/>
      </c>
      <c r="H317" s="23" t="str">
        <f aca="false">IF(B317="","","")</f>
        <v/>
      </c>
      <c r="I317" s="23" t="str">
        <f aca="false">IF(B317="","","")</f>
        <v/>
      </c>
      <c r="J317" s="23" t="str">
        <f aca="false">IF(B317="","","owner: "&amp;Office_Log!AE117&amp;"; window: "&amp;Office_Log!AH117)</f>
        <v/>
      </c>
      <c r="K317" s="32" t="s">
        <v>1353</v>
      </c>
    </row>
    <row r="318" customFormat="false" ht="15" hidden="false" customHeight="false" outlineLevel="0" collapsed="false">
      <c r="A318" s="23" t="str">
        <f aca="false">IF(B318="","",B318+(2*1000+117)/10000000)</f>
        <v/>
      </c>
      <c r="B318" s="35" t="str">
        <f aca="false">IF(AND(Office_Log!BE118=1,Office_Log!EI118=0,IF(INT(N(Office_Log!H118))&lt;=Config!$B$8,Office_Log!DJ118,Office_Log!DK118)=1),Office_Log!H118,"")</f>
        <v/>
      </c>
      <c r="C318" s="23" t="str">
        <f aca="false">IF(B318="","","office")</f>
        <v/>
      </c>
      <c r="D318" s="23" t="str">
        <f aca="false">IF(B318="","",Office_Log!ED118&amp;"")</f>
        <v/>
      </c>
      <c r="E318" s="23" t="str">
        <f aca="false">IF(B318="","",IF(Office_Log!B118="","",Office_Log!B118&amp;""))</f>
        <v/>
      </c>
      <c r="F318" s="23" t="str">
        <f aca="false">IF(B318="","","yes_in_principle")</f>
        <v/>
      </c>
      <c r="G318" s="23" t="str">
        <f aca="false">IF(B318="","","")</f>
        <v/>
      </c>
      <c r="H318" s="23" t="str">
        <f aca="false">IF(B318="","","")</f>
        <v/>
      </c>
      <c r="I318" s="23" t="str">
        <f aca="false">IF(B318="","","")</f>
        <v/>
      </c>
      <c r="J318" s="23" t="str">
        <f aca="false">IF(B318="","","owner: "&amp;Office_Log!AE118&amp;"; window: "&amp;Office_Log!AH118)</f>
        <v/>
      </c>
      <c r="K318" s="32" t="s">
        <v>1353</v>
      </c>
    </row>
    <row r="319" customFormat="false" ht="15" hidden="false" customHeight="false" outlineLevel="0" collapsed="false">
      <c r="A319" s="23" t="str">
        <f aca="false">IF(B319="","",B319+(2*1000+118)/10000000)</f>
        <v/>
      </c>
      <c r="B319" s="35" t="str">
        <f aca="false">IF(AND(Office_Log!BE119=1,Office_Log!EI119=0,IF(INT(N(Office_Log!H119))&lt;=Config!$B$8,Office_Log!DJ119,Office_Log!DK119)=1),Office_Log!H119,"")</f>
        <v/>
      </c>
      <c r="C319" s="23" t="str">
        <f aca="false">IF(B319="","","office")</f>
        <v/>
      </c>
      <c r="D319" s="23" t="str">
        <f aca="false">IF(B319="","",Office_Log!ED119&amp;"")</f>
        <v/>
      </c>
      <c r="E319" s="23" t="str">
        <f aca="false">IF(B319="","",IF(Office_Log!B119="","",Office_Log!B119&amp;""))</f>
        <v/>
      </c>
      <c r="F319" s="23" t="str">
        <f aca="false">IF(B319="","","yes_in_principle")</f>
        <v/>
      </c>
      <c r="G319" s="23" t="str">
        <f aca="false">IF(B319="","","")</f>
        <v/>
      </c>
      <c r="H319" s="23" t="str">
        <f aca="false">IF(B319="","","")</f>
        <v/>
      </c>
      <c r="I319" s="23" t="str">
        <f aca="false">IF(B319="","","")</f>
        <v/>
      </c>
      <c r="J319" s="23" t="str">
        <f aca="false">IF(B319="","","owner: "&amp;Office_Log!AE119&amp;"; window: "&amp;Office_Log!AH119)</f>
        <v/>
      </c>
      <c r="K319" s="32" t="s">
        <v>1353</v>
      </c>
    </row>
    <row r="320" customFormat="false" ht="15" hidden="false" customHeight="false" outlineLevel="0" collapsed="false">
      <c r="A320" s="23" t="str">
        <f aca="false">IF(B320="","",B320+(2*1000+119)/10000000)</f>
        <v/>
      </c>
      <c r="B320" s="35" t="str">
        <f aca="false">IF(AND(Office_Log!BE120=1,Office_Log!EI120=0,IF(INT(N(Office_Log!H120))&lt;=Config!$B$8,Office_Log!DJ120,Office_Log!DK120)=1),Office_Log!H120,"")</f>
        <v/>
      </c>
      <c r="C320" s="23" t="str">
        <f aca="false">IF(B320="","","office")</f>
        <v/>
      </c>
      <c r="D320" s="23" t="str">
        <f aca="false">IF(B320="","",Office_Log!ED120&amp;"")</f>
        <v/>
      </c>
      <c r="E320" s="23" t="str">
        <f aca="false">IF(B320="","",IF(Office_Log!B120="","",Office_Log!B120&amp;""))</f>
        <v/>
      </c>
      <c r="F320" s="23" t="str">
        <f aca="false">IF(B320="","","yes_in_principle")</f>
        <v/>
      </c>
      <c r="G320" s="23" t="str">
        <f aca="false">IF(B320="","","")</f>
        <v/>
      </c>
      <c r="H320" s="23" t="str">
        <f aca="false">IF(B320="","","")</f>
        <v/>
      </c>
      <c r="I320" s="23" t="str">
        <f aca="false">IF(B320="","","")</f>
        <v/>
      </c>
      <c r="J320" s="23" t="str">
        <f aca="false">IF(B320="","","owner: "&amp;Office_Log!AE120&amp;"; window: "&amp;Office_Log!AH120)</f>
        <v/>
      </c>
      <c r="K320" s="32" t="s">
        <v>1353</v>
      </c>
    </row>
    <row r="321" customFormat="false" ht="15" hidden="false" customHeight="false" outlineLevel="0" collapsed="false">
      <c r="A321" s="23" t="str">
        <f aca="false">IF(B321="","",B321+(2*1000+120)/10000000)</f>
        <v/>
      </c>
      <c r="B321" s="35" t="str">
        <f aca="false">IF(AND(Office_Log!BE121=1,Office_Log!EI121=0,IF(INT(N(Office_Log!H121))&lt;=Config!$B$8,Office_Log!DJ121,Office_Log!DK121)=1),Office_Log!H121,"")</f>
        <v/>
      </c>
      <c r="C321" s="23" t="str">
        <f aca="false">IF(B321="","","office")</f>
        <v/>
      </c>
      <c r="D321" s="23" t="str">
        <f aca="false">IF(B321="","",Office_Log!ED121&amp;"")</f>
        <v/>
      </c>
      <c r="E321" s="23" t="str">
        <f aca="false">IF(B321="","",IF(Office_Log!B121="","",Office_Log!B121&amp;""))</f>
        <v/>
      </c>
      <c r="F321" s="23" t="str">
        <f aca="false">IF(B321="","","yes_in_principle")</f>
        <v/>
      </c>
      <c r="G321" s="23" t="str">
        <f aca="false">IF(B321="","","")</f>
        <v/>
      </c>
      <c r="H321" s="23" t="str">
        <f aca="false">IF(B321="","","")</f>
        <v/>
      </c>
      <c r="I321" s="23" t="str">
        <f aca="false">IF(B321="","","")</f>
        <v/>
      </c>
      <c r="J321" s="23" t="str">
        <f aca="false">IF(B321="","","owner: "&amp;Office_Log!AE121&amp;"; window: "&amp;Office_Log!AH121)</f>
        <v/>
      </c>
      <c r="K321" s="32" t="s">
        <v>1353</v>
      </c>
    </row>
    <row r="322" customFormat="false" ht="15" hidden="false" customHeight="false" outlineLevel="0" collapsed="false">
      <c r="A322" s="23" t="str">
        <f aca="false">IF(B322="","",B322+(2*1000+121)/10000000)</f>
        <v/>
      </c>
      <c r="B322" s="35" t="str">
        <f aca="false">IF(AND(Office_Log!BE122=1,Office_Log!EI122=0,IF(INT(N(Office_Log!H122))&lt;=Config!$B$8,Office_Log!DJ122,Office_Log!DK122)=1),Office_Log!H122,"")</f>
        <v/>
      </c>
      <c r="C322" s="23" t="str">
        <f aca="false">IF(B322="","","office")</f>
        <v/>
      </c>
      <c r="D322" s="23" t="str">
        <f aca="false">IF(B322="","",Office_Log!ED122&amp;"")</f>
        <v/>
      </c>
      <c r="E322" s="23" t="str">
        <f aca="false">IF(B322="","",IF(Office_Log!B122="","",Office_Log!B122&amp;""))</f>
        <v/>
      </c>
      <c r="F322" s="23" t="str">
        <f aca="false">IF(B322="","","yes_in_principle")</f>
        <v/>
      </c>
      <c r="G322" s="23" t="str">
        <f aca="false">IF(B322="","","")</f>
        <v/>
      </c>
      <c r="H322" s="23" t="str">
        <f aca="false">IF(B322="","","")</f>
        <v/>
      </c>
      <c r="I322" s="23" t="str">
        <f aca="false">IF(B322="","","")</f>
        <v/>
      </c>
      <c r="J322" s="23" t="str">
        <f aca="false">IF(B322="","","owner: "&amp;Office_Log!AE122&amp;"; window: "&amp;Office_Log!AH122)</f>
        <v/>
      </c>
      <c r="K322" s="32" t="s">
        <v>1353</v>
      </c>
    </row>
    <row r="323" customFormat="false" ht="15" hidden="false" customHeight="false" outlineLevel="0" collapsed="false">
      <c r="A323" s="23" t="str">
        <f aca="false">IF(B323="","",B323+(2*1000+122)/10000000)</f>
        <v/>
      </c>
      <c r="B323" s="35" t="str">
        <f aca="false">IF(AND(Office_Log!BE123=1,Office_Log!EI123=0,IF(INT(N(Office_Log!H123))&lt;=Config!$B$8,Office_Log!DJ123,Office_Log!DK123)=1),Office_Log!H123,"")</f>
        <v/>
      </c>
      <c r="C323" s="23" t="str">
        <f aca="false">IF(B323="","","office")</f>
        <v/>
      </c>
      <c r="D323" s="23" t="str">
        <f aca="false">IF(B323="","",Office_Log!ED123&amp;"")</f>
        <v/>
      </c>
      <c r="E323" s="23" t="str">
        <f aca="false">IF(B323="","",IF(Office_Log!B123="","",Office_Log!B123&amp;""))</f>
        <v/>
      </c>
      <c r="F323" s="23" t="str">
        <f aca="false">IF(B323="","","yes_in_principle")</f>
        <v/>
      </c>
      <c r="G323" s="23" t="str">
        <f aca="false">IF(B323="","","")</f>
        <v/>
      </c>
      <c r="H323" s="23" t="str">
        <f aca="false">IF(B323="","","")</f>
        <v/>
      </c>
      <c r="I323" s="23" t="str">
        <f aca="false">IF(B323="","","")</f>
        <v/>
      </c>
      <c r="J323" s="23" t="str">
        <f aca="false">IF(B323="","","owner: "&amp;Office_Log!AE123&amp;"; window: "&amp;Office_Log!AH123)</f>
        <v/>
      </c>
      <c r="K323" s="32" t="s">
        <v>1353</v>
      </c>
    </row>
    <row r="324" customFormat="false" ht="15" hidden="false" customHeight="false" outlineLevel="0" collapsed="false">
      <c r="A324" s="23" t="str">
        <f aca="false">IF(B324="","",B324+(2*1000+123)/10000000)</f>
        <v/>
      </c>
      <c r="B324" s="35" t="str">
        <f aca="false">IF(AND(Office_Log!BE124=1,Office_Log!EI124=0,IF(INT(N(Office_Log!H124))&lt;=Config!$B$8,Office_Log!DJ124,Office_Log!DK124)=1),Office_Log!H124,"")</f>
        <v/>
      </c>
      <c r="C324" s="23" t="str">
        <f aca="false">IF(B324="","","office")</f>
        <v/>
      </c>
      <c r="D324" s="23" t="str">
        <f aca="false">IF(B324="","",Office_Log!ED124&amp;"")</f>
        <v/>
      </c>
      <c r="E324" s="23" t="str">
        <f aca="false">IF(B324="","",IF(Office_Log!B124="","",Office_Log!B124&amp;""))</f>
        <v/>
      </c>
      <c r="F324" s="23" t="str">
        <f aca="false">IF(B324="","","yes_in_principle")</f>
        <v/>
      </c>
      <c r="G324" s="23" t="str">
        <f aca="false">IF(B324="","","")</f>
        <v/>
      </c>
      <c r="H324" s="23" t="str">
        <f aca="false">IF(B324="","","")</f>
        <v/>
      </c>
      <c r="I324" s="23" t="str">
        <f aca="false">IF(B324="","","")</f>
        <v/>
      </c>
      <c r="J324" s="23" t="str">
        <f aca="false">IF(B324="","","owner: "&amp;Office_Log!AE124&amp;"; window: "&amp;Office_Log!AH124)</f>
        <v/>
      </c>
      <c r="K324" s="32" t="s">
        <v>1353</v>
      </c>
    </row>
    <row r="325" customFormat="false" ht="15" hidden="false" customHeight="false" outlineLevel="0" collapsed="false">
      <c r="A325" s="23" t="str">
        <f aca="false">IF(B325="","",B325+(2*1000+124)/10000000)</f>
        <v/>
      </c>
      <c r="B325" s="35" t="str">
        <f aca="false">IF(AND(Office_Log!BE125=1,Office_Log!EI125=0,IF(INT(N(Office_Log!H125))&lt;=Config!$B$8,Office_Log!DJ125,Office_Log!DK125)=1),Office_Log!H125,"")</f>
        <v/>
      </c>
      <c r="C325" s="23" t="str">
        <f aca="false">IF(B325="","","office")</f>
        <v/>
      </c>
      <c r="D325" s="23" t="str">
        <f aca="false">IF(B325="","",Office_Log!ED125&amp;"")</f>
        <v/>
      </c>
      <c r="E325" s="23" t="str">
        <f aca="false">IF(B325="","",IF(Office_Log!B125="","",Office_Log!B125&amp;""))</f>
        <v/>
      </c>
      <c r="F325" s="23" t="str">
        <f aca="false">IF(B325="","","yes_in_principle")</f>
        <v/>
      </c>
      <c r="G325" s="23" t="str">
        <f aca="false">IF(B325="","","")</f>
        <v/>
      </c>
      <c r="H325" s="23" t="str">
        <f aca="false">IF(B325="","","")</f>
        <v/>
      </c>
      <c r="I325" s="23" t="str">
        <f aca="false">IF(B325="","","")</f>
        <v/>
      </c>
      <c r="J325" s="23" t="str">
        <f aca="false">IF(B325="","","owner: "&amp;Office_Log!AE125&amp;"; window: "&amp;Office_Log!AH125)</f>
        <v/>
      </c>
      <c r="K325" s="32" t="s">
        <v>1353</v>
      </c>
    </row>
    <row r="326" customFormat="false" ht="15" hidden="false" customHeight="false" outlineLevel="0" collapsed="false">
      <c r="A326" s="23" t="str">
        <f aca="false">IF(B326="","",B326+(2*1000+125)/10000000)</f>
        <v/>
      </c>
      <c r="B326" s="35" t="str">
        <f aca="false">IF(AND(Office_Log!BE126=1,Office_Log!EI126=0,IF(INT(N(Office_Log!H126))&lt;=Config!$B$8,Office_Log!DJ126,Office_Log!DK126)=1),Office_Log!H126,"")</f>
        <v/>
      </c>
      <c r="C326" s="23" t="str">
        <f aca="false">IF(B326="","","office")</f>
        <v/>
      </c>
      <c r="D326" s="23" t="str">
        <f aca="false">IF(B326="","",Office_Log!ED126&amp;"")</f>
        <v/>
      </c>
      <c r="E326" s="23" t="str">
        <f aca="false">IF(B326="","",IF(Office_Log!B126="","",Office_Log!B126&amp;""))</f>
        <v/>
      </c>
      <c r="F326" s="23" t="str">
        <f aca="false">IF(B326="","","yes_in_principle")</f>
        <v/>
      </c>
      <c r="G326" s="23" t="str">
        <f aca="false">IF(B326="","","")</f>
        <v/>
      </c>
      <c r="H326" s="23" t="str">
        <f aca="false">IF(B326="","","")</f>
        <v/>
      </c>
      <c r="I326" s="23" t="str">
        <f aca="false">IF(B326="","","")</f>
        <v/>
      </c>
      <c r="J326" s="23" t="str">
        <f aca="false">IF(B326="","","owner: "&amp;Office_Log!AE126&amp;"; window: "&amp;Office_Log!AH126)</f>
        <v/>
      </c>
      <c r="K326" s="32" t="s">
        <v>1353</v>
      </c>
    </row>
    <row r="327" customFormat="false" ht="15" hidden="false" customHeight="false" outlineLevel="0" collapsed="false">
      <c r="A327" s="23" t="str">
        <f aca="false">IF(B327="","",B327+(2*1000+126)/10000000)</f>
        <v/>
      </c>
      <c r="B327" s="35" t="str">
        <f aca="false">IF(AND(Office_Log!BE127=1,Office_Log!EI127=0,IF(INT(N(Office_Log!H127))&lt;=Config!$B$8,Office_Log!DJ127,Office_Log!DK127)=1),Office_Log!H127,"")</f>
        <v/>
      </c>
      <c r="C327" s="23" t="str">
        <f aca="false">IF(B327="","","office")</f>
        <v/>
      </c>
      <c r="D327" s="23" t="str">
        <f aca="false">IF(B327="","",Office_Log!ED127&amp;"")</f>
        <v/>
      </c>
      <c r="E327" s="23" t="str">
        <f aca="false">IF(B327="","",IF(Office_Log!B127="","",Office_Log!B127&amp;""))</f>
        <v/>
      </c>
      <c r="F327" s="23" t="str">
        <f aca="false">IF(B327="","","yes_in_principle")</f>
        <v/>
      </c>
      <c r="G327" s="23" t="str">
        <f aca="false">IF(B327="","","")</f>
        <v/>
      </c>
      <c r="H327" s="23" t="str">
        <f aca="false">IF(B327="","","")</f>
        <v/>
      </c>
      <c r="I327" s="23" t="str">
        <f aca="false">IF(B327="","","")</f>
        <v/>
      </c>
      <c r="J327" s="23" t="str">
        <f aca="false">IF(B327="","","owner: "&amp;Office_Log!AE127&amp;"; window: "&amp;Office_Log!AH127)</f>
        <v/>
      </c>
      <c r="K327" s="32" t="s">
        <v>1353</v>
      </c>
    </row>
    <row r="328" customFormat="false" ht="15" hidden="false" customHeight="false" outlineLevel="0" collapsed="false">
      <c r="A328" s="23" t="str">
        <f aca="false">IF(B328="","",B328+(2*1000+127)/10000000)</f>
        <v/>
      </c>
      <c r="B328" s="35" t="str">
        <f aca="false">IF(AND(Office_Log!BE128=1,Office_Log!EI128=0,IF(INT(N(Office_Log!H128))&lt;=Config!$B$8,Office_Log!DJ128,Office_Log!DK128)=1),Office_Log!H128,"")</f>
        <v/>
      </c>
      <c r="C328" s="23" t="str">
        <f aca="false">IF(B328="","","office")</f>
        <v/>
      </c>
      <c r="D328" s="23" t="str">
        <f aca="false">IF(B328="","",Office_Log!ED128&amp;"")</f>
        <v/>
      </c>
      <c r="E328" s="23" t="str">
        <f aca="false">IF(B328="","",IF(Office_Log!B128="","",Office_Log!B128&amp;""))</f>
        <v/>
      </c>
      <c r="F328" s="23" t="str">
        <f aca="false">IF(B328="","","yes_in_principle")</f>
        <v/>
      </c>
      <c r="G328" s="23" t="str">
        <f aca="false">IF(B328="","","")</f>
        <v/>
      </c>
      <c r="H328" s="23" t="str">
        <f aca="false">IF(B328="","","")</f>
        <v/>
      </c>
      <c r="I328" s="23" t="str">
        <f aca="false">IF(B328="","","")</f>
        <v/>
      </c>
      <c r="J328" s="23" t="str">
        <f aca="false">IF(B328="","","owner: "&amp;Office_Log!AE128&amp;"; window: "&amp;Office_Log!AH128)</f>
        <v/>
      </c>
      <c r="K328" s="32" t="s">
        <v>1353</v>
      </c>
    </row>
    <row r="329" customFormat="false" ht="15" hidden="false" customHeight="false" outlineLevel="0" collapsed="false">
      <c r="A329" s="23" t="str">
        <f aca="false">IF(B329="","",B329+(2*1000+128)/10000000)</f>
        <v/>
      </c>
      <c r="B329" s="35" t="str">
        <f aca="false">IF(AND(Office_Log!BE129=1,Office_Log!EI129=0,IF(INT(N(Office_Log!H129))&lt;=Config!$B$8,Office_Log!DJ129,Office_Log!DK129)=1),Office_Log!H129,"")</f>
        <v/>
      </c>
      <c r="C329" s="23" t="str">
        <f aca="false">IF(B329="","","office")</f>
        <v/>
      </c>
      <c r="D329" s="23" t="str">
        <f aca="false">IF(B329="","",Office_Log!ED129&amp;"")</f>
        <v/>
      </c>
      <c r="E329" s="23" t="str">
        <f aca="false">IF(B329="","",IF(Office_Log!B129="","",Office_Log!B129&amp;""))</f>
        <v/>
      </c>
      <c r="F329" s="23" t="str">
        <f aca="false">IF(B329="","","yes_in_principle")</f>
        <v/>
      </c>
      <c r="G329" s="23" t="str">
        <f aca="false">IF(B329="","","")</f>
        <v/>
      </c>
      <c r="H329" s="23" t="str">
        <f aca="false">IF(B329="","","")</f>
        <v/>
      </c>
      <c r="I329" s="23" t="str">
        <f aca="false">IF(B329="","","")</f>
        <v/>
      </c>
      <c r="J329" s="23" t="str">
        <f aca="false">IF(B329="","","owner: "&amp;Office_Log!AE129&amp;"; window: "&amp;Office_Log!AH129)</f>
        <v/>
      </c>
      <c r="K329" s="32" t="s">
        <v>1353</v>
      </c>
    </row>
    <row r="330" customFormat="false" ht="15" hidden="false" customHeight="false" outlineLevel="0" collapsed="false">
      <c r="A330" s="23" t="str">
        <f aca="false">IF(B330="","",B330+(2*1000+129)/10000000)</f>
        <v/>
      </c>
      <c r="B330" s="35" t="str">
        <f aca="false">IF(AND(Office_Log!BE130=1,Office_Log!EI130=0,IF(INT(N(Office_Log!H130))&lt;=Config!$B$8,Office_Log!DJ130,Office_Log!DK130)=1),Office_Log!H130,"")</f>
        <v/>
      </c>
      <c r="C330" s="23" t="str">
        <f aca="false">IF(B330="","","office")</f>
        <v/>
      </c>
      <c r="D330" s="23" t="str">
        <f aca="false">IF(B330="","",Office_Log!ED130&amp;"")</f>
        <v/>
      </c>
      <c r="E330" s="23" t="str">
        <f aca="false">IF(B330="","",IF(Office_Log!B130="","",Office_Log!B130&amp;""))</f>
        <v/>
      </c>
      <c r="F330" s="23" t="str">
        <f aca="false">IF(B330="","","yes_in_principle")</f>
        <v/>
      </c>
      <c r="G330" s="23" t="str">
        <f aca="false">IF(B330="","","")</f>
        <v/>
      </c>
      <c r="H330" s="23" t="str">
        <f aca="false">IF(B330="","","")</f>
        <v/>
      </c>
      <c r="I330" s="23" t="str">
        <f aca="false">IF(B330="","","")</f>
        <v/>
      </c>
      <c r="J330" s="23" t="str">
        <f aca="false">IF(B330="","","owner: "&amp;Office_Log!AE130&amp;"; window: "&amp;Office_Log!AH130)</f>
        <v/>
      </c>
      <c r="K330" s="32" t="s">
        <v>1353</v>
      </c>
    </row>
    <row r="331" customFormat="false" ht="15" hidden="false" customHeight="false" outlineLevel="0" collapsed="false">
      <c r="A331" s="23" t="str">
        <f aca="false">IF(B331="","",B331+(2*1000+130)/10000000)</f>
        <v/>
      </c>
      <c r="B331" s="35" t="str">
        <f aca="false">IF(AND(Office_Log!BE131=1,Office_Log!EI131=0,IF(INT(N(Office_Log!H131))&lt;=Config!$B$8,Office_Log!DJ131,Office_Log!DK131)=1),Office_Log!H131,"")</f>
        <v/>
      </c>
      <c r="C331" s="23" t="str">
        <f aca="false">IF(B331="","","office")</f>
        <v/>
      </c>
      <c r="D331" s="23" t="str">
        <f aca="false">IF(B331="","",Office_Log!ED131&amp;"")</f>
        <v/>
      </c>
      <c r="E331" s="23" t="str">
        <f aca="false">IF(B331="","",IF(Office_Log!B131="","",Office_Log!B131&amp;""))</f>
        <v/>
      </c>
      <c r="F331" s="23" t="str">
        <f aca="false">IF(B331="","","yes_in_principle")</f>
        <v/>
      </c>
      <c r="G331" s="23" t="str">
        <f aca="false">IF(B331="","","")</f>
        <v/>
      </c>
      <c r="H331" s="23" t="str">
        <f aca="false">IF(B331="","","")</f>
        <v/>
      </c>
      <c r="I331" s="23" t="str">
        <f aca="false">IF(B331="","","")</f>
        <v/>
      </c>
      <c r="J331" s="23" t="str">
        <f aca="false">IF(B331="","","owner: "&amp;Office_Log!AE131&amp;"; window: "&amp;Office_Log!AH131)</f>
        <v/>
      </c>
      <c r="K331" s="32" t="s">
        <v>1353</v>
      </c>
    </row>
    <row r="332" customFormat="false" ht="15" hidden="false" customHeight="false" outlineLevel="0" collapsed="false">
      <c r="A332" s="23" t="str">
        <f aca="false">IF(B332="","",B332+(2*1000+131)/10000000)</f>
        <v/>
      </c>
      <c r="B332" s="35" t="str">
        <f aca="false">IF(AND(Office_Log!BE132=1,Office_Log!EI132=0,IF(INT(N(Office_Log!H132))&lt;=Config!$B$8,Office_Log!DJ132,Office_Log!DK132)=1),Office_Log!H132,"")</f>
        <v/>
      </c>
      <c r="C332" s="23" t="str">
        <f aca="false">IF(B332="","","office")</f>
        <v/>
      </c>
      <c r="D332" s="23" t="str">
        <f aca="false">IF(B332="","",Office_Log!ED132&amp;"")</f>
        <v/>
      </c>
      <c r="E332" s="23" t="str">
        <f aca="false">IF(B332="","",IF(Office_Log!B132="","",Office_Log!B132&amp;""))</f>
        <v/>
      </c>
      <c r="F332" s="23" t="str">
        <f aca="false">IF(B332="","","yes_in_principle")</f>
        <v/>
      </c>
      <c r="G332" s="23" t="str">
        <f aca="false">IF(B332="","","")</f>
        <v/>
      </c>
      <c r="H332" s="23" t="str">
        <f aca="false">IF(B332="","","")</f>
        <v/>
      </c>
      <c r="I332" s="23" t="str">
        <f aca="false">IF(B332="","","")</f>
        <v/>
      </c>
      <c r="J332" s="23" t="str">
        <f aca="false">IF(B332="","","owner: "&amp;Office_Log!AE132&amp;"; window: "&amp;Office_Log!AH132)</f>
        <v/>
      </c>
      <c r="K332" s="32" t="s">
        <v>1353</v>
      </c>
    </row>
    <row r="333" customFormat="false" ht="15" hidden="false" customHeight="false" outlineLevel="0" collapsed="false">
      <c r="A333" s="23" t="str">
        <f aca="false">IF(B333="","",B333+(2*1000+132)/10000000)</f>
        <v/>
      </c>
      <c r="B333" s="35" t="str">
        <f aca="false">IF(AND(Office_Log!BE133=1,Office_Log!EI133=0,IF(INT(N(Office_Log!H133))&lt;=Config!$B$8,Office_Log!DJ133,Office_Log!DK133)=1),Office_Log!H133,"")</f>
        <v/>
      </c>
      <c r="C333" s="23" t="str">
        <f aca="false">IF(B333="","","office")</f>
        <v/>
      </c>
      <c r="D333" s="23" t="str">
        <f aca="false">IF(B333="","",Office_Log!ED133&amp;"")</f>
        <v/>
      </c>
      <c r="E333" s="23" t="str">
        <f aca="false">IF(B333="","",IF(Office_Log!B133="","",Office_Log!B133&amp;""))</f>
        <v/>
      </c>
      <c r="F333" s="23" t="str">
        <f aca="false">IF(B333="","","yes_in_principle")</f>
        <v/>
      </c>
      <c r="G333" s="23" t="str">
        <f aca="false">IF(B333="","","")</f>
        <v/>
      </c>
      <c r="H333" s="23" t="str">
        <f aca="false">IF(B333="","","")</f>
        <v/>
      </c>
      <c r="I333" s="23" t="str">
        <f aca="false">IF(B333="","","")</f>
        <v/>
      </c>
      <c r="J333" s="23" t="str">
        <f aca="false">IF(B333="","","owner: "&amp;Office_Log!AE133&amp;"; window: "&amp;Office_Log!AH133)</f>
        <v/>
      </c>
      <c r="K333" s="32" t="s">
        <v>1353</v>
      </c>
    </row>
    <row r="334" customFormat="false" ht="15" hidden="false" customHeight="false" outlineLevel="0" collapsed="false">
      <c r="A334" s="23" t="str">
        <f aca="false">IF(B334="","",B334+(2*1000+133)/10000000)</f>
        <v/>
      </c>
      <c r="B334" s="35" t="str">
        <f aca="false">IF(AND(Office_Log!BE134=1,Office_Log!EI134=0,IF(INT(N(Office_Log!H134))&lt;=Config!$B$8,Office_Log!DJ134,Office_Log!DK134)=1),Office_Log!H134,"")</f>
        <v/>
      </c>
      <c r="C334" s="23" t="str">
        <f aca="false">IF(B334="","","office")</f>
        <v/>
      </c>
      <c r="D334" s="23" t="str">
        <f aca="false">IF(B334="","",Office_Log!ED134&amp;"")</f>
        <v/>
      </c>
      <c r="E334" s="23" t="str">
        <f aca="false">IF(B334="","",IF(Office_Log!B134="","",Office_Log!B134&amp;""))</f>
        <v/>
      </c>
      <c r="F334" s="23" t="str">
        <f aca="false">IF(B334="","","yes_in_principle")</f>
        <v/>
      </c>
      <c r="G334" s="23" t="str">
        <f aca="false">IF(B334="","","")</f>
        <v/>
      </c>
      <c r="H334" s="23" t="str">
        <f aca="false">IF(B334="","","")</f>
        <v/>
      </c>
      <c r="I334" s="23" t="str">
        <f aca="false">IF(B334="","","")</f>
        <v/>
      </c>
      <c r="J334" s="23" t="str">
        <f aca="false">IF(B334="","","owner: "&amp;Office_Log!AE134&amp;"; window: "&amp;Office_Log!AH134)</f>
        <v/>
      </c>
      <c r="K334" s="32" t="s">
        <v>1353</v>
      </c>
    </row>
    <row r="335" customFormat="false" ht="15" hidden="false" customHeight="false" outlineLevel="0" collapsed="false">
      <c r="A335" s="23" t="str">
        <f aca="false">IF(B335="","",B335+(2*1000+134)/10000000)</f>
        <v/>
      </c>
      <c r="B335" s="35" t="str">
        <f aca="false">IF(AND(Office_Log!BE135=1,Office_Log!EI135=0,IF(INT(N(Office_Log!H135))&lt;=Config!$B$8,Office_Log!DJ135,Office_Log!DK135)=1),Office_Log!H135,"")</f>
        <v/>
      </c>
      <c r="C335" s="23" t="str">
        <f aca="false">IF(B335="","","office")</f>
        <v/>
      </c>
      <c r="D335" s="23" t="str">
        <f aca="false">IF(B335="","",Office_Log!ED135&amp;"")</f>
        <v/>
      </c>
      <c r="E335" s="23" t="str">
        <f aca="false">IF(B335="","",IF(Office_Log!B135="","",Office_Log!B135&amp;""))</f>
        <v/>
      </c>
      <c r="F335" s="23" t="str">
        <f aca="false">IF(B335="","","yes_in_principle")</f>
        <v/>
      </c>
      <c r="G335" s="23" t="str">
        <f aca="false">IF(B335="","","")</f>
        <v/>
      </c>
      <c r="H335" s="23" t="str">
        <f aca="false">IF(B335="","","")</f>
        <v/>
      </c>
      <c r="I335" s="23" t="str">
        <f aca="false">IF(B335="","","")</f>
        <v/>
      </c>
      <c r="J335" s="23" t="str">
        <f aca="false">IF(B335="","","owner: "&amp;Office_Log!AE135&amp;"; window: "&amp;Office_Log!AH135)</f>
        <v/>
      </c>
      <c r="K335" s="32" t="s">
        <v>1353</v>
      </c>
    </row>
    <row r="336" customFormat="false" ht="15" hidden="false" customHeight="false" outlineLevel="0" collapsed="false">
      <c r="A336" s="23" t="str">
        <f aca="false">IF(B336="","",B336+(2*1000+135)/10000000)</f>
        <v/>
      </c>
      <c r="B336" s="35" t="str">
        <f aca="false">IF(AND(Office_Log!BE136=1,Office_Log!EI136=0,IF(INT(N(Office_Log!H136))&lt;=Config!$B$8,Office_Log!DJ136,Office_Log!DK136)=1),Office_Log!H136,"")</f>
        <v/>
      </c>
      <c r="C336" s="23" t="str">
        <f aca="false">IF(B336="","","office")</f>
        <v/>
      </c>
      <c r="D336" s="23" t="str">
        <f aca="false">IF(B336="","",Office_Log!ED136&amp;"")</f>
        <v/>
      </c>
      <c r="E336" s="23" t="str">
        <f aca="false">IF(B336="","",IF(Office_Log!B136="","",Office_Log!B136&amp;""))</f>
        <v/>
      </c>
      <c r="F336" s="23" t="str">
        <f aca="false">IF(B336="","","yes_in_principle")</f>
        <v/>
      </c>
      <c r="G336" s="23" t="str">
        <f aca="false">IF(B336="","","")</f>
        <v/>
      </c>
      <c r="H336" s="23" t="str">
        <f aca="false">IF(B336="","","")</f>
        <v/>
      </c>
      <c r="I336" s="23" t="str">
        <f aca="false">IF(B336="","","")</f>
        <v/>
      </c>
      <c r="J336" s="23" t="str">
        <f aca="false">IF(B336="","","owner: "&amp;Office_Log!AE136&amp;"; window: "&amp;Office_Log!AH136)</f>
        <v/>
      </c>
      <c r="K336" s="32" t="s">
        <v>1353</v>
      </c>
    </row>
    <row r="337" customFormat="false" ht="15" hidden="false" customHeight="false" outlineLevel="0" collapsed="false">
      <c r="A337" s="23" t="str">
        <f aca="false">IF(B337="","",B337+(2*1000+136)/10000000)</f>
        <v/>
      </c>
      <c r="B337" s="35" t="str">
        <f aca="false">IF(AND(Office_Log!BE137=1,Office_Log!EI137=0,IF(INT(N(Office_Log!H137))&lt;=Config!$B$8,Office_Log!DJ137,Office_Log!DK137)=1),Office_Log!H137,"")</f>
        <v/>
      </c>
      <c r="C337" s="23" t="str">
        <f aca="false">IF(B337="","","office")</f>
        <v/>
      </c>
      <c r="D337" s="23" t="str">
        <f aca="false">IF(B337="","",Office_Log!ED137&amp;"")</f>
        <v/>
      </c>
      <c r="E337" s="23" t="str">
        <f aca="false">IF(B337="","",IF(Office_Log!B137="","",Office_Log!B137&amp;""))</f>
        <v/>
      </c>
      <c r="F337" s="23" t="str">
        <f aca="false">IF(B337="","","yes_in_principle")</f>
        <v/>
      </c>
      <c r="G337" s="23" t="str">
        <f aca="false">IF(B337="","","")</f>
        <v/>
      </c>
      <c r="H337" s="23" t="str">
        <f aca="false">IF(B337="","","")</f>
        <v/>
      </c>
      <c r="I337" s="23" t="str">
        <f aca="false">IF(B337="","","")</f>
        <v/>
      </c>
      <c r="J337" s="23" t="str">
        <f aca="false">IF(B337="","","owner: "&amp;Office_Log!AE137&amp;"; window: "&amp;Office_Log!AH137)</f>
        <v/>
      </c>
      <c r="K337" s="32" t="s">
        <v>1353</v>
      </c>
    </row>
    <row r="338" customFormat="false" ht="15" hidden="false" customHeight="false" outlineLevel="0" collapsed="false">
      <c r="A338" s="23" t="str">
        <f aca="false">IF(B338="","",B338+(2*1000+137)/10000000)</f>
        <v/>
      </c>
      <c r="B338" s="35" t="str">
        <f aca="false">IF(AND(Office_Log!BE138=1,Office_Log!EI138=0,IF(INT(N(Office_Log!H138))&lt;=Config!$B$8,Office_Log!DJ138,Office_Log!DK138)=1),Office_Log!H138,"")</f>
        <v/>
      </c>
      <c r="C338" s="23" t="str">
        <f aca="false">IF(B338="","","office")</f>
        <v/>
      </c>
      <c r="D338" s="23" t="str">
        <f aca="false">IF(B338="","",Office_Log!ED138&amp;"")</f>
        <v/>
      </c>
      <c r="E338" s="23" t="str">
        <f aca="false">IF(B338="","",IF(Office_Log!B138="","",Office_Log!B138&amp;""))</f>
        <v/>
      </c>
      <c r="F338" s="23" t="str">
        <f aca="false">IF(B338="","","yes_in_principle")</f>
        <v/>
      </c>
      <c r="G338" s="23" t="str">
        <f aca="false">IF(B338="","","")</f>
        <v/>
      </c>
      <c r="H338" s="23" t="str">
        <f aca="false">IF(B338="","","")</f>
        <v/>
      </c>
      <c r="I338" s="23" t="str">
        <f aca="false">IF(B338="","","")</f>
        <v/>
      </c>
      <c r="J338" s="23" t="str">
        <f aca="false">IF(B338="","","owner: "&amp;Office_Log!AE138&amp;"; window: "&amp;Office_Log!AH138)</f>
        <v/>
      </c>
      <c r="K338" s="32" t="s">
        <v>1353</v>
      </c>
    </row>
    <row r="339" customFormat="false" ht="15" hidden="false" customHeight="false" outlineLevel="0" collapsed="false">
      <c r="A339" s="23" t="str">
        <f aca="false">IF(B339="","",B339+(2*1000+138)/10000000)</f>
        <v/>
      </c>
      <c r="B339" s="35" t="str">
        <f aca="false">IF(AND(Office_Log!BE139=1,Office_Log!EI139=0,IF(INT(N(Office_Log!H139))&lt;=Config!$B$8,Office_Log!DJ139,Office_Log!DK139)=1),Office_Log!H139,"")</f>
        <v/>
      </c>
      <c r="C339" s="23" t="str">
        <f aca="false">IF(B339="","","office")</f>
        <v/>
      </c>
      <c r="D339" s="23" t="str">
        <f aca="false">IF(B339="","",Office_Log!ED139&amp;"")</f>
        <v/>
      </c>
      <c r="E339" s="23" t="str">
        <f aca="false">IF(B339="","",IF(Office_Log!B139="","",Office_Log!B139&amp;""))</f>
        <v/>
      </c>
      <c r="F339" s="23" t="str">
        <f aca="false">IF(B339="","","yes_in_principle")</f>
        <v/>
      </c>
      <c r="G339" s="23" t="str">
        <f aca="false">IF(B339="","","")</f>
        <v/>
      </c>
      <c r="H339" s="23" t="str">
        <f aca="false">IF(B339="","","")</f>
        <v/>
      </c>
      <c r="I339" s="23" t="str">
        <f aca="false">IF(B339="","","")</f>
        <v/>
      </c>
      <c r="J339" s="23" t="str">
        <f aca="false">IF(B339="","","owner: "&amp;Office_Log!AE139&amp;"; window: "&amp;Office_Log!AH139)</f>
        <v/>
      </c>
      <c r="K339" s="32" t="s">
        <v>1353</v>
      </c>
    </row>
    <row r="340" customFormat="false" ht="15" hidden="false" customHeight="false" outlineLevel="0" collapsed="false">
      <c r="A340" s="23" t="str">
        <f aca="false">IF(B340="","",B340+(2*1000+139)/10000000)</f>
        <v/>
      </c>
      <c r="B340" s="35" t="str">
        <f aca="false">IF(AND(Office_Log!BE140=1,Office_Log!EI140=0,IF(INT(N(Office_Log!H140))&lt;=Config!$B$8,Office_Log!DJ140,Office_Log!DK140)=1),Office_Log!H140,"")</f>
        <v/>
      </c>
      <c r="C340" s="23" t="str">
        <f aca="false">IF(B340="","","office")</f>
        <v/>
      </c>
      <c r="D340" s="23" t="str">
        <f aca="false">IF(B340="","",Office_Log!ED140&amp;"")</f>
        <v/>
      </c>
      <c r="E340" s="23" t="str">
        <f aca="false">IF(B340="","",IF(Office_Log!B140="","",Office_Log!B140&amp;""))</f>
        <v/>
      </c>
      <c r="F340" s="23" t="str">
        <f aca="false">IF(B340="","","yes_in_principle")</f>
        <v/>
      </c>
      <c r="G340" s="23" t="str">
        <f aca="false">IF(B340="","","")</f>
        <v/>
      </c>
      <c r="H340" s="23" t="str">
        <f aca="false">IF(B340="","","")</f>
        <v/>
      </c>
      <c r="I340" s="23" t="str">
        <f aca="false">IF(B340="","","")</f>
        <v/>
      </c>
      <c r="J340" s="23" t="str">
        <f aca="false">IF(B340="","","owner: "&amp;Office_Log!AE140&amp;"; window: "&amp;Office_Log!AH140)</f>
        <v/>
      </c>
      <c r="K340" s="32" t="s">
        <v>1353</v>
      </c>
    </row>
    <row r="341" customFormat="false" ht="15" hidden="false" customHeight="false" outlineLevel="0" collapsed="false">
      <c r="A341" s="23" t="str">
        <f aca="false">IF(B341="","",B341+(2*1000+140)/10000000)</f>
        <v/>
      </c>
      <c r="B341" s="35" t="str">
        <f aca="false">IF(AND(Office_Log!BE141=1,Office_Log!EI141=0,IF(INT(N(Office_Log!H141))&lt;=Config!$B$8,Office_Log!DJ141,Office_Log!DK141)=1),Office_Log!H141,"")</f>
        <v/>
      </c>
      <c r="C341" s="23" t="str">
        <f aca="false">IF(B341="","","office")</f>
        <v/>
      </c>
      <c r="D341" s="23" t="str">
        <f aca="false">IF(B341="","",Office_Log!ED141&amp;"")</f>
        <v/>
      </c>
      <c r="E341" s="23" t="str">
        <f aca="false">IF(B341="","",IF(Office_Log!B141="","",Office_Log!B141&amp;""))</f>
        <v/>
      </c>
      <c r="F341" s="23" t="str">
        <f aca="false">IF(B341="","","yes_in_principle")</f>
        <v/>
      </c>
      <c r="G341" s="23" t="str">
        <f aca="false">IF(B341="","","")</f>
        <v/>
      </c>
      <c r="H341" s="23" t="str">
        <f aca="false">IF(B341="","","")</f>
        <v/>
      </c>
      <c r="I341" s="23" t="str">
        <f aca="false">IF(B341="","","")</f>
        <v/>
      </c>
      <c r="J341" s="23" t="str">
        <f aca="false">IF(B341="","","owner: "&amp;Office_Log!AE141&amp;"; window: "&amp;Office_Log!AH141)</f>
        <v/>
      </c>
      <c r="K341" s="32" t="s">
        <v>1353</v>
      </c>
    </row>
    <row r="342" customFormat="false" ht="15" hidden="false" customHeight="false" outlineLevel="0" collapsed="false">
      <c r="A342" s="23" t="str">
        <f aca="false">IF(B342="","",B342+(2*1000+141)/10000000)</f>
        <v/>
      </c>
      <c r="B342" s="35" t="str">
        <f aca="false">IF(AND(Office_Log!BE142=1,Office_Log!EI142=0,IF(INT(N(Office_Log!H142))&lt;=Config!$B$8,Office_Log!DJ142,Office_Log!DK142)=1),Office_Log!H142,"")</f>
        <v/>
      </c>
      <c r="C342" s="23" t="str">
        <f aca="false">IF(B342="","","office")</f>
        <v/>
      </c>
      <c r="D342" s="23" t="str">
        <f aca="false">IF(B342="","",Office_Log!ED142&amp;"")</f>
        <v/>
      </c>
      <c r="E342" s="23" t="str">
        <f aca="false">IF(B342="","",IF(Office_Log!B142="","",Office_Log!B142&amp;""))</f>
        <v/>
      </c>
      <c r="F342" s="23" t="str">
        <f aca="false">IF(B342="","","yes_in_principle")</f>
        <v/>
      </c>
      <c r="G342" s="23" t="str">
        <f aca="false">IF(B342="","","")</f>
        <v/>
      </c>
      <c r="H342" s="23" t="str">
        <f aca="false">IF(B342="","","")</f>
        <v/>
      </c>
      <c r="I342" s="23" t="str">
        <f aca="false">IF(B342="","","")</f>
        <v/>
      </c>
      <c r="J342" s="23" t="str">
        <f aca="false">IF(B342="","","owner: "&amp;Office_Log!AE142&amp;"; window: "&amp;Office_Log!AH142)</f>
        <v/>
      </c>
      <c r="K342" s="32" t="s">
        <v>1353</v>
      </c>
    </row>
    <row r="343" customFormat="false" ht="15" hidden="false" customHeight="false" outlineLevel="0" collapsed="false">
      <c r="A343" s="23" t="str">
        <f aca="false">IF(B343="","",B343+(2*1000+142)/10000000)</f>
        <v/>
      </c>
      <c r="B343" s="35" t="str">
        <f aca="false">IF(AND(Office_Log!BE143=1,Office_Log!EI143=0,IF(INT(N(Office_Log!H143))&lt;=Config!$B$8,Office_Log!DJ143,Office_Log!DK143)=1),Office_Log!H143,"")</f>
        <v/>
      </c>
      <c r="C343" s="23" t="str">
        <f aca="false">IF(B343="","","office")</f>
        <v/>
      </c>
      <c r="D343" s="23" t="str">
        <f aca="false">IF(B343="","",Office_Log!ED143&amp;"")</f>
        <v/>
      </c>
      <c r="E343" s="23" t="str">
        <f aca="false">IF(B343="","",IF(Office_Log!B143="","",Office_Log!B143&amp;""))</f>
        <v/>
      </c>
      <c r="F343" s="23" t="str">
        <f aca="false">IF(B343="","","yes_in_principle")</f>
        <v/>
      </c>
      <c r="G343" s="23" t="str">
        <f aca="false">IF(B343="","","")</f>
        <v/>
      </c>
      <c r="H343" s="23" t="str">
        <f aca="false">IF(B343="","","")</f>
        <v/>
      </c>
      <c r="I343" s="23" t="str">
        <f aca="false">IF(B343="","","")</f>
        <v/>
      </c>
      <c r="J343" s="23" t="str">
        <f aca="false">IF(B343="","","owner: "&amp;Office_Log!AE143&amp;"; window: "&amp;Office_Log!AH143)</f>
        <v/>
      </c>
      <c r="K343" s="32" t="s">
        <v>1353</v>
      </c>
    </row>
    <row r="344" customFormat="false" ht="15" hidden="false" customHeight="false" outlineLevel="0" collapsed="false">
      <c r="A344" s="23" t="str">
        <f aca="false">IF(B344="","",B344+(2*1000+143)/10000000)</f>
        <v/>
      </c>
      <c r="B344" s="35" t="str">
        <f aca="false">IF(AND(Office_Log!BE144=1,Office_Log!EI144=0,IF(INT(N(Office_Log!H144))&lt;=Config!$B$8,Office_Log!DJ144,Office_Log!DK144)=1),Office_Log!H144,"")</f>
        <v/>
      </c>
      <c r="C344" s="23" t="str">
        <f aca="false">IF(B344="","","office")</f>
        <v/>
      </c>
      <c r="D344" s="23" t="str">
        <f aca="false">IF(B344="","",Office_Log!ED144&amp;"")</f>
        <v/>
      </c>
      <c r="E344" s="23" t="str">
        <f aca="false">IF(B344="","",IF(Office_Log!B144="","",Office_Log!B144&amp;""))</f>
        <v/>
      </c>
      <c r="F344" s="23" t="str">
        <f aca="false">IF(B344="","","yes_in_principle")</f>
        <v/>
      </c>
      <c r="G344" s="23" t="str">
        <f aca="false">IF(B344="","","")</f>
        <v/>
      </c>
      <c r="H344" s="23" t="str">
        <f aca="false">IF(B344="","","")</f>
        <v/>
      </c>
      <c r="I344" s="23" t="str">
        <f aca="false">IF(B344="","","")</f>
        <v/>
      </c>
      <c r="J344" s="23" t="str">
        <f aca="false">IF(B344="","","owner: "&amp;Office_Log!AE144&amp;"; window: "&amp;Office_Log!AH144)</f>
        <v/>
      </c>
      <c r="K344" s="32" t="s">
        <v>1353</v>
      </c>
    </row>
    <row r="345" customFormat="false" ht="15" hidden="false" customHeight="false" outlineLevel="0" collapsed="false">
      <c r="A345" s="23" t="str">
        <f aca="false">IF(B345="","",B345+(2*1000+144)/10000000)</f>
        <v/>
      </c>
      <c r="B345" s="35" t="str">
        <f aca="false">IF(AND(Office_Log!BE145=1,Office_Log!EI145=0,IF(INT(N(Office_Log!H145))&lt;=Config!$B$8,Office_Log!DJ145,Office_Log!DK145)=1),Office_Log!H145,"")</f>
        <v/>
      </c>
      <c r="C345" s="23" t="str">
        <f aca="false">IF(B345="","","office")</f>
        <v/>
      </c>
      <c r="D345" s="23" t="str">
        <f aca="false">IF(B345="","",Office_Log!ED145&amp;"")</f>
        <v/>
      </c>
      <c r="E345" s="23" t="str">
        <f aca="false">IF(B345="","",IF(Office_Log!B145="","",Office_Log!B145&amp;""))</f>
        <v/>
      </c>
      <c r="F345" s="23" t="str">
        <f aca="false">IF(B345="","","yes_in_principle")</f>
        <v/>
      </c>
      <c r="G345" s="23" t="str">
        <f aca="false">IF(B345="","","")</f>
        <v/>
      </c>
      <c r="H345" s="23" t="str">
        <f aca="false">IF(B345="","","")</f>
        <v/>
      </c>
      <c r="I345" s="23" t="str">
        <f aca="false">IF(B345="","","")</f>
        <v/>
      </c>
      <c r="J345" s="23" t="str">
        <f aca="false">IF(B345="","","owner: "&amp;Office_Log!AE145&amp;"; window: "&amp;Office_Log!AH145)</f>
        <v/>
      </c>
      <c r="K345" s="32" t="s">
        <v>1353</v>
      </c>
    </row>
    <row r="346" customFormat="false" ht="15" hidden="false" customHeight="false" outlineLevel="0" collapsed="false">
      <c r="A346" s="23" t="str">
        <f aca="false">IF(B346="","",B346+(2*1000+145)/10000000)</f>
        <v/>
      </c>
      <c r="B346" s="35" t="str">
        <f aca="false">IF(AND(Office_Log!BE146=1,Office_Log!EI146=0,IF(INT(N(Office_Log!H146))&lt;=Config!$B$8,Office_Log!DJ146,Office_Log!DK146)=1),Office_Log!H146,"")</f>
        <v/>
      </c>
      <c r="C346" s="23" t="str">
        <f aca="false">IF(B346="","","office")</f>
        <v/>
      </c>
      <c r="D346" s="23" t="str">
        <f aca="false">IF(B346="","",Office_Log!ED146&amp;"")</f>
        <v/>
      </c>
      <c r="E346" s="23" t="str">
        <f aca="false">IF(B346="","",IF(Office_Log!B146="","",Office_Log!B146&amp;""))</f>
        <v/>
      </c>
      <c r="F346" s="23" t="str">
        <f aca="false">IF(B346="","","yes_in_principle")</f>
        <v/>
      </c>
      <c r="G346" s="23" t="str">
        <f aca="false">IF(B346="","","")</f>
        <v/>
      </c>
      <c r="H346" s="23" t="str">
        <f aca="false">IF(B346="","","")</f>
        <v/>
      </c>
      <c r="I346" s="23" t="str">
        <f aca="false">IF(B346="","","")</f>
        <v/>
      </c>
      <c r="J346" s="23" t="str">
        <f aca="false">IF(B346="","","owner: "&amp;Office_Log!AE146&amp;"; window: "&amp;Office_Log!AH146)</f>
        <v/>
      </c>
      <c r="K346" s="32" t="s">
        <v>1353</v>
      </c>
    </row>
    <row r="347" customFormat="false" ht="15" hidden="false" customHeight="false" outlineLevel="0" collapsed="false">
      <c r="A347" s="23" t="str">
        <f aca="false">IF(B347="","",B347+(2*1000+146)/10000000)</f>
        <v/>
      </c>
      <c r="B347" s="35" t="str">
        <f aca="false">IF(AND(Office_Log!BE147=1,Office_Log!EI147=0,IF(INT(N(Office_Log!H147))&lt;=Config!$B$8,Office_Log!DJ147,Office_Log!DK147)=1),Office_Log!H147,"")</f>
        <v/>
      </c>
      <c r="C347" s="23" t="str">
        <f aca="false">IF(B347="","","office")</f>
        <v/>
      </c>
      <c r="D347" s="23" t="str">
        <f aca="false">IF(B347="","",Office_Log!ED147&amp;"")</f>
        <v/>
      </c>
      <c r="E347" s="23" t="str">
        <f aca="false">IF(B347="","",IF(Office_Log!B147="","",Office_Log!B147&amp;""))</f>
        <v/>
      </c>
      <c r="F347" s="23" t="str">
        <f aca="false">IF(B347="","","yes_in_principle")</f>
        <v/>
      </c>
      <c r="G347" s="23" t="str">
        <f aca="false">IF(B347="","","")</f>
        <v/>
      </c>
      <c r="H347" s="23" t="str">
        <f aca="false">IF(B347="","","")</f>
        <v/>
      </c>
      <c r="I347" s="23" t="str">
        <f aca="false">IF(B347="","","")</f>
        <v/>
      </c>
      <c r="J347" s="23" t="str">
        <f aca="false">IF(B347="","","owner: "&amp;Office_Log!AE147&amp;"; window: "&amp;Office_Log!AH147)</f>
        <v/>
      </c>
      <c r="K347" s="32" t="s">
        <v>1353</v>
      </c>
    </row>
    <row r="348" customFormat="false" ht="15" hidden="false" customHeight="false" outlineLevel="0" collapsed="false">
      <c r="A348" s="23" t="str">
        <f aca="false">IF(B348="","",B348+(2*1000+147)/10000000)</f>
        <v/>
      </c>
      <c r="B348" s="35" t="str">
        <f aca="false">IF(AND(Office_Log!BE148=1,Office_Log!EI148=0,IF(INT(N(Office_Log!H148))&lt;=Config!$B$8,Office_Log!DJ148,Office_Log!DK148)=1),Office_Log!H148,"")</f>
        <v/>
      </c>
      <c r="C348" s="23" t="str">
        <f aca="false">IF(B348="","","office")</f>
        <v/>
      </c>
      <c r="D348" s="23" t="str">
        <f aca="false">IF(B348="","",Office_Log!ED148&amp;"")</f>
        <v/>
      </c>
      <c r="E348" s="23" t="str">
        <f aca="false">IF(B348="","",IF(Office_Log!B148="","",Office_Log!B148&amp;""))</f>
        <v/>
      </c>
      <c r="F348" s="23" t="str">
        <f aca="false">IF(B348="","","yes_in_principle")</f>
        <v/>
      </c>
      <c r="G348" s="23" t="str">
        <f aca="false">IF(B348="","","")</f>
        <v/>
      </c>
      <c r="H348" s="23" t="str">
        <f aca="false">IF(B348="","","")</f>
        <v/>
      </c>
      <c r="I348" s="23" t="str">
        <f aca="false">IF(B348="","","")</f>
        <v/>
      </c>
      <c r="J348" s="23" t="str">
        <f aca="false">IF(B348="","","owner: "&amp;Office_Log!AE148&amp;"; window: "&amp;Office_Log!AH148)</f>
        <v/>
      </c>
      <c r="K348" s="32" t="s">
        <v>1353</v>
      </c>
    </row>
    <row r="349" customFormat="false" ht="15" hidden="false" customHeight="false" outlineLevel="0" collapsed="false">
      <c r="A349" s="23" t="str">
        <f aca="false">IF(B349="","",B349+(2*1000+148)/10000000)</f>
        <v/>
      </c>
      <c r="B349" s="35" t="str">
        <f aca="false">IF(AND(Office_Log!BE149=1,Office_Log!EI149=0,IF(INT(N(Office_Log!H149))&lt;=Config!$B$8,Office_Log!DJ149,Office_Log!DK149)=1),Office_Log!H149,"")</f>
        <v/>
      </c>
      <c r="C349" s="23" t="str">
        <f aca="false">IF(B349="","","office")</f>
        <v/>
      </c>
      <c r="D349" s="23" t="str">
        <f aca="false">IF(B349="","",Office_Log!ED149&amp;"")</f>
        <v/>
      </c>
      <c r="E349" s="23" t="str">
        <f aca="false">IF(B349="","",IF(Office_Log!B149="","",Office_Log!B149&amp;""))</f>
        <v/>
      </c>
      <c r="F349" s="23" t="str">
        <f aca="false">IF(B349="","","yes_in_principle")</f>
        <v/>
      </c>
      <c r="G349" s="23" t="str">
        <f aca="false">IF(B349="","","")</f>
        <v/>
      </c>
      <c r="H349" s="23" t="str">
        <f aca="false">IF(B349="","","")</f>
        <v/>
      </c>
      <c r="I349" s="23" t="str">
        <f aca="false">IF(B349="","","")</f>
        <v/>
      </c>
      <c r="J349" s="23" t="str">
        <f aca="false">IF(B349="","","owner: "&amp;Office_Log!AE149&amp;"; window: "&amp;Office_Log!AH149)</f>
        <v/>
      </c>
      <c r="K349" s="32" t="s">
        <v>1353</v>
      </c>
    </row>
    <row r="350" customFormat="false" ht="15" hidden="false" customHeight="false" outlineLevel="0" collapsed="false">
      <c r="A350" s="23" t="str">
        <f aca="false">IF(B350="","",B350+(2*1000+149)/10000000)</f>
        <v/>
      </c>
      <c r="B350" s="35" t="str">
        <f aca="false">IF(AND(Office_Log!BE150=1,Office_Log!EI150=0,IF(INT(N(Office_Log!H150))&lt;=Config!$B$8,Office_Log!DJ150,Office_Log!DK150)=1),Office_Log!H150,"")</f>
        <v/>
      </c>
      <c r="C350" s="23" t="str">
        <f aca="false">IF(B350="","","office")</f>
        <v/>
      </c>
      <c r="D350" s="23" t="str">
        <f aca="false">IF(B350="","",Office_Log!ED150&amp;"")</f>
        <v/>
      </c>
      <c r="E350" s="23" t="str">
        <f aca="false">IF(B350="","",IF(Office_Log!B150="","",Office_Log!B150&amp;""))</f>
        <v/>
      </c>
      <c r="F350" s="23" t="str">
        <f aca="false">IF(B350="","","yes_in_principle")</f>
        <v/>
      </c>
      <c r="G350" s="23" t="str">
        <f aca="false">IF(B350="","","")</f>
        <v/>
      </c>
      <c r="H350" s="23" t="str">
        <f aca="false">IF(B350="","","")</f>
        <v/>
      </c>
      <c r="I350" s="23" t="str">
        <f aca="false">IF(B350="","","")</f>
        <v/>
      </c>
      <c r="J350" s="23" t="str">
        <f aca="false">IF(B350="","","owner: "&amp;Office_Log!AE150&amp;"; window: "&amp;Office_Log!AH150)</f>
        <v/>
      </c>
      <c r="K350" s="32" t="s">
        <v>1353</v>
      </c>
    </row>
    <row r="351" customFormat="false" ht="15" hidden="false" customHeight="false" outlineLevel="0" collapsed="false">
      <c r="A351" s="23" t="str">
        <f aca="false">IF(B351="","",B351+(2*1000+150)/10000000)</f>
        <v/>
      </c>
      <c r="B351" s="35" t="str">
        <f aca="false">IF(AND(Office_Log!BE151=1,Office_Log!EI151=0,IF(INT(N(Office_Log!H151))&lt;=Config!$B$8,Office_Log!DJ151,Office_Log!DK151)=1),Office_Log!H151,"")</f>
        <v/>
      </c>
      <c r="C351" s="23" t="str">
        <f aca="false">IF(B351="","","office")</f>
        <v/>
      </c>
      <c r="D351" s="23" t="str">
        <f aca="false">IF(B351="","",Office_Log!ED151&amp;"")</f>
        <v/>
      </c>
      <c r="E351" s="23" t="str">
        <f aca="false">IF(B351="","",IF(Office_Log!B151="","",Office_Log!B151&amp;""))</f>
        <v/>
      </c>
      <c r="F351" s="23" t="str">
        <f aca="false">IF(B351="","","yes_in_principle")</f>
        <v/>
      </c>
      <c r="G351" s="23" t="str">
        <f aca="false">IF(B351="","","")</f>
        <v/>
      </c>
      <c r="H351" s="23" t="str">
        <f aca="false">IF(B351="","","")</f>
        <v/>
      </c>
      <c r="I351" s="23" t="str">
        <f aca="false">IF(B351="","","")</f>
        <v/>
      </c>
      <c r="J351" s="23" t="str">
        <f aca="false">IF(B351="","","owner: "&amp;Office_Log!AE151&amp;"; window: "&amp;Office_Log!AH151)</f>
        <v/>
      </c>
      <c r="K351" s="32" t="s">
        <v>1353</v>
      </c>
    </row>
    <row r="352" customFormat="false" ht="15" hidden="false" customHeight="false" outlineLevel="0" collapsed="false">
      <c r="A352" s="23" t="str">
        <f aca="false">IF(B352="","",B352+(2*1000+151)/10000000)</f>
        <v/>
      </c>
      <c r="B352" s="35" t="str">
        <f aca="false">IF(AND(Office_Log!BE152=1,Office_Log!EI152=0,IF(INT(N(Office_Log!H152))&lt;=Config!$B$8,Office_Log!DJ152,Office_Log!DK152)=1),Office_Log!H152,"")</f>
        <v/>
      </c>
      <c r="C352" s="23" t="str">
        <f aca="false">IF(B352="","","office")</f>
        <v/>
      </c>
      <c r="D352" s="23" t="str">
        <f aca="false">IF(B352="","",Office_Log!ED152&amp;"")</f>
        <v/>
      </c>
      <c r="E352" s="23" t="str">
        <f aca="false">IF(B352="","",IF(Office_Log!B152="","",Office_Log!B152&amp;""))</f>
        <v/>
      </c>
      <c r="F352" s="23" t="str">
        <f aca="false">IF(B352="","","yes_in_principle")</f>
        <v/>
      </c>
      <c r="G352" s="23" t="str">
        <f aca="false">IF(B352="","","")</f>
        <v/>
      </c>
      <c r="H352" s="23" t="str">
        <f aca="false">IF(B352="","","")</f>
        <v/>
      </c>
      <c r="I352" s="23" t="str">
        <f aca="false">IF(B352="","","")</f>
        <v/>
      </c>
      <c r="J352" s="23" t="str">
        <f aca="false">IF(B352="","","owner: "&amp;Office_Log!AE152&amp;"; window: "&amp;Office_Log!AH152)</f>
        <v/>
      </c>
      <c r="K352" s="32" t="s">
        <v>1353</v>
      </c>
    </row>
    <row r="353" customFormat="false" ht="15" hidden="false" customHeight="false" outlineLevel="0" collapsed="false">
      <c r="A353" s="23" t="str">
        <f aca="false">IF(B353="","",B353+(2*1000+152)/10000000)</f>
        <v/>
      </c>
      <c r="B353" s="35" t="str">
        <f aca="false">IF(AND(Office_Log!BE153=1,Office_Log!EI153=0,IF(INT(N(Office_Log!H153))&lt;=Config!$B$8,Office_Log!DJ153,Office_Log!DK153)=1),Office_Log!H153,"")</f>
        <v/>
      </c>
      <c r="C353" s="23" t="str">
        <f aca="false">IF(B353="","","office")</f>
        <v/>
      </c>
      <c r="D353" s="23" t="str">
        <f aca="false">IF(B353="","",Office_Log!ED153&amp;"")</f>
        <v/>
      </c>
      <c r="E353" s="23" t="str">
        <f aca="false">IF(B353="","",IF(Office_Log!B153="","",Office_Log!B153&amp;""))</f>
        <v/>
      </c>
      <c r="F353" s="23" t="str">
        <f aca="false">IF(B353="","","yes_in_principle")</f>
        <v/>
      </c>
      <c r="G353" s="23" t="str">
        <f aca="false">IF(B353="","","")</f>
        <v/>
      </c>
      <c r="H353" s="23" t="str">
        <f aca="false">IF(B353="","","")</f>
        <v/>
      </c>
      <c r="I353" s="23" t="str">
        <f aca="false">IF(B353="","","")</f>
        <v/>
      </c>
      <c r="J353" s="23" t="str">
        <f aca="false">IF(B353="","","owner: "&amp;Office_Log!AE153&amp;"; window: "&amp;Office_Log!AH153)</f>
        <v/>
      </c>
      <c r="K353" s="32" t="s">
        <v>1353</v>
      </c>
    </row>
    <row r="354" customFormat="false" ht="15" hidden="false" customHeight="false" outlineLevel="0" collapsed="false">
      <c r="A354" s="23" t="str">
        <f aca="false">IF(B354="","",B354+(2*1000+153)/10000000)</f>
        <v/>
      </c>
      <c r="B354" s="35" t="str">
        <f aca="false">IF(AND(Office_Log!BE154=1,Office_Log!EI154=0,IF(INT(N(Office_Log!H154))&lt;=Config!$B$8,Office_Log!DJ154,Office_Log!DK154)=1),Office_Log!H154,"")</f>
        <v/>
      </c>
      <c r="C354" s="23" t="str">
        <f aca="false">IF(B354="","","office")</f>
        <v/>
      </c>
      <c r="D354" s="23" t="str">
        <f aca="false">IF(B354="","",Office_Log!ED154&amp;"")</f>
        <v/>
      </c>
      <c r="E354" s="23" t="str">
        <f aca="false">IF(B354="","",IF(Office_Log!B154="","",Office_Log!B154&amp;""))</f>
        <v/>
      </c>
      <c r="F354" s="23" t="str">
        <f aca="false">IF(B354="","","yes_in_principle")</f>
        <v/>
      </c>
      <c r="G354" s="23" t="str">
        <f aca="false">IF(B354="","","")</f>
        <v/>
      </c>
      <c r="H354" s="23" t="str">
        <f aca="false">IF(B354="","","")</f>
        <v/>
      </c>
      <c r="I354" s="23" t="str">
        <f aca="false">IF(B354="","","")</f>
        <v/>
      </c>
      <c r="J354" s="23" t="str">
        <f aca="false">IF(B354="","","owner: "&amp;Office_Log!AE154&amp;"; window: "&amp;Office_Log!AH154)</f>
        <v/>
      </c>
      <c r="K354" s="32" t="s">
        <v>1353</v>
      </c>
    </row>
    <row r="355" customFormat="false" ht="15" hidden="false" customHeight="false" outlineLevel="0" collapsed="false">
      <c r="A355" s="23" t="str">
        <f aca="false">IF(B355="","",B355+(2*1000+154)/10000000)</f>
        <v/>
      </c>
      <c r="B355" s="35" t="str">
        <f aca="false">IF(AND(Office_Log!BE155=1,Office_Log!EI155=0,IF(INT(N(Office_Log!H155))&lt;=Config!$B$8,Office_Log!DJ155,Office_Log!DK155)=1),Office_Log!H155,"")</f>
        <v/>
      </c>
      <c r="C355" s="23" t="str">
        <f aca="false">IF(B355="","","office")</f>
        <v/>
      </c>
      <c r="D355" s="23" t="str">
        <f aca="false">IF(B355="","",Office_Log!ED155&amp;"")</f>
        <v/>
      </c>
      <c r="E355" s="23" t="str">
        <f aca="false">IF(B355="","",IF(Office_Log!B155="","",Office_Log!B155&amp;""))</f>
        <v/>
      </c>
      <c r="F355" s="23" t="str">
        <f aca="false">IF(B355="","","yes_in_principle")</f>
        <v/>
      </c>
      <c r="G355" s="23" t="str">
        <f aca="false">IF(B355="","","")</f>
        <v/>
      </c>
      <c r="H355" s="23" t="str">
        <f aca="false">IF(B355="","","")</f>
        <v/>
      </c>
      <c r="I355" s="23" t="str">
        <f aca="false">IF(B355="","","")</f>
        <v/>
      </c>
      <c r="J355" s="23" t="str">
        <f aca="false">IF(B355="","","owner: "&amp;Office_Log!AE155&amp;"; window: "&amp;Office_Log!AH155)</f>
        <v/>
      </c>
      <c r="K355" s="32" t="s">
        <v>1353</v>
      </c>
    </row>
    <row r="356" customFormat="false" ht="15" hidden="false" customHeight="false" outlineLevel="0" collapsed="false">
      <c r="A356" s="23" t="str">
        <f aca="false">IF(B356="","",B356+(2*1000+155)/10000000)</f>
        <v/>
      </c>
      <c r="B356" s="35" t="str">
        <f aca="false">IF(AND(Office_Log!BE156=1,Office_Log!EI156=0,IF(INT(N(Office_Log!H156))&lt;=Config!$B$8,Office_Log!DJ156,Office_Log!DK156)=1),Office_Log!H156,"")</f>
        <v/>
      </c>
      <c r="C356" s="23" t="str">
        <f aca="false">IF(B356="","","office")</f>
        <v/>
      </c>
      <c r="D356" s="23" t="str">
        <f aca="false">IF(B356="","",Office_Log!ED156&amp;"")</f>
        <v/>
      </c>
      <c r="E356" s="23" t="str">
        <f aca="false">IF(B356="","",IF(Office_Log!B156="","",Office_Log!B156&amp;""))</f>
        <v/>
      </c>
      <c r="F356" s="23" t="str">
        <f aca="false">IF(B356="","","yes_in_principle")</f>
        <v/>
      </c>
      <c r="G356" s="23" t="str">
        <f aca="false">IF(B356="","","")</f>
        <v/>
      </c>
      <c r="H356" s="23" t="str">
        <f aca="false">IF(B356="","","")</f>
        <v/>
      </c>
      <c r="I356" s="23" t="str">
        <f aca="false">IF(B356="","","")</f>
        <v/>
      </c>
      <c r="J356" s="23" t="str">
        <f aca="false">IF(B356="","","owner: "&amp;Office_Log!AE156&amp;"; window: "&amp;Office_Log!AH156)</f>
        <v/>
      </c>
      <c r="K356" s="32" t="s">
        <v>1353</v>
      </c>
    </row>
    <row r="357" customFormat="false" ht="15" hidden="false" customHeight="false" outlineLevel="0" collapsed="false">
      <c r="A357" s="23" t="str">
        <f aca="false">IF(B357="","",B357+(2*1000+156)/10000000)</f>
        <v/>
      </c>
      <c r="B357" s="35" t="str">
        <f aca="false">IF(AND(Office_Log!BE157=1,Office_Log!EI157=0,IF(INT(N(Office_Log!H157))&lt;=Config!$B$8,Office_Log!DJ157,Office_Log!DK157)=1),Office_Log!H157,"")</f>
        <v/>
      </c>
      <c r="C357" s="23" t="str">
        <f aca="false">IF(B357="","","office")</f>
        <v/>
      </c>
      <c r="D357" s="23" t="str">
        <f aca="false">IF(B357="","",Office_Log!ED157&amp;"")</f>
        <v/>
      </c>
      <c r="E357" s="23" t="str">
        <f aca="false">IF(B357="","",IF(Office_Log!B157="","",Office_Log!B157&amp;""))</f>
        <v/>
      </c>
      <c r="F357" s="23" t="str">
        <f aca="false">IF(B357="","","yes_in_principle")</f>
        <v/>
      </c>
      <c r="G357" s="23" t="str">
        <f aca="false">IF(B357="","","")</f>
        <v/>
      </c>
      <c r="H357" s="23" t="str">
        <f aca="false">IF(B357="","","")</f>
        <v/>
      </c>
      <c r="I357" s="23" t="str">
        <f aca="false">IF(B357="","","")</f>
        <v/>
      </c>
      <c r="J357" s="23" t="str">
        <f aca="false">IF(B357="","","owner: "&amp;Office_Log!AE157&amp;"; window: "&amp;Office_Log!AH157)</f>
        <v/>
      </c>
      <c r="K357" s="32" t="s">
        <v>1353</v>
      </c>
    </row>
    <row r="358" customFormat="false" ht="15" hidden="false" customHeight="false" outlineLevel="0" collapsed="false">
      <c r="A358" s="23" t="str">
        <f aca="false">IF(B358="","",B358+(2*1000+157)/10000000)</f>
        <v/>
      </c>
      <c r="B358" s="35" t="str">
        <f aca="false">IF(AND(Office_Log!BE158=1,Office_Log!EI158=0,IF(INT(N(Office_Log!H158))&lt;=Config!$B$8,Office_Log!DJ158,Office_Log!DK158)=1),Office_Log!H158,"")</f>
        <v/>
      </c>
      <c r="C358" s="23" t="str">
        <f aca="false">IF(B358="","","office")</f>
        <v/>
      </c>
      <c r="D358" s="23" t="str">
        <f aca="false">IF(B358="","",Office_Log!ED158&amp;"")</f>
        <v/>
      </c>
      <c r="E358" s="23" t="str">
        <f aca="false">IF(B358="","",IF(Office_Log!B158="","",Office_Log!B158&amp;""))</f>
        <v/>
      </c>
      <c r="F358" s="23" t="str">
        <f aca="false">IF(B358="","","yes_in_principle")</f>
        <v/>
      </c>
      <c r="G358" s="23" t="str">
        <f aca="false">IF(B358="","","")</f>
        <v/>
      </c>
      <c r="H358" s="23" t="str">
        <f aca="false">IF(B358="","","")</f>
        <v/>
      </c>
      <c r="I358" s="23" t="str">
        <f aca="false">IF(B358="","","")</f>
        <v/>
      </c>
      <c r="J358" s="23" t="str">
        <f aca="false">IF(B358="","","owner: "&amp;Office_Log!AE158&amp;"; window: "&amp;Office_Log!AH158)</f>
        <v/>
      </c>
      <c r="K358" s="32" t="s">
        <v>1353</v>
      </c>
    </row>
    <row r="359" customFormat="false" ht="15" hidden="false" customHeight="false" outlineLevel="0" collapsed="false">
      <c r="A359" s="23" t="str">
        <f aca="false">IF(B359="","",B359+(2*1000+158)/10000000)</f>
        <v/>
      </c>
      <c r="B359" s="35" t="str">
        <f aca="false">IF(AND(Office_Log!BE159=1,Office_Log!EI159=0,IF(INT(N(Office_Log!H159))&lt;=Config!$B$8,Office_Log!DJ159,Office_Log!DK159)=1),Office_Log!H159,"")</f>
        <v/>
      </c>
      <c r="C359" s="23" t="str">
        <f aca="false">IF(B359="","","office")</f>
        <v/>
      </c>
      <c r="D359" s="23" t="str">
        <f aca="false">IF(B359="","",Office_Log!ED159&amp;"")</f>
        <v/>
      </c>
      <c r="E359" s="23" t="str">
        <f aca="false">IF(B359="","",IF(Office_Log!B159="","",Office_Log!B159&amp;""))</f>
        <v/>
      </c>
      <c r="F359" s="23" t="str">
        <f aca="false">IF(B359="","","yes_in_principle")</f>
        <v/>
      </c>
      <c r="G359" s="23" t="str">
        <f aca="false">IF(B359="","","")</f>
        <v/>
      </c>
      <c r="H359" s="23" t="str">
        <f aca="false">IF(B359="","","")</f>
        <v/>
      </c>
      <c r="I359" s="23" t="str">
        <f aca="false">IF(B359="","","")</f>
        <v/>
      </c>
      <c r="J359" s="23" t="str">
        <f aca="false">IF(B359="","","owner: "&amp;Office_Log!AE159&amp;"; window: "&amp;Office_Log!AH159)</f>
        <v/>
      </c>
      <c r="K359" s="32" t="s">
        <v>1353</v>
      </c>
    </row>
    <row r="360" customFormat="false" ht="15" hidden="false" customHeight="false" outlineLevel="0" collapsed="false">
      <c r="A360" s="23" t="str">
        <f aca="false">IF(B360="","",B360+(2*1000+159)/10000000)</f>
        <v/>
      </c>
      <c r="B360" s="35" t="str">
        <f aca="false">IF(AND(Office_Log!BE160=1,Office_Log!EI160=0,IF(INT(N(Office_Log!H160))&lt;=Config!$B$8,Office_Log!DJ160,Office_Log!DK160)=1),Office_Log!H160,"")</f>
        <v/>
      </c>
      <c r="C360" s="23" t="str">
        <f aca="false">IF(B360="","","office")</f>
        <v/>
      </c>
      <c r="D360" s="23" t="str">
        <f aca="false">IF(B360="","",Office_Log!ED160&amp;"")</f>
        <v/>
      </c>
      <c r="E360" s="23" t="str">
        <f aca="false">IF(B360="","",IF(Office_Log!B160="","",Office_Log!B160&amp;""))</f>
        <v/>
      </c>
      <c r="F360" s="23" t="str">
        <f aca="false">IF(B360="","","yes_in_principle")</f>
        <v/>
      </c>
      <c r="G360" s="23" t="str">
        <f aca="false">IF(B360="","","")</f>
        <v/>
      </c>
      <c r="H360" s="23" t="str">
        <f aca="false">IF(B360="","","")</f>
        <v/>
      </c>
      <c r="I360" s="23" t="str">
        <f aca="false">IF(B360="","","")</f>
        <v/>
      </c>
      <c r="J360" s="23" t="str">
        <f aca="false">IF(B360="","","owner: "&amp;Office_Log!AE160&amp;"; window: "&amp;Office_Log!AH160)</f>
        <v/>
      </c>
      <c r="K360" s="32" t="s">
        <v>1353</v>
      </c>
    </row>
    <row r="361" customFormat="false" ht="15" hidden="false" customHeight="false" outlineLevel="0" collapsed="false">
      <c r="A361" s="23" t="str">
        <f aca="false">IF(B361="","",B361+(2*1000+160)/10000000)</f>
        <v/>
      </c>
      <c r="B361" s="35" t="str">
        <f aca="false">IF(AND(Office_Log!BE161=1,Office_Log!EI161=0,IF(INT(N(Office_Log!H161))&lt;=Config!$B$8,Office_Log!DJ161,Office_Log!DK161)=1),Office_Log!H161,"")</f>
        <v/>
      </c>
      <c r="C361" s="23" t="str">
        <f aca="false">IF(B361="","","office")</f>
        <v/>
      </c>
      <c r="D361" s="23" t="str">
        <f aca="false">IF(B361="","",Office_Log!ED161&amp;"")</f>
        <v/>
      </c>
      <c r="E361" s="23" t="str">
        <f aca="false">IF(B361="","",IF(Office_Log!B161="","",Office_Log!B161&amp;""))</f>
        <v/>
      </c>
      <c r="F361" s="23" t="str">
        <f aca="false">IF(B361="","","yes_in_principle")</f>
        <v/>
      </c>
      <c r="G361" s="23" t="str">
        <f aca="false">IF(B361="","","")</f>
        <v/>
      </c>
      <c r="H361" s="23" t="str">
        <f aca="false">IF(B361="","","")</f>
        <v/>
      </c>
      <c r="I361" s="23" t="str">
        <f aca="false">IF(B361="","","")</f>
        <v/>
      </c>
      <c r="J361" s="23" t="str">
        <f aca="false">IF(B361="","","owner: "&amp;Office_Log!AE161&amp;"; window: "&amp;Office_Log!AH161)</f>
        <v/>
      </c>
      <c r="K361" s="32" t="s">
        <v>1353</v>
      </c>
    </row>
    <row r="362" customFormat="false" ht="15" hidden="false" customHeight="false" outlineLevel="0" collapsed="false">
      <c r="A362" s="23" t="str">
        <f aca="false">IF(B362="","",B362+(2*1000+161)/10000000)</f>
        <v/>
      </c>
      <c r="B362" s="35" t="str">
        <f aca="false">IF(AND(Office_Log!BE162=1,Office_Log!EI162=0,IF(INT(N(Office_Log!H162))&lt;=Config!$B$8,Office_Log!DJ162,Office_Log!DK162)=1),Office_Log!H162,"")</f>
        <v/>
      </c>
      <c r="C362" s="23" t="str">
        <f aca="false">IF(B362="","","office")</f>
        <v/>
      </c>
      <c r="D362" s="23" t="str">
        <f aca="false">IF(B362="","",Office_Log!ED162&amp;"")</f>
        <v/>
      </c>
      <c r="E362" s="23" t="str">
        <f aca="false">IF(B362="","",IF(Office_Log!B162="","",Office_Log!B162&amp;""))</f>
        <v/>
      </c>
      <c r="F362" s="23" t="str">
        <f aca="false">IF(B362="","","yes_in_principle")</f>
        <v/>
      </c>
      <c r="G362" s="23" t="str">
        <f aca="false">IF(B362="","","")</f>
        <v/>
      </c>
      <c r="H362" s="23" t="str">
        <f aca="false">IF(B362="","","")</f>
        <v/>
      </c>
      <c r="I362" s="23" t="str">
        <f aca="false">IF(B362="","","")</f>
        <v/>
      </c>
      <c r="J362" s="23" t="str">
        <f aca="false">IF(B362="","","owner: "&amp;Office_Log!AE162&amp;"; window: "&amp;Office_Log!AH162)</f>
        <v/>
      </c>
      <c r="K362" s="32" t="s">
        <v>1353</v>
      </c>
    </row>
    <row r="363" customFormat="false" ht="15" hidden="false" customHeight="false" outlineLevel="0" collapsed="false">
      <c r="A363" s="23" t="str">
        <f aca="false">IF(B363="","",B363+(2*1000+162)/10000000)</f>
        <v/>
      </c>
      <c r="B363" s="35" t="str">
        <f aca="false">IF(AND(Office_Log!BE163=1,Office_Log!EI163=0,IF(INT(N(Office_Log!H163))&lt;=Config!$B$8,Office_Log!DJ163,Office_Log!DK163)=1),Office_Log!H163,"")</f>
        <v/>
      </c>
      <c r="C363" s="23" t="str">
        <f aca="false">IF(B363="","","office")</f>
        <v/>
      </c>
      <c r="D363" s="23" t="str">
        <f aca="false">IF(B363="","",Office_Log!ED163&amp;"")</f>
        <v/>
      </c>
      <c r="E363" s="23" t="str">
        <f aca="false">IF(B363="","",IF(Office_Log!B163="","",Office_Log!B163&amp;""))</f>
        <v/>
      </c>
      <c r="F363" s="23" t="str">
        <f aca="false">IF(B363="","","yes_in_principle")</f>
        <v/>
      </c>
      <c r="G363" s="23" t="str">
        <f aca="false">IF(B363="","","")</f>
        <v/>
      </c>
      <c r="H363" s="23" t="str">
        <f aca="false">IF(B363="","","")</f>
        <v/>
      </c>
      <c r="I363" s="23" t="str">
        <f aca="false">IF(B363="","","")</f>
        <v/>
      </c>
      <c r="J363" s="23" t="str">
        <f aca="false">IF(B363="","","owner: "&amp;Office_Log!AE163&amp;"; window: "&amp;Office_Log!AH163)</f>
        <v/>
      </c>
      <c r="K363" s="32" t="s">
        <v>1353</v>
      </c>
    </row>
    <row r="364" customFormat="false" ht="15" hidden="false" customHeight="false" outlineLevel="0" collapsed="false">
      <c r="A364" s="23" t="str">
        <f aca="false">IF(B364="","",B364+(2*1000+163)/10000000)</f>
        <v/>
      </c>
      <c r="B364" s="35" t="str">
        <f aca="false">IF(AND(Office_Log!BE164=1,Office_Log!EI164=0,IF(INT(N(Office_Log!H164))&lt;=Config!$B$8,Office_Log!DJ164,Office_Log!DK164)=1),Office_Log!H164,"")</f>
        <v/>
      </c>
      <c r="C364" s="23" t="str">
        <f aca="false">IF(B364="","","office")</f>
        <v/>
      </c>
      <c r="D364" s="23" t="str">
        <f aca="false">IF(B364="","",Office_Log!ED164&amp;"")</f>
        <v/>
      </c>
      <c r="E364" s="23" t="str">
        <f aca="false">IF(B364="","",IF(Office_Log!B164="","",Office_Log!B164&amp;""))</f>
        <v/>
      </c>
      <c r="F364" s="23" t="str">
        <f aca="false">IF(B364="","","yes_in_principle")</f>
        <v/>
      </c>
      <c r="G364" s="23" t="str">
        <f aca="false">IF(B364="","","")</f>
        <v/>
      </c>
      <c r="H364" s="23" t="str">
        <f aca="false">IF(B364="","","")</f>
        <v/>
      </c>
      <c r="I364" s="23" t="str">
        <f aca="false">IF(B364="","","")</f>
        <v/>
      </c>
      <c r="J364" s="23" t="str">
        <f aca="false">IF(B364="","","owner: "&amp;Office_Log!AE164&amp;"; window: "&amp;Office_Log!AH164)</f>
        <v/>
      </c>
      <c r="K364" s="32" t="s">
        <v>1353</v>
      </c>
    </row>
    <row r="365" customFormat="false" ht="15" hidden="false" customHeight="false" outlineLevel="0" collapsed="false">
      <c r="A365" s="23" t="str">
        <f aca="false">IF(B365="","",B365+(2*1000+164)/10000000)</f>
        <v/>
      </c>
      <c r="B365" s="35" t="str">
        <f aca="false">IF(AND(Office_Log!BE165=1,Office_Log!EI165=0,IF(INT(N(Office_Log!H165))&lt;=Config!$B$8,Office_Log!DJ165,Office_Log!DK165)=1),Office_Log!H165,"")</f>
        <v/>
      </c>
      <c r="C365" s="23" t="str">
        <f aca="false">IF(B365="","","office")</f>
        <v/>
      </c>
      <c r="D365" s="23" t="str">
        <f aca="false">IF(B365="","",Office_Log!ED165&amp;"")</f>
        <v/>
      </c>
      <c r="E365" s="23" t="str">
        <f aca="false">IF(B365="","",IF(Office_Log!B165="","",Office_Log!B165&amp;""))</f>
        <v/>
      </c>
      <c r="F365" s="23" t="str">
        <f aca="false">IF(B365="","","yes_in_principle")</f>
        <v/>
      </c>
      <c r="G365" s="23" t="str">
        <f aca="false">IF(B365="","","")</f>
        <v/>
      </c>
      <c r="H365" s="23" t="str">
        <f aca="false">IF(B365="","","")</f>
        <v/>
      </c>
      <c r="I365" s="23" t="str">
        <f aca="false">IF(B365="","","")</f>
        <v/>
      </c>
      <c r="J365" s="23" t="str">
        <f aca="false">IF(B365="","","owner: "&amp;Office_Log!AE165&amp;"; window: "&amp;Office_Log!AH165)</f>
        <v/>
      </c>
      <c r="K365" s="32" t="s">
        <v>1353</v>
      </c>
    </row>
    <row r="366" customFormat="false" ht="15" hidden="false" customHeight="false" outlineLevel="0" collapsed="false">
      <c r="A366" s="23" t="str">
        <f aca="false">IF(B366="","",B366+(2*1000+165)/10000000)</f>
        <v/>
      </c>
      <c r="B366" s="35" t="str">
        <f aca="false">IF(AND(Office_Log!BE166=1,Office_Log!EI166=0,IF(INT(N(Office_Log!H166))&lt;=Config!$B$8,Office_Log!DJ166,Office_Log!DK166)=1),Office_Log!H166,"")</f>
        <v/>
      </c>
      <c r="C366" s="23" t="str">
        <f aca="false">IF(B366="","","office")</f>
        <v/>
      </c>
      <c r="D366" s="23" t="str">
        <f aca="false">IF(B366="","",Office_Log!ED166&amp;"")</f>
        <v/>
      </c>
      <c r="E366" s="23" t="str">
        <f aca="false">IF(B366="","",IF(Office_Log!B166="","",Office_Log!B166&amp;""))</f>
        <v/>
      </c>
      <c r="F366" s="23" t="str">
        <f aca="false">IF(B366="","","yes_in_principle")</f>
        <v/>
      </c>
      <c r="G366" s="23" t="str">
        <f aca="false">IF(B366="","","")</f>
        <v/>
      </c>
      <c r="H366" s="23" t="str">
        <f aca="false">IF(B366="","","")</f>
        <v/>
      </c>
      <c r="I366" s="23" t="str">
        <f aca="false">IF(B366="","","")</f>
        <v/>
      </c>
      <c r="J366" s="23" t="str">
        <f aca="false">IF(B366="","","owner: "&amp;Office_Log!AE166&amp;"; window: "&amp;Office_Log!AH166)</f>
        <v/>
      </c>
      <c r="K366" s="32" t="s">
        <v>1353</v>
      </c>
    </row>
    <row r="367" customFormat="false" ht="15" hidden="false" customHeight="false" outlineLevel="0" collapsed="false">
      <c r="A367" s="23" t="str">
        <f aca="false">IF(B367="","",B367+(2*1000+166)/10000000)</f>
        <v/>
      </c>
      <c r="B367" s="35" t="str">
        <f aca="false">IF(AND(Office_Log!BE167=1,Office_Log!EI167=0,IF(INT(N(Office_Log!H167))&lt;=Config!$B$8,Office_Log!DJ167,Office_Log!DK167)=1),Office_Log!H167,"")</f>
        <v/>
      </c>
      <c r="C367" s="23" t="str">
        <f aca="false">IF(B367="","","office")</f>
        <v/>
      </c>
      <c r="D367" s="23" t="str">
        <f aca="false">IF(B367="","",Office_Log!ED167&amp;"")</f>
        <v/>
      </c>
      <c r="E367" s="23" t="str">
        <f aca="false">IF(B367="","",IF(Office_Log!B167="","",Office_Log!B167&amp;""))</f>
        <v/>
      </c>
      <c r="F367" s="23" t="str">
        <f aca="false">IF(B367="","","yes_in_principle")</f>
        <v/>
      </c>
      <c r="G367" s="23" t="str">
        <f aca="false">IF(B367="","","")</f>
        <v/>
      </c>
      <c r="H367" s="23" t="str">
        <f aca="false">IF(B367="","","")</f>
        <v/>
      </c>
      <c r="I367" s="23" t="str">
        <f aca="false">IF(B367="","","")</f>
        <v/>
      </c>
      <c r="J367" s="23" t="str">
        <f aca="false">IF(B367="","","owner: "&amp;Office_Log!AE167&amp;"; window: "&amp;Office_Log!AH167)</f>
        <v/>
      </c>
      <c r="K367" s="32" t="s">
        <v>1353</v>
      </c>
    </row>
    <row r="368" customFormat="false" ht="15" hidden="false" customHeight="false" outlineLevel="0" collapsed="false">
      <c r="A368" s="23" t="str">
        <f aca="false">IF(B368="","",B368+(2*1000+167)/10000000)</f>
        <v/>
      </c>
      <c r="B368" s="35" t="str">
        <f aca="false">IF(AND(Office_Log!BE168=1,Office_Log!EI168=0,IF(INT(N(Office_Log!H168))&lt;=Config!$B$8,Office_Log!DJ168,Office_Log!DK168)=1),Office_Log!H168,"")</f>
        <v/>
      </c>
      <c r="C368" s="23" t="str">
        <f aca="false">IF(B368="","","office")</f>
        <v/>
      </c>
      <c r="D368" s="23" t="str">
        <f aca="false">IF(B368="","",Office_Log!ED168&amp;"")</f>
        <v/>
      </c>
      <c r="E368" s="23" t="str">
        <f aca="false">IF(B368="","",IF(Office_Log!B168="","",Office_Log!B168&amp;""))</f>
        <v/>
      </c>
      <c r="F368" s="23" t="str">
        <f aca="false">IF(B368="","","yes_in_principle")</f>
        <v/>
      </c>
      <c r="G368" s="23" t="str">
        <f aca="false">IF(B368="","","")</f>
        <v/>
      </c>
      <c r="H368" s="23" t="str">
        <f aca="false">IF(B368="","","")</f>
        <v/>
      </c>
      <c r="I368" s="23" t="str">
        <f aca="false">IF(B368="","","")</f>
        <v/>
      </c>
      <c r="J368" s="23" t="str">
        <f aca="false">IF(B368="","","owner: "&amp;Office_Log!AE168&amp;"; window: "&amp;Office_Log!AH168)</f>
        <v/>
      </c>
      <c r="K368" s="32" t="s">
        <v>1353</v>
      </c>
    </row>
    <row r="369" customFormat="false" ht="15" hidden="false" customHeight="false" outlineLevel="0" collapsed="false">
      <c r="A369" s="23" t="str">
        <f aca="false">IF(B369="","",B369+(2*1000+168)/10000000)</f>
        <v/>
      </c>
      <c r="B369" s="35" t="str">
        <f aca="false">IF(AND(Office_Log!BE169=1,Office_Log!EI169=0,IF(INT(N(Office_Log!H169))&lt;=Config!$B$8,Office_Log!DJ169,Office_Log!DK169)=1),Office_Log!H169,"")</f>
        <v/>
      </c>
      <c r="C369" s="23" t="str">
        <f aca="false">IF(B369="","","office")</f>
        <v/>
      </c>
      <c r="D369" s="23" t="str">
        <f aca="false">IF(B369="","",Office_Log!ED169&amp;"")</f>
        <v/>
      </c>
      <c r="E369" s="23" t="str">
        <f aca="false">IF(B369="","",IF(Office_Log!B169="","",Office_Log!B169&amp;""))</f>
        <v/>
      </c>
      <c r="F369" s="23" t="str">
        <f aca="false">IF(B369="","","yes_in_principle")</f>
        <v/>
      </c>
      <c r="G369" s="23" t="str">
        <f aca="false">IF(B369="","","")</f>
        <v/>
      </c>
      <c r="H369" s="23" t="str">
        <f aca="false">IF(B369="","","")</f>
        <v/>
      </c>
      <c r="I369" s="23" t="str">
        <f aca="false">IF(B369="","","")</f>
        <v/>
      </c>
      <c r="J369" s="23" t="str">
        <f aca="false">IF(B369="","","owner: "&amp;Office_Log!AE169&amp;"; window: "&amp;Office_Log!AH169)</f>
        <v/>
      </c>
      <c r="K369" s="32" t="s">
        <v>1353</v>
      </c>
    </row>
    <row r="370" customFormat="false" ht="15" hidden="false" customHeight="false" outlineLevel="0" collapsed="false">
      <c r="A370" s="23" t="str">
        <f aca="false">IF(B370="","",B370+(2*1000+169)/10000000)</f>
        <v/>
      </c>
      <c r="B370" s="35" t="str">
        <f aca="false">IF(AND(Office_Log!BE170=1,Office_Log!EI170=0,IF(INT(N(Office_Log!H170))&lt;=Config!$B$8,Office_Log!DJ170,Office_Log!DK170)=1),Office_Log!H170,"")</f>
        <v/>
      </c>
      <c r="C370" s="23" t="str">
        <f aca="false">IF(B370="","","office")</f>
        <v/>
      </c>
      <c r="D370" s="23" t="str">
        <f aca="false">IF(B370="","",Office_Log!ED170&amp;"")</f>
        <v/>
      </c>
      <c r="E370" s="23" t="str">
        <f aca="false">IF(B370="","",IF(Office_Log!B170="","",Office_Log!B170&amp;""))</f>
        <v/>
      </c>
      <c r="F370" s="23" t="str">
        <f aca="false">IF(B370="","","yes_in_principle")</f>
        <v/>
      </c>
      <c r="G370" s="23" t="str">
        <f aca="false">IF(B370="","","")</f>
        <v/>
      </c>
      <c r="H370" s="23" t="str">
        <f aca="false">IF(B370="","","")</f>
        <v/>
      </c>
      <c r="I370" s="23" t="str">
        <f aca="false">IF(B370="","","")</f>
        <v/>
      </c>
      <c r="J370" s="23" t="str">
        <f aca="false">IF(B370="","","owner: "&amp;Office_Log!AE170&amp;"; window: "&amp;Office_Log!AH170)</f>
        <v/>
      </c>
      <c r="K370" s="32" t="s">
        <v>1353</v>
      </c>
    </row>
    <row r="371" customFormat="false" ht="15" hidden="false" customHeight="false" outlineLevel="0" collapsed="false">
      <c r="A371" s="23" t="str">
        <f aca="false">IF(B371="","",B371+(2*1000+170)/10000000)</f>
        <v/>
      </c>
      <c r="B371" s="35" t="str">
        <f aca="false">IF(AND(Office_Log!BE171=1,Office_Log!EI171=0,IF(INT(N(Office_Log!H171))&lt;=Config!$B$8,Office_Log!DJ171,Office_Log!DK171)=1),Office_Log!H171,"")</f>
        <v/>
      </c>
      <c r="C371" s="23" t="str">
        <f aca="false">IF(B371="","","office")</f>
        <v/>
      </c>
      <c r="D371" s="23" t="str">
        <f aca="false">IF(B371="","",Office_Log!ED171&amp;"")</f>
        <v/>
      </c>
      <c r="E371" s="23" t="str">
        <f aca="false">IF(B371="","",IF(Office_Log!B171="","",Office_Log!B171&amp;""))</f>
        <v/>
      </c>
      <c r="F371" s="23" t="str">
        <f aca="false">IF(B371="","","yes_in_principle")</f>
        <v/>
      </c>
      <c r="G371" s="23" t="str">
        <f aca="false">IF(B371="","","")</f>
        <v/>
      </c>
      <c r="H371" s="23" t="str">
        <f aca="false">IF(B371="","","")</f>
        <v/>
      </c>
      <c r="I371" s="23" t="str">
        <f aca="false">IF(B371="","","")</f>
        <v/>
      </c>
      <c r="J371" s="23" t="str">
        <f aca="false">IF(B371="","","owner: "&amp;Office_Log!AE171&amp;"; window: "&amp;Office_Log!AH171)</f>
        <v/>
      </c>
      <c r="K371" s="32" t="s">
        <v>1353</v>
      </c>
    </row>
    <row r="372" customFormat="false" ht="15" hidden="false" customHeight="false" outlineLevel="0" collapsed="false">
      <c r="A372" s="23" t="str">
        <f aca="false">IF(B372="","",B372+(2*1000+171)/10000000)</f>
        <v/>
      </c>
      <c r="B372" s="35" t="str">
        <f aca="false">IF(AND(Office_Log!BE172=1,Office_Log!EI172=0,IF(INT(N(Office_Log!H172))&lt;=Config!$B$8,Office_Log!DJ172,Office_Log!DK172)=1),Office_Log!H172,"")</f>
        <v/>
      </c>
      <c r="C372" s="23" t="str">
        <f aca="false">IF(B372="","","office")</f>
        <v/>
      </c>
      <c r="D372" s="23" t="str">
        <f aca="false">IF(B372="","",Office_Log!ED172&amp;"")</f>
        <v/>
      </c>
      <c r="E372" s="23" t="str">
        <f aca="false">IF(B372="","",IF(Office_Log!B172="","",Office_Log!B172&amp;""))</f>
        <v/>
      </c>
      <c r="F372" s="23" t="str">
        <f aca="false">IF(B372="","","yes_in_principle")</f>
        <v/>
      </c>
      <c r="G372" s="23" t="str">
        <f aca="false">IF(B372="","","")</f>
        <v/>
      </c>
      <c r="H372" s="23" t="str">
        <f aca="false">IF(B372="","","")</f>
        <v/>
      </c>
      <c r="I372" s="23" t="str">
        <f aca="false">IF(B372="","","")</f>
        <v/>
      </c>
      <c r="J372" s="23" t="str">
        <f aca="false">IF(B372="","","owner: "&amp;Office_Log!AE172&amp;"; window: "&amp;Office_Log!AH172)</f>
        <v/>
      </c>
      <c r="K372" s="32" t="s">
        <v>1353</v>
      </c>
    </row>
    <row r="373" customFormat="false" ht="15" hidden="false" customHeight="false" outlineLevel="0" collapsed="false">
      <c r="A373" s="23" t="str">
        <f aca="false">IF(B373="","",B373+(2*1000+172)/10000000)</f>
        <v/>
      </c>
      <c r="B373" s="35" t="str">
        <f aca="false">IF(AND(Office_Log!BE173=1,Office_Log!EI173=0,IF(INT(N(Office_Log!H173))&lt;=Config!$B$8,Office_Log!DJ173,Office_Log!DK173)=1),Office_Log!H173,"")</f>
        <v/>
      </c>
      <c r="C373" s="23" t="str">
        <f aca="false">IF(B373="","","office")</f>
        <v/>
      </c>
      <c r="D373" s="23" t="str">
        <f aca="false">IF(B373="","",Office_Log!ED173&amp;"")</f>
        <v/>
      </c>
      <c r="E373" s="23" t="str">
        <f aca="false">IF(B373="","",IF(Office_Log!B173="","",Office_Log!B173&amp;""))</f>
        <v/>
      </c>
      <c r="F373" s="23" t="str">
        <f aca="false">IF(B373="","","yes_in_principle")</f>
        <v/>
      </c>
      <c r="G373" s="23" t="str">
        <f aca="false">IF(B373="","","")</f>
        <v/>
      </c>
      <c r="H373" s="23" t="str">
        <f aca="false">IF(B373="","","")</f>
        <v/>
      </c>
      <c r="I373" s="23" t="str">
        <f aca="false">IF(B373="","","")</f>
        <v/>
      </c>
      <c r="J373" s="23" t="str">
        <f aca="false">IF(B373="","","owner: "&amp;Office_Log!AE173&amp;"; window: "&amp;Office_Log!AH173)</f>
        <v/>
      </c>
      <c r="K373" s="32" t="s">
        <v>1353</v>
      </c>
    </row>
    <row r="374" customFormat="false" ht="15" hidden="false" customHeight="false" outlineLevel="0" collapsed="false">
      <c r="A374" s="23" t="str">
        <f aca="false">IF(B374="","",B374+(2*1000+173)/10000000)</f>
        <v/>
      </c>
      <c r="B374" s="35" t="str">
        <f aca="false">IF(AND(Office_Log!BE174=1,Office_Log!EI174=0,IF(INT(N(Office_Log!H174))&lt;=Config!$B$8,Office_Log!DJ174,Office_Log!DK174)=1),Office_Log!H174,"")</f>
        <v/>
      </c>
      <c r="C374" s="23" t="str">
        <f aca="false">IF(B374="","","office")</f>
        <v/>
      </c>
      <c r="D374" s="23" t="str">
        <f aca="false">IF(B374="","",Office_Log!ED174&amp;"")</f>
        <v/>
      </c>
      <c r="E374" s="23" t="str">
        <f aca="false">IF(B374="","",IF(Office_Log!B174="","",Office_Log!B174&amp;""))</f>
        <v/>
      </c>
      <c r="F374" s="23" t="str">
        <f aca="false">IF(B374="","","yes_in_principle")</f>
        <v/>
      </c>
      <c r="G374" s="23" t="str">
        <f aca="false">IF(B374="","","")</f>
        <v/>
      </c>
      <c r="H374" s="23" t="str">
        <f aca="false">IF(B374="","","")</f>
        <v/>
      </c>
      <c r="I374" s="23" t="str">
        <f aca="false">IF(B374="","","")</f>
        <v/>
      </c>
      <c r="J374" s="23" t="str">
        <f aca="false">IF(B374="","","owner: "&amp;Office_Log!AE174&amp;"; window: "&amp;Office_Log!AH174)</f>
        <v/>
      </c>
      <c r="K374" s="32" t="s">
        <v>1353</v>
      </c>
    </row>
    <row r="375" customFormat="false" ht="15" hidden="false" customHeight="false" outlineLevel="0" collapsed="false">
      <c r="A375" s="23" t="str">
        <f aca="false">IF(B375="","",B375+(2*1000+174)/10000000)</f>
        <v/>
      </c>
      <c r="B375" s="35" t="str">
        <f aca="false">IF(AND(Office_Log!BE175=1,Office_Log!EI175=0,IF(INT(N(Office_Log!H175))&lt;=Config!$B$8,Office_Log!DJ175,Office_Log!DK175)=1),Office_Log!H175,"")</f>
        <v/>
      </c>
      <c r="C375" s="23" t="str">
        <f aca="false">IF(B375="","","office")</f>
        <v/>
      </c>
      <c r="D375" s="23" t="str">
        <f aca="false">IF(B375="","",Office_Log!ED175&amp;"")</f>
        <v/>
      </c>
      <c r="E375" s="23" t="str">
        <f aca="false">IF(B375="","",IF(Office_Log!B175="","",Office_Log!B175&amp;""))</f>
        <v/>
      </c>
      <c r="F375" s="23" t="str">
        <f aca="false">IF(B375="","","yes_in_principle")</f>
        <v/>
      </c>
      <c r="G375" s="23" t="str">
        <f aca="false">IF(B375="","","")</f>
        <v/>
      </c>
      <c r="H375" s="23" t="str">
        <f aca="false">IF(B375="","","")</f>
        <v/>
      </c>
      <c r="I375" s="23" t="str">
        <f aca="false">IF(B375="","","")</f>
        <v/>
      </c>
      <c r="J375" s="23" t="str">
        <f aca="false">IF(B375="","","owner: "&amp;Office_Log!AE175&amp;"; window: "&amp;Office_Log!AH175)</f>
        <v/>
      </c>
      <c r="K375" s="32" t="s">
        <v>1353</v>
      </c>
    </row>
    <row r="376" customFormat="false" ht="15" hidden="false" customHeight="false" outlineLevel="0" collapsed="false">
      <c r="A376" s="23" t="str">
        <f aca="false">IF(B376="","",B376+(2*1000+175)/10000000)</f>
        <v/>
      </c>
      <c r="B376" s="35" t="str">
        <f aca="false">IF(AND(Office_Log!BE176=1,Office_Log!EI176=0,IF(INT(N(Office_Log!H176))&lt;=Config!$B$8,Office_Log!DJ176,Office_Log!DK176)=1),Office_Log!H176,"")</f>
        <v/>
      </c>
      <c r="C376" s="23" t="str">
        <f aca="false">IF(B376="","","office")</f>
        <v/>
      </c>
      <c r="D376" s="23" t="str">
        <f aca="false">IF(B376="","",Office_Log!ED176&amp;"")</f>
        <v/>
      </c>
      <c r="E376" s="23" t="str">
        <f aca="false">IF(B376="","",IF(Office_Log!B176="","",Office_Log!B176&amp;""))</f>
        <v/>
      </c>
      <c r="F376" s="23" t="str">
        <f aca="false">IF(B376="","","yes_in_principle")</f>
        <v/>
      </c>
      <c r="G376" s="23" t="str">
        <f aca="false">IF(B376="","","")</f>
        <v/>
      </c>
      <c r="H376" s="23" t="str">
        <f aca="false">IF(B376="","","")</f>
        <v/>
      </c>
      <c r="I376" s="23" t="str">
        <f aca="false">IF(B376="","","")</f>
        <v/>
      </c>
      <c r="J376" s="23" t="str">
        <f aca="false">IF(B376="","","owner: "&amp;Office_Log!AE176&amp;"; window: "&amp;Office_Log!AH176)</f>
        <v/>
      </c>
      <c r="K376" s="32" t="s">
        <v>1353</v>
      </c>
    </row>
    <row r="377" customFormat="false" ht="15" hidden="false" customHeight="false" outlineLevel="0" collapsed="false">
      <c r="A377" s="23" t="str">
        <f aca="false">IF(B377="","",B377+(2*1000+176)/10000000)</f>
        <v/>
      </c>
      <c r="B377" s="35" t="str">
        <f aca="false">IF(AND(Office_Log!BE177=1,Office_Log!EI177=0,IF(INT(N(Office_Log!H177))&lt;=Config!$B$8,Office_Log!DJ177,Office_Log!DK177)=1),Office_Log!H177,"")</f>
        <v/>
      </c>
      <c r="C377" s="23" t="str">
        <f aca="false">IF(B377="","","office")</f>
        <v/>
      </c>
      <c r="D377" s="23" t="str">
        <f aca="false">IF(B377="","",Office_Log!ED177&amp;"")</f>
        <v/>
      </c>
      <c r="E377" s="23" t="str">
        <f aca="false">IF(B377="","",IF(Office_Log!B177="","",Office_Log!B177&amp;""))</f>
        <v/>
      </c>
      <c r="F377" s="23" t="str">
        <f aca="false">IF(B377="","","yes_in_principle")</f>
        <v/>
      </c>
      <c r="G377" s="23" t="str">
        <f aca="false">IF(B377="","","")</f>
        <v/>
      </c>
      <c r="H377" s="23" t="str">
        <f aca="false">IF(B377="","","")</f>
        <v/>
      </c>
      <c r="I377" s="23" t="str">
        <f aca="false">IF(B377="","","")</f>
        <v/>
      </c>
      <c r="J377" s="23" t="str">
        <f aca="false">IF(B377="","","owner: "&amp;Office_Log!AE177&amp;"; window: "&amp;Office_Log!AH177)</f>
        <v/>
      </c>
      <c r="K377" s="32" t="s">
        <v>1353</v>
      </c>
    </row>
    <row r="378" customFormat="false" ht="15" hidden="false" customHeight="false" outlineLevel="0" collapsed="false">
      <c r="A378" s="23" t="str">
        <f aca="false">IF(B378="","",B378+(2*1000+177)/10000000)</f>
        <v/>
      </c>
      <c r="B378" s="35" t="str">
        <f aca="false">IF(AND(Office_Log!BE178=1,Office_Log!EI178=0,IF(INT(N(Office_Log!H178))&lt;=Config!$B$8,Office_Log!DJ178,Office_Log!DK178)=1),Office_Log!H178,"")</f>
        <v/>
      </c>
      <c r="C378" s="23" t="str">
        <f aca="false">IF(B378="","","office")</f>
        <v/>
      </c>
      <c r="D378" s="23" t="str">
        <f aca="false">IF(B378="","",Office_Log!ED178&amp;"")</f>
        <v/>
      </c>
      <c r="E378" s="23" t="str">
        <f aca="false">IF(B378="","",IF(Office_Log!B178="","",Office_Log!B178&amp;""))</f>
        <v/>
      </c>
      <c r="F378" s="23" t="str">
        <f aca="false">IF(B378="","","yes_in_principle")</f>
        <v/>
      </c>
      <c r="G378" s="23" t="str">
        <f aca="false">IF(B378="","","")</f>
        <v/>
      </c>
      <c r="H378" s="23" t="str">
        <f aca="false">IF(B378="","","")</f>
        <v/>
      </c>
      <c r="I378" s="23" t="str">
        <f aca="false">IF(B378="","","")</f>
        <v/>
      </c>
      <c r="J378" s="23" t="str">
        <f aca="false">IF(B378="","","owner: "&amp;Office_Log!AE178&amp;"; window: "&amp;Office_Log!AH178)</f>
        <v/>
      </c>
      <c r="K378" s="32" t="s">
        <v>1353</v>
      </c>
    </row>
    <row r="379" customFormat="false" ht="15" hidden="false" customHeight="false" outlineLevel="0" collapsed="false">
      <c r="A379" s="23" t="str">
        <f aca="false">IF(B379="","",B379+(2*1000+178)/10000000)</f>
        <v/>
      </c>
      <c r="B379" s="35" t="str">
        <f aca="false">IF(AND(Office_Log!BE179=1,Office_Log!EI179=0,IF(INT(N(Office_Log!H179))&lt;=Config!$B$8,Office_Log!DJ179,Office_Log!DK179)=1),Office_Log!H179,"")</f>
        <v/>
      </c>
      <c r="C379" s="23" t="str">
        <f aca="false">IF(B379="","","office")</f>
        <v/>
      </c>
      <c r="D379" s="23" t="str">
        <f aca="false">IF(B379="","",Office_Log!ED179&amp;"")</f>
        <v/>
      </c>
      <c r="E379" s="23" t="str">
        <f aca="false">IF(B379="","",IF(Office_Log!B179="","",Office_Log!B179&amp;""))</f>
        <v/>
      </c>
      <c r="F379" s="23" t="str">
        <f aca="false">IF(B379="","","yes_in_principle")</f>
        <v/>
      </c>
      <c r="G379" s="23" t="str">
        <f aca="false">IF(B379="","","")</f>
        <v/>
      </c>
      <c r="H379" s="23" t="str">
        <f aca="false">IF(B379="","","")</f>
        <v/>
      </c>
      <c r="I379" s="23" t="str">
        <f aca="false">IF(B379="","","")</f>
        <v/>
      </c>
      <c r="J379" s="23" t="str">
        <f aca="false">IF(B379="","","owner: "&amp;Office_Log!AE179&amp;"; window: "&amp;Office_Log!AH179)</f>
        <v/>
      </c>
      <c r="K379" s="32" t="s">
        <v>1353</v>
      </c>
    </row>
    <row r="380" customFormat="false" ht="15" hidden="false" customHeight="false" outlineLevel="0" collapsed="false">
      <c r="A380" s="23" t="str">
        <f aca="false">IF(B380="","",B380+(2*1000+179)/10000000)</f>
        <v/>
      </c>
      <c r="B380" s="35" t="str">
        <f aca="false">IF(AND(Office_Log!BE180=1,Office_Log!EI180=0,IF(INT(N(Office_Log!H180))&lt;=Config!$B$8,Office_Log!DJ180,Office_Log!DK180)=1),Office_Log!H180,"")</f>
        <v/>
      </c>
      <c r="C380" s="23" t="str">
        <f aca="false">IF(B380="","","office")</f>
        <v/>
      </c>
      <c r="D380" s="23" t="str">
        <f aca="false">IF(B380="","",Office_Log!ED180&amp;"")</f>
        <v/>
      </c>
      <c r="E380" s="23" t="str">
        <f aca="false">IF(B380="","",IF(Office_Log!B180="","",Office_Log!B180&amp;""))</f>
        <v/>
      </c>
      <c r="F380" s="23" t="str">
        <f aca="false">IF(B380="","","yes_in_principle")</f>
        <v/>
      </c>
      <c r="G380" s="23" t="str">
        <f aca="false">IF(B380="","","")</f>
        <v/>
      </c>
      <c r="H380" s="23" t="str">
        <f aca="false">IF(B380="","","")</f>
        <v/>
      </c>
      <c r="I380" s="23" t="str">
        <f aca="false">IF(B380="","","")</f>
        <v/>
      </c>
      <c r="J380" s="23" t="str">
        <f aca="false">IF(B380="","","owner: "&amp;Office_Log!AE180&amp;"; window: "&amp;Office_Log!AH180)</f>
        <v/>
      </c>
      <c r="K380" s="32" t="s">
        <v>1353</v>
      </c>
    </row>
    <row r="381" customFormat="false" ht="15" hidden="false" customHeight="false" outlineLevel="0" collapsed="false">
      <c r="A381" s="23" t="str">
        <f aca="false">IF(B381="","",B381+(2*1000+180)/10000000)</f>
        <v/>
      </c>
      <c r="B381" s="35" t="str">
        <f aca="false">IF(AND(Office_Log!BE181=1,Office_Log!EI181=0,IF(INT(N(Office_Log!H181))&lt;=Config!$B$8,Office_Log!DJ181,Office_Log!DK181)=1),Office_Log!H181,"")</f>
        <v/>
      </c>
      <c r="C381" s="23" t="str">
        <f aca="false">IF(B381="","","office")</f>
        <v/>
      </c>
      <c r="D381" s="23" t="str">
        <f aca="false">IF(B381="","",Office_Log!ED181&amp;"")</f>
        <v/>
      </c>
      <c r="E381" s="23" t="str">
        <f aca="false">IF(B381="","",IF(Office_Log!B181="","",Office_Log!B181&amp;""))</f>
        <v/>
      </c>
      <c r="F381" s="23" t="str">
        <f aca="false">IF(B381="","","yes_in_principle")</f>
        <v/>
      </c>
      <c r="G381" s="23" t="str">
        <f aca="false">IF(B381="","","")</f>
        <v/>
      </c>
      <c r="H381" s="23" t="str">
        <f aca="false">IF(B381="","","")</f>
        <v/>
      </c>
      <c r="I381" s="23" t="str">
        <f aca="false">IF(B381="","","")</f>
        <v/>
      </c>
      <c r="J381" s="23" t="str">
        <f aca="false">IF(B381="","","owner: "&amp;Office_Log!AE181&amp;"; window: "&amp;Office_Log!AH181)</f>
        <v/>
      </c>
      <c r="K381" s="32" t="s">
        <v>1353</v>
      </c>
    </row>
    <row r="382" customFormat="false" ht="15" hidden="false" customHeight="false" outlineLevel="0" collapsed="false">
      <c r="A382" s="23" t="str">
        <f aca="false">IF(B382="","",B382+(2*1000+181)/10000000)</f>
        <v/>
      </c>
      <c r="B382" s="35" t="str">
        <f aca="false">IF(AND(Office_Log!BE182=1,Office_Log!EI182=0,IF(INT(N(Office_Log!H182))&lt;=Config!$B$8,Office_Log!DJ182,Office_Log!DK182)=1),Office_Log!H182,"")</f>
        <v/>
      </c>
      <c r="C382" s="23" t="str">
        <f aca="false">IF(B382="","","office")</f>
        <v/>
      </c>
      <c r="D382" s="23" t="str">
        <f aca="false">IF(B382="","",Office_Log!ED182&amp;"")</f>
        <v/>
      </c>
      <c r="E382" s="23" t="str">
        <f aca="false">IF(B382="","",IF(Office_Log!B182="","",Office_Log!B182&amp;""))</f>
        <v/>
      </c>
      <c r="F382" s="23" t="str">
        <f aca="false">IF(B382="","","yes_in_principle")</f>
        <v/>
      </c>
      <c r="G382" s="23" t="str">
        <f aca="false">IF(B382="","","")</f>
        <v/>
      </c>
      <c r="H382" s="23" t="str">
        <f aca="false">IF(B382="","","")</f>
        <v/>
      </c>
      <c r="I382" s="23" t="str">
        <f aca="false">IF(B382="","","")</f>
        <v/>
      </c>
      <c r="J382" s="23" t="str">
        <f aca="false">IF(B382="","","owner: "&amp;Office_Log!AE182&amp;"; window: "&amp;Office_Log!AH182)</f>
        <v/>
      </c>
      <c r="K382" s="32" t="s">
        <v>1353</v>
      </c>
    </row>
    <row r="383" customFormat="false" ht="15" hidden="false" customHeight="false" outlineLevel="0" collapsed="false">
      <c r="A383" s="23" t="str">
        <f aca="false">IF(B383="","",B383+(2*1000+182)/10000000)</f>
        <v/>
      </c>
      <c r="B383" s="35" t="str">
        <f aca="false">IF(AND(Office_Log!BE183=1,Office_Log!EI183=0,IF(INT(N(Office_Log!H183))&lt;=Config!$B$8,Office_Log!DJ183,Office_Log!DK183)=1),Office_Log!H183,"")</f>
        <v/>
      </c>
      <c r="C383" s="23" t="str">
        <f aca="false">IF(B383="","","office")</f>
        <v/>
      </c>
      <c r="D383" s="23" t="str">
        <f aca="false">IF(B383="","",Office_Log!ED183&amp;"")</f>
        <v/>
      </c>
      <c r="E383" s="23" t="str">
        <f aca="false">IF(B383="","",IF(Office_Log!B183="","",Office_Log!B183&amp;""))</f>
        <v/>
      </c>
      <c r="F383" s="23" t="str">
        <f aca="false">IF(B383="","","yes_in_principle")</f>
        <v/>
      </c>
      <c r="G383" s="23" t="str">
        <f aca="false">IF(B383="","","")</f>
        <v/>
      </c>
      <c r="H383" s="23" t="str">
        <f aca="false">IF(B383="","","")</f>
        <v/>
      </c>
      <c r="I383" s="23" t="str">
        <f aca="false">IF(B383="","","")</f>
        <v/>
      </c>
      <c r="J383" s="23" t="str">
        <f aca="false">IF(B383="","","owner: "&amp;Office_Log!AE183&amp;"; window: "&amp;Office_Log!AH183)</f>
        <v/>
      </c>
      <c r="K383" s="32" t="s">
        <v>1353</v>
      </c>
    </row>
    <row r="384" customFormat="false" ht="15" hidden="false" customHeight="false" outlineLevel="0" collapsed="false">
      <c r="A384" s="23" t="str">
        <f aca="false">IF(B384="","",B384+(2*1000+183)/10000000)</f>
        <v/>
      </c>
      <c r="B384" s="35" t="str">
        <f aca="false">IF(AND(Office_Log!BE184=1,Office_Log!EI184=0,IF(INT(N(Office_Log!H184))&lt;=Config!$B$8,Office_Log!DJ184,Office_Log!DK184)=1),Office_Log!H184,"")</f>
        <v/>
      </c>
      <c r="C384" s="23" t="str">
        <f aca="false">IF(B384="","","office")</f>
        <v/>
      </c>
      <c r="D384" s="23" t="str">
        <f aca="false">IF(B384="","",Office_Log!ED184&amp;"")</f>
        <v/>
      </c>
      <c r="E384" s="23" t="str">
        <f aca="false">IF(B384="","",IF(Office_Log!B184="","",Office_Log!B184&amp;""))</f>
        <v/>
      </c>
      <c r="F384" s="23" t="str">
        <f aca="false">IF(B384="","","yes_in_principle")</f>
        <v/>
      </c>
      <c r="G384" s="23" t="str">
        <f aca="false">IF(B384="","","")</f>
        <v/>
      </c>
      <c r="H384" s="23" t="str">
        <f aca="false">IF(B384="","","")</f>
        <v/>
      </c>
      <c r="I384" s="23" t="str">
        <f aca="false">IF(B384="","","")</f>
        <v/>
      </c>
      <c r="J384" s="23" t="str">
        <f aca="false">IF(B384="","","owner: "&amp;Office_Log!AE184&amp;"; window: "&amp;Office_Log!AH184)</f>
        <v/>
      </c>
      <c r="K384" s="32" t="s">
        <v>1353</v>
      </c>
    </row>
    <row r="385" customFormat="false" ht="15" hidden="false" customHeight="false" outlineLevel="0" collapsed="false">
      <c r="A385" s="23" t="str">
        <f aca="false">IF(B385="","",B385+(2*1000+184)/10000000)</f>
        <v/>
      </c>
      <c r="B385" s="35" t="str">
        <f aca="false">IF(AND(Office_Log!BE185=1,Office_Log!EI185=0,IF(INT(N(Office_Log!H185))&lt;=Config!$B$8,Office_Log!DJ185,Office_Log!DK185)=1),Office_Log!H185,"")</f>
        <v/>
      </c>
      <c r="C385" s="23" t="str">
        <f aca="false">IF(B385="","","office")</f>
        <v/>
      </c>
      <c r="D385" s="23" t="str">
        <f aca="false">IF(B385="","",Office_Log!ED185&amp;"")</f>
        <v/>
      </c>
      <c r="E385" s="23" t="str">
        <f aca="false">IF(B385="","",IF(Office_Log!B185="","",Office_Log!B185&amp;""))</f>
        <v/>
      </c>
      <c r="F385" s="23" t="str">
        <f aca="false">IF(B385="","","yes_in_principle")</f>
        <v/>
      </c>
      <c r="G385" s="23" t="str">
        <f aca="false">IF(B385="","","")</f>
        <v/>
      </c>
      <c r="H385" s="23" t="str">
        <f aca="false">IF(B385="","","")</f>
        <v/>
      </c>
      <c r="I385" s="23" t="str">
        <f aca="false">IF(B385="","","")</f>
        <v/>
      </c>
      <c r="J385" s="23" t="str">
        <f aca="false">IF(B385="","","owner: "&amp;Office_Log!AE185&amp;"; window: "&amp;Office_Log!AH185)</f>
        <v/>
      </c>
      <c r="K385" s="32" t="s">
        <v>1353</v>
      </c>
    </row>
    <row r="386" customFormat="false" ht="15" hidden="false" customHeight="false" outlineLevel="0" collapsed="false">
      <c r="A386" s="23" t="str">
        <f aca="false">IF(B386="","",B386+(2*1000+185)/10000000)</f>
        <v/>
      </c>
      <c r="B386" s="35" t="str">
        <f aca="false">IF(AND(Office_Log!BE186=1,Office_Log!EI186=0,IF(INT(N(Office_Log!H186))&lt;=Config!$B$8,Office_Log!DJ186,Office_Log!DK186)=1),Office_Log!H186,"")</f>
        <v/>
      </c>
      <c r="C386" s="23" t="str">
        <f aca="false">IF(B386="","","office")</f>
        <v/>
      </c>
      <c r="D386" s="23" t="str">
        <f aca="false">IF(B386="","",Office_Log!ED186&amp;"")</f>
        <v/>
      </c>
      <c r="E386" s="23" t="str">
        <f aca="false">IF(B386="","",IF(Office_Log!B186="","",Office_Log!B186&amp;""))</f>
        <v/>
      </c>
      <c r="F386" s="23" t="str">
        <f aca="false">IF(B386="","","yes_in_principle")</f>
        <v/>
      </c>
      <c r="G386" s="23" t="str">
        <f aca="false">IF(B386="","","")</f>
        <v/>
      </c>
      <c r="H386" s="23" t="str">
        <f aca="false">IF(B386="","","")</f>
        <v/>
      </c>
      <c r="I386" s="23" t="str">
        <f aca="false">IF(B386="","","")</f>
        <v/>
      </c>
      <c r="J386" s="23" t="str">
        <f aca="false">IF(B386="","","owner: "&amp;Office_Log!AE186&amp;"; window: "&amp;Office_Log!AH186)</f>
        <v/>
      </c>
      <c r="K386" s="32" t="s">
        <v>1353</v>
      </c>
    </row>
    <row r="387" customFormat="false" ht="15" hidden="false" customHeight="false" outlineLevel="0" collapsed="false">
      <c r="A387" s="23" t="str">
        <f aca="false">IF(B387="","",B387+(2*1000+186)/10000000)</f>
        <v/>
      </c>
      <c r="B387" s="35" t="str">
        <f aca="false">IF(AND(Office_Log!BE187=1,Office_Log!EI187=0,IF(INT(N(Office_Log!H187))&lt;=Config!$B$8,Office_Log!DJ187,Office_Log!DK187)=1),Office_Log!H187,"")</f>
        <v/>
      </c>
      <c r="C387" s="23" t="str">
        <f aca="false">IF(B387="","","office")</f>
        <v/>
      </c>
      <c r="D387" s="23" t="str">
        <f aca="false">IF(B387="","",Office_Log!ED187&amp;"")</f>
        <v/>
      </c>
      <c r="E387" s="23" t="str">
        <f aca="false">IF(B387="","",IF(Office_Log!B187="","",Office_Log!B187&amp;""))</f>
        <v/>
      </c>
      <c r="F387" s="23" t="str">
        <f aca="false">IF(B387="","","yes_in_principle")</f>
        <v/>
      </c>
      <c r="G387" s="23" t="str">
        <f aca="false">IF(B387="","","")</f>
        <v/>
      </c>
      <c r="H387" s="23" t="str">
        <f aca="false">IF(B387="","","")</f>
        <v/>
      </c>
      <c r="I387" s="23" t="str">
        <f aca="false">IF(B387="","","")</f>
        <v/>
      </c>
      <c r="J387" s="23" t="str">
        <f aca="false">IF(B387="","","owner: "&amp;Office_Log!AE187&amp;"; window: "&amp;Office_Log!AH187)</f>
        <v/>
      </c>
      <c r="K387" s="32" t="s">
        <v>1353</v>
      </c>
    </row>
    <row r="388" customFormat="false" ht="15" hidden="false" customHeight="false" outlineLevel="0" collapsed="false">
      <c r="A388" s="23" t="str">
        <f aca="false">IF(B388="","",B388+(2*1000+187)/10000000)</f>
        <v/>
      </c>
      <c r="B388" s="35" t="str">
        <f aca="false">IF(AND(Office_Log!BE188=1,Office_Log!EI188=0,IF(INT(N(Office_Log!H188))&lt;=Config!$B$8,Office_Log!DJ188,Office_Log!DK188)=1),Office_Log!H188,"")</f>
        <v/>
      </c>
      <c r="C388" s="23" t="str">
        <f aca="false">IF(B388="","","office")</f>
        <v/>
      </c>
      <c r="D388" s="23" t="str">
        <f aca="false">IF(B388="","",Office_Log!ED188&amp;"")</f>
        <v/>
      </c>
      <c r="E388" s="23" t="str">
        <f aca="false">IF(B388="","",IF(Office_Log!B188="","",Office_Log!B188&amp;""))</f>
        <v/>
      </c>
      <c r="F388" s="23" t="str">
        <f aca="false">IF(B388="","","yes_in_principle")</f>
        <v/>
      </c>
      <c r="G388" s="23" t="str">
        <f aca="false">IF(B388="","","")</f>
        <v/>
      </c>
      <c r="H388" s="23" t="str">
        <f aca="false">IF(B388="","","")</f>
        <v/>
      </c>
      <c r="I388" s="23" t="str">
        <f aca="false">IF(B388="","","")</f>
        <v/>
      </c>
      <c r="J388" s="23" t="str">
        <f aca="false">IF(B388="","","owner: "&amp;Office_Log!AE188&amp;"; window: "&amp;Office_Log!AH188)</f>
        <v/>
      </c>
      <c r="K388" s="32" t="s">
        <v>1353</v>
      </c>
    </row>
    <row r="389" customFormat="false" ht="15" hidden="false" customHeight="false" outlineLevel="0" collapsed="false">
      <c r="A389" s="23" t="str">
        <f aca="false">IF(B389="","",B389+(2*1000+188)/10000000)</f>
        <v/>
      </c>
      <c r="B389" s="35" t="str">
        <f aca="false">IF(AND(Office_Log!BE189=1,Office_Log!EI189=0,IF(INT(N(Office_Log!H189))&lt;=Config!$B$8,Office_Log!DJ189,Office_Log!DK189)=1),Office_Log!H189,"")</f>
        <v/>
      </c>
      <c r="C389" s="23" t="str">
        <f aca="false">IF(B389="","","office")</f>
        <v/>
      </c>
      <c r="D389" s="23" t="str">
        <f aca="false">IF(B389="","",Office_Log!ED189&amp;"")</f>
        <v/>
      </c>
      <c r="E389" s="23" t="str">
        <f aca="false">IF(B389="","",IF(Office_Log!B189="","",Office_Log!B189&amp;""))</f>
        <v/>
      </c>
      <c r="F389" s="23" t="str">
        <f aca="false">IF(B389="","","yes_in_principle")</f>
        <v/>
      </c>
      <c r="G389" s="23" t="str">
        <f aca="false">IF(B389="","","")</f>
        <v/>
      </c>
      <c r="H389" s="23" t="str">
        <f aca="false">IF(B389="","","")</f>
        <v/>
      </c>
      <c r="I389" s="23" t="str">
        <f aca="false">IF(B389="","","")</f>
        <v/>
      </c>
      <c r="J389" s="23" t="str">
        <f aca="false">IF(B389="","","owner: "&amp;Office_Log!AE189&amp;"; window: "&amp;Office_Log!AH189)</f>
        <v/>
      </c>
      <c r="K389" s="32" t="s">
        <v>1353</v>
      </c>
    </row>
    <row r="390" customFormat="false" ht="15" hidden="false" customHeight="false" outlineLevel="0" collapsed="false">
      <c r="A390" s="23" t="str">
        <f aca="false">IF(B390="","",B390+(2*1000+189)/10000000)</f>
        <v/>
      </c>
      <c r="B390" s="35" t="str">
        <f aca="false">IF(AND(Office_Log!BE190=1,Office_Log!EI190=0,IF(INT(N(Office_Log!H190))&lt;=Config!$B$8,Office_Log!DJ190,Office_Log!DK190)=1),Office_Log!H190,"")</f>
        <v/>
      </c>
      <c r="C390" s="23" t="str">
        <f aca="false">IF(B390="","","office")</f>
        <v/>
      </c>
      <c r="D390" s="23" t="str">
        <f aca="false">IF(B390="","",Office_Log!ED190&amp;"")</f>
        <v/>
      </c>
      <c r="E390" s="23" t="str">
        <f aca="false">IF(B390="","",IF(Office_Log!B190="","",Office_Log!B190&amp;""))</f>
        <v/>
      </c>
      <c r="F390" s="23" t="str">
        <f aca="false">IF(B390="","","yes_in_principle")</f>
        <v/>
      </c>
      <c r="G390" s="23" t="str">
        <f aca="false">IF(B390="","","")</f>
        <v/>
      </c>
      <c r="H390" s="23" t="str">
        <f aca="false">IF(B390="","","")</f>
        <v/>
      </c>
      <c r="I390" s="23" t="str">
        <f aca="false">IF(B390="","","")</f>
        <v/>
      </c>
      <c r="J390" s="23" t="str">
        <f aca="false">IF(B390="","","owner: "&amp;Office_Log!AE190&amp;"; window: "&amp;Office_Log!AH190)</f>
        <v/>
      </c>
      <c r="K390" s="32" t="s">
        <v>1353</v>
      </c>
    </row>
    <row r="391" customFormat="false" ht="15" hidden="false" customHeight="false" outlineLevel="0" collapsed="false">
      <c r="A391" s="23" t="str">
        <f aca="false">IF(B391="","",B391+(2*1000+190)/10000000)</f>
        <v/>
      </c>
      <c r="B391" s="35" t="str">
        <f aca="false">IF(AND(Office_Log!BE191=1,Office_Log!EI191=0,IF(INT(N(Office_Log!H191))&lt;=Config!$B$8,Office_Log!DJ191,Office_Log!DK191)=1),Office_Log!H191,"")</f>
        <v/>
      </c>
      <c r="C391" s="23" t="str">
        <f aca="false">IF(B391="","","office")</f>
        <v/>
      </c>
      <c r="D391" s="23" t="str">
        <f aca="false">IF(B391="","",Office_Log!ED191&amp;"")</f>
        <v/>
      </c>
      <c r="E391" s="23" t="str">
        <f aca="false">IF(B391="","",IF(Office_Log!B191="","",Office_Log!B191&amp;""))</f>
        <v/>
      </c>
      <c r="F391" s="23" t="str">
        <f aca="false">IF(B391="","","yes_in_principle")</f>
        <v/>
      </c>
      <c r="G391" s="23" t="str">
        <f aca="false">IF(B391="","","")</f>
        <v/>
      </c>
      <c r="H391" s="23" t="str">
        <f aca="false">IF(B391="","","")</f>
        <v/>
      </c>
      <c r="I391" s="23" t="str">
        <f aca="false">IF(B391="","","")</f>
        <v/>
      </c>
      <c r="J391" s="23" t="str">
        <f aca="false">IF(B391="","","owner: "&amp;Office_Log!AE191&amp;"; window: "&amp;Office_Log!AH191)</f>
        <v/>
      </c>
      <c r="K391" s="32" t="s">
        <v>1353</v>
      </c>
    </row>
    <row r="392" customFormat="false" ht="15" hidden="false" customHeight="false" outlineLevel="0" collapsed="false">
      <c r="A392" s="23" t="str">
        <f aca="false">IF(B392="","",B392+(2*1000+191)/10000000)</f>
        <v/>
      </c>
      <c r="B392" s="35" t="str">
        <f aca="false">IF(AND(Office_Log!BE192=1,Office_Log!EI192=0,IF(INT(N(Office_Log!H192))&lt;=Config!$B$8,Office_Log!DJ192,Office_Log!DK192)=1),Office_Log!H192,"")</f>
        <v/>
      </c>
      <c r="C392" s="23" t="str">
        <f aca="false">IF(B392="","","office")</f>
        <v/>
      </c>
      <c r="D392" s="23" t="str">
        <f aca="false">IF(B392="","",Office_Log!ED192&amp;"")</f>
        <v/>
      </c>
      <c r="E392" s="23" t="str">
        <f aca="false">IF(B392="","",IF(Office_Log!B192="","",Office_Log!B192&amp;""))</f>
        <v/>
      </c>
      <c r="F392" s="23" t="str">
        <f aca="false">IF(B392="","","yes_in_principle")</f>
        <v/>
      </c>
      <c r="G392" s="23" t="str">
        <f aca="false">IF(B392="","","")</f>
        <v/>
      </c>
      <c r="H392" s="23" t="str">
        <f aca="false">IF(B392="","","")</f>
        <v/>
      </c>
      <c r="I392" s="23" t="str">
        <f aca="false">IF(B392="","","")</f>
        <v/>
      </c>
      <c r="J392" s="23" t="str">
        <f aca="false">IF(B392="","","owner: "&amp;Office_Log!AE192&amp;"; window: "&amp;Office_Log!AH192)</f>
        <v/>
      </c>
      <c r="K392" s="32" t="s">
        <v>1353</v>
      </c>
    </row>
    <row r="393" customFormat="false" ht="15" hidden="false" customHeight="false" outlineLevel="0" collapsed="false">
      <c r="A393" s="23" t="str">
        <f aca="false">IF(B393="","",B393+(2*1000+192)/10000000)</f>
        <v/>
      </c>
      <c r="B393" s="35" t="str">
        <f aca="false">IF(AND(Office_Log!BE193=1,Office_Log!EI193=0,IF(INT(N(Office_Log!H193))&lt;=Config!$B$8,Office_Log!DJ193,Office_Log!DK193)=1),Office_Log!H193,"")</f>
        <v/>
      </c>
      <c r="C393" s="23" t="str">
        <f aca="false">IF(B393="","","office")</f>
        <v/>
      </c>
      <c r="D393" s="23" t="str">
        <f aca="false">IF(B393="","",Office_Log!ED193&amp;"")</f>
        <v/>
      </c>
      <c r="E393" s="23" t="str">
        <f aca="false">IF(B393="","",IF(Office_Log!B193="","",Office_Log!B193&amp;""))</f>
        <v/>
      </c>
      <c r="F393" s="23" t="str">
        <f aca="false">IF(B393="","","yes_in_principle")</f>
        <v/>
      </c>
      <c r="G393" s="23" t="str">
        <f aca="false">IF(B393="","","")</f>
        <v/>
      </c>
      <c r="H393" s="23" t="str">
        <f aca="false">IF(B393="","","")</f>
        <v/>
      </c>
      <c r="I393" s="23" t="str">
        <f aca="false">IF(B393="","","")</f>
        <v/>
      </c>
      <c r="J393" s="23" t="str">
        <f aca="false">IF(B393="","","owner: "&amp;Office_Log!AE193&amp;"; window: "&amp;Office_Log!AH193)</f>
        <v/>
      </c>
      <c r="K393" s="32" t="s">
        <v>1353</v>
      </c>
    </row>
    <row r="394" customFormat="false" ht="15" hidden="false" customHeight="false" outlineLevel="0" collapsed="false">
      <c r="A394" s="23" t="str">
        <f aca="false">IF(B394="","",B394+(2*1000+193)/10000000)</f>
        <v/>
      </c>
      <c r="B394" s="35" t="str">
        <f aca="false">IF(AND(Office_Log!BE194=1,Office_Log!EI194=0,IF(INT(N(Office_Log!H194))&lt;=Config!$B$8,Office_Log!DJ194,Office_Log!DK194)=1),Office_Log!H194,"")</f>
        <v/>
      </c>
      <c r="C394" s="23" t="str">
        <f aca="false">IF(B394="","","office")</f>
        <v/>
      </c>
      <c r="D394" s="23" t="str">
        <f aca="false">IF(B394="","",Office_Log!ED194&amp;"")</f>
        <v/>
      </c>
      <c r="E394" s="23" t="str">
        <f aca="false">IF(B394="","",IF(Office_Log!B194="","",Office_Log!B194&amp;""))</f>
        <v/>
      </c>
      <c r="F394" s="23" t="str">
        <f aca="false">IF(B394="","","yes_in_principle")</f>
        <v/>
      </c>
      <c r="G394" s="23" t="str">
        <f aca="false">IF(B394="","","")</f>
        <v/>
      </c>
      <c r="H394" s="23" t="str">
        <f aca="false">IF(B394="","","")</f>
        <v/>
      </c>
      <c r="I394" s="23" t="str">
        <f aca="false">IF(B394="","","")</f>
        <v/>
      </c>
      <c r="J394" s="23" t="str">
        <f aca="false">IF(B394="","","owner: "&amp;Office_Log!AE194&amp;"; window: "&amp;Office_Log!AH194)</f>
        <v/>
      </c>
      <c r="K394" s="32" t="s">
        <v>1353</v>
      </c>
    </row>
    <row r="395" customFormat="false" ht="15" hidden="false" customHeight="false" outlineLevel="0" collapsed="false">
      <c r="A395" s="23" t="str">
        <f aca="false">IF(B395="","",B395+(2*1000+194)/10000000)</f>
        <v/>
      </c>
      <c r="B395" s="35" t="str">
        <f aca="false">IF(AND(Office_Log!BE195=1,Office_Log!EI195=0,IF(INT(N(Office_Log!H195))&lt;=Config!$B$8,Office_Log!DJ195,Office_Log!DK195)=1),Office_Log!H195,"")</f>
        <v/>
      </c>
      <c r="C395" s="23" t="str">
        <f aca="false">IF(B395="","","office")</f>
        <v/>
      </c>
      <c r="D395" s="23" t="str">
        <f aca="false">IF(B395="","",Office_Log!ED195&amp;"")</f>
        <v/>
      </c>
      <c r="E395" s="23" t="str">
        <f aca="false">IF(B395="","",IF(Office_Log!B195="","",Office_Log!B195&amp;""))</f>
        <v/>
      </c>
      <c r="F395" s="23" t="str">
        <f aca="false">IF(B395="","","yes_in_principle")</f>
        <v/>
      </c>
      <c r="G395" s="23" t="str">
        <f aca="false">IF(B395="","","")</f>
        <v/>
      </c>
      <c r="H395" s="23" t="str">
        <f aca="false">IF(B395="","","")</f>
        <v/>
      </c>
      <c r="I395" s="23" t="str">
        <f aca="false">IF(B395="","","")</f>
        <v/>
      </c>
      <c r="J395" s="23" t="str">
        <f aca="false">IF(B395="","","owner: "&amp;Office_Log!AE195&amp;"; window: "&amp;Office_Log!AH195)</f>
        <v/>
      </c>
      <c r="K395" s="32" t="s">
        <v>1353</v>
      </c>
    </row>
    <row r="396" customFormat="false" ht="15" hidden="false" customHeight="false" outlineLevel="0" collapsed="false">
      <c r="A396" s="23" t="str">
        <f aca="false">IF(B396="","",B396+(2*1000+195)/10000000)</f>
        <v/>
      </c>
      <c r="B396" s="35" t="str">
        <f aca="false">IF(AND(Office_Log!BE196=1,Office_Log!EI196=0,IF(INT(N(Office_Log!H196))&lt;=Config!$B$8,Office_Log!DJ196,Office_Log!DK196)=1),Office_Log!H196,"")</f>
        <v/>
      </c>
      <c r="C396" s="23" t="str">
        <f aca="false">IF(B396="","","office")</f>
        <v/>
      </c>
      <c r="D396" s="23" t="str">
        <f aca="false">IF(B396="","",Office_Log!ED196&amp;"")</f>
        <v/>
      </c>
      <c r="E396" s="23" t="str">
        <f aca="false">IF(B396="","",IF(Office_Log!B196="","",Office_Log!B196&amp;""))</f>
        <v/>
      </c>
      <c r="F396" s="23" t="str">
        <f aca="false">IF(B396="","","yes_in_principle")</f>
        <v/>
      </c>
      <c r="G396" s="23" t="str">
        <f aca="false">IF(B396="","","")</f>
        <v/>
      </c>
      <c r="H396" s="23" t="str">
        <f aca="false">IF(B396="","","")</f>
        <v/>
      </c>
      <c r="I396" s="23" t="str">
        <f aca="false">IF(B396="","","")</f>
        <v/>
      </c>
      <c r="J396" s="23" t="str">
        <f aca="false">IF(B396="","","owner: "&amp;Office_Log!AE196&amp;"; window: "&amp;Office_Log!AH196)</f>
        <v/>
      </c>
      <c r="K396" s="32" t="s">
        <v>1353</v>
      </c>
    </row>
    <row r="397" customFormat="false" ht="15" hidden="false" customHeight="false" outlineLevel="0" collapsed="false">
      <c r="A397" s="23" t="str">
        <f aca="false">IF(B397="","",B397+(2*1000+196)/10000000)</f>
        <v/>
      </c>
      <c r="B397" s="35" t="str">
        <f aca="false">IF(AND(Office_Log!BE197=1,Office_Log!EI197=0,IF(INT(N(Office_Log!H197))&lt;=Config!$B$8,Office_Log!DJ197,Office_Log!DK197)=1),Office_Log!H197,"")</f>
        <v/>
      </c>
      <c r="C397" s="23" t="str">
        <f aca="false">IF(B397="","","office")</f>
        <v/>
      </c>
      <c r="D397" s="23" t="str">
        <f aca="false">IF(B397="","",Office_Log!ED197&amp;"")</f>
        <v/>
      </c>
      <c r="E397" s="23" t="str">
        <f aca="false">IF(B397="","",IF(Office_Log!B197="","",Office_Log!B197&amp;""))</f>
        <v/>
      </c>
      <c r="F397" s="23" t="str">
        <f aca="false">IF(B397="","","yes_in_principle")</f>
        <v/>
      </c>
      <c r="G397" s="23" t="str">
        <f aca="false">IF(B397="","","")</f>
        <v/>
      </c>
      <c r="H397" s="23" t="str">
        <f aca="false">IF(B397="","","")</f>
        <v/>
      </c>
      <c r="I397" s="23" t="str">
        <f aca="false">IF(B397="","","")</f>
        <v/>
      </c>
      <c r="J397" s="23" t="str">
        <f aca="false">IF(B397="","","owner: "&amp;Office_Log!AE197&amp;"; window: "&amp;Office_Log!AH197)</f>
        <v/>
      </c>
      <c r="K397" s="32" t="s">
        <v>1353</v>
      </c>
    </row>
    <row r="398" customFormat="false" ht="15" hidden="false" customHeight="false" outlineLevel="0" collapsed="false">
      <c r="A398" s="23" t="str">
        <f aca="false">IF(B398="","",B398+(2*1000+197)/10000000)</f>
        <v/>
      </c>
      <c r="B398" s="35" t="str">
        <f aca="false">IF(AND(Office_Log!BE198=1,Office_Log!EI198=0,IF(INT(N(Office_Log!H198))&lt;=Config!$B$8,Office_Log!DJ198,Office_Log!DK198)=1),Office_Log!H198,"")</f>
        <v/>
      </c>
      <c r="C398" s="23" t="str">
        <f aca="false">IF(B398="","","office")</f>
        <v/>
      </c>
      <c r="D398" s="23" t="str">
        <f aca="false">IF(B398="","",Office_Log!ED198&amp;"")</f>
        <v/>
      </c>
      <c r="E398" s="23" t="str">
        <f aca="false">IF(B398="","",IF(Office_Log!B198="","",Office_Log!B198&amp;""))</f>
        <v/>
      </c>
      <c r="F398" s="23" t="str">
        <f aca="false">IF(B398="","","yes_in_principle")</f>
        <v/>
      </c>
      <c r="G398" s="23" t="str">
        <f aca="false">IF(B398="","","")</f>
        <v/>
      </c>
      <c r="H398" s="23" t="str">
        <f aca="false">IF(B398="","","")</f>
        <v/>
      </c>
      <c r="I398" s="23" t="str">
        <f aca="false">IF(B398="","","")</f>
        <v/>
      </c>
      <c r="J398" s="23" t="str">
        <f aca="false">IF(B398="","","owner: "&amp;Office_Log!AE198&amp;"; window: "&amp;Office_Log!AH198)</f>
        <v/>
      </c>
      <c r="K398" s="32" t="s">
        <v>1353</v>
      </c>
    </row>
    <row r="399" customFormat="false" ht="15" hidden="false" customHeight="false" outlineLevel="0" collapsed="false">
      <c r="A399" s="23" t="str">
        <f aca="false">IF(B399="","",B399+(2*1000+198)/10000000)</f>
        <v/>
      </c>
      <c r="B399" s="35" t="str">
        <f aca="false">IF(AND(Office_Log!BE199=1,Office_Log!EI199=0,IF(INT(N(Office_Log!H199))&lt;=Config!$B$8,Office_Log!DJ199,Office_Log!DK199)=1),Office_Log!H199,"")</f>
        <v/>
      </c>
      <c r="C399" s="23" t="str">
        <f aca="false">IF(B399="","","office")</f>
        <v/>
      </c>
      <c r="D399" s="23" t="str">
        <f aca="false">IF(B399="","",Office_Log!ED199&amp;"")</f>
        <v/>
      </c>
      <c r="E399" s="23" t="str">
        <f aca="false">IF(B399="","",IF(Office_Log!B199="","",Office_Log!B199&amp;""))</f>
        <v/>
      </c>
      <c r="F399" s="23" t="str">
        <f aca="false">IF(B399="","","yes_in_principle")</f>
        <v/>
      </c>
      <c r="G399" s="23" t="str">
        <f aca="false">IF(B399="","","")</f>
        <v/>
      </c>
      <c r="H399" s="23" t="str">
        <f aca="false">IF(B399="","","")</f>
        <v/>
      </c>
      <c r="I399" s="23" t="str">
        <f aca="false">IF(B399="","","")</f>
        <v/>
      </c>
      <c r="J399" s="23" t="str">
        <f aca="false">IF(B399="","","owner: "&amp;Office_Log!AE199&amp;"; window: "&amp;Office_Log!AH199)</f>
        <v/>
      </c>
      <c r="K399" s="32" t="s">
        <v>1353</v>
      </c>
    </row>
    <row r="400" customFormat="false" ht="15" hidden="false" customHeight="false" outlineLevel="0" collapsed="false">
      <c r="A400" s="23" t="str">
        <f aca="false">IF(B400="","",B400+(2*1000+199)/10000000)</f>
        <v/>
      </c>
      <c r="B400" s="35" t="str">
        <f aca="false">IF(AND(Office_Log!BE200=1,Office_Log!EI200=0,IF(INT(N(Office_Log!H200))&lt;=Config!$B$8,Office_Log!DJ200,Office_Log!DK200)=1),Office_Log!H200,"")</f>
        <v/>
      </c>
      <c r="C400" s="23" t="str">
        <f aca="false">IF(B400="","","office")</f>
        <v/>
      </c>
      <c r="D400" s="23" t="str">
        <f aca="false">IF(B400="","",Office_Log!ED200&amp;"")</f>
        <v/>
      </c>
      <c r="E400" s="23" t="str">
        <f aca="false">IF(B400="","",IF(Office_Log!B200="","",Office_Log!B200&amp;""))</f>
        <v/>
      </c>
      <c r="F400" s="23" t="str">
        <f aca="false">IF(B400="","","yes_in_principle")</f>
        <v/>
      </c>
      <c r="G400" s="23" t="str">
        <f aca="false">IF(B400="","","")</f>
        <v/>
      </c>
      <c r="H400" s="23" t="str">
        <f aca="false">IF(B400="","","")</f>
        <v/>
      </c>
      <c r="I400" s="23" t="str">
        <f aca="false">IF(B400="","","")</f>
        <v/>
      </c>
      <c r="J400" s="23" t="str">
        <f aca="false">IF(B400="","","owner: "&amp;Office_Log!AE200&amp;"; window: "&amp;Office_Log!AH200)</f>
        <v/>
      </c>
      <c r="K400" s="32" t="s">
        <v>1353</v>
      </c>
    </row>
    <row r="401" customFormat="false" ht="15" hidden="false" customHeight="false" outlineLevel="0" collapsed="false">
      <c r="A401" s="23" t="str">
        <f aca="false">IF(B401="","",B401+(2*1000+200)/10000000)</f>
        <v/>
      </c>
      <c r="B401" s="35" t="str">
        <f aca="false">IF(AND(Office_Log!BE201=1,Office_Log!EI201=0,IF(INT(N(Office_Log!H201))&lt;=Config!$B$8,Office_Log!DJ201,Office_Log!DK201)=1),Office_Log!H201,"")</f>
        <v/>
      </c>
      <c r="C401" s="23" t="str">
        <f aca="false">IF(B401="","","office")</f>
        <v/>
      </c>
      <c r="D401" s="23" t="str">
        <f aca="false">IF(B401="","",Office_Log!ED201&amp;"")</f>
        <v/>
      </c>
      <c r="E401" s="23" t="str">
        <f aca="false">IF(B401="","",IF(Office_Log!B201="","",Office_Log!B201&amp;""))</f>
        <v/>
      </c>
      <c r="F401" s="23" t="str">
        <f aca="false">IF(B401="","","yes_in_principle")</f>
        <v/>
      </c>
      <c r="G401" s="23" t="str">
        <f aca="false">IF(B401="","","")</f>
        <v/>
      </c>
      <c r="H401" s="23" t="str">
        <f aca="false">IF(B401="","","")</f>
        <v/>
      </c>
      <c r="I401" s="23" t="str">
        <f aca="false">IF(B401="","","")</f>
        <v/>
      </c>
      <c r="J401" s="23" t="str">
        <f aca="false">IF(B401="","","owner: "&amp;Office_Log!AE201&amp;"; window: "&amp;Office_Log!AH201)</f>
        <v/>
      </c>
      <c r="K401" s="32" t="s">
        <v>1353</v>
      </c>
    </row>
    <row r="402" customFormat="false" ht="15" hidden="false" customHeight="false" outlineLevel="0" collapsed="false">
      <c r="A402" s="42" t="n">
        <f aca="false">IF(B402="","",B402+(3*1000+1)/10000000)</f>
        <v>46322.0003001</v>
      </c>
      <c r="B402" s="35" t="n">
        <f aca="false">IF(Office_Log!BR2=1,Office_Log!H2,"")</f>
        <v>46322</v>
      </c>
      <c r="C402" s="23" t="str">
        <f aca="false">IF(B402="","","office")</f>
        <v>office</v>
      </c>
      <c r="D402" s="23" t="str">
        <f aca="false">IF(B402="","",Office_Log!ED2&amp;"")</f>
        <v>SAMPLE-O-001</v>
      </c>
      <c r="E402" s="23" t="str">
        <f aca="false">IF(B402="","",IF(Office_Log!B2="","",Office_Log!B2&amp;""))</f>
        <v>SAMPLE Office 01</v>
      </c>
      <c r="F402" s="23" t="str">
        <f aca="false">IF(B402="","","budget_probe")</f>
        <v>budget_probe</v>
      </c>
      <c r="G402" s="23" t="n">
        <f aca="false">IF(B402="","",IF(ISNUMBER(Office_Log!Y2),Office_Log!Y2,""))</f>
        <v>100</v>
      </c>
      <c r="H402" s="23" t="str">
        <f aca="false">IF(B402="","",IF(Office_Log!X2="","",Office_Log!X2&amp;""))</f>
        <v>SAMPLE: maybe $100 to $200 a month</v>
      </c>
      <c r="I402" s="23" t="str">
        <f aca="false">IF(B402="","","")</f>
        <v/>
      </c>
      <c r="J402" s="23" t="str">
        <f aca="false">IF(B402="","",IF(AND(ISNUMBER(Office_Log!Z2),N(Office_Log!Z2)&gt;N(Office_Log!Y2)),"range to "&amp;Office_Log!Z2&amp;" per month",""))</f>
        <v>range to 200 per month</v>
      </c>
      <c r="K402" s="32" t="s">
        <v>1354</v>
      </c>
    </row>
    <row r="403" customFormat="false" ht="15" hidden="false" customHeight="false" outlineLevel="0" collapsed="false">
      <c r="A403" s="42" t="n">
        <f aca="false">IF(B403="","",B403+(3*1000+2)/10000000)</f>
        <v>46323.0003002</v>
      </c>
      <c r="B403" s="35" t="n">
        <f aca="false">IF(Office_Log!BR3=1,Office_Log!H3,"")</f>
        <v>46323</v>
      </c>
      <c r="C403" s="23" t="str">
        <f aca="false">IF(B403="","","office")</f>
        <v>office</v>
      </c>
      <c r="D403" s="23" t="str">
        <f aca="false">IF(B403="","",Office_Log!ED3&amp;"")</f>
        <v>SAMPLE-O-002</v>
      </c>
      <c r="E403" s="23" t="str">
        <f aca="false">IF(B403="","",IF(Office_Log!B3="","",Office_Log!B3&amp;""))</f>
        <v>SAMPLE Office 02</v>
      </c>
      <c r="F403" s="23" t="str">
        <f aca="false">IF(B403="","","budget_probe")</f>
        <v>budget_probe</v>
      </c>
      <c r="G403" s="23" t="n">
        <f aca="false">IF(B403="","",IF(ISNUMBER(Office_Log!Y3),Office_Log!Y3,""))</f>
        <v>0</v>
      </c>
      <c r="H403" s="23" t="str">
        <f aca="false">IF(B403="","",IF(Office_Log!X3="","",Office_Log!X3&amp;""))</f>
        <v>SAMPLE: honestly, no budget for that</v>
      </c>
      <c r="I403" s="23" t="str">
        <f aca="false">IF(B403="","","")</f>
        <v/>
      </c>
      <c r="J403" s="23" t="str">
        <f aca="false">IF(B403="","",IF(AND(ISNUMBER(Office_Log!Z3),N(Office_Log!Z3)&gt;N(Office_Log!Y3)),"range to "&amp;Office_Log!Z3&amp;" per month",""))</f>
        <v/>
      </c>
      <c r="K403" s="32" t="s">
        <v>1354</v>
      </c>
    </row>
    <row r="404" customFormat="false" ht="15" hidden="false" customHeight="false" outlineLevel="0" collapsed="false">
      <c r="A404" s="42" t="n">
        <f aca="false">IF(B404="","",B404+(3*1000+3)/10000000)</f>
        <v>46324.0003003</v>
      </c>
      <c r="B404" s="35" t="n">
        <f aca="false">IF(Office_Log!BR4=1,Office_Log!H4,"")</f>
        <v>46324</v>
      </c>
      <c r="C404" s="23" t="str">
        <f aca="false">IF(B404="","","office")</f>
        <v>office</v>
      </c>
      <c r="D404" s="23" t="str">
        <f aca="false">IF(B404="","",Office_Log!ED4&amp;"")</f>
        <v>SAMPLE-O-003</v>
      </c>
      <c r="E404" s="23" t="str">
        <f aca="false">IF(B404="","",IF(Office_Log!B4="","",Office_Log!B4&amp;""))</f>
        <v>SAMPLE Office 03</v>
      </c>
      <c r="F404" s="23" t="str">
        <f aca="false">IF(B404="","","budget_probe")</f>
        <v>budget_probe</v>
      </c>
      <c r="G404" s="23" t="str">
        <f aca="false">IF(B404="","",IF(ISNUMBER(Office_Log!Y4),Office_Log!Y4,""))</f>
        <v/>
      </c>
      <c r="H404" s="23" t="str">
        <f aca="false">IF(B404="","",IF(Office_Log!X4="","",Office_Log!X4&amp;""))</f>
        <v>SAMPLE: I don't know</v>
      </c>
      <c r="I404" s="23" t="str">
        <f aca="false">IF(B404="","","")</f>
        <v/>
      </c>
      <c r="J404" s="23" t="str">
        <f aca="false">IF(B404="","",IF(AND(ISNUMBER(Office_Log!Z4),N(Office_Log!Z4)&gt;N(Office_Log!Y4)),"range to "&amp;Office_Log!Z4&amp;" per month",""))</f>
        <v/>
      </c>
      <c r="K404" s="32" t="s">
        <v>1354</v>
      </c>
    </row>
    <row r="405" customFormat="false" ht="15" hidden="false" customHeight="false" outlineLevel="0" collapsed="false">
      <c r="A405" s="42" t="n">
        <f aca="false">IF(B405="","",B405+(3*1000+4)/10000000)</f>
        <v>46328.0003004</v>
      </c>
      <c r="B405" s="35" t="n">
        <f aca="false">IF(Office_Log!BR5=1,Office_Log!H5,"")</f>
        <v>46328</v>
      </c>
      <c r="C405" s="23" t="str">
        <f aca="false">IF(B405="","","office")</f>
        <v>office</v>
      </c>
      <c r="D405" s="23" t="str">
        <f aca="false">IF(B405="","",Office_Log!ED5&amp;"")</f>
        <v>SAMPLE-O-004</v>
      </c>
      <c r="E405" s="23" t="str">
        <f aca="false">IF(B405="","",IF(Office_Log!B5="","",Office_Log!B5&amp;""))</f>
        <v>SAMPLE Office 04</v>
      </c>
      <c r="F405" s="23" t="str">
        <f aca="false">IF(B405="","","budget_probe")</f>
        <v>budget_probe</v>
      </c>
      <c r="G405" s="23" t="n">
        <f aca="false">IF(B405="","",IF(ISNUMBER(Office_Log!Y5),Office_Log!Y5,""))</f>
        <v>300</v>
      </c>
      <c r="H405" s="23" t="str">
        <f aca="false">IF(B405="","",IF(Office_Log!X5="","",Office_Log!X5&amp;""))</f>
        <v>SAMPLE: around $300 a month</v>
      </c>
      <c r="I405" s="23" t="str">
        <f aca="false">IF(B405="","","")</f>
        <v/>
      </c>
      <c r="J405" s="23" t="str">
        <f aca="false">IF(B405="","",IF(AND(ISNUMBER(Office_Log!Z5),N(Office_Log!Z5)&gt;N(Office_Log!Y5)),"range to "&amp;Office_Log!Z5&amp;" per month",""))</f>
        <v/>
      </c>
      <c r="K405" s="32" t="s">
        <v>1354</v>
      </c>
    </row>
    <row r="406" customFormat="false" ht="15" hidden="false" customHeight="false" outlineLevel="0" collapsed="false">
      <c r="A406" s="42" t="n">
        <f aca="false">IF(B406="","",B406+(3*1000+5)/10000000)</f>
        <v>46329.0003005</v>
      </c>
      <c r="B406" s="35" t="n">
        <f aca="false">IF(Office_Log!BR6=1,Office_Log!H6,"")</f>
        <v>46329</v>
      </c>
      <c r="C406" s="23" t="str">
        <f aca="false">IF(B406="","","office")</f>
        <v>office</v>
      </c>
      <c r="D406" s="23" t="str">
        <f aca="false">IF(B406="","",Office_Log!ED6&amp;"")</f>
        <v>SAMPLE-O-005</v>
      </c>
      <c r="E406" s="23" t="str">
        <f aca="false">IF(B406="","",IF(Office_Log!B6="","",Office_Log!B6&amp;""))</f>
        <v>SAMPLE Office 05</v>
      </c>
      <c r="F406" s="23" t="str">
        <f aca="false">IF(B406="","","budget_probe")</f>
        <v>budget_probe</v>
      </c>
      <c r="G406" s="23" t="n">
        <f aca="false">IF(B406="","",IF(ISNUMBER(Office_Log!Y6),Office_Log!Y6,""))</f>
        <v>0</v>
      </c>
      <c r="H406" s="23" t="str">
        <f aca="false">IF(B406="","",IF(Office_Log!X6="","",Office_Log!X6&amp;""))</f>
        <v>SAMPLE: zero, it would come out of my budget</v>
      </c>
      <c r="I406" s="23" t="str">
        <f aca="false">IF(B406="","","")</f>
        <v/>
      </c>
      <c r="J406" s="23" t="str">
        <f aca="false">IF(B406="","",IF(AND(ISNUMBER(Office_Log!Z6),N(Office_Log!Z6)&gt;N(Office_Log!Y6)),"range to "&amp;Office_Log!Z6&amp;" per month",""))</f>
        <v/>
      </c>
      <c r="K406" s="32" t="s">
        <v>1354</v>
      </c>
    </row>
    <row r="407" customFormat="false" ht="15" hidden="false" customHeight="false" outlineLevel="0" collapsed="false">
      <c r="A407" s="42" t="n">
        <f aca="false">IF(B407="","",B407+(3*1000+6)/10000000)</f>
        <v>46330.0003006</v>
      </c>
      <c r="B407" s="35" t="n">
        <f aca="false">IF(Office_Log!BR7=1,Office_Log!H7,"")</f>
        <v>46330</v>
      </c>
      <c r="C407" s="23" t="str">
        <f aca="false">IF(B407="","","office")</f>
        <v>office</v>
      </c>
      <c r="D407" s="23" t="str">
        <f aca="false">IF(B407="","",Office_Log!ED7&amp;"")</f>
        <v>SAMPLE-O-006</v>
      </c>
      <c r="E407" s="23" t="str">
        <f aca="false">IF(B407="","",IF(Office_Log!B7="","",Office_Log!B7&amp;""))</f>
        <v>SAMPLE Office 06</v>
      </c>
      <c r="F407" s="23" t="str">
        <f aca="false">IF(B407="","","budget_probe")</f>
        <v>budget_probe</v>
      </c>
      <c r="G407" s="23" t="n">
        <f aca="false">IF(B407="","",IF(ISNUMBER(Office_Log!Y7),Office_Log!Y7,""))</f>
        <v>50</v>
      </c>
      <c r="H407" s="23" t="str">
        <f aca="false">IF(B407="","",IF(Office_Log!X7="","",Office_Log!X7&amp;""))</f>
        <v>SAMPLE: fifty dollars, maybe</v>
      </c>
      <c r="I407" s="23" t="str">
        <f aca="false">IF(B407="","","")</f>
        <v/>
      </c>
      <c r="J407" s="23" t="str">
        <f aca="false">IF(B407="","",IF(AND(ISNUMBER(Office_Log!Z7),N(Office_Log!Z7)&gt;N(Office_Log!Y7)),"range to "&amp;Office_Log!Z7&amp;" per month",""))</f>
        <v/>
      </c>
      <c r="K407" s="32" t="s">
        <v>1354</v>
      </c>
    </row>
    <row r="408" customFormat="false" ht="15" hidden="false" customHeight="false" outlineLevel="0" collapsed="false">
      <c r="A408" s="42" t="n">
        <f aca="false">IF(B408="","",B408+(3*1000+7)/10000000)</f>
        <v>46331.0003007</v>
      </c>
      <c r="B408" s="35" t="n">
        <f aca="false">IF(Office_Log!BR8=1,Office_Log!H8,"")</f>
        <v>46331</v>
      </c>
      <c r="C408" s="23" t="str">
        <f aca="false">IF(B408="","","office")</f>
        <v>office</v>
      </c>
      <c r="D408" s="23" t="str">
        <f aca="false">IF(B408="","",Office_Log!ED8&amp;"")</f>
        <v>SAMPLE-O-007</v>
      </c>
      <c r="E408" s="23" t="str">
        <f aca="false">IF(B408="","",IF(Office_Log!B8="","",Office_Log!B8&amp;""))</f>
        <v>SAMPLE Office 07</v>
      </c>
      <c r="F408" s="23" t="str">
        <f aca="false">IF(B408="","","budget_probe")</f>
        <v>budget_probe</v>
      </c>
      <c r="G408" s="23" t="str">
        <f aca="false">IF(B408="","",IF(ISNUMBER(Office_Log!Y8),Office_Log!Y8,""))</f>
        <v/>
      </c>
      <c r="H408" s="23" t="str">
        <f aca="false">IF(B408="","",IF(Office_Log!X8="","",Office_Log!X8&amp;""))</f>
        <v>SAMPLE: wouldn't want to say</v>
      </c>
      <c r="I408" s="23" t="str">
        <f aca="false">IF(B408="","","")</f>
        <v/>
      </c>
      <c r="J408" s="23" t="str">
        <f aca="false">IF(B408="","",IF(AND(ISNUMBER(Office_Log!Z8),N(Office_Log!Z8)&gt;N(Office_Log!Y8)),"range to "&amp;Office_Log!Z8&amp;" per month",""))</f>
        <v/>
      </c>
      <c r="K408" s="32" t="s">
        <v>1354</v>
      </c>
    </row>
    <row r="409" customFormat="false" ht="15" hidden="false" customHeight="false" outlineLevel="0" collapsed="false">
      <c r="A409" s="42" t="n">
        <f aca="false">IF(B409="","",B409+(3*1000+8)/10000000)</f>
        <v>46335.0003008</v>
      </c>
      <c r="B409" s="35" t="n">
        <f aca="false">IF(Office_Log!BR9=1,Office_Log!H9,"")</f>
        <v>46335</v>
      </c>
      <c r="C409" s="23" t="str">
        <f aca="false">IF(B409="","","office")</f>
        <v>office</v>
      </c>
      <c r="D409" s="23" t="str">
        <f aca="false">IF(B409="","",Office_Log!ED9&amp;"")</f>
        <v>SAMPLE-O-008</v>
      </c>
      <c r="E409" s="23" t="str">
        <f aca="false">IF(B409="","",IF(Office_Log!B9="","",Office_Log!B9&amp;""))</f>
        <v>SAMPLE Office 08</v>
      </c>
      <c r="F409" s="23" t="str">
        <f aca="false">IF(B409="","","budget_probe")</f>
        <v>budget_probe</v>
      </c>
      <c r="G409" s="23" t="n">
        <f aca="false">IF(B409="","",IF(ISNUMBER(Office_Log!Y9),Office_Log!Y9,""))</f>
        <v>0</v>
      </c>
      <c r="H409" s="23" t="str">
        <f aca="false">IF(B409="","",IF(Office_Log!X9="","",Office_Log!X9&amp;""))</f>
        <v>SAMPLE: we would not pay</v>
      </c>
      <c r="I409" s="23" t="str">
        <f aca="false">IF(B409="","","")</f>
        <v/>
      </c>
      <c r="J409" s="23" t="str">
        <f aca="false">IF(B409="","",IF(AND(ISNUMBER(Office_Log!Z9),N(Office_Log!Z9)&gt;N(Office_Log!Y9)),"range to "&amp;Office_Log!Z9&amp;" per month",""))</f>
        <v/>
      </c>
      <c r="K409" s="32" t="s">
        <v>1354</v>
      </c>
    </row>
    <row r="410" customFormat="false" ht="15" hidden="false" customHeight="false" outlineLevel="0" collapsed="false">
      <c r="A410" s="23" t="str">
        <f aca="false">IF(B410="","",B410+(3*1000+9)/10000000)</f>
        <v/>
      </c>
      <c r="B410" s="35" t="str">
        <f aca="false">IF(Office_Log!BR10=1,Office_Log!H10,"")</f>
        <v/>
      </c>
      <c r="C410" s="23" t="str">
        <f aca="false">IF(B410="","","office")</f>
        <v/>
      </c>
      <c r="D410" s="23" t="str">
        <f aca="false">IF(B410="","",Office_Log!ED10&amp;"")</f>
        <v/>
      </c>
      <c r="E410" s="23" t="str">
        <f aca="false">IF(B410="","",IF(Office_Log!B10="","",Office_Log!B10&amp;""))</f>
        <v/>
      </c>
      <c r="F410" s="23" t="str">
        <f aca="false">IF(B410="","","budget_probe")</f>
        <v/>
      </c>
      <c r="G410" s="23" t="str">
        <f aca="false">IF(B410="","",IF(ISNUMBER(Office_Log!Y10),Office_Log!Y10,""))</f>
        <v/>
      </c>
      <c r="H410" s="23" t="str">
        <f aca="false">IF(B410="","",IF(Office_Log!X10="","",Office_Log!X10&amp;""))</f>
        <v/>
      </c>
      <c r="I410" s="23" t="str">
        <f aca="false">IF(B410="","","")</f>
        <v/>
      </c>
      <c r="J410" s="23" t="str">
        <f aca="false">IF(B410="","",IF(AND(ISNUMBER(Office_Log!Z10),N(Office_Log!Z10)&gt;N(Office_Log!Y10)),"range to "&amp;Office_Log!Z10&amp;" per month",""))</f>
        <v/>
      </c>
      <c r="K410" s="32" t="s">
        <v>1354</v>
      </c>
    </row>
    <row r="411" customFormat="false" ht="15" hidden="false" customHeight="false" outlineLevel="0" collapsed="false">
      <c r="A411" s="42" t="n">
        <f aca="false">IF(B411="","",B411+(3*1000+10)/10000000)</f>
        <v>46336.000301</v>
      </c>
      <c r="B411" s="35" t="n">
        <f aca="false">IF(Office_Log!BR11=1,Office_Log!H11,"")</f>
        <v>46336</v>
      </c>
      <c r="C411" s="23" t="str">
        <f aca="false">IF(B411="","","office")</f>
        <v>office</v>
      </c>
      <c r="D411" s="23" t="str">
        <f aca="false">IF(B411="","",Office_Log!ED11&amp;"")</f>
        <v>SAMPLE-O-010</v>
      </c>
      <c r="E411" s="23" t="str">
        <f aca="false">IF(B411="","",IF(Office_Log!B11="","",Office_Log!B11&amp;""))</f>
        <v>SAMPLE Office 10</v>
      </c>
      <c r="F411" s="23" t="str">
        <f aca="false">IF(B411="","","budget_probe")</f>
        <v>budget_probe</v>
      </c>
      <c r="G411" s="23" t="n">
        <f aca="false">IF(B411="","",IF(ISNUMBER(Office_Log!Y11),Office_Log!Y11,""))</f>
        <v>200</v>
      </c>
      <c r="H411" s="23" t="str">
        <f aca="false">IF(B411="","",IF(Office_Log!X11="","",Office_Log!X11&amp;""))</f>
        <v>SAMPLE: $200 to $400 if the team votes on it</v>
      </c>
      <c r="I411" s="23" t="str">
        <f aca="false">IF(B411="","","")</f>
        <v/>
      </c>
      <c r="J411" s="23" t="str">
        <f aca="false">IF(B411="","",IF(AND(ISNUMBER(Office_Log!Z11),N(Office_Log!Z11)&gt;N(Office_Log!Y11)),"range to "&amp;Office_Log!Z11&amp;" per month",""))</f>
        <v>range to 400 per month</v>
      </c>
      <c r="K411" s="32" t="s">
        <v>1354</v>
      </c>
    </row>
    <row r="412" customFormat="false" ht="15" hidden="false" customHeight="false" outlineLevel="0" collapsed="false">
      <c r="A412" s="23" t="str">
        <f aca="false">IF(B412="","",B412+(3*1000+11)/10000000)</f>
        <v/>
      </c>
      <c r="B412" s="35" t="str">
        <f aca="false">IF(Office_Log!BR12=1,Office_Log!H12,"")</f>
        <v/>
      </c>
      <c r="C412" s="23" t="str">
        <f aca="false">IF(B412="","","office")</f>
        <v/>
      </c>
      <c r="D412" s="23" t="str">
        <f aca="false">IF(B412="","",Office_Log!ED12&amp;"")</f>
        <v/>
      </c>
      <c r="E412" s="23" t="str">
        <f aca="false">IF(B412="","",IF(Office_Log!B12="","",Office_Log!B12&amp;""))</f>
        <v/>
      </c>
      <c r="F412" s="23" t="str">
        <f aca="false">IF(B412="","","budget_probe")</f>
        <v/>
      </c>
      <c r="G412" s="23" t="str">
        <f aca="false">IF(B412="","",IF(ISNUMBER(Office_Log!Y12),Office_Log!Y12,""))</f>
        <v/>
      </c>
      <c r="H412" s="23" t="str">
        <f aca="false">IF(B412="","",IF(Office_Log!X12="","",Office_Log!X12&amp;""))</f>
        <v/>
      </c>
      <c r="I412" s="23" t="str">
        <f aca="false">IF(B412="","","")</f>
        <v/>
      </c>
      <c r="J412" s="23" t="str">
        <f aca="false">IF(B412="","",IF(AND(ISNUMBER(Office_Log!Z12),N(Office_Log!Z12)&gt;N(Office_Log!Y12)),"range to "&amp;Office_Log!Z12&amp;" per month",""))</f>
        <v/>
      </c>
      <c r="K412" s="32" t="s">
        <v>1354</v>
      </c>
    </row>
    <row r="413" customFormat="false" ht="15" hidden="false" customHeight="false" outlineLevel="0" collapsed="false">
      <c r="A413" s="42" t="n">
        <f aca="false">IF(B413="","",B413+(3*1000+12)/10000000)</f>
        <v>46338.0003012</v>
      </c>
      <c r="B413" s="35" t="n">
        <f aca="false">IF(Office_Log!BR13=1,Office_Log!H13,"")</f>
        <v>46338</v>
      </c>
      <c r="C413" s="23" t="str">
        <f aca="false">IF(B413="","","office")</f>
        <v>office</v>
      </c>
      <c r="D413" s="23" t="str">
        <f aca="false">IF(B413="","",Office_Log!ED13&amp;"")</f>
        <v>SAMPLE-O-012</v>
      </c>
      <c r="E413" s="23" t="str">
        <f aca="false">IF(B413="","",IF(Office_Log!B13="","",Office_Log!B13&amp;""))</f>
        <v>SAMPLE Office 12</v>
      </c>
      <c r="F413" s="23" t="str">
        <f aca="false">IF(B413="","","budget_probe")</f>
        <v>budget_probe</v>
      </c>
      <c r="G413" s="23" t="n">
        <f aca="false">IF(B413="","",IF(ISNUMBER(Office_Log!Y13),Office_Log!Y13,""))</f>
        <v>100</v>
      </c>
      <c r="H413" s="23" t="str">
        <f aca="false">IF(B413="","",IF(Office_Log!X13="","",Office_Log!X13&amp;""))</f>
        <v>SAMPLE: a hundred a month, tops</v>
      </c>
      <c r="I413" s="23" t="str">
        <f aca="false">IF(B413="","","")</f>
        <v/>
      </c>
      <c r="J413" s="23" t="str">
        <f aca="false">IF(B413="","",IF(AND(ISNUMBER(Office_Log!Z13),N(Office_Log!Z13)&gt;N(Office_Log!Y13)),"range to "&amp;Office_Log!Z13&amp;" per month",""))</f>
        <v/>
      </c>
      <c r="K413" s="32" t="s">
        <v>1354</v>
      </c>
    </row>
    <row r="414" customFormat="false" ht="15" hidden="false" customHeight="false" outlineLevel="0" collapsed="false">
      <c r="A414" s="23" t="str">
        <f aca="false">IF(B414="","",B414+(3*1000+13)/10000000)</f>
        <v/>
      </c>
      <c r="B414" s="35" t="str">
        <f aca="false">IF(Office_Log!BR14=1,Office_Log!H14,"")</f>
        <v/>
      </c>
      <c r="C414" s="23" t="str">
        <f aca="false">IF(B414="","","office")</f>
        <v/>
      </c>
      <c r="D414" s="23" t="str">
        <f aca="false">IF(B414="","",Office_Log!ED14&amp;"")</f>
        <v/>
      </c>
      <c r="E414" s="23" t="str">
        <f aca="false">IF(B414="","",IF(Office_Log!B14="","",Office_Log!B14&amp;""))</f>
        <v/>
      </c>
      <c r="F414" s="23" t="str">
        <f aca="false">IF(B414="","","budget_probe")</f>
        <v/>
      </c>
      <c r="G414" s="23" t="str">
        <f aca="false">IF(B414="","",IF(ISNUMBER(Office_Log!Y14),Office_Log!Y14,""))</f>
        <v/>
      </c>
      <c r="H414" s="23" t="str">
        <f aca="false">IF(B414="","",IF(Office_Log!X14="","",Office_Log!X14&amp;""))</f>
        <v/>
      </c>
      <c r="I414" s="23" t="str">
        <f aca="false">IF(B414="","","")</f>
        <v/>
      </c>
      <c r="J414" s="23" t="str">
        <f aca="false">IF(B414="","",IF(AND(ISNUMBER(Office_Log!Z14),N(Office_Log!Z14)&gt;N(Office_Log!Y14)),"range to "&amp;Office_Log!Z14&amp;" per month",""))</f>
        <v/>
      </c>
      <c r="K414" s="32" t="s">
        <v>1354</v>
      </c>
    </row>
    <row r="415" customFormat="false" ht="15" hidden="false" customHeight="false" outlineLevel="0" collapsed="false">
      <c r="A415" s="42" t="n">
        <f aca="false">IF(B415="","",B415+(3*1000+14)/10000000)</f>
        <v>46332.0003014</v>
      </c>
      <c r="B415" s="35" t="n">
        <f aca="false">IF(Office_Log!BR15=1,Office_Log!H15,"")</f>
        <v>46332</v>
      </c>
      <c r="C415" s="23" t="str">
        <f aca="false">IF(B415="","","office")</f>
        <v>office</v>
      </c>
      <c r="D415" s="23" t="str">
        <f aca="false">IF(B415="","",Office_Log!ED15&amp;"")</f>
        <v>SAMPLE-O-001</v>
      </c>
      <c r="E415" s="23" t="str">
        <f aca="false">IF(B415="","",IF(Office_Log!B15="","",Office_Log!B15&amp;""))</f>
        <v>SAMPLE Office 01</v>
      </c>
      <c r="F415" s="23" t="str">
        <f aca="false">IF(B415="","","budget_probe")</f>
        <v>budget_probe</v>
      </c>
      <c r="G415" s="23" t="n">
        <f aca="false">IF(B415="","",IF(ISNUMBER(Office_Log!Y15),Office_Log!Y15,""))</f>
        <v>150</v>
      </c>
      <c r="H415" s="23" t="str">
        <f aca="false">IF(B415="","",IF(Office_Log!X15="","",Office_Log!X15&amp;""))</f>
        <v>SAMPLE: $150 a month</v>
      </c>
      <c r="I415" s="23" t="str">
        <f aca="false">IF(B415="","","")</f>
        <v/>
      </c>
      <c r="J415" s="23" t="str">
        <f aca="false">IF(B415="","",IF(AND(ISNUMBER(Office_Log!Z15),N(Office_Log!Z15)&gt;N(Office_Log!Y15)),"range to "&amp;Office_Log!Z15&amp;" per month",""))</f>
        <v/>
      </c>
      <c r="K415" s="32" t="s">
        <v>1354</v>
      </c>
    </row>
    <row r="416" customFormat="false" ht="15" hidden="false" customHeight="false" outlineLevel="0" collapsed="false">
      <c r="A416" s="23" t="str">
        <f aca="false">IF(B416="","",B416+(3*1000+15)/10000000)</f>
        <v/>
      </c>
      <c r="B416" s="35" t="str">
        <f aca="false">IF(Office_Log!BR16=1,Office_Log!H16,"")</f>
        <v/>
      </c>
      <c r="C416" s="23" t="str">
        <f aca="false">IF(B416="","","office")</f>
        <v/>
      </c>
      <c r="D416" s="23" t="str">
        <f aca="false">IF(B416="","",Office_Log!ED16&amp;"")</f>
        <v/>
      </c>
      <c r="E416" s="23" t="str">
        <f aca="false">IF(B416="","",IF(Office_Log!B16="","",Office_Log!B16&amp;""))</f>
        <v/>
      </c>
      <c r="F416" s="23" t="str">
        <f aca="false">IF(B416="","","budget_probe")</f>
        <v/>
      </c>
      <c r="G416" s="23" t="str">
        <f aca="false">IF(B416="","",IF(ISNUMBER(Office_Log!Y16),Office_Log!Y16,""))</f>
        <v/>
      </c>
      <c r="H416" s="23" t="str">
        <f aca="false">IF(B416="","",IF(Office_Log!X16="","",Office_Log!X16&amp;""))</f>
        <v/>
      </c>
      <c r="I416" s="23" t="str">
        <f aca="false">IF(B416="","","")</f>
        <v/>
      </c>
      <c r="J416" s="23" t="str">
        <f aca="false">IF(B416="","",IF(AND(ISNUMBER(Office_Log!Z16),N(Office_Log!Z16)&gt;N(Office_Log!Y16)),"range to "&amp;Office_Log!Z16&amp;" per month",""))</f>
        <v/>
      </c>
      <c r="K416" s="32" t="s">
        <v>1354</v>
      </c>
    </row>
    <row r="417" customFormat="false" ht="15" hidden="false" customHeight="false" outlineLevel="0" collapsed="false">
      <c r="A417" s="23" t="str">
        <f aca="false">IF(B417="","",B417+(3*1000+16)/10000000)</f>
        <v/>
      </c>
      <c r="B417" s="35" t="str">
        <f aca="false">IF(Office_Log!BR17=1,Office_Log!H17,"")</f>
        <v/>
      </c>
      <c r="C417" s="23" t="str">
        <f aca="false">IF(B417="","","office")</f>
        <v/>
      </c>
      <c r="D417" s="23" t="str">
        <f aca="false">IF(B417="","",Office_Log!ED17&amp;"")</f>
        <v/>
      </c>
      <c r="E417" s="23" t="str">
        <f aca="false">IF(B417="","",IF(Office_Log!B17="","",Office_Log!B17&amp;""))</f>
        <v/>
      </c>
      <c r="F417" s="23" t="str">
        <f aca="false">IF(B417="","","budget_probe")</f>
        <v/>
      </c>
      <c r="G417" s="23" t="str">
        <f aca="false">IF(B417="","",IF(ISNUMBER(Office_Log!Y17),Office_Log!Y17,""))</f>
        <v/>
      </c>
      <c r="H417" s="23" t="str">
        <f aca="false">IF(B417="","",IF(Office_Log!X17="","",Office_Log!X17&amp;""))</f>
        <v/>
      </c>
      <c r="I417" s="23" t="str">
        <f aca="false">IF(B417="","","")</f>
        <v/>
      </c>
      <c r="J417" s="23" t="str">
        <f aca="false">IF(B417="","",IF(AND(ISNUMBER(Office_Log!Z17),N(Office_Log!Z17)&gt;N(Office_Log!Y17)),"range to "&amp;Office_Log!Z17&amp;" per month",""))</f>
        <v/>
      </c>
      <c r="K417" s="32" t="s">
        <v>1354</v>
      </c>
    </row>
    <row r="418" customFormat="false" ht="15" hidden="false" customHeight="false" outlineLevel="0" collapsed="false">
      <c r="A418" s="23" t="str">
        <f aca="false">IF(B418="","",B418+(3*1000+17)/10000000)</f>
        <v/>
      </c>
      <c r="B418" s="35" t="str">
        <f aca="false">IF(Office_Log!BR18=1,Office_Log!H18,"")</f>
        <v/>
      </c>
      <c r="C418" s="23" t="str">
        <f aca="false">IF(B418="","","office")</f>
        <v/>
      </c>
      <c r="D418" s="23" t="str">
        <f aca="false">IF(B418="","",Office_Log!ED18&amp;"")</f>
        <v/>
      </c>
      <c r="E418" s="23" t="str">
        <f aca="false">IF(B418="","",IF(Office_Log!B18="","",Office_Log!B18&amp;""))</f>
        <v/>
      </c>
      <c r="F418" s="23" t="str">
        <f aca="false">IF(B418="","","budget_probe")</f>
        <v/>
      </c>
      <c r="G418" s="23" t="str">
        <f aca="false">IF(B418="","",IF(ISNUMBER(Office_Log!Y18),Office_Log!Y18,""))</f>
        <v/>
      </c>
      <c r="H418" s="23" t="str">
        <f aca="false">IF(B418="","",IF(Office_Log!X18="","",Office_Log!X18&amp;""))</f>
        <v/>
      </c>
      <c r="I418" s="23" t="str">
        <f aca="false">IF(B418="","","")</f>
        <v/>
      </c>
      <c r="J418" s="23" t="str">
        <f aca="false">IF(B418="","",IF(AND(ISNUMBER(Office_Log!Z18),N(Office_Log!Z18)&gt;N(Office_Log!Y18)),"range to "&amp;Office_Log!Z18&amp;" per month",""))</f>
        <v/>
      </c>
      <c r="K418" s="32" t="s">
        <v>1354</v>
      </c>
    </row>
    <row r="419" customFormat="false" ht="15" hidden="false" customHeight="false" outlineLevel="0" collapsed="false">
      <c r="A419" s="23" t="str">
        <f aca="false">IF(B419="","",B419+(3*1000+18)/10000000)</f>
        <v/>
      </c>
      <c r="B419" s="35" t="str">
        <f aca="false">IF(Office_Log!BR19=1,Office_Log!H19,"")</f>
        <v/>
      </c>
      <c r="C419" s="23" t="str">
        <f aca="false">IF(B419="","","office")</f>
        <v/>
      </c>
      <c r="D419" s="23" t="str">
        <f aca="false">IF(B419="","",Office_Log!ED19&amp;"")</f>
        <v/>
      </c>
      <c r="E419" s="23" t="str">
        <f aca="false">IF(B419="","",IF(Office_Log!B19="","",Office_Log!B19&amp;""))</f>
        <v/>
      </c>
      <c r="F419" s="23" t="str">
        <f aca="false">IF(B419="","","budget_probe")</f>
        <v/>
      </c>
      <c r="G419" s="23" t="str">
        <f aca="false">IF(B419="","",IF(ISNUMBER(Office_Log!Y19),Office_Log!Y19,""))</f>
        <v/>
      </c>
      <c r="H419" s="23" t="str">
        <f aca="false">IF(B419="","",IF(Office_Log!X19="","",Office_Log!X19&amp;""))</f>
        <v/>
      </c>
      <c r="I419" s="23" t="str">
        <f aca="false">IF(B419="","","")</f>
        <v/>
      </c>
      <c r="J419" s="23" t="str">
        <f aca="false">IF(B419="","",IF(AND(ISNUMBER(Office_Log!Z19),N(Office_Log!Z19)&gt;N(Office_Log!Y19)),"range to "&amp;Office_Log!Z19&amp;" per month",""))</f>
        <v/>
      </c>
      <c r="K419" s="32" t="s">
        <v>1354</v>
      </c>
    </row>
    <row r="420" customFormat="false" ht="15" hidden="false" customHeight="false" outlineLevel="0" collapsed="false">
      <c r="A420" s="23" t="str">
        <f aca="false">IF(B420="","",B420+(3*1000+19)/10000000)</f>
        <v/>
      </c>
      <c r="B420" s="35" t="str">
        <f aca="false">IF(Office_Log!BR20=1,Office_Log!H20,"")</f>
        <v/>
      </c>
      <c r="C420" s="23" t="str">
        <f aca="false">IF(B420="","","office")</f>
        <v/>
      </c>
      <c r="D420" s="23" t="str">
        <f aca="false">IF(B420="","",Office_Log!ED20&amp;"")</f>
        <v/>
      </c>
      <c r="E420" s="23" t="str">
        <f aca="false">IF(B420="","",IF(Office_Log!B20="","",Office_Log!B20&amp;""))</f>
        <v/>
      </c>
      <c r="F420" s="23" t="str">
        <f aca="false">IF(B420="","","budget_probe")</f>
        <v/>
      </c>
      <c r="G420" s="23" t="str">
        <f aca="false">IF(B420="","",IF(ISNUMBER(Office_Log!Y20),Office_Log!Y20,""))</f>
        <v/>
      </c>
      <c r="H420" s="23" t="str">
        <f aca="false">IF(B420="","",IF(Office_Log!X20="","",Office_Log!X20&amp;""))</f>
        <v/>
      </c>
      <c r="I420" s="23" t="str">
        <f aca="false">IF(B420="","","")</f>
        <v/>
      </c>
      <c r="J420" s="23" t="str">
        <f aca="false">IF(B420="","",IF(AND(ISNUMBER(Office_Log!Z20),N(Office_Log!Z20)&gt;N(Office_Log!Y20)),"range to "&amp;Office_Log!Z20&amp;" per month",""))</f>
        <v/>
      </c>
      <c r="K420" s="32" t="s">
        <v>1354</v>
      </c>
    </row>
    <row r="421" customFormat="false" ht="15" hidden="false" customHeight="false" outlineLevel="0" collapsed="false">
      <c r="A421" s="23" t="str">
        <f aca="false">IF(B421="","",B421+(3*1000+20)/10000000)</f>
        <v/>
      </c>
      <c r="B421" s="35" t="str">
        <f aca="false">IF(Office_Log!BR21=1,Office_Log!H21,"")</f>
        <v/>
      </c>
      <c r="C421" s="23" t="str">
        <f aca="false">IF(B421="","","office")</f>
        <v/>
      </c>
      <c r="D421" s="23" t="str">
        <f aca="false">IF(B421="","",Office_Log!ED21&amp;"")</f>
        <v/>
      </c>
      <c r="E421" s="23" t="str">
        <f aca="false">IF(B421="","",IF(Office_Log!B21="","",Office_Log!B21&amp;""))</f>
        <v/>
      </c>
      <c r="F421" s="23" t="str">
        <f aca="false">IF(B421="","","budget_probe")</f>
        <v/>
      </c>
      <c r="G421" s="23" t="str">
        <f aca="false">IF(B421="","",IF(ISNUMBER(Office_Log!Y21),Office_Log!Y21,""))</f>
        <v/>
      </c>
      <c r="H421" s="23" t="str">
        <f aca="false">IF(B421="","",IF(Office_Log!X21="","",Office_Log!X21&amp;""))</f>
        <v/>
      </c>
      <c r="I421" s="23" t="str">
        <f aca="false">IF(B421="","","")</f>
        <v/>
      </c>
      <c r="J421" s="23" t="str">
        <f aca="false">IF(B421="","",IF(AND(ISNUMBER(Office_Log!Z21),N(Office_Log!Z21)&gt;N(Office_Log!Y21)),"range to "&amp;Office_Log!Z21&amp;" per month",""))</f>
        <v/>
      </c>
      <c r="K421" s="32" t="s">
        <v>1354</v>
      </c>
    </row>
    <row r="422" customFormat="false" ht="15" hidden="false" customHeight="false" outlineLevel="0" collapsed="false">
      <c r="A422" s="23" t="str">
        <f aca="false">IF(B422="","",B422+(3*1000+21)/10000000)</f>
        <v/>
      </c>
      <c r="B422" s="35" t="str">
        <f aca="false">IF(Office_Log!BR22=1,Office_Log!H22,"")</f>
        <v/>
      </c>
      <c r="C422" s="23" t="str">
        <f aca="false">IF(B422="","","office")</f>
        <v/>
      </c>
      <c r="D422" s="23" t="str">
        <f aca="false">IF(B422="","",Office_Log!ED22&amp;"")</f>
        <v/>
      </c>
      <c r="E422" s="23" t="str">
        <f aca="false">IF(B422="","",IF(Office_Log!B22="","",Office_Log!B22&amp;""))</f>
        <v/>
      </c>
      <c r="F422" s="23" t="str">
        <f aca="false">IF(B422="","","budget_probe")</f>
        <v/>
      </c>
      <c r="G422" s="23" t="str">
        <f aca="false">IF(B422="","",IF(ISNUMBER(Office_Log!Y22),Office_Log!Y22,""))</f>
        <v/>
      </c>
      <c r="H422" s="23" t="str">
        <f aca="false">IF(B422="","",IF(Office_Log!X22="","",Office_Log!X22&amp;""))</f>
        <v/>
      </c>
      <c r="I422" s="23" t="str">
        <f aca="false">IF(B422="","","")</f>
        <v/>
      </c>
      <c r="J422" s="23" t="str">
        <f aca="false">IF(B422="","",IF(AND(ISNUMBER(Office_Log!Z22),N(Office_Log!Z22)&gt;N(Office_Log!Y22)),"range to "&amp;Office_Log!Z22&amp;" per month",""))</f>
        <v/>
      </c>
      <c r="K422" s="32" t="s">
        <v>1354</v>
      </c>
    </row>
    <row r="423" customFormat="false" ht="15" hidden="false" customHeight="false" outlineLevel="0" collapsed="false">
      <c r="A423" s="23" t="str">
        <f aca="false">IF(B423="","",B423+(3*1000+22)/10000000)</f>
        <v/>
      </c>
      <c r="B423" s="35" t="str">
        <f aca="false">IF(Office_Log!BR23=1,Office_Log!H23,"")</f>
        <v/>
      </c>
      <c r="C423" s="23" t="str">
        <f aca="false">IF(B423="","","office")</f>
        <v/>
      </c>
      <c r="D423" s="23" t="str">
        <f aca="false">IF(B423="","",Office_Log!ED23&amp;"")</f>
        <v/>
      </c>
      <c r="E423" s="23" t="str">
        <f aca="false">IF(B423="","",IF(Office_Log!B23="","",Office_Log!B23&amp;""))</f>
        <v/>
      </c>
      <c r="F423" s="23" t="str">
        <f aca="false">IF(B423="","","budget_probe")</f>
        <v/>
      </c>
      <c r="G423" s="23" t="str">
        <f aca="false">IF(B423="","",IF(ISNUMBER(Office_Log!Y23),Office_Log!Y23,""))</f>
        <v/>
      </c>
      <c r="H423" s="23" t="str">
        <f aca="false">IF(B423="","",IF(Office_Log!X23="","",Office_Log!X23&amp;""))</f>
        <v/>
      </c>
      <c r="I423" s="23" t="str">
        <f aca="false">IF(B423="","","")</f>
        <v/>
      </c>
      <c r="J423" s="23" t="str">
        <f aca="false">IF(B423="","",IF(AND(ISNUMBER(Office_Log!Z23),N(Office_Log!Z23)&gt;N(Office_Log!Y23)),"range to "&amp;Office_Log!Z23&amp;" per month",""))</f>
        <v/>
      </c>
      <c r="K423" s="32" t="s">
        <v>1354</v>
      </c>
    </row>
    <row r="424" customFormat="false" ht="15" hidden="false" customHeight="false" outlineLevel="0" collapsed="false">
      <c r="A424" s="23" t="str">
        <f aca="false">IF(B424="","",B424+(3*1000+23)/10000000)</f>
        <v/>
      </c>
      <c r="B424" s="35" t="str">
        <f aca="false">IF(Office_Log!BR24=1,Office_Log!H24,"")</f>
        <v/>
      </c>
      <c r="C424" s="23" t="str">
        <f aca="false">IF(B424="","","office")</f>
        <v/>
      </c>
      <c r="D424" s="23" t="str">
        <f aca="false">IF(B424="","",Office_Log!ED24&amp;"")</f>
        <v/>
      </c>
      <c r="E424" s="23" t="str">
        <f aca="false">IF(B424="","",IF(Office_Log!B24="","",Office_Log!B24&amp;""))</f>
        <v/>
      </c>
      <c r="F424" s="23" t="str">
        <f aca="false">IF(B424="","","budget_probe")</f>
        <v/>
      </c>
      <c r="G424" s="23" t="str">
        <f aca="false">IF(B424="","",IF(ISNUMBER(Office_Log!Y24),Office_Log!Y24,""))</f>
        <v/>
      </c>
      <c r="H424" s="23" t="str">
        <f aca="false">IF(B424="","",IF(Office_Log!X24="","",Office_Log!X24&amp;""))</f>
        <v/>
      </c>
      <c r="I424" s="23" t="str">
        <f aca="false">IF(B424="","","")</f>
        <v/>
      </c>
      <c r="J424" s="23" t="str">
        <f aca="false">IF(B424="","",IF(AND(ISNUMBER(Office_Log!Z24),N(Office_Log!Z24)&gt;N(Office_Log!Y24)),"range to "&amp;Office_Log!Z24&amp;" per month",""))</f>
        <v/>
      </c>
      <c r="K424" s="32" t="s">
        <v>1354</v>
      </c>
    </row>
    <row r="425" customFormat="false" ht="15" hidden="false" customHeight="false" outlineLevel="0" collapsed="false">
      <c r="A425" s="23" t="str">
        <f aca="false">IF(B425="","",B425+(3*1000+24)/10000000)</f>
        <v/>
      </c>
      <c r="B425" s="35" t="str">
        <f aca="false">IF(Office_Log!BR25=1,Office_Log!H25,"")</f>
        <v/>
      </c>
      <c r="C425" s="23" t="str">
        <f aca="false">IF(B425="","","office")</f>
        <v/>
      </c>
      <c r="D425" s="23" t="str">
        <f aca="false">IF(B425="","",Office_Log!ED25&amp;"")</f>
        <v/>
      </c>
      <c r="E425" s="23" t="str">
        <f aca="false">IF(B425="","",IF(Office_Log!B25="","",Office_Log!B25&amp;""))</f>
        <v/>
      </c>
      <c r="F425" s="23" t="str">
        <f aca="false">IF(B425="","","budget_probe")</f>
        <v/>
      </c>
      <c r="G425" s="23" t="str">
        <f aca="false">IF(B425="","",IF(ISNUMBER(Office_Log!Y25),Office_Log!Y25,""))</f>
        <v/>
      </c>
      <c r="H425" s="23" t="str">
        <f aca="false">IF(B425="","",IF(Office_Log!X25="","",Office_Log!X25&amp;""))</f>
        <v/>
      </c>
      <c r="I425" s="23" t="str">
        <f aca="false">IF(B425="","","")</f>
        <v/>
      </c>
      <c r="J425" s="23" t="str">
        <f aca="false">IF(B425="","",IF(AND(ISNUMBER(Office_Log!Z25),N(Office_Log!Z25)&gt;N(Office_Log!Y25)),"range to "&amp;Office_Log!Z25&amp;" per month",""))</f>
        <v/>
      </c>
      <c r="K425" s="32" t="s">
        <v>1354</v>
      </c>
    </row>
    <row r="426" customFormat="false" ht="15" hidden="false" customHeight="false" outlineLevel="0" collapsed="false">
      <c r="A426" s="23" t="str">
        <f aca="false">IF(B426="","",B426+(3*1000+25)/10000000)</f>
        <v/>
      </c>
      <c r="B426" s="35" t="str">
        <f aca="false">IF(Office_Log!BR26=1,Office_Log!H26,"")</f>
        <v/>
      </c>
      <c r="C426" s="23" t="str">
        <f aca="false">IF(B426="","","office")</f>
        <v/>
      </c>
      <c r="D426" s="23" t="str">
        <f aca="false">IF(B426="","",Office_Log!ED26&amp;"")</f>
        <v/>
      </c>
      <c r="E426" s="23" t="str">
        <f aca="false">IF(B426="","",IF(Office_Log!B26="","",Office_Log!B26&amp;""))</f>
        <v/>
      </c>
      <c r="F426" s="23" t="str">
        <f aca="false">IF(B426="","","budget_probe")</f>
        <v/>
      </c>
      <c r="G426" s="23" t="str">
        <f aca="false">IF(B426="","",IF(ISNUMBER(Office_Log!Y26),Office_Log!Y26,""))</f>
        <v/>
      </c>
      <c r="H426" s="23" t="str">
        <f aca="false">IF(B426="","",IF(Office_Log!X26="","",Office_Log!X26&amp;""))</f>
        <v/>
      </c>
      <c r="I426" s="23" t="str">
        <f aca="false">IF(B426="","","")</f>
        <v/>
      </c>
      <c r="J426" s="23" t="str">
        <f aca="false">IF(B426="","",IF(AND(ISNUMBER(Office_Log!Z26),N(Office_Log!Z26)&gt;N(Office_Log!Y26)),"range to "&amp;Office_Log!Z26&amp;" per month",""))</f>
        <v/>
      </c>
      <c r="K426" s="32" t="s">
        <v>1354</v>
      </c>
    </row>
    <row r="427" customFormat="false" ht="15" hidden="false" customHeight="false" outlineLevel="0" collapsed="false">
      <c r="A427" s="23" t="str">
        <f aca="false">IF(B427="","",B427+(3*1000+26)/10000000)</f>
        <v/>
      </c>
      <c r="B427" s="35" t="str">
        <f aca="false">IF(Office_Log!BR27=1,Office_Log!H27,"")</f>
        <v/>
      </c>
      <c r="C427" s="23" t="str">
        <f aca="false">IF(B427="","","office")</f>
        <v/>
      </c>
      <c r="D427" s="23" t="str">
        <f aca="false">IF(B427="","",Office_Log!ED27&amp;"")</f>
        <v/>
      </c>
      <c r="E427" s="23" t="str">
        <f aca="false">IF(B427="","",IF(Office_Log!B27="","",Office_Log!B27&amp;""))</f>
        <v/>
      </c>
      <c r="F427" s="23" t="str">
        <f aca="false">IF(B427="","","budget_probe")</f>
        <v/>
      </c>
      <c r="G427" s="23" t="str">
        <f aca="false">IF(B427="","",IF(ISNUMBER(Office_Log!Y27),Office_Log!Y27,""))</f>
        <v/>
      </c>
      <c r="H427" s="23" t="str">
        <f aca="false">IF(B427="","",IF(Office_Log!X27="","",Office_Log!X27&amp;""))</f>
        <v/>
      </c>
      <c r="I427" s="23" t="str">
        <f aca="false">IF(B427="","","")</f>
        <v/>
      </c>
      <c r="J427" s="23" t="str">
        <f aca="false">IF(B427="","",IF(AND(ISNUMBER(Office_Log!Z27),N(Office_Log!Z27)&gt;N(Office_Log!Y27)),"range to "&amp;Office_Log!Z27&amp;" per month",""))</f>
        <v/>
      </c>
      <c r="K427" s="32" t="s">
        <v>1354</v>
      </c>
    </row>
    <row r="428" customFormat="false" ht="15" hidden="false" customHeight="false" outlineLevel="0" collapsed="false">
      <c r="A428" s="23" t="str">
        <f aca="false">IF(B428="","",B428+(3*1000+27)/10000000)</f>
        <v/>
      </c>
      <c r="B428" s="35" t="str">
        <f aca="false">IF(Office_Log!BR28=1,Office_Log!H28,"")</f>
        <v/>
      </c>
      <c r="C428" s="23" t="str">
        <f aca="false">IF(B428="","","office")</f>
        <v/>
      </c>
      <c r="D428" s="23" t="str">
        <f aca="false">IF(B428="","",Office_Log!ED28&amp;"")</f>
        <v/>
      </c>
      <c r="E428" s="23" t="str">
        <f aca="false">IF(B428="","",IF(Office_Log!B28="","",Office_Log!B28&amp;""))</f>
        <v/>
      </c>
      <c r="F428" s="23" t="str">
        <f aca="false">IF(B428="","","budget_probe")</f>
        <v/>
      </c>
      <c r="G428" s="23" t="str">
        <f aca="false">IF(B428="","",IF(ISNUMBER(Office_Log!Y28),Office_Log!Y28,""))</f>
        <v/>
      </c>
      <c r="H428" s="23" t="str">
        <f aca="false">IF(B428="","",IF(Office_Log!X28="","",Office_Log!X28&amp;""))</f>
        <v/>
      </c>
      <c r="I428" s="23" t="str">
        <f aca="false">IF(B428="","","")</f>
        <v/>
      </c>
      <c r="J428" s="23" t="str">
        <f aca="false">IF(B428="","",IF(AND(ISNUMBER(Office_Log!Z28),N(Office_Log!Z28)&gt;N(Office_Log!Y28)),"range to "&amp;Office_Log!Z28&amp;" per month",""))</f>
        <v/>
      </c>
      <c r="K428" s="32" t="s">
        <v>1354</v>
      </c>
    </row>
    <row r="429" customFormat="false" ht="15" hidden="false" customHeight="false" outlineLevel="0" collapsed="false">
      <c r="A429" s="23" t="str">
        <f aca="false">IF(B429="","",B429+(3*1000+28)/10000000)</f>
        <v/>
      </c>
      <c r="B429" s="35" t="str">
        <f aca="false">IF(Office_Log!BR29=1,Office_Log!H29,"")</f>
        <v/>
      </c>
      <c r="C429" s="23" t="str">
        <f aca="false">IF(B429="","","office")</f>
        <v/>
      </c>
      <c r="D429" s="23" t="str">
        <f aca="false">IF(B429="","",Office_Log!ED29&amp;"")</f>
        <v/>
      </c>
      <c r="E429" s="23" t="str">
        <f aca="false">IF(B429="","",IF(Office_Log!B29="","",Office_Log!B29&amp;""))</f>
        <v/>
      </c>
      <c r="F429" s="23" t="str">
        <f aca="false">IF(B429="","","budget_probe")</f>
        <v/>
      </c>
      <c r="G429" s="23" t="str">
        <f aca="false">IF(B429="","",IF(ISNUMBER(Office_Log!Y29),Office_Log!Y29,""))</f>
        <v/>
      </c>
      <c r="H429" s="23" t="str">
        <f aca="false">IF(B429="","",IF(Office_Log!X29="","",Office_Log!X29&amp;""))</f>
        <v/>
      </c>
      <c r="I429" s="23" t="str">
        <f aca="false">IF(B429="","","")</f>
        <v/>
      </c>
      <c r="J429" s="23" t="str">
        <f aca="false">IF(B429="","",IF(AND(ISNUMBER(Office_Log!Z29),N(Office_Log!Z29)&gt;N(Office_Log!Y29)),"range to "&amp;Office_Log!Z29&amp;" per month",""))</f>
        <v/>
      </c>
      <c r="K429" s="32" t="s">
        <v>1354</v>
      </c>
    </row>
    <row r="430" customFormat="false" ht="15" hidden="false" customHeight="false" outlineLevel="0" collapsed="false">
      <c r="A430" s="23" t="str">
        <f aca="false">IF(B430="","",B430+(3*1000+29)/10000000)</f>
        <v/>
      </c>
      <c r="B430" s="35" t="str">
        <f aca="false">IF(Office_Log!BR30=1,Office_Log!H30,"")</f>
        <v/>
      </c>
      <c r="C430" s="23" t="str">
        <f aca="false">IF(B430="","","office")</f>
        <v/>
      </c>
      <c r="D430" s="23" t="str">
        <f aca="false">IF(B430="","",Office_Log!ED30&amp;"")</f>
        <v/>
      </c>
      <c r="E430" s="23" t="str">
        <f aca="false">IF(B430="","",IF(Office_Log!B30="","",Office_Log!B30&amp;""))</f>
        <v/>
      </c>
      <c r="F430" s="23" t="str">
        <f aca="false">IF(B430="","","budget_probe")</f>
        <v/>
      </c>
      <c r="G430" s="23" t="str">
        <f aca="false">IF(B430="","",IF(ISNUMBER(Office_Log!Y30),Office_Log!Y30,""))</f>
        <v/>
      </c>
      <c r="H430" s="23" t="str">
        <f aca="false">IF(B430="","",IF(Office_Log!X30="","",Office_Log!X30&amp;""))</f>
        <v/>
      </c>
      <c r="I430" s="23" t="str">
        <f aca="false">IF(B430="","","")</f>
        <v/>
      </c>
      <c r="J430" s="23" t="str">
        <f aca="false">IF(B430="","",IF(AND(ISNUMBER(Office_Log!Z30),N(Office_Log!Z30)&gt;N(Office_Log!Y30)),"range to "&amp;Office_Log!Z30&amp;" per month",""))</f>
        <v/>
      </c>
      <c r="K430" s="32" t="s">
        <v>1354</v>
      </c>
    </row>
    <row r="431" customFormat="false" ht="15" hidden="false" customHeight="false" outlineLevel="0" collapsed="false">
      <c r="A431" s="23" t="str">
        <f aca="false">IF(B431="","",B431+(3*1000+30)/10000000)</f>
        <v/>
      </c>
      <c r="B431" s="35" t="str">
        <f aca="false">IF(Office_Log!BR31=1,Office_Log!H31,"")</f>
        <v/>
      </c>
      <c r="C431" s="23" t="str">
        <f aca="false">IF(B431="","","office")</f>
        <v/>
      </c>
      <c r="D431" s="23" t="str">
        <f aca="false">IF(B431="","",Office_Log!ED31&amp;"")</f>
        <v/>
      </c>
      <c r="E431" s="23" t="str">
        <f aca="false">IF(B431="","",IF(Office_Log!B31="","",Office_Log!B31&amp;""))</f>
        <v/>
      </c>
      <c r="F431" s="23" t="str">
        <f aca="false">IF(B431="","","budget_probe")</f>
        <v/>
      </c>
      <c r="G431" s="23" t="str">
        <f aca="false">IF(B431="","",IF(ISNUMBER(Office_Log!Y31),Office_Log!Y31,""))</f>
        <v/>
      </c>
      <c r="H431" s="23" t="str">
        <f aca="false">IF(B431="","",IF(Office_Log!X31="","",Office_Log!X31&amp;""))</f>
        <v/>
      </c>
      <c r="I431" s="23" t="str">
        <f aca="false">IF(B431="","","")</f>
        <v/>
      </c>
      <c r="J431" s="23" t="str">
        <f aca="false">IF(B431="","",IF(AND(ISNUMBER(Office_Log!Z31),N(Office_Log!Z31)&gt;N(Office_Log!Y31)),"range to "&amp;Office_Log!Z31&amp;" per month",""))</f>
        <v/>
      </c>
      <c r="K431" s="32" t="s">
        <v>1354</v>
      </c>
    </row>
    <row r="432" customFormat="false" ht="15" hidden="false" customHeight="false" outlineLevel="0" collapsed="false">
      <c r="A432" s="23" t="str">
        <f aca="false">IF(B432="","",B432+(3*1000+31)/10000000)</f>
        <v/>
      </c>
      <c r="B432" s="35" t="str">
        <f aca="false">IF(Office_Log!BR32=1,Office_Log!H32,"")</f>
        <v/>
      </c>
      <c r="C432" s="23" t="str">
        <f aca="false">IF(B432="","","office")</f>
        <v/>
      </c>
      <c r="D432" s="23" t="str">
        <f aca="false">IF(B432="","",Office_Log!ED32&amp;"")</f>
        <v/>
      </c>
      <c r="E432" s="23" t="str">
        <f aca="false">IF(B432="","",IF(Office_Log!B32="","",Office_Log!B32&amp;""))</f>
        <v/>
      </c>
      <c r="F432" s="23" t="str">
        <f aca="false">IF(B432="","","budget_probe")</f>
        <v/>
      </c>
      <c r="G432" s="23" t="str">
        <f aca="false">IF(B432="","",IF(ISNUMBER(Office_Log!Y32),Office_Log!Y32,""))</f>
        <v/>
      </c>
      <c r="H432" s="23" t="str">
        <f aca="false">IF(B432="","",IF(Office_Log!X32="","",Office_Log!X32&amp;""))</f>
        <v/>
      </c>
      <c r="I432" s="23" t="str">
        <f aca="false">IF(B432="","","")</f>
        <v/>
      </c>
      <c r="J432" s="23" t="str">
        <f aca="false">IF(B432="","",IF(AND(ISNUMBER(Office_Log!Z32),N(Office_Log!Z32)&gt;N(Office_Log!Y32)),"range to "&amp;Office_Log!Z32&amp;" per month",""))</f>
        <v/>
      </c>
      <c r="K432" s="32" t="s">
        <v>1354</v>
      </c>
    </row>
    <row r="433" customFormat="false" ht="15" hidden="false" customHeight="false" outlineLevel="0" collapsed="false">
      <c r="A433" s="23" t="str">
        <f aca="false">IF(B433="","",B433+(3*1000+32)/10000000)</f>
        <v/>
      </c>
      <c r="B433" s="35" t="str">
        <f aca="false">IF(Office_Log!BR33=1,Office_Log!H33,"")</f>
        <v/>
      </c>
      <c r="C433" s="23" t="str">
        <f aca="false">IF(B433="","","office")</f>
        <v/>
      </c>
      <c r="D433" s="23" t="str">
        <f aca="false">IF(B433="","",Office_Log!ED33&amp;"")</f>
        <v/>
      </c>
      <c r="E433" s="23" t="str">
        <f aca="false">IF(B433="","",IF(Office_Log!B33="","",Office_Log!B33&amp;""))</f>
        <v/>
      </c>
      <c r="F433" s="23" t="str">
        <f aca="false">IF(B433="","","budget_probe")</f>
        <v/>
      </c>
      <c r="G433" s="23" t="str">
        <f aca="false">IF(B433="","",IF(ISNUMBER(Office_Log!Y33),Office_Log!Y33,""))</f>
        <v/>
      </c>
      <c r="H433" s="23" t="str">
        <f aca="false">IF(B433="","",IF(Office_Log!X33="","",Office_Log!X33&amp;""))</f>
        <v/>
      </c>
      <c r="I433" s="23" t="str">
        <f aca="false">IF(B433="","","")</f>
        <v/>
      </c>
      <c r="J433" s="23" t="str">
        <f aca="false">IF(B433="","",IF(AND(ISNUMBER(Office_Log!Z33),N(Office_Log!Z33)&gt;N(Office_Log!Y33)),"range to "&amp;Office_Log!Z33&amp;" per month",""))</f>
        <v/>
      </c>
      <c r="K433" s="32" t="s">
        <v>1354</v>
      </c>
    </row>
    <row r="434" customFormat="false" ht="15" hidden="false" customHeight="false" outlineLevel="0" collapsed="false">
      <c r="A434" s="23" t="str">
        <f aca="false">IF(B434="","",B434+(3*1000+33)/10000000)</f>
        <v/>
      </c>
      <c r="B434" s="35" t="str">
        <f aca="false">IF(Office_Log!BR34=1,Office_Log!H34,"")</f>
        <v/>
      </c>
      <c r="C434" s="23" t="str">
        <f aca="false">IF(B434="","","office")</f>
        <v/>
      </c>
      <c r="D434" s="23" t="str">
        <f aca="false">IF(B434="","",Office_Log!ED34&amp;"")</f>
        <v/>
      </c>
      <c r="E434" s="23" t="str">
        <f aca="false">IF(B434="","",IF(Office_Log!B34="","",Office_Log!B34&amp;""))</f>
        <v/>
      </c>
      <c r="F434" s="23" t="str">
        <f aca="false">IF(B434="","","budget_probe")</f>
        <v/>
      </c>
      <c r="G434" s="23" t="str">
        <f aca="false">IF(B434="","",IF(ISNUMBER(Office_Log!Y34),Office_Log!Y34,""))</f>
        <v/>
      </c>
      <c r="H434" s="23" t="str">
        <f aca="false">IF(B434="","",IF(Office_Log!X34="","",Office_Log!X34&amp;""))</f>
        <v/>
      </c>
      <c r="I434" s="23" t="str">
        <f aca="false">IF(B434="","","")</f>
        <v/>
      </c>
      <c r="J434" s="23" t="str">
        <f aca="false">IF(B434="","",IF(AND(ISNUMBER(Office_Log!Z34),N(Office_Log!Z34)&gt;N(Office_Log!Y34)),"range to "&amp;Office_Log!Z34&amp;" per month",""))</f>
        <v/>
      </c>
      <c r="K434" s="32" t="s">
        <v>1354</v>
      </c>
    </row>
    <row r="435" customFormat="false" ht="15" hidden="false" customHeight="false" outlineLevel="0" collapsed="false">
      <c r="A435" s="23" t="str">
        <f aca="false">IF(B435="","",B435+(3*1000+34)/10000000)</f>
        <v/>
      </c>
      <c r="B435" s="35" t="str">
        <f aca="false">IF(Office_Log!BR35=1,Office_Log!H35,"")</f>
        <v/>
      </c>
      <c r="C435" s="23" t="str">
        <f aca="false">IF(B435="","","office")</f>
        <v/>
      </c>
      <c r="D435" s="23" t="str">
        <f aca="false">IF(B435="","",Office_Log!ED35&amp;"")</f>
        <v/>
      </c>
      <c r="E435" s="23" t="str">
        <f aca="false">IF(B435="","",IF(Office_Log!B35="","",Office_Log!B35&amp;""))</f>
        <v/>
      </c>
      <c r="F435" s="23" t="str">
        <f aca="false">IF(B435="","","budget_probe")</f>
        <v/>
      </c>
      <c r="G435" s="23" t="str">
        <f aca="false">IF(B435="","",IF(ISNUMBER(Office_Log!Y35),Office_Log!Y35,""))</f>
        <v/>
      </c>
      <c r="H435" s="23" t="str">
        <f aca="false">IF(B435="","",IF(Office_Log!X35="","",Office_Log!X35&amp;""))</f>
        <v/>
      </c>
      <c r="I435" s="23" t="str">
        <f aca="false">IF(B435="","","")</f>
        <v/>
      </c>
      <c r="J435" s="23" t="str">
        <f aca="false">IF(B435="","",IF(AND(ISNUMBER(Office_Log!Z35),N(Office_Log!Z35)&gt;N(Office_Log!Y35)),"range to "&amp;Office_Log!Z35&amp;" per month",""))</f>
        <v/>
      </c>
      <c r="K435" s="32" t="s">
        <v>1354</v>
      </c>
    </row>
    <row r="436" customFormat="false" ht="15" hidden="false" customHeight="false" outlineLevel="0" collapsed="false">
      <c r="A436" s="23" t="str">
        <f aca="false">IF(B436="","",B436+(3*1000+35)/10000000)</f>
        <v/>
      </c>
      <c r="B436" s="35" t="str">
        <f aca="false">IF(Office_Log!BR36=1,Office_Log!H36,"")</f>
        <v/>
      </c>
      <c r="C436" s="23" t="str">
        <f aca="false">IF(B436="","","office")</f>
        <v/>
      </c>
      <c r="D436" s="23" t="str">
        <f aca="false">IF(B436="","",Office_Log!ED36&amp;"")</f>
        <v/>
      </c>
      <c r="E436" s="23" t="str">
        <f aca="false">IF(B436="","",IF(Office_Log!B36="","",Office_Log!B36&amp;""))</f>
        <v/>
      </c>
      <c r="F436" s="23" t="str">
        <f aca="false">IF(B436="","","budget_probe")</f>
        <v/>
      </c>
      <c r="G436" s="23" t="str">
        <f aca="false">IF(B436="","",IF(ISNUMBER(Office_Log!Y36),Office_Log!Y36,""))</f>
        <v/>
      </c>
      <c r="H436" s="23" t="str">
        <f aca="false">IF(B436="","",IF(Office_Log!X36="","",Office_Log!X36&amp;""))</f>
        <v/>
      </c>
      <c r="I436" s="23" t="str">
        <f aca="false">IF(B436="","","")</f>
        <v/>
      </c>
      <c r="J436" s="23" t="str">
        <f aca="false">IF(B436="","",IF(AND(ISNUMBER(Office_Log!Z36),N(Office_Log!Z36)&gt;N(Office_Log!Y36)),"range to "&amp;Office_Log!Z36&amp;" per month",""))</f>
        <v/>
      </c>
      <c r="K436" s="32" t="s">
        <v>1354</v>
      </c>
    </row>
    <row r="437" customFormat="false" ht="15" hidden="false" customHeight="false" outlineLevel="0" collapsed="false">
      <c r="A437" s="23" t="str">
        <f aca="false">IF(B437="","",B437+(3*1000+36)/10000000)</f>
        <v/>
      </c>
      <c r="B437" s="35" t="str">
        <f aca="false">IF(Office_Log!BR37=1,Office_Log!H37,"")</f>
        <v/>
      </c>
      <c r="C437" s="23" t="str">
        <f aca="false">IF(B437="","","office")</f>
        <v/>
      </c>
      <c r="D437" s="23" t="str">
        <f aca="false">IF(B437="","",Office_Log!ED37&amp;"")</f>
        <v/>
      </c>
      <c r="E437" s="23" t="str">
        <f aca="false">IF(B437="","",IF(Office_Log!B37="","",Office_Log!B37&amp;""))</f>
        <v/>
      </c>
      <c r="F437" s="23" t="str">
        <f aca="false">IF(B437="","","budget_probe")</f>
        <v/>
      </c>
      <c r="G437" s="23" t="str">
        <f aca="false">IF(B437="","",IF(ISNUMBER(Office_Log!Y37),Office_Log!Y37,""))</f>
        <v/>
      </c>
      <c r="H437" s="23" t="str">
        <f aca="false">IF(B437="","",IF(Office_Log!X37="","",Office_Log!X37&amp;""))</f>
        <v/>
      </c>
      <c r="I437" s="23" t="str">
        <f aca="false">IF(B437="","","")</f>
        <v/>
      </c>
      <c r="J437" s="23" t="str">
        <f aca="false">IF(B437="","",IF(AND(ISNUMBER(Office_Log!Z37),N(Office_Log!Z37)&gt;N(Office_Log!Y37)),"range to "&amp;Office_Log!Z37&amp;" per month",""))</f>
        <v/>
      </c>
      <c r="K437" s="32" t="s">
        <v>1354</v>
      </c>
    </row>
    <row r="438" customFormat="false" ht="15" hidden="false" customHeight="false" outlineLevel="0" collapsed="false">
      <c r="A438" s="23" t="str">
        <f aca="false">IF(B438="","",B438+(3*1000+37)/10000000)</f>
        <v/>
      </c>
      <c r="B438" s="35" t="str">
        <f aca="false">IF(Office_Log!BR38=1,Office_Log!H38,"")</f>
        <v/>
      </c>
      <c r="C438" s="23" t="str">
        <f aca="false">IF(B438="","","office")</f>
        <v/>
      </c>
      <c r="D438" s="23" t="str">
        <f aca="false">IF(B438="","",Office_Log!ED38&amp;"")</f>
        <v/>
      </c>
      <c r="E438" s="23" t="str">
        <f aca="false">IF(B438="","",IF(Office_Log!B38="","",Office_Log!B38&amp;""))</f>
        <v/>
      </c>
      <c r="F438" s="23" t="str">
        <f aca="false">IF(B438="","","budget_probe")</f>
        <v/>
      </c>
      <c r="G438" s="23" t="str">
        <f aca="false">IF(B438="","",IF(ISNUMBER(Office_Log!Y38),Office_Log!Y38,""))</f>
        <v/>
      </c>
      <c r="H438" s="23" t="str">
        <f aca="false">IF(B438="","",IF(Office_Log!X38="","",Office_Log!X38&amp;""))</f>
        <v/>
      </c>
      <c r="I438" s="23" t="str">
        <f aca="false">IF(B438="","","")</f>
        <v/>
      </c>
      <c r="J438" s="23" t="str">
        <f aca="false">IF(B438="","",IF(AND(ISNUMBER(Office_Log!Z38),N(Office_Log!Z38)&gt;N(Office_Log!Y38)),"range to "&amp;Office_Log!Z38&amp;" per month",""))</f>
        <v/>
      </c>
      <c r="K438" s="32" t="s">
        <v>1354</v>
      </c>
    </row>
    <row r="439" customFormat="false" ht="15" hidden="false" customHeight="false" outlineLevel="0" collapsed="false">
      <c r="A439" s="23" t="str">
        <f aca="false">IF(B439="","",B439+(3*1000+38)/10000000)</f>
        <v/>
      </c>
      <c r="B439" s="35" t="str">
        <f aca="false">IF(Office_Log!BR39=1,Office_Log!H39,"")</f>
        <v/>
      </c>
      <c r="C439" s="23" t="str">
        <f aca="false">IF(B439="","","office")</f>
        <v/>
      </c>
      <c r="D439" s="23" t="str">
        <f aca="false">IF(B439="","",Office_Log!ED39&amp;"")</f>
        <v/>
      </c>
      <c r="E439" s="23" t="str">
        <f aca="false">IF(B439="","",IF(Office_Log!B39="","",Office_Log!B39&amp;""))</f>
        <v/>
      </c>
      <c r="F439" s="23" t="str">
        <f aca="false">IF(B439="","","budget_probe")</f>
        <v/>
      </c>
      <c r="G439" s="23" t="str">
        <f aca="false">IF(B439="","",IF(ISNUMBER(Office_Log!Y39),Office_Log!Y39,""))</f>
        <v/>
      </c>
      <c r="H439" s="23" t="str">
        <f aca="false">IF(B439="","",IF(Office_Log!X39="","",Office_Log!X39&amp;""))</f>
        <v/>
      </c>
      <c r="I439" s="23" t="str">
        <f aca="false">IF(B439="","","")</f>
        <v/>
      </c>
      <c r="J439" s="23" t="str">
        <f aca="false">IF(B439="","",IF(AND(ISNUMBER(Office_Log!Z39),N(Office_Log!Z39)&gt;N(Office_Log!Y39)),"range to "&amp;Office_Log!Z39&amp;" per month",""))</f>
        <v/>
      </c>
      <c r="K439" s="32" t="s">
        <v>1354</v>
      </c>
    </row>
    <row r="440" customFormat="false" ht="15" hidden="false" customHeight="false" outlineLevel="0" collapsed="false">
      <c r="A440" s="23" t="str">
        <f aca="false">IF(B440="","",B440+(3*1000+39)/10000000)</f>
        <v/>
      </c>
      <c r="B440" s="35" t="str">
        <f aca="false">IF(Office_Log!BR40=1,Office_Log!H40,"")</f>
        <v/>
      </c>
      <c r="C440" s="23" t="str">
        <f aca="false">IF(B440="","","office")</f>
        <v/>
      </c>
      <c r="D440" s="23" t="str">
        <f aca="false">IF(B440="","",Office_Log!ED40&amp;"")</f>
        <v/>
      </c>
      <c r="E440" s="23" t="str">
        <f aca="false">IF(B440="","",IF(Office_Log!B40="","",Office_Log!B40&amp;""))</f>
        <v/>
      </c>
      <c r="F440" s="23" t="str">
        <f aca="false">IF(B440="","","budget_probe")</f>
        <v/>
      </c>
      <c r="G440" s="23" t="str">
        <f aca="false">IF(B440="","",IF(ISNUMBER(Office_Log!Y40),Office_Log!Y40,""))</f>
        <v/>
      </c>
      <c r="H440" s="23" t="str">
        <f aca="false">IF(B440="","",IF(Office_Log!X40="","",Office_Log!X40&amp;""))</f>
        <v/>
      </c>
      <c r="I440" s="23" t="str">
        <f aca="false">IF(B440="","","")</f>
        <v/>
      </c>
      <c r="J440" s="23" t="str">
        <f aca="false">IF(B440="","",IF(AND(ISNUMBER(Office_Log!Z40),N(Office_Log!Z40)&gt;N(Office_Log!Y40)),"range to "&amp;Office_Log!Z40&amp;" per month",""))</f>
        <v/>
      </c>
      <c r="K440" s="32" t="s">
        <v>1354</v>
      </c>
    </row>
    <row r="441" customFormat="false" ht="15" hidden="false" customHeight="false" outlineLevel="0" collapsed="false">
      <c r="A441" s="23" t="str">
        <f aca="false">IF(B441="","",B441+(3*1000+40)/10000000)</f>
        <v/>
      </c>
      <c r="B441" s="35" t="str">
        <f aca="false">IF(Office_Log!BR41=1,Office_Log!H41,"")</f>
        <v/>
      </c>
      <c r="C441" s="23" t="str">
        <f aca="false">IF(B441="","","office")</f>
        <v/>
      </c>
      <c r="D441" s="23" t="str">
        <f aca="false">IF(B441="","",Office_Log!ED41&amp;"")</f>
        <v/>
      </c>
      <c r="E441" s="23" t="str">
        <f aca="false">IF(B441="","",IF(Office_Log!B41="","",Office_Log!B41&amp;""))</f>
        <v/>
      </c>
      <c r="F441" s="23" t="str">
        <f aca="false">IF(B441="","","budget_probe")</f>
        <v/>
      </c>
      <c r="G441" s="23" t="str">
        <f aca="false">IF(B441="","",IF(ISNUMBER(Office_Log!Y41),Office_Log!Y41,""))</f>
        <v/>
      </c>
      <c r="H441" s="23" t="str">
        <f aca="false">IF(B441="","",IF(Office_Log!X41="","",Office_Log!X41&amp;""))</f>
        <v/>
      </c>
      <c r="I441" s="23" t="str">
        <f aca="false">IF(B441="","","")</f>
        <v/>
      </c>
      <c r="J441" s="23" t="str">
        <f aca="false">IF(B441="","",IF(AND(ISNUMBER(Office_Log!Z41),N(Office_Log!Z41)&gt;N(Office_Log!Y41)),"range to "&amp;Office_Log!Z41&amp;" per month",""))</f>
        <v/>
      </c>
      <c r="K441" s="32" t="s">
        <v>1354</v>
      </c>
    </row>
    <row r="442" customFormat="false" ht="15" hidden="false" customHeight="false" outlineLevel="0" collapsed="false">
      <c r="A442" s="23" t="str">
        <f aca="false">IF(B442="","",B442+(3*1000+41)/10000000)</f>
        <v/>
      </c>
      <c r="B442" s="35" t="str">
        <f aca="false">IF(Office_Log!BR42=1,Office_Log!H42,"")</f>
        <v/>
      </c>
      <c r="C442" s="23" t="str">
        <f aca="false">IF(B442="","","office")</f>
        <v/>
      </c>
      <c r="D442" s="23" t="str">
        <f aca="false">IF(B442="","",Office_Log!ED42&amp;"")</f>
        <v/>
      </c>
      <c r="E442" s="23" t="str">
        <f aca="false">IF(B442="","",IF(Office_Log!B42="","",Office_Log!B42&amp;""))</f>
        <v/>
      </c>
      <c r="F442" s="23" t="str">
        <f aca="false">IF(B442="","","budget_probe")</f>
        <v/>
      </c>
      <c r="G442" s="23" t="str">
        <f aca="false">IF(B442="","",IF(ISNUMBER(Office_Log!Y42),Office_Log!Y42,""))</f>
        <v/>
      </c>
      <c r="H442" s="23" t="str">
        <f aca="false">IF(B442="","",IF(Office_Log!X42="","",Office_Log!X42&amp;""))</f>
        <v/>
      </c>
      <c r="I442" s="23" t="str">
        <f aca="false">IF(B442="","","")</f>
        <v/>
      </c>
      <c r="J442" s="23" t="str">
        <f aca="false">IF(B442="","",IF(AND(ISNUMBER(Office_Log!Z42),N(Office_Log!Z42)&gt;N(Office_Log!Y42)),"range to "&amp;Office_Log!Z42&amp;" per month",""))</f>
        <v/>
      </c>
      <c r="K442" s="32" t="s">
        <v>1354</v>
      </c>
    </row>
    <row r="443" customFormat="false" ht="15" hidden="false" customHeight="false" outlineLevel="0" collapsed="false">
      <c r="A443" s="23" t="str">
        <f aca="false">IF(B443="","",B443+(3*1000+42)/10000000)</f>
        <v/>
      </c>
      <c r="B443" s="35" t="str">
        <f aca="false">IF(Office_Log!BR43=1,Office_Log!H43,"")</f>
        <v/>
      </c>
      <c r="C443" s="23" t="str">
        <f aca="false">IF(B443="","","office")</f>
        <v/>
      </c>
      <c r="D443" s="23" t="str">
        <f aca="false">IF(B443="","",Office_Log!ED43&amp;"")</f>
        <v/>
      </c>
      <c r="E443" s="23" t="str">
        <f aca="false">IF(B443="","",IF(Office_Log!B43="","",Office_Log!B43&amp;""))</f>
        <v/>
      </c>
      <c r="F443" s="23" t="str">
        <f aca="false">IF(B443="","","budget_probe")</f>
        <v/>
      </c>
      <c r="G443" s="23" t="str">
        <f aca="false">IF(B443="","",IF(ISNUMBER(Office_Log!Y43),Office_Log!Y43,""))</f>
        <v/>
      </c>
      <c r="H443" s="23" t="str">
        <f aca="false">IF(B443="","",IF(Office_Log!X43="","",Office_Log!X43&amp;""))</f>
        <v/>
      </c>
      <c r="I443" s="23" t="str">
        <f aca="false">IF(B443="","","")</f>
        <v/>
      </c>
      <c r="J443" s="23" t="str">
        <f aca="false">IF(B443="","",IF(AND(ISNUMBER(Office_Log!Z43),N(Office_Log!Z43)&gt;N(Office_Log!Y43)),"range to "&amp;Office_Log!Z43&amp;" per month",""))</f>
        <v/>
      </c>
      <c r="K443" s="32" t="s">
        <v>1354</v>
      </c>
    </row>
    <row r="444" customFormat="false" ht="15" hidden="false" customHeight="false" outlineLevel="0" collapsed="false">
      <c r="A444" s="23" t="str">
        <f aca="false">IF(B444="","",B444+(3*1000+43)/10000000)</f>
        <v/>
      </c>
      <c r="B444" s="35" t="str">
        <f aca="false">IF(Office_Log!BR44=1,Office_Log!H44,"")</f>
        <v/>
      </c>
      <c r="C444" s="23" t="str">
        <f aca="false">IF(B444="","","office")</f>
        <v/>
      </c>
      <c r="D444" s="23" t="str">
        <f aca="false">IF(B444="","",Office_Log!ED44&amp;"")</f>
        <v/>
      </c>
      <c r="E444" s="23" t="str">
        <f aca="false">IF(B444="","",IF(Office_Log!B44="","",Office_Log!B44&amp;""))</f>
        <v/>
      </c>
      <c r="F444" s="23" t="str">
        <f aca="false">IF(B444="","","budget_probe")</f>
        <v/>
      </c>
      <c r="G444" s="23" t="str">
        <f aca="false">IF(B444="","",IF(ISNUMBER(Office_Log!Y44),Office_Log!Y44,""))</f>
        <v/>
      </c>
      <c r="H444" s="23" t="str">
        <f aca="false">IF(B444="","",IF(Office_Log!X44="","",Office_Log!X44&amp;""))</f>
        <v/>
      </c>
      <c r="I444" s="23" t="str">
        <f aca="false">IF(B444="","","")</f>
        <v/>
      </c>
      <c r="J444" s="23" t="str">
        <f aca="false">IF(B444="","",IF(AND(ISNUMBER(Office_Log!Z44),N(Office_Log!Z44)&gt;N(Office_Log!Y44)),"range to "&amp;Office_Log!Z44&amp;" per month",""))</f>
        <v/>
      </c>
      <c r="K444" s="32" t="s">
        <v>1354</v>
      </c>
    </row>
    <row r="445" customFormat="false" ht="15" hidden="false" customHeight="false" outlineLevel="0" collapsed="false">
      <c r="A445" s="23" t="str">
        <f aca="false">IF(B445="","",B445+(3*1000+44)/10000000)</f>
        <v/>
      </c>
      <c r="B445" s="35" t="str">
        <f aca="false">IF(Office_Log!BR45=1,Office_Log!H45,"")</f>
        <v/>
      </c>
      <c r="C445" s="23" t="str">
        <f aca="false">IF(B445="","","office")</f>
        <v/>
      </c>
      <c r="D445" s="23" t="str">
        <f aca="false">IF(B445="","",Office_Log!ED45&amp;"")</f>
        <v/>
      </c>
      <c r="E445" s="23" t="str">
        <f aca="false">IF(B445="","",IF(Office_Log!B45="","",Office_Log!B45&amp;""))</f>
        <v/>
      </c>
      <c r="F445" s="23" t="str">
        <f aca="false">IF(B445="","","budget_probe")</f>
        <v/>
      </c>
      <c r="G445" s="23" t="str">
        <f aca="false">IF(B445="","",IF(ISNUMBER(Office_Log!Y45),Office_Log!Y45,""))</f>
        <v/>
      </c>
      <c r="H445" s="23" t="str">
        <f aca="false">IF(B445="","",IF(Office_Log!X45="","",Office_Log!X45&amp;""))</f>
        <v/>
      </c>
      <c r="I445" s="23" t="str">
        <f aca="false">IF(B445="","","")</f>
        <v/>
      </c>
      <c r="J445" s="23" t="str">
        <f aca="false">IF(B445="","",IF(AND(ISNUMBER(Office_Log!Z45),N(Office_Log!Z45)&gt;N(Office_Log!Y45)),"range to "&amp;Office_Log!Z45&amp;" per month",""))</f>
        <v/>
      </c>
      <c r="K445" s="32" t="s">
        <v>1354</v>
      </c>
    </row>
    <row r="446" customFormat="false" ht="15" hidden="false" customHeight="false" outlineLevel="0" collapsed="false">
      <c r="A446" s="23" t="str">
        <f aca="false">IF(B446="","",B446+(3*1000+45)/10000000)</f>
        <v/>
      </c>
      <c r="B446" s="35" t="str">
        <f aca="false">IF(Office_Log!BR46=1,Office_Log!H46,"")</f>
        <v/>
      </c>
      <c r="C446" s="23" t="str">
        <f aca="false">IF(B446="","","office")</f>
        <v/>
      </c>
      <c r="D446" s="23" t="str">
        <f aca="false">IF(B446="","",Office_Log!ED46&amp;"")</f>
        <v/>
      </c>
      <c r="E446" s="23" t="str">
        <f aca="false">IF(B446="","",IF(Office_Log!B46="","",Office_Log!B46&amp;""))</f>
        <v/>
      </c>
      <c r="F446" s="23" t="str">
        <f aca="false">IF(B446="","","budget_probe")</f>
        <v/>
      </c>
      <c r="G446" s="23" t="str">
        <f aca="false">IF(B446="","",IF(ISNUMBER(Office_Log!Y46),Office_Log!Y46,""))</f>
        <v/>
      </c>
      <c r="H446" s="23" t="str">
        <f aca="false">IF(B446="","",IF(Office_Log!X46="","",Office_Log!X46&amp;""))</f>
        <v/>
      </c>
      <c r="I446" s="23" t="str">
        <f aca="false">IF(B446="","","")</f>
        <v/>
      </c>
      <c r="J446" s="23" t="str">
        <f aca="false">IF(B446="","",IF(AND(ISNUMBER(Office_Log!Z46),N(Office_Log!Z46)&gt;N(Office_Log!Y46)),"range to "&amp;Office_Log!Z46&amp;" per month",""))</f>
        <v/>
      </c>
      <c r="K446" s="32" t="s">
        <v>1354</v>
      </c>
    </row>
    <row r="447" customFormat="false" ht="15" hidden="false" customHeight="false" outlineLevel="0" collapsed="false">
      <c r="A447" s="23" t="str">
        <f aca="false">IF(B447="","",B447+(3*1000+46)/10000000)</f>
        <v/>
      </c>
      <c r="B447" s="35" t="str">
        <f aca="false">IF(Office_Log!BR47=1,Office_Log!H47,"")</f>
        <v/>
      </c>
      <c r="C447" s="23" t="str">
        <f aca="false">IF(B447="","","office")</f>
        <v/>
      </c>
      <c r="D447" s="23" t="str">
        <f aca="false">IF(B447="","",Office_Log!ED47&amp;"")</f>
        <v/>
      </c>
      <c r="E447" s="23" t="str">
        <f aca="false">IF(B447="","",IF(Office_Log!B47="","",Office_Log!B47&amp;""))</f>
        <v/>
      </c>
      <c r="F447" s="23" t="str">
        <f aca="false">IF(B447="","","budget_probe")</f>
        <v/>
      </c>
      <c r="G447" s="23" t="str">
        <f aca="false">IF(B447="","",IF(ISNUMBER(Office_Log!Y47),Office_Log!Y47,""))</f>
        <v/>
      </c>
      <c r="H447" s="23" t="str">
        <f aca="false">IF(B447="","",IF(Office_Log!X47="","",Office_Log!X47&amp;""))</f>
        <v/>
      </c>
      <c r="I447" s="23" t="str">
        <f aca="false">IF(B447="","","")</f>
        <v/>
      </c>
      <c r="J447" s="23" t="str">
        <f aca="false">IF(B447="","",IF(AND(ISNUMBER(Office_Log!Z47),N(Office_Log!Z47)&gt;N(Office_Log!Y47)),"range to "&amp;Office_Log!Z47&amp;" per month",""))</f>
        <v/>
      </c>
      <c r="K447" s="32" t="s">
        <v>1354</v>
      </c>
    </row>
    <row r="448" customFormat="false" ht="15" hidden="false" customHeight="false" outlineLevel="0" collapsed="false">
      <c r="A448" s="23" t="str">
        <f aca="false">IF(B448="","",B448+(3*1000+47)/10000000)</f>
        <v/>
      </c>
      <c r="B448" s="35" t="str">
        <f aca="false">IF(Office_Log!BR48=1,Office_Log!H48,"")</f>
        <v/>
      </c>
      <c r="C448" s="23" t="str">
        <f aca="false">IF(B448="","","office")</f>
        <v/>
      </c>
      <c r="D448" s="23" t="str">
        <f aca="false">IF(B448="","",Office_Log!ED48&amp;"")</f>
        <v/>
      </c>
      <c r="E448" s="23" t="str">
        <f aca="false">IF(B448="","",IF(Office_Log!B48="","",Office_Log!B48&amp;""))</f>
        <v/>
      </c>
      <c r="F448" s="23" t="str">
        <f aca="false">IF(B448="","","budget_probe")</f>
        <v/>
      </c>
      <c r="G448" s="23" t="str">
        <f aca="false">IF(B448="","",IF(ISNUMBER(Office_Log!Y48),Office_Log!Y48,""))</f>
        <v/>
      </c>
      <c r="H448" s="23" t="str">
        <f aca="false">IF(B448="","",IF(Office_Log!X48="","",Office_Log!X48&amp;""))</f>
        <v/>
      </c>
      <c r="I448" s="23" t="str">
        <f aca="false">IF(B448="","","")</f>
        <v/>
      </c>
      <c r="J448" s="23" t="str">
        <f aca="false">IF(B448="","",IF(AND(ISNUMBER(Office_Log!Z48),N(Office_Log!Z48)&gt;N(Office_Log!Y48)),"range to "&amp;Office_Log!Z48&amp;" per month",""))</f>
        <v/>
      </c>
      <c r="K448" s="32" t="s">
        <v>1354</v>
      </c>
    </row>
    <row r="449" customFormat="false" ht="15" hidden="false" customHeight="false" outlineLevel="0" collapsed="false">
      <c r="A449" s="23" t="str">
        <f aca="false">IF(B449="","",B449+(3*1000+48)/10000000)</f>
        <v/>
      </c>
      <c r="B449" s="35" t="str">
        <f aca="false">IF(Office_Log!BR49=1,Office_Log!H49,"")</f>
        <v/>
      </c>
      <c r="C449" s="23" t="str">
        <f aca="false">IF(B449="","","office")</f>
        <v/>
      </c>
      <c r="D449" s="23" t="str">
        <f aca="false">IF(B449="","",Office_Log!ED49&amp;"")</f>
        <v/>
      </c>
      <c r="E449" s="23" t="str">
        <f aca="false">IF(B449="","",IF(Office_Log!B49="","",Office_Log!B49&amp;""))</f>
        <v/>
      </c>
      <c r="F449" s="23" t="str">
        <f aca="false">IF(B449="","","budget_probe")</f>
        <v/>
      </c>
      <c r="G449" s="23" t="str">
        <f aca="false">IF(B449="","",IF(ISNUMBER(Office_Log!Y49),Office_Log!Y49,""))</f>
        <v/>
      </c>
      <c r="H449" s="23" t="str">
        <f aca="false">IF(B449="","",IF(Office_Log!X49="","",Office_Log!X49&amp;""))</f>
        <v/>
      </c>
      <c r="I449" s="23" t="str">
        <f aca="false">IF(B449="","","")</f>
        <v/>
      </c>
      <c r="J449" s="23" t="str">
        <f aca="false">IF(B449="","",IF(AND(ISNUMBER(Office_Log!Z49),N(Office_Log!Z49)&gt;N(Office_Log!Y49)),"range to "&amp;Office_Log!Z49&amp;" per month",""))</f>
        <v/>
      </c>
      <c r="K449" s="32" t="s">
        <v>1354</v>
      </c>
    </row>
    <row r="450" customFormat="false" ht="15" hidden="false" customHeight="false" outlineLevel="0" collapsed="false">
      <c r="A450" s="23" t="str">
        <f aca="false">IF(B450="","",B450+(3*1000+49)/10000000)</f>
        <v/>
      </c>
      <c r="B450" s="35" t="str">
        <f aca="false">IF(Office_Log!BR50=1,Office_Log!H50,"")</f>
        <v/>
      </c>
      <c r="C450" s="23" t="str">
        <f aca="false">IF(B450="","","office")</f>
        <v/>
      </c>
      <c r="D450" s="23" t="str">
        <f aca="false">IF(B450="","",Office_Log!ED50&amp;"")</f>
        <v/>
      </c>
      <c r="E450" s="23" t="str">
        <f aca="false">IF(B450="","",IF(Office_Log!B50="","",Office_Log!B50&amp;""))</f>
        <v/>
      </c>
      <c r="F450" s="23" t="str">
        <f aca="false">IF(B450="","","budget_probe")</f>
        <v/>
      </c>
      <c r="G450" s="23" t="str">
        <f aca="false">IF(B450="","",IF(ISNUMBER(Office_Log!Y50),Office_Log!Y50,""))</f>
        <v/>
      </c>
      <c r="H450" s="23" t="str">
        <f aca="false">IF(B450="","",IF(Office_Log!X50="","",Office_Log!X50&amp;""))</f>
        <v/>
      </c>
      <c r="I450" s="23" t="str">
        <f aca="false">IF(B450="","","")</f>
        <v/>
      </c>
      <c r="J450" s="23" t="str">
        <f aca="false">IF(B450="","",IF(AND(ISNUMBER(Office_Log!Z50),N(Office_Log!Z50)&gt;N(Office_Log!Y50)),"range to "&amp;Office_Log!Z50&amp;" per month",""))</f>
        <v/>
      </c>
      <c r="K450" s="32" t="s">
        <v>1354</v>
      </c>
    </row>
    <row r="451" customFormat="false" ht="15" hidden="false" customHeight="false" outlineLevel="0" collapsed="false">
      <c r="A451" s="23" t="str">
        <f aca="false">IF(B451="","",B451+(3*1000+50)/10000000)</f>
        <v/>
      </c>
      <c r="B451" s="35" t="str">
        <f aca="false">IF(Office_Log!BR51=1,Office_Log!H51,"")</f>
        <v/>
      </c>
      <c r="C451" s="23" t="str">
        <f aca="false">IF(B451="","","office")</f>
        <v/>
      </c>
      <c r="D451" s="23" t="str">
        <f aca="false">IF(B451="","",Office_Log!ED51&amp;"")</f>
        <v/>
      </c>
      <c r="E451" s="23" t="str">
        <f aca="false">IF(B451="","",IF(Office_Log!B51="","",Office_Log!B51&amp;""))</f>
        <v/>
      </c>
      <c r="F451" s="23" t="str">
        <f aca="false">IF(B451="","","budget_probe")</f>
        <v/>
      </c>
      <c r="G451" s="23" t="str">
        <f aca="false">IF(B451="","",IF(ISNUMBER(Office_Log!Y51),Office_Log!Y51,""))</f>
        <v/>
      </c>
      <c r="H451" s="23" t="str">
        <f aca="false">IF(B451="","",IF(Office_Log!X51="","",Office_Log!X51&amp;""))</f>
        <v/>
      </c>
      <c r="I451" s="23" t="str">
        <f aca="false">IF(B451="","","")</f>
        <v/>
      </c>
      <c r="J451" s="23" t="str">
        <f aca="false">IF(B451="","",IF(AND(ISNUMBER(Office_Log!Z51),N(Office_Log!Z51)&gt;N(Office_Log!Y51)),"range to "&amp;Office_Log!Z51&amp;" per month",""))</f>
        <v/>
      </c>
      <c r="K451" s="32" t="s">
        <v>1354</v>
      </c>
    </row>
    <row r="452" customFormat="false" ht="15" hidden="false" customHeight="false" outlineLevel="0" collapsed="false">
      <c r="A452" s="23" t="str">
        <f aca="false">IF(B452="","",B452+(3*1000+51)/10000000)</f>
        <v/>
      </c>
      <c r="B452" s="35" t="str">
        <f aca="false">IF(Office_Log!BR52=1,Office_Log!H52,"")</f>
        <v/>
      </c>
      <c r="C452" s="23" t="str">
        <f aca="false">IF(B452="","","office")</f>
        <v/>
      </c>
      <c r="D452" s="23" t="str">
        <f aca="false">IF(B452="","",Office_Log!ED52&amp;"")</f>
        <v/>
      </c>
      <c r="E452" s="23" t="str">
        <f aca="false">IF(B452="","",IF(Office_Log!B52="","",Office_Log!B52&amp;""))</f>
        <v/>
      </c>
      <c r="F452" s="23" t="str">
        <f aca="false">IF(B452="","","budget_probe")</f>
        <v/>
      </c>
      <c r="G452" s="23" t="str">
        <f aca="false">IF(B452="","",IF(ISNUMBER(Office_Log!Y52),Office_Log!Y52,""))</f>
        <v/>
      </c>
      <c r="H452" s="23" t="str">
        <f aca="false">IF(B452="","",IF(Office_Log!X52="","",Office_Log!X52&amp;""))</f>
        <v/>
      </c>
      <c r="I452" s="23" t="str">
        <f aca="false">IF(B452="","","")</f>
        <v/>
      </c>
      <c r="J452" s="23" t="str">
        <f aca="false">IF(B452="","",IF(AND(ISNUMBER(Office_Log!Z52),N(Office_Log!Z52)&gt;N(Office_Log!Y52)),"range to "&amp;Office_Log!Z52&amp;" per month",""))</f>
        <v/>
      </c>
      <c r="K452" s="32" t="s">
        <v>1354</v>
      </c>
    </row>
    <row r="453" customFormat="false" ht="15" hidden="false" customHeight="false" outlineLevel="0" collapsed="false">
      <c r="A453" s="23" t="str">
        <f aca="false">IF(B453="","",B453+(3*1000+52)/10000000)</f>
        <v/>
      </c>
      <c r="B453" s="35" t="str">
        <f aca="false">IF(Office_Log!BR53=1,Office_Log!H53,"")</f>
        <v/>
      </c>
      <c r="C453" s="23" t="str">
        <f aca="false">IF(B453="","","office")</f>
        <v/>
      </c>
      <c r="D453" s="23" t="str">
        <f aca="false">IF(B453="","",Office_Log!ED53&amp;"")</f>
        <v/>
      </c>
      <c r="E453" s="23" t="str">
        <f aca="false">IF(B453="","",IF(Office_Log!B53="","",Office_Log!B53&amp;""))</f>
        <v/>
      </c>
      <c r="F453" s="23" t="str">
        <f aca="false">IF(B453="","","budget_probe")</f>
        <v/>
      </c>
      <c r="G453" s="23" t="str">
        <f aca="false">IF(B453="","",IF(ISNUMBER(Office_Log!Y53),Office_Log!Y53,""))</f>
        <v/>
      </c>
      <c r="H453" s="23" t="str">
        <f aca="false">IF(B453="","",IF(Office_Log!X53="","",Office_Log!X53&amp;""))</f>
        <v/>
      </c>
      <c r="I453" s="23" t="str">
        <f aca="false">IF(B453="","","")</f>
        <v/>
      </c>
      <c r="J453" s="23" t="str">
        <f aca="false">IF(B453="","",IF(AND(ISNUMBER(Office_Log!Z53),N(Office_Log!Z53)&gt;N(Office_Log!Y53)),"range to "&amp;Office_Log!Z53&amp;" per month",""))</f>
        <v/>
      </c>
      <c r="K453" s="32" t="s">
        <v>1354</v>
      </c>
    </row>
    <row r="454" customFormat="false" ht="15" hidden="false" customHeight="false" outlineLevel="0" collapsed="false">
      <c r="A454" s="23" t="str">
        <f aca="false">IF(B454="","",B454+(3*1000+53)/10000000)</f>
        <v/>
      </c>
      <c r="B454" s="35" t="str">
        <f aca="false">IF(Office_Log!BR54=1,Office_Log!H54,"")</f>
        <v/>
      </c>
      <c r="C454" s="23" t="str">
        <f aca="false">IF(B454="","","office")</f>
        <v/>
      </c>
      <c r="D454" s="23" t="str">
        <f aca="false">IF(B454="","",Office_Log!ED54&amp;"")</f>
        <v/>
      </c>
      <c r="E454" s="23" t="str">
        <f aca="false">IF(B454="","",IF(Office_Log!B54="","",Office_Log!B54&amp;""))</f>
        <v/>
      </c>
      <c r="F454" s="23" t="str">
        <f aca="false">IF(B454="","","budget_probe")</f>
        <v/>
      </c>
      <c r="G454" s="23" t="str">
        <f aca="false">IF(B454="","",IF(ISNUMBER(Office_Log!Y54),Office_Log!Y54,""))</f>
        <v/>
      </c>
      <c r="H454" s="23" t="str">
        <f aca="false">IF(B454="","",IF(Office_Log!X54="","",Office_Log!X54&amp;""))</f>
        <v/>
      </c>
      <c r="I454" s="23" t="str">
        <f aca="false">IF(B454="","","")</f>
        <v/>
      </c>
      <c r="J454" s="23" t="str">
        <f aca="false">IF(B454="","",IF(AND(ISNUMBER(Office_Log!Z54),N(Office_Log!Z54)&gt;N(Office_Log!Y54)),"range to "&amp;Office_Log!Z54&amp;" per month",""))</f>
        <v/>
      </c>
      <c r="K454" s="32" t="s">
        <v>1354</v>
      </c>
    </row>
    <row r="455" customFormat="false" ht="15" hidden="false" customHeight="false" outlineLevel="0" collapsed="false">
      <c r="A455" s="23" t="str">
        <f aca="false">IF(B455="","",B455+(3*1000+54)/10000000)</f>
        <v/>
      </c>
      <c r="B455" s="35" t="str">
        <f aca="false">IF(Office_Log!BR55=1,Office_Log!H55,"")</f>
        <v/>
      </c>
      <c r="C455" s="23" t="str">
        <f aca="false">IF(B455="","","office")</f>
        <v/>
      </c>
      <c r="D455" s="23" t="str">
        <f aca="false">IF(B455="","",Office_Log!ED55&amp;"")</f>
        <v/>
      </c>
      <c r="E455" s="23" t="str">
        <f aca="false">IF(B455="","",IF(Office_Log!B55="","",Office_Log!B55&amp;""))</f>
        <v/>
      </c>
      <c r="F455" s="23" t="str">
        <f aca="false">IF(B455="","","budget_probe")</f>
        <v/>
      </c>
      <c r="G455" s="23" t="str">
        <f aca="false">IF(B455="","",IF(ISNUMBER(Office_Log!Y55),Office_Log!Y55,""))</f>
        <v/>
      </c>
      <c r="H455" s="23" t="str">
        <f aca="false">IF(B455="","",IF(Office_Log!X55="","",Office_Log!X55&amp;""))</f>
        <v/>
      </c>
      <c r="I455" s="23" t="str">
        <f aca="false">IF(B455="","","")</f>
        <v/>
      </c>
      <c r="J455" s="23" t="str">
        <f aca="false">IF(B455="","",IF(AND(ISNUMBER(Office_Log!Z55),N(Office_Log!Z55)&gt;N(Office_Log!Y55)),"range to "&amp;Office_Log!Z55&amp;" per month",""))</f>
        <v/>
      </c>
      <c r="K455" s="32" t="s">
        <v>1354</v>
      </c>
    </row>
    <row r="456" customFormat="false" ht="15" hidden="false" customHeight="false" outlineLevel="0" collapsed="false">
      <c r="A456" s="23" t="str">
        <f aca="false">IF(B456="","",B456+(3*1000+55)/10000000)</f>
        <v/>
      </c>
      <c r="B456" s="35" t="str">
        <f aca="false">IF(Office_Log!BR56=1,Office_Log!H56,"")</f>
        <v/>
      </c>
      <c r="C456" s="23" t="str">
        <f aca="false">IF(B456="","","office")</f>
        <v/>
      </c>
      <c r="D456" s="23" t="str">
        <f aca="false">IF(B456="","",Office_Log!ED56&amp;"")</f>
        <v/>
      </c>
      <c r="E456" s="23" t="str">
        <f aca="false">IF(B456="","",IF(Office_Log!B56="","",Office_Log!B56&amp;""))</f>
        <v/>
      </c>
      <c r="F456" s="23" t="str">
        <f aca="false">IF(B456="","","budget_probe")</f>
        <v/>
      </c>
      <c r="G456" s="23" t="str">
        <f aca="false">IF(B456="","",IF(ISNUMBER(Office_Log!Y56),Office_Log!Y56,""))</f>
        <v/>
      </c>
      <c r="H456" s="23" t="str">
        <f aca="false">IF(B456="","",IF(Office_Log!X56="","",Office_Log!X56&amp;""))</f>
        <v/>
      </c>
      <c r="I456" s="23" t="str">
        <f aca="false">IF(B456="","","")</f>
        <v/>
      </c>
      <c r="J456" s="23" t="str">
        <f aca="false">IF(B456="","",IF(AND(ISNUMBER(Office_Log!Z56),N(Office_Log!Z56)&gt;N(Office_Log!Y56)),"range to "&amp;Office_Log!Z56&amp;" per month",""))</f>
        <v/>
      </c>
      <c r="K456" s="32" t="s">
        <v>1354</v>
      </c>
    </row>
    <row r="457" customFormat="false" ht="15" hidden="false" customHeight="false" outlineLevel="0" collapsed="false">
      <c r="A457" s="23" t="str">
        <f aca="false">IF(B457="","",B457+(3*1000+56)/10000000)</f>
        <v/>
      </c>
      <c r="B457" s="35" t="str">
        <f aca="false">IF(Office_Log!BR57=1,Office_Log!H57,"")</f>
        <v/>
      </c>
      <c r="C457" s="23" t="str">
        <f aca="false">IF(B457="","","office")</f>
        <v/>
      </c>
      <c r="D457" s="23" t="str">
        <f aca="false">IF(B457="","",Office_Log!ED57&amp;"")</f>
        <v/>
      </c>
      <c r="E457" s="23" t="str">
        <f aca="false">IF(B457="","",IF(Office_Log!B57="","",Office_Log!B57&amp;""))</f>
        <v/>
      </c>
      <c r="F457" s="23" t="str">
        <f aca="false">IF(B457="","","budget_probe")</f>
        <v/>
      </c>
      <c r="G457" s="23" t="str">
        <f aca="false">IF(B457="","",IF(ISNUMBER(Office_Log!Y57),Office_Log!Y57,""))</f>
        <v/>
      </c>
      <c r="H457" s="23" t="str">
        <f aca="false">IF(B457="","",IF(Office_Log!X57="","",Office_Log!X57&amp;""))</f>
        <v/>
      </c>
      <c r="I457" s="23" t="str">
        <f aca="false">IF(B457="","","")</f>
        <v/>
      </c>
      <c r="J457" s="23" t="str">
        <f aca="false">IF(B457="","",IF(AND(ISNUMBER(Office_Log!Z57),N(Office_Log!Z57)&gt;N(Office_Log!Y57)),"range to "&amp;Office_Log!Z57&amp;" per month",""))</f>
        <v/>
      </c>
      <c r="K457" s="32" t="s">
        <v>1354</v>
      </c>
    </row>
    <row r="458" customFormat="false" ht="15" hidden="false" customHeight="false" outlineLevel="0" collapsed="false">
      <c r="A458" s="23" t="str">
        <f aca="false">IF(B458="","",B458+(3*1000+57)/10000000)</f>
        <v/>
      </c>
      <c r="B458" s="35" t="str">
        <f aca="false">IF(Office_Log!BR58=1,Office_Log!H58,"")</f>
        <v/>
      </c>
      <c r="C458" s="23" t="str">
        <f aca="false">IF(B458="","","office")</f>
        <v/>
      </c>
      <c r="D458" s="23" t="str">
        <f aca="false">IF(B458="","",Office_Log!ED58&amp;"")</f>
        <v/>
      </c>
      <c r="E458" s="23" t="str">
        <f aca="false">IF(B458="","",IF(Office_Log!B58="","",Office_Log!B58&amp;""))</f>
        <v/>
      </c>
      <c r="F458" s="23" t="str">
        <f aca="false">IF(B458="","","budget_probe")</f>
        <v/>
      </c>
      <c r="G458" s="23" t="str">
        <f aca="false">IF(B458="","",IF(ISNUMBER(Office_Log!Y58),Office_Log!Y58,""))</f>
        <v/>
      </c>
      <c r="H458" s="23" t="str">
        <f aca="false">IF(B458="","",IF(Office_Log!X58="","",Office_Log!X58&amp;""))</f>
        <v/>
      </c>
      <c r="I458" s="23" t="str">
        <f aca="false">IF(B458="","","")</f>
        <v/>
      </c>
      <c r="J458" s="23" t="str">
        <f aca="false">IF(B458="","",IF(AND(ISNUMBER(Office_Log!Z58),N(Office_Log!Z58)&gt;N(Office_Log!Y58)),"range to "&amp;Office_Log!Z58&amp;" per month",""))</f>
        <v/>
      </c>
      <c r="K458" s="32" t="s">
        <v>1354</v>
      </c>
    </row>
    <row r="459" customFormat="false" ht="15" hidden="false" customHeight="false" outlineLevel="0" collapsed="false">
      <c r="A459" s="23" t="str">
        <f aca="false">IF(B459="","",B459+(3*1000+58)/10000000)</f>
        <v/>
      </c>
      <c r="B459" s="35" t="str">
        <f aca="false">IF(Office_Log!BR59=1,Office_Log!H59,"")</f>
        <v/>
      </c>
      <c r="C459" s="23" t="str">
        <f aca="false">IF(B459="","","office")</f>
        <v/>
      </c>
      <c r="D459" s="23" t="str">
        <f aca="false">IF(B459="","",Office_Log!ED59&amp;"")</f>
        <v/>
      </c>
      <c r="E459" s="23" t="str">
        <f aca="false">IF(B459="","",IF(Office_Log!B59="","",Office_Log!B59&amp;""))</f>
        <v/>
      </c>
      <c r="F459" s="23" t="str">
        <f aca="false">IF(B459="","","budget_probe")</f>
        <v/>
      </c>
      <c r="G459" s="23" t="str">
        <f aca="false">IF(B459="","",IF(ISNUMBER(Office_Log!Y59),Office_Log!Y59,""))</f>
        <v/>
      </c>
      <c r="H459" s="23" t="str">
        <f aca="false">IF(B459="","",IF(Office_Log!X59="","",Office_Log!X59&amp;""))</f>
        <v/>
      </c>
      <c r="I459" s="23" t="str">
        <f aca="false">IF(B459="","","")</f>
        <v/>
      </c>
      <c r="J459" s="23" t="str">
        <f aca="false">IF(B459="","",IF(AND(ISNUMBER(Office_Log!Z59),N(Office_Log!Z59)&gt;N(Office_Log!Y59)),"range to "&amp;Office_Log!Z59&amp;" per month",""))</f>
        <v/>
      </c>
      <c r="K459" s="32" t="s">
        <v>1354</v>
      </c>
    </row>
    <row r="460" customFormat="false" ht="15" hidden="false" customHeight="false" outlineLevel="0" collapsed="false">
      <c r="A460" s="23" t="str">
        <f aca="false">IF(B460="","",B460+(3*1000+59)/10000000)</f>
        <v/>
      </c>
      <c r="B460" s="35" t="str">
        <f aca="false">IF(Office_Log!BR60=1,Office_Log!H60,"")</f>
        <v/>
      </c>
      <c r="C460" s="23" t="str">
        <f aca="false">IF(B460="","","office")</f>
        <v/>
      </c>
      <c r="D460" s="23" t="str">
        <f aca="false">IF(B460="","",Office_Log!ED60&amp;"")</f>
        <v/>
      </c>
      <c r="E460" s="23" t="str">
        <f aca="false">IF(B460="","",IF(Office_Log!B60="","",Office_Log!B60&amp;""))</f>
        <v/>
      </c>
      <c r="F460" s="23" t="str">
        <f aca="false">IF(B460="","","budget_probe")</f>
        <v/>
      </c>
      <c r="G460" s="23" t="str">
        <f aca="false">IF(B460="","",IF(ISNUMBER(Office_Log!Y60),Office_Log!Y60,""))</f>
        <v/>
      </c>
      <c r="H460" s="23" t="str">
        <f aca="false">IF(B460="","",IF(Office_Log!X60="","",Office_Log!X60&amp;""))</f>
        <v/>
      </c>
      <c r="I460" s="23" t="str">
        <f aca="false">IF(B460="","","")</f>
        <v/>
      </c>
      <c r="J460" s="23" t="str">
        <f aca="false">IF(B460="","",IF(AND(ISNUMBER(Office_Log!Z60),N(Office_Log!Z60)&gt;N(Office_Log!Y60)),"range to "&amp;Office_Log!Z60&amp;" per month",""))</f>
        <v/>
      </c>
      <c r="K460" s="32" t="s">
        <v>1354</v>
      </c>
    </row>
    <row r="461" customFormat="false" ht="15" hidden="false" customHeight="false" outlineLevel="0" collapsed="false">
      <c r="A461" s="23" t="str">
        <f aca="false">IF(B461="","",B461+(3*1000+60)/10000000)</f>
        <v/>
      </c>
      <c r="B461" s="35" t="str">
        <f aca="false">IF(Office_Log!BR61=1,Office_Log!H61,"")</f>
        <v/>
      </c>
      <c r="C461" s="23" t="str">
        <f aca="false">IF(B461="","","office")</f>
        <v/>
      </c>
      <c r="D461" s="23" t="str">
        <f aca="false">IF(B461="","",Office_Log!ED61&amp;"")</f>
        <v/>
      </c>
      <c r="E461" s="23" t="str">
        <f aca="false">IF(B461="","",IF(Office_Log!B61="","",Office_Log!B61&amp;""))</f>
        <v/>
      </c>
      <c r="F461" s="23" t="str">
        <f aca="false">IF(B461="","","budget_probe")</f>
        <v/>
      </c>
      <c r="G461" s="23" t="str">
        <f aca="false">IF(B461="","",IF(ISNUMBER(Office_Log!Y61),Office_Log!Y61,""))</f>
        <v/>
      </c>
      <c r="H461" s="23" t="str">
        <f aca="false">IF(B461="","",IF(Office_Log!X61="","",Office_Log!X61&amp;""))</f>
        <v/>
      </c>
      <c r="I461" s="23" t="str">
        <f aca="false">IF(B461="","","")</f>
        <v/>
      </c>
      <c r="J461" s="23" t="str">
        <f aca="false">IF(B461="","",IF(AND(ISNUMBER(Office_Log!Z61),N(Office_Log!Z61)&gt;N(Office_Log!Y61)),"range to "&amp;Office_Log!Z61&amp;" per month",""))</f>
        <v/>
      </c>
      <c r="K461" s="32" t="s">
        <v>1354</v>
      </c>
    </row>
    <row r="462" customFormat="false" ht="15" hidden="false" customHeight="false" outlineLevel="0" collapsed="false">
      <c r="A462" s="23" t="str">
        <f aca="false">IF(B462="","",B462+(3*1000+61)/10000000)</f>
        <v/>
      </c>
      <c r="B462" s="35" t="str">
        <f aca="false">IF(Office_Log!BR62=1,Office_Log!H62,"")</f>
        <v/>
      </c>
      <c r="C462" s="23" t="str">
        <f aca="false">IF(B462="","","office")</f>
        <v/>
      </c>
      <c r="D462" s="23" t="str">
        <f aca="false">IF(B462="","",Office_Log!ED62&amp;"")</f>
        <v/>
      </c>
      <c r="E462" s="23" t="str">
        <f aca="false">IF(B462="","",IF(Office_Log!B62="","",Office_Log!B62&amp;""))</f>
        <v/>
      </c>
      <c r="F462" s="23" t="str">
        <f aca="false">IF(B462="","","budget_probe")</f>
        <v/>
      </c>
      <c r="G462" s="23" t="str">
        <f aca="false">IF(B462="","",IF(ISNUMBER(Office_Log!Y62),Office_Log!Y62,""))</f>
        <v/>
      </c>
      <c r="H462" s="23" t="str">
        <f aca="false">IF(B462="","",IF(Office_Log!X62="","",Office_Log!X62&amp;""))</f>
        <v/>
      </c>
      <c r="I462" s="23" t="str">
        <f aca="false">IF(B462="","","")</f>
        <v/>
      </c>
      <c r="J462" s="23" t="str">
        <f aca="false">IF(B462="","",IF(AND(ISNUMBER(Office_Log!Z62),N(Office_Log!Z62)&gt;N(Office_Log!Y62)),"range to "&amp;Office_Log!Z62&amp;" per month",""))</f>
        <v/>
      </c>
      <c r="K462" s="32" t="s">
        <v>1354</v>
      </c>
    </row>
    <row r="463" customFormat="false" ht="15" hidden="false" customHeight="false" outlineLevel="0" collapsed="false">
      <c r="A463" s="23" t="str">
        <f aca="false">IF(B463="","",B463+(3*1000+62)/10000000)</f>
        <v/>
      </c>
      <c r="B463" s="35" t="str">
        <f aca="false">IF(Office_Log!BR63=1,Office_Log!H63,"")</f>
        <v/>
      </c>
      <c r="C463" s="23" t="str">
        <f aca="false">IF(B463="","","office")</f>
        <v/>
      </c>
      <c r="D463" s="23" t="str">
        <f aca="false">IF(B463="","",Office_Log!ED63&amp;"")</f>
        <v/>
      </c>
      <c r="E463" s="23" t="str">
        <f aca="false">IF(B463="","",IF(Office_Log!B63="","",Office_Log!B63&amp;""))</f>
        <v/>
      </c>
      <c r="F463" s="23" t="str">
        <f aca="false">IF(B463="","","budget_probe")</f>
        <v/>
      </c>
      <c r="G463" s="23" t="str">
        <f aca="false">IF(B463="","",IF(ISNUMBER(Office_Log!Y63),Office_Log!Y63,""))</f>
        <v/>
      </c>
      <c r="H463" s="23" t="str">
        <f aca="false">IF(B463="","",IF(Office_Log!X63="","",Office_Log!X63&amp;""))</f>
        <v/>
      </c>
      <c r="I463" s="23" t="str">
        <f aca="false">IF(B463="","","")</f>
        <v/>
      </c>
      <c r="J463" s="23" t="str">
        <f aca="false">IF(B463="","",IF(AND(ISNUMBER(Office_Log!Z63),N(Office_Log!Z63)&gt;N(Office_Log!Y63)),"range to "&amp;Office_Log!Z63&amp;" per month",""))</f>
        <v/>
      </c>
      <c r="K463" s="32" t="s">
        <v>1354</v>
      </c>
    </row>
    <row r="464" customFormat="false" ht="15" hidden="false" customHeight="false" outlineLevel="0" collapsed="false">
      <c r="A464" s="23" t="str">
        <f aca="false">IF(B464="","",B464+(3*1000+63)/10000000)</f>
        <v/>
      </c>
      <c r="B464" s="35" t="str">
        <f aca="false">IF(Office_Log!BR64=1,Office_Log!H64,"")</f>
        <v/>
      </c>
      <c r="C464" s="23" t="str">
        <f aca="false">IF(B464="","","office")</f>
        <v/>
      </c>
      <c r="D464" s="23" t="str">
        <f aca="false">IF(B464="","",Office_Log!ED64&amp;"")</f>
        <v/>
      </c>
      <c r="E464" s="23" t="str">
        <f aca="false">IF(B464="","",IF(Office_Log!B64="","",Office_Log!B64&amp;""))</f>
        <v/>
      </c>
      <c r="F464" s="23" t="str">
        <f aca="false">IF(B464="","","budget_probe")</f>
        <v/>
      </c>
      <c r="G464" s="23" t="str">
        <f aca="false">IF(B464="","",IF(ISNUMBER(Office_Log!Y64),Office_Log!Y64,""))</f>
        <v/>
      </c>
      <c r="H464" s="23" t="str">
        <f aca="false">IF(B464="","",IF(Office_Log!X64="","",Office_Log!X64&amp;""))</f>
        <v/>
      </c>
      <c r="I464" s="23" t="str">
        <f aca="false">IF(B464="","","")</f>
        <v/>
      </c>
      <c r="J464" s="23" t="str">
        <f aca="false">IF(B464="","",IF(AND(ISNUMBER(Office_Log!Z64),N(Office_Log!Z64)&gt;N(Office_Log!Y64)),"range to "&amp;Office_Log!Z64&amp;" per month",""))</f>
        <v/>
      </c>
      <c r="K464" s="32" t="s">
        <v>1354</v>
      </c>
    </row>
    <row r="465" customFormat="false" ht="15" hidden="false" customHeight="false" outlineLevel="0" collapsed="false">
      <c r="A465" s="23" t="str">
        <f aca="false">IF(B465="","",B465+(3*1000+64)/10000000)</f>
        <v/>
      </c>
      <c r="B465" s="35" t="str">
        <f aca="false">IF(Office_Log!BR65=1,Office_Log!H65,"")</f>
        <v/>
      </c>
      <c r="C465" s="23" t="str">
        <f aca="false">IF(B465="","","office")</f>
        <v/>
      </c>
      <c r="D465" s="23" t="str">
        <f aca="false">IF(B465="","",Office_Log!ED65&amp;"")</f>
        <v/>
      </c>
      <c r="E465" s="23" t="str">
        <f aca="false">IF(B465="","",IF(Office_Log!B65="","",Office_Log!B65&amp;""))</f>
        <v/>
      </c>
      <c r="F465" s="23" t="str">
        <f aca="false">IF(B465="","","budget_probe")</f>
        <v/>
      </c>
      <c r="G465" s="23" t="str">
        <f aca="false">IF(B465="","",IF(ISNUMBER(Office_Log!Y65),Office_Log!Y65,""))</f>
        <v/>
      </c>
      <c r="H465" s="23" t="str">
        <f aca="false">IF(B465="","",IF(Office_Log!X65="","",Office_Log!X65&amp;""))</f>
        <v/>
      </c>
      <c r="I465" s="23" t="str">
        <f aca="false">IF(B465="","","")</f>
        <v/>
      </c>
      <c r="J465" s="23" t="str">
        <f aca="false">IF(B465="","",IF(AND(ISNUMBER(Office_Log!Z65),N(Office_Log!Z65)&gt;N(Office_Log!Y65)),"range to "&amp;Office_Log!Z65&amp;" per month",""))</f>
        <v/>
      </c>
      <c r="K465" s="32" t="s">
        <v>1354</v>
      </c>
    </row>
    <row r="466" customFormat="false" ht="15" hidden="false" customHeight="false" outlineLevel="0" collapsed="false">
      <c r="A466" s="23" t="str">
        <f aca="false">IF(B466="","",B466+(3*1000+65)/10000000)</f>
        <v/>
      </c>
      <c r="B466" s="35" t="str">
        <f aca="false">IF(Office_Log!BR66=1,Office_Log!H66,"")</f>
        <v/>
      </c>
      <c r="C466" s="23" t="str">
        <f aca="false">IF(B466="","","office")</f>
        <v/>
      </c>
      <c r="D466" s="23" t="str">
        <f aca="false">IF(B466="","",Office_Log!ED66&amp;"")</f>
        <v/>
      </c>
      <c r="E466" s="23" t="str">
        <f aca="false">IF(B466="","",IF(Office_Log!B66="","",Office_Log!B66&amp;""))</f>
        <v/>
      </c>
      <c r="F466" s="23" t="str">
        <f aca="false">IF(B466="","","budget_probe")</f>
        <v/>
      </c>
      <c r="G466" s="23" t="str">
        <f aca="false">IF(B466="","",IF(ISNUMBER(Office_Log!Y66),Office_Log!Y66,""))</f>
        <v/>
      </c>
      <c r="H466" s="23" t="str">
        <f aca="false">IF(B466="","",IF(Office_Log!X66="","",Office_Log!X66&amp;""))</f>
        <v/>
      </c>
      <c r="I466" s="23" t="str">
        <f aca="false">IF(B466="","","")</f>
        <v/>
      </c>
      <c r="J466" s="23" t="str">
        <f aca="false">IF(B466="","",IF(AND(ISNUMBER(Office_Log!Z66),N(Office_Log!Z66)&gt;N(Office_Log!Y66)),"range to "&amp;Office_Log!Z66&amp;" per month",""))</f>
        <v/>
      </c>
      <c r="K466" s="32" t="s">
        <v>1354</v>
      </c>
    </row>
    <row r="467" customFormat="false" ht="15" hidden="false" customHeight="false" outlineLevel="0" collapsed="false">
      <c r="A467" s="23" t="str">
        <f aca="false">IF(B467="","",B467+(3*1000+66)/10000000)</f>
        <v/>
      </c>
      <c r="B467" s="35" t="str">
        <f aca="false">IF(Office_Log!BR67=1,Office_Log!H67,"")</f>
        <v/>
      </c>
      <c r="C467" s="23" t="str">
        <f aca="false">IF(B467="","","office")</f>
        <v/>
      </c>
      <c r="D467" s="23" t="str">
        <f aca="false">IF(B467="","",Office_Log!ED67&amp;"")</f>
        <v/>
      </c>
      <c r="E467" s="23" t="str">
        <f aca="false">IF(B467="","",IF(Office_Log!B67="","",Office_Log!B67&amp;""))</f>
        <v/>
      </c>
      <c r="F467" s="23" t="str">
        <f aca="false">IF(B467="","","budget_probe")</f>
        <v/>
      </c>
      <c r="G467" s="23" t="str">
        <f aca="false">IF(B467="","",IF(ISNUMBER(Office_Log!Y67),Office_Log!Y67,""))</f>
        <v/>
      </c>
      <c r="H467" s="23" t="str">
        <f aca="false">IF(B467="","",IF(Office_Log!X67="","",Office_Log!X67&amp;""))</f>
        <v/>
      </c>
      <c r="I467" s="23" t="str">
        <f aca="false">IF(B467="","","")</f>
        <v/>
      </c>
      <c r="J467" s="23" t="str">
        <f aca="false">IF(B467="","",IF(AND(ISNUMBER(Office_Log!Z67),N(Office_Log!Z67)&gt;N(Office_Log!Y67)),"range to "&amp;Office_Log!Z67&amp;" per month",""))</f>
        <v/>
      </c>
      <c r="K467" s="32" t="s">
        <v>1354</v>
      </c>
    </row>
    <row r="468" customFormat="false" ht="15" hidden="false" customHeight="false" outlineLevel="0" collapsed="false">
      <c r="A468" s="23" t="str">
        <f aca="false">IF(B468="","",B468+(3*1000+67)/10000000)</f>
        <v/>
      </c>
      <c r="B468" s="35" t="str">
        <f aca="false">IF(Office_Log!BR68=1,Office_Log!H68,"")</f>
        <v/>
      </c>
      <c r="C468" s="23" t="str">
        <f aca="false">IF(B468="","","office")</f>
        <v/>
      </c>
      <c r="D468" s="23" t="str">
        <f aca="false">IF(B468="","",Office_Log!ED68&amp;"")</f>
        <v/>
      </c>
      <c r="E468" s="23" t="str">
        <f aca="false">IF(B468="","",IF(Office_Log!B68="","",Office_Log!B68&amp;""))</f>
        <v/>
      </c>
      <c r="F468" s="23" t="str">
        <f aca="false">IF(B468="","","budget_probe")</f>
        <v/>
      </c>
      <c r="G468" s="23" t="str">
        <f aca="false">IF(B468="","",IF(ISNUMBER(Office_Log!Y68),Office_Log!Y68,""))</f>
        <v/>
      </c>
      <c r="H468" s="23" t="str">
        <f aca="false">IF(B468="","",IF(Office_Log!X68="","",Office_Log!X68&amp;""))</f>
        <v/>
      </c>
      <c r="I468" s="23" t="str">
        <f aca="false">IF(B468="","","")</f>
        <v/>
      </c>
      <c r="J468" s="23" t="str">
        <f aca="false">IF(B468="","",IF(AND(ISNUMBER(Office_Log!Z68),N(Office_Log!Z68)&gt;N(Office_Log!Y68)),"range to "&amp;Office_Log!Z68&amp;" per month",""))</f>
        <v/>
      </c>
      <c r="K468" s="32" t="s">
        <v>1354</v>
      </c>
    </row>
    <row r="469" customFormat="false" ht="15" hidden="false" customHeight="false" outlineLevel="0" collapsed="false">
      <c r="A469" s="23" t="str">
        <f aca="false">IF(B469="","",B469+(3*1000+68)/10000000)</f>
        <v/>
      </c>
      <c r="B469" s="35" t="str">
        <f aca="false">IF(Office_Log!BR69=1,Office_Log!H69,"")</f>
        <v/>
      </c>
      <c r="C469" s="23" t="str">
        <f aca="false">IF(B469="","","office")</f>
        <v/>
      </c>
      <c r="D469" s="23" t="str">
        <f aca="false">IF(B469="","",Office_Log!ED69&amp;"")</f>
        <v/>
      </c>
      <c r="E469" s="23" t="str">
        <f aca="false">IF(B469="","",IF(Office_Log!B69="","",Office_Log!B69&amp;""))</f>
        <v/>
      </c>
      <c r="F469" s="23" t="str">
        <f aca="false">IF(B469="","","budget_probe")</f>
        <v/>
      </c>
      <c r="G469" s="23" t="str">
        <f aca="false">IF(B469="","",IF(ISNUMBER(Office_Log!Y69),Office_Log!Y69,""))</f>
        <v/>
      </c>
      <c r="H469" s="23" t="str">
        <f aca="false">IF(B469="","",IF(Office_Log!X69="","",Office_Log!X69&amp;""))</f>
        <v/>
      </c>
      <c r="I469" s="23" t="str">
        <f aca="false">IF(B469="","","")</f>
        <v/>
      </c>
      <c r="J469" s="23" t="str">
        <f aca="false">IF(B469="","",IF(AND(ISNUMBER(Office_Log!Z69),N(Office_Log!Z69)&gt;N(Office_Log!Y69)),"range to "&amp;Office_Log!Z69&amp;" per month",""))</f>
        <v/>
      </c>
      <c r="K469" s="32" t="s">
        <v>1354</v>
      </c>
    </row>
    <row r="470" customFormat="false" ht="15" hidden="false" customHeight="false" outlineLevel="0" collapsed="false">
      <c r="A470" s="23" t="str">
        <f aca="false">IF(B470="","",B470+(3*1000+69)/10000000)</f>
        <v/>
      </c>
      <c r="B470" s="35" t="str">
        <f aca="false">IF(Office_Log!BR70=1,Office_Log!H70,"")</f>
        <v/>
      </c>
      <c r="C470" s="23" t="str">
        <f aca="false">IF(B470="","","office")</f>
        <v/>
      </c>
      <c r="D470" s="23" t="str">
        <f aca="false">IF(B470="","",Office_Log!ED70&amp;"")</f>
        <v/>
      </c>
      <c r="E470" s="23" t="str">
        <f aca="false">IF(B470="","",IF(Office_Log!B70="","",Office_Log!B70&amp;""))</f>
        <v/>
      </c>
      <c r="F470" s="23" t="str">
        <f aca="false">IF(B470="","","budget_probe")</f>
        <v/>
      </c>
      <c r="G470" s="23" t="str">
        <f aca="false">IF(B470="","",IF(ISNUMBER(Office_Log!Y70),Office_Log!Y70,""))</f>
        <v/>
      </c>
      <c r="H470" s="23" t="str">
        <f aca="false">IF(B470="","",IF(Office_Log!X70="","",Office_Log!X70&amp;""))</f>
        <v/>
      </c>
      <c r="I470" s="23" t="str">
        <f aca="false">IF(B470="","","")</f>
        <v/>
      </c>
      <c r="J470" s="23" t="str">
        <f aca="false">IF(B470="","",IF(AND(ISNUMBER(Office_Log!Z70),N(Office_Log!Z70)&gt;N(Office_Log!Y70)),"range to "&amp;Office_Log!Z70&amp;" per month",""))</f>
        <v/>
      </c>
      <c r="K470" s="32" t="s">
        <v>1354</v>
      </c>
    </row>
    <row r="471" customFormat="false" ht="15" hidden="false" customHeight="false" outlineLevel="0" collapsed="false">
      <c r="A471" s="23" t="str">
        <f aca="false">IF(B471="","",B471+(3*1000+70)/10000000)</f>
        <v/>
      </c>
      <c r="B471" s="35" t="str">
        <f aca="false">IF(Office_Log!BR71=1,Office_Log!H71,"")</f>
        <v/>
      </c>
      <c r="C471" s="23" t="str">
        <f aca="false">IF(B471="","","office")</f>
        <v/>
      </c>
      <c r="D471" s="23" t="str">
        <f aca="false">IF(B471="","",Office_Log!ED71&amp;"")</f>
        <v/>
      </c>
      <c r="E471" s="23" t="str">
        <f aca="false">IF(B471="","",IF(Office_Log!B71="","",Office_Log!B71&amp;""))</f>
        <v/>
      </c>
      <c r="F471" s="23" t="str">
        <f aca="false">IF(B471="","","budget_probe")</f>
        <v/>
      </c>
      <c r="G471" s="23" t="str">
        <f aca="false">IF(B471="","",IF(ISNUMBER(Office_Log!Y71),Office_Log!Y71,""))</f>
        <v/>
      </c>
      <c r="H471" s="23" t="str">
        <f aca="false">IF(B471="","",IF(Office_Log!X71="","",Office_Log!X71&amp;""))</f>
        <v/>
      </c>
      <c r="I471" s="23" t="str">
        <f aca="false">IF(B471="","","")</f>
        <v/>
      </c>
      <c r="J471" s="23" t="str">
        <f aca="false">IF(B471="","",IF(AND(ISNUMBER(Office_Log!Z71),N(Office_Log!Z71)&gt;N(Office_Log!Y71)),"range to "&amp;Office_Log!Z71&amp;" per month",""))</f>
        <v/>
      </c>
      <c r="K471" s="32" t="s">
        <v>1354</v>
      </c>
    </row>
    <row r="472" customFormat="false" ht="15" hidden="false" customHeight="false" outlineLevel="0" collapsed="false">
      <c r="A472" s="23" t="str">
        <f aca="false">IF(B472="","",B472+(3*1000+71)/10000000)</f>
        <v/>
      </c>
      <c r="B472" s="35" t="str">
        <f aca="false">IF(Office_Log!BR72=1,Office_Log!H72,"")</f>
        <v/>
      </c>
      <c r="C472" s="23" t="str">
        <f aca="false">IF(B472="","","office")</f>
        <v/>
      </c>
      <c r="D472" s="23" t="str">
        <f aca="false">IF(B472="","",Office_Log!ED72&amp;"")</f>
        <v/>
      </c>
      <c r="E472" s="23" t="str">
        <f aca="false">IF(B472="","",IF(Office_Log!B72="","",Office_Log!B72&amp;""))</f>
        <v/>
      </c>
      <c r="F472" s="23" t="str">
        <f aca="false">IF(B472="","","budget_probe")</f>
        <v/>
      </c>
      <c r="G472" s="23" t="str">
        <f aca="false">IF(B472="","",IF(ISNUMBER(Office_Log!Y72),Office_Log!Y72,""))</f>
        <v/>
      </c>
      <c r="H472" s="23" t="str">
        <f aca="false">IF(B472="","",IF(Office_Log!X72="","",Office_Log!X72&amp;""))</f>
        <v/>
      </c>
      <c r="I472" s="23" t="str">
        <f aca="false">IF(B472="","","")</f>
        <v/>
      </c>
      <c r="J472" s="23" t="str">
        <f aca="false">IF(B472="","",IF(AND(ISNUMBER(Office_Log!Z72),N(Office_Log!Z72)&gt;N(Office_Log!Y72)),"range to "&amp;Office_Log!Z72&amp;" per month",""))</f>
        <v/>
      </c>
      <c r="K472" s="32" t="s">
        <v>1354</v>
      </c>
    </row>
    <row r="473" customFormat="false" ht="15" hidden="false" customHeight="false" outlineLevel="0" collapsed="false">
      <c r="A473" s="23" t="str">
        <f aca="false">IF(B473="","",B473+(3*1000+72)/10000000)</f>
        <v/>
      </c>
      <c r="B473" s="35" t="str">
        <f aca="false">IF(Office_Log!BR73=1,Office_Log!H73,"")</f>
        <v/>
      </c>
      <c r="C473" s="23" t="str">
        <f aca="false">IF(B473="","","office")</f>
        <v/>
      </c>
      <c r="D473" s="23" t="str">
        <f aca="false">IF(B473="","",Office_Log!ED73&amp;"")</f>
        <v/>
      </c>
      <c r="E473" s="23" t="str">
        <f aca="false">IF(B473="","",IF(Office_Log!B73="","",Office_Log!B73&amp;""))</f>
        <v/>
      </c>
      <c r="F473" s="23" t="str">
        <f aca="false">IF(B473="","","budget_probe")</f>
        <v/>
      </c>
      <c r="G473" s="23" t="str">
        <f aca="false">IF(B473="","",IF(ISNUMBER(Office_Log!Y73),Office_Log!Y73,""))</f>
        <v/>
      </c>
      <c r="H473" s="23" t="str">
        <f aca="false">IF(B473="","",IF(Office_Log!X73="","",Office_Log!X73&amp;""))</f>
        <v/>
      </c>
      <c r="I473" s="23" t="str">
        <f aca="false">IF(B473="","","")</f>
        <v/>
      </c>
      <c r="J473" s="23" t="str">
        <f aca="false">IF(B473="","",IF(AND(ISNUMBER(Office_Log!Z73),N(Office_Log!Z73)&gt;N(Office_Log!Y73)),"range to "&amp;Office_Log!Z73&amp;" per month",""))</f>
        <v/>
      </c>
      <c r="K473" s="32" t="s">
        <v>1354</v>
      </c>
    </row>
    <row r="474" customFormat="false" ht="15" hidden="false" customHeight="false" outlineLevel="0" collapsed="false">
      <c r="A474" s="23" t="str">
        <f aca="false">IF(B474="","",B474+(3*1000+73)/10000000)</f>
        <v/>
      </c>
      <c r="B474" s="35" t="str">
        <f aca="false">IF(Office_Log!BR74=1,Office_Log!H74,"")</f>
        <v/>
      </c>
      <c r="C474" s="23" t="str">
        <f aca="false">IF(B474="","","office")</f>
        <v/>
      </c>
      <c r="D474" s="23" t="str">
        <f aca="false">IF(B474="","",Office_Log!ED74&amp;"")</f>
        <v/>
      </c>
      <c r="E474" s="23" t="str">
        <f aca="false">IF(B474="","",IF(Office_Log!B74="","",Office_Log!B74&amp;""))</f>
        <v/>
      </c>
      <c r="F474" s="23" t="str">
        <f aca="false">IF(B474="","","budget_probe")</f>
        <v/>
      </c>
      <c r="G474" s="23" t="str">
        <f aca="false">IF(B474="","",IF(ISNUMBER(Office_Log!Y74),Office_Log!Y74,""))</f>
        <v/>
      </c>
      <c r="H474" s="23" t="str">
        <f aca="false">IF(B474="","",IF(Office_Log!X74="","",Office_Log!X74&amp;""))</f>
        <v/>
      </c>
      <c r="I474" s="23" t="str">
        <f aca="false">IF(B474="","","")</f>
        <v/>
      </c>
      <c r="J474" s="23" t="str">
        <f aca="false">IF(B474="","",IF(AND(ISNUMBER(Office_Log!Z74),N(Office_Log!Z74)&gt;N(Office_Log!Y74)),"range to "&amp;Office_Log!Z74&amp;" per month",""))</f>
        <v/>
      </c>
      <c r="K474" s="32" t="s">
        <v>1354</v>
      </c>
    </row>
    <row r="475" customFormat="false" ht="15" hidden="false" customHeight="false" outlineLevel="0" collapsed="false">
      <c r="A475" s="23" t="str">
        <f aca="false">IF(B475="","",B475+(3*1000+74)/10000000)</f>
        <v/>
      </c>
      <c r="B475" s="35" t="str">
        <f aca="false">IF(Office_Log!BR75=1,Office_Log!H75,"")</f>
        <v/>
      </c>
      <c r="C475" s="23" t="str">
        <f aca="false">IF(B475="","","office")</f>
        <v/>
      </c>
      <c r="D475" s="23" t="str">
        <f aca="false">IF(B475="","",Office_Log!ED75&amp;"")</f>
        <v/>
      </c>
      <c r="E475" s="23" t="str">
        <f aca="false">IF(B475="","",IF(Office_Log!B75="","",Office_Log!B75&amp;""))</f>
        <v/>
      </c>
      <c r="F475" s="23" t="str">
        <f aca="false">IF(B475="","","budget_probe")</f>
        <v/>
      </c>
      <c r="G475" s="23" t="str">
        <f aca="false">IF(B475="","",IF(ISNUMBER(Office_Log!Y75),Office_Log!Y75,""))</f>
        <v/>
      </c>
      <c r="H475" s="23" t="str">
        <f aca="false">IF(B475="","",IF(Office_Log!X75="","",Office_Log!X75&amp;""))</f>
        <v/>
      </c>
      <c r="I475" s="23" t="str">
        <f aca="false">IF(B475="","","")</f>
        <v/>
      </c>
      <c r="J475" s="23" t="str">
        <f aca="false">IF(B475="","",IF(AND(ISNUMBER(Office_Log!Z75),N(Office_Log!Z75)&gt;N(Office_Log!Y75)),"range to "&amp;Office_Log!Z75&amp;" per month",""))</f>
        <v/>
      </c>
      <c r="K475" s="32" t="s">
        <v>1354</v>
      </c>
    </row>
    <row r="476" customFormat="false" ht="15" hidden="false" customHeight="false" outlineLevel="0" collapsed="false">
      <c r="A476" s="23" t="str">
        <f aca="false">IF(B476="","",B476+(3*1000+75)/10000000)</f>
        <v/>
      </c>
      <c r="B476" s="35" t="str">
        <f aca="false">IF(Office_Log!BR76=1,Office_Log!H76,"")</f>
        <v/>
      </c>
      <c r="C476" s="23" t="str">
        <f aca="false">IF(B476="","","office")</f>
        <v/>
      </c>
      <c r="D476" s="23" t="str">
        <f aca="false">IF(B476="","",Office_Log!ED76&amp;"")</f>
        <v/>
      </c>
      <c r="E476" s="23" t="str">
        <f aca="false">IF(B476="","",IF(Office_Log!B76="","",Office_Log!B76&amp;""))</f>
        <v/>
      </c>
      <c r="F476" s="23" t="str">
        <f aca="false">IF(B476="","","budget_probe")</f>
        <v/>
      </c>
      <c r="G476" s="23" t="str">
        <f aca="false">IF(B476="","",IF(ISNUMBER(Office_Log!Y76),Office_Log!Y76,""))</f>
        <v/>
      </c>
      <c r="H476" s="23" t="str">
        <f aca="false">IF(B476="","",IF(Office_Log!X76="","",Office_Log!X76&amp;""))</f>
        <v/>
      </c>
      <c r="I476" s="23" t="str">
        <f aca="false">IF(B476="","","")</f>
        <v/>
      </c>
      <c r="J476" s="23" t="str">
        <f aca="false">IF(B476="","",IF(AND(ISNUMBER(Office_Log!Z76),N(Office_Log!Z76)&gt;N(Office_Log!Y76)),"range to "&amp;Office_Log!Z76&amp;" per month",""))</f>
        <v/>
      </c>
      <c r="K476" s="32" t="s">
        <v>1354</v>
      </c>
    </row>
    <row r="477" customFormat="false" ht="15" hidden="false" customHeight="false" outlineLevel="0" collapsed="false">
      <c r="A477" s="23" t="str">
        <f aca="false">IF(B477="","",B477+(3*1000+76)/10000000)</f>
        <v/>
      </c>
      <c r="B477" s="35" t="str">
        <f aca="false">IF(Office_Log!BR77=1,Office_Log!H77,"")</f>
        <v/>
      </c>
      <c r="C477" s="23" t="str">
        <f aca="false">IF(B477="","","office")</f>
        <v/>
      </c>
      <c r="D477" s="23" t="str">
        <f aca="false">IF(B477="","",Office_Log!ED77&amp;"")</f>
        <v/>
      </c>
      <c r="E477" s="23" t="str">
        <f aca="false">IF(B477="","",IF(Office_Log!B77="","",Office_Log!B77&amp;""))</f>
        <v/>
      </c>
      <c r="F477" s="23" t="str">
        <f aca="false">IF(B477="","","budget_probe")</f>
        <v/>
      </c>
      <c r="G477" s="23" t="str">
        <f aca="false">IF(B477="","",IF(ISNUMBER(Office_Log!Y77),Office_Log!Y77,""))</f>
        <v/>
      </c>
      <c r="H477" s="23" t="str">
        <f aca="false">IF(B477="","",IF(Office_Log!X77="","",Office_Log!X77&amp;""))</f>
        <v/>
      </c>
      <c r="I477" s="23" t="str">
        <f aca="false">IF(B477="","","")</f>
        <v/>
      </c>
      <c r="J477" s="23" t="str">
        <f aca="false">IF(B477="","",IF(AND(ISNUMBER(Office_Log!Z77),N(Office_Log!Z77)&gt;N(Office_Log!Y77)),"range to "&amp;Office_Log!Z77&amp;" per month",""))</f>
        <v/>
      </c>
      <c r="K477" s="32" t="s">
        <v>1354</v>
      </c>
    </row>
    <row r="478" customFormat="false" ht="15" hidden="false" customHeight="false" outlineLevel="0" collapsed="false">
      <c r="A478" s="23" t="str">
        <f aca="false">IF(B478="","",B478+(3*1000+77)/10000000)</f>
        <v/>
      </c>
      <c r="B478" s="35" t="str">
        <f aca="false">IF(Office_Log!BR78=1,Office_Log!H78,"")</f>
        <v/>
      </c>
      <c r="C478" s="23" t="str">
        <f aca="false">IF(B478="","","office")</f>
        <v/>
      </c>
      <c r="D478" s="23" t="str">
        <f aca="false">IF(B478="","",Office_Log!ED78&amp;"")</f>
        <v/>
      </c>
      <c r="E478" s="23" t="str">
        <f aca="false">IF(B478="","",IF(Office_Log!B78="","",Office_Log!B78&amp;""))</f>
        <v/>
      </c>
      <c r="F478" s="23" t="str">
        <f aca="false">IF(B478="","","budget_probe")</f>
        <v/>
      </c>
      <c r="G478" s="23" t="str">
        <f aca="false">IF(B478="","",IF(ISNUMBER(Office_Log!Y78),Office_Log!Y78,""))</f>
        <v/>
      </c>
      <c r="H478" s="23" t="str">
        <f aca="false">IF(B478="","",IF(Office_Log!X78="","",Office_Log!X78&amp;""))</f>
        <v/>
      </c>
      <c r="I478" s="23" t="str">
        <f aca="false">IF(B478="","","")</f>
        <v/>
      </c>
      <c r="J478" s="23" t="str">
        <f aca="false">IF(B478="","",IF(AND(ISNUMBER(Office_Log!Z78),N(Office_Log!Z78)&gt;N(Office_Log!Y78)),"range to "&amp;Office_Log!Z78&amp;" per month",""))</f>
        <v/>
      </c>
      <c r="K478" s="32" t="s">
        <v>1354</v>
      </c>
    </row>
    <row r="479" customFormat="false" ht="15" hidden="false" customHeight="false" outlineLevel="0" collapsed="false">
      <c r="A479" s="23" t="str">
        <f aca="false">IF(B479="","",B479+(3*1000+78)/10000000)</f>
        <v/>
      </c>
      <c r="B479" s="35" t="str">
        <f aca="false">IF(Office_Log!BR79=1,Office_Log!H79,"")</f>
        <v/>
      </c>
      <c r="C479" s="23" t="str">
        <f aca="false">IF(B479="","","office")</f>
        <v/>
      </c>
      <c r="D479" s="23" t="str">
        <f aca="false">IF(B479="","",Office_Log!ED79&amp;"")</f>
        <v/>
      </c>
      <c r="E479" s="23" t="str">
        <f aca="false">IF(B479="","",IF(Office_Log!B79="","",Office_Log!B79&amp;""))</f>
        <v/>
      </c>
      <c r="F479" s="23" t="str">
        <f aca="false">IF(B479="","","budget_probe")</f>
        <v/>
      </c>
      <c r="G479" s="23" t="str">
        <f aca="false">IF(B479="","",IF(ISNUMBER(Office_Log!Y79),Office_Log!Y79,""))</f>
        <v/>
      </c>
      <c r="H479" s="23" t="str">
        <f aca="false">IF(B479="","",IF(Office_Log!X79="","",Office_Log!X79&amp;""))</f>
        <v/>
      </c>
      <c r="I479" s="23" t="str">
        <f aca="false">IF(B479="","","")</f>
        <v/>
      </c>
      <c r="J479" s="23" t="str">
        <f aca="false">IF(B479="","",IF(AND(ISNUMBER(Office_Log!Z79),N(Office_Log!Z79)&gt;N(Office_Log!Y79)),"range to "&amp;Office_Log!Z79&amp;" per month",""))</f>
        <v/>
      </c>
      <c r="K479" s="32" t="s">
        <v>1354</v>
      </c>
    </row>
    <row r="480" customFormat="false" ht="15" hidden="false" customHeight="false" outlineLevel="0" collapsed="false">
      <c r="A480" s="23" t="str">
        <f aca="false">IF(B480="","",B480+(3*1000+79)/10000000)</f>
        <v/>
      </c>
      <c r="B480" s="35" t="str">
        <f aca="false">IF(Office_Log!BR80=1,Office_Log!H80,"")</f>
        <v/>
      </c>
      <c r="C480" s="23" t="str">
        <f aca="false">IF(B480="","","office")</f>
        <v/>
      </c>
      <c r="D480" s="23" t="str">
        <f aca="false">IF(B480="","",Office_Log!ED80&amp;"")</f>
        <v/>
      </c>
      <c r="E480" s="23" t="str">
        <f aca="false">IF(B480="","",IF(Office_Log!B80="","",Office_Log!B80&amp;""))</f>
        <v/>
      </c>
      <c r="F480" s="23" t="str">
        <f aca="false">IF(B480="","","budget_probe")</f>
        <v/>
      </c>
      <c r="G480" s="23" t="str">
        <f aca="false">IF(B480="","",IF(ISNUMBER(Office_Log!Y80),Office_Log!Y80,""))</f>
        <v/>
      </c>
      <c r="H480" s="23" t="str">
        <f aca="false">IF(B480="","",IF(Office_Log!X80="","",Office_Log!X80&amp;""))</f>
        <v/>
      </c>
      <c r="I480" s="23" t="str">
        <f aca="false">IF(B480="","","")</f>
        <v/>
      </c>
      <c r="J480" s="23" t="str">
        <f aca="false">IF(B480="","",IF(AND(ISNUMBER(Office_Log!Z80),N(Office_Log!Z80)&gt;N(Office_Log!Y80)),"range to "&amp;Office_Log!Z80&amp;" per month",""))</f>
        <v/>
      </c>
      <c r="K480" s="32" t="s">
        <v>1354</v>
      </c>
    </row>
    <row r="481" customFormat="false" ht="15" hidden="false" customHeight="false" outlineLevel="0" collapsed="false">
      <c r="A481" s="23" t="str">
        <f aca="false">IF(B481="","",B481+(3*1000+80)/10000000)</f>
        <v/>
      </c>
      <c r="B481" s="35" t="str">
        <f aca="false">IF(Office_Log!BR81=1,Office_Log!H81,"")</f>
        <v/>
      </c>
      <c r="C481" s="23" t="str">
        <f aca="false">IF(B481="","","office")</f>
        <v/>
      </c>
      <c r="D481" s="23" t="str">
        <f aca="false">IF(B481="","",Office_Log!ED81&amp;"")</f>
        <v/>
      </c>
      <c r="E481" s="23" t="str">
        <f aca="false">IF(B481="","",IF(Office_Log!B81="","",Office_Log!B81&amp;""))</f>
        <v/>
      </c>
      <c r="F481" s="23" t="str">
        <f aca="false">IF(B481="","","budget_probe")</f>
        <v/>
      </c>
      <c r="G481" s="23" t="str">
        <f aca="false">IF(B481="","",IF(ISNUMBER(Office_Log!Y81),Office_Log!Y81,""))</f>
        <v/>
      </c>
      <c r="H481" s="23" t="str">
        <f aca="false">IF(B481="","",IF(Office_Log!X81="","",Office_Log!X81&amp;""))</f>
        <v/>
      </c>
      <c r="I481" s="23" t="str">
        <f aca="false">IF(B481="","","")</f>
        <v/>
      </c>
      <c r="J481" s="23" t="str">
        <f aca="false">IF(B481="","",IF(AND(ISNUMBER(Office_Log!Z81),N(Office_Log!Z81)&gt;N(Office_Log!Y81)),"range to "&amp;Office_Log!Z81&amp;" per month",""))</f>
        <v/>
      </c>
      <c r="K481" s="32" t="s">
        <v>1354</v>
      </c>
    </row>
    <row r="482" customFormat="false" ht="15" hidden="false" customHeight="false" outlineLevel="0" collapsed="false">
      <c r="A482" s="23" t="str">
        <f aca="false">IF(B482="","",B482+(3*1000+81)/10000000)</f>
        <v/>
      </c>
      <c r="B482" s="35" t="str">
        <f aca="false">IF(Office_Log!BR82=1,Office_Log!H82,"")</f>
        <v/>
      </c>
      <c r="C482" s="23" t="str">
        <f aca="false">IF(B482="","","office")</f>
        <v/>
      </c>
      <c r="D482" s="23" t="str">
        <f aca="false">IF(B482="","",Office_Log!ED82&amp;"")</f>
        <v/>
      </c>
      <c r="E482" s="23" t="str">
        <f aca="false">IF(B482="","",IF(Office_Log!B82="","",Office_Log!B82&amp;""))</f>
        <v/>
      </c>
      <c r="F482" s="23" t="str">
        <f aca="false">IF(B482="","","budget_probe")</f>
        <v/>
      </c>
      <c r="G482" s="23" t="str">
        <f aca="false">IF(B482="","",IF(ISNUMBER(Office_Log!Y82),Office_Log!Y82,""))</f>
        <v/>
      </c>
      <c r="H482" s="23" t="str">
        <f aca="false">IF(B482="","",IF(Office_Log!X82="","",Office_Log!X82&amp;""))</f>
        <v/>
      </c>
      <c r="I482" s="23" t="str">
        <f aca="false">IF(B482="","","")</f>
        <v/>
      </c>
      <c r="J482" s="23" t="str">
        <f aca="false">IF(B482="","",IF(AND(ISNUMBER(Office_Log!Z82),N(Office_Log!Z82)&gt;N(Office_Log!Y82)),"range to "&amp;Office_Log!Z82&amp;" per month",""))</f>
        <v/>
      </c>
      <c r="K482" s="32" t="s">
        <v>1354</v>
      </c>
    </row>
    <row r="483" customFormat="false" ht="15" hidden="false" customHeight="false" outlineLevel="0" collapsed="false">
      <c r="A483" s="23" t="str">
        <f aca="false">IF(B483="","",B483+(3*1000+82)/10000000)</f>
        <v/>
      </c>
      <c r="B483" s="35" t="str">
        <f aca="false">IF(Office_Log!BR83=1,Office_Log!H83,"")</f>
        <v/>
      </c>
      <c r="C483" s="23" t="str">
        <f aca="false">IF(B483="","","office")</f>
        <v/>
      </c>
      <c r="D483" s="23" t="str">
        <f aca="false">IF(B483="","",Office_Log!ED83&amp;"")</f>
        <v/>
      </c>
      <c r="E483" s="23" t="str">
        <f aca="false">IF(B483="","",IF(Office_Log!B83="","",Office_Log!B83&amp;""))</f>
        <v/>
      </c>
      <c r="F483" s="23" t="str">
        <f aca="false">IF(B483="","","budget_probe")</f>
        <v/>
      </c>
      <c r="G483" s="23" t="str">
        <f aca="false">IF(B483="","",IF(ISNUMBER(Office_Log!Y83),Office_Log!Y83,""))</f>
        <v/>
      </c>
      <c r="H483" s="23" t="str">
        <f aca="false">IF(B483="","",IF(Office_Log!X83="","",Office_Log!X83&amp;""))</f>
        <v/>
      </c>
      <c r="I483" s="23" t="str">
        <f aca="false">IF(B483="","","")</f>
        <v/>
      </c>
      <c r="J483" s="23" t="str">
        <f aca="false">IF(B483="","",IF(AND(ISNUMBER(Office_Log!Z83),N(Office_Log!Z83)&gt;N(Office_Log!Y83)),"range to "&amp;Office_Log!Z83&amp;" per month",""))</f>
        <v/>
      </c>
      <c r="K483" s="32" t="s">
        <v>1354</v>
      </c>
    </row>
    <row r="484" customFormat="false" ht="15" hidden="false" customHeight="false" outlineLevel="0" collapsed="false">
      <c r="A484" s="23" t="str">
        <f aca="false">IF(B484="","",B484+(3*1000+83)/10000000)</f>
        <v/>
      </c>
      <c r="B484" s="35" t="str">
        <f aca="false">IF(Office_Log!BR84=1,Office_Log!H84,"")</f>
        <v/>
      </c>
      <c r="C484" s="23" t="str">
        <f aca="false">IF(B484="","","office")</f>
        <v/>
      </c>
      <c r="D484" s="23" t="str">
        <f aca="false">IF(B484="","",Office_Log!ED84&amp;"")</f>
        <v/>
      </c>
      <c r="E484" s="23" t="str">
        <f aca="false">IF(B484="","",IF(Office_Log!B84="","",Office_Log!B84&amp;""))</f>
        <v/>
      </c>
      <c r="F484" s="23" t="str">
        <f aca="false">IF(B484="","","budget_probe")</f>
        <v/>
      </c>
      <c r="G484" s="23" t="str">
        <f aca="false">IF(B484="","",IF(ISNUMBER(Office_Log!Y84),Office_Log!Y84,""))</f>
        <v/>
      </c>
      <c r="H484" s="23" t="str">
        <f aca="false">IF(B484="","",IF(Office_Log!X84="","",Office_Log!X84&amp;""))</f>
        <v/>
      </c>
      <c r="I484" s="23" t="str">
        <f aca="false">IF(B484="","","")</f>
        <v/>
      </c>
      <c r="J484" s="23" t="str">
        <f aca="false">IF(B484="","",IF(AND(ISNUMBER(Office_Log!Z84),N(Office_Log!Z84)&gt;N(Office_Log!Y84)),"range to "&amp;Office_Log!Z84&amp;" per month",""))</f>
        <v/>
      </c>
      <c r="K484" s="32" t="s">
        <v>1354</v>
      </c>
    </row>
    <row r="485" customFormat="false" ht="15" hidden="false" customHeight="false" outlineLevel="0" collapsed="false">
      <c r="A485" s="23" t="str">
        <f aca="false">IF(B485="","",B485+(3*1000+84)/10000000)</f>
        <v/>
      </c>
      <c r="B485" s="35" t="str">
        <f aca="false">IF(Office_Log!BR85=1,Office_Log!H85,"")</f>
        <v/>
      </c>
      <c r="C485" s="23" t="str">
        <f aca="false">IF(B485="","","office")</f>
        <v/>
      </c>
      <c r="D485" s="23" t="str">
        <f aca="false">IF(B485="","",Office_Log!ED85&amp;"")</f>
        <v/>
      </c>
      <c r="E485" s="23" t="str">
        <f aca="false">IF(B485="","",IF(Office_Log!B85="","",Office_Log!B85&amp;""))</f>
        <v/>
      </c>
      <c r="F485" s="23" t="str">
        <f aca="false">IF(B485="","","budget_probe")</f>
        <v/>
      </c>
      <c r="G485" s="23" t="str">
        <f aca="false">IF(B485="","",IF(ISNUMBER(Office_Log!Y85),Office_Log!Y85,""))</f>
        <v/>
      </c>
      <c r="H485" s="23" t="str">
        <f aca="false">IF(B485="","",IF(Office_Log!X85="","",Office_Log!X85&amp;""))</f>
        <v/>
      </c>
      <c r="I485" s="23" t="str">
        <f aca="false">IF(B485="","","")</f>
        <v/>
      </c>
      <c r="J485" s="23" t="str">
        <f aca="false">IF(B485="","",IF(AND(ISNUMBER(Office_Log!Z85),N(Office_Log!Z85)&gt;N(Office_Log!Y85)),"range to "&amp;Office_Log!Z85&amp;" per month",""))</f>
        <v/>
      </c>
      <c r="K485" s="32" t="s">
        <v>1354</v>
      </c>
    </row>
    <row r="486" customFormat="false" ht="15" hidden="false" customHeight="false" outlineLevel="0" collapsed="false">
      <c r="A486" s="23" t="str">
        <f aca="false">IF(B486="","",B486+(3*1000+85)/10000000)</f>
        <v/>
      </c>
      <c r="B486" s="35" t="str">
        <f aca="false">IF(Office_Log!BR86=1,Office_Log!H86,"")</f>
        <v/>
      </c>
      <c r="C486" s="23" t="str">
        <f aca="false">IF(B486="","","office")</f>
        <v/>
      </c>
      <c r="D486" s="23" t="str">
        <f aca="false">IF(B486="","",Office_Log!ED86&amp;"")</f>
        <v/>
      </c>
      <c r="E486" s="23" t="str">
        <f aca="false">IF(B486="","",IF(Office_Log!B86="","",Office_Log!B86&amp;""))</f>
        <v/>
      </c>
      <c r="F486" s="23" t="str">
        <f aca="false">IF(B486="","","budget_probe")</f>
        <v/>
      </c>
      <c r="G486" s="23" t="str">
        <f aca="false">IF(B486="","",IF(ISNUMBER(Office_Log!Y86),Office_Log!Y86,""))</f>
        <v/>
      </c>
      <c r="H486" s="23" t="str">
        <f aca="false">IF(B486="","",IF(Office_Log!X86="","",Office_Log!X86&amp;""))</f>
        <v/>
      </c>
      <c r="I486" s="23" t="str">
        <f aca="false">IF(B486="","","")</f>
        <v/>
      </c>
      <c r="J486" s="23" t="str">
        <f aca="false">IF(B486="","",IF(AND(ISNUMBER(Office_Log!Z86),N(Office_Log!Z86)&gt;N(Office_Log!Y86)),"range to "&amp;Office_Log!Z86&amp;" per month",""))</f>
        <v/>
      </c>
      <c r="K486" s="32" t="s">
        <v>1354</v>
      </c>
    </row>
    <row r="487" customFormat="false" ht="15" hidden="false" customHeight="false" outlineLevel="0" collapsed="false">
      <c r="A487" s="23" t="str">
        <f aca="false">IF(B487="","",B487+(3*1000+86)/10000000)</f>
        <v/>
      </c>
      <c r="B487" s="35" t="str">
        <f aca="false">IF(Office_Log!BR87=1,Office_Log!H87,"")</f>
        <v/>
      </c>
      <c r="C487" s="23" t="str">
        <f aca="false">IF(B487="","","office")</f>
        <v/>
      </c>
      <c r="D487" s="23" t="str">
        <f aca="false">IF(B487="","",Office_Log!ED87&amp;"")</f>
        <v/>
      </c>
      <c r="E487" s="23" t="str">
        <f aca="false">IF(B487="","",IF(Office_Log!B87="","",Office_Log!B87&amp;""))</f>
        <v/>
      </c>
      <c r="F487" s="23" t="str">
        <f aca="false">IF(B487="","","budget_probe")</f>
        <v/>
      </c>
      <c r="G487" s="23" t="str">
        <f aca="false">IF(B487="","",IF(ISNUMBER(Office_Log!Y87),Office_Log!Y87,""))</f>
        <v/>
      </c>
      <c r="H487" s="23" t="str">
        <f aca="false">IF(B487="","",IF(Office_Log!X87="","",Office_Log!X87&amp;""))</f>
        <v/>
      </c>
      <c r="I487" s="23" t="str">
        <f aca="false">IF(B487="","","")</f>
        <v/>
      </c>
      <c r="J487" s="23" t="str">
        <f aca="false">IF(B487="","",IF(AND(ISNUMBER(Office_Log!Z87),N(Office_Log!Z87)&gt;N(Office_Log!Y87)),"range to "&amp;Office_Log!Z87&amp;" per month",""))</f>
        <v/>
      </c>
      <c r="K487" s="32" t="s">
        <v>1354</v>
      </c>
    </row>
    <row r="488" customFormat="false" ht="15" hidden="false" customHeight="false" outlineLevel="0" collapsed="false">
      <c r="A488" s="23" t="str">
        <f aca="false">IF(B488="","",B488+(3*1000+87)/10000000)</f>
        <v/>
      </c>
      <c r="B488" s="35" t="str">
        <f aca="false">IF(Office_Log!BR88=1,Office_Log!H88,"")</f>
        <v/>
      </c>
      <c r="C488" s="23" t="str">
        <f aca="false">IF(B488="","","office")</f>
        <v/>
      </c>
      <c r="D488" s="23" t="str">
        <f aca="false">IF(B488="","",Office_Log!ED88&amp;"")</f>
        <v/>
      </c>
      <c r="E488" s="23" t="str">
        <f aca="false">IF(B488="","",IF(Office_Log!B88="","",Office_Log!B88&amp;""))</f>
        <v/>
      </c>
      <c r="F488" s="23" t="str">
        <f aca="false">IF(B488="","","budget_probe")</f>
        <v/>
      </c>
      <c r="G488" s="23" t="str">
        <f aca="false">IF(B488="","",IF(ISNUMBER(Office_Log!Y88),Office_Log!Y88,""))</f>
        <v/>
      </c>
      <c r="H488" s="23" t="str">
        <f aca="false">IF(B488="","",IF(Office_Log!X88="","",Office_Log!X88&amp;""))</f>
        <v/>
      </c>
      <c r="I488" s="23" t="str">
        <f aca="false">IF(B488="","","")</f>
        <v/>
      </c>
      <c r="J488" s="23" t="str">
        <f aca="false">IF(B488="","",IF(AND(ISNUMBER(Office_Log!Z88),N(Office_Log!Z88)&gt;N(Office_Log!Y88)),"range to "&amp;Office_Log!Z88&amp;" per month",""))</f>
        <v/>
      </c>
      <c r="K488" s="32" t="s">
        <v>1354</v>
      </c>
    </row>
    <row r="489" customFormat="false" ht="15" hidden="false" customHeight="false" outlineLevel="0" collapsed="false">
      <c r="A489" s="23" t="str">
        <f aca="false">IF(B489="","",B489+(3*1000+88)/10000000)</f>
        <v/>
      </c>
      <c r="B489" s="35" t="str">
        <f aca="false">IF(Office_Log!BR89=1,Office_Log!H89,"")</f>
        <v/>
      </c>
      <c r="C489" s="23" t="str">
        <f aca="false">IF(B489="","","office")</f>
        <v/>
      </c>
      <c r="D489" s="23" t="str">
        <f aca="false">IF(B489="","",Office_Log!ED89&amp;"")</f>
        <v/>
      </c>
      <c r="E489" s="23" t="str">
        <f aca="false">IF(B489="","",IF(Office_Log!B89="","",Office_Log!B89&amp;""))</f>
        <v/>
      </c>
      <c r="F489" s="23" t="str">
        <f aca="false">IF(B489="","","budget_probe")</f>
        <v/>
      </c>
      <c r="G489" s="23" t="str">
        <f aca="false">IF(B489="","",IF(ISNUMBER(Office_Log!Y89),Office_Log!Y89,""))</f>
        <v/>
      </c>
      <c r="H489" s="23" t="str">
        <f aca="false">IF(B489="","",IF(Office_Log!X89="","",Office_Log!X89&amp;""))</f>
        <v/>
      </c>
      <c r="I489" s="23" t="str">
        <f aca="false">IF(B489="","","")</f>
        <v/>
      </c>
      <c r="J489" s="23" t="str">
        <f aca="false">IF(B489="","",IF(AND(ISNUMBER(Office_Log!Z89),N(Office_Log!Z89)&gt;N(Office_Log!Y89)),"range to "&amp;Office_Log!Z89&amp;" per month",""))</f>
        <v/>
      </c>
      <c r="K489" s="32" t="s">
        <v>1354</v>
      </c>
    </row>
    <row r="490" customFormat="false" ht="15" hidden="false" customHeight="false" outlineLevel="0" collapsed="false">
      <c r="A490" s="23" t="str">
        <f aca="false">IF(B490="","",B490+(3*1000+89)/10000000)</f>
        <v/>
      </c>
      <c r="B490" s="35" t="str">
        <f aca="false">IF(Office_Log!BR90=1,Office_Log!H90,"")</f>
        <v/>
      </c>
      <c r="C490" s="23" t="str">
        <f aca="false">IF(B490="","","office")</f>
        <v/>
      </c>
      <c r="D490" s="23" t="str">
        <f aca="false">IF(B490="","",Office_Log!ED90&amp;"")</f>
        <v/>
      </c>
      <c r="E490" s="23" t="str">
        <f aca="false">IF(B490="","",IF(Office_Log!B90="","",Office_Log!B90&amp;""))</f>
        <v/>
      </c>
      <c r="F490" s="23" t="str">
        <f aca="false">IF(B490="","","budget_probe")</f>
        <v/>
      </c>
      <c r="G490" s="23" t="str">
        <f aca="false">IF(B490="","",IF(ISNUMBER(Office_Log!Y90),Office_Log!Y90,""))</f>
        <v/>
      </c>
      <c r="H490" s="23" t="str">
        <f aca="false">IF(B490="","",IF(Office_Log!X90="","",Office_Log!X90&amp;""))</f>
        <v/>
      </c>
      <c r="I490" s="23" t="str">
        <f aca="false">IF(B490="","","")</f>
        <v/>
      </c>
      <c r="J490" s="23" t="str">
        <f aca="false">IF(B490="","",IF(AND(ISNUMBER(Office_Log!Z90),N(Office_Log!Z90)&gt;N(Office_Log!Y90)),"range to "&amp;Office_Log!Z90&amp;" per month",""))</f>
        <v/>
      </c>
      <c r="K490" s="32" t="s">
        <v>1354</v>
      </c>
    </row>
    <row r="491" customFormat="false" ht="15" hidden="false" customHeight="false" outlineLevel="0" collapsed="false">
      <c r="A491" s="23" t="str">
        <f aca="false">IF(B491="","",B491+(3*1000+90)/10000000)</f>
        <v/>
      </c>
      <c r="B491" s="35" t="str">
        <f aca="false">IF(Office_Log!BR91=1,Office_Log!H91,"")</f>
        <v/>
      </c>
      <c r="C491" s="23" t="str">
        <f aca="false">IF(B491="","","office")</f>
        <v/>
      </c>
      <c r="D491" s="23" t="str">
        <f aca="false">IF(B491="","",Office_Log!ED91&amp;"")</f>
        <v/>
      </c>
      <c r="E491" s="23" t="str">
        <f aca="false">IF(B491="","",IF(Office_Log!B91="","",Office_Log!B91&amp;""))</f>
        <v/>
      </c>
      <c r="F491" s="23" t="str">
        <f aca="false">IF(B491="","","budget_probe")</f>
        <v/>
      </c>
      <c r="G491" s="23" t="str">
        <f aca="false">IF(B491="","",IF(ISNUMBER(Office_Log!Y91),Office_Log!Y91,""))</f>
        <v/>
      </c>
      <c r="H491" s="23" t="str">
        <f aca="false">IF(B491="","",IF(Office_Log!X91="","",Office_Log!X91&amp;""))</f>
        <v/>
      </c>
      <c r="I491" s="23" t="str">
        <f aca="false">IF(B491="","","")</f>
        <v/>
      </c>
      <c r="J491" s="23" t="str">
        <f aca="false">IF(B491="","",IF(AND(ISNUMBER(Office_Log!Z91),N(Office_Log!Z91)&gt;N(Office_Log!Y91)),"range to "&amp;Office_Log!Z91&amp;" per month",""))</f>
        <v/>
      </c>
      <c r="K491" s="32" t="s">
        <v>1354</v>
      </c>
    </row>
    <row r="492" customFormat="false" ht="15" hidden="false" customHeight="false" outlineLevel="0" collapsed="false">
      <c r="A492" s="23" t="str">
        <f aca="false">IF(B492="","",B492+(3*1000+91)/10000000)</f>
        <v/>
      </c>
      <c r="B492" s="35" t="str">
        <f aca="false">IF(Office_Log!BR92=1,Office_Log!H92,"")</f>
        <v/>
      </c>
      <c r="C492" s="23" t="str">
        <f aca="false">IF(B492="","","office")</f>
        <v/>
      </c>
      <c r="D492" s="23" t="str">
        <f aca="false">IF(B492="","",Office_Log!ED92&amp;"")</f>
        <v/>
      </c>
      <c r="E492" s="23" t="str">
        <f aca="false">IF(B492="","",IF(Office_Log!B92="","",Office_Log!B92&amp;""))</f>
        <v/>
      </c>
      <c r="F492" s="23" t="str">
        <f aca="false">IF(B492="","","budget_probe")</f>
        <v/>
      </c>
      <c r="G492" s="23" t="str">
        <f aca="false">IF(B492="","",IF(ISNUMBER(Office_Log!Y92),Office_Log!Y92,""))</f>
        <v/>
      </c>
      <c r="H492" s="23" t="str">
        <f aca="false">IF(B492="","",IF(Office_Log!X92="","",Office_Log!X92&amp;""))</f>
        <v/>
      </c>
      <c r="I492" s="23" t="str">
        <f aca="false">IF(B492="","","")</f>
        <v/>
      </c>
      <c r="J492" s="23" t="str">
        <f aca="false">IF(B492="","",IF(AND(ISNUMBER(Office_Log!Z92),N(Office_Log!Z92)&gt;N(Office_Log!Y92)),"range to "&amp;Office_Log!Z92&amp;" per month",""))</f>
        <v/>
      </c>
      <c r="K492" s="32" t="s">
        <v>1354</v>
      </c>
    </row>
    <row r="493" customFormat="false" ht="15" hidden="false" customHeight="false" outlineLevel="0" collapsed="false">
      <c r="A493" s="23" t="str">
        <f aca="false">IF(B493="","",B493+(3*1000+92)/10000000)</f>
        <v/>
      </c>
      <c r="B493" s="35" t="str">
        <f aca="false">IF(Office_Log!BR93=1,Office_Log!H93,"")</f>
        <v/>
      </c>
      <c r="C493" s="23" t="str">
        <f aca="false">IF(B493="","","office")</f>
        <v/>
      </c>
      <c r="D493" s="23" t="str">
        <f aca="false">IF(B493="","",Office_Log!ED93&amp;"")</f>
        <v/>
      </c>
      <c r="E493" s="23" t="str">
        <f aca="false">IF(B493="","",IF(Office_Log!B93="","",Office_Log!B93&amp;""))</f>
        <v/>
      </c>
      <c r="F493" s="23" t="str">
        <f aca="false">IF(B493="","","budget_probe")</f>
        <v/>
      </c>
      <c r="G493" s="23" t="str">
        <f aca="false">IF(B493="","",IF(ISNUMBER(Office_Log!Y93),Office_Log!Y93,""))</f>
        <v/>
      </c>
      <c r="H493" s="23" t="str">
        <f aca="false">IF(B493="","",IF(Office_Log!X93="","",Office_Log!X93&amp;""))</f>
        <v/>
      </c>
      <c r="I493" s="23" t="str">
        <f aca="false">IF(B493="","","")</f>
        <v/>
      </c>
      <c r="J493" s="23" t="str">
        <f aca="false">IF(B493="","",IF(AND(ISNUMBER(Office_Log!Z93),N(Office_Log!Z93)&gt;N(Office_Log!Y93)),"range to "&amp;Office_Log!Z93&amp;" per month",""))</f>
        <v/>
      </c>
      <c r="K493" s="32" t="s">
        <v>1354</v>
      </c>
    </row>
    <row r="494" customFormat="false" ht="15" hidden="false" customHeight="false" outlineLevel="0" collapsed="false">
      <c r="A494" s="23" t="str">
        <f aca="false">IF(B494="","",B494+(3*1000+93)/10000000)</f>
        <v/>
      </c>
      <c r="B494" s="35" t="str">
        <f aca="false">IF(Office_Log!BR94=1,Office_Log!H94,"")</f>
        <v/>
      </c>
      <c r="C494" s="23" t="str">
        <f aca="false">IF(B494="","","office")</f>
        <v/>
      </c>
      <c r="D494" s="23" t="str">
        <f aca="false">IF(B494="","",Office_Log!ED94&amp;"")</f>
        <v/>
      </c>
      <c r="E494" s="23" t="str">
        <f aca="false">IF(B494="","",IF(Office_Log!B94="","",Office_Log!B94&amp;""))</f>
        <v/>
      </c>
      <c r="F494" s="23" t="str">
        <f aca="false">IF(B494="","","budget_probe")</f>
        <v/>
      </c>
      <c r="G494" s="23" t="str">
        <f aca="false">IF(B494="","",IF(ISNUMBER(Office_Log!Y94),Office_Log!Y94,""))</f>
        <v/>
      </c>
      <c r="H494" s="23" t="str">
        <f aca="false">IF(B494="","",IF(Office_Log!X94="","",Office_Log!X94&amp;""))</f>
        <v/>
      </c>
      <c r="I494" s="23" t="str">
        <f aca="false">IF(B494="","","")</f>
        <v/>
      </c>
      <c r="J494" s="23" t="str">
        <f aca="false">IF(B494="","",IF(AND(ISNUMBER(Office_Log!Z94),N(Office_Log!Z94)&gt;N(Office_Log!Y94)),"range to "&amp;Office_Log!Z94&amp;" per month",""))</f>
        <v/>
      </c>
      <c r="K494" s="32" t="s">
        <v>1354</v>
      </c>
    </row>
    <row r="495" customFormat="false" ht="15" hidden="false" customHeight="false" outlineLevel="0" collapsed="false">
      <c r="A495" s="23" t="str">
        <f aca="false">IF(B495="","",B495+(3*1000+94)/10000000)</f>
        <v/>
      </c>
      <c r="B495" s="35" t="str">
        <f aca="false">IF(Office_Log!BR95=1,Office_Log!H95,"")</f>
        <v/>
      </c>
      <c r="C495" s="23" t="str">
        <f aca="false">IF(B495="","","office")</f>
        <v/>
      </c>
      <c r="D495" s="23" t="str">
        <f aca="false">IF(B495="","",Office_Log!ED95&amp;"")</f>
        <v/>
      </c>
      <c r="E495" s="23" t="str">
        <f aca="false">IF(B495="","",IF(Office_Log!B95="","",Office_Log!B95&amp;""))</f>
        <v/>
      </c>
      <c r="F495" s="23" t="str">
        <f aca="false">IF(B495="","","budget_probe")</f>
        <v/>
      </c>
      <c r="G495" s="23" t="str">
        <f aca="false">IF(B495="","",IF(ISNUMBER(Office_Log!Y95),Office_Log!Y95,""))</f>
        <v/>
      </c>
      <c r="H495" s="23" t="str">
        <f aca="false">IF(B495="","",IF(Office_Log!X95="","",Office_Log!X95&amp;""))</f>
        <v/>
      </c>
      <c r="I495" s="23" t="str">
        <f aca="false">IF(B495="","","")</f>
        <v/>
      </c>
      <c r="J495" s="23" t="str">
        <f aca="false">IF(B495="","",IF(AND(ISNUMBER(Office_Log!Z95),N(Office_Log!Z95)&gt;N(Office_Log!Y95)),"range to "&amp;Office_Log!Z95&amp;" per month",""))</f>
        <v/>
      </c>
      <c r="K495" s="32" t="s">
        <v>1354</v>
      </c>
    </row>
    <row r="496" customFormat="false" ht="15" hidden="false" customHeight="false" outlineLevel="0" collapsed="false">
      <c r="A496" s="23" t="str">
        <f aca="false">IF(B496="","",B496+(3*1000+95)/10000000)</f>
        <v/>
      </c>
      <c r="B496" s="35" t="str">
        <f aca="false">IF(Office_Log!BR96=1,Office_Log!H96,"")</f>
        <v/>
      </c>
      <c r="C496" s="23" t="str">
        <f aca="false">IF(B496="","","office")</f>
        <v/>
      </c>
      <c r="D496" s="23" t="str">
        <f aca="false">IF(B496="","",Office_Log!ED96&amp;"")</f>
        <v/>
      </c>
      <c r="E496" s="23" t="str">
        <f aca="false">IF(B496="","",IF(Office_Log!B96="","",Office_Log!B96&amp;""))</f>
        <v/>
      </c>
      <c r="F496" s="23" t="str">
        <f aca="false">IF(B496="","","budget_probe")</f>
        <v/>
      </c>
      <c r="G496" s="23" t="str">
        <f aca="false">IF(B496="","",IF(ISNUMBER(Office_Log!Y96),Office_Log!Y96,""))</f>
        <v/>
      </c>
      <c r="H496" s="23" t="str">
        <f aca="false">IF(B496="","",IF(Office_Log!X96="","",Office_Log!X96&amp;""))</f>
        <v/>
      </c>
      <c r="I496" s="23" t="str">
        <f aca="false">IF(B496="","","")</f>
        <v/>
      </c>
      <c r="J496" s="23" t="str">
        <f aca="false">IF(B496="","",IF(AND(ISNUMBER(Office_Log!Z96),N(Office_Log!Z96)&gt;N(Office_Log!Y96)),"range to "&amp;Office_Log!Z96&amp;" per month",""))</f>
        <v/>
      </c>
      <c r="K496" s="32" t="s">
        <v>1354</v>
      </c>
    </row>
    <row r="497" customFormat="false" ht="15" hidden="false" customHeight="false" outlineLevel="0" collapsed="false">
      <c r="A497" s="23" t="str">
        <f aca="false">IF(B497="","",B497+(3*1000+96)/10000000)</f>
        <v/>
      </c>
      <c r="B497" s="35" t="str">
        <f aca="false">IF(Office_Log!BR97=1,Office_Log!H97,"")</f>
        <v/>
      </c>
      <c r="C497" s="23" t="str">
        <f aca="false">IF(B497="","","office")</f>
        <v/>
      </c>
      <c r="D497" s="23" t="str">
        <f aca="false">IF(B497="","",Office_Log!ED97&amp;"")</f>
        <v/>
      </c>
      <c r="E497" s="23" t="str">
        <f aca="false">IF(B497="","",IF(Office_Log!B97="","",Office_Log!B97&amp;""))</f>
        <v/>
      </c>
      <c r="F497" s="23" t="str">
        <f aca="false">IF(B497="","","budget_probe")</f>
        <v/>
      </c>
      <c r="G497" s="23" t="str">
        <f aca="false">IF(B497="","",IF(ISNUMBER(Office_Log!Y97),Office_Log!Y97,""))</f>
        <v/>
      </c>
      <c r="H497" s="23" t="str">
        <f aca="false">IF(B497="","",IF(Office_Log!X97="","",Office_Log!X97&amp;""))</f>
        <v/>
      </c>
      <c r="I497" s="23" t="str">
        <f aca="false">IF(B497="","","")</f>
        <v/>
      </c>
      <c r="J497" s="23" t="str">
        <f aca="false">IF(B497="","",IF(AND(ISNUMBER(Office_Log!Z97),N(Office_Log!Z97)&gt;N(Office_Log!Y97)),"range to "&amp;Office_Log!Z97&amp;" per month",""))</f>
        <v/>
      </c>
      <c r="K497" s="32" t="s">
        <v>1354</v>
      </c>
    </row>
    <row r="498" customFormat="false" ht="15" hidden="false" customHeight="false" outlineLevel="0" collapsed="false">
      <c r="A498" s="23" t="str">
        <f aca="false">IF(B498="","",B498+(3*1000+97)/10000000)</f>
        <v/>
      </c>
      <c r="B498" s="35" t="str">
        <f aca="false">IF(Office_Log!BR98=1,Office_Log!H98,"")</f>
        <v/>
      </c>
      <c r="C498" s="23" t="str">
        <f aca="false">IF(B498="","","office")</f>
        <v/>
      </c>
      <c r="D498" s="23" t="str">
        <f aca="false">IF(B498="","",Office_Log!ED98&amp;"")</f>
        <v/>
      </c>
      <c r="E498" s="23" t="str">
        <f aca="false">IF(B498="","",IF(Office_Log!B98="","",Office_Log!B98&amp;""))</f>
        <v/>
      </c>
      <c r="F498" s="23" t="str">
        <f aca="false">IF(B498="","","budget_probe")</f>
        <v/>
      </c>
      <c r="G498" s="23" t="str">
        <f aca="false">IF(B498="","",IF(ISNUMBER(Office_Log!Y98),Office_Log!Y98,""))</f>
        <v/>
      </c>
      <c r="H498" s="23" t="str">
        <f aca="false">IF(B498="","",IF(Office_Log!X98="","",Office_Log!X98&amp;""))</f>
        <v/>
      </c>
      <c r="I498" s="23" t="str">
        <f aca="false">IF(B498="","","")</f>
        <v/>
      </c>
      <c r="J498" s="23" t="str">
        <f aca="false">IF(B498="","",IF(AND(ISNUMBER(Office_Log!Z98),N(Office_Log!Z98)&gt;N(Office_Log!Y98)),"range to "&amp;Office_Log!Z98&amp;" per month",""))</f>
        <v/>
      </c>
      <c r="K498" s="32" t="s">
        <v>1354</v>
      </c>
    </row>
    <row r="499" customFormat="false" ht="15" hidden="false" customHeight="false" outlineLevel="0" collapsed="false">
      <c r="A499" s="23" t="str">
        <f aca="false">IF(B499="","",B499+(3*1000+98)/10000000)</f>
        <v/>
      </c>
      <c r="B499" s="35" t="str">
        <f aca="false">IF(Office_Log!BR99=1,Office_Log!H99,"")</f>
        <v/>
      </c>
      <c r="C499" s="23" t="str">
        <f aca="false">IF(B499="","","office")</f>
        <v/>
      </c>
      <c r="D499" s="23" t="str">
        <f aca="false">IF(B499="","",Office_Log!ED99&amp;"")</f>
        <v/>
      </c>
      <c r="E499" s="23" t="str">
        <f aca="false">IF(B499="","",IF(Office_Log!B99="","",Office_Log!B99&amp;""))</f>
        <v/>
      </c>
      <c r="F499" s="23" t="str">
        <f aca="false">IF(B499="","","budget_probe")</f>
        <v/>
      </c>
      <c r="G499" s="23" t="str">
        <f aca="false">IF(B499="","",IF(ISNUMBER(Office_Log!Y99),Office_Log!Y99,""))</f>
        <v/>
      </c>
      <c r="H499" s="23" t="str">
        <f aca="false">IF(B499="","",IF(Office_Log!X99="","",Office_Log!X99&amp;""))</f>
        <v/>
      </c>
      <c r="I499" s="23" t="str">
        <f aca="false">IF(B499="","","")</f>
        <v/>
      </c>
      <c r="J499" s="23" t="str">
        <f aca="false">IF(B499="","",IF(AND(ISNUMBER(Office_Log!Z99),N(Office_Log!Z99)&gt;N(Office_Log!Y99)),"range to "&amp;Office_Log!Z99&amp;" per month",""))</f>
        <v/>
      </c>
      <c r="K499" s="32" t="s">
        <v>1354</v>
      </c>
    </row>
    <row r="500" customFormat="false" ht="15" hidden="false" customHeight="false" outlineLevel="0" collapsed="false">
      <c r="A500" s="23" t="str">
        <f aca="false">IF(B500="","",B500+(3*1000+99)/10000000)</f>
        <v/>
      </c>
      <c r="B500" s="35" t="str">
        <f aca="false">IF(Office_Log!BR100=1,Office_Log!H100,"")</f>
        <v/>
      </c>
      <c r="C500" s="23" t="str">
        <f aca="false">IF(B500="","","office")</f>
        <v/>
      </c>
      <c r="D500" s="23" t="str">
        <f aca="false">IF(B500="","",Office_Log!ED100&amp;"")</f>
        <v/>
      </c>
      <c r="E500" s="23" t="str">
        <f aca="false">IF(B500="","",IF(Office_Log!B100="","",Office_Log!B100&amp;""))</f>
        <v/>
      </c>
      <c r="F500" s="23" t="str">
        <f aca="false">IF(B500="","","budget_probe")</f>
        <v/>
      </c>
      <c r="G500" s="23" t="str">
        <f aca="false">IF(B500="","",IF(ISNUMBER(Office_Log!Y100),Office_Log!Y100,""))</f>
        <v/>
      </c>
      <c r="H500" s="23" t="str">
        <f aca="false">IF(B500="","",IF(Office_Log!X100="","",Office_Log!X100&amp;""))</f>
        <v/>
      </c>
      <c r="I500" s="23" t="str">
        <f aca="false">IF(B500="","","")</f>
        <v/>
      </c>
      <c r="J500" s="23" t="str">
        <f aca="false">IF(B500="","",IF(AND(ISNUMBER(Office_Log!Z100),N(Office_Log!Z100)&gt;N(Office_Log!Y100)),"range to "&amp;Office_Log!Z100&amp;" per month",""))</f>
        <v/>
      </c>
      <c r="K500" s="32" t="s">
        <v>1354</v>
      </c>
    </row>
    <row r="501" customFormat="false" ht="15" hidden="false" customHeight="false" outlineLevel="0" collapsed="false">
      <c r="A501" s="23" t="str">
        <f aca="false">IF(B501="","",B501+(3*1000+100)/10000000)</f>
        <v/>
      </c>
      <c r="B501" s="35" t="str">
        <f aca="false">IF(Office_Log!BR101=1,Office_Log!H101,"")</f>
        <v/>
      </c>
      <c r="C501" s="23" t="str">
        <f aca="false">IF(B501="","","office")</f>
        <v/>
      </c>
      <c r="D501" s="23" t="str">
        <f aca="false">IF(B501="","",Office_Log!ED101&amp;"")</f>
        <v/>
      </c>
      <c r="E501" s="23" t="str">
        <f aca="false">IF(B501="","",IF(Office_Log!B101="","",Office_Log!B101&amp;""))</f>
        <v/>
      </c>
      <c r="F501" s="23" t="str">
        <f aca="false">IF(B501="","","budget_probe")</f>
        <v/>
      </c>
      <c r="G501" s="23" t="str">
        <f aca="false">IF(B501="","",IF(ISNUMBER(Office_Log!Y101),Office_Log!Y101,""))</f>
        <v/>
      </c>
      <c r="H501" s="23" t="str">
        <f aca="false">IF(B501="","",IF(Office_Log!X101="","",Office_Log!X101&amp;""))</f>
        <v/>
      </c>
      <c r="I501" s="23" t="str">
        <f aca="false">IF(B501="","","")</f>
        <v/>
      </c>
      <c r="J501" s="23" t="str">
        <f aca="false">IF(B501="","",IF(AND(ISNUMBER(Office_Log!Z101),N(Office_Log!Z101)&gt;N(Office_Log!Y101)),"range to "&amp;Office_Log!Z101&amp;" per month",""))</f>
        <v/>
      </c>
      <c r="K501" s="32" t="s">
        <v>1354</v>
      </c>
    </row>
    <row r="502" customFormat="false" ht="15" hidden="false" customHeight="false" outlineLevel="0" collapsed="false">
      <c r="A502" s="23" t="str">
        <f aca="false">IF(B502="","",B502+(3*1000+101)/10000000)</f>
        <v/>
      </c>
      <c r="B502" s="35" t="str">
        <f aca="false">IF(Office_Log!BR102=1,Office_Log!H102,"")</f>
        <v/>
      </c>
      <c r="C502" s="23" t="str">
        <f aca="false">IF(B502="","","office")</f>
        <v/>
      </c>
      <c r="D502" s="23" t="str">
        <f aca="false">IF(B502="","",Office_Log!ED102&amp;"")</f>
        <v/>
      </c>
      <c r="E502" s="23" t="str">
        <f aca="false">IF(B502="","",IF(Office_Log!B102="","",Office_Log!B102&amp;""))</f>
        <v/>
      </c>
      <c r="F502" s="23" t="str">
        <f aca="false">IF(B502="","","budget_probe")</f>
        <v/>
      </c>
      <c r="G502" s="23" t="str">
        <f aca="false">IF(B502="","",IF(ISNUMBER(Office_Log!Y102),Office_Log!Y102,""))</f>
        <v/>
      </c>
      <c r="H502" s="23" t="str">
        <f aca="false">IF(B502="","",IF(Office_Log!X102="","",Office_Log!X102&amp;""))</f>
        <v/>
      </c>
      <c r="I502" s="23" t="str">
        <f aca="false">IF(B502="","","")</f>
        <v/>
      </c>
      <c r="J502" s="23" t="str">
        <f aca="false">IF(B502="","",IF(AND(ISNUMBER(Office_Log!Z102),N(Office_Log!Z102)&gt;N(Office_Log!Y102)),"range to "&amp;Office_Log!Z102&amp;" per month",""))</f>
        <v/>
      </c>
      <c r="K502" s="32" t="s">
        <v>1354</v>
      </c>
    </row>
    <row r="503" customFormat="false" ht="15" hidden="false" customHeight="false" outlineLevel="0" collapsed="false">
      <c r="A503" s="23" t="str">
        <f aca="false">IF(B503="","",B503+(3*1000+102)/10000000)</f>
        <v/>
      </c>
      <c r="B503" s="35" t="str">
        <f aca="false">IF(Office_Log!BR103=1,Office_Log!H103,"")</f>
        <v/>
      </c>
      <c r="C503" s="23" t="str">
        <f aca="false">IF(B503="","","office")</f>
        <v/>
      </c>
      <c r="D503" s="23" t="str">
        <f aca="false">IF(B503="","",Office_Log!ED103&amp;"")</f>
        <v/>
      </c>
      <c r="E503" s="23" t="str">
        <f aca="false">IF(B503="","",IF(Office_Log!B103="","",Office_Log!B103&amp;""))</f>
        <v/>
      </c>
      <c r="F503" s="23" t="str">
        <f aca="false">IF(B503="","","budget_probe")</f>
        <v/>
      </c>
      <c r="G503" s="23" t="str">
        <f aca="false">IF(B503="","",IF(ISNUMBER(Office_Log!Y103),Office_Log!Y103,""))</f>
        <v/>
      </c>
      <c r="H503" s="23" t="str">
        <f aca="false">IF(B503="","",IF(Office_Log!X103="","",Office_Log!X103&amp;""))</f>
        <v/>
      </c>
      <c r="I503" s="23" t="str">
        <f aca="false">IF(B503="","","")</f>
        <v/>
      </c>
      <c r="J503" s="23" t="str">
        <f aca="false">IF(B503="","",IF(AND(ISNUMBER(Office_Log!Z103),N(Office_Log!Z103)&gt;N(Office_Log!Y103)),"range to "&amp;Office_Log!Z103&amp;" per month",""))</f>
        <v/>
      </c>
      <c r="K503" s="32" t="s">
        <v>1354</v>
      </c>
    </row>
    <row r="504" customFormat="false" ht="15" hidden="false" customHeight="false" outlineLevel="0" collapsed="false">
      <c r="A504" s="23" t="str">
        <f aca="false">IF(B504="","",B504+(3*1000+103)/10000000)</f>
        <v/>
      </c>
      <c r="B504" s="35" t="str">
        <f aca="false">IF(Office_Log!BR104=1,Office_Log!H104,"")</f>
        <v/>
      </c>
      <c r="C504" s="23" t="str">
        <f aca="false">IF(B504="","","office")</f>
        <v/>
      </c>
      <c r="D504" s="23" t="str">
        <f aca="false">IF(B504="","",Office_Log!ED104&amp;"")</f>
        <v/>
      </c>
      <c r="E504" s="23" t="str">
        <f aca="false">IF(B504="","",IF(Office_Log!B104="","",Office_Log!B104&amp;""))</f>
        <v/>
      </c>
      <c r="F504" s="23" t="str">
        <f aca="false">IF(B504="","","budget_probe")</f>
        <v/>
      </c>
      <c r="G504" s="23" t="str">
        <f aca="false">IF(B504="","",IF(ISNUMBER(Office_Log!Y104),Office_Log!Y104,""))</f>
        <v/>
      </c>
      <c r="H504" s="23" t="str">
        <f aca="false">IF(B504="","",IF(Office_Log!X104="","",Office_Log!X104&amp;""))</f>
        <v/>
      </c>
      <c r="I504" s="23" t="str">
        <f aca="false">IF(B504="","","")</f>
        <v/>
      </c>
      <c r="J504" s="23" t="str">
        <f aca="false">IF(B504="","",IF(AND(ISNUMBER(Office_Log!Z104),N(Office_Log!Z104)&gt;N(Office_Log!Y104)),"range to "&amp;Office_Log!Z104&amp;" per month",""))</f>
        <v/>
      </c>
      <c r="K504" s="32" t="s">
        <v>1354</v>
      </c>
    </row>
    <row r="505" customFormat="false" ht="15" hidden="false" customHeight="false" outlineLevel="0" collapsed="false">
      <c r="A505" s="23" t="str">
        <f aca="false">IF(B505="","",B505+(3*1000+104)/10000000)</f>
        <v/>
      </c>
      <c r="B505" s="35" t="str">
        <f aca="false">IF(Office_Log!BR105=1,Office_Log!H105,"")</f>
        <v/>
      </c>
      <c r="C505" s="23" t="str">
        <f aca="false">IF(B505="","","office")</f>
        <v/>
      </c>
      <c r="D505" s="23" t="str">
        <f aca="false">IF(B505="","",Office_Log!ED105&amp;"")</f>
        <v/>
      </c>
      <c r="E505" s="23" t="str">
        <f aca="false">IF(B505="","",IF(Office_Log!B105="","",Office_Log!B105&amp;""))</f>
        <v/>
      </c>
      <c r="F505" s="23" t="str">
        <f aca="false">IF(B505="","","budget_probe")</f>
        <v/>
      </c>
      <c r="G505" s="23" t="str">
        <f aca="false">IF(B505="","",IF(ISNUMBER(Office_Log!Y105),Office_Log!Y105,""))</f>
        <v/>
      </c>
      <c r="H505" s="23" t="str">
        <f aca="false">IF(B505="","",IF(Office_Log!X105="","",Office_Log!X105&amp;""))</f>
        <v/>
      </c>
      <c r="I505" s="23" t="str">
        <f aca="false">IF(B505="","","")</f>
        <v/>
      </c>
      <c r="J505" s="23" t="str">
        <f aca="false">IF(B505="","",IF(AND(ISNUMBER(Office_Log!Z105),N(Office_Log!Z105)&gt;N(Office_Log!Y105)),"range to "&amp;Office_Log!Z105&amp;" per month",""))</f>
        <v/>
      </c>
      <c r="K505" s="32" t="s">
        <v>1354</v>
      </c>
    </row>
    <row r="506" customFormat="false" ht="15" hidden="false" customHeight="false" outlineLevel="0" collapsed="false">
      <c r="A506" s="23" t="str">
        <f aca="false">IF(B506="","",B506+(3*1000+105)/10000000)</f>
        <v/>
      </c>
      <c r="B506" s="35" t="str">
        <f aca="false">IF(Office_Log!BR106=1,Office_Log!H106,"")</f>
        <v/>
      </c>
      <c r="C506" s="23" t="str">
        <f aca="false">IF(B506="","","office")</f>
        <v/>
      </c>
      <c r="D506" s="23" t="str">
        <f aca="false">IF(B506="","",Office_Log!ED106&amp;"")</f>
        <v/>
      </c>
      <c r="E506" s="23" t="str">
        <f aca="false">IF(B506="","",IF(Office_Log!B106="","",Office_Log!B106&amp;""))</f>
        <v/>
      </c>
      <c r="F506" s="23" t="str">
        <f aca="false">IF(B506="","","budget_probe")</f>
        <v/>
      </c>
      <c r="G506" s="23" t="str">
        <f aca="false">IF(B506="","",IF(ISNUMBER(Office_Log!Y106),Office_Log!Y106,""))</f>
        <v/>
      </c>
      <c r="H506" s="23" t="str">
        <f aca="false">IF(B506="","",IF(Office_Log!X106="","",Office_Log!X106&amp;""))</f>
        <v/>
      </c>
      <c r="I506" s="23" t="str">
        <f aca="false">IF(B506="","","")</f>
        <v/>
      </c>
      <c r="J506" s="23" t="str">
        <f aca="false">IF(B506="","",IF(AND(ISNUMBER(Office_Log!Z106),N(Office_Log!Z106)&gt;N(Office_Log!Y106)),"range to "&amp;Office_Log!Z106&amp;" per month",""))</f>
        <v/>
      </c>
      <c r="K506" s="32" t="s">
        <v>1354</v>
      </c>
    </row>
    <row r="507" customFormat="false" ht="15" hidden="false" customHeight="false" outlineLevel="0" collapsed="false">
      <c r="A507" s="23" t="str">
        <f aca="false">IF(B507="","",B507+(3*1000+106)/10000000)</f>
        <v/>
      </c>
      <c r="B507" s="35" t="str">
        <f aca="false">IF(Office_Log!BR107=1,Office_Log!H107,"")</f>
        <v/>
      </c>
      <c r="C507" s="23" t="str">
        <f aca="false">IF(B507="","","office")</f>
        <v/>
      </c>
      <c r="D507" s="23" t="str">
        <f aca="false">IF(B507="","",Office_Log!ED107&amp;"")</f>
        <v/>
      </c>
      <c r="E507" s="23" t="str">
        <f aca="false">IF(B507="","",IF(Office_Log!B107="","",Office_Log!B107&amp;""))</f>
        <v/>
      </c>
      <c r="F507" s="23" t="str">
        <f aca="false">IF(B507="","","budget_probe")</f>
        <v/>
      </c>
      <c r="G507" s="23" t="str">
        <f aca="false">IF(B507="","",IF(ISNUMBER(Office_Log!Y107),Office_Log!Y107,""))</f>
        <v/>
      </c>
      <c r="H507" s="23" t="str">
        <f aca="false">IF(B507="","",IF(Office_Log!X107="","",Office_Log!X107&amp;""))</f>
        <v/>
      </c>
      <c r="I507" s="23" t="str">
        <f aca="false">IF(B507="","","")</f>
        <v/>
      </c>
      <c r="J507" s="23" t="str">
        <f aca="false">IF(B507="","",IF(AND(ISNUMBER(Office_Log!Z107),N(Office_Log!Z107)&gt;N(Office_Log!Y107)),"range to "&amp;Office_Log!Z107&amp;" per month",""))</f>
        <v/>
      </c>
      <c r="K507" s="32" t="s">
        <v>1354</v>
      </c>
    </row>
    <row r="508" customFormat="false" ht="15" hidden="false" customHeight="false" outlineLevel="0" collapsed="false">
      <c r="A508" s="23" t="str">
        <f aca="false">IF(B508="","",B508+(3*1000+107)/10000000)</f>
        <v/>
      </c>
      <c r="B508" s="35" t="str">
        <f aca="false">IF(Office_Log!BR108=1,Office_Log!H108,"")</f>
        <v/>
      </c>
      <c r="C508" s="23" t="str">
        <f aca="false">IF(B508="","","office")</f>
        <v/>
      </c>
      <c r="D508" s="23" t="str">
        <f aca="false">IF(B508="","",Office_Log!ED108&amp;"")</f>
        <v/>
      </c>
      <c r="E508" s="23" t="str">
        <f aca="false">IF(B508="","",IF(Office_Log!B108="","",Office_Log!B108&amp;""))</f>
        <v/>
      </c>
      <c r="F508" s="23" t="str">
        <f aca="false">IF(B508="","","budget_probe")</f>
        <v/>
      </c>
      <c r="G508" s="23" t="str">
        <f aca="false">IF(B508="","",IF(ISNUMBER(Office_Log!Y108),Office_Log!Y108,""))</f>
        <v/>
      </c>
      <c r="H508" s="23" t="str">
        <f aca="false">IF(B508="","",IF(Office_Log!X108="","",Office_Log!X108&amp;""))</f>
        <v/>
      </c>
      <c r="I508" s="23" t="str">
        <f aca="false">IF(B508="","","")</f>
        <v/>
      </c>
      <c r="J508" s="23" t="str">
        <f aca="false">IF(B508="","",IF(AND(ISNUMBER(Office_Log!Z108),N(Office_Log!Z108)&gt;N(Office_Log!Y108)),"range to "&amp;Office_Log!Z108&amp;" per month",""))</f>
        <v/>
      </c>
      <c r="K508" s="32" t="s">
        <v>1354</v>
      </c>
    </row>
    <row r="509" customFormat="false" ht="15" hidden="false" customHeight="false" outlineLevel="0" collapsed="false">
      <c r="A509" s="23" t="str">
        <f aca="false">IF(B509="","",B509+(3*1000+108)/10000000)</f>
        <v/>
      </c>
      <c r="B509" s="35" t="str">
        <f aca="false">IF(Office_Log!BR109=1,Office_Log!H109,"")</f>
        <v/>
      </c>
      <c r="C509" s="23" t="str">
        <f aca="false">IF(B509="","","office")</f>
        <v/>
      </c>
      <c r="D509" s="23" t="str">
        <f aca="false">IF(B509="","",Office_Log!ED109&amp;"")</f>
        <v/>
      </c>
      <c r="E509" s="23" t="str">
        <f aca="false">IF(B509="","",IF(Office_Log!B109="","",Office_Log!B109&amp;""))</f>
        <v/>
      </c>
      <c r="F509" s="23" t="str">
        <f aca="false">IF(B509="","","budget_probe")</f>
        <v/>
      </c>
      <c r="G509" s="23" t="str">
        <f aca="false">IF(B509="","",IF(ISNUMBER(Office_Log!Y109),Office_Log!Y109,""))</f>
        <v/>
      </c>
      <c r="H509" s="23" t="str">
        <f aca="false">IF(B509="","",IF(Office_Log!X109="","",Office_Log!X109&amp;""))</f>
        <v/>
      </c>
      <c r="I509" s="23" t="str">
        <f aca="false">IF(B509="","","")</f>
        <v/>
      </c>
      <c r="J509" s="23" t="str">
        <f aca="false">IF(B509="","",IF(AND(ISNUMBER(Office_Log!Z109),N(Office_Log!Z109)&gt;N(Office_Log!Y109)),"range to "&amp;Office_Log!Z109&amp;" per month",""))</f>
        <v/>
      </c>
      <c r="K509" s="32" t="s">
        <v>1354</v>
      </c>
    </row>
    <row r="510" customFormat="false" ht="15" hidden="false" customHeight="false" outlineLevel="0" collapsed="false">
      <c r="A510" s="23" t="str">
        <f aca="false">IF(B510="","",B510+(3*1000+109)/10000000)</f>
        <v/>
      </c>
      <c r="B510" s="35" t="str">
        <f aca="false">IF(Office_Log!BR110=1,Office_Log!H110,"")</f>
        <v/>
      </c>
      <c r="C510" s="23" t="str">
        <f aca="false">IF(B510="","","office")</f>
        <v/>
      </c>
      <c r="D510" s="23" t="str">
        <f aca="false">IF(B510="","",Office_Log!ED110&amp;"")</f>
        <v/>
      </c>
      <c r="E510" s="23" t="str">
        <f aca="false">IF(B510="","",IF(Office_Log!B110="","",Office_Log!B110&amp;""))</f>
        <v/>
      </c>
      <c r="F510" s="23" t="str">
        <f aca="false">IF(B510="","","budget_probe")</f>
        <v/>
      </c>
      <c r="G510" s="23" t="str">
        <f aca="false">IF(B510="","",IF(ISNUMBER(Office_Log!Y110),Office_Log!Y110,""))</f>
        <v/>
      </c>
      <c r="H510" s="23" t="str">
        <f aca="false">IF(B510="","",IF(Office_Log!X110="","",Office_Log!X110&amp;""))</f>
        <v/>
      </c>
      <c r="I510" s="23" t="str">
        <f aca="false">IF(B510="","","")</f>
        <v/>
      </c>
      <c r="J510" s="23" t="str">
        <f aca="false">IF(B510="","",IF(AND(ISNUMBER(Office_Log!Z110),N(Office_Log!Z110)&gt;N(Office_Log!Y110)),"range to "&amp;Office_Log!Z110&amp;" per month",""))</f>
        <v/>
      </c>
      <c r="K510" s="32" t="s">
        <v>1354</v>
      </c>
    </row>
    <row r="511" customFormat="false" ht="15" hidden="false" customHeight="false" outlineLevel="0" collapsed="false">
      <c r="A511" s="23" t="str">
        <f aca="false">IF(B511="","",B511+(3*1000+110)/10000000)</f>
        <v/>
      </c>
      <c r="B511" s="35" t="str">
        <f aca="false">IF(Office_Log!BR111=1,Office_Log!H111,"")</f>
        <v/>
      </c>
      <c r="C511" s="23" t="str">
        <f aca="false">IF(B511="","","office")</f>
        <v/>
      </c>
      <c r="D511" s="23" t="str">
        <f aca="false">IF(B511="","",Office_Log!ED111&amp;"")</f>
        <v/>
      </c>
      <c r="E511" s="23" t="str">
        <f aca="false">IF(B511="","",IF(Office_Log!B111="","",Office_Log!B111&amp;""))</f>
        <v/>
      </c>
      <c r="F511" s="23" t="str">
        <f aca="false">IF(B511="","","budget_probe")</f>
        <v/>
      </c>
      <c r="G511" s="23" t="str">
        <f aca="false">IF(B511="","",IF(ISNUMBER(Office_Log!Y111),Office_Log!Y111,""))</f>
        <v/>
      </c>
      <c r="H511" s="23" t="str">
        <f aca="false">IF(B511="","",IF(Office_Log!X111="","",Office_Log!X111&amp;""))</f>
        <v/>
      </c>
      <c r="I511" s="23" t="str">
        <f aca="false">IF(B511="","","")</f>
        <v/>
      </c>
      <c r="J511" s="23" t="str">
        <f aca="false">IF(B511="","",IF(AND(ISNUMBER(Office_Log!Z111),N(Office_Log!Z111)&gt;N(Office_Log!Y111)),"range to "&amp;Office_Log!Z111&amp;" per month",""))</f>
        <v/>
      </c>
      <c r="K511" s="32" t="s">
        <v>1354</v>
      </c>
    </row>
    <row r="512" customFormat="false" ht="15" hidden="false" customHeight="false" outlineLevel="0" collapsed="false">
      <c r="A512" s="23" t="str">
        <f aca="false">IF(B512="","",B512+(3*1000+111)/10000000)</f>
        <v/>
      </c>
      <c r="B512" s="35" t="str">
        <f aca="false">IF(Office_Log!BR112=1,Office_Log!H112,"")</f>
        <v/>
      </c>
      <c r="C512" s="23" t="str">
        <f aca="false">IF(B512="","","office")</f>
        <v/>
      </c>
      <c r="D512" s="23" t="str">
        <f aca="false">IF(B512="","",Office_Log!ED112&amp;"")</f>
        <v/>
      </c>
      <c r="E512" s="23" t="str">
        <f aca="false">IF(B512="","",IF(Office_Log!B112="","",Office_Log!B112&amp;""))</f>
        <v/>
      </c>
      <c r="F512" s="23" t="str">
        <f aca="false">IF(B512="","","budget_probe")</f>
        <v/>
      </c>
      <c r="G512" s="23" t="str">
        <f aca="false">IF(B512="","",IF(ISNUMBER(Office_Log!Y112),Office_Log!Y112,""))</f>
        <v/>
      </c>
      <c r="H512" s="23" t="str">
        <f aca="false">IF(B512="","",IF(Office_Log!X112="","",Office_Log!X112&amp;""))</f>
        <v/>
      </c>
      <c r="I512" s="23" t="str">
        <f aca="false">IF(B512="","","")</f>
        <v/>
      </c>
      <c r="J512" s="23" t="str">
        <f aca="false">IF(B512="","",IF(AND(ISNUMBER(Office_Log!Z112),N(Office_Log!Z112)&gt;N(Office_Log!Y112)),"range to "&amp;Office_Log!Z112&amp;" per month",""))</f>
        <v/>
      </c>
      <c r="K512" s="32" t="s">
        <v>1354</v>
      </c>
    </row>
    <row r="513" customFormat="false" ht="15" hidden="false" customHeight="false" outlineLevel="0" collapsed="false">
      <c r="A513" s="23" t="str">
        <f aca="false">IF(B513="","",B513+(3*1000+112)/10000000)</f>
        <v/>
      </c>
      <c r="B513" s="35" t="str">
        <f aca="false">IF(Office_Log!BR113=1,Office_Log!H113,"")</f>
        <v/>
      </c>
      <c r="C513" s="23" t="str">
        <f aca="false">IF(B513="","","office")</f>
        <v/>
      </c>
      <c r="D513" s="23" t="str">
        <f aca="false">IF(B513="","",Office_Log!ED113&amp;"")</f>
        <v/>
      </c>
      <c r="E513" s="23" t="str">
        <f aca="false">IF(B513="","",IF(Office_Log!B113="","",Office_Log!B113&amp;""))</f>
        <v/>
      </c>
      <c r="F513" s="23" t="str">
        <f aca="false">IF(B513="","","budget_probe")</f>
        <v/>
      </c>
      <c r="G513" s="23" t="str">
        <f aca="false">IF(B513="","",IF(ISNUMBER(Office_Log!Y113),Office_Log!Y113,""))</f>
        <v/>
      </c>
      <c r="H513" s="23" t="str">
        <f aca="false">IF(B513="","",IF(Office_Log!X113="","",Office_Log!X113&amp;""))</f>
        <v/>
      </c>
      <c r="I513" s="23" t="str">
        <f aca="false">IF(B513="","","")</f>
        <v/>
      </c>
      <c r="J513" s="23" t="str">
        <f aca="false">IF(B513="","",IF(AND(ISNUMBER(Office_Log!Z113),N(Office_Log!Z113)&gt;N(Office_Log!Y113)),"range to "&amp;Office_Log!Z113&amp;" per month",""))</f>
        <v/>
      </c>
      <c r="K513" s="32" t="s">
        <v>1354</v>
      </c>
    </row>
    <row r="514" customFormat="false" ht="15" hidden="false" customHeight="false" outlineLevel="0" collapsed="false">
      <c r="A514" s="23" t="str">
        <f aca="false">IF(B514="","",B514+(3*1000+113)/10000000)</f>
        <v/>
      </c>
      <c r="B514" s="35" t="str">
        <f aca="false">IF(Office_Log!BR114=1,Office_Log!H114,"")</f>
        <v/>
      </c>
      <c r="C514" s="23" t="str">
        <f aca="false">IF(B514="","","office")</f>
        <v/>
      </c>
      <c r="D514" s="23" t="str">
        <f aca="false">IF(B514="","",Office_Log!ED114&amp;"")</f>
        <v/>
      </c>
      <c r="E514" s="23" t="str">
        <f aca="false">IF(B514="","",IF(Office_Log!B114="","",Office_Log!B114&amp;""))</f>
        <v/>
      </c>
      <c r="F514" s="23" t="str">
        <f aca="false">IF(B514="","","budget_probe")</f>
        <v/>
      </c>
      <c r="G514" s="23" t="str">
        <f aca="false">IF(B514="","",IF(ISNUMBER(Office_Log!Y114),Office_Log!Y114,""))</f>
        <v/>
      </c>
      <c r="H514" s="23" t="str">
        <f aca="false">IF(B514="","",IF(Office_Log!X114="","",Office_Log!X114&amp;""))</f>
        <v/>
      </c>
      <c r="I514" s="23" t="str">
        <f aca="false">IF(B514="","","")</f>
        <v/>
      </c>
      <c r="J514" s="23" t="str">
        <f aca="false">IF(B514="","",IF(AND(ISNUMBER(Office_Log!Z114),N(Office_Log!Z114)&gt;N(Office_Log!Y114)),"range to "&amp;Office_Log!Z114&amp;" per month",""))</f>
        <v/>
      </c>
      <c r="K514" s="32" t="s">
        <v>1354</v>
      </c>
    </row>
    <row r="515" customFormat="false" ht="15" hidden="false" customHeight="false" outlineLevel="0" collapsed="false">
      <c r="A515" s="23" t="str">
        <f aca="false">IF(B515="","",B515+(3*1000+114)/10000000)</f>
        <v/>
      </c>
      <c r="B515" s="35" t="str">
        <f aca="false">IF(Office_Log!BR115=1,Office_Log!H115,"")</f>
        <v/>
      </c>
      <c r="C515" s="23" t="str">
        <f aca="false">IF(B515="","","office")</f>
        <v/>
      </c>
      <c r="D515" s="23" t="str">
        <f aca="false">IF(B515="","",Office_Log!ED115&amp;"")</f>
        <v/>
      </c>
      <c r="E515" s="23" t="str">
        <f aca="false">IF(B515="","",IF(Office_Log!B115="","",Office_Log!B115&amp;""))</f>
        <v/>
      </c>
      <c r="F515" s="23" t="str">
        <f aca="false">IF(B515="","","budget_probe")</f>
        <v/>
      </c>
      <c r="G515" s="23" t="str">
        <f aca="false">IF(B515="","",IF(ISNUMBER(Office_Log!Y115),Office_Log!Y115,""))</f>
        <v/>
      </c>
      <c r="H515" s="23" t="str">
        <f aca="false">IF(B515="","",IF(Office_Log!X115="","",Office_Log!X115&amp;""))</f>
        <v/>
      </c>
      <c r="I515" s="23" t="str">
        <f aca="false">IF(B515="","","")</f>
        <v/>
      </c>
      <c r="J515" s="23" t="str">
        <f aca="false">IF(B515="","",IF(AND(ISNUMBER(Office_Log!Z115),N(Office_Log!Z115)&gt;N(Office_Log!Y115)),"range to "&amp;Office_Log!Z115&amp;" per month",""))</f>
        <v/>
      </c>
      <c r="K515" s="32" t="s">
        <v>1354</v>
      </c>
    </row>
    <row r="516" customFormat="false" ht="15" hidden="false" customHeight="false" outlineLevel="0" collapsed="false">
      <c r="A516" s="23" t="str">
        <f aca="false">IF(B516="","",B516+(3*1000+115)/10000000)</f>
        <v/>
      </c>
      <c r="B516" s="35" t="str">
        <f aca="false">IF(Office_Log!BR116=1,Office_Log!H116,"")</f>
        <v/>
      </c>
      <c r="C516" s="23" t="str">
        <f aca="false">IF(B516="","","office")</f>
        <v/>
      </c>
      <c r="D516" s="23" t="str">
        <f aca="false">IF(B516="","",Office_Log!ED116&amp;"")</f>
        <v/>
      </c>
      <c r="E516" s="23" t="str">
        <f aca="false">IF(B516="","",IF(Office_Log!B116="","",Office_Log!B116&amp;""))</f>
        <v/>
      </c>
      <c r="F516" s="23" t="str">
        <f aca="false">IF(B516="","","budget_probe")</f>
        <v/>
      </c>
      <c r="G516" s="23" t="str">
        <f aca="false">IF(B516="","",IF(ISNUMBER(Office_Log!Y116),Office_Log!Y116,""))</f>
        <v/>
      </c>
      <c r="H516" s="23" t="str">
        <f aca="false">IF(B516="","",IF(Office_Log!X116="","",Office_Log!X116&amp;""))</f>
        <v/>
      </c>
      <c r="I516" s="23" t="str">
        <f aca="false">IF(B516="","","")</f>
        <v/>
      </c>
      <c r="J516" s="23" t="str">
        <f aca="false">IF(B516="","",IF(AND(ISNUMBER(Office_Log!Z116),N(Office_Log!Z116)&gt;N(Office_Log!Y116)),"range to "&amp;Office_Log!Z116&amp;" per month",""))</f>
        <v/>
      </c>
      <c r="K516" s="32" t="s">
        <v>1354</v>
      </c>
    </row>
    <row r="517" customFormat="false" ht="15" hidden="false" customHeight="false" outlineLevel="0" collapsed="false">
      <c r="A517" s="23" t="str">
        <f aca="false">IF(B517="","",B517+(3*1000+116)/10000000)</f>
        <v/>
      </c>
      <c r="B517" s="35" t="str">
        <f aca="false">IF(Office_Log!BR117=1,Office_Log!H117,"")</f>
        <v/>
      </c>
      <c r="C517" s="23" t="str">
        <f aca="false">IF(B517="","","office")</f>
        <v/>
      </c>
      <c r="D517" s="23" t="str">
        <f aca="false">IF(B517="","",Office_Log!ED117&amp;"")</f>
        <v/>
      </c>
      <c r="E517" s="23" t="str">
        <f aca="false">IF(B517="","",IF(Office_Log!B117="","",Office_Log!B117&amp;""))</f>
        <v/>
      </c>
      <c r="F517" s="23" t="str">
        <f aca="false">IF(B517="","","budget_probe")</f>
        <v/>
      </c>
      <c r="G517" s="23" t="str">
        <f aca="false">IF(B517="","",IF(ISNUMBER(Office_Log!Y117),Office_Log!Y117,""))</f>
        <v/>
      </c>
      <c r="H517" s="23" t="str">
        <f aca="false">IF(B517="","",IF(Office_Log!X117="","",Office_Log!X117&amp;""))</f>
        <v/>
      </c>
      <c r="I517" s="23" t="str">
        <f aca="false">IF(B517="","","")</f>
        <v/>
      </c>
      <c r="J517" s="23" t="str">
        <f aca="false">IF(B517="","",IF(AND(ISNUMBER(Office_Log!Z117),N(Office_Log!Z117)&gt;N(Office_Log!Y117)),"range to "&amp;Office_Log!Z117&amp;" per month",""))</f>
        <v/>
      </c>
      <c r="K517" s="32" t="s">
        <v>1354</v>
      </c>
    </row>
    <row r="518" customFormat="false" ht="15" hidden="false" customHeight="false" outlineLevel="0" collapsed="false">
      <c r="A518" s="23" t="str">
        <f aca="false">IF(B518="","",B518+(3*1000+117)/10000000)</f>
        <v/>
      </c>
      <c r="B518" s="35" t="str">
        <f aca="false">IF(Office_Log!BR118=1,Office_Log!H118,"")</f>
        <v/>
      </c>
      <c r="C518" s="23" t="str">
        <f aca="false">IF(B518="","","office")</f>
        <v/>
      </c>
      <c r="D518" s="23" t="str">
        <f aca="false">IF(B518="","",Office_Log!ED118&amp;"")</f>
        <v/>
      </c>
      <c r="E518" s="23" t="str">
        <f aca="false">IF(B518="","",IF(Office_Log!B118="","",Office_Log!B118&amp;""))</f>
        <v/>
      </c>
      <c r="F518" s="23" t="str">
        <f aca="false">IF(B518="","","budget_probe")</f>
        <v/>
      </c>
      <c r="G518" s="23" t="str">
        <f aca="false">IF(B518="","",IF(ISNUMBER(Office_Log!Y118),Office_Log!Y118,""))</f>
        <v/>
      </c>
      <c r="H518" s="23" t="str">
        <f aca="false">IF(B518="","",IF(Office_Log!X118="","",Office_Log!X118&amp;""))</f>
        <v/>
      </c>
      <c r="I518" s="23" t="str">
        <f aca="false">IF(B518="","","")</f>
        <v/>
      </c>
      <c r="J518" s="23" t="str">
        <f aca="false">IF(B518="","",IF(AND(ISNUMBER(Office_Log!Z118),N(Office_Log!Z118)&gt;N(Office_Log!Y118)),"range to "&amp;Office_Log!Z118&amp;" per month",""))</f>
        <v/>
      </c>
      <c r="K518" s="32" t="s">
        <v>1354</v>
      </c>
    </row>
    <row r="519" customFormat="false" ht="15" hidden="false" customHeight="false" outlineLevel="0" collapsed="false">
      <c r="A519" s="23" t="str">
        <f aca="false">IF(B519="","",B519+(3*1000+118)/10000000)</f>
        <v/>
      </c>
      <c r="B519" s="35" t="str">
        <f aca="false">IF(Office_Log!BR119=1,Office_Log!H119,"")</f>
        <v/>
      </c>
      <c r="C519" s="23" t="str">
        <f aca="false">IF(B519="","","office")</f>
        <v/>
      </c>
      <c r="D519" s="23" t="str">
        <f aca="false">IF(B519="","",Office_Log!ED119&amp;"")</f>
        <v/>
      </c>
      <c r="E519" s="23" t="str">
        <f aca="false">IF(B519="","",IF(Office_Log!B119="","",Office_Log!B119&amp;""))</f>
        <v/>
      </c>
      <c r="F519" s="23" t="str">
        <f aca="false">IF(B519="","","budget_probe")</f>
        <v/>
      </c>
      <c r="G519" s="23" t="str">
        <f aca="false">IF(B519="","",IF(ISNUMBER(Office_Log!Y119),Office_Log!Y119,""))</f>
        <v/>
      </c>
      <c r="H519" s="23" t="str">
        <f aca="false">IF(B519="","",IF(Office_Log!X119="","",Office_Log!X119&amp;""))</f>
        <v/>
      </c>
      <c r="I519" s="23" t="str">
        <f aca="false">IF(B519="","","")</f>
        <v/>
      </c>
      <c r="J519" s="23" t="str">
        <f aca="false">IF(B519="","",IF(AND(ISNUMBER(Office_Log!Z119),N(Office_Log!Z119)&gt;N(Office_Log!Y119)),"range to "&amp;Office_Log!Z119&amp;" per month",""))</f>
        <v/>
      </c>
      <c r="K519" s="32" t="s">
        <v>1354</v>
      </c>
    </row>
    <row r="520" customFormat="false" ht="15" hidden="false" customHeight="false" outlineLevel="0" collapsed="false">
      <c r="A520" s="23" t="str">
        <f aca="false">IF(B520="","",B520+(3*1000+119)/10000000)</f>
        <v/>
      </c>
      <c r="B520" s="35" t="str">
        <f aca="false">IF(Office_Log!BR120=1,Office_Log!H120,"")</f>
        <v/>
      </c>
      <c r="C520" s="23" t="str">
        <f aca="false">IF(B520="","","office")</f>
        <v/>
      </c>
      <c r="D520" s="23" t="str">
        <f aca="false">IF(B520="","",Office_Log!ED120&amp;"")</f>
        <v/>
      </c>
      <c r="E520" s="23" t="str">
        <f aca="false">IF(B520="","",IF(Office_Log!B120="","",Office_Log!B120&amp;""))</f>
        <v/>
      </c>
      <c r="F520" s="23" t="str">
        <f aca="false">IF(B520="","","budget_probe")</f>
        <v/>
      </c>
      <c r="G520" s="23" t="str">
        <f aca="false">IF(B520="","",IF(ISNUMBER(Office_Log!Y120),Office_Log!Y120,""))</f>
        <v/>
      </c>
      <c r="H520" s="23" t="str">
        <f aca="false">IF(B520="","",IF(Office_Log!X120="","",Office_Log!X120&amp;""))</f>
        <v/>
      </c>
      <c r="I520" s="23" t="str">
        <f aca="false">IF(B520="","","")</f>
        <v/>
      </c>
      <c r="J520" s="23" t="str">
        <f aca="false">IF(B520="","",IF(AND(ISNUMBER(Office_Log!Z120),N(Office_Log!Z120)&gt;N(Office_Log!Y120)),"range to "&amp;Office_Log!Z120&amp;" per month",""))</f>
        <v/>
      </c>
      <c r="K520" s="32" t="s">
        <v>1354</v>
      </c>
    </row>
    <row r="521" customFormat="false" ht="15" hidden="false" customHeight="false" outlineLevel="0" collapsed="false">
      <c r="A521" s="23" t="str">
        <f aca="false">IF(B521="","",B521+(3*1000+120)/10000000)</f>
        <v/>
      </c>
      <c r="B521" s="35" t="str">
        <f aca="false">IF(Office_Log!BR121=1,Office_Log!H121,"")</f>
        <v/>
      </c>
      <c r="C521" s="23" t="str">
        <f aca="false">IF(B521="","","office")</f>
        <v/>
      </c>
      <c r="D521" s="23" t="str">
        <f aca="false">IF(B521="","",Office_Log!ED121&amp;"")</f>
        <v/>
      </c>
      <c r="E521" s="23" t="str">
        <f aca="false">IF(B521="","",IF(Office_Log!B121="","",Office_Log!B121&amp;""))</f>
        <v/>
      </c>
      <c r="F521" s="23" t="str">
        <f aca="false">IF(B521="","","budget_probe")</f>
        <v/>
      </c>
      <c r="G521" s="23" t="str">
        <f aca="false">IF(B521="","",IF(ISNUMBER(Office_Log!Y121),Office_Log!Y121,""))</f>
        <v/>
      </c>
      <c r="H521" s="23" t="str">
        <f aca="false">IF(B521="","",IF(Office_Log!X121="","",Office_Log!X121&amp;""))</f>
        <v/>
      </c>
      <c r="I521" s="23" t="str">
        <f aca="false">IF(B521="","","")</f>
        <v/>
      </c>
      <c r="J521" s="23" t="str">
        <f aca="false">IF(B521="","",IF(AND(ISNUMBER(Office_Log!Z121),N(Office_Log!Z121)&gt;N(Office_Log!Y121)),"range to "&amp;Office_Log!Z121&amp;" per month",""))</f>
        <v/>
      </c>
      <c r="K521" s="32" t="s">
        <v>1354</v>
      </c>
    </row>
    <row r="522" customFormat="false" ht="15" hidden="false" customHeight="false" outlineLevel="0" collapsed="false">
      <c r="A522" s="23" t="str">
        <f aca="false">IF(B522="","",B522+(3*1000+121)/10000000)</f>
        <v/>
      </c>
      <c r="B522" s="35" t="str">
        <f aca="false">IF(Office_Log!BR122=1,Office_Log!H122,"")</f>
        <v/>
      </c>
      <c r="C522" s="23" t="str">
        <f aca="false">IF(B522="","","office")</f>
        <v/>
      </c>
      <c r="D522" s="23" t="str">
        <f aca="false">IF(B522="","",Office_Log!ED122&amp;"")</f>
        <v/>
      </c>
      <c r="E522" s="23" t="str">
        <f aca="false">IF(B522="","",IF(Office_Log!B122="","",Office_Log!B122&amp;""))</f>
        <v/>
      </c>
      <c r="F522" s="23" t="str">
        <f aca="false">IF(B522="","","budget_probe")</f>
        <v/>
      </c>
      <c r="G522" s="23" t="str">
        <f aca="false">IF(B522="","",IF(ISNUMBER(Office_Log!Y122),Office_Log!Y122,""))</f>
        <v/>
      </c>
      <c r="H522" s="23" t="str">
        <f aca="false">IF(B522="","",IF(Office_Log!X122="","",Office_Log!X122&amp;""))</f>
        <v/>
      </c>
      <c r="I522" s="23" t="str">
        <f aca="false">IF(B522="","","")</f>
        <v/>
      </c>
      <c r="J522" s="23" t="str">
        <f aca="false">IF(B522="","",IF(AND(ISNUMBER(Office_Log!Z122),N(Office_Log!Z122)&gt;N(Office_Log!Y122)),"range to "&amp;Office_Log!Z122&amp;" per month",""))</f>
        <v/>
      </c>
      <c r="K522" s="32" t="s">
        <v>1354</v>
      </c>
    </row>
    <row r="523" customFormat="false" ht="15" hidden="false" customHeight="false" outlineLevel="0" collapsed="false">
      <c r="A523" s="23" t="str">
        <f aca="false">IF(B523="","",B523+(3*1000+122)/10000000)</f>
        <v/>
      </c>
      <c r="B523" s="35" t="str">
        <f aca="false">IF(Office_Log!BR123=1,Office_Log!H123,"")</f>
        <v/>
      </c>
      <c r="C523" s="23" t="str">
        <f aca="false">IF(B523="","","office")</f>
        <v/>
      </c>
      <c r="D523" s="23" t="str">
        <f aca="false">IF(B523="","",Office_Log!ED123&amp;"")</f>
        <v/>
      </c>
      <c r="E523" s="23" t="str">
        <f aca="false">IF(B523="","",IF(Office_Log!B123="","",Office_Log!B123&amp;""))</f>
        <v/>
      </c>
      <c r="F523" s="23" t="str">
        <f aca="false">IF(B523="","","budget_probe")</f>
        <v/>
      </c>
      <c r="G523" s="23" t="str">
        <f aca="false">IF(B523="","",IF(ISNUMBER(Office_Log!Y123),Office_Log!Y123,""))</f>
        <v/>
      </c>
      <c r="H523" s="23" t="str">
        <f aca="false">IF(B523="","",IF(Office_Log!X123="","",Office_Log!X123&amp;""))</f>
        <v/>
      </c>
      <c r="I523" s="23" t="str">
        <f aca="false">IF(B523="","","")</f>
        <v/>
      </c>
      <c r="J523" s="23" t="str">
        <f aca="false">IF(B523="","",IF(AND(ISNUMBER(Office_Log!Z123),N(Office_Log!Z123)&gt;N(Office_Log!Y123)),"range to "&amp;Office_Log!Z123&amp;" per month",""))</f>
        <v/>
      </c>
      <c r="K523" s="32" t="s">
        <v>1354</v>
      </c>
    </row>
    <row r="524" customFormat="false" ht="15" hidden="false" customHeight="false" outlineLevel="0" collapsed="false">
      <c r="A524" s="23" t="str">
        <f aca="false">IF(B524="","",B524+(3*1000+123)/10000000)</f>
        <v/>
      </c>
      <c r="B524" s="35" t="str">
        <f aca="false">IF(Office_Log!BR124=1,Office_Log!H124,"")</f>
        <v/>
      </c>
      <c r="C524" s="23" t="str">
        <f aca="false">IF(B524="","","office")</f>
        <v/>
      </c>
      <c r="D524" s="23" t="str">
        <f aca="false">IF(B524="","",Office_Log!ED124&amp;"")</f>
        <v/>
      </c>
      <c r="E524" s="23" t="str">
        <f aca="false">IF(B524="","",IF(Office_Log!B124="","",Office_Log!B124&amp;""))</f>
        <v/>
      </c>
      <c r="F524" s="23" t="str">
        <f aca="false">IF(B524="","","budget_probe")</f>
        <v/>
      </c>
      <c r="G524" s="23" t="str">
        <f aca="false">IF(B524="","",IF(ISNUMBER(Office_Log!Y124),Office_Log!Y124,""))</f>
        <v/>
      </c>
      <c r="H524" s="23" t="str">
        <f aca="false">IF(B524="","",IF(Office_Log!X124="","",Office_Log!X124&amp;""))</f>
        <v/>
      </c>
      <c r="I524" s="23" t="str">
        <f aca="false">IF(B524="","","")</f>
        <v/>
      </c>
      <c r="J524" s="23" t="str">
        <f aca="false">IF(B524="","",IF(AND(ISNUMBER(Office_Log!Z124),N(Office_Log!Z124)&gt;N(Office_Log!Y124)),"range to "&amp;Office_Log!Z124&amp;" per month",""))</f>
        <v/>
      </c>
      <c r="K524" s="32" t="s">
        <v>1354</v>
      </c>
    </row>
    <row r="525" customFormat="false" ht="15" hidden="false" customHeight="false" outlineLevel="0" collapsed="false">
      <c r="A525" s="23" t="str">
        <f aca="false">IF(B525="","",B525+(3*1000+124)/10000000)</f>
        <v/>
      </c>
      <c r="B525" s="35" t="str">
        <f aca="false">IF(Office_Log!BR125=1,Office_Log!H125,"")</f>
        <v/>
      </c>
      <c r="C525" s="23" t="str">
        <f aca="false">IF(B525="","","office")</f>
        <v/>
      </c>
      <c r="D525" s="23" t="str">
        <f aca="false">IF(B525="","",Office_Log!ED125&amp;"")</f>
        <v/>
      </c>
      <c r="E525" s="23" t="str">
        <f aca="false">IF(B525="","",IF(Office_Log!B125="","",Office_Log!B125&amp;""))</f>
        <v/>
      </c>
      <c r="F525" s="23" t="str">
        <f aca="false">IF(B525="","","budget_probe")</f>
        <v/>
      </c>
      <c r="G525" s="23" t="str">
        <f aca="false">IF(B525="","",IF(ISNUMBER(Office_Log!Y125),Office_Log!Y125,""))</f>
        <v/>
      </c>
      <c r="H525" s="23" t="str">
        <f aca="false">IF(B525="","",IF(Office_Log!X125="","",Office_Log!X125&amp;""))</f>
        <v/>
      </c>
      <c r="I525" s="23" t="str">
        <f aca="false">IF(B525="","","")</f>
        <v/>
      </c>
      <c r="J525" s="23" t="str">
        <f aca="false">IF(B525="","",IF(AND(ISNUMBER(Office_Log!Z125),N(Office_Log!Z125)&gt;N(Office_Log!Y125)),"range to "&amp;Office_Log!Z125&amp;" per month",""))</f>
        <v/>
      </c>
      <c r="K525" s="32" t="s">
        <v>1354</v>
      </c>
    </row>
    <row r="526" customFormat="false" ht="15" hidden="false" customHeight="false" outlineLevel="0" collapsed="false">
      <c r="A526" s="23" t="str">
        <f aca="false">IF(B526="","",B526+(3*1000+125)/10000000)</f>
        <v/>
      </c>
      <c r="B526" s="35" t="str">
        <f aca="false">IF(Office_Log!BR126=1,Office_Log!H126,"")</f>
        <v/>
      </c>
      <c r="C526" s="23" t="str">
        <f aca="false">IF(B526="","","office")</f>
        <v/>
      </c>
      <c r="D526" s="23" t="str">
        <f aca="false">IF(B526="","",Office_Log!ED126&amp;"")</f>
        <v/>
      </c>
      <c r="E526" s="23" t="str">
        <f aca="false">IF(B526="","",IF(Office_Log!B126="","",Office_Log!B126&amp;""))</f>
        <v/>
      </c>
      <c r="F526" s="23" t="str">
        <f aca="false">IF(B526="","","budget_probe")</f>
        <v/>
      </c>
      <c r="G526" s="23" t="str">
        <f aca="false">IF(B526="","",IF(ISNUMBER(Office_Log!Y126),Office_Log!Y126,""))</f>
        <v/>
      </c>
      <c r="H526" s="23" t="str">
        <f aca="false">IF(B526="","",IF(Office_Log!X126="","",Office_Log!X126&amp;""))</f>
        <v/>
      </c>
      <c r="I526" s="23" t="str">
        <f aca="false">IF(B526="","","")</f>
        <v/>
      </c>
      <c r="J526" s="23" t="str">
        <f aca="false">IF(B526="","",IF(AND(ISNUMBER(Office_Log!Z126),N(Office_Log!Z126)&gt;N(Office_Log!Y126)),"range to "&amp;Office_Log!Z126&amp;" per month",""))</f>
        <v/>
      </c>
      <c r="K526" s="32" t="s">
        <v>1354</v>
      </c>
    </row>
    <row r="527" customFormat="false" ht="15" hidden="false" customHeight="false" outlineLevel="0" collapsed="false">
      <c r="A527" s="23" t="str">
        <f aca="false">IF(B527="","",B527+(3*1000+126)/10000000)</f>
        <v/>
      </c>
      <c r="B527" s="35" t="str">
        <f aca="false">IF(Office_Log!BR127=1,Office_Log!H127,"")</f>
        <v/>
      </c>
      <c r="C527" s="23" t="str">
        <f aca="false">IF(B527="","","office")</f>
        <v/>
      </c>
      <c r="D527" s="23" t="str">
        <f aca="false">IF(B527="","",Office_Log!ED127&amp;"")</f>
        <v/>
      </c>
      <c r="E527" s="23" t="str">
        <f aca="false">IF(B527="","",IF(Office_Log!B127="","",Office_Log!B127&amp;""))</f>
        <v/>
      </c>
      <c r="F527" s="23" t="str">
        <f aca="false">IF(B527="","","budget_probe")</f>
        <v/>
      </c>
      <c r="G527" s="23" t="str">
        <f aca="false">IF(B527="","",IF(ISNUMBER(Office_Log!Y127),Office_Log!Y127,""))</f>
        <v/>
      </c>
      <c r="H527" s="23" t="str">
        <f aca="false">IF(B527="","",IF(Office_Log!X127="","",Office_Log!X127&amp;""))</f>
        <v/>
      </c>
      <c r="I527" s="23" t="str">
        <f aca="false">IF(B527="","","")</f>
        <v/>
      </c>
      <c r="J527" s="23" t="str">
        <f aca="false">IF(B527="","",IF(AND(ISNUMBER(Office_Log!Z127),N(Office_Log!Z127)&gt;N(Office_Log!Y127)),"range to "&amp;Office_Log!Z127&amp;" per month",""))</f>
        <v/>
      </c>
      <c r="K527" s="32" t="s">
        <v>1354</v>
      </c>
    </row>
    <row r="528" customFormat="false" ht="15" hidden="false" customHeight="false" outlineLevel="0" collapsed="false">
      <c r="A528" s="23" t="str">
        <f aca="false">IF(B528="","",B528+(3*1000+127)/10000000)</f>
        <v/>
      </c>
      <c r="B528" s="35" t="str">
        <f aca="false">IF(Office_Log!BR128=1,Office_Log!H128,"")</f>
        <v/>
      </c>
      <c r="C528" s="23" t="str">
        <f aca="false">IF(B528="","","office")</f>
        <v/>
      </c>
      <c r="D528" s="23" t="str">
        <f aca="false">IF(B528="","",Office_Log!ED128&amp;"")</f>
        <v/>
      </c>
      <c r="E528" s="23" t="str">
        <f aca="false">IF(B528="","",IF(Office_Log!B128="","",Office_Log!B128&amp;""))</f>
        <v/>
      </c>
      <c r="F528" s="23" t="str">
        <f aca="false">IF(B528="","","budget_probe")</f>
        <v/>
      </c>
      <c r="G528" s="23" t="str">
        <f aca="false">IF(B528="","",IF(ISNUMBER(Office_Log!Y128),Office_Log!Y128,""))</f>
        <v/>
      </c>
      <c r="H528" s="23" t="str">
        <f aca="false">IF(B528="","",IF(Office_Log!X128="","",Office_Log!X128&amp;""))</f>
        <v/>
      </c>
      <c r="I528" s="23" t="str">
        <f aca="false">IF(B528="","","")</f>
        <v/>
      </c>
      <c r="J528" s="23" t="str">
        <f aca="false">IF(B528="","",IF(AND(ISNUMBER(Office_Log!Z128),N(Office_Log!Z128)&gt;N(Office_Log!Y128)),"range to "&amp;Office_Log!Z128&amp;" per month",""))</f>
        <v/>
      </c>
      <c r="K528" s="32" t="s">
        <v>1354</v>
      </c>
    </row>
    <row r="529" customFormat="false" ht="15" hidden="false" customHeight="false" outlineLevel="0" collapsed="false">
      <c r="A529" s="23" t="str">
        <f aca="false">IF(B529="","",B529+(3*1000+128)/10000000)</f>
        <v/>
      </c>
      <c r="B529" s="35" t="str">
        <f aca="false">IF(Office_Log!BR129=1,Office_Log!H129,"")</f>
        <v/>
      </c>
      <c r="C529" s="23" t="str">
        <f aca="false">IF(B529="","","office")</f>
        <v/>
      </c>
      <c r="D529" s="23" t="str">
        <f aca="false">IF(B529="","",Office_Log!ED129&amp;"")</f>
        <v/>
      </c>
      <c r="E529" s="23" t="str">
        <f aca="false">IF(B529="","",IF(Office_Log!B129="","",Office_Log!B129&amp;""))</f>
        <v/>
      </c>
      <c r="F529" s="23" t="str">
        <f aca="false">IF(B529="","","budget_probe")</f>
        <v/>
      </c>
      <c r="G529" s="23" t="str">
        <f aca="false">IF(B529="","",IF(ISNUMBER(Office_Log!Y129),Office_Log!Y129,""))</f>
        <v/>
      </c>
      <c r="H529" s="23" t="str">
        <f aca="false">IF(B529="","",IF(Office_Log!X129="","",Office_Log!X129&amp;""))</f>
        <v/>
      </c>
      <c r="I529" s="23" t="str">
        <f aca="false">IF(B529="","","")</f>
        <v/>
      </c>
      <c r="J529" s="23" t="str">
        <f aca="false">IF(B529="","",IF(AND(ISNUMBER(Office_Log!Z129),N(Office_Log!Z129)&gt;N(Office_Log!Y129)),"range to "&amp;Office_Log!Z129&amp;" per month",""))</f>
        <v/>
      </c>
      <c r="K529" s="32" t="s">
        <v>1354</v>
      </c>
    </row>
    <row r="530" customFormat="false" ht="15" hidden="false" customHeight="false" outlineLevel="0" collapsed="false">
      <c r="A530" s="23" t="str">
        <f aca="false">IF(B530="","",B530+(3*1000+129)/10000000)</f>
        <v/>
      </c>
      <c r="B530" s="35" t="str">
        <f aca="false">IF(Office_Log!BR130=1,Office_Log!H130,"")</f>
        <v/>
      </c>
      <c r="C530" s="23" t="str">
        <f aca="false">IF(B530="","","office")</f>
        <v/>
      </c>
      <c r="D530" s="23" t="str">
        <f aca="false">IF(B530="","",Office_Log!ED130&amp;"")</f>
        <v/>
      </c>
      <c r="E530" s="23" t="str">
        <f aca="false">IF(B530="","",IF(Office_Log!B130="","",Office_Log!B130&amp;""))</f>
        <v/>
      </c>
      <c r="F530" s="23" t="str">
        <f aca="false">IF(B530="","","budget_probe")</f>
        <v/>
      </c>
      <c r="G530" s="23" t="str">
        <f aca="false">IF(B530="","",IF(ISNUMBER(Office_Log!Y130),Office_Log!Y130,""))</f>
        <v/>
      </c>
      <c r="H530" s="23" t="str">
        <f aca="false">IF(B530="","",IF(Office_Log!X130="","",Office_Log!X130&amp;""))</f>
        <v/>
      </c>
      <c r="I530" s="23" t="str">
        <f aca="false">IF(B530="","","")</f>
        <v/>
      </c>
      <c r="J530" s="23" t="str">
        <f aca="false">IF(B530="","",IF(AND(ISNUMBER(Office_Log!Z130),N(Office_Log!Z130)&gt;N(Office_Log!Y130)),"range to "&amp;Office_Log!Z130&amp;" per month",""))</f>
        <v/>
      </c>
      <c r="K530" s="32" t="s">
        <v>1354</v>
      </c>
    </row>
    <row r="531" customFormat="false" ht="15" hidden="false" customHeight="false" outlineLevel="0" collapsed="false">
      <c r="A531" s="23" t="str">
        <f aca="false">IF(B531="","",B531+(3*1000+130)/10000000)</f>
        <v/>
      </c>
      <c r="B531" s="35" t="str">
        <f aca="false">IF(Office_Log!BR131=1,Office_Log!H131,"")</f>
        <v/>
      </c>
      <c r="C531" s="23" t="str">
        <f aca="false">IF(B531="","","office")</f>
        <v/>
      </c>
      <c r="D531" s="23" t="str">
        <f aca="false">IF(B531="","",Office_Log!ED131&amp;"")</f>
        <v/>
      </c>
      <c r="E531" s="23" t="str">
        <f aca="false">IF(B531="","",IF(Office_Log!B131="","",Office_Log!B131&amp;""))</f>
        <v/>
      </c>
      <c r="F531" s="23" t="str">
        <f aca="false">IF(B531="","","budget_probe")</f>
        <v/>
      </c>
      <c r="G531" s="23" t="str">
        <f aca="false">IF(B531="","",IF(ISNUMBER(Office_Log!Y131),Office_Log!Y131,""))</f>
        <v/>
      </c>
      <c r="H531" s="23" t="str">
        <f aca="false">IF(B531="","",IF(Office_Log!X131="","",Office_Log!X131&amp;""))</f>
        <v/>
      </c>
      <c r="I531" s="23" t="str">
        <f aca="false">IF(B531="","","")</f>
        <v/>
      </c>
      <c r="J531" s="23" t="str">
        <f aca="false">IF(B531="","",IF(AND(ISNUMBER(Office_Log!Z131),N(Office_Log!Z131)&gt;N(Office_Log!Y131)),"range to "&amp;Office_Log!Z131&amp;" per month",""))</f>
        <v/>
      </c>
      <c r="K531" s="32" t="s">
        <v>1354</v>
      </c>
    </row>
    <row r="532" customFormat="false" ht="15" hidden="false" customHeight="false" outlineLevel="0" collapsed="false">
      <c r="A532" s="23" t="str">
        <f aca="false">IF(B532="","",B532+(3*1000+131)/10000000)</f>
        <v/>
      </c>
      <c r="B532" s="35" t="str">
        <f aca="false">IF(Office_Log!BR132=1,Office_Log!H132,"")</f>
        <v/>
      </c>
      <c r="C532" s="23" t="str">
        <f aca="false">IF(B532="","","office")</f>
        <v/>
      </c>
      <c r="D532" s="23" t="str">
        <f aca="false">IF(B532="","",Office_Log!ED132&amp;"")</f>
        <v/>
      </c>
      <c r="E532" s="23" t="str">
        <f aca="false">IF(B532="","",IF(Office_Log!B132="","",Office_Log!B132&amp;""))</f>
        <v/>
      </c>
      <c r="F532" s="23" t="str">
        <f aca="false">IF(B532="","","budget_probe")</f>
        <v/>
      </c>
      <c r="G532" s="23" t="str">
        <f aca="false">IF(B532="","",IF(ISNUMBER(Office_Log!Y132),Office_Log!Y132,""))</f>
        <v/>
      </c>
      <c r="H532" s="23" t="str">
        <f aca="false">IF(B532="","",IF(Office_Log!X132="","",Office_Log!X132&amp;""))</f>
        <v/>
      </c>
      <c r="I532" s="23" t="str">
        <f aca="false">IF(B532="","","")</f>
        <v/>
      </c>
      <c r="J532" s="23" t="str">
        <f aca="false">IF(B532="","",IF(AND(ISNUMBER(Office_Log!Z132),N(Office_Log!Z132)&gt;N(Office_Log!Y132)),"range to "&amp;Office_Log!Z132&amp;" per month",""))</f>
        <v/>
      </c>
      <c r="K532" s="32" t="s">
        <v>1354</v>
      </c>
    </row>
    <row r="533" customFormat="false" ht="15" hidden="false" customHeight="false" outlineLevel="0" collapsed="false">
      <c r="A533" s="23" t="str">
        <f aca="false">IF(B533="","",B533+(3*1000+132)/10000000)</f>
        <v/>
      </c>
      <c r="B533" s="35" t="str">
        <f aca="false">IF(Office_Log!BR133=1,Office_Log!H133,"")</f>
        <v/>
      </c>
      <c r="C533" s="23" t="str">
        <f aca="false">IF(B533="","","office")</f>
        <v/>
      </c>
      <c r="D533" s="23" t="str">
        <f aca="false">IF(B533="","",Office_Log!ED133&amp;"")</f>
        <v/>
      </c>
      <c r="E533" s="23" t="str">
        <f aca="false">IF(B533="","",IF(Office_Log!B133="","",Office_Log!B133&amp;""))</f>
        <v/>
      </c>
      <c r="F533" s="23" t="str">
        <f aca="false">IF(B533="","","budget_probe")</f>
        <v/>
      </c>
      <c r="G533" s="23" t="str">
        <f aca="false">IF(B533="","",IF(ISNUMBER(Office_Log!Y133),Office_Log!Y133,""))</f>
        <v/>
      </c>
      <c r="H533" s="23" t="str">
        <f aca="false">IF(B533="","",IF(Office_Log!X133="","",Office_Log!X133&amp;""))</f>
        <v/>
      </c>
      <c r="I533" s="23" t="str">
        <f aca="false">IF(B533="","","")</f>
        <v/>
      </c>
      <c r="J533" s="23" t="str">
        <f aca="false">IF(B533="","",IF(AND(ISNUMBER(Office_Log!Z133),N(Office_Log!Z133)&gt;N(Office_Log!Y133)),"range to "&amp;Office_Log!Z133&amp;" per month",""))</f>
        <v/>
      </c>
      <c r="K533" s="32" t="s">
        <v>1354</v>
      </c>
    </row>
    <row r="534" customFormat="false" ht="15" hidden="false" customHeight="false" outlineLevel="0" collapsed="false">
      <c r="A534" s="23" t="str">
        <f aca="false">IF(B534="","",B534+(3*1000+133)/10000000)</f>
        <v/>
      </c>
      <c r="B534" s="35" t="str">
        <f aca="false">IF(Office_Log!BR134=1,Office_Log!H134,"")</f>
        <v/>
      </c>
      <c r="C534" s="23" t="str">
        <f aca="false">IF(B534="","","office")</f>
        <v/>
      </c>
      <c r="D534" s="23" t="str">
        <f aca="false">IF(B534="","",Office_Log!ED134&amp;"")</f>
        <v/>
      </c>
      <c r="E534" s="23" t="str">
        <f aca="false">IF(B534="","",IF(Office_Log!B134="","",Office_Log!B134&amp;""))</f>
        <v/>
      </c>
      <c r="F534" s="23" t="str">
        <f aca="false">IF(B534="","","budget_probe")</f>
        <v/>
      </c>
      <c r="G534" s="23" t="str">
        <f aca="false">IF(B534="","",IF(ISNUMBER(Office_Log!Y134),Office_Log!Y134,""))</f>
        <v/>
      </c>
      <c r="H534" s="23" t="str">
        <f aca="false">IF(B534="","",IF(Office_Log!X134="","",Office_Log!X134&amp;""))</f>
        <v/>
      </c>
      <c r="I534" s="23" t="str">
        <f aca="false">IF(B534="","","")</f>
        <v/>
      </c>
      <c r="J534" s="23" t="str">
        <f aca="false">IF(B534="","",IF(AND(ISNUMBER(Office_Log!Z134),N(Office_Log!Z134)&gt;N(Office_Log!Y134)),"range to "&amp;Office_Log!Z134&amp;" per month",""))</f>
        <v/>
      </c>
      <c r="K534" s="32" t="s">
        <v>1354</v>
      </c>
    </row>
    <row r="535" customFormat="false" ht="15" hidden="false" customHeight="false" outlineLevel="0" collapsed="false">
      <c r="A535" s="23" t="str">
        <f aca="false">IF(B535="","",B535+(3*1000+134)/10000000)</f>
        <v/>
      </c>
      <c r="B535" s="35" t="str">
        <f aca="false">IF(Office_Log!BR135=1,Office_Log!H135,"")</f>
        <v/>
      </c>
      <c r="C535" s="23" t="str">
        <f aca="false">IF(B535="","","office")</f>
        <v/>
      </c>
      <c r="D535" s="23" t="str">
        <f aca="false">IF(B535="","",Office_Log!ED135&amp;"")</f>
        <v/>
      </c>
      <c r="E535" s="23" t="str">
        <f aca="false">IF(B535="","",IF(Office_Log!B135="","",Office_Log!B135&amp;""))</f>
        <v/>
      </c>
      <c r="F535" s="23" t="str">
        <f aca="false">IF(B535="","","budget_probe")</f>
        <v/>
      </c>
      <c r="G535" s="23" t="str">
        <f aca="false">IF(B535="","",IF(ISNUMBER(Office_Log!Y135),Office_Log!Y135,""))</f>
        <v/>
      </c>
      <c r="H535" s="23" t="str">
        <f aca="false">IF(B535="","",IF(Office_Log!X135="","",Office_Log!X135&amp;""))</f>
        <v/>
      </c>
      <c r="I535" s="23" t="str">
        <f aca="false">IF(B535="","","")</f>
        <v/>
      </c>
      <c r="J535" s="23" t="str">
        <f aca="false">IF(B535="","",IF(AND(ISNUMBER(Office_Log!Z135),N(Office_Log!Z135)&gt;N(Office_Log!Y135)),"range to "&amp;Office_Log!Z135&amp;" per month",""))</f>
        <v/>
      </c>
      <c r="K535" s="32" t="s">
        <v>1354</v>
      </c>
    </row>
    <row r="536" customFormat="false" ht="15" hidden="false" customHeight="false" outlineLevel="0" collapsed="false">
      <c r="A536" s="23" t="str">
        <f aca="false">IF(B536="","",B536+(3*1000+135)/10000000)</f>
        <v/>
      </c>
      <c r="B536" s="35" t="str">
        <f aca="false">IF(Office_Log!BR136=1,Office_Log!H136,"")</f>
        <v/>
      </c>
      <c r="C536" s="23" t="str">
        <f aca="false">IF(B536="","","office")</f>
        <v/>
      </c>
      <c r="D536" s="23" t="str">
        <f aca="false">IF(B536="","",Office_Log!ED136&amp;"")</f>
        <v/>
      </c>
      <c r="E536" s="23" t="str">
        <f aca="false">IF(B536="","",IF(Office_Log!B136="","",Office_Log!B136&amp;""))</f>
        <v/>
      </c>
      <c r="F536" s="23" t="str">
        <f aca="false">IF(B536="","","budget_probe")</f>
        <v/>
      </c>
      <c r="G536" s="23" t="str">
        <f aca="false">IF(B536="","",IF(ISNUMBER(Office_Log!Y136),Office_Log!Y136,""))</f>
        <v/>
      </c>
      <c r="H536" s="23" t="str">
        <f aca="false">IF(B536="","",IF(Office_Log!X136="","",Office_Log!X136&amp;""))</f>
        <v/>
      </c>
      <c r="I536" s="23" t="str">
        <f aca="false">IF(B536="","","")</f>
        <v/>
      </c>
      <c r="J536" s="23" t="str">
        <f aca="false">IF(B536="","",IF(AND(ISNUMBER(Office_Log!Z136),N(Office_Log!Z136)&gt;N(Office_Log!Y136)),"range to "&amp;Office_Log!Z136&amp;" per month",""))</f>
        <v/>
      </c>
      <c r="K536" s="32" t="s">
        <v>1354</v>
      </c>
    </row>
    <row r="537" customFormat="false" ht="15" hidden="false" customHeight="false" outlineLevel="0" collapsed="false">
      <c r="A537" s="23" t="str">
        <f aca="false">IF(B537="","",B537+(3*1000+136)/10000000)</f>
        <v/>
      </c>
      <c r="B537" s="35" t="str">
        <f aca="false">IF(Office_Log!BR137=1,Office_Log!H137,"")</f>
        <v/>
      </c>
      <c r="C537" s="23" t="str">
        <f aca="false">IF(B537="","","office")</f>
        <v/>
      </c>
      <c r="D537" s="23" t="str">
        <f aca="false">IF(B537="","",Office_Log!ED137&amp;"")</f>
        <v/>
      </c>
      <c r="E537" s="23" t="str">
        <f aca="false">IF(B537="","",IF(Office_Log!B137="","",Office_Log!B137&amp;""))</f>
        <v/>
      </c>
      <c r="F537" s="23" t="str">
        <f aca="false">IF(B537="","","budget_probe")</f>
        <v/>
      </c>
      <c r="G537" s="23" t="str">
        <f aca="false">IF(B537="","",IF(ISNUMBER(Office_Log!Y137),Office_Log!Y137,""))</f>
        <v/>
      </c>
      <c r="H537" s="23" t="str">
        <f aca="false">IF(B537="","",IF(Office_Log!X137="","",Office_Log!X137&amp;""))</f>
        <v/>
      </c>
      <c r="I537" s="23" t="str">
        <f aca="false">IF(B537="","","")</f>
        <v/>
      </c>
      <c r="J537" s="23" t="str">
        <f aca="false">IF(B537="","",IF(AND(ISNUMBER(Office_Log!Z137),N(Office_Log!Z137)&gt;N(Office_Log!Y137)),"range to "&amp;Office_Log!Z137&amp;" per month",""))</f>
        <v/>
      </c>
      <c r="K537" s="32" t="s">
        <v>1354</v>
      </c>
    </row>
    <row r="538" customFormat="false" ht="15" hidden="false" customHeight="false" outlineLevel="0" collapsed="false">
      <c r="A538" s="23" t="str">
        <f aca="false">IF(B538="","",B538+(3*1000+137)/10000000)</f>
        <v/>
      </c>
      <c r="B538" s="35" t="str">
        <f aca="false">IF(Office_Log!BR138=1,Office_Log!H138,"")</f>
        <v/>
      </c>
      <c r="C538" s="23" t="str">
        <f aca="false">IF(B538="","","office")</f>
        <v/>
      </c>
      <c r="D538" s="23" t="str">
        <f aca="false">IF(B538="","",Office_Log!ED138&amp;"")</f>
        <v/>
      </c>
      <c r="E538" s="23" t="str">
        <f aca="false">IF(B538="","",IF(Office_Log!B138="","",Office_Log!B138&amp;""))</f>
        <v/>
      </c>
      <c r="F538" s="23" t="str">
        <f aca="false">IF(B538="","","budget_probe")</f>
        <v/>
      </c>
      <c r="G538" s="23" t="str">
        <f aca="false">IF(B538="","",IF(ISNUMBER(Office_Log!Y138),Office_Log!Y138,""))</f>
        <v/>
      </c>
      <c r="H538" s="23" t="str">
        <f aca="false">IF(B538="","",IF(Office_Log!X138="","",Office_Log!X138&amp;""))</f>
        <v/>
      </c>
      <c r="I538" s="23" t="str">
        <f aca="false">IF(B538="","","")</f>
        <v/>
      </c>
      <c r="J538" s="23" t="str">
        <f aca="false">IF(B538="","",IF(AND(ISNUMBER(Office_Log!Z138),N(Office_Log!Z138)&gt;N(Office_Log!Y138)),"range to "&amp;Office_Log!Z138&amp;" per month",""))</f>
        <v/>
      </c>
      <c r="K538" s="32" t="s">
        <v>1354</v>
      </c>
    </row>
    <row r="539" customFormat="false" ht="15" hidden="false" customHeight="false" outlineLevel="0" collapsed="false">
      <c r="A539" s="23" t="str">
        <f aca="false">IF(B539="","",B539+(3*1000+138)/10000000)</f>
        <v/>
      </c>
      <c r="B539" s="35" t="str">
        <f aca="false">IF(Office_Log!BR139=1,Office_Log!H139,"")</f>
        <v/>
      </c>
      <c r="C539" s="23" t="str">
        <f aca="false">IF(B539="","","office")</f>
        <v/>
      </c>
      <c r="D539" s="23" t="str">
        <f aca="false">IF(B539="","",Office_Log!ED139&amp;"")</f>
        <v/>
      </c>
      <c r="E539" s="23" t="str">
        <f aca="false">IF(B539="","",IF(Office_Log!B139="","",Office_Log!B139&amp;""))</f>
        <v/>
      </c>
      <c r="F539" s="23" t="str">
        <f aca="false">IF(B539="","","budget_probe")</f>
        <v/>
      </c>
      <c r="G539" s="23" t="str">
        <f aca="false">IF(B539="","",IF(ISNUMBER(Office_Log!Y139),Office_Log!Y139,""))</f>
        <v/>
      </c>
      <c r="H539" s="23" t="str">
        <f aca="false">IF(B539="","",IF(Office_Log!X139="","",Office_Log!X139&amp;""))</f>
        <v/>
      </c>
      <c r="I539" s="23" t="str">
        <f aca="false">IF(B539="","","")</f>
        <v/>
      </c>
      <c r="J539" s="23" t="str">
        <f aca="false">IF(B539="","",IF(AND(ISNUMBER(Office_Log!Z139),N(Office_Log!Z139)&gt;N(Office_Log!Y139)),"range to "&amp;Office_Log!Z139&amp;" per month",""))</f>
        <v/>
      </c>
      <c r="K539" s="32" t="s">
        <v>1354</v>
      </c>
    </row>
    <row r="540" customFormat="false" ht="15" hidden="false" customHeight="false" outlineLevel="0" collapsed="false">
      <c r="A540" s="23" t="str">
        <f aca="false">IF(B540="","",B540+(3*1000+139)/10000000)</f>
        <v/>
      </c>
      <c r="B540" s="35" t="str">
        <f aca="false">IF(Office_Log!BR140=1,Office_Log!H140,"")</f>
        <v/>
      </c>
      <c r="C540" s="23" t="str">
        <f aca="false">IF(B540="","","office")</f>
        <v/>
      </c>
      <c r="D540" s="23" t="str">
        <f aca="false">IF(B540="","",Office_Log!ED140&amp;"")</f>
        <v/>
      </c>
      <c r="E540" s="23" t="str">
        <f aca="false">IF(B540="","",IF(Office_Log!B140="","",Office_Log!B140&amp;""))</f>
        <v/>
      </c>
      <c r="F540" s="23" t="str">
        <f aca="false">IF(B540="","","budget_probe")</f>
        <v/>
      </c>
      <c r="G540" s="23" t="str">
        <f aca="false">IF(B540="","",IF(ISNUMBER(Office_Log!Y140),Office_Log!Y140,""))</f>
        <v/>
      </c>
      <c r="H540" s="23" t="str">
        <f aca="false">IF(B540="","",IF(Office_Log!X140="","",Office_Log!X140&amp;""))</f>
        <v/>
      </c>
      <c r="I540" s="23" t="str">
        <f aca="false">IF(B540="","","")</f>
        <v/>
      </c>
      <c r="J540" s="23" t="str">
        <f aca="false">IF(B540="","",IF(AND(ISNUMBER(Office_Log!Z140),N(Office_Log!Z140)&gt;N(Office_Log!Y140)),"range to "&amp;Office_Log!Z140&amp;" per month",""))</f>
        <v/>
      </c>
      <c r="K540" s="32" t="s">
        <v>1354</v>
      </c>
    </row>
    <row r="541" customFormat="false" ht="15" hidden="false" customHeight="false" outlineLevel="0" collapsed="false">
      <c r="A541" s="23" t="str">
        <f aca="false">IF(B541="","",B541+(3*1000+140)/10000000)</f>
        <v/>
      </c>
      <c r="B541" s="35" t="str">
        <f aca="false">IF(Office_Log!BR141=1,Office_Log!H141,"")</f>
        <v/>
      </c>
      <c r="C541" s="23" t="str">
        <f aca="false">IF(B541="","","office")</f>
        <v/>
      </c>
      <c r="D541" s="23" t="str">
        <f aca="false">IF(B541="","",Office_Log!ED141&amp;"")</f>
        <v/>
      </c>
      <c r="E541" s="23" t="str">
        <f aca="false">IF(B541="","",IF(Office_Log!B141="","",Office_Log!B141&amp;""))</f>
        <v/>
      </c>
      <c r="F541" s="23" t="str">
        <f aca="false">IF(B541="","","budget_probe")</f>
        <v/>
      </c>
      <c r="G541" s="23" t="str">
        <f aca="false">IF(B541="","",IF(ISNUMBER(Office_Log!Y141),Office_Log!Y141,""))</f>
        <v/>
      </c>
      <c r="H541" s="23" t="str">
        <f aca="false">IF(B541="","",IF(Office_Log!X141="","",Office_Log!X141&amp;""))</f>
        <v/>
      </c>
      <c r="I541" s="23" t="str">
        <f aca="false">IF(B541="","","")</f>
        <v/>
      </c>
      <c r="J541" s="23" t="str">
        <f aca="false">IF(B541="","",IF(AND(ISNUMBER(Office_Log!Z141),N(Office_Log!Z141)&gt;N(Office_Log!Y141)),"range to "&amp;Office_Log!Z141&amp;" per month",""))</f>
        <v/>
      </c>
      <c r="K541" s="32" t="s">
        <v>1354</v>
      </c>
    </row>
    <row r="542" customFormat="false" ht="15" hidden="false" customHeight="false" outlineLevel="0" collapsed="false">
      <c r="A542" s="23" t="str">
        <f aca="false">IF(B542="","",B542+(3*1000+141)/10000000)</f>
        <v/>
      </c>
      <c r="B542" s="35" t="str">
        <f aca="false">IF(Office_Log!BR142=1,Office_Log!H142,"")</f>
        <v/>
      </c>
      <c r="C542" s="23" t="str">
        <f aca="false">IF(B542="","","office")</f>
        <v/>
      </c>
      <c r="D542" s="23" t="str">
        <f aca="false">IF(B542="","",Office_Log!ED142&amp;"")</f>
        <v/>
      </c>
      <c r="E542" s="23" t="str">
        <f aca="false">IF(B542="","",IF(Office_Log!B142="","",Office_Log!B142&amp;""))</f>
        <v/>
      </c>
      <c r="F542" s="23" t="str">
        <f aca="false">IF(B542="","","budget_probe")</f>
        <v/>
      </c>
      <c r="G542" s="23" t="str">
        <f aca="false">IF(B542="","",IF(ISNUMBER(Office_Log!Y142),Office_Log!Y142,""))</f>
        <v/>
      </c>
      <c r="H542" s="23" t="str">
        <f aca="false">IF(B542="","",IF(Office_Log!X142="","",Office_Log!X142&amp;""))</f>
        <v/>
      </c>
      <c r="I542" s="23" t="str">
        <f aca="false">IF(B542="","","")</f>
        <v/>
      </c>
      <c r="J542" s="23" t="str">
        <f aca="false">IF(B542="","",IF(AND(ISNUMBER(Office_Log!Z142),N(Office_Log!Z142)&gt;N(Office_Log!Y142)),"range to "&amp;Office_Log!Z142&amp;" per month",""))</f>
        <v/>
      </c>
      <c r="K542" s="32" t="s">
        <v>1354</v>
      </c>
    </row>
    <row r="543" customFormat="false" ht="15" hidden="false" customHeight="false" outlineLevel="0" collapsed="false">
      <c r="A543" s="23" t="str">
        <f aca="false">IF(B543="","",B543+(3*1000+142)/10000000)</f>
        <v/>
      </c>
      <c r="B543" s="35" t="str">
        <f aca="false">IF(Office_Log!BR143=1,Office_Log!H143,"")</f>
        <v/>
      </c>
      <c r="C543" s="23" t="str">
        <f aca="false">IF(B543="","","office")</f>
        <v/>
      </c>
      <c r="D543" s="23" t="str">
        <f aca="false">IF(B543="","",Office_Log!ED143&amp;"")</f>
        <v/>
      </c>
      <c r="E543" s="23" t="str">
        <f aca="false">IF(B543="","",IF(Office_Log!B143="","",Office_Log!B143&amp;""))</f>
        <v/>
      </c>
      <c r="F543" s="23" t="str">
        <f aca="false">IF(B543="","","budget_probe")</f>
        <v/>
      </c>
      <c r="G543" s="23" t="str">
        <f aca="false">IF(B543="","",IF(ISNUMBER(Office_Log!Y143),Office_Log!Y143,""))</f>
        <v/>
      </c>
      <c r="H543" s="23" t="str">
        <f aca="false">IF(B543="","",IF(Office_Log!X143="","",Office_Log!X143&amp;""))</f>
        <v/>
      </c>
      <c r="I543" s="23" t="str">
        <f aca="false">IF(B543="","","")</f>
        <v/>
      </c>
      <c r="J543" s="23" t="str">
        <f aca="false">IF(B543="","",IF(AND(ISNUMBER(Office_Log!Z143),N(Office_Log!Z143)&gt;N(Office_Log!Y143)),"range to "&amp;Office_Log!Z143&amp;" per month",""))</f>
        <v/>
      </c>
      <c r="K543" s="32" t="s">
        <v>1354</v>
      </c>
    </row>
    <row r="544" customFormat="false" ht="15" hidden="false" customHeight="false" outlineLevel="0" collapsed="false">
      <c r="A544" s="23" t="str">
        <f aca="false">IF(B544="","",B544+(3*1000+143)/10000000)</f>
        <v/>
      </c>
      <c r="B544" s="35" t="str">
        <f aca="false">IF(Office_Log!BR144=1,Office_Log!H144,"")</f>
        <v/>
      </c>
      <c r="C544" s="23" t="str">
        <f aca="false">IF(B544="","","office")</f>
        <v/>
      </c>
      <c r="D544" s="23" t="str">
        <f aca="false">IF(B544="","",Office_Log!ED144&amp;"")</f>
        <v/>
      </c>
      <c r="E544" s="23" t="str">
        <f aca="false">IF(B544="","",IF(Office_Log!B144="","",Office_Log!B144&amp;""))</f>
        <v/>
      </c>
      <c r="F544" s="23" t="str">
        <f aca="false">IF(B544="","","budget_probe")</f>
        <v/>
      </c>
      <c r="G544" s="23" t="str">
        <f aca="false">IF(B544="","",IF(ISNUMBER(Office_Log!Y144),Office_Log!Y144,""))</f>
        <v/>
      </c>
      <c r="H544" s="23" t="str">
        <f aca="false">IF(B544="","",IF(Office_Log!X144="","",Office_Log!X144&amp;""))</f>
        <v/>
      </c>
      <c r="I544" s="23" t="str">
        <f aca="false">IF(B544="","","")</f>
        <v/>
      </c>
      <c r="J544" s="23" t="str">
        <f aca="false">IF(B544="","",IF(AND(ISNUMBER(Office_Log!Z144),N(Office_Log!Z144)&gt;N(Office_Log!Y144)),"range to "&amp;Office_Log!Z144&amp;" per month",""))</f>
        <v/>
      </c>
      <c r="K544" s="32" t="s">
        <v>1354</v>
      </c>
    </row>
    <row r="545" customFormat="false" ht="15" hidden="false" customHeight="false" outlineLevel="0" collapsed="false">
      <c r="A545" s="23" t="str">
        <f aca="false">IF(B545="","",B545+(3*1000+144)/10000000)</f>
        <v/>
      </c>
      <c r="B545" s="35" t="str">
        <f aca="false">IF(Office_Log!BR145=1,Office_Log!H145,"")</f>
        <v/>
      </c>
      <c r="C545" s="23" t="str">
        <f aca="false">IF(B545="","","office")</f>
        <v/>
      </c>
      <c r="D545" s="23" t="str">
        <f aca="false">IF(B545="","",Office_Log!ED145&amp;"")</f>
        <v/>
      </c>
      <c r="E545" s="23" t="str">
        <f aca="false">IF(B545="","",IF(Office_Log!B145="","",Office_Log!B145&amp;""))</f>
        <v/>
      </c>
      <c r="F545" s="23" t="str">
        <f aca="false">IF(B545="","","budget_probe")</f>
        <v/>
      </c>
      <c r="G545" s="23" t="str">
        <f aca="false">IF(B545="","",IF(ISNUMBER(Office_Log!Y145),Office_Log!Y145,""))</f>
        <v/>
      </c>
      <c r="H545" s="23" t="str">
        <f aca="false">IF(B545="","",IF(Office_Log!X145="","",Office_Log!X145&amp;""))</f>
        <v/>
      </c>
      <c r="I545" s="23" t="str">
        <f aca="false">IF(B545="","","")</f>
        <v/>
      </c>
      <c r="J545" s="23" t="str">
        <f aca="false">IF(B545="","",IF(AND(ISNUMBER(Office_Log!Z145),N(Office_Log!Z145)&gt;N(Office_Log!Y145)),"range to "&amp;Office_Log!Z145&amp;" per month",""))</f>
        <v/>
      </c>
      <c r="K545" s="32" t="s">
        <v>1354</v>
      </c>
    </row>
    <row r="546" customFormat="false" ht="15" hidden="false" customHeight="false" outlineLevel="0" collapsed="false">
      <c r="A546" s="23" t="str">
        <f aca="false">IF(B546="","",B546+(3*1000+145)/10000000)</f>
        <v/>
      </c>
      <c r="B546" s="35" t="str">
        <f aca="false">IF(Office_Log!BR146=1,Office_Log!H146,"")</f>
        <v/>
      </c>
      <c r="C546" s="23" t="str">
        <f aca="false">IF(B546="","","office")</f>
        <v/>
      </c>
      <c r="D546" s="23" t="str">
        <f aca="false">IF(B546="","",Office_Log!ED146&amp;"")</f>
        <v/>
      </c>
      <c r="E546" s="23" t="str">
        <f aca="false">IF(B546="","",IF(Office_Log!B146="","",Office_Log!B146&amp;""))</f>
        <v/>
      </c>
      <c r="F546" s="23" t="str">
        <f aca="false">IF(B546="","","budget_probe")</f>
        <v/>
      </c>
      <c r="G546" s="23" t="str">
        <f aca="false">IF(B546="","",IF(ISNUMBER(Office_Log!Y146),Office_Log!Y146,""))</f>
        <v/>
      </c>
      <c r="H546" s="23" t="str">
        <f aca="false">IF(B546="","",IF(Office_Log!X146="","",Office_Log!X146&amp;""))</f>
        <v/>
      </c>
      <c r="I546" s="23" t="str">
        <f aca="false">IF(B546="","","")</f>
        <v/>
      </c>
      <c r="J546" s="23" t="str">
        <f aca="false">IF(B546="","",IF(AND(ISNUMBER(Office_Log!Z146),N(Office_Log!Z146)&gt;N(Office_Log!Y146)),"range to "&amp;Office_Log!Z146&amp;" per month",""))</f>
        <v/>
      </c>
      <c r="K546" s="32" t="s">
        <v>1354</v>
      </c>
    </row>
    <row r="547" customFormat="false" ht="15" hidden="false" customHeight="false" outlineLevel="0" collapsed="false">
      <c r="A547" s="23" t="str">
        <f aca="false">IF(B547="","",B547+(3*1000+146)/10000000)</f>
        <v/>
      </c>
      <c r="B547" s="35" t="str">
        <f aca="false">IF(Office_Log!BR147=1,Office_Log!H147,"")</f>
        <v/>
      </c>
      <c r="C547" s="23" t="str">
        <f aca="false">IF(B547="","","office")</f>
        <v/>
      </c>
      <c r="D547" s="23" t="str">
        <f aca="false">IF(B547="","",Office_Log!ED147&amp;"")</f>
        <v/>
      </c>
      <c r="E547" s="23" t="str">
        <f aca="false">IF(B547="","",IF(Office_Log!B147="","",Office_Log!B147&amp;""))</f>
        <v/>
      </c>
      <c r="F547" s="23" t="str">
        <f aca="false">IF(B547="","","budget_probe")</f>
        <v/>
      </c>
      <c r="G547" s="23" t="str">
        <f aca="false">IF(B547="","",IF(ISNUMBER(Office_Log!Y147),Office_Log!Y147,""))</f>
        <v/>
      </c>
      <c r="H547" s="23" t="str">
        <f aca="false">IF(B547="","",IF(Office_Log!X147="","",Office_Log!X147&amp;""))</f>
        <v/>
      </c>
      <c r="I547" s="23" t="str">
        <f aca="false">IF(B547="","","")</f>
        <v/>
      </c>
      <c r="J547" s="23" t="str">
        <f aca="false">IF(B547="","",IF(AND(ISNUMBER(Office_Log!Z147),N(Office_Log!Z147)&gt;N(Office_Log!Y147)),"range to "&amp;Office_Log!Z147&amp;" per month",""))</f>
        <v/>
      </c>
      <c r="K547" s="32" t="s">
        <v>1354</v>
      </c>
    </row>
    <row r="548" customFormat="false" ht="15" hidden="false" customHeight="false" outlineLevel="0" collapsed="false">
      <c r="A548" s="23" t="str">
        <f aca="false">IF(B548="","",B548+(3*1000+147)/10000000)</f>
        <v/>
      </c>
      <c r="B548" s="35" t="str">
        <f aca="false">IF(Office_Log!BR148=1,Office_Log!H148,"")</f>
        <v/>
      </c>
      <c r="C548" s="23" t="str">
        <f aca="false">IF(B548="","","office")</f>
        <v/>
      </c>
      <c r="D548" s="23" t="str">
        <f aca="false">IF(B548="","",Office_Log!ED148&amp;"")</f>
        <v/>
      </c>
      <c r="E548" s="23" t="str">
        <f aca="false">IF(B548="","",IF(Office_Log!B148="","",Office_Log!B148&amp;""))</f>
        <v/>
      </c>
      <c r="F548" s="23" t="str">
        <f aca="false">IF(B548="","","budget_probe")</f>
        <v/>
      </c>
      <c r="G548" s="23" t="str">
        <f aca="false">IF(B548="","",IF(ISNUMBER(Office_Log!Y148),Office_Log!Y148,""))</f>
        <v/>
      </c>
      <c r="H548" s="23" t="str">
        <f aca="false">IF(B548="","",IF(Office_Log!X148="","",Office_Log!X148&amp;""))</f>
        <v/>
      </c>
      <c r="I548" s="23" t="str">
        <f aca="false">IF(B548="","","")</f>
        <v/>
      </c>
      <c r="J548" s="23" t="str">
        <f aca="false">IF(B548="","",IF(AND(ISNUMBER(Office_Log!Z148),N(Office_Log!Z148)&gt;N(Office_Log!Y148)),"range to "&amp;Office_Log!Z148&amp;" per month",""))</f>
        <v/>
      </c>
      <c r="K548" s="32" t="s">
        <v>1354</v>
      </c>
    </row>
    <row r="549" customFormat="false" ht="15" hidden="false" customHeight="false" outlineLevel="0" collapsed="false">
      <c r="A549" s="23" t="str">
        <f aca="false">IF(B549="","",B549+(3*1000+148)/10000000)</f>
        <v/>
      </c>
      <c r="B549" s="35" t="str">
        <f aca="false">IF(Office_Log!BR149=1,Office_Log!H149,"")</f>
        <v/>
      </c>
      <c r="C549" s="23" t="str">
        <f aca="false">IF(B549="","","office")</f>
        <v/>
      </c>
      <c r="D549" s="23" t="str">
        <f aca="false">IF(B549="","",Office_Log!ED149&amp;"")</f>
        <v/>
      </c>
      <c r="E549" s="23" t="str">
        <f aca="false">IF(B549="","",IF(Office_Log!B149="","",Office_Log!B149&amp;""))</f>
        <v/>
      </c>
      <c r="F549" s="23" t="str">
        <f aca="false">IF(B549="","","budget_probe")</f>
        <v/>
      </c>
      <c r="G549" s="23" t="str">
        <f aca="false">IF(B549="","",IF(ISNUMBER(Office_Log!Y149),Office_Log!Y149,""))</f>
        <v/>
      </c>
      <c r="H549" s="23" t="str">
        <f aca="false">IF(B549="","",IF(Office_Log!X149="","",Office_Log!X149&amp;""))</f>
        <v/>
      </c>
      <c r="I549" s="23" t="str">
        <f aca="false">IF(B549="","","")</f>
        <v/>
      </c>
      <c r="J549" s="23" t="str">
        <f aca="false">IF(B549="","",IF(AND(ISNUMBER(Office_Log!Z149),N(Office_Log!Z149)&gt;N(Office_Log!Y149)),"range to "&amp;Office_Log!Z149&amp;" per month",""))</f>
        <v/>
      </c>
      <c r="K549" s="32" t="s">
        <v>1354</v>
      </c>
    </row>
    <row r="550" customFormat="false" ht="15" hidden="false" customHeight="false" outlineLevel="0" collapsed="false">
      <c r="A550" s="23" t="str">
        <f aca="false">IF(B550="","",B550+(3*1000+149)/10000000)</f>
        <v/>
      </c>
      <c r="B550" s="35" t="str">
        <f aca="false">IF(Office_Log!BR150=1,Office_Log!H150,"")</f>
        <v/>
      </c>
      <c r="C550" s="23" t="str">
        <f aca="false">IF(B550="","","office")</f>
        <v/>
      </c>
      <c r="D550" s="23" t="str">
        <f aca="false">IF(B550="","",Office_Log!ED150&amp;"")</f>
        <v/>
      </c>
      <c r="E550" s="23" t="str">
        <f aca="false">IF(B550="","",IF(Office_Log!B150="","",Office_Log!B150&amp;""))</f>
        <v/>
      </c>
      <c r="F550" s="23" t="str">
        <f aca="false">IF(B550="","","budget_probe")</f>
        <v/>
      </c>
      <c r="G550" s="23" t="str">
        <f aca="false">IF(B550="","",IF(ISNUMBER(Office_Log!Y150),Office_Log!Y150,""))</f>
        <v/>
      </c>
      <c r="H550" s="23" t="str">
        <f aca="false">IF(B550="","",IF(Office_Log!X150="","",Office_Log!X150&amp;""))</f>
        <v/>
      </c>
      <c r="I550" s="23" t="str">
        <f aca="false">IF(B550="","","")</f>
        <v/>
      </c>
      <c r="J550" s="23" t="str">
        <f aca="false">IF(B550="","",IF(AND(ISNUMBER(Office_Log!Z150),N(Office_Log!Z150)&gt;N(Office_Log!Y150)),"range to "&amp;Office_Log!Z150&amp;" per month",""))</f>
        <v/>
      </c>
      <c r="K550" s="32" t="s">
        <v>1354</v>
      </c>
    </row>
    <row r="551" customFormat="false" ht="15" hidden="false" customHeight="false" outlineLevel="0" collapsed="false">
      <c r="A551" s="23" t="str">
        <f aca="false">IF(B551="","",B551+(3*1000+150)/10000000)</f>
        <v/>
      </c>
      <c r="B551" s="35" t="str">
        <f aca="false">IF(Office_Log!BR151=1,Office_Log!H151,"")</f>
        <v/>
      </c>
      <c r="C551" s="23" t="str">
        <f aca="false">IF(B551="","","office")</f>
        <v/>
      </c>
      <c r="D551" s="23" t="str">
        <f aca="false">IF(B551="","",Office_Log!ED151&amp;"")</f>
        <v/>
      </c>
      <c r="E551" s="23" t="str">
        <f aca="false">IF(B551="","",IF(Office_Log!B151="","",Office_Log!B151&amp;""))</f>
        <v/>
      </c>
      <c r="F551" s="23" t="str">
        <f aca="false">IF(B551="","","budget_probe")</f>
        <v/>
      </c>
      <c r="G551" s="23" t="str">
        <f aca="false">IF(B551="","",IF(ISNUMBER(Office_Log!Y151),Office_Log!Y151,""))</f>
        <v/>
      </c>
      <c r="H551" s="23" t="str">
        <f aca="false">IF(B551="","",IF(Office_Log!X151="","",Office_Log!X151&amp;""))</f>
        <v/>
      </c>
      <c r="I551" s="23" t="str">
        <f aca="false">IF(B551="","","")</f>
        <v/>
      </c>
      <c r="J551" s="23" t="str">
        <f aca="false">IF(B551="","",IF(AND(ISNUMBER(Office_Log!Z151),N(Office_Log!Z151)&gt;N(Office_Log!Y151)),"range to "&amp;Office_Log!Z151&amp;" per month",""))</f>
        <v/>
      </c>
      <c r="K551" s="32" t="s">
        <v>1354</v>
      </c>
    </row>
    <row r="552" customFormat="false" ht="15" hidden="false" customHeight="false" outlineLevel="0" collapsed="false">
      <c r="A552" s="23" t="str">
        <f aca="false">IF(B552="","",B552+(3*1000+151)/10000000)</f>
        <v/>
      </c>
      <c r="B552" s="35" t="str">
        <f aca="false">IF(Office_Log!BR152=1,Office_Log!H152,"")</f>
        <v/>
      </c>
      <c r="C552" s="23" t="str">
        <f aca="false">IF(B552="","","office")</f>
        <v/>
      </c>
      <c r="D552" s="23" t="str">
        <f aca="false">IF(B552="","",Office_Log!ED152&amp;"")</f>
        <v/>
      </c>
      <c r="E552" s="23" t="str">
        <f aca="false">IF(B552="","",IF(Office_Log!B152="","",Office_Log!B152&amp;""))</f>
        <v/>
      </c>
      <c r="F552" s="23" t="str">
        <f aca="false">IF(B552="","","budget_probe")</f>
        <v/>
      </c>
      <c r="G552" s="23" t="str">
        <f aca="false">IF(B552="","",IF(ISNUMBER(Office_Log!Y152),Office_Log!Y152,""))</f>
        <v/>
      </c>
      <c r="H552" s="23" t="str">
        <f aca="false">IF(B552="","",IF(Office_Log!X152="","",Office_Log!X152&amp;""))</f>
        <v/>
      </c>
      <c r="I552" s="23" t="str">
        <f aca="false">IF(B552="","","")</f>
        <v/>
      </c>
      <c r="J552" s="23" t="str">
        <f aca="false">IF(B552="","",IF(AND(ISNUMBER(Office_Log!Z152),N(Office_Log!Z152)&gt;N(Office_Log!Y152)),"range to "&amp;Office_Log!Z152&amp;" per month",""))</f>
        <v/>
      </c>
      <c r="K552" s="32" t="s">
        <v>1354</v>
      </c>
    </row>
    <row r="553" customFormat="false" ht="15" hidden="false" customHeight="false" outlineLevel="0" collapsed="false">
      <c r="A553" s="23" t="str">
        <f aca="false">IF(B553="","",B553+(3*1000+152)/10000000)</f>
        <v/>
      </c>
      <c r="B553" s="35" t="str">
        <f aca="false">IF(Office_Log!BR153=1,Office_Log!H153,"")</f>
        <v/>
      </c>
      <c r="C553" s="23" t="str">
        <f aca="false">IF(B553="","","office")</f>
        <v/>
      </c>
      <c r="D553" s="23" t="str">
        <f aca="false">IF(B553="","",Office_Log!ED153&amp;"")</f>
        <v/>
      </c>
      <c r="E553" s="23" t="str">
        <f aca="false">IF(B553="","",IF(Office_Log!B153="","",Office_Log!B153&amp;""))</f>
        <v/>
      </c>
      <c r="F553" s="23" t="str">
        <f aca="false">IF(B553="","","budget_probe")</f>
        <v/>
      </c>
      <c r="G553" s="23" t="str">
        <f aca="false">IF(B553="","",IF(ISNUMBER(Office_Log!Y153),Office_Log!Y153,""))</f>
        <v/>
      </c>
      <c r="H553" s="23" t="str">
        <f aca="false">IF(B553="","",IF(Office_Log!X153="","",Office_Log!X153&amp;""))</f>
        <v/>
      </c>
      <c r="I553" s="23" t="str">
        <f aca="false">IF(B553="","","")</f>
        <v/>
      </c>
      <c r="J553" s="23" t="str">
        <f aca="false">IF(B553="","",IF(AND(ISNUMBER(Office_Log!Z153),N(Office_Log!Z153)&gt;N(Office_Log!Y153)),"range to "&amp;Office_Log!Z153&amp;" per month",""))</f>
        <v/>
      </c>
      <c r="K553" s="32" t="s">
        <v>1354</v>
      </c>
    </row>
    <row r="554" customFormat="false" ht="15" hidden="false" customHeight="false" outlineLevel="0" collapsed="false">
      <c r="A554" s="23" t="str">
        <f aca="false">IF(B554="","",B554+(3*1000+153)/10000000)</f>
        <v/>
      </c>
      <c r="B554" s="35" t="str">
        <f aca="false">IF(Office_Log!BR154=1,Office_Log!H154,"")</f>
        <v/>
      </c>
      <c r="C554" s="23" t="str">
        <f aca="false">IF(B554="","","office")</f>
        <v/>
      </c>
      <c r="D554" s="23" t="str">
        <f aca="false">IF(B554="","",Office_Log!ED154&amp;"")</f>
        <v/>
      </c>
      <c r="E554" s="23" t="str">
        <f aca="false">IF(B554="","",IF(Office_Log!B154="","",Office_Log!B154&amp;""))</f>
        <v/>
      </c>
      <c r="F554" s="23" t="str">
        <f aca="false">IF(B554="","","budget_probe")</f>
        <v/>
      </c>
      <c r="G554" s="23" t="str">
        <f aca="false">IF(B554="","",IF(ISNUMBER(Office_Log!Y154),Office_Log!Y154,""))</f>
        <v/>
      </c>
      <c r="H554" s="23" t="str">
        <f aca="false">IF(B554="","",IF(Office_Log!X154="","",Office_Log!X154&amp;""))</f>
        <v/>
      </c>
      <c r="I554" s="23" t="str">
        <f aca="false">IF(B554="","","")</f>
        <v/>
      </c>
      <c r="J554" s="23" t="str">
        <f aca="false">IF(B554="","",IF(AND(ISNUMBER(Office_Log!Z154),N(Office_Log!Z154)&gt;N(Office_Log!Y154)),"range to "&amp;Office_Log!Z154&amp;" per month",""))</f>
        <v/>
      </c>
      <c r="K554" s="32" t="s">
        <v>1354</v>
      </c>
    </row>
    <row r="555" customFormat="false" ht="15" hidden="false" customHeight="false" outlineLevel="0" collapsed="false">
      <c r="A555" s="23" t="str">
        <f aca="false">IF(B555="","",B555+(3*1000+154)/10000000)</f>
        <v/>
      </c>
      <c r="B555" s="35" t="str">
        <f aca="false">IF(Office_Log!BR155=1,Office_Log!H155,"")</f>
        <v/>
      </c>
      <c r="C555" s="23" t="str">
        <f aca="false">IF(B555="","","office")</f>
        <v/>
      </c>
      <c r="D555" s="23" t="str">
        <f aca="false">IF(B555="","",Office_Log!ED155&amp;"")</f>
        <v/>
      </c>
      <c r="E555" s="23" t="str">
        <f aca="false">IF(B555="","",IF(Office_Log!B155="","",Office_Log!B155&amp;""))</f>
        <v/>
      </c>
      <c r="F555" s="23" t="str">
        <f aca="false">IF(B555="","","budget_probe")</f>
        <v/>
      </c>
      <c r="G555" s="23" t="str">
        <f aca="false">IF(B555="","",IF(ISNUMBER(Office_Log!Y155),Office_Log!Y155,""))</f>
        <v/>
      </c>
      <c r="H555" s="23" t="str">
        <f aca="false">IF(B555="","",IF(Office_Log!X155="","",Office_Log!X155&amp;""))</f>
        <v/>
      </c>
      <c r="I555" s="23" t="str">
        <f aca="false">IF(B555="","","")</f>
        <v/>
      </c>
      <c r="J555" s="23" t="str">
        <f aca="false">IF(B555="","",IF(AND(ISNUMBER(Office_Log!Z155),N(Office_Log!Z155)&gt;N(Office_Log!Y155)),"range to "&amp;Office_Log!Z155&amp;" per month",""))</f>
        <v/>
      </c>
      <c r="K555" s="32" t="s">
        <v>1354</v>
      </c>
    </row>
    <row r="556" customFormat="false" ht="15" hidden="false" customHeight="false" outlineLevel="0" collapsed="false">
      <c r="A556" s="23" t="str">
        <f aca="false">IF(B556="","",B556+(3*1000+155)/10000000)</f>
        <v/>
      </c>
      <c r="B556" s="35" t="str">
        <f aca="false">IF(Office_Log!BR156=1,Office_Log!H156,"")</f>
        <v/>
      </c>
      <c r="C556" s="23" t="str">
        <f aca="false">IF(B556="","","office")</f>
        <v/>
      </c>
      <c r="D556" s="23" t="str">
        <f aca="false">IF(B556="","",Office_Log!ED156&amp;"")</f>
        <v/>
      </c>
      <c r="E556" s="23" t="str">
        <f aca="false">IF(B556="","",IF(Office_Log!B156="","",Office_Log!B156&amp;""))</f>
        <v/>
      </c>
      <c r="F556" s="23" t="str">
        <f aca="false">IF(B556="","","budget_probe")</f>
        <v/>
      </c>
      <c r="G556" s="23" t="str">
        <f aca="false">IF(B556="","",IF(ISNUMBER(Office_Log!Y156),Office_Log!Y156,""))</f>
        <v/>
      </c>
      <c r="H556" s="23" t="str">
        <f aca="false">IF(B556="","",IF(Office_Log!X156="","",Office_Log!X156&amp;""))</f>
        <v/>
      </c>
      <c r="I556" s="23" t="str">
        <f aca="false">IF(B556="","","")</f>
        <v/>
      </c>
      <c r="J556" s="23" t="str">
        <f aca="false">IF(B556="","",IF(AND(ISNUMBER(Office_Log!Z156),N(Office_Log!Z156)&gt;N(Office_Log!Y156)),"range to "&amp;Office_Log!Z156&amp;" per month",""))</f>
        <v/>
      </c>
      <c r="K556" s="32" t="s">
        <v>1354</v>
      </c>
    </row>
    <row r="557" customFormat="false" ht="15" hidden="false" customHeight="false" outlineLevel="0" collapsed="false">
      <c r="A557" s="23" t="str">
        <f aca="false">IF(B557="","",B557+(3*1000+156)/10000000)</f>
        <v/>
      </c>
      <c r="B557" s="35" t="str">
        <f aca="false">IF(Office_Log!BR157=1,Office_Log!H157,"")</f>
        <v/>
      </c>
      <c r="C557" s="23" t="str">
        <f aca="false">IF(B557="","","office")</f>
        <v/>
      </c>
      <c r="D557" s="23" t="str">
        <f aca="false">IF(B557="","",Office_Log!ED157&amp;"")</f>
        <v/>
      </c>
      <c r="E557" s="23" t="str">
        <f aca="false">IF(B557="","",IF(Office_Log!B157="","",Office_Log!B157&amp;""))</f>
        <v/>
      </c>
      <c r="F557" s="23" t="str">
        <f aca="false">IF(B557="","","budget_probe")</f>
        <v/>
      </c>
      <c r="G557" s="23" t="str">
        <f aca="false">IF(B557="","",IF(ISNUMBER(Office_Log!Y157),Office_Log!Y157,""))</f>
        <v/>
      </c>
      <c r="H557" s="23" t="str">
        <f aca="false">IF(B557="","",IF(Office_Log!X157="","",Office_Log!X157&amp;""))</f>
        <v/>
      </c>
      <c r="I557" s="23" t="str">
        <f aca="false">IF(B557="","","")</f>
        <v/>
      </c>
      <c r="J557" s="23" t="str">
        <f aca="false">IF(B557="","",IF(AND(ISNUMBER(Office_Log!Z157),N(Office_Log!Z157)&gt;N(Office_Log!Y157)),"range to "&amp;Office_Log!Z157&amp;" per month",""))</f>
        <v/>
      </c>
      <c r="K557" s="32" t="s">
        <v>1354</v>
      </c>
    </row>
    <row r="558" customFormat="false" ht="15" hidden="false" customHeight="false" outlineLevel="0" collapsed="false">
      <c r="A558" s="23" t="str">
        <f aca="false">IF(B558="","",B558+(3*1000+157)/10000000)</f>
        <v/>
      </c>
      <c r="B558" s="35" t="str">
        <f aca="false">IF(Office_Log!BR158=1,Office_Log!H158,"")</f>
        <v/>
      </c>
      <c r="C558" s="23" t="str">
        <f aca="false">IF(B558="","","office")</f>
        <v/>
      </c>
      <c r="D558" s="23" t="str">
        <f aca="false">IF(B558="","",Office_Log!ED158&amp;"")</f>
        <v/>
      </c>
      <c r="E558" s="23" t="str">
        <f aca="false">IF(B558="","",IF(Office_Log!B158="","",Office_Log!B158&amp;""))</f>
        <v/>
      </c>
      <c r="F558" s="23" t="str">
        <f aca="false">IF(B558="","","budget_probe")</f>
        <v/>
      </c>
      <c r="G558" s="23" t="str">
        <f aca="false">IF(B558="","",IF(ISNUMBER(Office_Log!Y158),Office_Log!Y158,""))</f>
        <v/>
      </c>
      <c r="H558" s="23" t="str">
        <f aca="false">IF(B558="","",IF(Office_Log!X158="","",Office_Log!X158&amp;""))</f>
        <v/>
      </c>
      <c r="I558" s="23" t="str">
        <f aca="false">IF(B558="","","")</f>
        <v/>
      </c>
      <c r="J558" s="23" t="str">
        <f aca="false">IF(B558="","",IF(AND(ISNUMBER(Office_Log!Z158),N(Office_Log!Z158)&gt;N(Office_Log!Y158)),"range to "&amp;Office_Log!Z158&amp;" per month",""))</f>
        <v/>
      </c>
      <c r="K558" s="32" t="s">
        <v>1354</v>
      </c>
    </row>
    <row r="559" customFormat="false" ht="15" hidden="false" customHeight="false" outlineLevel="0" collapsed="false">
      <c r="A559" s="23" t="str">
        <f aca="false">IF(B559="","",B559+(3*1000+158)/10000000)</f>
        <v/>
      </c>
      <c r="B559" s="35" t="str">
        <f aca="false">IF(Office_Log!BR159=1,Office_Log!H159,"")</f>
        <v/>
      </c>
      <c r="C559" s="23" t="str">
        <f aca="false">IF(B559="","","office")</f>
        <v/>
      </c>
      <c r="D559" s="23" t="str">
        <f aca="false">IF(B559="","",Office_Log!ED159&amp;"")</f>
        <v/>
      </c>
      <c r="E559" s="23" t="str">
        <f aca="false">IF(B559="","",IF(Office_Log!B159="","",Office_Log!B159&amp;""))</f>
        <v/>
      </c>
      <c r="F559" s="23" t="str">
        <f aca="false">IF(B559="","","budget_probe")</f>
        <v/>
      </c>
      <c r="G559" s="23" t="str">
        <f aca="false">IF(B559="","",IF(ISNUMBER(Office_Log!Y159),Office_Log!Y159,""))</f>
        <v/>
      </c>
      <c r="H559" s="23" t="str">
        <f aca="false">IF(B559="","",IF(Office_Log!X159="","",Office_Log!X159&amp;""))</f>
        <v/>
      </c>
      <c r="I559" s="23" t="str">
        <f aca="false">IF(B559="","","")</f>
        <v/>
      </c>
      <c r="J559" s="23" t="str">
        <f aca="false">IF(B559="","",IF(AND(ISNUMBER(Office_Log!Z159),N(Office_Log!Z159)&gt;N(Office_Log!Y159)),"range to "&amp;Office_Log!Z159&amp;" per month",""))</f>
        <v/>
      </c>
      <c r="K559" s="32" t="s">
        <v>1354</v>
      </c>
    </row>
    <row r="560" customFormat="false" ht="15" hidden="false" customHeight="false" outlineLevel="0" collapsed="false">
      <c r="A560" s="23" t="str">
        <f aca="false">IF(B560="","",B560+(3*1000+159)/10000000)</f>
        <v/>
      </c>
      <c r="B560" s="35" t="str">
        <f aca="false">IF(Office_Log!BR160=1,Office_Log!H160,"")</f>
        <v/>
      </c>
      <c r="C560" s="23" t="str">
        <f aca="false">IF(B560="","","office")</f>
        <v/>
      </c>
      <c r="D560" s="23" t="str">
        <f aca="false">IF(B560="","",Office_Log!ED160&amp;"")</f>
        <v/>
      </c>
      <c r="E560" s="23" t="str">
        <f aca="false">IF(B560="","",IF(Office_Log!B160="","",Office_Log!B160&amp;""))</f>
        <v/>
      </c>
      <c r="F560" s="23" t="str">
        <f aca="false">IF(B560="","","budget_probe")</f>
        <v/>
      </c>
      <c r="G560" s="23" t="str">
        <f aca="false">IF(B560="","",IF(ISNUMBER(Office_Log!Y160),Office_Log!Y160,""))</f>
        <v/>
      </c>
      <c r="H560" s="23" t="str">
        <f aca="false">IF(B560="","",IF(Office_Log!X160="","",Office_Log!X160&amp;""))</f>
        <v/>
      </c>
      <c r="I560" s="23" t="str">
        <f aca="false">IF(B560="","","")</f>
        <v/>
      </c>
      <c r="J560" s="23" t="str">
        <f aca="false">IF(B560="","",IF(AND(ISNUMBER(Office_Log!Z160),N(Office_Log!Z160)&gt;N(Office_Log!Y160)),"range to "&amp;Office_Log!Z160&amp;" per month",""))</f>
        <v/>
      </c>
      <c r="K560" s="32" t="s">
        <v>1354</v>
      </c>
    </row>
    <row r="561" customFormat="false" ht="15" hidden="false" customHeight="false" outlineLevel="0" collapsed="false">
      <c r="A561" s="23" t="str">
        <f aca="false">IF(B561="","",B561+(3*1000+160)/10000000)</f>
        <v/>
      </c>
      <c r="B561" s="35" t="str">
        <f aca="false">IF(Office_Log!BR161=1,Office_Log!H161,"")</f>
        <v/>
      </c>
      <c r="C561" s="23" t="str">
        <f aca="false">IF(B561="","","office")</f>
        <v/>
      </c>
      <c r="D561" s="23" t="str">
        <f aca="false">IF(B561="","",Office_Log!ED161&amp;"")</f>
        <v/>
      </c>
      <c r="E561" s="23" t="str">
        <f aca="false">IF(B561="","",IF(Office_Log!B161="","",Office_Log!B161&amp;""))</f>
        <v/>
      </c>
      <c r="F561" s="23" t="str">
        <f aca="false">IF(B561="","","budget_probe")</f>
        <v/>
      </c>
      <c r="G561" s="23" t="str">
        <f aca="false">IF(B561="","",IF(ISNUMBER(Office_Log!Y161),Office_Log!Y161,""))</f>
        <v/>
      </c>
      <c r="H561" s="23" t="str">
        <f aca="false">IF(B561="","",IF(Office_Log!X161="","",Office_Log!X161&amp;""))</f>
        <v/>
      </c>
      <c r="I561" s="23" t="str">
        <f aca="false">IF(B561="","","")</f>
        <v/>
      </c>
      <c r="J561" s="23" t="str">
        <f aca="false">IF(B561="","",IF(AND(ISNUMBER(Office_Log!Z161),N(Office_Log!Z161)&gt;N(Office_Log!Y161)),"range to "&amp;Office_Log!Z161&amp;" per month",""))</f>
        <v/>
      </c>
      <c r="K561" s="32" t="s">
        <v>1354</v>
      </c>
    </row>
    <row r="562" customFormat="false" ht="15" hidden="false" customHeight="false" outlineLevel="0" collapsed="false">
      <c r="A562" s="23" t="str">
        <f aca="false">IF(B562="","",B562+(3*1000+161)/10000000)</f>
        <v/>
      </c>
      <c r="B562" s="35" t="str">
        <f aca="false">IF(Office_Log!BR162=1,Office_Log!H162,"")</f>
        <v/>
      </c>
      <c r="C562" s="23" t="str">
        <f aca="false">IF(B562="","","office")</f>
        <v/>
      </c>
      <c r="D562" s="23" t="str">
        <f aca="false">IF(B562="","",Office_Log!ED162&amp;"")</f>
        <v/>
      </c>
      <c r="E562" s="23" t="str">
        <f aca="false">IF(B562="","",IF(Office_Log!B162="","",Office_Log!B162&amp;""))</f>
        <v/>
      </c>
      <c r="F562" s="23" t="str">
        <f aca="false">IF(B562="","","budget_probe")</f>
        <v/>
      </c>
      <c r="G562" s="23" t="str">
        <f aca="false">IF(B562="","",IF(ISNUMBER(Office_Log!Y162),Office_Log!Y162,""))</f>
        <v/>
      </c>
      <c r="H562" s="23" t="str">
        <f aca="false">IF(B562="","",IF(Office_Log!X162="","",Office_Log!X162&amp;""))</f>
        <v/>
      </c>
      <c r="I562" s="23" t="str">
        <f aca="false">IF(B562="","","")</f>
        <v/>
      </c>
      <c r="J562" s="23" t="str">
        <f aca="false">IF(B562="","",IF(AND(ISNUMBER(Office_Log!Z162),N(Office_Log!Z162)&gt;N(Office_Log!Y162)),"range to "&amp;Office_Log!Z162&amp;" per month",""))</f>
        <v/>
      </c>
      <c r="K562" s="32" t="s">
        <v>1354</v>
      </c>
    </row>
    <row r="563" customFormat="false" ht="15" hidden="false" customHeight="false" outlineLevel="0" collapsed="false">
      <c r="A563" s="23" t="str">
        <f aca="false">IF(B563="","",B563+(3*1000+162)/10000000)</f>
        <v/>
      </c>
      <c r="B563" s="35" t="str">
        <f aca="false">IF(Office_Log!BR163=1,Office_Log!H163,"")</f>
        <v/>
      </c>
      <c r="C563" s="23" t="str">
        <f aca="false">IF(B563="","","office")</f>
        <v/>
      </c>
      <c r="D563" s="23" t="str">
        <f aca="false">IF(B563="","",Office_Log!ED163&amp;"")</f>
        <v/>
      </c>
      <c r="E563" s="23" t="str">
        <f aca="false">IF(B563="","",IF(Office_Log!B163="","",Office_Log!B163&amp;""))</f>
        <v/>
      </c>
      <c r="F563" s="23" t="str">
        <f aca="false">IF(B563="","","budget_probe")</f>
        <v/>
      </c>
      <c r="G563" s="23" t="str">
        <f aca="false">IF(B563="","",IF(ISNUMBER(Office_Log!Y163),Office_Log!Y163,""))</f>
        <v/>
      </c>
      <c r="H563" s="23" t="str">
        <f aca="false">IF(B563="","",IF(Office_Log!X163="","",Office_Log!X163&amp;""))</f>
        <v/>
      </c>
      <c r="I563" s="23" t="str">
        <f aca="false">IF(B563="","","")</f>
        <v/>
      </c>
      <c r="J563" s="23" t="str">
        <f aca="false">IF(B563="","",IF(AND(ISNUMBER(Office_Log!Z163),N(Office_Log!Z163)&gt;N(Office_Log!Y163)),"range to "&amp;Office_Log!Z163&amp;" per month",""))</f>
        <v/>
      </c>
      <c r="K563" s="32" t="s">
        <v>1354</v>
      </c>
    </row>
    <row r="564" customFormat="false" ht="15" hidden="false" customHeight="false" outlineLevel="0" collapsed="false">
      <c r="A564" s="23" t="str">
        <f aca="false">IF(B564="","",B564+(3*1000+163)/10000000)</f>
        <v/>
      </c>
      <c r="B564" s="35" t="str">
        <f aca="false">IF(Office_Log!BR164=1,Office_Log!H164,"")</f>
        <v/>
      </c>
      <c r="C564" s="23" t="str">
        <f aca="false">IF(B564="","","office")</f>
        <v/>
      </c>
      <c r="D564" s="23" t="str">
        <f aca="false">IF(B564="","",Office_Log!ED164&amp;"")</f>
        <v/>
      </c>
      <c r="E564" s="23" t="str">
        <f aca="false">IF(B564="","",IF(Office_Log!B164="","",Office_Log!B164&amp;""))</f>
        <v/>
      </c>
      <c r="F564" s="23" t="str">
        <f aca="false">IF(B564="","","budget_probe")</f>
        <v/>
      </c>
      <c r="G564" s="23" t="str">
        <f aca="false">IF(B564="","",IF(ISNUMBER(Office_Log!Y164),Office_Log!Y164,""))</f>
        <v/>
      </c>
      <c r="H564" s="23" t="str">
        <f aca="false">IF(B564="","",IF(Office_Log!X164="","",Office_Log!X164&amp;""))</f>
        <v/>
      </c>
      <c r="I564" s="23" t="str">
        <f aca="false">IF(B564="","","")</f>
        <v/>
      </c>
      <c r="J564" s="23" t="str">
        <f aca="false">IF(B564="","",IF(AND(ISNUMBER(Office_Log!Z164),N(Office_Log!Z164)&gt;N(Office_Log!Y164)),"range to "&amp;Office_Log!Z164&amp;" per month",""))</f>
        <v/>
      </c>
      <c r="K564" s="32" t="s">
        <v>1354</v>
      </c>
    </row>
    <row r="565" customFormat="false" ht="15" hidden="false" customHeight="false" outlineLevel="0" collapsed="false">
      <c r="A565" s="23" t="str">
        <f aca="false">IF(B565="","",B565+(3*1000+164)/10000000)</f>
        <v/>
      </c>
      <c r="B565" s="35" t="str">
        <f aca="false">IF(Office_Log!BR165=1,Office_Log!H165,"")</f>
        <v/>
      </c>
      <c r="C565" s="23" t="str">
        <f aca="false">IF(B565="","","office")</f>
        <v/>
      </c>
      <c r="D565" s="23" t="str">
        <f aca="false">IF(B565="","",Office_Log!ED165&amp;"")</f>
        <v/>
      </c>
      <c r="E565" s="23" t="str">
        <f aca="false">IF(B565="","",IF(Office_Log!B165="","",Office_Log!B165&amp;""))</f>
        <v/>
      </c>
      <c r="F565" s="23" t="str">
        <f aca="false">IF(B565="","","budget_probe")</f>
        <v/>
      </c>
      <c r="G565" s="23" t="str">
        <f aca="false">IF(B565="","",IF(ISNUMBER(Office_Log!Y165),Office_Log!Y165,""))</f>
        <v/>
      </c>
      <c r="H565" s="23" t="str">
        <f aca="false">IF(B565="","",IF(Office_Log!X165="","",Office_Log!X165&amp;""))</f>
        <v/>
      </c>
      <c r="I565" s="23" t="str">
        <f aca="false">IF(B565="","","")</f>
        <v/>
      </c>
      <c r="J565" s="23" t="str">
        <f aca="false">IF(B565="","",IF(AND(ISNUMBER(Office_Log!Z165),N(Office_Log!Z165)&gt;N(Office_Log!Y165)),"range to "&amp;Office_Log!Z165&amp;" per month",""))</f>
        <v/>
      </c>
      <c r="K565" s="32" t="s">
        <v>1354</v>
      </c>
    </row>
    <row r="566" customFormat="false" ht="15" hidden="false" customHeight="false" outlineLevel="0" collapsed="false">
      <c r="A566" s="23" t="str">
        <f aca="false">IF(B566="","",B566+(3*1000+165)/10000000)</f>
        <v/>
      </c>
      <c r="B566" s="35" t="str">
        <f aca="false">IF(Office_Log!BR166=1,Office_Log!H166,"")</f>
        <v/>
      </c>
      <c r="C566" s="23" t="str">
        <f aca="false">IF(B566="","","office")</f>
        <v/>
      </c>
      <c r="D566" s="23" t="str">
        <f aca="false">IF(B566="","",Office_Log!ED166&amp;"")</f>
        <v/>
      </c>
      <c r="E566" s="23" t="str">
        <f aca="false">IF(B566="","",IF(Office_Log!B166="","",Office_Log!B166&amp;""))</f>
        <v/>
      </c>
      <c r="F566" s="23" t="str">
        <f aca="false">IF(B566="","","budget_probe")</f>
        <v/>
      </c>
      <c r="G566" s="23" t="str">
        <f aca="false">IF(B566="","",IF(ISNUMBER(Office_Log!Y166),Office_Log!Y166,""))</f>
        <v/>
      </c>
      <c r="H566" s="23" t="str">
        <f aca="false">IF(B566="","",IF(Office_Log!X166="","",Office_Log!X166&amp;""))</f>
        <v/>
      </c>
      <c r="I566" s="23" t="str">
        <f aca="false">IF(B566="","","")</f>
        <v/>
      </c>
      <c r="J566" s="23" t="str">
        <f aca="false">IF(B566="","",IF(AND(ISNUMBER(Office_Log!Z166),N(Office_Log!Z166)&gt;N(Office_Log!Y166)),"range to "&amp;Office_Log!Z166&amp;" per month",""))</f>
        <v/>
      </c>
      <c r="K566" s="32" t="s">
        <v>1354</v>
      </c>
    </row>
    <row r="567" customFormat="false" ht="15" hidden="false" customHeight="false" outlineLevel="0" collapsed="false">
      <c r="A567" s="23" t="str">
        <f aca="false">IF(B567="","",B567+(3*1000+166)/10000000)</f>
        <v/>
      </c>
      <c r="B567" s="35" t="str">
        <f aca="false">IF(Office_Log!BR167=1,Office_Log!H167,"")</f>
        <v/>
      </c>
      <c r="C567" s="23" t="str">
        <f aca="false">IF(B567="","","office")</f>
        <v/>
      </c>
      <c r="D567" s="23" t="str">
        <f aca="false">IF(B567="","",Office_Log!ED167&amp;"")</f>
        <v/>
      </c>
      <c r="E567" s="23" t="str">
        <f aca="false">IF(B567="","",IF(Office_Log!B167="","",Office_Log!B167&amp;""))</f>
        <v/>
      </c>
      <c r="F567" s="23" t="str">
        <f aca="false">IF(B567="","","budget_probe")</f>
        <v/>
      </c>
      <c r="G567" s="23" t="str">
        <f aca="false">IF(B567="","",IF(ISNUMBER(Office_Log!Y167),Office_Log!Y167,""))</f>
        <v/>
      </c>
      <c r="H567" s="23" t="str">
        <f aca="false">IF(B567="","",IF(Office_Log!X167="","",Office_Log!X167&amp;""))</f>
        <v/>
      </c>
      <c r="I567" s="23" t="str">
        <f aca="false">IF(B567="","","")</f>
        <v/>
      </c>
      <c r="J567" s="23" t="str">
        <f aca="false">IF(B567="","",IF(AND(ISNUMBER(Office_Log!Z167),N(Office_Log!Z167)&gt;N(Office_Log!Y167)),"range to "&amp;Office_Log!Z167&amp;" per month",""))</f>
        <v/>
      </c>
      <c r="K567" s="32" t="s">
        <v>1354</v>
      </c>
    </row>
    <row r="568" customFormat="false" ht="15" hidden="false" customHeight="false" outlineLevel="0" collapsed="false">
      <c r="A568" s="23" t="str">
        <f aca="false">IF(B568="","",B568+(3*1000+167)/10000000)</f>
        <v/>
      </c>
      <c r="B568" s="35" t="str">
        <f aca="false">IF(Office_Log!BR168=1,Office_Log!H168,"")</f>
        <v/>
      </c>
      <c r="C568" s="23" t="str">
        <f aca="false">IF(B568="","","office")</f>
        <v/>
      </c>
      <c r="D568" s="23" t="str">
        <f aca="false">IF(B568="","",Office_Log!ED168&amp;"")</f>
        <v/>
      </c>
      <c r="E568" s="23" t="str">
        <f aca="false">IF(B568="","",IF(Office_Log!B168="","",Office_Log!B168&amp;""))</f>
        <v/>
      </c>
      <c r="F568" s="23" t="str">
        <f aca="false">IF(B568="","","budget_probe")</f>
        <v/>
      </c>
      <c r="G568" s="23" t="str">
        <f aca="false">IF(B568="","",IF(ISNUMBER(Office_Log!Y168),Office_Log!Y168,""))</f>
        <v/>
      </c>
      <c r="H568" s="23" t="str">
        <f aca="false">IF(B568="","",IF(Office_Log!X168="","",Office_Log!X168&amp;""))</f>
        <v/>
      </c>
      <c r="I568" s="23" t="str">
        <f aca="false">IF(B568="","","")</f>
        <v/>
      </c>
      <c r="J568" s="23" t="str">
        <f aca="false">IF(B568="","",IF(AND(ISNUMBER(Office_Log!Z168),N(Office_Log!Z168)&gt;N(Office_Log!Y168)),"range to "&amp;Office_Log!Z168&amp;" per month",""))</f>
        <v/>
      </c>
      <c r="K568" s="32" t="s">
        <v>1354</v>
      </c>
    </row>
    <row r="569" customFormat="false" ht="15" hidden="false" customHeight="false" outlineLevel="0" collapsed="false">
      <c r="A569" s="23" t="str">
        <f aca="false">IF(B569="","",B569+(3*1000+168)/10000000)</f>
        <v/>
      </c>
      <c r="B569" s="35" t="str">
        <f aca="false">IF(Office_Log!BR169=1,Office_Log!H169,"")</f>
        <v/>
      </c>
      <c r="C569" s="23" t="str">
        <f aca="false">IF(B569="","","office")</f>
        <v/>
      </c>
      <c r="D569" s="23" t="str">
        <f aca="false">IF(B569="","",Office_Log!ED169&amp;"")</f>
        <v/>
      </c>
      <c r="E569" s="23" t="str">
        <f aca="false">IF(B569="","",IF(Office_Log!B169="","",Office_Log!B169&amp;""))</f>
        <v/>
      </c>
      <c r="F569" s="23" t="str">
        <f aca="false">IF(B569="","","budget_probe")</f>
        <v/>
      </c>
      <c r="G569" s="23" t="str">
        <f aca="false">IF(B569="","",IF(ISNUMBER(Office_Log!Y169),Office_Log!Y169,""))</f>
        <v/>
      </c>
      <c r="H569" s="23" t="str">
        <f aca="false">IF(B569="","",IF(Office_Log!X169="","",Office_Log!X169&amp;""))</f>
        <v/>
      </c>
      <c r="I569" s="23" t="str">
        <f aca="false">IF(B569="","","")</f>
        <v/>
      </c>
      <c r="J569" s="23" t="str">
        <f aca="false">IF(B569="","",IF(AND(ISNUMBER(Office_Log!Z169),N(Office_Log!Z169)&gt;N(Office_Log!Y169)),"range to "&amp;Office_Log!Z169&amp;" per month",""))</f>
        <v/>
      </c>
      <c r="K569" s="32" t="s">
        <v>1354</v>
      </c>
    </row>
    <row r="570" customFormat="false" ht="15" hidden="false" customHeight="false" outlineLevel="0" collapsed="false">
      <c r="A570" s="23" t="str">
        <f aca="false">IF(B570="","",B570+(3*1000+169)/10000000)</f>
        <v/>
      </c>
      <c r="B570" s="35" t="str">
        <f aca="false">IF(Office_Log!BR170=1,Office_Log!H170,"")</f>
        <v/>
      </c>
      <c r="C570" s="23" t="str">
        <f aca="false">IF(B570="","","office")</f>
        <v/>
      </c>
      <c r="D570" s="23" t="str">
        <f aca="false">IF(B570="","",Office_Log!ED170&amp;"")</f>
        <v/>
      </c>
      <c r="E570" s="23" t="str">
        <f aca="false">IF(B570="","",IF(Office_Log!B170="","",Office_Log!B170&amp;""))</f>
        <v/>
      </c>
      <c r="F570" s="23" t="str">
        <f aca="false">IF(B570="","","budget_probe")</f>
        <v/>
      </c>
      <c r="G570" s="23" t="str">
        <f aca="false">IF(B570="","",IF(ISNUMBER(Office_Log!Y170),Office_Log!Y170,""))</f>
        <v/>
      </c>
      <c r="H570" s="23" t="str">
        <f aca="false">IF(B570="","",IF(Office_Log!X170="","",Office_Log!X170&amp;""))</f>
        <v/>
      </c>
      <c r="I570" s="23" t="str">
        <f aca="false">IF(B570="","","")</f>
        <v/>
      </c>
      <c r="J570" s="23" t="str">
        <f aca="false">IF(B570="","",IF(AND(ISNUMBER(Office_Log!Z170),N(Office_Log!Z170)&gt;N(Office_Log!Y170)),"range to "&amp;Office_Log!Z170&amp;" per month",""))</f>
        <v/>
      </c>
      <c r="K570" s="32" t="s">
        <v>1354</v>
      </c>
    </row>
    <row r="571" customFormat="false" ht="15" hidden="false" customHeight="false" outlineLevel="0" collapsed="false">
      <c r="A571" s="23" t="str">
        <f aca="false">IF(B571="","",B571+(3*1000+170)/10000000)</f>
        <v/>
      </c>
      <c r="B571" s="35" t="str">
        <f aca="false">IF(Office_Log!BR171=1,Office_Log!H171,"")</f>
        <v/>
      </c>
      <c r="C571" s="23" t="str">
        <f aca="false">IF(B571="","","office")</f>
        <v/>
      </c>
      <c r="D571" s="23" t="str">
        <f aca="false">IF(B571="","",Office_Log!ED171&amp;"")</f>
        <v/>
      </c>
      <c r="E571" s="23" t="str">
        <f aca="false">IF(B571="","",IF(Office_Log!B171="","",Office_Log!B171&amp;""))</f>
        <v/>
      </c>
      <c r="F571" s="23" t="str">
        <f aca="false">IF(B571="","","budget_probe")</f>
        <v/>
      </c>
      <c r="G571" s="23" t="str">
        <f aca="false">IF(B571="","",IF(ISNUMBER(Office_Log!Y171),Office_Log!Y171,""))</f>
        <v/>
      </c>
      <c r="H571" s="23" t="str">
        <f aca="false">IF(B571="","",IF(Office_Log!X171="","",Office_Log!X171&amp;""))</f>
        <v/>
      </c>
      <c r="I571" s="23" t="str">
        <f aca="false">IF(B571="","","")</f>
        <v/>
      </c>
      <c r="J571" s="23" t="str">
        <f aca="false">IF(B571="","",IF(AND(ISNUMBER(Office_Log!Z171),N(Office_Log!Z171)&gt;N(Office_Log!Y171)),"range to "&amp;Office_Log!Z171&amp;" per month",""))</f>
        <v/>
      </c>
      <c r="K571" s="32" t="s">
        <v>1354</v>
      </c>
    </row>
    <row r="572" customFormat="false" ht="15" hidden="false" customHeight="false" outlineLevel="0" collapsed="false">
      <c r="A572" s="23" t="str">
        <f aca="false">IF(B572="","",B572+(3*1000+171)/10000000)</f>
        <v/>
      </c>
      <c r="B572" s="35" t="str">
        <f aca="false">IF(Office_Log!BR172=1,Office_Log!H172,"")</f>
        <v/>
      </c>
      <c r="C572" s="23" t="str">
        <f aca="false">IF(B572="","","office")</f>
        <v/>
      </c>
      <c r="D572" s="23" t="str">
        <f aca="false">IF(B572="","",Office_Log!ED172&amp;"")</f>
        <v/>
      </c>
      <c r="E572" s="23" t="str">
        <f aca="false">IF(B572="","",IF(Office_Log!B172="","",Office_Log!B172&amp;""))</f>
        <v/>
      </c>
      <c r="F572" s="23" t="str">
        <f aca="false">IF(B572="","","budget_probe")</f>
        <v/>
      </c>
      <c r="G572" s="23" t="str">
        <f aca="false">IF(B572="","",IF(ISNUMBER(Office_Log!Y172),Office_Log!Y172,""))</f>
        <v/>
      </c>
      <c r="H572" s="23" t="str">
        <f aca="false">IF(B572="","",IF(Office_Log!X172="","",Office_Log!X172&amp;""))</f>
        <v/>
      </c>
      <c r="I572" s="23" t="str">
        <f aca="false">IF(B572="","","")</f>
        <v/>
      </c>
      <c r="J572" s="23" t="str">
        <f aca="false">IF(B572="","",IF(AND(ISNUMBER(Office_Log!Z172),N(Office_Log!Z172)&gt;N(Office_Log!Y172)),"range to "&amp;Office_Log!Z172&amp;" per month",""))</f>
        <v/>
      </c>
      <c r="K572" s="32" t="s">
        <v>1354</v>
      </c>
    </row>
    <row r="573" customFormat="false" ht="15" hidden="false" customHeight="false" outlineLevel="0" collapsed="false">
      <c r="A573" s="23" t="str">
        <f aca="false">IF(B573="","",B573+(3*1000+172)/10000000)</f>
        <v/>
      </c>
      <c r="B573" s="35" t="str">
        <f aca="false">IF(Office_Log!BR173=1,Office_Log!H173,"")</f>
        <v/>
      </c>
      <c r="C573" s="23" t="str">
        <f aca="false">IF(B573="","","office")</f>
        <v/>
      </c>
      <c r="D573" s="23" t="str">
        <f aca="false">IF(B573="","",Office_Log!ED173&amp;"")</f>
        <v/>
      </c>
      <c r="E573" s="23" t="str">
        <f aca="false">IF(B573="","",IF(Office_Log!B173="","",Office_Log!B173&amp;""))</f>
        <v/>
      </c>
      <c r="F573" s="23" t="str">
        <f aca="false">IF(B573="","","budget_probe")</f>
        <v/>
      </c>
      <c r="G573" s="23" t="str">
        <f aca="false">IF(B573="","",IF(ISNUMBER(Office_Log!Y173),Office_Log!Y173,""))</f>
        <v/>
      </c>
      <c r="H573" s="23" t="str">
        <f aca="false">IF(B573="","",IF(Office_Log!X173="","",Office_Log!X173&amp;""))</f>
        <v/>
      </c>
      <c r="I573" s="23" t="str">
        <f aca="false">IF(B573="","","")</f>
        <v/>
      </c>
      <c r="J573" s="23" t="str">
        <f aca="false">IF(B573="","",IF(AND(ISNUMBER(Office_Log!Z173),N(Office_Log!Z173)&gt;N(Office_Log!Y173)),"range to "&amp;Office_Log!Z173&amp;" per month",""))</f>
        <v/>
      </c>
      <c r="K573" s="32" t="s">
        <v>1354</v>
      </c>
    </row>
    <row r="574" customFormat="false" ht="15" hidden="false" customHeight="false" outlineLevel="0" collapsed="false">
      <c r="A574" s="23" t="str">
        <f aca="false">IF(B574="","",B574+(3*1000+173)/10000000)</f>
        <v/>
      </c>
      <c r="B574" s="35" t="str">
        <f aca="false">IF(Office_Log!BR174=1,Office_Log!H174,"")</f>
        <v/>
      </c>
      <c r="C574" s="23" t="str">
        <f aca="false">IF(B574="","","office")</f>
        <v/>
      </c>
      <c r="D574" s="23" t="str">
        <f aca="false">IF(B574="","",Office_Log!ED174&amp;"")</f>
        <v/>
      </c>
      <c r="E574" s="23" t="str">
        <f aca="false">IF(B574="","",IF(Office_Log!B174="","",Office_Log!B174&amp;""))</f>
        <v/>
      </c>
      <c r="F574" s="23" t="str">
        <f aca="false">IF(B574="","","budget_probe")</f>
        <v/>
      </c>
      <c r="G574" s="23" t="str">
        <f aca="false">IF(B574="","",IF(ISNUMBER(Office_Log!Y174),Office_Log!Y174,""))</f>
        <v/>
      </c>
      <c r="H574" s="23" t="str">
        <f aca="false">IF(B574="","",IF(Office_Log!X174="","",Office_Log!X174&amp;""))</f>
        <v/>
      </c>
      <c r="I574" s="23" t="str">
        <f aca="false">IF(B574="","","")</f>
        <v/>
      </c>
      <c r="J574" s="23" t="str">
        <f aca="false">IF(B574="","",IF(AND(ISNUMBER(Office_Log!Z174),N(Office_Log!Z174)&gt;N(Office_Log!Y174)),"range to "&amp;Office_Log!Z174&amp;" per month",""))</f>
        <v/>
      </c>
      <c r="K574" s="32" t="s">
        <v>1354</v>
      </c>
    </row>
    <row r="575" customFormat="false" ht="15" hidden="false" customHeight="false" outlineLevel="0" collapsed="false">
      <c r="A575" s="23" t="str">
        <f aca="false">IF(B575="","",B575+(3*1000+174)/10000000)</f>
        <v/>
      </c>
      <c r="B575" s="35" t="str">
        <f aca="false">IF(Office_Log!BR175=1,Office_Log!H175,"")</f>
        <v/>
      </c>
      <c r="C575" s="23" t="str">
        <f aca="false">IF(B575="","","office")</f>
        <v/>
      </c>
      <c r="D575" s="23" t="str">
        <f aca="false">IF(B575="","",Office_Log!ED175&amp;"")</f>
        <v/>
      </c>
      <c r="E575" s="23" t="str">
        <f aca="false">IF(B575="","",IF(Office_Log!B175="","",Office_Log!B175&amp;""))</f>
        <v/>
      </c>
      <c r="F575" s="23" t="str">
        <f aca="false">IF(B575="","","budget_probe")</f>
        <v/>
      </c>
      <c r="G575" s="23" t="str">
        <f aca="false">IF(B575="","",IF(ISNUMBER(Office_Log!Y175),Office_Log!Y175,""))</f>
        <v/>
      </c>
      <c r="H575" s="23" t="str">
        <f aca="false">IF(B575="","",IF(Office_Log!X175="","",Office_Log!X175&amp;""))</f>
        <v/>
      </c>
      <c r="I575" s="23" t="str">
        <f aca="false">IF(B575="","","")</f>
        <v/>
      </c>
      <c r="J575" s="23" t="str">
        <f aca="false">IF(B575="","",IF(AND(ISNUMBER(Office_Log!Z175),N(Office_Log!Z175)&gt;N(Office_Log!Y175)),"range to "&amp;Office_Log!Z175&amp;" per month",""))</f>
        <v/>
      </c>
      <c r="K575" s="32" t="s">
        <v>1354</v>
      </c>
    </row>
    <row r="576" customFormat="false" ht="15" hidden="false" customHeight="false" outlineLevel="0" collapsed="false">
      <c r="A576" s="23" t="str">
        <f aca="false">IF(B576="","",B576+(3*1000+175)/10000000)</f>
        <v/>
      </c>
      <c r="B576" s="35" t="str">
        <f aca="false">IF(Office_Log!BR176=1,Office_Log!H176,"")</f>
        <v/>
      </c>
      <c r="C576" s="23" t="str">
        <f aca="false">IF(B576="","","office")</f>
        <v/>
      </c>
      <c r="D576" s="23" t="str">
        <f aca="false">IF(B576="","",Office_Log!ED176&amp;"")</f>
        <v/>
      </c>
      <c r="E576" s="23" t="str">
        <f aca="false">IF(B576="","",IF(Office_Log!B176="","",Office_Log!B176&amp;""))</f>
        <v/>
      </c>
      <c r="F576" s="23" t="str">
        <f aca="false">IF(B576="","","budget_probe")</f>
        <v/>
      </c>
      <c r="G576" s="23" t="str">
        <f aca="false">IF(B576="","",IF(ISNUMBER(Office_Log!Y176),Office_Log!Y176,""))</f>
        <v/>
      </c>
      <c r="H576" s="23" t="str">
        <f aca="false">IF(B576="","",IF(Office_Log!X176="","",Office_Log!X176&amp;""))</f>
        <v/>
      </c>
      <c r="I576" s="23" t="str">
        <f aca="false">IF(B576="","","")</f>
        <v/>
      </c>
      <c r="J576" s="23" t="str">
        <f aca="false">IF(B576="","",IF(AND(ISNUMBER(Office_Log!Z176),N(Office_Log!Z176)&gt;N(Office_Log!Y176)),"range to "&amp;Office_Log!Z176&amp;" per month",""))</f>
        <v/>
      </c>
      <c r="K576" s="32" t="s">
        <v>1354</v>
      </c>
    </row>
    <row r="577" customFormat="false" ht="15" hidden="false" customHeight="false" outlineLevel="0" collapsed="false">
      <c r="A577" s="23" t="str">
        <f aca="false">IF(B577="","",B577+(3*1000+176)/10000000)</f>
        <v/>
      </c>
      <c r="B577" s="35" t="str">
        <f aca="false">IF(Office_Log!BR177=1,Office_Log!H177,"")</f>
        <v/>
      </c>
      <c r="C577" s="23" t="str">
        <f aca="false">IF(B577="","","office")</f>
        <v/>
      </c>
      <c r="D577" s="23" t="str">
        <f aca="false">IF(B577="","",Office_Log!ED177&amp;"")</f>
        <v/>
      </c>
      <c r="E577" s="23" t="str">
        <f aca="false">IF(B577="","",IF(Office_Log!B177="","",Office_Log!B177&amp;""))</f>
        <v/>
      </c>
      <c r="F577" s="23" t="str">
        <f aca="false">IF(B577="","","budget_probe")</f>
        <v/>
      </c>
      <c r="G577" s="23" t="str">
        <f aca="false">IF(B577="","",IF(ISNUMBER(Office_Log!Y177),Office_Log!Y177,""))</f>
        <v/>
      </c>
      <c r="H577" s="23" t="str">
        <f aca="false">IF(B577="","",IF(Office_Log!X177="","",Office_Log!X177&amp;""))</f>
        <v/>
      </c>
      <c r="I577" s="23" t="str">
        <f aca="false">IF(B577="","","")</f>
        <v/>
      </c>
      <c r="J577" s="23" t="str">
        <f aca="false">IF(B577="","",IF(AND(ISNUMBER(Office_Log!Z177),N(Office_Log!Z177)&gt;N(Office_Log!Y177)),"range to "&amp;Office_Log!Z177&amp;" per month",""))</f>
        <v/>
      </c>
      <c r="K577" s="32" t="s">
        <v>1354</v>
      </c>
    </row>
    <row r="578" customFormat="false" ht="15" hidden="false" customHeight="false" outlineLevel="0" collapsed="false">
      <c r="A578" s="23" t="str">
        <f aca="false">IF(B578="","",B578+(3*1000+177)/10000000)</f>
        <v/>
      </c>
      <c r="B578" s="35" t="str">
        <f aca="false">IF(Office_Log!BR178=1,Office_Log!H178,"")</f>
        <v/>
      </c>
      <c r="C578" s="23" t="str">
        <f aca="false">IF(B578="","","office")</f>
        <v/>
      </c>
      <c r="D578" s="23" t="str">
        <f aca="false">IF(B578="","",Office_Log!ED178&amp;"")</f>
        <v/>
      </c>
      <c r="E578" s="23" t="str">
        <f aca="false">IF(B578="","",IF(Office_Log!B178="","",Office_Log!B178&amp;""))</f>
        <v/>
      </c>
      <c r="F578" s="23" t="str">
        <f aca="false">IF(B578="","","budget_probe")</f>
        <v/>
      </c>
      <c r="G578" s="23" t="str">
        <f aca="false">IF(B578="","",IF(ISNUMBER(Office_Log!Y178),Office_Log!Y178,""))</f>
        <v/>
      </c>
      <c r="H578" s="23" t="str">
        <f aca="false">IF(B578="","",IF(Office_Log!X178="","",Office_Log!X178&amp;""))</f>
        <v/>
      </c>
      <c r="I578" s="23" t="str">
        <f aca="false">IF(B578="","","")</f>
        <v/>
      </c>
      <c r="J578" s="23" t="str">
        <f aca="false">IF(B578="","",IF(AND(ISNUMBER(Office_Log!Z178),N(Office_Log!Z178)&gt;N(Office_Log!Y178)),"range to "&amp;Office_Log!Z178&amp;" per month",""))</f>
        <v/>
      </c>
      <c r="K578" s="32" t="s">
        <v>1354</v>
      </c>
    </row>
    <row r="579" customFormat="false" ht="15" hidden="false" customHeight="false" outlineLevel="0" collapsed="false">
      <c r="A579" s="23" t="str">
        <f aca="false">IF(B579="","",B579+(3*1000+178)/10000000)</f>
        <v/>
      </c>
      <c r="B579" s="35" t="str">
        <f aca="false">IF(Office_Log!BR179=1,Office_Log!H179,"")</f>
        <v/>
      </c>
      <c r="C579" s="23" t="str">
        <f aca="false">IF(B579="","","office")</f>
        <v/>
      </c>
      <c r="D579" s="23" t="str">
        <f aca="false">IF(B579="","",Office_Log!ED179&amp;"")</f>
        <v/>
      </c>
      <c r="E579" s="23" t="str">
        <f aca="false">IF(B579="","",IF(Office_Log!B179="","",Office_Log!B179&amp;""))</f>
        <v/>
      </c>
      <c r="F579" s="23" t="str">
        <f aca="false">IF(B579="","","budget_probe")</f>
        <v/>
      </c>
      <c r="G579" s="23" t="str">
        <f aca="false">IF(B579="","",IF(ISNUMBER(Office_Log!Y179),Office_Log!Y179,""))</f>
        <v/>
      </c>
      <c r="H579" s="23" t="str">
        <f aca="false">IF(B579="","",IF(Office_Log!X179="","",Office_Log!X179&amp;""))</f>
        <v/>
      </c>
      <c r="I579" s="23" t="str">
        <f aca="false">IF(B579="","","")</f>
        <v/>
      </c>
      <c r="J579" s="23" t="str">
        <f aca="false">IF(B579="","",IF(AND(ISNUMBER(Office_Log!Z179),N(Office_Log!Z179)&gt;N(Office_Log!Y179)),"range to "&amp;Office_Log!Z179&amp;" per month",""))</f>
        <v/>
      </c>
      <c r="K579" s="32" t="s">
        <v>1354</v>
      </c>
    </row>
    <row r="580" customFormat="false" ht="15" hidden="false" customHeight="false" outlineLevel="0" collapsed="false">
      <c r="A580" s="23" t="str">
        <f aca="false">IF(B580="","",B580+(3*1000+179)/10000000)</f>
        <v/>
      </c>
      <c r="B580" s="35" t="str">
        <f aca="false">IF(Office_Log!BR180=1,Office_Log!H180,"")</f>
        <v/>
      </c>
      <c r="C580" s="23" t="str">
        <f aca="false">IF(B580="","","office")</f>
        <v/>
      </c>
      <c r="D580" s="23" t="str">
        <f aca="false">IF(B580="","",Office_Log!ED180&amp;"")</f>
        <v/>
      </c>
      <c r="E580" s="23" t="str">
        <f aca="false">IF(B580="","",IF(Office_Log!B180="","",Office_Log!B180&amp;""))</f>
        <v/>
      </c>
      <c r="F580" s="23" t="str">
        <f aca="false">IF(B580="","","budget_probe")</f>
        <v/>
      </c>
      <c r="G580" s="23" t="str">
        <f aca="false">IF(B580="","",IF(ISNUMBER(Office_Log!Y180),Office_Log!Y180,""))</f>
        <v/>
      </c>
      <c r="H580" s="23" t="str">
        <f aca="false">IF(B580="","",IF(Office_Log!X180="","",Office_Log!X180&amp;""))</f>
        <v/>
      </c>
      <c r="I580" s="23" t="str">
        <f aca="false">IF(B580="","","")</f>
        <v/>
      </c>
      <c r="J580" s="23" t="str">
        <f aca="false">IF(B580="","",IF(AND(ISNUMBER(Office_Log!Z180),N(Office_Log!Z180)&gt;N(Office_Log!Y180)),"range to "&amp;Office_Log!Z180&amp;" per month",""))</f>
        <v/>
      </c>
      <c r="K580" s="32" t="s">
        <v>1354</v>
      </c>
    </row>
    <row r="581" customFormat="false" ht="15" hidden="false" customHeight="false" outlineLevel="0" collapsed="false">
      <c r="A581" s="23" t="str">
        <f aca="false">IF(B581="","",B581+(3*1000+180)/10000000)</f>
        <v/>
      </c>
      <c r="B581" s="35" t="str">
        <f aca="false">IF(Office_Log!BR181=1,Office_Log!H181,"")</f>
        <v/>
      </c>
      <c r="C581" s="23" t="str">
        <f aca="false">IF(B581="","","office")</f>
        <v/>
      </c>
      <c r="D581" s="23" t="str">
        <f aca="false">IF(B581="","",Office_Log!ED181&amp;"")</f>
        <v/>
      </c>
      <c r="E581" s="23" t="str">
        <f aca="false">IF(B581="","",IF(Office_Log!B181="","",Office_Log!B181&amp;""))</f>
        <v/>
      </c>
      <c r="F581" s="23" t="str">
        <f aca="false">IF(B581="","","budget_probe")</f>
        <v/>
      </c>
      <c r="G581" s="23" t="str">
        <f aca="false">IF(B581="","",IF(ISNUMBER(Office_Log!Y181),Office_Log!Y181,""))</f>
        <v/>
      </c>
      <c r="H581" s="23" t="str">
        <f aca="false">IF(B581="","",IF(Office_Log!X181="","",Office_Log!X181&amp;""))</f>
        <v/>
      </c>
      <c r="I581" s="23" t="str">
        <f aca="false">IF(B581="","","")</f>
        <v/>
      </c>
      <c r="J581" s="23" t="str">
        <f aca="false">IF(B581="","",IF(AND(ISNUMBER(Office_Log!Z181),N(Office_Log!Z181)&gt;N(Office_Log!Y181)),"range to "&amp;Office_Log!Z181&amp;" per month",""))</f>
        <v/>
      </c>
      <c r="K581" s="32" t="s">
        <v>1354</v>
      </c>
    </row>
    <row r="582" customFormat="false" ht="15" hidden="false" customHeight="false" outlineLevel="0" collapsed="false">
      <c r="A582" s="23" t="str">
        <f aca="false">IF(B582="","",B582+(3*1000+181)/10000000)</f>
        <v/>
      </c>
      <c r="B582" s="35" t="str">
        <f aca="false">IF(Office_Log!BR182=1,Office_Log!H182,"")</f>
        <v/>
      </c>
      <c r="C582" s="23" t="str">
        <f aca="false">IF(B582="","","office")</f>
        <v/>
      </c>
      <c r="D582" s="23" t="str">
        <f aca="false">IF(B582="","",Office_Log!ED182&amp;"")</f>
        <v/>
      </c>
      <c r="E582" s="23" t="str">
        <f aca="false">IF(B582="","",IF(Office_Log!B182="","",Office_Log!B182&amp;""))</f>
        <v/>
      </c>
      <c r="F582" s="23" t="str">
        <f aca="false">IF(B582="","","budget_probe")</f>
        <v/>
      </c>
      <c r="G582" s="23" t="str">
        <f aca="false">IF(B582="","",IF(ISNUMBER(Office_Log!Y182),Office_Log!Y182,""))</f>
        <v/>
      </c>
      <c r="H582" s="23" t="str">
        <f aca="false">IF(B582="","",IF(Office_Log!X182="","",Office_Log!X182&amp;""))</f>
        <v/>
      </c>
      <c r="I582" s="23" t="str">
        <f aca="false">IF(B582="","","")</f>
        <v/>
      </c>
      <c r="J582" s="23" t="str">
        <f aca="false">IF(B582="","",IF(AND(ISNUMBER(Office_Log!Z182),N(Office_Log!Z182)&gt;N(Office_Log!Y182)),"range to "&amp;Office_Log!Z182&amp;" per month",""))</f>
        <v/>
      </c>
      <c r="K582" s="32" t="s">
        <v>1354</v>
      </c>
    </row>
    <row r="583" customFormat="false" ht="15" hidden="false" customHeight="false" outlineLevel="0" collapsed="false">
      <c r="A583" s="23" t="str">
        <f aca="false">IF(B583="","",B583+(3*1000+182)/10000000)</f>
        <v/>
      </c>
      <c r="B583" s="35" t="str">
        <f aca="false">IF(Office_Log!BR183=1,Office_Log!H183,"")</f>
        <v/>
      </c>
      <c r="C583" s="23" t="str">
        <f aca="false">IF(B583="","","office")</f>
        <v/>
      </c>
      <c r="D583" s="23" t="str">
        <f aca="false">IF(B583="","",Office_Log!ED183&amp;"")</f>
        <v/>
      </c>
      <c r="E583" s="23" t="str">
        <f aca="false">IF(B583="","",IF(Office_Log!B183="","",Office_Log!B183&amp;""))</f>
        <v/>
      </c>
      <c r="F583" s="23" t="str">
        <f aca="false">IF(B583="","","budget_probe")</f>
        <v/>
      </c>
      <c r="G583" s="23" t="str">
        <f aca="false">IF(B583="","",IF(ISNUMBER(Office_Log!Y183),Office_Log!Y183,""))</f>
        <v/>
      </c>
      <c r="H583" s="23" t="str">
        <f aca="false">IF(B583="","",IF(Office_Log!X183="","",Office_Log!X183&amp;""))</f>
        <v/>
      </c>
      <c r="I583" s="23" t="str">
        <f aca="false">IF(B583="","","")</f>
        <v/>
      </c>
      <c r="J583" s="23" t="str">
        <f aca="false">IF(B583="","",IF(AND(ISNUMBER(Office_Log!Z183),N(Office_Log!Z183)&gt;N(Office_Log!Y183)),"range to "&amp;Office_Log!Z183&amp;" per month",""))</f>
        <v/>
      </c>
      <c r="K583" s="32" t="s">
        <v>1354</v>
      </c>
    </row>
    <row r="584" customFormat="false" ht="15" hidden="false" customHeight="false" outlineLevel="0" collapsed="false">
      <c r="A584" s="23" t="str">
        <f aca="false">IF(B584="","",B584+(3*1000+183)/10000000)</f>
        <v/>
      </c>
      <c r="B584" s="35" t="str">
        <f aca="false">IF(Office_Log!BR184=1,Office_Log!H184,"")</f>
        <v/>
      </c>
      <c r="C584" s="23" t="str">
        <f aca="false">IF(B584="","","office")</f>
        <v/>
      </c>
      <c r="D584" s="23" t="str">
        <f aca="false">IF(B584="","",Office_Log!ED184&amp;"")</f>
        <v/>
      </c>
      <c r="E584" s="23" t="str">
        <f aca="false">IF(B584="","",IF(Office_Log!B184="","",Office_Log!B184&amp;""))</f>
        <v/>
      </c>
      <c r="F584" s="23" t="str">
        <f aca="false">IF(B584="","","budget_probe")</f>
        <v/>
      </c>
      <c r="G584" s="23" t="str">
        <f aca="false">IF(B584="","",IF(ISNUMBER(Office_Log!Y184),Office_Log!Y184,""))</f>
        <v/>
      </c>
      <c r="H584" s="23" t="str">
        <f aca="false">IF(B584="","",IF(Office_Log!X184="","",Office_Log!X184&amp;""))</f>
        <v/>
      </c>
      <c r="I584" s="23" t="str">
        <f aca="false">IF(B584="","","")</f>
        <v/>
      </c>
      <c r="J584" s="23" t="str">
        <f aca="false">IF(B584="","",IF(AND(ISNUMBER(Office_Log!Z184),N(Office_Log!Z184)&gt;N(Office_Log!Y184)),"range to "&amp;Office_Log!Z184&amp;" per month",""))</f>
        <v/>
      </c>
      <c r="K584" s="32" t="s">
        <v>1354</v>
      </c>
    </row>
    <row r="585" customFormat="false" ht="15" hidden="false" customHeight="false" outlineLevel="0" collapsed="false">
      <c r="A585" s="23" t="str">
        <f aca="false">IF(B585="","",B585+(3*1000+184)/10000000)</f>
        <v/>
      </c>
      <c r="B585" s="35" t="str">
        <f aca="false">IF(Office_Log!BR185=1,Office_Log!H185,"")</f>
        <v/>
      </c>
      <c r="C585" s="23" t="str">
        <f aca="false">IF(B585="","","office")</f>
        <v/>
      </c>
      <c r="D585" s="23" t="str">
        <f aca="false">IF(B585="","",Office_Log!ED185&amp;"")</f>
        <v/>
      </c>
      <c r="E585" s="23" t="str">
        <f aca="false">IF(B585="","",IF(Office_Log!B185="","",Office_Log!B185&amp;""))</f>
        <v/>
      </c>
      <c r="F585" s="23" t="str">
        <f aca="false">IF(B585="","","budget_probe")</f>
        <v/>
      </c>
      <c r="G585" s="23" t="str">
        <f aca="false">IF(B585="","",IF(ISNUMBER(Office_Log!Y185),Office_Log!Y185,""))</f>
        <v/>
      </c>
      <c r="H585" s="23" t="str">
        <f aca="false">IF(B585="","",IF(Office_Log!X185="","",Office_Log!X185&amp;""))</f>
        <v/>
      </c>
      <c r="I585" s="23" t="str">
        <f aca="false">IF(B585="","","")</f>
        <v/>
      </c>
      <c r="J585" s="23" t="str">
        <f aca="false">IF(B585="","",IF(AND(ISNUMBER(Office_Log!Z185),N(Office_Log!Z185)&gt;N(Office_Log!Y185)),"range to "&amp;Office_Log!Z185&amp;" per month",""))</f>
        <v/>
      </c>
      <c r="K585" s="32" t="s">
        <v>1354</v>
      </c>
    </row>
    <row r="586" customFormat="false" ht="15" hidden="false" customHeight="false" outlineLevel="0" collapsed="false">
      <c r="A586" s="23" t="str">
        <f aca="false">IF(B586="","",B586+(3*1000+185)/10000000)</f>
        <v/>
      </c>
      <c r="B586" s="35" t="str">
        <f aca="false">IF(Office_Log!BR186=1,Office_Log!H186,"")</f>
        <v/>
      </c>
      <c r="C586" s="23" t="str">
        <f aca="false">IF(B586="","","office")</f>
        <v/>
      </c>
      <c r="D586" s="23" t="str">
        <f aca="false">IF(B586="","",Office_Log!ED186&amp;"")</f>
        <v/>
      </c>
      <c r="E586" s="23" t="str">
        <f aca="false">IF(B586="","",IF(Office_Log!B186="","",Office_Log!B186&amp;""))</f>
        <v/>
      </c>
      <c r="F586" s="23" t="str">
        <f aca="false">IF(B586="","","budget_probe")</f>
        <v/>
      </c>
      <c r="G586" s="23" t="str">
        <f aca="false">IF(B586="","",IF(ISNUMBER(Office_Log!Y186),Office_Log!Y186,""))</f>
        <v/>
      </c>
      <c r="H586" s="23" t="str">
        <f aca="false">IF(B586="","",IF(Office_Log!X186="","",Office_Log!X186&amp;""))</f>
        <v/>
      </c>
      <c r="I586" s="23" t="str">
        <f aca="false">IF(B586="","","")</f>
        <v/>
      </c>
      <c r="J586" s="23" t="str">
        <f aca="false">IF(B586="","",IF(AND(ISNUMBER(Office_Log!Z186),N(Office_Log!Z186)&gt;N(Office_Log!Y186)),"range to "&amp;Office_Log!Z186&amp;" per month",""))</f>
        <v/>
      </c>
      <c r="K586" s="32" t="s">
        <v>1354</v>
      </c>
    </row>
    <row r="587" customFormat="false" ht="15" hidden="false" customHeight="false" outlineLevel="0" collapsed="false">
      <c r="A587" s="23" t="str">
        <f aca="false">IF(B587="","",B587+(3*1000+186)/10000000)</f>
        <v/>
      </c>
      <c r="B587" s="35" t="str">
        <f aca="false">IF(Office_Log!BR187=1,Office_Log!H187,"")</f>
        <v/>
      </c>
      <c r="C587" s="23" t="str">
        <f aca="false">IF(B587="","","office")</f>
        <v/>
      </c>
      <c r="D587" s="23" t="str">
        <f aca="false">IF(B587="","",Office_Log!ED187&amp;"")</f>
        <v/>
      </c>
      <c r="E587" s="23" t="str">
        <f aca="false">IF(B587="","",IF(Office_Log!B187="","",Office_Log!B187&amp;""))</f>
        <v/>
      </c>
      <c r="F587" s="23" t="str">
        <f aca="false">IF(B587="","","budget_probe")</f>
        <v/>
      </c>
      <c r="G587" s="23" t="str">
        <f aca="false">IF(B587="","",IF(ISNUMBER(Office_Log!Y187),Office_Log!Y187,""))</f>
        <v/>
      </c>
      <c r="H587" s="23" t="str">
        <f aca="false">IF(B587="","",IF(Office_Log!X187="","",Office_Log!X187&amp;""))</f>
        <v/>
      </c>
      <c r="I587" s="23" t="str">
        <f aca="false">IF(B587="","","")</f>
        <v/>
      </c>
      <c r="J587" s="23" t="str">
        <f aca="false">IF(B587="","",IF(AND(ISNUMBER(Office_Log!Z187),N(Office_Log!Z187)&gt;N(Office_Log!Y187)),"range to "&amp;Office_Log!Z187&amp;" per month",""))</f>
        <v/>
      </c>
      <c r="K587" s="32" t="s">
        <v>1354</v>
      </c>
    </row>
    <row r="588" customFormat="false" ht="15" hidden="false" customHeight="false" outlineLevel="0" collapsed="false">
      <c r="A588" s="23" t="str">
        <f aca="false">IF(B588="","",B588+(3*1000+187)/10000000)</f>
        <v/>
      </c>
      <c r="B588" s="35" t="str">
        <f aca="false">IF(Office_Log!BR188=1,Office_Log!H188,"")</f>
        <v/>
      </c>
      <c r="C588" s="23" t="str">
        <f aca="false">IF(B588="","","office")</f>
        <v/>
      </c>
      <c r="D588" s="23" t="str">
        <f aca="false">IF(B588="","",Office_Log!ED188&amp;"")</f>
        <v/>
      </c>
      <c r="E588" s="23" t="str">
        <f aca="false">IF(B588="","",IF(Office_Log!B188="","",Office_Log!B188&amp;""))</f>
        <v/>
      </c>
      <c r="F588" s="23" t="str">
        <f aca="false">IF(B588="","","budget_probe")</f>
        <v/>
      </c>
      <c r="G588" s="23" t="str">
        <f aca="false">IF(B588="","",IF(ISNUMBER(Office_Log!Y188),Office_Log!Y188,""))</f>
        <v/>
      </c>
      <c r="H588" s="23" t="str">
        <f aca="false">IF(B588="","",IF(Office_Log!X188="","",Office_Log!X188&amp;""))</f>
        <v/>
      </c>
      <c r="I588" s="23" t="str">
        <f aca="false">IF(B588="","","")</f>
        <v/>
      </c>
      <c r="J588" s="23" t="str">
        <f aca="false">IF(B588="","",IF(AND(ISNUMBER(Office_Log!Z188),N(Office_Log!Z188)&gt;N(Office_Log!Y188)),"range to "&amp;Office_Log!Z188&amp;" per month",""))</f>
        <v/>
      </c>
      <c r="K588" s="32" t="s">
        <v>1354</v>
      </c>
    </row>
    <row r="589" customFormat="false" ht="15" hidden="false" customHeight="false" outlineLevel="0" collapsed="false">
      <c r="A589" s="23" t="str">
        <f aca="false">IF(B589="","",B589+(3*1000+188)/10000000)</f>
        <v/>
      </c>
      <c r="B589" s="35" t="str">
        <f aca="false">IF(Office_Log!BR189=1,Office_Log!H189,"")</f>
        <v/>
      </c>
      <c r="C589" s="23" t="str">
        <f aca="false">IF(B589="","","office")</f>
        <v/>
      </c>
      <c r="D589" s="23" t="str">
        <f aca="false">IF(B589="","",Office_Log!ED189&amp;"")</f>
        <v/>
      </c>
      <c r="E589" s="23" t="str">
        <f aca="false">IF(B589="","",IF(Office_Log!B189="","",Office_Log!B189&amp;""))</f>
        <v/>
      </c>
      <c r="F589" s="23" t="str">
        <f aca="false">IF(B589="","","budget_probe")</f>
        <v/>
      </c>
      <c r="G589" s="23" t="str">
        <f aca="false">IF(B589="","",IF(ISNUMBER(Office_Log!Y189),Office_Log!Y189,""))</f>
        <v/>
      </c>
      <c r="H589" s="23" t="str">
        <f aca="false">IF(B589="","",IF(Office_Log!X189="","",Office_Log!X189&amp;""))</f>
        <v/>
      </c>
      <c r="I589" s="23" t="str">
        <f aca="false">IF(B589="","","")</f>
        <v/>
      </c>
      <c r="J589" s="23" t="str">
        <f aca="false">IF(B589="","",IF(AND(ISNUMBER(Office_Log!Z189),N(Office_Log!Z189)&gt;N(Office_Log!Y189)),"range to "&amp;Office_Log!Z189&amp;" per month",""))</f>
        <v/>
      </c>
      <c r="K589" s="32" t="s">
        <v>1354</v>
      </c>
    </row>
    <row r="590" customFormat="false" ht="15" hidden="false" customHeight="false" outlineLevel="0" collapsed="false">
      <c r="A590" s="23" t="str">
        <f aca="false">IF(B590="","",B590+(3*1000+189)/10000000)</f>
        <v/>
      </c>
      <c r="B590" s="35" t="str">
        <f aca="false">IF(Office_Log!BR190=1,Office_Log!H190,"")</f>
        <v/>
      </c>
      <c r="C590" s="23" t="str">
        <f aca="false">IF(B590="","","office")</f>
        <v/>
      </c>
      <c r="D590" s="23" t="str">
        <f aca="false">IF(B590="","",Office_Log!ED190&amp;"")</f>
        <v/>
      </c>
      <c r="E590" s="23" t="str">
        <f aca="false">IF(B590="","",IF(Office_Log!B190="","",Office_Log!B190&amp;""))</f>
        <v/>
      </c>
      <c r="F590" s="23" t="str">
        <f aca="false">IF(B590="","","budget_probe")</f>
        <v/>
      </c>
      <c r="G590" s="23" t="str">
        <f aca="false">IF(B590="","",IF(ISNUMBER(Office_Log!Y190),Office_Log!Y190,""))</f>
        <v/>
      </c>
      <c r="H590" s="23" t="str">
        <f aca="false">IF(B590="","",IF(Office_Log!X190="","",Office_Log!X190&amp;""))</f>
        <v/>
      </c>
      <c r="I590" s="23" t="str">
        <f aca="false">IF(B590="","","")</f>
        <v/>
      </c>
      <c r="J590" s="23" t="str">
        <f aca="false">IF(B590="","",IF(AND(ISNUMBER(Office_Log!Z190),N(Office_Log!Z190)&gt;N(Office_Log!Y190)),"range to "&amp;Office_Log!Z190&amp;" per month",""))</f>
        <v/>
      </c>
      <c r="K590" s="32" t="s">
        <v>1354</v>
      </c>
    </row>
    <row r="591" customFormat="false" ht="15" hidden="false" customHeight="false" outlineLevel="0" collapsed="false">
      <c r="A591" s="23" t="str">
        <f aca="false">IF(B591="","",B591+(3*1000+190)/10000000)</f>
        <v/>
      </c>
      <c r="B591" s="35" t="str">
        <f aca="false">IF(Office_Log!BR191=1,Office_Log!H191,"")</f>
        <v/>
      </c>
      <c r="C591" s="23" t="str">
        <f aca="false">IF(B591="","","office")</f>
        <v/>
      </c>
      <c r="D591" s="23" t="str">
        <f aca="false">IF(B591="","",Office_Log!ED191&amp;"")</f>
        <v/>
      </c>
      <c r="E591" s="23" t="str">
        <f aca="false">IF(B591="","",IF(Office_Log!B191="","",Office_Log!B191&amp;""))</f>
        <v/>
      </c>
      <c r="F591" s="23" t="str">
        <f aca="false">IF(B591="","","budget_probe")</f>
        <v/>
      </c>
      <c r="G591" s="23" t="str">
        <f aca="false">IF(B591="","",IF(ISNUMBER(Office_Log!Y191),Office_Log!Y191,""))</f>
        <v/>
      </c>
      <c r="H591" s="23" t="str">
        <f aca="false">IF(B591="","",IF(Office_Log!X191="","",Office_Log!X191&amp;""))</f>
        <v/>
      </c>
      <c r="I591" s="23" t="str">
        <f aca="false">IF(B591="","","")</f>
        <v/>
      </c>
      <c r="J591" s="23" t="str">
        <f aca="false">IF(B591="","",IF(AND(ISNUMBER(Office_Log!Z191),N(Office_Log!Z191)&gt;N(Office_Log!Y191)),"range to "&amp;Office_Log!Z191&amp;" per month",""))</f>
        <v/>
      </c>
      <c r="K591" s="32" t="s">
        <v>1354</v>
      </c>
    </row>
    <row r="592" customFormat="false" ht="15" hidden="false" customHeight="false" outlineLevel="0" collapsed="false">
      <c r="A592" s="23" t="str">
        <f aca="false">IF(B592="","",B592+(3*1000+191)/10000000)</f>
        <v/>
      </c>
      <c r="B592" s="35" t="str">
        <f aca="false">IF(Office_Log!BR192=1,Office_Log!H192,"")</f>
        <v/>
      </c>
      <c r="C592" s="23" t="str">
        <f aca="false">IF(B592="","","office")</f>
        <v/>
      </c>
      <c r="D592" s="23" t="str">
        <f aca="false">IF(B592="","",Office_Log!ED192&amp;"")</f>
        <v/>
      </c>
      <c r="E592" s="23" t="str">
        <f aca="false">IF(B592="","",IF(Office_Log!B192="","",Office_Log!B192&amp;""))</f>
        <v/>
      </c>
      <c r="F592" s="23" t="str">
        <f aca="false">IF(B592="","","budget_probe")</f>
        <v/>
      </c>
      <c r="G592" s="23" t="str">
        <f aca="false">IF(B592="","",IF(ISNUMBER(Office_Log!Y192),Office_Log!Y192,""))</f>
        <v/>
      </c>
      <c r="H592" s="23" t="str">
        <f aca="false">IF(B592="","",IF(Office_Log!X192="","",Office_Log!X192&amp;""))</f>
        <v/>
      </c>
      <c r="I592" s="23" t="str">
        <f aca="false">IF(B592="","","")</f>
        <v/>
      </c>
      <c r="J592" s="23" t="str">
        <f aca="false">IF(B592="","",IF(AND(ISNUMBER(Office_Log!Z192),N(Office_Log!Z192)&gt;N(Office_Log!Y192)),"range to "&amp;Office_Log!Z192&amp;" per month",""))</f>
        <v/>
      </c>
      <c r="K592" s="32" t="s">
        <v>1354</v>
      </c>
    </row>
    <row r="593" customFormat="false" ht="15" hidden="false" customHeight="false" outlineLevel="0" collapsed="false">
      <c r="A593" s="23" t="str">
        <f aca="false">IF(B593="","",B593+(3*1000+192)/10000000)</f>
        <v/>
      </c>
      <c r="B593" s="35" t="str">
        <f aca="false">IF(Office_Log!BR193=1,Office_Log!H193,"")</f>
        <v/>
      </c>
      <c r="C593" s="23" t="str">
        <f aca="false">IF(B593="","","office")</f>
        <v/>
      </c>
      <c r="D593" s="23" t="str">
        <f aca="false">IF(B593="","",Office_Log!ED193&amp;"")</f>
        <v/>
      </c>
      <c r="E593" s="23" t="str">
        <f aca="false">IF(B593="","",IF(Office_Log!B193="","",Office_Log!B193&amp;""))</f>
        <v/>
      </c>
      <c r="F593" s="23" t="str">
        <f aca="false">IF(B593="","","budget_probe")</f>
        <v/>
      </c>
      <c r="G593" s="23" t="str">
        <f aca="false">IF(B593="","",IF(ISNUMBER(Office_Log!Y193),Office_Log!Y193,""))</f>
        <v/>
      </c>
      <c r="H593" s="23" t="str">
        <f aca="false">IF(B593="","",IF(Office_Log!X193="","",Office_Log!X193&amp;""))</f>
        <v/>
      </c>
      <c r="I593" s="23" t="str">
        <f aca="false">IF(B593="","","")</f>
        <v/>
      </c>
      <c r="J593" s="23" t="str">
        <f aca="false">IF(B593="","",IF(AND(ISNUMBER(Office_Log!Z193),N(Office_Log!Z193)&gt;N(Office_Log!Y193)),"range to "&amp;Office_Log!Z193&amp;" per month",""))</f>
        <v/>
      </c>
      <c r="K593" s="32" t="s">
        <v>1354</v>
      </c>
    </row>
    <row r="594" customFormat="false" ht="15" hidden="false" customHeight="false" outlineLevel="0" collapsed="false">
      <c r="A594" s="23" t="str">
        <f aca="false">IF(B594="","",B594+(3*1000+193)/10000000)</f>
        <v/>
      </c>
      <c r="B594" s="35" t="str">
        <f aca="false">IF(Office_Log!BR194=1,Office_Log!H194,"")</f>
        <v/>
      </c>
      <c r="C594" s="23" t="str">
        <f aca="false">IF(B594="","","office")</f>
        <v/>
      </c>
      <c r="D594" s="23" t="str">
        <f aca="false">IF(B594="","",Office_Log!ED194&amp;"")</f>
        <v/>
      </c>
      <c r="E594" s="23" t="str">
        <f aca="false">IF(B594="","",IF(Office_Log!B194="","",Office_Log!B194&amp;""))</f>
        <v/>
      </c>
      <c r="F594" s="23" t="str">
        <f aca="false">IF(B594="","","budget_probe")</f>
        <v/>
      </c>
      <c r="G594" s="23" t="str">
        <f aca="false">IF(B594="","",IF(ISNUMBER(Office_Log!Y194),Office_Log!Y194,""))</f>
        <v/>
      </c>
      <c r="H594" s="23" t="str">
        <f aca="false">IF(B594="","",IF(Office_Log!X194="","",Office_Log!X194&amp;""))</f>
        <v/>
      </c>
      <c r="I594" s="23" t="str">
        <f aca="false">IF(B594="","","")</f>
        <v/>
      </c>
      <c r="J594" s="23" t="str">
        <f aca="false">IF(B594="","",IF(AND(ISNUMBER(Office_Log!Z194),N(Office_Log!Z194)&gt;N(Office_Log!Y194)),"range to "&amp;Office_Log!Z194&amp;" per month",""))</f>
        <v/>
      </c>
      <c r="K594" s="32" t="s">
        <v>1354</v>
      </c>
    </row>
    <row r="595" customFormat="false" ht="15" hidden="false" customHeight="false" outlineLevel="0" collapsed="false">
      <c r="A595" s="23" t="str">
        <f aca="false">IF(B595="","",B595+(3*1000+194)/10000000)</f>
        <v/>
      </c>
      <c r="B595" s="35" t="str">
        <f aca="false">IF(Office_Log!BR195=1,Office_Log!H195,"")</f>
        <v/>
      </c>
      <c r="C595" s="23" t="str">
        <f aca="false">IF(B595="","","office")</f>
        <v/>
      </c>
      <c r="D595" s="23" t="str">
        <f aca="false">IF(B595="","",Office_Log!ED195&amp;"")</f>
        <v/>
      </c>
      <c r="E595" s="23" t="str">
        <f aca="false">IF(B595="","",IF(Office_Log!B195="","",Office_Log!B195&amp;""))</f>
        <v/>
      </c>
      <c r="F595" s="23" t="str">
        <f aca="false">IF(B595="","","budget_probe")</f>
        <v/>
      </c>
      <c r="G595" s="23" t="str">
        <f aca="false">IF(B595="","",IF(ISNUMBER(Office_Log!Y195),Office_Log!Y195,""))</f>
        <v/>
      </c>
      <c r="H595" s="23" t="str">
        <f aca="false">IF(B595="","",IF(Office_Log!X195="","",Office_Log!X195&amp;""))</f>
        <v/>
      </c>
      <c r="I595" s="23" t="str">
        <f aca="false">IF(B595="","","")</f>
        <v/>
      </c>
      <c r="J595" s="23" t="str">
        <f aca="false">IF(B595="","",IF(AND(ISNUMBER(Office_Log!Z195),N(Office_Log!Z195)&gt;N(Office_Log!Y195)),"range to "&amp;Office_Log!Z195&amp;" per month",""))</f>
        <v/>
      </c>
      <c r="K595" s="32" t="s">
        <v>1354</v>
      </c>
    </row>
    <row r="596" customFormat="false" ht="15" hidden="false" customHeight="false" outlineLevel="0" collapsed="false">
      <c r="A596" s="23" t="str">
        <f aca="false">IF(B596="","",B596+(3*1000+195)/10000000)</f>
        <v/>
      </c>
      <c r="B596" s="35" t="str">
        <f aca="false">IF(Office_Log!BR196=1,Office_Log!H196,"")</f>
        <v/>
      </c>
      <c r="C596" s="23" t="str">
        <f aca="false">IF(B596="","","office")</f>
        <v/>
      </c>
      <c r="D596" s="23" t="str">
        <f aca="false">IF(B596="","",Office_Log!ED196&amp;"")</f>
        <v/>
      </c>
      <c r="E596" s="23" t="str">
        <f aca="false">IF(B596="","",IF(Office_Log!B196="","",Office_Log!B196&amp;""))</f>
        <v/>
      </c>
      <c r="F596" s="23" t="str">
        <f aca="false">IF(B596="","","budget_probe")</f>
        <v/>
      </c>
      <c r="G596" s="23" t="str">
        <f aca="false">IF(B596="","",IF(ISNUMBER(Office_Log!Y196),Office_Log!Y196,""))</f>
        <v/>
      </c>
      <c r="H596" s="23" t="str">
        <f aca="false">IF(B596="","",IF(Office_Log!X196="","",Office_Log!X196&amp;""))</f>
        <v/>
      </c>
      <c r="I596" s="23" t="str">
        <f aca="false">IF(B596="","","")</f>
        <v/>
      </c>
      <c r="J596" s="23" t="str">
        <f aca="false">IF(B596="","",IF(AND(ISNUMBER(Office_Log!Z196),N(Office_Log!Z196)&gt;N(Office_Log!Y196)),"range to "&amp;Office_Log!Z196&amp;" per month",""))</f>
        <v/>
      </c>
      <c r="K596" s="32" t="s">
        <v>1354</v>
      </c>
    </row>
    <row r="597" customFormat="false" ht="15" hidden="false" customHeight="false" outlineLevel="0" collapsed="false">
      <c r="A597" s="23" t="str">
        <f aca="false">IF(B597="","",B597+(3*1000+196)/10000000)</f>
        <v/>
      </c>
      <c r="B597" s="35" t="str">
        <f aca="false">IF(Office_Log!BR197=1,Office_Log!H197,"")</f>
        <v/>
      </c>
      <c r="C597" s="23" t="str">
        <f aca="false">IF(B597="","","office")</f>
        <v/>
      </c>
      <c r="D597" s="23" t="str">
        <f aca="false">IF(B597="","",Office_Log!ED197&amp;"")</f>
        <v/>
      </c>
      <c r="E597" s="23" t="str">
        <f aca="false">IF(B597="","",IF(Office_Log!B197="","",Office_Log!B197&amp;""))</f>
        <v/>
      </c>
      <c r="F597" s="23" t="str">
        <f aca="false">IF(B597="","","budget_probe")</f>
        <v/>
      </c>
      <c r="G597" s="23" t="str">
        <f aca="false">IF(B597="","",IF(ISNUMBER(Office_Log!Y197),Office_Log!Y197,""))</f>
        <v/>
      </c>
      <c r="H597" s="23" t="str">
        <f aca="false">IF(B597="","",IF(Office_Log!X197="","",Office_Log!X197&amp;""))</f>
        <v/>
      </c>
      <c r="I597" s="23" t="str">
        <f aca="false">IF(B597="","","")</f>
        <v/>
      </c>
      <c r="J597" s="23" t="str">
        <f aca="false">IF(B597="","",IF(AND(ISNUMBER(Office_Log!Z197),N(Office_Log!Z197)&gt;N(Office_Log!Y197)),"range to "&amp;Office_Log!Z197&amp;" per month",""))</f>
        <v/>
      </c>
      <c r="K597" s="32" t="s">
        <v>1354</v>
      </c>
    </row>
    <row r="598" customFormat="false" ht="15" hidden="false" customHeight="false" outlineLevel="0" collapsed="false">
      <c r="A598" s="23" t="str">
        <f aca="false">IF(B598="","",B598+(3*1000+197)/10000000)</f>
        <v/>
      </c>
      <c r="B598" s="35" t="str">
        <f aca="false">IF(Office_Log!BR198=1,Office_Log!H198,"")</f>
        <v/>
      </c>
      <c r="C598" s="23" t="str">
        <f aca="false">IF(B598="","","office")</f>
        <v/>
      </c>
      <c r="D598" s="23" t="str">
        <f aca="false">IF(B598="","",Office_Log!ED198&amp;"")</f>
        <v/>
      </c>
      <c r="E598" s="23" t="str">
        <f aca="false">IF(B598="","",IF(Office_Log!B198="","",Office_Log!B198&amp;""))</f>
        <v/>
      </c>
      <c r="F598" s="23" t="str">
        <f aca="false">IF(B598="","","budget_probe")</f>
        <v/>
      </c>
      <c r="G598" s="23" t="str">
        <f aca="false">IF(B598="","",IF(ISNUMBER(Office_Log!Y198),Office_Log!Y198,""))</f>
        <v/>
      </c>
      <c r="H598" s="23" t="str">
        <f aca="false">IF(B598="","",IF(Office_Log!X198="","",Office_Log!X198&amp;""))</f>
        <v/>
      </c>
      <c r="I598" s="23" t="str">
        <f aca="false">IF(B598="","","")</f>
        <v/>
      </c>
      <c r="J598" s="23" t="str">
        <f aca="false">IF(B598="","",IF(AND(ISNUMBER(Office_Log!Z198),N(Office_Log!Z198)&gt;N(Office_Log!Y198)),"range to "&amp;Office_Log!Z198&amp;" per month",""))</f>
        <v/>
      </c>
      <c r="K598" s="32" t="s">
        <v>1354</v>
      </c>
    </row>
    <row r="599" customFormat="false" ht="15" hidden="false" customHeight="false" outlineLevel="0" collapsed="false">
      <c r="A599" s="23" t="str">
        <f aca="false">IF(B599="","",B599+(3*1000+198)/10000000)</f>
        <v/>
      </c>
      <c r="B599" s="35" t="str">
        <f aca="false">IF(Office_Log!BR199=1,Office_Log!H199,"")</f>
        <v/>
      </c>
      <c r="C599" s="23" t="str">
        <f aca="false">IF(B599="","","office")</f>
        <v/>
      </c>
      <c r="D599" s="23" t="str">
        <f aca="false">IF(B599="","",Office_Log!ED199&amp;"")</f>
        <v/>
      </c>
      <c r="E599" s="23" t="str">
        <f aca="false">IF(B599="","",IF(Office_Log!B199="","",Office_Log!B199&amp;""))</f>
        <v/>
      </c>
      <c r="F599" s="23" t="str">
        <f aca="false">IF(B599="","","budget_probe")</f>
        <v/>
      </c>
      <c r="G599" s="23" t="str">
        <f aca="false">IF(B599="","",IF(ISNUMBER(Office_Log!Y199),Office_Log!Y199,""))</f>
        <v/>
      </c>
      <c r="H599" s="23" t="str">
        <f aca="false">IF(B599="","",IF(Office_Log!X199="","",Office_Log!X199&amp;""))</f>
        <v/>
      </c>
      <c r="I599" s="23" t="str">
        <f aca="false">IF(B599="","","")</f>
        <v/>
      </c>
      <c r="J599" s="23" t="str">
        <f aca="false">IF(B599="","",IF(AND(ISNUMBER(Office_Log!Z199),N(Office_Log!Z199)&gt;N(Office_Log!Y199)),"range to "&amp;Office_Log!Z199&amp;" per month",""))</f>
        <v/>
      </c>
      <c r="K599" s="32" t="s">
        <v>1354</v>
      </c>
    </row>
    <row r="600" customFormat="false" ht="15" hidden="false" customHeight="false" outlineLevel="0" collapsed="false">
      <c r="A600" s="23" t="str">
        <f aca="false">IF(B600="","",B600+(3*1000+199)/10000000)</f>
        <v/>
      </c>
      <c r="B600" s="35" t="str">
        <f aca="false">IF(Office_Log!BR200=1,Office_Log!H200,"")</f>
        <v/>
      </c>
      <c r="C600" s="23" t="str">
        <f aca="false">IF(B600="","","office")</f>
        <v/>
      </c>
      <c r="D600" s="23" t="str">
        <f aca="false">IF(B600="","",Office_Log!ED200&amp;"")</f>
        <v/>
      </c>
      <c r="E600" s="23" t="str">
        <f aca="false">IF(B600="","",IF(Office_Log!B200="","",Office_Log!B200&amp;""))</f>
        <v/>
      </c>
      <c r="F600" s="23" t="str">
        <f aca="false">IF(B600="","","budget_probe")</f>
        <v/>
      </c>
      <c r="G600" s="23" t="str">
        <f aca="false">IF(B600="","",IF(ISNUMBER(Office_Log!Y200),Office_Log!Y200,""))</f>
        <v/>
      </c>
      <c r="H600" s="23" t="str">
        <f aca="false">IF(B600="","",IF(Office_Log!X200="","",Office_Log!X200&amp;""))</f>
        <v/>
      </c>
      <c r="I600" s="23" t="str">
        <f aca="false">IF(B600="","","")</f>
        <v/>
      </c>
      <c r="J600" s="23" t="str">
        <f aca="false">IF(B600="","",IF(AND(ISNUMBER(Office_Log!Z200),N(Office_Log!Z200)&gt;N(Office_Log!Y200)),"range to "&amp;Office_Log!Z200&amp;" per month",""))</f>
        <v/>
      </c>
      <c r="K600" s="32" t="s">
        <v>1354</v>
      </c>
    </row>
    <row r="601" customFormat="false" ht="15" hidden="false" customHeight="false" outlineLevel="0" collapsed="false">
      <c r="A601" s="23" t="str">
        <f aca="false">IF(B601="","",B601+(3*1000+200)/10000000)</f>
        <v/>
      </c>
      <c r="B601" s="35" t="str">
        <f aca="false">IF(Office_Log!BR201=1,Office_Log!H201,"")</f>
        <v/>
      </c>
      <c r="C601" s="23" t="str">
        <f aca="false">IF(B601="","","office")</f>
        <v/>
      </c>
      <c r="D601" s="23" t="str">
        <f aca="false">IF(B601="","",Office_Log!ED201&amp;"")</f>
        <v/>
      </c>
      <c r="E601" s="23" t="str">
        <f aca="false">IF(B601="","",IF(Office_Log!B201="","",Office_Log!B201&amp;""))</f>
        <v/>
      </c>
      <c r="F601" s="23" t="str">
        <f aca="false">IF(B601="","","budget_probe")</f>
        <v/>
      </c>
      <c r="G601" s="23" t="str">
        <f aca="false">IF(B601="","",IF(ISNUMBER(Office_Log!Y201),Office_Log!Y201,""))</f>
        <v/>
      </c>
      <c r="H601" s="23" t="str">
        <f aca="false">IF(B601="","",IF(Office_Log!X201="","",Office_Log!X201&amp;""))</f>
        <v/>
      </c>
      <c r="I601" s="23" t="str">
        <f aca="false">IF(B601="","","")</f>
        <v/>
      </c>
      <c r="J601" s="23" t="str">
        <f aca="false">IF(B601="","",IF(AND(ISNUMBER(Office_Log!Z201),N(Office_Log!Z201)&gt;N(Office_Log!Y201)),"range to "&amp;Office_Log!Z201&amp;" per month",""))</f>
        <v/>
      </c>
      <c r="K601" s="32" t="s">
        <v>1354</v>
      </c>
    </row>
    <row r="602" customFormat="false" ht="15" hidden="false" customHeight="false" outlineLevel="0" collapsed="false">
      <c r="A602" s="42" t="n">
        <f aca="false">IF(B602="","",B602+(4*1000+1)/10000000)</f>
        <v>46322.0004001</v>
      </c>
      <c r="B602" s="35" t="n">
        <f aca="false">IF(Brand_Log!AY2=1,Brand_Log!H2,"")</f>
        <v>46322</v>
      </c>
      <c r="C602" s="23" t="str">
        <f aca="false">IF(B602="","","brand")</f>
        <v>brand</v>
      </c>
      <c r="D602" s="23" t="str">
        <f aca="false">IF(B602="","",Brand_Log!DV2&amp;"")</f>
        <v>SAMPLE-B-001</v>
      </c>
      <c r="E602" s="23" t="str">
        <f aca="false">IF(B602="","",IF(Brand_Log!B2="","",Brand_Log!B2&amp;""))</f>
        <v>SAMPLE Brand 01</v>
      </c>
      <c r="F602" s="23" t="str">
        <f aca="false">IF(B602="","","conversation")</f>
        <v>conversation</v>
      </c>
      <c r="G602" s="23" t="str">
        <f aca="false">IF(B602="","","")</f>
        <v/>
      </c>
      <c r="H602" s="23" t="str">
        <f aca="false">IF(B602="","","")</f>
        <v/>
      </c>
      <c r="I602" s="23" t="str">
        <f aca="false">IF(B602="","","")</f>
        <v/>
      </c>
      <c r="J602" s="23" t="str">
        <f aca="false">IF(B602="","",IF(Brand_Log!I2="","",Brand_Log!I2&amp;""))</f>
        <v>video</v>
      </c>
      <c r="K602" s="32" t="s">
        <v>1355</v>
      </c>
    </row>
    <row r="603" customFormat="false" ht="15" hidden="false" customHeight="false" outlineLevel="0" collapsed="false">
      <c r="A603" s="42" t="n">
        <f aca="false">IF(B603="","",B603+(4*1000+2)/10000000)</f>
        <v>46323.0004002</v>
      </c>
      <c r="B603" s="35" t="n">
        <f aca="false">IF(Brand_Log!AY3=1,Brand_Log!H3,"")</f>
        <v>46323</v>
      </c>
      <c r="C603" s="23" t="str">
        <f aca="false">IF(B603="","","brand")</f>
        <v>brand</v>
      </c>
      <c r="D603" s="23" t="str">
        <f aca="false">IF(B603="","",Brand_Log!DV3&amp;"")</f>
        <v>SAMPLE-B-002</v>
      </c>
      <c r="E603" s="23" t="str">
        <f aca="false">IF(B603="","",IF(Brand_Log!B3="","",Brand_Log!B3&amp;""))</f>
        <v>SAMPLE Brand 02</v>
      </c>
      <c r="F603" s="23" t="str">
        <f aca="false">IF(B603="","","conversation")</f>
        <v>conversation</v>
      </c>
      <c r="G603" s="23" t="str">
        <f aca="false">IF(B603="","","")</f>
        <v/>
      </c>
      <c r="H603" s="23" t="str">
        <f aca="false">IF(B603="","","")</f>
        <v/>
      </c>
      <c r="I603" s="23" t="str">
        <f aca="false">IF(B603="","","")</f>
        <v/>
      </c>
      <c r="J603" s="23" t="str">
        <f aca="false">IF(B603="","",IF(Brand_Log!I3="","",Brand_Log!I3&amp;""))</f>
        <v>video</v>
      </c>
      <c r="K603" s="32" t="s">
        <v>1355</v>
      </c>
    </row>
    <row r="604" customFormat="false" ht="15" hidden="false" customHeight="false" outlineLevel="0" collapsed="false">
      <c r="A604" s="42" t="n">
        <f aca="false">IF(B604="","",B604+(4*1000+3)/10000000)</f>
        <v>46324.0004003</v>
      </c>
      <c r="B604" s="35" t="n">
        <f aca="false">IF(Brand_Log!AY4=1,Brand_Log!H4,"")</f>
        <v>46324</v>
      </c>
      <c r="C604" s="23" t="str">
        <f aca="false">IF(B604="","","brand")</f>
        <v>brand</v>
      </c>
      <c r="D604" s="23" t="str">
        <f aca="false">IF(B604="","",Brand_Log!DV4&amp;"")</f>
        <v>SAMPLE-B-003</v>
      </c>
      <c r="E604" s="23" t="str">
        <f aca="false">IF(B604="","",IF(Brand_Log!B4="","",Brand_Log!B4&amp;""))</f>
        <v>SAMPLE Brand 03</v>
      </c>
      <c r="F604" s="23" t="str">
        <f aca="false">IF(B604="","","conversation")</f>
        <v>conversation</v>
      </c>
      <c r="G604" s="23" t="str">
        <f aca="false">IF(B604="","","")</f>
        <v/>
      </c>
      <c r="H604" s="23" t="str">
        <f aca="false">IF(B604="","","")</f>
        <v/>
      </c>
      <c r="I604" s="23" t="str">
        <f aca="false">IF(B604="","","")</f>
        <v/>
      </c>
      <c r="J604" s="23" t="str">
        <f aca="false">IF(B604="","",IF(Brand_Log!I4="","",Brand_Log!I4&amp;""))</f>
        <v>video</v>
      </c>
      <c r="K604" s="32" t="s">
        <v>1355</v>
      </c>
    </row>
    <row r="605" customFormat="false" ht="15" hidden="false" customHeight="false" outlineLevel="0" collapsed="false">
      <c r="A605" s="42" t="n">
        <f aca="false">IF(B605="","",B605+(4*1000+4)/10000000)</f>
        <v>46328.0004004</v>
      </c>
      <c r="B605" s="35" t="n">
        <f aca="false">IF(Brand_Log!AY5=1,Brand_Log!H5,"")</f>
        <v>46328</v>
      </c>
      <c r="C605" s="23" t="str">
        <f aca="false">IF(B605="","","brand")</f>
        <v>brand</v>
      </c>
      <c r="D605" s="23" t="str">
        <f aca="false">IF(B605="","",Brand_Log!DV5&amp;"")</f>
        <v>SAMPLE-B-004</v>
      </c>
      <c r="E605" s="23" t="str">
        <f aca="false">IF(B605="","",IF(Brand_Log!B5="","",Brand_Log!B5&amp;""))</f>
        <v>SAMPLE Brand 04</v>
      </c>
      <c r="F605" s="23" t="str">
        <f aca="false">IF(B605="","","conversation")</f>
        <v>conversation</v>
      </c>
      <c r="G605" s="23" t="str">
        <f aca="false">IF(B605="","","")</f>
        <v/>
      </c>
      <c r="H605" s="23" t="str">
        <f aca="false">IF(B605="","","")</f>
        <v/>
      </c>
      <c r="I605" s="23" t="str">
        <f aca="false">IF(B605="","","")</f>
        <v/>
      </c>
      <c r="J605" s="23" t="str">
        <f aca="false">IF(B605="","",IF(Brand_Log!I5="","",Brand_Log!I5&amp;""))</f>
        <v>video</v>
      </c>
      <c r="K605" s="32" t="s">
        <v>1355</v>
      </c>
    </row>
    <row r="606" customFormat="false" ht="15" hidden="false" customHeight="false" outlineLevel="0" collapsed="false">
      <c r="A606" s="42" t="n">
        <f aca="false">IF(B606="","",B606+(4*1000+5)/10000000)</f>
        <v>46329.0004005</v>
      </c>
      <c r="B606" s="35" t="n">
        <f aca="false">IF(Brand_Log!AY6=1,Brand_Log!H6,"")</f>
        <v>46329</v>
      </c>
      <c r="C606" s="23" t="str">
        <f aca="false">IF(B606="","","brand")</f>
        <v>brand</v>
      </c>
      <c r="D606" s="23" t="str">
        <f aca="false">IF(B606="","",Brand_Log!DV6&amp;"")</f>
        <v>SAMPLE-B-005</v>
      </c>
      <c r="E606" s="23" t="str">
        <f aca="false">IF(B606="","",IF(Brand_Log!B6="","",Brand_Log!B6&amp;""))</f>
        <v>SAMPLE Brand 05</v>
      </c>
      <c r="F606" s="23" t="str">
        <f aca="false">IF(B606="","","conversation")</f>
        <v>conversation</v>
      </c>
      <c r="G606" s="23" t="str">
        <f aca="false">IF(B606="","","")</f>
        <v/>
      </c>
      <c r="H606" s="23" t="str">
        <f aca="false">IF(B606="","","")</f>
        <v/>
      </c>
      <c r="I606" s="23" t="str">
        <f aca="false">IF(B606="","","")</f>
        <v/>
      </c>
      <c r="J606" s="23" t="str">
        <f aca="false">IF(B606="","",IF(Brand_Log!I6="","",Brand_Log!I6&amp;""))</f>
        <v>video</v>
      </c>
      <c r="K606" s="32" t="s">
        <v>1355</v>
      </c>
    </row>
    <row r="607" customFormat="false" ht="15" hidden="false" customHeight="false" outlineLevel="0" collapsed="false">
      <c r="A607" s="42" t="n">
        <f aca="false">IF(B607="","",B607+(4*1000+6)/10000000)</f>
        <v>46330.0004006</v>
      </c>
      <c r="B607" s="35" t="n">
        <f aca="false">IF(Brand_Log!AY7=1,Brand_Log!H7,"")</f>
        <v>46330</v>
      </c>
      <c r="C607" s="23" t="str">
        <f aca="false">IF(B607="","","brand")</f>
        <v>brand</v>
      </c>
      <c r="D607" s="23" t="str">
        <f aca="false">IF(B607="","",Brand_Log!DV7&amp;"")</f>
        <v>SAMPLE-B-006</v>
      </c>
      <c r="E607" s="23" t="str">
        <f aca="false">IF(B607="","",IF(Brand_Log!B7="","",Brand_Log!B7&amp;""))</f>
        <v>SAMPLE Brand 06</v>
      </c>
      <c r="F607" s="23" t="str">
        <f aca="false">IF(B607="","","conversation")</f>
        <v>conversation</v>
      </c>
      <c r="G607" s="23" t="str">
        <f aca="false">IF(B607="","","")</f>
        <v/>
      </c>
      <c r="H607" s="23" t="str">
        <f aca="false">IF(B607="","","")</f>
        <v/>
      </c>
      <c r="I607" s="23" t="str">
        <f aca="false">IF(B607="","","")</f>
        <v/>
      </c>
      <c r="J607" s="23" t="str">
        <f aca="false">IF(B607="","",IF(Brand_Log!I7="","",Brand_Log!I7&amp;""))</f>
        <v>video</v>
      </c>
      <c r="K607" s="32" t="s">
        <v>1355</v>
      </c>
    </row>
    <row r="608" customFormat="false" ht="15" hidden="false" customHeight="false" outlineLevel="0" collapsed="false">
      <c r="A608" s="42" t="n">
        <f aca="false">IF(B608="","",B608+(4*1000+7)/10000000)</f>
        <v>46331.0004007</v>
      </c>
      <c r="B608" s="35" t="n">
        <f aca="false">IF(Brand_Log!AY8=1,Brand_Log!H8,"")</f>
        <v>46331</v>
      </c>
      <c r="C608" s="23" t="str">
        <f aca="false">IF(B608="","","brand")</f>
        <v>brand</v>
      </c>
      <c r="D608" s="23" t="str">
        <f aca="false">IF(B608="","",Brand_Log!DV8&amp;"")</f>
        <v>SAMPLE-B-007</v>
      </c>
      <c r="E608" s="23" t="str">
        <f aca="false">IF(B608="","",IF(Brand_Log!B8="","",Brand_Log!B8&amp;""))</f>
        <v>SAMPLE Brand 07</v>
      </c>
      <c r="F608" s="23" t="str">
        <f aca="false">IF(B608="","","conversation")</f>
        <v>conversation</v>
      </c>
      <c r="G608" s="23" t="str">
        <f aca="false">IF(B608="","","")</f>
        <v/>
      </c>
      <c r="H608" s="23" t="str">
        <f aca="false">IF(B608="","","")</f>
        <v/>
      </c>
      <c r="I608" s="23" t="str">
        <f aca="false">IF(B608="","","")</f>
        <v/>
      </c>
      <c r="J608" s="23" t="str">
        <f aca="false">IF(B608="","",IF(Brand_Log!I8="","",Brand_Log!I8&amp;""))</f>
        <v>video</v>
      </c>
      <c r="K608" s="32" t="s">
        <v>1355</v>
      </c>
    </row>
    <row r="609" customFormat="false" ht="15" hidden="false" customHeight="false" outlineLevel="0" collapsed="false">
      <c r="A609" s="42" t="n">
        <f aca="false">IF(B609="","",B609+(4*1000+8)/10000000)</f>
        <v>46335.0004008</v>
      </c>
      <c r="B609" s="35" t="n">
        <f aca="false">IF(Brand_Log!AY9=1,Brand_Log!H9,"")</f>
        <v>46335</v>
      </c>
      <c r="C609" s="23" t="str">
        <f aca="false">IF(B609="","","brand")</f>
        <v>brand</v>
      </c>
      <c r="D609" s="23" t="str">
        <f aca="false">IF(B609="","",Brand_Log!DV9&amp;"")</f>
        <v>SAMPLE-B-008</v>
      </c>
      <c r="E609" s="23" t="str">
        <f aca="false">IF(B609="","",IF(Brand_Log!B9="","",Brand_Log!B9&amp;""))</f>
        <v>SAMPLE Brand 08</v>
      </c>
      <c r="F609" s="23" t="str">
        <f aca="false">IF(B609="","","conversation")</f>
        <v>conversation</v>
      </c>
      <c r="G609" s="23" t="str">
        <f aca="false">IF(B609="","","")</f>
        <v/>
      </c>
      <c r="H609" s="23" t="str">
        <f aca="false">IF(B609="","","")</f>
        <v/>
      </c>
      <c r="I609" s="23" t="str">
        <f aca="false">IF(B609="","","")</f>
        <v/>
      </c>
      <c r="J609" s="23" t="str">
        <f aca="false">IF(B609="","",IF(Brand_Log!I9="","",Brand_Log!I9&amp;""))</f>
        <v>video</v>
      </c>
      <c r="K609" s="32" t="s">
        <v>1355</v>
      </c>
    </row>
    <row r="610" customFormat="false" ht="15" hidden="false" customHeight="false" outlineLevel="0" collapsed="false">
      <c r="A610" s="42" t="n">
        <f aca="false">IF(B610="","",B610+(4*1000+9)/10000000)</f>
        <v>46336.0004009</v>
      </c>
      <c r="B610" s="35" t="n">
        <f aca="false">IF(Brand_Log!AY10=1,Brand_Log!H10,"")</f>
        <v>46336</v>
      </c>
      <c r="C610" s="23" t="str">
        <f aca="false">IF(B610="","","brand")</f>
        <v>brand</v>
      </c>
      <c r="D610" s="23" t="str">
        <f aca="false">IF(B610="","",Brand_Log!DV10&amp;"")</f>
        <v>SAMPLE-B-009</v>
      </c>
      <c r="E610" s="23" t="str">
        <f aca="false">IF(B610="","",IF(Brand_Log!B10="","",Brand_Log!B10&amp;""))</f>
        <v>SAMPLE Brand 09</v>
      </c>
      <c r="F610" s="23" t="str">
        <f aca="false">IF(B610="","","conversation")</f>
        <v>conversation</v>
      </c>
      <c r="G610" s="23" t="str">
        <f aca="false">IF(B610="","","")</f>
        <v/>
      </c>
      <c r="H610" s="23" t="str">
        <f aca="false">IF(B610="","","")</f>
        <v/>
      </c>
      <c r="I610" s="23" t="str">
        <f aca="false">IF(B610="","","")</f>
        <v/>
      </c>
      <c r="J610" s="23" t="str">
        <f aca="false">IF(B610="","",IF(Brand_Log!I10="","",Brand_Log!I10&amp;""))</f>
        <v>video</v>
      </c>
      <c r="K610" s="32" t="s">
        <v>1355</v>
      </c>
    </row>
    <row r="611" customFormat="false" ht="15" hidden="false" customHeight="false" outlineLevel="0" collapsed="false">
      <c r="A611" s="42" t="n">
        <f aca="false">IF(B611="","",B611+(4*1000+10)/10000000)</f>
        <v>46337.000401</v>
      </c>
      <c r="B611" s="35" t="n">
        <f aca="false">IF(Brand_Log!AY11=1,Brand_Log!H11,"")</f>
        <v>46337</v>
      </c>
      <c r="C611" s="23" t="str">
        <f aca="false">IF(B611="","","brand")</f>
        <v>brand</v>
      </c>
      <c r="D611" s="23" t="str">
        <f aca="false">IF(B611="","",Brand_Log!DV11&amp;"")</f>
        <v>SAMPLE-B-010</v>
      </c>
      <c r="E611" s="23" t="str">
        <f aca="false">IF(B611="","",IF(Brand_Log!B11="","",Brand_Log!B11&amp;""))</f>
        <v>SAMPLE Brand 10</v>
      </c>
      <c r="F611" s="23" t="str">
        <f aca="false">IF(B611="","","conversation")</f>
        <v>conversation</v>
      </c>
      <c r="G611" s="23" t="str">
        <f aca="false">IF(B611="","","")</f>
        <v/>
      </c>
      <c r="H611" s="23" t="str">
        <f aca="false">IF(B611="","","")</f>
        <v/>
      </c>
      <c r="I611" s="23" t="str">
        <f aca="false">IF(B611="","","")</f>
        <v/>
      </c>
      <c r="J611" s="23" t="str">
        <f aca="false">IF(B611="","",IF(Brand_Log!I11="","",Brand_Log!I11&amp;""))</f>
        <v>video</v>
      </c>
      <c r="K611" s="32" t="s">
        <v>1355</v>
      </c>
    </row>
    <row r="612" customFormat="false" ht="15" hidden="false" customHeight="false" outlineLevel="0" collapsed="false">
      <c r="A612" s="42" t="n">
        <f aca="false">IF(B612="","",B612+(4*1000+11)/10000000)</f>
        <v>46338.0004011</v>
      </c>
      <c r="B612" s="35" t="n">
        <f aca="false">IF(Brand_Log!AY12=1,Brand_Log!H12,"")</f>
        <v>46338</v>
      </c>
      <c r="C612" s="23" t="str">
        <f aca="false">IF(B612="","","brand")</f>
        <v>brand</v>
      </c>
      <c r="D612" s="23" t="str">
        <f aca="false">IF(B612="","",Brand_Log!DV12&amp;"")</f>
        <v>SAMPLE-B-011</v>
      </c>
      <c r="E612" s="23" t="str">
        <f aca="false">IF(B612="","",IF(Brand_Log!B12="","",Brand_Log!B12&amp;""))</f>
        <v>SAMPLE Brand 11</v>
      </c>
      <c r="F612" s="23" t="str">
        <f aca="false">IF(B612="","","conversation")</f>
        <v>conversation</v>
      </c>
      <c r="G612" s="23" t="str">
        <f aca="false">IF(B612="","","")</f>
        <v/>
      </c>
      <c r="H612" s="23" t="str">
        <f aca="false">IF(B612="","","")</f>
        <v/>
      </c>
      <c r="I612" s="23" t="str">
        <f aca="false">IF(B612="","","")</f>
        <v/>
      </c>
      <c r="J612" s="23" t="str">
        <f aca="false">IF(B612="","",IF(Brand_Log!I12="","",Brand_Log!I12&amp;""))</f>
        <v>video</v>
      </c>
      <c r="K612" s="32" t="s">
        <v>1355</v>
      </c>
    </row>
    <row r="613" customFormat="false" ht="15" hidden="false" customHeight="false" outlineLevel="0" collapsed="false">
      <c r="A613" s="42" t="n">
        <f aca="false">IF(B613="","",B613+(4*1000+12)/10000000)</f>
        <v>46338.0004012</v>
      </c>
      <c r="B613" s="35" t="n">
        <f aca="false">IF(Brand_Log!AY13=1,Brand_Log!H13,"")</f>
        <v>46338</v>
      </c>
      <c r="C613" s="23" t="str">
        <f aca="false">IF(B613="","","brand")</f>
        <v>brand</v>
      </c>
      <c r="D613" s="23" t="str">
        <f aca="false">IF(B613="","",Brand_Log!DV13&amp;"")</f>
        <v>SAMPLE-B-002</v>
      </c>
      <c r="E613" s="23" t="str">
        <f aca="false">IF(B613="","",IF(Brand_Log!B13="","",Brand_Log!B13&amp;""))</f>
        <v>SAMPLE Brand 02</v>
      </c>
      <c r="F613" s="23" t="str">
        <f aca="false">IF(B613="","","conversation")</f>
        <v>conversation</v>
      </c>
      <c r="G613" s="23" t="str">
        <f aca="false">IF(B613="","","")</f>
        <v/>
      </c>
      <c r="H613" s="23" t="str">
        <f aca="false">IF(B613="","","")</f>
        <v/>
      </c>
      <c r="I613" s="23" t="str">
        <f aca="false">IF(B613="","","")</f>
        <v/>
      </c>
      <c r="J613" s="23" t="str">
        <f aca="false">IF(B613="","",IF(Brand_Log!I13="","",Brand_Log!I13&amp;""))</f>
        <v>video</v>
      </c>
      <c r="K613" s="32" t="s">
        <v>1355</v>
      </c>
    </row>
    <row r="614" customFormat="false" ht="15" hidden="false" customHeight="false" outlineLevel="0" collapsed="false">
      <c r="A614" s="42" t="n">
        <f aca="false">IF(B614="","",B614+(4*1000+13)/10000000)</f>
        <v>46339.0004013</v>
      </c>
      <c r="B614" s="35" t="n">
        <f aca="false">IF(Brand_Log!AY14=1,Brand_Log!H14,"")</f>
        <v>46339</v>
      </c>
      <c r="C614" s="23" t="str">
        <f aca="false">IF(B614="","","brand")</f>
        <v>brand</v>
      </c>
      <c r="D614" s="23" t="str">
        <f aca="false">IF(B614="","",Brand_Log!DV14&amp;"")</f>
        <v>SAMPLE-B-012</v>
      </c>
      <c r="E614" s="23" t="str">
        <f aca="false">IF(B614="","",IF(Brand_Log!B14="","",Brand_Log!B14&amp;""))</f>
        <v>SAMPLE Brand 12</v>
      </c>
      <c r="F614" s="23" t="str">
        <f aca="false">IF(B614="","","conversation")</f>
        <v>conversation</v>
      </c>
      <c r="G614" s="23" t="str">
        <f aca="false">IF(B614="","","")</f>
        <v/>
      </c>
      <c r="H614" s="23" t="str">
        <f aca="false">IF(B614="","","")</f>
        <v/>
      </c>
      <c r="I614" s="23" t="str">
        <f aca="false">IF(B614="","","")</f>
        <v/>
      </c>
      <c r="J614" s="23" t="str">
        <f aca="false">IF(B614="","",IF(Brand_Log!I14="","",Brand_Log!I14&amp;""))</f>
        <v>video</v>
      </c>
      <c r="K614" s="32" t="s">
        <v>1355</v>
      </c>
    </row>
    <row r="615" customFormat="false" ht="15" hidden="false" customHeight="false" outlineLevel="0" collapsed="false">
      <c r="A615" s="42" t="n">
        <f aca="false">IF(B615="","",B615+(4*1000+14)/10000000)</f>
        <v>46339.0004014</v>
      </c>
      <c r="B615" s="35" t="n">
        <f aca="false">IF(Brand_Log!AY15=1,Brand_Log!H15,"")</f>
        <v>46339</v>
      </c>
      <c r="C615" s="23" t="str">
        <f aca="false">IF(B615="","","brand")</f>
        <v>brand</v>
      </c>
      <c r="D615" s="23" t="str">
        <f aca="false">IF(B615="","",Brand_Log!DV15&amp;"")</f>
        <v>SAMPLE-B-013</v>
      </c>
      <c r="E615" s="23" t="str">
        <f aca="false">IF(B615="","",IF(Brand_Log!B15="","",Brand_Log!B15&amp;""))</f>
        <v>SAMPLE Brand 13</v>
      </c>
      <c r="F615" s="23" t="str">
        <f aca="false">IF(B615="","","conversation")</f>
        <v>conversation</v>
      </c>
      <c r="G615" s="23" t="str">
        <f aca="false">IF(B615="","","")</f>
        <v/>
      </c>
      <c r="H615" s="23" t="str">
        <f aca="false">IF(B615="","","")</f>
        <v/>
      </c>
      <c r="I615" s="23" t="str">
        <f aca="false">IF(B615="","","")</f>
        <v/>
      </c>
      <c r="J615" s="23" t="str">
        <f aca="false">IF(B615="","",IF(Brand_Log!I15="","",Brand_Log!I15&amp;""))</f>
        <v>video</v>
      </c>
      <c r="K615" s="32" t="s">
        <v>1355</v>
      </c>
    </row>
    <row r="616" customFormat="false" ht="15" hidden="false" customHeight="false" outlineLevel="0" collapsed="false">
      <c r="A616" s="42" t="n">
        <f aca="false">IF(B616="","",B616+(4*1000+15)/10000000)</f>
        <v>46343.0004015</v>
      </c>
      <c r="B616" s="35" t="n">
        <f aca="false">IF(Brand_Log!AY16=1,Brand_Log!H16,"")</f>
        <v>46343</v>
      </c>
      <c r="C616" s="23" t="str">
        <f aca="false">IF(B616="","","brand")</f>
        <v>brand</v>
      </c>
      <c r="D616" s="23" t="str">
        <f aca="false">IF(B616="","",Brand_Log!DV16&amp;"")</f>
        <v>SAMPLE-B-014</v>
      </c>
      <c r="E616" s="23" t="str">
        <f aca="false">IF(B616="","",IF(Brand_Log!B16="","",Brand_Log!B16&amp;""))</f>
        <v>SAMPLE Brand 14</v>
      </c>
      <c r="F616" s="23" t="str">
        <f aca="false">IF(B616="","","conversation")</f>
        <v>conversation</v>
      </c>
      <c r="G616" s="23" t="str">
        <f aca="false">IF(B616="","","")</f>
        <v/>
      </c>
      <c r="H616" s="23" t="str">
        <f aca="false">IF(B616="","","")</f>
        <v/>
      </c>
      <c r="I616" s="23" t="str">
        <f aca="false">IF(B616="","","")</f>
        <v/>
      </c>
      <c r="J616" s="23" t="str">
        <f aca="false">IF(B616="","",IF(Brand_Log!I16="","",Brand_Log!I16&amp;""))</f>
        <v>video</v>
      </c>
      <c r="K616" s="32" t="s">
        <v>1355</v>
      </c>
    </row>
    <row r="617" customFormat="false" ht="15" hidden="false" customHeight="false" outlineLevel="0" collapsed="false">
      <c r="A617" s="42" t="n">
        <f aca="false">IF(B617="","",B617+(4*1000+16)/10000000)</f>
        <v>46344.0004016</v>
      </c>
      <c r="B617" s="35" t="n">
        <f aca="false">IF(Brand_Log!AY17=1,Brand_Log!H17,"")</f>
        <v>46344</v>
      </c>
      <c r="C617" s="23" t="str">
        <f aca="false">IF(B617="","","brand")</f>
        <v>brand</v>
      </c>
      <c r="D617" s="23" t="str">
        <f aca="false">IF(B617="","",Brand_Log!DV17&amp;"")</f>
        <v>SAMPLE-B-015</v>
      </c>
      <c r="E617" s="23" t="str">
        <f aca="false">IF(B617="","",IF(Brand_Log!B17="","",Brand_Log!B17&amp;""))</f>
        <v>SAMPLE Brand 15</v>
      </c>
      <c r="F617" s="23" t="str">
        <f aca="false">IF(B617="","","conversation")</f>
        <v>conversation</v>
      </c>
      <c r="G617" s="23" t="str">
        <f aca="false">IF(B617="","","")</f>
        <v/>
      </c>
      <c r="H617" s="23" t="str">
        <f aca="false">IF(B617="","","")</f>
        <v/>
      </c>
      <c r="I617" s="23" t="str">
        <f aca="false">IF(B617="","","")</f>
        <v/>
      </c>
      <c r="J617" s="23" t="str">
        <f aca="false">IF(B617="","",IF(Brand_Log!I17="","",Brand_Log!I17&amp;""))</f>
        <v>video</v>
      </c>
      <c r="K617" s="32" t="s">
        <v>1355</v>
      </c>
    </row>
    <row r="618" customFormat="false" ht="15" hidden="false" customHeight="false" outlineLevel="0" collapsed="false">
      <c r="A618" s="23" t="str">
        <f aca="false">IF(B618="","",B618+(4*1000+17)/10000000)</f>
        <v/>
      </c>
      <c r="B618" s="35" t="str">
        <f aca="false">IF(Brand_Log!AY18=1,Brand_Log!H18,"")</f>
        <v/>
      </c>
      <c r="C618" s="23" t="str">
        <f aca="false">IF(B618="","","brand")</f>
        <v/>
      </c>
      <c r="D618" s="23" t="str">
        <f aca="false">IF(B618="","",Brand_Log!DV18&amp;"")</f>
        <v/>
      </c>
      <c r="E618" s="23" t="str">
        <f aca="false">IF(B618="","",IF(Brand_Log!B18="","",Brand_Log!B18&amp;""))</f>
        <v/>
      </c>
      <c r="F618" s="23" t="str">
        <f aca="false">IF(B618="","","conversation")</f>
        <v/>
      </c>
      <c r="G618" s="23" t="str">
        <f aca="false">IF(B618="","","")</f>
        <v/>
      </c>
      <c r="H618" s="23" t="str">
        <f aca="false">IF(B618="","","")</f>
        <v/>
      </c>
      <c r="I618" s="23" t="str">
        <f aca="false">IF(B618="","","")</f>
        <v/>
      </c>
      <c r="J618" s="23" t="str">
        <f aca="false">IF(B618="","",IF(Brand_Log!I18="","",Brand_Log!I18&amp;""))</f>
        <v/>
      </c>
      <c r="K618" s="32" t="s">
        <v>1355</v>
      </c>
    </row>
    <row r="619" customFormat="false" ht="15" hidden="false" customHeight="false" outlineLevel="0" collapsed="false">
      <c r="A619" s="23" t="str">
        <f aca="false">IF(B619="","",B619+(4*1000+18)/10000000)</f>
        <v/>
      </c>
      <c r="B619" s="35" t="str">
        <f aca="false">IF(Brand_Log!AY19=1,Brand_Log!H19,"")</f>
        <v/>
      </c>
      <c r="C619" s="23" t="str">
        <f aca="false">IF(B619="","","brand")</f>
        <v/>
      </c>
      <c r="D619" s="23" t="str">
        <f aca="false">IF(B619="","",Brand_Log!DV19&amp;"")</f>
        <v/>
      </c>
      <c r="E619" s="23" t="str">
        <f aca="false">IF(B619="","",IF(Brand_Log!B19="","",Brand_Log!B19&amp;""))</f>
        <v/>
      </c>
      <c r="F619" s="23" t="str">
        <f aca="false">IF(B619="","","conversation")</f>
        <v/>
      </c>
      <c r="G619" s="23" t="str">
        <f aca="false">IF(B619="","","")</f>
        <v/>
      </c>
      <c r="H619" s="23" t="str">
        <f aca="false">IF(B619="","","")</f>
        <v/>
      </c>
      <c r="I619" s="23" t="str">
        <f aca="false">IF(B619="","","")</f>
        <v/>
      </c>
      <c r="J619" s="23" t="str">
        <f aca="false">IF(B619="","",IF(Brand_Log!I19="","",Brand_Log!I19&amp;""))</f>
        <v/>
      </c>
      <c r="K619" s="32" t="s">
        <v>1355</v>
      </c>
    </row>
    <row r="620" customFormat="false" ht="15" hidden="false" customHeight="false" outlineLevel="0" collapsed="false">
      <c r="A620" s="23" t="str">
        <f aca="false">IF(B620="","",B620+(4*1000+19)/10000000)</f>
        <v/>
      </c>
      <c r="B620" s="35" t="str">
        <f aca="false">IF(Brand_Log!AY20=1,Brand_Log!H20,"")</f>
        <v/>
      </c>
      <c r="C620" s="23" t="str">
        <f aca="false">IF(B620="","","brand")</f>
        <v/>
      </c>
      <c r="D620" s="23" t="str">
        <f aca="false">IF(B620="","",Brand_Log!DV20&amp;"")</f>
        <v/>
      </c>
      <c r="E620" s="23" t="str">
        <f aca="false">IF(B620="","",IF(Brand_Log!B20="","",Brand_Log!B20&amp;""))</f>
        <v/>
      </c>
      <c r="F620" s="23" t="str">
        <f aca="false">IF(B620="","","conversation")</f>
        <v/>
      </c>
      <c r="G620" s="23" t="str">
        <f aca="false">IF(B620="","","")</f>
        <v/>
      </c>
      <c r="H620" s="23" t="str">
        <f aca="false">IF(B620="","","")</f>
        <v/>
      </c>
      <c r="I620" s="23" t="str">
        <f aca="false">IF(B620="","","")</f>
        <v/>
      </c>
      <c r="J620" s="23" t="str">
        <f aca="false">IF(B620="","",IF(Brand_Log!I20="","",Brand_Log!I20&amp;""))</f>
        <v/>
      </c>
      <c r="K620" s="32" t="s">
        <v>1355</v>
      </c>
    </row>
    <row r="621" customFormat="false" ht="15" hidden="false" customHeight="false" outlineLevel="0" collapsed="false">
      <c r="A621" s="23" t="str">
        <f aca="false">IF(B621="","",B621+(4*1000+20)/10000000)</f>
        <v/>
      </c>
      <c r="B621" s="35" t="str">
        <f aca="false">IF(Brand_Log!AY21=1,Brand_Log!H21,"")</f>
        <v/>
      </c>
      <c r="C621" s="23" t="str">
        <f aca="false">IF(B621="","","brand")</f>
        <v/>
      </c>
      <c r="D621" s="23" t="str">
        <f aca="false">IF(B621="","",Brand_Log!DV21&amp;"")</f>
        <v/>
      </c>
      <c r="E621" s="23" t="str">
        <f aca="false">IF(B621="","",IF(Brand_Log!B21="","",Brand_Log!B21&amp;""))</f>
        <v/>
      </c>
      <c r="F621" s="23" t="str">
        <f aca="false">IF(B621="","","conversation")</f>
        <v/>
      </c>
      <c r="G621" s="23" t="str">
        <f aca="false">IF(B621="","","")</f>
        <v/>
      </c>
      <c r="H621" s="23" t="str">
        <f aca="false">IF(B621="","","")</f>
        <v/>
      </c>
      <c r="I621" s="23" t="str">
        <f aca="false">IF(B621="","","")</f>
        <v/>
      </c>
      <c r="J621" s="23" t="str">
        <f aca="false">IF(B621="","",IF(Brand_Log!I21="","",Brand_Log!I21&amp;""))</f>
        <v/>
      </c>
      <c r="K621" s="32" t="s">
        <v>1355</v>
      </c>
    </row>
    <row r="622" customFormat="false" ht="15" hidden="false" customHeight="false" outlineLevel="0" collapsed="false">
      <c r="A622" s="23" t="str">
        <f aca="false">IF(B622="","",B622+(4*1000+21)/10000000)</f>
        <v/>
      </c>
      <c r="B622" s="35" t="str">
        <f aca="false">IF(Brand_Log!AY22=1,Brand_Log!H22,"")</f>
        <v/>
      </c>
      <c r="C622" s="23" t="str">
        <f aca="false">IF(B622="","","brand")</f>
        <v/>
      </c>
      <c r="D622" s="23" t="str">
        <f aca="false">IF(B622="","",Brand_Log!DV22&amp;"")</f>
        <v/>
      </c>
      <c r="E622" s="23" t="str">
        <f aca="false">IF(B622="","",IF(Brand_Log!B22="","",Brand_Log!B22&amp;""))</f>
        <v/>
      </c>
      <c r="F622" s="23" t="str">
        <f aca="false">IF(B622="","","conversation")</f>
        <v/>
      </c>
      <c r="G622" s="23" t="str">
        <f aca="false">IF(B622="","","")</f>
        <v/>
      </c>
      <c r="H622" s="23" t="str">
        <f aca="false">IF(B622="","","")</f>
        <v/>
      </c>
      <c r="I622" s="23" t="str">
        <f aca="false">IF(B622="","","")</f>
        <v/>
      </c>
      <c r="J622" s="23" t="str">
        <f aca="false">IF(B622="","",IF(Brand_Log!I22="","",Brand_Log!I22&amp;""))</f>
        <v/>
      </c>
      <c r="K622" s="32" t="s">
        <v>1355</v>
      </c>
    </row>
    <row r="623" customFormat="false" ht="15" hidden="false" customHeight="false" outlineLevel="0" collapsed="false">
      <c r="A623" s="23" t="str">
        <f aca="false">IF(B623="","",B623+(4*1000+22)/10000000)</f>
        <v/>
      </c>
      <c r="B623" s="35" t="str">
        <f aca="false">IF(Brand_Log!AY23=1,Brand_Log!H23,"")</f>
        <v/>
      </c>
      <c r="C623" s="23" t="str">
        <f aca="false">IF(B623="","","brand")</f>
        <v/>
      </c>
      <c r="D623" s="23" t="str">
        <f aca="false">IF(B623="","",Brand_Log!DV23&amp;"")</f>
        <v/>
      </c>
      <c r="E623" s="23" t="str">
        <f aca="false">IF(B623="","",IF(Brand_Log!B23="","",Brand_Log!B23&amp;""))</f>
        <v/>
      </c>
      <c r="F623" s="23" t="str">
        <f aca="false">IF(B623="","","conversation")</f>
        <v/>
      </c>
      <c r="G623" s="23" t="str">
        <f aca="false">IF(B623="","","")</f>
        <v/>
      </c>
      <c r="H623" s="23" t="str">
        <f aca="false">IF(B623="","","")</f>
        <v/>
      </c>
      <c r="I623" s="23" t="str">
        <f aca="false">IF(B623="","","")</f>
        <v/>
      </c>
      <c r="J623" s="23" t="str">
        <f aca="false">IF(B623="","",IF(Brand_Log!I23="","",Brand_Log!I23&amp;""))</f>
        <v/>
      </c>
      <c r="K623" s="32" t="s">
        <v>1355</v>
      </c>
    </row>
    <row r="624" customFormat="false" ht="15" hidden="false" customHeight="false" outlineLevel="0" collapsed="false">
      <c r="A624" s="23" t="str">
        <f aca="false">IF(B624="","",B624+(4*1000+23)/10000000)</f>
        <v/>
      </c>
      <c r="B624" s="35" t="str">
        <f aca="false">IF(Brand_Log!AY24=1,Brand_Log!H24,"")</f>
        <v/>
      </c>
      <c r="C624" s="23" t="str">
        <f aca="false">IF(B624="","","brand")</f>
        <v/>
      </c>
      <c r="D624" s="23" t="str">
        <f aca="false">IF(B624="","",Brand_Log!DV24&amp;"")</f>
        <v/>
      </c>
      <c r="E624" s="23" t="str">
        <f aca="false">IF(B624="","",IF(Brand_Log!B24="","",Brand_Log!B24&amp;""))</f>
        <v/>
      </c>
      <c r="F624" s="23" t="str">
        <f aca="false">IF(B624="","","conversation")</f>
        <v/>
      </c>
      <c r="G624" s="23" t="str">
        <f aca="false">IF(B624="","","")</f>
        <v/>
      </c>
      <c r="H624" s="23" t="str">
        <f aca="false">IF(B624="","","")</f>
        <v/>
      </c>
      <c r="I624" s="23" t="str">
        <f aca="false">IF(B624="","","")</f>
        <v/>
      </c>
      <c r="J624" s="23" t="str">
        <f aca="false">IF(B624="","",IF(Brand_Log!I24="","",Brand_Log!I24&amp;""))</f>
        <v/>
      </c>
      <c r="K624" s="32" t="s">
        <v>1355</v>
      </c>
    </row>
    <row r="625" customFormat="false" ht="15" hidden="false" customHeight="false" outlineLevel="0" collapsed="false">
      <c r="A625" s="23" t="str">
        <f aca="false">IF(B625="","",B625+(4*1000+24)/10000000)</f>
        <v/>
      </c>
      <c r="B625" s="35" t="str">
        <f aca="false">IF(Brand_Log!AY25=1,Brand_Log!H25,"")</f>
        <v/>
      </c>
      <c r="C625" s="23" t="str">
        <f aca="false">IF(B625="","","brand")</f>
        <v/>
      </c>
      <c r="D625" s="23" t="str">
        <f aca="false">IF(B625="","",Brand_Log!DV25&amp;"")</f>
        <v/>
      </c>
      <c r="E625" s="23" t="str">
        <f aca="false">IF(B625="","",IF(Brand_Log!B25="","",Brand_Log!B25&amp;""))</f>
        <v/>
      </c>
      <c r="F625" s="23" t="str">
        <f aca="false">IF(B625="","","conversation")</f>
        <v/>
      </c>
      <c r="G625" s="23" t="str">
        <f aca="false">IF(B625="","","")</f>
        <v/>
      </c>
      <c r="H625" s="23" t="str">
        <f aca="false">IF(B625="","","")</f>
        <v/>
      </c>
      <c r="I625" s="23" t="str">
        <f aca="false">IF(B625="","","")</f>
        <v/>
      </c>
      <c r="J625" s="23" t="str">
        <f aca="false">IF(B625="","",IF(Brand_Log!I25="","",Brand_Log!I25&amp;""))</f>
        <v/>
      </c>
      <c r="K625" s="32" t="s">
        <v>1355</v>
      </c>
    </row>
    <row r="626" customFormat="false" ht="15" hidden="false" customHeight="false" outlineLevel="0" collapsed="false">
      <c r="A626" s="23" t="str">
        <f aca="false">IF(B626="","",B626+(4*1000+25)/10000000)</f>
        <v/>
      </c>
      <c r="B626" s="35" t="str">
        <f aca="false">IF(Brand_Log!AY26=1,Brand_Log!H26,"")</f>
        <v/>
      </c>
      <c r="C626" s="23" t="str">
        <f aca="false">IF(B626="","","brand")</f>
        <v/>
      </c>
      <c r="D626" s="23" t="str">
        <f aca="false">IF(B626="","",Brand_Log!DV26&amp;"")</f>
        <v/>
      </c>
      <c r="E626" s="23" t="str">
        <f aca="false">IF(B626="","",IF(Brand_Log!B26="","",Brand_Log!B26&amp;""))</f>
        <v/>
      </c>
      <c r="F626" s="23" t="str">
        <f aca="false">IF(B626="","","conversation")</f>
        <v/>
      </c>
      <c r="G626" s="23" t="str">
        <f aca="false">IF(B626="","","")</f>
        <v/>
      </c>
      <c r="H626" s="23" t="str">
        <f aca="false">IF(B626="","","")</f>
        <v/>
      </c>
      <c r="I626" s="23" t="str">
        <f aca="false">IF(B626="","","")</f>
        <v/>
      </c>
      <c r="J626" s="23" t="str">
        <f aca="false">IF(B626="","",IF(Brand_Log!I26="","",Brand_Log!I26&amp;""))</f>
        <v/>
      </c>
      <c r="K626" s="32" t="s">
        <v>1355</v>
      </c>
    </row>
    <row r="627" customFormat="false" ht="15" hidden="false" customHeight="false" outlineLevel="0" collapsed="false">
      <c r="A627" s="23" t="str">
        <f aca="false">IF(B627="","",B627+(4*1000+26)/10000000)</f>
        <v/>
      </c>
      <c r="B627" s="35" t="str">
        <f aca="false">IF(Brand_Log!AY27=1,Brand_Log!H27,"")</f>
        <v/>
      </c>
      <c r="C627" s="23" t="str">
        <f aca="false">IF(B627="","","brand")</f>
        <v/>
      </c>
      <c r="D627" s="23" t="str">
        <f aca="false">IF(B627="","",Brand_Log!DV27&amp;"")</f>
        <v/>
      </c>
      <c r="E627" s="23" t="str">
        <f aca="false">IF(B627="","",IF(Brand_Log!B27="","",Brand_Log!B27&amp;""))</f>
        <v/>
      </c>
      <c r="F627" s="23" t="str">
        <f aca="false">IF(B627="","","conversation")</f>
        <v/>
      </c>
      <c r="G627" s="23" t="str">
        <f aca="false">IF(B627="","","")</f>
        <v/>
      </c>
      <c r="H627" s="23" t="str">
        <f aca="false">IF(B627="","","")</f>
        <v/>
      </c>
      <c r="I627" s="23" t="str">
        <f aca="false">IF(B627="","","")</f>
        <v/>
      </c>
      <c r="J627" s="23" t="str">
        <f aca="false">IF(B627="","",IF(Brand_Log!I27="","",Brand_Log!I27&amp;""))</f>
        <v/>
      </c>
      <c r="K627" s="32" t="s">
        <v>1355</v>
      </c>
    </row>
    <row r="628" customFormat="false" ht="15" hidden="false" customHeight="false" outlineLevel="0" collapsed="false">
      <c r="A628" s="23" t="str">
        <f aca="false">IF(B628="","",B628+(4*1000+27)/10000000)</f>
        <v/>
      </c>
      <c r="B628" s="35" t="str">
        <f aca="false">IF(Brand_Log!AY28=1,Brand_Log!H28,"")</f>
        <v/>
      </c>
      <c r="C628" s="23" t="str">
        <f aca="false">IF(B628="","","brand")</f>
        <v/>
      </c>
      <c r="D628" s="23" t="str">
        <f aca="false">IF(B628="","",Brand_Log!DV28&amp;"")</f>
        <v/>
      </c>
      <c r="E628" s="23" t="str">
        <f aca="false">IF(B628="","",IF(Brand_Log!B28="","",Brand_Log!B28&amp;""))</f>
        <v/>
      </c>
      <c r="F628" s="23" t="str">
        <f aca="false">IF(B628="","","conversation")</f>
        <v/>
      </c>
      <c r="G628" s="23" t="str">
        <f aca="false">IF(B628="","","")</f>
        <v/>
      </c>
      <c r="H628" s="23" t="str">
        <f aca="false">IF(B628="","","")</f>
        <v/>
      </c>
      <c r="I628" s="23" t="str">
        <f aca="false">IF(B628="","","")</f>
        <v/>
      </c>
      <c r="J628" s="23" t="str">
        <f aca="false">IF(B628="","",IF(Brand_Log!I28="","",Brand_Log!I28&amp;""))</f>
        <v/>
      </c>
      <c r="K628" s="32" t="s">
        <v>1355</v>
      </c>
    </row>
    <row r="629" customFormat="false" ht="15" hidden="false" customHeight="false" outlineLevel="0" collapsed="false">
      <c r="A629" s="23" t="str">
        <f aca="false">IF(B629="","",B629+(4*1000+28)/10000000)</f>
        <v/>
      </c>
      <c r="B629" s="35" t="str">
        <f aca="false">IF(Brand_Log!AY29=1,Brand_Log!H29,"")</f>
        <v/>
      </c>
      <c r="C629" s="23" t="str">
        <f aca="false">IF(B629="","","brand")</f>
        <v/>
      </c>
      <c r="D629" s="23" t="str">
        <f aca="false">IF(B629="","",Brand_Log!DV29&amp;"")</f>
        <v/>
      </c>
      <c r="E629" s="23" t="str">
        <f aca="false">IF(B629="","",IF(Brand_Log!B29="","",Brand_Log!B29&amp;""))</f>
        <v/>
      </c>
      <c r="F629" s="23" t="str">
        <f aca="false">IF(B629="","","conversation")</f>
        <v/>
      </c>
      <c r="G629" s="23" t="str">
        <f aca="false">IF(B629="","","")</f>
        <v/>
      </c>
      <c r="H629" s="23" t="str">
        <f aca="false">IF(B629="","","")</f>
        <v/>
      </c>
      <c r="I629" s="23" t="str">
        <f aca="false">IF(B629="","","")</f>
        <v/>
      </c>
      <c r="J629" s="23" t="str">
        <f aca="false">IF(B629="","",IF(Brand_Log!I29="","",Brand_Log!I29&amp;""))</f>
        <v/>
      </c>
      <c r="K629" s="32" t="s">
        <v>1355</v>
      </c>
    </row>
    <row r="630" customFormat="false" ht="15" hidden="false" customHeight="false" outlineLevel="0" collapsed="false">
      <c r="A630" s="23" t="str">
        <f aca="false">IF(B630="","",B630+(4*1000+29)/10000000)</f>
        <v/>
      </c>
      <c r="B630" s="35" t="str">
        <f aca="false">IF(Brand_Log!AY30=1,Brand_Log!H30,"")</f>
        <v/>
      </c>
      <c r="C630" s="23" t="str">
        <f aca="false">IF(B630="","","brand")</f>
        <v/>
      </c>
      <c r="D630" s="23" t="str">
        <f aca="false">IF(B630="","",Brand_Log!DV30&amp;"")</f>
        <v/>
      </c>
      <c r="E630" s="23" t="str">
        <f aca="false">IF(B630="","",IF(Brand_Log!B30="","",Brand_Log!B30&amp;""))</f>
        <v/>
      </c>
      <c r="F630" s="23" t="str">
        <f aca="false">IF(B630="","","conversation")</f>
        <v/>
      </c>
      <c r="G630" s="23" t="str">
        <f aca="false">IF(B630="","","")</f>
        <v/>
      </c>
      <c r="H630" s="23" t="str">
        <f aca="false">IF(B630="","","")</f>
        <v/>
      </c>
      <c r="I630" s="23" t="str">
        <f aca="false">IF(B630="","","")</f>
        <v/>
      </c>
      <c r="J630" s="23" t="str">
        <f aca="false">IF(B630="","",IF(Brand_Log!I30="","",Brand_Log!I30&amp;""))</f>
        <v/>
      </c>
      <c r="K630" s="32" t="s">
        <v>1355</v>
      </c>
    </row>
    <row r="631" customFormat="false" ht="15" hidden="false" customHeight="false" outlineLevel="0" collapsed="false">
      <c r="A631" s="23" t="str">
        <f aca="false">IF(B631="","",B631+(4*1000+30)/10000000)</f>
        <v/>
      </c>
      <c r="B631" s="35" t="str">
        <f aca="false">IF(Brand_Log!AY31=1,Brand_Log!H31,"")</f>
        <v/>
      </c>
      <c r="C631" s="23" t="str">
        <f aca="false">IF(B631="","","brand")</f>
        <v/>
      </c>
      <c r="D631" s="23" t="str">
        <f aca="false">IF(B631="","",Brand_Log!DV31&amp;"")</f>
        <v/>
      </c>
      <c r="E631" s="23" t="str">
        <f aca="false">IF(B631="","",IF(Brand_Log!B31="","",Brand_Log!B31&amp;""))</f>
        <v/>
      </c>
      <c r="F631" s="23" t="str">
        <f aca="false">IF(B631="","","conversation")</f>
        <v/>
      </c>
      <c r="G631" s="23" t="str">
        <f aca="false">IF(B631="","","")</f>
        <v/>
      </c>
      <c r="H631" s="23" t="str">
        <f aca="false">IF(B631="","","")</f>
        <v/>
      </c>
      <c r="I631" s="23" t="str">
        <f aca="false">IF(B631="","","")</f>
        <v/>
      </c>
      <c r="J631" s="23" t="str">
        <f aca="false">IF(B631="","",IF(Brand_Log!I31="","",Brand_Log!I31&amp;""))</f>
        <v/>
      </c>
      <c r="K631" s="32" t="s">
        <v>1355</v>
      </c>
    </row>
    <row r="632" customFormat="false" ht="15" hidden="false" customHeight="false" outlineLevel="0" collapsed="false">
      <c r="A632" s="23" t="str">
        <f aca="false">IF(B632="","",B632+(4*1000+31)/10000000)</f>
        <v/>
      </c>
      <c r="B632" s="35" t="str">
        <f aca="false">IF(Brand_Log!AY32=1,Brand_Log!H32,"")</f>
        <v/>
      </c>
      <c r="C632" s="23" t="str">
        <f aca="false">IF(B632="","","brand")</f>
        <v/>
      </c>
      <c r="D632" s="23" t="str">
        <f aca="false">IF(B632="","",Brand_Log!DV32&amp;"")</f>
        <v/>
      </c>
      <c r="E632" s="23" t="str">
        <f aca="false">IF(B632="","",IF(Brand_Log!B32="","",Brand_Log!B32&amp;""))</f>
        <v/>
      </c>
      <c r="F632" s="23" t="str">
        <f aca="false">IF(B632="","","conversation")</f>
        <v/>
      </c>
      <c r="G632" s="23" t="str">
        <f aca="false">IF(B632="","","")</f>
        <v/>
      </c>
      <c r="H632" s="23" t="str">
        <f aca="false">IF(B632="","","")</f>
        <v/>
      </c>
      <c r="I632" s="23" t="str">
        <f aca="false">IF(B632="","","")</f>
        <v/>
      </c>
      <c r="J632" s="23" t="str">
        <f aca="false">IF(B632="","",IF(Brand_Log!I32="","",Brand_Log!I32&amp;""))</f>
        <v/>
      </c>
      <c r="K632" s="32" t="s">
        <v>1355</v>
      </c>
    </row>
    <row r="633" customFormat="false" ht="15" hidden="false" customHeight="false" outlineLevel="0" collapsed="false">
      <c r="A633" s="23" t="str">
        <f aca="false">IF(B633="","",B633+(4*1000+32)/10000000)</f>
        <v/>
      </c>
      <c r="B633" s="35" t="str">
        <f aca="false">IF(Brand_Log!AY33=1,Brand_Log!H33,"")</f>
        <v/>
      </c>
      <c r="C633" s="23" t="str">
        <f aca="false">IF(B633="","","brand")</f>
        <v/>
      </c>
      <c r="D633" s="23" t="str">
        <f aca="false">IF(B633="","",Brand_Log!DV33&amp;"")</f>
        <v/>
      </c>
      <c r="E633" s="23" t="str">
        <f aca="false">IF(B633="","",IF(Brand_Log!B33="","",Brand_Log!B33&amp;""))</f>
        <v/>
      </c>
      <c r="F633" s="23" t="str">
        <f aca="false">IF(B633="","","conversation")</f>
        <v/>
      </c>
      <c r="G633" s="23" t="str">
        <f aca="false">IF(B633="","","")</f>
        <v/>
      </c>
      <c r="H633" s="23" t="str">
        <f aca="false">IF(B633="","","")</f>
        <v/>
      </c>
      <c r="I633" s="23" t="str">
        <f aca="false">IF(B633="","","")</f>
        <v/>
      </c>
      <c r="J633" s="23" t="str">
        <f aca="false">IF(B633="","",IF(Brand_Log!I33="","",Brand_Log!I33&amp;""))</f>
        <v/>
      </c>
      <c r="K633" s="32" t="s">
        <v>1355</v>
      </c>
    </row>
    <row r="634" customFormat="false" ht="15" hidden="false" customHeight="false" outlineLevel="0" collapsed="false">
      <c r="A634" s="23" t="str">
        <f aca="false">IF(B634="","",B634+(4*1000+33)/10000000)</f>
        <v/>
      </c>
      <c r="B634" s="35" t="str">
        <f aca="false">IF(Brand_Log!AY34=1,Brand_Log!H34,"")</f>
        <v/>
      </c>
      <c r="C634" s="23" t="str">
        <f aca="false">IF(B634="","","brand")</f>
        <v/>
      </c>
      <c r="D634" s="23" t="str">
        <f aca="false">IF(B634="","",Brand_Log!DV34&amp;"")</f>
        <v/>
      </c>
      <c r="E634" s="23" t="str">
        <f aca="false">IF(B634="","",IF(Brand_Log!B34="","",Brand_Log!B34&amp;""))</f>
        <v/>
      </c>
      <c r="F634" s="23" t="str">
        <f aca="false">IF(B634="","","conversation")</f>
        <v/>
      </c>
      <c r="G634" s="23" t="str">
        <f aca="false">IF(B634="","","")</f>
        <v/>
      </c>
      <c r="H634" s="23" t="str">
        <f aca="false">IF(B634="","","")</f>
        <v/>
      </c>
      <c r="I634" s="23" t="str">
        <f aca="false">IF(B634="","","")</f>
        <v/>
      </c>
      <c r="J634" s="23" t="str">
        <f aca="false">IF(B634="","",IF(Brand_Log!I34="","",Brand_Log!I34&amp;""))</f>
        <v/>
      </c>
      <c r="K634" s="32" t="s">
        <v>1355</v>
      </c>
    </row>
    <row r="635" customFormat="false" ht="15" hidden="false" customHeight="false" outlineLevel="0" collapsed="false">
      <c r="A635" s="23" t="str">
        <f aca="false">IF(B635="","",B635+(4*1000+34)/10000000)</f>
        <v/>
      </c>
      <c r="B635" s="35" t="str">
        <f aca="false">IF(Brand_Log!AY35=1,Brand_Log!H35,"")</f>
        <v/>
      </c>
      <c r="C635" s="23" t="str">
        <f aca="false">IF(B635="","","brand")</f>
        <v/>
      </c>
      <c r="D635" s="23" t="str">
        <f aca="false">IF(B635="","",Brand_Log!DV35&amp;"")</f>
        <v/>
      </c>
      <c r="E635" s="23" t="str">
        <f aca="false">IF(B635="","",IF(Brand_Log!B35="","",Brand_Log!B35&amp;""))</f>
        <v/>
      </c>
      <c r="F635" s="23" t="str">
        <f aca="false">IF(B635="","","conversation")</f>
        <v/>
      </c>
      <c r="G635" s="23" t="str">
        <f aca="false">IF(B635="","","")</f>
        <v/>
      </c>
      <c r="H635" s="23" t="str">
        <f aca="false">IF(B635="","","")</f>
        <v/>
      </c>
      <c r="I635" s="23" t="str">
        <f aca="false">IF(B635="","","")</f>
        <v/>
      </c>
      <c r="J635" s="23" t="str">
        <f aca="false">IF(B635="","",IF(Brand_Log!I35="","",Brand_Log!I35&amp;""))</f>
        <v/>
      </c>
      <c r="K635" s="32" t="s">
        <v>1355</v>
      </c>
    </row>
    <row r="636" customFormat="false" ht="15" hidden="false" customHeight="false" outlineLevel="0" collapsed="false">
      <c r="A636" s="23" t="str">
        <f aca="false">IF(B636="","",B636+(4*1000+35)/10000000)</f>
        <v/>
      </c>
      <c r="B636" s="35" t="str">
        <f aca="false">IF(Brand_Log!AY36=1,Brand_Log!H36,"")</f>
        <v/>
      </c>
      <c r="C636" s="23" t="str">
        <f aca="false">IF(B636="","","brand")</f>
        <v/>
      </c>
      <c r="D636" s="23" t="str">
        <f aca="false">IF(B636="","",Brand_Log!DV36&amp;"")</f>
        <v/>
      </c>
      <c r="E636" s="23" t="str">
        <f aca="false">IF(B636="","",IF(Brand_Log!B36="","",Brand_Log!B36&amp;""))</f>
        <v/>
      </c>
      <c r="F636" s="23" t="str">
        <f aca="false">IF(B636="","","conversation")</f>
        <v/>
      </c>
      <c r="G636" s="23" t="str">
        <f aca="false">IF(B636="","","")</f>
        <v/>
      </c>
      <c r="H636" s="23" t="str">
        <f aca="false">IF(B636="","","")</f>
        <v/>
      </c>
      <c r="I636" s="23" t="str">
        <f aca="false">IF(B636="","","")</f>
        <v/>
      </c>
      <c r="J636" s="23" t="str">
        <f aca="false">IF(B636="","",IF(Brand_Log!I36="","",Brand_Log!I36&amp;""))</f>
        <v/>
      </c>
      <c r="K636" s="32" t="s">
        <v>1355</v>
      </c>
    </row>
    <row r="637" customFormat="false" ht="15" hidden="false" customHeight="false" outlineLevel="0" collapsed="false">
      <c r="A637" s="23" t="str">
        <f aca="false">IF(B637="","",B637+(4*1000+36)/10000000)</f>
        <v/>
      </c>
      <c r="B637" s="35" t="str">
        <f aca="false">IF(Brand_Log!AY37=1,Brand_Log!H37,"")</f>
        <v/>
      </c>
      <c r="C637" s="23" t="str">
        <f aca="false">IF(B637="","","brand")</f>
        <v/>
      </c>
      <c r="D637" s="23" t="str">
        <f aca="false">IF(B637="","",Brand_Log!DV37&amp;"")</f>
        <v/>
      </c>
      <c r="E637" s="23" t="str">
        <f aca="false">IF(B637="","",IF(Brand_Log!B37="","",Brand_Log!B37&amp;""))</f>
        <v/>
      </c>
      <c r="F637" s="23" t="str">
        <f aca="false">IF(B637="","","conversation")</f>
        <v/>
      </c>
      <c r="G637" s="23" t="str">
        <f aca="false">IF(B637="","","")</f>
        <v/>
      </c>
      <c r="H637" s="23" t="str">
        <f aca="false">IF(B637="","","")</f>
        <v/>
      </c>
      <c r="I637" s="23" t="str">
        <f aca="false">IF(B637="","","")</f>
        <v/>
      </c>
      <c r="J637" s="23" t="str">
        <f aca="false">IF(B637="","",IF(Brand_Log!I37="","",Brand_Log!I37&amp;""))</f>
        <v/>
      </c>
      <c r="K637" s="32" t="s">
        <v>1355</v>
      </c>
    </row>
    <row r="638" customFormat="false" ht="15" hidden="false" customHeight="false" outlineLevel="0" collapsed="false">
      <c r="A638" s="23" t="str">
        <f aca="false">IF(B638="","",B638+(4*1000+37)/10000000)</f>
        <v/>
      </c>
      <c r="B638" s="35" t="str">
        <f aca="false">IF(Brand_Log!AY38=1,Brand_Log!H38,"")</f>
        <v/>
      </c>
      <c r="C638" s="23" t="str">
        <f aca="false">IF(B638="","","brand")</f>
        <v/>
      </c>
      <c r="D638" s="23" t="str">
        <f aca="false">IF(B638="","",Brand_Log!DV38&amp;"")</f>
        <v/>
      </c>
      <c r="E638" s="23" t="str">
        <f aca="false">IF(B638="","",IF(Brand_Log!B38="","",Brand_Log!B38&amp;""))</f>
        <v/>
      </c>
      <c r="F638" s="23" t="str">
        <f aca="false">IF(B638="","","conversation")</f>
        <v/>
      </c>
      <c r="G638" s="23" t="str">
        <f aca="false">IF(B638="","","")</f>
        <v/>
      </c>
      <c r="H638" s="23" t="str">
        <f aca="false">IF(B638="","","")</f>
        <v/>
      </c>
      <c r="I638" s="23" t="str">
        <f aca="false">IF(B638="","","")</f>
        <v/>
      </c>
      <c r="J638" s="23" t="str">
        <f aca="false">IF(B638="","",IF(Brand_Log!I38="","",Brand_Log!I38&amp;""))</f>
        <v/>
      </c>
      <c r="K638" s="32" t="s">
        <v>1355</v>
      </c>
    </row>
    <row r="639" customFormat="false" ht="15" hidden="false" customHeight="false" outlineLevel="0" collapsed="false">
      <c r="A639" s="23" t="str">
        <f aca="false">IF(B639="","",B639+(4*1000+38)/10000000)</f>
        <v/>
      </c>
      <c r="B639" s="35" t="str">
        <f aca="false">IF(Brand_Log!AY39=1,Brand_Log!H39,"")</f>
        <v/>
      </c>
      <c r="C639" s="23" t="str">
        <f aca="false">IF(B639="","","brand")</f>
        <v/>
      </c>
      <c r="D639" s="23" t="str">
        <f aca="false">IF(B639="","",Brand_Log!DV39&amp;"")</f>
        <v/>
      </c>
      <c r="E639" s="23" t="str">
        <f aca="false">IF(B639="","",IF(Brand_Log!B39="","",Brand_Log!B39&amp;""))</f>
        <v/>
      </c>
      <c r="F639" s="23" t="str">
        <f aca="false">IF(B639="","","conversation")</f>
        <v/>
      </c>
      <c r="G639" s="23" t="str">
        <f aca="false">IF(B639="","","")</f>
        <v/>
      </c>
      <c r="H639" s="23" t="str">
        <f aca="false">IF(B639="","","")</f>
        <v/>
      </c>
      <c r="I639" s="23" t="str">
        <f aca="false">IF(B639="","","")</f>
        <v/>
      </c>
      <c r="J639" s="23" t="str">
        <f aca="false">IF(B639="","",IF(Brand_Log!I39="","",Brand_Log!I39&amp;""))</f>
        <v/>
      </c>
      <c r="K639" s="32" t="s">
        <v>1355</v>
      </c>
    </row>
    <row r="640" customFormat="false" ht="15" hidden="false" customHeight="false" outlineLevel="0" collapsed="false">
      <c r="A640" s="23" t="str">
        <f aca="false">IF(B640="","",B640+(4*1000+39)/10000000)</f>
        <v/>
      </c>
      <c r="B640" s="35" t="str">
        <f aca="false">IF(Brand_Log!AY40=1,Brand_Log!H40,"")</f>
        <v/>
      </c>
      <c r="C640" s="23" t="str">
        <f aca="false">IF(B640="","","brand")</f>
        <v/>
      </c>
      <c r="D640" s="23" t="str">
        <f aca="false">IF(B640="","",Brand_Log!DV40&amp;"")</f>
        <v/>
      </c>
      <c r="E640" s="23" t="str">
        <f aca="false">IF(B640="","",IF(Brand_Log!B40="","",Brand_Log!B40&amp;""))</f>
        <v/>
      </c>
      <c r="F640" s="23" t="str">
        <f aca="false">IF(B640="","","conversation")</f>
        <v/>
      </c>
      <c r="G640" s="23" t="str">
        <f aca="false">IF(B640="","","")</f>
        <v/>
      </c>
      <c r="H640" s="23" t="str">
        <f aca="false">IF(B640="","","")</f>
        <v/>
      </c>
      <c r="I640" s="23" t="str">
        <f aca="false">IF(B640="","","")</f>
        <v/>
      </c>
      <c r="J640" s="23" t="str">
        <f aca="false">IF(B640="","",IF(Brand_Log!I40="","",Brand_Log!I40&amp;""))</f>
        <v/>
      </c>
      <c r="K640" s="32" t="s">
        <v>1355</v>
      </c>
    </row>
    <row r="641" customFormat="false" ht="15" hidden="false" customHeight="false" outlineLevel="0" collapsed="false">
      <c r="A641" s="23" t="str">
        <f aca="false">IF(B641="","",B641+(4*1000+40)/10000000)</f>
        <v/>
      </c>
      <c r="B641" s="35" t="str">
        <f aca="false">IF(Brand_Log!AY41=1,Brand_Log!H41,"")</f>
        <v/>
      </c>
      <c r="C641" s="23" t="str">
        <f aca="false">IF(B641="","","brand")</f>
        <v/>
      </c>
      <c r="D641" s="23" t="str">
        <f aca="false">IF(B641="","",Brand_Log!DV41&amp;"")</f>
        <v/>
      </c>
      <c r="E641" s="23" t="str">
        <f aca="false">IF(B641="","",IF(Brand_Log!B41="","",Brand_Log!B41&amp;""))</f>
        <v/>
      </c>
      <c r="F641" s="23" t="str">
        <f aca="false">IF(B641="","","conversation")</f>
        <v/>
      </c>
      <c r="G641" s="23" t="str">
        <f aca="false">IF(B641="","","")</f>
        <v/>
      </c>
      <c r="H641" s="23" t="str">
        <f aca="false">IF(B641="","","")</f>
        <v/>
      </c>
      <c r="I641" s="23" t="str">
        <f aca="false">IF(B641="","","")</f>
        <v/>
      </c>
      <c r="J641" s="23" t="str">
        <f aca="false">IF(B641="","",IF(Brand_Log!I41="","",Brand_Log!I41&amp;""))</f>
        <v/>
      </c>
      <c r="K641" s="32" t="s">
        <v>1355</v>
      </c>
    </row>
    <row r="642" customFormat="false" ht="15" hidden="false" customHeight="false" outlineLevel="0" collapsed="false">
      <c r="A642" s="23" t="str">
        <f aca="false">IF(B642="","",B642+(4*1000+41)/10000000)</f>
        <v/>
      </c>
      <c r="B642" s="35" t="str">
        <f aca="false">IF(Brand_Log!AY42=1,Brand_Log!H42,"")</f>
        <v/>
      </c>
      <c r="C642" s="23" t="str">
        <f aca="false">IF(B642="","","brand")</f>
        <v/>
      </c>
      <c r="D642" s="23" t="str">
        <f aca="false">IF(B642="","",Brand_Log!DV42&amp;"")</f>
        <v/>
      </c>
      <c r="E642" s="23" t="str">
        <f aca="false">IF(B642="","",IF(Brand_Log!B42="","",Brand_Log!B42&amp;""))</f>
        <v/>
      </c>
      <c r="F642" s="23" t="str">
        <f aca="false">IF(B642="","","conversation")</f>
        <v/>
      </c>
      <c r="G642" s="23" t="str">
        <f aca="false">IF(B642="","","")</f>
        <v/>
      </c>
      <c r="H642" s="23" t="str">
        <f aca="false">IF(B642="","","")</f>
        <v/>
      </c>
      <c r="I642" s="23" t="str">
        <f aca="false">IF(B642="","","")</f>
        <v/>
      </c>
      <c r="J642" s="23" t="str">
        <f aca="false">IF(B642="","",IF(Brand_Log!I42="","",Brand_Log!I42&amp;""))</f>
        <v/>
      </c>
      <c r="K642" s="32" t="s">
        <v>1355</v>
      </c>
    </row>
    <row r="643" customFormat="false" ht="15" hidden="false" customHeight="false" outlineLevel="0" collapsed="false">
      <c r="A643" s="23" t="str">
        <f aca="false">IF(B643="","",B643+(4*1000+42)/10000000)</f>
        <v/>
      </c>
      <c r="B643" s="35" t="str">
        <f aca="false">IF(Brand_Log!AY43=1,Brand_Log!H43,"")</f>
        <v/>
      </c>
      <c r="C643" s="23" t="str">
        <f aca="false">IF(B643="","","brand")</f>
        <v/>
      </c>
      <c r="D643" s="23" t="str">
        <f aca="false">IF(B643="","",Brand_Log!DV43&amp;"")</f>
        <v/>
      </c>
      <c r="E643" s="23" t="str">
        <f aca="false">IF(B643="","",IF(Brand_Log!B43="","",Brand_Log!B43&amp;""))</f>
        <v/>
      </c>
      <c r="F643" s="23" t="str">
        <f aca="false">IF(B643="","","conversation")</f>
        <v/>
      </c>
      <c r="G643" s="23" t="str">
        <f aca="false">IF(B643="","","")</f>
        <v/>
      </c>
      <c r="H643" s="23" t="str">
        <f aca="false">IF(B643="","","")</f>
        <v/>
      </c>
      <c r="I643" s="23" t="str">
        <f aca="false">IF(B643="","","")</f>
        <v/>
      </c>
      <c r="J643" s="23" t="str">
        <f aca="false">IF(B643="","",IF(Brand_Log!I43="","",Brand_Log!I43&amp;""))</f>
        <v/>
      </c>
      <c r="K643" s="32" t="s">
        <v>1355</v>
      </c>
    </row>
    <row r="644" customFormat="false" ht="15" hidden="false" customHeight="false" outlineLevel="0" collapsed="false">
      <c r="A644" s="23" t="str">
        <f aca="false">IF(B644="","",B644+(4*1000+43)/10000000)</f>
        <v/>
      </c>
      <c r="B644" s="35" t="str">
        <f aca="false">IF(Brand_Log!AY44=1,Brand_Log!H44,"")</f>
        <v/>
      </c>
      <c r="C644" s="23" t="str">
        <f aca="false">IF(B644="","","brand")</f>
        <v/>
      </c>
      <c r="D644" s="23" t="str">
        <f aca="false">IF(B644="","",Brand_Log!DV44&amp;"")</f>
        <v/>
      </c>
      <c r="E644" s="23" t="str">
        <f aca="false">IF(B644="","",IF(Brand_Log!B44="","",Brand_Log!B44&amp;""))</f>
        <v/>
      </c>
      <c r="F644" s="23" t="str">
        <f aca="false">IF(B644="","","conversation")</f>
        <v/>
      </c>
      <c r="G644" s="23" t="str">
        <f aca="false">IF(B644="","","")</f>
        <v/>
      </c>
      <c r="H644" s="23" t="str">
        <f aca="false">IF(B644="","","")</f>
        <v/>
      </c>
      <c r="I644" s="23" t="str">
        <f aca="false">IF(B644="","","")</f>
        <v/>
      </c>
      <c r="J644" s="23" t="str">
        <f aca="false">IF(B644="","",IF(Brand_Log!I44="","",Brand_Log!I44&amp;""))</f>
        <v/>
      </c>
      <c r="K644" s="32" t="s">
        <v>1355</v>
      </c>
    </row>
    <row r="645" customFormat="false" ht="15" hidden="false" customHeight="false" outlineLevel="0" collapsed="false">
      <c r="A645" s="23" t="str">
        <f aca="false">IF(B645="","",B645+(4*1000+44)/10000000)</f>
        <v/>
      </c>
      <c r="B645" s="35" t="str">
        <f aca="false">IF(Brand_Log!AY45=1,Brand_Log!H45,"")</f>
        <v/>
      </c>
      <c r="C645" s="23" t="str">
        <f aca="false">IF(B645="","","brand")</f>
        <v/>
      </c>
      <c r="D645" s="23" t="str">
        <f aca="false">IF(B645="","",Brand_Log!DV45&amp;"")</f>
        <v/>
      </c>
      <c r="E645" s="23" t="str">
        <f aca="false">IF(B645="","",IF(Brand_Log!B45="","",Brand_Log!B45&amp;""))</f>
        <v/>
      </c>
      <c r="F645" s="23" t="str">
        <f aca="false">IF(B645="","","conversation")</f>
        <v/>
      </c>
      <c r="G645" s="23" t="str">
        <f aca="false">IF(B645="","","")</f>
        <v/>
      </c>
      <c r="H645" s="23" t="str">
        <f aca="false">IF(B645="","","")</f>
        <v/>
      </c>
      <c r="I645" s="23" t="str">
        <f aca="false">IF(B645="","","")</f>
        <v/>
      </c>
      <c r="J645" s="23" t="str">
        <f aca="false">IF(B645="","",IF(Brand_Log!I45="","",Brand_Log!I45&amp;""))</f>
        <v/>
      </c>
      <c r="K645" s="32" t="s">
        <v>1355</v>
      </c>
    </row>
    <row r="646" customFormat="false" ht="15" hidden="false" customHeight="false" outlineLevel="0" collapsed="false">
      <c r="A646" s="23" t="str">
        <f aca="false">IF(B646="","",B646+(4*1000+45)/10000000)</f>
        <v/>
      </c>
      <c r="B646" s="35" t="str">
        <f aca="false">IF(Brand_Log!AY46=1,Brand_Log!H46,"")</f>
        <v/>
      </c>
      <c r="C646" s="23" t="str">
        <f aca="false">IF(B646="","","brand")</f>
        <v/>
      </c>
      <c r="D646" s="23" t="str">
        <f aca="false">IF(B646="","",Brand_Log!DV46&amp;"")</f>
        <v/>
      </c>
      <c r="E646" s="23" t="str">
        <f aca="false">IF(B646="","",IF(Brand_Log!B46="","",Brand_Log!B46&amp;""))</f>
        <v/>
      </c>
      <c r="F646" s="23" t="str">
        <f aca="false">IF(B646="","","conversation")</f>
        <v/>
      </c>
      <c r="G646" s="23" t="str">
        <f aca="false">IF(B646="","","")</f>
        <v/>
      </c>
      <c r="H646" s="23" t="str">
        <f aca="false">IF(B646="","","")</f>
        <v/>
      </c>
      <c r="I646" s="23" t="str">
        <f aca="false">IF(B646="","","")</f>
        <v/>
      </c>
      <c r="J646" s="23" t="str">
        <f aca="false">IF(B646="","",IF(Brand_Log!I46="","",Brand_Log!I46&amp;""))</f>
        <v/>
      </c>
      <c r="K646" s="32" t="s">
        <v>1355</v>
      </c>
    </row>
    <row r="647" customFormat="false" ht="15" hidden="false" customHeight="false" outlineLevel="0" collapsed="false">
      <c r="A647" s="23" t="str">
        <f aca="false">IF(B647="","",B647+(4*1000+46)/10000000)</f>
        <v/>
      </c>
      <c r="B647" s="35" t="str">
        <f aca="false">IF(Brand_Log!AY47=1,Brand_Log!H47,"")</f>
        <v/>
      </c>
      <c r="C647" s="23" t="str">
        <f aca="false">IF(B647="","","brand")</f>
        <v/>
      </c>
      <c r="D647" s="23" t="str">
        <f aca="false">IF(B647="","",Brand_Log!DV47&amp;"")</f>
        <v/>
      </c>
      <c r="E647" s="23" t="str">
        <f aca="false">IF(B647="","",IF(Brand_Log!B47="","",Brand_Log!B47&amp;""))</f>
        <v/>
      </c>
      <c r="F647" s="23" t="str">
        <f aca="false">IF(B647="","","conversation")</f>
        <v/>
      </c>
      <c r="G647" s="23" t="str">
        <f aca="false">IF(B647="","","")</f>
        <v/>
      </c>
      <c r="H647" s="23" t="str">
        <f aca="false">IF(B647="","","")</f>
        <v/>
      </c>
      <c r="I647" s="23" t="str">
        <f aca="false">IF(B647="","","")</f>
        <v/>
      </c>
      <c r="J647" s="23" t="str">
        <f aca="false">IF(B647="","",IF(Brand_Log!I47="","",Brand_Log!I47&amp;""))</f>
        <v/>
      </c>
      <c r="K647" s="32" t="s">
        <v>1355</v>
      </c>
    </row>
    <row r="648" customFormat="false" ht="15" hidden="false" customHeight="false" outlineLevel="0" collapsed="false">
      <c r="A648" s="23" t="str">
        <f aca="false">IF(B648="","",B648+(4*1000+47)/10000000)</f>
        <v/>
      </c>
      <c r="B648" s="35" t="str">
        <f aca="false">IF(Brand_Log!AY48=1,Brand_Log!H48,"")</f>
        <v/>
      </c>
      <c r="C648" s="23" t="str">
        <f aca="false">IF(B648="","","brand")</f>
        <v/>
      </c>
      <c r="D648" s="23" t="str">
        <f aca="false">IF(B648="","",Brand_Log!DV48&amp;"")</f>
        <v/>
      </c>
      <c r="E648" s="23" t="str">
        <f aca="false">IF(B648="","",IF(Brand_Log!B48="","",Brand_Log!B48&amp;""))</f>
        <v/>
      </c>
      <c r="F648" s="23" t="str">
        <f aca="false">IF(B648="","","conversation")</f>
        <v/>
      </c>
      <c r="G648" s="23" t="str">
        <f aca="false">IF(B648="","","")</f>
        <v/>
      </c>
      <c r="H648" s="23" t="str">
        <f aca="false">IF(B648="","","")</f>
        <v/>
      </c>
      <c r="I648" s="23" t="str">
        <f aca="false">IF(B648="","","")</f>
        <v/>
      </c>
      <c r="J648" s="23" t="str">
        <f aca="false">IF(B648="","",IF(Brand_Log!I48="","",Brand_Log!I48&amp;""))</f>
        <v/>
      </c>
      <c r="K648" s="32" t="s">
        <v>1355</v>
      </c>
    </row>
    <row r="649" customFormat="false" ht="15" hidden="false" customHeight="false" outlineLevel="0" collapsed="false">
      <c r="A649" s="23" t="str">
        <f aca="false">IF(B649="","",B649+(4*1000+48)/10000000)</f>
        <v/>
      </c>
      <c r="B649" s="35" t="str">
        <f aca="false">IF(Brand_Log!AY49=1,Brand_Log!H49,"")</f>
        <v/>
      </c>
      <c r="C649" s="23" t="str">
        <f aca="false">IF(B649="","","brand")</f>
        <v/>
      </c>
      <c r="D649" s="23" t="str">
        <f aca="false">IF(B649="","",Brand_Log!DV49&amp;"")</f>
        <v/>
      </c>
      <c r="E649" s="23" t="str">
        <f aca="false">IF(B649="","",IF(Brand_Log!B49="","",Brand_Log!B49&amp;""))</f>
        <v/>
      </c>
      <c r="F649" s="23" t="str">
        <f aca="false">IF(B649="","","conversation")</f>
        <v/>
      </c>
      <c r="G649" s="23" t="str">
        <f aca="false">IF(B649="","","")</f>
        <v/>
      </c>
      <c r="H649" s="23" t="str">
        <f aca="false">IF(B649="","","")</f>
        <v/>
      </c>
      <c r="I649" s="23" t="str">
        <f aca="false">IF(B649="","","")</f>
        <v/>
      </c>
      <c r="J649" s="23" t="str">
        <f aca="false">IF(B649="","",IF(Brand_Log!I49="","",Brand_Log!I49&amp;""))</f>
        <v/>
      </c>
      <c r="K649" s="32" t="s">
        <v>1355</v>
      </c>
    </row>
    <row r="650" customFormat="false" ht="15" hidden="false" customHeight="false" outlineLevel="0" collapsed="false">
      <c r="A650" s="23" t="str">
        <f aca="false">IF(B650="","",B650+(4*1000+49)/10000000)</f>
        <v/>
      </c>
      <c r="B650" s="35" t="str">
        <f aca="false">IF(Brand_Log!AY50=1,Brand_Log!H50,"")</f>
        <v/>
      </c>
      <c r="C650" s="23" t="str">
        <f aca="false">IF(B650="","","brand")</f>
        <v/>
      </c>
      <c r="D650" s="23" t="str">
        <f aca="false">IF(B650="","",Brand_Log!DV50&amp;"")</f>
        <v/>
      </c>
      <c r="E650" s="23" t="str">
        <f aca="false">IF(B650="","",IF(Brand_Log!B50="","",Brand_Log!B50&amp;""))</f>
        <v/>
      </c>
      <c r="F650" s="23" t="str">
        <f aca="false">IF(B650="","","conversation")</f>
        <v/>
      </c>
      <c r="G650" s="23" t="str">
        <f aca="false">IF(B650="","","")</f>
        <v/>
      </c>
      <c r="H650" s="23" t="str">
        <f aca="false">IF(B650="","","")</f>
        <v/>
      </c>
      <c r="I650" s="23" t="str">
        <f aca="false">IF(B650="","","")</f>
        <v/>
      </c>
      <c r="J650" s="23" t="str">
        <f aca="false">IF(B650="","",IF(Brand_Log!I50="","",Brand_Log!I50&amp;""))</f>
        <v/>
      </c>
      <c r="K650" s="32" t="s">
        <v>1355</v>
      </c>
    </row>
    <row r="651" customFormat="false" ht="15" hidden="false" customHeight="false" outlineLevel="0" collapsed="false">
      <c r="A651" s="23" t="str">
        <f aca="false">IF(B651="","",B651+(4*1000+50)/10000000)</f>
        <v/>
      </c>
      <c r="B651" s="35" t="str">
        <f aca="false">IF(Brand_Log!AY51=1,Brand_Log!H51,"")</f>
        <v/>
      </c>
      <c r="C651" s="23" t="str">
        <f aca="false">IF(B651="","","brand")</f>
        <v/>
      </c>
      <c r="D651" s="23" t="str">
        <f aca="false">IF(B651="","",Brand_Log!DV51&amp;"")</f>
        <v/>
      </c>
      <c r="E651" s="23" t="str">
        <f aca="false">IF(B651="","",IF(Brand_Log!B51="","",Brand_Log!B51&amp;""))</f>
        <v/>
      </c>
      <c r="F651" s="23" t="str">
        <f aca="false">IF(B651="","","conversation")</f>
        <v/>
      </c>
      <c r="G651" s="23" t="str">
        <f aca="false">IF(B651="","","")</f>
        <v/>
      </c>
      <c r="H651" s="23" t="str">
        <f aca="false">IF(B651="","","")</f>
        <v/>
      </c>
      <c r="I651" s="23" t="str">
        <f aca="false">IF(B651="","","")</f>
        <v/>
      </c>
      <c r="J651" s="23" t="str">
        <f aca="false">IF(B651="","",IF(Brand_Log!I51="","",Brand_Log!I51&amp;""))</f>
        <v/>
      </c>
      <c r="K651" s="32" t="s">
        <v>1355</v>
      </c>
    </row>
    <row r="652" customFormat="false" ht="15" hidden="false" customHeight="false" outlineLevel="0" collapsed="false">
      <c r="A652" s="23" t="str">
        <f aca="false">IF(B652="","",B652+(4*1000+51)/10000000)</f>
        <v/>
      </c>
      <c r="B652" s="35" t="str">
        <f aca="false">IF(Brand_Log!AY52=1,Brand_Log!H52,"")</f>
        <v/>
      </c>
      <c r="C652" s="23" t="str">
        <f aca="false">IF(B652="","","brand")</f>
        <v/>
      </c>
      <c r="D652" s="23" t="str">
        <f aca="false">IF(B652="","",Brand_Log!DV52&amp;"")</f>
        <v/>
      </c>
      <c r="E652" s="23" t="str">
        <f aca="false">IF(B652="","",IF(Brand_Log!B52="","",Brand_Log!B52&amp;""))</f>
        <v/>
      </c>
      <c r="F652" s="23" t="str">
        <f aca="false">IF(B652="","","conversation")</f>
        <v/>
      </c>
      <c r="G652" s="23" t="str">
        <f aca="false">IF(B652="","","")</f>
        <v/>
      </c>
      <c r="H652" s="23" t="str">
        <f aca="false">IF(B652="","","")</f>
        <v/>
      </c>
      <c r="I652" s="23" t="str">
        <f aca="false">IF(B652="","","")</f>
        <v/>
      </c>
      <c r="J652" s="23" t="str">
        <f aca="false">IF(B652="","",IF(Brand_Log!I52="","",Brand_Log!I52&amp;""))</f>
        <v/>
      </c>
      <c r="K652" s="32" t="s">
        <v>1355</v>
      </c>
    </row>
    <row r="653" customFormat="false" ht="15" hidden="false" customHeight="false" outlineLevel="0" collapsed="false">
      <c r="A653" s="23" t="str">
        <f aca="false">IF(B653="","",B653+(4*1000+52)/10000000)</f>
        <v/>
      </c>
      <c r="B653" s="35" t="str">
        <f aca="false">IF(Brand_Log!AY53=1,Brand_Log!H53,"")</f>
        <v/>
      </c>
      <c r="C653" s="23" t="str">
        <f aca="false">IF(B653="","","brand")</f>
        <v/>
      </c>
      <c r="D653" s="23" t="str">
        <f aca="false">IF(B653="","",Brand_Log!DV53&amp;"")</f>
        <v/>
      </c>
      <c r="E653" s="23" t="str">
        <f aca="false">IF(B653="","",IF(Brand_Log!B53="","",Brand_Log!B53&amp;""))</f>
        <v/>
      </c>
      <c r="F653" s="23" t="str">
        <f aca="false">IF(B653="","","conversation")</f>
        <v/>
      </c>
      <c r="G653" s="23" t="str">
        <f aca="false">IF(B653="","","")</f>
        <v/>
      </c>
      <c r="H653" s="23" t="str">
        <f aca="false">IF(B653="","","")</f>
        <v/>
      </c>
      <c r="I653" s="23" t="str">
        <f aca="false">IF(B653="","","")</f>
        <v/>
      </c>
      <c r="J653" s="23" t="str">
        <f aca="false">IF(B653="","",IF(Brand_Log!I53="","",Brand_Log!I53&amp;""))</f>
        <v/>
      </c>
      <c r="K653" s="32" t="s">
        <v>1355</v>
      </c>
    </row>
    <row r="654" customFormat="false" ht="15" hidden="false" customHeight="false" outlineLevel="0" collapsed="false">
      <c r="A654" s="23" t="str">
        <f aca="false">IF(B654="","",B654+(4*1000+53)/10000000)</f>
        <v/>
      </c>
      <c r="B654" s="35" t="str">
        <f aca="false">IF(Brand_Log!AY54=1,Brand_Log!H54,"")</f>
        <v/>
      </c>
      <c r="C654" s="23" t="str">
        <f aca="false">IF(B654="","","brand")</f>
        <v/>
      </c>
      <c r="D654" s="23" t="str">
        <f aca="false">IF(B654="","",Brand_Log!DV54&amp;"")</f>
        <v/>
      </c>
      <c r="E654" s="23" t="str">
        <f aca="false">IF(B654="","",IF(Brand_Log!B54="","",Brand_Log!B54&amp;""))</f>
        <v/>
      </c>
      <c r="F654" s="23" t="str">
        <f aca="false">IF(B654="","","conversation")</f>
        <v/>
      </c>
      <c r="G654" s="23" t="str">
        <f aca="false">IF(B654="","","")</f>
        <v/>
      </c>
      <c r="H654" s="23" t="str">
        <f aca="false">IF(B654="","","")</f>
        <v/>
      </c>
      <c r="I654" s="23" t="str">
        <f aca="false">IF(B654="","","")</f>
        <v/>
      </c>
      <c r="J654" s="23" t="str">
        <f aca="false">IF(B654="","",IF(Brand_Log!I54="","",Brand_Log!I54&amp;""))</f>
        <v/>
      </c>
      <c r="K654" s="32" t="s">
        <v>1355</v>
      </c>
    </row>
    <row r="655" customFormat="false" ht="15" hidden="false" customHeight="false" outlineLevel="0" collapsed="false">
      <c r="A655" s="23" t="str">
        <f aca="false">IF(B655="","",B655+(4*1000+54)/10000000)</f>
        <v/>
      </c>
      <c r="B655" s="35" t="str">
        <f aca="false">IF(Brand_Log!AY55=1,Brand_Log!H55,"")</f>
        <v/>
      </c>
      <c r="C655" s="23" t="str">
        <f aca="false">IF(B655="","","brand")</f>
        <v/>
      </c>
      <c r="D655" s="23" t="str">
        <f aca="false">IF(B655="","",Brand_Log!DV55&amp;"")</f>
        <v/>
      </c>
      <c r="E655" s="23" t="str">
        <f aca="false">IF(B655="","",IF(Brand_Log!B55="","",Brand_Log!B55&amp;""))</f>
        <v/>
      </c>
      <c r="F655" s="23" t="str">
        <f aca="false">IF(B655="","","conversation")</f>
        <v/>
      </c>
      <c r="G655" s="23" t="str">
        <f aca="false">IF(B655="","","")</f>
        <v/>
      </c>
      <c r="H655" s="23" t="str">
        <f aca="false">IF(B655="","","")</f>
        <v/>
      </c>
      <c r="I655" s="23" t="str">
        <f aca="false">IF(B655="","","")</f>
        <v/>
      </c>
      <c r="J655" s="23" t="str">
        <f aca="false">IF(B655="","",IF(Brand_Log!I55="","",Brand_Log!I55&amp;""))</f>
        <v/>
      </c>
      <c r="K655" s="32" t="s">
        <v>1355</v>
      </c>
    </row>
    <row r="656" customFormat="false" ht="15" hidden="false" customHeight="false" outlineLevel="0" collapsed="false">
      <c r="A656" s="23" t="str">
        <f aca="false">IF(B656="","",B656+(4*1000+55)/10000000)</f>
        <v/>
      </c>
      <c r="B656" s="35" t="str">
        <f aca="false">IF(Brand_Log!AY56=1,Brand_Log!H56,"")</f>
        <v/>
      </c>
      <c r="C656" s="23" t="str">
        <f aca="false">IF(B656="","","brand")</f>
        <v/>
      </c>
      <c r="D656" s="23" t="str">
        <f aca="false">IF(B656="","",Brand_Log!DV56&amp;"")</f>
        <v/>
      </c>
      <c r="E656" s="23" t="str">
        <f aca="false">IF(B656="","",IF(Brand_Log!B56="","",Brand_Log!B56&amp;""))</f>
        <v/>
      </c>
      <c r="F656" s="23" t="str">
        <f aca="false">IF(B656="","","conversation")</f>
        <v/>
      </c>
      <c r="G656" s="23" t="str">
        <f aca="false">IF(B656="","","")</f>
        <v/>
      </c>
      <c r="H656" s="23" t="str">
        <f aca="false">IF(B656="","","")</f>
        <v/>
      </c>
      <c r="I656" s="23" t="str">
        <f aca="false">IF(B656="","","")</f>
        <v/>
      </c>
      <c r="J656" s="23" t="str">
        <f aca="false">IF(B656="","",IF(Brand_Log!I56="","",Brand_Log!I56&amp;""))</f>
        <v/>
      </c>
      <c r="K656" s="32" t="s">
        <v>1355</v>
      </c>
    </row>
    <row r="657" customFormat="false" ht="15" hidden="false" customHeight="false" outlineLevel="0" collapsed="false">
      <c r="A657" s="23" t="str">
        <f aca="false">IF(B657="","",B657+(4*1000+56)/10000000)</f>
        <v/>
      </c>
      <c r="B657" s="35" t="str">
        <f aca="false">IF(Brand_Log!AY57=1,Brand_Log!H57,"")</f>
        <v/>
      </c>
      <c r="C657" s="23" t="str">
        <f aca="false">IF(B657="","","brand")</f>
        <v/>
      </c>
      <c r="D657" s="23" t="str">
        <f aca="false">IF(B657="","",Brand_Log!DV57&amp;"")</f>
        <v/>
      </c>
      <c r="E657" s="23" t="str">
        <f aca="false">IF(B657="","",IF(Brand_Log!B57="","",Brand_Log!B57&amp;""))</f>
        <v/>
      </c>
      <c r="F657" s="23" t="str">
        <f aca="false">IF(B657="","","conversation")</f>
        <v/>
      </c>
      <c r="G657" s="23" t="str">
        <f aca="false">IF(B657="","","")</f>
        <v/>
      </c>
      <c r="H657" s="23" t="str">
        <f aca="false">IF(B657="","","")</f>
        <v/>
      </c>
      <c r="I657" s="23" t="str">
        <f aca="false">IF(B657="","","")</f>
        <v/>
      </c>
      <c r="J657" s="23" t="str">
        <f aca="false">IF(B657="","",IF(Brand_Log!I57="","",Brand_Log!I57&amp;""))</f>
        <v/>
      </c>
      <c r="K657" s="32" t="s">
        <v>1355</v>
      </c>
    </row>
    <row r="658" customFormat="false" ht="15" hidden="false" customHeight="false" outlineLevel="0" collapsed="false">
      <c r="A658" s="23" t="str">
        <f aca="false">IF(B658="","",B658+(4*1000+57)/10000000)</f>
        <v/>
      </c>
      <c r="B658" s="35" t="str">
        <f aca="false">IF(Brand_Log!AY58=1,Brand_Log!H58,"")</f>
        <v/>
      </c>
      <c r="C658" s="23" t="str">
        <f aca="false">IF(B658="","","brand")</f>
        <v/>
      </c>
      <c r="D658" s="23" t="str">
        <f aca="false">IF(B658="","",Brand_Log!DV58&amp;"")</f>
        <v/>
      </c>
      <c r="E658" s="23" t="str">
        <f aca="false">IF(B658="","",IF(Brand_Log!B58="","",Brand_Log!B58&amp;""))</f>
        <v/>
      </c>
      <c r="F658" s="23" t="str">
        <f aca="false">IF(B658="","","conversation")</f>
        <v/>
      </c>
      <c r="G658" s="23" t="str">
        <f aca="false">IF(B658="","","")</f>
        <v/>
      </c>
      <c r="H658" s="23" t="str">
        <f aca="false">IF(B658="","","")</f>
        <v/>
      </c>
      <c r="I658" s="23" t="str">
        <f aca="false">IF(B658="","","")</f>
        <v/>
      </c>
      <c r="J658" s="23" t="str">
        <f aca="false">IF(B658="","",IF(Brand_Log!I58="","",Brand_Log!I58&amp;""))</f>
        <v/>
      </c>
      <c r="K658" s="32" t="s">
        <v>1355</v>
      </c>
    </row>
    <row r="659" customFormat="false" ht="15" hidden="false" customHeight="false" outlineLevel="0" collapsed="false">
      <c r="A659" s="23" t="str">
        <f aca="false">IF(B659="","",B659+(4*1000+58)/10000000)</f>
        <v/>
      </c>
      <c r="B659" s="35" t="str">
        <f aca="false">IF(Brand_Log!AY59=1,Brand_Log!H59,"")</f>
        <v/>
      </c>
      <c r="C659" s="23" t="str">
        <f aca="false">IF(B659="","","brand")</f>
        <v/>
      </c>
      <c r="D659" s="23" t="str">
        <f aca="false">IF(B659="","",Brand_Log!DV59&amp;"")</f>
        <v/>
      </c>
      <c r="E659" s="23" t="str">
        <f aca="false">IF(B659="","",IF(Brand_Log!B59="","",Brand_Log!B59&amp;""))</f>
        <v/>
      </c>
      <c r="F659" s="23" t="str">
        <f aca="false">IF(B659="","","conversation")</f>
        <v/>
      </c>
      <c r="G659" s="23" t="str">
        <f aca="false">IF(B659="","","")</f>
        <v/>
      </c>
      <c r="H659" s="23" t="str">
        <f aca="false">IF(B659="","","")</f>
        <v/>
      </c>
      <c r="I659" s="23" t="str">
        <f aca="false">IF(B659="","","")</f>
        <v/>
      </c>
      <c r="J659" s="23" t="str">
        <f aca="false">IF(B659="","",IF(Brand_Log!I59="","",Brand_Log!I59&amp;""))</f>
        <v/>
      </c>
      <c r="K659" s="32" t="s">
        <v>1355</v>
      </c>
    </row>
    <row r="660" customFormat="false" ht="15" hidden="false" customHeight="false" outlineLevel="0" collapsed="false">
      <c r="A660" s="23" t="str">
        <f aca="false">IF(B660="","",B660+(4*1000+59)/10000000)</f>
        <v/>
      </c>
      <c r="B660" s="35" t="str">
        <f aca="false">IF(Brand_Log!AY60=1,Brand_Log!H60,"")</f>
        <v/>
      </c>
      <c r="C660" s="23" t="str">
        <f aca="false">IF(B660="","","brand")</f>
        <v/>
      </c>
      <c r="D660" s="23" t="str">
        <f aca="false">IF(B660="","",Brand_Log!DV60&amp;"")</f>
        <v/>
      </c>
      <c r="E660" s="23" t="str">
        <f aca="false">IF(B660="","",IF(Brand_Log!B60="","",Brand_Log!B60&amp;""))</f>
        <v/>
      </c>
      <c r="F660" s="23" t="str">
        <f aca="false">IF(B660="","","conversation")</f>
        <v/>
      </c>
      <c r="G660" s="23" t="str">
        <f aca="false">IF(B660="","","")</f>
        <v/>
      </c>
      <c r="H660" s="23" t="str">
        <f aca="false">IF(B660="","","")</f>
        <v/>
      </c>
      <c r="I660" s="23" t="str">
        <f aca="false">IF(B660="","","")</f>
        <v/>
      </c>
      <c r="J660" s="23" t="str">
        <f aca="false">IF(B660="","",IF(Brand_Log!I60="","",Brand_Log!I60&amp;""))</f>
        <v/>
      </c>
      <c r="K660" s="32" t="s">
        <v>1355</v>
      </c>
    </row>
    <row r="661" customFormat="false" ht="15" hidden="false" customHeight="false" outlineLevel="0" collapsed="false">
      <c r="A661" s="23" t="str">
        <f aca="false">IF(B661="","",B661+(4*1000+60)/10000000)</f>
        <v/>
      </c>
      <c r="B661" s="35" t="str">
        <f aca="false">IF(Brand_Log!AY61=1,Brand_Log!H61,"")</f>
        <v/>
      </c>
      <c r="C661" s="23" t="str">
        <f aca="false">IF(B661="","","brand")</f>
        <v/>
      </c>
      <c r="D661" s="23" t="str">
        <f aca="false">IF(B661="","",Brand_Log!DV61&amp;"")</f>
        <v/>
      </c>
      <c r="E661" s="23" t="str">
        <f aca="false">IF(B661="","",IF(Brand_Log!B61="","",Brand_Log!B61&amp;""))</f>
        <v/>
      </c>
      <c r="F661" s="23" t="str">
        <f aca="false">IF(B661="","","conversation")</f>
        <v/>
      </c>
      <c r="G661" s="23" t="str">
        <f aca="false">IF(B661="","","")</f>
        <v/>
      </c>
      <c r="H661" s="23" t="str">
        <f aca="false">IF(B661="","","")</f>
        <v/>
      </c>
      <c r="I661" s="23" t="str">
        <f aca="false">IF(B661="","","")</f>
        <v/>
      </c>
      <c r="J661" s="23" t="str">
        <f aca="false">IF(B661="","",IF(Brand_Log!I61="","",Brand_Log!I61&amp;""))</f>
        <v/>
      </c>
      <c r="K661" s="32" t="s">
        <v>1355</v>
      </c>
    </row>
    <row r="662" customFormat="false" ht="15" hidden="false" customHeight="false" outlineLevel="0" collapsed="false">
      <c r="A662" s="23" t="str">
        <f aca="false">IF(B662="","",B662+(4*1000+61)/10000000)</f>
        <v/>
      </c>
      <c r="B662" s="35" t="str">
        <f aca="false">IF(Brand_Log!AY62=1,Brand_Log!H62,"")</f>
        <v/>
      </c>
      <c r="C662" s="23" t="str">
        <f aca="false">IF(B662="","","brand")</f>
        <v/>
      </c>
      <c r="D662" s="23" t="str">
        <f aca="false">IF(B662="","",Brand_Log!DV62&amp;"")</f>
        <v/>
      </c>
      <c r="E662" s="23" t="str">
        <f aca="false">IF(B662="","",IF(Brand_Log!B62="","",Brand_Log!B62&amp;""))</f>
        <v/>
      </c>
      <c r="F662" s="23" t="str">
        <f aca="false">IF(B662="","","conversation")</f>
        <v/>
      </c>
      <c r="G662" s="23" t="str">
        <f aca="false">IF(B662="","","")</f>
        <v/>
      </c>
      <c r="H662" s="23" t="str">
        <f aca="false">IF(B662="","","")</f>
        <v/>
      </c>
      <c r="I662" s="23" t="str">
        <f aca="false">IF(B662="","","")</f>
        <v/>
      </c>
      <c r="J662" s="23" t="str">
        <f aca="false">IF(B662="","",IF(Brand_Log!I62="","",Brand_Log!I62&amp;""))</f>
        <v/>
      </c>
      <c r="K662" s="32" t="s">
        <v>1355</v>
      </c>
    </row>
    <row r="663" customFormat="false" ht="15" hidden="false" customHeight="false" outlineLevel="0" collapsed="false">
      <c r="A663" s="23" t="str">
        <f aca="false">IF(B663="","",B663+(4*1000+62)/10000000)</f>
        <v/>
      </c>
      <c r="B663" s="35" t="str">
        <f aca="false">IF(Brand_Log!AY63=1,Brand_Log!H63,"")</f>
        <v/>
      </c>
      <c r="C663" s="23" t="str">
        <f aca="false">IF(B663="","","brand")</f>
        <v/>
      </c>
      <c r="D663" s="23" t="str">
        <f aca="false">IF(B663="","",Brand_Log!DV63&amp;"")</f>
        <v/>
      </c>
      <c r="E663" s="23" t="str">
        <f aca="false">IF(B663="","",IF(Brand_Log!B63="","",Brand_Log!B63&amp;""))</f>
        <v/>
      </c>
      <c r="F663" s="23" t="str">
        <f aca="false">IF(B663="","","conversation")</f>
        <v/>
      </c>
      <c r="G663" s="23" t="str">
        <f aca="false">IF(B663="","","")</f>
        <v/>
      </c>
      <c r="H663" s="23" t="str">
        <f aca="false">IF(B663="","","")</f>
        <v/>
      </c>
      <c r="I663" s="23" t="str">
        <f aca="false">IF(B663="","","")</f>
        <v/>
      </c>
      <c r="J663" s="23" t="str">
        <f aca="false">IF(B663="","",IF(Brand_Log!I63="","",Brand_Log!I63&amp;""))</f>
        <v/>
      </c>
      <c r="K663" s="32" t="s">
        <v>1355</v>
      </c>
    </row>
    <row r="664" customFormat="false" ht="15" hidden="false" customHeight="false" outlineLevel="0" collapsed="false">
      <c r="A664" s="23" t="str">
        <f aca="false">IF(B664="","",B664+(4*1000+63)/10000000)</f>
        <v/>
      </c>
      <c r="B664" s="35" t="str">
        <f aca="false">IF(Brand_Log!AY64=1,Brand_Log!H64,"")</f>
        <v/>
      </c>
      <c r="C664" s="23" t="str">
        <f aca="false">IF(B664="","","brand")</f>
        <v/>
      </c>
      <c r="D664" s="23" t="str">
        <f aca="false">IF(B664="","",Brand_Log!DV64&amp;"")</f>
        <v/>
      </c>
      <c r="E664" s="23" t="str">
        <f aca="false">IF(B664="","",IF(Brand_Log!B64="","",Brand_Log!B64&amp;""))</f>
        <v/>
      </c>
      <c r="F664" s="23" t="str">
        <f aca="false">IF(B664="","","conversation")</f>
        <v/>
      </c>
      <c r="G664" s="23" t="str">
        <f aca="false">IF(B664="","","")</f>
        <v/>
      </c>
      <c r="H664" s="23" t="str">
        <f aca="false">IF(B664="","","")</f>
        <v/>
      </c>
      <c r="I664" s="23" t="str">
        <f aca="false">IF(B664="","","")</f>
        <v/>
      </c>
      <c r="J664" s="23" t="str">
        <f aca="false">IF(B664="","",IF(Brand_Log!I64="","",Brand_Log!I64&amp;""))</f>
        <v/>
      </c>
      <c r="K664" s="32" t="s">
        <v>1355</v>
      </c>
    </row>
    <row r="665" customFormat="false" ht="15" hidden="false" customHeight="false" outlineLevel="0" collapsed="false">
      <c r="A665" s="23" t="str">
        <f aca="false">IF(B665="","",B665+(4*1000+64)/10000000)</f>
        <v/>
      </c>
      <c r="B665" s="35" t="str">
        <f aca="false">IF(Brand_Log!AY65=1,Brand_Log!H65,"")</f>
        <v/>
      </c>
      <c r="C665" s="23" t="str">
        <f aca="false">IF(B665="","","brand")</f>
        <v/>
      </c>
      <c r="D665" s="23" t="str">
        <f aca="false">IF(B665="","",Brand_Log!DV65&amp;"")</f>
        <v/>
      </c>
      <c r="E665" s="23" t="str">
        <f aca="false">IF(B665="","",IF(Brand_Log!B65="","",Brand_Log!B65&amp;""))</f>
        <v/>
      </c>
      <c r="F665" s="23" t="str">
        <f aca="false">IF(B665="","","conversation")</f>
        <v/>
      </c>
      <c r="G665" s="23" t="str">
        <f aca="false">IF(B665="","","")</f>
        <v/>
      </c>
      <c r="H665" s="23" t="str">
        <f aca="false">IF(B665="","","")</f>
        <v/>
      </c>
      <c r="I665" s="23" t="str">
        <f aca="false">IF(B665="","","")</f>
        <v/>
      </c>
      <c r="J665" s="23" t="str">
        <f aca="false">IF(B665="","",IF(Brand_Log!I65="","",Brand_Log!I65&amp;""))</f>
        <v/>
      </c>
      <c r="K665" s="32" t="s">
        <v>1355</v>
      </c>
    </row>
    <row r="666" customFormat="false" ht="15" hidden="false" customHeight="false" outlineLevel="0" collapsed="false">
      <c r="A666" s="23" t="str">
        <f aca="false">IF(B666="","",B666+(4*1000+65)/10000000)</f>
        <v/>
      </c>
      <c r="B666" s="35" t="str">
        <f aca="false">IF(Brand_Log!AY66=1,Brand_Log!H66,"")</f>
        <v/>
      </c>
      <c r="C666" s="23" t="str">
        <f aca="false">IF(B666="","","brand")</f>
        <v/>
      </c>
      <c r="D666" s="23" t="str">
        <f aca="false">IF(B666="","",Brand_Log!DV66&amp;"")</f>
        <v/>
      </c>
      <c r="E666" s="23" t="str">
        <f aca="false">IF(B666="","",IF(Brand_Log!B66="","",Brand_Log!B66&amp;""))</f>
        <v/>
      </c>
      <c r="F666" s="23" t="str">
        <f aca="false">IF(B666="","","conversation")</f>
        <v/>
      </c>
      <c r="G666" s="23" t="str">
        <f aca="false">IF(B666="","","")</f>
        <v/>
      </c>
      <c r="H666" s="23" t="str">
        <f aca="false">IF(B666="","","")</f>
        <v/>
      </c>
      <c r="I666" s="23" t="str">
        <f aca="false">IF(B666="","","")</f>
        <v/>
      </c>
      <c r="J666" s="23" t="str">
        <f aca="false">IF(B666="","",IF(Brand_Log!I66="","",Brand_Log!I66&amp;""))</f>
        <v/>
      </c>
      <c r="K666" s="32" t="s">
        <v>1355</v>
      </c>
    </row>
    <row r="667" customFormat="false" ht="15" hidden="false" customHeight="false" outlineLevel="0" collapsed="false">
      <c r="A667" s="23" t="str">
        <f aca="false">IF(B667="","",B667+(4*1000+66)/10000000)</f>
        <v/>
      </c>
      <c r="B667" s="35" t="str">
        <f aca="false">IF(Brand_Log!AY67=1,Brand_Log!H67,"")</f>
        <v/>
      </c>
      <c r="C667" s="23" t="str">
        <f aca="false">IF(B667="","","brand")</f>
        <v/>
      </c>
      <c r="D667" s="23" t="str">
        <f aca="false">IF(B667="","",Brand_Log!DV67&amp;"")</f>
        <v/>
      </c>
      <c r="E667" s="23" t="str">
        <f aca="false">IF(B667="","",IF(Brand_Log!B67="","",Brand_Log!B67&amp;""))</f>
        <v/>
      </c>
      <c r="F667" s="23" t="str">
        <f aca="false">IF(B667="","","conversation")</f>
        <v/>
      </c>
      <c r="G667" s="23" t="str">
        <f aca="false">IF(B667="","","")</f>
        <v/>
      </c>
      <c r="H667" s="23" t="str">
        <f aca="false">IF(B667="","","")</f>
        <v/>
      </c>
      <c r="I667" s="23" t="str">
        <f aca="false">IF(B667="","","")</f>
        <v/>
      </c>
      <c r="J667" s="23" t="str">
        <f aca="false">IF(B667="","",IF(Brand_Log!I67="","",Brand_Log!I67&amp;""))</f>
        <v/>
      </c>
      <c r="K667" s="32" t="s">
        <v>1355</v>
      </c>
    </row>
    <row r="668" customFormat="false" ht="15" hidden="false" customHeight="false" outlineLevel="0" collapsed="false">
      <c r="A668" s="23" t="str">
        <f aca="false">IF(B668="","",B668+(4*1000+67)/10000000)</f>
        <v/>
      </c>
      <c r="B668" s="35" t="str">
        <f aca="false">IF(Brand_Log!AY68=1,Brand_Log!H68,"")</f>
        <v/>
      </c>
      <c r="C668" s="23" t="str">
        <f aca="false">IF(B668="","","brand")</f>
        <v/>
      </c>
      <c r="D668" s="23" t="str">
        <f aca="false">IF(B668="","",Brand_Log!DV68&amp;"")</f>
        <v/>
      </c>
      <c r="E668" s="23" t="str">
        <f aca="false">IF(B668="","",IF(Brand_Log!B68="","",Brand_Log!B68&amp;""))</f>
        <v/>
      </c>
      <c r="F668" s="23" t="str">
        <f aca="false">IF(B668="","","conversation")</f>
        <v/>
      </c>
      <c r="G668" s="23" t="str">
        <f aca="false">IF(B668="","","")</f>
        <v/>
      </c>
      <c r="H668" s="23" t="str">
        <f aca="false">IF(B668="","","")</f>
        <v/>
      </c>
      <c r="I668" s="23" t="str">
        <f aca="false">IF(B668="","","")</f>
        <v/>
      </c>
      <c r="J668" s="23" t="str">
        <f aca="false">IF(B668="","",IF(Brand_Log!I68="","",Brand_Log!I68&amp;""))</f>
        <v/>
      </c>
      <c r="K668" s="32" t="s">
        <v>1355</v>
      </c>
    </row>
    <row r="669" customFormat="false" ht="15" hidden="false" customHeight="false" outlineLevel="0" collapsed="false">
      <c r="A669" s="23" t="str">
        <f aca="false">IF(B669="","",B669+(4*1000+68)/10000000)</f>
        <v/>
      </c>
      <c r="B669" s="35" t="str">
        <f aca="false">IF(Brand_Log!AY69=1,Brand_Log!H69,"")</f>
        <v/>
      </c>
      <c r="C669" s="23" t="str">
        <f aca="false">IF(B669="","","brand")</f>
        <v/>
      </c>
      <c r="D669" s="23" t="str">
        <f aca="false">IF(B669="","",Brand_Log!DV69&amp;"")</f>
        <v/>
      </c>
      <c r="E669" s="23" t="str">
        <f aca="false">IF(B669="","",IF(Brand_Log!B69="","",Brand_Log!B69&amp;""))</f>
        <v/>
      </c>
      <c r="F669" s="23" t="str">
        <f aca="false">IF(B669="","","conversation")</f>
        <v/>
      </c>
      <c r="G669" s="23" t="str">
        <f aca="false">IF(B669="","","")</f>
        <v/>
      </c>
      <c r="H669" s="23" t="str">
        <f aca="false">IF(B669="","","")</f>
        <v/>
      </c>
      <c r="I669" s="23" t="str">
        <f aca="false">IF(B669="","","")</f>
        <v/>
      </c>
      <c r="J669" s="23" t="str">
        <f aca="false">IF(B669="","",IF(Brand_Log!I69="","",Brand_Log!I69&amp;""))</f>
        <v/>
      </c>
      <c r="K669" s="32" t="s">
        <v>1355</v>
      </c>
    </row>
    <row r="670" customFormat="false" ht="15" hidden="false" customHeight="false" outlineLevel="0" collapsed="false">
      <c r="A670" s="23" t="str">
        <f aca="false">IF(B670="","",B670+(4*1000+69)/10000000)</f>
        <v/>
      </c>
      <c r="B670" s="35" t="str">
        <f aca="false">IF(Brand_Log!AY70=1,Brand_Log!H70,"")</f>
        <v/>
      </c>
      <c r="C670" s="23" t="str">
        <f aca="false">IF(B670="","","brand")</f>
        <v/>
      </c>
      <c r="D670" s="23" t="str">
        <f aca="false">IF(B670="","",Brand_Log!DV70&amp;"")</f>
        <v/>
      </c>
      <c r="E670" s="23" t="str">
        <f aca="false">IF(B670="","",IF(Brand_Log!B70="","",Brand_Log!B70&amp;""))</f>
        <v/>
      </c>
      <c r="F670" s="23" t="str">
        <f aca="false">IF(B670="","","conversation")</f>
        <v/>
      </c>
      <c r="G670" s="23" t="str">
        <f aca="false">IF(B670="","","")</f>
        <v/>
      </c>
      <c r="H670" s="23" t="str">
        <f aca="false">IF(B670="","","")</f>
        <v/>
      </c>
      <c r="I670" s="23" t="str">
        <f aca="false">IF(B670="","","")</f>
        <v/>
      </c>
      <c r="J670" s="23" t="str">
        <f aca="false">IF(B670="","",IF(Brand_Log!I70="","",Brand_Log!I70&amp;""))</f>
        <v/>
      </c>
      <c r="K670" s="32" t="s">
        <v>1355</v>
      </c>
    </row>
    <row r="671" customFormat="false" ht="15" hidden="false" customHeight="false" outlineLevel="0" collapsed="false">
      <c r="A671" s="23" t="str">
        <f aca="false">IF(B671="","",B671+(4*1000+70)/10000000)</f>
        <v/>
      </c>
      <c r="B671" s="35" t="str">
        <f aca="false">IF(Brand_Log!AY71=1,Brand_Log!H71,"")</f>
        <v/>
      </c>
      <c r="C671" s="23" t="str">
        <f aca="false">IF(B671="","","brand")</f>
        <v/>
      </c>
      <c r="D671" s="23" t="str">
        <f aca="false">IF(B671="","",Brand_Log!DV71&amp;"")</f>
        <v/>
      </c>
      <c r="E671" s="23" t="str">
        <f aca="false">IF(B671="","",IF(Brand_Log!B71="","",Brand_Log!B71&amp;""))</f>
        <v/>
      </c>
      <c r="F671" s="23" t="str">
        <f aca="false">IF(B671="","","conversation")</f>
        <v/>
      </c>
      <c r="G671" s="23" t="str">
        <f aca="false">IF(B671="","","")</f>
        <v/>
      </c>
      <c r="H671" s="23" t="str">
        <f aca="false">IF(B671="","","")</f>
        <v/>
      </c>
      <c r="I671" s="23" t="str">
        <f aca="false">IF(B671="","","")</f>
        <v/>
      </c>
      <c r="J671" s="23" t="str">
        <f aca="false">IF(B671="","",IF(Brand_Log!I71="","",Brand_Log!I71&amp;""))</f>
        <v/>
      </c>
      <c r="K671" s="32" t="s">
        <v>1355</v>
      </c>
    </row>
    <row r="672" customFormat="false" ht="15" hidden="false" customHeight="false" outlineLevel="0" collapsed="false">
      <c r="A672" s="23" t="str">
        <f aca="false">IF(B672="","",B672+(4*1000+71)/10000000)</f>
        <v/>
      </c>
      <c r="B672" s="35" t="str">
        <f aca="false">IF(Brand_Log!AY72=1,Brand_Log!H72,"")</f>
        <v/>
      </c>
      <c r="C672" s="23" t="str">
        <f aca="false">IF(B672="","","brand")</f>
        <v/>
      </c>
      <c r="D672" s="23" t="str">
        <f aca="false">IF(B672="","",Brand_Log!DV72&amp;"")</f>
        <v/>
      </c>
      <c r="E672" s="23" t="str">
        <f aca="false">IF(B672="","",IF(Brand_Log!B72="","",Brand_Log!B72&amp;""))</f>
        <v/>
      </c>
      <c r="F672" s="23" t="str">
        <f aca="false">IF(B672="","","conversation")</f>
        <v/>
      </c>
      <c r="G672" s="23" t="str">
        <f aca="false">IF(B672="","","")</f>
        <v/>
      </c>
      <c r="H672" s="23" t="str">
        <f aca="false">IF(B672="","","")</f>
        <v/>
      </c>
      <c r="I672" s="23" t="str">
        <f aca="false">IF(B672="","","")</f>
        <v/>
      </c>
      <c r="J672" s="23" t="str">
        <f aca="false">IF(B672="","",IF(Brand_Log!I72="","",Brand_Log!I72&amp;""))</f>
        <v/>
      </c>
      <c r="K672" s="32" t="s">
        <v>1355</v>
      </c>
    </row>
    <row r="673" customFormat="false" ht="15" hidden="false" customHeight="false" outlineLevel="0" collapsed="false">
      <c r="A673" s="23" t="str">
        <f aca="false">IF(B673="","",B673+(4*1000+72)/10000000)</f>
        <v/>
      </c>
      <c r="B673" s="35" t="str">
        <f aca="false">IF(Brand_Log!AY73=1,Brand_Log!H73,"")</f>
        <v/>
      </c>
      <c r="C673" s="23" t="str">
        <f aca="false">IF(B673="","","brand")</f>
        <v/>
      </c>
      <c r="D673" s="23" t="str">
        <f aca="false">IF(B673="","",Brand_Log!DV73&amp;"")</f>
        <v/>
      </c>
      <c r="E673" s="23" t="str">
        <f aca="false">IF(B673="","",IF(Brand_Log!B73="","",Brand_Log!B73&amp;""))</f>
        <v/>
      </c>
      <c r="F673" s="23" t="str">
        <f aca="false">IF(B673="","","conversation")</f>
        <v/>
      </c>
      <c r="G673" s="23" t="str">
        <f aca="false">IF(B673="","","")</f>
        <v/>
      </c>
      <c r="H673" s="23" t="str">
        <f aca="false">IF(B673="","","")</f>
        <v/>
      </c>
      <c r="I673" s="23" t="str">
        <f aca="false">IF(B673="","","")</f>
        <v/>
      </c>
      <c r="J673" s="23" t="str">
        <f aca="false">IF(B673="","",IF(Brand_Log!I73="","",Brand_Log!I73&amp;""))</f>
        <v/>
      </c>
      <c r="K673" s="32" t="s">
        <v>1355</v>
      </c>
    </row>
    <row r="674" customFormat="false" ht="15" hidden="false" customHeight="false" outlineLevel="0" collapsed="false">
      <c r="A674" s="23" t="str">
        <f aca="false">IF(B674="","",B674+(4*1000+73)/10000000)</f>
        <v/>
      </c>
      <c r="B674" s="35" t="str">
        <f aca="false">IF(Brand_Log!AY74=1,Brand_Log!H74,"")</f>
        <v/>
      </c>
      <c r="C674" s="23" t="str">
        <f aca="false">IF(B674="","","brand")</f>
        <v/>
      </c>
      <c r="D674" s="23" t="str">
        <f aca="false">IF(B674="","",Brand_Log!DV74&amp;"")</f>
        <v/>
      </c>
      <c r="E674" s="23" t="str">
        <f aca="false">IF(B674="","",IF(Brand_Log!B74="","",Brand_Log!B74&amp;""))</f>
        <v/>
      </c>
      <c r="F674" s="23" t="str">
        <f aca="false">IF(B674="","","conversation")</f>
        <v/>
      </c>
      <c r="G674" s="23" t="str">
        <f aca="false">IF(B674="","","")</f>
        <v/>
      </c>
      <c r="H674" s="23" t="str">
        <f aca="false">IF(B674="","","")</f>
        <v/>
      </c>
      <c r="I674" s="23" t="str">
        <f aca="false">IF(B674="","","")</f>
        <v/>
      </c>
      <c r="J674" s="23" t="str">
        <f aca="false">IF(B674="","",IF(Brand_Log!I74="","",Brand_Log!I74&amp;""))</f>
        <v/>
      </c>
      <c r="K674" s="32" t="s">
        <v>1355</v>
      </c>
    </row>
    <row r="675" customFormat="false" ht="15" hidden="false" customHeight="false" outlineLevel="0" collapsed="false">
      <c r="A675" s="23" t="str">
        <f aca="false">IF(B675="","",B675+(4*1000+74)/10000000)</f>
        <v/>
      </c>
      <c r="B675" s="35" t="str">
        <f aca="false">IF(Brand_Log!AY75=1,Brand_Log!H75,"")</f>
        <v/>
      </c>
      <c r="C675" s="23" t="str">
        <f aca="false">IF(B675="","","brand")</f>
        <v/>
      </c>
      <c r="D675" s="23" t="str">
        <f aca="false">IF(B675="","",Brand_Log!DV75&amp;"")</f>
        <v/>
      </c>
      <c r="E675" s="23" t="str">
        <f aca="false">IF(B675="","",IF(Brand_Log!B75="","",Brand_Log!B75&amp;""))</f>
        <v/>
      </c>
      <c r="F675" s="23" t="str">
        <f aca="false">IF(B675="","","conversation")</f>
        <v/>
      </c>
      <c r="G675" s="23" t="str">
        <f aca="false">IF(B675="","","")</f>
        <v/>
      </c>
      <c r="H675" s="23" t="str">
        <f aca="false">IF(B675="","","")</f>
        <v/>
      </c>
      <c r="I675" s="23" t="str">
        <f aca="false">IF(B675="","","")</f>
        <v/>
      </c>
      <c r="J675" s="23" t="str">
        <f aca="false">IF(B675="","",IF(Brand_Log!I75="","",Brand_Log!I75&amp;""))</f>
        <v/>
      </c>
      <c r="K675" s="32" t="s">
        <v>1355</v>
      </c>
    </row>
    <row r="676" customFormat="false" ht="15" hidden="false" customHeight="false" outlineLevel="0" collapsed="false">
      <c r="A676" s="23" t="str">
        <f aca="false">IF(B676="","",B676+(4*1000+75)/10000000)</f>
        <v/>
      </c>
      <c r="B676" s="35" t="str">
        <f aca="false">IF(Brand_Log!AY76=1,Brand_Log!H76,"")</f>
        <v/>
      </c>
      <c r="C676" s="23" t="str">
        <f aca="false">IF(B676="","","brand")</f>
        <v/>
      </c>
      <c r="D676" s="23" t="str">
        <f aca="false">IF(B676="","",Brand_Log!DV76&amp;"")</f>
        <v/>
      </c>
      <c r="E676" s="23" t="str">
        <f aca="false">IF(B676="","",IF(Brand_Log!B76="","",Brand_Log!B76&amp;""))</f>
        <v/>
      </c>
      <c r="F676" s="23" t="str">
        <f aca="false">IF(B676="","","conversation")</f>
        <v/>
      </c>
      <c r="G676" s="23" t="str">
        <f aca="false">IF(B676="","","")</f>
        <v/>
      </c>
      <c r="H676" s="23" t="str">
        <f aca="false">IF(B676="","","")</f>
        <v/>
      </c>
      <c r="I676" s="23" t="str">
        <f aca="false">IF(B676="","","")</f>
        <v/>
      </c>
      <c r="J676" s="23" t="str">
        <f aca="false">IF(B676="","",IF(Brand_Log!I76="","",Brand_Log!I76&amp;""))</f>
        <v/>
      </c>
      <c r="K676" s="32" t="s">
        <v>1355</v>
      </c>
    </row>
    <row r="677" customFormat="false" ht="15" hidden="false" customHeight="false" outlineLevel="0" collapsed="false">
      <c r="A677" s="23" t="str">
        <f aca="false">IF(B677="","",B677+(4*1000+76)/10000000)</f>
        <v/>
      </c>
      <c r="B677" s="35" t="str">
        <f aca="false">IF(Brand_Log!AY77=1,Brand_Log!H77,"")</f>
        <v/>
      </c>
      <c r="C677" s="23" t="str">
        <f aca="false">IF(B677="","","brand")</f>
        <v/>
      </c>
      <c r="D677" s="23" t="str">
        <f aca="false">IF(B677="","",Brand_Log!DV77&amp;"")</f>
        <v/>
      </c>
      <c r="E677" s="23" t="str">
        <f aca="false">IF(B677="","",IF(Brand_Log!B77="","",Brand_Log!B77&amp;""))</f>
        <v/>
      </c>
      <c r="F677" s="23" t="str">
        <f aca="false">IF(B677="","","conversation")</f>
        <v/>
      </c>
      <c r="G677" s="23" t="str">
        <f aca="false">IF(B677="","","")</f>
        <v/>
      </c>
      <c r="H677" s="23" t="str">
        <f aca="false">IF(B677="","","")</f>
        <v/>
      </c>
      <c r="I677" s="23" t="str">
        <f aca="false">IF(B677="","","")</f>
        <v/>
      </c>
      <c r="J677" s="23" t="str">
        <f aca="false">IF(B677="","",IF(Brand_Log!I77="","",Brand_Log!I77&amp;""))</f>
        <v/>
      </c>
      <c r="K677" s="32" t="s">
        <v>1355</v>
      </c>
    </row>
    <row r="678" customFormat="false" ht="15" hidden="false" customHeight="false" outlineLevel="0" collapsed="false">
      <c r="A678" s="23" t="str">
        <f aca="false">IF(B678="","",B678+(4*1000+77)/10000000)</f>
        <v/>
      </c>
      <c r="B678" s="35" t="str">
        <f aca="false">IF(Brand_Log!AY78=1,Brand_Log!H78,"")</f>
        <v/>
      </c>
      <c r="C678" s="23" t="str">
        <f aca="false">IF(B678="","","brand")</f>
        <v/>
      </c>
      <c r="D678" s="23" t="str">
        <f aca="false">IF(B678="","",Brand_Log!DV78&amp;"")</f>
        <v/>
      </c>
      <c r="E678" s="23" t="str">
        <f aca="false">IF(B678="","",IF(Brand_Log!B78="","",Brand_Log!B78&amp;""))</f>
        <v/>
      </c>
      <c r="F678" s="23" t="str">
        <f aca="false">IF(B678="","","conversation")</f>
        <v/>
      </c>
      <c r="G678" s="23" t="str">
        <f aca="false">IF(B678="","","")</f>
        <v/>
      </c>
      <c r="H678" s="23" t="str">
        <f aca="false">IF(B678="","","")</f>
        <v/>
      </c>
      <c r="I678" s="23" t="str">
        <f aca="false">IF(B678="","","")</f>
        <v/>
      </c>
      <c r="J678" s="23" t="str">
        <f aca="false">IF(B678="","",IF(Brand_Log!I78="","",Brand_Log!I78&amp;""))</f>
        <v/>
      </c>
      <c r="K678" s="32" t="s">
        <v>1355</v>
      </c>
    </row>
    <row r="679" customFormat="false" ht="15" hidden="false" customHeight="false" outlineLevel="0" collapsed="false">
      <c r="A679" s="23" t="str">
        <f aca="false">IF(B679="","",B679+(4*1000+78)/10000000)</f>
        <v/>
      </c>
      <c r="B679" s="35" t="str">
        <f aca="false">IF(Brand_Log!AY79=1,Brand_Log!H79,"")</f>
        <v/>
      </c>
      <c r="C679" s="23" t="str">
        <f aca="false">IF(B679="","","brand")</f>
        <v/>
      </c>
      <c r="D679" s="23" t="str">
        <f aca="false">IF(B679="","",Brand_Log!DV79&amp;"")</f>
        <v/>
      </c>
      <c r="E679" s="23" t="str">
        <f aca="false">IF(B679="","",IF(Brand_Log!B79="","",Brand_Log!B79&amp;""))</f>
        <v/>
      </c>
      <c r="F679" s="23" t="str">
        <f aca="false">IF(B679="","","conversation")</f>
        <v/>
      </c>
      <c r="G679" s="23" t="str">
        <f aca="false">IF(B679="","","")</f>
        <v/>
      </c>
      <c r="H679" s="23" t="str">
        <f aca="false">IF(B679="","","")</f>
        <v/>
      </c>
      <c r="I679" s="23" t="str">
        <f aca="false">IF(B679="","","")</f>
        <v/>
      </c>
      <c r="J679" s="23" t="str">
        <f aca="false">IF(B679="","",IF(Brand_Log!I79="","",Brand_Log!I79&amp;""))</f>
        <v/>
      </c>
      <c r="K679" s="32" t="s">
        <v>1355</v>
      </c>
    </row>
    <row r="680" customFormat="false" ht="15" hidden="false" customHeight="false" outlineLevel="0" collapsed="false">
      <c r="A680" s="23" t="str">
        <f aca="false">IF(B680="","",B680+(4*1000+79)/10000000)</f>
        <v/>
      </c>
      <c r="B680" s="35" t="str">
        <f aca="false">IF(Brand_Log!AY80=1,Brand_Log!H80,"")</f>
        <v/>
      </c>
      <c r="C680" s="23" t="str">
        <f aca="false">IF(B680="","","brand")</f>
        <v/>
      </c>
      <c r="D680" s="23" t="str">
        <f aca="false">IF(B680="","",Brand_Log!DV80&amp;"")</f>
        <v/>
      </c>
      <c r="E680" s="23" t="str">
        <f aca="false">IF(B680="","",IF(Brand_Log!B80="","",Brand_Log!B80&amp;""))</f>
        <v/>
      </c>
      <c r="F680" s="23" t="str">
        <f aca="false">IF(B680="","","conversation")</f>
        <v/>
      </c>
      <c r="G680" s="23" t="str">
        <f aca="false">IF(B680="","","")</f>
        <v/>
      </c>
      <c r="H680" s="23" t="str">
        <f aca="false">IF(B680="","","")</f>
        <v/>
      </c>
      <c r="I680" s="23" t="str">
        <f aca="false">IF(B680="","","")</f>
        <v/>
      </c>
      <c r="J680" s="23" t="str">
        <f aca="false">IF(B680="","",IF(Brand_Log!I80="","",Brand_Log!I80&amp;""))</f>
        <v/>
      </c>
      <c r="K680" s="32" t="s">
        <v>1355</v>
      </c>
    </row>
    <row r="681" customFormat="false" ht="15" hidden="false" customHeight="false" outlineLevel="0" collapsed="false">
      <c r="A681" s="23" t="str">
        <f aca="false">IF(B681="","",B681+(4*1000+80)/10000000)</f>
        <v/>
      </c>
      <c r="B681" s="35" t="str">
        <f aca="false">IF(Brand_Log!AY81=1,Brand_Log!H81,"")</f>
        <v/>
      </c>
      <c r="C681" s="23" t="str">
        <f aca="false">IF(B681="","","brand")</f>
        <v/>
      </c>
      <c r="D681" s="23" t="str">
        <f aca="false">IF(B681="","",Brand_Log!DV81&amp;"")</f>
        <v/>
      </c>
      <c r="E681" s="23" t="str">
        <f aca="false">IF(B681="","",IF(Brand_Log!B81="","",Brand_Log!B81&amp;""))</f>
        <v/>
      </c>
      <c r="F681" s="23" t="str">
        <f aca="false">IF(B681="","","conversation")</f>
        <v/>
      </c>
      <c r="G681" s="23" t="str">
        <f aca="false">IF(B681="","","")</f>
        <v/>
      </c>
      <c r="H681" s="23" t="str">
        <f aca="false">IF(B681="","","")</f>
        <v/>
      </c>
      <c r="I681" s="23" t="str">
        <f aca="false">IF(B681="","","")</f>
        <v/>
      </c>
      <c r="J681" s="23" t="str">
        <f aca="false">IF(B681="","",IF(Brand_Log!I81="","",Brand_Log!I81&amp;""))</f>
        <v/>
      </c>
      <c r="K681" s="32" t="s">
        <v>1355</v>
      </c>
    </row>
    <row r="682" customFormat="false" ht="15" hidden="false" customHeight="false" outlineLevel="0" collapsed="false">
      <c r="A682" s="23" t="str">
        <f aca="false">IF(B682="","",B682+(4*1000+81)/10000000)</f>
        <v/>
      </c>
      <c r="B682" s="35" t="str">
        <f aca="false">IF(Brand_Log!AY82=1,Brand_Log!H82,"")</f>
        <v/>
      </c>
      <c r="C682" s="23" t="str">
        <f aca="false">IF(B682="","","brand")</f>
        <v/>
      </c>
      <c r="D682" s="23" t="str">
        <f aca="false">IF(B682="","",Brand_Log!DV82&amp;"")</f>
        <v/>
      </c>
      <c r="E682" s="23" t="str">
        <f aca="false">IF(B682="","",IF(Brand_Log!B82="","",Brand_Log!B82&amp;""))</f>
        <v/>
      </c>
      <c r="F682" s="23" t="str">
        <f aca="false">IF(B682="","","conversation")</f>
        <v/>
      </c>
      <c r="G682" s="23" t="str">
        <f aca="false">IF(B682="","","")</f>
        <v/>
      </c>
      <c r="H682" s="23" t="str">
        <f aca="false">IF(B682="","","")</f>
        <v/>
      </c>
      <c r="I682" s="23" t="str">
        <f aca="false">IF(B682="","","")</f>
        <v/>
      </c>
      <c r="J682" s="23" t="str">
        <f aca="false">IF(B682="","",IF(Brand_Log!I82="","",Brand_Log!I82&amp;""))</f>
        <v/>
      </c>
      <c r="K682" s="32" t="s">
        <v>1355</v>
      </c>
    </row>
    <row r="683" customFormat="false" ht="15" hidden="false" customHeight="false" outlineLevel="0" collapsed="false">
      <c r="A683" s="23" t="str">
        <f aca="false">IF(B683="","",B683+(4*1000+82)/10000000)</f>
        <v/>
      </c>
      <c r="B683" s="35" t="str">
        <f aca="false">IF(Brand_Log!AY83=1,Brand_Log!H83,"")</f>
        <v/>
      </c>
      <c r="C683" s="23" t="str">
        <f aca="false">IF(B683="","","brand")</f>
        <v/>
      </c>
      <c r="D683" s="23" t="str">
        <f aca="false">IF(B683="","",Brand_Log!DV83&amp;"")</f>
        <v/>
      </c>
      <c r="E683" s="23" t="str">
        <f aca="false">IF(B683="","",IF(Brand_Log!B83="","",Brand_Log!B83&amp;""))</f>
        <v/>
      </c>
      <c r="F683" s="23" t="str">
        <f aca="false">IF(B683="","","conversation")</f>
        <v/>
      </c>
      <c r="G683" s="23" t="str">
        <f aca="false">IF(B683="","","")</f>
        <v/>
      </c>
      <c r="H683" s="23" t="str">
        <f aca="false">IF(B683="","","")</f>
        <v/>
      </c>
      <c r="I683" s="23" t="str">
        <f aca="false">IF(B683="","","")</f>
        <v/>
      </c>
      <c r="J683" s="23" t="str">
        <f aca="false">IF(B683="","",IF(Brand_Log!I83="","",Brand_Log!I83&amp;""))</f>
        <v/>
      </c>
      <c r="K683" s="32" t="s">
        <v>1355</v>
      </c>
    </row>
    <row r="684" customFormat="false" ht="15" hidden="false" customHeight="false" outlineLevel="0" collapsed="false">
      <c r="A684" s="23" t="str">
        <f aca="false">IF(B684="","",B684+(4*1000+83)/10000000)</f>
        <v/>
      </c>
      <c r="B684" s="35" t="str">
        <f aca="false">IF(Brand_Log!AY84=1,Brand_Log!H84,"")</f>
        <v/>
      </c>
      <c r="C684" s="23" t="str">
        <f aca="false">IF(B684="","","brand")</f>
        <v/>
      </c>
      <c r="D684" s="23" t="str">
        <f aca="false">IF(B684="","",Brand_Log!DV84&amp;"")</f>
        <v/>
      </c>
      <c r="E684" s="23" t="str">
        <f aca="false">IF(B684="","",IF(Brand_Log!B84="","",Brand_Log!B84&amp;""))</f>
        <v/>
      </c>
      <c r="F684" s="23" t="str">
        <f aca="false">IF(B684="","","conversation")</f>
        <v/>
      </c>
      <c r="G684" s="23" t="str">
        <f aca="false">IF(B684="","","")</f>
        <v/>
      </c>
      <c r="H684" s="23" t="str">
        <f aca="false">IF(B684="","","")</f>
        <v/>
      </c>
      <c r="I684" s="23" t="str">
        <f aca="false">IF(B684="","","")</f>
        <v/>
      </c>
      <c r="J684" s="23" t="str">
        <f aca="false">IF(B684="","",IF(Brand_Log!I84="","",Brand_Log!I84&amp;""))</f>
        <v/>
      </c>
      <c r="K684" s="32" t="s">
        <v>1355</v>
      </c>
    </row>
    <row r="685" customFormat="false" ht="15" hidden="false" customHeight="false" outlineLevel="0" collapsed="false">
      <c r="A685" s="23" t="str">
        <f aca="false">IF(B685="","",B685+(4*1000+84)/10000000)</f>
        <v/>
      </c>
      <c r="B685" s="35" t="str">
        <f aca="false">IF(Brand_Log!AY85=1,Brand_Log!H85,"")</f>
        <v/>
      </c>
      <c r="C685" s="23" t="str">
        <f aca="false">IF(B685="","","brand")</f>
        <v/>
      </c>
      <c r="D685" s="23" t="str">
        <f aca="false">IF(B685="","",Brand_Log!DV85&amp;"")</f>
        <v/>
      </c>
      <c r="E685" s="23" t="str">
        <f aca="false">IF(B685="","",IF(Brand_Log!B85="","",Brand_Log!B85&amp;""))</f>
        <v/>
      </c>
      <c r="F685" s="23" t="str">
        <f aca="false">IF(B685="","","conversation")</f>
        <v/>
      </c>
      <c r="G685" s="23" t="str">
        <f aca="false">IF(B685="","","")</f>
        <v/>
      </c>
      <c r="H685" s="23" t="str">
        <f aca="false">IF(B685="","","")</f>
        <v/>
      </c>
      <c r="I685" s="23" t="str">
        <f aca="false">IF(B685="","","")</f>
        <v/>
      </c>
      <c r="J685" s="23" t="str">
        <f aca="false">IF(B685="","",IF(Brand_Log!I85="","",Brand_Log!I85&amp;""))</f>
        <v/>
      </c>
      <c r="K685" s="32" t="s">
        <v>1355</v>
      </c>
    </row>
    <row r="686" customFormat="false" ht="15" hidden="false" customHeight="false" outlineLevel="0" collapsed="false">
      <c r="A686" s="23" t="str">
        <f aca="false">IF(B686="","",B686+(4*1000+85)/10000000)</f>
        <v/>
      </c>
      <c r="B686" s="35" t="str">
        <f aca="false">IF(Brand_Log!AY86=1,Brand_Log!H86,"")</f>
        <v/>
      </c>
      <c r="C686" s="23" t="str">
        <f aca="false">IF(B686="","","brand")</f>
        <v/>
      </c>
      <c r="D686" s="23" t="str">
        <f aca="false">IF(B686="","",Brand_Log!DV86&amp;"")</f>
        <v/>
      </c>
      <c r="E686" s="23" t="str">
        <f aca="false">IF(B686="","",IF(Brand_Log!B86="","",Brand_Log!B86&amp;""))</f>
        <v/>
      </c>
      <c r="F686" s="23" t="str">
        <f aca="false">IF(B686="","","conversation")</f>
        <v/>
      </c>
      <c r="G686" s="23" t="str">
        <f aca="false">IF(B686="","","")</f>
        <v/>
      </c>
      <c r="H686" s="23" t="str">
        <f aca="false">IF(B686="","","")</f>
        <v/>
      </c>
      <c r="I686" s="23" t="str">
        <f aca="false">IF(B686="","","")</f>
        <v/>
      </c>
      <c r="J686" s="23" t="str">
        <f aca="false">IF(B686="","",IF(Brand_Log!I86="","",Brand_Log!I86&amp;""))</f>
        <v/>
      </c>
      <c r="K686" s="32" t="s">
        <v>1355</v>
      </c>
    </row>
    <row r="687" customFormat="false" ht="15" hidden="false" customHeight="false" outlineLevel="0" collapsed="false">
      <c r="A687" s="23" t="str">
        <f aca="false">IF(B687="","",B687+(4*1000+86)/10000000)</f>
        <v/>
      </c>
      <c r="B687" s="35" t="str">
        <f aca="false">IF(Brand_Log!AY87=1,Brand_Log!H87,"")</f>
        <v/>
      </c>
      <c r="C687" s="23" t="str">
        <f aca="false">IF(B687="","","brand")</f>
        <v/>
      </c>
      <c r="D687" s="23" t="str">
        <f aca="false">IF(B687="","",Brand_Log!DV87&amp;"")</f>
        <v/>
      </c>
      <c r="E687" s="23" t="str">
        <f aca="false">IF(B687="","",IF(Brand_Log!B87="","",Brand_Log!B87&amp;""))</f>
        <v/>
      </c>
      <c r="F687" s="23" t="str">
        <f aca="false">IF(B687="","","conversation")</f>
        <v/>
      </c>
      <c r="G687" s="23" t="str">
        <f aca="false">IF(B687="","","")</f>
        <v/>
      </c>
      <c r="H687" s="23" t="str">
        <f aca="false">IF(B687="","","")</f>
        <v/>
      </c>
      <c r="I687" s="23" t="str">
        <f aca="false">IF(B687="","","")</f>
        <v/>
      </c>
      <c r="J687" s="23" t="str">
        <f aca="false">IF(B687="","",IF(Brand_Log!I87="","",Brand_Log!I87&amp;""))</f>
        <v/>
      </c>
      <c r="K687" s="32" t="s">
        <v>1355</v>
      </c>
    </row>
    <row r="688" customFormat="false" ht="15" hidden="false" customHeight="false" outlineLevel="0" collapsed="false">
      <c r="A688" s="23" t="str">
        <f aca="false">IF(B688="","",B688+(4*1000+87)/10000000)</f>
        <v/>
      </c>
      <c r="B688" s="35" t="str">
        <f aca="false">IF(Brand_Log!AY88=1,Brand_Log!H88,"")</f>
        <v/>
      </c>
      <c r="C688" s="23" t="str">
        <f aca="false">IF(B688="","","brand")</f>
        <v/>
      </c>
      <c r="D688" s="23" t="str">
        <f aca="false">IF(B688="","",Brand_Log!DV88&amp;"")</f>
        <v/>
      </c>
      <c r="E688" s="23" t="str">
        <f aca="false">IF(B688="","",IF(Brand_Log!B88="","",Brand_Log!B88&amp;""))</f>
        <v/>
      </c>
      <c r="F688" s="23" t="str">
        <f aca="false">IF(B688="","","conversation")</f>
        <v/>
      </c>
      <c r="G688" s="23" t="str">
        <f aca="false">IF(B688="","","")</f>
        <v/>
      </c>
      <c r="H688" s="23" t="str">
        <f aca="false">IF(B688="","","")</f>
        <v/>
      </c>
      <c r="I688" s="23" t="str">
        <f aca="false">IF(B688="","","")</f>
        <v/>
      </c>
      <c r="J688" s="23" t="str">
        <f aca="false">IF(B688="","",IF(Brand_Log!I88="","",Brand_Log!I88&amp;""))</f>
        <v/>
      </c>
      <c r="K688" s="32" t="s">
        <v>1355</v>
      </c>
    </row>
    <row r="689" customFormat="false" ht="15" hidden="false" customHeight="false" outlineLevel="0" collapsed="false">
      <c r="A689" s="23" t="str">
        <f aca="false">IF(B689="","",B689+(4*1000+88)/10000000)</f>
        <v/>
      </c>
      <c r="B689" s="35" t="str">
        <f aca="false">IF(Brand_Log!AY89=1,Brand_Log!H89,"")</f>
        <v/>
      </c>
      <c r="C689" s="23" t="str">
        <f aca="false">IF(B689="","","brand")</f>
        <v/>
      </c>
      <c r="D689" s="23" t="str">
        <f aca="false">IF(B689="","",Brand_Log!DV89&amp;"")</f>
        <v/>
      </c>
      <c r="E689" s="23" t="str">
        <f aca="false">IF(B689="","",IF(Brand_Log!B89="","",Brand_Log!B89&amp;""))</f>
        <v/>
      </c>
      <c r="F689" s="23" t="str">
        <f aca="false">IF(B689="","","conversation")</f>
        <v/>
      </c>
      <c r="G689" s="23" t="str">
        <f aca="false">IF(B689="","","")</f>
        <v/>
      </c>
      <c r="H689" s="23" t="str">
        <f aca="false">IF(B689="","","")</f>
        <v/>
      </c>
      <c r="I689" s="23" t="str">
        <f aca="false">IF(B689="","","")</f>
        <v/>
      </c>
      <c r="J689" s="23" t="str">
        <f aca="false">IF(B689="","",IF(Brand_Log!I89="","",Brand_Log!I89&amp;""))</f>
        <v/>
      </c>
      <c r="K689" s="32" t="s">
        <v>1355</v>
      </c>
    </row>
    <row r="690" customFormat="false" ht="15" hidden="false" customHeight="false" outlineLevel="0" collapsed="false">
      <c r="A690" s="23" t="str">
        <f aca="false">IF(B690="","",B690+(4*1000+89)/10000000)</f>
        <v/>
      </c>
      <c r="B690" s="35" t="str">
        <f aca="false">IF(Brand_Log!AY90=1,Brand_Log!H90,"")</f>
        <v/>
      </c>
      <c r="C690" s="23" t="str">
        <f aca="false">IF(B690="","","brand")</f>
        <v/>
      </c>
      <c r="D690" s="23" t="str">
        <f aca="false">IF(B690="","",Brand_Log!DV90&amp;"")</f>
        <v/>
      </c>
      <c r="E690" s="23" t="str">
        <f aca="false">IF(B690="","",IF(Brand_Log!B90="","",Brand_Log!B90&amp;""))</f>
        <v/>
      </c>
      <c r="F690" s="23" t="str">
        <f aca="false">IF(B690="","","conversation")</f>
        <v/>
      </c>
      <c r="G690" s="23" t="str">
        <f aca="false">IF(B690="","","")</f>
        <v/>
      </c>
      <c r="H690" s="23" t="str">
        <f aca="false">IF(B690="","","")</f>
        <v/>
      </c>
      <c r="I690" s="23" t="str">
        <f aca="false">IF(B690="","","")</f>
        <v/>
      </c>
      <c r="J690" s="23" t="str">
        <f aca="false">IF(B690="","",IF(Brand_Log!I90="","",Brand_Log!I90&amp;""))</f>
        <v/>
      </c>
      <c r="K690" s="32" t="s">
        <v>1355</v>
      </c>
    </row>
    <row r="691" customFormat="false" ht="15" hidden="false" customHeight="false" outlineLevel="0" collapsed="false">
      <c r="A691" s="23" t="str">
        <f aca="false">IF(B691="","",B691+(4*1000+90)/10000000)</f>
        <v/>
      </c>
      <c r="B691" s="35" t="str">
        <f aca="false">IF(Brand_Log!AY91=1,Brand_Log!H91,"")</f>
        <v/>
      </c>
      <c r="C691" s="23" t="str">
        <f aca="false">IF(B691="","","brand")</f>
        <v/>
      </c>
      <c r="D691" s="23" t="str">
        <f aca="false">IF(B691="","",Brand_Log!DV91&amp;"")</f>
        <v/>
      </c>
      <c r="E691" s="23" t="str">
        <f aca="false">IF(B691="","",IF(Brand_Log!B91="","",Brand_Log!B91&amp;""))</f>
        <v/>
      </c>
      <c r="F691" s="23" t="str">
        <f aca="false">IF(B691="","","conversation")</f>
        <v/>
      </c>
      <c r="G691" s="23" t="str">
        <f aca="false">IF(B691="","","")</f>
        <v/>
      </c>
      <c r="H691" s="23" t="str">
        <f aca="false">IF(B691="","","")</f>
        <v/>
      </c>
      <c r="I691" s="23" t="str">
        <f aca="false">IF(B691="","","")</f>
        <v/>
      </c>
      <c r="J691" s="23" t="str">
        <f aca="false">IF(B691="","",IF(Brand_Log!I91="","",Brand_Log!I91&amp;""))</f>
        <v/>
      </c>
      <c r="K691" s="32" t="s">
        <v>1355</v>
      </c>
    </row>
    <row r="692" customFormat="false" ht="15" hidden="false" customHeight="false" outlineLevel="0" collapsed="false">
      <c r="A692" s="23" t="str">
        <f aca="false">IF(B692="","",B692+(4*1000+91)/10000000)</f>
        <v/>
      </c>
      <c r="B692" s="35" t="str">
        <f aca="false">IF(Brand_Log!AY92=1,Brand_Log!H92,"")</f>
        <v/>
      </c>
      <c r="C692" s="23" t="str">
        <f aca="false">IF(B692="","","brand")</f>
        <v/>
      </c>
      <c r="D692" s="23" t="str">
        <f aca="false">IF(B692="","",Brand_Log!DV92&amp;"")</f>
        <v/>
      </c>
      <c r="E692" s="23" t="str">
        <f aca="false">IF(B692="","",IF(Brand_Log!B92="","",Brand_Log!B92&amp;""))</f>
        <v/>
      </c>
      <c r="F692" s="23" t="str">
        <f aca="false">IF(B692="","","conversation")</f>
        <v/>
      </c>
      <c r="G692" s="23" t="str">
        <f aca="false">IF(B692="","","")</f>
        <v/>
      </c>
      <c r="H692" s="23" t="str">
        <f aca="false">IF(B692="","","")</f>
        <v/>
      </c>
      <c r="I692" s="23" t="str">
        <f aca="false">IF(B692="","","")</f>
        <v/>
      </c>
      <c r="J692" s="23" t="str">
        <f aca="false">IF(B692="","",IF(Brand_Log!I92="","",Brand_Log!I92&amp;""))</f>
        <v/>
      </c>
      <c r="K692" s="32" t="s">
        <v>1355</v>
      </c>
    </row>
    <row r="693" customFormat="false" ht="15" hidden="false" customHeight="false" outlineLevel="0" collapsed="false">
      <c r="A693" s="23" t="str">
        <f aca="false">IF(B693="","",B693+(4*1000+92)/10000000)</f>
        <v/>
      </c>
      <c r="B693" s="35" t="str">
        <f aca="false">IF(Brand_Log!AY93=1,Brand_Log!H93,"")</f>
        <v/>
      </c>
      <c r="C693" s="23" t="str">
        <f aca="false">IF(B693="","","brand")</f>
        <v/>
      </c>
      <c r="D693" s="23" t="str">
        <f aca="false">IF(B693="","",Brand_Log!DV93&amp;"")</f>
        <v/>
      </c>
      <c r="E693" s="23" t="str">
        <f aca="false">IF(B693="","",IF(Brand_Log!B93="","",Brand_Log!B93&amp;""))</f>
        <v/>
      </c>
      <c r="F693" s="23" t="str">
        <f aca="false">IF(B693="","","conversation")</f>
        <v/>
      </c>
      <c r="G693" s="23" t="str">
        <f aca="false">IF(B693="","","")</f>
        <v/>
      </c>
      <c r="H693" s="23" t="str">
        <f aca="false">IF(B693="","","")</f>
        <v/>
      </c>
      <c r="I693" s="23" t="str">
        <f aca="false">IF(B693="","","")</f>
        <v/>
      </c>
      <c r="J693" s="23" t="str">
        <f aca="false">IF(B693="","",IF(Brand_Log!I93="","",Brand_Log!I93&amp;""))</f>
        <v/>
      </c>
      <c r="K693" s="32" t="s">
        <v>1355</v>
      </c>
    </row>
    <row r="694" customFormat="false" ht="15" hidden="false" customHeight="false" outlineLevel="0" collapsed="false">
      <c r="A694" s="23" t="str">
        <f aca="false">IF(B694="","",B694+(4*1000+93)/10000000)</f>
        <v/>
      </c>
      <c r="B694" s="35" t="str">
        <f aca="false">IF(Brand_Log!AY94=1,Brand_Log!H94,"")</f>
        <v/>
      </c>
      <c r="C694" s="23" t="str">
        <f aca="false">IF(B694="","","brand")</f>
        <v/>
      </c>
      <c r="D694" s="23" t="str">
        <f aca="false">IF(B694="","",Brand_Log!DV94&amp;"")</f>
        <v/>
      </c>
      <c r="E694" s="23" t="str">
        <f aca="false">IF(B694="","",IF(Brand_Log!B94="","",Brand_Log!B94&amp;""))</f>
        <v/>
      </c>
      <c r="F694" s="23" t="str">
        <f aca="false">IF(B694="","","conversation")</f>
        <v/>
      </c>
      <c r="G694" s="23" t="str">
        <f aca="false">IF(B694="","","")</f>
        <v/>
      </c>
      <c r="H694" s="23" t="str">
        <f aca="false">IF(B694="","","")</f>
        <v/>
      </c>
      <c r="I694" s="23" t="str">
        <f aca="false">IF(B694="","","")</f>
        <v/>
      </c>
      <c r="J694" s="23" t="str">
        <f aca="false">IF(B694="","",IF(Brand_Log!I94="","",Brand_Log!I94&amp;""))</f>
        <v/>
      </c>
      <c r="K694" s="32" t="s">
        <v>1355</v>
      </c>
    </row>
    <row r="695" customFormat="false" ht="15" hidden="false" customHeight="false" outlineLevel="0" collapsed="false">
      <c r="A695" s="23" t="str">
        <f aca="false">IF(B695="","",B695+(4*1000+94)/10000000)</f>
        <v/>
      </c>
      <c r="B695" s="35" t="str">
        <f aca="false">IF(Brand_Log!AY95=1,Brand_Log!H95,"")</f>
        <v/>
      </c>
      <c r="C695" s="23" t="str">
        <f aca="false">IF(B695="","","brand")</f>
        <v/>
      </c>
      <c r="D695" s="23" t="str">
        <f aca="false">IF(B695="","",Brand_Log!DV95&amp;"")</f>
        <v/>
      </c>
      <c r="E695" s="23" t="str">
        <f aca="false">IF(B695="","",IF(Brand_Log!B95="","",Brand_Log!B95&amp;""))</f>
        <v/>
      </c>
      <c r="F695" s="23" t="str">
        <f aca="false">IF(B695="","","conversation")</f>
        <v/>
      </c>
      <c r="G695" s="23" t="str">
        <f aca="false">IF(B695="","","")</f>
        <v/>
      </c>
      <c r="H695" s="23" t="str">
        <f aca="false">IF(B695="","","")</f>
        <v/>
      </c>
      <c r="I695" s="23" t="str">
        <f aca="false">IF(B695="","","")</f>
        <v/>
      </c>
      <c r="J695" s="23" t="str">
        <f aca="false">IF(B695="","",IF(Brand_Log!I95="","",Brand_Log!I95&amp;""))</f>
        <v/>
      </c>
      <c r="K695" s="32" t="s">
        <v>1355</v>
      </c>
    </row>
    <row r="696" customFormat="false" ht="15" hidden="false" customHeight="false" outlineLevel="0" collapsed="false">
      <c r="A696" s="23" t="str">
        <f aca="false">IF(B696="","",B696+(4*1000+95)/10000000)</f>
        <v/>
      </c>
      <c r="B696" s="35" t="str">
        <f aca="false">IF(Brand_Log!AY96=1,Brand_Log!H96,"")</f>
        <v/>
      </c>
      <c r="C696" s="23" t="str">
        <f aca="false">IF(B696="","","brand")</f>
        <v/>
      </c>
      <c r="D696" s="23" t="str">
        <f aca="false">IF(B696="","",Brand_Log!DV96&amp;"")</f>
        <v/>
      </c>
      <c r="E696" s="23" t="str">
        <f aca="false">IF(B696="","",IF(Brand_Log!B96="","",Brand_Log!B96&amp;""))</f>
        <v/>
      </c>
      <c r="F696" s="23" t="str">
        <f aca="false">IF(B696="","","conversation")</f>
        <v/>
      </c>
      <c r="G696" s="23" t="str">
        <f aca="false">IF(B696="","","")</f>
        <v/>
      </c>
      <c r="H696" s="23" t="str">
        <f aca="false">IF(B696="","","")</f>
        <v/>
      </c>
      <c r="I696" s="23" t="str">
        <f aca="false">IF(B696="","","")</f>
        <v/>
      </c>
      <c r="J696" s="23" t="str">
        <f aca="false">IF(B696="","",IF(Brand_Log!I96="","",Brand_Log!I96&amp;""))</f>
        <v/>
      </c>
      <c r="K696" s="32" t="s">
        <v>1355</v>
      </c>
    </row>
    <row r="697" customFormat="false" ht="15" hidden="false" customHeight="false" outlineLevel="0" collapsed="false">
      <c r="A697" s="23" t="str">
        <f aca="false">IF(B697="","",B697+(4*1000+96)/10000000)</f>
        <v/>
      </c>
      <c r="B697" s="35" t="str">
        <f aca="false">IF(Brand_Log!AY97=1,Brand_Log!H97,"")</f>
        <v/>
      </c>
      <c r="C697" s="23" t="str">
        <f aca="false">IF(B697="","","brand")</f>
        <v/>
      </c>
      <c r="D697" s="23" t="str">
        <f aca="false">IF(B697="","",Brand_Log!DV97&amp;"")</f>
        <v/>
      </c>
      <c r="E697" s="23" t="str">
        <f aca="false">IF(B697="","",IF(Brand_Log!B97="","",Brand_Log!B97&amp;""))</f>
        <v/>
      </c>
      <c r="F697" s="23" t="str">
        <f aca="false">IF(B697="","","conversation")</f>
        <v/>
      </c>
      <c r="G697" s="23" t="str">
        <f aca="false">IF(B697="","","")</f>
        <v/>
      </c>
      <c r="H697" s="23" t="str">
        <f aca="false">IF(B697="","","")</f>
        <v/>
      </c>
      <c r="I697" s="23" t="str">
        <f aca="false">IF(B697="","","")</f>
        <v/>
      </c>
      <c r="J697" s="23" t="str">
        <f aca="false">IF(B697="","",IF(Brand_Log!I97="","",Brand_Log!I97&amp;""))</f>
        <v/>
      </c>
      <c r="K697" s="32" t="s">
        <v>1355</v>
      </c>
    </row>
    <row r="698" customFormat="false" ht="15" hidden="false" customHeight="false" outlineLevel="0" collapsed="false">
      <c r="A698" s="23" t="str">
        <f aca="false">IF(B698="","",B698+(4*1000+97)/10000000)</f>
        <v/>
      </c>
      <c r="B698" s="35" t="str">
        <f aca="false">IF(Brand_Log!AY98=1,Brand_Log!H98,"")</f>
        <v/>
      </c>
      <c r="C698" s="23" t="str">
        <f aca="false">IF(B698="","","brand")</f>
        <v/>
      </c>
      <c r="D698" s="23" t="str">
        <f aca="false">IF(B698="","",Brand_Log!DV98&amp;"")</f>
        <v/>
      </c>
      <c r="E698" s="23" t="str">
        <f aca="false">IF(B698="","",IF(Brand_Log!B98="","",Brand_Log!B98&amp;""))</f>
        <v/>
      </c>
      <c r="F698" s="23" t="str">
        <f aca="false">IF(B698="","","conversation")</f>
        <v/>
      </c>
      <c r="G698" s="23" t="str">
        <f aca="false">IF(B698="","","")</f>
        <v/>
      </c>
      <c r="H698" s="23" t="str">
        <f aca="false">IF(B698="","","")</f>
        <v/>
      </c>
      <c r="I698" s="23" t="str">
        <f aca="false">IF(B698="","","")</f>
        <v/>
      </c>
      <c r="J698" s="23" t="str">
        <f aca="false">IF(B698="","",IF(Brand_Log!I98="","",Brand_Log!I98&amp;""))</f>
        <v/>
      </c>
      <c r="K698" s="32" t="s">
        <v>1355</v>
      </c>
    </row>
    <row r="699" customFormat="false" ht="15" hidden="false" customHeight="false" outlineLevel="0" collapsed="false">
      <c r="A699" s="23" t="str">
        <f aca="false">IF(B699="","",B699+(4*1000+98)/10000000)</f>
        <v/>
      </c>
      <c r="B699" s="35" t="str">
        <f aca="false">IF(Brand_Log!AY99=1,Brand_Log!H99,"")</f>
        <v/>
      </c>
      <c r="C699" s="23" t="str">
        <f aca="false">IF(B699="","","brand")</f>
        <v/>
      </c>
      <c r="D699" s="23" t="str">
        <f aca="false">IF(B699="","",Brand_Log!DV99&amp;"")</f>
        <v/>
      </c>
      <c r="E699" s="23" t="str">
        <f aca="false">IF(B699="","",IF(Brand_Log!B99="","",Brand_Log!B99&amp;""))</f>
        <v/>
      </c>
      <c r="F699" s="23" t="str">
        <f aca="false">IF(B699="","","conversation")</f>
        <v/>
      </c>
      <c r="G699" s="23" t="str">
        <f aca="false">IF(B699="","","")</f>
        <v/>
      </c>
      <c r="H699" s="23" t="str">
        <f aca="false">IF(B699="","","")</f>
        <v/>
      </c>
      <c r="I699" s="23" t="str">
        <f aca="false">IF(B699="","","")</f>
        <v/>
      </c>
      <c r="J699" s="23" t="str">
        <f aca="false">IF(B699="","",IF(Brand_Log!I99="","",Brand_Log!I99&amp;""))</f>
        <v/>
      </c>
      <c r="K699" s="32" t="s">
        <v>1355</v>
      </c>
    </row>
    <row r="700" customFormat="false" ht="15" hidden="false" customHeight="false" outlineLevel="0" collapsed="false">
      <c r="A700" s="23" t="str">
        <f aca="false">IF(B700="","",B700+(4*1000+99)/10000000)</f>
        <v/>
      </c>
      <c r="B700" s="35" t="str">
        <f aca="false">IF(Brand_Log!AY100=1,Brand_Log!H100,"")</f>
        <v/>
      </c>
      <c r="C700" s="23" t="str">
        <f aca="false">IF(B700="","","brand")</f>
        <v/>
      </c>
      <c r="D700" s="23" t="str">
        <f aca="false">IF(B700="","",Brand_Log!DV100&amp;"")</f>
        <v/>
      </c>
      <c r="E700" s="23" t="str">
        <f aca="false">IF(B700="","",IF(Brand_Log!B100="","",Brand_Log!B100&amp;""))</f>
        <v/>
      </c>
      <c r="F700" s="23" t="str">
        <f aca="false">IF(B700="","","conversation")</f>
        <v/>
      </c>
      <c r="G700" s="23" t="str">
        <f aca="false">IF(B700="","","")</f>
        <v/>
      </c>
      <c r="H700" s="23" t="str">
        <f aca="false">IF(B700="","","")</f>
        <v/>
      </c>
      <c r="I700" s="23" t="str">
        <f aca="false">IF(B700="","","")</f>
        <v/>
      </c>
      <c r="J700" s="23" t="str">
        <f aca="false">IF(B700="","",IF(Brand_Log!I100="","",Brand_Log!I100&amp;""))</f>
        <v/>
      </c>
      <c r="K700" s="32" t="s">
        <v>1355</v>
      </c>
    </row>
    <row r="701" customFormat="false" ht="15" hidden="false" customHeight="false" outlineLevel="0" collapsed="false">
      <c r="A701" s="23" t="str">
        <f aca="false">IF(B701="","",B701+(4*1000+100)/10000000)</f>
        <v/>
      </c>
      <c r="B701" s="35" t="str">
        <f aca="false">IF(Brand_Log!AY101=1,Brand_Log!H101,"")</f>
        <v/>
      </c>
      <c r="C701" s="23" t="str">
        <f aca="false">IF(B701="","","brand")</f>
        <v/>
      </c>
      <c r="D701" s="23" t="str">
        <f aca="false">IF(B701="","",Brand_Log!DV101&amp;"")</f>
        <v/>
      </c>
      <c r="E701" s="23" t="str">
        <f aca="false">IF(B701="","",IF(Brand_Log!B101="","",Brand_Log!B101&amp;""))</f>
        <v/>
      </c>
      <c r="F701" s="23" t="str">
        <f aca="false">IF(B701="","","conversation")</f>
        <v/>
      </c>
      <c r="G701" s="23" t="str">
        <f aca="false">IF(B701="","","")</f>
        <v/>
      </c>
      <c r="H701" s="23" t="str">
        <f aca="false">IF(B701="","","")</f>
        <v/>
      </c>
      <c r="I701" s="23" t="str">
        <f aca="false">IF(B701="","","")</f>
        <v/>
      </c>
      <c r="J701" s="23" t="str">
        <f aca="false">IF(B701="","",IF(Brand_Log!I101="","",Brand_Log!I101&amp;""))</f>
        <v/>
      </c>
      <c r="K701" s="32" t="s">
        <v>1355</v>
      </c>
    </row>
    <row r="702" customFormat="false" ht="15" hidden="false" customHeight="false" outlineLevel="0" collapsed="false">
      <c r="A702" s="23" t="str">
        <f aca="false">IF(B702="","",B702+(4*1000+101)/10000000)</f>
        <v/>
      </c>
      <c r="B702" s="35" t="str">
        <f aca="false">IF(Brand_Log!AY102=1,Brand_Log!H102,"")</f>
        <v/>
      </c>
      <c r="C702" s="23" t="str">
        <f aca="false">IF(B702="","","brand")</f>
        <v/>
      </c>
      <c r="D702" s="23" t="str">
        <f aca="false">IF(B702="","",Brand_Log!DV102&amp;"")</f>
        <v/>
      </c>
      <c r="E702" s="23" t="str">
        <f aca="false">IF(B702="","",IF(Brand_Log!B102="","",Brand_Log!B102&amp;""))</f>
        <v/>
      </c>
      <c r="F702" s="23" t="str">
        <f aca="false">IF(B702="","","conversation")</f>
        <v/>
      </c>
      <c r="G702" s="23" t="str">
        <f aca="false">IF(B702="","","")</f>
        <v/>
      </c>
      <c r="H702" s="23" t="str">
        <f aca="false">IF(B702="","","")</f>
        <v/>
      </c>
      <c r="I702" s="23" t="str">
        <f aca="false">IF(B702="","","")</f>
        <v/>
      </c>
      <c r="J702" s="23" t="str">
        <f aca="false">IF(B702="","",IF(Brand_Log!I102="","",Brand_Log!I102&amp;""))</f>
        <v/>
      </c>
      <c r="K702" s="32" t="s">
        <v>1355</v>
      </c>
    </row>
    <row r="703" customFormat="false" ht="15" hidden="false" customHeight="false" outlineLevel="0" collapsed="false">
      <c r="A703" s="23" t="str">
        <f aca="false">IF(B703="","",B703+(4*1000+102)/10000000)</f>
        <v/>
      </c>
      <c r="B703" s="35" t="str">
        <f aca="false">IF(Brand_Log!AY103=1,Brand_Log!H103,"")</f>
        <v/>
      </c>
      <c r="C703" s="23" t="str">
        <f aca="false">IF(B703="","","brand")</f>
        <v/>
      </c>
      <c r="D703" s="23" t="str">
        <f aca="false">IF(B703="","",Brand_Log!DV103&amp;"")</f>
        <v/>
      </c>
      <c r="E703" s="23" t="str">
        <f aca="false">IF(B703="","",IF(Brand_Log!B103="","",Brand_Log!B103&amp;""))</f>
        <v/>
      </c>
      <c r="F703" s="23" t="str">
        <f aca="false">IF(B703="","","conversation")</f>
        <v/>
      </c>
      <c r="G703" s="23" t="str">
        <f aca="false">IF(B703="","","")</f>
        <v/>
      </c>
      <c r="H703" s="23" t="str">
        <f aca="false">IF(B703="","","")</f>
        <v/>
      </c>
      <c r="I703" s="23" t="str">
        <f aca="false">IF(B703="","","")</f>
        <v/>
      </c>
      <c r="J703" s="23" t="str">
        <f aca="false">IF(B703="","",IF(Brand_Log!I103="","",Brand_Log!I103&amp;""))</f>
        <v/>
      </c>
      <c r="K703" s="32" t="s">
        <v>1355</v>
      </c>
    </row>
    <row r="704" customFormat="false" ht="15" hidden="false" customHeight="false" outlineLevel="0" collapsed="false">
      <c r="A704" s="23" t="str">
        <f aca="false">IF(B704="","",B704+(4*1000+103)/10000000)</f>
        <v/>
      </c>
      <c r="B704" s="35" t="str">
        <f aca="false">IF(Brand_Log!AY104=1,Brand_Log!H104,"")</f>
        <v/>
      </c>
      <c r="C704" s="23" t="str">
        <f aca="false">IF(B704="","","brand")</f>
        <v/>
      </c>
      <c r="D704" s="23" t="str">
        <f aca="false">IF(B704="","",Brand_Log!DV104&amp;"")</f>
        <v/>
      </c>
      <c r="E704" s="23" t="str">
        <f aca="false">IF(B704="","",IF(Brand_Log!B104="","",Brand_Log!B104&amp;""))</f>
        <v/>
      </c>
      <c r="F704" s="23" t="str">
        <f aca="false">IF(B704="","","conversation")</f>
        <v/>
      </c>
      <c r="G704" s="23" t="str">
        <f aca="false">IF(B704="","","")</f>
        <v/>
      </c>
      <c r="H704" s="23" t="str">
        <f aca="false">IF(B704="","","")</f>
        <v/>
      </c>
      <c r="I704" s="23" t="str">
        <f aca="false">IF(B704="","","")</f>
        <v/>
      </c>
      <c r="J704" s="23" t="str">
        <f aca="false">IF(B704="","",IF(Brand_Log!I104="","",Brand_Log!I104&amp;""))</f>
        <v/>
      </c>
      <c r="K704" s="32" t="s">
        <v>1355</v>
      </c>
    </row>
    <row r="705" customFormat="false" ht="15" hidden="false" customHeight="false" outlineLevel="0" collapsed="false">
      <c r="A705" s="23" t="str">
        <f aca="false">IF(B705="","",B705+(4*1000+104)/10000000)</f>
        <v/>
      </c>
      <c r="B705" s="35" t="str">
        <f aca="false">IF(Brand_Log!AY105=1,Brand_Log!H105,"")</f>
        <v/>
      </c>
      <c r="C705" s="23" t="str">
        <f aca="false">IF(B705="","","brand")</f>
        <v/>
      </c>
      <c r="D705" s="23" t="str">
        <f aca="false">IF(B705="","",Brand_Log!DV105&amp;"")</f>
        <v/>
      </c>
      <c r="E705" s="23" t="str">
        <f aca="false">IF(B705="","",IF(Brand_Log!B105="","",Brand_Log!B105&amp;""))</f>
        <v/>
      </c>
      <c r="F705" s="23" t="str">
        <f aca="false">IF(B705="","","conversation")</f>
        <v/>
      </c>
      <c r="G705" s="23" t="str">
        <f aca="false">IF(B705="","","")</f>
        <v/>
      </c>
      <c r="H705" s="23" t="str">
        <f aca="false">IF(B705="","","")</f>
        <v/>
      </c>
      <c r="I705" s="23" t="str">
        <f aca="false">IF(B705="","","")</f>
        <v/>
      </c>
      <c r="J705" s="23" t="str">
        <f aca="false">IF(B705="","",IF(Brand_Log!I105="","",Brand_Log!I105&amp;""))</f>
        <v/>
      </c>
      <c r="K705" s="32" t="s">
        <v>1355</v>
      </c>
    </row>
    <row r="706" customFormat="false" ht="15" hidden="false" customHeight="false" outlineLevel="0" collapsed="false">
      <c r="A706" s="23" t="str">
        <f aca="false">IF(B706="","",B706+(4*1000+105)/10000000)</f>
        <v/>
      </c>
      <c r="B706" s="35" t="str">
        <f aca="false">IF(Brand_Log!AY106=1,Brand_Log!H106,"")</f>
        <v/>
      </c>
      <c r="C706" s="23" t="str">
        <f aca="false">IF(B706="","","brand")</f>
        <v/>
      </c>
      <c r="D706" s="23" t="str">
        <f aca="false">IF(B706="","",Brand_Log!DV106&amp;"")</f>
        <v/>
      </c>
      <c r="E706" s="23" t="str">
        <f aca="false">IF(B706="","",IF(Brand_Log!B106="","",Brand_Log!B106&amp;""))</f>
        <v/>
      </c>
      <c r="F706" s="23" t="str">
        <f aca="false">IF(B706="","","conversation")</f>
        <v/>
      </c>
      <c r="G706" s="23" t="str">
        <f aca="false">IF(B706="","","")</f>
        <v/>
      </c>
      <c r="H706" s="23" t="str">
        <f aca="false">IF(B706="","","")</f>
        <v/>
      </c>
      <c r="I706" s="23" t="str">
        <f aca="false">IF(B706="","","")</f>
        <v/>
      </c>
      <c r="J706" s="23" t="str">
        <f aca="false">IF(B706="","",IF(Brand_Log!I106="","",Brand_Log!I106&amp;""))</f>
        <v/>
      </c>
      <c r="K706" s="32" t="s">
        <v>1355</v>
      </c>
    </row>
    <row r="707" customFormat="false" ht="15" hidden="false" customHeight="false" outlineLevel="0" collapsed="false">
      <c r="A707" s="23" t="str">
        <f aca="false">IF(B707="","",B707+(4*1000+106)/10000000)</f>
        <v/>
      </c>
      <c r="B707" s="35" t="str">
        <f aca="false">IF(Brand_Log!AY107=1,Brand_Log!H107,"")</f>
        <v/>
      </c>
      <c r="C707" s="23" t="str">
        <f aca="false">IF(B707="","","brand")</f>
        <v/>
      </c>
      <c r="D707" s="23" t="str">
        <f aca="false">IF(B707="","",Brand_Log!DV107&amp;"")</f>
        <v/>
      </c>
      <c r="E707" s="23" t="str">
        <f aca="false">IF(B707="","",IF(Brand_Log!B107="","",Brand_Log!B107&amp;""))</f>
        <v/>
      </c>
      <c r="F707" s="23" t="str">
        <f aca="false">IF(B707="","","conversation")</f>
        <v/>
      </c>
      <c r="G707" s="23" t="str">
        <f aca="false">IF(B707="","","")</f>
        <v/>
      </c>
      <c r="H707" s="23" t="str">
        <f aca="false">IF(B707="","","")</f>
        <v/>
      </c>
      <c r="I707" s="23" t="str">
        <f aca="false">IF(B707="","","")</f>
        <v/>
      </c>
      <c r="J707" s="23" t="str">
        <f aca="false">IF(B707="","",IF(Brand_Log!I107="","",Brand_Log!I107&amp;""))</f>
        <v/>
      </c>
      <c r="K707" s="32" t="s">
        <v>1355</v>
      </c>
    </row>
    <row r="708" customFormat="false" ht="15" hidden="false" customHeight="false" outlineLevel="0" collapsed="false">
      <c r="A708" s="23" t="str">
        <f aca="false">IF(B708="","",B708+(4*1000+107)/10000000)</f>
        <v/>
      </c>
      <c r="B708" s="35" t="str">
        <f aca="false">IF(Brand_Log!AY108=1,Brand_Log!H108,"")</f>
        <v/>
      </c>
      <c r="C708" s="23" t="str">
        <f aca="false">IF(B708="","","brand")</f>
        <v/>
      </c>
      <c r="D708" s="23" t="str">
        <f aca="false">IF(B708="","",Brand_Log!DV108&amp;"")</f>
        <v/>
      </c>
      <c r="E708" s="23" t="str">
        <f aca="false">IF(B708="","",IF(Brand_Log!B108="","",Brand_Log!B108&amp;""))</f>
        <v/>
      </c>
      <c r="F708" s="23" t="str">
        <f aca="false">IF(B708="","","conversation")</f>
        <v/>
      </c>
      <c r="G708" s="23" t="str">
        <f aca="false">IF(B708="","","")</f>
        <v/>
      </c>
      <c r="H708" s="23" t="str">
        <f aca="false">IF(B708="","","")</f>
        <v/>
      </c>
      <c r="I708" s="23" t="str">
        <f aca="false">IF(B708="","","")</f>
        <v/>
      </c>
      <c r="J708" s="23" t="str">
        <f aca="false">IF(B708="","",IF(Brand_Log!I108="","",Brand_Log!I108&amp;""))</f>
        <v/>
      </c>
      <c r="K708" s="32" t="s">
        <v>1355</v>
      </c>
    </row>
    <row r="709" customFormat="false" ht="15" hidden="false" customHeight="false" outlineLevel="0" collapsed="false">
      <c r="A709" s="23" t="str">
        <f aca="false">IF(B709="","",B709+(4*1000+108)/10000000)</f>
        <v/>
      </c>
      <c r="B709" s="35" t="str">
        <f aca="false">IF(Brand_Log!AY109=1,Brand_Log!H109,"")</f>
        <v/>
      </c>
      <c r="C709" s="23" t="str">
        <f aca="false">IF(B709="","","brand")</f>
        <v/>
      </c>
      <c r="D709" s="23" t="str">
        <f aca="false">IF(B709="","",Brand_Log!DV109&amp;"")</f>
        <v/>
      </c>
      <c r="E709" s="23" t="str">
        <f aca="false">IF(B709="","",IF(Brand_Log!B109="","",Brand_Log!B109&amp;""))</f>
        <v/>
      </c>
      <c r="F709" s="23" t="str">
        <f aca="false">IF(B709="","","conversation")</f>
        <v/>
      </c>
      <c r="G709" s="23" t="str">
        <f aca="false">IF(B709="","","")</f>
        <v/>
      </c>
      <c r="H709" s="23" t="str">
        <f aca="false">IF(B709="","","")</f>
        <v/>
      </c>
      <c r="I709" s="23" t="str">
        <f aca="false">IF(B709="","","")</f>
        <v/>
      </c>
      <c r="J709" s="23" t="str">
        <f aca="false">IF(B709="","",IF(Brand_Log!I109="","",Brand_Log!I109&amp;""))</f>
        <v/>
      </c>
      <c r="K709" s="32" t="s">
        <v>1355</v>
      </c>
    </row>
    <row r="710" customFormat="false" ht="15" hidden="false" customHeight="false" outlineLevel="0" collapsed="false">
      <c r="A710" s="23" t="str">
        <f aca="false">IF(B710="","",B710+(4*1000+109)/10000000)</f>
        <v/>
      </c>
      <c r="B710" s="35" t="str">
        <f aca="false">IF(Brand_Log!AY110=1,Brand_Log!H110,"")</f>
        <v/>
      </c>
      <c r="C710" s="23" t="str">
        <f aca="false">IF(B710="","","brand")</f>
        <v/>
      </c>
      <c r="D710" s="23" t="str">
        <f aca="false">IF(B710="","",Brand_Log!DV110&amp;"")</f>
        <v/>
      </c>
      <c r="E710" s="23" t="str">
        <f aca="false">IF(B710="","",IF(Brand_Log!B110="","",Brand_Log!B110&amp;""))</f>
        <v/>
      </c>
      <c r="F710" s="23" t="str">
        <f aca="false">IF(B710="","","conversation")</f>
        <v/>
      </c>
      <c r="G710" s="23" t="str">
        <f aca="false">IF(B710="","","")</f>
        <v/>
      </c>
      <c r="H710" s="23" t="str">
        <f aca="false">IF(B710="","","")</f>
        <v/>
      </c>
      <c r="I710" s="23" t="str">
        <f aca="false">IF(B710="","","")</f>
        <v/>
      </c>
      <c r="J710" s="23" t="str">
        <f aca="false">IF(B710="","",IF(Brand_Log!I110="","",Brand_Log!I110&amp;""))</f>
        <v/>
      </c>
      <c r="K710" s="32" t="s">
        <v>1355</v>
      </c>
    </row>
    <row r="711" customFormat="false" ht="15" hidden="false" customHeight="false" outlineLevel="0" collapsed="false">
      <c r="A711" s="23" t="str">
        <f aca="false">IF(B711="","",B711+(4*1000+110)/10000000)</f>
        <v/>
      </c>
      <c r="B711" s="35" t="str">
        <f aca="false">IF(Brand_Log!AY111=1,Brand_Log!H111,"")</f>
        <v/>
      </c>
      <c r="C711" s="23" t="str">
        <f aca="false">IF(B711="","","brand")</f>
        <v/>
      </c>
      <c r="D711" s="23" t="str">
        <f aca="false">IF(B711="","",Brand_Log!DV111&amp;"")</f>
        <v/>
      </c>
      <c r="E711" s="23" t="str">
        <f aca="false">IF(B711="","",IF(Brand_Log!B111="","",Brand_Log!B111&amp;""))</f>
        <v/>
      </c>
      <c r="F711" s="23" t="str">
        <f aca="false">IF(B711="","","conversation")</f>
        <v/>
      </c>
      <c r="G711" s="23" t="str">
        <f aca="false">IF(B711="","","")</f>
        <v/>
      </c>
      <c r="H711" s="23" t="str">
        <f aca="false">IF(B711="","","")</f>
        <v/>
      </c>
      <c r="I711" s="23" t="str">
        <f aca="false">IF(B711="","","")</f>
        <v/>
      </c>
      <c r="J711" s="23" t="str">
        <f aca="false">IF(B711="","",IF(Brand_Log!I111="","",Brand_Log!I111&amp;""))</f>
        <v/>
      </c>
      <c r="K711" s="32" t="s">
        <v>1355</v>
      </c>
    </row>
    <row r="712" customFormat="false" ht="15" hidden="false" customHeight="false" outlineLevel="0" collapsed="false">
      <c r="A712" s="23" t="str">
        <f aca="false">IF(B712="","",B712+(4*1000+111)/10000000)</f>
        <v/>
      </c>
      <c r="B712" s="35" t="str">
        <f aca="false">IF(Brand_Log!AY112=1,Brand_Log!H112,"")</f>
        <v/>
      </c>
      <c r="C712" s="23" t="str">
        <f aca="false">IF(B712="","","brand")</f>
        <v/>
      </c>
      <c r="D712" s="23" t="str">
        <f aca="false">IF(B712="","",Brand_Log!DV112&amp;"")</f>
        <v/>
      </c>
      <c r="E712" s="23" t="str">
        <f aca="false">IF(B712="","",IF(Brand_Log!B112="","",Brand_Log!B112&amp;""))</f>
        <v/>
      </c>
      <c r="F712" s="23" t="str">
        <f aca="false">IF(B712="","","conversation")</f>
        <v/>
      </c>
      <c r="G712" s="23" t="str">
        <f aca="false">IF(B712="","","")</f>
        <v/>
      </c>
      <c r="H712" s="23" t="str">
        <f aca="false">IF(B712="","","")</f>
        <v/>
      </c>
      <c r="I712" s="23" t="str">
        <f aca="false">IF(B712="","","")</f>
        <v/>
      </c>
      <c r="J712" s="23" t="str">
        <f aca="false">IF(B712="","",IF(Brand_Log!I112="","",Brand_Log!I112&amp;""))</f>
        <v/>
      </c>
      <c r="K712" s="32" t="s">
        <v>1355</v>
      </c>
    </row>
    <row r="713" customFormat="false" ht="15" hidden="false" customHeight="false" outlineLevel="0" collapsed="false">
      <c r="A713" s="23" t="str">
        <f aca="false">IF(B713="","",B713+(4*1000+112)/10000000)</f>
        <v/>
      </c>
      <c r="B713" s="35" t="str">
        <f aca="false">IF(Brand_Log!AY113=1,Brand_Log!H113,"")</f>
        <v/>
      </c>
      <c r="C713" s="23" t="str">
        <f aca="false">IF(B713="","","brand")</f>
        <v/>
      </c>
      <c r="D713" s="23" t="str">
        <f aca="false">IF(B713="","",Brand_Log!DV113&amp;"")</f>
        <v/>
      </c>
      <c r="E713" s="23" t="str">
        <f aca="false">IF(B713="","",IF(Brand_Log!B113="","",Brand_Log!B113&amp;""))</f>
        <v/>
      </c>
      <c r="F713" s="23" t="str">
        <f aca="false">IF(B713="","","conversation")</f>
        <v/>
      </c>
      <c r="G713" s="23" t="str">
        <f aca="false">IF(B713="","","")</f>
        <v/>
      </c>
      <c r="H713" s="23" t="str">
        <f aca="false">IF(B713="","","")</f>
        <v/>
      </c>
      <c r="I713" s="23" t="str">
        <f aca="false">IF(B713="","","")</f>
        <v/>
      </c>
      <c r="J713" s="23" t="str">
        <f aca="false">IF(B713="","",IF(Brand_Log!I113="","",Brand_Log!I113&amp;""))</f>
        <v/>
      </c>
      <c r="K713" s="32" t="s">
        <v>1355</v>
      </c>
    </row>
    <row r="714" customFormat="false" ht="15" hidden="false" customHeight="false" outlineLevel="0" collapsed="false">
      <c r="A714" s="23" t="str">
        <f aca="false">IF(B714="","",B714+(4*1000+113)/10000000)</f>
        <v/>
      </c>
      <c r="B714" s="35" t="str">
        <f aca="false">IF(Brand_Log!AY114=1,Brand_Log!H114,"")</f>
        <v/>
      </c>
      <c r="C714" s="23" t="str">
        <f aca="false">IF(B714="","","brand")</f>
        <v/>
      </c>
      <c r="D714" s="23" t="str">
        <f aca="false">IF(B714="","",Brand_Log!DV114&amp;"")</f>
        <v/>
      </c>
      <c r="E714" s="23" t="str">
        <f aca="false">IF(B714="","",IF(Brand_Log!B114="","",Brand_Log!B114&amp;""))</f>
        <v/>
      </c>
      <c r="F714" s="23" t="str">
        <f aca="false">IF(B714="","","conversation")</f>
        <v/>
      </c>
      <c r="G714" s="23" t="str">
        <f aca="false">IF(B714="","","")</f>
        <v/>
      </c>
      <c r="H714" s="23" t="str">
        <f aca="false">IF(B714="","","")</f>
        <v/>
      </c>
      <c r="I714" s="23" t="str">
        <f aca="false">IF(B714="","","")</f>
        <v/>
      </c>
      <c r="J714" s="23" t="str">
        <f aca="false">IF(B714="","",IF(Brand_Log!I114="","",Brand_Log!I114&amp;""))</f>
        <v/>
      </c>
      <c r="K714" s="32" t="s">
        <v>1355</v>
      </c>
    </row>
    <row r="715" customFormat="false" ht="15" hidden="false" customHeight="false" outlineLevel="0" collapsed="false">
      <c r="A715" s="23" t="str">
        <f aca="false">IF(B715="","",B715+(4*1000+114)/10000000)</f>
        <v/>
      </c>
      <c r="B715" s="35" t="str">
        <f aca="false">IF(Brand_Log!AY115=1,Brand_Log!H115,"")</f>
        <v/>
      </c>
      <c r="C715" s="23" t="str">
        <f aca="false">IF(B715="","","brand")</f>
        <v/>
      </c>
      <c r="D715" s="23" t="str">
        <f aca="false">IF(B715="","",Brand_Log!DV115&amp;"")</f>
        <v/>
      </c>
      <c r="E715" s="23" t="str">
        <f aca="false">IF(B715="","",IF(Brand_Log!B115="","",Brand_Log!B115&amp;""))</f>
        <v/>
      </c>
      <c r="F715" s="23" t="str">
        <f aca="false">IF(B715="","","conversation")</f>
        <v/>
      </c>
      <c r="G715" s="23" t="str">
        <f aca="false">IF(B715="","","")</f>
        <v/>
      </c>
      <c r="H715" s="23" t="str">
        <f aca="false">IF(B715="","","")</f>
        <v/>
      </c>
      <c r="I715" s="23" t="str">
        <f aca="false">IF(B715="","","")</f>
        <v/>
      </c>
      <c r="J715" s="23" t="str">
        <f aca="false">IF(B715="","",IF(Brand_Log!I115="","",Brand_Log!I115&amp;""))</f>
        <v/>
      </c>
      <c r="K715" s="32" t="s">
        <v>1355</v>
      </c>
    </row>
    <row r="716" customFormat="false" ht="15" hidden="false" customHeight="false" outlineLevel="0" collapsed="false">
      <c r="A716" s="23" t="str">
        <f aca="false">IF(B716="","",B716+(4*1000+115)/10000000)</f>
        <v/>
      </c>
      <c r="B716" s="35" t="str">
        <f aca="false">IF(Brand_Log!AY116=1,Brand_Log!H116,"")</f>
        <v/>
      </c>
      <c r="C716" s="23" t="str">
        <f aca="false">IF(B716="","","brand")</f>
        <v/>
      </c>
      <c r="D716" s="23" t="str">
        <f aca="false">IF(B716="","",Brand_Log!DV116&amp;"")</f>
        <v/>
      </c>
      <c r="E716" s="23" t="str">
        <f aca="false">IF(B716="","",IF(Brand_Log!B116="","",Brand_Log!B116&amp;""))</f>
        <v/>
      </c>
      <c r="F716" s="23" t="str">
        <f aca="false">IF(B716="","","conversation")</f>
        <v/>
      </c>
      <c r="G716" s="23" t="str">
        <f aca="false">IF(B716="","","")</f>
        <v/>
      </c>
      <c r="H716" s="23" t="str">
        <f aca="false">IF(B716="","","")</f>
        <v/>
      </c>
      <c r="I716" s="23" t="str">
        <f aca="false">IF(B716="","","")</f>
        <v/>
      </c>
      <c r="J716" s="23" t="str">
        <f aca="false">IF(B716="","",IF(Brand_Log!I116="","",Brand_Log!I116&amp;""))</f>
        <v/>
      </c>
      <c r="K716" s="32" t="s">
        <v>1355</v>
      </c>
    </row>
    <row r="717" customFormat="false" ht="15" hidden="false" customHeight="false" outlineLevel="0" collapsed="false">
      <c r="A717" s="23" t="str">
        <f aca="false">IF(B717="","",B717+(4*1000+116)/10000000)</f>
        <v/>
      </c>
      <c r="B717" s="35" t="str">
        <f aca="false">IF(Brand_Log!AY117=1,Brand_Log!H117,"")</f>
        <v/>
      </c>
      <c r="C717" s="23" t="str">
        <f aca="false">IF(B717="","","brand")</f>
        <v/>
      </c>
      <c r="D717" s="23" t="str">
        <f aca="false">IF(B717="","",Brand_Log!DV117&amp;"")</f>
        <v/>
      </c>
      <c r="E717" s="23" t="str">
        <f aca="false">IF(B717="","",IF(Brand_Log!B117="","",Brand_Log!B117&amp;""))</f>
        <v/>
      </c>
      <c r="F717" s="23" t="str">
        <f aca="false">IF(B717="","","conversation")</f>
        <v/>
      </c>
      <c r="G717" s="23" t="str">
        <f aca="false">IF(B717="","","")</f>
        <v/>
      </c>
      <c r="H717" s="23" t="str">
        <f aca="false">IF(B717="","","")</f>
        <v/>
      </c>
      <c r="I717" s="23" t="str">
        <f aca="false">IF(B717="","","")</f>
        <v/>
      </c>
      <c r="J717" s="23" t="str">
        <f aca="false">IF(B717="","",IF(Brand_Log!I117="","",Brand_Log!I117&amp;""))</f>
        <v/>
      </c>
      <c r="K717" s="32" t="s">
        <v>1355</v>
      </c>
    </row>
    <row r="718" customFormat="false" ht="15" hidden="false" customHeight="false" outlineLevel="0" collapsed="false">
      <c r="A718" s="23" t="str">
        <f aca="false">IF(B718="","",B718+(4*1000+117)/10000000)</f>
        <v/>
      </c>
      <c r="B718" s="35" t="str">
        <f aca="false">IF(Brand_Log!AY118=1,Brand_Log!H118,"")</f>
        <v/>
      </c>
      <c r="C718" s="23" t="str">
        <f aca="false">IF(B718="","","brand")</f>
        <v/>
      </c>
      <c r="D718" s="23" t="str">
        <f aca="false">IF(B718="","",Brand_Log!DV118&amp;"")</f>
        <v/>
      </c>
      <c r="E718" s="23" t="str">
        <f aca="false">IF(B718="","",IF(Brand_Log!B118="","",Brand_Log!B118&amp;""))</f>
        <v/>
      </c>
      <c r="F718" s="23" t="str">
        <f aca="false">IF(B718="","","conversation")</f>
        <v/>
      </c>
      <c r="G718" s="23" t="str">
        <f aca="false">IF(B718="","","")</f>
        <v/>
      </c>
      <c r="H718" s="23" t="str">
        <f aca="false">IF(B718="","","")</f>
        <v/>
      </c>
      <c r="I718" s="23" t="str">
        <f aca="false">IF(B718="","","")</f>
        <v/>
      </c>
      <c r="J718" s="23" t="str">
        <f aca="false">IF(B718="","",IF(Brand_Log!I118="","",Brand_Log!I118&amp;""))</f>
        <v/>
      </c>
      <c r="K718" s="32" t="s">
        <v>1355</v>
      </c>
    </row>
    <row r="719" customFormat="false" ht="15" hidden="false" customHeight="false" outlineLevel="0" collapsed="false">
      <c r="A719" s="23" t="str">
        <f aca="false">IF(B719="","",B719+(4*1000+118)/10000000)</f>
        <v/>
      </c>
      <c r="B719" s="35" t="str">
        <f aca="false">IF(Brand_Log!AY119=1,Brand_Log!H119,"")</f>
        <v/>
      </c>
      <c r="C719" s="23" t="str">
        <f aca="false">IF(B719="","","brand")</f>
        <v/>
      </c>
      <c r="D719" s="23" t="str">
        <f aca="false">IF(B719="","",Brand_Log!DV119&amp;"")</f>
        <v/>
      </c>
      <c r="E719" s="23" t="str">
        <f aca="false">IF(B719="","",IF(Brand_Log!B119="","",Brand_Log!B119&amp;""))</f>
        <v/>
      </c>
      <c r="F719" s="23" t="str">
        <f aca="false">IF(B719="","","conversation")</f>
        <v/>
      </c>
      <c r="G719" s="23" t="str">
        <f aca="false">IF(B719="","","")</f>
        <v/>
      </c>
      <c r="H719" s="23" t="str">
        <f aca="false">IF(B719="","","")</f>
        <v/>
      </c>
      <c r="I719" s="23" t="str">
        <f aca="false">IF(B719="","","")</f>
        <v/>
      </c>
      <c r="J719" s="23" t="str">
        <f aca="false">IF(B719="","",IF(Brand_Log!I119="","",Brand_Log!I119&amp;""))</f>
        <v/>
      </c>
      <c r="K719" s="32" t="s">
        <v>1355</v>
      </c>
    </row>
    <row r="720" customFormat="false" ht="15" hidden="false" customHeight="false" outlineLevel="0" collapsed="false">
      <c r="A720" s="23" t="str">
        <f aca="false">IF(B720="","",B720+(4*1000+119)/10000000)</f>
        <v/>
      </c>
      <c r="B720" s="35" t="str">
        <f aca="false">IF(Brand_Log!AY120=1,Brand_Log!H120,"")</f>
        <v/>
      </c>
      <c r="C720" s="23" t="str">
        <f aca="false">IF(B720="","","brand")</f>
        <v/>
      </c>
      <c r="D720" s="23" t="str">
        <f aca="false">IF(B720="","",Brand_Log!DV120&amp;"")</f>
        <v/>
      </c>
      <c r="E720" s="23" t="str">
        <f aca="false">IF(B720="","",IF(Brand_Log!B120="","",Brand_Log!B120&amp;""))</f>
        <v/>
      </c>
      <c r="F720" s="23" t="str">
        <f aca="false">IF(B720="","","conversation")</f>
        <v/>
      </c>
      <c r="G720" s="23" t="str">
        <f aca="false">IF(B720="","","")</f>
        <v/>
      </c>
      <c r="H720" s="23" t="str">
        <f aca="false">IF(B720="","","")</f>
        <v/>
      </c>
      <c r="I720" s="23" t="str">
        <f aca="false">IF(B720="","","")</f>
        <v/>
      </c>
      <c r="J720" s="23" t="str">
        <f aca="false">IF(B720="","",IF(Brand_Log!I120="","",Brand_Log!I120&amp;""))</f>
        <v/>
      </c>
      <c r="K720" s="32" t="s">
        <v>1355</v>
      </c>
    </row>
    <row r="721" customFormat="false" ht="15" hidden="false" customHeight="false" outlineLevel="0" collapsed="false">
      <c r="A721" s="23" t="str">
        <f aca="false">IF(B721="","",B721+(4*1000+120)/10000000)</f>
        <v/>
      </c>
      <c r="B721" s="35" t="str">
        <f aca="false">IF(Brand_Log!AY121=1,Brand_Log!H121,"")</f>
        <v/>
      </c>
      <c r="C721" s="23" t="str">
        <f aca="false">IF(B721="","","brand")</f>
        <v/>
      </c>
      <c r="D721" s="23" t="str">
        <f aca="false">IF(B721="","",Brand_Log!DV121&amp;"")</f>
        <v/>
      </c>
      <c r="E721" s="23" t="str">
        <f aca="false">IF(B721="","",IF(Brand_Log!B121="","",Brand_Log!B121&amp;""))</f>
        <v/>
      </c>
      <c r="F721" s="23" t="str">
        <f aca="false">IF(B721="","","conversation")</f>
        <v/>
      </c>
      <c r="G721" s="23" t="str">
        <f aca="false">IF(B721="","","")</f>
        <v/>
      </c>
      <c r="H721" s="23" t="str">
        <f aca="false">IF(B721="","","")</f>
        <v/>
      </c>
      <c r="I721" s="23" t="str">
        <f aca="false">IF(B721="","","")</f>
        <v/>
      </c>
      <c r="J721" s="23" t="str">
        <f aca="false">IF(B721="","",IF(Brand_Log!I121="","",Brand_Log!I121&amp;""))</f>
        <v/>
      </c>
      <c r="K721" s="32" t="s">
        <v>1355</v>
      </c>
    </row>
    <row r="722" customFormat="false" ht="15" hidden="false" customHeight="false" outlineLevel="0" collapsed="false">
      <c r="A722" s="23" t="str">
        <f aca="false">IF(B722="","",B722+(4*1000+121)/10000000)</f>
        <v/>
      </c>
      <c r="B722" s="35" t="str">
        <f aca="false">IF(Brand_Log!AY122=1,Brand_Log!H122,"")</f>
        <v/>
      </c>
      <c r="C722" s="23" t="str">
        <f aca="false">IF(B722="","","brand")</f>
        <v/>
      </c>
      <c r="D722" s="23" t="str">
        <f aca="false">IF(B722="","",Brand_Log!DV122&amp;"")</f>
        <v/>
      </c>
      <c r="E722" s="23" t="str">
        <f aca="false">IF(B722="","",IF(Brand_Log!B122="","",Brand_Log!B122&amp;""))</f>
        <v/>
      </c>
      <c r="F722" s="23" t="str">
        <f aca="false">IF(B722="","","conversation")</f>
        <v/>
      </c>
      <c r="G722" s="23" t="str">
        <f aca="false">IF(B722="","","")</f>
        <v/>
      </c>
      <c r="H722" s="23" t="str">
        <f aca="false">IF(B722="","","")</f>
        <v/>
      </c>
      <c r="I722" s="23" t="str">
        <f aca="false">IF(B722="","","")</f>
        <v/>
      </c>
      <c r="J722" s="23" t="str">
        <f aca="false">IF(B722="","",IF(Brand_Log!I122="","",Brand_Log!I122&amp;""))</f>
        <v/>
      </c>
      <c r="K722" s="32" t="s">
        <v>1355</v>
      </c>
    </row>
    <row r="723" customFormat="false" ht="15" hidden="false" customHeight="false" outlineLevel="0" collapsed="false">
      <c r="A723" s="23" t="str">
        <f aca="false">IF(B723="","",B723+(4*1000+122)/10000000)</f>
        <v/>
      </c>
      <c r="B723" s="35" t="str">
        <f aca="false">IF(Brand_Log!AY123=1,Brand_Log!H123,"")</f>
        <v/>
      </c>
      <c r="C723" s="23" t="str">
        <f aca="false">IF(B723="","","brand")</f>
        <v/>
      </c>
      <c r="D723" s="23" t="str">
        <f aca="false">IF(B723="","",Brand_Log!DV123&amp;"")</f>
        <v/>
      </c>
      <c r="E723" s="23" t="str">
        <f aca="false">IF(B723="","",IF(Brand_Log!B123="","",Brand_Log!B123&amp;""))</f>
        <v/>
      </c>
      <c r="F723" s="23" t="str">
        <f aca="false">IF(B723="","","conversation")</f>
        <v/>
      </c>
      <c r="G723" s="23" t="str">
        <f aca="false">IF(B723="","","")</f>
        <v/>
      </c>
      <c r="H723" s="23" t="str">
        <f aca="false">IF(B723="","","")</f>
        <v/>
      </c>
      <c r="I723" s="23" t="str">
        <f aca="false">IF(B723="","","")</f>
        <v/>
      </c>
      <c r="J723" s="23" t="str">
        <f aca="false">IF(B723="","",IF(Brand_Log!I123="","",Brand_Log!I123&amp;""))</f>
        <v/>
      </c>
      <c r="K723" s="32" t="s">
        <v>1355</v>
      </c>
    </row>
    <row r="724" customFormat="false" ht="15" hidden="false" customHeight="false" outlineLevel="0" collapsed="false">
      <c r="A724" s="23" t="str">
        <f aca="false">IF(B724="","",B724+(4*1000+123)/10000000)</f>
        <v/>
      </c>
      <c r="B724" s="35" t="str">
        <f aca="false">IF(Brand_Log!AY124=1,Brand_Log!H124,"")</f>
        <v/>
      </c>
      <c r="C724" s="23" t="str">
        <f aca="false">IF(B724="","","brand")</f>
        <v/>
      </c>
      <c r="D724" s="23" t="str">
        <f aca="false">IF(B724="","",Brand_Log!DV124&amp;"")</f>
        <v/>
      </c>
      <c r="E724" s="23" t="str">
        <f aca="false">IF(B724="","",IF(Brand_Log!B124="","",Brand_Log!B124&amp;""))</f>
        <v/>
      </c>
      <c r="F724" s="23" t="str">
        <f aca="false">IF(B724="","","conversation")</f>
        <v/>
      </c>
      <c r="G724" s="23" t="str">
        <f aca="false">IF(B724="","","")</f>
        <v/>
      </c>
      <c r="H724" s="23" t="str">
        <f aca="false">IF(B724="","","")</f>
        <v/>
      </c>
      <c r="I724" s="23" t="str">
        <f aca="false">IF(B724="","","")</f>
        <v/>
      </c>
      <c r="J724" s="23" t="str">
        <f aca="false">IF(B724="","",IF(Brand_Log!I124="","",Brand_Log!I124&amp;""))</f>
        <v/>
      </c>
      <c r="K724" s="32" t="s">
        <v>1355</v>
      </c>
    </row>
    <row r="725" customFormat="false" ht="15" hidden="false" customHeight="false" outlineLevel="0" collapsed="false">
      <c r="A725" s="23" t="str">
        <f aca="false">IF(B725="","",B725+(4*1000+124)/10000000)</f>
        <v/>
      </c>
      <c r="B725" s="35" t="str">
        <f aca="false">IF(Brand_Log!AY125=1,Brand_Log!H125,"")</f>
        <v/>
      </c>
      <c r="C725" s="23" t="str">
        <f aca="false">IF(B725="","","brand")</f>
        <v/>
      </c>
      <c r="D725" s="23" t="str">
        <f aca="false">IF(B725="","",Brand_Log!DV125&amp;"")</f>
        <v/>
      </c>
      <c r="E725" s="23" t="str">
        <f aca="false">IF(B725="","",IF(Brand_Log!B125="","",Brand_Log!B125&amp;""))</f>
        <v/>
      </c>
      <c r="F725" s="23" t="str">
        <f aca="false">IF(B725="","","conversation")</f>
        <v/>
      </c>
      <c r="G725" s="23" t="str">
        <f aca="false">IF(B725="","","")</f>
        <v/>
      </c>
      <c r="H725" s="23" t="str">
        <f aca="false">IF(B725="","","")</f>
        <v/>
      </c>
      <c r="I725" s="23" t="str">
        <f aca="false">IF(B725="","","")</f>
        <v/>
      </c>
      <c r="J725" s="23" t="str">
        <f aca="false">IF(B725="","",IF(Brand_Log!I125="","",Brand_Log!I125&amp;""))</f>
        <v/>
      </c>
      <c r="K725" s="32" t="s">
        <v>1355</v>
      </c>
    </row>
    <row r="726" customFormat="false" ht="15" hidden="false" customHeight="false" outlineLevel="0" collapsed="false">
      <c r="A726" s="23" t="str">
        <f aca="false">IF(B726="","",B726+(4*1000+125)/10000000)</f>
        <v/>
      </c>
      <c r="B726" s="35" t="str">
        <f aca="false">IF(Brand_Log!AY126=1,Brand_Log!H126,"")</f>
        <v/>
      </c>
      <c r="C726" s="23" t="str">
        <f aca="false">IF(B726="","","brand")</f>
        <v/>
      </c>
      <c r="D726" s="23" t="str">
        <f aca="false">IF(B726="","",Brand_Log!DV126&amp;"")</f>
        <v/>
      </c>
      <c r="E726" s="23" t="str">
        <f aca="false">IF(B726="","",IF(Brand_Log!B126="","",Brand_Log!B126&amp;""))</f>
        <v/>
      </c>
      <c r="F726" s="23" t="str">
        <f aca="false">IF(B726="","","conversation")</f>
        <v/>
      </c>
      <c r="G726" s="23" t="str">
        <f aca="false">IF(B726="","","")</f>
        <v/>
      </c>
      <c r="H726" s="23" t="str">
        <f aca="false">IF(B726="","","")</f>
        <v/>
      </c>
      <c r="I726" s="23" t="str">
        <f aca="false">IF(B726="","","")</f>
        <v/>
      </c>
      <c r="J726" s="23" t="str">
        <f aca="false">IF(B726="","",IF(Brand_Log!I126="","",Brand_Log!I126&amp;""))</f>
        <v/>
      </c>
      <c r="K726" s="32" t="s">
        <v>1355</v>
      </c>
    </row>
    <row r="727" customFormat="false" ht="15" hidden="false" customHeight="false" outlineLevel="0" collapsed="false">
      <c r="A727" s="23" t="str">
        <f aca="false">IF(B727="","",B727+(4*1000+126)/10000000)</f>
        <v/>
      </c>
      <c r="B727" s="35" t="str">
        <f aca="false">IF(Brand_Log!AY127=1,Brand_Log!H127,"")</f>
        <v/>
      </c>
      <c r="C727" s="23" t="str">
        <f aca="false">IF(B727="","","brand")</f>
        <v/>
      </c>
      <c r="D727" s="23" t="str">
        <f aca="false">IF(B727="","",Brand_Log!DV127&amp;"")</f>
        <v/>
      </c>
      <c r="E727" s="23" t="str">
        <f aca="false">IF(B727="","",IF(Brand_Log!B127="","",Brand_Log!B127&amp;""))</f>
        <v/>
      </c>
      <c r="F727" s="23" t="str">
        <f aca="false">IF(B727="","","conversation")</f>
        <v/>
      </c>
      <c r="G727" s="23" t="str">
        <f aca="false">IF(B727="","","")</f>
        <v/>
      </c>
      <c r="H727" s="23" t="str">
        <f aca="false">IF(B727="","","")</f>
        <v/>
      </c>
      <c r="I727" s="23" t="str">
        <f aca="false">IF(B727="","","")</f>
        <v/>
      </c>
      <c r="J727" s="23" t="str">
        <f aca="false">IF(B727="","",IF(Brand_Log!I127="","",Brand_Log!I127&amp;""))</f>
        <v/>
      </c>
      <c r="K727" s="32" t="s">
        <v>1355</v>
      </c>
    </row>
    <row r="728" customFormat="false" ht="15" hidden="false" customHeight="false" outlineLevel="0" collapsed="false">
      <c r="A728" s="23" t="str">
        <f aca="false">IF(B728="","",B728+(4*1000+127)/10000000)</f>
        <v/>
      </c>
      <c r="B728" s="35" t="str">
        <f aca="false">IF(Brand_Log!AY128=1,Brand_Log!H128,"")</f>
        <v/>
      </c>
      <c r="C728" s="23" t="str">
        <f aca="false">IF(B728="","","brand")</f>
        <v/>
      </c>
      <c r="D728" s="23" t="str">
        <f aca="false">IF(B728="","",Brand_Log!DV128&amp;"")</f>
        <v/>
      </c>
      <c r="E728" s="23" t="str">
        <f aca="false">IF(B728="","",IF(Brand_Log!B128="","",Brand_Log!B128&amp;""))</f>
        <v/>
      </c>
      <c r="F728" s="23" t="str">
        <f aca="false">IF(B728="","","conversation")</f>
        <v/>
      </c>
      <c r="G728" s="23" t="str">
        <f aca="false">IF(B728="","","")</f>
        <v/>
      </c>
      <c r="H728" s="23" t="str">
        <f aca="false">IF(B728="","","")</f>
        <v/>
      </c>
      <c r="I728" s="23" t="str">
        <f aca="false">IF(B728="","","")</f>
        <v/>
      </c>
      <c r="J728" s="23" t="str">
        <f aca="false">IF(B728="","",IF(Brand_Log!I128="","",Brand_Log!I128&amp;""))</f>
        <v/>
      </c>
      <c r="K728" s="32" t="s">
        <v>1355</v>
      </c>
    </row>
    <row r="729" customFormat="false" ht="15" hidden="false" customHeight="false" outlineLevel="0" collapsed="false">
      <c r="A729" s="23" t="str">
        <f aca="false">IF(B729="","",B729+(4*1000+128)/10000000)</f>
        <v/>
      </c>
      <c r="B729" s="35" t="str">
        <f aca="false">IF(Brand_Log!AY129=1,Brand_Log!H129,"")</f>
        <v/>
      </c>
      <c r="C729" s="23" t="str">
        <f aca="false">IF(B729="","","brand")</f>
        <v/>
      </c>
      <c r="D729" s="23" t="str">
        <f aca="false">IF(B729="","",Brand_Log!DV129&amp;"")</f>
        <v/>
      </c>
      <c r="E729" s="23" t="str">
        <f aca="false">IF(B729="","",IF(Brand_Log!B129="","",Brand_Log!B129&amp;""))</f>
        <v/>
      </c>
      <c r="F729" s="23" t="str">
        <f aca="false">IF(B729="","","conversation")</f>
        <v/>
      </c>
      <c r="G729" s="23" t="str">
        <f aca="false">IF(B729="","","")</f>
        <v/>
      </c>
      <c r="H729" s="23" t="str">
        <f aca="false">IF(B729="","","")</f>
        <v/>
      </c>
      <c r="I729" s="23" t="str">
        <f aca="false">IF(B729="","","")</f>
        <v/>
      </c>
      <c r="J729" s="23" t="str">
        <f aca="false">IF(B729="","",IF(Brand_Log!I129="","",Brand_Log!I129&amp;""))</f>
        <v/>
      </c>
      <c r="K729" s="32" t="s">
        <v>1355</v>
      </c>
    </row>
    <row r="730" customFormat="false" ht="15" hidden="false" customHeight="false" outlineLevel="0" collapsed="false">
      <c r="A730" s="23" t="str">
        <f aca="false">IF(B730="","",B730+(4*1000+129)/10000000)</f>
        <v/>
      </c>
      <c r="B730" s="35" t="str">
        <f aca="false">IF(Brand_Log!AY130=1,Brand_Log!H130,"")</f>
        <v/>
      </c>
      <c r="C730" s="23" t="str">
        <f aca="false">IF(B730="","","brand")</f>
        <v/>
      </c>
      <c r="D730" s="23" t="str">
        <f aca="false">IF(B730="","",Brand_Log!DV130&amp;"")</f>
        <v/>
      </c>
      <c r="E730" s="23" t="str">
        <f aca="false">IF(B730="","",IF(Brand_Log!B130="","",Brand_Log!B130&amp;""))</f>
        <v/>
      </c>
      <c r="F730" s="23" t="str">
        <f aca="false">IF(B730="","","conversation")</f>
        <v/>
      </c>
      <c r="G730" s="23" t="str">
        <f aca="false">IF(B730="","","")</f>
        <v/>
      </c>
      <c r="H730" s="23" t="str">
        <f aca="false">IF(B730="","","")</f>
        <v/>
      </c>
      <c r="I730" s="23" t="str">
        <f aca="false">IF(B730="","","")</f>
        <v/>
      </c>
      <c r="J730" s="23" t="str">
        <f aca="false">IF(B730="","",IF(Brand_Log!I130="","",Brand_Log!I130&amp;""))</f>
        <v/>
      </c>
      <c r="K730" s="32" t="s">
        <v>1355</v>
      </c>
    </row>
    <row r="731" customFormat="false" ht="15" hidden="false" customHeight="false" outlineLevel="0" collapsed="false">
      <c r="A731" s="23" t="str">
        <f aca="false">IF(B731="","",B731+(4*1000+130)/10000000)</f>
        <v/>
      </c>
      <c r="B731" s="35" t="str">
        <f aca="false">IF(Brand_Log!AY131=1,Brand_Log!H131,"")</f>
        <v/>
      </c>
      <c r="C731" s="23" t="str">
        <f aca="false">IF(B731="","","brand")</f>
        <v/>
      </c>
      <c r="D731" s="23" t="str">
        <f aca="false">IF(B731="","",Brand_Log!DV131&amp;"")</f>
        <v/>
      </c>
      <c r="E731" s="23" t="str">
        <f aca="false">IF(B731="","",IF(Brand_Log!B131="","",Brand_Log!B131&amp;""))</f>
        <v/>
      </c>
      <c r="F731" s="23" t="str">
        <f aca="false">IF(B731="","","conversation")</f>
        <v/>
      </c>
      <c r="G731" s="23" t="str">
        <f aca="false">IF(B731="","","")</f>
        <v/>
      </c>
      <c r="H731" s="23" t="str">
        <f aca="false">IF(B731="","","")</f>
        <v/>
      </c>
      <c r="I731" s="23" t="str">
        <f aca="false">IF(B731="","","")</f>
        <v/>
      </c>
      <c r="J731" s="23" t="str">
        <f aca="false">IF(B731="","",IF(Brand_Log!I131="","",Brand_Log!I131&amp;""))</f>
        <v/>
      </c>
      <c r="K731" s="32" t="s">
        <v>1355</v>
      </c>
    </row>
    <row r="732" customFormat="false" ht="15" hidden="false" customHeight="false" outlineLevel="0" collapsed="false">
      <c r="A732" s="23" t="str">
        <f aca="false">IF(B732="","",B732+(4*1000+131)/10000000)</f>
        <v/>
      </c>
      <c r="B732" s="35" t="str">
        <f aca="false">IF(Brand_Log!AY132=1,Brand_Log!H132,"")</f>
        <v/>
      </c>
      <c r="C732" s="23" t="str">
        <f aca="false">IF(B732="","","brand")</f>
        <v/>
      </c>
      <c r="D732" s="23" t="str">
        <f aca="false">IF(B732="","",Brand_Log!DV132&amp;"")</f>
        <v/>
      </c>
      <c r="E732" s="23" t="str">
        <f aca="false">IF(B732="","",IF(Brand_Log!B132="","",Brand_Log!B132&amp;""))</f>
        <v/>
      </c>
      <c r="F732" s="23" t="str">
        <f aca="false">IF(B732="","","conversation")</f>
        <v/>
      </c>
      <c r="G732" s="23" t="str">
        <f aca="false">IF(B732="","","")</f>
        <v/>
      </c>
      <c r="H732" s="23" t="str">
        <f aca="false">IF(B732="","","")</f>
        <v/>
      </c>
      <c r="I732" s="23" t="str">
        <f aca="false">IF(B732="","","")</f>
        <v/>
      </c>
      <c r="J732" s="23" t="str">
        <f aca="false">IF(B732="","",IF(Brand_Log!I132="","",Brand_Log!I132&amp;""))</f>
        <v/>
      </c>
      <c r="K732" s="32" t="s">
        <v>1355</v>
      </c>
    </row>
    <row r="733" customFormat="false" ht="15" hidden="false" customHeight="false" outlineLevel="0" collapsed="false">
      <c r="A733" s="23" t="str">
        <f aca="false">IF(B733="","",B733+(4*1000+132)/10000000)</f>
        <v/>
      </c>
      <c r="B733" s="35" t="str">
        <f aca="false">IF(Brand_Log!AY133=1,Brand_Log!H133,"")</f>
        <v/>
      </c>
      <c r="C733" s="23" t="str">
        <f aca="false">IF(B733="","","brand")</f>
        <v/>
      </c>
      <c r="D733" s="23" t="str">
        <f aca="false">IF(B733="","",Brand_Log!DV133&amp;"")</f>
        <v/>
      </c>
      <c r="E733" s="23" t="str">
        <f aca="false">IF(B733="","",IF(Brand_Log!B133="","",Brand_Log!B133&amp;""))</f>
        <v/>
      </c>
      <c r="F733" s="23" t="str">
        <f aca="false">IF(B733="","","conversation")</f>
        <v/>
      </c>
      <c r="G733" s="23" t="str">
        <f aca="false">IF(B733="","","")</f>
        <v/>
      </c>
      <c r="H733" s="23" t="str">
        <f aca="false">IF(B733="","","")</f>
        <v/>
      </c>
      <c r="I733" s="23" t="str">
        <f aca="false">IF(B733="","","")</f>
        <v/>
      </c>
      <c r="J733" s="23" t="str">
        <f aca="false">IF(B733="","",IF(Brand_Log!I133="","",Brand_Log!I133&amp;""))</f>
        <v/>
      </c>
      <c r="K733" s="32" t="s">
        <v>1355</v>
      </c>
    </row>
    <row r="734" customFormat="false" ht="15" hidden="false" customHeight="false" outlineLevel="0" collapsed="false">
      <c r="A734" s="23" t="str">
        <f aca="false">IF(B734="","",B734+(4*1000+133)/10000000)</f>
        <v/>
      </c>
      <c r="B734" s="35" t="str">
        <f aca="false">IF(Brand_Log!AY134=1,Brand_Log!H134,"")</f>
        <v/>
      </c>
      <c r="C734" s="23" t="str">
        <f aca="false">IF(B734="","","brand")</f>
        <v/>
      </c>
      <c r="D734" s="23" t="str">
        <f aca="false">IF(B734="","",Brand_Log!DV134&amp;"")</f>
        <v/>
      </c>
      <c r="E734" s="23" t="str">
        <f aca="false">IF(B734="","",IF(Brand_Log!B134="","",Brand_Log!B134&amp;""))</f>
        <v/>
      </c>
      <c r="F734" s="23" t="str">
        <f aca="false">IF(B734="","","conversation")</f>
        <v/>
      </c>
      <c r="G734" s="23" t="str">
        <f aca="false">IF(B734="","","")</f>
        <v/>
      </c>
      <c r="H734" s="23" t="str">
        <f aca="false">IF(B734="","","")</f>
        <v/>
      </c>
      <c r="I734" s="23" t="str">
        <f aca="false">IF(B734="","","")</f>
        <v/>
      </c>
      <c r="J734" s="23" t="str">
        <f aca="false">IF(B734="","",IF(Brand_Log!I134="","",Brand_Log!I134&amp;""))</f>
        <v/>
      </c>
      <c r="K734" s="32" t="s">
        <v>1355</v>
      </c>
    </row>
    <row r="735" customFormat="false" ht="15" hidden="false" customHeight="false" outlineLevel="0" collapsed="false">
      <c r="A735" s="23" t="str">
        <f aca="false">IF(B735="","",B735+(4*1000+134)/10000000)</f>
        <v/>
      </c>
      <c r="B735" s="35" t="str">
        <f aca="false">IF(Brand_Log!AY135=1,Brand_Log!H135,"")</f>
        <v/>
      </c>
      <c r="C735" s="23" t="str">
        <f aca="false">IF(B735="","","brand")</f>
        <v/>
      </c>
      <c r="D735" s="23" t="str">
        <f aca="false">IF(B735="","",Brand_Log!DV135&amp;"")</f>
        <v/>
      </c>
      <c r="E735" s="23" t="str">
        <f aca="false">IF(B735="","",IF(Brand_Log!B135="","",Brand_Log!B135&amp;""))</f>
        <v/>
      </c>
      <c r="F735" s="23" t="str">
        <f aca="false">IF(B735="","","conversation")</f>
        <v/>
      </c>
      <c r="G735" s="23" t="str">
        <f aca="false">IF(B735="","","")</f>
        <v/>
      </c>
      <c r="H735" s="23" t="str">
        <f aca="false">IF(B735="","","")</f>
        <v/>
      </c>
      <c r="I735" s="23" t="str">
        <f aca="false">IF(B735="","","")</f>
        <v/>
      </c>
      <c r="J735" s="23" t="str">
        <f aca="false">IF(B735="","",IF(Brand_Log!I135="","",Brand_Log!I135&amp;""))</f>
        <v/>
      </c>
      <c r="K735" s="32" t="s">
        <v>1355</v>
      </c>
    </row>
    <row r="736" customFormat="false" ht="15" hidden="false" customHeight="false" outlineLevel="0" collapsed="false">
      <c r="A736" s="23" t="str">
        <f aca="false">IF(B736="","",B736+(4*1000+135)/10000000)</f>
        <v/>
      </c>
      <c r="B736" s="35" t="str">
        <f aca="false">IF(Brand_Log!AY136=1,Brand_Log!H136,"")</f>
        <v/>
      </c>
      <c r="C736" s="23" t="str">
        <f aca="false">IF(B736="","","brand")</f>
        <v/>
      </c>
      <c r="D736" s="23" t="str">
        <f aca="false">IF(B736="","",Brand_Log!DV136&amp;"")</f>
        <v/>
      </c>
      <c r="E736" s="23" t="str">
        <f aca="false">IF(B736="","",IF(Brand_Log!B136="","",Brand_Log!B136&amp;""))</f>
        <v/>
      </c>
      <c r="F736" s="23" t="str">
        <f aca="false">IF(B736="","","conversation")</f>
        <v/>
      </c>
      <c r="G736" s="23" t="str">
        <f aca="false">IF(B736="","","")</f>
        <v/>
      </c>
      <c r="H736" s="23" t="str">
        <f aca="false">IF(B736="","","")</f>
        <v/>
      </c>
      <c r="I736" s="23" t="str">
        <f aca="false">IF(B736="","","")</f>
        <v/>
      </c>
      <c r="J736" s="23" t="str">
        <f aca="false">IF(B736="","",IF(Brand_Log!I136="","",Brand_Log!I136&amp;""))</f>
        <v/>
      </c>
      <c r="K736" s="32" t="s">
        <v>1355</v>
      </c>
    </row>
    <row r="737" customFormat="false" ht="15" hidden="false" customHeight="false" outlineLevel="0" collapsed="false">
      <c r="A737" s="23" t="str">
        <f aca="false">IF(B737="","",B737+(4*1000+136)/10000000)</f>
        <v/>
      </c>
      <c r="B737" s="35" t="str">
        <f aca="false">IF(Brand_Log!AY137=1,Brand_Log!H137,"")</f>
        <v/>
      </c>
      <c r="C737" s="23" t="str">
        <f aca="false">IF(B737="","","brand")</f>
        <v/>
      </c>
      <c r="D737" s="23" t="str">
        <f aca="false">IF(B737="","",Brand_Log!DV137&amp;"")</f>
        <v/>
      </c>
      <c r="E737" s="23" t="str">
        <f aca="false">IF(B737="","",IF(Brand_Log!B137="","",Brand_Log!B137&amp;""))</f>
        <v/>
      </c>
      <c r="F737" s="23" t="str">
        <f aca="false">IF(B737="","","conversation")</f>
        <v/>
      </c>
      <c r="G737" s="23" t="str">
        <f aca="false">IF(B737="","","")</f>
        <v/>
      </c>
      <c r="H737" s="23" t="str">
        <f aca="false">IF(B737="","","")</f>
        <v/>
      </c>
      <c r="I737" s="23" t="str">
        <f aca="false">IF(B737="","","")</f>
        <v/>
      </c>
      <c r="J737" s="23" t="str">
        <f aca="false">IF(B737="","",IF(Brand_Log!I137="","",Brand_Log!I137&amp;""))</f>
        <v/>
      </c>
      <c r="K737" s="32" t="s">
        <v>1355</v>
      </c>
    </row>
    <row r="738" customFormat="false" ht="15" hidden="false" customHeight="false" outlineLevel="0" collapsed="false">
      <c r="A738" s="23" t="str">
        <f aca="false">IF(B738="","",B738+(4*1000+137)/10000000)</f>
        <v/>
      </c>
      <c r="B738" s="35" t="str">
        <f aca="false">IF(Brand_Log!AY138=1,Brand_Log!H138,"")</f>
        <v/>
      </c>
      <c r="C738" s="23" t="str">
        <f aca="false">IF(B738="","","brand")</f>
        <v/>
      </c>
      <c r="D738" s="23" t="str">
        <f aca="false">IF(B738="","",Brand_Log!DV138&amp;"")</f>
        <v/>
      </c>
      <c r="E738" s="23" t="str">
        <f aca="false">IF(B738="","",IF(Brand_Log!B138="","",Brand_Log!B138&amp;""))</f>
        <v/>
      </c>
      <c r="F738" s="23" t="str">
        <f aca="false">IF(B738="","","conversation")</f>
        <v/>
      </c>
      <c r="G738" s="23" t="str">
        <f aca="false">IF(B738="","","")</f>
        <v/>
      </c>
      <c r="H738" s="23" t="str">
        <f aca="false">IF(B738="","","")</f>
        <v/>
      </c>
      <c r="I738" s="23" t="str">
        <f aca="false">IF(B738="","","")</f>
        <v/>
      </c>
      <c r="J738" s="23" t="str">
        <f aca="false">IF(B738="","",IF(Brand_Log!I138="","",Brand_Log!I138&amp;""))</f>
        <v/>
      </c>
      <c r="K738" s="32" t="s">
        <v>1355</v>
      </c>
    </row>
    <row r="739" customFormat="false" ht="15" hidden="false" customHeight="false" outlineLevel="0" collapsed="false">
      <c r="A739" s="23" t="str">
        <f aca="false">IF(B739="","",B739+(4*1000+138)/10000000)</f>
        <v/>
      </c>
      <c r="B739" s="35" t="str">
        <f aca="false">IF(Brand_Log!AY139=1,Brand_Log!H139,"")</f>
        <v/>
      </c>
      <c r="C739" s="23" t="str">
        <f aca="false">IF(B739="","","brand")</f>
        <v/>
      </c>
      <c r="D739" s="23" t="str">
        <f aca="false">IF(B739="","",Brand_Log!DV139&amp;"")</f>
        <v/>
      </c>
      <c r="E739" s="23" t="str">
        <f aca="false">IF(B739="","",IF(Brand_Log!B139="","",Brand_Log!B139&amp;""))</f>
        <v/>
      </c>
      <c r="F739" s="23" t="str">
        <f aca="false">IF(B739="","","conversation")</f>
        <v/>
      </c>
      <c r="G739" s="23" t="str">
        <f aca="false">IF(B739="","","")</f>
        <v/>
      </c>
      <c r="H739" s="23" t="str">
        <f aca="false">IF(B739="","","")</f>
        <v/>
      </c>
      <c r="I739" s="23" t="str">
        <f aca="false">IF(B739="","","")</f>
        <v/>
      </c>
      <c r="J739" s="23" t="str">
        <f aca="false">IF(B739="","",IF(Brand_Log!I139="","",Brand_Log!I139&amp;""))</f>
        <v/>
      </c>
      <c r="K739" s="32" t="s">
        <v>1355</v>
      </c>
    </row>
    <row r="740" customFormat="false" ht="15" hidden="false" customHeight="false" outlineLevel="0" collapsed="false">
      <c r="A740" s="23" t="str">
        <f aca="false">IF(B740="","",B740+(4*1000+139)/10000000)</f>
        <v/>
      </c>
      <c r="B740" s="35" t="str">
        <f aca="false">IF(Brand_Log!AY140=1,Brand_Log!H140,"")</f>
        <v/>
      </c>
      <c r="C740" s="23" t="str">
        <f aca="false">IF(B740="","","brand")</f>
        <v/>
      </c>
      <c r="D740" s="23" t="str">
        <f aca="false">IF(B740="","",Brand_Log!DV140&amp;"")</f>
        <v/>
      </c>
      <c r="E740" s="23" t="str">
        <f aca="false">IF(B740="","",IF(Brand_Log!B140="","",Brand_Log!B140&amp;""))</f>
        <v/>
      </c>
      <c r="F740" s="23" t="str">
        <f aca="false">IF(B740="","","conversation")</f>
        <v/>
      </c>
      <c r="G740" s="23" t="str">
        <f aca="false">IF(B740="","","")</f>
        <v/>
      </c>
      <c r="H740" s="23" t="str">
        <f aca="false">IF(B740="","","")</f>
        <v/>
      </c>
      <c r="I740" s="23" t="str">
        <f aca="false">IF(B740="","","")</f>
        <v/>
      </c>
      <c r="J740" s="23" t="str">
        <f aca="false">IF(B740="","",IF(Brand_Log!I140="","",Brand_Log!I140&amp;""))</f>
        <v/>
      </c>
      <c r="K740" s="32" t="s">
        <v>1355</v>
      </c>
    </row>
    <row r="741" customFormat="false" ht="15" hidden="false" customHeight="false" outlineLevel="0" collapsed="false">
      <c r="A741" s="23" t="str">
        <f aca="false">IF(B741="","",B741+(4*1000+140)/10000000)</f>
        <v/>
      </c>
      <c r="B741" s="35" t="str">
        <f aca="false">IF(Brand_Log!AY141=1,Brand_Log!H141,"")</f>
        <v/>
      </c>
      <c r="C741" s="23" t="str">
        <f aca="false">IF(B741="","","brand")</f>
        <v/>
      </c>
      <c r="D741" s="23" t="str">
        <f aca="false">IF(B741="","",Brand_Log!DV141&amp;"")</f>
        <v/>
      </c>
      <c r="E741" s="23" t="str">
        <f aca="false">IF(B741="","",IF(Brand_Log!B141="","",Brand_Log!B141&amp;""))</f>
        <v/>
      </c>
      <c r="F741" s="23" t="str">
        <f aca="false">IF(B741="","","conversation")</f>
        <v/>
      </c>
      <c r="G741" s="23" t="str">
        <f aca="false">IF(B741="","","")</f>
        <v/>
      </c>
      <c r="H741" s="23" t="str">
        <f aca="false">IF(B741="","","")</f>
        <v/>
      </c>
      <c r="I741" s="23" t="str">
        <f aca="false">IF(B741="","","")</f>
        <v/>
      </c>
      <c r="J741" s="23" t="str">
        <f aca="false">IF(B741="","",IF(Brand_Log!I141="","",Brand_Log!I141&amp;""))</f>
        <v/>
      </c>
      <c r="K741" s="32" t="s">
        <v>1355</v>
      </c>
    </row>
    <row r="742" customFormat="false" ht="15" hidden="false" customHeight="false" outlineLevel="0" collapsed="false">
      <c r="A742" s="23" t="str">
        <f aca="false">IF(B742="","",B742+(4*1000+141)/10000000)</f>
        <v/>
      </c>
      <c r="B742" s="35" t="str">
        <f aca="false">IF(Brand_Log!AY142=1,Brand_Log!H142,"")</f>
        <v/>
      </c>
      <c r="C742" s="23" t="str">
        <f aca="false">IF(B742="","","brand")</f>
        <v/>
      </c>
      <c r="D742" s="23" t="str">
        <f aca="false">IF(B742="","",Brand_Log!DV142&amp;"")</f>
        <v/>
      </c>
      <c r="E742" s="23" t="str">
        <f aca="false">IF(B742="","",IF(Brand_Log!B142="","",Brand_Log!B142&amp;""))</f>
        <v/>
      </c>
      <c r="F742" s="23" t="str">
        <f aca="false">IF(B742="","","conversation")</f>
        <v/>
      </c>
      <c r="G742" s="23" t="str">
        <f aca="false">IF(B742="","","")</f>
        <v/>
      </c>
      <c r="H742" s="23" t="str">
        <f aca="false">IF(B742="","","")</f>
        <v/>
      </c>
      <c r="I742" s="23" t="str">
        <f aca="false">IF(B742="","","")</f>
        <v/>
      </c>
      <c r="J742" s="23" t="str">
        <f aca="false">IF(B742="","",IF(Brand_Log!I142="","",Brand_Log!I142&amp;""))</f>
        <v/>
      </c>
      <c r="K742" s="32" t="s">
        <v>1355</v>
      </c>
    </row>
    <row r="743" customFormat="false" ht="15" hidden="false" customHeight="false" outlineLevel="0" collapsed="false">
      <c r="A743" s="23" t="str">
        <f aca="false">IF(B743="","",B743+(4*1000+142)/10000000)</f>
        <v/>
      </c>
      <c r="B743" s="35" t="str">
        <f aca="false">IF(Brand_Log!AY143=1,Brand_Log!H143,"")</f>
        <v/>
      </c>
      <c r="C743" s="23" t="str">
        <f aca="false">IF(B743="","","brand")</f>
        <v/>
      </c>
      <c r="D743" s="23" t="str">
        <f aca="false">IF(B743="","",Brand_Log!DV143&amp;"")</f>
        <v/>
      </c>
      <c r="E743" s="23" t="str">
        <f aca="false">IF(B743="","",IF(Brand_Log!B143="","",Brand_Log!B143&amp;""))</f>
        <v/>
      </c>
      <c r="F743" s="23" t="str">
        <f aca="false">IF(B743="","","conversation")</f>
        <v/>
      </c>
      <c r="G743" s="23" t="str">
        <f aca="false">IF(B743="","","")</f>
        <v/>
      </c>
      <c r="H743" s="23" t="str">
        <f aca="false">IF(B743="","","")</f>
        <v/>
      </c>
      <c r="I743" s="23" t="str">
        <f aca="false">IF(B743="","","")</f>
        <v/>
      </c>
      <c r="J743" s="23" t="str">
        <f aca="false">IF(B743="","",IF(Brand_Log!I143="","",Brand_Log!I143&amp;""))</f>
        <v/>
      </c>
      <c r="K743" s="32" t="s">
        <v>1355</v>
      </c>
    </row>
    <row r="744" customFormat="false" ht="15" hidden="false" customHeight="false" outlineLevel="0" collapsed="false">
      <c r="A744" s="23" t="str">
        <f aca="false">IF(B744="","",B744+(4*1000+143)/10000000)</f>
        <v/>
      </c>
      <c r="B744" s="35" t="str">
        <f aca="false">IF(Brand_Log!AY144=1,Brand_Log!H144,"")</f>
        <v/>
      </c>
      <c r="C744" s="23" t="str">
        <f aca="false">IF(B744="","","brand")</f>
        <v/>
      </c>
      <c r="D744" s="23" t="str">
        <f aca="false">IF(B744="","",Brand_Log!DV144&amp;"")</f>
        <v/>
      </c>
      <c r="E744" s="23" t="str">
        <f aca="false">IF(B744="","",IF(Brand_Log!B144="","",Brand_Log!B144&amp;""))</f>
        <v/>
      </c>
      <c r="F744" s="23" t="str">
        <f aca="false">IF(B744="","","conversation")</f>
        <v/>
      </c>
      <c r="G744" s="23" t="str">
        <f aca="false">IF(B744="","","")</f>
        <v/>
      </c>
      <c r="H744" s="23" t="str">
        <f aca="false">IF(B744="","","")</f>
        <v/>
      </c>
      <c r="I744" s="23" t="str">
        <f aca="false">IF(B744="","","")</f>
        <v/>
      </c>
      <c r="J744" s="23" t="str">
        <f aca="false">IF(B744="","",IF(Brand_Log!I144="","",Brand_Log!I144&amp;""))</f>
        <v/>
      </c>
      <c r="K744" s="32" t="s">
        <v>1355</v>
      </c>
    </row>
    <row r="745" customFormat="false" ht="15" hidden="false" customHeight="false" outlineLevel="0" collapsed="false">
      <c r="A745" s="23" t="str">
        <f aca="false">IF(B745="","",B745+(4*1000+144)/10000000)</f>
        <v/>
      </c>
      <c r="B745" s="35" t="str">
        <f aca="false">IF(Brand_Log!AY145=1,Brand_Log!H145,"")</f>
        <v/>
      </c>
      <c r="C745" s="23" t="str">
        <f aca="false">IF(B745="","","brand")</f>
        <v/>
      </c>
      <c r="D745" s="23" t="str">
        <f aca="false">IF(B745="","",Brand_Log!DV145&amp;"")</f>
        <v/>
      </c>
      <c r="E745" s="23" t="str">
        <f aca="false">IF(B745="","",IF(Brand_Log!B145="","",Brand_Log!B145&amp;""))</f>
        <v/>
      </c>
      <c r="F745" s="23" t="str">
        <f aca="false">IF(B745="","","conversation")</f>
        <v/>
      </c>
      <c r="G745" s="23" t="str">
        <f aca="false">IF(B745="","","")</f>
        <v/>
      </c>
      <c r="H745" s="23" t="str">
        <f aca="false">IF(B745="","","")</f>
        <v/>
      </c>
      <c r="I745" s="23" t="str">
        <f aca="false">IF(B745="","","")</f>
        <v/>
      </c>
      <c r="J745" s="23" t="str">
        <f aca="false">IF(B745="","",IF(Brand_Log!I145="","",Brand_Log!I145&amp;""))</f>
        <v/>
      </c>
      <c r="K745" s="32" t="s">
        <v>1355</v>
      </c>
    </row>
    <row r="746" customFormat="false" ht="15" hidden="false" customHeight="false" outlineLevel="0" collapsed="false">
      <c r="A746" s="23" t="str">
        <f aca="false">IF(B746="","",B746+(4*1000+145)/10000000)</f>
        <v/>
      </c>
      <c r="B746" s="35" t="str">
        <f aca="false">IF(Brand_Log!AY146=1,Brand_Log!H146,"")</f>
        <v/>
      </c>
      <c r="C746" s="23" t="str">
        <f aca="false">IF(B746="","","brand")</f>
        <v/>
      </c>
      <c r="D746" s="23" t="str">
        <f aca="false">IF(B746="","",Brand_Log!DV146&amp;"")</f>
        <v/>
      </c>
      <c r="E746" s="23" t="str">
        <f aca="false">IF(B746="","",IF(Brand_Log!B146="","",Brand_Log!B146&amp;""))</f>
        <v/>
      </c>
      <c r="F746" s="23" t="str">
        <f aca="false">IF(B746="","","conversation")</f>
        <v/>
      </c>
      <c r="G746" s="23" t="str">
        <f aca="false">IF(B746="","","")</f>
        <v/>
      </c>
      <c r="H746" s="23" t="str">
        <f aca="false">IF(B746="","","")</f>
        <v/>
      </c>
      <c r="I746" s="23" t="str">
        <f aca="false">IF(B746="","","")</f>
        <v/>
      </c>
      <c r="J746" s="23" t="str">
        <f aca="false">IF(B746="","",IF(Brand_Log!I146="","",Brand_Log!I146&amp;""))</f>
        <v/>
      </c>
      <c r="K746" s="32" t="s">
        <v>1355</v>
      </c>
    </row>
    <row r="747" customFormat="false" ht="15" hidden="false" customHeight="false" outlineLevel="0" collapsed="false">
      <c r="A747" s="23" t="str">
        <f aca="false">IF(B747="","",B747+(4*1000+146)/10000000)</f>
        <v/>
      </c>
      <c r="B747" s="35" t="str">
        <f aca="false">IF(Brand_Log!AY147=1,Brand_Log!H147,"")</f>
        <v/>
      </c>
      <c r="C747" s="23" t="str">
        <f aca="false">IF(B747="","","brand")</f>
        <v/>
      </c>
      <c r="D747" s="23" t="str">
        <f aca="false">IF(B747="","",Brand_Log!DV147&amp;"")</f>
        <v/>
      </c>
      <c r="E747" s="23" t="str">
        <f aca="false">IF(B747="","",IF(Brand_Log!B147="","",Brand_Log!B147&amp;""))</f>
        <v/>
      </c>
      <c r="F747" s="23" t="str">
        <f aca="false">IF(B747="","","conversation")</f>
        <v/>
      </c>
      <c r="G747" s="23" t="str">
        <f aca="false">IF(B747="","","")</f>
        <v/>
      </c>
      <c r="H747" s="23" t="str">
        <f aca="false">IF(B747="","","")</f>
        <v/>
      </c>
      <c r="I747" s="23" t="str">
        <f aca="false">IF(B747="","","")</f>
        <v/>
      </c>
      <c r="J747" s="23" t="str">
        <f aca="false">IF(B747="","",IF(Brand_Log!I147="","",Brand_Log!I147&amp;""))</f>
        <v/>
      </c>
      <c r="K747" s="32" t="s">
        <v>1355</v>
      </c>
    </row>
    <row r="748" customFormat="false" ht="15" hidden="false" customHeight="false" outlineLevel="0" collapsed="false">
      <c r="A748" s="23" t="str">
        <f aca="false">IF(B748="","",B748+(4*1000+147)/10000000)</f>
        <v/>
      </c>
      <c r="B748" s="35" t="str">
        <f aca="false">IF(Brand_Log!AY148=1,Brand_Log!H148,"")</f>
        <v/>
      </c>
      <c r="C748" s="23" t="str">
        <f aca="false">IF(B748="","","brand")</f>
        <v/>
      </c>
      <c r="D748" s="23" t="str">
        <f aca="false">IF(B748="","",Brand_Log!DV148&amp;"")</f>
        <v/>
      </c>
      <c r="E748" s="23" t="str">
        <f aca="false">IF(B748="","",IF(Brand_Log!B148="","",Brand_Log!B148&amp;""))</f>
        <v/>
      </c>
      <c r="F748" s="23" t="str">
        <f aca="false">IF(B748="","","conversation")</f>
        <v/>
      </c>
      <c r="G748" s="23" t="str">
        <f aca="false">IF(B748="","","")</f>
        <v/>
      </c>
      <c r="H748" s="23" t="str">
        <f aca="false">IF(B748="","","")</f>
        <v/>
      </c>
      <c r="I748" s="23" t="str">
        <f aca="false">IF(B748="","","")</f>
        <v/>
      </c>
      <c r="J748" s="23" t="str">
        <f aca="false">IF(B748="","",IF(Brand_Log!I148="","",Brand_Log!I148&amp;""))</f>
        <v/>
      </c>
      <c r="K748" s="32" t="s">
        <v>1355</v>
      </c>
    </row>
    <row r="749" customFormat="false" ht="15" hidden="false" customHeight="false" outlineLevel="0" collapsed="false">
      <c r="A749" s="23" t="str">
        <f aca="false">IF(B749="","",B749+(4*1000+148)/10000000)</f>
        <v/>
      </c>
      <c r="B749" s="35" t="str">
        <f aca="false">IF(Brand_Log!AY149=1,Brand_Log!H149,"")</f>
        <v/>
      </c>
      <c r="C749" s="23" t="str">
        <f aca="false">IF(B749="","","brand")</f>
        <v/>
      </c>
      <c r="D749" s="23" t="str">
        <f aca="false">IF(B749="","",Brand_Log!DV149&amp;"")</f>
        <v/>
      </c>
      <c r="E749" s="23" t="str">
        <f aca="false">IF(B749="","",IF(Brand_Log!B149="","",Brand_Log!B149&amp;""))</f>
        <v/>
      </c>
      <c r="F749" s="23" t="str">
        <f aca="false">IF(B749="","","conversation")</f>
        <v/>
      </c>
      <c r="G749" s="23" t="str">
        <f aca="false">IF(B749="","","")</f>
        <v/>
      </c>
      <c r="H749" s="23" t="str">
        <f aca="false">IF(B749="","","")</f>
        <v/>
      </c>
      <c r="I749" s="23" t="str">
        <f aca="false">IF(B749="","","")</f>
        <v/>
      </c>
      <c r="J749" s="23" t="str">
        <f aca="false">IF(B749="","",IF(Brand_Log!I149="","",Brand_Log!I149&amp;""))</f>
        <v/>
      </c>
      <c r="K749" s="32" t="s">
        <v>1355</v>
      </c>
    </row>
    <row r="750" customFormat="false" ht="15" hidden="false" customHeight="false" outlineLevel="0" collapsed="false">
      <c r="A750" s="23" t="str">
        <f aca="false">IF(B750="","",B750+(4*1000+149)/10000000)</f>
        <v/>
      </c>
      <c r="B750" s="35" t="str">
        <f aca="false">IF(Brand_Log!AY150=1,Brand_Log!H150,"")</f>
        <v/>
      </c>
      <c r="C750" s="23" t="str">
        <f aca="false">IF(B750="","","brand")</f>
        <v/>
      </c>
      <c r="D750" s="23" t="str">
        <f aca="false">IF(B750="","",Brand_Log!DV150&amp;"")</f>
        <v/>
      </c>
      <c r="E750" s="23" t="str">
        <f aca="false">IF(B750="","",IF(Brand_Log!B150="","",Brand_Log!B150&amp;""))</f>
        <v/>
      </c>
      <c r="F750" s="23" t="str">
        <f aca="false">IF(B750="","","conversation")</f>
        <v/>
      </c>
      <c r="G750" s="23" t="str">
        <f aca="false">IF(B750="","","")</f>
        <v/>
      </c>
      <c r="H750" s="23" t="str">
        <f aca="false">IF(B750="","","")</f>
        <v/>
      </c>
      <c r="I750" s="23" t="str">
        <f aca="false">IF(B750="","","")</f>
        <v/>
      </c>
      <c r="J750" s="23" t="str">
        <f aca="false">IF(B750="","",IF(Brand_Log!I150="","",Brand_Log!I150&amp;""))</f>
        <v/>
      </c>
      <c r="K750" s="32" t="s">
        <v>1355</v>
      </c>
    </row>
    <row r="751" customFormat="false" ht="15" hidden="false" customHeight="false" outlineLevel="0" collapsed="false">
      <c r="A751" s="23" t="str">
        <f aca="false">IF(B751="","",B751+(4*1000+150)/10000000)</f>
        <v/>
      </c>
      <c r="B751" s="35" t="str">
        <f aca="false">IF(Brand_Log!AY151=1,Brand_Log!H151,"")</f>
        <v/>
      </c>
      <c r="C751" s="23" t="str">
        <f aca="false">IF(B751="","","brand")</f>
        <v/>
      </c>
      <c r="D751" s="23" t="str">
        <f aca="false">IF(B751="","",Brand_Log!DV151&amp;"")</f>
        <v/>
      </c>
      <c r="E751" s="23" t="str">
        <f aca="false">IF(B751="","",IF(Brand_Log!B151="","",Brand_Log!B151&amp;""))</f>
        <v/>
      </c>
      <c r="F751" s="23" t="str">
        <f aca="false">IF(B751="","","conversation")</f>
        <v/>
      </c>
      <c r="G751" s="23" t="str">
        <f aca="false">IF(B751="","","")</f>
        <v/>
      </c>
      <c r="H751" s="23" t="str">
        <f aca="false">IF(B751="","","")</f>
        <v/>
      </c>
      <c r="I751" s="23" t="str">
        <f aca="false">IF(B751="","","")</f>
        <v/>
      </c>
      <c r="J751" s="23" t="str">
        <f aca="false">IF(B751="","",IF(Brand_Log!I151="","",Brand_Log!I151&amp;""))</f>
        <v/>
      </c>
      <c r="K751" s="32" t="s">
        <v>1355</v>
      </c>
    </row>
    <row r="752" customFormat="false" ht="15" hidden="false" customHeight="false" outlineLevel="0" collapsed="false">
      <c r="A752" s="23" t="str">
        <f aca="false">IF(B752="","",B752+(4*1000+151)/10000000)</f>
        <v/>
      </c>
      <c r="B752" s="35" t="str">
        <f aca="false">IF(Brand_Log!AY152=1,Brand_Log!H152,"")</f>
        <v/>
      </c>
      <c r="C752" s="23" t="str">
        <f aca="false">IF(B752="","","brand")</f>
        <v/>
      </c>
      <c r="D752" s="23" t="str">
        <f aca="false">IF(B752="","",Brand_Log!DV152&amp;"")</f>
        <v/>
      </c>
      <c r="E752" s="23" t="str">
        <f aca="false">IF(B752="","",IF(Brand_Log!B152="","",Brand_Log!B152&amp;""))</f>
        <v/>
      </c>
      <c r="F752" s="23" t="str">
        <f aca="false">IF(B752="","","conversation")</f>
        <v/>
      </c>
      <c r="G752" s="23" t="str">
        <f aca="false">IF(B752="","","")</f>
        <v/>
      </c>
      <c r="H752" s="23" t="str">
        <f aca="false">IF(B752="","","")</f>
        <v/>
      </c>
      <c r="I752" s="23" t="str">
        <f aca="false">IF(B752="","","")</f>
        <v/>
      </c>
      <c r="J752" s="23" t="str">
        <f aca="false">IF(B752="","",IF(Brand_Log!I152="","",Brand_Log!I152&amp;""))</f>
        <v/>
      </c>
      <c r="K752" s="32" t="s">
        <v>1355</v>
      </c>
    </row>
    <row r="753" customFormat="false" ht="15" hidden="false" customHeight="false" outlineLevel="0" collapsed="false">
      <c r="A753" s="23" t="str">
        <f aca="false">IF(B753="","",B753+(4*1000+152)/10000000)</f>
        <v/>
      </c>
      <c r="B753" s="35" t="str">
        <f aca="false">IF(Brand_Log!AY153=1,Brand_Log!H153,"")</f>
        <v/>
      </c>
      <c r="C753" s="23" t="str">
        <f aca="false">IF(B753="","","brand")</f>
        <v/>
      </c>
      <c r="D753" s="23" t="str">
        <f aca="false">IF(B753="","",Brand_Log!DV153&amp;"")</f>
        <v/>
      </c>
      <c r="E753" s="23" t="str">
        <f aca="false">IF(B753="","",IF(Brand_Log!B153="","",Brand_Log!B153&amp;""))</f>
        <v/>
      </c>
      <c r="F753" s="23" t="str">
        <f aca="false">IF(B753="","","conversation")</f>
        <v/>
      </c>
      <c r="G753" s="23" t="str">
        <f aca="false">IF(B753="","","")</f>
        <v/>
      </c>
      <c r="H753" s="23" t="str">
        <f aca="false">IF(B753="","","")</f>
        <v/>
      </c>
      <c r="I753" s="23" t="str">
        <f aca="false">IF(B753="","","")</f>
        <v/>
      </c>
      <c r="J753" s="23" t="str">
        <f aca="false">IF(B753="","",IF(Brand_Log!I153="","",Brand_Log!I153&amp;""))</f>
        <v/>
      </c>
      <c r="K753" s="32" t="s">
        <v>1355</v>
      </c>
    </row>
    <row r="754" customFormat="false" ht="15" hidden="false" customHeight="false" outlineLevel="0" collapsed="false">
      <c r="A754" s="23" t="str">
        <f aca="false">IF(B754="","",B754+(4*1000+153)/10000000)</f>
        <v/>
      </c>
      <c r="B754" s="35" t="str">
        <f aca="false">IF(Brand_Log!AY154=1,Brand_Log!H154,"")</f>
        <v/>
      </c>
      <c r="C754" s="23" t="str">
        <f aca="false">IF(B754="","","brand")</f>
        <v/>
      </c>
      <c r="D754" s="23" t="str">
        <f aca="false">IF(B754="","",Brand_Log!DV154&amp;"")</f>
        <v/>
      </c>
      <c r="E754" s="23" t="str">
        <f aca="false">IF(B754="","",IF(Brand_Log!B154="","",Brand_Log!B154&amp;""))</f>
        <v/>
      </c>
      <c r="F754" s="23" t="str">
        <f aca="false">IF(B754="","","conversation")</f>
        <v/>
      </c>
      <c r="G754" s="23" t="str">
        <f aca="false">IF(B754="","","")</f>
        <v/>
      </c>
      <c r="H754" s="23" t="str">
        <f aca="false">IF(B754="","","")</f>
        <v/>
      </c>
      <c r="I754" s="23" t="str">
        <f aca="false">IF(B754="","","")</f>
        <v/>
      </c>
      <c r="J754" s="23" t="str">
        <f aca="false">IF(B754="","",IF(Brand_Log!I154="","",Brand_Log!I154&amp;""))</f>
        <v/>
      </c>
      <c r="K754" s="32" t="s">
        <v>1355</v>
      </c>
    </row>
    <row r="755" customFormat="false" ht="15" hidden="false" customHeight="false" outlineLevel="0" collapsed="false">
      <c r="A755" s="23" t="str">
        <f aca="false">IF(B755="","",B755+(4*1000+154)/10000000)</f>
        <v/>
      </c>
      <c r="B755" s="35" t="str">
        <f aca="false">IF(Brand_Log!AY155=1,Brand_Log!H155,"")</f>
        <v/>
      </c>
      <c r="C755" s="23" t="str">
        <f aca="false">IF(B755="","","brand")</f>
        <v/>
      </c>
      <c r="D755" s="23" t="str">
        <f aca="false">IF(B755="","",Brand_Log!DV155&amp;"")</f>
        <v/>
      </c>
      <c r="E755" s="23" t="str">
        <f aca="false">IF(B755="","",IF(Brand_Log!B155="","",Brand_Log!B155&amp;""))</f>
        <v/>
      </c>
      <c r="F755" s="23" t="str">
        <f aca="false">IF(B755="","","conversation")</f>
        <v/>
      </c>
      <c r="G755" s="23" t="str">
        <f aca="false">IF(B755="","","")</f>
        <v/>
      </c>
      <c r="H755" s="23" t="str">
        <f aca="false">IF(B755="","","")</f>
        <v/>
      </c>
      <c r="I755" s="23" t="str">
        <f aca="false">IF(B755="","","")</f>
        <v/>
      </c>
      <c r="J755" s="23" t="str">
        <f aca="false">IF(B755="","",IF(Brand_Log!I155="","",Brand_Log!I155&amp;""))</f>
        <v/>
      </c>
      <c r="K755" s="32" t="s">
        <v>1355</v>
      </c>
    </row>
    <row r="756" customFormat="false" ht="15" hidden="false" customHeight="false" outlineLevel="0" collapsed="false">
      <c r="A756" s="23" t="str">
        <f aca="false">IF(B756="","",B756+(4*1000+155)/10000000)</f>
        <v/>
      </c>
      <c r="B756" s="35" t="str">
        <f aca="false">IF(Brand_Log!AY156=1,Brand_Log!H156,"")</f>
        <v/>
      </c>
      <c r="C756" s="23" t="str">
        <f aca="false">IF(B756="","","brand")</f>
        <v/>
      </c>
      <c r="D756" s="23" t="str">
        <f aca="false">IF(B756="","",Brand_Log!DV156&amp;"")</f>
        <v/>
      </c>
      <c r="E756" s="23" t="str">
        <f aca="false">IF(B756="","",IF(Brand_Log!B156="","",Brand_Log!B156&amp;""))</f>
        <v/>
      </c>
      <c r="F756" s="23" t="str">
        <f aca="false">IF(B756="","","conversation")</f>
        <v/>
      </c>
      <c r="G756" s="23" t="str">
        <f aca="false">IF(B756="","","")</f>
        <v/>
      </c>
      <c r="H756" s="23" t="str">
        <f aca="false">IF(B756="","","")</f>
        <v/>
      </c>
      <c r="I756" s="23" t="str">
        <f aca="false">IF(B756="","","")</f>
        <v/>
      </c>
      <c r="J756" s="23" t="str">
        <f aca="false">IF(B756="","",IF(Brand_Log!I156="","",Brand_Log!I156&amp;""))</f>
        <v/>
      </c>
      <c r="K756" s="32" t="s">
        <v>1355</v>
      </c>
    </row>
    <row r="757" customFormat="false" ht="15" hidden="false" customHeight="false" outlineLevel="0" collapsed="false">
      <c r="A757" s="23" t="str">
        <f aca="false">IF(B757="","",B757+(4*1000+156)/10000000)</f>
        <v/>
      </c>
      <c r="B757" s="35" t="str">
        <f aca="false">IF(Brand_Log!AY157=1,Brand_Log!H157,"")</f>
        <v/>
      </c>
      <c r="C757" s="23" t="str">
        <f aca="false">IF(B757="","","brand")</f>
        <v/>
      </c>
      <c r="D757" s="23" t="str">
        <f aca="false">IF(B757="","",Brand_Log!DV157&amp;"")</f>
        <v/>
      </c>
      <c r="E757" s="23" t="str">
        <f aca="false">IF(B757="","",IF(Brand_Log!B157="","",Brand_Log!B157&amp;""))</f>
        <v/>
      </c>
      <c r="F757" s="23" t="str">
        <f aca="false">IF(B757="","","conversation")</f>
        <v/>
      </c>
      <c r="G757" s="23" t="str">
        <f aca="false">IF(B757="","","")</f>
        <v/>
      </c>
      <c r="H757" s="23" t="str">
        <f aca="false">IF(B757="","","")</f>
        <v/>
      </c>
      <c r="I757" s="23" t="str">
        <f aca="false">IF(B757="","","")</f>
        <v/>
      </c>
      <c r="J757" s="23" t="str">
        <f aca="false">IF(B757="","",IF(Brand_Log!I157="","",Brand_Log!I157&amp;""))</f>
        <v/>
      </c>
      <c r="K757" s="32" t="s">
        <v>1355</v>
      </c>
    </row>
    <row r="758" customFormat="false" ht="15" hidden="false" customHeight="false" outlineLevel="0" collapsed="false">
      <c r="A758" s="23" t="str">
        <f aca="false">IF(B758="","",B758+(4*1000+157)/10000000)</f>
        <v/>
      </c>
      <c r="B758" s="35" t="str">
        <f aca="false">IF(Brand_Log!AY158=1,Brand_Log!H158,"")</f>
        <v/>
      </c>
      <c r="C758" s="23" t="str">
        <f aca="false">IF(B758="","","brand")</f>
        <v/>
      </c>
      <c r="D758" s="23" t="str">
        <f aca="false">IF(B758="","",Brand_Log!DV158&amp;"")</f>
        <v/>
      </c>
      <c r="E758" s="23" t="str">
        <f aca="false">IF(B758="","",IF(Brand_Log!B158="","",Brand_Log!B158&amp;""))</f>
        <v/>
      </c>
      <c r="F758" s="23" t="str">
        <f aca="false">IF(B758="","","conversation")</f>
        <v/>
      </c>
      <c r="G758" s="23" t="str">
        <f aca="false">IF(B758="","","")</f>
        <v/>
      </c>
      <c r="H758" s="23" t="str">
        <f aca="false">IF(B758="","","")</f>
        <v/>
      </c>
      <c r="I758" s="23" t="str">
        <f aca="false">IF(B758="","","")</f>
        <v/>
      </c>
      <c r="J758" s="23" t="str">
        <f aca="false">IF(B758="","",IF(Brand_Log!I158="","",Brand_Log!I158&amp;""))</f>
        <v/>
      </c>
      <c r="K758" s="32" t="s">
        <v>1355</v>
      </c>
    </row>
    <row r="759" customFormat="false" ht="15" hidden="false" customHeight="false" outlineLevel="0" collapsed="false">
      <c r="A759" s="23" t="str">
        <f aca="false">IF(B759="","",B759+(4*1000+158)/10000000)</f>
        <v/>
      </c>
      <c r="B759" s="35" t="str">
        <f aca="false">IF(Brand_Log!AY159=1,Brand_Log!H159,"")</f>
        <v/>
      </c>
      <c r="C759" s="23" t="str">
        <f aca="false">IF(B759="","","brand")</f>
        <v/>
      </c>
      <c r="D759" s="23" t="str">
        <f aca="false">IF(B759="","",Brand_Log!DV159&amp;"")</f>
        <v/>
      </c>
      <c r="E759" s="23" t="str">
        <f aca="false">IF(B759="","",IF(Brand_Log!B159="","",Brand_Log!B159&amp;""))</f>
        <v/>
      </c>
      <c r="F759" s="23" t="str">
        <f aca="false">IF(B759="","","conversation")</f>
        <v/>
      </c>
      <c r="G759" s="23" t="str">
        <f aca="false">IF(B759="","","")</f>
        <v/>
      </c>
      <c r="H759" s="23" t="str">
        <f aca="false">IF(B759="","","")</f>
        <v/>
      </c>
      <c r="I759" s="23" t="str">
        <f aca="false">IF(B759="","","")</f>
        <v/>
      </c>
      <c r="J759" s="23" t="str">
        <f aca="false">IF(B759="","",IF(Brand_Log!I159="","",Brand_Log!I159&amp;""))</f>
        <v/>
      </c>
      <c r="K759" s="32" t="s">
        <v>1355</v>
      </c>
    </row>
    <row r="760" customFormat="false" ht="15" hidden="false" customHeight="false" outlineLevel="0" collapsed="false">
      <c r="A760" s="23" t="str">
        <f aca="false">IF(B760="","",B760+(4*1000+159)/10000000)</f>
        <v/>
      </c>
      <c r="B760" s="35" t="str">
        <f aca="false">IF(Brand_Log!AY160=1,Brand_Log!H160,"")</f>
        <v/>
      </c>
      <c r="C760" s="23" t="str">
        <f aca="false">IF(B760="","","brand")</f>
        <v/>
      </c>
      <c r="D760" s="23" t="str">
        <f aca="false">IF(B760="","",Brand_Log!DV160&amp;"")</f>
        <v/>
      </c>
      <c r="E760" s="23" t="str">
        <f aca="false">IF(B760="","",IF(Brand_Log!B160="","",Brand_Log!B160&amp;""))</f>
        <v/>
      </c>
      <c r="F760" s="23" t="str">
        <f aca="false">IF(B760="","","conversation")</f>
        <v/>
      </c>
      <c r="G760" s="23" t="str">
        <f aca="false">IF(B760="","","")</f>
        <v/>
      </c>
      <c r="H760" s="23" t="str">
        <f aca="false">IF(B760="","","")</f>
        <v/>
      </c>
      <c r="I760" s="23" t="str">
        <f aca="false">IF(B760="","","")</f>
        <v/>
      </c>
      <c r="J760" s="23" t="str">
        <f aca="false">IF(B760="","",IF(Brand_Log!I160="","",Brand_Log!I160&amp;""))</f>
        <v/>
      </c>
      <c r="K760" s="32" t="s">
        <v>1355</v>
      </c>
    </row>
    <row r="761" customFormat="false" ht="15" hidden="false" customHeight="false" outlineLevel="0" collapsed="false">
      <c r="A761" s="23" t="str">
        <f aca="false">IF(B761="","",B761+(4*1000+160)/10000000)</f>
        <v/>
      </c>
      <c r="B761" s="35" t="str">
        <f aca="false">IF(Brand_Log!AY161=1,Brand_Log!H161,"")</f>
        <v/>
      </c>
      <c r="C761" s="23" t="str">
        <f aca="false">IF(B761="","","brand")</f>
        <v/>
      </c>
      <c r="D761" s="23" t="str">
        <f aca="false">IF(B761="","",Brand_Log!DV161&amp;"")</f>
        <v/>
      </c>
      <c r="E761" s="23" t="str">
        <f aca="false">IF(B761="","",IF(Brand_Log!B161="","",Brand_Log!B161&amp;""))</f>
        <v/>
      </c>
      <c r="F761" s="23" t="str">
        <f aca="false">IF(B761="","","conversation")</f>
        <v/>
      </c>
      <c r="G761" s="23" t="str">
        <f aca="false">IF(B761="","","")</f>
        <v/>
      </c>
      <c r="H761" s="23" t="str">
        <f aca="false">IF(B761="","","")</f>
        <v/>
      </c>
      <c r="I761" s="23" t="str">
        <f aca="false">IF(B761="","","")</f>
        <v/>
      </c>
      <c r="J761" s="23" t="str">
        <f aca="false">IF(B761="","",IF(Brand_Log!I161="","",Brand_Log!I161&amp;""))</f>
        <v/>
      </c>
      <c r="K761" s="32" t="s">
        <v>1355</v>
      </c>
    </row>
    <row r="762" customFormat="false" ht="15" hidden="false" customHeight="false" outlineLevel="0" collapsed="false">
      <c r="A762" s="23" t="str">
        <f aca="false">IF(B762="","",B762+(4*1000+161)/10000000)</f>
        <v/>
      </c>
      <c r="B762" s="35" t="str">
        <f aca="false">IF(Brand_Log!AY162=1,Brand_Log!H162,"")</f>
        <v/>
      </c>
      <c r="C762" s="23" t="str">
        <f aca="false">IF(B762="","","brand")</f>
        <v/>
      </c>
      <c r="D762" s="23" t="str">
        <f aca="false">IF(B762="","",Brand_Log!DV162&amp;"")</f>
        <v/>
      </c>
      <c r="E762" s="23" t="str">
        <f aca="false">IF(B762="","",IF(Brand_Log!B162="","",Brand_Log!B162&amp;""))</f>
        <v/>
      </c>
      <c r="F762" s="23" t="str">
        <f aca="false">IF(B762="","","conversation")</f>
        <v/>
      </c>
      <c r="G762" s="23" t="str">
        <f aca="false">IF(B762="","","")</f>
        <v/>
      </c>
      <c r="H762" s="23" t="str">
        <f aca="false">IF(B762="","","")</f>
        <v/>
      </c>
      <c r="I762" s="23" t="str">
        <f aca="false">IF(B762="","","")</f>
        <v/>
      </c>
      <c r="J762" s="23" t="str">
        <f aca="false">IF(B762="","",IF(Brand_Log!I162="","",Brand_Log!I162&amp;""))</f>
        <v/>
      </c>
      <c r="K762" s="32" t="s">
        <v>1355</v>
      </c>
    </row>
    <row r="763" customFormat="false" ht="15" hidden="false" customHeight="false" outlineLevel="0" collapsed="false">
      <c r="A763" s="23" t="str">
        <f aca="false">IF(B763="","",B763+(4*1000+162)/10000000)</f>
        <v/>
      </c>
      <c r="B763" s="35" t="str">
        <f aca="false">IF(Brand_Log!AY163=1,Brand_Log!H163,"")</f>
        <v/>
      </c>
      <c r="C763" s="23" t="str">
        <f aca="false">IF(B763="","","brand")</f>
        <v/>
      </c>
      <c r="D763" s="23" t="str">
        <f aca="false">IF(B763="","",Brand_Log!DV163&amp;"")</f>
        <v/>
      </c>
      <c r="E763" s="23" t="str">
        <f aca="false">IF(B763="","",IF(Brand_Log!B163="","",Brand_Log!B163&amp;""))</f>
        <v/>
      </c>
      <c r="F763" s="23" t="str">
        <f aca="false">IF(B763="","","conversation")</f>
        <v/>
      </c>
      <c r="G763" s="23" t="str">
        <f aca="false">IF(B763="","","")</f>
        <v/>
      </c>
      <c r="H763" s="23" t="str">
        <f aca="false">IF(B763="","","")</f>
        <v/>
      </c>
      <c r="I763" s="23" t="str">
        <f aca="false">IF(B763="","","")</f>
        <v/>
      </c>
      <c r="J763" s="23" t="str">
        <f aca="false">IF(B763="","",IF(Brand_Log!I163="","",Brand_Log!I163&amp;""))</f>
        <v/>
      </c>
      <c r="K763" s="32" t="s">
        <v>1355</v>
      </c>
    </row>
    <row r="764" customFormat="false" ht="15" hidden="false" customHeight="false" outlineLevel="0" collapsed="false">
      <c r="A764" s="23" t="str">
        <f aca="false">IF(B764="","",B764+(4*1000+163)/10000000)</f>
        <v/>
      </c>
      <c r="B764" s="35" t="str">
        <f aca="false">IF(Brand_Log!AY164=1,Brand_Log!H164,"")</f>
        <v/>
      </c>
      <c r="C764" s="23" t="str">
        <f aca="false">IF(B764="","","brand")</f>
        <v/>
      </c>
      <c r="D764" s="23" t="str">
        <f aca="false">IF(B764="","",Brand_Log!DV164&amp;"")</f>
        <v/>
      </c>
      <c r="E764" s="23" t="str">
        <f aca="false">IF(B764="","",IF(Brand_Log!B164="","",Brand_Log!B164&amp;""))</f>
        <v/>
      </c>
      <c r="F764" s="23" t="str">
        <f aca="false">IF(B764="","","conversation")</f>
        <v/>
      </c>
      <c r="G764" s="23" t="str">
        <f aca="false">IF(B764="","","")</f>
        <v/>
      </c>
      <c r="H764" s="23" t="str">
        <f aca="false">IF(B764="","","")</f>
        <v/>
      </c>
      <c r="I764" s="23" t="str">
        <f aca="false">IF(B764="","","")</f>
        <v/>
      </c>
      <c r="J764" s="23" t="str">
        <f aca="false">IF(B764="","",IF(Brand_Log!I164="","",Brand_Log!I164&amp;""))</f>
        <v/>
      </c>
      <c r="K764" s="32" t="s">
        <v>1355</v>
      </c>
    </row>
    <row r="765" customFormat="false" ht="15" hidden="false" customHeight="false" outlineLevel="0" collapsed="false">
      <c r="A765" s="23" t="str">
        <f aca="false">IF(B765="","",B765+(4*1000+164)/10000000)</f>
        <v/>
      </c>
      <c r="B765" s="35" t="str">
        <f aca="false">IF(Brand_Log!AY165=1,Brand_Log!H165,"")</f>
        <v/>
      </c>
      <c r="C765" s="23" t="str">
        <f aca="false">IF(B765="","","brand")</f>
        <v/>
      </c>
      <c r="D765" s="23" t="str">
        <f aca="false">IF(B765="","",Brand_Log!DV165&amp;"")</f>
        <v/>
      </c>
      <c r="E765" s="23" t="str">
        <f aca="false">IF(B765="","",IF(Brand_Log!B165="","",Brand_Log!B165&amp;""))</f>
        <v/>
      </c>
      <c r="F765" s="23" t="str">
        <f aca="false">IF(B765="","","conversation")</f>
        <v/>
      </c>
      <c r="G765" s="23" t="str">
        <f aca="false">IF(B765="","","")</f>
        <v/>
      </c>
      <c r="H765" s="23" t="str">
        <f aca="false">IF(B765="","","")</f>
        <v/>
      </c>
      <c r="I765" s="23" t="str">
        <f aca="false">IF(B765="","","")</f>
        <v/>
      </c>
      <c r="J765" s="23" t="str">
        <f aca="false">IF(B765="","",IF(Brand_Log!I165="","",Brand_Log!I165&amp;""))</f>
        <v/>
      </c>
      <c r="K765" s="32" t="s">
        <v>1355</v>
      </c>
    </row>
    <row r="766" customFormat="false" ht="15" hidden="false" customHeight="false" outlineLevel="0" collapsed="false">
      <c r="A766" s="23" t="str">
        <f aca="false">IF(B766="","",B766+(4*1000+165)/10000000)</f>
        <v/>
      </c>
      <c r="B766" s="35" t="str">
        <f aca="false">IF(Brand_Log!AY166=1,Brand_Log!H166,"")</f>
        <v/>
      </c>
      <c r="C766" s="23" t="str">
        <f aca="false">IF(B766="","","brand")</f>
        <v/>
      </c>
      <c r="D766" s="23" t="str">
        <f aca="false">IF(B766="","",Brand_Log!DV166&amp;"")</f>
        <v/>
      </c>
      <c r="E766" s="23" t="str">
        <f aca="false">IF(B766="","",IF(Brand_Log!B166="","",Brand_Log!B166&amp;""))</f>
        <v/>
      </c>
      <c r="F766" s="23" t="str">
        <f aca="false">IF(B766="","","conversation")</f>
        <v/>
      </c>
      <c r="G766" s="23" t="str">
        <f aca="false">IF(B766="","","")</f>
        <v/>
      </c>
      <c r="H766" s="23" t="str">
        <f aca="false">IF(B766="","","")</f>
        <v/>
      </c>
      <c r="I766" s="23" t="str">
        <f aca="false">IF(B766="","","")</f>
        <v/>
      </c>
      <c r="J766" s="23" t="str">
        <f aca="false">IF(B766="","",IF(Brand_Log!I166="","",Brand_Log!I166&amp;""))</f>
        <v/>
      </c>
      <c r="K766" s="32" t="s">
        <v>1355</v>
      </c>
    </row>
    <row r="767" customFormat="false" ht="15" hidden="false" customHeight="false" outlineLevel="0" collapsed="false">
      <c r="A767" s="23" t="str">
        <f aca="false">IF(B767="","",B767+(4*1000+166)/10000000)</f>
        <v/>
      </c>
      <c r="B767" s="35" t="str">
        <f aca="false">IF(Brand_Log!AY167=1,Brand_Log!H167,"")</f>
        <v/>
      </c>
      <c r="C767" s="23" t="str">
        <f aca="false">IF(B767="","","brand")</f>
        <v/>
      </c>
      <c r="D767" s="23" t="str">
        <f aca="false">IF(B767="","",Brand_Log!DV167&amp;"")</f>
        <v/>
      </c>
      <c r="E767" s="23" t="str">
        <f aca="false">IF(B767="","",IF(Brand_Log!B167="","",Brand_Log!B167&amp;""))</f>
        <v/>
      </c>
      <c r="F767" s="23" t="str">
        <f aca="false">IF(B767="","","conversation")</f>
        <v/>
      </c>
      <c r="G767" s="23" t="str">
        <f aca="false">IF(B767="","","")</f>
        <v/>
      </c>
      <c r="H767" s="23" t="str">
        <f aca="false">IF(B767="","","")</f>
        <v/>
      </c>
      <c r="I767" s="23" t="str">
        <f aca="false">IF(B767="","","")</f>
        <v/>
      </c>
      <c r="J767" s="23" t="str">
        <f aca="false">IF(B767="","",IF(Brand_Log!I167="","",Brand_Log!I167&amp;""))</f>
        <v/>
      </c>
      <c r="K767" s="32" t="s">
        <v>1355</v>
      </c>
    </row>
    <row r="768" customFormat="false" ht="15" hidden="false" customHeight="false" outlineLevel="0" collapsed="false">
      <c r="A768" s="23" t="str">
        <f aca="false">IF(B768="","",B768+(4*1000+167)/10000000)</f>
        <v/>
      </c>
      <c r="B768" s="35" t="str">
        <f aca="false">IF(Brand_Log!AY168=1,Brand_Log!H168,"")</f>
        <v/>
      </c>
      <c r="C768" s="23" t="str">
        <f aca="false">IF(B768="","","brand")</f>
        <v/>
      </c>
      <c r="D768" s="23" t="str">
        <f aca="false">IF(B768="","",Brand_Log!DV168&amp;"")</f>
        <v/>
      </c>
      <c r="E768" s="23" t="str">
        <f aca="false">IF(B768="","",IF(Brand_Log!B168="","",Brand_Log!B168&amp;""))</f>
        <v/>
      </c>
      <c r="F768" s="23" t="str">
        <f aca="false">IF(B768="","","conversation")</f>
        <v/>
      </c>
      <c r="G768" s="23" t="str">
        <f aca="false">IF(B768="","","")</f>
        <v/>
      </c>
      <c r="H768" s="23" t="str">
        <f aca="false">IF(B768="","","")</f>
        <v/>
      </c>
      <c r="I768" s="23" t="str">
        <f aca="false">IF(B768="","","")</f>
        <v/>
      </c>
      <c r="J768" s="23" t="str">
        <f aca="false">IF(B768="","",IF(Brand_Log!I168="","",Brand_Log!I168&amp;""))</f>
        <v/>
      </c>
      <c r="K768" s="32" t="s">
        <v>1355</v>
      </c>
    </row>
    <row r="769" customFormat="false" ht="15" hidden="false" customHeight="false" outlineLevel="0" collapsed="false">
      <c r="A769" s="23" t="str">
        <f aca="false">IF(B769="","",B769+(4*1000+168)/10000000)</f>
        <v/>
      </c>
      <c r="B769" s="35" t="str">
        <f aca="false">IF(Brand_Log!AY169=1,Brand_Log!H169,"")</f>
        <v/>
      </c>
      <c r="C769" s="23" t="str">
        <f aca="false">IF(B769="","","brand")</f>
        <v/>
      </c>
      <c r="D769" s="23" t="str">
        <f aca="false">IF(B769="","",Brand_Log!DV169&amp;"")</f>
        <v/>
      </c>
      <c r="E769" s="23" t="str">
        <f aca="false">IF(B769="","",IF(Brand_Log!B169="","",Brand_Log!B169&amp;""))</f>
        <v/>
      </c>
      <c r="F769" s="23" t="str">
        <f aca="false">IF(B769="","","conversation")</f>
        <v/>
      </c>
      <c r="G769" s="23" t="str">
        <f aca="false">IF(B769="","","")</f>
        <v/>
      </c>
      <c r="H769" s="23" t="str">
        <f aca="false">IF(B769="","","")</f>
        <v/>
      </c>
      <c r="I769" s="23" t="str">
        <f aca="false">IF(B769="","","")</f>
        <v/>
      </c>
      <c r="J769" s="23" t="str">
        <f aca="false">IF(B769="","",IF(Brand_Log!I169="","",Brand_Log!I169&amp;""))</f>
        <v/>
      </c>
      <c r="K769" s="32" t="s">
        <v>1355</v>
      </c>
    </row>
    <row r="770" customFormat="false" ht="15" hidden="false" customHeight="false" outlineLevel="0" collapsed="false">
      <c r="A770" s="23" t="str">
        <f aca="false">IF(B770="","",B770+(4*1000+169)/10000000)</f>
        <v/>
      </c>
      <c r="B770" s="35" t="str">
        <f aca="false">IF(Brand_Log!AY170=1,Brand_Log!H170,"")</f>
        <v/>
      </c>
      <c r="C770" s="23" t="str">
        <f aca="false">IF(B770="","","brand")</f>
        <v/>
      </c>
      <c r="D770" s="23" t="str">
        <f aca="false">IF(B770="","",Brand_Log!DV170&amp;"")</f>
        <v/>
      </c>
      <c r="E770" s="23" t="str">
        <f aca="false">IF(B770="","",IF(Brand_Log!B170="","",Brand_Log!B170&amp;""))</f>
        <v/>
      </c>
      <c r="F770" s="23" t="str">
        <f aca="false">IF(B770="","","conversation")</f>
        <v/>
      </c>
      <c r="G770" s="23" t="str">
        <f aca="false">IF(B770="","","")</f>
        <v/>
      </c>
      <c r="H770" s="23" t="str">
        <f aca="false">IF(B770="","","")</f>
        <v/>
      </c>
      <c r="I770" s="23" t="str">
        <f aca="false">IF(B770="","","")</f>
        <v/>
      </c>
      <c r="J770" s="23" t="str">
        <f aca="false">IF(B770="","",IF(Brand_Log!I170="","",Brand_Log!I170&amp;""))</f>
        <v/>
      </c>
      <c r="K770" s="32" t="s">
        <v>1355</v>
      </c>
    </row>
    <row r="771" customFormat="false" ht="15" hidden="false" customHeight="false" outlineLevel="0" collapsed="false">
      <c r="A771" s="23" t="str">
        <f aca="false">IF(B771="","",B771+(4*1000+170)/10000000)</f>
        <v/>
      </c>
      <c r="B771" s="35" t="str">
        <f aca="false">IF(Brand_Log!AY171=1,Brand_Log!H171,"")</f>
        <v/>
      </c>
      <c r="C771" s="23" t="str">
        <f aca="false">IF(B771="","","brand")</f>
        <v/>
      </c>
      <c r="D771" s="23" t="str">
        <f aca="false">IF(B771="","",Brand_Log!DV171&amp;"")</f>
        <v/>
      </c>
      <c r="E771" s="23" t="str">
        <f aca="false">IF(B771="","",IF(Brand_Log!B171="","",Brand_Log!B171&amp;""))</f>
        <v/>
      </c>
      <c r="F771" s="23" t="str">
        <f aca="false">IF(B771="","","conversation")</f>
        <v/>
      </c>
      <c r="G771" s="23" t="str">
        <f aca="false">IF(B771="","","")</f>
        <v/>
      </c>
      <c r="H771" s="23" t="str">
        <f aca="false">IF(B771="","","")</f>
        <v/>
      </c>
      <c r="I771" s="23" t="str">
        <f aca="false">IF(B771="","","")</f>
        <v/>
      </c>
      <c r="J771" s="23" t="str">
        <f aca="false">IF(B771="","",IF(Brand_Log!I171="","",Brand_Log!I171&amp;""))</f>
        <v/>
      </c>
      <c r="K771" s="32" t="s">
        <v>1355</v>
      </c>
    </row>
    <row r="772" customFormat="false" ht="15" hidden="false" customHeight="false" outlineLevel="0" collapsed="false">
      <c r="A772" s="23" t="str">
        <f aca="false">IF(B772="","",B772+(4*1000+171)/10000000)</f>
        <v/>
      </c>
      <c r="B772" s="35" t="str">
        <f aca="false">IF(Brand_Log!AY172=1,Brand_Log!H172,"")</f>
        <v/>
      </c>
      <c r="C772" s="23" t="str">
        <f aca="false">IF(B772="","","brand")</f>
        <v/>
      </c>
      <c r="D772" s="23" t="str">
        <f aca="false">IF(B772="","",Brand_Log!DV172&amp;"")</f>
        <v/>
      </c>
      <c r="E772" s="23" t="str">
        <f aca="false">IF(B772="","",IF(Brand_Log!B172="","",Brand_Log!B172&amp;""))</f>
        <v/>
      </c>
      <c r="F772" s="23" t="str">
        <f aca="false">IF(B772="","","conversation")</f>
        <v/>
      </c>
      <c r="G772" s="23" t="str">
        <f aca="false">IF(B772="","","")</f>
        <v/>
      </c>
      <c r="H772" s="23" t="str">
        <f aca="false">IF(B772="","","")</f>
        <v/>
      </c>
      <c r="I772" s="23" t="str">
        <f aca="false">IF(B772="","","")</f>
        <v/>
      </c>
      <c r="J772" s="23" t="str">
        <f aca="false">IF(B772="","",IF(Brand_Log!I172="","",Brand_Log!I172&amp;""))</f>
        <v/>
      </c>
      <c r="K772" s="32" t="s">
        <v>1355</v>
      </c>
    </row>
    <row r="773" customFormat="false" ht="15" hidden="false" customHeight="false" outlineLevel="0" collapsed="false">
      <c r="A773" s="23" t="str">
        <f aca="false">IF(B773="","",B773+(4*1000+172)/10000000)</f>
        <v/>
      </c>
      <c r="B773" s="35" t="str">
        <f aca="false">IF(Brand_Log!AY173=1,Brand_Log!H173,"")</f>
        <v/>
      </c>
      <c r="C773" s="23" t="str">
        <f aca="false">IF(B773="","","brand")</f>
        <v/>
      </c>
      <c r="D773" s="23" t="str">
        <f aca="false">IF(B773="","",Brand_Log!DV173&amp;"")</f>
        <v/>
      </c>
      <c r="E773" s="23" t="str">
        <f aca="false">IF(B773="","",IF(Brand_Log!B173="","",Brand_Log!B173&amp;""))</f>
        <v/>
      </c>
      <c r="F773" s="23" t="str">
        <f aca="false">IF(B773="","","conversation")</f>
        <v/>
      </c>
      <c r="G773" s="23" t="str">
        <f aca="false">IF(B773="","","")</f>
        <v/>
      </c>
      <c r="H773" s="23" t="str">
        <f aca="false">IF(B773="","","")</f>
        <v/>
      </c>
      <c r="I773" s="23" t="str">
        <f aca="false">IF(B773="","","")</f>
        <v/>
      </c>
      <c r="J773" s="23" t="str">
        <f aca="false">IF(B773="","",IF(Brand_Log!I173="","",Brand_Log!I173&amp;""))</f>
        <v/>
      </c>
      <c r="K773" s="32" t="s">
        <v>1355</v>
      </c>
    </row>
    <row r="774" customFormat="false" ht="15" hidden="false" customHeight="false" outlineLevel="0" collapsed="false">
      <c r="A774" s="23" t="str">
        <f aca="false">IF(B774="","",B774+(4*1000+173)/10000000)</f>
        <v/>
      </c>
      <c r="B774" s="35" t="str">
        <f aca="false">IF(Brand_Log!AY174=1,Brand_Log!H174,"")</f>
        <v/>
      </c>
      <c r="C774" s="23" t="str">
        <f aca="false">IF(B774="","","brand")</f>
        <v/>
      </c>
      <c r="D774" s="23" t="str">
        <f aca="false">IF(B774="","",Brand_Log!DV174&amp;"")</f>
        <v/>
      </c>
      <c r="E774" s="23" t="str">
        <f aca="false">IF(B774="","",IF(Brand_Log!B174="","",Brand_Log!B174&amp;""))</f>
        <v/>
      </c>
      <c r="F774" s="23" t="str">
        <f aca="false">IF(B774="","","conversation")</f>
        <v/>
      </c>
      <c r="G774" s="23" t="str">
        <f aca="false">IF(B774="","","")</f>
        <v/>
      </c>
      <c r="H774" s="23" t="str">
        <f aca="false">IF(B774="","","")</f>
        <v/>
      </c>
      <c r="I774" s="23" t="str">
        <f aca="false">IF(B774="","","")</f>
        <v/>
      </c>
      <c r="J774" s="23" t="str">
        <f aca="false">IF(B774="","",IF(Brand_Log!I174="","",Brand_Log!I174&amp;""))</f>
        <v/>
      </c>
      <c r="K774" s="32" t="s">
        <v>1355</v>
      </c>
    </row>
    <row r="775" customFormat="false" ht="15" hidden="false" customHeight="false" outlineLevel="0" collapsed="false">
      <c r="A775" s="23" t="str">
        <f aca="false">IF(B775="","",B775+(4*1000+174)/10000000)</f>
        <v/>
      </c>
      <c r="B775" s="35" t="str">
        <f aca="false">IF(Brand_Log!AY175=1,Brand_Log!H175,"")</f>
        <v/>
      </c>
      <c r="C775" s="23" t="str">
        <f aca="false">IF(B775="","","brand")</f>
        <v/>
      </c>
      <c r="D775" s="23" t="str">
        <f aca="false">IF(B775="","",Brand_Log!DV175&amp;"")</f>
        <v/>
      </c>
      <c r="E775" s="23" t="str">
        <f aca="false">IF(B775="","",IF(Brand_Log!B175="","",Brand_Log!B175&amp;""))</f>
        <v/>
      </c>
      <c r="F775" s="23" t="str">
        <f aca="false">IF(B775="","","conversation")</f>
        <v/>
      </c>
      <c r="G775" s="23" t="str">
        <f aca="false">IF(B775="","","")</f>
        <v/>
      </c>
      <c r="H775" s="23" t="str">
        <f aca="false">IF(B775="","","")</f>
        <v/>
      </c>
      <c r="I775" s="23" t="str">
        <f aca="false">IF(B775="","","")</f>
        <v/>
      </c>
      <c r="J775" s="23" t="str">
        <f aca="false">IF(B775="","",IF(Brand_Log!I175="","",Brand_Log!I175&amp;""))</f>
        <v/>
      </c>
      <c r="K775" s="32" t="s">
        <v>1355</v>
      </c>
    </row>
    <row r="776" customFormat="false" ht="15" hidden="false" customHeight="false" outlineLevel="0" collapsed="false">
      <c r="A776" s="23" t="str">
        <f aca="false">IF(B776="","",B776+(4*1000+175)/10000000)</f>
        <v/>
      </c>
      <c r="B776" s="35" t="str">
        <f aca="false">IF(Brand_Log!AY176=1,Brand_Log!H176,"")</f>
        <v/>
      </c>
      <c r="C776" s="23" t="str">
        <f aca="false">IF(B776="","","brand")</f>
        <v/>
      </c>
      <c r="D776" s="23" t="str">
        <f aca="false">IF(B776="","",Brand_Log!DV176&amp;"")</f>
        <v/>
      </c>
      <c r="E776" s="23" t="str">
        <f aca="false">IF(B776="","",IF(Brand_Log!B176="","",Brand_Log!B176&amp;""))</f>
        <v/>
      </c>
      <c r="F776" s="23" t="str">
        <f aca="false">IF(B776="","","conversation")</f>
        <v/>
      </c>
      <c r="G776" s="23" t="str">
        <f aca="false">IF(B776="","","")</f>
        <v/>
      </c>
      <c r="H776" s="23" t="str">
        <f aca="false">IF(B776="","","")</f>
        <v/>
      </c>
      <c r="I776" s="23" t="str">
        <f aca="false">IF(B776="","","")</f>
        <v/>
      </c>
      <c r="J776" s="23" t="str">
        <f aca="false">IF(B776="","",IF(Brand_Log!I176="","",Brand_Log!I176&amp;""))</f>
        <v/>
      </c>
      <c r="K776" s="32" t="s">
        <v>1355</v>
      </c>
    </row>
    <row r="777" customFormat="false" ht="15" hidden="false" customHeight="false" outlineLevel="0" collapsed="false">
      <c r="A777" s="23" t="str">
        <f aca="false">IF(B777="","",B777+(4*1000+176)/10000000)</f>
        <v/>
      </c>
      <c r="B777" s="35" t="str">
        <f aca="false">IF(Brand_Log!AY177=1,Brand_Log!H177,"")</f>
        <v/>
      </c>
      <c r="C777" s="23" t="str">
        <f aca="false">IF(B777="","","brand")</f>
        <v/>
      </c>
      <c r="D777" s="23" t="str">
        <f aca="false">IF(B777="","",Brand_Log!DV177&amp;"")</f>
        <v/>
      </c>
      <c r="E777" s="23" t="str">
        <f aca="false">IF(B777="","",IF(Brand_Log!B177="","",Brand_Log!B177&amp;""))</f>
        <v/>
      </c>
      <c r="F777" s="23" t="str">
        <f aca="false">IF(B777="","","conversation")</f>
        <v/>
      </c>
      <c r="G777" s="23" t="str">
        <f aca="false">IF(B777="","","")</f>
        <v/>
      </c>
      <c r="H777" s="23" t="str">
        <f aca="false">IF(B777="","","")</f>
        <v/>
      </c>
      <c r="I777" s="23" t="str">
        <f aca="false">IF(B777="","","")</f>
        <v/>
      </c>
      <c r="J777" s="23" t="str">
        <f aca="false">IF(B777="","",IF(Brand_Log!I177="","",Brand_Log!I177&amp;""))</f>
        <v/>
      </c>
      <c r="K777" s="32" t="s">
        <v>1355</v>
      </c>
    </row>
    <row r="778" customFormat="false" ht="15" hidden="false" customHeight="false" outlineLevel="0" collapsed="false">
      <c r="A778" s="23" t="str">
        <f aca="false">IF(B778="","",B778+(4*1000+177)/10000000)</f>
        <v/>
      </c>
      <c r="B778" s="35" t="str">
        <f aca="false">IF(Brand_Log!AY178=1,Brand_Log!H178,"")</f>
        <v/>
      </c>
      <c r="C778" s="23" t="str">
        <f aca="false">IF(B778="","","brand")</f>
        <v/>
      </c>
      <c r="D778" s="23" t="str">
        <f aca="false">IF(B778="","",Brand_Log!DV178&amp;"")</f>
        <v/>
      </c>
      <c r="E778" s="23" t="str">
        <f aca="false">IF(B778="","",IF(Brand_Log!B178="","",Brand_Log!B178&amp;""))</f>
        <v/>
      </c>
      <c r="F778" s="23" t="str">
        <f aca="false">IF(B778="","","conversation")</f>
        <v/>
      </c>
      <c r="G778" s="23" t="str">
        <f aca="false">IF(B778="","","")</f>
        <v/>
      </c>
      <c r="H778" s="23" t="str">
        <f aca="false">IF(B778="","","")</f>
        <v/>
      </c>
      <c r="I778" s="23" t="str">
        <f aca="false">IF(B778="","","")</f>
        <v/>
      </c>
      <c r="J778" s="23" t="str">
        <f aca="false">IF(B778="","",IF(Brand_Log!I178="","",Brand_Log!I178&amp;""))</f>
        <v/>
      </c>
      <c r="K778" s="32" t="s">
        <v>1355</v>
      </c>
    </row>
    <row r="779" customFormat="false" ht="15" hidden="false" customHeight="false" outlineLevel="0" collapsed="false">
      <c r="A779" s="23" t="str">
        <f aca="false">IF(B779="","",B779+(4*1000+178)/10000000)</f>
        <v/>
      </c>
      <c r="B779" s="35" t="str">
        <f aca="false">IF(Brand_Log!AY179=1,Brand_Log!H179,"")</f>
        <v/>
      </c>
      <c r="C779" s="23" t="str">
        <f aca="false">IF(B779="","","brand")</f>
        <v/>
      </c>
      <c r="D779" s="23" t="str">
        <f aca="false">IF(B779="","",Brand_Log!DV179&amp;"")</f>
        <v/>
      </c>
      <c r="E779" s="23" t="str">
        <f aca="false">IF(B779="","",IF(Brand_Log!B179="","",Brand_Log!B179&amp;""))</f>
        <v/>
      </c>
      <c r="F779" s="23" t="str">
        <f aca="false">IF(B779="","","conversation")</f>
        <v/>
      </c>
      <c r="G779" s="23" t="str">
        <f aca="false">IF(B779="","","")</f>
        <v/>
      </c>
      <c r="H779" s="23" t="str">
        <f aca="false">IF(B779="","","")</f>
        <v/>
      </c>
      <c r="I779" s="23" t="str">
        <f aca="false">IF(B779="","","")</f>
        <v/>
      </c>
      <c r="J779" s="23" t="str">
        <f aca="false">IF(B779="","",IF(Brand_Log!I179="","",Brand_Log!I179&amp;""))</f>
        <v/>
      </c>
      <c r="K779" s="32" t="s">
        <v>1355</v>
      </c>
    </row>
    <row r="780" customFormat="false" ht="15" hidden="false" customHeight="false" outlineLevel="0" collapsed="false">
      <c r="A780" s="23" t="str">
        <f aca="false">IF(B780="","",B780+(4*1000+179)/10000000)</f>
        <v/>
      </c>
      <c r="B780" s="35" t="str">
        <f aca="false">IF(Brand_Log!AY180=1,Brand_Log!H180,"")</f>
        <v/>
      </c>
      <c r="C780" s="23" t="str">
        <f aca="false">IF(B780="","","brand")</f>
        <v/>
      </c>
      <c r="D780" s="23" t="str">
        <f aca="false">IF(B780="","",Brand_Log!DV180&amp;"")</f>
        <v/>
      </c>
      <c r="E780" s="23" t="str">
        <f aca="false">IF(B780="","",IF(Brand_Log!B180="","",Brand_Log!B180&amp;""))</f>
        <v/>
      </c>
      <c r="F780" s="23" t="str">
        <f aca="false">IF(B780="","","conversation")</f>
        <v/>
      </c>
      <c r="G780" s="23" t="str">
        <f aca="false">IF(B780="","","")</f>
        <v/>
      </c>
      <c r="H780" s="23" t="str">
        <f aca="false">IF(B780="","","")</f>
        <v/>
      </c>
      <c r="I780" s="23" t="str">
        <f aca="false">IF(B780="","","")</f>
        <v/>
      </c>
      <c r="J780" s="23" t="str">
        <f aca="false">IF(B780="","",IF(Brand_Log!I180="","",Brand_Log!I180&amp;""))</f>
        <v/>
      </c>
      <c r="K780" s="32" t="s">
        <v>1355</v>
      </c>
    </row>
    <row r="781" customFormat="false" ht="15" hidden="false" customHeight="false" outlineLevel="0" collapsed="false">
      <c r="A781" s="23" t="str">
        <f aca="false">IF(B781="","",B781+(4*1000+180)/10000000)</f>
        <v/>
      </c>
      <c r="B781" s="35" t="str">
        <f aca="false">IF(Brand_Log!AY181=1,Brand_Log!H181,"")</f>
        <v/>
      </c>
      <c r="C781" s="23" t="str">
        <f aca="false">IF(B781="","","brand")</f>
        <v/>
      </c>
      <c r="D781" s="23" t="str">
        <f aca="false">IF(B781="","",Brand_Log!DV181&amp;"")</f>
        <v/>
      </c>
      <c r="E781" s="23" t="str">
        <f aca="false">IF(B781="","",IF(Brand_Log!B181="","",Brand_Log!B181&amp;""))</f>
        <v/>
      </c>
      <c r="F781" s="23" t="str">
        <f aca="false">IF(B781="","","conversation")</f>
        <v/>
      </c>
      <c r="G781" s="23" t="str">
        <f aca="false">IF(B781="","","")</f>
        <v/>
      </c>
      <c r="H781" s="23" t="str">
        <f aca="false">IF(B781="","","")</f>
        <v/>
      </c>
      <c r="I781" s="23" t="str">
        <f aca="false">IF(B781="","","")</f>
        <v/>
      </c>
      <c r="J781" s="23" t="str">
        <f aca="false">IF(B781="","",IF(Brand_Log!I181="","",Brand_Log!I181&amp;""))</f>
        <v/>
      </c>
      <c r="K781" s="32" t="s">
        <v>1355</v>
      </c>
    </row>
    <row r="782" customFormat="false" ht="15" hidden="false" customHeight="false" outlineLevel="0" collapsed="false">
      <c r="A782" s="23" t="str">
        <f aca="false">IF(B782="","",B782+(4*1000+181)/10000000)</f>
        <v/>
      </c>
      <c r="B782" s="35" t="str">
        <f aca="false">IF(Brand_Log!AY182=1,Brand_Log!H182,"")</f>
        <v/>
      </c>
      <c r="C782" s="23" t="str">
        <f aca="false">IF(B782="","","brand")</f>
        <v/>
      </c>
      <c r="D782" s="23" t="str">
        <f aca="false">IF(B782="","",Brand_Log!DV182&amp;"")</f>
        <v/>
      </c>
      <c r="E782" s="23" t="str">
        <f aca="false">IF(B782="","",IF(Brand_Log!B182="","",Brand_Log!B182&amp;""))</f>
        <v/>
      </c>
      <c r="F782" s="23" t="str">
        <f aca="false">IF(B782="","","conversation")</f>
        <v/>
      </c>
      <c r="G782" s="23" t="str">
        <f aca="false">IF(B782="","","")</f>
        <v/>
      </c>
      <c r="H782" s="23" t="str">
        <f aca="false">IF(B782="","","")</f>
        <v/>
      </c>
      <c r="I782" s="23" t="str">
        <f aca="false">IF(B782="","","")</f>
        <v/>
      </c>
      <c r="J782" s="23" t="str">
        <f aca="false">IF(B782="","",IF(Brand_Log!I182="","",Brand_Log!I182&amp;""))</f>
        <v/>
      </c>
      <c r="K782" s="32" t="s">
        <v>1355</v>
      </c>
    </row>
    <row r="783" customFormat="false" ht="15" hidden="false" customHeight="false" outlineLevel="0" collapsed="false">
      <c r="A783" s="23" t="str">
        <f aca="false">IF(B783="","",B783+(4*1000+182)/10000000)</f>
        <v/>
      </c>
      <c r="B783" s="35" t="str">
        <f aca="false">IF(Brand_Log!AY183=1,Brand_Log!H183,"")</f>
        <v/>
      </c>
      <c r="C783" s="23" t="str">
        <f aca="false">IF(B783="","","brand")</f>
        <v/>
      </c>
      <c r="D783" s="23" t="str">
        <f aca="false">IF(B783="","",Brand_Log!DV183&amp;"")</f>
        <v/>
      </c>
      <c r="E783" s="23" t="str">
        <f aca="false">IF(B783="","",IF(Brand_Log!B183="","",Brand_Log!B183&amp;""))</f>
        <v/>
      </c>
      <c r="F783" s="23" t="str">
        <f aca="false">IF(B783="","","conversation")</f>
        <v/>
      </c>
      <c r="G783" s="23" t="str">
        <f aca="false">IF(B783="","","")</f>
        <v/>
      </c>
      <c r="H783" s="23" t="str">
        <f aca="false">IF(B783="","","")</f>
        <v/>
      </c>
      <c r="I783" s="23" t="str">
        <f aca="false">IF(B783="","","")</f>
        <v/>
      </c>
      <c r="J783" s="23" t="str">
        <f aca="false">IF(B783="","",IF(Brand_Log!I183="","",Brand_Log!I183&amp;""))</f>
        <v/>
      </c>
      <c r="K783" s="32" t="s">
        <v>1355</v>
      </c>
    </row>
    <row r="784" customFormat="false" ht="15" hidden="false" customHeight="false" outlineLevel="0" collapsed="false">
      <c r="A784" s="23" t="str">
        <f aca="false">IF(B784="","",B784+(4*1000+183)/10000000)</f>
        <v/>
      </c>
      <c r="B784" s="35" t="str">
        <f aca="false">IF(Brand_Log!AY184=1,Brand_Log!H184,"")</f>
        <v/>
      </c>
      <c r="C784" s="23" t="str">
        <f aca="false">IF(B784="","","brand")</f>
        <v/>
      </c>
      <c r="D784" s="23" t="str">
        <f aca="false">IF(B784="","",Brand_Log!DV184&amp;"")</f>
        <v/>
      </c>
      <c r="E784" s="23" t="str">
        <f aca="false">IF(B784="","",IF(Brand_Log!B184="","",Brand_Log!B184&amp;""))</f>
        <v/>
      </c>
      <c r="F784" s="23" t="str">
        <f aca="false">IF(B784="","","conversation")</f>
        <v/>
      </c>
      <c r="G784" s="23" t="str">
        <f aca="false">IF(B784="","","")</f>
        <v/>
      </c>
      <c r="H784" s="23" t="str">
        <f aca="false">IF(B784="","","")</f>
        <v/>
      </c>
      <c r="I784" s="23" t="str">
        <f aca="false">IF(B784="","","")</f>
        <v/>
      </c>
      <c r="J784" s="23" t="str">
        <f aca="false">IF(B784="","",IF(Brand_Log!I184="","",Brand_Log!I184&amp;""))</f>
        <v/>
      </c>
      <c r="K784" s="32" t="s">
        <v>1355</v>
      </c>
    </row>
    <row r="785" customFormat="false" ht="15" hidden="false" customHeight="false" outlineLevel="0" collapsed="false">
      <c r="A785" s="23" t="str">
        <f aca="false">IF(B785="","",B785+(4*1000+184)/10000000)</f>
        <v/>
      </c>
      <c r="B785" s="35" t="str">
        <f aca="false">IF(Brand_Log!AY185=1,Brand_Log!H185,"")</f>
        <v/>
      </c>
      <c r="C785" s="23" t="str">
        <f aca="false">IF(B785="","","brand")</f>
        <v/>
      </c>
      <c r="D785" s="23" t="str">
        <f aca="false">IF(B785="","",Brand_Log!DV185&amp;"")</f>
        <v/>
      </c>
      <c r="E785" s="23" t="str">
        <f aca="false">IF(B785="","",IF(Brand_Log!B185="","",Brand_Log!B185&amp;""))</f>
        <v/>
      </c>
      <c r="F785" s="23" t="str">
        <f aca="false">IF(B785="","","conversation")</f>
        <v/>
      </c>
      <c r="G785" s="23" t="str">
        <f aca="false">IF(B785="","","")</f>
        <v/>
      </c>
      <c r="H785" s="23" t="str">
        <f aca="false">IF(B785="","","")</f>
        <v/>
      </c>
      <c r="I785" s="23" t="str">
        <f aca="false">IF(B785="","","")</f>
        <v/>
      </c>
      <c r="J785" s="23" t="str">
        <f aca="false">IF(B785="","",IF(Brand_Log!I185="","",Brand_Log!I185&amp;""))</f>
        <v/>
      </c>
      <c r="K785" s="32" t="s">
        <v>1355</v>
      </c>
    </row>
    <row r="786" customFormat="false" ht="15" hidden="false" customHeight="false" outlineLevel="0" collapsed="false">
      <c r="A786" s="23" t="str">
        <f aca="false">IF(B786="","",B786+(4*1000+185)/10000000)</f>
        <v/>
      </c>
      <c r="B786" s="35" t="str">
        <f aca="false">IF(Brand_Log!AY186=1,Brand_Log!H186,"")</f>
        <v/>
      </c>
      <c r="C786" s="23" t="str">
        <f aca="false">IF(B786="","","brand")</f>
        <v/>
      </c>
      <c r="D786" s="23" t="str">
        <f aca="false">IF(B786="","",Brand_Log!DV186&amp;"")</f>
        <v/>
      </c>
      <c r="E786" s="23" t="str">
        <f aca="false">IF(B786="","",IF(Brand_Log!B186="","",Brand_Log!B186&amp;""))</f>
        <v/>
      </c>
      <c r="F786" s="23" t="str">
        <f aca="false">IF(B786="","","conversation")</f>
        <v/>
      </c>
      <c r="G786" s="23" t="str">
        <f aca="false">IF(B786="","","")</f>
        <v/>
      </c>
      <c r="H786" s="23" t="str">
        <f aca="false">IF(B786="","","")</f>
        <v/>
      </c>
      <c r="I786" s="23" t="str">
        <f aca="false">IF(B786="","","")</f>
        <v/>
      </c>
      <c r="J786" s="23" t="str">
        <f aca="false">IF(B786="","",IF(Brand_Log!I186="","",Brand_Log!I186&amp;""))</f>
        <v/>
      </c>
      <c r="K786" s="32" t="s">
        <v>1355</v>
      </c>
    </row>
    <row r="787" customFormat="false" ht="15" hidden="false" customHeight="false" outlineLevel="0" collapsed="false">
      <c r="A787" s="23" t="str">
        <f aca="false">IF(B787="","",B787+(4*1000+186)/10000000)</f>
        <v/>
      </c>
      <c r="B787" s="35" t="str">
        <f aca="false">IF(Brand_Log!AY187=1,Brand_Log!H187,"")</f>
        <v/>
      </c>
      <c r="C787" s="23" t="str">
        <f aca="false">IF(B787="","","brand")</f>
        <v/>
      </c>
      <c r="D787" s="23" t="str">
        <f aca="false">IF(B787="","",Brand_Log!DV187&amp;"")</f>
        <v/>
      </c>
      <c r="E787" s="23" t="str">
        <f aca="false">IF(B787="","",IF(Brand_Log!B187="","",Brand_Log!B187&amp;""))</f>
        <v/>
      </c>
      <c r="F787" s="23" t="str">
        <f aca="false">IF(B787="","","conversation")</f>
        <v/>
      </c>
      <c r="G787" s="23" t="str">
        <f aca="false">IF(B787="","","")</f>
        <v/>
      </c>
      <c r="H787" s="23" t="str">
        <f aca="false">IF(B787="","","")</f>
        <v/>
      </c>
      <c r="I787" s="23" t="str">
        <f aca="false">IF(B787="","","")</f>
        <v/>
      </c>
      <c r="J787" s="23" t="str">
        <f aca="false">IF(B787="","",IF(Brand_Log!I187="","",Brand_Log!I187&amp;""))</f>
        <v/>
      </c>
      <c r="K787" s="32" t="s">
        <v>1355</v>
      </c>
    </row>
    <row r="788" customFormat="false" ht="15" hidden="false" customHeight="false" outlineLevel="0" collapsed="false">
      <c r="A788" s="23" t="str">
        <f aca="false">IF(B788="","",B788+(4*1000+187)/10000000)</f>
        <v/>
      </c>
      <c r="B788" s="35" t="str">
        <f aca="false">IF(Brand_Log!AY188=1,Brand_Log!H188,"")</f>
        <v/>
      </c>
      <c r="C788" s="23" t="str">
        <f aca="false">IF(B788="","","brand")</f>
        <v/>
      </c>
      <c r="D788" s="23" t="str">
        <f aca="false">IF(B788="","",Brand_Log!DV188&amp;"")</f>
        <v/>
      </c>
      <c r="E788" s="23" t="str">
        <f aca="false">IF(B788="","",IF(Brand_Log!B188="","",Brand_Log!B188&amp;""))</f>
        <v/>
      </c>
      <c r="F788" s="23" t="str">
        <f aca="false">IF(B788="","","conversation")</f>
        <v/>
      </c>
      <c r="G788" s="23" t="str">
        <f aca="false">IF(B788="","","")</f>
        <v/>
      </c>
      <c r="H788" s="23" t="str">
        <f aca="false">IF(B788="","","")</f>
        <v/>
      </c>
      <c r="I788" s="23" t="str">
        <f aca="false">IF(B788="","","")</f>
        <v/>
      </c>
      <c r="J788" s="23" t="str">
        <f aca="false">IF(B788="","",IF(Brand_Log!I188="","",Brand_Log!I188&amp;""))</f>
        <v/>
      </c>
      <c r="K788" s="32" t="s">
        <v>1355</v>
      </c>
    </row>
    <row r="789" customFormat="false" ht="15" hidden="false" customHeight="false" outlineLevel="0" collapsed="false">
      <c r="A789" s="23" t="str">
        <f aca="false">IF(B789="","",B789+(4*1000+188)/10000000)</f>
        <v/>
      </c>
      <c r="B789" s="35" t="str">
        <f aca="false">IF(Brand_Log!AY189=1,Brand_Log!H189,"")</f>
        <v/>
      </c>
      <c r="C789" s="23" t="str">
        <f aca="false">IF(B789="","","brand")</f>
        <v/>
      </c>
      <c r="D789" s="23" t="str">
        <f aca="false">IF(B789="","",Brand_Log!DV189&amp;"")</f>
        <v/>
      </c>
      <c r="E789" s="23" t="str">
        <f aca="false">IF(B789="","",IF(Brand_Log!B189="","",Brand_Log!B189&amp;""))</f>
        <v/>
      </c>
      <c r="F789" s="23" t="str">
        <f aca="false">IF(B789="","","conversation")</f>
        <v/>
      </c>
      <c r="G789" s="23" t="str">
        <f aca="false">IF(B789="","","")</f>
        <v/>
      </c>
      <c r="H789" s="23" t="str">
        <f aca="false">IF(B789="","","")</f>
        <v/>
      </c>
      <c r="I789" s="23" t="str">
        <f aca="false">IF(B789="","","")</f>
        <v/>
      </c>
      <c r="J789" s="23" t="str">
        <f aca="false">IF(B789="","",IF(Brand_Log!I189="","",Brand_Log!I189&amp;""))</f>
        <v/>
      </c>
      <c r="K789" s="32" t="s">
        <v>1355</v>
      </c>
    </row>
    <row r="790" customFormat="false" ht="15" hidden="false" customHeight="false" outlineLevel="0" collapsed="false">
      <c r="A790" s="23" t="str">
        <f aca="false">IF(B790="","",B790+(4*1000+189)/10000000)</f>
        <v/>
      </c>
      <c r="B790" s="35" t="str">
        <f aca="false">IF(Brand_Log!AY190=1,Brand_Log!H190,"")</f>
        <v/>
      </c>
      <c r="C790" s="23" t="str">
        <f aca="false">IF(B790="","","brand")</f>
        <v/>
      </c>
      <c r="D790" s="23" t="str">
        <f aca="false">IF(B790="","",Brand_Log!DV190&amp;"")</f>
        <v/>
      </c>
      <c r="E790" s="23" t="str">
        <f aca="false">IF(B790="","",IF(Brand_Log!B190="","",Brand_Log!B190&amp;""))</f>
        <v/>
      </c>
      <c r="F790" s="23" t="str">
        <f aca="false">IF(B790="","","conversation")</f>
        <v/>
      </c>
      <c r="G790" s="23" t="str">
        <f aca="false">IF(B790="","","")</f>
        <v/>
      </c>
      <c r="H790" s="23" t="str">
        <f aca="false">IF(B790="","","")</f>
        <v/>
      </c>
      <c r="I790" s="23" t="str">
        <f aca="false">IF(B790="","","")</f>
        <v/>
      </c>
      <c r="J790" s="23" t="str">
        <f aca="false">IF(B790="","",IF(Brand_Log!I190="","",Brand_Log!I190&amp;""))</f>
        <v/>
      </c>
      <c r="K790" s="32" t="s">
        <v>1355</v>
      </c>
    </row>
    <row r="791" customFormat="false" ht="15" hidden="false" customHeight="false" outlineLevel="0" collapsed="false">
      <c r="A791" s="23" t="str">
        <f aca="false">IF(B791="","",B791+(4*1000+190)/10000000)</f>
        <v/>
      </c>
      <c r="B791" s="35" t="str">
        <f aca="false">IF(Brand_Log!AY191=1,Brand_Log!H191,"")</f>
        <v/>
      </c>
      <c r="C791" s="23" t="str">
        <f aca="false">IF(B791="","","brand")</f>
        <v/>
      </c>
      <c r="D791" s="23" t="str">
        <f aca="false">IF(B791="","",Brand_Log!DV191&amp;"")</f>
        <v/>
      </c>
      <c r="E791" s="23" t="str">
        <f aca="false">IF(B791="","",IF(Brand_Log!B191="","",Brand_Log!B191&amp;""))</f>
        <v/>
      </c>
      <c r="F791" s="23" t="str">
        <f aca="false">IF(B791="","","conversation")</f>
        <v/>
      </c>
      <c r="G791" s="23" t="str">
        <f aca="false">IF(B791="","","")</f>
        <v/>
      </c>
      <c r="H791" s="23" t="str">
        <f aca="false">IF(B791="","","")</f>
        <v/>
      </c>
      <c r="I791" s="23" t="str">
        <f aca="false">IF(B791="","","")</f>
        <v/>
      </c>
      <c r="J791" s="23" t="str">
        <f aca="false">IF(B791="","",IF(Brand_Log!I191="","",Brand_Log!I191&amp;""))</f>
        <v/>
      </c>
      <c r="K791" s="32" t="s">
        <v>1355</v>
      </c>
    </row>
    <row r="792" customFormat="false" ht="15" hidden="false" customHeight="false" outlineLevel="0" collapsed="false">
      <c r="A792" s="23" t="str">
        <f aca="false">IF(B792="","",B792+(4*1000+191)/10000000)</f>
        <v/>
      </c>
      <c r="B792" s="35" t="str">
        <f aca="false">IF(Brand_Log!AY192=1,Brand_Log!H192,"")</f>
        <v/>
      </c>
      <c r="C792" s="23" t="str">
        <f aca="false">IF(B792="","","brand")</f>
        <v/>
      </c>
      <c r="D792" s="23" t="str">
        <f aca="false">IF(B792="","",Brand_Log!DV192&amp;"")</f>
        <v/>
      </c>
      <c r="E792" s="23" t="str">
        <f aca="false">IF(B792="","",IF(Brand_Log!B192="","",Brand_Log!B192&amp;""))</f>
        <v/>
      </c>
      <c r="F792" s="23" t="str">
        <f aca="false">IF(B792="","","conversation")</f>
        <v/>
      </c>
      <c r="G792" s="23" t="str">
        <f aca="false">IF(B792="","","")</f>
        <v/>
      </c>
      <c r="H792" s="23" t="str">
        <f aca="false">IF(B792="","","")</f>
        <v/>
      </c>
      <c r="I792" s="23" t="str">
        <f aca="false">IF(B792="","","")</f>
        <v/>
      </c>
      <c r="J792" s="23" t="str">
        <f aca="false">IF(B792="","",IF(Brand_Log!I192="","",Brand_Log!I192&amp;""))</f>
        <v/>
      </c>
      <c r="K792" s="32" t="s">
        <v>1355</v>
      </c>
    </row>
    <row r="793" customFormat="false" ht="15" hidden="false" customHeight="false" outlineLevel="0" collapsed="false">
      <c r="A793" s="23" t="str">
        <f aca="false">IF(B793="","",B793+(4*1000+192)/10000000)</f>
        <v/>
      </c>
      <c r="B793" s="35" t="str">
        <f aca="false">IF(Brand_Log!AY193=1,Brand_Log!H193,"")</f>
        <v/>
      </c>
      <c r="C793" s="23" t="str">
        <f aca="false">IF(B793="","","brand")</f>
        <v/>
      </c>
      <c r="D793" s="23" t="str">
        <f aca="false">IF(B793="","",Brand_Log!DV193&amp;"")</f>
        <v/>
      </c>
      <c r="E793" s="23" t="str">
        <f aca="false">IF(B793="","",IF(Brand_Log!B193="","",Brand_Log!B193&amp;""))</f>
        <v/>
      </c>
      <c r="F793" s="23" t="str">
        <f aca="false">IF(B793="","","conversation")</f>
        <v/>
      </c>
      <c r="G793" s="23" t="str">
        <f aca="false">IF(B793="","","")</f>
        <v/>
      </c>
      <c r="H793" s="23" t="str">
        <f aca="false">IF(B793="","","")</f>
        <v/>
      </c>
      <c r="I793" s="23" t="str">
        <f aca="false">IF(B793="","","")</f>
        <v/>
      </c>
      <c r="J793" s="23" t="str">
        <f aca="false">IF(B793="","",IF(Brand_Log!I193="","",Brand_Log!I193&amp;""))</f>
        <v/>
      </c>
      <c r="K793" s="32" t="s">
        <v>1355</v>
      </c>
    </row>
    <row r="794" customFormat="false" ht="15" hidden="false" customHeight="false" outlineLevel="0" collapsed="false">
      <c r="A794" s="23" t="str">
        <f aca="false">IF(B794="","",B794+(4*1000+193)/10000000)</f>
        <v/>
      </c>
      <c r="B794" s="35" t="str">
        <f aca="false">IF(Brand_Log!AY194=1,Brand_Log!H194,"")</f>
        <v/>
      </c>
      <c r="C794" s="23" t="str">
        <f aca="false">IF(B794="","","brand")</f>
        <v/>
      </c>
      <c r="D794" s="23" t="str">
        <f aca="false">IF(B794="","",Brand_Log!DV194&amp;"")</f>
        <v/>
      </c>
      <c r="E794" s="23" t="str">
        <f aca="false">IF(B794="","",IF(Brand_Log!B194="","",Brand_Log!B194&amp;""))</f>
        <v/>
      </c>
      <c r="F794" s="23" t="str">
        <f aca="false">IF(B794="","","conversation")</f>
        <v/>
      </c>
      <c r="G794" s="23" t="str">
        <f aca="false">IF(B794="","","")</f>
        <v/>
      </c>
      <c r="H794" s="23" t="str">
        <f aca="false">IF(B794="","","")</f>
        <v/>
      </c>
      <c r="I794" s="23" t="str">
        <f aca="false">IF(B794="","","")</f>
        <v/>
      </c>
      <c r="J794" s="23" t="str">
        <f aca="false">IF(B794="","",IF(Brand_Log!I194="","",Brand_Log!I194&amp;""))</f>
        <v/>
      </c>
      <c r="K794" s="32" t="s">
        <v>1355</v>
      </c>
    </row>
    <row r="795" customFormat="false" ht="15" hidden="false" customHeight="false" outlineLevel="0" collapsed="false">
      <c r="A795" s="23" t="str">
        <f aca="false">IF(B795="","",B795+(4*1000+194)/10000000)</f>
        <v/>
      </c>
      <c r="B795" s="35" t="str">
        <f aca="false">IF(Brand_Log!AY195=1,Brand_Log!H195,"")</f>
        <v/>
      </c>
      <c r="C795" s="23" t="str">
        <f aca="false">IF(B795="","","brand")</f>
        <v/>
      </c>
      <c r="D795" s="23" t="str">
        <f aca="false">IF(B795="","",Brand_Log!DV195&amp;"")</f>
        <v/>
      </c>
      <c r="E795" s="23" t="str">
        <f aca="false">IF(B795="","",IF(Brand_Log!B195="","",Brand_Log!B195&amp;""))</f>
        <v/>
      </c>
      <c r="F795" s="23" t="str">
        <f aca="false">IF(B795="","","conversation")</f>
        <v/>
      </c>
      <c r="G795" s="23" t="str">
        <f aca="false">IF(B795="","","")</f>
        <v/>
      </c>
      <c r="H795" s="23" t="str">
        <f aca="false">IF(B795="","","")</f>
        <v/>
      </c>
      <c r="I795" s="23" t="str">
        <f aca="false">IF(B795="","","")</f>
        <v/>
      </c>
      <c r="J795" s="23" t="str">
        <f aca="false">IF(B795="","",IF(Brand_Log!I195="","",Brand_Log!I195&amp;""))</f>
        <v/>
      </c>
      <c r="K795" s="32" t="s">
        <v>1355</v>
      </c>
    </row>
    <row r="796" customFormat="false" ht="15" hidden="false" customHeight="false" outlineLevel="0" collapsed="false">
      <c r="A796" s="23" t="str">
        <f aca="false">IF(B796="","",B796+(4*1000+195)/10000000)</f>
        <v/>
      </c>
      <c r="B796" s="35" t="str">
        <f aca="false">IF(Brand_Log!AY196=1,Brand_Log!H196,"")</f>
        <v/>
      </c>
      <c r="C796" s="23" t="str">
        <f aca="false">IF(B796="","","brand")</f>
        <v/>
      </c>
      <c r="D796" s="23" t="str">
        <f aca="false">IF(B796="","",Brand_Log!DV196&amp;"")</f>
        <v/>
      </c>
      <c r="E796" s="23" t="str">
        <f aca="false">IF(B796="","",IF(Brand_Log!B196="","",Brand_Log!B196&amp;""))</f>
        <v/>
      </c>
      <c r="F796" s="23" t="str">
        <f aca="false">IF(B796="","","conversation")</f>
        <v/>
      </c>
      <c r="G796" s="23" t="str">
        <f aca="false">IF(B796="","","")</f>
        <v/>
      </c>
      <c r="H796" s="23" t="str">
        <f aca="false">IF(B796="","","")</f>
        <v/>
      </c>
      <c r="I796" s="23" t="str">
        <f aca="false">IF(B796="","","")</f>
        <v/>
      </c>
      <c r="J796" s="23" t="str">
        <f aca="false">IF(B796="","",IF(Brand_Log!I196="","",Brand_Log!I196&amp;""))</f>
        <v/>
      </c>
      <c r="K796" s="32" t="s">
        <v>1355</v>
      </c>
    </row>
    <row r="797" customFormat="false" ht="15" hidden="false" customHeight="false" outlineLevel="0" collapsed="false">
      <c r="A797" s="23" t="str">
        <f aca="false">IF(B797="","",B797+(4*1000+196)/10000000)</f>
        <v/>
      </c>
      <c r="B797" s="35" t="str">
        <f aca="false">IF(Brand_Log!AY197=1,Brand_Log!H197,"")</f>
        <v/>
      </c>
      <c r="C797" s="23" t="str">
        <f aca="false">IF(B797="","","brand")</f>
        <v/>
      </c>
      <c r="D797" s="23" t="str">
        <f aca="false">IF(B797="","",Brand_Log!DV197&amp;"")</f>
        <v/>
      </c>
      <c r="E797" s="23" t="str">
        <f aca="false">IF(B797="","",IF(Brand_Log!B197="","",Brand_Log!B197&amp;""))</f>
        <v/>
      </c>
      <c r="F797" s="23" t="str">
        <f aca="false">IF(B797="","","conversation")</f>
        <v/>
      </c>
      <c r="G797" s="23" t="str">
        <f aca="false">IF(B797="","","")</f>
        <v/>
      </c>
      <c r="H797" s="23" t="str">
        <f aca="false">IF(B797="","","")</f>
        <v/>
      </c>
      <c r="I797" s="23" t="str">
        <f aca="false">IF(B797="","","")</f>
        <v/>
      </c>
      <c r="J797" s="23" t="str">
        <f aca="false">IF(B797="","",IF(Brand_Log!I197="","",Brand_Log!I197&amp;""))</f>
        <v/>
      </c>
      <c r="K797" s="32" t="s">
        <v>1355</v>
      </c>
    </row>
    <row r="798" customFormat="false" ht="15" hidden="false" customHeight="false" outlineLevel="0" collapsed="false">
      <c r="A798" s="23" t="str">
        <f aca="false">IF(B798="","",B798+(4*1000+197)/10000000)</f>
        <v/>
      </c>
      <c r="B798" s="35" t="str">
        <f aca="false">IF(Brand_Log!AY198=1,Brand_Log!H198,"")</f>
        <v/>
      </c>
      <c r="C798" s="23" t="str">
        <f aca="false">IF(B798="","","brand")</f>
        <v/>
      </c>
      <c r="D798" s="23" t="str">
        <f aca="false">IF(B798="","",Brand_Log!DV198&amp;"")</f>
        <v/>
      </c>
      <c r="E798" s="23" t="str">
        <f aca="false">IF(B798="","",IF(Brand_Log!B198="","",Brand_Log!B198&amp;""))</f>
        <v/>
      </c>
      <c r="F798" s="23" t="str">
        <f aca="false">IF(B798="","","conversation")</f>
        <v/>
      </c>
      <c r="G798" s="23" t="str">
        <f aca="false">IF(B798="","","")</f>
        <v/>
      </c>
      <c r="H798" s="23" t="str">
        <f aca="false">IF(B798="","","")</f>
        <v/>
      </c>
      <c r="I798" s="23" t="str">
        <f aca="false">IF(B798="","","")</f>
        <v/>
      </c>
      <c r="J798" s="23" t="str">
        <f aca="false">IF(B798="","",IF(Brand_Log!I198="","",Brand_Log!I198&amp;""))</f>
        <v/>
      </c>
      <c r="K798" s="32" t="s">
        <v>1355</v>
      </c>
    </row>
    <row r="799" customFormat="false" ht="15" hidden="false" customHeight="false" outlineLevel="0" collapsed="false">
      <c r="A799" s="23" t="str">
        <f aca="false">IF(B799="","",B799+(4*1000+198)/10000000)</f>
        <v/>
      </c>
      <c r="B799" s="35" t="str">
        <f aca="false">IF(Brand_Log!AY199=1,Brand_Log!H199,"")</f>
        <v/>
      </c>
      <c r="C799" s="23" t="str">
        <f aca="false">IF(B799="","","brand")</f>
        <v/>
      </c>
      <c r="D799" s="23" t="str">
        <f aca="false">IF(B799="","",Brand_Log!DV199&amp;"")</f>
        <v/>
      </c>
      <c r="E799" s="23" t="str">
        <f aca="false">IF(B799="","",IF(Brand_Log!B199="","",Brand_Log!B199&amp;""))</f>
        <v/>
      </c>
      <c r="F799" s="23" t="str">
        <f aca="false">IF(B799="","","conversation")</f>
        <v/>
      </c>
      <c r="G799" s="23" t="str">
        <f aca="false">IF(B799="","","")</f>
        <v/>
      </c>
      <c r="H799" s="23" t="str">
        <f aca="false">IF(B799="","","")</f>
        <v/>
      </c>
      <c r="I799" s="23" t="str">
        <f aca="false">IF(B799="","","")</f>
        <v/>
      </c>
      <c r="J799" s="23" t="str">
        <f aca="false">IF(B799="","",IF(Brand_Log!I199="","",Brand_Log!I199&amp;""))</f>
        <v/>
      </c>
      <c r="K799" s="32" t="s">
        <v>1355</v>
      </c>
    </row>
    <row r="800" customFormat="false" ht="15" hidden="false" customHeight="false" outlineLevel="0" collapsed="false">
      <c r="A800" s="23" t="str">
        <f aca="false">IF(B800="","",B800+(4*1000+199)/10000000)</f>
        <v/>
      </c>
      <c r="B800" s="35" t="str">
        <f aca="false">IF(Brand_Log!AY200=1,Brand_Log!H200,"")</f>
        <v/>
      </c>
      <c r="C800" s="23" t="str">
        <f aca="false">IF(B800="","","brand")</f>
        <v/>
      </c>
      <c r="D800" s="23" t="str">
        <f aca="false">IF(B800="","",Brand_Log!DV200&amp;"")</f>
        <v/>
      </c>
      <c r="E800" s="23" t="str">
        <f aca="false">IF(B800="","",IF(Brand_Log!B200="","",Brand_Log!B200&amp;""))</f>
        <v/>
      </c>
      <c r="F800" s="23" t="str">
        <f aca="false">IF(B800="","","conversation")</f>
        <v/>
      </c>
      <c r="G800" s="23" t="str">
        <f aca="false">IF(B800="","","")</f>
        <v/>
      </c>
      <c r="H800" s="23" t="str">
        <f aca="false">IF(B800="","","")</f>
        <v/>
      </c>
      <c r="I800" s="23" t="str">
        <f aca="false">IF(B800="","","")</f>
        <v/>
      </c>
      <c r="J800" s="23" t="str">
        <f aca="false">IF(B800="","",IF(Brand_Log!I200="","",Brand_Log!I200&amp;""))</f>
        <v/>
      </c>
      <c r="K800" s="32" t="s">
        <v>1355</v>
      </c>
    </row>
    <row r="801" customFormat="false" ht="15" hidden="false" customHeight="false" outlineLevel="0" collapsed="false">
      <c r="A801" s="23" t="str">
        <f aca="false">IF(B801="","",B801+(4*1000+200)/10000000)</f>
        <v/>
      </c>
      <c r="B801" s="35" t="str">
        <f aca="false">IF(Brand_Log!AY201=1,Brand_Log!H201,"")</f>
        <v/>
      </c>
      <c r="C801" s="23" t="str">
        <f aca="false">IF(B801="","","brand")</f>
        <v/>
      </c>
      <c r="D801" s="23" t="str">
        <f aca="false">IF(B801="","",Brand_Log!DV201&amp;"")</f>
        <v/>
      </c>
      <c r="E801" s="23" t="str">
        <f aca="false">IF(B801="","",IF(Brand_Log!B201="","",Brand_Log!B201&amp;""))</f>
        <v/>
      </c>
      <c r="F801" s="23" t="str">
        <f aca="false">IF(B801="","","conversation")</f>
        <v/>
      </c>
      <c r="G801" s="23" t="str">
        <f aca="false">IF(B801="","","")</f>
        <v/>
      </c>
      <c r="H801" s="23" t="str">
        <f aca="false">IF(B801="","","")</f>
        <v/>
      </c>
      <c r="I801" s="23" t="str">
        <f aca="false">IF(B801="","","")</f>
        <v/>
      </c>
      <c r="J801" s="23" t="str">
        <f aca="false">IF(B801="","",IF(Brand_Log!I201="","",Brand_Log!I201&amp;""))</f>
        <v/>
      </c>
      <c r="K801" s="32" t="s">
        <v>1355</v>
      </c>
    </row>
    <row r="802" customFormat="false" ht="15" hidden="false" customHeight="false" outlineLevel="0" collapsed="false">
      <c r="A802" s="42" t="n">
        <f aca="false">IF(B802="","",B802+(5*1000+1)/10000000)</f>
        <v>46322.0005001</v>
      </c>
      <c r="B802" s="35" t="n">
        <f aca="false">IF(AND(Brand_Log!AY2=1,Brand_Log!AN2="Y"),Brand_Log!H2,"")</f>
        <v>46322</v>
      </c>
      <c r="C802" s="23" t="str">
        <f aca="false">IF(B802="","","brand")</f>
        <v>brand</v>
      </c>
      <c r="D802" s="23" t="str">
        <f aca="false">IF(B802="","",Brand_Log!DV2&amp;"")</f>
        <v>SAMPLE-B-001</v>
      </c>
      <c r="E802" s="23" t="str">
        <f aca="false">IF(B802="","",IF(Brand_Log!B2="","",Brand_Log!B2&amp;""))</f>
        <v>SAMPLE Brand 01</v>
      </c>
      <c r="F802" s="23" t="str">
        <f aca="false">IF(B802="","","yes_in_principle")</f>
        <v>yes_in_principle</v>
      </c>
      <c r="G802" s="23" t="str">
        <f aca="false">IF(B802="","","")</f>
        <v/>
      </c>
      <c r="H802" s="23" t="str">
        <f aca="false">IF(B802="","","")</f>
        <v/>
      </c>
      <c r="I802" s="23" t="str">
        <f aca="false">IF(B802="","",IF(Brand_Log!O2="","",Brand_Log!O2&amp;""))</f>
        <v>Y</v>
      </c>
      <c r="J802" s="23" t="str">
        <f aca="false">IF(B802="","","")</f>
        <v/>
      </c>
      <c r="K802" s="32" t="s">
        <v>1356</v>
      </c>
    </row>
    <row r="803" customFormat="false" ht="15" hidden="false" customHeight="false" outlineLevel="0" collapsed="false">
      <c r="A803" s="42" t="n">
        <f aca="false">IF(B803="","",B803+(5*1000+2)/10000000)</f>
        <v>46323.0005002</v>
      </c>
      <c r="B803" s="35" t="n">
        <f aca="false">IF(AND(Brand_Log!AY3=1,Brand_Log!AN3="Y"),Brand_Log!H3,"")</f>
        <v>46323</v>
      </c>
      <c r="C803" s="23" t="str">
        <f aca="false">IF(B803="","","brand")</f>
        <v>brand</v>
      </c>
      <c r="D803" s="23" t="str">
        <f aca="false">IF(B803="","",Brand_Log!DV3&amp;"")</f>
        <v>SAMPLE-B-002</v>
      </c>
      <c r="E803" s="23" t="str">
        <f aca="false">IF(B803="","",IF(Brand_Log!B3="","",Brand_Log!B3&amp;""))</f>
        <v>SAMPLE Brand 02</v>
      </c>
      <c r="F803" s="23" t="str">
        <f aca="false">IF(B803="","","yes_in_principle")</f>
        <v>yes_in_principle</v>
      </c>
      <c r="G803" s="23" t="str">
        <f aca="false">IF(B803="","","")</f>
        <v/>
      </c>
      <c r="H803" s="23" t="str">
        <f aca="false">IF(B803="","","")</f>
        <v/>
      </c>
      <c r="I803" s="23" t="str">
        <f aca="false">IF(B803="","",IF(Brand_Log!O3="","",Brand_Log!O3&amp;""))</f>
        <v>Y</v>
      </c>
      <c r="J803" s="23" t="str">
        <f aca="false">IF(B803="","","")</f>
        <v/>
      </c>
      <c r="K803" s="32" t="s">
        <v>1356</v>
      </c>
    </row>
    <row r="804" customFormat="false" ht="15" hidden="false" customHeight="false" outlineLevel="0" collapsed="false">
      <c r="A804" s="23" t="str">
        <f aca="false">IF(B804="","",B804+(5*1000+3)/10000000)</f>
        <v/>
      </c>
      <c r="B804" s="35" t="str">
        <f aca="false">IF(AND(Brand_Log!AY4=1,Brand_Log!AN4="Y"),Brand_Log!H4,"")</f>
        <v/>
      </c>
      <c r="C804" s="23" t="str">
        <f aca="false">IF(B804="","","brand")</f>
        <v/>
      </c>
      <c r="D804" s="23" t="str">
        <f aca="false">IF(B804="","",Brand_Log!DV4&amp;"")</f>
        <v/>
      </c>
      <c r="E804" s="23" t="str">
        <f aca="false">IF(B804="","",IF(Brand_Log!B4="","",Brand_Log!B4&amp;""))</f>
        <v/>
      </c>
      <c r="F804" s="23" t="str">
        <f aca="false">IF(B804="","","yes_in_principle")</f>
        <v/>
      </c>
      <c r="G804" s="23" t="str">
        <f aca="false">IF(B804="","","")</f>
        <v/>
      </c>
      <c r="H804" s="23" t="str">
        <f aca="false">IF(B804="","","")</f>
        <v/>
      </c>
      <c r="I804" s="23" t="str">
        <f aca="false">IF(B804="","",IF(Brand_Log!O4="","",Brand_Log!O4&amp;""))</f>
        <v/>
      </c>
      <c r="J804" s="23" t="str">
        <f aca="false">IF(B804="","","")</f>
        <v/>
      </c>
      <c r="K804" s="32" t="s">
        <v>1356</v>
      </c>
    </row>
    <row r="805" customFormat="false" ht="15" hidden="false" customHeight="false" outlineLevel="0" collapsed="false">
      <c r="A805" s="23" t="str">
        <f aca="false">IF(B805="","",B805+(5*1000+4)/10000000)</f>
        <v/>
      </c>
      <c r="B805" s="35" t="str">
        <f aca="false">IF(AND(Brand_Log!AY5=1,Brand_Log!AN5="Y"),Brand_Log!H5,"")</f>
        <v/>
      </c>
      <c r="C805" s="23" t="str">
        <f aca="false">IF(B805="","","brand")</f>
        <v/>
      </c>
      <c r="D805" s="23" t="str">
        <f aca="false">IF(B805="","",Brand_Log!DV5&amp;"")</f>
        <v/>
      </c>
      <c r="E805" s="23" t="str">
        <f aca="false">IF(B805="","",IF(Brand_Log!B5="","",Brand_Log!B5&amp;""))</f>
        <v/>
      </c>
      <c r="F805" s="23" t="str">
        <f aca="false">IF(B805="","","yes_in_principle")</f>
        <v/>
      </c>
      <c r="G805" s="23" t="str">
        <f aca="false">IF(B805="","","")</f>
        <v/>
      </c>
      <c r="H805" s="23" t="str">
        <f aca="false">IF(B805="","","")</f>
        <v/>
      </c>
      <c r="I805" s="23" t="str">
        <f aca="false">IF(B805="","",IF(Brand_Log!O5="","",Brand_Log!O5&amp;""))</f>
        <v/>
      </c>
      <c r="J805" s="23" t="str">
        <f aca="false">IF(B805="","","")</f>
        <v/>
      </c>
      <c r="K805" s="32" t="s">
        <v>1356</v>
      </c>
    </row>
    <row r="806" customFormat="false" ht="15" hidden="false" customHeight="false" outlineLevel="0" collapsed="false">
      <c r="A806" s="23" t="str">
        <f aca="false">IF(B806="","",B806+(5*1000+5)/10000000)</f>
        <v/>
      </c>
      <c r="B806" s="35" t="str">
        <f aca="false">IF(AND(Brand_Log!AY6=1,Brand_Log!AN6="Y"),Brand_Log!H6,"")</f>
        <v/>
      </c>
      <c r="C806" s="23" t="str">
        <f aca="false">IF(B806="","","brand")</f>
        <v/>
      </c>
      <c r="D806" s="23" t="str">
        <f aca="false">IF(B806="","",Brand_Log!DV6&amp;"")</f>
        <v/>
      </c>
      <c r="E806" s="23" t="str">
        <f aca="false">IF(B806="","",IF(Brand_Log!B6="","",Brand_Log!B6&amp;""))</f>
        <v/>
      </c>
      <c r="F806" s="23" t="str">
        <f aca="false">IF(B806="","","yes_in_principle")</f>
        <v/>
      </c>
      <c r="G806" s="23" t="str">
        <f aca="false">IF(B806="","","")</f>
        <v/>
      </c>
      <c r="H806" s="23" t="str">
        <f aca="false">IF(B806="","","")</f>
        <v/>
      </c>
      <c r="I806" s="23" t="str">
        <f aca="false">IF(B806="","",IF(Brand_Log!O6="","",Brand_Log!O6&amp;""))</f>
        <v/>
      </c>
      <c r="J806" s="23" t="str">
        <f aca="false">IF(B806="","","")</f>
        <v/>
      </c>
      <c r="K806" s="32" t="s">
        <v>1356</v>
      </c>
    </row>
    <row r="807" customFormat="false" ht="15" hidden="false" customHeight="false" outlineLevel="0" collapsed="false">
      <c r="A807" s="42" t="n">
        <f aca="false">IF(B807="","",B807+(5*1000+6)/10000000)</f>
        <v>46330.0005006</v>
      </c>
      <c r="B807" s="35" t="n">
        <f aca="false">IF(AND(Brand_Log!AY7=1,Brand_Log!AN7="Y"),Brand_Log!H7,"")</f>
        <v>46330</v>
      </c>
      <c r="C807" s="23" t="str">
        <f aca="false">IF(B807="","","brand")</f>
        <v>brand</v>
      </c>
      <c r="D807" s="23" t="str">
        <f aca="false">IF(B807="","",Brand_Log!DV7&amp;"")</f>
        <v>SAMPLE-B-006</v>
      </c>
      <c r="E807" s="23" t="str">
        <f aca="false">IF(B807="","",IF(Brand_Log!B7="","",Brand_Log!B7&amp;""))</f>
        <v>SAMPLE Brand 06</v>
      </c>
      <c r="F807" s="23" t="str">
        <f aca="false">IF(B807="","","yes_in_principle")</f>
        <v>yes_in_principle</v>
      </c>
      <c r="G807" s="23" t="str">
        <f aca="false">IF(B807="","","")</f>
        <v/>
      </c>
      <c r="H807" s="23" t="str">
        <f aca="false">IF(B807="","","")</f>
        <v/>
      </c>
      <c r="I807" s="23" t="str">
        <f aca="false">IF(B807="","",IF(Brand_Log!O7="","",Brand_Log!O7&amp;""))</f>
        <v>Y</v>
      </c>
      <c r="J807" s="23" t="str">
        <f aca="false">IF(B807="","","")</f>
        <v/>
      </c>
      <c r="K807" s="32" t="s">
        <v>1356</v>
      </c>
    </row>
    <row r="808" customFormat="false" ht="15" hidden="false" customHeight="false" outlineLevel="0" collapsed="false">
      <c r="A808" s="23" t="str">
        <f aca="false">IF(B808="","",B808+(5*1000+7)/10000000)</f>
        <v/>
      </c>
      <c r="B808" s="35" t="str">
        <f aca="false">IF(AND(Brand_Log!AY8=1,Brand_Log!AN8="Y"),Brand_Log!H8,"")</f>
        <v/>
      </c>
      <c r="C808" s="23" t="str">
        <f aca="false">IF(B808="","","brand")</f>
        <v/>
      </c>
      <c r="D808" s="23" t="str">
        <f aca="false">IF(B808="","",Brand_Log!DV8&amp;"")</f>
        <v/>
      </c>
      <c r="E808" s="23" t="str">
        <f aca="false">IF(B808="","",IF(Brand_Log!B8="","",Brand_Log!B8&amp;""))</f>
        <v/>
      </c>
      <c r="F808" s="23" t="str">
        <f aca="false">IF(B808="","","yes_in_principle")</f>
        <v/>
      </c>
      <c r="G808" s="23" t="str">
        <f aca="false">IF(B808="","","")</f>
        <v/>
      </c>
      <c r="H808" s="23" t="str">
        <f aca="false">IF(B808="","","")</f>
        <v/>
      </c>
      <c r="I808" s="23" t="str">
        <f aca="false">IF(B808="","",IF(Brand_Log!O8="","",Brand_Log!O8&amp;""))</f>
        <v/>
      </c>
      <c r="J808" s="23" t="str">
        <f aca="false">IF(B808="","","")</f>
        <v/>
      </c>
      <c r="K808" s="32" t="s">
        <v>1356</v>
      </c>
    </row>
    <row r="809" customFormat="false" ht="15" hidden="false" customHeight="false" outlineLevel="0" collapsed="false">
      <c r="A809" s="42" t="n">
        <f aca="false">IF(B809="","",B809+(5*1000+8)/10000000)</f>
        <v>46335.0005008</v>
      </c>
      <c r="B809" s="35" t="n">
        <f aca="false">IF(AND(Brand_Log!AY9=1,Brand_Log!AN9="Y"),Brand_Log!H9,"")</f>
        <v>46335</v>
      </c>
      <c r="C809" s="23" t="str">
        <f aca="false">IF(B809="","","brand")</f>
        <v>brand</v>
      </c>
      <c r="D809" s="23" t="str">
        <f aca="false">IF(B809="","",Brand_Log!DV9&amp;"")</f>
        <v>SAMPLE-B-008</v>
      </c>
      <c r="E809" s="23" t="str">
        <f aca="false">IF(B809="","",IF(Brand_Log!B9="","",Brand_Log!B9&amp;""))</f>
        <v>SAMPLE Brand 08</v>
      </c>
      <c r="F809" s="23" t="str">
        <f aca="false">IF(B809="","","yes_in_principle")</f>
        <v>yes_in_principle</v>
      </c>
      <c r="G809" s="23" t="str">
        <f aca="false">IF(B809="","","")</f>
        <v/>
      </c>
      <c r="H809" s="23" t="str">
        <f aca="false">IF(B809="","","")</f>
        <v/>
      </c>
      <c r="I809" s="23" t="str">
        <f aca="false">IF(B809="","",IF(Brand_Log!O9="","",Brand_Log!O9&amp;""))</f>
        <v>Y</v>
      </c>
      <c r="J809" s="23" t="str">
        <f aca="false">IF(B809="","","")</f>
        <v/>
      </c>
      <c r="K809" s="32" t="s">
        <v>1356</v>
      </c>
    </row>
    <row r="810" customFormat="false" ht="15" hidden="false" customHeight="false" outlineLevel="0" collapsed="false">
      <c r="A810" s="23" t="str">
        <f aca="false">IF(B810="","",B810+(5*1000+9)/10000000)</f>
        <v/>
      </c>
      <c r="B810" s="35" t="str">
        <f aca="false">IF(AND(Brand_Log!AY10=1,Brand_Log!AN10="Y"),Brand_Log!H10,"")</f>
        <v/>
      </c>
      <c r="C810" s="23" t="str">
        <f aca="false">IF(B810="","","brand")</f>
        <v/>
      </c>
      <c r="D810" s="23" t="str">
        <f aca="false">IF(B810="","",Brand_Log!DV10&amp;"")</f>
        <v/>
      </c>
      <c r="E810" s="23" t="str">
        <f aca="false">IF(B810="","",IF(Brand_Log!B10="","",Brand_Log!B10&amp;""))</f>
        <v/>
      </c>
      <c r="F810" s="23" t="str">
        <f aca="false">IF(B810="","","yes_in_principle")</f>
        <v/>
      </c>
      <c r="G810" s="23" t="str">
        <f aca="false">IF(B810="","","")</f>
        <v/>
      </c>
      <c r="H810" s="23" t="str">
        <f aca="false">IF(B810="","","")</f>
        <v/>
      </c>
      <c r="I810" s="23" t="str">
        <f aca="false">IF(B810="","",IF(Brand_Log!O10="","",Brand_Log!O10&amp;""))</f>
        <v/>
      </c>
      <c r="J810" s="23" t="str">
        <f aca="false">IF(B810="","","")</f>
        <v/>
      </c>
      <c r="K810" s="32" t="s">
        <v>1356</v>
      </c>
    </row>
    <row r="811" customFormat="false" ht="15" hidden="false" customHeight="false" outlineLevel="0" collapsed="false">
      <c r="A811" s="23" t="str">
        <f aca="false">IF(B811="","",B811+(5*1000+10)/10000000)</f>
        <v/>
      </c>
      <c r="B811" s="35" t="str">
        <f aca="false">IF(AND(Brand_Log!AY11=1,Brand_Log!AN11="Y"),Brand_Log!H11,"")</f>
        <v/>
      </c>
      <c r="C811" s="23" t="str">
        <f aca="false">IF(B811="","","brand")</f>
        <v/>
      </c>
      <c r="D811" s="23" t="str">
        <f aca="false">IF(B811="","",Brand_Log!DV11&amp;"")</f>
        <v/>
      </c>
      <c r="E811" s="23" t="str">
        <f aca="false">IF(B811="","",IF(Brand_Log!B11="","",Brand_Log!B11&amp;""))</f>
        <v/>
      </c>
      <c r="F811" s="23" t="str">
        <f aca="false">IF(B811="","","yes_in_principle")</f>
        <v/>
      </c>
      <c r="G811" s="23" t="str">
        <f aca="false">IF(B811="","","")</f>
        <v/>
      </c>
      <c r="H811" s="23" t="str">
        <f aca="false">IF(B811="","","")</f>
        <v/>
      </c>
      <c r="I811" s="23" t="str">
        <f aca="false">IF(B811="","",IF(Brand_Log!O11="","",Brand_Log!O11&amp;""))</f>
        <v/>
      </c>
      <c r="J811" s="23" t="str">
        <f aca="false">IF(B811="","","")</f>
        <v/>
      </c>
      <c r="K811" s="32" t="s">
        <v>1356</v>
      </c>
    </row>
    <row r="812" customFormat="false" ht="15" hidden="false" customHeight="false" outlineLevel="0" collapsed="false">
      <c r="A812" s="42" t="n">
        <f aca="false">IF(B812="","",B812+(5*1000+11)/10000000)</f>
        <v>46338.0005011</v>
      </c>
      <c r="B812" s="35" t="n">
        <f aca="false">IF(AND(Brand_Log!AY12=1,Brand_Log!AN12="Y"),Brand_Log!H12,"")</f>
        <v>46338</v>
      </c>
      <c r="C812" s="23" t="str">
        <f aca="false">IF(B812="","","brand")</f>
        <v>brand</v>
      </c>
      <c r="D812" s="23" t="str">
        <f aca="false">IF(B812="","",Brand_Log!DV12&amp;"")</f>
        <v>SAMPLE-B-011</v>
      </c>
      <c r="E812" s="23" t="str">
        <f aca="false">IF(B812="","",IF(Brand_Log!B12="","",Brand_Log!B12&amp;""))</f>
        <v>SAMPLE Brand 11</v>
      </c>
      <c r="F812" s="23" t="str">
        <f aca="false">IF(B812="","","yes_in_principle")</f>
        <v>yes_in_principle</v>
      </c>
      <c r="G812" s="23" t="str">
        <f aca="false">IF(B812="","","")</f>
        <v/>
      </c>
      <c r="H812" s="23" t="str">
        <f aca="false">IF(B812="","","")</f>
        <v/>
      </c>
      <c r="I812" s="23" t="str">
        <f aca="false">IF(B812="","",IF(Brand_Log!O12="","",Brand_Log!O12&amp;""))</f>
        <v>Y</v>
      </c>
      <c r="J812" s="23" t="str">
        <f aca="false">IF(B812="","","")</f>
        <v/>
      </c>
      <c r="K812" s="32" t="s">
        <v>1356</v>
      </c>
    </row>
    <row r="813" customFormat="false" ht="15" hidden="false" customHeight="false" outlineLevel="0" collapsed="false">
      <c r="A813" s="42" t="n">
        <f aca="false">IF(B813="","",B813+(5*1000+12)/10000000)</f>
        <v>46338.0005012</v>
      </c>
      <c r="B813" s="35" t="n">
        <f aca="false">IF(AND(Brand_Log!AY13=1,Brand_Log!AN13="Y"),Brand_Log!H13,"")</f>
        <v>46338</v>
      </c>
      <c r="C813" s="23" t="str">
        <f aca="false">IF(B813="","","brand")</f>
        <v>brand</v>
      </c>
      <c r="D813" s="23" t="str">
        <f aca="false">IF(B813="","",Brand_Log!DV13&amp;"")</f>
        <v>SAMPLE-B-002</v>
      </c>
      <c r="E813" s="23" t="str">
        <f aca="false">IF(B813="","",IF(Brand_Log!B13="","",Brand_Log!B13&amp;""))</f>
        <v>SAMPLE Brand 02</v>
      </c>
      <c r="F813" s="23" t="str">
        <f aca="false">IF(B813="","","yes_in_principle")</f>
        <v>yes_in_principle</v>
      </c>
      <c r="G813" s="23" t="str">
        <f aca="false">IF(B813="","","")</f>
        <v/>
      </c>
      <c r="H813" s="23" t="str">
        <f aca="false">IF(B813="","","")</f>
        <v/>
      </c>
      <c r="I813" s="23" t="str">
        <f aca="false">IF(B813="","",IF(Brand_Log!O13="","",Brand_Log!O13&amp;""))</f>
        <v>Y</v>
      </c>
      <c r="J813" s="23" t="str">
        <f aca="false">IF(B813="","","")</f>
        <v/>
      </c>
      <c r="K813" s="32" t="s">
        <v>1356</v>
      </c>
    </row>
    <row r="814" customFormat="false" ht="15" hidden="false" customHeight="false" outlineLevel="0" collapsed="false">
      <c r="A814" s="23" t="str">
        <f aca="false">IF(B814="","",B814+(5*1000+13)/10000000)</f>
        <v/>
      </c>
      <c r="B814" s="35" t="str">
        <f aca="false">IF(AND(Brand_Log!AY14=1,Brand_Log!AN14="Y"),Brand_Log!H14,"")</f>
        <v/>
      </c>
      <c r="C814" s="23" t="str">
        <f aca="false">IF(B814="","","brand")</f>
        <v/>
      </c>
      <c r="D814" s="23" t="str">
        <f aca="false">IF(B814="","",Brand_Log!DV14&amp;"")</f>
        <v/>
      </c>
      <c r="E814" s="23" t="str">
        <f aca="false">IF(B814="","",IF(Brand_Log!B14="","",Brand_Log!B14&amp;""))</f>
        <v/>
      </c>
      <c r="F814" s="23" t="str">
        <f aca="false">IF(B814="","","yes_in_principle")</f>
        <v/>
      </c>
      <c r="G814" s="23" t="str">
        <f aca="false">IF(B814="","","")</f>
        <v/>
      </c>
      <c r="H814" s="23" t="str">
        <f aca="false">IF(B814="","","")</f>
        <v/>
      </c>
      <c r="I814" s="23" t="str">
        <f aca="false">IF(B814="","",IF(Brand_Log!O14="","",Brand_Log!O14&amp;""))</f>
        <v/>
      </c>
      <c r="J814" s="23" t="str">
        <f aca="false">IF(B814="","","")</f>
        <v/>
      </c>
      <c r="K814" s="32" t="s">
        <v>1356</v>
      </c>
    </row>
    <row r="815" customFormat="false" ht="15" hidden="false" customHeight="false" outlineLevel="0" collapsed="false">
      <c r="A815" s="42" t="n">
        <f aca="false">IF(B815="","",B815+(5*1000+14)/10000000)</f>
        <v>46339.0005014</v>
      </c>
      <c r="B815" s="35" t="n">
        <f aca="false">IF(AND(Brand_Log!AY15=1,Brand_Log!AN15="Y"),Brand_Log!H15,"")</f>
        <v>46339</v>
      </c>
      <c r="C815" s="23" t="str">
        <f aca="false">IF(B815="","","brand")</f>
        <v>brand</v>
      </c>
      <c r="D815" s="23" t="str">
        <f aca="false">IF(B815="","",Brand_Log!DV15&amp;"")</f>
        <v>SAMPLE-B-013</v>
      </c>
      <c r="E815" s="23" t="str">
        <f aca="false">IF(B815="","",IF(Brand_Log!B15="","",Brand_Log!B15&amp;""))</f>
        <v>SAMPLE Brand 13</v>
      </c>
      <c r="F815" s="23" t="str">
        <f aca="false">IF(B815="","","yes_in_principle")</f>
        <v>yes_in_principle</v>
      </c>
      <c r="G815" s="23" t="str">
        <f aca="false">IF(B815="","","")</f>
        <v/>
      </c>
      <c r="H815" s="23" t="str">
        <f aca="false">IF(B815="","","")</f>
        <v/>
      </c>
      <c r="I815" s="23" t="str">
        <f aca="false">IF(B815="","",IF(Brand_Log!O15="","",Brand_Log!O15&amp;""))</f>
        <v>Y</v>
      </c>
      <c r="J815" s="23" t="str">
        <f aca="false">IF(B815="","","")</f>
        <v/>
      </c>
      <c r="K815" s="32" t="s">
        <v>1356</v>
      </c>
    </row>
    <row r="816" customFormat="false" ht="15" hidden="false" customHeight="false" outlineLevel="0" collapsed="false">
      <c r="A816" s="42" t="n">
        <f aca="false">IF(B816="","",B816+(5*1000+15)/10000000)</f>
        <v>46343.0005015</v>
      </c>
      <c r="B816" s="35" t="n">
        <f aca="false">IF(AND(Brand_Log!AY16=1,Brand_Log!AN16="Y"),Brand_Log!H16,"")</f>
        <v>46343</v>
      </c>
      <c r="C816" s="23" t="str">
        <f aca="false">IF(B816="","","brand")</f>
        <v>brand</v>
      </c>
      <c r="D816" s="23" t="str">
        <f aca="false">IF(B816="","",Brand_Log!DV16&amp;"")</f>
        <v>SAMPLE-B-014</v>
      </c>
      <c r="E816" s="23" t="str">
        <f aca="false">IF(B816="","",IF(Brand_Log!B16="","",Brand_Log!B16&amp;""))</f>
        <v>SAMPLE Brand 14</v>
      </c>
      <c r="F816" s="23" t="str">
        <f aca="false">IF(B816="","","yes_in_principle")</f>
        <v>yes_in_principle</v>
      </c>
      <c r="G816" s="23" t="str">
        <f aca="false">IF(B816="","","")</f>
        <v/>
      </c>
      <c r="H816" s="23" t="str">
        <f aca="false">IF(B816="","","")</f>
        <v/>
      </c>
      <c r="I816" s="23" t="str">
        <f aca="false">IF(B816="","",IF(Brand_Log!O16="","",Brand_Log!O16&amp;""))</f>
        <v>Y</v>
      </c>
      <c r="J816" s="23" t="str">
        <f aca="false">IF(B816="","","")</f>
        <v/>
      </c>
      <c r="K816" s="32" t="s">
        <v>1356</v>
      </c>
    </row>
    <row r="817" customFormat="false" ht="15" hidden="false" customHeight="false" outlineLevel="0" collapsed="false">
      <c r="A817" s="23" t="str">
        <f aca="false">IF(B817="","",B817+(5*1000+16)/10000000)</f>
        <v/>
      </c>
      <c r="B817" s="35" t="str">
        <f aca="false">IF(AND(Brand_Log!AY17=1,Brand_Log!AN17="Y"),Brand_Log!H17,"")</f>
        <v/>
      </c>
      <c r="C817" s="23" t="str">
        <f aca="false">IF(B817="","","brand")</f>
        <v/>
      </c>
      <c r="D817" s="23" t="str">
        <f aca="false">IF(B817="","",Brand_Log!DV17&amp;"")</f>
        <v/>
      </c>
      <c r="E817" s="23" t="str">
        <f aca="false">IF(B817="","",IF(Brand_Log!B17="","",Brand_Log!B17&amp;""))</f>
        <v/>
      </c>
      <c r="F817" s="23" t="str">
        <f aca="false">IF(B817="","","yes_in_principle")</f>
        <v/>
      </c>
      <c r="G817" s="23" t="str">
        <f aca="false">IF(B817="","","")</f>
        <v/>
      </c>
      <c r="H817" s="23" t="str">
        <f aca="false">IF(B817="","","")</f>
        <v/>
      </c>
      <c r="I817" s="23" t="str">
        <f aca="false">IF(B817="","",IF(Brand_Log!O17="","",Brand_Log!O17&amp;""))</f>
        <v/>
      </c>
      <c r="J817" s="23" t="str">
        <f aca="false">IF(B817="","","")</f>
        <v/>
      </c>
      <c r="K817" s="32" t="s">
        <v>1356</v>
      </c>
    </row>
    <row r="818" customFormat="false" ht="15" hidden="false" customHeight="false" outlineLevel="0" collapsed="false">
      <c r="A818" s="23" t="str">
        <f aca="false">IF(B818="","",B818+(5*1000+17)/10000000)</f>
        <v/>
      </c>
      <c r="B818" s="35" t="str">
        <f aca="false">IF(AND(Brand_Log!AY18=1,Brand_Log!AN18="Y"),Brand_Log!H18,"")</f>
        <v/>
      </c>
      <c r="C818" s="23" t="str">
        <f aca="false">IF(B818="","","brand")</f>
        <v/>
      </c>
      <c r="D818" s="23" t="str">
        <f aca="false">IF(B818="","",Brand_Log!DV18&amp;"")</f>
        <v/>
      </c>
      <c r="E818" s="23" t="str">
        <f aca="false">IF(B818="","",IF(Brand_Log!B18="","",Brand_Log!B18&amp;""))</f>
        <v/>
      </c>
      <c r="F818" s="23" t="str">
        <f aca="false">IF(B818="","","yes_in_principle")</f>
        <v/>
      </c>
      <c r="G818" s="23" t="str">
        <f aca="false">IF(B818="","","")</f>
        <v/>
      </c>
      <c r="H818" s="23" t="str">
        <f aca="false">IF(B818="","","")</f>
        <v/>
      </c>
      <c r="I818" s="23" t="str">
        <f aca="false">IF(B818="","",IF(Brand_Log!O18="","",Brand_Log!O18&amp;""))</f>
        <v/>
      </c>
      <c r="J818" s="23" t="str">
        <f aca="false">IF(B818="","","")</f>
        <v/>
      </c>
      <c r="K818" s="32" t="s">
        <v>1356</v>
      </c>
    </row>
    <row r="819" customFormat="false" ht="15" hidden="false" customHeight="false" outlineLevel="0" collapsed="false">
      <c r="A819" s="23" t="str">
        <f aca="false">IF(B819="","",B819+(5*1000+18)/10000000)</f>
        <v/>
      </c>
      <c r="B819" s="35" t="str">
        <f aca="false">IF(AND(Brand_Log!AY19=1,Brand_Log!AN19="Y"),Brand_Log!H19,"")</f>
        <v/>
      </c>
      <c r="C819" s="23" t="str">
        <f aca="false">IF(B819="","","brand")</f>
        <v/>
      </c>
      <c r="D819" s="23" t="str">
        <f aca="false">IF(B819="","",Brand_Log!DV19&amp;"")</f>
        <v/>
      </c>
      <c r="E819" s="23" t="str">
        <f aca="false">IF(B819="","",IF(Brand_Log!B19="","",Brand_Log!B19&amp;""))</f>
        <v/>
      </c>
      <c r="F819" s="23" t="str">
        <f aca="false">IF(B819="","","yes_in_principle")</f>
        <v/>
      </c>
      <c r="G819" s="23" t="str">
        <f aca="false">IF(B819="","","")</f>
        <v/>
      </c>
      <c r="H819" s="23" t="str">
        <f aca="false">IF(B819="","","")</f>
        <v/>
      </c>
      <c r="I819" s="23" t="str">
        <f aca="false">IF(B819="","",IF(Brand_Log!O19="","",Brand_Log!O19&amp;""))</f>
        <v/>
      </c>
      <c r="J819" s="23" t="str">
        <f aca="false">IF(B819="","","")</f>
        <v/>
      </c>
      <c r="K819" s="32" t="s">
        <v>1356</v>
      </c>
    </row>
    <row r="820" customFormat="false" ht="15" hidden="false" customHeight="false" outlineLevel="0" collapsed="false">
      <c r="A820" s="23" t="str">
        <f aca="false">IF(B820="","",B820+(5*1000+19)/10000000)</f>
        <v/>
      </c>
      <c r="B820" s="35" t="str">
        <f aca="false">IF(AND(Brand_Log!AY20=1,Brand_Log!AN20="Y"),Brand_Log!H20,"")</f>
        <v/>
      </c>
      <c r="C820" s="23" t="str">
        <f aca="false">IF(B820="","","brand")</f>
        <v/>
      </c>
      <c r="D820" s="23" t="str">
        <f aca="false">IF(B820="","",Brand_Log!DV20&amp;"")</f>
        <v/>
      </c>
      <c r="E820" s="23" t="str">
        <f aca="false">IF(B820="","",IF(Brand_Log!B20="","",Brand_Log!B20&amp;""))</f>
        <v/>
      </c>
      <c r="F820" s="23" t="str">
        <f aca="false">IF(B820="","","yes_in_principle")</f>
        <v/>
      </c>
      <c r="G820" s="23" t="str">
        <f aca="false">IF(B820="","","")</f>
        <v/>
      </c>
      <c r="H820" s="23" t="str">
        <f aca="false">IF(B820="","","")</f>
        <v/>
      </c>
      <c r="I820" s="23" t="str">
        <f aca="false">IF(B820="","",IF(Brand_Log!O20="","",Brand_Log!O20&amp;""))</f>
        <v/>
      </c>
      <c r="J820" s="23" t="str">
        <f aca="false">IF(B820="","","")</f>
        <v/>
      </c>
      <c r="K820" s="32" t="s">
        <v>1356</v>
      </c>
    </row>
    <row r="821" customFormat="false" ht="15" hidden="false" customHeight="false" outlineLevel="0" collapsed="false">
      <c r="A821" s="23" t="str">
        <f aca="false">IF(B821="","",B821+(5*1000+20)/10000000)</f>
        <v/>
      </c>
      <c r="B821" s="35" t="str">
        <f aca="false">IF(AND(Brand_Log!AY21=1,Brand_Log!AN21="Y"),Brand_Log!H21,"")</f>
        <v/>
      </c>
      <c r="C821" s="23" t="str">
        <f aca="false">IF(B821="","","brand")</f>
        <v/>
      </c>
      <c r="D821" s="23" t="str">
        <f aca="false">IF(B821="","",Brand_Log!DV21&amp;"")</f>
        <v/>
      </c>
      <c r="E821" s="23" t="str">
        <f aca="false">IF(B821="","",IF(Brand_Log!B21="","",Brand_Log!B21&amp;""))</f>
        <v/>
      </c>
      <c r="F821" s="23" t="str">
        <f aca="false">IF(B821="","","yes_in_principle")</f>
        <v/>
      </c>
      <c r="G821" s="23" t="str">
        <f aca="false">IF(B821="","","")</f>
        <v/>
      </c>
      <c r="H821" s="23" t="str">
        <f aca="false">IF(B821="","","")</f>
        <v/>
      </c>
      <c r="I821" s="23" t="str">
        <f aca="false">IF(B821="","",IF(Brand_Log!O21="","",Brand_Log!O21&amp;""))</f>
        <v/>
      </c>
      <c r="J821" s="23" t="str">
        <f aca="false">IF(B821="","","")</f>
        <v/>
      </c>
      <c r="K821" s="32" t="s">
        <v>1356</v>
      </c>
    </row>
    <row r="822" customFormat="false" ht="15" hidden="false" customHeight="false" outlineLevel="0" collapsed="false">
      <c r="A822" s="23" t="str">
        <f aca="false">IF(B822="","",B822+(5*1000+21)/10000000)</f>
        <v/>
      </c>
      <c r="B822" s="35" t="str">
        <f aca="false">IF(AND(Brand_Log!AY22=1,Brand_Log!AN22="Y"),Brand_Log!H22,"")</f>
        <v/>
      </c>
      <c r="C822" s="23" t="str">
        <f aca="false">IF(B822="","","brand")</f>
        <v/>
      </c>
      <c r="D822" s="23" t="str">
        <f aca="false">IF(B822="","",Brand_Log!DV22&amp;"")</f>
        <v/>
      </c>
      <c r="E822" s="23" t="str">
        <f aca="false">IF(B822="","",IF(Brand_Log!B22="","",Brand_Log!B22&amp;""))</f>
        <v/>
      </c>
      <c r="F822" s="23" t="str">
        <f aca="false">IF(B822="","","yes_in_principle")</f>
        <v/>
      </c>
      <c r="G822" s="23" t="str">
        <f aca="false">IF(B822="","","")</f>
        <v/>
      </c>
      <c r="H822" s="23" t="str">
        <f aca="false">IF(B822="","","")</f>
        <v/>
      </c>
      <c r="I822" s="23" t="str">
        <f aca="false">IF(B822="","",IF(Brand_Log!O22="","",Brand_Log!O22&amp;""))</f>
        <v/>
      </c>
      <c r="J822" s="23" t="str">
        <f aca="false">IF(B822="","","")</f>
        <v/>
      </c>
      <c r="K822" s="32" t="s">
        <v>1356</v>
      </c>
    </row>
    <row r="823" customFormat="false" ht="15" hidden="false" customHeight="false" outlineLevel="0" collapsed="false">
      <c r="A823" s="23" t="str">
        <f aca="false">IF(B823="","",B823+(5*1000+22)/10000000)</f>
        <v/>
      </c>
      <c r="B823" s="35" t="str">
        <f aca="false">IF(AND(Brand_Log!AY23=1,Brand_Log!AN23="Y"),Brand_Log!H23,"")</f>
        <v/>
      </c>
      <c r="C823" s="23" t="str">
        <f aca="false">IF(B823="","","brand")</f>
        <v/>
      </c>
      <c r="D823" s="23" t="str">
        <f aca="false">IF(B823="","",Brand_Log!DV23&amp;"")</f>
        <v/>
      </c>
      <c r="E823" s="23" t="str">
        <f aca="false">IF(B823="","",IF(Brand_Log!B23="","",Brand_Log!B23&amp;""))</f>
        <v/>
      </c>
      <c r="F823" s="23" t="str">
        <f aca="false">IF(B823="","","yes_in_principle")</f>
        <v/>
      </c>
      <c r="G823" s="23" t="str">
        <f aca="false">IF(B823="","","")</f>
        <v/>
      </c>
      <c r="H823" s="23" t="str">
        <f aca="false">IF(B823="","","")</f>
        <v/>
      </c>
      <c r="I823" s="23" t="str">
        <f aca="false">IF(B823="","",IF(Brand_Log!O23="","",Brand_Log!O23&amp;""))</f>
        <v/>
      </c>
      <c r="J823" s="23" t="str">
        <f aca="false">IF(B823="","","")</f>
        <v/>
      </c>
      <c r="K823" s="32" t="s">
        <v>1356</v>
      </c>
    </row>
    <row r="824" customFormat="false" ht="15" hidden="false" customHeight="false" outlineLevel="0" collapsed="false">
      <c r="A824" s="23" t="str">
        <f aca="false">IF(B824="","",B824+(5*1000+23)/10000000)</f>
        <v/>
      </c>
      <c r="B824" s="35" t="str">
        <f aca="false">IF(AND(Brand_Log!AY24=1,Brand_Log!AN24="Y"),Brand_Log!H24,"")</f>
        <v/>
      </c>
      <c r="C824" s="23" t="str">
        <f aca="false">IF(B824="","","brand")</f>
        <v/>
      </c>
      <c r="D824" s="23" t="str">
        <f aca="false">IF(B824="","",Brand_Log!DV24&amp;"")</f>
        <v/>
      </c>
      <c r="E824" s="23" t="str">
        <f aca="false">IF(B824="","",IF(Brand_Log!B24="","",Brand_Log!B24&amp;""))</f>
        <v/>
      </c>
      <c r="F824" s="23" t="str">
        <f aca="false">IF(B824="","","yes_in_principle")</f>
        <v/>
      </c>
      <c r="G824" s="23" t="str">
        <f aca="false">IF(B824="","","")</f>
        <v/>
      </c>
      <c r="H824" s="23" t="str">
        <f aca="false">IF(B824="","","")</f>
        <v/>
      </c>
      <c r="I824" s="23" t="str">
        <f aca="false">IF(B824="","",IF(Brand_Log!O24="","",Brand_Log!O24&amp;""))</f>
        <v/>
      </c>
      <c r="J824" s="23" t="str">
        <f aca="false">IF(B824="","","")</f>
        <v/>
      </c>
      <c r="K824" s="32" t="s">
        <v>1356</v>
      </c>
    </row>
    <row r="825" customFormat="false" ht="15" hidden="false" customHeight="false" outlineLevel="0" collapsed="false">
      <c r="A825" s="23" t="str">
        <f aca="false">IF(B825="","",B825+(5*1000+24)/10000000)</f>
        <v/>
      </c>
      <c r="B825" s="35" t="str">
        <f aca="false">IF(AND(Brand_Log!AY25=1,Brand_Log!AN25="Y"),Brand_Log!H25,"")</f>
        <v/>
      </c>
      <c r="C825" s="23" t="str">
        <f aca="false">IF(B825="","","brand")</f>
        <v/>
      </c>
      <c r="D825" s="23" t="str">
        <f aca="false">IF(B825="","",Brand_Log!DV25&amp;"")</f>
        <v/>
      </c>
      <c r="E825" s="23" t="str">
        <f aca="false">IF(B825="","",IF(Brand_Log!B25="","",Brand_Log!B25&amp;""))</f>
        <v/>
      </c>
      <c r="F825" s="23" t="str">
        <f aca="false">IF(B825="","","yes_in_principle")</f>
        <v/>
      </c>
      <c r="G825" s="23" t="str">
        <f aca="false">IF(B825="","","")</f>
        <v/>
      </c>
      <c r="H825" s="23" t="str">
        <f aca="false">IF(B825="","","")</f>
        <v/>
      </c>
      <c r="I825" s="23" t="str">
        <f aca="false">IF(B825="","",IF(Brand_Log!O25="","",Brand_Log!O25&amp;""))</f>
        <v/>
      </c>
      <c r="J825" s="23" t="str">
        <f aca="false">IF(B825="","","")</f>
        <v/>
      </c>
      <c r="K825" s="32" t="s">
        <v>1356</v>
      </c>
    </row>
    <row r="826" customFormat="false" ht="15" hidden="false" customHeight="false" outlineLevel="0" collapsed="false">
      <c r="A826" s="23" t="str">
        <f aca="false">IF(B826="","",B826+(5*1000+25)/10000000)</f>
        <v/>
      </c>
      <c r="B826" s="35" t="str">
        <f aca="false">IF(AND(Brand_Log!AY26=1,Brand_Log!AN26="Y"),Brand_Log!H26,"")</f>
        <v/>
      </c>
      <c r="C826" s="23" t="str">
        <f aca="false">IF(B826="","","brand")</f>
        <v/>
      </c>
      <c r="D826" s="23" t="str">
        <f aca="false">IF(B826="","",Brand_Log!DV26&amp;"")</f>
        <v/>
      </c>
      <c r="E826" s="23" t="str">
        <f aca="false">IF(B826="","",IF(Brand_Log!B26="","",Brand_Log!B26&amp;""))</f>
        <v/>
      </c>
      <c r="F826" s="23" t="str">
        <f aca="false">IF(B826="","","yes_in_principle")</f>
        <v/>
      </c>
      <c r="G826" s="23" t="str">
        <f aca="false">IF(B826="","","")</f>
        <v/>
      </c>
      <c r="H826" s="23" t="str">
        <f aca="false">IF(B826="","","")</f>
        <v/>
      </c>
      <c r="I826" s="23" t="str">
        <f aca="false">IF(B826="","",IF(Brand_Log!O26="","",Brand_Log!O26&amp;""))</f>
        <v/>
      </c>
      <c r="J826" s="23" t="str">
        <f aca="false">IF(B826="","","")</f>
        <v/>
      </c>
      <c r="K826" s="32" t="s">
        <v>1356</v>
      </c>
    </row>
    <row r="827" customFormat="false" ht="15" hidden="false" customHeight="false" outlineLevel="0" collapsed="false">
      <c r="A827" s="23" t="str">
        <f aca="false">IF(B827="","",B827+(5*1000+26)/10000000)</f>
        <v/>
      </c>
      <c r="B827" s="35" t="str">
        <f aca="false">IF(AND(Brand_Log!AY27=1,Brand_Log!AN27="Y"),Brand_Log!H27,"")</f>
        <v/>
      </c>
      <c r="C827" s="23" t="str">
        <f aca="false">IF(B827="","","brand")</f>
        <v/>
      </c>
      <c r="D827" s="23" t="str">
        <f aca="false">IF(B827="","",Brand_Log!DV27&amp;"")</f>
        <v/>
      </c>
      <c r="E827" s="23" t="str">
        <f aca="false">IF(B827="","",IF(Brand_Log!B27="","",Brand_Log!B27&amp;""))</f>
        <v/>
      </c>
      <c r="F827" s="23" t="str">
        <f aca="false">IF(B827="","","yes_in_principle")</f>
        <v/>
      </c>
      <c r="G827" s="23" t="str">
        <f aca="false">IF(B827="","","")</f>
        <v/>
      </c>
      <c r="H827" s="23" t="str">
        <f aca="false">IF(B827="","","")</f>
        <v/>
      </c>
      <c r="I827" s="23" t="str">
        <f aca="false">IF(B827="","",IF(Brand_Log!O27="","",Brand_Log!O27&amp;""))</f>
        <v/>
      </c>
      <c r="J827" s="23" t="str">
        <f aca="false">IF(B827="","","")</f>
        <v/>
      </c>
      <c r="K827" s="32" t="s">
        <v>1356</v>
      </c>
    </row>
    <row r="828" customFormat="false" ht="15" hidden="false" customHeight="false" outlineLevel="0" collapsed="false">
      <c r="A828" s="23" t="str">
        <f aca="false">IF(B828="","",B828+(5*1000+27)/10000000)</f>
        <v/>
      </c>
      <c r="B828" s="35" t="str">
        <f aca="false">IF(AND(Brand_Log!AY28=1,Brand_Log!AN28="Y"),Brand_Log!H28,"")</f>
        <v/>
      </c>
      <c r="C828" s="23" t="str">
        <f aca="false">IF(B828="","","brand")</f>
        <v/>
      </c>
      <c r="D828" s="23" t="str">
        <f aca="false">IF(B828="","",Brand_Log!DV28&amp;"")</f>
        <v/>
      </c>
      <c r="E828" s="23" t="str">
        <f aca="false">IF(B828="","",IF(Brand_Log!B28="","",Brand_Log!B28&amp;""))</f>
        <v/>
      </c>
      <c r="F828" s="23" t="str">
        <f aca="false">IF(B828="","","yes_in_principle")</f>
        <v/>
      </c>
      <c r="G828" s="23" t="str">
        <f aca="false">IF(B828="","","")</f>
        <v/>
      </c>
      <c r="H828" s="23" t="str">
        <f aca="false">IF(B828="","","")</f>
        <v/>
      </c>
      <c r="I828" s="23" t="str">
        <f aca="false">IF(B828="","",IF(Brand_Log!O28="","",Brand_Log!O28&amp;""))</f>
        <v/>
      </c>
      <c r="J828" s="23" t="str">
        <f aca="false">IF(B828="","","")</f>
        <v/>
      </c>
      <c r="K828" s="32" t="s">
        <v>1356</v>
      </c>
    </row>
    <row r="829" customFormat="false" ht="15" hidden="false" customHeight="false" outlineLevel="0" collapsed="false">
      <c r="A829" s="23" t="str">
        <f aca="false">IF(B829="","",B829+(5*1000+28)/10000000)</f>
        <v/>
      </c>
      <c r="B829" s="35" t="str">
        <f aca="false">IF(AND(Brand_Log!AY29=1,Brand_Log!AN29="Y"),Brand_Log!H29,"")</f>
        <v/>
      </c>
      <c r="C829" s="23" t="str">
        <f aca="false">IF(B829="","","brand")</f>
        <v/>
      </c>
      <c r="D829" s="23" t="str">
        <f aca="false">IF(B829="","",Brand_Log!DV29&amp;"")</f>
        <v/>
      </c>
      <c r="E829" s="23" t="str">
        <f aca="false">IF(B829="","",IF(Brand_Log!B29="","",Brand_Log!B29&amp;""))</f>
        <v/>
      </c>
      <c r="F829" s="23" t="str">
        <f aca="false">IF(B829="","","yes_in_principle")</f>
        <v/>
      </c>
      <c r="G829" s="23" t="str">
        <f aca="false">IF(B829="","","")</f>
        <v/>
      </c>
      <c r="H829" s="23" t="str">
        <f aca="false">IF(B829="","","")</f>
        <v/>
      </c>
      <c r="I829" s="23" t="str">
        <f aca="false">IF(B829="","",IF(Brand_Log!O29="","",Brand_Log!O29&amp;""))</f>
        <v/>
      </c>
      <c r="J829" s="23" t="str">
        <f aca="false">IF(B829="","","")</f>
        <v/>
      </c>
      <c r="K829" s="32" t="s">
        <v>1356</v>
      </c>
    </row>
    <row r="830" customFormat="false" ht="15" hidden="false" customHeight="false" outlineLevel="0" collapsed="false">
      <c r="A830" s="23" t="str">
        <f aca="false">IF(B830="","",B830+(5*1000+29)/10000000)</f>
        <v/>
      </c>
      <c r="B830" s="35" t="str">
        <f aca="false">IF(AND(Brand_Log!AY30=1,Brand_Log!AN30="Y"),Brand_Log!H30,"")</f>
        <v/>
      </c>
      <c r="C830" s="23" t="str">
        <f aca="false">IF(B830="","","brand")</f>
        <v/>
      </c>
      <c r="D830" s="23" t="str">
        <f aca="false">IF(B830="","",Brand_Log!DV30&amp;"")</f>
        <v/>
      </c>
      <c r="E830" s="23" t="str">
        <f aca="false">IF(B830="","",IF(Brand_Log!B30="","",Brand_Log!B30&amp;""))</f>
        <v/>
      </c>
      <c r="F830" s="23" t="str">
        <f aca="false">IF(B830="","","yes_in_principle")</f>
        <v/>
      </c>
      <c r="G830" s="23" t="str">
        <f aca="false">IF(B830="","","")</f>
        <v/>
      </c>
      <c r="H830" s="23" t="str">
        <f aca="false">IF(B830="","","")</f>
        <v/>
      </c>
      <c r="I830" s="23" t="str">
        <f aca="false">IF(B830="","",IF(Brand_Log!O30="","",Brand_Log!O30&amp;""))</f>
        <v/>
      </c>
      <c r="J830" s="23" t="str">
        <f aca="false">IF(B830="","","")</f>
        <v/>
      </c>
      <c r="K830" s="32" t="s">
        <v>1356</v>
      </c>
    </row>
    <row r="831" customFormat="false" ht="15" hidden="false" customHeight="false" outlineLevel="0" collapsed="false">
      <c r="A831" s="23" t="str">
        <f aca="false">IF(B831="","",B831+(5*1000+30)/10000000)</f>
        <v/>
      </c>
      <c r="B831" s="35" t="str">
        <f aca="false">IF(AND(Brand_Log!AY31=1,Brand_Log!AN31="Y"),Brand_Log!H31,"")</f>
        <v/>
      </c>
      <c r="C831" s="23" t="str">
        <f aca="false">IF(B831="","","brand")</f>
        <v/>
      </c>
      <c r="D831" s="23" t="str">
        <f aca="false">IF(B831="","",Brand_Log!DV31&amp;"")</f>
        <v/>
      </c>
      <c r="E831" s="23" t="str">
        <f aca="false">IF(B831="","",IF(Brand_Log!B31="","",Brand_Log!B31&amp;""))</f>
        <v/>
      </c>
      <c r="F831" s="23" t="str">
        <f aca="false">IF(B831="","","yes_in_principle")</f>
        <v/>
      </c>
      <c r="G831" s="23" t="str">
        <f aca="false">IF(B831="","","")</f>
        <v/>
      </c>
      <c r="H831" s="23" t="str">
        <f aca="false">IF(B831="","","")</f>
        <v/>
      </c>
      <c r="I831" s="23" t="str">
        <f aca="false">IF(B831="","",IF(Brand_Log!O31="","",Brand_Log!O31&amp;""))</f>
        <v/>
      </c>
      <c r="J831" s="23" t="str">
        <f aca="false">IF(B831="","","")</f>
        <v/>
      </c>
      <c r="K831" s="32" t="s">
        <v>1356</v>
      </c>
    </row>
    <row r="832" customFormat="false" ht="15" hidden="false" customHeight="false" outlineLevel="0" collapsed="false">
      <c r="A832" s="23" t="str">
        <f aca="false">IF(B832="","",B832+(5*1000+31)/10000000)</f>
        <v/>
      </c>
      <c r="B832" s="35" t="str">
        <f aca="false">IF(AND(Brand_Log!AY32=1,Brand_Log!AN32="Y"),Brand_Log!H32,"")</f>
        <v/>
      </c>
      <c r="C832" s="23" t="str">
        <f aca="false">IF(B832="","","brand")</f>
        <v/>
      </c>
      <c r="D832" s="23" t="str">
        <f aca="false">IF(B832="","",Brand_Log!DV32&amp;"")</f>
        <v/>
      </c>
      <c r="E832" s="23" t="str">
        <f aca="false">IF(B832="","",IF(Brand_Log!B32="","",Brand_Log!B32&amp;""))</f>
        <v/>
      </c>
      <c r="F832" s="23" t="str">
        <f aca="false">IF(B832="","","yes_in_principle")</f>
        <v/>
      </c>
      <c r="G832" s="23" t="str">
        <f aca="false">IF(B832="","","")</f>
        <v/>
      </c>
      <c r="H832" s="23" t="str">
        <f aca="false">IF(B832="","","")</f>
        <v/>
      </c>
      <c r="I832" s="23" t="str">
        <f aca="false">IF(B832="","",IF(Brand_Log!O32="","",Brand_Log!O32&amp;""))</f>
        <v/>
      </c>
      <c r="J832" s="23" t="str">
        <f aca="false">IF(B832="","","")</f>
        <v/>
      </c>
      <c r="K832" s="32" t="s">
        <v>1356</v>
      </c>
    </row>
    <row r="833" customFormat="false" ht="15" hidden="false" customHeight="false" outlineLevel="0" collapsed="false">
      <c r="A833" s="23" t="str">
        <f aca="false">IF(B833="","",B833+(5*1000+32)/10000000)</f>
        <v/>
      </c>
      <c r="B833" s="35" t="str">
        <f aca="false">IF(AND(Brand_Log!AY33=1,Brand_Log!AN33="Y"),Brand_Log!H33,"")</f>
        <v/>
      </c>
      <c r="C833" s="23" t="str">
        <f aca="false">IF(B833="","","brand")</f>
        <v/>
      </c>
      <c r="D833" s="23" t="str">
        <f aca="false">IF(B833="","",Brand_Log!DV33&amp;"")</f>
        <v/>
      </c>
      <c r="E833" s="23" t="str">
        <f aca="false">IF(B833="","",IF(Brand_Log!B33="","",Brand_Log!B33&amp;""))</f>
        <v/>
      </c>
      <c r="F833" s="23" t="str">
        <f aca="false">IF(B833="","","yes_in_principle")</f>
        <v/>
      </c>
      <c r="G833" s="23" t="str">
        <f aca="false">IF(B833="","","")</f>
        <v/>
      </c>
      <c r="H833" s="23" t="str">
        <f aca="false">IF(B833="","","")</f>
        <v/>
      </c>
      <c r="I833" s="23" t="str">
        <f aca="false">IF(B833="","",IF(Brand_Log!O33="","",Brand_Log!O33&amp;""))</f>
        <v/>
      </c>
      <c r="J833" s="23" t="str">
        <f aca="false">IF(B833="","","")</f>
        <v/>
      </c>
      <c r="K833" s="32" t="s">
        <v>1356</v>
      </c>
    </row>
    <row r="834" customFormat="false" ht="15" hidden="false" customHeight="false" outlineLevel="0" collapsed="false">
      <c r="A834" s="23" t="str">
        <f aca="false">IF(B834="","",B834+(5*1000+33)/10000000)</f>
        <v/>
      </c>
      <c r="B834" s="35" t="str">
        <f aca="false">IF(AND(Brand_Log!AY34=1,Brand_Log!AN34="Y"),Brand_Log!H34,"")</f>
        <v/>
      </c>
      <c r="C834" s="23" t="str">
        <f aca="false">IF(B834="","","brand")</f>
        <v/>
      </c>
      <c r="D834" s="23" t="str">
        <f aca="false">IF(B834="","",Brand_Log!DV34&amp;"")</f>
        <v/>
      </c>
      <c r="E834" s="23" t="str">
        <f aca="false">IF(B834="","",IF(Brand_Log!B34="","",Brand_Log!B34&amp;""))</f>
        <v/>
      </c>
      <c r="F834" s="23" t="str">
        <f aca="false">IF(B834="","","yes_in_principle")</f>
        <v/>
      </c>
      <c r="G834" s="23" t="str">
        <f aca="false">IF(B834="","","")</f>
        <v/>
      </c>
      <c r="H834" s="23" t="str">
        <f aca="false">IF(B834="","","")</f>
        <v/>
      </c>
      <c r="I834" s="23" t="str">
        <f aca="false">IF(B834="","",IF(Brand_Log!O34="","",Brand_Log!O34&amp;""))</f>
        <v/>
      </c>
      <c r="J834" s="23" t="str">
        <f aca="false">IF(B834="","","")</f>
        <v/>
      </c>
      <c r="K834" s="32" t="s">
        <v>1356</v>
      </c>
    </row>
    <row r="835" customFormat="false" ht="15" hidden="false" customHeight="false" outlineLevel="0" collapsed="false">
      <c r="A835" s="23" t="str">
        <f aca="false">IF(B835="","",B835+(5*1000+34)/10000000)</f>
        <v/>
      </c>
      <c r="B835" s="35" t="str">
        <f aca="false">IF(AND(Brand_Log!AY35=1,Brand_Log!AN35="Y"),Brand_Log!H35,"")</f>
        <v/>
      </c>
      <c r="C835" s="23" t="str">
        <f aca="false">IF(B835="","","brand")</f>
        <v/>
      </c>
      <c r="D835" s="23" t="str">
        <f aca="false">IF(B835="","",Brand_Log!DV35&amp;"")</f>
        <v/>
      </c>
      <c r="E835" s="23" t="str">
        <f aca="false">IF(B835="","",IF(Brand_Log!B35="","",Brand_Log!B35&amp;""))</f>
        <v/>
      </c>
      <c r="F835" s="23" t="str">
        <f aca="false">IF(B835="","","yes_in_principle")</f>
        <v/>
      </c>
      <c r="G835" s="23" t="str">
        <f aca="false">IF(B835="","","")</f>
        <v/>
      </c>
      <c r="H835" s="23" t="str">
        <f aca="false">IF(B835="","","")</f>
        <v/>
      </c>
      <c r="I835" s="23" t="str">
        <f aca="false">IF(B835="","",IF(Brand_Log!O35="","",Brand_Log!O35&amp;""))</f>
        <v/>
      </c>
      <c r="J835" s="23" t="str">
        <f aca="false">IF(B835="","","")</f>
        <v/>
      </c>
      <c r="K835" s="32" t="s">
        <v>1356</v>
      </c>
    </row>
    <row r="836" customFormat="false" ht="15" hidden="false" customHeight="false" outlineLevel="0" collapsed="false">
      <c r="A836" s="23" t="str">
        <f aca="false">IF(B836="","",B836+(5*1000+35)/10000000)</f>
        <v/>
      </c>
      <c r="B836" s="35" t="str">
        <f aca="false">IF(AND(Brand_Log!AY36=1,Brand_Log!AN36="Y"),Brand_Log!H36,"")</f>
        <v/>
      </c>
      <c r="C836" s="23" t="str">
        <f aca="false">IF(B836="","","brand")</f>
        <v/>
      </c>
      <c r="D836" s="23" t="str">
        <f aca="false">IF(B836="","",Brand_Log!DV36&amp;"")</f>
        <v/>
      </c>
      <c r="E836" s="23" t="str">
        <f aca="false">IF(B836="","",IF(Brand_Log!B36="","",Brand_Log!B36&amp;""))</f>
        <v/>
      </c>
      <c r="F836" s="23" t="str">
        <f aca="false">IF(B836="","","yes_in_principle")</f>
        <v/>
      </c>
      <c r="G836" s="23" t="str">
        <f aca="false">IF(B836="","","")</f>
        <v/>
      </c>
      <c r="H836" s="23" t="str">
        <f aca="false">IF(B836="","","")</f>
        <v/>
      </c>
      <c r="I836" s="23" t="str">
        <f aca="false">IF(B836="","",IF(Brand_Log!O36="","",Brand_Log!O36&amp;""))</f>
        <v/>
      </c>
      <c r="J836" s="23" t="str">
        <f aca="false">IF(B836="","","")</f>
        <v/>
      </c>
      <c r="K836" s="32" t="s">
        <v>1356</v>
      </c>
    </row>
    <row r="837" customFormat="false" ht="15" hidden="false" customHeight="false" outlineLevel="0" collapsed="false">
      <c r="A837" s="23" t="str">
        <f aca="false">IF(B837="","",B837+(5*1000+36)/10000000)</f>
        <v/>
      </c>
      <c r="B837" s="35" t="str">
        <f aca="false">IF(AND(Brand_Log!AY37=1,Brand_Log!AN37="Y"),Brand_Log!H37,"")</f>
        <v/>
      </c>
      <c r="C837" s="23" t="str">
        <f aca="false">IF(B837="","","brand")</f>
        <v/>
      </c>
      <c r="D837" s="23" t="str">
        <f aca="false">IF(B837="","",Brand_Log!DV37&amp;"")</f>
        <v/>
      </c>
      <c r="E837" s="23" t="str">
        <f aca="false">IF(B837="","",IF(Brand_Log!B37="","",Brand_Log!B37&amp;""))</f>
        <v/>
      </c>
      <c r="F837" s="23" t="str">
        <f aca="false">IF(B837="","","yes_in_principle")</f>
        <v/>
      </c>
      <c r="G837" s="23" t="str">
        <f aca="false">IF(B837="","","")</f>
        <v/>
      </c>
      <c r="H837" s="23" t="str">
        <f aca="false">IF(B837="","","")</f>
        <v/>
      </c>
      <c r="I837" s="23" t="str">
        <f aca="false">IF(B837="","",IF(Brand_Log!O37="","",Brand_Log!O37&amp;""))</f>
        <v/>
      </c>
      <c r="J837" s="23" t="str">
        <f aca="false">IF(B837="","","")</f>
        <v/>
      </c>
      <c r="K837" s="32" t="s">
        <v>1356</v>
      </c>
    </row>
    <row r="838" customFormat="false" ht="15" hidden="false" customHeight="false" outlineLevel="0" collapsed="false">
      <c r="A838" s="23" t="str">
        <f aca="false">IF(B838="","",B838+(5*1000+37)/10000000)</f>
        <v/>
      </c>
      <c r="B838" s="35" t="str">
        <f aca="false">IF(AND(Brand_Log!AY38=1,Brand_Log!AN38="Y"),Brand_Log!H38,"")</f>
        <v/>
      </c>
      <c r="C838" s="23" t="str">
        <f aca="false">IF(B838="","","brand")</f>
        <v/>
      </c>
      <c r="D838" s="23" t="str">
        <f aca="false">IF(B838="","",Brand_Log!DV38&amp;"")</f>
        <v/>
      </c>
      <c r="E838" s="23" t="str">
        <f aca="false">IF(B838="","",IF(Brand_Log!B38="","",Brand_Log!B38&amp;""))</f>
        <v/>
      </c>
      <c r="F838" s="23" t="str">
        <f aca="false">IF(B838="","","yes_in_principle")</f>
        <v/>
      </c>
      <c r="G838" s="23" t="str">
        <f aca="false">IF(B838="","","")</f>
        <v/>
      </c>
      <c r="H838" s="23" t="str">
        <f aca="false">IF(B838="","","")</f>
        <v/>
      </c>
      <c r="I838" s="23" t="str">
        <f aca="false">IF(B838="","",IF(Brand_Log!O38="","",Brand_Log!O38&amp;""))</f>
        <v/>
      </c>
      <c r="J838" s="23" t="str">
        <f aca="false">IF(B838="","","")</f>
        <v/>
      </c>
      <c r="K838" s="32" t="s">
        <v>1356</v>
      </c>
    </row>
    <row r="839" customFormat="false" ht="15" hidden="false" customHeight="false" outlineLevel="0" collapsed="false">
      <c r="A839" s="23" t="str">
        <f aca="false">IF(B839="","",B839+(5*1000+38)/10000000)</f>
        <v/>
      </c>
      <c r="B839" s="35" t="str">
        <f aca="false">IF(AND(Brand_Log!AY39=1,Brand_Log!AN39="Y"),Brand_Log!H39,"")</f>
        <v/>
      </c>
      <c r="C839" s="23" t="str">
        <f aca="false">IF(B839="","","brand")</f>
        <v/>
      </c>
      <c r="D839" s="23" t="str">
        <f aca="false">IF(B839="","",Brand_Log!DV39&amp;"")</f>
        <v/>
      </c>
      <c r="E839" s="23" t="str">
        <f aca="false">IF(B839="","",IF(Brand_Log!B39="","",Brand_Log!B39&amp;""))</f>
        <v/>
      </c>
      <c r="F839" s="23" t="str">
        <f aca="false">IF(B839="","","yes_in_principle")</f>
        <v/>
      </c>
      <c r="G839" s="23" t="str">
        <f aca="false">IF(B839="","","")</f>
        <v/>
      </c>
      <c r="H839" s="23" t="str">
        <f aca="false">IF(B839="","","")</f>
        <v/>
      </c>
      <c r="I839" s="23" t="str">
        <f aca="false">IF(B839="","",IF(Brand_Log!O39="","",Brand_Log!O39&amp;""))</f>
        <v/>
      </c>
      <c r="J839" s="23" t="str">
        <f aca="false">IF(B839="","","")</f>
        <v/>
      </c>
      <c r="K839" s="32" t="s">
        <v>1356</v>
      </c>
    </row>
    <row r="840" customFormat="false" ht="15" hidden="false" customHeight="false" outlineLevel="0" collapsed="false">
      <c r="A840" s="23" t="str">
        <f aca="false">IF(B840="","",B840+(5*1000+39)/10000000)</f>
        <v/>
      </c>
      <c r="B840" s="35" t="str">
        <f aca="false">IF(AND(Brand_Log!AY40=1,Brand_Log!AN40="Y"),Brand_Log!H40,"")</f>
        <v/>
      </c>
      <c r="C840" s="23" t="str">
        <f aca="false">IF(B840="","","brand")</f>
        <v/>
      </c>
      <c r="D840" s="23" t="str">
        <f aca="false">IF(B840="","",Brand_Log!DV40&amp;"")</f>
        <v/>
      </c>
      <c r="E840" s="23" t="str">
        <f aca="false">IF(B840="","",IF(Brand_Log!B40="","",Brand_Log!B40&amp;""))</f>
        <v/>
      </c>
      <c r="F840" s="23" t="str">
        <f aca="false">IF(B840="","","yes_in_principle")</f>
        <v/>
      </c>
      <c r="G840" s="23" t="str">
        <f aca="false">IF(B840="","","")</f>
        <v/>
      </c>
      <c r="H840" s="23" t="str">
        <f aca="false">IF(B840="","","")</f>
        <v/>
      </c>
      <c r="I840" s="23" t="str">
        <f aca="false">IF(B840="","",IF(Brand_Log!O40="","",Brand_Log!O40&amp;""))</f>
        <v/>
      </c>
      <c r="J840" s="23" t="str">
        <f aca="false">IF(B840="","","")</f>
        <v/>
      </c>
      <c r="K840" s="32" t="s">
        <v>1356</v>
      </c>
    </row>
    <row r="841" customFormat="false" ht="15" hidden="false" customHeight="false" outlineLevel="0" collapsed="false">
      <c r="A841" s="23" t="str">
        <f aca="false">IF(B841="","",B841+(5*1000+40)/10000000)</f>
        <v/>
      </c>
      <c r="B841" s="35" t="str">
        <f aca="false">IF(AND(Brand_Log!AY41=1,Brand_Log!AN41="Y"),Brand_Log!H41,"")</f>
        <v/>
      </c>
      <c r="C841" s="23" t="str">
        <f aca="false">IF(B841="","","brand")</f>
        <v/>
      </c>
      <c r="D841" s="23" t="str">
        <f aca="false">IF(B841="","",Brand_Log!DV41&amp;"")</f>
        <v/>
      </c>
      <c r="E841" s="23" t="str">
        <f aca="false">IF(B841="","",IF(Brand_Log!B41="","",Brand_Log!B41&amp;""))</f>
        <v/>
      </c>
      <c r="F841" s="23" t="str">
        <f aca="false">IF(B841="","","yes_in_principle")</f>
        <v/>
      </c>
      <c r="G841" s="23" t="str">
        <f aca="false">IF(B841="","","")</f>
        <v/>
      </c>
      <c r="H841" s="23" t="str">
        <f aca="false">IF(B841="","","")</f>
        <v/>
      </c>
      <c r="I841" s="23" t="str">
        <f aca="false">IF(B841="","",IF(Brand_Log!O41="","",Brand_Log!O41&amp;""))</f>
        <v/>
      </c>
      <c r="J841" s="23" t="str">
        <f aca="false">IF(B841="","","")</f>
        <v/>
      </c>
      <c r="K841" s="32" t="s">
        <v>1356</v>
      </c>
    </row>
    <row r="842" customFormat="false" ht="15" hidden="false" customHeight="false" outlineLevel="0" collapsed="false">
      <c r="A842" s="23" t="str">
        <f aca="false">IF(B842="","",B842+(5*1000+41)/10000000)</f>
        <v/>
      </c>
      <c r="B842" s="35" t="str">
        <f aca="false">IF(AND(Brand_Log!AY42=1,Brand_Log!AN42="Y"),Brand_Log!H42,"")</f>
        <v/>
      </c>
      <c r="C842" s="23" t="str">
        <f aca="false">IF(B842="","","brand")</f>
        <v/>
      </c>
      <c r="D842" s="23" t="str">
        <f aca="false">IF(B842="","",Brand_Log!DV42&amp;"")</f>
        <v/>
      </c>
      <c r="E842" s="23" t="str">
        <f aca="false">IF(B842="","",IF(Brand_Log!B42="","",Brand_Log!B42&amp;""))</f>
        <v/>
      </c>
      <c r="F842" s="23" t="str">
        <f aca="false">IF(B842="","","yes_in_principle")</f>
        <v/>
      </c>
      <c r="G842" s="23" t="str">
        <f aca="false">IF(B842="","","")</f>
        <v/>
      </c>
      <c r="H842" s="23" t="str">
        <f aca="false">IF(B842="","","")</f>
        <v/>
      </c>
      <c r="I842" s="23" t="str">
        <f aca="false">IF(B842="","",IF(Brand_Log!O42="","",Brand_Log!O42&amp;""))</f>
        <v/>
      </c>
      <c r="J842" s="23" t="str">
        <f aca="false">IF(B842="","","")</f>
        <v/>
      </c>
      <c r="K842" s="32" t="s">
        <v>1356</v>
      </c>
    </row>
    <row r="843" customFormat="false" ht="15" hidden="false" customHeight="false" outlineLevel="0" collapsed="false">
      <c r="A843" s="23" t="str">
        <f aca="false">IF(B843="","",B843+(5*1000+42)/10000000)</f>
        <v/>
      </c>
      <c r="B843" s="35" t="str">
        <f aca="false">IF(AND(Brand_Log!AY43=1,Brand_Log!AN43="Y"),Brand_Log!H43,"")</f>
        <v/>
      </c>
      <c r="C843" s="23" t="str">
        <f aca="false">IF(B843="","","brand")</f>
        <v/>
      </c>
      <c r="D843" s="23" t="str">
        <f aca="false">IF(B843="","",Brand_Log!DV43&amp;"")</f>
        <v/>
      </c>
      <c r="E843" s="23" t="str">
        <f aca="false">IF(B843="","",IF(Brand_Log!B43="","",Brand_Log!B43&amp;""))</f>
        <v/>
      </c>
      <c r="F843" s="23" t="str">
        <f aca="false">IF(B843="","","yes_in_principle")</f>
        <v/>
      </c>
      <c r="G843" s="23" t="str">
        <f aca="false">IF(B843="","","")</f>
        <v/>
      </c>
      <c r="H843" s="23" t="str">
        <f aca="false">IF(B843="","","")</f>
        <v/>
      </c>
      <c r="I843" s="23" t="str">
        <f aca="false">IF(B843="","",IF(Brand_Log!O43="","",Brand_Log!O43&amp;""))</f>
        <v/>
      </c>
      <c r="J843" s="23" t="str">
        <f aca="false">IF(B843="","","")</f>
        <v/>
      </c>
      <c r="K843" s="32" t="s">
        <v>1356</v>
      </c>
    </row>
    <row r="844" customFormat="false" ht="15" hidden="false" customHeight="false" outlineLevel="0" collapsed="false">
      <c r="A844" s="23" t="str">
        <f aca="false">IF(B844="","",B844+(5*1000+43)/10000000)</f>
        <v/>
      </c>
      <c r="B844" s="35" t="str">
        <f aca="false">IF(AND(Brand_Log!AY44=1,Brand_Log!AN44="Y"),Brand_Log!H44,"")</f>
        <v/>
      </c>
      <c r="C844" s="23" t="str">
        <f aca="false">IF(B844="","","brand")</f>
        <v/>
      </c>
      <c r="D844" s="23" t="str">
        <f aca="false">IF(B844="","",Brand_Log!DV44&amp;"")</f>
        <v/>
      </c>
      <c r="E844" s="23" t="str">
        <f aca="false">IF(B844="","",IF(Brand_Log!B44="","",Brand_Log!B44&amp;""))</f>
        <v/>
      </c>
      <c r="F844" s="23" t="str">
        <f aca="false">IF(B844="","","yes_in_principle")</f>
        <v/>
      </c>
      <c r="G844" s="23" t="str">
        <f aca="false">IF(B844="","","")</f>
        <v/>
      </c>
      <c r="H844" s="23" t="str">
        <f aca="false">IF(B844="","","")</f>
        <v/>
      </c>
      <c r="I844" s="23" t="str">
        <f aca="false">IF(B844="","",IF(Brand_Log!O44="","",Brand_Log!O44&amp;""))</f>
        <v/>
      </c>
      <c r="J844" s="23" t="str">
        <f aca="false">IF(B844="","","")</f>
        <v/>
      </c>
      <c r="K844" s="32" t="s">
        <v>1356</v>
      </c>
    </row>
    <row r="845" customFormat="false" ht="15" hidden="false" customHeight="false" outlineLevel="0" collapsed="false">
      <c r="A845" s="23" t="str">
        <f aca="false">IF(B845="","",B845+(5*1000+44)/10000000)</f>
        <v/>
      </c>
      <c r="B845" s="35" t="str">
        <f aca="false">IF(AND(Brand_Log!AY45=1,Brand_Log!AN45="Y"),Brand_Log!H45,"")</f>
        <v/>
      </c>
      <c r="C845" s="23" t="str">
        <f aca="false">IF(B845="","","brand")</f>
        <v/>
      </c>
      <c r="D845" s="23" t="str">
        <f aca="false">IF(B845="","",Brand_Log!DV45&amp;"")</f>
        <v/>
      </c>
      <c r="E845" s="23" t="str">
        <f aca="false">IF(B845="","",IF(Brand_Log!B45="","",Brand_Log!B45&amp;""))</f>
        <v/>
      </c>
      <c r="F845" s="23" t="str">
        <f aca="false">IF(B845="","","yes_in_principle")</f>
        <v/>
      </c>
      <c r="G845" s="23" t="str">
        <f aca="false">IF(B845="","","")</f>
        <v/>
      </c>
      <c r="H845" s="23" t="str">
        <f aca="false">IF(B845="","","")</f>
        <v/>
      </c>
      <c r="I845" s="23" t="str">
        <f aca="false">IF(B845="","",IF(Brand_Log!O45="","",Brand_Log!O45&amp;""))</f>
        <v/>
      </c>
      <c r="J845" s="23" t="str">
        <f aca="false">IF(B845="","","")</f>
        <v/>
      </c>
      <c r="K845" s="32" t="s">
        <v>1356</v>
      </c>
    </row>
    <row r="846" customFormat="false" ht="15" hidden="false" customHeight="false" outlineLevel="0" collapsed="false">
      <c r="A846" s="23" t="str">
        <f aca="false">IF(B846="","",B846+(5*1000+45)/10000000)</f>
        <v/>
      </c>
      <c r="B846" s="35" t="str">
        <f aca="false">IF(AND(Brand_Log!AY46=1,Brand_Log!AN46="Y"),Brand_Log!H46,"")</f>
        <v/>
      </c>
      <c r="C846" s="23" t="str">
        <f aca="false">IF(B846="","","brand")</f>
        <v/>
      </c>
      <c r="D846" s="23" t="str">
        <f aca="false">IF(B846="","",Brand_Log!DV46&amp;"")</f>
        <v/>
      </c>
      <c r="E846" s="23" t="str">
        <f aca="false">IF(B846="","",IF(Brand_Log!B46="","",Brand_Log!B46&amp;""))</f>
        <v/>
      </c>
      <c r="F846" s="23" t="str">
        <f aca="false">IF(B846="","","yes_in_principle")</f>
        <v/>
      </c>
      <c r="G846" s="23" t="str">
        <f aca="false">IF(B846="","","")</f>
        <v/>
      </c>
      <c r="H846" s="23" t="str">
        <f aca="false">IF(B846="","","")</f>
        <v/>
      </c>
      <c r="I846" s="23" t="str">
        <f aca="false">IF(B846="","",IF(Brand_Log!O46="","",Brand_Log!O46&amp;""))</f>
        <v/>
      </c>
      <c r="J846" s="23" t="str">
        <f aca="false">IF(B846="","","")</f>
        <v/>
      </c>
      <c r="K846" s="32" t="s">
        <v>1356</v>
      </c>
    </row>
    <row r="847" customFormat="false" ht="15" hidden="false" customHeight="false" outlineLevel="0" collapsed="false">
      <c r="A847" s="23" t="str">
        <f aca="false">IF(B847="","",B847+(5*1000+46)/10000000)</f>
        <v/>
      </c>
      <c r="B847" s="35" t="str">
        <f aca="false">IF(AND(Brand_Log!AY47=1,Brand_Log!AN47="Y"),Brand_Log!H47,"")</f>
        <v/>
      </c>
      <c r="C847" s="23" t="str">
        <f aca="false">IF(B847="","","brand")</f>
        <v/>
      </c>
      <c r="D847" s="23" t="str">
        <f aca="false">IF(B847="","",Brand_Log!DV47&amp;"")</f>
        <v/>
      </c>
      <c r="E847" s="23" t="str">
        <f aca="false">IF(B847="","",IF(Brand_Log!B47="","",Brand_Log!B47&amp;""))</f>
        <v/>
      </c>
      <c r="F847" s="23" t="str">
        <f aca="false">IF(B847="","","yes_in_principle")</f>
        <v/>
      </c>
      <c r="G847" s="23" t="str">
        <f aca="false">IF(B847="","","")</f>
        <v/>
      </c>
      <c r="H847" s="23" t="str">
        <f aca="false">IF(B847="","","")</f>
        <v/>
      </c>
      <c r="I847" s="23" t="str">
        <f aca="false">IF(B847="","",IF(Brand_Log!O47="","",Brand_Log!O47&amp;""))</f>
        <v/>
      </c>
      <c r="J847" s="23" t="str">
        <f aca="false">IF(B847="","","")</f>
        <v/>
      </c>
      <c r="K847" s="32" t="s">
        <v>1356</v>
      </c>
    </row>
    <row r="848" customFormat="false" ht="15" hidden="false" customHeight="false" outlineLevel="0" collapsed="false">
      <c r="A848" s="23" t="str">
        <f aca="false">IF(B848="","",B848+(5*1000+47)/10000000)</f>
        <v/>
      </c>
      <c r="B848" s="35" t="str">
        <f aca="false">IF(AND(Brand_Log!AY48=1,Brand_Log!AN48="Y"),Brand_Log!H48,"")</f>
        <v/>
      </c>
      <c r="C848" s="23" t="str">
        <f aca="false">IF(B848="","","brand")</f>
        <v/>
      </c>
      <c r="D848" s="23" t="str">
        <f aca="false">IF(B848="","",Brand_Log!DV48&amp;"")</f>
        <v/>
      </c>
      <c r="E848" s="23" t="str">
        <f aca="false">IF(B848="","",IF(Brand_Log!B48="","",Brand_Log!B48&amp;""))</f>
        <v/>
      </c>
      <c r="F848" s="23" t="str">
        <f aca="false">IF(B848="","","yes_in_principle")</f>
        <v/>
      </c>
      <c r="G848" s="23" t="str">
        <f aca="false">IF(B848="","","")</f>
        <v/>
      </c>
      <c r="H848" s="23" t="str">
        <f aca="false">IF(B848="","","")</f>
        <v/>
      </c>
      <c r="I848" s="23" t="str">
        <f aca="false">IF(B848="","",IF(Brand_Log!O48="","",Brand_Log!O48&amp;""))</f>
        <v/>
      </c>
      <c r="J848" s="23" t="str">
        <f aca="false">IF(B848="","","")</f>
        <v/>
      </c>
      <c r="K848" s="32" t="s">
        <v>1356</v>
      </c>
    </row>
    <row r="849" customFormat="false" ht="15" hidden="false" customHeight="false" outlineLevel="0" collapsed="false">
      <c r="A849" s="23" t="str">
        <f aca="false">IF(B849="","",B849+(5*1000+48)/10000000)</f>
        <v/>
      </c>
      <c r="B849" s="35" t="str">
        <f aca="false">IF(AND(Brand_Log!AY49=1,Brand_Log!AN49="Y"),Brand_Log!H49,"")</f>
        <v/>
      </c>
      <c r="C849" s="23" t="str">
        <f aca="false">IF(B849="","","brand")</f>
        <v/>
      </c>
      <c r="D849" s="23" t="str">
        <f aca="false">IF(B849="","",Brand_Log!DV49&amp;"")</f>
        <v/>
      </c>
      <c r="E849" s="23" t="str">
        <f aca="false">IF(B849="","",IF(Brand_Log!B49="","",Brand_Log!B49&amp;""))</f>
        <v/>
      </c>
      <c r="F849" s="23" t="str">
        <f aca="false">IF(B849="","","yes_in_principle")</f>
        <v/>
      </c>
      <c r="G849" s="23" t="str">
        <f aca="false">IF(B849="","","")</f>
        <v/>
      </c>
      <c r="H849" s="23" t="str">
        <f aca="false">IF(B849="","","")</f>
        <v/>
      </c>
      <c r="I849" s="23" t="str">
        <f aca="false">IF(B849="","",IF(Brand_Log!O49="","",Brand_Log!O49&amp;""))</f>
        <v/>
      </c>
      <c r="J849" s="23" t="str">
        <f aca="false">IF(B849="","","")</f>
        <v/>
      </c>
      <c r="K849" s="32" t="s">
        <v>1356</v>
      </c>
    </row>
    <row r="850" customFormat="false" ht="15" hidden="false" customHeight="false" outlineLevel="0" collapsed="false">
      <c r="A850" s="23" t="str">
        <f aca="false">IF(B850="","",B850+(5*1000+49)/10000000)</f>
        <v/>
      </c>
      <c r="B850" s="35" t="str">
        <f aca="false">IF(AND(Brand_Log!AY50=1,Brand_Log!AN50="Y"),Brand_Log!H50,"")</f>
        <v/>
      </c>
      <c r="C850" s="23" t="str">
        <f aca="false">IF(B850="","","brand")</f>
        <v/>
      </c>
      <c r="D850" s="23" t="str">
        <f aca="false">IF(B850="","",Brand_Log!DV50&amp;"")</f>
        <v/>
      </c>
      <c r="E850" s="23" t="str">
        <f aca="false">IF(B850="","",IF(Brand_Log!B50="","",Brand_Log!B50&amp;""))</f>
        <v/>
      </c>
      <c r="F850" s="23" t="str">
        <f aca="false">IF(B850="","","yes_in_principle")</f>
        <v/>
      </c>
      <c r="G850" s="23" t="str">
        <f aca="false">IF(B850="","","")</f>
        <v/>
      </c>
      <c r="H850" s="23" t="str">
        <f aca="false">IF(B850="","","")</f>
        <v/>
      </c>
      <c r="I850" s="23" t="str">
        <f aca="false">IF(B850="","",IF(Brand_Log!O50="","",Brand_Log!O50&amp;""))</f>
        <v/>
      </c>
      <c r="J850" s="23" t="str">
        <f aca="false">IF(B850="","","")</f>
        <v/>
      </c>
      <c r="K850" s="32" t="s">
        <v>1356</v>
      </c>
    </row>
    <row r="851" customFormat="false" ht="15" hidden="false" customHeight="false" outlineLevel="0" collapsed="false">
      <c r="A851" s="23" t="str">
        <f aca="false">IF(B851="","",B851+(5*1000+50)/10000000)</f>
        <v/>
      </c>
      <c r="B851" s="35" t="str">
        <f aca="false">IF(AND(Brand_Log!AY51=1,Brand_Log!AN51="Y"),Brand_Log!H51,"")</f>
        <v/>
      </c>
      <c r="C851" s="23" t="str">
        <f aca="false">IF(B851="","","brand")</f>
        <v/>
      </c>
      <c r="D851" s="23" t="str">
        <f aca="false">IF(B851="","",Brand_Log!DV51&amp;"")</f>
        <v/>
      </c>
      <c r="E851" s="23" t="str">
        <f aca="false">IF(B851="","",IF(Brand_Log!B51="","",Brand_Log!B51&amp;""))</f>
        <v/>
      </c>
      <c r="F851" s="23" t="str">
        <f aca="false">IF(B851="","","yes_in_principle")</f>
        <v/>
      </c>
      <c r="G851" s="23" t="str">
        <f aca="false">IF(B851="","","")</f>
        <v/>
      </c>
      <c r="H851" s="23" t="str">
        <f aca="false">IF(B851="","","")</f>
        <v/>
      </c>
      <c r="I851" s="23" t="str">
        <f aca="false">IF(B851="","",IF(Brand_Log!O51="","",Brand_Log!O51&amp;""))</f>
        <v/>
      </c>
      <c r="J851" s="23" t="str">
        <f aca="false">IF(B851="","","")</f>
        <v/>
      </c>
      <c r="K851" s="32" t="s">
        <v>1356</v>
      </c>
    </row>
    <row r="852" customFormat="false" ht="15" hidden="false" customHeight="false" outlineLevel="0" collapsed="false">
      <c r="A852" s="23" t="str">
        <f aca="false">IF(B852="","",B852+(5*1000+51)/10000000)</f>
        <v/>
      </c>
      <c r="B852" s="35" t="str">
        <f aca="false">IF(AND(Brand_Log!AY52=1,Brand_Log!AN52="Y"),Brand_Log!H52,"")</f>
        <v/>
      </c>
      <c r="C852" s="23" t="str">
        <f aca="false">IF(B852="","","brand")</f>
        <v/>
      </c>
      <c r="D852" s="23" t="str">
        <f aca="false">IF(B852="","",Brand_Log!DV52&amp;"")</f>
        <v/>
      </c>
      <c r="E852" s="23" t="str">
        <f aca="false">IF(B852="","",IF(Brand_Log!B52="","",Brand_Log!B52&amp;""))</f>
        <v/>
      </c>
      <c r="F852" s="23" t="str">
        <f aca="false">IF(B852="","","yes_in_principle")</f>
        <v/>
      </c>
      <c r="G852" s="23" t="str">
        <f aca="false">IF(B852="","","")</f>
        <v/>
      </c>
      <c r="H852" s="23" t="str">
        <f aca="false">IF(B852="","","")</f>
        <v/>
      </c>
      <c r="I852" s="23" t="str">
        <f aca="false">IF(B852="","",IF(Brand_Log!O52="","",Brand_Log!O52&amp;""))</f>
        <v/>
      </c>
      <c r="J852" s="23" t="str">
        <f aca="false">IF(B852="","","")</f>
        <v/>
      </c>
      <c r="K852" s="32" t="s">
        <v>1356</v>
      </c>
    </row>
    <row r="853" customFormat="false" ht="15" hidden="false" customHeight="false" outlineLevel="0" collapsed="false">
      <c r="A853" s="23" t="str">
        <f aca="false">IF(B853="","",B853+(5*1000+52)/10000000)</f>
        <v/>
      </c>
      <c r="B853" s="35" t="str">
        <f aca="false">IF(AND(Brand_Log!AY53=1,Brand_Log!AN53="Y"),Brand_Log!H53,"")</f>
        <v/>
      </c>
      <c r="C853" s="23" t="str">
        <f aca="false">IF(B853="","","brand")</f>
        <v/>
      </c>
      <c r="D853" s="23" t="str">
        <f aca="false">IF(B853="","",Brand_Log!DV53&amp;"")</f>
        <v/>
      </c>
      <c r="E853" s="23" t="str">
        <f aca="false">IF(B853="","",IF(Brand_Log!B53="","",Brand_Log!B53&amp;""))</f>
        <v/>
      </c>
      <c r="F853" s="23" t="str">
        <f aca="false">IF(B853="","","yes_in_principle")</f>
        <v/>
      </c>
      <c r="G853" s="23" t="str">
        <f aca="false">IF(B853="","","")</f>
        <v/>
      </c>
      <c r="H853" s="23" t="str">
        <f aca="false">IF(B853="","","")</f>
        <v/>
      </c>
      <c r="I853" s="23" t="str">
        <f aca="false">IF(B853="","",IF(Brand_Log!O53="","",Brand_Log!O53&amp;""))</f>
        <v/>
      </c>
      <c r="J853" s="23" t="str">
        <f aca="false">IF(B853="","","")</f>
        <v/>
      </c>
      <c r="K853" s="32" t="s">
        <v>1356</v>
      </c>
    </row>
    <row r="854" customFormat="false" ht="15" hidden="false" customHeight="false" outlineLevel="0" collapsed="false">
      <c r="A854" s="23" t="str">
        <f aca="false">IF(B854="","",B854+(5*1000+53)/10000000)</f>
        <v/>
      </c>
      <c r="B854" s="35" t="str">
        <f aca="false">IF(AND(Brand_Log!AY54=1,Brand_Log!AN54="Y"),Brand_Log!H54,"")</f>
        <v/>
      </c>
      <c r="C854" s="23" t="str">
        <f aca="false">IF(B854="","","brand")</f>
        <v/>
      </c>
      <c r="D854" s="23" t="str">
        <f aca="false">IF(B854="","",Brand_Log!DV54&amp;"")</f>
        <v/>
      </c>
      <c r="E854" s="23" t="str">
        <f aca="false">IF(B854="","",IF(Brand_Log!B54="","",Brand_Log!B54&amp;""))</f>
        <v/>
      </c>
      <c r="F854" s="23" t="str">
        <f aca="false">IF(B854="","","yes_in_principle")</f>
        <v/>
      </c>
      <c r="G854" s="23" t="str">
        <f aca="false">IF(B854="","","")</f>
        <v/>
      </c>
      <c r="H854" s="23" t="str">
        <f aca="false">IF(B854="","","")</f>
        <v/>
      </c>
      <c r="I854" s="23" t="str">
        <f aca="false">IF(B854="","",IF(Brand_Log!O54="","",Brand_Log!O54&amp;""))</f>
        <v/>
      </c>
      <c r="J854" s="23" t="str">
        <f aca="false">IF(B854="","","")</f>
        <v/>
      </c>
      <c r="K854" s="32" t="s">
        <v>1356</v>
      </c>
    </row>
    <row r="855" customFormat="false" ht="15" hidden="false" customHeight="false" outlineLevel="0" collapsed="false">
      <c r="A855" s="23" t="str">
        <f aca="false">IF(B855="","",B855+(5*1000+54)/10000000)</f>
        <v/>
      </c>
      <c r="B855" s="35" t="str">
        <f aca="false">IF(AND(Brand_Log!AY55=1,Brand_Log!AN55="Y"),Brand_Log!H55,"")</f>
        <v/>
      </c>
      <c r="C855" s="23" t="str">
        <f aca="false">IF(B855="","","brand")</f>
        <v/>
      </c>
      <c r="D855" s="23" t="str">
        <f aca="false">IF(B855="","",Brand_Log!DV55&amp;"")</f>
        <v/>
      </c>
      <c r="E855" s="23" t="str">
        <f aca="false">IF(B855="","",IF(Brand_Log!B55="","",Brand_Log!B55&amp;""))</f>
        <v/>
      </c>
      <c r="F855" s="23" t="str">
        <f aca="false">IF(B855="","","yes_in_principle")</f>
        <v/>
      </c>
      <c r="G855" s="23" t="str">
        <f aca="false">IF(B855="","","")</f>
        <v/>
      </c>
      <c r="H855" s="23" t="str">
        <f aca="false">IF(B855="","","")</f>
        <v/>
      </c>
      <c r="I855" s="23" t="str">
        <f aca="false">IF(B855="","",IF(Brand_Log!O55="","",Brand_Log!O55&amp;""))</f>
        <v/>
      </c>
      <c r="J855" s="23" t="str">
        <f aca="false">IF(B855="","","")</f>
        <v/>
      </c>
      <c r="K855" s="32" t="s">
        <v>1356</v>
      </c>
    </row>
    <row r="856" customFormat="false" ht="15" hidden="false" customHeight="false" outlineLevel="0" collapsed="false">
      <c r="A856" s="23" t="str">
        <f aca="false">IF(B856="","",B856+(5*1000+55)/10000000)</f>
        <v/>
      </c>
      <c r="B856" s="35" t="str">
        <f aca="false">IF(AND(Brand_Log!AY56=1,Brand_Log!AN56="Y"),Brand_Log!H56,"")</f>
        <v/>
      </c>
      <c r="C856" s="23" t="str">
        <f aca="false">IF(B856="","","brand")</f>
        <v/>
      </c>
      <c r="D856" s="23" t="str">
        <f aca="false">IF(B856="","",Brand_Log!DV56&amp;"")</f>
        <v/>
      </c>
      <c r="E856" s="23" t="str">
        <f aca="false">IF(B856="","",IF(Brand_Log!B56="","",Brand_Log!B56&amp;""))</f>
        <v/>
      </c>
      <c r="F856" s="23" t="str">
        <f aca="false">IF(B856="","","yes_in_principle")</f>
        <v/>
      </c>
      <c r="G856" s="23" t="str">
        <f aca="false">IF(B856="","","")</f>
        <v/>
      </c>
      <c r="H856" s="23" t="str">
        <f aca="false">IF(B856="","","")</f>
        <v/>
      </c>
      <c r="I856" s="23" t="str">
        <f aca="false">IF(B856="","",IF(Brand_Log!O56="","",Brand_Log!O56&amp;""))</f>
        <v/>
      </c>
      <c r="J856" s="23" t="str">
        <f aca="false">IF(B856="","","")</f>
        <v/>
      </c>
      <c r="K856" s="32" t="s">
        <v>1356</v>
      </c>
    </row>
    <row r="857" customFormat="false" ht="15" hidden="false" customHeight="false" outlineLevel="0" collapsed="false">
      <c r="A857" s="23" t="str">
        <f aca="false">IF(B857="","",B857+(5*1000+56)/10000000)</f>
        <v/>
      </c>
      <c r="B857" s="35" t="str">
        <f aca="false">IF(AND(Brand_Log!AY57=1,Brand_Log!AN57="Y"),Brand_Log!H57,"")</f>
        <v/>
      </c>
      <c r="C857" s="23" t="str">
        <f aca="false">IF(B857="","","brand")</f>
        <v/>
      </c>
      <c r="D857" s="23" t="str">
        <f aca="false">IF(B857="","",Brand_Log!DV57&amp;"")</f>
        <v/>
      </c>
      <c r="E857" s="23" t="str">
        <f aca="false">IF(B857="","",IF(Brand_Log!B57="","",Brand_Log!B57&amp;""))</f>
        <v/>
      </c>
      <c r="F857" s="23" t="str">
        <f aca="false">IF(B857="","","yes_in_principle")</f>
        <v/>
      </c>
      <c r="G857" s="23" t="str">
        <f aca="false">IF(B857="","","")</f>
        <v/>
      </c>
      <c r="H857" s="23" t="str">
        <f aca="false">IF(B857="","","")</f>
        <v/>
      </c>
      <c r="I857" s="23" t="str">
        <f aca="false">IF(B857="","",IF(Brand_Log!O57="","",Brand_Log!O57&amp;""))</f>
        <v/>
      </c>
      <c r="J857" s="23" t="str">
        <f aca="false">IF(B857="","","")</f>
        <v/>
      </c>
      <c r="K857" s="32" t="s">
        <v>1356</v>
      </c>
    </row>
    <row r="858" customFormat="false" ht="15" hidden="false" customHeight="false" outlineLevel="0" collapsed="false">
      <c r="A858" s="23" t="str">
        <f aca="false">IF(B858="","",B858+(5*1000+57)/10000000)</f>
        <v/>
      </c>
      <c r="B858" s="35" t="str">
        <f aca="false">IF(AND(Brand_Log!AY58=1,Brand_Log!AN58="Y"),Brand_Log!H58,"")</f>
        <v/>
      </c>
      <c r="C858" s="23" t="str">
        <f aca="false">IF(B858="","","brand")</f>
        <v/>
      </c>
      <c r="D858" s="23" t="str">
        <f aca="false">IF(B858="","",Brand_Log!DV58&amp;"")</f>
        <v/>
      </c>
      <c r="E858" s="23" t="str">
        <f aca="false">IF(B858="","",IF(Brand_Log!B58="","",Brand_Log!B58&amp;""))</f>
        <v/>
      </c>
      <c r="F858" s="23" t="str">
        <f aca="false">IF(B858="","","yes_in_principle")</f>
        <v/>
      </c>
      <c r="G858" s="23" t="str">
        <f aca="false">IF(B858="","","")</f>
        <v/>
      </c>
      <c r="H858" s="23" t="str">
        <f aca="false">IF(B858="","","")</f>
        <v/>
      </c>
      <c r="I858" s="23" t="str">
        <f aca="false">IF(B858="","",IF(Brand_Log!O58="","",Brand_Log!O58&amp;""))</f>
        <v/>
      </c>
      <c r="J858" s="23" t="str">
        <f aca="false">IF(B858="","","")</f>
        <v/>
      </c>
      <c r="K858" s="32" t="s">
        <v>1356</v>
      </c>
    </row>
    <row r="859" customFormat="false" ht="15" hidden="false" customHeight="false" outlineLevel="0" collapsed="false">
      <c r="A859" s="23" t="str">
        <f aca="false">IF(B859="","",B859+(5*1000+58)/10000000)</f>
        <v/>
      </c>
      <c r="B859" s="35" t="str">
        <f aca="false">IF(AND(Brand_Log!AY59=1,Brand_Log!AN59="Y"),Brand_Log!H59,"")</f>
        <v/>
      </c>
      <c r="C859" s="23" t="str">
        <f aca="false">IF(B859="","","brand")</f>
        <v/>
      </c>
      <c r="D859" s="23" t="str">
        <f aca="false">IF(B859="","",Brand_Log!DV59&amp;"")</f>
        <v/>
      </c>
      <c r="E859" s="23" t="str">
        <f aca="false">IF(B859="","",IF(Brand_Log!B59="","",Brand_Log!B59&amp;""))</f>
        <v/>
      </c>
      <c r="F859" s="23" t="str">
        <f aca="false">IF(B859="","","yes_in_principle")</f>
        <v/>
      </c>
      <c r="G859" s="23" t="str">
        <f aca="false">IF(B859="","","")</f>
        <v/>
      </c>
      <c r="H859" s="23" t="str">
        <f aca="false">IF(B859="","","")</f>
        <v/>
      </c>
      <c r="I859" s="23" t="str">
        <f aca="false">IF(B859="","",IF(Brand_Log!O59="","",Brand_Log!O59&amp;""))</f>
        <v/>
      </c>
      <c r="J859" s="23" t="str">
        <f aca="false">IF(B859="","","")</f>
        <v/>
      </c>
      <c r="K859" s="32" t="s">
        <v>1356</v>
      </c>
    </row>
    <row r="860" customFormat="false" ht="15" hidden="false" customHeight="false" outlineLevel="0" collapsed="false">
      <c r="A860" s="23" t="str">
        <f aca="false">IF(B860="","",B860+(5*1000+59)/10000000)</f>
        <v/>
      </c>
      <c r="B860" s="35" t="str">
        <f aca="false">IF(AND(Brand_Log!AY60=1,Brand_Log!AN60="Y"),Brand_Log!H60,"")</f>
        <v/>
      </c>
      <c r="C860" s="23" t="str">
        <f aca="false">IF(B860="","","brand")</f>
        <v/>
      </c>
      <c r="D860" s="23" t="str">
        <f aca="false">IF(B860="","",Brand_Log!DV60&amp;"")</f>
        <v/>
      </c>
      <c r="E860" s="23" t="str">
        <f aca="false">IF(B860="","",IF(Brand_Log!B60="","",Brand_Log!B60&amp;""))</f>
        <v/>
      </c>
      <c r="F860" s="23" t="str">
        <f aca="false">IF(B860="","","yes_in_principle")</f>
        <v/>
      </c>
      <c r="G860" s="23" t="str">
        <f aca="false">IF(B860="","","")</f>
        <v/>
      </c>
      <c r="H860" s="23" t="str">
        <f aca="false">IF(B860="","","")</f>
        <v/>
      </c>
      <c r="I860" s="23" t="str">
        <f aca="false">IF(B860="","",IF(Brand_Log!O60="","",Brand_Log!O60&amp;""))</f>
        <v/>
      </c>
      <c r="J860" s="23" t="str">
        <f aca="false">IF(B860="","","")</f>
        <v/>
      </c>
      <c r="K860" s="32" t="s">
        <v>1356</v>
      </c>
    </row>
    <row r="861" customFormat="false" ht="15" hidden="false" customHeight="false" outlineLevel="0" collapsed="false">
      <c r="A861" s="23" t="str">
        <f aca="false">IF(B861="","",B861+(5*1000+60)/10000000)</f>
        <v/>
      </c>
      <c r="B861" s="35" t="str">
        <f aca="false">IF(AND(Brand_Log!AY61=1,Brand_Log!AN61="Y"),Brand_Log!H61,"")</f>
        <v/>
      </c>
      <c r="C861" s="23" t="str">
        <f aca="false">IF(B861="","","brand")</f>
        <v/>
      </c>
      <c r="D861" s="23" t="str">
        <f aca="false">IF(B861="","",Brand_Log!DV61&amp;"")</f>
        <v/>
      </c>
      <c r="E861" s="23" t="str">
        <f aca="false">IF(B861="","",IF(Brand_Log!B61="","",Brand_Log!B61&amp;""))</f>
        <v/>
      </c>
      <c r="F861" s="23" t="str">
        <f aca="false">IF(B861="","","yes_in_principle")</f>
        <v/>
      </c>
      <c r="G861" s="23" t="str">
        <f aca="false">IF(B861="","","")</f>
        <v/>
      </c>
      <c r="H861" s="23" t="str">
        <f aca="false">IF(B861="","","")</f>
        <v/>
      </c>
      <c r="I861" s="23" t="str">
        <f aca="false">IF(B861="","",IF(Brand_Log!O61="","",Brand_Log!O61&amp;""))</f>
        <v/>
      </c>
      <c r="J861" s="23" t="str">
        <f aca="false">IF(B861="","","")</f>
        <v/>
      </c>
      <c r="K861" s="32" t="s">
        <v>1356</v>
      </c>
    </row>
    <row r="862" customFormat="false" ht="15" hidden="false" customHeight="false" outlineLevel="0" collapsed="false">
      <c r="A862" s="23" t="str">
        <f aca="false">IF(B862="","",B862+(5*1000+61)/10000000)</f>
        <v/>
      </c>
      <c r="B862" s="35" t="str">
        <f aca="false">IF(AND(Brand_Log!AY62=1,Brand_Log!AN62="Y"),Brand_Log!H62,"")</f>
        <v/>
      </c>
      <c r="C862" s="23" t="str">
        <f aca="false">IF(B862="","","brand")</f>
        <v/>
      </c>
      <c r="D862" s="23" t="str">
        <f aca="false">IF(B862="","",Brand_Log!DV62&amp;"")</f>
        <v/>
      </c>
      <c r="E862" s="23" t="str">
        <f aca="false">IF(B862="","",IF(Brand_Log!B62="","",Brand_Log!B62&amp;""))</f>
        <v/>
      </c>
      <c r="F862" s="23" t="str">
        <f aca="false">IF(B862="","","yes_in_principle")</f>
        <v/>
      </c>
      <c r="G862" s="23" t="str">
        <f aca="false">IF(B862="","","")</f>
        <v/>
      </c>
      <c r="H862" s="23" t="str">
        <f aca="false">IF(B862="","","")</f>
        <v/>
      </c>
      <c r="I862" s="23" t="str">
        <f aca="false">IF(B862="","",IF(Brand_Log!O62="","",Brand_Log!O62&amp;""))</f>
        <v/>
      </c>
      <c r="J862" s="23" t="str">
        <f aca="false">IF(B862="","","")</f>
        <v/>
      </c>
      <c r="K862" s="32" t="s">
        <v>1356</v>
      </c>
    </row>
    <row r="863" customFormat="false" ht="15" hidden="false" customHeight="false" outlineLevel="0" collapsed="false">
      <c r="A863" s="23" t="str">
        <f aca="false">IF(B863="","",B863+(5*1000+62)/10000000)</f>
        <v/>
      </c>
      <c r="B863" s="35" t="str">
        <f aca="false">IF(AND(Brand_Log!AY63=1,Brand_Log!AN63="Y"),Brand_Log!H63,"")</f>
        <v/>
      </c>
      <c r="C863" s="23" t="str">
        <f aca="false">IF(B863="","","brand")</f>
        <v/>
      </c>
      <c r="D863" s="23" t="str">
        <f aca="false">IF(B863="","",Brand_Log!DV63&amp;"")</f>
        <v/>
      </c>
      <c r="E863" s="23" t="str">
        <f aca="false">IF(B863="","",IF(Brand_Log!B63="","",Brand_Log!B63&amp;""))</f>
        <v/>
      </c>
      <c r="F863" s="23" t="str">
        <f aca="false">IF(B863="","","yes_in_principle")</f>
        <v/>
      </c>
      <c r="G863" s="23" t="str">
        <f aca="false">IF(B863="","","")</f>
        <v/>
      </c>
      <c r="H863" s="23" t="str">
        <f aca="false">IF(B863="","","")</f>
        <v/>
      </c>
      <c r="I863" s="23" t="str">
        <f aca="false">IF(B863="","",IF(Brand_Log!O63="","",Brand_Log!O63&amp;""))</f>
        <v/>
      </c>
      <c r="J863" s="23" t="str">
        <f aca="false">IF(B863="","","")</f>
        <v/>
      </c>
      <c r="K863" s="32" t="s">
        <v>1356</v>
      </c>
    </row>
    <row r="864" customFormat="false" ht="15" hidden="false" customHeight="false" outlineLevel="0" collapsed="false">
      <c r="A864" s="23" t="str">
        <f aca="false">IF(B864="","",B864+(5*1000+63)/10000000)</f>
        <v/>
      </c>
      <c r="B864" s="35" t="str">
        <f aca="false">IF(AND(Brand_Log!AY64=1,Brand_Log!AN64="Y"),Brand_Log!H64,"")</f>
        <v/>
      </c>
      <c r="C864" s="23" t="str">
        <f aca="false">IF(B864="","","brand")</f>
        <v/>
      </c>
      <c r="D864" s="23" t="str">
        <f aca="false">IF(B864="","",Brand_Log!DV64&amp;"")</f>
        <v/>
      </c>
      <c r="E864" s="23" t="str">
        <f aca="false">IF(B864="","",IF(Brand_Log!B64="","",Brand_Log!B64&amp;""))</f>
        <v/>
      </c>
      <c r="F864" s="23" t="str">
        <f aca="false">IF(B864="","","yes_in_principle")</f>
        <v/>
      </c>
      <c r="G864" s="23" t="str">
        <f aca="false">IF(B864="","","")</f>
        <v/>
      </c>
      <c r="H864" s="23" t="str">
        <f aca="false">IF(B864="","","")</f>
        <v/>
      </c>
      <c r="I864" s="23" t="str">
        <f aca="false">IF(B864="","",IF(Brand_Log!O64="","",Brand_Log!O64&amp;""))</f>
        <v/>
      </c>
      <c r="J864" s="23" t="str">
        <f aca="false">IF(B864="","","")</f>
        <v/>
      </c>
      <c r="K864" s="32" t="s">
        <v>1356</v>
      </c>
    </row>
    <row r="865" customFormat="false" ht="15" hidden="false" customHeight="false" outlineLevel="0" collapsed="false">
      <c r="A865" s="23" t="str">
        <f aca="false">IF(B865="","",B865+(5*1000+64)/10000000)</f>
        <v/>
      </c>
      <c r="B865" s="35" t="str">
        <f aca="false">IF(AND(Brand_Log!AY65=1,Brand_Log!AN65="Y"),Brand_Log!H65,"")</f>
        <v/>
      </c>
      <c r="C865" s="23" t="str">
        <f aca="false">IF(B865="","","brand")</f>
        <v/>
      </c>
      <c r="D865" s="23" t="str">
        <f aca="false">IF(B865="","",Brand_Log!DV65&amp;"")</f>
        <v/>
      </c>
      <c r="E865" s="23" t="str">
        <f aca="false">IF(B865="","",IF(Brand_Log!B65="","",Brand_Log!B65&amp;""))</f>
        <v/>
      </c>
      <c r="F865" s="23" t="str">
        <f aca="false">IF(B865="","","yes_in_principle")</f>
        <v/>
      </c>
      <c r="G865" s="23" t="str">
        <f aca="false">IF(B865="","","")</f>
        <v/>
      </c>
      <c r="H865" s="23" t="str">
        <f aca="false">IF(B865="","","")</f>
        <v/>
      </c>
      <c r="I865" s="23" t="str">
        <f aca="false">IF(B865="","",IF(Brand_Log!O65="","",Brand_Log!O65&amp;""))</f>
        <v/>
      </c>
      <c r="J865" s="23" t="str">
        <f aca="false">IF(B865="","","")</f>
        <v/>
      </c>
      <c r="K865" s="32" t="s">
        <v>1356</v>
      </c>
    </row>
    <row r="866" customFormat="false" ht="15" hidden="false" customHeight="false" outlineLevel="0" collapsed="false">
      <c r="A866" s="23" t="str">
        <f aca="false">IF(B866="","",B866+(5*1000+65)/10000000)</f>
        <v/>
      </c>
      <c r="B866" s="35" t="str">
        <f aca="false">IF(AND(Brand_Log!AY66=1,Brand_Log!AN66="Y"),Brand_Log!H66,"")</f>
        <v/>
      </c>
      <c r="C866" s="23" t="str">
        <f aca="false">IF(B866="","","brand")</f>
        <v/>
      </c>
      <c r="D866" s="23" t="str">
        <f aca="false">IF(B866="","",Brand_Log!DV66&amp;"")</f>
        <v/>
      </c>
      <c r="E866" s="23" t="str">
        <f aca="false">IF(B866="","",IF(Brand_Log!B66="","",Brand_Log!B66&amp;""))</f>
        <v/>
      </c>
      <c r="F866" s="23" t="str">
        <f aca="false">IF(B866="","","yes_in_principle")</f>
        <v/>
      </c>
      <c r="G866" s="23" t="str">
        <f aca="false">IF(B866="","","")</f>
        <v/>
      </c>
      <c r="H866" s="23" t="str">
        <f aca="false">IF(B866="","","")</f>
        <v/>
      </c>
      <c r="I866" s="23" t="str">
        <f aca="false">IF(B866="","",IF(Brand_Log!O66="","",Brand_Log!O66&amp;""))</f>
        <v/>
      </c>
      <c r="J866" s="23" t="str">
        <f aca="false">IF(B866="","","")</f>
        <v/>
      </c>
      <c r="K866" s="32" t="s">
        <v>1356</v>
      </c>
    </row>
    <row r="867" customFormat="false" ht="15" hidden="false" customHeight="false" outlineLevel="0" collapsed="false">
      <c r="A867" s="23" t="str">
        <f aca="false">IF(B867="","",B867+(5*1000+66)/10000000)</f>
        <v/>
      </c>
      <c r="B867" s="35" t="str">
        <f aca="false">IF(AND(Brand_Log!AY67=1,Brand_Log!AN67="Y"),Brand_Log!H67,"")</f>
        <v/>
      </c>
      <c r="C867" s="23" t="str">
        <f aca="false">IF(B867="","","brand")</f>
        <v/>
      </c>
      <c r="D867" s="23" t="str">
        <f aca="false">IF(B867="","",Brand_Log!DV67&amp;"")</f>
        <v/>
      </c>
      <c r="E867" s="23" t="str">
        <f aca="false">IF(B867="","",IF(Brand_Log!B67="","",Brand_Log!B67&amp;""))</f>
        <v/>
      </c>
      <c r="F867" s="23" t="str">
        <f aca="false">IF(B867="","","yes_in_principle")</f>
        <v/>
      </c>
      <c r="G867" s="23" t="str">
        <f aca="false">IF(B867="","","")</f>
        <v/>
      </c>
      <c r="H867" s="23" t="str">
        <f aca="false">IF(B867="","","")</f>
        <v/>
      </c>
      <c r="I867" s="23" t="str">
        <f aca="false">IF(B867="","",IF(Brand_Log!O67="","",Brand_Log!O67&amp;""))</f>
        <v/>
      </c>
      <c r="J867" s="23" t="str">
        <f aca="false">IF(B867="","","")</f>
        <v/>
      </c>
      <c r="K867" s="32" t="s">
        <v>1356</v>
      </c>
    </row>
    <row r="868" customFormat="false" ht="15" hidden="false" customHeight="false" outlineLevel="0" collapsed="false">
      <c r="A868" s="23" t="str">
        <f aca="false">IF(B868="","",B868+(5*1000+67)/10000000)</f>
        <v/>
      </c>
      <c r="B868" s="35" t="str">
        <f aca="false">IF(AND(Brand_Log!AY68=1,Brand_Log!AN68="Y"),Brand_Log!H68,"")</f>
        <v/>
      </c>
      <c r="C868" s="23" t="str">
        <f aca="false">IF(B868="","","brand")</f>
        <v/>
      </c>
      <c r="D868" s="23" t="str">
        <f aca="false">IF(B868="","",Brand_Log!DV68&amp;"")</f>
        <v/>
      </c>
      <c r="E868" s="23" t="str">
        <f aca="false">IF(B868="","",IF(Brand_Log!B68="","",Brand_Log!B68&amp;""))</f>
        <v/>
      </c>
      <c r="F868" s="23" t="str">
        <f aca="false">IF(B868="","","yes_in_principle")</f>
        <v/>
      </c>
      <c r="G868" s="23" t="str">
        <f aca="false">IF(B868="","","")</f>
        <v/>
      </c>
      <c r="H868" s="23" t="str">
        <f aca="false">IF(B868="","","")</f>
        <v/>
      </c>
      <c r="I868" s="23" t="str">
        <f aca="false">IF(B868="","",IF(Brand_Log!O68="","",Brand_Log!O68&amp;""))</f>
        <v/>
      </c>
      <c r="J868" s="23" t="str">
        <f aca="false">IF(B868="","","")</f>
        <v/>
      </c>
      <c r="K868" s="32" t="s">
        <v>1356</v>
      </c>
    </row>
    <row r="869" customFormat="false" ht="15" hidden="false" customHeight="false" outlineLevel="0" collapsed="false">
      <c r="A869" s="23" t="str">
        <f aca="false">IF(B869="","",B869+(5*1000+68)/10000000)</f>
        <v/>
      </c>
      <c r="B869" s="35" t="str">
        <f aca="false">IF(AND(Brand_Log!AY69=1,Brand_Log!AN69="Y"),Brand_Log!H69,"")</f>
        <v/>
      </c>
      <c r="C869" s="23" t="str">
        <f aca="false">IF(B869="","","brand")</f>
        <v/>
      </c>
      <c r="D869" s="23" t="str">
        <f aca="false">IF(B869="","",Brand_Log!DV69&amp;"")</f>
        <v/>
      </c>
      <c r="E869" s="23" t="str">
        <f aca="false">IF(B869="","",IF(Brand_Log!B69="","",Brand_Log!B69&amp;""))</f>
        <v/>
      </c>
      <c r="F869" s="23" t="str">
        <f aca="false">IF(B869="","","yes_in_principle")</f>
        <v/>
      </c>
      <c r="G869" s="23" t="str">
        <f aca="false">IF(B869="","","")</f>
        <v/>
      </c>
      <c r="H869" s="23" t="str">
        <f aca="false">IF(B869="","","")</f>
        <v/>
      </c>
      <c r="I869" s="23" t="str">
        <f aca="false">IF(B869="","",IF(Brand_Log!O69="","",Brand_Log!O69&amp;""))</f>
        <v/>
      </c>
      <c r="J869" s="23" t="str">
        <f aca="false">IF(B869="","","")</f>
        <v/>
      </c>
      <c r="K869" s="32" t="s">
        <v>1356</v>
      </c>
    </row>
    <row r="870" customFormat="false" ht="15" hidden="false" customHeight="false" outlineLevel="0" collapsed="false">
      <c r="A870" s="23" t="str">
        <f aca="false">IF(B870="","",B870+(5*1000+69)/10000000)</f>
        <v/>
      </c>
      <c r="B870" s="35" t="str">
        <f aca="false">IF(AND(Brand_Log!AY70=1,Brand_Log!AN70="Y"),Brand_Log!H70,"")</f>
        <v/>
      </c>
      <c r="C870" s="23" t="str">
        <f aca="false">IF(B870="","","brand")</f>
        <v/>
      </c>
      <c r="D870" s="23" t="str">
        <f aca="false">IF(B870="","",Brand_Log!DV70&amp;"")</f>
        <v/>
      </c>
      <c r="E870" s="23" t="str">
        <f aca="false">IF(B870="","",IF(Brand_Log!B70="","",Brand_Log!B70&amp;""))</f>
        <v/>
      </c>
      <c r="F870" s="23" t="str">
        <f aca="false">IF(B870="","","yes_in_principle")</f>
        <v/>
      </c>
      <c r="G870" s="23" t="str">
        <f aca="false">IF(B870="","","")</f>
        <v/>
      </c>
      <c r="H870" s="23" t="str">
        <f aca="false">IF(B870="","","")</f>
        <v/>
      </c>
      <c r="I870" s="23" t="str">
        <f aca="false">IF(B870="","",IF(Brand_Log!O70="","",Brand_Log!O70&amp;""))</f>
        <v/>
      </c>
      <c r="J870" s="23" t="str">
        <f aca="false">IF(B870="","","")</f>
        <v/>
      </c>
      <c r="K870" s="32" t="s">
        <v>1356</v>
      </c>
    </row>
    <row r="871" customFormat="false" ht="15" hidden="false" customHeight="false" outlineLevel="0" collapsed="false">
      <c r="A871" s="23" t="str">
        <f aca="false">IF(B871="","",B871+(5*1000+70)/10000000)</f>
        <v/>
      </c>
      <c r="B871" s="35" t="str">
        <f aca="false">IF(AND(Brand_Log!AY71=1,Brand_Log!AN71="Y"),Brand_Log!H71,"")</f>
        <v/>
      </c>
      <c r="C871" s="23" t="str">
        <f aca="false">IF(B871="","","brand")</f>
        <v/>
      </c>
      <c r="D871" s="23" t="str">
        <f aca="false">IF(B871="","",Brand_Log!DV71&amp;"")</f>
        <v/>
      </c>
      <c r="E871" s="23" t="str">
        <f aca="false">IF(B871="","",IF(Brand_Log!B71="","",Brand_Log!B71&amp;""))</f>
        <v/>
      </c>
      <c r="F871" s="23" t="str">
        <f aca="false">IF(B871="","","yes_in_principle")</f>
        <v/>
      </c>
      <c r="G871" s="23" t="str">
        <f aca="false">IF(B871="","","")</f>
        <v/>
      </c>
      <c r="H871" s="23" t="str">
        <f aca="false">IF(B871="","","")</f>
        <v/>
      </c>
      <c r="I871" s="23" t="str">
        <f aca="false">IF(B871="","",IF(Brand_Log!O71="","",Brand_Log!O71&amp;""))</f>
        <v/>
      </c>
      <c r="J871" s="23" t="str">
        <f aca="false">IF(B871="","","")</f>
        <v/>
      </c>
      <c r="K871" s="32" t="s">
        <v>1356</v>
      </c>
    </row>
    <row r="872" customFormat="false" ht="15" hidden="false" customHeight="false" outlineLevel="0" collapsed="false">
      <c r="A872" s="23" t="str">
        <f aca="false">IF(B872="","",B872+(5*1000+71)/10000000)</f>
        <v/>
      </c>
      <c r="B872" s="35" t="str">
        <f aca="false">IF(AND(Brand_Log!AY72=1,Brand_Log!AN72="Y"),Brand_Log!H72,"")</f>
        <v/>
      </c>
      <c r="C872" s="23" t="str">
        <f aca="false">IF(B872="","","brand")</f>
        <v/>
      </c>
      <c r="D872" s="23" t="str">
        <f aca="false">IF(B872="","",Brand_Log!DV72&amp;"")</f>
        <v/>
      </c>
      <c r="E872" s="23" t="str">
        <f aca="false">IF(B872="","",IF(Brand_Log!B72="","",Brand_Log!B72&amp;""))</f>
        <v/>
      </c>
      <c r="F872" s="23" t="str">
        <f aca="false">IF(B872="","","yes_in_principle")</f>
        <v/>
      </c>
      <c r="G872" s="23" t="str">
        <f aca="false">IF(B872="","","")</f>
        <v/>
      </c>
      <c r="H872" s="23" t="str">
        <f aca="false">IF(B872="","","")</f>
        <v/>
      </c>
      <c r="I872" s="23" t="str">
        <f aca="false">IF(B872="","",IF(Brand_Log!O72="","",Brand_Log!O72&amp;""))</f>
        <v/>
      </c>
      <c r="J872" s="23" t="str">
        <f aca="false">IF(B872="","","")</f>
        <v/>
      </c>
      <c r="K872" s="32" t="s">
        <v>1356</v>
      </c>
    </row>
    <row r="873" customFormat="false" ht="15" hidden="false" customHeight="false" outlineLevel="0" collapsed="false">
      <c r="A873" s="23" t="str">
        <f aca="false">IF(B873="","",B873+(5*1000+72)/10000000)</f>
        <v/>
      </c>
      <c r="B873" s="35" t="str">
        <f aca="false">IF(AND(Brand_Log!AY73=1,Brand_Log!AN73="Y"),Brand_Log!H73,"")</f>
        <v/>
      </c>
      <c r="C873" s="23" t="str">
        <f aca="false">IF(B873="","","brand")</f>
        <v/>
      </c>
      <c r="D873" s="23" t="str">
        <f aca="false">IF(B873="","",Brand_Log!DV73&amp;"")</f>
        <v/>
      </c>
      <c r="E873" s="23" t="str">
        <f aca="false">IF(B873="","",IF(Brand_Log!B73="","",Brand_Log!B73&amp;""))</f>
        <v/>
      </c>
      <c r="F873" s="23" t="str">
        <f aca="false">IF(B873="","","yes_in_principle")</f>
        <v/>
      </c>
      <c r="G873" s="23" t="str">
        <f aca="false">IF(B873="","","")</f>
        <v/>
      </c>
      <c r="H873" s="23" t="str">
        <f aca="false">IF(B873="","","")</f>
        <v/>
      </c>
      <c r="I873" s="23" t="str">
        <f aca="false">IF(B873="","",IF(Brand_Log!O73="","",Brand_Log!O73&amp;""))</f>
        <v/>
      </c>
      <c r="J873" s="23" t="str">
        <f aca="false">IF(B873="","","")</f>
        <v/>
      </c>
      <c r="K873" s="32" t="s">
        <v>1356</v>
      </c>
    </row>
    <row r="874" customFormat="false" ht="15" hidden="false" customHeight="false" outlineLevel="0" collapsed="false">
      <c r="A874" s="23" t="str">
        <f aca="false">IF(B874="","",B874+(5*1000+73)/10000000)</f>
        <v/>
      </c>
      <c r="B874" s="35" t="str">
        <f aca="false">IF(AND(Brand_Log!AY74=1,Brand_Log!AN74="Y"),Brand_Log!H74,"")</f>
        <v/>
      </c>
      <c r="C874" s="23" t="str">
        <f aca="false">IF(B874="","","brand")</f>
        <v/>
      </c>
      <c r="D874" s="23" t="str">
        <f aca="false">IF(B874="","",Brand_Log!DV74&amp;"")</f>
        <v/>
      </c>
      <c r="E874" s="23" t="str">
        <f aca="false">IF(B874="","",IF(Brand_Log!B74="","",Brand_Log!B74&amp;""))</f>
        <v/>
      </c>
      <c r="F874" s="23" t="str">
        <f aca="false">IF(B874="","","yes_in_principle")</f>
        <v/>
      </c>
      <c r="G874" s="23" t="str">
        <f aca="false">IF(B874="","","")</f>
        <v/>
      </c>
      <c r="H874" s="23" t="str">
        <f aca="false">IF(B874="","","")</f>
        <v/>
      </c>
      <c r="I874" s="23" t="str">
        <f aca="false">IF(B874="","",IF(Brand_Log!O74="","",Brand_Log!O74&amp;""))</f>
        <v/>
      </c>
      <c r="J874" s="23" t="str">
        <f aca="false">IF(B874="","","")</f>
        <v/>
      </c>
      <c r="K874" s="32" t="s">
        <v>1356</v>
      </c>
    </row>
    <row r="875" customFormat="false" ht="15" hidden="false" customHeight="false" outlineLevel="0" collapsed="false">
      <c r="A875" s="23" t="str">
        <f aca="false">IF(B875="","",B875+(5*1000+74)/10000000)</f>
        <v/>
      </c>
      <c r="B875" s="35" t="str">
        <f aca="false">IF(AND(Brand_Log!AY75=1,Brand_Log!AN75="Y"),Brand_Log!H75,"")</f>
        <v/>
      </c>
      <c r="C875" s="23" t="str">
        <f aca="false">IF(B875="","","brand")</f>
        <v/>
      </c>
      <c r="D875" s="23" t="str">
        <f aca="false">IF(B875="","",Brand_Log!DV75&amp;"")</f>
        <v/>
      </c>
      <c r="E875" s="23" t="str">
        <f aca="false">IF(B875="","",IF(Brand_Log!B75="","",Brand_Log!B75&amp;""))</f>
        <v/>
      </c>
      <c r="F875" s="23" t="str">
        <f aca="false">IF(B875="","","yes_in_principle")</f>
        <v/>
      </c>
      <c r="G875" s="23" t="str">
        <f aca="false">IF(B875="","","")</f>
        <v/>
      </c>
      <c r="H875" s="23" t="str">
        <f aca="false">IF(B875="","","")</f>
        <v/>
      </c>
      <c r="I875" s="23" t="str">
        <f aca="false">IF(B875="","",IF(Brand_Log!O75="","",Brand_Log!O75&amp;""))</f>
        <v/>
      </c>
      <c r="J875" s="23" t="str">
        <f aca="false">IF(B875="","","")</f>
        <v/>
      </c>
      <c r="K875" s="32" t="s">
        <v>1356</v>
      </c>
    </row>
    <row r="876" customFormat="false" ht="15" hidden="false" customHeight="false" outlineLevel="0" collapsed="false">
      <c r="A876" s="23" t="str">
        <f aca="false">IF(B876="","",B876+(5*1000+75)/10000000)</f>
        <v/>
      </c>
      <c r="B876" s="35" t="str">
        <f aca="false">IF(AND(Brand_Log!AY76=1,Brand_Log!AN76="Y"),Brand_Log!H76,"")</f>
        <v/>
      </c>
      <c r="C876" s="23" t="str">
        <f aca="false">IF(B876="","","brand")</f>
        <v/>
      </c>
      <c r="D876" s="23" t="str">
        <f aca="false">IF(B876="","",Brand_Log!DV76&amp;"")</f>
        <v/>
      </c>
      <c r="E876" s="23" t="str">
        <f aca="false">IF(B876="","",IF(Brand_Log!B76="","",Brand_Log!B76&amp;""))</f>
        <v/>
      </c>
      <c r="F876" s="23" t="str">
        <f aca="false">IF(B876="","","yes_in_principle")</f>
        <v/>
      </c>
      <c r="G876" s="23" t="str">
        <f aca="false">IF(B876="","","")</f>
        <v/>
      </c>
      <c r="H876" s="23" t="str">
        <f aca="false">IF(B876="","","")</f>
        <v/>
      </c>
      <c r="I876" s="23" t="str">
        <f aca="false">IF(B876="","",IF(Brand_Log!O76="","",Brand_Log!O76&amp;""))</f>
        <v/>
      </c>
      <c r="J876" s="23" t="str">
        <f aca="false">IF(B876="","","")</f>
        <v/>
      </c>
      <c r="K876" s="32" t="s">
        <v>1356</v>
      </c>
    </row>
    <row r="877" customFormat="false" ht="15" hidden="false" customHeight="false" outlineLevel="0" collapsed="false">
      <c r="A877" s="23" t="str">
        <f aca="false">IF(B877="","",B877+(5*1000+76)/10000000)</f>
        <v/>
      </c>
      <c r="B877" s="35" t="str">
        <f aca="false">IF(AND(Brand_Log!AY77=1,Brand_Log!AN77="Y"),Brand_Log!H77,"")</f>
        <v/>
      </c>
      <c r="C877" s="23" t="str">
        <f aca="false">IF(B877="","","brand")</f>
        <v/>
      </c>
      <c r="D877" s="23" t="str">
        <f aca="false">IF(B877="","",Brand_Log!DV77&amp;"")</f>
        <v/>
      </c>
      <c r="E877" s="23" t="str">
        <f aca="false">IF(B877="","",IF(Brand_Log!B77="","",Brand_Log!B77&amp;""))</f>
        <v/>
      </c>
      <c r="F877" s="23" t="str">
        <f aca="false">IF(B877="","","yes_in_principle")</f>
        <v/>
      </c>
      <c r="G877" s="23" t="str">
        <f aca="false">IF(B877="","","")</f>
        <v/>
      </c>
      <c r="H877" s="23" t="str">
        <f aca="false">IF(B877="","","")</f>
        <v/>
      </c>
      <c r="I877" s="23" t="str">
        <f aca="false">IF(B877="","",IF(Brand_Log!O77="","",Brand_Log!O77&amp;""))</f>
        <v/>
      </c>
      <c r="J877" s="23" t="str">
        <f aca="false">IF(B877="","","")</f>
        <v/>
      </c>
      <c r="K877" s="32" t="s">
        <v>1356</v>
      </c>
    </row>
    <row r="878" customFormat="false" ht="15" hidden="false" customHeight="false" outlineLevel="0" collapsed="false">
      <c r="A878" s="23" t="str">
        <f aca="false">IF(B878="","",B878+(5*1000+77)/10000000)</f>
        <v/>
      </c>
      <c r="B878" s="35" t="str">
        <f aca="false">IF(AND(Brand_Log!AY78=1,Brand_Log!AN78="Y"),Brand_Log!H78,"")</f>
        <v/>
      </c>
      <c r="C878" s="23" t="str">
        <f aca="false">IF(B878="","","brand")</f>
        <v/>
      </c>
      <c r="D878" s="23" t="str">
        <f aca="false">IF(B878="","",Brand_Log!DV78&amp;"")</f>
        <v/>
      </c>
      <c r="E878" s="23" t="str">
        <f aca="false">IF(B878="","",IF(Brand_Log!B78="","",Brand_Log!B78&amp;""))</f>
        <v/>
      </c>
      <c r="F878" s="23" t="str">
        <f aca="false">IF(B878="","","yes_in_principle")</f>
        <v/>
      </c>
      <c r="G878" s="23" t="str">
        <f aca="false">IF(B878="","","")</f>
        <v/>
      </c>
      <c r="H878" s="23" t="str">
        <f aca="false">IF(B878="","","")</f>
        <v/>
      </c>
      <c r="I878" s="23" t="str">
        <f aca="false">IF(B878="","",IF(Brand_Log!O78="","",Brand_Log!O78&amp;""))</f>
        <v/>
      </c>
      <c r="J878" s="23" t="str">
        <f aca="false">IF(B878="","","")</f>
        <v/>
      </c>
      <c r="K878" s="32" t="s">
        <v>1356</v>
      </c>
    </row>
    <row r="879" customFormat="false" ht="15" hidden="false" customHeight="false" outlineLevel="0" collapsed="false">
      <c r="A879" s="23" t="str">
        <f aca="false">IF(B879="","",B879+(5*1000+78)/10000000)</f>
        <v/>
      </c>
      <c r="B879" s="35" t="str">
        <f aca="false">IF(AND(Brand_Log!AY79=1,Brand_Log!AN79="Y"),Brand_Log!H79,"")</f>
        <v/>
      </c>
      <c r="C879" s="23" t="str">
        <f aca="false">IF(B879="","","brand")</f>
        <v/>
      </c>
      <c r="D879" s="23" t="str">
        <f aca="false">IF(B879="","",Brand_Log!DV79&amp;"")</f>
        <v/>
      </c>
      <c r="E879" s="23" t="str">
        <f aca="false">IF(B879="","",IF(Brand_Log!B79="","",Brand_Log!B79&amp;""))</f>
        <v/>
      </c>
      <c r="F879" s="23" t="str">
        <f aca="false">IF(B879="","","yes_in_principle")</f>
        <v/>
      </c>
      <c r="G879" s="23" t="str">
        <f aca="false">IF(B879="","","")</f>
        <v/>
      </c>
      <c r="H879" s="23" t="str">
        <f aca="false">IF(B879="","","")</f>
        <v/>
      </c>
      <c r="I879" s="23" t="str">
        <f aca="false">IF(B879="","",IF(Brand_Log!O79="","",Brand_Log!O79&amp;""))</f>
        <v/>
      </c>
      <c r="J879" s="23" t="str">
        <f aca="false">IF(B879="","","")</f>
        <v/>
      </c>
      <c r="K879" s="32" t="s">
        <v>1356</v>
      </c>
    </row>
    <row r="880" customFormat="false" ht="15" hidden="false" customHeight="false" outlineLevel="0" collapsed="false">
      <c r="A880" s="23" t="str">
        <f aca="false">IF(B880="","",B880+(5*1000+79)/10000000)</f>
        <v/>
      </c>
      <c r="B880" s="35" t="str">
        <f aca="false">IF(AND(Brand_Log!AY80=1,Brand_Log!AN80="Y"),Brand_Log!H80,"")</f>
        <v/>
      </c>
      <c r="C880" s="23" t="str">
        <f aca="false">IF(B880="","","brand")</f>
        <v/>
      </c>
      <c r="D880" s="23" t="str">
        <f aca="false">IF(B880="","",Brand_Log!DV80&amp;"")</f>
        <v/>
      </c>
      <c r="E880" s="23" t="str">
        <f aca="false">IF(B880="","",IF(Brand_Log!B80="","",Brand_Log!B80&amp;""))</f>
        <v/>
      </c>
      <c r="F880" s="23" t="str">
        <f aca="false">IF(B880="","","yes_in_principle")</f>
        <v/>
      </c>
      <c r="G880" s="23" t="str">
        <f aca="false">IF(B880="","","")</f>
        <v/>
      </c>
      <c r="H880" s="23" t="str">
        <f aca="false">IF(B880="","","")</f>
        <v/>
      </c>
      <c r="I880" s="23" t="str">
        <f aca="false">IF(B880="","",IF(Brand_Log!O80="","",Brand_Log!O80&amp;""))</f>
        <v/>
      </c>
      <c r="J880" s="23" t="str">
        <f aca="false">IF(B880="","","")</f>
        <v/>
      </c>
      <c r="K880" s="32" t="s">
        <v>1356</v>
      </c>
    </row>
    <row r="881" customFormat="false" ht="15" hidden="false" customHeight="false" outlineLevel="0" collapsed="false">
      <c r="A881" s="23" t="str">
        <f aca="false">IF(B881="","",B881+(5*1000+80)/10000000)</f>
        <v/>
      </c>
      <c r="B881" s="35" t="str">
        <f aca="false">IF(AND(Brand_Log!AY81=1,Brand_Log!AN81="Y"),Brand_Log!H81,"")</f>
        <v/>
      </c>
      <c r="C881" s="23" t="str">
        <f aca="false">IF(B881="","","brand")</f>
        <v/>
      </c>
      <c r="D881" s="23" t="str">
        <f aca="false">IF(B881="","",Brand_Log!DV81&amp;"")</f>
        <v/>
      </c>
      <c r="E881" s="23" t="str">
        <f aca="false">IF(B881="","",IF(Brand_Log!B81="","",Brand_Log!B81&amp;""))</f>
        <v/>
      </c>
      <c r="F881" s="23" t="str">
        <f aca="false">IF(B881="","","yes_in_principle")</f>
        <v/>
      </c>
      <c r="G881" s="23" t="str">
        <f aca="false">IF(B881="","","")</f>
        <v/>
      </c>
      <c r="H881" s="23" t="str">
        <f aca="false">IF(B881="","","")</f>
        <v/>
      </c>
      <c r="I881" s="23" t="str">
        <f aca="false">IF(B881="","",IF(Brand_Log!O81="","",Brand_Log!O81&amp;""))</f>
        <v/>
      </c>
      <c r="J881" s="23" t="str">
        <f aca="false">IF(B881="","","")</f>
        <v/>
      </c>
      <c r="K881" s="32" t="s">
        <v>1356</v>
      </c>
    </row>
    <row r="882" customFormat="false" ht="15" hidden="false" customHeight="false" outlineLevel="0" collapsed="false">
      <c r="A882" s="23" t="str">
        <f aca="false">IF(B882="","",B882+(5*1000+81)/10000000)</f>
        <v/>
      </c>
      <c r="B882" s="35" t="str">
        <f aca="false">IF(AND(Brand_Log!AY82=1,Brand_Log!AN82="Y"),Brand_Log!H82,"")</f>
        <v/>
      </c>
      <c r="C882" s="23" t="str">
        <f aca="false">IF(B882="","","brand")</f>
        <v/>
      </c>
      <c r="D882" s="23" t="str">
        <f aca="false">IF(B882="","",Brand_Log!DV82&amp;"")</f>
        <v/>
      </c>
      <c r="E882" s="23" t="str">
        <f aca="false">IF(B882="","",IF(Brand_Log!B82="","",Brand_Log!B82&amp;""))</f>
        <v/>
      </c>
      <c r="F882" s="23" t="str">
        <f aca="false">IF(B882="","","yes_in_principle")</f>
        <v/>
      </c>
      <c r="G882" s="23" t="str">
        <f aca="false">IF(B882="","","")</f>
        <v/>
      </c>
      <c r="H882" s="23" t="str">
        <f aca="false">IF(B882="","","")</f>
        <v/>
      </c>
      <c r="I882" s="23" t="str">
        <f aca="false">IF(B882="","",IF(Brand_Log!O82="","",Brand_Log!O82&amp;""))</f>
        <v/>
      </c>
      <c r="J882" s="23" t="str">
        <f aca="false">IF(B882="","","")</f>
        <v/>
      </c>
      <c r="K882" s="32" t="s">
        <v>1356</v>
      </c>
    </row>
    <row r="883" customFormat="false" ht="15" hidden="false" customHeight="false" outlineLevel="0" collapsed="false">
      <c r="A883" s="23" t="str">
        <f aca="false">IF(B883="","",B883+(5*1000+82)/10000000)</f>
        <v/>
      </c>
      <c r="B883" s="35" t="str">
        <f aca="false">IF(AND(Brand_Log!AY83=1,Brand_Log!AN83="Y"),Brand_Log!H83,"")</f>
        <v/>
      </c>
      <c r="C883" s="23" t="str">
        <f aca="false">IF(B883="","","brand")</f>
        <v/>
      </c>
      <c r="D883" s="23" t="str">
        <f aca="false">IF(B883="","",Brand_Log!DV83&amp;"")</f>
        <v/>
      </c>
      <c r="E883" s="23" t="str">
        <f aca="false">IF(B883="","",IF(Brand_Log!B83="","",Brand_Log!B83&amp;""))</f>
        <v/>
      </c>
      <c r="F883" s="23" t="str">
        <f aca="false">IF(B883="","","yes_in_principle")</f>
        <v/>
      </c>
      <c r="G883" s="23" t="str">
        <f aca="false">IF(B883="","","")</f>
        <v/>
      </c>
      <c r="H883" s="23" t="str">
        <f aca="false">IF(B883="","","")</f>
        <v/>
      </c>
      <c r="I883" s="23" t="str">
        <f aca="false">IF(B883="","",IF(Brand_Log!O83="","",Brand_Log!O83&amp;""))</f>
        <v/>
      </c>
      <c r="J883" s="23" t="str">
        <f aca="false">IF(B883="","","")</f>
        <v/>
      </c>
      <c r="K883" s="32" t="s">
        <v>1356</v>
      </c>
    </row>
    <row r="884" customFormat="false" ht="15" hidden="false" customHeight="false" outlineLevel="0" collapsed="false">
      <c r="A884" s="23" t="str">
        <f aca="false">IF(B884="","",B884+(5*1000+83)/10000000)</f>
        <v/>
      </c>
      <c r="B884" s="35" t="str">
        <f aca="false">IF(AND(Brand_Log!AY84=1,Brand_Log!AN84="Y"),Brand_Log!H84,"")</f>
        <v/>
      </c>
      <c r="C884" s="23" t="str">
        <f aca="false">IF(B884="","","brand")</f>
        <v/>
      </c>
      <c r="D884" s="23" t="str">
        <f aca="false">IF(B884="","",Brand_Log!DV84&amp;"")</f>
        <v/>
      </c>
      <c r="E884" s="23" t="str">
        <f aca="false">IF(B884="","",IF(Brand_Log!B84="","",Brand_Log!B84&amp;""))</f>
        <v/>
      </c>
      <c r="F884" s="23" t="str">
        <f aca="false">IF(B884="","","yes_in_principle")</f>
        <v/>
      </c>
      <c r="G884" s="23" t="str">
        <f aca="false">IF(B884="","","")</f>
        <v/>
      </c>
      <c r="H884" s="23" t="str">
        <f aca="false">IF(B884="","","")</f>
        <v/>
      </c>
      <c r="I884" s="23" t="str">
        <f aca="false">IF(B884="","",IF(Brand_Log!O84="","",Brand_Log!O84&amp;""))</f>
        <v/>
      </c>
      <c r="J884" s="23" t="str">
        <f aca="false">IF(B884="","","")</f>
        <v/>
      </c>
      <c r="K884" s="32" t="s">
        <v>1356</v>
      </c>
    </row>
    <row r="885" customFormat="false" ht="15" hidden="false" customHeight="false" outlineLevel="0" collapsed="false">
      <c r="A885" s="23" t="str">
        <f aca="false">IF(B885="","",B885+(5*1000+84)/10000000)</f>
        <v/>
      </c>
      <c r="B885" s="35" t="str">
        <f aca="false">IF(AND(Brand_Log!AY85=1,Brand_Log!AN85="Y"),Brand_Log!H85,"")</f>
        <v/>
      </c>
      <c r="C885" s="23" t="str">
        <f aca="false">IF(B885="","","brand")</f>
        <v/>
      </c>
      <c r="D885" s="23" t="str">
        <f aca="false">IF(B885="","",Brand_Log!DV85&amp;"")</f>
        <v/>
      </c>
      <c r="E885" s="23" t="str">
        <f aca="false">IF(B885="","",IF(Brand_Log!B85="","",Brand_Log!B85&amp;""))</f>
        <v/>
      </c>
      <c r="F885" s="23" t="str">
        <f aca="false">IF(B885="","","yes_in_principle")</f>
        <v/>
      </c>
      <c r="G885" s="23" t="str">
        <f aca="false">IF(B885="","","")</f>
        <v/>
      </c>
      <c r="H885" s="23" t="str">
        <f aca="false">IF(B885="","","")</f>
        <v/>
      </c>
      <c r="I885" s="23" t="str">
        <f aca="false">IF(B885="","",IF(Brand_Log!O85="","",Brand_Log!O85&amp;""))</f>
        <v/>
      </c>
      <c r="J885" s="23" t="str">
        <f aca="false">IF(B885="","","")</f>
        <v/>
      </c>
      <c r="K885" s="32" t="s">
        <v>1356</v>
      </c>
    </row>
    <row r="886" customFormat="false" ht="15" hidden="false" customHeight="false" outlineLevel="0" collapsed="false">
      <c r="A886" s="23" t="str">
        <f aca="false">IF(B886="","",B886+(5*1000+85)/10000000)</f>
        <v/>
      </c>
      <c r="B886" s="35" t="str">
        <f aca="false">IF(AND(Brand_Log!AY86=1,Brand_Log!AN86="Y"),Brand_Log!H86,"")</f>
        <v/>
      </c>
      <c r="C886" s="23" t="str">
        <f aca="false">IF(B886="","","brand")</f>
        <v/>
      </c>
      <c r="D886" s="23" t="str">
        <f aca="false">IF(B886="","",Brand_Log!DV86&amp;"")</f>
        <v/>
      </c>
      <c r="E886" s="23" t="str">
        <f aca="false">IF(B886="","",IF(Brand_Log!B86="","",Brand_Log!B86&amp;""))</f>
        <v/>
      </c>
      <c r="F886" s="23" t="str">
        <f aca="false">IF(B886="","","yes_in_principle")</f>
        <v/>
      </c>
      <c r="G886" s="23" t="str">
        <f aca="false">IF(B886="","","")</f>
        <v/>
      </c>
      <c r="H886" s="23" t="str">
        <f aca="false">IF(B886="","","")</f>
        <v/>
      </c>
      <c r="I886" s="23" t="str">
        <f aca="false">IF(B886="","",IF(Brand_Log!O86="","",Brand_Log!O86&amp;""))</f>
        <v/>
      </c>
      <c r="J886" s="23" t="str">
        <f aca="false">IF(B886="","","")</f>
        <v/>
      </c>
      <c r="K886" s="32" t="s">
        <v>1356</v>
      </c>
    </row>
    <row r="887" customFormat="false" ht="15" hidden="false" customHeight="false" outlineLevel="0" collapsed="false">
      <c r="A887" s="23" t="str">
        <f aca="false">IF(B887="","",B887+(5*1000+86)/10000000)</f>
        <v/>
      </c>
      <c r="B887" s="35" t="str">
        <f aca="false">IF(AND(Brand_Log!AY87=1,Brand_Log!AN87="Y"),Brand_Log!H87,"")</f>
        <v/>
      </c>
      <c r="C887" s="23" t="str">
        <f aca="false">IF(B887="","","brand")</f>
        <v/>
      </c>
      <c r="D887" s="23" t="str">
        <f aca="false">IF(B887="","",Brand_Log!DV87&amp;"")</f>
        <v/>
      </c>
      <c r="E887" s="23" t="str">
        <f aca="false">IF(B887="","",IF(Brand_Log!B87="","",Brand_Log!B87&amp;""))</f>
        <v/>
      </c>
      <c r="F887" s="23" t="str">
        <f aca="false">IF(B887="","","yes_in_principle")</f>
        <v/>
      </c>
      <c r="G887" s="23" t="str">
        <f aca="false">IF(B887="","","")</f>
        <v/>
      </c>
      <c r="H887" s="23" t="str">
        <f aca="false">IF(B887="","","")</f>
        <v/>
      </c>
      <c r="I887" s="23" t="str">
        <f aca="false">IF(B887="","",IF(Brand_Log!O87="","",Brand_Log!O87&amp;""))</f>
        <v/>
      </c>
      <c r="J887" s="23" t="str">
        <f aca="false">IF(B887="","","")</f>
        <v/>
      </c>
      <c r="K887" s="32" t="s">
        <v>1356</v>
      </c>
    </row>
    <row r="888" customFormat="false" ht="15" hidden="false" customHeight="false" outlineLevel="0" collapsed="false">
      <c r="A888" s="23" t="str">
        <f aca="false">IF(B888="","",B888+(5*1000+87)/10000000)</f>
        <v/>
      </c>
      <c r="B888" s="35" t="str">
        <f aca="false">IF(AND(Brand_Log!AY88=1,Brand_Log!AN88="Y"),Brand_Log!H88,"")</f>
        <v/>
      </c>
      <c r="C888" s="23" t="str">
        <f aca="false">IF(B888="","","brand")</f>
        <v/>
      </c>
      <c r="D888" s="23" t="str">
        <f aca="false">IF(B888="","",Brand_Log!DV88&amp;"")</f>
        <v/>
      </c>
      <c r="E888" s="23" t="str">
        <f aca="false">IF(B888="","",IF(Brand_Log!B88="","",Brand_Log!B88&amp;""))</f>
        <v/>
      </c>
      <c r="F888" s="23" t="str">
        <f aca="false">IF(B888="","","yes_in_principle")</f>
        <v/>
      </c>
      <c r="G888" s="23" t="str">
        <f aca="false">IF(B888="","","")</f>
        <v/>
      </c>
      <c r="H888" s="23" t="str">
        <f aca="false">IF(B888="","","")</f>
        <v/>
      </c>
      <c r="I888" s="23" t="str">
        <f aca="false">IF(B888="","",IF(Brand_Log!O88="","",Brand_Log!O88&amp;""))</f>
        <v/>
      </c>
      <c r="J888" s="23" t="str">
        <f aca="false">IF(B888="","","")</f>
        <v/>
      </c>
      <c r="K888" s="32" t="s">
        <v>1356</v>
      </c>
    </row>
    <row r="889" customFormat="false" ht="15" hidden="false" customHeight="false" outlineLevel="0" collapsed="false">
      <c r="A889" s="23" t="str">
        <f aca="false">IF(B889="","",B889+(5*1000+88)/10000000)</f>
        <v/>
      </c>
      <c r="B889" s="35" t="str">
        <f aca="false">IF(AND(Brand_Log!AY89=1,Brand_Log!AN89="Y"),Brand_Log!H89,"")</f>
        <v/>
      </c>
      <c r="C889" s="23" t="str">
        <f aca="false">IF(B889="","","brand")</f>
        <v/>
      </c>
      <c r="D889" s="23" t="str">
        <f aca="false">IF(B889="","",Brand_Log!DV89&amp;"")</f>
        <v/>
      </c>
      <c r="E889" s="23" t="str">
        <f aca="false">IF(B889="","",IF(Brand_Log!B89="","",Brand_Log!B89&amp;""))</f>
        <v/>
      </c>
      <c r="F889" s="23" t="str">
        <f aca="false">IF(B889="","","yes_in_principle")</f>
        <v/>
      </c>
      <c r="G889" s="23" t="str">
        <f aca="false">IF(B889="","","")</f>
        <v/>
      </c>
      <c r="H889" s="23" t="str">
        <f aca="false">IF(B889="","","")</f>
        <v/>
      </c>
      <c r="I889" s="23" t="str">
        <f aca="false">IF(B889="","",IF(Brand_Log!O89="","",Brand_Log!O89&amp;""))</f>
        <v/>
      </c>
      <c r="J889" s="23" t="str">
        <f aca="false">IF(B889="","","")</f>
        <v/>
      </c>
      <c r="K889" s="32" t="s">
        <v>1356</v>
      </c>
    </row>
    <row r="890" customFormat="false" ht="15" hidden="false" customHeight="false" outlineLevel="0" collapsed="false">
      <c r="A890" s="23" t="str">
        <f aca="false">IF(B890="","",B890+(5*1000+89)/10000000)</f>
        <v/>
      </c>
      <c r="B890" s="35" t="str">
        <f aca="false">IF(AND(Brand_Log!AY90=1,Brand_Log!AN90="Y"),Brand_Log!H90,"")</f>
        <v/>
      </c>
      <c r="C890" s="23" t="str">
        <f aca="false">IF(B890="","","brand")</f>
        <v/>
      </c>
      <c r="D890" s="23" t="str">
        <f aca="false">IF(B890="","",Brand_Log!DV90&amp;"")</f>
        <v/>
      </c>
      <c r="E890" s="23" t="str">
        <f aca="false">IF(B890="","",IF(Brand_Log!B90="","",Brand_Log!B90&amp;""))</f>
        <v/>
      </c>
      <c r="F890" s="23" t="str">
        <f aca="false">IF(B890="","","yes_in_principle")</f>
        <v/>
      </c>
      <c r="G890" s="23" t="str">
        <f aca="false">IF(B890="","","")</f>
        <v/>
      </c>
      <c r="H890" s="23" t="str">
        <f aca="false">IF(B890="","","")</f>
        <v/>
      </c>
      <c r="I890" s="23" t="str">
        <f aca="false">IF(B890="","",IF(Brand_Log!O90="","",Brand_Log!O90&amp;""))</f>
        <v/>
      </c>
      <c r="J890" s="23" t="str">
        <f aca="false">IF(B890="","","")</f>
        <v/>
      </c>
      <c r="K890" s="32" t="s">
        <v>1356</v>
      </c>
    </row>
    <row r="891" customFormat="false" ht="15" hidden="false" customHeight="false" outlineLevel="0" collapsed="false">
      <c r="A891" s="23" t="str">
        <f aca="false">IF(B891="","",B891+(5*1000+90)/10000000)</f>
        <v/>
      </c>
      <c r="B891" s="35" t="str">
        <f aca="false">IF(AND(Brand_Log!AY91=1,Brand_Log!AN91="Y"),Brand_Log!H91,"")</f>
        <v/>
      </c>
      <c r="C891" s="23" t="str">
        <f aca="false">IF(B891="","","brand")</f>
        <v/>
      </c>
      <c r="D891" s="23" t="str">
        <f aca="false">IF(B891="","",Brand_Log!DV91&amp;"")</f>
        <v/>
      </c>
      <c r="E891" s="23" t="str">
        <f aca="false">IF(B891="","",IF(Brand_Log!B91="","",Brand_Log!B91&amp;""))</f>
        <v/>
      </c>
      <c r="F891" s="23" t="str">
        <f aca="false">IF(B891="","","yes_in_principle")</f>
        <v/>
      </c>
      <c r="G891" s="23" t="str">
        <f aca="false">IF(B891="","","")</f>
        <v/>
      </c>
      <c r="H891" s="23" t="str">
        <f aca="false">IF(B891="","","")</f>
        <v/>
      </c>
      <c r="I891" s="23" t="str">
        <f aca="false">IF(B891="","",IF(Brand_Log!O91="","",Brand_Log!O91&amp;""))</f>
        <v/>
      </c>
      <c r="J891" s="23" t="str">
        <f aca="false">IF(B891="","","")</f>
        <v/>
      </c>
      <c r="K891" s="32" t="s">
        <v>1356</v>
      </c>
    </row>
    <row r="892" customFormat="false" ht="15" hidden="false" customHeight="false" outlineLevel="0" collapsed="false">
      <c r="A892" s="23" t="str">
        <f aca="false">IF(B892="","",B892+(5*1000+91)/10000000)</f>
        <v/>
      </c>
      <c r="B892" s="35" t="str">
        <f aca="false">IF(AND(Brand_Log!AY92=1,Brand_Log!AN92="Y"),Brand_Log!H92,"")</f>
        <v/>
      </c>
      <c r="C892" s="23" t="str">
        <f aca="false">IF(B892="","","brand")</f>
        <v/>
      </c>
      <c r="D892" s="23" t="str">
        <f aca="false">IF(B892="","",Brand_Log!DV92&amp;"")</f>
        <v/>
      </c>
      <c r="E892" s="23" t="str">
        <f aca="false">IF(B892="","",IF(Brand_Log!B92="","",Brand_Log!B92&amp;""))</f>
        <v/>
      </c>
      <c r="F892" s="23" t="str">
        <f aca="false">IF(B892="","","yes_in_principle")</f>
        <v/>
      </c>
      <c r="G892" s="23" t="str">
        <f aca="false">IF(B892="","","")</f>
        <v/>
      </c>
      <c r="H892" s="23" t="str">
        <f aca="false">IF(B892="","","")</f>
        <v/>
      </c>
      <c r="I892" s="23" t="str">
        <f aca="false">IF(B892="","",IF(Brand_Log!O92="","",Brand_Log!O92&amp;""))</f>
        <v/>
      </c>
      <c r="J892" s="23" t="str">
        <f aca="false">IF(B892="","","")</f>
        <v/>
      </c>
      <c r="K892" s="32" t="s">
        <v>1356</v>
      </c>
    </row>
    <row r="893" customFormat="false" ht="15" hidden="false" customHeight="false" outlineLevel="0" collapsed="false">
      <c r="A893" s="23" t="str">
        <f aca="false">IF(B893="","",B893+(5*1000+92)/10000000)</f>
        <v/>
      </c>
      <c r="B893" s="35" t="str">
        <f aca="false">IF(AND(Brand_Log!AY93=1,Brand_Log!AN93="Y"),Brand_Log!H93,"")</f>
        <v/>
      </c>
      <c r="C893" s="23" t="str">
        <f aca="false">IF(B893="","","brand")</f>
        <v/>
      </c>
      <c r="D893" s="23" t="str">
        <f aca="false">IF(B893="","",Brand_Log!DV93&amp;"")</f>
        <v/>
      </c>
      <c r="E893" s="23" t="str">
        <f aca="false">IF(B893="","",IF(Brand_Log!B93="","",Brand_Log!B93&amp;""))</f>
        <v/>
      </c>
      <c r="F893" s="23" t="str">
        <f aca="false">IF(B893="","","yes_in_principle")</f>
        <v/>
      </c>
      <c r="G893" s="23" t="str">
        <f aca="false">IF(B893="","","")</f>
        <v/>
      </c>
      <c r="H893" s="23" t="str">
        <f aca="false">IF(B893="","","")</f>
        <v/>
      </c>
      <c r="I893" s="23" t="str">
        <f aca="false">IF(B893="","",IF(Brand_Log!O93="","",Brand_Log!O93&amp;""))</f>
        <v/>
      </c>
      <c r="J893" s="23" t="str">
        <f aca="false">IF(B893="","","")</f>
        <v/>
      </c>
      <c r="K893" s="32" t="s">
        <v>1356</v>
      </c>
    </row>
    <row r="894" customFormat="false" ht="15" hidden="false" customHeight="false" outlineLevel="0" collapsed="false">
      <c r="A894" s="23" t="str">
        <f aca="false">IF(B894="","",B894+(5*1000+93)/10000000)</f>
        <v/>
      </c>
      <c r="B894" s="35" t="str">
        <f aca="false">IF(AND(Brand_Log!AY94=1,Brand_Log!AN94="Y"),Brand_Log!H94,"")</f>
        <v/>
      </c>
      <c r="C894" s="23" t="str">
        <f aca="false">IF(B894="","","brand")</f>
        <v/>
      </c>
      <c r="D894" s="23" t="str">
        <f aca="false">IF(B894="","",Brand_Log!DV94&amp;"")</f>
        <v/>
      </c>
      <c r="E894" s="23" t="str">
        <f aca="false">IF(B894="","",IF(Brand_Log!B94="","",Brand_Log!B94&amp;""))</f>
        <v/>
      </c>
      <c r="F894" s="23" t="str">
        <f aca="false">IF(B894="","","yes_in_principle")</f>
        <v/>
      </c>
      <c r="G894" s="23" t="str">
        <f aca="false">IF(B894="","","")</f>
        <v/>
      </c>
      <c r="H894" s="23" t="str">
        <f aca="false">IF(B894="","","")</f>
        <v/>
      </c>
      <c r="I894" s="23" t="str">
        <f aca="false">IF(B894="","",IF(Brand_Log!O94="","",Brand_Log!O94&amp;""))</f>
        <v/>
      </c>
      <c r="J894" s="23" t="str">
        <f aca="false">IF(B894="","","")</f>
        <v/>
      </c>
      <c r="K894" s="32" t="s">
        <v>1356</v>
      </c>
    </row>
    <row r="895" customFormat="false" ht="15" hidden="false" customHeight="false" outlineLevel="0" collapsed="false">
      <c r="A895" s="23" t="str">
        <f aca="false">IF(B895="","",B895+(5*1000+94)/10000000)</f>
        <v/>
      </c>
      <c r="B895" s="35" t="str">
        <f aca="false">IF(AND(Brand_Log!AY95=1,Brand_Log!AN95="Y"),Brand_Log!H95,"")</f>
        <v/>
      </c>
      <c r="C895" s="23" t="str">
        <f aca="false">IF(B895="","","brand")</f>
        <v/>
      </c>
      <c r="D895" s="23" t="str">
        <f aca="false">IF(B895="","",Brand_Log!DV95&amp;"")</f>
        <v/>
      </c>
      <c r="E895" s="23" t="str">
        <f aca="false">IF(B895="","",IF(Brand_Log!B95="","",Brand_Log!B95&amp;""))</f>
        <v/>
      </c>
      <c r="F895" s="23" t="str">
        <f aca="false">IF(B895="","","yes_in_principle")</f>
        <v/>
      </c>
      <c r="G895" s="23" t="str">
        <f aca="false">IF(B895="","","")</f>
        <v/>
      </c>
      <c r="H895" s="23" t="str">
        <f aca="false">IF(B895="","","")</f>
        <v/>
      </c>
      <c r="I895" s="23" t="str">
        <f aca="false">IF(B895="","",IF(Brand_Log!O95="","",Brand_Log!O95&amp;""))</f>
        <v/>
      </c>
      <c r="J895" s="23" t="str">
        <f aca="false">IF(B895="","","")</f>
        <v/>
      </c>
      <c r="K895" s="32" t="s">
        <v>1356</v>
      </c>
    </row>
    <row r="896" customFormat="false" ht="15" hidden="false" customHeight="false" outlineLevel="0" collapsed="false">
      <c r="A896" s="23" t="str">
        <f aca="false">IF(B896="","",B896+(5*1000+95)/10000000)</f>
        <v/>
      </c>
      <c r="B896" s="35" t="str">
        <f aca="false">IF(AND(Brand_Log!AY96=1,Brand_Log!AN96="Y"),Brand_Log!H96,"")</f>
        <v/>
      </c>
      <c r="C896" s="23" t="str">
        <f aca="false">IF(B896="","","brand")</f>
        <v/>
      </c>
      <c r="D896" s="23" t="str">
        <f aca="false">IF(B896="","",Brand_Log!DV96&amp;"")</f>
        <v/>
      </c>
      <c r="E896" s="23" t="str">
        <f aca="false">IF(B896="","",IF(Brand_Log!B96="","",Brand_Log!B96&amp;""))</f>
        <v/>
      </c>
      <c r="F896" s="23" t="str">
        <f aca="false">IF(B896="","","yes_in_principle")</f>
        <v/>
      </c>
      <c r="G896" s="23" t="str">
        <f aca="false">IF(B896="","","")</f>
        <v/>
      </c>
      <c r="H896" s="23" t="str">
        <f aca="false">IF(B896="","","")</f>
        <v/>
      </c>
      <c r="I896" s="23" t="str">
        <f aca="false">IF(B896="","",IF(Brand_Log!O96="","",Brand_Log!O96&amp;""))</f>
        <v/>
      </c>
      <c r="J896" s="23" t="str">
        <f aca="false">IF(B896="","","")</f>
        <v/>
      </c>
      <c r="K896" s="32" t="s">
        <v>1356</v>
      </c>
    </row>
    <row r="897" customFormat="false" ht="15" hidden="false" customHeight="false" outlineLevel="0" collapsed="false">
      <c r="A897" s="23" t="str">
        <f aca="false">IF(B897="","",B897+(5*1000+96)/10000000)</f>
        <v/>
      </c>
      <c r="B897" s="35" t="str">
        <f aca="false">IF(AND(Brand_Log!AY97=1,Brand_Log!AN97="Y"),Brand_Log!H97,"")</f>
        <v/>
      </c>
      <c r="C897" s="23" t="str">
        <f aca="false">IF(B897="","","brand")</f>
        <v/>
      </c>
      <c r="D897" s="23" t="str">
        <f aca="false">IF(B897="","",Brand_Log!DV97&amp;"")</f>
        <v/>
      </c>
      <c r="E897" s="23" t="str">
        <f aca="false">IF(B897="","",IF(Brand_Log!B97="","",Brand_Log!B97&amp;""))</f>
        <v/>
      </c>
      <c r="F897" s="23" t="str">
        <f aca="false">IF(B897="","","yes_in_principle")</f>
        <v/>
      </c>
      <c r="G897" s="23" t="str">
        <f aca="false">IF(B897="","","")</f>
        <v/>
      </c>
      <c r="H897" s="23" t="str">
        <f aca="false">IF(B897="","","")</f>
        <v/>
      </c>
      <c r="I897" s="23" t="str">
        <f aca="false">IF(B897="","",IF(Brand_Log!O97="","",Brand_Log!O97&amp;""))</f>
        <v/>
      </c>
      <c r="J897" s="23" t="str">
        <f aca="false">IF(B897="","","")</f>
        <v/>
      </c>
      <c r="K897" s="32" t="s">
        <v>1356</v>
      </c>
    </row>
    <row r="898" customFormat="false" ht="15" hidden="false" customHeight="false" outlineLevel="0" collapsed="false">
      <c r="A898" s="23" t="str">
        <f aca="false">IF(B898="","",B898+(5*1000+97)/10000000)</f>
        <v/>
      </c>
      <c r="B898" s="35" t="str">
        <f aca="false">IF(AND(Brand_Log!AY98=1,Brand_Log!AN98="Y"),Brand_Log!H98,"")</f>
        <v/>
      </c>
      <c r="C898" s="23" t="str">
        <f aca="false">IF(B898="","","brand")</f>
        <v/>
      </c>
      <c r="D898" s="23" t="str">
        <f aca="false">IF(B898="","",Brand_Log!DV98&amp;"")</f>
        <v/>
      </c>
      <c r="E898" s="23" t="str">
        <f aca="false">IF(B898="","",IF(Brand_Log!B98="","",Brand_Log!B98&amp;""))</f>
        <v/>
      </c>
      <c r="F898" s="23" t="str">
        <f aca="false">IF(B898="","","yes_in_principle")</f>
        <v/>
      </c>
      <c r="G898" s="23" t="str">
        <f aca="false">IF(B898="","","")</f>
        <v/>
      </c>
      <c r="H898" s="23" t="str">
        <f aca="false">IF(B898="","","")</f>
        <v/>
      </c>
      <c r="I898" s="23" t="str">
        <f aca="false">IF(B898="","",IF(Brand_Log!O98="","",Brand_Log!O98&amp;""))</f>
        <v/>
      </c>
      <c r="J898" s="23" t="str">
        <f aca="false">IF(B898="","","")</f>
        <v/>
      </c>
      <c r="K898" s="32" t="s">
        <v>1356</v>
      </c>
    </row>
    <row r="899" customFormat="false" ht="15" hidden="false" customHeight="false" outlineLevel="0" collapsed="false">
      <c r="A899" s="23" t="str">
        <f aca="false">IF(B899="","",B899+(5*1000+98)/10000000)</f>
        <v/>
      </c>
      <c r="B899" s="35" t="str">
        <f aca="false">IF(AND(Brand_Log!AY99=1,Brand_Log!AN99="Y"),Brand_Log!H99,"")</f>
        <v/>
      </c>
      <c r="C899" s="23" t="str">
        <f aca="false">IF(B899="","","brand")</f>
        <v/>
      </c>
      <c r="D899" s="23" t="str">
        <f aca="false">IF(B899="","",Brand_Log!DV99&amp;"")</f>
        <v/>
      </c>
      <c r="E899" s="23" t="str">
        <f aca="false">IF(B899="","",IF(Brand_Log!B99="","",Brand_Log!B99&amp;""))</f>
        <v/>
      </c>
      <c r="F899" s="23" t="str">
        <f aca="false">IF(B899="","","yes_in_principle")</f>
        <v/>
      </c>
      <c r="G899" s="23" t="str">
        <f aca="false">IF(B899="","","")</f>
        <v/>
      </c>
      <c r="H899" s="23" t="str">
        <f aca="false">IF(B899="","","")</f>
        <v/>
      </c>
      <c r="I899" s="23" t="str">
        <f aca="false">IF(B899="","",IF(Brand_Log!O99="","",Brand_Log!O99&amp;""))</f>
        <v/>
      </c>
      <c r="J899" s="23" t="str">
        <f aca="false">IF(B899="","","")</f>
        <v/>
      </c>
      <c r="K899" s="32" t="s">
        <v>1356</v>
      </c>
    </row>
    <row r="900" customFormat="false" ht="15" hidden="false" customHeight="false" outlineLevel="0" collapsed="false">
      <c r="A900" s="23" t="str">
        <f aca="false">IF(B900="","",B900+(5*1000+99)/10000000)</f>
        <v/>
      </c>
      <c r="B900" s="35" t="str">
        <f aca="false">IF(AND(Brand_Log!AY100=1,Brand_Log!AN100="Y"),Brand_Log!H100,"")</f>
        <v/>
      </c>
      <c r="C900" s="23" t="str">
        <f aca="false">IF(B900="","","brand")</f>
        <v/>
      </c>
      <c r="D900" s="23" t="str">
        <f aca="false">IF(B900="","",Brand_Log!DV100&amp;"")</f>
        <v/>
      </c>
      <c r="E900" s="23" t="str">
        <f aca="false">IF(B900="","",IF(Brand_Log!B100="","",Brand_Log!B100&amp;""))</f>
        <v/>
      </c>
      <c r="F900" s="23" t="str">
        <f aca="false">IF(B900="","","yes_in_principle")</f>
        <v/>
      </c>
      <c r="G900" s="23" t="str">
        <f aca="false">IF(B900="","","")</f>
        <v/>
      </c>
      <c r="H900" s="23" t="str">
        <f aca="false">IF(B900="","","")</f>
        <v/>
      </c>
      <c r="I900" s="23" t="str">
        <f aca="false">IF(B900="","",IF(Brand_Log!O100="","",Brand_Log!O100&amp;""))</f>
        <v/>
      </c>
      <c r="J900" s="23" t="str">
        <f aca="false">IF(B900="","","")</f>
        <v/>
      </c>
      <c r="K900" s="32" t="s">
        <v>1356</v>
      </c>
    </row>
    <row r="901" customFormat="false" ht="15" hidden="false" customHeight="false" outlineLevel="0" collapsed="false">
      <c r="A901" s="23" t="str">
        <f aca="false">IF(B901="","",B901+(5*1000+100)/10000000)</f>
        <v/>
      </c>
      <c r="B901" s="35" t="str">
        <f aca="false">IF(AND(Brand_Log!AY101=1,Brand_Log!AN101="Y"),Brand_Log!H101,"")</f>
        <v/>
      </c>
      <c r="C901" s="23" t="str">
        <f aca="false">IF(B901="","","brand")</f>
        <v/>
      </c>
      <c r="D901" s="23" t="str">
        <f aca="false">IF(B901="","",Brand_Log!DV101&amp;"")</f>
        <v/>
      </c>
      <c r="E901" s="23" t="str">
        <f aca="false">IF(B901="","",IF(Brand_Log!B101="","",Brand_Log!B101&amp;""))</f>
        <v/>
      </c>
      <c r="F901" s="23" t="str">
        <f aca="false">IF(B901="","","yes_in_principle")</f>
        <v/>
      </c>
      <c r="G901" s="23" t="str">
        <f aca="false">IF(B901="","","")</f>
        <v/>
      </c>
      <c r="H901" s="23" t="str">
        <f aca="false">IF(B901="","","")</f>
        <v/>
      </c>
      <c r="I901" s="23" t="str">
        <f aca="false">IF(B901="","",IF(Brand_Log!O101="","",Brand_Log!O101&amp;""))</f>
        <v/>
      </c>
      <c r="J901" s="23" t="str">
        <f aca="false">IF(B901="","","")</f>
        <v/>
      </c>
      <c r="K901" s="32" t="s">
        <v>1356</v>
      </c>
    </row>
    <row r="902" customFormat="false" ht="15" hidden="false" customHeight="false" outlineLevel="0" collapsed="false">
      <c r="A902" s="23" t="str">
        <f aca="false">IF(B902="","",B902+(5*1000+101)/10000000)</f>
        <v/>
      </c>
      <c r="B902" s="35" t="str">
        <f aca="false">IF(AND(Brand_Log!AY102=1,Brand_Log!AN102="Y"),Brand_Log!H102,"")</f>
        <v/>
      </c>
      <c r="C902" s="23" t="str">
        <f aca="false">IF(B902="","","brand")</f>
        <v/>
      </c>
      <c r="D902" s="23" t="str">
        <f aca="false">IF(B902="","",Brand_Log!DV102&amp;"")</f>
        <v/>
      </c>
      <c r="E902" s="23" t="str">
        <f aca="false">IF(B902="","",IF(Brand_Log!B102="","",Brand_Log!B102&amp;""))</f>
        <v/>
      </c>
      <c r="F902" s="23" t="str">
        <f aca="false">IF(B902="","","yes_in_principle")</f>
        <v/>
      </c>
      <c r="G902" s="23" t="str">
        <f aca="false">IF(B902="","","")</f>
        <v/>
      </c>
      <c r="H902" s="23" t="str">
        <f aca="false">IF(B902="","","")</f>
        <v/>
      </c>
      <c r="I902" s="23" t="str">
        <f aca="false">IF(B902="","",IF(Brand_Log!O102="","",Brand_Log!O102&amp;""))</f>
        <v/>
      </c>
      <c r="J902" s="23" t="str">
        <f aca="false">IF(B902="","","")</f>
        <v/>
      </c>
      <c r="K902" s="32" t="s">
        <v>1356</v>
      </c>
    </row>
    <row r="903" customFormat="false" ht="15" hidden="false" customHeight="false" outlineLevel="0" collapsed="false">
      <c r="A903" s="23" t="str">
        <f aca="false">IF(B903="","",B903+(5*1000+102)/10000000)</f>
        <v/>
      </c>
      <c r="B903" s="35" t="str">
        <f aca="false">IF(AND(Brand_Log!AY103=1,Brand_Log!AN103="Y"),Brand_Log!H103,"")</f>
        <v/>
      </c>
      <c r="C903" s="23" t="str">
        <f aca="false">IF(B903="","","brand")</f>
        <v/>
      </c>
      <c r="D903" s="23" t="str">
        <f aca="false">IF(B903="","",Brand_Log!DV103&amp;"")</f>
        <v/>
      </c>
      <c r="E903" s="23" t="str">
        <f aca="false">IF(B903="","",IF(Brand_Log!B103="","",Brand_Log!B103&amp;""))</f>
        <v/>
      </c>
      <c r="F903" s="23" t="str">
        <f aca="false">IF(B903="","","yes_in_principle")</f>
        <v/>
      </c>
      <c r="G903" s="23" t="str">
        <f aca="false">IF(B903="","","")</f>
        <v/>
      </c>
      <c r="H903" s="23" t="str">
        <f aca="false">IF(B903="","","")</f>
        <v/>
      </c>
      <c r="I903" s="23" t="str">
        <f aca="false">IF(B903="","",IF(Brand_Log!O103="","",Brand_Log!O103&amp;""))</f>
        <v/>
      </c>
      <c r="J903" s="23" t="str">
        <f aca="false">IF(B903="","","")</f>
        <v/>
      </c>
      <c r="K903" s="32" t="s">
        <v>1356</v>
      </c>
    </row>
    <row r="904" customFormat="false" ht="15" hidden="false" customHeight="false" outlineLevel="0" collapsed="false">
      <c r="A904" s="23" t="str">
        <f aca="false">IF(B904="","",B904+(5*1000+103)/10000000)</f>
        <v/>
      </c>
      <c r="B904" s="35" t="str">
        <f aca="false">IF(AND(Brand_Log!AY104=1,Brand_Log!AN104="Y"),Brand_Log!H104,"")</f>
        <v/>
      </c>
      <c r="C904" s="23" t="str">
        <f aca="false">IF(B904="","","brand")</f>
        <v/>
      </c>
      <c r="D904" s="23" t="str">
        <f aca="false">IF(B904="","",Brand_Log!DV104&amp;"")</f>
        <v/>
      </c>
      <c r="E904" s="23" t="str">
        <f aca="false">IF(B904="","",IF(Brand_Log!B104="","",Brand_Log!B104&amp;""))</f>
        <v/>
      </c>
      <c r="F904" s="23" t="str">
        <f aca="false">IF(B904="","","yes_in_principle")</f>
        <v/>
      </c>
      <c r="G904" s="23" t="str">
        <f aca="false">IF(B904="","","")</f>
        <v/>
      </c>
      <c r="H904" s="23" t="str">
        <f aca="false">IF(B904="","","")</f>
        <v/>
      </c>
      <c r="I904" s="23" t="str">
        <f aca="false">IF(B904="","",IF(Brand_Log!O104="","",Brand_Log!O104&amp;""))</f>
        <v/>
      </c>
      <c r="J904" s="23" t="str">
        <f aca="false">IF(B904="","","")</f>
        <v/>
      </c>
      <c r="K904" s="32" t="s">
        <v>1356</v>
      </c>
    </row>
    <row r="905" customFormat="false" ht="15" hidden="false" customHeight="false" outlineLevel="0" collapsed="false">
      <c r="A905" s="23" t="str">
        <f aca="false">IF(B905="","",B905+(5*1000+104)/10000000)</f>
        <v/>
      </c>
      <c r="B905" s="35" t="str">
        <f aca="false">IF(AND(Brand_Log!AY105=1,Brand_Log!AN105="Y"),Brand_Log!H105,"")</f>
        <v/>
      </c>
      <c r="C905" s="23" t="str">
        <f aca="false">IF(B905="","","brand")</f>
        <v/>
      </c>
      <c r="D905" s="23" t="str">
        <f aca="false">IF(B905="","",Brand_Log!DV105&amp;"")</f>
        <v/>
      </c>
      <c r="E905" s="23" t="str">
        <f aca="false">IF(B905="","",IF(Brand_Log!B105="","",Brand_Log!B105&amp;""))</f>
        <v/>
      </c>
      <c r="F905" s="23" t="str">
        <f aca="false">IF(B905="","","yes_in_principle")</f>
        <v/>
      </c>
      <c r="G905" s="23" t="str">
        <f aca="false">IF(B905="","","")</f>
        <v/>
      </c>
      <c r="H905" s="23" t="str">
        <f aca="false">IF(B905="","","")</f>
        <v/>
      </c>
      <c r="I905" s="23" t="str">
        <f aca="false">IF(B905="","",IF(Brand_Log!O105="","",Brand_Log!O105&amp;""))</f>
        <v/>
      </c>
      <c r="J905" s="23" t="str">
        <f aca="false">IF(B905="","","")</f>
        <v/>
      </c>
      <c r="K905" s="32" t="s">
        <v>1356</v>
      </c>
    </row>
    <row r="906" customFormat="false" ht="15" hidden="false" customHeight="false" outlineLevel="0" collapsed="false">
      <c r="A906" s="23" t="str">
        <f aca="false">IF(B906="","",B906+(5*1000+105)/10000000)</f>
        <v/>
      </c>
      <c r="B906" s="35" t="str">
        <f aca="false">IF(AND(Brand_Log!AY106=1,Brand_Log!AN106="Y"),Brand_Log!H106,"")</f>
        <v/>
      </c>
      <c r="C906" s="23" t="str">
        <f aca="false">IF(B906="","","brand")</f>
        <v/>
      </c>
      <c r="D906" s="23" t="str">
        <f aca="false">IF(B906="","",Brand_Log!DV106&amp;"")</f>
        <v/>
      </c>
      <c r="E906" s="23" t="str">
        <f aca="false">IF(B906="","",IF(Brand_Log!B106="","",Brand_Log!B106&amp;""))</f>
        <v/>
      </c>
      <c r="F906" s="23" t="str">
        <f aca="false">IF(B906="","","yes_in_principle")</f>
        <v/>
      </c>
      <c r="G906" s="23" t="str">
        <f aca="false">IF(B906="","","")</f>
        <v/>
      </c>
      <c r="H906" s="23" t="str">
        <f aca="false">IF(B906="","","")</f>
        <v/>
      </c>
      <c r="I906" s="23" t="str">
        <f aca="false">IF(B906="","",IF(Brand_Log!O106="","",Brand_Log!O106&amp;""))</f>
        <v/>
      </c>
      <c r="J906" s="23" t="str">
        <f aca="false">IF(B906="","","")</f>
        <v/>
      </c>
      <c r="K906" s="32" t="s">
        <v>1356</v>
      </c>
    </row>
    <row r="907" customFormat="false" ht="15" hidden="false" customHeight="false" outlineLevel="0" collapsed="false">
      <c r="A907" s="23" t="str">
        <f aca="false">IF(B907="","",B907+(5*1000+106)/10000000)</f>
        <v/>
      </c>
      <c r="B907" s="35" t="str">
        <f aca="false">IF(AND(Brand_Log!AY107=1,Brand_Log!AN107="Y"),Brand_Log!H107,"")</f>
        <v/>
      </c>
      <c r="C907" s="23" t="str">
        <f aca="false">IF(B907="","","brand")</f>
        <v/>
      </c>
      <c r="D907" s="23" t="str">
        <f aca="false">IF(B907="","",Brand_Log!DV107&amp;"")</f>
        <v/>
      </c>
      <c r="E907" s="23" t="str">
        <f aca="false">IF(B907="","",IF(Brand_Log!B107="","",Brand_Log!B107&amp;""))</f>
        <v/>
      </c>
      <c r="F907" s="23" t="str">
        <f aca="false">IF(B907="","","yes_in_principle")</f>
        <v/>
      </c>
      <c r="G907" s="23" t="str">
        <f aca="false">IF(B907="","","")</f>
        <v/>
      </c>
      <c r="H907" s="23" t="str">
        <f aca="false">IF(B907="","","")</f>
        <v/>
      </c>
      <c r="I907" s="23" t="str">
        <f aca="false">IF(B907="","",IF(Brand_Log!O107="","",Brand_Log!O107&amp;""))</f>
        <v/>
      </c>
      <c r="J907" s="23" t="str">
        <f aca="false">IF(B907="","","")</f>
        <v/>
      </c>
      <c r="K907" s="32" t="s">
        <v>1356</v>
      </c>
    </row>
    <row r="908" customFormat="false" ht="15" hidden="false" customHeight="false" outlineLevel="0" collapsed="false">
      <c r="A908" s="23" t="str">
        <f aca="false">IF(B908="","",B908+(5*1000+107)/10000000)</f>
        <v/>
      </c>
      <c r="B908" s="35" t="str">
        <f aca="false">IF(AND(Brand_Log!AY108=1,Brand_Log!AN108="Y"),Brand_Log!H108,"")</f>
        <v/>
      </c>
      <c r="C908" s="23" t="str">
        <f aca="false">IF(B908="","","brand")</f>
        <v/>
      </c>
      <c r="D908" s="23" t="str">
        <f aca="false">IF(B908="","",Brand_Log!DV108&amp;"")</f>
        <v/>
      </c>
      <c r="E908" s="23" t="str">
        <f aca="false">IF(B908="","",IF(Brand_Log!B108="","",Brand_Log!B108&amp;""))</f>
        <v/>
      </c>
      <c r="F908" s="23" t="str">
        <f aca="false">IF(B908="","","yes_in_principle")</f>
        <v/>
      </c>
      <c r="G908" s="23" t="str">
        <f aca="false">IF(B908="","","")</f>
        <v/>
      </c>
      <c r="H908" s="23" t="str">
        <f aca="false">IF(B908="","","")</f>
        <v/>
      </c>
      <c r="I908" s="23" t="str">
        <f aca="false">IF(B908="","",IF(Brand_Log!O108="","",Brand_Log!O108&amp;""))</f>
        <v/>
      </c>
      <c r="J908" s="23" t="str">
        <f aca="false">IF(B908="","","")</f>
        <v/>
      </c>
      <c r="K908" s="32" t="s">
        <v>1356</v>
      </c>
    </row>
    <row r="909" customFormat="false" ht="15" hidden="false" customHeight="false" outlineLevel="0" collapsed="false">
      <c r="A909" s="23" t="str">
        <f aca="false">IF(B909="","",B909+(5*1000+108)/10000000)</f>
        <v/>
      </c>
      <c r="B909" s="35" t="str">
        <f aca="false">IF(AND(Brand_Log!AY109=1,Brand_Log!AN109="Y"),Brand_Log!H109,"")</f>
        <v/>
      </c>
      <c r="C909" s="23" t="str">
        <f aca="false">IF(B909="","","brand")</f>
        <v/>
      </c>
      <c r="D909" s="23" t="str">
        <f aca="false">IF(B909="","",Brand_Log!DV109&amp;"")</f>
        <v/>
      </c>
      <c r="E909" s="23" t="str">
        <f aca="false">IF(B909="","",IF(Brand_Log!B109="","",Brand_Log!B109&amp;""))</f>
        <v/>
      </c>
      <c r="F909" s="23" t="str">
        <f aca="false">IF(B909="","","yes_in_principle")</f>
        <v/>
      </c>
      <c r="G909" s="23" t="str">
        <f aca="false">IF(B909="","","")</f>
        <v/>
      </c>
      <c r="H909" s="23" t="str">
        <f aca="false">IF(B909="","","")</f>
        <v/>
      </c>
      <c r="I909" s="23" t="str">
        <f aca="false">IF(B909="","",IF(Brand_Log!O109="","",Brand_Log!O109&amp;""))</f>
        <v/>
      </c>
      <c r="J909" s="23" t="str">
        <f aca="false">IF(B909="","","")</f>
        <v/>
      </c>
      <c r="K909" s="32" t="s">
        <v>1356</v>
      </c>
    </row>
    <row r="910" customFormat="false" ht="15" hidden="false" customHeight="false" outlineLevel="0" collapsed="false">
      <c r="A910" s="23" t="str">
        <f aca="false">IF(B910="","",B910+(5*1000+109)/10000000)</f>
        <v/>
      </c>
      <c r="B910" s="35" t="str">
        <f aca="false">IF(AND(Brand_Log!AY110=1,Brand_Log!AN110="Y"),Brand_Log!H110,"")</f>
        <v/>
      </c>
      <c r="C910" s="23" t="str">
        <f aca="false">IF(B910="","","brand")</f>
        <v/>
      </c>
      <c r="D910" s="23" t="str">
        <f aca="false">IF(B910="","",Brand_Log!DV110&amp;"")</f>
        <v/>
      </c>
      <c r="E910" s="23" t="str">
        <f aca="false">IF(B910="","",IF(Brand_Log!B110="","",Brand_Log!B110&amp;""))</f>
        <v/>
      </c>
      <c r="F910" s="23" t="str">
        <f aca="false">IF(B910="","","yes_in_principle")</f>
        <v/>
      </c>
      <c r="G910" s="23" t="str">
        <f aca="false">IF(B910="","","")</f>
        <v/>
      </c>
      <c r="H910" s="23" t="str">
        <f aca="false">IF(B910="","","")</f>
        <v/>
      </c>
      <c r="I910" s="23" t="str">
        <f aca="false">IF(B910="","",IF(Brand_Log!O110="","",Brand_Log!O110&amp;""))</f>
        <v/>
      </c>
      <c r="J910" s="23" t="str">
        <f aca="false">IF(B910="","","")</f>
        <v/>
      </c>
      <c r="K910" s="32" t="s">
        <v>1356</v>
      </c>
    </row>
    <row r="911" customFormat="false" ht="15" hidden="false" customHeight="false" outlineLevel="0" collapsed="false">
      <c r="A911" s="23" t="str">
        <f aca="false">IF(B911="","",B911+(5*1000+110)/10000000)</f>
        <v/>
      </c>
      <c r="B911" s="35" t="str">
        <f aca="false">IF(AND(Brand_Log!AY111=1,Brand_Log!AN111="Y"),Brand_Log!H111,"")</f>
        <v/>
      </c>
      <c r="C911" s="23" t="str">
        <f aca="false">IF(B911="","","brand")</f>
        <v/>
      </c>
      <c r="D911" s="23" t="str">
        <f aca="false">IF(B911="","",Brand_Log!DV111&amp;"")</f>
        <v/>
      </c>
      <c r="E911" s="23" t="str">
        <f aca="false">IF(B911="","",IF(Brand_Log!B111="","",Brand_Log!B111&amp;""))</f>
        <v/>
      </c>
      <c r="F911" s="23" t="str">
        <f aca="false">IF(B911="","","yes_in_principle")</f>
        <v/>
      </c>
      <c r="G911" s="23" t="str">
        <f aca="false">IF(B911="","","")</f>
        <v/>
      </c>
      <c r="H911" s="23" t="str">
        <f aca="false">IF(B911="","","")</f>
        <v/>
      </c>
      <c r="I911" s="23" t="str">
        <f aca="false">IF(B911="","",IF(Brand_Log!O111="","",Brand_Log!O111&amp;""))</f>
        <v/>
      </c>
      <c r="J911" s="23" t="str">
        <f aca="false">IF(B911="","","")</f>
        <v/>
      </c>
      <c r="K911" s="32" t="s">
        <v>1356</v>
      </c>
    </row>
    <row r="912" customFormat="false" ht="15" hidden="false" customHeight="false" outlineLevel="0" collapsed="false">
      <c r="A912" s="23" t="str">
        <f aca="false">IF(B912="","",B912+(5*1000+111)/10000000)</f>
        <v/>
      </c>
      <c r="B912" s="35" t="str">
        <f aca="false">IF(AND(Brand_Log!AY112=1,Brand_Log!AN112="Y"),Brand_Log!H112,"")</f>
        <v/>
      </c>
      <c r="C912" s="23" t="str">
        <f aca="false">IF(B912="","","brand")</f>
        <v/>
      </c>
      <c r="D912" s="23" t="str">
        <f aca="false">IF(B912="","",Brand_Log!DV112&amp;"")</f>
        <v/>
      </c>
      <c r="E912" s="23" t="str">
        <f aca="false">IF(B912="","",IF(Brand_Log!B112="","",Brand_Log!B112&amp;""))</f>
        <v/>
      </c>
      <c r="F912" s="23" t="str">
        <f aca="false">IF(B912="","","yes_in_principle")</f>
        <v/>
      </c>
      <c r="G912" s="23" t="str">
        <f aca="false">IF(B912="","","")</f>
        <v/>
      </c>
      <c r="H912" s="23" t="str">
        <f aca="false">IF(B912="","","")</f>
        <v/>
      </c>
      <c r="I912" s="23" t="str">
        <f aca="false">IF(B912="","",IF(Brand_Log!O112="","",Brand_Log!O112&amp;""))</f>
        <v/>
      </c>
      <c r="J912" s="23" t="str">
        <f aca="false">IF(B912="","","")</f>
        <v/>
      </c>
      <c r="K912" s="32" t="s">
        <v>1356</v>
      </c>
    </row>
    <row r="913" customFormat="false" ht="15" hidden="false" customHeight="false" outlineLevel="0" collapsed="false">
      <c r="A913" s="23" t="str">
        <f aca="false">IF(B913="","",B913+(5*1000+112)/10000000)</f>
        <v/>
      </c>
      <c r="B913" s="35" t="str">
        <f aca="false">IF(AND(Brand_Log!AY113=1,Brand_Log!AN113="Y"),Brand_Log!H113,"")</f>
        <v/>
      </c>
      <c r="C913" s="23" t="str">
        <f aca="false">IF(B913="","","brand")</f>
        <v/>
      </c>
      <c r="D913" s="23" t="str">
        <f aca="false">IF(B913="","",Brand_Log!DV113&amp;"")</f>
        <v/>
      </c>
      <c r="E913" s="23" t="str">
        <f aca="false">IF(B913="","",IF(Brand_Log!B113="","",Brand_Log!B113&amp;""))</f>
        <v/>
      </c>
      <c r="F913" s="23" t="str">
        <f aca="false">IF(B913="","","yes_in_principle")</f>
        <v/>
      </c>
      <c r="G913" s="23" t="str">
        <f aca="false">IF(B913="","","")</f>
        <v/>
      </c>
      <c r="H913" s="23" t="str">
        <f aca="false">IF(B913="","","")</f>
        <v/>
      </c>
      <c r="I913" s="23" t="str">
        <f aca="false">IF(B913="","",IF(Brand_Log!O113="","",Brand_Log!O113&amp;""))</f>
        <v/>
      </c>
      <c r="J913" s="23" t="str">
        <f aca="false">IF(B913="","","")</f>
        <v/>
      </c>
      <c r="K913" s="32" t="s">
        <v>1356</v>
      </c>
    </row>
    <row r="914" customFormat="false" ht="15" hidden="false" customHeight="false" outlineLevel="0" collapsed="false">
      <c r="A914" s="23" t="str">
        <f aca="false">IF(B914="","",B914+(5*1000+113)/10000000)</f>
        <v/>
      </c>
      <c r="B914" s="35" t="str">
        <f aca="false">IF(AND(Brand_Log!AY114=1,Brand_Log!AN114="Y"),Brand_Log!H114,"")</f>
        <v/>
      </c>
      <c r="C914" s="23" t="str">
        <f aca="false">IF(B914="","","brand")</f>
        <v/>
      </c>
      <c r="D914" s="23" t="str">
        <f aca="false">IF(B914="","",Brand_Log!DV114&amp;"")</f>
        <v/>
      </c>
      <c r="E914" s="23" t="str">
        <f aca="false">IF(B914="","",IF(Brand_Log!B114="","",Brand_Log!B114&amp;""))</f>
        <v/>
      </c>
      <c r="F914" s="23" t="str">
        <f aca="false">IF(B914="","","yes_in_principle")</f>
        <v/>
      </c>
      <c r="G914" s="23" t="str">
        <f aca="false">IF(B914="","","")</f>
        <v/>
      </c>
      <c r="H914" s="23" t="str">
        <f aca="false">IF(B914="","","")</f>
        <v/>
      </c>
      <c r="I914" s="23" t="str">
        <f aca="false">IF(B914="","",IF(Brand_Log!O114="","",Brand_Log!O114&amp;""))</f>
        <v/>
      </c>
      <c r="J914" s="23" t="str">
        <f aca="false">IF(B914="","","")</f>
        <v/>
      </c>
      <c r="K914" s="32" t="s">
        <v>1356</v>
      </c>
    </row>
    <row r="915" customFormat="false" ht="15" hidden="false" customHeight="false" outlineLevel="0" collapsed="false">
      <c r="A915" s="23" t="str">
        <f aca="false">IF(B915="","",B915+(5*1000+114)/10000000)</f>
        <v/>
      </c>
      <c r="B915" s="35" t="str">
        <f aca="false">IF(AND(Brand_Log!AY115=1,Brand_Log!AN115="Y"),Brand_Log!H115,"")</f>
        <v/>
      </c>
      <c r="C915" s="23" t="str">
        <f aca="false">IF(B915="","","brand")</f>
        <v/>
      </c>
      <c r="D915" s="23" t="str">
        <f aca="false">IF(B915="","",Brand_Log!DV115&amp;"")</f>
        <v/>
      </c>
      <c r="E915" s="23" t="str">
        <f aca="false">IF(B915="","",IF(Brand_Log!B115="","",Brand_Log!B115&amp;""))</f>
        <v/>
      </c>
      <c r="F915" s="23" t="str">
        <f aca="false">IF(B915="","","yes_in_principle")</f>
        <v/>
      </c>
      <c r="G915" s="23" t="str">
        <f aca="false">IF(B915="","","")</f>
        <v/>
      </c>
      <c r="H915" s="23" t="str">
        <f aca="false">IF(B915="","","")</f>
        <v/>
      </c>
      <c r="I915" s="23" t="str">
        <f aca="false">IF(B915="","",IF(Brand_Log!O115="","",Brand_Log!O115&amp;""))</f>
        <v/>
      </c>
      <c r="J915" s="23" t="str">
        <f aca="false">IF(B915="","","")</f>
        <v/>
      </c>
      <c r="K915" s="32" t="s">
        <v>1356</v>
      </c>
    </row>
    <row r="916" customFormat="false" ht="15" hidden="false" customHeight="false" outlineLevel="0" collapsed="false">
      <c r="A916" s="23" t="str">
        <f aca="false">IF(B916="","",B916+(5*1000+115)/10000000)</f>
        <v/>
      </c>
      <c r="B916" s="35" t="str">
        <f aca="false">IF(AND(Brand_Log!AY116=1,Brand_Log!AN116="Y"),Brand_Log!H116,"")</f>
        <v/>
      </c>
      <c r="C916" s="23" t="str">
        <f aca="false">IF(B916="","","brand")</f>
        <v/>
      </c>
      <c r="D916" s="23" t="str">
        <f aca="false">IF(B916="","",Brand_Log!DV116&amp;"")</f>
        <v/>
      </c>
      <c r="E916" s="23" t="str">
        <f aca="false">IF(B916="","",IF(Brand_Log!B116="","",Brand_Log!B116&amp;""))</f>
        <v/>
      </c>
      <c r="F916" s="23" t="str">
        <f aca="false">IF(B916="","","yes_in_principle")</f>
        <v/>
      </c>
      <c r="G916" s="23" t="str">
        <f aca="false">IF(B916="","","")</f>
        <v/>
      </c>
      <c r="H916" s="23" t="str">
        <f aca="false">IF(B916="","","")</f>
        <v/>
      </c>
      <c r="I916" s="23" t="str">
        <f aca="false">IF(B916="","",IF(Brand_Log!O116="","",Brand_Log!O116&amp;""))</f>
        <v/>
      </c>
      <c r="J916" s="23" t="str">
        <f aca="false">IF(B916="","","")</f>
        <v/>
      </c>
      <c r="K916" s="32" t="s">
        <v>1356</v>
      </c>
    </row>
    <row r="917" customFormat="false" ht="15" hidden="false" customHeight="false" outlineLevel="0" collapsed="false">
      <c r="A917" s="23" t="str">
        <f aca="false">IF(B917="","",B917+(5*1000+116)/10000000)</f>
        <v/>
      </c>
      <c r="B917" s="35" t="str">
        <f aca="false">IF(AND(Brand_Log!AY117=1,Brand_Log!AN117="Y"),Brand_Log!H117,"")</f>
        <v/>
      </c>
      <c r="C917" s="23" t="str">
        <f aca="false">IF(B917="","","brand")</f>
        <v/>
      </c>
      <c r="D917" s="23" t="str">
        <f aca="false">IF(B917="","",Brand_Log!DV117&amp;"")</f>
        <v/>
      </c>
      <c r="E917" s="23" t="str">
        <f aca="false">IF(B917="","",IF(Brand_Log!B117="","",Brand_Log!B117&amp;""))</f>
        <v/>
      </c>
      <c r="F917" s="23" t="str">
        <f aca="false">IF(B917="","","yes_in_principle")</f>
        <v/>
      </c>
      <c r="G917" s="23" t="str">
        <f aca="false">IF(B917="","","")</f>
        <v/>
      </c>
      <c r="H917" s="23" t="str">
        <f aca="false">IF(B917="","","")</f>
        <v/>
      </c>
      <c r="I917" s="23" t="str">
        <f aca="false">IF(B917="","",IF(Brand_Log!O117="","",Brand_Log!O117&amp;""))</f>
        <v/>
      </c>
      <c r="J917" s="23" t="str">
        <f aca="false">IF(B917="","","")</f>
        <v/>
      </c>
      <c r="K917" s="32" t="s">
        <v>1356</v>
      </c>
    </row>
    <row r="918" customFormat="false" ht="15" hidden="false" customHeight="false" outlineLevel="0" collapsed="false">
      <c r="A918" s="23" t="str">
        <f aca="false">IF(B918="","",B918+(5*1000+117)/10000000)</f>
        <v/>
      </c>
      <c r="B918" s="35" t="str">
        <f aca="false">IF(AND(Brand_Log!AY118=1,Brand_Log!AN118="Y"),Brand_Log!H118,"")</f>
        <v/>
      </c>
      <c r="C918" s="23" t="str">
        <f aca="false">IF(B918="","","brand")</f>
        <v/>
      </c>
      <c r="D918" s="23" t="str">
        <f aca="false">IF(B918="","",Brand_Log!DV118&amp;"")</f>
        <v/>
      </c>
      <c r="E918" s="23" t="str">
        <f aca="false">IF(B918="","",IF(Brand_Log!B118="","",Brand_Log!B118&amp;""))</f>
        <v/>
      </c>
      <c r="F918" s="23" t="str">
        <f aca="false">IF(B918="","","yes_in_principle")</f>
        <v/>
      </c>
      <c r="G918" s="23" t="str">
        <f aca="false">IF(B918="","","")</f>
        <v/>
      </c>
      <c r="H918" s="23" t="str">
        <f aca="false">IF(B918="","","")</f>
        <v/>
      </c>
      <c r="I918" s="23" t="str">
        <f aca="false">IF(B918="","",IF(Brand_Log!O118="","",Brand_Log!O118&amp;""))</f>
        <v/>
      </c>
      <c r="J918" s="23" t="str">
        <f aca="false">IF(B918="","","")</f>
        <v/>
      </c>
      <c r="K918" s="32" t="s">
        <v>1356</v>
      </c>
    </row>
    <row r="919" customFormat="false" ht="15" hidden="false" customHeight="false" outlineLevel="0" collapsed="false">
      <c r="A919" s="23" t="str">
        <f aca="false">IF(B919="","",B919+(5*1000+118)/10000000)</f>
        <v/>
      </c>
      <c r="B919" s="35" t="str">
        <f aca="false">IF(AND(Brand_Log!AY119=1,Brand_Log!AN119="Y"),Brand_Log!H119,"")</f>
        <v/>
      </c>
      <c r="C919" s="23" t="str">
        <f aca="false">IF(B919="","","brand")</f>
        <v/>
      </c>
      <c r="D919" s="23" t="str">
        <f aca="false">IF(B919="","",Brand_Log!DV119&amp;"")</f>
        <v/>
      </c>
      <c r="E919" s="23" t="str">
        <f aca="false">IF(B919="","",IF(Brand_Log!B119="","",Brand_Log!B119&amp;""))</f>
        <v/>
      </c>
      <c r="F919" s="23" t="str">
        <f aca="false">IF(B919="","","yes_in_principle")</f>
        <v/>
      </c>
      <c r="G919" s="23" t="str">
        <f aca="false">IF(B919="","","")</f>
        <v/>
      </c>
      <c r="H919" s="23" t="str">
        <f aca="false">IF(B919="","","")</f>
        <v/>
      </c>
      <c r="I919" s="23" t="str">
        <f aca="false">IF(B919="","",IF(Brand_Log!O119="","",Brand_Log!O119&amp;""))</f>
        <v/>
      </c>
      <c r="J919" s="23" t="str">
        <f aca="false">IF(B919="","","")</f>
        <v/>
      </c>
      <c r="K919" s="32" t="s">
        <v>1356</v>
      </c>
    </row>
    <row r="920" customFormat="false" ht="15" hidden="false" customHeight="false" outlineLevel="0" collapsed="false">
      <c r="A920" s="23" t="str">
        <f aca="false">IF(B920="","",B920+(5*1000+119)/10000000)</f>
        <v/>
      </c>
      <c r="B920" s="35" t="str">
        <f aca="false">IF(AND(Brand_Log!AY120=1,Brand_Log!AN120="Y"),Brand_Log!H120,"")</f>
        <v/>
      </c>
      <c r="C920" s="23" t="str">
        <f aca="false">IF(B920="","","brand")</f>
        <v/>
      </c>
      <c r="D920" s="23" t="str">
        <f aca="false">IF(B920="","",Brand_Log!DV120&amp;"")</f>
        <v/>
      </c>
      <c r="E920" s="23" t="str">
        <f aca="false">IF(B920="","",IF(Brand_Log!B120="","",Brand_Log!B120&amp;""))</f>
        <v/>
      </c>
      <c r="F920" s="23" t="str">
        <f aca="false">IF(B920="","","yes_in_principle")</f>
        <v/>
      </c>
      <c r="G920" s="23" t="str">
        <f aca="false">IF(B920="","","")</f>
        <v/>
      </c>
      <c r="H920" s="23" t="str">
        <f aca="false">IF(B920="","","")</f>
        <v/>
      </c>
      <c r="I920" s="23" t="str">
        <f aca="false">IF(B920="","",IF(Brand_Log!O120="","",Brand_Log!O120&amp;""))</f>
        <v/>
      </c>
      <c r="J920" s="23" t="str">
        <f aca="false">IF(B920="","","")</f>
        <v/>
      </c>
      <c r="K920" s="32" t="s">
        <v>1356</v>
      </c>
    </row>
    <row r="921" customFormat="false" ht="15" hidden="false" customHeight="false" outlineLevel="0" collapsed="false">
      <c r="A921" s="23" t="str">
        <f aca="false">IF(B921="","",B921+(5*1000+120)/10000000)</f>
        <v/>
      </c>
      <c r="B921" s="35" t="str">
        <f aca="false">IF(AND(Brand_Log!AY121=1,Brand_Log!AN121="Y"),Brand_Log!H121,"")</f>
        <v/>
      </c>
      <c r="C921" s="23" t="str">
        <f aca="false">IF(B921="","","brand")</f>
        <v/>
      </c>
      <c r="D921" s="23" t="str">
        <f aca="false">IF(B921="","",Brand_Log!DV121&amp;"")</f>
        <v/>
      </c>
      <c r="E921" s="23" t="str">
        <f aca="false">IF(B921="","",IF(Brand_Log!B121="","",Brand_Log!B121&amp;""))</f>
        <v/>
      </c>
      <c r="F921" s="23" t="str">
        <f aca="false">IF(B921="","","yes_in_principle")</f>
        <v/>
      </c>
      <c r="G921" s="23" t="str">
        <f aca="false">IF(B921="","","")</f>
        <v/>
      </c>
      <c r="H921" s="23" t="str">
        <f aca="false">IF(B921="","","")</f>
        <v/>
      </c>
      <c r="I921" s="23" t="str">
        <f aca="false">IF(B921="","",IF(Brand_Log!O121="","",Brand_Log!O121&amp;""))</f>
        <v/>
      </c>
      <c r="J921" s="23" t="str">
        <f aca="false">IF(B921="","","")</f>
        <v/>
      </c>
      <c r="K921" s="32" t="s">
        <v>1356</v>
      </c>
    </row>
    <row r="922" customFormat="false" ht="15" hidden="false" customHeight="false" outlineLevel="0" collapsed="false">
      <c r="A922" s="23" t="str">
        <f aca="false">IF(B922="","",B922+(5*1000+121)/10000000)</f>
        <v/>
      </c>
      <c r="B922" s="35" t="str">
        <f aca="false">IF(AND(Brand_Log!AY122=1,Brand_Log!AN122="Y"),Brand_Log!H122,"")</f>
        <v/>
      </c>
      <c r="C922" s="23" t="str">
        <f aca="false">IF(B922="","","brand")</f>
        <v/>
      </c>
      <c r="D922" s="23" t="str">
        <f aca="false">IF(B922="","",Brand_Log!DV122&amp;"")</f>
        <v/>
      </c>
      <c r="E922" s="23" t="str">
        <f aca="false">IF(B922="","",IF(Brand_Log!B122="","",Brand_Log!B122&amp;""))</f>
        <v/>
      </c>
      <c r="F922" s="23" t="str">
        <f aca="false">IF(B922="","","yes_in_principle")</f>
        <v/>
      </c>
      <c r="G922" s="23" t="str">
        <f aca="false">IF(B922="","","")</f>
        <v/>
      </c>
      <c r="H922" s="23" t="str">
        <f aca="false">IF(B922="","","")</f>
        <v/>
      </c>
      <c r="I922" s="23" t="str">
        <f aca="false">IF(B922="","",IF(Brand_Log!O122="","",Brand_Log!O122&amp;""))</f>
        <v/>
      </c>
      <c r="J922" s="23" t="str">
        <f aca="false">IF(B922="","","")</f>
        <v/>
      </c>
      <c r="K922" s="32" t="s">
        <v>1356</v>
      </c>
    </row>
    <row r="923" customFormat="false" ht="15" hidden="false" customHeight="false" outlineLevel="0" collapsed="false">
      <c r="A923" s="23" t="str">
        <f aca="false">IF(B923="","",B923+(5*1000+122)/10000000)</f>
        <v/>
      </c>
      <c r="B923" s="35" t="str">
        <f aca="false">IF(AND(Brand_Log!AY123=1,Brand_Log!AN123="Y"),Brand_Log!H123,"")</f>
        <v/>
      </c>
      <c r="C923" s="23" t="str">
        <f aca="false">IF(B923="","","brand")</f>
        <v/>
      </c>
      <c r="D923" s="23" t="str">
        <f aca="false">IF(B923="","",Brand_Log!DV123&amp;"")</f>
        <v/>
      </c>
      <c r="E923" s="23" t="str">
        <f aca="false">IF(B923="","",IF(Brand_Log!B123="","",Brand_Log!B123&amp;""))</f>
        <v/>
      </c>
      <c r="F923" s="23" t="str">
        <f aca="false">IF(B923="","","yes_in_principle")</f>
        <v/>
      </c>
      <c r="G923" s="23" t="str">
        <f aca="false">IF(B923="","","")</f>
        <v/>
      </c>
      <c r="H923" s="23" t="str">
        <f aca="false">IF(B923="","","")</f>
        <v/>
      </c>
      <c r="I923" s="23" t="str">
        <f aca="false">IF(B923="","",IF(Brand_Log!O123="","",Brand_Log!O123&amp;""))</f>
        <v/>
      </c>
      <c r="J923" s="23" t="str">
        <f aca="false">IF(B923="","","")</f>
        <v/>
      </c>
      <c r="K923" s="32" t="s">
        <v>1356</v>
      </c>
    </row>
    <row r="924" customFormat="false" ht="15" hidden="false" customHeight="false" outlineLevel="0" collapsed="false">
      <c r="A924" s="23" t="str">
        <f aca="false">IF(B924="","",B924+(5*1000+123)/10000000)</f>
        <v/>
      </c>
      <c r="B924" s="35" t="str">
        <f aca="false">IF(AND(Brand_Log!AY124=1,Brand_Log!AN124="Y"),Brand_Log!H124,"")</f>
        <v/>
      </c>
      <c r="C924" s="23" t="str">
        <f aca="false">IF(B924="","","brand")</f>
        <v/>
      </c>
      <c r="D924" s="23" t="str">
        <f aca="false">IF(B924="","",Brand_Log!DV124&amp;"")</f>
        <v/>
      </c>
      <c r="E924" s="23" t="str">
        <f aca="false">IF(B924="","",IF(Brand_Log!B124="","",Brand_Log!B124&amp;""))</f>
        <v/>
      </c>
      <c r="F924" s="23" t="str">
        <f aca="false">IF(B924="","","yes_in_principle")</f>
        <v/>
      </c>
      <c r="G924" s="23" t="str">
        <f aca="false">IF(B924="","","")</f>
        <v/>
      </c>
      <c r="H924" s="23" t="str">
        <f aca="false">IF(B924="","","")</f>
        <v/>
      </c>
      <c r="I924" s="23" t="str">
        <f aca="false">IF(B924="","",IF(Brand_Log!O124="","",Brand_Log!O124&amp;""))</f>
        <v/>
      </c>
      <c r="J924" s="23" t="str">
        <f aca="false">IF(B924="","","")</f>
        <v/>
      </c>
      <c r="K924" s="32" t="s">
        <v>1356</v>
      </c>
    </row>
    <row r="925" customFormat="false" ht="15" hidden="false" customHeight="false" outlineLevel="0" collapsed="false">
      <c r="A925" s="23" t="str">
        <f aca="false">IF(B925="","",B925+(5*1000+124)/10000000)</f>
        <v/>
      </c>
      <c r="B925" s="35" t="str">
        <f aca="false">IF(AND(Brand_Log!AY125=1,Brand_Log!AN125="Y"),Brand_Log!H125,"")</f>
        <v/>
      </c>
      <c r="C925" s="23" t="str">
        <f aca="false">IF(B925="","","brand")</f>
        <v/>
      </c>
      <c r="D925" s="23" t="str">
        <f aca="false">IF(B925="","",Brand_Log!DV125&amp;"")</f>
        <v/>
      </c>
      <c r="E925" s="23" t="str">
        <f aca="false">IF(B925="","",IF(Brand_Log!B125="","",Brand_Log!B125&amp;""))</f>
        <v/>
      </c>
      <c r="F925" s="23" t="str">
        <f aca="false">IF(B925="","","yes_in_principle")</f>
        <v/>
      </c>
      <c r="G925" s="23" t="str">
        <f aca="false">IF(B925="","","")</f>
        <v/>
      </c>
      <c r="H925" s="23" t="str">
        <f aca="false">IF(B925="","","")</f>
        <v/>
      </c>
      <c r="I925" s="23" t="str">
        <f aca="false">IF(B925="","",IF(Brand_Log!O125="","",Brand_Log!O125&amp;""))</f>
        <v/>
      </c>
      <c r="J925" s="23" t="str">
        <f aca="false">IF(B925="","","")</f>
        <v/>
      </c>
      <c r="K925" s="32" t="s">
        <v>1356</v>
      </c>
    </row>
    <row r="926" customFormat="false" ht="15" hidden="false" customHeight="false" outlineLevel="0" collapsed="false">
      <c r="A926" s="23" t="str">
        <f aca="false">IF(B926="","",B926+(5*1000+125)/10000000)</f>
        <v/>
      </c>
      <c r="B926" s="35" t="str">
        <f aca="false">IF(AND(Brand_Log!AY126=1,Brand_Log!AN126="Y"),Brand_Log!H126,"")</f>
        <v/>
      </c>
      <c r="C926" s="23" t="str">
        <f aca="false">IF(B926="","","brand")</f>
        <v/>
      </c>
      <c r="D926" s="23" t="str">
        <f aca="false">IF(B926="","",Brand_Log!DV126&amp;"")</f>
        <v/>
      </c>
      <c r="E926" s="23" t="str">
        <f aca="false">IF(B926="","",IF(Brand_Log!B126="","",Brand_Log!B126&amp;""))</f>
        <v/>
      </c>
      <c r="F926" s="23" t="str">
        <f aca="false">IF(B926="","","yes_in_principle")</f>
        <v/>
      </c>
      <c r="G926" s="23" t="str">
        <f aca="false">IF(B926="","","")</f>
        <v/>
      </c>
      <c r="H926" s="23" t="str">
        <f aca="false">IF(B926="","","")</f>
        <v/>
      </c>
      <c r="I926" s="23" t="str">
        <f aca="false">IF(B926="","",IF(Brand_Log!O126="","",Brand_Log!O126&amp;""))</f>
        <v/>
      </c>
      <c r="J926" s="23" t="str">
        <f aca="false">IF(B926="","","")</f>
        <v/>
      </c>
      <c r="K926" s="32" t="s">
        <v>1356</v>
      </c>
    </row>
    <row r="927" customFormat="false" ht="15" hidden="false" customHeight="false" outlineLevel="0" collapsed="false">
      <c r="A927" s="23" t="str">
        <f aca="false">IF(B927="","",B927+(5*1000+126)/10000000)</f>
        <v/>
      </c>
      <c r="B927" s="35" t="str">
        <f aca="false">IF(AND(Brand_Log!AY127=1,Brand_Log!AN127="Y"),Brand_Log!H127,"")</f>
        <v/>
      </c>
      <c r="C927" s="23" t="str">
        <f aca="false">IF(B927="","","brand")</f>
        <v/>
      </c>
      <c r="D927" s="23" t="str">
        <f aca="false">IF(B927="","",Brand_Log!DV127&amp;"")</f>
        <v/>
      </c>
      <c r="E927" s="23" t="str">
        <f aca="false">IF(B927="","",IF(Brand_Log!B127="","",Brand_Log!B127&amp;""))</f>
        <v/>
      </c>
      <c r="F927" s="23" t="str">
        <f aca="false">IF(B927="","","yes_in_principle")</f>
        <v/>
      </c>
      <c r="G927" s="23" t="str">
        <f aca="false">IF(B927="","","")</f>
        <v/>
      </c>
      <c r="H927" s="23" t="str">
        <f aca="false">IF(B927="","","")</f>
        <v/>
      </c>
      <c r="I927" s="23" t="str">
        <f aca="false">IF(B927="","",IF(Brand_Log!O127="","",Brand_Log!O127&amp;""))</f>
        <v/>
      </c>
      <c r="J927" s="23" t="str">
        <f aca="false">IF(B927="","","")</f>
        <v/>
      </c>
      <c r="K927" s="32" t="s">
        <v>1356</v>
      </c>
    </row>
    <row r="928" customFormat="false" ht="15" hidden="false" customHeight="false" outlineLevel="0" collapsed="false">
      <c r="A928" s="23" t="str">
        <f aca="false">IF(B928="","",B928+(5*1000+127)/10000000)</f>
        <v/>
      </c>
      <c r="B928" s="35" t="str">
        <f aca="false">IF(AND(Brand_Log!AY128=1,Brand_Log!AN128="Y"),Brand_Log!H128,"")</f>
        <v/>
      </c>
      <c r="C928" s="23" t="str">
        <f aca="false">IF(B928="","","brand")</f>
        <v/>
      </c>
      <c r="D928" s="23" t="str">
        <f aca="false">IF(B928="","",Brand_Log!DV128&amp;"")</f>
        <v/>
      </c>
      <c r="E928" s="23" t="str">
        <f aca="false">IF(B928="","",IF(Brand_Log!B128="","",Brand_Log!B128&amp;""))</f>
        <v/>
      </c>
      <c r="F928" s="23" t="str">
        <f aca="false">IF(B928="","","yes_in_principle")</f>
        <v/>
      </c>
      <c r="G928" s="23" t="str">
        <f aca="false">IF(B928="","","")</f>
        <v/>
      </c>
      <c r="H928" s="23" t="str">
        <f aca="false">IF(B928="","","")</f>
        <v/>
      </c>
      <c r="I928" s="23" t="str">
        <f aca="false">IF(B928="","",IF(Brand_Log!O128="","",Brand_Log!O128&amp;""))</f>
        <v/>
      </c>
      <c r="J928" s="23" t="str">
        <f aca="false">IF(B928="","","")</f>
        <v/>
      </c>
      <c r="K928" s="32" t="s">
        <v>1356</v>
      </c>
    </row>
    <row r="929" customFormat="false" ht="15" hidden="false" customHeight="false" outlineLevel="0" collapsed="false">
      <c r="A929" s="23" t="str">
        <f aca="false">IF(B929="","",B929+(5*1000+128)/10000000)</f>
        <v/>
      </c>
      <c r="B929" s="35" t="str">
        <f aca="false">IF(AND(Brand_Log!AY129=1,Brand_Log!AN129="Y"),Brand_Log!H129,"")</f>
        <v/>
      </c>
      <c r="C929" s="23" t="str">
        <f aca="false">IF(B929="","","brand")</f>
        <v/>
      </c>
      <c r="D929" s="23" t="str">
        <f aca="false">IF(B929="","",Brand_Log!DV129&amp;"")</f>
        <v/>
      </c>
      <c r="E929" s="23" t="str">
        <f aca="false">IF(B929="","",IF(Brand_Log!B129="","",Brand_Log!B129&amp;""))</f>
        <v/>
      </c>
      <c r="F929" s="23" t="str">
        <f aca="false">IF(B929="","","yes_in_principle")</f>
        <v/>
      </c>
      <c r="G929" s="23" t="str">
        <f aca="false">IF(B929="","","")</f>
        <v/>
      </c>
      <c r="H929" s="23" t="str">
        <f aca="false">IF(B929="","","")</f>
        <v/>
      </c>
      <c r="I929" s="23" t="str">
        <f aca="false">IF(B929="","",IF(Brand_Log!O129="","",Brand_Log!O129&amp;""))</f>
        <v/>
      </c>
      <c r="J929" s="23" t="str">
        <f aca="false">IF(B929="","","")</f>
        <v/>
      </c>
      <c r="K929" s="32" t="s">
        <v>1356</v>
      </c>
    </row>
    <row r="930" customFormat="false" ht="15" hidden="false" customHeight="false" outlineLevel="0" collapsed="false">
      <c r="A930" s="23" t="str">
        <f aca="false">IF(B930="","",B930+(5*1000+129)/10000000)</f>
        <v/>
      </c>
      <c r="B930" s="35" t="str">
        <f aca="false">IF(AND(Brand_Log!AY130=1,Brand_Log!AN130="Y"),Brand_Log!H130,"")</f>
        <v/>
      </c>
      <c r="C930" s="23" t="str">
        <f aca="false">IF(B930="","","brand")</f>
        <v/>
      </c>
      <c r="D930" s="23" t="str">
        <f aca="false">IF(B930="","",Brand_Log!DV130&amp;"")</f>
        <v/>
      </c>
      <c r="E930" s="23" t="str">
        <f aca="false">IF(B930="","",IF(Brand_Log!B130="","",Brand_Log!B130&amp;""))</f>
        <v/>
      </c>
      <c r="F930" s="23" t="str">
        <f aca="false">IF(B930="","","yes_in_principle")</f>
        <v/>
      </c>
      <c r="G930" s="23" t="str">
        <f aca="false">IF(B930="","","")</f>
        <v/>
      </c>
      <c r="H930" s="23" t="str">
        <f aca="false">IF(B930="","","")</f>
        <v/>
      </c>
      <c r="I930" s="23" t="str">
        <f aca="false">IF(B930="","",IF(Brand_Log!O130="","",Brand_Log!O130&amp;""))</f>
        <v/>
      </c>
      <c r="J930" s="23" t="str">
        <f aca="false">IF(B930="","","")</f>
        <v/>
      </c>
      <c r="K930" s="32" t="s">
        <v>1356</v>
      </c>
    </row>
    <row r="931" customFormat="false" ht="15" hidden="false" customHeight="false" outlineLevel="0" collapsed="false">
      <c r="A931" s="23" t="str">
        <f aca="false">IF(B931="","",B931+(5*1000+130)/10000000)</f>
        <v/>
      </c>
      <c r="B931" s="35" t="str">
        <f aca="false">IF(AND(Brand_Log!AY131=1,Brand_Log!AN131="Y"),Brand_Log!H131,"")</f>
        <v/>
      </c>
      <c r="C931" s="23" t="str">
        <f aca="false">IF(B931="","","brand")</f>
        <v/>
      </c>
      <c r="D931" s="23" t="str">
        <f aca="false">IF(B931="","",Brand_Log!DV131&amp;"")</f>
        <v/>
      </c>
      <c r="E931" s="23" t="str">
        <f aca="false">IF(B931="","",IF(Brand_Log!B131="","",Brand_Log!B131&amp;""))</f>
        <v/>
      </c>
      <c r="F931" s="23" t="str">
        <f aca="false">IF(B931="","","yes_in_principle")</f>
        <v/>
      </c>
      <c r="G931" s="23" t="str">
        <f aca="false">IF(B931="","","")</f>
        <v/>
      </c>
      <c r="H931" s="23" t="str">
        <f aca="false">IF(B931="","","")</f>
        <v/>
      </c>
      <c r="I931" s="23" t="str">
        <f aca="false">IF(B931="","",IF(Brand_Log!O131="","",Brand_Log!O131&amp;""))</f>
        <v/>
      </c>
      <c r="J931" s="23" t="str">
        <f aca="false">IF(B931="","","")</f>
        <v/>
      </c>
      <c r="K931" s="32" t="s">
        <v>1356</v>
      </c>
    </row>
    <row r="932" customFormat="false" ht="15" hidden="false" customHeight="false" outlineLevel="0" collapsed="false">
      <c r="A932" s="23" t="str">
        <f aca="false">IF(B932="","",B932+(5*1000+131)/10000000)</f>
        <v/>
      </c>
      <c r="B932" s="35" t="str">
        <f aca="false">IF(AND(Brand_Log!AY132=1,Brand_Log!AN132="Y"),Brand_Log!H132,"")</f>
        <v/>
      </c>
      <c r="C932" s="23" t="str">
        <f aca="false">IF(B932="","","brand")</f>
        <v/>
      </c>
      <c r="D932" s="23" t="str">
        <f aca="false">IF(B932="","",Brand_Log!DV132&amp;"")</f>
        <v/>
      </c>
      <c r="E932" s="23" t="str">
        <f aca="false">IF(B932="","",IF(Brand_Log!B132="","",Brand_Log!B132&amp;""))</f>
        <v/>
      </c>
      <c r="F932" s="23" t="str">
        <f aca="false">IF(B932="","","yes_in_principle")</f>
        <v/>
      </c>
      <c r="G932" s="23" t="str">
        <f aca="false">IF(B932="","","")</f>
        <v/>
      </c>
      <c r="H932" s="23" t="str">
        <f aca="false">IF(B932="","","")</f>
        <v/>
      </c>
      <c r="I932" s="23" t="str">
        <f aca="false">IF(B932="","",IF(Brand_Log!O132="","",Brand_Log!O132&amp;""))</f>
        <v/>
      </c>
      <c r="J932" s="23" t="str">
        <f aca="false">IF(B932="","","")</f>
        <v/>
      </c>
      <c r="K932" s="32" t="s">
        <v>1356</v>
      </c>
    </row>
    <row r="933" customFormat="false" ht="15" hidden="false" customHeight="false" outlineLevel="0" collapsed="false">
      <c r="A933" s="23" t="str">
        <f aca="false">IF(B933="","",B933+(5*1000+132)/10000000)</f>
        <v/>
      </c>
      <c r="B933" s="35" t="str">
        <f aca="false">IF(AND(Brand_Log!AY133=1,Brand_Log!AN133="Y"),Brand_Log!H133,"")</f>
        <v/>
      </c>
      <c r="C933" s="23" t="str">
        <f aca="false">IF(B933="","","brand")</f>
        <v/>
      </c>
      <c r="D933" s="23" t="str">
        <f aca="false">IF(B933="","",Brand_Log!DV133&amp;"")</f>
        <v/>
      </c>
      <c r="E933" s="23" t="str">
        <f aca="false">IF(B933="","",IF(Brand_Log!B133="","",Brand_Log!B133&amp;""))</f>
        <v/>
      </c>
      <c r="F933" s="23" t="str">
        <f aca="false">IF(B933="","","yes_in_principle")</f>
        <v/>
      </c>
      <c r="G933" s="23" t="str">
        <f aca="false">IF(B933="","","")</f>
        <v/>
      </c>
      <c r="H933" s="23" t="str">
        <f aca="false">IF(B933="","","")</f>
        <v/>
      </c>
      <c r="I933" s="23" t="str">
        <f aca="false">IF(B933="","",IF(Brand_Log!O133="","",Brand_Log!O133&amp;""))</f>
        <v/>
      </c>
      <c r="J933" s="23" t="str">
        <f aca="false">IF(B933="","","")</f>
        <v/>
      </c>
      <c r="K933" s="32" t="s">
        <v>1356</v>
      </c>
    </row>
    <row r="934" customFormat="false" ht="15" hidden="false" customHeight="false" outlineLevel="0" collapsed="false">
      <c r="A934" s="23" t="str">
        <f aca="false">IF(B934="","",B934+(5*1000+133)/10000000)</f>
        <v/>
      </c>
      <c r="B934" s="35" t="str">
        <f aca="false">IF(AND(Brand_Log!AY134=1,Brand_Log!AN134="Y"),Brand_Log!H134,"")</f>
        <v/>
      </c>
      <c r="C934" s="23" t="str">
        <f aca="false">IF(B934="","","brand")</f>
        <v/>
      </c>
      <c r="D934" s="23" t="str">
        <f aca="false">IF(B934="","",Brand_Log!DV134&amp;"")</f>
        <v/>
      </c>
      <c r="E934" s="23" t="str">
        <f aca="false">IF(B934="","",IF(Brand_Log!B134="","",Brand_Log!B134&amp;""))</f>
        <v/>
      </c>
      <c r="F934" s="23" t="str">
        <f aca="false">IF(B934="","","yes_in_principle")</f>
        <v/>
      </c>
      <c r="G934" s="23" t="str">
        <f aca="false">IF(B934="","","")</f>
        <v/>
      </c>
      <c r="H934" s="23" t="str">
        <f aca="false">IF(B934="","","")</f>
        <v/>
      </c>
      <c r="I934" s="23" t="str">
        <f aca="false">IF(B934="","",IF(Brand_Log!O134="","",Brand_Log!O134&amp;""))</f>
        <v/>
      </c>
      <c r="J934" s="23" t="str">
        <f aca="false">IF(B934="","","")</f>
        <v/>
      </c>
      <c r="K934" s="32" t="s">
        <v>1356</v>
      </c>
    </row>
    <row r="935" customFormat="false" ht="15" hidden="false" customHeight="false" outlineLevel="0" collapsed="false">
      <c r="A935" s="23" t="str">
        <f aca="false">IF(B935="","",B935+(5*1000+134)/10000000)</f>
        <v/>
      </c>
      <c r="B935" s="35" t="str">
        <f aca="false">IF(AND(Brand_Log!AY135=1,Brand_Log!AN135="Y"),Brand_Log!H135,"")</f>
        <v/>
      </c>
      <c r="C935" s="23" t="str">
        <f aca="false">IF(B935="","","brand")</f>
        <v/>
      </c>
      <c r="D935" s="23" t="str">
        <f aca="false">IF(B935="","",Brand_Log!DV135&amp;"")</f>
        <v/>
      </c>
      <c r="E935" s="23" t="str">
        <f aca="false">IF(B935="","",IF(Brand_Log!B135="","",Brand_Log!B135&amp;""))</f>
        <v/>
      </c>
      <c r="F935" s="23" t="str">
        <f aca="false">IF(B935="","","yes_in_principle")</f>
        <v/>
      </c>
      <c r="G935" s="23" t="str">
        <f aca="false">IF(B935="","","")</f>
        <v/>
      </c>
      <c r="H935" s="23" t="str">
        <f aca="false">IF(B935="","","")</f>
        <v/>
      </c>
      <c r="I935" s="23" t="str">
        <f aca="false">IF(B935="","",IF(Brand_Log!O135="","",Brand_Log!O135&amp;""))</f>
        <v/>
      </c>
      <c r="J935" s="23" t="str">
        <f aca="false">IF(B935="","","")</f>
        <v/>
      </c>
      <c r="K935" s="32" t="s">
        <v>1356</v>
      </c>
    </row>
    <row r="936" customFormat="false" ht="15" hidden="false" customHeight="false" outlineLevel="0" collapsed="false">
      <c r="A936" s="23" t="str">
        <f aca="false">IF(B936="","",B936+(5*1000+135)/10000000)</f>
        <v/>
      </c>
      <c r="B936" s="35" t="str">
        <f aca="false">IF(AND(Brand_Log!AY136=1,Brand_Log!AN136="Y"),Brand_Log!H136,"")</f>
        <v/>
      </c>
      <c r="C936" s="23" t="str">
        <f aca="false">IF(B936="","","brand")</f>
        <v/>
      </c>
      <c r="D936" s="23" t="str">
        <f aca="false">IF(B936="","",Brand_Log!DV136&amp;"")</f>
        <v/>
      </c>
      <c r="E936" s="23" t="str">
        <f aca="false">IF(B936="","",IF(Brand_Log!B136="","",Brand_Log!B136&amp;""))</f>
        <v/>
      </c>
      <c r="F936" s="23" t="str">
        <f aca="false">IF(B936="","","yes_in_principle")</f>
        <v/>
      </c>
      <c r="G936" s="23" t="str">
        <f aca="false">IF(B936="","","")</f>
        <v/>
      </c>
      <c r="H936" s="23" t="str">
        <f aca="false">IF(B936="","","")</f>
        <v/>
      </c>
      <c r="I936" s="23" t="str">
        <f aca="false">IF(B936="","",IF(Brand_Log!O136="","",Brand_Log!O136&amp;""))</f>
        <v/>
      </c>
      <c r="J936" s="23" t="str">
        <f aca="false">IF(B936="","","")</f>
        <v/>
      </c>
      <c r="K936" s="32" t="s">
        <v>1356</v>
      </c>
    </row>
    <row r="937" customFormat="false" ht="15" hidden="false" customHeight="false" outlineLevel="0" collapsed="false">
      <c r="A937" s="23" t="str">
        <f aca="false">IF(B937="","",B937+(5*1000+136)/10000000)</f>
        <v/>
      </c>
      <c r="B937" s="35" t="str">
        <f aca="false">IF(AND(Brand_Log!AY137=1,Brand_Log!AN137="Y"),Brand_Log!H137,"")</f>
        <v/>
      </c>
      <c r="C937" s="23" t="str">
        <f aca="false">IF(B937="","","brand")</f>
        <v/>
      </c>
      <c r="D937" s="23" t="str">
        <f aca="false">IF(B937="","",Brand_Log!DV137&amp;"")</f>
        <v/>
      </c>
      <c r="E937" s="23" t="str">
        <f aca="false">IF(B937="","",IF(Brand_Log!B137="","",Brand_Log!B137&amp;""))</f>
        <v/>
      </c>
      <c r="F937" s="23" t="str">
        <f aca="false">IF(B937="","","yes_in_principle")</f>
        <v/>
      </c>
      <c r="G937" s="23" t="str">
        <f aca="false">IF(B937="","","")</f>
        <v/>
      </c>
      <c r="H937" s="23" t="str">
        <f aca="false">IF(B937="","","")</f>
        <v/>
      </c>
      <c r="I937" s="23" t="str">
        <f aca="false">IF(B937="","",IF(Brand_Log!O137="","",Brand_Log!O137&amp;""))</f>
        <v/>
      </c>
      <c r="J937" s="23" t="str">
        <f aca="false">IF(B937="","","")</f>
        <v/>
      </c>
      <c r="K937" s="32" t="s">
        <v>1356</v>
      </c>
    </row>
    <row r="938" customFormat="false" ht="15" hidden="false" customHeight="false" outlineLevel="0" collapsed="false">
      <c r="A938" s="23" t="str">
        <f aca="false">IF(B938="","",B938+(5*1000+137)/10000000)</f>
        <v/>
      </c>
      <c r="B938" s="35" t="str">
        <f aca="false">IF(AND(Brand_Log!AY138=1,Brand_Log!AN138="Y"),Brand_Log!H138,"")</f>
        <v/>
      </c>
      <c r="C938" s="23" t="str">
        <f aca="false">IF(B938="","","brand")</f>
        <v/>
      </c>
      <c r="D938" s="23" t="str">
        <f aca="false">IF(B938="","",Brand_Log!DV138&amp;"")</f>
        <v/>
      </c>
      <c r="E938" s="23" t="str">
        <f aca="false">IF(B938="","",IF(Brand_Log!B138="","",Brand_Log!B138&amp;""))</f>
        <v/>
      </c>
      <c r="F938" s="23" t="str">
        <f aca="false">IF(B938="","","yes_in_principle")</f>
        <v/>
      </c>
      <c r="G938" s="23" t="str">
        <f aca="false">IF(B938="","","")</f>
        <v/>
      </c>
      <c r="H938" s="23" t="str">
        <f aca="false">IF(B938="","","")</f>
        <v/>
      </c>
      <c r="I938" s="23" t="str">
        <f aca="false">IF(B938="","",IF(Brand_Log!O138="","",Brand_Log!O138&amp;""))</f>
        <v/>
      </c>
      <c r="J938" s="23" t="str">
        <f aca="false">IF(B938="","","")</f>
        <v/>
      </c>
      <c r="K938" s="32" t="s">
        <v>1356</v>
      </c>
    </row>
    <row r="939" customFormat="false" ht="15" hidden="false" customHeight="false" outlineLevel="0" collapsed="false">
      <c r="A939" s="23" t="str">
        <f aca="false">IF(B939="","",B939+(5*1000+138)/10000000)</f>
        <v/>
      </c>
      <c r="B939" s="35" t="str">
        <f aca="false">IF(AND(Brand_Log!AY139=1,Brand_Log!AN139="Y"),Brand_Log!H139,"")</f>
        <v/>
      </c>
      <c r="C939" s="23" t="str">
        <f aca="false">IF(B939="","","brand")</f>
        <v/>
      </c>
      <c r="D939" s="23" t="str">
        <f aca="false">IF(B939="","",Brand_Log!DV139&amp;"")</f>
        <v/>
      </c>
      <c r="E939" s="23" t="str">
        <f aca="false">IF(B939="","",IF(Brand_Log!B139="","",Brand_Log!B139&amp;""))</f>
        <v/>
      </c>
      <c r="F939" s="23" t="str">
        <f aca="false">IF(B939="","","yes_in_principle")</f>
        <v/>
      </c>
      <c r="G939" s="23" t="str">
        <f aca="false">IF(B939="","","")</f>
        <v/>
      </c>
      <c r="H939" s="23" t="str">
        <f aca="false">IF(B939="","","")</f>
        <v/>
      </c>
      <c r="I939" s="23" t="str">
        <f aca="false">IF(B939="","",IF(Brand_Log!O139="","",Brand_Log!O139&amp;""))</f>
        <v/>
      </c>
      <c r="J939" s="23" t="str">
        <f aca="false">IF(B939="","","")</f>
        <v/>
      </c>
      <c r="K939" s="32" t="s">
        <v>1356</v>
      </c>
    </row>
    <row r="940" customFormat="false" ht="15" hidden="false" customHeight="false" outlineLevel="0" collapsed="false">
      <c r="A940" s="23" t="str">
        <f aca="false">IF(B940="","",B940+(5*1000+139)/10000000)</f>
        <v/>
      </c>
      <c r="B940" s="35" t="str">
        <f aca="false">IF(AND(Brand_Log!AY140=1,Brand_Log!AN140="Y"),Brand_Log!H140,"")</f>
        <v/>
      </c>
      <c r="C940" s="23" t="str">
        <f aca="false">IF(B940="","","brand")</f>
        <v/>
      </c>
      <c r="D940" s="23" t="str">
        <f aca="false">IF(B940="","",Brand_Log!DV140&amp;"")</f>
        <v/>
      </c>
      <c r="E940" s="23" t="str">
        <f aca="false">IF(B940="","",IF(Brand_Log!B140="","",Brand_Log!B140&amp;""))</f>
        <v/>
      </c>
      <c r="F940" s="23" t="str">
        <f aca="false">IF(B940="","","yes_in_principle")</f>
        <v/>
      </c>
      <c r="G940" s="23" t="str">
        <f aca="false">IF(B940="","","")</f>
        <v/>
      </c>
      <c r="H940" s="23" t="str">
        <f aca="false">IF(B940="","","")</f>
        <v/>
      </c>
      <c r="I940" s="23" t="str">
        <f aca="false">IF(B940="","",IF(Brand_Log!O140="","",Brand_Log!O140&amp;""))</f>
        <v/>
      </c>
      <c r="J940" s="23" t="str">
        <f aca="false">IF(B940="","","")</f>
        <v/>
      </c>
      <c r="K940" s="32" t="s">
        <v>1356</v>
      </c>
    </row>
    <row r="941" customFormat="false" ht="15" hidden="false" customHeight="false" outlineLevel="0" collapsed="false">
      <c r="A941" s="23" t="str">
        <f aca="false">IF(B941="","",B941+(5*1000+140)/10000000)</f>
        <v/>
      </c>
      <c r="B941" s="35" t="str">
        <f aca="false">IF(AND(Brand_Log!AY141=1,Brand_Log!AN141="Y"),Brand_Log!H141,"")</f>
        <v/>
      </c>
      <c r="C941" s="23" t="str">
        <f aca="false">IF(B941="","","brand")</f>
        <v/>
      </c>
      <c r="D941" s="23" t="str">
        <f aca="false">IF(B941="","",Brand_Log!DV141&amp;"")</f>
        <v/>
      </c>
      <c r="E941" s="23" t="str">
        <f aca="false">IF(B941="","",IF(Brand_Log!B141="","",Brand_Log!B141&amp;""))</f>
        <v/>
      </c>
      <c r="F941" s="23" t="str">
        <f aca="false">IF(B941="","","yes_in_principle")</f>
        <v/>
      </c>
      <c r="G941" s="23" t="str">
        <f aca="false">IF(B941="","","")</f>
        <v/>
      </c>
      <c r="H941" s="23" t="str">
        <f aca="false">IF(B941="","","")</f>
        <v/>
      </c>
      <c r="I941" s="23" t="str">
        <f aca="false">IF(B941="","",IF(Brand_Log!O141="","",Brand_Log!O141&amp;""))</f>
        <v/>
      </c>
      <c r="J941" s="23" t="str">
        <f aca="false">IF(B941="","","")</f>
        <v/>
      </c>
      <c r="K941" s="32" t="s">
        <v>1356</v>
      </c>
    </row>
    <row r="942" customFormat="false" ht="15" hidden="false" customHeight="false" outlineLevel="0" collapsed="false">
      <c r="A942" s="23" t="str">
        <f aca="false">IF(B942="","",B942+(5*1000+141)/10000000)</f>
        <v/>
      </c>
      <c r="B942" s="35" t="str">
        <f aca="false">IF(AND(Brand_Log!AY142=1,Brand_Log!AN142="Y"),Brand_Log!H142,"")</f>
        <v/>
      </c>
      <c r="C942" s="23" t="str">
        <f aca="false">IF(B942="","","brand")</f>
        <v/>
      </c>
      <c r="D942" s="23" t="str">
        <f aca="false">IF(B942="","",Brand_Log!DV142&amp;"")</f>
        <v/>
      </c>
      <c r="E942" s="23" t="str">
        <f aca="false">IF(B942="","",IF(Brand_Log!B142="","",Brand_Log!B142&amp;""))</f>
        <v/>
      </c>
      <c r="F942" s="23" t="str">
        <f aca="false">IF(B942="","","yes_in_principle")</f>
        <v/>
      </c>
      <c r="G942" s="23" t="str">
        <f aca="false">IF(B942="","","")</f>
        <v/>
      </c>
      <c r="H942" s="23" t="str">
        <f aca="false">IF(B942="","","")</f>
        <v/>
      </c>
      <c r="I942" s="23" t="str">
        <f aca="false">IF(B942="","",IF(Brand_Log!O142="","",Brand_Log!O142&amp;""))</f>
        <v/>
      </c>
      <c r="J942" s="23" t="str">
        <f aca="false">IF(B942="","","")</f>
        <v/>
      </c>
      <c r="K942" s="32" t="s">
        <v>1356</v>
      </c>
    </row>
    <row r="943" customFormat="false" ht="15" hidden="false" customHeight="false" outlineLevel="0" collapsed="false">
      <c r="A943" s="23" t="str">
        <f aca="false">IF(B943="","",B943+(5*1000+142)/10000000)</f>
        <v/>
      </c>
      <c r="B943" s="35" t="str">
        <f aca="false">IF(AND(Brand_Log!AY143=1,Brand_Log!AN143="Y"),Brand_Log!H143,"")</f>
        <v/>
      </c>
      <c r="C943" s="23" t="str">
        <f aca="false">IF(B943="","","brand")</f>
        <v/>
      </c>
      <c r="D943" s="23" t="str">
        <f aca="false">IF(B943="","",Brand_Log!DV143&amp;"")</f>
        <v/>
      </c>
      <c r="E943" s="23" t="str">
        <f aca="false">IF(B943="","",IF(Brand_Log!B143="","",Brand_Log!B143&amp;""))</f>
        <v/>
      </c>
      <c r="F943" s="23" t="str">
        <f aca="false">IF(B943="","","yes_in_principle")</f>
        <v/>
      </c>
      <c r="G943" s="23" t="str">
        <f aca="false">IF(B943="","","")</f>
        <v/>
      </c>
      <c r="H943" s="23" t="str">
        <f aca="false">IF(B943="","","")</f>
        <v/>
      </c>
      <c r="I943" s="23" t="str">
        <f aca="false">IF(B943="","",IF(Brand_Log!O143="","",Brand_Log!O143&amp;""))</f>
        <v/>
      </c>
      <c r="J943" s="23" t="str">
        <f aca="false">IF(B943="","","")</f>
        <v/>
      </c>
      <c r="K943" s="32" t="s">
        <v>1356</v>
      </c>
    </row>
    <row r="944" customFormat="false" ht="15" hidden="false" customHeight="false" outlineLevel="0" collapsed="false">
      <c r="A944" s="23" t="str">
        <f aca="false">IF(B944="","",B944+(5*1000+143)/10000000)</f>
        <v/>
      </c>
      <c r="B944" s="35" t="str">
        <f aca="false">IF(AND(Brand_Log!AY144=1,Brand_Log!AN144="Y"),Brand_Log!H144,"")</f>
        <v/>
      </c>
      <c r="C944" s="23" t="str">
        <f aca="false">IF(B944="","","brand")</f>
        <v/>
      </c>
      <c r="D944" s="23" t="str">
        <f aca="false">IF(B944="","",Brand_Log!DV144&amp;"")</f>
        <v/>
      </c>
      <c r="E944" s="23" t="str">
        <f aca="false">IF(B944="","",IF(Brand_Log!B144="","",Brand_Log!B144&amp;""))</f>
        <v/>
      </c>
      <c r="F944" s="23" t="str">
        <f aca="false">IF(B944="","","yes_in_principle")</f>
        <v/>
      </c>
      <c r="G944" s="23" t="str">
        <f aca="false">IF(B944="","","")</f>
        <v/>
      </c>
      <c r="H944" s="23" t="str">
        <f aca="false">IF(B944="","","")</f>
        <v/>
      </c>
      <c r="I944" s="23" t="str">
        <f aca="false">IF(B944="","",IF(Brand_Log!O144="","",Brand_Log!O144&amp;""))</f>
        <v/>
      </c>
      <c r="J944" s="23" t="str">
        <f aca="false">IF(B944="","","")</f>
        <v/>
      </c>
      <c r="K944" s="32" t="s">
        <v>1356</v>
      </c>
    </row>
    <row r="945" customFormat="false" ht="15" hidden="false" customHeight="false" outlineLevel="0" collapsed="false">
      <c r="A945" s="23" t="str">
        <f aca="false">IF(B945="","",B945+(5*1000+144)/10000000)</f>
        <v/>
      </c>
      <c r="B945" s="35" t="str">
        <f aca="false">IF(AND(Brand_Log!AY145=1,Brand_Log!AN145="Y"),Brand_Log!H145,"")</f>
        <v/>
      </c>
      <c r="C945" s="23" t="str">
        <f aca="false">IF(B945="","","brand")</f>
        <v/>
      </c>
      <c r="D945" s="23" t="str">
        <f aca="false">IF(B945="","",Brand_Log!DV145&amp;"")</f>
        <v/>
      </c>
      <c r="E945" s="23" t="str">
        <f aca="false">IF(B945="","",IF(Brand_Log!B145="","",Brand_Log!B145&amp;""))</f>
        <v/>
      </c>
      <c r="F945" s="23" t="str">
        <f aca="false">IF(B945="","","yes_in_principle")</f>
        <v/>
      </c>
      <c r="G945" s="23" t="str">
        <f aca="false">IF(B945="","","")</f>
        <v/>
      </c>
      <c r="H945" s="23" t="str">
        <f aca="false">IF(B945="","","")</f>
        <v/>
      </c>
      <c r="I945" s="23" t="str">
        <f aca="false">IF(B945="","",IF(Brand_Log!O145="","",Brand_Log!O145&amp;""))</f>
        <v/>
      </c>
      <c r="J945" s="23" t="str">
        <f aca="false">IF(B945="","","")</f>
        <v/>
      </c>
      <c r="K945" s="32" t="s">
        <v>1356</v>
      </c>
    </row>
    <row r="946" customFormat="false" ht="15" hidden="false" customHeight="false" outlineLevel="0" collapsed="false">
      <c r="A946" s="23" t="str">
        <f aca="false">IF(B946="","",B946+(5*1000+145)/10000000)</f>
        <v/>
      </c>
      <c r="B946" s="35" t="str">
        <f aca="false">IF(AND(Brand_Log!AY146=1,Brand_Log!AN146="Y"),Brand_Log!H146,"")</f>
        <v/>
      </c>
      <c r="C946" s="23" t="str">
        <f aca="false">IF(B946="","","brand")</f>
        <v/>
      </c>
      <c r="D946" s="23" t="str">
        <f aca="false">IF(B946="","",Brand_Log!DV146&amp;"")</f>
        <v/>
      </c>
      <c r="E946" s="23" t="str">
        <f aca="false">IF(B946="","",IF(Brand_Log!B146="","",Brand_Log!B146&amp;""))</f>
        <v/>
      </c>
      <c r="F946" s="23" t="str">
        <f aca="false">IF(B946="","","yes_in_principle")</f>
        <v/>
      </c>
      <c r="G946" s="23" t="str">
        <f aca="false">IF(B946="","","")</f>
        <v/>
      </c>
      <c r="H946" s="23" t="str">
        <f aca="false">IF(B946="","","")</f>
        <v/>
      </c>
      <c r="I946" s="23" t="str">
        <f aca="false">IF(B946="","",IF(Brand_Log!O146="","",Brand_Log!O146&amp;""))</f>
        <v/>
      </c>
      <c r="J946" s="23" t="str">
        <f aca="false">IF(B946="","","")</f>
        <v/>
      </c>
      <c r="K946" s="32" t="s">
        <v>1356</v>
      </c>
    </row>
    <row r="947" customFormat="false" ht="15" hidden="false" customHeight="false" outlineLevel="0" collapsed="false">
      <c r="A947" s="23" t="str">
        <f aca="false">IF(B947="","",B947+(5*1000+146)/10000000)</f>
        <v/>
      </c>
      <c r="B947" s="35" t="str">
        <f aca="false">IF(AND(Brand_Log!AY147=1,Brand_Log!AN147="Y"),Brand_Log!H147,"")</f>
        <v/>
      </c>
      <c r="C947" s="23" t="str">
        <f aca="false">IF(B947="","","brand")</f>
        <v/>
      </c>
      <c r="D947" s="23" t="str">
        <f aca="false">IF(B947="","",Brand_Log!DV147&amp;"")</f>
        <v/>
      </c>
      <c r="E947" s="23" t="str">
        <f aca="false">IF(B947="","",IF(Brand_Log!B147="","",Brand_Log!B147&amp;""))</f>
        <v/>
      </c>
      <c r="F947" s="23" t="str">
        <f aca="false">IF(B947="","","yes_in_principle")</f>
        <v/>
      </c>
      <c r="G947" s="23" t="str">
        <f aca="false">IF(B947="","","")</f>
        <v/>
      </c>
      <c r="H947" s="23" t="str">
        <f aca="false">IF(B947="","","")</f>
        <v/>
      </c>
      <c r="I947" s="23" t="str">
        <f aca="false">IF(B947="","",IF(Brand_Log!O147="","",Brand_Log!O147&amp;""))</f>
        <v/>
      </c>
      <c r="J947" s="23" t="str">
        <f aca="false">IF(B947="","","")</f>
        <v/>
      </c>
      <c r="K947" s="32" t="s">
        <v>1356</v>
      </c>
    </row>
    <row r="948" customFormat="false" ht="15" hidden="false" customHeight="false" outlineLevel="0" collapsed="false">
      <c r="A948" s="23" t="str">
        <f aca="false">IF(B948="","",B948+(5*1000+147)/10000000)</f>
        <v/>
      </c>
      <c r="B948" s="35" t="str">
        <f aca="false">IF(AND(Brand_Log!AY148=1,Brand_Log!AN148="Y"),Brand_Log!H148,"")</f>
        <v/>
      </c>
      <c r="C948" s="23" t="str">
        <f aca="false">IF(B948="","","brand")</f>
        <v/>
      </c>
      <c r="D948" s="23" t="str">
        <f aca="false">IF(B948="","",Brand_Log!DV148&amp;"")</f>
        <v/>
      </c>
      <c r="E948" s="23" t="str">
        <f aca="false">IF(B948="","",IF(Brand_Log!B148="","",Brand_Log!B148&amp;""))</f>
        <v/>
      </c>
      <c r="F948" s="23" t="str">
        <f aca="false">IF(B948="","","yes_in_principle")</f>
        <v/>
      </c>
      <c r="G948" s="23" t="str">
        <f aca="false">IF(B948="","","")</f>
        <v/>
      </c>
      <c r="H948" s="23" t="str">
        <f aca="false">IF(B948="","","")</f>
        <v/>
      </c>
      <c r="I948" s="23" t="str">
        <f aca="false">IF(B948="","",IF(Brand_Log!O148="","",Brand_Log!O148&amp;""))</f>
        <v/>
      </c>
      <c r="J948" s="23" t="str">
        <f aca="false">IF(B948="","","")</f>
        <v/>
      </c>
      <c r="K948" s="32" t="s">
        <v>1356</v>
      </c>
    </row>
    <row r="949" customFormat="false" ht="15" hidden="false" customHeight="false" outlineLevel="0" collapsed="false">
      <c r="A949" s="23" t="str">
        <f aca="false">IF(B949="","",B949+(5*1000+148)/10000000)</f>
        <v/>
      </c>
      <c r="B949" s="35" t="str">
        <f aca="false">IF(AND(Brand_Log!AY149=1,Brand_Log!AN149="Y"),Brand_Log!H149,"")</f>
        <v/>
      </c>
      <c r="C949" s="23" t="str">
        <f aca="false">IF(B949="","","brand")</f>
        <v/>
      </c>
      <c r="D949" s="23" t="str">
        <f aca="false">IF(B949="","",Brand_Log!DV149&amp;"")</f>
        <v/>
      </c>
      <c r="E949" s="23" t="str">
        <f aca="false">IF(B949="","",IF(Brand_Log!B149="","",Brand_Log!B149&amp;""))</f>
        <v/>
      </c>
      <c r="F949" s="23" t="str">
        <f aca="false">IF(B949="","","yes_in_principle")</f>
        <v/>
      </c>
      <c r="G949" s="23" t="str">
        <f aca="false">IF(B949="","","")</f>
        <v/>
      </c>
      <c r="H949" s="23" t="str">
        <f aca="false">IF(B949="","","")</f>
        <v/>
      </c>
      <c r="I949" s="23" t="str">
        <f aca="false">IF(B949="","",IF(Brand_Log!O149="","",Brand_Log!O149&amp;""))</f>
        <v/>
      </c>
      <c r="J949" s="23" t="str">
        <f aca="false">IF(B949="","","")</f>
        <v/>
      </c>
      <c r="K949" s="32" t="s">
        <v>1356</v>
      </c>
    </row>
    <row r="950" customFormat="false" ht="15" hidden="false" customHeight="false" outlineLevel="0" collapsed="false">
      <c r="A950" s="23" t="str">
        <f aca="false">IF(B950="","",B950+(5*1000+149)/10000000)</f>
        <v/>
      </c>
      <c r="B950" s="35" t="str">
        <f aca="false">IF(AND(Brand_Log!AY150=1,Brand_Log!AN150="Y"),Brand_Log!H150,"")</f>
        <v/>
      </c>
      <c r="C950" s="23" t="str">
        <f aca="false">IF(B950="","","brand")</f>
        <v/>
      </c>
      <c r="D950" s="23" t="str">
        <f aca="false">IF(B950="","",Brand_Log!DV150&amp;"")</f>
        <v/>
      </c>
      <c r="E950" s="23" t="str">
        <f aca="false">IF(B950="","",IF(Brand_Log!B150="","",Brand_Log!B150&amp;""))</f>
        <v/>
      </c>
      <c r="F950" s="23" t="str">
        <f aca="false">IF(B950="","","yes_in_principle")</f>
        <v/>
      </c>
      <c r="G950" s="23" t="str">
        <f aca="false">IF(B950="","","")</f>
        <v/>
      </c>
      <c r="H950" s="23" t="str">
        <f aca="false">IF(B950="","","")</f>
        <v/>
      </c>
      <c r="I950" s="23" t="str">
        <f aca="false">IF(B950="","",IF(Brand_Log!O150="","",Brand_Log!O150&amp;""))</f>
        <v/>
      </c>
      <c r="J950" s="23" t="str">
        <f aca="false">IF(B950="","","")</f>
        <v/>
      </c>
      <c r="K950" s="32" t="s">
        <v>1356</v>
      </c>
    </row>
    <row r="951" customFormat="false" ht="15" hidden="false" customHeight="false" outlineLevel="0" collapsed="false">
      <c r="A951" s="23" t="str">
        <f aca="false">IF(B951="","",B951+(5*1000+150)/10000000)</f>
        <v/>
      </c>
      <c r="B951" s="35" t="str">
        <f aca="false">IF(AND(Brand_Log!AY151=1,Brand_Log!AN151="Y"),Brand_Log!H151,"")</f>
        <v/>
      </c>
      <c r="C951" s="23" t="str">
        <f aca="false">IF(B951="","","brand")</f>
        <v/>
      </c>
      <c r="D951" s="23" t="str">
        <f aca="false">IF(B951="","",Brand_Log!DV151&amp;"")</f>
        <v/>
      </c>
      <c r="E951" s="23" t="str">
        <f aca="false">IF(B951="","",IF(Brand_Log!B151="","",Brand_Log!B151&amp;""))</f>
        <v/>
      </c>
      <c r="F951" s="23" t="str">
        <f aca="false">IF(B951="","","yes_in_principle")</f>
        <v/>
      </c>
      <c r="G951" s="23" t="str">
        <f aca="false">IF(B951="","","")</f>
        <v/>
      </c>
      <c r="H951" s="23" t="str">
        <f aca="false">IF(B951="","","")</f>
        <v/>
      </c>
      <c r="I951" s="23" t="str">
        <f aca="false">IF(B951="","",IF(Brand_Log!O151="","",Brand_Log!O151&amp;""))</f>
        <v/>
      </c>
      <c r="J951" s="23" t="str">
        <f aca="false">IF(B951="","","")</f>
        <v/>
      </c>
      <c r="K951" s="32" t="s">
        <v>1356</v>
      </c>
    </row>
    <row r="952" customFormat="false" ht="15" hidden="false" customHeight="false" outlineLevel="0" collapsed="false">
      <c r="A952" s="23" t="str">
        <f aca="false">IF(B952="","",B952+(5*1000+151)/10000000)</f>
        <v/>
      </c>
      <c r="B952" s="35" t="str">
        <f aca="false">IF(AND(Brand_Log!AY152=1,Brand_Log!AN152="Y"),Brand_Log!H152,"")</f>
        <v/>
      </c>
      <c r="C952" s="23" t="str">
        <f aca="false">IF(B952="","","brand")</f>
        <v/>
      </c>
      <c r="D952" s="23" t="str">
        <f aca="false">IF(B952="","",Brand_Log!DV152&amp;"")</f>
        <v/>
      </c>
      <c r="E952" s="23" t="str">
        <f aca="false">IF(B952="","",IF(Brand_Log!B152="","",Brand_Log!B152&amp;""))</f>
        <v/>
      </c>
      <c r="F952" s="23" t="str">
        <f aca="false">IF(B952="","","yes_in_principle")</f>
        <v/>
      </c>
      <c r="G952" s="23" t="str">
        <f aca="false">IF(B952="","","")</f>
        <v/>
      </c>
      <c r="H952" s="23" t="str">
        <f aca="false">IF(B952="","","")</f>
        <v/>
      </c>
      <c r="I952" s="23" t="str">
        <f aca="false">IF(B952="","",IF(Brand_Log!O152="","",Brand_Log!O152&amp;""))</f>
        <v/>
      </c>
      <c r="J952" s="23" t="str">
        <f aca="false">IF(B952="","","")</f>
        <v/>
      </c>
      <c r="K952" s="32" t="s">
        <v>1356</v>
      </c>
    </row>
    <row r="953" customFormat="false" ht="15" hidden="false" customHeight="false" outlineLevel="0" collapsed="false">
      <c r="A953" s="23" t="str">
        <f aca="false">IF(B953="","",B953+(5*1000+152)/10000000)</f>
        <v/>
      </c>
      <c r="B953" s="35" t="str">
        <f aca="false">IF(AND(Brand_Log!AY153=1,Brand_Log!AN153="Y"),Brand_Log!H153,"")</f>
        <v/>
      </c>
      <c r="C953" s="23" t="str">
        <f aca="false">IF(B953="","","brand")</f>
        <v/>
      </c>
      <c r="D953" s="23" t="str">
        <f aca="false">IF(B953="","",Brand_Log!DV153&amp;"")</f>
        <v/>
      </c>
      <c r="E953" s="23" t="str">
        <f aca="false">IF(B953="","",IF(Brand_Log!B153="","",Brand_Log!B153&amp;""))</f>
        <v/>
      </c>
      <c r="F953" s="23" t="str">
        <f aca="false">IF(B953="","","yes_in_principle")</f>
        <v/>
      </c>
      <c r="G953" s="23" t="str">
        <f aca="false">IF(B953="","","")</f>
        <v/>
      </c>
      <c r="H953" s="23" t="str">
        <f aca="false">IF(B953="","","")</f>
        <v/>
      </c>
      <c r="I953" s="23" t="str">
        <f aca="false">IF(B953="","",IF(Brand_Log!O153="","",Brand_Log!O153&amp;""))</f>
        <v/>
      </c>
      <c r="J953" s="23" t="str">
        <f aca="false">IF(B953="","","")</f>
        <v/>
      </c>
      <c r="K953" s="32" t="s">
        <v>1356</v>
      </c>
    </row>
    <row r="954" customFormat="false" ht="15" hidden="false" customHeight="false" outlineLevel="0" collapsed="false">
      <c r="A954" s="23" t="str">
        <f aca="false">IF(B954="","",B954+(5*1000+153)/10000000)</f>
        <v/>
      </c>
      <c r="B954" s="35" t="str">
        <f aca="false">IF(AND(Brand_Log!AY154=1,Brand_Log!AN154="Y"),Brand_Log!H154,"")</f>
        <v/>
      </c>
      <c r="C954" s="23" t="str">
        <f aca="false">IF(B954="","","brand")</f>
        <v/>
      </c>
      <c r="D954" s="23" t="str">
        <f aca="false">IF(B954="","",Brand_Log!DV154&amp;"")</f>
        <v/>
      </c>
      <c r="E954" s="23" t="str">
        <f aca="false">IF(B954="","",IF(Brand_Log!B154="","",Brand_Log!B154&amp;""))</f>
        <v/>
      </c>
      <c r="F954" s="23" t="str">
        <f aca="false">IF(B954="","","yes_in_principle")</f>
        <v/>
      </c>
      <c r="G954" s="23" t="str">
        <f aca="false">IF(B954="","","")</f>
        <v/>
      </c>
      <c r="H954" s="23" t="str">
        <f aca="false">IF(B954="","","")</f>
        <v/>
      </c>
      <c r="I954" s="23" t="str">
        <f aca="false">IF(B954="","",IF(Brand_Log!O154="","",Brand_Log!O154&amp;""))</f>
        <v/>
      </c>
      <c r="J954" s="23" t="str">
        <f aca="false">IF(B954="","","")</f>
        <v/>
      </c>
      <c r="K954" s="32" t="s">
        <v>1356</v>
      </c>
    </row>
    <row r="955" customFormat="false" ht="15" hidden="false" customHeight="false" outlineLevel="0" collapsed="false">
      <c r="A955" s="23" t="str">
        <f aca="false">IF(B955="","",B955+(5*1000+154)/10000000)</f>
        <v/>
      </c>
      <c r="B955" s="35" t="str">
        <f aca="false">IF(AND(Brand_Log!AY155=1,Brand_Log!AN155="Y"),Brand_Log!H155,"")</f>
        <v/>
      </c>
      <c r="C955" s="23" t="str">
        <f aca="false">IF(B955="","","brand")</f>
        <v/>
      </c>
      <c r="D955" s="23" t="str">
        <f aca="false">IF(B955="","",Brand_Log!DV155&amp;"")</f>
        <v/>
      </c>
      <c r="E955" s="23" t="str">
        <f aca="false">IF(B955="","",IF(Brand_Log!B155="","",Brand_Log!B155&amp;""))</f>
        <v/>
      </c>
      <c r="F955" s="23" t="str">
        <f aca="false">IF(B955="","","yes_in_principle")</f>
        <v/>
      </c>
      <c r="G955" s="23" t="str">
        <f aca="false">IF(B955="","","")</f>
        <v/>
      </c>
      <c r="H955" s="23" t="str">
        <f aca="false">IF(B955="","","")</f>
        <v/>
      </c>
      <c r="I955" s="23" t="str">
        <f aca="false">IF(B955="","",IF(Brand_Log!O155="","",Brand_Log!O155&amp;""))</f>
        <v/>
      </c>
      <c r="J955" s="23" t="str">
        <f aca="false">IF(B955="","","")</f>
        <v/>
      </c>
      <c r="K955" s="32" t="s">
        <v>1356</v>
      </c>
    </row>
    <row r="956" customFormat="false" ht="15" hidden="false" customHeight="false" outlineLevel="0" collapsed="false">
      <c r="A956" s="23" t="str">
        <f aca="false">IF(B956="","",B956+(5*1000+155)/10000000)</f>
        <v/>
      </c>
      <c r="B956" s="35" t="str">
        <f aca="false">IF(AND(Brand_Log!AY156=1,Brand_Log!AN156="Y"),Brand_Log!H156,"")</f>
        <v/>
      </c>
      <c r="C956" s="23" t="str">
        <f aca="false">IF(B956="","","brand")</f>
        <v/>
      </c>
      <c r="D956" s="23" t="str">
        <f aca="false">IF(B956="","",Brand_Log!DV156&amp;"")</f>
        <v/>
      </c>
      <c r="E956" s="23" t="str">
        <f aca="false">IF(B956="","",IF(Brand_Log!B156="","",Brand_Log!B156&amp;""))</f>
        <v/>
      </c>
      <c r="F956" s="23" t="str">
        <f aca="false">IF(B956="","","yes_in_principle")</f>
        <v/>
      </c>
      <c r="G956" s="23" t="str">
        <f aca="false">IF(B956="","","")</f>
        <v/>
      </c>
      <c r="H956" s="23" t="str">
        <f aca="false">IF(B956="","","")</f>
        <v/>
      </c>
      <c r="I956" s="23" t="str">
        <f aca="false">IF(B956="","",IF(Brand_Log!O156="","",Brand_Log!O156&amp;""))</f>
        <v/>
      </c>
      <c r="J956" s="23" t="str">
        <f aca="false">IF(B956="","","")</f>
        <v/>
      </c>
      <c r="K956" s="32" t="s">
        <v>1356</v>
      </c>
    </row>
    <row r="957" customFormat="false" ht="15" hidden="false" customHeight="false" outlineLevel="0" collapsed="false">
      <c r="A957" s="23" t="str">
        <f aca="false">IF(B957="","",B957+(5*1000+156)/10000000)</f>
        <v/>
      </c>
      <c r="B957" s="35" t="str">
        <f aca="false">IF(AND(Brand_Log!AY157=1,Brand_Log!AN157="Y"),Brand_Log!H157,"")</f>
        <v/>
      </c>
      <c r="C957" s="23" t="str">
        <f aca="false">IF(B957="","","brand")</f>
        <v/>
      </c>
      <c r="D957" s="23" t="str">
        <f aca="false">IF(B957="","",Brand_Log!DV157&amp;"")</f>
        <v/>
      </c>
      <c r="E957" s="23" t="str">
        <f aca="false">IF(B957="","",IF(Brand_Log!B157="","",Brand_Log!B157&amp;""))</f>
        <v/>
      </c>
      <c r="F957" s="23" t="str">
        <f aca="false">IF(B957="","","yes_in_principle")</f>
        <v/>
      </c>
      <c r="G957" s="23" t="str">
        <f aca="false">IF(B957="","","")</f>
        <v/>
      </c>
      <c r="H957" s="23" t="str">
        <f aca="false">IF(B957="","","")</f>
        <v/>
      </c>
      <c r="I957" s="23" t="str">
        <f aca="false">IF(B957="","",IF(Brand_Log!O157="","",Brand_Log!O157&amp;""))</f>
        <v/>
      </c>
      <c r="J957" s="23" t="str">
        <f aca="false">IF(B957="","","")</f>
        <v/>
      </c>
      <c r="K957" s="32" t="s">
        <v>1356</v>
      </c>
    </row>
    <row r="958" customFormat="false" ht="15" hidden="false" customHeight="false" outlineLevel="0" collapsed="false">
      <c r="A958" s="23" t="str">
        <f aca="false">IF(B958="","",B958+(5*1000+157)/10000000)</f>
        <v/>
      </c>
      <c r="B958" s="35" t="str">
        <f aca="false">IF(AND(Brand_Log!AY158=1,Brand_Log!AN158="Y"),Brand_Log!H158,"")</f>
        <v/>
      </c>
      <c r="C958" s="23" t="str">
        <f aca="false">IF(B958="","","brand")</f>
        <v/>
      </c>
      <c r="D958" s="23" t="str">
        <f aca="false">IF(B958="","",Brand_Log!DV158&amp;"")</f>
        <v/>
      </c>
      <c r="E958" s="23" t="str">
        <f aca="false">IF(B958="","",IF(Brand_Log!B158="","",Brand_Log!B158&amp;""))</f>
        <v/>
      </c>
      <c r="F958" s="23" t="str">
        <f aca="false">IF(B958="","","yes_in_principle")</f>
        <v/>
      </c>
      <c r="G958" s="23" t="str">
        <f aca="false">IF(B958="","","")</f>
        <v/>
      </c>
      <c r="H958" s="23" t="str">
        <f aca="false">IF(B958="","","")</f>
        <v/>
      </c>
      <c r="I958" s="23" t="str">
        <f aca="false">IF(B958="","",IF(Brand_Log!O158="","",Brand_Log!O158&amp;""))</f>
        <v/>
      </c>
      <c r="J958" s="23" t="str">
        <f aca="false">IF(B958="","","")</f>
        <v/>
      </c>
      <c r="K958" s="32" t="s">
        <v>1356</v>
      </c>
    </row>
    <row r="959" customFormat="false" ht="15" hidden="false" customHeight="false" outlineLevel="0" collapsed="false">
      <c r="A959" s="23" t="str">
        <f aca="false">IF(B959="","",B959+(5*1000+158)/10000000)</f>
        <v/>
      </c>
      <c r="B959" s="35" t="str">
        <f aca="false">IF(AND(Brand_Log!AY159=1,Brand_Log!AN159="Y"),Brand_Log!H159,"")</f>
        <v/>
      </c>
      <c r="C959" s="23" t="str">
        <f aca="false">IF(B959="","","brand")</f>
        <v/>
      </c>
      <c r="D959" s="23" t="str">
        <f aca="false">IF(B959="","",Brand_Log!DV159&amp;"")</f>
        <v/>
      </c>
      <c r="E959" s="23" t="str">
        <f aca="false">IF(B959="","",IF(Brand_Log!B159="","",Brand_Log!B159&amp;""))</f>
        <v/>
      </c>
      <c r="F959" s="23" t="str">
        <f aca="false">IF(B959="","","yes_in_principle")</f>
        <v/>
      </c>
      <c r="G959" s="23" t="str">
        <f aca="false">IF(B959="","","")</f>
        <v/>
      </c>
      <c r="H959" s="23" t="str">
        <f aca="false">IF(B959="","","")</f>
        <v/>
      </c>
      <c r="I959" s="23" t="str">
        <f aca="false">IF(B959="","",IF(Brand_Log!O159="","",Brand_Log!O159&amp;""))</f>
        <v/>
      </c>
      <c r="J959" s="23" t="str">
        <f aca="false">IF(B959="","","")</f>
        <v/>
      </c>
      <c r="K959" s="32" t="s">
        <v>1356</v>
      </c>
    </row>
    <row r="960" customFormat="false" ht="15" hidden="false" customHeight="false" outlineLevel="0" collapsed="false">
      <c r="A960" s="23" t="str">
        <f aca="false">IF(B960="","",B960+(5*1000+159)/10000000)</f>
        <v/>
      </c>
      <c r="B960" s="35" t="str">
        <f aca="false">IF(AND(Brand_Log!AY160=1,Brand_Log!AN160="Y"),Brand_Log!H160,"")</f>
        <v/>
      </c>
      <c r="C960" s="23" t="str">
        <f aca="false">IF(B960="","","brand")</f>
        <v/>
      </c>
      <c r="D960" s="23" t="str">
        <f aca="false">IF(B960="","",Brand_Log!DV160&amp;"")</f>
        <v/>
      </c>
      <c r="E960" s="23" t="str">
        <f aca="false">IF(B960="","",IF(Brand_Log!B160="","",Brand_Log!B160&amp;""))</f>
        <v/>
      </c>
      <c r="F960" s="23" t="str">
        <f aca="false">IF(B960="","","yes_in_principle")</f>
        <v/>
      </c>
      <c r="G960" s="23" t="str">
        <f aca="false">IF(B960="","","")</f>
        <v/>
      </c>
      <c r="H960" s="23" t="str">
        <f aca="false">IF(B960="","","")</f>
        <v/>
      </c>
      <c r="I960" s="23" t="str">
        <f aca="false">IF(B960="","",IF(Brand_Log!O160="","",Brand_Log!O160&amp;""))</f>
        <v/>
      </c>
      <c r="J960" s="23" t="str">
        <f aca="false">IF(B960="","","")</f>
        <v/>
      </c>
      <c r="K960" s="32" t="s">
        <v>1356</v>
      </c>
    </row>
    <row r="961" customFormat="false" ht="15" hidden="false" customHeight="false" outlineLevel="0" collapsed="false">
      <c r="A961" s="23" t="str">
        <f aca="false">IF(B961="","",B961+(5*1000+160)/10000000)</f>
        <v/>
      </c>
      <c r="B961" s="35" t="str">
        <f aca="false">IF(AND(Brand_Log!AY161=1,Brand_Log!AN161="Y"),Brand_Log!H161,"")</f>
        <v/>
      </c>
      <c r="C961" s="23" t="str">
        <f aca="false">IF(B961="","","brand")</f>
        <v/>
      </c>
      <c r="D961" s="23" t="str">
        <f aca="false">IF(B961="","",Brand_Log!DV161&amp;"")</f>
        <v/>
      </c>
      <c r="E961" s="23" t="str">
        <f aca="false">IF(B961="","",IF(Brand_Log!B161="","",Brand_Log!B161&amp;""))</f>
        <v/>
      </c>
      <c r="F961" s="23" t="str">
        <f aca="false">IF(B961="","","yes_in_principle")</f>
        <v/>
      </c>
      <c r="G961" s="23" t="str">
        <f aca="false">IF(B961="","","")</f>
        <v/>
      </c>
      <c r="H961" s="23" t="str">
        <f aca="false">IF(B961="","","")</f>
        <v/>
      </c>
      <c r="I961" s="23" t="str">
        <f aca="false">IF(B961="","",IF(Brand_Log!O161="","",Brand_Log!O161&amp;""))</f>
        <v/>
      </c>
      <c r="J961" s="23" t="str">
        <f aca="false">IF(B961="","","")</f>
        <v/>
      </c>
      <c r="K961" s="32" t="s">
        <v>1356</v>
      </c>
    </row>
    <row r="962" customFormat="false" ht="15" hidden="false" customHeight="false" outlineLevel="0" collapsed="false">
      <c r="A962" s="23" t="str">
        <f aca="false">IF(B962="","",B962+(5*1000+161)/10000000)</f>
        <v/>
      </c>
      <c r="B962" s="35" t="str">
        <f aca="false">IF(AND(Brand_Log!AY162=1,Brand_Log!AN162="Y"),Brand_Log!H162,"")</f>
        <v/>
      </c>
      <c r="C962" s="23" t="str">
        <f aca="false">IF(B962="","","brand")</f>
        <v/>
      </c>
      <c r="D962" s="23" t="str">
        <f aca="false">IF(B962="","",Brand_Log!DV162&amp;"")</f>
        <v/>
      </c>
      <c r="E962" s="23" t="str">
        <f aca="false">IF(B962="","",IF(Brand_Log!B162="","",Brand_Log!B162&amp;""))</f>
        <v/>
      </c>
      <c r="F962" s="23" t="str">
        <f aca="false">IF(B962="","","yes_in_principle")</f>
        <v/>
      </c>
      <c r="G962" s="23" t="str">
        <f aca="false">IF(B962="","","")</f>
        <v/>
      </c>
      <c r="H962" s="23" t="str">
        <f aca="false">IF(B962="","","")</f>
        <v/>
      </c>
      <c r="I962" s="23" t="str">
        <f aca="false">IF(B962="","",IF(Brand_Log!O162="","",Brand_Log!O162&amp;""))</f>
        <v/>
      </c>
      <c r="J962" s="23" t="str">
        <f aca="false">IF(B962="","","")</f>
        <v/>
      </c>
      <c r="K962" s="32" t="s">
        <v>1356</v>
      </c>
    </row>
    <row r="963" customFormat="false" ht="15" hidden="false" customHeight="false" outlineLevel="0" collapsed="false">
      <c r="A963" s="23" t="str">
        <f aca="false">IF(B963="","",B963+(5*1000+162)/10000000)</f>
        <v/>
      </c>
      <c r="B963" s="35" t="str">
        <f aca="false">IF(AND(Brand_Log!AY163=1,Brand_Log!AN163="Y"),Brand_Log!H163,"")</f>
        <v/>
      </c>
      <c r="C963" s="23" t="str">
        <f aca="false">IF(B963="","","brand")</f>
        <v/>
      </c>
      <c r="D963" s="23" t="str">
        <f aca="false">IF(B963="","",Brand_Log!DV163&amp;"")</f>
        <v/>
      </c>
      <c r="E963" s="23" t="str">
        <f aca="false">IF(B963="","",IF(Brand_Log!B163="","",Brand_Log!B163&amp;""))</f>
        <v/>
      </c>
      <c r="F963" s="23" t="str">
        <f aca="false">IF(B963="","","yes_in_principle")</f>
        <v/>
      </c>
      <c r="G963" s="23" t="str">
        <f aca="false">IF(B963="","","")</f>
        <v/>
      </c>
      <c r="H963" s="23" t="str">
        <f aca="false">IF(B963="","","")</f>
        <v/>
      </c>
      <c r="I963" s="23" t="str">
        <f aca="false">IF(B963="","",IF(Brand_Log!O163="","",Brand_Log!O163&amp;""))</f>
        <v/>
      </c>
      <c r="J963" s="23" t="str">
        <f aca="false">IF(B963="","","")</f>
        <v/>
      </c>
      <c r="K963" s="32" t="s">
        <v>1356</v>
      </c>
    </row>
    <row r="964" customFormat="false" ht="15" hidden="false" customHeight="false" outlineLevel="0" collapsed="false">
      <c r="A964" s="23" t="str">
        <f aca="false">IF(B964="","",B964+(5*1000+163)/10000000)</f>
        <v/>
      </c>
      <c r="B964" s="35" t="str">
        <f aca="false">IF(AND(Brand_Log!AY164=1,Brand_Log!AN164="Y"),Brand_Log!H164,"")</f>
        <v/>
      </c>
      <c r="C964" s="23" t="str">
        <f aca="false">IF(B964="","","brand")</f>
        <v/>
      </c>
      <c r="D964" s="23" t="str">
        <f aca="false">IF(B964="","",Brand_Log!DV164&amp;"")</f>
        <v/>
      </c>
      <c r="E964" s="23" t="str">
        <f aca="false">IF(B964="","",IF(Brand_Log!B164="","",Brand_Log!B164&amp;""))</f>
        <v/>
      </c>
      <c r="F964" s="23" t="str">
        <f aca="false">IF(B964="","","yes_in_principle")</f>
        <v/>
      </c>
      <c r="G964" s="23" t="str">
        <f aca="false">IF(B964="","","")</f>
        <v/>
      </c>
      <c r="H964" s="23" t="str">
        <f aca="false">IF(B964="","","")</f>
        <v/>
      </c>
      <c r="I964" s="23" t="str">
        <f aca="false">IF(B964="","",IF(Brand_Log!O164="","",Brand_Log!O164&amp;""))</f>
        <v/>
      </c>
      <c r="J964" s="23" t="str">
        <f aca="false">IF(B964="","","")</f>
        <v/>
      </c>
      <c r="K964" s="32" t="s">
        <v>1356</v>
      </c>
    </row>
    <row r="965" customFormat="false" ht="15" hidden="false" customHeight="false" outlineLevel="0" collapsed="false">
      <c r="A965" s="23" t="str">
        <f aca="false">IF(B965="","",B965+(5*1000+164)/10000000)</f>
        <v/>
      </c>
      <c r="B965" s="35" t="str">
        <f aca="false">IF(AND(Brand_Log!AY165=1,Brand_Log!AN165="Y"),Brand_Log!H165,"")</f>
        <v/>
      </c>
      <c r="C965" s="23" t="str">
        <f aca="false">IF(B965="","","brand")</f>
        <v/>
      </c>
      <c r="D965" s="23" t="str">
        <f aca="false">IF(B965="","",Brand_Log!DV165&amp;"")</f>
        <v/>
      </c>
      <c r="E965" s="23" t="str">
        <f aca="false">IF(B965="","",IF(Brand_Log!B165="","",Brand_Log!B165&amp;""))</f>
        <v/>
      </c>
      <c r="F965" s="23" t="str">
        <f aca="false">IF(B965="","","yes_in_principle")</f>
        <v/>
      </c>
      <c r="G965" s="23" t="str">
        <f aca="false">IF(B965="","","")</f>
        <v/>
      </c>
      <c r="H965" s="23" t="str">
        <f aca="false">IF(B965="","","")</f>
        <v/>
      </c>
      <c r="I965" s="23" t="str">
        <f aca="false">IF(B965="","",IF(Brand_Log!O165="","",Brand_Log!O165&amp;""))</f>
        <v/>
      </c>
      <c r="J965" s="23" t="str">
        <f aca="false">IF(B965="","","")</f>
        <v/>
      </c>
      <c r="K965" s="32" t="s">
        <v>1356</v>
      </c>
    </row>
    <row r="966" customFormat="false" ht="15" hidden="false" customHeight="false" outlineLevel="0" collapsed="false">
      <c r="A966" s="23" t="str">
        <f aca="false">IF(B966="","",B966+(5*1000+165)/10000000)</f>
        <v/>
      </c>
      <c r="B966" s="35" t="str">
        <f aca="false">IF(AND(Brand_Log!AY166=1,Brand_Log!AN166="Y"),Brand_Log!H166,"")</f>
        <v/>
      </c>
      <c r="C966" s="23" t="str">
        <f aca="false">IF(B966="","","brand")</f>
        <v/>
      </c>
      <c r="D966" s="23" t="str">
        <f aca="false">IF(B966="","",Brand_Log!DV166&amp;"")</f>
        <v/>
      </c>
      <c r="E966" s="23" t="str">
        <f aca="false">IF(B966="","",IF(Brand_Log!B166="","",Brand_Log!B166&amp;""))</f>
        <v/>
      </c>
      <c r="F966" s="23" t="str">
        <f aca="false">IF(B966="","","yes_in_principle")</f>
        <v/>
      </c>
      <c r="G966" s="23" t="str">
        <f aca="false">IF(B966="","","")</f>
        <v/>
      </c>
      <c r="H966" s="23" t="str">
        <f aca="false">IF(B966="","","")</f>
        <v/>
      </c>
      <c r="I966" s="23" t="str">
        <f aca="false">IF(B966="","",IF(Brand_Log!O166="","",Brand_Log!O166&amp;""))</f>
        <v/>
      </c>
      <c r="J966" s="23" t="str">
        <f aca="false">IF(B966="","","")</f>
        <v/>
      </c>
      <c r="K966" s="32" t="s">
        <v>1356</v>
      </c>
    </row>
    <row r="967" customFormat="false" ht="15" hidden="false" customHeight="false" outlineLevel="0" collapsed="false">
      <c r="A967" s="23" t="str">
        <f aca="false">IF(B967="","",B967+(5*1000+166)/10000000)</f>
        <v/>
      </c>
      <c r="B967" s="35" t="str">
        <f aca="false">IF(AND(Brand_Log!AY167=1,Brand_Log!AN167="Y"),Brand_Log!H167,"")</f>
        <v/>
      </c>
      <c r="C967" s="23" t="str">
        <f aca="false">IF(B967="","","brand")</f>
        <v/>
      </c>
      <c r="D967" s="23" t="str">
        <f aca="false">IF(B967="","",Brand_Log!DV167&amp;"")</f>
        <v/>
      </c>
      <c r="E967" s="23" t="str">
        <f aca="false">IF(B967="","",IF(Brand_Log!B167="","",Brand_Log!B167&amp;""))</f>
        <v/>
      </c>
      <c r="F967" s="23" t="str">
        <f aca="false">IF(B967="","","yes_in_principle")</f>
        <v/>
      </c>
      <c r="G967" s="23" t="str">
        <f aca="false">IF(B967="","","")</f>
        <v/>
      </c>
      <c r="H967" s="23" t="str">
        <f aca="false">IF(B967="","","")</f>
        <v/>
      </c>
      <c r="I967" s="23" t="str">
        <f aca="false">IF(B967="","",IF(Brand_Log!O167="","",Brand_Log!O167&amp;""))</f>
        <v/>
      </c>
      <c r="J967" s="23" t="str">
        <f aca="false">IF(B967="","","")</f>
        <v/>
      </c>
      <c r="K967" s="32" t="s">
        <v>1356</v>
      </c>
    </row>
    <row r="968" customFormat="false" ht="15" hidden="false" customHeight="false" outlineLevel="0" collapsed="false">
      <c r="A968" s="23" t="str">
        <f aca="false">IF(B968="","",B968+(5*1000+167)/10000000)</f>
        <v/>
      </c>
      <c r="B968" s="35" t="str">
        <f aca="false">IF(AND(Brand_Log!AY168=1,Brand_Log!AN168="Y"),Brand_Log!H168,"")</f>
        <v/>
      </c>
      <c r="C968" s="23" t="str">
        <f aca="false">IF(B968="","","brand")</f>
        <v/>
      </c>
      <c r="D968" s="23" t="str">
        <f aca="false">IF(B968="","",Brand_Log!DV168&amp;"")</f>
        <v/>
      </c>
      <c r="E968" s="23" t="str">
        <f aca="false">IF(B968="","",IF(Brand_Log!B168="","",Brand_Log!B168&amp;""))</f>
        <v/>
      </c>
      <c r="F968" s="23" t="str">
        <f aca="false">IF(B968="","","yes_in_principle")</f>
        <v/>
      </c>
      <c r="G968" s="23" t="str">
        <f aca="false">IF(B968="","","")</f>
        <v/>
      </c>
      <c r="H968" s="23" t="str">
        <f aca="false">IF(B968="","","")</f>
        <v/>
      </c>
      <c r="I968" s="23" t="str">
        <f aca="false">IF(B968="","",IF(Brand_Log!O168="","",Brand_Log!O168&amp;""))</f>
        <v/>
      </c>
      <c r="J968" s="23" t="str">
        <f aca="false">IF(B968="","","")</f>
        <v/>
      </c>
      <c r="K968" s="32" t="s">
        <v>1356</v>
      </c>
    </row>
    <row r="969" customFormat="false" ht="15" hidden="false" customHeight="false" outlineLevel="0" collapsed="false">
      <c r="A969" s="23" t="str">
        <f aca="false">IF(B969="","",B969+(5*1000+168)/10000000)</f>
        <v/>
      </c>
      <c r="B969" s="35" t="str">
        <f aca="false">IF(AND(Brand_Log!AY169=1,Brand_Log!AN169="Y"),Brand_Log!H169,"")</f>
        <v/>
      </c>
      <c r="C969" s="23" t="str">
        <f aca="false">IF(B969="","","brand")</f>
        <v/>
      </c>
      <c r="D969" s="23" t="str">
        <f aca="false">IF(B969="","",Brand_Log!DV169&amp;"")</f>
        <v/>
      </c>
      <c r="E969" s="23" t="str">
        <f aca="false">IF(B969="","",IF(Brand_Log!B169="","",Brand_Log!B169&amp;""))</f>
        <v/>
      </c>
      <c r="F969" s="23" t="str">
        <f aca="false">IF(B969="","","yes_in_principle")</f>
        <v/>
      </c>
      <c r="G969" s="23" t="str">
        <f aca="false">IF(B969="","","")</f>
        <v/>
      </c>
      <c r="H969" s="23" t="str">
        <f aca="false">IF(B969="","","")</f>
        <v/>
      </c>
      <c r="I969" s="23" t="str">
        <f aca="false">IF(B969="","",IF(Brand_Log!O169="","",Brand_Log!O169&amp;""))</f>
        <v/>
      </c>
      <c r="J969" s="23" t="str">
        <f aca="false">IF(B969="","","")</f>
        <v/>
      </c>
      <c r="K969" s="32" t="s">
        <v>1356</v>
      </c>
    </row>
    <row r="970" customFormat="false" ht="15" hidden="false" customHeight="false" outlineLevel="0" collapsed="false">
      <c r="A970" s="23" t="str">
        <f aca="false">IF(B970="","",B970+(5*1000+169)/10000000)</f>
        <v/>
      </c>
      <c r="B970" s="35" t="str">
        <f aca="false">IF(AND(Brand_Log!AY170=1,Brand_Log!AN170="Y"),Brand_Log!H170,"")</f>
        <v/>
      </c>
      <c r="C970" s="23" t="str">
        <f aca="false">IF(B970="","","brand")</f>
        <v/>
      </c>
      <c r="D970" s="23" t="str">
        <f aca="false">IF(B970="","",Brand_Log!DV170&amp;"")</f>
        <v/>
      </c>
      <c r="E970" s="23" t="str">
        <f aca="false">IF(B970="","",IF(Brand_Log!B170="","",Brand_Log!B170&amp;""))</f>
        <v/>
      </c>
      <c r="F970" s="23" t="str">
        <f aca="false">IF(B970="","","yes_in_principle")</f>
        <v/>
      </c>
      <c r="G970" s="23" t="str">
        <f aca="false">IF(B970="","","")</f>
        <v/>
      </c>
      <c r="H970" s="23" t="str">
        <f aca="false">IF(B970="","","")</f>
        <v/>
      </c>
      <c r="I970" s="23" t="str">
        <f aca="false">IF(B970="","",IF(Brand_Log!O170="","",Brand_Log!O170&amp;""))</f>
        <v/>
      </c>
      <c r="J970" s="23" t="str">
        <f aca="false">IF(B970="","","")</f>
        <v/>
      </c>
      <c r="K970" s="32" t="s">
        <v>1356</v>
      </c>
    </row>
    <row r="971" customFormat="false" ht="15" hidden="false" customHeight="false" outlineLevel="0" collapsed="false">
      <c r="A971" s="23" t="str">
        <f aca="false">IF(B971="","",B971+(5*1000+170)/10000000)</f>
        <v/>
      </c>
      <c r="B971" s="35" t="str">
        <f aca="false">IF(AND(Brand_Log!AY171=1,Brand_Log!AN171="Y"),Brand_Log!H171,"")</f>
        <v/>
      </c>
      <c r="C971" s="23" t="str">
        <f aca="false">IF(B971="","","brand")</f>
        <v/>
      </c>
      <c r="D971" s="23" t="str">
        <f aca="false">IF(B971="","",Brand_Log!DV171&amp;"")</f>
        <v/>
      </c>
      <c r="E971" s="23" t="str">
        <f aca="false">IF(B971="","",IF(Brand_Log!B171="","",Brand_Log!B171&amp;""))</f>
        <v/>
      </c>
      <c r="F971" s="23" t="str">
        <f aca="false">IF(B971="","","yes_in_principle")</f>
        <v/>
      </c>
      <c r="G971" s="23" t="str">
        <f aca="false">IF(B971="","","")</f>
        <v/>
      </c>
      <c r="H971" s="23" t="str">
        <f aca="false">IF(B971="","","")</f>
        <v/>
      </c>
      <c r="I971" s="23" t="str">
        <f aca="false">IF(B971="","",IF(Brand_Log!O171="","",Brand_Log!O171&amp;""))</f>
        <v/>
      </c>
      <c r="J971" s="23" t="str">
        <f aca="false">IF(B971="","","")</f>
        <v/>
      </c>
      <c r="K971" s="32" t="s">
        <v>1356</v>
      </c>
    </row>
    <row r="972" customFormat="false" ht="15" hidden="false" customHeight="false" outlineLevel="0" collapsed="false">
      <c r="A972" s="23" t="str">
        <f aca="false">IF(B972="","",B972+(5*1000+171)/10000000)</f>
        <v/>
      </c>
      <c r="B972" s="35" t="str">
        <f aca="false">IF(AND(Brand_Log!AY172=1,Brand_Log!AN172="Y"),Brand_Log!H172,"")</f>
        <v/>
      </c>
      <c r="C972" s="23" t="str">
        <f aca="false">IF(B972="","","brand")</f>
        <v/>
      </c>
      <c r="D972" s="23" t="str">
        <f aca="false">IF(B972="","",Brand_Log!DV172&amp;"")</f>
        <v/>
      </c>
      <c r="E972" s="23" t="str">
        <f aca="false">IF(B972="","",IF(Brand_Log!B172="","",Brand_Log!B172&amp;""))</f>
        <v/>
      </c>
      <c r="F972" s="23" t="str">
        <f aca="false">IF(B972="","","yes_in_principle")</f>
        <v/>
      </c>
      <c r="G972" s="23" t="str">
        <f aca="false">IF(B972="","","")</f>
        <v/>
      </c>
      <c r="H972" s="23" t="str">
        <f aca="false">IF(B972="","","")</f>
        <v/>
      </c>
      <c r="I972" s="23" t="str">
        <f aca="false">IF(B972="","",IF(Brand_Log!O172="","",Brand_Log!O172&amp;""))</f>
        <v/>
      </c>
      <c r="J972" s="23" t="str">
        <f aca="false">IF(B972="","","")</f>
        <v/>
      </c>
      <c r="K972" s="32" t="s">
        <v>1356</v>
      </c>
    </row>
    <row r="973" customFormat="false" ht="15" hidden="false" customHeight="false" outlineLevel="0" collapsed="false">
      <c r="A973" s="23" t="str">
        <f aca="false">IF(B973="","",B973+(5*1000+172)/10000000)</f>
        <v/>
      </c>
      <c r="B973" s="35" t="str">
        <f aca="false">IF(AND(Brand_Log!AY173=1,Brand_Log!AN173="Y"),Brand_Log!H173,"")</f>
        <v/>
      </c>
      <c r="C973" s="23" t="str">
        <f aca="false">IF(B973="","","brand")</f>
        <v/>
      </c>
      <c r="D973" s="23" t="str">
        <f aca="false">IF(B973="","",Brand_Log!DV173&amp;"")</f>
        <v/>
      </c>
      <c r="E973" s="23" t="str">
        <f aca="false">IF(B973="","",IF(Brand_Log!B173="","",Brand_Log!B173&amp;""))</f>
        <v/>
      </c>
      <c r="F973" s="23" t="str">
        <f aca="false">IF(B973="","","yes_in_principle")</f>
        <v/>
      </c>
      <c r="G973" s="23" t="str">
        <f aca="false">IF(B973="","","")</f>
        <v/>
      </c>
      <c r="H973" s="23" t="str">
        <f aca="false">IF(B973="","","")</f>
        <v/>
      </c>
      <c r="I973" s="23" t="str">
        <f aca="false">IF(B973="","",IF(Brand_Log!O173="","",Brand_Log!O173&amp;""))</f>
        <v/>
      </c>
      <c r="J973" s="23" t="str">
        <f aca="false">IF(B973="","","")</f>
        <v/>
      </c>
      <c r="K973" s="32" t="s">
        <v>1356</v>
      </c>
    </row>
    <row r="974" customFormat="false" ht="15" hidden="false" customHeight="false" outlineLevel="0" collapsed="false">
      <c r="A974" s="23" t="str">
        <f aca="false">IF(B974="","",B974+(5*1000+173)/10000000)</f>
        <v/>
      </c>
      <c r="B974" s="35" t="str">
        <f aca="false">IF(AND(Brand_Log!AY174=1,Brand_Log!AN174="Y"),Brand_Log!H174,"")</f>
        <v/>
      </c>
      <c r="C974" s="23" t="str">
        <f aca="false">IF(B974="","","brand")</f>
        <v/>
      </c>
      <c r="D974" s="23" t="str">
        <f aca="false">IF(B974="","",Brand_Log!DV174&amp;"")</f>
        <v/>
      </c>
      <c r="E974" s="23" t="str">
        <f aca="false">IF(B974="","",IF(Brand_Log!B174="","",Brand_Log!B174&amp;""))</f>
        <v/>
      </c>
      <c r="F974" s="23" t="str">
        <f aca="false">IF(B974="","","yes_in_principle")</f>
        <v/>
      </c>
      <c r="G974" s="23" t="str">
        <f aca="false">IF(B974="","","")</f>
        <v/>
      </c>
      <c r="H974" s="23" t="str">
        <f aca="false">IF(B974="","","")</f>
        <v/>
      </c>
      <c r="I974" s="23" t="str">
        <f aca="false">IF(B974="","",IF(Brand_Log!O174="","",Brand_Log!O174&amp;""))</f>
        <v/>
      </c>
      <c r="J974" s="23" t="str">
        <f aca="false">IF(B974="","","")</f>
        <v/>
      </c>
      <c r="K974" s="32" t="s">
        <v>1356</v>
      </c>
    </row>
    <row r="975" customFormat="false" ht="15" hidden="false" customHeight="false" outlineLevel="0" collapsed="false">
      <c r="A975" s="23" t="str">
        <f aca="false">IF(B975="","",B975+(5*1000+174)/10000000)</f>
        <v/>
      </c>
      <c r="B975" s="35" t="str">
        <f aca="false">IF(AND(Brand_Log!AY175=1,Brand_Log!AN175="Y"),Brand_Log!H175,"")</f>
        <v/>
      </c>
      <c r="C975" s="23" t="str">
        <f aca="false">IF(B975="","","brand")</f>
        <v/>
      </c>
      <c r="D975" s="23" t="str">
        <f aca="false">IF(B975="","",Brand_Log!DV175&amp;"")</f>
        <v/>
      </c>
      <c r="E975" s="23" t="str">
        <f aca="false">IF(B975="","",IF(Brand_Log!B175="","",Brand_Log!B175&amp;""))</f>
        <v/>
      </c>
      <c r="F975" s="23" t="str">
        <f aca="false">IF(B975="","","yes_in_principle")</f>
        <v/>
      </c>
      <c r="G975" s="23" t="str">
        <f aca="false">IF(B975="","","")</f>
        <v/>
      </c>
      <c r="H975" s="23" t="str">
        <f aca="false">IF(B975="","","")</f>
        <v/>
      </c>
      <c r="I975" s="23" t="str">
        <f aca="false">IF(B975="","",IF(Brand_Log!O175="","",Brand_Log!O175&amp;""))</f>
        <v/>
      </c>
      <c r="J975" s="23" t="str">
        <f aca="false">IF(B975="","","")</f>
        <v/>
      </c>
      <c r="K975" s="32" t="s">
        <v>1356</v>
      </c>
    </row>
    <row r="976" customFormat="false" ht="15" hidden="false" customHeight="false" outlineLevel="0" collapsed="false">
      <c r="A976" s="23" t="str">
        <f aca="false">IF(B976="","",B976+(5*1000+175)/10000000)</f>
        <v/>
      </c>
      <c r="B976" s="35" t="str">
        <f aca="false">IF(AND(Brand_Log!AY176=1,Brand_Log!AN176="Y"),Brand_Log!H176,"")</f>
        <v/>
      </c>
      <c r="C976" s="23" t="str">
        <f aca="false">IF(B976="","","brand")</f>
        <v/>
      </c>
      <c r="D976" s="23" t="str">
        <f aca="false">IF(B976="","",Brand_Log!DV176&amp;"")</f>
        <v/>
      </c>
      <c r="E976" s="23" t="str">
        <f aca="false">IF(B976="","",IF(Brand_Log!B176="","",Brand_Log!B176&amp;""))</f>
        <v/>
      </c>
      <c r="F976" s="23" t="str">
        <f aca="false">IF(B976="","","yes_in_principle")</f>
        <v/>
      </c>
      <c r="G976" s="23" t="str">
        <f aca="false">IF(B976="","","")</f>
        <v/>
      </c>
      <c r="H976" s="23" t="str">
        <f aca="false">IF(B976="","","")</f>
        <v/>
      </c>
      <c r="I976" s="23" t="str">
        <f aca="false">IF(B976="","",IF(Brand_Log!O176="","",Brand_Log!O176&amp;""))</f>
        <v/>
      </c>
      <c r="J976" s="23" t="str">
        <f aca="false">IF(B976="","","")</f>
        <v/>
      </c>
      <c r="K976" s="32" t="s">
        <v>1356</v>
      </c>
    </row>
    <row r="977" customFormat="false" ht="15" hidden="false" customHeight="false" outlineLevel="0" collapsed="false">
      <c r="A977" s="23" t="str">
        <f aca="false">IF(B977="","",B977+(5*1000+176)/10000000)</f>
        <v/>
      </c>
      <c r="B977" s="35" t="str">
        <f aca="false">IF(AND(Brand_Log!AY177=1,Brand_Log!AN177="Y"),Brand_Log!H177,"")</f>
        <v/>
      </c>
      <c r="C977" s="23" t="str">
        <f aca="false">IF(B977="","","brand")</f>
        <v/>
      </c>
      <c r="D977" s="23" t="str">
        <f aca="false">IF(B977="","",Brand_Log!DV177&amp;"")</f>
        <v/>
      </c>
      <c r="E977" s="23" t="str">
        <f aca="false">IF(B977="","",IF(Brand_Log!B177="","",Brand_Log!B177&amp;""))</f>
        <v/>
      </c>
      <c r="F977" s="23" t="str">
        <f aca="false">IF(B977="","","yes_in_principle")</f>
        <v/>
      </c>
      <c r="G977" s="23" t="str">
        <f aca="false">IF(B977="","","")</f>
        <v/>
      </c>
      <c r="H977" s="23" t="str">
        <f aca="false">IF(B977="","","")</f>
        <v/>
      </c>
      <c r="I977" s="23" t="str">
        <f aca="false">IF(B977="","",IF(Brand_Log!O177="","",Brand_Log!O177&amp;""))</f>
        <v/>
      </c>
      <c r="J977" s="23" t="str">
        <f aca="false">IF(B977="","","")</f>
        <v/>
      </c>
      <c r="K977" s="32" t="s">
        <v>1356</v>
      </c>
    </row>
    <row r="978" customFormat="false" ht="15" hidden="false" customHeight="false" outlineLevel="0" collapsed="false">
      <c r="A978" s="23" t="str">
        <f aca="false">IF(B978="","",B978+(5*1000+177)/10000000)</f>
        <v/>
      </c>
      <c r="B978" s="35" t="str">
        <f aca="false">IF(AND(Brand_Log!AY178=1,Brand_Log!AN178="Y"),Brand_Log!H178,"")</f>
        <v/>
      </c>
      <c r="C978" s="23" t="str">
        <f aca="false">IF(B978="","","brand")</f>
        <v/>
      </c>
      <c r="D978" s="23" t="str">
        <f aca="false">IF(B978="","",Brand_Log!DV178&amp;"")</f>
        <v/>
      </c>
      <c r="E978" s="23" t="str">
        <f aca="false">IF(B978="","",IF(Brand_Log!B178="","",Brand_Log!B178&amp;""))</f>
        <v/>
      </c>
      <c r="F978" s="23" t="str">
        <f aca="false">IF(B978="","","yes_in_principle")</f>
        <v/>
      </c>
      <c r="G978" s="23" t="str">
        <f aca="false">IF(B978="","","")</f>
        <v/>
      </c>
      <c r="H978" s="23" t="str">
        <f aca="false">IF(B978="","","")</f>
        <v/>
      </c>
      <c r="I978" s="23" t="str">
        <f aca="false">IF(B978="","",IF(Brand_Log!O178="","",Brand_Log!O178&amp;""))</f>
        <v/>
      </c>
      <c r="J978" s="23" t="str">
        <f aca="false">IF(B978="","","")</f>
        <v/>
      </c>
      <c r="K978" s="32" t="s">
        <v>1356</v>
      </c>
    </row>
    <row r="979" customFormat="false" ht="15" hidden="false" customHeight="false" outlineLevel="0" collapsed="false">
      <c r="A979" s="23" t="str">
        <f aca="false">IF(B979="","",B979+(5*1000+178)/10000000)</f>
        <v/>
      </c>
      <c r="B979" s="35" t="str">
        <f aca="false">IF(AND(Brand_Log!AY179=1,Brand_Log!AN179="Y"),Brand_Log!H179,"")</f>
        <v/>
      </c>
      <c r="C979" s="23" t="str">
        <f aca="false">IF(B979="","","brand")</f>
        <v/>
      </c>
      <c r="D979" s="23" t="str">
        <f aca="false">IF(B979="","",Brand_Log!DV179&amp;"")</f>
        <v/>
      </c>
      <c r="E979" s="23" t="str">
        <f aca="false">IF(B979="","",IF(Brand_Log!B179="","",Brand_Log!B179&amp;""))</f>
        <v/>
      </c>
      <c r="F979" s="23" t="str">
        <f aca="false">IF(B979="","","yes_in_principle")</f>
        <v/>
      </c>
      <c r="G979" s="23" t="str">
        <f aca="false">IF(B979="","","")</f>
        <v/>
      </c>
      <c r="H979" s="23" t="str">
        <f aca="false">IF(B979="","","")</f>
        <v/>
      </c>
      <c r="I979" s="23" t="str">
        <f aca="false">IF(B979="","",IF(Brand_Log!O179="","",Brand_Log!O179&amp;""))</f>
        <v/>
      </c>
      <c r="J979" s="23" t="str">
        <f aca="false">IF(B979="","","")</f>
        <v/>
      </c>
      <c r="K979" s="32" t="s">
        <v>1356</v>
      </c>
    </row>
    <row r="980" customFormat="false" ht="15" hidden="false" customHeight="false" outlineLevel="0" collapsed="false">
      <c r="A980" s="23" t="str">
        <f aca="false">IF(B980="","",B980+(5*1000+179)/10000000)</f>
        <v/>
      </c>
      <c r="B980" s="35" t="str">
        <f aca="false">IF(AND(Brand_Log!AY180=1,Brand_Log!AN180="Y"),Brand_Log!H180,"")</f>
        <v/>
      </c>
      <c r="C980" s="23" t="str">
        <f aca="false">IF(B980="","","brand")</f>
        <v/>
      </c>
      <c r="D980" s="23" t="str">
        <f aca="false">IF(B980="","",Brand_Log!DV180&amp;"")</f>
        <v/>
      </c>
      <c r="E980" s="23" t="str">
        <f aca="false">IF(B980="","",IF(Brand_Log!B180="","",Brand_Log!B180&amp;""))</f>
        <v/>
      </c>
      <c r="F980" s="23" t="str">
        <f aca="false">IF(B980="","","yes_in_principle")</f>
        <v/>
      </c>
      <c r="G980" s="23" t="str">
        <f aca="false">IF(B980="","","")</f>
        <v/>
      </c>
      <c r="H980" s="23" t="str">
        <f aca="false">IF(B980="","","")</f>
        <v/>
      </c>
      <c r="I980" s="23" t="str">
        <f aca="false">IF(B980="","",IF(Brand_Log!O180="","",Brand_Log!O180&amp;""))</f>
        <v/>
      </c>
      <c r="J980" s="23" t="str">
        <f aca="false">IF(B980="","","")</f>
        <v/>
      </c>
      <c r="K980" s="32" t="s">
        <v>1356</v>
      </c>
    </row>
    <row r="981" customFormat="false" ht="15" hidden="false" customHeight="false" outlineLevel="0" collapsed="false">
      <c r="A981" s="23" t="str">
        <f aca="false">IF(B981="","",B981+(5*1000+180)/10000000)</f>
        <v/>
      </c>
      <c r="B981" s="35" t="str">
        <f aca="false">IF(AND(Brand_Log!AY181=1,Brand_Log!AN181="Y"),Brand_Log!H181,"")</f>
        <v/>
      </c>
      <c r="C981" s="23" t="str">
        <f aca="false">IF(B981="","","brand")</f>
        <v/>
      </c>
      <c r="D981" s="23" t="str">
        <f aca="false">IF(B981="","",Brand_Log!DV181&amp;"")</f>
        <v/>
      </c>
      <c r="E981" s="23" t="str">
        <f aca="false">IF(B981="","",IF(Brand_Log!B181="","",Brand_Log!B181&amp;""))</f>
        <v/>
      </c>
      <c r="F981" s="23" t="str">
        <f aca="false">IF(B981="","","yes_in_principle")</f>
        <v/>
      </c>
      <c r="G981" s="23" t="str">
        <f aca="false">IF(B981="","","")</f>
        <v/>
      </c>
      <c r="H981" s="23" t="str">
        <f aca="false">IF(B981="","","")</f>
        <v/>
      </c>
      <c r="I981" s="23" t="str">
        <f aca="false">IF(B981="","",IF(Brand_Log!O181="","",Brand_Log!O181&amp;""))</f>
        <v/>
      </c>
      <c r="J981" s="23" t="str">
        <f aca="false">IF(B981="","","")</f>
        <v/>
      </c>
      <c r="K981" s="32" t="s">
        <v>1356</v>
      </c>
    </row>
    <row r="982" customFormat="false" ht="15" hidden="false" customHeight="false" outlineLevel="0" collapsed="false">
      <c r="A982" s="23" t="str">
        <f aca="false">IF(B982="","",B982+(5*1000+181)/10000000)</f>
        <v/>
      </c>
      <c r="B982" s="35" t="str">
        <f aca="false">IF(AND(Brand_Log!AY182=1,Brand_Log!AN182="Y"),Brand_Log!H182,"")</f>
        <v/>
      </c>
      <c r="C982" s="23" t="str">
        <f aca="false">IF(B982="","","brand")</f>
        <v/>
      </c>
      <c r="D982" s="23" t="str">
        <f aca="false">IF(B982="","",Brand_Log!DV182&amp;"")</f>
        <v/>
      </c>
      <c r="E982" s="23" t="str">
        <f aca="false">IF(B982="","",IF(Brand_Log!B182="","",Brand_Log!B182&amp;""))</f>
        <v/>
      </c>
      <c r="F982" s="23" t="str">
        <f aca="false">IF(B982="","","yes_in_principle")</f>
        <v/>
      </c>
      <c r="G982" s="23" t="str">
        <f aca="false">IF(B982="","","")</f>
        <v/>
      </c>
      <c r="H982" s="23" t="str">
        <f aca="false">IF(B982="","","")</f>
        <v/>
      </c>
      <c r="I982" s="23" t="str">
        <f aca="false">IF(B982="","",IF(Brand_Log!O182="","",Brand_Log!O182&amp;""))</f>
        <v/>
      </c>
      <c r="J982" s="23" t="str">
        <f aca="false">IF(B982="","","")</f>
        <v/>
      </c>
      <c r="K982" s="32" t="s">
        <v>1356</v>
      </c>
    </row>
    <row r="983" customFormat="false" ht="15" hidden="false" customHeight="false" outlineLevel="0" collapsed="false">
      <c r="A983" s="23" t="str">
        <f aca="false">IF(B983="","",B983+(5*1000+182)/10000000)</f>
        <v/>
      </c>
      <c r="B983" s="35" t="str">
        <f aca="false">IF(AND(Brand_Log!AY183=1,Brand_Log!AN183="Y"),Brand_Log!H183,"")</f>
        <v/>
      </c>
      <c r="C983" s="23" t="str">
        <f aca="false">IF(B983="","","brand")</f>
        <v/>
      </c>
      <c r="D983" s="23" t="str">
        <f aca="false">IF(B983="","",Brand_Log!DV183&amp;"")</f>
        <v/>
      </c>
      <c r="E983" s="23" t="str">
        <f aca="false">IF(B983="","",IF(Brand_Log!B183="","",Brand_Log!B183&amp;""))</f>
        <v/>
      </c>
      <c r="F983" s="23" t="str">
        <f aca="false">IF(B983="","","yes_in_principle")</f>
        <v/>
      </c>
      <c r="G983" s="23" t="str">
        <f aca="false">IF(B983="","","")</f>
        <v/>
      </c>
      <c r="H983" s="23" t="str">
        <f aca="false">IF(B983="","","")</f>
        <v/>
      </c>
      <c r="I983" s="23" t="str">
        <f aca="false">IF(B983="","",IF(Brand_Log!O183="","",Brand_Log!O183&amp;""))</f>
        <v/>
      </c>
      <c r="J983" s="23" t="str">
        <f aca="false">IF(B983="","","")</f>
        <v/>
      </c>
      <c r="K983" s="32" t="s">
        <v>1356</v>
      </c>
    </row>
    <row r="984" customFormat="false" ht="15" hidden="false" customHeight="false" outlineLevel="0" collapsed="false">
      <c r="A984" s="23" t="str">
        <f aca="false">IF(B984="","",B984+(5*1000+183)/10000000)</f>
        <v/>
      </c>
      <c r="B984" s="35" t="str">
        <f aca="false">IF(AND(Brand_Log!AY184=1,Brand_Log!AN184="Y"),Brand_Log!H184,"")</f>
        <v/>
      </c>
      <c r="C984" s="23" t="str">
        <f aca="false">IF(B984="","","brand")</f>
        <v/>
      </c>
      <c r="D984" s="23" t="str">
        <f aca="false">IF(B984="","",Brand_Log!DV184&amp;"")</f>
        <v/>
      </c>
      <c r="E984" s="23" t="str">
        <f aca="false">IF(B984="","",IF(Brand_Log!B184="","",Brand_Log!B184&amp;""))</f>
        <v/>
      </c>
      <c r="F984" s="23" t="str">
        <f aca="false">IF(B984="","","yes_in_principle")</f>
        <v/>
      </c>
      <c r="G984" s="23" t="str">
        <f aca="false">IF(B984="","","")</f>
        <v/>
      </c>
      <c r="H984" s="23" t="str">
        <f aca="false">IF(B984="","","")</f>
        <v/>
      </c>
      <c r="I984" s="23" t="str">
        <f aca="false">IF(B984="","",IF(Brand_Log!O184="","",Brand_Log!O184&amp;""))</f>
        <v/>
      </c>
      <c r="J984" s="23" t="str">
        <f aca="false">IF(B984="","","")</f>
        <v/>
      </c>
      <c r="K984" s="32" t="s">
        <v>1356</v>
      </c>
    </row>
    <row r="985" customFormat="false" ht="15" hidden="false" customHeight="false" outlineLevel="0" collapsed="false">
      <c r="A985" s="23" t="str">
        <f aca="false">IF(B985="","",B985+(5*1000+184)/10000000)</f>
        <v/>
      </c>
      <c r="B985" s="35" t="str">
        <f aca="false">IF(AND(Brand_Log!AY185=1,Brand_Log!AN185="Y"),Brand_Log!H185,"")</f>
        <v/>
      </c>
      <c r="C985" s="23" t="str">
        <f aca="false">IF(B985="","","brand")</f>
        <v/>
      </c>
      <c r="D985" s="23" t="str">
        <f aca="false">IF(B985="","",Brand_Log!DV185&amp;"")</f>
        <v/>
      </c>
      <c r="E985" s="23" t="str">
        <f aca="false">IF(B985="","",IF(Brand_Log!B185="","",Brand_Log!B185&amp;""))</f>
        <v/>
      </c>
      <c r="F985" s="23" t="str">
        <f aca="false">IF(B985="","","yes_in_principle")</f>
        <v/>
      </c>
      <c r="G985" s="23" t="str">
        <f aca="false">IF(B985="","","")</f>
        <v/>
      </c>
      <c r="H985" s="23" t="str">
        <f aca="false">IF(B985="","","")</f>
        <v/>
      </c>
      <c r="I985" s="23" t="str">
        <f aca="false">IF(B985="","",IF(Brand_Log!O185="","",Brand_Log!O185&amp;""))</f>
        <v/>
      </c>
      <c r="J985" s="23" t="str">
        <f aca="false">IF(B985="","","")</f>
        <v/>
      </c>
      <c r="K985" s="32" t="s">
        <v>1356</v>
      </c>
    </row>
    <row r="986" customFormat="false" ht="15" hidden="false" customHeight="false" outlineLevel="0" collapsed="false">
      <c r="A986" s="23" t="str">
        <f aca="false">IF(B986="","",B986+(5*1000+185)/10000000)</f>
        <v/>
      </c>
      <c r="B986" s="35" t="str">
        <f aca="false">IF(AND(Brand_Log!AY186=1,Brand_Log!AN186="Y"),Brand_Log!H186,"")</f>
        <v/>
      </c>
      <c r="C986" s="23" t="str">
        <f aca="false">IF(B986="","","brand")</f>
        <v/>
      </c>
      <c r="D986" s="23" t="str">
        <f aca="false">IF(B986="","",Brand_Log!DV186&amp;"")</f>
        <v/>
      </c>
      <c r="E986" s="23" t="str">
        <f aca="false">IF(B986="","",IF(Brand_Log!B186="","",Brand_Log!B186&amp;""))</f>
        <v/>
      </c>
      <c r="F986" s="23" t="str">
        <f aca="false">IF(B986="","","yes_in_principle")</f>
        <v/>
      </c>
      <c r="G986" s="23" t="str">
        <f aca="false">IF(B986="","","")</f>
        <v/>
      </c>
      <c r="H986" s="23" t="str">
        <f aca="false">IF(B986="","","")</f>
        <v/>
      </c>
      <c r="I986" s="23" t="str">
        <f aca="false">IF(B986="","",IF(Brand_Log!O186="","",Brand_Log!O186&amp;""))</f>
        <v/>
      </c>
      <c r="J986" s="23" t="str">
        <f aca="false">IF(B986="","","")</f>
        <v/>
      </c>
      <c r="K986" s="32" t="s">
        <v>1356</v>
      </c>
    </row>
    <row r="987" customFormat="false" ht="15" hidden="false" customHeight="false" outlineLevel="0" collapsed="false">
      <c r="A987" s="23" t="str">
        <f aca="false">IF(B987="","",B987+(5*1000+186)/10000000)</f>
        <v/>
      </c>
      <c r="B987" s="35" t="str">
        <f aca="false">IF(AND(Brand_Log!AY187=1,Brand_Log!AN187="Y"),Brand_Log!H187,"")</f>
        <v/>
      </c>
      <c r="C987" s="23" t="str">
        <f aca="false">IF(B987="","","brand")</f>
        <v/>
      </c>
      <c r="D987" s="23" t="str">
        <f aca="false">IF(B987="","",Brand_Log!DV187&amp;"")</f>
        <v/>
      </c>
      <c r="E987" s="23" t="str">
        <f aca="false">IF(B987="","",IF(Brand_Log!B187="","",Brand_Log!B187&amp;""))</f>
        <v/>
      </c>
      <c r="F987" s="23" t="str">
        <f aca="false">IF(B987="","","yes_in_principle")</f>
        <v/>
      </c>
      <c r="G987" s="23" t="str">
        <f aca="false">IF(B987="","","")</f>
        <v/>
      </c>
      <c r="H987" s="23" t="str">
        <f aca="false">IF(B987="","","")</f>
        <v/>
      </c>
      <c r="I987" s="23" t="str">
        <f aca="false">IF(B987="","",IF(Brand_Log!O187="","",Brand_Log!O187&amp;""))</f>
        <v/>
      </c>
      <c r="J987" s="23" t="str">
        <f aca="false">IF(B987="","","")</f>
        <v/>
      </c>
      <c r="K987" s="32" t="s">
        <v>1356</v>
      </c>
    </row>
    <row r="988" customFormat="false" ht="15" hidden="false" customHeight="false" outlineLevel="0" collapsed="false">
      <c r="A988" s="23" t="str">
        <f aca="false">IF(B988="","",B988+(5*1000+187)/10000000)</f>
        <v/>
      </c>
      <c r="B988" s="35" t="str">
        <f aca="false">IF(AND(Brand_Log!AY188=1,Brand_Log!AN188="Y"),Brand_Log!H188,"")</f>
        <v/>
      </c>
      <c r="C988" s="23" t="str">
        <f aca="false">IF(B988="","","brand")</f>
        <v/>
      </c>
      <c r="D988" s="23" t="str">
        <f aca="false">IF(B988="","",Brand_Log!DV188&amp;"")</f>
        <v/>
      </c>
      <c r="E988" s="23" t="str">
        <f aca="false">IF(B988="","",IF(Brand_Log!B188="","",Brand_Log!B188&amp;""))</f>
        <v/>
      </c>
      <c r="F988" s="23" t="str">
        <f aca="false">IF(B988="","","yes_in_principle")</f>
        <v/>
      </c>
      <c r="G988" s="23" t="str">
        <f aca="false">IF(B988="","","")</f>
        <v/>
      </c>
      <c r="H988" s="23" t="str">
        <f aca="false">IF(B988="","","")</f>
        <v/>
      </c>
      <c r="I988" s="23" t="str">
        <f aca="false">IF(B988="","",IF(Brand_Log!O188="","",Brand_Log!O188&amp;""))</f>
        <v/>
      </c>
      <c r="J988" s="23" t="str">
        <f aca="false">IF(B988="","","")</f>
        <v/>
      </c>
      <c r="K988" s="32" t="s">
        <v>1356</v>
      </c>
    </row>
    <row r="989" customFormat="false" ht="15" hidden="false" customHeight="false" outlineLevel="0" collapsed="false">
      <c r="A989" s="23" t="str">
        <f aca="false">IF(B989="","",B989+(5*1000+188)/10000000)</f>
        <v/>
      </c>
      <c r="B989" s="35" t="str">
        <f aca="false">IF(AND(Brand_Log!AY189=1,Brand_Log!AN189="Y"),Brand_Log!H189,"")</f>
        <v/>
      </c>
      <c r="C989" s="23" t="str">
        <f aca="false">IF(B989="","","brand")</f>
        <v/>
      </c>
      <c r="D989" s="23" t="str">
        <f aca="false">IF(B989="","",Brand_Log!DV189&amp;"")</f>
        <v/>
      </c>
      <c r="E989" s="23" t="str">
        <f aca="false">IF(B989="","",IF(Brand_Log!B189="","",Brand_Log!B189&amp;""))</f>
        <v/>
      </c>
      <c r="F989" s="23" t="str">
        <f aca="false">IF(B989="","","yes_in_principle")</f>
        <v/>
      </c>
      <c r="G989" s="23" t="str">
        <f aca="false">IF(B989="","","")</f>
        <v/>
      </c>
      <c r="H989" s="23" t="str">
        <f aca="false">IF(B989="","","")</f>
        <v/>
      </c>
      <c r="I989" s="23" t="str">
        <f aca="false">IF(B989="","",IF(Brand_Log!O189="","",Brand_Log!O189&amp;""))</f>
        <v/>
      </c>
      <c r="J989" s="23" t="str">
        <f aca="false">IF(B989="","","")</f>
        <v/>
      </c>
      <c r="K989" s="32" t="s">
        <v>1356</v>
      </c>
    </row>
    <row r="990" customFormat="false" ht="15" hidden="false" customHeight="false" outlineLevel="0" collapsed="false">
      <c r="A990" s="23" t="str">
        <f aca="false">IF(B990="","",B990+(5*1000+189)/10000000)</f>
        <v/>
      </c>
      <c r="B990" s="35" t="str">
        <f aca="false">IF(AND(Brand_Log!AY190=1,Brand_Log!AN190="Y"),Brand_Log!H190,"")</f>
        <v/>
      </c>
      <c r="C990" s="23" t="str">
        <f aca="false">IF(B990="","","brand")</f>
        <v/>
      </c>
      <c r="D990" s="23" t="str">
        <f aca="false">IF(B990="","",Brand_Log!DV190&amp;"")</f>
        <v/>
      </c>
      <c r="E990" s="23" t="str">
        <f aca="false">IF(B990="","",IF(Brand_Log!B190="","",Brand_Log!B190&amp;""))</f>
        <v/>
      </c>
      <c r="F990" s="23" t="str">
        <f aca="false">IF(B990="","","yes_in_principle")</f>
        <v/>
      </c>
      <c r="G990" s="23" t="str">
        <f aca="false">IF(B990="","","")</f>
        <v/>
      </c>
      <c r="H990" s="23" t="str">
        <f aca="false">IF(B990="","","")</f>
        <v/>
      </c>
      <c r="I990" s="23" t="str">
        <f aca="false">IF(B990="","",IF(Brand_Log!O190="","",Brand_Log!O190&amp;""))</f>
        <v/>
      </c>
      <c r="J990" s="23" t="str">
        <f aca="false">IF(B990="","","")</f>
        <v/>
      </c>
      <c r="K990" s="32" t="s">
        <v>1356</v>
      </c>
    </row>
    <row r="991" customFormat="false" ht="15" hidden="false" customHeight="false" outlineLevel="0" collapsed="false">
      <c r="A991" s="23" t="str">
        <f aca="false">IF(B991="","",B991+(5*1000+190)/10000000)</f>
        <v/>
      </c>
      <c r="B991" s="35" t="str">
        <f aca="false">IF(AND(Brand_Log!AY191=1,Brand_Log!AN191="Y"),Brand_Log!H191,"")</f>
        <v/>
      </c>
      <c r="C991" s="23" t="str">
        <f aca="false">IF(B991="","","brand")</f>
        <v/>
      </c>
      <c r="D991" s="23" t="str">
        <f aca="false">IF(B991="","",Brand_Log!DV191&amp;"")</f>
        <v/>
      </c>
      <c r="E991" s="23" t="str">
        <f aca="false">IF(B991="","",IF(Brand_Log!B191="","",Brand_Log!B191&amp;""))</f>
        <v/>
      </c>
      <c r="F991" s="23" t="str">
        <f aca="false">IF(B991="","","yes_in_principle")</f>
        <v/>
      </c>
      <c r="G991" s="23" t="str">
        <f aca="false">IF(B991="","","")</f>
        <v/>
      </c>
      <c r="H991" s="23" t="str">
        <f aca="false">IF(B991="","","")</f>
        <v/>
      </c>
      <c r="I991" s="23" t="str">
        <f aca="false">IF(B991="","",IF(Brand_Log!O191="","",Brand_Log!O191&amp;""))</f>
        <v/>
      </c>
      <c r="J991" s="23" t="str">
        <f aca="false">IF(B991="","","")</f>
        <v/>
      </c>
      <c r="K991" s="32" t="s">
        <v>1356</v>
      </c>
    </row>
    <row r="992" customFormat="false" ht="15" hidden="false" customHeight="false" outlineLevel="0" collapsed="false">
      <c r="A992" s="23" t="str">
        <f aca="false">IF(B992="","",B992+(5*1000+191)/10000000)</f>
        <v/>
      </c>
      <c r="B992" s="35" t="str">
        <f aca="false">IF(AND(Brand_Log!AY192=1,Brand_Log!AN192="Y"),Brand_Log!H192,"")</f>
        <v/>
      </c>
      <c r="C992" s="23" t="str">
        <f aca="false">IF(B992="","","brand")</f>
        <v/>
      </c>
      <c r="D992" s="23" t="str">
        <f aca="false">IF(B992="","",Brand_Log!DV192&amp;"")</f>
        <v/>
      </c>
      <c r="E992" s="23" t="str">
        <f aca="false">IF(B992="","",IF(Brand_Log!B192="","",Brand_Log!B192&amp;""))</f>
        <v/>
      </c>
      <c r="F992" s="23" t="str">
        <f aca="false">IF(B992="","","yes_in_principle")</f>
        <v/>
      </c>
      <c r="G992" s="23" t="str">
        <f aca="false">IF(B992="","","")</f>
        <v/>
      </c>
      <c r="H992" s="23" t="str">
        <f aca="false">IF(B992="","","")</f>
        <v/>
      </c>
      <c r="I992" s="23" t="str">
        <f aca="false">IF(B992="","",IF(Brand_Log!O192="","",Brand_Log!O192&amp;""))</f>
        <v/>
      </c>
      <c r="J992" s="23" t="str">
        <f aca="false">IF(B992="","","")</f>
        <v/>
      </c>
      <c r="K992" s="32" t="s">
        <v>1356</v>
      </c>
    </row>
    <row r="993" customFormat="false" ht="15" hidden="false" customHeight="false" outlineLevel="0" collapsed="false">
      <c r="A993" s="23" t="str">
        <f aca="false">IF(B993="","",B993+(5*1000+192)/10000000)</f>
        <v/>
      </c>
      <c r="B993" s="35" t="str">
        <f aca="false">IF(AND(Brand_Log!AY193=1,Brand_Log!AN193="Y"),Brand_Log!H193,"")</f>
        <v/>
      </c>
      <c r="C993" s="23" t="str">
        <f aca="false">IF(B993="","","brand")</f>
        <v/>
      </c>
      <c r="D993" s="23" t="str">
        <f aca="false">IF(B993="","",Brand_Log!DV193&amp;"")</f>
        <v/>
      </c>
      <c r="E993" s="23" t="str">
        <f aca="false">IF(B993="","",IF(Brand_Log!B193="","",Brand_Log!B193&amp;""))</f>
        <v/>
      </c>
      <c r="F993" s="23" t="str">
        <f aca="false">IF(B993="","","yes_in_principle")</f>
        <v/>
      </c>
      <c r="G993" s="23" t="str">
        <f aca="false">IF(B993="","","")</f>
        <v/>
      </c>
      <c r="H993" s="23" t="str">
        <f aca="false">IF(B993="","","")</f>
        <v/>
      </c>
      <c r="I993" s="23" t="str">
        <f aca="false">IF(B993="","",IF(Brand_Log!O193="","",Brand_Log!O193&amp;""))</f>
        <v/>
      </c>
      <c r="J993" s="23" t="str">
        <f aca="false">IF(B993="","","")</f>
        <v/>
      </c>
      <c r="K993" s="32" t="s">
        <v>1356</v>
      </c>
    </row>
    <row r="994" customFormat="false" ht="15" hidden="false" customHeight="false" outlineLevel="0" collapsed="false">
      <c r="A994" s="23" t="str">
        <f aca="false">IF(B994="","",B994+(5*1000+193)/10000000)</f>
        <v/>
      </c>
      <c r="B994" s="35" t="str">
        <f aca="false">IF(AND(Brand_Log!AY194=1,Brand_Log!AN194="Y"),Brand_Log!H194,"")</f>
        <v/>
      </c>
      <c r="C994" s="23" t="str">
        <f aca="false">IF(B994="","","brand")</f>
        <v/>
      </c>
      <c r="D994" s="23" t="str">
        <f aca="false">IF(B994="","",Brand_Log!DV194&amp;"")</f>
        <v/>
      </c>
      <c r="E994" s="23" t="str">
        <f aca="false">IF(B994="","",IF(Brand_Log!B194="","",Brand_Log!B194&amp;""))</f>
        <v/>
      </c>
      <c r="F994" s="23" t="str">
        <f aca="false">IF(B994="","","yes_in_principle")</f>
        <v/>
      </c>
      <c r="G994" s="23" t="str">
        <f aca="false">IF(B994="","","")</f>
        <v/>
      </c>
      <c r="H994" s="23" t="str">
        <f aca="false">IF(B994="","","")</f>
        <v/>
      </c>
      <c r="I994" s="23" t="str">
        <f aca="false">IF(B994="","",IF(Brand_Log!O194="","",Brand_Log!O194&amp;""))</f>
        <v/>
      </c>
      <c r="J994" s="23" t="str">
        <f aca="false">IF(B994="","","")</f>
        <v/>
      </c>
      <c r="K994" s="32" t="s">
        <v>1356</v>
      </c>
    </row>
    <row r="995" customFormat="false" ht="15" hidden="false" customHeight="false" outlineLevel="0" collapsed="false">
      <c r="A995" s="23" t="str">
        <f aca="false">IF(B995="","",B995+(5*1000+194)/10000000)</f>
        <v/>
      </c>
      <c r="B995" s="35" t="str">
        <f aca="false">IF(AND(Brand_Log!AY195=1,Brand_Log!AN195="Y"),Brand_Log!H195,"")</f>
        <v/>
      </c>
      <c r="C995" s="23" t="str">
        <f aca="false">IF(B995="","","brand")</f>
        <v/>
      </c>
      <c r="D995" s="23" t="str">
        <f aca="false">IF(B995="","",Brand_Log!DV195&amp;"")</f>
        <v/>
      </c>
      <c r="E995" s="23" t="str">
        <f aca="false">IF(B995="","",IF(Brand_Log!B195="","",Brand_Log!B195&amp;""))</f>
        <v/>
      </c>
      <c r="F995" s="23" t="str">
        <f aca="false">IF(B995="","","yes_in_principle")</f>
        <v/>
      </c>
      <c r="G995" s="23" t="str">
        <f aca="false">IF(B995="","","")</f>
        <v/>
      </c>
      <c r="H995" s="23" t="str">
        <f aca="false">IF(B995="","","")</f>
        <v/>
      </c>
      <c r="I995" s="23" t="str">
        <f aca="false">IF(B995="","",IF(Brand_Log!O195="","",Brand_Log!O195&amp;""))</f>
        <v/>
      </c>
      <c r="J995" s="23" t="str">
        <f aca="false">IF(B995="","","")</f>
        <v/>
      </c>
      <c r="K995" s="32" t="s">
        <v>1356</v>
      </c>
    </row>
    <row r="996" customFormat="false" ht="15" hidden="false" customHeight="false" outlineLevel="0" collapsed="false">
      <c r="A996" s="23" t="str">
        <f aca="false">IF(B996="","",B996+(5*1000+195)/10000000)</f>
        <v/>
      </c>
      <c r="B996" s="35" t="str">
        <f aca="false">IF(AND(Brand_Log!AY196=1,Brand_Log!AN196="Y"),Brand_Log!H196,"")</f>
        <v/>
      </c>
      <c r="C996" s="23" t="str">
        <f aca="false">IF(B996="","","brand")</f>
        <v/>
      </c>
      <c r="D996" s="23" t="str">
        <f aca="false">IF(B996="","",Brand_Log!DV196&amp;"")</f>
        <v/>
      </c>
      <c r="E996" s="23" t="str">
        <f aca="false">IF(B996="","",IF(Brand_Log!B196="","",Brand_Log!B196&amp;""))</f>
        <v/>
      </c>
      <c r="F996" s="23" t="str">
        <f aca="false">IF(B996="","","yes_in_principle")</f>
        <v/>
      </c>
      <c r="G996" s="23" t="str">
        <f aca="false">IF(B996="","","")</f>
        <v/>
      </c>
      <c r="H996" s="23" t="str">
        <f aca="false">IF(B996="","","")</f>
        <v/>
      </c>
      <c r="I996" s="23" t="str">
        <f aca="false">IF(B996="","",IF(Brand_Log!O196="","",Brand_Log!O196&amp;""))</f>
        <v/>
      </c>
      <c r="J996" s="23" t="str">
        <f aca="false">IF(B996="","","")</f>
        <v/>
      </c>
      <c r="K996" s="32" t="s">
        <v>1356</v>
      </c>
    </row>
    <row r="997" customFormat="false" ht="15" hidden="false" customHeight="false" outlineLevel="0" collapsed="false">
      <c r="A997" s="23" t="str">
        <f aca="false">IF(B997="","",B997+(5*1000+196)/10000000)</f>
        <v/>
      </c>
      <c r="B997" s="35" t="str">
        <f aca="false">IF(AND(Brand_Log!AY197=1,Brand_Log!AN197="Y"),Brand_Log!H197,"")</f>
        <v/>
      </c>
      <c r="C997" s="23" t="str">
        <f aca="false">IF(B997="","","brand")</f>
        <v/>
      </c>
      <c r="D997" s="23" t="str">
        <f aca="false">IF(B997="","",Brand_Log!DV197&amp;"")</f>
        <v/>
      </c>
      <c r="E997" s="23" t="str">
        <f aca="false">IF(B997="","",IF(Brand_Log!B197="","",Brand_Log!B197&amp;""))</f>
        <v/>
      </c>
      <c r="F997" s="23" t="str">
        <f aca="false">IF(B997="","","yes_in_principle")</f>
        <v/>
      </c>
      <c r="G997" s="23" t="str">
        <f aca="false">IF(B997="","","")</f>
        <v/>
      </c>
      <c r="H997" s="23" t="str">
        <f aca="false">IF(B997="","","")</f>
        <v/>
      </c>
      <c r="I997" s="23" t="str">
        <f aca="false">IF(B997="","",IF(Brand_Log!O197="","",Brand_Log!O197&amp;""))</f>
        <v/>
      </c>
      <c r="J997" s="23" t="str">
        <f aca="false">IF(B997="","","")</f>
        <v/>
      </c>
      <c r="K997" s="32" t="s">
        <v>1356</v>
      </c>
    </row>
    <row r="998" customFormat="false" ht="15" hidden="false" customHeight="false" outlineLevel="0" collapsed="false">
      <c r="A998" s="23" t="str">
        <f aca="false">IF(B998="","",B998+(5*1000+197)/10000000)</f>
        <v/>
      </c>
      <c r="B998" s="35" t="str">
        <f aca="false">IF(AND(Brand_Log!AY198=1,Brand_Log!AN198="Y"),Brand_Log!H198,"")</f>
        <v/>
      </c>
      <c r="C998" s="23" t="str">
        <f aca="false">IF(B998="","","brand")</f>
        <v/>
      </c>
      <c r="D998" s="23" t="str">
        <f aca="false">IF(B998="","",Brand_Log!DV198&amp;"")</f>
        <v/>
      </c>
      <c r="E998" s="23" t="str">
        <f aca="false">IF(B998="","",IF(Brand_Log!B198="","",Brand_Log!B198&amp;""))</f>
        <v/>
      </c>
      <c r="F998" s="23" t="str">
        <f aca="false">IF(B998="","","yes_in_principle")</f>
        <v/>
      </c>
      <c r="G998" s="23" t="str">
        <f aca="false">IF(B998="","","")</f>
        <v/>
      </c>
      <c r="H998" s="23" t="str">
        <f aca="false">IF(B998="","","")</f>
        <v/>
      </c>
      <c r="I998" s="23" t="str">
        <f aca="false">IF(B998="","",IF(Brand_Log!O198="","",Brand_Log!O198&amp;""))</f>
        <v/>
      </c>
      <c r="J998" s="23" t="str">
        <f aca="false">IF(B998="","","")</f>
        <v/>
      </c>
      <c r="K998" s="32" t="s">
        <v>1356</v>
      </c>
    </row>
    <row r="999" customFormat="false" ht="15" hidden="false" customHeight="false" outlineLevel="0" collapsed="false">
      <c r="A999" s="23" t="str">
        <f aca="false">IF(B999="","",B999+(5*1000+198)/10000000)</f>
        <v/>
      </c>
      <c r="B999" s="35" t="str">
        <f aca="false">IF(AND(Brand_Log!AY199=1,Brand_Log!AN199="Y"),Brand_Log!H199,"")</f>
        <v/>
      </c>
      <c r="C999" s="23" t="str">
        <f aca="false">IF(B999="","","brand")</f>
        <v/>
      </c>
      <c r="D999" s="23" t="str">
        <f aca="false">IF(B999="","",Brand_Log!DV199&amp;"")</f>
        <v/>
      </c>
      <c r="E999" s="23" t="str">
        <f aca="false">IF(B999="","",IF(Brand_Log!B199="","",Brand_Log!B199&amp;""))</f>
        <v/>
      </c>
      <c r="F999" s="23" t="str">
        <f aca="false">IF(B999="","","yes_in_principle")</f>
        <v/>
      </c>
      <c r="G999" s="23" t="str">
        <f aca="false">IF(B999="","","")</f>
        <v/>
      </c>
      <c r="H999" s="23" t="str">
        <f aca="false">IF(B999="","","")</f>
        <v/>
      </c>
      <c r="I999" s="23" t="str">
        <f aca="false">IF(B999="","",IF(Brand_Log!O199="","",Brand_Log!O199&amp;""))</f>
        <v/>
      </c>
      <c r="J999" s="23" t="str">
        <f aca="false">IF(B999="","","")</f>
        <v/>
      </c>
      <c r="K999" s="32" t="s">
        <v>1356</v>
      </c>
    </row>
    <row r="1000" customFormat="false" ht="15" hidden="false" customHeight="false" outlineLevel="0" collapsed="false">
      <c r="A1000" s="23" t="str">
        <f aca="false">IF(B1000="","",B1000+(5*1000+199)/10000000)</f>
        <v/>
      </c>
      <c r="B1000" s="35" t="str">
        <f aca="false">IF(AND(Brand_Log!AY200=1,Brand_Log!AN200="Y"),Brand_Log!H200,"")</f>
        <v/>
      </c>
      <c r="C1000" s="23" t="str">
        <f aca="false">IF(B1000="","","brand")</f>
        <v/>
      </c>
      <c r="D1000" s="23" t="str">
        <f aca="false">IF(B1000="","",Brand_Log!DV200&amp;"")</f>
        <v/>
      </c>
      <c r="E1000" s="23" t="str">
        <f aca="false">IF(B1000="","",IF(Brand_Log!B200="","",Brand_Log!B200&amp;""))</f>
        <v/>
      </c>
      <c r="F1000" s="23" t="str">
        <f aca="false">IF(B1000="","","yes_in_principle")</f>
        <v/>
      </c>
      <c r="G1000" s="23" t="str">
        <f aca="false">IF(B1000="","","")</f>
        <v/>
      </c>
      <c r="H1000" s="23" t="str">
        <f aca="false">IF(B1000="","","")</f>
        <v/>
      </c>
      <c r="I1000" s="23" t="str">
        <f aca="false">IF(B1000="","",IF(Brand_Log!O200="","",Brand_Log!O200&amp;""))</f>
        <v/>
      </c>
      <c r="J1000" s="23" t="str">
        <f aca="false">IF(B1000="","","")</f>
        <v/>
      </c>
      <c r="K1000" s="32" t="s">
        <v>1356</v>
      </c>
    </row>
    <row r="1001" customFormat="false" ht="15" hidden="false" customHeight="false" outlineLevel="0" collapsed="false">
      <c r="A1001" s="23" t="str">
        <f aca="false">IF(B1001="","",B1001+(5*1000+200)/10000000)</f>
        <v/>
      </c>
      <c r="B1001" s="35" t="str">
        <f aca="false">IF(AND(Brand_Log!AY201=1,Brand_Log!AN201="Y"),Brand_Log!H201,"")</f>
        <v/>
      </c>
      <c r="C1001" s="23" t="str">
        <f aca="false">IF(B1001="","","brand")</f>
        <v/>
      </c>
      <c r="D1001" s="23" t="str">
        <f aca="false">IF(B1001="","",Brand_Log!DV201&amp;"")</f>
        <v/>
      </c>
      <c r="E1001" s="23" t="str">
        <f aca="false">IF(B1001="","",IF(Brand_Log!B201="","",Brand_Log!B201&amp;""))</f>
        <v/>
      </c>
      <c r="F1001" s="23" t="str">
        <f aca="false">IF(B1001="","","yes_in_principle")</f>
        <v/>
      </c>
      <c r="G1001" s="23" t="str">
        <f aca="false">IF(B1001="","","")</f>
        <v/>
      </c>
      <c r="H1001" s="23" t="str">
        <f aca="false">IF(B1001="","","")</f>
        <v/>
      </c>
      <c r="I1001" s="23" t="str">
        <f aca="false">IF(B1001="","",IF(Brand_Log!O201="","",Brand_Log!O201&amp;""))</f>
        <v/>
      </c>
      <c r="J1001" s="23" t="str">
        <f aca="false">IF(B1001="","","")</f>
        <v/>
      </c>
      <c r="K1001" s="32" t="s">
        <v>1356</v>
      </c>
    </row>
    <row r="1002" customFormat="false" ht="15" hidden="false" customHeight="false" outlineLevel="0" collapsed="false">
      <c r="A1002" s="42" t="n">
        <f aca="false">IF(B1002="","",B1002+(6*1000+1)/10000000)</f>
        <v>46322.0006001</v>
      </c>
      <c r="B1002" s="35" t="n">
        <f aca="false">IF(AND(Brand_Log!AY2=1,OR(ISNUMBER(Brand_Log!R2),TRIM(Brand_Log!S2)&lt;&gt;"")),Brand_Log!H2,"")</f>
        <v>46322</v>
      </c>
      <c r="C1002" s="23" t="str">
        <f aca="false">IF(B1002="","","brand")</f>
        <v>brand</v>
      </c>
      <c r="D1002" s="23" t="str">
        <f aca="false">IF(B1002="","",Brand_Log!DV2&amp;"")</f>
        <v>SAMPLE-B-001</v>
      </c>
      <c r="E1002" s="23" t="str">
        <f aca="false">IF(B1002="","",IF(Brand_Log!B2="","",Brand_Log!B2&amp;""))</f>
        <v>SAMPLE Brand 01</v>
      </c>
      <c r="F1002" s="23" t="str">
        <f aca="false">IF(B1002="","","budget_probe")</f>
        <v>budget_probe</v>
      </c>
      <c r="G1002" s="23" t="n">
        <f aca="false">IF(B1002="","",IF(ISNUMBER(Brand_Log!R2),Brand_Log!R2,""))</f>
        <v>500</v>
      </c>
      <c r="H1002" s="23" t="str">
        <f aca="false">IF(B1002="","",IF(Brand_Log!S2="","",Brand_Log!S2&amp;""))</f>
        <v>SAMPLE: maybe $500 for that</v>
      </c>
      <c r="I1002" s="23" t="str">
        <f aca="false">IF(B1002="","",IF(Brand_Log!O2="","",Brand_Log!O2&amp;""))</f>
        <v>Y</v>
      </c>
      <c r="J1002" s="23" t="str">
        <f aca="false">IF(B1002="","",IF(Brand_Log!T2="","","before_1500; "&amp;Brand_Log!T2))</f>
        <v/>
      </c>
      <c r="K1002" s="32" t="s">
        <v>1357</v>
      </c>
    </row>
    <row r="1003" customFormat="false" ht="15" hidden="false" customHeight="false" outlineLevel="0" collapsed="false">
      <c r="A1003" s="42" t="n">
        <f aca="false">IF(B1003="","",B1003+(6*1000+2)/10000000)</f>
        <v>46323.0006002</v>
      </c>
      <c r="B1003" s="35" t="n">
        <f aca="false">IF(AND(Brand_Log!AY3=1,OR(ISNUMBER(Brand_Log!R3),TRIM(Brand_Log!S3)&lt;&gt;"")),Brand_Log!H3,"")</f>
        <v>46323</v>
      </c>
      <c r="C1003" s="23" t="str">
        <f aca="false">IF(B1003="","","brand")</f>
        <v>brand</v>
      </c>
      <c r="D1003" s="23" t="str">
        <f aca="false">IF(B1003="","",Brand_Log!DV3&amp;"")</f>
        <v>SAMPLE-B-002</v>
      </c>
      <c r="E1003" s="23" t="str">
        <f aca="false">IF(B1003="","",IF(Brand_Log!B3="","",Brand_Log!B3&amp;""))</f>
        <v>SAMPLE Brand 02</v>
      </c>
      <c r="F1003" s="23" t="str">
        <f aca="false">IF(B1003="","","budget_probe")</f>
        <v>budget_probe</v>
      </c>
      <c r="G1003" s="23" t="n">
        <f aca="false">IF(B1003="","",IF(ISNUMBER(Brand_Log!R3),Brand_Log!R3,""))</f>
        <v>250</v>
      </c>
      <c r="H1003" s="23" t="str">
        <f aca="false">IF(B1003="","",IF(Brand_Log!S3="","",Brand_Log!S3&amp;""))</f>
        <v>SAMPLE: a couple hundred</v>
      </c>
      <c r="I1003" s="23" t="str">
        <f aca="false">IF(B1003="","",IF(Brand_Log!O3="","",Brand_Log!O3&amp;""))</f>
        <v>Y</v>
      </c>
      <c r="J1003" s="23" t="str">
        <f aca="false">IF(B1003="","",IF(Brand_Log!T3="","","before_1500; "&amp;Brand_Log!T3))</f>
        <v/>
      </c>
      <c r="K1003" s="32" t="s">
        <v>1357</v>
      </c>
    </row>
    <row r="1004" customFormat="false" ht="15" hidden="false" customHeight="false" outlineLevel="0" collapsed="false">
      <c r="A1004" s="42" t="n">
        <f aca="false">IF(B1004="","",B1004+(6*1000+3)/10000000)</f>
        <v>46324.0006003</v>
      </c>
      <c r="B1004" s="35" t="n">
        <f aca="false">IF(AND(Brand_Log!AY4=1,OR(ISNUMBER(Brand_Log!R4),TRIM(Brand_Log!S4)&lt;&gt;"")),Brand_Log!H4,"")</f>
        <v>46324</v>
      </c>
      <c r="C1004" s="23" t="str">
        <f aca="false">IF(B1004="","","brand")</f>
        <v>brand</v>
      </c>
      <c r="D1004" s="23" t="str">
        <f aca="false">IF(B1004="","",Brand_Log!DV4&amp;"")</f>
        <v>SAMPLE-B-003</v>
      </c>
      <c r="E1004" s="23" t="str">
        <f aca="false">IF(B1004="","",IF(Brand_Log!B4="","",Brand_Log!B4&amp;""))</f>
        <v>SAMPLE Brand 03</v>
      </c>
      <c r="F1004" s="23" t="str">
        <f aca="false">IF(B1004="","","budget_probe")</f>
        <v>budget_probe</v>
      </c>
      <c r="G1004" s="23" t="str">
        <f aca="false">IF(B1004="","",IF(ISNUMBER(Brand_Log!R4),Brand_Log!R4,""))</f>
        <v/>
      </c>
      <c r="H1004" s="23" t="str">
        <f aca="false">IF(B1004="","",IF(Brand_Log!S4="","",Brand_Log!S4&amp;""))</f>
        <v>SAMPLE: no idea what that's worth</v>
      </c>
      <c r="I1004" s="23" t="str">
        <f aca="false">IF(B1004="","",IF(Brand_Log!O4="","",Brand_Log!O4&amp;""))</f>
        <v>Y</v>
      </c>
      <c r="J1004" s="23" t="str">
        <f aca="false">IF(B1004="","",IF(Brand_Log!T4="","","before_1500; "&amp;Brand_Log!T4))</f>
        <v/>
      </c>
      <c r="K1004" s="32" t="s">
        <v>1357</v>
      </c>
    </row>
    <row r="1005" customFormat="false" ht="15" hidden="false" customHeight="false" outlineLevel="0" collapsed="false">
      <c r="A1005" s="42" t="n">
        <f aca="false">IF(B1005="","",B1005+(6*1000+4)/10000000)</f>
        <v>46328.0006004</v>
      </c>
      <c r="B1005" s="35" t="n">
        <f aca="false">IF(AND(Brand_Log!AY5=1,OR(ISNUMBER(Brand_Log!R5),TRIM(Brand_Log!S5)&lt;&gt;"")),Brand_Log!H5,"")</f>
        <v>46328</v>
      </c>
      <c r="C1005" s="23" t="str">
        <f aca="false">IF(B1005="","","brand")</f>
        <v>brand</v>
      </c>
      <c r="D1005" s="23" t="str">
        <f aca="false">IF(B1005="","",Brand_Log!DV5&amp;"")</f>
        <v>SAMPLE-B-004</v>
      </c>
      <c r="E1005" s="23" t="str">
        <f aca="false">IF(B1005="","",IF(Brand_Log!B5="","",Brand_Log!B5&amp;""))</f>
        <v>SAMPLE Brand 04</v>
      </c>
      <c r="F1005" s="23" t="str">
        <f aca="false">IF(B1005="","","budget_probe")</f>
        <v>budget_probe</v>
      </c>
      <c r="G1005" s="23" t="n">
        <f aca="false">IF(B1005="","",IF(ISNUMBER(Brand_Log!R5),Brand_Log!R5,""))</f>
        <v>1000</v>
      </c>
      <c r="H1005" s="23" t="str">
        <f aca="false">IF(B1005="","",IF(Brand_Log!S5="","",Brand_Log!S5&amp;""))</f>
        <v>SAMPLE: a thousand, but my cofounder decides</v>
      </c>
      <c r="I1005" s="23" t="str">
        <f aca="false">IF(B1005="","",IF(Brand_Log!O5="","",Brand_Log!O5&amp;""))</f>
        <v>N</v>
      </c>
      <c r="J1005" s="23" t="str">
        <f aca="false">IF(B1005="","",IF(Brand_Log!T5="","","before_1500; "&amp;Brand_Log!T5))</f>
        <v/>
      </c>
      <c r="K1005" s="32" t="s">
        <v>1357</v>
      </c>
    </row>
    <row r="1006" customFormat="false" ht="15" hidden="false" customHeight="false" outlineLevel="0" collapsed="false">
      <c r="A1006" s="42" t="n">
        <f aca="false">IF(B1006="","",B1006+(6*1000+5)/10000000)</f>
        <v>46329.0006005</v>
      </c>
      <c r="B1006" s="35" t="n">
        <f aca="false">IF(AND(Brand_Log!AY6=1,OR(ISNUMBER(Brand_Log!R6),TRIM(Brand_Log!S6)&lt;&gt;"")),Brand_Log!H6,"")</f>
        <v>46329</v>
      </c>
      <c r="C1006" s="23" t="str">
        <f aca="false">IF(B1006="","","brand")</f>
        <v>brand</v>
      </c>
      <c r="D1006" s="23" t="str">
        <f aca="false">IF(B1006="","",Brand_Log!DV6&amp;"")</f>
        <v>SAMPLE-B-005</v>
      </c>
      <c r="E1006" s="23" t="str">
        <f aca="false">IF(B1006="","",IF(Brand_Log!B6="","",Brand_Log!B6&amp;""))</f>
        <v>SAMPLE Brand 05</v>
      </c>
      <c r="F1006" s="23" t="str">
        <f aca="false">IF(B1006="","","budget_probe")</f>
        <v>budget_probe</v>
      </c>
      <c r="G1006" s="23" t="n">
        <f aca="false">IF(B1006="","",IF(ISNUMBER(Brand_Log!R6),Brand_Log!R6,""))</f>
        <v>0</v>
      </c>
      <c r="H1006" s="23" t="str">
        <f aca="false">IF(B1006="","",IF(Brand_Log!S6="","",Brand_Log!S6&amp;""))</f>
        <v>SAMPLE: we would want it free</v>
      </c>
      <c r="I1006" s="23" t="str">
        <f aca="false">IF(B1006="","",IF(Brand_Log!O6="","",Brand_Log!O6&amp;""))</f>
        <v>Y</v>
      </c>
      <c r="J1006" s="23" t="str">
        <f aca="false">IF(B1006="","",IF(Brand_Log!T6="","","before_1500; "&amp;Brand_Log!T6))</f>
        <v/>
      </c>
      <c r="K1006" s="32" t="s">
        <v>1357</v>
      </c>
    </row>
    <row r="1007" customFormat="false" ht="15" hidden="false" customHeight="false" outlineLevel="0" collapsed="false">
      <c r="A1007" s="42" t="n">
        <f aca="false">IF(B1007="","",B1007+(6*1000+6)/10000000)</f>
        <v>46330.0006006</v>
      </c>
      <c r="B1007" s="35" t="n">
        <f aca="false">IF(AND(Brand_Log!AY7=1,OR(ISNUMBER(Brand_Log!R7),TRIM(Brand_Log!S7)&lt;&gt;"")),Brand_Log!H7,"")</f>
        <v>46330</v>
      </c>
      <c r="C1007" s="23" t="str">
        <f aca="false">IF(B1007="","","brand")</f>
        <v>brand</v>
      </c>
      <c r="D1007" s="23" t="str">
        <f aca="false">IF(B1007="","",Brand_Log!DV7&amp;"")</f>
        <v>SAMPLE-B-006</v>
      </c>
      <c r="E1007" s="23" t="str">
        <f aca="false">IF(B1007="","",IF(Brand_Log!B7="","",Brand_Log!B7&amp;""))</f>
        <v>SAMPLE Brand 06</v>
      </c>
      <c r="F1007" s="23" t="str">
        <f aca="false">IF(B1007="","","budget_probe")</f>
        <v>budget_probe</v>
      </c>
      <c r="G1007" s="23" t="n">
        <f aca="false">IF(B1007="","",IF(ISNUMBER(Brand_Log!R7),Brand_Log!R7,""))</f>
        <v>750</v>
      </c>
      <c r="H1007" s="23" t="str">
        <f aca="false">IF(B1007="","",IF(Brand_Log!S7="","",Brand_Log!S7&amp;""))</f>
        <v>SAMPLE: $750 feels right</v>
      </c>
      <c r="I1007" s="23" t="str">
        <f aca="false">IF(B1007="","",IF(Brand_Log!O7="","",Brand_Log!O7&amp;""))</f>
        <v>Y</v>
      </c>
      <c r="J1007" s="23" t="str">
        <f aca="false">IF(B1007="","",IF(Brand_Log!T7="","","before_1500; "&amp;Brand_Log!T7))</f>
        <v/>
      </c>
      <c r="K1007" s="32" t="s">
        <v>1357</v>
      </c>
    </row>
    <row r="1008" customFormat="false" ht="15" hidden="false" customHeight="false" outlineLevel="0" collapsed="false">
      <c r="A1008" s="42" t="n">
        <f aca="false">IF(B1008="","",B1008+(6*1000+7)/10000000)</f>
        <v>46331.0006007</v>
      </c>
      <c r="B1008" s="35" t="n">
        <f aca="false">IF(AND(Brand_Log!AY8=1,OR(ISNUMBER(Brand_Log!R8),TRIM(Brand_Log!S8)&lt;&gt;"")),Brand_Log!H8,"")</f>
        <v>46331</v>
      </c>
      <c r="C1008" s="23" t="str">
        <f aca="false">IF(B1008="","","brand")</f>
        <v>brand</v>
      </c>
      <c r="D1008" s="23" t="str">
        <f aca="false">IF(B1008="","",Brand_Log!DV8&amp;"")</f>
        <v>SAMPLE-B-007</v>
      </c>
      <c r="E1008" s="23" t="str">
        <f aca="false">IF(B1008="","",IF(Brand_Log!B8="","",Brand_Log!B8&amp;""))</f>
        <v>SAMPLE Brand 07</v>
      </c>
      <c r="F1008" s="23" t="str">
        <f aca="false">IF(B1008="","","budget_probe")</f>
        <v>budget_probe</v>
      </c>
      <c r="G1008" s="23" t="n">
        <f aca="false">IF(B1008="","",IF(ISNUMBER(Brand_Log!R8),Brand_Log!R8,""))</f>
        <v>300</v>
      </c>
      <c r="H1008" s="23" t="str">
        <f aca="false">IF(B1008="","",IF(Brand_Log!S8="","",Brand_Log!S8&amp;""))</f>
        <v>SAMPLE: $300</v>
      </c>
      <c r="I1008" s="23" t="str">
        <f aca="false">IF(B1008="","",IF(Brand_Log!O8="","",Brand_Log!O8&amp;""))</f>
        <v>Y</v>
      </c>
      <c r="J1008" s="23" t="str">
        <f aca="false">IF(B1008="","",IF(Brand_Log!T8="","","before_1500; "&amp;Brand_Log!T8))</f>
        <v/>
      </c>
      <c r="K1008" s="32" t="s">
        <v>1357</v>
      </c>
    </row>
    <row r="1009" customFormat="false" ht="15" hidden="false" customHeight="false" outlineLevel="0" collapsed="false">
      <c r="A1009" s="42" t="n">
        <f aca="false">IF(B1009="","",B1009+(6*1000+8)/10000000)</f>
        <v>46335.0006008</v>
      </c>
      <c r="B1009" s="35" t="n">
        <f aca="false">IF(AND(Brand_Log!AY9=1,OR(ISNUMBER(Brand_Log!R9),TRIM(Brand_Log!S9)&lt;&gt;"")),Brand_Log!H9,"")</f>
        <v>46335</v>
      </c>
      <c r="C1009" s="23" t="str">
        <f aca="false">IF(B1009="","","brand")</f>
        <v>brand</v>
      </c>
      <c r="D1009" s="23" t="str">
        <f aca="false">IF(B1009="","",Brand_Log!DV9&amp;"")</f>
        <v>SAMPLE-B-008</v>
      </c>
      <c r="E1009" s="23" t="str">
        <f aca="false">IF(B1009="","",IF(Brand_Log!B9="","",Brand_Log!B9&amp;""))</f>
        <v>SAMPLE Brand 08</v>
      </c>
      <c r="F1009" s="23" t="str">
        <f aca="false">IF(B1009="","","budget_probe")</f>
        <v>budget_probe</v>
      </c>
      <c r="G1009" s="23" t="n">
        <f aca="false">IF(B1009="","",IF(ISNUMBER(Brand_Log!R9),Brand_Log!R9,""))</f>
        <v>2000</v>
      </c>
      <c r="H1009" s="23" t="str">
        <f aca="false">IF(B1009="","",IF(Brand_Log!S9="","",Brand_Log!S9&amp;""))</f>
        <v>SAMPLE: we spend $2,000 a weekend on demos</v>
      </c>
      <c r="I1009" s="23" t="str">
        <f aca="false">IF(B1009="","",IF(Brand_Log!O9="","",Brand_Log!O9&amp;""))</f>
        <v>Y</v>
      </c>
      <c r="J1009" s="23" t="str">
        <f aca="false">IF(B1009="","",IF(Brand_Log!T9="","","before_1500; "&amp;Brand_Log!T9))</f>
        <v/>
      </c>
      <c r="K1009" s="32" t="s">
        <v>1357</v>
      </c>
    </row>
    <row r="1010" customFormat="false" ht="15" hidden="false" customHeight="false" outlineLevel="0" collapsed="false">
      <c r="A1010" s="23" t="str">
        <f aca="false">IF(B1010="","",B1010+(6*1000+9)/10000000)</f>
        <v/>
      </c>
      <c r="B1010" s="35" t="str">
        <f aca="false">IF(AND(Brand_Log!AY10=1,OR(ISNUMBER(Brand_Log!R10),TRIM(Brand_Log!S10)&lt;&gt;"")),Brand_Log!H10,"")</f>
        <v/>
      </c>
      <c r="C1010" s="23" t="str">
        <f aca="false">IF(B1010="","","brand")</f>
        <v/>
      </c>
      <c r="D1010" s="23" t="str">
        <f aca="false">IF(B1010="","",Brand_Log!DV10&amp;"")</f>
        <v/>
      </c>
      <c r="E1010" s="23" t="str">
        <f aca="false">IF(B1010="","",IF(Brand_Log!B10="","",Brand_Log!B10&amp;""))</f>
        <v/>
      </c>
      <c r="F1010" s="23" t="str">
        <f aca="false">IF(B1010="","","budget_probe")</f>
        <v/>
      </c>
      <c r="G1010" s="23" t="str">
        <f aca="false">IF(B1010="","",IF(ISNUMBER(Brand_Log!R10),Brand_Log!R10,""))</f>
        <v/>
      </c>
      <c r="H1010" s="23" t="str">
        <f aca="false">IF(B1010="","",IF(Brand_Log!S10="","",Brand_Log!S10&amp;""))</f>
        <v/>
      </c>
      <c r="I1010" s="23" t="str">
        <f aca="false">IF(B1010="","",IF(Brand_Log!O10="","",Brand_Log!O10&amp;""))</f>
        <v/>
      </c>
      <c r="J1010" s="23" t="str">
        <f aca="false">IF(B1010="","",IF(Brand_Log!T10="","","before_1500; "&amp;Brand_Log!T10))</f>
        <v/>
      </c>
      <c r="K1010" s="32" t="s">
        <v>1357</v>
      </c>
    </row>
    <row r="1011" customFormat="false" ht="15" hidden="false" customHeight="false" outlineLevel="0" collapsed="false">
      <c r="A1011" s="42" t="n">
        <f aca="false">IF(B1011="","",B1011+(6*1000+10)/10000000)</f>
        <v>46337.000601</v>
      </c>
      <c r="B1011" s="35" t="n">
        <f aca="false">IF(AND(Brand_Log!AY11=1,OR(ISNUMBER(Brand_Log!R11),TRIM(Brand_Log!S11)&lt;&gt;"")),Brand_Log!H11,"")</f>
        <v>46337</v>
      </c>
      <c r="C1011" s="23" t="str">
        <f aca="false">IF(B1011="","","brand")</f>
        <v>brand</v>
      </c>
      <c r="D1011" s="23" t="str">
        <f aca="false">IF(B1011="","",Brand_Log!DV11&amp;"")</f>
        <v>SAMPLE-B-010</v>
      </c>
      <c r="E1011" s="23" t="str">
        <f aca="false">IF(B1011="","",IF(Brand_Log!B11="","",Brand_Log!B11&amp;""))</f>
        <v>SAMPLE Brand 10</v>
      </c>
      <c r="F1011" s="23" t="str">
        <f aca="false">IF(B1011="","","budget_probe")</f>
        <v>budget_probe</v>
      </c>
      <c r="G1011" s="23" t="n">
        <f aca="false">IF(B1011="","",IF(ISNUMBER(Brand_Log!R11),Brand_Log!R11,""))</f>
        <v>400</v>
      </c>
      <c r="H1011" s="23" t="str">
        <f aca="false">IF(B1011="","",IF(Brand_Log!S11="","",Brand_Log!S11&amp;""))</f>
        <v>SAMPLE: $400 tops</v>
      </c>
      <c r="I1011" s="23" t="str">
        <f aca="false">IF(B1011="","",IF(Brand_Log!O11="","",Brand_Log!O11&amp;""))</f>
        <v>N</v>
      </c>
      <c r="J1011" s="23" t="str">
        <f aca="false">IF(B1011="","",IF(Brand_Log!T11="","","before_1500; "&amp;Brand_Log!T11))</f>
        <v/>
      </c>
      <c r="K1011" s="32" t="s">
        <v>1357</v>
      </c>
    </row>
    <row r="1012" customFormat="false" ht="15" hidden="false" customHeight="false" outlineLevel="0" collapsed="false">
      <c r="A1012" s="42" t="n">
        <f aca="false">IF(B1012="","",B1012+(6*1000+11)/10000000)</f>
        <v>46338.0006011</v>
      </c>
      <c r="B1012" s="35" t="n">
        <f aca="false">IF(AND(Brand_Log!AY12=1,OR(ISNUMBER(Brand_Log!R12),TRIM(Brand_Log!S12)&lt;&gt;"")),Brand_Log!H12,"")</f>
        <v>46338</v>
      </c>
      <c r="C1012" s="23" t="str">
        <f aca="false">IF(B1012="","","brand")</f>
        <v>brand</v>
      </c>
      <c r="D1012" s="23" t="str">
        <f aca="false">IF(B1012="","",Brand_Log!DV12&amp;"")</f>
        <v>SAMPLE-B-011</v>
      </c>
      <c r="E1012" s="23" t="str">
        <f aca="false">IF(B1012="","",IF(Brand_Log!B12="","",Brand_Log!B12&amp;""))</f>
        <v>SAMPLE Brand 11</v>
      </c>
      <c r="F1012" s="23" t="str">
        <f aca="false">IF(B1012="","","budget_probe")</f>
        <v>budget_probe</v>
      </c>
      <c r="G1012" s="23" t="n">
        <f aca="false">IF(B1012="","",IF(ISNUMBER(Brand_Log!R12),Brand_Log!R12,""))</f>
        <v>600</v>
      </c>
      <c r="H1012" s="23" t="str">
        <f aca="false">IF(B1012="","",IF(Brand_Log!S12="","",Brand_Log!S12&amp;""))</f>
        <v>SAMPLE: $600</v>
      </c>
      <c r="I1012" s="23" t="str">
        <f aca="false">IF(B1012="","",IF(Brand_Log!O12="","",Brand_Log!O12&amp;""))</f>
        <v>Y</v>
      </c>
      <c r="J1012" s="23" t="str">
        <f aca="false">IF(B1012="","",IF(Brand_Log!T12="","","before_1500; "&amp;Brand_Log!T12))</f>
        <v/>
      </c>
      <c r="K1012" s="32" t="s">
        <v>1357</v>
      </c>
    </row>
    <row r="1013" customFormat="false" ht="15" hidden="false" customHeight="false" outlineLevel="0" collapsed="false">
      <c r="A1013" s="23" t="str">
        <f aca="false">IF(B1013="","",B1013+(6*1000+12)/10000000)</f>
        <v/>
      </c>
      <c r="B1013" s="35" t="str">
        <f aca="false">IF(AND(Brand_Log!AY13=1,OR(ISNUMBER(Brand_Log!R13),TRIM(Brand_Log!S13)&lt;&gt;"")),Brand_Log!H13,"")</f>
        <v/>
      </c>
      <c r="C1013" s="23" t="str">
        <f aca="false">IF(B1013="","","brand")</f>
        <v/>
      </c>
      <c r="D1013" s="23" t="str">
        <f aca="false">IF(B1013="","",Brand_Log!DV13&amp;"")</f>
        <v/>
      </c>
      <c r="E1013" s="23" t="str">
        <f aca="false">IF(B1013="","",IF(Brand_Log!B13="","",Brand_Log!B13&amp;""))</f>
        <v/>
      </c>
      <c r="F1013" s="23" t="str">
        <f aca="false">IF(B1013="","","budget_probe")</f>
        <v/>
      </c>
      <c r="G1013" s="23" t="str">
        <f aca="false">IF(B1013="","",IF(ISNUMBER(Brand_Log!R13),Brand_Log!R13,""))</f>
        <v/>
      </c>
      <c r="H1013" s="23" t="str">
        <f aca="false">IF(B1013="","",IF(Brand_Log!S13="","",Brand_Log!S13&amp;""))</f>
        <v/>
      </c>
      <c r="I1013" s="23" t="str">
        <f aca="false">IF(B1013="","",IF(Brand_Log!O13="","",Brand_Log!O13&amp;""))</f>
        <v/>
      </c>
      <c r="J1013" s="23" t="str">
        <f aca="false">IF(B1013="","",IF(Brand_Log!T13="","","before_1500; "&amp;Brand_Log!T13))</f>
        <v/>
      </c>
      <c r="K1013" s="32" t="s">
        <v>1357</v>
      </c>
    </row>
    <row r="1014" customFormat="false" ht="15" hidden="false" customHeight="false" outlineLevel="0" collapsed="false">
      <c r="A1014" s="42" t="n">
        <f aca="false">IF(B1014="","",B1014+(6*1000+13)/10000000)</f>
        <v>46339.0006013</v>
      </c>
      <c r="B1014" s="35" t="n">
        <f aca="false">IF(AND(Brand_Log!AY14=1,OR(ISNUMBER(Brand_Log!R14),TRIM(Brand_Log!S14)&lt;&gt;"")),Brand_Log!H14,"")</f>
        <v>46339</v>
      </c>
      <c r="C1014" s="23" t="str">
        <f aca="false">IF(B1014="","","brand")</f>
        <v>brand</v>
      </c>
      <c r="D1014" s="23" t="str">
        <f aca="false">IF(B1014="","",Brand_Log!DV14&amp;"")</f>
        <v>SAMPLE-B-012</v>
      </c>
      <c r="E1014" s="23" t="str">
        <f aca="false">IF(B1014="","",IF(Brand_Log!B14="","",Brand_Log!B14&amp;""))</f>
        <v>SAMPLE Brand 12</v>
      </c>
      <c r="F1014" s="23" t="str">
        <f aca="false">IF(B1014="","","budget_probe")</f>
        <v>budget_probe</v>
      </c>
      <c r="G1014" s="23" t="n">
        <f aca="false">IF(B1014="","",IF(ISNUMBER(Brand_Log!R14),Brand_Log!R14,""))</f>
        <v>100</v>
      </c>
      <c r="H1014" s="23" t="str">
        <f aca="false">IF(B1014="","",IF(Brand_Log!S14="","",Brand_Log!S14&amp;""))</f>
        <v>SAMPLE: a hundred bucks</v>
      </c>
      <c r="I1014" s="23" t="str">
        <f aca="false">IF(B1014="","",IF(Brand_Log!O14="","",Brand_Log!O14&amp;""))</f>
        <v>Y</v>
      </c>
      <c r="J1014" s="23" t="str">
        <f aca="false">IF(B1014="","",IF(Brand_Log!T14="","","before_1500; "&amp;Brand_Log!T14))</f>
        <v/>
      </c>
      <c r="K1014" s="32" t="s">
        <v>1357</v>
      </c>
    </row>
    <row r="1015" customFormat="false" ht="15" hidden="false" customHeight="false" outlineLevel="0" collapsed="false">
      <c r="A1015" s="42" t="n">
        <f aca="false">IF(B1015="","",B1015+(6*1000+14)/10000000)</f>
        <v>46339.0006014</v>
      </c>
      <c r="B1015" s="35" t="n">
        <f aca="false">IF(AND(Brand_Log!AY15=1,OR(ISNUMBER(Brand_Log!R15),TRIM(Brand_Log!S15)&lt;&gt;"")),Brand_Log!H15,"")</f>
        <v>46339</v>
      </c>
      <c r="C1015" s="23" t="str">
        <f aca="false">IF(B1015="","","brand")</f>
        <v>brand</v>
      </c>
      <c r="D1015" s="23" t="str">
        <f aca="false">IF(B1015="","",Brand_Log!DV15&amp;"")</f>
        <v>SAMPLE-B-013</v>
      </c>
      <c r="E1015" s="23" t="str">
        <f aca="false">IF(B1015="","",IF(Brand_Log!B15="","",Brand_Log!B15&amp;""))</f>
        <v>SAMPLE Brand 13</v>
      </c>
      <c r="F1015" s="23" t="str">
        <f aca="false">IF(B1015="","","budget_probe")</f>
        <v>budget_probe</v>
      </c>
      <c r="G1015" s="23" t="n">
        <f aca="false">IF(B1015="","",IF(ISNUMBER(Brand_Log!R15),Brand_Log!R15,""))</f>
        <v>500</v>
      </c>
      <c r="H1015" s="23" t="str">
        <f aca="false">IF(B1015="","",IF(Brand_Log!S15="","",Brand_Log!S15&amp;""))</f>
        <v>SAMPLE: five hundred</v>
      </c>
      <c r="I1015" s="23" t="str">
        <f aca="false">IF(B1015="","",IF(Brand_Log!O15="","",Brand_Log!O15&amp;""))</f>
        <v>Y</v>
      </c>
      <c r="J1015" s="23" t="str">
        <f aca="false">IF(B1015="","",IF(Brand_Log!T15="","","before_1500; "&amp;Brand_Log!T15))</f>
        <v/>
      </c>
      <c r="K1015" s="32" t="s">
        <v>1357</v>
      </c>
    </row>
    <row r="1016" customFormat="false" ht="15" hidden="false" customHeight="false" outlineLevel="0" collapsed="false">
      <c r="A1016" s="42" t="n">
        <f aca="false">IF(B1016="","",B1016+(6*1000+15)/10000000)</f>
        <v>46343.0006015</v>
      </c>
      <c r="B1016" s="35" t="n">
        <f aca="false">IF(AND(Brand_Log!AY16=1,OR(ISNUMBER(Brand_Log!R16),TRIM(Brand_Log!S16)&lt;&gt;"")),Brand_Log!H16,"")</f>
        <v>46343</v>
      </c>
      <c r="C1016" s="23" t="str">
        <f aca="false">IF(B1016="","","brand")</f>
        <v>brand</v>
      </c>
      <c r="D1016" s="23" t="str">
        <f aca="false">IF(B1016="","",Brand_Log!DV16&amp;"")</f>
        <v>SAMPLE-B-014</v>
      </c>
      <c r="E1016" s="23" t="str">
        <f aca="false">IF(B1016="","",IF(Brand_Log!B16="","",Brand_Log!B16&amp;""))</f>
        <v>SAMPLE Brand 14</v>
      </c>
      <c r="F1016" s="23" t="str">
        <f aca="false">IF(B1016="","","budget_probe")</f>
        <v>budget_probe</v>
      </c>
      <c r="G1016" s="23" t="n">
        <f aca="false">IF(B1016="","",IF(ISNUMBER(Brand_Log!R16),Brand_Log!R16,""))</f>
        <v>900</v>
      </c>
      <c r="H1016" s="23" t="str">
        <f aca="false">IF(B1016="","",IF(Brand_Log!S16="","",Brand_Log!S16&amp;""))</f>
        <v>SAMPLE: $900</v>
      </c>
      <c r="I1016" s="23" t="str">
        <f aca="false">IF(B1016="","",IF(Brand_Log!O16="","",Brand_Log!O16&amp;""))</f>
        <v>Y</v>
      </c>
      <c r="J1016" s="23" t="str">
        <f aca="false">IF(B1016="","",IF(Brand_Log!T16="","","before_1500; "&amp;Brand_Log!T16))</f>
        <v/>
      </c>
      <c r="K1016" s="32" t="s">
        <v>1357</v>
      </c>
    </row>
    <row r="1017" customFormat="false" ht="15" hidden="false" customHeight="false" outlineLevel="0" collapsed="false">
      <c r="A1017" s="42" t="n">
        <f aca="false">IF(B1017="","",B1017+(6*1000+16)/10000000)</f>
        <v>46344.0006016</v>
      </c>
      <c r="B1017" s="35" t="n">
        <f aca="false">IF(AND(Brand_Log!AY17=1,OR(ISNUMBER(Brand_Log!R17),TRIM(Brand_Log!S17)&lt;&gt;"")),Brand_Log!H17,"")</f>
        <v>46344</v>
      </c>
      <c r="C1017" s="23" t="str">
        <f aca="false">IF(B1017="","","brand")</f>
        <v>brand</v>
      </c>
      <c r="D1017" s="23" t="str">
        <f aca="false">IF(B1017="","",Brand_Log!DV17&amp;"")</f>
        <v>SAMPLE-B-015</v>
      </c>
      <c r="E1017" s="23" t="str">
        <f aca="false">IF(B1017="","",IF(Brand_Log!B17="","",Brand_Log!B17&amp;""))</f>
        <v>SAMPLE Brand 15</v>
      </c>
      <c r="F1017" s="23" t="str">
        <f aca="false">IF(B1017="","","budget_probe")</f>
        <v>budget_probe</v>
      </c>
      <c r="G1017" s="23" t="n">
        <f aca="false">IF(B1017="","",IF(ISNUMBER(Brand_Log!R17),Brand_Log!R17,""))</f>
        <v>50</v>
      </c>
      <c r="H1017" s="23" t="str">
        <f aca="false">IF(B1017="","",IF(Brand_Log!S17="","",Brand_Log!S17&amp;""))</f>
        <v>SAMPLE: fifty</v>
      </c>
      <c r="I1017" s="23" t="str">
        <f aca="false">IF(B1017="","",IF(Brand_Log!O17="","",Brand_Log!O17&amp;""))</f>
        <v>N</v>
      </c>
      <c r="J1017" s="23" t="str">
        <f aca="false">IF(B1017="","",IF(Brand_Log!T17="","","before_1500; "&amp;Brand_Log!T17))</f>
        <v/>
      </c>
      <c r="K1017" s="32" t="s">
        <v>1357</v>
      </c>
    </row>
    <row r="1018" customFormat="false" ht="15" hidden="false" customHeight="false" outlineLevel="0" collapsed="false">
      <c r="A1018" s="23" t="str">
        <f aca="false">IF(B1018="","",B1018+(6*1000+17)/10000000)</f>
        <v/>
      </c>
      <c r="B1018" s="35" t="str">
        <f aca="false">IF(AND(Brand_Log!AY18=1,OR(ISNUMBER(Brand_Log!R18),TRIM(Brand_Log!S18)&lt;&gt;"")),Brand_Log!H18,"")</f>
        <v/>
      </c>
      <c r="C1018" s="23" t="str">
        <f aca="false">IF(B1018="","","brand")</f>
        <v/>
      </c>
      <c r="D1018" s="23" t="str">
        <f aca="false">IF(B1018="","",Brand_Log!DV18&amp;"")</f>
        <v/>
      </c>
      <c r="E1018" s="23" t="str">
        <f aca="false">IF(B1018="","",IF(Brand_Log!B18="","",Brand_Log!B18&amp;""))</f>
        <v/>
      </c>
      <c r="F1018" s="23" t="str">
        <f aca="false">IF(B1018="","","budget_probe")</f>
        <v/>
      </c>
      <c r="G1018" s="23" t="str">
        <f aca="false">IF(B1018="","",IF(ISNUMBER(Brand_Log!R18),Brand_Log!R18,""))</f>
        <v/>
      </c>
      <c r="H1018" s="23" t="str">
        <f aca="false">IF(B1018="","",IF(Brand_Log!S18="","",Brand_Log!S18&amp;""))</f>
        <v/>
      </c>
      <c r="I1018" s="23" t="str">
        <f aca="false">IF(B1018="","",IF(Brand_Log!O18="","",Brand_Log!O18&amp;""))</f>
        <v/>
      </c>
      <c r="J1018" s="23" t="str">
        <f aca="false">IF(B1018="","",IF(Brand_Log!T18="","","before_1500; "&amp;Brand_Log!T18))</f>
        <v/>
      </c>
      <c r="K1018" s="32" t="s">
        <v>1357</v>
      </c>
    </row>
    <row r="1019" customFormat="false" ht="15" hidden="false" customHeight="false" outlineLevel="0" collapsed="false">
      <c r="A1019" s="23" t="str">
        <f aca="false">IF(B1019="","",B1019+(6*1000+18)/10000000)</f>
        <v/>
      </c>
      <c r="B1019" s="35" t="str">
        <f aca="false">IF(AND(Brand_Log!AY19=1,OR(ISNUMBER(Brand_Log!R19),TRIM(Brand_Log!S19)&lt;&gt;"")),Brand_Log!H19,"")</f>
        <v/>
      </c>
      <c r="C1019" s="23" t="str">
        <f aca="false">IF(B1019="","","brand")</f>
        <v/>
      </c>
      <c r="D1019" s="23" t="str">
        <f aca="false">IF(B1019="","",Brand_Log!DV19&amp;"")</f>
        <v/>
      </c>
      <c r="E1019" s="23" t="str">
        <f aca="false">IF(B1019="","",IF(Brand_Log!B19="","",Brand_Log!B19&amp;""))</f>
        <v/>
      </c>
      <c r="F1019" s="23" t="str">
        <f aca="false">IF(B1019="","","budget_probe")</f>
        <v/>
      </c>
      <c r="G1019" s="23" t="str">
        <f aca="false">IF(B1019="","",IF(ISNUMBER(Brand_Log!R19),Brand_Log!R19,""))</f>
        <v/>
      </c>
      <c r="H1019" s="23" t="str">
        <f aca="false">IF(B1019="","",IF(Brand_Log!S19="","",Brand_Log!S19&amp;""))</f>
        <v/>
      </c>
      <c r="I1019" s="23" t="str">
        <f aca="false">IF(B1019="","",IF(Brand_Log!O19="","",Brand_Log!O19&amp;""))</f>
        <v/>
      </c>
      <c r="J1019" s="23" t="str">
        <f aca="false">IF(B1019="","",IF(Brand_Log!T19="","","before_1500; "&amp;Brand_Log!T19))</f>
        <v/>
      </c>
      <c r="K1019" s="32" t="s">
        <v>1357</v>
      </c>
    </row>
    <row r="1020" customFormat="false" ht="15" hidden="false" customHeight="false" outlineLevel="0" collapsed="false">
      <c r="A1020" s="23" t="str">
        <f aca="false">IF(B1020="","",B1020+(6*1000+19)/10000000)</f>
        <v/>
      </c>
      <c r="B1020" s="35" t="str">
        <f aca="false">IF(AND(Brand_Log!AY20=1,OR(ISNUMBER(Brand_Log!R20),TRIM(Brand_Log!S20)&lt;&gt;"")),Brand_Log!H20,"")</f>
        <v/>
      </c>
      <c r="C1020" s="23" t="str">
        <f aca="false">IF(B1020="","","brand")</f>
        <v/>
      </c>
      <c r="D1020" s="23" t="str">
        <f aca="false">IF(B1020="","",Brand_Log!DV20&amp;"")</f>
        <v/>
      </c>
      <c r="E1020" s="23" t="str">
        <f aca="false">IF(B1020="","",IF(Brand_Log!B20="","",Brand_Log!B20&amp;""))</f>
        <v/>
      </c>
      <c r="F1020" s="23" t="str">
        <f aca="false">IF(B1020="","","budget_probe")</f>
        <v/>
      </c>
      <c r="G1020" s="23" t="str">
        <f aca="false">IF(B1020="","",IF(ISNUMBER(Brand_Log!R20),Brand_Log!R20,""))</f>
        <v/>
      </c>
      <c r="H1020" s="23" t="str">
        <f aca="false">IF(B1020="","",IF(Brand_Log!S20="","",Brand_Log!S20&amp;""))</f>
        <v/>
      </c>
      <c r="I1020" s="23" t="str">
        <f aca="false">IF(B1020="","",IF(Brand_Log!O20="","",Brand_Log!O20&amp;""))</f>
        <v/>
      </c>
      <c r="J1020" s="23" t="str">
        <f aca="false">IF(B1020="","",IF(Brand_Log!T20="","","before_1500; "&amp;Brand_Log!T20))</f>
        <v/>
      </c>
      <c r="K1020" s="32" t="s">
        <v>1357</v>
      </c>
    </row>
    <row r="1021" customFormat="false" ht="15" hidden="false" customHeight="false" outlineLevel="0" collapsed="false">
      <c r="A1021" s="23" t="str">
        <f aca="false">IF(B1021="","",B1021+(6*1000+20)/10000000)</f>
        <v/>
      </c>
      <c r="B1021" s="35" t="str">
        <f aca="false">IF(AND(Brand_Log!AY21=1,OR(ISNUMBER(Brand_Log!R21),TRIM(Brand_Log!S21)&lt;&gt;"")),Brand_Log!H21,"")</f>
        <v/>
      </c>
      <c r="C1021" s="23" t="str">
        <f aca="false">IF(B1021="","","brand")</f>
        <v/>
      </c>
      <c r="D1021" s="23" t="str">
        <f aca="false">IF(B1021="","",Brand_Log!DV21&amp;"")</f>
        <v/>
      </c>
      <c r="E1021" s="23" t="str">
        <f aca="false">IF(B1021="","",IF(Brand_Log!B21="","",Brand_Log!B21&amp;""))</f>
        <v/>
      </c>
      <c r="F1021" s="23" t="str">
        <f aca="false">IF(B1021="","","budget_probe")</f>
        <v/>
      </c>
      <c r="G1021" s="23" t="str">
        <f aca="false">IF(B1021="","",IF(ISNUMBER(Brand_Log!R21),Brand_Log!R21,""))</f>
        <v/>
      </c>
      <c r="H1021" s="23" t="str">
        <f aca="false">IF(B1021="","",IF(Brand_Log!S21="","",Brand_Log!S21&amp;""))</f>
        <v/>
      </c>
      <c r="I1021" s="23" t="str">
        <f aca="false">IF(B1021="","",IF(Brand_Log!O21="","",Brand_Log!O21&amp;""))</f>
        <v/>
      </c>
      <c r="J1021" s="23" t="str">
        <f aca="false">IF(B1021="","",IF(Brand_Log!T21="","","before_1500; "&amp;Brand_Log!T21))</f>
        <v/>
      </c>
      <c r="K1021" s="32" t="s">
        <v>1357</v>
      </c>
    </row>
    <row r="1022" customFormat="false" ht="15" hidden="false" customHeight="false" outlineLevel="0" collapsed="false">
      <c r="A1022" s="23" t="str">
        <f aca="false">IF(B1022="","",B1022+(6*1000+21)/10000000)</f>
        <v/>
      </c>
      <c r="B1022" s="35" t="str">
        <f aca="false">IF(AND(Brand_Log!AY22=1,OR(ISNUMBER(Brand_Log!R22),TRIM(Brand_Log!S22)&lt;&gt;"")),Brand_Log!H22,"")</f>
        <v/>
      </c>
      <c r="C1022" s="23" t="str">
        <f aca="false">IF(B1022="","","brand")</f>
        <v/>
      </c>
      <c r="D1022" s="23" t="str">
        <f aca="false">IF(B1022="","",Brand_Log!DV22&amp;"")</f>
        <v/>
      </c>
      <c r="E1022" s="23" t="str">
        <f aca="false">IF(B1022="","",IF(Brand_Log!B22="","",Brand_Log!B22&amp;""))</f>
        <v/>
      </c>
      <c r="F1022" s="23" t="str">
        <f aca="false">IF(B1022="","","budget_probe")</f>
        <v/>
      </c>
      <c r="G1022" s="23" t="str">
        <f aca="false">IF(B1022="","",IF(ISNUMBER(Brand_Log!R22),Brand_Log!R22,""))</f>
        <v/>
      </c>
      <c r="H1022" s="23" t="str">
        <f aca="false">IF(B1022="","",IF(Brand_Log!S22="","",Brand_Log!S22&amp;""))</f>
        <v/>
      </c>
      <c r="I1022" s="23" t="str">
        <f aca="false">IF(B1022="","",IF(Brand_Log!O22="","",Brand_Log!O22&amp;""))</f>
        <v/>
      </c>
      <c r="J1022" s="23" t="str">
        <f aca="false">IF(B1022="","",IF(Brand_Log!T22="","","before_1500; "&amp;Brand_Log!T22))</f>
        <v/>
      </c>
      <c r="K1022" s="32" t="s">
        <v>1357</v>
      </c>
    </row>
    <row r="1023" customFormat="false" ht="15" hidden="false" customHeight="false" outlineLevel="0" collapsed="false">
      <c r="A1023" s="23" t="str">
        <f aca="false">IF(B1023="","",B1023+(6*1000+22)/10000000)</f>
        <v/>
      </c>
      <c r="B1023" s="35" t="str">
        <f aca="false">IF(AND(Brand_Log!AY23=1,OR(ISNUMBER(Brand_Log!R23),TRIM(Brand_Log!S23)&lt;&gt;"")),Brand_Log!H23,"")</f>
        <v/>
      </c>
      <c r="C1023" s="23" t="str">
        <f aca="false">IF(B1023="","","brand")</f>
        <v/>
      </c>
      <c r="D1023" s="23" t="str">
        <f aca="false">IF(B1023="","",Brand_Log!DV23&amp;"")</f>
        <v/>
      </c>
      <c r="E1023" s="23" t="str">
        <f aca="false">IF(B1023="","",IF(Brand_Log!B23="","",Brand_Log!B23&amp;""))</f>
        <v/>
      </c>
      <c r="F1023" s="23" t="str">
        <f aca="false">IF(B1023="","","budget_probe")</f>
        <v/>
      </c>
      <c r="G1023" s="23" t="str">
        <f aca="false">IF(B1023="","",IF(ISNUMBER(Brand_Log!R23),Brand_Log!R23,""))</f>
        <v/>
      </c>
      <c r="H1023" s="23" t="str">
        <f aca="false">IF(B1023="","",IF(Brand_Log!S23="","",Brand_Log!S23&amp;""))</f>
        <v/>
      </c>
      <c r="I1023" s="23" t="str">
        <f aca="false">IF(B1023="","",IF(Brand_Log!O23="","",Brand_Log!O23&amp;""))</f>
        <v/>
      </c>
      <c r="J1023" s="23" t="str">
        <f aca="false">IF(B1023="","",IF(Brand_Log!T23="","","before_1500; "&amp;Brand_Log!T23))</f>
        <v/>
      </c>
      <c r="K1023" s="32" t="s">
        <v>1357</v>
      </c>
    </row>
    <row r="1024" customFormat="false" ht="15" hidden="false" customHeight="false" outlineLevel="0" collapsed="false">
      <c r="A1024" s="23" t="str">
        <f aca="false">IF(B1024="","",B1024+(6*1000+23)/10000000)</f>
        <v/>
      </c>
      <c r="B1024" s="35" t="str">
        <f aca="false">IF(AND(Brand_Log!AY24=1,OR(ISNUMBER(Brand_Log!R24),TRIM(Brand_Log!S24)&lt;&gt;"")),Brand_Log!H24,"")</f>
        <v/>
      </c>
      <c r="C1024" s="23" t="str">
        <f aca="false">IF(B1024="","","brand")</f>
        <v/>
      </c>
      <c r="D1024" s="23" t="str">
        <f aca="false">IF(B1024="","",Brand_Log!DV24&amp;"")</f>
        <v/>
      </c>
      <c r="E1024" s="23" t="str">
        <f aca="false">IF(B1024="","",IF(Brand_Log!B24="","",Brand_Log!B24&amp;""))</f>
        <v/>
      </c>
      <c r="F1024" s="23" t="str">
        <f aca="false">IF(B1024="","","budget_probe")</f>
        <v/>
      </c>
      <c r="G1024" s="23" t="str">
        <f aca="false">IF(B1024="","",IF(ISNUMBER(Brand_Log!R24),Brand_Log!R24,""))</f>
        <v/>
      </c>
      <c r="H1024" s="23" t="str">
        <f aca="false">IF(B1024="","",IF(Brand_Log!S24="","",Brand_Log!S24&amp;""))</f>
        <v/>
      </c>
      <c r="I1024" s="23" t="str">
        <f aca="false">IF(B1024="","",IF(Brand_Log!O24="","",Brand_Log!O24&amp;""))</f>
        <v/>
      </c>
      <c r="J1024" s="23" t="str">
        <f aca="false">IF(B1024="","",IF(Brand_Log!T24="","","before_1500; "&amp;Brand_Log!T24))</f>
        <v/>
      </c>
      <c r="K1024" s="32" t="s">
        <v>1357</v>
      </c>
    </row>
    <row r="1025" customFormat="false" ht="15" hidden="false" customHeight="false" outlineLevel="0" collapsed="false">
      <c r="A1025" s="23" t="str">
        <f aca="false">IF(B1025="","",B1025+(6*1000+24)/10000000)</f>
        <v/>
      </c>
      <c r="B1025" s="35" t="str">
        <f aca="false">IF(AND(Brand_Log!AY25=1,OR(ISNUMBER(Brand_Log!R25),TRIM(Brand_Log!S25)&lt;&gt;"")),Brand_Log!H25,"")</f>
        <v/>
      </c>
      <c r="C1025" s="23" t="str">
        <f aca="false">IF(B1025="","","brand")</f>
        <v/>
      </c>
      <c r="D1025" s="23" t="str">
        <f aca="false">IF(B1025="","",Brand_Log!DV25&amp;"")</f>
        <v/>
      </c>
      <c r="E1025" s="23" t="str">
        <f aca="false">IF(B1025="","",IF(Brand_Log!B25="","",Brand_Log!B25&amp;""))</f>
        <v/>
      </c>
      <c r="F1025" s="23" t="str">
        <f aca="false">IF(B1025="","","budget_probe")</f>
        <v/>
      </c>
      <c r="G1025" s="23" t="str">
        <f aca="false">IF(B1025="","",IF(ISNUMBER(Brand_Log!R25),Brand_Log!R25,""))</f>
        <v/>
      </c>
      <c r="H1025" s="23" t="str">
        <f aca="false">IF(B1025="","",IF(Brand_Log!S25="","",Brand_Log!S25&amp;""))</f>
        <v/>
      </c>
      <c r="I1025" s="23" t="str">
        <f aca="false">IF(B1025="","",IF(Brand_Log!O25="","",Brand_Log!O25&amp;""))</f>
        <v/>
      </c>
      <c r="J1025" s="23" t="str">
        <f aca="false">IF(B1025="","",IF(Brand_Log!T25="","","before_1500; "&amp;Brand_Log!T25))</f>
        <v/>
      </c>
      <c r="K1025" s="32" t="s">
        <v>1357</v>
      </c>
    </row>
    <row r="1026" customFormat="false" ht="15" hidden="false" customHeight="false" outlineLevel="0" collapsed="false">
      <c r="A1026" s="23" t="str">
        <f aca="false">IF(B1026="","",B1026+(6*1000+25)/10000000)</f>
        <v/>
      </c>
      <c r="B1026" s="35" t="str">
        <f aca="false">IF(AND(Brand_Log!AY26=1,OR(ISNUMBER(Brand_Log!R26),TRIM(Brand_Log!S26)&lt;&gt;"")),Brand_Log!H26,"")</f>
        <v/>
      </c>
      <c r="C1026" s="23" t="str">
        <f aca="false">IF(B1026="","","brand")</f>
        <v/>
      </c>
      <c r="D1026" s="23" t="str">
        <f aca="false">IF(B1026="","",Brand_Log!DV26&amp;"")</f>
        <v/>
      </c>
      <c r="E1026" s="23" t="str">
        <f aca="false">IF(B1026="","",IF(Brand_Log!B26="","",Brand_Log!B26&amp;""))</f>
        <v/>
      </c>
      <c r="F1026" s="23" t="str">
        <f aca="false">IF(B1026="","","budget_probe")</f>
        <v/>
      </c>
      <c r="G1026" s="23" t="str">
        <f aca="false">IF(B1026="","",IF(ISNUMBER(Brand_Log!R26),Brand_Log!R26,""))</f>
        <v/>
      </c>
      <c r="H1026" s="23" t="str">
        <f aca="false">IF(B1026="","",IF(Brand_Log!S26="","",Brand_Log!S26&amp;""))</f>
        <v/>
      </c>
      <c r="I1026" s="23" t="str">
        <f aca="false">IF(B1026="","",IF(Brand_Log!O26="","",Brand_Log!O26&amp;""))</f>
        <v/>
      </c>
      <c r="J1026" s="23" t="str">
        <f aca="false">IF(B1026="","",IF(Brand_Log!T26="","","before_1500; "&amp;Brand_Log!T26))</f>
        <v/>
      </c>
      <c r="K1026" s="32" t="s">
        <v>1357</v>
      </c>
    </row>
    <row r="1027" customFormat="false" ht="15" hidden="false" customHeight="false" outlineLevel="0" collapsed="false">
      <c r="A1027" s="23" t="str">
        <f aca="false">IF(B1027="","",B1027+(6*1000+26)/10000000)</f>
        <v/>
      </c>
      <c r="B1027" s="35" t="str">
        <f aca="false">IF(AND(Brand_Log!AY27=1,OR(ISNUMBER(Brand_Log!R27),TRIM(Brand_Log!S27)&lt;&gt;"")),Brand_Log!H27,"")</f>
        <v/>
      </c>
      <c r="C1027" s="23" t="str">
        <f aca="false">IF(B1027="","","brand")</f>
        <v/>
      </c>
      <c r="D1027" s="23" t="str">
        <f aca="false">IF(B1027="","",Brand_Log!DV27&amp;"")</f>
        <v/>
      </c>
      <c r="E1027" s="23" t="str">
        <f aca="false">IF(B1027="","",IF(Brand_Log!B27="","",Brand_Log!B27&amp;""))</f>
        <v/>
      </c>
      <c r="F1027" s="23" t="str">
        <f aca="false">IF(B1027="","","budget_probe")</f>
        <v/>
      </c>
      <c r="G1027" s="23" t="str">
        <f aca="false">IF(B1027="","",IF(ISNUMBER(Brand_Log!R27),Brand_Log!R27,""))</f>
        <v/>
      </c>
      <c r="H1027" s="23" t="str">
        <f aca="false">IF(B1027="","",IF(Brand_Log!S27="","",Brand_Log!S27&amp;""))</f>
        <v/>
      </c>
      <c r="I1027" s="23" t="str">
        <f aca="false">IF(B1027="","",IF(Brand_Log!O27="","",Brand_Log!O27&amp;""))</f>
        <v/>
      </c>
      <c r="J1027" s="23" t="str">
        <f aca="false">IF(B1027="","",IF(Brand_Log!T27="","","before_1500; "&amp;Brand_Log!T27))</f>
        <v/>
      </c>
      <c r="K1027" s="32" t="s">
        <v>1357</v>
      </c>
    </row>
    <row r="1028" customFormat="false" ht="15" hidden="false" customHeight="false" outlineLevel="0" collapsed="false">
      <c r="A1028" s="23" t="str">
        <f aca="false">IF(B1028="","",B1028+(6*1000+27)/10000000)</f>
        <v/>
      </c>
      <c r="B1028" s="35" t="str">
        <f aca="false">IF(AND(Brand_Log!AY28=1,OR(ISNUMBER(Brand_Log!R28),TRIM(Brand_Log!S28)&lt;&gt;"")),Brand_Log!H28,"")</f>
        <v/>
      </c>
      <c r="C1028" s="23" t="str">
        <f aca="false">IF(B1028="","","brand")</f>
        <v/>
      </c>
      <c r="D1028" s="23" t="str">
        <f aca="false">IF(B1028="","",Brand_Log!DV28&amp;"")</f>
        <v/>
      </c>
      <c r="E1028" s="23" t="str">
        <f aca="false">IF(B1028="","",IF(Brand_Log!B28="","",Brand_Log!B28&amp;""))</f>
        <v/>
      </c>
      <c r="F1028" s="23" t="str">
        <f aca="false">IF(B1028="","","budget_probe")</f>
        <v/>
      </c>
      <c r="G1028" s="23" t="str">
        <f aca="false">IF(B1028="","",IF(ISNUMBER(Brand_Log!R28),Brand_Log!R28,""))</f>
        <v/>
      </c>
      <c r="H1028" s="23" t="str">
        <f aca="false">IF(B1028="","",IF(Brand_Log!S28="","",Brand_Log!S28&amp;""))</f>
        <v/>
      </c>
      <c r="I1028" s="23" t="str">
        <f aca="false">IF(B1028="","",IF(Brand_Log!O28="","",Brand_Log!O28&amp;""))</f>
        <v/>
      </c>
      <c r="J1028" s="23" t="str">
        <f aca="false">IF(B1028="","",IF(Brand_Log!T28="","","before_1500; "&amp;Brand_Log!T28))</f>
        <v/>
      </c>
      <c r="K1028" s="32" t="s">
        <v>1357</v>
      </c>
    </row>
    <row r="1029" customFormat="false" ht="15" hidden="false" customHeight="false" outlineLevel="0" collapsed="false">
      <c r="A1029" s="23" t="str">
        <f aca="false">IF(B1029="","",B1029+(6*1000+28)/10000000)</f>
        <v/>
      </c>
      <c r="B1029" s="35" t="str">
        <f aca="false">IF(AND(Brand_Log!AY29=1,OR(ISNUMBER(Brand_Log!R29),TRIM(Brand_Log!S29)&lt;&gt;"")),Brand_Log!H29,"")</f>
        <v/>
      </c>
      <c r="C1029" s="23" t="str">
        <f aca="false">IF(B1029="","","brand")</f>
        <v/>
      </c>
      <c r="D1029" s="23" t="str">
        <f aca="false">IF(B1029="","",Brand_Log!DV29&amp;"")</f>
        <v/>
      </c>
      <c r="E1029" s="23" t="str">
        <f aca="false">IF(B1029="","",IF(Brand_Log!B29="","",Brand_Log!B29&amp;""))</f>
        <v/>
      </c>
      <c r="F1029" s="23" t="str">
        <f aca="false">IF(B1029="","","budget_probe")</f>
        <v/>
      </c>
      <c r="G1029" s="23" t="str">
        <f aca="false">IF(B1029="","",IF(ISNUMBER(Brand_Log!R29),Brand_Log!R29,""))</f>
        <v/>
      </c>
      <c r="H1029" s="23" t="str">
        <f aca="false">IF(B1029="","",IF(Brand_Log!S29="","",Brand_Log!S29&amp;""))</f>
        <v/>
      </c>
      <c r="I1029" s="23" t="str">
        <f aca="false">IF(B1029="","",IF(Brand_Log!O29="","",Brand_Log!O29&amp;""))</f>
        <v/>
      </c>
      <c r="J1029" s="23" t="str">
        <f aca="false">IF(B1029="","",IF(Brand_Log!T29="","","before_1500; "&amp;Brand_Log!T29))</f>
        <v/>
      </c>
      <c r="K1029" s="32" t="s">
        <v>1357</v>
      </c>
    </row>
    <row r="1030" customFormat="false" ht="15" hidden="false" customHeight="false" outlineLevel="0" collapsed="false">
      <c r="A1030" s="23" t="str">
        <f aca="false">IF(B1030="","",B1030+(6*1000+29)/10000000)</f>
        <v/>
      </c>
      <c r="B1030" s="35" t="str">
        <f aca="false">IF(AND(Brand_Log!AY30=1,OR(ISNUMBER(Brand_Log!R30),TRIM(Brand_Log!S30)&lt;&gt;"")),Brand_Log!H30,"")</f>
        <v/>
      </c>
      <c r="C1030" s="23" t="str">
        <f aca="false">IF(B1030="","","brand")</f>
        <v/>
      </c>
      <c r="D1030" s="23" t="str">
        <f aca="false">IF(B1030="","",Brand_Log!DV30&amp;"")</f>
        <v/>
      </c>
      <c r="E1030" s="23" t="str">
        <f aca="false">IF(B1030="","",IF(Brand_Log!B30="","",Brand_Log!B30&amp;""))</f>
        <v/>
      </c>
      <c r="F1030" s="23" t="str">
        <f aca="false">IF(B1030="","","budget_probe")</f>
        <v/>
      </c>
      <c r="G1030" s="23" t="str">
        <f aca="false">IF(B1030="","",IF(ISNUMBER(Brand_Log!R30),Brand_Log!R30,""))</f>
        <v/>
      </c>
      <c r="H1030" s="23" t="str">
        <f aca="false">IF(B1030="","",IF(Brand_Log!S30="","",Brand_Log!S30&amp;""))</f>
        <v/>
      </c>
      <c r="I1030" s="23" t="str">
        <f aca="false">IF(B1030="","",IF(Brand_Log!O30="","",Brand_Log!O30&amp;""))</f>
        <v/>
      </c>
      <c r="J1030" s="23" t="str">
        <f aca="false">IF(B1030="","",IF(Brand_Log!T30="","","before_1500; "&amp;Brand_Log!T30))</f>
        <v/>
      </c>
      <c r="K1030" s="32" t="s">
        <v>1357</v>
      </c>
    </row>
    <row r="1031" customFormat="false" ht="15" hidden="false" customHeight="false" outlineLevel="0" collapsed="false">
      <c r="A1031" s="23" t="str">
        <f aca="false">IF(B1031="","",B1031+(6*1000+30)/10000000)</f>
        <v/>
      </c>
      <c r="B1031" s="35" t="str">
        <f aca="false">IF(AND(Brand_Log!AY31=1,OR(ISNUMBER(Brand_Log!R31),TRIM(Brand_Log!S31)&lt;&gt;"")),Brand_Log!H31,"")</f>
        <v/>
      </c>
      <c r="C1031" s="23" t="str">
        <f aca="false">IF(B1031="","","brand")</f>
        <v/>
      </c>
      <c r="D1031" s="23" t="str">
        <f aca="false">IF(B1031="","",Brand_Log!DV31&amp;"")</f>
        <v/>
      </c>
      <c r="E1031" s="23" t="str">
        <f aca="false">IF(B1031="","",IF(Brand_Log!B31="","",Brand_Log!B31&amp;""))</f>
        <v/>
      </c>
      <c r="F1031" s="23" t="str">
        <f aca="false">IF(B1031="","","budget_probe")</f>
        <v/>
      </c>
      <c r="G1031" s="23" t="str">
        <f aca="false">IF(B1031="","",IF(ISNUMBER(Brand_Log!R31),Brand_Log!R31,""))</f>
        <v/>
      </c>
      <c r="H1031" s="23" t="str">
        <f aca="false">IF(B1031="","",IF(Brand_Log!S31="","",Brand_Log!S31&amp;""))</f>
        <v/>
      </c>
      <c r="I1031" s="23" t="str">
        <f aca="false">IF(B1031="","",IF(Brand_Log!O31="","",Brand_Log!O31&amp;""))</f>
        <v/>
      </c>
      <c r="J1031" s="23" t="str">
        <f aca="false">IF(B1031="","",IF(Brand_Log!T31="","","before_1500; "&amp;Brand_Log!T31))</f>
        <v/>
      </c>
      <c r="K1031" s="32" t="s">
        <v>1357</v>
      </c>
    </row>
    <row r="1032" customFormat="false" ht="15" hidden="false" customHeight="false" outlineLevel="0" collapsed="false">
      <c r="A1032" s="23" t="str">
        <f aca="false">IF(B1032="","",B1032+(6*1000+31)/10000000)</f>
        <v/>
      </c>
      <c r="B1032" s="35" t="str">
        <f aca="false">IF(AND(Brand_Log!AY32=1,OR(ISNUMBER(Brand_Log!R32),TRIM(Brand_Log!S32)&lt;&gt;"")),Brand_Log!H32,"")</f>
        <v/>
      </c>
      <c r="C1032" s="23" t="str">
        <f aca="false">IF(B1032="","","brand")</f>
        <v/>
      </c>
      <c r="D1032" s="23" t="str">
        <f aca="false">IF(B1032="","",Brand_Log!DV32&amp;"")</f>
        <v/>
      </c>
      <c r="E1032" s="23" t="str">
        <f aca="false">IF(B1032="","",IF(Brand_Log!B32="","",Brand_Log!B32&amp;""))</f>
        <v/>
      </c>
      <c r="F1032" s="23" t="str">
        <f aca="false">IF(B1032="","","budget_probe")</f>
        <v/>
      </c>
      <c r="G1032" s="23" t="str">
        <f aca="false">IF(B1032="","",IF(ISNUMBER(Brand_Log!R32),Brand_Log!R32,""))</f>
        <v/>
      </c>
      <c r="H1032" s="23" t="str">
        <f aca="false">IF(B1032="","",IF(Brand_Log!S32="","",Brand_Log!S32&amp;""))</f>
        <v/>
      </c>
      <c r="I1032" s="23" t="str">
        <f aca="false">IF(B1032="","",IF(Brand_Log!O32="","",Brand_Log!O32&amp;""))</f>
        <v/>
      </c>
      <c r="J1032" s="23" t="str">
        <f aca="false">IF(B1032="","",IF(Brand_Log!T32="","","before_1500; "&amp;Brand_Log!T32))</f>
        <v/>
      </c>
      <c r="K1032" s="32" t="s">
        <v>1357</v>
      </c>
    </row>
    <row r="1033" customFormat="false" ht="15" hidden="false" customHeight="false" outlineLevel="0" collapsed="false">
      <c r="A1033" s="23" t="str">
        <f aca="false">IF(B1033="","",B1033+(6*1000+32)/10000000)</f>
        <v/>
      </c>
      <c r="B1033" s="35" t="str">
        <f aca="false">IF(AND(Brand_Log!AY33=1,OR(ISNUMBER(Brand_Log!R33),TRIM(Brand_Log!S33)&lt;&gt;"")),Brand_Log!H33,"")</f>
        <v/>
      </c>
      <c r="C1033" s="23" t="str">
        <f aca="false">IF(B1033="","","brand")</f>
        <v/>
      </c>
      <c r="D1033" s="23" t="str">
        <f aca="false">IF(B1033="","",Brand_Log!DV33&amp;"")</f>
        <v/>
      </c>
      <c r="E1033" s="23" t="str">
        <f aca="false">IF(B1033="","",IF(Brand_Log!B33="","",Brand_Log!B33&amp;""))</f>
        <v/>
      </c>
      <c r="F1033" s="23" t="str">
        <f aca="false">IF(B1033="","","budget_probe")</f>
        <v/>
      </c>
      <c r="G1033" s="23" t="str">
        <f aca="false">IF(B1033="","",IF(ISNUMBER(Brand_Log!R33),Brand_Log!R33,""))</f>
        <v/>
      </c>
      <c r="H1033" s="23" t="str">
        <f aca="false">IF(B1033="","",IF(Brand_Log!S33="","",Brand_Log!S33&amp;""))</f>
        <v/>
      </c>
      <c r="I1033" s="23" t="str">
        <f aca="false">IF(B1033="","",IF(Brand_Log!O33="","",Brand_Log!O33&amp;""))</f>
        <v/>
      </c>
      <c r="J1033" s="23" t="str">
        <f aca="false">IF(B1033="","",IF(Brand_Log!T33="","","before_1500; "&amp;Brand_Log!T33))</f>
        <v/>
      </c>
      <c r="K1033" s="32" t="s">
        <v>1357</v>
      </c>
    </row>
    <row r="1034" customFormat="false" ht="15" hidden="false" customHeight="false" outlineLevel="0" collapsed="false">
      <c r="A1034" s="23" t="str">
        <f aca="false">IF(B1034="","",B1034+(6*1000+33)/10000000)</f>
        <v/>
      </c>
      <c r="B1034" s="35" t="str">
        <f aca="false">IF(AND(Brand_Log!AY34=1,OR(ISNUMBER(Brand_Log!R34),TRIM(Brand_Log!S34)&lt;&gt;"")),Brand_Log!H34,"")</f>
        <v/>
      </c>
      <c r="C1034" s="23" t="str">
        <f aca="false">IF(B1034="","","brand")</f>
        <v/>
      </c>
      <c r="D1034" s="23" t="str">
        <f aca="false">IF(B1034="","",Brand_Log!DV34&amp;"")</f>
        <v/>
      </c>
      <c r="E1034" s="23" t="str">
        <f aca="false">IF(B1034="","",IF(Brand_Log!B34="","",Brand_Log!B34&amp;""))</f>
        <v/>
      </c>
      <c r="F1034" s="23" t="str">
        <f aca="false">IF(B1034="","","budget_probe")</f>
        <v/>
      </c>
      <c r="G1034" s="23" t="str">
        <f aca="false">IF(B1034="","",IF(ISNUMBER(Brand_Log!R34),Brand_Log!R34,""))</f>
        <v/>
      </c>
      <c r="H1034" s="23" t="str">
        <f aca="false">IF(B1034="","",IF(Brand_Log!S34="","",Brand_Log!S34&amp;""))</f>
        <v/>
      </c>
      <c r="I1034" s="23" t="str">
        <f aca="false">IF(B1034="","",IF(Brand_Log!O34="","",Brand_Log!O34&amp;""))</f>
        <v/>
      </c>
      <c r="J1034" s="23" t="str">
        <f aca="false">IF(B1034="","",IF(Brand_Log!T34="","","before_1500; "&amp;Brand_Log!T34))</f>
        <v/>
      </c>
      <c r="K1034" s="32" t="s">
        <v>1357</v>
      </c>
    </row>
    <row r="1035" customFormat="false" ht="15" hidden="false" customHeight="false" outlineLevel="0" collapsed="false">
      <c r="A1035" s="23" t="str">
        <f aca="false">IF(B1035="","",B1035+(6*1000+34)/10000000)</f>
        <v/>
      </c>
      <c r="B1035" s="35" t="str">
        <f aca="false">IF(AND(Brand_Log!AY35=1,OR(ISNUMBER(Brand_Log!R35),TRIM(Brand_Log!S35)&lt;&gt;"")),Brand_Log!H35,"")</f>
        <v/>
      </c>
      <c r="C1035" s="23" t="str">
        <f aca="false">IF(B1035="","","brand")</f>
        <v/>
      </c>
      <c r="D1035" s="23" t="str">
        <f aca="false">IF(B1035="","",Brand_Log!DV35&amp;"")</f>
        <v/>
      </c>
      <c r="E1035" s="23" t="str">
        <f aca="false">IF(B1035="","",IF(Brand_Log!B35="","",Brand_Log!B35&amp;""))</f>
        <v/>
      </c>
      <c r="F1035" s="23" t="str">
        <f aca="false">IF(B1035="","","budget_probe")</f>
        <v/>
      </c>
      <c r="G1035" s="23" t="str">
        <f aca="false">IF(B1035="","",IF(ISNUMBER(Brand_Log!R35),Brand_Log!R35,""))</f>
        <v/>
      </c>
      <c r="H1035" s="23" t="str">
        <f aca="false">IF(B1035="","",IF(Brand_Log!S35="","",Brand_Log!S35&amp;""))</f>
        <v/>
      </c>
      <c r="I1035" s="23" t="str">
        <f aca="false">IF(B1035="","",IF(Brand_Log!O35="","",Brand_Log!O35&amp;""))</f>
        <v/>
      </c>
      <c r="J1035" s="23" t="str">
        <f aca="false">IF(B1035="","",IF(Brand_Log!T35="","","before_1500; "&amp;Brand_Log!T35))</f>
        <v/>
      </c>
      <c r="K1035" s="32" t="s">
        <v>1357</v>
      </c>
    </row>
    <row r="1036" customFormat="false" ht="15" hidden="false" customHeight="false" outlineLevel="0" collapsed="false">
      <c r="A1036" s="23" t="str">
        <f aca="false">IF(B1036="","",B1036+(6*1000+35)/10000000)</f>
        <v/>
      </c>
      <c r="B1036" s="35" t="str">
        <f aca="false">IF(AND(Brand_Log!AY36=1,OR(ISNUMBER(Brand_Log!R36),TRIM(Brand_Log!S36)&lt;&gt;"")),Brand_Log!H36,"")</f>
        <v/>
      </c>
      <c r="C1036" s="23" t="str">
        <f aca="false">IF(B1036="","","brand")</f>
        <v/>
      </c>
      <c r="D1036" s="23" t="str">
        <f aca="false">IF(B1036="","",Brand_Log!DV36&amp;"")</f>
        <v/>
      </c>
      <c r="E1036" s="23" t="str">
        <f aca="false">IF(B1036="","",IF(Brand_Log!B36="","",Brand_Log!B36&amp;""))</f>
        <v/>
      </c>
      <c r="F1036" s="23" t="str">
        <f aca="false">IF(B1036="","","budget_probe")</f>
        <v/>
      </c>
      <c r="G1036" s="23" t="str">
        <f aca="false">IF(B1036="","",IF(ISNUMBER(Brand_Log!R36),Brand_Log!R36,""))</f>
        <v/>
      </c>
      <c r="H1036" s="23" t="str">
        <f aca="false">IF(B1036="","",IF(Brand_Log!S36="","",Brand_Log!S36&amp;""))</f>
        <v/>
      </c>
      <c r="I1036" s="23" t="str">
        <f aca="false">IF(B1036="","",IF(Brand_Log!O36="","",Brand_Log!O36&amp;""))</f>
        <v/>
      </c>
      <c r="J1036" s="23" t="str">
        <f aca="false">IF(B1036="","",IF(Brand_Log!T36="","","before_1500; "&amp;Brand_Log!T36))</f>
        <v/>
      </c>
      <c r="K1036" s="32" t="s">
        <v>1357</v>
      </c>
    </row>
    <row r="1037" customFormat="false" ht="15" hidden="false" customHeight="false" outlineLevel="0" collapsed="false">
      <c r="A1037" s="23" t="str">
        <f aca="false">IF(B1037="","",B1037+(6*1000+36)/10000000)</f>
        <v/>
      </c>
      <c r="B1037" s="35" t="str">
        <f aca="false">IF(AND(Brand_Log!AY37=1,OR(ISNUMBER(Brand_Log!R37),TRIM(Brand_Log!S37)&lt;&gt;"")),Brand_Log!H37,"")</f>
        <v/>
      </c>
      <c r="C1037" s="23" t="str">
        <f aca="false">IF(B1037="","","brand")</f>
        <v/>
      </c>
      <c r="D1037" s="23" t="str">
        <f aca="false">IF(B1037="","",Brand_Log!DV37&amp;"")</f>
        <v/>
      </c>
      <c r="E1037" s="23" t="str">
        <f aca="false">IF(B1037="","",IF(Brand_Log!B37="","",Brand_Log!B37&amp;""))</f>
        <v/>
      </c>
      <c r="F1037" s="23" t="str">
        <f aca="false">IF(B1037="","","budget_probe")</f>
        <v/>
      </c>
      <c r="G1037" s="23" t="str">
        <f aca="false">IF(B1037="","",IF(ISNUMBER(Brand_Log!R37),Brand_Log!R37,""))</f>
        <v/>
      </c>
      <c r="H1037" s="23" t="str">
        <f aca="false">IF(B1037="","",IF(Brand_Log!S37="","",Brand_Log!S37&amp;""))</f>
        <v/>
      </c>
      <c r="I1037" s="23" t="str">
        <f aca="false">IF(B1037="","",IF(Brand_Log!O37="","",Brand_Log!O37&amp;""))</f>
        <v/>
      </c>
      <c r="J1037" s="23" t="str">
        <f aca="false">IF(B1037="","",IF(Brand_Log!T37="","","before_1500; "&amp;Brand_Log!T37))</f>
        <v/>
      </c>
      <c r="K1037" s="32" t="s">
        <v>1357</v>
      </c>
    </row>
    <row r="1038" customFormat="false" ht="15" hidden="false" customHeight="false" outlineLevel="0" collapsed="false">
      <c r="A1038" s="23" t="str">
        <f aca="false">IF(B1038="","",B1038+(6*1000+37)/10000000)</f>
        <v/>
      </c>
      <c r="B1038" s="35" t="str">
        <f aca="false">IF(AND(Brand_Log!AY38=1,OR(ISNUMBER(Brand_Log!R38),TRIM(Brand_Log!S38)&lt;&gt;"")),Brand_Log!H38,"")</f>
        <v/>
      </c>
      <c r="C1038" s="23" t="str">
        <f aca="false">IF(B1038="","","brand")</f>
        <v/>
      </c>
      <c r="D1038" s="23" t="str">
        <f aca="false">IF(B1038="","",Brand_Log!DV38&amp;"")</f>
        <v/>
      </c>
      <c r="E1038" s="23" t="str">
        <f aca="false">IF(B1038="","",IF(Brand_Log!B38="","",Brand_Log!B38&amp;""))</f>
        <v/>
      </c>
      <c r="F1038" s="23" t="str">
        <f aca="false">IF(B1038="","","budget_probe")</f>
        <v/>
      </c>
      <c r="G1038" s="23" t="str">
        <f aca="false">IF(B1038="","",IF(ISNUMBER(Brand_Log!R38),Brand_Log!R38,""))</f>
        <v/>
      </c>
      <c r="H1038" s="23" t="str">
        <f aca="false">IF(B1038="","",IF(Brand_Log!S38="","",Brand_Log!S38&amp;""))</f>
        <v/>
      </c>
      <c r="I1038" s="23" t="str">
        <f aca="false">IF(B1038="","",IF(Brand_Log!O38="","",Brand_Log!O38&amp;""))</f>
        <v/>
      </c>
      <c r="J1038" s="23" t="str">
        <f aca="false">IF(B1038="","",IF(Brand_Log!T38="","","before_1500; "&amp;Brand_Log!T38))</f>
        <v/>
      </c>
      <c r="K1038" s="32" t="s">
        <v>1357</v>
      </c>
    </row>
    <row r="1039" customFormat="false" ht="15" hidden="false" customHeight="false" outlineLevel="0" collapsed="false">
      <c r="A1039" s="23" t="str">
        <f aca="false">IF(B1039="","",B1039+(6*1000+38)/10000000)</f>
        <v/>
      </c>
      <c r="B1039" s="35" t="str">
        <f aca="false">IF(AND(Brand_Log!AY39=1,OR(ISNUMBER(Brand_Log!R39),TRIM(Brand_Log!S39)&lt;&gt;"")),Brand_Log!H39,"")</f>
        <v/>
      </c>
      <c r="C1039" s="23" t="str">
        <f aca="false">IF(B1039="","","brand")</f>
        <v/>
      </c>
      <c r="D1039" s="23" t="str">
        <f aca="false">IF(B1039="","",Brand_Log!DV39&amp;"")</f>
        <v/>
      </c>
      <c r="E1039" s="23" t="str">
        <f aca="false">IF(B1039="","",IF(Brand_Log!B39="","",Brand_Log!B39&amp;""))</f>
        <v/>
      </c>
      <c r="F1039" s="23" t="str">
        <f aca="false">IF(B1039="","","budget_probe")</f>
        <v/>
      </c>
      <c r="G1039" s="23" t="str">
        <f aca="false">IF(B1039="","",IF(ISNUMBER(Brand_Log!R39),Brand_Log!R39,""))</f>
        <v/>
      </c>
      <c r="H1039" s="23" t="str">
        <f aca="false">IF(B1039="","",IF(Brand_Log!S39="","",Brand_Log!S39&amp;""))</f>
        <v/>
      </c>
      <c r="I1039" s="23" t="str">
        <f aca="false">IF(B1039="","",IF(Brand_Log!O39="","",Brand_Log!O39&amp;""))</f>
        <v/>
      </c>
      <c r="J1039" s="23" t="str">
        <f aca="false">IF(B1039="","",IF(Brand_Log!T39="","","before_1500; "&amp;Brand_Log!T39))</f>
        <v/>
      </c>
      <c r="K1039" s="32" t="s">
        <v>1357</v>
      </c>
    </row>
    <row r="1040" customFormat="false" ht="15" hidden="false" customHeight="false" outlineLevel="0" collapsed="false">
      <c r="A1040" s="23" t="str">
        <f aca="false">IF(B1040="","",B1040+(6*1000+39)/10000000)</f>
        <v/>
      </c>
      <c r="B1040" s="35" t="str">
        <f aca="false">IF(AND(Brand_Log!AY40=1,OR(ISNUMBER(Brand_Log!R40),TRIM(Brand_Log!S40)&lt;&gt;"")),Brand_Log!H40,"")</f>
        <v/>
      </c>
      <c r="C1040" s="23" t="str">
        <f aca="false">IF(B1040="","","brand")</f>
        <v/>
      </c>
      <c r="D1040" s="23" t="str">
        <f aca="false">IF(B1040="","",Brand_Log!DV40&amp;"")</f>
        <v/>
      </c>
      <c r="E1040" s="23" t="str">
        <f aca="false">IF(B1040="","",IF(Brand_Log!B40="","",Brand_Log!B40&amp;""))</f>
        <v/>
      </c>
      <c r="F1040" s="23" t="str">
        <f aca="false">IF(B1040="","","budget_probe")</f>
        <v/>
      </c>
      <c r="G1040" s="23" t="str">
        <f aca="false">IF(B1040="","",IF(ISNUMBER(Brand_Log!R40),Brand_Log!R40,""))</f>
        <v/>
      </c>
      <c r="H1040" s="23" t="str">
        <f aca="false">IF(B1040="","",IF(Brand_Log!S40="","",Brand_Log!S40&amp;""))</f>
        <v/>
      </c>
      <c r="I1040" s="23" t="str">
        <f aca="false">IF(B1040="","",IF(Brand_Log!O40="","",Brand_Log!O40&amp;""))</f>
        <v/>
      </c>
      <c r="J1040" s="23" t="str">
        <f aca="false">IF(B1040="","",IF(Brand_Log!T40="","","before_1500; "&amp;Brand_Log!T40))</f>
        <v/>
      </c>
      <c r="K1040" s="32" t="s">
        <v>1357</v>
      </c>
    </row>
    <row r="1041" customFormat="false" ht="15" hidden="false" customHeight="false" outlineLevel="0" collapsed="false">
      <c r="A1041" s="23" t="str">
        <f aca="false">IF(B1041="","",B1041+(6*1000+40)/10000000)</f>
        <v/>
      </c>
      <c r="B1041" s="35" t="str">
        <f aca="false">IF(AND(Brand_Log!AY41=1,OR(ISNUMBER(Brand_Log!R41),TRIM(Brand_Log!S41)&lt;&gt;"")),Brand_Log!H41,"")</f>
        <v/>
      </c>
      <c r="C1041" s="23" t="str">
        <f aca="false">IF(B1041="","","brand")</f>
        <v/>
      </c>
      <c r="D1041" s="23" t="str">
        <f aca="false">IF(B1041="","",Brand_Log!DV41&amp;"")</f>
        <v/>
      </c>
      <c r="E1041" s="23" t="str">
        <f aca="false">IF(B1041="","",IF(Brand_Log!B41="","",Brand_Log!B41&amp;""))</f>
        <v/>
      </c>
      <c r="F1041" s="23" t="str">
        <f aca="false">IF(B1041="","","budget_probe")</f>
        <v/>
      </c>
      <c r="G1041" s="23" t="str">
        <f aca="false">IF(B1041="","",IF(ISNUMBER(Brand_Log!R41),Brand_Log!R41,""))</f>
        <v/>
      </c>
      <c r="H1041" s="23" t="str">
        <f aca="false">IF(B1041="","",IF(Brand_Log!S41="","",Brand_Log!S41&amp;""))</f>
        <v/>
      </c>
      <c r="I1041" s="23" t="str">
        <f aca="false">IF(B1041="","",IF(Brand_Log!O41="","",Brand_Log!O41&amp;""))</f>
        <v/>
      </c>
      <c r="J1041" s="23" t="str">
        <f aca="false">IF(B1041="","",IF(Brand_Log!T41="","","before_1500; "&amp;Brand_Log!T41))</f>
        <v/>
      </c>
      <c r="K1041" s="32" t="s">
        <v>1357</v>
      </c>
    </row>
    <row r="1042" customFormat="false" ht="15" hidden="false" customHeight="false" outlineLevel="0" collapsed="false">
      <c r="A1042" s="23" t="str">
        <f aca="false">IF(B1042="","",B1042+(6*1000+41)/10000000)</f>
        <v/>
      </c>
      <c r="B1042" s="35" t="str">
        <f aca="false">IF(AND(Brand_Log!AY42=1,OR(ISNUMBER(Brand_Log!R42),TRIM(Brand_Log!S42)&lt;&gt;"")),Brand_Log!H42,"")</f>
        <v/>
      </c>
      <c r="C1042" s="23" t="str">
        <f aca="false">IF(B1042="","","brand")</f>
        <v/>
      </c>
      <c r="D1042" s="23" t="str">
        <f aca="false">IF(B1042="","",Brand_Log!DV42&amp;"")</f>
        <v/>
      </c>
      <c r="E1042" s="23" t="str">
        <f aca="false">IF(B1042="","",IF(Brand_Log!B42="","",Brand_Log!B42&amp;""))</f>
        <v/>
      </c>
      <c r="F1042" s="23" t="str">
        <f aca="false">IF(B1042="","","budget_probe")</f>
        <v/>
      </c>
      <c r="G1042" s="23" t="str">
        <f aca="false">IF(B1042="","",IF(ISNUMBER(Brand_Log!R42),Brand_Log!R42,""))</f>
        <v/>
      </c>
      <c r="H1042" s="23" t="str">
        <f aca="false">IF(B1042="","",IF(Brand_Log!S42="","",Brand_Log!S42&amp;""))</f>
        <v/>
      </c>
      <c r="I1042" s="23" t="str">
        <f aca="false">IF(B1042="","",IF(Brand_Log!O42="","",Brand_Log!O42&amp;""))</f>
        <v/>
      </c>
      <c r="J1042" s="23" t="str">
        <f aca="false">IF(B1042="","",IF(Brand_Log!T42="","","before_1500; "&amp;Brand_Log!T42))</f>
        <v/>
      </c>
      <c r="K1042" s="32" t="s">
        <v>1357</v>
      </c>
    </row>
    <row r="1043" customFormat="false" ht="15" hidden="false" customHeight="false" outlineLevel="0" collapsed="false">
      <c r="A1043" s="23" t="str">
        <f aca="false">IF(B1043="","",B1043+(6*1000+42)/10000000)</f>
        <v/>
      </c>
      <c r="B1043" s="35" t="str">
        <f aca="false">IF(AND(Brand_Log!AY43=1,OR(ISNUMBER(Brand_Log!R43),TRIM(Brand_Log!S43)&lt;&gt;"")),Brand_Log!H43,"")</f>
        <v/>
      </c>
      <c r="C1043" s="23" t="str">
        <f aca="false">IF(B1043="","","brand")</f>
        <v/>
      </c>
      <c r="D1043" s="23" t="str">
        <f aca="false">IF(B1043="","",Brand_Log!DV43&amp;"")</f>
        <v/>
      </c>
      <c r="E1043" s="23" t="str">
        <f aca="false">IF(B1043="","",IF(Brand_Log!B43="","",Brand_Log!B43&amp;""))</f>
        <v/>
      </c>
      <c r="F1043" s="23" t="str">
        <f aca="false">IF(B1043="","","budget_probe")</f>
        <v/>
      </c>
      <c r="G1043" s="23" t="str">
        <f aca="false">IF(B1043="","",IF(ISNUMBER(Brand_Log!R43),Brand_Log!R43,""))</f>
        <v/>
      </c>
      <c r="H1043" s="23" t="str">
        <f aca="false">IF(B1043="","",IF(Brand_Log!S43="","",Brand_Log!S43&amp;""))</f>
        <v/>
      </c>
      <c r="I1043" s="23" t="str">
        <f aca="false">IF(B1043="","",IF(Brand_Log!O43="","",Brand_Log!O43&amp;""))</f>
        <v/>
      </c>
      <c r="J1043" s="23" t="str">
        <f aca="false">IF(B1043="","",IF(Brand_Log!T43="","","before_1500; "&amp;Brand_Log!T43))</f>
        <v/>
      </c>
      <c r="K1043" s="32" t="s">
        <v>1357</v>
      </c>
    </row>
    <row r="1044" customFormat="false" ht="15" hidden="false" customHeight="false" outlineLevel="0" collapsed="false">
      <c r="A1044" s="23" t="str">
        <f aca="false">IF(B1044="","",B1044+(6*1000+43)/10000000)</f>
        <v/>
      </c>
      <c r="B1044" s="35" t="str">
        <f aca="false">IF(AND(Brand_Log!AY44=1,OR(ISNUMBER(Brand_Log!R44),TRIM(Brand_Log!S44)&lt;&gt;"")),Brand_Log!H44,"")</f>
        <v/>
      </c>
      <c r="C1044" s="23" t="str">
        <f aca="false">IF(B1044="","","brand")</f>
        <v/>
      </c>
      <c r="D1044" s="23" t="str">
        <f aca="false">IF(B1044="","",Brand_Log!DV44&amp;"")</f>
        <v/>
      </c>
      <c r="E1044" s="23" t="str">
        <f aca="false">IF(B1044="","",IF(Brand_Log!B44="","",Brand_Log!B44&amp;""))</f>
        <v/>
      </c>
      <c r="F1044" s="23" t="str">
        <f aca="false">IF(B1044="","","budget_probe")</f>
        <v/>
      </c>
      <c r="G1044" s="23" t="str">
        <f aca="false">IF(B1044="","",IF(ISNUMBER(Brand_Log!R44),Brand_Log!R44,""))</f>
        <v/>
      </c>
      <c r="H1044" s="23" t="str">
        <f aca="false">IF(B1044="","",IF(Brand_Log!S44="","",Brand_Log!S44&amp;""))</f>
        <v/>
      </c>
      <c r="I1044" s="23" t="str">
        <f aca="false">IF(B1044="","",IF(Brand_Log!O44="","",Brand_Log!O44&amp;""))</f>
        <v/>
      </c>
      <c r="J1044" s="23" t="str">
        <f aca="false">IF(B1044="","",IF(Brand_Log!T44="","","before_1500; "&amp;Brand_Log!T44))</f>
        <v/>
      </c>
      <c r="K1044" s="32" t="s">
        <v>1357</v>
      </c>
    </row>
    <row r="1045" customFormat="false" ht="15" hidden="false" customHeight="false" outlineLevel="0" collapsed="false">
      <c r="A1045" s="23" t="str">
        <f aca="false">IF(B1045="","",B1045+(6*1000+44)/10000000)</f>
        <v/>
      </c>
      <c r="B1045" s="35" t="str">
        <f aca="false">IF(AND(Brand_Log!AY45=1,OR(ISNUMBER(Brand_Log!R45),TRIM(Brand_Log!S45)&lt;&gt;"")),Brand_Log!H45,"")</f>
        <v/>
      </c>
      <c r="C1045" s="23" t="str">
        <f aca="false">IF(B1045="","","brand")</f>
        <v/>
      </c>
      <c r="D1045" s="23" t="str">
        <f aca="false">IF(B1045="","",Brand_Log!DV45&amp;"")</f>
        <v/>
      </c>
      <c r="E1045" s="23" t="str">
        <f aca="false">IF(B1045="","",IF(Brand_Log!B45="","",Brand_Log!B45&amp;""))</f>
        <v/>
      </c>
      <c r="F1045" s="23" t="str">
        <f aca="false">IF(B1045="","","budget_probe")</f>
        <v/>
      </c>
      <c r="G1045" s="23" t="str">
        <f aca="false">IF(B1045="","",IF(ISNUMBER(Brand_Log!R45),Brand_Log!R45,""))</f>
        <v/>
      </c>
      <c r="H1045" s="23" t="str">
        <f aca="false">IF(B1045="","",IF(Brand_Log!S45="","",Brand_Log!S45&amp;""))</f>
        <v/>
      </c>
      <c r="I1045" s="23" t="str">
        <f aca="false">IF(B1045="","",IF(Brand_Log!O45="","",Brand_Log!O45&amp;""))</f>
        <v/>
      </c>
      <c r="J1045" s="23" t="str">
        <f aca="false">IF(B1045="","",IF(Brand_Log!T45="","","before_1500; "&amp;Brand_Log!T45))</f>
        <v/>
      </c>
      <c r="K1045" s="32" t="s">
        <v>1357</v>
      </c>
    </row>
    <row r="1046" customFormat="false" ht="15" hidden="false" customHeight="false" outlineLevel="0" collapsed="false">
      <c r="A1046" s="23" t="str">
        <f aca="false">IF(B1046="","",B1046+(6*1000+45)/10000000)</f>
        <v/>
      </c>
      <c r="B1046" s="35" t="str">
        <f aca="false">IF(AND(Brand_Log!AY46=1,OR(ISNUMBER(Brand_Log!R46),TRIM(Brand_Log!S46)&lt;&gt;"")),Brand_Log!H46,"")</f>
        <v/>
      </c>
      <c r="C1046" s="23" t="str">
        <f aca="false">IF(B1046="","","brand")</f>
        <v/>
      </c>
      <c r="D1046" s="23" t="str">
        <f aca="false">IF(B1046="","",Brand_Log!DV46&amp;"")</f>
        <v/>
      </c>
      <c r="E1046" s="23" t="str">
        <f aca="false">IF(B1046="","",IF(Brand_Log!B46="","",Brand_Log!B46&amp;""))</f>
        <v/>
      </c>
      <c r="F1046" s="23" t="str">
        <f aca="false">IF(B1046="","","budget_probe")</f>
        <v/>
      </c>
      <c r="G1046" s="23" t="str">
        <f aca="false">IF(B1046="","",IF(ISNUMBER(Brand_Log!R46),Brand_Log!R46,""))</f>
        <v/>
      </c>
      <c r="H1046" s="23" t="str">
        <f aca="false">IF(B1046="","",IF(Brand_Log!S46="","",Brand_Log!S46&amp;""))</f>
        <v/>
      </c>
      <c r="I1046" s="23" t="str">
        <f aca="false">IF(B1046="","",IF(Brand_Log!O46="","",Brand_Log!O46&amp;""))</f>
        <v/>
      </c>
      <c r="J1046" s="23" t="str">
        <f aca="false">IF(B1046="","",IF(Brand_Log!T46="","","before_1500; "&amp;Brand_Log!T46))</f>
        <v/>
      </c>
      <c r="K1046" s="32" t="s">
        <v>1357</v>
      </c>
    </row>
    <row r="1047" customFormat="false" ht="15" hidden="false" customHeight="false" outlineLevel="0" collapsed="false">
      <c r="A1047" s="23" t="str">
        <f aca="false">IF(B1047="","",B1047+(6*1000+46)/10000000)</f>
        <v/>
      </c>
      <c r="B1047" s="35" t="str">
        <f aca="false">IF(AND(Brand_Log!AY47=1,OR(ISNUMBER(Brand_Log!R47),TRIM(Brand_Log!S47)&lt;&gt;"")),Brand_Log!H47,"")</f>
        <v/>
      </c>
      <c r="C1047" s="23" t="str">
        <f aca="false">IF(B1047="","","brand")</f>
        <v/>
      </c>
      <c r="D1047" s="23" t="str">
        <f aca="false">IF(B1047="","",Brand_Log!DV47&amp;"")</f>
        <v/>
      </c>
      <c r="E1047" s="23" t="str">
        <f aca="false">IF(B1047="","",IF(Brand_Log!B47="","",Brand_Log!B47&amp;""))</f>
        <v/>
      </c>
      <c r="F1047" s="23" t="str">
        <f aca="false">IF(B1047="","","budget_probe")</f>
        <v/>
      </c>
      <c r="G1047" s="23" t="str">
        <f aca="false">IF(B1047="","",IF(ISNUMBER(Brand_Log!R47),Brand_Log!R47,""))</f>
        <v/>
      </c>
      <c r="H1047" s="23" t="str">
        <f aca="false">IF(B1047="","",IF(Brand_Log!S47="","",Brand_Log!S47&amp;""))</f>
        <v/>
      </c>
      <c r="I1047" s="23" t="str">
        <f aca="false">IF(B1047="","",IF(Brand_Log!O47="","",Brand_Log!O47&amp;""))</f>
        <v/>
      </c>
      <c r="J1047" s="23" t="str">
        <f aca="false">IF(B1047="","",IF(Brand_Log!T47="","","before_1500; "&amp;Brand_Log!T47))</f>
        <v/>
      </c>
      <c r="K1047" s="32" t="s">
        <v>1357</v>
      </c>
    </row>
    <row r="1048" customFormat="false" ht="15" hidden="false" customHeight="false" outlineLevel="0" collapsed="false">
      <c r="A1048" s="23" t="str">
        <f aca="false">IF(B1048="","",B1048+(6*1000+47)/10000000)</f>
        <v/>
      </c>
      <c r="B1048" s="35" t="str">
        <f aca="false">IF(AND(Brand_Log!AY48=1,OR(ISNUMBER(Brand_Log!R48),TRIM(Brand_Log!S48)&lt;&gt;"")),Brand_Log!H48,"")</f>
        <v/>
      </c>
      <c r="C1048" s="23" t="str">
        <f aca="false">IF(B1048="","","brand")</f>
        <v/>
      </c>
      <c r="D1048" s="23" t="str">
        <f aca="false">IF(B1048="","",Brand_Log!DV48&amp;"")</f>
        <v/>
      </c>
      <c r="E1048" s="23" t="str">
        <f aca="false">IF(B1048="","",IF(Brand_Log!B48="","",Brand_Log!B48&amp;""))</f>
        <v/>
      </c>
      <c r="F1048" s="23" t="str">
        <f aca="false">IF(B1048="","","budget_probe")</f>
        <v/>
      </c>
      <c r="G1048" s="23" t="str">
        <f aca="false">IF(B1048="","",IF(ISNUMBER(Brand_Log!R48),Brand_Log!R48,""))</f>
        <v/>
      </c>
      <c r="H1048" s="23" t="str">
        <f aca="false">IF(B1048="","",IF(Brand_Log!S48="","",Brand_Log!S48&amp;""))</f>
        <v/>
      </c>
      <c r="I1048" s="23" t="str">
        <f aca="false">IF(B1048="","",IF(Brand_Log!O48="","",Brand_Log!O48&amp;""))</f>
        <v/>
      </c>
      <c r="J1048" s="23" t="str">
        <f aca="false">IF(B1048="","",IF(Brand_Log!T48="","","before_1500; "&amp;Brand_Log!T48))</f>
        <v/>
      </c>
      <c r="K1048" s="32" t="s">
        <v>1357</v>
      </c>
    </row>
    <row r="1049" customFormat="false" ht="15" hidden="false" customHeight="false" outlineLevel="0" collapsed="false">
      <c r="A1049" s="23" t="str">
        <f aca="false">IF(B1049="","",B1049+(6*1000+48)/10000000)</f>
        <v/>
      </c>
      <c r="B1049" s="35" t="str">
        <f aca="false">IF(AND(Brand_Log!AY49=1,OR(ISNUMBER(Brand_Log!R49),TRIM(Brand_Log!S49)&lt;&gt;"")),Brand_Log!H49,"")</f>
        <v/>
      </c>
      <c r="C1049" s="23" t="str">
        <f aca="false">IF(B1049="","","brand")</f>
        <v/>
      </c>
      <c r="D1049" s="23" t="str">
        <f aca="false">IF(B1049="","",Brand_Log!DV49&amp;"")</f>
        <v/>
      </c>
      <c r="E1049" s="23" t="str">
        <f aca="false">IF(B1049="","",IF(Brand_Log!B49="","",Brand_Log!B49&amp;""))</f>
        <v/>
      </c>
      <c r="F1049" s="23" t="str">
        <f aca="false">IF(B1049="","","budget_probe")</f>
        <v/>
      </c>
      <c r="G1049" s="23" t="str">
        <f aca="false">IF(B1049="","",IF(ISNUMBER(Brand_Log!R49),Brand_Log!R49,""))</f>
        <v/>
      </c>
      <c r="H1049" s="23" t="str">
        <f aca="false">IF(B1049="","",IF(Brand_Log!S49="","",Brand_Log!S49&amp;""))</f>
        <v/>
      </c>
      <c r="I1049" s="23" t="str">
        <f aca="false">IF(B1049="","",IF(Brand_Log!O49="","",Brand_Log!O49&amp;""))</f>
        <v/>
      </c>
      <c r="J1049" s="23" t="str">
        <f aca="false">IF(B1049="","",IF(Brand_Log!T49="","","before_1500; "&amp;Brand_Log!T49))</f>
        <v/>
      </c>
      <c r="K1049" s="32" t="s">
        <v>1357</v>
      </c>
    </row>
    <row r="1050" customFormat="false" ht="15" hidden="false" customHeight="false" outlineLevel="0" collapsed="false">
      <c r="A1050" s="23" t="str">
        <f aca="false">IF(B1050="","",B1050+(6*1000+49)/10000000)</f>
        <v/>
      </c>
      <c r="B1050" s="35" t="str">
        <f aca="false">IF(AND(Brand_Log!AY50=1,OR(ISNUMBER(Brand_Log!R50),TRIM(Brand_Log!S50)&lt;&gt;"")),Brand_Log!H50,"")</f>
        <v/>
      </c>
      <c r="C1050" s="23" t="str">
        <f aca="false">IF(B1050="","","brand")</f>
        <v/>
      </c>
      <c r="D1050" s="23" t="str">
        <f aca="false">IF(B1050="","",Brand_Log!DV50&amp;"")</f>
        <v/>
      </c>
      <c r="E1050" s="23" t="str">
        <f aca="false">IF(B1050="","",IF(Brand_Log!B50="","",Brand_Log!B50&amp;""))</f>
        <v/>
      </c>
      <c r="F1050" s="23" t="str">
        <f aca="false">IF(B1050="","","budget_probe")</f>
        <v/>
      </c>
      <c r="G1050" s="23" t="str">
        <f aca="false">IF(B1050="","",IF(ISNUMBER(Brand_Log!R50),Brand_Log!R50,""))</f>
        <v/>
      </c>
      <c r="H1050" s="23" t="str">
        <f aca="false">IF(B1050="","",IF(Brand_Log!S50="","",Brand_Log!S50&amp;""))</f>
        <v/>
      </c>
      <c r="I1050" s="23" t="str">
        <f aca="false">IF(B1050="","",IF(Brand_Log!O50="","",Brand_Log!O50&amp;""))</f>
        <v/>
      </c>
      <c r="J1050" s="23" t="str">
        <f aca="false">IF(B1050="","",IF(Brand_Log!T50="","","before_1500; "&amp;Brand_Log!T50))</f>
        <v/>
      </c>
      <c r="K1050" s="32" t="s">
        <v>1357</v>
      </c>
    </row>
    <row r="1051" customFormat="false" ht="15" hidden="false" customHeight="false" outlineLevel="0" collapsed="false">
      <c r="A1051" s="23" t="str">
        <f aca="false">IF(B1051="","",B1051+(6*1000+50)/10000000)</f>
        <v/>
      </c>
      <c r="B1051" s="35" t="str">
        <f aca="false">IF(AND(Brand_Log!AY51=1,OR(ISNUMBER(Brand_Log!R51),TRIM(Brand_Log!S51)&lt;&gt;"")),Brand_Log!H51,"")</f>
        <v/>
      </c>
      <c r="C1051" s="23" t="str">
        <f aca="false">IF(B1051="","","brand")</f>
        <v/>
      </c>
      <c r="D1051" s="23" t="str">
        <f aca="false">IF(B1051="","",Brand_Log!DV51&amp;"")</f>
        <v/>
      </c>
      <c r="E1051" s="23" t="str">
        <f aca="false">IF(B1051="","",IF(Brand_Log!B51="","",Brand_Log!B51&amp;""))</f>
        <v/>
      </c>
      <c r="F1051" s="23" t="str">
        <f aca="false">IF(B1051="","","budget_probe")</f>
        <v/>
      </c>
      <c r="G1051" s="23" t="str">
        <f aca="false">IF(B1051="","",IF(ISNUMBER(Brand_Log!R51),Brand_Log!R51,""))</f>
        <v/>
      </c>
      <c r="H1051" s="23" t="str">
        <f aca="false">IF(B1051="","",IF(Brand_Log!S51="","",Brand_Log!S51&amp;""))</f>
        <v/>
      </c>
      <c r="I1051" s="23" t="str">
        <f aca="false">IF(B1051="","",IF(Brand_Log!O51="","",Brand_Log!O51&amp;""))</f>
        <v/>
      </c>
      <c r="J1051" s="23" t="str">
        <f aca="false">IF(B1051="","",IF(Brand_Log!T51="","","before_1500; "&amp;Brand_Log!T51))</f>
        <v/>
      </c>
      <c r="K1051" s="32" t="s">
        <v>1357</v>
      </c>
    </row>
    <row r="1052" customFormat="false" ht="15" hidden="false" customHeight="false" outlineLevel="0" collapsed="false">
      <c r="A1052" s="23" t="str">
        <f aca="false">IF(B1052="","",B1052+(6*1000+51)/10000000)</f>
        <v/>
      </c>
      <c r="B1052" s="35" t="str">
        <f aca="false">IF(AND(Brand_Log!AY52=1,OR(ISNUMBER(Brand_Log!R52),TRIM(Brand_Log!S52)&lt;&gt;"")),Brand_Log!H52,"")</f>
        <v/>
      </c>
      <c r="C1052" s="23" t="str">
        <f aca="false">IF(B1052="","","brand")</f>
        <v/>
      </c>
      <c r="D1052" s="23" t="str">
        <f aca="false">IF(B1052="","",Brand_Log!DV52&amp;"")</f>
        <v/>
      </c>
      <c r="E1052" s="23" t="str">
        <f aca="false">IF(B1052="","",IF(Brand_Log!B52="","",Brand_Log!B52&amp;""))</f>
        <v/>
      </c>
      <c r="F1052" s="23" t="str">
        <f aca="false">IF(B1052="","","budget_probe")</f>
        <v/>
      </c>
      <c r="G1052" s="23" t="str">
        <f aca="false">IF(B1052="","",IF(ISNUMBER(Brand_Log!R52),Brand_Log!R52,""))</f>
        <v/>
      </c>
      <c r="H1052" s="23" t="str">
        <f aca="false">IF(B1052="","",IF(Brand_Log!S52="","",Brand_Log!S52&amp;""))</f>
        <v/>
      </c>
      <c r="I1052" s="23" t="str">
        <f aca="false">IF(B1052="","",IF(Brand_Log!O52="","",Brand_Log!O52&amp;""))</f>
        <v/>
      </c>
      <c r="J1052" s="23" t="str">
        <f aca="false">IF(B1052="","",IF(Brand_Log!T52="","","before_1500; "&amp;Brand_Log!T52))</f>
        <v/>
      </c>
      <c r="K1052" s="32" t="s">
        <v>1357</v>
      </c>
    </row>
    <row r="1053" customFormat="false" ht="15" hidden="false" customHeight="false" outlineLevel="0" collapsed="false">
      <c r="A1053" s="23" t="str">
        <f aca="false">IF(B1053="","",B1053+(6*1000+52)/10000000)</f>
        <v/>
      </c>
      <c r="B1053" s="35" t="str">
        <f aca="false">IF(AND(Brand_Log!AY53=1,OR(ISNUMBER(Brand_Log!R53),TRIM(Brand_Log!S53)&lt;&gt;"")),Brand_Log!H53,"")</f>
        <v/>
      </c>
      <c r="C1053" s="23" t="str">
        <f aca="false">IF(B1053="","","brand")</f>
        <v/>
      </c>
      <c r="D1053" s="23" t="str">
        <f aca="false">IF(B1053="","",Brand_Log!DV53&amp;"")</f>
        <v/>
      </c>
      <c r="E1053" s="23" t="str">
        <f aca="false">IF(B1053="","",IF(Brand_Log!B53="","",Brand_Log!B53&amp;""))</f>
        <v/>
      </c>
      <c r="F1053" s="23" t="str">
        <f aca="false">IF(B1053="","","budget_probe")</f>
        <v/>
      </c>
      <c r="G1053" s="23" t="str">
        <f aca="false">IF(B1053="","",IF(ISNUMBER(Brand_Log!R53),Brand_Log!R53,""))</f>
        <v/>
      </c>
      <c r="H1053" s="23" t="str">
        <f aca="false">IF(B1053="","",IF(Brand_Log!S53="","",Brand_Log!S53&amp;""))</f>
        <v/>
      </c>
      <c r="I1053" s="23" t="str">
        <f aca="false">IF(B1053="","",IF(Brand_Log!O53="","",Brand_Log!O53&amp;""))</f>
        <v/>
      </c>
      <c r="J1053" s="23" t="str">
        <f aca="false">IF(B1053="","",IF(Brand_Log!T53="","","before_1500; "&amp;Brand_Log!T53))</f>
        <v/>
      </c>
      <c r="K1053" s="32" t="s">
        <v>1357</v>
      </c>
    </row>
    <row r="1054" customFormat="false" ht="15" hidden="false" customHeight="false" outlineLevel="0" collapsed="false">
      <c r="A1054" s="23" t="str">
        <f aca="false">IF(B1054="","",B1054+(6*1000+53)/10000000)</f>
        <v/>
      </c>
      <c r="B1054" s="35" t="str">
        <f aca="false">IF(AND(Brand_Log!AY54=1,OR(ISNUMBER(Brand_Log!R54),TRIM(Brand_Log!S54)&lt;&gt;"")),Brand_Log!H54,"")</f>
        <v/>
      </c>
      <c r="C1054" s="23" t="str">
        <f aca="false">IF(B1054="","","brand")</f>
        <v/>
      </c>
      <c r="D1054" s="23" t="str">
        <f aca="false">IF(B1054="","",Brand_Log!DV54&amp;"")</f>
        <v/>
      </c>
      <c r="E1054" s="23" t="str">
        <f aca="false">IF(B1054="","",IF(Brand_Log!B54="","",Brand_Log!B54&amp;""))</f>
        <v/>
      </c>
      <c r="F1054" s="23" t="str">
        <f aca="false">IF(B1054="","","budget_probe")</f>
        <v/>
      </c>
      <c r="G1054" s="23" t="str">
        <f aca="false">IF(B1054="","",IF(ISNUMBER(Brand_Log!R54),Brand_Log!R54,""))</f>
        <v/>
      </c>
      <c r="H1054" s="23" t="str">
        <f aca="false">IF(B1054="","",IF(Brand_Log!S54="","",Brand_Log!S54&amp;""))</f>
        <v/>
      </c>
      <c r="I1054" s="23" t="str">
        <f aca="false">IF(B1054="","",IF(Brand_Log!O54="","",Brand_Log!O54&amp;""))</f>
        <v/>
      </c>
      <c r="J1054" s="23" t="str">
        <f aca="false">IF(B1054="","",IF(Brand_Log!T54="","","before_1500; "&amp;Brand_Log!T54))</f>
        <v/>
      </c>
      <c r="K1054" s="32" t="s">
        <v>1357</v>
      </c>
    </row>
    <row r="1055" customFormat="false" ht="15" hidden="false" customHeight="false" outlineLevel="0" collapsed="false">
      <c r="A1055" s="23" t="str">
        <f aca="false">IF(B1055="","",B1055+(6*1000+54)/10000000)</f>
        <v/>
      </c>
      <c r="B1055" s="35" t="str">
        <f aca="false">IF(AND(Brand_Log!AY55=1,OR(ISNUMBER(Brand_Log!R55),TRIM(Brand_Log!S55)&lt;&gt;"")),Brand_Log!H55,"")</f>
        <v/>
      </c>
      <c r="C1055" s="23" t="str">
        <f aca="false">IF(B1055="","","brand")</f>
        <v/>
      </c>
      <c r="D1055" s="23" t="str">
        <f aca="false">IF(B1055="","",Brand_Log!DV55&amp;"")</f>
        <v/>
      </c>
      <c r="E1055" s="23" t="str">
        <f aca="false">IF(B1055="","",IF(Brand_Log!B55="","",Brand_Log!B55&amp;""))</f>
        <v/>
      </c>
      <c r="F1055" s="23" t="str">
        <f aca="false">IF(B1055="","","budget_probe")</f>
        <v/>
      </c>
      <c r="G1055" s="23" t="str">
        <f aca="false">IF(B1055="","",IF(ISNUMBER(Brand_Log!R55),Brand_Log!R55,""))</f>
        <v/>
      </c>
      <c r="H1055" s="23" t="str">
        <f aca="false">IF(B1055="","",IF(Brand_Log!S55="","",Brand_Log!S55&amp;""))</f>
        <v/>
      </c>
      <c r="I1055" s="23" t="str">
        <f aca="false">IF(B1055="","",IF(Brand_Log!O55="","",Brand_Log!O55&amp;""))</f>
        <v/>
      </c>
      <c r="J1055" s="23" t="str">
        <f aca="false">IF(B1055="","",IF(Brand_Log!T55="","","before_1500; "&amp;Brand_Log!T55))</f>
        <v/>
      </c>
      <c r="K1055" s="32" t="s">
        <v>1357</v>
      </c>
    </row>
    <row r="1056" customFormat="false" ht="15" hidden="false" customHeight="false" outlineLevel="0" collapsed="false">
      <c r="A1056" s="23" t="str">
        <f aca="false">IF(B1056="","",B1056+(6*1000+55)/10000000)</f>
        <v/>
      </c>
      <c r="B1056" s="35" t="str">
        <f aca="false">IF(AND(Brand_Log!AY56=1,OR(ISNUMBER(Brand_Log!R56),TRIM(Brand_Log!S56)&lt;&gt;"")),Brand_Log!H56,"")</f>
        <v/>
      </c>
      <c r="C1056" s="23" t="str">
        <f aca="false">IF(B1056="","","brand")</f>
        <v/>
      </c>
      <c r="D1056" s="23" t="str">
        <f aca="false">IF(B1056="","",Brand_Log!DV56&amp;"")</f>
        <v/>
      </c>
      <c r="E1056" s="23" t="str">
        <f aca="false">IF(B1056="","",IF(Brand_Log!B56="","",Brand_Log!B56&amp;""))</f>
        <v/>
      </c>
      <c r="F1056" s="23" t="str">
        <f aca="false">IF(B1056="","","budget_probe")</f>
        <v/>
      </c>
      <c r="G1056" s="23" t="str">
        <f aca="false">IF(B1056="","",IF(ISNUMBER(Brand_Log!R56),Brand_Log!R56,""))</f>
        <v/>
      </c>
      <c r="H1056" s="23" t="str">
        <f aca="false">IF(B1056="","",IF(Brand_Log!S56="","",Brand_Log!S56&amp;""))</f>
        <v/>
      </c>
      <c r="I1056" s="23" t="str">
        <f aca="false">IF(B1056="","",IF(Brand_Log!O56="","",Brand_Log!O56&amp;""))</f>
        <v/>
      </c>
      <c r="J1056" s="23" t="str">
        <f aca="false">IF(B1056="","",IF(Brand_Log!T56="","","before_1500; "&amp;Brand_Log!T56))</f>
        <v/>
      </c>
      <c r="K1056" s="32" t="s">
        <v>1357</v>
      </c>
    </row>
    <row r="1057" customFormat="false" ht="15" hidden="false" customHeight="false" outlineLevel="0" collapsed="false">
      <c r="A1057" s="23" t="str">
        <f aca="false">IF(B1057="","",B1057+(6*1000+56)/10000000)</f>
        <v/>
      </c>
      <c r="B1057" s="35" t="str">
        <f aca="false">IF(AND(Brand_Log!AY57=1,OR(ISNUMBER(Brand_Log!R57),TRIM(Brand_Log!S57)&lt;&gt;"")),Brand_Log!H57,"")</f>
        <v/>
      </c>
      <c r="C1057" s="23" t="str">
        <f aca="false">IF(B1057="","","brand")</f>
        <v/>
      </c>
      <c r="D1057" s="23" t="str">
        <f aca="false">IF(B1057="","",Brand_Log!DV57&amp;"")</f>
        <v/>
      </c>
      <c r="E1057" s="23" t="str">
        <f aca="false">IF(B1057="","",IF(Brand_Log!B57="","",Brand_Log!B57&amp;""))</f>
        <v/>
      </c>
      <c r="F1057" s="23" t="str">
        <f aca="false">IF(B1057="","","budget_probe")</f>
        <v/>
      </c>
      <c r="G1057" s="23" t="str">
        <f aca="false">IF(B1057="","",IF(ISNUMBER(Brand_Log!R57),Brand_Log!R57,""))</f>
        <v/>
      </c>
      <c r="H1057" s="23" t="str">
        <f aca="false">IF(B1057="","",IF(Brand_Log!S57="","",Brand_Log!S57&amp;""))</f>
        <v/>
      </c>
      <c r="I1057" s="23" t="str">
        <f aca="false">IF(B1057="","",IF(Brand_Log!O57="","",Brand_Log!O57&amp;""))</f>
        <v/>
      </c>
      <c r="J1057" s="23" t="str">
        <f aca="false">IF(B1057="","",IF(Brand_Log!T57="","","before_1500; "&amp;Brand_Log!T57))</f>
        <v/>
      </c>
      <c r="K1057" s="32" t="s">
        <v>1357</v>
      </c>
    </row>
    <row r="1058" customFormat="false" ht="15" hidden="false" customHeight="false" outlineLevel="0" collapsed="false">
      <c r="A1058" s="23" t="str">
        <f aca="false">IF(B1058="","",B1058+(6*1000+57)/10000000)</f>
        <v/>
      </c>
      <c r="B1058" s="35" t="str">
        <f aca="false">IF(AND(Brand_Log!AY58=1,OR(ISNUMBER(Brand_Log!R58),TRIM(Brand_Log!S58)&lt;&gt;"")),Brand_Log!H58,"")</f>
        <v/>
      </c>
      <c r="C1058" s="23" t="str">
        <f aca="false">IF(B1058="","","brand")</f>
        <v/>
      </c>
      <c r="D1058" s="23" t="str">
        <f aca="false">IF(B1058="","",Brand_Log!DV58&amp;"")</f>
        <v/>
      </c>
      <c r="E1058" s="23" t="str">
        <f aca="false">IF(B1058="","",IF(Brand_Log!B58="","",Brand_Log!B58&amp;""))</f>
        <v/>
      </c>
      <c r="F1058" s="23" t="str">
        <f aca="false">IF(B1058="","","budget_probe")</f>
        <v/>
      </c>
      <c r="G1058" s="23" t="str">
        <f aca="false">IF(B1058="","",IF(ISNUMBER(Brand_Log!R58),Brand_Log!R58,""))</f>
        <v/>
      </c>
      <c r="H1058" s="23" t="str">
        <f aca="false">IF(B1058="","",IF(Brand_Log!S58="","",Brand_Log!S58&amp;""))</f>
        <v/>
      </c>
      <c r="I1058" s="23" t="str">
        <f aca="false">IF(B1058="","",IF(Brand_Log!O58="","",Brand_Log!O58&amp;""))</f>
        <v/>
      </c>
      <c r="J1058" s="23" t="str">
        <f aca="false">IF(B1058="","",IF(Brand_Log!T58="","","before_1500; "&amp;Brand_Log!T58))</f>
        <v/>
      </c>
      <c r="K1058" s="32" t="s">
        <v>1357</v>
      </c>
    </row>
    <row r="1059" customFormat="false" ht="15" hidden="false" customHeight="false" outlineLevel="0" collapsed="false">
      <c r="A1059" s="23" t="str">
        <f aca="false">IF(B1059="","",B1059+(6*1000+58)/10000000)</f>
        <v/>
      </c>
      <c r="B1059" s="35" t="str">
        <f aca="false">IF(AND(Brand_Log!AY59=1,OR(ISNUMBER(Brand_Log!R59),TRIM(Brand_Log!S59)&lt;&gt;"")),Brand_Log!H59,"")</f>
        <v/>
      </c>
      <c r="C1059" s="23" t="str">
        <f aca="false">IF(B1059="","","brand")</f>
        <v/>
      </c>
      <c r="D1059" s="23" t="str">
        <f aca="false">IF(B1059="","",Brand_Log!DV59&amp;"")</f>
        <v/>
      </c>
      <c r="E1059" s="23" t="str">
        <f aca="false">IF(B1059="","",IF(Brand_Log!B59="","",Brand_Log!B59&amp;""))</f>
        <v/>
      </c>
      <c r="F1059" s="23" t="str">
        <f aca="false">IF(B1059="","","budget_probe")</f>
        <v/>
      </c>
      <c r="G1059" s="23" t="str">
        <f aca="false">IF(B1059="","",IF(ISNUMBER(Brand_Log!R59),Brand_Log!R59,""))</f>
        <v/>
      </c>
      <c r="H1059" s="23" t="str">
        <f aca="false">IF(B1059="","",IF(Brand_Log!S59="","",Brand_Log!S59&amp;""))</f>
        <v/>
      </c>
      <c r="I1059" s="23" t="str">
        <f aca="false">IF(B1059="","",IF(Brand_Log!O59="","",Brand_Log!O59&amp;""))</f>
        <v/>
      </c>
      <c r="J1059" s="23" t="str">
        <f aca="false">IF(B1059="","",IF(Brand_Log!T59="","","before_1500; "&amp;Brand_Log!T59))</f>
        <v/>
      </c>
      <c r="K1059" s="32" t="s">
        <v>1357</v>
      </c>
    </row>
    <row r="1060" customFormat="false" ht="15" hidden="false" customHeight="false" outlineLevel="0" collapsed="false">
      <c r="A1060" s="23" t="str">
        <f aca="false">IF(B1060="","",B1060+(6*1000+59)/10000000)</f>
        <v/>
      </c>
      <c r="B1060" s="35" t="str">
        <f aca="false">IF(AND(Brand_Log!AY60=1,OR(ISNUMBER(Brand_Log!R60),TRIM(Brand_Log!S60)&lt;&gt;"")),Brand_Log!H60,"")</f>
        <v/>
      </c>
      <c r="C1060" s="23" t="str">
        <f aca="false">IF(B1060="","","brand")</f>
        <v/>
      </c>
      <c r="D1060" s="23" t="str">
        <f aca="false">IF(B1060="","",Brand_Log!DV60&amp;"")</f>
        <v/>
      </c>
      <c r="E1060" s="23" t="str">
        <f aca="false">IF(B1060="","",IF(Brand_Log!B60="","",Brand_Log!B60&amp;""))</f>
        <v/>
      </c>
      <c r="F1060" s="23" t="str">
        <f aca="false">IF(B1060="","","budget_probe")</f>
        <v/>
      </c>
      <c r="G1060" s="23" t="str">
        <f aca="false">IF(B1060="","",IF(ISNUMBER(Brand_Log!R60),Brand_Log!R60,""))</f>
        <v/>
      </c>
      <c r="H1060" s="23" t="str">
        <f aca="false">IF(B1060="","",IF(Brand_Log!S60="","",Brand_Log!S60&amp;""))</f>
        <v/>
      </c>
      <c r="I1060" s="23" t="str">
        <f aca="false">IF(B1060="","",IF(Brand_Log!O60="","",Brand_Log!O60&amp;""))</f>
        <v/>
      </c>
      <c r="J1060" s="23" t="str">
        <f aca="false">IF(B1060="","",IF(Brand_Log!T60="","","before_1500; "&amp;Brand_Log!T60))</f>
        <v/>
      </c>
      <c r="K1060" s="32" t="s">
        <v>1357</v>
      </c>
    </row>
    <row r="1061" customFormat="false" ht="15" hidden="false" customHeight="false" outlineLevel="0" collapsed="false">
      <c r="A1061" s="23" t="str">
        <f aca="false">IF(B1061="","",B1061+(6*1000+60)/10000000)</f>
        <v/>
      </c>
      <c r="B1061" s="35" t="str">
        <f aca="false">IF(AND(Brand_Log!AY61=1,OR(ISNUMBER(Brand_Log!R61),TRIM(Brand_Log!S61)&lt;&gt;"")),Brand_Log!H61,"")</f>
        <v/>
      </c>
      <c r="C1061" s="23" t="str">
        <f aca="false">IF(B1061="","","brand")</f>
        <v/>
      </c>
      <c r="D1061" s="23" t="str">
        <f aca="false">IF(B1061="","",Brand_Log!DV61&amp;"")</f>
        <v/>
      </c>
      <c r="E1061" s="23" t="str">
        <f aca="false">IF(B1061="","",IF(Brand_Log!B61="","",Brand_Log!B61&amp;""))</f>
        <v/>
      </c>
      <c r="F1061" s="23" t="str">
        <f aca="false">IF(B1061="","","budget_probe")</f>
        <v/>
      </c>
      <c r="G1061" s="23" t="str">
        <f aca="false">IF(B1061="","",IF(ISNUMBER(Brand_Log!R61),Brand_Log!R61,""))</f>
        <v/>
      </c>
      <c r="H1061" s="23" t="str">
        <f aca="false">IF(B1061="","",IF(Brand_Log!S61="","",Brand_Log!S61&amp;""))</f>
        <v/>
      </c>
      <c r="I1061" s="23" t="str">
        <f aca="false">IF(B1061="","",IF(Brand_Log!O61="","",Brand_Log!O61&amp;""))</f>
        <v/>
      </c>
      <c r="J1061" s="23" t="str">
        <f aca="false">IF(B1061="","",IF(Brand_Log!T61="","","before_1500; "&amp;Brand_Log!T61))</f>
        <v/>
      </c>
      <c r="K1061" s="32" t="s">
        <v>1357</v>
      </c>
    </row>
    <row r="1062" customFormat="false" ht="15" hidden="false" customHeight="false" outlineLevel="0" collapsed="false">
      <c r="A1062" s="23" t="str">
        <f aca="false">IF(B1062="","",B1062+(6*1000+61)/10000000)</f>
        <v/>
      </c>
      <c r="B1062" s="35" t="str">
        <f aca="false">IF(AND(Brand_Log!AY62=1,OR(ISNUMBER(Brand_Log!R62),TRIM(Brand_Log!S62)&lt;&gt;"")),Brand_Log!H62,"")</f>
        <v/>
      </c>
      <c r="C1062" s="23" t="str">
        <f aca="false">IF(B1062="","","brand")</f>
        <v/>
      </c>
      <c r="D1062" s="23" t="str">
        <f aca="false">IF(B1062="","",Brand_Log!DV62&amp;"")</f>
        <v/>
      </c>
      <c r="E1062" s="23" t="str">
        <f aca="false">IF(B1062="","",IF(Brand_Log!B62="","",Brand_Log!B62&amp;""))</f>
        <v/>
      </c>
      <c r="F1062" s="23" t="str">
        <f aca="false">IF(B1062="","","budget_probe")</f>
        <v/>
      </c>
      <c r="G1062" s="23" t="str">
        <f aca="false">IF(B1062="","",IF(ISNUMBER(Brand_Log!R62),Brand_Log!R62,""))</f>
        <v/>
      </c>
      <c r="H1062" s="23" t="str">
        <f aca="false">IF(B1062="","",IF(Brand_Log!S62="","",Brand_Log!S62&amp;""))</f>
        <v/>
      </c>
      <c r="I1062" s="23" t="str">
        <f aca="false">IF(B1062="","",IF(Brand_Log!O62="","",Brand_Log!O62&amp;""))</f>
        <v/>
      </c>
      <c r="J1062" s="23" t="str">
        <f aca="false">IF(B1062="","",IF(Brand_Log!T62="","","before_1500; "&amp;Brand_Log!T62))</f>
        <v/>
      </c>
      <c r="K1062" s="32" t="s">
        <v>1357</v>
      </c>
    </row>
    <row r="1063" customFormat="false" ht="15" hidden="false" customHeight="false" outlineLevel="0" collapsed="false">
      <c r="A1063" s="23" t="str">
        <f aca="false">IF(B1063="","",B1063+(6*1000+62)/10000000)</f>
        <v/>
      </c>
      <c r="B1063" s="35" t="str">
        <f aca="false">IF(AND(Brand_Log!AY63=1,OR(ISNUMBER(Brand_Log!R63),TRIM(Brand_Log!S63)&lt;&gt;"")),Brand_Log!H63,"")</f>
        <v/>
      </c>
      <c r="C1063" s="23" t="str">
        <f aca="false">IF(B1063="","","brand")</f>
        <v/>
      </c>
      <c r="D1063" s="23" t="str">
        <f aca="false">IF(B1063="","",Brand_Log!DV63&amp;"")</f>
        <v/>
      </c>
      <c r="E1063" s="23" t="str">
        <f aca="false">IF(B1063="","",IF(Brand_Log!B63="","",Brand_Log!B63&amp;""))</f>
        <v/>
      </c>
      <c r="F1063" s="23" t="str">
        <f aca="false">IF(B1063="","","budget_probe")</f>
        <v/>
      </c>
      <c r="G1063" s="23" t="str">
        <f aca="false">IF(B1063="","",IF(ISNUMBER(Brand_Log!R63),Brand_Log!R63,""))</f>
        <v/>
      </c>
      <c r="H1063" s="23" t="str">
        <f aca="false">IF(B1063="","",IF(Brand_Log!S63="","",Brand_Log!S63&amp;""))</f>
        <v/>
      </c>
      <c r="I1063" s="23" t="str">
        <f aca="false">IF(B1063="","",IF(Brand_Log!O63="","",Brand_Log!O63&amp;""))</f>
        <v/>
      </c>
      <c r="J1063" s="23" t="str">
        <f aca="false">IF(B1063="","",IF(Brand_Log!T63="","","before_1500; "&amp;Brand_Log!T63))</f>
        <v/>
      </c>
      <c r="K1063" s="32" t="s">
        <v>1357</v>
      </c>
    </row>
    <row r="1064" customFormat="false" ht="15" hidden="false" customHeight="false" outlineLevel="0" collapsed="false">
      <c r="A1064" s="23" t="str">
        <f aca="false">IF(B1064="","",B1064+(6*1000+63)/10000000)</f>
        <v/>
      </c>
      <c r="B1064" s="35" t="str">
        <f aca="false">IF(AND(Brand_Log!AY64=1,OR(ISNUMBER(Brand_Log!R64),TRIM(Brand_Log!S64)&lt;&gt;"")),Brand_Log!H64,"")</f>
        <v/>
      </c>
      <c r="C1064" s="23" t="str">
        <f aca="false">IF(B1064="","","brand")</f>
        <v/>
      </c>
      <c r="D1064" s="23" t="str">
        <f aca="false">IF(B1064="","",Brand_Log!DV64&amp;"")</f>
        <v/>
      </c>
      <c r="E1064" s="23" t="str">
        <f aca="false">IF(B1064="","",IF(Brand_Log!B64="","",Brand_Log!B64&amp;""))</f>
        <v/>
      </c>
      <c r="F1064" s="23" t="str">
        <f aca="false">IF(B1064="","","budget_probe")</f>
        <v/>
      </c>
      <c r="G1064" s="23" t="str">
        <f aca="false">IF(B1064="","",IF(ISNUMBER(Brand_Log!R64),Brand_Log!R64,""))</f>
        <v/>
      </c>
      <c r="H1064" s="23" t="str">
        <f aca="false">IF(B1064="","",IF(Brand_Log!S64="","",Brand_Log!S64&amp;""))</f>
        <v/>
      </c>
      <c r="I1064" s="23" t="str">
        <f aca="false">IF(B1064="","",IF(Brand_Log!O64="","",Brand_Log!O64&amp;""))</f>
        <v/>
      </c>
      <c r="J1064" s="23" t="str">
        <f aca="false">IF(B1064="","",IF(Brand_Log!T64="","","before_1500; "&amp;Brand_Log!T64))</f>
        <v/>
      </c>
      <c r="K1064" s="32" t="s">
        <v>1357</v>
      </c>
    </row>
    <row r="1065" customFormat="false" ht="15" hidden="false" customHeight="false" outlineLevel="0" collapsed="false">
      <c r="A1065" s="23" t="str">
        <f aca="false">IF(B1065="","",B1065+(6*1000+64)/10000000)</f>
        <v/>
      </c>
      <c r="B1065" s="35" t="str">
        <f aca="false">IF(AND(Brand_Log!AY65=1,OR(ISNUMBER(Brand_Log!R65),TRIM(Brand_Log!S65)&lt;&gt;"")),Brand_Log!H65,"")</f>
        <v/>
      </c>
      <c r="C1065" s="23" t="str">
        <f aca="false">IF(B1065="","","brand")</f>
        <v/>
      </c>
      <c r="D1065" s="23" t="str">
        <f aca="false">IF(B1065="","",Brand_Log!DV65&amp;"")</f>
        <v/>
      </c>
      <c r="E1065" s="23" t="str">
        <f aca="false">IF(B1065="","",IF(Brand_Log!B65="","",Brand_Log!B65&amp;""))</f>
        <v/>
      </c>
      <c r="F1065" s="23" t="str">
        <f aca="false">IF(B1065="","","budget_probe")</f>
        <v/>
      </c>
      <c r="G1065" s="23" t="str">
        <f aca="false">IF(B1065="","",IF(ISNUMBER(Brand_Log!R65),Brand_Log!R65,""))</f>
        <v/>
      </c>
      <c r="H1065" s="23" t="str">
        <f aca="false">IF(B1065="","",IF(Brand_Log!S65="","",Brand_Log!S65&amp;""))</f>
        <v/>
      </c>
      <c r="I1065" s="23" t="str">
        <f aca="false">IF(B1065="","",IF(Brand_Log!O65="","",Brand_Log!O65&amp;""))</f>
        <v/>
      </c>
      <c r="J1065" s="23" t="str">
        <f aca="false">IF(B1065="","",IF(Brand_Log!T65="","","before_1500; "&amp;Brand_Log!T65))</f>
        <v/>
      </c>
      <c r="K1065" s="32" t="s">
        <v>1357</v>
      </c>
    </row>
    <row r="1066" customFormat="false" ht="15" hidden="false" customHeight="false" outlineLevel="0" collapsed="false">
      <c r="A1066" s="23" t="str">
        <f aca="false">IF(B1066="","",B1066+(6*1000+65)/10000000)</f>
        <v/>
      </c>
      <c r="B1066" s="35" t="str">
        <f aca="false">IF(AND(Brand_Log!AY66=1,OR(ISNUMBER(Brand_Log!R66),TRIM(Brand_Log!S66)&lt;&gt;"")),Brand_Log!H66,"")</f>
        <v/>
      </c>
      <c r="C1066" s="23" t="str">
        <f aca="false">IF(B1066="","","brand")</f>
        <v/>
      </c>
      <c r="D1066" s="23" t="str">
        <f aca="false">IF(B1066="","",Brand_Log!DV66&amp;"")</f>
        <v/>
      </c>
      <c r="E1066" s="23" t="str">
        <f aca="false">IF(B1066="","",IF(Brand_Log!B66="","",Brand_Log!B66&amp;""))</f>
        <v/>
      </c>
      <c r="F1066" s="23" t="str">
        <f aca="false">IF(B1066="","","budget_probe")</f>
        <v/>
      </c>
      <c r="G1066" s="23" t="str">
        <f aca="false">IF(B1066="","",IF(ISNUMBER(Brand_Log!R66),Brand_Log!R66,""))</f>
        <v/>
      </c>
      <c r="H1066" s="23" t="str">
        <f aca="false">IF(B1066="","",IF(Brand_Log!S66="","",Brand_Log!S66&amp;""))</f>
        <v/>
      </c>
      <c r="I1066" s="23" t="str">
        <f aca="false">IF(B1066="","",IF(Brand_Log!O66="","",Brand_Log!O66&amp;""))</f>
        <v/>
      </c>
      <c r="J1066" s="23" t="str">
        <f aca="false">IF(B1066="","",IF(Brand_Log!T66="","","before_1500; "&amp;Brand_Log!T66))</f>
        <v/>
      </c>
      <c r="K1066" s="32" t="s">
        <v>1357</v>
      </c>
    </row>
    <row r="1067" customFormat="false" ht="15" hidden="false" customHeight="false" outlineLevel="0" collapsed="false">
      <c r="A1067" s="23" t="str">
        <f aca="false">IF(B1067="","",B1067+(6*1000+66)/10000000)</f>
        <v/>
      </c>
      <c r="B1067" s="35" t="str">
        <f aca="false">IF(AND(Brand_Log!AY67=1,OR(ISNUMBER(Brand_Log!R67),TRIM(Brand_Log!S67)&lt;&gt;"")),Brand_Log!H67,"")</f>
        <v/>
      </c>
      <c r="C1067" s="23" t="str">
        <f aca="false">IF(B1067="","","brand")</f>
        <v/>
      </c>
      <c r="D1067" s="23" t="str">
        <f aca="false">IF(B1067="","",Brand_Log!DV67&amp;"")</f>
        <v/>
      </c>
      <c r="E1067" s="23" t="str">
        <f aca="false">IF(B1067="","",IF(Brand_Log!B67="","",Brand_Log!B67&amp;""))</f>
        <v/>
      </c>
      <c r="F1067" s="23" t="str">
        <f aca="false">IF(B1067="","","budget_probe")</f>
        <v/>
      </c>
      <c r="G1067" s="23" t="str">
        <f aca="false">IF(B1067="","",IF(ISNUMBER(Brand_Log!R67),Brand_Log!R67,""))</f>
        <v/>
      </c>
      <c r="H1067" s="23" t="str">
        <f aca="false">IF(B1067="","",IF(Brand_Log!S67="","",Brand_Log!S67&amp;""))</f>
        <v/>
      </c>
      <c r="I1067" s="23" t="str">
        <f aca="false">IF(B1067="","",IF(Brand_Log!O67="","",Brand_Log!O67&amp;""))</f>
        <v/>
      </c>
      <c r="J1067" s="23" t="str">
        <f aca="false">IF(B1067="","",IF(Brand_Log!T67="","","before_1500; "&amp;Brand_Log!T67))</f>
        <v/>
      </c>
      <c r="K1067" s="32" t="s">
        <v>1357</v>
      </c>
    </row>
    <row r="1068" customFormat="false" ht="15" hidden="false" customHeight="false" outlineLevel="0" collapsed="false">
      <c r="A1068" s="23" t="str">
        <f aca="false">IF(B1068="","",B1068+(6*1000+67)/10000000)</f>
        <v/>
      </c>
      <c r="B1068" s="35" t="str">
        <f aca="false">IF(AND(Brand_Log!AY68=1,OR(ISNUMBER(Brand_Log!R68),TRIM(Brand_Log!S68)&lt;&gt;"")),Brand_Log!H68,"")</f>
        <v/>
      </c>
      <c r="C1068" s="23" t="str">
        <f aca="false">IF(B1068="","","brand")</f>
        <v/>
      </c>
      <c r="D1068" s="23" t="str">
        <f aca="false">IF(B1068="","",Brand_Log!DV68&amp;"")</f>
        <v/>
      </c>
      <c r="E1068" s="23" t="str">
        <f aca="false">IF(B1068="","",IF(Brand_Log!B68="","",Brand_Log!B68&amp;""))</f>
        <v/>
      </c>
      <c r="F1068" s="23" t="str">
        <f aca="false">IF(B1068="","","budget_probe")</f>
        <v/>
      </c>
      <c r="G1068" s="23" t="str">
        <f aca="false">IF(B1068="","",IF(ISNUMBER(Brand_Log!R68),Brand_Log!R68,""))</f>
        <v/>
      </c>
      <c r="H1068" s="23" t="str">
        <f aca="false">IF(B1068="","",IF(Brand_Log!S68="","",Brand_Log!S68&amp;""))</f>
        <v/>
      </c>
      <c r="I1068" s="23" t="str">
        <f aca="false">IF(B1068="","",IF(Brand_Log!O68="","",Brand_Log!O68&amp;""))</f>
        <v/>
      </c>
      <c r="J1068" s="23" t="str">
        <f aca="false">IF(B1068="","",IF(Brand_Log!T68="","","before_1500; "&amp;Brand_Log!T68))</f>
        <v/>
      </c>
      <c r="K1068" s="32" t="s">
        <v>1357</v>
      </c>
    </row>
    <row r="1069" customFormat="false" ht="15" hidden="false" customHeight="false" outlineLevel="0" collapsed="false">
      <c r="A1069" s="23" t="str">
        <f aca="false">IF(B1069="","",B1069+(6*1000+68)/10000000)</f>
        <v/>
      </c>
      <c r="B1069" s="35" t="str">
        <f aca="false">IF(AND(Brand_Log!AY69=1,OR(ISNUMBER(Brand_Log!R69),TRIM(Brand_Log!S69)&lt;&gt;"")),Brand_Log!H69,"")</f>
        <v/>
      </c>
      <c r="C1069" s="23" t="str">
        <f aca="false">IF(B1069="","","brand")</f>
        <v/>
      </c>
      <c r="D1069" s="23" t="str">
        <f aca="false">IF(B1069="","",Brand_Log!DV69&amp;"")</f>
        <v/>
      </c>
      <c r="E1069" s="23" t="str">
        <f aca="false">IF(B1069="","",IF(Brand_Log!B69="","",Brand_Log!B69&amp;""))</f>
        <v/>
      </c>
      <c r="F1069" s="23" t="str">
        <f aca="false">IF(B1069="","","budget_probe")</f>
        <v/>
      </c>
      <c r="G1069" s="23" t="str">
        <f aca="false">IF(B1069="","",IF(ISNUMBER(Brand_Log!R69),Brand_Log!R69,""))</f>
        <v/>
      </c>
      <c r="H1069" s="23" t="str">
        <f aca="false">IF(B1069="","",IF(Brand_Log!S69="","",Brand_Log!S69&amp;""))</f>
        <v/>
      </c>
      <c r="I1069" s="23" t="str">
        <f aca="false">IF(B1069="","",IF(Brand_Log!O69="","",Brand_Log!O69&amp;""))</f>
        <v/>
      </c>
      <c r="J1069" s="23" t="str">
        <f aca="false">IF(B1069="","",IF(Brand_Log!T69="","","before_1500; "&amp;Brand_Log!T69))</f>
        <v/>
      </c>
      <c r="K1069" s="32" t="s">
        <v>1357</v>
      </c>
    </row>
    <row r="1070" customFormat="false" ht="15" hidden="false" customHeight="false" outlineLevel="0" collapsed="false">
      <c r="A1070" s="23" t="str">
        <f aca="false">IF(B1070="","",B1070+(6*1000+69)/10000000)</f>
        <v/>
      </c>
      <c r="B1070" s="35" t="str">
        <f aca="false">IF(AND(Brand_Log!AY70=1,OR(ISNUMBER(Brand_Log!R70),TRIM(Brand_Log!S70)&lt;&gt;"")),Brand_Log!H70,"")</f>
        <v/>
      </c>
      <c r="C1070" s="23" t="str">
        <f aca="false">IF(B1070="","","brand")</f>
        <v/>
      </c>
      <c r="D1070" s="23" t="str">
        <f aca="false">IF(B1070="","",Brand_Log!DV70&amp;"")</f>
        <v/>
      </c>
      <c r="E1070" s="23" t="str">
        <f aca="false">IF(B1070="","",IF(Brand_Log!B70="","",Brand_Log!B70&amp;""))</f>
        <v/>
      </c>
      <c r="F1070" s="23" t="str">
        <f aca="false">IF(B1070="","","budget_probe")</f>
        <v/>
      </c>
      <c r="G1070" s="23" t="str">
        <f aca="false">IF(B1070="","",IF(ISNUMBER(Brand_Log!R70),Brand_Log!R70,""))</f>
        <v/>
      </c>
      <c r="H1070" s="23" t="str">
        <f aca="false">IF(B1070="","",IF(Brand_Log!S70="","",Brand_Log!S70&amp;""))</f>
        <v/>
      </c>
      <c r="I1070" s="23" t="str">
        <f aca="false">IF(B1070="","",IF(Brand_Log!O70="","",Brand_Log!O70&amp;""))</f>
        <v/>
      </c>
      <c r="J1070" s="23" t="str">
        <f aca="false">IF(B1070="","",IF(Brand_Log!T70="","","before_1500; "&amp;Brand_Log!T70))</f>
        <v/>
      </c>
      <c r="K1070" s="32" t="s">
        <v>1357</v>
      </c>
    </row>
    <row r="1071" customFormat="false" ht="15" hidden="false" customHeight="false" outlineLevel="0" collapsed="false">
      <c r="A1071" s="23" t="str">
        <f aca="false">IF(B1071="","",B1071+(6*1000+70)/10000000)</f>
        <v/>
      </c>
      <c r="B1071" s="35" t="str">
        <f aca="false">IF(AND(Brand_Log!AY71=1,OR(ISNUMBER(Brand_Log!R71),TRIM(Brand_Log!S71)&lt;&gt;"")),Brand_Log!H71,"")</f>
        <v/>
      </c>
      <c r="C1071" s="23" t="str">
        <f aca="false">IF(B1071="","","brand")</f>
        <v/>
      </c>
      <c r="D1071" s="23" t="str">
        <f aca="false">IF(B1071="","",Brand_Log!DV71&amp;"")</f>
        <v/>
      </c>
      <c r="E1071" s="23" t="str">
        <f aca="false">IF(B1071="","",IF(Brand_Log!B71="","",Brand_Log!B71&amp;""))</f>
        <v/>
      </c>
      <c r="F1071" s="23" t="str">
        <f aca="false">IF(B1071="","","budget_probe")</f>
        <v/>
      </c>
      <c r="G1071" s="23" t="str">
        <f aca="false">IF(B1071="","",IF(ISNUMBER(Brand_Log!R71),Brand_Log!R71,""))</f>
        <v/>
      </c>
      <c r="H1071" s="23" t="str">
        <f aca="false">IF(B1071="","",IF(Brand_Log!S71="","",Brand_Log!S71&amp;""))</f>
        <v/>
      </c>
      <c r="I1071" s="23" t="str">
        <f aca="false">IF(B1071="","",IF(Brand_Log!O71="","",Brand_Log!O71&amp;""))</f>
        <v/>
      </c>
      <c r="J1071" s="23" t="str">
        <f aca="false">IF(B1071="","",IF(Brand_Log!T71="","","before_1500; "&amp;Brand_Log!T71))</f>
        <v/>
      </c>
      <c r="K1071" s="32" t="s">
        <v>1357</v>
      </c>
    </row>
    <row r="1072" customFormat="false" ht="15" hidden="false" customHeight="false" outlineLevel="0" collapsed="false">
      <c r="A1072" s="23" t="str">
        <f aca="false">IF(B1072="","",B1072+(6*1000+71)/10000000)</f>
        <v/>
      </c>
      <c r="B1072" s="35" t="str">
        <f aca="false">IF(AND(Brand_Log!AY72=1,OR(ISNUMBER(Brand_Log!R72),TRIM(Brand_Log!S72)&lt;&gt;"")),Brand_Log!H72,"")</f>
        <v/>
      </c>
      <c r="C1072" s="23" t="str">
        <f aca="false">IF(B1072="","","brand")</f>
        <v/>
      </c>
      <c r="D1072" s="23" t="str">
        <f aca="false">IF(B1072="","",Brand_Log!DV72&amp;"")</f>
        <v/>
      </c>
      <c r="E1072" s="23" t="str">
        <f aca="false">IF(B1072="","",IF(Brand_Log!B72="","",Brand_Log!B72&amp;""))</f>
        <v/>
      </c>
      <c r="F1072" s="23" t="str">
        <f aca="false">IF(B1072="","","budget_probe")</f>
        <v/>
      </c>
      <c r="G1072" s="23" t="str">
        <f aca="false">IF(B1072="","",IF(ISNUMBER(Brand_Log!R72),Brand_Log!R72,""))</f>
        <v/>
      </c>
      <c r="H1072" s="23" t="str">
        <f aca="false">IF(B1072="","",IF(Brand_Log!S72="","",Brand_Log!S72&amp;""))</f>
        <v/>
      </c>
      <c r="I1072" s="23" t="str">
        <f aca="false">IF(B1072="","",IF(Brand_Log!O72="","",Brand_Log!O72&amp;""))</f>
        <v/>
      </c>
      <c r="J1072" s="23" t="str">
        <f aca="false">IF(B1072="","",IF(Brand_Log!T72="","","before_1500; "&amp;Brand_Log!T72))</f>
        <v/>
      </c>
      <c r="K1072" s="32" t="s">
        <v>1357</v>
      </c>
    </row>
    <row r="1073" customFormat="false" ht="15" hidden="false" customHeight="false" outlineLevel="0" collapsed="false">
      <c r="A1073" s="23" t="str">
        <f aca="false">IF(B1073="","",B1073+(6*1000+72)/10000000)</f>
        <v/>
      </c>
      <c r="B1073" s="35" t="str">
        <f aca="false">IF(AND(Brand_Log!AY73=1,OR(ISNUMBER(Brand_Log!R73),TRIM(Brand_Log!S73)&lt;&gt;"")),Brand_Log!H73,"")</f>
        <v/>
      </c>
      <c r="C1073" s="23" t="str">
        <f aca="false">IF(B1073="","","brand")</f>
        <v/>
      </c>
      <c r="D1073" s="23" t="str">
        <f aca="false">IF(B1073="","",Brand_Log!DV73&amp;"")</f>
        <v/>
      </c>
      <c r="E1073" s="23" t="str">
        <f aca="false">IF(B1073="","",IF(Brand_Log!B73="","",Brand_Log!B73&amp;""))</f>
        <v/>
      </c>
      <c r="F1073" s="23" t="str">
        <f aca="false">IF(B1073="","","budget_probe")</f>
        <v/>
      </c>
      <c r="G1073" s="23" t="str">
        <f aca="false">IF(B1073="","",IF(ISNUMBER(Brand_Log!R73),Brand_Log!R73,""))</f>
        <v/>
      </c>
      <c r="H1073" s="23" t="str">
        <f aca="false">IF(B1073="","",IF(Brand_Log!S73="","",Brand_Log!S73&amp;""))</f>
        <v/>
      </c>
      <c r="I1073" s="23" t="str">
        <f aca="false">IF(B1073="","",IF(Brand_Log!O73="","",Brand_Log!O73&amp;""))</f>
        <v/>
      </c>
      <c r="J1073" s="23" t="str">
        <f aca="false">IF(B1073="","",IF(Brand_Log!T73="","","before_1500; "&amp;Brand_Log!T73))</f>
        <v/>
      </c>
      <c r="K1073" s="32" t="s">
        <v>1357</v>
      </c>
    </row>
    <row r="1074" customFormat="false" ht="15" hidden="false" customHeight="false" outlineLevel="0" collapsed="false">
      <c r="A1074" s="23" t="str">
        <f aca="false">IF(B1074="","",B1074+(6*1000+73)/10000000)</f>
        <v/>
      </c>
      <c r="B1074" s="35" t="str">
        <f aca="false">IF(AND(Brand_Log!AY74=1,OR(ISNUMBER(Brand_Log!R74),TRIM(Brand_Log!S74)&lt;&gt;"")),Brand_Log!H74,"")</f>
        <v/>
      </c>
      <c r="C1074" s="23" t="str">
        <f aca="false">IF(B1074="","","brand")</f>
        <v/>
      </c>
      <c r="D1074" s="23" t="str">
        <f aca="false">IF(B1074="","",Brand_Log!DV74&amp;"")</f>
        <v/>
      </c>
      <c r="E1074" s="23" t="str">
        <f aca="false">IF(B1074="","",IF(Brand_Log!B74="","",Brand_Log!B74&amp;""))</f>
        <v/>
      </c>
      <c r="F1074" s="23" t="str">
        <f aca="false">IF(B1074="","","budget_probe")</f>
        <v/>
      </c>
      <c r="G1074" s="23" t="str">
        <f aca="false">IF(B1074="","",IF(ISNUMBER(Brand_Log!R74),Brand_Log!R74,""))</f>
        <v/>
      </c>
      <c r="H1074" s="23" t="str">
        <f aca="false">IF(B1074="","",IF(Brand_Log!S74="","",Brand_Log!S74&amp;""))</f>
        <v/>
      </c>
      <c r="I1074" s="23" t="str">
        <f aca="false">IF(B1074="","",IF(Brand_Log!O74="","",Brand_Log!O74&amp;""))</f>
        <v/>
      </c>
      <c r="J1074" s="23" t="str">
        <f aca="false">IF(B1074="","",IF(Brand_Log!T74="","","before_1500; "&amp;Brand_Log!T74))</f>
        <v/>
      </c>
      <c r="K1074" s="32" t="s">
        <v>1357</v>
      </c>
    </row>
    <row r="1075" customFormat="false" ht="15" hidden="false" customHeight="false" outlineLevel="0" collapsed="false">
      <c r="A1075" s="23" t="str">
        <f aca="false">IF(B1075="","",B1075+(6*1000+74)/10000000)</f>
        <v/>
      </c>
      <c r="B1075" s="35" t="str">
        <f aca="false">IF(AND(Brand_Log!AY75=1,OR(ISNUMBER(Brand_Log!R75),TRIM(Brand_Log!S75)&lt;&gt;"")),Brand_Log!H75,"")</f>
        <v/>
      </c>
      <c r="C1075" s="23" t="str">
        <f aca="false">IF(B1075="","","brand")</f>
        <v/>
      </c>
      <c r="D1075" s="23" t="str">
        <f aca="false">IF(B1075="","",Brand_Log!DV75&amp;"")</f>
        <v/>
      </c>
      <c r="E1075" s="23" t="str">
        <f aca="false">IF(B1075="","",IF(Brand_Log!B75="","",Brand_Log!B75&amp;""))</f>
        <v/>
      </c>
      <c r="F1075" s="23" t="str">
        <f aca="false">IF(B1075="","","budget_probe")</f>
        <v/>
      </c>
      <c r="G1075" s="23" t="str">
        <f aca="false">IF(B1075="","",IF(ISNUMBER(Brand_Log!R75),Brand_Log!R75,""))</f>
        <v/>
      </c>
      <c r="H1075" s="23" t="str">
        <f aca="false">IF(B1075="","",IF(Brand_Log!S75="","",Brand_Log!S75&amp;""))</f>
        <v/>
      </c>
      <c r="I1075" s="23" t="str">
        <f aca="false">IF(B1075="","",IF(Brand_Log!O75="","",Brand_Log!O75&amp;""))</f>
        <v/>
      </c>
      <c r="J1075" s="23" t="str">
        <f aca="false">IF(B1075="","",IF(Brand_Log!T75="","","before_1500; "&amp;Brand_Log!T75))</f>
        <v/>
      </c>
      <c r="K1075" s="32" t="s">
        <v>1357</v>
      </c>
    </row>
    <row r="1076" customFormat="false" ht="15" hidden="false" customHeight="false" outlineLevel="0" collapsed="false">
      <c r="A1076" s="23" t="str">
        <f aca="false">IF(B1076="","",B1076+(6*1000+75)/10000000)</f>
        <v/>
      </c>
      <c r="B1076" s="35" t="str">
        <f aca="false">IF(AND(Brand_Log!AY76=1,OR(ISNUMBER(Brand_Log!R76),TRIM(Brand_Log!S76)&lt;&gt;"")),Brand_Log!H76,"")</f>
        <v/>
      </c>
      <c r="C1076" s="23" t="str">
        <f aca="false">IF(B1076="","","brand")</f>
        <v/>
      </c>
      <c r="D1076" s="23" t="str">
        <f aca="false">IF(B1076="","",Brand_Log!DV76&amp;"")</f>
        <v/>
      </c>
      <c r="E1076" s="23" t="str">
        <f aca="false">IF(B1076="","",IF(Brand_Log!B76="","",Brand_Log!B76&amp;""))</f>
        <v/>
      </c>
      <c r="F1076" s="23" t="str">
        <f aca="false">IF(B1076="","","budget_probe")</f>
        <v/>
      </c>
      <c r="G1076" s="23" t="str">
        <f aca="false">IF(B1076="","",IF(ISNUMBER(Brand_Log!R76),Brand_Log!R76,""))</f>
        <v/>
      </c>
      <c r="H1076" s="23" t="str">
        <f aca="false">IF(B1076="","",IF(Brand_Log!S76="","",Brand_Log!S76&amp;""))</f>
        <v/>
      </c>
      <c r="I1076" s="23" t="str">
        <f aca="false">IF(B1076="","",IF(Brand_Log!O76="","",Brand_Log!O76&amp;""))</f>
        <v/>
      </c>
      <c r="J1076" s="23" t="str">
        <f aca="false">IF(B1076="","",IF(Brand_Log!T76="","","before_1500; "&amp;Brand_Log!T76))</f>
        <v/>
      </c>
      <c r="K1076" s="32" t="s">
        <v>1357</v>
      </c>
    </row>
    <row r="1077" customFormat="false" ht="15" hidden="false" customHeight="false" outlineLevel="0" collapsed="false">
      <c r="A1077" s="23" t="str">
        <f aca="false">IF(B1077="","",B1077+(6*1000+76)/10000000)</f>
        <v/>
      </c>
      <c r="B1077" s="35" t="str">
        <f aca="false">IF(AND(Brand_Log!AY77=1,OR(ISNUMBER(Brand_Log!R77),TRIM(Brand_Log!S77)&lt;&gt;"")),Brand_Log!H77,"")</f>
        <v/>
      </c>
      <c r="C1077" s="23" t="str">
        <f aca="false">IF(B1077="","","brand")</f>
        <v/>
      </c>
      <c r="D1077" s="23" t="str">
        <f aca="false">IF(B1077="","",Brand_Log!DV77&amp;"")</f>
        <v/>
      </c>
      <c r="E1077" s="23" t="str">
        <f aca="false">IF(B1077="","",IF(Brand_Log!B77="","",Brand_Log!B77&amp;""))</f>
        <v/>
      </c>
      <c r="F1077" s="23" t="str">
        <f aca="false">IF(B1077="","","budget_probe")</f>
        <v/>
      </c>
      <c r="G1077" s="23" t="str">
        <f aca="false">IF(B1077="","",IF(ISNUMBER(Brand_Log!R77),Brand_Log!R77,""))</f>
        <v/>
      </c>
      <c r="H1077" s="23" t="str">
        <f aca="false">IF(B1077="","",IF(Brand_Log!S77="","",Brand_Log!S77&amp;""))</f>
        <v/>
      </c>
      <c r="I1077" s="23" t="str">
        <f aca="false">IF(B1077="","",IF(Brand_Log!O77="","",Brand_Log!O77&amp;""))</f>
        <v/>
      </c>
      <c r="J1077" s="23" t="str">
        <f aca="false">IF(B1077="","",IF(Brand_Log!T77="","","before_1500; "&amp;Brand_Log!T77))</f>
        <v/>
      </c>
      <c r="K1077" s="32" t="s">
        <v>1357</v>
      </c>
    </row>
    <row r="1078" customFormat="false" ht="15" hidden="false" customHeight="false" outlineLevel="0" collapsed="false">
      <c r="A1078" s="23" t="str">
        <f aca="false">IF(B1078="","",B1078+(6*1000+77)/10000000)</f>
        <v/>
      </c>
      <c r="B1078" s="35" t="str">
        <f aca="false">IF(AND(Brand_Log!AY78=1,OR(ISNUMBER(Brand_Log!R78),TRIM(Brand_Log!S78)&lt;&gt;"")),Brand_Log!H78,"")</f>
        <v/>
      </c>
      <c r="C1078" s="23" t="str">
        <f aca="false">IF(B1078="","","brand")</f>
        <v/>
      </c>
      <c r="D1078" s="23" t="str">
        <f aca="false">IF(B1078="","",Brand_Log!DV78&amp;"")</f>
        <v/>
      </c>
      <c r="E1078" s="23" t="str">
        <f aca="false">IF(B1078="","",IF(Brand_Log!B78="","",Brand_Log!B78&amp;""))</f>
        <v/>
      </c>
      <c r="F1078" s="23" t="str">
        <f aca="false">IF(B1078="","","budget_probe")</f>
        <v/>
      </c>
      <c r="G1078" s="23" t="str">
        <f aca="false">IF(B1078="","",IF(ISNUMBER(Brand_Log!R78),Brand_Log!R78,""))</f>
        <v/>
      </c>
      <c r="H1078" s="23" t="str">
        <f aca="false">IF(B1078="","",IF(Brand_Log!S78="","",Brand_Log!S78&amp;""))</f>
        <v/>
      </c>
      <c r="I1078" s="23" t="str">
        <f aca="false">IF(B1078="","",IF(Brand_Log!O78="","",Brand_Log!O78&amp;""))</f>
        <v/>
      </c>
      <c r="J1078" s="23" t="str">
        <f aca="false">IF(B1078="","",IF(Brand_Log!T78="","","before_1500; "&amp;Brand_Log!T78))</f>
        <v/>
      </c>
      <c r="K1078" s="32" t="s">
        <v>1357</v>
      </c>
    </row>
    <row r="1079" customFormat="false" ht="15" hidden="false" customHeight="false" outlineLevel="0" collapsed="false">
      <c r="A1079" s="23" t="str">
        <f aca="false">IF(B1079="","",B1079+(6*1000+78)/10000000)</f>
        <v/>
      </c>
      <c r="B1079" s="35" t="str">
        <f aca="false">IF(AND(Brand_Log!AY79=1,OR(ISNUMBER(Brand_Log!R79),TRIM(Brand_Log!S79)&lt;&gt;"")),Brand_Log!H79,"")</f>
        <v/>
      </c>
      <c r="C1079" s="23" t="str">
        <f aca="false">IF(B1079="","","brand")</f>
        <v/>
      </c>
      <c r="D1079" s="23" t="str">
        <f aca="false">IF(B1079="","",Brand_Log!DV79&amp;"")</f>
        <v/>
      </c>
      <c r="E1079" s="23" t="str">
        <f aca="false">IF(B1079="","",IF(Brand_Log!B79="","",Brand_Log!B79&amp;""))</f>
        <v/>
      </c>
      <c r="F1079" s="23" t="str">
        <f aca="false">IF(B1079="","","budget_probe")</f>
        <v/>
      </c>
      <c r="G1079" s="23" t="str">
        <f aca="false">IF(B1079="","",IF(ISNUMBER(Brand_Log!R79),Brand_Log!R79,""))</f>
        <v/>
      </c>
      <c r="H1079" s="23" t="str">
        <f aca="false">IF(B1079="","",IF(Brand_Log!S79="","",Brand_Log!S79&amp;""))</f>
        <v/>
      </c>
      <c r="I1079" s="23" t="str">
        <f aca="false">IF(B1079="","",IF(Brand_Log!O79="","",Brand_Log!O79&amp;""))</f>
        <v/>
      </c>
      <c r="J1079" s="23" t="str">
        <f aca="false">IF(B1079="","",IF(Brand_Log!T79="","","before_1500; "&amp;Brand_Log!T79))</f>
        <v/>
      </c>
      <c r="K1079" s="32" t="s">
        <v>1357</v>
      </c>
    </row>
    <row r="1080" customFormat="false" ht="15" hidden="false" customHeight="false" outlineLevel="0" collapsed="false">
      <c r="A1080" s="23" t="str">
        <f aca="false">IF(B1080="","",B1080+(6*1000+79)/10000000)</f>
        <v/>
      </c>
      <c r="B1080" s="35" t="str">
        <f aca="false">IF(AND(Brand_Log!AY80=1,OR(ISNUMBER(Brand_Log!R80),TRIM(Brand_Log!S80)&lt;&gt;"")),Brand_Log!H80,"")</f>
        <v/>
      </c>
      <c r="C1080" s="23" t="str">
        <f aca="false">IF(B1080="","","brand")</f>
        <v/>
      </c>
      <c r="D1080" s="23" t="str">
        <f aca="false">IF(B1080="","",Brand_Log!DV80&amp;"")</f>
        <v/>
      </c>
      <c r="E1080" s="23" t="str">
        <f aca="false">IF(B1080="","",IF(Brand_Log!B80="","",Brand_Log!B80&amp;""))</f>
        <v/>
      </c>
      <c r="F1080" s="23" t="str">
        <f aca="false">IF(B1080="","","budget_probe")</f>
        <v/>
      </c>
      <c r="G1080" s="23" t="str">
        <f aca="false">IF(B1080="","",IF(ISNUMBER(Brand_Log!R80),Brand_Log!R80,""))</f>
        <v/>
      </c>
      <c r="H1080" s="23" t="str">
        <f aca="false">IF(B1080="","",IF(Brand_Log!S80="","",Brand_Log!S80&amp;""))</f>
        <v/>
      </c>
      <c r="I1080" s="23" t="str">
        <f aca="false">IF(B1080="","",IF(Brand_Log!O80="","",Brand_Log!O80&amp;""))</f>
        <v/>
      </c>
      <c r="J1080" s="23" t="str">
        <f aca="false">IF(B1080="","",IF(Brand_Log!T80="","","before_1500; "&amp;Brand_Log!T80))</f>
        <v/>
      </c>
      <c r="K1080" s="32" t="s">
        <v>1357</v>
      </c>
    </row>
    <row r="1081" customFormat="false" ht="15" hidden="false" customHeight="false" outlineLevel="0" collapsed="false">
      <c r="A1081" s="23" t="str">
        <f aca="false">IF(B1081="","",B1081+(6*1000+80)/10000000)</f>
        <v/>
      </c>
      <c r="B1081" s="35" t="str">
        <f aca="false">IF(AND(Brand_Log!AY81=1,OR(ISNUMBER(Brand_Log!R81),TRIM(Brand_Log!S81)&lt;&gt;"")),Brand_Log!H81,"")</f>
        <v/>
      </c>
      <c r="C1081" s="23" t="str">
        <f aca="false">IF(B1081="","","brand")</f>
        <v/>
      </c>
      <c r="D1081" s="23" t="str">
        <f aca="false">IF(B1081="","",Brand_Log!DV81&amp;"")</f>
        <v/>
      </c>
      <c r="E1081" s="23" t="str">
        <f aca="false">IF(B1081="","",IF(Brand_Log!B81="","",Brand_Log!B81&amp;""))</f>
        <v/>
      </c>
      <c r="F1081" s="23" t="str">
        <f aca="false">IF(B1081="","","budget_probe")</f>
        <v/>
      </c>
      <c r="G1081" s="23" t="str">
        <f aca="false">IF(B1081="","",IF(ISNUMBER(Brand_Log!R81),Brand_Log!R81,""))</f>
        <v/>
      </c>
      <c r="H1081" s="23" t="str">
        <f aca="false">IF(B1081="","",IF(Brand_Log!S81="","",Brand_Log!S81&amp;""))</f>
        <v/>
      </c>
      <c r="I1081" s="23" t="str">
        <f aca="false">IF(B1081="","",IF(Brand_Log!O81="","",Brand_Log!O81&amp;""))</f>
        <v/>
      </c>
      <c r="J1081" s="23" t="str">
        <f aca="false">IF(B1081="","",IF(Brand_Log!T81="","","before_1500; "&amp;Brand_Log!T81))</f>
        <v/>
      </c>
      <c r="K1081" s="32" t="s">
        <v>1357</v>
      </c>
    </row>
    <row r="1082" customFormat="false" ht="15" hidden="false" customHeight="false" outlineLevel="0" collapsed="false">
      <c r="A1082" s="23" t="str">
        <f aca="false">IF(B1082="","",B1082+(6*1000+81)/10000000)</f>
        <v/>
      </c>
      <c r="B1082" s="35" t="str">
        <f aca="false">IF(AND(Brand_Log!AY82=1,OR(ISNUMBER(Brand_Log!R82),TRIM(Brand_Log!S82)&lt;&gt;"")),Brand_Log!H82,"")</f>
        <v/>
      </c>
      <c r="C1082" s="23" t="str">
        <f aca="false">IF(B1082="","","brand")</f>
        <v/>
      </c>
      <c r="D1082" s="23" t="str">
        <f aca="false">IF(B1082="","",Brand_Log!DV82&amp;"")</f>
        <v/>
      </c>
      <c r="E1082" s="23" t="str">
        <f aca="false">IF(B1082="","",IF(Brand_Log!B82="","",Brand_Log!B82&amp;""))</f>
        <v/>
      </c>
      <c r="F1082" s="23" t="str">
        <f aca="false">IF(B1082="","","budget_probe")</f>
        <v/>
      </c>
      <c r="G1082" s="23" t="str">
        <f aca="false">IF(B1082="","",IF(ISNUMBER(Brand_Log!R82),Brand_Log!R82,""))</f>
        <v/>
      </c>
      <c r="H1082" s="23" t="str">
        <f aca="false">IF(B1082="","",IF(Brand_Log!S82="","",Brand_Log!S82&amp;""))</f>
        <v/>
      </c>
      <c r="I1082" s="23" t="str">
        <f aca="false">IF(B1082="","",IF(Brand_Log!O82="","",Brand_Log!O82&amp;""))</f>
        <v/>
      </c>
      <c r="J1082" s="23" t="str">
        <f aca="false">IF(B1082="","",IF(Brand_Log!T82="","","before_1500; "&amp;Brand_Log!T82))</f>
        <v/>
      </c>
      <c r="K1082" s="32" t="s">
        <v>1357</v>
      </c>
    </row>
    <row r="1083" customFormat="false" ht="15" hidden="false" customHeight="false" outlineLevel="0" collapsed="false">
      <c r="A1083" s="23" t="str">
        <f aca="false">IF(B1083="","",B1083+(6*1000+82)/10000000)</f>
        <v/>
      </c>
      <c r="B1083" s="35" t="str">
        <f aca="false">IF(AND(Brand_Log!AY83=1,OR(ISNUMBER(Brand_Log!R83),TRIM(Brand_Log!S83)&lt;&gt;"")),Brand_Log!H83,"")</f>
        <v/>
      </c>
      <c r="C1083" s="23" t="str">
        <f aca="false">IF(B1083="","","brand")</f>
        <v/>
      </c>
      <c r="D1083" s="23" t="str">
        <f aca="false">IF(B1083="","",Brand_Log!DV83&amp;"")</f>
        <v/>
      </c>
      <c r="E1083" s="23" t="str">
        <f aca="false">IF(B1083="","",IF(Brand_Log!B83="","",Brand_Log!B83&amp;""))</f>
        <v/>
      </c>
      <c r="F1083" s="23" t="str">
        <f aca="false">IF(B1083="","","budget_probe")</f>
        <v/>
      </c>
      <c r="G1083" s="23" t="str">
        <f aca="false">IF(B1083="","",IF(ISNUMBER(Brand_Log!R83),Brand_Log!R83,""))</f>
        <v/>
      </c>
      <c r="H1083" s="23" t="str">
        <f aca="false">IF(B1083="","",IF(Brand_Log!S83="","",Brand_Log!S83&amp;""))</f>
        <v/>
      </c>
      <c r="I1083" s="23" t="str">
        <f aca="false">IF(B1083="","",IF(Brand_Log!O83="","",Brand_Log!O83&amp;""))</f>
        <v/>
      </c>
      <c r="J1083" s="23" t="str">
        <f aca="false">IF(B1083="","",IF(Brand_Log!T83="","","before_1500; "&amp;Brand_Log!T83))</f>
        <v/>
      </c>
      <c r="K1083" s="32" t="s">
        <v>1357</v>
      </c>
    </row>
    <row r="1084" customFormat="false" ht="15" hidden="false" customHeight="false" outlineLevel="0" collapsed="false">
      <c r="A1084" s="23" t="str">
        <f aca="false">IF(B1084="","",B1084+(6*1000+83)/10000000)</f>
        <v/>
      </c>
      <c r="B1084" s="35" t="str">
        <f aca="false">IF(AND(Brand_Log!AY84=1,OR(ISNUMBER(Brand_Log!R84),TRIM(Brand_Log!S84)&lt;&gt;"")),Brand_Log!H84,"")</f>
        <v/>
      </c>
      <c r="C1084" s="23" t="str">
        <f aca="false">IF(B1084="","","brand")</f>
        <v/>
      </c>
      <c r="D1084" s="23" t="str">
        <f aca="false">IF(B1084="","",Brand_Log!DV84&amp;"")</f>
        <v/>
      </c>
      <c r="E1084" s="23" t="str">
        <f aca="false">IF(B1084="","",IF(Brand_Log!B84="","",Brand_Log!B84&amp;""))</f>
        <v/>
      </c>
      <c r="F1084" s="23" t="str">
        <f aca="false">IF(B1084="","","budget_probe")</f>
        <v/>
      </c>
      <c r="G1084" s="23" t="str">
        <f aca="false">IF(B1084="","",IF(ISNUMBER(Brand_Log!R84),Brand_Log!R84,""))</f>
        <v/>
      </c>
      <c r="H1084" s="23" t="str">
        <f aca="false">IF(B1084="","",IF(Brand_Log!S84="","",Brand_Log!S84&amp;""))</f>
        <v/>
      </c>
      <c r="I1084" s="23" t="str">
        <f aca="false">IF(B1084="","",IF(Brand_Log!O84="","",Brand_Log!O84&amp;""))</f>
        <v/>
      </c>
      <c r="J1084" s="23" t="str">
        <f aca="false">IF(B1084="","",IF(Brand_Log!T84="","","before_1500; "&amp;Brand_Log!T84))</f>
        <v/>
      </c>
      <c r="K1084" s="32" t="s">
        <v>1357</v>
      </c>
    </row>
    <row r="1085" customFormat="false" ht="15" hidden="false" customHeight="false" outlineLevel="0" collapsed="false">
      <c r="A1085" s="23" t="str">
        <f aca="false">IF(B1085="","",B1085+(6*1000+84)/10000000)</f>
        <v/>
      </c>
      <c r="B1085" s="35" t="str">
        <f aca="false">IF(AND(Brand_Log!AY85=1,OR(ISNUMBER(Brand_Log!R85),TRIM(Brand_Log!S85)&lt;&gt;"")),Brand_Log!H85,"")</f>
        <v/>
      </c>
      <c r="C1085" s="23" t="str">
        <f aca="false">IF(B1085="","","brand")</f>
        <v/>
      </c>
      <c r="D1085" s="23" t="str">
        <f aca="false">IF(B1085="","",Brand_Log!DV85&amp;"")</f>
        <v/>
      </c>
      <c r="E1085" s="23" t="str">
        <f aca="false">IF(B1085="","",IF(Brand_Log!B85="","",Brand_Log!B85&amp;""))</f>
        <v/>
      </c>
      <c r="F1085" s="23" t="str">
        <f aca="false">IF(B1085="","","budget_probe")</f>
        <v/>
      </c>
      <c r="G1085" s="23" t="str">
        <f aca="false">IF(B1085="","",IF(ISNUMBER(Brand_Log!R85),Brand_Log!R85,""))</f>
        <v/>
      </c>
      <c r="H1085" s="23" t="str">
        <f aca="false">IF(B1085="","",IF(Brand_Log!S85="","",Brand_Log!S85&amp;""))</f>
        <v/>
      </c>
      <c r="I1085" s="23" t="str">
        <f aca="false">IF(B1085="","",IF(Brand_Log!O85="","",Brand_Log!O85&amp;""))</f>
        <v/>
      </c>
      <c r="J1085" s="23" t="str">
        <f aca="false">IF(B1085="","",IF(Brand_Log!T85="","","before_1500; "&amp;Brand_Log!T85))</f>
        <v/>
      </c>
      <c r="K1085" s="32" t="s">
        <v>1357</v>
      </c>
    </row>
    <row r="1086" customFormat="false" ht="15" hidden="false" customHeight="false" outlineLevel="0" collapsed="false">
      <c r="A1086" s="23" t="str">
        <f aca="false">IF(B1086="","",B1086+(6*1000+85)/10000000)</f>
        <v/>
      </c>
      <c r="B1086" s="35" t="str">
        <f aca="false">IF(AND(Brand_Log!AY86=1,OR(ISNUMBER(Brand_Log!R86),TRIM(Brand_Log!S86)&lt;&gt;"")),Brand_Log!H86,"")</f>
        <v/>
      </c>
      <c r="C1086" s="23" t="str">
        <f aca="false">IF(B1086="","","brand")</f>
        <v/>
      </c>
      <c r="D1086" s="23" t="str">
        <f aca="false">IF(B1086="","",Brand_Log!DV86&amp;"")</f>
        <v/>
      </c>
      <c r="E1086" s="23" t="str">
        <f aca="false">IF(B1086="","",IF(Brand_Log!B86="","",Brand_Log!B86&amp;""))</f>
        <v/>
      </c>
      <c r="F1086" s="23" t="str">
        <f aca="false">IF(B1086="","","budget_probe")</f>
        <v/>
      </c>
      <c r="G1086" s="23" t="str">
        <f aca="false">IF(B1086="","",IF(ISNUMBER(Brand_Log!R86),Brand_Log!R86,""))</f>
        <v/>
      </c>
      <c r="H1086" s="23" t="str">
        <f aca="false">IF(B1086="","",IF(Brand_Log!S86="","",Brand_Log!S86&amp;""))</f>
        <v/>
      </c>
      <c r="I1086" s="23" t="str">
        <f aca="false">IF(B1086="","",IF(Brand_Log!O86="","",Brand_Log!O86&amp;""))</f>
        <v/>
      </c>
      <c r="J1086" s="23" t="str">
        <f aca="false">IF(B1086="","",IF(Brand_Log!T86="","","before_1500; "&amp;Brand_Log!T86))</f>
        <v/>
      </c>
      <c r="K1086" s="32" t="s">
        <v>1357</v>
      </c>
    </row>
    <row r="1087" customFormat="false" ht="15" hidden="false" customHeight="false" outlineLevel="0" collapsed="false">
      <c r="A1087" s="23" t="str">
        <f aca="false">IF(B1087="","",B1087+(6*1000+86)/10000000)</f>
        <v/>
      </c>
      <c r="B1087" s="35" t="str">
        <f aca="false">IF(AND(Brand_Log!AY87=1,OR(ISNUMBER(Brand_Log!R87),TRIM(Brand_Log!S87)&lt;&gt;"")),Brand_Log!H87,"")</f>
        <v/>
      </c>
      <c r="C1087" s="23" t="str">
        <f aca="false">IF(B1087="","","brand")</f>
        <v/>
      </c>
      <c r="D1087" s="23" t="str">
        <f aca="false">IF(B1087="","",Brand_Log!DV87&amp;"")</f>
        <v/>
      </c>
      <c r="E1087" s="23" t="str">
        <f aca="false">IF(B1087="","",IF(Brand_Log!B87="","",Brand_Log!B87&amp;""))</f>
        <v/>
      </c>
      <c r="F1087" s="23" t="str">
        <f aca="false">IF(B1087="","","budget_probe")</f>
        <v/>
      </c>
      <c r="G1087" s="23" t="str">
        <f aca="false">IF(B1087="","",IF(ISNUMBER(Brand_Log!R87),Brand_Log!R87,""))</f>
        <v/>
      </c>
      <c r="H1087" s="23" t="str">
        <f aca="false">IF(B1087="","",IF(Brand_Log!S87="","",Brand_Log!S87&amp;""))</f>
        <v/>
      </c>
      <c r="I1087" s="23" t="str">
        <f aca="false">IF(B1087="","",IF(Brand_Log!O87="","",Brand_Log!O87&amp;""))</f>
        <v/>
      </c>
      <c r="J1087" s="23" t="str">
        <f aca="false">IF(B1087="","",IF(Brand_Log!T87="","","before_1500; "&amp;Brand_Log!T87))</f>
        <v/>
      </c>
      <c r="K1087" s="32" t="s">
        <v>1357</v>
      </c>
    </row>
    <row r="1088" customFormat="false" ht="15" hidden="false" customHeight="false" outlineLevel="0" collapsed="false">
      <c r="A1088" s="23" t="str">
        <f aca="false">IF(B1088="","",B1088+(6*1000+87)/10000000)</f>
        <v/>
      </c>
      <c r="B1088" s="35" t="str">
        <f aca="false">IF(AND(Brand_Log!AY88=1,OR(ISNUMBER(Brand_Log!R88),TRIM(Brand_Log!S88)&lt;&gt;"")),Brand_Log!H88,"")</f>
        <v/>
      </c>
      <c r="C1088" s="23" t="str">
        <f aca="false">IF(B1088="","","brand")</f>
        <v/>
      </c>
      <c r="D1088" s="23" t="str">
        <f aca="false">IF(B1088="","",Brand_Log!DV88&amp;"")</f>
        <v/>
      </c>
      <c r="E1088" s="23" t="str">
        <f aca="false">IF(B1088="","",IF(Brand_Log!B88="","",Brand_Log!B88&amp;""))</f>
        <v/>
      </c>
      <c r="F1088" s="23" t="str">
        <f aca="false">IF(B1088="","","budget_probe")</f>
        <v/>
      </c>
      <c r="G1088" s="23" t="str">
        <f aca="false">IF(B1088="","",IF(ISNUMBER(Brand_Log!R88),Brand_Log!R88,""))</f>
        <v/>
      </c>
      <c r="H1088" s="23" t="str">
        <f aca="false">IF(B1088="","",IF(Brand_Log!S88="","",Brand_Log!S88&amp;""))</f>
        <v/>
      </c>
      <c r="I1088" s="23" t="str">
        <f aca="false">IF(B1088="","",IF(Brand_Log!O88="","",Brand_Log!O88&amp;""))</f>
        <v/>
      </c>
      <c r="J1088" s="23" t="str">
        <f aca="false">IF(B1088="","",IF(Brand_Log!T88="","","before_1500; "&amp;Brand_Log!T88))</f>
        <v/>
      </c>
      <c r="K1088" s="32" t="s">
        <v>1357</v>
      </c>
    </row>
    <row r="1089" customFormat="false" ht="15" hidden="false" customHeight="false" outlineLevel="0" collapsed="false">
      <c r="A1089" s="23" t="str">
        <f aca="false">IF(B1089="","",B1089+(6*1000+88)/10000000)</f>
        <v/>
      </c>
      <c r="B1089" s="35" t="str">
        <f aca="false">IF(AND(Brand_Log!AY89=1,OR(ISNUMBER(Brand_Log!R89),TRIM(Brand_Log!S89)&lt;&gt;"")),Brand_Log!H89,"")</f>
        <v/>
      </c>
      <c r="C1089" s="23" t="str">
        <f aca="false">IF(B1089="","","brand")</f>
        <v/>
      </c>
      <c r="D1089" s="23" t="str">
        <f aca="false">IF(B1089="","",Brand_Log!DV89&amp;"")</f>
        <v/>
      </c>
      <c r="E1089" s="23" t="str">
        <f aca="false">IF(B1089="","",IF(Brand_Log!B89="","",Brand_Log!B89&amp;""))</f>
        <v/>
      </c>
      <c r="F1089" s="23" t="str">
        <f aca="false">IF(B1089="","","budget_probe")</f>
        <v/>
      </c>
      <c r="G1089" s="23" t="str">
        <f aca="false">IF(B1089="","",IF(ISNUMBER(Brand_Log!R89),Brand_Log!R89,""))</f>
        <v/>
      </c>
      <c r="H1089" s="23" t="str">
        <f aca="false">IF(B1089="","",IF(Brand_Log!S89="","",Brand_Log!S89&amp;""))</f>
        <v/>
      </c>
      <c r="I1089" s="23" t="str">
        <f aca="false">IF(B1089="","",IF(Brand_Log!O89="","",Brand_Log!O89&amp;""))</f>
        <v/>
      </c>
      <c r="J1089" s="23" t="str">
        <f aca="false">IF(B1089="","",IF(Brand_Log!T89="","","before_1500; "&amp;Brand_Log!T89))</f>
        <v/>
      </c>
      <c r="K1089" s="32" t="s">
        <v>1357</v>
      </c>
    </row>
    <row r="1090" customFormat="false" ht="15" hidden="false" customHeight="false" outlineLevel="0" collapsed="false">
      <c r="A1090" s="23" t="str">
        <f aca="false">IF(B1090="","",B1090+(6*1000+89)/10000000)</f>
        <v/>
      </c>
      <c r="B1090" s="35" t="str">
        <f aca="false">IF(AND(Brand_Log!AY90=1,OR(ISNUMBER(Brand_Log!R90),TRIM(Brand_Log!S90)&lt;&gt;"")),Brand_Log!H90,"")</f>
        <v/>
      </c>
      <c r="C1090" s="23" t="str">
        <f aca="false">IF(B1090="","","brand")</f>
        <v/>
      </c>
      <c r="D1090" s="23" t="str">
        <f aca="false">IF(B1090="","",Brand_Log!DV90&amp;"")</f>
        <v/>
      </c>
      <c r="E1090" s="23" t="str">
        <f aca="false">IF(B1090="","",IF(Brand_Log!B90="","",Brand_Log!B90&amp;""))</f>
        <v/>
      </c>
      <c r="F1090" s="23" t="str">
        <f aca="false">IF(B1090="","","budget_probe")</f>
        <v/>
      </c>
      <c r="G1090" s="23" t="str">
        <f aca="false">IF(B1090="","",IF(ISNUMBER(Brand_Log!R90),Brand_Log!R90,""))</f>
        <v/>
      </c>
      <c r="H1090" s="23" t="str">
        <f aca="false">IF(B1090="","",IF(Brand_Log!S90="","",Brand_Log!S90&amp;""))</f>
        <v/>
      </c>
      <c r="I1090" s="23" t="str">
        <f aca="false">IF(B1090="","",IF(Brand_Log!O90="","",Brand_Log!O90&amp;""))</f>
        <v/>
      </c>
      <c r="J1090" s="23" t="str">
        <f aca="false">IF(B1090="","",IF(Brand_Log!T90="","","before_1500; "&amp;Brand_Log!T90))</f>
        <v/>
      </c>
      <c r="K1090" s="32" t="s">
        <v>1357</v>
      </c>
    </row>
    <row r="1091" customFormat="false" ht="15" hidden="false" customHeight="false" outlineLevel="0" collapsed="false">
      <c r="A1091" s="23" t="str">
        <f aca="false">IF(B1091="","",B1091+(6*1000+90)/10000000)</f>
        <v/>
      </c>
      <c r="B1091" s="35" t="str">
        <f aca="false">IF(AND(Brand_Log!AY91=1,OR(ISNUMBER(Brand_Log!R91),TRIM(Brand_Log!S91)&lt;&gt;"")),Brand_Log!H91,"")</f>
        <v/>
      </c>
      <c r="C1091" s="23" t="str">
        <f aca="false">IF(B1091="","","brand")</f>
        <v/>
      </c>
      <c r="D1091" s="23" t="str">
        <f aca="false">IF(B1091="","",Brand_Log!DV91&amp;"")</f>
        <v/>
      </c>
      <c r="E1091" s="23" t="str">
        <f aca="false">IF(B1091="","",IF(Brand_Log!B91="","",Brand_Log!B91&amp;""))</f>
        <v/>
      </c>
      <c r="F1091" s="23" t="str">
        <f aca="false">IF(B1091="","","budget_probe")</f>
        <v/>
      </c>
      <c r="G1091" s="23" t="str">
        <f aca="false">IF(B1091="","",IF(ISNUMBER(Brand_Log!R91),Brand_Log!R91,""))</f>
        <v/>
      </c>
      <c r="H1091" s="23" t="str">
        <f aca="false">IF(B1091="","",IF(Brand_Log!S91="","",Brand_Log!S91&amp;""))</f>
        <v/>
      </c>
      <c r="I1091" s="23" t="str">
        <f aca="false">IF(B1091="","",IF(Brand_Log!O91="","",Brand_Log!O91&amp;""))</f>
        <v/>
      </c>
      <c r="J1091" s="23" t="str">
        <f aca="false">IF(B1091="","",IF(Brand_Log!T91="","","before_1500; "&amp;Brand_Log!T91))</f>
        <v/>
      </c>
      <c r="K1091" s="32" t="s">
        <v>1357</v>
      </c>
    </row>
    <row r="1092" customFormat="false" ht="15" hidden="false" customHeight="false" outlineLevel="0" collapsed="false">
      <c r="A1092" s="23" t="str">
        <f aca="false">IF(B1092="","",B1092+(6*1000+91)/10000000)</f>
        <v/>
      </c>
      <c r="B1092" s="35" t="str">
        <f aca="false">IF(AND(Brand_Log!AY92=1,OR(ISNUMBER(Brand_Log!R92),TRIM(Brand_Log!S92)&lt;&gt;"")),Brand_Log!H92,"")</f>
        <v/>
      </c>
      <c r="C1092" s="23" t="str">
        <f aca="false">IF(B1092="","","brand")</f>
        <v/>
      </c>
      <c r="D1092" s="23" t="str">
        <f aca="false">IF(B1092="","",Brand_Log!DV92&amp;"")</f>
        <v/>
      </c>
      <c r="E1092" s="23" t="str">
        <f aca="false">IF(B1092="","",IF(Brand_Log!B92="","",Brand_Log!B92&amp;""))</f>
        <v/>
      </c>
      <c r="F1092" s="23" t="str">
        <f aca="false">IF(B1092="","","budget_probe")</f>
        <v/>
      </c>
      <c r="G1092" s="23" t="str">
        <f aca="false">IF(B1092="","",IF(ISNUMBER(Brand_Log!R92),Brand_Log!R92,""))</f>
        <v/>
      </c>
      <c r="H1092" s="23" t="str">
        <f aca="false">IF(B1092="","",IF(Brand_Log!S92="","",Brand_Log!S92&amp;""))</f>
        <v/>
      </c>
      <c r="I1092" s="23" t="str">
        <f aca="false">IF(B1092="","",IF(Brand_Log!O92="","",Brand_Log!O92&amp;""))</f>
        <v/>
      </c>
      <c r="J1092" s="23" t="str">
        <f aca="false">IF(B1092="","",IF(Brand_Log!T92="","","before_1500; "&amp;Brand_Log!T92))</f>
        <v/>
      </c>
      <c r="K1092" s="32" t="s">
        <v>1357</v>
      </c>
    </row>
    <row r="1093" customFormat="false" ht="15" hidden="false" customHeight="false" outlineLevel="0" collapsed="false">
      <c r="A1093" s="23" t="str">
        <f aca="false">IF(B1093="","",B1093+(6*1000+92)/10000000)</f>
        <v/>
      </c>
      <c r="B1093" s="35" t="str">
        <f aca="false">IF(AND(Brand_Log!AY93=1,OR(ISNUMBER(Brand_Log!R93),TRIM(Brand_Log!S93)&lt;&gt;"")),Brand_Log!H93,"")</f>
        <v/>
      </c>
      <c r="C1093" s="23" t="str">
        <f aca="false">IF(B1093="","","brand")</f>
        <v/>
      </c>
      <c r="D1093" s="23" t="str">
        <f aca="false">IF(B1093="","",Brand_Log!DV93&amp;"")</f>
        <v/>
      </c>
      <c r="E1093" s="23" t="str">
        <f aca="false">IF(B1093="","",IF(Brand_Log!B93="","",Brand_Log!B93&amp;""))</f>
        <v/>
      </c>
      <c r="F1093" s="23" t="str">
        <f aca="false">IF(B1093="","","budget_probe")</f>
        <v/>
      </c>
      <c r="G1093" s="23" t="str">
        <f aca="false">IF(B1093="","",IF(ISNUMBER(Brand_Log!R93),Brand_Log!R93,""))</f>
        <v/>
      </c>
      <c r="H1093" s="23" t="str">
        <f aca="false">IF(B1093="","",IF(Brand_Log!S93="","",Brand_Log!S93&amp;""))</f>
        <v/>
      </c>
      <c r="I1093" s="23" t="str">
        <f aca="false">IF(B1093="","",IF(Brand_Log!O93="","",Brand_Log!O93&amp;""))</f>
        <v/>
      </c>
      <c r="J1093" s="23" t="str">
        <f aca="false">IF(B1093="","",IF(Brand_Log!T93="","","before_1500; "&amp;Brand_Log!T93))</f>
        <v/>
      </c>
      <c r="K1093" s="32" t="s">
        <v>1357</v>
      </c>
    </row>
    <row r="1094" customFormat="false" ht="15" hidden="false" customHeight="false" outlineLevel="0" collapsed="false">
      <c r="A1094" s="23" t="str">
        <f aca="false">IF(B1094="","",B1094+(6*1000+93)/10000000)</f>
        <v/>
      </c>
      <c r="B1094" s="35" t="str">
        <f aca="false">IF(AND(Brand_Log!AY94=1,OR(ISNUMBER(Brand_Log!R94),TRIM(Brand_Log!S94)&lt;&gt;"")),Brand_Log!H94,"")</f>
        <v/>
      </c>
      <c r="C1094" s="23" t="str">
        <f aca="false">IF(B1094="","","brand")</f>
        <v/>
      </c>
      <c r="D1094" s="23" t="str">
        <f aca="false">IF(B1094="","",Brand_Log!DV94&amp;"")</f>
        <v/>
      </c>
      <c r="E1094" s="23" t="str">
        <f aca="false">IF(B1094="","",IF(Brand_Log!B94="","",Brand_Log!B94&amp;""))</f>
        <v/>
      </c>
      <c r="F1094" s="23" t="str">
        <f aca="false">IF(B1094="","","budget_probe")</f>
        <v/>
      </c>
      <c r="G1094" s="23" t="str">
        <f aca="false">IF(B1094="","",IF(ISNUMBER(Brand_Log!R94),Brand_Log!R94,""))</f>
        <v/>
      </c>
      <c r="H1094" s="23" t="str">
        <f aca="false">IF(B1094="","",IF(Brand_Log!S94="","",Brand_Log!S94&amp;""))</f>
        <v/>
      </c>
      <c r="I1094" s="23" t="str">
        <f aca="false">IF(B1094="","",IF(Brand_Log!O94="","",Brand_Log!O94&amp;""))</f>
        <v/>
      </c>
      <c r="J1094" s="23" t="str">
        <f aca="false">IF(B1094="","",IF(Brand_Log!T94="","","before_1500; "&amp;Brand_Log!T94))</f>
        <v/>
      </c>
      <c r="K1094" s="32" t="s">
        <v>1357</v>
      </c>
    </row>
    <row r="1095" customFormat="false" ht="15" hidden="false" customHeight="false" outlineLevel="0" collapsed="false">
      <c r="A1095" s="23" t="str">
        <f aca="false">IF(B1095="","",B1095+(6*1000+94)/10000000)</f>
        <v/>
      </c>
      <c r="B1095" s="35" t="str">
        <f aca="false">IF(AND(Brand_Log!AY95=1,OR(ISNUMBER(Brand_Log!R95),TRIM(Brand_Log!S95)&lt;&gt;"")),Brand_Log!H95,"")</f>
        <v/>
      </c>
      <c r="C1095" s="23" t="str">
        <f aca="false">IF(B1095="","","brand")</f>
        <v/>
      </c>
      <c r="D1095" s="23" t="str">
        <f aca="false">IF(B1095="","",Brand_Log!DV95&amp;"")</f>
        <v/>
      </c>
      <c r="E1095" s="23" t="str">
        <f aca="false">IF(B1095="","",IF(Brand_Log!B95="","",Brand_Log!B95&amp;""))</f>
        <v/>
      </c>
      <c r="F1095" s="23" t="str">
        <f aca="false">IF(B1095="","","budget_probe")</f>
        <v/>
      </c>
      <c r="G1095" s="23" t="str">
        <f aca="false">IF(B1095="","",IF(ISNUMBER(Brand_Log!R95),Brand_Log!R95,""))</f>
        <v/>
      </c>
      <c r="H1095" s="23" t="str">
        <f aca="false">IF(B1095="","",IF(Brand_Log!S95="","",Brand_Log!S95&amp;""))</f>
        <v/>
      </c>
      <c r="I1095" s="23" t="str">
        <f aca="false">IF(B1095="","",IF(Brand_Log!O95="","",Brand_Log!O95&amp;""))</f>
        <v/>
      </c>
      <c r="J1095" s="23" t="str">
        <f aca="false">IF(B1095="","",IF(Brand_Log!T95="","","before_1500; "&amp;Brand_Log!T95))</f>
        <v/>
      </c>
      <c r="K1095" s="32" t="s">
        <v>1357</v>
      </c>
    </row>
    <row r="1096" customFormat="false" ht="15" hidden="false" customHeight="false" outlineLevel="0" collapsed="false">
      <c r="A1096" s="23" t="str">
        <f aca="false">IF(B1096="","",B1096+(6*1000+95)/10000000)</f>
        <v/>
      </c>
      <c r="B1096" s="35" t="str">
        <f aca="false">IF(AND(Brand_Log!AY96=1,OR(ISNUMBER(Brand_Log!R96),TRIM(Brand_Log!S96)&lt;&gt;"")),Brand_Log!H96,"")</f>
        <v/>
      </c>
      <c r="C1096" s="23" t="str">
        <f aca="false">IF(B1096="","","brand")</f>
        <v/>
      </c>
      <c r="D1096" s="23" t="str">
        <f aca="false">IF(B1096="","",Brand_Log!DV96&amp;"")</f>
        <v/>
      </c>
      <c r="E1096" s="23" t="str">
        <f aca="false">IF(B1096="","",IF(Brand_Log!B96="","",Brand_Log!B96&amp;""))</f>
        <v/>
      </c>
      <c r="F1096" s="23" t="str">
        <f aca="false">IF(B1096="","","budget_probe")</f>
        <v/>
      </c>
      <c r="G1096" s="23" t="str">
        <f aca="false">IF(B1096="","",IF(ISNUMBER(Brand_Log!R96),Brand_Log!R96,""))</f>
        <v/>
      </c>
      <c r="H1096" s="23" t="str">
        <f aca="false">IF(B1096="","",IF(Brand_Log!S96="","",Brand_Log!S96&amp;""))</f>
        <v/>
      </c>
      <c r="I1096" s="23" t="str">
        <f aca="false">IF(B1096="","",IF(Brand_Log!O96="","",Brand_Log!O96&amp;""))</f>
        <v/>
      </c>
      <c r="J1096" s="23" t="str">
        <f aca="false">IF(B1096="","",IF(Brand_Log!T96="","","before_1500; "&amp;Brand_Log!T96))</f>
        <v/>
      </c>
      <c r="K1096" s="32" t="s">
        <v>1357</v>
      </c>
    </row>
    <row r="1097" customFormat="false" ht="15" hidden="false" customHeight="false" outlineLevel="0" collapsed="false">
      <c r="A1097" s="23" t="str">
        <f aca="false">IF(B1097="","",B1097+(6*1000+96)/10000000)</f>
        <v/>
      </c>
      <c r="B1097" s="35" t="str">
        <f aca="false">IF(AND(Brand_Log!AY97=1,OR(ISNUMBER(Brand_Log!R97),TRIM(Brand_Log!S97)&lt;&gt;"")),Brand_Log!H97,"")</f>
        <v/>
      </c>
      <c r="C1097" s="23" t="str">
        <f aca="false">IF(B1097="","","brand")</f>
        <v/>
      </c>
      <c r="D1097" s="23" t="str">
        <f aca="false">IF(B1097="","",Brand_Log!DV97&amp;"")</f>
        <v/>
      </c>
      <c r="E1097" s="23" t="str">
        <f aca="false">IF(B1097="","",IF(Brand_Log!B97="","",Brand_Log!B97&amp;""))</f>
        <v/>
      </c>
      <c r="F1097" s="23" t="str">
        <f aca="false">IF(B1097="","","budget_probe")</f>
        <v/>
      </c>
      <c r="G1097" s="23" t="str">
        <f aca="false">IF(B1097="","",IF(ISNUMBER(Brand_Log!R97),Brand_Log!R97,""))</f>
        <v/>
      </c>
      <c r="H1097" s="23" t="str">
        <f aca="false">IF(B1097="","",IF(Brand_Log!S97="","",Brand_Log!S97&amp;""))</f>
        <v/>
      </c>
      <c r="I1097" s="23" t="str">
        <f aca="false">IF(B1097="","",IF(Brand_Log!O97="","",Brand_Log!O97&amp;""))</f>
        <v/>
      </c>
      <c r="J1097" s="23" t="str">
        <f aca="false">IF(B1097="","",IF(Brand_Log!T97="","","before_1500; "&amp;Brand_Log!T97))</f>
        <v/>
      </c>
      <c r="K1097" s="32" t="s">
        <v>1357</v>
      </c>
    </row>
    <row r="1098" customFormat="false" ht="15" hidden="false" customHeight="false" outlineLevel="0" collapsed="false">
      <c r="A1098" s="23" t="str">
        <f aca="false">IF(B1098="","",B1098+(6*1000+97)/10000000)</f>
        <v/>
      </c>
      <c r="B1098" s="35" t="str">
        <f aca="false">IF(AND(Brand_Log!AY98=1,OR(ISNUMBER(Brand_Log!R98),TRIM(Brand_Log!S98)&lt;&gt;"")),Brand_Log!H98,"")</f>
        <v/>
      </c>
      <c r="C1098" s="23" t="str">
        <f aca="false">IF(B1098="","","brand")</f>
        <v/>
      </c>
      <c r="D1098" s="23" t="str">
        <f aca="false">IF(B1098="","",Brand_Log!DV98&amp;"")</f>
        <v/>
      </c>
      <c r="E1098" s="23" t="str">
        <f aca="false">IF(B1098="","",IF(Brand_Log!B98="","",Brand_Log!B98&amp;""))</f>
        <v/>
      </c>
      <c r="F1098" s="23" t="str">
        <f aca="false">IF(B1098="","","budget_probe")</f>
        <v/>
      </c>
      <c r="G1098" s="23" t="str">
        <f aca="false">IF(B1098="","",IF(ISNUMBER(Brand_Log!R98),Brand_Log!R98,""))</f>
        <v/>
      </c>
      <c r="H1098" s="23" t="str">
        <f aca="false">IF(B1098="","",IF(Brand_Log!S98="","",Brand_Log!S98&amp;""))</f>
        <v/>
      </c>
      <c r="I1098" s="23" t="str">
        <f aca="false">IF(B1098="","",IF(Brand_Log!O98="","",Brand_Log!O98&amp;""))</f>
        <v/>
      </c>
      <c r="J1098" s="23" t="str">
        <f aca="false">IF(B1098="","",IF(Brand_Log!T98="","","before_1500; "&amp;Brand_Log!T98))</f>
        <v/>
      </c>
      <c r="K1098" s="32" t="s">
        <v>1357</v>
      </c>
    </row>
    <row r="1099" customFormat="false" ht="15" hidden="false" customHeight="false" outlineLevel="0" collapsed="false">
      <c r="A1099" s="23" t="str">
        <f aca="false">IF(B1099="","",B1099+(6*1000+98)/10000000)</f>
        <v/>
      </c>
      <c r="B1099" s="35" t="str">
        <f aca="false">IF(AND(Brand_Log!AY99=1,OR(ISNUMBER(Brand_Log!R99),TRIM(Brand_Log!S99)&lt;&gt;"")),Brand_Log!H99,"")</f>
        <v/>
      </c>
      <c r="C1099" s="23" t="str">
        <f aca="false">IF(B1099="","","brand")</f>
        <v/>
      </c>
      <c r="D1099" s="23" t="str">
        <f aca="false">IF(B1099="","",Brand_Log!DV99&amp;"")</f>
        <v/>
      </c>
      <c r="E1099" s="23" t="str">
        <f aca="false">IF(B1099="","",IF(Brand_Log!B99="","",Brand_Log!B99&amp;""))</f>
        <v/>
      </c>
      <c r="F1099" s="23" t="str">
        <f aca="false">IF(B1099="","","budget_probe")</f>
        <v/>
      </c>
      <c r="G1099" s="23" t="str">
        <f aca="false">IF(B1099="","",IF(ISNUMBER(Brand_Log!R99),Brand_Log!R99,""))</f>
        <v/>
      </c>
      <c r="H1099" s="23" t="str">
        <f aca="false">IF(B1099="","",IF(Brand_Log!S99="","",Brand_Log!S99&amp;""))</f>
        <v/>
      </c>
      <c r="I1099" s="23" t="str">
        <f aca="false">IF(B1099="","",IF(Brand_Log!O99="","",Brand_Log!O99&amp;""))</f>
        <v/>
      </c>
      <c r="J1099" s="23" t="str">
        <f aca="false">IF(B1099="","",IF(Brand_Log!T99="","","before_1500; "&amp;Brand_Log!T99))</f>
        <v/>
      </c>
      <c r="K1099" s="32" t="s">
        <v>1357</v>
      </c>
    </row>
    <row r="1100" customFormat="false" ht="15" hidden="false" customHeight="false" outlineLevel="0" collapsed="false">
      <c r="A1100" s="23" t="str">
        <f aca="false">IF(B1100="","",B1100+(6*1000+99)/10000000)</f>
        <v/>
      </c>
      <c r="B1100" s="35" t="str">
        <f aca="false">IF(AND(Brand_Log!AY100=1,OR(ISNUMBER(Brand_Log!R100),TRIM(Brand_Log!S100)&lt;&gt;"")),Brand_Log!H100,"")</f>
        <v/>
      </c>
      <c r="C1100" s="23" t="str">
        <f aca="false">IF(B1100="","","brand")</f>
        <v/>
      </c>
      <c r="D1100" s="23" t="str">
        <f aca="false">IF(B1100="","",Brand_Log!DV100&amp;"")</f>
        <v/>
      </c>
      <c r="E1100" s="23" t="str">
        <f aca="false">IF(B1100="","",IF(Brand_Log!B100="","",Brand_Log!B100&amp;""))</f>
        <v/>
      </c>
      <c r="F1100" s="23" t="str">
        <f aca="false">IF(B1100="","","budget_probe")</f>
        <v/>
      </c>
      <c r="G1100" s="23" t="str">
        <f aca="false">IF(B1100="","",IF(ISNUMBER(Brand_Log!R100),Brand_Log!R100,""))</f>
        <v/>
      </c>
      <c r="H1100" s="23" t="str">
        <f aca="false">IF(B1100="","",IF(Brand_Log!S100="","",Brand_Log!S100&amp;""))</f>
        <v/>
      </c>
      <c r="I1100" s="23" t="str">
        <f aca="false">IF(B1100="","",IF(Brand_Log!O100="","",Brand_Log!O100&amp;""))</f>
        <v/>
      </c>
      <c r="J1100" s="23" t="str">
        <f aca="false">IF(B1100="","",IF(Brand_Log!T100="","","before_1500; "&amp;Brand_Log!T100))</f>
        <v/>
      </c>
      <c r="K1100" s="32" t="s">
        <v>1357</v>
      </c>
    </row>
    <row r="1101" customFormat="false" ht="15" hidden="false" customHeight="false" outlineLevel="0" collapsed="false">
      <c r="A1101" s="23" t="str">
        <f aca="false">IF(B1101="","",B1101+(6*1000+100)/10000000)</f>
        <v/>
      </c>
      <c r="B1101" s="35" t="str">
        <f aca="false">IF(AND(Brand_Log!AY101=1,OR(ISNUMBER(Brand_Log!R101),TRIM(Brand_Log!S101)&lt;&gt;"")),Brand_Log!H101,"")</f>
        <v/>
      </c>
      <c r="C1101" s="23" t="str">
        <f aca="false">IF(B1101="","","brand")</f>
        <v/>
      </c>
      <c r="D1101" s="23" t="str">
        <f aca="false">IF(B1101="","",Brand_Log!DV101&amp;"")</f>
        <v/>
      </c>
      <c r="E1101" s="23" t="str">
        <f aca="false">IF(B1101="","",IF(Brand_Log!B101="","",Brand_Log!B101&amp;""))</f>
        <v/>
      </c>
      <c r="F1101" s="23" t="str">
        <f aca="false">IF(B1101="","","budget_probe")</f>
        <v/>
      </c>
      <c r="G1101" s="23" t="str">
        <f aca="false">IF(B1101="","",IF(ISNUMBER(Brand_Log!R101),Brand_Log!R101,""))</f>
        <v/>
      </c>
      <c r="H1101" s="23" t="str">
        <f aca="false">IF(B1101="","",IF(Brand_Log!S101="","",Brand_Log!S101&amp;""))</f>
        <v/>
      </c>
      <c r="I1101" s="23" t="str">
        <f aca="false">IF(B1101="","",IF(Brand_Log!O101="","",Brand_Log!O101&amp;""))</f>
        <v/>
      </c>
      <c r="J1101" s="23" t="str">
        <f aca="false">IF(B1101="","",IF(Brand_Log!T101="","","before_1500; "&amp;Brand_Log!T101))</f>
        <v/>
      </c>
      <c r="K1101" s="32" t="s">
        <v>1357</v>
      </c>
    </row>
    <row r="1102" customFormat="false" ht="15" hidden="false" customHeight="false" outlineLevel="0" collapsed="false">
      <c r="A1102" s="23" t="str">
        <f aca="false">IF(B1102="","",B1102+(6*1000+101)/10000000)</f>
        <v/>
      </c>
      <c r="B1102" s="35" t="str">
        <f aca="false">IF(AND(Brand_Log!AY102=1,OR(ISNUMBER(Brand_Log!R102),TRIM(Brand_Log!S102)&lt;&gt;"")),Brand_Log!H102,"")</f>
        <v/>
      </c>
      <c r="C1102" s="23" t="str">
        <f aca="false">IF(B1102="","","brand")</f>
        <v/>
      </c>
      <c r="D1102" s="23" t="str">
        <f aca="false">IF(B1102="","",Brand_Log!DV102&amp;"")</f>
        <v/>
      </c>
      <c r="E1102" s="23" t="str">
        <f aca="false">IF(B1102="","",IF(Brand_Log!B102="","",Brand_Log!B102&amp;""))</f>
        <v/>
      </c>
      <c r="F1102" s="23" t="str">
        <f aca="false">IF(B1102="","","budget_probe")</f>
        <v/>
      </c>
      <c r="G1102" s="23" t="str">
        <f aca="false">IF(B1102="","",IF(ISNUMBER(Brand_Log!R102),Brand_Log!R102,""))</f>
        <v/>
      </c>
      <c r="H1102" s="23" t="str">
        <f aca="false">IF(B1102="","",IF(Brand_Log!S102="","",Brand_Log!S102&amp;""))</f>
        <v/>
      </c>
      <c r="I1102" s="23" t="str">
        <f aca="false">IF(B1102="","",IF(Brand_Log!O102="","",Brand_Log!O102&amp;""))</f>
        <v/>
      </c>
      <c r="J1102" s="23" t="str">
        <f aca="false">IF(B1102="","",IF(Brand_Log!T102="","","before_1500; "&amp;Brand_Log!T102))</f>
        <v/>
      </c>
      <c r="K1102" s="32" t="s">
        <v>1357</v>
      </c>
    </row>
    <row r="1103" customFormat="false" ht="15" hidden="false" customHeight="false" outlineLevel="0" collapsed="false">
      <c r="A1103" s="23" t="str">
        <f aca="false">IF(B1103="","",B1103+(6*1000+102)/10000000)</f>
        <v/>
      </c>
      <c r="B1103" s="35" t="str">
        <f aca="false">IF(AND(Brand_Log!AY103=1,OR(ISNUMBER(Brand_Log!R103),TRIM(Brand_Log!S103)&lt;&gt;"")),Brand_Log!H103,"")</f>
        <v/>
      </c>
      <c r="C1103" s="23" t="str">
        <f aca="false">IF(B1103="","","brand")</f>
        <v/>
      </c>
      <c r="D1103" s="23" t="str">
        <f aca="false">IF(B1103="","",Brand_Log!DV103&amp;"")</f>
        <v/>
      </c>
      <c r="E1103" s="23" t="str">
        <f aca="false">IF(B1103="","",IF(Brand_Log!B103="","",Brand_Log!B103&amp;""))</f>
        <v/>
      </c>
      <c r="F1103" s="23" t="str">
        <f aca="false">IF(B1103="","","budget_probe")</f>
        <v/>
      </c>
      <c r="G1103" s="23" t="str">
        <f aca="false">IF(B1103="","",IF(ISNUMBER(Brand_Log!R103),Brand_Log!R103,""))</f>
        <v/>
      </c>
      <c r="H1103" s="23" t="str">
        <f aca="false">IF(B1103="","",IF(Brand_Log!S103="","",Brand_Log!S103&amp;""))</f>
        <v/>
      </c>
      <c r="I1103" s="23" t="str">
        <f aca="false">IF(B1103="","",IF(Brand_Log!O103="","",Brand_Log!O103&amp;""))</f>
        <v/>
      </c>
      <c r="J1103" s="23" t="str">
        <f aca="false">IF(B1103="","",IF(Brand_Log!T103="","","before_1500; "&amp;Brand_Log!T103))</f>
        <v/>
      </c>
      <c r="K1103" s="32" t="s">
        <v>1357</v>
      </c>
    </row>
    <row r="1104" customFormat="false" ht="15" hidden="false" customHeight="false" outlineLevel="0" collapsed="false">
      <c r="A1104" s="23" t="str">
        <f aca="false">IF(B1104="","",B1104+(6*1000+103)/10000000)</f>
        <v/>
      </c>
      <c r="B1104" s="35" t="str">
        <f aca="false">IF(AND(Brand_Log!AY104=1,OR(ISNUMBER(Brand_Log!R104),TRIM(Brand_Log!S104)&lt;&gt;"")),Brand_Log!H104,"")</f>
        <v/>
      </c>
      <c r="C1104" s="23" t="str">
        <f aca="false">IF(B1104="","","brand")</f>
        <v/>
      </c>
      <c r="D1104" s="23" t="str">
        <f aca="false">IF(B1104="","",Brand_Log!DV104&amp;"")</f>
        <v/>
      </c>
      <c r="E1104" s="23" t="str">
        <f aca="false">IF(B1104="","",IF(Brand_Log!B104="","",Brand_Log!B104&amp;""))</f>
        <v/>
      </c>
      <c r="F1104" s="23" t="str">
        <f aca="false">IF(B1104="","","budget_probe")</f>
        <v/>
      </c>
      <c r="G1104" s="23" t="str">
        <f aca="false">IF(B1104="","",IF(ISNUMBER(Brand_Log!R104),Brand_Log!R104,""))</f>
        <v/>
      </c>
      <c r="H1104" s="23" t="str">
        <f aca="false">IF(B1104="","",IF(Brand_Log!S104="","",Brand_Log!S104&amp;""))</f>
        <v/>
      </c>
      <c r="I1104" s="23" t="str">
        <f aca="false">IF(B1104="","",IF(Brand_Log!O104="","",Brand_Log!O104&amp;""))</f>
        <v/>
      </c>
      <c r="J1104" s="23" t="str">
        <f aca="false">IF(B1104="","",IF(Brand_Log!T104="","","before_1500; "&amp;Brand_Log!T104))</f>
        <v/>
      </c>
      <c r="K1104" s="32" t="s">
        <v>1357</v>
      </c>
    </row>
    <row r="1105" customFormat="false" ht="15" hidden="false" customHeight="false" outlineLevel="0" collapsed="false">
      <c r="A1105" s="23" t="str">
        <f aca="false">IF(B1105="","",B1105+(6*1000+104)/10000000)</f>
        <v/>
      </c>
      <c r="B1105" s="35" t="str">
        <f aca="false">IF(AND(Brand_Log!AY105=1,OR(ISNUMBER(Brand_Log!R105),TRIM(Brand_Log!S105)&lt;&gt;"")),Brand_Log!H105,"")</f>
        <v/>
      </c>
      <c r="C1105" s="23" t="str">
        <f aca="false">IF(B1105="","","brand")</f>
        <v/>
      </c>
      <c r="D1105" s="23" t="str">
        <f aca="false">IF(B1105="","",Brand_Log!DV105&amp;"")</f>
        <v/>
      </c>
      <c r="E1105" s="23" t="str">
        <f aca="false">IF(B1105="","",IF(Brand_Log!B105="","",Brand_Log!B105&amp;""))</f>
        <v/>
      </c>
      <c r="F1105" s="23" t="str">
        <f aca="false">IF(B1105="","","budget_probe")</f>
        <v/>
      </c>
      <c r="G1105" s="23" t="str">
        <f aca="false">IF(B1105="","",IF(ISNUMBER(Brand_Log!R105),Brand_Log!R105,""))</f>
        <v/>
      </c>
      <c r="H1105" s="23" t="str">
        <f aca="false">IF(B1105="","",IF(Brand_Log!S105="","",Brand_Log!S105&amp;""))</f>
        <v/>
      </c>
      <c r="I1105" s="23" t="str">
        <f aca="false">IF(B1105="","",IF(Brand_Log!O105="","",Brand_Log!O105&amp;""))</f>
        <v/>
      </c>
      <c r="J1105" s="23" t="str">
        <f aca="false">IF(B1105="","",IF(Brand_Log!T105="","","before_1500; "&amp;Brand_Log!T105))</f>
        <v/>
      </c>
      <c r="K1105" s="32" t="s">
        <v>1357</v>
      </c>
    </row>
    <row r="1106" customFormat="false" ht="15" hidden="false" customHeight="false" outlineLevel="0" collapsed="false">
      <c r="A1106" s="23" t="str">
        <f aca="false">IF(B1106="","",B1106+(6*1000+105)/10000000)</f>
        <v/>
      </c>
      <c r="B1106" s="35" t="str">
        <f aca="false">IF(AND(Brand_Log!AY106=1,OR(ISNUMBER(Brand_Log!R106),TRIM(Brand_Log!S106)&lt;&gt;"")),Brand_Log!H106,"")</f>
        <v/>
      </c>
      <c r="C1106" s="23" t="str">
        <f aca="false">IF(B1106="","","brand")</f>
        <v/>
      </c>
      <c r="D1106" s="23" t="str">
        <f aca="false">IF(B1106="","",Brand_Log!DV106&amp;"")</f>
        <v/>
      </c>
      <c r="E1106" s="23" t="str">
        <f aca="false">IF(B1106="","",IF(Brand_Log!B106="","",Brand_Log!B106&amp;""))</f>
        <v/>
      </c>
      <c r="F1106" s="23" t="str">
        <f aca="false">IF(B1106="","","budget_probe")</f>
        <v/>
      </c>
      <c r="G1106" s="23" t="str">
        <f aca="false">IF(B1106="","",IF(ISNUMBER(Brand_Log!R106),Brand_Log!R106,""))</f>
        <v/>
      </c>
      <c r="H1106" s="23" t="str">
        <f aca="false">IF(B1106="","",IF(Brand_Log!S106="","",Brand_Log!S106&amp;""))</f>
        <v/>
      </c>
      <c r="I1106" s="23" t="str">
        <f aca="false">IF(B1106="","",IF(Brand_Log!O106="","",Brand_Log!O106&amp;""))</f>
        <v/>
      </c>
      <c r="J1106" s="23" t="str">
        <f aca="false">IF(B1106="","",IF(Brand_Log!T106="","","before_1500; "&amp;Brand_Log!T106))</f>
        <v/>
      </c>
      <c r="K1106" s="32" t="s">
        <v>1357</v>
      </c>
    </row>
    <row r="1107" customFormat="false" ht="15" hidden="false" customHeight="false" outlineLevel="0" collapsed="false">
      <c r="A1107" s="23" t="str">
        <f aca="false">IF(B1107="","",B1107+(6*1000+106)/10000000)</f>
        <v/>
      </c>
      <c r="B1107" s="35" t="str">
        <f aca="false">IF(AND(Brand_Log!AY107=1,OR(ISNUMBER(Brand_Log!R107),TRIM(Brand_Log!S107)&lt;&gt;"")),Brand_Log!H107,"")</f>
        <v/>
      </c>
      <c r="C1107" s="23" t="str">
        <f aca="false">IF(B1107="","","brand")</f>
        <v/>
      </c>
      <c r="D1107" s="23" t="str">
        <f aca="false">IF(B1107="","",Brand_Log!DV107&amp;"")</f>
        <v/>
      </c>
      <c r="E1107" s="23" t="str">
        <f aca="false">IF(B1107="","",IF(Brand_Log!B107="","",Brand_Log!B107&amp;""))</f>
        <v/>
      </c>
      <c r="F1107" s="23" t="str">
        <f aca="false">IF(B1107="","","budget_probe")</f>
        <v/>
      </c>
      <c r="G1107" s="23" t="str">
        <f aca="false">IF(B1107="","",IF(ISNUMBER(Brand_Log!R107),Brand_Log!R107,""))</f>
        <v/>
      </c>
      <c r="H1107" s="23" t="str">
        <f aca="false">IF(B1107="","",IF(Brand_Log!S107="","",Brand_Log!S107&amp;""))</f>
        <v/>
      </c>
      <c r="I1107" s="23" t="str">
        <f aca="false">IF(B1107="","",IF(Brand_Log!O107="","",Brand_Log!O107&amp;""))</f>
        <v/>
      </c>
      <c r="J1107" s="23" t="str">
        <f aca="false">IF(B1107="","",IF(Brand_Log!T107="","","before_1500; "&amp;Brand_Log!T107))</f>
        <v/>
      </c>
      <c r="K1107" s="32" t="s">
        <v>1357</v>
      </c>
    </row>
    <row r="1108" customFormat="false" ht="15" hidden="false" customHeight="false" outlineLevel="0" collapsed="false">
      <c r="A1108" s="23" t="str">
        <f aca="false">IF(B1108="","",B1108+(6*1000+107)/10000000)</f>
        <v/>
      </c>
      <c r="B1108" s="35" t="str">
        <f aca="false">IF(AND(Brand_Log!AY108=1,OR(ISNUMBER(Brand_Log!R108),TRIM(Brand_Log!S108)&lt;&gt;"")),Brand_Log!H108,"")</f>
        <v/>
      </c>
      <c r="C1108" s="23" t="str">
        <f aca="false">IF(B1108="","","brand")</f>
        <v/>
      </c>
      <c r="D1108" s="23" t="str">
        <f aca="false">IF(B1108="","",Brand_Log!DV108&amp;"")</f>
        <v/>
      </c>
      <c r="E1108" s="23" t="str">
        <f aca="false">IF(B1108="","",IF(Brand_Log!B108="","",Brand_Log!B108&amp;""))</f>
        <v/>
      </c>
      <c r="F1108" s="23" t="str">
        <f aca="false">IF(B1108="","","budget_probe")</f>
        <v/>
      </c>
      <c r="G1108" s="23" t="str">
        <f aca="false">IF(B1108="","",IF(ISNUMBER(Brand_Log!R108),Brand_Log!R108,""))</f>
        <v/>
      </c>
      <c r="H1108" s="23" t="str">
        <f aca="false">IF(B1108="","",IF(Brand_Log!S108="","",Brand_Log!S108&amp;""))</f>
        <v/>
      </c>
      <c r="I1108" s="23" t="str">
        <f aca="false">IF(B1108="","",IF(Brand_Log!O108="","",Brand_Log!O108&amp;""))</f>
        <v/>
      </c>
      <c r="J1108" s="23" t="str">
        <f aca="false">IF(B1108="","",IF(Brand_Log!T108="","","before_1500; "&amp;Brand_Log!T108))</f>
        <v/>
      </c>
      <c r="K1108" s="32" t="s">
        <v>1357</v>
      </c>
    </row>
    <row r="1109" customFormat="false" ht="15" hidden="false" customHeight="false" outlineLevel="0" collapsed="false">
      <c r="A1109" s="23" t="str">
        <f aca="false">IF(B1109="","",B1109+(6*1000+108)/10000000)</f>
        <v/>
      </c>
      <c r="B1109" s="35" t="str">
        <f aca="false">IF(AND(Brand_Log!AY109=1,OR(ISNUMBER(Brand_Log!R109),TRIM(Brand_Log!S109)&lt;&gt;"")),Brand_Log!H109,"")</f>
        <v/>
      </c>
      <c r="C1109" s="23" t="str">
        <f aca="false">IF(B1109="","","brand")</f>
        <v/>
      </c>
      <c r="D1109" s="23" t="str">
        <f aca="false">IF(B1109="","",Brand_Log!DV109&amp;"")</f>
        <v/>
      </c>
      <c r="E1109" s="23" t="str">
        <f aca="false">IF(B1109="","",IF(Brand_Log!B109="","",Brand_Log!B109&amp;""))</f>
        <v/>
      </c>
      <c r="F1109" s="23" t="str">
        <f aca="false">IF(B1109="","","budget_probe")</f>
        <v/>
      </c>
      <c r="G1109" s="23" t="str">
        <f aca="false">IF(B1109="","",IF(ISNUMBER(Brand_Log!R109),Brand_Log!R109,""))</f>
        <v/>
      </c>
      <c r="H1109" s="23" t="str">
        <f aca="false">IF(B1109="","",IF(Brand_Log!S109="","",Brand_Log!S109&amp;""))</f>
        <v/>
      </c>
      <c r="I1109" s="23" t="str">
        <f aca="false">IF(B1109="","",IF(Brand_Log!O109="","",Brand_Log!O109&amp;""))</f>
        <v/>
      </c>
      <c r="J1109" s="23" t="str">
        <f aca="false">IF(B1109="","",IF(Brand_Log!T109="","","before_1500; "&amp;Brand_Log!T109))</f>
        <v/>
      </c>
      <c r="K1109" s="32" t="s">
        <v>1357</v>
      </c>
    </row>
    <row r="1110" customFormat="false" ht="15" hidden="false" customHeight="false" outlineLevel="0" collapsed="false">
      <c r="A1110" s="23" t="str">
        <f aca="false">IF(B1110="","",B1110+(6*1000+109)/10000000)</f>
        <v/>
      </c>
      <c r="B1110" s="35" t="str">
        <f aca="false">IF(AND(Brand_Log!AY110=1,OR(ISNUMBER(Brand_Log!R110),TRIM(Brand_Log!S110)&lt;&gt;"")),Brand_Log!H110,"")</f>
        <v/>
      </c>
      <c r="C1110" s="23" t="str">
        <f aca="false">IF(B1110="","","brand")</f>
        <v/>
      </c>
      <c r="D1110" s="23" t="str">
        <f aca="false">IF(B1110="","",Brand_Log!DV110&amp;"")</f>
        <v/>
      </c>
      <c r="E1110" s="23" t="str">
        <f aca="false">IF(B1110="","",IF(Brand_Log!B110="","",Brand_Log!B110&amp;""))</f>
        <v/>
      </c>
      <c r="F1110" s="23" t="str">
        <f aca="false">IF(B1110="","","budget_probe")</f>
        <v/>
      </c>
      <c r="G1110" s="23" t="str">
        <f aca="false">IF(B1110="","",IF(ISNUMBER(Brand_Log!R110),Brand_Log!R110,""))</f>
        <v/>
      </c>
      <c r="H1110" s="23" t="str">
        <f aca="false">IF(B1110="","",IF(Brand_Log!S110="","",Brand_Log!S110&amp;""))</f>
        <v/>
      </c>
      <c r="I1110" s="23" t="str">
        <f aca="false">IF(B1110="","",IF(Brand_Log!O110="","",Brand_Log!O110&amp;""))</f>
        <v/>
      </c>
      <c r="J1110" s="23" t="str">
        <f aca="false">IF(B1110="","",IF(Brand_Log!T110="","","before_1500; "&amp;Brand_Log!T110))</f>
        <v/>
      </c>
      <c r="K1110" s="32" t="s">
        <v>1357</v>
      </c>
    </row>
    <row r="1111" customFormat="false" ht="15" hidden="false" customHeight="false" outlineLevel="0" collapsed="false">
      <c r="A1111" s="23" t="str">
        <f aca="false">IF(B1111="","",B1111+(6*1000+110)/10000000)</f>
        <v/>
      </c>
      <c r="B1111" s="35" t="str">
        <f aca="false">IF(AND(Brand_Log!AY111=1,OR(ISNUMBER(Brand_Log!R111),TRIM(Brand_Log!S111)&lt;&gt;"")),Brand_Log!H111,"")</f>
        <v/>
      </c>
      <c r="C1111" s="23" t="str">
        <f aca="false">IF(B1111="","","brand")</f>
        <v/>
      </c>
      <c r="D1111" s="23" t="str">
        <f aca="false">IF(B1111="","",Brand_Log!DV111&amp;"")</f>
        <v/>
      </c>
      <c r="E1111" s="23" t="str">
        <f aca="false">IF(B1111="","",IF(Brand_Log!B111="","",Brand_Log!B111&amp;""))</f>
        <v/>
      </c>
      <c r="F1111" s="23" t="str">
        <f aca="false">IF(B1111="","","budget_probe")</f>
        <v/>
      </c>
      <c r="G1111" s="23" t="str">
        <f aca="false">IF(B1111="","",IF(ISNUMBER(Brand_Log!R111),Brand_Log!R111,""))</f>
        <v/>
      </c>
      <c r="H1111" s="23" t="str">
        <f aca="false">IF(B1111="","",IF(Brand_Log!S111="","",Brand_Log!S111&amp;""))</f>
        <v/>
      </c>
      <c r="I1111" s="23" t="str">
        <f aca="false">IF(B1111="","",IF(Brand_Log!O111="","",Brand_Log!O111&amp;""))</f>
        <v/>
      </c>
      <c r="J1111" s="23" t="str">
        <f aca="false">IF(B1111="","",IF(Brand_Log!T111="","","before_1500; "&amp;Brand_Log!T111))</f>
        <v/>
      </c>
      <c r="K1111" s="32" t="s">
        <v>1357</v>
      </c>
    </row>
    <row r="1112" customFormat="false" ht="15" hidden="false" customHeight="false" outlineLevel="0" collapsed="false">
      <c r="A1112" s="23" t="str">
        <f aca="false">IF(B1112="","",B1112+(6*1000+111)/10000000)</f>
        <v/>
      </c>
      <c r="B1112" s="35" t="str">
        <f aca="false">IF(AND(Brand_Log!AY112=1,OR(ISNUMBER(Brand_Log!R112),TRIM(Brand_Log!S112)&lt;&gt;"")),Brand_Log!H112,"")</f>
        <v/>
      </c>
      <c r="C1112" s="23" t="str">
        <f aca="false">IF(B1112="","","brand")</f>
        <v/>
      </c>
      <c r="D1112" s="23" t="str">
        <f aca="false">IF(B1112="","",Brand_Log!DV112&amp;"")</f>
        <v/>
      </c>
      <c r="E1112" s="23" t="str">
        <f aca="false">IF(B1112="","",IF(Brand_Log!B112="","",Brand_Log!B112&amp;""))</f>
        <v/>
      </c>
      <c r="F1112" s="23" t="str">
        <f aca="false">IF(B1112="","","budget_probe")</f>
        <v/>
      </c>
      <c r="G1112" s="23" t="str">
        <f aca="false">IF(B1112="","",IF(ISNUMBER(Brand_Log!R112),Brand_Log!R112,""))</f>
        <v/>
      </c>
      <c r="H1112" s="23" t="str">
        <f aca="false">IF(B1112="","",IF(Brand_Log!S112="","",Brand_Log!S112&amp;""))</f>
        <v/>
      </c>
      <c r="I1112" s="23" t="str">
        <f aca="false">IF(B1112="","",IF(Brand_Log!O112="","",Brand_Log!O112&amp;""))</f>
        <v/>
      </c>
      <c r="J1112" s="23" t="str">
        <f aca="false">IF(B1112="","",IF(Brand_Log!T112="","","before_1500; "&amp;Brand_Log!T112))</f>
        <v/>
      </c>
      <c r="K1112" s="32" t="s">
        <v>1357</v>
      </c>
    </row>
    <row r="1113" customFormat="false" ht="15" hidden="false" customHeight="false" outlineLevel="0" collapsed="false">
      <c r="A1113" s="23" t="str">
        <f aca="false">IF(B1113="","",B1113+(6*1000+112)/10000000)</f>
        <v/>
      </c>
      <c r="B1113" s="35" t="str">
        <f aca="false">IF(AND(Brand_Log!AY113=1,OR(ISNUMBER(Brand_Log!R113),TRIM(Brand_Log!S113)&lt;&gt;"")),Brand_Log!H113,"")</f>
        <v/>
      </c>
      <c r="C1113" s="23" t="str">
        <f aca="false">IF(B1113="","","brand")</f>
        <v/>
      </c>
      <c r="D1113" s="23" t="str">
        <f aca="false">IF(B1113="","",Brand_Log!DV113&amp;"")</f>
        <v/>
      </c>
      <c r="E1113" s="23" t="str">
        <f aca="false">IF(B1113="","",IF(Brand_Log!B113="","",Brand_Log!B113&amp;""))</f>
        <v/>
      </c>
      <c r="F1113" s="23" t="str">
        <f aca="false">IF(B1113="","","budget_probe")</f>
        <v/>
      </c>
      <c r="G1113" s="23" t="str">
        <f aca="false">IF(B1113="","",IF(ISNUMBER(Brand_Log!R113),Brand_Log!R113,""))</f>
        <v/>
      </c>
      <c r="H1113" s="23" t="str">
        <f aca="false">IF(B1113="","",IF(Brand_Log!S113="","",Brand_Log!S113&amp;""))</f>
        <v/>
      </c>
      <c r="I1113" s="23" t="str">
        <f aca="false">IF(B1113="","",IF(Brand_Log!O113="","",Brand_Log!O113&amp;""))</f>
        <v/>
      </c>
      <c r="J1113" s="23" t="str">
        <f aca="false">IF(B1113="","",IF(Brand_Log!T113="","","before_1500; "&amp;Brand_Log!T113))</f>
        <v/>
      </c>
      <c r="K1113" s="32" t="s">
        <v>1357</v>
      </c>
    </row>
    <row r="1114" customFormat="false" ht="15" hidden="false" customHeight="false" outlineLevel="0" collapsed="false">
      <c r="A1114" s="23" t="str">
        <f aca="false">IF(B1114="","",B1114+(6*1000+113)/10000000)</f>
        <v/>
      </c>
      <c r="B1114" s="35" t="str">
        <f aca="false">IF(AND(Brand_Log!AY114=1,OR(ISNUMBER(Brand_Log!R114),TRIM(Brand_Log!S114)&lt;&gt;"")),Brand_Log!H114,"")</f>
        <v/>
      </c>
      <c r="C1114" s="23" t="str">
        <f aca="false">IF(B1114="","","brand")</f>
        <v/>
      </c>
      <c r="D1114" s="23" t="str">
        <f aca="false">IF(B1114="","",Brand_Log!DV114&amp;"")</f>
        <v/>
      </c>
      <c r="E1114" s="23" t="str">
        <f aca="false">IF(B1114="","",IF(Brand_Log!B114="","",Brand_Log!B114&amp;""))</f>
        <v/>
      </c>
      <c r="F1114" s="23" t="str">
        <f aca="false">IF(B1114="","","budget_probe")</f>
        <v/>
      </c>
      <c r="G1114" s="23" t="str">
        <f aca="false">IF(B1114="","",IF(ISNUMBER(Brand_Log!R114),Brand_Log!R114,""))</f>
        <v/>
      </c>
      <c r="H1114" s="23" t="str">
        <f aca="false">IF(B1114="","",IF(Brand_Log!S114="","",Brand_Log!S114&amp;""))</f>
        <v/>
      </c>
      <c r="I1114" s="23" t="str">
        <f aca="false">IF(B1114="","",IF(Brand_Log!O114="","",Brand_Log!O114&amp;""))</f>
        <v/>
      </c>
      <c r="J1114" s="23" t="str">
        <f aca="false">IF(B1114="","",IF(Brand_Log!T114="","","before_1500; "&amp;Brand_Log!T114))</f>
        <v/>
      </c>
      <c r="K1114" s="32" t="s">
        <v>1357</v>
      </c>
    </row>
    <row r="1115" customFormat="false" ht="15" hidden="false" customHeight="false" outlineLevel="0" collapsed="false">
      <c r="A1115" s="23" t="str">
        <f aca="false">IF(B1115="","",B1115+(6*1000+114)/10000000)</f>
        <v/>
      </c>
      <c r="B1115" s="35" t="str">
        <f aca="false">IF(AND(Brand_Log!AY115=1,OR(ISNUMBER(Brand_Log!R115),TRIM(Brand_Log!S115)&lt;&gt;"")),Brand_Log!H115,"")</f>
        <v/>
      </c>
      <c r="C1115" s="23" t="str">
        <f aca="false">IF(B1115="","","brand")</f>
        <v/>
      </c>
      <c r="D1115" s="23" t="str">
        <f aca="false">IF(B1115="","",Brand_Log!DV115&amp;"")</f>
        <v/>
      </c>
      <c r="E1115" s="23" t="str">
        <f aca="false">IF(B1115="","",IF(Brand_Log!B115="","",Brand_Log!B115&amp;""))</f>
        <v/>
      </c>
      <c r="F1115" s="23" t="str">
        <f aca="false">IF(B1115="","","budget_probe")</f>
        <v/>
      </c>
      <c r="G1115" s="23" t="str">
        <f aca="false">IF(B1115="","",IF(ISNUMBER(Brand_Log!R115),Brand_Log!R115,""))</f>
        <v/>
      </c>
      <c r="H1115" s="23" t="str">
        <f aca="false">IF(B1115="","",IF(Brand_Log!S115="","",Brand_Log!S115&amp;""))</f>
        <v/>
      </c>
      <c r="I1115" s="23" t="str">
        <f aca="false">IF(B1115="","",IF(Brand_Log!O115="","",Brand_Log!O115&amp;""))</f>
        <v/>
      </c>
      <c r="J1115" s="23" t="str">
        <f aca="false">IF(B1115="","",IF(Brand_Log!T115="","","before_1500; "&amp;Brand_Log!T115))</f>
        <v/>
      </c>
      <c r="K1115" s="32" t="s">
        <v>1357</v>
      </c>
    </row>
    <row r="1116" customFormat="false" ht="15" hidden="false" customHeight="false" outlineLevel="0" collapsed="false">
      <c r="A1116" s="23" t="str">
        <f aca="false">IF(B1116="","",B1116+(6*1000+115)/10000000)</f>
        <v/>
      </c>
      <c r="B1116" s="35" t="str">
        <f aca="false">IF(AND(Brand_Log!AY116=1,OR(ISNUMBER(Brand_Log!R116),TRIM(Brand_Log!S116)&lt;&gt;"")),Brand_Log!H116,"")</f>
        <v/>
      </c>
      <c r="C1116" s="23" t="str">
        <f aca="false">IF(B1116="","","brand")</f>
        <v/>
      </c>
      <c r="D1116" s="23" t="str">
        <f aca="false">IF(B1116="","",Brand_Log!DV116&amp;"")</f>
        <v/>
      </c>
      <c r="E1116" s="23" t="str">
        <f aca="false">IF(B1116="","",IF(Brand_Log!B116="","",Brand_Log!B116&amp;""))</f>
        <v/>
      </c>
      <c r="F1116" s="23" t="str">
        <f aca="false">IF(B1116="","","budget_probe")</f>
        <v/>
      </c>
      <c r="G1116" s="23" t="str">
        <f aca="false">IF(B1116="","",IF(ISNUMBER(Brand_Log!R116),Brand_Log!R116,""))</f>
        <v/>
      </c>
      <c r="H1116" s="23" t="str">
        <f aca="false">IF(B1116="","",IF(Brand_Log!S116="","",Brand_Log!S116&amp;""))</f>
        <v/>
      </c>
      <c r="I1116" s="23" t="str">
        <f aca="false">IF(B1116="","",IF(Brand_Log!O116="","",Brand_Log!O116&amp;""))</f>
        <v/>
      </c>
      <c r="J1116" s="23" t="str">
        <f aca="false">IF(B1116="","",IF(Brand_Log!T116="","","before_1500; "&amp;Brand_Log!T116))</f>
        <v/>
      </c>
      <c r="K1116" s="32" t="s">
        <v>1357</v>
      </c>
    </row>
    <row r="1117" customFormat="false" ht="15" hidden="false" customHeight="false" outlineLevel="0" collapsed="false">
      <c r="A1117" s="23" t="str">
        <f aca="false">IF(B1117="","",B1117+(6*1000+116)/10000000)</f>
        <v/>
      </c>
      <c r="B1117" s="35" t="str">
        <f aca="false">IF(AND(Brand_Log!AY117=1,OR(ISNUMBER(Brand_Log!R117),TRIM(Brand_Log!S117)&lt;&gt;"")),Brand_Log!H117,"")</f>
        <v/>
      </c>
      <c r="C1117" s="23" t="str">
        <f aca="false">IF(B1117="","","brand")</f>
        <v/>
      </c>
      <c r="D1117" s="23" t="str">
        <f aca="false">IF(B1117="","",Brand_Log!DV117&amp;"")</f>
        <v/>
      </c>
      <c r="E1117" s="23" t="str">
        <f aca="false">IF(B1117="","",IF(Brand_Log!B117="","",Brand_Log!B117&amp;""))</f>
        <v/>
      </c>
      <c r="F1117" s="23" t="str">
        <f aca="false">IF(B1117="","","budget_probe")</f>
        <v/>
      </c>
      <c r="G1117" s="23" t="str">
        <f aca="false">IF(B1117="","",IF(ISNUMBER(Brand_Log!R117),Brand_Log!R117,""))</f>
        <v/>
      </c>
      <c r="H1117" s="23" t="str">
        <f aca="false">IF(B1117="","",IF(Brand_Log!S117="","",Brand_Log!S117&amp;""))</f>
        <v/>
      </c>
      <c r="I1117" s="23" t="str">
        <f aca="false">IF(B1117="","",IF(Brand_Log!O117="","",Brand_Log!O117&amp;""))</f>
        <v/>
      </c>
      <c r="J1117" s="23" t="str">
        <f aca="false">IF(B1117="","",IF(Brand_Log!T117="","","before_1500; "&amp;Brand_Log!T117))</f>
        <v/>
      </c>
      <c r="K1117" s="32" t="s">
        <v>1357</v>
      </c>
    </row>
    <row r="1118" customFormat="false" ht="15" hidden="false" customHeight="false" outlineLevel="0" collapsed="false">
      <c r="A1118" s="23" t="str">
        <f aca="false">IF(B1118="","",B1118+(6*1000+117)/10000000)</f>
        <v/>
      </c>
      <c r="B1118" s="35" t="str">
        <f aca="false">IF(AND(Brand_Log!AY118=1,OR(ISNUMBER(Brand_Log!R118),TRIM(Brand_Log!S118)&lt;&gt;"")),Brand_Log!H118,"")</f>
        <v/>
      </c>
      <c r="C1118" s="23" t="str">
        <f aca="false">IF(B1118="","","brand")</f>
        <v/>
      </c>
      <c r="D1118" s="23" t="str">
        <f aca="false">IF(B1118="","",Brand_Log!DV118&amp;"")</f>
        <v/>
      </c>
      <c r="E1118" s="23" t="str">
        <f aca="false">IF(B1118="","",IF(Brand_Log!B118="","",Brand_Log!B118&amp;""))</f>
        <v/>
      </c>
      <c r="F1118" s="23" t="str">
        <f aca="false">IF(B1118="","","budget_probe")</f>
        <v/>
      </c>
      <c r="G1118" s="23" t="str">
        <f aca="false">IF(B1118="","",IF(ISNUMBER(Brand_Log!R118),Brand_Log!R118,""))</f>
        <v/>
      </c>
      <c r="H1118" s="23" t="str">
        <f aca="false">IF(B1118="","",IF(Brand_Log!S118="","",Brand_Log!S118&amp;""))</f>
        <v/>
      </c>
      <c r="I1118" s="23" t="str">
        <f aca="false">IF(B1118="","",IF(Brand_Log!O118="","",Brand_Log!O118&amp;""))</f>
        <v/>
      </c>
      <c r="J1118" s="23" t="str">
        <f aca="false">IF(B1118="","",IF(Brand_Log!T118="","","before_1500; "&amp;Brand_Log!T118))</f>
        <v/>
      </c>
      <c r="K1118" s="32" t="s">
        <v>1357</v>
      </c>
    </row>
    <row r="1119" customFormat="false" ht="15" hidden="false" customHeight="false" outlineLevel="0" collapsed="false">
      <c r="A1119" s="23" t="str">
        <f aca="false">IF(B1119="","",B1119+(6*1000+118)/10000000)</f>
        <v/>
      </c>
      <c r="B1119" s="35" t="str">
        <f aca="false">IF(AND(Brand_Log!AY119=1,OR(ISNUMBER(Brand_Log!R119),TRIM(Brand_Log!S119)&lt;&gt;"")),Brand_Log!H119,"")</f>
        <v/>
      </c>
      <c r="C1119" s="23" t="str">
        <f aca="false">IF(B1119="","","brand")</f>
        <v/>
      </c>
      <c r="D1119" s="23" t="str">
        <f aca="false">IF(B1119="","",Brand_Log!DV119&amp;"")</f>
        <v/>
      </c>
      <c r="E1119" s="23" t="str">
        <f aca="false">IF(B1119="","",IF(Brand_Log!B119="","",Brand_Log!B119&amp;""))</f>
        <v/>
      </c>
      <c r="F1119" s="23" t="str">
        <f aca="false">IF(B1119="","","budget_probe")</f>
        <v/>
      </c>
      <c r="G1119" s="23" t="str">
        <f aca="false">IF(B1119="","",IF(ISNUMBER(Brand_Log!R119),Brand_Log!R119,""))</f>
        <v/>
      </c>
      <c r="H1119" s="23" t="str">
        <f aca="false">IF(B1119="","",IF(Brand_Log!S119="","",Brand_Log!S119&amp;""))</f>
        <v/>
      </c>
      <c r="I1119" s="23" t="str">
        <f aca="false">IF(B1119="","",IF(Brand_Log!O119="","",Brand_Log!O119&amp;""))</f>
        <v/>
      </c>
      <c r="J1119" s="23" t="str">
        <f aca="false">IF(B1119="","",IF(Brand_Log!T119="","","before_1500; "&amp;Brand_Log!T119))</f>
        <v/>
      </c>
      <c r="K1119" s="32" t="s">
        <v>1357</v>
      </c>
    </row>
    <row r="1120" customFormat="false" ht="15" hidden="false" customHeight="false" outlineLevel="0" collapsed="false">
      <c r="A1120" s="23" t="str">
        <f aca="false">IF(B1120="","",B1120+(6*1000+119)/10000000)</f>
        <v/>
      </c>
      <c r="B1120" s="35" t="str">
        <f aca="false">IF(AND(Brand_Log!AY120=1,OR(ISNUMBER(Brand_Log!R120),TRIM(Brand_Log!S120)&lt;&gt;"")),Brand_Log!H120,"")</f>
        <v/>
      </c>
      <c r="C1120" s="23" t="str">
        <f aca="false">IF(B1120="","","brand")</f>
        <v/>
      </c>
      <c r="D1120" s="23" t="str">
        <f aca="false">IF(B1120="","",Brand_Log!DV120&amp;"")</f>
        <v/>
      </c>
      <c r="E1120" s="23" t="str">
        <f aca="false">IF(B1120="","",IF(Brand_Log!B120="","",Brand_Log!B120&amp;""))</f>
        <v/>
      </c>
      <c r="F1120" s="23" t="str">
        <f aca="false">IF(B1120="","","budget_probe")</f>
        <v/>
      </c>
      <c r="G1120" s="23" t="str">
        <f aca="false">IF(B1120="","",IF(ISNUMBER(Brand_Log!R120),Brand_Log!R120,""))</f>
        <v/>
      </c>
      <c r="H1120" s="23" t="str">
        <f aca="false">IF(B1120="","",IF(Brand_Log!S120="","",Brand_Log!S120&amp;""))</f>
        <v/>
      </c>
      <c r="I1120" s="23" t="str">
        <f aca="false">IF(B1120="","",IF(Brand_Log!O120="","",Brand_Log!O120&amp;""))</f>
        <v/>
      </c>
      <c r="J1120" s="23" t="str">
        <f aca="false">IF(B1120="","",IF(Brand_Log!T120="","","before_1500; "&amp;Brand_Log!T120))</f>
        <v/>
      </c>
      <c r="K1120" s="32" t="s">
        <v>1357</v>
      </c>
    </row>
    <row r="1121" customFormat="false" ht="15" hidden="false" customHeight="false" outlineLevel="0" collapsed="false">
      <c r="A1121" s="23" t="str">
        <f aca="false">IF(B1121="","",B1121+(6*1000+120)/10000000)</f>
        <v/>
      </c>
      <c r="B1121" s="35" t="str">
        <f aca="false">IF(AND(Brand_Log!AY121=1,OR(ISNUMBER(Brand_Log!R121),TRIM(Brand_Log!S121)&lt;&gt;"")),Brand_Log!H121,"")</f>
        <v/>
      </c>
      <c r="C1121" s="23" t="str">
        <f aca="false">IF(B1121="","","brand")</f>
        <v/>
      </c>
      <c r="D1121" s="23" t="str">
        <f aca="false">IF(B1121="","",Brand_Log!DV121&amp;"")</f>
        <v/>
      </c>
      <c r="E1121" s="23" t="str">
        <f aca="false">IF(B1121="","",IF(Brand_Log!B121="","",Brand_Log!B121&amp;""))</f>
        <v/>
      </c>
      <c r="F1121" s="23" t="str">
        <f aca="false">IF(B1121="","","budget_probe")</f>
        <v/>
      </c>
      <c r="G1121" s="23" t="str">
        <f aca="false">IF(B1121="","",IF(ISNUMBER(Brand_Log!R121),Brand_Log!R121,""))</f>
        <v/>
      </c>
      <c r="H1121" s="23" t="str">
        <f aca="false">IF(B1121="","",IF(Brand_Log!S121="","",Brand_Log!S121&amp;""))</f>
        <v/>
      </c>
      <c r="I1121" s="23" t="str">
        <f aca="false">IF(B1121="","",IF(Brand_Log!O121="","",Brand_Log!O121&amp;""))</f>
        <v/>
      </c>
      <c r="J1121" s="23" t="str">
        <f aca="false">IF(B1121="","",IF(Brand_Log!T121="","","before_1500; "&amp;Brand_Log!T121))</f>
        <v/>
      </c>
      <c r="K1121" s="32" t="s">
        <v>1357</v>
      </c>
    </row>
    <row r="1122" customFormat="false" ht="15" hidden="false" customHeight="false" outlineLevel="0" collapsed="false">
      <c r="A1122" s="23" t="str">
        <f aca="false">IF(B1122="","",B1122+(6*1000+121)/10000000)</f>
        <v/>
      </c>
      <c r="B1122" s="35" t="str">
        <f aca="false">IF(AND(Brand_Log!AY122=1,OR(ISNUMBER(Brand_Log!R122),TRIM(Brand_Log!S122)&lt;&gt;"")),Brand_Log!H122,"")</f>
        <v/>
      </c>
      <c r="C1122" s="23" t="str">
        <f aca="false">IF(B1122="","","brand")</f>
        <v/>
      </c>
      <c r="D1122" s="23" t="str">
        <f aca="false">IF(B1122="","",Brand_Log!DV122&amp;"")</f>
        <v/>
      </c>
      <c r="E1122" s="23" t="str">
        <f aca="false">IF(B1122="","",IF(Brand_Log!B122="","",Brand_Log!B122&amp;""))</f>
        <v/>
      </c>
      <c r="F1122" s="23" t="str">
        <f aca="false">IF(B1122="","","budget_probe")</f>
        <v/>
      </c>
      <c r="G1122" s="23" t="str">
        <f aca="false">IF(B1122="","",IF(ISNUMBER(Brand_Log!R122),Brand_Log!R122,""))</f>
        <v/>
      </c>
      <c r="H1122" s="23" t="str">
        <f aca="false">IF(B1122="","",IF(Brand_Log!S122="","",Brand_Log!S122&amp;""))</f>
        <v/>
      </c>
      <c r="I1122" s="23" t="str">
        <f aca="false">IF(B1122="","",IF(Brand_Log!O122="","",Brand_Log!O122&amp;""))</f>
        <v/>
      </c>
      <c r="J1122" s="23" t="str">
        <f aca="false">IF(B1122="","",IF(Brand_Log!T122="","","before_1500; "&amp;Brand_Log!T122))</f>
        <v/>
      </c>
      <c r="K1122" s="32" t="s">
        <v>1357</v>
      </c>
    </row>
    <row r="1123" customFormat="false" ht="15" hidden="false" customHeight="false" outlineLevel="0" collapsed="false">
      <c r="A1123" s="23" t="str">
        <f aca="false">IF(B1123="","",B1123+(6*1000+122)/10000000)</f>
        <v/>
      </c>
      <c r="B1123" s="35" t="str">
        <f aca="false">IF(AND(Brand_Log!AY123=1,OR(ISNUMBER(Brand_Log!R123),TRIM(Brand_Log!S123)&lt;&gt;"")),Brand_Log!H123,"")</f>
        <v/>
      </c>
      <c r="C1123" s="23" t="str">
        <f aca="false">IF(B1123="","","brand")</f>
        <v/>
      </c>
      <c r="D1123" s="23" t="str">
        <f aca="false">IF(B1123="","",Brand_Log!DV123&amp;"")</f>
        <v/>
      </c>
      <c r="E1123" s="23" t="str">
        <f aca="false">IF(B1123="","",IF(Brand_Log!B123="","",Brand_Log!B123&amp;""))</f>
        <v/>
      </c>
      <c r="F1123" s="23" t="str">
        <f aca="false">IF(B1123="","","budget_probe")</f>
        <v/>
      </c>
      <c r="G1123" s="23" t="str">
        <f aca="false">IF(B1123="","",IF(ISNUMBER(Brand_Log!R123),Brand_Log!R123,""))</f>
        <v/>
      </c>
      <c r="H1123" s="23" t="str">
        <f aca="false">IF(B1123="","",IF(Brand_Log!S123="","",Brand_Log!S123&amp;""))</f>
        <v/>
      </c>
      <c r="I1123" s="23" t="str">
        <f aca="false">IF(B1123="","",IF(Brand_Log!O123="","",Brand_Log!O123&amp;""))</f>
        <v/>
      </c>
      <c r="J1123" s="23" t="str">
        <f aca="false">IF(B1123="","",IF(Brand_Log!T123="","","before_1500; "&amp;Brand_Log!T123))</f>
        <v/>
      </c>
      <c r="K1123" s="32" t="s">
        <v>1357</v>
      </c>
    </row>
    <row r="1124" customFormat="false" ht="15" hidden="false" customHeight="false" outlineLevel="0" collapsed="false">
      <c r="A1124" s="23" t="str">
        <f aca="false">IF(B1124="","",B1124+(6*1000+123)/10000000)</f>
        <v/>
      </c>
      <c r="B1124" s="35" t="str">
        <f aca="false">IF(AND(Brand_Log!AY124=1,OR(ISNUMBER(Brand_Log!R124),TRIM(Brand_Log!S124)&lt;&gt;"")),Brand_Log!H124,"")</f>
        <v/>
      </c>
      <c r="C1124" s="23" t="str">
        <f aca="false">IF(B1124="","","brand")</f>
        <v/>
      </c>
      <c r="D1124" s="23" t="str">
        <f aca="false">IF(B1124="","",Brand_Log!DV124&amp;"")</f>
        <v/>
      </c>
      <c r="E1124" s="23" t="str">
        <f aca="false">IF(B1124="","",IF(Brand_Log!B124="","",Brand_Log!B124&amp;""))</f>
        <v/>
      </c>
      <c r="F1124" s="23" t="str">
        <f aca="false">IF(B1124="","","budget_probe")</f>
        <v/>
      </c>
      <c r="G1124" s="23" t="str">
        <f aca="false">IF(B1124="","",IF(ISNUMBER(Brand_Log!R124),Brand_Log!R124,""))</f>
        <v/>
      </c>
      <c r="H1124" s="23" t="str">
        <f aca="false">IF(B1124="","",IF(Brand_Log!S124="","",Brand_Log!S124&amp;""))</f>
        <v/>
      </c>
      <c r="I1124" s="23" t="str">
        <f aca="false">IF(B1124="","",IF(Brand_Log!O124="","",Brand_Log!O124&amp;""))</f>
        <v/>
      </c>
      <c r="J1124" s="23" t="str">
        <f aca="false">IF(B1124="","",IF(Brand_Log!T124="","","before_1500; "&amp;Brand_Log!T124))</f>
        <v/>
      </c>
      <c r="K1124" s="32" t="s">
        <v>1357</v>
      </c>
    </row>
    <row r="1125" customFormat="false" ht="15" hidden="false" customHeight="false" outlineLevel="0" collapsed="false">
      <c r="A1125" s="23" t="str">
        <f aca="false">IF(B1125="","",B1125+(6*1000+124)/10000000)</f>
        <v/>
      </c>
      <c r="B1125" s="35" t="str">
        <f aca="false">IF(AND(Brand_Log!AY125=1,OR(ISNUMBER(Brand_Log!R125),TRIM(Brand_Log!S125)&lt;&gt;"")),Brand_Log!H125,"")</f>
        <v/>
      </c>
      <c r="C1125" s="23" t="str">
        <f aca="false">IF(B1125="","","brand")</f>
        <v/>
      </c>
      <c r="D1125" s="23" t="str">
        <f aca="false">IF(B1125="","",Brand_Log!DV125&amp;"")</f>
        <v/>
      </c>
      <c r="E1125" s="23" t="str">
        <f aca="false">IF(B1125="","",IF(Brand_Log!B125="","",Brand_Log!B125&amp;""))</f>
        <v/>
      </c>
      <c r="F1125" s="23" t="str">
        <f aca="false">IF(B1125="","","budget_probe")</f>
        <v/>
      </c>
      <c r="G1125" s="23" t="str">
        <f aca="false">IF(B1125="","",IF(ISNUMBER(Brand_Log!R125),Brand_Log!R125,""))</f>
        <v/>
      </c>
      <c r="H1125" s="23" t="str">
        <f aca="false">IF(B1125="","",IF(Brand_Log!S125="","",Brand_Log!S125&amp;""))</f>
        <v/>
      </c>
      <c r="I1125" s="23" t="str">
        <f aca="false">IF(B1125="","",IF(Brand_Log!O125="","",Brand_Log!O125&amp;""))</f>
        <v/>
      </c>
      <c r="J1125" s="23" t="str">
        <f aca="false">IF(B1125="","",IF(Brand_Log!T125="","","before_1500; "&amp;Brand_Log!T125))</f>
        <v/>
      </c>
      <c r="K1125" s="32" t="s">
        <v>1357</v>
      </c>
    </row>
    <row r="1126" customFormat="false" ht="15" hidden="false" customHeight="false" outlineLevel="0" collapsed="false">
      <c r="A1126" s="23" t="str">
        <f aca="false">IF(B1126="","",B1126+(6*1000+125)/10000000)</f>
        <v/>
      </c>
      <c r="B1126" s="35" t="str">
        <f aca="false">IF(AND(Brand_Log!AY126=1,OR(ISNUMBER(Brand_Log!R126),TRIM(Brand_Log!S126)&lt;&gt;"")),Brand_Log!H126,"")</f>
        <v/>
      </c>
      <c r="C1126" s="23" t="str">
        <f aca="false">IF(B1126="","","brand")</f>
        <v/>
      </c>
      <c r="D1126" s="23" t="str">
        <f aca="false">IF(B1126="","",Brand_Log!DV126&amp;"")</f>
        <v/>
      </c>
      <c r="E1126" s="23" t="str">
        <f aca="false">IF(B1126="","",IF(Brand_Log!B126="","",Brand_Log!B126&amp;""))</f>
        <v/>
      </c>
      <c r="F1126" s="23" t="str">
        <f aca="false">IF(B1126="","","budget_probe")</f>
        <v/>
      </c>
      <c r="G1126" s="23" t="str">
        <f aca="false">IF(B1126="","",IF(ISNUMBER(Brand_Log!R126),Brand_Log!R126,""))</f>
        <v/>
      </c>
      <c r="H1126" s="23" t="str">
        <f aca="false">IF(B1126="","",IF(Brand_Log!S126="","",Brand_Log!S126&amp;""))</f>
        <v/>
      </c>
      <c r="I1126" s="23" t="str">
        <f aca="false">IF(B1126="","",IF(Brand_Log!O126="","",Brand_Log!O126&amp;""))</f>
        <v/>
      </c>
      <c r="J1126" s="23" t="str">
        <f aca="false">IF(B1126="","",IF(Brand_Log!T126="","","before_1500; "&amp;Brand_Log!T126))</f>
        <v/>
      </c>
      <c r="K1126" s="32" t="s">
        <v>1357</v>
      </c>
    </row>
    <row r="1127" customFormat="false" ht="15" hidden="false" customHeight="false" outlineLevel="0" collapsed="false">
      <c r="A1127" s="23" t="str">
        <f aca="false">IF(B1127="","",B1127+(6*1000+126)/10000000)</f>
        <v/>
      </c>
      <c r="B1127" s="35" t="str">
        <f aca="false">IF(AND(Brand_Log!AY127=1,OR(ISNUMBER(Brand_Log!R127),TRIM(Brand_Log!S127)&lt;&gt;"")),Brand_Log!H127,"")</f>
        <v/>
      </c>
      <c r="C1127" s="23" t="str">
        <f aca="false">IF(B1127="","","brand")</f>
        <v/>
      </c>
      <c r="D1127" s="23" t="str">
        <f aca="false">IF(B1127="","",Brand_Log!DV127&amp;"")</f>
        <v/>
      </c>
      <c r="E1127" s="23" t="str">
        <f aca="false">IF(B1127="","",IF(Brand_Log!B127="","",Brand_Log!B127&amp;""))</f>
        <v/>
      </c>
      <c r="F1127" s="23" t="str">
        <f aca="false">IF(B1127="","","budget_probe")</f>
        <v/>
      </c>
      <c r="G1127" s="23" t="str">
        <f aca="false">IF(B1127="","",IF(ISNUMBER(Brand_Log!R127),Brand_Log!R127,""))</f>
        <v/>
      </c>
      <c r="H1127" s="23" t="str">
        <f aca="false">IF(B1127="","",IF(Brand_Log!S127="","",Brand_Log!S127&amp;""))</f>
        <v/>
      </c>
      <c r="I1127" s="23" t="str">
        <f aca="false">IF(B1127="","",IF(Brand_Log!O127="","",Brand_Log!O127&amp;""))</f>
        <v/>
      </c>
      <c r="J1127" s="23" t="str">
        <f aca="false">IF(B1127="","",IF(Brand_Log!T127="","","before_1500; "&amp;Brand_Log!T127))</f>
        <v/>
      </c>
      <c r="K1127" s="32" t="s">
        <v>1357</v>
      </c>
    </row>
    <row r="1128" customFormat="false" ht="15" hidden="false" customHeight="false" outlineLevel="0" collapsed="false">
      <c r="A1128" s="23" t="str">
        <f aca="false">IF(B1128="","",B1128+(6*1000+127)/10000000)</f>
        <v/>
      </c>
      <c r="B1128" s="35" t="str">
        <f aca="false">IF(AND(Brand_Log!AY128=1,OR(ISNUMBER(Brand_Log!R128),TRIM(Brand_Log!S128)&lt;&gt;"")),Brand_Log!H128,"")</f>
        <v/>
      </c>
      <c r="C1128" s="23" t="str">
        <f aca="false">IF(B1128="","","brand")</f>
        <v/>
      </c>
      <c r="D1128" s="23" t="str">
        <f aca="false">IF(B1128="","",Brand_Log!DV128&amp;"")</f>
        <v/>
      </c>
      <c r="E1128" s="23" t="str">
        <f aca="false">IF(B1128="","",IF(Brand_Log!B128="","",Brand_Log!B128&amp;""))</f>
        <v/>
      </c>
      <c r="F1128" s="23" t="str">
        <f aca="false">IF(B1128="","","budget_probe")</f>
        <v/>
      </c>
      <c r="G1128" s="23" t="str">
        <f aca="false">IF(B1128="","",IF(ISNUMBER(Brand_Log!R128),Brand_Log!R128,""))</f>
        <v/>
      </c>
      <c r="H1128" s="23" t="str">
        <f aca="false">IF(B1128="","",IF(Brand_Log!S128="","",Brand_Log!S128&amp;""))</f>
        <v/>
      </c>
      <c r="I1128" s="23" t="str">
        <f aca="false">IF(B1128="","",IF(Brand_Log!O128="","",Brand_Log!O128&amp;""))</f>
        <v/>
      </c>
      <c r="J1128" s="23" t="str">
        <f aca="false">IF(B1128="","",IF(Brand_Log!T128="","","before_1500; "&amp;Brand_Log!T128))</f>
        <v/>
      </c>
      <c r="K1128" s="32" t="s">
        <v>1357</v>
      </c>
    </row>
    <row r="1129" customFormat="false" ht="15" hidden="false" customHeight="false" outlineLevel="0" collapsed="false">
      <c r="A1129" s="23" t="str">
        <f aca="false">IF(B1129="","",B1129+(6*1000+128)/10000000)</f>
        <v/>
      </c>
      <c r="B1129" s="35" t="str">
        <f aca="false">IF(AND(Brand_Log!AY129=1,OR(ISNUMBER(Brand_Log!R129),TRIM(Brand_Log!S129)&lt;&gt;"")),Brand_Log!H129,"")</f>
        <v/>
      </c>
      <c r="C1129" s="23" t="str">
        <f aca="false">IF(B1129="","","brand")</f>
        <v/>
      </c>
      <c r="D1129" s="23" t="str">
        <f aca="false">IF(B1129="","",Brand_Log!DV129&amp;"")</f>
        <v/>
      </c>
      <c r="E1129" s="23" t="str">
        <f aca="false">IF(B1129="","",IF(Brand_Log!B129="","",Brand_Log!B129&amp;""))</f>
        <v/>
      </c>
      <c r="F1129" s="23" t="str">
        <f aca="false">IF(B1129="","","budget_probe")</f>
        <v/>
      </c>
      <c r="G1129" s="23" t="str">
        <f aca="false">IF(B1129="","",IF(ISNUMBER(Brand_Log!R129),Brand_Log!R129,""))</f>
        <v/>
      </c>
      <c r="H1129" s="23" t="str">
        <f aca="false">IF(B1129="","",IF(Brand_Log!S129="","",Brand_Log!S129&amp;""))</f>
        <v/>
      </c>
      <c r="I1129" s="23" t="str">
        <f aca="false">IF(B1129="","",IF(Brand_Log!O129="","",Brand_Log!O129&amp;""))</f>
        <v/>
      </c>
      <c r="J1129" s="23" t="str">
        <f aca="false">IF(B1129="","",IF(Brand_Log!T129="","","before_1500; "&amp;Brand_Log!T129))</f>
        <v/>
      </c>
      <c r="K1129" s="32" t="s">
        <v>1357</v>
      </c>
    </row>
    <row r="1130" customFormat="false" ht="15" hidden="false" customHeight="false" outlineLevel="0" collapsed="false">
      <c r="A1130" s="23" t="str">
        <f aca="false">IF(B1130="","",B1130+(6*1000+129)/10000000)</f>
        <v/>
      </c>
      <c r="B1130" s="35" t="str">
        <f aca="false">IF(AND(Brand_Log!AY130=1,OR(ISNUMBER(Brand_Log!R130),TRIM(Brand_Log!S130)&lt;&gt;"")),Brand_Log!H130,"")</f>
        <v/>
      </c>
      <c r="C1130" s="23" t="str">
        <f aca="false">IF(B1130="","","brand")</f>
        <v/>
      </c>
      <c r="D1130" s="23" t="str">
        <f aca="false">IF(B1130="","",Brand_Log!DV130&amp;"")</f>
        <v/>
      </c>
      <c r="E1130" s="23" t="str">
        <f aca="false">IF(B1130="","",IF(Brand_Log!B130="","",Brand_Log!B130&amp;""))</f>
        <v/>
      </c>
      <c r="F1130" s="23" t="str">
        <f aca="false">IF(B1130="","","budget_probe")</f>
        <v/>
      </c>
      <c r="G1130" s="23" t="str">
        <f aca="false">IF(B1130="","",IF(ISNUMBER(Brand_Log!R130),Brand_Log!R130,""))</f>
        <v/>
      </c>
      <c r="H1130" s="23" t="str">
        <f aca="false">IF(B1130="","",IF(Brand_Log!S130="","",Brand_Log!S130&amp;""))</f>
        <v/>
      </c>
      <c r="I1130" s="23" t="str">
        <f aca="false">IF(B1130="","",IF(Brand_Log!O130="","",Brand_Log!O130&amp;""))</f>
        <v/>
      </c>
      <c r="J1130" s="23" t="str">
        <f aca="false">IF(B1130="","",IF(Brand_Log!T130="","","before_1500; "&amp;Brand_Log!T130))</f>
        <v/>
      </c>
      <c r="K1130" s="32" t="s">
        <v>1357</v>
      </c>
    </row>
    <row r="1131" customFormat="false" ht="15" hidden="false" customHeight="false" outlineLevel="0" collapsed="false">
      <c r="A1131" s="23" t="str">
        <f aca="false">IF(B1131="","",B1131+(6*1000+130)/10000000)</f>
        <v/>
      </c>
      <c r="B1131" s="35" t="str">
        <f aca="false">IF(AND(Brand_Log!AY131=1,OR(ISNUMBER(Brand_Log!R131),TRIM(Brand_Log!S131)&lt;&gt;"")),Brand_Log!H131,"")</f>
        <v/>
      </c>
      <c r="C1131" s="23" t="str">
        <f aca="false">IF(B1131="","","brand")</f>
        <v/>
      </c>
      <c r="D1131" s="23" t="str">
        <f aca="false">IF(B1131="","",Brand_Log!DV131&amp;"")</f>
        <v/>
      </c>
      <c r="E1131" s="23" t="str">
        <f aca="false">IF(B1131="","",IF(Brand_Log!B131="","",Brand_Log!B131&amp;""))</f>
        <v/>
      </c>
      <c r="F1131" s="23" t="str">
        <f aca="false">IF(B1131="","","budget_probe")</f>
        <v/>
      </c>
      <c r="G1131" s="23" t="str">
        <f aca="false">IF(B1131="","",IF(ISNUMBER(Brand_Log!R131),Brand_Log!R131,""))</f>
        <v/>
      </c>
      <c r="H1131" s="23" t="str">
        <f aca="false">IF(B1131="","",IF(Brand_Log!S131="","",Brand_Log!S131&amp;""))</f>
        <v/>
      </c>
      <c r="I1131" s="23" t="str">
        <f aca="false">IF(B1131="","",IF(Brand_Log!O131="","",Brand_Log!O131&amp;""))</f>
        <v/>
      </c>
      <c r="J1131" s="23" t="str">
        <f aca="false">IF(B1131="","",IF(Brand_Log!T131="","","before_1500; "&amp;Brand_Log!T131))</f>
        <v/>
      </c>
      <c r="K1131" s="32" t="s">
        <v>1357</v>
      </c>
    </row>
    <row r="1132" customFormat="false" ht="15" hidden="false" customHeight="false" outlineLevel="0" collapsed="false">
      <c r="A1132" s="23" t="str">
        <f aca="false">IF(B1132="","",B1132+(6*1000+131)/10000000)</f>
        <v/>
      </c>
      <c r="B1132" s="35" t="str">
        <f aca="false">IF(AND(Brand_Log!AY132=1,OR(ISNUMBER(Brand_Log!R132),TRIM(Brand_Log!S132)&lt;&gt;"")),Brand_Log!H132,"")</f>
        <v/>
      </c>
      <c r="C1132" s="23" t="str">
        <f aca="false">IF(B1132="","","brand")</f>
        <v/>
      </c>
      <c r="D1132" s="23" t="str">
        <f aca="false">IF(B1132="","",Brand_Log!DV132&amp;"")</f>
        <v/>
      </c>
      <c r="E1132" s="23" t="str">
        <f aca="false">IF(B1132="","",IF(Brand_Log!B132="","",Brand_Log!B132&amp;""))</f>
        <v/>
      </c>
      <c r="F1132" s="23" t="str">
        <f aca="false">IF(B1132="","","budget_probe")</f>
        <v/>
      </c>
      <c r="G1132" s="23" t="str">
        <f aca="false">IF(B1132="","",IF(ISNUMBER(Brand_Log!R132),Brand_Log!R132,""))</f>
        <v/>
      </c>
      <c r="H1132" s="23" t="str">
        <f aca="false">IF(B1132="","",IF(Brand_Log!S132="","",Brand_Log!S132&amp;""))</f>
        <v/>
      </c>
      <c r="I1132" s="23" t="str">
        <f aca="false">IF(B1132="","",IF(Brand_Log!O132="","",Brand_Log!O132&amp;""))</f>
        <v/>
      </c>
      <c r="J1132" s="23" t="str">
        <f aca="false">IF(B1132="","",IF(Brand_Log!T132="","","before_1500; "&amp;Brand_Log!T132))</f>
        <v/>
      </c>
      <c r="K1132" s="32" t="s">
        <v>1357</v>
      </c>
    </row>
    <row r="1133" customFormat="false" ht="15" hidden="false" customHeight="false" outlineLevel="0" collapsed="false">
      <c r="A1133" s="23" t="str">
        <f aca="false">IF(B1133="","",B1133+(6*1000+132)/10000000)</f>
        <v/>
      </c>
      <c r="B1133" s="35" t="str">
        <f aca="false">IF(AND(Brand_Log!AY133=1,OR(ISNUMBER(Brand_Log!R133),TRIM(Brand_Log!S133)&lt;&gt;"")),Brand_Log!H133,"")</f>
        <v/>
      </c>
      <c r="C1133" s="23" t="str">
        <f aca="false">IF(B1133="","","brand")</f>
        <v/>
      </c>
      <c r="D1133" s="23" t="str">
        <f aca="false">IF(B1133="","",Brand_Log!DV133&amp;"")</f>
        <v/>
      </c>
      <c r="E1133" s="23" t="str">
        <f aca="false">IF(B1133="","",IF(Brand_Log!B133="","",Brand_Log!B133&amp;""))</f>
        <v/>
      </c>
      <c r="F1133" s="23" t="str">
        <f aca="false">IF(B1133="","","budget_probe")</f>
        <v/>
      </c>
      <c r="G1133" s="23" t="str">
        <f aca="false">IF(B1133="","",IF(ISNUMBER(Brand_Log!R133),Brand_Log!R133,""))</f>
        <v/>
      </c>
      <c r="H1133" s="23" t="str">
        <f aca="false">IF(B1133="","",IF(Brand_Log!S133="","",Brand_Log!S133&amp;""))</f>
        <v/>
      </c>
      <c r="I1133" s="23" t="str">
        <f aca="false">IF(B1133="","",IF(Brand_Log!O133="","",Brand_Log!O133&amp;""))</f>
        <v/>
      </c>
      <c r="J1133" s="23" t="str">
        <f aca="false">IF(B1133="","",IF(Brand_Log!T133="","","before_1500; "&amp;Brand_Log!T133))</f>
        <v/>
      </c>
      <c r="K1133" s="32" t="s">
        <v>1357</v>
      </c>
    </row>
    <row r="1134" customFormat="false" ht="15" hidden="false" customHeight="false" outlineLevel="0" collapsed="false">
      <c r="A1134" s="23" t="str">
        <f aca="false">IF(B1134="","",B1134+(6*1000+133)/10000000)</f>
        <v/>
      </c>
      <c r="B1134" s="35" t="str">
        <f aca="false">IF(AND(Brand_Log!AY134=1,OR(ISNUMBER(Brand_Log!R134),TRIM(Brand_Log!S134)&lt;&gt;"")),Brand_Log!H134,"")</f>
        <v/>
      </c>
      <c r="C1134" s="23" t="str">
        <f aca="false">IF(B1134="","","brand")</f>
        <v/>
      </c>
      <c r="D1134" s="23" t="str">
        <f aca="false">IF(B1134="","",Brand_Log!DV134&amp;"")</f>
        <v/>
      </c>
      <c r="E1134" s="23" t="str">
        <f aca="false">IF(B1134="","",IF(Brand_Log!B134="","",Brand_Log!B134&amp;""))</f>
        <v/>
      </c>
      <c r="F1134" s="23" t="str">
        <f aca="false">IF(B1134="","","budget_probe")</f>
        <v/>
      </c>
      <c r="G1134" s="23" t="str">
        <f aca="false">IF(B1134="","",IF(ISNUMBER(Brand_Log!R134),Brand_Log!R134,""))</f>
        <v/>
      </c>
      <c r="H1134" s="23" t="str">
        <f aca="false">IF(B1134="","",IF(Brand_Log!S134="","",Brand_Log!S134&amp;""))</f>
        <v/>
      </c>
      <c r="I1134" s="23" t="str">
        <f aca="false">IF(B1134="","",IF(Brand_Log!O134="","",Brand_Log!O134&amp;""))</f>
        <v/>
      </c>
      <c r="J1134" s="23" t="str">
        <f aca="false">IF(B1134="","",IF(Brand_Log!T134="","","before_1500; "&amp;Brand_Log!T134))</f>
        <v/>
      </c>
      <c r="K1134" s="32" t="s">
        <v>1357</v>
      </c>
    </row>
    <row r="1135" customFormat="false" ht="15" hidden="false" customHeight="false" outlineLevel="0" collapsed="false">
      <c r="A1135" s="23" t="str">
        <f aca="false">IF(B1135="","",B1135+(6*1000+134)/10000000)</f>
        <v/>
      </c>
      <c r="B1135" s="35" t="str">
        <f aca="false">IF(AND(Brand_Log!AY135=1,OR(ISNUMBER(Brand_Log!R135),TRIM(Brand_Log!S135)&lt;&gt;"")),Brand_Log!H135,"")</f>
        <v/>
      </c>
      <c r="C1135" s="23" t="str">
        <f aca="false">IF(B1135="","","brand")</f>
        <v/>
      </c>
      <c r="D1135" s="23" t="str">
        <f aca="false">IF(B1135="","",Brand_Log!DV135&amp;"")</f>
        <v/>
      </c>
      <c r="E1135" s="23" t="str">
        <f aca="false">IF(B1135="","",IF(Brand_Log!B135="","",Brand_Log!B135&amp;""))</f>
        <v/>
      </c>
      <c r="F1135" s="23" t="str">
        <f aca="false">IF(B1135="","","budget_probe")</f>
        <v/>
      </c>
      <c r="G1135" s="23" t="str">
        <f aca="false">IF(B1135="","",IF(ISNUMBER(Brand_Log!R135),Brand_Log!R135,""))</f>
        <v/>
      </c>
      <c r="H1135" s="23" t="str">
        <f aca="false">IF(B1135="","",IF(Brand_Log!S135="","",Brand_Log!S135&amp;""))</f>
        <v/>
      </c>
      <c r="I1135" s="23" t="str">
        <f aca="false">IF(B1135="","",IF(Brand_Log!O135="","",Brand_Log!O135&amp;""))</f>
        <v/>
      </c>
      <c r="J1135" s="23" t="str">
        <f aca="false">IF(B1135="","",IF(Brand_Log!T135="","","before_1500; "&amp;Brand_Log!T135))</f>
        <v/>
      </c>
      <c r="K1135" s="32" t="s">
        <v>1357</v>
      </c>
    </row>
    <row r="1136" customFormat="false" ht="15" hidden="false" customHeight="false" outlineLevel="0" collapsed="false">
      <c r="A1136" s="23" t="str">
        <f aca="false">IF(B1136="","",B1136+(6*1000+135)/10000000)</f>
        <v/>
      </c>
      <c r="B1136" s="35" t="str">
        <f aca="false">IF(AND(Brand_Log!AY136=1,OR(ISNUMBER(Brand_Log!R136),TRIM(Brand_Log!S136)&lt;&gt;"")),Brand_Log!H136,"")</f>
        <v/>
      </c>
      <c r="C1136" s="23" t="str">
        <f aca="false">IF(B1136="","","brand")</f>
        <v/>
      </c>
      <c r="D1136" s="23" t="str">
        <f aca="false">IF(B1136="","",Brand_Log!DV136&amp;"")</f>
        <v/>
      </c>
      <c r="E1136" s="23" t="str">
        <f aca="false">IF(B1136="","",IF(Brand_Log!B136="","",Brand_Log!B136&amp;""))</f>
        <v/>
      </c>
      <c r="F1136" s="23" t="str">
        <f aca="false">IF(B1136="","","budget_probe")</f>
        <v/>
      </c>
      <c r="G1136" s="23" t="str">
        <f aca="false">IF(B1136="","",IF(ISNUMBER(Brand_Log!R136),Brand_Log!R136,""))</f>
        <v/>
      </c>
      <c r="H1136" s="23" t="str">
        <f aca="false">IF(B1136="","",IF(Brand_Log!S136="","",Brand_Log!S136&amp;""))</f>
        <v/>
      </c>
      <c r="I1136" s="23" t="str">
        <f aca="false">IF(B1136="","",IF(Brand_Log!O136="","",Brand_Log!O136&amp;""))</f>
        <v/>
      </c>
      <c r="J1136" s="23" t="str">
        <f aca="false">IF(B1136="","",IF(Brand_Log!T136="","","before_1500; "&amp;Brand_Log!T136))</f>
        <v/>
      </c>
      <c r="K1136" s="32" t="s">
        <v>1357</v>
      </c>
    </row>
    <row r="1137" customFormat="false" ht="15" hidden="false" customHeight="false" outlineLevel="0" collapsed="false">
      <c r="A1137" s="23" t="str">
        <f aca="false">IF(B1137="","",B1137+(6*1000+136)/10000000)</f>
        <v/>
      </c>
      <c r="B1137" s="35" t="str">
        <f aca="false">IF(AND(Brand_Log!AY137=1,OR(ISNUMBER(Brand_Log!R137),TRIM(Brand_Log!S137)&lt;&gt;"")),Brand_Log!H137,"")</f>
        <v/>
      </c>
      <c r="C1137" s="23" t="str">
        <f aca="false">IF(B1137="","","brand")</f>
        <v/>
      </c>
      <c r="D1137" s="23" t="str">
        <f aca="false">IF(B1137="","",Brand_Log!DV137&amp;"")</f>
        <v/>
      </c>
      <c r="E1137" s="23" t="str">
        <f aca="false">IF(B1137="","",IF(Brand_Log!B137="","",Brand_Log!B137&amp;""))</f>
        <v/>
      </c>
      <c r="F1137" s="23" t="str">
        <f aca="false">IF(B1137="","","budget_probe")</f>
        <v/>
      </c>
      <c r="G1137" s="23" t="str">
        <f aca="false">IF(B1137="","",IF(ISNUMBER(Brand_Log!R137),Brand_Log!R137,""))</f>
        <v/>
      </c>
      <c r="H1137" s="23" t="str">
        <f aca="false">IF(B1137="","",IF(Brand_Log!S137="","",Brand_Log!S137&amp;""))</f>
        <v/>
      </c>
      <c r="I1137" s="23" t="str">
        <f aca="false">IF(B1137="","",IF(Brand_Log!O137="","",Brand_Log!O137&amp;""))</f>
        <v/>
      </c>
      <c r="J1137" s="23" t="str">
        <f aca="false">IF(B1137="","",IF(Brand_Log!T137="","","before_1500; "&amp;Brand_Log!T137))</f>
        <v/>
      </c>
      <c r="K1137" s="32" t="s">
        <v>1357</v>
      </c>
    </row>
    <row r="1138" customFormat="false" ht="15" hidden="false" customHeight="false" outlineLevel="0" collapsed="false">
      <c r="A1138" s="23" t="str">
        <f aca="false">IF(B1138="","",B1138+(6*1000+137)/10000000)</f>
        <v/>
      </c>
      <c r="B1138" s="35" t="str">
        <f aca="false">IF(AND(Brand_Log!AY138=1,OR(ISNUMBER(Brand_Log!R138),TRIM(Brand_Log!S138)&lt;&gt;"")),Brand_Log!H138,"")</f>
        <v/>
      </c>
      <c r="C1138" s="23" t="str">
        <f aca="false">IF(B1138="","","brand")</f>
        <v/>
      </c>
      <c r="D1138" s="23" t="str">
        <f aca="false">IF(B1138="","",Brand_Log!DV138&amp;"")</f>
        <v/>
      </c>
      <c r="E1138" s="23" t="str">
        <f aca="false">IF(B1138="","",IF(Brand_Log!B138="","",Brand_Log!B138&amp;""))</f>
        <v/>
      </c>
      <c r="F1138" s="23" t="str">
        <f aca="false">IF(B1138="","","budget_probe")</f>
        <v/>
      </c>
      <c r="G1138" s="23" t="str">
        <f aca="false">IF(B1138="","",IF(ISNUMBER(Brand_Log!R138),Brand_Log!R138,""))</f>
        <v/>
      </c>
      <c r="H1138" s="23" t="str">
        <f aca="false">IF(B1138="","",IF(Brand_Log!S138="","",Brand_Log!S138&amp;""))</f>
        <v/>
      </c>
      <c r="I1138" s="23" t="str">
        <f aca="false">IF(B1138="","",IF(Brand_Log!O138="","",Brand_Log!O138&amp;""))</f>
        <v/>
      </c>
      <c r="J1138" s="23" t="str">
        <f aca="false">IF(B1138="","",IF(Brand_Log!T138="","","before_1500; "&amp;Brand_Log!T138))</f>
        <v/>
      </c>
      <c r="K1138" s="32" t="s">
        <v>1357</v>
      </c>
    </row>
    <row r="1139" customFormat="false" ht="15" hidden="false" customHeight="false" outlineLevel="0" collapsed="false">
      <c r="A1139" s="23" t="str">
        <f aca="false">IF(B1139="","",B1139+(6*1000+138)/10000000)</f>
        <v/>
      </c>
      <c r="B1139" s="35" t="str">
        <f aca="false">IF(AND(Brand_Log!AY139=1,OR(ISNUMBER(Brand_Log!R139),TRIM(Brand_Log!S139)&lt;&gt;"")),Brand_Log!H139,"")</f>
        <v/>
      </c>
      <c r="C1139" s="23" t="str">
        <f aca="false">IF(B1139="","","brand")</f>
        <v/>
      </c>
      <c r="D1139" s="23" t="str">
        <f aca="false">IF(B1139="","",Brand_Log!DV139&amp;"")</f>
        <v/>
      </c>
      <c r="E1139" s="23" t="str">
        <f aca="false">IF(B1139="","",IF(Brand_Log!B139="","",Brand_Log!B139&amp;""))</f>
        <v/>
      </c>
      <c r="F1139" s="23" t="str">
        <f aca="false">IF(B1139="","","budget_probe")</f>
        <v/>
      </c>
      <c r="G1139" s="23" t="str">
        <f aca="false">IF(B1139="","",IF(ISNUMBER(Brand_Log!R139),Brand_Log!R139,""))</f>
        <v/>
      </c>
      <c r="H1139" s="23" t="str">
        <f aca="false">IF(B1139="","",IF(Brand_Log!S139="","",Brand_Log!S139&amp;""))</f>
        <v/>
      </c>
      <c r="I1139" s="23" t="str">
        <f aca="false">IF(B1139="","",IF(Brand_Log!O139="","",Brand_Log!O139&amp;""))</f>
        <v/>
      </c>
      <c r="J1139" s="23" t="str">
        <f aca="false">IF(B1139="","",IF(Brand_Log!T139="","","before_1500; "&amp;Brand_Log!T139))</f>
        <v/>
      </c>
      <c r="K1139" s="32" t="s">
        <v>1357</v>
      </c>
    </row>
    <row r="1140" customFormat="false" ht="15" hidden="false" customHeight="false" outlineLevel="0" collapsed="false">
      <c r="A1140" s="23" t="str">
        <f aca="false">IF(B1140="","",B1140+(6*1000+139)/10000000)</f>
        <v/>
      </c>
      <c r="B1140" s="35" t="str">
        <f aca="false">IF(AND(Brand_Log!AY140=1,OR(ISNUMBER(Brand_Log!R140),TRIM(Brand_Log!S140)&lt;&gt;"")),Brand_Log!H140,"")</f>
        <v/>
      </c>
      <c r="C1140" s="23" t="str">
        <f aca="false">IF(B1140="","","brand")</f>
        <v/>
      </c>
      <c r="D1140" s="23" t="str">
        <f aca="false">IF(B1140="","",Brand_Log!DV140&amp;"")</f>
        <v/>
      </c>
      <c r="E1140" s="23" t="str">
        <f aca="false">IF(B1140="","",IF(Brand_Log!B140="","",Brand_Log!B140&amp;""))</f>
        <v/>
      </c>
      <c r="F1140" s="23" t="str">
        <f aca="false">IF(B1140="","","budget_probe")</f>
        <v/>
      </c>
      <c r="G1140" s="23" t="str">
        <f aca="false">IF(B1140="","",IF(ISNUMBER(Brand_Log!R140),Brand_Log!R140,""))</f>
        <v/>
      </c>
      <c r="H1140" s="23" t="str">
        <f aca="false">IF(B1140="","",IF(Brand_Log!S140="","",Brand_Log!S140&amp;""))</f>
        <v/>
      </c>
      <c r="I1140" s="23" t="str">
        <f aca="false">IF(B1140="","",IF(Brand_Log!O140="","",Brand_Log!O140&amp;""))</f>
        <v/>
      </c>
      <c r="J1140" s="23" t="str">
        <f aca="false">IF(B1140="","",IF(Brand_Log!T140="","","before_1500; "&amp;Brand_Log!T140))</f>
        <v/>
      </c>
      <c r="K1140" s="32" t="s">
        <v>1357</v>
      </c>
    </row>
    <row r="1141" customFormat="false" ht="15" hidden="false" customHeight="false" outlineLevel="0" collapsed="false">
      <c r="A1141" s="23" t="str">
        <f aca="false">IF(B1141="","",B1141+(6*1000+140)/10000000)</f>
        <v/>
      </c>
      <c r="B1141" s="35" t="str">
        <f aca="false">IF(AND(Brand_Log!AY141=1,OR(ISNUMBER(Brand_Log!R141),TRIM(Brand_Log!S141)&lt;&gt;"")),Brand_Log!H141,"")</f>
        <v/>
      </c>
      <c r="C1141" s="23" t="str">
        <f aca="false">IF(B1141="","","brand")</f>
        <v/>
      </c>
      <c r="D1141" s="23" t="str">
        <f aca="false">IF(B1141="","",Brand_Log!DV141&amp;"")</f>
        <v/>
      </c>
      <c r="E1141" s="23" t="str">
        <f aca="false">IF(B1141="","",IF(Brand_Log!B141="","",Brand_Log!B141&amp;""))</f>
        <v/>
      </c>
      <c r="F1141" s="23" t="str">
        <f aca="false">IF(B1141="","","budget_probe")</f>
        <v/>
      </c>
      <c r="G1141" s="23" t="str">
        <f aca="false">IF(B1141="","",IF(ISNUMBER(Brand_Log!R141),Brand_Log!R141,""))</f>
        <v/>
      </c>
      <c r="H1141" s="23" t="str">
        <f aca="false">IF(B1141="","",IF(Brand_Log!S141="","",Brand_Log!S141&amp;""))</f>
        <v/>
      </c>
      <c r="I1141" s="23" t="str">
        <f aca="false">IF(B1141="","",IF(Brand_Log!O141="","",Brand_Log!O141&amp;""))</f>
        <v/>
      </c>
      <c r="J1141" s="23" t="str">
        <f aca="false">IF(B1141="","",IF(Brand_Log!T141="","","before_1500; "&amp;Brand_Log!T141))</f>
        <v/>
      </c>
      <c r="K1141" s="32" t="s">
        <v>1357</v>
      </c>
    </row>
    <row r="1142" customFormat="false" ht="15" hidden="false" customHeight="false" outlineLevel="0" collapsed="false">
      <c r="A1142" s="23" t="str">
        <f aca="false">IF(B1142="","",B1142+(6*1000+141)/10000000)</f>
        <v/>
      </c>
      <c r="B1142" s="35" t="str">
        <f aca="false">IF(AND(Brand_Log!AY142=1,OR(ISNUMBER(Brand_Log!R142),TRIM(Brand_Log!S142)&lt;&gt;"")),Brand_Log!H142,"")</f>
        <v/>
      </c>
      <c r="C1142" s="23" t="str">
        <f aca="false">IF(B1142="","","brand")</f>
        <v/>
      </c>
      <c r="D1142" s="23" t="str">
        <f aca="false">IF(B1142="","",Brand_Log!DV142&amp;"")</f>
        <v/>
      </c>
      <c r="E1142" s="23" t="str">
        <f aca="false">IF(B1142="","",IF(Brand_Log!B142="","",Brand_Log!B142&amp;""))</f>
        <v/>
      </c>
      <c r="F1142" s="23" t="str">
        <f aca="false">IF(B1142="","","budget_probe")</f>
        <v/>
      </c>
      <c r="G1142" s="23" t="str">
        <f aca="false">IF(B1142="","",IF(ISNUMBER(Brand_Log!R142),Brand_Log!R142,""))</f>
        <v/>
      </c>
      <c r="H1142" s="23" t="str">
        <f aca="false">IF(B1142="","",IF(Brand_Log!S142="","",Brand_Log!S142&amp;""))</f>
        <v/>
      </c>
      <c r="I1142" s="23" t="str">
        <f aca="false">IF(B1142="","",IF(Brand_Log!O142="","",Brand_Log!O142&amp;""))</f>
        <v/>
      </c>
      <c r="J1142" s="23" t="str">
        <f aca="false">IF(B1142="","",IF(Brand_Log!T142="","","before_1500; "&amp;Brand_Log!T142))</f>
        <v/>
      </c>
      <c r="K1142" s="32" t="s">
        <v>1357</v>
      </c>
    </row>
    <row r="1143" customFormat="false" ht="15" hidden="false" customHeight="false" outlineLevel="0" collapsed="false">
      <c r="A1143" s="23" t="str">
        <f aca="false">IF(B1143="","",B1143+(6*1000+142)/10000000)</f>
        <v/>
      </c>
      <c r="B1143" s="35" t="str">
        <f aca="false">IF(AND(Brand_Log!AY143=1,OR(ISNUMBER(Brand_Log!R143),TRIM(Brand_Log!S143)&lt;&gt;"")),Brand_Log!H143,"")</f>
        <v/>
      </c>
      <c r="C1143" s="23" t="str">
        <f aca="false">IF(B1143="","","brand")</f>
        <v/>
      </c>
      <c r="D1143" s="23" t="str">
        <f aca="false">IF(B1143="","",Brand_Log!DV143&amp;"")</f>
        <v/>
      </c>
      <c r="E1143" s="23" t="str">
        <f aca="false">IF(B1143="","",IF(Brand_Log!B143="","",Brand_Log!B143&amp;""))</f>
        <v/>
      </c>
      <c r="F1143" s="23" t="str">
        <f aca="false">IF(B1143="","","budget_probe")</f>
        <v/>
      </c>
      <c r="G1143" s="23" t="str">
        <f aca="false">IF(B1143="","",IF(ISNUMBER(Brand_Log!R143),Brand_Log!R143,""))</f>
        <v/>
      </c>
      <c r="H1143" s="23" t="str">
        <f aca="false">IF(B1143="","",IF(Brand_Log!S143="","",Brand_Log!S143&amp;""))</f>
        <v/>
      </c>
      <c r="I1143" s="23" t="str">
        <f aca="false">IF(B1143="","",IF(Brand_Log!O143="","",Brand_Log!O143&amp;""))</f>
        <v/>
      </c>
      <c r="J1143" s="23" t="str">
        <f aca="false">IF(B1143="","",IF(Brand_Log!T143="","","before_1500; "&amp;Brand_Log!T143))</f>
        <v/>
      </c>
      <c r="K1143" s="32" t="s">
        <v>1357</v>
      </c>
    </row>
    <row r="1144" customFormat="false" ht="15" hidden="false" customHeight="false" outlineLevel="0" collapsed="false">
      <c r="A1144" s="23" t="str">
        <f aca="false">IF(B1144="","",B1144+(6*1000+143)/10000000)</f>
        <v/>
      </c>
      <c r="B1144" s="35" t="str">
        <f aca="false">IF(AND(Brand_Log!AY144=1,OR(ISNUMBER(Brand_Log!R144),TRIM(Brand_Log!S144)&lt;&gt;"")),Brand_Log!H144,"")</f>
        <v/>
      </c>
      <c r="C1144" s="23" t="str">
        <f aca="false">IF(B1144="","","brand")</f>
        <v/>
      </c>
      <c r="D1144" s="23" t="str">
        <f aca="false">IF(B1144="","",Brand_Log!DV144&amp;"")</f>
        <v/>
      </c>
      <c r="E1144" s="23" t="str">
        <f aca="false">IF(B1144="","",IF(Brand_Log!B144="","",Brand_Log!B144&amp;""))</f>
        <v/>
      </c>
      <c r="F1144" s="23" t="str">
        <f aca="false">IF(B1144="","","budget_probe")</f>
        <v/>
      </c>
      <c r="G1144" s="23" t="str">
        <f aca="false">IF(B1144="","",IF(ISNUMBER(Brand_Log!R144),Brand_Log!R144,""))</f>
        <v/>
      </c>
      <c r="H1144" s="23" t="str">
        <f aca="false">IF(B1144="","",IF(Brand_Log!S144="","",Brand_Log!S144&amp;""))</f>
        <v/>
      </c>
      <c r="I1144" s="23" t="str">
        <f aca="false">IF(B1144="","",IF(Brand_Log!O144="","",Brand_Log!O144&amp;""))</f>
        <v/>
      </c>
      <c r="J1144" s="23" t="str">
        <f aca="false">IF(B1144="","",IF(Brand_Log!T144="","","before_1500; "&amp;Brand_Log!T144))</f>
        <v/>
      </c>
      <c r="K1144" s="32" t="s">
        <v>1357</v>
      </c>
    </row>
    <row r="1145" customFormat="false" ht="15" hidden="false" customHeight="false" outlineLevel="0" collapsed="false">
      <c r="A1145" s="23" t="str">
        <f aca="false">IF(B1145="","",B1145+(6*1000+144)/10000000)</f>
        <v/>
      </c>
      <c r="B1145" s="35" t="str">
        <f aca="false">IF(AND(Brand_Log!AY145=1,OR(ISNUMBER(Brand_Log!R145),TRIM(Brand_Log!S145)&lt;&gt;"")),Brand_Log!H145,"")</f>
        <v/>
      </c>
      <c r="C1145" s="23" t="str">
        <f aca="false">IF(B1145="","","brand")</f>
        <v/>
      </c>
      <c r="D1145" s="23" t="str">
        <f aca="false">IF(B1145="","",Brand_Log!DV145&amp;"")</f>
        <v/>
      </c>
      <c r="E1145" s="23" t="str">
        <f aca="false">IF(B1145="","",IF(Brand_Log!B145="","",Brand_Log!B145&amp;""))</f>
        <v/>
      </c>
      <c r="F1145" s="23" t="str">
        <f aca="false">IF(B1145="","","budget_probe")</f>
        <v/>
      </c>
      <c r="G1145" s="23" t="str">
        <f aca="false">IF(B1145="","",IF(ISNUMBER(Brand_Log!R145),Brand_Log!R145,""))</f>
        <v/>
      </c>
      <c r="H1145" s="23" t="str">
        <f aca="false">IF(B1145="","",IF(Brand_Log!S145="","",Brand_Log!S145&amp;""))</f>
        <v/>
      </c>
      <c r="I1145" s="23" t="str">
        <f aca="false">IF(B1145="","",IF(Brand_Log!O145="","",Brand_Log!O145&amp;""))</f>
        <v/>
      </c>
      <c r="J1145" s="23" t="str">
        <f aca="false">IF(B1145="","",IF(Brand_Log!T145="","","before_1500; "&amp;Brand_Log!T145))</f>
        <v/>
      </c>
      <c r="K1145" s="32" t="s">
        <v>1357</v>
      </c>
    </row>
    <row r="1146" customFormat="false" ht="15" hidden="false" customHeight="false" outlineLevel="0" collapsed="false">
      <c r="A1146" s="23" t="str">
        <f aca="false">IF(B1146="","",B1146+(6*1000+145)/10000000)</f>
        <v/>
      </c>
      <c r="B1146" s="35" t="str">
        <f aca="false">IF(AND(Brand_Log!AY146=1,OR(ISNUMBER(Brand_Log!R146),TRIM(Brand_Log!S146)&lt;&gt;"")),Brand_Log!H146,"")</f>
        <v/>
      </c>
      <c r="C1146" s="23" t="str">
        <f aca="false">IF(B1146="","","brand")</f>
        <v/>
      </c>
      <c r="D1146" s="23" t="str">
        <f aca="false">IF(B1146="","",Brand_Log!DV146&amp;"")</f>
        <v/>
      </c>
      <c r="E1146" s="23" t="str">
        <f aca="false">IF(B1146="","",IF(Brand_Log!B146="","",Brand_Log!B146&amp;""))</f>
        <v/>
      </c>
      <c r="F1146" s="23" t="str">
        <f aca="false">IF(B1146="","","budget_probe")</f>
        <v/>
      </c>
      <c r="G1146" s="23" t="str">
        <f aca="false">IF(B1146="","",IF(ISNUMBER(Brand_Log!R146),Brand_Log!R146,""))</f>
        <v/>
      </c>
      <c r="H1146" s="23" t="str">
        <f aca="false">IF(B1146="","",IF(Brand_Log!S146="","",Brand_Log!S146&amp;""))</f>
        <v/>
      </c>
      <c r="I1146" s="23" t="str">
        <f aca="false">IF(B1146="","",IF(Brand_Log!O146="","",Brand_Log!O146&amp;""))</f>
        <v/>
      </c>
      <c r="J1146" s="23" t="str">
        <f aca="false">IF(B1146="","",IF(Brand_Log!T146="","","before_1500; "&amp;Brand_Log!T146))</f>
        <v/>
      </c>
      <c r="K1146" s="32" t="s">
        <v>1357</v>
      </c>
    </row>
    <row r="1147" customFormat="false" ht="15" hidden="false" customHeight="false" outlineLevel="0" collapsed="false">
      <c r="A1147" s="23" t="str">
        <f aca="false">IF(B1147="","",B1147+(6*1000+146)/10000000)</f>
        <v/>
      </c>
      <c r="B1147" s="35" t="str">
        <f aca="false">IF(AND(Brand_Log!AY147=1,OR(ISNUMBER(Brand_Log!R147),TRIM(Brand_Log!S147)&lt;&gt;"")),Brand_Log!H147,"")</f>
        <v/>
      </c>
      <c r="C1147" s="23" t="str">
        <f aca="false">IF(B1147="","","brand")</f>
        <v/>
      </c>
      <c r="D1147" s="23" t="str">
        <f aca="false">IF(B1147="","",Brand_Log!DV147&amp;"")</f>
        <v/>
      </c>
      <c r="E1147" s="23" t="str">
        <f aca="false">IF(B1147="","",IF(Brand_Log!B147="","",Brand_Log!B147&amp;""))</f>
        <v/>
      </c>
      <c r="F1147" s="23" t="str">
        <f aca="false">IF(B1147="","","budget_probe")</f>
        <v/>
      </c>
      <c r="G1147" s="23" t="str">
        <f aca="false">IF(B1147="","",IF(ISNUMBER(Brand_Log!R147),Brand_Log!R147,""))</f>
        <v/>
      </c>
      <c r="H1147" s="23" t="str">
        <f aca="false">IF(B1147="","",IF(Brand_Log!S147="","",Brand_Log!S147&amp;""))</f>
        <v/>
      </c>
      <c r="I1147" s="23" t="str">
        <f aca="false">IF(B1147="","",IF(Brand_Log!O147="","",Brand_Log!O147&amp;""))</f>
        <v/>
      </c>
      <c r="J1147" s="23" t="str">
        <f aca="false">IF(B1147="","",IF(Brand_Log!T147="","","before_1500; "&amp;Brand_Log!T147))</f>
        <v/>
      </c>
      <c r="K1147" s="32" t="s">
        <v>1357</v>
      </c>
    </row>
    <row r="1148" customFormat="false" ht="15" hidden="false" customHeight="false" outlineLevel="0" collapsed="false">
      <c r="A1148" s="23" t="str">
        <f aca="false">IF(B1148="","",B1148+(6*1000+147)/10000000)</f>
        <v/>
      </c>
      <c r="B1148" s="35" t="str">
        <f aca="false">IF(AND(Brand_Log!AY148=1,OR(ISNUMBER(Brand_Log!R148),TRIM(Brand_Log!S148)&lt;&gt;"")),Brand_Log!H148,"")</f>
        <v/>
      </c>
      <c r="C1148" s="23" t="str">
        <f aca="false">IF(B1148="","","brand")</f>
        <v/>
      </c>
      <c r="D1148" s="23" t="str">
        <f aca="false">IF(B1148="","",Brand_Log!DV148&amp;"")</f>
        <v/>
      </c>
      <c r="E1148" s="23" t="str">
        <f aca="false">IF(B1148="","",IF(Brand_Log!B148="","",Brand_Log!B148&amp;""))</f>
        <v/>
      </c>
      <c r="F1148" s="23" t="str">
        <f aca="false">IF(B1148="","","budget_probe")</f>
        <v/>
      </c>
      <c r="G1148" s="23" t="str">
        <f aca="false">IF(B1148="","",IF(ISNUMBER(Brand_Log!R148),Brand_Log!R148,""))</f>
        <v/>
      </c>
      <c r="H1148" s="23" t="str">
        <f aca="false">IF(B1148="","",IF(Brand_Log!S148="","",Brand_Log!S148&amp;""))</f>
        <v/>
      </c>
      <c r="I1148" s="23" t="str">
        <f aca="false">IF(B1148="","",IF(Brand_Log!O148="","",Brand_Log!O148&amp;""))</f>
        <v/>
      </c>
      <c r="J1148" s="23" t="str">
        <f aca="false">IF(B1148="","",IF(Brand_Log!T148="","","before_1500; "&amp;Brand_Log!T148))</f>
        <v/>
      </c>
      <c r="K1148" s="32" t="s">
        <v>1357</v>
      </c>
    </row>
    <row r="1149" customFormat="false" ht="15" hidden="false" customHeight="false" outlineLevel="0" collapsed="false">
      <c r="A1149" s="23" t="str">
        <f aca="false">IF(B1149="","",B1149+(6*1000+148)/10000000)</f>
        <v/>
      </c>
      <c r="B1149" s="35" t="str">
        <f aca="false">IF(AND(Brand_Log!AY149=1,OR(ISNUMBER(Brand_Log!R149),TRIM(Brand_Log!S149)&lt;&gt;"")),Brand_Log!H149,"")</f>
        <v/>
      </c>
      <c r="C1149" s="23" t="str">
        <f aca="false">IF(B1149="","","brand")</f>
        <v/>
      </c>
      <c r="D1149" s="23" t="str">
        <f aca="false">IF(B1149="","",Brand_Log!DV149&amp;"")</f>
        <v/>
      </c>
      <c r="E1149" s="23" t="str">
        <f aca="false">IF(B1149="","",IF(Brand_Log!B149="","",Brand_Log!B149&amp;""))</f>
        <v/>
      </c>
      <c r="F1149" s="23" t="str">
        <f aca="false">IF(B1149="","","budget_probe")</f>
        <v/>
      </c>
      <c r="G1149" s="23" t="str">
        <f aca="false">IF(B1149="","",IF(ISNUMBER(Brand_Log!R149),Brand_Log!R149,""))</f>
        <v/>
      </c>
      <c r="H1149" s="23" t="str">
        <f aca="false">IF(B1149="","",IF(Brand_Log!S149="","",Brand_Log!S149&amp;""))</f>
        <v/>
      </c>
      <c r="I1149" s="23" t="str">
        <f aca="false">IF(B1149="","",IF(Brand_Log!O149="","",Brand_Log!O149&amp;""))</f>
        <v/>
      </c>
      <c r="J1149" s="23" t="str">
        <f aca="false">IF(B1149="","",IF(Brand_Log!T149="","","before_1500; "&amp;Brand_Log!T149))</f>
        <v/>
      </c>
      <c r="K1149" s="32" t="s">
        <v>1357</v>
      </c>
    </row>
    <row r="1150" customFormat="false" ht="15" hidden="false" customHeight="false" outlineLevel="0" collapsed="false">
      <c r="A1150" s="23" t="str">
        <f aca="false">IF(B1150="","",B1150+(6*1000+149)/10000000)</f>
        <v/>
      </c>
      <c r="B1150" s="35" t="str">
        <f aca="false">IF(AND(Brand_Log!AY150=1,OR(ISNUMBER(Brand_Log!R150),TRIM(Brand_Log!S150)&lt;&gt;"")),Brand_Log!H150,"")</f>
        <v/>
      </c>
      <c r="C1150" s="23" t="str">
        <f aca="false">IF(B1150="","","brand")</f>
        <v/>
      </c>
      <c r="D1150" s="23" t="str">
        <f aca="false">IF(B1150="","",Brand_Log!DV150&amp;"")</f>
        <v/>
      </c>
      <c r="E1150" s="23" t="str">
        <f aca="false">IF(B1150="","",IF(Brand_Log!B150="","",Brand_Log!B150&amp;""))</f>
        <v/>
      </c>
      <c r="F1150" s="23" t="str">
        <f aca="false">IF(B1150="","","budget_probe")</f>
        <v/>
      </c>
      <c r="G1150" s="23" t="str">
        <f aca="false">IF(B1150="","",IF(ISNUMBER(Brand_Log!R150),Brand_Log!R150,""))</f>
        <v/>
      </c>
      <c r="H1150" s="23" t="str">
        <f aca="false">IF(B1150="","",IF(Brand_Log!S150="","",Brand_Log!S150&amp;""))</f>
        <v/>
      </c>
      <c r="I1150" s="23" t="str">
        <f aca="false">IF(B1150="","",IF(Brand_Log!O150="","",Brand_Log!O150&amp;""))</f>
        <v/>
      </c>
      <c r="J1150" s="23" t="str">
        <f aca="false">IF(B1150="","",IF(Brand_Log!T150="","","before_1500; "&amp;Brand_Log!T150))</f>
        <v/>
      </c>
      <c r="K1150" s="32" t="s">
        <v>1357</v>
      </c>
    </row>
    <row r="1151" customFormat="false" ht="15" hidden="false" customHeight="false" outlineLevel="0" collapsed="false">
      <c r="A1151" s="23" t="str">
        <f aca="false">IF(B1151="","",B1151+(6*1000+150)/10000000)</f>
        <v/>
      </c>
      <c r="B1151" s="35" t="str">
        <f aca="false">IF(AND(Brand_Log!AY151=1,OR(ISNUMBER(Brand_Log!R151),TRIM(Brand_Log!S151)&lt;&gt;"")),Brand_Log!H151,"")</f>
        <v/>
      </c>
      <c r="C1151" s="23" t="str">
        <f aca="false">IF(B1151="","","brand")</f>
        <v/>
      </c>
      <c r="D1151" s="23" t="str">
        <f aca="false">IF(B1151="","",Brand_Log!DV151&amp;"")</f>
        <v/>
      </c>
      <c r="E1151" s="23" t="str">
        <f aca="false">IF(B1151="","",IF(Brand_Log!B151="","",Brand_Log!B151&amp;""))</f>
        <v/>
      </c>
      <c r="F1151" s="23" t="str">
        <f aca="false">IF(B1151="","","budget_probe")</f>
        <v/>
      </c>
      <c r="G1151" s="23" t="str">
        <f aca="false">IF(B1151="","",IF(ISNUMBER(Brand_Log!R151),Brand_Log!R151,""))</f>
        <v/>
      </c>
      <c r="H1151" s="23" t="str">
        <f aca="false">IF(B1151="","",IF(Brand_Log!S151="","",Brand_Log!S151&amp;""))</f>
        <v/>
      </c>
      <c r="I1151" s="23" t="str">
        <f aca="false">IF(B1151="","",IF(Brand_Log!O151="","",Brand_Log!O151&amp;""))</f>
        <v/>
      </c>
      <c r="J1151" s="23" t="str">
        <f aca="false">IF(B1151="","",IF(Brand_Log!T151="","","before_1500; "&amp;Brand_Log!T151))</f>
        <v/>
      </c>
      <c r="K1151" s="32" t="s">
        <v>1357</v>
      </c>
    </row>
    <row r="1152" customFormat="false" ht="15" hidden="false" customHeight="false" outlineLevel="0" collapsed="false">
      <c r="A1152" s="23" t="str">
        <f aca="false">IF(B1152="","",B1152+(6*1000+151)/10000000)</f>
        <v/>
      </c>
      <c r="B1152" s="35" t="str">
        <f aca="false">IF(AND(Brand_Log!AY152=1,OR(ISNUMBER(Brand_Log!R152),TRIM(Brand_Log!S152)&lt;&gt;"")),Brand_Log!H152,"")</f>
        <v/>
      </c>
      <c r="C1152" s="23" t="str">
        <f aca="false">IF(B1152="","","brand")</f>
        <v/>
      </c>
      <c r="D1152" s="23" t="str">
        <f aca="false">IF(B1152="","",Brand_Log!DV152&amp;"")</f>
        <v/>
      </c>
      <c r="E1152" s="23" t="str">
        <f aca="false">IF(B1152="","",IF(Brand_Log!B152="","",Brand_Log!B152&amp;""))</f>
        <v/>
      </c>
      <c r="F1152" s="23" t="str">
        <f aca="false">IF(B1152="","","budget_probe")</f>
        <v/>
      </c>
      <c r="G1152" s="23" t="str">
        <f aca="false">IF(B1152="","",IF(ISNUMBER(Brand_Log!R152),Brand_Log!R152,""))</f>
        <v/>
      </c>
      <c r="H1152" s="23" t="str">
        <f aca="false">IF(B1152="","",IF(Brand_Log!S152="","",Brand_Log!S152&amp;""))</f>
        <v/>
      </c>
      <c r="I1152" s="23" t="str">
        <f aca="false">IF(B1152="","",IF(Brand_Log!O152="","",Brand_Log!O152&amp;""))</f>
        <v/>
      </c>
      <c r="J1152" s="23" t="str">
        <f aca="false">IF(B1152="","",IF(Brand_Log!T152="","","before_1500; "&amp;Brand_Log!T152))</f>
        <v/>
      </c>
      <c r="K1152" s="32" t="s">
        <v>1357</v>
      </c>
    </row>
    <row r="1153" customFormat="false" ht="15" hidden="false" customHeight="false" outlineLevel="0" collapsed="false">
      <c r="A1153" s="23" t="str">
        <f aca="false">IF(B1153="","",B1153+(6*1000+152)/10000000)</f>
        <v/>
      </c>
      <c r="B1153" s="35" t="str">
        <f aca="false">IF(AND(Brand_Log!AY153=1,OR(ISNUMBER(Brand_Log!R153),TRIM(Brand_Log!S153)&lt;&gt;"")),Brand_Log!H153,"")</f>
        <v/>
      </c>
      <c r="C1153" s="23" t="str">
        <f aca="false">IF(B1153="","","brand")</f>
        <v/>
      </c>
      <c r="D1153" s="23" t="str">
        <f aca="false">IF(B1153="","",Brand_Log!DV153&amp;"")</f>
        <v/>
      </c>
      <c r="E1153" s="23" t="str">
        <f aca="false">IF(B1153="","",IF(Brand_Log!B153="","",Brand_Log!B153&amp;""))</f>
        <v/>
      </c>
      <c r="F1153" s="23" t="str">
        <f aca="false">IF(B1153="","","budget_probe")</f>
        <v/>
      </c>
      <c r="G1153" s="23" t="str">
        <f aca="false">IF(B1153="","",IF(ISNUMBER(Brand_Log!R153),Brand_Log!R153,""))</f>
        <v/>
      </c>
      <c r="H1153" s="23" t="str">
        <f aca="false">IF(B1153="","",IF(Brand_Log!S153="","",Brand_Log!S153&amp;""))</f>
        <v/>
      </c>
      <c r="I1153" s="23" t="str">
        <f aca="false">IF(B1153="","",IF(Brand_Log!O153="","",Brand_Log!O153&amp;""))</f>
        <v/>
      </c>
      <c r="J1153" s="23" t="str">
        <f aca="false">IF(B1153="","",IF(Brand_Log!T153="","","before_1500; "&amp;Brand_Log!T153))</f>
        <v/>
      </c>
      <c r="K1153" s="32" t="s">
        <v>1357</v>
      </c>
    </row>
    <row r="1154" customFormat="false" ht="15" hidden="false" customHeight="false" outlineLevel="0" collapsed="false">
      <c r="A1154" s="23" t="str">
        <f aca="false">IF(B1154="","",B1154+(6*1000+153)/10000000)</f>
        <v/>
      </c>
      <c r="B1154" s="35" t="str">
        <f aca="false">IF(AND(Brand_Log!AY154=1,OR(ISNUMBER(Brand_Log!R154),TRIM(Brand_Log!S154)&lt;&gt;"")),Brand_Log!H154,"")</f>
        <v/>
      </c>
      <c r="C1154" s="23" t="str">
        <f aca="false">IF(B1154="","","brand")</f>
        <v/>
      </c>
      <c r="D1154" s="23" t="str">
        <f aca="false">IF(B1154="","",Brand_Log!DV154&amp;"")</f>
        <v/>
      </c>
      <c r="E1154" s="23" t="str">
        <f aca="false">IF(B1154="","",IF(Brand_Log!B154="","",Brand_Log!B154&amp;""))</f>
        <v/>
      </c>
      <c r="F1154" s="23" t="str">
        <f aca="false">IF(B1154="","","budget_probe")</f>
        <v/>
      </c>
      <c r="G1154" s="23" t="str">
        <f aca="false">IF(B1154="","",IF(ISNUMBER(Brand_Log!R154),Brand_Log!R154,""))</f>
        <v/>
      </c>
      <c r="H1154" s="23" t="str">
        <f aca="false">IF(B1154="","",IF(Brand_Log!S154="","",Brand_Log!S154&amp;""))</f>
        <v/>
      </c>
      <c r="I1154" s="23" t="str">
        <f aca="false">IF(B1154="","",IF(Brand_Log!O154="","",Brand_Log!O154&amp;""))</f>
        <v/>
      </c>
      <c r="J1154" s="23" t="str">
        <f aca="false">IF(B1154="","",IF(Brand_Log!T154="","","before_1500; "&amp;Brand_Log!T154))</f>
        <v/>
      </c>
      <c r="K1154" s="32" t="s">
        <v>1357</v>
      </c>
    </row>
    <row r="1155" customFormat="false" ht="15" hidden="false" customHeight="false" outlineLevel="0" collapsed="false">
      <c r="A1155" s="23" t="str">
        <f aca="false">IF(B1155="","",B1155+(6*1000+154)/10000000)</f>
        <v/>
      </c>
      <c r="B1155" s="35" t="str">
        <f aca="false">IF(AND(Brand_Log!AY155=1,OR(ISNUMBER(Brand_Log!R155),TRIM(Brand_Log!S155)&lt;&gt;"")),Brand_Log!H155,"")</f>
        <v/>
      </c>
      <c r="C1155" s="23" t="str">
        <f aca="false">IF(B1155="","","brand")</f>
        <v/>
      </c>
      <c r="D1155" s="23" t="str">
        <f aca="false">IF(B1155="","",Brand_Log!DV155&amp;"")</f>
        <v/>
      </c>
      <c r="E1155" s="23" t="str">
        <f aca="false">IF(B1155="","",IF(Brand_Log!B155="","",Brand_Log!B155&amp;""))</f>
        <v/>
      </c>
      <c r="F1155" s="23" t="str">
        <f aca="false">IF(B1155="","","budget_probe")</f>
        <v/>
      </c>
      <c r="G1155" s="23" t="str">
        <f aca="false">IF(B1155="","",IF(ISNUMBER(Brand_Log!R155),Brand_Log!R155,""))</f>
        <v/>
      </c>
      <c r="H1155" s="23" t="str">
        <f aca="false">IF(B1155="","",IF(Brand_Log!S155="","",Brand_Log!S155&amp;""))</f>
        <v/>
      </c>
      <c r="I1155" s="23" t="str">
        <f aca="false">IF(B1155="","",IF(Brand_Log!O155="","",Brand_Log!O155&amp;""))</f>
        <v/>
      </c>
      <c r="J1155" s="23" t="str">
        <f aca="false">IF(B1155="","",IF(Brand_Log!T155="","","before_1500; "&amp;Brand_Log!T155))</f>
        <v/>
      </c>
      <c r="K1155" s="32" t="s">
        <v>1357</v>
      </c>
    </row>
    <row r="1156" customFormat="false" ht="15" hidden="false" customHeight="false" outlineLevel="0" collapsed="false">
      <c r="A1156" s="23" t="str">
        <f aca="false">IF(B1156="","",B1156+(6*1000+155)/10000000)</f>
        <v/>
      </c>
      <c r="B1156" s="35" t="str">
        <f aca="false">IF(AND(Brand_Log!AY156=1,OR(ISNUMBER(Brand_Log!R156),TRIM(Brand_Log!S156)&lt;&gt;"")),Brand_Log!H156,"")</f>
        <v/>
      </c>
      <c r="C1156" s="23" t="str">
        <f aca="false">IF(B1156="","","brand")</f>
        <v/>
      </c>
      <c r="D1156" s="23" t="str">
        <f aca="false">IF(B1156="","",Brand_Log!DV156&amp;"")</f>
        <v/>
      </c>
      <c r="E1156" s="23" t="str">
        <f aca="false">IF(B1156="","",IF(Brand_Log!B156="","",Brand_Log!B156&amp;""))</f>
        <v/>
      </c>
      <c r="F1156" s="23" t="str">
        <f aca="false">IF(B1156="","","budget_probe")</f>
        <v/>
      </c>
      <c r="G1156" s="23" t="str">
        <f aca="false">IF(B1156="","",IF(ISNUMBER(Brand_Log!R156),Brand_Log!R156,""))</f>
        <v/>
      </c>
      <c r="H1156" s="23" t="str">
        <f aca="false">IF(B1156="","",IF(Brand_Log!S156="","",Brand_Log!S156&amp;""))</f>
        <v/>
      </c>
      <c r="I1156" s="23" t="str">
        <f aca="false">IF(B1156="","",IF(Brand_Log!O156="","",Brand_Log!O156&amp;""))</f>
        <v/>
      </c>
      <c r="J1156" s="23" t="str">
        <f aca="false">IF(B1156="","",IF(Brand_Log!T156="","","before_1500; "&amp;Brand_Log!T156))</f>
        <v/>
      </c>
      <c r="K1156" s="32" t="s">
        <v>1357</v>
      </c>
    </row>
    <row r="1157" customFormat="false" ht="15" hidden="false" customHeight="false" outlineLevel="0" collapsed="false">
      <c r="A1157" s="23" t="str">
        <f aca="false">IF(B1157="","",B1157+(6*1000+156)/10000000)</f>
        <v/>
      </c>
      <c r="B1157" s="35" t="str">
        <f aca="false">IF(AND(Brand_Log!AY157=1,OR(ISNUMBER(Brand_Log!R157),TRIM(Brand_Log!S157)&lt;&gt;"")),Brand_Log!H157,"")</f>
        <v/>
      </c>
      <c r="C1157" s="23" t="str">
        <f aca="false">IF(B1157="","","brand")</f>
        <v/>
      </c>
      <c r="D1157" s="23" t="str">
        <f aca="false">IF(B1157="","",Brand_Log!DV157&amp;"")</f>
        <v/>
      </c>
      <c r="E1157" s="23" t="str">
        <f aca="false">IF(B1157="","",IF(Brand_Log!B157="","",Brand_Log!B157&amp;""))</f>
        <v/>
      </c>
      <c r="F1157" s="23" t="str">
        <f aca="false">IF(B1157="","","budget_probe")</f>
        <v/>
      </c>
      <c r="G1157" s="23" t="str">
        <f aca="false">IF(B1157="","",IF(ISNUMBER(Brand_Log!R157),Brand_Log!R157,""))</f>
        <v/>
      </c>
      <c r="H1157" s="23" t="str">
        <f aca="false">IF(B1157="","",IF(Brand_Log!S157="","",Brand_Log!S157&amp;""))</f>
        <v/>
      </c>
      <c r="I1157" s="23" t="str">
        <f aca="false">IF(B1157="","",IF(Brand_Log!O157="","",Brand_Log!O157&amp;""))</f>
        <v/>
      </c>
      <c r="J1157" s="23" t="str">
        <f aca="false">IF(B1157="","",IF(Brand_Log!T157="","","before_1500; "&amp;Brand_Log!T157))</f>
        <v/>
      </c>
      <c r="K1157" s="32" t="s">
        <v>1357</v>
      </c>
    </row>
    <row r="1158" customFormat="false" ht="15" hidden="false" customHeight="false" outlineLevel="0" collapsed="false">
      <c r="A1158" s="23" t="str">
        <f aca="false">IF(B1158="","",B1158+(6*1000+157)/10000000)</f>
        <v/>
      </c>
      <c r="B1158" s="35" t="str">
        <f aca="false">IF(AND(Brand_Log!AY158=1,OR(ISNUMBER(Brand_Log!R158),TRIM(Brand_Log!S158)&lt;&gt;"")),Brand_Log!H158,"")</f>
        <v/>
      </c>
      <c r="C1158" s="23" t="str">
        <f aca="false">IF(B1158="","","brand")</f>
        <v/>
      </c>
      <c r="D1158" s="23" t="str">
        <f aca="false">IF(B1158="","",Brand_Log!DV158&amp;"")</f>
        <v/>
      </c>
      <c r="E1158" s="23" t="str">
        <f aca="false">IF(B1158="","",IF(Brand_Log!B158="","",Brand_Log!B158&amp;""))</f>
        <v/>
      </c>
      <c r="F1158" s="23" t="str">
        <f aca="false">IF(B1158="","","budget_probe")</f>
        <v/>
      </c>
      <c r="G1158" s="23" t="str">
        <f aca="false">IF(B1158="","",IF(ISNUMBER(Brand_Log!R158),Brand_Log!R158,""))</f>
        <v/>
      </c>
      <c r="H1158" s="23" t="str">
        <f aca="false">IF(B1158="","",IF(Brand_Log!S158="","",Brand_Log!S158&amp;""))</f>
        <v/>
      </c>
      <c r="I1158" s="23" t="str">
        <f aca="false">IF(B1158="","",IF(Brand_Log!O158="","",Brand_Log!O158&amp;""))</f>
        <v/>
      </c>
      <c r="J1158" s="23" t="str">
        <f aca="false">IF(B1158="","",IF(Brand_Log!T158="","","before_1500; "&amp;Brand_Log!T158))</f>
        <v/>
      </c>
      <c r="K1158" s="32" t="s">
        <v>1357</v>
      </c>
    </row>
    <row r="1159" customFormat="false" ht="15" hidden="false" customHeight="false" outlineLevel="0" collapsed="false">
      <c r="A1159" s="23" t="str">
        <f aca="false">IF(B1159="","",B1159+(6*1000+158)/10000000)</f>
        <v/>
      </c>
      <c r="B1159" s="35" t="str">
        <f aca="false">IF(AND(Brand_Log!AY159=1,OR(ISNUMBER(Brand_Log!R159),TRIM(Brand_Log!S159)&lt;&gt;"")),Brand_Log!H159,"")</f>
        <v/>
      </c>
      <c r="C1159" s="23" t="str">
        <f aca="false">IF(B1159="","","brand")</f>
        <v/>
      </c>
      <c r="D1159" s="23" t="str">
        <f aca="false">IF(B1159="","",Brand_Log!DV159&amp;"")</f>
        <v/>
      </c>
      <c r="E1159" s="23" t="str">
        <f aca="false">IF(B1159="","",IF(Brand_Log!B159="","",Brand_Log!B159&amp;""))</f>
        <v/>
      </c>
      <c r="F1159" s="23" t="str">
        <f aca="false">IF(B1159="","","budget_probe")</f>
        <v/>
      </c>
      <c r="G1159" s="23" t="str">
        <f aca="false">IF(B1159="","",IF(ISNUMBER(Brand_Log!R159),Brand_Log!R159,""))</f>
        <v/>
      </c>
      <c r="H1159" s="23" t="str">
        <f aca="false">IF(B1159="","",IF(Brand_Log!S159="","",Brand_Log!S159&amp;""))</f>
        <v/>
      </c>
      <c r="I1159" s="23" t="str">
        <f aca="false">IF(B1159="","",IF(Brand_Log!O159="","",Brand_Log!O159&amp;""))</f>
        <v/>
      </c>
      <c r="J1159" s="23" t="str">
        <f aca="false">IF(B1159="","",IF(Brand_Log!T159="","","before_1500; "&amp;Brand_Log!T159))</f>
        <v/>
      </c>
      <c r="K1159" s="32" t="s">
        <v>1357</v>
      </c>
    </row>
    <row r="1160" customFormat="false" ht="15" hidden="false" customHeight="false" outlineLevel="0" collapsed="false">
      <c r="A1160" s="23" t="str">
        <f aca="false">IF(B1160="","",B1160+(6*1000+159)/10000000)</f>
        <v/>
      </c>
      <c r="B1160" s="35" t="str">
        <f aca="false">IF(AND(Brand_Log!AY160=1,OR(ISNUMBER(Brand_Log!R160),TRIM(Brand_Log!S160)&lt;&gt;"")),Brand_Log!H160,"")</f>
        <v/>
      </c>
      <c r="C1160" s="23" t="str">
        <f aca="false">IF(B1160="","","brand")</f>
        <v/>
      </c>
      <c r="D1160" s="23" t="str">
        <f aca="false">IF(B1160="","",Brand_Log!DV160&amp;"")</f>
        <v/>
      </c>
      <c r="E1160" s="23" t="str">
        <f aca="false">IF(B1160="","",IF(Brand_Log!B160="","",Brand_Log!B160&amp;""))</f>
        <v/>
      </c>
      <c r="F1160" s="23" t="str">
        <f aca="false">IF(B1160="","","budget_probe")</f>
        <v/>
      </c>
      <c r="G1160" s="23" t="str">
        <f aca="false">IF(B1160="","",IF(ISNUMBER(Brand_Log!R160),Brand_Log!R160,""))</f>
        <v/>
      </c>
      <c r="H1160" s="23" t="str">
        <f aca="false">IF(B1160="","",IF(Brand_Log!S160="","",Brand_Log!S160&amp;""))</f>
        <v/>
      </c>
      <c r="I1160" s="23" t="str">
        <f aca="false">IF(B1160="","",IF(Brand_Log!O160="","",Brand_Log!O160&amp;""))</f>
        <v/>
      </c>
      <c r="J1160" s="23" t="str">
        <f aca="false">IF(B1160="","",IF(Brand_Log!T160="","","before_1500; "&amp;Brand_Log!T160))</f>
        <v/>
      </c>
      <c r="K1160" s="32" t="s">
        <v>1357</v>
      </c>
    </row>
    <row r="1161" customFormat="false" ht="15" hidden="false" customHeight="false" outlineLevel="0" collapsed="false">
      <c r="A1161" s="23" t="str">
        <f aca="false">IF(B1161="","",B1161+(6*1000+160)/10000000)</f>
        <v/>
      </c>
      <c r="B1161" s="35" t="str">
        <f aca="false">IF(AND(Brand_Log!AY161=1,OR(ISNUMBER(Brand_Log!R161),TRIM(Brand_Log!S161)&lt;&gt;"")),Brand_Log!H161,"")</f>
        <v/>
      </c>
      <c r="C1161" s="23" t="str">
        <f aca="false">IF(B1161="","","brand")</f>
        <v/>
      </c>
      <c r="D1161" s="23" t="str">
        <f aca="false">IF(B1161="","",Brand_Log!DV161&amp;"")</f>
        <v/>
      </c>
      <c r="E1161" s="23" t="str">
        <f aca="false">IF(B1161="","",IF(Brand_Log!B161="","",Brand_Log!B161&amp;""))</f>
        <v/>
      </c>
      <c r="F1161" s="23" t="str">
        <f aca="false">IF(B1161="","","budget_probe")</f>
        <v/>
      </c>
      <c r="G1161" s="23" t="str">
        <f aca="false">IF(B1161="","",IF(ISNUMBER(Brand_Log!R161),Brand_Log!R161,""))</f>
        <v/>
      </c>
      <c r="H1161" s="23" t="str">
        <f aca="false">IF(B1161="","",IF(Brand_Log!S161="","",Brand_Log!S161&amp;""))</f>
        <v/>
      </c>
      <c r="I1161" s="23" t="str">
        <f aca="false">IF(B1161="","",IF(Brand_Log!O161="","",Brand_Log!O161&amp;""))</f>
        <v/>
      </c>
      <c r="J1161" s="23" t="str">
        <f aca="false">IF(B1161="","",IF(Brand_Log!T161="","","before_1500; "&amp;Brand_Log!T161))</f>
        <v/>
      </c>
      <c r="K1161" s="32" t="s">
        <v>1357</v>
      </c>
    </row>
    <row r="1162" customFormat="false" ht="15" hidden="false" customHeight="false" outlineLevel="0" collapsed="false">
      <c r="A1162" s="23" t="str">
        <f aca="false">IF(B1162="","",B1162+(6*1000+161)/10000000)</f>
        <v/>
      </c>
      <c r="B1162" s="35" t="str">
        <f aca="false">IF(AND(Brand_Log!AY162=1,OR(ISNUMBER(Brand_Log!R162),TRIM(Brand_Log!S162)&lt;&gt;"")),Brand_Log!H162,"")</f>
        <v/>
      </c>
      <c r="C1162" s="23" t="str">
        <f aca="false">IF(B1162="","","brand")</f>
        <v/>
      </c>
      <c r="D1162" s="23" t="str">
        <f aca="false">IF(B1162="","",Brand_Log!DV162&amp;"")</f>
        <v/>
      </c>
      <c r="E1162" s="23" t="str">
        <f aca="false">IF(B1162="","",IF(Brand_Log!B162="","",Brand_Log!B162&amp;""))</f>
        <v/>
      </c>
      <c r="F1162" s="23" t="str">
        <f aca="false">IF(B1162="","","budget_probe")</f>
        <v/>
      </c>
      <c r="G1162" s="23" t="str">
        <f aca="false">IF(B1162="","",IF(ISNUMBER(Brand_Log!R162),Brand_Log!R162,""))</f>
        <v/>
      </c>
      <c r="H1162" s="23" t="str">
        <f aca="false">IF(B1162="","",IF(Brand_Log!S162="","",Brand_Log!S162&amp;""))</f>
        <v/>
      </c>
      <c r="I1162" s="23" t="str">
        <f aca="false">IF(B1162="","",IF(Brand_Log!O162="","",Brand_Log!O162&amp;""))</f>
        <v/>
      </c>
      <c r="J1162" s="23" t="str">
        <f aca="false">IF(B1162="","",IF(Brand_Log!T162="","","before_1500; "&amp;Brand_Log!T162))</f>
        <v/>
      </c>
      <c r="K1162" s="32" t="s">
        <v>1357</v>
      </c>
    </row>
    <row r="1163" customFormat="false" ht="15" hidden="false" customHeight="false" outlineLevel="0" collapsed="false">
      <c r="A1163" s="23" t="str">
        <f aca="false">IF(B1163="","",B1163+(6*1000+162)/10000000)</f>
        <v/>
      </c>
      <c r="B1163" s="35" t="str">
        <f aca="false">IF(AND(Brand_Log!AY163=1,OR(ISNUMBER(Brand_Log!R163),TRIM(Brand_Log!S163)&lt;&gt;"")),Brand_Log!H163,"")</f>
        <v/>
      </c>
      <c r="C1163" s="23" t="str">
        <f aca="false">IF(B1163="","","brand")</f>
        <v/>
      </c>
      <c r="D1163" s="23" t="str">
        <f aca="false">IF(B1163="","",Brand_Log!DV163&amp;"")</f>
        <v/>
      </c>
      <c r="E1163" s="23" t="str">
        <f aca="false">IF(B1163="","",IF(Brand_Log!B163="","",Brand_Log!B163&amp;""))</f>
        <v/>
      </c>
      <c r="F1163" s="23" t="str">
        <f aca="false">IF(B1163="","","budget_probe")</f>
        <v/>
      </c>
      <c r="G1163" s="23" t="str">
        <f aca="false">IF(B1163="","",IF(ISNUMBER(Brand_Log!R163),Brand_Log!R163,""))</f>
        <v/>
      </c>
      <c r="H1163" s="23" t="str">
        <f aca="false">IF(B1163="","",IF(Brand_Log!S163="","",Brand_Log!S163&amp;""))</f>
        <v/>
      </c>
      <c r="I1163" s="23" t="str">
        <f aca="false">IF(B1163="","",IF(Brand_Log!O163="","",Brand_Log!O163&amp;""))</f>
        <v/>
      </c>
      <c r="J1163" s="23" t="str">
        <f aca="false">IF(B1163="","",IF(Brand_Log!T163="","","before_1500; "&amp;Brand_Log!T163))</f>
        <v/>
      </c>
      <c r="K1163" s="32" t="s">
        <v>1357</v>
      </c>
    </row>
    <row r="1164" customFormat="false" ht="15" hidden="false" customHeight="false" outlineLevel="0" collapsed="false">
      <c r="A1164" s="23" t="str">
        <f aca="false">IF(B1164="","",B1164+(6*1000+163)/10000000)</f>
        <v/>
      </c>
      <c r="B1164" s="35" t="str">
        <f aca="false">IF(AND(Brand_Log!AY164=1,OR(ISNUMBER(Brand_Log!R164),TRIM(Brand_Log!S164)&lt;&gt;"")),Brand_Log!H164,"")</f>
        <v/>
      </c>
      <c r="C1164" s="23" t="str">
        <f aca="false">IF(B1164="","","brand")</f>
        <v/>
      </c>
      <c r="D1164" s="23" t="str">
        <f aca="false">IF(B1164="","",Brand_Log!DV164&amp;"")</f>
        <v/>
      </c>
      <c r="E1164" s="23" t="str">
        <f aca="false">IF(B1164="","",IF(Brand_Log!B164="","",Brand_Log!B164&amp;""))</f>
        <v/>
      </c>
      <c r="F1164" s="23" t="str">
        <f aca="false">IF(B1164="","","budget_probe")</f>
        <v/>
      </c>
      <c r="G1164" s="23" t="str">
        <f aca="false">IF(B1164="","",IF(ISNUMBER(Brand_Log!R164),Brand_Log!R164,""))</f>
        <v/>
      </c>
      <c r="H1164" s="23" t="str">
        <f aca="false">IF(B1164="","",IF(Brand_Log!S164="","",Brand_Log!S164&amp;""))</f>
        <v/>
      </c>
      <c r="I1164" s="23" t="str">
        <f aca="false">IF(B1164="","",IF(Brand_Log!O164="","",Brand_Log!O164&amp;""))</f>
        <v/>
      </c>
      <c r="J1164" s="23" t="str">
        <f aca="false">IF(B1164="","",IF(Brand_Log!T164="","","before_1500; "&amp;Brand_Log!T164))</f>
        <v/>
      </c>
      <c r="K1164" s="32" t="s">
        <v>1357</v>
      </c>
    </row>
    <row r="1165" customFormat="false" ht="15" hidden="false" customHeight="false" outlineLevel="0" collapsed="false">
      <c r="A1165" s="23" t="str">
        <f aca="false">IF(B1165="","",B1165+(6*1000+164)/10000000)</f>
        <v/>
      </c>
      <c r="B1165" s="35" t="str">
        <f aca="false">IF(AND(Brand_Log!AY165=1,OR(ISNUMBER(Brand_Log!R165),TRIM(Brand_Log!S165)&lt;&gt;"")),Brand_Log!H165,"")</f>
        <v/>
      </c>
      <c r="C1165" s="23" t="str">
        <f aca="false">IF(B1165="","","brand")</f>
        <v/>
      </c>
      <c r="D1165" s="23" t="str">
        <f aca="false">IF(B1165="","",Brand_Log!DV165&amp;"")</f>
        <v/>
      </c>
      <c r="E1165" s="23" t="str">
        <f aca="false">IF(B1165="","",IF(Brand_Log!B165="","",Brand_Log!B165&amp;""))</f>
        <v/>
      </c>
      <c r="F1165" s="23" t="str">
        <f aca="false">IF(B1165="","","budget_probe")</f>
        <v/>
      </c>
      <c r="G1165" s="23" t="str">
        <f aca="false">IF(B1165="","",IF(ISNUMBER(Brand_Log!R165),Brand_Log!R165,""))</f>
        <v/>
      </c>
      <c r="H1165" s="23" t="str">
        <f aca="false">IF(B1165="","",IF(Brand_Log!S165="","",Brand_Log!S165&amp;""))</f>
        <v/>
      </c>
      <c r="I1165" s="23" t="str">
        <f aca="false">IF(B1165="","",IF(Brand_Log!O165="","",Brand_Log!O165&amp;""))</f>
        <v/>
      </c>
      <c r="J1165" s="23" t="str">
        <f aca="false">IF(B1165="","",IF(Brand_Log!T165="","","before_1500; "&amp;Brand_Log!T165))</f>
        <v/>
      </c>
      <c r="K1165" s="32" t="s">
        <v>1357</v>
      </c>
    </row>
    <row r="1166" customFormat="false" ht="15" hidden="false" customHeight="false" outlineLevel="0" collapsed="false">
      <c r="A1166" s="23" t="str">
        <f aca="false">IF(B1166="","",B1166+(6*1000+165)/10000000)</f>
        <v/>
      </c>
      <c r="B1166" s="35" t="str">
        <f aca="false">IF(AND(Brand_Log!AY166=1,OR(ISNUMBER(Brand_Log!R166),TRIM(Brand_Log!S166)&lt;&gt;"")),Brand_Log!H166,"")</f>
        <v/>
      </c>
      <c r="C1166" s="23" t="str">
        <f aca="false">IF(B1166="","","brand")</f>
        <v/>
      </c>
      <c r="D1166" s="23" t="str">
        <f aca="false">IF(B1166="","",Brand_Log!DV166&amp;"")</f>
        <v/>
      </c>
      <c r="E1166" s="23" t="str">
        <f aca="false">IF(B1166="","",IF(Brand_Log!B166="","",Brand_Log!B166&amp;""))</f>
        <v/>
      </c>
      <c r="F1166" s="23" t="str">
        <f aca="false">IF(B1166="","","budget_probe")</f>
        <v/>
      </c>
      <c r="G1166" s="23" t="str">
        <f aca="false">IF(B1166="","",IF(ISNUMBER(Brand_Log!R166),Brand_Log!R166,""))</f>
        <v/>
      </c>
      <c r="H1166" s="23" t="str">
        <f aca="false">IF(B1166="","",IF(Brand_Log!S166="","",Brand_Log!S166&amp;""))</f>
        <v/>
      </c>
      <c r="I1166" s="23" t="str">
        <f aca="false">IF(B1166="","",IF(Brand_Log!O166="","",Brand_Log!O166&amp;""))</f>
        <v/>
      </c>
      <c r="J1166" s="23" t="str">
        <f aca="false">IF(B1166="","",IF(Brand_Log!T166="","","before_1500; "&amp;Brand_Log!T166))</f>
        <v/>
      </c>
      <c r="K1166" s="32" t="s">
        <v>1357</v>
      </c>
    </row>
    <row r="1167" customFormat="false" ht="15" hidden="false" customHeight="false" outlineLevel="0" collapsed="false">
      <c r="A1167" s="23" t="str">
        <f aca="false">IF(B1167="","",B1167+(6*1000+166)/10000000)</f>
        <v/>
      </c>
      <c r="B1167" s="35" t="str">
        <f aca="false">IF(AND(Brand_Log!AY167=1,OR(ISNUMBER(Brand_Log!R167),TRIM(Brand_Log!S167)&lt;&gt;"")),Brand_Log!H167,"")</f>
        <v/>
      </c>
      <c r="C1167" s="23" t="str">
        <f aca="false">IF(B1167="","","brand")</f>
        <v/>
      </c>
      <c r="D1167" s="23" t="str">
        <f aca="false">IF(B1167="","",Brand_Log!DV167&amp;"")</f>
        <v/>
      </c>
      <c r="E1167" s="23" t="str">
        <f aca="false">IF(B1167="","",IF(Brand_Log!B167="","",Brand_Log!B167&amp;""))</f>
        <v/>
      </c>
      <c r="F1167" s="23" t="str">
        <f aca="false">IF(B1167="","","budget_probe")</f>
        <v/>
      </c>
      <c r="G1167" s="23" t="str">
        <f aca="false">IF(B1167="","",IF(ISNUMBER(Brand_Log!R167),Brand_Log!R167,""))</f>
        <v/>
      </c>
      <c r="H1167" s="23" t="str">
        <f aca="false">IF(B1167="","",IF(Brand_Log!S167="","",Brand_Log!S167&amp;""))</f>
        <v/>
      </c>
      <c r="I1167" s="23" t="str">
        <f aca="false">IF(B1167="","",IF(Brand_Log!O167="","",Brand_Log!O167&amp;""))</f>
        <v/>
      </c>
      <c r="J1167" s="23" t="str">
        <f aca="false">IF(B1167="","",IF(Brand_Log!T167="","","before_1500; "&amp;Brand_Log!T167))</f>
        <v/>
      </c>
      <c r="K1167" s="32" t="s">
        <v>1357</v>
      </c>
    </row>
    <row r="1168" customFormat="false" ht="15" hidden="false" customHeight="false" outlineLevel="0" collapsed="false">
      <c r="A1168" s="23" t="str">
        <f aca="false">IF(B1168="","",B1168+(6*1000+167)/10000000)</f>
        <v/>
      </c>
      <c r="B1168" s="35" t="str">
        <f aca="false">IF(AND(Brand_Log!AY168=1,OR(ISNUMBER(Brand_Log!R168),TRIM(Brand_Log!S168)&lt;&gt;"")),Brand_Log!H168,"")</f>
        <v/>
      </c>
      <c r="C1168" s="23" t="str">
        <f aca="false">IF(B1168="","","brand")</f>
        <v/>
      </c>
      <c r="D1168" s="23" t="str">
        <f aca="false">IF(B1168="","",Brand_Log!DV168&amp;"")</f>
        <v/>
      </c>
      <c r="E1168" s="23" t="str">
        <f aca="false">IF(B1168="","",IF(Brand_Log!B168="","",Brand_Log!B168&amp;""))</f>
        <v/>
      </c>
      <c r="F1168" s="23" t="str">
        <f aca="false">IF(B1168="","","budget_probe")</f>
        <v/>
      </c>
      <c r="G1168" s="23" t="str">
        <f aca="false">IF(B1168="","",IF(ISNUMBER(Brand_Log!R168),Brand_Log!R168,""))</f>
        <v/>
      </c>
      <c r="H1168" s="23" t="str">
        <f aca="false">IF(B1168="","",IF(Brand_Log!S168="","",Brand_Log!S168&amp;""))</f>
        <v/>
      </c>
      <c r="I1168" s="23" t="str">
        <f aca="false">IF(B1168="","",IF(Brand_Log!O168="","",Brand_Log!O168&amp;""))</f>
        <v/>
      </c>
      <c r="J1168" s="23" t="str">
        <f aca="false">IF(B1168="","",IF(Brand_Log!T168="","","before_1500; "&amp;Brand_Log!T168))</f>
        <v/>
      </c>
      <c r="K1168" s="32" t="s">
        <v>1357</v>
      </c>
    </row>
    <row r="1169" customFormat="false" ht="15" hidden="false" customHeight="false" outlineLevel="0" collapsed="false">
      <c r="A1169" s="23" t="str">
        <f aca="false">IF(B1169="","",B1169+(6*1000+168)/10000000)</f>
        <v/>
      </c>
      <c r="B1169" s="35" t="str">
        <f aca="false">IF(AND(Brand_Log!AY169=1,OR(ISNUMBER(Brand_Log!R169),TRIM(Brand_Log!S169)&lt;&gt;"")),Brand_Log!H169,"")</f>
        <v/>
      </c>
      <c r="C1169" s="23" t="str">
        <f aca="false">IF(B1169="","","brand")</f>
        <v/>
      </c>
      <c r="D1169" s="23" t="str">
        <f aca="false">IF(B1169="","",Brand_Log!DV169&amp;"")</f>
        <v/>
      </c>
      <c r="E1169" s="23" t="str">
        <f aca="false">IF(B1169="","",IF(Brand_Log!B169="","",Brand_Log!B169&amp;""))</f>
        <v/>
      </c>
      <c r="F1169" s="23" t="str">
        <f aca="false">IF(B1169="","","budget_probe")</f>
        <v/>
      </c>
      <c r="G1169" s="23" t="str">
        <f aca="false">IF(B1169="","",IF(ISNUMBER(Brand_Log!R169),Brand_Log!R169,""))</f>
        <v/>
      </c>
      <c r="H1169" s="23" t="str">
        <f aca="false">IF(B1169="","",IF(Brand_Log!S169="","",Brand_Log!S169&amp;""))</f>
        <v/>
      </c>
      <c r="I1169" s="23" t="str">
        <f aca="false">IF(B1169="","",IF(Brand_Log!O169="","",Brand_Log!O169&amp;""))</f>
        <v/>
      </c>
      <c r="J1169" s="23" t="str">
        <f aca="false">IF(B1169="","",IF(Brand_Log!T169="","","before_1500; "&amp;Brand_Log!T169))</f>
        <v/>
      </c>
      <c r="K1169" s="32" t="s">
        <v>1357</v>
      </c>
    </row>
    <row r="1170" customFormat="false" ht="15" hidden="false" customHeight="false" outlineLevel="0" collapsed="false">
      <c r="A1170" s="23" t="str">
        <f aca="false">IF(B1170="","",B1170+(6*1000+169)/10000000)</f>
        <v/>
      </c>
      <c r="B1170" s="35" t="str">
        <f aca="false">IF(AND(Brand_Log!AY170=1,OR(ISNUMBER(Brand_Log!R170),TRIM(Brand_Log!S170)&lt;&gt;"")),Brand_Log!H170,"")</f>
        <v/>
      </c>
      <c r="C1170" s="23" t="str">
        <f aca="false">IF(B1170="","","brand")</f>
        <v/>
      </c>
      <c r="D1170" s="23" t="str">
        <f aca="false">IF(B1170="","",Brand_Log!DV170&amp;"")</f>
        <v/>
      </c>
      <c r="E1170" s="23" t="str">
        <f aca="false">IF(B1170="","",IF(Brand_Log!B170="","",Brand_Log!B170&amp;""))</f>
        <v/>
      </c>
      <c r="F1170" s="23" t="str">
        <f aca="false">IF(B1170="","","budget_probe")</f>
        <v/>
      </c>
      <c r="G1170" s="23" t="str">
        <f aca="false">IF(B1170="","",IF(ISNUMBER(Brand_Log!R170),Brand_Log!R170,""))</f>
        <v/>
      </c>
      <c r="H1170" s="23" t="str">
        <f aca="false">IF(B1170="","",IF(Brand_Log!S170="","",Brand_Log!S170&amp;""))</f>
        <v/>
      </c>
      <c r="I1170" s="23" t="str">
        <f aca="false">IF(B1170="","",IF(Brand_Log!O170="","",Brand_Log!O170&amp;""))</f>
        <v/>
      </c>
      <c r="J1170" s="23" t="str">
        <f aca="false">IF(B1170="","",IF(Brand_Log!T170="","","before_1500; "&amp;Brand_Log!T170))</f>
        <v/>
      </c>
      <c r="K1170" s="32" t="s">
        <v>1357</v>
      </c>
    </row>
    <row r="1171" customFormat="false" ht="15" hidden="false" customHeight="false" outlineLevel="0" collapsed="false">
      <c r="A1171" s="23" t="str">
        <f aca="false">IF(B1171="","",B1171+(6*1000+170)/10000000)</f>
        <v/>
      </c>
      <c r="B1171" s="35" t="str">
        <f aca="false">IF(AND(Brand_Log!AY171=1,OR(ISNUMBER(Brand_Log!R171),TRIM(Brand_Log!S171)&lt;&gt;"")),Brand_Log!H171,"")</f>
        <v/>
      </c>
      <c r="C1171" s="23" t="str">
        <f aca="false">IF(B1171="","","brand")</f>
        <v/>
      </c>
      <c r="D1171" s="23" t="str">
        <f aca="false">IF(B1171="","",Brand_Log!DV171&amp;"")</f>
        <v/>
      </c>
      <c r="E1171" s="23" t="str">
        <f aca="false">IF(B1171="","",IF(Brand_Log!B171="","",Brand_Log!B171&amp;""))</f>
        <v/>
      </c>
      <c r="F1171" s="23" t="str">
        <f aca="false">IF(B1171="","","budget_probe")</f>
        <v/>
      </c>
      <c r="G1171" s="23" t="str">
        <f aca="false">IF(B1171="","",IF(ISNUMBER(Brand_Log!R171),Brand_Log!R171,""))</f>
        <v/>
      </c>
      <c r="H1171" s="23" t="str">
        <f aca="false">IF(B1171="","",IF(Brand_Log!S171="","",Brand_Log!S171&amp;""))</f>
        <v/>
      </c>
      <c r="I1171" s="23" t="str">
        <f aca="false">IF(B1171="","",IF(Brand_Log!O171="","",Brand_Log!O171&amp;""))</f>
        <v/>
      </c>
      <c r="J1171" s="23" t="str">
        <f aca="false">IF(B1171="","",IF(Brand_Log!T171="","","before_1500; "&amp;Brand_Log!T171))</f>
        <v/>
      </c>
      <c r="K1171" s="32" t="s">
        <v>1357</v>
      </c>
    </row>
    <row r="1172" customFormat="false" ht="15" hidden="false" customHeight="false" outlineLevel="0" collapsed="false">
      <c r="A1172" s="23" t="str">
        <f aca="false">IF(B1172="","",B1172+(6*1000+171)/10000000)</f>
        <v/>
      </c>
      <c r="B1172" s="35" t="str">
        <f aca="false">IF(AND(Brand_Log!AY172=1,OR(ISNUMBER(Brand_Log!R172),TRIM(Brand_Log!S172)&lt;&gt;"")),Brand_Log!H172,"")</f>
        <v/>
      </c>
      <c r="C1172" s="23" t="str">
        <f aca="false">IF(B1172="","","brand")</f>
        <v/>
      </c>
      <c r="D1172" s="23" t="str">
        <f aca="false">IF(B1172="","",Brand_Log!DV172&amp;"")</f>
        <v/>
      </c>
      <c r="E1172" s="23" t="str">
        <f aca="false">IF(B1172="","",IF(Brand_Log!B172="","",Brand_Log!B172&amp;""))</f>
        <v/>
      </c>
      <c r="F1172" s="23" t="str">
        <f aca="false">IF(B1172="","","budget_probe")</f>
        <v/>
      </c>
      <c r="G1172" s="23" t="str">
        <f aca="false">IF(B1172="","",IF(ISNUMBER(Brand_Log!R172),Brand_Log!R172,""))</f>
        <v/>
      </c>
      <c r="H1172" s="23" t="str">
        <f aca="false">IF(B1172="","",IF(Brand_Log!S172="","",Brand_Log!S172&amp;""))</f>
        <v/>
      </c>
      <c r="I1172" s="23" t="str">
        <f aca="false">IF(B1172="","",IF(Brand_Log!O172="","",Brand_Log!O172&amp;""))</f>
        <v/>
      </c>
      <c r="J1172" s="23" t="str">
        <f aca="false">IF(B1172="","",IF(Brand_Log!T172="","","before_1500; "&amp;Brand_Log!T172))</f>
        <v/>
      </c>
      <c r="K1172" s="32" t="s">
        <v>1357</v>
      </c>
    </row>
    <row r="1173" customFormat="false" ht="15" hidden="false" customHeight="false" outlineLevel="0" collapsed="false">
      <c r="A1173" s="23" t="str">
        <f aca="false">IF(B1173="","",B1173+(6*1000+172)/10000000)</f>
        <v/>
      </c>
      <c r="B1173" s="35" t="str">
        <f aca="false">IF(AND(Brand_Log!AY173=1,OR(ISNUMBER(Brand_Log!R173),TRIM(Brand_Log!S173)&lt;&gt;"")),Brand_Log!H173,"")</f>
        <v/>
      </c>
      <c r="C1173" s="23" t="str">
        <f aca="false">IF(B1173="","","brand")</f>
        <v/>
      </c>
      <c r="D1173" s="23" t="str">
        <f aca="false">IF(B1173="","",Brand_Log!DV173&amp;"")</f>
        <v/>
      </c>
      <c r="E1173" s="23" t="str">
        <f aca="false">IF(B1173="","",IF(Brand_Log!B173="","",Brand_Log!B173&amp;""))</f>
        <v/>
      </c>
      <c r="F1173" s="23" t="str">
        <f aca="false">IF(B1173="","","budget_probe")</f>
        <v/>
      </c>
      <c r="G1173" s="23" t="str">
        <f aca="false">IF(B1173="","",IF(ISNUMBER(Brand_Log!R173),Brand_Log!R173,""))</f>
        <v/>
      </c>
      <c r="H1173" s="23" t="str">
        <f aca="false">IF(B1173="","",IF(Brand_Log!S173="","",Brand_Log!S173&amp;""))</f>
        <v/>
      </c>
      <c r="I1173" s="23" t="str">
        <f aca="false">IF(B1173="","",IF(Brand_Log!O173="","",Brand_Log!O173&amp;""))</f>
        <v/>
      </c>
      <c r="J1173" s="23" t="str">
        <f aca="false">IF(B1173="","",IF(Brand_Log!T173="","","before_1500; "&amp;Brand_Log!T173))</f>
        <v/>
      </c>
      <c r="K1173" s="32" t="s">
        <v>1357</v>
      </c>
    </row>
    <row r="1174" customFormat="false" ht="15" hidden="false" customHeight="false" outlineLevel="0" collapsed="false">
      <c r="A1174" s="23" t="str">
        <f aca="false">IF(B1174="","",B1174+(6*1000+173)/10000000)</f>
        <v/>
      </c>
      <c r="B1174" s="35" t="str">
        <f aca="false">IF(AND(Brand_Log!AY174=1,OR(ISNUMBER(Brand_Log!R174),TRIM(Brand_Log!S174)&lt;&gt;"")),Brand_Log!H174,"")</f>
        <v/>
      </c>
      <c r="C1174" s="23" t="str">
        <f aca="false">IF(B1174="","","brand")</f>
        <v/>
      </c>
      <c r="D1174" s="23" t="str">
        <f aca="false">IF(B1174="","",Brand_Log!DV174&amp;"")</f>
        <v/>
      </c>
      <c r="E1174" s="23" t="str">
        <f aca="false">IF(B1174="","",IF(Brand_Log!B174="","",Brand_Log!B174&amp;""))</f>
        <v/>
      </c>
      <c r="F1174" s="23" t="str">
        <f aca="false">IF(B1174="","","budget_probe")</f>
        <v/>
      </c>
      <c r="G1174" s="23" t="str">
        <f aca="false">IF(B1174="","",IF(ISNUMBER(Brand_Log!R174),Brand_Log!R174,""))</f>
        <v/>
      </c>
      <c r="H1174" s="23" t="str">
        <f aca="false">IF(B1174="","",IF(Brand_Log!S174="","",Brand_Log!S174&amp;""))</f>
        <v/>
      </c>
      <c r="I1174" s="23" t="str">
        <f aca="false">IF(B1174="","",IF(Brand_Log!O174="","",Brand_Log!O174&amp;""))</f>
        <v/>
      </c>
      <c r="J1174" s="23" t="str">
        <f aca="false">IF(B1174="","",IF(Brand_Log!T174="","","before_1500; "&amp;Brand_Log!T174))</f>
        <v/>
      </c>
      <c r="K1174" s="32" t="s">
        <v>1357</v>
      </c>
    </row>
    <row r="1175" customFormat="false" ht="15" hidden="false" customHeight="false" outlineLevel="0" collapsed="false">
      <c r="A1175" s="23" t="str">
        <f aca="false">IF(B1175="","",B1175+(6*1000+174)/10000000)</f>
        <v/>
      </c>
      <c r="B1175" s="35" t="str">
        <f aca="false">IF(AND(Brand_Log!AY175=1,OR(ISNUMBER(Brand_Log!R175),TRIM(Brand_Log!S175)&lt;&gt;"")),Brand_Log!H175,"")</f>
        <v/>
      </c>
      <c r="C1175" s="23" t="str">
        <f aca="false">IF(B1175="","","brand")</f>
        <v/>
      </c>
      <c r="D1175" s="23" t="str">
        <f aca="false">IF(B1175="","",Brand_Log!DV175&amp;"")</f>
        <v/>
      </c>
      <c r="E1175" s="23" t="str">
        <f aca="false">IF(B1175="","",IF(Brand_Log!B175="","",Brand_Log!B175&amp;""))</f>
        <v/>
      </c>
      <c r="F1175" s="23" t="str">
        <f aca="false">IF(B1175="","","budget_probe")</f>
        <v/>
      </c>
      <c r="G1175" s="23" t="str">
        <f aca="false">IF(B1175="","",IF(ISNUMBER(Brand_Log!R175),Brand_Log!R175,""))</f>
        <v/>
      </c>
      <c r="H1175" s="23" t="str">
        <f aca="false">IF(B1175="","",IF(Brand_Log!S175="","",Brand_Log!S175&amp;""))</f>
        <v/>
      </c>
      <c r="I1175" s="23" t="str">
        <f aca="false">IF(B1175="","",IF(Brand_Log!O175="","",Brand_Log!O175&amp;""))</f>
        <v/>
      </c>
      <c r="J1175" s="23" t="str">
        <f aca="false">IF(B1175="","",IF(Brand_Log!T175="","","before_1500; "&amp;Brand_Log!T175))</f>
        <v/>
      </c>
      <c r="K1175" s="32" t="s">
        <v>1357</v>
      </c>
    </row>
    <row r="1176" customFormat="false" ht="15" hidden="false" customHeight="false" outlineLevel="0" collapsed="false">
      <c r="A1176" s="23" t="str">
        <f aca="false">IF(B1176="","",B1176+(6*1000+175)/10000000)</f>
        <v/>
      </c>
      <c r="B1176" s="35" t="str">
        <f aca="false">IF(AND(Brand_Log!AY176=1,OR(ISNUMBER(Brand_Log!R176),TRIM(Brand_Log!S176)&lt;&gt;"")),Brand_Log!H176,"")</f>
        <v/>
      </c>
      <c r="C1176" s="23" t="str">
        <f aca="false">IF(B1176="","","brand")</f>
        <v/>
      </c>
      <c r="D1176" s="23" t="str">
        <f aca="false">IF(B1176="","",Brand_Log!DV176&amp;"")</f>
        <v/>
      </c>
      <c r="E1176" s="23" t="str">
        <f aca="false">IF(B1176="","",IF(Brand_Log!B176="","",Brand_Log!B176&amp;""))</f>
        <v/>
      </c>
      <c r="F1176" s="23" t="str">
        <f aca="false">IF(B1176="","","budget_probe")</f>
        <v/>
      </c>
      <c r="G1176" s="23" t="str">
        <f aca="false">IF(B1176="","",IF(ISNUMBER(Brand_Log!R176),Brand_Log!R176,""))</f>
        <v/>
      </c>
      <c r="H1176" s="23" t="str">
        <f aca="false">IF(B1176="","",IF(Brand_Log!S176="","",Brand_Log!S176&amp;""))</f>
        <v/>
      </c>
      <c r="I1176" s="23" t="str">
        <f aca="false">IF(B1176="","",IF(Brand_Log!O176="","",Brand_Log!O176&amp;""))</f>
        <v/>
      </c>
      <c r="J1176" s="23" t="str">
        <f aca="false">IF(B1176="","",IF(Brand_Log!T176="","","before_1500; "&amp;Brand_Log!T176))</f>
        <v/>
      </c>
      <c r="K1176" s="32" t="s">
        <v>1357</v>
      </c>
    </row>
    <row r="1177" customFormat="false" ht="15" hidden="false" customHeight="false" outlineLevel="0" collapsed="false">
      <c r="A1177" s="23" t="str">
        <f aca="false">IF(B1177="","",B1177+(6*1000+176)/10000000)</f>
        <v/>
      </c>
      <c r="B1177" s="35" t="str">
        <f aca="false">IF(AND(Brand_Log!AY177=1,OR(ISNUMBER(Brand_Log!R177),TRIM(Brand_Log!S177)&lt;&gt;"")),Brand_Log!H177,"")</f>
        <v/>
      </c>
      <c r="C1177" s="23" t="str">
        <f aca="false">IF(B1177="","","brand")</f>
        <v/>
      </c>
      <c r="D1177" s="23" t="str">
        <f aca="false">IF(B1177="","",Brand_Log!DV177&amp;"")</f>
        <v/>
      </c>
      <c r="E1177" s="23" t="str">
        <f aca="false">IF(B1177="","",IF(Brand_Log!B177="","",Brand_Log!B177&amp;""))</f>
        <v/>
      </c>
      <c r="F1177" s="23" t="str">
        <f aca="false">IF(B1177="","","budget_probe")</f>
        <v/>
      </c>
      <c r="G1177" s="23" t="str">
        <f aca="false">IF(B1177="","",IF(ISNUMBER(Brand_Log!R177),Brand_Log!R177,""))</f>
        <v/>
      </c>
      <c r="H1177" s="23" t="str">
        <f aca="false">IF(B1177="","",IF(Brand_Log!S177="","",Brand_Log!S177&amp;""))</f>
        <v/>
      </c>
      <c r="I1177" s="23" t="str">
        <f aca="false">IF(B1177="","",IF(Brand_Log!O177="","",Brand_Log!O177&amp;""))</f>
        <v/>
      </c>
      <c r="J1177" s="23" t="str">
        <f aca="false">IF(B1177="","",IF(Brand_Log!T177="","","before_1500; "&amp;Brand_Log!T177))</f>
        <v/>
      </c>
      <c r="K1177" s="32" t="s">
        <v>1357</v>
      </c>
    </row>
    <row r="1178" customFormat="false" ht="15" hidden="false" customHeight="false" outlineLevel="0" collapsed="false">
      <c r="A1178" s="23" t="str">
        <f aca="false">IF(B1178="","",B1178+(6*1000+177)/10000000)</f>
        <v/>
      </c>
      <c r="B1178" s="35" t="str">
        <f aca="false">IF(AND(Brand_Log!AY178=1,OR(ISNUMBER(Brand_Log!R178),TRIM(Brand_Log!S178)&lt;&gt;"")),Brand_Log!H178,"")</f>
        <v/>
      </c>
      <c r="C1178" s="23" t="str">
        <f aca="false">IF(B1178="","","brand")</f>
        <v/>
      </c>
      <c r="D1178" s="23" t="str">
        <f aca="false">IF(B1178="","",Brand_Log!DV178&amp;"")</f>
        <v/>
      </c>
      <c r="E1178" s="23" t="str">
        <f aca="false">IF(B1178="","",IF(Brand_Log!B178="","",Brand_Log!B178&amp;""))</f>
        <v/>
      </c>
      <c r="F1178" s="23" t="str">
        <f aca="false">IF(B1178="","","budget_probe")</f>
        <v/>
      </c>
      <c r="G1178" s="23" t="str">
        <f aca="false">IF(B1178="","",IF(ISNUMBER(Brand_Log!R178),Brand_Log!R178,""))</f>
        <v/>
      </c>
      <c r="H1178" s="23" t="str">
        <f aca="false">IF(B1178="","",IF(Brand_Log!S178="","",Brand_Log!S178&amp;""))</f>
        <v/>
      </c>
      <c r="I1178" s="23" t="str">
        <f aca="false">IF(B1178="","",IF(Brand_Log!O178="","",Brand_Log!O178&amp;""))</f>
        <v/>
      </c>
      <c r="J1178" s="23" t="str">
        <f aca="false">IF(B1178="","",IF(Brand_Log!T178="","","before_1500; "&amp;Brand_Log!T178))</f>
        <v/>
      </c>
      <c r="K1178" s="32" t="s">
        <v>1357</v>
      </c>
    </row>
    <row r="1179" customFormat="false" ht="15" hidden="false" customHeight="false" outlineLevel="0" collapsed="false">
      <c r="A1179" s="23" t="str">
        <f aca="false">IF(B1179="","",B1179+(6*1000+178)/10000000)</f>
        <v/>
      </c>
      <c r="B1179" s="35" t="str">
        <f aca="false">IF(AND(Brand_Log!AY179=1,OR(ISNUMBER(Brand_Log!R179),TRIM(Brand_Log!S179)&lt;&gt;"")),Brand_Log!H179,"")</f>
        <v/>
      </c>
      <c r="C1179" s="23" t="str">
        <f aca="false">IF(B1179="","","brand")</f>
        <v/>
      </c>
      <c r="D1179" s="23" t="str">
        <f aca="false">IF(B1179="","",Brand_Log!DV179&amp;"")</f>
        <v/>
      </c>
      <c r="E1179" s="23" t="str">
        <f aca="false">IF(B1179="","",IF(Brand_Log!B179="","",Brand_Log!B179&amp;""))</f>
        <v/>
      </c>
      <c r="F1179" s="23" t="str">
        <f aca="false">IF(B1179="","","budget_probe")</f>
        <v/>
      </c>
      <c r="G1179" s="23" t="str">
        <f aca="false">IF(B1179="","",IF(ISNUMBER(Brand_Log!R179),Brand_Log!R179,""))</f>
        <v/>
      </c>
      <c r="H1179" s="23" t="str">
        <f aca="false">IF(B1179="","",IF(Brand_Log!S179="","",Brand_Log!S179&amp;""))</f>
        <v/>
      </c>
      <c r="I1179" s="23" t="str">
        <f aca="false">IF(B1179="","",IF(Brand_Log!O179="","",Brand_Log!O179&amp;""))</f>
        <v/>
      </c>
      <c r="J1179" s="23" t="str">
        <f aca="false">IF(B1179="","",IF(Brand_Log!T179="","","before_1500; "&amp;Brand_Log!T179))</f>
        <v/>
      </c>
      <c r="K1179" s="32" t="s">
        <v>1357</v>
      </c>
    </row>
    <row r="1180" customFormat="false" ht="15" hidden="false" customHeight="false" outlineLevel="0" collapsed="false">
      <c r="A1180" s="23" t="str">
        <f aca="false">IF(B1180="","",B1180+(6*1000+179)/10000000)</f>
        <v/>
      </c>
      <c r="B1180" s="35" t="str">
        <f aca="false">IF(AND(Brand_Log!AY180=1,OR(ISNUMBER(Brand_Log!R180),TRIM(Brand_Log!S180)&lt;&gt;"")),Brand_Log!H180,"")</f>
        <v/>
      </c>
      <c r="C1180" s="23" t="str">
        <f aca="false">IF(B1180="","","brand")</f>
        <v/>
      </c>
      <c r="D1180" s="23" t="str">
        <f aca="false">IF(B1180="","",Brand_Log!DV180&amp;"")</f>
        <v/>
      </c>
      <c r="E1180" s="23" t="str">
        <f aca="false">IF(B1180="","",IF(Brand_Log!B180="","",Brand_Log!B180&amp;""))</f>
        <v/>
      </c>
      <c r="F1180" s="23" t="str">
        <f aca="false">IF(B1180="","","budget_probe")</f>
        <v/>
      </c>
      <c r="G1180" s="23" t="str">
        <f aca="false">IF(B1180="","",IF(ISNUMBER(Brand_Log!R180),Brand_Log!R180,""))</f>
        <v/>
      </c>
      <c r="H1180" s="23" t="str">
        <f aca="false">IF(B1180="","",IF(Brand_Log!S180="","",Brand_Log!S180&amp;""))</f>
        <v/>
      </c>
      <c r="I1180" s="23" t="str">
        <f aca="false">IF(B1180="","",IF(Brand_Log!O180="","",Brand_Log!O180&amp;""))</f>
        <v/>
      </c>
      <c r="J1180" s="23" t="str">
        <f aca="false">IF(B1180="","",IF(Brand_Log!T180="","","before_1500; "&amp;Brand_Log!T180))</f>
        <v/>
      </c>
      <c r="K1180" s="32" t="s">
        <v>1357</v>
      </c>
    </row>
    <row r="1181" customFormat="false" ht="15" hidden="false" customHeight="false" outlineLevel="0" collapsed="false">
      <c r="A1181" s="23" t="str">
        <f aca="false">IF(B1181="","",B1181+(6*1000+180)/10000000)</f>
        <v/>
      </c>
      <c r="B1181" s="35" t="str">
        <f aca="false">IF(AND(Brand_Log!AY181=1,OR(ISNUMBER(Brand_Log!R181),TRIM(Brand_Log!S181)&lt;&gt;"")),Brand_Log!H181,"")</f>
        <v/>
      </c>
      <c r="C1181" s="23" t="str">
        <f aca="false">IF(B1181="","","brand")</f>
        <v/>
      </c>
      <c r="D1181" s="23" t="str">
        <f aca="false">IF(B1181="","",Brand_Log!DV181&amp;"")</f>
        <v/>
      </c>
      <c r="E1181" s="23" t="str">
        <f aca="false">IF(B1181="","",IF(Brand_Log!B181="","",Brand_Log!B181&amp;""))</f>
        <v/>
      </c>
      <c r="F1181" s="23" t="str">
        <f aca="false">IF(B1181="","","budget_probe")</f>
        <v/>
      </c>
      <c r="G1181" s="23" t="str">
        <f aca="false">IF(B1181="","",IF(ISNUMBER(Brand_Log!R181),Brand_Log!R181,""))</f>
        <v/>
      </c>
      <c r="H1181" s="23" t="str">
        <f aca="false">IF(B1181="","",IF(Brand_Log!S181="","",Brand_Log!S181&amp;""))</f>
        <v/>
      </c>
      <c r="I1181" s="23" t="str">
        <f aca="false">IF(B1181="","",IF(Brand_Log!O181="","",Brand_Log!O181&amp;""))</f>
        <v/>
      </c>
      <c r="J1181" s="23" t="str">
        <f aca="false">IF(B1181="","",IF(Brand_Log!T181="","","before_1500; "&amp;Brand_Log!T181))</f>
        <v/>
      </c>
      <c r="K1181" s="32" t="s">
        <v>1357</v>
      </c>
    </row>
    <row r="1182" customFormat="false" ht="15" hidden="false" customHeight="false" outlineLevel="0" collapsed="false">
      <c r="A1182" s="23" t="str">
        <f aca="false">IF(B1182="","",B1182+(6*1000+181)/10000000)</f>
        <v/>
      </c>
      <c r="B1182" s="35" t="str">
        <f aca="false">IF(AND(Brand_Log!AY182=1,OR(ISNUMBER(Brand_Log!R182),TRIM(Brand_Log!S182)&lt;&gt;"")),Brand_Log!H182,"")</f>
        <v/>
      </c>
      <c r="C1182" s="23" t="str">
        <f aca="false">IF(B1182="","","brand")</f>
        <v/>
      </c>
      <c r="D1182" s="23" t="str">
        <f aca="false">IF(B1182="","",Brand_Log!DV182&amp;"")</f>
        <v/>
      </c>
      <c r="E1182" s="23" t="str">
        <f aca="false">IF(B1182="","",IF(Brand_Log!B182="","",Brand_Log!B182&amp;""))</f>
        <v/>
      </c>
      <c r="F1182" s="23" t="str">
        <f aca="false">IF(B1182="","","budget_probe")</f>
        <v/>
      </c>
      <c r="G1182" s="23" t="str">
        <f aca="false">IF(B1182="","",IF(ISNUMBER(Brand_Log!R182),Brand_Log!R182,""))</f>
        <v/>
      </c>
      <c r="H1182" s="23" t="str">
        <f aca="false">IF(B1182="","",IF(Brand_Log!S182="","",Brand_Log!S182&amp;""))</f>
        <v/>
      </c>
      <c r="I1182" s="23" t="str">
        <f aca="false">IF(B1182="","",IF(Brand_Log!O182="","",Brand_Log!O182&amp;""))</f>
        <v/>
      </c>
      <c r="J1182" s="23" t="str">
        <f aca="false">IF(B1182="","",IF(Brand_Log!T182="","","before_1500; "&amp;Brand_Log!T182))</f>
        <v/>
      </c>
      <c r="K1182" s="32" t="s">
        <v>1357</v>
      </c>
    </row>
    <row r="1183" customFormat="false" ht="15" hidden="false" customHeight="false" outlineLevel="0" collapsed="false">
      <c r="A1183" s="23" t="str">
        <f aca="false">IF(B1183="","",B1183+(6*1000+182)/10000000)</f>
        <v/>
      </c>
      <c r="B1183" s="35" t="str">
        <f aca="false">IF(AND(Brand_Log!AY183=1,OR(ISNUMBER(Brand_Log!R183),TRIM(Brand_Log!S183)&lt;&gt;"")),Brand_Log!H183,"")</f>
        <v/>
      </c>
      <c r="C1183" s="23" t="str">
        <f aca="false">IF(B1183="","","brand")</f>
        <v/>
      </c>
      <c r="D1183" s="23" t="str">
        <f aca="false">IF(B1183="","",Brand_Log!DV183&amp;"")</f>
        <v/>
      </c>
      <c r="E1183" s="23" t="str">
        <f aca="false">IF(B1183="","",IF(Brand_Log!B183="","",Brand_Log!B183&amp;""))</f>
        <v/>
      </c>
      <c r="F1183" s="23" t="str">
        <f aca="false">IF(B1183="","","budget_probe")</f>
        <v/>
      </c>
      <c r="G1183" s="23" t="str">
        <f aca="false">IF(B1183="","",IF(ISNUMBER(Brand_Log!R183),Brand_Log!R183,""))</f>
        <v/>
      </c>
      <c r="H1183" s="23" t="str">
        <f aca="false">IF(B1183="","",IF(Brand_Log!S183="","",Brand_Log!S183&amp;""))</f>
        <v/>
      </c>
      <c r="I1183" s="23" t="str">
        <f aca="false">IF(B1183="","",IF(Brand_Log!O183="","",Brand_Log!O183&amp;""))</f>
        <v/>
      </c>
      <c r="J1183" s="23" t="str">
        <f aca="false">IF(B1183="","",IF(Brand_Log!T183="","","before_1500; "&amp;Brand_Log!T183))</f>
        <v/>
      </c>
      <c r="K1183" s="32" t="s">
        <v>1357</v>
      </c>
    </row>
    <row r="1184" customFormat="false" ht="15" hidden="false" customHeight="false" outlineLevel="0" collapsed="false">
      <c r="A1184" s="23" t="str">
        <f aca="false">IF(B1184="","",B1184+(6*1000+183)/10000000)</f>
        <v/>
      </c>
      <c r="B1184" s="35" t="str">
        <f aca="false">IF(AND(Brand_Log!AY184=1,OR(ISNUMBER(Brand_Log!R184),TRIM(Brand_Log!S184)&lt;&gt;"")),Brand_Log!H184,"")</f>
        <v/>
      </c>
      <c r="C1184" s="23" t="str">
        <f aca="false">IF(B1184="","","brand")</f>
        <v/>
      </c>
      <c r="D1184" s="23" t="str">
        <f aca="false">IF(B1184="","",Brand_Log!DV184&amp;"")</f>
        <v/>
      </c>
      <c r="E1184" s="23" t="str">
        <f aca="false">IF(B1184="","",IF(Brand_Log!B184="","",Brand_Log!B184&amp;""))</f>
        <v/>
      </c>
      <c r="F1184" s="23" t="str">
        <f aca="false">IF(B1184="","","budget_probe")</f>
        <v/>
      </c>
      <c r="G1184" s="23" t="str">
        <f aca="false">IF(B1184="","",IF(ISNUMBER(Brand_Log!R184),Brand_Log!R184,""))</f>
        <v/>
      </c>
      <c r="H1184" s="23" t="str">
        <f aca="false">IF(B1184="","",IF(Brand_Log!S184="","",Brand_Log!S184&amp;""))</f>
        <v/>
      </c>
      <c r="I1184" s="23" t="str">
        <f aca="false">IF(B1184="","",IF(Brand_Log!O184="","",Brand_Log!O184&amp;""))</f>
        <v/>
      </c>
      <c r="J1184" s="23" t="str">
        <f aca="false">IF(B1184="","",IF(Brand_Log!T184="","","before_1500; "&amp;Brand_Log!T184))</f>
        <v/>
      </c>
      <c r="K1184" s="32" t="s">
        <v>1357</v>
      </c>
    </row>
    <row r="1185" customFormat="false" ht="15" hidden="false" customHeight="false" outlineLevel="0" collapsed="false">
      <c r="A1185" s="23" t="str">
        <f aca="false">IF(B1185="","",B1185+(6*1000+184)/10000000)</f>
        <v/>
      </c>
      <c r="B1185" s="35" t="str">
        <f aca="false">IF(AND(Brand_Log!AY185=1,OR(ISNUMBER(Brand_Log!R185),TRIM(Brand_Log!S185)&lt;&gt;"")),Brand_Log!H185,"")</f>
        <v/>
      </c>
      <c r="C1185" s="23" t="str">
        <f aca="false">IF(B1185="","","brand")</f>
        <v/>
      </c>
      <c r="D1185" s="23" t="str">
        <f aca="false">IF(B1185="","",Brand_Log!DV185&amp;"")</f>
        <v/>
      </c>
      <c r="E1185" s="23" t="str">
        <f aca="false">IF(B1185="","",IF(Brand_Log!B185="","",Brand_Log!B185&amp;""))</f>
        <v/>
      </c>
      <c r="F1185" s="23" t="str">
        <f aca="false">IF(B1185="","","budget_probe")</f>
        <v/>
      </c>
      <c r="G1185" s="23" t="str">
        <f aca="false">IF(B1185="","",IF(ISNUMBER(Brand_Log!R185),Brand_Log!R185,""))</f>
        <v/>
      </c>
      <c r="H1185" s="23" t="str">
        <f aca="false">IF(B1185="","",IF(Brand_Log!S185="","",Brand_Log!S185&amp;""))</f>
        <v/>
      </c>
      <c r="I1185" s="23" t="str">
        <f aca="false">IF(B1185="","",IF(Brand_Log!O185="","",Brand_Log!O185&amp;""))</f>
        <v/>
      </c>
      <c r="J1185" s="23" t="str">
        <f aca="false">IF(B1185="","",IF(Brand_Log!T185="","","before_1500; "&amp;Brand_Log!T185))</f>
        <v/>
      </c>
      <c r="K1185" s="32" t="s">
        <v>1357</v>
      </c>
    </row>
    <row r="1186" customFormat="false" ht="15" hidden="false" customHeight="false" outlineLevel="0" collapsed="false">
      <c r="A1186" s="23" t="str">
        <f aca="false">IF(B1186="","",B1186+(6*1000+185)/10000000)</f>
        <v/>
      </c>
      <c r="B1186" s="35" t="str">
        <f aca="false">IF(AND(Brand_Log!AY186=1,OR(ISNUMBER(Brand_Log!R186),TRIM(Brand_Log!S186)&lt;&gt;"")),Brand_Log!H186,"")</f>
        <v/>
      </c>
      <c r="C1186" s="23" t="str">
        <f aca="false">IF(B1186="","","brand")</f>
        <v/>
      </c>
      <c r="D1186" s="23" t="str">
        <f aca="false">IF(B1186="","",Brand_Log!DV186&amp;"")</f>
        <v/>
      </c>
      <c r="E1186" s="23" t="str">
        <f aca="false">IF(B1186="","",IF(Brand_Log!B186="","",Brand_Log!B186&amp;""))</f>
        <v/>
      </c>
      <c r="F1186" s="23" t="str">
        <f aca="false">IF(B1186="","","budget_probe")</f>
        <v/>
      </c>
      <c r="G1186" s="23" t="str">
        <f aca="false">IF(B1186="","",IF(ISNUMBER(Brand_Log!R186),Brand_Log!R186,""))</f>
        <v/>
      </c>
      <c r="H1186" s="23" t="str">
        <f aca="false">IF(B1186="","",IF(Brand_Log!S186="","",Brand_Log!S186&amp;""))</f>
        <v/>
      </c>
      <c r="I1186" s="23" t="str">
        <f aca="false">IF(B1186="","",IF(Brand_Log!O186="","",Brand_Log!O186&amp;""))</f>
        <v/>
      </c>
      <c r="J1186" s="23" t="str">
        <f aca="false">IF(B1186="","",IF(Brand_Log!T186="","","before_1500; "&amp;Brand_Log!T186))</f>
        <v/>
      </c>
      <c r="K1186" s="32" t="s">
        <v>1357</v>
      </c>
    </row>
    <row r="1187" customFormat="false" ht="15" hidden="false" customHeight="false" outlineLevel="0" collapsed="false">
      <c r="A1187" s="23" t="str">
        <f aca="false">IF(B1187="","",B1187+(6*1000+186)/10000000)</f>
        <v/>
      </c>
      <c r="B1187" s="35" t="str">
        <f aca="false">IF(AND(Brand_Log!AY187=1,OR(ISNUMBER(Brand_Log!R187),TRIM(Brand_Log!S187)&lt;&gt;"")),Brand_Log!H187,"")</f>
        <v/>
      </c>
      <c r="C1187" s="23" t="str">
        <f aca="false">IF(B1187="","","brand")</f>
        <v/>
      </c>
      <c r="D1187" s="23" t="str">
        <f aca="false">IF(B1187="","",Brand_Log!DV187&amp;"")</f>
        <v/>
      </c>
      <c r="E1187" s="23" t="str">
        <f aca="false">IF(B1187="","",IF(Brand_Log!B187="","",Brand_Log!B187&amp;""))</f>
        <v/>
      </c>
      <c r="F1187" s="23" t="str">
        <f aca="false">IF(B1187="","","budget_probe")</f>
        <v/>
      </c>
      <c r="G1187" s="23" t="str">
        <f aca="false">IF(B1187="","",IF(ISNUMBER(Brand_Log!R187),Brand_Log!R187,""))</f>
        <v/>
      </c>
      <c r="H1187" s="23" t="str">
        <f aca="false">IF(B1187="","",IF(Brand_Log!S187="","",Brand_Log!S187&amp;""))</f>
        <v/>
      </c>
      <c r="I1187" s="23" t="str">
        <f aca="false">IF(B1187="","",IF(Brand_Log!O187="","",Brand_Log!O187&amp;""))</f>
        <v/>
      </c>
      <c r="J1187" s="23" t="str">
        <f aca="false">IF(B1187="","",IF(Brand_Log!T187="","","before_1500; "&amp;Brand_Log!T187))</f>
        <v/>
      </c>
      <c r="K1187" s="32" t="s">
        <v>1357</v>
      </c>
    </row>
    <row r="1188" customFormat="false" ht="15" hidden="false" customHeight="false" outlineLevel="0" collapsed="false">
      <c r="A1188" s="23" t="str">
        <f aca="false">IF(B1188="","",B1188+(6*1000+187)/10000000)</f>
        <v/>
      </c>
      <c r="B1188" s="35" t="str">
        <f aca="false">IF(AND(Brand_Log!AY188=1,OR(ISNUMBER(Brand_Log!R188),TRIM(Brand_Log!S188)&lt;&gt;"")),Brand_Log!H188,"")</f>
        <v/>
      </c>
      <c r="C1188" s="23" t="str">
        <f aca="false">IF(B1188="","","brand")</f>
        <v/>
      </c>
      <c r="D1188" s="23" t="str">
        <f aca="false">IF(B1188="","",Brand_Log!DV188&amp;"")</f>
        <v/>
      </c>
      <c r="E1188" s="23" t="str">
        <f aca="false">IF(B1188="","",IF(Brand_Log!B188="","",Brand_Log!B188&amp;""))</f>
        <v/>
      </c>
      <c r="F1188" s="23" t="str">
        <f aca="false">IF(B1188="","","budget_probe")</f>
        <v/>
      </c>
      <c r="G1188" s="23" t="str">
        <f aca="false">IF(B1188="","",IF(ISNUMBER(Brand_Log!R188),Brand_Log!R188,""))</f>
        <v/>
      </c>
      <c r="H1188" s="23" t="str">
        <f aca="false">IF(B1188="","",IF(Brand_Log!S188="","",Brand_Log!S188&amp;""))</f>
        <v/>
      </c>
      <c r="I1188" s="23" t="str">
        <f aca="false">IF(B1188="","",IF(Brand_Log!O188="","",Brand_Log!O188&amp;""))</f>
        <v/>
      </c>
      <c r="J1188" s="23" t="str">
        <f aca="false">IF(B1188="","",IF(Brand_Log!T188="","","before_1500; "&amp;Brand_Log!T188))</f>
        <v/>
      </c>
      <c r="K1188" s="32" t="s">
        <v>1357</v>
      </c>
    </row>
    <row r="1189" customFormat="false" ht="15" hidden="false" customHeight="false" outlineLevel="0" collapsed="false">
      <c r="A1189" s="23" t="str">
        <f aca="false">IF(B1189="","",B1189+(6*1000+188)/10000000)</f>
        <v/>
      </c>
      <c r="B1189" s="35" t="str">
        <f aca="false">IF(AND(Brand_Log!AY189=1,OR(ISNUMBER(Brand_Log!R189),TRIM(Brand_Log!S189)&lt;&gt;"")),Brand_Log!H189,"")</f>
        <v/>
      </c>
      <c r="C1189" s="23" t="str">
        <f aca="false">IF(B1189="","","brand")</f>
        <v/>
      </c>
      <c r="D1189" s="23" t="str">
        <f aca="false">IF(B1189="","",Brand_Log!DV189&amp;"")</f>
        <v/>
      </c>
      <c r="E1189" s="23" t="str">
        <f aca="false">IF(B1189="","",IF(Brand_Log!B189="","",Brand_Log!B189&amp;""))</f>
        <v/>
      </c>
      <c r="F1189" s="23" t="str">
        <f aca="false">IF(B1189="","","budget_probe")</f>
        <v/>
      </c>
      <c r="G1189" s="23" t="str">
        <f aca="false">IF(B1189="","",IF(ISNUMBER(Brand_Log!R189),Brand_Log!R189,""))</f>
        <v/>
      </c>
      <c r="H1189" s="23" t="str">
        <f aca="false">IF(B1189="","",IF(Brand_Log!S189="","",Brand_Log!S189&amp;""))</f>
        <v/>
      </c>
      <c r="I1189" s="23" t="str">
        <f aca="false">IF(B1189="","",IF(Brand_Log!O189="","",Brand_Log!O189&amp;""))</f>
        <v/>
      </c>
      <c r="J1189" s="23" t="str">
        <f aca="false">IF(B1189="","",IF(Brand_Log!T189="","","before_1500; "&amp;Brand_Log!T189))</f>
        <v/>
      </c>
      <c r="K1189" s="32" t="s">
        <v>1357</v>
      </c>
    </row>
    <row r="1190" customFormat="false" ht="15" hidden="false" customHeight="false" outlineLevel="0" collapsed="false">
      <c r="A1190" s="23" t="str">
        <f aca="false">IF(B1190="","",B1190+(6*1000+189)/10000000)</f>
        <v/>
      </c>
      <c r="B1190" s="35" t="str">
        <f aca="false">IF(AND(Brand_Log!AY190=1,OR(ISNUMBER(Brand_Log!R190),TRIM(Brand_Log!S190)&lt;&gt;"")),Brand_Log!H190,"")</f>
        <v/>
      </c>
      <c r="C1190" s="23" t="str">
        <f aca="false">IF(B1190="","","brand")</f>
        <v/>
      </c>
      <c r="D1190" s="23" t="str">
        <f aca="false">IF(B1190="","",Brand_Log!DV190&amp;"")</f>
        <v/>
      </c>
      <c r="E1190" s="23" t="str">
        <f aca="false">IF(B1190="","",IF(Brand_Log!B190="","",Brand_Log!B190&amp;""))</f>
        <v/>
      </c>
      <c r="F1190" s="23" t="str">
        <f aca="false">IF(B1190="","","budget_probe")</f>
        <v/>
      </c>
      <c r="G1190" s="23" t="str">
        <f aca="false">IF(B1190="","",IF(ISNUMBER(Brand_Log!R190),Brand_Log!R190,""))</f>
        <v/>
      </c>
      <c r="H1190" s="23" t="str">
        <f aca="false">IF(B1190="","",IF(Brand_Log!S190="","",Brand_Log!S190&amp;""))</f>
        <v/>
      </c>
      <c r="I1190" s="23" t="str">
        <f aca="false">IF(B1190="","",IF(Brand_Log!O190="","",Brand_Log!O190&amp;""))</f>
        <v/>
      </c>
      <c r="J1190" s="23" t="str">
        <f aca="false">IF(B1190="","",IF(Brand_Log!T190="","","before_1500; "&amp;Brand_Log!T190))</f>
        <v/>
      </c>
      <c r="K1190" s="32" t="s">
        <v>1357</v>
      </c>
    </row>
    <row r="1191" customFormat="false" ht="15" hidden="false" customHeight="false" outlineLevel="0" collapsed="false">
      <c r="A1191" s="23" t="str">
        <f aca="false">IF(B1191="","",B1191+(6*1000+190)/10000000)</f>
        <v/>
      </c>
      <c r="B1191" s="35" t="str">
        <f aca="false">IF(AND(Brand_Log!AY191=1,OR(ISNUMBER(Brand_Log!R191),TRIM(Brand_Log!S191)&lt;&gt;"")),Brand_Log!H191,"")</f>
        <v/>
      </c>
      <c r="C1191" s="23" t="str">
        <f aca="false">IF(B1191="","","brand")</f>
        <v/>
      </c>
      <c r="D1191" s="23" t="str">
        <f aca="false">IF(B1191="","",Brand_Log!DV191&amp;"")</f>
        <v/>
      </c>
      <c r="E1191" s="23" t="str">
        <f aca="false">IF(B1191="","",IF(Brand_Log!B191="","",Brand_Log!B191&amp;""))</f>
        <v/>
      </c>
      <c r="F1191" s="23" t="str">
        <f aca="false">IF(B1191="","","budget_probe")</f>
        <v/>
      </c>
      <c r="G1191" s="23" t="str">
        <f aca="false">IF(B1191="","",IF(ISNUMBER(Brand_Log!R191),Brand_Log!R191,""))</f>
        <v/>
      </c>
      <c r="H1191" s="23" t="str">
        <f aca="false">IF(B1191="","",IF(Brand_Log!S191="","",Brand_Log!S191&amp;""))</f>
        <v/>
      </c>
      <c r="I1191" s="23" t="str">
        <f aca="false">IF(B1191="","",IF(Brand_Log!O191="","",Brand_Log!O191&amp;""))</f>
        <v/>
      </c>
      <c r="J1191" s="23" t="str">
        <f aca="false">IF(B1191="","",IF(Brand_Log!T191="","","before_1500; "&amp;Brand_Log!T191))</f>
        <v/>
      </c>
      <c r="K1191" s="32" t="s">
        <v>1357</v>
      </c>
    </row>
    <row r="1192" customFormat="false" ht="15" hidden="false" customHeight="false" outlineLevel="0" collapsed="false">
      <c r="A1192" s="23" t="str">
        <f aca="false">IF(B1192="","",B1192+(6*1000+191)/10000000)</f>
        <v/>
      </c>
      <c r="B1192" s="35" t="str">
        <f aca="false">IF(AND(Brand_Log!AY192=1,OR(ISNUMBER(Brand_Log!R192),TRIM(Brand_Log!S192)&lt;&gt;"")),Brand_Log!H192,"")</f>
        <v/>
      </c>
      <c r="C1192" s="23" t="str">
        <f aca="false">IF(B1192="","","brand")</f>
        <v/>
      </c>
      <c r="D1192" s="23" t="str">
        <f aca="false">IF(B1192="","",Brand_Log!DV192&amp;"")</f>
        <v/>
      </c>
      <c r="E1192" s="23" t="str">
        <f aca="false">IF(B1192="","",IF(Brand_Log!B192="","",Brand_Log!B192&amp;""))</f>
        <v/>
      </c>
      <c r="F1192" s="23" t="str">
        <f aca="false">IF(B1192="","","budget_probe")</f>
        <v/>
      </c>
      <c r="G1192" s="23" t="str">
        <f aca="false">IF(B1192="","",IF(ISNUMBER(Brand_Log!R192),Brand_Log!R192,""))</f>
        <v/>
      </c>
      <c r="H1192" s="23" t="str">
        <f aca="false">IF(B1192="","",IF(Brand_Log!S192="","",Brand_Log!S192&amp;""))</f>
        <v/>
      </c>
      <c r="I1192" s="23" t="str">
        <f aca="false">IF(B1192="","",IF(Brand_Log!O192="","",Brand_Log!O192&amp;""))</f>
        <v/>
      </c>
      <c r="J1192" s="23" t="str">
        <f aca="false">IF(B1192="","",IF(Brand_Log!T192="","","before_1500; "&amp;Brand_Log!T192))</f>
        <v/>
      </c>
      <c r="K1192" s="32" t="s">
        <v>1357</v>
      </c>
    </row>
    <row r="1193" customFormat="false" ht="15" hidden="false" customHeight="false" outlineLevel="0" collapsed="false">
      <c r="A1193" s="23" t="str">
        <f aca="false">IF(B1193="","",B1193+(6*1000+192)/10000000)</f>
        <v/>
      </c>
      <c r="B1193" s="35" t="str">
        <f aca="false">IF(AND(Brand_Log!AY193=1,OR(ISNUMBER(Brand_Log!R193),TRIM(Brand_Log!S193)&lt;&gt;"")),Brand_Log!H193,"")</f>
        <v/>
      </c>
      <c r="C1193" s="23" t="str">
        <f aca="false">IF(B1193="","","brand")</f>
        <v/>
      </c>
      <c r="D1193" s="23" t="str">
        <f aca="false">IF(B1193="","",Brand_Log!DV193&amp;"")</f>
        <v/>
      </c>
      <c r="E1193" s="23" t="str">
        <f aca="false">IF(B1193="","",IF(Brand_Log!B193="","",Brand_Log!B193&amp;""))</f>
        <v/>
      </c>
      <c r="F1193" s="23" t="str">
        <f aca="false">IF(B1193="","","budget_probe")</f>
        <v/>
      </c>
      <c r="G1193" s="23" t="str">
        <f aca="false">IF(B1193="","",IF(ISNUMBER(Brand_Log!R193),Brand_Log!R193,""))</f>
        <v/>
      </c>
      <c r="H1193" s="23" t="str">
        <f aca="false">IF(B1193="","",IF(Brand_Log!S193="","",Brand_Log!S193&amp;""))</f>
        <v/>
      </c>
      <c r="I1193" s="23" t="str">
        <f aca="false">IF(B1193="","",IF(Brand_Log!O193="","",Brand_Log!O193&amp;""))</f>
        <v/>
      </c>
      <c r="J1193" s="23" t="str">
        <f aca="false">IF(B1193="","",IF(Brand_Log!T193="","","before_1500; "&amp;Brand_Log!T193))</f>
        <v/>
      </c>
      <c r="K1193" s="32" t="s">
        <v>1357</v>
      </c>
    </row>
    <row r="1194" customFormat="false" ht="15" hidden="false" customHeight="false" outlineLevel="0" collapsed="false">
      <c r="A1194" s="23" t="str">
        <f aca="false">IF(B1194="","",B1194+(6*1000+193)/10000000)</f>
        <v/>
      </c>
      <c r="B1194" s="35" t="str">
        <f aca="false">IF(AND(Brand_Log!AY194=1,OR(ISNUMBER(Brand_Log!R194),TRIM(Brand_Log!S194)&lt;&gt;"")),Brand_Log!H194,"")</f>
        <v/>
      </c>
      <c r="C1194" s="23" t="str">
        <f aca="false">IF(B1194="","","brand")</f>
        <v/>
      </c>
      <c r="D1194" s="23" t="str">
        <f aca="false">IF(B1194="","",Brand_Log!DV194&amp;"")</f>
        <v/>
      </c>
      <c r="E1194" s="23" t="str">
        <f aca="false">IF(B1194="","",IF(Brand_Log!B194="","",Brand_Log!B194&amp;""))</f>
        <v/>
      </c>
      <c r="F1194" s="23" t="str">
        <f aca="false">IF(B1194="","","budget_probe")</f>
        <v/>
      </c>
      <c r="G1194" s="23" t="str">
        <f aca="false">IF(B1194="","",IF(ISNUMBER(Brand_Log!R194),Brand_Log!R194,""))</f>
        <v/>
      </c>
      <c r="H1194" s="23" t="str">
        <f aca="false">IF(B1194="","",IF(Brand_Log!S194="","",Brand_Log!S194&amp;""))</f>
        <v/>
      </c>
      <c r="I1194" s="23" t="str">
        <f aca="false">IF(B1194="","",IF(Brand_Log!O194="","",Brand_Log!O194&amp;""))</f>
        <v/>
      </c>
      <c r="J1194" s="23" t="str">
        <f aca="false">IF(B1194="","",IF(Brand_Log!T194="","","before_1500; "&amp;Brand_Log!T194))</f>
        <v/>
      </c>
      <c r="K1194" s="32" t="s">
        <v>1357</v>
      </c>
    </row>
    <row r="1195" customFormat="false" ht="15" hidden="false" customHeight="false" outlineLevel="0" collapsed="false">
      <c r="A1195" s="23" t="str">
        <f aca="false">IF(B1195="","",B1195+(6*1000+194)/10000000)</f>
        <v/>
      </c>
      <c r="B1195" s="35" t="str">
        <f aca="false">IF(AND(Brand_Log!AY195=1,OR(ISNUMBER(Brand_Log!R195),TRIM(Brand_Log!S195)&lt;&gt;"")),Brand_Log!H195,"")</f>
        <v/>
      </c>
      <c r="C1195" s="23" t="str">
        <f aca="false">IF(B1195="","","brand")</f>
        <v/>
      </c>
      <c r="D1195" s="23" t="str">
        <f aca="false">IF(B1195="","",Brand_Log!DV195&amp;"")</f>
        <v/>
      </c>
      <c r="E1195" s="23" t="str">
        <f aca="false">IF(B1195="","",IF(Brand_Log!B195="","",Brand_Log!B195&amp;""))</f>
        <v/>
      </c>
      <c r="F1195" s="23" t="str">
        <f aca="false">IF(B1195="","","budget_probe")</f>
        <v/>
      </c>
      <c r="G1195" s="23" t="str">
        <f aca="false">IF(B1195="","",IF(ISNUMBER(Brand_Log!R195),Brand_Log!R195,""))</f>
        <v/>
      </c>
      <c r="H1195" s="23" t="str">
        <f aca="false">IF(B1195="","",IF(Brand_Log!S195="","",Brand_Log!S195&amp;""))</f>
        <v/>
      </c>
      <c r="I1195" s="23" t="str">
        <f aca="false">IF(B1195="","",IF(Brand_Log!O195="","",Brand_Log!O195&amp;""))</f>
        <v/>
      </c>
      <c r="J1195" s="23" t="str">
        <f aca="false">IF(B1195="","",IF(Brand_Log!T195="","","before_1500; "&amp;Brand_Log!T195))</f>
        <v/>
      </c>
      <c r="K1195" s="32" t="s">
        <v>1357</v>
      </c>
    </row>
    <row r="1196" customFormat="false" ht="15" hidden="false" customHeight="false" outlineLevel="0" collapsed="false">
      <c r="A1196" s="23" t="str">
        <f aca="false">IF(B1196="","",B1196+(6*1000+195)/10000000)</f>
        <v/>
      </c>
      <c r="B1196" s="35" t="str">
        <f aca="false">IF(AND(Brand_Log!AY196=1,OR(ISNUMBER(Brand_Log!R196),TRIM(Brand_Log!S196)&lt;&gt;"")),Brand_Log!H196,"")</f>
        <v/>
      </c>
      <c r="C1196" s="23" t="str">
        <f aca="false">IF(B1196="","","brand")</f>
        <v/>
      </c>
      <c r="D1196" s="23" t="str">
        <f aca="false">IF(B1196="","",Brand_Log!DV196&amp;"")</f>
        <v/>
      </c>
      <c r="E1196" s="23" t="str">
        <f aca="false">IF(B1196="","",IF(Brand_Log!B196="","",Brand_Log!B196&amp;""))</f>
        <v/>
      </c>
      <c r="F1196" s="23" t="str">
        <f aca="false">IF(B1196="","","budget_probe")</f>
        <v/>
      </c>
      <c r="G1196" s="23" t="str">
        <f aca="false">IF(B1196="","",IF(ISNUMBER(Brand_Log!R196),Brand_Log!R196,""))</f>
        <v/>
      </c>
      <c r="H1196" s="23" t="str">
        <f aca="false">IF(B1196="","",IF(Brand_Log!S196="","",Brand_Log!S196&amp;""))</f>
        <v/>
      </c>
      <c r="I1196" s="23" t="str">
        <f aca="false">IF(B1196="","",IF(Brand_Log!O196="","",Brand_Log!O196&amp;""))</f>
        <v/>
      </c>
      <c r="J1196" s="23" t="str">
        <f aca="false">IF(B1196="","",IF(Brand_Log!T196="","","before_1500; "&amp;Brand_Log!T196))</f>
        <v/>
      </c>
      <c r="K1196" s="32" t="s">
        <v>1357</v>
      </c>
    </row>
    <row r="1197" customFormat="false" ht="15" hidden="false" customHeight="false" outlineLevel="0" collapsed="false">
      <c r="A1197" s="23" t="str">
        <f aca="false">IF(B1197="","",B1197+(6*1000+196)/10000000)</f>
        <v/>
      </c>
      <c r="B1197" s="35" t="str">
        <f aca="false">IF(AND(Brand_Log!AY197=1,OR(ISNUMBER(Brand_Log!R197),TRIM(Brand_Log!S197)&lt;&gt;"")),Brand_Log!H197,"")</f>
        <v/>
      </c>
      <c r="C1197" s="23" t="str">
        <f aca="false">IF(B1197="","","brand")</f>
        <v/>
      </c>
      <c r="D1197" s="23" t="str">
        <f aca="false">IF(B1197="","",Brand_Log!DV197&amp;"")</f>
        <v/>
      </c>
      <c r="E1197" s="23" t="str">
        <f aca="false">IF(B1197="","",IF(Brand_Log!B197="","",Brand_Log!B197&amp;""))</f>
        <v/>
      </c>
      <c r="F1197" s="23" t="str">
        <f aca="false">IF(B1197="","","budget_probe")</f>
        <v/>
      </c>
      <c r="G1197" s="23" t="str">
        <f aca="false">IF(B1197="","",IF(ISNUMBER(Brand_Log!R197),Brand_Log!R197,""))</f>
        <v/>
      </c>
      <c r="H1197" s="23" t="str">
        <f aca="false">IF(B1197="","",IF(Brand_Log!S197="","",Brand_Log!S197&amp;""))</f>
        <v/>
      </c>
      <c r="I1197" s="23" t="str">
        <f aca="false">IF(B1197="","",IF(Brand_Log!O197="","",Brand_Log!O197&amp;""))</f>
        <v/>
      </c>
      <c r="J1197" s="23" t="str">
        <f aca="false">IF(B1197="","",IF(Brand_Log!T197="","","before_1500; "&amp;Brand_Log!T197))</f>
        <v/>
      </c>
      <c r="K1197" s="32" t="s">
        <v>1357</v>
      </c>
    </row>
    <row r="1198" customFormat="false" ht="15" hidden="false" customHeight="false" outlineLevel="0" collapsed="false">
      <c r="A1198" s="23" t="str">
        <f aca="false">IF(B1198="","",B1198+(6*1000+197)/10000000)</f>
        <v/>
      </c>
      <c r="B1198" s="35" t="str">
        <f aca="false">IF(AND(Brand_Log!AY198=1,OR(ISNUMBER(Brand_Log!R198),TRIM(Brand_Log!S198)&lt;&gt;"")),Brand_Log!H198,"")</f>
        <v/>
      </c>
      <c r="C1198" s="23" t="str">
        <f aca="false">IF(B1198="","","brand")</f>
        <v/>
      </c>
      <c r="D1198" s="23" t="str">
        <f aca="false">IF(B1198="","",Brand_Log!DV198&amp;"")</f>
        <v/>
      </c>
      <c r="E1198" s="23" t="str">
        <f aca="false">IF(B1198="","",IF(Brand_Log!B198="","",Brand_Log!B198&amp;""))</f>
        <v/>
      </c>
      <c r="F1198" s="23" t="str">
        <f aca="false">IF(B1198="","","budget_probe")</f>
        <v/>
      </c>
      <c r="G1198" s="23" t="str">
        <f aca="false">IF(B1198="","",IF(ISNUMBER(Brand_Log!R198),Brand_Log!R198,""))</f>
        <v/>
      </c>
      <c r="H1198" s="23" t="str">
        <f aca="false">IF(B1198="","",IF(Brand_Log!S198="","",Brand_Log!S198&amp;""))</f>
        <v/>
      </c>
      <c r="I1198" s="23" t="str">
        <f aca="false">IF(B1198="","",IF(Brand_Log!O198="","",Brand_Log!O198&amp;""))</f>
        <v/>
      </c>
      <c r="J1198" s="23" t="str">
        <f aca="false">IF(B1198="","",IF(Brand_Log!T198="","","before_1500; "&amp;Brand_Log!T198))</f>
        <v/>
      </c>
      <c r="K1198" s="32" t="s">
        <v>1357</v>
      </c>
    </row>
    <row r="1199" customFormat="false" ht="15" hidden="false" customHeight="false" outlineLevel="0" collapsed="false">
      <c r="A1199" s="23" t="str">
        <f aca="false">IF(B1199="","",B1199+(6*1000+198)/10000000)</f>
        <v/>
      </c>
      <c r="B1199" s="35" t="str">
        <f aca="false">IF(AND(Brand_Log!AY199=1,OR(ISNUMBER(Brand_Log!R199),TRIM(Brand_Log!S199)&lt;&gt;"")),Brand_Log!H199,"")</f>
        <v/>
      </c>
      <c r="C1199" s="23" t="str">
        <f aca="false">IF(B1199="","","brand")</f>
        <v/>
      </c>
      <c r="D1199" s="23" t="str">
        <f aca="false">IF(B1199="","",Brand_Log!DV199&amp;"")</f>
        <v/>
      </c>
      <c r="E1199" s="23" t="str">
        <f aca="false">IF(B1199="","",IF(Brand_Log!B199="","",Brand_Log!B199&amp;""))</f>
        <v/>
      </c>
      <c r="F1199" s="23" t="str">
        <f aca="false">IF(B1199="","","budget_probe")</f>
        <v/>
      </c>
      <c r="G1199" s="23" t="str">
        <f aca="false">IF(B1199="","",IF(ISNUMBER(Brand_Log!R199),Brand_Log!R199,""))</f>
        <v/>
      </c>
      <c r="H1199" s="23" t="str">
        <f aca="false">IF(B1199="","",IF(Brand_Log!S199="","",Brand_Log!S199&amp;""))</f>
        <v/>
      </c>
      <c r="I1199" s="23" t="str">
        <f aca="false">IF(B1199="","",IF(Brand_Log!O199="","",Brand_Log!O199&amp;""))</f>
        <v/>
      </c>
      <c r="J1199" s="23" t="str">
        <f aca="false">IF(B1199="","",IF(Brand_Log!T199="","","before_1500; "&amp;Brand_Log!T199))</f>
        <v/>
      </c>
      <c r="K1199" s="32" t="s">
        <v>1357</v>
      </c>
    </row>
    <row r="1200" customFormat="false" ht="15" hidden="false" customHeight="false" outlineLevel="0" collapsed="false">
      <c r="A1200" s="23" t="str">
        <f aca="false">IF(B1200="","",B1200+(6*1000+199)/10000000)</f>
        <v/>
      </c>
      <c r="B1200" s="35" t="str">
        <f aca="false">IF(AND(Brand_Log!AY200=1,OR(ISNUMBER(Brand_Log!R200),TRIM(Brand_Log!S200)&lt;&gt;"")),Brand_Log!H200,"")</f>
        <v/>
      </c>
      <c r="C1200" s="23" t="str">
        <f aca="false">IF(B1200="","","brand")</f>
        <v/>
      </c>
      <c r="D1200" s="23" t="str">
        <f aca="false">IF(B1200="","",Brand_Log!DV200&amp;"")</f>
        <v/>
      </c>
      <c r="E1200" s="23" t="str">
        <f aca="false">IF(B1200="","",IF(Brand_Log!B200="","",Brand_Log!B200&amp;""))</f>
        <v/>
      </c>
      <c r="F1200" s="23" t="str">
        <f aca="false">IF(B1200="","","budget_probe")</f>
        <v/>
      </c>
      <c r="G1200" s="23" t="str">
        <f aca="false">IF(B1200="","",IF(ISNUMBER(Brand_Log!R200),Brand_Log!R200,""))</f>
        <v/>
      </c>
      <c r="H1200" s="23" t="str">
        <f aca="false">IF(B1200="","",IF(Brand_Log!S200="","",Brand_Log!S200&amp;""))</f>
        <v/>
      </c>
      <c r="I1200" s="23" t="str">
        <f aca="false">IF(B1200="","",IF(Brand_Log!O200="","",Brand_Log!O200&amp;""))</f>
        <v/>
      </c>
      <c r="J1200" s="23" t="str">
        <f aca="false">IF(B1200="","",IF(Brand_Log!T200="","","before_1500; "&amp;Brand_Log!T200))</f>
        <v/>
      </c>
      <c r="K1200" s="32" t="s">
        <v>1357</v>
      </c>
    </row>
    <row r="1201" customFormat="false" ht="15" hidden="false" customHeight="false" outlineLevel="0" collapsed="false">
      <c r="A1201" s="23" t="str">
        <f aca="false">IF(B1201="","",B1201+(6*1000+200)/10000000)</f>
        <v/>
      </c>
      <c r="B1201" s="35" t="str">
        <f aca="false">IF(AND(Brand_Log!AY201=1,OR(ISNUMBER(Brand_Log!R201),TRIM(Brand_Log!S201)&lt;&gt;"")),Brand_Log!H201,"")</f>
        <v/>
      </c>
      <c r="C1201" s="23" t="str">
        <f aca="false">IF(B1201="","","brand")</f>
        <v/>
      </c>
      <c r="D1201" s="23" t="str">
        <f aca="false">IF(B1201="","",Brand_Log!DV201&amp;"")</f>
        <v/>
      </c>
      <c r="E1201" s="23" t="str">
        <f aca="false">IF(B1201="","",IF(Brand_Log!B201="","",Brand_Log!B201&amp;""))</f>
        <v/>
      </c>
      <c r="F1201" s="23" t="str">
        <f aca="false">IF(B1201="","","budget_probe")</f>
        <v/>
      </c>
      <c r="G1201" s="23" t="str">
        <f aca="false">IF(B1201="","",IF(ISNUMBER(Brand_Log!R201),Brand_Log!R201,""))</f>
        <v/>
      </c>
      <c r="H1201" s="23" t="str">
        <f aca="false">IF(B1201="","",IF(Brand_Log!S201="","",Brand_Log!S201&amp;""))</f>
        <v/>
      </c>
      <c r="I1201" s="23" t="str">
        <f aca="false">IF(B1201="","",IF(Brand_Log!O201="","",Brand_Log!O201&amp;""))</f>
        <v/>
      </c>
      <c r="J1201" s="23" t="str">
        <f aca="false">IF(B1201="","",IF(Brand_Log!T201="","","before_1500; "&amp;Brand_Log!T201))</f>
        <v/>
      </c>
      <c r="K1201" s="32" t="s">
        <v>1357</v>
      </c>
    </row>
    <row r="1202" customFormat="false" ht="15" hidden="false" customHeight="false" outlineLevel="0" collapsed="false">
      <c r="A1202" s="42" t="n">
        <f aca="false">IF(B1202="","",B1202+(7*1000+1)/10000000)</f>
        <v>46322.0007001</v>
      </c>
      <c r="B1202" s="35" t="n">
        <f aca="false">IF(AND(Brand_Log!AY2=1,Brand_Log!U2="Y",OR(ISNUMBER(Brand_Log!V2),TRIM(Brand_Log!W2)&lt;&gt;"")),Brand_Log!H2,"")</f>
        <v>46322</v>
      </c>
      <c r="C1202" s="23" t="str">
        <f aca="false">IF(B1202="","","brand")</f>
        <v>brand</v>
      </c>
      <c r="D1202" s="23" t="str">
        <f aca="false">IF(B1202="","",Brand_Log!DV2&amp;"")</f>
        <v>SAMPLE-B-001</v>
      </c>
      <c r="E1202" s="23" t="str">
        <f aca="false">IF(B1202="","",IF(Brand_Log!B2="","",Brand_Log!B2&amp;""))</f>
        <v>SAMPLE Brand 01</v>
      </c>
      <c r="F1202" s="23" t="str">
        <f aca="false">IF(B1202="","","budget_probe")</f>
        <v>budget_probe</v>
      </c>
      <c r="G1202" s="23" t="n">
        <f aca="false">IF(B1202="","",IF(ISNUMBER(Brand_Log!V2),Brand_Log!V2,""))</f>
        <v>800</v>
      </c>
      <c r="H1202" s="23" t="str">
        <f aca="false">IF(B1202="","",IF(Brand_Log!W2="","",Brand_Log!W2&amp;""))</f>
        <v>SAMPLE: $1,500 is steep, $800 maybe</v>
      </c>
      <c r="I1202" s="23" t="str">
        <f aca="false">IF(B1202="","",IF(Brand_Log!O2="","",Brand_Log!O2&amp;""))</f>
        <v>Y</v>
      </c>
      <c r="J1202" s="23" t="str">
        <f aca="false">IF(B1202="","","after_1500")</f>
        <v>after_1500</v>
      </c>
      <c r="K1202" s="32" t="s">
        <v>1358</v>
      </c>
    </row>
    <row r="1203" customFormat="false" ht="15" hidden="false" customHeight="false" outlineLevel="0" collapsed="false">
      <c r="A1203" s="42" t="n">
        <f aca="false">IF(B1203="","",B1203+(7*1000+2)/10000000)</f>
        <v>46323.0007002</v>
      </c>
      <c r="B1203" s="35" t="n">
        <f aca="false">IF(AND(Brand_Log!AY3=1,Brand_Log!U3="Y",OR(ISNUMBER(Brand_Log!V3),TRIM(Brand_Log!W3)&lt;&gt;"")),Brand_Log!H3,"")</f>
        <v>46323</v>
      </c>
      <c r="C1203" s="23" t="str">
        <f aca="false">IF(B1203="","","brand")</f>
        <v>brand</v>
      </c>
      <c r="D1203" s="23" t="str">
        <f aca="false">IF(B1203="","",Brand_Log!DV3&amp;"")</f>
        <v>SAMPLE-B-002</v>
      </c>
      <c r="E1203" s="23" t="str">
        <f aca="false">IF(B1203="","",IF(Brand_Log!B3="","",Brand_Log!B3&amp;""))</f>
        <v>SAMPLE Brand 02</v>
      </c>
      <c r="F1203" s="23" t="str">
        <f aca="false">IF(B1203="","","budget_probe")</f>
        <v>budget_probe</v>
      </c>
      <c r="G1203" s="23" t="n">
        <f aca="false">IF(B1203="","",IF(ISNUMBER(Brand_Log!V3),Brand_Log!V3,""))</f>
        <v>600</v>
      </c>
      <c r="H1203" s="23" t="str">
        <f aca="false">IF(B1203="","",IF(Brand_Log!W3="","",Brand_Log!W3&amp;""))</f>
        <v>SAMPLE: at $600 for five offices, yes</v>
      </c>
      <c r="I1203" s="23" t="str">
        <f aca="false">IF(B1203="","",IF(Brand_Log!O3="","",Brand_Log!O3&amp;""))</f>
        <v>Y</v>
      </c>
      <c r="J1203" s="23" t="str">
        <f aca="false">IF(B1203="","","after_1500")</f>
        <v>after_1500</v>
      </c>
      <c r="K1203" s="32" t="s">
        <v>1358</v>
      </c>
    </row>
    <row r="1204" customFormat="false" ht="15" hidden="false" customHeight="false" outlineLevel="0" collapsed="false">
      <c r="A1204" s="42" t="n">
        <f aca="false">IF(B1204="","",B1204+(7*1000+3)/10000000)</f>
        <v>46324.0007003</v>
      </c>
      <c r="B1204" s="35" t="n">
        <f aca="false">IF(AND(Brand_Log!AY4=1,Brand_Log!U4="Y",OR(ISNUMBER(Brand_Log!V4),TRIM(Brand_Log!W4)&lt;&gt;"")),Brand_Log!H4,"")</f>
        <v>46324</v>
      </c>
      <c r="C1204" s="23" t="str">
        <f aca="false">IF(B1204="","","brand")</f>
        <v>brand</v>
      </c>
      <c r="D1204" s="23" t="str">
        <f aca="false">IF(B1204="","",Brand_Log!DV4&amp;"")</f>
        <v>SAMPLE-B-003</v>
      </c>
      <c r="E1204" s="23" t="str">
        <f aca="false">IF(B1204="","",IF(Brand_Log!B4="","",Brand_Log!B4&amp;""))</f>
        <v>SAMPLE Brand 03</v>
      </c>
      <c r="F1204" s="23" t="str">
        <f aca="false">IF(B1204="","","budget_probe")</f>
        <v>budget_probe</v>
      </c>
      <c r="G1204" s="23" t="n">
        <f aca="false">IF(B1204="","",IF(ISNUMBER(Brand_Log!V4),Brand_Log!V4,""))</f>
        <v>0</v>
      </c>
      <c r="H1204" s="23" t="str">
        <f aca="false">IF(B1204="","",IF(Brand_Log!W4="","",Brand_Log!W4&amp;""))</f>
        <v>SAMPLE: not at that price</v>
      </c>
      <c r="I1204" s="23" t="str">
        <f aca="false">IF(B1204="","",IF(Brand_Log!O4="","",Brand_Log!O4&amp;""))</f>
        <v>Y</v>
      </c>
      <c r="J1204" s="23" t="str">
        <f aca="false">IF(B1204="","","after_1500")</f>
        <v>after_1500</v>
      </c>
      <c r="K1204" s="32" t="s">
        <v>1358</v>
      </c>
    </row>
    <row r="1205" customFormat="false" ht="15" hidden="false" customHeight="false" outlineLevel="0" collapsed="false">
      <c r="A1205" s="42" t="n">
        <f aca="false">IF(B1205="","",B1205+(7*1000+4)/10000000)</f>
        <v>46328.0007004</v>
      </c>
      <c r="B1205" s="35" t="n">
        <f aca="false">IF(AND(Brand_Log!AY5=1,Brand_Log!U5="Y",OR(ISNUMBER(Brand_Log!V5),TRIM(Brand_Log!W5)&lt;&gt;"")),Brand_Log!H5,"")</f>
        <v>46328</v>
      </c>
      <c r="C1205" s="23" t="str">
        <f aca="false">IF(B1205="","","brand")</f>
        <v>brand</v>
      </c>
      <c r="D1205" s="23" t="str">
        <f aca="false">IF(B1205="","",Brand_Log!DV5&amp;"")</f>
        <v>SAMPLE-B-004</v>
      </c>
      <c r="E1205" s="23" t="str">
        <f aca="false">IF(B1205="","",IF(Brand_Log!B5="","",Brand_Log!B5&amp;""))</f>
        <v>SAMPLE Brand 04</v>
      </c>
      <c r="F1205" s="23" t="str">
        <f aca="false">IF(B1205="","","budget_probe")</f>
        <v>budget_probe</v>
      </c>
      <c r="G1205" s="23" t="n">
        <f aca="false">IF(B1205="","",IF(ISNUMBER(Brand_Log!V5),Brand_Log!V5,""))</f>
        <v>1500</v>
      </c>
      <c r="H1205" s="23" t="str">
        <f aca="false">IF(B1205="","",IF(Brand_Log!W5="","",Brand_Log!W5&amp;""))</f>
        <v>SAMPLE: $1,500 could work</v>
      </c>
      <c r="I1205" s="23" t="str">
        <f aca="false">IF(B1205="","",IF(Brand_Log!O5="","",Brand_Log!O5&amp;""))</f>
        <v>N</v>
      </c>
      <c r="J1205" s="23" t="str">
        <f aca="false">IF(B1205="","","after_1500")</f>
        <v>after_1500</v>
      </c>
      <c r="K1205" s="32" t="s">
        <v>1358</v>
      </c>
    </row>
    <row r="1206" customFormat="false" ht="15" hidden="false" customHeight="false" outlineLevel="0" collapsed="false">
      <c r="A1206" s="23" t="str">
        <f aca="false">IF(B1206="","",B1206+(7*1000+5)/10000000)</f>
        <v/>
      </c>
      <c r="B1206" s="35" t="str">
        <f aca="false">IF(AND(Brand_Log!AY6=1,Brand_Log!U6="Y",OR(ISNUMBER(Brand_Log!V6),TRIM(Brand_Log!W6)&lt;&gt;"")),Brand_Log!H6,"")</f>
        <v/>
      </c>
      <c r="C1206" s="23" t="str">
        <f aca="false">IF(B1206="","","brand")</f>
        <v/>
      </c>
      <c r="D1206" s="23" t="str">
        <f aca="false">IF(B1206="","",Brand_Log!DV6&amp;"")</f>
        <v/>
      </c>
      <c r="E1206" s="23" t="str">
        <f aca="false">IF(B1206="","",IF(Brand_Log!B6="","",Brand_Log!B6&amp;""))</f>
        <v/>
      </c>
      <c r="F1206" s="23" t="str">
        <f aca="false">IF(B1206="","","budget_probe")</f>
        <v/>
      </c>
      <c r="G1206" s="23" t="str">
        <f aca="false">IF(B1206="","",IF(ISNUMBER(Brand_Log!V6),Brand_Log!V6,""))</f>
        <v/>
      </c>
      <c r="H1206" s="23" t="str">
        <f aca="false">IF(B1206="","",IF(Brand_Log!W6="","",Brand_Log!W6&amp;""))</f>
        <v/>
      </c>
      <c r="I1206" s="23" t="str">
        <f aca="false">IF(B1206="","",IF(Brand_Log!O6="","",Brand_Log!O6&amp;""))</f>
        <v/>
      </c>
      <c r="J1206" s="23" t="str">
        <f aca="false">IF(B1206="","","after_1500")</f>
        <v/>
      </c>
      <c r="K1206" s="32" t="s">
        <v>1358</v>
      </c>
    </row>
    <row r="1207" customFormat="false" ht="15" hidden="false" customHeight="false" outlineLevel="0" collapsed="false">
      <c r="A1207" s="42" t="n">
        <f aca="false">IF(B1207="","",B1207+(7*1000+6)/10000000)</f>
        <v>46330.0007006</v>
      </c>
      <c r="B1207" s="35" t="n">
        <f aca="false">IF(AND(Brand_Log!AY7=1,Brand_Log!U7="Y",OR(ISNUMBER(Brand_Log!V7),TRIM(Brand_Log!W7)&lt;&gt;"")),Brand_Log!H7,"")</f>
        <v>46330</v>
      </c>
      <c r="C1207" s="23" t="str">
        <f aca="false">IF(B1207="","","brand")</f>
        <v>brand</v>
      </c>
      <c r="D1207" s="23" t="str">
        <f aca="false">IF(B1207="","",Brand_Log!DV7&amp;"")</f>
        <v>SAMPLE-B-006</v>
      </c>
      <c r="E1207" s="23" t="str">
        <f aca="false">IF(B1207="","",IF(Brand_Log!B7="","",Brand_Log!B7&amp;""))</f>
        <v>SAMPLE Brand 06</v>
      </c>
      <c r="F1207" s="23" t="str">
        <f aca="false">IF(B1207="","","budget_probe")</f>
        <v>budget_probe</v>
      </c>
      <c r="G1207" s="23" t="n">
        <f aca="false">IF(B1207="","",IF(ISNUMBER(Brand_Log!V7),Brand_Log!V7,""))</f>
        <v>1200</v>
      </c>
      <c r="H1207" s="23" t="str">
        <f aca="false">IF(B1207="","",IF(Brand_Log!W7="","",Brand_Log!W7&amp;""))</f>
        <v>SAMPLE: we could stretch to $1,200</v>
      </c>
      <c r="I1207" s="23" t="str">
        <f aca="false">IF(B1207="","",IF(Brand_Log!O7="","",Brand_Log!O7&amp;""))</f>
        <v>Y</v>
      </c>
      <c r="J1207" s="23" t="str">
        <f aca="false">IF(B1207="","","after_1500")</f>
        <v>after_1500</v>
      </c>
      <c r="K1207" s="32" t="s">
        <v>1358</v>
      </c>
    </row>
    <row r="1208" customFormat="false" ht="15" hidden="false" customHeight="false" outlineLevel="0" collapsed="false">
      <c r="A1208" s="42" t="n">
        <f aca="false">IF(B1208="","",B1208+(7*1000+7)/10000000)</f>
        <v>46331.0007007</v>
      </c>
      <c r="B1208" s="35" t="n">
        <f aca="false">IF(AND(Brand_Log!AY8=1,Brand_Log!U8="Y",OR(ISNUMBER(Brand_Log!V8),TRIM(Brand_Log!W8)&lt;&gt;"")),Brand_Log!H8,"")</f>
        <v>46331</v>
      </c>
      <c r="C1208" s="23" t="str">
        <f aca="false">IF(B1208="","","brand")</f>
        <v>brand</v>
      </c>
      <c r="D1208" s="23" t="str">
        <f aca="false">IF(B1208="","",Brand_Log!DV8&amp;"")</f>
        <v>SAMPLE-B-007</v>
      </c>
      <c r="E1208" s="23" t="str">
        <f aca="false">IF(B1208="","",IF(Brand_Log!B8="","",Brand_Log!B8&amp;""))</f>
        <v>SAMPLE Brand 07</v>
      </c>
      <c r="F1208" s="23" t="str">
        <f aca="false">IF(B1208="","","budget_probe")</f>
        <v>budget_probe</v>
      </c>
      <c r="G1208" s="23" t="n">
        <f aca="false">IF(B1208="","",IF(ISNUMBER(Brand_Log!V8),Brand_Log!V8,""))</f>
        <v>300</v>
      </c>
      <c r="H1208" s="23" t="str">
        <f aca="false">IF(B1208="","",IF(Brand_Log!W8="","",Brand_Log!W8&amp;""))</f>
        <v>SAMPLE: still $300</v>
      </c>
      <c r="I1208" s="23" t="str">
        <f aca="false">IF(B1208="","",IF(Brand_Log!O8="","",Brand_Log!O8&amp;""))</f>
        <v>Y</v>
      </c>
      <c r="J1208" s="23" t="str">
        <f aca="false">IF(B1208="","","after_1500")</f>
        <v>after_1500</v>
      </c>
      <c r="K1208" s="32" t="s">
        <v>1358</v>
      </c>
    </row>
    <row r="1209" customFormat="false" ht="15" hidden="false" customHeight="false" outlineLevel="0" collapsed="false">
      <c r="A1209" s="23" t="str">
        <f aca="false">IF(B1209="","",B1209+(7*1000+8)/10000000)</f>
        <v/>
      </c>
      <c r="B1209" s="35" t="str">
        <f aca="false">IF(AND(Brand_Log!AY9=1,Brand_Log!U9="Y",OR(ISNUMBER(Brand_Log!V9),TRIM(Brand_Log!W9)&lt;&gt;"")),Brand_Log!H9,"")</f>
        <v/>
      </c>
      <c r="C1209" s="23" t="str">
        <f aca="false">IF(B1209="","","brand")</f>
        <v/>
      </c>
      <c r="D1209" s="23" t="str">
        <f aca="false">IF(B1209="","",Brand_Log!DV9&amp;"")</f>
        <v/>
      </c>
      <c r="E1209" s="23" t="str">
        <f aca="false">IF(B1209="","",IF(Brand_Log!B9="","",Brand_Log!B9&amp;""))</f>
        <v/>
      </c>
      <c r="F1209" s="23" t="str">
        <f aca="false">IF(B1209="","","budget_probe")</f>
        <v/>
      </c>
      <c r="G1209" s="23" t="str">
        <f aca="false">IF(B1209="","",IF(ISNUMBER(Brand_Log!V9),Brand_Log!V9,""))</f>
        <v/>
      </c>
      <c r="H1209" s="23" t="str">
        <f aca="false">IF(B1209="","",IF(Brand_Log!W9="","",Brand_Log!W9&amp;""))</f>
        <v/>
      </c>
      <c r="I1209" s="23" t="str">
        <f aca="false">IF(B1209="","",IF(Brand_Log!O9="","",Brand_Log!O9&amp;""))</f>
        <v/>
      </c>
      <c r="J1209" s="23" t="str">
        <f aca="false">IF(B1209="","","after_1500")</f>
        <v/>
      </c>
      <c r="K1209" s="32" t="s">
        <v>1358</v>
      </c>
    </row>
    <row r="1210" customFormat="false" ht="15" hidden="false" customHeight="false" outlineLevel="0" collapsed="false">
      <c r="A1210" s="23" t="str">
        <f aca="false">IF(B1210="","",B1210+(7*1000+9)/10000000)</f>
        <v/>
      </c>
      <c r="B1210" s="35" t="str">
        <f aca="false">IF(AND(Brand_Log!AY10=1,Brand_Log!U10="Y",OR(ISNUMBER(Brand_Log!V10),TRIM(Brand_Log!W10)&lt;&gt;"")),Brand_Log!H10,"")</f>
        <v/>
      </c>
      <c r="C1210" s="23" t="str">
        <f aca="false">IF(B1210="","","brand")</f>
        <v/>
      </c>
      <c r="D1210" s="23" t="str">
        <f aca="false">IF(B1210="","",Brand_Log!DV10&amp;"")</f>
        <v/>
      </c>
      <c r="E1210" s="23" t="str">
        <f aca="false">IF(B1210="","",IF(Brand_Log!B10="","",Brand_Log!B10&amp;""))</f>
        <v/>
      </c>
      <c r="F1210" s="23" t="str">
        <f aca="false">IF(B1210="","","budget_probe")</f>
        <v/>
      </c>
      <c r="G1210" s="23" t="str">
        <f aca="false">IF(B1210="","",IF(ISNUMBER(Brand_Log!V10),Brand_Log!V10,""))</f>
        <v/>
      </c>
      <c r="H1210" s="23" t="str">
        <f aca="false">IF(B1210="","",IF(Brand_Log!W10="","",Brand_Log!W10&amp;""))</f>
        <v/>
      </c>
      <c r="I1210" s="23" t="str">
        <f aca="false">IF(B1210="","",IF(Brand_Log!O10="","",Brand_Log!O10&amp;""))</f>
        <v/>
      </c>
      <c r="J1210" s="23" t="str">
        <f aca="false">IF(B1210="","","after_1500")</f>
        <v/>
      </c>
      <c r="K1210" s="32" t="s">
        <v>1358</v>
      </c>
    </row>
    <row r="1211" customFormat="false" ht="15" hidden="false" customHeight="false" outlineLevel="0" collapsed="false">
      <c r="A1211" s="23" t="str">
        <f aca="false">IF(B1211="","",B1211+(7*1000+10)/10000000)</f>
        <v/>
      </c>
      <c r="B1211" s="35" t="str">
        <f aca="false">IF(AND(Brand_Log!AY11=1,Brand_Log!U11="Y",OR(ISNUMBER(Brand_Log!V11),TRIM(Brand_Log!W11)&lt;&gt;"")),Brand_Log!H11,"")</f>
        <v/>
      </c>
      <c r="C1211" s="23" t="str">
        <f aca="false">IF(B1211="","","brand")</f>
        <v/>
      </c>
      <c r="D1211" s="23" t="str">
        <f aca="false">IF(B1211="","",Brand_Log!DV11&amp;"")</f>
        <v/>
      </c>
      <c r="E1211" s="23" t="str">
        <f aca="false">IF(B1211="","",IF(Brand_Log!B11="","",Brand_Log!B11&amp;""))</f>
        <v/>
      </c>
      <c r="F1211" s="23" t="str">
        <f aca="false">IF(B1211="","","budget_probe")</f>
        <v/>
      </c>
      <c r="G1211" s="23" t="str">
        <f aca="false">IF(B1211="","",IF(ISNUMBER(Brand_Log!V11),Brand_Log!V11,""))</f>
        <v/>
      </c>
      <c r="H1211" s="23" t="str">
        <f aca="false">IF(B1211="","",IF(Brand_Log!W11="","",Brand_Log!W11&amp;""))</f>
        <v/>
      </c>
      <c r="I1211" s="23" t="str">
        <f aca="false">IF(B1211="","",IF(Brand_Log!O11="","",Brand_Log!O11&amp;""))</f>
        <v/>
      </c>
      <c r="J1211" s="23" t="str">
        <f aca="false">IF(B1211="","","after_1500")</f>
        <v/>
      </c>
      <c r="K1211" s="32" t="s">
        <v>1358</v>
      </c>
    </row>
    <row r="1212" customFormat="false" ht="15" hidden="false" customHeight="false" outlineLevel="0" collapsed="false">
      <c r="A1212" s="42" t="n">
        <f aca="false">IF(B1212="","",B1212+(7*1000+11)/10000000)</f>
        <v>46338.0007011</v>
      </c>
      <c r="B1212" s="35" t="n">
        <f aca="false">IF(AND(Brand_Log!AY12=1,Brand_Log!U12="Y",OR(ISNUMBER(Brand_Log!V12),TRIM(Brand_Log!W12)&lt;&gt;"")),Brand_Log!H12,"")</f>
        <v>46338</v>
      </c>
      <c r="C1212" s="23" t="str">
        <f aca="false">IF(B1212="","","brand")</f>
        <v>brand</v>
      </c>
      <c r="D1212" s="23" t="str">
        <f aca="false">IF(B1212="","",Brand_Log!DV12&amp;"")</f>
        <v>SAMPLE-B-011</v>
      </c>
      <c r="E1212" s="23" t="str">
        <f aca="false">IF(B1212="","",IF(Brand_Log!B12="","",Brand_Log!B12&amp;""))</f>
        <v>SAMPLE Brand 11</v>
      </c>
      <c r="F1212" s="23" t="str">
        <f aca="false">IF(B1212="","","budget_probe")</f>
        <v>budget_probe</v>
      </c>
      <c r="G1212" s="23" t="n">
        <f aca="false">IF(B1212="","",IF(ISNUMBER(Brand_Log!V12),Brand_Log!V12,""))</f>
        <v>900</v>
      </c>
      <c r="H1212" s="23" t="str">
        <f aca="false">IF(B1212="","",IF(Brand_Log!W12="","",Brand_Log!W12&amp;""))</f>
        <v>SAMPLE: $900</v>
      </c>
      <c r="I1212" s="23" t="str">
        <f aca="false">IF(B1212="","",IF(Brand_Log!O12="","",Brand_Log!O12&amp;""))</f>
        <v>Y</v>
      </c>
      <c r="J1212" s="23" t="str">
        <f aca="false">IF(B1212="","","after_1500")</f>
        <v>after_1500</v>
      </c>
      <c r="K1212" s="32" t="s">
        <v>1358</v>
      </c>
    </row>
    <row r="1213" customFormat="false" ht="15" hidden="false" customHeight="false" outlineLevel="0" collapsed="false">
      <c r="A1213" s="42" t="n">
        <f aca="false">IF(B1213="","",B1213+(7*1000+12)/10000000)</f>
        <v>46338.0007012</v>
      </c>
      <c r="B1213" s="35" t="n">
        <f aca="false">IF(AND(Brand_Log!AY13=1,Brand_Log!U13="Y",OR(ISNUMBER(Brand_Log!V13),TRIM(Brand_Log!W13)&lt;&gt;"")),Brand_Log!H13,"")</f>
        <v>46338</v>
      </c>
      <c r="C1213" s="23" t="str">
        <f aca="false">IF(B1213="","","brand")</f>
        <v>brand</v>
      </c>
      <c r="D1213" s="23" t="str">
        <f aca="false">IF(B1213="","",Brand_Log!DV13&amp;"")</f>
        <v>SAMPLE-B-002</v>
      </c>
      <c r="E1213" s="23" t="str">
        <f aca="false">IF(B1213="","",IF(Brand_Log!B13="","",Brand_Log!B13&amp;""))</f>
        <v>SAMPLE Brand 02</v>
      </c>
      <c r="F1213" s="23" t="str">
        <f aca="false">IF(B1213="","","budget_probe")</f>
        <v>budget_probe</v>
      </c>
      <c r="G1213" s="23" t="n">
        <f aca="false">IF(B1213="","",IF(ISNUMBER(Brand_Log!V13),Brand_Log!V13,""))</f>
        <v>700</v>
      </c>
      <c r="H1213" s="23" t="str">
        <f aca="false">IF(B1213="","",IF(Brand_Log!W13="","",Brand_Log!W13&amp;""))</f>
        <v>SAMPLE: $700 on reflection</v>
      </c>
      <c r="I1213" s="23" t="str">
        <f aca="false">IF(B1213="","",IF(Brand_Log!O13="","",Brand_Log!O13&amp;""))</f>
        <v>Y</v>
      </c>
      <c r="J1213" s="23" t="str">
        <f aca="false">IF(B1213="","","after_1500")</f>
        <v>after_1500</v>
      </c>
      <c r="K1213" s="32" t="s">
        <v>1358</v>
      </c>
    </row>
    <row r="1214" customFormat="false" ht="15" hidden="false" customHeight="false" outlineLevel="0" collapsed="false">
      <c r="A1214" s="23" t="str">
        <f aca="false">IF(B1214="","",B1214+(7*1000+13)/10000000)</f>
        <v/>
      </c>
      <c r="B1214" s="35" t="str">
        <f aca="false">IF(AND(Brand_Log!AY14=1,Brand_Log!U14="Y",OR(ISNUMBER(Brand_Log!V14),TRIM(Brand_Log!W14)&lt;&gt;"")),Brand_Log!H14,"")</f>
        <v/>
      </c>
      <c r="C1214" s="23" t="str">
        <f aca="false">IF(B1214="","","brand")</f>
        <v/>
      </c>
      <c r="D1214" s="23" t="str">
        <f aca="false">IF(B1214="","",Brand_Log!DV14&amp;"")</f>
        <v/>
      </c>
      <c r="E1214" s="23" t="str">
        <f aca="false">IF(B1214="","",IF(Brand_Log!B14="","",Brand_Log!B14&amp;""))</f>
        <v/>
      </c>
      <c r="F1214" s="23" t="str">
        <f aca="false">IF(B1214="","","budget_probe")</f>
        <v/>
      </c>
      <c r="G1214" s="23" t="str">
        <f aca="false">IF(B1214="","",IF(ISNUMBER(Brand_Log!V14),Brand_Log!V14,""))</f>
        <v/>
      </c>
      <c r="H1214" s="23" t="str">
        <f aca="false">IF(B1214="","",IF(Brand_Log!W14="","",Brand_Log!W14&amp;""))</f>
        <v/>
      </c>
      <c r="I1214" s="23" t="str">
        <f aca="false">IF(B1214="","",IF(Brand_Log!O14="","",Brand_Log!O14&amp;""))</f>
        <v/>
      </c>
      <c r="J1214" s="23" t="str">
        <f aca="false">IF(B1214="","","after_1500")</f>
        <v/>
      </c>
      <c r="K1214" s="32" t="s">
        <v>1358</v>
      </c>
    </row>
    <row r="1215" customFormat="false" ht="15" hidden="false" customHeight="false" outlineLevel="0" collapsed="false">
      <c r="A1215" s="23" t="str">
        <f aca="false">IF(B1215="","",B1215+(7*1000+14)/10000000)</f>
        <v/>
      </c>
      <c r="B1215" s="35" t="str">
        <f aca="false">IF(AND(Brand_Log!AY15=1,Brand_Log!U15="Y",OR(ISNUMBER(Brand_Log!V15),TRIM(Brand_Log!W15)&lt;&gt;"")),Brand_Log!H15,"")</f>
        <v/>
      </c>
      <c r="C1215" s="23" t="str">
        <f aca="false">IF(B1215="","","brand")</f>
        <v/>
      </c>
      <c r="D1215" s="23" t="str">
        <f aca="false">IF(B1215="","",Brand_Log!DV15&amp;"")</f>
        <v/>
      </c>
      <c r="E1215" s="23" t="str">
        <f aca="false">IF(B1215="","",IF(Brand_Log!B15="","",Brand_Log!B15&amp;""))</f>
        <v/>
      </c>
      <c r="F1215" s="23" t="str">
        <f aca="false">IF(B1215="","","budget_probe")</f>
        <v/>
      </c>
      <c r="G1215" s="23" t="str">
        <f aca="false">IF(B1215="","",IF(ISNUMBER(Brand_Log!V15),Brand_Log!V15,""))</f>
        <v/>
      </c>
      <c r="H1215" s="23" t="str">
        <f aca="false">IF(B1215="","",IF(Brand_Log!W15="","",Brand_Log!W15&amp;""))</f>
        <v/>
      </c>
      <c r="I1215" s="23" t="str">
        <f aca="false">IF(B1215="","",IF(Brand_Log!O15="","",Brand_Log!O15&amp;""))</f>
        <v/>
      </c>
      <c r="J1215" s="23" t="str">
        <f aca="false">IF(B1215="","","after_1500")</f>
        <v/>
      </c>
      <c r="K1215" s="32" t="s">
        <v>1358</v>
      </c>
    </row>
    <row r="1216" customFormat="false" ht="15" hidden="false" customHeight="false" outlineLevel="0" collapsed="false">
      <c r="A1216" s="42" t="n">
        <f aca="false">IF(B1216="","",B1216+(7*1000+15)/10000000)</f>
        <v>46343.0007015</v>
      </c>
      <c r="B1216" s="35" t="n">
        <f aca="false">IF(AND(Brand_Log!AY16=1,Brand_Log!U16="Y",OR(ISNUMBER(Brand_Log!V16),TRIM(Brand_Log!W16)&lt;&gt;"")),Brand_Log!H16,"")</f>
        <v>46343</v>
      </c>
      <c r="C1216" s="23" t="str">
        <f aca="false">IF(B1216="","","brand")</f>
        <v>brand</v>
      </c>
      <c r="D1216" s="23" t="str">
        <f aca="false">IF(B1216="","",Brand_Log!DV16&amp;"")</f>
        <v>SAMPLE-B-014</v>
      </c>
      <c r="E1216" s="23" t="str">
        <f aca="false">IF(B1216="","",IF(Brand_Log!B16="","",Brand_Log!B16&amp;""))</f>
        <v>SAMPLE Brand 14</v>
      </c>
      <c r="F1216" s="23" t="str">
        <f aca="false">IF(B1216="","","budget_probe")</f>
        <v>budget_probe</v>
      </c>
      <c r="G1216" s="23" t="n">
        <f aca="false">IF(B1216="","",IF(ISNUMBER(Brand_Log!V16),Brand_Log!V16,""))</f>
        <v>1500</v>
      </c>
      <c r="H1216" s="23" t="str">
        <f aca="false">IF(B1216="","",IF(Brand_Log!W16="","",Brand_Log!W16&amp;""))</f>
        <v>SAMPLE: fine at $1,500</v>
      </c>
      <c r="I1216" s="23" t="str">
        <f aca="false">IF(B1216="","",IF(Brand_Log!O16="","",Brand_Log!O16&amp;""))</f>
        <v>Y</v>
      </c>
      <c r="J1216" s="23" t="str">
        <f aca="false">IF(B1216="","","after_1500")</f>
        <v>after_1500</v>
      </c>
      <c r="K1216" s="32" t="s">
        <v>1358</v>
      </c>
    </row>
    <row r="1217" customFormat="false" ht="15" hidden="false" customHeight="false" outlineLevel="0" collapsed="false">
      <c r="A1217" s="23" t="str">
        <f aca="false">IF(B1217="","",B1217+(7*1000+16)/10000000)</f>
        <v/>
      </c>
      <c r="B1217" s="35" t="str">
        <f aca="false">IF(AND(Brand_Log!AY17=1,Brand_Log!U17="Y",OR(ISNUMBER(Brand_Log!V17),TRIM(Brand_Log!W17)&lt;&gt;"")),Brand_Log!H17,"")</f>
        <v/>
      </c>
      <c r="C1217" s="23" t="str">
        <f aca="false">IF(B1217="","","brand")</f>
        <v/>
      </c>
      <c r="D1217" s="23" t="str">
        <f aca="false">IF(B1217="","",Brand_Log!DV17&amp;"")</f>
        <v/>
      </c>
      <c r="E1217" s="23" t="str">
        <f aca="false">IF(B1217="","",IF(Brand_Log!B17="","",Brand_Log!B17&amp;""))</f>
        <v/>
      </c>
      <c r="F1217" s="23" t="str">
        <f aca="false">IF(B1217="","","budget_probe")</f>
        <v/>
      </c>
      <c r="G1217" s="23" t="str">
        <f aca="false">IF(B1217="","",IF(ISNUMBER(Brand_Log!V17),Brand_Log!V17,""))</f>
        <v/>
      </c>
      <c r="H1217" s="23" t="str">
        <f aca="false">IF(B1217="","",IF(Brand_Log!W17="","",Brand_Log!W17&amp;""))</f>
        <v/>
      </c>
      <c r="I1217" s="23" t="str">
        <f aca="false">IF(B1217="","",IF(Brand_Log!O17="","",Brand_Log!O17&amp;""))</f>
        <v/>
      </c>
      <c r="J1217" s="23" t="str">
        <f aca="false">IF(B1217="","","after_1500")</f>
        <v/>
      </c>
      <c r="K1217" s="32" t="s">
        <v>1358</v>
      </c>
    </row>
    <row r="1218" customFormat="false" ht="15" hidden="false" customHeight="false" outlineLevel="0" collapsed="false">
      <c r="A1218" s="23" t="str">
        <f aca="false">IF(B1218="","",B1218+(7*1000+17)/10000000)</f>
        <v/>
      </c>
      <c r="B1218" s="35" t="str">
        <f aca="false">IF(AND(Brand_Log!AY18=1,Brand_Log!U18="Y",OR(ISNUMBER(Brand_Log!V18),TRIM(Brand_Log!W18)&lt;&gt;"")),Brand_Log!H18,"")</f>
        <v/>
      </c>
      <c r="C1218" s="23" t="str">
        <f aca="false">IF(B1218="","","brand")</f>
        <v/>
      </c>
      <c r="D1218" s="23" t="str">
        <f aca="false">IF(B1218="","",Brand_Log!DV18&amp;"")</f>
        <v/>
      </c>
      <c r="E1218" s="23" t="str">
        <f aca="false">IF(B1218="","",IF(Brand_Log!B18="","",Brand_Log!B18&amp;""))</f>
        <v/>
      </c>
      <c r="F1218" s="23" t="str">
        <f aca="false">IF(B1218="","","budget_probe")</f>
        <v/>
      </c>
      <c r="G1218" s="23" t="str">
        <f aca="false">IF(B1218="","",IF(ISNUMBER(Brand_Log!V18),Brand_Log!V18,""))</f>
        <v/>
      </c>
      <c r="H1218" s="23" t="str">
        <f aca="false">IF(B1218="","",IF(Brand_Log!W18="","",Brand_Log!W18&amp;""))</f>
        <v/>
      </c>
      <c r="I1218" s="23" t="str">
        <f aca="false">IF(B1218="","",IF(Brand_Log!O18="","",Brand_Log!O18&amp;""))</f>
        <v/>
      </c>
      <c r="J1218" s="23" t="str">
        <f aca="false">IF(B1218="","","after_1500")</f>
        <v/>
      </c>
      <c r="K1218" s="32" t="s">
        <v>1358</v>
      </c>
    </row>
    <row r="1219" customFormat="false" ht="15" hidden="false" customHeight="false" outlineLevel="0" collapsed="false">
      <c r="A1219" s="23" t="str">
        <f aca="false">IF(B1219="","",B1219+(7*1000+18)/10000000)</f>
        <v/>
      </c>
      <c r="B1219" s="35" t="str">
        <f aca="false">IF(AND(Brand_Log!AY19=1,Brand_Log!U19="Y",OR(ISNUMBER(Brand_Log!V19),TRIM(Brand_Log!W19)&lt;&gt;"")),Brand_Log!H19,"")</f>
        <v/>
      </c>
      <c r="C1219" s="23" t="str">
        <f aca="false">IF(B1219="","","brand")</f>
        <v/>
      </c>
      <c r="D1219" s="23" t="str">
        <f aca="false">IF(B1219="","",Brand_Log!DV19&amp;"")</f>
        <v/>
      </c>
      <c r="E1219" s="23" t="str">
        <f aca="false">IF(B1219="","",IF(Brand_Log!B19="","",Brand_Log!B19&amp;""))</f>
        <v/>
      </c>
      <c r="F1219" s="23" t="str">
        <f aca="false">IF(B1219="","","budget_probe")</f>
        <v/>
      </c>
      <c r="G1219" s="23" t="str">
        <f aca="false">IF(B1219="","",IF(ISNUMBER(Brand_Log!V19),Brand_Log!V19,""))</f>
        <v/>
      </c>
      <c r="H1219" s="23" t="str">
        <f aca="false">IF(B1219="","",IF(Brand_Log!W19="","",Brand_Log!W19&amp;""))</f>
        <v/>
      </c>
      <c r="I1219" s="23" t="str">
        <f aca="false">IF(B1219="","",IF(Brand_Log!O19="","",Brand_Log!O19&amp;""))</f>
        <v/>
      </c>
      <c r="J1219" s="23" t="str">
        <f aca="false">IF(B1219="","","after_1500")</f>
        <v/>
      </c>
      <c r="K1219" s="32" t="s">
        <v>1358</v>
      </c>
    </row>
    <row r="1220" customFormat="false" ht="15" hidden="false" customHeight="false" outlineLevel="0" collapsed="false">
      <c r="A1220" s="23" t="str">
        <f aca="false">IF(B1220="","",B1220+(7*1000+19)/10000000)</f>
        <v/>
      </c>
      <c r="B1220" s="35" t="str">
        <f aca="false">IF(AND(Brand_Log!AY20=1,Brand_Log!U20="Y",OR(ISNUMBER(Brand_Log!V20),TRIM(Brand_Log!W20)&lt;&gt;"")),Brand_Log!H20,"")</f>
        <v/>
      </c>
      <c r="C1220" s="23" t="str">
        <f aca="false">IF(B1220="","","brand")</f>
        <v/>
      </c>
      <c r="D1220" s="23" t="str">
        <f aca="false">IF(B1220="","",Brand_Log!DV20&amp;"")</f>
        <v/>
      </c>
      <c r="E1220" s="23" t="str">
        <f aca="false">IF(B1220="","",IF(Brand_Log!B20="","",Brand_Log!B20&amp;""))</f>
        <v/>
      </c>
      <c r="F1220" s="23" t="str">
        <f aca="false">IF(B1220="","","budget_probe")</f>
        <v/>
      </c>
      <c r="G1220" s="23" t="str">
        <f aca="false">IF(B1220="","",IF(ISNUMBER(Brand_Log!V20),Brand_Log!V20,""))</f>
        <v/>
      </c>
      <c r="H1220" s="23" t="str">
        <f aca="false">IF(B1220="","",IF(Brand_Log!W20="","",Brand_Log!W20&amp;""))</f>
        <v/>
      </c>
      <c r="I1220" s="23" t="str">
        <f aca="false">IF(B1220="","",IF(Brand_Log!O20="","",Brand_Log!O20&amp;""))</f>
        <v/>
      </c>
      <c r="J1220" s="23" t="str">
        <f aca="false">IF(B1220="","","after_1500")</f>
        <v/>
      </c>
      <c r="K1220" s="32" t="s">
        <v>1358</v>
      </c>
    </row>
    <row r="1221" customFormat="false" ht="15" hidden="false" customHeight="false" outlineLevel="0" collapsed="false">
      <c r="A1221" s="23" t="str">
        <f aca="false">IF(B1221="","",B1221+(7*1000+20)/10000000)</f>
        <v/>
      </c>
      <c r="B1221" s="35" t="str">
        <f aca="false">IF(AND(Brand_Log!AY21=1,Brand_Log!U21="Y",OR(ISNUMBER(Brand_Log!V21),TRIM(Brand_Log!W21)&lt;&gt;"")),Brand_Log!H21,"")</f>
        <v/>
      </c>
      <c r="C1221" s="23" t="str">
        <f aca="false">IF(B1221="","","brand")</f>
        <v/>
      </c>
      <c r="D1221" s="23" t="str">
        <f aca="false">IF(B1221="","",Brand_Log!DV21&amp;"")</f>
        <v/>
      </c>
      <c r="E1221" s="23" t="str">
        <f aca="false">IF(B1221="","",IF(Brand_Log!B21="","",Brand_Log!B21&amp;""))</f>
        <v/>
      </c>
      <c r="F1221" s="23" t="str">
        <f aca="false">IF(B1221="","","budget_probe")</f>
        <v/>
      </c>
      <c r="G1221" s="23" t="str">
        <f aca="false">IF(B1221="","",IF(ISNUMBER(Brand_Log!V21),Brand_Log!V21,""))</f>
        <v/>
      </c>
      <c r="H1221" s="23" t="str">
        <f aca="false">IF(B1221="","",IF(Brand_Log!W21="","",Brand_Log!W21&amp;""))</f>
        <v/>
      </c>
      <c r="I1221" s="23" t="str">
        <f aca="false">IF(B1221="","",IF(Brand_Log!O21="","",Brand_Log!O21&amp;""))</f>
        <v/>
      </c>
      <c r="J1221" s="23" t="str">
        <f aca="false">IF(B1221="","","after_1500")</f>
        <v/>
      </c>
      <c r="K1221" s="32" t="s">
        <v>1358</v>
      </c>
    </row>
    <row r="1222" customFormat="false" ht="15" hidden="false" customHeight="false" outlineLevel="0" collapsed="false">
      <c r="A1222" s="23" t="str">
        <f aca="false">IF(B1222="","",B1222+(7*1000+21)/10000000)</f>
        <v/>
      </c>
      <c r="B1222" s="35" t="str">
        <f aca="false">IF(AND(Brand_Log!AY22=1,Brand_Log!U22="Y",OR(ISNUMBER(Brand_Log!V22),TRIM(Brand_Log!W22)&lt;&gt;"")),Brand_Log!H22,"")</f>
        <v/>
      </c>
      <c r="C1222" s="23" t="str">
        <f aca="false">IF(B1222="","","brand")</f>
        <v/>
      </c>
      <c r="D1222" s="23" t="str">
        <f aca="false">IF(B1222="","",Brand_Log!DV22&amp;"")</f>
        <v/>
      </c>
      <c r="E1222" s="23" t="str">
        <f aca="false">IF(B1222="","",IF(Brand_Log!B22="","",Brand_Log!B22&amp;""))</f>
        <v/>
      </c>
      <c r="F1222" s="23" t="str">
        <f aca="false">IF(B1222="","","budget_probe")</f>
        <v/>
      </c>
      <c r="G1222" s="23" t="str">
        <f aca="false">IF(B1222="","",IF(ISNUMBER(Brand_Log!V22),Brand_Log!V22,""))</f>
        <v/>
      </c>
      <c r="H1222" s="23" t="str">
        <f aca="false">IF(B1222="","",IF(Brand_Log!W22="","",Brand_Log!W22&amp;""))</f>
        <v/>
      </c>
      <c r="I1222" s="23" t="str">
        <f aca="false">IF(B1222="","",IF(Brand_Log!O22="","",Brand_Log!O22&amp;""))</f>
        <v/>
      </c>
      <c r="J1222" s="23" t="str">
        <f aca="false">IF(B1222="","","after_1500")</f>
        <v/>
      </c>
      <c r="K1222" s="32" t="s">
        <v>1358</v>
      </c>
    </row>
    <row r="1223" customFormat="false" ht="15" hidden="false" customHeight="false" outlineLevel="0" collapsed="false">
      <c r="A1223" s="23" t="str">
        <f aca="false">IF(B1223="","",B1223+(7*1000+22)/10000000)</f>
        <v/>
      </c>
      <c r="B1223" s="35" t="str">
        <f aca="false">IF(AND(Brand_Log!AY23=1,Brand_Log!U23="Y",OR(ISNUMBER(Brand_Log!V23),TRIM(Brand_Log!W23)&lt;&gt;"")),Brand_Log!H23,"")</f>
        <v/>
      </c>
      <c r="C1223" s="23" t="str">
        <f aca="false">IF(B1223="","","brand")</f>
        <v/>
      </c>
      <c r="D1223" s="23" t="str">
        <f aca="false">IF(B1223="","",Brand_Log!DV23&amp;"")</f>
        <v/>
      </c>
      <c r="E1223" s="23" t="str">
        <f aca="false">IF(B1223="","",IF(Brand_Log!B23="","",Brand_Log!B23&amp;""))</f>
        <v/>
      </c>
      <c r="F1223" s="23" t="str">
        <f aca="false">IF(B1223="","","budget_probe")</f>
        <v/>
      </c>
      <c r="G1223" s="23" t="str">
        <f aca="false">IF(B1223="","",IF(ISNUMBER(Brand_Log!V23),Brand_Log!V23,""))</f>
        <v/>
      </c>
      <c r="H1223" s="23" t="str">
        <f aca="false">IF(B1223="","",IF(Brand_Log!W23="","",Brand_Log!W23&amp;""))</f>
        <v/>
      </c>
      <c r="I1223" s="23" t="str">
        <f aca="false">IF(B1223="","",IF(Brand_Log!O23="","",Brand_Log!O23&amp;""))</f>
        <v/>
      </c>
      <c r="J1223" s="23" t="str">
        <f aca="false">IF(B1223="","","after_1500")</f>
        <v/>
      </c>
      <c r="K1223" s="32" t="s">
        <v>1358</v>
      </c>
    </row>
    <row r="1224" customFormat="false" ht="15" hidden="false" customHeight="false" outlineLevel="0" collapsed="false">
      <c r="A1224" s="23" t="str">
        <f aca="false">IF(B1224="","",B1224+(7*1000+23)/10000000)</f>
        <v/>
      </c>
      <c r="B1224" s="35" t="str">
        <f aca="false">IF(AND(Brand_Log!AY24=1,Brand_Log!U24="Y",OR(ISNUMBER(Brand_Log!V24),TRIM(Brand_Log!W24)&lt;&gt;"")),Brand_Log!H24,"")</f>
        <v/>
      </c>
      <c r="C1224" s="23" t="str">
        <f aca="false">IF(B1224="","","brand")</f>
        <v/>
      </c>
      <c r="D1224" s="23" t="str">
        <f aca="false">IF(B1224="","",Brand_Log!DV24&amp;"")</f>
        <v/>
      </c>
      <c r="E1224" s="23" t="str">
        <f aca="false">IF(B1224="","",IF(Brand_Log!B24="","",Brand_Log!B24&amp;""))</f>
        <v/>
      </c>
      <c r="F1224" s="23" t="str">
        <f aca="false">IF(B1224="","","budget_probe")</f>
        <v/>
      </c>
      <c r="G1224" s="23" t="str">
        <f aca="false">IF(B1224="","",IF(ISNUMBER(Brand_Log!V24),Brand_Log!V24,""))</f>
        <v/>
      </c>
      <c r="H1224" s="23" t="str">
        <f aca="false">IF(B1224="","",IF(Brand_Log!W24="","",Brand_Log!W24&amp;""))</f>
        <v/>
      </c>
      <c r="I1224" s="23" t="str">
        <f aca="false">IF(B1224="","",IF(Brand_Log!O24="","",Brand_Log!O24&amp;""))</f>
        <v/>
      </c>
      <c r="J1224" s="23" t="str">
        <f aca="false">IF(B1224="","","after_1500")</f>
        <v/>
      </c>
      <c r="K1224" s="32" t="s">
        <v>1358</v>
      </c>
    </row>
    <row r="1225" customFormat="false" ht="15" hidden="false" customHeight="false" outlineLevel="0" collapsed="false">
      <c r="A1225" s="23" t="str">
        <f aca="false">IF(B1225="","",B1225+(7*1000+24)/10000000)</f>
        <v/>
      </c>
      <c r="B1225" s="35" t="str">
        <f aca="false">IF(AND(Brand_Log!AY25=1,Brand_Log!U25="Y",OR(ISNUMBER(Brand_Log!V25),TRIM(Brand_Log!W25)&lt;&gt;"")),Brand_Log!H25,"")</f>
        <v/>
      </c>
      <c r="C1225" s="23" t="str">
        <f aca="false">IF(B1225="","","brand")</f>
        <v/>
      </c>
      <c r="D1225" s="23" t="str">
        <f aca="false">IF(B1225="","",Brand_Log!DV25&amp;"")</f>
        <v/>
      </c>
      <c r="E1225" s="23" t="str">
        <f aca="false">IF(B1225="","",IF(Brand_Log!B25="","",Brand_Log!B25&amp;""))</f>
        <v/>
      </c>
      <c r="F1225" s="23" t="str">
        <f aca="false">IF(B1225="","","budget_probe")</f>
        <v/>
      </c>
      <c r="G1225" s="23" t="str">
        <f aca="false">IF(B1225="","",IF(ISNUMBER(Brand_Log!V25),Brand_Log!V25,""))</f>
        <v/>
      </c>
      <c r="H1225" s="23" t="str">
        <f aca="false">IF(B1225="","",IF(Brand_Log!W25="","",Brand_Log!W25&amp;""))</f>
        <v/>
      </c>
      <c r="I1225" s="23" t="str">
        <f aca="false">IF(B1225="","",IF(Brand_Log!O25="","",Brand_Log!O25&amp;""))</f>
        <v/>
      </c>
      <c r="J1225" s="23" t="str">
        <f aca="false">IF(B1225="","","after_1500")</f>
        <v/>
      </c>
      <c r="K1225" s="32" t="s">
        <v>1358</v>
      </c>
    </row>
    <row r="1226" customFormat="false" ht="15" hidden="false" customHeight="false" outlineLevel="0" collapsed="false">
      <c r="A1226" s="23" t="str">
        <f aca="false">IF(B1226="","",B1226+(7*1000+25)/10000000)</f>
        <v/>
      </c>
      <c r="B1226" s="35" t="str">
        <f aca="false">IF(AND(Brand_Log!AY26=1,Brand_Log!U26="Y",OR(ISNUMBER(Brand_Log!V26),TRIM(Brand_Log!W26)&lt;&gt;"")),Brand_Log!H26,"")</f>
        <v/>
      </c>
      <c r="C1226" s="23" t="str">
        <f aca="false">IF(B1226="","","brand")</f>
        <v/>
      </c>
      <c r="D1226" s="23" t="str">
        <f aca="false">IF(B1226="","",Brand_Log!DV26&amp;"")</f>
        <v/>
      </c>
      <c r="E1226" s="23" t="str">
        <f aca="false">IF(B1226="","",IF(Brand_Log!B26="","",Brand_Log!B26&amp;""))</f>
        <v/>
      </c>
      <c r="F1226" s="23" t="str">
        <f aca="false">IF(B1226="","","budget_probe")</f>
        <v/>
      </c>
      <c r="G1226" s="23" t="str">
        <f aca="false">IF(B1226="","",IF(ISNUMBER(Brand_Log!V26),Brand_Log!V26,""))</f>
        <v/>
      </c>
      <c r="H1226" s="23" t="str">
        <f aca="false">IF(B1226="","",IF(Brand_Log!W26="","",Brand_Log!W26&amp;""))</f>
        <v/>
      </c>
      <c r="I1226" s="23" t="str">
        <f aca="false">IF(B1226="","",IF(Brand_Log!O26="","",Brand_Log!O26&amp;""))</f>
        <v/>
      </c>
      <c r="J1226" s="23" t="str">
        <f aca="false">IF(B1226="","","after_1500")</f>
        <v/>
      </c>
      <c r="K1226" s="32" t="s">
        <v>1358</v>
      </c>
    </row>
    <row r="1227" customFormat="false" ht="15" hidden="false" customHeight="false" outlineLevel="0" collapsed="false">
      <c r="A1227" s="23" t="str">
        <f aca="false">IF(B1227="","",B1227+(7*1000+26)/10000000)</f>
        <v/>
      </c>
      <c r="B1227" s="35" t="str">
        <f aca="false">IF(AND(Brand_Log!AY27=1,Brand_Log!U27="Y",OR(ISNUMBER(Brand_Log!V27),TRIM(Brand_Log!W27)&lt;&gt;"")),Brand_Log!H27,"")</f>
        <v/>
      </c>
      <c r="C1227" s="23" t="str">
        <f aca="false">IF(B1227="","","brand")</f>
        <v/>
      </c>
      <c r="D1227" s="23" t="str">
        <f aca="false">IF(B1227="","",Brand_Log!DV27&amp;"")</f>
        <v/>
      </c>
      <c r="E1227" s="23" t="str">
        <f aca="false">IF(B1227="","",IF(Brand_Log!B27="","",Brand_Log!B27&amp;""))</f>
        <v/>
      </c>
      <c r="F1227" s="23" t="str">
        <f aca="false">IF(B1227="","","budget_probe")</f>
        <v/>
      </c>
      <c r="G1227" s="23" t="str">
        <f aca="false">IF(B1227="","",IF(ISNUMBER(Brand_Log!V27),Brand_Log!V27,""))</f>
        <v/>
      </c>
      <c r="H1227" s="23" t="str">
        <f aca="false">IF(B1227="","",IF(Brand_Log!W27="","",Brand_Log!W27&amp;""))</f>
        <v/>
      </c>
      <c r="I1227" s="23" t="str">
        <f aca="false">IF(B1227="","",IF(Brand_Log!O27="","",Brand_Log!O27&amp;""))</f>
        <v/>
      </c>
      <c r="J1227" s="23" t="str">
        <f aca="false">IF(B1227="","","after_1500")</f>
        <v/>
      </c>
      <c r="K1227" s="32" t="s">
        <v>1358</v>
      </c>
    </row>
    <row r="1228" customFormat="false" ht="15" hidden="false" customHeight="false" outlineLevel="0" collapsed="false">
      <c r="A1228" s="23" t="str">
        <f aca="false">IF(B1228="","",B1228+(7*1000+27)/10000000)</f>
        <v/>
      </c>
      <c r="B1228" s="35" t="str">
        <f aca="false">IF(AND(Brand_Log!AY28=1,Brand_Log!U28="Y",OR(ISNUMBER(Brand_Log!V28),TRIM(Brand_Log!W28)&lt;&gt;"")),Brand_Log!H28,"")</f>
        <v/>
      </c>
      <c r="C1228" s="23" t="str">
        <f aca="false">IF(B1228="","","brand")</f>
        <v/>
      </c>
      <c r="D1228" s="23" t="str">
        <f aca="false">IF(B1228="","",Brand_Log!DV28&amp;"")</f>
        <v/>
      </c>
      <c r="E1228" s="23" t="str">
        <f aca="false">IF(B1228="","",IF(Brand_Log!B28="","",Brand_Log!B28&amp;""))</f>
        <v/>
      </c>
      <c r="F1228" s="23" t="str">
        <f aca="false">IF(B1228="","","budget_probe")</f>
        <v/>
      </c>
      <c r="G1228" s="23" t="str">
        <f aca="false">IF(B1228="","",IF(ISNUMBER(Brand_Log!V28),Brand_Log!V28,""))</f>
        <v/>
      </c>
      <c r="H1228" s="23" t="str">
        <f aca="false">IF(B1228="","",IF(Brand_Log!W28="","",Brand_Log!W28&amp;""))</f>
        <v/>
      </c>
      <c r="I1228" s="23" t="str">
        <f aca="false">IF(B1228="","",IF(Brand_Log!O28="","",Brand_Log!O28&amp;""))</f>
        <v/>
      </c>
      <c r="J1228" s="23" t="str">
        <f aca="false">IF(B1228="","","after_1500")</f>
        <v/>
      </c>
      <c r="K1228" s="32" t="s">
        <v>1358</v>
      </c>
    </row>
    <row r="1229" customFormat="false" ht="15" hidden="false" customHeight="false" outlineLevel="0" collapsed="false">
      <c r="A1229" s="23" t="str">
        <f aca="false">IF(B1229="","",B1229+(7*1000+28)/10000000)</f>
        <v/>
      </c>
      <c r="B1229" s="35" t="str">
        <f aca="false">IF(AND(Brand_Log!AY29=1,Brand_Log!U29="Y",OR(ISNUMBER(Brand_Log!V29),TRIM(Brand_Log!W29)&lt;&gt;"")),Brand_Log!H29,"")</f>
        <v/>
      </c>
      <c r="C1229" s="23" t="str">
        <f aca="false">IF(B1229="","","brand")</f>
        <v/>
      </c>
      <c r="D1229" s="23" t="str">
        <f aca="false">IF(B1229="","",Brand_Log!DV29&amp;"")</f>
        <v/>
      </c>
      <c r="E1229" s="23" t="str">
        <f aca="false">IF(B1229="","",IF(Brand_Log!B29="","",Brand_Log!B29&amp;""))</f>
        <v/>
      </c>
      <c r="F1229" s="23" t="str">
        <f aca="false">IF(B1229="","","budget_probe")</f>
        <v/>
      </c>
      <c r="G1229" s="23" t="str">
        <f aca="false">IF(B1229="","",IF(ISNUMBER(Brand_Log!V29),Brand_Log!V29,""))</f>
        <v/>
      </c>
      <c r="H1229" s="23" t="str">
        <f aca="false">IF(B1229="","",IF(Brand_Log!W29="","",Brand_Log!W29&amp;""))</f>
        <v/>
      </c>
      <c r="I1229" s="23" t="str">
        <f aca="false">IF(B1229="","",IF(Brand_Log!O29="","",Brand_Log!O29&amp;""))</f>
        <v/>
      </c>
      <c r="J1229" s="23" t="str">
        <f aca="false">IF(B1229="","","after_1500")</f>
        <v/>
      </c>
      <c r="K1229" s="32" t="s">
        <v>1358</v>
      </c>
    </row>
    <row r="1230" customFormat="false" ht="15" hidden="false" customHeight="false" outlineLevel="0" collapsed="false">
      <c r="A1230" s="23" t="str">
        <f aca="false">IF(B1230="","",B1230+(7*1000+29)/10000000)</f>
        <v/>
      </c>
      <c r="B1230" s="35" t="str">
        <f aca="false">IF(AND(Brand_Log!AY30=1,Brand_Log!U30="Y",OR(ISNUMBER(Brand_Log!V30),TRIM(Brand_Log!W30)&lt;&gt;"")),Brand_Log!H30,"")</f>
        <v/>
      </c>
      <c r="C1230" s="23" t="str">
        <f aca="false">IF(B1230="","","brand")</f>
        <v/>
      </c>
      <c r="D1230" s="23" t="str">
        <f aca="false">IF(B1230="","",Brand_Log!DV30&amp;"")</f>
        <v/>
      </c>
      <c r="E1230" s="23" t="str">
        <f aca="false">IF(B1230="","",IF(Brand_Log!B30="","",Brand_Log!B30&amp;""))</f>
        <v/>
      </c>
      <c r="F1230" s="23" t="str">
        <f aca="false">IF(B1230="","","budget_probe")</f>
        <v/>
      </c>
      <c r="G1230" s="23" t="str">
        <f aca="false">IF(B1230="","",IF(ISNUMBER(Brand_Log!V30),Brand_Log!V30,""))</f>
        <v/>
      </c>
      <c r="H1230" s="23" t="str">
        <f aca="false">IF(B1230="","",IF(Brand_Log!W30="","",Brand_Log!W30&amp;""))</f>
        <v/>
      </c>
      <c r="I1230" s="23" t="str">
        <f aca="false">IF(B1230="","",IF(Brand_Log!O30="","",Brand_Log!O30&amp;""))</f>
        <v/>
      </c>
      <c r="J1230" s="23" t="str">
        <f aca="false">IF(B1230="","","after_1500")</f>
        <v/>
      </c>
      <c r="K1230" s="32" t="s">
        <v>1358</v>
      </c>
    </row>
    <row r="1231" customFormat="false" ht="15" hidden="false" customHeight="false" outlineLevel="0" collapsed="false">
      <c r="A1231" s="23" t="str">
        <f aca="false">IF(B1231="","",B1231+(7*1000+30)/10000000)</f>
        <v/>
      </c>
      <c r="B1231" s="35" t="str">
        <f aca="false">IF(AND(Brand_Log!AY31=1,Brand_Log!U31="Y",OR(ISNUMBER(Brand_Log!V31),TRIM(Brand_Log!W31)&lt;&gt;"")),Brand_Log!H31,"")</f>
        <v/>
      </c>
      <c r="C1231" s="23" t="str">
        <f aca="false">IF(B1231="","","brand")</f>
        <v/>
      </c>
      <c r="D1231" s="23" t="str">
        <f aca="false">IF(B1231="","",Brand_Log!DV31&amp;"")</f>
        <v/>
      </c>
      <c r="E1231" s="23" t="str">
        <f aca="false">IF(B1231="","",IF(Brand_Log!B31="","",Brand_Log!B31&amp;""))</f>
        <v/>
      </c>
      <c r="F1231" s="23" t="str">
        <f aca="false">IF(B1231="","","budget_probe")</f>
        <v/>
      </c>
      <c r="G1231" s="23" t="str">
        <f aca="false">IF(B1231="","",IF(ISNUMBER(Brand_Log!V31),Brand_Log!V31,""))</f>
        <v/>
      </c>
      <c r="H1231" s="23" t="str">
        <f aca="false">IF(B1231="","",IF(Brand_Log!W31="","",Brand_Log!W31&amp;""))</f>
        <v/>
      </c>
      <c r="I1231" s="23" t="str">
        <f aca="false">IF(B1231="","",IF(Brand_Log!O31="","",Brand_Log!O31&amp;""))</f>
        <v/>
      </c>
      <c r="J1231" s="23" t="str">
        <f aca="false">IF(B1231="","","after_1500")</f>
        <v/>
      </c>
      <c r="K1231" s="32" t="s">
        <v>1358</v>
      </c>
    </row>
    <row r="1232" customFormat="false" ht="15" hidden="false" customHeight="false" outlineLevel="0" collapsed="false">
      <c r="A1232" s="23" t="str">
        <f aca="false">IF(B1232="","",B1232+(7*1000+31)/10000000)</f>
        <v/>
      </c>
      <c r="B1232" s="35" t="str">
        <f aca="false">IF(AND(Brand_Log!AY32=1,Brand_Log!U32="Y",OR(ISNUMBER(Brand_Log!V32),TRIM(Brand_Log!W32)&lt;&gt;"")),Brand_Log!H32,"")</f>
        <v/>
      </c>
      <c r="C1232" s="23" t="str">
        <f aca="false">IF(B1232="","","brand")</f>
        <v/>
      </c>
      <c r="D1232" s="23" t="str">
        <f aca="false">IF(B1232="","",Brand_Log!DV32&amp;"")</f>
        <v/>
      </c>
      <c r="E1232" s="23" t="str">
        <f aca="false">IF(B1232="","",IF(Brand_Log!B32="","",Brand_Log!B32&amp;""))</f>
        <v/>
      </c>
      <c r="F1232" s="23" t="str">
        <f aca="false">IF(B1232="","","budget_probe")</f>
        <v/>
      </c>
      <c r="G1232" s="23" t="str">
        <f aca="false">IF(B1232="","",IF(ISNUMBER(Brand_Log!V32),Brand_Log!V32,""))</f>
        <v/>
      </c>
      <c r="H1232" s="23" t="str">
        <f aca="false">IF(B1232="","",IF(Brand_Log!W32="","",Brand_Log!W32&amp;""))</f>
        <v/>
      </c>
      <c r="I1232" s="23" t="str">
        <f aca="false">IF(B1232="","",IF(Brand_Log!O32="","",Brand_Log!O32&amp;""))</f>
        <v/>
      </c>
      <c r="J1232" s="23" t="str">
        <f aca="false">IF(B1232="","","after_1500")</f>
        <v/>
      </c>
      <c r="K1232" s="32" t="s">
        <v>1358</v>
      </c>
    </row>
    <row r="1233" customFormat="false" ht="15" hidden="false" customHeight="false" outlineLevel="0" collapsed="false">
      <c r="A1233" s="23" t="str">
        <f aca="false">IF(B1233="","",B1233+(7*1000+32)/10000000)</f>
        <v/>
      </c>
      <c r="B1233" s="35" t="str">
        <f aca="false">IF(AND(Brand_Log!AY33=1,Brand_Log!U33="Y",OR(ISNUMBER(Brand_Log!V33),TRIM(Brand_Log!W33)&lt;&gt;"")),Brand_Log!H33,"")</f>
        <v/>
      </c>
      <c r="C1233" s="23" t="str">
        <f aca="false">IF(B1233="","","brand")</f>
        <v/>
      </c>
      <c r="D1233" s="23" t="str">
        <f aca="false">IF(B1233="","",Brand_Log!DV33&amp;"")</f>
        <v/>
      </c>
      <c r="E1233" s="23" t="str">
        <f aca="false">IF(B1233="","",IF(Brand_Log!B33="","",Brand_Log!B33&amp;""))</f>
        <v/>
      </c>
      <c r="F1233" s="23" t="str">
        <f aca="false">IF(B1233="","","budget_probe")</f>
        <v/>
      </c>
      <c r="G1233" s="23" t="str">
        <f aca="false">IF(B1233="","",IF(ISNUMBER(Brand_Log!V33),Brand_Log!V33,""))</f>
        <v/>
      </c>
      <c r="H1233" s="23" t="str">
        <f aca="false">IF(B1233="","",IF(Brand_Log!W33="","",Brand_Log!W33&amp;""))</f>
        <v/>
      </c>
      <c r="I1233" s="23" t="str">
        <f aca="false">IF(B1233="","",IF(Brand_Log!O33="","",Brand_Log!O33&amp;""))</f>
        <v/>
      </c>
      <c r="J1233" s="23" t="str">
        <f aca="false">IF(B1233="","","after_1500")</f>
        <v/>
      </c>
      <c r="K1233" s="32" t="s">
        <v>1358</v>
      </c>
    </row>
    <row r="1234" customFormat="false" ht="15" hidden="false" customHeight="false" outlineLevel="0" collapsed="false">
      <c r="A1234" s="23" t="str">
        <f aca="false">IF(B1234="","",B1234+(7*1000+33)/10000000)</f>
        <v/>
      </c>
      <c r="B1234" s="35" t="str">
        <f aca="false">IF(AND(Brand_Log!AY34=1,Brand_Log!U34="Y",OR(ISNUMBER(Brand_Log!V34),TRIM(Brand_Log!W34)&lt;&gt;"")),Brand_Log!H34,"")</f>
        <v/>
      </c>
      <c r="C1234" s="23" t="str">
        <f aca="false">IF(B1234="","","brand")</f>
        <v/>
      </c>
      <c r="D1234" s="23" t="str">
        <f aca="false">IF(B1234="","",Brand_Log!DV34&amp;"")</f>
        <v/>
      </c>
      <c r="E1234" s="23" t="str">
        <f aca="false">IF(B1234="","",IF(Brand_Log!B34="","",Brand_Log!B34&amp;""))</f>
        <v/>
      </c>
      <c r="F1234" s="23" t="str">
        <f aca="false">IF(B1234="","","budget_probe")</f>
        <v/>
      </c>
      <c r="G1234" s="23" t="str">
        <f aca="false">IF(B1234="","",IF(ISNUMBER(Brand_Log!V34),Brand_Log!V34,""))</f>
        <v/>
      </c>
      <c r="H1234" s="23" t="str">
        <f aca="false">IF(B1234="","",IF(Brand_Log!W34="","",Brand_Log!W34&amp;""))</f>
        <v/>
      </c>
      <c r="I1234" s="23" t="str">
        <f aca="false">IF(B1234="","",IF(Brand_Log!O34="","",Brand_Log!O34&amp;""))</f>
        <v/>
      </c>
      <c r="J1234" s="23" t="str">
        <f aca="false">IF(B1234="","","after_1500")</f>
        <v/>
      </c>
      <c r="K1234" s="32" t="s">
        <v>1358</v>
      </c>
    </row>
    <row r="1235" customFormat="false" ht="15" hidden="false" customHeight="false" outlineLevel="0" collapsed="false">
      <c r="A1235" s="23" t="str">
        <f aca="false">IF(B1235="","",B1235+(7*1000+34)/10000000)</f>
        <v/>
      </c>
      <c r="B1235" s="35" t="str">
        <f aca="false">IF(AND(Brand_Log!AY35=1,Brand_Log!U35="Y",OR(ISNUMBER(Brand_Log!V35),TRIM(Brand_Log!W35)&lt;&gt;"")),Brand_Log!H35,"")</f>
        <v/>
      </c>
      <c r="C1235" s="23" t="str">
        <f aca="false">IF(B1235="","","brand")</f>
        <v/>
      </c>
      <c r="D1235" s="23" t="str">
        <f aca="false">IF(B1235="","",Brand_Log!DV35&amp;"")</f>
        <v/>
      </c>
      <c r="E1235" s="23" t="str">
        <f aca="false">IF(B1235="","",IF(Brand_Log!B35="","",Brand_Log!B35&amp;""))</f>
        <v/>
      </c>
      <c r="F1235" s="23" t="str">
        <f aca="false">IF(B1235="","","budget_probe")</f>
        <v/>
      </c>
      <c r="G1235" s="23" t="str">
        <f aca="false">IF(B1235="","",IF(ISNUMBER(Brand_Log!V35),Brand_Log!V35,""))</f>
        <v/>
      </c>
      <c r="H1235" s="23" t="str">
        <f aca="false">IF(B1235="","",IF(Brand_Log!W35="","",Brand_Log!W35&amp;""))</f>
        <v/>
      </c>
      <c r="I1235" s="23" t="str">
        <f aca="false">IF(B1235="","",IF(Brand_Log!O35="","",Brand_Log!O35&amp;""))</f>
        <v/>
      </c>
      <c r="J1235" s="23" t="str">
        <f aca="false">IF(B1235="","","after_1500")</f>
        <v/>
      </c>
      <c r="K1235" s="32" t="s">
        <v>1358</v>
      </c>
    </row>
    <row r="1236" customFormat="false" ht="15" hidden="false" customHeight="false" outlineLevel="0" collapsed="false">
      <c r="A1236" s="23" t="str">
        <f aca="false">IF(B1236="","",B1236+(7*1000+35)/10000000)</f>
        <v/>
      </c>
      <c r="B1236" s="35" t="str">
        <f aca="false">IF(AND(Brand_Log!AY36=1,Brand_Log!U36="Y",OR(ISNUMBER(Brand_Log!V36),TRIM(Brand_Log!W36)&lt;&gt;"")),Brand_Log!H36,"")</f>
        <v/>
      </c>
      <c r="C1236" s="23" t="str">
        <f aca="false">IF(B1236="","","brand")</f>
        <v/>
      </c>
      <c r="D1236" s="23" t="str">
        <f aca="false">IF(B1236="","",Brand_Log!DV36&amp;"")</f>
        <v/>
      </c>
      <c r="E1236" s="23" t="str">
        <f aca="false">IF(B1236="","",IF(Brand_Log!B36="","",Brand_Log!B36&amp;""))</f>
        <v/>
      </c>
      <c r="F1236" s="23" t="str">
        <f aca="false">IF(B1236="","","budget_probe")</f>
        <v/>
      </c>
      <c r="G1236" s="23" t="str">
        <f aca="false">IF(B1236="","",IF(ISNUMBER(Brand_Log!V36),Brand_Log!V36,""))</f>
        <v/>
      </c>
      <c r="H1236" s="23" t="str">
        <f aca="false">IF(B1236="","",IF(Brand_Log!W36="","",Brand_Log!W36&amp;""))</f>
        <v/>
      </c>
      <c r="I1236" s="23" t="str">
        <f aca="false">IF(B1236="","",IF(Brand_Log!O36="","",Brand_Log!O36&amp;""))</f>
        <v/>
      </c>
      <c r="J1236" s="23" t="str">
        <f aca="false">IF(B1236="","","after_1500")</f>
        <v/>
      </c>
      <c r="K1236" s="32" t="s">
        <v>1358</v>
      </c>
    </row>
    <row r="1237" customFormat="false" ht="15" hidden="false" customHeight="false" outlineLevel="0" collapsed="false">
      <c r="A1237" s="23" t="str">
        <f aca="false">IF(B1237="","",B1237+(7*1000+36)/10000000)</f>
        <v/>
      </c>
      <c r="B1237" s="35" t="str">
        <f aca="false">IF(AND(Brand_Log!AY37=1,Brand_Log!U37="Y",OR(ISNUMBER(Brand_Log!V37),TRIM(Brand_Log!W37)&lt;&gt;"")),Brand_Log!H37,"")</f>
        <v/>
      </c>
      <c r="C1237" s="23" t="str">
        <f aca="false">IF(B1237="","","brand")</f>
        <v/>
      </c>
      <c r="D1237" s="23" t="str">
        <f aca="false">IF(B1237="","",Brand_Log!DV37&amp;"")</f>
        <v/>
      </c>
      <c r="E1237" s="23" t="str">
        <f aca="false">IF(B1237="","",IF(Brand_Log!B37="","",Brand_Log!B37&amp;""))</f>
        <v/>
      </c>
      <c r="F1237" s="23" t="str">
        <f aca="false">IF(B1237="","","budget_probe")</f>
        <v/>
      </c>
      <c r="G1237" s="23" t="str">
        <f aca="false">IF(B1237="","",IF(ISNUMBER(Brand_Log!V37),Brand_Log!V37,""))</f>
        <v/>
      </c>
      <c r="H1237" s="23" t="str">
        <f aca="false">IF(B1237="","",IF(Brand_Log!W37="","",Brand_Log!W37&amp;""))</f>
        <v/>
      </c>
      <c r="I1237" s="23" t="str">
        <f aca="false">IF(B1237="","",IF(Brand_Log!O37="","",Brand_Log!O37&amp;""))</f>
        <v/>
      </c>
      <c r="J1237" s="23" t="str">
        <f aca="false">IF(B1237="","","after_1500")</f>
        <v/>
      </c>
      <c r="K1237" s="32" t="s">
        <v>1358</v>
      </c>
    </row>
    <row r="1238" customFormat="false" ht="15" hidden="false" customHeight="false" outlineLevel="0" collapsed="false">
      <c r="A1238" s="23" t="str">
        <f aca="false">IF(B1238="","",B1238+(7*1000+37)/10000000)</f>
        <v/>
      </c>
      <c r="B1238" s="35" t="str">
        <f aca="false">IF(AND(Brand_Log!AY38=1,Brand_Log!U38="Y",OR(ISNUMBER(Brand_Log!V38),TRIM(Brand_Log!W38)&lt;&gt;"")),Brand_Log!H38,"")</f>
        <v/>
      </c>
      <c r="C1238" s="23" t="str">
        <f aca="false">IF(B1238="","","brand")</f>
        <v/>
      </c>
      <c r="D1238" s="23" t="str">
        <f aca="false">IF(B1238="","",Brand_Log!DV38&amp;"")</f>
        <v/>
      </c>
      <c r="E1238" s="23" t="str">
        <f aca="false">IF(B1238="","",IF(Brand_Log!B38="","",Brand_Log!B38&amp;""))</f>
        <v/>
      </c>
      <c r="F1238" s="23" t="str">
        <f aca="false">IF(B1238="","","budget_probe")</f>
        <v/>
      </c>
      <c r="G1238" s="23" t="str">
        <f aca="false">IF(B1238="","",IF(ISNUMBER(Brand_Log!V38),Brand_Log!V38,""))</f>
        <v/>
      </c>
      <c r="H1238" s="23" t="str">
        <f aca="false">IF(B1238="","",IF(Brand_Log!W38="","",Brand_Log!W38&amp;""))</f>
        <v/>
      </c>
      <c r="I1238" s="23" t="str">
        <f aca="false">IF(B1238="","",IF(Brand_Log!O38="","",Brand_Log!O38&amp;""))</f>
        <v/>
      </c>
      <c r="J1238" s="23" t="str">
        <f aca="false">IF(B1238="","","after_1500")</f>
        <v/>
      </c>
      <c r="K1238" s="32" t="s">
        <v>1358</v>
      </c>
    </row>
    <row r="1239" customFormat="false" ht="15" hidden="false" customHeight="false" outlineLevel="0" collapsed="false">
      <c r="A1239" s="23" t="str">
        <f aca="false">IF(B1239="","",B1239+(7*1000+38)/10000000)</f>
        <v/>
      </c>
      <c r="B1239" s="35" t="str">
        <f aca="false">IF(AND(Brand_Log!AY39=1,Brand_Log!U39="Y",OR(ISNUMBER(Brand_Log!V39),TRIM(Brand_Log!W39)&lt;&gt;"")),Brand_Log!H39,"")</f>
        <v/>
      </c>
      <c r="C1239" s="23" t="str">
        <f aca="false">IF(B1239="","","brand")</f>
        <v/>
      </c>
      <c r="D1239" s="23" t="str">
        <f aca="false">IF(B1239="","",Brand_Log!DV39&amp;"")</f>
        <v/>
      </c>
      <c r="E1239" s="23" t="str">
        <f aca="false">IF(B1239="","",IF(Brand_Log!B39="","",Brand_Log!B39&amp;""))</f>
        <v/>
      </c>
      <c r="F1239" s="23" t="str">
        <f aca="false">IF(B1239="","","budget_probe")</f>
        <v/>
      </c>
      <c r="G1239" s="23" t="str">
        <f aca="false">IF(B1239="","",IF(ISNUMBER(Brand_Log!V39),Brand_Log!V39,""))</f>
        <v/>
      </c>
      <c r="H1239" s="23" t="str">
        <f aca="false">IF(B1239="","",IF(Brand_Log!W39="","",Brand_Log!W39&amp;""))</f>
        <v/>
      </c>
      <c r="I1239" s="23" t="str">
        <f aca="false">IF(B1239="","",IF(Brand_Log!O39="","",Brand_Log!O39&amp;""))</f>
        <v/>
      </c>
      <c r="J1239" s="23" t="str">
        <f aca="false">IF(B1239="","","after_1500")</f>
        <v/>
      </c>
      <c r="K1239" s="32" t="s">
        <v>1358</v>
      </c>
    </row>
    <row r="1240" customFormat="false" ht="15" hidden="false" customHeight="false" outlineLevel="0" collapsed="false">
      <c r="A1240" s="23" t="str">
        <f aca="false">IF(B1240="","",B1240+(7*1000+39)/10000000)</f>
        <v/>
      </c>
      <c r="B1240" s="35" t="str">
        <f aca="false">IF(AND(Brand_Log!AY40=1,Brand_Log!U40="Y",OR(ISNUMBER(Brand_Log!V40),TRIM(Brand_Log!W40)&lt;&gt;"")),Brand_Log!H40,"")</f>
        <v/>
      </c>
      <c r="C1240" s="23" t="str">
        <f aca="false">IF(B1240="","","brand")</f>
        <v/>
      </c>
      <c r="D1240" s="23" t="str">
        <f aca="false">IF(B1240="","",Brand_Log!DV40&amp;"")</f>
        <v/>
      </c>
      <c r="E1240" s="23" t="str">
        <f aca="false">IF(B1240="","",IF(Brand_Log!B40="","",Brand_Log!B40&amp;""))</f>
        <v/>
      </c>
      <c r="F1240" s="23" t="str">
        <f aca="false">IF(B1240="","","budget_probe")</f>
        <v/>
      </c>
      <c r="G1240" s="23" t="str">
        <f aca="false">IF(B1240="","",IF(ISNUMBER(Brand_Log!V40),Brand_Log!V40,""))</f>
        <v/>
      </c>
      <c r="H1240" s="23" t="str">
        <f aca="false">IF(B1240="","",IF(Brand_Log!W40="","",Brand_Log!W40&amp;""))</f>
        <v/>
      </c>
      <c r="I1240" s="23" t="str">
        <f aca="false">IF(B1240="","",IF(Brand_Log!O40="","",Brand_Log!O40&amp;""))</f>
        <v/>
      </c>
      <c r="J1240" s="23" t="str">
        <f aca="false">IF(B1240="","","after_1500")</f>
        <v/>
      </c>
      <c r="K1240" s="32" t="s">
        <v>1358</v>
      </c>
    </row>
    <row r="1241" customFormat="false" ht="15" hidden="false" customHeight="false" outlineLevel="0" collapsed="false">
      <c r="A1241" s="23" t="str">
        <f aca="false">IF(B1241="","",B1241+(7*1000+40)/10000000)</f>
        <v/>
      </c>
      <c r="B1241" s="35" t="str">
        <f aca="false">IF(AND(Brand_Log!AY41=1,Brand_Log!U41="Y",OR(ISNUMBER(Brand_Log!V41),TRIM(Brand_Log!W41)&lt;&gt;"")),Brand_Log!H41,"")</f>
        <v/>
      </c>
      <c r="C1241" s="23" t="str">
        <f aca="false">IF(B1241="","","brand")</f>
        <v/>
      </c>
      <c r="D1241" s="23" t="str">
        <f aca="false">IF(B1241="","",Brand_Log!DV41&amp;"")</f>
        <v/>
      </c>
      <c r="E1241" s="23" t="str">
        <f aca="false">IF(B1241="","",IF(Brand_Log!B41="","",Brand_Log!B41&amp;""))</f>
        <v/>
      </c>
      <c r="F1241" s="23" t="str">
        <f aca="false">IF(B1241="","","budget_probe")</f>
        <v/>
      </c>
      <c r="G1241" s="23" t="str">
        <f aca="false">IF(B1241="","",IF(ISNUMBER(Brand_Log!V41),Brand_Log!V41,""))</f>
        <v/>
      </c>
      <c r="H1241" s="23" t="str">
        <f aca="false">IF(B1241="","",IF(Brand_Log!W41="","",Brand_Log!W41&amp;""))</f>
        <v/>
      </c>
      <c r="I1241" s="23" t="str">
        <f aca="false">IF(B1241="","",IF(Brand_Log!O41="","",Brand_Log!O41&amp;""))</f>
        <v/>
      </c>
      <c r="J1241" s="23" t="str">
        <f aca="false">IF(B1241="","","after_1500")</f>
        <v/>
      </c>
      <c r="K1241" s="32" t="s">
        <v>1358</v>
      </c>
    </row>
    <row r="1242" customFormat="false" ht="15" hidden="false" customHeight="false" outlineLevel="0" collapsed="false">
      <c r="A1242" s="23" t="str">
        <f aca="false">IF(B1242="","",B1242+(7*1000+41)/10000000)</f>
        <v/>
      </c>
      <c r="B1242" s="35" t="str">
        <f aca="false">IF(AND(Brand_Log!AY42=1,Brand_Log!U42="Y",OR(ISNUMBER(Brand_Log!V42),TRIM(Brand_Log!W42)&lt;&gt;"")),Brand_Log!H42,"")</f>
        <v/>
      </c>
      <c r="C1242" s="23" t="str">
        <f aca="false">IF(B1242="","","brand")</f>
        <v/>
      </c>
      <c r="D1242" s="23" t="str">
        <f aca="false">IF(B1242="","",Brand_Log!DV42&amp;"")</f>
        <v/>
      </c>
      <c r="E1242" s="23" t="str">
        <f aca="false">IF(B1242="","",IF(Brand_Log!B42="","",Brand_Log!B42&amp;""))</f>
        <v/>
      </c>
      <c r="F1242" s="23" t="str">
        <f aca="false">IF(B1242="","","budget_probe")</f>
        <v/>
      </c>
      <c r="G1242" s="23" t="str">
        <f aca="false">IF(B1242="","",IF(ISNUMBER(Brand_Log!V42),Brand_Log!V42,""))</f>
        <v/>
      </c>
      <c r="H1242" s="23" t="str">
        <f aca="false">IF(B1242="","",IF(Brand_Log!W42="","",Brand_Log!W42&amp;""))</f>
        <v/>
      </c>
      <c r="I1242" s="23" t="str">
        <f aca="false">IF(B1242="","",IF(Brand_Log!O42="","",Brand_Log!O42&amp;""))</f>
        <v/>
      </c>
      <c r="J1242" s="23" t="str">
        <f aca="false">IF(B1242="","","after_1500")</f>
        <v/>
      </c>
      <c r="K1242" s="32" t="s">
        <v>1358</v>
      </c>
    </row>
    <row r="1243" customFormat="false" ht="15" hidden="false" customHeight="false" outlineLevel="0" collapsed="false">
      <c r="A1243" s="23" t="str">
        <f aca="false">IF(B1243="","",B1243+(7*1000+42)/10000000)</f>
        <v/>
      </c>
      <c r="B1243" s="35" t="str">
        <f aca="false">IF(AND(Brand_Log!AY43=1,Brand_Log!U43="Y",OR(ISNUMBER(Brand_Log!V43),TRIM(Brand_Log!W43)&lt;&gt;"")),Brand_Log!H43,"")</f>
        <v/>
      </c>
      <c r="C1243" s="23" t="str">
        <f aca="false">IF(B1243="","","brand")</f>
        <v/>
      </c>
      <c r="D1243" s="23" t="str">
        <f aca="false">IF(B1243="","",Brand_Log!DV43&amp;"")</f>
        <v/>
      </c>
      <c r="E1243" s="23" t="str">
        <f aca="false">IF(B1243="","",IF(Brand_Log!B43="","",Brand_Log!B43&amp;""))</f>
        <v/>
      </c>
      <c r="F1243" s="23" t="str">
        <f aca="false">IF(B1243="","","budget_probe")</f>
        <v/>
      </c>
      <c r="G1243" s="23" t="str">
        <f aca="false">IF(B1243="","",IF(ISNUMBER(Brand_Log!V43),Brand_Log!V43,""))</f>
        <v/>
      </c>
      <c r="H1243" s="23" t="str">
        <f aca="false">IF(B1243="","",IF(Brand_Log!W43="","",Brand_Log!W43&amp;""))</f>
        <v/>
      </c>
      <c r="I1243" s="23" t="str">
        <f aca="false">IF(B1243="","",IF(Brand_Log!O43="","",Brand_Log!O43&amp;""))</f>
        <v/>
      </c>
      <c r="J1243" s="23" t="str">
        <f aca="false">IF(B1243="","","after_1500")</f>
        <v/>
      </c>
      <c r="K1243" s="32" t="s">
        <v>1358</v>
      </c>
    </row>
    <row r="1244" customFormat="false" ht="15" hidden="false" customHeight="false" outlineLevel="0" collapsed="false">
      <c r="A1244" s="23" t="str">
        <f aca="false">IF(B1244="","",B1244+(7*1000+43)/10000000)</f>
        <v/>
      </c>
      <c r="B1244" s="35" t="str">
        <f aca="false">IF(AND(Brand_Log!AY44=1,Brand_Log!U44="Y",OR(ISNUMBER(Brand_Log!V44),TRIM(Brand_Log!W44)&lt;&gt;"")),Brand_Log!H44,"")</f>
        <v/>
      </c>
      <c r="C1244" s="23" t="str">
        <f aca="false">IF(B1244="","","brand")</f>
        <v/>
      </c>
      <c r="D1244" s="23" t="str">
        <f aca="false">IF(B1244="","",Brand_Log!DV44&amp;"")</f>
        <v/>
      </c>
      <c r="E1244" s="23" t="str">
        <f aca="false">IF(B1244="","",IF(Brand_Log!B44="","",Brand_Log!B44&amp;""))</f>
        <v/>
      </c>
      <c r="F1244" s="23" t="str">
        <f aca="false">IF(B1244="","","budget_probe")</f>
        <v/>
      </c>
      <c r="G1244" s="23" t="str">
        <f aca="false">IF(B1244="","",IF(ISNUMBER(Brand_Log!V44),Brand_Log!V44,""))</f>
        <v/>
      </c>
      <c r="H1244" s="23" t="str">
        <f aca="false">IF(B1244="","",IF(Brand_Log!W44="","",Brand_Log!W44&amp;""))</f>
        <v/>
      </c>
      <c r="I1244" s="23" t="str">
        <f aca="false">IF(B1244="","",IF(Brand_Log!O44="","",Brand_Log!O44&amp;""))</f>
        <v/>
      </c>
      <c r="J1244" s="23" t="str">
        <f aca="false">IF(B1244="","","after_1500")</f>
        <v/>
      </c>
      <c r="K1244" s="32" t="s">
        <v>1358</v>
      </c>
    </row>
    <row r="1245" customFormat="false" ht="15" hidden="false" customHeight="false" outlineLevel="0" collapsed="false">
      <c r="A1245" s="23" t="str">
        <f aca="false">IF(B1245="","",B1245+(7*1000+44)/10000000)</f>
        <v/>
      </c>
      <c r="B1245" s="35" t="str">
        <f aca="false">IF(AND(Brand_Log!AY45=1,Brand_Log!U45="Y",OR(ISNUMBER(Brand_Log!V45),TRIM(Brand_Log!W45)&lt;&gt;"")),Brand_Log!H45,"")</f>
        <v/>
      </c>
      <c r="C1245" s="23" t="str">
        <f aca="false">IF(B1245="","","brand")</f>
        <v/>
      </c>
      <c r="D1245" s="23" t="str">
        <f aca="false">IF(B1245="","",Brand_Log!DV45&amp;"")</f>
        <v/>
      </c>
      <c r="E1245" s="23" t="str">
        <f aca="false">IF(B1245="","",IF(Brand_Log!B45="","",Brand_Log!B45&amp;""))</f>
        <v/>
      </c>
      <c r="F1245" s="23" t="str">
        <f aca="false">IF(B1245="","","budget_probe")</f>
        <v/>
      </c>
      <c r="G1245" s="23" t="str">
        <f aca="false">IF(B1245="","",IF(ISNUMBER(Brand_Log!V45),Brand_Log!V45,""))</f>
        <v/>
      </c>
      <c r="H1245" s="23" t="str">
        <f aca="false">IF(B1245="","",IF(Brand_Log!W45="","",Brand_Log!W45&amp;""))</f>
        <v/>
      </c>
      <c r="I1245" s="23" t="str">
        <f aca="false">IF(B1245="","",IF(Brand_Log!O45="","",Brand_Log!O45&amp;""))</f>
        <v/>
      </c>
      <c r="J1245" s="23" t="str">
        <f aca="false">IF(B1245="","","after_1500")</f>
        <v/>
      </c>
      <c r="K1245" s="32" t="s">
        <v>1358</v>
      </c>
    </row>
    <row r="1246" customFormat="false" ht="15" hidden="false" customHeight="false" outlineLevel="0" collapsed="false">
      <c r="A1246" s="23" t="str">
        <f aca="false">IF(B1246="","",B1246+(7*1000+45)/10000000)</f>
        <v/>
      </c>
      <c r="B1246" s="35" t="str">
        <f aca="false">IF(AND(Brand_Log!AY46=1,Brand_Log!U46="Y",OR(ISNUMBER(Brand_Log!V46),TRIM(Brand_Log!W46)&lt;&gt;"")),Brand_Log!H46,"")</f>
        <v/>
      </c>
      <c r="C1246" s="23" t="str">
        <f aca="false">IF(B1246="","","brand")</f>
        <v/>
      </c>
      <c r="D1246" s="23" t="str">
        <f aca="false">IF(B1246="","",Brand_Log!DV46&amp;"")</f>
        <v/>
      </c>
      <c r="E1246" s="23" t="str">
        <f aca="false">IF(B1246="","",IF(Brand_Log!B46="","",Brand_Log!B46&amp;""))</f>
        <v/>
      </c>
      <c r="F1246" s="23" t="str">
        <f aca="false">IF(B1246="","","budget_probe")</f>
        <v/>
      </c>
      <c r="G1246" s="23" t="str">
        <f aca="false">IF(B1246="","",IF(ISNUMBER(Brand_Log!V46),Brand_Log!V46,""))</f>
        <v/>
      </c>
      <c r="H1246" s="23" t="str">
        <f aca="false">IF(B1246="","",IF(Brand_Log!W46="","",Brand_Log!W46&amp;""))</f>
        <v/>
      </c>
      <c r="I1246" s="23" t="str">
        <f aca="false">IF(B1246="","",IF(Brand_Log!O46="","",Brand_Log!O46&amp;""))</f>
        <v/>
      </c>
      <c r="J1246" s="23" t="str">
        <f aca="false">IF(B1246="","","after_1500")</f>
        <v/>
      </c>
      <c r="K1246" s="32" t="s">
        <v>1358</v>
      </c>
    </row>
    <row r="1247" customFormat="false" ht="15" hidden="false" customHeight="false" outlineLevel="0" collapsed="false">
      <c r="A1247" s="23" t="str">
        <f aca="false">IF(B1247="","",B1247+(7*1000+46)/10000000)</f>
        <v/>
      </c>
      <c r="B1247" s="35" t="str">
        <f aca="false">IF(AND(Brand_Log!AY47=1,Brand_Log!U47="Y",OR(ISNUMBER(Brand_Log!V47),TRIM(Brand_Log!W47)&lt;&gt;"")),Brand_Log!H47,"")</f>
        <v/>
      </c>
      <c r="C1247" s="23" t="str">
        <f aca="false">IF(B1247="","","brand")</f>
        <v/>
      </c>
      <c r="D1247" s="23" t="str">
        <f aca="false">IF(B1247="","",Brand_Log!DV47&amp;"")</f>
        <v/>
      </c>
      <c r="E1247" s="23" t="str">
        <f aca="false">IF(B1247="","",IF(Brand_Log!B47="","",Brand_Log!B47&amp;""))</f>
        <v/>
      </c>
      <c r="F1247" s="23" t="str">
        <f aca="false">IF(B1247="","","budget_probe")</f>
        <v/>
      </c>
      <c r="G1247" s="23" t="str">
        <f aca="false">IF(B1247="","",IF(ISNUMBER(Brand_Log!V47),Brand_Log!V47,""))</f>
        <v/>
      </c>
      <c r="H1247" s="23" t="str">
        <f aca="false">IF(B1247="","",IF(Brand_Log!W47="","",Brand_Log!W47&amp;""))</f>
        <v/>
      </c>
      <c r="I1247" s="23" t="str">
        <f aca="false">IF(B1247="","",IF(Brand_Log!O47="","",Brand_Log!O47&amp;""))</f>
        <v/>
      </c>
      <c r="J1247" s="23" t="str">
        <f aca="false">IF(B1247="","","after_1500")</f>
        <v/>
      </c>
      <c r="K1247" s="32" t="s">
        <v>1358</v>
      </c>
    </row>
    <row r="1248" customFormat="false" ht="15" hidden="false" customHeight="false" outlineLevel="0" collapsed="false">
      <c r="A1248" s="23" t="str">
        <f aca="false">IF(B1248="","",B1248+(7*1000+47)/10000000)</f>
        <v/>
      </c>
      <c r="B1248" s="35" t="str">
        <f aca="false">IF(AND(Brand_Log!AY48=1,Brand_Log!U48="Y",OR(ISNUMBER(Brand_Log!V48),TRIM(Brand_Log!W48)&lt;&gt;"")),Brand_Log!H48,"")</f>
        <v/>
      </c>
      <c r="C1248" s="23" t="str">
        <f aca="false">IF(B1248="","","brand")</f>
        <v/>
      </c>
      <c r="D1248" s="23" t="str">
        <f aca="false">IF(B1248="","",Brand_Log!DV48&amp;"")</f>
        <v/>
      </c>
      <c r="E1248" s="23" t="str">
        <f aca="false">IF(B1248="","",IF(Brand_Log!B48="","",Brand_Log!B48&amp;""))</f>
        <v/>
      </c>
      <c r="F1248" s="23" t="str">
        <f aca="false">IF(B1248="","","budget_probe")</f>
        <v/>
      </c>
      <c r="G1248" s="23" t="str">
        <f aca="false">IF(B1248="","",IF(ISNUMBER(Brand_Log!V48),Brand_Log!V48,""))</f>
        <v/>
      </c>
      <c r="H1248" s="23" t="str">
        <f aca="false">IF(B1248="","",IF(Brand_Log!W48="","",Brand_Log!W48&amp;""))</f>
        <v/>
      </c>
      <c r="I1248" s="23" t="str">
        <f aca="false">IF(B1248="","",IF(Brand_Log!O48="","",Brand_Log!O48&amp;""))</f>
        <v/>
      </c>
      <c r="J1248" s="23" t="str">
        <f aca="false">IF(B1248="","","after_1500")</f>
        <v/>
      </c>
      <c r="K1248" s="32" t="s">
        <v>1358</v>
      </c>
    </row>
    <row r="1249" customFormat="false" ht="15" hidden="false" customHeight="false" outlineLevel="0" collapsed="false">
      <c r="A1249" s="23" t="str">
        <f aca="false">IF(B1249="","",B1249+(7*1000+48)/10000000)</f>
        <v/>
      </c>
      <c r="B1249" s="35" t="str">
        <f aca="false">IF(AND(Brand_Log!AY49=1,Brand_Log!U49="Y",OR(ISNUMBER(Brand_Log!V49),TRIM(Brand_Log!W49)&lt;&gt;"")),Brand_Log!H49,"")</f>
        <v/>
      </c>
      <c r="C1249" s="23" t="str">
        <f aca="false">IF(B1249="","","brand")</f>
        <v/>
      </c>
      <c r="D1249" s="23" t="str">
        <f aca="false">IF(B1249="","",Brand_Log!DV49&amp;"")</f>
        <v/>
      </c>
      <c r="E1249" s="23" t="str">
        <f aca="false">IF(B1249="","",IF(Brand_Log!B49="","",Brand_Log!B49&amp;""))</f>
        <v/>
      </c>
      <c r="F1249" s="23" t="str">
        <f aca="false">IF(B1249="","","budget_probe")</f>
        <v/>
      </c>
      <c r="G1249" s="23" t="str">
        <f aca="false">IF(B1249="","",IF(ISNUMBER(Brand_Log!V49),Brand_Log!V49,""))</f>
        <v/>
      </c>
      <c r="H1249" s="23" t="str">
        <f aca="false">IF(B1249="","",IF(Brand_Log!W49="","",Brand_Log!W49&amp;""))</f>
        <v/>
      </c>
      <c r="I1249" s="23" t="str">
        <f aca="false">IF(B1249="","",IF(Brand_Log!O49="","",Brand_Log!O49&amp;""))</f>
        <v/>
      </c>
      <c r="J1249" s="23" t="str">
        <f aca="false">IF(B1249="","","after_1500")</f>
        <v/>
      </c>
      <c r="K1249" s="32" t="s">
        <v>1358</v>
      </c>
    </row>
    <row r="1250" customFormat="false" ht="15" hidden="false" customHeight="false" outlineLevel="0" collapsed="false">
      <c r="A1250" s="23" t="str">
        <f aca="false">IF(B1250="","",B1250+(7*1000+49)/10000000)</f>
        <v/>
      </c>
      <c r="B1250" s="35" t="str">
        <f aca="false">IF(AND(Brand_Log!AY50=1,Brand_Log!U50="Y",OR(ISNUMBER(Brand_Log!V50),TRIM(Brand_Log!W50)&lt;&gt;"")),Brand_Log!H50,"")</f>
        <v/>
      </c>
      <c r="C1250" s="23" t="str">
        <f aca="false">IF(B1250="","","brand")</f>
        <v/>
      </c>
      <c r="D1250" s="23" t="str">
        <f aca="false">IF(B1250="","",Brand_Log!DV50&amp;"")</f>
        <v/>
      </c>
      <c r="E1250" s="23" t="str">
        <f aca="false">IF(B1250="","",IF(Brand_Log!B50="","",Brand_Log!B50&amp;""))</f>
        <v/>
      </c>
      <c r="F1250" s="23" t="str">
        <f aca="false">IF(B1250="","","budget_probe")</f>
        <v/>
      </c>
      <c r="G1250" s="23" t="str">
        <f aca="false">IF(B1250="","",IF(ISNUMBER(Brand_Log!V50),Brand_Log!V50,""))</f>
        <v/>
      </c>
      <c r="H1250" s="23" t="str">
        <f aca="false">IF(B1250="","",IF(Brand_Log!W50="","",Brand_Log!W50&amp;""))</f>
        <v/>
      </c>
      <c r="I1250" s="23" t="str">
        <f aca="false">IF(B1250="","",IF(Brand_Log!O50="","",Brand_Log!O50&amp;""))</f>
        <v/>
      </c>
      <c r="J1250" s="23" t="str">
        <f aca="false">IF(B1250="","","after_1500")</f>
        <v/>
      </c>
      <c r="K1250" s="32" t="s">
        <v>1358</v>
      </c>
    </row>
    <row r="1251" customFormat="false" ht="15" hidden="false" customHeight="false" outlineLevel="0" collapsed="false">
      <c r="A1251" s="23" t="str">
        <f aca="false">IF(B1251="","",B1251+(7*1000+50)/10000000)</f>
        <v/>
      </c>
      <c r="B1251" s="35" t="str">
        <f aca="false">IF(AND(Brand_Log!AY51=1,Brand_Log!U51="Y",OR(ISNUMBER(Brand_Log!V51),TRIM(Brand_Log!W51)&lt;&gt;"")),Brand_Log!H51,"")</f>
        <v/>
      </c>
      <c r="C1251" s="23" t="str">
        <f aca="false">IF(B1251="","","brand")</f>
        <v/>
      </c>
      <c r="D1251" s="23" t="str">
        <f aca="false">IF(B1251="","",Brand_Log!DV51&amp;"")</f>
        <v/>
      </c>
      <c r="E1251" s="23" t="str">
        <f aca="false">IF(B1251="","",IF(Brand_Log!B51="","",Brand_Log!B51&amp;""))</f>
        <v/>
      </c>
      <c r="F1251" s="23" t="str">
        <f aca="false">IF(B1251="","","budget_probe")</f>
        <v/>
      </c>
      <c r="G1251" s="23" t="str">
        <f aca="false">IF(B1251="","",IF(ISNUMBER(Brand_Log!V51),Brand_Log!V51,""))</f>
        <v/>
      </c>
      <c r="H1251" s="23" t="str">
        <f aca="false">IF(B1251="","",IF(Brand_Log!W51="","",Brand_Log!W51&amp;""))</f>
        <v/>
      </c>
      <c r="I1251" s="23" t="str">
        <f aca="false">IF(B1251="","",IF(Brand_Log!O51="","",Brand_Log!O51&amp;""))</f>
        <v/>
      </c>
      <c r="J1251" s="23" t="str">
        <f aca="false">IF(B1251="","","after_1500")</f>
        <v/>
      </c>
      <c r="K1251" s="32" t="s">
        <v>1358</v>
      </c>
    </row>
    <row r="1252" customFormat="false" ht="15" hidden="false" customHeight="false" outlineLevel="0" collapsed="false">
      <c r="A1252" s="23" t="str">
        <f aca="false">IF(B1252="","",B1252+(7*1000+51)/10000000)</f>
        <v/>
      </c>
      <c r="B1252" s="35" t="str">
        <f aca="false">IF(AND(Brand_Log!AY52=1,Brand_Log!U52="Y",OR(ISNUMBER(Brand_Log!V52),TRIM(Brand_Log!W52)&lt;&gt;"")),Brand_Log!H52,"")</f>
        <v/>
      </c>
      <c r="C1252" s="23" t="str">
        <f aca="false">IF(B1252="","","brand")</f>
        <v/>
      </c>
      <c r="D1252" s="23" t="str">
        <f aca="false">IF(B1252="","",Brand_Log!DV52&amp;"")</f>
        <v/>
      </c>
      <c r="E1252" s="23" t="str">
        <f aca="false">IF(B1252="","",IF(Brand_Log!B52="","",Brand_Log!B52&amp;""))</f>
        <v/>
      </c>
      <c r="F1252" s="23" t="str">
        <f aca="false">IF(B1252="","","budget_probe")</f>
        <v/>
      </c>
      <c r="G1252" s="23" t="str">
        <f aca="false">IF(B1252="","",IF(ISNUMBER(Brand_Log!V52),Brand_Log!V52,""))</f>
        <v/>
      </c>
      <c r="H1252" s="23" t="str">
        <f aca="false">IF(B1252="","",IF(Brand_Log!W52="","",Brand_Log!W52&amp;""))</f>
        <v/>
      </c>
      <c r="I1252" s="23" t="str">
        <f aca="false">IF(B1252="","",IF(Brand_Log!O52="","",Brand_Log!O52&amp;""))</f>
        <v/>
      </c>
      <c r="J1252" s="23" t="str">
        <f aca="false">IF(B1252="","","after_1500")</f>
        <v/>
      </c>
      <c r="K1252" s="32" t="s">
        <v>1358</v>
      </c>
    </row>
    <row r="1253" customFormat="false" ht="15" hidden="false" customHeight="false" outlineLevel="0" collapsed="false">
      <c r="A1253" s="23" t="str">
        <f aca="false">IF(B1253="","",B1253+(7*1000+52)/10000000)</f>
        <v/>
      </c>
      <c r="B1253" s="35" t="str">
        <f aca="false">IF(AND(Brand_Log!AY53=1,Brand_Log!U53="Y",OR(ISNUMBER(Brand_Log!V53),TRIM(Brand_Log!W53)&lt;&gt;"")),Brand_Log!H53,"")</f>
        <v/>
      </c>
      <c r="C1253" s="23" t="str">
        <f aca="false">IF(B1253="","","brand")</f>
        <v/>
      </c>
      <c r="D1253" s="23" t="str">
        <f aca="false">IF(B1253="","",Brand_Log!DV53&amp;"")</f>
        <v/>
      </c>
      <c r="E1253" s="23" t="str">
        <f aca="false">IF(B1253="","",IF(Brand_Log!B53="","",Brand_Log!B53&amp;""))</f>
        <v/>
      </c>
      <c r="F1253" s="23" t="str">
        <f aca="false">IF(B1253="","","budget_probe")</f>
        <v/>
      </c>
      <c r="G1253" s="23" t="str">
        <f aca="false">IF(B1253="","",IF(ISNUMBER(Brand_Log!V53),Brand_Log!V53,""))</f>
        <v/>
      </c>
      <c r="H1253" s="23" t="str">
        <f aca="false">IF(B1253="","",IF(Brand_Log!W53="","",Brand_Log!W53&amp;""))</f>
        <v/>
      </c>
      <c r="I1253" s="23" t="str">
        <f aca="false">IF(B1253="","",IF(Brand_Log!O53="","",Brand_Log!O53&amp;""))</f>
        <v/>
      </c>
      <c r="J1253" s="23" t="str">
        <f aca="false">IF(B1253="","","after_1500")</f>
        <v/>
      </c>
      <c r="K1253" s="32" t="s">
        <v>1358</v>
      </c>
    </row>
    <row r="1254" customFormat="false" ht="15" hidden="false" customHeight="false" outlineLevel="0" collapsed="false">
      <c r="A1254" s="23" t="str">
        <f aca="false">IF(B1254="","",B1254+(7*1000+53)/10000000)</f>
        <v/>
      </c>
      <c r="B1254" s="35" t="str">
        <f aca="false">IF(AND(Brand_Log!AY54=1,Brand_Log!U54="Y",OR(ISNUMBER(Brand_Log!V54),TRIM(Brand_Log!W54)&lt;&gt;"")),Brand_Log!H54,"")</f>
        <v/>
      </c>
      <c r="C1254" s="23" t="str">
        <f aca="false">IF(B1254="","","brand")</f>
        <v/>
      </c>
      <c r="D1254" s="23" t="str">
        <f aca="false">IF(B1254="","",Brand_Log!DV54&amp;"")</f>
        <v/>
      </c>
      <c r="E1254" s="23" t="str">
        <f aca="false">IF(B1254="","",IF(Brand_Log!B54="","",Brand_Log!B54&amp;""))</f>
        <v/>
      </c>
      <c r="F1254" s="23" t="str">
        <f aca="false">IF(B1254="","","budget_probe")</f>
        <v/>
      </c>
      <c r="G1254" s="23" t="str">
        <f aca="false">IF(B1254="","",IF(ISNUMBER(Brand_Log!V54),Brand_Log!V54,""))</f>
        <v/>
      </c>
      <c r="H1254" s="23" t="str">
        <f aca="false">IF(B1254="","",IF(Brand_Log!W54="","",Brand_Log!W54&amp;""))</f>
        <v/>
      </c>
      <c r="I1254" s="23" t="str">
        <f aca="false">IF(B1254="","",IF(Brand_Log!O54="","",Brand_Log!O54&amp;""))</f>
        <v/>
      </c>
      <c r="J1254" s="23" t="str">
        <f aca="false">IF(B1254="","","after_1500")</f>
        <v/>
      </c>
      <c r="K1254" s="32" t="s">
        <v>1358</v>
      </c>
    </row>
    <row r="1255" customFormat="false" ht="15" hidden="false" customHeight="false" outlineLevel="0" collapsed="false">
      <c r="A1255" s="23" t="str">
        <f aca="false">IF(B1255="","",B1255+(7*1000+54)/10000000)</f>
        <v/>
      </c>
      <c r="B1255" s="35" t="str">
        <f aca="false">IF(AND(Brand_Log!AY55=1,Brand_Log!U55="Y",OR(ISNUMBER(Brand_Log!V55),TRIM(Brand_Log!W55)&lt;&gt;"")),Brand_Log!H55,"")</f>
        <v/>
      </c>
      <c r="C1255" s="23" t="str">
        <f aca="false">IF(B1255="","","brand")</f>
        <v/>
      </c>
      <c r="D1255" s="23" t="str">
        <f aca="false">IF(B1255="","",Brand_Log!DV55&amp;"")</f>
        <v/>
      </c>
      <c r="E1255" s="23" t="str">
        <f aca="false">IF(B1255="","",IF(Brand_Log!B55="","",Brand_Log!B55&amp;""))</f>
        <v/>
      </c>
      <c r="F1255" s="23" t="str">
        <f aca="false">IF(B1255="","","budget_probe")</f>
        <v/>
      </c>
      <c r="G1255" s="23" t="str">
        <f aca="false">IF(B1255="","",IF(ISNUMBER(Brand_Log!V55),Brand_Log!V55,""))</f>
        <v/>
      </c>
      <c r="H1255" s="23" t="str">
        <f aca="false">IF(B1255="","",IF(Brand_Log!W55="","",Brand_Log!W55&amp;""))</f>
        <v/>
      </c>
      <c r="I1255" s="23" t="str">
        <f aca="false">IF(B1255="","",IF(Brand_Log!O55="","",Brand_Log!O55&amp;""))</f>
        <v/>
      </c>
      <c r="J1255" s="23" t="str">
        <f aca="false">IF(B1255="","","after_1500")</f>
        <v/>
      </c>
      <c r="K1255" s="32" t="s">
        <v>1358</v>
      </c>
    </row>
    <row r="1256" customFormat="false" ht="15" hidden="false" customHeight="false" outlineLevel="0" collapsed="false">
      <c r="A1256" s="23" t="str">
        <f aca="false">IF(B1256="","",B1256+(7*1000+55)/10000000)</f>
        <v/>
      </c>
      <c r="B1256" s="35" t="str">
        <f aca="false">IF(AND(Brand_Log!AY56=1,Brand_Log!U56="Y",OR(ISNUMBER(Brand_Log!V56),TRIM(Brand_Log!W56)&lt;&gt;"")),Brand_Log!H56,"")</f>
        <v/>
      </c>
      <c r="C1256" s="23" t="str">
        <f aca="false">IF(B1256="","","brand")</f>
        <v/>
      </c>
      <c r="D1256" s="23" t="str">
        <f aca="false">IF(B1256="","",Brand_Log!DV56&amp;"")</f>
        <v/>
      </c>
      <c r="E1256" s="23" t="str">
        <f aca="false">IF(B1256="","",IF(Brand_Log!B56="","",Brand_Log!B56&amp;""))</f>
        <v/>
      </c>
      <c r="F1256" s="23" t="str">
        <f aca="false">IF(B1256="","","budget_probe")</f>
        <v/>
      </c>
      <c r="G1256" s="23" t="str">
        <f aca="false">IF(B1256="","",IF(ISNUMBER(Brand_Log!V56),Brand_Log!V56,""))</f>
        <v/>
      </c>
      <c r="H1256" s="23" t="str">
        <f aca="false">IF(B1256="","",IF(Brand_Log!W56="","",Brand_Log!W56&amp;""))</f>
        <v/>
      </c>
      <c r="I1256" s="23" t="str">
        <f aca="false">IF(B1256="","",IF(Brand_Log!O56="","",Brand_Log!O56&amp;""))</f>
        <v/>
      </c>
      <c r="J1256" s="23" t="str">
        <f aca="false">IF(B1256="","","after_1500")</f>
        <v/>
      </c>
      <c r="K1256" s="32" t="s">
        <v>1358</v>
      </c>
    </row>
    <row r="1257" customFormat="false" ht="15" hidden="false" customHeight="false" outlineLevel="0" collapsed="false">
      <c r="A1257" s="23" t="str">
        <f aca="false">IF(B1257="","",B1257+(7*1000+56)/10000000)</f>
        <v/>
      </c>
      <c r="B1257" s="35" t="str">
        <f aca="false">IF(AND(Brand_Log!AY57=1,Brand_Log!U57="Y",OR(ISNUMBER(Brand_Log!V57),TRIM(Brand_Log!W57)&lt;&gt;"")),Brand_Log!H57,"")</f>
        <v/>
      </c>
      <c r="C1257" s="23" t="str">
        <f aca="false">IF(B1257="","","brand")</f>
        <v/>
      </c>
      <c r="D1257" s="23" t="str">
        <f aca="false">IF(B1257="","",Brand_Log!DV57&amp;"")</f>
        <v/>
      </c>
      <c r="E1257" s="23" t="str">
        <f aca="false">IF(B1257="","",IF(Brand_Log!B57="","",Brand_Log!B57&amp;""))</f>
        <v/>
      </c>
      <c r="F1257" s="23" t="str">
        <f aca="false">IF(B1257="","","budget_probe")</f>
        <v/>
      </c>
      <c r="G1257" s="23" t="str">
        <f aca="false">IF(B1257="","",IF(ISNUMBER(Brand_Log!V57),Brand_Log!V57,""))</f>
        <v/>
      </c>
      <c r="H1257" s="23" t="str">
        <f aca="false">IF(B1257="","",IF(Brand_Log!W57="","",Brand_Log!W57&amp;""))</f>
        <v/>
      </c>
      <c r="I1257" s="23" t="str">
        <f aca="false">IF(B1257="","",IF(Brand_Log!O57="","",Brand_Log!O57&amp;""))</f>
        <v/>
      </c>
      <c r="J1257" s="23" t="str">
        <f aca="false">IF(B1257="","","after_1500")</f>
        <v/>
      </c>
      <c r="K1257" s="32" t="s">
        <v>1358</v>
      </c>
    </row>
    <row r="1258" customFormat="false" ht="15" hidden="false" customHeight="false" outlineLevel="0" collapsed="false">
      <c r="A1258" s="23" t="str">
        <f aca="false">IF(B1258="","",B1258+(7*1000+57)/10000000)</f>
        <v/>
      </c>
      <c r="B1258" s="35" t="str">
        <f aca="false">IF(AND(Brand_Log!AY58=1,Brand_Log!U58="Y",OR(ISNUMBER(Brand_Log!V58),TRIM(Brand_Log!W58)&lt;&gt;"")),Brand_Log!H58,"")</f>
        <v/>
      </c>
      <c r="C1258" s="23" t="str">
        <f aca="false">IF(B1258="","","brand")</f>
        <v/>
      </c>
      <c r="D1258" s="23" t="str">
        <f aca="false">IF(B1258="","",Brand_Log!DV58&amp;"")</f>
        <v/>
      </c>
      <c r="E1258" s="23" t="str">
        <f aca="false">IF(B1258="","",IF(Brand_Log!B58="","",Brand_Log!B58&amp;""))</f>
        <v/>
      </c>
      <c r="F1258" s="23" t="str">
        <f aca="false">IF(B1258="","","budget_probe")</f>
        <v/>
      </c>
      <c r="G1258" s="23" t="str">
        <f aca="false">IF(B1258="","",IF(ISNUMBER(Brand_Log!V58),Brand_Log!V58,""))</f>
        <v/>
      </c>
      <c r="H1258" s="23" t="str">
        <f aca="false">IF(B1258="","",IF(Brand_Log!W58="","",Brand_Log!W58&amp;""))</f>
        <v/>
      </c>
      <c r="I1258" s="23" t="str">
        <f aca="false">IF(B1258="","",IF(Brand_Log!O58="","",Brand_Log!O58&amp;""))</f>
        <v/>
      </c>
      <c r="J1258" s="23" t="str">
        <f aca="false">IF(B1258="","","after_1500")</f>
        <v/>
      </c>
      <c r="K1258" s="32" t="s">
        <v>1358</v>
      </c>
    </row>
    <row r="1259" customFormat="false" ht="15" hidden="false" customHeight="false" outlineLevel="0" collapsed="false">
      <c r="A1259" s="23" t="str">
        <f aca="false">IF(B1259="","",B1259+(7*1000+58)/10000000)</f>
        <v/>
      </c>
      <c r="B1259" s="35" t="str">
        <f aca="false">IF(AND(Brand_Log!AY59=1,Brand_Log!U59="Y",OR(ISNUMBER(Brand_Log!V59),TRIM(Brand_Log!W59)&lt;&gt;"")),Brand_Log!H59,"")</f>
        <v/>
      </c>
      <c r="C1259" s="23" t="str">
        <f aca="false">IF(B1259="","","brand")</f>
        <v/>
      </c>
      <c r="D1259" s="23" t="str">
        <f aca="false">IF(B1259="","",Brand_Log!DV59&amp;"")</f>
        <v/>
      </c>
      <c r="E1259" s="23" t="str">
        <f aca="false">IF(B1259="","",IF(Brand_Log!B59="","",Brand_Log!B59&amp;""))</f>
        <v/>
      </c>
      <c r="F1259" s="23" t="str">
        <f aca="false">IF(B1259="","","budget_probe")</f>
        <v/>
      </c>
      <c r="G1259" s="23" t="str">
        <f aca="false">IF(B1259="","",IF(ISNUMBER(Brand_Log!V59),Brand_Log!V59,""))</f>
        <v/>
      </c>
      <c r="H1259" s="23" t="str">
        <f aca="false">IF(B1259="","",IF(Brand_Log!W59="","",Brand_Log!W59&amp;""))</f>
        <v/>
      </c>
      <c r="I1259" s="23" t="str">
        <f aca="false">IF(B1259="","",IF(Brand_Log!O59="","",Brand_Log!O59&amp;""))</f>
        <v/>
      </c>
      <c r="J1259" s="23" t="str">
        <f aca="false">IF(B1259="","","after_1500")</f>
        <v/>
      </c>
      <c r="K1259" s="32" t="s">
        <v>1358</v>
      </c>
    </row>
    <row r="1260" customFormat="false" ht="15" hidden="false" customHeight="false" outlineLevel="0" collapsed="false">
      <c r="A1260" s="23" t="str">
        <f aca="false">IF(B1260="","",B1260+(7*1000+59)/10000000)</f>
        <v/>
      </c>
      <c r="B1260" s="35" t="str">
        <f aca="false">IF(AND(Brand_Log!AY60=1,Brand_Log!U60="Y",OR(ISNUMBER(Brand_Log!V60),TRIM(Brand_Log!W60)&lt;&gt;"")),Brand_Log!H60,"")</f>
        <v/>
      </c>
      <c r="C1260" s="23" t="str">
        <f aca="false">IF(B1260="","","brand")</f>
        <v/>
      </c>
      <c r="D1260" s="23" t="str">
        <f aca="false">IF(B1260="","",Brand_Log!DV60&amp;"")</f>
        <v/>
      </c>
      <c r="E1260" s="23" t="str">
        <f aca="false">IF(B1260="","",IF(Brand_Log!B60="","",Brand_Log!B60&amp;""))</f>
        <v/>
      </c>
      <c r="F1260" s="23" t="str">
        <f aca="false">IF(B1260="","","budget_probe")</f>
        <v/>
      </c>
      <c r="G1260" s="23" t="str">
        <f aca="false">IF(B1260="","",IF(ISNUMBER(Brand_Log!V60),Brand_Log!V60,""))</f>
        <v/>
      </c>
      <c r="H1260" s="23" t="str">
        <f aca="false">IF(B1260="","",IF(Brand_Log!W60="","",Brand_Log!W60&amp;""))</f>
        <v/>
      </c>
      <c r="I1260" s="23" t="str">
        <f aca="false">IF(B1260="","",IF(Brand_Log!O60="","",Brand_Log!O60&amp;""))</f>
        <v/>
      </c>
      <c r="J1260" s="23" t="str">
        <f aca="false">IF(B1260="","","after_1500")</f>
        <v/>
      </c>
      <c r="K1260" s="32" t="s">
        <v>1358</v>
      </c>
    </row>
    <row r="1261" customFormat="false" ht="15" hidden="false" customHeight="false" outlineLevel="0" collapsed="false">
      <c r="A1261" s="23" t="str">
        <f aca="false">IF(B1261="","",B1261+(7*1000+60)/10000000)</f>
        <v/>
      </c>
      <c r="B1261" s="35" t="str">
        <f aca="false">IF(AND(Brand_Log!AY61=1,Brand_Log!U61="Y",OR(ISNUMBER(Brand_Log!V61),TRIM(Brand_Log!W61)&lt;&gt;"")),Brand_Log!H61,"")</f>
        <v/>
      </c>
      <c r="C1261" s="23" t="str">
        <f aca="false">IF(B1261="","","brand")</f>
        <v/>
      </c>
      <c r="D1261" s="23" t="str">
        <f aca="false">IF(B1261="","",Brand_Log!DV61&amp;"")</f>
        <v/>
      </c>
      <c r="E1261" s="23" t="str">
        <f aca="false">IF(B1261="","",IF(Brand_Log!B61="","",Brand_Log!B61&amp;""))</f>
        <v/>
      </c>
      <c r="F1261" s="23" t="str">
        <f aca="false">IF(B1261="","","budget_probe")</f>
        <v/>
      </c>
      <c r="G1261" s="23" t="str">
        <f aca="false">IF(B1261="","",IF(ISNUMBER(Brand_Log!V61),Brand_Log!V61,""))</f>
        <v/>
      </c>
      <c r="H1261" s="23" t="str">
        <f aca="false">IF(B1261="","",IF(Brand_Log!W61="","",Brand_Log!W61&amp;""))</f>
        <v/>
      </c>
      <c r="I1261" s="23" t="str">
        <f aca="false">IF(B1261="","",IF(Brand_Log!O61="","",Brand_Log!O61&amp;""))</f>
        <v/>
      </c>
      <c r="J1261" s="23" t="str">
        <f aca="false">IF(B1261="","","after_1500")</f>
        <v/>
      </c>
      <c r="K1261" s="32" t="s">
        <v>1358</v>
      </c>
    </row>
    <row r="1262" customFormat="false" ht="15" hidden="false" customHeight="false" outlineLevel="0" collapsed="false">
      <c r="A1262" s="23" t="str">
        <f aca="false">IF(B1262="","",B1262+(7*1000+61)/10000000)</f>
        <v/>
      </c>
      <c r="B1262" s="35" t="str">
        <f aca="false">IF(AND(Brand_Log!AY62=1,Brand_Log!U62="Y",OR(ISNUMBER(Brand_Log!V62),TRIM(Brand_Log!W62)&lt;&gt;"")),Brand_Log!H62,"")</f>
        <v/>
      </c>
      <c r="C1262" s="23" t="str">
        <f aca="false">IF(B1262="","","brand")</f>
        <v/>
      </c>
      <c r="D1262" s="23" t="str">
        <f aca="false">IF(B1262="","",Brand_Log!DV62&amp;"")</f>
        <v/>
      </c>
      <c r="E1262" s="23" t="str">
        <f aca="false">IF(B1262="","",IF(Brand_Log!B62="","",Brand_Log!B62&amp;""))</f>
        <v/>
      </c>
      <c r="F1262" s="23" t="str">
        <f aca="false">IF(B1262="","","budget_probe")</f>
        <v/>
      </c>
      <c r="G1262" s="23" t="str">
        <f aca="false">IF(B1262="","",IF(ISNUMBER(Brand_Log!V62),Brand_Log!V62,""))</f>
        <v/>
      </c>
      <c r="H1262" s="23" t="str">
        <f aca="false">IF(B1262="","",IF(Brand_Log!W62="","",Brand_Log!W62&amp;""))</f>
        <v/>
      </c>
      <c r="I1262" s="23" t="str">
        <f aca="false">IF(B1262="","",IF(Brand_Log!O62="","",Brand_Log!O62&amp;""))</f>
        <v/>
      </c>
      <c r="J1262" s="23" t="str">
        <f aca="false">IF(B1262="","","after_1500")</f>
        <v/>
      </c>
      <c r="K1262" s="32" t="s">
        <v>1358</v>
      </c>
    </row>
    <row r="1263" customFormat="false" ht="15" hidden="false" customHeight="false" outlineLevel="0" collapsed="false">
      <c r="A1263" s="23" t="str">
        <f aca="false">IF(B1263="","",B1263+(7*1000+62)/10000000)</f>
        <v/>
      </c>
      <c r="B1263" s="35" t="str">
        <f aca="false">IF(AND(Brand_Log!AY63=1,Brand_Log!U63="Y",OR(ISNUMBER(Brand_Log!V63),TRIM(Brand_Log!W63)&lt;&gt;"")),Brand_Log!H63,"")</f>
        <v/>
      </c>
      <c r="C1263" s="23" t="str">
        <f aca="false">IF(B1263="","","brand")</f>
        <v/>
      </c>
      <c r="D1263" s="23" t="str">
        <f aca="false">IF(B1263="","",Brand_Log!DV63&amp;"")</f>
        <v/>
      </c>
      <c r="E1263" s="23" t="str">
        <f aca="false">IF(B1263="","",IF(Brand_Log!B63="","",Brand_Log!B63&amp;""))</f>
        <v/>
      </c>
      <c r="F1263" s="23" t="str">
        <f aca="false">IF(B1263="","","budget_probe")</f>
        <v/>
      </c>
      <c r="G1263" s="23" t="str">
        <f aca="false">IF(B1263="","",IF(ISNUMBER(Brand_Log!V63),Brand_Log!V63,""))</f>
        <v/>
      </c>
      <c r="H1263" s="23" t="str">
        <f aca="false">IF(B1263="","",IF(Brand_Log!W63="","",Brand_Log!W63&amp;""))</f>
        <v/>
      </c>
      <c r="I1263" s="23" t="str">
        <f aca="false">IF(B1263="","",IF(Brand_Log!O63="","",Brand_Log!O63&amp;""))</f>
        <v/>
      </c>
      <c r="J1263" s="23" t="str">
        <f aca="false">IF(B1263="","","after_1500")</f>
        <v/>
      </c>
      <c r="K1263" s="32" t="s">
        <v>1358</v>
      </c>
    </row>
    <row r="1264" customFormat="false" ht="15" hidden="false" customHeight="false" outlineLevel="0" collapsed="false">
      <c r="A1264" s="23" t="str">
        <f aca="false">IF(B1264="","",B1264+(7*1000+63)/10000000)</f>
        <v/>
      </c>
      <c r="B1264" s="35" t="str">
        <f aca="false">IF(AND(Brand_Log!AY64=1,Brand_Log!U64="Y",OR(ISNUMBER(Brand_Log!V64),TRIM(Brand_Log!W64)&lt;&gt;"")),Brand_Log!H64,"")</f>
        <v/>
      </c>
      <c r="C1264" s="23" t="str">
        <f aca="false">IF(B1264="","","brand")</f>
        <v/>
      </c>
      <c r="D1264" s="23" t="str">
        <f aca="false">IF(B1264="","",Brand_Log!DV64&amp;"")</f>
        <v/>
      </c>
      <c r="E1264" s="23" t="str">
        <f aca="false">IF(B1264="","",IF(Brand_Log!B64="","",Brand_Log!B64&amp;""))</f>
        <v/>
      </c>
      <c r="F1264" s="23" t="str">
        <f aca="false">IF(B1264="","","budget_probe")</f>
        <v/>
      </c>
      <c r="G1264" s="23" t="str">
        <f aca="false">IF(B1264="","",IF(ISNUMBER(Brand_Log!V64),Brand_Log!V64,""))</f>
        <v/>
      </c>
      <c r="H1264" s="23" t="str">
        <f aca="false">IF(B1264="","",IF(Brand_Log!W64="","",Brand_Log!W64&amp;""))</f>
        <v/>
      </c>
      <c r="I1264" s="23" t="str">
        <f aca="false">IF(B1264="","",IF(Brand_Log!O64="","",Brand_Log!O64&amp;""))</f>
        <v/>
      </c>
      <c r="J1264" s="23" t="str">
        <f aca="false">IF(B1264="","","after_1500")</f>
        <v/>
      </c>
      <c r="K1264" s="32" t="s">
        <v>1358</v>
      </c>
    </row>
    <row r="1265" customFormat="false" ht="15" hidden="false" customHeight="false" outlineLevel="0" collapsed="false">
      <c r="A1265" s="23" t="str">
        <f aca="false">IF(B1265="","",B1265+(7*1000+64)/10000000)</f>
        <v/>
      </c>
      <c r="B1265" s="35" t="str">
        <f aca="false">IF(AND(Brand_Log!AY65=1,Brand_Log!U65="Y",OR(ISNUMBER(Brand_Log!V65),TRIM(Brand_Log!W65)&lt;&gt;"")),Brand_Log!H65,"")</f>
        <v/>
      </c>
      <c r="C1265" s="23" t="str">
        <f aca="false">IF(B1265="","","brand")</f>
        <v/>
      </c>
      <c r="D1265" s="23" t="str">
        <f aca="false">IF(B1265="","",Brand_Log!DV65&amp;"")</f>
        <v/>
      </c>
      <c r="E1265" s="23" t="str">
        <f aca="false">IF(B1265="","",IF(Brand_Log!B65="","",Brand_Log!B65&amp;""))</f>
        <v/>
      </c>
      <c r="F1265" s="23" t="str">
        <f aca="false">IF(B1265="","","budget_probe")</f>
        <v/>
      </c>
      <c r="G1265" s="23" t="str">
        <f aca="false">IF(B1265="","",IF(ISNUMBER(Brand_Log!V65),Brand_Log!V65,""))</f>
        <v/>
      </c>
      <c r="H1265" s="23" t="str">
        <f aca="false">IF(B1265="","",IF(Brand_Log!W65="","",Brand_Log!W65&amp;""))</f>
        <v/>
      </c>
      <c r="I1265" s="23" t="str">
        <f aca="false">IF(B1265="","",IF(Brand_Log!O65="","",Brand_Log!O65&amp;""))</f>
        <v/>
      </c>
      <c r="J1265" s="23" t="str">
        <f aca="false">IF(B1265="","","after_1500")</f>
        <v/>
      </c>
      <c r="K1265" s="32" t="s">
        <v>1358</v>
      </c>
    </row>
    <row r="1266" customFormat="false" ht="15" hidden="false" customHeight="false" outlineLevel="0" collapsed="false">
      <c r="A1266" s="23" t="str">
        <f aca="false">IF(B1266="","",B1266+(7*1000+65)/10000000)</f>
        <v/>
      </c>
      <c r="B1266" s="35" t="str">
        <f aca="false">IF(AND(Brand_Log!AY66=1,Brand_Log!U66="Y",OR(ISNUMBER(Brand_Log!V66),TRIM(Brand_Log!W66)&lt;&gt;"")),Brand_Log!H66,"")</f>
        <v/>
      </c>
      <c r="C1266" s="23" t="str">
        <f aca="false">IF(B1266="","","brand")</f>
        <v/>
      </c>
      <c r="D1266" s="23" t="str">
        <f aca="false">IF(B1266="","",Brand_Log!DV66&amp;"")</f>
        <v/>
      </c>
      <c r="E1266" s="23" t="str">
        <f aca="false">IF(B1266="","",IF(Brand_Log!B66="","",Brand_Log!B66&amp;""))</f>
        <v/>
      </c>
      <c r="F1266" s="23" t="str">
        <f aca="false">IF(B1266="","","budget_probe")</f>
        <v/>
      </c>
      <c r="G1266" s="23" t="str">
        <f aca="false">IF(B1266="","",IF(ISNUMBER(Brand_Log!V66),Brand_Log!V66,""))</f>
        <v/>
      </c>
      <c r="H1266" s="23" t="str">
        <f aca="false">IF(B1266="","",IF(Brand_Log!W66="","",Brand_Log!W66&amp;""))</f>
        <v/>
      </c>
      <c r="I1266" s="23" t="str">
        <f aca="false">IF(B1266="","",IF(Brand_Log!O66="","",Brand_Log!O66&amp;""))</f>
        <v/>
      </c>
      <c r="J1266" s="23" t="str">
        <f aca="false">IF(B1266="","","after_1500")</f>
        <v/>
      </c>
      <c r="K1266" s="32" t="s">
        <v>1358</v>
      </c>
    </row>
    <row r="1267" customFormat="false" ht="15" hidden="false" customHeight="false" outlineLevel="0" collapsed="false">
      <c r="A1267" s="23" t="str">
        <f aca="false">IF(B1267="","",B1267+(7*1000+66)/10000000)</f>
        <v/>
      </c>
      <c r="B1267" s="35" t="str">
        <f aca="false">IF(AND(Brand_Log!AY67=1,Brand_Log!U67="Y",OR(ISNUMBER(Brand_Log!V67),TRIM(Brand_Log!W67)&lt;&gt;"")),Brand_Log!H67,"")</f>
        <v/>
      </c>
      <c r="C1267" s="23" t="str">
        <f aca="false">IF(B1267="","","brand")</f>
        <v/>
      </c>
      <c r="D1267" s="23" t="str">
        <f aca="false">IF(B1267="","",Brand_Log!DV67&amp;"")</f>
        <v/>
      </c>
      <c r="E1267" s="23" t="str">
        <f aca="false">IF(B1267="","",IF(Brand_Log!B67="","",Brand_Log!B67&amp;""))</f>
        <v/>
      </c>
      <c r="F1267" s="23" t="str">
        <f aca="false">IF(B1267="","","budget_probe")</f>
        <v/>
      </c>
      <c r="G1267" s="23" t="str">
        <f aca="false">IF(B1267="","",IF(ISNUMBER(Brand_Log!V67),Brand_Log!V67,""))</f>
        <v/>
      </c>
      <c r="H1267" s="23" t="str">
        <f aca="false">IF(B1267="","",IF(Brand_Log!W67="","",Brand_Log!W67&amp;""))</f>
        <v/>
      </c>
      <c r="I1267" s="23" t="str">
        <f aca="false">IF(B1267="","",IF(Brand_Log!O67="","",Brand_Log!O67&amp;""))</f>
        <v/>
      </c>
      <c r="J1267" s="23" t="str">
        <f aca="false">IF(B1267="","","after_1500")</f>
        <v/>
      </c>
      <c r="K1267" s="32" t="s">
        <v>1358</v>
      </c>
    </row>
    <row r="1268" customFormat="false" ht="15" hidden="false" customHeight="false" outlineLevel="0" collapsed="false">
      <c r="A1268" s="23" t="str">
        <f aca="false">IF(B1268="","",B1268+(7*1000+67)/10000000)</f>
        <v/>
      </c>
      <c r="B1268" s="35" t="str">
        <f aca="false">IF(AND(Brand_Log!AY68=1,Brand_Log!U68="Y",OR(ISNUMBER(Brand_Log!V68),TRIM(Brand_Log!W68)&lt;&gt;"")),Brand_Log!H68,"")</f>
        <v/>
      </c>
      <c r="C1268" s="23" t="str">
        <f aca="false">IF(B1268="","","brand")</f>
        <v/>
      </c>
      <c r="D1268" s="23" t="str">
        <f aca="false">IF(B1268="","",Brand_Log!DV68&amp;"")</f>
        <v/>
      </c>
      <c r="E1268" s="23" t="str">
        <f aca="false">IF(B1268="","",IF(Brand_Log!B68="","",Brand_Log!B68&amp;""))</f>
        <v/>
      </c>
      <c r="F1268" s="23" t="str">
        <f aca="false">IF(B1268="","","budget_probe")</f>
        <v/>
      </c>
      <c r="G1268" s="23" t="str">
        <f aca="false">IF(B1268="","",IF(ISNUMBER(Brand_Log!V68),Brand_Log!V68,""))</f>
        <v/>
      </c>
      <c r="H1268" s="23" t="str">
        <f aca="false">IF(B1268="","",IF(Brand_Log!W68="","",Brand_Log!W68&amp;""))</f>
        <v/>
      </c>
      <c r="I1268" s="23" t="str">
        <f aca="false">IF(B1268="","",IF(Brand_Log!O68="","",Brand_Log!O68&amp;""))</f>
        <v/>
      </c>
      <c r="J1268" s="23" t="str">
        <f aca="false">IF(B1268="","","after_1500")</f>
        <v/>
      </c>
      <c r="K1268" s="32" t="s">
        <v>1358</v>
      </c>
    </row>
    <row r="1269" customFormat="false" ht="15" hidden="false" customHeight="false" outlineLevel="0" collapsed="false">
      <c r="A1269" s="23" t="str">
        <f aca="false">IF(B1269="","",B1269+(7*1000+68)/10000000)</f>
        <v/>
      </c>
      <c r="B1269" s="35" t="str">
        <f aca="false">IF(AND(Brand_Log!AY69=1,Brand_Log!U69="Y",OR(ISNUMBER(Brand_Log!V69),TRIM(Brand_Log!W69)&lt;&gt;"")),Brand_Log!H69,"")</f>
        <v/>
      </c>
      <c r="C1269" s="23" t="str">
        <f aca="false">IF(B1269="","","brand")</f>
        <v/>
      </c>
      <c r="D1269" s="23" t="str">
        <f aca="false">IF(B1269="","",Brand_Log!DV69&amp;"")</f>
        <v/>
      </c>
      <c r="E1269" s="23" t="str">
        <f aca="false">IF(B1269="","",IF(Brand_Log!B69="","",Brand_Log!B69&amp;""))</f>
        <v/>
      </c>
      <c r="F1269" s="23" t="str">
        <f aca="false">IF(B1269="","","budget_probe")</f>
        <v/>
      </c>
      <c r="G1269" s="23" t="str">
        <f aca="false">IF(B1269="","",IF(ISNUMBER(Brand_Log!V69),Brand_Log!V69,""))</f>
        <v/>
      </c>
      <c r="H1269" s="23" t="str">
        <f aca="false">IF(B1269="","",IF(Brand_Log!W69="","",Brand_Log!W69&amp;""))</f>
        <v/>
      </c>
      <c r="I1269" s="23" t="str">
        <f aca="false">IF(B1269="","",IF(Brand_Log!O69="","",Brand_Log!O69&amp;""))</f>
        <v/>
      </c>
      <c r="J1269" s="23" t="str">
        <f aca="false">IF(B1269="","","after_1500")</f>
        <v/>
      </c>
      <c r="K1269" s="32" t="s">
        <v>1358</v>
      </c>
    </row>
    <row r="1270" customFormat="false" ht="15" hidden="false" customHeight="false" outlineLevel="0" collapsed="false">
      <c r="A1270" s="23" t="str">
        <f aca="false">IF(B1270="","",B1270+(7*1000+69)/10000000)</f>
        <v/>
      </c>
      <c r="B1270" s="35" t="str">
        <f aca="false">IF(AND(Brand_Log!AY70=1,Brand_Log!U70="Y",OR(ISNUMBER(Brand_Log!V70),TRIM(Brand_Log!W70)&lt;&gt;"")),Brand_Log!H70,"")</f>
        <v/>
      </c>
      <c r="C1270" s="23" t="str">
        <f aca="false">IF(B1270="","","brand")</f>
        <v/>
      </c>
      <c r="D1270" s="23" t="str">
        <f aca="false">IF(B1270="","",Brand_Log!DV70&amp;"")</f>
        <v/>
      </c>
      <c r="E1270" s="23" t="str">
        <f aca="false">IF(B1270="","",IF(Brand_Log!B70="","",Brand_Log!B70&amp;""))</f>
        <v/>
      </c>
      <c r="F1270" s="23" t="str">
        <f aca="false">IF(B1270="","","budget_probe")</f>
        <v/>
      </c>
      <c r="G1270" s="23" t="str">
        <f aca="false">IF(B1270="","",IF(ISNUMBER(Brand_Log!V70),Brand_Log!V70,""))</f>
        <v/>
      </c>
      <c r="H1270" s="23" t="str">
        <f aca="false">IF(B1270="","",IF(Brand_Log!W70="","",Brand_Log!W70&amp;""))</f>
        <v/>
      </c>
      <c r="I1270" s="23" t="str">
        <f aca="false">IF(B1270="","",IF(Brand_Log!O70="","",Brand_Log!O70&amp;""))</f>
        <v/>
      </c>
      <c r="J1270" s="23" t="str">
        <f aca="false">IF(B1270="","","after_1500")</f>
        <v/>
      </c>
      <c r="K1270" s="32" t="s">
        <v>1358</v>
      </c>
    </row>
    <row r="1271" customFormat="false" ht="15" hidden="false" customHeight="false" outlineLevel="0" collapsed="false">
      <c r="A1271" s="23" t="str">
        <f aca="false">IF(B1271="","",B1271+(7*1000+70)/10000000)</f>
        <v/>
      </c>
      <c r="B1271" s="35" t="str">
        <f aca="false">IF(AND(Brand_Log!AY71=1,Brand_Log!U71="Y",OR(ISNUMBER(Brand_Log!V71),TRIM(Brand_Log!W71)&lt;&gt;"")),Brand_Log!H71,"")</f>
        <v/>
      </c>
      <c r="C1271" s="23" t="str">
        <f aca="false">IF(B1271="","","brand")</f>
        <v/>
      </c>
      <c r="D1271" s="23" t="str">
        <f aca="false">IF(B1271="","",Brand_Log!DV71&amp;"")</f>
        <v/>
      </c>
      <c r="E1271" s="23" t="str">
        <f aca="false">IF(B1271="","",IF(Brand_Log!B71="","",Brand_Log!B71&amp;""))</f>
        <v/>
      </c>
      <c r="F1271" s="23" t="str">
        <f aca="false">IF(B1271="","","budget_probe")</f>
        <v/>
      </c>
      <c r="G1271" s="23" t="str">
        <f aca="false">IF(B1271="","",IF(ISNUMBER(Brand_Log!V71),Brand_Log!V71,""))</f>
        <v/>
      </c>
      <c r="H1271" s="23" t="str">
        <f aca="false">IF(B1271="","",IF(Brand_Log!W71="","",Brand_Log!W71&amp;""))</f>
        <v/>
      </c>
      <c r="I1271" s="23" t="str">
        <f aca="false">IF(B1271="","",IF(Brand_Log!O71="","",Brand_Log!O71&amp;""))</f>
        <v/>
      </c>
      <c r="J1271" s="23" t="str">
        <f aca="false">IF(B1271="","","after_1500")</f>
        <v/>
      </c>
      <c r="K1271" s="32" t="s">
        <v>1358</v>
      </c>
    </row>
    <row r="1272" customFormat="false" ht="15" hidden="false" customHeight="false" outlineLevel="0" collapsed="false">
      <c r="A1272" s="23" t="str">
        <f aca="false">IF(B1272="","",B1272+(7*1000+71)/10000000)</f>
        <v/>
      </c>
      <c r="B1272" s="35" t="str">
        <f aca="false">IF(AND(Brand_Log!AY72=1,Brand_Log!U72="Y",OR(ISNUMBER(Brand_Log!V72),TRIM(Brand_Log!W72)&lt;&gt;"")),Brand_Log!H72,"")</f>
        <v/>
      </c>
      <c r="C1272" s="23" t="str">
        <f aca="false">IF(B1272="","","brand")</f>
        <v/>
      </c>
      <c r="D1272" s="23" t="str">
        <f aca="false">IF(B1272="","",Brand_Log!DV72&amp;"")</f>
        <v/>
      </c>
      <c r="E1272" s="23" t="str">
        <f aca="false">IF(B1272="","",IF(Brand_Log!B72="","",Brand_Log!B72&amp;""))</f>
        <v/>
      </c>
      <c r="F1272" s="23" t="str">
        <f aca="false">IF(B1272="","","budget_probe")</f>
        <v/>
      </c>
      <c r="G1272" s="23" t="str">
        <f aca="false">IF(B1272="","",IF(ISNUMBER(Brand_Log!V72),Brand_Log!V72,""))</f>
        <v/>
      </c>
      <c r="H1272" s="23" t="str">
        <f aca="false">IF(B1272="","",IF(Brand_Log!W72="","",Brand_Log!W72&amp;""))</f>
        <v/>
      </c>
      <c r="I1272" s="23" t="str">
        <f aca="false">IF(B1272="","",IF(Brand_Log!O72="","",Brand_Log!O72&amp;""))</f>
        <v/>
      </c>
      <c r="J1272" s="23" t="str">
        <f aca="false">IF(B1272="","","after_1500")</f>
        <v/>
      </c>
      <c r="K1272" s="32" t="s">
        <v>1358</v>
      </c>
    </row>
    <row r="1273" customFormat="false" ht="15" hidden="false" customHeight="false" outlineLevel="0" collapsed="false">
      <c r="A1273" s="23" t="str">
        <f aca="false">IF(B1273="","",B1273+(7*1000+72)/10000000)</f>
        <v/>
      </c>
      <c r="B1273" s="35" t="str">
        <f aca="false">IF(AND(Brand_Log!AY73=1,Brand_Log!U73="Y",OR(ISNUMBER(Brand_Log!V73),TRIM(Brand_Log!W73)&lt;&gt;"")),Brand_Log!H73,"")</f>
        <v/>
      </c>
      <c r="C1273" s="23" t="str">
        <f aca="false">IF(B1273="","","brand")</f>
        <v/>
      </c>
      <c r="D1273" s="23" t="str">
        <f aca="false">IF(B1273="","",Brand_Log!DV73&amp;"")</f>
        <v/>
      </c>
      <c r="E1273" s="23" t="str">
        <f aca="false">IF(B1273="","",IF(Brand_Log!B73="","",Brand_Log!B73&amp;""))</f>
        <v/>
      </c>
      <c r="F1273" s="23" t="str">
        <f aca="false">IF(B1273="","","budget_probe")</f>
        <v/>
      </c>
      <c r="G1273" s="23" t="str">
        <f aca="false">IF(B1273="","",IF(ISNUMBER(Brand_Log!V73),Brand_Log!V73,""))</f>
        <v/>
      </c>
      <c r="H1273" s="23" t="str">
        <f aca="false">IF(B1273="","",IF(Brand_Log!W73="","",Brand_Log!W73&amp;""))</f>
        <v/>
      </c>
      <c r="I1273" s="23" t="str">
        <f aca="false">IF(B1273="","",IF(Brand_Log!O73="","",Brand_Log!O73&amp;""))</f>
        <v/>
      </c>
      <c r="J1273" s="23" t="str">
        <f aca="false">IF(B1273="","","after_1500")</f>
        <v/>
      </c>
      <c r="K1273" s="32" t="s">
        <v>1358</v>
      </c>
    </row>
    <row r="1274" customFormat="false" ht="15" hidden="false" customHeight="false" outlineLevel="0" collapsed="false">
      <c r="A1274" s="23" t="str">
        <f aca="false">IF(B1274="","",B1274+(7*1000+73)/10000000)</f>
        <v/>
      </c>
      <c r="B1274" s="35" t="str">
        <f aca="false">IF(AND(Brand_Log!AY74=1,Brand_Log!U74="Y",OR(ISNUMBER(Brand_Log!V74),TRIM(Brand_Log!W74)&lt;&gt;"")),Brand_Log!H74,"")</f>
        <v/>
      </c>
      <c r="C1274" s="23" t="str">
        <f aca="false">IF(B1274="","","brand")</f>
        <v/>
      </c>
      <c r="D1274" s="23" t="str">
        <f aca="false">IF(B1274="","",Brand_Log!DV74&amp;"")</f>
        <v/>
      </c>
      <c r="E1274" s="23" t="str">
        <f aca="false">IF(B1274="","",IF(Brand_Log!B74="","",Brand_Log!B74&amp;""))</f>
        <v/>
      </c>
      <c r="F1274" s="23" t="str">
        <f aca="false">IF(B1274="","","budget_probe")</f>
        <v/>
      </c>
      <c r="G1274" s="23" t="str">
        <f aca="false">IF(B1274="","",IF(ISNUMBER(Brand_Log!V74),Brand_Log!V74,""))</f>
        <v/>
      </c>
      <c r="H1274" s="23" t="str">
        <f aca="false">IF(B1274="","",IF(Brand_Log!W74="","",Brand_Log!W74&amp;""))</f>
        <v/>
      </c>
      <c r="I1274" s="23" t="str">
        <f aca="false">IF(B1274="","",IF(Brand_Log!O74="","",Brand_Log!O74&amp;""))</f>
        <v/>
      </c>
      <c r="J1274" s="23" t="str">
        <f aca="false">IF(B1274="","","after_1500")</f>
        <v/>
      </c>
      <c r="K1274" s="32" t="s">
        <v>1358</v>
      </c>
    </row>
    <row r="1275" customFormat="false" ht="15" hidden="false" customHeight="false" outlineLevel="0" collapsed="false">
      <c r="A1275" s="23" t="str">
        <f aca="false">IF(B1275="","",B1275+(7*1000+74)/10000000)</f>
        <v/>
      </c>
      <c r="B1275" s="35" t="str">
        <f aca="false">IF(AND(Brand_Log!AY75=1,Brand_Log!U75="Y",OR(ISNUMBER(Brand_Log!V75),TRIM(Brand_Log!W75)&lt;&gt;"")),Brand_Log!H75,"")</f>
        <v/>
      </c>
      <c r="C1275" s="23" t="str">
        <f aca="false">IF(B1275="","","brand")</f>
        <v/>
      </c>
      <c r="D1275" s="23" t="str">
        <f aca="false">IF(B1275="","",Brand_Log!DV75&amp;"")</f>
        <v/>
      </c>
      <c r="E1275" s="23" t="str">
        <f aca="false">IF(B1275="","",IF(Brand_Log!B75="","",Brand_Log!B75&amp;""))</f>
        <v/>
      </c>
      <c r="F1275" s="23" t="str">
        <f aca="false">IF(B1275="","","budget_probe")</f>
        <v/>
      </c>
      <c r="G1275" s="23" t="str">
        <f aca="false">IF(B1275="","",IF(ISNUMBER(Brand_Log!V75),Brand_Log!V75,""))</f>
        <v/>
      </c>
      <c r="H1275" s="23" t="str">
        <f aca="false">IF(B1275="","",IF(Brand_Log!W75="","",Brand_Log!W75&amp;""))</f>
        <v/>
      </c>
      <c r="I1275" s="23" t="str">
        <f aca="false">IF(B1275="","",IF(Brand_Log!O75="","",Brand_Log!O75&amp;""))</f>
        <v/>
      </c>
      <c r="J1275" s="23" t="str">
        <f aca="false">IF(B1275="","","after_1500")</f>
        <v/>
      </c>
      <c r="K1275" s="32" t="s">
        <v>1358</v>
      </c>
    </row>
    <row r="1276" customFormat="false" ht="15" hidden="false" customHeight="false" outlineLevel="0" collapsed="false">
      <c r="A1276" s="23" t="str">
        <f aca="false">IF(B1276="","",B1276+(7*1000+75)/10000000)</f>
        <v/>
      </c>
      <c r="B1276" s="35" t="str">
        <f aca="false">IF(AND(Brand_Log!AY76=1,Brand_Log!U76="Y",OR(ISNUMBER(Brand_Log!V76),TRIM(Brand_Log!W76)&lt;&gt;"")),Brand_Log!H76,"")</f>
        <v/>
      </c>
      <c r="C1276" s="23" t="str">
        <f aca="false">IF(B1276="","","brand")</f>
        <v/>
      </c>
      <c r="D1276" s="23" t="str">
        <f aca="false">IF(B1276="","",Brand_Log!DV76&amp;"")</f>
        <v/>
      </c>
      <c r="E1276" s="23" t="str">
        <f aca="false">IF(B1276="","",IF(Brand_Log!B76="","",Brand_Log!B76&amp;""))</f>
        <v/>
      </c>
      <c r="F1276" s="23" t="str">
        <f aca="false">IF(B1276="","","budget_probe")</f>
        <v/>
      </c>
      <c r="G1276" s="23" t="str">
        <f aca="false">IF(B1276="","",IF(ISNUMBER(Brand_Log!V76),Brand_Log!V76,""))</f>
        <v/>
      </c>
      <c r="H1276" s="23" t="str">
        <f aca="false">IF(B1276="","",IF(Brand_Log!W76="","",Brand_Log!W76&amp;""))</f>
        <v/>
      </c>
      <c r="I1276" s="23" t="str">
        <f aca="false">IF(B1276="","",IF(Brand_Log!O76="","",Brand_Log!O76&amp;""))</f>
        <v/>
      </c>
      <c r="J1276" s="23" t="str">
        <f aca="false">IF(B1276="","","after_1500")</f>
        <v/>
      </c>
      <c r="K1276" s="32" t="s">
        <v>1358</v>
      </c>
    </row>
    <row r="1277" customFormat="false" ht="15" hidden="false" customHeight="false" outlineLevel="0" collapsed="false">
      <c r="A1277" s="23" t="str">
        <f aca="false">IF(B1277="","",B1277+(7*1000+76)/10000000)</f>
        <v/>
      </c>
      <c r="B1277" s="35" t="str">
        <f aca="false">IF(AND(Brand_Log!AY77=1,Brand_Log!U77="Y",OR(ISNUMBER(Brand_Log!V77),TRIM(Brand_Log!W77)&lt;&gt;"")),Brand_Log!H77,"")</f>
        <v/>
      </c>
      <c r="C1277" s="23" t="str">
        <f aca="false">IF(B1277="","","brand")</f>
        <v/>
      </c>
      <c r="D1277" s="23" t="str">
        <f aca="false">IF(B1277="","",Brand_Log!DV77&amp;"")</f>
        <v/>
      </c>
      <c r="E1277" s="23" t="str">
        <f aca="false">IF(B1277="","",IF(Brand_Log!B77="","",Brand_Log!B77&amp;""))</f>
        <v/>
      </c>
      <c r="F1277" s="23" t="str">
        <f aca="false">IF(B1277="","","budget_probe")</f>
        <v/>
      </c>
      <c r="G1277" s="23" t="str">
        <f aca="false">IF(B1277="","",IF(ISNUMBER(Brand_Log!V77),Brand_Log!V77,""))</f>
        <v/>
      </c>
      <c r="H1277" s="23" t="str">
        <f aca="false">IF(B1277="","",IF(Brand_Log!W77="","",Brand_Log!W77&amp;""))</f>
        <v/>
      </c>
      <c r="I1277" s="23" t="str">
        <f aca="false">IF(B1277="","",IF(Brand_Log!O77="","",Brand_Log!O77&amp;""))</f>
        <v/>
      </c>
      <c r="J1277" s="23" t="str">
        <f aca="false">IF(B1277="","","after_1500")</f>
        <v/>
      </c>
      <c r="K1277" s="32" t="s">
        <v>1358</v>
      </c>
    </row>
    <row r="1278" customFormat="false" ht="15" hidden="false" customHeight="false" outlineLevel="0" collapsed="false">
      <c r="A1278" s="23" t="str">
        <f aca="false">IF(B1278="","",B1278+(7*1000+77)/10000000)</f>
        <v/>
      </c>
      <c r="B1278" s="35" t="str">
        <f aca="false">IF(AND(Brand_Log!AY78=1,Brand_Log!U78="Y",OR(ISNUMBER(Brand_Log!V78),TRIM(Brand_Log!W78)&lt;&gt;"")),Brand_Log!H78,"")</f>
        <v/>
      </c>
      <c r="C1278" s="23" t="str">
        <f aca="false">IF(B1278="","","brand")</f>
        <v/>
      </c>
      <c r="D1278" s="23" t="str">
        <f aca="false">IF(B1278="","",Brand_Log!DV78&amp;"")</f>
        <v/>
      </c>
      <c r="E1278" s="23" t="str">
        <f aca="false">IF(B1278="","",IF(Brand_Log!B78="","",Brand_Log!B78&amp;""))</f>
        <v/>
      </c>
      <c r="F1278" s="23" t="str">
        <f aca="false">IF(B1278="","","budget_probe")</f>
        <v/>
      </c>
      <c r="G1278" s="23" t="str">
        <f aca="false">IF(B1278="","",IF(ISNUMBER(Brand_Log!V78),Brand_Log!V78,""))</f>
        <v/>
      </c>
      <c r="H1278" s="23" t="str">
        <f aca="false">IF(B1278="","",IF(Brand_Log!W78="","",Brand_Log!W78&amp;""))</f>
        <v/>
      </c>
      <c r="I1278" s="23" t="str">
        <f aca="false">IF(B1278="","",IF(Brand_Log!O78="","",Brand_Log!O78&amp;""))</f>
        <v/>
      </c>
      <c r="J1278" s="23" t="str">
        <f aca="false">IF(B1278="","","after_1500")</f>
        <v/>
      </c>
      <c r="K1278" s="32" t="s">
        <v>1358</v>
      </c>
    </row>
    <row r="1279" customFormat="false" ht="15" hidden="false" customHeight="false" outlineLevel="0" collapsed="false">
      <c r="A1279" s="23" t="str">
        <f aca="false">IF(B1279="","",B1279+(7*1000+78)/10000000)</f>
        <v/>
      </c>
      <c r="B1279" s="35" t="str">
        <f aca="false">IF(AND(Brand_Log!AY79=1,Brand_Log!U79="Y",OR(ISNUMBER(Brand_Log!V79),TRIM(Brand_Log!W79)&lt;&gt;"")),Brand_Log!H79,"")</f>
        <v/>
      </c>
      <c r="C1279" s="23" t="str">
        <f aca="false">IF(B1279="","","brand")</f>
        <v/>
      </c>
      <c r="D1279" s="23" t="str">
        <f aca="false">IF(B1279="","",Brand_Log!DV79&amp;"")</f>
        <v/>
      </c>
      <c r="E1279" s="23" t="str">
        <f aca="false">IF(B1279="","",IF(Brand_Log!B79="","",Brand_Log!B79&amp;""))</f>
        <v/>
      </c>
      <c r="F1279" s="23" t="str">
        <f aca="false">IF(B1279="","","budget_probe")</f>
        <v/>
      </c>
      <c r="G1279" s="23" t="str">
        <f aca="false">IF(B1279="","",IF(ISNUMBER(Brand_Log!V79),Brand_Log!V79,""))</f>
        <v/>
      </c>
      <c r="H1279" s="23" t="str">
        <f aca="false">IF(B1279="","",IF(Brand_Log!W79="","",Brand_Log!W79&amp;""))</f>
        <v/>
      </c>
      <c r="I1279" s="23" t="str">
        <f aca="false">IF(B1279="","",IF(Brand_Log!O79="","",Brand_Log!O79&amp;""))</f>
        <v/>
      </c>
      <c r="J1279" s="23" t="str">
        <f aca="false">IF(B1279="","","after_1500")</f>
        <v/>
      </c>
      <c r="K1279" s="32" t="s">
        <v>1358</v>
      </c>
    </row>
    <row r="1280" customFormat="false" ht="15" hidden="false" customHeight="false" outlineLevel="0" collapsed="false">
      <c r="A1280" s="23" t="str">
        <f aca="false">IF(B1280="","",B1280+(7*1000+79)/10000000)</f>
        <v/>
      </c>
      <c r="B1280" s="35" t="str">
        <f aca="false">IF(AND(Brand_Log!AY80=1,Brand_Log!U80="Y",OR(ISNUMBER(Brand_Log!V80),TRIM(Brand_Log!W80)&lt;&gt;"")),Brand_Log!H80,"")</f>
        <v/>
      </c>
      <c r="C1280" s="23" t="str">
        <f aca="false">IF(B1280="","","brand")</f>
        <v/>
      </c>
      <c r="D1280" s="23" t="str">
        <f aca="false">IF(B1280="","",Brand_Log!DV80&amp;"")</f>
        <v/>
      </c>
      <c r="E1280" s="23" t="str">
        <f aca="false">IF(B1280="","",IF(Brand_Log!B80="","",Brand_Log!B80&amp;""))</f>
        <v/>
      </c>
      <c r="F1280" s="23" t="str">
        <f aca="false">IF(B1280="","","budget_probe")</f>
        <v/>
      </c>
      <c r="G1280" s="23" t="str">
        <f aca="false">IF(B1280="","",IF(ISNUMBER(Brand_Log!V80),Brand_Log!V80,""))</f>
        <v/>
      </c>
      <c r="H1280" s="23" t="str">
        <f aca="false">IF(B1280="","",IF(Brand_Log!W80="","",Brand_Log!W80&amp;""))</f>
        <v/>
      </c>
      <c r="I1280" s="23" t="str">
        <f aca="false">IF(B1280="","",IF(Brand_Log!O80="","",Brand_Log!O80&amp;""))</f>
        <v/>
      </c>
      <c r="J1280" s="23" t="str">
        <f aca="false">IF(B1280="","","after_1500")</f>
        <v/>
      </c>
      <c r="K1280" s="32" t="s">
        <v>1358</v>
      </c>
    </row>
    <row r="1281" customFormat="false" ht="15" hidden="false" customHeight="false" outlineLevel="0" collapsed="false">
      <c r="A1281" s="23" t="str">
        <f aca="false">IF(B1281="","",B1281+(7*1000+80)/10000000)</f>
        <v/>
      </c>
      <c r="B1281" s="35" t="str">
        <f aca="false">IF(AND(Brand_Log!AY81=1,Brand_Log!U81="Y",OR(ISNUMBER(Brand_Log!V81),TRIM(Brand_Log!W81)&lt;&gt;"")),Brand_Log!H81,"")</f>
        <v/>
      </c>
      <c r="C1281" s="23" t="str">
        <f aca="false">IF(B1281="","","brand")</f>
        <v/>
      </c>
      <c r="D1281" s="23" t="str">
        <f aca="false">IF(B1281="","",Brand_Log!DV81&amp;"")</f>
        <v/>
      </c>
      <c r="E1281" s="23" t="str">
        <f aca="false">IF(B1281="","",IF(Brand_Log!B81="","",Brand_Log!B81&amp;""))</f>
        <v/>
      </c>
      <c r="F1281" s="23" t="str">
        <f aca="false">IF(B1281="","","budget_probe")</f>
        <v/>
      </c>
      <c r="G1281" s="23" t="str">
        <f aca="false">IF(B1281="","",IF(ISNUMBER(Brand_Log!V81),Brand_Log!V81,""))</f>
        <v/>
      </c>
      <c r="H1281" s="23" t="str">
        <f aca="false">IF(B1281="","",IF(Brand_Log!W81="","",Brand_Log!W81&amp;""))</f>
        <v/>
      </c>
      <c r="I1281" s="23" t="str">
        <f aca="false">IF(B1281="","",IF(Brand_Log!O81="","",Brand_Log!O81&amp;""))</f>
        <v/>
      </c>
      <c r="J1281" s="23" t="str">
        <f aca="false">IF(B1281="","","after_1500")</f>
        <v/>
      </c>
      <c r="K1281" s="32" t="s">
        <v>1358</v>
      </c>
    </row>
    <row r="1282" customFormat="false" ht="15" hidden="false" customHeight="false" outlineLevel="0" collapsed="false">
      <c r="A1282" s="23" t="str">
        <f aca="false">IF(B1282="","",B1282+(7*1000+81)/10000000)</f>
        <v/>
      </c>
      <c r="B1282" s="35" t="str">
        <f aca="false">IF(AND(Brand_Log!AY82=1,Brand_Log!U82="Y",OR(ISNUMBER(Brand_Log!V82),TRIM(Brand_Log!W82)&lt;&gt;"")),Brand_Log!H82,"")</f>
        <v/>
      </c>
      <c r="C1282" s="23" t="str">
        <f aca="false">IF(B1282="","","brand")</f>
        <v/>
      </c>
      <c r="D1282" s="23" t="str">
        <f aca="false">IF(B1282="","",Brand_Log!DV82&amp;"")</f>
        <v/>
      </c>
      <c r="E1282" s="23" t="str">
        <f aca="false">IF(B1282="","",IF(Brand_Log!B82="","",Brand_Log!B82&amp;""))</f>
        <v/>
      </c>
      <c r="F1282" s="23" t="str">
        <f aca="false">IF(B1282="","","budget_probe")</f>
        <v/>
      </c>
      <c r="G1282" s="23" t="str">
        <f aca="false">IF(B1282="","",IF(ISNUMBER(Brand_Log!V82),Brand_Log!V82,""))</f>
        <v/>
      </c>
      <c r="H1282" s="23" t="str">
        <f aca="false">IF(B1282="","",IF(Brand_Log!W82="","",Brand_Log!W82&amp;""))</f>
        <v/>
      </c>
      <c r="I1282" s="23" t="str">
        <f aca="false">IF(B1282="","",IF(Brand_Log!O82="","",Brand_Log!O82&amp;""))</f>
        <v/>
      </c>
      <c r="J1282" s="23" t="str">
        <f aca="false">IF(B1282="","","after_1500")</f>
        <v/>
      </c>
      <c r="K1282" s="32" t="s">
        <v>1358</v>
      </c>
    </row>
    <row r="1283" customFormat="false" ht="15" hidden="false" customHeight="false" outlineLevel="0" collapsed="false">
      <c r="A1283" s="23" t="str">
        <f aca="false">IF(B1283="","",B1283+(7*1000+82)/10000000)</f>
        <v/>
      </c>
      <c r="B1283" s="35" t="str">
        <f aca="false">IF(AND(Brand_Log!AY83=1,Brand_Log!U83="Y",OR(ISNUMBER(Brand_Log!V83),TRIM(Brand_Log!W83)&lt;&gt;"")),Brand_Log!H83,"")</f>
        <v/>
      </c>
      <c r="C1283" s="23" t="str">
        <f aca="false">IF(B1283="","","brand")</f>
        <v/>
      </c>
      <c r="D1283" s="23" t="str">
        <f aca="false">IF(B1283="","",Brand_Log!DV83&amp;"")</f>
        <v/>
      </c>
      <c r="E1283" s="23" t="str">
        <f aca="false">IF(B1283="","",IF(Brand_Log!B83="","",Brand_Log!B83&amp;""))</f>
        <v/>
      </c>
      <c r="F1283" s="23" t="str">
        <f aca="false">IF(B1283="","","budget_probe")</f>
        <v/>
      </c>
      <c r="G1283" s="23" t="str">
        <f aca="false">IF(B1283="","",IF(ISNUMBER(Brand_Log!V83),Brand_Log!V83,""))</f>
        <v/>
      </c>
      <c r="H1283" s="23" t="str">
        <f aca="false">IF(B1283="","",IF(Brand_Log!W83="","",Brand_Log!W83&amp;""))</f>
        <v/>
      </c>
      <c r="I1283" s="23" t="str">
        <f aca="false">IF(B1283="","",IF(Brand_Log!O83="","",Brand_Log!O83&amp;""))</f>
        <v/>
      </c>
      <c r="J1283" s="23" t="str">
        <f aca="false">IF(B1283="","","after_1500")</f>
        <v/>
      </c>
      <c r="K1283" s="32" t="s">
        <v>1358</v>
      </c>
    </row>
    <row r="1284" customFormat="false" ht="15" hidden="false" customHeight="false" outlineLevel="0" collapsed="false">
      <c r="A1284" s="23" t="str">
        <f aca="false">IF(B1284="","",B1284+(7*1000+83)/10000000)</f>
        <v/>
      </c>
      <c r="B1284" s="35" t="str">
        <f aca="false">IF(AND(Brand_Log!AY84=1,Brand_Log!U84="Y",OR(ISNUMBER(Brand_Log!V84),TRIM(Brand_Log!W84)&lt;&gt;"")),Brand_Log!H84,"")</f>
        <v/>
      </c>
      <c r="C1284" s="23" t="str">
        <f aca="false">IF(B1284="","","brand")</f>
        <v/>
      </c>
      <c r="D1284" s="23" t="str">
        <f aca="false">IF(B1284="","",Brand_Log!DV84&amp;"")</f>
        <v/>
      </c>
      <c r="E1284" s="23" t="str">
        <f aca="false">IF(B1284="","",IF(Brand_Log!B84="","",Brand_Log!B84&amp;""))</f>
        <v/>
      </c>
      <c r="F1284" s="23" t="str">
        <f aca="false">IF(B1284="","","budget_probe")</f>
        <v/>
      </c>
      <c r="G1284" s="23" t="str">
        <f aca="false">IF(B1284="","",IF(ISNUMBER(Brand_Log!V84),Brand_Log!V84,""))</f>
        <v/>
      </c>
      <c r="H1284" s="23" t="str">
        <f aca="false">IF(B1284="","",IF(Brand_Log!W84="","",Brand_Log!W84&amp;""))</f>
        <v/>
      </c>
      <c r="I1284" s="23" t="str">
        <f aca="false">IF(B1284="","",IF(Brand_Log!O84="","",Brand_Log!O84&amp;""))</f>
        <v/>
      </c>
      <c r="J1284" s="23" t="str">
        <f aca="false">IF(B1284="","","after_1500")</f>
        <v/>
      </c>
      <c r="K1284" s="32" t="s">
        <v>1358</v>
      </c>
    </row>
    <row r="1285" customFormat="false" ht="15" hidden="false" customHeight="false" outlineLevel="0" collapsed="false">
      <c r="A1285" s="23" t="str">
        <f aca="false">IF(B1285="","",B1285+(7*1000+84)/10000000)</f>
        <v/>
      </c>
      <c r="B1285" s="35" t="str">
        <f aca="false">IF(AND(Brand_Log!AY85=1,Brand_Log!U85="Y",OR(ISNUMBER(Brand_Log!V85),TRIM(Brand_Log!W85)&lt;&gt;"")),Brand_Log!H85,"")</f>
        <v/>
      </c>
      <c r="C1285" s="23" t="str">
        <f aca="false">IF(B1285="","","brand")</f>
        <v/>
      </c>
      <c r="D1285" s="23" t="str">
        <f aca="false">IF(B1285="","",Brand_Log!DV85&amp;"")</f>
        <v/>
      </c>
      <c r="E1285" s="23" t="str">
        <f aca="false">IF(B1285="","",IF(Brand_Log!B85="","",Brand_Log!B85&amp;""))</f>
        <v/>
      </c>
      <c r="F1285" s="23" t="str">
        <f aca="false">IF(B1285="","","budget_probe")</f>
        <v/>
      </c>
      <c r="G1285" s="23" t="str">
        <f aca="false">IF(B1285="","",IF(ISNUMBER(Brand_Log!V85),Brand_Log!V85,""))</f>
        <v/>
      </c>
      <c r="H1285" s="23" t="str">
        <f aca="false">IF(B1285="","",IF(Brand_Log!W85="","",Brand_Log!W85&amp;""))</f>
        <v/>
      </c>
      <c r="I1285" s="23" t="str">
        <f aca="false">IF(B1285="","",IF(Brand_Log!O85="","",Brand_Log!O85&amp;""))</f>
        <v/>
      </c>
      <c r="J1285" s="23" t="str">
        <f aca="false">IF(B1285="","","after_1500")</f>
        <v/>
      </c>
      <c r="K1285" s="32" t="s">
        <v>1358</v>
      </c>
    </row>
    <row r="1286" customFormat="false" ht="15" hidden="false" customHeight="false" outlineLevel="0" collapsed="false">
      <c r="A1286" s="23" t="str">
        <f aca="false">IF(B1286="","",B1286+(7*1000+85)/10000000)</f>
        <v/>
      </c>
      <c r="B1286" s="35" t="str">
        <f aca="false">IF(AND(Brand_Log!AY86=1,Brand_Log!U86="Y",OR(ISNUMBER(Brand_Log!V86),TRIM(Brand_Log!W86)&lt;&gt;"")),Brand_Log!H86,"")</f>
        <v/>
      </c>
      <c r="C1286" s="23" t="str">
        <f aca="false">IF(B1286="","","brand")</f>
        <v/>
      </c>
      <c r="D1286" s="23" t="str">
        <f aca="false">IF(B1286="","",Brand_Log!DV86&amp;"")</f>
        <v/>
      </c>
      <c r="E1286" s="23" t="str">
        <f aca="false">IF(B1286="","",IF(Brand_Log!B86="","",Brand_Log!B86&amp;""))</f>
        <v/>
      </c>
      <c r="F1286" s="23" t="str">
        <f aca="false">IF(B1286="","","budget_probe")</f>
        <v/>
      </c>
      <c r="G1286" s="23" t="str">
        <f aca="false">IF(B1286="","",IF(ISNUMBER(Brand_Log!V86),Brand_Log!V86,""))</f>
        <v/>
      </c>
      <c r="H1286" s="23" t="str">
        <f aca="false">IF(B1286="","",IF(Brand_Log!W86="","",Brand_Log!W86&amp;""))</f>
        <v/>
      </c>
      <c r="I1286" s="23" t="str">
        <f aca="false">IF(B1286="","",IF(Brand_Log!O86="","",Brand_Log!O86&amp;""))</f>
        <v/>
      </c>
      <c r="J1286" s="23" t="str">
        <f aca="false">IF(B1286="","","after_1500")</f>
        <v/>
      </c>
      <c r="K1286" s="32" t="s">
        <v>1358</v>
      </c>
    </row>
    <row r="1287" customFormat="false" ht="15" hidden="false" customHeight="false" outlineLevel="0" collapsed="false">
      <c r="A1287" s="23" t="str">
        <f aca="false">IF(B1287="","",B1287+(7*1000+86)/10000000)</f>
        <v/>
      </c>
      <c r="B1287" s="35" t="str">
        <f aca="false">IF(AND(Brand_Log!AY87=1,Brand_Log!U87="Y",OR(ISNUMBER(Brand_Log!V87),TRIM(Brand_Log!W87)&lt;&gt;"")),Brand_Log!H87,"")</f>
        <v/>
      </c>
      <c r="C1287" s="23" t="str">
        <f aca="false">IF(B1287="","","brand")</f>
        <v/>
      </c>
      <c r="D1287" s="23" t="str">
        <f aca="false">IF(B1287="","",Brand_Log!DV87&amp;"")</f>
        <v/>
      </c>
      <c r="E1287" s="23" t="str">
        <f aca="false">IF(B1287="","",IF(Brand_Log!B87="","",Brand_Log!B87&amp;""))</f>
        <v/>
      </c>
      <c r="F1287" s="23" t="str">
        <f aca="false">IF(B1287="","","budget_probe")</f>
        <v/>
      </c>
      <c r="G1287" s="23" t="str">
        <f aca="false">IF(B1287="","",IF(ISNUMBER(Brand_Log!V87),Brand_Log!V87,""))</f>
        <v/>
      </c>
      <c r="H1287" s="23" t="str">
        <f aca="false">IF(B1287="","",IF(Brand_Log!W87="","",Brand_Log!W87&amp;""))</f>
        <v/>
      </c>
      <c r="I1287" s="23" t="str">
        <f aca="false">IF(B1287="","",IF(Brand_Log!O87="","",Brand_Log!O87&amp;""))</f>
        <v/>
      </c>
      <c r="J1287" s="23" t="str">
        <f aca="false">IF(B1287="","","after_1500")</f>
        <v/>
      </c>
      <c r="K1287" s="32" t="s">
        <v>1358</v>
      </c>
    </row>
    <row r="1288" customFormat="false" ht="15" hidden="false" customHeight="false" outlineLevel="0" collapsed="false">
      <c r="A1288" s="23" t="str">
        <f aca="false">IF(B1288="","",B1288+(7*1000+87)/10000000)</f>
        <v/>
      </c>
      <c r="B1288" s="35" t="str">
        <f aca="false">IF(AND(Brand_Log!AY88=1,Brand_Log!U88="Y",OR(ISNUMBER(Brand_Log!V88),TRIM(Brand_Log!W88)&lt;&gt;"")),Brand_Log!H88,"")</f>
        <v/>
      </c>
      <c r="C1288" s="23" t="str">
        <f aca="false">IF(B1288="","","brand")</f>
        <v/>
      </c>
      <c r="D1288" s="23" t="str">
        <f aca="false">IF(B1288="","",Brand_Log!DV88&amp;"")</f>
        <v/>
      </c>
      <c r="E1288" s="23" t="str">
        <f aca="false">IF(B1288="","",IF(Brand_Log!B88="","",Brand_Log!B88&amp;""))</f>
        <v/>
      </c>
      <c r="F1288" s="23" t="str">
        <f aca="false">IF(B1288="","","budget_probe")</f>
        <v/>
      </c>
      <c r="G1288" s="23" t="str">
        <f aca="false">IF(B1288="","",IF(ISNUMBER(Brand_Log!V88),Brand_Log!V88,""))</f>
        <v/>
      </c>
      <c r="H1288" s="23" t="str">
        <f aca="false">IF(B1288="","",IF(Brand_Log!W88="","",Brand_Log!W88&amp;""))</f>
        <v/>
      </c>
      <c r="I1288" s="23" t="str">
        <f aca="false">IF(B1288="","",IF(Brand_Log!O88="","",Brand_Log!O88&amp;""))</f>
        <v/>
      </c>
      <c r="J1288" s="23" t="str">
        <f aca="false">IF(B1288="","","after_1500")</f>
        <v/>
      </c>
      <c r="K1288" s="32" t="s">
        <v>1358</v>
      </c>
    </row>
    <row r="1289" customFormat="false" ht="15" hidden="false" customHeight="false" outlineLevel="0" collapsed="false">
      <c r="A1289" s="23" t="str">
        <f aca="false">IF(B1289="","",B1289+(7*1000+88)/10000000)</f>
        <v/>
      </c>
      <c r="B1289" s="35" t="str">
        <f aca="false">IF(AND(Brand_Log!AY89=1,Brand_Log!U89="Y",OR(ISNUMBER(Brand_Log!V89),TRIM(Brand_Log!W89)&lt;&gt;"")),Brand_Log!H89,"")</f>
        <v/>
      </c>
      <c r="C1289" s="23" t="str">
        <f aca="false">IF(B1289="","","brand")</f>
        <v/>
      </c>
      <c r="D1289" s="23" t="str">
        <f aca="false">IF(B1289="","",Brand_Log!DV89&amp;"")</f>
        <v/>
      </c>
      <c r="E1289" s="23" t="str">
        <f aca="false">IF(B1289="","",IF(Brand_Log!B89="","",Brand_Log!B89&amp;""))</f>
        <v/>
      </c>
      <c r="F1289" s="23" t="str">
        <f aca="false">IF(B1289="","","budget_probe")</f>
        <v/>
      </c>
      <c r="G1289" s="23" t="str">
        <f aca="false">IF(B1289="","",IF(ISNUMBER(Brand_Log!V89),Brand_Log!V89,""))</f>
        <v/>
      </c>
      <c r="H1289" s="23" t="str">
        <f aca="false">IF(B1289="","",IF(Brand_Log!W89="","",Brand_Log!W89&amp;""))</f>
        <v/>
      </c>
      <c r="I1289" s="23" t="str">
        <f aca="false">IF(B1289="","",IF(Brand_Log!O89="","",Brand_Log!O89&amp;""))</f>
        <v/>
      </c>
      <c r="J1289" s="23" t="str">
        <f aca="false">IF(B1289="","","after_1500")</f>
        <v/>
      </c>
      <c r="K1289" s="32" t="s">
        <v>1358</v>
      </c>
    </row>
    <row r="1290" customFormat="false" ht="15" hidden="false" customHeight="false" outlineLevel="0" collapsed="false">
      <c r="A1290" s="23" t="str">
        <f aca="false">IF(B1290="","",B1290+(7*1000+89)/10000000)</f>
        <v/>
      </c>
      <c r="B1290" s="35" t="str">
        <f aca="false">IF(AND(Brand_Log!AY90=1,Brand_Log!U90="Y",OR(ISNUMBER(Brand_Log!V90),TRIM(Brand_Log!W90)&lt;&gt;"")),Brand_Log!H90,"")</f>
        <v/>
      </c>
      <c r="C1290" s="23" t="str">
        <f aca="false">IF(B1290="","","brand")</f>
        <v/>
      </c>
      <c r="D1290" s="23" t="str">
        <f aca="false">IF(B1290="","",Brand_Log!DV90&amp;"")</f>
        <v/>
      </c>
      <c r="E1290" s="23" t="str">
        <f aca="false">IF(B1290="","",IF(Brand_Log!B90="","",Brand_Log!B90&amp;""))</f>
        <v/>
      </c>
      <c r="F1290" s="23" t="str">
        <f aca="false">IF(B1290="","","budget_probe")</f>
        <v/>
      </c>
      <c r="G1290" s="23" t="str">
        <f aca="false">IF(B1290="","",IF(ISNUMBER(Brand_Log!V90),Brand_Log!V90,""))</f>
        <v/>
      </c>
      <c r="H1290" s="23" t="str">
        <f aca="false">IF(B1290="","",IF(Brand_Log!W90="","",Brand_Log!W90&amp;""))</f>
        <v/>
      </c>
      <c r="I1290" s="23" t="str">
        <f aca="false">IF(B1290="","",IF(Brand_Log!O90="","",Brand_Log!O90&amp;""))</f>
        <v/>
      </c>
      <c r="J1290" s="23" t="str">
        <f aca="false">IF(B1290="","","after_1500")</f>
        <v/>
      </c>
      <c r="K1290" s="32" t="s">
        <v>1358</v>
      </c>
    </row>
    <row r="1291" customFormat="false" ht="15" hidden="false" customHeight="false" outlineLevel="0" collapsed="false">
      <c r="A1291" s="23" t="str">
        <f aca="false">IF(B1291="","",B1291+(7*1000+90)/10000000)</f>
        <v/>
      </c>
      <c r="B1291" s="35" t="str">
        <f aca="false">IF(AND(Brand_Log!AY91=1,Brand_Log!U91="Y",OR(ISNUMBER(Brand_Log!V91),TRIM(Brand_Log!W91)&lt;&gt;"")),Brand_Log!H91,"")</f>
        <v/>
      </c>
      <c r="C1291" s="23" t="str">
        <f aca="false">IF(B1291="","","brand")</f>
        <v/>
      </c>
      <c r="D1291" s="23" t="str">
        <f aca="false">IF(B1291="","",Brand_Log!DV91&amp;"")</f>
        <v/>
      </c>
      <c r="E1291" s="23" t="str">
        <f aca="false">IF(B1291="","",IF(Brand_Log!B91="","",Brand_Log!B91&amp;""))</f>
        <v/>
      </c>
      <c r="F1291" s="23" t="str">
        <f aca="false">IF(B1291="","","budget_probe")</f>
        <v/>
      </c>
      <c r="G1291" s="23" t="str">
        <f aca="false">IF(B1291="","",IF(ISNUMBER(Brand_Log!V91),Brand_Log!V91,""))</f>
        <v/>
      </c>
      <c r="H1291" s="23" t="str">
        <f aca="false">IF(B1291="","",IF(Brand_Log!W91="","",Brand_Log!W91&amp;""))</f>
        <v/>
      </c>
      <c r="I1291" s="23" t="str">
        <f aca="false">IF(B1291="","",IF(Brand_Log!O91="","",Brand_Log!O91&amp;""))</f>
        <v/>
      </c>
      <c r="J1291" s="23" t="str">
        <f aca="false">IF(B1291="","","after_1500")</f>
        <v/>
      </c>
      <c r="K1291" s="32" t="s">
        <v>1358</v>
      </c>
    </row>
    <row r="1292" customFormat="false" ht="15" hidden="false" customHeight="false" outlineLevel="0" collapsed="false">
      <c r="A1292" s="23" t="str">
        <f aca="false">IF(B1292="","",B1292+(7*1000+91)/10000000)</f>
        <v/>
      </c>
      <c r="B1292" s="35" t="str">
        <f aca="false">IF(AND(Brand_Log!AY92=1,Brand_Log!U92="Y",OR(ISNUMBER(Brand_Log!V92),TRIM(Brand_Log!W92)&lt;&gt;"")),Brand_Log!H92,"")</f>
        <v/>
      </c>
      <c r="C1292" s="23" t="str">
        <f aca="false">IF(B1292="","","brand")</f>
        <v/>
      </c>
      <c r="D1292" s="23" t="str">
        <f aca="false">IF(B1292="","",Brand_Log!DV92&amp;"")</f>
        <v/>
      </c>
      <c r="E1292" s="23" t="str">
        <f aca="false">IF(B1292="","",IF(Brand_Log!B92="","",Brand_Log!B92&amp;""))</f>
        <v/>
      </c>
      <c r="F1292" s="23" t="str">
        <f aca="false">IF(B1292="","","budget_probe")</f>
        <v/>
      </c>
      <c r="G1292" s="23" t="str">
        <f aca="false">IF(B1292="","",IF(ISNUMBER(Brand_Log!V92),Brand_Log!V92,""))</f>
        <v/>
      </c>
      <c r="H1292" s="23" t="str">
        <f aca="false">IF(B1292="","",IF(Brand_Log!W92="","",Brand_Log!W92&amp;""))</f>
        <v/>
      </c>
      <c r="I1292" s="23" t="str">
        <f aca="false">IF(B1292="","",IF(Brand_Log!O92="","",Brand_Log!O92&amp;""))</f>
        <v/>
      </c>
      <c r="J1292" s="23" t="str">
        <f aca="false">IF(B1292="","","after_1500")</f>
        <v/>
      </c>
      <c r="K1292" s="32" t="s">
        <v>1358</v>
      </c>
    </row>
    <row r="1293" customFormat="false" ht="15" hidden="false" customHeight="false" outlineLevel="0" collapsed="false">
      <c r="A1293" s="23" t="str">
        <f aca="false">IF(B1293="","",B1293+(7*1000+92)/10000000)</f>
        <v/>
      </c>
      <c r="B1293" s="35" t="str">
        <f aca="false">IF(AND(Brand_Log!AY93=1,Brand_Log!U93="Y",OR(ISNUMBER(Brand_Log!V93),TRIM(Brand_Log!W93)&lt;&gt;"")),Brand_Log!H93,"")</f>
        <v/>
      </c>
      <c r="C1293" s="23" t="str">
        <f aca="false">IF(B1293="","","brand")</f>
        <v/>
      </c>
      <c r="D1293" s="23" t="str">
        <f aca="false">IF(B1293="","",Brand_Log!DV93&amp;"")</f>
        <v/>
      </c>
      <c r="E1293" s="23" t="str">
        <f aca="false">IF(B1293="","",IF(Brand_Log!B93="","",Brand_Log!B93&amp;""))</f>
        <v/>
      </c>
      <c r="F1293" s="23" t="str">
        <f aca="false">IF(B1293="","","budget_probe")</f>
        <v/>
      </c>
      <c r="G1293" s="23" t="str">
        <f aca="false">IF(B1293="","",IF(ISNUMBER(Brand_Log!V93),Brand_Log!V93,""))</f>
        <v/>
      </c>
      <c r="H1293" s="23" t="str">
        <f aca="false">IF(B1293="","",IF(Brand_Log!W93="","",Brand_Log!W93&amp;""))</f>
        <v/>
      </c>
      <c r="I1293" s="23" t="str">
        <f aca="false">IF(B1293="","",IF(Brand_Log!O93="","",Brand_Log!O93&amp;""))</f>
        <v/>
      </c>
      <c r="J1293" s="23" t="str">
        <f aca="false">IF(B1293="","","after_1500")</f>
        <v/>
      </c>
      <c r="K1293" s="32" t="s">
        <v>1358</v>
      </c>
    </row>
    <row r="1294" customFormat="false" ht="15" hidden="false" customHeight="false" outlineLevel="0" collapsed="false">
      <c r="A1294" s="23" t="str">
        <f aca="false">IF(B1294="","",B1294+(7*1000+93)/10000000)</f>
        <v/>
      </c>
      <c r="B1294" s="35" t="str">
        <f aca="false">IF(AND(Brand_Log!AY94=1,Brand_Log!U94="Y",OR(ISNUMBER(Brand_Log!V94),TRIM(Brand_Log!W94)&lt;&gt;"")),Brand_Log!H94,"")</f>
        <v/>
      </c>
      <c r="C1294" s="23" t="str">
        <f aca="false">IF(B1294="","","brand")</f>
        <v/>
      </c>
      <c r="D1294" s="23" t="str">
        <f aca="false">IF(B1294="","",Brand_Log!DV94&amp;"")</f>
        <v/>
      </c>
      <c r="E1294" s="23" t="str">
        <f aca="false">IF(B1294="","",IF(Brand_Log!B94="","",Brand_Log!B94&amp;""))</f>
        <v/>
      </c>
      <c r="F1294" s="23" t="str">
        <f aca="false">IF(B1294="","","budget_probe")</f>
        <v/>
      </c>
      <c r="G1294" s="23" t="str">
        <f aca="false">IF(B1294="","",IF(ISNUMBER(Brand_Log!V94),Brand_Log!V94,""))</f>
        <v/>
      </c>
      <c r="H1294" s="23" t="str">
        <f aca="false">IF(B1294="","",IF(Brand_Log!W94="","",Brand_Log!W94&amp;""))</f>
        <v/>
      </c>
      <c r="I1294" s="23" t="str">
        <f aca="false">IF(B1294="","",IF(Brand_Log!O94="","",Brand_Log!O94&amp;""))</f>
        <v/>
      </c>
      <c r="J1294" s="23" t="str">
        <f aca="false">IF(B1294="","","after_1500")</f>
        <v/>
      </c>
      <c r="K1294" s="32" t="s">
        <v>1358</v>
      </c>
    </row>
    <row r="1295" customFormat="false" ht="15" hidden="false" customHeight="false" outlineLevel="0" collapsed="false">
      <c r="A1295" s="23" t="str">
        <f aca="false">IF(B1295="","",B1295+(7*1000+94)/10000000)</f>
        <v/>
      </c>
      <c r="B1295" s="35" t="str">
        <f aca="false">IF(AND(Brand_Log!AY95=1,Brand_Log!U95="Y",OR(ISNUMBER(Brand_Log!V95),TRIM(Brand_Log!W95)&lt;&gt;"")),Brand_Log!H95,"")</f>
        <v/>
      </c>
      <c r="C1295" s="23" t="str">
        <f aca="false">IF(B1295="","","brand")</f>
        <v/>
      </c>
      <c r="D1295" s="23" t="str">
        <f aca="false">IF(B1295="","",Brand_Log!DV95&amp;"")</f>
        <v/>
      </c>
      <c r="E1295" s="23" t="str">
        <f aca="false">IF(B1295="","",IF(Brand_Log!B95="","",Brand_Log!B95&amp;""))</f>
        <v/>
      </c>
      <c r="F1295" s="23" t="str">
        <f aca="false">IF(B1295="","","budget_probe")</f>
        <v/>
      </c>
      <c r="G1295" s="23" t="str">
        <f aca="false">IF(B1295="","",IF(ISNUMBER(Brand_Log!V95),Brand_Log!V95,""))</f>
        <v/>
      </c>
      <c r="H1295" s="23" t="str">
        <f aca="false">IF(B1295="","",IF(Brand_Log!W95="","",Brand_Log!W95&amp;""))</f>
        <v/>
      </c>
      <c r="I1295" s="23" t="str">
        <f aca="false">IF(B1295="","",IF(Brand_Log!O95="","",Brand_Log!O95&amp;""))</f>
        <v/>
      </c>
      <c r="J1295" s="23" t="str">
        <f aca="false">IF(B1295="","","after_1500")</f>
        <v/>
      </c>
      <c r="K1295" s="32" t="s">
        <v>1358</v>
      </c>
    </row>
    <row r="1296" customFormat="false" ht="15" hidden="false" customHeight="false" outlineLevel="0" collapsed="false">
      <c r="A1296" s="23" t="str">
        <f aca="false">IF(B1296="","",B1296+(7*1000+95)/10000000)</f>
        <v/>
      </c>
      <c r="B1296" s="35" t="str">
        <f aca="false">IF(AND(Brand_Log!AY96=1,Brand_Log!U96="Y",OR(ISNUMBER(Brand_Log!V96),TRIM(Brand_Log!W96)&lt;&gt;"")),Brand_Log!H96,"")</f>
        <v/>
      </c>
      <c r="C1296" s="23" t="str">
        <f aca="false">IF(B1296="","","brand")</f>
        <v/>
      </c>
      <c r="D1296" s="23" t="str">
        <f aca="false">IF(B1296="","",Brand_Log!DV96&amp;"")</f>
        <v/>
      </c>
      <c r="E1296" s="23" t="str">
        <f aca="false">IF(B1296="","",IF(Brand_Log!B96="","",Brand_Log!B96&amp;""))</f>
        <v/>
      </c>
      <c r="F1296" s="23" t="str">
        <f aca="false">IF(B1296="","","budget_probe")</f>
        <v/>
      </c>
      <c r="G1296" s="23" t="str">
        <f aca="false">IF(B1296="","",IF(ISNUMBER(Brand_Log!V96),Brand_Log!V96,""))</f>
        <v/>
      </c>
      <c r="H1296" s="23" t="str">
        <f aca="false">IF(B1296="","",IF(Brand_Log!W96="","",Brand_Log!W96&amp;""))</f>
        <v/>
      </c>
      <c r="I1296" s="23" t="str">
        <f aca="false">IF(B1296="","",IF(Brand_Log!O96="","",Brand_Log!O96&amp;""))</f>
        <v/>
      </c>
      <c r="J1296" s="23" t="str">
        <f aca="false">IF(B1296="","","after_1500")</f>
        <v/>
      </c>
      <c r="K1296" s="32" t="s">
        <v>1358</v>
      </c>
    </row>
    <row r="1297" customFormat="false" ht="15" hidden="false" customHeight="false" outlineLevel="0" collapsed="false">
      <c r="A1297" s="23" t="str">
        <f aca="false">IF(B1297="","",B1297+(7*1000+96)/10000000)</f>
        <v/>
      </c>
      <c r="B1297" s="35" t="str">
        <f aca="false">IF(AND(Brand_Log!AY97=1,Brand_Log!U97="Y",OR(ISNUMBER(Brand_Log!V97),TRIM(Brand_Log!W97)&lt;&gt;"")),Brand_Log!H97,"")</f>
        <v/>
      </c>
      <c r="C1297" s="23" t="str">
        <f aca="false">IF(B1297="","","brand")</f>
        <v/>
      </c>
      <c r="D1297" s="23" t="str">
        <f aca="false">IF(B1297="","",Brand_Log!DV97&amp;"")</f>
        <v/>
      </c>
      <c r="E1297" s="23" t="str">
        <f aca="false">IF(B1297="","",IF(Brand_Log!B97="","",Brand_Log!B97&amp;""))</f>
        <v/>
      </c>
      <c r="F1297" s="23" t="str">
        <f aca="false">IF(B1297="","","budget_probe")</f>
        <v/>
      </c>
      <c r="G1297" s="23" t="str">
        <f aca="false">IF(B1297="","",IF(ISNUMBER(Brand_Log!V97),Brand_Log!V97,""))</f>
        <v/>
      </c>
      <c r="H1297" s="23" t="str">
        <f aca="false">IF(B1297="","",IF(Brand_Log!W97="","",Brand_Log!W97&amp;""))</f>
        <v/>
      </c>
      <c r="I1297" s="23" t="str">
        <f aca="false">IF(B1297="","",IF(Brand_Log!O97="","",Brand_Log!O97&amp;""))</f>
        <v/>
      </c>
      <c r="J1297" s="23" t="str">
        <f aca="false">IF(B1297="","","after_1500")</f>
        <v/>
      </c>
      <c r="K1297" s="32" t="s">
        <v>1358</v>
      </c>
    </row>
    <row r="1298" customFormat="false" ht="15" hidden="false" customHeight="false" outlineLevel="0" collapsed="false">
      <c r="A1298" s="23" t="str">
        <f aca="false">IF(B1298="","",B1298+(7*1000+97)/10000000)</f>
        <v/>
      </c>
      <c r="B1298" s="35" t="str">
        <f aca="false">IF(AND(Brand_Log!AY98=1,Brand_Log!U98="Y",OR(ISNUMBER(Brand_Log!V98),TRIM(Brand_Log!W98)&lt;&gt;"")),Brand_Log!H98,"")</f>
        <v/>
      </c>
      <c r="C1298" s="23" t="str">
        <f aca="false">IF(B1298="","","brand")</f>
        <v/>
      </c>
      <c r="D1298" s="23" t="str">
        <f aca="false">IF(B1298="","",Brand_Log!DV98&amp;"")</f>
        <v/>
      </c>
      <c r="E1298" s="23" t="str">
        <f aca="false">IF(B1298="","",IF(Brand_Log!B98="","",Brand_Log!B98&amp;""))</f>
        <v/>
      </c>
      <c r="F1298" s="23" t="str">
        <f aca="false">IF(B1298="","","budget_probe")</f>
        <v/>
      </c>
      <c r="G1298" s="23" t="str">
        <f aca="false">IF(B1298="","",IF(ISNUMBER(Brand_Log!V98),Brand_Log!V98,""))</f>
        <v/>
      </c>
      <c r="H1298" s="23" t="str">
        <f aca="false">IF(B1298="","",IF(Brand_Log!W98="","",Brand_Log!W98&amp;""))</f>
        <v/>
      </c>
      <c r="I1298" s="23" t="str">
        <f aca="false">IF(B1298="","",IF(Brand_Log!O98="","",Brand_Log!O98&amp;""))</f>
        <v/>
      </c>
      <c r="J1298" s="23" t="str">
        <f aca="false">IF(B1298="","","after_1500")</f>
        <v/>
      </c>
      <c r="K1298" s="32" t="s">
        <v>1358</v>
      </c>
    </row>
    <row r="1299" customFormat="false" ht="15" hidden="false" customHeight="false" outlineLevel="0" collapsed="false">
      <c r="A1299" s="23" t="str">
        <f aca="false">IF(B1299="","",B1299+(7*1000+98)/10000000)</f>
        <v/>
      </c>
      <c r="B1299" s="35" t="str">
        <f aca="false">IF(AND(Brand_Log!AY99=1,Brand_Log!U99="Y",OR(ISNUMBER(Brand_Log!V99),TRIM(Brand_Log!W99)&lt;&gt;"")),Brand_Log!H99,"")</f>
        <v/>
      </c>
      <c r="C1299" s="23" t="str">
        <f aca="false">IF(B1299="","","brand")</f>
        <v/>
      </c>
      <c r="D1299" s="23" t="str">
        <f aca="false">IF(B1299="","",Brand_Log!DV99&amp;"")</f>
        <v/>
      </c>
      <c r="E1299" s="23" t="str">
        <f aca="false">IF(B1299="","",IF(Brand_Log!B99="","",Brand_Log!B99&amp;""))</f>
        <v/>
      </c>
      <c r="F1299" s="23" t="str">
        <f aca="false">IF(B1299="","","budget_probe")</f>
        <v/>
      </c>
      <c r="G1299" s="23" t="str">
        <f aca="false">IF(B1299="","",IF(ISNUMBER(Brand_Log!V99),Brand_Log!V99,""))</f>
        <v/>
      </c>
      <c r="H1299" s="23" t="str">
        <f aca="false">IF(B1299="","",IF(Brand_Log!W99="","",Brand_Log!W99&amp;""))</f>
        <v/>
      </c>
      <c r="I1299" s="23" t="str">
        <f aca="false">IF(B1299="","",IF(Brand_Log!O99="","",Brand_Log!O99&amp;""))</f>
        <v/>
      </c>
      <c r="J1299" s="23" t="str">
        <f aca="false">IF(B1299="","","after_1500")</f>
        <v/>
      </c>
      <c r="K1299" s="32" t="s">
        <v>1358</v>
      </c>
    </row>
    <row r="1300" customFormat="false" ht="15" hidden="false" customHeight="false" outlineLevel="0" collapsed="false">
      <c r="A1300" s="23" t="str">
        <f aca="false">IF(B1300="","",B1300+(7*1000+99)/10000000)</f>
        <v/>
      </c>
      <c r="B1300" s="35" t="str">
        <f aca="false">IF(AND(Brand_Log!AY100=1,Brand_Log!U100="Y",OR(ISNUMBER(Brand_Log!V100),TRIM(Brand_Log!W100)&lt;&gt;"")),Brand_Log!H100,"")</f>
        <v/>
      </c>
      <c r="C1300" s="23" t="str">
        <f aca="false">IF(B1300="","","brand")</f>
        <v/>
      </c>
      <c r="D1300" s="23" t="str">
        <f aca="false">IF(B1300="","",Brand_Log!DV100&amp;"")</f>
        <v/>
      </c>
      <c r="E1300" s="23" t="str">
        <f aca="false">IF(B1300="","",IF(Brand_Log!B100="","",Brand_Log!B100&amp;""))</f>
        <v/>
      </c>
      <c r="F1300" s="23" t="str">
        <f aca="false">IF(B1300="","","budget_probe")</f>
        <v/>
      </c>
      <c r="G1300" s="23" t="str">
        <f aca="false">IF(B1300="","",IF(ISNUMBER(Brand_Log!V100),Brand_Log!V100,""))</f>
        <v/>
      </c>
      <c r="H1300" s="23" t="str">
        <f aca="false">IF(B1300="","",IF(Brand_Log!W100="","",Brand_Log!W100&amp;""))</f>
        <v/>
      </c>
      <c r="I1300" s="23" t="str">
        <f aca="false">IF(B1300="","",IF(Brand_Log!O100="","",Brand_Log!O100&amp;""))</f>
        <v/>
      </c>
      <c r="J1300" s="23" t="str">
        <f aca="false">IF(B1300="","","after_1500")</f>
        <v/>
      </c>
      <c r="K1300" s="32" t="s">
        <v>1358</v>
      </c>
    </row>
    <row r="1301" customFormat="false" ht="15" hidden="false" customHeight="false" outlineLevel="0" collapsed="false">
      <c r="A1301" s="23" t="str">
        <f aca="false">IF(B1301="","",B1301+(7*1000+100)/10000000)</f>
        <v/>
      </c>
      <c r="B1301" s="35" t="str">
        <f aca="false">IF(AND(Brand_Log!AY101=1,Brand_Log!U101="Y",OR(ISNUMBER(Brand_Log!V101),TRIM(Brand_Log!W101)&lt;&gt;"")),Brand_Log!H101,"")</f>
        <v/>
      </c>
      <c r="C1301" s="23" t="str">
        <f aca="false">IF(B1301="","","brand")</f>
        <v/>
      </c>
      <c r="D1301" s="23" t="str">
        <f aca="false">IF(B1301="","",Brand_Log!DV101&amp;"")</f>
        <v/>
      </c>
      <c r="E1301" s="23" t="str">
        <f aca="false">IF(B1301="","",IF(Brand_Log!B101="","",Brand_Log!B101&amp;""))</f>
        <v/>
      </c>
      <c r="F1301" s="23" t="str">
        <f aca="false">IF(B1301="","","budget_probe")</f>
        <v/>
      </c>
      <c r="G1301" s="23" t="str">
        <f aca="false">IF(B1301="","",IF(ISNUMBER(Brand_Log!V101),Brand_Log!V101,""))</f>
        <v/>
      </c>
      <c r="H1301" s="23" t="str">
        <f aca="false">IF(B1301="","",IF(Brand_Log!W101="","",Brand_Log!W101&amp;""))</f>
        <v/>
      </c>
      <c r="I1301" s="23" t="str">
        <f aca="false">IF(B1301="","",IF(Brand_Log!O101="","",Brand_Log!O101&amp;""))</f>
        <v/>
      </c>
      <c r="J1301" s="23" t="str">
        <f aca="false">IF(B1301="","","after_1500")</f>
        <v/>
      </c>
      <c r="K1301" s="32" t="s">
        <v>1358</v>
      </c>
    </row>
    <row r="1302" customFormat="false" ht="15" hidden="false" customHeight="false" outlineLevel="0" collapsed="false">
      <c r="A1302" s="23" t="str">
        <f aca="false">IF(B1302="","",B1302+(7*1000+101)/10000000)</f>
        <v/>
      </c>
      <c r="B1302" s="35" t="str">
        <f aca="false">IF(AND(Brand_Log!AY102=1,Brand_Log!U102="Y",OR(ISNUMBER(Brand_Log!V102),TRIM(Brand_Log!W102)&lt;&gt;"")),Brand_Log!H102,"")</f>
        <v/>
      </c>
      <c r="C1302" s="23" t="str">
        <f aca="false">IF(B1302="","","brand")</f>
        <v/>
      </c>
      <c r="D1302" s="23" t="str">
        <f aca="false">IF(B1302="","",Brand_Log!DV102&amp;"")</f>
        <v/>
      </c>
      <c r="E1302" s="23" t="str">
        <f aca="false">IF(B1302="","",IF(Brand_Log!B102="","",Brand_Log!B102&amp;""))</f>
        <v/>
      </c>
      <c r="F1302" s="23" t="str">
        <f aca="false">IF(B1302="","","budget_probe")</f>
        <v/>
      </c>
      <c r="G1302" s="23" t="str">
        <f aca="false">IF(B1302="","",IF(ISNUMBER(Brand_Log!V102),Brand_Log!V102,""))</f>
        <v/>
      </c>
      <c r="H1302" s="23" t="str">
        <f aca="false">IF(B1302="","",IF(Brand_Log!W102="","",Brand_Log!W102&amp;""))</f>
        <v/>
      </c>
      <c r="I1302" s="23" t="str">
        <f aca="false">IF(B1302="","",IF(Brand_Log!O102="","",Brand_Log!O102&amp;""))</f>
        <v/>
      </c>
      <c r="J1302" s="23" t="str">
        <f aca="false">IF(B1302="","","after_1500")</f>
        <v/>
      </c>
      <c r="K1302" s="32" t="s">
        <v>1358</v>
      </c>
    </row>
    <row r="1303" customFormat="false" ht="15" hidden="false" customHeight="false" outlineLevel="0" collapsed="false">
      <c r="A1303" s="23" t="str">
        <f aca="false">IF(B1303="","",B1303+(7*1000+102)/10000000)</f>
        <v/>
      </c>
      <c r="B1303" s="35" t="str">
        <f aca="false">IF(AND(Brand_Log!AY103=1,Brand_Log!U103="Y",OR(ISNUMBER(Brand_Log!V103),TRIM(Brand_Log!W103)&lt;&gt;"")),Brand_Log!H103,"")</f>
        <v/>
      </c>
      <c r="C1303" s="23" t="str">
        <f aca="false">IF(B1303="","","brand")</f>
        <v/>
      </c>
      <c r="D1303" s="23" t="str">
        <f aca="false">IF(B1303="","",Brand_Log!DV103&amp;"")</f>
        <v/>
      </c>
      <c r="E1303" s="23" t="str">
        <f aca="false">IF(B1303="","",IF(Brand_Log!B103="","",Brand_Log!B103&amp;""))</f>
        <v/>
      </c>
      <c r="F1303" s="23" t="str">
        <f aca="false">IF(B1303="","","budget_probe")</f>
        <v/>
      </c>
      <c r="G1303" s="23" t="str">
        <f aca="false">IF(B1303="","",IF(ISNUMBER(Brand_Log!V103),Brand_Log!V103,""))</f>
        <v/>
      </c>
      <c r="H1303" s="23" t="str">
        <f aca="false">IF(B1303="","",IF(Brand_Log!W103="","",Brand_Log!W103&amp;""))</f>
        <v/>
      </c>
      <c r="I1303" s="23" t="str">
        <f aca="false">IF(B1303="","",IF(Brand_Log!O103="","",Brand_Log!O103&amp;""))</f>
        <v/>
      </c>
      <c r="J1303" s="23" t="str">
        <f aca="false">IF(B1303="","","after_1500")</f>
        <v/>
      </c>
      <c r="K1303" s="32" t="s">
        <v>1358</v>
      </c>
    </row>
    <row r="1304" customFormat="false" ht="15" hidden="false" customHeight="false" outlineLevel="0" collapsed="false">
      <c r="A1304" s="23" t="str">
        <f aca="false">IF(B1304="","",B1304+(7*1000+103)/10000000)</f>
        <v/>
      </c>
      <c r="B1304" s="35" t="str">
        <f aca="false">IF(AND(Brand_Log!AY104=1,Brand_Log!U104="Y",OR(ISNUMBER(Brand_Log!V104),TRIM(Brand_Log!W104)&lt;&gt;"")),Brand_Log!H104,"")</f>
        <v/>
      </c>
      <c r="C1304" s="23" t="str">
        <f aca="false">IF(B1304="","","brand")</f>
        <v/>
      </c>
      <c r="D1304" s="23" t="str">
        <f aca="false">IF(B1304="","",Brand_Log!DV104&amp;"")</f>
        <v/>
      </c>
      <c r="E1304" s="23" t="str">
        <f aca="false">IF(B1304="","",IF(Brand_Log!B104="","",Brand_Log!B104&amp;""))</f>
        <v/>
      </c>
      <c r="F1304" s="23" t="str">
        <f aca="false">IF(B1304="","","budget_probe")</f>
        <v/>
      </c>
      <c r="G1304" s="23" t="str">
        <f aca="false">IF(B1304="","",IF(ISNUMBER(Brand_Log!V104),Brand_Log!V104,""))</f>
        <v/>
      </c>
      <c r="H1304" s="23" t="str">
        <f aca="false">IF(B1304="","",IF(Brand_Log!W104="","",Brand_Log!W104&amp;""))</f>
        <v/>
      </c>
      <c r="I1304" s="23" t="str">
        <f aca="false">IF(B1304="","",IF(Brand_Log!O104="","",Brand_Log!O104&amp;""))</f>
        <v/>
      </c>
      <c r="J1304" s="23" t="str">
        <f aca="false">IF(B1304="","","after_1500")</f>
        <v/>
      </c>
      <c r="K1304" s="32" t="s">
        <v>1358</v>
      </c>
    </row>
    <row r="1305" customFormat="false" ht="15" hidden="false" customHeight="false" outlineLevel="0" collapsed="false">
      <c r="A1305" s="23" t="str">
        <f aca="false">IF(B1305="","",B1305+(7*1000+104)/10000000)</f>
        <v/>
      </c>
      <c r="B1305" s="35" t="str">
        <f aca="false">IF(AND(Brand_Log!AY105=1,Brand_Log!U105="Y",OR(ISNUMBER(Brand_Log!V105),TRIM(Brand_Log!W105)&lt;&gt;"")),Brand_Log!H105,"")</f>
        <v/>
      </c>
      <c r="C1305" s="23" t="str">
        <f aca="false">IF(B1305="","","brand")</f>
        <v/>
      </c>
      <c r="D1305" s="23" t="str">
        <f aca="false">IF(B1305="","",Brand_Log!DV105&amp;"")</f>
        <v/>
      </c>
      <c r="E1305" s="23" t="str">
        <f aca="false">IF(B1305="","",IF(Brand_Log!B105="","",Brand_Log!B105&amp;""))</f>
        <v/>
      </c>
      <c r="F1305" s="23" t="str">
        <f aca="false">IF(B1305="","","budget_probe")</f>
        <v/>
      </c>
      <c r="G1305" s="23" t="str">
        <f aca="false">IF(B1305="","",IF(ISNUMBER(Brand_Log!V105),Brand_Log!V105,""))</f>
        <v/>
      </c>
      <c r="H1305" s="23" t="str">
        <f aca="false">IF(B1305="","",IF(Brand_Log!W105="","",Brand_Log!W105&amp;""))</f>
        <v/>
      </c>
      <c r="I1305" s="23" t="str">
        <f aca="false">IF(B1305="","",IF(Brand_Log!O105="","",Brand_Log!O105&amp;""))</f>
        <v/>
      </c>
      <c r="J1305" s="23" t="str">
        <f aca="false">IF(B1305="","","after_1500")</f>
        <v/>
      </c>
      <c r="K1305" s="32" t="s">
        <v>1358</v>
      </c>
    </row>
    <row r="1306" customFormat="false" ht="15" hidden="false" customHeight="false" outlineLevel="0" collapsed="false">
      <c r="A1306" s="23" t="str">
        <f aca="false">IF(B1306="","",B1306+(7*1000+105)/10000000)</f>
        <v/>
      </c>
      <c r="B1306" s="35" t="str">
        <f aca="false">IF(AND(Brand_Log!AY106=1,Brand_Log!U106="Y",OR(ISNUMBER(Brand_Log!V106),TRIM(Brand_Log!W106)&lt;&gt;"")),Brand_Log!H106,"")</f>
        <v/>
      </c>
      <c r="C1306" s="23" t="str">
        <f aca="false">IF(B1306="","","brand")</f>
        <v/>
      </c>
      <c r="D1306" s="23" t="str">
        <f aca="false">IF(B1306="","",Brand_Log!DV106&amp;"")</f>
        <v/>
      </c>
      <c r="E1306" s="23" t="str">
        <f aca="false">IF(B1306="","",IF(Brand_Log!B106="","",Brand_Log!B106&amp;""))</f>
        <v/>
      </c>
      <c r="F1306" s="23" t="str">
        <f aca="false">IF(B1306="","","budget_probe")</f>
        <v/>
      </c>
      <c r="G1306" s="23" t="str">
        <f aca="false">IF(B1306="","",IF(ISNUMBER(Brand_Log!V106),Brand_Log!V106,""))</f>
        <v/>
      </c>
      <c r="H1306" s="23" t="str">
        <f aca="false">IF(B1306="","",IF(Brand_Log!W106="","",Brand_Log!W106&amp;""))</f>
        <v/>
      </c>
      <c r="I1306" s="23" t="str">
        <f aca="false">IF(B1306="","",IF(Brand_Log!O106="","",Brand_Log!O106&amp;""))</f>
        <v/>
      </c>
      <c r="J1306" s="23" t="str">
        <f aca="false">IF(B1306="","","after_1500")</f>
        <v/>
      </c>
      <c r="K1306" s="32" t="s">
        <v>1358</v>
      </c>
    </row>
    <row r="1307" customFormat="false" ht="15" hidden="false" customHeight="false" outlineLevel="0" collapsed="false">
      <c r="A1307" s="23" t="str">
        <f aca="false">IF(B1307="","",B1307+(7*1000+106)/10000000)</f>
        <v/>
      </c>
      <c r="B1307" s="35" t="str">
        <f aca="false">IF(AND(Brand_Log!AY107=1,Brand_Log!U107="Y",OR(ISNUMBER(Brand_Log!V107),TRIM(Brand_Log!W107)&lt;&gt;"")),Brand_Log!H107,"")</f>
        <v/>
      </c>
      <c r="C1307" s="23" t="str">
        <f aca="false">IF(B1307="","","brand")</f>
        <v/>
      </c>
      <c r="D1307" s="23" t="str">
        <f aca="false">IF(B1307="","",Brand_Log!DV107&amp;"")</f>
        <v/>
      </c>
      <c r="E1307" s="23" t="str">
        <f aca="false">IF(B1307="","",IF(Brand_Log!B107="","",Brand_Log!B107&amp;""))</f>
        <v/>
      </c>
      <c r="F1307" s="23" t="str">
        <f aca="false">IF(B1307="","","budget_probe")</f>
        <v/>
      </c>
      <c r="G1307" s="23" t="str">
        <f aca="false">IF(B1307="","",IF(ISNUMBER(Brand_Log!V107),Brand_Log!V107,""))</f>
        <v/>
      </c>
      <c r="H1307" s="23" t="str">
        <f aca="false">IF(B1307="","",IF(Brand_Log!W107="","",Brand_Log!W107&amp;""))</f>
        <v/>
      </c>
      <c r="I1307" s="23" t="str">
        <f aca="false">IF(B1307="","",IF(Brand_Log!O107="","",Brand_Log!O107&amp;""))</f>
        <v/>
      </c>
      <c r="J1307" s="23" t="str">
        <f aca="false">IF(B1307="","","after_1500")</f>
        <v/>
      </c>
      <c r="K1307" s="32" t="s">
        <v>1358</v>
      </c>
    </row>
    <row r="1308" customFormat="false" ht="15" hidden="false" customHeight="false" outlineLevel="0" collapsed="false">
      <c r="A1308" s="23" t="str">
        <f aca="false">IF(B1308="","",B1308+(7*1000+107)/10000000)</f>
        <v/>
      </c>
      <c r="B1308" s="35" t="str">
        <f aca="false">IF(AND(Brand_Log!AY108=1,Brand_Log!U108="Y",OR(ISNUMBER(Brand_Log!V108),TRIM(Brand_Log!W108)&lt;&gt;"")),Brand_Log!H108,"")</f>
        <v/>
      </c>
      <c r="C1308" s="23" t="str">
        <f aca="false">IF(B1308="","","brand")</f>
        <v/>
      </c>
      <c r="D1308" s="23" t="str">
        <f aca="false">IF(B1308="","",Brand_Log!DV108&amp;"")</f>
        <v/>
      </c>
      <c r="E1308" s="23" t="str">
        <f aca="false">IF(B1308="","",IF(Brand_Log!B108="","",Brand_Log!B108&amp;""))</f>
        <v/>
      </c>
      <c r="F1308" s="23" t="str">
        <f aca="false">IF(B1308="","","budget_probe")</f>
        <v/>
      </c>
      <c r="G1308" s="23" t="str">
        <f aca="false">IF(B1308="","",IF(ISNUMBER(Brand_Log!V108),Brand_Log!V108,""))</f>
        <v/>
      </c>
      <c r="H1308" s="23" t="str">
        <f aca="false">IF(B1308="","",IF(Brand_Log!W108="","",Brand_Log!W108&amp;""))</f>
        <v/>
      </c>
      <c r="I1308" s="23" t="str">
        <f aca="false">IF(B1308="","",IF(Brand_Log!O108="","",Brand_Log!O108&amp;""))</f>
        <v/>
      </c>
      <c r="J1308" s="23" t="str">
        <f aca="false">IF(B1308="","","after_1500")</f>
        <v/>
      </c>
      <c r="K1308" s="32" t="s">
        <v>1358</v>
      </c>
    </row>
    <row r="1309" customFormat="false" ht="15" hidden="false" customHeight="false" outlineLevel="0" collapsed="false">
      <c r="A1309" s="23" t="str">
        <f aca="false">IF(B1309="","",B1309+(7*1000+108)/10000000)</f>
        <v/>
      </c>
      <c r="B1309" s="35" t="str">
        <f aca="false">IF(AND(Brand_Log!AY109=1,Brand_Log!U109="Y",OR(ISNUMBER(Brand_Log!V109),TRIM(Brand_Log!W109)&lt;&gt;"")),Brand_Log!H109,"")</f>
        <v/>
      </c>
      <c r="C1309" s="23" t="str">
        <f aca="false">IF(B1309="","","brand")</f>
        <v/>
      </c>
      <c r="D1309" s="23" t="str">
        <f aca="false">IF(B1309="","",Brand_Log!DV109&amp;"")</f>
        <v/>
      </c>
      <c r="E1309" s="23" t="str">
        <f aca="false">IF(B1309="","",IF(Brand_Log!B109="","",Brand_Log!B109&amp;""))</f>
        <v/>
      </c>
      <c r="F1309" s="23" t="str">
        <f aca="false">IF(B1309="","","budget_probe")</f>
        <v/>
      </c>
      <c r="G1309" s="23" t="str">
        <f aca="false">IF(B1309="","",IF(ISNUMBER(Brand_Log!V109),Brand_Log!V109,""))</f>
        <v/>
      </c>
      <c r="H1309" s="23" t="str">
        <f aca="false">IF(B1309="","",IF(Brand_Log!W109="","",Brand_Log!W109&amp;""))</f>
        <v/>
      </c>
      <c r="I1309" s="23" t="str">
        <f aca="false">IF(B1309="","",IF(Brand_Log!O109="","",Brand_Log!O109&amp;""))</f>
        <v/>
      </c>
      <c r="J1309" s="23" t="str">
        <f aca="false">IF(B1309="","","after_1500")</f>
        <v/>
      </c>
      <c r="K1309" s="32" t="s">
        <v>1358</v>
      </c>
    </row>
    <row r="1310" customFormat="false" ht="15" hidden="false" customHeight="false" outlineLevel="0" collapsed="false">
      <c r="A1310" s="23" t="str">
        <f aca="false">IF(B1310="","",B1310+(7*1000+109)/10000000)</f>
        <v/>
      </c>
      <c r="B1310" s="35" t="str">
        <f aca="false">IF(AND(Brand_Log!AY110=1,Brand_Log!U110="Y",OR(ISNUMBER(Brand_Log!V110),TRIM(Brand_Log!W110)&lt;&gt;"")),Brand_Log!H110,"")</f>
        <v/>
      </c>
      <c r="C1310" s="23" t="str">
        <f aca="false">IF(B1310="","","brand")</f>
        <v/>
      </c>
      <c r="D1310" s="23" t="str">
        <f aca="false">IF(B1310="","",Brand_Log!DV110&amp;"")</f>
        <v/>
      </c>
      <c r="E1310" s="23" t="str">
        <f aca="false">IF(B1310="","",IF(Brand_Log!B110="","",Brand_Log!B110&amp;""))</f>
        <v/>
      </c>
      <c r="F1310" s="23" t="str">
        <f aca="false">IF(B1310="","","budget_probe")</f>
        <v/>
      </c>
      <c r="G1310" s="23" t="str">
        <f aca="false">IF(B1310="","",IF(ISNUMBER(Brand_Log!V110),Brand_Log!V110,""))</f>
        <v/>
      </c>
      <c r="H1310" s="23" t="str">
        <f aca="false">IF(B1310="","",IF(Brand_Log!W110="","",Brand_Log!W110&amp;""))</f>
        <v/>
      </c>
      <c r="I1310" s="23" t="str">
        <f aca="false">IF(B1310="","",IF(Brand_Log!O110="","",Brand_Log!O110&amp;""))</f>
        <v/>
      </c>
      <c r="J1310" s="23" t="str">
        <f aca="false">IF(B1310="","","after_1500")</f>
        <v/>
      </c>
      <c r="K1310" s="32" t="s">
        <v>1358</v>
      </c>
    </row>
    <row r="1311" customFormat="false" ht="15" hidden="false" customHeight="false" outlineLevel="0" collapsed="false">
      <c r="A1311" s="23" t="str">
        <f aca="false">IF(B1311="","",B1311+(7*1000+110)/10000000)</f>
        <v/>
      </c>
      <c r="B1311" s="35" t="str">
        <f aca="false">IF(AND(Brand_Log!AY111=1,Brand_Log!U111="Y",OR(ISNUMBER(Brand_Log!V111),TRIM(Brand_Log!W111)&lt;&gt;"")),Brand_Log!H111,"")</f>
        <v/>
      </c>
      <c r="C1311" s="23" t="str">
        <f aca="false">IF(B1311="","","brand")</f>
        <v/>
      </c>
      <c r="D1311" s="23" t="str">
        <f aca="false">IF(B1311="","",Brand_Log!DV111&amp;"")</f>
        <v/>
      </c>
      <c r="E1311" s="23" t="str">
        <f aca="false">IF(B1311="","",IF(Brand_Log!B111="","",Brand_Log!B111&amp;""))</f>
        <v/>
      </c>
      <c r="F1311" s="23" t="str">
        <f aca="false">IF(B1311="","","budget_probe")</f>
        <v/>
      </c>
      <c r="G1311" s="23" t="str">
        <f aca="false">IF(B1311="","",IF(ISNUMBER(Brand_Log!V111),Brand_Log!V111,""))</f>
        <v/>
      </c>
      <c r="H1311" s="23" t="str">
        <f aca="false">IF(B1311="","",IF(Brand_Log!W111="","",Brand_Log!W111&amp;""))</f>
        <v/>
      </c>
      <c r="I1311" s="23" t="str">
        <f aca="false">IF(B1311="","",IF(Brand_Log!O111="","",Brand_Log!O111&amp;""))</f>
        <v/>
      </c>
      <c r="J1311" s="23" t="str">
        <f aca="false">IF(B1311="","","after_1500")</f>
        <v/>
      </c>
      <c r="K1311" s="32" t="s">
        <v>1358</v>
      </c>
    </row>
    <row r="1312" customFormat="false" ht="15" hidden="false" customHeight="false" outlineLevel="0" collapsed="false">
      <c r="A1312" s="23" t="str">
        <f aca="false">IF(B1312="","",B1312+(7*1000+111)/10000000)</f>
        <v/>
      </c>
      <c r="B1312" s="35" t="str">
        <f aca="false">IF(AND(Brand_Log!AY112=1,Brand_Log!U112="Y",OR(ISNUMBER(Brand_Log!V112),TRIM(Brand_Log!W112)&lt;&gt;"")),Brand_Log!H112,"")</f>
        <v/>
      </c>
      <c r="C1312" s="23" t="str">
        <f aca="false">IF(B1312="","","brand")</f>
        <v/>
      </c>
      <c r="D1312" s="23" t="str">
        <f aca="false">IF(B1312="","",Brand_Log!DV112&amp;"")</f>
        <v/>
      </c>
      <c r="E1312" s="23" t="str">
        <f aca="false">IF(B1312="","",IF(Brand_Log!B112="","",Brand_Log!B112&amp;""))</f>
        <v/>
      </c>
      <c r="F1312" s="23" t="str">
        <f aca="false">IF(B1312="","","budget_probe")</f>
        <v/>
      </c>
      <c r="G1312" s="23" t="str">
        <f aca="false">IF(B1312="","",IF(ISNUMBER(Brand_Log!V112),Brand_Log!V112,""))</f>
        <v/>
      </c>
      <c r="H1312" s="23" t="str">
        <f aca="false">IF(B1312="","",IF(Brand_Log!W112="","",Brand_Log!W112&amp;""))</f>
        <v/>
      </c>
      <c r="I1312" s="23" t="str">
        <f aca="false">IF(B1312="","",IF(Brand_Log!O112="","",Brand_Log!O112&amp;""))</f>
        <v/>
      </c>
      <c r="J1312" s="23" t="str">
        <f aca="false">IF(B1312="","","after_1500")</f>
        <v/>
      </c>
      <c r="K1312" s="32" t="s">
        <v>1358</v>
      </c>
    </row>
    <row r="1313" customFormat="false" ht="15" hidden="false" customHeight="false" outlineLevel="0" collapsed="false">
      <c r="A1313" s="23" t="str">
        <f aca="false">IF(B1313="","",B1313+(7*1000+112)/10000000)</f>
        <v/>
      </c>
      <c r="B1313" s="35" t="str">
        <f aca="false">IF(AND(Brand_Log!AY113=1,Brand_Log!U113="Y",OR(ISNUMBER(Brand_Log!V113),TRIM(Brand_Log!W113)&lt;&gt;"")),Brand_Log!H113,"")</f>
        <v/>
      </c>
      <c r="C1313" s="23" t="str">
        <f aca="false">IF(B1313="","","brand")</f>
        <v/>
      </c>
      <c r="D1313" s="23" t="str">
        <f aca="false">IF(B1313="","",Brand_Log!DV113&amp;"")</f>
        <v/>
      </c>
      <c r="E1313" s="23" t="str">
        <f aca="false">IF(B1313="","",IF(Brand_Log!B113="","",Brand_Log!B113&amp;""))</f>
        <v/>
      </c>
      <c r="F1313" s="23" t="str">
        <f aca="false">IF(B1313="","","budget_probe")</f>
        <v/>
      </c>
      <c r="G1313" s="23" t="str">
        <f aca="false">IF(B1313="","",IF(ISNUMBER(Brand_Log!V113),Brand_Log!V113,""))</f>
        <v/>
      </c>
      <c r="H1313" s="23" t="str">
        <f aca="false">IF(B1313="","",IF(Brand_Log!W113="","",Brand_Log!W113&amp;""))</f>
        <v/>
      </c>
      <c r="I1313" s="23" t="str">
        <f aca="false">IF(B1313="","",IF(Brand_Log!O113="","",Brand_Log!O113&amp;""))</f>
        <v/>
      </c>
      <c r="J1313" s="23" t="str">
        <f aca="false">IF(B1313="","","after_1500")</f>
        <v/>
      </c>
      <c r="K1313" s="32" t="s">
        <v>1358</v>
      </c>
    </row>
    <row r="1314" customFormat="false" ht="15" hidden="false" customHeight="false" outlineLevel="0" collapsed="false">
      <c r="A1314" s="23" t="str">
        <f aca="false">IF(B1314="","",B1314+(7*1000+113)/10000000)</f>
        <v/>
      </c>
      <c r="B1314" s="35" t="str">
        <f aca="false">IF(AND(Brand_Log!AY114=1,Brand_Log!U114="Y",OR(ISNUMBER(Brand_Log!V114),TRIM(Brand_Log!W114)&lt;&gt;"")),Brand_Log!H114,"")</f>
        <v/>
      </c>
      <c r="C1314" s="23" t="str">
        <f aca="false">IF(B1314="","","brand")</f>
        <v/>
      </c>
      <c r="D1314" s="23" t="str">
        <f aca="false">IF(B1314="","",Brand_Log!DV114&amp;"")</f>
        <v/>
      </c>
      <c r="E1314" s="23" t="str">
        <f aca="false">IF(B1314="","",IF(Brand_Log!B114="","",Brand_Log!B114&amp;""))</f>
        <v/>
      </c>
      <c r="F1314" s="23" t="str">
        <f aca="false">IF(B1314="","","budget_probe")</f>
        <v/>
      </c>
      <c r="G1314" s="23" t="str">
        <f aca="false">IF(B1314="","",IF(ISNUMBER(Brand_Log!V114),Brand_Log!V114,""))</f>
        <v/>
      </c>
      <c r="H1314" s="23" t="str">
        <f aca="false">IF(B1314="","",IF(Brand_Log!W114="","",Brand_Log!W114&amp;""))</f>
        <v/>
      </c>
      <c r="I1314" s="23" t="str">
        <f aca="false">IF(B1314="","",IF(Brand_Log!O114="","",Brand_Log!O114&amp;""))</f>
        <v/>
      </c>
      <c r="J1314" s="23" t="str">
        <f aca="false">IF(B1314="","","after_1500")</f>
        <v/>
      </c>
      <c r="K1314" s="32" t="s">
        <v>1358</v>
      </c>
    </row>
    <row r="1315" customFormat="false" ht="15" hidden="false" customHeight="false" outlineLevel="0" collapsed="false">
      <c r="A1315" s="23" t="str">
        <f aca="false">IF(B1315="","",B1315+(7*1000+114)/10000000)</f>
        <v/>
      </c>
      <c r="B1315" s="35" t="str">
        <f aca="false">IF(AND(Brand_Log!AY115=1,Brand_Log!U115="Y",OR(ISNUMBER(Brand_Log!V115),TRIM(Brand_Log!W115)&lt;&gt;"")),Brand_Log!H115,"")</f>
        <v/>
      </c>
      <c r="C1315" s="23" t="str">
        <f aca="false">IF(B1315="","","brand")</f>
        <v/>
      </c>
      <c r="D1315" s="23" t="str">
        <f aca="false">IF(B1315="","",Brand_Log!DV115&amp;"")</f>
        <v/>
      </c>
      <c r="E1315" s="23" t="str">
        <f aca="false">IF(B1315="","",IF(Brand_Log!B115="","",Brand_Log!B115&amp;""))</f>
        <v/>
      </c>
      <c r="F1315" s="23" t="str">
        <f aca="false">IF(B1315="","","budget_probe")</f>
        <v/>
      </c>
      <c r="G1315" s="23" t="str">
        <f aca="false">IF(B1315="","",IF(ISNUMBER(Brand_Log!V115),Brand_Log!V115,""))</f>
        <v/>
      </c>
      <c r="H1315" s="23" t="str">
        <f aca="false">IF(B1315="","",IF(Brand_Log!W115="","",Brand_Log!W115&amp;""))</f>
        <v/>
      </c>
      <c r="I1315" s="23" t="str">
        <f aca="false">IF(B1315="","",IF(Brand_Log!O115="","",Brand_Log!O115&amp;""))</f>
        <v/>
      </c>
      <c r="J1315" s="23" t="str">
        <f aca="false">IF(B1315="","","after_1500")</f>
        <v/>
      </c>
      <c r="K1315" s="32" t="s">
        <v>1358</v>
      </c>
    </row>
    <row r="1316" customFormat="false" ht="15" hidden="false" customHeight="false" outlineLevel="0" collapsed="false">
      <c r="A1316" s="23" t="str">
        <f aca="false">IF(B1316="","",B1316+(7*1000+115)/10000000)</f>
        <v/>
      </c>
      <c r="B1316" s="35" t="str">
        <f aca="false">IF(AND(Brand_Log!AY116=1,Brand_Log!U116="Y",OR(ISNUMBER(Brand_Log!V116),TRIM(Brand_Log!W116)&lt;&gt;"")),Brand_Log!H116,"")</f>
        <v/>
      </c>
      <c r="C1316" s="23" t="str">
        <f aca="false">IF(B1316="","","brand")</f>
        <v/>
      </c>
      <c r="D1316" s="23" t="str">
        <f aca="false">IF(B1316="","",Brand_Log!DV116&amp;"")</f>
        <v/>
      </c>
      <c r="E1316" s="23" t="str">
        <f aca="false">IF(B1316="","",IF(Brand_Log!B116="","",Brand_Log!B116&amp;""))</f>
        <v/>
      </c>
      <c r="F1316" s="23" t="str">
        <f aca="false">IF(B1316="","","budget_probe")</f>
        <v/>
      </c>
      <c r="G1316" s="23" t="str">
        <f aca="false">IF(B1316="","",IF(ISNUMBER(Brand_Log!V116),Brand_Log!V116,""))</f>
        <v/>
      </c>
      <c r="H1316" s="23" t="str">
        <f aca="false">IF(B1316="","",IF(Brand_Log!W116="","",Brand_Log!W116&amp;""))</f>
        <v/>
      </c>
      <c r="I1316" s="23" t="str">
        <f aca="false">IF(B1316="","",IF(Brand_Log!O116="","",Brand_Log!O116&amp;""))</f>
        <v/>
      </c>
      <c r="J1316" s="23" t="str">
        <f aca="false">IF(B1316="","","after_1500")</f>
        <v/>
      </c>
      <c r="K1316" s="32" t="s">
        <v>1358</v>
      </c>
    </row>
    <row r="1317" customFormat="false" ht="15" hidden="false" customHeight="false" outlineLevel="0" collapsed="false">
      <c r="A1317" s="23" t="str">
        <f aca="false">IF(B1317="","",B1317+(7*1000+116)/10000000)</f>
        <v/>
      </c>
      <c r="B1317" s="35" t="str">
        <f aca="false">IF(AND(Brand_Log!AY117=1,Brand_Log!U117="Y",OR(ISNUMBER(Brand_Log!V117),TRIM(Brand_Log!W117)&lt;&gt;"")),Brand_Log!H117,"")</f>
        <v/>
      </c>
      <c r="C1317" s="23" t="str">
        <f aca="false">IF(B1317="","","brand")</f>
        <v/>
      </c>
      <c r="D1317" s="23" t="str">
        <f aca="false">IF(B1317="","",Brand_Log!DV117&amp;"")</f>
        <v/>
      </c>
      <c r="E1317" s="23" t="str">
        <f aca="false">IF(B1317="","",IF(Brand_Log!B117="","",Brand_Log!B117&amp;""))</f>
        <v/>
      </c>
      <c r="F1317" s="23" t="str">
        <f aca="false">IF(B1317="","","budget_probe")</f>
        <v/>
      </c>
      <c r="G1317" s="23" t="str">
        <f aca="false">IF(B1317="","",IF(ISNUMBER(Brand_Log!V117),Brand_Log!V117,""))</f>
        <v/>
      </c>
      <c r="H1317" s="23" t="str">
        <f aca="false">IF(B1317="","",IF(Brand_Log!W117="","",Brand_Log!W117&amp;""))</f>
        <v/>
      </c>
      <c r="I1317" s="23" t="str">
        <f aca="false">IF(B1317="","",IF(Brand_Log!O117="","",Brand_Log!O117&amp;""))</f>
        <v/>
      </c>
      <c r="J1317" s="23" t="str">
        <f aca="false">IF(B1317="","","after_1500")</f>
        <v/>
      </c>
      <c r="K1317" s="32" t="s">
        <v>1358</v>
      </c>
    </row>
    <row r="1318" customFormat="false" ht="15" hidden="false" customHeight="false" outlineLevel="0" collapsed="false">
      <c r="A1318" s="23" t="str">
        <f aca="false">IF(B1318="","",B1318+(7*1000+117)/10000000)</f>
        <v/>
      </c>
      <c r="B1318" s="35" t="str">
        <f aca="false">IF(AND(Brand_Log!AY118=1,Brand_Log!U118="Y",OR(ISNUMBER(Brand_Log!V118),TRIM(Brand_Log!W118)&lt;&gt;"")),Brand_Log!H118,"")</f>
        <v/>
      </c>
      <c r="C1318" s="23" t="str">
        <f aca="false">IF(B1318="","","brand")</f>
        <v/>
      </c>
      <c r="D1318" s="23" t="str">
        <f aca="false">IF(B1318="","",Brand_Log!DV118&amp;"")</f>
        <v/>
      </c>
      <c r="E1318" s="23" t="str">
        <f aca="false">IF(B1318="","",IF(Brand_Log!B118="","",Brand_Log!B118&amp;""))</f>
        <v/>
      </c>
      <c r="F1318" s="23" t="str">
        <f aca="false">IF(B1318="","","budget_probe")</f>
        <v/>
      </c>
      <c r="G1318" s="23" t="str">
        <f aca="false">IF(B1318="","",IF(ISNUMBER(Brand_Log!V118),Brand_Log!V118,""))</f>
        <v/>
      </c>
      <c r="H1318" s="23" t="str">
        <f aca="false">IF(B1318="","",IF(Brand_Log!W118="","",Brand_Log!W118&amp;""))</f>
        <v/>
      </c>
      <c r="I1318" s="23" t="str">
        <f aca="false">IF(B1318="","",IF(Brand_Log!O118="","",Brand_Log!O118&amp;""))</f>
        <v/>
      </c>
      <c r="J1318" s="23" t="str">
        <f aca="false">IF(B1318="","","after_1500")</f>
        <v/>
      </c>
      <c r="K1318" s="32" t="s">
        <v>1358</v>
      </c>
    </row>
    <row r="1319" customFormat="false" ht="15" hidden="false" customHeight="false" outlineLevel="0" collapsed="false">
      <c r="A1319" s="23" t="str">
        <f aca="false">IF(B1319="","",B1319+(7*1000+118)/10000000)</f>
        <v/>
      </c>
      <c r="B1319" s="35" t="str">
        <f aca="false">IF(AND(Brand_Log!AY119=1,Brand_Log!U119="Y",OR(ISNUMBER(Brand_Log!V119),TRIM(Brand_Log!W119)&lt;&gt;"")),Brand_Log!H119,"")</f>
        <v/>
      </c>
      <c r="C1319" s="23" t="str">
        <f aca="false">IF(B1319="","","brand")</f>
        <v/>
      </c>
      <c r="D1319" s="23" t="str">
        <f aca="false">IF(B1319="","",Brand_Log!DV119&amp;"")</f>
        <v/>
      </c>
      <c r="E1319" s="23" t="str">
        <f aca="false">IF(B1319="","",IF(Brand_Log!B119="","",Brand_Log!B119&amp;""))</f>
        <v/>
      </c>
      <c r="F1319" s="23" t="str">
        <f aca="false">IF(B1319="","","budget_probe")</f>
        <v/>
      </c>
      <c r="G1319" s="23" t="str">
        <f aca="false">IF(B1319="","",IF(ISNUMBER(Brand_Log!V119),Brand_Log!V119,""))</f>
        <v/>
      </c>
      <c r="H1319" s="23" t="str">
        <f aca="false">IF(B1319="","",IF(Brand_Log!W119="","",Brand_Log!W119&amp;""))</f>
        <v/>
      </c>
      <c r="I1319" s="23" t="str">
        <f aca="false">IF(B1319="","",IF(Brand_Log!O119="","",Brand_Log!O119&amp;""))</f>
        <v/>
      </c>
      <c r="J1319" s="23" t="str">
        <f aca="false">IF(B1319="","","after_1500")</f>
        <v/>
      </c>
      <c r="K1319" s="32" t="s">
        <v>1358</v>
      </c>
    </row>
    <row r="1320" customFormat="false" ht="15" hidden="false" customHeight="false" outlineLevel="0" collapsed="false">
      <c r="A1320" s="23" t="str">
        <f aca="false">IF(B1320="","",B1320+(7*1000+119)/10000000)</f>
        <v/>
      </c>
      <c r="B1320" s="35" t="str">
        <f aca="false">IF(AND(Brand_Log!AY120=1,Brand_Log!U120="Y",OR(ISNUMBER(Brand_Log!V120),TRIM(Brand_Log!W120)&lt;&gt;"")),Brand_Log!H120,"")</f>
        <v/>
      </c>
      <c r="C1320" s="23" t="str">
        <f aca="false">IF(B1320="","","brand")</f>
        <v/>
      </c>
      <c r="D1320" s="23" t="str">
        <f aca="false">IF(B1320="","",Brand_Log!DV120&amp;"")</f>
        <v/>
      </c>
      <c r="E1320" s="23" t="str">
        <f aca="false">IF(B1320="","",IF(Brand_Log!B120="","",Brand_Log!B120&amp;""))</f>
        <v/>
      </c>
      <c r="F1320" s="23" t="str">
        <f aca="false">IF(B1320="","","budget_probe")</f>
        <v/>
      </c>
      <c r="G1320" s="23" t="str">
        <f aca="false">IF(B1320="","",IF(ISNUMBER(Brand_Log!V120),Brand_Log!V120,""))</f>
        <v/>
      </c>
      <c r="H1320" s="23" t="str">
        <f aca="false">IF(B1320="","",IF(Brand_Log!W120="","",Brand_Log!W120&amp;""))</f>
        <v/>
      </c>
      <c r="I1320" s="23" t="str">
        <f aca="false">IF(B1320="","",IF(Brand_Log!O120="","",Brand_Log!O120&amp;""))</f>
        <v/>
      </c>
      <c r="J1320" s="23" t="str">
        <f aca="false">IF(B1320="","","after_1500")</f>
        <v/>
      </c>
      <c r="K1320" s="32" t="s">
        <v>1358</v>
      </c>
    </row>
    <row r="1321" customFormat="false" ht="15" hidden="false" customHeight="false" outlineLevel="0" collapsed="false">
      <c r="A1321" s="23" t="str">
        <f aca="false">IF(B1321="","",B1321+(7*1000+120)/10000000)</f>
        <v/>
      </c>
      <c r="B1321" s="35" t="str">
        <f aca="false">IF(AND(Brand_Log!AY121=1,Brand_Log!U121="Y",OR(ISNUMBER(Brand_Log!V121),TRIM(Brand_Log!W121)&lt;&gt;"")),Brand_Log!H121,"")</f>
        <v/>
      </c>
      <c r="C1321" s="23" t="str">
        <f aca="false">IF(B1321="","","brand")</f>
        <v/>
      </c>
      <c r="D1321" s="23" t="str">
        <f aca="false">IF(B1321="","",Brand_Log!DV121&amp;"")</f>
        <v/>
      </c>
      <c r="E1321" s="23" t="str">
        <f aca="false">IF(B1321="","",IF(Brand_Log!B121="","",Brand_Log!B121&amp;""))</f>
        <v/>
      </c>
      <c r="F1321" s="23" t="str">
        <f aca="false">IF(B1321="","","budget_probe")</f>
        <v/>
      </c>
      <c r="G1321" s="23" t="str">
        <f aca="false">IF(B1321="","",IF(ISNUMBER(Brand_Log!V121),Brand_Log!V121,""))</f>
        <v/>
      </c>
      <c r="H1321" s="23" t="str">
        <f aca="false">IF(B1321="","",IF(Brand_Log!W121="","",Brand_Log!W121&amp;""))</f>
        <v/>
      </c>
      <c r="I1321" s="23" t="str">
        <f aca="false">IF(B1321="","",IF(Brand_Log!O121="","",Brand_Log!O121&amp;""))</f>
        <v/>
      </c>
      <c r="J1321" s="23" t="str">
        <f aca="false">IF(B1321="","","after_1500")</f>
        <v/>
      </c>
      <c r="K1321" s="32" t="s">
        <v>1358</v>
      </c>
    </row>
    <row r="1322" customFormat="false" ht="15" hidden="false" customHeight="false" outlineLevel="0" collapsed="false">
      <c r="A1322" s="23" t="str">
        <f aca="false">IF(B1322="","",B1322+(7*1000+121)/10000000)</f>
        <v/>
      </c>
      <c r="B1322" s="35" t="str">
        <f aca="false">IF(AND(Brand_Log!AY122=1,Brand_Log!U122="Y",OR(ISNUMBER(Brand_Log!V122),TRIM(Brand_Log!W122)&lt;&gt;"")),Brand_Log!H122,"")</f>
        <v/>
      </c>
      <c r="C1322" s="23" t="str">
        <f aca="false">IF(B1322="","","brand")</f>
        <v/>
      </c>
      <c r="D1322" s="23" t="str">
        <f aca="false">IF(B1322="","",Brand_Log!DV122&amp;"")</f>
        <v/>
      </c>
      <c r="E1322" s="23" t="str">
        <f aca="false">IF(B1322="","",IF(Brand_Log!B122="","",Brand_Log!B122&amp;""))</f>
        <v/>
      </c>
      <c r="F1322" s="23" t="str">
        <f aca="false">IF(B1322="","","budget_probe")</f>
        <v/>
      </c>
      <c r="G1322" s="23" t="str">
        <f aca="false">IF(B1322="","",IF(ISNUMBER(Brand_Log!V122),Brand_Log!V122,""))</f>
        <v/>
      </c>
      <c r="H1322" s="23" t="str">
        <f aca="false">IF(B1322="","",IF(Brand_Log!W122="","",Brand_Log!W122&amp;""))</f>
        <v/>
      </c>
      <c r="I1322" s="23" t="str">
        <f aca="false">IF(B1322="","",IF(Brand_Log!O122="","",Brand_Log!O122&amp;""))</f>
        <v/>
      </c>
      <c r="J1322" s="23" t="str">
        <f aca="false">IF(B1322="","","after_1500")</f>
        <v/>
      </c>
      <c r="K1322" s="32" t="s">
        <v>1358</v>
      </c>
    </row>
    <row r="1323" customFormat="false" ht="15" hidden="false" customHeight="false" outlineLevel="0" collapsed="false">
      <c r="A1323" s="23" t="str">
        <f aca="false">IF(B1323="","",B1323+(7*1000+122)/10000000)</f>
        <v/>
      </c>
      <c r="B1323" s="35" t="str">
        <f aca="false">IF(AND(Brand_Log!AY123=1,Brand_Log!U123="Y",OR(ISNUMBER(Brand_Log!V123),TRIM(Brand_Log!W123)&lt;&gt;"")),Brand_Log!H123,"")</f>
        <v/>
      </c>
      <c r="C1323" s="23" t="str">
        <f aca="false">IF(B1323="","","brand")</f>
        <v/>
      </c>
      <c r="D1323" s="23" t="str">
        <f aca="false">IF(B1323="","",Brand_Log!DV123&amp;"")</f>
        <v/>
      </c>
      <c r="E1323" s="23" t="str">
        <f aca="false">IF(B1323="","",IF(Brand_Log!B123="","",Brand_Log!B123&amp;""))</f>
        <v/>
      </c>
      <c r="F1323" s="23" t="str">
        <f aca="false">IF(B1323="","","budget_probe")</f>
        <v/>
      </c>
      <c r="G1323" s="23" t="str">
        <f aca="false">IF(B1323="","",IF(ISNUMBER(Brand_Log!V123),Brand_Log!V123,""))</f>
        <v/>
      </c>
      <c r="H1323" s="23" t="str">
        <f aca="false">IF(B1323="","",IF(Brand_Log!W123="","",Brand_Log!W123&amp;""))</f>
        <v/>
      </c>
      <c r="I1323" s="23" t="str">
        <f aca="false">IF(B1323="","",IF(Brand_Log!O123="","",Brand_Log!O123&amp;""))</f>
        <v/>
      </c>
      <c r="J1323" s="23" t="str">
        <f aca="false">IF(B1323="","","after_1500")</f>
        <v/>
      </c>
      <c r="K1323" s="32" t="s">
        <v>1358</v>
      </c>
    </row>
    <row r="1324" customFormat="false" ht="15" hidden="false" customHeight="false" outlineLevel="0" collapsed="false">
      <c r="A1324" s="23" t="str">
        <f aca="false">IF(B1324="","",B1324+(7*1000+123)/10000000)</f>
        <v/>
      </c>
      <c r="B1324" s="35" t="str">
        <f aca="false">IF(AND(Brand_Log!AY124=1,Brand_Log!U124="Y",OR(ISNUMBER(Brand_Log!V124),TRIM(Brand_Log!W124)&lt;&gt;"")),Brand_Log!H124,"")</f>
        <v/>
      </c>
      <c r="C1324" s="23" t="str">
        <f aca="false">IF(B1324="","","brand")</f>
        <v/>
      </c>
      <c r="D1324" s="23" t="str">
        <f aca="false">IF(B1324="","",Brand_Log!DV124&amp;"")</f>
        <v/>
      </c>
      <c r="E1324" s="23" t="str">
        <f aca="false">IF(B1324="","",IF(Brand_Log!B124="","",Brand_Log!B124&amp;""))</f>
        <v/>
      </c>
      <c r="F1324" s="23" t="str">
        <f aca="false">IF(B1324="","","budget_probe")</f>
        <v/>
      </c>
      <c r="G1324" s="23" t="str">
        <f aca="false">IF(B1324="","",IF(ISNUMBER(Brand_Log!V124),Brand_Log!V124,""))</f>
        <v/>
      </c>
      <c r="H1324" s="23" t="str">
        <f aca="false">IF(B1324="","",IF(Brand_Log!W124="","",Brand_Log!W124&amp;""))</f>
        <v/>
      </c>
      <c r="I1324" s="23" t="str">
        <f aca="false">IF(B1324="","",IF(Brand_Log!O124="","",Brand_Log!O124&amp;""))</f>
        <v/>
      </c>
      <c r="J1324" s="23" t="str">
        <f aca="false">IF(B1324="","","after_1500")</f>
        <v/>
      </c>
      <c r="K1324" s="32" t="s">
        <v>1358</v>
      </c>
    </row>
    <row r="1325" customFormat="false" ht="15" hidden="false" customHeight="false" outlineLevel="0" collapsed="false">
      <c r="A1325" s="23" t="str">
        <f aca="false">IF(B1325="","",B1325+(7*1000+124)/10000000)</f>
        <v/>
      </c>
      <c r="B1325" s="35" t="str">
        <f aca="false">IF(AND(Brand_Log!AY125=1,Brand_Log!U125="Y",OR(ISNUMBER(Brand_Log!V125),TRIM(Brand_Log!W125)&lt;&gt;"")),Brand_Log!H125,"")</f>
        <v/>
      </c>
      <c r="C1325" s="23" t="str">
        <f aca="false">IF(B1325="","","brand")</f>
        <v/>
      </c>
      <c r="D1325" s="23" t="str">
        <f aca="false">IF(B1325="","",Brand_Log!DV125&amp;"")</f>
        <v/>
      </c>
      <c r="E1325" s="23" t="str">
        <f aca="false">IF(B1325="","",IF(Brand_Log!B125="","",Brand_Log!B125&amp;""))</f>
        <v/>
      </c>
      <c r="F1325" s="23" t="str">
        <f aca="false">IF(B1325="","","budget_probe")</f>
        <v/>
      </c>
      <c r="G1325" s="23" t="str">
        <f aca="false">IF(B1325="","",IF(ISNUMBER(Brand_Log!V125),Brand_Log!V125,""))</f>
        <v/>
      </c>
      <c r="H1325" s="23" t="str">
        <f aca="false">IF(B1325="","",IF(Brand_Log!W125="","",Brand_Log!W125&amp;""))</f>
        <v/>
      </c>
      <c r="I1325" s="23" t="str">
        <f aca="false">IF(B1325="","",IF(Brand_Log!O125="","",Brand_Log!O125&amp;""))</f>
        <v/>
      </c>
      <c r="J1325" s="23" t="str">
        <f aca="false">IF(B1325="","","after_1500")</f>
        <v/>
      </c>
      <c r="K1325" s="32" t="s">
        <v>1358</v>
      </c>
    </row>
    <row r="1326" customFormat="false" ht="15" hidden="false" customHeight="false" outlineLevel="0" collapsed="false">
      <c r="A1326" s="23" t="str">
        <f aca="false">IF(B1326="","",B1326+(7*1000+125)/10000000)</f>
        <v/>
      </c>
      <c r="B1326" s="35" t="str">
        <f aca="false">IF(AND(Brand_Log!AY126=1,Brand_Log!U126="Y",OR(ISNUMBER(Brand_Log!V126),TRIM(Brand_Log!W126)&lt;&gt;"")),Brand_Log!H126,"")</f>
        <v/>
      </c>
      <c r="C1326" s="23" t="str">
        <f aca="false">IF(B1326="","","brand")</f>
        <v/>
      </c>
      <c r="D1326" s="23" t="str">
        <f aca="false">IF(B1326="","",Brand_Log!DV126&amp;"")</f>
        <v/>
      </c>
      <c r="E1326" s="23" t="str">
        <f aca="false">IF(B1326="","",IF(Brand_Log!B126="","",Brand_Log!B126&amp;""))</f>
        <v/>
      </c>
      <c r="F1326" s="23" t="str">
        <f aca="false">IF(B1326="","","budget_probe")</f>
        <v/>
      </c>
      <c r="G1326" s="23" t="str">
        <f aca="false">IF(B1326="","",IF(ISNUMBER(Brand_Log!V126),Brand_Log!V126,""))</f>
        <v/>
      </c>
      <c r="H1326" s="23" t="str">
        <f aca="false">IF(B1326="","",IF(Brand_Log!W126="","",Brand_Log!W126&amp;""))</f>
        <v/>
      </c>
      <c r="I1326" s="23" t="str">
        <f aca="false">IF(B1326="","",IF(Brand_Log!O126="","",Brand_Log!O126&amp;""))</f>
        <v/>
      </c>
      <c r="J1326" s="23" t="str">
        <f aca="false">IF(B1326="","","after_1500")</f>
        <v/>
      </c>
      <c r="K1326" s="32" t="s">
        <v>1358</v>
      </c>
    </row>
    <row r="1327" customFormat="false" ht="15" hidden="false" customHeight="false" outlineLevel="0" collapsed="false">
      <c r="A1327" s="23" t="str">
        <f aca="false">IF(B1327="","",B1327+(7*1000+126)/10000000)</f>
        <v/>
      </c>
      <c r="B1327" s="35" t="str">
        <f aca="false">IF(AND(Brand_Log!AY127=1,Brand_Log!U127="Y",OR(ISNUMBER(Brand_Log!V127),TRIM(Brand_Log!W127)&lt;&gt;"")),Brand_Log!H127,"")</f>
        <v/>
      </c>
      <c r="C1327" s="23" t="str">
        <f aca="false">IF(B1327="","","brand")</f>
        <v/>
      </c>
      <c r="D1327" s="23" t="str">
        <f aca="false">IF(B1327="","",Brand_Log!DV127&amp;"")</f>
        <v/>
      </c>
      <c r="E1327" s="23" t="str">
        <f aca="false">IF(B1327="","",IF(Brand_Log!B127="","",Brand_Log!B127&amp;""))</f>
        <v/>
      </c>
      <c r="F1327" s="23" t="str">
        <f aca="false">IF(B1327="","","budget_probe")</f>
        <v/>
      </c>
      <c r="G1327" s="23" t="str">
        <f aca="false">IF(B1327="","",IF(ISNUMBER(Brand_Log!V127),Brand_Log!V127,""))</f>
        <v/>
      </c>
      <c r="H1327" s="23" t="str">
        <f aca="false">IF(B1327="","",IF(Brand_Log!W127="","",Brand_Log!W127&amp;""))</f>
        <v/>
      </c>
      <c r="I1327" s="23" t="str">
        <f aca="false">IF(B1327="","",IF(Brand_Log!O127="","",Brand_Log!O127&amp;""))</f>
        <v/>
      </c>
      <c r="J1327" s="23" t="str">
        <f aca="false">IF(B1327="","","after_1500")</f>
        <v/>
      </c>
      <c r="K1327" s="32" t="s">
        <v>1358</v>
      </c>
    </row>
    <row r="1328" customFormat="false" ht="15" hidden="false" customHeight="false" outlineLevel="0" collapsed="false">
      <c r="A1328" s="23" t="str">
        <f aca="false">IF(B1328="","",B1328+(7*1000+127)/10000000)</f>
        <v/>
      </c>
      <c r="B1328" s="35" t="str">
        <f aca="false">IF(AND(Brand_Log!AY128=1,Brand_Log!U128="Y",OR(ISNUMBER(Brand_Log!V128),TRIM(Brand_Log!W128)&lt;&gt;"")),Brand_Log!H128,"")</f>
        <v/>
      </c>
      <c r="C1328" s="23" t="str">
        <f aca="false">IF(B1328="","","brand")</f>
        <v/>
      </c>
      <c r="D1328" s="23" t="str">
        <f aca="false">IF(B1328="","",Brand_Log!DV128&amp;"")</f>
        <v/>
      </c>
      <c r="E1328" s="23" t="str">
        <f aca="false">IF(B1328="","",IF(Brand_Log!B128="","",Brand_Log!B128&amp;""))</f>
        <v/>
      </c>
      <c r="F1328" s="23" t="str">
        <f aca="false">IF(B1328="","","budget_probe")</f>
        <v/>
      </c>
      <c r="G1328" s="23" t="str">
        <f aca="false">IF(B1328="","",IF(ISNUMBER(Brand_Log!V128),Brand_Log!V128,""))</f>
        <v/>
      </c>
      <c r="H1328" s="23" t="str">
        <f aca="false">IF(B1328="","",IF(Brand_Log!W128="","",Brand_Log!W128&amp;""))</f>
        <v/>
      </c>
      <c r="I1328" s="23" t="str">
        <f aca="false">IF(B1328="","",IF(Brand_Log!O128="","",Brand_Log!O128&amp;""))</f>
        <v/>
      </c>
      <c r="J1328" s="23" t="str">
        <f aca="false">IF(B1328="","","after_1500")</f>
        <v/>
      </c>
      <c r="K1328" s="32" t="s">
        <v>1358</v>
      </c>
    </row>
    <row r="1329" customFormat="false" ht="15" hidden="false" customHeight="false" outlineLevel="0" collapsed="false">
      <c r="A1329" s="23" t="str">
        <f aca="false">IF(B1329="","",B1329+(7*1000+128)/10000000)</f>
        <v/>
      </c>
      <c r="B1329" s="35" t="str">
        <f aca="false">IF(AND(Brand_Log!AY129=1,Brand_Log!U129="Y",OR(ISNUMBER(Brand_Log!V129),TRIM(Brand_Log!W129)&lt;&gt;"")),Brand_Log!H129,"")</f>
        <v/>
      </c>
      <c r="C1329" s="23" t="str">
        <f aca="false">IF(B1329="","","brand")</f>
        <v/>
      </c>
      <c r="D1329" s="23" t="str">
        <f aca="false">IF(B1329="","",Brand_Log!DV129&amp;"")</f>
        <v/>
      </c>
      <c r="E1329" s="23" t="str">
        <f aca="false">IF(B1329="","",IF(Brand_Log!B129="","",Brand_Log!B129&amp;""))</f>
        <v/>
      </c>
      <c r="F1329" s="23" t="str">
        <f aca="false">IF(B1329="","","budget_probe")</f>
        <v/>
      </c>
      <c r="G1329" s="23" t="str">
        <f aca="false">IF(B1329="","",IF(ISNUMBER(Brand_Log!V129),Brand_Log!V129,""))</f>
        <v/>
      </c>
      <c r="H1329" s="23" t="str">
        <f aca="false">IF(B1329="","",IF(Brand_Log!W129="","",Brand_Log!W129&amp;""))</f>
        <v/>
      </c>
      <c r="I1329" s="23" t="str">
        <f aca="false">IF(B1329="","",IF(Brand_Log!O129="","",Brand_Log!O129&amp;""))</f>
        <v/>
      </c>
      <c r="J1329" s="23" t="str">
        <f aca="false">IF(B1329="","","after_1500")</f>
        <v/>
      </c>
      <c r="K1329" s="32" t="s">
        <v>1358</v>
      </c>
    </row>
    <row r="1330" customFormat="false" ht="15" hidden="false" customHeight="false" outlineLevel="0" collapsed="false">
      <c r="A1330" s="23" t="str">
        <f aca="false">IF(B1330="","",B1330+(7*1000+129)/10000000)</f>
        <v/>
      </c>
      <c r="B1330" s="35" t="str">
        <f aca="false">IF(AND(Brand_Log!AY130=1,Brand_Log!U130="Y",OR(ISNUMBER(Brand_Log!V130),TRIM(Brand_Log!W130)&lt;&gt;"")),Brand_Log!H130,"")</f>
        <v/>
      </c>
      <c r="C1330" s="23" t="str">
        <f aca="false">IF(B1330="","","brand")</f>
        <v/>
      </c>
      <c r="D1330" s="23" t="str">
        <f aca="false">IF(B1330="","",Brand_Log!DV130&amp;"")</f>
        <v/>
      </c>
      <c r="E1330" s="23" t="str">
        <f aca="false">IF(B1330="","",IF(Brand_Log!B130="","",Brand_Log!B130&amp;""))</f>
        <v/>
      </c>
      <c r="F1330" s="23" t="str">
        <f aca="false">IF(B1330="","","budget_probe")</f>
        <v/>
      </c>
      <c r="G1330" s="23" t="str">
        <f aca="false">IF(B1330="","",IF(ISNUMBER(Brand_Log!V130),Brand_Log!V130,""))</f>
        <v/>
      </c>
      <c r="H1330" s="23" t="str">
        <f aca="false">IF(B1330="","",IF(Brand_Log!W130="","",Brand_Log!W130&amp;""))</f>
        <v/>
      </c>
      <c r="I1330" s="23" t="str">
        <f aca="false">IF(B1330="","",IF(Brand_Log!O130="","",Brand_Log!O130&amp;""))</f>
        <v/>
      </c>
      <c r="J1330" s="23" t="str">
        <f aca="false">IF(B1330="","","after_1500")</f>
        <v/>
      </c>
      <c r="K1330" s="32" t="s">
        <v>1358</v>
      </c>
    </row>
    <row r="1331" customFormat="false" ht="15" hidden="false" customHeight="false" outlineLevel="0" collapsed="false">
      <c r="A1331" s="23" t="str">
        <f aca="false">IF(B1331="","",B1331+(7*1000+130)/10000000)</f>
        <v/>
      </c>
      <c r="B1331" s="35" t="str">
        <f aca="false">IF(AND(Brand_Log!AY131=1,Brand_Log!U131="Y",OR(ISNUMBER(Brand_Log!V131),TRIM(Brand_Log!W131)&lt;&gt;"")),Brand_Log!H131,"")</f>
        <v/>
      </c>
      <c r="C1331" s="23" t="str">
        <f aca="false">IF(B1331="","","brand")</f>
        <v/>
      </c>
      <c r="D1331" s="23" t="str">
        <f aca="false">IF(B1331="","",Brand_Log!DV131&amp;"")</f>
        <v/>
      </c>
      <c r="E1331" s="23" t="str">
        <f aca="false">IF(B1331="","",IF(Brand_Log!B131="","",Brand_Log!B131&amp;""))</f>
        <v/>
      </c>
      <c r="F1331" s="23" t="str">
        <f aca="false">IF(B1331="","","budget_probe")</f>
        <v/>
      </c>
      <c r="G1331" s="23" t="str">
        <f aca="false">IF(B1331="","",IF(ISNUMBER(Brand_Log!V131),Brand_Log!V131,""))</f>
        <v/>
      </c>
      <c r="H1331" s="23" t="str">
        <f aca="false">IF(B1331="","",IF(Brand_Log!W131="","",Brand_Log!W131&amp;""))</f>
        <v/>
      </c>
      <c r="I1331" s="23" t="str">
        <f aca="false">IF(B1331="","",IF(Brand_Log!O131="","",Brand_Log!O131&amp;""))</f>
        <v/>
      </c>
      <c r="J1331" s="23" t="str">
        <f aca="false">IF(B1331="","","after_1500")</f>
        <v/>
      </c>
      <c r="K1331" s="32" t="s">
        <v>1358</v>
      </c>
    </row>
    <row r="1332" customFormat="false" ht="15" hidden="false" customHeight="false" outlineLevel="0" collapsed="false">
      <c r="A1332" s="23" t="str">
        <f aca="false">IF(B1332="","",B1332+(7*1000+131)/10000000)</f>
        <v/>
      </c>
      <c r="B1332" s="35" t="str">
        <f aca="false">IF(AND(Brand_Log!AY132=1,Brand_Log!U132="Y",OR(ISNUMBER(Brand_Log!V132),TRIM(Brand_Log!W132)&lt;&gt;"")),Brand_Log!H132,"")</f>
        <v/>
      </c>
      <c r="C1332" s="23" t="str">
        <f aca="false">IF(B1332="","","brand")</f>
        <v/>
      </c>
      <c r="D1332" s="23" t="str">
        <f aca="false">IF(B1332="","",Brand_Log!DV132&amp;"")</f>
        <v/>
      </c>
      <c r="E1332" s="23" t="str">
        <f aca="false">IF(B1332="","",IF(Brand_Log!B132="","",Brand_Log!B132&amp;""))</f>
        <v/>
      </c>
      <c r="F1332" s="23" t="str">
        <f aca="false">IF(B1332="","","budget_probe")</f>
        <v/>
      </c>
      <c r="G1332" s="23" t="str">
        <f aca="false">IF(B1332="","",IF(ISNUMBER(Brand_Log!V132),Brand_Log!V132,""))</f>
        <v/>
      </c>
      <c r="H1332" s="23" t="str">
        <f aca="false">IF(B1332="","",IF(Brand_Log!W132="","",Brand_Log!W132&amp;""))</f>
        <v/>
      </c>
      <c r="I1332" s="23" t="str">
        <f aca="false">IF(B1332="","",IF(Brand_Log!O132="","",Brand_Log!O132&amp;""))</f>
        <v/>
      </c>
      <c r="J1332" s="23" t="str">
        <f aca="false">IF(B1332="","","after_1500")</f>
        <v/>
      </c>
      <c r="K1332" s="32" t="s">
        <v>1358</v>
      </c>
    </row>
    <row r="1333" customFormat="false" ht="15" hidden="false" customHeight="false" outlineLevel="0" collapsed="false">
      <c r="A1333" s="23" t="str">
        <f aca="false">IF(B1333="","",B1333+(7*1000+132)/10000000)</f>
        <v/>
      </c>
      <c r="B1333" s="35" t="str">
        <f aca="false">IF(AND(Brand_Log!AY133=1,Brand_Log!U133="Y",OR(ISNUMBER(Brand_Log!V133),TRIM(Brand_Log!W133)&lt;&gt;"")),Brand_Log!H133,"")</f>
        <v/>
      </c>
      <c r="C1333" s="23" t="str">
        <f aca="false">IF(B1333="","","brand")</f>
        <v/>
      </c>
      <c r="D1333" s="23" t="str">
        <f aca="false">IF(B1333="","",Brand_Log!DV133&amp;"")</f>
        <v/>
      </c>
      <c r="E1333" s="23" t="str">
        <f aca="false">IF(B1333="","",IF(Brand_Log!B133="","",Brand_Log!B133&amp;""))</f>
        <v/>
      </c>
      <c r="F1333" s="23" t="str">
        <f aca="false">IF(B1333="","","budget_probe")</f>
        <v/>
      </c>
      <c r="G1333" s="23" t="str">
        <f aca="false">IF(B1333="","",IF(ISNUMBER(Brand_Log!V133),Brand_Log!V133,""))</f>
        <v/>
      </c>
      <c r="H1333" s="23" t="str">
        <f aca="false">IF(B1333="","",IF(Brand_Log!W133="","",Brand_Log!W133&amp;""))</f>
        <v/>
      </c>
      <c r="I1333" s="23" t="str">
        <f aca="false">IF(B1333="","",IF(Brand_Log!O133="","",Brand_Log!O133&amp;""))</f>
        <v/>
      </c>
      <c r="J1333" s="23" t="str">
        <f aca="false">IF(B1333="","","after_1500")</f>
        <v/>
      </c>
      <c r="K1333" s="32" t="s">
        <v>1358</v>
      </c>
    </row>
    <row r="1334" customFormat="false" ht="15" hidden="false" customHeight="false" outlineLevel="0" collapsed="false">
      <c r="A1334" s="23" t="str">
        <f aca="false">IF(B1334="","",B1334+(7*1000+133)/10000000)</f>
        <v/>
      </c>
      <c r="B1334" s="35" t="str">
        <f aca="false">IF(AND(Brand_Log!AY134=1,Brand_Log!U134="Y",OR(ISNUMBER(Brand_Log!V134),TRIM(Brand_Log!W134)&lt;&gt;"")),Brand_Log!H134,"")</f>
        <v/>
      </c>
      <c r="C1334" s="23" t="str">
        <f aca="false">IF(B1334="","","brand")</f>
        <v/>
      </c>
      <c r="D1334" s="23" t="str">
        <f aca="false">IF(B1334="","",Brand_Log!DV134&amp;"")</f>
        <v/>
      </c>
      <c r="E1334" s="23" t="str">
        <f aca="false">IF(B1334="","",IF(Brand_Log!B134="","",Brand_Log!B134&amp;""))</f>
        <v/>
      </c>
      <c r="F1334" s="23" t="str">
        <f aca="false">IF(B1334="","","budget_probe")</f>
        <v/>
      </c>
      <c r="G1334" s="23" t="str">
        <f aca="false">IF(B1334="","",IF(ISNUMBER(Brand_Log!V134),Brand_Log!V134,""))</f>
        <v/>
      </c>
      <c r="H1334" s="23" t="str">
        <f aca="false">IF(B1334="","",IF(Brand_Log!W134="","",Brand_Log!W134&amp;""))</f>
        <v/>
      </c>
      <c r="I1334" s="23" t="str">
        <f aca="false">IF(B1334="","",IF(Brand_Log!O134="","",Brand_Log!O134&amp;""))</f>
        <v/>
      </c>
      <c r="J1334" s="23" t="str">
        <f aca="false">IF(B1334="","","after_1500")</f>
        <v/>
      </c>
      <c r="K1334" s="32" t="s">
        <v>1358</v>
      </c>
    </row>
    <row r="1335" customFormat="false" ht="15" hidden="false" customHeight="false" outlineLevel="0" collapsed="false">
      <c r="A1335" s="23" t="str">
        <f aca="false">IF(B1335="","",B1335+(7*1000+134)/10000000)</f>
        <v/>
      </c>
      <c r="B1335" s="35" t="str">
        <f aca="false">IF(AND(Brand_Log!AY135=1,Brand_Log!U135="Y",OR(ISNUMBER(Brand_Log!V135),TRIM(Brand_Log!W135)&lt;&gt;"")),Brand_Log!H135,"")</f>
        <v/>
      </c>
      <c r="C1335" s="23" t="str">
        <f aca="false">IF(B1335="","","brand")</f>
        <v/>
      </c>
      <c r="D1335" s="23" t="str">
        <f aca="false">IF(B1335="","",Brand_Log!DV135&amp;"")</f>
        <v/>
      </c>
      <c r="E1335" s="23" t="str">
        <f aca="false">IF(B1335="","",IF(Brand_Log!B135="","",Brand_Log!B135&amp;""))</f>
        <v/>
      </c>
      <c r="F1335" s="23" t="str">
        <f aca="false">IF(B1335="","","budget_probe")</f>
        <v/>
      </c>
      <c r="G1335" s="23" t="str">
        <f aca="false">IF(B1335="","",IF(ISNUMBER(Brand_Log!V135),Brand_Log!V135,""))</f>
        <v/>
      </c>
      <c r="H1335" s="23" t="str">
        <f aca="false">IF(B1335="","",IF(Brand_Log!W135="","",Brand_Log!W135&amp;""))</f>
        <v/>
      </c>
      <c r="I1335" s="23" t="str">
        <f aca="false">IF(B1335="","",IF(Brand_Log!O135="","",Brand_Log!O135&amp;""))</f>
        <v/>
      </c>
      <c r="J1335" s="23" t="str">
        <f aca="false">IF(B1335="","","after_1500")</f>
        <v/>
      </c>
      <c r="K1335" s="32" t="s">
        <v>1358</v>
      </c>
    </row>
    <row r="1336" customFormat="false" ht="15" hidden="false" customHeight="false" outlineLevel="0" collapsed="false">
      <c r="A1336" s="23" t="str">
        <f aca="false">IF(B1336="","",B1336+(7*1000+135)/10000000)</f>
        <v/>
      </c>
      <c r="B1336" s="35" t="str">
        <f aca="false">IF(AND(Brand_Log!AY136=1,Brand_Log!U136="Y",OR(ISNUMBER(Brand_Log!V136),TRIM(Brand_Log!W136)&lt;&gt;"")),Brand_Log!H136,"")</f>
        <v/>
      </c>
      <c r="C1336" s="23" t="str">
        <f aca="false">IF(B1336="","","brand")</f>
        <v/>
      </c>
      <c r="D1336" s="23" t="str">
        <f aca="false">IF(B1336="","",Brand_Log!DV136&amp;"")</f>
        <v/>
      </c>
      <c r="E1336" s="23" t="str">
        <f aca="false">IF(B1336="","",IF(Brand_Log!B136="","",Brand_Log!B136&amp;""))</f>
        <v/>
      </c>
      <c r="F1336" s="23" t="str">
        <f aca="false">IF(B1336="","","budget_probe")</f>
        <v/>
      </c>
      <c r="G1336" s="23" t="str">
        <f aca="false">IF(B1336="","",IF(ISNUMBER(Brand_Log!V136),Brand_Log!V136,""))</f>
        <v/>
      </c>
      <c r="H1336" s="23" t="str">
        <f aca="false">IF(B1336="","",IF(Brand_Log!W136="","",Brand_Log!W136&amp;""))</f>
        <v/>
      </c>
      <c r="I1336" s="23" t="str">
        <f aca="false">IF(B1336="","",IF(Brand_Log!O136="","",Brand_Log!O136&amp;""))</f>
        <v/>
      </c>
      <c r="J1336" s="23" t="str">
        <f aca="false">IF(B1336="","","after_1500")</f>
        <v/>
      </c>
      <c r="K1336" s="32" t="s">
        <v>1358</v>
      </c>
    </row>
    <row r="1337" customFormat="false" ht="15" hidden="false" customHeight="false" outlineLevel="0" collapsed="false">
      <c r="A1337" s="23" t="str">
        <f aca="false">IF(B1337="","",B1337+(7*1000+136)/10000000)</f>
        <v/>
      </c>
      <c r="B1337" s="35" t="str">
        <f aca="false">IF(AND(Brand_Log!AY137=1,Brand_Log!U137="Y",OR(ISNUMBER(Brand_Log!V137),TRIM(Brand_Log!W137)&lt;&gt;"")),Brand_Log!H137,"")</f>
        <v/>
      </c>
      <c r="C1337" s="23" t="str">
        <f aca="false">IF(B1337="","","brand")</f>
        <v/>
      </c>
      <c r="D1337" s="23" t="str">
        <f aca="false">IF(B1337="","",Brand_Log!DV137&amp;"")</f>
        <v/>
      </c>
      <c r="E1337" s="23" t="str">
        <f aca="false">IF(B1337="","",IF(Brand_Log!B137="","",Brand_Log!B137&amp;""))</f>
        <v/>
      </c>
      <c r="F1337" s="23" t="str">
        <f aca="false">IF(B1337="","","budget_probe")</f>
        <v/>
      </c>
      <c r="G1337" s="23" t="str">
        <f aca="false">IF(B1337="","",IF(ISNUMBER(Brand_Log!V137),Brand_Log!V137,""))</f>
        <v/>
      </c>
      <c r="H1337" s="23" t="str">
        <f aca="false">IF(B1337="","",IF(Brand_Log!W137="","",Brand_Log!W137&amp;""))</f>
        <v/>
      </c>
      <c r="I1337" s="23" t="str">
        <f aca="false">IF(B1337="","",IF(Brand_Log!O137="","",Brand_Log!O137&amp;""))</f>
        <v/>
      </c>
      <c r="J1337" s="23" t="str">
        <f aca="false">IF(B1337="","","after_1500")</f>
        <v/>
      </c>
      <c r="K1337" s="32" t="s">
        <v>1358</v>
      </c>
    </row>
    <row r="1338" customFormat="false" ht="15" hidden="false" customHeight="false" outlineLevel="0" collapsed="false">
      <c r="A1338" s="23" t="str">
        <f aca="false">IF(B1338="","",B1338+(7*1000+137)/10000000)</f>
        <v/>
      </c>
      <c r="B1338" s="35" t="str">
        <f aca="false">IF(AND(Brand_Log!AY138=1,Brand_Log!U138="Y",OR(ISNUMBER(Brand_Log!V138),TRIM(Brand_Log!W138)&lt;&gt;"")),Brand_Log!H138,"")</f>
        <v/>
      </c>
      <c r="C1338" s="23" t="str">
        <f aca="false">IF(B1338="","","brand")</f>
        <v/>
      </c>
      <c r="D1338" s="23" t="str">
        <f aca="false">IF(B1338="","",Brand_Log!DV138&amp;"")</f>
        <v/>
      </c>
      <c r="E1338" s="23" t="str">
        <f aca="false">IF(B1338="","",IF(Brand_Log!B138="","",Brand_Log!B138&amp;""))</f>
        <v/>
      </c>
      <c r="F1338" s="23" t="str">
        <f aca="false">IF(B1338="","","budget_probe")</f>
        <v/>
      </c>
      <c r="G1338" s="23" t="str">
        <f aca="false">IF(B1338="","",IF(ISNUMBER(Brand_Log!V138),Brand_Log!V138,""))</f>
        <v/>
      </c>
      <c r="H1338" s="23" t="str">
        <f aca="false">IF(B1338="","",IF(Brand_Log!W138="","",Brand_Log!W138&amp;""))</f>
        <v/>
      </c>
      <c r="I1338" s="23" t="str">
        <f aca="false">IF(B1338="","",IF(Brand_Log!O138="","",Brand_Log!O138&amp;""))</f>
        <v/>
      </c>
      <c r="J1338" s="23" t="str">
        <f aca="false">IF(B1338="","","after_1500")</f>
        <v/>
      </c>
      <c r="K1338" s="32" t="s">
        <v>1358</v>
      </c>
    </row>
    <row r="1339" customFormat="false" ht="15" hidden="false" customHeight="false" outlineLevel="0" collapsed="false">
      <c r="A1339" s="23" t="str">
        <f aca="false">IF(B1339="","",B1339+(7*1000+138)/10000000)</f>
        <v/>
      </c>
      <c r="B1339" s="35" t="str">
        <f aca="false">IF(AND(Brand_Log!AY139=1,Brand_Log!U139="Y",OR(ISNUMBER(Brand_Log!V139),TRIM(Brand_Log!W139)&lt;&gt;"")),Brand_Log!H139,"")</f>
        <v/>
      </c>
      <c r="C1339" s="23" t="str">
        <f aca="false">IF(B1339="","","brand")</f>
        <v/>
      </c>
      <c r="D1339" s="23" t="str">
        <f aca="false">IF(B1339="","",Brand_Log!DV139&amp;"")</f>
        <v/>
      </c>
      <c r="E1339" s="23" t="str">
        <f aca="false">IF(B1339="","",IF(Brand_Log!B139="","",Brand_Log!B139&amp;""))</f>
        <v/>
      </c>
      <c r="F1339" s="23" t="str">
        <f aca="false">IF(B1339="","","budget_probe")</f>
        <v/>
      </c>
      <c r="G1339" s="23" t="str">
        <f aca="false">IF(B1339="","",IF(ISNUMBER(Brand_Log!V139),Brand_Log!V139,""))</f>
        <v/>
      </c>
      <c r="H1339" s="23" t="str">
        <f aca="false">IF(B1339="","",IF(Brand_Log!W139="","",Brand_Log!W139&amp;""))</f>
        <v/>
      </c>
      <c r="I1339" s="23" t="str">
        <f aca="false">IF(B1339="","",IF(Brand_Log!O139="","",Brand_Log!O139&amp;""))</f>
        <v/>
      </c>
      <c r="J1339" s="23" t="str">
        <f aca="false">IF(B1339="","","after_1500")</f>
        <v/>
      </c>
      <c r="K1339" s="32" t="s">
        <v>1358</v>
      </c>
    </row>
    <row r="1340" customFormat="false" ht="15" hidden="false" customHeight="false" outlineLevel="0" collapsed="false">
      <c r="A1340" s="23" t="str">
        <f aca="false">IF(B1340="","",B1340+(7*1000+139)/10000000)</f>
        <v/>
      </c>
      <c r="B1340" s="35" t="str">
        <f aca="false">IF(AND(Brand_Log!AY140=1,Brand_Log!U140="Y",OR(ISNUMBER(Brand_Log!V140),TRIM(Brand_Log!W140)&lt;&gt;"")),Brand_Log!H140,"")</f>
        <v/>
      </c>
      <c r="C1340" s="23" t="str">
        <f aca="false">IF(B1340="","","brand")</f>
        <v/>
      </c>
      <c r="D1340" s="23" t="str">
        <f aca="false">IF(B1340="","",Brand_Log!DV140&amp;"")</f>
        <v/>
      </c>
      <c r="E1340" s="23" t="str">
        <f aca="false">IF(B1340="","",IF(Brand_Log!B140="","",Brand_Log!B140&amp;""))</f>
        <v/>
      </c>
      <c r="F1340" s="23" t="str">
        <f aca="false">IF(B1340="","","budget_probe")</f>
        <v/>
      </c>
      <c r="G1340" s="23" t="str">
        <f aca="false">IF(B1340="","",IF(ISNUMBER(Brand_Log!V140),Brand_Log!V140,""))</f>
        <v/>
      </c>
      <c r="H1340" s="23" t="str">
        <f aca="false">IF(B1340="","",IF(Brand_Log!W140="","",Brand_Log!W140&amp;""))</f>
        <v/>
      </c>
      <c r="I1340" s="23" t="str">
        <f aca="false">IF(B1340="","",IF(Brand_Log!O140="","",Brand_Log!O140&amp;""))</f>
        <v/>
      </c>
      <c r="J1340" s="23" t="str">
        <f aca="false">IF(B1340="","","after_1500")</f>
        <v/>
      </c>
      <c r="K1340" s="32" t="s">
        <v>1358</v>
      </c>
    </row>
    <row r="1341" customFormat="false" ht="15" hidden="false" customHeight="false" outlineLevel="0" collapsed="false">
      <c r="A1341" s="23" t="str">
        <f aca="false">IF(B1341="","",B1341+(7*1000+140)/10000000)</f>
        <v/>
      </c>
      <c r="B1341" s="35" t="str">
        <f aca="false">IF(AND(Brand_Log!AY141=1,Brand_Log!U141="Y",OR(ISNUMBER(Brand_Log!V141),TRIM(Brand_Log!W141)&lt;&gt;"")),Brand_Log!H141,"")</f>
        <v/>
      </c>
      <c r="C1341" s="23" t="str">
        <f aca="false">IF(B1341="","","brand")</f>
        <v/>
      </c>
      <c r="D1341" s="23" t="str">
        <f aca="false">IF(B1341="","",Brand_Log!DV141&amp;"")</f>
        <v/>
      </c>
      <c r="E1341" s="23" t="str">
        <f aca="false">IF(B1341="","",IF(Brand_Log!B141="","",Brand_Log!B141&amp;""))</f>
        <v/>
      </c>
      <c r="F1341" s="23" t="str">
        <f aca="false">IF(B1341="","","budget_probe")</f>
        <v/>
      </c>
      <c r="G1341" s="23" t="str">
        <f aca="false">IF(B1341="","",IF(ISNUMBER(Brand_Log!V141),Brand_Log!V141,""))</f>
        <v/>
      </c>
      <c r="H1341" s="23" t="str">
        <f aca="false">IF(B1341="","",IF(Brand_Log!W141="","",Brand_Log!W141&amp;""))</f>
        <v/>
      </c>
      <c r="I1341" s="23" t="str">
        <f aca="false">IF(B1341="","",IF(Brand_Log!O141="","",Brand_Log!O141&amp;""))</f>
        <v/>
      </c>
      <c r="J1341" s="23" t="str">
        <f aca="false">IF(B1341="","","after_1500")</f>
        <v/>
      </c>
      <c r="K1341" s="32" t="s">
        <v>1358</v>
      </c>
    </row>
    <row r="1342" customFormat="false" ht="15" hidden="false" customHeight="false" outlineLevel="0" collapsed="false">
      <c r="A1342" s="23" t="str">
        <f aca="false">IF(B1342="","",B1342+(7*1000+141)/10000000)</f>
        <v/>
      </c>
      <c r="B1342" s="35" t="str">
        <f aca="false">IF(AND(Brand_Log!AY142=1,Brand_Log!U142="Y",OR(ISNUMBER(Brand_Log!V142),TRIM(Brand_Log!W142)&lt;&gt;"")),Brand_Log!H142,"")</f>
        <v/>
      </c>
      <c r="C1342" s="23" t="str">
        <f aca="false">IF(B1342="","","brand")</f>
        <v/>
      </c>
      <c r="D1342" s="23" t="str">
        <f aca="false">IF(B1342="","",Brand_Log!DV142&amp;"")</f>
        <v/>
      </c>
      <c r="E1342" s="23" t="str">
        <f aca="false">IF(B1342="","",IF(Brand_Log!B142="","",Brand_Log!B142&amp;""))</f>
        <v/>
      </c>
      <c r="F1342" s="23" t="str">
        <f aca="false">IF(B1342="","","budget_probe")</f>
        <v/>
      </c>
      <c r="G1342" s="23" t="str">
        <f aca="false">IF(B1342="","",IF(ISNUMBER(Brand_Log!V142),Brand_Log!V142,""))</f>
        <v/>
      </c>
      <c r="H1342" s="23" t="str">
        <f aca="false">IF(B1342="","",IF(Brand_Log!W142="","",Brand_Log!W142&amp;""))</f>
        <v/>
      </c>
      <c r="I1342" s="23" t="str">
        <f aca="false">IF(B1342="","",IF(Brand_Log!O142="","",Brand_Log!O142&amp;""))</f>
        <v/>
      </c>
      <c r="J1342" s="23" t="str">
        <f aca="false">IF(B1342="","","after_1500")</f>
        <v/>
      </c>
      <c r="K1342" s="32" t="s">
        <v>1358</v>
      </c>
    </row>
    <row r="1343" customFormat="false" ht="15" hidden="false" customHeight="false" outlineLevel="0" collapsed="false">
      <c r="A1343" s="23" t="str">
        <f aca="false">IF(B1343="","",B1343+(7*1000+142)/10000000)</f>
        <v/>
      </c>
      <c r="B1343" s="35" t="str">
        <f aca="false">IF(AND(Brand_Log!AY143=1,Brand_Log!U143="Y",OR(ISNUMBER(Brand_Log!V143),TRIM(Brand_Log!W143)&lt;&gt;"")),Brand_Log!H143,"")</f>
        <v/>
      </c>
      <c r="C1343" s="23" t="str">
        <f aca="false">IF(B1343="","","brand")</f>
        <v/>
      </c>
      <c r="D1343" s="23" t="str">
        <f aca="false">IF(B1343="","",Brand_Log!DV143&amp;"")</f>
        <v/>
      </c>
      <c r="E1343" s="23" t="str">
        <f aca="false">IF(B1343="","",IF(Brand_Log!B143="","",Brand_Log!B143&amp;""))</f>
        <v/>
      </c>
      <c r="F1343" s="23" t="str">
        <f aca="false">IF(B1343="","","budget_probe")</f>
        <v/>
      </c>
      <c r="G1343" s="23" t="str">
        <f aca="false">IF(B1343="","",IF(ISNUMBER(Brand_Log!V143),Brand_Log!V143,""))</f>
        <v/>
      </c>
      <c r="H1343" s="23" t="str">
        <f aca="false">IF(B1343="","",IF(Brand_Log!W143="","",Brand_Log!W143&amp;""))</f>
        <v/>
      </c>
      <c r="I1343" s="23" t="str">
        <f aca="false">IF(B1343="","",IF(Brand_Log!O143="","",Brand_Log!O143&amp;""))</f>
        <v/>
      </c>
      <c r="J1343" s="23" t="str">
        <f aca="false">IF(B1343="","","after_1500")</f>
        <v/>
      </c>
      <c r="K1343" s="32" t="s">
        <v>1358</v>
      </c>
    </row>
    <row r="1344" customFormat="false" ht="15" hidden="false" customHeight="false" outlineLevel="0" collapsed="false">
      <c r="A1344" s="23" t="str">
        <f aca="false">IF(B1344="","",B1344+(7*1000+143)/10000000)</f>
        <v/>
      </c>
      <c r="B1344" s="35" t="str">
        <f aca="false">IF(AND(Brand_Log!AY144=1,Brand_Log!U144="Y",OR(ISNUMBER(Brand_Log!V144),TRIM(Brand_Log!W144)&lt;&gt;"")),Brand_Log!H144,"")</f>
        <v/>
      </c>
      <c r="C1344" s="23" t="str">
        <f aca="false">IF(B1344="","","brand")</f>
        <v/>
      </c>
      <c r="D1344" s="23" t="str">
        <f aca="false">IF(B1344="","",Brand_Log!DV144&amp;"")</f>
        <v/>
      </c>
      <c r="E1344" s="23" t="str">
        <f aca="false">IF(B1344="","",IF(Brand_Log!B144="","",Brand_Log!B144&amp;""))</f>
        <v/>
      </c>
      <c r="F1344" s="23" t="str">
        <f aca="false">IF(B1344="","","budget_probe")</f>
        <v/>
      </c>
      <c r="G1344" s="23" t="str">
        <f aca="false">IF(B1344="","",IF(ISNUMBER(Brand_Log!V144),Brand_Log!V144,""))</f>
        <v/>
      </c>
      <c r="H1344" s="23" t="str">
        <f aca="false">IF(B1344="","",IF(Brand_Log!W144="","",Brand_Log!W144&amp;""))</f>
        <v/>
      </c>
      <c r="I1344" s="23" t="str">
        <f aca="false">IF(B1344="","",IF(Brand_Log!O144="","",Brand_Log!O144&amp;""))</f>
        <v/>
      </c>
      <c r="J1344" s="23" t="str">
        <f aca="false">IF(B1344="","","after_1500")</f>
        <v/>
      </c>
      <c r="K1344" s="32" t="s">
        <v>1358</v>
      </c>
    </row>
    <row r="1345" customFormat="false" ht="15" hidden="false" customHeight="false" outlineLevel="0" collapsed="false">
      <c r="A1345" s="23" t="str">
        <f aca="false">IF(B1345="","",B1345+(7*1000+144)/10000000)</f>
        <v/>
      </c>
      <c r="B1345" s="35" t="str">
        <f aca="false">IF(AND(Brand_Log!AY145=1,Brand_Log!U145="Y",OR(ISNUMBER(Brand_Log!V145),TRIM(Brand_Log!W145)&lt;&gt;"")),Brand_Log!H145,"")</f>
        <v/>
      </c>
      <c r="C1345" s="23" t="str">
        <f aca="false">IF(B1345="","","brand")</f>
        <v/>
      </c>
      <c r="D1345" s="23" t="str">
        <f aca="false">IF(B1345="","",Brand_Log!DV145&amp;"")</f>
        <v/>
      </c>
      <c r="E1345" s="23" t="str">
        <f aca="false">IF(B1345="","",IF(Brand_Log!B145="","",Brand_Log!B145&amp;""))</f>
        <v/>
      </c>
      <c r="F1345" s="23" t="str">
        <f aca="false">IF(B1345="","","budget_probe")</f>
        <v/>
      </c>
      <c r="G1345" s="23" t="str">
        <f aca="false">IF(B1345="","",IF(ISNUMBER(Brand_Log!V145),Brand_Log!V145,""))</f>
        <v/>
      </c>
      <c r="H1345" s="23" t="str">
        <f aca="false">IF(B1345="","",IF(Brand_Log!W145="","",Brand_Log!W145&amp;""))</f>
        <v/>
      </c>
      <c r="I1345" s="23" t="str">
        <f aca="false">IF(B1345="","",IF(Brand_Log!O145="","",Brand_Log!O145&amp;""))</f>
        <v/>
      </c>
      <c r="J1345" s="23" t="str">
        <f aca="false">IF(B1345="","","after_1500")</f>
        <v/>
      </c>
      <c r="K1345" s="32" t="s">
        <v>1358</v>
      </c>
    </row>
    <row r="1346" customFormat="false" ht="15" hidden="false" customHeight="false" outlineLevel="0" collapsed="false">
      <c r="A1346" s="23" t="str">
        <f aca="false">IF(B1346="","",B1346+(7*1000+145)/10000000)</f>
        <v/>
      </c>
      <c r="B1346" s="35" t="str">
        <f aca="false">IF(AND(Brand_Log!AY146=1,Brand_Log!U146="Y",OR(ISNUMBER(Brand_Log!V146),TRIM(Brand_Log!W146)&lt;&gt;"")),Brand_Log!H146,"")</f>
        <v/>
      </c>
      <c r="C1346" s="23" t="str">
        <f aca="false">IF(B1346="","","brand")</f>
        <v/>
      </c>
      <c r="D1346" s="23" t="str">
        <f aca="false">IF(B1346="","",Brand_Log!DV146&amp;"")</f>
        <v/>
      </c>
      <c r="E1346" s="23" t="str">
        <f aca="false">IF(B1346="","",IF(Brand_Log!B146="","",Brand_Log!B146&amp;""))</f>
        <v/>
      </c>
      <c r="F1346" s="23" t="str">
        <f aca="false">IF(B1346="","","budget_probe")</f>
        <v/>
      </c>
      <c r="G1346" s="23" t="str">
        <f aca="false">IF(B1346="","",IF(ISNUMBER(Brand_Log!V146),Brand_Log!V146,""))</f>
        <v/>
      </c>
      <c r="H1346" s="23" t="str">
        <f aca="false">IF(B1346="","",IF(Brand_Log!W146="","",Brand_Log!W146&amp;""))</f>
        <v/>
      </c>
      <c r="I1346" s="23" t="str">
        <f aca="false">IF(B1346="","",IF(Brand_Log!O146="","",Brand_Log!O146&amp;""))</f>
        <v/>
      </c>
      <c r="J1346" s="23" t="str">
        <f aca="false">IF(B1346="","","after_1500")</f>
        <v/>
      </c>
      <c r="K1346" s="32" t="s">
        <v>1358</v>
      </c>
    </row>
    <row r="1347" customFormat="false" ht="15" hidden="false" customHeight="false" outlineLevel="0" collapsed="false">
      <c r="A1347" s="23" t="str">
        <f aca="false">IF(B1347="","",B1347+(7*1000+146)/10000000)</f>
        <v/>
      </c>
      <c r="B1347" s="35" t="str">
        <f aca="false">IF(AND(Brand_Log!AY147=1,Brand_Log!U147="Y",OR(ISNUMBER(Brand_Log!V147),TRIM(Brand_Log!W147)&lt;&gt;"")),Brand_Log!H147,"")</f>
        <v/>
      </c>
      <c r="C1347" s="23" t="str">
        <f aca="false">IF(B1347="","","brand")</f>
        <v/>
      </c>
      <c r="D1347" s="23" t="str">
        <f aca="false">IF(B1347="","",Brand_Log!DV147&amp;"")</f>
        <v/>
      </c>
      <c r="E1347" s="23" t="str">
        <f aca="false">IF(B1347="","",IF(Brand_Log!B147="","",Brand_Log!B147&amp;""))</f>
        <v/>
      </c>
      <c r="F1347" s="23" t="str">
        <f aca="false">IF(B1347="","","budget_probe")</f>
        <v/>
      </c>
      <c r="G1347" s="23" t="str">
        <f aca="false">IF(B1347="","",IF(ISNUMBER(Brand_Log!V147),Brand_Log!V147,""))</f>
        <v/>
      </c>
      <c r="H1347" s="23" t="str">
        <f aca="false">IF(B1347="","",IF(Brand_Log!W147="","",Brand_Log!W147&amp;""))</f>
        <v/>
      </c>
      <c r="I1347" s="23" t="str">
        <f aca="false">IF(B1347="","",IF(Brand_Log!O147="","",Brand_Log!O147&amp;""))</f>
        <v/>
      </c>
      <c r="J1347" s="23" t="str">
        <f aca="false">IF(B1347="","","after_1500")</f>
        <v/>
      </c>
      <c r="K1347" s="32" t="s">
        <v>1358</v>
      </c>
    </row>
    <row r="1348" customFormat="false" ht="15" hidden="false" customHeight="false" outlineLevel="0" collapsed="false">
      <c r="A1348" s="23" t="str">
        <f aca="false">IF(B1348="","",B1348+(7*1000+147)/10000000)</f>
        <v/>
      </c>
      <c r="B1348" s="35" t="str">
        <f aca="false">IF(AND(Brand_Log!AY148=1,Brand_Log!U148="Y",OR(ISNUMBER(Brand_Log!V148),TRIM(Brand_Log!W148)&lt;&gt;"")),Brand_Log!H148,"")</f>
        <v/>
      </c>
      <c r="C1348" s="23" t="str">
        <f aca="false">IF(B1348="","","brand")</f>
        <v/>
      </c>
      <c r="D1348" s="23" t="str">
        <f aca="false">IF(B1348="","",Brand_Log!DV148&amp;"")</f>
        <v/>
      </c>
      <c r="E1348" s="23" t="str">
        <f aca="false">IF(B1348="","",IF(Brand_Log!B148="","",Brand_Log!B148&amp;""))</f>
        <v/>
      </c>
      <c r="F1348" s="23" t="str">
        <f aca="false">IF(B1348="","","budget_probe")</f>
        <v/>
      </c>
      <c r="G1348" s="23" t="str">
        <f aca="false">IF(B1348="","",IF(ISNUMBER(Brand_Log!V148),Brand_Log!V148,""))</f>
        <v/>
      </c>
      <c r="H1348" s="23" t="str">
        <f aca="false">IF(B1348="","",IF(Brand_Log!W148="","",Brand_Log!W148&amp;""))</f>
        <v/>
      </c>
      <c r="I1348" s="23" t="str">
        <f aca="false">IF(B1348="","",IF(Brand_Log!O148="","",Brand_Log!O148&amp;""))</f>
        <v/>
      </c>
      <c r="J1348" s="23" t="str">
        <f aca="false">IF(B1348="","","after_1500")</f>
        <v/>
      </c>
      <c r="K1348" s="32" t="s">
        <v>1358</v>
      </c>
    </row>
    <row r="1349" customFormat="false" ht="15" hidden="false" customHeight="false" outlineLevel="0" collapsed="false">
      <c r="A1349" s="23" t="str">
        <f aca="false">IF(B1349="","",B1349+(7*1000+148)/10000000)</f>
        <v/>
      </c>
      <c r="B1349" s="35" t="str">
        <f aca="false">IF(AND(Brand_Log!AY149=1,Brand_Log!U149="Y",OR(ISNUMBER(Brand_Log!V149),TRIM(Brand_Log!W149)&lt;&gt;"")),Brand_Log!H149,"")</f>
        <v/>
      </c>
      <c r="C1349" s="23" t="str">
        <f aca="false">IF(B1349="","","brand")</f>
        <v/>
      </c>
      <c r="D1349" s="23" t="str">
        <f aca="false">IF(B1349="","",Brand_Log!DV149&amp;"")</f>
        <v/>
      </c>
      <c r="E1349" s="23" t="str">
        <f aca="false">IF(B1349="","",IF(Brand_Log!B149="","",Brand_Log!B149&amp;""))</f>
        <v/>
      </c>
      <c r="F1349" s="23" t="str">
        <f aca="false">IF(B1349="","","budget_probe")</f>
        <v/>
      </c>
      <c r="G1349" s="23" t="str">
        <f aca="false">IF(B1349="","",IF(ISNUMBER(Brand_Log!V149),Brand_Log!V149,""))</f>
        <v/>
      </c>
      <c r="H1349" s="23" t="str">
        <f aca="false">IF(B1349="","",IF(Brand_Log!W149="","",Brand_Log!W149&amp;""))</f>
        <v/>
      </c>
      <c r="I1349" s="23" t="str">
        <f aca="false">IF(B1349="","",IF(Brand_Log!O149="","",Brand_Log!O149&amp;""))</f>
        <v/>
      </c>
      <c r="J1349" s="23" t="str">
        <f aca="false">IF(B1349="","","after_1500")</f>
        <v/>
      </c>
      <c r="K1349" s="32" t="s">
        <v>1358</v>
      </c>
    </row>
    <row r="1350" customFormat="false" ht="15" hidden="false" customHeight="false" outlineLevel="0" collapsed="false">
      <c r="A1350" s="23" t="str">
        <f aca="false">IF(B1350="","",B1350+(7*1000+149)/10000000)</f>
        <v/>
      </c>
      <c r="B1350" s="35" t="str">
        <f aca="false">IF(AND(Brand_Log!AY150=1,Brand_Log!U150="Y",OR(ISNUMBER(Brand_Log!V150),TRIM(Brand_Log!W150)&lt;&gt;"")),Brand_Log!H150,"")</f>
        <v/>
      </c>
      <c r="C1350" s="23" t="str">
        <f aca="false">IF(B1350="","","brand")</f>
        <v/>
      </c>
      <c r="D1350" s="23" t="str">
        <f aca="false">IF(B1350="","",Brand_Log!DV150&amp;"")</f>
        <v/>
      </c>
      <c r="E1350" s="23" t="str">
        <f aca="false">IF(B1350="","",IF(Brand_Log!B150="","",Brand_Log!B150&amp;""))</f>
        <v/>
      </c>
      <c r="F1350" s="23" t="str">
        <f aca="false">IF(B1350="","","budget_probe")</f>
        <v/>
      </c>
      <c r="G1350" s="23" t="str">
        <f aca="false">IF(B1350="","",IF(ISNUMBER(Brand_Log!V150),Brand_Log!V150,""))</f>
        <v/>
      </c>
      <c r="H1350" s="23" t="str">
        <f aca="false">IF(B1350="","",IF(Brand_Log!W150="","",Brand_Log!W150&amp;""))</f>
        <v/>
      </c>
      <c r="I1350" s="23" t="str">
        <f aca="false">IF(B1350="","",IF(Brand_Log!O150="","",Brand_Log!O150&amp;""))</f>
        <v/>
      </c>
      <c r="J1350" s="23" t="str">
        <f aca="false">IF(B1350="","","after_1500")</f>
        <v/>
      </c>
      <c r="K1350" s="32" t="s">
        <v>1358</v>
      </c>
    </row>
    <row r="1351" customFormat="false" ht="15" hidden="false" customHeight="false" outlineLevel="0" collapsed="false">
      <c r="A1351" s="23" t="str">
        <f aca="false">IF(B1351="","",B1351+(7*1000+150)/10000000)</f>
        <v/>
      </c>
      <c r="B1351" s="35" t="str">
        <f aca="false">IF(AND(Brand_Log!AY151=1,Brand_Log!U151="Y",OR(ISNUMBER(Brand_Log!V151),TRIM(Brand_Log!W151)&lt;&gt;"")),Brand_Log!H151,"")</f>
        <v/>
      </c>
      <c r="C1351" s="23" t="str">
        <f aca="false">IF(B1351="","","brand")</f>
        <v/>
      </c>
      <c r="D1351" s="23" t="str">
        <f aca="false">IF(B1351="","",Brand_Log!DV151&amp;"")</f>
        <v/>
      </c>
      <c r="E1351" s="23" t="str">
        <f aca="false">IF(B1351="","",IF(Brand_Log!B151="","",Brand_Log!B151&amp;""))</f>
        <v/>
      </c>
      <c r="F1351" s="23" t="str">
        <f aca="false">IF(B1351="","","budget_probe")</f>
        <v/>
      </c>
      <c r="G1351" s="23" t="str">
        <f aca="false">IF(B1351="","",IF(ISNUMBER(Brand_Log!V151),Brand_Log!V151,""))</f>
        <v/>
      </c>
      <c r="H1351" s="23" t="str">
        <f aca="false">IF(B1351="","",IF(Brand_Log!W151="","",Brand_Log!W151&amp;""))</f>
        <v/>
      </c>
      <c r="I1351" s="23" t="str">
        <f aca="false">IF(B1351="","",IF(Brand_Log!O151="","",Brand_Log!O151&amp;""))</f>
        <v/>
      </c>
      <c r="J1351" s="23" t="str">
        <f aca="false">IF(B1351="","","after_1500")</f>
        <v/>
      </c>
      <c r="K1351" s="32" t="s">
        <v>1358</v>
      </c>
    </row>
    <row r="1352" customFormat="false" ht="15" hidden="false" customHeight="false" outlineLevel="0" collapsed="false">
      <c r="A1352" s="23" t="str">
        <f aca="false">IF(B1352="","",B1352+(7*1000+151)/10000000)</f>
        <v/>
      </c>
      <c r="B1352" s="35" t="str">
        <f aca="false">IF(AND(Brand_Log!AY152=1,Brand_Log!U152="Y",OR(ISNUMBER(Brand_Log!V152),TRIM(Brand_Log!W152)&lt;&gt;"")),Brand_Log!H152,"")</f>
        <v/>
      </c>
      <c r="C1352" s="23" t="str">
        <f aca="false">IF(B1352="","","brand")</f>
        <v/>
      </c>
      <c r="D1352" s="23" t="str">
        <f aca="false">IF(B1352="","",Brand_Log!DV152&amp;"")</f>
        <v/>
      </c>
      <c r="E1352" s="23" t="str">
        <f aca="false">IF(B1352="","",IF(Brand_Log!B152="","",Brand_Log!B152&amp;""))</f>
        <v/>
      </c>
      <c r="F1352" s="23" t="str">
        <f aca="false">IF(B1352="","","budget_probe")</f>
        <v/>
      </c>
      <c r="G1352" s="23" t="str">
        <f aca="false">IF(B1352="","",IF(ISNUMBER(Brand_Log!V152),Brand_Log!V152,""))</f>
        <v/>
      </c>
      <c r="H1352" s="23" t="str">
        <f aca="false">IF(B1352="","",IF(Brand_Log!W152="","",Brand_Log!W152&amp;""))</f>
        <v/>
      </c>
      <c r="I1352" s="23" t="str">
        <f aca="false">IF(B1352="","",IF(Brand_Log!O152="","",Brand_Log!O152&amp;""))</f>
        <v/>
      </c>
      <c r="J1352" s="23" t="str">
        <f aca="false">IF(B1352="","","after_1500")</f>
        <v/>
      </c>
      <c r="K1352" s="32" t="s">
        <v>1358</v>
      </c>
    </row>
    <row r="1353" customFormat="false" ht="15" hidden="false" customHeight="false" outlineLevel="0" collapsed="false">
      <c r="A1353" s="23" t="str">
        <f aca="false">IF(B1353="","",B1353+(7*1000+152)/10000000)</f>
        <v/>
      </c>
      <c r="B1353" s="35" t="str">
        <f aca="false">IF(AND(Brand_Log!AY153=1,Brand_Log!U153="Y",OR(ISNUMBER(Brand_Log!V153),TRIM(Brand_Log!W153)&lt;&gt;"")),Brand_Log!H153,"")</f>
        <v/>
      </c>
      <c r="C1353" s="23" t="str">
        <f aca="false">IF(B1353="","","brand")</f>
        <v/>
      </c>
      <c r="D1353" s="23" t="str">
        <f aca="false">IF(B1353="","",Brand_Log!DV153&amp;"")</f>
        <v/>
      </c>
      <c r="E1353" s="23" t="str">
        <f aca="false">IF(B1353="","",IF(Brand_Log!B153="","",Brand_Log!B153&amp;""))</f>
        <v/>
      </c>
      <c r="F1353" s="23" t="str">
        <f aca="false">IF(B1353="","","budget_probe")</f>
        <v/>
      </c>
      <c r="G1353" s="23" t="str">
        <f aca="false">IF(B1353="","",IF(ISNUMBER(Brand_Log!V153),Brand_Log!V153,""))</f>
        <v/>
      </c>
      <c r="H1353" s="23" t="str">
        <f aca="false">IF(B1353="","",IF(Brand_Log!W153="","",Brand_Log!W153&amp;""))</f>
        <v/>
      </c>
      <c r="I1353" s="23" t="str">
        <f aca="false">IF(B1353="","",IF(Brand_Log!O153="","",Brand_Log!O153&amp;""))</f>
        <v/>
      </c>
      <c r="J1353" s="23" t="str">
        <f aca="false">IF(B1353="","","after_1500")</f>
        <v/>
      </c>
      <c r="K1353" s="32" t="s">
        <v>1358</v>
      </c>
    </row>
    <row r="1354" customFormat="false" ht="15" hidden="false" customHeight="false" outlineLevel="0" collapsed="false">
      <c r="A1354" s="23" t="str">
        <f aca="false">IF(B1354="","",B1354+(7*1000+153)/10000000)</f>
        <v/>
      </c>
      <c r="B1354" s="35" t="str">
        <f aca="false">IF(AND(Brand_Log!AY154=1,Brand_Log!U154="Y",OR(ISNUMBER(Brand_Log!V154),TRIM(Brand_Log!W154)&lt;&gt;"")),Brand_Log!H154,"")</f>
        <v/>
      </c>
      <c r="C1354" s="23" t="str">
        <f aca="false">IF(B1354="","","brand")</f>
        <v/>
      </c>
      <c r="D1354" s="23" t="str">
        <f aca="false">IF(B1354="","",Brand_Log!DV154&amp;"")</f>
        <v/>
      </c>
      <c r="E1354" s="23" t="str">
        <f aca="false">IF(B1354="","",IF(Brand_Log!B154="","",Brand_Log!B154&amp;""))</f>
        <v/>
      </c>
      <c r="F1354" s="23" t="str">
        <f aca="false">IF(B1354="","","budget_probe")</f>
        <v/>
      </c>
      <c r="G1354" s="23" t="str">
        <f aca="false">IF(B1354="","",IF(ISNUMBER(Brand_Log!V154),Brand_Log!V154,""))</f>
        <v/>
      </c>
      <c r="H1354" s="23" t="str">
        <f aca="false">IF(B1354="","",IF(Brand_Log!W154="","",Brand_Log!W154&amp;""))</f>
        <v/>
      </c>
      <c r="I1354" s="23" t="str">
        <f aca="false">IF(B1354="","",IF(Brand_Log!O154="","",Brand_Log!O154&amp;""))</f>
        <v/>
      </c>
      <c r="J1354" s="23" t="str">
        <f aca="false">IF(B1354="","","after_1500")</f>
        <v/>
      </c>
      <c r="K1354" s="32" t="s">
        <v>1358</v>
      </c>
    </row>
    <row r="1355" customFormat="false" ht="15" hidden="false" customHeight="false" outlineLevel="0" collapsed="false">
      <c r="A1355" s="23" t="str">
        <f aca="false">IF(B1355="","",B1355+(7*1000+154)/10000000)</f>
        <v/>
      </c>
      <c r="B1355" s="35" t="str">
        <f aca="false">IF(AND(Brand_Log!AY155=1,Brand_Log!U155="Y",OR(ISNUMBER(Brand_Log!V155),TRIM(Brand_Log!W155)&lt;&gt;"")),Brand_Log!H155,"")</f>
        <v/>
      </c>
      <c r="C1355" s="23" t="str">
        <f aca="false">IF(B1355="","","brand")</f>
        <v/>
      </c>
      <c r="D1355" s="23" t="str">
        <f aca="false">IF(B1355="","",Brand_Log!DV155&amp;"")</f>
        <v/>
      </c>
      <c r="E1355" s="23" t="str">
        <f aca="false">IF(B1355="","",IF(Brand_Log!B155="","",Brand_Log!B155&amp;""))</f>
        <v/>
      </c>
      <c r="F1355" s="23" t="str">
        <f aca="false">IF(B1355="","","budget_probe")</f>
        <v/>
      </c>
      <c r="G1355" s="23" t="str">
        <f aca="false">IF(B1355="","",IF(ISNUMBER(Brand_Log!V155),Brand_Log!V155,""))</f>
        <v/>
      </c>
      <c r="H1355" s="23" t="str">
        <f aca="false">IF(B1355="","",IF(Brand_Log!W155="","",Brand_Log!W155&amp;""))</f>
        <v/>
      </c>
      <c r="I1355" s="23" t="str">
        <f aca="false">IF(B1355="","",IF(Brand_Log!O155="","",Brand_Log!O155&amp;""))</f>
        <v/>
      </c>
      <c r="J1355" s="23" t="str">
        <f aca="false">IF(B1355="","","after_1500")</f>
        <v/>
      </c>
      <c r="K1355" s="32" t="s">
        <v>1358</v>
      </c>
    </row>
    <row r="1356" customFormat="false" ht="15" hidden="false" customHeight="false" outlineLevel="0" collapsed="false">
      <c r="A1356" s="23" t="str">
        <f aca="false">IF(B1356="","",B1356+(7*1000+155)/10000000)</f>
        <v/>
      </c>
      <c r="B1356" s="35" t="str">
        <f aca="false">IF(AND(Brand_Log!AY156=1,Brand_Log!U156="Y",OR(ISNUMBER(Brand_Log!V156),TRIM(Brand_Log!W156)&lt;&gt;"")),Brand_Log!H156,"")</f>
        <v/>
      </c>
      <c r="C1356" s="23" t="str">
        <f aca="false">IF(B1356="","","brand")</f>
        <v/>
      </c>
      <c r="D1356" s="23" t="str">
        <f aca="false">IF(B1356="","",Brand_Log!DV156&amp;"")</f>
        <v/>
      </c>
      <c r="E1356" s="23" t="str">
        <f aca="false">IF(B1356="","",IF(Brand_Log!B156="","",Brand_Log!B156&amp;""))</f>
        <v/>
      </c>
      <c r="F1356" s="23" t="str">
        <f aca="false">IF(B1356="","","budget_probe")</f>
        <v/>
      </c>
      <c r="G1356" s="23" t="str">
        <f aca="false">IF(B1356="","",IF(ISNUMBER(Brand_Log!V156),Brand_Log!V156,""))</f>
        <v/>
      </c>
      <c r="H1356" s="23" t="str">
        <f aca="false">IF(B1356="","",IF(Brand_Log!W156="","",Brand_Log!W156&amp;""))</f>
        <v/>
      </c>
      <c r="I1356" s="23" t="str">
        <f aca="false">IF(B1356="","",IF(Brand_Log!O156="","",Brand_Log!O156&amp;""))</f>
        <v/>
      </c>
      <c r="J1356" s="23" t="str">
        <f aca="false">IF(B1356="","","after_1500")</f>
        <v/>
      </c>
      <c r="K1356" s="32" t="s">
        <v>1358</v>
      </c>
    </row>
    <row r="1357" customFormat="false" ht="15" hidden="false" customHeight="false" outlineLevel="0" collapsed="false">
      <c r="A1357" s="23" t="str">
        <f aca="false">IF(B1357="","",B1357+(7*1000+156)/10000000)</f>
        <v/>
      </c>
      <c r="B1357" s="35" t="str">
        <f aca="false">IF(AND(Brand_Log!AY157=1,Brand_Log!U157="Y",OR(ISNUMBER(Brand_Log!V157),TRIM(Brand_Log!W157)&lt;&gt;"")),Brand_Log!H157,"")</f>
        <v/>
      </c>
      <c r="C1357" s="23" t="str">
        <f aca="false">IF(B1357="","","brand")</f>
        <v/>
      </c>
      <c r="D1357" s="23" t="str">
        <f aca="false">IF(B1357="","",Brand_Log!DV157&amp;"")</f>
        <v/>
      </c>
      <c r="E1357" s="23" t="str">
        <f aca="false">IF(B1357="","",IF(Brand_Log!B157="","",Brand_Log!B157&amp;""))</f>
        <v/>
      </c>
      <c r="F1357" s="23" t="str">
        <f aca="false">IF(B1357="","","budget_probe")</f>
        <v/>
      </c>
      <c r="G1357" s="23" t="str">
        <f aca="false">IF(B1357="","",IF(ISNUMBER(Brand_Log!V157),Brand_Log!V157,""))</f>
        <v/>
      </c>
      <c r="H1357" s="23" t="str">
        <f aca="false">IF(B1357="","",IF(Brand_Log!W157="","",Brand_Log!W157&amp;""))</f>
        <v/>
      </c>
      <c r="I1357" s="23" t="str">
        <f aca="false">IF(B1357="","",IF(Brand_Log!O157="","",Brand_Log!O157&amp;""))</f>
        <v/>
      </c>
      <c r="J1357" s="23" t="str">
        <f aca="false">IF(B1357="","","after_1500")</f>
        <v/>
      </c>
      <c r="K1357" s="32" t="s">
        <v>1358</v>
      </c>
    </row>
    <row r="1358" customFormat="false" ht="15" hidden="false" customHeight="false" outlineLevel="0" collapsed="false">
      <c r="A1358" s="23" t="str">
        <f aca="false">IF(B1358="","",B1358+(7*1000+157)/10000000)</f>
        <v/>
      </c>
      <c r="B1358" s="35" t="str">
        <f aca="false">IF(AND(Brand_Log!AY158=1,Brand_Log!U158="Y",OR(ISNUMBER(Brand_Log!V158),TRIM(Brand_Log!W158)&lt;&gt;"")),Brand_Log!H158,"")</f>
        <v/>
      </c>
      <c r="C1358" s="23" t="str">
        <f aca="false">IF(B1358="","","brand")</f>
        <v/>
      </c>
      <c r="D1358" s="23" t="str">
        <f aca="false">IF(B1358="","",Brand_Log!DV158&amp;"")</f>
        <v/>
      </c>
      <c r="E1358" s="23" t="str">
        <f aca="false">IF(B1358="","",IF(Brand_Log!B158="","",Brand_Log!B158&amp;""))</f>
        <v/>
      </c>
      <c r="F1358" s="23" t="str">
        <f aca="false">IF(B1358="","","budget_probe")</f>
        <v/>
      </c>
      <c r="G1358" s="23" t="str">
        <f aca="false">IF(B1358="","",IF(ISNUMBER(Brand_Log!V158),Brand_Log!V158,""))</f>
        <v/>
      </c>
      <c r="H1358" s="23" t="str">
        <f aca="false">IF(B1358="","",IF(Brand_Log!W158="","",Brand_Log!W158&amp;""))</f>
        <v/>
      </c>
      <c r="I1358" s="23" t="str">
        <f aca="false">IF(B1358="","",IF(Brand_Log!O158="","",Brand_Log!O158&amp;""))</f>
        <v/>
      </c>
      <c r="J1358" s="23" t="str">
        <f aca="false">IF(B1358="","","after_1500")</f>
        <v/>
      </c>
      <c r="K1358" s="32" t="s">
        <v>1358</v>
      </c>
    </row>
    <row r="1359" customFormat="false" ht="15" hidden="false" customHeight="false" outlineLevel="0" collapsed="false">
      <c r="A1359" s="23" t="str">
        <f aca="false">IF(B1359="","",B1359+(7*1000+158)/10000000)</f>
        <v/>
      </c>
      <c r="B1359" s="35" t="str">
        <f aca="false">IF(AND(Brand_Log!AY159=1,Brand_Log!U159="Y",OR(ISNUMBER(Brand_Log!V159),TRIM(Brand_Log!W159)&lt;&gt;"")),Brand_Log!H159,"")</f>
        <v/>
      </c>
      <c r="C1359" s="23" t="str">
        <f aca="false">IF(B1359="","","brand")</f>
        <v/>
      </c>
      <c r="D1359" s="23" t="str">
        <f aca="false">IF(B1359="","",Brand_Log!DV159&amp;"")</f>
        <v/>
      </c>
      <c r="E1359" s="23" t="str">
        <f aca="false">IF(B1359="","",IF(Brand_Log!B159="","",Brand_Log!B159&amp;""))</f>
        <v/>
      </c>
      <c r="F1359" s="23" t="str">
        <f aca="false">IF(B1359="","","budget_probe")</f>
        <v/>
      </c>
      <c r="G1359" s="23" t="str">
        <f aca="false">IF(B1359="","",IF(ISNUMBER(Brand_Log!V159),Brand_Log!V159,""))</f>
        <v/>
      </c>
      <c r="H1359" s="23" t="str">
        <f aca="false">IF(B1359="","",IF(Brand_Log!W159="","",Brand_Log!W159&amp;""))</f>
        <v/>
      </c>
      <c r="I1359" s="23" t="str">
        <f aca="false">IF(B1359="","",IF(Brand_Log!O159="","",Brand_Log!O159&amp;""))</f>
        <v/>
      </c>
      <c r="J1359" s="23" t="str">
        <f aca="false">IF(B1359="","","after_1500")</f>
        <v/>
      </c>
      <c r="K1359" s="32" t="s">
        <v>1358</v>
      </c>
    </row>
    <row r="1360" customFormat="false" ht="15" hidden="false" customHeight="false" outlineLevel="0" collapsed="false">
      <c r="A1360" s="23" t="str">
        <f aca="false">IF(B1360="","",B1360+(7*1000+159)/10000000)</f>
        <v/>
      </c>
      <c r="B1360" s="35" t="str">
        <f aca="false">IF(AND(Brand_Log!AY160=1,Brand_Log!U160="Y",OR(ISNUMBER(Brand_Log!V160),TRIM(Brand_Log!W160)&lt;&gt;"")),Brand_Log!H160,"")</f>
        <v/>
      </c>
      <c r="C1360" s="23" t="str">
        <f aca="false">IF(B1360="","","brand")</f>
        <v/>
      </c>
      <c r="D1360" s="23" t="str">
        <f aca="false">IF(B1360="","",Brand_Log!DV160&amp;"")</f>
        <v/>
      </c>
      <c r="E1360" s="23" t="str">
        <f aca="false">IF(B1360="","",IF(Brand_Log!B160="","",Brand_Log!B160&amp;""))</f>
        <v/>
      </c>
      <c r="F1360" s="23" t="str">
        <f aca="false">IF(B1360="","","budget_probe")</f>
        <v/>
      </c>
      <c r="G1360" s="23" t="str">
        <f aca="false">IF(B1360="","",IF(ISNUMBER(Brand_Log!V160),Brand_Log!V160,""))</f>
        <v/>
      </c>
      <c r="H1360" s="23" t="str">
        <f aca="false">IF(B1360="","",IF(Brand_Log!W160="","",Brand_Log!W160&amp;""))</f>
        <v/>
      </c>
      <c r="I1360" s="23" t="str">
        <f aca="false">IF(B1360="","",IF(Brand_Log!O160="","",Brand_Log!O160&amp;""))</f>
        <v/>
      </c>
      <c r="J1360" s="23" t="str">
        <f aca="false">IF(B1360="","","after_1500")</f>
        <v/>
      </c>
      <c r="K1360" s="32" t="s">
        <v>1358</v>
      </c>
    </row>
    <row r="1361" customFormat="false" ht="15" hidden="false" customHeight="false" outlineLevel="0" collapsed="false">
      <c r="A1361" s="23" t="str">
        <f aca="false">IF(B1361="","",B1361+(7*1000+160)/10000000)</f>
        <v/>
      </c>
      <c r="B1361" s="35" t="str">
        <f aca="false">IF(AND(Brand_Log!AY161=1,Brand_Log!U161="Y",OR(ISNUMBER(Brand_Log!V161),TRIM(Brand_Log!W161)&lt;&gt;"")),Brand_Log!H161,"")</f>
        <v/>
      </c>
      <c r="C1361" s="23" t="str">
        <f aca="false">IF(B1361="","","brand")</f>
        <v/>
      </c>
      <c r="D1361" s="23" t="str">
        <f aca="false">IF(B1361="","",Brand_Log!DV161&amp;"")</f>
        <v/>
      </c>
      <c r="E1361" s="23" t="str">
        <f aca="false">IF(B1361="","",IF(Brand_Log!B161="","",Brand_Log!B161&amp;""))</f>
        <v/>
      </c>
      <c r="F1361" s="23" t="str">
        <f aca="false">IF(B1361="","","budget_probe")</f>
        <v/>
      </c>
      <c r="G1361" s="23" t="str">
        <f aca="false">IF(B1361="","",IF(ISNUMBER(Brand_Log!V161),Brand_Log!V161,""))</f>
        <v/>
      </c>
      <c r="H1361" s="23" t="str">
        <f aca="false">IF(B1361="","",IF(Brand_Log!W161="","",Brand_Log!W161&amp;""))</f>
        <v/>
      </c>
      <c r="I1361" s="23" t="str">
        <f aca="false">IF(B1361="","",IF(Brand_Log!O161="","",Brand_Log!O161&amp;""))</f>
        <v/>
      </c>
      <c r="J1361" s="23" t="str">
        <f aca="false">IF(B1361="","","after_1500")</f>
        <v/>
      </c>
      <c r="K1361" s="32" t="s">
        <v>1358</v>
      </c>
    </row>
    <row r="1362" customFormat="false" ht="15" hidden="false" customHeight="false" outlineLevel="0" collapsed="false">
      <c r="A1362" s="23" t="str">
        <f aca="false">IF(B1362="","",B1362+(7*1000+161)/10000000)</f>
        <v/>
      </c>
      <c r="B1362" s="35" t="str">
        <f aca="false">IF(AND(Brand_Log!AY162=1,Brand_Log!U162="Y",OR(ISNUMBER(Brand_Log!V162),TRIM(Brand_Log!W162)&lt;&gt;"")),Brand_Log!H162,"")</f>
        <v/>
      </c>
      <c r="C1362" s="23" t="str">
        <f aca="false">IF(B1362="","","brand")</f>
        <v/>
      </c>
      <c r="D1362" s="23" t="str">
        <f aca="false">IF(B1362="","",Brand_Log!DV162&amp;"")</f>
        <v/>
      </c>
      <c r="E1362" s="23" t="str">
        <f aca="false">IF(B1362="","",IF(Brand_Log!B162="","",Brand_Log!B162&amp;""))</f>
        <v/>
      </c>
      <c r="F1362" s="23" t="str">
        <f aca="false">IF(B1362="","","budget_probe")</f>
        <v/>
      </c>
      <c r="G1362" s="23" t="str">
        <f aca="false">IF(B1362="","",IF(ISNUMBER(Brand_Log!V162),Brand_Log!V162,""))</f>
        <v/>
      </c>
      <c r="H1362" s="23" t="str">
        <f aca="false">IF(B1362="","",IF(Brand_Log!W162="","",Brand_Log!W162&amp;""))</f>
        <v/>
      </c>
      <c r="I1362" s="23" t="str">
        <f aca="false">IF(B1362="","",IF(Brand_Log!O162="","",Brand_Log!O162&amp;""))</f>
        <v/>
      </c>
      <c r="J1362" s="23" t="str">
        <f aca="false">IF(B1362="","","after_1500")</f>
        <v/>
      </c>
      <c r="K1362" s="32" t="s">
        <v>1358</v>
      </c>
    </row>
    <row r="1363" customFormat="false" ht="15" hidden="false" customHeight="false" outlineLevel="0" collapsed="false">
      <c r="A1363" s="23" t="str">
        <f aca="false">IF(B1363="","",B1363+(7*1000+162)/10000000)</f>
        <v/>
      </c>
      <c r="B1363" s="35" t="str">
        <f aca="false">IF(AND(Brand_Log!AY163=1,Brand_Log!U163="Y",OR(ISNUMBER(Brand_Log!V163),TRIM(Brand_Log!W163)&lt;&gt;"")),Brand_Log!H163,"")</f>
        <v/>
      </c>
      <c r="C1363" s="23" t="str">
        <f aca="false">IF(B1363="","","brand")</f>
        <v/>
      </c>
      <c r="D1363" s="23" t="str">
        <f aca="false">IF(B1363="","",Brand_Log!DV163&amp;"")</f>
        <v/>
      </c>
      <c r="E1363" s="23" t="str">
        <f aca="false">IF(B1363="","",IF(Brand_Log!B163="","",Brand_Log!B163&amp;""))</f>
        <v/>
      </c>
      <c r="F1363" s="23" t="str">
        <f aca="false">IF(B1363="","","budget_probe")</f>
        <v/>
      </c>
      <c r="G1363" s="23" t="str">
        <f aca="false">IF(B1363="","",IF(ISNUMBER(Brand_Log!V163),Brand_Log!V163,""))</f>
        <v/>
      </c>
      <c r="H1363" s="23" t="str">
        <f aca="false">IF(B1363="","",IF(Brand_Log!W163="","",Brand_Log!W163&amp;""))</f>
        <v/>
      </c>
      <c r="I1363" s="23" t="str">
        <f aca="false">IF(B1363="","",IF(Brand_Log!O163="","",Brand_Log!O163&amp;""))</f>
        <v/>
      </c>
      <c r="J1363" s="23" t="str">
        <f aca="false">IF(B1363="","","after_1500")</f>
        <v/>
      </c>
      <c r="K1363" s="32" t="s">
        <v>1358</v>
      </c>
    </row>
    <row r="1364" customFormat="false" ht="15" hidden="false" customHeight="false" outlineLevel="0" collapsed="false">
      <c r="A1364" s="23" t="str">
        <f aca="false">IF(B1364="","",B1364+(7*1000+163)/10000000)</f>
        <v/>
      </c>
      <c r="B1364" s="35" t="str">
        <f aca="false">IF(AND(Brand_Log!AY164=1,Brand_Log!U164="Y",OR(ISNUMBER(Brand_Log!V164),TRIM(Brand_Log!W164)&lt;&gt;"")),Brand_Log!H164,"")</f>
        <v/>
      </c>
      <c r="C1364" s="23" t="str">
        <f aca="false">IF(B1364="","","brand")</f>
        <v/>
      </c>
      <c r="D1364" s="23" t="str">
        <f aca="false">IF(B1364="","",Brand_Log!DV164&amp;"")</f>
        <v/>
      </c>
      <c r="E1364" s="23" t="str">
        <f aca="false">IF(B1364="","",IF(Brand_Log!B164="","",Brand_Log!B164&amp;""))</f>
        <v/>
      </c>
      <c r="F1364" s="23" t="str">
        <f aca="false">IF(B1364="","","budget_probe")</f>
        <v/>
      </c>
      <c r="G1364" s="23" t="str">
        <f aca="false">IF(B1364="","",IF(ISNUMBER(Brand_Log!V164),Brand_Log!V164,""))</f>
        <v/>
      </c>
      <c r="H1364" s="23" t="str">
        <f aca="false">IF(B1364="","",IF(Brand_Log!W164="","",Brand_Log!W164&amp;""))</f>
        <v/>
      </c>
      <c r="I1364" s="23" t="str">
        <f aca="false">IF(B1364="","",IF(Brand_Log!O164="","",Brand_Log!O164&amp;""))</f>
        <v/>
      </c>
      <c r="J1364" s="23" t="str">
        <f aca="false">IF(B1364="","","after_1500")</f>
        <v/>
      </c>
      <c r="K1364" s="32" t="s">
        <v>1358</v>
      </c>
    </row>
    <row r="1365" customFormat="false" ht="15" hidden="false" customHeight="false" outlineLevel="0" collapsed="false">
      <c r="A1365" s="23" t="str">
        <f aca="false">IF(B1365="","",B1365+(7*1000+164)/10000000)</f>
        <v/>
      </c>
      <c r="B1365" s="35" t="str">
        <f aca="false">IF(AND(Brand_Log!AY165=1,Brand_Log!U165="Y",OR(ISNUMBER(Brand_Log!V165),TRIM(Brand_Log!W165)&lt;&gt;"")),Brand_Log!H165,"")</f>
        <v/>
      </c>
      <c r="C1365" s="23" t="str">
        <f aca="false">IF(B1365="","","brand")</f>
        <v/>
      </c>
      <c r="D1365" s="23" t="str">
        <f aca="false">IF(B1365="","",Brand_Log!DV165&amp;"")</f>
        <v/>
      </c>
      <c r="E1365" s="23" t="str">
        <f aca="false">IF(B1365="","",IF(Brand_Log!B165="","",Brand_Log!B165&amp;""))</f>
        <v/>
      </c>
      <c r="F1365" s="23" t="str">
        <f aca="false">IF(B1365="","","budget_probe")</f>
        <v/>
      </c>
      <c r="G1365" s="23" t="str">
        <f aca="false">IF(B1365="","",IF(ISNUMBER(Brand_Log!V165),Brand_Log!V165,""))</f>
        <v/>
      </c>
      <c r="H1365" s="23" t="str">
        <f aca="false">IF(B1365="","",IF(Brand_Log!W165="","",Brand_Log!W165&amp;""))</f>
        <v/>
      </c>
      <c r="I1365" s="23" t="str">
        <f aca="false">IF(B1365="","",IF(Brand_Log!O165="","",Brand_Log!O165&amp;""))</f>
        <v/>
      </c>
      <c r="J1365" s="23" t="str">
        <f aca="false">IF(B1365="","","after_1500")</f>
        <v/>
      </c>
      <c r="K1365" s="32" t="s">
        <v>1358</v>
      </c>
    </row>
    <row r="1366" customFormat="false" ht="15" hidden="false" customHeight="false" outlineLevel="0" collapsed="false">
      <c r="A1366" s="23" t="str">
        <f aca="false">IF(B1366="","",B1366+(7*1000+165)/10000000)</f>
        <v/>
      </c>
      <c r="B1366" s="35" t="str">
        <f aca="false">IF(AND(Brand_Log!AY166=1,Brand_Log!U166="Y",OR(ISNUMBER(Brand_Log!V166),TRIM(Brand_Log!W166)&lt;&gt;"")),Brand_Log!H166,"")</f>
        <v/>
      </c>
      <c r="C1366" s="23" t="str">
        <f aca="false">IF(B1366="","","brand")</f>
        <v/>
      </c>
      <c r="D1366" s="23" t="str">
        <f aca="false">IF(B1366="","",Brand_Log!DV166&amp;"")</f>
        <v/>
      </c>
      <c r="E1366" s="23" t="str">
        <f aca="false">IF(B1366="","",IF(Brand_Log!B166="","",Brand_Log!B166&amp;""))</f>
        <v/>
      </c>
      <c r="F1366" s="23" t="str">
        <f aca="false">IF(B1366="","","budget_probe")</f>
        <v/>
      </c>
      <c r="G1366" s="23" t="str">
        <f aca="false">IF(B1366="","",IF(ISNUMBER(Brand_Log!V166),Brand_Log!V166,""))</f>
        <v/>
      </c>
      <c r="H1366" s="23" t="str">
        <f aca="false">IF(B1366="","",IF(Brand_Log!W166="","",Brand_Log!W166&amp;""))</f>
        <v/>
      </c>
      <c r="I1366" s="23" t="str">
        <f aca="false">IF(B1366="","",IF(Brand_Log!O166="","",Brand_Log!O166&amp;""))</f>
        <v/>
      </c>
      <c r="J1366" s="23" t="str">
        <f aca="false">IF(B1366="","","after_1500")</f>
        <v/>
      </c>
      <c r="K1366" s="32" t="s">
        <v>1358</v>
      </c>
    </row>
    <row r="1367" customFormat="false" ht="15" hidden="false" customHeight="false" outlineLevel="0" collapsed="false">
      <c r="A1367" s="23" t="str">
        <f aca="false">IF(B1367="","",B1367+(7*1000+166)/10000000)</f>
        <v/>
      </c>
      <c r="B1367" s="35" t="str">
        <f aca="false">IF(AND(Brand_Log!AY167=1,Brand_Log!U167="Y",OR(ISNUMBER(Brand_Log!V167),TRIM(Brand_Log!W167)&lt;&gt;"")),Brand_Log!H167,"")</f>
        <v/>
      </c>
      <c r="C1367" s="23" t="str">
        <f aca="false">IF(B1367="","","brand")</f>
        <v/>
      </c>
      <c r="D1367" s="23" t="str">
        <f aca="false">IF(B1367="","",Brand_Log!DV167&amp;"")</f>
        <v/>
      </c>
      <c r="E1367" s="23" t="str">
        <f aca="false">IF(B1367="","",IF(Brand_Log!B167="","",Brand_Log!B167&amp;""))</f>
        <v/>
      </c>
      <c r="F1367" s="23" t="str">
        <f aca="false">IF(B1367="","","budget_probe")</f>
        <v/>
      </c>
      <c r="G1367" s="23" t="str">
        <f aca="false">IF(B1367="","",IF(ISNUMBER(Brand_Log!V167),Brand_Log!V167,""))</f>
        <v/>
      </c>
      <c r="H1367" s="23" t="str">
        <f aca="false">IF(B1367="","",IF(Brand_Log!W167="","",Brand_Log!W167&amp;""))</f>
        <v/>
      </c>
      <c r="I1367" s="23" t="str">
        <f aca="false">IF(B1367="","",IF(Brand_Log!O167="","",Brand_Log!O167&amp;""))</f>
        <v/>
      </c>
      <c r="J1367" s="23" t="str">
        <f aca="false">IF(B1367="","","after_1500")</f>
        <v/>
      </c>
      <c r="K1367" s="32" t="s">
        <v>1358</v>
      </c>
    </row>
    <row r="1368" customFormat="false" ht="15" hidden="false" customHeight="false" outlineLevel="0" collapsed="false">
      <c r="A1368" s="23" t="str">
        <f aca="false">IF(B1368="","",B1368+(7*1000+167)/10000000)</f>
        <v/>
      </c>
      <c r="B1368" s="35" t="str">
        <f aca="false">IF(AND(Brand_Log!AY168=1,Brand_Log!U168="Y",OR(ISNUMBER(Brand_Log!V168),TRIM(Brand_Log!W168)&lt;&gt;"")),Brand_Log!H168,"")</f>
        <v/>
      </c>
      <c r="C1368" s="23" t="str">
        <f aca="false">IF(B1368="","","brand")</f>
        <v/>
      </c>
      <c r="D1368" s="23" t="str">
        <f aca="false">IF(B1368="","",Brand_Log!DV168&amp;"")</f>
        <v/>
      </c>
      <c r="E1368" s="23" t="str">
        <f aca="false">IF(B1368="","",IF(Brand_Log!B168="","",Brand_Log!B168&amp;""))</f>
        <v/>
      </c>
      <c r="F1368" s="23" t="str">
        <f aca="false">IF(B1368="","","budget_probe")</f>
        <v/>
      </c>
      <c r="G1368" s="23" t="str">
        <f aca="false">IF(B1368="","",IF(ISNUMBER(Brand_Log!V168),Brand_Log!V168,""))</f>
        <v/>
      </c>
      <c r="H1368" s="23" t="str">
        <f aca="false">IF(B1368="","",IF(Brand_Log!W168="","",Brand_Log!W168&amp;""))</f>
        <v/>
      </c>
      <c r="I1368" s="23" t="str">
        <f aca="false">IF(B1368="","",IF(Brand_Log!O168="","",Brand_Log!O168&amp;""))</f>
        <v/>
      </c>
      <c r="J1368" s="23" t="str">
        <f aca="false">IF(B1368="","","after_1500")</f>
        <v/>
      </c>
      <c r="K1368" s="32" t="s">
        <v>1358</v>
      </c>
    </row>
    <row r="1369" customFormat="false" ht="15" hidden="false" customHeight="false" outlineLevel="0" collapsed="false">
      <c r="A1369" s="23" t="str">
        <f aca="false">IF(B1369="","",B1369+(7*1000+168)/10000000)</f>
        <v/>
      </c>
      <c r="B1369" s="35" t="str">
        <f aca="false">IF(AND(Brand_Log!AY169=1,Brand_Log!U169="Y",OR(ISNUMBER(Brand_Log!V169),TRIM(Brand_Log!W169)&lt;&gt;"")),Brand_Log!H169,"")</f>
        <v/>
      </c>
      <c r="C1369" s="23" t="str">
        <f aca="false">IF(B1369="","","brand")</f>
        <v/>
      </c>
      <c r="D1369" s="23" t="str">
        <f aca="false">IF(B1369="","",Brand_Log!DV169&amp;"")</f>
        <v/>
      </c>
      <c r="E1369" s="23" t="str">
        <f aca="false">IF(B1369="","",IF(Brand_Log!B169="","",Brand_Log!B169&amp;""))</f>
        <v/>
      </c>
      <c r="F1369" s="23" t="str">
        <f aca="false">IF(B1369="","","budget_probe")</f>
        <v/>
      </c>
      <c r="G1369" s="23" t="str">
        <f aca="false">IF(B1369="","",IF(ISNUMBER(Brand_Log!V169),Brand_Log!V169,""))</f>
        <v/>
      </c>
      <c r="H1369" s="23" t="str">
        <f aca="false">IF(B1369="","",IF(Brand_Log!W169="","",Brand_Log!W169&amp;""))</f>
        <v/>
      </c>
      <c r="I1369" s="23" t="str">
        <f aca="false">IF(B1369="","",IF(Brand_Log!O169="","",Brand_Log!O169&amp;""))</f>
        <v/>
      </c>
      <c r="J1369" s="23" t="str">
        <f aca="false">IF(B1369="","","after_1500")</f>
        <v/>
      </c>
      <c r="K1369" s="32" t="s">
        <v>1358</v>
      </c>
    </row>
    <row r="1370" customFormat="false" ht="15" hidden="false" customHeight="false" outlineLevel="0" collapsed="false">
      <c r="A1370" s="23" t="str">
        <f aca="false">IF(B1370="","",B1370+(7*1000+169)/10000000)</f>
        <v/>
      </c>
      <c r="B1370" s="35" t="str">
        <f aca="false">IF(AND(Brand_Log!AY170=1,Brand_Log!U170="Y",OR(ISNUMBER(Brand_Log!V170),TRIM(Brand_Log!W170)&lt;&gt;"")),Brand_Log!H170,"")</f>
        <v/>
      </c>
      <c r="C1370" s="23" t="str">
        <f aca="false">IF(B1370="","","brand")</f>
        <v/>
      </c>
      <c r="D1370" s="23" t="str">
        <f aca="false">IF(B1370="","",Brand_Log!DV170&amp;"")</f>
        <v/>
      </c>
      <c r="E1370" s="23" t="str">
        <f aca="false">IF(B1370="","",IF(Brand_Log!B170="","",Brand_Log!B170&amp;""))</f>
        <v/>
      </c>
      <c r="F1370" s="23" t="str">
        <f aca="false">IF(B1370="","","budget_probe")</f>
        <v/>
      </c>
      <c r="G1370" s="23" t="str">
        <f aca="false">IF(B1370="","",IF(ISNUMBER(Brand_Log!V170),Brand_Log!V170,""))</f>
        <v/>
      </c>
      <c r="H1370" s="23" t="str">
        <f aca="false">IF(B1370="","",IF(Brand_Log!W170="","",Brand_Log!W170&amp;""))</f>
        <v/>
      </c>
      <c r="I1370" s="23" t="str">
        <f aca="false">IF(B1370="","",IF(Brand_Log!O170="","",Brand_Log!O170&amp;""))</f>
        <v/>
      </c>
      <c r="J1370" s="23" t="str">
        <f aca="false">IF(B1370="","","after_1500")</f>
        <v/>
      </c>
      <c r="K1370" s="32" t="s">
        <v>1358</v>
      </c>
    </row>
    <row r="1371" customFormat="false" ht="15" hidden="false" customHeight="false" outlineLevel="0" collapsed="false">
      <c r="A1371" s="23" t="str">
        <f aca="false">IF(B1371="","",B1371+(7*1000+170)/10000000)</f>
        <v/>
      </c>
      <c r="B1371" s="35" t="str">
        <f aca="false">IF(AND(Brand_Log!AY171=1,Brand_Log!U171="Y",OR(ISNUMBER(Brand_Log!V171),TRIM(Brand_Log!W171)&lt;&gt;"")),Brand_Log!H171,"")</f>
        <v/>
      </c>
      <c r="C1371" s="23" t="str">
        <f aca="false">IF(B1371="","","brand")</f>
        <v/>
      </c>
      <c r="D1371" s="23" t="str">
        <f aca="false">IF(B1371="","",Brand_Log!DV171&amp;"")</f>
        <v/>
      </c>
      <c r="E1371" s="23" t="str">
        <f aca="false">IF(B1371="","",IF(Brand_Log!B171="","",Brand_Log!B171&amp;""))</f>
        <v/>
      </c>
      <c r="F1371" s="23" t="str">
        <f aca="false">IF(B1371="","","budget_probe")</f>
        <v/>
      </c>
      <c r="G1371" s="23" t="str">
        <f aca="false">IF(B1371="","",IF(ISNUMBER(Brand_Log!V171),Brand_Log!V171,""))</f>
        <v/>
      </c>
      <c r="H1371" s="23" t="str">
        <f aca="false">IF(B1371="","",IF(Brand_Log!W171="","",Brand_Log!W171&amp;""))</f>
        <v/>
      </c>
      <c r="I1371" s="23" t="str">
        <f aca="false">IF(B1371="","",IF(Brand_Log!O171="","",Brand_Log!O171&amp;""))</f>
        <v/>
      </c>
      <c r="J1371" s="23" t="str">
        <f aca="false">IF(B1371="","","after_1500")</f>
        <v/>
      </c>
      <c r="K1371" s="32" t="s">
        <v>1358</v>
      </c>
    </row>
    <row r="1372" customFormat="false" ht="15" hidden="false" customHeight="false" outlineLevel="0" collapsed="false">
      <c r="A1372" s="23" t="str">
        <f aca="false">IF(B1372="","",B1372+(7*1000+171)/10000000)</f>
        <v/>
      </c>
      <c r="B1372" s="35" t="str">
        <f aca="false">IF(AND(Brand_Log!AY172=1,Brand_Log!U172="Y",OR(ISNUMBER(Brand_Log!V172),TRIM(Brand_Log!W172)&lt;&gt;"")),Brand_Log!H172,"")</f>
        <v/>
      </c>
      <c r="C1372" s="23" t="str">
        <f aca="false">IF(B1372="","","brand")</f>
        <v/>
      </c>
      <c r="D1372" s="23" t="str">
        <f aca="false">IF(B1372="","",Brand_Log!DV172&amp;"")</f>
        <v/>
      </c>
      <c r="E1372" s="23" t="str">
        <f aca="false">IF(B1372="","",IF(Brand_Log!B172="","",Brand_Log!B172&amp;""))</f>
        <v/>
      </c>
      <c r="F1372" s="23" t="str">
        <f aca="false">IF(B1372="","","budget_probe")</f>
        <v/>
      </c>
      <c r="G1372" s="23" t="str">
        <f aca="false">IF(B1372="","",IF(ISNUMBER(Brand_Log!V172),Brand_Log!V172,""))</f>
        <v/>
      </c>
      <c r="H1372" s="23" t="str">
        <f aca="false">IF(B1372="","",IF(Brand_Log!W172="","",Brand_Log!W172&amp;""))</f>
        <v/>
      </c>
      <c r="I1372" s="23" t="str">
        <f aca="false">IF(B1372="","",IF(Brand_Log!O172="","",Brand_Log!O172&amp;""))</f>
        <v/>
      </c>
      <c r="J1372" s="23" t="str">
        <f aca="false">IF(B1372="","","after_1500")</f>
        <v/>
      </c>
      <c r="K1372" s="32" t="s">
        <v>1358</v>
      </c>
    </row>
    <row r="1373" customFormat="false" ht="15" hidden="false" customHeight="false" outlineLevel="0" collapsed="false">
      <c r="A1373" s="23" t="str">
        <f aca="false">IF(B1373="","",B1373+(7*1000+172)/10000000)</f>
        <v/>
      </c>
      <c r="B1373" s="35" t="str">
        <f aca="false">IF(AND(Brand_Log!AY173=1,Brand_Log!U173="Y",OR(ISNUMBER(Brand_Log!V173),TRIM(Brand_Log!W173)&lt;&gt;"")),Brand_Log!H173,"")</f>
        <v/>
      </c>
      <c r="C1373" s="23" t="str">
        <f aca="false">IF(B1373="","","brand")</f>
        <v/>
      </c>
      <c r="D1373" s="23" t="str">
        <f aca="false">IF(B1373="","",Brand_Log!DV173&amp;"")</f>
        <v/>
      </c>
      <c r="E1373" s="23" t="str">
        <f aca="false">IF(B1373="","",IF(Brand_Log!B173="","",Brand_Log!B173&amp;""))</f>
        <v/>
      </c>
      <c r="F1373" s="23" t="str">
        <f aca="false">IF(B1373="","","budget_probe")</f>
        <v/>
      </c>
      <c r="G1373" s="23" t="str">
        <f aca="false">IF(B1373="","",IF(ISNUMBER(Brand_Log!V173),Brand_Log!V173,""))</f>
        <v/>
      </c>
      <c r="H1373" s="23" t="str">
        <f aca="false">IF(B1373="","",IF(Brand_Log!W173="","",Brand_Log!W173&amp;""))</f>
        <v/>
      </c>
      <c r="I1373" s="23" t="str">
        <f aca="false">IF(B1373="","",IF(Brand_Log!O173="","",Brand_Log!O173&amp;""))</f>
        <v/>
      </c>
      <c r="J1373" s="23" t="str">
        <f aca="false">IF(B1373="","","after_1500")</f>
        <v/>
      </c>
      <c r="K1373" s="32" t="s">
        <v>1358</v>
      </c>
    </row>
    <row r="1374" customFormat="false" ht="15" hidden="false" customHeight="false" outlineLevel="0" collapsed="false">
      <c r="A1374" s="23" t="str">
        <f aca="false">IF(B1374="","",B1374+(7*1000+173)/10000000)</f>
        <v/>
      </c>
      <c r="B1374" s="35" t="str">
        <f aca="false">IF(AND(Brand_Log!AY174=1,Brand_Log!U174="Y",OR(ISNUMBER(Brand_Log!V174),TRIM(Brand_Log!W174)&lt;&gt;"")),Brand_Log!H174,"")</f>
        <v/>
      </c>
      <c r="C1374" s="23" t="str">
        <f aca="false">IF(B1374="","","brand")</f>
        <v/>
      </c>
      <c r="D1374" s="23" t="str">
        <f aca="false">IF(B1374="","",Brand_Log!DV174&amp;"")</f>
        <v/>
      </c>
      <c r="E1374" s="23" t="str">
        <f aca="false">IF(B1374="","",IF(Brand_Log!B174="","",Brand_Log!B174&amp;""))</f>
        <v/>
      </c>
      <c r="F1374" s="23" t="str">
        <f aca="false">IF(B1374="","","budget_probe")</f>
        <v/>
      </c>
      <c r="G1374" s="23" t="str">
        <f aca="false">IF(B1374="","",IF(ISNUMBER(Brand_Log!V174),Brand_Log!V174,""))</f>
        <v/>
      </c>
      <c r="H1374" s="23" t="str">
        <f aca="false">IF(B1374="","",IF(Brand_Log!W174="","",Brand_Log!W174&amp;""))</f>
        <v/>
      </c>
      <c r="I1374" s="23" t="str">
        <f aca="false">IF(B1374="","",IF(Brand_Log!O174="","",Brand_Log!O174&amp;""))</f>
        <v/>
      </c>
      <c r="J1374" s="23" t="str">
        <f aca="false">IF(B1374="","","after_1500")</f>
        <v/>
      </c>
      <c r="K1374" s="32" t="s">
        <v>1358</v>
      </c>
    </row>
    <row r="1375" customFormat="false" ht="15" hidden="false" customHeight="false" outlineLevel="0" collapsed="false">
      <c r="A1375" s="23" t="str">
        <f aca="false">IF(B1375="","",B1375+(7*1000+174)/10000000)</f>
        <v/>
      </c>
      <c r="B1375" s="35" t="str">
        <f aca="false">IF(AND(Brand_Log!AY175=1,Brand_Log!U175="Y",OR(ISNUMBER(Brand_Log!V175),TRIM(Brand_Log!W175)&lt;&gt;"")),Brand_Log!H175,"")</f>
        <v/>
      </c>
      <c r="C1375" s="23" t="str">
        <f aca="false">IF(B1375="","","brand")</f>
        <v/>
      </c>
      <c r="D1375" s="23" t="str">
        <f aca="false">IF(B1375="","",Brand_Log!DV175&amp;"")</f>
        <v/>
      </c>
      <c r="E1375" s="23" t="str">
        <f aca="false">IF(B1375="","",IF(Brand_Log!B175="","",Brand_Log!B175&amp;""))</f>
        <v/>
      </c>
      <c r="F1375" s="23" t="str">
        <f aca="false">IF(B1375="","","budget_probe")</f>
        <v/>
      </c>
      <c r="G1375" s="23" t="str">
        <f aca="false">IF(B1375="","",IF(ISNUMBER(Brand_Log!V175),Brand_Log!V175,""))</f>
        <v/>
      </c>
      <c r="H1375" s="23" t="str">
        <f aca="false">IF(B1375="","",IF(Brand_Log!W175="","",Brand_Log!W175&amp;""))</f>
        <v/>
      </c>
      <c r="I1375" s="23" t="str">
        <f aca="false">IF(B1375="","",IF(Brand_Log!O175="","",Brand_Log!O175&amp;""))</f>
        <v/>
      </c>
      <c r="J1375" s="23" t="str">
        <f aca="false">IF(B1375="","","after_1500")</f>
        <v/>
      </c>
      <c r="K1375" s="32" t="s">
        <v>1358</v>
      </c>
    </row>
    <row r="1376" customFormat="false" ht="15" hidden="false" customHeight="false" outlineLevel="0" collapsed="false">
      <c r="A1376" s="23" t="str">
        <f aca="false">IF(B1376="","",B1376+(7*1000+175)/10000000)</f>
        <v/>
      </c>
      <c r="B1376" s="35" t="str">
        <f aca="false">IF(AND(Brand_Log!AY176=1,Brand_Log!U176="Y",OR(ISNUMBER(Brand_Log!V176),TRIM(Brand_Log!W176)&lt;&gt;"")),Brand_Log!H176,"")</f>
        <v/>
      </c>
      <c r="C1376" s="23" t="str">
        <f aca="false">IF(B1376="","","brand")</f>
        <v/>
      </c>
      <c r="D1376" s="23" t="str">
        <f aca="false">IF(B1376="","",Brand_Log!DV176&amp;"")</f>
        <v/>
      </c>
      <c r="E1376" s="23" t="str">
        <f aca="false">IF(B1376="","",IF(Brand_Log!B176="","",Brand_Log!B176&amp;""))</f>
        <v/>
      </c>
      <c r="F1376" s="23" t="str">
        <f aca="false">IF(B1376="","","budget_probe")</f>
        <v/>
      </c>
      <c r="G1376" s="23" t="str">
        <f aca="false">IF(B1376="","",IF(ISNUMBER(Brand_Log!V176),Brand_Log!V176,""))</f>
        <v/>
      </c>
      <c r="H1376" s="23" t="str">
        <f aca="false">IF(B1376="","",IF(Brand_Log!W176="","",Brand_Log!W176&amp;""))</f>
        <v/>
      </c>
      <c r="I1376" s="23" t="str">
        <f aca="false">IF(B1376="","",IF(Brand_Log!O176="","",Brand_Log!O176&amp;""))</f>
        <v/>
      </c>
      <c r="J1376" s="23" t="str">
        <f aca="false">IF(B1376="","","after_1500")</f>
        <v/>
      </c>
      <c r="K1376" s="32" t="s">
        <v>1358</v>
      </c>
    </row>
    <row r="1377" customFormat="false" ht="15" hidden="false" customHeight="false" outlineLevel="0" collapsed="false">
      <c r="A1377" s="23" t="str">
        <f aca="false">IF(B1377="","",B1377+(7*1000+176)/10000000)</f>
        <v/>
      </c>
      <c r="B1377" s="35" t="str">
        <f aca="false">IF(AND(Brand_Log!AY177=1,Brand_Log!U177="Y",OR(ISNUMBER(Brand_Log!V177),TRIM(Brand_Log!W177)&lt;&gt;"")),Brand_Log!H177,"")</f>
        <v/>
      </c>
      <c r="C1377" s="23" t="str">
        <f aca="false">IF(B1377="","","brand")</f>
        <v/>
      </c>
      <c r="D1377" s="23" t="str">
        <f aca="false">IF(B1377="","",Brand_Log!DV177&amp;"")</f>
        <v/>
      </c>
      <c r="E1377" s="23" t="str">
        <f aca="false">IF(B1377="","",IF(Brand_Log!B177="","",Brand_Log!B177&amp;""))</f>
        <v/>
      </c>
      <c r="F1377" s="23" t="str">
        <f aca="false">IF(B1377="","","budget_probe")</f>
        <v/>
      </c>
      <c r="G1377" s="23" t="str">
        <f aca="false">IF(B1377="","",IF(ISNUMBER(Brand_Log!V177),Brand_Log!V177,""))</f>
        <v/>
      </c>
      <c r="H1377" s="23" t="str">
        <f aca="false">IF(B1377="","",IF(Brand_Log!W177="","",Brand_Log!W177&amp;""))</f>
        <v/>
      </c>
      <c r="I1377" s="23" t="str">
        <f aca="false">IF(B1377="","",IF(Brand_Log!O177="","",Brand_Log!O177&amp;""))</f>
        <v/>
      </c>
      <c r="J1377" s="23" t="str">
        <f aca="false">IF(B1377="","","after_1500")</f>
        <v/>
      </c>
      <c r="K1377" s="32" t="s">
        <v>1358</v>
      </c>
    </row>
    <row r="1378" customFormat="false" ht="15" hidden="false" customHeight="false" outlineLevel="0" collapsed="false">
      <c r="A1378" s="23" t="str">
        <f aca="false">IF(B1378="","",B1378+(7*1000+177)/10000000)</f>
        <v/>
      </c>
      <c r="B1378" s="35" t="str">
        <f aca="false">IF(AND(Brand_Log!AY178=1,Brand_Log!U178="Y",OR(ISNUMBER(Brand_Log!V178),TRIM(Brand_Log!W178)&lt;&gt;"")),Brand_Log!H178,"")</f>
        <v/>
      </c>
      <c r="C1378" s="23" t="str">
        <f aca="false">IF(B1378="","","brand")</f>
        <v/>
      </c>
      <c r="D1378" s="23" t="str">
        <f aca="false">IF(B1378="","",Brand_Log!DV178&amp;"")</f>
        <v/>
      </c>
      <c r="E1378" s="23" t="str">
        <f aca="false">IF(B1378="","",IF(Brand_Log!B178="","",Brand_Log!B178&amp;""))</f>
        <v/>
      </c>
      <c r="F1378" s="23" t="str">
        <f aca="false">IF(B1378="","","budget_probe")</f>
        <v/>
      </c>
      <c r="G1378" s="23" t="str">
        <f aca="false">IF(B1378="","",IF(ISNUMBER(Brand_Log!V178),Brand_Log!V178,""))</f>
        <v/>
      </c>
      <c r="H1378" s="23" t="str">
        <f aca="false">IF(B1378="","",IF(Brand_Log!W178="","",Brand_Log!W178&amp;""))</f>
        <v/>
      </c>
      <c r="I1378" s="23" t="str">
        <f aca="false">IF(B1378="","",IF(Brand_Log!O178="","",Brand_Log!O178&amp;""))</f>
        <v/>
      </c>
      <c r="J1378" s="23" t="str">
        <f aca="false">IF(B1378="","","after_1500")</f>
        <v/>
      </c>
      <c r="K1378" s="32" t="s">
        <v>1358</v>
      </c>
    </row>
    <row r="1379" customFormat="false" ht="15" hidden="false" customHeight="false" outlineLevel="0" collapsed="false">
      <c r="A1379" s="23" t="str">
        <f aca="false">IF(B1379="","",B1379+(7*1000+178)/10000000)</f>
        <v/>
      </c>
      <c r="B1379" s="35" t="str">
        <f aca="false">IF(AND(Brand_Log!AY179=1,Brand_Log!U179="Y",OR(ISNUMBER(Brand_Log!V179),TRIM(Brand_Log!W179)&lt;&gt;"")),Brand_Log!H179,"")</f>
        <v/>
      </c>
      <c r="C1379" s="23" t="str">
        <f aca="false">IF(B1379="","","brand")</f>
        <v/>
      </c>
      <c r="D1379" s="23" t="str">
        <f aca="false">IF(B1379="","",Brand_Log!DV179&amp;"")</f>
        <v/>
      </c>
      <c r="E1379" s="23" t="str">
        <f aca="false">IF(B1379="","",IF(Brand_Log!B179="","",Brand_Log!B179&amp;""))</f>
        <v/>
      </c>
      <c r="F1379" s="23" t="str">
        <f aca="false">IF(B1379="","","budget_probe")</f>
        <v/>
      </c>
      <c r="G1379" s="23" t="str">
        <f aca="false">IF(B1379="","",IF(ISNUMBER(Brand_Log!V179),Brand_Log!V179,""))</f>
        <v/>
      </c>
      <c r="H1379" s="23" t="str">
        <f aca="false">IF(B1379="","",IF(Brand_Log!W179="","",Brand_Log!W179&amp;""))</f>
        <v/>
      </c>
      <c r="I1379" s="23" t="str">
        <f aca="false">IF(B1379="","",IF(Brand_Log!O179="","",Brand_Log!O179&amp;""))</f>
        <v/>
      </c>
      <c r="J1379" s="23" t="str">
        <f aca="false">IF(B1379="","","after_1500")</f>
        <v/>
      </c>
      <c r="K1379" s="32" t="s">
        <v>1358</v>
      </c>
    </row>
    <row r="1380" customFormat="false" ht="15" hidden="false" customHeight="false" outlineLevel="0" collapsed="false">
      <c r="A1380" s="23" t="str">
        <f aca="false">IF(B1380="","",B1380+(7*1000+179)/10000000)</f>
        <v/>
      </c>
      <c r="B1380" s="35" t="str">
        <f aca="false">IF(AND(Brand_Log!AY180=1,Brand_Log!U180="Y",OR(ISNUMBER(Brand_Log!V180),TRIM(Brand_Log!W180)&lt;&gt;"")),Brand_Log!H180,"")</f>
        <v/>
      </c>
      <c r="C1380" s="23" t="str">
        <f aca="false">IF(B1380="","","brand")</f>
        <v/>
      </c>
      <c r="D1380" s="23" t="str">
        <f aca="false">IF(B1380="","",Brand_Log!DV180&amp;"")</f>
        <v/>
      </c>
      <c r="E1380" s="23" t="str">
        <f aca="false">IF(B1380="","",IF(Brand_Log!B180="","",Brand_Log!B180&amp;""))</f>
        <v/>
      </c>
      <c r="F1380" s="23" t="str">
        <f aca="false">IF(B1380="","","budget_probe")</f>
        <v/>
      </c>
      <c r="G1380" s="23" t="str">
        <f aca="false">IF(B1380="","",IF(ISNUMBER(Brand_Log!V180),Brand_Log!V180,""))</f>
        <v/>
      </c>
      <c r="H1380" s="23" t="str">
        <f aca="false">IF(B1380="","",IF(Brand_Log!W180="","",Brand_Log!W180&amp;""))</f>
        <v/>
      </c>
      <c r="I1380" s="23" t="str">
        <f aca="false">IF(B1380="","",IF(Brand_Log!O180="","",Brand_Log!O180&amp;""))</f>
        <v/>
      </c>
      <c r="J1380" s="23" t="str">
        <f aca="false">IF(B1380="","","after_1500")</f>
        <v/>
      </c>
      <c r="K1380" s="32" t="s">
        <v>1358</v>
      </c>
    </row>
    <row r="1381" customFormat="false" ht="15" hidden="false" customHeight="false" outlineLevel="0" collapsed="false">
      <c r="A1381" s="23" t="str">
        <f aca="false">IF(B1381="","",B1381+(7*1000+180)/10000000)</f>
        <v/>
      </c>
      <c r="B1381" s="35" t="str">
        <f aca="false">IF(AND(Brand_Log!AY181=1,Brand_Log!U181="Y",OR(ISNUMBER(Brand_Log!V181),TRIM(Brand_Log!W181)&lt;&gt;"")),Brand_Log!H181,"")</f>
        <v/>
      </c>
      <c r="C1381" s="23" t="str">
        <f aca="false">IF(B1381="","","brand")</f>
        <v/>
      </c>
      <c r="D1381" s="23" t="str">
        <f aca="false">IF(B1381="","",Brand_Log!DV181&amp;"")</f>
        <v/>
      </c>
      <c r="E1381" s="23" t="str">
        <f aca="false">IF(B1381="","",IF(Brand_Log!B181="","",Brand_Log!B181&amp;""))</f>
        <v/>
      </c>
      <c r="F1381" s="23" t="str">
        <f aca="false">IF(B1381="","","budget_probe")</f>
        <v/>
      </c>
      <c r="G1381" s="23" t="str">
        <f aca="false">IF(B1381="","",IF(ISNUMBER(Brand_Log!V181),Brand_Log!V181,""))</f>
        <v/>
      </c>
      <c r="H1381" s="23" t="str">
        <f aca="false">IF(B1381="","",IF(Brand_Log!W181="","",Brand_Log!W181&amp;""))</f>
        <v/>
      </c>
      <c r="I1381" s="23" t="str">
        <f aca="false">IF(B1381="","",IF(Brand_Log!O181="","",Brand_Log!O181&amp;""))</f>
        <v/>
      </c>
      <c r="J1381" s="23" t="str">
        <f aca="false">IF(B1381="","","after_1500")</f>
        <v/>
      </c>
      <c r="K1381" s="32" t="s">
        <v>1358</v>
      </c>
    </row>
    <row r="1382" customFormat="false" ht="15" hidden="false" customHeight="false" outlineLevel="0" collapsed="false">
      <c r="A1382" s="23" t="str">
        <f aca="false">IF(B1382="","",B1382+(7*1000+181)/10000000)</f>
        <v/>
      </c>
      <c r="B1382" s="35" t="str">
        <f aca="false">IF(AND(Brand_Log!AY182=1,Brand_Log!U182="Y",OR(ISNUMBER(Brand_Log!V182),TRIM(Brand_Log!W182)&lt;&gt;"")),Brand_Log!H182,"")</f>
        <v/>
      </c>
      <c r="C1382" s="23" t="str">
        <f aca="false">IF(B1382="","","brand")</f>
        <v/>
      </c>
      <c r="D1382" s="23" t="str">
        <f aca="false">IF(B1382="","",Brand_Log!DV182&amp;"")</f>
        <v/>
      </c>
      <c r="E1382" s="23" t="str">
        <f aca="false">IF(B1382="","",IF(Brand_Log!B182="","",Brand_Log!B182&amp;""))</f>
        <v/>
      </c>
      <c r="F1382" s="23" t="str">
        <f aca="false">IF(B1382="","","budget_probe")</f>
        <v/>
      </c>
      <c r="G1382" s="23" t="str">
        <f aca="false">IF(B1382="","",IF(ISNUMBER(Brand_Log!V182),Brand_Log!V182,""))</f>
        <v/>
      </c>
      <c r="H1382" s="23" t="str">
        <f aca="false">IF(B1382="","",IF(Brand_Log!W182="","",Brand_Log!W182&amp;""))</f>
        <v/>
      </c>
      <c r="I1382" s="23" t="str">
        <f aca="false">IF(B1382="","",IF(Brand_Log!O182="","",Brand_Log!O182&amp;""))</f>
        <v/>
      </c>
      <c r="J1382" s="23" t="str">
        <f aca="false">IF(B1382="","","after_1500")</f>
        <v/>
      </c>
      <c r="K1382" s="32" t="s">
        <v>1358</v>
      </c>
    </row>
    <row r="1383" customFormat="false" ht="15" hidden="false" customHeight="false" outlineLevel="0" collapsed="false">
      <c r="A1383" s="23" t="str">
        <f aca="false">IF(B1383="","",B1383+(7*1000+182)/10000000)</f>
        <v/>
      </c>
      <c r="B1383" s="35" t="str">
        <f aca="false">IF(AND(Brand_Log!AY183=1,Brand_Log!U183="Y",OR(ISNUMBER(Brand_Log!V183),TRIM(Brand_Log!W183)&lt;&gt;"")),Brand_Log!H183,"")</f>
        <v/>
      </c>
      <c r="C1383" s="23" t="str">
        <f aca="false">IF(B1383="","","brand")</f>
        <v/>
      </c>
      <c r="D1383" s="23" t="str">
        <f aca="false">IF(B1383="","",Brand_Log!DV183&amp;"")</f>
        <v/>
      </c>
      <c r="E1383" s="23" t="str">
        <f aca="false">IF(B1383="","",IF(Brand_Log!B183="","",Brand_Log!B183&amp;""))</f>
        <v/>
      </c>
      <c r="F1383" s="23" t="str">
        <f aca="false">IF(B1383="","","budget_probe")</f>
        <v/>
      </c>
      <c r="G1383" s="23" t="str">
        <f aca="false">IF(B1383="","",IF(ISNUMBER(Brand_Log!V183),Brand_Log!V183,""))</f>
        <v/>
      </c>
      <c r="H1383" s="23" t="str">
        <f aca="false">IF(B1383="","",IF(Brand_Log!W183="","",Brand_Log!W183&amp;""))</f>
        <v/>
      </c>
      <c r="I1383" s="23" t="str">
        <f aca="false">IF(B1383="","",IF(Brand_Log!O183="","",Brand_Log!O183&amp;""))</f>
        <v/>
      </c>
      <c r="J1383" s="23" t="str">
        <f aca="false">IF(B1383="","","after_1500")</f>
        <v/>
      </c>
      <c r="K1383" s="32" t="s">
        <v>1358</v>
      </c>
    </row>
    <row r="1384" customFormat="false" ht="15" hidden="false" customHeight="false" outlineLevel="0" collapsed="false">
      <c r="A1384" s="23" t="str">
        <f aca="false">IF(B1384="","",B1384+(7*1000+183)/10000000)</f>
        <v/>
      </c>
      <c r="B1384" s="35" t="str">
        <f aca="false">IF(AND(Brand_Log!AY184=1,Brand_Log!U184="Y",OR(ISNUMBER(Brand_Log!V184),TRIM(Brand_Log!W184)&lt;&gt;"")),Brand_Log!H184,"")</f>
        <v/>
      </c>
      <c r="C1384" s="23" t="str">
        <f aca="false">IF(B1384="","","brand")</f>
        <v/>
      </c>
      <c r="D1384" s="23" t="str">
        <f aca="false">IF(B1384="","",Brand_Log!DV184&amp;"")</f>
        <v/>
      </c>
      <c r="E1384" s="23" t="str">
        <f aca="false">IF(B1384="","",IF(Brand_Log!B184="","",Brand_Log!B184&amp;""))</f>
        <v/>
      </c>
      <c r="F1384" s="23" t="str">
        <f aca="false">IF(B1384="","","budget_probe")</f>
        <v/>
      </c>
      <c r="G1384" s="23" t="str">
        <f aca="false">IF(B1384="","",IF(ISNUMBER(Brand_Log!V184),Brand_Log!V184,""))</f>
        <v/>
      </c>
      <c r="H1384" s="23" t="str">
        <f aca="false">IF(B1384="","",IF(Brand_Log!W184="","",Brand_Log!W184&amp;""))</f>
        <v/>
      </c>
      <c r="I1384" s="23" t="str">
        <f aca="false">IF(B1384="","",IF(Brand_Log!O184="","",Brand_Log!O184&amp;""))</f>
        <v/>
      </c>
      <c r="J1384" s="23" t="str">
        <f aca="false">IF(B1384="","","after_1500")</f>
        <v/>
      </c>
      <c r="K1384" s="32" t="s">
        <v>1358</v>
      </c>
    </row>
    <row r="1385" customFormat="false" ht="15" hidden="false" customHeight="false" outlineLevel="0" collapsed="false">
      <c r="A1385" s="23" t="str">
        <f aca="false">IF(B1385="","",B1385+(7*1000+184)/10000000)</f>
        <v/>
      </c>
      <c r="B1385" s="35" t="str">
        <f aca="false">IF(AND(Brand_Log!AY185=1,Brand_Log!U185="Y",OR(ISNUMBER(Brand_Log!V185),TRIM(Brand_Log!W185)&lt;&gt;"")),Brand_Log!H185,"")</f>
        <v/>
      </c>
      <c r="C1385" s="23" t="str">
        <f aca="false">IF(B1385="","","brand")</f>
        <v/>
      </c>
      <c r="D1385" s="23" t="str">
        <f aca="false">IF(B1385="","",Brand_Log!DV185&amp;"")</f>
        <v/>
      </c>
      <c r="E1385" s="23" t="str">
        <f aca="false">IF(B1385="","",IF(Brand_Log!B185="","",Brand_Log!B185&amp;""))</f>
        <v/>
      </c>
      <c r="F1385" s="23" t="str">
        <f aca="false">IF(B1385="","","budget_probe")</f>
        <v/>
      </c>
      <c r="G1385" s="23" t="str">
        <f aca="false">IF(B1385="","",IF(ISNUMBER(Brand_Log!V185),Brand_Log!V185,""))</f>
        <v/>
      </c>
      <c r="H1385" s="23" t="str">
        <f aca="false">IF(B1385="","",IF(Brand_Log!W185="","",Brand_Log!W185&amp;""))</f>
        <v/>
      </c>
      <c r="I1385" s="23" t="str">
        <f aca="false">IF(B1385="","",IF(Brand_Log!O185="","",Brand_Log!O185&amp;""))</f>
        <v/>
      </c>
      <c r="J1385" s="23" t="str">
        <f aca="false">IF(B1385="","","after_1500")</f>
        <v/>
      </c>
      <c r="K1385" s="32" t="s">
        <v>1358</v>
      </c>
    </row>
    <row r="1386" customFormat="false" ht="15" hidden="false" customHeight="false" outlineLevel="0" collapsed="false">
      <c r="A1386" s="23" t="str">
        <f aca="false">IF(B1386="","",B1386+(7*1000+185)/10000000)</f>
        <v/>
      </c>
      <c r="B1386" s="35" t="str">
        <f aca="false">IF(AND(Brand_Log!AY186=1,Brand_Log!U186="Y",OR(ISNUMBER(Brand_Log!V186),TRIM(Brand_Log!W186)&lt;&gt;"")),Brand_Log!H186,"")</f>
        <v/>
      </c>
      <c r="C1386" s="23" t="str">
        <f aca="false">IF(B1386="","","brand")</f>
        <v/>
      </c>
      <c r="D1386" s="23" t="str">
        <f aca="false">IF(B1386="","",Brand_Log!DV186&amp;"")</f>
        <v/>
      </c>
      <c r="E1386" s="23" t="str">
        <f aca="false">IF(B1386="","",IF(Brand_Log!B186="","",Brand_Log!B186&amp;""))</f>
        <v/>
      </c>
      <c r="F1386" s="23" t="str">
        <f aca="false">IF(B1386="","","budget_probe")</f>
        <v/>
      </c>
      <c r="G1386" s="23" t="str">
        <f aca="false">IF(B1386="","",IF(ISNUMBER(Brand_Log!V186),Brand_Log!V186,""))</f>
        <v/>
      </c>
      <c r="H1386" s="23" t="str">
        <f aca="false">IF(B1386="","",IF(Brand_Log!W186="","",Brand_Log!W186&amp;""))</f>
        <v/>
      </c>
      <c r="I1386" s="23" t="str">
        <f aca="false">IF(B1386="","",IF(Brand_Log!O186="","",Brand_Log!O186&amp;""))</f>
        <v/>
      </c>
      <c r="J1386" s="23" t="str">
        <f aca="false">IF(B1386="","","after_1500")</f>
        <v/>
      </c>
      <c r="K1386" s="32" t="s">
        <v>1358</v>
      </c>
    </row>
    <row r="1387" customFormat="false" ht="15" hidden="false" customHeight="false" outlineLevel="0" collapsed="false">
      <c r="A1387" s="23" t="str">
        <f aca="false">IF(B1387="","",B1387+(7*1000+186)/10000000)</f>
        <v/>
      </c>
      <c r="B1387" s="35" t="str">
        <f aca="false">IF(AND(Brand_Log!AY187=1,Brand_Log!U187="Y",OR(ISNUMBER(Brand_Log!V187),TRIM(Brand_Log!W187)&lt;&gt;"")),Brand_Log!H187,"")</f>
        <v/>
      </c>
      <c r="C1387" s="23" t="str">
        <f aca="false">IF(B1387="","","brand")</f>
        <v/>
      </c>
      <c r="D1387" s="23" t="str">
        <f aca="false">IF(B1387="","",Brand_Log!DV187&amp;"")</f>
        <v/>
      </c>
      <c r="E1387" s="23" t="str">
        <f aca="false">IF(B1387="","",IF(Brand_Log!B187="","",Brand_Log!B187&amp;""))</f>
        <v/>
      </c>
      <c r="F1387" s="23" t="str">
        <f aca="false">IF(B1387="","","budget_probe")</f>
        <v/>
      </c>
      <c r="G1387" s="23" t="str">
        <f aca="false">IF(B1387="","",IF(ISNUMBER(Brand_Log!V187),Brand_Log!V187,""))</f>
        <v/>
      </c>
      <c r="H1387" s="23" t="str">
        <f aca="false">IF(B1387="","",IF(Brand_Log!W187="","",Brand_Log!W187&amp;""))</f>
        <v/>
      </c>
      <c r="I1387" s="23" t="str">
        <f aca="false">IF(B1387="","",IF(Brand_Log!O187="","",Brand_Log!O187&amp;""))</f>
        <v/>
      </c>
      <c r="J1387" s="23" t="str">
        <f aca="false">IF(B1387="","","after_1500")</f>
        <v/>
      </c>
      <c r="K1387" s="32" t="s">
        <v>1358</v>
      </c>
    </row>
    <row r="1388" customFormat="false" ht="15" hidden="false" customHeight="false" outlineLevel="0" collapsed="false">
      <c r="A1388" s="23" t="str">
        <f aca="false">IF(B1388="","",B1388+(7*1000+187)/10000000)</f>
        <v/>
      </c>
      <c r="B1388" s="35" t="str">
        <f aca="false">IF(AND(Brand_Log!AY188=1,Brand_Log!U188="Y",OR(ISNUMBER(Brand_Log!V188),TRIM(Brand_Log!W188)&lt;&gt;"")),Brand_Log!H188,"")</f>
        <v/>
      </c>
      <c r="C1388" s="23" t="str">
        <f aca="false">IF(B1388="","","brand")</f>
        <v/>
      </c>
      <c r="D1388" s="23" t="str">
        <f aca="false">IF(B1388="","",Brand_Log!DV188&amp;"")</f>
        <v/>
      </c>
      <c r="E1388" s="23" t="str">
        <f aca="false">IF(B1388="","",IF(Brand_Log!B188="","",Brand_Log!B188&amp;""))</f>
        <v/>
      </c>
      <c r="F1388" s="23" t="str">
        <f aca="false">IF(B1388="","","budget_probe")</f>
        <v/>
      </c>
      <c r="G1388" s="23" t="str">
        <f aca="false">IF(B1388="","",IF(ISNUMBER(Brand_Log!V188),Brand_Log!V188,""))</f>
        <v/>
      </c>
      <c r="H1388" s="23" t="str">
        <f aca="false">IF(B1388="","",IF(Brand_Log!W188="","",Brand_Log!W188&amp;""))</f>
        <v/>
      </c>
      <c r="I1388" s="23" t="str">
        <f aca="false">IF(B1388="","",IF(Brand_Log!O188="","",Brand_Log!O188&amp;""))</f>
        <v/>
      </c>
      <c r="J1388" s="23" t="str">
        <f aca="false">IF(B1388="","","after_1500")</f>
        <v/>
      </c>
      <c r="K1388" s="32" t="s">
        <v>1358</v>
      </c>
    </row>
    <row r="1389" customFormat="false" ht="15" hidden="false" customHeight="false" outlineLevel="0" collapsed="false">
      <c r="A1389" s="23" t="str">
        <f aca="false">IF(B1389="","",B1389+(7*1000+188)/10000000)</f>
        <v/>
      </c>
      <c r="B1389" s="35" t="str">
        <f aca="false">IF(AND(Brand_Log!AY189=1,Brand_Log!U189="Y",OR(ISNUMBER(Brand_Log!V189),TRIM(Brand_Log!W189)&lt;&gt;"")),Brand_Log!H189,"")</f>
        <v/>
      </c>
      <c r="C1389" s="23" t="str">
        <f aca="false">IF(B1389="","","brand")</f>
        <v/>
      </c>
      <c r="D1389" s="23" t="str">
        <f aca="false">IF(B1389="","",Brand_Log!DV189&amp;"")</f>
        <v/>
      </c>
      <c r="E1389" s="23" t="str">
        <f aca="false">IF(B1389="","",IF(Brand_Log!B189="","",Brand_Log!B189&amp;""))</f>
        <v/>
      </c>
      <c r="F1389" s="23" t="str">
        <f aca="false">IF(B1389="","","budget_probe")</f>
        <v/>
      </c>
      <c r="G1389" s="23" t="str">
        <f aca="false">IF(B1389="","",IF(ISNUMBER(Brand_Log!V189),Brand_Log!V189,""))</f>
        <v/>
      </c>
      <c r="H1389" s="23" t="str">
        <f aca="false">IF(B1389="","",IF(Brand_Log!W189="","",Brand_Log!W189&amp;""))</f>
        <v/>
      </c>
      <c r="I1389" s="23" t="str">
        <f aca="false">IF(B1389="","",IF(Brand_Log!O189="","",Brand_Log!O189&amp;""))</f>
        <v/>
      </c>
      <c r="J1389" s="23" t="str">
        <f aca="false">IF(B1389="","","after_1500")</f>
        <v/>
      </c>
      <c r="K1389" s="32" t="s">
        <v>1358</v>
      </c>
    </row>
    <row r="1390" customFormat="false" ht="15" hidden="false" customHeight="false" outlineLevel="0" collapsed="false">
      <c r="A1390" s="23" t="str">
        <f aca="false">IF(B1390="","",B1390+(7*1000+189)/10000000)</f>
        <v/>
      </c>
      <c r="B1390" s="35" t="str">
        <f aca="false">IF(AND(Brand_Log!AY190=1,Brand_Log!U190="Y",OR(ISNUMBER(Brand_Log!V190),TRIM(Brand_Log!W190)&lt;&gt;"")),Brand_Log!H190,"")</f>
        <v/>
      </c>
      <c r="C1390" s="23" t="str">
        <f aca="false">IF(B1390="","","brand")</f>
        <v/>
      </c>
      <c r="D1390" s="23" t="str">
        <f aca="false">IF(B1390="","",Brand_Log!DV190&amp;"")</f>
        <v/>
      </c>
      <c r="E1390" s="23" t="str">
        <f aca="false">IF(B1390="","",IF(Brand_Log!B190="","",Brand_Log!B190&amp;""))</f>
        <v/>
      </c>
      <c r="F1390" s="23" t="str">
        <f aca="false">IF(B1390="","","budget_probe")</f>
        <v/>
      </c>
      <c r="G1390" s="23" t="str">
        <f aca="false">IF(B1390="","",IF(ISNUMBER(Brand_Log!V190),Brand_Log!V190,""))</f>
        <v/>
      </c>
      <c r="H1390" s="23" t="str">
        <f aca="false">IF(B1390="","",IF(Brand_Log!W190="","",Brand_Log!W190&amp;""))</f>
        <v/>
      </c>
      <c r="I1390" s="23" t="str">
        <f aca="false">IF(B1390="","",IF(Brand_Log!O190="","",Brand_Log!O190&amp;""))</f>
        <v/>
      </c>
      <c r="J1390" s="23" t="str">
        <f aca="false">IF(B1390="","","after_1500")</f>
        <v/>
      </c>
      <c r="K1390" s="32" t="s">
        <v>1358</v>
      </c>
    </row>
    <row r="1391" customFormat="false" ht="15" hidden="false" customHeight="false" outlineLevel="0" collapsed="false">
      <c r="A1391" s="23" t="str">
        <f aca="false">IF(B1391="","",B1391+(7*1000+190)/10000000)</f>
        <v/>
      </c>
      <c r="B1391" s="35" t="str">
        <f aca="false">IF(AND(Brand_Log!AY191=1,Brand_Log!U191="Y",OR(ISNUMBER(Brand_Log!V191),TRIM(Brand_Log!W191)&lt;&gt;"")),Brand_Log!H191,"")</f>
        <v/>
      </c>
      <c r="C1391" s="23" t="str">
        <f aca="false">IF(B1391="","","brand")</f>
        <v/>
      </c>
      <c r="D1391" s="23" t="str">
        <f aca="false">IF(B1391="","",Brand_Log!DV191&amp;"")</f>
        <v/>
      </c>
      <c r="E1391" s="23" t="str">
        <f aca="false">IF(B1391="","",IF(Brand_Log!B191="","",Brand_Log!B191&amp;""))</f>
        <v/>
      </c>
      <c r="F1391" s="23" t="str">
        <f aca="false">IF(B1391="","","budget_probe")</f>
        <v/>
      </c>
      <c r="G1391" s="23" t="str">
        <f aca="false">IF(B1391="","",IF(ISNUMBER(Brand_Log!V191),Brand_Log!V191,""))</f>
        <v/>
      </c>
      <c r="H1391" s="23" t="str">
        <f aca="false">IF(B1391="","",IF(Brand_Log!W191="","",Brand_Log!W191&amp;""))</f>
        <v/>
      </c>
      <c r="I1391" s="23" t="str">
        <f aca="false">IF(B1391="","",IF(Brand_Log!O191="","",Brand_Log!O191&amp;""))</f>
        <v/>
      </c>
      <c r="J1391" s="23" t="str">
        <f aca="false">IF(B1391="","","after_1500")</f>
        <v/>
      </c>
      <c r="K1391" s="32" t="s">
        <v>1358</v>
      </c>
    </row>
    <row r="1392" customFormat="false" ht="15" hidden="false" customHeight="false" outlineLevel="0" collapsed="false">
      <c r="A1392" s="23" t="str">
        <f aca="false">IF(B1392="","",B1392+(7*1000+191)/10000000)</f>
        <v/>
      </c>
      <c r="B1392" s="35" t="str">
        <f aca="false">IF(AND(Brand_Log!AY192=1,Brand_Log!U192="Y",OR(ISNUMBER(Brand_Log!V192),TRIM(Brand_Log!W192)&lt;&gt;"")),Brand_Log!H192,"")</f>
        <v/>
      </c>
      <c r="C1392" s="23" t="str">
        <f aca="false">IF(B1392="","","brand")</f>
        <v/>
      </c>
      <c r="D1392" s="23" t="str">
        <f aca="false">IF(B1392="","",Brand_Log!DV192&amp;"")</f>
        <v/>
      </c>
      <c r="E1392" s="23" t="str">
        <f aca="false">IF(B1392="","",IF(Brand_Log!B192="","",Brand_Log!B192&amp;""))</f>
        <v/>
      </c>
      <c r="F1392" s="23" t="str">
        <f aca="false">IF(B1392="","","budget_probe")</f>
        <v/>
      </c>
      <c r="G1392" s="23" t="str">
        <f aca="false">IF(B1392="","",IF(ISNUMBER(Brand_Log!V192),Brand_Log!V192,""))</f>
        <v/>
      </c>
      <c r="H1392" s="23" t="str">
        <f aca="false">IF(B1392="","",IF(Brand_Log!W192="","",Brand_Log!W192&amp;""))</f>
        <v/>
      </c>
      <c r="I1392" s="23" t="str">
        <f aca="false">IF(B1392="","",IF(Brand_Log!O192="","",Brand_Log!O192&amp;""))</f>
        <v/>
      </c>
      <c r="J1392" s="23" t="str">
        <f aca="false">IF(B1392="","","after_1500")</f>
        <v/>
      </c>
      <c r="K1392" s="32" t="s">
        <v>1358</v>
      </c>
    </row>
    <row r="1393" customFormat="false" ht="15" hidden="false" customHeight="false" outlineLevel="0" collapsed="false">
      <c r="A1393" s="23" t="str">
        <f aca="false">IF(B1393="","",B1393+(7*1000+192)/10000000)</f>
        <v/>
      </c>
      <c r="B1393" s="35" t="str">
        <f aca="false">IF(AND(Brand_Log!AY193=1,Brand_Log!U193="Y",OR(ISNUMBER(Brand_Log!V193),TRIM(Brand_Log!W193)&lt;&gt;"")),Brand_Log!H193,"")</f>
        <v/>
      </c>
      <c r="C1393" s="23" t="str">
        <f aca="false">IF(B1393="","","brand")</f>
        <v/>
      </c>
      <c r="D1393" s="23" t="str">
        <f aca="false">IF(B1393="","",Brand_Log!DV193&amp;"")</f>
        <v/>
      </c>
      <c r="E1393" s="23" t="str">
        <f aca="false">IF(B1393="","",IF(Brand_Log!B193="","",Brand_Log!B193&amp;""))</f>
        <v/>
      </c>
      <c r="F1393" s="23" t="str">
        <f aca="false">IF(B1393="","","budget_probe")</f>
        <v/>
      </c>
      <c r="G1393" s="23" t="str">
        <f aca="false">IF(B1393="","",IF(ISNUMBER(Brand_Log!V193),Brand_Log!V193,""))</f>
        <v/>
      </c>
      <c r="H1393" s="23" t="str">
        <f aca="false">IF(B1393="","",IF(Brand_Log!W193="","",Brand_Log!W193&amp;""))</f>
        <v/>
      </c>
      <c r="I1393" s="23" t="str">
        <f aca="false">IF(B1393="","",IF(Brand_Log!O193="","",Brand_Log!O193&amp;""))</f>
        <v/>
      </c>
      <c r="J1393" s="23" t="str">
        <f aca="false">IF(B1393="","","after_1500")</f>
        <v/>
      </c>
      <c r="K1393" s="32" t="s">
        <v>1358</v>
      </c>
    </row>
    <row r="1394" customFormat="false" ht="15" hidden="false" customHeight="false" outlineLevel="0" collapsed="false">
      <c r="A1394" s="23" t="str">
        <f aca="false">IF(B1394="","",B1394+(7*1000+193)/10000000)</f>
        <v/>
      </c>
      <c r="B1394" s="35" t="str">
        <f aca="false">IF(AND(Brand_Log!AY194=1,Brand_Log!U194="Y",OR(ISNUMBER(Brand_Log!V194),TRIM(Brand_Log!W194)&lt;&gt;"")),Brand_Log!H194,"")</f>
        <v/>
      </c>
      <c r="C1394" s="23" t="str">
        <f aca="false">IF(B1394="","","brand")</f>
        <v/>
      </c>
      <c r="D1394" s="23" t="str">
        <f aca="false">IF(B1394="","",Brand_Log!DV194&amp;"")</f>
        <v/>
      </c>
      <c r="E1394" s="23" t="str">
        <f aca="false">IF(B1394="","",IF(Brand_Log!B194="","",Brand_Log!B194&amp;""))</f>
        <v/>
      </c>
      <c r="F1394" s="23" t="str">
        <f aca="false">IF(B1394="","","budget_probe")</f>
        <v/>
      </c>
      <c r="G1394" s="23" t="str">
        <f aca="false">IF(B1394="","",IF(ISNUMBER(Brand_Log!V194),Brand_Log!V194,""))</f>
        <v/>
      </c>
      <c r="H1394" s="23" t="str">
        <f aca="false">IF(B1394="","",IF(Brand_Log!W194="","",Brand_Log!W194&amp;""))</f>
        <v/>
      </c>
      <c r="I1394" s="23" t="str">
        <f aca="false">IF(B1394="","",IF(Brand_Log!O194="","",Brand_Log!O194&amp;""))</f>
        <v/>
      </c>
      <c r="J1394" s="23" t="str">
        <f aca="false">IF(B1394="","","after_1500")</f>
        <v/>
      </c>
      <c r="K1394" s="32" t="s">
        <v>1358</v>
      </c>
    </row>
    <row r="1395" customFormat="false" ht="15" hidden="false" customHeight="false" outlineLevel="0" collapsed="false">
      <c r="A1395" s="23" t="str">
        <f aca="false">IF(B1395="","",B1395+(7*1000+194)/10000000)</f>
        <v/>
      </c>
      <c r="B1395" s="35" t="str">
        <f aca="false">IF(AND(Brand_Log!AY195=1,Brand_Log!U195="Y",OR(ISNUMBER(Brand_Log!V195),TRIM(Brand_Log!W195)&lt;&gt;"")),Brand_Log!H195,"")</f>
        <v/>
      </c>
      <c r="C1395" s="23" t="str">
        <f aca="false">IF(B1395="","","brand")</f>
        <v/>
      </c>
      <c r="D1395" s="23" t="str">
        <f aca="false">IF(B1395="","",Brand_Log!DV195&amp;"")</f>
        <v/>
      </c>
      <c r="E1395" s="23" t="str">
        <f aca="false">IF(B1395="","",IF(Brand_Log!B195="","",Brand_Log!B195&amp;""))</f>
        <v/>
      </c>
      <c r="F1395" s="23" t="str">
        <f aca="false">IF(B1395="","","budget_probe")</f>
        <v/>
      </c>
      <c r="G1395" s="23" t="str">
        <f aca="false">IF(B1395="","",IF(ISNUMBER(Brand_Log!V195),Brand_Log!V195,""))</f>
        <v/>
      </c>
      <c r="H1395" s="23" t="str">
        <f aca="false">IF(B1395="","",IF(Brand_Log!W195="","",Brand_Log!W195&amp;""))</f>
        <v/>
      </c>
      <c r="I1395" s="23" t="str">
        <f aca="false">IF(B1395="","",IF(Brand_Log!O195="","",Brand_Log!O195&amp;""))</f>
        <v/>
      </c>
      <c r="J1395" s="23" t="str">
        <f aca="false">IF(B1395="","","after_1500")</f>
        <v/>
      </c>
      <c r="K1395" s="32" t="s">
        <v>1358</v>
      </c>
    </row>
    <row r="1396" customFormat="false" ht="15" hidden="false" customHeight="false" outlineLevel="0" collapsed="false">
      <c r="A1396" s="23" t="str">
        <f aca="false">IF(B1396="","",B1396+(7*1000+195)/10000000)</f>
        <v/>
      </c>
      <c r="B1396" s="35" t="str">
        <f aca="false">IF(AND(Brand_Log!AY196=1,Brand_Log!U196="Y",OR(ISNUMBER(Brand_Log!V196),TRIM(Brand_Log!W196)&lt;&gt;"")),Brand_Log!H196,"")</f>
        <v/>
      </c>
      <c r="C1396" s="23" t="str">
        <f aca="false">IF(B1396="","","brand")</f>
        <v/>
      </c>
      <c r="D1396" s="23" t="str">
        <f aca="false">IF(B1396="","",Brand_Log!DV196&amp;"")</f>
        <v/>
      </c>
      <c r="E1396" s="23" t="str">
        <f aca="false">IF(B1396="","",IF(Brand_Log!B196="","",Brand_Log!B196&amp;""))</f>
        <v/>
      </c>
      <c r="F1396" s="23" t="str">
        <f aca="false">IF(B1396="","","budget_probe")</f>
        <v/>
      </c>
      <c r="G1396" s="23" t="str">
        <f aca="false">IF(B1396="","",IF(ISNUMBER(Brand_Log!V196),Brand_Log!V196,""))</f>
        <v/>
      </c>
      <c r="H1396" s="23" t="str">
        <f aca="false">IF(B1396="","",IF(Brand_Log!W196="","",Brand_Log!W196&amp;""))</f>
        <v/>
      </c>
      <c r="I1396" s="23" t="str">
        <f aca="false">IF(B1396="","",IF(Brand_Log!O196="","",Brand_Log!O196&amp;""))</f>
        <v/>
      </c>
      <c r="J1396" s="23" t="str">
        <f aca="false">IF(B1396="","","after_1500")</f>
        <v/>
      </c>
      <c r="K1396" s="32" t="s">
        <v>1358</v>
      </c>
    </row>
    <row r="1397" customFormat="false" ht="15" hidden="false" customHeight="false" outlineLevel="0" collapsed="false">
      <c r="A1397" s="23" t="str">
        <f aca="false">IF(B1397="","",B1397+(7*1000+196)/10000000)</f>
        <v/>
      </c>
      <c r="B1397" s="35" t="str">
        <f aca="false">IF(AND(Brand_Log!AY197=1,Brand_Log!U197="Y",OR(ISNUMBER(Brand_Log!V197),TRIM(Brand_Log!W197)&lt;&gt;"")),Brand_Log!H197,"")</f>
        <v/>
      </c>
      <c r="C1397" s="23" t="str">
        <f aca="false">IF(B1397="","","brand")</f>
        <v/>
      </c>
      <c r="D1397" s="23" t="str">
        <f aca="false">IF(B1397="","",Brand_Log!DV197&amp;"")</f>
        <v/>
      </c>
      <c r="E1397" s="23" t="str">
        <f aca="false">IF(B1397="","",IF(Brand_Log!B197="","",Brand_Log!B197&amp;""))</f>
        <v/>
      </c>
      <c r="F1397" s="23" t="str">
        <f aca="false">IF(B1397="","","budget_probe")</f>
        <v/>
      </c>
      <c r="G1397" s="23" t="str">
        <f aca="false">IF(B1397="","",IF(ISNUMBER(Brand_Log!V197),Brand_Log!V197,""))</f>
        <v/>
      </c>
      <c r="H1397" s="23" t="str">
        <f aca="false">IF(B1397="","",IF(Brand_Log!W197="","",Brand_Log!W197&amp;""))</f>
        <v/>
      </c>
      <c r="I1397" s="23" t="str">
        <f aca="false">IF(B1397="","",IF(Brand_Log!O197="","",Brand_Log!O197&amp;""))</f>
        <v/>
      </c>
      <c r="J1397" s="23" t="str">
        <f aca="false">IF(B1397="","","after_1500")</f>
        <v/>
      </c>
      <c r="K1397" s="32" t="s">
        <v>1358</v>
      </c>
    </row>
    <row r="1398" customFormat="false" ht="15" hidden="false" customHeight="false" outlineLevel="0" collapsed="false">
      <c r="A1398" s="23" t="str">
        <f aca="false">IF(B1398="","",B1398+(7*1000+197)/10000000)</f>
        <v/>
      </c>
      <c r="B1398" s="35" t="str">
        <f aca="false">IF(AND(Brand_Log!AY198=1,Brand_Log!U198="Y",OR(ISNUMBER(Brand_Log!V198),TRIM(Brand_Log!W198)&lt;&gt;"")),Brand_Log!H198,"")</f>
        <v/>
      </c>
      <c r="C1398" s="23" t="str">
        <f aca="false">IF(B1398="","","brand")</f>
        <v/>
      </c>
      <c r="D1398" s="23" t="str">
        <f aca="false">IF(B1398="","",Brand_Log!DV198&amp;"")</f>
        <v/>
      </c>
      <c r="E1398" s="23" t="str">
        <f aca="false">IF(B1398="","",IF(Brand_Log!B198="","",Brand_Log!B198&amp;""))</f>
        <v/>
      </c>
      <c r="F1398" s="23" t="str">
        <f aca="false">IF(B1398="","","budget_probe")</f>
        <v/>
      </c>
      <c r="G1398" s="23" t="str">
        <f aca="false">IF(B1398="","",IF(ISNUMBER(Brand_Log!V198),Brand_Log!V198,""))</f>
        <v/>
      </c>
      <c r="H1398" s="23" t="str">
        <f aca="false">IF(B1398="","",IF(Brand_Log!W198="","",Brand_Log!W198&amp;""))</f>
        <v/>
      </c>
      <c r="I1398" s="23" t="str">
        <f aca="false">IF(B1398="","",IF(Brand_Log!O198="","",Brand_Log!O198&amp;""))</f>
        <v/>
      </c>
      <c r="J1398" s="23" t="str">
        <f aca="false">IF(B1398="","","after_1500")</f>
        <v/>
      </c>
      <c r="K1398" s="32" t="s">
        <v>1358</v>
      </c>
    </row>
    <row r="1399" customFormat="false" ht="15" hidden="false" customHeight="false" outlineLevel="0" collapsed="false">
      <c r="A1399" s="23" t="str">
        <f aca="false">IF(B1399="","",B1399+(7*1000+198)/10000000)</f>
        <v/>
      </c>
      <c r="B1399" s="35" t="str">
        <f aca="false">IF(AND(Brand_Log!AY199=1,Brand_Log!U199="Y",OR(ISNUMBER(Brand_Log!V199),TRIM(Brand_Log!W199)&lt;&gt;"")),Brand_Log!H199,"")</f>
        <v/>
      </c>
      <c r="C1399" s="23" t="str">
        <f aca="false">IF(B1399="","","brand")</f>
        <v/>
      </c>
      <c r="D1399" s="23" t="str">
        <f aca="false">IF(B1399="","",Brand_Log!DV199&amp;"")</f>
        <v/>
      </c>
      <c r="E1399" s="23" t="str">
        <f aca="false">IF(B1399="","",IF(Brand_Log!B199="","",Brand_Log!B199&amp;""))</f>
        <v/>
      </c>
      <c r="F1399" s="23" t="str">
        <f aca="false">IF(B1399="","","budget_probe")</f>
        <v/>
      </c>
      <c r="G1399" s="23" t="str">
        <f aca="false">IF(B1399="","",IF(ISNUMBER(Brand_Log!V199),Brand_Log!V199,""))</f>
        <v/>
      </c>
      <c r="H1399" s="23" t="str">
        <f aca="false">IF(B1399="","",IF(Brand_Log!W199="","",Brand_Log!W199&amp;""))</f>
        <v/>
      </c>
      <c r="I1399" s="23" t="str">
        <f aca="false">IF(B1399="","",IF(Brand_Log!O199="","",Brand_Log!O199&amp;""))</f>
        <v/>
      </c>
      <c r="J1399" s="23" t="str">
        <f aca="false">IF(B1399="","","after_1500")</f>
        <v/>
      </c>
      <c r="K1399" s="32" t="s">
        <v>1358</v>
      </c>
    </row>
    <row r="1400" customFormat="false" ht="15" hidden="false" customHeight="false" outlineLevel="0" collapsed="false">
      <c r="A1400" s="23" t="str">
        <f aca="false">IF(B1400="","",B1400+(7*1000+199)/10000000)</f>
        <v/>
      </c>
      <c r="B1400" s="35" t="str">
        <f aca="false">IF(AND(Brand_Log!AY200=1,Brand_Log!U200="Y",OR(ISNUMBER(Brand_Log!V200),TRIM(Brand_Log!W200)&lt;&gt;"")),Brand_Log!H200,"")</f>
        <v/>
      </c>
      <c r="C1400" s="23" t="str">
        <f aca="false">IF(B1400="","","brand")</f>
        <v/>
      </c>
      <c r="D1400" s="23" t="str">
        <f aca="false">IF(B1400="","",Brand_Log!DV200&amp;"")</f>
        <v/>
      </c>
      <c r="E1400" s="23" t="str">
        <f aca="false">IF(B1400="","",IF(Brand_Log!B200="","",Brand_Log!B200&amp;""))</f>
        <v/>
      </c>
      <c r="F1400" s="23" t="str">
        <f aca="false">IF(B1400="","","budget_probe")</f>
        <v/>
      </c>
      <c r="G1400" s="23" t="str">
        <f aca="false">IF(B1400="","",IF(ISNUMBER(Brand_Log!V200),Brand_Log!V200,""))</f>
        <v/>
      </c>
      <c r="H1400" s="23" t="str">
        <f aca="false">IF(B1400="","",IF(Brand_Log!W200="","",Brand_Log!W200&amp;""))</f>
        <v/>
      </c>
      <c r="I1400" s="23" t="str">
        <f aca="false">IF(B1400="","",IF(Brand_Log!O200="","",Brand_Log!O200&amp;""))</f>
        <v/>
      </c>
      <c r="J1400" s="23" t="str">
        <f aca="false">IF(B1400="","","after_1500")</f>
        <v/>
      </c>
      <c r="K1400" s="32" t="s">
        <v>1358</v>
      </c>
    </row>
    <row r="1401" customFormat="false" ht="15" hidden="false" customHeight="false" outlineLevel="0" collapsed="false">
      <c r="A1401" s="23" t="str">
        <f aca="false">IF(B1401="","",B1401+(7*1000+200)/10000000)</f>
        <v/>
      </c>
      <c r="B1401" s="35" t="str">
        <f aca="false">IF(AND(Brand_Log!AY201=1,Brand_Log!U201="Y",OR(ISNUMBER(Brand_Log!V201),TRIM(Brand_Log!W201)&lt;&gt;"")),Brand_Log!H201,"")</f>
        <v/>
      </c>
      <c r="C1401" s="23" t="str">
        <f aca="false">IF(B1401="","","brand")</f>
        <v/>
      </c>
      <c r="D1401" s="23" t="str">
        <f aca="false">IF(B1401="","",Brand_Log!DV201&amp;"")</f>
        <v/>
      </c>
      <c r="E1401" s="23" t="str">
        <f aca="false">IF(B1401="","",IF(Brand_Log!B201="","",Brand_Log!B201&amp;""))</f>
        <v/>
      </c>
      <c r="F1401" s="23" t="str">
        <f aca="false">IF(B1401="","","budget_probe")</f>
        <v/>
      </c>
      <c r="G1401" s="23" t="str">
        <f aca="false">IF(B1401="","",IF(ISNUMBER(Brand_Log!V201),Brand_Log!V201,""))</f>
        <v/>
      </c>
      <c r="H1401" s="23" t="str">
        <f aca="false">IF(B1401="","",IF(Brand_Log!W201="","",Brand_Log!W201&amp;""))</f>
        <v/>
      </c>
      <c r="I1401" s="23" t="str">
        <f aca="false">IF(B1401="","",IF(Brand_Log!O201="","",Brand_Log!O201&amp;""))</f>
        <v/>
      </c>
      <c r="J1401" s="23" t="str">
        <f aca="false">IF(B1401="","","after_1500")</f>
        <v/>
      </c>
      <c r="K1401" s="32" t="s">
        <v>1358</v>
      </c>
    </row>
    <row r="1402" customFormat="false" ht="15" hidden="false" customHeight="false" outlineLevel="0" collapsed="false">
      <c r="A1402" s="42" t="n">
        <f aca="false">IF(B1402="","",B1402+(8*1000+1)/10000000)</f>
        <v>46350.0008001</v>
      </c>
      <c r="B1402" s="35" t="n">
        <f aca="false">IF(AND(ISNUMBER(signed_offices!X2),TRIM(signed_offices!W2)&lt;&gt;"",OR(LEFT(signed_offices!W2,6)&lt;&gt;"SAMPLE",Config!$B$19="Y")),signed_offices!X2,"")</f>
        <v>46350</v>
      </c>
      <c r="C1402" s="23" t="str">
        <f aca="false">IF(B1402="","","office")</f>
        <v>office</v>
      </c>
      <c r="D1402" s="23" t="str">
        <f aca="false">IF(B1402="","",IFERROR(INDEX(Office_Log!$ED$2:$ED$201,MATCH(signed_offices!W2,Office_Log!$A$2:$A$201,0))&amp;"",signed_offices!W2&amp;""))</f>
        <v>SAMPLE-O-001</v>
      </c>
      <c r="E1402" s="23" t="str">
        <f aca="false">IF(B1402="","",IF(signed_offices!C2="","",signed_offices!C2&amp;""))</f>
        <v>SAMPLE Office 01</v>
      </c>
      <c r="F1402" s="23" t="str">
        <f aca="false">IF(B1402="","","signed")</f>
        <v>signed</v>
      </c>
      <c r="G1402" s="23" t="n">
        <f aca="false">IF(B1402="","",IF(ISNUMBER(signed_offices!J2),signed_offices!J2,""))</f>
        <v>62</v>
      </c>
      <c r="H1402" s="23" t="str">
        <f aca="false">IF(B1402="","","")</f>
        <v/>
      </c>
      <c r="I1402" s="23" t="str">
        <f aca="false">IF(B1402="","","")</f>
        <v/>
      </c>
      <c r="J1402" s="23" t="str">
        <f aca="false">IF(B1402="","",IF(signed_offices!V2="","",signed_offices!V2&amp;""))</f>
        <v>SAMPLE-O-101</v>
      </c>
      <c r="K1402" s="32" t="s">
        <v>1359</v>
      </c>
    </row>
    <row r="1403" customFormat="false" ht="15" hidden="false" customHeight="false" outlineLevel="0" collapsed="false">
      <c r="A1403" s="42" t="n">
        <f aca="false">IF(B1403="","",B1403+(8*1000+2)/10000000)</f>
        <v>46349.0008002</v>
      </c>
      <c r="B1403" s="35" t="n">
        <f aca="false">IF(AND(ISNUMBER(signed_offices!X3),TRIM(signed_offices!W3)&lt;&gt;"",OR(LEFT(signed_offices!W3,6)&lt;&gt;"SAMPLE",Config!$B$19="Y")),signed_offices!X3,"")</f>
        <v>46349</v>
      </c>
      <c r="C1403" s="23" t="str">
        <f aca="false">IF(B1403="","","office")</f>
        <v>office</v>
      </c>
      <c r="D1403" s="23" t="str">
        <f aca="false">IF(B1403="","",IFERROR(INDEX(Office_Log!$ED$2:$ED$201,MATCH(signed_offices!W3,Office_Log!$A$2:$A$201,0))&amp;"",signed_offices!W3&amp;""))</f>
        <v>SAMPLE-O-006</v>
      </c>
      <c r="E1403" s="23" t="str">
        <f aca="false">IF(B1403="","",IF(signed_offices!C3="","",signed_offices!C3&amp;""))</f>
        <v>SAMPLE Office 06</v>
      </c>
      <c r="F1403" s="23" t="str">
        <f aca="false">IF(B1403="","","signed")</f>
        <v>signed</v>
      </c>
      <c r="G1403" s="23" t="n">
        <f aca="false">IF(B1403="","",IF(ISNUMBER(signed_offices!J3),signed_offices!J3,""))</f>
        <v>55</v>
      </c>
      <c r="H1403" s="23" t="str">
        <f aca="false">IF(B1403="","","")</f>
        <v/>
      </c>
      <c r="I1403" s="23" t="str">
        <f aca="false">IF(B1403="","","")</f>
        <v/>
      </c>
      <c r="J1403" s="23" t="str">
        <f aca="false">IF(B1403="","",IF(signed_offices!V3="","",signed_offices!V3&amp;""))</f>
        <v>SAMPLE-O-102</v>
      </c>
      <c r="K1403" s="32" t="s">
        <v>1359</v>
      </c>
    </row>
    <row r="1404" customFormat="false" ht="15" hidden="false" customHeight="false" outlineLevel="0" collapsed="false">
      <c r="A1404" s="42" t="n">
        <f aca="false">IF(B1404="","",B1404+(8*1000+3)/10000000)</f>
        <v>46350.0008003</v>
      </c>
      <c r="B1404" s="35" t="n">
        <f aca="false">IF(AND(ISNUMBER(signed_offices!X4),TRIM(signed_offices!W4)&lt;&gt;"",OR(LEFT(signed_offices!W4,6)&lt;&gt;"SAMPLE",Config!$B$19="Y")),signed_offices!X4,"")</f>
        <v>46350</v>
      </c>
      <c r="C1404" s="23" t="str">
        <f aca="false">IF(B1404="","","office")</f>
        <v>office</v>
      </c>
      <c r="D1404" s="23" t="str">
        <f aca="false">IF(B1404="","",IFERROR(INDEX(Office_Log!$ED$2:$ED$201,MATCH(signed_offices!W4,Office_Log!$A$2:$A$201,0))&amp;"",signed_offices!W4&amp;""))</f>
        <v>SAMPLE-O-008</v>
      </c>
      <c r="E1404" s="23" t="str">
        <f aca="false">IF(B1404="","",IF(signed_offices!C4="","",signed_offices!C4&amp;""))</f>
        <v>SAMPLE Office 08</v>
      </c>
      <c r="F1404" s="23" t="str">
        <f aca="false">IF(B1404="","","signed")</f>
        <v>signed</v>
      </c>
      <c r="G1404" s="23" t="n">
        <f aca="false">IF(B1404="","",IF(ISNUMBER(signed_offices!J4),signed_offices!J4,""))</f>
        <v>70</v>
      </c>
      <c r="H1404" s="23" t="str">
        <f aca="false">IF(B1404="","","")</f>
        <v/>
      </c>
      <c r="I1404" s="23" t="str">
        <f aca="false">IF(B1404="","","")</f>
        <v/>
      </c>
      <c r="J1404" s="23" t="str">
        <f aca="false">IF(B1404="","",IF(signed_offices!V4="","",signed_offices!V4&amp;""))</f>
        <v>SAMPLE-O-103</v>
      </c>
      <c r="K1404" s="32" t="s">
        <v>1359</v>
      </c>
    </row>
    <row r="1405" customFormat="false" ht="15" hidden="false" customHeight="false" outlineLevel="0" collapsed="false">
      <c r="A1405" s="42" t="n">
        <f aca="false">IF(B1405="","",B1405+(8*1000+4)/10000000)</f>
        <v>46351.0008004</v>
      </c>
      <c r="B1405" s="35" t="n">
        <f aca="false">IF(AND(ISNUMBER(signed_offices!X5),TRIM(signed_offices!W5)&lt;&gt;"",OR(LEFT(signed_offices!W5,6)&lt;&gt;"SAMPLE",Config!$B$19="Y")),signed_offices!X5,"")</f>
        <v>46351</v>
      </c>
      <c r="C1405" s="23" t="str">
        <f aca="false">IF(B1405="","","office")</f>
        <v>office</v>
      </c>
      <c r="D1405" s="23" t="str">
        <f aca="false">IF(B1405="","",IFERROR(INDEX(Office_Log!$ED$2:$ED$201,MATCH(signed_offices!W5,Office_Log!$A$2:$A$201,0))&amp;"",signed_offices!W5&amp;""))</f>
        <v>SAMPLE-O-010</v>
      </c>
      <c r="E1405" s="23" t="str">
        <f aca="false">IF(B1405="","",IF(signed_offices!C5="","",signed_offices!C5&amp;""))</f>
        <v>SAMPLE Office 10</v>
      </c>
      <c r="F1405" s="23" t="str">
        <f aca="false">IF(B1405="","","signed")</f>
        <v>signed</v>
      </c>
      <c r="G1405" s="23" t="n">
        <f aca="false">IF(B1405="","",IF(ISNUMBER(signed_offices!J5),signed_offices!J5,""))</f>
        <v>110</v>
      </c>
      <c r="H1405" s="23" t="str">
        <f aca="false">IF(B1405="","","")</f>
        <v/>
      </c>
      <c r="I1405" s="23" t="str">
        <f aca="false">IF(B1405="","","")</f>
        <v/>
      </c>
      <c r="J1405" s="23" t="str">
        <f aca="false">IF(B1405="","",IF(signed_offices!V5="","",signed_offices!V5&amp;""))</f>
        <v>SAMPLE-O-104</v>
      </c>
      <c r="K1405" s="32" t="s">
        <v>1359</v>
      </c>
    </row>
    <row r="1406" customFormat="false" ht="15" hidden="false" customHeight="false" outlineLevel="0" collapsed="false">
      <c r="A1406" s="42" t="n">
        <f aca="false">IF(B1406="","",B1406+(8*1000+5)/10000000)</f>
        <v>46356.0008005</v>
      </c>
      <c r="B1406" s="35" t="n">
        <f aca="false">IF(AND(ISNUMBER(signed_offices!X6),TRIM(signed_offices!W6)&lt;&gt;"",OR(LEFT(signed_offices!W6,6)&lt;&gt;"SAMPLE",Config!$B$19="Y")),signed_offices!X6,"")</f>
        <v>46356</v>
      </c>
      <c r="C1406" s="23" t="str">
        <f aca="false">IF(B1406="","","office")</f>
        <v>office</v>
      </c>
      <c r="D1406" s="23" t="str">
        <f aca="false">IF(B1406="","",IFERROR(INDEX(Office_Log!$ED$2:$ED$201,MATCH(signed_offices!W6,Office_Log!$A$2:$A$201,0))&amp;"",signed_offices!W6&amp;""))</f>
        <v>SAMPLE-O-013</v>
      </c>
      <c r="E1406" s="23" t="str">
        <f aca="false">IF(B1406="","",IF(signed_offices!C6="","",signed_offices!C6&amp;""))</f>
        <v>SAMPLE Office 13</v>
      </c>
      <c r="F1406" s="23" t="str">
        <f aca="false">IF(B1406="","","signed")</f>
        <v>signed</v>
      </c>
      <c r="G1406" s="23" t="n">
        <f aca="false">IF(B1406="","",IF(ISNUMBER(signed_offices!J6),signed_offices!J6,""))</f>
        <v>65</v>
      </c>
      <c r="H1406" s="23" t="str">
        <f aca="false">IF(B1406="","","")</f>
        <v/>
      </c>
      <c r="I1406" s="23" t="str">
        <f aca="false">IF(B1406="","","")</f>
        <v/>
      </c>
      <c r="J1406" s="23" t="str">
        <f aca="false">IF(B1406="","",IF(signed_offices!V6="","",signed_offices!V6&amp;""))</f>
        <v>SAMPLE-O-105</v>
      </c>
      <c r="K1406" s="32" t="s">
        <v>1359</v>
      </c>
    </row>
    <row r="1407" customFormat="false" ht="15" hidden="false" customHeight="false" outlineLevel="0" collapsed="false">
      <c r="A1407" s="23" t="str">
        <f aca="false">IF(B1407="","",B1407+(8*1000+6)/10000000)</f>
        <v/>
      </c>
      <c r="B1407" s="35" t="str">
        <f aca="false">IF(AND(ISNUMBER(signed_offices!X7),TRIM(signed_offices!W7)&lt;&gt;"",OR(LEFT(signed_offices!W7,6)&lt;&gt;"SAMPLE",Config!$B$19="Y")),signed_offices!X7,"")</f>
        <v/>
      </c>
      <c r="C1407" s="23" t="str">
        <f aca="false">IF(B1407="","","office")</f>
        <v/>
      </c>
      <c r="D1407" s="23" t="str">
        <f aca="false">IF(B1407="","",IFERROR(INDEX(Office_Log!$ED$2:$ED$201,MATCH(signed_offices!W7,Office_Log!$A$2:$A$201,0))&amp;"",signed_offices!W7&amp;""))</f>
        <v/>
      </c>
      <c r="E1407" s="23" t="str">
        <f aca="false">IF(B1407="","",IF(signed_offices!C7="","",signed_offices!C7&amp;""))</f>
        <v/>
      </c>
      <c r="F1407" s="23" t="str">
        <f aca="false">IF(B1407="","","signed")</f>
        <v/>
      </c>
      <c r="G1407" s="23" t="str">
        <f aca="false">IF(B1407="","",IF(ISNUMBER(signed_offices!J7),signed_offices!J7,""))</f>
        <v/>
      </c>
      <c r="H1407" s="23" t="str">
        <f aca="false">IF(B1407="","","")</f>
        <v/>
      </c>
      <c r="I1407" s="23" t="str">
        <f aca="false">IF(B1407="","","")</f>
        <v/>
      </c>
      <c r="J1407" s="23" t="str">
        <f aca="false">IF(B1407="","",IF(signed_offices!V7="","",signed_offices!V7&amp;""))</f>
        <v/>
      </c>
      <c r="K1407" s="32" t="s">
        <v>1359</v>
      </c>
    </row>
    <row r="1408" customFormat="false" ht="15" hidden="false" customHeight="false" outlineLevel="0" collapsed="false">
      <c r="A1408" s="23" t="str">
        <f aca="false">IF(B1408="","",B1408+(8*1000+7)/10000000)</f>
        <v/>
      </c>
      <c r="B1408" s="35" t="str">
        <f aca="false">IF(AND(ISNUMBER(signed_offices!X8),TRIM(signed_offices!W8)&lt;&gt;"",OR(LEFT(signed_offices!W8,6)&lt;&gt;"SAMPLE",Config!$B$19="Y")),signed_offices!X8,"")</f>
        <v/>
      </c>
      <c r="C1408" s="23" t="str">
        <f aca="false">IF(B1408="","","office")</f>
        <v/>
      </c>
      <c r="D1408" s="23" t="str">
        <f aca="false">IF(B1408="","",IFERROR(INDEX(Office_Log!$ED$2:$ED$201,MATCH(signed_offices!W8,Office_Log!$A$2:$A$201,0))&amp;"",signed_offices!W8&amp;""))</f>
        <v/>
      </c>
      <c r="E1408" s="23" t="str">
        <f aca="false">IF(B1408="","",IF(signed_offices!C8="","",signed_offices!C8&amp;""))</f>
        <v/>
      </c>
      <c r="F1408" s="23" t="str">
        <f aca="false">IF(B1408="","","signed")</f>
        <v/>
      </c>
      <c r="G1408" s="23" t="str">
        <f aca="false">IF(B1408="","",IF(ISNUMBER(signed_offices!J8),signed_offices!J8,""))</f>
        <v/>
      </c>
      <c r="H1408" s="23" t="str">
        <f aca="false">IF(B1408="","","")</f>
        <v/>
      </c>
      <c r="I1408" s="23" t="str">
        <f aca="false">IF(B1408="","","")</f>
        <v/>
      </c>
      <c r="J1408" s="23" t="str">
        <f aca="false">IF(B1408="","",IF(signed_offices!V8="","",signed_offices!V8&amp;""))</f>
        <v/>
      </c>
      <c r="K1408" s="32" t="s">
        <v>1359</v>
      </c>
    </row>
    <row r="1409" customFormat="false" ht="15" hidden="false" customHeight="false" outlineLevel="0" collapsed="false">
      <c r="A1409" s="23" t="str">
        <f aca="false">IF(B1409="","",B1409+(8*1000+8)/10000000)</f>
        <v/>
      </c>
      <c r="B1409" s="35" t="str">
        <f aca="false">IF(AND(ISNUMBER(signed_offices!X9),TRIM(signed_offices!W9)&lt;&gt;"",OR(LEFT(signed_offices!W9,6)&lt;&gt;"SAMPLE",Config!$B$19="Y")),signed_offices!X9,"")</f>
        <v/>
      </c>
      <c r="C1409" s="23" t="str">
        <f aca="false">IF(B1409="","","office")</f>
        <v/>
      </c>
      <c r="D1409" s="23" t="str">
        <f aca="false">IF(B1409="","",IFERROR(INDEX(Office_Log!$ED$2:$ED$201,MATCH(signed_offices!W9,Office_Log!$A$2:$A$201,0))&amp;"",signed_offices!W9&amp;""))</f>
        <v/>
      </c>
      <c r="E1409" s="23" t="str">
        <f aca="false">IF(B1409="","",IF(signed_offices!C9="","",signed_offices!C9&amp;""))</f>
        <v/>
      </c>
      <c r="F1409" s="23" t="str">
        <f aca="false">IF(B1409="","","signed")</f>
        <v/>
      </c>
      <c r="G1409" s="23" t="str">
        <f aca="false">IF(B1409="","",IF(ISNUMBER(signed_offices!J9),signed_offices!J9,""))</f>
        <v/>
      </c>
      <c r="H1409" s="23" t="str">
        <f aca="false">IF(B1409="","","")</f>
        <v/>
      </c>
      <c r="I1409" s="23" t="str">
        <f aca="false">IF(B1409="","","")</f>
        <v/>
      </c>
      <c r="J1409" s="23" t="str">
        <f aca="false">IF(B1409="","",IF(signed_offices!V9="","",signed_offices!V9&amp;""))</f>
        <v/>
      </c>
      <c r="K1409" s="32" t="s">
        <v>1359</v>
      </c>
    </row>
    <row r="1410" customFormat="false" ht="15" hidden="false" customHeight="false" outlineLevel="0" collapsed="false">
      <c r="A1410" s="23" t="str">
        <f aca="false">IF(B1410="","",B1410+(8*1000+9)/10000000)</f>
        <v/>
      </c>
      <c r="B1410" s="35" t="str">
        <f aca="false">IF(AND(ISNUMBER(signed_offices!X10),TRIM(signed_offices!W10)&lt;&gt;"",OR(LEFT(signed_offices!W10,6)&lt;&gt;"SAMPLE",Config!$B$19="Y")),signed_offices!X10,"")</f>
        <v/>
      </c>
      <c r="C1410" s="23" t="str">
        <f aca="false">IF(B1410="","","office")</f>
        <v/>
      </c>
      <c r="D1410" s="23" t="str">
        <f aca="false">IF(B1410="","",IFERROR(INDEX(Office_Log!$ED$2:$ED$201,MATCH(signed_offices!W10,Office_Log!$A$2:$A$201,0))&amp;"",signed_offices!W10&amp;""))</f>
        <v/>
      </c>
      <c r="E1410" s="23" t="str">
        <f aca="false">IF(B1410="","",IF(signed_offices!C10="","",signed_offices!C10&amp;""))</f>
        <v/>
      </c>
      <c r="F1410" s="23" t="str">
        <f aca="false">IF(B1410="","","signed")</f>
        <v/>
      </c>
      <c r="G1410" s="23" t="str">
        <f aca="false">IF(B1410="","",IF(ISNUMBER(signed_offices!J10),signed_offices!J10,""))</f>
        <v/>
      </c>
      <c r="H1410" s="23" t="str">
        <f aca="false">IF(B1410="","","")</f>
        <v/>
      </c>
      <c r="I1410" s="23" t="str">
        <f aca="false">IF(B1410="","","")</f>
        <v/>
      </c>
      <c r="J1410" s="23" t="str">
        <f aca="false">IF(B1410="","",IF(signed_offices!V10="","",signed_offices!V10&amp;""))</f>
        <v/>
      </c>
      <c r="K1410" s="32" t="s">
        <v>1359</v>
      </c>
    </row>
    <row r="1411" customFormat="false" ht="15" hidden="false" customHeight="false" outlineLevel="0" collapsed="false">
      <c r="A1411" s="23" t="str">
        <f aca="false">IF(B1411="","",B1411+(8*1000+10)/10000000)</f>
        <v/>
      </c>
      <c r="B1411" s="35" t="str">
        <f aca="false">IF(AND(ISNUMBER(signed_offices!X11),TRIM(signed_offices!W11)&lt;&gt;"",OR(LEFT(signed_offices!W11,6)&lt;&gt;"SAMPLE",Config!$B$19="Y")),signed_offices!X11,"")</f>
        <v/>
      </c>
      <c r="C1411" s="23" t="str">
        <f aca="false">IF(B1411="","","office")</f>
        <v/>
      </c>
      <c r="D1411" s="23" t="str">
        <f aca="false">IF(B1411="","",IFERROR(INDEX(Office_Log!$ED$2:$ED$201,MATCH(signed_offices!W11,Office_Log!$A$2:$A$201,0))&amp;"",signed_offices!W11&amp;""))</f>
        <v/>
      </c>
      <c r="E1411" s="23" t="str">
        <f aca="false">IF(B1411="","",IF(signed_offices!C11="","",signed_offices!C11&amp;""))</f>
        <v/>
      </c>
      <c r="F1411" s="23" t="str">
        <f aca="false">IF(B1411="","","signed")</f>
        <v/>
      </c>
      <c r="G1411" s="23" t="str">
        <f aca="false">IF(B1411="","",IF(ISNUMBER(signed_offices!J11),signed_offices!J11,""))</f>
        <v/>
      </c>
      <c r="H1411" s="23" t="str">
        <f aca="false">IF(B1411="","","")</f>
        <v/>
      </c>
      <c r="I1411" s="23" t="str">
        <f aca="false">IF(B1411="","","")</f>
        <v/>
      </c>
      <c r="J1411" s="23" t="str">
        <f aca="false">IF(B1411="","",IF(signed_offices!V11="","",signed_offices!V11&amp;""))</f>
        <v/>
      </c>
      <c r="K1411" s="32" t="s">
        <v>1359</v>
      </c>
    </row>
    <row r="1412" customFormat="false" ht="15" hidden="false" customHeight="false" outlineLevel="0" collapsed="false">
      <c r="A1412" s="23" t="str">
        <f aca="false">IF(B1412="","",B1412+(8*1000+11)/10000000)</f>
        <v/>
      </c>
      <c r="B1412" s="35" t="str">
        <f aca="false">IF(AND(ISNUMBER(signed_offices!X12),TRIM(signed_offices!W12)&lt;&gt;"",OR(LEFT(signed_offices!W12,6)&lt;&gt;"SAMPLE",Config!$B$19="Y")),signed_offices!X12,"")</f>
        <v/>
      </c>
      <c r="C1412" s="23" t="str">
        <f aca="false">IF(B1412="","","office")</f>
        <v/>
      </c>
      <c r="D1412" s="23" t="str">
        <f aca="false">IF(B1412="","",IFERROR(INDEX(Office_Log!$ED$2:$ED$201,MATCH(signed_offices!W12,Office_Log!$A$2:$A$201,0))&amp;"",signed_offices!W12&amp;""))</f>
        <v/>
      </c>
      <c r="E1412" s="23" t="str">
        <f aca="false">IF(B1412="","",IF(signed_offices!C12="","",signed_offices!C12&amp;""))</f>
        <v/>
      </c>
      <c r="F1412" s="23" t="str">
        <f aca="false">IF(B1412="","","signed")</f>
        <v/>
      </c>
      <c r="G1412" s="23" t="str">
        <f aca="false">IF(B1412="","",IF(ISNUMBER(signed_offices!J12),signed_offices!J12,""))</f>
        <v/>
      </c>
      <c r="H1412" s="23" t="str">
        <f aca="false">IF(B1412="","","")</f>
        <v/>
      </c>
      <c r="I1412" s="23" t="str">
        <f aca="false">IF(B1412="","","")</f>
        <v/>
      </c>
      <c r="J1412" s="23" t="str">
        <f aca="false">IF(B1412="","",IF(signed_offices!V12="","",signed_offices!V12&amp;""))</f>
        <v/>
      </c>
      <c r="K1412" s="32" t="s">
        <v>1359</v>
      </c>
    </row>
    <row r="1413" customFormat="false" ht="15" hidden="false" customHeight="false" outlineLevel="0" collapsed="false">
      <c r="A1413" s="23" t="str">
        <f aca="false">IF(B1413="","",B1413+(8*1000+12)/10000000)</f>
        <v/>
      </c>
      <c r="B1413" s="35" t="str">
        <f aca="false">IF(AND(ISNUMBER(signed_offices!X13),TRIM(signed_offices!W13)&lt;&gt;"",OR(LEFT(signed_offices!W13,6)&lt;&gt;"SAMPLE",Config!$B$19="Y")),signed_offices!X13,"")</f>
        <v/>
      </c>
      <c r="C1413" s="23" t="str">
        <f aca="false">IF(B1413="","","office")</f>
        <v/>
      </c>
      <c r="D1413" s="23" t="str">
        <f aca="false">IF(B1413="","",IFERROR(INDEX(Office_Log!$ED$2:$ED$201,MATCH(signed_offices!W13,Office_Log!$A$2:$A$201,0))&amp;"",signed_offices!W13&amp;""))</f>
        <v/>
      </c>
      <c r="E1413" s="23" t="str">
        <f aca="false">IF(B1413="","",IF(signed_offices!C13="","",signed_offices!C13&amp;""))</f>
        <v/>
      </c>
      <c r="F1413" s="23" t="str">
        <f aca="false">IF(B1413="","","signed")</f>
        <v/>
      </c>
      <c r="G1413" s="23" t="str">
        <f aca="false">IF(B1413="","",IF(ISNUMBER(signed_offices!J13),signed_offices!J13,""))</f>
        <v/>
      </c>
      <c r="H1413" s="23" t="str">
        <f aca="false">IF(B1413="","","")</f>
        <v/>
      </c>
      <c r="I1413" s="23" t="str">
        <f aca="false">IF(B1413="","","")</f>
        <v/>
      </c>
      <c r="J1413" s="23" t="str">
        <f aca="false">IF(B1413="","",IF(signed_offices!V13="","",signed_offices!V13&amp;""))</f>
        <v/>
      </c>
      <c r="K1413" s="32" t="s">
        <v>1359</v>
      </c>
    </row>
    <row r="1414" customFormat="false" ht="15" hidden="false" customHeight="false" outlineLevel="0" collapsed="false">
      <c r="A1414" s="23" t="str">
        <f aca="false">IF(B1414="","",B1414+(8*1000+13)/10000000)</f>
        <v/>
      </c>
      <c r="B1414" s="35" t="str">
        <f aca="false">IF(AND(ISNUMBER(signed_offices!X14),TRIM(signed_offices!W14)&lt;&gt;"",OR(LEFT(signed_offices!W14,6)&lt;&gt;"SAMPLE",Config!$B$19="Y")),signed_offices!X14,"")</f>
        <v/>
      </c>
      <c r="C1414" s="23" t="str">
        <f aca="false">IF(B1414="","","office")</f>
        <v/>
      </c>
      <c r="D1414" s="23" t="str">
        <f aca="false">IF(B1414="","",IFERROR(INDEX(Office_Log!$ED$2:$ED$201,MATCH(signed_offices!W14,Office_Log!$A$2:$A$201,0))&amp;"",signed_offices!W14&amp;""))</f>
        <v/>
      </c>
      <c r="E1414" s="23" t="str">
        <f aca="false">IF(B1414="","",IF(signed_offices!C14="","",signed_offices!C14&amp;""))</f>
        <v/>
      </c>
      <c r="F1414" s="23" t="str">
        <f aca="false">IF(B1414="","","signed")</f>
        <v/>
      </c>
      <c r="G1414" s="23" t="str">
        <f aca="false">IF(B1414="","",IF(ISNUMBER(signed_offices!J14),signed_offices!J14,""))</f>
        <v/>
      </c>
      <c r="H1414" s="23" t="str">
        <f aca="false">IF(B1414="","","")</f>
        <v/>
      </c>
      <c r="I1414" s="23" t="str">
        <f aca="false">IF(B1414="","","")</f>
        <v/>
      </c>
      <c r="J1414" s="23" t="str">
        <f aca="false">IF(B1414="","",IF(signed_offices!V14="","",signed_offices!V14&amp;""))</f>
        <v/>
      </c>
      <c r="K1414" s="32" t="s">
        <v>1359</v>
      </c>
    </row>
    <row r="1415" customFormat="false" ht="15" hidden="false" customHeight="false" outlineLevel="0" collapsed="false">
      <c r="A1415" s="23" t="str">
        <f aca="false">IF(B1415="","",B1415+(8*1000+14)/10000000)</f>
        <v/>
      </c>
      <c r="B1415" s="35" t="str">
        <f aca="false">IF(AND(ISNUMBER(signed_offices!X15),TRIM(signed_offices!W15)&lt;&gt;"",OR(LEFT(signed_offices!W15,6)&lt;&gt;"SAMPLE",Config!$B$19="Y")),signed_offices!X15,"")</f>
        <v/>
      </c>
      <c r="C1415" s="23" t="str">
        <f aca="false">IF(B1415="","","office")</f>
        <v/>
      </c>
      <c r="D1415" s="23" t="str">
        <f aca="false">IF(B1415="","",IFERROR(INDEX(Office_Log!$ED$2:$ED$201,MATCH(signed_offices!W15,Office_Log!$A$2:$A$201,0))&amp;"",signed_offices!W15&amp;""))</f>
        <v/>
      </c>
      <c r="E1415" s="23" t="str">
        <f aca="false">IF(B1415="","",IF(signed_offices!C15="","",signed_offices!C15&amp;""))</f>
        <v/>
      </c>
      <c r="F1415" s="23" t="str">
        <f aca="false">IF(B1415="","","signed")</f>
        <v/>
      </c>
      <c r="G1415" s="23" t="str">
        <f aca="false">IF(B1415="","",IF(ISNUMBER(signed_offices!J15),signed_offices!J15,""))</f>
        <v/>
      </c>
      <c r="H1415" s="23" t="str">
        <f aca="false">IF(B1415="","","")</f>
        <v/>
      </c>
      <c r="I1415" s="23" t="str">
        <f aca="false">IF(B1415="","","")</f>
        <v/>
      </c>
      <c r="J1415" s="23" t="str">
        <f aca="false">IF(B1415="","",IF(signed_offices!V15="","",signed_offices!V15&amp;""))</f>
        <v/>
      </c>
      <c r="K1415" s="32" t="s">
        <v>1359</v>
      </c>
    </row>
    <row r="1416" customFormat="false" ht="15" hidden="false" customHeight="false" outlineLevel="0" collapsed="false">
      <c r="A1416" s="23" t="str">
        <f aca="false">IF(B1416="","",B1416+(8*1000+15)/10000000)</f>
        <v/>
      </c>
      <c r="B1416" s="35" t="str">
        <f aca="false">IF(AND(ISNUMBER(signed_offices!X16),TRIM(signed_offices!W16)&lt;&gt;"",OR(LEFT(signed_offices!W16,6)&lt;&gt;"SAMPLE",Config!$B$19="Y")),signed_offices!X16,"")</f>
        <v/>
      </c>
      <c r="C1416" s="23" t="str">
        <f aca="false">IF(B1416="","","office")</f>
        <v/>
      </c>
      <c r="D1416" s="23" t="str">
        <f aca="false">IF(B1416="","",IFERROR(INDEX(Office_Log!$ED$2:$ED$201,MATCH(signed_offices!W16,Office_Log!$A$2:$A$201,0))&amp;"",signed_offices!W16&amp;""))</f>
        <v/>
      </c>
      <c r="E1416" s="23" t="str">
        <f aca="false">IF(B1416="","",IF(signed_offices!C16="","",signed_offices!C16&amp;""))</f>
        <v/>
      </c>
      <c r="F1416" s="23" t="str">
        <f aca="false">IF(B1416="","","signed")</f>
        <v/>
      </c>
      <c r="G1416" s="23" t="str">
        <f aca="false">IF(B1416="","",IF(ISNUMBER(signed_offices!J16),signed_offices!J16,""))</f>
        <v/>
      </c>
      <c r="H1416" s="23" t="str">
        <f aca="false">IF(B1416="","","")</f>
        <v/>
      </c>
      <c r="I1416" s="23" t="str">
        <f aca="false">IF(B1416="","","")</f>
        <v/>
      </c>
      <c r="J1416" s="23" t="str">
        <f aca="false">IF(B1416="","",IF(signed_offices!V16="","",signed_offices!V16&amp;""))</f>
        <v/>
      </c>
      <c r="K1416" s="32" t="s">
        <v>1359</v>
      </c>
    </row>
    <row r="1417" customFormat="false" ht="15" hidden="false" customHeight="false" outlineLevel="0" collapsed="false">
      <c r="A1417" s="23" t="str">
        <f aca="false">IF(B1417="","",B1417+(8*1000+16)/10000000)</f>
        <v/>
      </c>
      <c r="B1417" s="35" t="str">
        <f aca="false">IF(AND(ISNUMBER(signed_offices!X17),TRIM(signed_offices!W17)&lt;&gt;"",OR(LEFT(signed_offices!W17,6)&lt;&gt;"SAMPLE",Config!$B$19="Y")),signed_offices!X17,"")</f>
        <v/>
      </c>
      <c r="C1417" s="23" t="str">
        <f aca="false">IF(B1417="","","office")</f>
        <v/>
      </c>
      <c r="D1417" s="23" t="str">
        <f aca="false">IF(B1417="","",IFERROR(INDEX(Office_Log!$ED$2:$ED$201,MATCH(signed_offices!W17,Office_Log!$A$2:$A$201,0))&amp;"",signed_offices!W17&amp;""))</f>
        <v/>
      </c>
      <c r="E1417" s="23" t="str">
        <f aca="false">IF(B1417="","",IF(signed_offices!C17="","",signed_offices!C17&amp;""))</f>
        <v/>
      </c>
      <c r="F1417" s="23" t="str">
        <f aca="false">IF(B1417="","","signed")</f>
        <v/>
      </c>
      <c r="G1417" s="23" t="str">
        <f aca="false">IF(B1417="","",IF(ISNUMBER(signed_offices!J17),signed_offices!J17,""))</f>
        <v/>
      </c>
      <c r="H1417" s="23" t="str">
        <f aca="false">IF(B1417="","","")</f>
        <v/>
      </c>
      <c r="I1417" s="23" t="str">
        <f aca="false">IF(B1417="","","")</f>
        <v/>
      </c>
      <c r="J1417" s="23" t="str">
        <f aca="false">IF(B1417="","",IF(signed_offices!V17="","",signed_offices!V17&amp;""))</f>
        <v/>
      </c>
      <c r="K1417" s="32" t="s">
        <v>1359</v>
      </c>
    </row>
    <row r="1418" customFormat="false" ht="15" hidden="false" customHeight="false" outlineLevel="0" collapsed="false">
      <c r="A1418" s="23" t="str">
        <f aca="false">IF(B1418="","",B1418+(8*1000+17)/10000000)</f>
        <v/>
      </c>
      <c r="B1418" s="35" t="str">
        <f aca="false">IF(AND(ISNUMBER(signed_offices!X18),TRIM(signed_offices!W18)&lt;&gt;"",OR(LEFT(signed_offices!W18,6)&lt;&gt;"SAMPLE",Config!$B$19="Y")),signed_offices!X18,"")</f>
        <v/>
      </c>
      <c r="C1418" s="23" t="str">
        <f aca="false">IF(B1418="","","office")</f>
        <v/>
      </c>
      <c r="D1418" s="23" t="str">
        <f aca="false">IF(B1418="","",IFERROR(INDEX(Office_Log!$ED$2:$ED$201,MATCH(signed_offices!W18,Office_Log!$A$2:$A$201,0))&amp;"",signed_offices!W18&amp;""))</f>
        <v/>
      </c>
      <c r="E1418" s="23" t="str">
        <f aca="false">IF(B1418="","",IF(signed_offices!C18="","",signed_offices!C18&amp;""))</f>
        <v/>
      </c>
      <c r="F1418" s="23" t="str">
        <f aca="false">IF(B1418="","","signed")</f>
        <v/>
      </c>
      <c r="G1418" s="23" t="str">
        <f aca="false">IF(B1418="","",IF(ISNUMBER(signed_offices!J18),signed_offices!J18,""))</f>
        <v/>
      </c>
      <c r="H1418" s="23" t="str">
        <f aca="false">IF(B1418="","","")</f>
        <v/>
      </c>
      <c r="I1418" s="23" t="str">
        <f aca="false">IF(B1418="","","")</f>
        <v/>
      </c>
      <c r="J1418" s="23" t="str">
        <f aca="false">IF(B1418="","",IF(signed_offices!V18="","",signed_offices!V18&amp;""))</f>
        <v/>
      </c>
      <c r="K1418" s="32" t="s">
        <v>1359</v>
      </c>
    </row>
    <row r="1419" customFormat="false" ht="15" hidden="false" customHeight="false" outlineLevel="0" collapsed="false">
      <c r="A1419" s="23" t="str">
        <f aca="false">IF(B1419="","",B1419+(8*1000+18)/10000000)</f>
        <v/>
      </c>
      <c r="B1419" s="35" t="str">
        <f aca="false">IF(AND(ISNUMBER(signed_offices!X19),TRIM(signed_offices!W19)&lt;&gt;"",OR(LEFT(signed_offices!W19,6)&lt;&gt;"SAMPLE",Config!$B$19="Y")),signed_offices!X19,"")</f>
        <v/>
      </c>
      <c r="C1419" s="23" t="str">
        <f aca="false">IF(B1419="","","office")</f>
        <v/>
      </c>
      <c r="D1419" s="23" t="str">
        <f aca="false">IF(B1419="","",IFERROR(INDEX(Office_Log!$ED$2:$ED$201,MATCH(signed_offices!W19,Office_Log!$A$2:$A$201,0))&amp;"",signed_offices!W19&amp;""))</f>
        <v/>
      </c>
      <c r="E1419" s="23" t="str">
        <f aca="false">IF(B1419="","",IF(signed_offices!C19="","",signed_offices!C19&amp;""))</f>
        <v/>
      </c>
      <c r="F1419" s="23" t="str">
        <f aca="false">IF(B1419="","","signed")</f>
        <v/>
      </c>
      <c r="G1419" s="23" t="str">
        <f aca="false">IF(B1419="","",IF(ISNUMBER(signed_offices!J19),signed_offices!J19,""))</f>
        <v/>
      </c>
      <c r="H1419" s="23" t="str">
        <f aca="false">IF(B1419="","","")</f>
        <v/>
      </c>
      <c r="I1419" s="23" t="str">
        <f aca="false">IF(B1419="","","")</f>
        <v/>
      </c>
      <c r="J1419" s="23" t="str">
        <f aca="false">IF(B1419="","",IF(signed_offices!V19="","",signed_offices!V19&amp;""))</f>
        <v/>
      </c>
      <c r="K1419" s="32" t="s">
        <v>1359</v>
      </c>
    </row>
    <row r="1420" customFormat="false" ht="15" hidden="false" customHeight="false" outlineLevel="0" collapsed="false">
      <c r="A1420" s="23" t="str">
        <f aca="false">IF(B1420="","",B1420+(8*1000+19)/10000000)</f>
        <v/>
      </c>
      <c r="B1420" s="35" t="str">
        <f aca="false">IF(AND(ISNUMBER(signed_offices!X20),TRIM(signed_offices!W20)&lt;&gt;"",OR(LEFT(signed_offices!W20,6)&lt;&gt;"SAMPLE",Config!$B$19="Y")),signed_offices!X20,"")</f>
        <v/>
      </c>
      <c r="C1420" s="23" t="str">
        <f aca="false">IF(B1420="","","office")</f>
        <v/>
      </c>
      <c r="D1420" s="23" t="str">
        <f aca="false">IF(B1420="","",IFERROR(INDEX(Office_Log!$ED$2:$ED$201,MATCH(signed_offices!W20,Office_Log!$A$2:$A$201,0))&amp;"",signed_offices!W20&amp;""))</f>
        <v/>
      </c>
      <c r="E1420" s="23" t="str">
        <f aca="false">IF(B1420="","",IF(signed_offices!C20="","",signed_offices!C20&amp;""))</f>
        <v/>
      </c>
      <c r="F1420" s="23" t="str">
        <f aca="false">IF(B1420="","","signed")</f>
        <v/>
      </c>
      <c r="G1420" s="23" t="str">
        <f aca="false">IF(B1420="","",IF(ISNUMBER(signed_offices!J20),signed_offices!J20,""))</f>
        <v/>
      </c>
      <c r="H1420" s="23" t="str">
        <f aca="false">IF(B1420="","","")</f>
        <v/>
      </c>
      <c r="I1420" s="23" t="str">
        <f aca="false">IF(B1420="","","")</f>
        <v/>
      </c>
      <c r="J1420" s="23" t="str">
        <f aca="false">IF(B1420="","",IF(signed_offices!V20="","",signed_offices!V20&amp;""))</f>
        <v/>
      </c>
      <c r="K1420" s="32" t="s">
        <v>1359</v>
      </c>
    </row>
    <row r="1421" customFormat="false" ht="15" hidden="false" customHeight="false" outlineLevel="0" collapsed="false">
      <c r="A1421" s="23" t="str">
        <f aca="false">IF(B1421="","",B1421+(8*1000+20)/10000000)</f>
        <v/>
      </c>
      <c r="B1421" s="35" t="str">
        <f aca="false">IF(AND(ISNUMBER(signed_offices!X21),TRIM(signed_offices!W21)&lt;&gt;"",OR(LEFT(signed_offices!W21,6)&lt;&gt;"SAMPLE",Config!$B$19="Y")),signed_offices!X21,"")</f>
        <v/>
      </c>
      <c r="C1421" s="23" t="str">
        <f aca="false">IF(B1421="","","office")</f>
        <v/>
      </c>
      <c r="D1421" s="23" t="str">
        <f aca="false">IF(B1421="","",IFERROR(INDEX(Office_Log!$ED$2:$ED$201,MATCH(signed_offices!W21,Office_Log!$A$2:$A$201,0))&amp;"",signed_offices!W21&amp;""))</f>
        <v/>
      </c>
      <c r="E1421" s="23" t="str">
        <f aca="false">IF(B1421="","",IF(signed_offices!C21="","",signed_offices!C21&amp;""))</f>
        <v/>
      </c>
      <c r="F1421" s="23" t="str">
        <f aca="false">IF(B1421="","","signed")</f>
        <v/>
      </c>
      <c r="G1421" s="23" t="str">
        <f aca="false">IF(B1421="","",IF(ISNUMBER(signed_offices!J21),signed_offices!J21,""))</f>
        <v/>
      </c>
      <c r="H1421" s="23" t="str">
        <f aca="false">IF(B1421="","","")</f>
        <v/>
      </c>
      <c r="I1421" s="23" t="str">
        <f aca="false">IF(B1421="","","")</f>
        <v/>
      </c>
      <c r="J1421" s="23" t="str">
        <f aca="false">IF(B1421="","",IF(signed_offices!V21="","",signed_offices!V21&amp;""))</f>
        <v/>
      </c>
      <c r="K1421" s="32" t="s">
        <v>1359</v>
      </c>
    </row>
    <row r="1422" customFormat="false" ht="15" hidden="false" customHeight="false" outlineLevel="0" collapsed="false">
      <c r="A1422" s="23" t="str">
        <f aca="false">IF(B1422="","",B1422+(8*1000+21)/10000000)</f>
        <v/>
      </c>
      <c r="B1422" s="35" t="str">
        <f aca="false">IF(AND(ISNUMBER(signed_offices!X22),TRIM(signed_offices!W22)&lt;&gt;"",OR(LEFT(signed_offices!W22,6)&lt;&gt;"SAMPLE",Config!$B$19="Y")),signed_offices!X22,"")</f>
        <v/>
      </c>
      <c r="C1422" s="23" t="str">
        <f aca="false">IF(B1422="","","office")</f>
        <v/>
      </c>
      <c r="D1422" s="23" t="str">
        <f aca="false">IF(B1422="","",IFERROR(INDEX(Office_Log!$ED$2:$ED$201,MATCH(signed_offices!W22,Office_Log!$A$2:$A$201,0))&amp;"",signed_offices!W22&amp;""))</f>
        <v/>
      </c>
      <c r="E1422" s="23" t="str">
        <f aca="false">IF(B1422="","",IF(signed_offices!C22="","",signed_offices!C22&amp;""))</f>
        <v/>
      </c>
      <c r="F1422" s="23" t="str">
        <f aca="false">IF(B1422="","","signed")</f>
        <v/>
      </c>
      <c r="G1422" s="23" t="str">
        <f aca="false">IF(B1422="","",IF(ISNUMBER(signed_offices!J22),signed_offices!J22,""))</f>
        <v/>
      </c>
      <c r="H1422" s="23" t="str">
        <f aca="false">IF(B1422="","","")</f>
        <v/>
      </c>
      <c r="I1422" s="23" t="str">
        <f aca="false">IF(B1422="","","")</f>
        <v/>
      </c>
      <c r="J1422" s="23" t="str">
        <f aca="false">IF(B1422="","",IF(signed_offices!V22="","",signed_offices!V22&amp;""))</f>
        <v/>
      </c>
      <c r="K1422" s="32" t="s">
        <v>1359</v>
      </c>
    </row>
    <row r="1423" customFormat="false" ht="15" hidden="false" customHeight="false" outlineLevel="0" collapsed="false">
      <c r="A1423" s="23" t="str">
        <f aca="false">IF(B1423="","",B1423+(8*1000+22)/10000000)</f>
        <v/>
      </c>
      <c r="B1423" s="35" t="str">
        <f aca="false">IF(AND(ISNUMBER(signed_offices!X23),TRIM(signed_offices!W23)&lt;&gt;"",OR(LEFT(signed_offices!W23,6)&lt;&gt;"SAMPLE",Config!$B$19="Y")),signed_offices!X23,"")</f>
        <v/>
      </c>
      <c r="C1423" s="23" t="str">
        <f aca="false">IF(B1423="","","office")</f>
        <v/>
      </c>
      <c r="D1423" s="23" t="str">
        <f aca="false">IF(B1423="","",IFERROR(INDEX(Office_Log!$ED$2:$ED$201,MATCH(signed_offices!W23,Office_Log!$A$2:$A$201,0))&amp;"",signed_offices!W23&amp;""))</f>
        <v/>
      </c>
      <c r="E1423" s="23" t="str">
        <f aca="false">IF(B1423="","",IF(signed_offices!C23="","",signed_offices!C23&amp;""))</f>
        <v/>
      </c>
      <c r="F1423" s="23" t="str">
        <f aca="false">IF(B1423="","","signed")</f>
        <v/>
      </c>
      <c r="G1423" s="23" t="str">
        <f aca="false">IF(B1423="","",IF(ISNUMBER(signed_offices!J23),signed_offices!J23,""))</f>
        <v/>
      </c>
      <c r="H1423" s="23" t="str">
        <f aca="false">IF(B1423="","","")</f>
        <v/>
      </c>
      <c r="I1423" s="23" t="str">
        <f aca="false">IF(B1423="","","")</f>
        <v/>
      </c>
      <c r="J1423" s="23" t="str">
        <f aca="false">IF(B1423="","",IF(signed_offices!V23="","",signed_offices!V23&amp;""))</f>
        <v/>
      </c>
      <c r="K1423" s="32" t="s">
        <v>1359</v>
      </c>
    </row>
    <row r="1424" customFormat="false" ht="15" hidden="false" customHeight="false" outlineLevel="0" collapsed="false">
      <c r="A1424" s="23" t="str">
        <f aca="false">IF(B1424="","",B1424+(8*1000+23)/10000000)</f>
        <v/>
      </c>
      <c r="B1424" s="35" t="str">
        <f aca="false">IF(AND(ISNUMBER(signed_offices!X24),TRIM(signed_offices!W24)&lt;&gt;"",OR(LEFT(signed_offices!W24,6)&lt;&gt;"SAMPLE",Config!$B$19="Y")),signed_offices!X24,"")</f>
        <v/>
      </c>
      <c r="C1424" s="23" t="str">
        <f aca="false">IF(B1424="","","office")</f>
        <v/>
      </c>
      <c r="D1424" s="23" t="str">
        <f aca="false">IF(B1424="","",IFERROR(INDEX(Office_Log!$ED$2:$ED$201,MATCH(signed_offices!W24,Office_Log!$A$2:$A$201,0))&amp;"",signed_offices!W24&amp;""))</f>
        <v/>
      </c>
      <c r="E1424" s="23" t="str">
        <f aca="false">IF(B1424="","",IF(signed_offices!C24="","",signed_offices!C24&amp;""))</f>
        <v/>
      </c>
      <c r="F1424" s="23" t="str">
        <f aca="false">IF(B1424="","","signed")</f>
        <v/>
      </c>
      <c r="G1424" s="23" t="str">
        <f aca="false">IF(B1424="","",IF(ISNUMBER(signed_offices!J24),signed_offices!J24,""))</f>
        <v/>
      </c>
      <c r="H1424" s="23" t="str">
        <f aca="false">IF(B1424="","","")</f>
        <v/>
      </c>
      <c r="I1424" s="23" t="str">
        <f aca="false">IF(B1424="","","")</f>
        <v/>
      </c>
      <c r="J1424" s="23" t="str">
        <f aca="false">IF(B1424="","",IF(signed_offices!V24="","",signed_offices!V24&amp;""))</f>
        <v/>
      </c>
      <c r="K1424" s="32" t="s">
        <v>1359</v>
      </c>
    </row>
    <row r="1425" customFormat="false" ht="15" hidden="false" customHeight="false" outlineLevel="0" collapsed="false">
      <c r="A1425" s="23" t="str">
        <f aca="false">IF(B1425="","",B1425+(8*1000+24)/10000000)</f>
        <v/>
      </c>
      <c r="B1425" s="35" t="str">
        <f aca="false">IF(AND(ISNUMBER(signed_offices!X25),TRIM(signed_offices!W25)&lt;&gt;"",OR(LEFT(signed_offices!W25,6)&lt;&gt;"SAMPLE",Config!$B$19="Y")),signed_offices!X25,"")</f>
        <v/>
      </c>
      <c r="C1425" s="23" t="str">
        <f aca="false">IF(B1425="","","office")</f>
        <v/>
      </c>
      <c r="D1425" s="23" t="str">
        <f aca="false">IF(B1425="","",IFERROR(INDEX(Office_Log!$ED$2:$ED$201,MATCH(signed_offices!W25,Office_Log!$A$2:$A$201,0))&amp;"",signed_offices!W25&amp;""))</f>
        <v/>
      </c>
      <c r="E1425" s="23" t="str">
        <f aca="false">IF(B1425="","",IF(signed_offices!C25="","",signed_offices!C25&amp;""))</f>
        <v/>
      </c>
      <c r="F1425" s="23" t="str">
        <f aca="false">IF(B1425="","","signed")</f>
        <v/>
      </c>
      <c r="G1425" s="23" t="str">
        <f aca="false">IF(B1425="","",IF(ISNUMBER(signed_offices!J25),signed_offices!J25,""))</f>
        <v/>
      </c>
      <c r="H1425" s="23" t="str">
        <f aca="false">IF(B1425="","","")</f>
        <v/>
      </c>
      <c r="I1425" s="23" t="str">
        <f aca="false">IF(B1425="","","")</f>
        <v/>
      </c>
      <c r="J1425" s="23" t="str">
        <f aca="false">IF(B1425="","",IF(signed_offices!V25="","",signed_offices!V25&amp;""))</f>
        <v/>
      </c>
      <c r="K1425" s="32" t="s">
        <v>1359</v>
      </c>
    </row>
    <row r="1426" customFormat="false" ht="15" hidden="false" customHeight="false" outlineLevel="0" collapsed="false">
      <c r="A1426" s="23" t="str">
        <f aca="false">IF(B1426="","",B1426+(8*1000+25)/10000000)</f>
        <v/>
      </c>
      <c r="B1426" s="35" t="str">
        <f aca="false">IF(AND(ISNUMBER(signed_offices!X26),TRIM(signed_offices!W26)&lt;&gt;"",OR(LEFT(signed_offices!W26,6)&lt;&gt;"SAMPLE",Config!$B$19="Y")),signed_offices!X26,"")</f>
        <v/>
      </c>
      <c r="C1426" s="23" t="str">
        <f aca="false">IF(B1426="","","office")</f>
        <v/>
      </c>
      <c r="D1426" s="23" t="str">
        <f aca="false">IF(B1426="","",IFERROR(INDEX(Office_Log!$ED$2:$ED$201,MATCH(signed_offices!W26,Office_Log!$A$2:$A$201,0))&amp;"",signed_offices!W26&amp;""))</f>
        <v/>
      </c>
      <c r="E1426" s="23" t="str">
        <f aca="false">IF(B1426="","",IF(signed_offices!C26="","",signed_offices!C26&amp;""))</f>
        <v/>
      </c>
      <c r="F1426" s="23" t="str">
        <f aca="false">IF(B1426="","","signed")</f>
        <v/>
      </c>
      <c r="G1426" s="23" t="str">
        <f aca="false">IF(B1426="","",IF(ISNUMBER(signed_offices!J26),signed_offices!J26,""))</f>
        <v/>
      </c>
      <c r="H1426" s="23" t="str">
        <f aca="false">IF(B1426="","","")</f>
        <v/>
      </c>
      <c r="I1426" s="23" t="str">
        <f aca="false">IF(B1426="","","")</f>
        <v/>
      </c>
      <c r="J1426" s="23" t="str">
        <f aca="false">IF(B1426="","",IF(signed_offices!V26="","",signed_offices!V26&amp;""))</f>
        <v/>
      </c>
      <c r="K1426" s="32" t="s">
        <v>1359</v>
      </c>
    </row>
    <row r="1427" customFormat="false" ht="15" hidden="false" customHeight="false" outlineLevel="0" collapsed="false">
      <c r="A1427" s="23" t="str">
        <f aca="false">IF(B1427="","",B1427+(8*1000+26)/10000000)</f>
        <v/>
      </c>
      <c r="B1427" s="35" t="str">
        <f aca="false">IF(AND(ISNUMBER(signed_offices!X27),TRIM(signed_offices!W27)&lt;&gt;"",OR(LEFT(signed_offices!W27,6)&lt;&gt;"SAMPLE",Config!$B$19="Y")),signed_offices!X27,"")</f>
        <v/>
      </c>
      <c r="C1427" s="23" t="str">
        <f aca="false">IF(B1427="","","office")</f>
        <v/>
      </c>
      <c r="D1427" s="23" t="str">
        <f aca="false">IF(B1427="","",IFERROR(INDEX(Office_Log!$ED$2:$ED$201,MATCH(signed_offices!W27,Office_Log!$A$2:$A$201,0))&amp;"",signed_offices!W27&amp;""))</f>
        <v/>
      </c>
      <c r="E1427" s="23" t="str">
        <f aca="false">IF(B1427="","",IF(signed_offices!C27="","",signed_offices!C27&amp;""))</f>
        <v/>
      </c>
      <c r="F1427" s="23" t="str">
        <f aca="false">IF(B1427="","","signed")</f>
        <v/>
      </c>
      <c r="G1427" s="23" t="str">
        <f aca="false">IF(B1427="","",IF(ISNUMBER(signed_offices!J27),signed_offices!J27,""))</f>
        <v/>
      </c>
      <c r="H1427" s="23" t="str">
        <f aca="false">IF(B1427="","","")</f>
        <v/>
      </c>
      <c r="I1427" s="23" t="str">
        <f aca="false">IF(B1427="","","")</f>
        <v/>
      </c>
      <c r="J1427" s="23" t="str">
        <f aca="false">IF(B1427="","",IF(signed_offices!V27="","",signed_offices!V27&amp;""))</f>
        <v/>
      </c>
      <c r="K1427" s="32" t="s">
        <v>1359</v>
      </c>
    </row>
    <row r="1428" customFormat="false" ht="15" hidden="false" customHeight="false" outlineLevel="0" collapsed="false">
      <c r="A1428" s="23" t="str">
        <f aca="false">IF(B1428="","",B1428+(8*1000+27)/10000000)</f>
        <v/>
      </c>
      <c r="B1428" s="35" t="str">
        <f aca="false">IF(AND(ISNUMBER(signed_offices!X28),TRIM(signed_offices!W28)&lt;&gt;"",OR(LEFT(signed_offices!W28,6)&lt;&gt;"SAMPLE",Config!$B$19="Y")),signed_offices!X28,"")</f>
        <v/>
      </c>
      <c r="C1428" s="23" t="str">
        <f aca="false">IF(B1428="","","office")</f>
        <v/>
      </c>
      <c r="D1428" s="23" t="str">
        <f aca="false">IF(B1428="","",IFERROR(INDEX(Office_Log!$ED$2:$ED$201,MATCH(signed_offices!W28,Office_Log!$A$2:$A$201,0))&amp;"",signed_offices!W28&amp;""))</f>
        <v/>
      </c>
      <c r="E1428" s="23" t="str">
        <f aca="false">IF(B1428="","",IF(signed_offices!C28="","",signed_offices!C28&amp;""))</f>
        <v/>
      </c>
      <c r="F1428" s="23" t="str">
        <f aca="false">IF(B1428="","","signed")</f>
        <v/>
      </c>
      <c r="G1428" s="23" t="str">
        <f aca="false">IF(B1428="","",IF(ISNUMBER(signed_offices!J28),signed_offices!J28,""))</f>
        <v/>
      </c>
      <c r="H1428" s="23" t="str">
        <f aca="false">IF(B1428="","","")</f>
        <v/>
      </c>
      <c r="I1428" s="23" t="str">
        <f aca="false">IF(B1428="","","")</f>
        <v/>
      </c>
      <c r="J1428" s="23" t="str">
        <f aca="false">IF(B1428="","",IF(signed_offices!V28="","",signed_offices!V28&amp;""))</f>
        <v/>
      </c>
      <c r="K1428" s="32" t="s">
        <v>1359</v>
      </c>
    </row>
    <row r="1429" customFormat="false" ht="15" hidden="false" customHeight="false" outlineLevel="0" collapsed="false">
      <c r="A1429" s="23" t="str">
        <f aca="false">IF(B1429="","",B1429+(8*1000+28)/10000000)</f>
        <v/>
      </c>
      <c r="B1429" s="35" t="str">
        <f aca="false">IF(AND(ISNUMBER(signed_offices!X29),TRIM(signed_offices!W29)&lt;&gt;"",OR(LEFT(signed_offices!W29,6)&lt;&gt;"SAMPLE",Config!$B$19="Y")),signed_offices!X29,"")</f>
        <v/>
      </c>
      <c r="C1429" s="23" t="str">
        <f aca="false">IF(B1429="","","office")</f>
        <v/>
      </c>
      <c r="D1429" s="23" t="str">
        <f aca="false">IF(B1429="","",IFERROR(INDEX(Office_Log!$ED$2:$ED$201,MATCH(signed_offices!W29,Office_Log!$A$2:$A$201,0))&amp;"",signed_offices!W29&amp;""))</f>
        <v/>
      </c>
      <c r="E1429" s="23" t="str">
        <f aca="false">IF(B1429="","",IF(signed_offices!C29="","",signed_offices!C29&amp;""))</f>
        <v/>
      </c>
      <c r="F1429" s="23" t="str">
        <f aca="false">IF(B1429="","","signed")</f>
        <v/>
      </c>
      <c r="G1429" s="23" t="str">
        <f aca="false">IF(B1429="","",IF(ISNUMBER(signed_offices!J29),signed_offices!J29,""))</f>
        <v/>
      </c>
      <c r="H1429" s="23" t="str">
        <f aca="false">IF(B1429="","","")</f>
        <v/>
      </c>
      <c r="I1429" s="23" t="str">
        <f aca="false">IF(B1429="","","")</f>
        <v/>
      </c>
      <c r="J1429" s="23" t="str">
        <f aca="false">IF(B1429="","",IF(signed_offices!V29="","",signed_offices!V29&amp;""))</f>
        <v/>
      </c>
      <c r="K1429" s="32" t="s">
        <v>1359</v>
      </c>
    </row>
    <row r="1430" customFormat="false" ht="15" hidden="false" customHeight="false" outlineLevel="0" collapsed="false">
      <c r="A1430" s="23" t="str">
        <f aca="false">IF(B1430="","",B1430+(8*1000+29)/10000000)</f>
        <v/>
      </c>
      <c r="B1430" s="35" t="str">
        <f aca="false">IF(AND(ISNUMBER(signed_offices!X30),TRIM(signed_offices!W30)&lt;&gt;"",OR(LEFT(signed_offices!W30,6)&lt;&gt;"SAMPLE",Config!$B$19="Y")),signed_offices!X30,"")</f>
        <v/>
      </c>
      <c r="C1430" s="23" t="str">
        <f aca="false">IF(B1430="","","office")</f>
        <v/>
      </c>
      <c r="D1430" s="23" t="str">
        <f aca="false">IF(B1430="","",IFERROR(INDEX(Office_Log!$ED$2:$ED$201,MATCH(signed_offices!W30,Office_Log!$A$2:$A$201,0))&amp;"",signed_offices!W30&amp;""))</f>
        <v/>
      </c>
      <c r="E1430" s="23" t="str">
        <f aca="false">IF(B1430="","",IF(signed_offices!C30="","",signed_offices!C30&amp;""))</f>
        <v/>
      </c>
      <c r="F1430" s="23" t="str">
        <f aca="false">IF(B1430="","","signed")</f>
        <v/>
      </c>
      <c r="G1430" s="23" t="str">
        <f aca="false">IF(B1430="","",IF(ISNUMBER(signed_offices!J30),signed_offices!J30,""))</f>
        <v/>
      </c>
      <c r="H1430" s="23" t="str">
        <f aca="false">IF(B1430="","","")</f>
        <v/>
      </c>
      <c r="I1430" s="23" t="str">
        <f aca="false">IF(B1430="","","")</f>
        <v/>
      </c>
      <c r="J1430" s="23" t="str">
        <f aca="false">IF(B1430="","",IF(signed_offices!V30="","",signed_offices!V30&amp;""))</f>
        <v/>
      </c>
      <c r="K1430" s="32" t="s">
        <v>1359</v>
      </c>
    </row>
    <row r="1431" customFormat="false" ht="15" hidden="false" customHeight="false" outlineLevel="0" collapsed="false">
      <c r="A1431" s="23" t="str">
        <f aca="false">IF(B1431="","",B1431+(8*1000+30)/10000000)</f>
        <v/>
      </c>
      <c r="B1431" s="35" t="str">
        <f aca="false">IF(AND(ISNUMBER(signed_offices!X31),TRIM(signed_offices!W31)&lt;&gt;"",OR(LEFT(signed_offices!W31,6)&lt;&gt;"SAMPLE",Config!$B$19="Y")),signed_offices!X31,"")</f>
        <v/>
      </c>
      <c r="C1431" s="23" t="str">
        <f aca="false">IF(B1431="","","office")</f>
        <v/>
      </c>
      <c r="D1431" s="23" t="str">
        <f aca="false">IF(B1431="","",IFERROR(INDEX(Office_Log!$ED$2:$ED$201,MATCH(signed_offices!W31,Office_Log!$A$2:$A$201,0))&amp;"",signed_offices!W31&amp;""))</f>
        <v/>
      </c>
      <c r="E1431" s="23" t="str">
        <f aca="false">IF(B1431="","",IF(signed_offices!C31="","",signed_offices!C31&amp;""))</f>
        <v/>
      </c>
      <c r="F1431" s="23" t="str">
        <f aca="false">IF(B1431="","","signed")</f>
        <v/>
      </c>
      <c r="G1431" s="23" t="str">
        <f aca="false">IF(B1431="","",IF(ISNUMBER(signed_offices!J31),signed_offices!J31,""))</f>
        <v/>
      </c>
      <c r="H1431" s="23" t="str">
        <f aca="false">IF(B1431="","","")</f>
        <v/>
      </c>
      <c r="I1431" s="23" t="str">
        <f aca="false">IF(B1431="","","")</f>
        <v/>
      </c>
      <c r="J1431" s="23" t="str">
        <f aca="false">IF(B1431="","",IF(signed_offices!V31="","",signed_offices!V31&amp;""))</f>
        <v/>
      </c>
      <c r="K1431" s="32" t="s">
        <v>1359</v>
      </c>
    </row>
    <row r="1432" customFormat="false" ht="15" hidden="false" customHeight="false" outlineLevel="0" collapsed="false">
      <c r="A1432" s="23" t="str">
        <f aca="false">IF(B1432="","",B1432+(8*1000+31)/10000000)</f>
        <v/>
      </c>
      <c r="B1432" s="35" t="str">
        <f aca="false">IF(AND(ISNUMBER(signed_offices!X32),TRIM(signed_offices!W32)&lt;&gt;"",OR(LEFT(signed_offices!W32,6)&lt;&gt;"SAMPLE",Config!$B$19="Y")),signed_offices!X32,"")</f>
        <v/>
      </c>
      <c r="C1432" s="23" t="str">
        <f aca="false">IF(B1432="","","office")</f>
        <v/>
      </c>
      <c r="D1432" s="23" t="str">
        <f aca="false">IF(B1432="","",IFERROR(INDEX(Office_Log!$ED$2:$ED$201,MATCH(signed_offices!W32,Office_Log!$A$2:$A$201,0))&amp;"",signed_offices!W32&amp;""))</f>
        <v/>
      </c>
      <c r="E1432" s="23" t="str">
        <f aca="false">IF(B1432="","",IF(signed_offices!C32="","",signed_offices!C32&amp;""))</f>
        <v/>
      </c>
      <c r="F1432" s="23" t="str">
        <f aca="false">IF(B1432="","","signed")</f>
        <v/>
      </c>
      <c r="G1432" s="23" t="str">
        <f aca="false">IF(B1432="","",IF(ISNUMBER(signed_offices!J32),signed_offices!J32,""))</f>
        <v/>
      </c>
      <c r="H1432" s="23" t="str">
        <f aca="false">IF(B1432="","","")</f>
        <v/>
      </c>
      <c r="I1432" s="23" t="str">
        <f aca="false">IF(B1432="","","")</f>
        <v/>
      </c>
      <c r="J1432" s="23" t="str">
        <f aca="false">IF(B1432="","",IF(signed_offices!V32="","",signed_offices!V32&amp;""))</f>
        <v/>
      </c>
      <c r="K1432" s="32" t="s">
        <v>1359</v>
      </c>
    </row>
    <row r="1433" customFormat="false" ht="15" hidden="false" customHeight="false" outlineLevel="0" collapsed="false">
      <c r="A1433" s="23" t="str">
        <f aca="false">IF(B1433="","",B1433+(8*1000+32)/10000000)</f>
        <v/>
      </c>
      <c r="B1433" s="35" t="str">
        <f aca="false">IF(AND(ISNUMBER(signed_offices!X33),TRIM(signed_offices!W33)&lt;&gt;"",OR(LEFT(signed_offices!W33,6)&lt;&gt;"SAMPLE",Config!$B$19="Y")),signed_offices!X33,"")</f>
        <v/>
      </c>
      <c r="C1433" s="23" t="str">
        <f aca="false">IF(B1433="","","office")</f>
        <v/>
      </c>
      <c r="D1433" s="23" t="str">
        <f aca="false">IF(B1433="","",IFERROR(INDEX(Office_Log!$ED$2:$ED$201,MATCH(signed_offices!W33,Office_Log!$A$2:$A$201,0))&amp;"",signed_offices!W33&amp;""))</f>
        <v/>
      </c>
      <c r="E1433" s="23" t="str">
        <f aca="false">IF(B1433="","",IF(signed_offices!C33="","",signed_offices!C33&amp;""))</f>
        <v/>
      </c>
      <c r="F1433" s="23" t="str">
        <f aca="false">IF(B1433="","","signed")</f>
        <v/>
      </c>
      <c r="G1433" s="23" t="str">
        <f aca="false">IF(B1433="","",IF(ISNUMBER(signed_offices!J33),signed_offices!J33,""))</f>
        <v/>
      </c>
      <c r="H1433" s="23" t="str">
        <f aca="false">IF(B1433="","","")</f>
        <v/>
      </c>
      <c r="I1433" s="23" t="str">
        <f aca="false">IF(B1433="","","")</f>
        <v/>
      </c>
      <c r="J1433" s="23" t="str">
        <f aca="false">IF(B1433="","",IF(signed_offices!V33="","",signed_offices!V33&amp;""))</f>
        <v/>
      </c>
      <c r="K1433" s="32" t="s">
        <v>1359</v>
      </c>
    </row>
    <row r="1434" customFormat="false" ht="15" hidden="false" customHeight="false" outlineLevel="0" collapsed="false">
      <c r="A1434" s="23" t="str">
        <f aca="false">IF(B1434="","",B1434+(8*1000+33)/10000000)</f>
        <v/>
      </c>
      <c r="B1434" s="35" t="str">
        <f aca="false">IF(AND(ISNUMBER(signed_offices!X34),TRIM(signed_offices!W34)&lt;&gt;"",OR(LEFT(signed_offices!W34,6)&lt;&gt;"SAMPLE",Config!$B$19="Y")),signed_offices!X34,"")</f>
        <v/>
      </c>
      <c r="C1434" s="23" t="str">
        <f aca="false">IF(B1434="","","office")</f>
        <v/>
      </c>
      <c r="D1434" s="23" t="str">
        <f aca="false">IF(B1434="","",IFERROR(INDEX(Office_Log!$ED$2:$ED$201,MATCH(signed_offices!W34,Office_Log!$A$2:$A$201,0))&amp;"",signed_offices!W34&amp;""))</f>
        <v/>
      </c>
      <c r="E1434" s="23" t="str">
        <f aca="false">IF(B1434="","",IF(signed_offices!C34="","",signed_offices!C34&amp;""))</f>
        <v/>
      </c>
      <c r="F1434" s="23" t="str">
        <f aca="false">IF(B1434="","","signed")</f>
        <v/>
      </c>
      <c r="G1434" s="23" t="str">
        <f aca="false">IF(B1434="","",IF(ISNUMBER(signed_offices!J34),signed_offices!J34,""))</f>
        <v/>
      </c>
      <c r="H1434" s="23" t="str">
        <f aca="false">IF(B1434="","","")</f>
        <v/>
      </c>
      <c r="I1434" s="23" t="str">
        <f aca="false">IF(B1434="","","")</f>
        <v/>
      </c>
      <c r="J1434" s="23" t="str">
        <f aca="false">IF(B1434="","",IF(signed_offices!V34="","",signed_offices!V34&amp;""))</f>
        <v/>
      </c>
      <c r="K1434" s="32" t="s">
        <v>1359</v>
      </c>
    </row>
    <row r="1435" customFormat="false" ht="15" hidden="false" customHeight="false" outlineLevel="0" collapsed="false">
      <c r="A1435" s="23" t="str">
        <f aca="false">IF(B1435="","",B1435+(8*1000+34)/10000000)</f>
        <v/>
      </c>
      <c r="B1435" s="35" t="str">
        <f aca="false">IF(AND(ISNUMBER(signed_offices!X35),TRIM(signed_offices!W35)&lt;&gt;"",OR(LEFT(signed_offices!W35,6)&lt;&gt;"SAMPLE",Config!$B$19="Y")),signed_offices!X35,"")</f>
        <v/>
      </c>
      <c r="C1435" s="23" t="str">
        <f aca="false">IF(B1435="","","office")</f>
        <v/>
      </c>
      <c r="D1435" s="23" t="str">
        <f aca="false">IF(B1435="","",IFERROR(INDEX(Office_Log!$ED$2:$ED$201,MATCH(signed_offices!W35,Office_Log!$A$2:$A$201,0))&amp;"",signed_offices!W35&amp;""))</f>
        <v/>
      </c>
      <c r="E1435" s="23" t="str">
        <f aca="false">IF(B1435="","",IF(signed_offices!C35="","",signed_offices!C35&amp;""))</f>
        <v/>
      </c>
      <c r="F1435" s="23" t="str">
        <f aca="false">IF(B1435="","","signed")</f>
        <v/>
      </c>
      <c r="G1435" s="23" t="str">
        <f aca="false">IF(B1435="","",IF(ISNUMBER(signed_offices!J35),signed_offices!J35,""))</f>
        <v/>
      </c>
      <c r="H1435" s="23" t="str">
        <f aca="false">IF(B1435="","","")</f>
        <v/>
      </c>
      <c r="I1435" s="23" t="str">
        <f aca="false">IF(B1435="","","")</f>
        <v/>
      </c>
      <c r="J1435" s="23" t="str">
        <f aca="false">IF(B1435="","",IF(signed_offices!V35="","",signed_offices!V35&amp;""))</f>
        <v/>
      </c>
      <c r="K1435" s="32" t="s">
        <v>1359</v>
      </c>
    </row>
    <row r="1436" customFormat="false" ht="15" hidden="false" customHeight="false" outlineLevel="0" collapsed="false">
      <c r="A1436" s="23" t="str">
        <f aca="false">IF(B1436="","",B1436+(8*1000+35)/10000000)</f>
        <v/>
      </c>
      <c r="B1436" s="35" t="str">
        <f aca="false">IF(AND(ISNUMBER(signed_offices!X36),TRIM(signed_offices!W36)&lt;&gt;"",OR(LEFT(signed_offices!W36,6)&lt;&gt;"SAMPLE",Config!$B$19="Y")),signed_offices!X36,"")</f>
        <v/>
      </c>
      <c r="C1436" s="23" t="str">
        <f aca="false">IF(B1436="","","office")</f>
        <v/>
      </c>
      <c r="D1436" s="23" t="str">
        <f aca="false">IF(B1436="","",IFERROR(INDEX(Office_Log!$ED$2:$ED$201,MATCH(signed_offices!W36,Office_Log!$A$2:$A$201,0))&amp;"",signed_offices!W36&amp;""))</f>
        <v/>
      </c>
      <c r="E1436" s="23" t="str">
        <f aca="false">IF(B1436="","",IF(signed_offices!C36="","",signed_offices!C36&amp;""))</f>
        <v/>
      </c>
      <c r="F1436" s="23" t="str">
        <f aca="false">IF(B1436="","","signed")</f>
        <v/>
      </c>
      <c r="G1436" s="23" t="str">
        <f aca="false">IF(B1436="","",IF(ISNUMBER(signed_offices!J36),signed_offices!J36,""))</f>
        <v/>
      </c>
      <c r="H1436" s="23" t="str">
        <f aca="false">IF(B1436="","","")</f>
        <v/>
      </c>
      <c r="I1436" s="23" t="str">
        <f aca="false">IF(B1436="","","")</f>
        <v/>
      </c>
      <c r="J1436" s="23" t="str">
        <f aca="false">IF(B1436="","",IF(signed_offices!V36="","",signed_offices!V36&amp;""))</f>
        <v/>
      </c>
      <c r="K1436" s="32" t="s">
        <v>1359</v>
      </c>
    </row>
    <row r="1437" customFormat="false" ht="15" hidden="false" customHeight="false" outlineLevel="0" collapsed="false">
      <c r="A1437" s="23" t="str">
        <f aca="false">IF(B1437="","",B1437+(8*1000+36)/10000000)</f>
        <v/>
      </c>
      <c r="B1437" s="35" t="str">
        <f aca="false">IF(AND(ISNUMBER(signed_offices!X37),TRIM(signed_offices!W37)&lt;&gt;"",OR(LEFT(signed_offices!W37,6)&lt;&gt;"SAMPLE",Config!$B$19="Y")),signed_offices!X37,"")</f>
        <v/>
      </c>
      <c r="C1437" s="23" t="str">
        <f aca="false">IF(B1437="","","office")</f>
        <v/>
      </c>
      <c r="D1437" s="23" t="str">
        <f aca="false">IF(B1437="","",IFERROR(INDEX(Office_Log!$ED$2:$ED$201,MATCH(signed_offices!W37,Office_Log!$A$2:$A$201,0))&amp;"",signed_offices!W37&amp;""))</f>
        <v/>
      </c>
      <c r="E1437" s="23" t="str">
        <f aca="false">IF(B1437="","",IF(signed_offices!C37="","",signed_offices!C37&amp;""))</f>
        <v/>
      </c>
      <c r="F1437" s="23" t="str">
        <f aca="false">IF(B1437="","","signed")</f>
        <v/>
      </c>
      <c r="G1437" s="23" t="str">
        <f aca="false">IF(B1437="","",IF(ISNUMBER(signed_offices!J37),signed_offices!J37,""))</f>
        <v/>
      </c>
      <c r="H1437" s="23" t="str">
        <f aca="false">IF(B1437="","","")</f>
        <v/>
      </c>
      <c r="I1437" s="23" t="str">
        <f aca="false">IF(B1437="","","")</f>
        <v/>
      </c>
      <c r="J1437" s="23" t="str">
        <f aca="false">IF(B1437="","",IF(signed_offices!V37="","",signed_offices!V37&amp;""))</f>
        <v/>
      </c>
      <c r="K1437" s="32" t="s">
        <v>1359</v>
      </c>
    </row>
    <row r="1438" customFormat="false" ht="15" hidden="false" customHeight="false" outlineLevel="0" collapsed="false">
      <c r="A1438" s="23" t="str">
        <f aca="false">IF(B1438="","",B1438+(8*1000+37)/10000000)</f>
        <v/>
      </c>
      <c r="B1438" s="35" t="str">
        <f aca="false">IF(AND(ISNUMBER(signed_offices!X38),TRIM(signed_offices!W38)&lt;&gt;"",OR(LEFT(signed_offices!W38,6)&lt;&gt;"SAMPLE",Config!$B$19="Y")),signed_offices!X38,"")</f>
        <v/>
      </c>
      <c r="C1438" s="23" t="str">
        <f aca="false">IF(B1438="","","office")</f>
        <v/>
      </c>
      <c r="D1438" s="23" t="str">
        <f aca="false">IF(B1438="","",IFERROR(INDEX(Office_Log!$ED$2:$ED$201,MATCH(signed_offices!W38,Office_Log!$A$2:$A$201,0))&amp;"",signed_offices!W38&amp;""))</f>
        <v/>
      </c>
      <c r="E1438" s="23" t="str">
        <f aca="false">IF(B1438="","",IF(signed_offices!C38="","",signed_offices!C38&amp;""))</f>
        <v/>
      </c>
      <c r="F1438" s="23" t="str">
        <f aca="false">IF(B1438="","","signed")</f>
        <v/>
      </c>
      <c r="G1438" s="23" t="str">
        <f aca="false">IF(B1438="","",IF(ISNUMBER(signed_offices!J38),signed_offices!J38,""))</f>
        <v/>
      </c>
      <c r="H1438" s="23" t="str">
        <f aca="false">IF(B1438="","","")</f>
        <v/>
      </c>
      <c r="I1438" s="23" t="str">
        <f aca="false">IF(B1438="","","")</f>
        <v/>
      </c>
      <c r="J1438" s="23" t="str">
        <f aca="false">IF(B1438="","",IF(signed_offices!V38="","",signed_offices!V38&amp;""))</f>
        <v/>
      </c>
      <c r="K1438" s="32" t="s">
        <v>1359</v>
      </c>
    </row>
    <row r="1439" customFormat="false" ht="15" hidden="false" customHeight="false" outlineLevel="0" collapsed="false">
      <c r="A1439" s="23" t="str">
        <f aca="false">IF(B1439="","",B1439+(8*1000+38)/10000000)</f>
        <v/>
      </c>
      <c r="B1439" s="35" t="str">
        <f aca="false">IF(AND(ISNUMBER(signed_offices!X39),TRIM(signed_offices!W39)&lt;&gt;"",OR(LEFT(signed_offices!W39,6)&lt;&gt;"SAMPLE",Config!$B$19="Y")),signed_offices!X39,"")</f>
        <v/>
      </c>
      <c r="C1439" s="23" t="str">
        <f aca="false">IF(B1439="","","office")</f>
        <v/>
      </c>
      <c r="D1439" s="23" t="str">
        <f aca="false">IF(B1439="","",IFERROR(INDEX(Office_Log!$ED$2:$ED$201,MATCH(signed_offices!W39,Office_Log!$A$2:$A$201,0))&amp;"",signed_offices!W39&amp;""))</f>
        <v/>
      </c>
      <c r="E1439" s="23" t="str">
        <f aca="false">IF(B1439="","",IF(signed_offices!C39="","",signed_offices!C39&amp;""))</f>
        <v/>
      </c>
      <c r="F1439" s="23" t="str">
        <f aca="false">IF(B1439="","","signed")</f>
        <v/>
      </c>
      <c r="G1439" s="23" t="str">
        <f aca="false">IF(B1439="","",IF(ISNUMBER(signed_offices!J39),signed_offices!J39,""))</f>
        <v/>
      </c>
      <c r="H1439" s="23" t="str">
        <f aca="false">IF(B1439="","","")</f>
        <v/>
      </c>
      <c r="I1439" s="23" t="str">
        <f aca="false">IF(B1439="","","")</f>
        <v/>
      </c>
      <c r="J1439" s="23" t="str">
        <f aca="false">IF(B1439="","",IF(signed_offices!V39="","",signed_offices!V39&amp;""))</f>
        <v/>
      </c>
      <c r="K1439" s="32" t="s">
        <v>1359</v>
      </c>
    </row>
    <row r="1440" customFormat="false" ht="15" hidden="false" customHeight="false" outlineLevel="0" collapsed="false">
      <c r="A1440" s="23" t="str">
        <f aca="false">IF(B1440="","",B1440+(8*1000+39)/10000000)</f>
        <v/>
      </c>
      <c r="B1440" s="35" t="str">
        <f aca="false">IF(AND(ISNUMBER(signed_offices!X40),TRIM(signed_offices!W40)&lt;&gt;"",OR(LEFT(signed_offices!W40,6)&lt;&gt;"SAMPLE",Config!$B$19="Y")),signed_offices!X40,"")</f>
        <v/>
      </c>
      <c r="C1440" s="23" t="str">
        <f aca="false">IF(B1440="","","office")</f>
        <v/>
      </c>
      <c r="D1440" s="23" t="str">
        <f aca="false">IF(B1440="","",IFERROR(INDEX(Office_Log!$ED$2:$ED$201,MATCH(signed_offices!W40,Office_Log!$A$2:$A$201,0))&amp;"",signed_offices!W40&amp;""))</f>
        <v/>
      </c>
      <c r="E1440" s="23" t="str">
        <f aca="false">IF(B1440="","",IF(signed_offices!C40="","",signed_offices!C40&amp;""))</f>
        <v/>
      </c>
      <c r="F1440" s="23" t="str">
        <f aca="false">IF(B1440="","","signed")</f>
        <v/>
      </c>
      <c r="G1440" s="23" t="str">
        <f aca="false">IF(B1440="","",IF(ISNUMBER(signed_offices!J40),signed_offices!J40,""))</f>
        <v/>
      </c>
      <c r="H1440" s="23" t="str">
        <f aca="false">IF(B1440="","","")</f>
        <v/>
      </c>
      <c r="I1440" s="23" t="str">
        <f aca="false">IF(B1440="","","")</f>
        <v/>
      </c>
      <c r="J1440" s="23" t="str">
        <f aca="false">IF(B1440="","",IF(signed_offices!V40="","",signed_offices!V40&amp;""))</f>
        <v/>
      </c>
      <c r="K1440" s="32" t="s">
        <v>1359</v>
      </c>
    </row>
    <row r="1441" customFormat="false" ht="15" hidden="false" customHeight="false" outlineLevel="0" collapsed="false">
      <c r="A1441" s="23" t="str">
        <f aca="false">IF(B1441="","",B1441+(8*1000+40)/10000000)</f>
        <v/>
      </c>
      <c r="B1441" s="35" t="str">
        <f aca="false">IF(AND(ISNUMBER(signed_offices!X41),TRIM(signed_offices!W41)&lt;&gt;"",OR(LEFT(signed_offices!W41,6)&lt;&gt;"SAMPLE",Config!$B$19="Y")),signed_offices!X41,"")</f>
        <v/>
      </c>
      <c r="C1441" s="23" t="str">
        <f aca="false">IF(B1441="","","office")</f>
        <v/>
      </c>
      <c r="D1441" s="23" t="str">
        <f aca="false">IF(B1441="","",IFERROR(INDEX(Office_Log!$ED$2:$ED$201,MATCH(signed_offices!W41,Office_Log!$A$2:$A$201,0))&amp;"",signed_offices!W41&amp;""))</f>
        <v/>
      </c>
      <c r="E1441" s="23" t="str">
        <f aca="false">IF(B1441="","",IF(signed_offices!C41="","",signed_offices!C41&amp;""))</f>
        <v/>
      </c>
      <c r="F1441" s="23" t="str">
        <f aca="false">IF(B1441="","","signed")</f>
        <v/>
      </c>
      <c r="G1441" s="23" t="str">
        <f aca="false">IF(B1441="","",IF(ISNUMBER(signed_offices!J41),signed_offices!J41,""))</f>
        <v/>
      </c>
      <c r="H1441" s="23" t="str">
        <f aca="false">IF(B1441="","","")</f>
        <v/>
      </c>
      <c r="I1441" s="23" t="str">
        <f aca="false">IF(B1441="","","")</f>
        <v/>
      </c>
      <c r="J1441" s="23" t="str">
        <f aca="false">IF(B1441="","",IF(signed_offices!V41="","",signed_offices!V41&amp;""))</f>
        <v/>
      </c>
      <c r="K1441" s="32" t="s">
        <v>1359</v>
      </c>
    </row>
    <row r="1442" customFormat="false" ht="15" hidden="false" customHeight="false" outlineLevel="0" collapsed="false">
      <c r="A1442" s="23" t="str">
        <f aca="false">IF(B1442="","",B1442+(8*1000+41)/10000000)</f>
        <v/>
      </c>
      <c r="B1442" s="35" t="str">
        <f aca="false">IF(AND(ISNUMBER(signed_offices!X42),TRIM(signed_offices!W42)&lt;&gt;"",OR(LEFT(signed_offices!W42,6)&lt;&gt;"SAMPLE",Config!$B$19="Y")),signed_offices!X42,"")</f>
        <v/>
      </c>
      <c r="C1442" s="23" t="str">
        <f aca="false">IF(B1442="","","office")</f>
        <v/>
      </c>
      <c r="D1442" s="23" t="str">
        <f aca="false">IF(B1442="","",IFERROR(INDEX(Office_Log!$ED$2:$ED$201,MATCH(signed_offices!W42,Office_Log!$A$2:$A$201,0))&amp;"",signed_offices!W42&amp;""))</f>
        <v/>
      </c>
      <c r="E1442" s="23" t="str">
        <f aca="false">IF(B1442="","",IF(signed_offices!C42="","",signed_offices!C42&amp;""))</f>
        <v/>
      </c>
      <c r="F1442" s="23" t="str">
        <f aca="false">IF(B1442="","","signed")</f>
        <v/>
      </c>
      <c r="G1442" s="23" t="str">
        <f aca="false">IF(B1442="","",IF(ISNUMBER(signed_offices!J42),signed_offices!J42,""))</f>
        <v/>
      </c>
      <c r="H1442" s="23" t="str">
        <f aca="false">IF(B1442="","","")</f>
        <v/>
      </c>
      <c r="I1442" s="23" t="str">
        <f aca="false">IF(B1442="","","")</f>
        <v/>
      </c>
      <c r="J1442" s="23" t="str">
        <f aca="false">IF(B1442="","",IF(signed_offices!V42="","",signed_offices!V42&amp;""))</f>
        <v/>
      </c>
      <c r="K1442" s="32" t="s">
        <v>1359</v>
      </c>
    </row>
    <row r="1443" customFormat="false" ht="15" hidden="false" customHeight="false" outlineLevel="0" collapsed="false">
      <c r="A1443" s="23" t="str">
        <f aca="false">IF(B1443="","",B1443+(8*1000+42)/10000000)</f>
        <v/>
      </c>
      <c r="B1443" s="35" t="str">
        <f aca="false">IF(AND(ISNUMBER(signed_offices!X43),TRIM(signed_offices!W43)&lt;&gt;"",OR(LEFT(signed_offices!W43,6)&lt;&gt;"SAMPLE",Config!$B$19="Y")),signed_offices!X43,"")</f>
        <v/>
      </c>
      <c r="C1443" s="23" t="str">
        <f aca="false">IF(B1443="","","office")</f>
        <v/>
      </c>
      <c r="D1443" s="23" t="str">
        <f aca="false">IF(B1443="","",IFERROR(INDEX(Office_Log!$ED$2:$ED$201,MATCH(signed_offices!W43,Office_Log!$A$2:$A$201,0))&amp;"",signed_offices!W43&amp;""))</f>
        <v/>
      </c>
      <c r="E1443" s="23" t="str">
        <f aca="false">IF(B1443="","",IF(signed_offices!C43="","",signed_offices!C43&amp;""))</f>
        <v/>
      </c>
      <c r="F1443" s="23" t="str">
        <f aca="false">IF(B1443="","","signed")</f>
        <v/>
      </c>
      <c r="G1443" s="23" t="str">
        <f aca="false">IF(B1443="","",IF(ISNUMBER(signed_offices!J43),signed_offices!J43,""))</f>
        <v/>
      </c>
      <c r="H1443" s="23" t="str">
        <f aca="false">IF(B1443="","","")</f>
        <v/>
      </c>
      <c r="I1443" s="23" t="str">
        <f aca="false">IF(B1443="","","")</f>
        <v/>
      </c>
      <c r="J1443" s="23" t="str">
        <f aca="false">IF(B1443="","",IF(signed_offices!V43="","",signed_offices!V43&amp;""))</f>
        <v/>
      </c>
      <c r="K1443" s="32" t="s">
        <v>1359</v>
      </c>
    </row>
    <row r="1444" customFormat="false" ht="15" hidden="false" customHeight="false" outlineLevel="0" collapsed="false">
      <c r="A1444" s="23" t="str">
        <f aca="false">IF(B1444="","",B1444+(8*1000+43)/10000000)</f>
        <v/>
      </c>
      <c r="B1444" s="35" t="str">
        <f aca="false">IF(AND(ISNUMBER(signed_offices!X44),TRIM(signed_offices!W44)&lt;&gt;"",OR(LEFT(signed_offices!W44,6)&lt;&gt;"SAMPLE",Config!$B$19="Y")),signed_offices!X44,"")</f>
        <v/>
      </c>
      <c r="C1444" s="23" t="str">
        <f aca="false">IF(B1444="","","office")</f>
        <v/>
      </c>
      <c r="D1444" s="23" t="str">
        <f aca="false">IF(B1444="","",IFERROR(INDEX(Office_Log!$ED$2:$ED$201,MATCH(signed_offices!W44,Office_Log!$A$2:$A$201,0))&amp;"",signed_offices!W44&amp;""))</f>
        <v/>
      </c>
      <c r="E1444" s="23" t="str">
        <f aca="false">IF(B1444="","",IF(signed_offices!C44="","",signed_offices!C44&amp;""))</f>
        <v/>
      </c>
      <c r="F1444" s="23" t="str">
        <f aca="false">IF(B1444="","","signed")</f>
        <v/>
      </c>
      <c r="G1444" s="23" t="str">
        <f aca="false">IF(B1444="","",IF(ISNUMBER(signed_offices!J44),signed_offices!J44,""))</f>
        <v/>
      </c>
      <c r="H1444" s="23" t="str">
        <f aca="false">IF(B1444="","","")</f>
        <v/>
      </c>
      <c r="I1444" s="23" t="str">
        <f aca="false">IF(B1444="","","")</f>
        <v/>
      </c>
      <c r="J1444" s="23" t="str">
        <f aca="false">IF(B1444="","",IF(signed_offices!V44="","",signed_offices!V44&amp;""))</f>
        <v/>
      </c>
      <c r="K1444" s="32" t="s">
        <v>1359</v>
      </c>
    </row>
    <row r="1445" customFormat="false" ht="15" hidden="false" customHeight="false" outlineLevel="0" collapsed="false">
      <c r="A1445" s="23" t="str">
        <f aca="false">IF(B1445="","",B1445+(8*1000+44)/10000000)</f>
        <v/>
      </c>
      <c r="B1445" s="35" t="str">
        <f aca="false">IF(AND(ISNUMBER(signed_offices!X45),TRIM(signed_offices!W45)&lt;&gt;"",OR(LEFT(signed_offices!W45,6)&lt;&gt;"SAMPLE",Config!$B$19="Y")),signed_offices!X45,"")</f>
        <v/>
      </c>
      <c r="C1445" s="23" t="str">
        <f aca="false">IF(B1445="","","office")</f>
        <v/>
      </c>
      <c r="D1445" s="23" t="str">
        <f aca="false">IF(B1445="","",IFERROR(INDEX(Office_Log!$ED$2:$ED$201,MATCH(signed_offices!W45,Office_Log!$A$2:$A$201,0))&amp;"",signed_offices!W45&amp;""))</f>
        <v/>
      </c>
      <c r="E1445" s="23" t="str">
        <f aca="false">IF(B1445="","",IF(signed_offices!C45="","",signed_offices!C45&amp;""))</f>
        <v/>
      </c>
      <c r="F1445" s="23" t="str">
        <f aca="false">IF(B1445="","","signed")</f>
        <v/>
      </c>
      <c r="G1445" s="23" t="str">
        <f aca="false">IF(B1445="","",IF(ISNUMBER(signed_offices!J45),signed_offices!J45,""))</f>
        <v/>
      </c>
      <c r="H1445" s="23" t="str">
        <f aca="false">IF(B1445="","","")</f>
        <v/>
      </c>
      <c r="I1445" s="23" t="str">
        <f aca="false">IF(B1445="","","")</f>
        <v/>
      </c>
      <c r="J1445" s="23" t="str">
        <f aca="false">IF(B1445="","",IF(signed_offices!V45="","",signed_offices!V45&amp;""))</f>
        <v/>
      </c>
      <c r="K1445" s="32" t="s">
        <v>1359</v>
      </c>
    </row>
    <row r="1446" customFormat="false" ht="15" hidden="false" customHeight="false" outlineLevel="0" collapsed="false">
      <c r="A1446" s="23" t="str">
        <f aca="false">IF(B1446="","",B1446+(8*1000+45)/10000000)</f>
        <v/>
      </c>
      <c r="B1446" s="35" t="str">
        <f aca="false">IF(AND(ISNUMBER(signed_offices!X46),TRIM(signed_offices!W46)&lt;&gt;"",OR(LEFT(signed_offices!W46,6)&lt;&gt;"SAMPLE",Config!$B$19="Y")),signed_offices!X46,"")</f>
        <v/>
      </c>
      <c r="C1446" s="23" t="str">
        <f aca="false">IF(B1446="","","office")</f>
        <v/>
      </c>
      <c r="D1446" s="23" t="str">
        <f aca="false">IF(B1446="","",IFERROR(INDEX(Office_Log!$ED$2:$ED$201,MATCH(signed_offices!W46,Office_Log!$A$2:$A$201,0))&amp;"",signed_offices!W46&amp;""))</f>
        <v/>
      </c>
      <c r="E1446" s="23" t="str">
        <f aca="false">IF(B1446="","",IF(signed_offices!C46="","",signed_offices!C46&amp;""))</f>
        <v/>
      </c>
      <c r="F1446" s="23" t="str">
        <f aca="false">IF(B1446="","","signed")</f>
        <v/>
      </c>
      <c r="G1446" s="23" t="str">
        <f aca="false">IF(B1446="","",IF(ISNUMBER(signed_offices!J46),signed_offices!J46,""))</f>
        <v/>
      </c>
      <c r="H1446" s="23" t="str">
        <f aca="false">IF(B1446="","","")</f>
        <v/>
      </c>
      <c r="I1446" s="23" t="str">
        <f aca="false">IF(B1446="","","")</f>
        <v/>
      </c>
      <c r="J1446" s="23" t="str">
        <f aca="false">IF(B1446="","",IF(signed_offices!V46="","",signed_offices!V46&amp;""))</f>
        <v/>
      </c>
      <c r="K1446" s="32" t="s">
        <v>1359</v>
      </c>
    </row>
    <row r="1447" customFormat="false" ht="15" hidden="false" customHeight="false" outlineLevel="0" collapsed="false">
      <c r="A1447" s="23" t="str">
        <f aca="false">IF(B1447="","",B1447+(8*1000+46)/10000000)</f>
        <v/>
      </c>
      <c r="B1447" s="35" t="str">
        <f aca="false">IF(AND(ISNUMBER(signed_offices!X47),TRIM(signed_offices!W47)&lt;&gt;"",OR(LEFT(signed_offices!W47,6)&lt;&gt;"SAMPLE",Config!$B$19="Y")),signed_offices!X47,"")</f>
        <v/>
      </c>
      <c r="C1447" s="23" t="str">
        <f aca="false">IF(B1447="","","office")</f>
        <v/>
      </c>
      <c r="D1447" s="23" t="str">
        <f aca="false">IF(B1447="","",IFERROR(INDEX(Office_Log!$ED$2:$ED$201,MATCH(signed_offices!W47,Office_Log!$A$2:$A$201,0))&amp;"",signed_offices!W47&amp;""))</f>
        <v/>
      </c>
      <c r="E1447" s="23" t="str">
        <f aca="false">IF(B1447="","",IF(signed_offices!C47="","",signed_offices!C47&amp;""))</f>
        <v/>
      </c>
      <c r="F1447" s="23" t="str">
        <f aca="false">IF(B1447="","","signed")</f>
        <v/>
      </c>
      <c r="G1447" s="23" t="str">
        <f aca="false">IF(B1447="","",IF(ISNUMBER(signed_offices!J47),signed_offices!J47,""))</f>
        <v/>
      </c>
      <c r="H1447" s="23" t="str">
        <f aca="false">IF(B1447="","","")</f>
        <v/>
      </c>
      <c r="I1447" s="23" t="str">
        <f aca="false">IF(B1447="","","")</f>
        <v/>
      </c>
      <c r="J1447" s="23" t="str">
        <f aca="false">IF(B1447="","",IF(signed_offices!V47="","",signed_offices!V47&amp;""))</f>
        <v/>
      </c>
      <c r="K1447" s="32" t="s">
        <v>1359</v>
      </c>
    </row>
    <row r="1448" customFormat="false" ht="15" hidden="false" customHeight="false" outlineLevel="0" collapsed="false">
      <c r="A1448" s="23" t="str">
        <f aca="false">IF(B1448="","",B1448+(8*1000+47)/10000000)</f>
        <v/>
      </c>
      <c r="B1448" s="35" t="str">
        <f aca="false">IF(AND(ISNUMBER(signed_offices!X48),TRIM(signed_offices!W48)&lt;&gt;"",OR(LEFT(signed_offices!W48,6)&lt;&gt;"SAMPLE",Config!$B$19="Y")),signed_offices!X48,"")</f>
        <v/>
      </c>
      <c r="C1448" s="23" t="str">
        <f aca="false">IF(B1448="","","office")</f>
        <v/>
      </c>
      <c r="D1448" s="23" t="str">
        <f aca="false">IF(B1448="","",IFERROR(INDEX(Office_Log!$ED$2:$ED$201,MATCH(signed_offices!W48,Office_Log!$A$2:$A$201,0))&amp;"",signed_offices!W48&amp;""))</f>
        <v/>
      </c>
      <c r="E1448" s="23" t="str">
        <f aca="false">IF(B1448="","",IF(signed_offices!C48="","",signed_offices!C48&amp;""))</f>
        <v/>
      </c>
      <c r="F1448" s="23" t="str">
        <f aca="false">IF(B1448="","","signed")</f>
        <v/>
      </c>
      <c r="G1448" s="23" t="str">
        <f aca="false">IF(B1448="","",IF(ISNUMBER(signed_offices!J48),signed_offices!J48,""))</f>
        <v/>
      </c>
      <c r="H1448" s="23" t="str">
        <f aca="false">IF(B1448="","","")</f>
        <v/>
      </c>
      <c r="I1448" s="23" t="str">
        <f aca="false">IF(B1448="","","")</f>
        <v/>
      </c>
      <c r="J1448" s="23" t="str">
        <f aca="false">IF(B1448="","",IF(signed_offices!V48="","",signed_offices!V48&amp;""))</f>
        <v/>
      </c>
      <c r="K1448" s="32" t="s">
        <v>1359</v>
      </c>
    </row>
    <row r="1449" customFormat="false" ht="15" hidden="false" customHeight="false" outlineLevel="0" collapsed="false">
      <c r="A1449" s="23" t="str">
        <f aca="false">IF(B1449="","",B1449+(8*1000+48)/10000000)</f>
        <v/>
      </c>
      <c r="B1449" s="35" t="str">
        <f aca="false">IF(AND(ISNUMBER(signed_offices!X49),TRIM(signed_offices!W49)&lt;&gt;"",OR(LEFT(signed_offices!W49,6)&lt;&gt;"SAMPLE",Config!$B$19="Y")),signed_offices!X49,"")</f>
        <v/>
      </c>
      <c r="C1449" s="23" t="str">
        <f aca="false">IF(B1449="","","office")</f>
        <v/>
      </c>
      <c r="D1449" s="23" t="str">
        <f aca="false">IF(B1449="","",IFERROR(INDEX(Office_Log!$ED$2:$ED$201,MATCH(signed_offices!W49,Office_Log!$A$2:$A$201,0))&amp;"",signed_offices!W49&amp;""))</f>
        <v/>
      </c>
      <c r="E1449" s="23" t="str">
        <f aca="false">IF(B1449="","",IF(signed_offices!C49="","",signed_offices!C49&amp;""))</f>
        <v/>
      </c>
      <c r="F1449" s="23" t="str">
        <f aca="false">IF(B1449="","","signed")</f>
        <v/>
      </c>
      <c r="G1449" s="23" t="str">
        <f aca="false">IF(B1449="","",IF(ISNUMBER(signed_offices!J49),signed_offices!J49,""))</f>
        <v/>
      </c>
      <c r="H1449" s="23" t="str">
        <f aca="false">IF(B1449="","","")</f>
        <v/>
      </c>
      <c r="I1449" s="23" t="str">
        <f aca="false">IF(B1449="","","")</f>
        <v/>
      </c>
      <c r="J1449" s="23" t="str">
        <f aca="false">IF(B1449="","",IF(signed_offices!V49="","",signed_offices!V49&amp;""))</f>
        <v/>
      </c>
      <c r="K1449" s="32" t="s">
        <v>1359</v>
      </c>
    </row>
    <row r="1450" customFormat="false" ht="15" hidden="false" customHeight="false" outlineLevel="0" collapsed="false">
      <c r="A1450" s="23" t="str">
        <f aca="false">IF(B1450="","",B1450+(8*1000+49)/10000000)</f>
        <v/>
      </c>
      <c r="B1450" s="35" t="str">
        <f aca="false">IF(AND(ISNUMBER(signed_offices!X50),TRIM(signed_offices!W50)&lt;&gt;"",OR(LEFT(signed_offices!W50,6)&lt;&gt;"SAMPLE",Config!$B$19="Y")),signed_offices!X50,"")</f>
        <v/>
      </c>
      <c r="C1450" s="23" t="str">
        <f aca="false">IF(B1450="","","office")</f>
        <v/>
      </c>
      <c r="D1450" s="23" t="str">
        <f aca="false">IF(B1450="","",IFERROR(INDEX(Office_Log!$ED$2:$ED$201,MATCH(signed_offices!W50,Office_Log!$A$2:$A$201,0))&amp;"",signed_offices!W50&amp;""))</f>
        <v/>
      </c>
      <c r="E1450" s="23" t="str">
        <f aca="false">IF(B1450="","",IF(signed_offices!C50="","",signed_offices!C50&amp;""))</f>
        <v/>
      </c>
      <c r="F1450" s="23" t="str">
        <f aca="false">IF(B1450="","","signed")</f>
        <v/>
      </c>
      <c r="G1450" s="23" t="str">
        <f aca="false">IF(B1450="","",IF(ISNUMBER(signed_offices!J50),signed_offices!J50,""))</f>
        <v/>
      </c>
      <c r="H1450" s="23" t="str">
        <f aca="false">IF(B1450="","","")</f>
        <v/>
      </c>
      <c r="I1450" s="23" t="str">
        <f aca="false">IF(B1450="","","")</f>
        <v/>
      </c>
      <c r="J1450" s="23" t="str">
        <f aca="false">IF(B1450="","",IF(signed_offices!V50="","",signed_offices!V50&amp;""))</f>
        <v/>
      </c>
      <c r="K1450" s="32" t="s">
        <v>1359</v>
      </c>
    </row>
    <row r="1451" customFormat="false" ht="15" hidden="false" customHeight="false" outlineLevel="0" collapsed="false">
      <c r="A1451" s="23" t="str">
        <f aca="false">IF(B1451="","",B1451+(8*1000+50)/10000000)</f>
        <v/>
      </c>
      <c r="B1451" s="35" t="str">
        <f aca="false">IF(AND(ISNUMBER(signed_offices!X51),TRIM(signed_offices!W51)&lt;&gt;"",OR(LEFT(signed_offices!W51,6)&lt;&gt;"SAMPLE",Config!$B$19="Y")),signed_offices!X51,"")</f>
        <v/>
      </c>
      <c r="C1451" s="23" t="str">
        <f aca="false">IF(B1451="","","office")</f>
        <v/>
      </c>
      <c r="D1451" s="23" t="str">
        <f aca="false">IF(B1451="","",IFERROR(INDEX(Office_Log!$ED$2:$ED$201,MATCH(signed_offices!W51,Office_Log!$A$2:$A$201,0))&amp;"",signed_offices!W51&amp;""))</f>
        <v/>
      </c>
      <c r="E1451" s="23" t="str">
        <f aca="false">IF(B1451="","",IF(signed_offices!C51="","",signed_offices!C51&amp;""))</f>
        <v/>
      </c>
      <c r="F1451" s="23" t="str">
        <f aca="false">IF(B1451="","","signed")</f>
        <v/>
      </c>
      <c r="G1451" s="23" t="str">
        <f aca="false">IF(B1451="","",IF(ISNUMBER(signed_offices!J51),signed_offices!J51,""))</f>
        <v/>
      </c>
      <c r="H1451" s="23" t="str">
        <f aca="false">IF(B1451="","","")</f>
        <v/>
      </c>
      <c r="I1451" s="23" t="str">
        <f aca="false">IF(B1451="","","")</f>
        <v/>
      </c>
      <c r="J1451" s="23" t="str">
        <f aca="false">IF(B1451="","",IF(signed_offices!V51="","",signed_offices!V51&amp;""))</f>
        <v/>
      </c>
      <c r="K1451" s="32" t="s">
        <v>1359</v>
      </c>
    </row>
    <row r="1452" customFormat="false" ht="15" hidden="false" customHeight="false" outlineLevel="0" collapsed="false">
      <c r="A1452" s="42" t="n">
        <f aca="false">IF(B1452="","",B1452+(9*1000+1)/10000000)</f>
        <v>46359.0009001</v>
      </c>
      <c r="B1452" s="35" t="n">
        <f aca="false">IF(AND(ISNUMBER(paid_brands!AW2),ISNUMBER(paid_brands!AV2),TRIM(paid_brands!AC2)&lt;&gt;"",OR(LEFT(paid_brands!AC2,6)&lt;&gt;"SAMPLE",Config!$B$19="Y")),paid_brands!AW2,"")</f>
        <v>46359</v>
      </c>
      <c r="C1452" s="23" t="str">
        <f aca="false">IF(B1452="","","brand")</f>
        <v>brand</v>
      </c>
      <c r="D1452" s="23" t="str">
        <f aca="false">IF(B1452="","",IFERROR(INDEX(Brand_Log!$DV$2:$DV$201,MATCH(paid_brands!AC2,Brand_Log!$A$2:$A$201,0))&amp;"",paid_brands!AC2&amp;""))</f>
        <v>SAMPLE-B-001</v>
      </c>
      <c r="E1452" s="23" t="str">
        <f aca="false">IF(B1452="","",IF(paid_brands!C2="","",paid_brands!C2&amp;""))</f>
        <v>SAMPLE Brand 01</v>
      </c>
      <c r="F1452" s="23" t="str">
        <f aca="false">IF(B1452="","","paid")</f>
        <v>paid</v>
      </c>
      <c r="G1452" s="23" t="n">
        <f aca="false">IF(B1452="","",paid_brands!AV2)</f>
        <v>600</v>
      </c>
      <c r="H1452" s="23" t="str">
        <f aca="false">IF(B1452="","","")</f>
        <v/>
      </c>
      <c r="I1452" s="23" t="str">
        <f aca="false">IF(B1452="","","")</f>
        <v/>
      </c>
      <c r="J1452" s="23" t="str">
        <f aca="false">IF(B1452="","","payment 1; "&amp;paid_brands!AB2&amp;"; "&amp;paid_brands!AD2&amp;"; invoice "&amp;paid_brands!AI2)</f>
        <v>payment 1; SAMPLE-BR-101; founding; invoice SAMPLE-INV-0001</v>
      </c>
      <c r="K1452" s="32" t="s">
        <v>1360</v>
      </c>
    </row>
    <row r="1453" customFormat="false" ht="15" hidden="false" customHeight="false" outlineLevel="0" collapsed="false">
      <c r="A1453" s="23" t="str">
        <f aca="false">IF(B1453="","",B1453+(9*1000+2)/10000000)</f>
        <v/>
      </c>
      <c r="B1453" s="35" t="str">
        <f aca="false">IF(AND(ISNUMBER(paid_brands!AW3),ISNUMBER(paid_brands!AV3),TRIM(paid_brands!AC3)&lt;&gt;"",OR(LEFT(paid_brands!AC3,6)&lt;&gt;"SAMPLE",Config!$B$19="Y")),paid_brands!AW3,"")</f>
        <v/>
      </c>
      <c r="C1453" s="23" t="str">
        <f aca="false">IF(B1453="","","brand")</f>
        <v/>
      </c>
      <c r="D1453" s="23" t="str">
        <f aca="false">IF(B1453="","",IFERROR(INDEX(Brand_Log!$DV$2:$DV$201,MATCH(paid_brands!AC3,Brand_Log!$A$2:$A$201,0))&amp;"",paid_brands!AC3&amp;""))</f>
        <v/>
      </c>
      <c r="E1453" s="23" t="str">
        <f aca="false">IF(B1453="","",IF(paid_brands!C3="","",paid_brands!C3&amp;""))</f>
        <v/>
      </c>
      <c r="F1453" s="23" t="str">
        <f aca="false">IF(B1453="","","paid")</f>
        <v/>
      </c>
      <c r="G1453" s="23" t="str">
        <f aca="false">IF(B1453="","",paid_brands!AV3)</f>
        <v/>
      </c>
      <c r="H1453" s="23" t="str">
        <f aca="false">IF(B1453="","","")</f>
        <v/>
      </c>
      <c r="I1453" s="23" t="str">
        <f aca="false">IF(B1453="","","")</f>
        <v/>
      </c>
      <c r="J1453" s="23" t="str">
        <f aca="false">IF(B1453="","","payment 1; "&amp;paid_brands!AB3&amp;"; "&amp;paid_brands!AD3&amp;"; invoice "&amp;paid_brands!AI3)</f>
        <v/>
      </c>
      <c r="K1453" s="32" t="s">
        <v>1360</v>
      </c>
    </row>
    <row r="1454" customFormat="false" ht="15" hidden="false" customHeight="false" outlineLevel="0" collapsed="false">
      <c r="A1454" s="23" t="str">
        <f aca="false">IF(B1454="","",B1454+(9*1000+3)/10000000)</f>
        <v/>
      </c>
      <c r="B1454" s="35" t="str">
        <f aca="false">IF(AND(ISNUMBER(paid_brands!AW4),ISNUMBER(paid_brands!AV4),TRIM(paid_brands!AC4)&lt;&gt;"",OR(LEFT(paid_brands!AC4,6)&lt;&gt;"SAMPLE",Config!$B$19="Y")),paid_brands!AW4,"")</f>
        <v/>
      </c>
      <c r="C1454" s="23" t="str">
        <f aca="false">IF(B1454="","","brand")</f>
        <v/>
      </c>
      <c r="D1454" s="23" t="str">
        <f aca="false">IF(B1454="","",IFERROR(INDEX(Brand_Log!$DV$2:$DV$201,MATCH(paid_brands!AC4,Brand_Log!$A$2:$A$201,0))&amp;"",paid_brands!AC4&amp;""))</f>
        <v/>
      </c>
      <c r="E1454" s="23" t="str">
        <f aca="false">IF(B1454="","",IF(paid_brands!C4="","",paid_brands!C4&amp;""))</f>
        <v/>
      </c>
      <c r="F1454" s="23" t="str">
        <f aca="false">IF(B1454="","","paid")</f>
        <v/>
      </c>
      <c r="G1454" s="23" t="str">
        <f aca="false">IF(B1454="","",paid_brands!AV4)</f>
        <v/>
      </c>
      <c r="H1454" s="23" t="str">
        <f aca="false">IF(B1454="","","")</f>
        <v/>
      </c>
      <c r="I1454" s="23" t="str">
        <f aca="false">IF(B1454="","","")</f>
        <v/>
      </c>
      <c r="J1454" s="23" t="str">
        <f aca="false">IF(B1454="","","payment 1; "&amp;paid_brands!AB4&amp;"; "&amp;paid_brands!AD4&amp;"; invoice "&amp;paid_brands!AI4)</f>
        <v/>
      </c>
      <c r="K1454" s="32" t="s">
        <v>1360</v>
      </c>
    </row>
    <row r="1455" customFormat="false" ht="15" hidden="false" customHeight="false" outlineLevel="0" collapsed="false">
      <c r="A1455" s="23" t="str">
        <f aca="false">IF(B1455="","",B1455+(9*1000+4)/10000000)</f>
        <v/>
      </c>
      <c r="B1455" s="35" t="str">
        <f aca="false">IF(AND(ISNUMBER(paid_brands!AW5),ISNUMBER(paid_brands!AV5),TRIM(paid_brands!AC5)&lt;&gt;"",OR(LEFT(paid_brands!AC5,6)&lt;&gt;"SAMPLE",Config!$B$19="Y")),paid_brands!AW5,"")</f>
        <v/>
      </c>
      <c r="C1455" s="23" t="str">
        <f aca="false">IF(B1455="","","brand")</f>
        <v/>
      </c>
      <c r="D1455" s="23" t="str">
        <f aca="false">IF(B1455="","",IFERROR(INDEX(Brand_Log!$DV$2:$DV$201,MATCH(paid_brands!AC5,Brand_Log!$A$2:$A$201,0))&amp;"",paid_brands!AC5&amp;""))</f>
        <v/>
      </c>
      <c r="E1455" s="23" t="str">
        <f aca="false">IF(B1455="","",IF(paid_brands!C5="","",paid_brands!C5&amp;""))</f>
        <v/>
      </c>
      <c r="F1455" s="23" t="str">
        <f aca="false">IF(B1455="","","paid")</f>
        <v/>
      </c>
      <c r="G1455" s="23" t="str">
        <f aca="false">IF(B1455="","",paid_brands!AV5)</f>
        <v/>
      </c>
      <c r="H1455" s="23" t="str">
        <f aca="false">IF(B1455="","","")</f>
        <v/>
      </c>
      <c r="I1455" s="23" t="str">
        <f aca="false">IF(B1455="","","")</f>
        <v/>
      </c>
      <c r="J1455" s="23" t="str">
        <f aca="false">IF(B1455="","","payment 1; "&amp;paid_brands!AB5&amp;"; "&amp;paid_brands!AD5&amp;"; invoice "&amp;paid_brands!AI5)</f>
        <v/>
      </c>
      <c r="K1455" s="32" t="s">
        <v>1360</v>
      </c>
    </row>
    <row r="1456" customFormat="false" ht="15" hidden="false" customHeight="false" outlineLevel="0" collapsed="false">
      <c r="A1456" s="23" t="str">
        <f aca="false">IF(B1456="","",B1456+(9*1000+5)/10000000)</f>
        <v/>
      </c>
      <c r="B1456" s="35" t="str">
        <f aca="false">IF(AND(ISNUMBER(paid_brands!AW6),ISNUMBER(paid_brands!AV6),TRIM(paid_brands!AC6)&lt;&gt;"",OR(LEFT(paid_brands!AC6,6)&lt;&gt;"SAMPLE",Config!$B$19="Y")),paid_brands!AW6,"")</f>
        <v/>
      </c>
      <c r="C1456" s="23" t="str">
        <f aca="false">IF(B1456="","","brand")</f>
        <v/>
      </c>
      <c r="D1456" s="23" t="str">
        <f aca="false">IF(B1456="","",IFERROR(INDEX(Brand_Log!$DV$2:$DV$201,MATCH(paid_brands!AC6,Brand_Log!$A$2:$A$201,0))&amp;"",paid_brands!AC6&amp;""))</f>
        <v/>
      </c>
      <c r="E1456" s="23" t="str">
        <f aca="false">IF(B1456="","",IF(paid_brands!C6="","",paid_brands!C6&amp;""))</f>
        <v/>
      </c>
      <c r="F1456" s="23" t="str">
        <f aca="false">IF(B1456="","","paid")</f>
        <v/>
      </c>
      <c r="G1456" s="23" t="str">
        <f aca="false">IF(B1456="","",paid_brands!AV6)</f>
        <v/>
      </c>
      <c r="H1456" s="23" t="str">
        <f aca="false">IF(B1456="","","")</f>
        <v/>
      </c>
      <c r="I1456" s="23" t="str">
        <f aca="false">IF(B1456="","","")</f>
        <v/>
      </c>
      <c r="J1456" s="23" t="str">
        <f aca="false">IF(B1456="","","payment 1; "&amp;paid_brands!AB6&amp;"; "&amp;paid_brands!AD6&amp;"; invoice "&amp;paid_brands!AI6)</f>
        <v/>
      </c>
      <c r="K1456" s="32" t="s">
        <v>1360</v>
      </c>
    </row>
    <row r="1457" customFormat="false" ht="15" hidden="false" customHeight="false" outlineLevel="0" collapsed="false">
      <c r="A1457" s="23" t="str">
        <f aca="false">IF(B1457="","",B1457+(9*1000+6)/10000000)</f>
        <v/>
      </c>
      <c r="B1457" s="35" t="str">
        <f aca="false">IF(AND(ISNUMBER(paid_brands!AW7),ISNUMBER(paid_brands!AV7),TRIM(paid_brands!AC7)&lt;&gt;"",OR(LEFT(paid_brands!AC7,6)&lt;&gt;"SAMPLE",Config!$B$19="Y")),paid_brands!AW7,"")</f>
        <v/>
      </c>
      <c r="C1457" s="23" t="str">
        <f aca="false">IF(B1457="","","brand")</f>
        <v/>
      </c>
      <c r="D1457" s="23" t="str">
        <f aca="false">IF(B1457="","",IFERROR(INDEX(Brand_Log!$DV$2:$DV$201,MATCH(paid_brands!AC7,Brand_Log!$A$2:$A$201,0))&amp;"",paid_brands!AC7&amp;""))</f>
        <v/>
      </c>
      <c r="E1457" s="23" t="str">
        <f aca="false">IF(B1457="","",IF(paid_brands!C7="","",paid_brands!C7&amp;""))</f>
        <v/>
      </c>
      <c r="F1457" s="23" t="str">
        <f aca="false">IF(B1457="","","paid")</f>
        <v/>
      </c>
      <c r="G1457" s="23" t="str">
        <f aca="false">IF(B1457="","",paid_brands!AV7)</f>
        <v/>
      </c>
      <c r="H1457" s="23" t="str">
        <f aca="false">IF(B1457="","","")</f>
        <v/>
      </c>
      <c r="I1457" s="23" t="str">
        <f aca="false">IF(B1457="","","")</f>
        <v/>
      </c>
      <c r="J1457" s="23" t="str">
        <f aca="false">IF(B1457="","","payment 1; "&amp;paid_brands!AB7&amp;"; "&amp;paid_brands!AD7&amp;"; invoice "&amp;paid_brands!AI7)</f>
        <v/>
      </c>
      <c r="K1457" s="32" t="s">
        <v>1360</v>
      </c>
    </row>
    <row r="1458" customFormat="false" ht="15" hidden="false" customHeight="false" outlineLevel="0" collapsed="false">
      <c r="A1458" s="23" t="str">
        <f aca="false">IF(B1458="","",B1458+(9*1000+7)/10000000)</f>
        <v/>
      </c>
      <c r="B1458" s="35" t="str">
        <f aca="false">IF(AND(ISNUMBER(paid_brands!AW8),ISNUMBER(paid_brands!AV8),TRIM(paid_brands!AC8)&lt;&gt;"",OR(LEFT(paid_brands!AC8,6)&lt;&gt;"SAMPLE",Config!$B$19="Y")),paid_brands!AW8,"")</f>
        <v/>
      </c>
      <c r="C1458" s="23" t="str">
        <f aca="false">IF(B1458="","","brand")</f>
        <v/>
      </c>
      <c r="D1458" s="23" t="str">
        <f aca="false">IF(B1458="","",IFERROR(INDEX(Brand_Log!$DV$2:$DV$201,MATCH(paid_brands!AC8,Brand_Log!$A$2:$A$201,0))&amp;"",paid_brands!AC8&amp;""))</f>
        <v/>
      </c>
      <c r="E1458" s="23" t="str">
        <f aca="false">IF(B1458="","",IF(paid_brands!C8="","",paid_brands!C8&amp;""))</f>
        <v/>
      </c>
      <c r="F1458" s="23" t="str">
        <f aca="false">IF(B1458="","","paid")</f>
        <v/>
      </c>
      <c r="G1458" s="23" t="str">
        <f aca="false">IF(B1458="","",paid_brands!AV8)</f>
        <v/>
      </c>
      <c r="H1458" s="23" t="str">
        <f aca="false">IF(B1458="","","")</f>
        <v/>
      </c>
      <c r="I1458" s="23" t="str">
        <f aca="false">IF(B1458="","","")</f>
        <v/>
      </c>
      <c r="J1458" s="23" t="str">
        <f aca="false">IF(B1458="","","payment 1; "&amp;paid_brands!AB8&amp;"; "&amp;paid_brands!AD8&amp;"; invoice "&amp;paid_brands!AI8)</f>
        <v/>
      </c>
      <c r="K1458" s="32" t="s">
        <v>1360</v>
      </c>
    </row>
    <row r="1459" customFormat="false" ht="15" hidden="false" customHeight="false" outlineLevel="0" collapsed="false">
      <c r="A1459" s="23" t="str">
        <f aca="false">IF(B1459="","",B1459+(9*1000+8)/10000000)</f>
        <v/>
      </c>
      <c r="B1459" s="35" t="str">
        <f aca="false">IF(AND(ISNUMBER(paid_brands!AW9),ISNUMBER(paid_brands!AV9),TRIM(paid_brands!AC9)&lt;&gt;"",OR(LEFT(paid_brands!AC9,6)&lt;&gt;"SAMPLE",Config!$B$19="Y")),paid_brands!AW9,"")</f>
        <v/>
      </c>
      <c r="C1459" s="23" t="str">
        <f aca="false">IF(B1459="","","brand")</f>
        <v/>
      </c>
      <c r="D1459" s="23" t="str">
        <f aca="false">IF(B1459="","",IFERROR(INDEX(Brand_Log!$DV$2:$DV$201,MATCH(paid_brands!AC9,Brand_Log!$A$2:$A$201,0))&amp;"",paid_brands!AC9&amp;""))</f>
        <v/>
      </c>
      <c r="E1459" s="23" t="str">
        <f aca="false">IF(B1459="","",IF(paid_brands!C9="","",paid_brands!C9&amp;""))</f>
        <v/>
      </c>
      <c r="F1459" s="23" t="str">
        <f aca="false">IF(B1459="","","paid")</f>
        <v/>
      </c>
      <c r="G1459" s="23" t="str">
        <f aca="false">IF(B1459="","",paid_brands!AV9)</f>
        <v/>
      </c>
      <c r="H1459" s="23" t="str">
        <f aca="false">IF(B1459="","","")</f>
        <v/>
      </c>
      <c r="I1459" s="23" t="str">
        <f aca="false">IF(B1459="","","")</f>
        <v/>
      </c>
      <c r="J1459" s="23" t="str">
        <f aca="false">IF(B1459="","","payment 1; "&amp;paid_brands!AB9&amp;"; "&amp;paid_brands!AD9&amp;"; invoice "&amp;paid_brands!AI9)</f>
        <v/>
      </c>
      <c r="K1459" s="32" t="s">
        <v>1360</v>
      </c>
    </row>
    <row r="1460" customFormat="false" ht="15" hidden="false" customHeight="false" outlineLevel="0" collapsed="false">
      <c r="A1460" s="23" t="str">
        <f aca="false">IF(B1460="","",B1460+(9*1000+9)/10000000)</f>
        <v/>
      </c>
      <c r="B1460" s="35" t="str">
        <f aca="false">IF(AND(ISNUMBER(paid_brands!AW10),ISNUMBER(paid_brands!AV10),TRIM(paid_brands!AC10)&lt;&gt;"",OR(LEFT(paid_brands!AC10,6)&lt;&gt;"SAMPLE",Config!$B$19="Y")),paid_brands!AW10,"")</f>
        <v/>
      </c>
      <c r="C1460" s="23" t="str">
        <f aca="false">IF(B1460="","","brand")</f>
        <v/>
      </c>
      <c r="D1460" s="23" t="str">
        <f aca="false">IF(B1460="","",IFERROR(INDEX(Brand_Log!$DV$2:$DV$201,MATCH(paid_brands!AC10,Brand_Log!$A$2:$A$201,0))&amp;"",paid_brands!AC10&amp;""))</f>
        <v/>
      </c>
      <c r="E1460" s="23" t="str">
        <f aca="false">IF(B1460="","",IF(paid_brands!C10="","",paid_brands!C10&amp;""))</f>
        <v/>
      </c>
      <c r="F1460" s="23" t="str">
        <f aca="false">IF(B1460="","","paid")</f>
        <v/>
      </c>
      <c r="G1460" s="23" t="str">
        <f aca="false">IF(B1460="","",paid_brands!AV10)</f>
        <v/>
      </c>
      <c r="H1460" s="23" t="str">
        <f aca="false">IF(B1460="","","")</f>
        <v/>
      </c>
      <c r="I1460" s="23" t="str">
        <f aca="false">IF(B1460="","","")</f>
        <v/>
      </c>
      <c r="J1460" s="23" t="str">
        <f aca="false">IF(B1460="","","payment 1; "&amp;paid_brands!AB10&amp;"; "&amp;paid_brands!AD10&amp;"; invoice "&amp;paid_brands!AI10)</f>
        <v/>
      </c>
      <c r="K1460" s="32" t="s">
        <v>1360</v>
      </c>
    </row>
    <row r="1461" customFormat="false" ht="15" hidden="false" customHeight="false" outlineLevel="0" collapsed="false">
      <c r="A1461" s="23" t="str">
        <f aca="false">IF(B1461="","",B1461+(9*1000+10)/10000000)</f>
        <v/>
      </c>
      <c r="B1461" s="35" t="str">
        <f aca="false">IF(AND(ISNUMBER(paid_brands!AW11),ISNUMBER(paid_brands!AV11),TRIM(paid_brands!AC11)&lt;&gt;"",OR(LEFT(paid_brands!AC11,6)&lt;&gt;"SAMPLE",Config!$B$19="Y")),paid_brands!AW11,"")</f>
        <v/>
      </c>
      <c r="C1461" s="23" t="str">
        <f aca="false">IF(B1461="","","brand")</f>
        <v/>
      </c>
      <c r="D1461" s="23" t="str">
        <f aca="false">IF(B1461="","",IFERROR(INDEX(Brand_Log!$DV$2:$DV$201,MATCH(paid_brands!AC11,Brand_Log!$A$2:$A$201,0))&amp;"",paid_brands!AC11&amp;""))</f>
        <v/>
      </c>
      <c r="E1461" s="23" t="str">
        <f aca="false">IF(B1461="","",IF(paid_brands!C11="","",paid_brands!C11&amp;""))</f>
        <v/>
      </c>
      <c r="F1461" s="23" t="str">
        <f aca="false">IF(B1461="","","paid")</f>
        <v/>
      </c>
      <c r="G1461" s="23" t="str">
        <f aca="false">IF(B1461="","",paid_brands!AV11)</f>
        <v/>
      </c>
      <c r="H1461" s="23" t="str">
        <f aca="false">IF(B1461="","","")</f>
        <v/>
      </c>
      <c r="I1461" s="23" t="str">
        <f aca="false">IF(B1461="","","")</f>
        <v/>
      </c>
      <c r="J1461" s="23" t="str">
        <f aca="false">IF(B1461="","","payment 1; "&amp;paid_brands!AB11&amp;"; "&amp;paid_brands!AD11&amp;"; invoice "&amp;paid_brands!AI11)</f>
        <v/>
      </c>
      <c r="K1461" s="32" t="s">
        <v>1360</v>
      </c>
    </row>
    <row r="1462" customFormat="false" ht="15" hidden="false" customHeight="false" outlineLevel="0" collapsed="false">
      <c r="A1462" s="23" t="str">
        <f aca="false">IF(B1462="","",B1462+(9*1000+11)/10000000)</f>
        <v/>
      </c>
      <c r="B1462" s="35" t="str">
        <f aca="false">IF(AND(ISNUMBER(paid_brands!AW12),ISNUMBER(paid_brands!AV12),TRIM(paid_brands!AC12)&lt;&gt;"",OR(LEFT(paid_brands!AC12,6)&lt;&gt;"SAMPLE",Config!$B$19="Y")),paid_brands!AW12,"")</f>
        <v/>
      </c>
      <c r="C1462" s="23" t="str">
        <f aca="false">IF(B1462="","","brand")</f>
        <v/>
      </c>
      <c r="D1462" s="23" t="str">
        <f aca="false">IF(B1462="","",IFERROR(INDEX(Brand_Log!$DV$2:$DV$201,MATCH(paid_brands!AC12,Brand_Log!$A$2:$A$201,0))&amp;"",paid_brands!AC12&amp;""))</f>
        <v/>
      </c>
      <c r="E1462" s="23" t="str">
        <f aca="false">IF(B1462="","",IF(paid_brands!C12="","",paid_brands!C12&amp;""))</f>
        <v/>
      </c>
      <c r="F1462" s="23" t="str">
        <f aca="false">IF(B1462="","","paid")</f>
        <v/>
      </c>
      <c r="G1462" s="23" t="str">
        <f aca="false">IF(B1462="","",paid_brands!AV12)</f>
        <v/>
      </c>
      <c r="H1462" s="23" t="str">
        <f aca="false">IF(B1462="","","")</f>
        <v/>
      </c>
      <c r="I1462" s="23" t="str">
        <f aca="false">IF(B1462="","","")</f>
        <v/>
      </c>
      <c r="J1462" s="23" t="str">
        <f aca="false">IF(B1462="","","payment 1; "&amp;paid_brands!AB12&amp;"; "&amp;paid_brands!AD12&amp;"; invoice "&amp;paid_brands!AI12)</f>
        <v/>
      </c>
      <c r="K1462" s="32" t="s">
        <v>1360</v>
      </c>
    </row>
    <row r="1463" customFormat="false" ht="15" hidden="false" customHeight="false" outlineLevel="0" collapsed="false">
      <c r="A1463" s="23" t="str">
        <f aca="false">IF(B1463="","",B1463+(9*1000+12)/10000000)</f>
        <v/>
      </c>
      <c r="B1463" s="35" t="str">
        <f aca="false">IF(AND(ISNUMBER(paid_brands!AW13),ISNUMBER(paid_brands!AV13),TRIM(paid_brands!AC13)&lt;&gt;"",OR(LEFT(paid_brands!AC13,6)&lt;&gt;"SAMPLE",Config!$B$19="Y")),paid_brands!AW13,"")</f>
        <v/>
      </c>
      <c r="C1463" s="23" t="str">
        <f aca="false">IF(B1463="","","brand")</f>
        <v/>
      </c>
      <c r="D1463" s="23" t="str">
        <f aca="false">IF(B1463="","",IFERROR(INDEX(Brand_Log!$DV$2:$DV$201,MATCH(paid_brands!AC13,Brand_Log!$A$2:$A$201,0))&amp;"",paid_brands!AC13&amp;""))</f>
        <v/>
      </c>
      <c r="E1463" s="23" t="str">
        <f aca="false">IF(B1463="","",IF(paid_brands!C13="","",paid_brands!C13&amp;""))</f>
        <v/>
      </c>
      <c r="F1463" s="23" t="str">
        <f aca="false">IF(B1463="","","paid")</f>
        <v/>
      </c>
      <c r="G1463" s="23" t="str">
        <f aca="false">IF(B1463="","",paid_brands!AV13)</f>
        <v/>
      </c>
      <c r="H1463" s="23" t="str">
        <f aca="false">IF(B1463="","","")</f>
        <v/>
      </c>
      <c r="I1463" s="23" t="str">
        <f aca="false">IF(B1463="","","")</f>
        <v/>
      </c>
      <c r="J1463" s="23" t="str">
        <f aca="false">IF(B1463="","","payment 1; "&amp;paid_brands!AB13&amp;"; "&amp;paid_brands!AD13&amp;"; invoice "&amp;paid_brands!AI13)</f>
        <v/>
      </c>
      <c r="K1463" s="32" t="s">
        <v>1360</v>
      </c>
    </row>
    <row r="1464" customFormat="false" ht="15" hidden="false" customHeight="false" outlineLevel="0" collapsed="false">
      <c r="A1464" s="23" t="str">
        <f aca="false">IF(B1464="","",B1464+(9*1000+13)/10000000)</f>
        <v/>
      </c>
      <c r="B1464" s="35" t="str">
        <f aca="false">IF(AND(ISNUMBER(paid_brands!AW14),ISNUMBER(paid_brands!AV14),TRIM(paid_brands!AC14)&lt;&gt;"",OR(LEFT(paid_brands!AC14,6)&lt;&gt;"SAMPLE",Config!$B$19="Y")),paid_brands!AW14,"")</f>
        <v/>
      </c>
      <c r="C1464" s="23" t="str">
        <f aca="false">IF(B1464="","","brand")</f>
        <v/>
      </c>
      <c r="D1464" s="23" t="str">
        <f aca="false">IF(B1464="","",IFERROR(INDEX(Brand_Log!$DV$2:$DV$201,MATCH(paid_brands!AC14,Brand_Log!$A$2:$A$201,0))&amp;"",paid_brands!AC14&amp;""))</f>
        <v/>
      </c>
      <c r="E1464" s="23" t="str">
        <f aca="false">IF(B1464="","",IF(paid_brands!C14="","",paid_brands!C14&amp;""))</f>
        <v/>
      </c>
      <c r="F1464" s="23" t="str">
        <f aca="false">IF(B1464="","","paid")</f>
        <v/>
      </c>
      <c r="G1464" s="23" t="str">
        <f aca="false">IF(B1464="","",paid_brands!AV14)</f>
        <v/>
      </c>
      <c r="H1464" s="23" t="str">
        <f aca="false">IF(B1464="","","")</f>
        <v/>
      </c>
      <c r="I1464" s="23" t="str">
        <f aca="false">IF(B1464="","","")</f>
        <v/>
      </c>
      <c r="J1464" s="23" t="str">
        <f aca="false">IF(B1464="","","payment 1; "&amp;paid_brands!AB14&amp;"; "&amp;paid_brands!AD14&amp;"; invoice "&amp;paid_brands!AI14)</f>
        <v/>
      </c>
      <c r="K1464" s="32" t="s">
        <v>1360</v>
      </c>
    </row>
    <row r="1465" customFormat="false" ht="15" hidden="false" customHeight="false" outlineLevel="0" collapsed="false">
      <c r="A1465" s="23" t="str">
        <f aca="false">IF(B1465="","",B1465+(9*1000+14)/10000000)</f>
        <v/>
      </c>
      <c r="B1465" s="35" t="str">
        <f aca="false">IF(AND(ISNUMBER(paid_brands!AW15),ISNUMBER(paid_brands!AV15),TRIM(paid_brands!AC15)&lt;&gt;"",OR(LEFT(paid_brands!AC15,6)&lt;&gt;"SAMPLE",Config!$B$19="Y")),paid_brands!AW15,"")</f>
        <v/>
      </c>
      <c r="C1465" s="23" t="str">
        <f aca="false">IF(B1465="","","brand")</f>
        <v/>
      </c>
      <c r="D1465" s="23" t="str">
        <f aca="false">IF(B1465="","",IFERROR(INDEX(Brand_Log!$DV$2:$DV$201,MATCH(paid_brands!AC15,Brand_Log!$A$2:$A$201,0))&amp;"",paid_brands!AC15&amp;""))</f>
        <v/>
      </c>
      <c r="E1465" s="23" t="str">
        <f aca="false">IF(B1465="","",IF(paid_brands!C15="","",paid_brands!C15&amp;""))</f>
        <v/>
      </c>
      <c r="F1465" s="23" t="str">
        <f aca="false">IF(B1465="","","paid")</f>
        <v/>
      </c>
      <c r="G1465" s="23" t="str">
        <f aca="false">IF(B1465="","",paid_brands!AV15)</f>
        <v/>
      </c>
      <c r="H1465" s="23" t="str">
        <f aca="false">IF(B1465="","","")</f>
        <v/>
      </c>
      <c r="I1465" s="23" t="str">
        <f aca="false">IF(B1465="","","")</f>
        <v/>
      </c>
      <c r="J1465" s="23" t="str">
        <f aca="false">IF(B1465="","","payment 1; "&amp;paid_brands!AB15&amp;"; "&amp;paid_brands!AD15&amp;"; invoice "&amp;paid_brands!AI15)</f>
        <v/>
      </c>
      <c r="K1465" s="32" t="s">
        <v>1360</v>
      </c>
    </row>
    <row r="1466" customFormat="false" ht="15" hidden="false" customHeight="false" outlineLevel="0" collapsed="false">
      <c r="A1466" s="23" t="str">
        <f aca="false">IF(B1466="","",B1466+(9*1000+15)/10000000)</f>
        <v/>
      </c>
      <c r="B1466" s="35" t="str">
        <f aca="false">IF(AND(ISNUMBER(paid_brands!AW16),ISNUMBER(paid_brands!AV16),TRIM(paid_brands!AC16)&lt;&gt;"",OR(LEFT(paid_brands!AC16,6)&lt;&gt;"SAMPLE",Config!$B$19="Y")),paid_brands!AW16,"")</f>
        <v/>
      </c>
      <c r="C1466" s="23" t="str">
        <f aca="false">IF(B1466="","","brand")</f>
        <v/>
      </c>
      <c r="D1466" s="23" t="str">
        <f aca="false">IF(B1466="","",IFERROR(INDEX(Brand_Log!$DV$2:$DV$201,MATCH(paid_brands!AC16,Brand_Log!$A$2:$A$201,0))&amp;"",paid_brands!AC16&amp;""))</f>
        <v/>
      </c>
      <c r="E1466" s="23" t="str">
        <f aca="false">IF(B1466="","",IF(paid_brands!C16="","",paid_brands!C16&amp;""))</f>
        <v/>
      </c>
      <c r="F1466" s="23" t="str">
        <f aca="false">IF(B1466="","","paid")</f>
        <v/>
      </c>
      <c r="G1466" s="23" t="str">
        <f aca="false">IF(B1466="","",paid_brands!AV16)</f>
        <v/>
      </c>
      <c r="H1466" s="23" t="str">
        <f aca="false">IF(B1466="","","")</f>
        <v/>
      </c>
      <c r="I1466" s="23" t="str">
        <f aca="false">IF(B1466="","","")</f>
        <v/>
      </c>
      <c r="J1466" s="23" t="str">
        <f aca="false">IF(B1466="","","payment 1; "&amp;paid_brands!AB16&amp;"; "&amp;paid_brands!AD16&amp;"; invoice "&amp;paid_brands!AI16)</f>
        <v/>
      </c>
      <c r="K1466" s="32" t="s">
        <v>1360</v>
      </c>
    </row>
    <row r="1467" customFormat="false" ht="15" hidden="false" customHeight="false" outlineLevel="0" collapsed="false">
      <c r="A1467" s="23" t="str">
        <f aca="false">IF(B1467="","",B1467+(9*1000+16)/10000000)</f>
        <v/>
      </c>
      <c r="B1467" s="35" t="str">
        <f aca="false">IF(AND(ISNUMBER(paid_brands!AW17),ISNUMBER(paid_brands!AV17),TRIM(paid_brands!AC17)&lt;&gt;"",OR(LEFT(paid_brands!AC17,6)&lt;&gt;"SAMPLE",Config!$B$19="Y")),paid_brands!AW17,"")</f>
        <v/>
      </c>
      <c r="C1467" s="23" t="str">
        <f aca="false">IF(B1467="","","brand")</f>
        <v/>
      </c>
      <c r="D1467" s="23" t="str">
        <f aca="false">IF(B1467="","",IFERROR(INDEX(Brand_Log!$DV$2:$DV$201,MATCH(paid_brands!AC17,Brand_Log!$A$2:$A$201,0))&amp;"",paid_brands!AC17&amp;""))</f>
        <v/>
      </c>
      <c r="E1467" s="23" t="str">
        <f aca="false">IF(B1467="","",IF(paid_brands!C17="","",paid_brands!C17&amp;""))</f>
        <v/>
      </c>
      <c r="F1467" s="23" t="str">
        <f aca="false">IF(B1467="","","paid")</f>
        <v/>
      </c>
      <c r="G1467" s="23" t="str">
        <f aca="false">IF(B1467="","",paid_brands!AV17)</f>
        <v/>
      </c>
      <c r="H1467" s="23" t="str">
        <f aca="false">IF(B1467="","","")</f>
        <v/>
      </c>
      <c r="I1467" s="23" t="str">
        <f aca="false">IF(B1467="","","")</f>
        <v/>
      </c>
      <c r="J1467" s="23" t="str">
        <f aca="false">IF(B1467="","","payment 1; "&amp;paid_brands!AB17&amp;"; "&amp;paid_brands!AD17&amp;"; invoice "&amp;paid_brands!AI17)</f>
        <v/>
      </c>
      <c r="K1467" s="32" t="s">
        <v>1360</v>
      </c>
    </row>
    <row r="1468" customFormat="false" ht="15" hidden="false" customHeight="false" outlineLevel="0" collapsed="false">
      <c r="A1468" s="23" t="str">
        <f aca="false">IF(B1468="","",B1468+(9*1000+17)/10000000)</f>
        <v/>
      </c>
      <c r="B1468" s="35" t="str">
        <f aca="false">IF(AND(ISNUMBER(paid_brands!AW18),ISNUMBER(paid_brands!AV18),TRIM(paid_brands!AC18)&lt;&gt;"",OR(LEFT(paid_brands!AC18,6)&lt;&gt;"SAMPLE",Config!$B$19="Y")),paid_brands!AW18,"")</f>
        <v/>
      </c>
      <c r="C1468" s="23" t="str">
        <f aca="false">IF(B1468="","","brand")</f>
        <v/>
      </c>
      <c r="D1468" s="23" t="str">
        <f aca="false">IF(B1468="","",IFERROR(INDEX(Brand_Log!$DV$2:$DV$201,MATCH(paid_brands!AC18,Brand_Log!$A$2:$A$201,0))&amp;"",paid_brands!AC18&amp;""))</f>
        <v/>
      </c>
      <c r="E1468" s="23" t="str">
        <f aca="false">IF(B1468="","",IF(paid_brands!C18="","",paid_brands!C18&amp;""))</f>
        <v/>
      </c>
      <c r="F1468" s="23" t="str">
        <f aca="false">IF(B1468="","","paid")</f>
        <v/>
      </c>
      <c r="G1468" s="23" t="str">
        <f aca="false">IF(B1468="","",paid_brands!AV18)</f>
        <v/>
      </c>
      <c r="H1468" s="23" t="str">
        <f aca="false">IF(B1468="","","")</f>
        <v/>
      </c>
      <c r="I1468" s="23" t="str">
        <f aca="false">IF(B1468="","","")</f>
        <v/>
      </c>
      <c r="J1468" s="23" t="str">
        <f aca="false">IF(B1468="","","payment 1; "&amp;paid_brands!AB18&amp;"; "&amp;paid_brands!AD18&amp;"; invoice "&amp;paid_brands!AI18)</f>
        <v/>
      </c>
      <c r="K1468" s="32" t="s">
        <v>1360</v>
      </c>
    </row>
    <row r="1469" customFormat="false" ht="15" hidden="false" customHeight="false" outlineLevel="0" collapsed="false">
      <c r="A1469" s="23" t="str">
        <f aca="false">IF(B1469="","",B1469+(9*1000+18)/10000000)</f>
        <v/>
      </c>
      <c r="B1469" s="35" t="str">
        <f aca="false">IF(AND(ISNUMBER(paid_brands!AW19),ISNUMBER(paid_brands!AV19),TRIM(paid_brands!AC19)&lt;&gt;"",OR(LEFT(paid_brands!AC19,6)&lt;&gt;"SAMPLE",Config!$B$19="Y")),paid_brands!AW19,"")</f>
        <v/>
      </c>
      <c r="C1469" s="23" t="str">
        <f aca="false">IF(B1469="","","brand")</f>
        <v/>
      </c>
      <c r="D1469" s="23" t="str">
        <f aca="false">IF(B1469="","",IFERROR(INDEX(Brand_Log!$DV$2:$DV$201,MATCH(paid_brands!AC19,Brand_Log!$A$2:$A$201,0))&amp;"",paid_brands!AC19&amp;""))</f>
        <v/>
      </c>
      <c r="E1469" s="23" t="str">
        <f aca="false">IF(B1469="","",IF(paid_brands!C19="","",paid_brands!C19&amp;""))</f>
        <v/>
      </c>
      <c r="F1469" s="23" t="str">
        <f aca="false">IF(B1469="","","paid")</f>
        <v/>
      </c>
      <c r="G1469" s="23" t="str">
        <f aca="false">IF(B1469="","",paid_brands!AV19)</f>
        <v/>
      </c>
      <c r="H1469" s="23" t="str">
        <f aca="false">IF(B1469="","","")</f>
        <v/>
      </c>
      <c r="I1469" s="23" t="str">
        <f aca="false">IF(B1469="","","")</f>
        <v/>
      </c>
      <c r="J1469" s="23" t="str">
        <f aca="false">IF(B1469="","","payment 1; "&amp;paid_brands!AB19&amp;"; "&amp;paid_brands!AD19&amp;"; invoice "&amp;paid_brands!AI19)</f>
        <v/>
      </c>
      <c r="K1469" s="32" t="s">
        <v>1360</v>
      </c>
    </row>
    <row r="1470" customFormat="false" ht="15" hidden="false" customHeight="false" outlineLevel="0" collapsed="false">
      <c r="A1470" s="23" t="str">
        <f aca="false">IF(B1470="","",B1470+(9*1000+19)/10000000)</f>
        <v/>
      </c>
      <c r="B1470" s="35" t="str">
        <f aca="false">IF(AND(ISNUMBER(paid_brands!AW20),ISNUMBER(paid_brands!AV20),TRIM(paid_brands!AC20)&lt;&gt;"",OR(LEFT(paid_brands!AC20,6)&lt;&gt;"SAMPLE",Config!$B$19="Y")),paid_brands!AW20,"")</f>
        <v/>
      </c>
      <c r="C1470" s="23" t="str">
        <f aca="false">IF(B1470="","","brand")</f>
        <v/>
      </c>
      <c r="D1470" s="23" t="str">
        <f aca="false">IF(B1470="","",IFERROR(INDEX(Brand_Log!$DV$2:$DV$201,MATCH(paid_brands!AC20,Brand_Log!$A$2:$A$201,0))&amp;"",paid_brands!AC20&amp;""))</f>
        <v/>
      </c>
      <c r="E1470" s="23" t="str">
        <f aca="false">IF(B1470="","",IF(paid_brands!C20="","",paid_brands!C20&amp;""))</f>
        <v/>
      </c>
      <c r="F1470" s="23" t="str">
        <f aca="false">IF(B1470="","","paid")</f>
        <v/>
      </c>
      <c r="G1470" s="23" t="str">
        <f aca="false">IF(B1470="","",paid_brands!AV20)</f>
        <v/>
      </c>
      <c r="H1470" s="23" t="str">
        <f aca="false">IF(B1470="","","")</f>
        <v/>
      </c>
      <c r="I1470" s="23" t="str">
        <f aca="false">IF(B1470="","","")</f>
        <v/>
      </c>
      <c r="J1470" s="23" t="str">
        <f aca="false">IF(B1470="","","payment 1; "&amp;paid_brands!AB20&amp;"; "&amp;paid_brands!AD20&amp;"; invoice "&amp;paid_brands!AI20)</f>
        <v/>
      </c>
      <c r="K1470" s="32" t="s">
        <v>1360</v>
      </c>
    </row>
    <row r="1471" customFormat="false" ht="15" hidden="false" customHeight="false" outlineLevel="0" collapsed="false">
      <c r="A1471" s="23" t="str">
        <f aca="false">IF(B1471="","",B1471+(9*1000+20)/10000000)</f>
        <v/>
      </c>
      <c r="B1471" s="35" t="str">
        <f aca="false">IF(AND(ISNUMBER(paid_brands!AW21),ISNUMBER(paid_brands!AV21),TRIM(paid_brands!AC21)&lt;&gt;"",OR(LEFT(paid_brands!AC21,6)&lt;&gt;"SAMPLE",Config!$B$19="Y")),paid_brands!AW21,"")</f>
        <v/>
      </c>
      <c r="C1471" s="23" t="str">
        <f aca="false">IF(B1471="","","brand")</f>
        <v/>
      </c>
      <c r="D1471" s="23" t="str">
        <f aca="false">IF(B1471="","",IFERROR(INDEX(Brand_Log!$DV$2:$DV$201,MATCH(paid_brands!AC21,Brand_Log!$A$2:$A$201,0))&amp;"",paid_brands!AC21&amp;""))</f>
        <v/>
      </c>
      <c r="E1471" s="23" t="str">
        <f aca="false">IF(B1471="","",IF(paid_brands!C21="","",paid_brands!C21&amp;""))</f>
        <v/>
      </c>
      <c r="F1471" s="23" t="str">
        <f aca="false">IF(B1471="","","paid")</f>
        <v/>
      </c>
      <c r="G1471" s="23" t="str">
        <f aca="false">IF(B1471="","",paid_brands!AV21)</f>
        <v/>
      </c>
      <c r="H1471" s="23" t="str">
        <f aca="false">IF(B1471="","","")</f>
        <v/>
      </c>
      <c r="I1471" s="23" t="str">
        <f aca="false">IF(B1471="","","")</f>
        <v/>
      </c>
      <c r="J1471" s="23" t="str">
        <f aca="false">IF(B1471="","","payment 1; "&amp;paid_brands!AB21&amp;"; "&amp;paid_brands!AD21&amp;"; invoice "&amp;paid_brands!AI21)</f>
        <v/>
      </c>
      <c r="K1471" s="32" t="s">
        <v>1360</v>
      </c>
    </row>
    <row r="1472" customFormat="false" ht="15" hidden="false" customHeight="false" outlineLevel="0" collapsed="false">
      <c r="A1472" s="23" t="str">
        <f aca="false">IF(B1472="","",B1472+(9*1000+21)/10000000)</f>
        <v/>
      </c>
      <c r="B1472" s="35" t="str">
        <f aca="false">IF(AND(ISNUMBER(paid_brands!AW22),ISNUMBER(paid_brands!AV22),TRIM(paid_brands!AC22)&lt;&gt;"",OR(LEFT(paid_brands!AC22,6)&lt;&gt;"SAMPLE",Config!$B$19="Y")),paid_brands!AW22,"")</f>
        <v/>
      </c>
      <c r="C1472" s="23" t="str">
        <f aca="false">IF(B1472="","","brand")</f>
        <v/>
      </c>
      <c r="D1472" s="23" t="str">
        <f aca="false">IF(B1472="","",IFERROR(INDEX(Brand_Log!$DV$2:$DV$201,MATCH(paid_brands!AC22,Brand_Log!$A$2:$A$201,0))&amp;"",paid_brands!AC22&amp;""))</f>
        <v/>
      </c>
      <c r="E1472" s="23" t="str">
        <f aca="false">IF(B1472="","",IF(paid_brands!C22="","",paid_brands!C22&amp;""))</f>
        <v/>
      </c>
      <c r="F1472" s="23" t="str">
        <f aca="false">IF(B1472="","","paid")</f>
        <v/>
      </c>
      <c r="G1472" s="23" t="str">
        <f aca="false">IF(B1472="","",paid_brands!AV22)</f>
        <v/>
      </c>
      <c r="H1472" s="23" t="str">
        <f aca="false">IF(B1472="","","")</f>
        <v/>
      </c>
      <c r="I1472" s="23" t="str">
        <f aca="false">IF(B1472="","","")</f>
        <v/>
      </c>
      <c r="J1472" s="23" t="str">
        <f aca="false">IF(B1472="","","payment 1; "&amp;paid_brands!AB22&amp;"; "&amp;paid_brands!AD22&amp;"; invoice "&amp;paid_brands!AI22)</f>
        <v/>
      </c>
      <c r="K1472" s="32" t="s">
        <v>1360</v>
      </c>
    </row>
    <row r="1473" customFormat="false" ht="15" hidden="false" customHeight="false" outlineLevel="0" collapsed="false">
      <c r="A1473" s="23" t="str">
        <f aca="false">IF(B1473="","",B1473+(9*1000+22)/10000000)</f>
        <v/>
      </c>
      <c r="B1473" s="35" t="str">
        <f aca="false">IF(AND(ISNUMBER(paid_brands!AW23),ISNUMBER(paid_brands!AV23),TRIM(paid_brands!AC23)&lt;&gt;"",OR(LEFT(paid_brands!AC23,6)&lt;&gt;"SAMPLE",Config!$B$19="Y")),paid_brands!AW23,"")</f>
        <v/>
      </c>
      <c r="C1473" s="23" t="str">
        <f aca="false">IF(B1473="","","brand")</f>
        <v/>
      </c>
      <c r="D1473" s="23" t="str">
        <f aca="false">IF(B1473="","",IFERROR(INDEX(Brand_Log!$DV$2:$DV$201,MATCH(paid_brands!AC23,Brand_Log!$A$2:$A$201,0))&amp;"",paid_brands!AC23&amp;""))</f>
        <v/>
      </c>
      <c r="E1473" s="23" t="str">
        <f aca="false">IF(B1473="","",IF(paid_brands!C23="","",paid_brands!C23&amp;""))</f>
        <v/>
      </c>
      <c r="F1473" s="23" t="str">
        <f aca="false">IF(B1473="","","paid")</f>
        <v/>
      </c>
      <c r="G1473" s="23" t="str">
        <f aca="false">IF(B1473="","",paid_brands!AV23)</f>
        <v/>
      </c>
      <c r="H1473" s="23" t="str">
        <f aca="false">IF(B1473="","","")</f>
        <v/>
      </c>
      <c r="I1473" s="23" t="str">
        <f aca="false">IF(B1473="","","")</f>
        <v/>
      </c>
      <c r="J1473" s="23" t="str">
        <f aca="false">IF(B1473="","","payment 1; "&amp;paid_brands!AB23&amp;"; "&amp;paid_brands!AD23&amp;"; invoice "&amp;paid_brands!AI23)</f>
        <v/>
      </c>
      <c r="K1473" s="32" t="s">
        <v>1360</v>
      </c>
    </row>
    <row r="1474" customFormat="false" ht="15" hidden="false" customHeight="false" outlineLevel="0" collapsed="false">
      <c r="A1474" s="23" t="str">
        <f aca="false">IF(B1474="","",B1474+(9*1000+23)/10000000)</f>
        <v/>
      </c>
      <c r="B1474" s="35" t="str">
        <f aca="false">IF(AND(ISNUMBER(paid_brands!AW24),ISNUMBER(paid_brands!AV24),TRIM(paid_brands!AC24)&lt;&gt;"",OR(LEFT(paid_brands!AC24,6)&lt;&gt;"SAMPLE",Config!$B$19="Y")),paid_brands!AW24,"")</f>
        <v/>
      </c>
      <c r="C1474" s="23" t="str">
        <f aca="false">IF(B1474="","","brand")</f>
        <v/>
      </c>
      <c r="D1474" s="23" t="str">
        <f aca="false">IF(B1474="","",IFERROR(INDEX(Brand_Log!$DV$2:$DV$201,MATCH(paid_brands!AC24,Brand_Log!$A$2:$A$201,0))&amp;"",paid_brands!AC24&amp;""))</f>
        <v/>
      </c>
      <c r="E1474" s="23" t="str">
        <f aca="false">IF(B1474="","",IF(paid_brands!C24="","",paid_brands!C24&amp;""))</f>
        <v/>
      </c>
      <c r="F1474" s="23" t="str">
        <f aca="false">IF(B1474="","","paid")</f>
        <v/>
      </c>
      <c r="G1474" s="23" t="str">
        <f aca="false">IF(B1474="","",paid_brands!AV24)</f>
        <v/>
      </c>
      <c r="H1474" s="23" t="str">
        <f aca="false">IF(B1474="","","")</f>
        <v/>
      </c>
      <c r="I1474" s="23" t="str">
        <f aca="false">IF(B1474="","","")</f>
        <v/>
      </c>
      <c r="J1474" s="23" t="str">
        <f aca="false">IF(B1474="","","payment 1; "&amp;paid_brands!AB24&amp;"; "&amp;paid_brands!AD24&amp;"; invoice "&amp;paid_brands!AI24)</f>
        <v/>
      </c>
      <c r="K1474" s="32" t="s">
        <v>1360</v>
      </c>
    </row>
    <row r="1475" customFormat="false" ht="15" hidden="false" customHeight="false" outlineLevel="0" collapsed="false">
      <c r="A1475" s="23" t="str">
        <f aca="false">IF(B1475="","",B1475+(9*1000+24)/10000000)</f>
        <v/>
      </c>
      <c r="B1475" s="35" t="str">
        <f aca="false">IF(AND(ISNUMBER(paid_brands!AW25),ISNUMBER(paid_brands!AV25),TRIM(paid_brands!AC25)&lt;&gt;"",OR(LEFT(paid_brands!AC25,6)&lt;&gt;"SAMPLE",Config!$B$19="Y")),paid_brands!AW25,"")</f>
        <v/>
      </c>
      <c r="C1475" s="23" t="str">
        <f aca="false">IF(B1475="","","brand")</f>
        <v/>
      </c>
      <c r="D1475" s="23" t="str">
        <f aca="false">IF(B1475="","",IFERROR(INDEX(Brand_Log!$DV$2:$DV$201,MATCH(paid_brands!AC25,Brand_Log!$A$2:$A$201,0))&amp;"",paid_brands!AC25&amp;""))</f>
        <v/>
      </c>
      <c r="E1475" s="23" t="str">
        <f aca="false">IF(B1475="","",IF(paid_brands!C25="","",paid_brands!C25&amp;""))</f>
        <v/>
      </c>
      <c r="F1475" s="23" t="str">
        <f aca="false">IF(B1475="","","paid")</f>
        <v/>
      </c>
      <c r="G1475" s="23" t="str">
        <f aca="false">IF(B1475="","",paid_brands!AV25)</f>
        <v/>
      </c>
      <c r="H1475" s="23" t="str">
        <f aca="false">IF(B1475="","","")</f>
        <v/>
      </c>
      <c r="I1475" s="23" t="str">
        <f aca="false">IF(B1475="","","")</f>
        <v/>
      </c>
      <c r="J1475" s="23" t="str">
        <f aca="false">IF(B1475="","","payment 1; "&amp;paid_brands!AB25&amp;"; "&amp;paid_brands!AD25&amp;"; invoice "&amp;paid_brands!AI25)</f>
        <v/>
      </c>
      <c r="K1475" s="32" t="s">
        <v>1360</v>
      </c>
    </row>
    <row r="1476" customFormat="false" ht="15" hidden="false" customHeight="false" outlineLevel="0" collapsed="false">
      <c r="A1476" s="23" t="str">
        <f aca="false">IF(B1476="","",B1476+(9*1000+25)/10000000)</f>
        <v/>
      </c>
      <c r="B1476" s="35" t="str">
        <f aca="false">IF(AND(ISNUMBER(paid_brands!AW26),ISNUMBER(paid_brands!AV26),TRIM(paid_brands!AC26)&lt;&gt;"",OR(LEFT(paid_brands!AC26,6)&lt;&gt;"SAMPLE",Config!$B$19="Y")),paid_brands!AW26,"")</f>
        <v/>
      </c>
      <c r="C1476" s="23" t="str">
        <f aca="false">IF(B1476="","","brand")</f>
        <v/>
      </c>
      <c r="D1476" s="23" t="str">
        <f aca="false">IF(B1476="","",IFERROR(INDEX(Brand_Log!$DV$2:$DV$201,MATCH(paid_brands!AC26,Brand_Log!$A$2:$A$201,0))&amp;"",paid_brands!AC26&amp;""))</f>
        <v/>
      </c>
      <c r="E1476" s="23" t="str">
        <f aca="false">IF(B1476="","",IF(paid_brands!C26="","",paid_brands!C26&amp;""))</f>
        <v/>
      </c>
      <c r="F1476" s="23" t="str">
        <f aca="false">IF(B1476="","","paid")</f>
        <v/>
      </c>
      <c r="G1476" s="23" t="str">
        <f aca="false">IF(B1476="","",paid_brands!AV26)</f>
        <v/>
      </c>
      <c r="H1476" s="23" t="str">
        <f aca="false">IF(B1476="","","")</f>
        <v/>
      </c>
      <c r="I1476" s="23" t="str">
        <f aca="false">IF(B1476="","","")</f>
        <v/>
      </c>
      <c r="J1476" s="23" t="str">
        <f aca="false">IF(B1476="","","payment 1; "&amp;paid_brands!AB26&amp;"; "&amp;paid_brands!AD26&amp;"; invoice "&amp;paid_brands!AI26)</f>
        <v/>
      </c>
      <c r="K1476" s="32" t="s">
        <v>1360</v>
      </c>
    </row>
    <row r="1477" customFormat="false" ht="15" hidden="false" customHeight="false" outlineLevel="0" collapsed="false">
      <c r="A1477" s="23" t="str">
        <f aca="false">IF(B1477="","",B1477+(9*1000+26)/10000000)</f>
        <v/>
      </c>
      <c r="B1477" s="35" t="str">
        <f aca="false">IF(AND(ISNUMBER(paid_brands!AW27),ISNUMBER(paid_brands!AV27),TRIM(paid_brands!AC27)&lt;&gt;"",OR(LEFT(paid_brands!AC27,6)&lt;&gt;"SAMPLE",Config!$B$19="Y")),paid_brands!AW27,"")</f>
        <v/>
      </c>
      <c r="C1477" s="23" t="str">
        <f aca="false">IF(B1477="","","brand")</f>
        <v/>
      </c>
      <c r="D1477" s="23" t="str">
        <f aca="false">IF(B1477="","",IFERROR(INDEX(Brand_Log!$DV$2:$DV$201,MATCH(paid_brands!AC27,Brand_Log!$A$2:$A$201,0))&amp;"",paid_brands!AC27&amp;""))</f>
        <v/>
      </c>
      <c r="E1477" s="23" t="str">
        <f aca="false">IF(B1477="","",IF(paid_brands!C27="","",paid_brands!C27&amp;""))</f>
        <v/>
      </c>
      <c r="F1477" s="23" t="str">
        <f aca="false">IF(B1477="","","paid")</f>
        <v/>
      </c>
      <c r="G1477" s="23" t="str">
        <f aca="false">IF(B1477="","",paid_brands!AV27)</f>
        <v/>
      </c>
      <c r="H1477" s="23" t="str">
        <f aca="false">IF(B1477="","","")</f>
        <v/>
      </c>
      <c r="I1477" s="23" t="str">
        <f aca="false">IF(B1477="","","")</f>
        <v/>
      </c>
      <c r="J1477" s="23" t="str">
        <f aca="false">IF(B1477="","","payment 1; "&amp;paid_brands!AB27&amp;"; "&amp;paid_brands!AD27&amp;"; invoice "&amp;paid_brands!AI27)</f>
        <v/>
      </c>
      <c r="K1477" s="32" t="s">
        <v>1360</v>
      </c>
    </row>
    <row r="1478" customFormat="false" ht="15" hidden="false" customHeight="false" outlineLevel="0" collapsed="false">
      <c r="A1478" s="23" t="str">
        <f aca="false">IF(B1478="","",B1478+(9*1000+27)/10000000)</f>
        <v/>
      </c>
      <c r="B1478" s="35" t="str">
        <f aca="false">IF(AND(ISNUMBER(paid_brands!AW28),ISNUMBER(paid_brands!AV28),TRIM(paid_brands!AC28)&lt;&gt;"",OR(LEFT(paid_brands!AC28,6)&lt;&gt;"SAMPLE",Config!$B$19="Y")),paid_brands!AW28,"")</f>
        <v/>
      </c>
      <c r="C1478" s="23" t="str">
        <f aca="false">IF(B1478="","","brand")</f>
        <v/>
      </c>
      <c r="D1478" s="23" t="str">
        <f aca="false">IF(B1478="","",IFERROR(INDEX(Brand_Log!$DV$2:$DV$201,MATCH(paid_brands!AC28,Brand_Log!$A$2:$A$201,0))&amp;"",paid_brands!AC28&amp;""))</f>
        <v/>
      </c>
      <c r="E1478" s="23" t="str">
        <f aca="false">IF(B1478="","",IF(paid_brands!C28="","",paid_brands!C28&amp;""))</f>
        <v/>
      </c>
      <c r="F1478" s="23" t="str">
        <f aca="false">IF(B1478="","","paid")</f>
        <v/>
      </c>
      <c r="G1478" s="23" t="str">
        <f aca="false">IF(B1478="","",paid_brands!AV28)</f>
        <v/>
      </c>
      <c r="H1478" s="23" t="str">
        <f aca="false">IF(B1478="","","")</f>
        <v/>
      </c>
      <c r="I1478" s="23" t="str">
        <f aca="false">IF(B1478="","","")</f>
        <v/>
      </c>
      <c r="J1478" s="23" t="str">
        <f aca="false">IF(B1478="","","payment 1; "&amp;paid_brands!AB28&amp;"; "&amp;paid_brands!AD28&amp;"; invoice "&amp;paid_brands!AI28)</f>
        <v/>
      </c>
      <c r="K1478" s="32" t="s">
        <v>1360</v>
      </c>
    </row>
    <row r="1479" customFormat="false" ht="15" hidden="false" customHeight="false" outlineLevel="0" collapsed="false">
      <c r="A1479" s="23" t="str">
        <f aca="false">IF(B1479="","",B1479+(9*1000+28)/10000000)</f>
        <v/>
      </c>
      <c r="B1479" s="35" t="str">
        <f aca="false">IF(AND(ISNUMBER(paid_brands!AW29),ISNUMBER(paid_brands!AV29),TRIM(paid_brands!AC29)&lt;&gt;"",OR(LEFT(paid_brands!AC29,6)&lt;&gt;"SAMPLE",Config!$B$19="Y")),paid_brands!AW29,"")</f>
        <v/>
      </c>
      <c r="C1479" s="23" t="str">
        <f aca="false">IF(B1479="","","brand")</f>
        <v/>
      </c>
      <c r="D1479" s="23" t="str">
        <f aca="false">IF(B1479="","",IFERROR(INDEX(Brand_Log!$DV$2:$DV$201,MATCH(paid_brands!AC29,Brand_Log!$A$2:$A$201,0))&amp;"",paid_brands!AC29&amp;""))</f>
        <v/>
      </c>
      <c r="E1479" s="23" t="str">
        <f aca="false">IF(B1479="","",IF(paid_brands!C29="","",paid_brands!C29&amp;""))</f>
        <v/>
      </c>
      <c r="F1479" s="23" t="str">
        <f aca="false">IF(B1479="","","paid")</f>
        <v/>
      </c>
      <c r="G1479" s="23" t="str">
        <f aca="false">IF(B1479="","",paid_brands!AV29)</f>
        <v/>
      </c>
      <c r="H1479" s="23" t="str">
        <f aca="false">IF(B1479="","","")</f>
        <v/>
      </c>
      <c r="I1479" s="23" t="str">
        <f aca="false">IF(B1479="","","")</f>
        <v/>
      </c>
      <c r="J1479" s="23" t="str">
        <f aca="false">IF(B1479="","","payment 1; "&amp;paid_brands!AB29&amp;"; "&amp;paid_brands!AD29&amp;"; invoice "&amp;paid_brands!AI29)</f>
        <v/>
      </c>
      <c r="K1479" s="32" t="s">
        <v>1360</v>
      </c>
    </row>
    <row r="1480" customFormat="false" ht="15" hidden="false" customHeight="false" outlineLevel="0" collapsed="false">
      <c r="A1480" s="23" t="str">
        <f aca="false">IF(B1480="","",B1480+(9*1000+29)/10000000)</f>
        <v/>
      </c>
      <c r="B1480" s="35" t="str">
        <f aca="false">IF(AND(ISNUMBER(paid_brands!AW30),ISNUMBER(paid_brands!AV30),TRIM(paid_brands!AC30)&lt;&gt;"",OR(LEFT(paid_brands!AC30,6)&lt;&gt;"SAMPLE",Config!$B$19="Y")),paid_brands!AW30,"")</f>
        <v/>
      </c>
      <c r="C1480" s="23" t="str">
        <f aca="false">IF(B1480="","","brand")</f>
        <v/>
      </c>
      <c r="D1480" s="23" t="str">
        <f aca="false">IF(B1480="","",IFERROR(INDEX(Brand_Log!$DV$2:$DV$201,MATCH(paid_brands!AC30,Brand_Log!$A$2:$A$201,0))&amp;"",paid_brands!AC30&amp;""))</f>
        <v/>
      </c>
      <c r="E1480" s="23" t="str">
        <f aca="false">IF(B1480="","",IF(paid_brands!C30="","",paid_brands!C30&amp;""))</f>
        <v/>
      </c>
      <c r="F1480" s="23" t="str">
        <f aca="false">IF(B1480="","","paid")</f>
        <v/>
      </c>
      <c r="G1480" s="23" t="str">
        <f aca="false">IF(B1480="","",paid_brands!AV30)</f>
        <v/>
      </c>
      <c r="H1480" s="23" t="str">
        <f aca="false">IF(B1480="","","")</f>
        <v/>
      </c>
      <c r="I1480" s="23" t="str">
        <f aca="false">IF(B1480="","","")</f>
        <v/>
      </c>
      <c r="J1480" s="23" t="str">
        <f aca="false">IF(B1480="","","payment 1; "&amp;paid_brands!AB30&amp;"; "&amp;paid_brands!AD30&amp;"; invoice "&amp;paid_brands!AI30)</f>
        <v/>
      </c>
      <c r="K1480" s="32" t="s">
        <v>1360</v>
      </c>
    </row>
    <row r="1481" customFormat="false" ht="15" hidden="false" customHeight="false" outlineLevel="0" collapsed="false">
      <c r="A1481" s="23" t="str">
        <f aca="false">IF(B1481="","",B1481+(9*1000+30)/10000000)</f>
        <v/>
      </c>
      <c r="B1481" s="35" t="str">
        <f aca="false">IF(AND(ISNUMBER(paid_brands!AW31),ISNUMBER(paid_brands!AV31),TRIM(paid_brands!AC31)&lt;&gt;"",OR(LEFT(paid_brands!AC31,6)&lt;&gt;"SAMPLE",Config!$B$19="Y")),paid_brands!AW31,"")</f>
        <v/>
      </c>
      <c r="C1481" s="23" t="str">
        <f aca="false">IF(B1481="","","brand")</f>
        <v/>
      </c>
      <c r="D1481" s="23" t="str">
        <f aca="false">IF(B1481="","",IFERROR(INDEX(Brand_Log!$DV$2:$DV$201,MATCH(paid_brands!AC31,Brand_Log!$A$2:$A$201,0))&amp;"",paid_brands!AC31&amp;""))</f>
        <v/>
      </c>
      <c r="E1481" s="23" t="str">
        <f aca="false">IF(B1481="","",IF(paid_brands!C31="","",paid_brands!C31&amp;""))</f>
        <v/>
      </c>
      <c r="F1481" s="23" t="str">
        <f aca="false">IF(B1481="","","paid")</f>
        <v/>
      </c>
      <c r="G1481" s="23" t="str">
        <f aca="false">IF(B1481="","",paid_brands!AV31)</f>
        <v/>
      </c>
      <c r="H1481" s="23" t="str">
        <f aca="false">IF(B1481="","","")</f>
        <v/>
      </c>
      <c r="I1481" s="23" t="str">
        <f aca="false">IF(B1481="","","")</f>
        <v/>
      </c>
      <c r="J1481" s="23" t="str">
        <f aca="false">IF(B1481="","","payment 1; "&amp;paid_brands!AB31&amp;"; "&amp;paid_brands!AD31&amp;"; invoice "&amp;paid_brands!AI31)</f>
        <v/>
      </c>
      <c r="K1481" s="32" t="s">
        <v>1360</v>
      </c>
    </row>
    <row r="1482" customFormat="false" ht="15" hidden="false" customHeight="false" outlineLevel="0" collapsed="false">
      <c r="A1482" s="23" t="str">
        <f aca="false">IF(B1482="","",B1482+(9*1000+31)/10000000)</f>
        <v/>
      </c>
      <c r="B1482" s="35" t="str">
        <f aca="false">IF(AND(ISNUMBER(paid_brands!AW32),ISNUMBER(paid_brands!AV32),TRIM(paid_brands!AC32)&lt;&gt;"",OR(LEFT(paid_brands!AC32,6)&lt;&gt;"SAMPLE",Config!$B$19="Y")),paid_brands!AW32,"")</f>
        <v/>
      </c>
      <c r="C1482" s="23" t="str">
        <f aca="false">IF(B1482="","","brand")</f>
        <v/>
      </c>
      <c r="D1482" s="23" t="str">
        <f aca="false">IF(B1482="","",IFERROR(INDEX(Brand_Log!$DV$2:$DV$201,MATCH(paid_brands!AC32,Brand_Log!$A$2:$A$201,0))&amp;"",paid_brands!AC32&amp;""))</f>
        <v/>
      </c>
      <c r="E1482" s="23" t="str">
        <f aca="false">IF(B1482="","",IF(paid_brands!C32="","",paid_brands!C32&amp;""))</f>
        <v/>
      </c>
      <c r="F1482" s="23" t="str">
        <f aca="false">IF(B1482="","","paid")</f>
        <v/>
      </c>
      <c r="G1482" s="23" t="str">
        <f aca="false">IF(B1482="","",paid_brands!AV32)</f>
        <v/>
      </c>
      <c r="H1482" s="23" t="str">
        <f aca="false">IF(B1482="","","")</f>
        <v/>
      </c>
      <c r="I1482" s="23" t="str">
        <f aca="false">IF(B1482="","","")</f>
        <v/>
      </c>
      <c r="J1482" s="23" t="str">
        <f aca="false">IF(B1482="","","payment 1; "&amp;paid_brands!AB32&amp;"; "&amp;paid_brands!AD32&amp;"; invoice "&amp;paid_brands!AI32)</f>
        <v/>
      </c>
      <c r="K1482" s="32" t="s">
        <v>1360</v>
      </c>
    </row>
    <row r="1483" customFormat="false" ht="15" hidden="false" customHeight="false" outlineLevel="0" collapsed="false">
      <c r="A1483" s="23" t="str">
        <f aca="false">IF(B1483="","",B1483+(9*1000+32)/10000000)</f>
        <v/>
      </c>
      <c r="B1483" s="35" t="str">
        <f aca="false">IF(AND(ISNUMBER(paid_brands!AW33),ISNUMBER(paid_brands!AV33),TRIM(paid_brands!AC33)&lt;&gt;"",OR(LEFT(paid_brands!AC33,6)&lt;&gt;"SAMPLE",Config!$B$19="Y")),paid_brands!AW33,"")</f>
        <v/>
      </c>
      <c r="C1483" s="23" t="str">
        <f aca="false">IF(B1483="","","brand")</f>
        <v/>
      </c>
      <c r="D1483" s="23" t="str">
        <f aca="false">IF(B1483="","",IFERROR(INDEX(Brand_Log!$DV$2:$DV$201,MATCH(paid_brands!AC33,Brand_Log!$A$2:$A$201,0))&amp;"",paid_brands!AC33&amp;""))</f>
        <v/>
      </c>
      <c r="E1483" s="23" t="str">
        <f aca="false">IF(B1483="","",IF(paid_brands!C33="","",paid_brands!C33&amp;""))</f>
        <v/>
      </c>
      <c r="F1483" s="23" t="str">
        <f aca="false">IF(B1483="","","paid")</f>
        <v/>
      </c>
      <c r="G1483" s="23" t="str">
        <f aca="false">IF(B1483="","",paid_brands!AV33)</f>
        <v/>
      </c>
      <c r="H1483" s="23" t="str">
        <f aca="false">IF(B1483="","","")</f>
        <v/>
      </c>
      <c r="I1483" s="23" t="str">
        <f aca="false">IF(B1483="","","")</f>
        <v/>
      </c>
      <c r="J1483" s="23" t="str">
        <f aca="false">IF(B1483="","","payment 1; "&amp;paid_brands!AB33&amp;"; "&amp;paid_brands!AD33&amp;"; invoice "&amp;paid_brands!AI33)</f>
        <v/>
      </c>
      <c r="K1483" s="32" t="s">
        <v>1360</v>
      </c>
    </row>
    <row r="1484" customFormat="false" ht="15" hidden="false" customHeight="false" outlineLevel="0" collapsed="false">
      <c r="A1484" s="23" t="str">
        <f aca="false">IF(B1484="","",B1484+(9*1000+33)/10000000)</f>
        <v/>
      </c>
      <c r="B1484" s="35" t="str">
        <f aca="false">IF(AND(ISNUMBER(paid_brands!AW34),ISNUMBER(paid_brands!AV34),TRIM(paid_brands!AC34)&lt;&gt;"",OR(LEFT(paid_brands!AC34,6)&lt;&gt;"SAMPLE",Config!$B$19="Y")),paid_brands!AW34,"")</f>
        <v/>
      </c>
      <c r="C1484" s="23" t="str">
        <f aca="false">IF(B1484="","","brand")</f>
        <v/>
      </c>
      <c r="D1484" s="23" t="str">
        <f aca="false">IF(B1484="","",IFERROR(INDEX(Brand_Log!$DV$2:$DV$201,MATCH(paid_brands!AC34,Brand_Log!$A$2:$A$201,0))&amp;"",paid_brands!AC34&amp;""))</f>
        <v/>
      </c>
      <c r="E1484" s="23" t="str">
        <f aca="false">IF(B1484="","",IF(paid_brands!C34="","",paid_brands!C34&amp;""))</f>
        <v/>
      </c>
      <c r="F1484" s="23" t="str">
        <f aca="false">IF(B1484="","","paid")</f>
        <v/>
      </c>
      <c r="G1484" s="23" t="str">
        <f aca="false">IF(B1484="","",paid_brands!AV34)</f>
        <v/>
      </c>
      <c r="H1484" s="23" t="str">
        <f aca="false">IF(B1484="","","")</f>
        <v/>
      </c>
      <c r="I1484" s="23" t="str">
        <f aca="false">IF(B1484="","","")</f>
        <v/>
      </c>
      <c r="J1484" s="23" t="str">
        <f aca="false">IF(B1484="","","payment 1; "&amp;paid_brands!AB34&amp;"; "&amp;paid_brands!AD34&amp;"; invoice "&amp;paid_brands!AI34)</f>
        <v/>
      </c>
      <c r="K1484" s="32" t="s">
        <v>1360</v>
      </c>
    </row>
    <row r="1485" customFormat="false" ht="15" hidden="false" customHeight="false" outlineLevel="0" collapsed="false">
      <c r="A1485" s="23" t="str">
        <f aca="false">IF(B1485="","",B1485+(9*1000+34)/10000000)</f>
        <v/>
      </c>
      <c r="B1485" s="35" t="str">
        <f aca="false">IF(AND(ISNUMBER(paid_brands!AW35),ISNUMBER(paid_brands!AV35),TRIM(paid_brands!AC35)&lt;&gt;"",OR(LEFT(paid_brands!AC35,6)&lt;&gt;"SAMPLE",Config!$B$19="Y")),paid_brands!AW35,"")</f>
        <v/>
      </c>
      <c r="C1485" s="23" t="str">
        <f aca="false">IF(B1485="","","brand")</f>
        <v/>
      </c>
      <c r="D1485" s="23" t="str">
        <f aca="false">IF(B1485="","",IFERROR(INDEX(Brand_Log!$DV$2:$DV$201,MATCH(paid_brands!AC35,Brand_Log!$A$2:$A$201,0))&amp;"",paid_brands!AC35&amp;""))</f>
        <v/>
      </c>
      <c r="E1485" s="23" t="str">
        <f aca="false">IF(B1485="","",IF(paid_brands!C35="","",paid_brands!C35&amp;""))</f>
        <v/>
      </c>
      <c r="F1485" s="23" t="str">
        <f aca="false">IF(B1485="","","paid")</f>
        <v/>
      </c>
      <c r="G1485" s="23" t="str">
        <f aca="false">IF(B1485="","",paid_brands!AV35)</f>
        <v/>
      </c>
      <c r="H1485" s="23" t="str">
        <f aca="false">IF(B1485="","","")</f>
        <v/>
      </c>
      <c r="I1485" s="23" t="str">
        <f aca="false">IF(B1485="","","")</f>
        <v/>
      </c>
      <c r="J1485" s="23" t="str">
        <f aca="false">IF(B1485="","","payment 1; "&amp;paid_brands!AB35&amp;"; "&amp;paid_brands!AD35&amp;"; invoice "&amp;paid_brands!AI35)</f>
        <v/>
      </c>
      <c r="K1485" s="32" t="s">
        <v>1360</v>
      </c>
    </row>
    <row r="1486" customFormat="false" ht="15" hidden="false" customHeight="false" outlineLevel="0" collapsed="false">
      <c r="A1486" s="23" t="str">
        <f aca="false">IF(B1486="","",B1486+(9*1000+35)/10000000)</f>
        <v/>
      </c>
      <c r="B1486" s="35" t="str">
        <f aca="false">IF(AND(ISNUMBER(paid_brands!AW36),ISNUMBER(paid_brands!AV36),TRIM(paid_brands!AC36)&lt;&gt;"",OR(LEFT(paid_brands!AC36,6)&lt;&gt;"SAMPLE",Config!$B$19="Y")),paid_brands!AW36,"")</f>
        <v/>
      </c>
      <c r="C1486" s="23" t="str">
        <f aca="false">IF(B1486="","","brand")</f>
        <v/>
      </c>
      <c r="D1486" s="23" t="str">
        <f aca="false">IF(B1486="","",IFERROR(INDEX(Brand_Log!$DV$2:$DV$201,MATCH(paid_brands!AC36,Brand_Log!$A$2:$A$201,0))&amp;"",paid_brands!AC36&amp;""))</f>
        <v/>
      </c>
      <c r="E1486" s="23" t="str">
        <f aca="false">IF(B1486="","",IF(paid_brands!C36="","",paid_brands!C36&amp;""))</f>
        <v/>
      </c>
      <c r="F1486" s="23" t="str">
        <f aca="false">IF(B1486="","","paid")</f>
        <v/>
      </c>
      <c r="G1486" s="23" t="str">
        <f aca="false">IF(B1486="","",paid_brands!AV36)</f>
        <v/>
      </c>
      <c r="H1486" s="23" t="str">
        <f aca="false">IF(B1486="","","")</f>
        <v/>
      </c>
      <c r="I1486" s="23" t="str">
        <f aca="false">IF(B1486="","","")</f>
        <v/>
      </c>
      <c r="J1486" s="23" t="str">
        <f aca="false">IF(B1486="","","payment 1; "&amp;paid_brands!AB36&amp;"; "&amp;paid_brands!AD36&amp;"; invoice "&amp;paid_brands!AI36)</f>
        <v/>
      </c>
      <c r="K1486" s="32" t="s">
        <v>1360</v>
      </c>
    </row>
    <row r="1487" customFormat="false" ht="15" hidden="false" customHeight="false" outlineLevel="0" collapsed="false">
      <c r="A1487" s="23" t="str">
        <f aca="false">IF(B1487="","",B1487+(9*1000+36)/10000000)</f>
        <v/>
      </c>
      <c r="B1487" s="35" t="str">
        <f aca="false">IF(AND(ISNUMBER(paid_brands!AW37),ISNUMBER(paid_brands!AV37),TRIM(paid_brands!AC37)&lt;&gt;"",OR(LEFT(paid_brands!AC37,6)&lt;&gt;"SAMPLE",Config!$B$19="Y")),paid_brands!AW37,"")</f>
        <v/>
      </c>
      <c r="C1487" s="23" t="str">
        <f aca="false">IF(B1487="","","brand")</f>
        <v/>
      </c>
      <c r="D1487" s="23" t="str">
        <f aca="false">IF(B1487="","",IFERROR(INDEX(Brand_Log!$DV$2:$DV$201,MATCH(paid_brands!AC37,Brand_Log!$A$2:$A$201,0))&amp;"",paid_brands!AC37&amp;""))</f>
        <v/>
      </c>
      <c r="E1487" s="23" t="str">
        <f aca="false">IF(B1487="","",IF(paid_brands!C37="","",paid_brands!C37&amp;""))</f>
        <v/>
      </c>
      <c r="F1487" s="23" t="str">
        <f aca="false">IF(B1487="","","paid")</f>
        <v/>
      </c>
      <c r="G1487" s="23" t="str">
        <f aca="false">IF(B1487="","",paid_brands!AV37)</f>
        <v/>
      </c>
      <c r="H1487" s="23" t="str">
        <f aca="false">IF(B1487="","","")</f>
        <v/>
      </c>
      <c r="I1487" s="23" t="str">
        <f aca="false">IF(B1487="","","")</f>
        <v/>
      </c>
      <c r="J1487" s="23" t="str">
        <f aca="false">IF(B1487="","","payment 1; "&amp;paid_brands!AB37&amp;"; "&amp;paid_brands!AD37&amp;"; invoice "&amp;paid_brands!AI37)</f>
        <v/>
      </c>
      <c r="K1487" s="32" t="s">
        <v>1360</v>
      </c>
    </row>
    <row r="1488" customFormat="false" ht="15" hidden="false" customHeight="false" outlineLevel="0" collapsed="false">
      <c r="A1488" s="23" t="str">
        <f aca="false">IF(B1488="","",B1488+(9*1000+37)/10000000)</f>
        <v/>
      </c>
      <c r="B1488" s="35" t="str">
        <f aca="false">IF(AND(ISNUMBER(paid_brands!AW38),ISNUMBER(paid_brands!AV38),TRIM(paid_brands!AC38)&lt;&gt;"",OR(LEFT(paid_brands!AC38,6)&lt;&gt;"SAMPLE",Config!$B$19="Y")),paid_brands!AW38,"")</f>
        <v/>
      </c>
      <c r="C1488" s="23" t="str">
        <f aca="false">IF(B1488="","","brand")</f>
        <v/>
      </c>
      <c r="D1488" s="23" t="str">
        <f aca="false">IF(B1488="","",IFERROR(INDEX(Brand_Log!$DV$2:$DV$201,MATCH(paid_brands!AC38,Brand_Log!$A$2:$A$201,0))&amp;"",paid_brands!AC38&amp;""))</f>
        <v/>
      </c>
      <c r="E1488" s="23" t="str">
        <f aca="false">IF(B1488="","",IF(paid_brands!C38="","",paid_brands!C38&amp;""))</f>
        <v/>
      </c>
      <c r="F1488" s="23" t="str">
        <f aca="false">IF(B1488="","","paid")</f>
        <v/>
      </c>
      <c r="G1488" s="23" t="str">
        <f aca="false">IF(B1488="","",paid_brands!AV38)</f>
        <v/>
      </c>
      <c r="H1488" s="23" t="str">
        <f aca="false">IF(B1488="","","")</f>
        <v/>
      </c>
      <c r="I1488" s="23" t="str">
        <f aca="false">IF(B1488="","","")</f>
        <v/>
      </c>
      <c r="J1488" s="23" t="str">
        <f aca="false">IF(B1488="","","payment 1; "&amp;paid_brands!AB38&amp;"; "&amp;paid_brands!AD38&amp;"; invoice "&amp;paid_brands!AI38)</f>
        <v/>
      </c>
      <c r="K1488" s="32" t="s">
        <v>1360</v>
      </c>
    </row>
    <row r="1489" customFormat="false" ht="15" hidden="false" customHeight="false" outlineLevel="0" collapsed="false">
      <c r="A1489" s="23" t="str">
        <f aca="false">IF(B1489="","",B1489+(9*1000+38)/10000000)</f>
        <v/>
      </c>
      <c r="B1489" s="35" t="str">
        <f aca="false">IF(AND(ISNUMBER(paid_brands!AW39),ISNUMBER(paid_brands!AV39),TRIM(paid_brands!AC39)&lt;&gt;"",OR(LEFT(paid_brands!AC39,6)&lt;&gt;"SAMPLE",Config!$B$19="Y")),paid_brands!AW39,"")</f>
        <v/>
      </c>
      <c r="C1489" s="23" t="str">
        <f aca="false">IF(B1489="","","brand")</f>
        <v/>
      </c>
      <c r="D1489" s="23" t="str">
        <f aca="false">IF(B1489="","",IFERROR(INDEX(Brand_Log!$DV$2:$DV$201,MATCH(paid_brands!AC39,Brand_Log!$A$2:$A$201,0))&amp;"",paid_brands!AC39&amp;""))</f>
        <v/>
      </c>
      <c r="E1489" s="23" t="str">
        <f aca="false">IF(B1489="","",IF(paid_brands!C39="","",paid_brands!C39&amp;""))</f>
        <v/>
      </c>
      <c r="F1489" s="23" t="str">
        <f aca="false">IF(B1489="","","paid")</f>
        <v/>
      </c>
      <c r="G1489" s="23" t="str">
        <f aca="false">IF(B1489="","",paid_brands!AV39)</f>
        <v/>
      </c>
      <c r="H1489" s="23" t="str">
        <f aca="false">IF(B1489="","","")</f>
        <v/>
      </c>
      <c r="I1489" s="23" t="str">
        <f aca="false">IF(B1489="","","")</f>
        <v/>
      </c>
      <c r="J1489" s="23" t="str">
        <f aca="false">IF(B1489="","","payment 1; "&amp;paid_brands!AB39&amp;"; "&amp;paid_brands!AD39&amp;"; invoice "&amp;paid_brands!AI39)</f>
        <v/>
      </c>
      <c r="K1489" s="32" t="s">
        <v>1360</v>
      </c>
    </row>
    <row r="1490" customFormat="false" ht="15" hidden="false" customHeight="false" outlineLevel="0" collapsed="false">
      <c r="A1490" s="23" t="str">
        <f aca="false">IF(B1490="","",B1490+(9*1000+39)/10000000)</f>
        <v/>
      </c>
      <c r="B1490" s="35" t="str">
        <f aca="false">IF(AND(ISNUMBER(paid_brands!AW40),ISNUMBER(paid_brands!AV40),TRIM(paid_brands!AC40)&lt;&gt;"",OR(LEFT(paid_brands!AC40,6)&lt;&gt;"SAMPLE",Config!$B$19="Y")),paid_brands!AW40,"")</f>
        <v/>
      </c>
      <c r="C1490" s="23" t="str">
        <f aca="false">IF(B1490="","","brand")</f>
        <v/>
      </c>
      <c r="D1490" s="23" t="str">
        <f aca="false">IF(B1490="","",IFERROR(INDEX(Brand_Log!$DV$2:$DV$201,MATCH(paid_brands!AC40,Brand_Log!$A$2:$A$201,0))&amp;"",paid_brands!AC40&amp;""))</f>
        <v/>
      </c>
      <c r="E1490" s="23" t="str">
        <f aca="false">IF(B1490="","",IF(paid_brands!C40="","",paid_brands!C40&amp;""))</f>
        <v/>
      </c>
      <c r="F1490" s="23" t="str">
        <f aca="false">IF(B1490="","","paid")</f>
        <v/>
      </c>
      <c r="G1490" s="23" t="str">
        <f aca="false">IF(B1490="","",paid_brands!AV40)</f>
        <v/>
      </c>
      <c r="H1490" s="23" t="str">
        <f aca="false">IF(B1490="","","")</f>
        <v/>
      </c>
      <c r="I1490" s="23" t="str">
        <f aca="false">IF(B1490="","","")</f>
        <v/>
      </c>
      <c r="J1490" s="23" t="str">
        <f aca="false">IF(B1490="","","payment 1; "&amp;paid_brands!AB40&amp;"; "&amp;paid_brands!AD40&amp;"; invoice "&amp;paid_brands!AI40)</f>
        <v/>
      </c>
      <c r="K1490" s="32" t="s">
        <v>1360</v>
      </c>
    </row>
    <row r="1491" customFormat="false" ht="15" hidden="false" customHeight="false" outlineLevel="0" collapsed="false">
      <c r="A1491" s="23" t="str">
        <f aca="false">IF(B1491="","",B1491+(9*1000+40)/10000000)</f>
        <v/>
      </c>
      <c r="B1491" s="35" t="str">
        <f aca="false">IF(AND(ISNUMBER(paid_brands!AW41),ISNUMBER(paid_brands!AV41),TRIM(paid_brands!AC41)&lt;&gt;"",OR(LEFT(paid_brands!AC41,6)&lt;&gt;"SAMPLE",Config!$B$19="Y")),paid_brands!AW41,"")</f>
        <v/>
      </c>
      <c r="C1491" s="23" t="str">
        <f aca="false">IF(B1491="","","brand")</f>
        <v/>
      </c>
      <c r="D1491" s="23" t="str">
        <f aca="false">IF(B1491="","",IFERROR(INDEX(Brand_Log!$DV$2:$DV$201,MATCH(paid_brands!AC41,Brand_Log!$A$2:$A$201,0))&amp;"",paid_brands!AC41&amp;""))</f>
        <v/>
      </c>
      <c r="E1491" s="23" t="str">
        <f aca="false">IF(B1491="","",IF(paid_brands!C41="","",paid_brands!C41&amp;""))</f>
        <v/>
      </c>
      <c r="F1491" s="23" t="str">
        <f aca="false">IF(B1491="","","paid")</f>
        <v/>
      </c>
      <c r="G1491" s="23" t="str">
        <f aca="false">IF(B1491="","",paid_brands!AV41)</f>
        <v/>
      </c>
      <c r="H1491" s="23" t="str">
        <f aca="false">IF(B1491="","","")</f>
        <v/>
      </c>
      <c r="I1491" s="23" t="str">
        <f aca="false">IF(B1491="","","")</f>
        <v/>
      </c>
      <c r="J1491" s="23" t="str">
        <f aca="false">IF(B1491="","","payment 1; "&amp;paid_brands!AB41&amp;"; "&amp;paid_brands!AD41&amp;"; invoice "&amp;paid_brands!AI41)</f>
        <v/>
      </c>
      <c r="K1491" s="32" t="s">
        <v>1360</v>
      </c>
    </row>
    <row r="1492" customFormat="false" ht="15" hidden="false" customHeight="false" outlineLevel="0" collapsed="false">
      <c r="A1492" s="23" t="str">
        <f aca="false">IF(B1492="","",B1492+(9*1000+41)/10000000)</f>
        <v/>
      </c>
      <c r="B1492" s="35" t="str">
        <f aca="false">IF(AND(ISNUMBER(paid_brands!AW42),ISNUMBER(paid_brands!AV42),TRIM(paid_brands!AC42)&lt;&gt;"",OR(LEFT(paid_brands!AC42,6)&lt;&gt;"SAMPLE",Config!$B$19="Y")),paid_brands!AW42,"")</f>
        <v/>
      </c>
      <c r="C1492" s="23" t="str">
        <f aca="false">IF(B1492="","","brand")</f>
        <v/>
      </c>
      <c r="D1492" s="23" t="str">
        <f aca="false">IF(B1492="","",IFERROR(INDEX(Brand_Log!$DV$2:$DV$201,MATCH(paid_brands!AC42,Brand_Log!$A$2:$A$201,0))&amp;"",paid_brands!AC42&amp;""))</f>
        <v/>
      </c>
      <c r="E1492" s="23" t="str">
        <f aca="false">IF(B1492="","",IF(paid_brands!C42="","",paid_brands!C42&amp;""))</f>
        <v/>
      </c>
      <c r="F1492" s="23" t="str">
        <f aca="false">IF(B1492="","","paid")</f>
        <v/>
      </c>
      <c r="G1492" s="23" t="str">
        <f aca="false">IF(B1492="","",paid_brands!AV42)</f>
        <v/>
      </c>
      <c r="H1492" s="23" t="str">
        <f aca="false">IF(B1492="","","")</f>
        <v/>
      </c>
      <c r="I1492" s="23" t="str">
        <f aca="false">IF(B1492="","","")</f>
        <v/>
      </c>
      <c r="J1492" s="23" t="str">
        <f aca="false">IF(B1492="","","payment 1; "&amp;paid_brands!AB42&amp;"; "&amp;paid_brands!AD42&amp;"; invoice "&amp;paid_brands!AI42)</f>
        <v/>
      </c>
      <c r="K1492" s="32" t="s">
        <v>1360</v>
      </c>
    </row>
    <row r="1493" customFormat="false" ht="15" hidden="false" customHeight="false" outlineLevel="0" collapsed="false">
      <c r="A1493" s="23" t="str">
        <f aca="false">IF(B1493="","",B1493+(9*1000+42)/10000000)</f>
        <v/>
      </c>
      <c r="B1493" s="35" t="str">
        <f aca="false">IF(AND(ISNUMBER(paid_brands!AW43),ISNUMBER(paid_brands!AV43),TRIM(paid_brands!AC43)&lt;&gt;"",OR(LEFT(paid_brands!AC43,6)&lt;&gt;"SAMPLE",Config!$B$19="Y")),paid_brands!AW43,"")</f>
        <v/>
      </c>
      <c r="C1493" s="23" t="str">
        <f aca="false">IF(B1493="","","brand")</f>
        <v/>
      </c>
      <c r="D1493" s="23" t="str">
        <f aca="false">IF(B1493="","",IFERROR(INDEX(Brand_Log!$DV$2:$DV$201,MATCH(paid_brands!AC43,Brand_Log!$A$2:$A$201,0))&amp;"",paid_brands!AC43&amp;""))</f>
        <v/>
      </c>
      <c r="E1493" s="23" t="str">
        <f aca="false">IF(B1493="","",IF(paid_brands!C43="","",paid_brands!C43&amp;""))</f>
        <v/>
      </c>
      <c r="F1493" s="23" t="str">
        <f aca="false">IF(B1493="","","paid")</f>
        <v/>
      </c>
      <c r="G1493" s="23" t="str">
        <f aca="false">IF(B1493="","",paid_brands!AV43)</f>
        <v/>
      </c>
      <c r="H1493" s="23" t="str">
        <f aca="false">IF(B1493="","","")</f>
        <v/>
      </c>
      <c r="I1493" s="23" t="str">
        <f aca="false">IF(B1493="","","")</f>
        <v/>
      </c>
      <c r="J1493" s="23" t="str">
        <f aca="false">IF(B1493="","","payment 1; "&amp;paid_brands!AB43&amp;"; "&amp;paid_brands!AD43&amp;"; invoice "&amp;paid_brands!AI43)</f>
        <v/>
      </c>
      <c r="K1493" s="32" t="s">
        <v>1360</v>
      </c>
    </row>
    <row r="1494" customFormat="false" ht="15" hidden="false" customHeight="false" outlineLevel="0" collapsed="false">
      <c r="A1494" s="23" t="str">
        <f aca="false">IF(B1494="","",B1494+(9*1000+43)/10000000)</f>
        <v/>
      </c>
      <c r="B1494" s="35" t="str">
        <f aca="false">IF(AND(ISNUMBER(paid_brands!AW44),ISNUMBER(paid_brands!AV44),TRIM(paid_brands!AC44)&lt;&gt;"",OR(LEFT(paid_brands!AC44,6)&lt;&gt;"SAMPLE",Config!$B$19="Y")),paid_brands!AW44,"")</f>
        <v/>
      </c>
      <c r="C1494" s="23" t="str">
        <f aca="false">IF(B1494="","","brand")</f>
        <v/>
      </c>
      <c r="D1494" s="23" t="str">
        <f aca="false">IF(B1494="","",IFERROR(INDEX(Brand_Log!$DV$2:$DV$201,MATCH(paid_brands!AC44,Brand_Log!$A$2:$A$201,0))&amp;"",paid_brands!AC44&amp;""))</f>
        <v/>
      </c>
      <c r="E1494" s="23" t="str">
        <f aca="false">IF(B1494="","",IF(paid_brands!C44="","",paid_brands!C44&amp;""))</f>
        <v/>
      </c>
      <c r="F1494" s="23" t="str">
        <f aca="false">IF(B1494="","","paid")</f>
        <v/>
      </c>
      <c r="G1494" s="23" t="str">
        <f aca="false">IF(B1494="","",paid_brands!AV44)</f>
        <v/>
      </c>
      <c r="H1494" s="23" t="str">
        <f aca="false">IF(B1494="","","")</f>
        <v/>
      </c>
      <c r="I1494" s="23" t="str">
        <f aca="false">IF(B1494="","","")</f>
        <v/>
      </c>
      <c r="J1494" s="23" t="str">
        <f aca="false">IF(B1494="","","payment 1; "&amp;paid_brands!AB44&amp;"; "&amp;paid_brands!AD44&amp;"; invoice "&amp;paid_brands!AI44)</f>
        <v/>
      </c>
      <c r="K1494" s="32" t="s">
        <v>1360</v>
      </c>
    </row>
    <row r="1495" customFormat="false" ht="15" hidden="false" customHeight="false" outlineLevel="0" collapsed="false">
      <c r="A1495" s="23" t="str">
        <f aca="false">IF(B1495="","",B1495+(9*1000+44)/10000000)</f>
        <v/>
      </c>
      <c r="B1495" s="35" t="str">
        <f aca="false">IF(AND(ISNUMBER(paid_brands!AW45),ISNUMBER(paid_brands!AV45),TRIM(paid_brands!AC45)&lt;&gt;"",OR(LEFT(paid_brands!AC45,6)&lt;&gt;"SAMPLE",Config!$B$19="Y")),paid_brands!AW45,"")</f>
        <v/>
      </c>
      <c r="C1495" s="23" t="str">
        <f aca="false">IF(B1495="","","brand")</f>
        <v/>
      </c>
      <c r="D1495" s="23" t="str">
        <f aca="false">IF(B1495="","",IFERROR(INDEX(Brand_Log!$DV$2:$DV$201,MATCH(paid_brands!AC45,Brand_Log!$A$2:$A$201,0))&amp;"",paid_brands!AC45&amp;""))</f>
        <v/>
      </c>
      <c r="E1495" s="23" t="str">
        <f aca="false">IF(B1495="","",IF(paid_brands!C45="","",paid_brands!C45&amp;""))</f>
        <v/>
      </c>
      <c r="F1495" s="23" t="str">
        <f aca="false">IF(B1495="","","paid")</f>
        <v/>
      </c>
      <c r="G1495" s="23" t="str">
        <f aca="false">IF(B1495="","",paid_brands!AV45)</f>
        <v/>
      </c>
      <c r="H1495" s="23" t="str">
        <f aca="false">IF(B1495="","","")</f>
        <v/>
      </c>
      <c r="I1495" s="23" t="str">
        <f aca="false">IF(B1495="","","")</f>
        <v/>
      </c>
      <c r="J1495" s="23" t="str">
        <f aca="false">IF(B1495="","","payment 1; "&amp;paid_brands!AB45&amp;"; "&amp;paid_brands!AD45&amp;"; invoice "&amp;paid_brands!AI45)</f>
        <v/>
      </c>
      <c r="K1495" s="32" t="s">
        <v>1360</v>
      </c>
    </row>
    <row r="1496" customFormat="false" ht="15" hidden="false" customHeight="false" outlineLevel="0" collapsed="false">
      <c r="A1496" s="23" t="str">
        <f aca="false">IF(B1496="","",B1496+(9*1000+45)/10000000)</f>
        <v/>
      </c>
      <c r="B1496" s="35" t="str">
        <f aca="false">IF(AND(ISNUMBER(paid_brands!AW46),ISNUMBER(paid_brands!AV46),TRIM(paid_brands!AC46)&lt;&gt;"",OR(LEFT(paid_brands!AC46,6)&lt;&gt;"SAMPLE",Config!$B$19="Y")),paid_brands!AW46,"")</f>
        <v/>
      </c>
      <c r="C1496" s="23" t="str">
        <f aca="false">IF(B1496="","","brand")</f>
        <v/>
      </c>
      <c r="D1496" s="23" t="str">
        <f aca="false">IF(B1496="","",IFERROR(INDEX(Brand_Log!$DV$2:$DV$201,MATCH(paid_brands!AC46,Brand_Log!$A$2:$A$201,0))&amp;"",paid_brands!AC46&amp;""))</f>
        <v/>
      </c>
      <c r="E1496" s="23" t="str">
        <f aca="false">IF(B1496="","",IF(paid_brands!C46="","",paid_brands!C46&amp;""))</f>
        <v/>
      </c>
      <c r="F1496" s="23" t="str">
        <f aca="false">IF(B1496="","","paid")</f>
        <v/>
      </c>
      <c r="G1496" s="23" t="str">
        <f aca="false">IF(B1496="","",paid_brands!AV46)</f>
        <v/>
      </c>
      <c r="H1496" s="23" t="str">
        <f aca="false">IF(B1496="","","")</f>
        <v/>
      </c>
      <c r="I1496" s="23" t="str">
        <f aca="false">IF(B1496="","","")</f>
        <v/>
      </c>
      <c r="J1496" s="23" t="str">
        <f aca="false">IF(B1496="","","payment 1; "&amp;paid_brands!AB46&amp;"; "&amp;paid_brands!AD46&amp;"; invoice "&amp;paid_brands!AI46)</f>
        <v/>
      </c>
      <c r="K1496" s="32" t="s">
        <v>1360</v>
      </c>
    </row>
    <row r="1497" customFormat="false" ht="15" hidden="false" customHeight="false" outlineLevel="0" collapsed="false">
      <c r="A1497" s="23" t="str">
        <f aca="false">IF(B1497="","",B1497+(9*1000+46)/10000000)</f>
        <v/>
      </c>
      <c r="B1497" s="35" t="str">
        <f aca="false">IF(AND(ISNUMBER(paid_brands!AW47),ISNUMBER(paid_brands!AV47),TRIM(paid_brands!AC47)&lt;&gt;"",OR(LEFT(paid_brands!AC47,6)&lt;&gt;"SAMPLE",Config!$B$19="Y")),paid_brands!AW47,"")</f>
        <v/>
      </c>
      <c r="C1497" s="23" t="str">
        <f aca="false">IF(B1497="","","brand")</f>
        <v/>
      </c>
      <c r="D1497" s="23" t="str">
        <f aca="false">IF(B1497="","",IFERROR(INDEX(Brand_Log!$DV$2:$DV$201,MATCH(paid_brands!AC47,Brand_Log!$A$2:$A$201,0))&amp;"",paid_brands!AC47&amp;""))</f>
        <v/>
      </c>
      <c r="E1497" s="23" t="str">
        <f aca="false">IF(B1497="","",IF(paid_brands!C47="","",paid_brands!C47&amp;""))</f>
        <v/>
      </c>
      <c r="F1497" s="23" t="str">
        <f aca="false">IF(B1497="","","paid")</f>
        <v/>
      </c>
      <c r="G1497" s="23" t="str">
        <f aca="false">IF(B1497="","",paid_brands!AV47)</f>
        <v/>
      </c>
      <c r="H1497" s="23" t="str">
        <f aca="false">IF(B1497="","","")</f>
        <v/>
      </c>
      <c r="I1497" s="23" t="str">
        <f aca="false">IF(B1497="","","")</f>
        <v/>
      </c>
      <c r="J1497" s="23" t="str">
        <f aca="false">IF(B1497="","","payment 1; "&amp;paid_brands!AB47&amp;"; "&amp;paid_brands!AD47&amp;"; invoice "&amp;paid_brands!AI47)</f>
        <v/>
      </c>
      <c r="K1497" s="32" t="s">
        <v>1360</v>
      </c>
    </row>
    <row r="1498" customFormat="false" ht="15" hidden="false" customHeight="false" outlineLevel="0" collapsed="false">
      <c r="A1498" s="23" t="str">
        <f aca="false">IF(B1498="","",B1498+(9*1000+47)/10000000)</f>
        <v/>
      </c>
      <c r="B1498" s="35" t="str">
        <f aca="false">IF(AND(ISNUMBER(paid_brands!AW48),ISNUMBER(paid_brands!AV48),TRIM(paid_brands!AC48)&lt;&gt;"",OR(LEFT(paid_brands!AC48,6)&lt;&gt;"SAMPLE",Config!$B$19="Y")),paid_brands!AW48,"")</f>
        <v/>
      </c>
      <c r="C1498" s="23" t="str">
        <f aca="false">IF(B1498="","","brand")</f>
        <v/>
      </c>
      <c r="D1498" s="23" t="str">
        <f aca="false">IF(B1498="","",IFERROR(INDEX(Brand_Log!$DV$2:$DV$201,MATCH(paid_brands!AC48,Brand_Log!$A$2:$A$201,0))&amp;"",paid_brands!AC48&amp;""))</f>
        <v/>
      </c>
      <c r="E1498" s="23" t="str">
        <f aca="false">IF(B1498="","",IF(paid_brands!C48="","",paid_brands!C48&amp;""))</f>
        <v/>
      </c>
      <c r="F1498" s="23" t="str">
        <f aca="false">IF(B1498="","","paid")</f>
        <v/>
      </c>
      <c r="G1498" s="23" t="str">
        <f aca="false">IF(B1498="","",paid_brands!AV48)</f>
        <v/>
      </c>
      <c r="H1498" s="23" t="str">
        <f aca="false">IF(B1498="","","")</f>
        <v/>
      </c>
      <c r="I1498" s="23" t="str">
        <f aca="false">IF(B1498="","","")</f>
        <v/>
      </c>
      <c r="J1498" s="23" t="str">
        <f aca="false">IF(B1498="","","payment 1; "&amp;paid_brands!AB48&amp;"; "&amp;paid_brands!AD48&amp;"; invoice "&amp;paid_brands!AI48)</f>
        <v/>
      </c>
      <c r="K1498" s="32" t="s">
        <v>1360</v>
      </c>
    </row>
    <row r="1499" customFormat="false" ht="15" hidden="false" customHeight="false" outlineLevel="0" collapsed="false">
      <c r="A1499" s="23" t="str">
        <f aca="false">IF(B1499="","",B1499+(9*1000+48)/10000000)</f>
        <v/>
      </c>
      <c r="B1499" s="35" t="str">
        <f aca="false">IF(AND(ISNUMBER(paid_brands!AW49),ISNUMBER(paid_brands!AV49),TRIM(paid_brands!AC49)&lt;&gt;"",OR(LEFT(paid_brands!AC49,6)&lt;&gt;"SAMPLE",Config!$B$19="Y")),paid_brands!AW49,"")</f>
        <v/>
      </c>
      <c r="C1499" s="23" t="str">
        <f aca="false">IF(B1499="","","brand")</f>
        <v/>
      </c>
      <c r="D1499" s="23" t="str">
        <f aca="false">IF(B1499="","",IFERROR(INDEX(Brand_Log!$DV$2:$DV$201,MATCH(paid_brands!AC49,Brand_Log!$A$2:$A$201,0))&amp;"",paid_brands!AC49&amp;""))</f>
        <v/>
      </c>
      <c r="E1499" s="23" t="str">
        <f aca="false">IF(B1499="","",IF(paid_brands!C49="","",paid_brands!C49&amp;""))</f>
        <v/>
      </c>
      <c r="F1499" s="23" t="str">
        <f aca="false">IF(B1499="","","paid")</f>
        <v/>
      </c>
      <c r="G1499" s="23" t="str">
        <f aca="false">IF(B1499="","",paid_brands!AV49)</f>
        <v/>
      </c>
      <c r="H1499" s="23" t="str">
        <f aca="false">IF(B1499="","","")</f>
        <v/>
      </c>
      <c r="I1499" s="23" t="str">
        <f aca="false">IF(B1499="","","")</f>
        <v/>
      </c>
      <c r="J1499" s="23" t="str">
        <f aca="false">IF(B1499="","","payment 1; "&amp;paid_brands!AB49&amp;"; "&amp;paid_brands!AD49&amp;"; invoice "&amp;paid_brands!AI49)</f>
        <v/>
      </c>
      <c r="K1499" s="32" t="s">
        <v>1360</v>
      </c>
    </row>
    <row r="1500" customFormat="false" ht="15" hidden="false" customHeight="false" outlineLevel="0" collapsed="false">
      <c r="A1500" s="23" t="str">
        <f aca="false">IF(B1500="","",B1500+(9*1000+49)/10000000)</f>
        <v/>
      </c>
      <c r="B1500" s="35" t="str">
        <f aca="false">IF(AND(ISNUMBER(paid_brands!AW50),ISNUMBER(paid_brands!AV50),TRIM(paid_brands!AC50)&lt;&gt;"",OR(LEFT(paid_brands!AC50,6)&lt;&gt;"SAMPLE",Config!$B$19="Y")),paid_brands!AW50,"")</f>
        <v/>
      </c>
      <c r="C1500" s="23" t="str">
        <f aca="false">IF(B1500="","","brand")</f>
        <v/>
      </c>
      <c r="D1500" s="23" t="str">
        <f aca="false">IF(B1500="","",IFERROR(INDEX(Brand_Log!$DV$2:$DV$201,MATCH(paid_brands!AC50,Brand_Log!$A$2:$A$201,0))&amp;"",paid_brands!AC50&amp;""))</f>
        <v/>
      </c>
      <c r="E1500" s="23" t="str">
        <f aca="false">IF(B1500="","",IF(paid_brands!C50="","",paid_brands!C50&amp;""))</f>
        <v/>
      </c>
      <c r="F1500" s="23" t="str">
        <f aca="false">IF(B1500="","","paid")</f>
        <v/>
      </c>
      <c r="G1500" s="23" t="str">
        <f aca="false">IF(B1500="","",paid_brands!AV50)</f>
        <v/>
      </c>
      <c r="H1500" s="23" t="str">
        <f aca="false">IF(B1500="","","")</f>
        <v/>
      </c>
      <c r="I1500" s="23" t="str">
        <f aca="false">IF(B1500="","","")</f>
        <v/>
      </c>
      <c r="J1500" s="23" t="str">
        <f aca="false">IF(B1500="","","payment 1; "&amp;paid_brands!AB50&amp;"; "&amp;paid_brands!AD50&amp;"; invoice "&amp;paid_brands!AI50)</f>
        <v/>
      </c>
      <c r="K1500" s="32" t="s">
        <v>1360</v>
      </c>
    </row>
    <row r="1501" customFormat="false" ht="15" hidden="false" customHeight="false" outlineLevel="0" collapsed="false">
      <c r="A1501" s="23" t="str">
        <f aca="false">IF(B1501="","",B1501+(9*1000+50)/10000000)</f>
        <v/>
      </c>
      <c r="B1501" s="35" t="str">
        <f aca="false">IF(AND(ISNUMBER(paid_brands!AW51),ISNUMBER(paid_brands!AV51),TRIM(paid_brands!AC51)&lt;&gt;"",OR(LEFT(paid_brands!AC51,6)&lt;&gt;"SAMPLE",Config!$B$19="Y")),paid_brands!AW51,"")</f>
        <v/>
      </c>
      <c r="C1501" s="23" t="str">
        <f aca="false">IF(B1501="","","brand")</f>
        <v/>
      </c>
      <c r="D1501" s="23" t="str">
        <f aca="false">IF(B1501="","",IFERROR(INDEX(Brand_Log!$DV$2:$DV$201,MATCH(paid_brands!AC51,Brand_Log!$A$2:$A$201,0))&amp;"",paid_brands!AC51&amp;""))</f>
        <v/>
      </c>
      <c r="E1501" s="23" t="str">
        <f aca="false">IF(B1501="","",IF(paid_brands!C51="","",paid_brands!C51&amp;""))</f>
        <v/>
      </c>
      <c r="F1501" s="23" t="str">
        <f aca="false">IF(B1501="","","paid")</f>
        <v/>
      </c>
      <c r="G1501" s="23" t="str">
        <f aca="false">IF(B1501="","",paid_brands!AV51)</f>
        <v/>
      </c>
      <c r="H1501" s="23" t="str">
        <f aca="false">IF(B1501="","","")</f>
        <v/>
      </c>
      <c r="I1501" s="23" t="str">
        <f aca="false">IF(B1501="","","")</f>
        <v/>
      </c>
      <c r="J1501" s="23" t="str">
        <f aca="false">IF(B1501="","","payment 1; "&amp;paid_brands!AB51&amp;"; "&amp;paid_brands!AD51&amp;"; invoice "&amp;paid_brands!AI51)</f>
        <v/>
      </c>
      <c r="K1501" s="32" t="s">
        <v>1360</v>
      </c>
    </row>
    <row r="1502" customFormat="false" ht="15" hidden="false" customHeight="false" outlineLevel="0" collapsed="false">
      <c r="A1502" s="23" t="str">
        <f aca="false">IF(B1502="","",B1502+(10*1000+1)/10000000)</f>
        <v/>
      </c>
      <c r="B1502" s="35" t="str">
        <f aca="false">IF(AND(ISNUMBER(paid_brands!AY2),ISNUMBER(paid_brands!AX2),TRIM(paid_brands!AC2)&lt;&gt;"",OR(LEFT(paid_brands!AC2,6)&lt;&gt;"SAMPLE",Config!$B$19="Y")),paid_brands!AY2,"")</f>
        <v/>
      </c>
      <c r="C1502" s="23" t="str">
        <f aca="false">IF(B1502="","","brand")</f>
        <v/>
      </c>
      <c r="D1502" s="23" t="str">
        <f aca="false">IF(B1502="","",IFERROR(INDEX(Brand_Log!$DV$2:$DV$201,MATCH(paid_brands!AC2,Brand_Log!$A$2:$A$201,0))&amp;"",paid_brands!AC2&amp;""))</f>
        <v/>
      </c>
      <c r="E1502" s="23" t="str">
        <f aca="false">IF(B1502="","",IF(paid_brands!C2="","",paid_brands!C2&amp;""))</f>
        <v/>
      </c>
      <c r="F1502" s="23" t="str">
        <f aca="false">IF(B1502="","","paid")</f>
        <v/>
      </c>
      <c r="G1502" s="23" t="str">
        <f aca="false">IF(B1502="","",paid_brands!AX2)</f>
        <v/>
      </c>
      <c r="H1502" s="23" t="str">
        <f aca="false">IF(B1502="","","")</f>
        <v/>
      </c>
      <c r="I1502" s="23" t="str">
        <f aca="false">IF(B1502="","","")</f>
        <v/>
      </c>
      <c r="J1502" s="23" t="str">
        <f aca="false">IF(B1502="","","payment 2; "&amp;paid_brands!AB2&amp;"; "&amp;paid_brands!AD2&amp;"; invoice "&amp;paid_brands!AI2)</f>
        <v/>
      </c>
      <c r="K1502" s="32" t="s">
        <v>1361</v>
      </c>
    </row>
    <row r="1503" customFormat="false" ht="15" hidden="false" customHeight="false" outlineLevel="0" collapsed="false">
      <c r="A1503" s="23" t="str">
        <f aca="false">IF(B1503="","",B1503+(10*1000+2)/10000000)</f>
        <v/>
      </c>
      <c r="B1503" s="35" t="str">
        <f aca="false">IF(AND(ISNUMBER(paid_brands!AY3),ISNUMBER(paid_brands!AX3),TRIM(paid_brands!AC3)&lt;&gt;"",OR(LEFT(paid_brands!AC3,6)&lt;&gt;"SAMPLE",Config!$B$19="Y")),paid_brands!AY3,"")</f>
        <v/>
      </c>
      <c r="C1503" s="23" t="str">
        <f aca="false">IF(B1503="","","brand")</f>
        <v/>
      </c>
      <c r="D1503" s="23" t="str">
        <f aca="false">IF(B1503="","",IFERROR(INDEX(Brand_Log!$DV$2:$DV$201,MATCH(paid_brands!AC3,Brand_Log!$A$2:$A$201,0))&amp;"",paid_brands!AC3&amp;""))</f>
        <v/>
      </c>
      <c r="E1503" s="23" t="str">
        <f aca="false">IF(B1503="","",IF(paid_brands!C3="","",paid_brands!C3&amp;""))</f>
        <v/>
      </c>
      <c r="F1503" s="23" t="str">
        <f aca="false">IF(B1503="","","paid")</f>
        <v/>
      </c>
      <c r="G1503" s="23" t="str">
        <f aca="false">IF(B1503="","",paid_brands!AX3)</f>
        <v/>
      </c>
      <c r="H1503" s="23" t="str">
        <f aca="false">IF(B1503="","","")</f>
        <v/>
      </c>
      <c r="I1503" s="23" t="str">
        <f aca="false">IF(B1503="","","")</f>
        <v/>
      </c>
      <c r="J1503" s="23" t="str">
        <f aca="false">IF(B1503="","","payment 2; "&amp;paid_brands!AB3&amp;"; "&amp;paid_brands!AD3&amp;"; invoice "&amp;paid_brands!AI3)</f>
        <v/>
      </c>
      <c r="K1503" s="32" t="s">
        <v>1361</v>
      </c>
    </row>
    <row r="1504" customFormat="false" ht="15" hidden="false" customHeight="false" outlineLevel="0" collapsed="false">
      <c r="A1504" s="23" t="str">
        <f aca="false">IF(B1504="","",B1504+(10*1000+3)/10000000)</f>
        <v/>
      </c>
      <c r="B1504" s="35" t="str">
        <f aca="false">IF(AND(ISNUMBER(paid_brands!AY4),ISNUMBER(paid_brands!AX4),TRIM(paid_brands!AC4)&lt;&gt;"",OR(LEFT(paid_brands!AC4,6)&lt;&gt;"SAMPLE",Config!$B$19="Y")),paid_brands!AY4,"")</f>
        <v/>
      </c>
      <c r="C1504" s="23" t="str">
        <f aca="false">IF(B1504="","","brand")</f>
        <v/>
      </c>
      <c r="D1504" s="23" t="str">
        <f aca="false">IF(B1504="","",IFERROR(INDEX(Brand_Log!$DV$2:$DV$201,MATCH(paid_brands!AC4,Brand_Log!$A$2:$A$201,0))&amp;"",paid_brands!AC4&amp;""))</f>
        <v/>
      </c>
      <c r="E1504" s="23" t="str">
        <f aca="false">IF(B1504="","",IF(paid_brands!C4="","",paid_brands!C4&amp;""))</f>
        <v/>
      </c>
      <c r="F1504" s="23" t="str">
        <f aca="false">IF(B1504="","","paid")</f>
        <v/>
      </c>
      <c r="G1504" s="23" t="str">
        <f aca="false">IF(B1504="","",paid_brands!AX4)</f>
        <v/>
      </c>
      <c r="H1504" s="23" t="str">
        <f aca="false">IF(B1504="","","")</f>
        <v/>
      </c>
      <c r="I1504" s="23" t="str">
        <f aca="false">IF(B1504="","","")</f>
        <v/>
      </c>
      <c r="J1504" s="23" t="str">
        <f aca="false">IF(B1504="","","payment 2; "&amp;paid_brands!AB4&amp;"; "&amp;paid_brands!AD4&amp;"; invoice "&amp;paid_brands!AI4)</f>
        <v/>
      </c>
      <c r="K1504" s="32" t="s">
        <v>1361</v>
      </c>
    </row>
    <row r="1505" customFormat="false" ht="15" hidden="false" customHeight="false" outlineLevel="0" collapsed="false">
      <c r="A1505" s="23" t="str">
        <f aca="false">IF(B1505="","",B1505+(10*1000+4)/10000000)</f>
        <v/>
      </c>
      <c r="B1505" s="35" t="str">
        <f aca="false">IF(AND(ISNUMBER(paid_brands!AY5),ISNUMBER(paid_brands!AX5),TRIM(paid_brands!AC5)&lt;&gt;"",OR(LEFT(paid_brands!AC5,6)&lt;&gt;"SAMPLE",Config!$B$19="Y")),paid_brands!AY5,"")</f>
        <v/>
      </c>
      <c r="C1505" s="23" t="str">
        <f aca="false">IF(B1505="","","brand")</f>
        <v/>
      </c>
      <c r="D1505" s="23" t="str">
        <f aca="false">IF(B1505="","",IFERROR(INDEX(Brand_Log!$DV$2:$DV$201,MATCH(paid_brands!AC5,Brand_Log!$A$2:$A$201,0))&amp;"",paid_brands!AC5&amp;""))</f>
        <v/>
      </c>
      <c r="E1505" s="23" t="str">
        <f aca="false">IF(B1505="","",IF(paid_brands!C5="","",paid_brands!C5&amp;""))</f>
        <v/>
      </c>
      <c r="F1505" s="23" t="str">
        <f aca="false">IF(B1505="","","paid")</f>
        <v/>
      </c>
      <c r="G1505" s="23" t="str">
        <f aca="false">IF(B1505="","",paid_brands!AX5)</f>
        <v/>
      </c>
      <c r="H1505" s="23" t="str">
        <f aca="false">IF(B1505="","","")</f>
        <v/>
      </c>
      <c r="I1505" s="23" t="str">
        <f aca="false">IF(B1505="","","")</f>
        <v/>
      </c>
      <c r="J1505" s="23" t="str">
        <f aca="false">IF(B1505="","","payment 2; "&amp;paid_brands!AB5&amp;"; "&amp;paid_brands!AD5&amp;"; invoice "&amp;paid_brands!AI5)</f>
        <v/>
      </c>
      <c r="K1505" s="32" t="s">
        <v>1361</v>
      </c>
    </row>
    <row r="1506" customFormat="false" ht="15" hidden="false" customHeight="false" outlineLevel="0" collapsed="false">
      <c r="A1506" s="23" t="str">
        <f aca="false">IF(B1506="","",B1506+(10*1000+5)/10000000)</f>
        <v/>
      </c>
      <c r="B1506" s="35" t="str">
        <f aca="false">IF(AND(ISNUMBER(paid_brands!AY6),ISNUMBER(paid_brands!AX6),TRIM(paid_brands!AC6)&lt;&gt;"",OR(LEFT(paid_brands!AC6,6)&lt;&gt;"SAMPLE",Config!$B$19="Y")),paid_brands!AY6,"")</f>
        <v/>
      </c>
      <c r="C1506" s="23" t="str">
        <f aca="false">IF(B1506="","","brand")</f>
        <v/>
      </c>
      <c r="D1506" s="23" t="str">
        <f aca="false">IF(B1506="","",IFERROR(INDEX(Brand_Log!$DV$2:$DV$201,MATCH(paid_brands!AC6,Brand_Log!$A$2:$A$201,0))&amp;"",paid_brands!AC6&amp;""))</f>
        <v/>
      </c>
      <c r="E1506" s="23" t="str">
        <f aca="false">IF(B1506="","",IF(paid_brands!C6="","",paid_brands!C6&amp;""))</f>
        <v/>
      </c>
      <c r="F1506" s="23" t="str">
        <f aca="false">IF(B1506="","","paid")</f>
        <v/>
      </c>
      <c r="G1506" s="23" t="str">
        <f aca="false">IF(B1506="","",paid_brands!AX6)</f>
        <v/>
      </c>
      <c r="H1506" s="23" t="str">
        <f aca="false">IF(B1506="","","")</f>
        <v/>
      </c>
      <c r="I1506" s="23" t="str">
        <f aca="false">IF(B1506="","","")</f>
        <v/>
      </c>
      <c r="J1506" s="23" t="str">
        <f aca="false">IF(B1506="","","payment 2; "&amp;paid_brands!AB6&amp;"; "&amp;paid_brands!AD6&amp;"; invoice "&amp;paid_brands!AI6)</f>
        <v/>
      </c>
      <c r="K1506" s="32" t="s">
        <v>1361</v>
      </c>
    </row>
    <row r="1507" customFormat="false" ht="15" hidden="false" customHeight="false" outlineLevel="0" collapsed="false">
      <c r="A1507" s="23" t="str">
        <f aca="false">IF(B1507="","",B1507+(10*1000+6)/10000000)</f>
        <v/>
      </c>
      <c r="B1507" s="35" t="str">
        <f aca="false">IF(AND(ISNUMBER(paid_brands!AY7),ISNUMBER(paid_brands!AX7),TRIM(paid_brands!AC7)&lt;&gt;"",OR(LEFT(paid_brands!AC7,6)&lt;&gt;"SAMPLE",Config!$B$19="Y")),paid_brands!AY7,"")</f>
        <v/>
      </c>
      <c r="C1507" s="23" t="str">
        <f aca="false">IF(B1507="","","brand")</f>
        <v/>
      </c>
      <c r="D1507" s="23" t="str">
        <f aca="false">IF(B1507="","",IFERROR(INDEX(Brand_Log!$DV$2:$DV$201,MATCH(paid_brands!AC7,Brand_Log!$A$2:$A$201,0))&amp;"",paid_brands!AC7&amp;""))</f>
        <v/>
      </c>
      <c r="E1507" s="23" t="str">
        <f aca="false">IF(B1507="","",IF(paid_brands!C7="","",paid_brands!C7&amp;""))</f>
        <v/>
      </c>
      <c r="F1507" s="23" t="str">
        <f aca="false">IF(B1507="","","paid")</f>
        <v/>
      </c>
      <c r="G1507" s="23" t="str">
        <f aca="false">IF(B1507="","",paid_brands!AX7)</f>
        <v/>
      </c>
      <c r="H1507" s="23" t="str">
        <f aca="false">IF(B1507="","","")</f>
        <v/>
      </c>
      <c r="I1507" s="23" t="str">
        <f aca="false">IF(B1507="","","")</f>
        <v/>
      </c>
      <c r="J1507" s="23" t="str">
        <f aca="false">IF(B1507="","","payment 2; "&amp;paid_brands!AB7&amp;"; "&amp;paid_brands!AD7&amp;"; invoice "&amp;paid_brands!AI7)</f>
        <v/>
      </c>
      <c r="K1507" s="32" t="s">
        <v>1361</v>
      </c>
    </row>
    <row r="1508" customFormat="false" ht="15" hidden="false" customHeight="false" outlineLevel="0" collapsed="false">
      <c r="A1508" s="23" t="str">
        <f aca="false">IF(B1508="","",B1508+(10*1000+7)/10000000)</f>
        <v/>
      </c>
      <c r="B1508" s="35" t="str">
        <f aca="false">IF(AND(ISNUMBER(paid_brands!AY8),ISNUMBER(paid_brands!AX8),TRIM(paid_brands!AC8)&lt;&gt;"",OR(LEFT(paid_brands!AC8,6)&lt;&gt;"SAMPLE",Config!$B$19="Y")),paid_brands!AY8,"")</f>
        <v/>
      </c>
      <c r="C1508" s="23" t="str">
        <f aca="false">IF(B1508="","","brand")</f>
        <v/>
      </c>
      <c r="D1508" s="23" t="str">
        <f aca="false">IF(B1508="","",IFERROR(INDEX(Brand_Log!$DV$2:$DV$201,MATCH(paid_brands!AC8,Brand_Log!$A$2:$A$201,0))&amp;"",paid_brands!AC8&amp;""))</f>
        <v/>
      </c>
      <c r="E1508" s="23" t="str">
        <f aca="false">IF(B1508="","",IF(paid_brands!C8="","",paid_brands!C8&amp;""))</f>
        <v/>
      </c>
      <c r="F1508" s="23" t="str">
        <f aca="false">IF(B1508="","","paid")</f>
        <v/>
      </c>
      <c r="G1508" s="23" t="str">
        <f aca="false">IF(B1508="","",paid_brands!AX8)</f>
        <v/>
      </c>
      <c r="H1508" s="23" t="str">
        <f aca="false">IF(B1508="","","")</f>
        <v/>
      </c>
      <c r="I1508" s="23" t="str">
        <f aca="false">IF(B1508="","","")</f>
        <v/>
      </c>
      <c r="J1508" s="23" t="str">
        <f aca="false">IF(B1508="","","payment 2; "&amp;paid_brands!AB8&amp;"; "&amp;paid_brands!AD8&amp;"; invoice "&amp;paid_brands!AI8)</f>
        <v/>
      </c>
      <c r="K1508" s="32" t="s">
        <v>1361</v>
      </c>
    </row>
    <row r="1509" customFormat="false" ht="15" hidden="false" customHeight="false" outlineLevel="0" collapsed="false">
      <c r="A1509" s="23" t="str">
        <f aca="false">IF(B1509="","",B1509+(10*1000+8)/10000000)</f>
        <v/>
      </c>
      <c r="B1509" s="35" t="str">
        <f aca="false">IF(AND(ISNUMBER(paid_brands!AY9),ISNUMBER(paid_brands!AX9),TRIM(paid_brands!AC9)&lt;&gt;"",OR(LEFT(paid_brands!AC9,6)&lt;&gt;"SAMPLE",Config!$B$19="Y")),paid_brands!AY9,"")</f>
        <v/>
      </c>
      <c r="C1509" s="23" t="str">
        <f aca="false">IF(B1509="","","brand")</f>
        <v/>
      </c>
      <c r="D1509" s="23" t="str">
        <f aca="false">IF(B1509="","",IFERROR(INDEX(Brand_Log!$DV$2:$DV$201,MATCH(paid_brands!AC9,Brand_Log!$A$2:$A$201,0))&amp;"",paid_brands!AC9&amp;""))</f>
        <v/>
      </c>
      <c r="E1509" s="23" t="str">
        <f aca="false">IF(B1509="","",IF(paid_brands!C9="","",paid_brands!C9&amp;""))</f>
        <v/>
      </c>
      <c r="F1509" s="23" t="str">
        <f aca="false">IF(B1509="","","paid")</f>
        <v/>
      </c>
      <c r="G1509" s="23" t="str">
        <f aca="false">IF(B1509="","",paid_brands!AX9)</f>
        <v/>
      </c>
      <c r="H1509" s="23" t="str">
        <f aca="false">IF(B1509="","","")</f>
        <v/>
      </c>
      <c r="I1509" s="23" t="str">
        <f aca="false">IF(B1509="","","")</f>
        <v/>
      </c>
      <c r="J1509" s="23" t="str">
        <f aca="false">IF(B1509="","","payment 2; "&amp;paid_brands!AB9&amp;"; "&amp;paid_brands!AD9&amp;"; invoice "&amp;paid_brands!AI9)</f>
        <v/>
      </c>
      <c r="K1509" s="32" t="s">
        <v>1361</v>
      </c>
    </row>
    <row r="1510" customFormat="false" ht="15" hidden="false" customHeight="false" outlineLevel="0" collapsed="false">
      <c r="A1510" s="23" t="str">
        <f aca="false">IF(B1510="","",B1510+(10*1000+9)/10000000)</f>
        <v/>
      </c>
      <c r="B1510" s="35" t="str">
        <f aca="false">IF(AND(ISNUMBER(paid_brands!AY10),ISNUMBER(paid_brands!AX10),TRIM(paid_brands!AC10)&lt;&gt;"",OR(LEFT(paid_brands!AC10,6)&lt;&gt;"SAMPLE",Config!$B$19="Y")),paid_brands!AY10,"")</f>
        <v/>
      </c>
      <c r="C1510" s="23" t="str">
        <f aca="false">IF(B1510="","","brand")</f>
        <v/>
      </c>
      <c r="D1510" s="23" t="str">
        <f aca="false">IF(B1510="","",IFERROR(INDEX(Brand_Log!$DV$2:$DV$201,MATCH(paid_brands!AC10,Brand_Log!$A$2:$A$201,0))&amp;"",paid_brands!AC10&amp;""))</f>
        <v/>
      </c>
      <c r="E1510" s="23" t="str">
        <f aca="false">IF(B1510="","",IF(paid_brands!C10="","",paid_brands!C10&amp;""))</f>
        <v/>
      </c>
      <c r="F1510" s="23" t="str">
        <f aca="false">IF(B1510="","","paid")</f>
        <v/>
      </c>
      <c r="G1510" s="23" t="str">
        <f aca="false">IF(B1510="","",paid_brands!AX10)</f>
        <v/>
      </c>
      <c r="H1510" s="23" t="str">
        <f aca="false">IF(B1510="","","")</f>
        <v/>
      </c>
      <c r="I1510" s="23" t="str">
        <f aca="false">IF(B1510="","","")</f>
        <v/>
      </c>
      <c r="J1510" s="23" t="str">
        <f aca="false">IF(B1510="","","payment 2; "&amp;paid_brands!AB10&amp;"; "&amp;paid_brands!AD10&amp;"; invoice "&amp;paid_brands!AI10)</f>
        <v/>
      </c>
      <c r="K1510" s="32" t="s">
        <v>1361</v>
      </c>
    </row>
    <row r="1511" customFormat="false" ht="15" hidden="false" customHeight="false" outlineLevel="0" collapsed="false">
      <c r="A1511" s="23" t="str">
        <f aca="false">IF(B1511="","",B1511+(10*1000+10)/10000000)</f>
        <v/>
      </c>
      <c r="B1511" s="35" t="str">
        <f aca="false">IF(AND(ISNUMBER(paid_brands!AY11),ISNUMBER(paid_brands!AX11),TRIM(paid_brands!AC11)&lt;&gt;"",OR(LEFT(paid_brands!AC11,6)&lt;&gt;"SAMPLE",Config!$B$19="Y")),paid_brands!AY11,"")</f>
        <v/>
      </c>
      <c r="C1511" s="23" t="str">
        <f aca="false">IF(B1511="","","brand")</f>
        <v/>
      </c>
      <c r="D1511" s="23" t="str">
        <f aca="false">IF(B1511="","",IFERROR(INDEX(Brand_Log!$DV$2:$DV$201,MATCH(paid_brands!AC11,Brand_Log!$A$2:$A$201,0))&amp;"",paid_brands!AC11&amp;""))</f>
        <v/>
      </c>
      <c r="E1511" s="23" t="str">
        <f aca="false">IF(B1511="","",IF(paid_brands!C11="","",paid_brands!C11&amp;""))</f>
        <v/>
      </c>
      <c r="F1511" s="23" t="str">
        <f aca="false">IF(B1511="","","paid")</f>
        <v/>
      </c>
      <c r="G1511" s="23" t="str">
        <f aca="false">IF(B1511="","",paid_brands!AX11)</f>
        <v/>
      </c>
      <c r="H1511" s="23" t="str">
        <f aca="false">IF(B1511="","","")</f>
        <v/>
      </c>
      <c r="I1511" s="23" t="str">
        <f aca="false">IF(B1511="","","")</f>
        <v/>
      </c>
      <c r="J1511" s="23" t="str">
        <f aca="false">IF(B1511="","","payment 2; "&amp;paid_brands!AB11&amp;"; "&amp;paid_brands!AD11&amp;"; invoice "&amp;paid_brands!AI11)</f>
        <v/>
      </c>
      <c r="K1511" s="32" t="s">
        <v>1361</v>
      </c>
    </row>
    <row r="1512" customFormat="false" ht="15" hidden="false" customHeight="false" outlineLevel="0" collapsed="false">
      <c r="A1512" s="23" t="str">
        <f aca="false">IF(B1512="","",B1512+(10*1000+11)/10000000)</f>
        <v/>
      </c>
      <c r="B1512" s="35" t="str">
        <f aca="false">IF(AND(ISNUMBER(paid_brands!AY12),ISNUMBER(paid_brands!AX12),TRIM(paid_brands!AC12)&lt;&gt;"",OR(LEFT(paid_brands!AC12,6)&lt;&gt;"SAMPLE",Config!$B$19="Y")),paid_brands!AY12,"")</f>
        <v/>
      </c>
      <c r="C1512" s="23" t="str">
        <f aca="false">IF(B1512="","","brand")</f>
        <v/>
      </c>
      <c r="D1512" s="23" t="str">
        <f aca="false">IF(B1512="","",IFERROR(INDEX(Brand_Log!$DV$2:$DV$201,MATCH(paid_brands!AC12,Brand_Log!$A$2:$A$201,0))&amp;"",paid_brands!AC12&amp;""))</f>
        <v/>
      </c>
      <c r="E1512" s="23" t="str">
        <f aca="false">IF(B1512="","",IF(paid_brands!C12="","",paid_brands!C12&amp;""))</f>
        <v/>
      </c>
      <c r="F1512" s="23" t="str">
        <f aca="false">IF(B1512="","","paid")</f>
        <v/>
      </c>
      <c r="G1512" s="23" t="str">
        <f aca="false">IF(B1512="","",paid_brands!AX12)</f>
        <v/>
      </c>
      <c r="H1512" s="23" t="str">
        <f aca="false">IF(B1512="","","")</f>
        <v/>
      </c>
      <c r="I1512" s="23" t="str">
        <f aca="false">IF(B1512="","","")</f>
        <v/>
      </c>
      <c r="J1512" s="23" t="str">
        <f aca="false">IF(B1512="","","payment 2; "&amp;paid_brands!AB12&amp;"; "&amp;paid_brands!AD12&amp;"; invoice "&amp;paid_brands!AI12)</f>
        <v/>
      </c>
      <c r="K1512" s="32" t="s">
        <v>1361</v>
      </c>
    </row>
    <row r="1513" customFormat="false" ht="15" hidden="false" customHeight="false" outlineLevel="0" collapsed="false">
      <c r="A1513" s="23" t="str">
        <f aca="false">IF(B1513="","",B1513+(10*1000+12)/10000000)</f>
        <v/>
      </c>
      <c r="B1513" s="35" t="str">
        <f aca="false">IF(AND(ISNUMBER(paid_brands!AY13),ISNUMBER(paid_brands!AX13),TRIM(paid_brands!AC13)&lt;&gt;"",OR(LEFT(paid_brands!AC13,6)&lt;&gt;"SAMPLE",Config!$B$19="Y")),paid_brands!AY13,"")</f>
        <v/>
      </c>
      <c r="C1513" s="23" t="str">
        <f aca="false">IF(B1513="","","brand")</f>
        <v/>
      </c>
      <c r="D1513" s="23" t="str">
        <f aca="false">IF(B1513="","",IFERROR(INDEX(Brand_Log!$DV$2:$DV$201,MATCH(paid_brands!AC13,Brand_Log!$A$2:$A$201,0))&amp;"",paid_brands!AC13&amp;""))</f>
        <v/>
      </c>
      <c r="E1513" s="23" t="str">
        <f aca="false">IF(B1513="","",IF(paid_brands!C13="","",paid_brands!C13&amp;""))</f>
        <v/>
      </c>
      <c r="F1513" s="23" t="str">
        <f aca="false">IF(B1513="","","paid")</f>
        <v/>
      </c>
      <c r="G1513" s="23" t="str">
        <f aca="false">IF(B1513="","",paid_brands!AX13)</f>
        <v/>
      </c>
      <c r="H1513" s="23" t="str">
        <f aca="false">IF(B1513="","","")</f>
        <v/>
      </c>
      <c r="I1513" s="23" t="str">
        <f aca="false">IF(B1513="","","")</f>
        <v/>
      </c>
      <c r="J1513" s="23" t="str">
        <f aca="false">IF(B1513="","","payment 2; "&amp;paid_brands!AB13&amp;"; "&amp;paid_brands!AD13&amp;"; invoice "&amp;paid_brands!AI13)</f>
        <v/>
      </c>
      <c r="K1513" s="32" t="s">
        <v>1361</v>
      </c>
    </row>
    <row r="1514" customFormat="false" ht="15" hidden="false" customHeight="false" outlineLevel="0" collapsed="false">
      <c r="A1514" s="23" t="str">
        <f aca="false">IF(B1514="","",B1514+(10*1000+13)/10000000)</f>
        <v/>
      </c>
      <c r="B1514" s="35" t="str">
        <f aca="false">IF(AND(ISNUMBER(paid_brands!AY14),ISNUMBER(paid_brands!AX14),TRIM(paid_brands!AC14)&lt;&gt;"",OR(LEFT(paid_brands!AC14,6)&lt;&gt;"SAMPLE",Config!$B$19="Y")),paid_brands!AY14,"")</f>
        <v/>
      </c>
      <c r="C1514" s="23" t="str">
        <f aca="false">IF(B1514="","","brand")</f>
        <v/>
      </c>
      <c r="D1514" s="23" t="str">
        <f aca="false">IF(B1514="","",IFERROR(INDEX(Brand_Log!$DV$2:$DV$201,MATCH(paid_brands!AC14,Brand_Log!$A$2:$A$201,0))&amp;"",paid_brands!AC14&amp;""))</f>
        <v/>
      </c>
      <c r="E1514" s="23" t="str">
        <f aca="false">IF(B1514="","",IF(paid_brands!C14="","",paid_brands!C14&amp;""))</f>
        <v/>
      </c>
      <c r="F1514" s="23" t="str">
        <f aca="false">IF(B1514="","","paid")</f>
        <v/>
      </c>
      <c r="G1514" s="23" t="str">
        <f aca="false">IF(B1514="","",paid_brands!AX14)</f>
        <v/>
      </c>
      <c r="H1514" s="23" t="str">
        <f aca="false">IF(B1514="","","")</f>
        <v/>
      </c>
      <c r="I1514" s="23" t="str">
        <f aca="false">IF(B1514="","","")</f>
        <v/>
      </c>
      <c r="J1514" s="23" t="str">
        <f aca="false">IF(B1514="","","payment 2; "&amp;paid_brands!AB14&amp;"; "&amp;paid_brands!AD14&amp;"; invoice "&amp;paid_brands!AI14)</f>
        <v/>
      </c>
      <c r="K1514" s="32" t="s">
        <v>1361</v>
      </c>
    </row>
    <row r="1515" customFormat="false" ht="15" hidden="false" customHeight="false" outlineLevel="0" collapsed="false">
      <c r="A1515" s="23" t="str">
        <f aca="false">IF(B1515="","",B1515+(10*1000+14)/10000000)</f>
        <v/>
      </c>
      <c r="B1515" s="35" t="str">
        <f aca="false">IF(AND(ISNUMBER(paid_brands!AY15),ISNUMBER(paid_brands!AX15),TRIM(paid_brands!AC15)&lt;&gt;"",OR(LEFT(paid_brands!AC15,6)&lt;&gt;"SAMPLE",Config!$B$19="Y")),paid_brands!AY15,"")</f>
        <v/>
      </c>
      <c r="C1515" s="23" t="str">
        <f aca="false">IF(B1515="","","brand")</f>
        <v/>
      </c>
      <c r="D1515" s="23" t="str">
        <f aca="false">IF(B1515="","",IFERROR(INDEX(Brand_Log!$DV$2:$DV$201,MATCH(paid_brands!AC15,Brand_Log!$A$2:$A$201,0))&amp;"",paid_brands!AC15&amp;""))</f>
        <v/>
      </c>
      <c r="E1515" s="23" t="str">
        <f aca="false">IF(B1515="","",IF(paid_brands!C15="","",paid_brands!C15&amp;""))</f>
        <v/>
      </c>
      <c r="F1515" s="23" t="str">
        <f aca="false">IF(B1515="","","paid")</f>
        <v/>
      </c>
      <c r="G1515" s="23" t="str">
        <f aca="false">IF(B1515="","",paid_brands!AX15)</f>
        <v/>
      </c>
      <c r="H1515" s="23" t="str">
        <f aca="false">IF(B1515="","","")</f>
        <v/>
      </c>
      <c r="I1515" s="23" t="str">
        <f aca="false">IF(B1515="","","")</f>
        <v/>
      </c>
      <c r="J1515" s="23" t="str">
        <f aca="false">IF(B1515="","","payment 2; "&amp;paid_brands!AB15&amp;"; "&amp;paid_brands!AD15&amp;"; invoice "&amp;paid_brands!AI15)</f>
        <v/>
      </c>
      <c r="K1515" s="32" t="s">
        <v>1361</v>
      </c>
    </row>
    <row r="1516" customFormat="false" ht="15" hidden="false" customHeight="false" outlineLevel="0" collapsed="false">
      <c r="A1516" s="23" t="str">
        <f aca="false">IF(B1516="","",B1516+(10*1000+15)/10000000)</f>
        <v/>
      </c>
      <c r="B1516" s="35" t="str">
        <f aca="false">IF(AND(ISNUMBER(paid_brands!AY16),ISNUMBER(paid_brands!AX16),TRIM(paid_brands!AC16)&lt;&gt;"",OR(LEFT(paid_brands!AC16,6)&lt;&gt;"SAMPLE",Config!$B$19="Y")),paid_brands!AY16,"")</f>
        <v/>
      </c>
      <c r="C1516" s="23" t="str">
        <f aca="false">IF(B1516="","","brand")</f>
        <v/>
      </c>
      <c r="D1516" s="23" t="str">
        <f aca="false">IF(B1516="","",IFERROR(INDEX(Brand_Log!$DV$2:$DV$201,MATCH(paid_brands!AC16,Brand_Log!$A$2:$A$201,0))&amp;"",paid_brands!AC16&amp;""))</f>
        <v/>
      </c>
      <c r="E1516" s="23" t="str">
        <f aca="false">IF(B1516="","",IF(paid_brands!C16="","",paid_brands!C16&amp;""))</f>
        <v/>
      </c>
      <c r="F1516" s="23" t="str">
        <f aca="false">IF(B1516="","","paid")</f>
        <v/>
      </c>
      <c r="G1516" s="23" t="str">
        <f aca="false">IF(B1516="","",paid_brands!AX16)</f>
        <v/>
      </c>
      <c r="H1516" s="23" t="str">
        <f aca="false">IF(B1516="","","")</f>
        <v/>
      </c>
      <c r="I1516" s="23" t="str">
        <f aca="false">IF(B1516="","","")</f>
        <v/>
      </c>
      <c r="J1516" s="23" t="str">
        <f aca="false">IF(B1516="","","payment 2; "&amp;paid_brands!AB16&amp;"; "&amp;paid_brands!AD16&amp;"; invoice "&amp;paid_brands!AI16)</f>
        <v/>
      </c>
      <c r="K1516" s="32" t="s">
        <v>1361</v>
      </c>
    </row>
    <row r="1517" customFormat="false" ht="15" hidden="false" customHeight="false" outlineLevel="0" collapsed="false">
      <c r="A1517" s="23" t="str">
        <f aca="false">IF(B1517="","",B1517+(10*1000+16)/10000000)</f>
        <v/>
      </c>
      <c r="B1517" s="35" t="str">
        <f aca="false">IF(AND(ISNUMBER(paid_brands!AY17),ISNUMBER(paid_brands!AX17),TRIM(paid_brands!AC17)&lt;&gt;"",OR(LEFT(paid_brands!AC17,6)&lt;&gt;"SAMPLE",Config!$B$19="Y")),paid_brands!AY17,"")</f>
        <v/>
      </c>
      <c r="C1517" s="23" t="str">
        <f aca="false">IF(B1517="","","brand")</f>
        <v/>
      </c>
      <c r="D1517" s="23" t="str">
        <f aca="false">IF(B1517="","",IFERROR(INDEX(Brand_Log!$DV$2:$DV$201,MATCH(paid_brands!AC17,Brand_Log!$A$2:$A$201,0))&amp;"",paid_brands!AC17&amp;""))</f>
        <v/>
      </c>
      <c r="E1517" s="23" t="str">
        <f aca="false">IF(B1517="","",IF(paid_brands!C17="","",paid_brands!C17&amp;""))</f>
        <v/>
      </c>
      <c r="F1517" s="23" t="str">
        <f aca="false">IF(B1517="","","paid")</f>
        <v/>
      </c>
      <c r="G1517" s="23" t="str">
        <f aca="false">IF(B1517="","",paid_brands!AX17)</f>
        <v/>
      </c>
      <c r="H1517" s="23" t="str">
        <f aca="false">IF(B1517="","","")</f>
        <v/>
      </c>
      <c r="I1517" s="23" t="str">
        <f aca="false">IF(B1517="","","")</f>
        <v/>
      </c>
      <c r="J1517" s="23" t="str">
        <f aca="false">IF(B1517="","","payment 2; "&amp;paid_brands!AB17&amp;"; "&amp;paid_brands!AD17&amp;"; invoice "&amp;paid_brands!AI17)</f>
        <v/>
      </c>
      <c r="K1517" s="32" t="s">
        <v>1361</v>
      </c>
    </row>
    <row r="1518" customFormat="false" ht="15" hidden="false" customHeight="false" outlineLevel="0" collapsed="false">
      <c r="A1518" s="23" t="str">
        <f aca="false">IF(B1518="","",B1518+(10*1000+17)/10000000)</f>
        <v/>
      </c>
      <c r="B1518" s="35" t="str">
        <f aca="false">IF(AND(ISNUMBER(paid_brands!AY18),ISNUMBER(paid_brands!AX18),TRIM(paid_brands!AC18)&lt;&gt;"",OR(LEFT(paid_brands!AC18,6)&lt;&gt;"SAMPLE",Config!$B$19="Y")),paid_brands!AY18,"")</f>
        <v/>
      </c>
      <c r="C1518" s="23" t="str">
        <f aca="false">IF(B1518="","","brand")</f>
        <v/>
      </c>
      <c r="D1518" s="23" t="str">
        <f aca="false">IF(B1518="","",IFERROR(INDEX(Brand_Log!$DV$2:$DV$201,MATCH(paid_brands!AC18,Brand_Log!$A$2:$A$201,0))&amp;"",paid_brands!AC18&amp;""))</f>
        <v/>
      </c>
      <c r="E1518" s="23" t="str">
        <f aca="false">IF(B1518="","",IF(paid_brands!C18="","",paid_brands!C18&amp;""))</f>
        <v/>
      </c>
      <c r="F1518" s="23" t="str">
        <f aca="false">IF(B1518="","","paid")</f>
        <v/>
      </c>
      <c r="G1518" s="23" t="str">
        <f aca="false">IF(B1518="","",paid_brands!AX18)</f>
        <v/>
      </c>
      <c r="H1518" s="23" t="str">
        <f aca="false">IF(B1518="","","")</f>
        <v/>
      </c>
      <c r="I1518" s="23" t="str">
        <f aca="false">IF(B1518="","","")</f>
        <v/>
      </c>
      <c r="J1518" s="23" t="str">
        <f aca="false">IF(B1518="","","payment 2; "&amp;paid_brands!AB18&amp;"; "&amp;paid_brands!AD18&amp;"; invoice "&amp;paid_brands!AI18)</f>
        <v/>
      </c>
      <c r="K1518" s="32" t="s">
        <v>1361</v>
      </c>
    </row>
    <row r="1519" customFormat="false" ht="15" hidden="false" customHeight="false" outlineLevel="0" collapsed="false">
      <c r="A1519" s="23" t="str">
        <f aca="false">IF(B1519="","",B1519+(10*1000+18)/10000000)</f>
        <v/>
      </c>
      <c r="B1519" s="35" t="str">
        <f aca="false">IF(AND(ISNUMBER(paid_brands!AY19),ISNUMBER(paid_brands!AX19),TRIM(paid_brands!AC19)&lt;&gt;"",OR(LEFT(paid_brands!AC19,6)&lt;&gt;"SAMPLE",Config!$B$19="Y")),paid_brands!AY19,"")</f>
        <v/>
      </c>
      <c r="C1519" s="23" t="str">
        <f aca="false">IF(B1519="","","brand")</f>
        <v/>
      </c>
      <c r="D1519" s="23" t="str">
        <f aca="false">IF(B1519="","",IFERROR(INDEX(Brand_Log!$DV$2:$DV$201,MATCH(paid_brands!AC19,Brand_Log!$A$2:$A$201,0))&amp;"",paid_brands!AC19&amp;""))</f>
        <v/>
      </c>
      <c r="E1519" s="23" t="str">
        <f aca="false">IF(B1519="","",IF(paid_brands!C19="","",paid_brands!C19&amp;""))</f>
        <v/>
      </c>
      <c r="F1519" s="23" t="str">
        <f aca="false">IF(B1519="","","paid")</f>
        <v/>
      </c>
      <c r="G1519" s="23" t="str">
        <f aca="false">IF(B1519="","",paid_brands!AX19)</f>
        <v/>
      </c>
      <c r="H1519" s="23" t="str">
        <f aca="false">IF(B1519="","","")</f>
        <v/>
      </c>
      <c r="I1519" s="23" t="str">
        <f aca="false">IF(B1519="","","")</f>
        <v/>
      </c>
      <c r="J1519" s="23" t="str">
        <f aca="false">IF(B1519="","","payment 2; "&amp;paid_brands!AB19&amp;"; "&amp;paid_brands!AD19&amp;"; invoice "&amp;paid_brands!AI19)</f>
        <v/>
      </c>
      <c r="K1519" s="32" t="s">
        <v>1361</v>
      </c>
    </row>
    <row r="1520" customFormat="false" ht="15" hidden="false" customHeight="false" outlineLevel="0" collapsed="false">
      <c r="A1520" s="23" t="str">
        <f aca="false">IF(B1520="","",B1520+(10*1000+19)/10000000)</f>
        <v/>
      </c>
      <c r="B1520" s="35" t="str">
        <f aca="false">IF(AND(ISNUMBER(paid_brands!AY20),ISNUMBER(paid_brands!AX20),TRIM(paid_brands!AC20)&lt;&gt;"",OR(LEFT(paid_brands!AC20,6)&lt;&gt;"SAMPLE",Config!$B$19="Y")),paid_brands!AY20,"")</f>
        <v/>
      </c>
      <c r="C1520" s="23" t="str">
        <f aca="false">IF(B1520="","","brand")</f>
        <v/>
      </c>
      <c r="D1520" s="23" t="str">
        <f aca="false">IF(B1520="","",IFERROR(INDEX(Brand_Log!$DV$2:$DV$201,MATCH(paid_brands!AC20,Brand_Log!$A$2:$A$201,0))&amp;"",paid_brands!AC20&amp;""))</f>
        <v/>
      </c>
      <c r="E1520" s="23" t="str">
        <f aca="false">IF(B1520="","",IF(paid_brands!C20="","",paid_brands!C20&amp;""))</f>
        <v/>
      </c>
      <c r="F1520" s="23" t="str">
        <f aca="false">IF(B1520="","","paid")</f>
        <v/>
      </c>
      <c r="G1520" s="23" t="str">
        <f aca="false">IF(B1520="","",paid_brands!AX20)</f>
        <v/>
      </c>
      <c r="H1520" s="23" t="str">
        <f aca="false">IF(B1520="","","")</f>
        <v/>
      </c>
      <c r="I1520" s="23" t="str">
        <f aca="false">IF(B1520="","","")</f>
        <v/>
      </c>
      <c r="J1520" s="23" t="str">
        <f aca="false">IF(B1520="","","payment 2; "&amp;paid_brands!AB20&amp;"; "&amp;paid_brands!AD20&amp;"; invoice "&amp;paid_brands!AI20)</f>
        <v/>
      </c>
      <c r="K1520" s="32" t="s">
        <v>1361</v>
      </c>
    </row>
    <row r="1521" customFormat="false" ht="15" hidden="false" customHeight="false" outlineLevel="0" collapsed="false">
      <c r="A1521" s="23" t="str">
        <f aca="false">IF(B1521="","",B1521+(10*1000+20)/10000000)</f>
        <v/>
      </c>
      <c r="B1521" s="35" t="str">
        <f aca="false">IF(AND(ISNUMBER(paid_brands!AY21),ISNUMBER(paid_brands!AX21),TRIM(paid_brands!AC21)&lt;&gt;"",OR(LEFT(paid_brands!AC21,6)&lt;&gt;"SAMPLE",Config!$B$19="Y")),paid_brands!AY21,"")</f>
        <v/>
      </c>
      <c r="C1521" s="23" t="str">
        <f aca="false">IF(B1521="","","brand")</f>
        <v/>
      </c>
      <c r="D1521" s="23" t="str">
        <f aca="false">IF(B1521="","",IFERROR(INDEX(Brand_Log!$DV$2:$DV$201,MATCH(paid_brands!AC21,Brand_Log!$A$2:$A$201,0))&amp;"",paid_brands!AC21&amp;""))</f>
        <v/>
      </c>
      <c r="E1521" s="23" t="str">
        <f aca="false">IF(B1521="","",IF(paid_brands!C21="","",paid_brands!C21&amp;""))</f>
        <v/>
      </c>
      <c r="F1521" s="23" t="str">
        <f aca="false">IF(B1521="","","paid")</f>
        <v/>
      </c>
      <c r="G1521" s="23" t="str">
        <f aca="false">IF(B1521="","",paid_brands!AX21)</f>
        <v/>
      </c>
      <c r="H1521" s="23" t="str">
        <f aca="false">IF(B1521="","","")</f>
        <v/>
      </c>
      <c r="I1521" s="23" t="str">
        <f aca="false">IF(B1521="","","")</f>
        <v/>
      </c>
      <c r="J1521" s="23" t="str">
        <f aca="false">IF(B1521="","","payment 2; "&amp;paid_brands!AB21&amp;"; "&amp;paid_brands!AD21&amp;"; invoice "&amp;paid_brands!AI21)</f>
        <v/>
      </c>
      <c r="K1521" s="32" t="s">
        <v>1361</v>
      </c>
    </row>
    <row r="1522" customFormat="false" ht="15" hidden="false" customHeight="false" outlineLevel="0" collapsed="false">
      <c r="A1522" s="23" t="str">
        <f aca="false">IF(B1522="","",B1522+(10*1000+21)/10000000)</f>
        <v/>
      </c>
      <c r="B1522" s="35" t="str">
        <f aca="false">IF(AND(ISNUMBER(paid_brands!AY22),ISNUMBER(paid_brands!AX22),TRIM(paid_brands!AC22)&lt;&gt;"",OR(LEFT(paid_brands!AC22,6)&lt;&gt;"SAMPLE",Config!$B$19="Y")),paid_brands!AY22,"")</f>
        <v/>
      </c>
      <c r="C1522" s="23" t="str">
        <f aca="false">IF(B1522="","","brand")</f>
        <v/>
      </c>
      <c r="D1522" s="23" t="str">
        <f aca="false">IF(B1522="","",IFERROR(INDEX(Brand_Log!$DV$2:$DV$201,MATCH(paid_brands!AC22,Brand_Log!$A$2:$A$201,0))&amp;"",paid_brands!AC22&amp;""))</f>
        <v/>
      </c>
      <c r="E1522" s="23" t="str">
        <f aca="false">IF(B1522="","",IF(paid_brands!C22="","",paid_brands!C22&amp;""))</f>
        <v/>
      </c>
      <c r="F1522" s="23" t="str">
        <f aca="false">IF(B1522="","","paid")</f>
        <v/>
      </c>
      <c r="G1522" s="23" t="str">
        <f aca="false">IF(B1522="","",paid_brands!AX22)</f>
        <v/>
      </c>
      <c r="H1522" s="23" t="str">
        <f aca="false">IF(B1522="","","")</f>
        <v/>
      </c>
      <c r="I1522" s="23" t="str">
        <f aca="false">IF(B1522="","","")</f>
        <v/>
      </c>
      <c r="J1522" s="23" t="str">
        <f aca="false">IF(B1522="","","payment 2; "&amp;paid_brands!AB22&amp;"; "&amp;paid_brands!AD22&amp;"; invoice "&amp;paid_brands!AI22)</f>
        <v/>
      </c>
      <c r="K1522" s="32" t="s">
        <v>1361</v>
      </c>
    </row>
    <row r="1523" customFormat="false" ht="15" hidden="false" customHeight="false" outlineLevel="0" collapsed="false">
      <c r="A1523" s="23" t="str">
        <f aca="false">IF(B1523="","",B1523+(10*1000+22)/10000000)</f>
        <v/>
      </c>
      <c r="B1523" s="35" t="str">
        <f aca="false">IF(AND(ISNUMBER(paid_brands!AY23),ISNUMBER(paid_brands!AX23),TRIM(paid_brands!AC23)&lt;&gt;"",OR(LEFT(paid_brands!AC23,6)&lt;&gt;"SAMPLE",Config!$B$19="Y")),paid_brands!AY23,"")</f>
        <v/>
      </c>
      <c r="C1523" s="23" t="str">
        <f aca="false">IF(B1523="","","brand")</f>
        <v/>
      </c>
      <c r="D1523" s="23" t="str">
        <f aca="false">IF(B1523="","",IFERROR(INDEX(Brand_Log!$DV$2:$DV$201,MATCH(paid_brands!AC23,Brand_Log!$A$2:$A$201,0))&amp;"",paid_brands!AC23&amp;""))</f>
        <v/>
      </c>
      <c r="E1523" s="23" t="str">
        <f aca="false">IF(B1523="","",IF(paid_brands!C23="","",paid_brands!C23&amp;""))</f>
        <v/>
      </c>
      <c r="F1523" s="23" t="str">
        <f aca="false">IF(B1523="","","paid")</f>
        <v/>
      </c>
      <c r="G1523" s="23" t="str">
        <f aca="false">IF(B1523="","",paid_brands!AX23)</f>
        <v/>
      </c>
      <c r="H1523" s="23" t="str">
        <f aca="false">IF(B1523="","","")</f>
        <v/>
      </c>
      <c r="I1523" s="23" t="str">
        <f aca="false">IF(B1523="","","")</f>
        <v/>
      </c>
      <c r="J1523" s="23" t="str">
        <f aca="false">IF(B1523="","","payment 2; "&amp;paid_brands!AB23&amp;"; "&amp;paid_brands!AD23&amp;"; invoice "&amp;paid_brands!AI23)</f>
        <v/>
      </c>
      <c r="K1523" s="32" t="s">
        <v>1361</v>
      </c>
    </row>
    <row r="1524" customFormat="false" ht="15" hidden="false" customHeight="false" outlineLevel="0" collapsed="false">
      <c r="A1524" s="23" t="str">
        <f aca="false">IF(B1524="","",B1524+(10*1000+23)/10000000)</f>
        <v/>
      </c>
      <c r="B1524" s="35" t="str">
        <f aca="false">IF(AND(ISNUMBER(paid_brands!AY24),ISNUMBER(paid_brands!AX24),TRIM(paid_brands!AC24)&lt;&gt;"",OR(LEFT(paid_brands!AC24,6)&lt;&gt;"SAMPLE",Config!$B$19="Y")),paid_brands!AY24,"")</f>
        <v/>
      </c>
      <c r="C1524" s="23" t="str">
        <f aca="false">IF(B1524="","","brand")</f>
        <v/>
      </c>
      <c r="D1524" s="23" t="str">
        <f aca="false">IF(B1524="","",IFERROR(INDEX(Brand_Log!$DV$2:$DV$201,MATCH(paid_brands!AC24,Brand_Log!$A$2:$A$201,0))&amp;"",paid_brands!AC24&amp;""))</f>
        <v/>
      </c>
      <c r="E1524" s="23" t="str">
        <f aca="false">IF(B1524="","",IF(paid_brands!C24="","",paid_brands!C24&amp;""))</f>
        <v/>
      </c>
      <c r="F1524" s="23" t="str">
        <f aca="false">IF(B1524="","","paid")</f>
        <v/>
      </c>
      <c r="G1524" s="23" t="str">
        <f aca="false">IF(B1524="","",paid_brands!AX24)</f>
        <v/>
      </c>
      <c r="H1524" s="23" t="str">
        <f aca="false">IF(B1524="","","")</f>
        <v/>
      </c>
      <c r="I1524" s="23" t="str">
        <f aca="false">IF(B1524="","","")</f>
        <v/>
      </c>
      <c r="J1524" s="23" t="str">
        <f aca="false">IF(B1524="","","payment 2; "&amp;paid_brands!AB24&amp;"; "&amp;paid_brands!AD24&amp;"; invoice "&amp;paid_brands!AI24)</f>
        <v/>
      </c>
      <c r="K1524" s="32" t="s">
        <v>1361</v>
      </c>
    </row>
    <row r="1525" customFormat="false" ht="15" hidden="false" customHeight="false" outlineLevel="0" collapsed="false">
      <c r="A1525" s="23" t="str">
        <f aca="false">IF(B1525="","",B1525+(10*1000+24)/10000000)</f>
        <v/>
      </c>
      <c r="B1525" s="35" t="str">
        <f aca="false">IF(AND(ISNUMBER(paid_brands!AY25),ISNUMBER(paid_brands!AX25),TRIM(paid_brands!AC25)&lt;&gt;"",OR(LEFT(paid_brands!AC25,6)&lt;&gt;"SAMPLE",Config!$B$19="Y")),paid_brands!AY25,"")</f>
        <v/>
      </c>
      <c r="C1525" s="23" t="str">
        <f aca="false">IF(B1525="","","brand")</f>
        <v/>
      </c>
      <c r="D1525" s="23" t="str">
        <f aca="false">IF(B1525="","",IFERROR(INDEX(Brand_Log!$DV$2:$DV$201,MATCH(paid_brands!AC25,Brand_Log!$A$2:$A$201,0))&amp;"",paid_brands!AC25&amp;""))</f>
        <v/>
      </c>
      <c r="E1525" s="23" t="str">
        <f aca="false">IF(B1525="","",IF(paid_brands!C25="","",paid_brands!C25&amp;""))</f>
        <v/>
      </c>
      <c r="F1525" s="23" t="str">
        <f aca="false">IF(B1525="","","paid")</f>
        <v/>
      </c>
      <c r="G1525" s="23" t="str">
        <f aca="false">IF(B1525="","",paid_brands!AX25)</f>
        <v/>
      </c>
      <c r="H1525" s="23" t="str">
        <f aca="false">IF(B1525="","","")</f>
        <v/>
      </c>
      <c r="I1525" s="23" t="str">
        <f aca="false">IF(B1525="","","")</f>
        <v/>
      </c>
      <c r="J1525" s="23" t="str">
        <f aca="false">IF(B1525="","","payment 2; "&amp;paid_brands!AB25&amp;"; "&amp;paid_brands!AD25&amp;"; invoice "&amp;paid_brands!AI25)</f>
        <v/>
      </c>
      <c r="K1525" s="32" t="s">
        <v>1361</v>
      </c>
    </row>
    <row r="1526" customFormat="false" ht="15" hidden="false" customHeight="false" outlineLevel="0" collapsed="false">
      <c r="A1526" s="23" t="str">
        <f aca="false">IF(B1526="","",B1526+(10*1000+25)/10000000)</f>
        <v/>
      </c>
      <c r="B1526" s="35" t="str">
        <f aca="false">IF(AND(ISNUMBER(paid_brands!AY26),ISNUMBER(paid_brands!AX26),TRIM(paid_brands!AC26)&lt;&gt;"",OR(LEFT(paid_brands!AC26,6)&lt;&gt;"SAMPLE",Config!$B$19="Y")),paid_brands!AY26,"")</f>
        <v/>
      </c>
      <c r="C1526" s="23" t="str">
        <f aca="false">IF(B1526="","","brand")</f>
        <v/>
      </c>
      <c r="D1526" s="23" t="str">
        <f aca="false">IF(B1526="","",IFERROR(INDEX(Brand_Log!$DV$2:$DV$201,MATCH(paid_brands!AC26,Brand_Log!$A$2:$A$201,0))&amp;"",paid_brands!AC26&amp;""))</f>
        <v/>
      </c>
      <c r="E1526" s="23" t="str">
        <f aca="false">IF(B1526="","",IF(paid_brands!C26="","",paid_brands!C26&amp;""))</f>
        <v/>
      </c>
      <c r="F1526" s="23" t="str">
        <f aca="false">IF(B1526="","","paid")</f>
        <v/>
      </c>
      <c r="G1526" s="23" t="str">
        <f aca="false">IF(B1526="","",paid_brands!AX26)</f>
        <v/>
      </c>
      <c r="H1526" s="23" t="str">
        <f aca="false">IF(B1526="","","")</f>
        <v/>
      </c>
      <c r="I1526" s="23" t="str">
        <f aca="false">IF(B1526="","","")</f>
        <v/>
      </c>
      <c r="J1526" s="23" t="str">
        <f aca="false">IF(B1526="","","payment 2; "&amp;paid_brands!AB26&amp;"; "&amp;paid_brands!AD26&amp;"; invoice "&amp;paid_brands!AI26)</f>
        <v/>
      </c>
      <c r="K1526" s="32" t="s">
        <v>1361</v>
      </c>
    </row>
    <row r="1527" customFormat="false" ht="15" hidden="false" customHeight="false" outlineLevel="0" collapsed="false">
      <c r="A1527" s="23" t="str">
        <f aca="false">IF(B1527="","",B1527+(10*1000+26)/10000000)</f>
        <v/>
      </c>
      <c r="B1527" s="35" t="str">
        <f aca="false">IF(AND(ISNUMBER(paid_brands!AY27),ISNUMBER(paid_brands!AX27),TRIM(paid_brands!AC27)&lt;&gt;"",OR(LEFT(paid_brands!AC27,6)&lt;&gt;"SAMPLE",Config!$B$19="Y")),paid_brands!AY27,"")</f>
        <v/>
      </c>
      <c r="C1527" s="23" t="str">
        <f aca="false">IF(B1527="","","brand")</f>
        <v/>
      </c>
      <c r="D1527" s="23" t="str">
        <f aca="false">IF(B1527="","",IFERROR(INDEX(Brand_Log!$DV$2:$DV$201,MATCH(paid_brands!AC27,Brand_Log!$A$2:$A$201,0))&amp;"",paid_brands!AC27&amp;""))</f>
        <v/>
      </c>
      <c r="E1527" s="23" t="str">
        <f aca="false">IF(B1527="","",IF(paid_brands!C27="","",paid_brands!C27&amp;""))</f>
        <v/>
      </c>
      <c r="F1527" s="23" t="str">
        <f aca="false">IF(B1527="","","paid")</f>
        <v/>
      </c>
      <c r="G1527" s="23" t="str">
        <f aca="false">IF(B1527="","",paid_brands!AX27)</f>
        <v/>
      </c>
      <c r="H1527" s="23" t="str">
        <f aca="false">IF(B1527="","","")</f>
        <v/>
      </c>
      <c r="I1527" s="23" t="str">
        <f aca="false">IF(B1527="","","")</f>
        <v/>
      </c>
      <c r="J1527" s="23" t="str">
        <f aca="false">IF(B1527="","","payment 2; "&amp;paid_brands!AB27&amp;"; "&amp;paid_brands!AD27&amp;"; invoice "&amp;paid_brands!AI27)</f>
        <v/>
      </c>
      <c r="K1527" s="32" t="s">
        <v>1361</v>
      </c>
    </row>
    <row r="1528" customFormat="false" ht="15" hidden="false" customHeight="false" outlineLevel="0" collapsed="false">
      <c r="A1528" s="23" t="str">
        <f aca="false">IF(B1528="","",B1528+(10*1000+27)/10000000)</f>
        <v/>
      </c>
      <c r="B1528" s="35" t="str">
        <f aca="false">IF(AND(ISNUMBER(paid_brands!AY28),ISNUMBER(paid_brands!AX28),TRIM(paid_brands!AC28)&lt;&gt;"",OR(LEFT(paid_brands!AC28,6)&lt;&gt;"SAMPLE",Config!$B$19="Y")),paid_brands!AY28,"")</f>
        <v/>
      </c>
      <c r="C1528" s="23" t="str">
        <f aca="false">IF(B1528="","","brand")</f>
        <v/>
      </c>
      <c r="D1528" s="23" t="str">
        <f aca="false">IF(B1528="","",IFERROR(INDEX(Brand_Log!$DV$2:$DV$201,MATCH(paid_brands!AC28,Brand_Log!$A$2:$A$201,0))&amp;"",paid_brands!AC28&amp;""))</f>
        <v/>
      </c>
      <c r="E1528" s="23" t="str">
        <f aca="false">IF(B1528="","",IF(paid_brands!C28="","",paid_brands!C28&amp;""))</f>
        <v/>
      </c>
      <c r="F1528" s="23" t="str">
        <f aca="false">IF(B1528="","","paid")</f>
        <v/>
      </c>
      <c r="G1528" s="23" t="str">
        <f aca="false">IF(B1528="","",paid_brands!AX28)</f>
        <v/>
      </c>
      <c r="H1528" s="23" t="str">
        <f aca="false">IF(B1528="","","")</f>
        <v/>
      </c>
      <c r="I1528" s="23" t="str">
        <f aca="false">IF(B1528="","","")</f>
        <v/>
      </c>
      <c r="J1528" s="23" t="str">
        <f aca="false">IF(B1528="","","payment 2; "&amp;paid_brands!AB28&amp;"; "&amp;paid_brands!AD28&amp;"; invoice "&amp;paid_brands!AI28)</f>
        <v/>
      </c>
      <c r="K1528" s="32" t="s">
        <v>1361</v>
      </c>
    </row>
    <row r="1529" customFormat="false" ht="15" hidden="false" customHeight="false" outlineLevel="0" collapsed="false">
      <c r="A1529" s="23" t="str">
        <f aca="false">IF(B1529="","",B1529+(10*1000+28)/10000000)</f>
        <v/>
      </c>
      <c r="B1529" s="35" t="str">
        <f aca="false">IF(AND(ISNUMBER(paid_brands!AY29),ISNUMBER(paid_brands!AX29),TRIM(paid_brands!AC29)&lt;&gt;"",OR(LEFT(paid_brands!AC29,6)&lt;&gt;"SAMPLE",Config!$B$19="Y")),paid_brands!AY29,"")</f>
        <v/>
      </c>
      <c r="C1529" s="23" t="str">
        <f aca="false">IF(B1529="","","brand")</f>
        <v/>
      </c>
      <c r="D1529" s="23" t="str">
        <f aca="false">IF(B1529="","",IFERROR(INDEX(Brand_Log!$DV$2:$DV$201,MATCH(paid_brands!AC29,Brand_Log!$A$2:$A$201,0))&amp;"",paid_brands!AC29&amp;""))</f>
        <v/>
      </c>
      <c r="E1529" s="23" t="str">
        <f aca="false">IF(B1529="","",IF(paid_brands!C29="","",paid_brands!C29&amp;""))</f>
        <v/>
      </c>
      <c r="F1529" s="23" t="str">
        <f aca="false">IF(B1529="","","paid")</f>
        <v/>
      </c>
      <c r="G1529" s="23" t="str">
        <f aca="false">IF(B1529="","",paid_brands!AX29)</f>
        <v/>
      </c>
      <c r="H1529" s="23" t="str">
        <f aca="false">IF(B1529="","","")</f>
        <v/>
      </c>
      <c r="I1529" s="23" t="str">
        <f aca="false">IF(B1529="","","")</f>
        <v/>
      </c>
      <c r="J1529" s="23" t="str">
        <f aca="false">IF(B1529="","","payment 2; "&amp;paid_brands!AB29&amp;"; "&amp;paid_brands!AD29&amp;"; invoice "&amp;paid_brands!AI29)</f>
        <v/>
      </c>
      <c r="K1529" s="32" t="s">
        <v>1361</v>
      </c>
    </row>
    <row r="1530" customFormat="false" ht="15" hidden="false" customHeight="false" outlineLevel="0" collapsed="false">
      <c r="A1530" s="23" t="str">
        <f aca="false">IF(B1530="","",B1530+(10*1000+29)/10000000)</f>
        <v/>
      </c>
      <c r="B1530" s="35" t="str">
        <f aca="false">IF(AND(ISNUMBER(paid_brands!AY30),ISNUMBER(paid_brands!AX30),TRIM(paid_brands!AC30)&lt;&gt;"",OR(LEFT(paid_brands!AC30,6)&lt;&gt;"SAMPLE",Config!$B$19="Y")),paid_brands!AY30,"")</f>
        <v/>
      </c>
      <c r="C1530" s="23" t="str">
        <f aca="false">IF(B1530="","","brand")</f>
        <v/>
      </c>
      <c r="D1530" s="23" t="str">
        <f aca="false">IF(B1530="","",IFERROR(INDEX(Brand_Log!$DV$2:$DV$201,MATCH(paid_brands!AC30,Brand_Log!$A$2:$A$201,0))&amp;"",paid_brands!AC30&amp;""))</f>
        <v/>
      </c>
      <c r="E1530" s="23" t="str">
        <f aca="false">IF(B1530="","",IF(paid_brands!C30="","",paid_brands!C30&amp;""))</f>
        <v/>
      </c>
      <c r="F1530" s="23" t="str">
        <f aca="false">IF(B1530="","","paid")</f>
        <v/>
      </c>
      <c r="G1530" s="23" t="str">
        <f aca="false">IF(B1530="","",paid_brands!AX30)</f>
        <v/>
      </c>
      <c r="H1530" s="23" t="str">
        <f aca="false">IF(B1530="","","")</f>
        <v/>
      </c>
      <c r="I1530" s="23" t="str">
        <f aca="false">IF(B1530="","","")</f>
        <v/>
      </c>
      <c r="J1530" s="23" t="str">
        <f aca="false">IF(B1530="","","payment 2; "&amp;paid_brands!AB30&amp;"; "&amp;paid_brands!AD30&amp;"; invoice "&amp;paid_brands!AI30)</f>
        <v/>
      </c>
      <c r="K1530" s="32" t="s">
        <v>1361</v>
      </c>
    </row>
    <row r="1531" customFormat="false" ht="15" hidden="false" customHeight="false" outlineLevel="0" collapsed="false">
      <c r="A1531" s="23" t="str">
        <f aca="false">IF(B1531="","",B1531+(10*1000+30)/10000000)</f>
        <v/>
      </c>
      <c r="B1531" s="35" t="str">
        <f aca="false">IF(AND(ISNUMBER(paid_brands!AY31),ISNUMBER(paid_brands!AX31),TRIM(paid_brands!AC31)&lt;&gt;"",OR(LEFT(paid_brands!AC31,6)&lt;&gt;"SAMPLE",Config!$B$19="Y")),paid_brands!AY31,"")</f>
        <v/>
      </c>
      <c r="C1531" s="23" t="str">
        <f aca="false">IF(B1531="","","brand")</f>
        <v/>
      </c>
      <c r="D1531" s="23" t="str">
        <f aca="false">IF(B1531="","",IFERROR(INDEX(Brand_Log!$DV$2:$DV$201,MATCH(paid_brands!AC31,Brand_Log!$A$2:$A$201,0))&amp;"",paid_brands!AC31&amp;""))</f>
        <v/>
      </c>
      <c r="E1531" s="23" t="str">
        <f aca="false">IF(B1531="","",IF(paid_brands!C31="","",paid_brands!C31&amp;""))</f>
        <v/>
      </c>
      <c r="F1531" s="23" t="str">
        <f aca="false">IF(B1531="","","paid")</f>
        <v/>
      </c>
      <c r="G1531" s="23" t="str">
        <f aca="false">IF(B1531="","",paid_brands!AX31)</f>
        <v/>
      </c>
      <c r="H1531" s="23" t="str">
        <f aca="false">IF(B1531="","","")</f>
        <v/>
      </c>
      <c r="I1531" s="23" t="str">
        <f aca="false">IF(B1531="","","")</f>
        <v/>
      </c>
      <c r="J1531" s="23" t="str">
        <f aca="false">IF(B1531="","","payment 2; "&amp;paid_brands!AB31&amp;"; "&amp;paid_brands!AD31&amp;"; invoice "&amp;paid_brands!AI31)</f>
        <v/>
      </c>
      <c r="K1531" s="32" t="s">
        <v>1361</v>
      </c>
    </row>
    <row r="1532" customFormat="false" ht="15" hidden="false" customHeight="false" outlineLevel="0" collapsed="false">
      <c r="A1532" s="23" t="str">
        <f aca="false">IF(B1532="","",B1532+(10*1000+31)/10000000)</f>
        <v/>
      </c>
      <c r="B1532" s="35" t="str">
        <f aca="false">IF(AND(ISNUMBER(paid_brands!AY32),ISNUMBER(paid_brands!AX32),TRIM(paid_brands!AC32)&lt;&gt;"",OR(LEFT(paid_brands!AC32,6)&lt;&gt;"SAMPLE",Config!$B$19="Y")),paid_brands!AY32,"")</f>
        <v/>
      </c>
      <c r="C1532" s="23" t="str">
        <f aca="false">IF(B1532="","","brand")</f>
        <v/>
      </c>
      <c r="D1532" s="23" t="str">
        <f aca="false">IF(B1532="","",IFERROR(INDEX(Brand_Log!$DV$2:$DV$201,MATCH(paid_brands!AC32,Brand_Log!$A$2:$A$201,0))&amp;"",paid_brands!AC32&amp;""))</f>
        <v/>
      </c>
      <c r="E1532" s="23" t="str">
        <f aca="false">IF(B1532="","",IF(paid_brands!C32="","",paid_brands!C32&amp;""))</f>
        <v/>
      </c>
      <c r="F1532" s="23" t="str">
        <f aca="false">IF(B1532="","","paid")</f>
        <v/>
      </c>
      <c r="G1532" s="23" t="str">
        <f aca="false">IF(B1532="","",paid_brands!AX32)</f>
        <v/>
      </c>
      <c r="H1532" s="23" t="str">
        <f aca="false">IF(B1532="","","")</f>
        <v/>
      </c>
      <c r="I1532" s="23" t="str">
        <f aca="false">IF(B1532="","","")</f>
        <v/>
      </c>
      <c r="J1532" s="23" t="str">
        <f aca="false">IF(B1532="","","payment 2; "&amp;paid_brands!AB32&amp;"; "&amp;paid_brands!AD32&amp;"; invoice "&amp;paid_brands!AI32)</f>
        <v/>
      </c>
      <c r="K1532" s="32" t="s">
        <v>1361</v>
      </c>
    </row>
    <row r="1533" customFormat="false" ht="15" hidden="false" customHeight="false" outlineLevel="0" collapsed="false">
      <c r="A1533" s="23" t="str">
        <f aca="false">IF(B1533="","",B1533+(10*1000+32)/10000000)</f>
        <v/>
      </c>
      <c r="B1533" s="35" t="str">
        <f aca="false">IF(AND(ISNUMBER(paid_brands!AY33),ISNUMBER(paid_brands!AX33),TRIM(paid_brands!AC33)&lt;&gt;"",OR(LEFT(paid_brands!AC33,6)&lt;&gt;"SAMPLE",Config!$B$19="Y")),paid_brands!AY33,"")</f>
        <v/>
      </c>
      <c r="C1533" s="23" t="str">
        <f aca="false">IF(B1533="","","brand")</f>
        <v/>
      </c>
      <c r="D1533" s="23" t="str">
        <f aca="false">IF(B1533="","",IFERROR(INDEX(Brand_Log!$DV$2:$DV$201,MATCH(paid_brands!AC33,Brand_Log!$A$2:$A$201,0))&amp;"",paid_brands!AC33&amp;""))</f>
        <v/>
      </c>
      <c r="E1533" s="23" t="str">
        <f aca="false">IF(B1533="","",IF(paid_brands!C33="","",paid_brands!C33&amp;""))</f>
        <v/>
      </c>
      <c r="F1533" s="23" t="str">
        <f aca="false">IF(B1533="","","paid")</f>
        <v/>
      </c>
      <c r="G1533" s="23" t="str">
        <f aca="false">IF(B1533="","",paid_brands!AX33)</f>
        <v/>
      </c>
      <c r="H1533" s="23" t="str">
        <f aca="false">IF(B1533="","","")</f>
        <v/>
      </c>
      <c r="I1533" s="23" t="str">
        <f aca="false">IF(B1533="","","")</f>
        <v/>
      </c>
      <c r="J1533" s="23" t="str">
        <f aca="false">IF(B1533="","","payment 2; "&amp;paid_brands!AB33&amp;"; "&amp;paid_brands!AD33&amp;"; invoice "&amp;paid_brands!AI33)</f>
        <v/>
      </c>
      <c r="K1533" s="32" t="s">
        <v>1361</v>
      </c>
    </row>
    <row r="1534" customFormat="false" ht="15" hidden="false" customHeight="false" outlineLevel="0" collapsed="false">
      <c r="A1534" s="23" t="str">
        <f aca="false">IF(B1534="","",B1534+(10*1000+33)/10000000)</f>
        <v/>
      </c>
      <c r="B1534" s="35" t="str">
        <f aca="false">IF(AND(ISNUMBER(paid_brands!AY34),ISNUMBER(paid_brands!AX34),TRIM(paid_brands!AC34)&lt;&gt;"",OR(LEFT(paid_brands!AC34,6)&lt;&gt;"SAMPLE",Config!$B$19="Y")),paid_brands!AY34,"")</f>
        <v/>
      </c>
      <c r="C1534" s="23" t="str">
        <f aca="false">IF(B1534="","","brand")</f>
        <v/>
      </c>
      <c r="D1534" s="23" t="str">
        <f aca="false">IF(B1534="","",IFERROR(INDEX(Brand_Log!$DV$2:$DV$201,MATCH(paid_brands!AC34,Brand_Log!$A$2:$A$201,0))&amp;"",paid_brands!AC34&amp;""))</f>
        <v/>
      </c>
      <c r="E1534" s="23" t="str">
        <f aca="false">IF(B1534="","",IF(paid_brands!C34="","",paid_brands!C34&amp;""))</f>
        <v/>
      </c>
      <c r="F1534" s="23" t="str">
        <f aca="false">IF(B1534="","","paid")</f>
        <v/>
      </c>
      <c r="G1534" s="23" t="str">
        <f aca="false">IF(B1534="","",paid_brands!AX34)</f>
        <v/>
      </c>
      <c r="H1534" s="23" t="str">
        <f aca="false">IF(B1534="","","")</f>
        <v/>
      </c>
      <c r="I1534" s="23" t="str">
        <f aca="false">IF(B1534="","","")</f>
        <v/>
      </c>
      <c r="J1534" s="23" t="str">
        <f aca="false">IF(B1534="","","payment 2; "&amp;paid_brands!AB34&amp;"; "&amp;paid_brands!AD34&amp;"; invoice "&amp;paid_brands!AI34)</f>
        <v/>
      </c>
      <c r="K1534" s="32" t="s">
        <v>1361</v>
      </c>
    </row>
    <row r="1535" customFormat="false" ht="15" hidden="false" customHeight="false" outlineLevel="0" collapsed="false">
      <c r="A1535" s="23" t="str">
        <f aca="false">IF(B1535="","",B1535+(10*1000+34)/10000000)</f>
        <v/>
      </c>
      <c r="B1535" s="35" t="str">
        <f aca="false">IF(AND(ISNUMBER(paid_brands!AY35),ISNUMBER(paid_brands!AX35),TRIM(paid_brands!AC35)&lt;&gt;"",OR(LEFT(paid_brands!AC35,6)&lt;&gt;"SAMPLE",Config!$B$19="Y")),paid_brands!AY35,"")</f>
        <v/>
      </c>
      <c r="C1535" s="23" t="str">
        <f aca="false">IF(B1535="","","brand")</f>
        <v/>
      </c>
      <c r="D1535" s="23" t="str">
        <f aca="false">IF(B1535="","",IFERROR(INDEX(Brand_Log!$DV$2:$DV$201,MATCH(paid_brands!AC35,Brand_Log!$A$2:$A$201,0))&amp;"",paid_brands!AC35&amp;""))</f>
        <v/>
      </c>
      <c r="E1535" s="23" t="str">
        <f aca="false">IF(B1535="","",IF(paid_brands!C35="","",paid_brands!C35&amp;""))</f>
        <v/>
      </c>
      <c r="F1535" s="23" t="str">
        <f aca="false">IF(B1535="","","paid")</f>
        <v/>
      </c>
      <c r="G1535" s="23" t="str">
        <f aca="false">IF(B1535="","",paid_brands!AX35)</f>
        <v/>
      </c>
      <c r="H1535" s="23" t="str">
        <f aca="false">IF(B1535="","","")</f>
        <v/>
      </c>
      <c r="I1535" s="23" t="str">
        <f aca="false">IF(B1535="","","")</f>
        <v/>
      </c>
      <c r="J1535" s="23" t="str">
        <f aca="false">IF(B1535="","","payment 2; "&amp;paid_brands!AB35&amp;"; "&amp;paid_brands!AD35&amp;"; invoice "&amp;paid_brands!AI35)</f>
        <v/>
      </c>
      <c r="K1535" s="32" t="s">
        <v>1361</v>
      </c>
    </row>
    <row r="1536" customFormat="false" ht="15" hidden="false" customHeight="false" outlineLevel="0" collapsed="false">
      <c r="A1536" s="23" t="str">
        <f aca="false">IF(B1536="","",B1536+(10*1000+35)/10000000)</f>
        <v/>
      </c>
      <c r="B1536" s="35" t="str">
        <f aca="false">IF(AND(ISNUMBER(paid_brands!AY36),ISNUMBER(paid_brands!AX36),TRIM(paid_brands!AC36)&lt;&gt;"",OR(LEFT(paid_brands!AC36,6)&lt;&gt;"SAMPLE",Config!$B$19="Y")),paid_brands!AY36,"")</f>
        <v/>
      </c>
      <c r="C1536" s="23" t="str">
        <f aca="false">IF(B1536="","","brand")</f>
        <v/>
      </c>
      <c r="D1536" s="23" t="str">
        <f aca="false">IF(B1536="","",IFERROR(INDEX(Brand_Log!$DV$2:$DV$201,MATCH(paid_brands!AC36,Brand_Log!$A$2:$A$201,0))&amp;"",paid_brands!AC36&amp;""))</f>
        <v/>
      </c>
      <c r="E1536" s="23" t="str">
        <f aca="false">IF(B1536="","",IF(paid_brands!C36="","",paid_brands!C36&amp;""))</f>
        <v/>
      </c>
      <c r="F1536" s="23" t="str">
        <f aca="false">IF(B1536="","","paid")</f>
        <v/>
      </c>
      <c r="G1536" s="23" t="str">
        <f aca="false">IF(B1536="","",paid_brands!AX36)</f>
        <v/>
      </c>
      <c r="H1536" s="23" t="str">
        <f aca="false">IF(B1536="","","")</f>
        <v/>
      </c>
      <c r="I1536" s="23" t="str">
        <f aca="false">IF(B1536="","","")</f>
        <v/>
      </c>
      <c r="J1536" s="23" t="str">
        <f aca="false">IF(B1536="","","payment 2; "&amp;paid_brands!AB36&amp;"; "&amp;paid_brands!AD36&amp;"; invoice "&amp;paid_brands!AI36)</f>
        <v/>
      </c>
      <c r="K1536" s="32" t="s">
        <v>1361</v>
      </c>
    </row>
    <row r="1537" customFormat="false" ht="15" hidden="false" customHeight="false" outlineLevel="0" collapsed="false">
      <c r="A1537" s="23" t="str">
        <f aca="false">IF(B1537="","",B1537+(10*1000+36)/10000000)</f>
        <v/>
      </c>
      <c r="B1537" s="35" t="str">
        <f aca="false">IF(AND(ISNUMBER(paid_brands!AY37),ISNUMBER(paid_brands!AX37),TRIM(paid_brands!AC37)&lt;&gt;"",OR(LEFT(paid_brands!AC37,6)&lt;&gt;"SAMPLE",Config!$B$19="Y")),paid_brands!AY37,"")</f>
        <v/>
      </c>
      <c r="C1537" s="23" t="str">
        <f aca="false">IF(B1537="","","brand")</f>
        <v/>
      </c>
      <c r="D1537" s="23" t="str">
        <f aca="false">IF(B1537="","",IFERROR(INDEX(Brand_Log!$DV$2:$DV$201,MATCH(paid_brands!AC37,Brand_Log!$A$2:$A$201,0))&amp;"",paid_brands!AC37&amp;""))</f>
        <v/>
      </c>
      <c r="E1537" s="23" t="str">
        <f aca="false">IF(B1537="","",IF(paid_brands!C37="","",paid_brands!C37&amp;""))</f>
        <v/>
      </c>
      <c r="F1537" s="23" t="str">
        <f aca="false">IF(B1537="","","paid")</f>
        <v/>
      </c>
      <c r="G1537" s="23" t="str">
        <f aca="false">IF(B1537="","",paid_brands!AX37)</f>
        <v/>
      </c>
      <c r="H1537" s="23" t="str">
        <f aca="false">IF(B1537="","","")</f>
        <v/>
      </c>
      <c r="I1537" s="23" t="str">
        <f aca="false">IF(B1537="","","")</f>
        <v/>
      </c>
      <c r="J1537" s="23" t="str">
        <f aca="false">IF(B1537="","","payment 2; "&amp;paid_brands!AB37&amp;"; "&amp;paid_brands!AD37&amp;"; invoice "&amp;paid_brands!AI37)</f>
        <v/>
      </c>
      <c r="K1537" s="32" t="s">
        <v>1361</v>
      </c>
    </row>
    <row r="1538" customFormat="false" ht="15" hidden="false" customHeight="false" outlineLevel="0" collapsed="false">
      <c r="A1538" s="23" t="str">
        <f aca="false">IF(B1538="","",B1538+(10*1000+37)/10000000)</f>
        <v/>
      </c>
      <c r="B1538" s="35" t="str">
        <f aca="false">IF(AND(ISNUMBER(paid_brands!AY38),ISNUMBER(paid_brands!AX38),TRIM(paid_brands!AC38)&lt;&gt;"",OR(LEFT(paid_brands!AC38,6)&lt;&gt;"SAMPLE",Config!$B$19="Y")),paid_brands!AY38,"")</f>
        <v/>
      </c>
      <c r="C1538" s="23" t="str">
        <f aca="false">IF(B1538="","","brand")</f>
        <v/>
      </c>
      <c r="D1538" s="23" t="str">
        <f aca="false">IF(B1538="","",IFERROR(INDEX(Brand_Log!$DV$2:$DV$201,MATCH(paid_brands!AC38,Brand_Log!$A$2:$A$201,0))&amp;"",paid_brands!AC38&amp;""))</f>
        <v/>
      </c>
      <c r="E1538" s="23" t="str">
        <f aca="false">IF(B1538="","",IF(paid_brands!C38="","",paid_brands!C38&amp;""))</f>
        <v/>
      </c>
      <c r="F1538" s="23" t="str">
        <f aca="false">IF(B1538="","","paid")</f>
        <v/>
      </c>
      <c r="G1538" s="23" t="str">
        <f aca="false">IF(B1538="","",paid_brands!AX38)</f>
        <v/>
      </c>
      <c r="H1538" s="23" t="str">
        <f aca="false">IF(B1538="","","")</f>
        <v/>
      </c>
      <c r="I1538" s="23" t="str">
        <f aca="false">IF(B1538="","","")</f>
        <v/>
      </c>
      <c r="J1538" s="23" t="str">
        <f aca="false">IF(B1538="","","payment 2; "&amp;paid_brands!AB38&amp;"; "&amp;paid_brands!AD38&amp;"; invoice "&amp;paid_brands!AI38)</f>
        <v/>
      </c>
      <c r="K1538" s="32" t="s">
        <v>1361</v>
      </c>
    </row>
    <row r="1539" customFormat="false" ht="15" hidden="false" customHeight="false" outlineLevel="0" collapsed="false">
      <c r="A1539" s="23" t="str">
        <f aca="false">IF(B1539="","",B1539+(10*1000+38)/10000000)</f>
        <v/>
      </c>
      <c r="B1539" s="35" t="str">
        <f aca="false">IF(AND(ISNUMBER(paid_brands!AY39),ISNUMBER(paid_brands!AX39),TRIM(paid_brands!AC39)&lt;&gt;"",OR(LEFT(paid_brands!AC39,6)&lt;&gt;"SAMPLE",Config!$B$19="Y")),paid_brands!AY39,"")</f>
        <v/>
      </c>
      <c r="C1539" s="23" t="str">
        <f aca="false">IF(B1539="","","brand")</f>
        <v/>
      </c>
      <c r="D1539" s="23" t="str">
        <f aca="false">IF(B1539="","",IFERROR(INDEX(Brand_Log!$DV$2:$DV$201,MATCH(paid_brands!AC39,Brand_Log!$A$2:$A$201,0))&amp;"",paid_brands!AC39&amp;""))</f>
        <v/>
      </c>
      <c r="E1539" s="23" t="str">
        <f aca="false">IF(B1539="","",IF(paid_brands!C39="","",paid_brands!C39&amp;""))</f>
        <v/>
      </c>
      <c r="F1539" s="23" t="str">
        <f aca="false">IF(B1539="","","paid")</f>
        <v/>
      </c>
      <c r="G1539" s="23" t="str">
        <f aca="false">IF(B1539="","",paid_brands!AX39)</f>
        <v/>
      </c>
      <c r="H1539" s="23" t="str">
        <f aca="false">IF(B1539="","","")</f>
        <v/>
      </c>
      <c r="I1539" s="23" t="str">
        <f aca="false">IF(B1539="","","")</f>
        <v/>
      </c>
      <c r="J1539" s="23" t="str">
        <f aca="false">IF(B1539="","","payment 2; "&amp;paid_brands!AB39&amp;"; "&amp;paid_brands!AD39&amp;"; invoice "&amp;paid_brands!AI39)</f>
        <v/>
      </c>
      <c r="K1539" s="32" t="s">
        <v>1361</v>
      </c>
    </row>
    <row r="1540" customFormat="false" ht="15" hidden="false" customHeight="false" outlineLevel="0" collapsed="false">
      <c r="A1540" s="23" t="str">
        <f aca="false">IF(B1540="","",B1540+(10*1000+39)/10000000)</f>
        <v/>
      </c>
      <c r="B1540" s="35" t="str">
        <f aca="false">IF(AND(ISNUMBER(paid_brands!AY40),ISNUMBER(paid_brands!AX40),TRIM(paid_brands!AC40)&lt;&gt;"",OR(LEFT(paid_brands!AC40,6)&lt;&gt;"SAMPLE",Config!$B$19="Y")),paid_brands!AY40,"")</f>
        <v/>
      </c>
      <c r="C1540" s="23" t="str">
        <f aca="false">IF(B1540="","","brand")</f>
        <v/>
      </c>
      <c r="D1540" s="23" t="str">
        <f aca="false">IF(B1540="","",IFERROR(INDEX(Brand_Log!$DV$2:$DV$201,MATCH(paid_brands!AC40,Brand_Log!$A$2:$A$201,0))&amp;"",paid_brands!AC40&amp;""))</f>
        <v/>
      </c>
      <c r="E1540" s="23" t="str">
        <f aca="false">IF(B1540="","",IF(paid_brands!C40="","",paid_brands!C40&amp;""))</f>
        <v/>
      </c>
      <c r="F1540" s="23" t="str">
        <f aca="false">IF(B1540="","","paid")</f>
        <v/>
      </c>
      <c r="G1540" s="23" t="str">
        <f aca="false">IF(B1540="","",paid_brands!AX40)</f>
        <v/>
      </c>
      <c r="H1540" s="23" t="str">
        <f aca="false">IF(B1540="","","")</f>
        <v/>
      </c>
      <c r="I1540" s="23" t="str">
        <f aca="false">IF(B1540="","","")</f>
        <v/>
      </c>
      <c r="J1540" s="23" t="str">
        <f aca="false">IF(B1540="","","payment 2; "&amp;paid_brands!AB40&amp;"; "&amp;paid_brands!AD40&amp;"; invoice "&amp;paid_brands!AI40)</f>
        <v/>
      </c>
      <c r="K1540" s="32" t="s">
        <v>1361</v>
      </c>
    </row>
    <row r="1541" customFormat="false" ht="15" hidden="false" customHeight="false" outlineLevel="0" collapsed="false">
      <c r="A1541" s="23" t="str">
        <f aca="false">IF(B1541="","",B1541+(10*1000+40)/10000000)</f>
        <v/>
      </c>
      <c r="B1541" s="35" t="str">
        <f aca="false">IF(AND(ISNUMBER(paid_brands!AY41),ISNUMBER(paid_brands!AX41),TRIM(paid_brands!AC41)&lt;&gt;"",OR(LEFT(paid_brands!AC41,6)&lt;&gt;"SAMPLE",Config!$B$19="Y")),paid_brands!AY41,"")</f>
        <v/>
      </c>
      <c r="C1541" s="23" t="str">
        <f aca="false">IF(B1541="","","brand")</f>
        <v/>
      </c>
      <c r="D1541" s="23" t="str">
        <f aca="false">IF(B1541="","",IFERROR(INDEX(Brand_Log!$DV$2:$DV$201,MATCH(paid_brands!AC41,Brand_Log!$A$2:$A$201,0))&amp;"",paid_brands!AC41&amp;""))</f>
        <v/>
      </c>
      <c r="E1541" s="23" t="str">
        <f aca="false">IF(B1541="","",IF(paid_brands!C41="","",paid_brands!C41&amp;""))</f>
        <v/>
      </c>
      <c r="F1541" s="23" t="str">
        <f aca="false">IF(B1541="","","paid")</f>
        <v/>
      </c>
      <c r="G1541" s="23" t="str">
        <f aca="false">IF(B1541="","",paid_brands!AX41)</f>
        <v/>
      </c>
      <c r="H1541" s="23" t="str">
        <f aca="false">IF(B1541="","","")</f>
        <v/>
      </c>
      <c r="I1541" s="23" t="str">
        <f aca="false">IF(B1541="","","")</f>
        <v/>
      </c>
      <c r="J1541" s="23" t="str">
        <f aca="false">IF(B1541="","","payment 2; "&amp;paid_brands!AB41&amp;"; "&amp;paid_brands!AD41&amp;"; invoice "&amp;paid_brands!AI41)</f>
        <v/>
      </c>
      <c r="K1541" s="32" t="s">
        <v>1361</v>
      </c>
    </row>
    <row r="1542" customFormat="false" ht="15" hidden="false" customHeight="false" outlineLevel="0" collapsed="false">
      <c r="A1542" s="23" t="str">
        <f aca="false">IF(B1542="","",B1542+(10*1000+41)/10000000)</f>
        <v/>
      </c>
      <c r="B1542" s="35" t="str">
        <f aca="false">IF(AND(ISNUMBER(paid_brands!AY42),ISNUMBER(paid_brands!AX42),TRIM(paid_brands!AC42)&lt;&gt;"",OR(LEFT(paid_brands!AC42,6)&lt;&gt;"SAMPLE",Config!$B$19="Y")),paid_brands!AY42,"")</f>
        <v/>
      </c>
      <c r="C1542" s="23" t="str">
        <f aca="false">IF(B1542="","","brand")</f>
        <v/>
      </c>
      <c r="D1542" s="23" t="str">
        <f aca="false">IF(B1542="","",IFERROR(INDEX(Brand_Log!$DV$2:$DV$201,MATCH(paid_brands!AC42,Brand_Log!$A$2:$A$201,0))&amp;"",paid_brands!AC42&amp;""))</f>
        <v/>
      </c>
      <c r="E1542" s="23" t="str">
        <f aca="false">IF(B1542="","",IF(paid_brands!C42="","",paid_brands!C42&amp;""))</f>
        <v/>
      </c>
      <c r="F1542" s="23" t="str">
        <f aca="false">IF(B1542="","","paid")</f>
        <v/>
      </c>
      <c r="G1542" s="23" t="str">
        <f aca="false">IF(B1542="","",paid_brands!AX42)</f>
        <v/>
      </c>
      <c r="H1542" s="23" t="str">
        <f aca="false">IF(B1542="","","")</f>
        <v/>
      </c>
      <c r="I1542" s="23" t="str">
        <f aca="false">IF(B1542="","","")</f>
        <v/>
      </c>
      <c r="J1542" s="23" t="str">
        <f aca="false">IF(B1542="","","payment 2; "&amp;paid_brands!AB42&amp;"; "&amp;paid_brands!AD42&amp;"; invoice "&amp;paid_brands!AI42)</f>
        <v/>
      </c>
      <c r="K1542" s="32" t="s">
        <v>1361</v>
      </c>
    </row>
    <row r="1543" customFormat="false" ht="15" hidden="false" customHeight="false" outlineLevel="0" collapsed="false">
      <c r="A1543" s="23" t="str">
        <f aca="false">IF(B1543="","",B1543+(10*1000+42)/10000000)</f>
        <v/>
      </c>
      <c r="B1543" s="35" t="str">
        <f aca="false">IF(AND(ISNUMBER(paid_brands!AY43),ISNUMBER(paid_brands!AX43),TRIM(paid_brands!AC43)&lt;&gt;"",OR(LEFT(paid_brands!AC43,6)&lt;&gt;"SAMPLE",Config!$B$19="Y")),paid_brands!AY43,"")</f>
        <v/>
      </c>
      <c r="C1543" s="23" t="str">
        <f aca="false">IF(B1543="","","brand")</f>
        <v/>
      </c>
      <c r="D1543" s="23" t="str">
        <f aca="false">IF(B1543="","",IFERROR(INDEX(Brand_Log!$DV$2:$DV$201,MATCH(paid_brands!AC43,Brand_Log!$A$2:$A$201,0))&amp;"",paid_brands!AC43&amp;""))</f>
        <v/>
      </c>
      <c r="E1543" s="23" t="str">
        <f aca="false">IF(B1543="","",IF(paid_brands!C43="","",paid_brands!C43&amp;""))</f>
        <v/>
      </c>
      <c r="F1543" s="23" t="str">
        <f aca="false">IF(B1543="","","paid")</f>
        <v/>
      </c>
      <c r="G1543" s="23" t="str">
        <f aca="false">IF(B1543="","",paid_brands!AX43)</f>
        <v/>
      </c>
      <c r="H1543" s="23" t="str">
        <f aca="false">IF(B1543="","","")</f>
        <v/>
      </c>
      <c r="I1543" s="23" t="str">
        <f aca="false">IF(B1543="","","")</f>
        <v/>
      </c>
      <c r="J1543" s="23" t="str">
        <f aca="false">IF(B1543="","","payment 2; "&amp;paid_brands!AB43&amp;"; "&amp;paid_brands!AD43&amp;"; invoice "&amp;paid_brands!AI43)</f>
        <v/>
      </c>
      <c r="K1543" s="32" t="s">
        <v>1361</v>
      </c>
    </row>
    <row r="1544" customFormat="false" ht="15" hidden="false" customHeight="false" outlineLevel="0" collapsed="false">
      <c r="A1544" s="23" t="str">
        <f aca="false">IF(B1544="","",B1544+(10*1000+43)/10000000)</f>
        <v/>
      </c>
      <c r="B1544" s="35" t="str">
        <f aca="false">IF(AND(ISNUMBER(paid_brands!AY44),ISNUMBER(paid_brands!AX44),TRIM(paid_brands!AC44)&lt;&gt;"",OR(LEFT(paid_brands!AC44,6)&lt;&gt;"SAMPLE",Config!$B$19="Y")),paid_brands!AY44,"")</f>
        <v/>
      </c>
      <c r="C1544" s="23" t="str">
        <f aca="false">IF(B1544="","","brand")</f>
        <v/>
      </c>
      <c r="D1544" s="23" t="str">
        <f aca="false">IF(B1544="","",IFERROR(INDEX(Brand_Log!$DV$2:$DV$201,MATCH(paid_brands!AC44,Brand_Log!$A$2:$A$201,0))&amp;"",paid_brands!AC44&amp;""))</f>
        <v/>
      </c>
      <c r="E1544" s="23" t="str">
        <f aca="false">IF(B1544="","",IF(paid_brands!C44="","",paid_brands!C44&amp;""))</f>
        <v/>
      </c>
      <c r="F1544" s="23" t="str">
        <f aca="false">IF(B1544="","","paid")</f>
        <v/>
      </c>
      <c r="G1544" s="23" t="str">
        <f aca="false">IF(B1544="","",paid_brands!AX44)</f>
        <v/>
      </c>
      <c r="H1544" s="23" t="str">
        <f aca="false">IF(B1544="","","")</f>
        <v/>
      </c>
      <c r="I1544" s="23" t="str">
        <f aca="false">IF(B1544="","","")</f>
        <v/>
      </c>
      <c r="J1544" s="23" t="str">
        <f aca="false">IF(B1544="","","payment 2; "&amp;paid_brands!AB44&amp;"; "&amp;paid_brands!AD44&amp;"; invoice "&amp;paid_brands!AI44)</f>
        <v/>
      </c>
      <c r="K1544" s="32" t="s">
        <v>1361</v>
      </c>
    </row>
    <row r="1545" customFormat="false" ht="15" hidden="false" customHeight="false" outlineLevel="0" collapsed="false">
      <c r="A1545" s="23" t="str">
        <f aca="false">IF(B1545="","",B1545+(10*1000+44)/10000000)</f>
        <v/>
      </c>
      <c r="B1545" s="35" t="str">
        <f aca="false">IF(AND(ISNUMBER(paid_brands!AY45),ISNUMBER(paid_brands!AX45),TRIM(paid_brands!AC45)&lt;&gt;"",OR(LEFT(paid_brands!AC45,6)&lt;&gt;"SAMPLE",Config!$B$19="Y")),paid_brands!AY45,"")</f>
        <v/>
      </c>
      <c r="C1545" s="23" t="str">
        <f aca="false">IF(B1545="","","brand")</f>
        <v/>
      </c>
      <c r="D1545" s="23" t="str">
        <f aca="false">IF(B1545="","",IFERROR(INDEX(Brand_Log!$DV$2:$DV$201,MATCH(paid_brands!AC45,Brand_Log!$A$2:$A$201,0))&amp;"",paid_brands!AC45&amp;""))</f>
        <v/>
      </c>
      <c r="E1545" s="23" t="str">
        <f aca="false">IF(B1545="","",IF(paid_brands!C45="","",paid_brands!C45&amp;""))</f>
        <v/>
      </c>
      <c r="F1545" s="23" t="str">
        <f aca="false">IF(B1545="","","paid")</f>
        <v/>
      </c>
      <c r="G1545" s="23" t="str">
        <f aca="false">IF(B1545="","",paid_brands!AX45)</f>
        <v/>
      </c>
      <c r="H1545" s="23" t="str">
        <f aca="false">IF(B1545="","","")</f>
        <v/>
      </c>
      <c r="I1545" s="23" t="str">
        <f aca="false">IF(B1545="","","")</f>
        <v/>
      </c>
      <c r="J1545" s="23" t="str">
        <f aca="false">IF(B1545="","","payment 2; "&amp;paid_brands!AB45&amp;"; "&amp;paid_brands!AD45&amp;"; invoice "&amp;paid_brands!AI45)</f>
        <v/>
      </c>
      <c r="K1545" s="32" t="s">
        <v>1361</v>
      </c>
    </row>
    <row r="1546" customFormat="false" ht="15" hidden="false" customHeight="false" outlineLevel="0" collapsed="false">
      <c r="A1546" s="23" t="str">
        <f aca="false">IF(B1546="","",B1546+(10*1000+45)/10000000)</f>
        <v/>
      </c>
      <c r="B1546" s="35" t="str">
        <f aca="false">IF(AND(ISNUMBER(paid_brands!AY46),ISNUMBER(paid_brands!AX46),TRIM(paid_brands!AC46)&lt;&gt;"",OR(LEFT(paid_brands!AC46,6)&lt;&gt;"SAMPLE",Config!$B$19="Y")),paid_brands!AY46,"")</f>
        <v/>
      </c>
      <c r="C1546" s="23" t="str">
        <f aca="false">IF(B1546="","","brand")</f>
        <v/>
      </c>
      <c r="D1546" s="23" t="str">
        <f aca="false">IF(B1546="","",IFERROR(INDEX(Brand_Log!$DV$2:$DV$201,MATCH(paid_brands!AC46,Brand_Log!$A$2:$A$201,0))&amp;"",paid_brands!AC46&amp;""))</f>
        <v/>
      </c>
      <c r="E1546" s="23" t="str">
        <f aca="false">IF(B1546="","",IF(paid_brands!C46="","",paid_brands!C46&amp;""))</f>
        <v/>
      </c>
      <c r="F1546" s="23" t="str">
        <f aca="false">IF(B1546="","","paid")</f>
        <v/>
      </c>
      <c r="G1546" s="23" t="str">
        <f aca="false">IF(B1546="","",paid_brands!AX46)</f>
        <v/>
      </c>
      <c r="H1546" s="23" t="str">
        <f aca="false">IF(B1546="","","")</f>
        <v/>
      </c>
      <c r="I1546" s="23" t="str">
        <f aca="false">IF(B1546="","","")</f>
        <v/>
      </c>
      <c r="J1546" s="23" t="str">
        <f aca="false">IF(B1546="","","payment 2; "&amp;paid_brands!AB46&amp;"; "&amp;paid_brands!AD46&amp;"; invoice "&amp;paid_brands!AI46)</f>
        <v/>
      </c>
      <c r="K1546" s="32" t="s">
        <v>1361</v>
      </c>
    </row>
    <row r="1547" customFormat="false" ht="15" hidden="false" customHeight="false" outlineLevel="0" collapsed="false">
      <c r="A1547" s="23" t="str">
        <f aca="false">IF(B1547="","",B1547+(10*1000+46)/10000000)</f>
        <v/>
      </c>
      <c r="B1547" s="35" t="str">
        <f aca="false">IF(AND(ISNUMBER(paid_brands!AY47),ISNUMBER(paid_brands!AX47),TRIM(paid_brands!AC47)&lt;&gt;"",OR(LEFT(paid_brands!AC47,6)&lt;&gt;"SAMPLE",Config!$B$19="Y")),paid_brands!AY47,"")</f>
        <v/>
      </c>
      <c r="C1547" s="23" t="str">
        <f aca="false">IF(B1547="","","brand")</f>
        <v/>
      </c>
      <c r="D1547" s="23" t="str">
        <f aca="false">IF(B1547="","",IFERROR(INDEX(Brand_Log!$DV$2:$DV$201,MATCH(paid_brands!AC47,Brand_Log!$A$2:$A$201,0))&amp;"",paid_brands!AC47&amp;""))</f>
        <v/>
      </c>
      <c r="E1547" s="23" t="str">
        <f aca="false">IF(B1547="","",IF(paid_brands!C47="","",paid_brands!C47&amp;""))</f>
        <v/>
      </c>
      <c r="F1547" s="23" t="str">
        <f aca="false">IF(B1547="","","paid")</f>
        <v/>
      </c>
      <c r="G1547" s="23" t="str">
        <f aca="false">IF(B1547="","",paid_brands!AX47)</f>
        <v/>
      </c>
      <c r="H1547" s="23" t="str">
        <f aca="false">IF(B1547="","","")</f>
        <v/>
      </c>
      <c r="I1547" s="23" t="str">
        <f aca="false">IF(B1547="","","")</f>
        <v/>
      </c>
      <c r="J1547" s="23" t="str">
        <f aca="false">IF(B1547="","","payment 2; "&amp;paid_brands!AB47&amp;"; "&amp;paid_brands!AD47&amp;"; invoice "&amp;paid_brands!AI47)</f>
        <v/>
      </c>
      <c r="K1547" s="32" t="s">
        <v>1361</v>
      </c>
    </row>
    <row r="1548" customFormat="false" ht="15" hidden="false" customHeight="false" outlineLevel="0" collapsed="false">
      <c r="A1548" s="23" t="str">
        <f aca="false">IF(B1548="","",B1548+(10*1000+47)/10000000)</f>
        <v/>
      </c>
      <c r="B1548" s="35" t="str">
        <f aca="false">IF(AND(ISNUMBER(paid_brands!AY48),ISNUMBER(paid_brands!AX48),TRIM(paid_brands!AC48)&lt;&gt;"",OR(LEFT(paid_brands!AC48,6)&lt;&gt;"SAMPLE",Config!$B$19="Y")),paid_brands!AY48,"")</f>
        <v/>
      </c>
      <c r="C1548" s="23" t="str">
        <f aca="false">IF(B1548="","","brand")</f>
        <v/>
      </c>
      <c r="D1548" s="23" t="str">
        <f aca="false">IF(B1548="","",IFERROR(INDEX(Brand_Log!$DV$2:$DV$201,MATCH(paid_brands!AC48,Brand_Log!$A$2:$A$201,0))&amp;"",paid_brands!AC48&amp;""))</f>
        <v/>
      </c>
      <c r="E1548" s="23" t="str">
        <f aca="false">IF(B1548="","",IF(paid_brands!C48="","",paid_brands!C48&amp;""))</f>
        <v/>
      </c>
      <c r="F1548" s="23" t="str">
        <f aca="false">IF(B1548="","","paid")</f>
        <v/>
      </c>
      <c r="G1548" s="23" t="str">
        <f aca="false">IF(B1548="","",paid_brands!AX48)</f>
        <v/>
      </c>
      <c r="H1548" s="23" t="str">
        <f aca="false">IF(B1548="","","")</f>
        <v/>
      </c>
      <c r="I1548" s="23" t="str">
        <f aca="false">IF(B1548="","","")</f>
        <v/>
      </c>
      <c r="J1548" s="23" t="str">
        <f aca="false">IF(B1548="","","payment 2; "&amp;paid_brands!AB48&amp;"; "&amp;paid_brands!AD48&amp;"; invoice "&amp;paid_brands!AI48)</f>
        <v/>
      </c>
      <c r="K1548" s="32" t="s">
        <v>1361</v>
      </c>
    </row>
    <row r="1549" customFormat="false" ht="15" hidden="false" customHeight="false" outlineLevel="0" collapsed="false">
      <c r="A1549" s="23" t="str">
        <f aca="false">IF(B1549="","",B1549+(10*1000+48)/10000000)</f>
        <v/>
      </c>
      <c r="B1549" s="35" t="str">
        <f aca="false">IF(AND(ISNUMBER(paid_brands!AY49),ISNUMBER(paid_brands!AX49),TRIM(paid_brands!AC49)&lt;&gt;"",OR(LEFT(paid_brands!AC49,6)&lt;&gt;"SAMPLE",Config!$B$19="Y")),paid_brands!AY49,"")</f>
        <v/>
      </c>
      <c r="C1549" s="23" t="str">
        <f aca="false">IF(B1549="","","brand")</f>
        <v/>
      </c>
      <c r="D1549" s="23" t="str">
        <f aca="false">IF(B1549="","",IFERROR(INDEX(Brand_Log!$DV$2:$DV$201,MATCH(paid_brands!AC49,Brand_Log!$A$2:$A$201,0))&amp;"",paid_brands!AC49&amp;""))</f>
        <v/>
      </c>
      <c r="E1549" s="23" t="str">
        <f aca="false">IF(B1549="","",IF(paid_brands!C49="","",paid_brands!C49&amp;""))</f>
        <v/>
      </c>
      <c r="F1549" s="23" t="str">
        <f aca="false">IF(B1549="","","paid")</f>
        <v/>
      </c>
      <c r="G1549" s="23" t="str">
        <f aca="false">IF(B1549="","",paid_brands!AX49)</f>
        <v/>
      </c>
      <c r="H1549" s="23" t="str">
        <f aca="false">IF(B1549="","","")</f>
        <v/>
      </c>
      <c r="I1549" s="23" t="str">
        <f aca="false">IF(B1549="","","")</f>
        <v/>
      </c>
      <c r="J1549" s="23" t="str">
        <f aca="false">IF(B1549="","","payment 2; "&amp;paid_brands!AB49&amp;"; "&amp;paid_brands!AD49&amp;"; invoice "&amp;paid_brands!AI49)</f>
        <v/>
      </c>
      <c r="K1549" s="32" t="s">
        <v>1361</v>
      </c>
    </row>
    <row r="1550" customFormat="false" ht="15" hidden="false" customHeight="false" outlineLevel="0" collapsed="false">
      <c r="A1550" s="23" t="str">
        <f aca="false">IF(B1550="","",B1550+(10*1000+49)/10000000)</f>
        <v/>
      </c>
      <c r="B1550" s="35" t="str">
        <f aca="false">IF(AND(ISNUMBER(paid_brands!AY50),ISNUMBER(paid_brands!AX50),TRIM(paid_brands!AC50)&lt;&gt;"",OR(LEFT(paid_brands!AC50,6)&lt;&gt;"SAMPLE",Config!$B$19="Y")),paid_brands!AY50,"")</f>
        <v/>
      </c>
      <c r="C1550" s="23" t="str">
        <f aca="false">IF(B1550="","","brand")</f>
        <v/>
      </c>
      <c r="D1550" s="23" t="str">
        <f aca="false">IF(B1550="","",IFERROR(INDEX(Brand_Log!$DV$2:$DV$201,MATCH(paid_brands!AC50,Brand_Log!$A$2:$A$201,0))&amp;"",paid_brands!AC50&amp;""))</f>
        <v/>
      </c>
      <c r="E1550" s="23" t="str">
        <f aca="false">IF(B1550="","",IF(paid_brands!C50="","",paid_brands!C50&amp;""))</f>
        <v/>
      </c>
      <c r="F1550" s="23" t="str">
        <f aca="false">IF(B1550="","","paid")</f>
        <v/>
      </c>
      <c r="G1550" s="23" t="str">
        <f aca="false">IF(B1550="","",paid_brands!AX50)</f>
        <v/>
      </c>
      <c r="H1550" s="23" t="str">
        <f aca="false">IF(B1550="","","")</f>
        <v/>
      </c>
      <c r="I1550" s="23" t="str">
        <f aca="false">IF(B1550="","","")</f>
        <v/>
      </c>
      <c r="J1550" s="23" t="str">
        <f aca="false">IF(B1550="","","payment 2; "&amp;paid_brands!AB50&amp;"; "&amp;paid_brands!AD50&amp;"; invoice "&amp;paid_brands!AI50)</f>
        <v/>
      </c>
      <c r="K1550" s="32" t="s">
        <v>1361</v>
      </c>
    </row>
    <row r="1551" customFormat="false" ht="15" hidden="false" customHeight="false" outlineLevel="0" collapsed="false">
      <c r="A1551" s="23" t="str">
        <f aca="false">IF(B1551="","",B1551+(10*1000+50)/10000000)</f>
        <v/>
      </c>
      <c r="B1551" s="35" t="str">
        <f aca="false">IF(AND(ISNUMBER(paid_brands!AY51),ISNUMBER(paid_brands!AX51),TRIM(paid_brands!AC51)&lt;&gt;"",OR(LEFT(paid_brands!AC51,6)&lt;&gt;"SAMPLE",Config!$B$19="Y")),paid_brands!AY51,"")</f>
        <v/>
      </c>
      <c r="C1551" s="23" t="str">
        <f aca="false">IF(B1551="","","brand")</f>
        <v/>
      </c>
      <c r="D1551" s="23" t="str">
        <f aca="false">IF(B1551="","",IFERROR(INDEX(Brand_Log!$DV$2:$DV$201,MATCH(paid_brands!AC51,Brand_Log!$A$2:$A$201,0))&amp;"",paid_brands!AC51&amp;""))</f>
        <v/>
      </c>
      <c r="E1551" s="23" t="str">
        <f aca="false">IF(B1551="","",IF(paid_brands!C51="","",paid_brands!C51&amp;""))</f>
        <v/>
      </c>
      <c r="F1551" s="23" t="str">
        <f aca="false">IF(B1551="","","paid")</f>
        <v/>
      </c>
      <c r="G1551" s="23" t="str">
        <f aca="false">IF(B1551="","",paid_brands!AX51)</f>
        <v/>
      </c>
      <c r="H1551" s="23" t="str">
        <f aca="false">IF(B1551="","","")</f>
        <v/>
      </c>
      <c r="I1551" s="23" t="str">
        <f aca="false">IF(B1551="","","")</f>
        <v/>
      </c>
      <c r="J1551" s="23" t="str">
        <f aca="false">IF(B1551="","","payment 2; "&amp;paid_brands!AB51&amp;"; "&amp;paid_brands!AD51&amp;"; invoice "&amp;paid_brands!AI51)</f>
        <v/>
      </c>
      <c r="K1551" s="32" t="s">
        <v>1361</v>
      </c>
    </row>
    <row r="1552" customFormat="false" ht="15" hidden="false" customHeight="false" outlineLevel="0" collapsed="false">
      <c r="A1552" s="42" t="n">
        <f aca="false">IF(B1552="","",B1552+(11*1000+1)/10000000)</f>
        <v>46414.0011001</v>
      </c>
      <c r="B1552" s="35" t="n">
        <f aca="false">IF(AND(ISNUMBER(later_events!A2),TRIM(later_events!C2)&lt;&gt;"",OR(later_events!E2="renewal_answer",later_events!E2="opt_out"),OR(LEFT(later_events!C2,6)&lt;&gt;"SAMPLE",Config!$B$19="Y")),later_events!A2,"")</f>
        <v>46414</v>
      </c>
      <c r="C1552" s="23" t="str">
        <f aca="false">IF(B1552="","",later_events!B2&amp;"")</f>
        <v>brand</v>
      </c>
      <c r="D1552" s="23" t="str">
        <f aca="false">IF(B1552="","",IF(later_events!B2="office",IFERROR(INDEX(Office_Log!$ED$2:$ED$201,MATCH(later_events!C2,Office_Log!$A$2:$A$201,0))&amp;"",later_events!C2&amp;""),IFERROR(INDEX(Brand_Log!$DV$2:$DV$201,MATCH(later_events!C2,Brand_Log!$A$2:$A$201,0))&amp;"",later_events!C2&amp;"")))</f>
        <v>SAMPLE-B-001</v>
      </c>
      <c r="E1552" s="23" t="str">
        <f aca="false">IF(B1552="","",IF(later_events!D2="","",later_events!D2&amp;""))</f>
        <v>SAMPLE Brand 01</v>
      </c>
      <c r="F1552" s="23" t="str">
        <f aca="false">IF(B1552="","",later_events!E2&amp;"")</f>
        <v>renewal_answer</v>
      </c>
      <c r="G1552" s="23" t="str">
        <f aca="false">IF(B1552="","",IF(ISNUMBER(later_events!F2),later_events!F2,""))</f>
        <v/>
      </c>
      <c r="H1552" s="23" t="str">
        <f aca="false">IF(B1552="","",IF(later_events!G2="","",later_events!G2&amp;""))</f>
        <v>maybe</v>
      </c>
      <c r="I1552" s="23" t="str">
        <f aca="false">IF(B1552="","","")</f>
        <v/>
      </c>
      <c r="J1552" s="23" t="str">
        <f aca="false">IF(B1552="","",IF(later_events!H2="","",later_events!H2&amp;""))</f>
        <v>SAMPLE: debrief, wants the report first</v>
      </c>
      <c r="K1552" s="32" t="s">
        <v>1362</v>
      </c>
    </row>
    <row r="1553" customFormat="false" ht="15" hidden="false" customHeight="false" outlineLevel="0" collapsed="false">
      <c r="A1553" s="23" t="str">
        <f aca="false">IF(B1553="","",B1553+(11*1000+2)/10000000)</f>
        <v/>
      </c>
      <c r="B1553" s="35" t="str">
        <f aca="false">IF(AND(ISNUMBER(later_events!A3),TRIM(later_events!C3)&lt;&gt;"",OR(later_events!E3="renewal_answer",later_events!E3="opt_out"),OR(LEFT(later_events!C3,6)&lt;&gt;"SAMPLE",Config!$B$19="Y")),later_events!A3,"")</f>
        <v/>
      </c>
      <c r="C1553" s="23" t="str">
        <f aca="false">IF(B1553="","",later_events!B3&amp;"")</f>
        <v/>
      </c>
      <c r="D1553" s="23" t="str">
        <f aca="false">IF(B1553="","",IF(later_events!B3="office",IFERROR(INDEX(Office_Log!$ED$2:$ED$201,MATCH(later_events!C3,Office_Log!$A$2:$A$201,0))&amp;"",later_events!C3&amp;""),IFERROR(INDEX(Brand_Log!$DV$2:$DV$201,MATCH(later_events!C3,Brand_Log!$A$2:$A$201,0))&amp;"",later_events!C3&amp;"")))</f>
        <v/>
      </c>
      <c r="E1553" s="23" t="str">
        <f aca="false">IF(B1553="","",IF(later_events!D3="","",later_events!D3&amp;""))</f>
        <v/>
      </c>
      <c r="F1553" s="23" t="str">
        <f aca="false">IF(B1553="","",later_events!E3&amp;"")</f>
        <v/>
      </c>
      <c r="G1553" s="23" t="str">
        <f aca="false">IF(B1553="","",IF(ISNUMBER(later_events!F3),later_events!F3,""))</f>
        <v/>
      </c>
      <c r="H1553" s="23" t="str">
        <f aca="false">IF(B1553="","",IF(later_events!G3="","",later_events!G3&amp;""))</f>
        <v/>
      </c>
      <c r="I1553" s="23" t="str">
        <f aca="false">IF(B1553="","","")</f>
        <v/>
      </c>
      <c r="J1553" s="23" t="str">
        <f aca="false">IF(B1553="","",IF(later_events!H3="","",later_events!H3&amp;""))</f>
        <v/>
      </c>
      <c r="K1553" s="32" t="s">
        <v>1362</v>
      </c>
    </row>
    <row r="1554" customFormat="false" ht="15" hidden="false" customHeight="false" outlineLevel="0" collapsed="false">
      <c r="A1554" s="23" t="str">
        <f aca="false">IF(B1554="","",B1554+(11*1000+3)/10000000)</f>
        <v/>
      </c>
      <c r="B1554" s="35" t="str">
        <f aca="false">IF(AND(ISNUMBER(later_events!A4),TRIM(later_events!C4)&lt;&gt;"",OR(later_events!E4="renewal_answer",later_events!E4="opt_out"),OR(LEFT(later_events!C4,6)&lt;&gt;"SAMPLE",Config!$B$19="Y")),later_events!A4,"")</f>
        <v/>
      </c>
      <c r="C1554" s="23" t="str">
        <f aca="false">IF(B1554="","",later_events!B4&amp;"")</f>
        <v/>
      </c>
      <c r="D1554" s="23" t="str">
        <f aca="false">IF(B1554="","",IF(later_events!B4="office",IFERROR(INDEX(Office_Log!$ED$2:$ED$201,MATCH(later_events!C4,Office_Log!$A$2:$A$201,0))&amp;"",later_events!C4&amp;""),IFERROR(INDEX(Brand_Log!$DV$2:$DV$201,MATCH(later_events!C4,Brand_Log!$A$2:$A$201,0))&amp;"",later_events!C4&amp;"")))</f>
        <v/>
      </c>
      <c r="E1554" s="23" t="str">
        <f aca="false">IF(B1554="","",IF(later_events!D4="","",later_events!D4&amp;""))</f>
        <v/>
      </c>
      <c r="F1554" s="23" t="str">
        <f aca="false">IF(B1554="","",later_events!E4&amp;"")</f>
        <v/>
      </c>
      <c r="G1554" s="23" t="str">
        <f aca="false">IF(B1554="","",IF(ISNUMBER(later_events!F4),later_events!F4,""))</f>
        <v/>
      </c>
      <c r="H1554" s="23" t="str">
        <f aca="false">IF(B1554="","",IF(later_events!G4="","",later_events!G4&amp;""))</f>
        <v/>
      </c>
      <c r="I1554" s="23" t="str">
        <f aca="false">IF(B1554="","","")</f>
        <v/>
      </c>
      <c r="J1554" s="23" t="str">
        <f aca="false">IF(B1554="","",IF(later_events!H4="","",later_events!H4&amp;""))</f>
        <v/>
      </c>
      <c r="K1554" s="32" t="s">
        <v>1362</v>
      </c>
    </row>
    <row r="1555" customFormat="false" ht="15" hidden="false" customHeight="false" outlineLevel="0" collapsed="false">
      <c r="A1555" s="23" t="str">
        <f aca="false">IF(B1555="","",B1555+(11*1000+4)/10000000)</f>
        <v/>
      </c>
      <c r="B1555" s="35" t="str">
        <f aca="false">IF(AND(ISNUMBER(later_events!A5),TRIM(later_events!C5)&lt;&gt;"",OR(later_events!E5="renewal_answer",later_events!E5="opt_out"),OR(LEFT(later_events!C5,6)&lt;&gt;"SAMPLE",Config!$B$19="Y")),later_events!A5,"")</f>
        <v/>
      </c>
      <c r="C1555" s="23" t="str">
        <f aca="false">IF(B1555="","",later_events!B5&amp;"")</f>
        <v/>
      </c>
      <c r="D1555" s="23" t="str">
        <f aca="false">IF(B1555="","",IF(later_events!B5="office",IFERROR(INDEX(Office_Log!$ED$2:$ED$201,MATCH(later_events!C5,Office_Log!$A$2:$A$201,0))&amp;"",later_events!C5&amp;""),IFERROR(INDEX(Brand_Log!$DV$2:$DV$201,MATCH(later_events!C5,Brand_Log!$A$2:$A$201,0))&amp;"",later_events!C5&amp;"")))</f>
        <v/>
      </c>
      <c r="E1555" s="23" t="str">
        <f aca="false">IF(B1555="","",IF(later_events!D5="","",later_events!D5&amp;""))</f>
        <v/>
      </c>
      <c r="F1555" s="23" t="str">
        <f aca="false">IF(B1555="","",later_events!E5&amp;"")</f>
        <v/>
      </c>
      <c r="G1555" s="23" t="str">
        <f aca="false">IF(B1555="","",IF(ISNUMBER(later_events!F5),later_events!F5,""))</f>
        <v/>
      </c>
      <c r="H1555" s="23" t="str">
        <f aca="false">IF(B1555="","",IF(later_events!G5="","",later_events!G5&amp;""))</f>
        <v/>
      </c>
      <c r="I1555" s="23" t="str">
        <f aca="false">IF(B1555="","","")</f>
        <v/>
      </c>
      <c r="J1555" s="23" t="str">
        <f aca="false">IF(B1555="","",IF(later_events!H5="","",later_events!H5&amp;""))</f>
        <v/>
      </c>
      <c r="K1555" s="32" t="s">
        <v>1362</v>
      </c>
    </row>
    <row r="1556" customFormat="false" ht="15" hidden="false" customHeight="false" outlineLevel="0" collapsed="false">
      <c r="A1556" s="23" t="str">
        <f aca="false">IF(B1556="","",B1556+(11*1000+5)/10000000)</f>
        <v/>
      </c>
      <c r="B1556" s="35" t="str">
        <f aca="false">IF(AND(ISNUMBER(later_events!A6),TRIM(later_events!C6)&lt;&gt;"",OR(later_events!E6="renewal_answer",later_events!E6="opt_out"),OR(LEFT(later_events!C6,6)&lt;&gt;"SAMPLE",Config!$B$19="Y")),later_events!A6,"")</f>
        <v/>
      </c>
      <c r="C1556" s="23" t="str">
        <f aca="false">IF(B1556="","",later_events!B6&amp;"")</f>
        <v/>
      </c>
      <c r="D1556" s="23" t="str">
        <f aca="false">IF(B1556="","",IF(later_events!B6="office",IFERROR(INDEX(Office_Log!$ED$2:$ED$201,MATCH(later_events!C6,Office_Log!$A$2:$A$201,0))&amp;"",later_events!C6&amp;""),IFERROR(INDEX(Brand_Log!$DV$2:$DV$201,MATCH(later_events!C6,Brand_Log!$A$2:$A$201,0))&amp;"",later_events!C6&amp;"")))</f>
        <v/>
      </c>
      <c r="E1556" s="23" t="str">
        <f aca="false">IF(B1556="","",IF(later_events!D6="","",later_events!D6&amp;""))</f>
        <v/>
      </c>
      <c r="F1556" s="23" t="str">
        <f aca="false">IF(B1556="","",later_events!E6&amp;"")</f>
        <v/>
      </c>
      <c r="G1556" s="23" t="str">
        <f aca="false">IF(B1556="","",IF(ISNUMBER(later_events!F6),later_events!F6,""))</f>
        <v/>
      </c>
      <c r="H1556" s="23" t="str">
        <f aca="false">IF(B1556="","",IF(later_events!G6="","",later_events!G6&amp;""))</f>
        <v/>
      </c>
      <c r="I1556" s="23" t="str">
        <f aca="false">IF(B1556="","","")</f>
        <v/>
      </c>
      <c r="J1556" s="23" t="str">
        <f aca="false">IF(B1556="","",IF(later_events!H6="","",later_events!H6&amp;""))</f>
        <v/>
      </c>
      <c r="K1556" s="32" t="s">
        <v>1362</v>
      </c>
    </row>
    <row r="1557" customFormat="false" ht="15" hidden="false" customHeight="false" outlineLevel="0" collapsed="false">
      <c r="A1557" s="23" t="str">
        <f aca="false">IF(B1557="","",B1557+(11*1000+6)/10000000)</f>
        <v/>
      </c>
      <c r="B1557" s="35" t="str">
        <f aca="false">IF(AND(ISNUMBER(later_events!A7),TRIM(later_events!C7)&lt;&gt;"",OR(later_events!E7="renewal_answer",later_events!E7="opt_out"),OR(LEFT(later_events!C7,6)&lt;&gt;"SAMPLE",Config!$B$19="Y")),later_events!A7,"")</f>
        <v/>
      </c>
      <c r="C1557" s="23" t="str">
        <f aca="false">IF(B1557="","",later_events!B7&amp;"")</f>
        <v/>
      </c>
      <c r="D1557" s="23" t="str">
        <f aca="false">IF(B1557="","",IF(later_events!B7="office",IFERROR(INDEX(Office_Log!$ED$2:$ED$201,MATCH(later_events!C7,Office_Log!$A$2:$A$201,0))&amp;"",later_events!C7&amp;""),IFERROR(INDEX(Brand_Log!$DV$2:$DV$201,MATCH(later_events!C7,Brand_Log!$A$2:$A$201,0))&amp;"",later_events!C7&amp;"")))</f>
        <v/>
      </c>
      <c r="E1557" s="23" t="str">
        <f aca="false">IF(B1557="","",IF(later_events!D7="","",later_events!D7&amp;""))</f>
        <v/>
      </c>
      <c r="F1557" s="23" t="str">
        <f aca="false">IF(B1557="","",later_events!E7&amp;"")</f>
        <v/>
      </c>
      <c r="G1557" s="23" t="str">
        <f aca="false">IF(B1557="","",IF(ISNUMBER(later_events!F7),later_events!F7,""))</f>
        <v/>
      </c>
      <c r="H1557" s="23" t="str">
        <f aca="false">IF(B1557="","",IF(later_events!G7="","",later_events!G7&amp;""))</f>
        <v/>
      </c>
      <c r="I1557" s="23" t="str">
        <f aca="false">IF(B1557="","","")</f>
        <v/>
      </c>
      <c r="J1557" s="23" t="str">
        <f aca="false">IF(B1557="","",IF(later_events!H7="","",later_events!H7&amp;""))</f>
        <v/>
      </c>
      <c r="K1557" s="32" t="s">
        <v>1362</v>
      </c>
    </row>
    <row r="1558" customFormat="false" ht="15" hidden="false" customHeight="false" outlineLevel="0" collapsed="false">
      <c r="A1558" s="23" t="str">
        <f aca="false">IF(B1558="","",B1558+(11*1000+7)/10000000)</f>
        <v/>
      </c>
      <c r="B1558" s="35" t="str">
        <f aca="false">IF(AND(ISNUMBER(later_events!A8),TRIM(later_events!C8)&lt;&gt;"",OR(later_events!E8="renewal_answer",later_events!E8="opt_out"),OR(LEFT(later_events!C8,6)&lt;&gt;"SAMPLE",Config!$B$19="Y")),later_events!A8,"")</f>
        <v/>
      </c>
      <c r="C1558" s="23" t="str">
        <f aca="false">IF(B1558="","",later_events!B8&amp;"")</f>
        <v/>
      </c>
      <c r="D1558" s="23" t="str">
        <f aca="false">IF(B1558="","",IF(later_events!B8="office",IFERROR(INDEX(Office_Log!$ED$2:$ED$201,MATCH(later_events!C8,Office_Log!$A$2:$A$201,0))&amp;"",later_events!C8&amp;""),IFERROR(INDEX(Brand_Log!$DV$2:$DV$201,MATCH(later_events!C8,Brand_Log!$A$2:$A$201,0))&amp;"",later_events!C8&amp;"")))</f>
        <v/>
      </c>
      <c r="E1558" s="23" t="str">
        <f aca="false">IF(B1558="","",IF(later_events!D8="","",later_events!D8&amp;""))</f>
        <v/>
      </c>
      <c r="F1558" s="23" t="str">
        <f aca="false">IF(B1558="","",later_events!E8&amp;"")</f>
        <v/>
      </c>
      <c r="G1558" s="23" t="str">
        <f aca="false">IF(B1558="","",IF(ISNUMBER(later_events!F8),later_events!F8,""))</f>
        <v/>
      </c>
      <c r="H1558" s="23" t="str">
        <f aca="false">IF(B1558="","",IF(later_events!G8="","",later_events!G8&amp;""))</f>
        <v/>
      </c>
      <c r="I1558" s="23" t="str">
        <f aca="false">IF(B1558="","","")</f>
        <v/>
      </c>
      <c r="J1558" s="23" t="str">
        <f aca="false">IF(B1558="","",IF(later_events!H8="","",later_events!H8&amp;""))</f>
        <v/>
      </c>
      <c r="K1558" s="32" t="s">
        <v>1362</v>
      </c>
    </row>
    <row r="1559" customFormat="false" ht="15" hidden="false" customHeight="false" outlineLevel="0" collapsed="false">
      <c r="A1559" s="23" t="str">
        <f aca="false">IF(B1559="","",B1559+(11*1000+8)/10000000)</f>
        <v/>
      </c>
      <c r="B1559" s="35" t="str">
        <f aca="false">IF(AND(ISNUMBER(later_events!A9),TRIM(later_events!C9)&lt;&gt;"",OR(later_events!E9="renewal_answer",later_events!E9="opt_out"),OR(LEFT(later_events!C9,6)&lt;&gt;"SAMPLE",Config!$B$19="Y")),later_events!A9,"")</f>
        <v/>
      </c>
      <c r="C1559" s="23" t="str">
        <f aca="false">IF(B1559="","",later_events!B9&amp;"")</f>
        <v/>
      </c>
      <c r="D1559" s="23" t="str">
        <f aca="false">IF(B1559="","",IF(later_events!B9="office",IFERROR(INDEX(Office_Log!$ED$2:$ED$201,MATCH(later_events!C9,Office_Log!$A$2:$A$201,0))&amp;"",later_events!C9&amp;""),IFERROR(INDEX(Brand_Log!$DV$2:$DV$201,MATCH(later_events!C9,Brand_Log!$A$2:$A$201,0))&amp;"",later_events!C9&amp;"")))</f>
        <v/>
      </c>
      <c r="E1559" s="23" t="str">
        <f aca="false">IF(B1559="","",IF(later_events!D9="","",later_events!D9&amp;""))</f>
        <v/>
      </c>
      <c r="F1559" s="23" t="str">
        <f aca="false">IF(B1559="","",later_events!E9&amp;"")</f>
        <v/>
      </c>
      <c r="G1559" s="23" t="str">
        <f aca="false">IF(B1559="","",IF(ISNUMBER(later_events!F9),later_events!F9,""))</f>
        <v/>
      </c>
      <c r="H1559" s="23" t="str">
        <f aca="false">IF(B1559="","",IF(later_events!G9="","",later_events!G9&amp;""))</f>
        <v/>
      </c>
      <c r="I1559" s="23" t="str">
        <f aca="false">IF(B1559="","","")</f>
        <v/>
      </c>
      <c r="J1559" s="23" t="str">
        <f aca="false">IF(B1559="","",IF(later_events!H9="","",later_events!H9&amp;""))</f>
        <v/>
      </c>
      <c r="K1559" s="32" t="s">
        <v>1362</v>
      </c>
    </row>
    <row r="1560" customFormat="false" ht="15" hidden="false" customHeight="false" outlineLevel="0" collapsed="false">
      <c r="A1560" s="23" t="str">
        <f aca="false">IF(B1560="","",B1560+(11*1000+9)/10000000)</f>
        <v/>
      </c>
      <c r="B1560" s="35" t="str">
        <f aca="false">IF(AND(ISNUMBER(later_events!A10),TRIM(later_events!C10)&lt;&gt;"",OR(later_events!E10="renewal_answer",later_events!E10="opt_out"),OR(LEFT(later_events!C10,6)&lt;&gt;"SAMPLE",Config!$B$19="Y")),later_events!A10,"")</f>
        <v/>
      </c>
      <c r="C1560" s="23" t="str">
        <f aca="false">IF(B1560="","",later_events!B10&amp;"")</f>
        <v/>
      </c>
      <c r="D1560" s="23" t="str">
        <f aca="false">IF(B1560="","",IF(later_events!B10="office",IFERROR(INDEX(Office_Log!$ED$2:$ED$201,MATCH(later_events!C10,Office_Log!$A$2:$A$201,0))&amp;"",later_events!C10&amp;""),IFERROR(INDEX(Brand_Log!$DV$2:$DV$201,MATCH(later_events!C10,Brand_Log!$A$2:$A$201,0))&amp;"",later_events!C10&amp;"")))</f>
        <v/>
      </c>
      <c r="E1560" s="23" t="str">
        <f aca="false">IF(B1560="","",IF(later_events!D10="","",later_events!D10&amp;""))</f>
        <v/>
      </c>
      <c r="F1560" s="23" t="str">
        <f aca="false">IF(B1560="","",later_events!E10&amp;"")</f>
        <v/>
      </c>
      <c r="G1560" s="23" t="str">
        <f aca="false">IF(B1560="","",IF(ISNUMBER(later_events!F10),later_events!F10,""))</f>
        <v/>
      </c>
      <c r="H1560" s="23" t="str">
        <f aca="false">IF(B1560="","",IF(later_events!G10="","",later_events!G10&amp;""))</f>
        <v/>
      </c>
      <c r="I1560" s="23" t="str">
        <f aca="false">IF(B1560="","","")</f>
        <v/>
      </c>
      <c r="J1560" s="23" t="str">
        <f aca="false">IF(B1560="","",IF(later_events!H10="","",later_events!H10&amp;""))</f>
        <v/>
      </c>
      <c r="K1560" s="32" t="s">
        <v>1362</v>
      </c>
    </row>
    <row r="1561" customFormat="false" ht="15" hidden="false" customHeight="false" outlineLevel="0" collapsed="false">
      <c r="A1561" s="23" t="str">
        <f aca="false">IF(B1561="","",B1561+(11*1000+10)/10000000)</f>
        <v/>
      </c>
      <c r="B1561" s="35" t="str">
        <f aca="false">IF(AND(ISNUMBER(later_events!A11),TRIM(later_events!C11)&lt;&gt;"",OR(later_events!E11="renewal_answer",later_events!E11="opt_out"),OR(LEFT(later_events!C11,6)&lt;&gt;"SAMPLE",Config!$B$19="Y")),later_events!A11,"")</f>
        <v/>
      </c>
      <c r="C1561" s="23" t="str">
        <f aca="false">IF(B1561="","",later_events!B11&amp;"")</f>
        <v/>
      </c>
      <c r="D1561" s="23" t="str">
        <f aca="false">IF(B1561="","",IF(later_events!B11="office",IFERROR(INDEX(Office_Log!$ED$2:$ED$201,MATCH(later_events!C11,Office_Log!$A$2:$A$201,0))&amp;"",later_events!C11&amp;""),IFERROR(INDEX(Brand_Log!$DV$2:$DV$201,MATCH(later_events!C11,Brand_Log!$A$2:$A$201,0))&amp;"",later_events!C11&amp;"")))</f>
        <v/>
      </c>
      <c r="E1561" s="23" t="str">
        <f aca="false">IF(B1561="","",IF(later_events!D11="","",later_events!D11&amp;""))</f>
        <v/>
      </c>
      <c r="F1561" s="23" t="str">
        <f aca="false">IF(B1561="","",later_events!E11&amp;"")</f>
        <v/>
      </c>
      <c r="G1561" s="23" t="str">
        <f aca="false">IF(B1561="","",IF(ISNUMBER(later_events!F11),later_events!F11,""))</f>
        <v/>
      </c>
      <c r="H1561" s="23" t="str">
        <f aca="false">IF(B1561="","",IF(later_events!G11="","",later_events!G11&amp;""))</f>
        <v/>
      </c>
      <c r="I1561" s="23" t="str">
        <f aca="false">IF(B1561="","","")</f>
        <v/>
      </c>
      <c r="J1561" s="23" t="str">
        <f aca="false">IF(B1561="","",IF(later_events!H11="","",later_events!H11&amp;""))</f>
        <v/>
      </c>
      <c r="K1561" s="32" t="s">
        <v>1362</v>
      </c>
    </row>
    <row r="1562" customFormat="false" ht="15" hidden="false" customHeight="false" outlineLevel="0" collapsed="false">
      <c r="A1562" s="23" t="str">
        <f aca="false">IF(B1562="","",B1562+(11*1000+11)/10000000)</f>
        <v/>
      </c>
      <c r="B1562" s="35" t="str">
        <f aca="false">IF(AND(ISNUMBER(later_events!A12),TRIM(later_events!C12)&lt;&gt;"",OR(later_events!E12="renewal_answer",later_events!E12="opt_out"),OR(LEFT(later_events!C12,6)&lt;&gt;"SAMPLE",Config!$B$19="Y")),later_events!A12,"")</f>
        <v/>
      </c>
      <c r="C1562" s="23" t="str">
        <f aca="false">IF(B1562="","",later_events!B12&amp;"")</f>
        <v/>
      </c>
      <c r="D1562" s="23" t="str">
        <f aca="false">IF(B1562="","",IF(later_events!B12="office",IFERROR(INDEX(Office_Log!$ED$2:$ED$201,MATCH(later_events!C12,Office_Log!$A$2:$A$201,0))&amp;"",later_events!C12&amp;""),IFERROR(INDEX(Brand_Log!$DV$2:$DV$201,MATCH(later_events!C12,Brand_Log!$A$2:$A$201,0))&amp;"",later_events!C12&amp;"")))</f>
        <v/>
      </c>
      <c r="E1562" s="23" t="str">
        <f aca="false">IF(B1562="","",IF(later_events!D12="","",later_events!D12&amp;""))</f>
        <v/>
      </c>
      <c r="F1562" s="23" t="str">
        <f aca="false">IF(B1562="","",later_events!E12&amp;"")</f>
        <v/>
      </c>
      <c r="G1562" s="23" t="str">
        <f aca="false">IF(B1562="","",IF(ISNUMBER(later_events!F12),later_events!F12,""))</f>
        <v/>
      </c>
      <c r="H1562" s="23" t="str">
        <f aca="false">IF(B1562="","",IF(later_events!G12="","",later_events!G12&amp;""))</f>
        <v/>
      </c>
      <c r="I1562" s="23" t="str">
        <f aca="false">IF(B1562="","","")</f>
        <v/>
      </c>
      <c r="J1562" s="23" t="str">
        <f aca="false">IF(B1562="","",IF(later_events!H12="","",later_events!H12&amp;""))</f>
        <v/>
      </c>
      <c r="K1562" s="32" t="s">
        <v>1362</v>
      </c>
    </row>
    <row r="1563" customFormat="false" ht="15" hidden="false" customHeight="false" outlineLevel="0" collapsed="false">
      <c r="A1563" s="23" t="str">
        <f aca="false">IF(B1563="","",B1563+(11*1000+12)/10000000)</f>
        <v/>
      </c>
      <c r="B1563" s="35" t="str">
        <f aca="false">IF(AND(ISNUMBER(later_events!A13),TRIM(later_events!C13)&lt;&gt;"",OR(later_events!E13="renewal_answer",later_events!E13="opt_out"),OR(LEFT(later_events!C13,6)&lt;&gt;"SAMPLE",Config!$B$19="Y")),later_events!A13,"")</f>
        <v/>
      </c>
      <c r="C1563" s="23" t="str">
        <f aca="false">IF(B1563="","",later_events!B13&amp;"")</f>
        <v/>
      </c>
      <c r="D1563" s="23" t="str">
        <f aca="false">IF(B1563="","",IF(later_events!B13="office",IFERROR(INDEX(Office_Log!$ED$2:$ED$201,MATCH(later_events!C13,Office_Log!$A$2:$A$201,0))&amp;"",later_events!C13&amp;""),IFERROR(INDEX(Brand_Log!$DV$2:$DV$201,MATCH(later_events!C13,Brand_Log!$A$2:$A$201,0))&amp;"",later_events!C13&amp;"")))</f>
        <v/>
      </c>
      <c r="E1563" s="23" t="str">
        <f aca="false">IF(B1563="","",IF(later_events!D13="","",later_events!D13&amp;""))</f>
        <v/>
      </c>
      <c r="F1563" s="23" t="str">
        <f aca="false">IF(B1563="","",later_events!E13&amp;"")</f>
        <v/>
      </c>
      <c r="G1563" s="23" t="str">
        <f aca="false">IF(B1563="","",IF(ISNUMBER(later_events!F13),later_events!F13,""))</f>
        <v/>
      </c>
      <c r="H1563" s="23" t="str">
        <f aca="false">IF(B1563="","",IF(later_events!G13="","",later_events!G13&amp;""))</f>
        <v/>
      </c>
      <c r="I1563" s="23" t="str">
        <f aca="false">IF(B1563="","","")</f>
        <v/>
      </c>
      <c r="J1563" s="23" t="str">
        <f aca="false">IF(B1563="","",IF(later_events!H13="","",later_events!H13&amp;""))</f>
        <v/>
      </c>
      <c r="K1563" s="32" t="s">
        <v>1362</v>
      </c>
    </row>
    <row r="1564" customFormat="false" ht="15" hidden="false" customHeight="false" outlineLevel="0" collapsed="false">
      <c r="A1564" s="23" t="str">
        <f aca="false">IF(B1564="","",B1564+(11*1000+13)/10000000)</f>
        <v/>
      </c>
      <c r="B1564" s="35" t="str">
        <f aca="false">IF(AND(ISNUMBER(later_events!A14),TRIM(later_events!C14)&lt;&gt;"",OR(later_events!E14="renewal_answer",later_events!E14="opt_out"),OR(LEFT(later_events!C14,6)&lt;&gt;"SAMPLE",Config!$B$19="Y")),later_events!A14,"")</f>
        <v/>
      </c>
      <c r="C1564" s="23" t="str">
        <f aca="false">IF(B1564="","",later_events!B14&amp;"")</f>
        <v/>
      </c>
      <c r="D1564" s="23" t="str">
        <f aca="false">IF(B1564="","",IF(later_events!B14="office",IFERROR(INDEX(Office_Log!$ED$2:$ED$201,MATCH(later_events!C14,Office_Log!$A$2:$A$201,0))&amp;"",later_events!C14&amp;""),IFERROR(INDEX(Brand_Log!$DV$2:$DV$201,MATCH(later_events!C14,Brand_Log!$A$2:$A$201,0))&amp;"",later_events!C14&amp;"")))</f>
        <v/>
      </c>
      <c r="E1564" s="23" t="str">
        <f aca="false">IF(B1564="","",IF(later_events!D14="","",later_events!D14&amp;""))</f>
        <v/>
      </c>
      <c r="F1564" s="23" t="str">
        <f aca="false">IF(B1564="","",later_events!E14&amp;"")</f>
        <v/>
      </c>
      <c r="G1564" s="23" t="str">
        <f aca="false">IF(B1564="","",IF(ISNUMBER(later_events!F14),later_events!F14,""))</f>
        <v/>
      </c>
      <c r="H1564" s="23" t="str">
        <f aca="false">IF(B1564="","",IF(later_events!G14="","",later_events!G14&amp;""))</f>
        <v/>
      </c>
      <c r="I1564" s="23" t="str">
        <f aca="false">IF(B1564="","","")</f>
        <v/>
      </c>
      <c r="J1564" s="23" t="str">
        <f aca="false">IF(B1564="","",IF(later_events!H14="","",later_events!H14&amp;""))</f>
        <v/>
      </c>
      <c r="K1564" s="32" t="s">
        <v>1362</v>
      </c>
    </row>
    <row r="1565" customFormat="false" ht="15" hidden="false" customHeight="false" outlineLevel="0" collapsed="false">
      <c r="A1565" s="23" t="str">
        <f aca="false">IF(B1565="","",B1565+(11*1000+14)/10000000)</f>
        <v/>
      </c>
      <c r="B1565" s="35" t="str">
        <f aca="false">IF(AND(ISNUMBER(later_events!A15),TRIM(later_events!C15)&lt;&gt;"",OR(later_events!E15="renewal_answer",later_events!E15="opt_out"),OR(LEFT(later_events!C15,6)&lt;&gt;"SAMPLE",Config!$B$19="Y")),later_events!A15,"")</f>
        <v/>
      </c>
      <c r="C1565" s="23" t="str">
        <f aca="false">IF(B1565="","",later_events!B15&amp;"")</f>
        <v/>
      </c>
      <c r="D1565" s="23" t="str">
        <f aca="false">IF(B1565="","",IF(later_events!B15="office",IFERROR(INDEX(Office_Log!$ED$2:$ED$201,MATCH(later_events!C15,Office_Log!$A$2:$A$201,0))&amp;"",later_events!C15&amp;""),IFERROR(INDEX(Brand_Log!$DV$2:$DV$201,MATCH(later_events!C15,Brand_Log!$A$2:$A$201,0))&amp;"",later_events!C15&amp;"")))</f>
        <v/>
      </c>
      <c r="E1565" s="23" t="str">
        <f aca="false">IF(B1565="","",IF(later_events!D15="","",later_events!D15&amp;""))</f>
        <v/>
      </c>
      <c r="F1565" s="23" t="str">
        <f aca="false">IF(B1565="","",later_events!E15&amp;"")</f>
        <v/>
      </c>
      <c r="G1565" s="23" t="str">
        <f aca="false">IF(B1565="","",IF(ISNUMBER(later_events!F15),later_events!F15,""))</f>
        <v/>
      </c>
      <c r="H1565" s="23" t="str">
        <f aca="false">IF(B1565="","",IF(later_events!G15="","",later_events!G15&amp;""))</f>
        <v/>
      </c>
      <c r="I1565" s="23" t="str">
        <f aca="false">IF(B1565="","","")</f>
        <v/>
      </c>
      <c r="J1565" s="23" t="str">
        <f aca="false">IF(B1565="","",IF(later_events!H15="","",later_events!H15&amp;""))</f>
        <v/>
      </c>
      <c r="K1565" s="32" t="s">
        <v>1362</v>
      </c>
    </row>
    <row r="1566" customFormat="false" ht="15" hidden="false" customHeight="false" outlineLevel="0" collapsed="false">
      <c r="A1566" s="23" t="str">
        <f aca="false">IF(B1566="","",B1566+(11*1000+15)/10000000)</f>
        <v/>
      </c>
      <c r="B1566" s="35" t="str">
        <f aca="false">IF(AND(ISNUMBER(later_events!A16),TRIM(later_events!C16)&lt;&gt;"",OR(later_events!E16="renewal_answer",later_events!E16="opt_out"),OR(LEFT(later_events!C16,6)&lt;&gt;"SAMPLE",Config!$B$19="Y")),later_events!A16,"")</f>
        <v/>
      </c>
      <c r="C1566" s="23" t="str">
        <f aca="false">IF(B1566="","",later_events!B16&amp;"")</f>
        <v/>
      </c>
      <c r="D1566" s="23" t="str">
        <f aca="false">IF(B1566="","",IF(later_events!B16="office",IFERROR(INDEX(Office_Log!$ED$2:$ED$201,MATCH(later_events!C16,Office_Log!$A$2:$A$201,0))&amp;"",later_events!C16&amp;""),IFERROR(INDEX(Brand_Log!$DV$2:$DV$201,MATCH(later_events!C16,Brand_Log!$A$2:$A$201,0))&amp;"",later_events!C16&amp;"")))</f>
        <v/>
      </c>
      <c r="E1566" s="23" t="str">
        <f aca="false">IF(B1566="","",IF(later_events!D16="","",later_events!D16&amp;""))</f>
        <v/>
      </c>
      <c r="F1566" s="23" t="str">
        <f aca="false">IF(B1566="","",later_events!E16&amp;"")</f>
        <v/>
      </c>
      <c r="G1566" s="23" t="str">
        <f aca="false">IF(B1566="","",IF(ISNUMBER(later_events!F16),later_events!F16,""))</f>
        <v/>
      </c>
      <c r="H1566" s="23" t="str">
        <f aca="false">IF(B1566="","",IF(later_events!G16="","",later_events!G16&amp;""))</f>
        <v/>
      </c>
      <c r="I1566" s="23" t="str">
        <f aca="false">IF(B1566="","","")</f>
        <v/>
      </c>
      <c r="J1566" s="23" t="str">
        <f aca="false">IF(B1566="","",IF(later_events!H16="","",later_events!H16&amp;""))</f>
        <v/>
      </c>
      <c r="K1566" s="32" t="s">
        <v>1362</v>
      </c>
    </row>
    <row r="1567" customFormat="false" ht="15" hidden="false" customHeight="false" outlineLevel="0" collapsed="false">
      <c r="A1567" s="23" t="str">
        <f aca="false">IF(B1567="","",B1567+(11*1000+16)/10000000)</f>
        <v/>
      </c>
      <c r="B1567" s="35" t="str">
        <f aca="false">IF(AND(ISNUMBER(later_events!A17),TRIM(later_events!C17)&lt;&gt;"",OR(later_events!E17="renewal_answer",later_events!E17="opt_out"),OR(LEFT(later_events!C17,6)&lt;&gt;"SAMPLE",Config!$B$19="Y")),later_events!A17,"")</f>
        <v/>
      </c>
      <c r="C1567" s="23" t="str">
        <f aca="false">IF(B1567="","",later_events!B17&amp;"")</f>
        <v/>
      </c>
      <c r="D1567" s="23" t="str">
        <f aca="false">IF(B1567="","",IF(later_events!B17="office",IFERROR(INDEX(Office_Log!$ED$2:$ED$201,MATCH(later_events!C17,Office_Log!$A$2:$A$201,0))&amp;"",later_events!C17&amp;""),IFERROR(INDEX(Brand_Log!$DV$2:$DV$201,MATCH(later_events!C17,Brand_Log!$A$2:$A$201,0))&amp;"",later_events!C17&amp;"")))</f>
        <v/>
      </c>
      <c r="E1567" s="23" t="str">
        <f aca="false">IF(B1567="","",IF(later_events!D17="","",later_events!D17&amp;""))</f>
        <v/>
      </c>
      <c r="F1567" s="23" t="str">
        <f aca="false">IF(B1567="","",later_events!E17&amp;"")</f>
        <v/>
      </c>
      <c r="G1567" s="23" t="str">
        <f aca="false">IF(B1567="","",IF(ISNUMBER(later_events!F17),later_events!F17,""))</f>
        <v/>
      </c>
      <c r="H1567" s="23" t="str">
        <f aca="false">IF(B1567="","",IF(later_events!G17="","",later_events!G17&amp;""))</f>
        <v/>
      </c>
      <c r="I1567" s="23" t="str">
        <f aca="false">IF(B1567="","","")</f>
        <v/>
      </c>
      <c r="J1567" s="23" t="str">
        <f aca="false">IF(B1567="","",IF(later_events!H17="","",later_events!H17&amp;""))</f>
        <v/>
      </c>
      <c r="K1567" s="32" t="s">
        <v>1362</v>
      </c>
    </row>
    <row r="1568" customFormat="false" ht="15" hidden="false" customHeight="false" outlineLevel="0" collapsed="false">
      <c r="A1568" s="23" t="str">
        <f aca="false">IF(B1568="","",B1568+(11*1000+17)/10000000)</f>
        <v/>
      </c>
      <c r="B1568" s="35" t="str">
        <f aca="false">IF(AND(ISNUMBER(later_events!A18),TRIM(later_events!C18)&lt;&gt;"",OR(later_events!E18="renewal_answer",later_events!E18="opt_out"),OR(LEFT(later_events!C18,6)&lt;&gt;"SAMPLE",Config!$B$19="Y")),later_events!A18,"")</f>
        <v/>
      </c>
      <c r="C1568" s="23" t="str">
        <f aca="false">IF(B1568="","",later_events!B18&amp;"")</f>
        <v/>
      </c>
      <c r="D1568" s="23" t="str">
        <f aca="false">IF(B1568="","",IF(later_events!B18="office",IFERROR(INDEX(Office_Log!$ED$2:$ED$201,MATCH(later_events!C18,Office_Log!$A$2:$A$201,0))&amp;"",later_events!C18&amp;""),IFERROR(INDEX(Brand_Log!$DV$2:$DV$201,MATCH(later_events!C18,Brand_Log!$A$2:$A$201,0))&amp;"",later_events!C18&amp;"")))</f>
        <v/>
      </c>
      <c r="E1568" s="23" t="str">
        <f aca="false">IF(B1568="","",IF(later_events!D18="","",later_events!D18&amp;""))</f>
        <v/>
      </c>
      <c r="F1568" s="23" t="str">
        <f aca="false">IF(B1568="","",later_events!E18&amp;"")</f>
        <v/>
      </c>
      <c r="G1568" s="23" t="str">
        <f aca="false">IF(B1568="","",IF(ISNUMBER(later_events!F18),later_events!F18,""))</f>
        <v/>
      </c>
      <c r="H1568" s="23" t="str">
        <f aca="false">IF(B1568="","",IF(later_events!G18="","",later_events!G18&amp;""))</f>
        <v/>
      </c>
      <c r="I1568" s="23" t="str">
        <f aca="false">IF(B1568="","","")</f>
        <v/>
      </c>
      <c r="J1568" s="23" t="str">
        <f aca="false">IF(B1568="","",IF(later_events!H18="","",later_events!H18&amp;""))</f>
        <v/>
      </c>
      <c r="K1568" s="32" t="s">
        <v>1362</v>
      </c>
    </row>
    <row r="1569" customFormat="false" ht="15" hidden="false" customHeight="false" outlineLevel="0" collapsed="false">
      <c r="A1569" s="23" t="str">
        <f aca="false">IF(B1569="","",B1569+(11*1000+18)/10000000)</f>
        <v/>
      </c>
      <c r="B1569" s="35" t="str">
        <f aca="false">IF(AND(ISNUMBER(later_events!A19),TRIM(later_events!C19)&lt;&gt;"",OR(later_events!E19="renewal_answer",later_events!E19="opt_out"),OR(LEFT(later_events!C19,6)&lt;&gt;"SAMPLE",Config!$B$19="Y")),later_events!A19,"")</f>
        <v/>
      </c>
      <c r="C1569" s="23" t="str">
        <f aca="false">IF(B1569="","",later_events!B19&amp;"")</f>
        <v/>
      </c>
      <c r="D1569" s="23" t="str">
        <f aca="false">IF(B1569="","",IF(later_events!B19="office",IFERROR(INDEX(Office_Log!$ED$2:$ED$201,MATCH(later_events!C19,Office_Log!$A$2:$A$201,0))&amp;"",later_events!C19&amp;""),IFERROR(INDEX(Brand_Log!$DV$2:$DV$201,MATCH(later_events!C19,Brand_Log!$A$2:$A$201,0))&amp;"",later_events!C19&amp;"")))</f>
        <v/>
      </c>
      <c r="E1569" s="23" t="str">
        <f aca="false">IF(B1569="","",IF(later_events!D19="","",later_events!D19&amp;""))</f>
        <v/>
      </c>
      <c r="F1569" s="23" t="str">
        <f aca="false">IF(B1569="","",later_events!E19&amp;"")</f>
        <v/>
      </c>
      <c r="G1569" s="23" t="str">
        <f aca="false">IF(B1569="","",IF(ISNUMBER(later_events!F19),later_events!F19,""))</f>
        <v/>
      </c>
      <c r="H1569" s="23" t="str">
        <f aca="false">IF(B1569="","",IF(later_events!G19="","",later_events!G19&amp;""))</f>
        <v/>
      </c>
      <c r="I1569" s="23" t="str">
        <f aca="false">IF(B1569="","","")</f>
        <v/>
      </c>
      <c r="J1569" s="23" t="str">
        <f aca="false">IF(B1569="","",IF(later_events!H19="","",later_events!H19&amp;""))</f>
        <v/>
      </c>
      <c r="K1569" s="32" t="s">
        <v>1362</v>
      </c>
    </row>
    <row r="1570" customFormat="false" ht="15" hidden="false" customHeight="false" outlineLevel="0" collapsed="false">
      <c r="A1570" s="23" t="str">
        <f aca="false">IF(B1570="","",B1570+(11*1000+19)/10000000)</f>
        <v/>
      </c>
      <c r="B1570" s="35" t="str">
        <f aca="false">IF(AND(ISNUMBER(later_events!A20),TRIM(later_events!C20)&lt;&gt;"",OR(later_events!E20="renewal_answer",later_events!E20="opt_out"),OR(LEFT(later_events!C20,6)&lt;&gt;"SAMPLE",Config!$B$19="Y")),later_events!A20,"")</f>
        <v/>
      </c>
      <c r="C1570" s="23" t="str">
        <f aca="false">IF(B1570="","",later_events!B20&amp;"")</f>
        <v/>
      </c>
      <c r="D1570" s="23" t="str">
        <f aca="false">IF(B1570="","",IF(later_events!B20="office",IFERROR(INDEX(Office_Log!$ED$2:$ED$201,MATCH(later_events!C20,Office_Log!$A$2:$A$201,0))&amp;"",later_events!C20&amp;""),IFERROR(INDEX(Brand_Log!$DV$2:$DV$201,MATCH(later_events!C20,Brand_Log!$A$2:$A$201,0))&amp;"",later_events!C20&amp;"")))</f>
        <v/>
      </c>
      <c r="E1570" s="23" t="str">
        <f aca="false">IF(B1570="","",IF(later_events!D20="","",later_events!D20&amp;""))</f>
        <v/>
      </c>
      <c r="F1570" s="23" t="str">
        <f aca="false">IF(B1570="","",later_events!E20&amp;"")</f>
        <v/>
      </c>
      <c r="G1570" s="23" t="str">
        <f aca="false">IF(B1570="","",IF(ISNUMBER(later_events!F20),later_events!F20,""))</f>
        <v/>
      </c>
      <c r="H1570" s="23" t="str">
        <f aca="false">IF(B1570="","",IF(later_events!G20="","",later_events!G20&amp;""))</f>
        <v/>
      </c>
      <c r="I1570" s="23" t="str">
        <f aca="false">IF(B1570="","","")</f>
        <v/>
      </c>
      <c r="J1570" s="23" t="str">
        <f aca="false">IF(B1570="","",IF(later_events!H20="","",later_events!H20&amp;""))</f>
        <v/>
      </c>
      <c r="K1570" s="32" t="s">
        <v>1362</v>
      </c>
    </row>
    <row r="1571" customFormat="false" ht="15" hidden="false" customHeight="false" outlineLevel="0" collapsed="false">
      <c r="A1571" s="23" t="str">
        <f aca="false">IF(B1571="","",B1571+(11*1000+20)/10000000)</f>
        <v/>
      </c>
      <c r="B1571" s="35" t="str">
        <f aca="false">IF(AND(ISNUMBER(later_events!A21),TRIM(later_events!C21)&lt;&gt;"",OR(later_events!E21="renewal_answer",later_events!E21="opt_out"),OR(LEFT(later_events!C21,6)&lt;&gt;"SAMPLE",Config!$B$19="Y")),later_events!A21,"")</f>
        <v/>
      </c>
      <c r="C1571" s="23" t="str">
        <f aca="false">IF(B1571="","",later_events!B21&amp;"")</f>
        <v/>
      </c>
      <c r="D1571" s="23" t="str">
        <f aca="false">IF(B1571="","",IF(later_events!B21="office",IFERROR(INDEX(Office_Log!$ED$2:$ED$201,MATCH(later_events!C21,Office_Log!$A$2:$A$201,0))&amp;"",later_events!C21&amp;""),IFERROR(INDEX(Brand_Log!$DV$2:$DV$201,MATCH(later_events!C21,Brand_Log!$A$2:$A$201,0))&amp;"",later_events!C21&amp;"")))</f>
        <v/>
      </c>
      <c r="E1571" s="23" t="str">
        <f aca="false">IF(B1571="","",IF(later_events!D21="","",later_events!D21&amp;""))</f>
        <v/>
      </c>
      <c r="F1571" s="23" t="str">
        <f aca="false">IF(B1571="","",later_events!E21&amp;"")</f>
        <v/>
      </c>
      <c r="G1571" s="23" t="str">
        <f aca="false">IF(B1571="","",IF(ISNUMBER(later_events!F21),later_events!F21,""))</f>
        <v/>
      </c>
      <c r="H1571" s="23" t="str">
        <f aca="false">IF(B1571="","",IF(later_events!G21="","",later_events!G21&amp;""))</f>
        <v/>
      </c>
      <c r="I1571" s="23" t="str">
        <f aca="false">IF(B1571="","","")</f>
        <v/>
      </c>
      <c r="J1571" s="23" t="str">
        <f aca="false">IF(B1571="","",IF(later_events!H21="","",later_events!H21&amp;""))</f>
        <v/>
      </c>
      <c r="K1571" s="32" t="s">
        <v>1362</v>
      </c>
    </row>
    <row r="1572" customFormat="false" ht="15" hidden="false" customHeight="false" outlineLevel="0" collapsed="false">
      <c r="A1572" s="23" t="str">
        <f aca="false">IF(B1572="","",B1572+(11*1000+21)/10000000)</f>
        <v/>
      </c>
      <c r="B1572" s="35" t="str">
        <f aca="false">IF(AND(ISNUMBER(later_events!A22),TRIM(later_events!C22)&lt;&gt;"",OR(later_events!E22="renewal_answer",later_events!E22="opt_out"),OR(LEFT(later_events!C22,6)&lt;&gt;"SAMPLE",Config!$B$19="Y")),later_events!A22,"")</f>
        <v/>
      </c>
      <c r="C1572" s="23" t="str">
        <f aca="false">IF(B1572="","",later_events!B22&amp;"")</f>
        <v/>
      </c>
      <c r="D1572" s="23" t="str">
        <f aca="false">IF(B1572="","",IF(later_events!B22="office",IFERROR(INDEX(Office_Log!$ED$2:$ED$201,MATCH(later_events!C22,Office_Log!$A$2:$A$201,0))&amp;"",later_events!C22&amp;""),IFERROR(INDEX(Brand_Log!$DV$2:$DV$201,MATCH(later_events!C22,Brand_Log!$A$2:$A$201,0))&amp;"",later_events!C22&amp;"")))</f>
        <v/>
      </c>
      <c r="E1572" s="23" t="str">
        <f aca="false">IF(B1572="","",IF(later_events!D22="","",later_events!D22&amp;""))</f>
        <v/>
      </c>
      <c r="F1572" s="23" t="str">
        <f aca="false">IF(B1572="","",later_events!E22&amp;"")</f>
        <v/>
      </c>
      <c r="G1572" s="23" t="str">
        <f aca="false">IF(B1572="","",IF(ISNUMBER(later_events!F22),later_events!F22,""))</f>
        <v/>
      </c>
      <c r="H1572" s="23" t="str">
        <f aca="false">IF(B1572="","",IF(later_events!G22="","",later_events!G22&amp;""))</f>
        <v/>
      </c>
      <c r="I1572" s="23" t="str">
        <f aca="false">IF(B1572="","","")</f>
        <v/>
      </c>
      <c r="J1572" s="23" t="str">
        <f aca="false">IF(B1572="","",IF(later_events!H22="","",later_events!H22&amp;""))</f>
        <v/>
      </c>
      <c r="K1572" s="32" t="s">
        <v>1362</v>
      </c>
    </row>
    <row r="1573" customFormat="false" ht="15" hidden="false" customHeight="false" outlineLevel="0" collapsed="false">
      <c r="A1573" s="23" t="str">
        <f aca="false">IF(B1573="","",B1573+(11*1000+22)/10000000)</f>
        <v/>
      </c>
      <c r="B1573" s="35" t="str">
        <f aca="false">IF(AND(ISNUMBER(later_events!A23),TRIM(later_events!C23)&lt;&gt;"",OR(later_events!E23="renewal_answer",later_events!E23="opt_out"),OR(LEFT(later_events!C23,6)&lt;&gt;"SAMPLE",Config!$B$19="Y")),later_events!A23,"")</f>
        <v/>
      </c>
      <c r="C1573" s="23" t="str">
        <f aca="false">IF(B1573="","",later_events!B23&amp;"")</f>
        <v/>
      </c>
      <c r="D1573" s="23" t="str">
        <f aca="false">IF(B1573="","",IF(later_events!B23="office",IFERROR(INDEX(Office_Log!$ED$2:$ED$201,MATCH(later_events!C23,Office_Log!$A$2:$A$201,0))&amp;"",later_events!C23&amp;""),IFERROR(INDEX(Brand_Log!$DV$2:$DV$201,MATCH(later_events!C23,Brand_Log!$A$2:$A$201,0))&amp;"",later_events!C23&amp;"")))</f>
        <v/>
      </c>
      <c r="E1573" s="23" t="str">
        <f aca="false">IF(B1573="","",IF(later_events!D23="","",later_events!D23&amp;""))</f>
        <v/>
      </c>
      <c r="F1573" s="23" t="str">
        <f aca="false">IF(B1573="","",later_events!E23&amp;"")</f>
        <v/>
      </c>
      <c r="G1573" s="23" t="str">
        <f aca="false">IF(B1573="","",IF(ISNUMBER(later_events!F23),later_events!F23,""))</f>
        <v/>
      </c>
      <c r="H1573" s="23" t="str">
        <f aca="false">IF(B1573="","",IF(later_events!G23="","",later_events!G23&amp;""))</f>
        <v/>
      </c>
      <c r="I1573" s="23" t="str">
        <f aca="false">IF(B1573="","","")</f>
        <v/>
      </c>
      <c r="J1573" s="23" t="str">
        <f aca="false">IF(B1573="","",IF(later_events!H23="","",later_events!H23&amp;""))</f>
        <v/>
      </c>
      <c r="K1573" s="32" t="s">
        <v>1362</v>
      </c>
    </row>
    <row r="1574" customFormat="false" ht="15" hidden="false" customHeight="false" outlineLevel="0" collapsed="false">
      <c r="A1574" s="23" t="str">
        <f aca="false">IF(B1574="","",B1574+(11*1000+23)/10000000)</f>
        <v/>
      </c>
      <c r="B1574" s="35" t="str">
        <f aca="false">IF(AND(ISNUMBER(later_events!A24),TRIM(later_events!C24)&lt;&gt;"",OR(later_events!E24="renewal_answer",later_events!E24="opt_out"),OR(LEFT(later_events!C24,6)&lt;&gt;"SAMPLE",Config!$B$19="Y")),later_events!A24,"")</f>
        <v/>
      </c>
      <c r="C1574" s="23" t="str">
        <f aca="false">IF(B1574="","",later_events!B24&amp;"")</f>
        <v/>
      </c>
      <c r="D1574" s="23" t="str">
        <f aca="false">IF(B1574="","",IF(later_events!B24="office",IFERROR(INDEX(Office_Log!$ED$2:$ED$201,MATCH(later_events!C24,Office_Log!$A$2:$A$201,0))&amp;"",later_events!C24&amp;""),IFERROR(INDEX(Brand_Log!$DV$2:$DV$201,MATCH(later_events!C24,Brand_Log!$A$2:$A$201,0))&amp;"",later_events!C24&amp;"")))</f>
        <v/>
      </c>
      <c r="E1574" s="23" t="str">
        <f aca="false">IF(B1574="","",IF(later_events!D24="","",later_events!D24&amp;""))</f>
        <v/>
      </c>
      <c r="F1574" s="23" t="str">
        <f aca="false">IF(B1574="","",later_events!E24&amp;"")</f>
        <v/>
      </c>
      <c r="G1574" s="23" t="str">
        <f aca="false">IF(B1574="","",IF(ISNUMBER(later_events!F24),later_events!F24,""))</f>
        <v/>
      </c>
      <c r="H1574" s="23" t="str">
        <f aca="false">IF(B1574="","",IF(later_events!G24="","",later_events!G24&amp;""))</f>
        <v/>
      </c>
      <c r="I1574" s="23" t="str">
        <f aca="false">IF(B1574="","","")</f>
        <v/>
      </c>
      <c r="J1574" s="23" t="str">
        <f aca="false">IF(B1574="","",IF(later_events!H24="","",later_events!H24&amp;""))</f>
        <v/>
      </c>
      <c r="K1574" s="32" t="s">
        <v>1362</v>
      </c>
    </row>
    <row r="1575" customFormat="false" ht="15" hidden="false" customHeight="false" outlineLevel="0" collapsed="false">
      <c r="A1575" s="23" t="str">
        <f aca="false">IF(B1575="","",B1575+(11*1000+24)/10000000)</f>
        <v/>
      </c>
      <c r="B1575" s="35" t="str">
        <f aca="false">IF(AND(ISNUMBER(later_events!A25),TRIM(later_events!C25)&lt;&gt;"",OR(later_events!E25="renewal_answer",later_events!E25="opt_out"),OR(LEFT(later_events!C25,6)&lt;&gt;"SAMPLE",Config!$B$19="Y")),later_events!A25,"")</f>
        <v/>
      </c>
      <c r="C1575" s="23" t="str">
        <f aca="false">IF(B1575="","",later_events!B25&amp;"")</f>
        <v/>
      </c>
      <c r="D1575" s="23" t="str">
        <f aca="false">IF(B1575="","",IF(later_events!B25="office",IFERROR(INDEX(Office_Log!$ED$2:$ED$201,MATCH(later_events!C25,Office_Log!$A$2:$A$201,0))&amp;"",later_events!C25&amp;""),IFERROR(INDEX(Brand_Log!$DV$2:$DV$201,MATCH(later_events!C25,Brand_Log!$A$2:$A$201,0))&amp;"",later_events!C25&amp;"")))</f>
        <v/>
      </c>
      <c r="E1575" s="23" t="str">
        <f aca="false">IF(B1575="","",IF(later_events!D25="","",later_events!D25&amp;""))</f>
        <v/>
      </c>
      <c r="F1575" s="23" t="str">
        <f aca="false">IF(B1575="","",later_events!E25&amp;"")</f>
        <v/>
      </c>
      <c r="G1575" s="23" t="str">
        <f aca="false">IF(B1575="","",IF(ISNUMBER(later_events!F25),later_events!F25,""))</f>
        <v/>
      </c>
      <c r="H1575" s="23" t="str">
        <f aca="false">IF(B1575="","",IF(later_events!G25="","",later_events!G25&amp;""))</f>
        <v/>
      </c>
      <c r="I1575" s="23" t="str">
        <f aca="false">IF(B1575="","","")</f>
        <v/>
      </c>
      <c r="J1575" s="23" t="str">
        <f aca="false">IF(B1575="","",IF(later_events!H25="","",later_events!H25&amp;""))</f>
        <v/>
      </c>
      <c r="K1575" s="32" t="s">
        <v>1362</v>
      </c>
    </row>
    <row r="1576" customFormat="false" ht="15" hidden="false" customHeight="false" outlineLevel="0" collapsed="false">
      <c r="A1576" s="23" t="str">
        <f aca="false">IF(B1576="","",B1576+(11*1000+25)/10000000)</f>
        <v/>
      </c>
      <c r="B1576" s="35" t="str">
        <f aca="false">IF(AND(ISNUMBER(later_events!A26),TRIM(later_events!C26)&lt;&gt;"",OR(later_events!E26="renewal_answer",later_events!E26="opt_out"),OR(LEFT(later_events!C26,6)&lt;&gt;"SAMPLE",Config!$B$19="Y")),later_events!A26,"")</f>
        <v/>
      </c>
      <c r="C1576" s="23" t="str">
        <f aca="false">IF(B1576="","",later_events!B26&amp;"")</f>
        <v/>
      </c>
      <c r="D1576" s="23" t="str">
        <f aca="false">IF(B1576="","",IF(later_events!B26="office",IFERROR(INDEX(Office_Log!$ED$2:$ED$201,MATCH(later_events!C26,Office_Log!$A$2:$A$201,0))&amp;"",later_events!C26&amp;""),IFERROR(INDEX(Brand_Log!$DV$2:$DV$201,MATCH(later_events!C26,Brand_Log!$A$2:$A$201,0))&amp;"",later_events!C26&amp;"")))</f>
        <v/>
      </c>
      <c r="E1576" s="23" t="str">
        <f aca="false">IF(B1576="","",IF(later_events!D26="","",later_events!D26&amp;""))</f>
        <v/>
      </c>
      <c r="F1576" s="23" t="str">
        <f aca="false">IF(B1576="","",later_events!E26&amp;"")</f>
        <v/>
      </c>
      <c r="G1576" s="23" t="str">
        <f aca="false">IF(B1576="","",IF(ISNUMBER(later_events!F26),later_events!F26,""))</f>
        <v/>
      </c>
      <c r="H1576" s="23" t="str">
        <f aca="false">IF(B1576="","",IF(later_events!G26="","",later_events!G26&amp;""))</f>
        <v/>
      </c>
      <c r="I1576" s="23" t="str">
        <f aca="false">IF(B1576="","","")</f>
        <v/>
      </c>
      <c r="J1576" s="23" t="str">
        <f aca="false">IF(B1576="","",IF(later_events!H26="","",later_events!H26&amp;""))</f>
        <v/>
      </c>
      <c r="K1576" s="32" t="s">
        <v>1362</v>
      </c>
    </row>
    <row r="1577" customFormat="false" ht="15" hidden="false" customHeight="false" outlineLevel="0" collapsed="false">
      <c r="A1577" s="23" t="str">
        <f aca="false">IF(B1577="","",B1577+(11*1000+26)/10000000)</f>
        <v/>
      </c>
      <c r="B1577" s="35" t="str">
        <f aca="false">IF(AND(ISNUMBER(later_events!A27),TRIM(later_events!C27)&lt;&gt;"",OR(later_events!E27="renewal_answer",later_events!E27="opt_out"),OR(LEFT(later_events!C27,6)&lt;&gt;"SAMPLE",Config!$B$19="Y")),later_events!A27,"")</f>
        <v/>
      </c>
      <c r="C1577" s="23" t="str">
        <f aca="false">IF(B1577="","",later_events!B27&amp;"")</f>
        <v/>
      </c>
      <c r="D1577" s="23" t="str">
        <f aca="false">IF(B1577="","",IF(later_events!B27="office",IFERROR(INDEX(Office_Log!$ED$2:$ED$201,MATCH(later_events!C27,Office_Log!$A$2:$A$201,0))&amp;"",later_events!C27&amp;""),IFERROR(INDEX(Brand_Log!$DV$2:$DV$201,MATCH(later_events!C27,Brand_Log!$A$2:$A$201,0))&amp;"",later_events!C27&amp;"")))</f>
        <v/>
      </c>
      <c r="E1577" s="23" t="str">
        <f aca="false">IF(B1577="","",IF(later_events!D27="","",later_events!D27&amp;""))</f>
        <v/>
      </c>
      <c r="F1577" s="23" t="str">
        <f aca="false">IF(B1577="","",later_events!E27&amp;"")</f>
        <v/>
      </c>
      <c r="G1577" s="23" t="str">
        <f aca="false">IF(B1577="","",IF(ISNUMBER(later_events!F27),later_events!F27,""))</f>
        <v/>
      </c>
      <c r="H1577" s="23" t="str">
        <f aca="false">IF(B1577="","",IF(later_events!G27="","",later_events!G27&amp;""))</f>
        <v/>
      </c>
      <c r="I1577" s="23" t="str">
        <f aca="false">IF(B1577="","","")</f>
        <v/>
      </c>
      <c r="J1577" s="23" t="str">
        <f aca="false">IF(B1577="","",IF(later_events!H27="","",later_events!H27&amp;""))</f>
        <v/>
      </c>
      <c r="K1577" s="32" t="s">
        <v>1362</v>
      </c>
    </row>
    <row r="1578" customFormat="false" ht="15" hidden="false" customHeight="false" outlineLevel="0" collapsed="false">
      <c r="A1578" s="23" t="str">
        <f aca="false">IF(B1578="","",B1578+(11*1000+27)/10000000)</f>
        <v/>
      </c>
      <c r="B1578" s="35" t="str">
        <f aca="false">IF(AND(ISNUMBER(later_events!A28),TRIM(later_events!C28)&lt;&gt;"",OR(later_events!E28="renewal_answer",later_events!E28="opt_out"),OR(LEFT(later_events!C28,6)&lt;&gt;"SAMPLE",Config!$B$19="Y")),later_events!A28,"")</f>
        <v/>
      </c>
      <c r="C1578" s="23" t="str">
        <f aca="false">IF(B1578="","",later_events!B28&amp;"")</f>
        <v/>
      </c>
      <c r="D1578" s="23" t="str">
        <f aca="false">IF(B1578="","",IF(later_events!B28="office",IFERROR(INDEX(Office_Log!$ED$2:$ED$201,MATCH(later_events!C28,Office_Log!$A$2:$A$201,0))&amp;"",later_events!C28&amp;""),IFERROR(INDEX(Brand_Log!$DV$2:$DV$201,MATCH(later_events!C28,Brand_Log!$A$2:$A$201,0))&amp;"",later_events!C28&amp;"")))</f>
        <v/>
      </c>
      <c r="E1578" s="23" t="str">
        <f aca="false">IF(B1578="","",IF(later_events!D28="","",later_events!D28&amp;""))</f>
        <v/>
      </c>
      <c r="F1578" s="23" t="str">
        <f aca="false">IF(B1578="","",later_events!E28&amp;"")</f>
        <v/>
      </c>
      <c r="G1578" s="23" t="str">
        <f aca="false">IF(B1578="","",IF(ISNUMBER(later_events!F28),later_events!F28,""))</f>
        <v/>
      </c>
      <c r="H1578" s="23" t="str">
        <f aca="false">IF(B1578="","",IF(later_events!G28="","",later_events!G28&amp;""))</f>
        <v/>
      </c>
      <c r="I1578" s="23" t="str">
        <f aca="false">IF(B1578="","","")</f>
        <v/>
      </c>
      <c r="J1578" s="23" t="str">
        <f aca="false">IF(B1578="","",IF(later_events!H28="","",later_events!H28&amp;""))</f>
        <v/>
      </c>
      <c r="K1578" s="32" t="s">
        <v>1362</v>
      </c>
    </row>
    <row r="1579" customFormat="false" ht="15" hidden="false" customHeight="false" outlineLevel="0" collapsed="false">
      <c r="A1579" s="23" t="str">
        <f aca="false">IF(B1579="","",B1579+(11*1000+28)/10000000)</f>
        <v/>
      </c>
      <c r="B1579" s="35" t="str">
        <f aca="false">IF(AND(ISNUMBER(later_events!A29),TRIM(later_events!C29)&lt;&gt;"",OR(later_events!E29="renewal_answer",later_events!E29="opt_out"),OR(LEFT(later_events!C29,6)&lt;&gt;"SAMPLE",Config!$B$19="Y")),later_events!A29,"")</f>
        <v/>
      </c>
      <c r="C1579" s="23" t="str">
        <f aca="false">IF(B1579="","",later_events!B29&amp;"")</f>
        <v/>
      </c>
      <c r="D1579" s="23" t="str">
        <f aca="false">IF(B1579="","",IF(later_events!B29="office",IFERROR(INDEX(Office_Log!$ED$2:$ED$201,MATCH(later_events!C29,Office_Log!$A$2:$A$201,0))&amp;"",later_events!C29&amp;""),IFERROR(INDEX(Brand_Log!$DV$2:$DV$201,MATCH(later_events!C29,Brand_Log!$A$2:$A$201,0))&amp;"",later_events!C29&amp;"")))</f>
        <v/>
      </c>
      <c r="E1579" s="23" t="str">
        <f aca="false">IF(B1579="","",IF(later_events!D29="","",later_events!D29&amp;""))</f>
        <v/>
      </c>
      <c r="F1579" s="23" t="str">
        <f aca="false">IF(B1579="","",later_events!E29&amp;"")</f>
        <v/>
      </c>
      <c r="G1579" s="23" t="str">
        <f aca="false">IF(B1579="","",IF(ISNUMBER(later_events!F29),later_events!F29,""))</f>
        <v/>
      </c>
      <c r="H1579" s="23" t="str">
        <f aca="false">IF(B1579="","",IF(later_events!G29="","",later_events!G29&amp;""))</f>
        <v/>
      </c>
      <c r="I1579" s="23" t="str">
        <f aca="false">IF(B1579="","","")</f>
        <v/>
      </c>
      <c r="J1579" s="23" t="str">
        <f aca="false">IF(B1579="","",IF(later_events!H29="","",later_events!H29&amp;""))</f>
        <v/>
      </c>
      <c r="K1579" s="32" t="s">
        <v>1362</v>
      </c>
    </row>
    <row r="1580" customFormat="false" ht="15" hidden="false" customHeight="false" outlineLevel="0" collapsed="false">
      <c r="A1580" s="23" t="str">
        <f aca="false">IF(B1580="","",B1580+(11*1000+29)/10000000)</f>
        <v/>
      </c>
      <c r="B1580" s="35" t="str">
        <f aca="false">IF(AND(ISNUMBER(later_events!A30),TRIM(later_events!C30)&lt;&gt;"",OR(later_events!E30="renewal_answer",later_events!E30="opt_out"),OR(LEFT(later_events!C30,6)&lt;&gt;"SAMPLE",Config!$B$19="Y")),later_events!A30,"")</f>
        <v/>
      </c>
      <c r="C1580" s="23" t="str">
        <f aca="false">IF(B1580="","",later_events!B30&amp;"")</f>
        <v/>
      </c>
      <c r="D1580" s="23" t="str">
        <f aca="false">IF(B1580="","",IF(later_events!B30="office",IFERROR(INDEX(Office_Log!$ED$2:$ED$201,MATCH(later_events!C30,Office_Log!$A$2:$A$201,0))&amp;"",later_events!C30&amp;""),IFERROR(INDEX(Brand_Log!$DV$2:$DV$201,MATCH(later_events!C30,Brand_Log!$A$2:$A$201,0))&amp;"",later_events!C30&amp;"")))</f>
        <v/>
      </c>
      <c r="E1580" s="23" t="str">
        <f aca="false">IF(B1580="","",IF(later_events!D30="","",later_events!D30&amp;""))</f>
        <v/>
      </c>
      <c r="F1580" s="23" t="str">
        <f aca="false">IF(B1580="","",later_events!E30&amp;"")</f>
        <v/>
      </c>
      <c r="G1580" s="23" t="str">
        <f aca="false">IF(B1580="","",IF(ISNUMBER(later_events!F30),later_events!F30,""))</f>
        <v/>
      </c>
      <c r="H1580" s="23" t="str">
        <f aca="false">IF(B1580="","",IF(later_events!G30="","",later_events!G30&amp;""))</f>
        <v/>
      </c>
      <c r="I1580" s="23" t="str">
        <f aca="false">IF(B1580="","","")</f>
        <v/>
      </c>
      <c r="J1580" s="23" t="str">
        <f aca="false">IF(B1580="","",IF(later_events!H30="","",later_events!H30&amp;""))</f>
        <v/>
      </c>
      <c r="K1580" s="32" t="s">
        <v>1362</v>
      </c>
    </row>
    <row r="1581" customFormat="false" ht="15" hidden="false" customHeight="false" outlineLevel="0" collapsed="false">
      <c r="A1581" s="23" t="str">
        <f aca="false">IF(B1581="","",B1581+(11*1000+30)/10000000)</f>
        <v/>
      </c>
      <c r="B1581" s="35" t="str">
        <f aca="false">IF(AND(ISNUMBER(later_events!A31),TRIM(later_events!C31)&lt;&gt;"",OR(later_events!E31="renewal_answer",later_events!E31="opt_out"),OR(LEFT(later_events!C31,6)&lt;&gt;"SAMPLE",Config!$B$19="Y")),later_events!A31,"")</f>
        <v/>
      </c>
      <c r="C1581" s="23" t="str">
        <f aca="false">IF(B1581="","",later_events!B31&amp;"")</f>
        <v/>
      </c>
      <c r="D1581" s="23" t="str">
        <f aca="false">IF(B1581="","",IF(later_events!B31="office",IFERROR(INDEX(Office_Log!$ED$2:$ED$201,MATCH(later_events!C31,Office_Log!$A$2:$A$201,0))&amp;"",later_events!C31&amp;""),IFERROR(INDEX(Brand_Log!$DV$2:$DV$201,MATCH(later_events!C31,Brand_Log!$A$2:$A$201,0))&amp;"",later_events!C31&amp;"")))</f>
        <v/>
      </c>
      <c r="E1581" s="23" t="str">
        <f aca="false">IF(B1581="","",IF(later_events!D31="","",later_events!D31&amp;""))</f>
        <v/>
      </c>
      <c r="F1581" s="23" t="str">
        <f aca="false">IF(B1581="","",later_events!E31&amp;"")</f>
        <v/>
      </c>
      <c r="G1581" s="23" t="str">
        <f aca="false">IF(B1581="","",IF(ISNUMBER(later_events!F31),later_events!F31,""))</f>
        <v/>
      </c>
      <c r="H1581" s="23" t="str">
        <f aca="false">IF(B1581="","",IF(later_events!G31="","",later_events!G31&amp;""))</f>
        <v/>
      </c>
      <c r="I1581" s="23" t="str">
        <f aca="false">IF(B1581="","","")</f>
        <v/>
      </c>
      <c r="J1581" s="23" t="str">
        <f aca="false">IF(B1581="","",IF(later_events!H31="","",later_events!H31&amp;""))</f>
        <v/>
      </c>
      <c r="K1581" s="32" t="s">
        <v>1362</v>
      </c>
    </row>
    <row r="1582" customFormat="false" ht="15" hidden="false" customHeight="false" outlineLevel="0" collapsed="false">
      <c r="A1582" s="23" t="str">
        <f aca="false">IF(B1582="","",B1582+(11*1000+31)/10000000)</f>
        <v/>
      </c>
      <c r="B1582" s="35" t="str">
        <f aca="false">IF(AND(ISNUMBER(later_events!A32),TRIM(later_events!C32)&lt;&gt;"",OR(later_events!E32="renewal_answer",later_events!E32="opt_out"),OR(LEFT(later_events!C32,6)&lt;&gt;"SAMPLE",Config!$B$19="Y")),later_events!A32,"")</f>
        <v/>
      </c>
      <c r="C1582" s="23" t="str">
        <f aca="false">IF(B1582="","",later_events!B32&amp;"")</f>
        <v/>
      </c>
      <c r="D1582" s="23" t="str">
        <f aca="false">IF(B1582="","",IF(later_events!B32="office",IFERROR(INDEX(Office_Log!$ED$2:$ED$201,MATCH(later_events!C32,Office_Log!$A$2:$A$201,0))&amp;"",later_events!C32&amp;""),IFERROR(INDEX(Brand_Log!$DV$2:$DV$201,MATCH(later_events!C32,Brand_Log!$A$2:$A$201,0))&amp;"",later_events!C32&amp;"")))</f>
        <v/>
      </c>
      <c r="E1582" s="23" t="str">
        <f aca="false">IF(B1582="","",IF(later_events!D32="","",later_events!D32&amp;""))</f>
        <v/>
      </c>
      <c r="F1582" s="23" t="str">
        <f aca="false">IF(B1582="","",later_events!E32&amp;"")</f>
        <v/>
      </c>
      <c r="G1582" s="23" t="str">
        <f aca="false">IF(B1582="","",IF(ISNUMBER(later_events!F32),later_events!F32,""))</f>
        <v/>
      </c>
      <c r="H1582" s="23" t="str">
        <f aca="false">IF(B1582="","",IF(later_events!G32="","",later_events!G32&amp;""))</f>
        <v/>
      </c>
      <c r="I1582" s="23" t="str">
        <f aca="false">IF(B1582="","","")</f>
        <v/>
      </c>
      <c r="J1582" s="23" t="str">
        <f aca="false">IF(B1582="","",IF(later_events!H32="","",later_events!H32&amp;""))</f>
        <v/>
      </c>
      <c r="K1582" s="32" t="s">
        <v>1362</v>
      </c>
    </row>
    <row r="1583" customFormat="false" ht="15" hidden="false" customHeight="false" outlineLevel="0" collapsed="false">
      <c r="A1583" s="23" t="str">
        <f aca="false">IF(B1583="","",B1583+(11*1000+32)/10000000)</f>
        <v/>
      </c>
      <c r="B1583" s="35" t="str">
        <f aca="false">IF(AND(ISNUMBER(later_events!A33),TRIM(later_events!C33)&lt;&gt;"",OR(later_events!E33="renewal_answer",later_events!E33="opt_out"),OR(LEFT(later_events!C33,6)&lt;&gt;"SAMPLE",Config!$B$19="Y")),later_events!A33,"")</f>
        <v/>
      </c>
      <c r="C1583" s="23" t="str">
        <f aca="false">IF(B1583="","",later_events!B33&amp;"")</f>
        <v/>
      </c>
      <c r="D1583" s="23" t="str">
        <f aca="false">IF(B1583="","",IF(later_events!B33="office",IFERROR(INDEX(Office_Log!$ED$2:$ED$201,MATCH(later_events!C33,Office_Log!$A$2:$A$201,0))&amp;"",later_events!C33&amp;""),IFERROR(INDEX(Brand_Log!$DV$2:$DV$201,MATCH(later_events!C33,Brand_Log!$A$2:$A$201,0))&amp;"",later_events!C33&amp;"")))</f>
        <v/>
      </c>
      <c r="E1583" s="23" t="str">
        <f aca="false">IF(B1583="","",IF(later_events!D33="","",later_events!D33&amp;""))</f>
        <v/>
      </c>
      <c r="F1583" s="23" t="str">
        <f aca="false">IF(B1583="","",later_events!E33&amp;"")</f>
        <v/>
      </c>
      <c r="G1583" s="23" t="str">
        <f aca="false">IF(B1583="","",IF(ISNUMBER(later_events!F33),later_events!F33,""))</f>
        <v/>
      </c>
      <c r="H1583" s="23" t="str">
        <f aca="false">IF(B1583="","",IF(later_events!G33="","",later_events!G33&amp;""))</f>
        <v/>
      </c>
      <c r="I1583" s="23" t="str">
        <f aca="false">IF(B1583="","","")</f>
        <v/>
      </c>
      <c r="J1583" s="23" t="str">
        <f aca="false">IF(B1583="","",IF(later_events!H33="","",later_events!H33&amp;""))</f>
        <v/>
      </c>
      <c r="K1583" s="32" t="s">
        <v>1362</v>
      </c>
    </row>
    <row r="1584" customFormat="false" ht="15" hidden="false" customHeight="false" outlineLevel="0" collapsed="false">
      <c r="A1584" s="23" t="str">
        <f aca="false">IF(B1584="","",B1584+(11*1000+33)/10000000)</f>
        <v/>
      </c>
      <c r="B1584" s="35" t="str">
        <f aca="false">IF(AND(ISNUMBER(later_events!A34),TRIM(later_events!C34)&lt;&gt;"",OR(later_events!E34="renewal_answer",later_events!E34="opt_out"),OR(LEFT(later_events!C34,6)&lt;&gt;"SAMPLE",Config!$B$19="Y")),later_events!A34,"")</f>
        <v/>
      </c>
      <c r="C1584" s="23" t="str">
        <f aca="false">IF(B1584="","",later_events!B34&amp;"")</f>
        <v/>
      </c>
      <c r="D1584" s="23" t="str">
        <f aca="false">IF(B1584="","",IF(later_events!B34="office",IFERROR(INDEX(Office_Log!$ED$2:$ED$201,MATCH(later_events!C34,Office_Log!$A$2:$A$201,0))&amp;"",later_events!C34&amp;""),IFERROR(INDEX(Brand_Log!$DV$2:$DV$201,MATCH(later_events!C34,Brand_Log!$A$2:$A$201,0))&amp;"",later_events!C34&amp;"")))</f>
        <v/>
      </c>
      <c r="E1584" s="23" t="str">
        <f aca="false">IF(B1584="","",IF(later_events!D34="","",later_events!D34&amp;""))</f>
        <v/>
      </c>
      <c r="F1584" s="23" t="str">
        <f aca="false">IF(B1584="","",later_events!E34&amp;"")</f>
        <v/>
      </c>
      <c r="G1584" s="23" t="str">
        <f aca="false">IF(B1584="","",IF(ISNUMBER(later_events!F34),later_events!F34,""))</f>
        <v/>
      </c>
      <c r="H1584" s="23" t="str">
        <f aca="false">IF(B1584="","",IF(later_events!G34="","",later_events!G34&amp;""))</f>
        <v/>
      </c>
      <c r="I1584" s="23" t="str">
        <f aca="false">IF(B1584="","","")</f>
        <v/>
      </c>
      <c r="J1584" s="23" t="str">
        <f aca="false">IF(B1584="","",IF(later_events!H34="","",later_events!H34&amp;""))</f>
        <v/>
      </c>
      <c r="K1584" s="32" t="s">
        <v>1362</v>
      </c>
    </row>
    <row r="1585" customFormat="false" ht="15" hidden="false" customHeight="false" outlineLevel="0" collapsed="false">
      <c r="A1585" s="23" t="str">
        <f aca="false">IF(B1585="","",B1585+(11*1000+34)/10000000)</f>
        <v/>
      </c>
      <c r="B1585" s="35" t="str">
        <f aca="false">IF(AND(ISNUMBER(later_events!A35),TRIM(later_events!C35)&lt;&gt;"",OR(later_events!E35="renewal_answer",later_events!E35="opt_out"),OR(LEFT(later_events!C35,6)&lt;&gt;"SAMPLE",Config!$B$19="Y")),later_events!A35,"")</f>
        <v/>
      </c>
      <c r="C1585" s="23" t="str">
        <f aca="false">IF(B1585="","",later_events!B35&amp;"")</f>
        <v/>
      </c>
      <c r="D1585" s="23" t="str">
        <f aca="false">IF(B1585="","",IF(later_events!B35="office",IFERROR(INDEX(Office_Log!$ED$2:$ED$201,MATCH(later_events!C35,Office_Log!$A$2:$A$201,0))&amp;"",later_events!C35&amp;""),IFERROR(INDEX(Brand_Log!$DV$2:$DV$201,MATCH(later_events!C35,Brand_Log!$A$2:$A$201,0))&amp;"",later_events!C35&amp;"")))</f>
        <v/>
      </c>
      <c r="E1585" s="23" t="str">
        <f aca="false">IF(B1585="","",IF(later_events!D35="","",later_events!D35&amp;""))</f>
        <v/>
      </c>
      <c r="F1585" s="23" t="str">
        <f aca="false">IF(B1585="","",later_events!E35&amp;"")</f>
        <v/>
      </c>
      <c r="G1585" s="23" t="str">
        <f aca="false">IF(B1585="","",IF(ISNUMBER(later_events!F35),later_events!F35,""))</f>
        <v/>
      </c>
      <c r="H1585" s="23" t="str">
        <f aca="false">IF(B1585="","",IF(later_events!G35="","",later_events!G35&amp;""))</f>
        <v/>
      </c>
      <c r="I1585" s="23" t="str">
        <f aca="false">IF(B1585="","","")</f>
        <v/>
      </c>
      <c r="J1585" s="23" t="str">
        <f aca="false">IF(B1585="","",IF(later_events!H35="","",later_events!H35&amp;""))</f>
        <v/>
      </c>
      <c r="K1585" s="32" t="s">
        <v>1362</v>
      </c>
    </row>
    <row r="1586" customFormat="false" ht="15" hidden="false" customHeight="false" outlineLevel="0" collapsed="false">
      <c r="A1586" s="23" t="str">
        <f aca="false">IF(B1586="","",B1586+(11*1000+35)/10000000)</f>
        <v/>
      </c>
      <c r="B1586" s="35" t="str">
        <f aca="false">IF(AND(ISNUMBER(later_events!A36),TRIM(later_events!C36)&lt;&gt;"",OR(later_events!E36="renewal_answer",later_events!E36="opt_out"),OR(LEFT(later_events!C36,6)&lt;&gt;"SAMPLE",Config!$B$19="Y")),later_events!A36,"")</f>
        <v/>
      </c>
      <c r="C1586" s="23" t="str">
        <f aca="false">IF(B1586="","",later_events!B36&amp;"")</f>
        <v/>
      </c>
      <c r="D1586" s="23" t="str">
        <f aca="false">IF(B1586="","",IF(later_events!B36="office",IFERROR(INDEX(Office_Log!$ED$2:$ED$201,MATCH(later_events!C36,Office_Log!$A$2:$A$201,0))&amp;"",later_events!C36&amp;""),IFERROR(INDEX(Brand_Log!$DV$2:$DV$201,MATCH(later_events!C36,Brand_Log!$A$2:$A$201,0))&amp;"",later_events!C36&amp;"")))</f>
        <v/>
      </c>
      <c r="E1586" s="23" t="str">
        <f aca="false">IF(B1586="","",IF(later_events!D36="","",later_events!D36&amp;""))</f>
        <v/>
      </c>
      <c r="F1586" s="23" t="str">
        <f aca="false">IF(B1586="","",later_events!E36&amp;"")</f>
        <v/>
      </c>
      <c r="G1586" s="23" t="str">
        <f aca="false">IF(B1586="","",IF(ISNUMBER(later_events!F36),later_events!F36,""))</f>
        <v/>
      </c>
      <c r="H1586" s="23" t="str">
        <f aca="false">IF(B1586="","",IF(later_events!G36="","",later_events!G36&amp;""))</f>
        <v/>
      </c>
      <c r="I1586" s="23" t="str">
        <f aca="false">IF(B1586="","","")</f>
        <v/>
      </c>
      <c r="J1586" s="23" t="str">
        <f aca="false">IF(B1586="","",IF(later_events!H36="","",later_events!H36&amp;""))</f>
        <v/>
      </c>
      <c r="K1586" s="32" t="s">
        <v>1362</v>
      </c>
    </row>
    <row r="1587" customFormat="false" ht="15" hidden="false" customHeight="false" outlineLevel="0" collapsed="false">
      <c r="A1587" s="23" t="str">
        <f aca="false">IF(B1587="","",B1587+(11*1000+36)/10000000)</f>
        <v/>
      </c>
      <c r="B1587" s="35" t="str">
        <f aca="false">IF(AND(ISNUMBER(later_events!A37),TRIM(later_events!C37)&lt;&gt;"",OR(later_events!E37="renewal_answer",later_events!E37="opt_out"),OR(LEFT(later_events!C37,6)&lt;&gt;"SAMPLE",Config!$B$19="Y")),later_events!A37,"")</f>
        <v/>
      </c>
      <c r="C1587" s="23" t="str">
        <f aca="false">IF(B1587="","",later_events!B37&amp;"")</f>
        <v/>
      </c>
      <c r="D1587" s="23" t="str">
        <f aca="false">IF(B1587="","",IF(later_events!B37="office",IFERROR(INDEX(Office_Log!$ED$2:$ED$201,MATCH(later_events!C37,Office_Log!$A$2:$A$201,0))&amp;"",later_events!C37&amp;""),IFERROR(INDEX(Brand_Log!$DV$2:$DV$201,MATCH(later_events!C37,Brand_Log!$A$2:$A$201,0))&amp;"",later_events!C37&amp;"")))</f>
        <v/>
      </c>
      <c r="E1587" s="23" t="str">
        <f aca="false">IF(B1587="","",IF(later_events!D37="","",later_events!D37&amp;""))</f>
        <v/>
      </c>
      <c r="F1587" s="23" t="str">
        <f aca="false">IF(B1587="","",later_events!E37&amp;"")</f>
        <v/>
      </c>
      <c r="G1587" s="23" t="str">
        <f aca="false">IF(B1587="","",IF(ISNUMBER(later_events!F37),later_events!F37,""))</f>
        <v/>
      </c>
      <c r="H1587" s="23" t="str">
        <f aca="false">IF(B1587="","",IF(later_events!G37="","",later_events!G37&amp;""))</f>
        <v/>
      </c>
      <c r="I1587" s="23" t="str">
        <f aca="false">IF(B1587="","","")</f>
        <v/>
      </c>
      <c r="J1587" s="23" t="str">
        <f aca="false">IF(B1587="","",IF(later_events!H37="","",later_events!H37&amp;""))</f>
        <v/>
      </c>
      <c r="K1587" s="32" t="s">
        <v>1362</v>
      </c>
    </row>
    <row r="1588" customFormat="false" ht="15" hidden="false" customHeight="false" outlineLevel="0" collapsed="false">
      <c r="A1588" s="23" t="str">
        <f aca="false">IF(B1588="","",B1588+(11*1000+37)/10000000)</f>
        <v/>
      </c>
      <c r="B1588" s="35" t="str">
        <f aca="false">IF(AND(ISNUMBER(later_events!A38),TRIM(later_events!C38)&lt;&gt;"",OR(later_events!E38="renewal_answer",later_events!E38="opt_out"),OR(LEFT(later_events!C38,6)&lt;&gt;"SAMPLE",Config!$B$19="Y")),later_events!A38,"")</f>
        <v/>
      </c>
      <c r="C1588" s="23" t="str">
        <f aca="false">IF(B1588="","",later_events!B38&amp;"")</f>
        <v/>
      </c>
      <c r="D1588" s="23" t="str">
        <f aca="false">IF(B1588="","",IF(later_events!B38="office",IFERROR(INDEX(Office_Log!$ED$2:$ED$201,MATCH(later_events!C38,Office_Log!$A$2:$A$201,0))&amp;"",later_events!C38&amp;""),IFERROR(INDEX(Brand_Log!$DV$2:$DV$201,MATCH(later_events!C38,Brand_Log!$A$2:$A$201,0))&amp;"",later_events!C38&amp;"")))</f>
        <v/>
      </c>
      <c r="E1588" s="23" t="str">
        <f aca="false">IF(B1588="","",IF(later_events!D38="","",later_events!D38&amp;""))</f>
        <v/>
      </c>
      <c r="F1588" s="23" t="str">
        <f aca="false">IF(B1588="","",later_events!E38&amp;"")</f>
        <v/>
      </c>
      <c r="G1588" s="23" t="str">
        <f aca="false">IF(B1588="","",IF(ISNUMBER(later_events!F38),later_events!F38,""))</f>
        <v/>
      </c>
      <c r="H1588" s="23" t="str">
        <f aca="false">IF(B1588="","",IF(later_events!G38="","",later_events!G38&amp;""))</f>
        <v/>
      </c>
      <c r="I1588" s="23" t="str">
        <f aca="false">IF(B1588="","","")</f>
        <v/>
      </c>
      <c r="J1588" s="23" t="str">
        <f aca="false">IF(B1588="","",IF(later_events!H38="","",later_events!H38&amp;""))</f>
        <v/>
      </c>
      <c r="K1588" s="32" t="s">
        <v>1362</v>
      </c>
    </row>
    <row r="1589" customFormat="false" ht="15" hidden="false" customHeight="false" outlineLevel="0" collapsed="false">
      <c r="A1589" s="23" t="str">
        <f aca="false">IF(B1589="","",B1589+(11*1000+38)/10000000)</f>
        <v/>
      </c>
      <c r="B1589" s="35" t="str">
        <f aca="false">IF(AND(ISNUMBER(later_events!A39),TRIM(later_events!C39)&lt;&gt;"",OR(later_events!E39="renewal_answer",later_events!E39="opt_out"),OR(LEFT(later_events!C39,6)&lt;&gt;"SAMPLE",Config!$B$19="Y")),later_events!A39,"")</f>
        <v/>
      </c>
      <c r="C1589" s="23" t="str">
        <f aca="false">IF(B1589="","",later_events!B39&amp;"")</f>
        <v/>
      </c>
      <c r="D1589" s="23" t="str">
        <f aca="false">IF(B1589="","",IF(later_events!B39="office",IFERROR(INDEX(Office_Log!$ED$2:$ED$201,MATCH(later_events!C39,Office_Log!$A$2:$A$201,0))&amp;"",later_events!C39&amp;""),IFERROR(INDEX(Brand_Log!$DV$2:$DV$201,MATCH(later_events!C39,Brand_Log!$A$2:$A$201,0))&amp;"",later_events!C39&amp;"")))</f>
        <v/>
      </c>
      <c r="E1589" s="23" t="str">
        <f aca="false">IF(B1589="","",IF(later_events!D39="","",later_events!D39&amp;""))</f>
        <v/>
      </c>
      <c r="F1589" s="23" t="str">
        <f aca="false">IF(B1589="","",later_events!E39&amp;"")</f>
        <v/>
      </c>
      <c r="G1589" s="23" t="str">
        <f aca="false">IF(B1589="","",IF(ISNUMBER(later_events!F39),later_events!F39,""))</f>
        <v/>
      </c>
      <c r="H1589" s="23" t="str">
        <f aca="false">IF(B1589="","",IF(later_events!G39="","",later_events!G39&amp;""))</f>
        <v/>
      </c>
      <c r="I1589" s="23" t="str">
        <f aca="false">IF(B1589="","","")</f>
        <v/>
      </c>
      <c r="J1589" s="23" t="str">
        <f aca="false">IF(B1589="","",IF(later_events!H39="","",later_events!H39&amp;""))</f>
        <v/>
      </c>
      <c r="K1589" s="32" t="s">
        <v>1362</v>
      </c>
    </row>
    <row r="1590" customFormat="false" ht="15" hidden="false" customHeight="false" outlineLevel="0" collapsed="false">
      <c r="A1590" s="23" t="str">
        <f aca="false">IF(B1590="","",B1590+(11*1000+39)/10000000)</f>
        <v/>
      </c>
      <c r="B1590" s="35" t="str">
        <f aca="false">IF(AND(ISNUMBER(later_events!A40),TRIM(later_events!C40)&lt;&gt;"",OR(later_events!E40="renewal_answer",later_events!E40="opt_out"),OR(LEFT(later_events!C40,6)&lt;&gt;"SAMPLE",Config!$B$19="Y")),later_events!A40,"")</f>
        <v/>
      </c>
      <c r="C1590" s="23" t="str">
        <f aca="false">IF(B1590="","",later_events!B40&amp;"")</f>
        <v/>
      </c>
      <c r="D1590" s="23" t="str">
        <f aca="false">IF(B1590="","",IF(later_events!B40="office",IFERROR(INDEX(Office_Log!$ED$2:$ED$201,MATCH(later_events!C40,Office_Log!$A$2:$A$201,0))&amp;"",later_events!C40&amp;""),IFERROR(INDEX(Brand_Log!$DV$2:$DV$201,MATCH(later_events!C40,Brand_Log!$A$2:$A$201,0))&amp;"",later_events!C40&amp;"")))</f>
        <v/>
      </c>
      <c r="E1590" s="23" t="str">
        <f aca="false">IF(B1590="","",IF(later_events!D40="","",later_events!D40&amp;""))</f>
        <v/>
      </c>
      <c r="F1590" s="23" t="str">
        <f aca="false">IF(B1590="","",later_events!E40&amp;"")</f>
        <v/>
      </c>
      <c r="G1590" s="23" t="str">
        <f aca="false">IF(B1590="","",IF(ISNUMBER(later_events!F40),later_events!F40,""))</f>
        <v/>
      </c>
      <c r="H1590" s="23" t="str">
        <f aca="false">IF(B1590="","",IF(later_events!G40="","",later_events!G40&amp;""))</f>
        <v/>
      </c>
      <c r="I1590" s="23" t="str">
        <f aca="false">IF(B1590="","","")</f>
        <v/>
      </c>
      <c r="J1590" s="23" t="str">
        <f aca="false">IF(B1590="","",IF(later_events!H40="","",later_events!H40&amp;""))</f>
        <v/>
      </c>
      <c r="K1590" s="32" t="s">
        <v>1362</v>
      </c>
    </row>
    <row r="1591" customFormat="false" ht="15" hidden="false" customHeight="false" outlineLevel="0" collapsed="false">
      <c r="A1591" s="23" t="str">
        <f aca="false">IF(B1591="","",B1591+(11*1000+40)/10000000)</f>
        <v/>
      </c>
      <c r="B1591" s="35" t="str">
        <f aca="false">IF(AND(ISNUMBER(later_events!A41),TRIM(later_events!C41)&lt;&gt;"",OR(later_events!E41="renewal_answer",later_events!E41="opt_out"),OR(LEFT(later_events!C41,6)&lt;&gt;"SAMPLE",Config!$B$19="Y")),later_events!A41,"")</f>
        <v/>
      </c>
      <c r="C1591" s="23" t="str">
        <f aca="false">IF(B1591="","",later_events!B41&amp;"")</f>
        <v/>
      </c>
      <c r="D1591" s="23" t="str">
        <f aca="false">IF(B1591="","",IF(later_events!B41="office",IFERROR(INDEX(Office_Log!$ED$2:$ED$201,MATCH(later_events!C41,Office_Log!$A$2:$A$201,0))&amp;"",later_events!C41&amp;""),IFERROR(INDEX(Brand_Log!$DV$2:$DV$201,MATCH(later_events!C41,Brand_Log!$A$2:$A$201,0))&amp;"",later_events!C41&amp;"")))</f>
        <v/>
      </c>
      <c r="E1591" s="23" t="str">
        <f aca="false">IF(B1591="","",IF(later_events!D41="","",later_events!D41&amp;""))</f>
        <v/>
      </c>
      <c r="F1591" s="23" t="str">
        <f aca="false">IF(B1591="","",later_events!E41&amp;"")</f>
        <v/>
      </c>
      <c r="G1591" s="23" t="str">
        <f aca="false">IF(B1591="","",IF(ISNUMBER(later_events!F41),later_events!F41,""))</f>
        <v/>
      </c>
      <c r="H1591" s="23" t="str">
        <f aca="false">IF(B1591="","",IF(later_events!G41="","",later_events!G41&amp;""))</f>
        <v/>
      </c>
      <c r="I1591" s="23" t="str">
        <f aca="false">IF(B1591="","","")</f>
        <v/>
      </c>
      <c r="J1591" s="23" t="str">
        <f aca="false">IF(B1591="","",IF(later_events!H41="","",later_events!H41&amp;""))</f>
        <v/>
      </c>
      <c r="K1591" s="32" t="s">
        <v>1362</v>
      </c>
    </row>
    <row r="1592" customFormat="false" ht="15" hidden="false" customHeight="false" outlineLevel="0" collapsed="false">
      <c r="A1592" s="23" t="str">
        <f aca="false">IF(B1592="","",B1592+(11*1000+41)/10000000)</f>
        <v/>
      </c>
      <c r="B1592" s="35" t="str">
        <f aca="false">IF(AND(ISNUMBER(later_events!A42),TRIM(later_events!C42)&lt;&gt;"",OR(later_events!E42="renewal_answer",later_events!E42="opt_out"),OR(LEFT(later_events!C42,6)&lt;&gt;"SAMPLE",Config!$B$19="Y")),later_events!A42,"")</f>
        <v/>
      </c>
      <c r="C1592" s="23" t="str">
        <f aca="false">IF(B1592="","",later_events!B42&amp;"")</f>
        <v/>
      </c>
      <c r="D1592" s="23" t="str">
        <f aca="false">IF(B1592="","",IF(later_events!B42="office",IFERROR(INDEX(Office_Log!$ED$2:$ED$201,MATCH(later_events!C42,Office_Log!$A$2:$A$201,0))&amp;"",later_events!C42&amp;""),IFERROR(INDEX(Brand_Log!$DV$2:$DV$201,MATCH(later_events!C42,Brand_Log!$A$2:$A$201,0))&amp;"",later_events!C42&amp;"")))</f>
        <v/>
      </c>
      <c r="E1592" s="23" t="str">
        <f aca="false">IF(B1592="","",IF(later_events!D42="","",later_events!D42&amp;""))</f>
        <v/>
      </c>
      <c r="F1592" s="23" t="str">
        <f aca="false">IF(B1592="","",later_events!E42&amp;"")</f>
        <v/>
      </c>
      <c r="G1592" s="23" t="str">
        <f aca="false">IF(B1592="","",IF(ISNUMBER(later_events!F42),later_events!F42,""))</f>
        <v/>
      </c>
      <c r="H1592" s="23" t="str">
        <f aca="false">IF(B1592="","",IF(later_events!G42="","",later_events!G42&amp;""))</f>
        <v/>
      </c>
      <c r="I1592" s="23" t="str">
        <f aca="false">IF(B1592="","","")</f>
        <v/>
      </c>
      <c r="J1592" s="23" t="str">
        <f aca="false">IF(B1592="","",IF(later_events!H42="","",later_events!H42&amp;""))</f>
        <v/>
      </c>
      <c r="K1592" s="32" t="s">
        <v>1362</v>
      </c>
    </row>
    <row r="1593" customFormat="false" ht="15" hidden="false" customHeight="false" outlineLevel="0" collapsed="false">
      <c r="A1593" s="23" t="str">
        <f aca="false">IF(B1593="","",B1593+(11*1000+42)/10000000)</f>
        <v/>
      </c>
      <c r="B1593" s="35" t="str">
        <f aca="false">IF(AND(ISNUMBER(later_events!A43),TRIM(later_events!C43)&lt;&gt;"",OR(later_events!E43="renewal_answer",later_events!E43="opt_out"),OR(LEFT(later_events!C43,6)&lt;&gt;"SAMPLE",Config!$B$19="Y")),later_events!A43,"")</f>
        <v/>
      </c>
      <c r="C1593" s="23" t="str">
        <f aca="false">IF(B1593="","",later_events!B43&amp;"")</f>
        <v/>
      </c>
      <c r="D1593" s="23" t="str">
        <f aca="false">IF(B1593="","",IF(later_events!B43="office",IFERROR(INDEX(Office_Log!$ED$2:$ED$201,MATCH(later_events!C43,Office_Log!$A$2:$A$201,0))&amp;"",later_events!C43&amp;""),IFERROR(INDEX(Brand_Log!$DV$2:$DV$201,MATCH(later_events!C43,Brand_Log!$A$2:$A$201,0))&amp;"",later_events!C43&amp;"")))</f>
        <v/>
      </c>
      <c r="E1593" s="23" t="str">
        <f aca="false">IF(B1593="","",IF(later_events!D43="","",later_events!D43&amp;""))</f>
        <v/>
      </c>
      <c r="F1593" s="23" t="str">
        <f aca="false">IF(B1593="","",later_events!E43&amp;"")</f>
        <v/>
      </c>
      <c r="G1593" s="23" t="str">
        <f aca="false">IF(B1593="","",IF(ISNUMBER(later_events!F43),later_events!F43,""))</f>
        <v/>
      </c>
      <c r="H1593" s="23" t="str">
        <f aca="false">IF(B1593="","",IF(later_events!G43="","",later_events!G43&amp;""))</f>
        <v/>
      </c>
      <c r="I1593" s="23" t="str">
        <f aca="false">IF(B1593="","","")</f>
        <v/>
      </c>
      <c r="J1593" s="23" t="str">
        <f aca="false">IF(B1593="","",IF(later_events!H43="","",later_events!H43&amp;""))</f>
        <v/>
      </c>
      <c r="K1593" s="32" t="s">
        <v>1362</v>
      </c>
    </row>
    <row r="1594" customFormat="false" ht="15" hidden="false" customHeight="false" outlineLevel="0" collapsed="false">
      <c r="A1594" s="23" t="str">
        <f aca="false">IF(B1594="","",B1594+(11*1000+43)/10000000)</f>
        <v/>
      </c>
      <c r="B1594" s="35" t="str">
        <f aca="false">IF(AND(ISNUMBER(later_events!A44),TRIM(later_events!C44)&lt;&gt;"",OR(later_events!E44="renewal_answer",later_events!E44="opt_out"),OR(LEFT(later_events!C44,6)&lt;&gt;"SAMPLE",Config!$B$19="Y")),later_events!A44,"")</f>
        <v/>
      </c>
      <c r="C1594" s="23" t="str">
        <f aca="false">IF(B1594="","",later_events!B44&amp;"")</f>
        <v/>
      </c>
      <c r="D1594" s="23" t="str">
        <f aca="false">IF(B1594="","",IF(later_events!B44="office",IFERROR(INDEX(Office_Log!$ED$2:$ED$201,MATCH(later_events!C44,Office_Log!$A$2:$A$201,0))&amp;"",later_events!C44&amp;""),IFERROR(INDEX(Brand_Log!$DV$2:$DV$201,MATCH(later_events!C44,Brand_Log!$A$2:$A$201,0))&amp;"",later_events!C44&amp;"")))</f>
        <v/>
      </c>
      <c r="E1594" s="23" t="str">
        <f aca="false">IF(B1594="","",IF(later_events!D44="","",later_events!D44&amp;""))</f>
        <v/>
      </c>
      <c r="F1594" s="23" t="str">
        <f aca="false">IF(B1594="","",later_events!E44&amp;"")</f>
        <v/>
      </c>
      <c r="G1594" s="23" t="str">
        <f aca="false">IF(B1594="","",IF(ISNUMBER(later_events!F44),later_events!F44,""))</f>
        <v/>
      </c>
      <c r="H1594" s="23" t="str">
        <f aca="false">IF(B1594="","",IF(later_events!G44="","",later_events!G44&amp;""))</f>
        <v/>
      </c>
      <c r="I1594" s="23" t="str">
        <f aca="false">IF(B1594="","","")</f>
        <v/>
      </c>
      <c r="J1594" s="23" t="str">
        <f aca="false">IF(B1594="","",IF(later_events!H44="","",later_events!H44&amp;""))</f>
        <v/>
      </c>
      <c r="K1594" s="32" t="s">
        <v>1362</v>
      </c>
    </row>
    <row r="1595" customFormat="false" ht="15" hidden="false" customHeight="false" outlineLevel="0" collapsed="false">
      <c r="A1595" s="23" t="str">
        <f aca="false">IF(B1595="","",B1595+(11*1000+44)/10000000)</f>
        <v/>
      </c>
      <c r="B1595" s="35" t="str">
        <f aca="false">IF(AND(ISNUMBER(later_events!A45),TRIM(later_events!C45)&lt;&gt;"",OR(later_events!E45="renewal_answer",later_events!E45="opt_out"),OR(LEFT(later_events!C45,6)&lt;&gt;"SAMPLE",Config!$B$19="Y")),later_events!A45,"")</f>
        <v/>
      </c>
      <c r="C1595" s="23" t="str">
        <f aca="false">IF(B1595="","",later_events!B45&amp;"")</f>
        <v/>
      </c>
      <c r="D1595" s="23" t="str">
        <f aca="false">IF(B1595="","",IF(later_events!B45="office",IFERROR(INDEX(Office_Log!$ED$2:$ED$201,MATCH(later_events!C45,Office_Log!$A$2:$A$201,0))&amp;"",later_events!C45&amp;""),IFERROR(INDEX(Brand_Log!$DV$2:$DV$201,MATCH(later_events!C45,Brand_Log!$A$2:$A$201,0))&amp;"",later_events!C45&amp;"")))</f>
        <v/>
      </c>
      <c r="E1595" s="23" t="str">
        <f aca="false">IF(B1595="","",IF(later_events!D45="","",later_events!D45&amp;""))</f>
        <v/>
      </c>
      <c r="F1595" s="23" t="str">
        <f aca="false">IF(B1595="","",later_events!E45&amp;"")</f>
        <v/>
      </c>
      <c r="G1595" s="23" t="str">
        <f aca="false">IF(B1595="","",IF(ISNUMBER(later_events!F45),later_events!F45,""))</f>
        <v/>
      </c>
      <c r="H1595" s="23" t="str">
        <f aca="false">IF(B1595="","",IF(later_events!G45="","",later_events!G45&amp;""))</f>
        <v/>
      </c>
      <c r="I1595" s="23" t="str">
        <f aca="false">IF(B1595="","","")</f>
        <v/>
      </c>
      <c r="J1595" s="23" t="str">
        <f aca="false">IF(B1595="","",IF(later_events!H45="","",later_events!H45&amp;""))</f>
        <v/>
      </c>
      <c r="K1595" s="32" t="s">
        <v>1362</v>
      </c>
    </row>
    <row r="1596" customFormat="false" ht="15" hidden="false" customHeight="false" outlineLevel="0" collapsed="false">
      <c r="A1596" s="23" t="str">
        <f aca="false">IF(B1596="","",B1596+(11*1000+45)/10000000)</f>
        <v/>
      </c>
      <c r="B1596" s="35" t="str">
        <f aca="false">IF(AND(ISNUMBER(later_events!A46),TRIM(later_events!C46)&lt;&gt;"",OR(later_events!E46="renewal_answer",later_events!E46="opt_out"),OR(LEFT(later_events!C46,6)&lt;&gt;"SAMPLE",Config!$B$19="Y")),later_events!A46,"")</f>
        <v/>
      </c>
      <c r="C1596" s="23" t="str">
        <f aca="false">IF(B1596="","",later_events!B46&amp;"")</f>
        <v/>
      </c>
      <c r="D1596" s="23" t="str">
        <f aca="false">IF(B1596="","",IF(later_events!B46="office",IFERROR(INDEX(Office_Log!$ED$2:$ED$201,MATCH(later_events!C46,Office_Log!$A$2:$A$201,0))&amp;"",later_events!C46&amp;""),IFERROR(INDEX(Brand_Log!$DV$2:$DV$201,MATCH(later_events!C46,Brand_Log!$A$2:$A$201,0))&amp;"",later_events!C46&amp;"")))</f>
        <v/>
      </c>
      <c r="E1596" s="23" t="str">
        <f aca="false">IF(B1596="","",IF(later_events!D46="","",later_events!D46&amp;""))</f>
        <v/>
      </c>
      <c r="F1596" s="23" t="str">
        <f aca="false">IF(B1596="","",later_events!E46&amp;"")</f>
        <v/>
      </c>
      <c r="G1596" s="23" t="str">
        <f aca="false">IF(B1596="","",IF(ISNUMBER(later_events!F46),later_events!F46,""))</f>
        <v/>
      </c>
      <c r="H1596" s="23" t="str">
        <f aca="false">IF(B1596="","",IF(later_events!G46="","",later_events!G46&amp;""))</f>
        <v/>
      </c>
      <c r="I1596" s="23" t="str">
        <f aca="false">IF(B1596="","","")</f>
        <v/>
      </c>
      <c r="J1596" s="23" t="str">
        <f aca="false">IF(B1596="","",IF(later_events!H46="","",later_events!H46&amp;""))</f>
        <v/>
      </c>
      <c r="K1596" s="32" t="s">
        <v>1362</v>
      </c>
    </row>
    <row r="1597" customFormat="false" ht="15" hidden="false" customHeight="false" outlineLevel="0" collapsed="false">
      <c r="A1597" s="23" t="str">
        <f aca="false">IF(B1597="","",B1597+(11*1000+46)/10000000)</f>
        <v/>
      </c>
      <c r="B1597" s="35" t="str">
        <f aca="false">IF(AND(ISNUMBER(later_events!A47),TRIM(later_events!C47)&lt;&gt;"",OR(later_events!E47="renewal_answer",later_events!E47="opt_out"),OR(LEFT(later_events!C47,6)&lt;&gt;"SAMPLE",Config!$B$19="Y")),later_events!A47,"")</f>
        <v/>
      </c>
      <c r="C1597" s="23" t="str">
        <f aca="false">IF(B1597="","",later_events!B47&amp;"")</f>
        <v/>
      </c>
      <c r="D1597" s="23" t="str">
        <f aca="false">IF(B1597="","",IF(later_events!B47="office",IFERROR(INDEX(Office_Log!$ED$2:$ED$201,MATCH(later_events!C47,Office_Log!$A$2:$A$201,0))&amp;"",later_events!C47&amp;""),IFERROR(INDEX(Brand_Log!$DV$2:$DV$201,MATCH(later_events!C47,Brand_Log!$A$2:$A$201,0))&amp;"",later_events!C47&amp;"")))</f>
        <v/>
      </c>
      <c r="E1597" s="23" t="str">
        <f aca="false">IF(B1597="","",IF(later_events!D47="","",later_events!D47&amp;""))</f>
        <v/>
      </c>
      <c r="F1597" s="23" t="str">
        <f aca="false">IF(B1597="","",later_events!E47&amp;"")</f>
        <v/>
      </c>
      <c r="G1597" s="23" t="str">
        <f aca="false">IF(B1597="","",IF(ISNUMBER(later_events!F47),later_events!F47,""))</f>
        <v/>
      </c>
      <c r="H1597" s="23" t="str">
        <f aca="false">IF(B1597="","",IF(later_events!G47="","",later_events!G47&amp;""))</f>
        <v/>
      </c>
      <c r="I1597" s="23" t="str">
        <f aca="false">IF(B1597="","","")</f>
        <v/>
      </c>
      <c r="J1597" s="23" t="str">
        <f aca="false">IF(B1597="","",IF(later_events!H47="","",later_events!H47&amp;""))</f>
        <v/>
      </c>
      <c r="K1597" s="32" t="s">
        <v>1362</v>
      </c>
    </row>
    <row r="1598" customFormat="false" ht="15" hidden="false" customHeight="false" outlineLevel="0" collapsed="false">
      <c r="A1598" s="23" t="str">
        <f aca="false">IF(B1598="","",B1598+(11*1000+47)/10000000)</f>
        <v/>
      </c>
      <c r="B1598" s="35" t="str">
        <f aca="false">IF(AND(ISNUMBER(later_events!A48),TRIM(later_events!C48)&lt;&gt;"",OR(later_events!E48="renewal_answer",later_events!E48="opt_out"),OR(LEFT(later_events!C48,6)&lt;&gt;"SAMPLE",Config!$B$19="Y")),later_events!A48,"")</f>
        <v/>
      </c>
      <c r="C1598" s="23" t="str">
        <f aca="false">IF(B1598="","",later_events!B48&amp;"")</f>
        <v/>
      </c>
      <c r="D1598" s="23" t="str">
        <f aca="false">IF(B1598="","",IF(later_events!B48="office",IFERROR(INDEX(Office_Log!$ED$2:$ED$201,MATCH(later_events!C48,Office_Log!$A$2:$A$201,0))&amp;"",later_events!C48&amp;""),IFERROR(INDEX(Brand_Log!$DV$2:$DV$201,MATCH(later_events!C48,Brand_Log!$A$2:$A$201,0))&amp;"",later_events!C48&amp;"")))</f>
        <v/>
      </c>
      <c r="E1598" s="23" t="str">
        <f aca="false">IF(B1598="","",IF(later_events!D48="","",later_events!D48&amp;""))</f>
        <v/>
      </c>
      <c r="F1598" s="23" t="str">
        <f aca="false">IF(B1598="","",later_events!E48&amp;"")</f>
        <v/>
      </c>
      <c r="G1598" s="23" t="str">
        <f aca="false">IF(B1598="","",IF(ISNUMBER(later_events!F48),later_events!F48,""))</f>
        <v/>
      </c>
      <c r="H1598" s="23" t="str">
        <f aca="false">IF(B1598="","",IF(later_events!G48="","",later_events!G48&amp;""))</f>
        <v/>
      </c>
      <c r="I1598" s="23" t="str">
        <f aca="false">IF(B1598="","","")</f>
        <v/>
      </c>
      <c r="J1598" s="23" t="str">
        <f aca="false">IF(B1598="","",IF(later_events!H48="","",later_events!H48&amp;""))</f>
        <v/>
      </c>
      <c r="K1598" s="32" t="s">
        <v>1362</v>
      </c>
    </row>
    <row r="1599" customFormat="false" ht="15" hidden="false" customHeight="false" outlineLevel="0" collapsed="false">
      <c r="A1599" s="23" t="str">
        <f aca="false">IF(B1599="","",B1599+(11*1000+48)/10000000)</f>
        <v/>
      </c>
      <c r="B1599" s="35" t="str">
        <f aca="false">IF(AND(ISNUMBER(later_events!A49),TRIM(later_events!C49)&lt;&gt;"",OR(later_events!E49="renewal_answer",later_events!E49="opt_out"),OR(LEFT(later_events!C49,6)&lt;&gt;"SAMPLE",Config!$B$19="Y")),later_events!A49,"")</f>
        <v/>
      </c>
      <c r="C1599" s="23" t="str">
        <f aca="false">IF(B1599="","",later_events!B49&amp;"")</f>
        <v/>
      </c>
      <c r="D1599" s="23" t="str">
        <f aca="false">IF(B1599="","",IF(later_events!B49="office",IFERROR(INDEX(Office_Log!$ED$2:$ED$201,MATCH(later_events!C49,Office_Log!$A$2:$A$201,0))&amp;"",later_events!C49&amp;""),IFERROR(INDEX(Brand_Log!$DV$2:$DV$201,MATCH(later_events!C49,Brand_Log!$A$2:$A$201,0))&amp;"",later_events!C49&amp;"")))</f>
        <v/>
      </c>
      <c r="E1599" s="23" t="str">
        <f aca="false">IF(B1599="","",IF(later_events!D49="","",later_events!D49&amp;""))</f>
        <v/>
      </c>
      <c r="F1599" s="23" t="str">
        <f aca="false">IF(B1599="","",later_events!E49&amp;"")</f>
        <v/>
      </c>
      <c r="G1599" s="23" t="str">
        <f aca="false">IF(B1599="","",IF(ISNUMBER(later_events!F49),later_events!F49,""))</f>
        <v/>
      </c>
      <c r="H1599" s="23" t="str">
        <f aca="false">IF(B1599="","",IF(later_events!G49="","",later_events!G49&amp;""))</f>
        <v/>
      </c>
      <c r="I1599" s="23" t="str">
        <f aca="false">IF(B1599="","","")</f>
        <v/>
      </c>
      <c r="J1599" s="23" t="str">
        <f aca="false">IF(B1599="","",IF(later_events!H49="","",later_events!H49&amp;""))</f>
        <v/>
      </c>
      <c r="K1599" s="32" t="s">
        <v>1362</v>
      </c>
    </row>
    <row r="1600" customFormat="false" ht="15" hidden="false" customHeight="false" outlineLevel="0" collapsed="false">
      <c r="A1600" s="23" t="str">
        <f aca="false">IF(B1600="","",B1600+(11*1000+49)/10000000)</f>
        <v/>
      </c>
      <c r="B1600" s="35" t="str">
        <f aca="false">IF(AND(ISNUMBER(later_events!A50),TRIM(later_events!C50)&lt;&gt;"",OR(later_events!E50="renewal_answer",later_events!E50="opt_out"),OR(LEFT(later_events!C50,6)&lt;&gt;"SAMPLE",Config!$B$19="Y")),later_events!A50,"")</f>
        <v/>
      </c>
      <c r="C1600" s="23" t="str">
        <f aca="false">IF(B1600="","",later_events!B50&amp;"")</f>
        <v/>
      </c>
      <c r="D1600" s="23" t="str">
        <f aca="false">IF(B1600="","",IF(later_events!B50="office",IFERROR(INDEX(Office_Log!$ED$2:$ED$201,MATCH(later_events!C50,Office_Log!$A$2:$A$201,0))&amp;"",later_events!C50&amp;""),IFERROR(INDEX(Brand_Log!$DV$2:$DV$201,MATCH(later_events!C50,Brand_Log!$A$2:$A$201,0))&amp;"",later_events!C50&amp;"")))</f>
        <v/>
      </c>
      <c r="E1600" s="23" t="str">
        <f aca="false">IF(B1600="","",IF(later_events!D50="","",later_events!D50&amp;""))</f>
        <v/>
      </c>
      <c r="F1600" s="23" t="str">
        <f aca="false">IF(B1600="","",later_events!E50&amp;"")</f>
        <v/>
      </c>
      <c r="G1600" s="23" t="str">
        <f aca="false">IF(B1600="","",IF(ISNUMBER(later_events!F50),later_events!F50,""))</f>
        <v/>
      </c>
      <c r="H1600" s="23" t="str">
        <f aca="false">IF(B1600="","",IF(later_events!G50="","",later_events!G50&amp;""))</f>
        <v/>
      </c>
      <c r="I1600" s="23" t="str">
        <f aca="false">IF(B1600="","","")</f>
        <v/>
      </c>
      <c r="J1600" s="23" t="str">
        <f aca="false">IF(B1600="","",IF(later_events!H50="","",later_events!H50&amp;""))</f>
        <v/>
      </c>
      <c r="K1600" s="32" t="s">
        <v>1362</v>
      </c>
    </row>
    <row r="1601" customFormat="false" ht="15" hidden="false" customHeight="false" outlineLevel="0" collapsed="false">
      <c r="A1601" s="23" t="str">
        <f aca="false">IF(B1601="","",B1601+(11*1000+50)/10000000)</f>
        <v/>
      </c>
      <c r="B1601" s="35" t="str">
        <f aca="false">IF(AND(ISNUMBER(later_events!A51),TRIM(later_events!C51)&lt;&gt;"",OR(later_events!E51="renewal_answer",later_events!E51="opt_out"),OR(LEFT(later_events!C51,6)&lt;&gt;"SAMPLE",Config!$B$19="Y")),later_events!A51,"")</f>
        <v/>
      </c>
      <c r="C1601" s="23" t="str">
        <f aca="false">IF(B1601="","",later_events!B51&amp;"")</f>
        <v/>
      </c>
      <c r="D1601" s="23" t="str">
        <f aca="false">IF(B1601="","",IF(later_events!B51="office",IFERROR(INDEX(Office_Log!$ED$2:$ED$201,MATCH(later_events!C51,Office_Log!$A$2:$A$201,0))&amp;"",later_events!C51&amp;""),IFERROR(INDEX(Brand_Log!$DV$2:$DV$201,MATCH(later_events!C51,Brand_Log!$A$2:$A$201,0))&amp;"",later_events!C51&amp;"")))</f>
        <v/>
      </c>
      <c r="E1601" s="23" t="str">
        <f aca="false">IF(B1601="","",IF(later_events!D51="","",later_events!D51&amp;""))</f>
        <v/>
      </c>
      <c r="F1601" s="23" t="str">
        <f aca="false">IF(B1601="","",later_events!E51&amp;"")</f>
        <v/>
      </c>
      <c r="G1601" s="23" t="str">
        <f aca="false">IF(B1601="","",IF(ISNUMBER(later_events!F51),later_events!F51,""))</f>
        <v/>
      </c>
      <c r="H1601" s="23" t="str">
        <f aca="false">IF(B1601="","",IF(later_events!G51="","",later_events!G51&amp;""))</f>
        <v/>
      </c>
      <c r="I1601" s="23" t="str">
        <f aca="false">IF(B1601="","","")</f>
        <v/>
      </c>
      <c r="J1601" s="23" t="str">
        <f aca="false">IF(B1601="","",IF(later_events!H51="","",later_events!H51&amp;""))</f>
        <v/>
      </c>
      <c r="K1601" s="32" t="s">
        <v>1362</v>
      </c>
    </row>
    <row r="1602" customFormat="false" ht="15" hidden="false" customHeight="false" outlineLevel="0" collapsed="false">
      <c r="A1602" s="23" t="str">
        <f aca="false">IF(B1602="","",B1602+(11*1000+51)/10000000)</f>
        <v/>
      </c>
      <c r="B1602" s="35" t="str">
        <f aca="false">IF(AND(ISNUMBER(later_events!A52),TRIM(later_events!C52)&lt;&gt;"",OR(later_events!E52="renewal_answer",later_events!E52="opt_out"),OR(LEFT(later_events!C52,6)&lt;&gt;"SAMPLE",Config!$B$19="Y")),later_events!A52,"")</f>
        <v/>
      </c>
      <c r="C1602" s="23" t="str">
        <f aca="false">IF(B1602="","",later_events!B52&amp;"")</f>
        <v/>
      </c>
      <c r="D1602" s="23" t="str">
        <f aca="false">IF(B1602="","",IF(later_events!B52="office",IFERROR(INDEX(Office_Log!$ED$2:$ED$201,MATCH(later_events!C52,Office_Log!$A$2:$A$201,0))&amp;"",later_events!C52&amp;""),IFERROR(INDEX(Brand_Log!$DV$2:$DV$201,MATCH(later_events!C52,Brand_Log!$A$2:$A$201,0))&amp;"",later_events!C52&amp;"")))</f>
        <v/>
      </c>
      <c r="E1602" s="23" t="str">
        <f aca="false">IF(B1602="","",IF(later_events!D52="","",later_events!D52&amp;""))</f>
        <v/>
      </c>
      <c r="F1602" s="23" t="str">
        <f aca="false">IF(B1602="","",later_events!E52&amp;"")</f>
        <v/>
      </c>
      <c r="G1602" s="23" t="str">
        <f aca="false">IF(B1602="","",IF(ISNUMBER(later_events!F52),later_events!F52,""))</f>
        <v/>
      </c>
      <c r="H1602" s="23" t="str">
        <f aca="false">IF(B1602="","",IF(later_events!G52="","",later_events!G52&amp;""))</f>
        <v/>
      </c>
      <c r="I1602" s="23" t="str">
        <f aca="false">IF(B1602="","","")</f>
        <v/>
      </c>
      <c r="J1602" s="23" t="str">
        <f aca="false">IF(B1602="","",IF(later_events!H52="","",later_events!H52&amp;""))</f>
        <v/>
      </c>
      <c r="K1602" s="32" t="s">
        <v>1362</v>
      </c>
    </row>
    <row r="1603" customFormat="false" ht="15" hidden="false" customHeight="false" outlineLevel="0" collapsed="false">
      <c r="A1603" s="23" t="str">
        <f aca="false">IF(B1603="","",B1603+(11*1000+52)/10000000)</f>
        <v/>
      </c>
      <c r="B1603" s="35" t="str">
        <f aca="false">IF(AND(ISNUMBER(later_events!A53),TRIM(later_events!C53)&lt;&gt;"",OR(later_events!E53="renewal_answer",later_events!E53="opt_out"),OR(LEFT(later_events!C53,6)&lt;&gt;"SAMPLE",Config!$B$19="Y")),later_events!A53,"")</f>
        <v/>
      </c>
      <c r="C1603" s="23" t="str">
        <f aca="false">IF(B1603="","",later_events!B53&amp;"")</f>
        <v/>
      </c>
      <c r="D1603" s="23" t="str">
        <f aca="false">IF(B1603="","",IF(later_events!B53="office",IFERROR(INDEX(Office_Log!$ED$2:$ED$201,MATCH(later_events!C53,Office_Log!$A$2:$A$201,0))&amp;"",later_events!C53&amp;""),IFERROR(INDEX(Brand_Log!$DV$2:$DV$201,MATCH(later_events!C53,Brand_Log!$A$2:$A$201,0))&amp;"",later_events!C53&amp;"")))</f>
        <v/>
      </c>
      <c r="E1603" s="23" t="str">
        <f aca="false">IF(B1603="","",IF(later_events!D53="","",later_events!D53&amp;""))</f>
        <v/>
      </c>
      <c r="F1603" s="23" t="str">
        <f aca="false">IF(B1603="","",later_events!E53&amp;"")</f>
        <v/>
      </c>
      <c r="G1603" s="23" t="str">
        <f aca="false">IF(B1603="","",IF(ISNUMBER(later_events!F53),later_events!F53,""))</f>
        <v/>
      </c>
      <c r="H1603" s="23" t="str">
        <f aca="false">IF(B1603="","",IF(later_events!G53="","",later_events!G53&amp;""))</f>
        <v/>
      </c>
      <c r="I1603" s="23" t="str">
        <f aca="false">IF(B1603="","","")</f>
        <v/>
      </c>
      <c r="J1603" s="23" t="str">
        <f aca="false">IF(B1603="","",IF(later_events!H53="","",later_events!H53&amp;""))</f>
        <v/>
      </c>
      <c r="K1603" s="32" t="s">
        <v>1362</v>
      </c>
    </row>
    <row r="1604" customFormat="false" ht="15" hidden="false" customHeight="false" outlineLevel="0" collapsed="false">
      <c r="A1604" s="23" t="str">
        <f aca="false">IF(B1604="","",B1604+(11*1000+53)/10000000)</f>
        <v/>
      </c>
      <c r="B1604" s="35" t="str">
        <f aca="false">IF(AND(ISNUMBER(later_events!A54),TRIM(later_events!C54)&lt;&gt;"",OR(later_events!E54="renewal_answer",later_events!E54="opt_out"),OR(LEFT(later_events!C54,6)&lt;&gt;"SAMPLE",Config!$B$19="Y")),later_events!A54,"")</f>
        <v/>
      </c>
      <c r="C1604" s="23" t="str">
        <f aca="false">IF(B1604="","",later_events!B54&amp;"")</f>
        <v/>
      </c>
      <c r="D1604" s="23" t="str">
        <f aca="false">IF(B1604="","",IF(later_events!B54="office",IFERROR(INDEX(Office_Log!$ED$2:$ED$201,MATCH(later_events!C54,Office_Log!$A$2:$A$201,0))&amp;"",later_events!C54&amp;""),IFERROR(INDEX(Brand_Log!$DV$2:$DV$201,MATCH(later_events!C54,Brand_Log!$A$2:$A$201,0))&amp;"",later_events!C54&amp;"")))</f>
        <v/>
      </c>
      <c r="E1604" s="23" t="str">
        <f aca="false">IF(B1604="","",IF(later_events!D54="","",later_events!D54&amp;""))</f>
        <v/>
      </c>
      <c r="F1604" s="23" t="str">
        <f aca="false">IF(B1604="","",later_events!E54&amp;"")</f>
        <v/>
      </c>
      <c r="G1604" s="23" t="str">
        <f aca="false">IF(B1604="","",IF(ISNUMBER(later_events!F54),later_events!F54,""))</f>
        <v/>
      </c>
      <c r="H1604" s="23" t="str">
        <f aca="false">IF(B1604="","",IF(later_events!G54="","",later_events!G54&amp;""))</f>
        <v/>
      </c>
      <c r="I1604" s="23" t="str">
        <f aca="false">IF(B1604="","","")</f>
        <v/>
      </c>
      <c r="J1604" s="23" t="str">
        <f aca="false">IF(B1604="","",IF(later_events!H54="","",later_events!H54&amp;""))</f>
        <v/>
      </c>
      <c r="K1604" s="32" t="s">
        <v>1362</v>
      </c>
    </row>
    <row r="1605" customFormat="false" ht="15" hidden="false" customHeight="false" outlineLevel="0" collapsed="false">
      <c r="A1605" s="23" t="str">
        <f aca="false">IF(B1605="","",B1605+(11*1000+54)/10000000)</f>
        <v/>
      </c>
      <c r="B1605" s="35" t="str">
        <f aca="false">IF(AND(ISNUMBER(later_events!A55),TRIM(later_events!C55)&lt;&gt;"",OR(later_events!E55="renewal_answer",later_events!E55="opt_out"),OR(LEFT(later_events!C55,6)&lt;&gt;"SAMPLE",Config!$B$19="Y")),later_events!A55,"")</f>
        <v/>
      </c>
      <c r="C1605" s="23" t="str">
        <f aca="false">IF(B1605="","",later_events!B55&amp;"")</f>
        <v/>
      </c>
      <c r="D1605" s="23" t="str">
        <f aca="false">IF(B1605="","",IF(later_events!B55="office",IFERROR(INDEX(Office_Log!$ED$2:$ED$201,MATCH(later_events!C55,Office_Log!$A$2:$A$201,0))&amp;"",later_events!C55&amp;""),IFERROR(INDEX(Brand_Log!$DV$2:$DV$201,MATCH(later_events!C55,Brand_Log!$A$2:$A$201,0))&amp;"",later_events!C55&amp;"")))</f>
        <v/>
      </c>
      <c r="E1605" s="23" t="str">
        <f aca="false">IF(B1605="","",IF(later_events!D55="","",later_events!D55&amp;""))</f>
        <v/>
      </c>
      <c r="F1605" s="23" t="str">
        <f aca="false">IF(B1605="","",later_events!E55&amp;"")</f>
        <v/>
      </c>
      <c r="G1605" s="23" t="str">
        <f aca="false">IF(B1605="","",IF(ISNUMBER(later_events!F55),later_events!F55,""))</f>
        <v/>
      </c>
      <c r="H1605" s="23" t="str">
        <f aca="false">IF(B1605="","",IF(later_events!G55="","",later_events!G55&amp;""))</f>
        <v/>
      </c>
      <c r="I1605" s="23" t="str">
        <f aca="false">IF(B1605="","","")</f>
        <v/>
      </c>
      <c r="J1605" s="23" t="str">
        <f aca="false">IF(B1605="","",IF(later_events!H55="","",later_events!H55&amp;""))</f>
        <v/>
      </c>
      <c r="K1605" s="32" t="s">
        <v>1362</v>
      </c>
    </row>
    <row r="1606" customFormat="false" ht="15" hidden="false" customHeight="false" outlineLevel="0" collapsed="false">
      <c r="A1606" s="23" t="str">
        <f aca="false">IF(B1606="","",B1606+(11*1000+55)/10000000)</f>
        <v/>
      </c>
      <c r="B1606" s="35" t="str">
        <f aca="false">IF(AND(ISNUMBER(later_events!A56),TRIM(later_events!C56)&lt;&gt;"",OR(later_events!E56="renewal_answer",later_events!E56="opt_out"),OR(LEFT(later_events!C56,6)&lt;&gt;"SAMPLE",Config!$B$19="Y")),later_events!A56,"")</f>
        <v/>
      </c>
      <c r="C1606" s="23" t="str">
        <f aca="false">IF(B1606="","",later_events!B56&amp;"")</f>
        <v/>
      </c>
      <c r="D1606" s="23" t="str">
        <f aca="false">IF(B1606="","",IF(later_events!B56="office",IFERROR(INDEX(Office_Log!$ED$2:$ED$201,MATCH(later_events!C56,Office_Log!$A$2:$A$201,0))&amp;"",later_events!C56&amp;""),IFERROR(INDEX(Brand_Log!$DV$2:$DV$201,MATCH(later_events!C56,Brand_Log!$A$2:$A$201,0))&amp;"",later_events!C56&amp;"")))</f>
        <v/>
      </c>
      <c r="E1606" s="23" t="str">
        <f aca="false">IF(B1606="","",IF(later_events!D56="","",later_events!D56&amp;""))</f>
        <v/>
      </c>
      <c r="F1606" s="23" t="str">
        <f aca="false">IF(B1606="","",later_events!E56&amp;"")</f>
        <v/>
      </c>
      <c r="G1606" s="23" t="str">
        <f aca="false">IF(B1606="","",IF(ISNUMBER(later_events!F56),later_events!F56,""))</f>
        <v/>
      </c>
      <c r="H1606" s="23" t="str">
        <f aca="false">IF(B1606="","",IF(later_events!G56="","",later_events!G56&amp;""))</f>
        <v/>
      </c>
      <c r="I1606" s="23" t="str">
        <f aca="false">IF(B1606="","","")</f>
        <v/>
      </c>
      <c r="J1606" s="23" t="str">
        <f aca="false">IF(B1606="","",IF(later_events!H56="","",later_events!H56&amp;""))</f>
        <v/>
      </c>
      <c r="K1606" s="32" t="s">
        <v>1362</v>
      </c>
    </row>
    <row r="1607" customFormat="false" ht="15" hidden="false" customHeight="false" outlineLevel="0" collapsed="false">
      <c r="A1607" s="23" t="str">
        <f aca="false">IF(B1607="","",B1607+(11*1000+56)/10000000)</f>
        <v/>
      </c>
      <c r="B1607" s="35" t="str">
        <f aca="false">IF(AND(ISNUMBER(later_events!A57),TRIM(later_events!C57)&lt;&gt;"",OR(later_events!E57="renewal_answer",later_events!E57="opt_out"),OR(LEFT(later_events!C57,6)&lt;&gt;"SAMPLE",Config!$B$19="Y")),later_events!A57,"")</f>
        <v/>
      </c>
      <c r="C1607" s="23" t="str">
        <f aca="false">IF(B1607="","",later_events!B57&amp;"")</f>
        <v/>
      </c>
      <c r="D1607" s="23" t="str">
        <f aca="false">IF(B1607="","",IF(later_events!B57="office",IFERROR(INDEX(Office_Log!$ED$2:$ED$201,MATCH(later_events!C57,Office_Log!$A$2:$A$201,0))&amp;"",later_events!C57&amp;""),IFERROR(INDEX(Brand_Log!$DV$2:$DV$201,MATCH(later_events!C57,Brand_Log!$A$2:$A$201,0))&amp;"",later_events!C57&amp;"")))</f>
        <v/>
      </c>
      <c r="E1607" s="23" t="str">
        <f aca="false">IF(B1607="","",IF(later_events!D57="","",later_events!D57&amp;""))</f>
        <v/>
      </c>
      <c r="F1607" s="23" t="str">
        <f aca="false">IF(B1607="","",later_events!E57&amp;"")</f>
        <v/>
      </c>
      <c r="G1607" s="23" t="str">
        <f aca="false">IF(B1607="","",IF(ISNUMBER(later_events!F57),later_events!F57,""))</f>
        <v/>
      </c>
      <c r="H1607" s="23" t="str">
        <f aca="false">IF(B1607="","",IF(later_events!G57="","",later_events!G57&amp;""))</f>
        <v/>
      </c>
      <c r="I1607" s="23" t="str">
        <f aca="false">IF(B1607="","","")</f>
        <v/>
      </c>
      <c r="J1607" s="23" t="str">
        <f aca="false">IF(B1607="","",IF(later_events!H57="","",later_events!H57&amp;""))</f>
        <v/>
      </c>
      <c r="K1607" s="32" t="s">
        <v>1362</v>
      </c>
    </row>
    <row r="1608" customFormat="false" ht="15" hidden="false" customHeight="false" outlineLevel="0" collapsed="false">
      <c r="A1608" s="23" t="str">
        <f aca="false">IF(B1608="","",B1608+(11*1000+57)/10000000)</f>
        <v/>
      </c>
      <c r="B1608" s="35" t="str">
        <f aca="false">IF(AND(ISNUMBER(later_events!A58),TRIM(later_events!C58)&lt;&gt;"",OR(later_events!E58="renewal_answer",later_events!E58="opt_out"),OR(LEFT(later_events!C58,6)&lt;&gt;"SAMPLE",Config!$B$19="Y")),later_events!A58,"")</f>
        <v/>
      </c>
      <c r="C1608" s="23" t="str">
        <f aca="false">IF(B1608="","",later_events!B58&amp;"")</f>
        <v/>
      </c>
      <c r="D1608" s="23" t="str">
        <f aca="false">IF(B1608="","",IF(later_events!B58="office",IFERROR(INDEX(Office_Log!$ED$2:$ED$201,MATCH(later_events!C58,Office_Log!$A$2:$A$201,0))&amp;"",later_events!C58&amp;""),IFERROR(INDEX(Brand_Log!$DV$2:$DV$201,MATCH(later_events!C58,Brand_Log!$A$2:$A$201,0))&amp;"",later_events!C58&amp;"")))</f>
        <v/>
      </c>
      <c r="E1608" s="23" t="str">
        <f aca="false">IF(B1608="","",IF(later_events!D58="","",later_events!D58&amp;""))</f>
        <v/>
      </c>
      <c r="F1608" s="23" t="str">
        <f aca="false">IF(B1608="","",later_events!E58&amp;"")</f>
        <v/>
      </c>
      <c r="G1608" s="23" t="str">
        <f aca="false">IF(B1608="","",IF(ISNUMBER(later_events!F58),later_events!F58,""))</f>
        <v/>
      </c>
      <c r="H1608" s="23" t="str">
        <f aca="false">IF(B1608="","",IF(later_events!G58="","",later_events!G58&amp;""))</f>
        <v/>
      </c>
      <c r="I1608" s="23" t="str">
        <f aca="false">IF(B1608="","","")</f>
        <v/>
      </c>
      <c r="J1608" s="23" t="str">
        <f aca="false">IF(B1608="","",IF(later_events!H58="","",later_events!H58&amp;""))</f>
        <v/>
      </c>
      <c r="K1608" s="32" t="s">
        <v>1362</v>
      </c>
    </row>
    <row r="1609" customFormat="false" ht="15" hidden="false" customHeight="false" outlineLevel="0" collapsed="false">
      <c r="A1609" s="23" t="str">
        <f aca="false">IF(B1609="","",B1609+(11*1000+58)/10000000)</f>
        <v/>
      </c>
      <c r="B1609" s="35" t="str">
        <f aca="false">IF(AND(ISNUMBER(later_events!A59),TRIM(later_events!C59)&lt;&gt;"",OR(later_events!E59="renewal_answer",later_events!E59="opt_out"),OR(LEFT(later_events!C59,6)&lt;&gt;"SAMPLE",Config!$B$19="Y")),later_events!A59,"")</f>
        <v/>
      </c>
      <c r="C1609" s="23" t="str">
        <f aca="false">IF(B1609="","",later_events!B59&amp;"")</f>
        <v/>
      </c>
      <c r="D1609" s="23" t="str">
        <f aca="false">IF(B1609="","",IF(later_events!B59="office",IFERROR(INDEX(Office_Log!$ED$2:$ED$201,MATCH(later_events!C59,Office_Log!$A$2:$A$201,0))&amp;"",later_events!C59&amp;""),IFERROR(INDEX(Brand_Log!$DV$2:$DV$201,MATCH(later_events!C59,Brand_Log!$A$2:$A$201,0))&amp;"",later_events!C59&amp;"")))</f>
        <v/>
      </c>
      <c r="E1609" s="23" t="str">
        <f aca="false">IF(B1609="","",IF(later_events!D59="","",later_events!D59&amp;""))</f>
        <v/>
      </c>
      <c r="F1609" s="23" t="str">
        <f aca="false">IF(B1609="","",later_events!E59&amp;"")</f>
        <v/>
      </c>
      <c r="G1609" s="23" t="str">
        <f aca="false">IF(B1609="","",IF(ISNUMBER(later_events!F59),later_events!F59,""))</f>
        <v/>
      </c>
      <c r="H1609" s="23" t="str">
        <f aca="false">IF(B1609="","",IF(later_events!G59="","",later_events!G59&amp;""))</f>
        <v/>
      </c>
      <c r="I1609" s="23" t="str">
        <f aca="false">IF(B1609="","","")</f>
        <v/>
      </c>
      <c r="J1609" s="23" t="str">
        <f aca="false">IF(B1609="","",IF(later_events!H59="","",later_events!H59&amp;""))</f>
        <v/>
      </c>
      <c r="K1609" s="32" t="s">
        <v>1362</v>
      </c>
    </row>
    <row r="1610" customFormat="false" ht="15" hidden="false" customHeight="false" outlineLevel="0" collapsed="false">
      <c r="A1610" s="23" t="str">
        <f aca="false">IF(B1610="","",B1610+(11*1000+59)/10000000)</f>
        <v/>
      </c>
      <c r="B1610" s="35" t="str">
        <f aca="false">IF(AND(ISNUMBER(later_events!A60),TRIM(later_events!C60)&lt;&gt;"",OR(later_events!E60="renewal_answer",later_events!E60="opt_out"),OR(LEFT(later_events!C60,6)&lt;&gt;"SAMPLE",Config!$B$19="Y")),later_events!A60,"")</f>
        <v/>
      </c>
      <c r="C1610" s="23" t="str">
        <f aca="false">IF(B1610="","",later_events!B60&amp;"")</f>
        <v/>
      </c>
      <c r="D1610" s="23" t="str">
        <f aca="false">IF(B1610="","",IF(later_events!B60="office",IFERROR(INDEX(Office_Log!$ED$2:$ED$201,MATCH(later_events!C60,Office_Log!$A$2:$A$201,0))&amp;"",later_events!C60&amp;""),IFERROR(INDEX(Brand_Log!$DV$2:$DV$201,MATCH(later_events!C60,Brand_Log!$A$2:$A$201,0))&amp;"",later_events!C60&amp;"")))</f>
        <v/>
      </c>
      <c r="E1610" s="23" t="str">
        <f aca="false">IF(B1610="","",IF(later_events!D60="","",later_events!D60&amp;""))</f>
        <v/>
      </c>
      <c r="F1610" s="23" t="str">
        <f aca="false">IF(B1610="","",later_events!E60&amp;"")</f>
        <v/>
      </c>
      <c r="G1610" s="23" t="str">
        <f aca="false">IF(B1610="","",IF(ISNUMBER(later_events!F60),later_events!F60,""))</f>
        <v/>
      </c>
      <c r="H1610" s="23" t="str">
        <f aca="false">IF(B1610="","",IF(later_events!G60="","",later_events!G60&amp;""))</f>
        <v/>
      </c>
      <c r="I1610" s="23" t="str">
        <f aca="false">IF(B1610="","","")</f>
        <v/>
      </c>
      <c r="J1610" s="23" t="str">
        <f aca="false">IF(B1610="","",IF(later_events!H60="","",later_events!H60&amp;""))</f>
        <v/>
      </c>
      <c r="K1610" s="32" t="s">
        <v>1362</v>
      </c>
    </row>
    <row r="1611" customFormat="false" ht="15" hidden="false" customHeight="false" outlineLevel="0" collapsed="false">
      <c r="A1611" s="23" t="str">
        <f aca="false">IF(B1611="","",B1611+(11*1000+60)/10000000)</f>
        <v/>
      </c>
      <c r="B1611" s="35" t="str">
        <f aca="false">IF(AND(ISNUMBER(later_events!A61),TRIM(later_events!C61)&lt;&gt;"",OR(later_events!E61="renewal_answer",later_events!E61="opt_out"),OR(LEFT(later_events!C61,6)&lt;&gt;"SAMPLE",Config!$B$19="Y")),later_events!A61,"")</f>
        <v/>
      </c>
      <c r="C1611" s="23" t="str">
        <f aca="false">IF(B1611="","",later_events!B61&amp;"")</f>
        <v/>
      </c>
      <c r="D1611" s="23" t="str">
        <f aca="false">IF(B1611="","",IF(later_events!B61="office",IFERROR(INDEX(Office_Log!$ED$2:$ED$201,MATCH(later_events!C61,Office_Log!$A$2:$A$201,0))&amp;"",later_events!C61&amp;""),IFERROR(INDEX(Brand_Log!$DV$2:$DV$201,MATCH(later_events!C61,Brand_Log!$A$2:$A$201,0))&amp;"",later_events!C61&amp;"")))</f>
        <v/>
      </c>
      <c r="E1611" s="23" t="str">
        <f aca="false">IF(B1611="","",IF(later_events!D61="","",later_events!D61&amp;""))</f>
        <v/>
      </c>
      <c r="F1611" s="23" t="str">
        <f aca="false">IF(B1611="","",later_events!E61&amp;"")</f>
        <v/>
      </c>
      <c r="G1611" s="23" t="str">
        <f aca="false">IF(B1611="","",IF(ISNUMBER(later_events!F61),later_events!F61,""))</f>
        <v/>
      </c>
      <c r="H1611" s="23" t="str">
        <f aca="false">IF(B1611="","",IF(later_events!G61="","",later_events!G61&amp;""))</f>
        <v/>
      </c>
      <c r="I1611" s="23" t="str">
        <f aca="false">IF(B1611="","","")</f>
        <v/>
      </c>
      <c r="J1611" s="23" t="str">
        <f aca="false">IF(B1611="","",IF(later_events!H61="","",later_events!H61&amp;""))</f>
        <v/>
      </c>
      <c r="K1611" s="32" t="s">
        <v>1362</v>
      </c>
    </row>
    <row r="1612" customFormat="false" ht="15" hidden="false" customHeight="false" outlineLevel="0" collapsed="false">
      <c r="A1612" s="23" t="str">
        <f aca="false">IF(B1612="","",B1612+(11*1000+61)/10000000)</f>
        <v/>
      </c>
      <c r="B1612" s="35" t="str">
        <f aca="false">IF(AND(ISNUMBER(later_events!A62),TRIM(later_events!C62)&lt;&gt;"",OR(later_events!E62="renewal_answer",later_events!E62="opt_out"),OR(LEFT(later_events!C62,6)&lt;&gt;"SAMPLE",Config!$B$19="Y")),later_events!A62,"")</f>
        <v/>
      </c>
      <c r="C1612" s="23" t="str">
        <f aca="false">IF(B1612="","",later_events!B62&amp;"")</f>
        <v/>
      </c>
      <c r="D1612" s="23" t="str">
        <f aca="false">IF(B1612="","",IF(later_events!B62="office",IFERROR(INDEX(Office_Log!$ED$2:$ED$201,MATCH(later_events!C62,Office_Log!$A$2:$A$201,0))&amp;"",later_events!C62&amp;""),IFERROR(INDEX(Brand_Log!$DV$2:$DV$201,MATCH(later_events!C62,Brand_Log!$A$2:$A$201,0))&amp;"",later_events!C62&amp;"")))</f>
        <v/>
      </c>
      <c r="E1612" s="23" t="str">
        <f aca="false">IF(B1612="","",IF(later_events!D62="","",later_events!D62&amp;""))</f>
        <v/>
      </c>
      <c r="F1612" s="23" t="str">
        <f aca="false">IF(B1612="","",later_events!E62&amp;"")</f>
        <v/>
      </c>
      <c r="G1612" s="23" t="str">
        <f aca="false">IF(B1612="","",IF(ISNUMBER(later_events!F62),later_events!F62,""))</f>
        <v/>
      </c>
      <c r="H1612" s="23" t="str">
        <f aca="false">IF(B1612="","",IF(later_events!G62="","",later_events!G62&amp;""))</f>
        <v/>
      </c>
      <c r="I1612" s="23" t="str">
        <f aca="false">IF(B1612="","","")</f>
        <v/>
      </c>
      <c r="J1612" s="23" t="str">
        <f aca="false">IF(B1612="","",IF(later_events!H62="","",later_events!H62&amp;""))</f>
        <v/>
      </c>
      <c r="K1612" s="32" t="s">
        <v>1362</v>
      </c>
    </row>
    <row r="1613" customFormat="false" ht="15" hidden="false" customHeight="false" outlineLevel="0" collapsed="false">
      <c r="A1613" s="23" t="str">
        <f aca="false">IF(B1613="","",B1613+(11*1000+62)/10000000)</f>
        <v/>
      </c>
      <c r="B1613" s="35" t="str">
        <f aca="false">IF(AND(ISNUMBER(later_events!A63),TRIM(later_events!C63)&lt;&gt;"",OR(later_events!E63="renewal_answer",later_events!E63="opt_out"),OR(LEFT(later_events!C63,6)&lt;&gt;"SAMPLE",Config!$B$19="Y")),later_events!A63,"")</f>
        <v/>
      </c>
      <c r="C1613" s="23" t="str">
        <f aca="false">IF(B1613="","",later_events!B63&amp;"")</f>
        <v/>
      </c>
      <c r="D1613" s="23" t="str">
        <f aca="false">IF(B1613="","",IF(later_events!B63="office",IFERROR(INDEX(Office_Log!$ED$2:$ED$201,MATCH(later_events!C63,Office_Log!$A$2:$A$201,0))&amp;"",later_events!C63&amp;""),IFERROR(INDEX(Brand_Log!$DV$2:$DV$201,MATCH(later_events!C63,Brand_Log!$A$2:$A$201,0))&amp;"",later_events!C63&amp;"")))</f>
        <v/>
      </c>
      <c r="E1613" s="23" t="str">
        <f aca="false">IF(B1613="","",IF(later_events!D63="","",later_events!D63&amp;""))</f>
        <v/>
      </c>
      <c r="F1613" s="23" t="str">
        <f aca="false">IF(B1613="","",later_events!E63&amp;"")</f>
        <v/>
      </c>
      <c r="G1613" s="23" t="str">
        <f aca="false">IF(B1613="","",IF(ISNUMBER(later_events!F63),later_events!F63,""))</f>
        <v/>
      </c>
      <c r="H1613" s="23" t="str">
        <f aca="false">IF(B1613="","",IF(later_events!G63="","",later_events!G63&amp;""))</f>
        <v/>
      </c>
      <c r="I1613" s="23" t="str">
        <f aca="false">IF(B1613="","","")</f>
        <v/>
      </c>
      <c r="J1613" s="23" t="str">
        <f aca="false">IF(B1613="","",IF(later_events!H63="","",later_events!H63&amp;""))</f>
        <v/>
      </c>
      <c r="K1613" s="32" t="s">
        <v>1362</v>
      </c>
    </row>
    <row r="1614" customFormat="false" ht="15" hidden="false" customHeight="false" outlineLevel="0" collapsed="false">
      <c r="A1614" s="23" t="str">
        <f aca="false">IF(B1614="","",B1614+(11*1000+63)/10000000)</f>
        <v/>
      </c>
      <c r="B1614" s="35" t="str">
        <f aca="false">IF(AND(ISNUMBER(later_events!A64),TRIM(later_events!C64)&lt;&gt;"",OR(later_events!E64="renewal_answer",later_events!E64="opt_out"),OR(LEFT(later_events!C64,6)&lt;&gt;"SAMPLE",Config!$B$19="Y")),later_events!A64,"")</f>
        <v/>
      </c>
      <c r="C1614" s="23" t="str">
        <f aca="false">IF(B1614="","",later_events!B64&amp;"")</f>
        <v/>
      </c>
      <c r="D1614" s="23" t="str">
        <f aca="false">IF(B1614="","",IF(later_events!B64="office",IFERROR(INDEX(Office_Log!$ED$2:$ED$201,MATCH(later_events!C64,Office_Log!$A$2:$A$201,0))&amp;"",later_events!C64&amp;""),IFERROR(INDEX(Brand_Log!$DV$2:$DV$201,MATCH(later_events!C64,Brand_Log!$A$2:$A$201,0))&amp;"",later_events!C64&amp;"")))</f>
        <v/>
      </c>
      <c r="E1614" s="23" t="str">
        <f aca="false">IF(B1614="","",IF(later_events!D64="","",later_events!D64&amp;""))</f>
        <v/>
      </c>
      <c r="F1614" s="23" t="str">
        <f aca="false">IF(B1614="","",later_events!E64&amp;"")</f>
        <v/>
      </c>
      <c r="G1614" s="23" t="str">
        <f aca="false">IF(B1614="","",IF(ISNUMBER(later_events!F64),later_events!F64,""))</f>
        <v/>
      </c>
      <c r="H1614" s="23" t="str">
        <f aca="false">IF(B1614="","",IF(later_events!G64="","",later_events!G64&amp;""))</f>
        <v/>
      </c>
      <c r="I1614" s="23" t="str">
        <f aca="false">IF(B1614="","","")</f>
        <v/>
      </c>
      <c r="J1614" s="23" t="str">
        <f aca="false">IF(B1614="","",IF(later_events!H64="","",later_events!H64&amp;""))</f>
        <v/>
      </c>
      <c r="K1614" s="32" t="s">
        <v>1362</v>
      </c>
    </row>
    <row r="1615" customFormat="false" ht="15" hidden="false" customHeight="false" outlineLevel="0" collapsed="false">
      <c r="A1615" s="23" t="str">
        <f aca="false">IF(B1615="","",B1615+(11*1000+64)/10000000)</f>
        <v/>
      </c>
      <c r="B1615" s="35" t="str">
        <f aca="false">IF(AND(ISNUMBER(later_events!A65),TRIM(later_events!C65)&lt;&gt;"",OR(later_events!E65="renewal_answer",later_events!E65="opt_out"),OR(LEFT(later_events!C65,6)&lt;&gt;"SAMPLE",Config!$B$19="Y")),later_events!A65,"")</f>
        <v/>
      </c>
      <c r="C1615" s="23" t="str">
        <f aca="false">IF(B1615="","",later_events!B65&amp;"")</f>
        <v/>
      </c>
      <c r="D1615" s="23" t="str">
        <f aca="false">IF(B1615="","",IF(later_events!B65="office",IFERROR(INDEX(Office_Log!$ED$2:$ED$201,MATCH(later_events!C65,Office_Log!$A$2:$A$201,0))&amp;"",later_events!C65&amp;""),IFERROR(INDEX(Brand_Log!$DV$2:$DV$201,MATCH(later_events!C65,Brand_Log!$A$2:$A$201,0))&amp;"",later_events!C65&amp;"")))</f>
        <v/>
      </c>
      <c r="E1615" s="23" t="str">
        <f aca="false">IF(B1615="","",IF(later_events!D65="","",later_events!D65&amp;""))</f>
        <v/>
      </c>
      <c r="F1615" s="23" t="str">
        <f aca="false">IF(B1615="","",later_events!E65&amp;"")</f>
        <v/>
      </c>
      <c r="G1615" s="23" t="str">
        <f aca="false">IF(B1615="","",IF(ISNUMBER(later_events!F65),later_events!F65,""))</f>
        <v/>
      </c>
      <c r="H1615" s="23" t="str">
        <f aca="false">IF(B1615="","",IF(later_events!G65="","",later_events!G65&amp;""))</f>
        <v/>
      </c>
      <c r="I1615" s="23" t="str">
        <f aca="false">IF(B1615="","","")</f>
        <v/>
      </c>
      <c r="J1615" s="23" t="str">
        <f aca="false">IF(B1615="","",IF(later_events!H65="","",later_events!H65&amp;""))</f>
        <v/>
      </c>
      <c r="K1615" s="32" t="s">
        <v>1362</v>
      </c>
    </row>
    <row r="1616" customFormat="false" ht="15" hidden="false" customHeight="false" outlineLevel="0" collapsed="false">
      <c r="A1616" s="23" t="str">
        <f aca="false">IF(B1616="","",B1616+(11*1000+65)/10000000)</f>
        <v/>
      </c>
      <c r="B1616" s="35" t="str">
        <f aca="false">IF(AND(ISNUMBER(later_events!A66),TRIM(later_events!C66)&lt;&gt;"",OR(later_events!E66="renewal_answer",later_events!E66="opt_out"),OR(LEFT(later_events!C66,6)&lt;&gt;"SAMPLE",Config!$B$19="Y")),later_events!A66,"")</f>
        <v/>
      </c>
      <c r="C1616" s="23" t="str">
        <f aca="false">IF(B1616="","",later_events!B66&amp;"")</f>
        <v/>
      </c>
      <c r="D1616" s="23" t="str">
        <f aca="false">IF(B1616="","",IF(later_events!B66="office",IFERROR(INDEX(Office_Log!$ED$2:$ED$201,MATCH(later_events!C66,Office_Log!$A$2:$A$201,0))&amp;"",later_events!C66&amp;""),IFERROR(INDEX(Brand_Log!$DV$2:$DV$201,MATCH(later_events!C66,Brand_Log!$A$2:$A$201,0))&amp;"",later_events!C66&amp;"")))</f>
        <v/>
      </c>
      <c r="E1616" s="23" t="str">
        <f aca="false">IF(B1616="","",IF(later_events!D66="","",later_events!D66&amp;""))</f>
        <v/>
      </c>
      <c r="F1616" s="23" t="str">
        <f aca="false">IF(B1616="","",later_events!E66&amp;"")</f>
        <v/>
      </c>
      <c r="G1616" s="23" t="str">
        <f aca="false">IF(B1616="","",IF(ISNUMBER(later_events!F66),later_events!F66,""))</f>
        <v/>
      </c>
      <c r="H1616" s="23" t="str">
        <f aca="false">IF(B1616="","",IF(later_events!G66="","",later_events!G66&amp;""))</f>
        <v/>
      </c>
      <c r="I1616" s="23" t="str">
        <f aca="false">IF(B1616="","","")</f>
        <v/>
      </c>
      <c r="J1616" s="23" t="str">
        <f aca="false">IF(B1616="","",IF(later_events!H66="","",later_events!H66&amp;""))</f>
        <v/>
      </c>
      <c r="K1616" s="32" t="s">
        <v>1362</v>
      </c>
    </row>
    <row r="1617" customFormat="false" ht="15" hidden="false" customHeight="false" outlineLevel="0" collapsed="false">
      <c r="A1617" s="23" t="str">
        <f aca="false">IF(B1617="","",B1617+(11*1000+66)/10000000)</f>
        <v/>
      </c>
      <c r="B1617" s="35" t="str">
        <f aca="false">IF(AND(ISNUMBER(later_events!A67),TRIM(later_events!C67)&lt;&gt;"",OR(later_events!E67="renewal_answer",later_events!E67="opt_out"),OR(LEFT(later_events!C67,6)&lt;&gt;"SAMPLE",Config!$B$19="Y")),later_events!A67,"")</f>
        <v/>
      </c>
      <c r="C1617" s="23" t="str">
        <f aca="false">IF(B1617="","",later_events!B67&amp;"")</f>
        <v/>
      </c>
      <c r="D1617" s="23" t="str">
        <f aca="false">IF(B1617="","",IF(later_events!B67="office",IFERROR(INDEX(Office_Log!$ED$2:$ED$201,MATCH(later_events!C67,Office_Log!$A$2:$A$201,0))&amp;"",later_events!C67&amp;""),IFERROR(INDEX(Brand_Log!$DV$2:$DV$201,MATCH(later_events!C67,Brand_Log!$A$2:$A$201,0))&amp;"",later_events!C67&amp;"")))</f>
        <v/>
      </c>
      <c r="E1617" s="23" t="str">
        <f aca="false">IF(B1617="","",IF(later_events!D67="","",later_events!D67&amp;""))</f>
        <v/>
      </c>
      <c r="F1617" s="23" t="str">
        <f aca="false">IF(B1617="","",later_events!E67&amp;"")</f>
        <v/>
      </c>
      <c r="G1617" s="23" t="str">
        <f aca="false">IF(B1617="","",IF(ISNUMBER(later_events!F67),later_events!F67,""))</f>
        <v/>
      </c>
      <c r="H1617" s="23" t="str">
        <f aca="false">IF(B1617="","",IF(later_events!G67="","",later_events!G67&amp;""))</f>
        <v/>
      </c>
      <c r="I1617" s="23" t="str">
        <f aca="false">IF(B1617="","","")</f>
        <v/>
      </c>
      <c r="J1617" s="23" t="str">
        <f aca="false">IF(B1617="","",IF(later_events!H67="","",later_events!H67&amp;""))</f>
        <v/>
      </c>
      <c r="K1617" s="32" t="s">
        <v>1362</v>
      </c>
    </row>
    <row r="1618" customFormat="false" ht="15" hidden="false" customHeight="false" outlineLevel="0" collapsed="false">
      <c r="A1618" s="23" t="str">
        <f aca="false">IF(B1618="","",B1618+(11*1000+67)/10000000)</f>
        <v/>
      </c>
      <c r="B1618" s="35" t="str">
        <f aca="false">IF(AND(ISNUMBER(later_events!A68),TRIM(later_events!C68)&lt;&gt;"",OR(later_events!E68="renewal_answer",later_events!E68="opt_out"),OR(LEFT(later_events!C68,6)&lt;&gt;"SAMPLE",Config!$B$19="Y")),later_events!A68,"")</f>
        <v/>
      </c>
      <c r="C1618" s="23" t="str">
        <f aca="false">IF(B1618="","",later_events!B68&amp;"")</f>
        <v/>
      </c>
      <c r="D1618" s="23" t="str">
        <f aca="false">IF(B1618="","",IF(later_events!B68="office",IFERROR(INDEX(Office_Log!$ED$2:$ED$201,MATCH(later_events!C68,Office_Log!$A$2:$A$201,0))&amp;"",later_events!C68&amp;""),IFERROR(INDEX(Brand_Log!$DV$2:$DV$201,MATCH(later_events!C68,Brand_Log!$A$2:$A$201,0))&amp;"",later_events!C68&amp;"")))</f>
        <v/>
      </c>
      <c r="E1618" s="23" t="str">
        <f aca="false">IF(B1618="","",IF(later_events!D68="","",later_events!D68&amp;""))</f>
        <v/>
      </c>
      <c r="F1618" s="23" t="str">
        <f aca="false">IF(B1618="","",later_events!E68&amp;"")</f>
        <v/>
      </c>
      <c r="G1618" s="23" t="str">
        <f aca="false">IF(B1618="","",IF(ISNUMBER(later_events!F68),later_events!F68,""))</f>
        <v/>
      </c>
      <c r="H1618" s="23" t="str">
        <f aca="false">IF(B1618="","",IF(later_events!G68="","",later_events!G68&amp;""))</f>
        <v/>
      </c>
      <c r="I1618" s="23" t="str">
        <f aca="false">IF(B1618="","","")</f>
        <v/>
      </c>
      <c r="J1618" s="23" t="str">
        <f aca="false">IF(B1618="","",IF(later_events!H68="","",later_events!H68&amp;""))</f>
        <v/>
      </c>
      <c r="K1618" s="32" t="s">
        <v>1362</v>
      </c>
    </row>
    <row r="1619" customFormat="false" ht="15" hidden="false" customHeight="false" outlineLevel="0" collapsed="false">
      <c r="A1619" s="23" t="str">
        <f aca="false">IF(B1619="","",B1619+(11*1000+68)/10000000)</f>
        <v/>
      </c>
      <c r="B1619" s="35" t="str">
        <f aca="false">IF(AND(ISNUMBER(later_events!A69),TRIM(later_events!C69)&lt;&gt;"",OR(later_events!E69="renewal_answer",later_events!E69="opt_out"),OR(LEFT(later_events!C69,6)&lt;&gt;"SAMPLE",Config!$B$19="Y")),later_events!A69,"")</f>
        <v/>
      </c>
      <c r="C1619" s="23" t="str">
        <f aca="false">IF(B1619="","",later_events!B69&amp;"")</f>
        <v/>
      </c>
      <c r="D1619" s="23" t="str">
        <f aca="false">IF(B1619="","",IF(later_events!B69="office",IFERROR(INDEX(Office_Log!$ED$2:$ED$201,MATCH(later_events!C69,Office_Log!$A$2:$A$201,0))&amp;"",later_events!C69&amp;""),IFERROR(INDEX(Brand_Log!$DV$2:$DV$201,MATCH(later_events!C69,Brand_Log!$A$2:$A$201,0))&amp;"",later_events!C69&amp;"")))</f>
        <v/>
      </c>
      <c r="E1619" s="23" t="str">
        <f aca="false">IF(B1619="","",IF(later_events!D69="","",later_events!D69&amp;""))</f>
        <v/>
      </c>
      <c r="F1619" s="23" t="str">
        <f aca="false">IF(B1619="","",later_events!E69&amp;"")</f>
        <v/>
      </c>
      <c r="G1619" s="23" t="str">
        <f aca="false">IF(B1619="","",IF(ISNUMBER(later_events!F69),later_events!F69,""))</f>
        <v/>
      </c>
      <c r="H1619" s="23" t="str">
        <f aca="false">IF(B1619="","",IF(later_events!G69="","",later_events!G69&amp;""))</f>
        <v/>
      </c>
      <c r="I1619" s="23" t="str">
        <f aca="false">IF(B1619="","","")</f>
        <v/>
      </c>
      <c r="J1619" s="23" t="str">
        <f aca="false">IF(B1619="","",IF(later_events!H69="","",later_events!H69&amp;""))</f>
        <v/>
      </c>
      <c r="K1619" s="32" t="s">
        <v>1362</v>
      </c>
    </row>
    <row r="1620" customFormat="false" ht="15" hidden="false" customHeight="false" outlineLevel="0" collapsed="false">
      <c r="A1620" s="23" t="str">
        <f aca="false">IF(B1620="","",B1620+(11*1000+69)/10000000)</f>
        <v/>
      </c>
      <c r="B1620" s="35" t="str">
        <f aca="false">IF(AND(ISNUMBER(later_events!A70),TRIM(later_events!C70)&lt;&gt;"",OR(later_events!E70="renewal_answer",later_events!E70="opt_out"),OR(LEFT(later_events!C70,6)&lt;&gt;"SAMPLE",Config!$B$19="Y")),later_events!A70,"")</f>
        <v/>
      </c>
      <c r="C1620" s="23" t="str">
        <f aca="false">IF(B1620="","",later_events!B70&amp;"")</f>
        <v/>
      </c>
      <c r="D1620" s="23" t="str">
        <f aca="false">IF(B1620="","",IF(later_events!B70="office",IFERROR(INDEX(Office_Log!$ED$2:$ED$201,MATCH(later_events!C70,Office_Log!$A$2:$A$201,0))&amp;"",later_events!C70&amp;""),IFERROR(INDEX(Brand_Log!$DV$2:$DV$201,MATCH(later_events!C70,Brand_Log!$A$2:$A$201,0))&amp;"",later_events!C70&amp;"")))</f>
        <v/>
      </c>
      <c r="E1620" s="23" t="str">
        <f aca="false">IF(B1620="","",IF(later_events!D70="","",later_events!D70&amp;""))</f>
        <v/>
      </c>
      <c r="F1620" s="23" t="str">
        <f aca="false">IF(B1620="","",later_events!E70&amp;"")</f>
        <v/>
      </c>
      <c r="G1620" s="23" t="str">
        <f aca="false">IF(B1620="","",IF(ISNUMBER(later_events!F70),later_events!F70,""))</f>
        <v/>
      </c>
      <c r="H1620" s="23" t="str">
        <f aca="false">IF(B1620="","",IF(later_events!G70="","",later_events!G70&amp;""))</f>
        <v/>
      </c>
      <c r="I1620" s="23" t="str">
        <f aca="false">IF(B1620="","","")</f>
        <v/>
      </c>
      <c r="J1620" s="23" t="str">
        <f aca="false">IF(B1620="","",IF(later_events!H70="","",later_events!H70&amp;""))</f>
        <v/>
      </c>
      <c r="K1620" s="32" t="s">
        <v>1362</v>
      </c>
    </row>
    <row r="1621" customFormat="false" ht="15" hidden="false" customHeight="false" outlineLevel="0" collapsed="false">
      <c r="A1621" s="23" t="str">
        <f aca="false">IF(B1621="","",B1621+(11*1000+70)/10000000)</f>
        <v/>
      </c>
      <c r="B1621" s="35" t="str">
        <f aca="false">IF(AND(ISNUMBER(later_events!A71),TRIM(later_events!C71)&lt;&gt;"",OR(later_events!E71="renewal_answer",later_events!E71="opt_out"),OR(LEFT(later_events!C71,6)&lt;&gt;"SAMPLE",Config!$B$19="Y")),later_events!A71,"")</f>
        <v/>
      </c>
      <c r="C1621" s="23" t="str">
        <f aca="false">IF(B1621="","",later_events!B71&amp;"")</f>
        <v/>
      </c>
      <c r="D1621" s="23" t="str">
        <f aca="false">IF(B1621="","",IF(later_events!B71="office",IFERROR(INDEX(Office_Log!$ED$2:$ED$201,MATCH(later_events!C71,Office_Log!$A$2:$A$201,0))&amp;"",later_events!C71&amp;""),IFERROR(INDEX(Brand_Log!$DV$2:$DV$201,MATCH(later_events!C71,Brand_Log!$A$2:$A$201,0))&amp;"",later_events!C71&amp;"")))</f>
        <v/>
      </c>
      <c r="E1621" s="23" t="str">
        <f aca="false">IF(B1621="","",IF(later_events!D71="","",later_events!D71&amp;""))</f>
        <v/>
      </c>
      <c r="F1621" s="23" t="str">
        <f aca="false">IF(B1621="","",later_events!E71&amp;"")</f>
        <v/>
      </c>
      <c r="G1621" s="23" t="str">
        <f aca="false">IF(B1621="","",IF(ISNUMBER(later_events!F71),later_events!F71,""))</f>
        <v/>
      </c>
      <c r="H1621" s="23" t="str">
        <f aca="false">IF(B1621="","",IF(later_events!G71="","",later_events!G71&amp;""))</f>
        <v/>
      </c>
      <c r="I1621" s="23" t="str">
        <f aca="false">IF(B1621="","","")</f>
        <v/>
      </c>
      <c r="J1621" s="23" t="str">
        <f aca="false">IF(B1621="","",IF(later_events!H71="","",later_events!H71&amp;""))</f>
        <v/>
      </c>
      <c r="K1621" s="32" t="s">
        <v>1362</v>
      </c>
    </row>
    <row r="1622" customFormat="false" ht="15" hidden="false" customHeight="false" outlineLevel="0" collapsed="false">
      <c r="A1622" s="23" t="str">
        <f aca="false">IF(B1622="","",B1622+(11*1000+71)/10000000)</f>
        <v/>
      </c>
      <c r="B1622" s="35" t="str">
        <f aca="false">IF(AND(ISNUMBER(later_events!A72),TRIM(later_events!C72)&lt;&gt;"",OR(later_events!E72="renewal_answer",later_events!E72="opt_out"),OR(LEFT(later_events!C72,6)&lt;&gt;"SAMPLE",Config!$B$19="Y")),later_events!A72,"")</f>
        <v/>
      </c>
      <c r="C1622" s="23" t="str">
        <f aca="false">IF(B1622="","",later_events!B72&amp;"")</f>
        <v/>
      </c>
      <c r="D1622" s="23" t="str">
        <f aca="false">IF(B1622="","",IF(later_events!B72="office",IFERROR(INDEX(Office_Log!$ED$2:$ED$201,MATCH(later_events!C72,Office_Log!$A$2:$A$201,0))&amp;"",later_events!C72&amp;""),IFERROR(INDEX(Brand_Log!$DV$2:$DV$201,MATCH(later_events!C72,Brand_Log!$A$2:$A$201,0))&amp;"",later_events!C72&amp;"")))</f>
        <v/>
      </c>
      <c r="E1622" s="23" t="str">
        <f aca="false">IF(B1622="","",IF(later_events!D72="","",later_events!D72&amp;""))</f>
        <v/>
      </c>
      <c r="F1622" s="23" t="str">
        <f aca="false">IF(B1622="","",later_events!E72&amp;"")</f>
        <v/>
      </c>
      <c r="G1622" s="23" t="str">
        <f aca="false">IF(B1622="","",IF(ISNUMBER(later_events!F72),later_events!F72,""))</f>
        <v/>
      </c>
      <c r="H1622" s="23" t="str">
        <f aca="false">IF(B1622="","",IF(later_events!G72="","",later_events!G72&amp;""))</f>
        <v/>
      </c>
      <c r="I1622" s="23" t="str">
        <f aca="false">IF(B1622="","","")</f>
        <v/>
      </c>
      <c r="J1622" s="23" t="str">
        <f aca="false">IF(B1622="","",IF(later_events!H72="","",later_events!H72&amp;""))</f>
        <v/>
      </c>
      <c r="K1622" s="32" t="s">
        <v>1362</v>
      </c>
    </row>
    <row r="1623" customFormat="false" ht="15" hidden="false" customHeight="false" outlineLevel="0" collapsed="false">
      <c r="A1623" s="23" t="str">
        <f aca="false">IF(B1623="","",B1623+(11*1000+72)/10000000)</f>
        <v/>
      </c>
      <c r="B1623" s="35" t="str">
        <f aca="false">IF(AND(ISNUMBER(later_events!A73),TRIM(later_events!C73)&lt;&gt;"",OR(later_events!E73="renewal_answer",later_events!E73="opt_out"),OR(LEFT(later_events!C73,6)&lt;&gt;"SAMPLE",Config!$B$19="Y")),later_events!A73,"")</f>
        <v/>
      </c>
      <c r="C1623" s="23" t="str">
        <f aca="false">IF(B1623="","",later_events!B73&amp;"")</f>
        <v/>
      </c>
      <c r="D1623" s="23" t="str">
        <f aca="false">IF(B1623="","",IF(later_events!B73="office",IFERROR(INDEX(Office_Log!$ED$2:$ED$201,MATCH(later_events!C73,Office_Log!$A$2:$A$201,0))&amp;"",later_events!C73&amp;""),IFERROR(INDEX(Brand_Log!$DV$2:$DV$201,MATCH(later_events!C73,Brand_Log!$A$2:$A$201,0))&amp;"",later_events!C73&amp;"")))</f>
        <v/>
      </c>
      <c r="E1623" s="23" t="str">
        <f aca="false">IF(B1623="","",IF(later_events!D73="","",later_events!D73&amp;""))</f>
        <v/>
      </c>
      <c r="F1623" s="23" t="str">
        <f aca="false">IF(B1623="","",later_events!E73&amp;"")</f>
        <v/>
      </c>
      <c r="G1623" s="23" t="str">
        <f aca="false">IF(B1623="","",IF(ISNUMBER(later_events!F73),later_events!F73,""))</f>
        <v/>
      </c>
      <c r="H1623" s="23" t="str">
        <f aca="false">IF(B1623="","",IF(later_events!G73="","",later_events!G73&amp;""))</f>
        <v/>
      </c>
      <c r="I1623" s="23" t="str">
        <f aca="false">IF(B1623="","","")</f>
        <v/>
      </c>
      <c r="J1623" s="23" t="str">
        <f aca="false">IF(B1623="","",IF(later_events!H73="","",later_events!H73&amp;""))</f>
        <v/>
      </c>
      <c r="K1623" s="32" t="s">
        <v>1362</v>
      </c>
    </row>
    <row r="1624" customFormat="false" ht="15" hidden="false" customHeight="false" outlineLevel="0" collapsed="false">
      <c r="A1624" s="23" t="str">
        <f aca="false">IF(B1624="","",B1624+(11*1000+73)/10000000)</f>
        <v/>
      </c>
      <c r="B1624" s="35" t="str">
        <f aca="false">IF(AND(ISNUMBER(later_events!A74),TRIM(later_events!C74)&lt;&gt;"",OR(later_events!E74="renewal_answer",later_events!E74="opt_out"),OR(LEFT(later_events!C74,6)&lt;&gt;"SAMPLE",Config!$B$19="Y")),later_events!A74,"")</f>
        <v/>
      </c>
      <c r="C1624" s="23" t="str">
        <f aca="false">IF(B1624="","",later_events!B74&amp;"")</f>
        <v/>
      </c>
      <c r="D1624" s="23" t="str">
        <f aca="false">IF(B1624="","",IF(later_events!B74="office",IFERROR(INDEX(Office_Log!$ED$2:$ED$201,MATCH(later_events!C74,Office_Log!$A$2:$A$201,0))&amp;"",later_events!C74&amp;""),IFERROR(INDEX(Brand_Log!$DV$2:$DV$201,MATCH(later_events!C74,Brand_Log!$A$2:$A$201,0))&amp;"",later_events!C74&amp;"")))</f>
        <v/>
      </c>
      <c r="E1624" s="23" t="str">
        <f aca="false">IF(B1624="","",IF(later_events!D74="","",later_events!D74&amp;""))</f>
        <v/>
      </c>
      <c r="F1624" s="23" t="str">
        <f aca="false">IF(B1624="","",later_events!E74&amp;"")</f>
        <v/>
      </c>
      <c r="G1624" s="23" t="str">
        <f aca="false">IF(B1624="","",IF(ISNUMBER(later_events!F74),later_events!F74,""))</f>
        <v/>
      </c>
      <c r="H1624" s="23" t="str">
        <f aca="false">IF(B1624="","",IF(later_events!G74="","",later_events!G74&amp;""))</f>
        <v/>
      </c>
      <c r="I1624" s="23" t="str">
        <f aca="false">IF(B1624="","","")</f>
        <v/>
      </c>
      <c r="J1624" s="23" t="str">
        <f aca="false">IF(B1624="","",IF(later_events!H74="","",later_events!H74&amp;""))</f>
        <v/>
      </c>
      <c r="K1624" s="32" t="s">
        <v>1362</v>
      </c>
    </row>
    <row r="1625" customFormat="false" ht="15" hidden="false" customHeight="false" outlineLevel="0" collapsed="false">
      <c r="A1625" s="23" t="str">
        <f aca="false">IF(B1625="","",B1625+(11*1000+74)/10000000)</f>
        <v/>
      </c>
      <c r="B1625" s="35" t="str">
        <f aca="false">IF(AND(ISNUMBER(later_events!A75),TRIM(later_events!C75)&lt;&gt;"",OR(later_events!E75="renewal_answer",later_events!E75="opt_out"),OR(LEFT(later_events!C75,6)&lt;&gt;"SAMPLE",Config!$B$19="Y")),later_events!A75,"")</f>
        <v/>
      </c>
      <c r="C1625" s="23" t="str">
        <f aca="false">IF(B1625="","",later_events!B75&amp;"")</f>
        <v/>
      </c>
      <c r="D1625" s="23" t="str">
        <f aca="false">IF(B1625="","",IF(later_events!B75="office",IFERROR(INDEX(Office_Log!$ED$2:$ED$201,MATCH(later_events!C75,Office_Log!$A$2:$A$201,0))&amp;"",later_events!C75&amp;""),IFERROR(INDEX(Brand_Log!$DV$2:$DV$201,MATCH(later_events!C75,Brand_Log!$A$2:$A$201,0))&amp;"",later_events!C75&amp;"")))</f>
        <v/>
      </c>
      <c r="E1625" s="23" t="str">
        <f aca="false">IF(B1625="","",IF(later_events!D75="","",later_events!D75&amp;""))</f>
        <v/>
      </c>
      <c r="F1625" s="23" t="str">
        <f aca="false">IF(B1625="","",later_events!E75&amp;"")</f>
        <v/>
      </c>
      <c r="G1625" s="23" t="str">
        <f aca="false">IF(B1625="","",IF(ISNUMBER(later_events!F75),later_events!F75,""))</f>
        <v/>
      </c>
      <c r="H1625" s="23" t="str">
        <f aca="false">IF(B1625="","",IF(later_events!G75="","",later_events!G75&amp;""))</f>
        <v/>
      </c>
      <c r="I1625" s="23" t="str">
        <f aca="false">IF(B1625="","","")</f>
        <v/>
      </c>
      <c r="J1625" s="23" t="str">
        <f aca="false">IF(B1625="","",IF(later_events!H75="","",later_events!H75&amp;""))</f>
        <v/>
      </c>
      <c r="K1625" s="32" t="s">
        <v>1362</v>
      </c>
    </row>
    <row r="1626" customFormat="false" ht="15" hidden="false" customHeight="false" outlineLevel="0" collapsed="false">
      <c r="A1626" s="23" t="str">
        <f aca="false">IF(B1626="","",B1626+(11*1000+75)/10000000)</f>
        <v/>
      </c>
      <c r="B1626" s="35" t="str">
        <f aca="false">IF(AND(ISNUMBER(later_events!A76),TRIM(later_events!C76)&lt;&gt;"",OR(later_events!E76="renewal_answer",later_events!E76="opt_out"),OR(LEFT(later_events!C76,6)&lt;&gt;"SAMPLE",Config!$B$19="Y")),later_events!A76,"")</f>
        <v/>
      </c>
      <c r="C1626" s="23" t="str">
        <f aca="false">IF(B1626="","",later_events!B76&amp;"")</f>
        <v/>
      </c>
      <c r="D1626" s="23" t="str">
        <f aca="false">IF(B1626="","",IF(later_events!B76="office",IFERROR(INDEX(Office_Log!$ED$2:$ED$201,MATCH(later_events!C76,Office_Log!$A$2:$A$201,0))&amp;"",later_events!C76&amp;""),IFERROR(INDEX(Brand_Log!$DV$2:$DV$201,MATCH(later_events!C76,Brand_Log!$A$2:$A$201,0))&amp;"",later_events!C76&amp;"")))</f>
        <v/>
      </c>
      <c r="E1626" s="23" t="str">
        <f aca="false">IF(B1626="","",IF(later_events!D76="","",later_events!D76&amp;""))</f>
        <v/>
      </c>
      <c r="F1626" s="23" t="str">
        <f aca="false">IF(B1626="","",later_events!E76&amp;"")</f>
        <v/>
      </c>
      <c r="G1626" s="23" t="str">
        <f aca="false">IF(B1626="","",IF(ISNUMBER(later_events!F76),later_events!F76,""))</f>
        <v/>
      </c>
      <c r="H1626" s="23" t="str">
        <f aca="false">IF(B1626="","",IF(later_events!G76="","",later_events!G76&amp;""))</f>
        <v/>
      </c>
      <c r="I1626" s="23" t="str">
        <f aca="false">IF(B1626="","","")</f>
        <v/>
      </c>
      <c r="J1626" s="23" t="str">
        <f aca="false">IF(B1626="","",IF(later_events!H76="","",later_events!H76&amp;""))</f>
        <v/>
      </c>
      <c r="K1626" s="32" t="s">
        <v>1362</v>
      </c>
    </row>
    <row r="1627" customFormat="false" ht="15" hidden="false" customHeight="false" outlineLevel="0" collapsed="false">
      <c r="A1627" s="23" t="str">
        <f aca="false">IF(B1627="","",B1627+(11*1000+76)/10000000)</f>
        <v/>
      </c>
      <c r="B1627" s="35" t="str">
        <f aca="false">IF(AND(ISNUMBER(later_events!A77),TRIM(later_events!C77)&lt;&gt;"",OR(later_events!E77="renewal_answer",later_events!E77="opt_out"),OR(LEFT(later_events!C77,6)&lt;&gt;"SAMPLE",Config!$B$19="Y")),later_events!A77,"")</f>
        <v/>
      </c>
      <c r="C1627" s="23" t="str">
        <f aca="false">IF(B1627="","",later_events!B77&amp;"")</f>
        <v/>
      </c>
      <c r="D1627" s="23" t="str">
        <f aca="false">IF(B1627="","",IF(later_events!B77="office",IFERROR(INDEX(Office_Log!$ED$2:$ED$201,MATCH(later_events!C77,Office_Log!$A$2:$A$201,0))&amp;"",later_events!C77&amp;""),IFERROR(INDEX(Brand_Log!$DV$2:$DV$201,MATCH(later_events!C77,Brand_Log!$A$2:$A$201,0))&amp;"",later_events!C77&amp;"")))</f>
        <v/>
      </c>
      <c r="E1627" s="23" t="str">
        <f aca="false">IF(B1627="","",IF(later_events!D77="","",later_events!D77&amp;""))</f>
        <v/>
      </c>
      <c r="F1627" s="23" t="str">
        <f aca="false">IF(B1627="","",later_events!E77&amp;"")</f>
        <v/>
      </c>
      <c r="G1627" s="23" t="str">
        <f aca="false">IF(B1627="","",IF(ISNUMBER(later_events!F77),later_events!F77,""))</f>
        <v/>
      </c>
      <c r="H1627" s="23" t="str">
        <f aca="false">IF(B1627="","",IF(later_events!G77="","",later_events!G77&amp;""))</f>
        <v/>
      </c>
      <c r="I1627" s="23" t="str">
        <f aca="false">IF(B1627="","","")</f>
        <v/>
      </c>
      <c r="J1627" s="23" t="str">
        <f aca="false">IF(B1627="","",IF(later_events!H77="","",later_events!H77&amp;""))</f>
        <v/>
      </c>
      <c r="K1627" s="32" t="s">
        <v>1362</v>
      </c>
    </row>
    <row r="1628" customFormat="false" ht="15" hidden="false" customHeight="false" outlineLevel="0" collapsed="false">
      <c r="A1628" s="23" t="str">
        <f aca="false">IF(B1628="","",B1628+(11*1000+77)/10000000)</f>
        <v/>
      </c>
      <c r="B1628" s="35" t="str">
        <f aca="false">IF(AND(ISNUMBER(later_events!A78),TRIM(later_events!C78)&lt;&gt;"",OR(later_events!E78="renewal_answer",later_events!E78="opt_out"),OR(LEFT(later_events!C78,6)&lt;&gt;"SAMPLE",Config!$B$19="Y")),later_events!A78,"")</f>
        <v/>
      </c>
      <c r="C1628" s="23" t="str">
        <f aca="false">IF(B1628="","",later_events!B78&amp;"")</f>
        <v/>
      </c>
      <c r="D1628" s="23" t="str">
        <f aca="false">IF(B1628="","",IF(later_events!B78="office",IFERROR(INDEX(Office_Log!$ED$2:$ED$201,MATCH(later_events!C78,Office_Log!$A$2:$A$201,0))&amp;"",later_events!C78&amp;""),IFERROR(INDEX(Brand_Log!$DV$2:$DV$201,MATCH(later_events!C78,Brand_Log!$A$2:$A$201,0))&amp;"",later_events!C78&amp;"")))</f>
        <v/>
      </c>
      <c r="E1628" s="23" t="str">
        <f aca="false">IF(B1628="","",IF(later_events!D78="","",later_events!D78&amp;""))</f>
        <v/>
      </c>
      <c r="F1628" s="23" t="str">
        <f aca="false">IF(B1628="","",later_events!E78&amp;"")</f>
        <v/>
      </c>
      <c r="G1628" s="23" t="str">
        <f aca="false">IF(B1628="","",IF(ISNUMBER(later_events!F78),later_events!F78,""))</f>
        <v/>
      </c>
      <c r="H1628" s="23" t="str">
        <f aca="false">IF(B1628="","",IF(later_events!G78="","",later_events!G78&amp;""))</f>
        <v/>
      </c>
      <c r="I1628" s="23" t="str">
        <f aca="false">IF(B1628="","","")</f>
        <v/>
      </c>
      <c r="J1628" s="23" t="str">
        <f aca="false">IF(B1628="","",IF(later_events!H78="","",later_events!H78&amp;""))</f>
        <v/>
      </c>
      <c r="K1628" s="32" t="s">
        <v>1362</v>
      </c>
    </row>
    <row r="1629" customFormat="false" ht="15" hidden="false" customHeight="false" outlineLevel="0" collapsed="false">
      <c r="A1629" s="23" t="str">
        <f aca="false">IF(B1629="","",B1629+(11*1000+78)/10000000)</f>
        <v/>
      </c>
      <c r="B1629" s="35" t="str">
        <f aca="false">IF(AND(ISNUMBER(later_events!A79),TRIM(later_events!C79)&lt;&gt;"",OR(later_events!E79="renewal_answer",later_events!E79="opt_out"),OR(LEFT(later_events!C79,6)&lt;&gt;"SAMPLE",Config!$B$19="Y")),later_events!A79,"")</f>
        <v/>
      </c>
      <c r="C1629" s="23" t="str">
        <f aca="false">IF(B1629="","",later_events!B79&amp;"")</f>
        <v/>
      </c>
      <c r="D1629" s="23" t="str">
        <f aca="false">IF(B1629="","",IF(later_events!B79="office",IFERROR(INDEX(Office_Log!$ED$2:$ED$201,MATCH(later_events!C79,Office_Log!$A$2:$A$201,0))&amp;"",later_events!C79&amp;""),IFERROR(INDEX(Brand_Log!$DV$2:$DV$201,MATCH(later_events!C79,Brand_Log!$A$2:$A$201,0))&amp;"",later_events!C79&amp;"")))</f>
        <v/>
      </c>
      <c r="E1629" s="23" t="str">
        <f aca="false">IF(B1629="","",IF(later_events!D79="","",later_events!D79&amp;""))</f>
        <v/>
      </c>
      <c r="F1629" s="23" t="str">
        <f aca="false">IF(B1629="","",later_events!E79&amp;"")</f>
        <v/>
      </c>
      <c r="G1629" s="23" t="str">
        <f aca="false">IF(B1629="","",IF(ISNUMBER(later_events!F79),later_events!F79,""))</f>
        <v/>
      </c>
      <c r="H1629" s="23" t="str">
        <f aca="false">IF(B1629="","",IF(later_events!G79="","",later_events!G79&amp;""))</f>
        <v/>
      </c>
      <c r="I1629" s="23" t="str">
        <f aca="false">IF(B1629="","","")</f>
        <v/>
      </c>
      <c r="J1629" s="23" t="str">
        <f aca="false">IF(B1629="","",IF(later_events!H79="","",later_events!H79&amp;""))</f>
        <v/>
      </c>
      <c r="K1629" s="32" t="s">
        <v>1362</v>
      </c>
    </row>
    <row r="1630" customFormat="false" ht="15" hidden="false" customHeight="false" outlineLevel="0" collapsed="false">
      <c r="A1630" s="23" t="str">
        <f aca="false">IF(B1630="","",B1630+(11*1000+79)/10000000)</f>
        <v/>
      </c>
      <c r="B1630" s="35" t="str">
        <f aca="false">IF(AND(ISNUMBER(later_events!A80),TRIM(later_events!C80)&lt;&gt;"",OR(later_events!E80="renewal_answer",later_events!E80="opt_out"),OR(LEFT(later_events!C80,6)&lt;&gt;"SAMPLE",Config!$B$19="Y")),later_events!A80,"")</f>
        <v/>
      </c>
      <c r="C1630" s="23" t="str">
        <f aca="false">IF(B1630="","",later_events!B80&amp;"")</f>
        <v/>
      </c>
      <c r="D1630" s="23" t="str">
        <f aca="false">IF(B1630="","",IF(later_events!B80="office",IFERROR(INDEX(Office_Log!$ED$2:$ED$201,MATCH(later_events!C80,Office_Log!$A$2:$A$201,0))&amp;"",later_events!C80&amp;""),IFERROR(INDEX(Brand_Log!$DV$2:$DV$201,MATCH(later_events!C80,Brand_Log!$A$2:$A$201,0))&amp;"",later_events!C80&amp;"")))</f>
        <v/>
      </c>
      <c r="E1630" s="23" t="str">
        <f aca="false">IF(B1630="","",IF(later_events!D80="","",later_events!D80&amp;""))</f>
        <v/>
      </c>
      <c r="F1630" s="23" t="str">
        <f aca="false">IF(B1630="","",later_events!E80&amp;"")</f>
        <v/>
      </c>
      <c r="G1630" s="23" t="str">
        <f aca="false">IF(B1630="","",IF(ISNUMBER(later_events!F80),later_events!F80,""))</f>
        <v/>
      </c>
      <c r="H1630" s="23" t="str">
        <f aca="false">IF(B1630="","",IF(later_events!G80="","",later_events!G80&amp;""))</f>
        <v/>
      </c>
      <c r="I1630" s="23" t="str">
        <f aca="false">IF(B1630="","","")</f>
        <v/>
      </c>
      <c r="J1630" s="23" t="str">
        <f aca="false">IF(B1630="","",IF(later_events!H80="","",later_events!H80&amp;""))</f>
        <v/>
      </c>
      <c r="K1630" s="32" t="s">
        <v>1362</v>
      </c>
    </row>
    <row r="1631" customFormat="false" ht="15" hidden="false" customHeight="false" outlineLevel="0" collapsed="false">
      <c r="A1631" s="23" t="str">
        <f aca="false">IF(B1631="","",B1631+(11*1000+80)/10000000)</f>
        <v/>
      </c>
      <c r="B1631" s="35" t="str">
        <f aca="false">IF(AND(ISNUMBER(later_events!A81),TRIM(later_events!C81)&lt;&gt;"",OR(later_events!E81="renewal_answer",later_events!E81="opt_out"),OR(LEFT(later_events!C81,6)&lt;&gt;"SAMPLE",Config!$B$19="Y")),later_events!A81,"")</f>
        <v/>
      </c>
      <c r="C1631" s="23" t="str">
        <f aca="false">IF(B1631="","",later_events!B81&amp;"")</f>
        <v/>
      </c>
      <c r="D1631" s="23" t="str">
        <f aca="false">IF(B1631="","",IF(later_events!B81="office",IFERROR(INDEX(Office_Log!$ED$2:$ED$201,MATCH(later_events!C81,Office_Log!$A$2:$A$201,0))&amp;"",later_events!C81&amp;""),IFERROR(INDEX(Brand_Log!$DV$2:$DV$201,MATCH(later_events!C81,Brand_Log!$A$2:$A$201,0))&amp;"",later_events!C81&amp;"")))</f>
        <v/>
      </c>
      <c r="E1631" s="23" t="str">
        <f aca="false">IF(B1631="","",IF(later_events!D81="","",later_events!D81&amp;""))</f>
        <v/>
      </c>
      <c r="F1631" s="23" t="str">
        <f aca="false">IF(B1631="","",later_events!E81&amp;"")</f>
        <v/>
      </c>
      <c r="G1631" s="23" t="str">
        <f aca="false">IF(B1631="","",IF(ISNUMBER(later_events!F81),later_events!F81,""))</f>
        <v/>
      </c>
      <c r="H1631" s="23" t="str">
        <f aca="false">IF(B1631="","",IF(later_events!G81="","",later_events!G81&amp;""))</f>
        <v/>
      </c>
      <c r="I1631" s="23" t="str">
        <f aca="false">IF(B1631="","","")</f>
        <v/>
      </c>
      <c r="J1631" s="23" t="str">
        <f aca="false">IF(B1631="","",IF(later_events!H81="","",later_events!H81&amp;""))</f>
        <v/>
      </c>
      <c r="K1631" s="32" t="s">
        <v>1362</v>
      </c>
    </row>
    <row r="1632" customFormat="false" ht="15" hidden="false" customHeight="false" outlineLevel="0" collapsed="false">
      <c r="A1632" s="23" t="str">
        <f aca="false">IF(B1632="","",B1632+(11*1000+81)/10000000)</f>
        <v/>
      </c>
      <c r="B1632" s="35" t="str">
        <f aca="false">IF(AND(ISNUMBER(later_events!A82),TRIM(later_events!C82)&lt;&gt;"",OR(later_events!E82="renewal_answer",later_events!E82="opt_out"),OR(LEFT(later_events!C82,6)&lt;&gt;"SAMPLE",Config!$B$19="Y")),later_events!A82,"")</f>
        <v/>
      </c>
      <c r="C1632" s="23" t="str">
        <f aca="false">IF(B1632="","",later_events!B82&amp;"")</f>
        <v/>
      </c>
      <c r="D1632" s="23" t="str">
        <f aca="false">IF(B1632="","",IF(later_events!B82="office",IFERROR(INDEX(Office_Log!$ED$2:$ED$201,MATCH(later_events!C82,Office_Log!$A$2:$A$201,0))&amp;"",later_events!C82&amp;""),IFERROR(INDEX(Brand_Log!$DV$2:$DV$201,MATCH(later_events!C82,Brand_Log!$A$2:$A$201,0))&amp;"",later_events!C82&amp;"")))</f>
        <v/>
      </c>
      <c r="E1632" s="23" t="str">
        <f aca="false">IF(B1632="","",IF(later_events!D82="","",later_events!D82&amp;""))</f>
        <v/>
      </c>
      <c r="F1632" s="23" t="str">
        <f aca="false">IF(B1632="","",later_events!E82&amp;"")</f>
        <v/>
      </c>
      <c r="G1632" s="23" t="str">
        <f aca="false">IF(B1632="","",IF(ISNUMBER(later_events!F82),later_events!F82,""))</f>
        <v/>
      </c>
      <c r="H1632" s="23" t="str">
        <f aca="false">IF(B1632="","",IF(later_events!G82="","",later_events!G82&amp;""))</f>
        <v/>
      </c>
      <c r="I1632" s="23" t="str">
        <f aca="false">IF(B1632="","","")</f>
        <v/>
      </c>
      <c r="J1632" s="23" t="str">
        <f aca="false">IF(B1632="","",IF(later_events!H82="","",later_events!H82&amp;""))</f>
        <v/>
      </c>
      <c r="K1632" s="32" t="s">
        <v>1362</v>
      </c>
    </row>
    <row r="1633" customFormat="false" ht="15" hidden="false" customHeight="false" outlineLevel="0" collapsed="false">
      <c r="A1633" s="23" t="str">
        <f aca="false">IF(B1633="","",B1633+(11*1000+82)/10000000)</f>
        <v/>
      </c>
      <c r="B1633" s="35" t="str">
        <f aca="false">IF(AND(ISNUMBER(later_events!A83),TRIM(later_events!C83)&lt;&gt;"",OR(later_events!E83="renewal_answer",later_events!E83="opt_out"),OR(LEFT(later_events!C83,6)&lt;&gt;"SAMPLE",Config!$B$19="Y")),later_events!A83,"")</f>
        <v/>
      </c>
      <c r="C1633" s="23" t="str">
        <f aca="false">IF(B1633="","",later_events!B83&amp;"")</f>
        <v/>
      </c>
      <c r="D1633" s="23" t="str">
        <f aca="false">IF(B1633="","",IF(later_events!B83="office",IFERROR(INDEX(Office_Log!$ED$2:$ED$201,MATCH(later_events!C83,Office_Log!$A$2:$A$201,0))&amp;"",later_events!C83&amp;""),IFERROR(INDEX(Brand_Log!$DV$2:$DV$201,MATCH(later_events!C83,Brand_Log!$A$2:$A$201,0))&amp;"",later_events!C83&amp;"")))</f>
        <v/>
      </c>
      <c r="E1633" s="23" t="str">
        <f aca="false">IF(B1633="","",IF(later_events!D83="","",later_events!D83&amp;""))</f>
        <v/>
      </c>
      <c r="F1633" s="23" t="str">
        <f aca="false">IF(B1633="","",later_events!E83&amp;"")</f>
        <v/>
      </c>
      <c r="G1633" s="23" t="str">
        <f aca="false">IF(B1633="","",IF(ISNUMBER(later_events!F83),later_events!F83,""))</f>
        <v/>
      </c>
      <c r="H1633" s="23" t="str">
        <f aca="false">IF(B1633="","",IF(later_events!G83="","",later_events!G83&amp;""))</f>
        <v/>
      </c>
      <c r="I1633" s="23" t="str">
        <f aca="false">IF(B1633="","","")</f>
        <v/>
      </c>
      <c r="J1633" s="23" t="str">
        <f aca="false">IF(B1633="","",IF(later_events!H83="","",later_events!H83&amp;""))</f>
        <v/>
      </c>
      <c r="K1633" s="32" t="s">
        <v>1362</v>
      </c>
    </row>
    <row r="1634" customFormat="false" ht="15" hidden="false" customHeight="false" outlineLevel="0" collapsed="false">
      <c r="A1634" s="23" t="str">
        <f aca="false">IF(B1634="","",B1634+(11*1000+83)/10000000)</f>
        <v/>
      </c>
      <c r="B1634" s="35" t="str">
        <f aca="false">IF(AND(ISNUMBER(later_events!A84),TRIM(later_events!C84)&lt;&gt;"",OR(later_events!E84="renewal_answer",later_events!E84="opt_out"),OR(LEFT(later_events!C84,6)&lt;&gt;"SAMPLE",Config!$B$19="Y")),later_events!A84,"")</f>
        <v/>
      </c>
      <c r="C1634" s="23" t="str">
        <f aca="false">IF(B1634="","",later_events!B84&amp;"")</f>
        <v/>
      </c>
      <c r="D1634" s="23" t="str">
        <f aca="false">IF(B1634="","",IF(later_events!B84="office",IFERROR(INDEX(Office_Log!$ED$2:$ED$201,MATCH(later_events!C84,Office_Log!$A$2:$A$201,0))&amp;"",later_events!C84&amp;""),IFERROR(INDEX(Brand_Log!$DV$2:$DV$201,MATCH(later_events!C84,Brand_Log!$A$2:$A$201,0))&amp;"",later_events!C84&amp;"")))</f>
        <v/>
      </c>
      <c r="E1634" s="23" t="str">
        <f aca="false">IF(B1634="","",IF(later_events!D84="","",later_events!D84&amp;""))</f>
        <v/>
      </c>
      <c r="F1634" s="23" t="str">
        <f aca="false">IF(B1634="","",later_events!E84&amp;"")</f>
        <v/>
      </c>
      <c r="G1634" s="23" t="str">
        <f aca="false">IF(B1634="","",IF(ISNUMBER(later_events!F84),later_events!F84,""))</f>
        <v/>
      </c>
      <c r="H1634" s="23" t="str">
        <f aca="false">IF(B1634="","",IF(later_events!G84="","",later_events!G84&amp;""))</f>
        <v/>
      </c>
      <c r="I1634" s="23" t="str">
        <f aca="false">IF(B1634="","","")</f>
        <v/>
      </c>
      <c r="J1634" s="23" t="str">
        <f aca="false">IF(B1634="","",IF(later_events!H84="","",later_events!H84&amp;""))</f>
        <v/>
      </c>
      <c r="K1634" s="32" t="s">
        <v>1362</v>
      </c>
    </row>
    <row r="1635" customFormat="false" ht="15" hidden="false" customHeight="false" outlineLevel="0" collapsed="false">
      <c r="A1635" s="23" t="str">
        <f aca="false">IF(B1635="","",B1635+(11*1000+84)/10000000)</f>
        <v/>
      </c>
      <c r="B1635" s="35" t="str">
        <f aca="false">IF(AND(ISNUMBER(later_events!A85),TRIM(later_events!C85)&lt;&gt;"",OR(later_events!E85="renewal_answer",later_events!E85="opt_out"),OR(LEFT(later_events!C85,6)&lt;&gt;"SAMPLE",Config!$B$19="Y")),later_events!A85,"")</f>
        <v/>
      </c>
      <c r="C1635" s="23" t="str">
        <f aca="false">IF(B1635="","",later_events!B85&amp;"")</f>
        <v/>
      </c>
      <c r="D1635" s="23" t="str">
        <f aca="false">IF(B1635="","",IF(later_events!B85="office",IFERROR(INDEX(Office_Log!$ED$2:$ED$201,MATCH(later_events!C85,Office_Log!$A$2:$A$201,0))&amp;"",later_events!C85&amp;""),IFERROR(INDEX(Brand_Log!$DV$2:$DV$201,MATCH(later_events!C85,Brand_Log!$A$2:$A$201,0))&amp;"",later_events!C85&amp;"")))</f>
        <v/>
      </c>
      <c r="E1635" s="23" t="str">
        <f aca="false">IF(B1635="","",IF(later_events!D85="","",later_events!D85&amp;""))</f>
        <v/>
      </c>
      <c r="F1635" s="23" t="str">
        <f aca="false">IF(B1635="","",later_events!E85&amp;"")</f>
        <v/>
      </c>
      <c r="G1635" s="23" t="str">
        <f aca="false">IF(B1635="","",IF(ISNUMBER(later_events!F85),later_events!F85,""))</f>
        <v/>
      </c>
      <c r="H1635" s="23" t="str">
        <f aca="false">IF(B1635="","",IF(later_events!G85="","",later_events!G85&amp;""))</f>
        <v/>
      </c>
      <c r="I1635" s="23" t="str">
        <f aca="false">IF(B1635="","","")</f>
        <v/>
      </c>
      <c r="J1635" s="23" t="str">
        <f aca="false">IF(B1635="","",IF(later_events!H85="","",later_events!H85&amp;""))</f>
        <v/>
      </c>
      <c r="K1635" s="32" t="s">
        <v>1362</v>
      </c>
    </row>
    <row r="1636" customFormat="false" ht="15" hidden="false" customHeight="false" outlineLevel="0" collapsed="false">
      <c r="A1636" s="23" t="str">
        <f aca="false">IF(B1636="","",B1636+(11*1000+85)/10000000)</f>
        <v/>
      </c>
      <c r="B1636" s="35" t="str">
        <f aca="false">IF(AND(ISNUMBER(later_events!A86),TRIM(later_events!C86)&lt;&gt;"",OR(later_events!E86="renewal_answer",later_events!E86="opt_out"),OR(LEFT(later_events!C86,6)&lt;&gt;"SAMPLE",Config!$B$19="Y")),later_events!A86,"")</f>
        <v/>
      </c>
      <c r="C1636" s="23" t="str">
        <f aca="false">IF(B1636="","",later_events!B86&amp;"")</f>
        <v/>
      </c>
      <c r="D1636" s="23" t="str">
        <f aca="false">IF(B1636="","",IF(later_events!B86="office",IFERROR(INDEX(Office_Log!$ED$2:$ED$201,MATCH(later_events!C86,Office_Log!$A$2:$A$201,0))&amp;"",later_events!C86&amp;""),IFERROR(INDEX(Brand_Log!$DV$2:$DV$201,MATCH(later_events!C86,Brand_Log!$A$2:$A$201,0))&amp;"",later_events!C86&amp;"")))</f>
        <v/>
      </c>
      <c r="E1636" s="23" t="str">
        <f aca="false">IF(B1636="","",IF(later_events!D86="","",later_events!D86&amp;""))</f>
        <v/>
      </c>
      <c r="F1636" s="23" t="str">
        <f aca="false">IF(B1636="","",later_events!E86&amp;"")</f>
        <v/>
      </c>
      <c r="G1636" s="23" t="str">
        <f aca="false">IF(B1636="","",IF(ISNUMBER(later_events!F86),later_events!F86,""))</f>
        <v/>
      </c>
      <c r="H1636" s="23" t="str">
        <f aca="false">IF(B1636="","",IF(later_events!G86="","",later_events!G86&amp;""))</f>
        <v/>
      </c>
      <c r="I1636" s="23" t="str">
        <f aca="false">IF(B1636="","","")</f>
        <v/>
      </c>
      <c r="J1636" s="23" t="str">
        <f aca="false">IF(B1636="","",IF(later_events!H86="","",later_events!H86&amp;""))</f>
        <v/>
      </c>
      <c r="K1636" s="32" t="s">
        <v>1362</v>
      </c>
    </row>
    <row r="1637" customFormat="false" ht="15" hidden="false" customHeight="false" outlineLevel="0" collapsed="false">
      <c r="A1637" s="23" t="str">
        <f aca="false">IF(B1637="","",B1637+(11*1000+86)/10000000)</f>
        <v/>
      </c>
      <c r="B1637" s="35" t="str">
        <f aca="false">IF(AND(ISNUMBER(later_events!A87),TRIM(later_events!C87)&lt;&gt;"",OR(later_events!E87="renewal_answer",later_events!E87="opt_out"),OR(LEFT(later_events!C87,6)&lt;&gt;"SAMPLE",Config!$B$19="Y")),later_events!A87,"")</f>
        <v/>
      </c>
      <c r="C1637" s="23" t="str">
        <f aca="false">IF(B1637="","",later_events!B87&amp;"")</f>
        <v/>
      </c>
      <c r="D1637" s="23" t="str">
        <f aca="false">IF(B1637="","",IF(later_events!B87="office",IFERROR(INDEX(Office_Log!$ED$2:$ED$201,MATCH(later_events!C87,Office_Log!$A$2:$A$201,0))&amp;"",later_events!C87&amp;""),IFERROR(INDEX(Brand_Log!$DV$2:$DV$201,MATCH(later_events!C87,Brand_Log!$A$2:$A$201,0))&amp;"",later_events!C87&amp;"")))</f>
        <v/>
      </c>
      <c r="E1637" s="23" t="str">
        <f aca="false">IF(B1637="","",IF(later_events!D87="","",later_events!D87&amp;""))</f>
        <v/>
      </c>
      <c r="F1637" s="23" t="str">
        <f aca="false">IF(B1637="","",later_events!E87&amp;"")</f>
        <v/>
      </c>
      <c r="G1637" s="23" t="str">
        <f aca="false">IF(B1637="","",IF(ISNUMBER(later_events!F87),later_events!F87,""))</f>
        <v/>
      </c>
      <c r="H1637" s="23" t="str">
        <f aca="false">IF(B1637="","",IF(later_events!G87="","",later_events!G87&amp;""))</f>
        <v/>
      </c>
      <c r="I1637" s="23" t="str">
        <f aca="false">IF(B1637="","","")</f>
        <v/>
      </c>
      <c r="J1637" s="23" t="str">
        <f aca="false">IF(B1637="","",IF(later_events!H87="","",later_events!H87&amp;""))</f>
        <v/>
      </c>
      <c r="K1637" s="32" t="s">
        <v>1362</v>
      </c>
    </row>
    <row r="1638" customFormat="false" ht="15" hidden="false" customHeight="false" outlineLevel="0" collapsed="false">
      <c r="A1638" s="23" t="str">
        <f aca="false">IF(B1638="","",B1638+(11*1000+87)/10000000)</f>
        <v/>
      </c>
      <c r="B1638" s="35" t="str">
        <f aca="false">IF(AND(ISNUMBER(later_events!A88),TRIM(later_events!C88)&lt;&gt;"",OR(later_events!E88="renewal_answer",later_events!E88="opt_out"),OR(LEFT(later_events!C88,6)&lt;&gt;"SAMPLE",Config!$B$19="Y")),later_events!A88,"")</f>
        <v/>
      </c>
      <c r="C1638" s="23" t="str">
        <f aca="false">IF(B1638="","",later_events!B88&amp;"")</f>
        <v/>
      </c>
      <c r="D1638" s="23" t="str">
        <f aca="false">IF(B1638="","",IF(later_events!B88="office",IFERROR(INDEX(Office_Log!$ED$2:$ED$201,MATCH(later_events!C88,Office_Log!$A$2:$A$201,0))&amp;"",later_events!C88&amp;""),IFERROR(INDEX(Brand_Log!$DV$2:$DV$201,MATCH(later_events!C88,Brand_Log!$A$2:$A$201,0))&amp;"",later_events!C88&amp;"")))</f>
        <v/>
      </c>
      <c r="E1638" s="23" t="str">
        <f aca="false">IF(B1638="","",IF(later_events!D88="","",later_events!D88&amp;""))</f>
        <v/>
      </c>
      <c r="F1638" s="23" t="str">
        <f aca="false">IF(B1638="","",later_events!E88&amp;"")</f>
        <v/>
      </c>
      <c r="G1638" s="23" t="str">
        <f aca="false">IF(B1638="","",IF(ISNUMBER(later_events!F88),later_events!F88,""))</f>
        <v/>
      </c>
      <c r="H1638" s="23" t="str">
        <f aca="false">IF(B1638="","",IF(later_events!G88="","",later_events!G88&amp;""))</f>
        <v/>
      </c>
      <c r="I1638" s="23" t="str">
        <f aca="false">IF(B1638="","","")</f>
        <v/>
      </c>
      <c r="J1638" s="23" t="str">
        <f aca="false">IF(B1638="","",IF(later_events!H88="","",later_events!H88&amp;""))</f>
        <v/>
      </c>
      <c r="K1638" s="32" t="s">
        <v>1362</v>
      </c>
    </row>
    <row r="1639" customFormat="false" ht="15" hidden="false" customHeight="false" outlineLevel="0" collapsed="false">
      <c r="A1639" s="23" t="str">
        <f aca="false">IF(B1639="","",B1639+(11*1000+88)/10000000)</f>
        <v/>
      </c>
      <c r="B1639" s="35" t="str">
        <f aca="false">IF(AND(ISNUMBER(later_events!A89),TRIM(later_events!C89)&lt;&gt;"",OR(later_events!E89="renewal_answer",later_events!E89="opt_out"),OR(LEFT(later_events!C89,6)&lt;&gt;"SAMPLE",Config!$B$19="Y")),later_events!A89,"")</f>
        <v/>
      </c>
      <c r="C1639" s="23" t="str">
        <f aca="false">IF(B1639="","",later_events!B89&amp;"")</f>
        <v/>
      </c>
      <c r="D1639" s="23" t="str">
        <f aca="false">IF(B1639="","",IF(later_events!B89="office",IFERROR(INDEX(Office_Log!$ED$2:$ED$201,MATCH(later_events!C89,Office_Log!$A$2:$A$201,0))&amp;"",later_events!C89&amp;""),IFERROR(INDEX(Brand_Log!$DV$2:$DV$201,MATCH(later_events!C89,Brand_Log!$A$2:$A$201,0))&amp;"",later_events!C89&amp;"")))</f>
        <v/>
      </c>
      <c r="E1639" s="23" t="str">
        <f aca="false">IF(B1639="","",IF(later_events!D89="","",later_events!D89&amp;""))</f>
        <v/>
      </c>
      <c r="F1639" s="23" t="str">
        <f aca="false">IF(B1639="","",later_events!E89&amp;"")</f>
        <v/>
      </c>
      <c r="G1639" s="23" t="str">
        <f aca="false">IF(B1639="","",IF(ISNUMBER(later_events!F89),later_events!F89,""))</f>
        <v/>
      </c>
      <c r="H1639" s="23" t="str">
        <f aca="false">IF(B1639="","",IF(later_events!G89="","",later_events!G89&amp;""))</f>
        <v/>
      </c>
      <c r="I1639" s="23" t="str">
        <f aca="false">IF(B1639="","","")</f>
        <v/>
      </c>
      <c r="J1639" s="23" t="str">
        <f aca="false">IF(B1639="","",IF(later_events!H89="","",later_events!H89&amp;""))</f>
        <v/>
      </c>
      <c r="K1639" s="32" t="s">
        <v>1362</v>
      </c>
    </row>
    <row r="1640" customFormat="false" ht="15" hidden="false" customHeight="false" outlineLevel="0" collapsed="false">
      <c r="A1640" s="23" t="str">
        <f aca="false">IF(B1640="","",B1640+(11*1000+89)/10000000)</f>
        <v/>
      </c>
      <c r="B1640" s="35" t="str">
        <f aca="false">IF(AND(ISNUMBER(later_events!A90),TRIM(later_events!C90)&lt;&gt;"",OR(later_events!E90="renewal_answer",later_events!E90="opt_out"),OR(LEFT(later_events!C90,6)&lt;&gt;"SAMPLE",Config!$B$19="Y")),later_events!A90,"")</f>
        <v/>
      </c>
      <c r="C1640" s="23" t="str">
        <f aca="false">IF(B1640="","",later_events!B90&amp;"")</f>
        <v/>
      </c>
      <c r="D1640" s="23" t="str">
        <f aca="false">IF(B1640="","",IF(later_events!B90="office",IFERROR(INDEX(Office_Log!$ED$2:$ED$201,MATCH(later_events!C90,Office_Log!$A$2:$A$201,0))&amp;"",later_events!C90&amp;""),IFERROR(INDEX(Brand_Log!$DV$2:$DV$201,MATCH(later_events!C90,Brand_Log!$A$2:$A$201,0))&amp;"",later_events!C90&amp;"")))</f>
        <v/>
      </c>
      <c r="E1640" s="23" t="str">
        <f aca="false">IF(B1640="","",IF(later_events!D90="","",later_events!D90&amp;""))</f>
        <v/>
      </c>
      <c r="F1640" s="23" t="str">
        <f aca="false">IF(B1640="","",later_events!E90&amp;"")</f>
        <v/>
      </c>
      <c r="G1640" s="23" t="str">
        <f aca="false">IF(B1640="","",IF(ISNUMBER(later_events!F90),later_events!F90,""))</f>
        <v/>
      </c>
      <c r="H1640" s="23" t="str">
        <f aca="false">IF(B1640="","",IF(later_events!G90="","",later_events!G90&amp;""))</f>
        <v/>
      </c>
      <c r="I1640" s="23" t="str">
        <f aca="false">IF(B1640="","","")</f>
        <v/>
      </c>
      <c r="J1640" s="23" t="str">
        <f aca="false">IF(B1640="","",IF(later_events!H90="","",later_events!H90&amp;""))</f>
        <v/>
      </c>
      <c r="K1640" s="32" t="s">
        <v>1362</v>
      </c>
    </row>
    <row r="1641" customFormat="false" ht="15" hidden="false" customHeight="false" outlineLevel="0" collapsed="false">
      <c r="A1641" s="23" t="str">
        <f aca="false">IF(B1641="","",B1641+(11*1000+90)/10000000)</f>
        <v/>
      </c>
      <c r="B1641" s="35" t="str">
        <f aca="false">IF(AND(ISNUMBER(later_events!A91),TRIM(later_events!C91)&lt;&gt;"",OR(later_events!E91="renewal_answer",later_events!E91="opt_out"),OR(LEFT(later_events!C91,6)&lt;&gt;"SAMPLE",Config!$B$19="Y")),later_events!A91,"")</f>
        <v/>
      </c>
      <c r="C1641" s="23" t="str">
        <f aca="false">IF(B1641="","",later_events!B91&amp;"")</f>
        <v/>
      </c>
      <c r="D1641" s="23" t="str">
        <f aca="false">IF(B1641="","",IF(later_events!B91="office",IFERROR(INDEX(Office_Log!$ED$2:$ED$201,MATCH(later_events!C91,Office_Log!$A$2:$A$201,0))&amp;"",later_events!C91&amp;""),IFERROR(INDEX(Brand_Log!$DV$2:$DV$201,MATCH(later_events!C91,Brand_Log!$A$2:$A$201,0))&amp;"",later_events!C91&amp;"")))</f>
        <v/>
      </c>
      <c r="E1641" s="23" t="str">
        <f aca="false">IF(B1641="","",IF(later_events!D91="","",later_events!D91&amp;""))</f>
        <v/>
      </c>
      <c r="F1641" s="23" t="str">
        <f aca="false">IF(B1641="","",later_events!E91&amp;"")</f>
        <v/>
      </c>
      <c r="G1641" s="23" t="str">
        <f aca="false">IF(B1641="","",IF(ISNUMBER(later_events!F91),later_events!F91,""))</f>
        <v/>
      </c>
      <c r="H1641" s="23" t="str">
        <f aca="false">IF(B1641="","",IF(later_events!G91="","",later_events!G91&amp;""))</f>
        <v/>
      </c>
      <c r="I1641" s="23" t="str">
        <f aca="false">IF(B1641="","","")</f>
        <v/>
      </c>
      <c r="J1641" s="23" t="str">
        <f aca="false">IF(B1641="","",IF(later_events!H91="","",later_events!H91&amp;""))</f>
        <v/>
      </c>
      <c r="K1641" s="32" t="s">
        <v>1362</v>
      </c>
    </row>
    <row r="1642" customFormat="false" ht="15" hidden="false" customHeight="false" outlineLevel="0" collapsed="false">
      <c r="A1642" s="23" t="str">
        <f aca="false">IF(B1642="","",B1642+(11*1000+91)/10000000)</f>
        <v/>
      </c>
      <c r="B1642" s="35" t="str">
        <f aca="false">IF(AND(ISNUMBER(later_events!A92),TRIM(later_events!C92)&lt;&gt;"",OR(later_events!E92="renewal_answer",later_events!E92="opt_out"),OR(LEFT(later_events!C92,6)&lt;&gt;"SAMPLE",Config!$B$19="Y")),later_events!A92,"")</f>
        <v/>
      </c>
      <c r="C1642" s="23" t="str">
        <f aca="false">IF(B1642="","",later_events!B92&amp;"")</f>
        <v/>
      </c>
      <c r="D1642" s="23" t="str">
        <f aca="false">IF(B1642="","",IF(later_events!B92="office",IFERROR(INDEX(Office_Log!$ED$2:$ED$201,MATCH(later_events!C92,Office_Log!$A$2:$A$201,0))&amp;"",later_events!C92&amp;""),IFERROR(INDEX(Brand_Log!$DV$2:$DV$201,MATCH(later_events!C92,Brand_Log!$A$2:$A$201,0))&amp;"",later_events!C92&amp;"")))</f>
        <v/>
      </c>
      <c r="E1642" s="23" t="str">
        <f aca="false">IF(B1642="","",IF(later_events!D92="","",later_events!D92&amp;""))</f>
        <v/>
      </c>
      <c r="F1642" s="23" t="str">
        <f aca="false">IF(B1642="","",later_events!E92&amp;"")</f>
        <v/>
      </c>
      <c r="G1642" s="23" t="str">
        <f aca="false">IF(B1642="","",IF(ISNUMBER(later_events!F92),later_events!F92,""))</f>
        <v/>
      </c>
      <c r="H1642" s="23" t="str">
        <f aca="false">IF(B1642="","",IF(later_events!G92="","",later_events!G92&amp;""))</f>
        <v/>
      </c>
      <c r="I1642" s="23" t="str">
        <f aca="false">IF(B1642="","","")</f>
        <v/>
      </c>
      <c r="J1642" s="23" t="str">
        <f aca="false">IF(B1642="","",IF(later_events!H92="","",later_events!H92&amp;""))</f>
        <v/>
      </c>
      <c r="K1642" s="32" t="s">
        <v>1362</v>
      </c>
    </row>
    <row r="1643" customFormat="false" ht="15" hidden="false" customHeight="false" outlineLevel="0" collapsed="false">
      <c r="A1643" s="23" t="str">
        <f aca="false">IF(B1643="","",B1643+(11*1000+92)/10000000)</f>
        <v/>
      </c>
      <c r="B1643" s="35" t="str">
        <f aca="false">IF(AND(ISNUMBER(later_events!A93),TRIM(later_events!C93)&lt;&gt;"",OR(later_events!E93="renewal_answer",later_events!E93="opt_out"),OR(LEFT(later_events!C93,6)&lt;&gt;"SAMPLE",Config!$B$19="Y")),later_events!A93,"")</f>
        <v/>
      </c>
      <c r="C1643" s="23" t="str">
        <f aca="false">IF(B1643="","",later_events!B93&amp;"")</f>
        <v/>
      </c>
      <c r="D1643" s="23" t="str">
        <f aca="false">IF(B1643="","",IF(later_events!B93="office",IFERROR(INDEX(Office_Log!$ED$2:$ED$201,MATCH(later_events!C93,Office_Log!$A$2:$A$201,0))&amp;"",later_events!C93&amp;""),IFERROR(INDEX(Brand_Log!$DV$2:$DV$201,MATCH(later_events!C93,Brand_Log!$A$2:$A$201,0))&amp;"",later_events!C93&amp;"")))</f>
        <v/>
      </c>
      <c r="E1643" s="23" t="str">
        <f aca="false">IF(B1643="","",IF(later_events!D93="","",later_events!D93&amp;""))</f>
        <v/>
      </c>
      <c r="F1643" s="23" t="str">
        <f aca="false">IF(B1643="","",later_events!E93&amp;"")</f>
        <v/>
      </c>
      <c r="G1643" s="23" t="str">
        <f aca="false">IF(B1643="","",IF(ISNUMBER(later_events!F93),later_events!F93,""))</f>
        <v/>
      </c>
      <c r="H1643" s="23" t="str">
        <f aca="false">IF(B1643="","",IF(later_events!G93="","",later_events!G93&amp;""))</f>
        <v/>
      </c>
      <c r="I1643" s="23" t="str">
        <f aca="false">IF(B1643="","","")</f>
        <v/>
      </c>
      <c r="J1643" s="23" t="str">
        <f aca="false">IF(B1643="","",IF(later_events!H93="","",later_events!H93&amp;""))</f>
        <v/>
      </c>
      <c r="K1643" s="32" t="s">
        <v>1362</v>
      </c>
    </row>
    <row r="1644" customFormat="false" ht="15" hidden="false" customHeight="false" outlineLevel="0" collapsed="false">
      <c r="A1644" s="23" t="str">
        <f aca="false">IF(B1644="","",B1644+(11*1000+93)/10000000)</f>
        <v/>
      </c>
      <c r="B1644" s="35" t="str">
        <f aca="false">IF(AND(ISNUMBER(later_events!A94),TRIM(later_events!C94)&lt;&gt;"",OR(later_events!E94="renewal_answer",later_events!E94="opt_out"),OR(LEFT(later_events!C94,6)&lt;&gt;"SAMPLE",Config!$B$19="Y")),later_events!A94,"")</f>
        <v/>
      </c>
      <c r="C1644" s="23" t="str">
        <f aca="false">IF(B1644="","",later_events!B94&amp;"")</f>
        <v/>
      </c>
      <c r="D1644" s="23" t="str">
        <f aca="false">IF(B1644="","",IF(later_events!B94="office",IFERROR(INDEX(Office_Log!$ED$2:$ED$201,MATCH(later_events!C94,Office_Log!$A$2:$A$201,0))&amp;"",later_events!C94&amp;""),IFERROR(INDEX(Brand_Log!$DV$2:$DV$201,MATCH(later_events!C94,Brand_Log!$A$2:$A$201,0))&amp;"",later_events!C94&amp;"")))</f>
        <v/>
      </c>
      <c r="E1644" s="23" t="str">
        <f aca="false">IF(B1644="","",IF(later_events!D94="","",later_events!D94&amp;""))</f>
        <v/>
      </c>
      <c r="F1644" s="23" t="str">
        <f aca="false">IF(B1644="","",later_events!E94&amp;"")</f>
        <v/>
      </c>
      <c r="G1644" s="23" t="str">
        <f aca="false">IF(B1644="","",IF(ISNUMBER(later_events!F94),later_events!F94,""))</f>
        <v/>
      </c>
      <c r="H1644" s="23" t="str">
        <f aca="false">IF(B1644="","",IF(later_events!G94="","",later_events!G94&amp;""))</f>
        <v/>
      </c>
      <c r="I1644" s="23" t="str">
        <f aca="false">IF(B1644="","","")</f>
        <v/>
      </c>
      <c r="J1644" s="23" t="str">
        <f aca="false">IF(B1644="","",IF(later_events!H94="","",later_events!H94&amp;""))</f>
        <v/>
      </c>
      <c r="K1644" s="32" t="s">
        <v>1362</v>
      </c>
    </row>
    <row r="1645" customFormat="false" ht="15" hidden="false" customHeight="false" outlineLevel="0" collapsed="false">
      <c r="A1645" s="23" t="str">
        <f aca="false">IF(B1645="","",B1645+(11*1000+94)/10000000)</f>
        <v/>
      </c>
      <c r="B1645" s="35" t="str">
        <f aca="false">IF(AND(ISNUMBER(later_events!A95),TRIM(later_events!C95)&lt;&gt;"",OR(later_events!E95="renewal_answer",later_events!E95="opt_out"),OR(LEFT(later_events!C95,6)&lt;&gt;"SAMPLE",Config!$B$19="Y")),later_events!A95,"")</f>
        <v/>
      </c>
      <c r="C1645" s="23" t="str">
        <f aca="false">IF(B1645="","",later_events!B95&amp;"")</f>
        <v/>
      </c>
      <c r="D1645" s="23" t="str">
        <f aca="false">IF(B1645="","",IF(later_events!B95="office",IFERROR(INDEX(Office_Log!$ED$2:$ED$201,MATCH(later_events!C95,Office_Log!$A$2:$A$201,0))&amp;"",later_events!C95&amp;""),IFERROR(INDEX(Brand_Log!$DV$2:$DV$201,MATCH(later_events!C95,Brand_Log!$A$2:$A$201,0))&amp;"",later_events!C95&amp;"")))</f>
        <v/>
      </c>
      <c r="E1645" s="23" t="str">
        <f aca="false">IF(B1645="","",IF(later_events!D95="","",later_events!D95&amp;""))</f>
        <v/>
      </c>
      <c r="F1645" s="23" t="str">
        <f aca="false">IF(B1645="","",later_events!E95&amp;"")</f>
        <v/>
      </c>
      <c r="G1645" s="23" t="str">
        <f aca="false">IF(B1645="","",IF(ISNUMBER(later_events!F95),later_events!F95,""))</f>
        <v/>
      </c>
      <c r="H1645" s="23" t="str">
        <f aca="false">IF(B1645="","",IF(later_events!G95="","",later_events!G95&amp;""))</f>
        <v/>
      </c>
      <c r="I1645" s="23" t="str">
        <f aca="false">IF(B1645="","","")</f>
        <v/>
      </c>
      <c r="J1645" s="23" t="str">
        <f aca="false">IF(B1645="","",IF(later_events!H95="","",later_events!H95&amp;""))</f>
        <v/>
      </c>
      <c r="K1645" s="32" t="s">
        <v>1362</v>
      </c>
    </row>
    <row r="1646" customFormat="false" ht="15" hidden="false" customHeight="false" outlineLevel="0" collapsed="false">
      <c r="A1646" s="23" t="str">
        <f aca="false">IF(B1646="","",B1646+(11*1000+95)/10000000)</f>
        <v/>
      </c>
      <c r="B1646" s="35" t="str">
        <f aca="false">IF(AND(ISNUMBER(later_events!A96),TRIM(later_events!C96)&lt;&gt;"",OR(later_events!E96="renewal_answer",later_events!E96="opt_out"),OR(LEFT(later_events!C96,6)&lt;&gt;"SAMPLE",Config!$B$19="Y")),later_events!A96,"")</f>
        <v/>
      </c>
      <c r="C1646" s="23" t="str">
        <f aca="false">IF(B1646="","",later_events!B96&amp;"")</f>
        <v/>
      </c>
      <c r="D1646" s="23" t="str">
        <f aca="false">IF(B1646="","",IF(later_events!B96="office",IFERROR(INDEX(Office_Log!$ED$2:$ED$201,MATCH(later_events!C96,Office_Log!$A$2:$A$201,0))&amp;"",later_events!C96&amp;""),IFERROR(INDEX(Brand_Log!$DV$2:$DV$201,MATCH(later_events!C96,Brand_Log!$A$2:$A$201,0))&amp;"",later_events!C96&amp;"")))</f>
        <v/>
      </c>
      <c r="E1646" s="23" t="str">
        <f aca="false">IF(B1646="","",IF(later_events!D96="","",later_events!D96&amp;""))</f>
        <v/>
      </c>
      <c r="F1646" s="23" t="str">
        <f aca="false">IF(B1646="","",later_events!E96&amp;"")</f>
        <v/>
      </c>
      <c r="G1646" s="23" t="str">
        <f aca="false">IF(B1646="","",IF(ISNUMBER(later_events!F96),later_events!F96,""))</f>
        <v/>
      </c>
      <c r="H1646" s="23" t="str">
        <f aca="false">IF(B1646="","",IF(later_events!G96="","",later_events!G96&amp;""))</f>
        <v/>
      </c>
      <c r="I1646" s="23" t="str">
        <f aca="false">IF(B1646="","","")</f>
        <v/>
      </c>
      <c r="J1646" s="23" t="str">
        <f aca="false">IF(B1646="","",IF(later_events!H96="","",later_events!H96&amp;""))</f>
        <v/>
      </c>
      <c r="K1646" s="32" t="s">
        <v>1362</v>
      </c>
    </row>
    <row r="1647" customFormat="false" ht="15" hidden="false" customHeight="false" outlineLevel="0" collapsed="false">
      <c r="A1647" s="23" t="str">
        <f aca="false">IF(B1647="","",B1647+(11*1000+96)/10000000)</f>
        <v/>
      </c>
      <c r="B1647" s="35" t="str">
        <f aca="false">IF(AND(ISNUMBER(later_events!A97),TRIM(later_events!C97)&lt;&gt;"",OR(later_events!E97="renewal_answer",later_events!E97="opt_out"),OR(LEFT(later_events!C97,6)&lt;&gt;"SAMPLE",Config!$B$19="Y")),later_events!A97,"")</f>
        <v/>
      </c>
      <c r="C1647" s="23" t="str">
        <f aca="false">IF(B1647="","",later_events!B97&amp;"")</f>
        <v/>
      </c>
      <c r="D1647" s="23" t="str">
        <f aca="false">IF(B1647="","",IF(later_events!B97="office",IFERROR(INDEX(Office_Log!$ED$2:$ED$201,MATCH(later_events!C97,Office_Log!$A$2:$A$201,0))&amp;"",later_events!C97&amp;""),IFERROR(INDEX(Brand_Log!$DV$2:$DV$201,MATCH(later_events!C97,Brand_Log!$A$2:$A$201,0))&amp;"",later_events!C97&amp;"")))</f>
        <v/>
      </c>
      <c r="E1647" s="23" t="str">
        <f aca="false">IF(B1647="","",IF(later_events!D97="","",later_events!D97&amp;""))</f>
        <v/>
      </c>
      <c r="F1647" s="23" t="str">
        <f aca="false">IF(B1647="","",later_events!E97&amp;"")</f>
        <v/>
      </c>
      <c r="G1647" s="23" t="str">
        <f aca="false">IF(B1647="","",IF(ISNUMBER(later_events!F97),later_events!F97,""))</f>
        <v/>
      </c>
      <c r="H1647" s="23" t="str">
        <f aca="false">IF(B1647="","",IF(later_events!G97="","",later_events!G97&amp;""))</f>
        <v/>
      </c>
      <c r="I1647" s="23" t="str">
        <f aca="false">IF(B1647="","","")</f>
        <v/>
      </c>
      <c r="J1647" s="23" t="str">
        <f aca="false">IF(B1647="","",IF(later_events!H97="","",later_events!H97&amp;""))</f>
        <v/>
      </c>
      <c r="K1647" s="32" t="s">
        <v>1362</v>
      </c>
    </row>
    <row r="1648" customFormat="false" ht="15" hidden="false" customHeight="false" outlineLevel="0" collapsed="false">
      <c r="A1648" s="23" t="str">
        <f aca="false">IF(B1648="","",B1648+(11*1000+97)/10000000)</f>
        <v/>
      </c>
      <c r="B1648" s="35" t="str">
        <f aca="false">IF(AND(ISNUMBER(later_events!A98),TRIM(later_events!C98)&lt;&gt;"",OR(later_events!E98="renewal_answer",later_events!E98="opt_out"),OR(LEFT(later_events!C98,6)&lt;&gt;"SAMPLE",Config!$B$19="Y")),later_events!A98,"")</f>
        <v/>
      </c>
      <c r="C1648" s="23" t="str">
        <f aca="false">IF(B1648="","",later_events!B98&amp;"")</f>
        <v/>
      </c>
      <c r="D1648" s="23" t="str">
        <f aca="false">IF(B1648="","",IF(later_events!B98="office",IFERROR(INDEX(Office_Log!$ED$2:$ED$201,MATCH(later_events!C98,Office_Log!$A$2:$A$201,0))&amp;"",later_events!C98&amp;""),IFERROR(INDEX(Brand_Log!$DV$2:$DV$201,MATCH(later_events!C98,Brand_Log!$A$2:$A$201,0))&amp;"",later_events!C98&amp;"")))</f>
        <v/>
      </c>
      <c r="E1648" s="23" t="str">
        <f aca="false">IF(B1648="","",IF(later_events!D98="","",later_events!D98&amp;""))</f>
        <v/>
      </c>
      <c r="F1648" s="23" t="str">
        <f aca="false">IF(B1648="","",later_events!E98&amp;"")</f>
        <v/>
      </c>
      <c r="G1648" s="23" t="str">
        <f aca="false">IF(B1648="","",IF(ISNUMBER(later_events!F98),later_events!F98,""))</f>
        <v/>
      </c>
      <c r="H1648" s="23" t="str">
        <f aca="false">IF(B1648="","",IF(later_events!G98="","",later_events!G98&amp;""))</f>
        <v/>
      </c>
      <c r="I1648" s="23" t="str">
        <f aca="false">IF(B1648="","","")</f>
        <v/>
      </c>
      <c r="J1648" s="23" t="str">
        <f aca="false">IF(B1648="","",IF(later_events!H98="","",later_events!H98&amp;""))</f>
        <v/>
      </c>
      <c r="K1648" s="32" t="s">
        <v>1362</v>
      </c>
    </row>
    <row r="1649" customFormat="false" ht="15" hidden="false" customHeight="false" outlineLevel="0" collapsed="false">
      <c r="A1649" s="23" t="str">
        <f aca="false">IF(B1649="","",B1649+(11*1000+98)/10000000)</f>
        <v/>
      </c>
      <c r="B1649" s="35" t="str">
        <f aca="false">IF(AND(ISNUMBER(later_events!A99),TRIM(later_events!C99)&lt;&gt;"",OR(later_events!E99="renewal_answer",later_events!E99="opt_out"),OR(LEFT(later_events!C99,6)&lt;&gt;"SAMPLE",Config!$B$19="Y")),later_events!A99,"")</f>
        <v/>
      </c>
      <c r="C1649" s="23" t="str">
        <f aca="false">IF(B1649="","",later_events!B99&amp;"")</f>
        <v/>
      </c>
      <c r="D1649" s="23" t="str">
        <f aca="false">IF(B1649="","",IF(later_events!B99="office",IFERROR(INDEX(Office_Log!$ED$2:$ED$201,MATCH(later_events!C99,Office_Log!$A$2:$A$201,0))&amp;"",later_events!C99&amp;""),IFERROR(INDEX(Brand_Log!$DV$2:$DV$201,MATCH(later_events!C99,Brand_Log!$A$2:$A$201,0))&amp;"",later_events!C99&amp;"")))</f>
        <v/>
      </c>
      <c r="E1649" s="23" t="str">
        <f aca="false">IF(B1649="","",IF(later_events!D99="","",later_events!D99&amp;""))</f>
        <v/>
      </c>
      <c r="F1649" s="23" t="str">
        <f aca="false">IF(B1649="","",later_events!E99&amp;"")</f>
        <v/>
      </c>
      <c r="G1649" s="23" t="str">
        <f aca="false">IF(B1649="","",IF(ISNUMBER(later_events!F99),later_events!F99,""))</f>
        <v/>
      </c>
      <c r="H1649" s="23" t="str">
        <f aca="false">IF(B1649="","",IF(later_events!G99="","",later_events!G99&amp;""))</f>
        <v/>
      </c>
      <c r="I1649" s="23" t="str">
        <f aca="false">IF(B1649="","","")</f>
        <v/>
      </c>
      <c r="J1649" s="23" t="str">
        <f aca="false">IF(B1649="","",IF(later_events!H99="","",later_events!H99&amp;""))</f>
        <v/>
      </c>
      <c r="K1649" s="32" t="s">
        <v>1362</v>
      </c>
    </row>
    <row r="1650" customFormat="false" ht="15" hidden="false" customHeight="false" outlineLevel="0" collapsed="false">
      <c r="A1650" s="23" t="str">
        <f aca="false">IF(B1650="","",B1650+(11*1000+99)/10000000)</f>
        <v/>
      </c>
      <c r="B1650" s="35" t="str">
        <f aca="false">IF(AND(ISNUMBER(later_events!A100),TRIM(later_events!C100)&lt;&gt;"",OR(later_events!E100="renewal_answer",later_events!E100="opt_out"),OR(LEFT(later_events!C100,6)&lt;&gt;"SAMPLE",Config!$B$19="Y")),later_events!A100,"")</f>
        <v/>
      </c>
      <c r="C1650" s="23" t="str">
        <f aca="false">IF(B1650="","",later_events!B100&amp;"")</f>
        <v/>
      </c>
      <c r="D1650" s="23" t="str">
        <f aca="false">IF(B1650="","",IF(later_events!B100="office",IFERROR(INDEX(Office_Log!$ED$2:$ED$201,MATCH(later_events!C100,Office_Log!$A$2:$A$201,0))&amp;"",later_events!C100&amp;""),IFERROR(INDEX(Brand_Log!$DV$2:$DV$201,MATCH(later_events!C100,Brand_Log!$A$2:$A$201,0))&amp;"",later_events!C100&amp;"")))</f>
        <v/>
      </c>
      <c r="E1650" s="23" t="str">
        <f aca="false">IF(B1650="","",IF(later_events!D100="","",later_events!D100&amp;""))</f>
        <v/>
      </c>
      <c r="F1650" s="23" t="str">
        <f aca="false">IF(B1650="","",later_events!E100&amp;"")</f>
        <v/>
      </c>
      <c r="G1650" s="23" t="str">
        <f aca="false">IF(B1650="","",IF(ISNUMBER(later_events!F100),later_events!F100,""))</f>
        <v/>
      </c>
      <c r="H1650" s="23" t="str">
        <f aca="false">IF(B1650="","",IF(later_events!G100="","",later_events!G100&amp;""))</f>
        <v/>
      </c>
      <c r="I1650" s="23" t="str">
        <f aca="false">IF(B1650="","","")</f>
        <v/>
      </c>
      <c r="J1650" s="23" t="str">
        <f aca="false">IF(B1650="","",IF(later_events!H100="","",later_events!H100&amp;""))</f>
        <v/>
      </c>
      <c r="K1650" s="32" t="s">
        <v>1362</v>
      </c>
    </row>
    <row r="1651" customFormat="false" ht="15" hidden="false" customHeight="false" outlineLevel="0" collapsed="false">
      <c r="A1651" s="23" t="str">
        <f aca="false">IF(B1651="","",B1651+(11*1000+100)/10000000)</f>
        <v/>
      </c>
      <c r="B1651" s="35" t="str">
        <f aca="false">IF(AND(ISNUMBER(later_events!A101),TRIM(later_events!C101)&lt;&gt;"",OR(later_events!E101="renewal_answer",later_events!E101="opt_out"),OR(LEFT(later_events!C101,6)&lt;&gt;"SAMPLE",Config!$B$19="Y")),later_events!A101,"")</f>
        <v/>
      </c>
      <c r="C1651" s="23" t="str">
        <f aca="false">IF(B1651="","",later_events!B101&amp;"")</f>
        <v/>
      </c>
      <c r="D1651" s="23" t="str">
        <f aca="false">IF(B1651="","",IF(later_events!B101="office",IFERROR(INDEX(Office_Log!$ED$2:$ED$201,MATCH(later_events!C101,Office_Log!$A$2:$A$201,0))&amp;"",later_events!C101&amp;""),IFERROR(INDEX(Brand_Log!$DV$2:$DV$201,MATCH(later_events!C101,Brand_Log!$A$2:$A$201,0))&amp;"",later_events!C101&amp;"")))</f>
        <v/>
      </c>
      <c r="E1651" s="23" t="str">
        <f aca="false">IF(B1651="","",IF(later_events!D101="","",later_events!D101&amp;""))</f>
        <v/>
      </c>
      <c r="F1651" s="23" t="str">
        <f aca="false">IF(B1651="","",later_events!E101&amp;"")</f>
        <v/>
      </c>
      <c r="G1651" s="23" t="str">
        <f aca="false">IF(B1651="","",IF(ISNUMBER(later_events!F101),later_events!F101,""))</f>
        <v/>
      </c>
      <c r="H1651" s="23" t="str">
        <f aca="false">IF(B1651="","",IF(later_events!G101="","",later_events!G101&amp;""))</f>
        <v/>
      </c>
      <c r="I1651" s="23" t="str">
        <f aca="false">IF(B1651="","","")</f>
        <v/>
      </c>
      <c r="J1651" s="23" t="str">
        <f aca="false">IF(B1651="","",IF(later_events!H101="","",later_events!H101&amp;""))</f>
        <v/>
      </c>
      <c r="K1651" s="32" t="s">
        <v>1362</v>
      </c>
    </row>
    <row r="1652" customFormat="false" ht="15" hidden="false" customHeight="false" outlineLevel="0" collapsed="false">
      <c r="A1652" s="42" t="n">
        <f aca="false">IF(B1652="","",B1652+(12*1000+1)/10000000)</f>
        <v>46321.0012001</v>
      </c>
      <c r="B1652" s="35" t="n">
        <f aca="false">IF(AND(IFERROR(N(INDEX(Clay_Offices!$A$2:$FZ$601,1,Sync!$C$11)),0)&gt;0,IFERROR(INDEX(Clay_Offices!$A$2:$FZ$601,1,Sync!$C$5)&amp;"","")&lt;&gt;"",OR(LEFT(IFERROR(INDEX(Clay_Offices!$A$2:$FZ$601,1,Sync!$C$5)&amp;"",""),6)&lt;&gt;"SAMPLE",Config!$B$19="Y")),IFERROR(N(INDEX(Clay_Offices!$A$2:$FZ$601,1,Sync!$C$11)),0),"")</f>
        <v>46321</v>
      </c>
      <c r="C1652" s="23" t="str">
        <f aca="false">IF(B1652="","","office")</f>
        <v>office</v>
      </c>
      <c r="D1652" s="23" t="str">
        <f aca="false">IF(B1652="","",IFERROR(INDEX(Office_Log!$ED$2:$ED$201,MATCH(IFERROR(INDEX(Clay_Offices!$A$2:$FZ$601,1,Sync!$C$5)&amp;"",""),Office_Log!$A$2:$A$201,0))&amp;"",IFERROR(INDEX(Clay_Offices!$A$2:$FZ$601,1,Sync!$C$5)&amp;"","")&amp;""))</f>
        <v>SAMPLE-O-001</v>
      </c>
      <c r="E1652" s="23" t="str">
        <f aca="false">IF(B1652="","",IFERROR(INDEX(Clay_Offices!$A$2:$FZ$601,1,Sync!$C$6)&amp;"",""))</f>
        <v>SAMPLE Office 01</v>
      </c>
      <c r="F1652" s="23" t="str">
        <f aca="false">IF(B1652="","","outreach_sent")</f>
        <v>outreach_sent</v>
      </c>
      <c r="G1652" s="23" t="str">
        <f aca="false">IF(B1652="","","")</f>
        <v/>
      </c>
      <c r="H1652" s="23" t="str">
        <f aca="false">IF(B1652="","","")</f>
        <v/>
      </c>
      <c r="I1652" s="23" t="str">
        <f aca="false">IF(B1652="","","")</f>
        <v/>
      </c>
      <c r="J1652" s="23" t="str">
        <f aca="false">IF(B1652="","","touch_1; "&amp;IFERROR(INDEX(Clay_Offices!$A$2:$FZ$601,1,Sync!$C$10)&amp;"","")&amp;"; "&amp;IFERROR(INDEX(Clay_Offices!$A$2:$FZ$601,1,Sync!$C$9)&amp;"",""))</f>
        <v>touch_1; office-discovery-A; warm-intro</v>
      </c>
      <c r="K1652" s="32" t="s">
        <v>1363</v>
      </c>
    </row>
    <row r="1653" customFormat="false" ht="15" hidden="false" customHeight="false" outlineLevel="0" collapsed="false">
      <c r="A1653" s="42" t="n">
        <f aca="false">IF(B1653="","",B1653+(12*1000+2)/10000000)</f>
        <v>46321.0012002</v>
      </c>
      <c r="B1653" s="35" t="n">
        <f aca="false">IF(AND(IFERROR(N(INDEX(Clay_Offices!$A$2:$FZ$601,2,Sync!$C$11)),0)&gt;0,IFERROR(INDEX(Clay_Offices!$A$2:$FZ$601,2,Sync!$C$5)&amp;"","")&lt;&gt;"",OR(LEFT(IFERROR(INDEX(Clay_Offices!$A$2:$FZ$601,2,Sync!$C$5)&amp;"",""),6)&lt;&gt;"SAMPLE",Config!$B$19="Y")),IFERROR(N(INDEX(Clay_Offices!$A$2:$FZ$601,2,Sync!$C$11)),0),"")</f>
        <v>46321</v>
      </c>
      <c r="C1653" s="23" t="str">
        <f aca="false">IF(B1653="","","office")</f>
        <v>office</v>
      </c>
      <c r="D1653" s="23" t="str">
        <f aca="false">IF(B1653="","",IFERROR(INDEX(Office_Log!$ED$2:$ED$201,MATCH(IFERROR(INDEX(Clay_Offices!$A$2:$FZ$601,2,Sync!$C$5)&amp;"",""),Office_Log!$A$2:$A$201,0))&amp;"",IFERROR(INDEX(Clay_Offices!$A$2:$FZ$601,2,Sync!$C$5)&amp;"","")&amp;""))</f>
        <v>SAMPLE-O-002</v>
      </c>
      <c r="E1653" s="23" t="str">
        <f aca="false">IF(B1653="","",IFERROR(INDEX(Clay_Offices!$A$2:$FZ$601,2,Sync!$C$6)&amp;"",""))</f>
        <v>SAMPLE Office 02</v>
      </c>
      <c r="F1653" s="23" t="str">
        <f aca="false">IF(B1653="","","outreach_sent")</f>
        <v>outreach_sent</v>
      </c>
      <c r="G1653" s="23" t="str">
        <f aca="false">IF(B1653="","","")</f>
        <v/>
      </c>
      <c r="H1653" s="23" t="str">
        <f aca="false">IF(B1653="","","")</f>
        <v/>
      </c>
      <c r="I1653" s="23" t="str">
        <f aca="false">IF(B1653="","","")</f>
        <v/>
      </c>
      <c r="J1653" s="23" t="str">
        <f aca="false">IF(B1653="","","touch_1; "&amp;IFERROR(INDEX(Clay_Offices!$A$2:$FZ$601,2,Sync!$C$10)&amp;"","")&amp;"; "&amp;IFERROR(INDEX(Clay_Offices!$A$2:$FZ$601,2,Sync!$C$9)&amp;"",""))</f>
        <v>touch_1; office-discovery-B; linkedin</v>
      </c>
      <c r="K1653" s="32" t="s">
        <v>1363</v>
      </c>
    </row>
    <row r="1654" customFormat="false" ht="15" hidden="false" customHeight="false" outlineLevel="0" collapsed="false">
      <c r="A1654" s="42" t="n">
        <f aca="false">IF(B1654="","",B1654+(12*1000+3)/10000000)</f>
        <v>46321.0012003</v>
      </c>
      <c r="B1654" s="35" t="n">
        <f aca="false">IF(AND(IFERROR(N(INDEX(Clay_Offices!$A$2:$FZ$601,3,Sync!$C$11)),0)&gt;0,IFERROR(INDEX(Clay_Offices!$A$2:$FZ$601,3,Sync!$C$5)&amp;"","")&lt;&gt;"",OR(LEFT(IFERROR(INDEX(Clay_Offices!$A$2:$FZ$601,3,Sync!$C$5)&amp;"",""),6)&lt;&gt;"SAMPLE",Config!$B$19="Y")),IFERROR(N(INDEX(Clay_Offices!$A$2:$FZ$601,3,Sync!$C$11)),0),"")</f>
        <v>46321</v>
      </c>
      <c r="C1654" s="23" t="str">
        <f aca="false">IF(B1654="","","office")</f>
        <v>office</v>
      </c>
      <c r="D1654" s="23" t="str">
        <f aca="false">IF(B1654="","",IFERROR(INDEX(Office_Log!$ED$2:$ED$201,MATCH(IFERROR(INDEX(Clay_Offices!$A$2:$FZ$601,3,Sync!$C$5)&amp;"",""),Office_Log!$A$2:$A$201,0))&amp;"",IFERROR(INDEX(Clay_Offices!$A$2:$FZ$601,3,Sync!$C$5)&amp;"","")&amp;""))</f>
        <v>SAMPLE-O-003</v>
      </c>
      <c r="E1654" s="23" t="str">
        <f aca="false">IF(B1654="","",IFERROR(INDEX(Clay_Offices!$A$2:$FZ$601,3,Sync!$C$6)&amp;"",""))</f>
        <v>SAMPLE Office 03</v>
      </c>
      <c r="F1654" s="23" t="str">
        <f aca="false">IF(B1654="","","outreach_sent")</f>
        <v>outreach_sent</v>
      </c>
      <c r="G1654" s="23" t="str">
        <f aca="false">IF(B1654="","","")</f>
        <v/>
      </c>
      <c r="H1654" s="23" t="str">
        <f aca="false">IF(B1654="","","")</f>
        <v/>
      </c>
      <c r="I1654" s="23" t="str">
        <f aca="false">IF(B1654="","","")</f>
        <v/>
      </c>
      <c r="J1654" s="23" t="str">
        <f aca="false">IF(B1654="","","touch_1; "&amp;IFERROR(INDEX(Clay_Offices!$A$2:$FZ$601,3,Sync!$C$10)&amp;"","")&amp;"; "&amp;IFERROR(INDEX(Clay_Offices!$A$2:$FZ$601,3,Sync!$C$9)&amp;"",""))</f>
        <v>touch_1; office-discovery-A; walk-in</v>
      </c>
      <c r="K1654" s="32" t="s">
        <v>1363</v>
      </c>
    </row>
    <row r="1655" customFormat="false" ht="15" hidden="false" customHeight="false" outlineLevel="0" collapsed="false">
      <c r="A1655" s="42" t="n">
        <f aca="false">IF(B1655="","",B1655+(12*1000+4)/10000000)</f>
        <v>46322.0012004</v>
      </c>
      <c r="B1655" s="35" t="n">
        <f aca="false">IF(AND(IFERROR(N(INDEX(Clay_Offices!$A$2:$FZ$601,4,Sync!$C$11)),0)&gt;0,IFERROR(INDEX(Clay_Offices!$A$2:$FZ$601,4,Sync!$C$5)&amp;"","")&lt;&gt;"",OR(LEFT(IFERROR(INDEX(Clay_Offices!$A$2:$FZ$601,4,Sync!$C$5)&amp;"",""),6)&lt;&gt;"SAMPLE",Config!$B$19="Y")),IFERROR(N(INDEX(Clay_Offices!$A$2:$FZ$601,4,Sync!$C$11)),0),"")</f>
        <v>46322</v>
      </c>
      <c r="C1655" s="23" t="str">
        <f aca="false">IF(B1655="","","office")</f>
        <v>office</v>
      </c>
      <c r="D1655" s="23" t="str">
        <f aca="false">IF(B1655="","",IFERROR(INDEX(Office_Log!$ED$2:$ED$201,MATCH(IFERROR(INDEX(Clay_Offices!$A$2:$FZ$601,4,Sync!$C$5)&amp;"",""),Office_Log!$A$2:$A$201,0))&amp;"",IFERROR(INDEX(Clay_Offices!$A$2:$FZ$601,4,Sync!$C$5)&amp;"","")&amp;""))</f>
        <v>SAMPLE-O-004</v>
      </c>
      <c r="E1655" s="23" t="str">
        <f aca="false">IF(B1655="","",IFERROR(INDEX(Clay_Offices!$A$2:$FZ$601,4,Sync!$C$6)&amp;"",""))</f>
        <v>SAMPLE Office 04</v>
      </c>
      <c r="F1655" s="23" t="str">
        <f aca="false">IF(B1655="","","outreach_sent")</f>
        <v>outreach_sent</v>
      </c>
      <c r="G1655" s="23" t="str">
        <f aca="false">IF(B1655="","","")</f>
        <v/>
      </c>
      <c r="H1655" s="23" t="str">
        <f aca="false">IF(B1655="","","")</f>
        <v/>
      </c>
      <c r="I1655" s="23" t="str">
        <f aca="false">IF(B1655="","","")</f>
        <v/>
      </c>
      <c r="J1655" s="23" t="str">
        <f aca="false">IF(B1655="","","touch_1; "&amp;IFERROR(INDEX(Clay_Offices!$A$2:$FZ$601,4,Sync!$C$10)&amp;"","")&amp;"; "&amp;IFERROR(INDEX(Clay_Offices!$A$2:$FZ$601,4,Sync!$C$9)&amp;"",""))</f>
        <v>touch_1; office-discovery-B; linkedin</v>
      </c>
      <c r="K1655" s="32" t="s">
        <v>1363</v>
      </c>
    </row>
    <row r="1656" customFormat="false" ht="15" hidden="false" customHeight="false" outlineLevel="0" collapsed="false">
      <c r="A1656" s="42" t="n">
        <f aca="false">IF(B1656="","",B1656+(12*1000+5)/10000000)</f>
        <v>46323.0012005</v>
      </c>
      <c r="B1656" s="35" t="n">
        <f aca="false">IF(AND(IFERROR(N(INDEX(Clay_Offices!$A$2:$FZ$601,5,Sync!$C$11)),0)&gt;0,IFERROR(INDEX(Clay_Offices!$A$2:$FZ$601,5,Sync!$C$5)&amp;"","")&lt;&gt;"",OR(LEFT(IFERROR(INDEX(Clay_Offices!$A$2:$FZ$601,5,Sync!$C$5)&amp;"",""),6)&lt;&gt;"SAMPLE",Config!$B$19="Y")),IFERROR(N(INDEX(Clay_Offices!$A$2:$FZ$601,5,Sync!$C$11)),0),"")</f>
        <v>46323</v>
      </c>
      <c r="C1656" s="23" t="str">
        <f aca="false">IF(B1656="","","office")</f>
        <v>office</v>
      </c>
      <c r="D1656" s="23" t="str">
        <f aca="false">IF(B1656="","",IFERROR(INDEX(Office_Log!$ED$2:$ED$201,MATCH(IFERROR(INDEX(Clay_Offices!$A$2:$FZ$601,5,Sync!$C$5)&amp;"",""),Office_Log!$A$2:$A$201,0))&amp;"",IFERROR(INDEX(Clay_Offices!$A$2:$FZ$601,5,Sync!$C$5)&amp;"","")&amp;""))</f>
        <v>SAMPLE-O-005</v>
      </c>
      <c r="E1656" s="23" t="str">
        <f aca="false">IF(B1656="","",IFERROR(INDEX(Clay_Offices!$A$2:$FZ$601,5,Sync!$C$6)&amp;"",""))</f>
        <v>SAMPLE Office 05</v>
      </c>
      <c r="F1656" s="23" t="str">
        <f aca="false">IF(B1656="","","outreach_sent")</f>
        <v>outreach_sent</v>
      </c>
      <c r="G1656" s="23" t="str">
        <f aca="false">IF(B1656="","","")</f>
        <v/>
      </c>
      <c r="H1656" s="23" t="str">
        <f aca="false">IF(B1656="","","")</f>
        <v/>
      </c>
      <c r="I1656" s="23" t="str">
        <f aca="false">IF(B1656="","","")</f>
        <v/>
      </c>
      <c r="J1656" s="23" t="str">
        <f aca="false">IF(B1656="","","touch_1; "&amp;IFERROR(INDEX(Clay_Offices!$A$2:$FZ$601,5,Sync!$C$10)&amp;"","")&amp;"; "&amp;IFERROR(INDEX(Clay_Offices!$A$2:$FZ$601,5,Sync!$C$9)&amp;"",""))</f>
        <v>touch_1; office-discovery-A; linkedin</v>
      </c>
      <c r="K1656" s="32" t="s">
        <v>1363</v>
      </c>
    </row>
    <row r="1657" customFormat="false" ht="15" hidden="false" customHeight="false" outlineLevel="0" collapsed="false">
      <c r="A1657" s="42" t="n">
        <f aca="false">IF(B1657="","",B1657+(12*1000+6)/10000000)</f>
        <v>46324.0012006</v>
      </c>
      <c r="B1657" s="35" t="n">
        <f aca="false">IF(AND(IFERROR(N(INDEX(Clay_Offices!$A$2:$FZ$601,6,Sync!$C$11)),0)&gt;0,IFERROR(INDEX(Clay_Offices!$A$2:$FZ$601,6,Sync!$C$5)&amp;"","")&lt;&gt;"",OR(LEFT(IFERROR(INDEX(Clay_Offices!$A$2:$FZ$601,6,Sync!$C$5)&amp;"",""),6)&lt;&gt;"SAMPLE",Config!$B$19="Y")),IFERROR(N(INDEX(Clay_Offices!$A$2:$FZ$601,6,Sync!$C$11)),0),"")</f>
        <v>46324</v>
      </c>
      <c r="C1657" s="23" t="str">
        <f aca="false">IF(B1657="","","office")</f>
        <v>office</v>
      </c>
      <c r="D1657" s="23" t="str">
        <f aca="false">IF(B1657="","",IFERROR(INDEX(Office_Log!$ED$2:$ED$201,MATCH(IFERROR(INDEX(Clay_Offices!$A$2:$FZ$601,6,Sync!$C$5)&amp;"",""),Office_Log!$A$2:$A$201,0))&amp;"",IFERROR(INDEX(Clay_Offices!$A$2:$FZ$601,6,Sync!$C$5)&amp;"","")&amp;""))</f>
        <v>SAMPLE-O-006</v>
      </c>
      <c r="E1657" s="23" t="str">
        <f aca="false">IF(B1657="","",IFERROR(INDEX(Clay_Offices!$A$2:$FZ$601,6,Sync!$C$6)&amp;"",""))</f>
        <v>SAMPLE Office 06</v>
      </c>
      <c r="F1657" s="23" t="str">
        <f aca="false">IF(B1657="","","outreach_sent")</f>
        <v>outreach_sent</v>
      </c>
      <c r="G1657" s="23" t="str">
        <f aca="false">IF(B1657="","","")</f>
        <v/>
      </c>
      <c r="H1657" s="23" t="str">
        <f aca="false">IF(B1657="","","")</f>
        <v/>
      </c>
      <c r="I1657" s="23" t="str">
        <f aca="false">IF(B1657="","","")</f>
        <v/>
      </c>
      <c r="J1657" s="23" t="str">
        <f aca="false">IF(B1657="","","touch_1; "&amp;IFERROR(INDEX(Clay_Offices!$A$2:$FZ$601,6,Sync!$C$10)&amp;"","")&amp;"; "&amp;IFERROR(INDEX(Clay_Offices!$A$2:$FZ$601,6,Sync!$C$9)&amp;"",""))</f>
        <v>touch_1; office-discovery-B; walk-in</v>
      </c>
      <c r="K1657" s="32" t="s">
        <v>1363</v>
      </c>
    </row>
    <row r="1658" customFormat="false" ht="15" hidden="false" customHeight="false" outlineLevel="0" collapsed="false">
      <c r="A1658" s="42" t="n">
        <f aca="false">IF(B1658="","",B1658+(12*1000+7)/10000000)</f>
        <v>46325.0012007</v>
      </c>
      <c r="B1658" s="35" t="n">
        <f aca="false">IF(AND(IFERROR(N(INDEX(Clay_Offices!$A$2:$FZ$601,7,Sync!$C$11)),0)&gt;0,IFERROR(INDEX(Clay_Offices!$A$2:$FZ$601,7,Sync!$C$5)&amp;"","")&lt;&gt;"",OR(LEFT(IFERROR(INDEX(Clay_Offices!$A$2:$FZ$601,7,Sync!$C$5)&amp;"",""),6)&lt;&gt;"SAMPLE",Config!$B$19="Y")),IFERROR(N(INDEX(Clay_Offices!$A$2:$FZ$601,7,Sync!$C$11)),0),"")</f>
        <v>46325</v>
      </c>
      <c r="C1658" s="23" t="str">
        <f aca="false">IF(B1658="","","office")</f>
        <v>office</v>
      </c>
      <c r="D1658" s="23" t="str">
        <f aca="false">IF(B1658="","",IFERROR(INDEX(Office_Log!$ED$2:$ED$201,MATCH(IFERROR(INDEX(Clay_Offices!$A$2:$FZ$601,7,Sync!$C$5)&amp;"",""),Office_Log!$A$2:$A$201,0))&amp;"",IFERROR(INDEX(Clay_Offices!$A$2:$FZ$601,7,Sync!$C$5)&amp;"","")&amp;""))</f>
        <v>SAMPLE-O-007</v>
      </c>
      <c r="E1658" s="23" t="str">
        <f aca="false">IF(B1658="","",IFERROR(INDEX(Clay_Offices!$A$2:$FZ$601,7,Sync!$C$6)&amp;"",""))</f>
        <v>SAMPLE Office 07</v>
      </c>
      <c r="F1658" s="23" t="str">
        <f aca="false">IF(B1658="","","outreach_sent")</f>
        <v>outreach_sent</v>
      </c>
      <c r="G1658" s="23" t="str">
        <f aca="false">IF(B1658="","","")</f>
        <v/>
      </c>
      <c r="H1658" s="23" t="str">
        <f aca="false">IF(B1658="","","")</f>
        <v/>
      </c>
      <c r="I1658" s="23" t="str">
        <f aca="false">IF(B1658="","","")</f>
        <v/>
      </c>
      <c r="J1658" s="23" t="str">
        <f aca="false">IF(B1658="","","touch_1; "&amp;IFERROR(INDEX(Clay_Offices!$A$2:$FZ$601,7,Sync!$C$10)&amp;"","")&amp;"; "&amp;IFERROR(INDEX(Clay_Offices!$A$2:$FZ$601,7,Sync!$C$9)&amp;"",""))</f>
        <v>touch_1; office-discovery-A; linkedin</v>
      </c>
      <c r="K1658" s="32" t="s">
        <v>1363</v>
      </c>
    </row>
    <row r="1659" customFormat="false" ht="15" hidden="false" customHeight="false" outlineLevel="0" collapsed="false">
      <c r="A1659" s="42" t="n">
        <f aca="false">IF(B1659="","",B1659+(12*1000+8)/10000000)</f>
        <v>46329.0012008</v>
      </c>
      <c r="B1659" s="35" t="n">
        <f aca="false">IF(AND(IFERROR(N(INDEX(Clay_Offices!$A$2:$FZ$601,8,Sync!$C$11)),0)&gt;0,IFERROR(INDEX(Clay_Offices!$A$2:$FZ$601,8,Sync!$C$5)&amp;"","")&lt;&gt;"",OR(LEFT(IFERROR(INDEX(Clay_Offices!$A$2:$FZ$601,8,Sync!$C$5)&amp;"",""),6)&lt;&gt;"SAMPLE",Config!$B$19="Y")),IFERROR(N(INDEX(Clay_Offices!$A$2:$FZ$601,8,Sync!$C$11)),0),"")</f>
        <v>46329</v>
      </c>
      <c r="C1659" s="23" t="str">
        <f aca="false">IF(B1659="","","office")</f>
        <v>office</v>
      </c>
      <c r="D1659" s="23" t="str">
        <f aca="false">IF(B1659="","",IFERROR(INDEX(Office_Log!$ED$2:$ED$201,MATCH(IFERROR(INDEX(Clay_Offices!$A$2:$FZ$601,8,Sync!$C$5)&amp;"",""),Office_Log!$A$2:$A$201,0))&amp;"",IFERROR(INDEX(Clay_Offices!$A$2:$FZ$601,8,Sync!$C$5)&amp;"","")&amp;""))</f>
        <v>SAMPLE-O-008</v>
      </c>
      <c r="E1659" s="23" t="str">
        <f aca="false">IF(B1659="","",IFERROR(INDEX(Clay_Offices!$A$2:$FZ$601,8,Sync!$C$6)&amp;"",""))</f>
        <v>SAMPLE Office 08</v>
      </c>
      <c r="F1659" s="23" t="str">
        <f aca="false">IF(B1659="","","outreach_sent")</f>
        <v>outreach_sent</v>
      </c>
      <c r="G1659" s="23" t="str">
        <f aca="false">IF(B1659="","","")</f>
        <v/>
      </c>
      <c r="H1659" s="23" t="str">
        <f aca="false">IF(B1659="","","")</f>
        <v/>
      </c>
      <c r="I1659" s="23" t="str">
        <f aca="false">IF(B1659="","","")</f>
        <v/>
      </c>
      <c r="J1659" s="23" t="str">
        <f aca="false">IF(B1659="","","touch_1; "&amp;IFERROR(INDEX(Clay_Offices!$A$2:$FZ$601,8,Sync!$C$10)&amp;"","")&amp;"; "&amp;IFERROR(INDEX(Clay_Offices!$A$2:$FZ$601,8,Sync!$C$9)&amp;"",""))</f>
        <v>touch_1; office-discovery-B; warm-intro</v>
      </c>
      <c r="K1659" s="32" t="s">
        <v>1363</v>
      </c>
    </row>
    <row r="1660" customFormat="false" ht="15" hidden="false" customHeight="false" outlineLevel="0" collapsed="false">
      <c r="A1660" s="42" t="n">
        <f aca="false">IF(B1660="","",B1660+(12*1000+9)/10000000)</f>
        <v>46330.0012009</v>
      </c>
      <c r="B1660" s="35" t="n">
        <f aca="false">IF(AND(IFERROR(N(INDEX(Clay_Offices!$A$2:$FZ$601,9,Sync!$C$11)),0)&gt;0,IFERROR(INDEX(Clay_Offices!$A$2:$FZ$601,9,Sync!$C$5)&amp;"","")&lt;&gt;"",OR(LEFT(IFERROR(INDEX(Clay_Offices!$A$2:$FZ$601,9,Sync!$C$5)&amp;"",""),6)&lt;&gt;"SAMPLE",Config!$B$19="Y")),IFERROR(N(INDEX(Clay_Offices!$A$2:$FZ$601,9,Sync!$C$11)),0),"")</f>
        <v>46330</v>
      </c>
      <c r="C1660" s="23" t="str">
        <f aca="false">IF(B1660="","","office")</f>
        <v>office</v>
      </c>
      <c r="D1660" s="23" t="str">
        <f aca="false">IF(B1660="","",IFERROR(INDEX(Office_Log!$ED$2:$ED$201,MATCH(IFERROR(INDEX(Clay_Offices!$A$2:$FZ$601,9,Sync!$C$5)&amp;"",""),Office_Log!$A$2:$A$201,0))&amp;"",IFERROR(INDEX(Clay_Offices!$A$2:$FZ$601,9,Sync!$C$5)&amp;"","")&amp;""))</f>
        <v>SAMPLE-O-009</v>
      </c>
      <c r="E1660" s="23" t="str">
        <f aca="false">IF(B1660="","",IFERROR(INDEX(Clay_Offices!$A$2:$FZ$601,9,Sync!$C$6)&amp;"",""))</f>
        <v>SAMPLE Office 09</v>
      </c>
      <c r="F1660" s="23" t="str">
        <f aca="false">IF(B1660="","","outreach_sent")</f>
        <v>outreach_sent</v>
      </c>
      <c r="G1660" s="23" t="str">
        <f aca="false">IF(B1660="","","")</f>
        <v/>
      </c>
      <c r="H1660" s="23" t="str">
        <f aca="false">IF(B1660="","","")</f>
        <v/>
      </c>
      <c r="I1660" s="23" t="str">
        <f aca="false">IF(B1660="","","")</f>
        <v/>
      </c>
      <c r="J1660" s="23" t="str">
        <f aca="false">IF(B1660="","","touch_1; "&amp;IFERROR(INDEX(Clay_Offices!$A$2:$FZ$601,9,Sync!$C$10)&amp;"","")&amp;"; "&amp;IFERROR(INDEX(Clay_Offices!$A$2:$FZ$601,9,Sync!$C$9)&amp;"",""))</f>
        <v>touch_1; office-discovery-A; linkedin</v>
      </c>
      <c r="K1660" s="32" t="s">
        <v>1363</v>
      </c>
    </row>
    <row r="1661" customFormat="false" ht="15" hidden="false" customHeight="false" outlineLevel="0" collapsed="false">
      <c r="A1661" s="42" t="n">
        <f aca="false">IF(B1661="","",B1661+(12*1000+10)/10000000)</f>
        <v>46330.001201</v>
      </c>
      <c r="B1661" s="35" t="n">
        <f aca="false">IF(AND(IFERROR(N(INDEX(Clay_Offices!$A$2:$FZ$601,10,Sync!$C$11)),0)&gt;0,IFERROR(INDEX(Clay_Offices!$A$2:$FZ$601,10,Sync!$C$5)&amp;"","")&lt;&gt;"",OR(LEFT(IFERROR(INDEX(Clay_Offices!$A$2:$FZ$601,10,Sync!$C$5)&amp;"",""),6)&lt;&gt;"SAMPLE",Config!$B$19="Y")),IFERROR(N(INDEX(Clay_Offices!$A$2:$FZ$601,10,Sync!$C$11)),0),"")</f>
        <v>46330</v>
      </c>
      <c r="C1661" s="23" t="str">
        <f aca="false">IF(B1661="","","office")</f>
        <v>office</v>
      </c>
      <c r="D1661" s="23" t="str">
        <f aca="false">IF(B1661="","",IFERROR(INDEX(Office_Log!$ED$2:$ED$201,MATCH(IFERROR(INDEX(Clay_Offices!$A$2:$FZ$601,10,Sync!$C$5)&amp;"",""),Office_Log!$A$2:$A$201,0))&amp;"",IFERROR(INDEX(Clay_Offices!$A$2:$FZ$601,10,Sync!$C$5)&amp;"","")&amp;""))</f>
        <v>SAMPLE-O-010</v>
      </c>
      <c r="E1661" s="23" t="str">
        <f aca="false">IF(B1661="","",IFERROR(INDEX(Clay_Offices!$A$2:$FZ$601,10,Sync!$C$6)&amp;"",""))</f>
        <v>SAMPLE Office 10</v>
      </c>
      <c r="F1661" s="23" t="str">
        <f aca="false">IF(B1661="","","outreach_sent")</f>
        <v>outreach_sent</v>
      </c>
      <c r="G1661" s="23" t="str">
        <f aca="false">IF(B1661="","","")</f>
        <v/>
      </c>
      <c r="H1661" s="23" t="str">
        <f aca="false">IF(B1661="","","")</f>
        <v/>
      </c>
      <c r="I1661" s="23" t="str">
        <f aca="false">IF(B1661="","","")</f>
        <v/>
      </c>
      <c r="J1661" s="23" t="str">
        <f aca="false">IF(B1661="","","touch_1; "&amp;IFERROR(INDEX(Clay_Offices!$A$2:$FZ$601,10,Sync!$C$10)&amp;"","")&amp;"; "&amp;IFERROR(INDEX(Clay_Offices!$A$2:$FZ$601,10,Sync!$C$9)&amp;"",""))</f>
        <v>touch_1; office-discovery-B; warm-intro</v>
      </c>
      <c r="K1661" s="32" t="s">
        <v>1363</v>
      </c>
    </row>
    <row r="1662" customFormat="false" ht="15" hidden="false" customHeight="false" outlineLevel="0" collapsed="false">
      <c r="A1662" s="42" t="n">
        <f aca="false">IF(B1662="","",B1662+(12*1000+11)/10000000)</f>
        <v>46331.0012011</v>
      </c>
      <c r="B1662" s="35" t="n">
        <f aca="false">IF(AND(IFERROR(N(INDEX(Clay_Offices!$A$2:$FZ$601,11,Sync!$C$11)),0)&gt;0,IFERROR(INDEX(Clay_Offices!$A$2:$FZ$601,11,Sync!$C$5)&amp;"","")&lt;&gt;"",OR(LEFT(IFERROR(INDEX(Clay_Offices!$A$2:$FZ$601,11,Sync!$C$5)&amp;"",""),6)&lt;&gt;"SAMPLE",Config!$B$19="Y")),IFERROR(N(INDEX(Clay_Offices!$A$2:$FZ$601,11,Sync!$C$11)),0),"")</f>
        <v>46331</v>
      </c>
      <c r="C1662" s="23" t="str">
        <f aca="false">IF(B1662="","","office")</f>
        <v>office</v>
      </c>
      <c r="D1662" s="23" t="str">
        <f aca="false">IF(B1662="","",IFERROR(INDEX(Office_Log!$ED$2:$ED$201,MATCH(IFERROR(INDEX(Clay_Offices!$A$2:$FZ$601,11,Sync!$C$5)&amp;"",""),Office_Log!$A$2:$A$201,0))&amp;"",IFERROR(INDEX(Clay_Offices!$A$2:$FZ$601,11,Sync!$C$5)&amp;"","")&amp;""))</f>
        <v>SAMPLE-O-011</v>
      </c>
      <c r="E1662" s="23" t="str">
        <f aca="false">IF(B1662="","",IFERROR(INDEX(Clay_Offices!$A$2:$FZ$601,11,Sync!$C$6)&amp;"",""))</f>
        <v>SAMPLE Office 11</v>
      </c>
      <c r="F1662" s="23" t="str">
        <f aca="false">IF(B1662="","","outreach_sent")</f>
        <v>outreach_sent</v>
      </c>
      <c r="G1662" s="23" t="str">
        <f aca="false">IF(B1662="","","")</f>
        <v/>
      </c>
      <c r="H1662" s="23" t="str">
        <f aca="false">IF(B1662="","","")</f>
        <v/>
      </c>
      <c r="I1662" s="23" t="str">
        <f aca="false">IF(B1662="","","")</f>
        <v/>
      </c>
      <c r="J1662" s="23" t="str">
        <f aca="false">IF(B1662="","","touch_1; "&amp;IFERROR(INDEX(Clay_Offices!$A$2:$FZ$601,11,Sync!$C$10)&amp;"","")&amp;"; "&amp;IFERROR(INDEX(Clay_Offices!$A$2:$FZ$601,11,Sync!$C$9)&amp;"",""))</f>
        <v>touch_1; office-discovery-A; linkedin</v>
      </c>
      <c r="K1662" s="32" t="s">
        <v>1363</v>
      </c>
    </row>
    <row r="1663" customFormat="false" ht="15" hidden="false" customHeight="false" outlineLevel="0" collapsed="false">
      <c r="A1663" s="42" t="n">
        <f aca="false">IF(B1663="","",B1663+(12*1000+12)/10000000)</f>
        <v>46331.0012012</v>
      </c>
      <c r="B1663" s="35" t="n">
        <f aca="false">IF(AND(IFERROR(N(INDEX(Clay_Offices!$A$2:$FZ$601,12,Sync!$C$11)),0)&gt;0,IFERROR(INDEX(Clay_Offices!$A$2:$FZ$601,12,Sync!$C$5)&amp;"","")&lt;&gt;"",OR(LEFT(IFERROR(INDEX(Clay_Offices!$A$2:$FZ$601,12,Sync!$C$5)&amp;"",""),6)&lt;&gt;"SAMPLE",Config!$B$19="Y")),IFERROR(N(INDEX(Clay_Offices!$A$2:$FZ$601,12,Sync!$C$11)),0),"")</f>
        <v>46331</v>
      </c>
      <c r="C1663" s="23" t="str">
        <f aca="false">IF(B1663="","","office")</f>
        <v>office</v>
      </c>
      <c r="D1663" s="23" t="str">
        <f aca="false">IF(B1663="","",IFERROR(INDEX(Office_Log!$ED$2:$ED$201,MATCH(IFERROR(INDEX(Clay_Offices!$A$2:$FZ$601,12,Sync!$C$5)&amp;"",""),Office_Log!$A$2:$A$201,0))&amp;"",IFERROR(INDEX(Clay_Offices!$A$2:$FZ$601,12,Sync!$C$5)&amp;"","")&amp;""))</f>
        <v>SAMPLE-O-012</v>
      </c>
      <c r="E1663" s="23" t="str">
        <f aca="false">IF(B1663="","",IFERROR(INDEX(Clay_Offices!$A$2:$FZ$601,12,Sync!$C$6)&amp;"",""))</f>
        <v>SAMPLE Office 12</v>
      </c>
      <c r="F1663" s="23" t="str">
        <f aca="false">IF(B1663="","","outreach_sent")</f>
        <v>outreach_sent</v>
      </c>
      <c r="G1663" s="23" t="str">
        <f aca="false">IF(B1663="","","")</f>
        <v/>
      </c>
      <c r="H1663" s="23" t="str">
        <f aca="false">IF(B1663="","","")</f>
        <v/>
      </c>
      <c r="I1663" s="23" t="str">
        <f aca="false">IF(B1663="","","")</f>
        <v/>
      </c>
      <c r="J1663" s="23" t="str">
        <f aca="false">IF(B1663="","","touch_1; "&amp;IFERROR(INDEX(Clay_Offices!$A$2:$FZ$601,12,Sync!$C$10)&amp;"","")&amp;"; "&amp;IFERROR(INDEX(Clay_Offices!$A$2:$FZ$601,12,Sync!$C$9)&amp;"",""))</f>
        <v>touch_1; office-discovery-B; linkedin</v>
      </c>
      <c r="K1663" s="32" t="s">
        <v>1363</v>
      </c>
    </row>
    <row r="1664" customFormat="false" ht="15" hidden="false" customHeight="false" outlineLevel="0" collapsed="false">
      <c r="A1664" s="42" t="n">
        <f aca="false">IF(B1664="","",B1664+(12*1000+13)/10000000)</f>
        <v>46332.0012013</v>
      </c>
      <c r="B1664" s="35" t="n">
        <f aca="false">IF(AND(IFERROR(N(INDEX(Clay_Offices!$A$2:$FZ$601,13,Sync!$C$11)),0)&gt;0,IFERROR(INDEX(Clay_Offices!$A$2:$FZ$601,13,Sync!$C$5)&amp;"","")&lt;&gt;"",OR(LEFT(IFERROR(INDEX(Clay_Offices!$A$2:$FZ$601,13,Sync!$C$5)&amp;"",""),6)&lt;&gt;"SAMPLE",Config!$B$19="Y")),IFERROR(N(INDEX(Clay_Offices!$A$2:$FZ$601,13,Sync!$C$11)),0),"")</f>
        <v>46332</v>
      </c>
      <c r="C1664" s="23" t="str">
        <f aca="false">IF(B1664="","","office")</f>
        <v>office</v>
      </c>
      <c r="D1664" s="23" t="str">
        <f aca="false">IF(B1664="","",IFERROR(INDEX(Office_Log!$ED$2:$ED$201,MATCH(IFERROR(INDEX(Clay_Offices!$A$2:$FZ$601,13,Sync!$C$5)&amp;"",""),Office_Log!$A$2:$A$201,0))&amp;"",IFERROR(INDEX(Clay_Offices!$A$2:$FZ$601,13,Sync!$C$5)&amp;"","")&amp;""))</f>
        <v>SAMPLE-O-013</v>
      </c>
      <c r="E1664" s="23" t="str">
        <f aca="false">IF(B1664="","",IFERROR(INDEX(Clay_Offices!$A$2:$FZ$601,13,Sync!$C$6)&amp;"",""))</f>
        <v>SAMPLE Office 13</v>
      </c>
      <c r="F1664" s="23" t="str">
        <f aca="false">IF(B1664="","","outreach_sent")</f>
        <v>outreach_sent</v>
      </c>
      <c r="G1664" s="23" t="str">
        <f aca="false">IF(B1664="","","")</f>
        <v/>
      </c>
      <c r="H1664" s="23" t="str">
        <f aca="false">IF(B1664="","","")</f>
        <v/>
      </c>
      <c r="I1664" s="23" t="str">
        <f aca="false">IF(B1664="","","")</f>
        <v/>
      </c>
      <c r="J1664" s="23" t="str">
        <f aca="false">IF(B1664="","","touch_1; "&amp;IFERROR(INDEX(Clay_Offices!$A$2:$FZ$601,13,Sync!$C$10)&amp;"","")&amp;"; "&amp;IFERROR(INDEX(Clay_Offices!$A$2:$FZ$601,13,Sync!$C$9)&amp;"",""))</f>
        <v>touch_1; office-discovery-A; walk-in</v>
      </c>
      <c r="K1664" s="32" t="s">
        <v>1363</v>
      </c>
    </row>
    <row r="1665" customFormat="false" ht="15" hidden="false" customHeight="false" outlineLevel="0" collapsed="false">
      <c r="A1665" s="42" t="n">
        <f aca="false">IF(B1665="","",B1665+(12*1000+14)/10000000)</f>
        <v>46330.0012014</v>
      </c>
      <c r="B1665" s="35" t="n">
        <f aca="false">IF(AND(IFERROR(N(INDEX(Clay_Offices!$A$2:$FZ$601,14,Sync!$C$11)),0)&gt;0,IFERROR(INDEX(Clay_Offices!$A$2:$FZ$601,14,Sync!$C$5)&amp;"","")&lt;&gt;"",OR(LEFT(IFERROR(INDEX(Clay_Offices!$A$2:$FZ$601,14,Sync!$C$5)&amp;"",""),6)&lt;&gt;"SAMPLE",Config!$B$19="Y")),IFERROR(N(INDEX(Clay_Offices!$A$2:$FZ$601,14,Sync!$C$11)),0),"")</f>
        <v>46330</v>
      </c>
      <c r="C1665" s="23" t="str">
        <f aca="false">IF(B1665="","","office")</f>
        <v>office</v>
      </c>
      <c r="D1665" s="23" t="str">
        <f aca="false">IF(B1665="","",IFERROR(INDEX(Office_Log!$ED$2:$ED$201,MATCH(IFERROR(INDEX(Clay_Offices!$A$2:$FZ$601,14,Sync!$C$5)&amp;"",""),Office_Log!$A$2:$A$201,0))&amp;"",IFERROR(INDEX(Clay_Offices!$A$2:$FZ$601,14,Sync!$C$5)&amp;"","")&amp;""))</f>
        <v>SAMPLE-O-015</v>
      </c>
      <c r="E1665" s="23" t="str">
        <f aca="false">IF(B1665="","",IFERROR(INDEX(Clay_Offices!$A$2:$FZ$601,14,Sync!$C$6)&amp;"",""))</f>
        <v>SAMPLE Office 15</v>
      </c>
      <c r="F1665" s="23" t="str">
        <f aca="false">IF(B1665="","","outreach_sent")</f>
        <v>outreach_sent</v>
      </c>
      <c r="G1665" s="23" t="str">
        <f aca="false">IF(B1665="","","")</f>
        <v/>
      </c>
      <c r="H1665" s="23" t="str">
        <f aca="false">IF(B1665="","","")</f>
        <v/>
      </c>
      <c r="I1665" s="23" t="str">
        <f aca="false">IF(B1665="","","")</f>
        <v/>
      </c>
      <c r="J1665" s="23" t="str">
        <f aca="false">IF(B1665="","","touch_1; "&amp;IFERROR(INDEX(Clay_Offices!$A$2:$FZ$601,14,Sync!$C$10)&amp;"","")&amp;"; "&amp;IFERROR(INDEX(Clay_Offices!$A$2:$FZ$601,14,Sync!$C$9)&amp;"",""))</f>
        <v>touch_1; office-discovery-A; linkedin</v>
      </c>
      <c r="K1665" s="32" t="s">
        <v>1363</v>
      </c>
    </row>
    <row r="1666" customFormat="false" ht="15" hidden="false" customHeight="false" outlineLevel="0" collapsed="false">
      <c r="A1666" s="42" t="n">
        <f aca="false">IF(B1666="","",B1666+(12*1000+15)/10000000)</f>
        <v>46335.0012015</v>
      </c>
      <c r="B1666" s="35" t="n">
        <f aca="false">IF(AND(IFERROR(N(INDEX(Clay_Offices!$A$2:$FZ$601,15,Sync!$C$11)),0)&gt;0,IFERROR(INDEX(Clay_Offices!$A$2:$FZ$601,15,Sync!$C$5)&amp;"","")&lt;&gt;"",OR(LEFT(IFERROR(INDEX(Clay_Offices!$A$2:$FZ$601,15,Sync!$C$5)&amp;"",""),6)&lt;&gt;"SAMPLE",Config!$B$19="Y")),IFERROR(N(INDEX(Clay_Offices!$A$2:$FZ$601,15,Sync!$C$11)),0),"")</f>
        <v>46335</v>
      </c>
      <c r="C1666" s="23" t="str">
        <f aca="false">IF(B1666="","","office")</f>
        <v>office</v>
      </c>
      <c r="D1666" s="23" t="str">
        <f aca="false">IF(B1666="","",IFERROR(INDEX(Office_Log!$ED$2:$ED$201,MATCH(IFERROR(INDEX(Clay_Offices!$A$2:$FZ$601,15,Sync!$C$5)&amp;"",""),Office_Log!$A$2:$A$201,0))&amp;"",IFERROR(INDEX(Clay_Offices!$A$2:$FZ$601,15,Sync!$C$5)&amp;"","")&amp;""))</f>
        <v>SAMPLE-O-016</v>
      </c>
      <c r="E1666" s="23" t="str">
        <f aca="false">IF(B1666="","",IFERROR(INDEX(Clay_Offices!$A$2:$FZ$601,15,Sync!$C$6)&amp;"",""))</f>
        <v>SAMPLE Office 16</v>
      </c>
      <c r="F1666" s="23" t="str">
        <f aca="false">IF(B1666="","","outreach_sent")</f>
        <v>outreach_sent</v>
      </c>
      <c r="G1666" s="23" t="str">
        <f aca="false">IF(B1666="","","")</f>
        <v/>
      </c>
      <c r="H1666" s="23" t="str">
        <f aca="false">IF(B1666="","","")</f>
        <v/>
      </c>
      <c r="I1666" s="23" t="str">
        <f aca="false">IF(B1666="","","")</f>
        <v/>
      </c>
      <c r="J1666" s="23" t="str">
        <f aca="false">IF(B1666="","","touch_1; "&amp;IFERROR(INDEX(Clay_Offices!$A$2:$FZ$601,15,Sync!$C$10)&amp;"","")&amp;"; "&amp;IFERROR(INDEX(Clay_Offices!$A$2:$FZ$601,15,Sync!$C$9)&amp;"",""))</f>
        <v>touch_1; office-discovery-B; linkedin</v>
      </c>
      <c r="K1666" s="32" t="s">
        <v>1363</v>
      </c>
    </row>
    <row r="1667" customFormat="false" ht="15" hidden="false" customHeight="false" outlineLevel="0" collapsed="false">
      <c r="A1667" s="42" t="n">
        <f aca="false">IF(B1667="","",B1667+(12*1000+16)/10000000)</f>
        <v>46339.0012016</v>
      </c>
      <c r="B1667" s="35" t="n">
        <f aca="false">IF(AND(IFERROR(N(INDEX(Clay_Offices!$A$2:$FZ$601,16,Sync!$C$11)),0)&gt;0,IFERROR(INDEX(Clay_Offices!$A$2:$FZ$601,16,Sync!$C$5)&amp;"","")&lt;&gt;"",OR(LEFT(IFERROR(INDEX(Clay_Offices!$A$2:$FZ$601,16,Sync!$C$5)&amp;"",""),6)&lt;&gt;"SAMPLE",Config!$B$19="Y")),IFERROR(N(INDEX(Clay_Offices!$A$2:$FZ$601,16,Sync!$C$11)),0),"")</f>
        <v>46339</v>
      </c>
      <c r="C1667" s="23" t="str">
        <f aca="false">IF(B1667="","","office")</f>
        <v>office</v>
      </c>
      <c r="D1667" s="23" t="str">
        <f aca="false">IF(B1667="","",IFERROR(INDEX(Office_Log!$ED$2:$ED$201,MATCH(IFERROR(INDEX(Clay_Offices!$A$2:$FZ$601,16,Sync!$C$5)&amp;"",""),Office_Log!$A$2:$A$201,0))&amp;"",IFERROR(INDEX(Clay_Offices!$A$2:$FZ$601,16,Sync!$C$5)&amp;"","")&amp;""))</f>
        <v>SAMPLE-O-017</v>
      </c>
      <c r="E1667" s="23" t="str">
        <f aca="false">IF(B1667="","",IFERROR(INDEX(Clay_Offices!$A$2:$FZ$601,16,Sync!$C$6)&amp;"",""))</f>
        <v>SAMPLE Office 17</v>
      </c>
      <c r="F1667" s="23" t="str">
        <f aca="false">IF(B1667="","","outreach_sent")</f>
        <v>outreach_sent</v>
      </c>
      <c r="G1667" s="23" t="str">
        <f aca="false">IF(B1667="","","")</f>
        <v/>
      </c>
      <c r="H1667" s="23" t="str">
        <f aca="false">IF(B1667="","","")</f>
        <v/>
      </c>
      <c r="I1667" s="23" t="str">
        <f aca="false">IF(B1667="","","")</f>
        <v/>
      </c>
      <c r="J1667" s="23" t="str">
        <f aca="false">IF(B1667="","","touch_1; "&amp;IFERROR(INDEX(Clay_Offices!$A$2:$FZ$601,16,Sync!$C$10)&amp;"","")&amp;"; "&amp;IFERROR(INDEX(Clay_Offices!$A$2:$FZ$601,16,Sync!$C$9)&amp;"",""))</f>
        <v>touch_1; office-discovery-A; email</v>
      </c>
      <c r="K1667" s="32" t="s">
        <v>1363</v>
      </c>
    </row>
    <row r="1668" customFormat="false" ht="15" hidden="false" customHeight="false" outlineLevel="0" collapsed="false">
      <c r="A1668" s="42" t="n">
        <f aca="false">IF(B1668="","",B1668+(12*1000+17)/10000000)</f>
        <v>46344.0012017</v>
      </c>
      <c r="B1668" s="35" t="n">
        <f aca="false">IF(AND(IFERROR(N(INDEX(Clay_Offices!$A$2:$FZ$601,17,Sync!$C$11)),0)&gt;0,IFERROR(INDEX(Clay_Offices!$A$2:$FZ$601,17,Sync!$C$5)&amp;"","")&lt;&gt;"",OR(LEFT(IFERROR(INDEX(Clay_Offices!$A$2:$FZ$601,17,Sync!$C$5)&amp;"",""),6)&lt;&gt;"SAMPLE",Config!$B$19="Y")),IFERROR(N(INDEX(Clay_Offices!$A$2:$FZ$601,17,Sync!$C$11)),0),"")</f>
        <v>46344</v>
      </c>
      <c r="C1668" s="23" t="str">
        <f aca="false">IF(B1668="","","office")</f>
        <v>office</v>
      </c>
      <c r="D1668" s="23" t="str">
        <f aca="false">IF(B1668="","",IFERROR(INDEX(Office_Log!$ED$2:$ED$201,MATCH(IFERROR(INDEX(Clay_Offices!$A$2:$FZ$601,17,Sync!$C$5)&amp;"",""),Office_Log!$A$2:$A$201,0))&amp;"",IFERROR(INDEX(Clay_Offices!$A$2:$FZ$601,17,Sync!$C$5)&amp;"","")&amp;""))</f>
        <v>SAMPLE-O-018</v>
      </c>
      <c r="E1668" s="23" t="str">
        <f aca="false">IF(B1668="","",IFERROR(INDEX(Clay_Offices!$A$2:$FZ$601,17,Sync!$C$6)&amp;"",""))</f>
        <v>SAMPLE Office 18</v>
      </c>
      <c r="F1668" s="23" t="str">
        <f aca="false">IF(B1668="","","outreach_sent")</f>
        <v>outreach_sent</v>
      </c>
      <c r="G1668" s="23" t="str">
        <f aca="false">IF(B1668="","","")</f>
        <v/>
      </c>
      <c r="H1668" s="23" t="str">
        <f aca="false">IF(B1668="","","")</f>
        <v/>
      </c>
      <c r="I1668" s="23" t="str">
        <f aca="false">IF(B1668="","","")</f>
        <v/>
      </c>
      <c r="J1668" s="23" t="str">
        <f aca="false">IF(B1668="","","touch_1; "&amp;IFERROR(INDEX(Clay_Offices!$A$2:$FZ$601,17,Sync!$C$10)&amp;"","")&amp;"; "&amp;IFERROR(INDEX(Clay_Offices!$A$2:$FZ$601,17,Sync!$C$9)&amp;"",""))</f>
        <v>touch_1; office-discovery-B; email</v>
      </c>
      <c r="K1668" s="32" t="s">
        <v>1363</v>
      </c>
    </row>
    <row r="1669" customFormat="false" ht="15" hidden="false" customHeight="false" outlineLevel="0" collapsed="false">
      <c r="A1669" s="42" t="n">
        <f aca="false">IF(B1669="","",B1669+(12*1000+18)/10000000)</f>
        <v>46321.0012018</v>
      </c>
      <c r="B1669" s="35" t="n">
        <f aca="false">IF(AND(IFERROR(N(INDEX(Clay_Offices!$A$2:$FZ$601,18,Sync!$C$11)),0)&gt;0,IFERROR(INDEX(Clay_Offices!$A$2:$FZ$601,18,Sync!$C$5)&amp;"","")&lt;&gt;"",OR(LEFT(IFERROR(INDEX(Clay_Offices!$A$2:$FZ$601,18,Sync!$C$5)&amp;"",""),6)&lt;&gt;"SAMPLE",Config!$B$19="Y")),IFERROR(N(INDEX(Clay_Offices!$A$2:$FZ$601,18,Sync!$C$11)),0),"")</f>
        <v>46321</v>
      </c>
      <c r="C1669" s="23" t="str">
        <f aca="false">IF(B1669="","","office")</f>
        <v>office</v>
      </c>
      <c r="D1669" s="23" t="str">
        <f aca="false">IF(B1669="","",IFERROR(INDEX(Office_Log!$ED$2:$ED$201,MATCH(IFERROR(INDEX(Clay_Offices!$A$2:$FZ$601,18,Sync!$C$5)&amp;"",""),Office_Log!$A$2:$A$201,0))&amp;"",IFERROR(INDEX(Clay_Offices!$A$2:$FZ$601,18,Sync!$C$5)&amp;"","")&amp;""))</f>
        <v>SAMPLE-O-019</v>
      </c>
      <c r="E1669" s="23" t="str">
        <f aca="false">IF(B1669="","",IFERROR(INDEX(Clay_Offices!$A$2:$FZ$601,18,Sync!$C$6)&amp;"",""))</f>
        <v>SAMPLE Office 19</v>
      </c>
      <c r="F1669" s="23" t="str">
        <f aca="false">IF(B1669="","","outreach_sent")</f>
        <v>outreach_sent</v>
      </c>
      <c r="G1669" s="23" t="str">
        <f aca="false">IF(B1669="","","")</f>
        <v/>
      </c>
      <c r="H1669" s="23" t="str">
        <f aca="false">IF(B1669="","","")</f>
        <v/>
      </c>
      <c r="I1669" s="23" t="str">
        <f aca="false">IF(B1669="","","")</f>
        <v/>
      </c>
      <c r="J1669" s="23" t="str">
        <f aca="false">IF(B1669="","","touch_1; "&amp;IFERROR(INDEX(Clay_Offices!$A$2:$FZ$601,18,Sync!$C$10)&amp;"","")&amp;"; "&amp;IFERROR(INDEX(Clay_Offices!$A$2:$FZ$601,18,Sync!$C$9)&amp;"",""))</f>
        <v>touch_1; office-discovery-A; linkedin</v>
      </c>
      <c r="K1669" s="32" t="s">
        <v>1363</v>
      </c>
    </row>
    <row r="1670" customFormat="false" ht="15" hidden="false" customHeight="false" outlineLevel="0" collapsed="false">
      <c r="A1670" s="42" t="n">
        <f aca="false">IF(B1670="","",B1670+(12*1000+19)/10000000)</f>
        <v>46324.0012019</v>
      </c>
      <c r="B1670" s="35" t="n">
        <f aca="false">IF(AND(IFERROR(N(INDEX(Clay_Offices!$A$2:$FZ$601,19,Sync!$C$11)),0)&gt;0,IFERROR(INDEX(Clay_Offices!$A$2:$FZ$601,19,Sync!$C$5)&amp;"","")&lt;&gt;"",OR(LEFT(IFERROR(INDEX(Clay_Offices!$A$2:$FZ$601,19,Sync!$C$5)&amp;"",""),6)&lt;&gt;"SAMPLE",Config!$B$19="Y")),IFERROR(N(INDEX(Clay_Offices!$A$2:$FZ$601,19,Sync!$C$11)),0),"")</f>
        <v>46324</v>
      </c>
      <c r="C1670" s="23" t="str">
        <f aca="false">IF(B1670="","","office")</f>
        <v>office</v>
      </c>
      <c r="D1670" s="23" t="str">
        <f aca="false">IF(B1670="","",IFERROR(INDEX(Office_Log!$ED$2:$ED$201,MATCH(IFERROR(INDEX(Clay_Offices!$A$2:$FZ$601,19,Sync!$C$5)&amp;"",""),Office_Log!$A$2:$A$201,0))&amp;"",IFERROR(INDEX(Clay_Offices!$A$2:$FZ$601,19,Sync!$C$5)&amp;"","")&amp;""))</f>
        <v>SAMPLE-O-020</v>
      </c>
      <c r="E1670" s="23" t="str">
        <f aca="false">IF(B1670="","",IFERROR(INDEX(Clay_Offices!$A$2:$FZ$601,19,Sync!$C$6)&amp;"",""))</f>
        <v>SAMPLE Office 20</v>
      </c>
      <c r="F1670" s="23" t="str">
        <f aca="false">IF(B1670="","","outreach_sent")</f>
        <v>outreach_sent</v>
      </c>
      <c r="G1670" s="23" t="str">
        <f aca="false">IF(B1670="","","")</f>
        <v/>
      </c>
      <c r="H1670" s="23" t="str">
        <f aca="false">IF(B1670="","","")</f>
        <v/>
      </c>
      <c r="I1670" s="23" t="str">
        <f aca="false">IF(B1670="","","")</f>
        <v/>
      </c>
      <c r="J1670" s="23" t="str">
        <f aca="false">IF(B1670="","","touch_1; "&amp;IFERROR(INDEX(Clay_Offices!$A$2:$FZ$601,19,Sync!$C$10)&amp;"","")&amp;"; "&amp;IFERROR(INDEX(Clay_Offices!$A$2:$FZ$601,19,Sync!$C$9)&amp;"",""))</f>
        <v>touch_1; office-discovery-B; linkedin</v>
      </c>
      <c r="K1670" s="32" t="s">
        <v>1363</v>
      </c>
    </row>
    <row r="1671" customFormat="false" ht="15" hidden="false" customHeight="false" outlineLevel="0" collapsed="false">
      <c r="A1671" s="42" t="n">
        <f aca="false">IF(B1671="","",B1671+(12*1000+20)/10000000)</f>
        <v>46329.001202</v>
      </c>
      <c r="B1671" s="35" t="n">
        <f aca="false">IF(AND(IFERROR(N(INDEX(Clay_Offices!$A$2:$FZ$601,20,Sync!$C$11)),0)&gt;0,IFERROR(INDEX(Clay_Offices!$A$2:$FZ$601,20,Sync!$C$5)&amp;"","")&lt;&gt;"",OR(LEFT(IFERROR(INDEX(Clay_Offices!$A$2:$FZ$601,20,Sync!$C$5)&amp;"",""),6)&lt;&gt;"SAMPLE",Config!$B$19="Y")),IFERROR(N(INDEX(Clay_Offices!$A$2:$FZ$601,20,Sync!$C$11)),0),"")</f>
        <v>46329</v>
      </c>
      <c r="C1671" s="23" t="str">
        <f aca="false">IF(B1671="","","office")</f>
        <v>office</v>
      </c>
      <c r="D1671" s="23" t="str">
        <f aca="false">IF(B1671="","",IFERROR(INDEX(Office_Log!$ED$2:$ED$201,MATCH(IFERROR(INDEX(Clay_Offices!$A$2:$FZ$601,20,Sync!$C$5)&amp;"",""),Office_Log!$A$2:$A$201,0))&amp;"",IFERROR(INDEX(Clay_Offices!$A$2:$FZ$601,20,Sync!$C$5)&amp;"","")&amp;""))</f>
        <v>SAMPLE-O-021</v>
      </c>
      <c r="E1671" s="23" t="str">
        <f aca="false">IF(B1671="","",IFERROR(INDEX(Clay_Offices!$A$2:$FZ$601,20,Sync!$C$6)&amp;"",""))</f>
        <v>SAMPLE Office 21</v>
      </c>
      <c r="F1671" s="23" t="str">
        <f aca="false">IF(B1671="","","outreach_sent")</f>
        <v>outreach_sent</v>
      </c>
      <c r="G1671" s="23" t="str">
        <f aca="false">IF(B1671="","","")</f>
        <v/>
      </c>
      <c r="H1671" s="23" t="str">
        <f aca="false">IF(B1671="","","")</f>
        <v/>
      </c>
      <c r="I1671" s="23" t="str">
        <f aca="false">IF(B1671="","","")</f>
        <v/>
      </c>
      <c r="J1671" s="23" t="str">
        <f aca="false">IF(B1671="","","touch_1; "&amp;IFERROR(INDEX(Clay_Offices!$A$2:$FZ$601,20,Sync!$C$10)&amp;"","")&amp;"; "&amp;IFERROR(INDEX(Clay_Offices!$A$2:$FZ$601,20,Sync!$C$9)&amp;"",""))</f>
        <v>touch_1; office-discovery-A; linkedin</v>
      </c>
      <c r="K1671" s="32" t="s">
        <v>1363</v>
      </c>
    </row>
    <row r="1672" customFormat="false" ht="15" hidden="false" customHeight="false" outlineLevel="0" collapsed="false">
      <c r="A1672" s="42" t="n">
        <f aca="false">IF(B1672="","",B1672+(12*1000+21)/10000000)</f>
        <v>46332.0012021</v>
      </c>
      <c r="B1672" s="35" t="n">
        <f aca="false">IF(AND(IFERROR(N(INDEX(Clay_Offices!$A$2:$FZ$601,21,Sync!$C$11)),0)&gt;0,IFERROR(INDEX(Clay_Offices!$A$2:$FZ$601,21,Sync!$C$5)&amp;"","")&lt;&gt;"",OR(LEFT(IFERROR(INDEX(Clay_Offices!$A$2:$FZ$601,21,Sync!$C$5)&amp;"",""),6)&lt;&gt;"SAMPLE",Config!$B$19="Y")),IFERROR(N(INDEX(Clay_Offices!$A$2:$FZ$601,21,Sync!$C$11)),0),"")</f>
        <v>46332</v>
      </c>
      <c r="C1672" s="23" t="str">
        <f aca="false">IF(B1672="","","office")</f>
        <v>office</v>
      </c>
      <c r="D1672" s="23" t="str">
        <f aca="false">IF(B1672="","",IFERROR(INDEX(Office_Log!$ED$2:$ED$201,MATCH(IFERROR(INDEX(Clay_Offices!$A$2:$FZ$601,21,Sync!$C$5)&amp;"",""),Office_Log!$A$2:$A$201,0))&amp;"",IFERROR(INDEX(Clay_Offices!$A$2:$FZ$601,21,Sync!$C$5)&amp;"","")&amp;""))</f>
        <v>SAMPLE-O-022</v>
      </c>
      <c r="E1672" s="23" t="str">
        <f aca="false">IF(B1672="","",IFERROR(INDEX(Clay_Offices!$A$2:$FZ$601,21,Sync!$C$6)&amp;"",""))</f>
        <v>SAMPLE Office 22</v>
      </c>
      <c r="F1672" s="23" t="str">
        <f aca="false">IF(B1672="","","outreach_sent")</f>
        <v>outreach_sent</v>
      </c>
      <c r="G1672" s="23" t="str">
        <f aca="false">IF(B1672="","","")</f>
        <v/>
      </c>
      <c r="H1672" s="23" t="str">
        <f aca="false">IF(B1672="","","")</f>
        <v/>
      </c>
      <c r="I1672" s="23" t="str">
        <f aca="false">IF(B1672="","","")</f>
        <v/>
      </c>
      <c r="J1672" s="23" t="str">
        <f aca="false">IF(B1672="","","touch_1; "&amp;IFERROR(INDEX(Clay_Offices!$A$2:$FZ$601,21,Sync!$C$10)&amp;"","")&amp;"; "&amp;IFERROR(INDEX(Clay_Offices!$A$2:$FZ$601,21,Sync!$C$9)&amp;"",""))</f>
        <v>touch_1; office-discovery-B; linkedin</v>
      </c>
      <c r="K1672" s="32" t="s">
        <v>1363</v>
      </c>
    </row>
    <row r="1673" customFormat="false" ht="15" hidden="false" customHeight="false" outlineLevel="0" collapsed="false">
      <c r="A1673" s="42" t="n">
        <f aca="false">IF(B1673="","",B1673+(12*1000+22)/10000000)</f>
        <v>46338.0012022</v>
      </c>
      <c r="B1673" s="35" t="n">
        <f aca="false">IF(AND(IFERROR(N(INDEX(Clay_Offices!$A$2:$FZ$601,22,Sync!$C$11)),0)&gt;0,IFERROR(INDEX(Clay_Offices!$A$2:$FZ$601,22,Sync!$C$5)&amp;"","")&lt;&gt;"",OR(LEFT(IFERROR(INDEX(Clay_Offices!$A$2:$FZ$601,22,Sync!$C$5)&amp;"",""),6)&lt;&gt;"SAMPLE",Config!$B$19="Y")),IFERROR(N(INDEX(Clay_Offices!$A$2:$FZ$601,22,Sync!$C$11)),0),"")</f>
        <v>46338</v>
      </c>
      <c r="C1673" s="23" t="str">
        <f aca="false">IF(B1673="","","office")</f>
        <v>office</v>
      </c>
      <c r="D1673" s="23" t="str">
        <f aca="false">IF(B1673="","",IFERROR(INDEX(Office_Log!$ED$2:$ED$201,MATCH(IFERROR(INDEX(Clay_Offices!$A$2:$FZ$601,22,Sync!$C$5)&amp;"",""),Office_Log!$A$2:$A$201,0))&amp;"",IFERROR(INDEX(Clay_Offices!$A$2:$FZ$601,22,Sync!$C$5)&amp;"","")&amp;""))</f>
        <v>SAMPLE-O-023</v>
      </c>
      <c r="E1673" s="23" t="str">
        <f aca="false">IF(B1673="","",IFERROR(INDEX(Clay_Offices!$A$2:$FZ$601,22,Sync!$C$6)&amp;"",""))</f>
        <v>SAMPLE Office 23</v>
      </c>
      <c r="F1673" s="23" t="str">
        <f aca="false">IF(B1673="","","outreach_sent")</f>
        <v>outreach_sent</v>
      </c>
      <c r="G1673" s="23" t="str">
        <f aca="false">IF(B1673="","","")</f>
        <v/>
      </c>
      <c r="H1673" s="23" t="str">
        <f aca="false">IF(B1673="","","")</f>
        <v/>
      </c>
      <c r="I1673" s="23" t="str">
        <f aca="false">IF(B1673="","","")</f>
        <v/>
      </c>
      <c r="J1673" s="23" t="str">
        <f aca="false">IF(B1673="","","touch_1; "&amp;IFERROR(INDEX(Clay_Offices!$A$2:$FZ$601,22,Sync!$C$10)&amp;"","")&amp;"; "&amp;IFERROR(INDEX(Clay_Offices!$A$2:$FZ$601,22,Sync!$C$9)&amp;"",""))</f>
        <v>touch_1; office-discovery-A; email</v>
      </c>
      <c r="K1673" s="32" t="s">
        <v>1363</v>
      </c>
    </row>
    <row r="1674" customFormat="false" ht="15" hidden="false" customHeight="false" outlineLevel="0" collapsed="false">
      <c r="A1674" s="42" t="n">
        <f aca="false">IF(B1674="","",B1674+(12*1000+23)/10000000)</f>
        <v>46343.0012023</v>
      </c>
      <c r="B1674" s="35" t="n">
        <f aca="false">IF(AND(IFERROR(N(INDEX(Clay_Offices!$A$2:$FZ$601,23,Sync!$C$11)),0)&gt;0,IFERROR(INDEX(Clay_Offices!$A$2:$FZ$601,23,Sync!$C$5)&amp;"","")&lt;&gt;"",OR(LEFT(IFERROR(INDEX(Clay_Offices!$A$2:$FZ$601,23,Sync!$C$5)&amp;"",""),6)&lt;&gt;"SAMPLE",Config!$B$19="Y")),IFERROR(N(INDEX(Clay_Offices!$A$2:$FZ$601,23,Sync!$C$11)),0),"")</f>
        <v>46343</v>
      </c>
      <c r="C1674" s="23" t="str">
        <f aca="false">IF(B1674="","","office")</f>
        <v>office</v>
      </c>
      <c r="D1674" s="23" t="str">
        <f aca="false">IF(B1674="","",IFERROR(INDEX(Office_Log!$ED$2:$ED$201,MATCH(IFERROR(INDEX(Clay_Offices!$A$2:$FZ$601,23,Sync!$C$5)&amp;"",""),Office_Log!$A$2:$A$201,0))&amp;"",IFERROR(INDEX(Clay_Offices!$A$2:$FZ$601,23,Sync!$C$5)&amp;"","")&amp;""))</f>
        <v>SAMPLE-O-024</v>
      </c>
      <c r="E1674" s="23" t="str">
        <f aca="false">IF(B1674="","",IFERROR(INDEX(Clay_Offices!$A$2:$FZ$601,23,Sync!$C$6)&amp;"",""))</f>
        <v>SAMPLE Office 24</v>
      </c>
      <c r="F1674" s="23" t="str">
        <f aca="false">IF(B1674="","","outreach_sent")</f>
        <v>outreach_sent</v>
      </c>
      <c r="G1674" s="23" t="str">
        <f aca="false">IF(B1674="","","")</f>
        <v/>
      </c>
      <c r="H1674" s="23" t="str">
        <f aca="false">IF(B1674="","","")</f>
        <v/>
      </c>
      <c r="I1674" s="23" t="str">
        <f aca="false">IF(B1674="","","")</f>
        <v/>
      </c>
      <c r="J1674" s="23" t="str">
        <f aca="false">IF(B1674="","","touch_1; "&amp;IFERROR(INDEX(Clay_Offices!$A$2:$FZ$601,23,Sync!$C$10)&amp;"","")&amp;"; "&amp;IFERROR(INDEX(Clay_Offices!$A$2:$FZ$601,23,Sync!$C$9)&amp;"",""))</f>
        <v>touch_1; office-discovery-B; linkedin</v>
      </c>
      <c r="K1674" s="32" t="s">
        <v>1363</v>
      </c>
    </row>
    <row r="1675" customFormat="false" ht="15" hidden="false" customHeight="false" outlineLevel="0" collapsed="false">
      <c r="A1675" s="42" t="n">
        <f aca="false">IF(B1675="","",B1675+(12*1000+24)/10000000)</f>
        <v>46346.0012024</v>
      </c>
      <c r="B1675" s="35" t="n">
        <f aca="false">IF(AND(IFERROR(N(INDEX(Clay_Offices!$A$2:$FZ$601,24,Sync!$C$11)),0)&gt;0,IFERROR(INDEX(Clay_Offices!$A$2:$FZ$601,24,Sync!$C$5)&amp;"","")&lt;&gt;"",OR(LEFT(IFERROR(INDEX(Clay_Offices!$A$2:$FZ$601,24,Sync!$C$5)&amp;"",""),6)&lt;&gt;"SAMPLE",Config!$B$19="Y")),IFERROR(N(INDEX(Clay_Offices!$A$2:$FZ$601,24,Sync!$C$11)),0),"")</f>
        <v>46346</v>
      </c>
      <c r="C1675" s="23" t="str">
        <f aca="false">IF(B1675="","","office")</f>
        <v>office</v>
      </c>
      <c r="D1675" s="23" t="str">
        <f aca="false">IF(B1675="","",IFERROR(INDEX(Office_Log!$ED$2:$ED$201,MATCH(IFERROR(INDEX(Clay_Offices!$A$2:$FZ$601,24,Sync!$C$5)&amp;"",""),Office_Log!$A$2:$A$201,0))&amp;"",IFERROR(INDEX(Clay_Offices!$A$2:$FZ$601,24,Sync!$C$5)&amp;"","")&amp;""))</f>
        <v>SAMPLE-O-025</v>
      </c>
      <c r="E1675" s="23" t="str">
        <f aca="false">IF(B1675="","",IFERROR(INDEX(Clay_Offices!$A$2:$FZ$601,24,Sync!$C$6)&amp;"",""))</f>
        <v>SAMPLE Office 25</v>
      </c>
      <c r="F1675" s="23" t="str">
        <f aca="false">IF(B1675="","","outreach_sent")</f>
        <v>outreach_sent</v>
      </c>
      <c r="G1675" s="23" t="str">
        <f aca="false">IF(B1675="","","")</f>
        <v/>
      </c>
      <c r="H1675" s="23" t="str">
        <f aca="false">IF(B1675="","","")</f>
        <v/>
      </c>
      <c r="I1675" s="23" t="str">
        <f aca="false">IF(B1675="","","")</f>
        <v/>
      </c>
      <c r="J1675" s="23" t="str">
        <f aca="false">IF(B1675="","","touch_1; "&amp;IFERROR(INDEX(Clay_Offices!$A$2:$FZ$601,24,Sync!$C$10)&amp;"","")&amp;"; "&amp;IFERROR(INDEX(Clay_Offices!$A$2:$FZ$601,24,Sync!$C$9)&amp;"",""))</f>
        <v>touch_1; office-discovery-A; email</v>
      </c>
      <c r="K1675" s="32" t="s">
        <v>1363</v>
      </c>
    </row>
    <row r="1676" customFormat="false" ht="15" hidden="false" customHeight="false" outlineLevel="0" collapsed="false">
      <c r="A1676" s="42" t="n">
        <f aca="false">IF(B1676="","",B1676+(12*1000+25)/10000000)</f>
        <v>46323.0012025</v>
      </c>
      <c r="B1676" s="35" t="n">
        <f aca="false">IF(AND(IFERROR(N(INDEX(Clay_Offices!$A$2:$FZ$601,25,Sync!$C$11)),0)&gt;0,IFERROR(INDEX(Clay_Offices!$A$2:$FZ$601,25,Sync!$C$5)&amp;"","")&lt;&gt;"",OR(LEFT(IFERROR(INDEX(Clay_Offices!$A$2:$FZ$601,25,Sync!$C$5)&amp;"",""),6)&lt;&gt;"SAMPLE",Config!$B$19="Y")),IFERROR(N(INDEX(Clay_Offices!$A$2:$FZ$601,25,Sync!$C$11)),0),"")</f>
        <v>46323</v>
      </c>
      <c r="C1676" s="23" t="str">
        <f aca="false">IF(B1676="","","office")</f>
        <v>office</v>
      </c>
      <c r="D1676" s="23" t="str">
        <f aca="false">IF(B1676="","",IFERROR(INDEX(Office_Log!$ED$2:$ED$201,MATCH(IFERROR(INDEX(Clay_Offices!$A$2:$FZ$601,25,Sync!$C$5)&amp;"",""),Office_Log!$A$2:$A$201,0))&amp;"",IFERROR(INDEX(Clay_Offices!$A$2:$FZ$601,25,Sync!$C$5)&amp;"","")&amp;""))</f>
        <v>SAMPLE-O-026</v>
      </c>
      <c r="E1676" s="23" t="str">
        <f aca="false">IF(B1676="","",IFERROR(INDEX(Clay_Offices!$A$2:$FZ$601,25,Sync!$C$6)&amp;"",""))</f>
        <v>SAMPLE Office 26</v>
      </c>
      <c r="F1676" s="23" t="str">
        <f aca="false">IF(B1676="","","outreach_sent")</f>
        <v>outreach_sent</v>
      </c>
      <c r="G1676" s="23" t="str">
        <f aca="false">IF(B1676="","","")</f>
        <v/>
      </c>
      <c r="H1676" s="23" t="str">
        <f aca="false">IF(B1676="","","")</f>
        <v/>
      </c>
      <c r="I1676" s="23" t="str">
        <f aca="false">IF(B1676="","","")</f>
        <v/>
      </c>
      <c r="J1676" s="23" t="str">
        <f aca="false">IF(B1676="","","touch_1; "&amp;IFERROR(INDEX(Clay_Offices!$A$2:$FZ$601,25,Sync!$C$10)&amp;"","")&amp;"; "&amp;IFERROR(INDEX(Clay_Offices!$A$2:$FZ$601,25,Sync!$C$9)&amp;"",""))</f>
        <v>touch_1; office-discovery-B; linkedin</v>
      </c>
      <c r="K1676" s="32" t="s">
        <v>1363</v>
      </c>
    </row>
    <row r="1677" customFormat="false" ht="15" hidden="false" customHeight="false" outlineLevel="0" collapsed="false">
      <c r="A1677" s="42" t="n">
        <f aca="false">IF(B1677="","",B1677+(12*1000+26)/10000000)</f>
        <v>46328.0012026</v>
      </c>
      <c r="B1677" s="35" t="n">
        <f aca="false">IF(AND(IFERROR(N(INDEX(Clay_Offices!$A$2:$FZ$601,26,Sync!$C$11)),0)&gt;0,IFERROR(INDEX(Clay_Offices!$A$2:$FZ$601,26,Sync!$C$5)&amp;"","")&lt;&gt;"",OR(LEFT(IFERROR(INDEX(Clay_Offices!$A$2:$FZ$601,26,Sync!$C$5)&amp;"",""),6)&lt;&gt;"SAMPLE",Config!$B$19="Y")),IFERROR(N(INDEX(Clay_Offices!$A$2:$FZ$601,26,Sync!$C$11)),0),"")</f>
        <v>46328</v>
      </c>
      <c r="C1677" s="23" t="str">
        <f aca="false">IF(B1677="","","office")</f>
        <v>office</v>
      </c>
      <c r="D1677" s="23" t="str">
        <f aca="false">IF(B1677="","",IFERROR(INDEX(Office_Log!$ED$2:$ED$201,MATCH(IFERROR(INDEX(Clay_Offices!$A$2:$FZ$601,26,Sync!$C$5)&amp;"",""),Office_Log!$A$2:$A$201,0))&amp;"",IFERROR(INDEX(Clay_Offices!$A$2:$FZ$601,26,Sync!$C$5)&amp;"","")&amp;""))</f>
        <v>SAMPLE-O-027</v>
      </c>
      <c r="E1677" s="23" t="str">
        <f aca="false">IF(B1677="","",IFERROR(INDEX(Clay_Offices!$A$2:$FZ$601,26,Sync!$C$6)&amp;"",""))</f>
        <v>SAMPLE Office 27</v>
      </c>
      <c r="F1677" s="23" t="str">
        <f aca="false">IF(B1677="","","outreach_sent")</f>
        <v>outreach_sent</v>
      </c>
      <c r="G1677" s="23" t="str">
        <f aca="false">IF(B1677="","","")</f>
        <v/>
      </c>
      <c r="H1677" s="23" t="str">
        <f aca="false">IF(B1677="","","")</f>
        <v/>
      </c>
      <c r="I1677" s="23" t="str">
        <f aca="false">IF(B1677="","","")</f>
        <v/>
      </c>
      <c r="J1677" s="23" t="str">
        <f aca="false">IF(B1677="","","touch_1; "&amp;IFERROR(INDEX(Clay_Offices!$A$2:$FZ$601,26,Sync!$C$10)&amp;"","")&amp;"; "&amp;IFERROR(INDEX(Clay_Offices!$A$2:$FZ$601,26,Sync!$C$9)&amp;"",""))</f>
        <v>touch_1; office-discovery-A; linkedin</v>
      </c>
      <c r="K1677" s="32" t="s">
        <v>1363</v>
      </c>
    </row>
    <row r="1678" customFormat="false" ht="15" hidden="false" customHeight="false" outlineLevel="0" collapsed="false">
      <c r="A1678" s="42" t="n">
        <f aca="false">IF(B1678="","",B1678+(12*1000+27)/10000000)</f>
        <v>46331.0012027</v>
      </c>
      <c r="B1678" s="35" t="n">
        <f aca="false">IF(AND(IFERROR(N(INDEX(Clay_Offices!$A$2:$FZ$601,27,Sync!$C$11)),0)&gt;0,IFERROR(INDEX(Clay_Offices!$A$2:$FZ$601,27,Sync!$C$5)&amp;"","")&lt;&gt;"",OR(LEFT(IFERROR(INDEX(Clay_Offices!$A$2:$FZ$601,27,Sync!$C$5)&amp;"",""),6)&lt;&gt;"SAMPLE",Config!$B$19="Y")),IFERROR(N(INDEX(Clay_Offices!$A$2:$FZ$601,27,Sync!$C$11)),0),"")</f>
        <v>46331</v>
      </c>
      <c r="C1678" s="23" t="str">
        <f aca="false">IF(B1678="","","office")</f>
        <v>office</v>
      </c>
      <c r="D1678" s="23" t="str">
        <f aca="false">IF(B1678="","",IFERROR(INDEX(Office_Log!$ED$2:$ED$201,MATCH(IFERROR(INDEX(Clay_Offices!$A$2:$FZ$601,27,Sync!$C$5)&amp;"",""),Office_Log!$A$2:$A$201,0))&amp;"",IFERROR(INDEX(Clay_Offices!$A$2:$FZ$601,27,Sync!$C$5)&amp;"","")&amp;""))</f>
        <v>SAMPLE-O-028</v>
      </c>
      <c r="E1678" s="23" t="str">
        <f aca="false">IF(B1678="","",IFERROR(INDEX(Clay_Offices!$A$2:$FZ$601,27,Sync!$C$6)&amp;"",""))</f>
        <v>SAMPLE Office 28</v>
      </c>
      <c r="F1678" s="23" t="str">
        <f aca="false">IF(B1678="","","outreach_sent")</f>
        <v>outreach_sent</v>
      </c>
      <c r="G1678" s="23" t="str">
        <f aca="false">IF(B1678="","","")</f>
        <v/>
      </c>
      <c r="H1678" s="23" t="str">
        <f aca="false">IF(B1678="","","")</f>
        <v/>
      </c>
      <c r="I1678" s="23" t="str">
        <f aca="false">IF(B1678="","","")</f>
        <v/>
      </c>
      <c r="J1678" s="23" t="str">
        <f aca="false">IF(B1678="","","touch_1; "&amp;IFERROR(INDEX(Clay_Offices!$A$2:$FZ$601,27,Sync!$C$10)&amp;"","")&amp;"; "&amp;IFERROR(INDEX(Clay_Offices!$A$2:$FZ$601,27,Sync!$C$9)&amp;"",""))</f>
        <v>touch_1; office-discovery-B; linkedin</v>
      </c>
      <c r="K1678" s="32" t="s">
        <v>1363</v>
      </c>
    </row>
    <row r="1679" customFormat="false" ht="15" hidden="false" customHeight="false" outlineLevel="0" collapsed="false">
      <c r="A1679" s="42" t="n">
        <f aca="false">IF(B1679="","",B1679+(12*1000+28)/10000000)</f>
        <v>46336.0012028</v>
      </c>
      <c r="B1679" s="35" t="n">
        <f aca="false">IF(AND(IFERROR(N(INDEX(Clay_Offices!$A$2:$FZ$601,28,Sync!$C$11)),0)&gt;0,IFERROR(INDEX(Clay_Offices!$A$2:$FZ$601,28,Sync!$C$5)&amp;"","")&lt;&gt;"",OR(LEFT(IFERROR(INDEX(Clay_Offices!$A$2:$FZ$601,28,Sync!$C$5)&amp;"",""),6)&lt;&gt;"SAMPLE",Config!$B$19="Y")),IFERROR(N(INDEX(Clay_Offices!$A$2:$FZ$601,28,Sync!$C$11)),0),"")</f>
        <v>46336</v>
      </c>
      <c r="C1679" s="23" t="str">
        <f aca="false">IF(B1679="","","office")</f>
        <v>office</v>
      </c>
      <c r="D1679" s="23" t="str">
        <f aca="false">IF(B1679="","",IFERROR(INDEX(Office_Log!$ED$2:$ED$201,MATCH(IFERROR(INDEX(Clay_Offices!$A$2:$FZ$601,28,Sync!$C$5)&amp;"",""),Office_Log!$A$2:$A$201,0))&amp;"",IFERROR(INDEX(Clay_Offices!$A$2:$FZ$601,28,Sync!$C$5)&amp;"","")&amp;""))</f>
        <v>SAMPLE-O-029</v>
      </c>
      <c r="E1679" s="23" t="str">
        <f aca="false">IF(B1679="","",IFERROR(INDEX(Clay_Offices!$A$2:$FZ$601,28,Sync!$C$6)&amp;"",""))</f>
        <v>SAMPLE Office 29</v>
      </c>
      <c r="F1679" s="23" t="str">
        <f aca="false">IF(B1679="","","outreach_sent")</f>
        <v>outreach_sent</v>
      </c>
      <c r="G1679" s="23" t="str">
        <f aca="false">IF(B1679="","","")</f>
        <v/>
      </c>
      <c r="H1679" s="23" t="str">
        <f aca="false">IF(B1679="","","")</f>
        <v/>
      </c>
      <c r="I1679" s="23" t="str">
        <f aca="false">IF(B1679="","","")</f>
        <v/>
      </c>
      <c r="J1679" s="23" t="str">
        <f aca="false">IF(B1679="","","touch_1; "&amp;IFERROR(INDEX(Clay_Offices!$A$2:$FZ$601,28,Sync!$C$10)&amp;"","")&amp;"; "&amp;IFERROR(INDEX(Clay_Offices!$A$2:$FZ$601,28,Sync!$C$9)&amp;"",""))</f>
        <v>touch_1; office-discovery-A; email</v>
      </c>
      <c r="K1679" s="32" t="s">
        <v>1363</v>
      </c>
    </row>
    <row r="1680" customFormat="false" ht="15" hidden="false" customHeight="false" outlineLevel="0" collapsed="false">
      <c r="A1680" s="42" t="n">
        <f aca="false">IF(B1680="","",B1680+(12*1000+29)/10000000)</f>
        <v>46342.0012029</v>
      </c>
      <c r="B1680" s="35" t="n">
        <f aca="false">IF(AND(IFERROR(N(INDEX(Clay_Offices!$A$2:$FZ$601,29,Sync!$C$11)),0)&gt;0,IFERROR(INDEX(Clay_Offices!$A$2:$FZ$601,29,Sync!$C$5)&amp;"","")&lt;&gt;"",OR(LEFT(IFERROR(INDEX(Clay_Offices!$A$2:$FZ$601,29,Sync!$C$5)&amp;"",""),6)&lt;&gt;"SAMPLE",Config!$B$19="Y")),IFERROR(N(INDEX(Clay_Offices!$A$2:$FZ$601,29,Sync!$C$11)),0),"")</f>
        <v>46342</v>
      </c>
      <c r="C1680" s="23" t="str">
        <f aca="false">IF(B1680="","","office")</f>
        <v>office</v>
      </c>
      <c r="D1680" s="23" t="str">
        <f aca="false">IF(B1680="","",IFERROR(INDEX(Office_Log!$ED$2:$ED$201,MATCH(IFERROR(INDEX(Clay_Offices!$A$2:$FZ$601,29,Sync!$C$5)&amp;"",""),Office_Log!$A$2:$A$201,0))&amp;"",IFERROR(INDEX(Clay_Offices!$A$2:$FZ$601,29,Sync!$C$5)&amp;"","")&amp;""))</f>
        <v>SAMPLE-O-030</v>
      </c>
      <c r="E1680" s="23" t="str">
        <f aca="false">IF(B1680="","",IFERROR(INDEX(Clay_Offices!$A$2:$FZ$601,29,Sync!$C$6)&amp;"",""))</f>
        <v>SAMPLE Office 30</v>
      </c>
      <c r="F1680" s="23" t="str">
        <f aca="false">IF(B1680="","","outreach_sent")</f>
        <v>outreach_sent</v>
      </c>
      <c r="G1680" s="23" t="str">
        <f aca="false">IF(B1680="","","")</f>
        <v/>
      </c>
      <c r="H1680" s="23" t="str">
        <f aca="false">IF(B1680="","","")</f>
        <v/>
      </c>
      <c r="I1680" s="23" t="str">
        <f aca="false">IF(B1680="","","")</f>
        <v/>
      </c>
      <c r="J1680" s="23" t="str">
        <f aca="false">IF(B1680="","","touch_1; "&amp;IFERROR(INDEX(Clay_Offices!$A$2:$FZ$601,29,Sync!$C$10)&amp;"","")&amp;"; "&amp;IFERROR(INDEX(Clay_Offices!$A$2:$FZ$601,29,Sync!$C$9)&amp;"",""))</f>
        <v>touch_1; office-discovery-B; email</v>
      </c>
      <c r="K1680" s="32" t="s">
        <v>1363</v>
      </c>
    </row>
    <row r="1681" customFormat="false" ht="15" hidden="false" customHeight="false" outlineLevel="0" collapsed="false">
      <c r="A1681" s="42" t="n">
        <f aca="false">IF(B1681="","",B1681+(12*1000+30)/10000000)</f>
        <v>46345.001203</v>
      </c>
      <c r="B1681" s="35" t="n">
        <f aca="false">IF(AND(IFERROR(N(INDEX(Clay_Offices!$A$2:$FZ$601,30,Sync!$C$11)),0)&gt;0,IFERROR(INDEX(Clay_Offices!$A$2:$FZ$601,30,Sync!$C$5)&amp;"","")&lt;&gt;"",OR(LEFT(IFERROR(INDEX(Clay_Offices!$A$2:$FZ$601,30,Sync!$C$5)&amp;"",""),6)&lt;&gt;"SAMPLE",Config!$B$19="Y")),IFERROR(N(INDEX(Clay_Offices!$A$2:$FZ$601,30,Sync!$C$11)),0),"")</f>
        <v>46345</v>
      </c>
      <c r="C1681" s="23" t="str">
        <f aca="false">IF(B1681="","","office")</f>
        <v>office</v>
      </c>
      <c r="D1681" s="23" t="str">
        <f aca="false">IF(B1681="","",IFERROR(INDEX(Office_Log!$ED$2:$ED$201,MATCH(IFERROR(INDEX(Clay_Offices!$A$2:$FZ$601,30,Sync!$C$5)&amp;"",""),Office_Log!$A$2:$A$201,0))&amp;"",IFERROR(INDEX(Clay_Offices!$A$2:$FZ$601,30,Sync!$C$5)&amp;"","")&amp;""))</f>
        <v>SAMPLE-O-031</v>
      </c>
      <c r="E1681" s="23" t="str">
        <f aca="false">IF(B1681="","",IFERROR(INDEX(Clay_Offices!$A$2:$FZ$601,30,Sync!$C$6)&amp;"",""))</f>
        <v>SAMPLE Office 31</v>
      </c>
      <c r="F1681" s="23" t="str">
        <f aca="false">IF(B1681="","","outreach_sent")</f>
        <v>outreach_sent</v>
      </c>
      <c r="G1681" s="23" t="str">
        <f aca="false">IF(B1681="","","")</f>
        <v/>
      </c>
      <c r="H1681" s="23" t="str">
        <f aca="false">IF(B1681="","","")</f>
        <v/>
      </c>
      <c r="I1681" s="23" t="str">
        <f aca="false">IF(B1681="","","")</f>
        <v/>
      </c>
      <c r="J1681" s="23" t="str">
        <f aca="false">IF(B1681="","","touch_1; "&amp;IFERROR(INDEX(Clay_Offices!$A$2:$FZ$601,30,Sync!$C$10)&amp;"","")&amp;"; "&amp;IFERROR(INDEX(Clay_Offices!$A$2:$FZ$601,30,Sync!$C$9)&amp;"",""))</f>
        <v>touch_1; office-discovery-A; email</v>
      </c>
      <c r="K1681" s="32" t="s">
        <v>1363</v>
      </c>
    </row>
    <row r="1682" customFormat="false" ht="15" hidden="false" customHeight="false" outlineLevel="0" collapsed="false">
      <c r="A1682" s="42" t="n">
        <f aca="false">IF(B1682="","",B1682+(12*1000+31)/10000000)</f>
        <v>46322.0012031</v>
      </c>
      <c r="B1682" s="35" t="n">
        <f aca="false">IF(AND(IFERROR(N(INDEX(Clay_Offices!$A$2:$FZ$601,31,Sync!$C$11)),0)&gt;0,IFERROR(INDEX(Clay_Offices!$A$2:$FZ$601,31,Sync!$C$5)&amp;"","")&lt;&gt;"",OR(LEFT(IFERROR(INDEX(Clay_Offices!$A$2:$FZ$601,31,Sync!$C$5)&amp;"",""),6)&lt;&gt;"SAMPLE",Config!$B$19="Y")),IFERROR(N(INDEX(Clay_Offices!$A$2:$FZ$601,31,Sync!$C$11)),0),"")</f>
        <v>46322</v>
      </c>
      <c r="C1682" s="23" t="str">
        <f aca="false">IF(B1682="","","office")</f>
        <v>office</v>
      </c>
      <c r="D1682" s="23" t="str">
        <f aca="false">IF(B1682="","",IFERROR(INDEX(Office_Log!$ED$2:$ED$201,MATCH(IFERROR(INDEX(Clay_Offices!$A$2:$FZ$601,31,Sync!$C$5)&amp;"",""),Office_Log!$A$2:$A$201,0))&amp;"",IFERROR(INDEX(Clay_Offices!$A$2:$FZ$601,31,Sync!$C$5)&amp;"","")&amp;""))</f>
        <v>SAMPLE-O-032</v>
      </c>
      <c r="E1682" s="23" t="str">
        <f aca="false">IF(B1682="","",IFERROR(INDEX(Clay_Offices!$A$2:$FZ$601,31,Sync!$C$6)&amp;"",""))</f>
        <v>SAMPLE Office 32</v>
      </c>
      <c r="F1682" s="23" t="str">
        <f aca="false">IF(B1682="","","outreach_sent")</f>
        <v>outreach_sent</v>
      </c>
      <c r="G1682" s="23" t="str">
        <f aca="false">IF(B1682="","","")</f>
        <v/>
      </c>
      <c r="H1682" s="23" t="str">
        <f aca="false">IF(B1682="","","")</f>
        <v/>
      </c>
      <c r="I1682" s="23" t="str">
        <f aca="false">IF(B1682="","","")</f>
        <v/>
      </c>
      <c r="J1682" s="23" t="str">
        <f aca="false">IF(B1682="","","touch_1; "&amp;IFERROR(INDEX(Clay_Offices!$A$2:$FZ$601,31,Sync!$C$10)&amp;"","")&amp;"; "&amp;IFERROR(INDEX(Clay_Offices!$A$2:$FZ$601,31,Sync!$C$9)&amp;"",""))</f>
        <v>touch_1; office-discovery-B; linkedin</v>
      </c>
      <c r="K1682" s="32" t="s">
        <v>1363</v>
      </c>
    </row>
    <row r="1683" customFormat="false" ht="15" hidden="false" customHeight="false" outlineLevel="0" collapsed="false">
      <c r="A1683" s="42" t="n">
        <f aca="false">IF(B1683="","",B1683+(12*1000+32)/10000000)</f>
        <v>46325.0012032</v>
      </c>
      <c r="B1683" s="35" t="n">
        <f aca="false">IF(AND(IFERROR(N(INDEX(Clay_Offices!$A$2:$FZ$601,32,Sync!$C$11)),0)&gt;0,IFERROR(INDEX(Clay_Offices!$A$2:$FZ$601,32,Sync!$C$5)&amp;"","")&lt;&gt;"",OR(LEFT(IFERROR(INDEX(Clay_Offices!$A$2:$FZ$601,32,Sync!$C$5)&amp;"",""),6)&lt;&gt;"SAMPLE",Config!$B$19="Y")),IFERROR(N(INDEX(Clay_Offices!$A$2:$FZ$601,32,Sync!$C$11)),0),"")</f>
        <v>46325</v>
      </c>
      <c r="C1683" s="23" t="str">
        <f aca="false">IF(B1683="","","office")</f>
        <v>office</v>
      </c>
      <c r="D1683" s="23" t="str">
        <f aca="false">IF(B1683="","",IFERROR(INDEX(Office_Log!$ED$2:$ED$201,MATCH(IFERROR(INDEX(Clay_Offices!$A$2:$FZ$601,32,Sync!$C$5)&amp;"",""),Office_Log!$A$2:$A$201,0))&amp;"",IFERROR(INDEX(Clay_Offices!$A$2:$FZ$601,32,Sync!$C$5)&amp;"","")&amp;""))</f>
        <v>SAMPLE-O-033</v>
      </c>
      <c r="E1683" s="23" t="str">
        <f aca="false">IF(B1683="","",IFERROR(INDEX(Clay_Offices!$A$2:$FZ$601,32,Sync!$C$6)&amp;"",""))</f>
        <v>SAMPLE Office 33</v>
      </c>
      <c r="F1683" s="23" t="str">
        <f aca="false">IF(B1683="","","outreach_sent")</f>
        <v>outreach_sent</v>
      </c>
      <c r="G1683" s="23" t="str">
        <f aca="false">IF(B1683="","","")</f>
        <v/>
      </c>
      <c r="H1683" s="23" t="str">
        <f aca="false">IF(B1683="","","")</f>
        <v/>
      </c>
      <c r="I1683" s="23" t="str">
        <f aca="false">IF(B1683="","","")</f>
        <v/>
      </c>
      <c r="J1683" s="23" t="str">
        <f aca="false">IF(B1683="","","touch_1; "&amp;IFERROR(INDEX(Clay_Offices!$A$2:$FZ$601,32,Sync!$C$10)&amp;"","")&amp;"; "&amp;IFERROR(INDEX(Clay_Offices!$A$2:$FZ$601,32,Sync!$C$9)&amp;"",""))</f>
        <v>touch_1; office-discovery-A; linkedin</v>
      </c>
      <c r="K1683" s="32" t="s">
        <v>1363</v>
      </c>
    </row>
    <row r="1684" customFormat="false" ht="15" hidden="false" customHeight="false" outlineLevel="0" collapsed="false">
      <c r="A1684" s="42" t="n">
        <f aca="false">IF(B1684="","",B1684+(12*1000+33)/10000000)</f>
        <v>46330.0012033</v>
      </c>
      <c r="B1684" s="35" t="n">
        <f aca="false">IF(AND(IFERROR(N(INDEX(Clay_Offices!$A$2:$FZ$601,33,Sync!$C$11)),0)&gt;0,IFERROR(INDEX(Clay_Offices!$A$2:$FZ$601,33,Sync!$C$5)&amp;"","")&lt;&gt;"",OR(LEFT(IFERROR(INDEX(Clay_Offices!$A$2:$FZ$601,33,Sync!$C$5)&amp;"",""),6)&lt;&gt;"SAMPLE",Config!$B$19="Y")),IFERROR(N(INDEX(Clay_Offices!$A$2:$FZ$601,33,Sync!$C$11)),0),"")</f>
        <v>46330</v>
      </c>
      <c r="C1684" s="23" t="str">
        <f aca="false">IF(B1684="","","office")</f>
        <v>office</v>
      </c>
      <c r="D1684" s="23" t="str">
        <f aca="false">IF(B1684="","",IFERROR(INDEX(Office_Log!$ED$2:$ED$201,MATCH(IFERROR(INDEX(Clay_Offices!$A$2:$FZ$601,33,Sync!$C$5)&amp;"",""),Office_Log!$A$2:$A$201,0))&amp;"",IFERROR(INDEX(Clay_Offices!$A$2:$FZ$601,33,Sync!$C$5)&amp;"","")&amp;""))</f>
        <v>SAMPLE-O-034</v>
      </c>
      <c r="E1684" s="23" t="str">
        <f aca="false">IF(B1684="","",IFERROR(INDEX(Clay_Offices!$A$2:$FZ$601,33,Sync!$C$6)&amp;"",""))</f>
        <v>SAMPLE Office 34</v>
      </c>
      <c r="F1684" s="23" t="str">
        <f aca="false">IF(B1684="","","outreach_sent")</f>
        <v>outreach_sent</v>
      </c>
      <c r="G1684" s="23" t="str">
        <f aca="false">IF(B1684="","","")</f>
        <v/>
      </c>
      <c r="H1684" s="23" t="str">
        <f aca="false">IF(B1684="","","")</f>
        <v/>
      </c>
      <c r="I1684" s="23" t="str">
        <f aca="false">IF(B1684="","","")</f>
        <v/>
      </c>
      <c r="J1684" s="23" t="str">
        <f aca="false">IF(B1684="","","touch_1; "&amp;IFERROR(INDEX(Clay_Offices!$A$2:$FZ$601,33,Sync!$C$10)&amp;"","")&amp;"; "&amp;IFERROR(INDEX(Clay_Offices!$A$2:$FZ$601,33,Sync!$C$9)&amp;"",""))</f>
        <v>touch_1; office-discovery-B; linkedin</v>
      </c>
      <c r="K1684" s="32" t="s">
        <v>1363</v>
      </c>
    </row>
    <row r="1685" customFormat="false" ht="15" hidden="false" customHeight="false" outlineLevel="0" collapsed="false">
      <c r="A1685" s="42" t="n">
        <f aca="false">IF(B1685="","",B1685+(12*1000+34)/10000000)</f>
        <v>46335.0012034</v>
      </c>
      <c r="B1685" s="35" t="n">
        <f aca="false">IF(AND(IFERROR(N(INDEX(Clay_Offices!$A$2:$FZ$601,34,Sync!$C$11)),0)&gt;0,IFERROR(INDEX(Clay_Offices!$A$2:$FZ$601,34,Sync!$C$5)&amp;"","")&lt;&gt;"",OR(LEFT(IFERROR(INDEX(Clay_Offices!$A$2:$FZ$601,34,Sync!$C$5)&amp;"",""),6)&lt;&gt;"SAMPLE",Config!$B$19="Y")),IFERROR(N(INDEX(Clay_Offices!$A$2:$FZ$601,34,Sync!$C$11)),0),"")</f>
        <v>46335</v>
      </c>
      <c r="C1685" s="23" t="str">
        <f aca="false">IF(B1685="","","office")</f>
        <v>office</v>
      </c>
      <c r="D1685" s="23" t="str">
        <f aca="false">IF(B1685="","",IFERROR(INDEX(Office_Log!$ED$2:$ED$201,MATCH(IFERROR(INDEX(Clay_Offices!$A$2:$FZ$601,34,Sync!$C$5)&amp;"",""),Office_Log!$A$2:$A$201,0))&amp;"",IFERROR(INDEX(Clay_Offices!$A$2:$FZ$601,34,Sync!$C$5)&amp;"","")&amp;""))</f>
        <v>SAMPLE-O-035</v>
      </c>
      <c r="E1685" s="23" t="str">
        <f aca="false">IF(B1685="","",IFERROR(INDEX(Clay_Offices!$A$2:$FZ$601,34,Sync!$C$6)&amp;"",""))</f>
        <v>SAMPLE Office 35</v>
      </c>
      <c r="F1685" s="23" t="str">
        <f aca="false">IF(B1685="","","outreach_sent")</f>
        <v>outreach_sent</v>
      </c>
      <c r="G1685" s="23" t="str">
        <f aca="false">IF(B1685="","","")</f>
        <v/>
      </c>
      <c r="H1685" s="23" t="str">
        <f aca="false">IF(B1685="","","")</f>
        <v/>
      </c>
      <c r="I1685" s="23" t="str">
        <f aca="false">IF(B1685="","","")</f>
        <v/>
      </c>
      <c r="J1685" s="23" t="str">
        <f aca="false">IF(B1685="","","touch_1; "&amp;IFERROR(INDEX(Clay_Offices!$A$2:$FZ$601,34,Sync!$C$10)&amp;"","")&amp;"; "&amp;IFERROR(INDEX(Clay_Offices!$A$2:$FZ$601,34,Sync!$C$9)&amp;"",""))</f>
        <v>touch_1; office-discovery-A; email</v>
      </c>
      <c r="K1685" s="32" t="s">
        <v>1363</v>
      </c>
    </row>
    <row r="1686" customFormat="false" ht="15" hidden="false" customHeight="false" outlineLevel="0" collapsed="false">
      <c r="A1686" s="42" t="n">
        <f aca="false">IF(B1686="","",B1686+(12*1000+35)/10000000)</f>
        <v>46339.0012035</v>
      </c>
      <c r="B1686" s="35" t="n">
        <f aca="false">IF(AND(IFERROR(N(INDEX(Clay_Offices!$A$2:$FZ$601,35,Sync!$C$11)),0)&gt;0,IFERROR(INDEX(Clay_Offices!$A$2:$FZ$601,35,Sync!$C$5)&amp;"","")&lt;&gt;"",OR(LEFT(IFERROR(INDEX(Clay_Offices!$A$2:$FZ$601,35,Sync!$C$5)&amp;"",""),6)&lt;&gt;"SAMPLE",Config!$B$19="Y")),IFERROR(N(INDEX(Clay_Offices!$A$2:$FZ$601,35,Sync!$C$11)),0),"")</f>
        <v>46339</v>
      </c>
      <c r="C1686" s="23" t="str">
        <f aca="false">IF(B1686="","","office")</f>
        <v>office</v>
      </c>
      <c r="D1686" s="23" t="str">
        <f aca="false">IF(B1686="","",IFERROR(INDEX(Office_Log!$ED$2:$ED$201,MATCH(IFERROR(INDEX(Clay_Offices!$A$2:$FZ$601,35,Sync!$C$5)&amp;"",""),Office_Log!$A$2:$A$201,0))&amp;"",IFERROR(INDEX(Clay_Offices!$A$2:$FZ$601,35,Sync!$C$5)&amp;"","")&amp;""))</f>
        <v>SAMPLE-O-036</v>
      </c>
      <c r="E1686" s="23" t="str">
        <f aca="false">IF(B1686="","",IFERROR(INDEX(Clay_Offices!$A$2:$FZ$601,35,Sync!$C$6)&amp;"",""))</f>
        <v>SAMPLE Office 36</v>
      </c>
      <c r="F1686" s="23" t="str">
        <f aca="false">IF(B1686="","","outreach_sent")</f>
        <v>outreach_sent</v>
      </c>
      <c r="G1686" s="23" t="str">
        <f aca="false">IF(B1686="","","")</f>
        <v/>
      </c>
      <c r="H1686" s="23" t="str">
        <f aca="false">IF(B1686="","","")</f>
        <v/>
      </c>
      <c r="I1686" s="23" t="str">
        <f aca="false">IF(B1686="","","")</f>
        <v/>
      </c>
      <c r="J1686" s="23" t="str">
        <f aca="false">IF(B1686="","","touch_1; "&amp;IFERROR(INDEX(Clay_Offices!$A$2:$FZ$601,35,Sync!$C$10)&amp;"","")&amp;"; "&amp;IFERROR(INDEX(Clay_Offices!$A$2:$FZ$601,35,Sync!$C$9)&amp;"",""))</f>
        <v>touch_1; office-discovery-B; linkedin</v>
      </c>
      <c r="K1686" s="32" t="s">
        <v>1363</v>
      </c>
    </row>
    <row r="1687" customFormat="false" ht="15" hidden="false" customHeight="false" outlineLevel="0" collapsed="false">
      <c r="A1687" s="42" t="n">
        <f aca="false">IF(B1687="","",B1687+(12*1000+36)/10000000)</f>
        <v>46344.0012036</v>
      </c>
      <c r="B1687" s="35" t="n">
        <f aca="false">IF(AND(IFERROR(N(INDEX(Clay_Offices!$A$2:$FZ$601,36,Sync!$C$11)),0)&gt;0,IFERROR(INDEX(Clay_Offices!$A$2:$FZ$601,36,Sync!$C$5)&amp;"","")&lt;&gt;"",OR(LEFT(IFERROR(INDEX(Clay_Offices!$A$2:$FZ$601,36,Sync!$C$5)&amp;"",""),6)&lt;&gt;"SAMPLE",Config!$B$19="Y")),IFERROR(N(INDEX(Clay_Offices!$A$2:$FZ$601,36,Sync!$C$11)),0),"")</f>
        <v>46344</v>
      </c>
      <c r="C1687" s="23" t="str">
        <f aca="false">IF(B1687="","","office")</f>
        <v>office</v>
      </c>
      <c r="D1687" s="23" t="str">
        <f aca="false">IF(B1687="","",IFERROR(INDEX(Office_Log!$ED$2:$ED$201,MATCH(IFERROR(INDEX(Clay_Offices!$A$2:$FZ$601,36,Sync!$C$5)&amp;"",""),Office_Log!$A$2:$A$201,0))&amp;"",IFERROR(INDEX(Clay_Offices!$A$2:$FZ$601,36,Sync!$C$5)&amp;"","")&amp;""))</f>
        <v>SAMPLE-O-037</v>
      </c>
      <c r="E1687" s="23" t="str">
        <f aca="false">IF(B1687="","",IFERROR(INDEX(Clay_Offices!$A$2:$FZ$601,36,Sync!$C$6)&amp;"",""))</f>
        <v>SAMPLE Office 37</v>
      </c>
      <c r="F1687" s="23" t="str">
        <f aca="false">IF(B1687="","","outreach_sent")</f>
        <v>outreach_sent</v>
      </c>
      <c r="G1687" s="23" t="str">
        <f aca="false">IF(B1687="","","")</f>
        <v/>
      </c>
      <c r="H1687" s="23" t="str">
        <f aca="false">IF(B1687="","","")</f>
        <v/>
      </c>
      <c r="I1687" s="23" t="str">
        <f aca="false">IF(B1687="","","")</f>
        <v/>
      </c>
      <c r="J1687" s="23" t="str">
        <f aca="false">IF(B1687="","","touch_1; "&amp;IFERROR(INDEX(Clay_Offices!$A$2:$FZ$601,36,Sync!$C$10)&amp;"","")&amp;"; "&amp;IFERROR(INDEX(Clay_Offices!$A$2:$FZ$601,36,Sync!$C$9)&amp;"",""))</f>
        <v>touch_1; office-discovery-A; email</v>
      </c>
      <c r="K1687" s="32" t="s">
        <v>1363</v>
      </c>
    </row>
    <row r="1688" customFormat="false" ht="15" hidden="false" customHeight="false" outlineLevel="0" collapsed="false">
      <c r="A1688" s="42" t="n">
        <f aca="false">IF(B1688="","",B1688+(12*1000+37)/10000000)</f>
        <v>46321.0012037</v>
      </c>
      <c r="B1688" s="35" t="n">
        <f aca="false">IF(AND(IFERROR(N(INDEX(Clay_Offices!$A$2:$FZ$601,37,Sync!$C$11)),0)&gt;0,IFERROR(INDEX(Clay_Offices!$A$2:$FZ$601,37,Sync!$C$5)&amp;"","")&lt;&gt;"",OR(LEFT(IFERROR(INDEX(Clay_Offices!$A$2:$FZ$601,37,Sync!$C$5)&amp;"",""),6)&lt;&gt;"SAMPLE",Config!$B$19="Y")),IFERROR(N(INDEX(Clay_Offices!$A$2:$FZ$601,37,Sync!$C$11)),0),"")</f>
        <v>46321</v>
      </c>
      <c r="C1688" s="23" t="str">
        <f aca="false">IF(B1688="","","office")</f>
        <v>office</v>
      </c>
      <c r="D1688" s="23" t="str">
        <f aca="false">IF(B1688="","",IFERROR(INDEX(Office_Log!$ED$2:$ED$201,MATCH(IFERROR(INDEX(Clay_Offices!$A$2:$FZ$601,37,Sync!$C$5)&amp;"",""),Office_Log!$A$2:$A$201,0))&amp;"",IFERROR(INDEX(Clay_Offices!$A$2:$FZ$601,37,Sync!$C$5)&amp;"","")&amp;""))</f>
        <v>SAMPLE-O-038</v>
      </c>
      <c r="E1688" s="23" t="str">
        <f aca="false">IF(B1688="","",IFERROR(INDEX(Clay_Offices!$A$2:$FZ$601,37,Sync!$C$6)&amp;"",""))</f>
        <v>SAMPLE Office 38</v>
      </c>
      <c r="F1688" s="23" t="str">
        <f aca="false">IF(B1688="","","outreach_sent")</f>
        <v>outreach_sent</v>
      </c>
      <c r="G1688" s="23" t="str">
        <f aca="false">IF(B1688="","","")</f>
        <v/>
      </c>
      <c r="H1688" s="23" t="str">
        <f aca="false">IF(B1688="","","")</f>
        <v/>
      </c>
      <c r="I1688" s="23" t="str">
        <f aca="false">IF(B1688="","","")</f>
        <v/>
      </c>
      <c r="J1688" s="23" t="str">
        <f aca="false">IF(B1688="","","touch_1; "&amp;IFERROR(INDEX(Clay_Offices!$A$2:$FZ$601,37,Sync!$C$10)&amp;"","")&amp;"; "&amp;IFERROR(INDEX(Clay_Offices!$A$2:$FZ$601,37,Sync!$C$9)&amp;"",""))</f>
        <v>touch_1; office-discovery-B; linkedin</v>
      </c>
      <c r="K1688" s="32" t="s">
        <v>1363</v>
      </c>
    </row>
    <row r="1689" customFormat="false" ht="15" hidden="false" customHeight="false" outlineLevel="0" collapsed="false">
      <c r="A1689" s="42" t="n">
        <f aca="false">IF(B1689="","",B1689+(12*1000+38)/10000000)</f>
        <v>46324.0012038</v>
      </c>
      <c r="B1689" s="35" t="n">
        <f aca="false">IF(AND(IFERROR(N(INDEX(Clay_Offices!$A$2:$FZ$601,38,Sync!$C$11)),0)&gt;0,IFERROR(INDEX(Clay_Offices!$A$2:$FZ$601,38,Sync!$C$5)&amp;"","")&lt;&gt;"",OR(LEFT(IFERROR(INDEX(Clay_Offices!$A$2:$FZ$601,38,Sync!$C$5)&amp;"",""),6)&lt;&gt;"SAMPLE",Config!$B$19="Y")),IFERROR(N(INDEX(Clay_Offices!$A$2:$FZ$601,38,Sync!$C$11)),0),"")</f>
        <v>46324</v>
      </c>
      <c r="C1689" s="23" t="str">
        <f aca="false">IF(B1689="","","office")</f>
        <v>office</v>
      </c>
      <c r="D1689" s="23" t="str">
        <f aca="false">IF(B1689="","",IFERROR(INDEX(Office_Log!$ED$2:$ED$201,MATCH(IFERROR(INDEX(Clay_Offices!$A$2:$FZ$601,38,Sync!$C$5)&amp;"",""),Office_Log!$A$2:$A$201,0))&amp;"",IFERROR(INDEX(Clay_Offices!$A$2:$FZ$601,38,Sync!$C$5)&amp;"","")&amp;""))</f>
        <v>SAMPLE-O-039</v>
      </c>
      <c r="E1689" s="23" t="str">
        <f aca="false">IF(B1689="","",IFERROR(INDEX(Clay_Offices!$A$2:$FZ$601,38,Sync!$C$6)&amp;"",""))</f>
        <v>SAMPLE Office 39</v>
      </c>
      <c r="F1689" s="23" t="str">
        <f aca="false">IF(B1689="","","outreach_sent")</f>
        <v>outreach_sent</v>
      </c>
      <c r="G1689" s="23" t="str">
        <f aca="false">IF(B1689="","","")</f>
        <v/>
      </c>
      <c r="H1689" s="23" t="str">
        <f aca="false">IF(B1689="","","")</f>
        <v/>
      </c>
      <c r="I1689" s="23" t="str">
        <f aca="false">IF(B1689="","","")</f>
        <v/>
      </c>
      <c r="J1689" s="23" t="str">
        <f aca="false">IF(B1689="","","touch_1; "&amp;IFERROR(INDEX(Clay_Offices!$A$2:$FZ$601,38,Sync!$C$10)&amp;"","")&amp;"; "&amp;IFERROR(INDEX(Clay_Offices!$A$2:$FZ$601,38,Sync!$C$9)&amp;"",""))</f>
        <v>touch_1; office-discovery-A; linkedin</v>
      </c>
      <c r="K1689" s="32" t="s">
        <v>1363</v>
      </c>
    </row>
    <row r="1690" customFormat="false" ht="15" hidden="false" customHeight="false" outlineLevel="0" collapsed="false">
      <c r="A1690" s="42" t="n">
        <f aca="false">IF(B1690="","",B1690+(12*1000+39)/10000000)</f>
        <v>46329.0012039</v>
      </c>
      <c r="B1690" s="35" t="n">
        <f aca="false">IF(AND(IFERROR(N(INDEX(Clay_Offices!$A$2:$FZ$601,39,Sync!$C$11)),0)&gt;0,IFERROR(INDEX(Clay_Offices!$A$2:$FZ$601,39,Sync!$C$5)&amp;"","")&lt;&gt;"",OR(LEFT(IFERROR(INDEX(Clay_Offices!$A$2:$FZ$601,39,Sync!$C$5)&amp;"",""),6)&lt;&gt;"SAMPLE",Config!$B$19="Y")),IFERROR(N(INDEX(Clay_Offices!$A$2:$FZ$601,39,Sync!$C$11)),0),"")</f>
        <v>46329</v>
      </c>
      <c r="C1690" s="23" t="str">
        <f aca="false">IF(B1690="","","office")</f>
        <v>office</v>
      </c>
      <c r="D1690" s="23" t="str">
        <f aca="false">IF(B1690="","",IFERROR(INDEX(Office_Log!$ED$2:$ED$201,MATCH(IFERROR(INDEX(Clay_Offices!$A$2:$FZ$601,39,Sync!$C$5)&amp;"",""),Office_Log!$A$2:$A$201,0))&amp;"",IFERROR(INDEX(Clay_Offices!$A$2:$FZ$601,39,Sync!$C$5)&amp;"","")&amp;""))</f>
        <v>SAMPLE-O-040</v>
      </c>
      <c r="E1690" s="23" t="str">
        <f aca="false">IF(B1690="","",IFERROR(INDEX(Clay_Offices!$A$2:$FZ$601,39,Sync!$C$6)&amp;"",""))</f>
        <v>SAMPLE Office 40</v>
      </c>
      <c r="F1690" s="23" t="str">
        <f aca="false">IF(B1690="","","outreach_sent")</f>
        <v>outreach_sent</v>
      </c>
      <c r="G1690" s="23" t="str">
        <f aca="false">IF(B1690="","","")</f>
        <v/>
      </c>
      <c r="H1690" s="23" t="str">
        <f aca="false">IF(B1690="","","")</f>
        <v/>
      </c>
      <c r="I1690" s="23" t="str">
        <f aca="false">IF(B1690="","","")</f>
        <v/>
      </c>
      <c r="J1690" s="23" t="str">
        <f aca="false">IF(B1690="","","touch_1; "&amp;IFERROR(INDEX(Clay_Offices!$A$2:$FZ$601,39,Sync!$C$10)&amp;"","")&amp;"; "&amp;IFERROR(INDEX(Clay_Offices!$A$2:$FZ$601,39,Sync!$C$9)&amp;"",""))</f>
        <v>touch_1; office-discovery-B; linkedin</v>
      </c>
      <c r="K1690" s="32" t="s">
        <v>1363</v>
      </c>
    </row>
    <row r="1691" customFormat="false" ht="15" hidden="false" customHeight="false" outlineLevel="0" collapsed="false">
      <c r="A1691" s="23" t="str">
        <f aca="false">IF(B1691="","",B1691+(12*1000+40)/10000000)</f>
        <v/>
      </c>
      <c r="B1691" s="35" t="str">
        <f aca="false">IF(AND(IFERROR(N(INDEX(Clay_Offices!$A$2:$FZ$601,40,Sync!$C$11)),0)&gt;0,IFERROR(INDEX(Clay_Offices!$A$2:$FZ$601,40,Sync!$C$5)&amp;"","")&lt;&gt;"",OR(LEFT(IFERROR(INDEX(Clay_Offices!$A$2:$FZ$601,40,Sync!$C$5)&amp;"",""),6)&lt;&gt;"SAMPLE",Config!$B$19="Y")),IFERROR(N(INDEX(Clay_Offices!$A$2:$FZ$601,40,Sync!$C$11)),0),"")</f>
        <v/>
      </c>
      <c r="C1691" s="23" t="str">
        <f aca="false">IF(B1691="","","office")</f>
        <v/>
      </c>
      <c r="D1691" s="23" t="str">
        <f aca="false">IF(B1691="","",IFERROR(INDEX(Office_Log!$ED$2:$ED$201,MATCH(IFERROR(INDEX(Clay_Offices!$A$2:$FZ$601,40,Sync!$C$5)&amp;"",""),Office_Log!$A$2:$A$201,0))&amp;"",IFERROR(INDEX(Clay_Offices!$A$2:$FZ$601,40,Sync!$C$5)&amp;"","")&amp;""))</f>
        <v/>
      </c>
      <c r="E1691" s="23" t="str">
        <f aca="false">IF(B1691="","",IFERROR(INDEX(Clay_Offices!$A$2:$FZ$601,40,Sync!$C$6)&amp;"",""))</f>
        <v/>
      </c>
      <c r="F1691" s="23" t="str">
        <f aca="false">IF(B1691="","","outreach_sent")</f>
        <v/>
      </c>
      <c r="G1691" s="23" t="str">
        <f aca="false">IF(B1691="","","")</f>
        <v/>
      </c>
      <c r="H1691" s="23" t="str">
        <f aca="false">IF(B1691="","","")</f>
        <v/>
      </c>
      <c r="I1691" s="23" t="str">
        <f aca="false">IF(B1691="","","")</f>
        <v/>
      </c>
      <c r="J1691" s="23" t="str">
        <f aca="false">IF(B1691="","","touch_1; "&amp;IFERROR(INDEX(Clay_Offices!$A$2:$FZ$601,40,Sync!$C$10)&amp;"","")&amp;"; "&amp;IFERROR(INDEX(Clay_Offices!$A$2:$FZ$601,40,Sync!$C$9)&amp;"",""))</f>
        <v/>
      </c>
      <c r="K1691" s="32" t="s">
        <v>1363</v>
      </c>
    </row>
    <row r="1692" customFormat="false" ht="15" hidden="false" customHeight="false" outlineLevel="0" collapsed="false">
      <c r="A1692" s="23" t="str">
        <f aca="false">IF(B1692="","",B1692+(12*1000+41)/10000000)</f>
        <v/>
      </c>
      <c r="B1692" s="35" t="str">
        <f aca="false">IF(AND(IFERROR(N(INDEX(Clay_Offices!$A$2:$FZ$601,41,Sync!$C$11)),0)&gt;0,IFERROR(INDEX(Clay_Offices!$A$2:$FZ$601,41,Sync!$C$5)&amp;"","")&lt;&gt;"",OR(LEFT(IFERROR(INDEX(Clay_Offices!$A$2:$FZ$601,41,Sync!$C$5)&amp;"",""),6)&lt;&gt;"SAMPLE",Config!$B$19="Y")),IFERROR(N(INDEX(Clay_Offices!$A$2:$FZ$601,41,Sync!$C$11)),0),"")</f>
        <v/>
      </c>
      <c r="C1692" s="23" t="str">
        <f aca="false">IF(B1692="","","office")</f>
        <v/>
      </c>
      <c r="D1692" s="23" t="str">
        <f aca="false">IF(B1692="","",IFERROR(INDEX(Office_Log!$ED$2:$ED$201,MATCH(IFERROR(INDEX(Clay_Offices!$A$2:$FZ$601,41,Sync!$C$5)&amp;"",""),Office_Log!$A$2:$A$201,0))&amp;"",IFERROR(INDEX(Clay_Offices!$A$2:$FZ$601,41,Sync!$C$5)&amp;"","")&amp;""))</f>
        <v/>
      </c>
      <c r="E1692" s="23" t="str">
        <f aca="false">IF(B1692="","",IFERROR(INDEX(Clay_Offices!$A$2:$FZ$601,41,Sync!$C$6)&amp;"",""))</f>
        <v/>
      </c>
      <c r="F1692" s="23" t="str">
        <f aca="false">IF(B1692="","","outreach_sent")</f>
        <v/>
      </c>
      <c r="G1692" s="23" t="str">
        <f aca="false">IF(B1692="","","")</f>
        <v/>
      </c>
      <c r="H1692" s="23" t="str">
        <f aca="false">IF(B1692="","","")</f>
        <v/>
      </c>
      <c r="I1692" s="23" t="str">
        <f aca="false">IF(B1692="","","")</f>
        <v/>
      </c>
      <c r="J1692" s="23" t="str">
        <f aca="false">IF(B1692="","","touch_1; "&amp;IFERROR(INDEX(Clay_Offices!$A$2:$FZ$601,41,Sync!$C$10)&amp;"","")&amp;"; "&amp;IFERROR(INDEX(Clay_Offices!$A$2:$FZ$601,41,Sync!$C$9)&amp;"",""))</f>
        <v/>
      </c>
      <c r="K1692" s="32" t="s">
        <v>1363</v>
      </c>
    </row>
    <row r="1693" customFormat="false" ht="15" hidden="false" customHeight="false" outlineLevel="0" collapsed="false">
      <c r="A1693" s="23" t="str">
        <f aca="false">IF(B1693="","",B1693+(12*1000+42)/10000000)</f>
        <v/>
      </c>
      <c r="B1693" s="35" t="str">
        <f aca="false">IF(AND(IFERROR(N(INDEX(Clay_Offices!$A$2:$FZ$601,42,Sync!$C$11)),0)&gt;0,IFERROR(INDEX(Clay_Offices!$A$2:$FZ$601,42,Sync!$C$5)&amp;"","")&lt;&gt;"",OR(LEFT(IFERROR(INDEX(Clay_Offices!$A$2:$FZ$601,42,Sync!$C$5)&amp;"",""),6)&lt;&gt;"SAMPLE",Config!$B$19="Y")),IFERROR(N(INDEX(Clay_Offices!$A$2:$FZ$601,42,Sync!$C$11)),0),"")</f>
        <v/>
      </c>
      <c r="C1693" s="23" t="str">
        <f aca="false">IF(B1693="","","office")</f>
        <v/>
      </c>
      <c r="D1693" s="23" t="str">
        <f aca="false">IF(B1693="","",IFERROR(INDEX(Office_Log!$ED$2:$ED$201,MATCH(IFERROR(INDEX(Clay_Offices!$A$2:$FZ$601,42,Sync!$C$5)&amp;"",""),Office_Log!$A$2:$A$201,0))&amp;"",IFERROR(INDEX(Clay_Offices!$A$2:$FZ$601,42,Sync!$C$5)&amp;"","")&amp;""))</f>
        <v/>
      </c>
      <c r="E1693" s="23" t="str">
        <f aca="false">IF(B1693="","",IFERROR(INDEX(Clay_Offices!$A$2:$FZ$601,42,Sync!$C$6)&amp;"",""))</f>
        <v/>
      </c>
      <c r="F1693" s="23" t="str">
        <f aca="false">IF(B1693="","","outreach_sent")</f>
        <v/>
      </c>
      <c r="G1693" s="23" t="str">
        <f aca="false">IF(B1693="","","")</f>
        <v/>
      </c>
      <c r="H1693" s="23" t="str">
        <f aca="false">IF(B1693="","","")</f>
        <v/>
      </c>
      <c r="I1693" s="23" t="str">
        <f aca="false">IF(B1693="","","")</f>
        <v/>
      </c>
      <c r="J1693" s="23" t="str">
        <f aca="false">IF(B1693="","","touch_1; "&amp;IFERROR(INDEX(Clay_Offices!$A$2:$FZ$601,42,Sync!$C$10)&amp;"","")&amp;"; "&amp;IFERROR(INDEX(Clay_Offices!$A$2:$FZ$601,42,Sync!$C$9)&amp;"",""))</f>
        <v/>
      </c>
      <c r="K1693" s="32" t="s">
        <v>1363</v>
      </c>
    </row>
    <row r="1694" customFormat="false" ht="15" hidden="false" customHeight="false" outlineLevel="0" collapsed="false">
      <c r="A1694" s="23" t="str">
        <f aca="false">IF(B1694="","",B1694+(12*1000+43)/10000000)</f>
        <v/>
      </c>
      <c r="B1694" s="35" t="str">
        <f aca="false">IF(AND(IFERROR(N(INDEX(Clay_Offices!$A$2:$FZ$601,43,Sync!$C$11)),0)&gt;0,IFERROR(INDEX(Clay_Offices!$A$2:$FZ$601,43,Sync!$C$5)&amp;"","")&lt;&gt;"",OR(LEFT(IFERROR(INDEX(Clay_Offices!$A$2:$FZ$601,43,Sync!$C$5)&amp;"",""),6)&lt;&gt;"SAMPLE",Config!$B$19="Y")),IFERROR(N(INDEX(Clay_Offices!$A$2:$FZ$601,43,Sync!$C$11)),0),"")</f>
        <v/>
      </c>
      <c r="C1694" s="23" t="str">
        <f aca="false">IF(B1694="","","office")</f>
        <v/>
      </c>
      <c r="D1694" s="23" t="str">
        <f aca="false">IF(B1694="","",IFERROR(INDEX(Office_Log!$ED$2:$ED$201,MATCH(IFERROR(INDEX(Clay_Offices!$A$2:$FZ$601,43,Sync!$C$5)&amp;"",""),Office_Log!$A$2:$A$201,0))&amp;"",IFERROR(INDEX(Clay_Offices!$A$2:$FZ$601,43,Sync!$C$5)&amp;"","")&amp;""))</f>
        <v/>
      </c>
      <c r="E1694" s="23" t="str">
        <f aca="false">IF(B1694="","",IFERROR(INDEX(Clay_Offices!$A$2:$FZ$601,43,Sync!$C$6)&amp;"",""))</f>
        <v/>
      </c>
      <c r="F1694" s="23" t="str">
        <f aca="false">IF(B1694="","","outreach_sent")</f>
        <v/>
      </c>
      <c r="G1694" s="23" t="str">
        <f aca="false">IF(B1694="","","")</f>
        <v/>
      </c>
      <c r="H1694" s="23" t="str">
        <f aca="false">IF(B1694="","","")</f>
        <v/>
      </c>
      <c r="I1694" s="23" t="str">
        <f aca="false">IF(B1694="","","")</f>
        <v/>
      </c>
      <c r="J1694" s="23" t="str">
        <f aca="false">IF(B1694="","","touch_1; "&amp;IFERROR(INDEX(Clay_Offices!$A$2:$FZ$601,43,Sync!$C$10)&amp;"","")&amp;"; "&amp;IFERROR(INDEX(Clay_Offices!$A$2:$FZ$601,43,Sync!$C$9)&amp;"",""))</f>
        <v/>
      </c>
      <c r="K1694" s="32" t="s">
        <v>1363</v>
      </c>
    </row>
    <row r="1695" customFormat="false" ht="15" hidden="false" customHeight="false" outlineLevel="0" collapsed="false">
      <c r="A1695" s="23" t="str">
        <f aca="false">IF(B1695="","",B1695+(12*1000+44)/10000000)</f>
        <v/>
      </c>
      <c r="B1695" s="35" t="str">
        <f aca="false">IF(AND(IFERROR(N(INDEX(Clay_Offices!$A$2:$FZ$601,44,Sync!$C$11)),0)&gt;0,IFERROR(INDEX(Clay_Offices!$A$2:$FZ$601,44,Sync!$C$5)&amp;"","")&lt;&gt;"",OR(LEFT(IFERROR(INDEX(Clay_Offices!$A$2:$FZ$601,44,Sync!$C$5)&amp;"",""),6)&lt;&gt;"SAMPLE",Config!$B$19="Y")),IFERROR(N(INDEX(Clay_Offices!$A$2:$FZ$601,44,Sync!$C$11)),0),"")</f>
        <v/>
      </c>
      <c r="C1695" s="23" t="str">
        <f aca="false">IF(B1695="","","office")</f>
        <v/>
      </c>
      <c r="D1695" s="23" t="str">
        <f aca="false">IF(B1695="","",IFERROR(INDEX(Office_Log!$ED$2:$ED$201,MATCH(IFERROR(INDEX(Clay_Offices!$A$2:$FZ$601,44,Sync!$C$5)&amp;"",""),Office_Log!$A$2:$A$201,0))&amp;"",IFERROR(INDEX(Clay_Offices!$A$2:$FZ$601,44,Sync!$C$5)&amp;"","")&amp;""))</f>
        <v/>
      </c>
      <c r="E1695" s="23" t="str">
        <f aca="false">IF(B1695="","",IFERROR(INDEX(Clay_Offices!$A$2:$FZ$601,44,Sync!$C$6)&amp;"",""))</f>
        <v/>
      </c>
      <c r="F1695" s="23" t="str">
        <f aca="false">IF(B1695="","","outreach_sent")</f>
        <v/>
      </c>
      <c r="G1695" s="23" t="str">
        <f aca="false">IF(B1695="","","")</f>
        <v/>
      </c>
      <c r="H1695" s="23" t="str">
        <f aca="false">IF(B1695="","","")</f>
        <v/>
      </c>
      <c r="I1695" s="23" t="str">
        <f aca="false">IF(B1695="","","")</f>
        <v/>
      </c>
      <c r="J1695" s="23" t="str">
        <f aca="false">IF(B1695="","","touch_1; "&amp;IFERROR(INDEX(Clay_Offices!$A$2:$FZ$601,44,Sync!$C$10)&amp;"","")&amp;"; "&amp;IFERROR(INDEX(Clay_Offices!$A$2:$FZ$601,44,Sync!$C$9)&amp;"",""))</f>
        <v/>
      </c>
      <c r="K1695" s="32" t="s">
        <v>1363</v>
      </c>
    </row>
    <row r="1696" customFormat="false" ht="15" hidden="false" customHeight="false" outlineLevel="0" collapsed="false">
      <c r="A1696" s="23" t="str">
        <f aca="false">IF(B1696="","",B1696+(12*1000+45)/10000000)</f>
        <v/>
      </c>
      <c r="B1696" s="35" t="str">
        <f aca="false">IF(AND(IFERROR(N(INDEX(Clay_Offices!$A$2:$FZ$601,45,Sync!$C$11)),0)&gt;0,IFERROR(INDEX(Clay_Offices!$A$2:$FZ$601,45,Sync!$C$5)&amp;"","")&lt;&gt;"",OR(LEFT(IFERROR(INDEX(Clay_Offices!$A$2:$FZ$601,45,Sync!$C$5)&amp;"",""),6)&lt;&gt;"SAMPLE",Config!$B$19="Y")),IFERROR(N(INDEX(Clay_Offices!$A$2:$FZ$601,45,Sync!$C$11)),0),"")</f>
        <v/>
      </c>
      <c r="C1696" s="23" t="str">
        <f aca="false">IF(B1696="","","office")</f>
        <v/>
      </c>
      <c r="D1696" s="23" t="str">
        <f aca="false">IF(B1696="","",IFERROR(INDEX(Office_Log!$ED$2:$ED$201,MATCH(IFERROR(INDEX(Clay_Offices!$A$2:$FZ$601,45,Sync!$C$5)&amp;"",""),Office_Log!$A$2:$A$201,0))&amp;"",IFERROR(INDEX(Clay_Offices!$A$2:$FZ$601,45,Sync!$C$5)&amp;"","")&amp;""))</f>
        <v/>
      </c>
      <c r="E1696" s="23" t="str">
        <f aca="false">IF(B1696="","",IFERROR(INDEX(Clay_Offices!$A$2:$FZ$601,45,Sync!$C$6)&amp;"",""))</f>
        <v/>
      </c>
      <c r="F1696" s="23" t="str">
        <f aca="false">IF(B1696="","","outreach_sent")</f>
        <v/>
      </c>
      <c r="G1696" s="23" t="str">
        <f aca="false">IF(B1696="","","")</f>
        <v/>
      </c>
      <c r="H1696" s="23" t="str">
        <f aca="false">IF(B1696="","","")</f>
        <v/>
      </c>
      <c r="I1696" s="23" t="str">
        <f aca="false">IF(B1696="","","")</f>
        <v/>
      </c>
      <c r="J1696" s="23" t="str">
        <f aca="false">IF(B1696="","","touch_1; "&amp;IFERROR(INDEX(Clay_Offices!$A$2:$FZ$601,45,Sync!$C$10)&amp;"","")&amp;"; "&amp;IFERROR(INDEX(Clay_Offices!$A$2:$FZ$601,45,Sync!$C$9)&amp;"",""))</f>
        <v/>
      </c>
      <c r="K1696" s="32" t="s">
        <v>1363</v>
      </c>
    </row>
    <row r="1697" customFormat="false" ht="15" hidden="false" customHeight="false" outlineLevel="0" collapsed="false">
      <c r="A1697" s="23" t="str">
        <f aca="false">IF(B1697="","",B1697+(12*1000+46)/10000000)</f>
        <v/>
      </c>
      <c r="B1697" s="35" t="str">
        <f aca="false">IF(AND(IFERROR(N(INDEX(Clay_Offices!$A$2:$FZ$601,46,Sync!$C$11)),0)&gt;0,IFERROR(INDEX(Clay_Offices!$A$2:$FZ$601,46,Sync!$C$5)&amp;"","")&lt;&gt;"",OR(LEFT(IFERROR(INDEX(Clay_Offices!$A$2:$FZ$601,46,Sync!$C$5)&amp;"",""),6)&lt;&gt;"SAMPLE",Config!$B$19="Y")),IFERROR(N(INDEX(Clay_Offices!$A$2:$FZ$601,46,Sync!$C$11)),0),"")</f>
        <v/>
      </c>
      <c r="C1697" s="23" t="str">
        <f aca="false">IF(B1697="","","office")</f>
        <v/>
      </c>
      <c r="D1697" s="23" t="str">
        <f aca="false">IF(B1697="","",IFERROR(INDEX(Office_Log!$ED$2:$ED$201,MATCH(IFERROR(INDEX(Clay_Offices!$A$2:$FZ$601,46,Sync!$C$5)&amp;"",""),Office_Log!$A$2:$A$201,0))&amp;"",IFERROR(INDEX(Clay_Offices!$A$2:$FZ$601,46,Sync!$C$5)&amp;"","")&amp;""))</f>
        <v/>
      </c>
      <c r="E1697" s="23" t="str">
        <f aca="false">IF(B1697="","",IFERROR(INDEX(Clay_Offices!$A$2:$FZ$601,46,Sync!$C$6)&amp;"",""))</f>
        <v/>
      </c>
      <c r="F1697" s="23" t="str">
        <f aca="false">IF(B1697="","","outreach_sent")</f>
        <v/>
      </c>
      <c r="G1697" s="23" t="str">
        <f aca="false">IF(B1697="","","")</f>
        <v/>
      </c>
      <c r="H1697" s="23" t="str">
        <f aca="false">IF(B1697="","","")</f>
        <v/>
      </c>
      <c r="I1697" s="23" t="str">
        <f aca="false">IF(B1697="","","")</f>
        <v/>
      </c>
      <c r="J1697" s="23" t="str">
        <f aca="false">IF(B1697="","","touch_1; "&amp;IFERROR(INDEX(Clay_Offices!$A$2:$FZ$601,46,Sync!$C$10)&amp;"","")&amp;"; "&amp;IFERROR(INDEX(Clay_Offices!$A$2:$FZ$601,46,Sync!$C$9)&amp;"",""))</f>
        <v/>
      </c>
      <c r="K1697" s="32" t="s">
        <v>1363</v>
      </c>
    </row>
    <row r="1698" customFormat="false" ht="15" hidden="false" customHeight="false" outlineLevel="0" collapsed="false">
      <c r="A1698" s="23" t="str">
        <f aca="false">IF(B1698="","",B1698+(12*1000+47)/10000000)</f>
        <v/>
      </c>
      <c r="B1698" s="35" t="str">
        <f aca="false">IF(AND(IFERROR(N(INDEX(Clay_Offices!$A$2:$FZ$601,47,Sync!$C$11)),0)&gt;0,IFERROR(INDEX(Clay_Offices!$A$2:$FZ$601,47,Sync!$C$5)&amp;"","")&lt;&gt;"",OR(LEFT(IFERROR(INDEX(Clay_Offices!$A$2:$FZ$601,47,Sync!$C$5)&amp;"",""),6)&lt;&gt;"SAMPLE",Config!$B$19="Y")),IFERROR(N(INDEX(Clay_Offices!$A$2:$FZ$601,47,Sync!$C$11)),0),"")</f>
        <v/>
      </c>
      <c r="C1698" s="23" t="str">
        <f aca="false">IF(B1698="","","office")</f>
        <v/>
      </c>
      <c r="D1698" s="23" t="str">
        <f aca="false">IF(B1698="","",IFERROR(INDEX(Office_Log!$ED$2:$ED$201,MATCH(IFERROR(INDEX(Clay_Offices!$A$2:$FZ$601,47,Sync!$C$5)&amp;"",""),Office_Log!$A$2:$A$201,0))&amp;"",IFERROR(INDEX(Clay_Offices!$A$2:$FZ$601,47,Sync!$C$5)&amp;"","")&amp;""))</f>
        <v/>
      </c>
      <c r="E1698" s="23" t="str">
        <f aca="false">IF(B1698="","",IFERROR(INDEX(Clay_Offices!$A$2:$FZ$601,47,Sync!$C$6)&amp;"",""))</f>
        <v/>
      </c>
      <c r="F1698" s="23" t="str">
        <f aca="false">IF(B1698="","","outreach_sent")</f>
        <v/>
      </c>
      <c r="G1698" s="23" t="str">
        <f aca="false">IF(B1698="","","")</f>
        <v/>
      </c>
      <c r="H1698" s="23" t="str">
        <f aca="false">IF(B1698="","","")</f>
        <v/>
      </c>
      <c r="I1698" s="23" t="str">
        <f aca="false">IF(B1698="","","")</f>
        <v/>
      </c>
      <c r="J1698" s="23" t="str">
        <f aca="false">IF(B1698="","","touch_1; "&amp;IFERROR(INDEX(Clay_Offices!$A$2:$FZ$601,47,Sync!$C$10)&amp;"","")&amp;"; "&amp;IFERROR(INDEX(Clay_Offices!$A$2:$FZ$601,47,Sync!$C$9)&amp;"",""))</f>
        <v/>
      </c>
      <c r="K1698" s="32" t="s">
        <v>1363</v>
      </c>
    </row>
    <row r="1699" customFormat="false" ht="15" hidden="false" customHeight="false" outlineLevel="0" collapsed="false">
      <c r="A1699" s="23" t="str">
        <f aca="false">IF(B1699="","",B1699+(12*1000+48)/10000000)</f>
        <v/>
      </c>
      <c r="B1699" s="35" t="str">
        <f aca="false">IF(AND(IFERROR(N(INDEX(Clay_Offices!$A$2:$FZ$601,48,Sync!$C$11)),0)&gt;0,IFERROR(INDEX(Clay_Offices!$A$2:$FZ$601,48,Sync!$C$5)&amp;"","")&lt;&gt;"",OR(LEFT(IFERROR(INDEX(Clay_Offices!$A$2:$FZ$601,48,Sync!$C$5)&amp;"",""),6)&lt;&gt;"SAMPLE",Config!$B$19="Y")),IFERROR(N(INDEX(Clay_Offices!$A$2:$FZ$601,48,Sync!$C$11)),0),"")</f>
        <v/>
      </c>
      <c r="C1699" s="23" t="str">
        <f aca="false">IF(B1699="","","office")</f>
        <v/>
      </c>
      <c r="D1699" s="23" t="str">
        <f aca="false">IF(B1699="","",IFERROR(INDEX(Office_Log!$ED$2:$ED$201,MATCH(IFERROR(INDEX(Clay_Offices!$A$2:$FZ$601,48,Sync!$C$5)&amp;"",""),Office_Log!$A$2:$A$201,0))&amp;"",IFERROR(INDEX(Clay_Offices!$A$2:$FZ$601,48,Sync!$C$5)&amp;"","")&amp;""))</f>
        <v/>
      </c>
      <c r="E1699" s="23" t="str">
        <f aca="false">IF(B1699="","",IFERROR(INDEX(Clay_Offices!$A$2:$FZ$601,48,Sync!$C$6)&amp;"",""))</f>
        <v/>
      </c>
      <c r="F1699" s="23" t="str">
        <f aca="false">IF(B1699="","","outreach_sent")</f>
        <v/>
      </c>
      <c r="G1699" s="23" t="str">
        <f aca="false">IF(B1699="","","")</f>
        <v/>
      </c>
      <c r="H1699" s="23" t="str">
        <f aca="false">IF(B1699="","","")</f>
        <v/>
      </c>
      <c r="I1699" s="23" t="str">
        <f aca="false">IF(B1699="","","")</f>
        <v/>
      </c>
      <c r="J1699" s="23" t="str">
        <f aca="false">IF(B1699="","","touch_1; "&amp;IFERROR(INDEX(Clay_Offices!$A$2:$FZ$601,48,Sync!$C$10)&amp;"","")&amp;"; "&amp;IFERROR(INDEX(Clay_Offices!$A$2:$FZ$601,48,Sync!$C$9)&amp;"",""))</f>
        <v/>
      </c>
      <c r="K1699" s="32" t="s">
        <v>1363</v>
      </c>
    </row>
    <row r="1700" customFormat="false" ht="15" hidden="false" customHeight="false" outlineLevel="0" collapsed="false">
      <c r="A1700" s="23" t="str">
        <f aca="false">IF(B1700="","",B1700+(12*1000+49)/10000000)</f>
        <v/>
      </c>
      <c r="B1700" s="35" t="str">
        <f aca="false">IF(AND(IFERROR(N(INDEX(Clay_Offices!$A$2:$FZ$601,49,Sync!$C$11)),0)&gt;0,IFERROR(INDEX(Clay_Offices!$A$2:$FZ$601,49,Sync!$C$5)&amp;"","")&lt;&gt;"",OR(LEFT(IFERROR(INDEX(Clay_Offices!$A$2:$FZ$601,49,Sync!$C$5)&amp;"",""),6)&lt;&gt;"SAMPLE",Config!$B$19="Y")),IFERROR(N(INDEX(Clay_Offices!$A$2:$FZ$601,49,Sync!$C$11)),0),"")</f>
        <v/>
      </c>
      <c r="C1700" s="23" t="str">
        <f aca="false">IF(B1700="","","office")</f>
        <v/>
      </c>
      <c r="D1700" s="23" t="str">
        <f aca="false">IF(B1700="","",IFERROR(INDEX(Office_Log!$ED$2:$ED$201,MATCH(IFERROR(INDEX(Clay_Offices!$A$2:$FZ$601,49,Sync!$C$5)&amp;"",""),Office_Log!$A$2:$A$201,0))&amp;"",IFERROR(INDEX(Clay_Offices!$A$2:$FZ$601,49,Sync!$C$5)&amp;"","")&amp;""))</f>
        <v/>
      </c>
      <c r="E1700" s="23" t="str">
        <f aca="false">IF(B1700="","",IFERROR(INDEX(Clay_Offices!$A$2:$FZ$601,49,Sync!$C$6)&amp;"",""))</f>
        <v/>
      </c>
      <c r="F1700" s="23" t="str">
        <f aca="false">IF(B1700="","","outreach_sent")</f>
        <v/>
      </c>
      <c r="G1700" s="23" t="str">
        <f aca="false">IF(B1700="","","")</f>
        <v/>
      </c>
      <c r="H1700" s="23" t="str">
        <f aca="false">IF(B1700="","","")</f>
        <v/>
      </c>
      <c r="I1700" s="23" t="str">
        <f aca="false">IF(B1700="","","")</f>
        <v/>
      </c>
      <c r="J1700" s="23" t="str">
        <f aca="false">IF(B1700="","","touch_1; "&amp;IFERROR(INDEX(Clay_Offices!$A$2:$FZ$601,49,Sync!$C$10)&amp;"","")&amp;"; "&amp;IFERROR(INDEX(Clay_Offices!$A$2:$FZ$601,49,Sync!$C$9)&amp;"",""))</f>
        <v/>
      </c>
      <c r="K1700" s="32" t="s">
        <v>1363</v>
      </c>
    </row>
    <row r="1701" customFormat="false" ht="15" hidden="false" customHeight="false" outlineLevel="0" collapsed="false">
      <c r="A1701" s="23" t="str">
        <f aca="false">IF(B1701="","",B1701+(12*1000+50)/10000000)</f>
        <v/>
      </c>
      <c r="B1701" s="35" t="str">
        <f aca="false">IF(AND(IFERROR(N(INDEX(Clay_Offices!$A$2:$FZ$601,50,Sync!$C$11)),0)&gt;0,IFERROR(INDEX(Clay_Offices!$A$2:$FZ$601,50,Sync!$C$5)&amp;"","")&lt;&gt;"",OR(LEFT(IFERROR(INDEX(Clay_Offices!$A$2:$FZ$601,50,Sync!$C$5)&amp;"",""),6)&lt;&gt;"SAMPLE",Config!$B$19="Y")),IFERROR(N(INDEX(Clay_Offices!$A$2:$FZ$601,50,Sync!$C$11)),0),"")</f>
        <v/>
      </c>
      <c r="C1701" s="23" t="str">
        <f aca="false">IF(B1701="","","office")</f>
        <v/>
      </c>
      <c r="D1701" s="23" t="str">
        <f aca="false">IF(B1701="","",IFERROR(INDEX(Office_Log!$ED$2:$ED$201,MATCH(IFERROR(INDEX(Clay_Offices!$A$2:$FZ$601,50,Sync!$C$5)&amp;"",""),Office_Log!$A$2:$A$201,0))&amp;"",IFERROR(INDEX(Clay_Offices!$A$2:$FZ$601,50,Sync!$C$5)&amp;"","")&amp;""))</f>
        <v/>
      </c>
      <c r="E1701" s="23" t="str">
        <f aca="false">IF(B1701="","",IFERROR(INDEX(Clay_Offices!$A$2:$FZ$601,50,Sync!$C$6)&amp;"",""))</f>
        <v/>
      </c>
      <c r="F1701" s="23" t="str">
        <f aca="false">IF(B1701="","","outreach_sent")</f>
        <v/>
      </c>
      <c r="G1701" s="23" t="str">
        <f aca="false">IF(B1701="","","")</f>
        <v/>
      </c>
      <c r="H1701" s="23" t="str">
        <f aca="false">IF(B1701="","","")</f>
        <v/>
      </c>
      <c r="I1701" s="23" t="str">
        <f aca="false">IF(B1701="","","")</f>
        <v/>
      </c>
      <c r="J1701" s="23" t="str">
        <f aca="false">IF(B1701="","","touch_1; "&amp;IFERROR(INDEX(Clay_Offices!$A$2:$FZ$601,50,Sync!$C$10)&amp;"","")&amp;"; "&amp;IFERROR(INDEX(Clay_Offices!$A$2:$FZ$601,50,Sync!$C$9)&amp;"",""))</f>
        <v/>
      </c>
      <c r="K1701" s="32" t="s">
        <v>1363</v>
      </c>
    </row>
    <row r="1702" customFormat="false" ht="15" hidden="false" customHeight="false" outlineLevel="0" collapsed="false">
      <c r="A1702" s="23" t="str">
        <f aca="false">IF(B1702="","",B1702+(12*1000+51)/10000000)</f>
        <v/>
      </c>
      <c r="B1702" s="35" t="str">
        <f aca="false">IF(AND(IFERROR(N(INDEX(Clay_Offices!$A$2:$FZ$601,51,Sync!$C$11)),0)&gt;0,IFERROR(INDEX(Clay_Offices!$A$2:$FZ$601,51,Sync!$C$5)&amp;"","")&lt;&gt;"",OR(LEFT(IFERROR(INDEX(Clay_Offices!$A$2:$FZ$601,51,Sync!$C$5)&amp;"",""),6)&lt;&gt;"SAMPLE",Config!$B$19="Y")),IFERROR(N(INDEX(Clay_Offices!$A$2:$FZ$601,51,Sync!$C$11)),0),"")</f>
        <v/>
      </c>
      <c r="C1702" s="23" t="str">
        <f aca="false">IF(B1702="","","office")</f>
        <v/>
      </c>
      <c r="D1702" s="23" t="str">
        <f aca="false">IF(B1702="","",IFERROR(INDEX(Office_Log!$ED$2:$ED$201,MATCH(IFERROR(INDEX(Clay_Offices!$A$2:$FZ$601,51,Sync!$C$5)&amp;"",""),Office_Log!$A$2:$A$201,0))&amp;"",IFERROR(INDEX(Clay_Offices!$A$2:$FZ$601,51,Sync!$C$5)&amp;"","")&amp;""))</f>
        <v/>
      </c>
      <c r="E1702" s="23" t="str">
        <f aca="false">IF(B1702="","",IFERROR(INDEX(Clay_Offices!$A$2:$FZ$601,51,Sync!$C$6)&amp;"",""))</f>
        <v/>
      </c>
      <c r="F1702" s="23" t="str">
        <f aca="false">IF(B1702="","","outreach_sent")</f>
        <v/>
      </c>
      <c r="G1702" s="23" t="str">
        <f aca="false">IF(B1702="","","")</f>
        <v/>
      </c>
      <c r="H1702" s="23" t="str">
        <f aca="false">IF(B1702="","","")</f>
        <v/>
      </c>
      <c r="I1702" s="23" t="str">
        <f aca="false">IF(B1702="","","")</f>
        <v/>
      </c>
      <c r="J1702" s="23" t="str">
        <f aca="false">IF(B1702="","","touch_1; "&amp;IFERROR(INDEX(Clay_Offices!$A$2:$FZ$601,51,Sync!$C$10)&amp;"","")&amp;"; "&amp;IFERROR(INDEX(Clay_Offices!$A$2:$FZ$601,51,Sync!$C$9)&amp;"",""))</f>
        <v/>
      </c>
      <c r="K1702" s="32" t="s">
        <v>1363</v>
      </c>
    </row>
    <row r="1703" customFormat="false" ht="15" hidden="false" customHeight="false" outlineLevel="0" collapsed="false">
      <c r="A1703" s="23" t="str">
        <f aca="false">IF(B1703="","",B1703+(12*1000+52)/10000000)</f>
        <v/>
      </c>
      <c r="B1703" s="35" t="str">
        <f aca="false">IF(AND(IFERROR(N(INDEX(Clay_Offices!$A$2:$FZ$601,52,Sync!$C$11)),0)&gt;0,IFERROR(INDEX(Clay_Offices!$A$2:$FZ$601,52,Sync!$C$5)&amp;"","")&lt;&gt;"",OR(LEFT(IFERROR(INDEX(Clay_Offices!$A$2:$FZ$601,52,Sync!$C$5)&amp;"",""),6)&lt;&gt;"SAMPLE",Config!$B$19="Y")),IFERROR(N(INDEX(Clay_Offices!$A$2:$FZ$601,52,Sync!$C$11)),0),"")</f>
        <v/>
      </c>
      <c r="C1703" s="23" t="str">
        <f aca="false">IF(B1703="","","office")</f>
        <v/>
      </c>
      <c r="D1703" s="23" t="str">
        <f aca="false">IF(B1703="","",IFERROR(INDEX(Office_Log!$ED$2:$ED$201,MATCH(IFERROR(INDEX(Clay_Offices!$A$2:$FZ$601,52,Sync!$C$5)&amp;"",""),Office_Log!$A$2:$A$201,0))&amp;"",IFERROR(INDEX(Clay_Offices!$A$2:$FZ$601,52,Sync!$C$5)&amp;"","")&amp;""))</f>
        <v/>
      </c>
      <c r="E1703" s="23" t="str">
        <f aca="false">IF(B1703="","",IFERROR(INDEX(Clay_Offices!$A$2:$FZ$601,52,Sync!$C$6)&amp;"",""))</f>
        <v/>
      </c>
      <c r="F1703" s="23" t="str">
        <f aca="false">IF(B1703="","","outreach_sent")</f>
        <v/>
      </c>
      <c r="G1703" s="23" t="str">
        <f aca="false">IF(B1703="","","")</f>
        <v/>
      </c>
      <c r="H1703" s="23" t="str">
        <f aca="false">IF(B1703="","","")</f>
        <v/>
      </c>
      <c r="I1703" s="23" t="str">
        <f aca="false">IF(B1703="","","")</f>
        <v/>
      </c>
      <c r="J1703" s="23" t="str">
        <f aca="false">IF(B1703="","","touch_1; "&amp;IFERROR(INDEX(Clay_Offices!$A$2:$FZ$601,52,Sync!$C$10)&amp;"","")&amp;"; "&amp;IFERROR(INDEX(Clay_Offices!$A$2:$FZ$601,52,Sync!$C$9)&amp;"",""))</f>
        <v/>
      </c>
      <c r="K1703" s="32" t="s">
        <v>1363</v>
      </c>
    </row>
    <row r="1704" customFormat="false" ht="15" hidden="false" customHeight="false" outlineLevel="0" collapsed="false">
      <c r="A1704" s="23" t="str">
        <f aca="false">IF(B1704="","",B1704+(12*1000+53)/10000000)</f>
        <v/>
      </c>
      <c r="B1704" s="35" t="str">
        <f aca="false">IF(AND(IFERROR(N(INDEX(Clay_Offices!$A$2:$FZ$601,53,Sync!$C$11)),0)&gt;0,IFERROR(INDEX(Clay_Offices!$A$2:$FZ$601,53,Sync!$C$5)&amp;"","")&lt;&gt;"",OR(LEFT(IFERROR(INDEX(Clay_Offices!$A$2:$FZ$601,53,Sync!$C$5)&amp;"",""),6)&lt;&gt;"SAMPLE",Config!$B$19="Y")),IFERROR(N(INDEX(Clay_Offices!$A$2:$FZ$601,53,Sync!$C$11)),0),"")</f>
        <v/>
      </c>
      <c r="C1704" s="23" t="str">
        <f aca="false">IF(B1704="","","office")</f>
        <v/>
      </c>
      <c r="D1704" s="23" t="str">
        <f aca="false">IF(B1704="","",IFERROR(INDEX(Office_Log!$ED$2:$ED$201,MATCH(IFERROR(INDEX(Clay_Offices!$A$2:$FZ$601,53,Sync!$C$5)&amp;"",""),Office_Log!$A$2:$A$201,0))&amp;"",IFERROR(INDEX(Clay_Offices!$A$2:$FZ$601,53,Sync!$C$5)&amp;"","")&amp;""))</f>
        <v/>
      </c>
      <c r="E1704" s="23" t="str">
        <f aca="false">IF(B1704="","",IFERROR(INDEX(Clay_Offices!$A$2:$FZ$601,53,Sync!$C$6)&amp;"",""))</f>
        <v/>
      </c>
      <c r="F1704" s="23" t="str">
        <f aca="false">IF(B1704="","","outreach_sent")</f>
        <v/>
      </c>
      <c r="G1704" s="23" t="str">
        <f aca="false">IF(B1704="","","")</f>
        <v/>
      </c>
      <c r="H1704" s="23" t="str">
        <f aca="false">IF(B1704="","","")</f>
        <v/>
      </c>
      <c r="I1704" s="23" t="str">
        <f aca="false">IF(B1704="","","")</f>
        <v/>
      </c>
      <c r="J1704" s="23" t="str">
        <f aca="false">IF(B1704="","","touch_1; "&amp;IFERROR(INDEX(Clay_Offices!$A$2:$FZ$601,53,Sync!$C$10)&amp;"","")&amp;"; "&amp;IFERROR(INDEX(Clay_Offices!$A$2:$FZ$601,53,Sync!$C$9)&amp;"",""))</f>
        <v/>
      </c>
      <c r="K1704" s="32" t="s">
        <v>1363</v>
      </c>
    </row>
    <row r="1705" customFormat="false" ht="15" hidden="false" customHeight="false" outlineLevel="0" collapsed="false">
      <c r="A1705" s="23" t="str">
        <f aca="false">IF(B1705="","",B1705+(12*1000+54)/10000000)</f>
        <v/>
      </c>
      <c r="B1705" s="35" t="str">
        <f aca="false">IF(AND(IFERROR(N(INDEX(Clay_Offices!$A$2:$FZ$601,54,Sync!$C$11)),0)&gt;0,IFERROR(INDEX(Clay_Offices!$A$2:$FZ$601,54,Sync!$C$5)&amp;"","")&lt;&gt;"",OR(LEFT(IFERROR(INDEX(Clay_Offices!$A$2:$FZ$601,54,Sync!$C$5)&amp;"",""),6)&lt;&gt;"SAMPLE",Config!$B$19="Y")),IFERROR(N(INDEX(Clay_Offices!$A$2:$FZ$601,54,Sync!$C$11)),0),"")</f>
        <v/>
      </c>
      <c r="C1705" s="23" t="str">
        <f aca="false">IF(B1705="","","office")</f>
        <v/>
      </c>
      <c r="D1705" s="23" t="str">
        <f aca="false">IF(B1705="","",IFERROR(INDEX(Office_Log!$ED$2:$ED$201,MATCH(IFERROR(INDEX(Clay_Offices!$A$2:$FZ$601,54,Sync!$C$5)&amp;"",""),Office_Log!$A$2:$A$201,0))&amp;"",IFERROR(INDEX(Clay_Offices!$A$2:$FZ$601,54,Sync!$C$5)&amp;"","")&amp;""))</f>
        <v/>
      </c>
      <c r="E1705" s="23" t="str">
        <f aca="false">IF(B1705="","",IFERROR(INDEX(Clay_Offices!$A$2:$FZ$601,54,Sync!$C$6)&amp;"",""))</f>
        <v/>
      </c>
      <c r="F1705" s="23" t="str">
        <f aca="false">IF(B1705="","","outreach_sent")</f>
        <v/>
      </c>
      <c r="G1705" s="23" t="str">
        <f aca="false">IF(B1705="","","")</f>
        <v/>
      </c>
      <c r="H1705" s="23" t="str">
        <f aca="false">IF(B1705="","","")</f>
        <v/>
      </c>
      <c r="I1705" s="23" t="str">
        <f aca="false">IF(B1705="","","")</f>
        <v/>
      </c>
      <c r="J1705" s="23" t="str">
        <f aca="false">IF(B1705="","","touch_1; "&amp;IFERROR(INDEX(Clay_Offices!$A$2:$FZ$601,54,Sync!$C$10)&amp;"","")&amp;"; "&amp;IFERROR(INDEX(Clay_Offices!$A$2:$FZ$601,54,Sync!$C$9)&amp;"",""))</f>
        <v/>
      </c>
      <c r="K1705" s="32" t="s">
        <v>1363</v>
      </c>
    </row>
    <row r="1706" customFormat="false" ht="15" hidden="false" customHeight="false" outlineLevel="0" collapsed="false">
      <c r="A1706" s="23" t="str">
        <f aca="false">IF(B1706="","",B1706+(12*1000+55)/10000000)</f>
        <v/>
      </c>
      <c r="B1706" s="35" t="str">
        <f aca="false">IF(AND(IFERROR(N(INDEX(Clay_Offices!$A$2:$FZ$601,55,Sync!$C$11)),0)&gt;0,IFERROR(INDEX(Clay_Offices!$A$2:$FZ$601,55,Sync!$C$5)&amp;"","")&lt;&gt;"",OR(LEFT(IFERROR(INDEX(Clay_Offices!$A$2:$FZ$601,55,Sync!$C$5)&amp;"",""),6)&lt;&gt;"SAMPLE",Config!$B$19="Y")),IFERROR(N(INDEX(Clay_Offices!$A$2:$FZ$601,55,Sync!$C$11)),0),"")</f>
        <v/>
      </c>
      <c r="C1706" s="23" t="str">
        <f aca="false">IF(B1706="","","office")</f>
        <v/>
      </c>
      <c r="D1706" s="23" t="str">
        <f aca="false">IF(B1706="","",IFERROR(INDEX(Office_Log!$ED$2:$ED$201,MATCH(IFERROR(INDEX(Clay_Offices!$A$2:$FZ$601,55,Sync!$C$5)&amp;"",""),Office_Log!$A$2:$A$201,0))&amp;"",IFERROR(INDEX(Clay_Offices!$A$2:$FZ$601,55,Sync!$C$5)&amp;"","")&amp;""))</f>
        <v/>
      </c>
      <c r="E1706" s="23" t="str">
        <f aca="false">IF(B1706="","",IFERROR(INDEX(Clay_Offices!$A$2:$FZ$601,55,Sync!$C$6)&amp;"",""))</f>
        <v/>
      </c>
      <c r="F1706" s="23" t="str">
        <f aca="false">IF(B1706="","","outreach_sent")</f>
        <v/>
      </c>
      <c r="G1706" s="23" t="str">
        <f aca="false">IF(B1706="","","")</f>
        <v/>
      </c>
      <c r="H1706" s="23" t="str">
        <f aca="false">IF(B1706="","","")</f>
        <v/>
      </c>
      <c r="I1706" s="23" t="str">
        <f aca="false">IF(B1706="","","")</f>
        <v/>
      </c>
      <c r="J1706" s="23" t="str">
        <f aca="false">IF(B1706="","","touch_1; "&amp;IFERROR(INDEX(Clay_Offices!$A$2:$FZ$601,55,Sync!$C$10)&amp;"","")&amp;"; "&amp;IFERROR(INDEX(Clay_Offices!$A$2:$FZ$601,55,Sync!$C$9)&amp;"",""))</f>
        <v/>
      </c>
      <c r="K1706" s="32" t="s">
        <v>1363</v>
      </c>
    </row>
    <row r="1707" customFormat="false" ht="15" hidden="false" customHeight="false" outlineLevel="0" collapsed="false">
      <c r="A1707" s="23" t="str">
        <f aca="false">IF(B1707="","",B1707+(12*1000+56)/10000000)</f>
        <v/>
      </c>
      <c r="B1707" s="35" t="str">
        <f aca="false">IF(AND(IFERROR(N(INDEX(Clay_Offices!$A$2:$FZ$601,56,Sync!$C$11)),0)&gt;0,IFERROR(INDEX(Clay_Offices!$A$2:$FZ$601,56,Sync!$C$5)&amp;"","")&lt;&gt;"",OR(LEFT(IFERROR(INDEX(Clay_Offices!$A$2:$FZ$601,56,Sync!$C$5)&amp;"",""),6)&lt;&gt;"SAMPLE",Config!$B$19="Y")),IFERROR(N(INDEX(Clay_Offices!$A$2:$FZ$601,56,Sync!$C$11)),0),"")</f>
        <v/>
      </c>
      <c r="C1707" s="23" t="str">
        <f aca="false">IF(B1707="","","office")</f>
        <v/>
      </c>
      <c r="D1707" s="23" t="str">
        <f aca="false">IF(B1707="","",IFERROR(INDEX(Office_Log!$ED$2:$ED$201,MATCH(IFERROR(INDEX(Clay_Offices!$A$2:$FZ$601,56,Sync!$C$5)&amp;"",""),Office_Log!$A$2:$A$201,0))&amp;"",IFERROR(INDEX(Clay_Offices!$A$2:$FZ$601,56,Sync!$C$5)&amp;"","")&amp;""))</f>
        <v/>
      </c>
      <c r="E1707" s="23" t="str">
        <f aca="false">IF(B1707="","",IFERROR(INDEX(Clay_Offices!$A$2:$FZ$601,56,Sync!$C$6)&amp;"",""))</f>
        <v/>
      </c>
      <c r="F1707" s="23" t="str">
        <f aca="false">IF(B1707="","","outreach_sent")</f>
        <v/>
      </c>
      <c r="G1707" s="23" t="str">
        <f aca="false">IF(B1707="","","")</f>
        <v/>
      </c>
      <c r="H1707" s="23" t="str">
        <f aca="false">IF(B1707="","","")</f>
        <v/>
      </c>
      <c r="I1707" s="23" t="str">
        <f aca="false">IF(B1707="","","")</f>
        <v/>
      </c>
      <c r="J1707" s="23" t="str">
        <f aca="false">IF(B1707="","","touch_1; "&amp;IFERROR(INDEX(Clay_Offices!$A$2:$FZ$601,56,Sync!$C$10)&amp;"","")&amp;"; "&amp;IFERROR(INDEX(Clay_Offices!$A$2:$FZ$601,56,Sync!$C$9)&amp;"",""))</f>
        <v/>
      </c>
      <c r="K1707" s="32" t="s">
        <v>1363</v>
      </c>
    </row>
    <row r="1708" customFormat="false" ht="15" hidden="false" customHeight="false" outlineLevel="0" collapsed="false">
      <c r="A1708" s="23" t="str">
        <f aca="false">IF(B1708="","",B1708+(12*1000+57)/10000000)</f>
        <v/>
      </c>
      <c r="B1708" s="35" t="str">
        <f aca="false">IF(AND(IFERROR(N(INDEX(Clay_Offices!$A$2:$FZ$601,57,Sync!$C$11)),0)&gt;0,IFERROR(INDEX(Clay_Offices!$A$2:$FZ$601,57,Sync!$C$5)&amp;"","")&lt;&gt;"",OR(LEFT(IFERROR(INDEX(Clay_Offices!$A$2:$FZ$601,57,Sync!$C$5)&amp;"",""),6)&lt;&gt;"SAMPLE",Config!$B$19="Y")),IFERROR(N(INDEX(Clay_Offices!$A$2:$FZ$601,57,Sync!$C$11)),0),"")</f>
        <v/>
      </c>
      <c r="C1708" s="23" t="str">
        <f aca="false">IF(B1708="","","office")</f>
        <v/>
      </c>
      <c r="D1708" s="23" t="str">
        <f aca="false">IF(B1708="","",IFERROR(INDEX(Office_Log!$ED$2:$ED$201,MATCH(IFERROR(INDEX(Clay_Offices!$A$2:$FZ$601,57,Sync!$C$5)&amp;"",""),Office_Log!$A$2:$A$201,0))&amp;"",IFERROR(INDEX(Clay_Offices!$A$2:$FZ$601,57,Sync!$C$5)&amp;"","")&amp;""))</f>
        <v/>
      </c>
      <c r="E1708" s="23" t="str">
        <f aca="false">IF(B1708="","",IFERROR(INDEX(Clay_Offices!$A$2:$FZ$601,57,Sync!$C$6)&amp;"",""))</f>
        <v/>
      </c>
      <c r="F1708" s="23" t="str">
        <f aca="false">IF(B1708="","","outreach_sent")</f>
        <v/>
      </c>
      <c r="G1708" s="23" t="str">
        <f aca="false">IF(B1708="","","")</f>
        <v/>
      </c>
      <c r="H1708" s="23" t="str">
        <f aca="false">IF(B1708="","","")</f>
        <v/>
      </c>
      <c r="I1708" s="23" t="str">
        <f aca="false">IF(B1708="","","")</f>
        <v/>
      </c>
      <c r="J1708" s="23" t="str">
        <f aca="false">IF(B1708="","","touch_1; "&amp;IFERROR(INDEX(Clay_Offices!$A$2:$FZ$601,57,Sync!$C$10)&amp;"","")&amp;"; "&amp;IFERROR(INDEX(Clay_Offices!$A$2:$FZ$601,57,Sync!$C$9)&amp;"",""))</f>
        <v/>
      </c>
      <c r="K1708" s="32" t="s">
        <v>1363</v>
      </c>
    </row>
    <row r="1709" customFormat="false" ht="15" hidden="false" customHeight="false" outlineLevel="0" collapsed="false">
      <c r="A1709" s="23" t="str">
        <f aca="false">IF(B1709="","",B1709+(12*1000+58)/10000000)</f>
        <v/>
      </c>
      <c r="B1709" s="35" t="str">
        <f aca="false">IF(AND(IFERROR(N(INDEX(Clay_Offices!$A$2:$FZ$601,58,Sync!$C$11)),0)&gt;0,IFERROR(INDEX(Clay_Offices!$A$2:$FZ$601,58,Sync!$C$5)&amp;"","")&lt;&gt;"",OR(LEFT(IFERROR(INDEX(Clay_Offices!$A$2:$FZ$601,58,Sync!$C$5)&amp;"",""),6)&lt;&gt;"SAMPLE",Config!$B$19="Y")),IFERROR(N(INDEX(Clay_Offices!$A$2:$FZ$601,58,Sync!$C$11)),0),"")</f>
        <v/>
      </c>
      <c r="C1709" s="23" t="str">
        <f aca="false">IF(B1709="","","office")</f>
        <v/>
      </c>
      <c r="D1709" s="23" t="str">
        <f aca="false">IF(B1709="","",IFERROR(INDEX(Office_Log!$ED$2:$ED$201,MATCH(IFERROR(INDEX(Clay_Offices!$A$2:$FZ$601,58,Sync!$C$5)&amp;"",""),Office_Log!$A$2:$A$201,0))&amp;"",IFERROR(INDEX(Clay_Offices!$A$2:$FZ$601,58,Sync!$C$5)&amp;"","")&amp;""))</f>
        <v/>
      </c>
      <c r="E1709" s="23" t="str">
        <f aca="false">IF(B1709="","",IFERROR(INDEX(Clay_Offices!$A$2:$FZ$601,58,Sync!$C$6)&amp;"",""))</f>
        <v/>
      </c>
      <c r="F1709" s="23" t="str">
        <f aca="false">IF(B1709="","","outreach_sent")</f>
        <v/>
      </c>
      <c r="G1709" s="23" t="str">
        <f aca="false">IF(B1709="","","")</f>
        <v/>
      </c>
      <c r="H1709" s="23" t="str">
        <f aca="false">IF(B1709="","","")</f>
        <v/>
      </c>
      <c r="I1709" s="23" t="str">
        <f aca="false">IF(B1709="","","")</f>
        <v/>
      </c>
      <c r="J1709" s="23" t="str">
        <f aca="false">IF(B1709="","","touch_1; "&amp;IFERROR(INDEX(Clay_Offices!$A$2:$FZ$601,58,Sync!$C$10)&amp;"","")&amp;"; "&amp;IFERROR(INDEX(Clay_Offices!$A$2:$FZ$601,58,Sync!$C$9)&amp;"",""))</f>
        <v/>
      </c>
      <c r="K1709" s="32" t="s">
        <v>1363</v>
      </c>
    </row>
    <row r="1710" customFormat="false" ht="15" hidden="false" customHeight="false" outlineLevel="0" collapsed="false">
      <c r="A1710" s="23" t="str">
        <f aca="false">IF(B1710="","",B1710+(12*1000+59)/10000000)</f>
        <v/>
      </c>
      <c r="B1710" s="35" t="str">
        <f aca="false">IF(AND(IFERROR(N(INDEX(Clay_Offices!$A$2:$FZ$601,59,Sync!$C$11)),0)&gt;0,IFERROR(INDEX(Clay_Offices!$A$2:$FZ$601,59,Sync!$C$5)&amp;"","")&lt;&gt;"",OR(LEFT(IFERROR(INDEX(Clay_Offices!$A$2:$FZ$601,59,Sync!$C$5)&amp;"",""),6)&lt;&gt;"SAMPLE",Config!$B$19="Y")),IFERROR(N(INDEX(Clay_Offices!$A$2:$FZ$601,59,Sync!$C$11)),0),"")</f>
        <v/>
      </c>
      <c r="C1710" s="23" t="str">
        <f aca="false">IF(B1710="","","office")</f>
        <v/>
      </c>
      <c r="D1710" s="23" t="str">
        <f aca="false">IF(B1710="","",IFERROR(INDEX(Office_Log!$ED$2:$ED$201,MATCH(IFERROR(INDEX(Clay_Offices!$A$2:$FZ$601,59,Sync!$C$5)&amp;"",""),Office_Log!$A$2:$A$201,0))&amp;"",IFERROR(INDEX(Clay_Offices!$A$2:$FZ$601,59,Sync!$C$5)&amp;"","")&amp;""))</f>
        <v/>
      </c>
      <c r="E1710" s="23" t="str">
        <f aca="false">IF(B1710="","",IFERROR(INDEX(Clay_Offices!$A$2:$FZ$601,59,Sync!$C$6)&amp;"",""))</f>
        <v/>
      </c>
      <c r="F1710" s="23" t="str">
        <f aca="false">IF(B1710="","","outreach_sent")</f>
        <v/>
      </c>
      <c r="G1710" s="23" t="str">
        <f aca="false">IF(B1710="","","")</f>
        <v/>
      </c>
      <c r="H1710" s="23" t="str">
        <f aca="false">IF(B1710="","","")</f>
        <v/>
      </c>
      <c r="I1710" s="23" t="str">
        <f aca="false">IF(B1710="","","")</f>
        <v/>
      </c>
      <c r="J1710" s="23" t="str">
        <f aca="false">IF(B1710="","","touch_1; "&amp;IFERROR(INDEX(Clay_Offices!$A$2:$FZ$601,59,Sync!$C$10)&amp;"","")&amp;"; "&amp;IFERROR(INDEX(Clay_Offices!$A$2:$FZ$601,59,Sync!$C$9)&amp;"",""))</f>
        <v/>
      </c>
      <c r="K1710" s="32" t="s">
        <v>1363</v>
      </c>
    </row>
    <row r="1711" customFormat="false" ht="15" hidden="false" customHeight="false" outlineLevel="0" collapsed="false">
      <c r="A1711" s="23" t="str">
        <f aca="false">IF(B1711="","",B1711+(12*1000+60)/10000000)</f>
        <v/>
      </c>
      <c r="B1711" s="35" t="str">
        <f aca="false">IF(AND(IFERROR(N(INDEX(Clay_Offices!$A$2:$FZ$601,60,Sync!$C$11)),0)&gt;0,IFERROR(INDEX(Clay_Offices!$A$2:$FZ$601,60,Sync!$C$5)&amp;"","")&lt;&gt;"",OR(LEFT(IFERROR(INDEX(Clay_Offices!$A$2:$FZ$601,60,Sync!$C$5)&amp;"",""),6)&lt;&gt;"SAMPLE",Config!$B$19="Y")),IFERROR(N(INDEX(Clay_Offices!$A$2:$FZ$601,60,Sync!$C$11)),0),"")</f>
        <v/>
      </c>
      <c r="C1711" s="23" t="str">
        <f aca="false">IF(B1711="","","office")</f>
        <v/>
      </c>
      <c r="D1711" s="23" t="str">
        <f aca="false">IF(B1711="","",IFERROR(INDEX(Office_Log!$ED$2:$ED$201,MATCH(IFERROR(INDEX(Clay_Offices!$A$2:$FZ$601,60,Sync!$C$5)&amp;"",""),Office_Log!$A$2:$A$201,0))&amp;"",IFERROR(INDEX(Clay_Offices!$A$2:$FZ$601,60,Sync!$C$5)&amp;"","")&amp;""))</f>
        <v/>
      </c>
      <c r="E1711" s="23" t="str">
        <f aca="false">IF(B1711="","",IFERROR(INDEX(Clay_Offices!$A$2:$FZ$601,60,Sync!$C$6)&amp;"",""))</f>
        <v/>
      </c>
      <c r="F1711" s="23" t="str">
        <f aca="false">IF(B1711="","","outreach_sent")</f>
        <v/>
      </c>
      <c r="G1711" s="23" t="str">
        <f aca="false">IF(B1711="","","")</f>
        <v/>
      </c>
      <c r="H1711" s="23" t="str">
        <f aca="false">IF(B1711="","","")</f>
        <v/>
      </c>
      <c r="I1711" s="23" t="str">
        <f aca="false">IF(B1711="","","")</f>
        <v/>
      </c>
      <c r="J1711" s="23" t="str">
        <f aca="false">IF(B1711="","","touch_1; "&amp;IFERROR(INDEX(Clay_Offices!$A$2:$FZ$601,60,Sync!$C$10)&amp;"","")&amp;"; "&amp;IFERROR(INDEX(Clay_Offices!$A$2:$FZ$601,60,Sync!$C$9)&amp;"",""))</f>
        <v/>
      </c>
      <c r="K1711" s="32" t="s">
        <v>1363</v>
      </c>
    </row>
    <row r="1712" customFormat="false" ht="15" hidden="false" customHeight="false" outlineLevel="0" collapsed="false">
      <c r="A1712" s="23" t="str">
        <f aca="false">IF(B1712="","",B1712+(12*1000+61)/10000000)</f>
        <v/>
      </c>
      <c r="B1712" s="35" t="str">
        <f aca="false">IF(AND(IFERROR(N(INDEX(Clay_Offices!$A$2:$FZ$601,61,Sync!$C$11)),0)&gt;0,IFERROR(INDEX(Clay_Offices!$A$2:$FZ$601,61,Sync!$C$5)&amp;"","")&lt;&gt;"",OR(LEFT(IFERROR(INDEX(Clay_Offices!$A$2:$FZ$601,61,Sync!$C$5)&amp;"",""),6)&lt;&gt;"SAMPLE",Config!$B$19="Y")),IFERROR(N(INDEX(Clay_Offices!$A$2:$FZ$601,61,Sync!$C$11)),0),"")</f>
        <v/>
      </c>
      <c r="C1712" s="23" t="str">
        <f aca="false">IF(B1712="","","office")</f>
        <v/>
      </c>
      <c r="D1712" s="23" t="str">
        <f aca="false">IF(B1712="","",IFERROR(INDEX(Office_Log!$ED$2:$ED$201,MATCH(IFERROR(INDEX(Clay_Offices!$A$2:$FZ$601,61,Sync!$C$5)&amp;"",""),Office_Log!$A$2:$A$201,0))&amp;"",IFERROR(INDEX(Clay_Offices!$A$2:$FZ$601,61,Sync!$C$5)&amp;"","")&amp;""))</f>
        <v/>
      </c>
      <c r="E1712" s="23" t="str">
        <f aca="false">IF(B1712="","",IFERROR(INDEX(Clay_Offices!$A$2:$FZ$601,61,Sync!$C$6)&amp;"",""))</f>
        <v/>
      </c>
      <c r="F1712" s="23" t="str">
        <f aca="false">IF(B1712="","","outreach_sent")</f>
        <v/>
      </c>
      <c r="G1712" s="23" t="str">
        <f aca="false">IF(B1712="","","")</f>
        <v/>
      </c>
      <c r="H1712" s="23" t="str">
        <f aca="false">IF(B1712="","","")</f>
        <v/>
      </c>
      <c r="I1712" s="23" t="str">
        <f aca="false">IF(B1712="","","")</f>
        <v/>
      </c>
      <c r="J1712" s="23" t="str">
        <f aca="false">IF(B1712="","","touch_1; "&amp;IFERROR(INDEX(Clay_Offices!$A$2:$FZ$601,61,Sync!$C$10)&amp;"","")&amp;"; "&amp;IFERROR(INDEX(Clay_Offices!$A$2:$FZ$601,61,Sync!$C$9)&amp;"",""))</f>
        <v/>
      </c>
      <c r="K1712" s="32" t="s">
        <v>1363</v>
      </c>
    </row>
    <row r="1713" customFormat="false" ht="15" hidden="false" customHeight="false" outlineLevel="0" collapsed="false">
      <c r="A1713" s="23" t="str">
        <f aca="false">IF(B1713="","",B1713+(12*1000+62)/10000000)</f>
        <v/>
      </c>
      <c r="B1713" s="35" t="str">
        <f aca="false">IF(AND(IFERROR(N(INDEX(Clay_Offices!$A$2:$FZ$601,62,Sync!$C$11)),0)&gt;0,IFERROR(INDEX(Clay_Offices!$A$2:$FZ$601,62,Sync!$C$5)&amp;"","")&lt;&gt;"",OR(LEFT(IFERROR(INDEX(Clay_Offices!$A$2:$FZ$601,62,Sync!$C$5)&amp;"",""),6)&lt;&gt;"SAMPLE",Config!$B$19="Y")),IFERROR(N(INDEX(Clay_Offices!$A$2:$FZ$601,62,Sync!$C$11)),0),"")</f>
        <v/>
      </c>
      <c r="C1713" s="23" t="str">
        <f aca="false">IF(B1713="","","office")</f>
        <v/>
      </c>
      <c r="D1713" s="23" t="str">
        <f aca="false">IF(B1713="","",IFERROR(INDEX(Office_Log!$ED$2:$ED$201,MATCH(IFERROR(INDEX(Clay_Offices!$A$2:$FZ$601,62,Sync!$C$5)&amp;"",""),Office_Log!$A$2:$A$201,0))&amp;"",IFERROR(INDEX(Clay_Offices!$A$2:$FZ$601,62,Sync!$C$5)&amp;"","")&amp;""))</f>
        <v/>
      </c>
      <c r="E1713" s="23" t="str">
        <f aca="false">IF(B1713="","",IFERROR(INDEX(Clay_Offices!$A$2:$FZ$601,62,Sync!$C$6)&amp;"",""))</f>
        <v/>
      </c>
      <c r="F1713" s="23" t="str">
        <f aca="false">IF(B1713="","","outreach_sent")</f>
        <v/>
      </c>
      <c r="G1713" s="23" t="str">
        <f aca="false">IF(B1713="","","")</f>
        <v/>
      </c>
      <c r="H1713" s="23" t="str">
        <f aca="false">IF(B1713="","","")</f>
        <v/>
      </c>
      <c r="I1713" s="23" t="str">
        <f aca="false">IF(B1713="","","")</f>
        <v/>
      </c>
      <c r="J1713" s="23" t="str">
        <f aca="false">IF(B1713="","","touch_1; "&amp;IFERROR(INDEX(Clay_Offices!$A$2:$FZ$601,62,Sync!$C$10)&amp;"","")&amp;"; "&amp;IFERROR(INDEX(Clay_Offices!$A$2:$FZ$601,62,Sync!$C$9)&amp;"",""))</f>
        <v/>
      </c>
      <c r="K1713" s="32" t="s">
        <v>1363</v>
      </c>
    </row>
    <row r="1714" customFormat="false" ht="15" hidden="false" customHeight="false" outlineLevel="0" collapsed="false">
      <c r="A1714" s="23" t="str">
        <f aca="false">IF(B1714="","",B1714+(12*1000+63)/10000000)</f>
        <v/>
      </c>
      <c r="B1714" s="35" t="str">
        <f aca="false">IF(AND(IFERROR(N(INDEX(Clay_Offices!$A$2:$FZ$601,63,Sync!$C$11)),0)&gt;0,IFERROR(INDEX(Clay_Offices!$A$2:$FZ$601,63,Sync!$C$5)&amp;"","")&lt;&gt;"",OR(LEFT(IFERROR(INDEX(Clay_Offices!$A$2:$FZ$601,63,Sync!$C$5)&amp;"",""),6)&lt;&gt;"SAMPLE",Config!$B$19="Y")),IFERROR(N(INDEX(Clay_Offices!$A$2:$FZ$601,63,Sync!$C$11)),0),"")</f>
        <v/>
      </c>
      <c r="C1714" s="23" t="str">
        <f aca="false">IF(B1714="","","office")</f>
        <v/>
      </c>
      <c r="D1714" s="23" t="str">
        <f aca="false">IF(B1714="","",IFERROR(INDEX(Office_Log!$ED$2:$ED$201,MATCH(IFERROR(INDEX(Clay_Offices!$A$2:$FZ$601,63,Sync!$C$5)&amp;"",""),Office_Log!$A$2:$A$201,0))&amp;"",IFERROR(INDEX(Clay_Offices!$A$2:$FZ$601,63,Sync!$C$5)&amp;"","")&amp;""))</f>
        <v/>
      </c>
      <c r="E1714" s="23" t="str">
        <f aca="false">IF(B1714="","",IFERROR(INDEX(Clay_Offices!$A$2:$FZ$601,63,Sync!$C$6)&amp;"",""))</f>
        <v/>
      </c>
      <c r="F1714" s="23" t="str">
        <f aca="false">IF(B1714="","","outreach_sent")</f>
        <v/>
      </c>
      <c r="G1714" s="23" t="str">
        <f aca="false">IF(B1714="","","")</f>
        <v/>
      </c>
      <c r="H1714" s="23" t="str">
        <f aca="false">IF(B1714="","","")</f>
        <v/>
      </c>
      <c r="I1714" s="23" t="str">
        <f aca="false">IF(B1714="","","")</f>
        <v/>
      </c>
      <c r="J1714" s="23" t="str">
        <f aca="false">IF(B1714="","","touch_1; "&amp;IFERROR(INDEX(Clay_Offices!$A$2:$FZ$601,63,Sync!$C$10)&amp;"","")&amp;"; "&amp;IFERROR(INDEX(Clay_Offices!$A$2:$FZ$601,63,Sync!$C$9)&amp;"",""))</f>
        <v/>
      </c>
      <c r="K1714" s="32" t="s">
        <v>1363</v>
      </c>
    </row>
    <row r="1715" customFormat="false" ht="15" hidden="false" customHeight="false" outlineLevel="0" collapsed="false">
      <c r="A1715" s="23" t="str">
        <f aca="false">IF(B1715="","",B1715+(12*1000+64)/10000000)</f>
        <v/>
      </c>
      <c r="B1715" s="35" t="str">
        <f aca="false">IF(AND(IFERROR(N(INDEX(Clay_Offices!$A$2:$FZ$601,64,Sync!$C$11)),0)&gt;0,IFERROR(INDEX(Clay_Offices!$A$2:$FZ$601,64,Sync!$C$5)&amp;"","")&lt;&gt;"",OR(LEFT(IFERROR(INDEX(Clay_Offices!$A$2:$FZ$601,64,Sync!$C$5)&amp;"",""),6)&lt;&gt;"SAMPLE",Config!$B$19="Y")),IFERROR(N(INDEX(Clay_Offices!$A$2:$FZ$601,64,Sync!$C$11)),0),"")</f>
        <v/>
      </c>
      <c r="C1715" s="23" t="str">
        <f aca="false">IF(B1715="","","office")</f>
        <v/>
      </c>
      <c r="D1715" s="23" t="str">
        <f aca="false">IF(B1715="","",IFERROR(INDEX(Office_Log!$ED$2:$ED$201,MATCH(IFERROR(INDEX(Clay_Offices!$A$2:$FZ$601,64,Sync!$C$5)&amp;"",""),Office_Log!$A$2:$A$201,0))&amp;"",IFERROR(INDEX(Clay_Offices!$A$2:$FZ$601,64,Sync!$C$5)&amp;"","")&amp;""))</f>
        <v/>
      </c>
      <c r="E1715" s="23" t="str">
        <f aca="false">IF(B1715="","",IFERROR(INDEX(Clay_Offices!$A$2:$FZ$601,64,Sync!$C$6)&amp;"",""))</f>
        <v/>
      </c>
      <c r="F1715" s="23" t="str">
        <f aca="false">IF(B1715="","","outreach_sent")</f>
        <v/>
      </c>
      <c r="G1715" s="23" t="str">
        <f aca="false">IF(B1715="","","")</f>
        <v/>
      </c>
      <c r="H1715" s="23" t="str">
        <f aca="false">IF(B1715="","","")</f>
        <v/>
      </c>
      <c r="I1715" s="23" t="str">
        <f aca="false">IF(B1715="","","")</f>
        <v/>
      </c>
      <c r="J1715" s="23" t="str">
        <f aca="false">IF(B1715="","","touch_1; "&amp;IFERROR(INDEX(Clay_Offices!$A$2:$FZ$601,64,Sync!$C$10)&amp;"","")&amp;"; "&amp;IFERROR(INDEX(Clay_Offices!$A$2:$FZ$601,64,Sync!$C$9)&amp;"",""))</f>
        <v/>
      </c>
      <c r="K1715" s="32" t="s">
        <v>1363</v>
      </c>
    </row>
    <row r="1716" customFormat="false" ht="15" hidden="false" customHeight="false" outlineLevel="0" collapsed="false">
      <c r="A1716" s="23" t="str">
        <f aca="false">IF(B1716="","",B1716+(12*1000+65)/10000000)</f>
        <v/>
      </c>
      <c r="B1716" s="35" t="str">
        <f aca="false">IF(AND(IFERROR(N(INDEX(Clay_Offices!$A$2:$FZ$601,65,Sync!$C$11)),0)&gt;0,IFERROR(INDEX(Clay_Offices!$A$2:$FZ$601,65,Sync!$C$5)&amp;"","")&lt;&gt;"",OR(LEFT(IFERROR(INDEX(Clay_Offices!$A$2:$FZ$601,65,Sync!$C$5)&amp;"",""),6)&lt;&gt;"SAMPLE",Config!$B$19="Y")),IFERROR(N(INDEX(Clay_Offices!$A$2:$FZ$601,65,Sync!$C$11)),0),"")</f>
        <v/>
      </c>
      <c r="C1716" s="23" t="str">
        <f aca="false">IF(B1716="","","office")</f>
        <v/>
      </c>
      <c r="D1716" s="23" t="str">
        <f aca="false">IF(B1716="","",IFERROR(INDEX(Office_Log!$ED$2:$ED$201,MATCH(IFERROR(INDEX(Clay_Offices!$A$2:$FZ$601,65,Sync!$C$5)&amp;"",""),Office_Log!$A$2:$A$201,0))&amp;"",IFERROR(INDEX(Clay_Offices!$A$2:$FZ$601,65,Sync!$C$5)&amp;"","")&amp;""))</f>
        <v/>
      </c>
      <c r="E1716" s="23" t="str">
        <f aca="false">IF(B1716="","",IFERROR(INDEX(Clay_Offices!$A$2:$FZ$601,65,Sync!$C$6)&amp;"",""))</f>
        <v/>
      </c>
      <c r="F1716" s="23" t="str">
        <f aca="false">IF(B1716="","","outreach_sent")</f>
        <v/>
      </c>
      <c r="G1716" s="23" t="str">
        <f aca="false">IF(B1716="","","")</f>
        <v/>
      </c>
      <c r="H1716" s="23" t="str">
        <f aca="false">IF(B1716="","","")</f>
        <v/>
      </c>
      <c r="I1716" s="23" t="str">
        <f aca="false">IF(B1716="","","")</f>
        <v/>
      </c>
      <c r="J1716" s="23" t="str">
        <f aca="false">IF(B1716="","","touch_1; "&amp;IFERROR(INDEX(Clay_Offices!$A$2:$FZ$601,65,Sync!$C$10)&amp;"","")&amp;"; "&amp;IFERROR(INDEX(Clay_Offices!$A$2:$FZ$601,65,Sync!$C$9)&amp;"",""))</f>
        <v/>
      </c>
      <c r="K1716" s="32" t="s">
        <v>1363</v>
      </c>
    </row>
    <row r="1717" customFormat="false" ht="15" hidden="false" customHeight="false" outlineLevel="0" collapsed="false">
      <c r="A1717" s="23" t="str">
        <f aca="false">IF(B1717="","",B1717+(12*1000+66)/10000000)</f>
        <v/>
      </c>
      <c r="B1717" s="35" t="str">
        <f aca="false">IF(AND(IFERROR(N(INDEX(Clay_Offices!$A$2:$FZ$601,66,Sync!$C$11)),0)&gt;0,IFERROR(INDEX(Clay_Offices!$A$2:$FZ$601,66,Sync!$C$5)&amp;"","")&lt;&gt;"",OR(LEFT(IFERROR(INDEX(Clay_Offices!$A$2:$FZ$601,66,Sync!$C$5)&amp;"",""),6)&lt;&gt;"SAMPLE",Config!$B$19="Y")),IFERROR(N(INDEX(Clay_Offices!$A$2:$FZ$601,66,Sync!$C$11)),0),"")</f>
        <v/>
      </c>
      <c r="C1717" s="23" t="str">
        <f aca="false">IF(B1717="","","office")</f>
        <v/>
      </c>
      <c r="D1717" s="23" t="str">
        <f aca="false">IF(B1717="","",IFERROR(INDEX(Office_Log!$ED$2:$ED$201,MATCH(IFERROR(INDEX(Clay_Offices!$A$2:$FZ$601,66,Sync!$C$5)&amp;"",""),Office_Log!$A$2:$A$201,0))&amp;"",IFERROR(INDEX(Clay_Offices!$A$2:$FZ$601,66,Sync!$C$5)&amp;"","")&amp;""))</f>
        <v/>
      </c>
      <c r="E1717" s="23" t="str">
        <f aca="false">IF(B1717="","",IFERROR(INDEX(Clay_Offices!$A$2:$FZ$601,66,Sync!$C$6)&amp;"",""))</f>
        <v/>
      </c>
      <c r="F1717" s="23" t="str">
        <f aca="false">IF(B1717="","","outreach_sent")</f>
        <v/>
      </c>
      <c r="G1717" s="23" t="str">
        <f aca="false">IF(B1717="","","")</f>
        <v/>
      </c>
      <c r="H1717" s="23" t="str">
        <f aca="false">IF(B1717="","","")</f>
        <v/>
      </c>
      <c r="I1717" s="23" t="str">
        <f aca="false">IF(B1717="","","")</f>
        <v/>
      </c>
      <c r="J1717" s="23" t="str">
        <f aca="false">IF(B1717="","","touch_1; "&amp;IFERROR(INDEX(Clay_Offices!$A$2:$FZ$601,66,Sync!$C$10)&amp;"","")&amp;"; "&amp;IFERROR(INDEX(Clay_Offices!$A$2:$FZ$601,66,Sync!$C$9)&amp;"",""))</f>
        <v/>
      </c>
      <c r="K1717" s="32" t="s">
        <v>1363</v>
      </c>
    </row>
    <row r="1718" customFormat="false" ht="15" hidden="false" customHeight="false" outlineLevel="0" collapsed="false">
      <c r="A1718" s="23" t="str">
        <f aca="false">IF(B1718="","",B1718+(12*1000+67)/10000000)</f>
        <v/>
      </c>
      <c r="B1718" s="35" t="str">
        <f aca="false">IF(AND(IFERROR(N(INDEX(Clay_Offices!$A$2:$FZ$601,67,Sync!$C$11)),0)&gt;0,IFERROR(INDEX(Clay_Offices!$A$2:$FZ$601,67,Sync!$C$5)&amp;"","")&lt;&gt;"",OR(LEFT(IFERROR(INDEX(Clay_Offices!$A$2:$FZ$601,67,Sync!$C$5)&amp;"",""),6)&lt;&gt;"SAMPLE",Config!$B$19="Y")),IFERROR(N(INDEX(Clay_Offices!$A$2:$FZ$601,67,Sync!$C$11)),0),"")</f>
        <v/>
      </c>
      <c r="C1718" s="23" t="str">
        <f aca="false">IF(B1718="","","office")</f>
        <v/>
      </c>
      <c r="D1718" s="23" t="str">
        <f aca="false">IF(B1718="","",IFERROR(INDEX(Office_Log!$ED$2:$ED$201,MATCH(IFERROR(INDEX(Clay_Offices!$A$2:$FZ$601,67,Sync!$C$5)&amp;"",""),Office_Log!$A$2:$A$201,0))&amp;"",IFERROR(INDEX(Clay_Offices!$A$2:$FZ$601,67,Sync!$C$5)&amp;"","")&amp;""))</f>
        <v/>
      </c>
      <c r="E1718" s="23" t="str">
        <f aca="false">IF(B1718="","",IFERROR(INDEX(Clay_Offices!$A$2:$FZ$601,67,Sync!$C$6)&amp;"",""))</f>
        <v/>
      </c>
      <c r="F1718" s="23" t="str">
        <f aca="false">IF(B1718="","","outreach_sent")</f>
        <v/>
      </c>
      <c r="G1718" s="23" t="str">
        <f aca="false">IF(B1718="","","")</f>
        <v/>
      </c>
      <c r="H1718" s="23" t="str">
        <f aca="false">IF(B1718="","","")</f>
        <v/>
      </c>
      <c r="I1718" s="23" t="str">
        <f aca="false">IF(B1718="","","")</f>
        <v/>
      </c>
      <c r="J1718" s="23" t="str">
        <f aca="false">IF(B1718="","","touch_1; "&amp;IFERROR(INDEX(Clay_Offices!$A$2:$FZ$601,67,Sync!$C$10)&amp;"","")&amp;"; "&amp;IFERROR(INDEX(Clay_Offices!$A$2:$FZ$601,67,Sync!$C$9)&amp;"",""))</f>
        <v/>
      </c>
      <c r="K1718" s="32" t="s">
        <v>1363</v>
      </c>
    </row>
    <row r="1719" customFormat="false" ht="15" hidden="false" customHeight="false" outlineLevel="0" collapsed="false">
      <c r="A1719" s="23" t="str">
        <f aca="false">IF(B1719="","",B1719+(12*1000+68)/10000000)</f>
        <v/>
      </c>
      <c r="B1719" s="35" t="str">
        <f aca="false">IF(AND(IFERROR(N(INDEX(Clay_Offices!$A$2:$FZ$601,68,Sync!$C$11)),0)&gt;0,IFERROR(INDEX(Clay_Offices!$A$2:$FZ$601,68,Sync!$C$5)&amp;"","")&lt;&gt;"",OR(LEFT(IFERROR(INDEX(Clay_Offices!$A$2:$FZ$601,68,Sync!$C$5)&amp;"",""),6)&lt;&gt;"SAMPLE",Config!$B$19="Y")),IFERROR(N(INDEX(Clay_Offices!$A$2:$FZ$601,68,Sync!$C$11)),0),"")</f>
        <v/>
      </c>
      <c r="C1719" s="23" t="str">
        <f aca="false">IF(B1719="","","office")</f>
        <v/>
      </c>
      <c r="D1719" s="23" t="str">
        <f aca="false">IF(B1719="","",IFERROR(INDEX(Office_Log!$ED$2:$ED$201,MATCH(IFERROR(INDEX(Clay_Offices!$A$2:$FZ$601,68,Sync!$C$5)&amp;"",""),Office_Log!$A$2:$A$201,0))&amp;"",IFERROR(INDEX(Clay_Offices!$A$2:$FZ$601,68,Sync!$C$5)&amp;"","")&amp;""))</f>
        <v/>
      </c>
      <c r="E1719" s="23" t="str">
        <f aca="false">IF(B1719="","",IFERROR(INDEX(Clay_Offices!$A$2:$FZ$601,68,Sync!$C$6)&amp;"",""))</f>
        <v/>
      </c>
      <c r="F1719" s="23" t="str">
        <f aca="false">IF(B1719="","","outreach_sent")</f>
        <v/>
      </c>
      <c r="G1719" s="23" t="str">
        <f aca="false">IF(B1719="","","")</f>
        <v/>
      </c>
      <c r="H1719" s="23" t="str">
        <f aca="false">IF(B1719="","","")</f>
        <v/>
      </c>
      <c r="I1719" s="23" t="str">
        <f aca="false">IF(B1719="","","")</f>
        <v/>
      </c>
      <c r="J1719" s="23" t="str">
        <f aca="false">IF(B1719="","","touch_1; "&amp;IFERROR(INDEX(Clay_Offices!$A$2:$FZ$601,68,Sync!$C$10)&amp;"","")&amp;"; "&amp;IFERROR(INDEX(Clay_Offices!$A$2:$FZ$601,68,Sync!$C$9)&amp;"",""))</f>
        <v/>
      </c>
      <c r="K1719" s="32" t="s">
        <v>1363</v>
      </c>
    </row>
    <row r="1720" customFormat="false" ht="15" hidden="false" customHeight="false" outlineLevel="0" collapsed="false">
      <c r="A1720" s="23" t="str">
        <f aca="false">IF(B1720="","",B1720+(12*1000+69)/10000000)</f>
        <v/>
      </c>
      <c r="B1720" s="35" t="str">
        <f aca="false">IF(AND(IFERROR(N(INDEX(Clay_Offices!$A$2:$FZ$601,69,Sync!$C$11)),0)&gt;0,IFERROR(INDEX(Clay_Offices!$A$2:$FZ$601,69,Sync!$C$5)&amp;"","")&lt;&gt;"",OR(LEFT(IFERROR(INDEX(Clay_Offices!$A$2:$FZ$601,69,Sync!$C$5)&amp;"",""),6)&lt;&gt;"SAMPLE",Config!$B$19="Y")),IFERROR(N(INDEX(Clay_Offices!$A$2:$FZ$601,69,Sync!$C$11)),0),"")</f>
        <v/>
      </c>
      <c r="C1720" s="23" t="str">
        <f aca="false">IF(B1720="","","office")</f>
        <v/>
      </c>
      <c r="D1720" s="23" t="str">
        <f aca="false">IF(B1720="","",IFERROR(INDEX(Office_Log!$ED$2:$ED$201,MATCH(IFERROR(INDEX(Clay_Offices!$A$2:$FZ$601,69,Sync!$C$5)&amp;"",""),Office_Log!$A$2:$A$201,0))&amp;"",IFERROR(INDEX(Clay_Offices!$A$2:$FZ$601,69,Sync!$C$5)&amp;"","")&amp;""))</f>
        <v/>
      </c>
      <c r="E1720" s="23" t="str">
        <f aca="false">IF(B1720="","",IFERROR(INDEX(Clay_Offices!$A$2:$FZ$601,69,Sync!$C$6)&amp;"",""))</f>
        <v/>
      </c>
      <c r="F1720" s="23" t="str">
        <f aca="false">IF(B1720="","","outreach_sent")</f>
        <v/>
      </c>
      <c r="G1720" s="23" t="str">
        <f aca="false">IF(B1720="","","")</f>
        <v/>
      </c>
      <c r="H1720" s="23" t="str">
        <f aca="false">IF(B1720="","","")</f>
        <v/>
      </c>
      <c r="I1720" s="23" t="str">
        <f aca="false">IF(B1720="","","")</f>
        <v/>
      </c>
      <c r="J1720" s="23" t="str">
        <f aca="false">IF(B1720="","","touch_1; "&amp;IFERROR(INDEX(Clay_Offices!$A$2:$FZ$601,69,Sync!$C$10)&amp;"","")&amp;"; "&amp;IFERROR(INDEX(Clay_Offices!$A$2:$FZ$601,69,Sync!$C$9)&amp;"",""))</f>
        <v/>
      </c>
      <c r="K1720" s="32" t="s">
        <v>1363</v>
      </c>
    </row>
    <row r="1721" customFormat="false" ht="15" hidden="false" customHeight="false" outlineLevel="0" collapsed="false">
      <c r="A1721" s="23" t="str">
        <f aca="false">IF(B1721="","",B1721+(12*1000+70)/10000000)</f>
        <v/>
      </c>
      <c r="B1721" s="35" t="str">
        <f aca="false">IF(AND(IFERROR(N(INDEX(Clay_Offices!$A$2:$FZ$601,70,Sync!$C$11)),0)&gt;0,IFERROR(INDEX(Clay_Offices!$A$2:$FZ$601,70,Sync!$C$5)&amp;"","")&lt;&gt;"",OR(LEFT(IFERROR(INDEX(Clay_Offices!$A$2:$FZ$601,70,Sync!$C$5)&amp;"",""),6)&lt;&gt;"SAMPLE",Config!$B$19="Y")),IFERROR(N(INDEX(Clay_Offices!$A$2:$FZ$601,70,Sync!$C$11)),0),"")</f>
        <v/>
      </c>
      <c r="C1721" s="23" t="str">
        <f aca="false">IF(B1721="","","office")</f>
        <v/>
      </c>
      <c r="D1721" s="23" t="str">
        <f aca="false">IF(B1721="","",IFERROR(INDEX(Office_Log!$ED$2:$ED$201,MATCH(IFERROR(INDEX(Clay_Offices!$A$2:$FZ$601,70,Sync!$C$5)&amp;"",""),Office_Log!$A$2:$A$201,0))&amp;"",IFERROR(INDEX(Clay_Offices!$A$2:$FZ$601,70,Sync!$C$5)&amp;"","")&amp;""))</f>
        <v/>
      </c>
      <c r="E1721" s="23" t="str">
        <f aca="false">IF(B1721="","",IFERROR(INDEX(Clay_Offices!$A$2:$FZ$601,70,Sync!$C$6)&amp;"",""))</f>
        <v/>
      </c>
      <c r="F1721" s="23" t="str">
        <f aca="false">IF(B1721="","","outreach_sent")</f>
        <v/>
      </c>
      <c r="G1721" s="23" t="str">
        <f aca="false">IF(B1721="","","")</f>
        <v/>
      </c>
      <c r="H1721" s="23" t="str">
        <f aca="false">IF(B1721="","","")</f>
        <v/>
      </c>
      <c r="I1721" s="23" t="str">
        <f aca="false">IF(B1721="","","")</f>
        <v/>
      </c>
      <c r="J1721" s="23" t="str">
        <f aca="false">IF(B1721="","","touch_1; "&amp;IFERROR(INDEX(Clay_Offices!$A$2:$FZ$601,70,Sync!$C$10)&amp;"","")&amp;"; "&amp;IFERROR(INDEX(Clay_Offices!$A$2:$FZ$601,70,Sync!$C$9)&amp;"",""))</f>
        <v/>
      </c>
      <c r="K1721" s="32" t="s">
        <v>1363</v>
      </c>
    </row>
    <row r="1722" customFormat="false" ht="15" hidden="false" customHeight="false" outlineLevel="0" collapsed="false">
      <c r="A1722" s="23" t="str">
        <f aca="false">IF(B1722="","",B1722+(12*1000+71)/10000000)</f>
        <v/>
      </c>
      <c r="B1722" s="35" t="str">
        <f aca="false">IF(AND(IFERROR(N(INDEX(Clay_Offices!$A$2:$FZ$601,71,Sync!$C$11)),0)&gt;0,IFERROR(INDEX(Clay_Offices!$A$2:$FZ$601,71,Sync!$C$5)&amp;"","")&lt;&gt;"",OR(LEFT(IFERROR(INDEX(Clay_Offices!$A$2:$FZ$601,71,Sync!$C$5)&amp;"",""),6)&lt;&gt;"SAMPLE",Config!$B$19="Y")),IFERROR(N(INDEX(Clay_Offices!$A$2:$FZ$601,71,Sync!$C$11)),0),"")</f>
        <v/>
      </c>
      <c r="C1722" s="23" t="str">
        <f aca="false">IF(B1722="","","office")</f>
        <v/>
      </c>
      <c r="D1722" s="23" t="str">
        <f aca="false">IF(B1722="","",IFERROR(INDEX(Office_Log!$ED$2:$ED$201,MATCH(IFERROR(INDEX(Clay_Offices!$A$2:$FZ$601,71,Sync!$C$5)&amp;"",""),Office_Log!$A$2:$A$201,0))&amp;"",IFERROR(INDEX(Clay_Offices!$A$2:$FZ$601,71,Sync!$C$5)&amp;"","")&amp;""))</f>
        <v/>
      </c>
      <c r="E1722" s="23" t="str">
        <f aca="false">IF(B1722="","",IFERROR(INDEX(Clay_Offices!$A$2:$FZ$601,71,Sync!$C$6)&amp;"",""))</f>
        <v/>
      </c>
      <c r="F1722" s="23" t="str">
        <f aca="false">IF(B1722="","","outreach_sent")</f>
        <v/>
      </c>
      <c r="G1722" s="23" t="str">
        <f aca="false">IF(B1722="","","")</f>
        <v/>
      </c>
      <c r="H1722" s="23" t="str">
        <f aca="false">IF(B1722="","","")</f>
        <v/>
      </c>
      <c r="I1722" s="23" t="str">
        <f aca="false">IF(B1722="","","")</f>
        <v/>
      </c>
      <c r="J1722" s="23" t="str">
        <f aca="false">IF(B1722="","","touch_1; "&amp;IFERROR(INDEX(Clay_Offices!$A$2:$FZ$601,71,Sync!$C$10)&amp;"","")&amp;"; "&amp;IFERROR(INDEX(Clay_Offices!$A$2:$FZ$601,71,Sync!$C$9)&amp;"",""))</f>
        <v/>
      </c>
      <c r="K1722" s="32" t="s">
        <v>1363</v>
      </c>
    </row>
    <row r="1723" customFormat="false" ht="15" hidden="false" customHeight="false" outlineLevel="0" collapsed="false">
      <c r="A1723" s="23" t="str">
        <f aca="false">IF(B1723="","",B1723+(12*1000+72)/10000000)</f>
        <v/>
      </c>
      <c r="B1723" s="35" t="str">
        <f aca="false">IF(AND(IFERROR(N(INDEX(Clay_Offices!$A$2:$FZ$601,72,Sync!$C$11)),0)&gt;0,IFERROR(INDEX(Clay_Offices!$A$2:$FZ$601,72,Sync!$C$5)&amp;"","")&lt;&gt;"",OR(LEFT(IFERROR(INDEX(Clay_Offices!$A$2:$FZ$601,72,Sync!$C$5)&amp;"",""),6)&lt;&gt;"SAMPLE",Config!$B$19="Y")),IFERROR(N(INDEX(Clay_Offices!$A$2:$FZ$601,72,Sync!$C$11)),0),"")</f>
        <v/>
      </c>
      <c r="C1723" s="23" t="str">
        <f aca="false">IF(B1723="","","office")</f>
        <v/>
      </c>
      <c r="D1723" s="23" t="str">
        <f aca="false">IF(B1723="","",IFERROR(INDEX(Office_Log!$ED$2:$ED$201,MATCH(IFERROR(INDEX(Clay_Offices!$A$2:$FZ$601,72,Sync!$C$5)&amp;"",""),Office_Log!$A$2:$A$201,0))&amp;"",IFERROR(INDEX(Clay_Offices!$A$2:$FZ$601,72,Sync!$C$5)&amp;"","")&amp;""))</f>
        <v/>
      </c>
      <c r="E1723" s="23" t="str">
        <f aca="false">IF(B1723="","",IFERROR(INDEX(Clay_Offices!$A$2:$FZ$601,72,Sync!$C$6)&amp;"",""))</f>
        <v/>
      </c>
      <c r="F1723" s="23" t="str">
        <f aca="false">IF(B1723="","","outreach_sent")</f>
        <v/>
      </c>
      <c r="G1723" s="23" t="str">
        <f aca="false">IF(B1723="","","")</f>
        <v/>
      </c>
      <c r="H1723" s="23" t="str">
        <f aca="false">IF(B1723="","","")</f>
        <v/>
      </c>
      <c r="I1723" s="23" t="str">
        <f aca="false">IF(B1723="","","")</f>
        <v/>
      </c>
      <c r="J1723" s="23" t="str">
        <f aca="false">IF(B1723="","","touch_1; "&amp;IFERROR(INDEX(Clay_Offices!$A$2:$FZ$601,72,Sync!$C$10)&amp;"","")&amp;"; "&amp;IFERROR(INDEX(Clay_Offices!$A$2:$FZ$601,72,Sync!$C$9)&amp;"",""))</f>
        <v/>
      </c>
      <c r="K1723" s="32" t="s">
        <v>1363</v>
      </c>
    </row>
    <row r="1724" customFormat="false" ht="15" hidden="false" customHeight="false" outlineLevel="0" collapsed="false">
      <c r="A1724" s="23" t="str">
        <f aca="false">IF(B1724="","",B1724+(12*1000+73)/10000000)</f>
        <v/>
      </c>
      <c r="B1724" s="35" t="str">
        <f aca="false">IF(AND(IFERROR(N(INDEX(Clay_Offices!$A$2:$FZ$601,73,Sync!$C$11)),0)&gt;0,IFERROR(INDEX(Clay_Offices!$A$2:$FZ$601,73,Sync!$C$5)&amp;"","")&lt;&gt;"",OR(LEFT(IFERROR(INDEX(Clay_Offices!$A$2:$FZ$601,73,Sync!$C$5)&amp;"",""),6)&lt;&gt;"SAMPLE",Config!$B$19="Y")),IFERROR(N(INDEX(Clay_Offices!$A$2:$FZ$601,73,Sync!$C$11)),0),"")</f>
        <v/>
      </c>
      <c r="C1724" s="23" t="str">
        <f aca="false">IF(B1724="","","office")</f>
        <v/>
      </c>
      <c r="D1724" s="23" t="str">
        <f aca="false">IF(B1724="","",IFERROR(INDEX(Office_Log!$ED$2:$ED$201,MATCH(IFERROR(INDEX(Clay_Offices!$A$2:$FZ$601,73,Sync!$C$5)&amp;"",""),Office_Log!$A$2:$A$201,0))&amp;"",IFERROR(INDEX(Clay_Offices!$A$2:$FZ$601,73,Sync!$C$5)&amp;"","")&amp;""))</f>
        <v/>
      </c>
      <c r="E1724" s="23" t="str">
        <f aca="false">IF(B1724="","",IFERROR(INDEX(Clay_Offices!$A$2:$FZ$601,73,Sync!$C$6)&amp;"",""))</f>
        <v/>
      </c>
      <c r="F1724" s="23" t="str">
        <f aca="false">IF(B1724="","","outreach_sent")</f>
        <v/>
      </c>
      <c r="G1724" s="23" t="str">
        <f aca="false">IF(B1724="","","")</f>
        <v/>
      </c>
      <c r="H1724" s="23" t="str">
        <f aca="false">IF(B1724="","","")</f>
        <v/>
      </c>
      <c r="I1724" s="23" t="str">
        <f aca="false">IF(B1724="","","")</f>
        <v/>
      </c>
      <c r="J1724" s="23" t="str">
        <f aca="false">IF(B1724="","","touch_1; "&amp;IFERROR(INDEX(Clay_Offices!$A$2:$FZ$601,73,Sync!$C$10)&amp;"","")&amp;"; "&amp;IFERROR(INDEX(Clay_Offices!$A$2:$FZ$601,73,Sync!$C$9)&amp;"",""))</f>
        <v/>
      </c>
      <c r="K1724" s="32" t="s">
        <v>1363</v>
      </c>
    </row>
    <row r="1725" customFormat="false" ht="15" hidden="false" customHeight="false" outlineLevel="0" collapsed="false">
      <c r="A1725" s="23" t="str">
        <f aca="false">IF(B1725="","",B1725+(12*1000+74)/10000000)</f>
        <v/>
      </c>
      <c r="B1725" s="35" t="str">
        <f aca="false">IF(AND(IFERROR(N(INDEX(Clay_Offices!$A$2:$FZ$601,74,Sync!$C$11)),0)&gt;0,IFERROR(INDEX(Clay_Offices!$A$2:$FZ$601,74,Sync!$C$5)&amp;"","")&lt;&gt;"",OR(LEFT(IFERROR(INDEX(Clay_Offices!$A$2:$FZ$601,74,Sync!$C$5)&amp;"",""),6)&lt;&gt;"SAMPLE",Config!$B$19="Y")),IFERROR(N(INDEX(Clay_Offices!$A$2:$FZ$601,74,Sync!$C$11)),0),"")</f>
        <v/>
      </c>
      <c r="C1725" s="23" t="str">
        <f aca="false">IF(B1725="","","office")</f>
        <v/>
      </c>
      <c r="D1725" s="23" t="str">
        <f aca="false">IF(B1725="","",IFERROR(INDEX(Office_Log!$ED$2:$ED$201,MATCH(IFERROR(INDEX(Clay_Offices!$A$2:$FZ$601,74,Sync!$C$5)&amp;"",""),Office_Log!$A$2:$A$201,0))&amp;"",IFERROR(INDEX(Clay_Offices!$A$2:$FZ$601,74,Sync!$C$5)&amp;"","")&amp;""))</f>
        <v/>
      </c>
      <c r="E1725" s="23" t="str">
        <f aca="false">IF(B1725="","",IFERROR(INDEX(Clay_Offices!$A$2:$FZ$601,74,Sync!$C$6)&amp;"",""))</f>
        <v/>
      </c>
      <c r="F1725" s="23" t="str">
        <f aca="false">IF(B1725="","","outreach_sent")</f>
        <v/>
      </c>
      <c r="G1725" s="23" t="str">
        <f aca="false">IF(B1725="","","")</f>
        <v/>
      </c>
      <c r="H1725" s="23" t="str">
        <f aca="false">IF(B1725="","","")</f>
        <v/>
      </c>
      <c r="I1725" s="23" t="str">
        <f aca="false">IF(B1725="","","")</f>
        <v/>
      </c>
      <c r="J1725" s="23" t="str">
        <f aca="false">IF(B1725="","","touch_1; "&amp;IFERROR(INDEX(Clay_Offices!$A$2:$FZ$601,74,Sync!$C$10)&amp;"","")&amp;"; "&amp;IFERROR(INDEX(Clay_Offices!$A$2:$FZ$601,74,Sync!$C$9)&amp;"",""))</f>
        <v/>
      </c>
      <c r="K1725" s="32" t="s">
        <v>1363</v>
      </c>
    </row>
    <row r="1726" customFormat="false" ht="15" hidden="false" customHeight="false" outlineLevel="0" collapsed="false">
      <c r="A1726" s="23" t="str">
        <f aca="false">IF(B1726="","",B1726+(12*1000+75)/10000000)</f>
        <v/>
      </c>
      <c r="B1726" s="35" t="str">
        <f aca="false">IF(AND(IFERROR(N(INDEX(Clay_Offices!$A$2:$FZ$601,75,Sync!$C$11)),0)&gt;0,IFERROR(INDEX(Clay_Offices!$A$2:$FZ$601,75,Sync!$C$5)&amp;"","")&lt;&gt;"",OR(LEFT(IFERROR(INDEX(Clay_Offices!$A$2:$FZ$601,75,Sync!$C$5)&amp;"",""),6)&lt;&gt;"SAMPLE",Config!$B$19="Y")),IFERROR(N(INDEX(Clay_Offices!$A$2:$FZ$601,75,Sync!$C$11)),0),"")</f>
        <v/>
      </c>
      <c r="C1726" s="23" t="str">
        <f aca="false">IF(B1726="","","office")</f>
        <v/>
      </c>
      <c r="D1726" s="23" t="str">
        <f aca="false">IF(B1726="","",IFERROR(INDEX(Office_Log!$ED$2:$ED$201,MATCH(IFERROR(INDEX(Clay_Offices!$A$2:$FZ$601,75,Sync!$C$5)&amp;"",""),Office_Log!$A$2:$A$201,0))&amp;"",IFERROR(INDEX(Clay_Offices!$A$2:$FZ$601,75,Sync!$C$5)&amp;"","")&amp;""))</f>
        <v/>
      </c>
      <c r="E1726" s="23" t="str">
        <f aca="false">IF(B1726="","",IFERROR(INDEX(Clay_Offices!$A$2:$FZ$601,75,Sync!$C$6)&amp;"",""))</f>
        <v/>
      </c>
      <c r="F1726" s="23" t="str">
        <f aca="false">IF(B1726="","","outreach_sent")</f>
        <v/>
      </c>
      <c r="G1726" s="23" t="str">
        <f aca="false">IF(B1726="","","")</f>
        <v/>
      </c>
      <c r="H1726" s="23" t="str">
        <f aca="false">IF(B1726="","","")</f>
        <v/>
      </c>
      <c r="I1726" s="23" t="str">
        <f aca="false">IF(B1726="","","")</f>
        <v/>
      </c>
      <c r="J1726" s="23" t="str">
        <f aca="false">IF(B1726="","","touch_1; "&amp;IFERROR(INDEX(Clay_Offices!$A$2:$FZ$601,75,Sync!$C$10)&amp;"","")&amp;"; "&amp;IFERROR(INDEX(Clay_Offices!$A$2:$FZ$601,75,Sync!$C$9)&amp;"",""))</f>
        <v/>
      </c>
      <c r="K1726" s="32" t="s">
        <v>1363</v>
      </c>
    </row>
    <row r="1727" customFormat="false" ht="15" hidden="false" customHeight="false" outlineLevel="0" collapsed="false">
      <c r="A1727" s="23" t="str">
        <f aca="false">IF(B1727="","",B1727+(12*1000+76)/10000000)</f>
        <v/>
      </c>
      <c r="B1727" s="35" t="str">
        <f aca="false">IF(AND(IFERROR(N(INDEX(Clay_Offices!$A$2:$FZ$601,76,Sync!$C$11)),0)&gt;0,IFERROR(INDEX(Clay_Offices!$A$2:$FZ$601,76,Sync!$C$5)&amp;"","")&lt;&gt;"",OR(LEFT(IFERROR(INDEX(Clay_Offices!$A$2:$FZ$601,76,Sync!$C$5)&amp;"",""),6)&lt;&gt;"SAMPLE",Config!$B$19="Y")),IFERROR(N(INDEX(Clay_Offices!$A$2:$FZ$601,76,Sync!$C$11)),0),"")</f>
        <v/>
      </c>
      <c r="C1727" s="23" t="str">
        <f aca="false">IF(B1727="","","office")</f>
        <v/>
      </c>
      <c r="D1727" s="23" t="str">
        <f aca="false">IF(B1727="","",IFERROR(INDEX(Office_Log!$ED$2:$ED$201,MATCH(IFERROR(INDEX(Clay_Offices!$A$2:$FZ$601,76,Sync!$C$5)&amp;"",""),Office_Log!$A$2:$A$201,0))&amp;"",IFERROR(INDEX(Clay_Offices!$A$2:$FZ$601,76,Sync!$C$5)&amp;"","")&amp;""))</f>
        <v/>
      </c>
      <c r="E1727" s="23" t="str">
        <f aca="false">IF(B1727="","",IFERROR(INDEX(Clay_Offices!$A$2:$FZ$601,76,Sync!$C$6)&amp;"",""))</f>
        <v/>
      </c>
      <c r="F1727" s="23" t="str">
        <f aca="false">IF(B1727="","","outreach_sent")</f>
        <v/>
      </c>
      <c r="G1727" s="23" t="str">
        <f aca="false">IF(B1727="","","")</f>
        <v/>
      </c>
      <c r="H1727" s="23" t="str">
        <f aca="false">IF(B1727="","","")</f>
        <v/>
      </c>
      <c r="I1727" s="23" t="str">
        <f aca="false">IF(B1727="","","")</f>
        <v/>
      </c>
      <c r="J1727" s="23" t="str">
        <f aca="false">IF(B1727="","","touch_1; "&amp;IFERROR(INDEX(Clay_Offices!$A$2:$FZ$601,76,Sync!$C$10)&amp;"","")&amp;"; "&amp;IFERROR(INDEX(Clay_Offices!$A$2:$FZ$601,76,Sync!$C$9)&amp;"",""))</f>
        <v/>
      </c>
      <c r="K1727" s="32" t="s">
        <v>1363</v>
      </c>
    </row>
    <row r="1728" customFormat="false" ht="15" hidden="false" customHeight="false" outlineLevel="0" collapsed="false">
      <c r="A1728" s="23" t="str">
        <f aca="false">IF(B1728="","",B1728+(12*1000+77)/10000000)</f>
        <v/>
      </c>
      <c r="B1728" s="35" t="str">
        <f aca="false">IF(AND(IFERROR(N(INDEX(Clay_Offices!$A$2:$FZ$601,77,Sync!$C$11)),0)&gt;0,IFERROR(INDEX(Clay_Offices!$A$2:$FZ$601,77,Sync!$C$5)&amp;"","")&lt;&gt;"",OR(LEFT(IFERROR(INDEX(Clay_Offices!$A$2:$FZ$601,77,Sync!$C$5)&amp;"",""),6)&lt;&gt;"SAMPLE",Config!$B$19="Y")),IFERROR(N(INDEX(Clay_Offices!$A$2:$FZ$601,77,Sync!$C$11)),0),"")</f>
        <v/>
      </c>
      <c r="C1728" s="23" t="str">
        <f aca="false">IF(B1728="","","office")</f>
        <v/>
      </c>
      <c r="D1728" s="23" t="str">
        <f aca="false">IF(B1728="","",IFERROR(INDEX(Office_Log!$ED$2:$ED$201,MATCH(IFERROR(INDEX(Clay_Offices!$A$2:$FZ$601,77,Sync!$C$5)&amp;"",""),Office_Log!$A$2:$A$201,0))&amp;"",IFERROR(INDEX(Clay_Offices!$A$2:$FZ$601,77,Sync!$C$5)&amp;"","")&amp;""))</f>
        <v/>
      </c>
      <c r="E1728" s="23" t="str">
        <f aca="false">IF(B1728="","",IFERROR(INDEX(Clay_Offices!$A$2:$FZ$601,77,Sync!$C$6)&amp;"",""))</f>
        <v/>
      </c>
      <c r="F1728" s="23" t="str">
        <f aca="false">IF(B1728="","","outreach_sent")</f>
        <v/>
      </c>
      <c r="G1728" s="23" t="str">
        <f aca="false">IF(B1728="","","")</f>
        <v/>
      </c>
      <c r="H1728" s="23" t="str">
        <f aca="false">IF(B1728="","","")</f>
        <v/>
      </c>
      <c r="I1728" s="23" t="str">
        <f aca="false">IF(B1728="","","")</f>
        <v/>
      </c>
      <c r="J1728" s="23" t="str">
        <f aca="false">IF(B1728="","","touch_1; "&amp;IFERROR(INDEX(Clay_Offices!$A$2:$FZ$601,77,Sync!$C$10)&amp;"","")&amp;"; "&amp;IFERROR(INDEX(Clay_Offices!$A$2:$FZ$601,77,Sync!$C$9)&amp;"",""))</f>
        <v/>
      </c>
      <c r="K1728" s="32" t="s">
        <v>1363</v>
      </c>
    </row>
    <row r="1729" customFormat="false" ht="15" hidden="false" customHeight="false" outlineLevel="0" collapsed="false">
      <c r="A1729" s="23" t="str">
        <f aca="false">IF(B1729="","",B1729+(12*1000+78)/10000000)</f>
        <v/>
      </c>
      <c r="B1729" s="35" t="str">
        <f aca="false">IF(AND(IFERROR(N(INDEX(Clay_Offices!$A$2:$FZ$601,78,Sync!$C$11)),0)&gt;0,IFERROR(INDEX(Clay_Offices!$A$2:$FZ$601,78,Sync!$C$5)&amp;"","")&lt;&gt;"",OR(LEFT(IFERROR(INDEX(Clay_Offices!$A$2:$FZ$601,78,Sync!$C$5)&amp;"",""),6)&lt;&gt;"SAMPLE",Config!$B$19="Y")),IFERROR(N(INDEX(Clay_Offices!$A$2:$FZ$601,78,Sync!$C$11)),0),"")</f>
        <v/>
      </c>
      <c r="C1729" s="23" t="str">
        <f aca="false">IF(B1729="","","office")</f>
        <v/>
      </c>
      <c r="D1729" s="23" t="str">
        <f aca="false">IF(B1729="","",IFERROR(INDEX(Office_Log!$ED$2:$ED$201,MATCH(IFERROR(INDEX(Clay_Offices!$A$2:$FZ$601,78,Sync!$C$5)&amp;"",""),Office_Log!$A$2:$A$201,0))&amp;"",IFERROR(INDEX(Clay_Offices!$A$2:$FZ$601,78,Sync!$C$5)&amp;"","")&amp;""))</f>
        <v/>
      </c>
      <c r="E1729" s="23" t="str">
        <f aca="false">IF(B1729="","",IFERROR(INDEX(Clay_Offices!$A$2:$FZ$601,78,Sync!$C$6)&amp;"",""))</f>
        <v/>
      </c>
      <c r="F1729" s="23" t="str">
        <f aca="false">IF(B1729="","","outreach_sent")</f>
        <v/>
      </c>
      <c r="G1729" s="23" t="str">
        <f aca="false">IF(B1729="","","")</f>
        <v/>
      </c>
      <c r="H1729" s="23" t="str">
        <f aca="false">IF(B1729="","","")</f>
        <v/>
      </c>
      <c r="I1729" s="23" t="str">
        <f aca="false">IF(B1729="","","")</f>
        <v/>
      </c>
      <c r="J1729" s="23" t="str">
        <f aca="false">IF(B1729="","","touch_1; "&amp;IFERROR(INDEX(Clay_Offices!$A$2:$FZ$601,78,Sync!$C$10)&amp;"","")&amp;"; "&amp;IFERROR(INDEX(Clay_Offices!$A$2:$FZ$601,78,Sync!$C$9)&amp;"",""))</f>
        <v/>
      </c>
      <c r="K1729" s="32" t="s">
        <v>1363</v>
      </c>
    </row>
    <row r="1730" customFormat="false" ht="15" hidden="false" customHeight="false" outlineLevel="0" collapsed="false">
      <c r="A1730" s="23" t="str">
        <f aca="false">IF(B1730="","",B1730+(12*1000+79)/10000000)</f>
        <v/>
      </c>
      <c r="B1730" s="35" t="str">
        <f aca="false">IF(AND(IFERROR(N(INDEX(Clay_Offices!$A$2:$FZ$601,79,Sync!$C$11)),0)&gt;0,IFERROR(INDEX(Clay_Offices!$A$2:$FZ$601,79,Sync!$C$5)&amp;"","")&lt;&gt;"",OR(LEFT(IFERROR(INDEX(Clay_Offices!$A$2:$FZ$601,79,Sync!$C$5)&amp;"",""),6)&lt;&gt;"SAMPLE",Config!$B$19="Y")),IFERROR(N(INDEX(Clay_Offices!$A$2:$FZ$601,79,Sync!$C$11)),0),"")</f>
        <v/>
      </c>
      <c r="C1730" s="23" t="str">
        <f aca="false">IF(B1730="","","office")</f>
        <v/>
      </c>
      <c r="D1730" s="23" t="str">
        <f aca="false">IF(B1730="","",IFERROR(INDEX(Office_Log!$ED$2:$ED$201,MATCH(IFERROR(INDEX(Clay_Offices!$A$2:$FZ$601,79,Sync!$C$5)&amp;"",""),Office_Log!$A$2:$A$201,0))&amp;"",IFERROR(INDEX(Clay_Offices!$A$2:$FZ$601,79,Sync!$C$5)&amp;"","")&amp;""))</f>
        <v/>
      </c>
      <c r="E1730" s="23" t="str">
        <f aca="false">IF(B1730="","",IFERROR(INDEX(Clay_Offices!$A$2:$FZ$601,79,Sync!$C$6)&amp;"",""))</f>
        <v/>
      </c>
      <c r="F1730" s="23" t="str">
        <f aca="false">IF(B1730="","","outreach_sent")</f>
        <v/>
      </c>
      <c r="G1730" s="23" t="str">
        <f aca="false">IF(B1730="","","")</f>
        <v/>
      </c>
      <c r="H1730" s="23" t="str">
        <f aca="false">IF(B1730="","","")</f>
        <v/>
      </c>
      <c r="I1730" s="23" t="str">
        <f aca="false">IF(B1730="","","")</f>
        <v/>
      </c>
      <c r="J1730" s="23" t="str">
        <f aca="false">IF(B1730="","","touch_1; "&amp;IFERROR(INDEX(Clay_Offices!$A$2:$FZ$601,79,Sync!$C$10)&amp;"","")&amp;"; "&amp;IFERROR(INDEX(Clay_Offices!$A$2:$FZ$601,79,Sync!$C$9)&amp;"",""))</f>
        <v/>
      </c>
      <c r="K1730" s="32" t="s">
        <v>1363</v>
      </c>
    </row>
    <row r="1731" customFormat="false" ht="15" hidden="false" customHeight="false" outlineLevel="0" collapsed="false">
      <c r="A1731" s="23" t="str">
        <f aca="false">IF(B1731="","",B1731+(12*1000+80)/10000000)</f>
        <v/>
      </c>
      <c r="B1731" s="35" t="str">
        <f aca="false">IF(AND(IFERROR(N(INDEX(Clay_Offices!$A$2:$FZ$601,80,Sync!$C$11)),0)&gt;0,IFERROR(INDEX(Clay_Offices!$A$2:$FZ$601,80,Sync!$C$5)&amp;"","")&lt;&gt;"",OR(LEFT(IFERROR(INDEX(Clay_Offices!$A$2:$FZ$601,80,Sync!$C$5)&amp;"",""),6)&lt;&gt;"SAMPLE",Config!$B$19="Y")),IFERROR(N(INDEX(Clay_Offices!$A$2:$FZ$601,80,Sync!$C$11)),0),"")</f>
        <v/>
      </c>
      <c r="C1731" s="23" t="str">
        <f aca="false">IF(B1731="","","office")</f>
        <v/>
      </c>
      <c r="D1731" s="23" t="str">
        <f aca="false">IF(B1731="","",IFERROR(INDEX(Office_Log!$ED$2:$ED$201,MATCH(IFERROR(INDEX(Clay_Offices!$A$2:$FZ$601,80,Sync!$C$5)&amp;"",""),Office_Log!$A$2:$A$201,0))&amp;"",IFERROR(INDEX(Clay_Offices!$A$2:$FZ$601,80,Sync!$C$5)&amp;"","")&amp;""))</f>
        <v/>
      </c>
      <c r="E1731" s="23" t="str">
        <f aca="false">IF(B1731="","",IFERROR(INDEX(Clay_Offices!$A$2:$FZ$601,80,Sync!$C$6)&amp;"",""))</f>
        <v/>
      </c>
      <c r="F1731" s="23" t="str">
        <f aca="false">IF(B1731="","","outreach_sent")</f>
        <v/>
      </c>
      <c r="G1731" s="23" t="str">
        <f aca="false">IF(B1731="","","")</f>
        <v/>
      </c>
      <c r="H1731" s="23" t="str">
        <f aca="false">IF(B1731="","","")</f>
        <v/>
      </c>
      <c r="I1731" s="23" t="str">
        <f aca="false">IF(B1731="","","")</f>
        <v/>
      </c>
      <c r="J1731" s="23" t="str">
        <f aca="false">IF(B1731="","","touch_1; "&amp;IFERROR(INDEX(Clay_Offices!$A$2:$FZ$601,80,Sync!$C$10)&amp;"","")&amp;"; "&amp;IFERROR(INDEX(Clay_Offices!$A$2:$FZ$601,80,Sync!$C$9)&amp;"",""))</f>
        <v/>
      </c>
      <c r="K1731" s="32" t="s">
        <v>1363</v>
      </c>
    </row>
    <row r="1732" customFormat="false" ht="15" hidden="false" customHeight="false" outlineLevel="0" collapsed="false">
      <c r="A1732" s="23" t="str">
        <f aca="false">IF(B1732="","",B1732+(12*1000+81)/10000000)</f>
        <v/>
      </c>
      <c r="B1732" s="35" t="str">
        <f aca="false">IF(AND(IFERROR(N(INDEX(Clay_Offices!$A$2:$FZ$601,81,Sync!$C$11)),0)&gt;0,IFERROR(INDEX(Clay_Offices!$A$2:$FZ$601,81,Sync!$C$5)&amp;"","")&lt;&gt;"",OR(LEFT(IFERROR(INDEX(Clay_Offices!$A$2:$FZ$601,81,Sync!$C$5)&amp;"",""),6)&lt;&gt;"SAMPLE",Config!$B$19="Y")),IFERROR(N(INDEX(Clay_Offices!$A$2:$FZ$601,81,Sync!$C$11)),0),"")</f>
        <v/>
      </c>
      <c r="C1732" s="23" t="str">
        <f aca="false">IF(B1732="","","office")</f>
        <v/>
      </c>
      <c r="D1732" s="23" t="str">
        <f aca="false">IF(B1732="","",IFERROR(INDEX(Office_Log!$ED$2:$ED$201,MATCH(IFERROR(INDEX(Clay_Offices!$A$2:$FZ$601,81,Sync!$C$5)&amp;"",""),Office_Log!$A$2:$A$201,0))&amp;"",IFERROR(INDEX(Clay_Offices!$A$2:$FZ$601,81,Sync!$C$5)&amp;"","")&amp;""))</f>
        <v/>
      </c>
      <c r="E1732" s="23" t="str">
        <f aca="false">IF(B1732="","",IFERROR(INDEX(Clay_Offices!$A$2:$FZ$601,81,Sync!$C$6)&amp;"",""))</f>
        <v/>
      </c>
      <c r="F1732" s="23" t="str">
        <f aca="false">IF(B1732="","","outreach_sent")</f>
        <v/>
      </c>
      <c r="G1732" s="23" t="str">
        <f aca="false">IF(B1732="","","")</f>
        <v/>
      </c>
      <c r="H1732" s="23" t="str">
        <f aca="false">IF(B1732="","","")</f>
        <v/>
      </c>
      <c r="I1732" s="23" t="str">
        <f aca="false">IF(B1732="","","")</f>
        <v/>
      </c>
      <c r="J1732" s="23" t="str">
        <f aca="false">IF(B1732="","","touch_1; "&amp;IFERROR(INDEX(Clay_Offices!$A$2:$FZ$601,81,Sync!$C$10)&amp;"","")&amp;"; "&amp;IFERROR(INDEX(Clay_Offices!$A$2:$FZ$601,81,Sync!$C$9)&amp;"",""))</f>
        <v/>
      </c>
      <c r="K1732" s="32" t="s">
        <v>1363</v>
      </c>
    </row>
    <row r="1733" customFormat="false" ht="15" hidden="false" customHeight="false" outlineLevel="0" collapsed="false">
      <c r="A1733" s="23" t="str">
        <f aca="false">IF(B1733="","",B1733+(12*1000+82)/10000000)</f>
        <v/>
      </c>
      <c r="B1733" s="35" t="str">
        <f aca="false">IF(AND(IFERROR(N(INDEX(Clay_Offices!$A$2:$FZ$601,82,Sync!$C$11)),0)&gt;0,IFERROR(INDEX(Clay_Offices!$A$2:$FZ$601,82,Sync!$C$5)&amp;"","")&lt;&gt;"",OR(LEFT(IFERROR(INDEX(Clay_Offices!$A$2:$FZ$601,82,Sync!$C$5)&amp;"",""),6)&lt;&gt;"SAMPLE",Config!$B$19="Y")),IFERROR(N(INDEX(Clay_Offices!$A$2:$FZ$601,82,Sync!$C$11)),0),"")</f>
        <v/>
      </c>
      <c r="C1733" s="23" t="str">
        <f aca="false">IF(B1733="","","office")</f>
        <v/>
      </c>
      <c r="D1733" s="23" t="str">
        <f aca="false">IF(B1733="","",IFERROR(INDEX(Office_Log!$ED$2:$ED$201,MATCH(IFERROR(INDEX(Clay_Offices!$A$2:$FZ$601,82,Sync!$C$5)&amp;"",""),Office_Log!$A$2:$A$201,0))&amp;"",IFERROR(INDEX(Clay_Offices!$A$2:$FZ$601,82,Sync!$C$5)&amp;"","")&amp;""))</f>
        <v/>
      </c>
      <c r="E1733" s="23" t="str">
        <f aca="false">IF(B1733="","",IFERROR(INDEX(Clay_Offices!$A$2:$FZ$601,82,Sync!$C$6)&amp;"",""))</f>
        <v/>
      </c>
      <c r="F1733" s="23" t="str">
        <f aca="false">IF(B1733="","","outreach_sent")</f>
        <v/>
      </c>
      <c r="G1733" s="23" t="str">
        <f aca="false">IF(B1733="","","")</f>
        <v/>
      </c>
      <c r="H1733" s="23" t="str">
        <f aca="false">IF(B1733="","","")</f>
        <v/>
      </c>
      <c r="I1733" s="23" t="str">
        <f aca="false">IF(B1733="","","")</f>
        <v/>
      </c>
      <c r="J1733" s="23" t="str">
        <f aca="false">IF(B1733="","","touch_1; "&amp;IFERROR(INDEX(Clay_Offices!$A$2:$FZ$601,82,Sync!$C$10)&amp;"","")&amp;"; "&amp;IFERROR(INDEX(Clay_Offices!$A$2:$FZ$601,82,Sync!$C$9)&amp;"",""))</f>
        <v/>
      </c>
      <c r="K1733" s="32" t="s">
        <v>1363</v>
      </c>
    </row>
    <row r="1734" customFormat="false" ht="15" hidden="false" customHeight="false" outlineLevel="0" collapsed="false">
      <c r="A1734" s="23" t="str">
        <f aca="false">IF(B1734="","",B1734+(12*1000+83)/10000000)</f>
        <v/>
      </c>
      <c r="B1734" s="35" t="str">
        <f aca="false">IF(AND(IFERROR(N(INDEX(Clay_Offices!$A$2:$FZ$601,83,Sync!$C$11)),0)&gt;0,IFERROR(INDEX(Clay_Offices!$A$2:$FZ$601,83,Sync!$C$5)&amp;"","")&lt;&gt;"",OR(LEFT(IFERROR(INDEX(Clay_Offices!$A$2:$FZ$601,83,Sync!$C$5)&amp;"",""),6)&lt;&gt;"SAMPLE",Config!$B$19="Y")),IFERROR(N(INDEX(Clay_Offices!$A$2:$FZ$601,83,Sync!$C$11)),0),"")</f>
        <v/>
      </c>
      <c r="C1734" s="23" t="str">
        <f aca="false">IF(B1734="","","office")</f>
        <v/>
      </c>
      <c r="D1734" s="23" t="str">
        <f aca="false">IF(B1734="","",IFERROR(INDEX(Office_Log!$ED$2:$ED$201,MATCH(IFERROR(INDEX(Clay_Offices!$A$2:$FZ$601,83,Sync!$C$5)&amp;"",""),Office_Log!$A$2:$A$201,0))&amp;"",IFERROR(INDEX(Clay_Offices!$A$2:$FZ$601,83,Sync!$C$5)&amp;"","")&amp;""))</f>
        <v/>
      </c>
      <c r="E1734" s="23" t="str">
        <f aca="false">IF(B1734="","",IFERROR(INDEX(Clay_Offices!$A$2:$FZ$601,83,Sync!$C$6)&amp;"",""))</f>
        <v/>
      </c>
      <c r="F1734" s="23" t="str">
        <f aca="false">IF(B1734="","","outreach_sent")</f>
        <v/>
      </c>
      <c r="G1734" s="23" t="str">
        <f aca="false">IF(B1734="","","")</f>
        <v/>
      </c>
      <c r="H1734" s="23" t="str">
        <f aca="false">IF(B1734="","","")</f>
        <v/>
      </c>
      <c r="I1734" s="23" t="str">
        <f aca="false">IF(B1734="","","")</f>
        <v/>
      </c>
      <c r="J1734" s="23" t="str">
        <f aca="false">IF(B1734="","","touch_1; "&amp;IFERROR(INDEX(Clay_Offices!$A$2:$FZ$601,83,Sync!$C$10)&amp;"","")&amp;"; "&amp;IFERROR(INDEX(Clay_Offices!$A$2:$FZ$601,83,Sync!$C$9)&amp;"",""))</f>
        <v/>
      </c>
      <c r="K1734" s="32" t="s">
        <v>1363</v>
      </c>
    </row>
    <row r="1735" customFormat="false" ht="15" hidden="false" customHeight="false" outlineLevel="0" collapsed="false">
      <c r="A1735" s="23" t="str">
        <f aca="false">IF(B1735="","",B1735+(12*1000+84)/10000000)</f>
        <v/>
      </c>
      <c r="B1735" s="35" t="str">
        <f aca="false">IF(AND(IFERROR(N(INDEX(Clay_Offices!$A$2:$FZ$601,84,Sync!$C$11)),0)&gt;0,IFERROR(INDEX(Clay_Offices!$A$2:$FZ$601,84,Sync!$C$5)&amp;"","")&lt;&gt;"",OR(LEFT(IFERROR(INDEX(Clay_Offices!$A$2:$FZ$601,84,Sync!$C$5)&amp;"",""),6)&lt;&gt;"SAMPLE",Config!$B$19="Y")),IFERROR(N(INDEX(Clay_Offices!$A$2:$FZ$601,84,Sync!$C$11)),0),"")</f>
        <v/>
      </c>
      <c r="C1735" s="23" t="str">
        <f aca="false">IF(B1735="","","office")</f>
        <v/>
      </c>
      <c r="D1735" s="23" t="str">
        <f aca="false">IF(B1735="","",IFERROR(INDEX(Office_Log!$ED$2:$ED$201,MATCH(IFERROR(INDEX(Clay_Offices!$A$2:$FZ$601,84,Sync!$C$5)&amp;"",""),Office_Log!$A$2:$A$201,0))&amp;"",IFERROR(INDEX(Clay_Offices!$A$2:$FZ$601,84,Sync!$C$5)&amp;"","")&amp;""))</f>
        <v/>
      </c>
      <c r="E1735" s="23" t="str">
        <f aca="false">IF(B1735="","",IFERROR(INDEX(Clay_Offices!$A$2:$FZ$601,84,Sync!$C$6)&amp;"",""))</f>
        <v/>
      </c>
      <c r="F1735" s="23" t="str">
        <f aca="false">IF(B1735="","","outreach_sent")</f>
        <v/>
      </c>
      <c r="G1735" s="23" t="str">
        <f aca="false">IF(B1735="","","")</f>
        <v/>
      </c>
      <c r="H1735" s="23" t="str">
        <f aca="false">IF(B1735="","","")</f>
        <v/>
      </c>
      <c r="I1735" s="23" t="str">
        <f aca="false">IF(B1735="","","")</f>
        <v/>
      </c>
      <c r="J1735" s="23" t="str">
        <f aca="false">IF(B1735="","","touch_1; "&amp;IFERROR(INDEX(Clay_Offices!$A$2:$FZ$601,84,Sync!$C$10)&amp;"","")&amp;"; "&amp;IFERROR(INDEX(Clay_Offices!$A$2:$FZ$601,84,Sync!$C$9)&amp;"",""))</f>
        <v/>
      </c>
      <c r="K1735" s="32" t="s">
        <v>1363</v>
      </c>
    </row>
    <row r="1736" customFormat="false" ht="15" hidden="false" customHeight="false" outlineLevel="0" collapsed="false">
      <c r="A1736" s="23" t="str">
        <f aca="false">IF(B1736="","",B1736+(12*1000+85)/10000000)</f>
        <v/>
      </c>
      <c r="B1736" s="35" t="str">
        <f aca="false">IF(AND(IFERROR(N(INDEX(Clay_Offices!$A$2:$FZ$601,85,Sync!$C$11)),0)&gt;0,IFERROR(INDEX(Clay_Offices!$A$2:$FZ$601,85,Sync!$C$5)&amp;"","")&lt;&gt;"",OR(LEFT(IFERROR(INDEX(Clay_Offices!$A$2:$FZ$601,85,Sync!$C$5)&amp;"",""),6)&lt;&gt;"SAMPLE",Config!$B$19="Y")),IFERROR(N(INDEX(Clay_Offices!$A$2:$FZ$601,85,Sync!$C$11)),0),"")</f>
        <v/>
      </c>
      <c r="C1736" s="23" t="str">
        <f aca="false">IF(B1736="","","office")</f>
        <v/>
      </c>
      <c r="D1736" s="23" t="str">
        <f aca="false">IF(B1736="","",IFERROR(INDEX(Office_Log!$ED$2:$ED$201,MATCH(IFERROR(INDEX(Clay_Offices!$A$2:$FZ$601,85,Sync!$C$5)&amp;"",""),Office_Log!$A$2:$A$201,0))&amp;"",IFERROR(INDEX(Clay_Offices!$A$2:$FZ$601,85,Sync!$C$5)&amp;"","")&amp;""))</f>
        <v/>
      </c>
      <c r="E1736" s="23" t="str">
        <f aca="false">IF(B1736="","",IFERROR(INDEX(Clay_Offices!$A$2:$FZ$601,85,Sync!$C$6)&amp;"",""))</f>
        <v/>
      </c>
      <c r="F1736" s="23" t="str">
        <f aca="false">IF(B1736="","","outreach_sent")</f>
        <v/>
      </c>
      <c r="G1736" s="23" t="str">
        <f aca="false">IF(B1736="","","")</f>
        <v/>
      </c>
      <c r="H1736" s="23" t="str">
        <f aca="false">IF(B1736="","","")</f>
        <v/>
      </c>
      <c r="I1736" s="23" t="str">
        <f aca="false">IF(B1736="","","")</f>
        <v/>
      </c>
      <c r="J1736" s="23" t="str">
        <f aca="false">IF(B1736="","","touch_1; "&amp;IFERROR(INDEX(Clay_Offices!$A$2:$FZ$601,85,Sync!$C$10)&amp;"","")&amp;"; "&amp;IFERROR(INDEX(Clay_Offices!$A$2:$FZ$601,85,Sync!$C$9)&amp;"",""))</f>
        <v/>
      </c>
      <c r="K1736" s="32" t="s">
        <v>1363</v>
      </c>
    </row>
    <row r="1737" customFormat="false" ht="15" hidden="false" customHeight="false" outlineLevel="0" collapsed="false">
      <c r="A1737" s="23" t="str">
        <f aca="false">IF(B1737="","",B1737+(12*1000+86)/10000000)</f>
        <v/>
      </c>
      <c r="B1737" s="35" t="str">
        <f aca="false">IF(AND(IFERROR(N(INDEX(Clay_Offices!$A$2:$FZ$601,86,Sync!$C$11)),0)&gt;0,IFERROR(INDEX(Clay_Offices!$A$2:$FZ$601,86,Sync!$C$5)&amp;"","")&lt;&gt;"",OR(LEFT(IFERROR(INDEX(Clay_Offices!$A$2:$FZ$601,86,Sync!$C$5)&amp;"",""),6)&lt;&gt;"SAMPLE",Config!$B$19="Y")),IFERROR(N(INDEX(Clay_Offices!$A$2:$FZ$601,86,Sync!$C$11)),0),"")</f>
        <v/>
      </c>
      <c r="C1737" s="23" t="str">
        <f aca="false">IF(B1737="","","office")</f>
        <v/>
      </c>
      <c r="D1737" s="23" t="str">
        <f aca="false">IF(B1737="","",IFERROR(INDEX(Office_Log!$ED$2:$ED$201,MATCH(IFERROR(INDEX(Clay_Offices!$A$2:$FZ$601,86,Sync!$C$5)&amp;"",""),Office_Log!$A$2:$A$201,0))&amp;"",IFERROR(INDEX(Clay_Offices!$A$2:$FZ$601,86,Sync!$C$5)&amp;"","")&amp;""))</f>
        <v/>
      </c>
      <c r="E1737" s="23" t="str">
        <f aca="false">IF(B1737="","",IFERROR(INDEX(Clay_Offices!$A$2:$FZ$601,86,Sync!$C$6)&amp;"",""))</f>
        <v/>
      </c>
      <c r="F1737" s="23" t="str">
        <f aca="false">IF(B1737="","","outreach_sent")</f>
        <v/>
      </c>
      <c r="G1737" s="23" t="str">
        <f aca="false">IF(B1737="","","")</f>
        <v/>
      </c>
      <c r="H1737" s="23" t="str">
        <f aca="false">IF(B1737="","","")</f>
        <v/>
      </c>
      <c r="I1737" s="23" t="str">
        <f aca="false">IF(B1737="","","")</f>
        <v/>
      </c>
      <c r="J1737" s="23" t="str">
        <f aca="false">IF(B1737="","","touch_1; "&amp;IFERROR(INDEX(Clay_Offices!$A$2:$FZ$601,86,Sync!$C$10)&amp;"","")&amp;"; "&amp;IFERROR(INDEX(Clay_Offices!$A$2:$FZ$601,86,Sync!$C$9)&amp;"",""))</f>
        <v/>
      </c>
      <c r="K1737" s="32" t="s">
        <v>1363</v>
      </c>
    </row>
    <row r="1738" customFormat="false" ht="15" hidden="false" customHeight="false" outlineLevel="0" collapsed="false">
      <c r="A1738" s="23" t="str">
        <f aca="false">IF(B1738="","",B1738+(12*1000+87)/10000000)</f>
        <v/>
      </c>
      <c r="B1738" s="35" t="str">
        <f aca="false">IF(AND(IFERROR(N(INDEX(Clay_Offices!$A$2:$FZ$601,87,Sync!$C$11)),0)&gt;0,IFERROR(INDEX(Clay_Offices!$A$2:$FZ$601,87,Sync!$C$5)&amp;"","")&lt;&gt;"",OR(LEFT(IFERROR(INDEX(Clay_Offices!$A$2:$FZ$601,87,Sync!$C$5)&amp;"",""),6)&lt;&gt;"SAMPLE",Config!$B$19="Y")),IFERROR(N(INDEX(Clay_Offices!$A$2:$FZ$601,87,Sync!$C$11)),0),"")</f>
        <v/>
      </c>
      <c r="C1738" s="23" t="str">
        <f aca="false">IF(B1738="","","office")</f>
        <v/>
      </c>
      <c r="D1738" s="23" t="str">
        <f aca="false">IF(B1738="","",IFERROR(INDEX(Office_Log!$ED$2:$ED$201,MATCH(IFERROR(INDEX(Clay_Offices!$A$2:$FZ$601,87,Sync!$C$5)&amp;"",""),Office_Log!$A$2:$A$201,0))&amp;"",IFERROR(INDEX(Clay_Offices!$A$2:$FZ$601,87,Sync!$C$5)&amp;"","")&amp;""))</f>
        <v/>
      </c>
      <c r="E1738" s="23" t="str">
        <f aca="false">IF(B1738="","",IFERROR(INDEX(Clay_Offices!$A$2:$FZ$601,87,Sync!$C$6)&amp;"",""))</f>
        <v/>
      </c>
      <c r="F1738" s="23" t="str">
        <f aca="false">IF(B1738="","","outreach_sent")</f>
        <v/>
      </c>
      <c r="G1738" s="23" t="str">
        <f aca="false">IF(B1738="","","")</f>
        <v/>
      </c>
      <c r="H1738" s="23" t="str">
        <f aca="false">IF(B1738="","","")</f>
        <v/>
      </c>
      <c r="I1738" s="23" t="str">
        <f aca="false">IF(B1738="","","")</f>
        <v/>
      </c>
      <c r="J1738" s="23" t="str">
        <f aca="false">IF(B1738="","","touch_1; "&amp;IFERROR(INDEX(Clay_Offices!$A$2:$FZ$601,87,Sync!$C$10)&amp;"","")&amp;"; "&amp;IFERROR(INDEX(Clay_Offices!$A$2:$FZ$601,87,Sync!$C$9)&amp;"",""))</f>
        <v/>
      </c>
      <c r="K1738" s="32" t="s">
        <v>1363</v>
      </c>
    </row>
    <row r="1739" customFormat="false" ht="15" hidden="false" customHeight="false" outlineLevel="0" collapsed="false">
      <c r="A1739" s="23" t="str">
        <f aca="false">IF(B1739="","",B1739+(12*1000+88)/10000000)</f>
        <v/>
      </c>
      <c r="B1739" s="35" t="str">
        <f aca="false">IF(AND(IFERROR(N(INDEX(Clay_Offices!$A$2:$FZ$601,88,Sync!$C$11)),0)&gt;0,IFERROR(INDEX(Clay_Offices!$A$2:$FZ$601,88,Sync!$C$5)&amp;"","")&lt;&gt;"",OR(LEFT(IFERROR(INDEX(Clay_Offices!$A$2:$FZ$601,88,Sync!$C$5)&amp;"",""),6)&lt;&gt;"SAMPLE",Config!$B$19="Y")),IFERROR(N(INDEX(Clay_Offices!$A$2:$FZ$601,88,Sync!$C$11)),0),"")</f>
        <v/>
      </c>
      <c r="C1739" s="23" t="str">
        <f aca="false">IF(B1739="","","office")</f>
        <v/>
      </c>
      <c r="D1739" s="23" t="str">
        <f aca="false">IF(B1739="","",IFERROR(INDEX(Office_Log!$ED$2:$ED$201,MATCH(IFERROR(INDEX(Clay_Offices!$A$2:$FZ$601,88,Sync!$C$5)&amp;"",""),Office_Log!$A$2:$A$201,0))&amp;"",IFERROR(INDEX(Clay_Offices!$A$2:$FZ$601,88,Sync!$C$5)&amp;"","")&amp;""))</f>
        <v/>
      </c>
      <c r="E1739" s="23" t="str">
        <f aca="false">IF(B1739="","",IFERROR(INDEX(Clay_Offices!$A$2:$FZ$601,88,Sync!$C$6)&amp;"",""))</f>
        <v/>
      </c>
      <c r="F1739" s="23" t="str">
        <f aca="false">IF(B1739="","","outreach_sent")</f>
        <v/>
      </c>
      <c r="G1739" s="23" t="str">
        <f aca="false">IF(B1739="","","")</f>
        <v/>
      </c>
      <c r="H1739" s="23" t="str">
        <f aca="false">IF(B1739="","","")</f>
        <v/>
      </c>
      <c r="I1739" s="23" t="str">
        <f aca="false">IF(B1739="","","")</f>
        <v/>
      </c>
      <c r="J1739" s="23" t="str">
        <f aca="false">IF(B1739="","","touch_1; "&amp;IFERROR(INDEX(Clay_Offices!$A$2:$FZ$601,88,Sync!$C$10)&amp;"","")&amp;"; "&amp;IFERROR(INDEX(Clay_Offices!$A$2:$FZ$601,88,Sync!$C$9)&amp;"",""))</f>
        <v/>
      </c>
      <c r="K1739" s="32" t="s">
        <v>1363</v>
      </c>
    </row>
    <row r="1740" customFormat="false" ht="15" hidden="false" customHeight="false" outlineLevel="0" collapsed="false">
      <c r="A1740" s="23" t="str">
        <f aca="false">IF(B1740="","",B1740+(12*1000+89)/10000000)</f>
        <v/>
      </c>
      <c r="B1740" s="35" t="str">
        <f aca="false">IF(AND(IFERROR(N(INDEX(Clay_Offices!$A$2:$FZ$601,89,Sync!$C$11)),0)&gt;0,IFERROR(INDEX(Clay_Offices!$A$2:$FZ$601,89,Sync!$C$5)&amp;"","")&lt;&gt;"",OR(LEFT(IFERROR(INDEX(Clay_Offices!$A$2:$FZ$601,89,Sync!$C$5)&amp;"",""),6)&lt;&gt;"SAMPLE",Config!$B$19="Y")),IFERROR(N(INDEX(Clay_Offices!$A$2:$FZ$601,89,Sync!$C$11)),0),"")</f>
        <v/>
      </c>
      <c r="C1740" s="23" t="str">
        <f aca="false">IF(B1740="","","office")</f>
        <v/>
      </c>
      <c r="D1740" s="23" t="str">
        <f aca="false">IF(B1740="","",IFERROR(INDEX(Office_Log!$ED$2:$ED$201,MATCH(IFERROR(INDEX(Clay_Offices!$A$2:$FZ$601,89,Sync!$C$5)&amp;"",""),Office_Log!$A$2:$A$201,0))&amp;"",IFERROR(INDEX(Clay_Offices!$A$2:$FZ$601,89,Sync!$C$5)&amp;"","")&amp;""))</f>
        <v/>
      </c>
      <c r="E1740" s="23" t="str">
        <f aca="false">IF(B1740="","",IFERROR(INDEX(Clay_Offices!$A$2:$FZ$601,89,Sync!$C$6)&amp;"",""))</f>
        <v/>
      </c>
      <c r="F1740" s="23" t="str">
        <f aca="false">IF(B1740="","","outreach_sent")</f>
        <v/>
      </c>
      <c r="G1740" s="23" t="str">
        <f aca="false">IF(B1740="","","")</f>
        <v/>
      </c>
      <c r="H1740" s="23" t="str">
        <f aca="false">IF(B1740="","","")</f>
        <v/>
      </c>
      <c r="I1740" s="23" t="str">
        <f aca="false">IF(B1740="","","")</f>
        <v/>
      </c>
      <c r="J1740" s="23" t="str">
        <f aca="false">IF(B1740="","","touch_1; "&amp;IFERROR(INDEX(Clay_Offices!$A$2:$FZ$601,89,Sync!$C$10)&amp;"","")&amp;"; "&amp;IFERROR(INDEX(Clay_Offices!$A$2:$FZ$601,89,Sync!$C$9)&amp;"",""))</f>
        <v/>
      </c>
      <c r="K1740" s="32" t="s">
        <v>1363</v>
      </c>
    </row>
    <row r="1741" customFormat="false" ht="15" hidden="false" customHeight="false" outlineLevel="0" collapsed="false">
      <c r="A1741" s="23" t="str">
        <f aca="false">IF(B1741="","",B1741+(12*1000+90)/10000000)</f>
        <v/>
      </c>
      <c r="B1741" s="35" t="str">
        <f aca="false">IF(AND(IFERROR(N(INDEX(Clay_Offices!$A$2:$FZ$601,90,Sync!$C$11)),0)&gt;0,IFERROR(INDEX(Clay_Offices!$A$2:$FZ$601,90,Sync!$C$5)&amp;"","")&lt;&gt;"",OR(LEFT(IFERROR(INDEX(Clay_Offices!$A$2:$FZ$601,90,Sync!$C$5)&amp;"",""),6)&lt;&gt;"SAMPLE",Config!$B$19="Y")),IFERROR(N(INDEX(Clay_Offices!$A$2:$FZ$601,90,Sync!$C$11)),0),"")</f>
        <v/>
      </c>
      <c r="C1741" s="23" t="str">
        <f aca="false">IF(B1741="","","office")</f>
        <v/>
      </c>
      <c r="D1741" s="23" t="str">
        <f aca="false">IF(B1741="","",IFERROR(INDEX(Office_Log!$ED$2:$ED$201,MATCH(IFERROR(INDEX(Clay_Offices!$A$2:$FZ$601,90,Sync!$C$5)&amp;"",""),Office_Log!$A$2:$A$201,0))&amp;"",IFERROR(INDEX(Clay_Offices!$A$2:$FZ$601,90,Sync!$C$5)&amp;"","")&amp;""))</f>
        <v/>
      </c>
      <c r="E1741" s="23" t="str">
        <f aca="false">IF(B1741="","",IFERROR(INDEX(Clay_Offices!$A$2:$FZ$601,90,Sync!$C$6)&amp;"",""))</f>
        <v/>
      </c>
      <c r="F1741" s="23" t="str">
        <f aca="false">IF(B1741="","","outreach_sent")</f>
        <v/>
      </c>
      <c r="G1741" s="23" t="str">
        <f aca="false">IF(B1741="","","")</f>
        <v/>
      </c>
      <c r="H1741" s="23" t="str">
        <f aca="false">IF(B1741="","","")</f>
        <v/>
      </c>
      <c r="I1741" s="23" t="str">
        <f aca="false">IF(B1741="","","")</f>
        <v/>
      </c>
      <c r="J1741" s="23" t="str">
        <f aca="false">IF(B1741="","","touch_1; "&amp;IFERROR(INDEX(Clay_Offices!$A$2:$FZ$601,90,Sync!$C$10)&amp;"","")&amp;"; "&amp;IFERROR(INDEX(Clay_Offices!$A$2:$FZ$601,90,Sync!$C$9)&amp;"",""))</f>
        <v/>
      </c>
      <c r="K1741" s="32" t="s">
        <v>1363</v>
      </c>
    </row>
    <row r="1742" customFormat="false" ht="15" hidden="false" customHeight="false" outlineLevel="0" collapsed="false">
      <c r="A1742" s="23" t="str">
        <f aca="false">IF(B1742="","",B1742+(12*1000+91)/10000000)</f>
        <v/>
      </c>
      <c r="B1742" s="35" t="str">
        <f aca="false">IF(AND(IFERROR(N(INDEX(Clay_Offices!$A$2:$FZ$601,91,Sync!$C$11)),0)&gt;0,IFERROR(INDEX(Clay_Offices!$A$2:$FZ$601,91,Sync!$C$5)&amp;"","")&lt;&gt;"",OR(LEFT(IFERROR(INDEX(Clay_Offices!$A$2:$FZ$601,91,Sync!$C$5)&amp;"",""),6)&lt;&gt;"SAMPLE",Config!$B$19="Y")),IFERROR(N(INDEX(Clay_Offices!$A$2:$FZ$601,91,Sync!$C$11)),0),"")</f>
        <v/>
      </c>
      <c r="C1742" s="23" t="str">
        <f aca="false">IF(B1742="","","office")</f>
        <v/>
      </c>
      <c r="D1742" s="23" t="str">
        <f aca="false">IF(B1742="","",IFERROR(INDEX(Office_Log!$ED$2:$ED$201,MATCH(IFERROR(INDEX(Clay_Offices!$A$2:$FZ$601,91,Sync!$C$5)&amp;"",""),Office_Log!$A$2:$A$201,0))&amp;"",IFERROR(INDEX(Clay_Offices!$A$2:$FZ$601,91,Sync!$C$5)&amp;"","")&amp;""))</f>
        <v/>
      </c>
      <c r="E1742" s="23" t="str">
        <f aca="false">IF(B1742="","",IFERROR(INDEX(Clay_Offices!$A$2:$FZ$601,91,Sync!$C$6)&amp;"",""))</f>
        <v/>
      </c>
      <c r="F1742" s="23" t="str">
        <f aca="false">IF(B1742="","","outreach_sent")</f>
        <v/>
      </c>
      <c r="G1742" s="23" t="str">
        <f aca="false">IF(B1742="","","")</f>
        <v/>
      </c>
      <c r="H1742" s="23" t="str">
        <f aca="false">IF(B1742="","","")</f>
        <v/>
      </c>
      <c r="I1742" s="23" t="str">
        <f aca="false">IF(B1742="","","")</f>
        <v/>
      </c>
      <c r="J1742" s="23" t="str">
        <f aca="false">IF(B1742="","","touch_1; "&amp;IFERROR(INDEX(Clay_Offices!$A$2:$FZ$601,91,Sync!$C$10)&amp;"","")&amp;"; "&amp;IFERROR(INDEX(Clay_Offices!$A$2:$FZ$601,91,Sync!$C$9)&amp;"",""))</f>
        <v/>
      </c>
      <c r="K1742" s="32" t="s">
        <v>1363</v>
      </c>
    </row>
    <row r="1743" customFormat="false" ht="15" hidden="false" customHeight="false" outlineLevel="0" collapsed="false">
      <c r="A1743" s="23" t="str">
        <f aca="false">IF(B1743="","",B1743+(12*1000+92)/10000000)</f>
        <v/>
      </c>
      <c r="B1743" s="35" t="str">
        <f aca="false">IF(AND(IFERROR(N(INDEX(Clay_Offices!$A$2:$FZ$601,92,Sync!$C$11)),0)&gt;0,IFERROR(INDEX(Clay_Offices!$A$2:$FZ$601,92,Sync!$C$5)&amp;"","")&lt;&gt;"",OR(LEFT(IFERROR(INDEX(Clay_Offices!$A$2:$FZ$601,92,Sync!$C$5)&amp;"",""),6)&lt;&gt;"SAMPLE",Config!$B$19="Y")),IFERROR(N(INDEX(Clay_Offices!$A$2:$FZ$601,92,Sync!$C$11)),0),"")</f>
        <v/>
      </c>
      <c r="C1743" s="23" t="str">
        <f aca="false">IF(B1743="","","office")</f>
        <v/>
      </c>
      <c r="D1743" s="23" t="str">
        <f aca="false">IF(B1743="","",IFERROR(INDEX(Office_Log!$ED$2:$ED$201,MATCH(IFERROR(INDEX(Clay_Offices!$A$2:$FZ$601,92,Sync!$C$5)&amp;"",""),Office_Log!$A$2:$A$201,0))&amp;"",IFERROR(INDEX(Clay_Offices!$A$2:$FZ$601,92,Sync!$C$5)&amp;"","")&amp;""))</f>
        <v/>
      </c>
      <c r="E1743" s="23" t="str">
        <f aca="false">IF(B1743="","",IFERROR(INDEX(Clay_Offices!$A$2:$FZ$601,92,Sync!$C$6)&amp;"",""))</f>
        <v/>
      </c>
      <c r="F1743" s="23" t="str">
        <f aca="false">IF(B1743="","","outreach_sent")</f>
        <v/>
      </c>
      <c r="G1743" s="23" t="str">
        <f aca="false">IF(B1743="","","")</f>
        <v/>
      </c>
      <c r="H1743" s="23" t="str">
        <f aca="false">IF(B1743="","","")</f>
        <v/>
      </c>
      <c r="I1743" s="23" t="str">
        <f aca="false">IF(B1743="","","")</f>
        <v/>
      </c>
      <c r="J1743" s="23" t="str">
        <f aca="false">IF(B1743="","","touch_1; "&amp;IFERROR(INDEX(Clay_Offices!$A$2:$FZ$601,92,Sync!$C$10)&amp;"","")&amp;"; "&amp;IFERROR(INDEX(Clay_Offices!$A$2:$FZ$601,92,Sync!$C$9)&amp;"",""))</f>
        <v/>
      </c>
      <c r="K1743" s="32" t="s">
        <v>1363</v>
      </c>
    </row>
    <row r="1744" customFormat="false" ht="15" hidden="false" customHeight="false" outlineLevel="0" collapsed="false">
      <c r="A1744" s="23" t="str">
        <f aca="false">IF(B1744="","",B1744+(12*1000+93)/10000000)</f>
        <v/>
      </c>
      <c r="B1744" s="35" t="str">
        <f aca="false">IF(AND(IFERROR(N(INDEX(Clay_Offices!$A$2:$FZ$601,93,Sync!$C$11)),0)&gt;0,IFERROR(INDEX(Clay_Offices!$A$2:$FZ$601,93,Sync!$C$5)&amp;"","")&lt;&gt;"",OR(LEFT(IFERROR(INDEX(Clay_Offices!$A$2:$FZ$601,93,Sync!$C$5)&amp;"",""),6)&lt;&gt;"SAMPLE",Config!$B$19="Y")),IFERROR(N(INDEX(Clay_Offices!$A$2:$FZ$601,93,Sync!$C$11)),0),"")</f>
        <v/>
      </c>
      <c r="C1744" s="23" t="str">
        <f aca="false">IF(B1744="","","office")</f>
        <v/>
      </c>
      <c r="D1744" s="23" t="str">
        <f aca="false">IF(B1744="","",IFERROR(INDEX(Office_Log!$ED$2:$ED$201,MATCH(IFERROR(INDEX(Clay_Offices!$A$2:$FZ$601,93,Sync!$C$5)&amp;"",""),Office_Log!$A$2:$A$201,0))&amp;"",IFERROR(INDEX(Clay_Offices!$A$2:$FZ$601,93,Sync!$C$5)&amp;"","")&amp;""))</f>
        <v/>
      </c>
      <c r="E1744" s="23" t="str">
        <f aca="false">IF(B1744="","",IFERROR(INDEX(Clay_Offices!$A$2:$FZ$601,93,Sync!$C$6)&amp;"",""))</f>
        <v/>
      </c>
      <c r="F1744" s="23" t="str">
        <f aca="false">IF(B1744="","","outreach_sent")</f>
        <v/>
      </c>
      <c r="G1744" s="23" t="str">
        <f aca="false">IF(B1744="","","")</f>
        <v/>
      </c>
      <c r="H1744" s="23" t="str">
        <f aca="false">IF(B1744="","","")</f>
        <v/>
      </c>
      <c r="I1744" s="23" t="str">
        <f aca="false">IF(B1744="","","")</f>
        <v/>
      </c>
      <c r="J1744" s="23" t="str">
        <f aca="false">IF(B1744="","","touch_1; "&amp;IFERROR(INDEX(Clay_Offices!$A$2:$FZ$601,93,Sync!$C$10)&amp;"","")&amp;"; "&amp;IFERROR(INDEX(Clay_Offices!$A$2:$FZ$601,93,Sync!$C$9)&amp;"",""))</f>
        <v/>
      </c>
      <c r="K1744" s="32" t="s">
        <v>1363</v>
      </c>
    </row>
    <row r="1745" customFormat="false" ht="15" hidden="false" customHeight="false" outlineLevel="0" collapsed="false">
      <c r="A1745" s="23" t="str">
        <f aca="false">IF(B1745="","",B1745+(12*1000+94)/10000000)</f>
        <v/>
      </c>
      <c r="B1745" s="35" t="str">
        <f aca="false">IF(AND(IFERROR(N(INDEX(Clay_Offices!$A$2:$FZ$601,94,Sync!$C$11)),0)&gt;0,IFERROR(INDEX(Clay_Offices!$A$2:$FZ$601,94,Sync!$C$5)&amp;"","")&lt;&gt;"",OR(LEFT(IFERROR(INDEX(Clay_Offices!$A$2:$FZ$601,94,Sync!$C$5)&amp;"",""),6)&lt;&gt;"SAMPLE",Config!$B$19="Y")),IFERROR(N(INDEX(Clay_Offices!$A$2:$FZ$601,94,Sync!$C$11)),0),"")</f>
        <v/>
      </c>
      <c r="C1745" s="23" t="str">
        <f aca="false">IF(B1745="","","office")</f>
        <v/>
      </c>
      <c r="D1745" s="23" t="str">
        <f aca="false">IF(B1745="","",IFERROR(INDEX(Office_Log!$ED$2:$ED$201,MATCH(IFERROR(INDEX(Clay_Offices!$A$2:$FZ$601,94,Sync!$C$5)&amp;"",""),Office_Log!$A$2:$A$201,0))&amp;"",IFERROR(INDEX(Clay_Offices!$A$2:$FZ$601,94,Sync!$C$5)&amp;"","")&amp;""))</f>
        <v/>
      </c>
      <c r="E1745" s="23" t="str">
        <f aca="false">IF(B1745="","",IFERROR(INDEX(Clay_Offices!$A$2:$FZ$601,94,Sync!$C$6)&amp;"",""))</f>
        <v/>
      </c>
      <c r="F1745" s="23" t="str">
        <f aca="false">IF(B1745="","","outreach_sent")</f>
        <v/>
      </c>
      <c r="G1745" s="23" t="str">
        <f aca="false">IF(B1745="","","")</f>
        <v/>
      </c>
      <c r="H1745" s="23" t="str">
        <f aca="false">IF(B1745="","","")</f>
        <v/>
      </c>
      <c r="I1745" s="23" t="str">
        <f aca="false">IF(B1745="","","")</f>
        <v/>
      </c>
      <c r="J1745" s="23" t="str">
        <f aca="false">IF(B1745="","","touch_1; "&amp;IFERROR(INDEX(Clay_Offices!$A$2:$FZ$601,94,Sync!$C$10)&amp;"","")&amp;"; "&amp;IFERROR(INDEX(Clay_Offices!$A$2:$FZ$601,94,Sync!$C$9)&amp;"",""))</f>
        <v/>
      </c>
      <c r="K1745" s="32" t="s">
        <v>1363</v>
      </c>
    </row>
    <row r="1746" customFormat="false" ht="15" hidden="false" customHeight="false" outlineLevel="0" collapsed="false">
      <c r="A1746" s="23" t="str">
        <f aca="false">IF(B1746="","",B1746+(12*1000+95)/10000000)</f>
        <v/>
      </c>
      <c r="B1746" s="35" t="str">
        <f aca="false">IF(AND(IFERROR(N(INDEX(Clay_Offices!$A$2:$FZ$601,95,Sync!$C$11)),0)&gt;0,IFERROR(INDEX(Clay_Offices!$A$2:$FZ$601,95,Sync!$C$5)&amp;"","")&lt;&gt;"",OR(LEFT(IFERROR(INDEX(Clay_Offices!$A$2:$FZ$601,95,Sync!$C$5)&amp;"",""),6)&lt;&gt;"SAMPLE",Config!$B$19="Y")),IFERROR(N(INDEX(Clay_Offices!$A$2:$FZ$601,95,Sync!$C$11)),0),"")</f>
        <v/>
      </c>
      <c r="C1746" s="23" t="str">
        <f aca="false">IF(B1746="","","office")</f>
        <v/>
      </c>
      <c r="D1746" s="23" t="str">
        <f aca="false">IF(B1746="","",IFERROR(INDEX(Office_Log!$ED$2:$ED$201,MATCH(IFERROR(INDEX(Clay_Offices!$A$2:$FZ$601,95,Sync!$C$5)&amp;"",""),Office_Log!$A$2:$A$201,0))&amp;"",IFERROR(INDEX(Clay_Offices!$A$2:$FZ$601,95,Sync!$C$5)&amp;"","")&amp;""))</f>
        <v/>
      </c>
      <c r="E1746" s="23" t="str">
        <f aca="false">IF(B1746="","",IFERROR(INDEX(Clay_Offices!$A$2:$FZ$601,95,Sync!$C$6)&amp;"",""))</f>
        <v/>
      </c>
      <c r="F1746" s="23" t="str">
        <f aca="false">IF(B1746="","","outreach_sent")</f>
        <v/>
      </c>
      <c r="G1746" s="23" t="str">
        <f aca="false">IF(B1746="","","")</f>
        <v/>
      </c>
      <c r="H1746" s="23" t="str">
        <f aca="false">IF(B1746="","","")</f>
        <v/>
      </c>
      <c r="I1746" s="23" t="str">
        <f aca="false">IF(B1746="","","")</f>
        <v/>
      </c>
      <c r="J1746" s="23" t="str">
        <f aca="false">IF(B1746="","","touch_1; "&amp;IFERROR(INDEX(Clay_Offices!$A$2:$FZ$601,95,Sync!$C$10)&amp;"","")&amp;"; "&amp;IFERROR(INDEX(Clay_Offices!$A$2:$FZ$601,95,Sync!$C$9)&amp;"",""))</f>
        <v/>
      </c>
      <c r="K1746" s="32" t="s">
        <v>1363</v>
      </c>
    </row>
    <row r="1747" customFormat="false" ht="15" hidden="false" customHeight="false" outlineLevel="0" collapsed="false">
      <c r="A1747" s="23" t="str">
        <f aca="false">IF(B1747="","",B1747+(12*1000+96)/10000000)</f>
        <v/>
      </c>
      <c r="B1747" s="35" t="str">
        <f aca="false">IF(AND(IFERROR(N(INDEX(Clay_Offices!$A$2:$FZ$601,96,Sync!$C$11)),0)&gt;0,IFERROR(INDEX(Clay_Offices!$A$2:$FZ$601,96,Sync!$C$5)&amp;"","")&lt;&gt;"",OR(LEFT(IFERROR(INDEX(Clay_Offices!$A$2:$FZ$601,96,Sync!$C$5)&amp;"",""),6)&lt;&gt;"SAMPLE",Config!$B$19="Y")),IFERROR(N(INDEX(Clay_Offices!$A$2:$FZ$601,96,Sync!$C$11)),0),"")</f>
        <v/>
      </c>
      <c r="C1747" s="23" t="str">
        <f aca="false">IF(B1747="","","office")</f>
        <v/>
      </c>
      <c r="D1747" s="23" t="str">
        <f aca="false">IF(B1747="","",IFERROR(INDEX(Office_Log!$ED$2:$ED$201,MATCH(IFERROR(INDEX(Clay_Offices!$A$2:$FZ$601,96,Sync!$C$5)&amp;"",""),Office_Log!$A$2:$A$201,0))&amp;"",IFERROR(INDEX(Clay_Offices!$A$2:$FZ$601,96,Sync!$C$5)&amp;"","")&amp;""))</f>
        <v/>
      </c>
      <c r="E1747" s="23" t="str">
        <f aca="false">IF(B1747="","",IFERROR(INDEX(Clay_Offices!$A$2:$FZ$601,96,Sync!$C$6)&amp;"",""))</f>
        <v/>
      </c>
      <c r="F1747" s="23" t="str">
        <f aca="false">IF(B1747="","","outreach_sent")</f>
        <v/>
      </c>
      <c r="G1747" s="23" t="str">
        <f aca="false">IF(B1747="","","")</f>
        <v/>
      </c>
      <c r="H1747" s="23" t="str">
        <f aca="false">IF(B1747="","","")</f>
        <v/>
      </c>
      <c r="I1747" s="23" t="str">
        <f aca="false">IF(B1747="","","")</f>
        <v/>
      </c>
      <c r="J1747" s="23" t="str">
        <f aca="false">IF(B1747="","","touch_1; "&amp;IFERROR(INDEX(Clay_Offices!$A$2:$FZ$601,96,Sync!$C$10)&amp;"","")&amp;"; "&amp;IFERROR(INDEX(Clay_Offices!$A$2:$FZ$601,96,Sync!$C$9)&amp;"",""))</f>
        <v/>
      </c>
      <c r="K1747" s="32" t="s">
        <v>1363</v>
      </c>
    </row>
    <row r="1748" customFormat="false" ht="15" hidden="false" customHeight="false" outlineLevel="0" collapsed="false">
      <c r="A1748" s="23" t="str">
        <f aca="false">IF(B1748="","",B1748+(12*1000+97)/10000000)</f>
        <v/>
      </c>
      <c r="B1748" s="35" t="str">
        <f aca="false">IF(AND(IFERROR(N(INDEX(Clay_Offices!$A$2:$FZ$601,97,Sync!$C$11)),0)&gt;0,IFERROR(INDEX(Clay_Offices!$A$2:$FZ$601,97,Sync!$C$5)&amp;"","")&lt;&gt;"",OR(LEFT(IFERROR(INDEX(Clay_Offices!$A$2:$FZ$601,97,Sync!$C$5)&amp;"",""),6)&lt;&gt;"SAMPLE",Config!$B$19="Y")),IFERROR(N(INDEX(Clay_Offices!$A$2:$FZ$601,97,Sync!$C$11)),0),"")</f>
        <v/>
      </c>
      <c r="C1748" s="23" t="str">
        <f aca="false">IF(B1748="","","office")</f>
        <v/>
      </c>
      <c r="D1748" s="23" t="str">
        <f aca="false">IF(B1748="","",IFERROR(INDEX(Office_Log!$ED$2:$ED$201,MATCH(IFERROR(INDEX(Clay_Offices!$A$2:$FZ$601,97,Sync!$C$5)&amp;"",""),Office_Log!$A$2:$A$201,0))&amp;"",IFERROR(INDEX(Clay_Offices!$A$2:$FZ$601,97,Sync!$C$5)&amp;"","")&amp;""))</f>
        <v/>
      </c>
      <c r="E1748" s="23" t="str">
        <f aca="false">IF(B1748="","",IFERROR(INDEX(Clay_Offices!$A$2:$FZ$601,97,Sync!$C$6)&amp;"",""))</f>
        <v/>
      </c>
      <c r="F1748" s="23" t="str">
        <f aca="false">IF(B1748="","","outreach_sent")</f>
        <v/>
      </c>
      <c r="G1748" s="23" t="str">
        <f aca="false">IF(B1748="","","")</f>
        <v/>
      </c>
      <c r="H1748" s="23" t="str">
        <f aca="false">IF(B1748="","","")</f>
        <v/>
      </c>
      <c r="I1748" s="23" t="str">
        <f aca="false">IF(B1748="","","")</f>
        <v/>
      </c>
      <c r="J1748" s="23" t="str">
        <f aca="false">IF(B1748="","","touch_1; "&amp;IFERROR(INDEX(Clay_Offices!$A$2:$FZ$601,97,Sync!$C$10)&amp;"","")&amp;"; "&amp;IFERROR(INDEX(Clay_Offices!$A$2:$FZ$601,97,Sync!$C$9)&amp;"",""))</f>
        <v/>
      </c>
      <c r="K1748" s="32" t="s">
        <v>1363</v>
      </c>
    </row>
    <row r="1749" customFormat="false" ht="15" hidden="false" customHeight="false" outlineLevel="0" collapsed="false">
      <c r="A1749" s="23" t="str">
        <f aca="false">IF(B1749="","",B1749+(12*1000+98)/10000000)</f>
        <v/>
      </c>
      <c r="B1749" s="35" t="str">
        <f aca="false">IF(AND(IFERROR(N(INDEX(Clay_Offices!$A$2:$FZ$601,98,Sync!$C$11)),0)&gt;0,IFERROR(INDEX(Clay_Offices!$A$2:$FZ$601,98,Sync!$C$5)&amp;"","")&lt;&gt;"",OR(LEFT(IFERROR(INDEX(Clay_Offices!$A$2:$FZ$601,98,Sync!$C$5)&amp;"",""),6)&lt;&gt;"SAMPLE",Config!$B$19="Y")),IFERROR(N(INDEX(Clay_Offices!$A$2:$FZ$601,98,Sync!$C$11)),0),"")</f>
        <v/>
      </c>
      <c r="C1749" s="23" t="str">
        <f aca="false">IF(B1749="","","office")</f>
        <v/>
      </c>
      <c r="D1749" s="23" t="str">
        <f aca="false">IF(B1749="","",IFERROR(INDEX(Office_Log!$ED$2:$ED$201,MATCH(IFERROR(INDEX(Clay_Offices!$A$2:$FZ$601,98,Sync!$C$5)&amp;"",""),Office_Log!$A$2:$A$201,0))&amp;"",IFERROR(INDEX(Clay_Offices!$A$2:$FZ$601,98,Sync!$C$5)&amp;"","")&amp;""))</f>
        <v/>
      </c>
      <c r="E1749" s="23" t="str">
        <f aca="false">IF(B1749="","",IFERROR(INDEX(Clay_Offices!$A$2:$FZ$601,98,Sync!$C$6)&amp;"",""))</f>
        <v/>
      </c>
      <c r="F1749" s="23" t="str">
        <f aca="false">IF(B1749="","","outreach_sent")</f>
        <v/>
      </c>
      <c r="G1749" s="23" t="str">
        <f aca="false">IF(B1749="","","")</f>
        <v/>
      </c>
      <c r="H1749" s="23" t="str">
        <f aca="false">IF(B1749="","","")</f>
        <v/>
      </c>
      <c r="I1749" s="23" t="str">
        <f aca="false">IF(B1749="","","")</f>
        <v/>
      </c>
      <c r="J1749" s="23" t="str">
        <f aca="false">IF(B1749="","","touch_1; "&amp;IFERROR(INDEX(Clay_Offices!$A$2:$FZ$601,98,Sync!$C$10)&amp;"","")&amp;"; "&amp;IFERROR(INDEX(Clay_Offices!$A$2:$FZ$601,98,Sync!$C$9)&amp;"",""))</f>
        <v/>
      </c>
      <c r="K1749" s="32" t="s">
        <v>1363</v>
      </c>
    </row>
    <row r="1750" customFormat="false" ht="15" hidden="false" customHeight="false" outlineLevel="0" collapsed="false">
      <c r="A1750" s="23" t="str">
        <f aca="false">IF(B1750="","",B1750+(12*1000+99)/10000000)</f>
        <v/>
      </c>
      <c r="B1750" s="35" t="str">
        <f aca="false">IF(AND(IFERROR(N(INDEX(Clay_Offices!$A$2:$FZ$601,99,Sync!$C$11)),0)&gt;0,IFERROR(INDEX(Clay_Offices!$A$2:$FZ$601,99,Sync!$C$5)&amp;"","")&lt;&gt;"",OR(LEFT(IFERROR(INDEX(Clay_Offices!$A$2:$FZ$601,99,Sync!$C$5)&amp;"",""),6)&lt;&gt;"SAMPLE",Config!$B$19="Y")),IFERROR(N(INDEX(Clay_Offices!$A$2:$FZ$601,99,Sync!$C$11)),0),"")</f>
        <v/>
      </c>
      <c r="C1750" s="23" t="str">
        <f aca="false">IF(B1750="","","office")</f>
        <v/>
      </c>
      <c r="D1750" s="23" t="str">
        <f aca="false">IF(B1750="","",IFERROR(INDEX(Office_Log!$ED$2:$ED$201,MATCH(IFERROR(INDEX(Clay_Offices!$A$2:$FZ$601,99,Sync!$C$5)&amp;"",""),Office_Log!$A$2:$A$201,0))&amp;"",IFERROR(INDEX(Clay_Offices!$A$2:$FZ$601,99,Sync!$C$5)&amp;"","")&amp;""))</f>
        <v/>
      </c>
      <c r="E1750" s="23" t="str">
        <f aca="false">IF(B1750="","",IFERROR(INDEX(Clay_Offices!$A$2:$FZ$601,99,Sync!$C$6)&amp;"",""))</f>
        <v/>
      </c>
      <c r="F1750" s="23" t="str">
        <f aca="false">IF(B1750="","","outreach_sent")</f>
        <v/>
      </c>
      <c r="G1750" s="23" t="str">
        <f aca="false">IF(B1750="","","")</f>
        <v/>
      </c>
      <c r="H1750" s="23" t="str">
        <f aca="false">IF(B1750="","","")</f>
        <v/>
      </c>
      <c r="I1750" s="23" t="str">
        <f aca="false">IF(B1750="","","")</f>
        <v/>
      </c>
      <c r="J1750" s="23" t="str">
        <f aca="false">IF(B1750="","","touch_1; "&amp;IFERROR(INDEX(Clay_Offices!$A$2:$FZ$601,99,Sync!$C$10)&amp;"","")&amp;"; "&amp;IFERROR(INDEX(Clay_Offices!$A$2:$FZ$601,99,Sync!$C$9)&amp;"",""))</f>
        <v/>
      </c>
      <c r="K1750" s="32" t="s">
        <v>1363</v>
      </c>
    </row>
    <row r="1751" customFormat="false" ht="15" hidden="false" customHeight="false" outlineLevel="0" collapsed="false">
      <c r="A1751" s="23" t="str">
        <f aca="false">IF(B1751="","",B1751+(12*1000+100)/10000000)</f>
        <v/>
      </c>
      <c r="B1751" s="35" t="str">
        <f aca="false">IF(AND(IFERROR(N(INDEX(Clay_Offices!$A$2:$FZ$601,100,Sync!$C$11)),0)&gt;0,IFERROR(INDEX(Clay_Offices!$A$2:$FZ$601,100,Sync!$C$5)&amp;"","")&lt;&gt;"",OR(LEFT(IFERROR(INDEX(Clay_Offices!$A$2:$FZ$601,100,Sync!$C$5)&amp;"",""),6)&lt;&gt;"SAMPLE",Config!$B$19="Y")),IFERROR(N(INDEX(Clay_Offices!$A$2:$FZ$601,100,Sync!$C$11)),0),"")</f>
        <v/>
      </c>
      <c r="C1751" s="23" t="str">
        <f aca="false">IF(B1751="","","office")</f>
        <v/>
      </c>
      <c r="D1751" s="23" t="str">
        <f aca="false">IF(B1751="","",IFERROR(INDEX(Office_Log!$ED$2:$ED$201,MATCH(IFERROR(INDEX(Clay_Offices!$A$2:$FZ$601,100,Sync!$C$5)&amp;"",""),Office_Log!$A$2:$A$201,0))&amp;"",IFERROR(INDEX(Clay_Offices!$A$2:$FZ$601,100,Sync!$C$5)&amp;"","")&amp;""))</f>
        <v/>
      </c>
      <c r="E1751" s="23" t="str">
        <f aca="false">IF(B1751="","",IFERROR(INDEX(Clay_Offices!$A$2:$FZ$601,100,Sync!$C$6)&amp;"",""))</f>
        <v/>
      </c>
      <c r="F1751" s="23" t="str">
        <f aca="false">IF(B1751="","","outreach_sent")</f>
        <v/>
      </c>
      <c r="G1751" s="23" t="str">
        <f aca="false">IF(B1751="","","")</f>
        <v/>
      </c>
      <c r="H1751" s="23" t="str">
        <f aca="false">IF(B1751="","","")</f>
        <v/>
      </c>
      <c r="I1751" s="23" t="str">
        <f aca="false">IF(B1751="","","")</f>
        <v/>
      </c>
      <c r="J1751" s="23" t="str">
        <f aca="false">IF(B1751="","","touch_1; "&amp;IFERROR(INDEX(Clay_Offices!$A$2:$FZ$601,100,Sync!$C$10)&amp;"","")&amp;"; "&amp;IFERROR(INDEX(Clay_Offices!$A$2:$FZ$601,100,Sync!$C$9)&amp;"",""))</f>
        <v/>
      </c>
      <c r="K1751" s="32" t="s">
        <v>1363</v>
      </c>
    </row>
    <row r="1752" customFormat="false" ht="15" hidden="false" customHeight="false" outlineLevel="0" collapsed="false">
      <c r="A1752" s="23" t="str">
        <f aca="false">IF(B1752="","",B1752+(12*1000+101)/10000000)</f>
        <v/>
      </c>
      <c r="B1752" s="35" t="str">
        <f aca="false">IF(AND(IFERROR(N(INDEX(Clay_Offices!$A$2:$FZ$601,101,Sync!$C$11)),0)&gt;0,IFERROR(INDEX(Clay_Offices!$A$2:$FZ$601,101,Sync!$C$5)&amp;"","")&lt;&gt;"",OR(LEFT(IFERROR(INDEX(Clay_Offices!$A$2:$FZ$601,101,Sync!$C$5)&amp;"",""),6)&lt;&gt;"SAMPLE",Config!$B$19="Y")),IFERROR(N(INDEX(Clay_Offices!$A$2:$FZ$601,101,Sync!$C$11)),0),"")</f>
        <v/>
      </c>
      <c r="C1752" s="23" t="str">
        <f aca="false">IF(B1752="","","office")</f>
        <v/>
      </c>
      <c r="D1752" s="23" t="str">
        <f aca="false">IF(B1752="","",IFERROR(INDEX(Office_Log!$ED$2:$ED$201,MATCH(IFERROR(INDEX(Clay_Offices!$A$2:$FZ$601,101,Sync!$C$5)&amp;"",""),Office_Log!$A$2:$A$201,0))&amp;"",IFERROR(INDEX(Clay_Offices!$A$2:$FZ$601,101,Sync!$C$5)&amp;"","")&amp;""))</f>
        <v/>
      </c>
      <c r="E1752" s="23" t="str">
        <f aca="false">IF(B1752="","",IFERROR(INDEX(Clay_Offices!$A$2:$FZ$601,101,Sync!$C$6)&amp;"",""))</f>
        <v/>
      </c>
      <c r="F1752" s="23" t="str">
        <f aca="false">IF(B1752="","","outreach_sent")</f>
        <v/>
      </c>
      <c r="G1752" s="23" t="str">
        <f aca="false">IF(B1752="","","")</f>
        <v/>
      </c>
      <c r="H1752" s="23" t="str">
        <f aca="false">IF(B1752="","","")</f>
        <v/>
      </c>
      <c r="I1752" s="23" t="str">
        <f aca="false">IF(B1752="","","")</f>
        <v/>
      </c>
      <c r="J1752" s="23" t="str">
        <f aca="false">IF(B1752="","","touch_1; "&amp;IFERROR(INDEX(Clay_Offices!$A$2:$FZ$601,101,Sync!$C$10)&amp;"","")&amp;"; "&amp;IFERROR(INDEX(Clay_Offices!$A$2:$FZ$601,101,Sync!$C$9)&amp;"",""))</f>
        <v/>
      </c>
      <c r="K1752" s="32" t="s">
        <v>1363</v>
      </c>
    </row>
    <row r="1753" customFormat="false" ht="15" hidden="false" customHeight="false" outlineLevel="0" collapsed="false">
      <c r="A1753" s="23" t="str">
        <f aca="false">IF(B1753="","",B1753+(12*1000+102)/10000000)</f>
        <v/>
      </c>
      <c r="B1753" s="35" t="str">
        <f aca="false">IF(AND(IFERROR(N(INDEX(Clay_Offices!$A$2:$FZ$601,102,Sync!$C$11)),0)&gt;0,IFERROR(INDEX(Clay_Offices!$A$2:$FZ$601,102,Sync!$C$5)&amp;"","")&lt;&gt;"",OR(LEFT(IFERROR(INDEX(Clay_Offices!$A$2:$FZ$601,102,Sync!$C$5)&amp;"",""),6)&lt;&gt;"SAMPLE",Config!$B$19="Y")),IFERROR(N(INDEX(Clay_Offices!$A$2:$FZ$601,102,Sync!$C$11)),0),"")</f>
        <v/>
      </c>
      <c r="C1753" s="23" t="str">
        <f aca="false">IF(B1753="","","office")</f>
        <v/>
      </c>
      <c r="D1753" s="23" t="str">
        <f aca="false">IF(B1753="","",IFERROR(INDEX(Office_Log!$ED$2:$ED$201,MATCH(IFERROR(INDEX(Clay_Offices!$A$2:$FZ$601,102,Sync!$C$5)&amp;"",""),Office_Log!$A$2:$A$201,0))&amp;"",IFERROR(INDEX(Clay_Offices!$A$2:$FZ$601,102,Sync!$C$5)&amp;"","")&amp;""))</f>
        <v/>
      </c>
      <c r="E1753" s="23" t="str">
        <f aca="false">IF(B1753="","",IFERROR(INDEX(Clay_Offices!$A$2:$FZ$601,102,Sync!$C$6)&amp;"",""))</f>
        <v/>
      </c>
      <c r="F1753" s="23" t="str">
        <f aca="false">IF(B1753="","","outreach_sent")</f>
        <v/>
      </c>
      <c r="G1753" s="23" t="str">
        <f aca="false">IF(B1753="","","")</f>
        <v/>
      </c>
      <c r="H1753" s="23" t="str">
        <f aca="false">IF(B1753="","","")</f>
        <v/>
      </c>
      <c r="I1753" s="23" t="str">
        <f aca="false">IF(B1753="","","")</f>
        <v/>
      </c>
      <c r="J1753" s="23" t="str">
        <f aca="false">IF(B1753="","","touch_1; "&amp;IFERROR(INDEX(Clay_Offices!$A$2:$FZ$601,102,Sync!$C$10)&amp;"","")&amp;"; "&amp;IFERROR(INDEX(Clay_Offices!$A$2:$FZ$601,102,Sync!$C$9)&amp;"",""))</f>
        <v/>
      </c>
      <c r="K1753" s="32" t="s">
        <v>1363</v>
      </c>
    </row>
    <row r="1754" customFormat="false" ht="15" hidden="false" customHeight="false" outlineLevel="0" collapsed="false">
      <c r="A1754" s="23" t="str">
        <f aca="false">IF(B1754="","",B1754+(12*1000+103)/10000000)</f>
        <v/>
      </c>
      <c r="B1754" s="35" t="str">
        <f aca="false">IF(AND(IFERROR(N(INDEX(Clay_Offices!$A$2:$FZ$601,103,Sync!$C$11)),0)&gt;0,IFERROR(INDEX(Clay_Offices!$A$2:$FZ$601,103,Sync!$C$5)&amp;"","")&lt;&gt;"",OR(LEFT(IFERROR(INDEX(Clay_Offices!$A$2:$FZ$601,103,Sync!$C$5)&amp;"",""),6)&lt;&gt;"SAMPLE",Config!$B$19="Y")),IFERROR(N(INDEX(Clay_Offices!$A$2:$FZ$601,103,Sync!$C$11)),0),"")</f>
        <v/>
      </c>
      <c r="C1754" s="23" t="str">
        <f aca="false">IF(B1754="","","office")</f>
        <v/>
      </c>
      <c r="D1754" s="23" t="str">
        <f aca="false">IF(B1754="","",IFERROR(INDEX(Office_Log!$ED$2:$ED$201,MATCH(IFERROR(INDEX(Clay_Offices!$A$2:$FZ$601,103,Sync!$C$5)&amp;"",""),Office_Log!$A$2:$A$201,0))&amp;"",IFERROR(INDEX(Clay_Offices!$A$2:$FZ$601,103,Sync!$C$5)&amp;"","")&amp;""))</f>
        <v/>
      </c>
      <c r="E1754" s="23" t="str">
        <f aca="false">IF(B1754="","",IFERROR(INDEX(Clay_Offices!$A$2:$FZ$601,103,Sync!$C$6)&amp;"",""))</f>
        <v/>
      </c>
      <c r="F1754" s="23" t="str">
        <f aca="false">IF(B1754="","","outreach_sent")</f>
        <v/>
      </c>
      <c r="G1754" s="23" t="str">
        <f aca="false">IF(B1754="","","")</f>
        <v/>
      </c>
      <c r="H1754" s="23" t="str">
        <f aca="false">IF(B1754="","","")</f>
        <v/>
      </c>
      <c r="I1754" s="23" t="str">
        <f aca="false">IF(B1754="","","")</f>
        <v/>
      </c>
      <c r="J1754" s="23" t="str">
        <f aca="false">IF(B1754="","","touch_1; "&amp;IFERROR(INDEX(Clay_Offices!$A$2:$FZ$601,103,Sync!$C$10)&amp;"","")&amp;"; "&amp;IFERROR(INDEX(Clay_Offices!$A$2:$FZ$601,103,Sync!$C$9)&amp;"",""))</f>
        <v/>
      </c>
      <c r="K1754" s="32" t="s">
        <v>1363</v>
      </c>
    </row>
    <row r="1755" customFormat="false" ht="15" hidden="false" customHeight="false" outlineLevel="0" collapsed="false">
      <c r="A1755" s="23" t="str">
        <f aca="false">IF(B1755="","",B1755+(12*1000+104)/10000000)</f>
        <v/>
      </c>
      <c r="B1755" s="35" t="str">
        <f aca="false">IF(AND(IFERROR(N(INDEX(Clay_Offices!$A$2:$FZ$601,104,Sync!$C$11)),0)&gt;0,IFERROR(INDEX(Clay_Offices!$A$2:$FZ$601,104,Sync!$C$5)&amp;"","")&lt;&gt;"",OR(LEFT(IFERROR(INDEX(Clay_Offices!$A$2:$FZ$601,104,Sync!$C$5)&amp;"",""),6)&lt;&gt;"SAMPLE",Config!$B$19="Y")),IFERROR(N(INDEX(Clay_Offices!$A$2:$FZ$601,104,Sync!$C$11)),0),"")</f>
        <v/>
      </c>
      <c r="C1755" s="23" t="str">
        <f aca="false">IF(B1755="","","office")</f>
        <v/>
      </c>
      <c r="D1755" s="23" t="str">
        <f aca="false">IF(B1755="","",IFERROR(INDEX(Office_Log!$ED$2:$ED$201,MATCH(IFERROR(INDEX(Clay_Offices!$A$2:$FZ$601,104,Sync!$C$5)&amp;"",""),Office_Log!$A$2:$A$201,0))&amp;"",IFERROR(INDEX(Clay_Offices!$A$2:$FZ$601,104,Sync!$C$5)&amp;"","")&amp;""))</f>
        <v/>
      </c>
      <c r="E1755" s="23" t="str">
        <f aca="false">IF(B1755="","",IFERROR(INDEX(Clay_Offices!$A$2:$FZ$601,104,Sync!$C$6)&amp;"",""))</f>
        <v/>
      </c>
      <c r="F1755" s="23" t="str">
        <f aca="false">IF(B1755="","","outreach_sent")</f>
        <v/>
      </c>
      <c r="G1755" s="23" t="str">
        <f aca="false">IF(B1755="","","")</f>
        <v/>
      </c>
      <c r="H1755" s="23" t="str">
        <f aca="false">IF(B1755="","","")</f>
        <v/>
      </c>
      <c r="I1755" s="23" t="str">
        <f aca="false">IF(B1755="","","")</f>
        <v/>
      </c>
      <c r="J1755" s="23" t="str">
        <f aca="false">IF(B1755="","","touch_1; "&amp;IFERROR(INDEX(Clay_Offices!$A$2:$FZ$601,104,Sync!$C$10)&amp;"","")&amp;"; "&amp;IFERROR(INDEX(Clay_Offices!$A$2:$FZ$601,104,Sync!$C$9)&amp;"",""))</f>
        <v/>
      </c>
      <c r="K1755" s="32" t="s">
        <v>1363</v>
      </c>
    </row>
    <row r="1756" customFormat="false" ht="15" hidden="false" customHeight="false" outlineLevel="0" collapsed="false">
      <c r="A1756" s="23" t="str">
        <f aca="false">IF(B1756="","",B1756+(12*1000+105)/10000000)</f>
        <v/>
      </c>
      <c r="B1756" s="35" t="str">
        <f aca="false">IF(AND(IFERROR(N(INDEX(Clay_Offices!$A$2:$FZ$601,105,Sync!$C$11)),0)&gt;0,IFERROR(INDEX(Clay_Offices!$A$2:$FZ$601,105,Sync!$C$5)&amp;"","")&lt;&gt;"",OR(LEFT(IFERROR(INDEX(Clay_Offices!$A$2:$FZ$601,105,Sync!$C$5)&amp;"",""),6)&lt;&gt;"SAMPLE",Config!$B$19="Y")),IFERROR(N(INDEX(Clay_Offices!$A$2:$FZ$601,105,Sync!$C$11)),0),"")</f>
        <v/>
      </c>
      <c r="C1756" s="23" t="str">
        <f aca="false">IF(B1756="","","office")</f>
        <v/>
      </c>
      <c r="D1756" s="23" t="str">
        <f aca="false">IF(B1756="","",IFERROR(INDEX(Office_Log!$ED$2:$ED$201,MATCH(IFERROR(INDEX(Clay_Offices!$A$2:$FZ$601,105,Sync!$C$5)&amp;"",""),Office_Log!$A$2:$A$201,0))&amp;"",IFERROR(INDEX(Clay_Offices!$A$2:$FZ$601,105,Sync!$C$5)&amp;"","")&amp;""))</f>
        <v/>
      </c>
      <c r="E1756" s="23" t="str">
        <f aca="false">IF(B1756="","",IFERROR(INDEX(Clay_Offices!$A$2:$FZ$601,105,Sync!$C$6)&amp;"",""))</f>
        <v/>
      </c>
      <c r="F1756" s="23" t="str">
        <f aca="false">IF(B1756="","","outreach_sent")</f>
        <v/>
      </c>
      <c r="G1756" s="23" t="str">
        <f aca="false">IF(B1756="","","")</f>
        <v/>
      </c>
      <c r="H1756" s="23" t="str">
        <f aca="false">IF(B1756="","","")</f>
        <v/>
      </c>
      <c r="I1756" s="23" t="str">
        <f aca="false">IF(B1756="","","")</f>
        <v/>
      </c>
      <c r="J1756" s="23" t="str">
        <f aca="false">IF(B1756="","","touch_1; "&amp;IFERROR(INDEX(Clay_Offices!$A$2:$FZ$601,105,Sync!$C$10)&amp;"","")&amp;"; "&amp;IFERROR(INDEX(Clay_Offices!$A$2:$FZ$601,105,Sync!$C$9)&amp;"",""))</f>
        <v/>
      </c>
      <c r="K1756" s="32" t="s">
        <v>1363</v>
      </c>
    </row>
    <row r="1757" customFormat="false" ht="15" hidden="false" customHeight="false" outlineLevel="0" collapsed="false">
      <c r="A1757" s="23" t="str">
        <f aca="false">IF(B1757="","",B1757+(12*1000+106)/10000000)</f>
        <v/>
      </c>
      <c r="B1757" s="35" t="str">
        <f aca="false">IF(AND(IFERROR(N(INDEX(Clay_Offices!$A$2:$FZ$601,106,Sync!$C$11)),0)&gt;0,IFERROR(INDEX(Clay_Offices!$A$2:$FZ$601,106,Sync!$C$5)&amp;"","")&lt;&gt;"",OR(LEFT(IFERROR(INDEX(Clay_Offices!$A$2:$FZ$601,106,Sync!$C$5)&amp;"",""),6)&lt;&gt;"SAMPLE",Config!$B$19="Y")),IFERROR(N(INDEX(Clay_Offices!$A$2:$FZ$601,106,Sync!$C$11)),0),"")</f>
        <v/>
      </c>
      <c r="C1757" s="23" t="str">
        <f aca="false">IF(B1757="","","office")</f>
        <v/>
      </c>
      <c r="D1757" s="23" t="str">
        <f aca="false">IF(B1757="","",IFERROR(INDEX(Office_Log!$ED$2:$ED$201,MATCH(IFERROR(INDEX(Clay_Offices!$A$2:$FZ$601,106,Sync!$C$5)&amp;"",""),Office_Log!$A$2:$A$201,0))&amp;"",IFERROR(INDEX(Clay_Offices!$A$2:$FZ$601,106,Sync!$C$5)&amp;"","")&amp;""))</f>
        <v/>
      </c>
      <c r="E1757" s="23" t="str">
        <f aca="false">IF(B1757="","",IFERROR(INDEX(Clay_Offices!$A$2:$FZ$601,106,Sync!$C$6)&amp;"",""))</f>
        <v/>
      </c>
      <c r="F1757" s="23" t="str">
        <f aca="false">IF(B1757="","","outreach_sent")</f>
        <v/>
      </c>
      <c r="G1757" s="23" t="str">
        <f aca="false">IF(B1757="","","")</f>
        <v/>
      </c>
      <c r="H1757" s="23" t="str">
        <f aca="false">IF(B1757="","","")</f>
        <v/>
      </c>
      <c r="I1757" s="23" t="str">
        <f aca="false">IF(B1757="","","")</f>
        <v/>
      </c>
      <c r="J1757" s="23" t="str">
        <f aca="false">IF(B1757="","","touch_1; "&amp;IFERROR(INDEX(Clay_Offices!$A$2:$FZ$601,106,Sync!$C$10)&amp;"","")&amp;"; "&amp;IFERROR(INDEX(Clay_Offices!$A$2:$FZ$601,106,Sync!$C$9)&amp;"",""))</f>
        <v/>
      </c>
      <c r="K1757" s="32" t="s">
        <v>1363</v>
      </c>
    </row>
    <row r="1758" customFormat="false" ht="15" hidden="false" customHeight="false" outlineLevel="0" collapsed="false">
      <c r="A1758" s="23" t="str">
        <f aca="false">IF(B1758="","",B1758+(12*1000+107)/10000000)</f>
        <v/>
      </c>
      <c r="B1758" s="35" t="str">
        <f aca="false">IF(AND(IFERROR(N(INDEX(Clay_Offices!$A$2:$FZ$601,107,Sync!$C$11)),0)&gt;0,IFERROR(INDEX(Clay_Offices!$A$2:$FZ$601,107,Sync!$C$5)&amp;"","")&lt;&gt;"",OR(LEFT(IFERROR(INDEX(Clay_Offices!$A$2:$FZ$601,107,Sync!$C$5)&amp;"",""),6)&lt;&gt;"SAMPLE",Config!$B$19="Y")),IFERROR(N(INDEX(Clay_Offices!$A$2:$FZ$601,107,Sync!$C$11)),0),"")</f>
        <v/>
      </c>
      <c r="C1758" s="23" t="str">
        <f aca="false">IF(B1758="","","office")</f>
        <v/>
      </c>
      <c r="D1758" s="23" t="str">
        <f aca="false">IF(B1758="","",IFERROR(INDEX(Office_Log!$ED$2:$ED$201,MATCH(IFERROR(INDEX(Clay_Offices!$A$2:$FZ$601,107,Sync!$C$5)&amp;"",""),Office_Log!$A$2:$A$201,0))&amp;"",IFERROR(INDEX(Clay_Offices!$A$2:$FZ$601,107,Sync!$C$5)&amp;"","")&amp;""))</f>
        <v/>
      </c>
      <c r="E1758" s="23" t="str">
        <f aca="false">IF(B1758="","",IFERROR(INDEX(Clay_Offices!$A$2:$FZ$601,107,Sync!$C$6)&amp;"",""))</f>
        <v/>
      </c>
      <c r="F1758" s="23" t="str">
        <f aca="false">IF(B1758="","","outreach_sent")</f>
        <v/>
      </c>
      <c r="G1758" s="23" t="str">
        <f aca="false">IF(B1758="","","")</f>
        <v/>
      </c>
      <c r="H1758" s="23" t="str">
        <f aca="false">IF(B1758="","","")</f>
        <v/>
      </c>
      <c r="I1758" s="23" t="str">
        <f aca="false">IF(B1758="","","")</f>
        <v/>
      </c>
      <c r="J1758" s="23" t="str">
        <f aca="false">IF(B1758="","","touch_1; "&amp;IFERROR(INDEX(Clay_Offices!$A$2:$FZ$601,107,Sync!$C$10)&amp;"","")&amp;"; "&amp;IFERROR(INDEX(Clay_Offices!$A$2:$FZ$601,107,Sync!$C$9)&amp;"",""))</f>
        <v/>
      </c>
      <c r="K1758" s="32" t="s">
        <v>1363</v>
      </c>
    </row>
    <row r="1759" customFormat="false" ht="15" hidden="false" customHeight="false" outlineLevel="0" collapsed="false">
      <c r="A1759" s="23" t="str">
        <f aca="false">IF(B1759="","",B1759+(12*1000+108)/10000000)</f>
        <v/>
      </c>
      <c r="B1759" s="35" t="str">
        <f aca="false">IF(AND(IFERROR(N(INDEX(Clay_Offices!$A$2:$FZ$601,108,Sync!$C$11)),0)&gt;0,IFERROR(INDEX(Clay_Offices!$A$2:$FZ$601,108,Sync!$C$5)&amp;"","")&lt;&gt;"",OR(LEFT(IFERROR(INDEX(Clay_Offices!$A$2:$FZ$601,108,Sync!$C$5)&amp;"",""),6)&lt;&gt;"SAMPLE",Config!$B$19="Y")),IFERROR(N(INDEX(Clay_Offices!$A$2:$FZ$601,108,Sync!$C$11)),0),"")</f>
        <v/>
      </c>
      <c r="C1759" s="23" t="str">
        <f aca="false">IF(B1759="","","office")</f>
        <v/>
      </c>
      <c r="D1759" s="23" t="str">
        <f aca="false">IF(B1759="","",IFERROR(INDEX(Office_Log!$ED$2:$ED$201,MATCH(IFERROR(INDEX(Clay_Offices!$A$2:$FZ$601,108,Sync!$C$5)&amp;"",""),Office_Log!$A$2:$A$201,0))&amp;"",IFERROR(INDEX(Clay_Offices!$A$2:$FZ$601,108,Sync!$C$5)&amp;"","")&amp;""))</f>
        <v/>
      </c>
      <c r="E1759" s="23" t="str">
        <f aca="false">IF(B1759="","",IFERROR(INDEX(Clay_Offices!$A$2:$FZ$601,108,Sync!$C$6)&amp;"",""))</f>
        <v/>
      </c>
      <c r="F1759" s="23" t="str">
        <f aca="false">IF(B1759="","","outreach_sent")</f>
        <v/>
      </c>
      <c r="G1759" s="23" t="str">
        <f aca="false">IF(B1759="","","")</f>
        <v/>
      </c>
      <c r="H1759" s="23" t="str">
        <f aca="false">IF(B1759="","","")</f>
        <v/>
      </c>
      <c r="I1759" s="23" t="str">
        <f aca="false">IF(B1759="","","")</f>
        <v/>
      </c>
      <c r="J1759" s="23" t="str">
        <f aca="false">IF(B1759="","","touch_1; "&amp;IFERROR(INDEX(Clay_Offices!$A$2:$FZ$601,108,Sync!$C$10)&amp;"","")&amp;"; "&amp;IFERROR(INDEX(Clay_Offices!$A$2:$FZ$601,108,Sync!$C$9)&amp;"",""))</f>
        <v/>
      </c>
      <c r="K1759" s="32" t="s">
        <v>1363</v>
      </c>
    </row>
    <row r="1760" customFormat="false" ht="15" hidden="false" customHeight="false" outlineLevel="0" collapsed="false">
      <c r="A1760" s="23" t="str">
        <f aca="false">IF(B1760="","",B1760+(12*1000+109)/10000000)</f>
        <v/>
      </c>
      <c r="B1760" s="35" t="str">
        <f aca="false">IF(AND(IFERROR(N(INDEX(Clay_Offices!$A$2:$FZ$601,109,Sync!$C$11)),0)&gt;0,IFERROR(INDEX(Clay_Offices!$A$2:$FZ$601,109,Sync!$C$5)&amp;"","")&lt;&gt;"",OR(LEFT(IFERROR(INDEX(Clay_Offices!$A$2:$FZ$601,109,Sync!$C$5)&amp;"",""),6)&lt;&gt;"SAMPLE",Config!$B$19="Y")),IFERROR(N(INDEX(Clay_Offices!$A$2:$FZ$601,109,Sync!$C$11)),0),"")</f>
        <v/>
      </c>
      <c r="C1760" s="23" t="str">
        <f aca="false">IF(B1760="","","office")</f>
        <v/>
      </c>
      <c r="D1760" s="23" t="str">
        <f aca="false">IF(B1760="","",IFERROR(INDEX(Office_Log!$ED$2:$ED$201,MATCH(IFERROR(INDEX(Clay_Offices!$A$2:$FZ$601,109,Sync!$C$5)&amp;"",""),Office_Log!$A$2:$A$201,0))&amp;"",IFERROR(INDEX(Clay_Offices!$A$2:$FZ$601,109,Sync!$C$5)&amp;"","")&amp;""))</f>
        <v/>
      </c>
      <c r="E1760" s="23" t="str">
        <f aca="false">IF(B1760="","",IFERROR(INDEX(Clay_Offices!$A$2:$FZ$601,109,Sync!$C$6)&amp;"",""))</f>
        <v/>
      </c>
      <c r="F1760" s="23" t="str">
        <f aca="false">IF(B1760="","","outreach_sent")</f>
        <v/>
      </c>
      <c r="G1760" s="23" t="str">
        <f aca="false">IF(B1760="","","")</f>
        <v/>
      </c>
      <c r="H1760" s="23" t="str">
        <f aca="false">IF(B1760="","","")</f>
        <v/>
      </c>
      <c r="I1760" s="23" t="str">
        <f aca="false">IF(B1760="","","")</f>
        <v/>
      </c>
      <c r="J1760" s="23" t="str">
        <f aca="false">IF(B1760="","","touch_1; "&amp;IFERROR(INDEX(Clay_Offices!$A$2:$FZ$601,109,Sync!$C$10)&amp;"","")&amp;"; "&amp;IFERROR(INDEX(Clay_Offices!$A$2:$FZ$601,109,Sync!$C$9)&amp;"",""))</f>
        <v/>
      </c>
      <c r="K1760" s="32" t="s">
        <v>1363</v>
      </c>
    </row>
    <row r="1761" customFormat="false" ht="15" hidden="false" customHeight="false" outlineLevel="0" collapsed="false">
      <c r="A1761" s="23" t="str">
        <f aca="false">IF(B1761="","",B1761+(12*1000+110)/10000000)</f>
        <v/>
      </c>
      <c r="B1761" s="35" t="str">
        <f aca="false">IF(AND(IFERROR(N(INDEX(Clay_Offices!$A$2:$FZ$601,110,Sync!$C$11)),0)&gt;0,IFERROR(INDEX(Clay_Offices!$A$2:$FZ$601,110,Sync!$C$5)&amp;"","")&lt;&gt;"",OR(LEFT(IFERROR(INDEX(Clay_Offices!$A$2:$FZ$601,110,Sync!$C$5)&amp;"",""),6)&lt;&gt;"SAMPLE",Config!$B$19="Y")),IFERROR(N(INDEX(Clay_Offices!$A$2:$FZ$601,110,Sync!$C$11)),0),"")</f>
        <v/>
      </c>
      <c r="C1761" s="23" t="str">
        <f aca="false">IF(B1761="","","office")</f>
        <v/>
      </c>
      <c r="D1761" s="23" t="str">
        <f aca="false">IF(B1761="","",IFERROR(INDEX(Office_Log!$ED$2:$ED$201,MATCH(IFERROR(INDEX(Clay_Offices!$A$2:$FZ$601,110,Sync!$C$5)&amp;"",""),Office_Log!$A$2:$A$201,0))&amp;"",IFERROR(INDEX(Clay_Offices!$A$2:$FZ$601,110,Sync!$C$5)&amp;"","")&amp;""))</f>
        <v/>
      </c>
      <c r="E1761" s="23" t="str">
        <f aca="false">IF(B1761="","",IFERROR(INDEX(Clay_Offices!$A$2:$FZ$601,110,Sync!$C$6)&amp;"",""))</f>
        <v/>
      </c>
      <c r="F1761" s="23" t="str">
        <f aca="false">IF(B1761="","","outreach_sent")</f>
        <v/>
      </c>
      <c r="G1761" s="23" t="str">
        <f aca="false">IF(B1761="","","")</f>
        <v/>
      </c>
      <c r="H1761" s="23" t="str">
        <f aca="false">IF(B1761="","","")</f>
        <v/>
      </c>
      <c r="I1761" s="23" t="str">
        <f aca="false">IF(B1761="","","")</f>
        <v/>
      </c>
      <c r="J1761" s="23" t="str">
        <f aca="false">IF(B1761="","","touch_1; "&amp;IFERROR(INDEX(Clay_Offices!$A$2:$FZ$601,110,Sync!$C$10)&amp;"","")&amp;"; "&amp;IFERROR(INDEX(Clay_Offices!$A$2:$FZ$601,110,Sync!$C$9)&amp;"",""))</f>
        <v/>
      </c>
      <c r="K1761" s="32" t="s">
        <v>1363</v>
      </c>
    </row>
    <row r="1762" customFormat="false" ht="15" hidden="false" customHeight="false" outlineLevel="0" collapsed="false">
      <c r="A1762" s="23" t="str">
        <f aca="false">IF(B1762="","",B1762+(12*1000+111)/10000000)</f>
        <v/>
      </c>
      <c r="B1762" s="35" t="str">
        <f aca="false">IF(AND(IFERROR(N(INDEX(Clay_Offices!$A$2:$FZ$601,111,Sync!$C$11)),0)&gt;0,IFERROR(INDEX(Clay_Offices!$A$2:$FZ$601,111,Sync!$C$5)&amp;"","")&lt;&gt;"",OR(LEFT(IFERROR(INDEX(Clay_Offices!$A$2:$FZ$601,111,Sync!$C$5)&amp;"",""),6)&lt;&gt;"SAMPLE",Config!$B$19="Y")),IFERROR(N(INDEX(Clay_Offices!$A$2:$FZ$601,111,Sync!$C$11)),0),"")</f>
        <v/>
      </c>
      <c r="C1762" s="23" t="str">
        <f aca="false">IF(B1762="","","office")</f>
        <v/>
      </c>
      <c r="D1762" s="23" t="str">
        <f aca="false">IF(B1762="","",IFERROR(INDEX(Office_Log!$ED$2:$ED$201,MATCH(IFERROR(INDEX(Clay_Offices!$A$2:$FZ$601,111,Sync!$C$5)&amp;"",""),Office_Log!$A$2:$A$201,0))&amp;"",IFERROR(INDEX(Clay_Offices!$A$2:$FZ$601,111,Sync!$C$5)&amp;"","")&amp;""))</f>
        <v/>
      </c>
      <c r="E1762" s="23" t="str">
        <f aca="false">IF(B1762="","",IFERROR(INDEX(Clay_Offices!$A$2:$FZ$601,111,Sync!$C$6)&amp;"",""))</f>
        <v/>
      </c>
      <c r="F1762" s="23" t="str">
        <f aca="false">IF(B1762="","","outreach_sent")</f>
        <v/>
      </c>
      <c r="G1762" s="23" t="str">
        <f aca="false">IF(B1762="","","")</f>
        <v/>
      </c>
      <c r="H1762" s="23" t="str">
        <f aca="false">IF(B1762="","","")</f>
        <v/>
      </c>
      <c r="I1762" s="23" t="str">
        <f aca="false">IF(B1762="","","")</f>
        <v/>
      </c>
      <c r="J1762" s="23" t="str">
        <f aca="false">IF(B1762="","","touch_1; "&amp;IFERROR(INDEX(Clay_Offices!$A$2:$FZ$601,111,Sync!$C$10)&amp;"","")&amp;"; "&amp;IFERROR(INDEX(Clay_Offices!$A$2:$FZ$601,111,Sync!$C$9)&amp;"",""))</f>
        <v/>
      </c>
      <c r="K1762" s="32" t="s">
        <v>1363</v>
      </c>
    </row>
    <row r="1763" customFormat="false" ht="15" hidden="false" customHeight="false" outlineLevel="0" collapsed="false">
      <c r="A1763" s="23" t="str">
        <f aca="false">IF(B1763="","",B1763+(12*1000+112)/10000000)</f>
        <v/>
      </c>
      <c r="B1763" s="35" t="str">
        <f aca="false">IF(AND(IFERROR(N(INDEX(Clay_Offices!$A$2:$FZ$601,112,Sync!$C$11)),0)&gt;0,IFERROR(INDEX(Clay_Offices!$A$2:$FZ$601,112,Sync!$C$5)&amp;"","")&lt;&gt;"",OR(LEFT(IFERROR(INDEX(Clay_Offices!$A$2:$FZ$601,112,Sync!$C$5)&amp;"",""),6)&lt;&gt;"SAMPLE",Config!$B$19="Y")),IFERROR(N(INDEX(Clay_Offices!$A$2:$FZ$601,112,Sync!$C$11)),0),"")</f>
        <v/>
      </c>
      <c r="C1763" s="23" t="str">
        <f aca="false">IF(B1763="","","office")</f>
        <v/>
      </c>
      <c r="D1763" s="23" t="str">
        <f aca="false">IF(B1763="","",IFERROR(INDEX(Office_Log!$ED$2:$ED$201,MATCH(IFERROR(INDEX(Clay_Offices!$A$2:$FZ$601,112,Sync!$C$5)&amp;"",""),Office_Log!$A$2:$A$201,0))&amp;"",IFERROR(INDEX(Clay_Offices!$A$2:$FZ$601,112,Sync!$C$5)&amp;"","")&amp;""))</f>
        <v/>
      </c>
      <c r="E1763" s="23" t="str">
        <f aca="false">IF(B1763="","",IFERROR(INDEX(Clay_Offices!$A$2:$FZ$601,112,Sync!$C$6)&amp;"",""))</f>
        <v/>
      </c>
      <c r="F1763" s="23" t="str">
        <f aca="false">IF(B1763="","","outreach_sent")</f>
        <v/>
      </c>
      <c r="G1763" s="23" t="str">
        <f aca="false">IF(B1763="","","")</f>
        <v/>
      </c>
      <c r="H1763" s="23" t="str">
        <f aca="false">IF(B1763="","","")</f>
        <v/>
      </c>
      <c r="I1763" s="23" t="str">
        <f aca="false">IF(B1763="","","")</f>
        <v/>
      </c>
      <c r="J1763" s="23" t="str">
        <f aca="false">IF(B1763="","","touch_1; "&amp;IFERROR(INDEX(Clay_Offices!$A$2:$FZ$601,112,Sync!$C$10)&amp;"","")&amp;"; "&amp;IFERROR(INDEX(Clay_Offices!$A$2:$FZ$601,112,Sync!$C$9)&amp;"",""))</f>
        <v/>
      </c>
      <c r="K1763" s="32" t="s">
        <v>1363</v>
      </c>
    </row>
    <row r="1764" customFormat="false" ht="15" hidden="false" customHeight="false" outlineLevel="0" collapsed="false">
      <c r="A1764" s="23" t="str">
        <f aca="false">IF(B1764="","",B1764+(12*1000+113)/10000000)</f>
        <v/>
      </c>
      <c r="B1764" s="35" t="str">
        <f aca="false">IF(AND(IFERROR(N(INDEX(Clay_Offices!$A$2:$FZ$601,113,Sync!$C$11)),0)&gt;0,IFERROR(INDEX(Clay_Offices!$A$2:$FZ$601,113,Sync!$C$5)&amp;"","")&lt;&gt;"",OR(LEFT(IFERROR(INDEX(Clay_Offices!$A$2:$FZ$601,113,Sync!$C$5)&amp;"",""),6)&lt;&gt;"SAMPLE",Config!$B$19="Y")),IFERROR(N(INDEX(Clay_Offices!$A$2:$FZ$601,113,Sync!$C$11)),0),"")</f>
        <v/>
      </c>
      <c r="C1764" s="23" t="str">
        <f aca="false">IF(B1764="","","office")</f>
        <v/>
      </c>
      <c r="D1764" s="23" t="str">
        <f aca="false">IF(B1764="","",IFERROR(INDEX(Office_Log!$ED$2:$ED$201,MATCH(IFERROR(INDEX(Clay_Offices!$A$2:$FZ$601,113,Sync!$C$5)&amp;"",""),Office_Log!$A$2:$A$201,0))&amp;"",IFERROR(INDEX(Clay_Offices!$A$2:$FZ$601,113,Sync!$C$5)&amp;"","")&amp;""))</f>
        <v/>
      </c>
      <c r="E1764" s="23" t="str">
        <f aca="false">IF(B1764="","",IFERROR(INDEX(Clay_Offices!$A$2:$FZ$601,113,Sync!$C$6)&amp;"",""))</f>
        <v/>
      </c>
      <c r="F1764" s="23" t="str">
        <f aca="false">IF(B1764="","","outreach_sent")</f>
        <v/>
      </c>
      <c r="G1764" s="23" t="str">
        <f aca="false">IF(B1764="","","")</f>
        <v/>
      </c>
      <c r="H1764" s="23" t="str">
        <f aca="false">IF(B1764="","","")</f>
        <v/>
      </c>
      <c r="I1764" s="23" t="str">
        <f aca="false">IF(B1764="","","")</f>
        <v/>
      </c>
      <c r="J1764" s="23" t="str">
        <f aca="false">IF(B1764="","","touch_1; "&amp;IFERROR(INDEX(Clay_Offices!$A$2:$FZ$601,113,Sync!$C$10)&amp;"","")&amp;"; "&amp;IFERROR(INDEX(Clay_Offices!$A$2:$FZ$601,113,Sync!$C$9)&amp;"",""))</f>
        <v/>
      </c>
      <c r="K1764" s="32" t="s">
        <v>1363</v>
      </c>
    </row>
    <row r="1765" customFormat="false" ht="15" hidden="false" customHeight="false" outlineLevel="0" collapsed="false">
      <c r="A1765" s="23" t="str">
        <f aca="false">IF(B1765="","",B1765+(12*1000+114)/10000000)</f>
        <v/>
      </c>
      <c r="B1765" s="35" t="str">
        <f aca="false">IF(AND(IFERROR(N(INDEX(Clay_Offices!$A$2:$FZ$601,114,Sync!$C$11)),0)&gt;0,IFERROR(INDEX(Clay_Offices!$A$2:$FZ$601,114,Sync!$C$5)&amp;"","")&lt;&gt;"",OR(LEFT(IFERROR(INDEX(Clay_Offices!$A$2:$FZ$601,114,Sync!$C$5)&amp;"",""),6)&lt;&gt;"SAMPLE",Config!$B$19="Y")),IFERROR(N(INDEX(Clay_Offices!$A$2:$FZ$601,114,Sync!$C$11)),0),"")</f>
        <v/>
      </c>
      <c r="C1765" s="23" t="str">
        <f aca="false">IF(B1765="","","office")</f>
        <v/>
      </c>
      <c r="D1765" s="23" t="str">
        <f aca="false">IF(B1765="","",IFERROR(INDEX(Office_Log!$ED$2:$ED$201,MATCH(IFERROR(INDEX(Clay_Offices!$A$2:$FZ$601,114,Sync!$C$5)&amp;"",""),Office_Log!$A$2:$A$201,0))&amp;"",IFERROR(INDEX(Clay_Offices!$A$2:$FZ$601,114,Sync!$C$5)&amp;"","")&amp;""))</f>
        <v/>
      </c>
      <c r="E1765" s="23" t="str">
        <f aca="false">IF(B1765="","",IFERROR(INDEX(Clay_Offices!$A$2:$FZ$601,114,Sync!$C$6)&amp;"",""))</f>
        <v/>
      </c>
      <c r="F1765" s="23" t="str">
        <f aca="false">IF(B1765="","","outreach_sent")</f>
        <v/>
      </c>
      <c r="G1765" s="23" t="str">
        <f aca="false">IF(B1765="","","")</f>
        <v/>
      </c>
      <c r="H1765" s="23" t="str">
        <f aca="false">IF(B1765="","","")</f>
        <v/>
      </c>
      <c r="I1765" s="23" t="str">
        <f aca="false">IF(B1765="","","")</f>
        <v/>
      </c>
      <c r="J1765" s="23" t="str">
        <f aca="false">IF(B1765="","","touch_1; "&amp;IFERROR(INDEX(Clay_Offices!$A$2:$FZ$601,114,Sync!$C$10)&amp;"","")&amp;"; "&amp;IFERROR(INDEX(Clay_Offices!$A$2:$FZ$601,114,Sync!$C$9)&amp;"",""))</f>
        <v/>
      </c>
      <c r="K1765" s="32" t="s">
        <v>1363</v>
      </c>
    </row>
    <row r="1766" customFormat="false" ht="15" hidden="false" customHeight="false" outlineLevel="0" collapsed="false">
      <c r="A1766" s="23" t="str">
        <f aca="false">IF(B1766="","",B1766+(12*1000+115)/10000000)</f>
        <v/>
      </c>
      <c r="B1766" s="35" t="str">
        <f aca="false">IF(AND(IFERROR(N(INDEX(Clay_Offices!$A$2:$FZ$601,115,Sync!$C$11)),0)&gt;0,IFERROR(INDEX(Clay_Offices!$A$2:$FZ$601,115,Sync!$C$5)&amp;"","")&lt;&gt;"",OR(LEFT(IFERROR(INDEX(Clay_Offices!$A$2:$FZ$601,115,Sync!$C$5)&amp;"",""),6)&lt;&gt;"SAMPLE",Config!$B$19="Y")),IFERROR(N(INDEX(Clay_Offices!$A$2:$FZ$601,115,Sync!$C$11)),0),"")</f>
        <v/>
      </c>
      <c r="C1766" s="23" t="str">
        <f aca="false">IF(B1766="","","office")</f>
        <v/>
      </c>
      <c r="D1766" s="23" t="str">
        <f aca="false">IF(B1766="","",IFERROR(INDEX(Office_Log!$ED$2:$ED$201,MATCH(IFERROR(INDEX(Clay_Offices!$A$2:$FZ$601,115,Sync!$C$5)&amp;"",""),Office_Log!$A$2:$A$201,0))&amp;"",IFERROR(INDEX(Clay_Offices!$A$2:$FZ$601,115,Sync!$C$5)&amp;"","")&amp;""))</f>
        <v/>
      </c>
      <c r="E1766" s="23" t="str">
        <f aca="false">IF(B1766="","",IFERROR(INDEX(Clay_Offices!$A$2:$FZ$601,115,Sync!$C$6)&amp;"",""))</f>
        <v/>
      </c>
      <c r="F1766" s="23" t="str">
        <f aca="false">IF(B1766="","","outreach_sent")</f>
        <v/>
      </c>
      <c r="G1766" s="23" t="str">
        <f aca="false">IF(B1766="","","")</f>
        <v/>
      </c>
      <c r="H1766" s="23" t="str">
        <f aca="false">IF(B1766="","","")</f>
        <v/>
      </c>
      <c r="I1766" s="23" t="str">
        <f aca="false">IF(B1766="","","")</f>
        <v/>
      </c>
      <c r="J1766" s="23" t="str">
        <f aca="false">IF(B1766="","","touch_1; "&amp;IFERROR(INDEX(Clay_Offices!$A$2:$FZ$601,115,Sync!$C$10)&amp;"","")&amp;"; "&amp;IFERROR(INDEX(Clay_Offices!$A$2:$FZ$601,115,Sync!$C$9)&amp;"",""))</f>
        <v/>
      </c>
      <c r="K1766" s="32" t="s">
        <v>1363</v>
      </c>
    </row>
    <row r="1767" customFormat="false" ht="15" hidden="false" customHeight="false" outlineLevel="0" collapsed="false">
      <c r="A1767" s="23" t="str">
        <f aca="false">IF(B1767="","",B1767+(12*1000+116)/10000000)</f>
        <v/>
      </c>
      <c r="B1767" s="35" t="str">
        <f aca="false">IF(AND(IFERROR(N(INDEX(Clay_Offices!$A$2:$FZ$601,116,Sync!$C$11)),0)&gt;0,IFERROR(INDEX(Clay_Offices!$A$2:$FZ$601,116,Sync!$C$5)&amp;"","")&lt;&gt;"",OR(LEFT(IFERROR(INDEX(Clay_Offices!$A$2:$FZ$601,116,Sync!$C$5)&amp;"",""),6)&lt;&gt;"SAMPLE",Config!$B$19="Y")),IFERROR(N(INDEX(Clay_Offices!$A$2:$FZ$601,116,Sync!$C$11)),0),"")</f>
        <v/>
      </c>
      <c r="C1767" s="23" t="str">
        <f aca="false">IF(B1767="","","office")</f>
        <v/>
      </c>
      <c r="D1767" s="23" t="str">
        <f aca="false">IF(B1767="","",IFERROR(INDEX(Office_Log!$ED$2:$ED$201,MATCH(IFERROR(INDEX(Clay_Offices!$A$2:$FZ$601,116,Sync!$C$5)&amp;"",""),Office_Log!$A$2:$A$201,0))&amp;"",IFERROR(INDEX(Clay_Offices!$A$2:$FZ$601,116,Sync!$C$5)&amp;"","")&amp;""))</f>
        <v/>
      </c>
      <c r="E1767" s="23" t="str">
        <f aca="false">IF(B1767="","",IFERROR(INDEX(Clay_Offices!$A$2:$FZ$601,116,Sync!$C$6)&amp;"",""))</f>
        <v/>
      </c>
      <c r="F1767" s="23" t="str">
        <f aca="false">IF(B1767="","","outreach_sent")</f>
        <v/>
      </c>
      <c r="G1767" s="23" t="str">
        <f aca="false">IF(B1767="","","")</f>
        <v/>
      </c>
      <c r="H1767" s="23" t="str">
        <f aca="false">IF(B1767="","","")</f>
        <v/>
      </c>
      <c r="I1767" s="23" t="str">
        <f aca="false">IF(B1767="","","")</f>
        <v/>
      </c>
      <c r="J1767" s="23" t="str">
        <f aca="false">IF(B1767="","","touch_1; "&amp;IFERROR(INDEX(Clay_Offices!$A$2:$FZ$601,116,Sync!$C$10)&amp;"","")&amp;"; "&amp;IFERROR(INDEX(Clay_Offices!$A$2:$FZ$601,116,Sync!$C$9)&amp;"",""))</f>
        <v/>
      </c>
      <c r="K1767" s="32" t="s">
        <v>1363</v>
      </c>
    </row>
    <row r="1768" customFormat="false" ht="15" hidden="false" customHeight="false" outlineLevel="0" collapsed="false">
      <c r="A1768" s="23" t="str">
        <f aca="false">IF(B1768="","",B1768+(12*1000+117)/10000000)</f>
        <v/>
      </c>
      <c r="B1768" s="35" t="str">
        <f aca="false">IF(AND(IFERROR(N(INDEX(Clay_Offices!$A$2:$FZ$601,117,Sync!$C$11)),0)&gt;0,IFERROR(INDEX(Clay_Offices!$A$2:$FZ$601,117,Sync!$C$5)&amp;"","")&lt;&gt;"",OR(LEFT(IFERROR(INDEX(Clay_Offices!$A$2:$FZ$601,117,Sync!$C$5)&amp;"",""),6)&lt;&gt;"SAMPLE",Config!$B$19="Y")),IFERROR(N(INDEX(Clay_Offices!$A$2:$FZ$601,117,Sync!$C$11)),0),"")</f>
        <v/>
      </c>
      <c r="C1768" s="23" t="str">
        <f aca="false">IF(B1768="","","office")</f>
        <v/>
      </c>
      <c r="D1768" s="23" t="str">
        <f aca="false">IF(B1768="","",IFERROR(INDEX(Office_Log!$ED$2:$ED$201,MATCH(IFERROR(INDEX(Clay_Offices!$A$2:$FZ$601,117,Sync!$C$5)&amp;"",""),Office_Log!$A$2:$A$201,0))&amp;"",IFERROR(INDEX(Clay_Offices!$A$2:$FZ$601,117,Sync!$C$5)&amp;"","")&amp;""))</f>
        <v/>
      </c>
      <c r="E1768" s="23" t="str">
        <f aca="false">IF(B1768="","",IFERROR(INDEX(Clay_Offices!$A$2:$FZ$601,117,Sync!$C$6)&amp;"",""))</f>
        <v/>
      </c>
      <c r="F1768" s="23" t="str">
        <f aca="false">IF(B1768="","","outreach_sent")</f>
        <v/>
      </c>
      <c r="G1768" s="23" t="str">
        <f aca="false">IF(B1768="","","")</f>
        <v/>
      </c>
      <c r="H1768" s="23" t="str">
        <f aca="false">IF(B1768="","","")</f>
        <v/>
      </c>
      <c r="I1768" s="23" t="str">
        <f aca="false">IF(B1768="","","")</f>
        <v/>
      </c>
      <c r="J1768" s="23" t="str">
        <f aca="false">IF(B1768="","","touch_1; "&amp;IFERROR(INDEX(Clay_Offices!$A$2:$FZ$601,117,Sync!$C$10)&amp;"","")&amp;"; "&amp;IFERROR(INDEX(Clay_Offices!$A$2:$FZ$601,117,Sync!$C$9)&amp;"",""))</f>
        <v/>
      </c>
      <c r="K1768" s="32" t="s">
        <v>1363</v>
      </c>
    </row>
    <row r="1769" customFormat="false" ht="15" hidden="false" customHeight="false" outlineLevel="0" collapsed="false">
      <c r="A1769" s="23" t="str">
        <f aca="false">IF(B1769="","",B1769+(12*1000+118)/10000000)</f>
        <v/>
      </c>
      <c r="B1769" s="35" t="str">
        <f aca="false">IF(AND(IFERROR(N(INDEX(Clay_Offices!$A$2:$FZ$601,118,Sync!$C$11)),0)&gt;0,IFERROR(INDEX(Clay_Offices!$A$2:$FZ$601,118,Sync!$C$5)&amp;"","")&lt;&gt;"",OR(LEFT(IFERROR(INDEX(Clay_Offices!$A$2:$FZ$601,118,Sync!$C$5)&amp;"",""),6)&lt;&gt;"SAMPLE",Config!$B$19="Y")),IFERROR(N(INDEX(Clay_Offices!$A$2:$FZ$601,118,Sync!$C$11)),0),"")</f>
        <v/>
      </c>
      <c r="C1769" s="23" t="str">
        <f aca="false">IF(B1769="","","office")</f>
        <v/>
      </c>
      <c r="D1769" s="23" t="str">
        <f aca="false">IF(B1769="","",IFERROR(INDEX(Office_Log!$ED$2:$ED$201,MATCH(IFERROR(INDEX(Clay_Offices!$A$2:$FZ$601,118,Sync!$C$5)&amp;"",""),Office_Log!$A$2:$A$201,0))&amp;"",IFERROR(INDEX(Clay_Offices!$A$2:$FZ$601,118,Sync!$C$5)&amp;"","")&amp;""))</f>
        <v/>
      </c>
      <c r="E1769" s="23" t="str">
        <f aca="false">IF(B1769="","",IFERROR(INDEX(Clay_Offices!$A$2:$FZ$601,118,Sync!$C$6)&amp;"",""))</f>
        <v/>
      </c>
      <c r="F1769" s="23" t="str">
        <f aca="false">IF(B1769="","","outreach_sent")</f>
        <v/>
      </c>
      <c r="G1769" s="23" t="str">
        <f aca="false">IF(B1769="","","")</f>
        <v/>
      </c>
      <c r="H1769" s="23" t="str">
        <f aca="false">IF(B1769="","","")</f>
        <v/>
      </c>
      <c r="I1769" s="23" t="str">
        <f aca="false">IF(B1769="","","")</f>
        <v/>
      </c>
      <c r="J1769" s="23" t="str">
        <f aca="false">IF(B1769="","","touch_1; "&amp;IFERROR(INDEX(Clay_Offices!$A$2:$FZ$601,118,Sync!$C$10)&amp;"","")&amp;"; "&amp;IFERROR(INDEX(Clay_Offices!$A$2:$FZ$601,118,Sync!$C$9)&amp;"",""))</f>
        <v/>
      </c>
      <c r="K1769" s="32" t="s">
        <v>1363</v>
      </c>
    </row>
    <row r="1770" customFormat="false" ht="15" hidden="false" customHeight="false" outlineLevel="0" collapsed="false">
      <c r="A1770" s="23" t="str">
        <f aca="false">IF(B1770="","",B1770+(12*1000+119)/10000000)</f>
        <v/>
      </c>
      <c r="B1770" s="35" t="str">
        <f aca="false">IF(AND(IFERROR(N(INDEX(Clay_Offices!$A$2:$FZ$601,119,Sync!$C$11)),0)&gt;0,IFERROR(INDEX(Clay_Offices!$A$2:$FZ$601,119,Sync!$C$5)&amp;"","")&lt;&gt;"",OR(LEFT(IFERROR(INDEX(Clay_Offices!$A$2:$FZ$601,119,Sync!$C$5)&amp;"",""),6)&lt;&gt;"SAMPLE",Config!$B$19="Y")),IFERROR(N(INDEX(Clay_Offices!$A$2:$FZ$601,119,Sync!$C$11)),0),"")</f>
        <v/>
      </c>
      <c r="C1770" s="23" t="str">
        <f aca="false">IF(B1770="","","office")</f>
        <v/>
      </c>
      <c r="D1770" s="23" t="str">
        <f aca="false">IF(B1770="","",IFERROR(INDEX(Office_Log!$ED$2:$ED$201,MATCH(IFERROR(INDEX(Clay_Offices!$A$2:$FZ$601,119,Sync!$C$5)&amp;"",""),Office_Log!$A$2:$A$201,0))&amp;"",IFERROR(INDEX(Clay_Offices!$A$2:$FZ$601,119,Sync!$C$5)&amp;"","")&amp;""))</f>
        <v/>
      </c>
      <c r="E1770" s="23" t="str">
        <f aca="false">IF(B1770="","",IFERROR(INDEX(Clay_Offices!$A$2:$FZ$601,119,Sync!$C$6)&amp;"",""))</f>
        <v/>
      </c>
      <c r="F1770" s="23" t="str">
        <f aca="false">IF(B1770="","","outreach_sent")</f>
        <v/>
      </c>
      <c r="G1770" s="23" t="str">
        <f aca="false">IF(B1770="","","")</f>
        <v/>
      </c>
      <c r="H1770" s="23" t="str">
        <f aca="false">IF(B1770="","","")</f>
        <v/>
      </c>
      <c r="I1770" s="23" t="str">
        <f aca="false">IF(B1770="","","")</f>
        <v/>
      </c>
      <c r="J1770" s="23" t="str">
        <f aca="false">IF(B1770="","","touch_1; "&amp;IFERROR(INDEX(Clay_Offices!$A$2:$FZ$601,119,Sync!$C$10)&amp;"","")&amp;"; "&amp;IFERROR(INDEX(Clay_Offices!$A$2:$FZ$601,119,Sync!$C$9)&amp;"",""))</f>
        <v/>
      </c>
      <c r="K1770" s="32" t="s">
        <v>1363</v>
      </c>
    </row>
    <row r="1771" customFormat="false" ht="15" hidden="false" customHeight="false" outlineLevel="0" collapsed="false">
      <c r="A1771" s="23" t="str">
        <f aca="false">IF(B1771="","",B1771+(12*1000+120)/10000000)</f>
        <v/>
      </c>
      <c r="B1771" s="35" t="str">
        <f aca="false">IF(AND(IFERROR(N(INDEX(Clay_Offices!$A$2:$FZ$601,120,Sync!$C$11)),0)&gt;0,IFERROR(INDEX(Clay_Offices!$A$2:$FZ$601,120,Sync!$C$5)&amp;"","")&lt;&gt;"",OR(LEFT(IFERROR(INDEX(Clay_Offices!$A$2:$FZ$601,120,Sync!$C$5)&amp;"",""),6)&lt;&gt;"SAMPLE",Config!$B$19="Y")),IFERROR(N(INDEX(Clay_Offices!$A$2:$FZ$601,120,Sync!$C$11)),0),"")</f>
        <v/>
      </c>
      <c r="C1771" s="23" t="str">
        <f aca="false">IF(B1771="","","office")</f>
        <v/>
      </c>
      <c r="D1771" s="23" t="str">
        <f aca="false">IF(B1771="","",IFERROR(INDEX(Office_Log!$ED$2:$ED$201,MATCH(IFERROR(INDEX(Clay_Offices!$A$2:$FZ$601,120,Sync!$C$5)&amp;"",""),Office_Log!$A$2:$A$201,0))&amp;"",IFERROR(INDEX(Clay_Offices!$A$2:$FZ$601,120,Sync!$C$5)&amp;"","")&amp;""))</f>
        <v/>
      </c>
      <c r="E1771" s="23" t="str">
        <f aca="false">IF(B1771="","",IFERROR(INDEX(Clay_Offices!$A$2:$FZ$601,120,Sync!$C$6)&amp;"",""))</f>
        <v/>
      </c>
      <c r="F1771" s="23" t="str">
        <f aca="false">IF(B1771="","","outreach_sent")</f>
        <v/>
      </c>
      <c r="G1771" s="23" t="str">
        <f aca="false">IF(B1771="","","")</f>
        <v/>
      </c>
      <c r="H1771" s="23" t="str">
        <f aca="false">IF(B1771="","","")</f>
        <v/>
      </c>
      <c r="I1771" s="23" t="str">
        <f aca="false">IF(B1771="","","")</f>
        <v/>
      </c>
      <c r="J1771" s="23" t="str">
        <f aca="false">IF(B1771="","","touch_1; "&amp;IFERROR(INDEX(Clay_Offices!$A$2:$FZ$601,120,Sync!$C$10)&amp;"","")&amp;"; "&amp;IFERROR(INDEX(Clay_Offices!$A$2:$FZ$601,120,Sync!$C$9)&amp;"",""))</f>
        <v/>
      </c>
      <c r="K1771" s="32" t="s">
        <v>1363</v>
      </c>
    </row>
    <row r="1772" customFormat="false" ht="15" hidden="false" customHeight="false" outlineLevel="0" collapsed="false">
      <c r="A1772" s="23" t="str">
        <f aca="false">IF(B1772="","",B1772+(12*1000+121)/10000000)</f>
        <v/>
      </c>
      <c r="B1772" s="35" t="str">
        <f aca="false">IF(AND(IFERROR(N(INDEX(Clay_Offices!$A$2:$FZ$601,121,Sync!$C$11)),0)&gt;0,IFERROR(INDEX(Clay_Offices!$A$2:$FZ$601,121,Sync!$C$5)&amp;"","")&lt;&gt;"",OR(LEFT(IFERROR(INDEX(Clay_Offices!$A$2:$FZ$601,121,Sync!$C$5)&amp;"",""),6)&lt;&gt;"SAMPLE",Config!$B$19="Y")),IFERROR(N(INDEX(Clay_Offices!$A$2:$FZ$601,121,Sync!$C$11)),0),"")</f>
        <v/>
      </c>
      <c r="C1772" s="23" t="str">
        <f aca="false">IF(B1772="","","office")</f>
        <v/>
      </c>
      <c r="D1772" s="23" t="str">
        <f aca="false">IF(B1772="","",IFERROR(INDEX(Office_Log!$ED$2:$ED$201,MATCH(IFERROR(INDEX(Clay_Offices!$A$2:$FZ$601,121,Sync!$C$5)&amp;"",""),Office_Log!$A$2:$A$201,0))&amp;"",IFERROR(INDEX(Clay_Offices!$A$2:$FZ$601,121,Sync!$C$5)&amp;"","")&amp;""))</f>
        <v/>
      </c>
      <c r="E1772" s="23" t="str">
        <f aca="false">IF(B1772="","",IFERROR(INDEX(Clay_Offices!$A$2:$FZ$601,121,Sync!$C$6)&amp;"",""))</f>
        <v/>
      </c>
      <c r="F1772" s="23" t="str">
        <f aca="false">IF(B1772="","","outreach_sent")</f>
        <v/>
      </c>
      <c r="G1772" s="23" t="str">
        <f aca="false">IF(B1772="","","")</f>
        <v/>
      </c>
      <c r="H1772" s="23" t="str">
        <f aca="false">IF(B1772="","","")</f>
        <v/>
      </c>
      <c r="I1772" s="23" t="str">
        <f aca="false">IF(B1772="","","")</f>
        <v/>
      </c>
      <c r="J1772" s="23" t="str">
        <f aca="false">IF(B1772="","","touch_1; "&amp;IFERROR(INDEX(Clay_Offices!$A$2:$FZ$601,121,Sync!$C$10)&amp;"","")&amp;"; "&amp;IFERROR(INDEX(Clay_Offices!$A$2:$FZ$601,121,Sync!$C$9)&amp;"",""))</f>
        <v/>
      </c>
      <c r="K1772" s="32" t="s">
        <v>1363</v>
      </c>
    </row>
    <row r="1773" customFormat="false" ht="15" hidden="false" customHeight="false" outlineLevel="0" collapsed="false">
      <c r="A1773" s="23" t="str">
        <f aca="false">IF(B1773="","",B1773+(12*1000+122)/10000000)</f>
        <v/>
      </c>
      <c r="B1773" s="35" t="str">
        <f aca="false">IF(AND(IFERROR(N(INDEX(Clay_Offices!$A$2:$FZ$601,122,Sync!$C$11)),0)&gt;0,IFERROR(INDEX(Clay_Offices!$A$2:$FZ$601,122,Sync!$C$5)&amp;"","")&lt;&gt;"",OR(LEFT(IFERROR(INDEX(Clay_Offices!$A$2:$FZ$601,122,Sync!$C$5)&amp;"",""),6)&lt;&gt;"SAMPLE",Config!$B$19="Y")),IFERROR(N(INDEX(Clay_Offices!$A$2:$FZ$601,122,Sync!$C$11)),0),"")</f>
        <v/>
      </c>
      <c r="C1773" s="23" t="str">
        <f aca="false">IF(B1773="","","office")</f>
        <v/>
      </c>
      <c r="D1773" s="23" t="str">
        <f aca="false">IF(B1773="","",IFERROR(INDEX(Office_Log!$ED$2:$ED$201,MATCH(IFERROR(INDEX(Clay_Offices!$A$2:$FZ$601,122,Sync!$C$5)&amp;"",""),Office_Log!$A$2:$A$201,0))&amp;"",IFERROR(INDEX(Clay_Offices!$A$2:$FZ$601,122,Sync!$C$5)&amp;"","")&amp;""))</f>
        <v/>
      </c>
      <c r="E1773" s="23" t="str">
        <f aca="false">IF(B1773="","",IFERROR(INDEX(Clay_Offices!$A$2:$FZ$601,122,Sync!$C$6)&amp;"",""))</f>
        <v/>
      </c>
      <c r="F1773" s="23" t="str">
        <f aca="false">IF(B1773="","","outreach_sent")</f>
        <v/>
      </c>
      <c r="G1773" s="23" t="str">
        <f aca="false">IF(B1773="","","")</f>
        <v/>
      </c>
      <c r="H1773" s="23" t="str">
        <f aca="false">IF(B1773="","","")</f>
        <v/>
      </c>
      <c r="I1773" s="23" t="str">
        <f aca="false">IF(B1773="","","")</f>
        <v/>
      </c>
      <c r="J1773" s="23" t="str">
        <f aca="false">IF(B1773="","","touch_1; "&amp;IFERROR(INDEX(Clay_Offices!$A$2:$FZ$601,122,Sync!$C$10)&amp;"","")&amp;"; "&amp;IFERROR(INDEX(Clay_Offices!$A$2:$FZ$601,122,Sync!$C$9)&amp;"",""))</f>
        <v/>
      </c>
      <c r="K1773" s="32" t="s">
        <v>1363</v>
      </c>
    </row>
    <row r="1774" customFormat="false" ht="15" hidden="false" customHeight="false" outlineLevel="0" collapsed="false">
      <c r="A1774" s="23" t="str">
        <f aca="false">IF(B1774="","",B1774+(12*1000+123)/10000000)</f>
        <v/>
      </c>
      <c r="B1774" s="35" t="str">
        <f aca="false">IF(AND(IFERROR(N(INDEX(Clay_Offices!$A$2:$FZ$601,123,Sync!$C$11)),0)&gt;0,IFERROR(INDEX(Clay_Offices!$A$2:$FZ$601,123,Sync!$C$5)&amp;"","")&lt;&gt;"",OR(LEFT(IFERROR(INDEX(Clay_Offices!$A$2:$FZ$601,123,Sync!$C$5)&amp;"",""),6)&lt;&gt;"SAMPLE",Config!$B$19="Y")),IFERROR(N(INDEX(Clay_Offices!$A$2:$FZ$601,123,Sync!$C$11)),0),"")</f>
        <v/>
      </c>
      <c r="C1774" s="23" t="str">
        <f aca="false">IF(B1774="","","office")</f>
        <v/>
      </c>
      <c r="D1774" s="23" t="str">
        <f aca="false">IF(B1774="","",IFERROR(INDEX(Office_Log!$ED$2:$ED$201,MATCH(IFERROR(INDEX(Clay_Offices!$A$2:$FZ$601,123,Sync!$C$5)&amp;"",""),Office_Log!$A$2:$A$201,0))&amp;"",IFERROR(INDEX(Clay_Offices!$A$2:$FZ$601,123,Sync!$C$5)&amp;"","")&amp;""))</f>
        <v/>
      </c>
      <c r="E1774" s="23" t="str">
        <f aca="false">IF(B1774="","",IFERROR(INDEX(Clay_Offices!$A$2:$FZ$601,123,Sync!$C$6)&amp;"",""))</f>
        <v/>
      </c>
      <c r="F1774" s="23" t="str">
        <f aca="false">IF(B1774="","","outreach_sent")</f>
        <v/>
      </c>
      <c r="G1774" s="23" t="str">
        <f aca="false">IF(B1774="","","")</f>
        <v/>
      </c>
      <c r="H1774" s="23" t="str">
        <f aca="false">IF(B1774="","","")</f>
        <v/>
      </c>
      <c r="I1774" s="23" t="str">
        <f aca="false">IF(B1774="","","")</f>
        <v/>
      </c>
      <c r="J1774" s="23" t="str">
        <f aca="false">IF(B1774="","","touch_1; "&amp;IFERROR(INDEX(Clay_Offices!$A$2:$FZ$601,123,Sync!$C$10)&amp;"","")&amp;"; "&amp;IFERROR(INDEX(Clay_Offices!$A$2:$FZ$601,123,Sync!$C$9)&amp;"",""))</f>
        <v/>
      </c>
      <c r="K1774" s="32" t="s">
        <v>1363</v>
      </c>
    </row>
    <row r="1775" customFormat="false" ht="15" hidden="false" customHeight="false" outlineLevel="0" collapsed="false">
      <c r="A1775" s="23" t="str">
        <f aca="false">IF(B1775="","",B1775+(12*1000+124)/10000000)</f>
        <v/>
      </c>
      <c r="B1775" s="35" t="str">
        <f aca="false">IF(AND(IFERROR(N(INDEX(Clay_Offices!$A$2:$FZ$601,124,Sync!$C$11)),0)&gt;0,IFERROR(INDEX(Clay_Offices!$A$2:$FZ$601,124,Sync!$C$5)&amp;"","")&lt;&gt;"",OR(LEFT(IFERROR(INDEX(Clay_Offices!$A$2:$FZ$601,124,Sync!$C$5)&amp;"",""),6)&lt;&gt;"SAMPLE",Config!$B$19="Y")),IFERROR(N(INDEX(Clay_Offices!$A$2:$FZ$601,124,Sync!$C$11)),0),"")</f>
        <v/>
      </c>
      <c r="C1775" s="23" t="str">
        <f aca="false">IF(B1775="","","office")</f>
        <v/>
      </c>
      <c r="D1775" s="23" t="str">
        <f aca="false">IF(B1775="","",IFERROR(INDEX(Office_Log!$ED$2:$ED$201,MATCH(IFERROR(INDEX(Clay_Offices!$A$2:$FZ$601,124,Sync!$C$5)&amp;"",""),Office_Log!$A$2:$A$201,0))&amp;"",IFERROR(INDEX(Clay_Offices!$A$2:$FZ$601,124,Sync!$C$5)&amp;"","")&amp;""))</f>
        <v/>
      </c>
      <c r="E1775" s="23" t="str">
        <f aca="false">IF(B1775="","",IFERROR(INDEX(Clay_Offices!$A$2:$FZ$601,124,Sync!$C$6)&amp;"",""))</f>
        <v/>
      </c>
      <c r="F1775" s="23" t="str">
        <f aca="false">IF(B1775="","","outreach_sent")</f>
        <v/>
      </c>
      <c r="G1775" s="23" t="str">
        <f aca="false">IF(B1775="","","")</f>
        <v/>
      </c>
      <c r="H1775" s="23" t="str">
        <f aca="false">IF(B1775="","","")</f>
        <v/>
      </c>
      <c r="I1775" s="23" t="str">
        <f aca="false">IF(B1775="","","")</f>
        <v/>
      </c>
      <c r="J1775" s="23" t="str">
        <f aca="false">IF(B1775="","","touch_1; "&amp;IFERROR(INDEX(Clay_Offices!$A$2:$FZ$601,124,Sync!$C$10)&amp;"","")&amp;"; "&amp;IFERROR(INDEX(Clay_Offices!$A$2:$FZ$601,124,Sync!$C$9)&amp;"",""))</f>
        <v/>
      </c>
      <c r="K1775" s="32" t="s">
        <v>1363</v>
      </c>
    </row>
    <row r="1776" customFormat="false" ht="15" hidden="false" customHeight="false" outlineLevel="0" collapsed="false">
      <c r="A1776" s="23" t="str">
        <f aca="false">IF(B1776="","",B1776+(12*1000+125)/10000000)</f>
        <v/>
      </c>
      <c r="B1776" s="35" t="str">
        <f aca="false">IF(AND(IFERROR(N(INDEX(Clay_Offices!$A$2:$FZ$601,125,Sync!$C$11)),0)&gt;0,IFERROR(INDEX(Clay_Offices!$A$2:$FZ$601,125,Sync!$C$5)&amp;"","")&lt;&gt;"",OR(LEFT(IFERROR(INDEX(Clay_Offices!$A$2:$FZ$601,125,Sync!$C$5)&amp;"",""),6)&lt;&gt;"SAMPLE",Config!$B$19="Y")),IFERROR(N(INDEX(Clay_Offices!$A$2:$FZ$601,125,Sync!$C$11)),0),"")</f>
        <v/>
      </c>
      <c r="C1776" s="23" t="str">
        <f aca="false">IF(B1776="","","office")</f>
        <v/>
      </c>
      <c r="D1776" s="23" t="str">
        <f aca="false">IF(B1776="","",IFERROR(INDEX(Office_Log!$ED$2:$ED$201,MATCH(IFERROR(INDEX(Clay_Offices!$A$2:$FZ$601,125,Sync!$C$5)&amp;"",""),Office_Log!$A$2:$A$201,0))&amp;"",IFERROR(INDEX(Clay_Offices!$A$2:$FZ$601,125,Sync!$C$5)&amp;"","")&amp;""))</f>
        <v/>
      </c>
      <c r="E1776" s="23" t="str">
        <f aca="false">IF(B1776="","",IFERROR(INDEX(Clay_Offices!$A$2:$FZ$601,125,Sync!$C$6)&amp;"",""))</f>
        <v/>
      </c>
      <c r="F1776" s="23" t="str">
        <f aca="false">IF(B1776="","","outreach_sent")</f>
        <v/>
      </c>
      <c r="G1776" s="23" t="str">
        <f aca="false">IF(B1776="","","")</f>
        <v/>
      </c>
      <c r="H1776" s="23" t="str">
        <f aca="false">IF(B1776="","","")</f>
        <v/>
      </c>
      <c r="I1776" s="23" t="str">
        <f aca="false">IF(B1776="","","")</f>
        <v/>
      </c>
      <c r="J1776" s="23" t="str">
        <f aca="false">IF(B1776="","","touch_1; "&amp;IFERROR(INDEX(Clay_Offices!$A$2:$FZ$601,125,Sync!$C$10)&amp;"","")&amp;"; "&amp;IFERROR(INDEX(Clay_Offices!$A$2:$FZ$601,125,Sync!$C$9)&amp;"",""))</f>
        <v/>
      </c>
      <c r="K1776" s="32" t="s">
        <v>1363</v>
      </c>
    </row>
    <row r="1777" customFormat="false" ht="15" hidden="false" customHeight="false" outlineLevel="0" collapsed="false">
      <c r="A1777" s="23" t="str">
        <f aca="false">IF(B1777="","",B1777+(12*1000+126)/10000000)</f>
        <v/>
      </c>
      <c r="B1777" s="35" t="str">
        <f aca="false">IF(AND(IFERROR(N(INDEX(Clay_Offices!$A$2:$FZ$601,126,Sync!$C$11)),0)&gt;0,IFERROR(INDEX(Clay_Offices!$A$2:$FZ$601,126,Sync!$C$5)&amp;"","")&lt;&gt;"",OR(LEFT(IFERROR(INDEX(Clay_Offices!$A$2:$FZ$601,126,Sync!$C$5)&amp;"",""),6)&lt;&gt;"SAMPLE",Config!$B$19="Y")),IFERROR(N(INDEX(Clay_Offices!$A$2:$FZ$601,126,Sync!$C$11)),0),"")</f>
        <v/>
      </c>
      <c r="C1777" s="23" t="str">
        <f aca="false">IF(B1777="","","office")</f>
        <v/>
      </c>
      <c r="D1777" s="23" t="str">
        <f aca="false">IF(B1777="","",IFERROR(INDEX(Office_Log!$ED$2:$ED$201,MATCH(IFERROR(INDEX(Clay_Offices!$A$2:$FZ$601,126,Sync!$C$5)&amp;"",""),Office_Log!$A$2:$A$201,0))&amp;"",IFERROR(INDEX(Clay_Offices!$A$2:$FZ$601,126,Sync!$C$5)&amp;"","")&amp;""))</f>
        <v/>
      </c>
      <c r="E1777" s="23" t="str">
        <f aca="false">IF(B1777="","",IFERROR(INDEX(Clay_Offices!$A$2:$FZ$601,126,Sync!$C$6)&amp;"",""))</f>
        <v/>
      </c>
      <c r="F1777" s="23" t="str">
        <f aca="false">IF(B1777="","","outreach_sent")</f>
        <v/>
      </c>
      <c r="G1777" s="23" t="str">
        <f aca="false">IF(B1777="","","")</f>
        <v/>
      </c>
      <c r="H1777" s="23" t="str">
        <f aca="false">IF(B1777="","","")</f>
        <v/>
      </c>
      <c r="I1777" s="23" t="str">
        <f aca="false">IF(B1777="","","")</f>
        <v/>
      </c>
      <c r="J1777" s="23" t="str">
        <f aca="false">IF(B1777="","","touch_1; "&amp;IFERROR(INDEX(Clay_Offices!$A$2:$FZ$601,126,Sync!$C$10)&amp;"","")&amp;"; "&amp;IFERROR(INDEX(Clay_Offices!$A$2:$FZ$601,126,Sync!$C$9)&amp;"",""))</f>
        <v/>
      </c>
      <c r="K1777" s="32" t="s">
        <v>1363</v>
      </c>
    </row>
    <row r="1778" customFormat="false" ht="15" hidden="false" customHeight="false" outlineLevel="0" collapsed="false">
      <c r="A1778" s="23" t="str">
        <f aca="false">IF(B1778="","",B1778+(12*1000+127)/10000000)</f>
        <v/>
      </c>
      <c r="B1778" s="35" t="str">
        <f aca="false">IF(AND(IFERROR(N(INDEX(Clay_Offices!$A$2:$FZ$601,127,Sync!$C$11)),0)&gt;0,IFERROR(INDEX(Clay_Offices!$A$2:$FZ$601,127,Sync!$C$5)&amp;"","")&lt;&gt;"",OR(LEFT(IFERROR(INDEX(Clay_Offices!$A$2:$FZ$601,127,Sync!$C$5)&amp;"",""),6)&lt;&gt;"SAMPLE",Config!$B$19="Y")),IFERROR(N(INDEX(Clay_Offices!$A$2:$FZ$601,127,Sync!$C$11)),0),"")</f>
        <v/>
      </c>
      <c r="C1778" s="23" t="str">
        <f aca="false">IF(B1778="","","office")</f>
        <v/>
      </c>
      <c r="D1778" s="23" t="str">
        <f aca="false">IF(B1778="","",IFERROR(INDEX(Office_Log!$ED$2:$ED$201,MATCH(IFERROR(INDEX(Clay_Offices!$A$2:$FZ$601,127,Sync!$C$5)&amp;"",""),Office_Log!$A$2:$A$201,0))&amp;"",IFERROR(INDEX(Clay_Offices!$A$2:$FZ$601,127,Sync!$C$5)&amp;"","")&amp;""))</f>
        <v/>
      </c>
      <c r="E1778" s="23" t="str">
        <f aca="false">IF(B1778="","",IFERROR(INDEX(Clay_Offices!$A$2:$FZ$601,127,Sync!$C$6)&amp;"",""))</f>
        <v/>
      </c>
      <c r="F1778" s="23" t="str">
        <f aca="false">IF(B1778="","","outreach_sent")</f>
        <v/>
      </c>
      <c r="G1778" s="23" t="str">
        <f aca="false">IF(B1778="","","")</f>
        <v/>
      </c>
      <c r="H1778" s="23" t="str">
        <f aca="false">IF(B1778="","","")</f>
        <v/>
      </c>
      <c r="I1778" s="23" t="str">
        <f aca="false">IF(B1778="","","")</f>
        <v/>
      </c>
      <c r="J1778" s="23" t="str">
        <f aca="false">IF(B1778="","","touch_1; "&amp;IFERROR(INDEX(Clay_Offices!$A$2:$FZ$601,127,Sync!$C$10)&amp;"","")&amp;"; "&amp;IFERROR(INDEX(Clay_Offices!$A$2:$FZ$601,127,Sync!$C$9)&amp;"",""))</f>
        <v/>
      </c>
      <c r="K1778" s="32" t="s">
        <v>1363</v>
      </c>
    </row>
    <row r="1779" customFormat="false" ht="15" hidden="false" customHeight="false" outlineLevel="0" collapsed="false">
      <c r="A1779" s="23" t="str">
        <f aca="false">IF(B1779="","",B1779+(12*1000+128)/10000000)</f>
        <v/>
      </c>
      <c r="B1779" s="35" t="str">
        <f aca="false">IF(AND(IFERROR(N(INDEX(Clay_Offices!$A$2:$FZ$601,128,Sync!$C$11)),0)&gt;0,IFERROR(INDEX(Clay_Offices!$A$2:$FZ$601,128,Sync!$C$5)&amp;"","")&lt;&gt;"",OR(LEFT(IFERROR(INDEX(Clay_Offices!$A$2:$FZ$601,128,Sync!$C$5)&amp;"",""),6)&lt;&gt;"SAMPLE",Config!$B$19="Y")),IFERROR(N(INDEX(Clay_Offices!$A$2:$FZ$601,128,Sync!$C$11)),0),"")</f>
        <v/>
      </c>
      <c r="C1779" s="23" t="str">
        <f aca="false">IF(B1779="","","office")</f>
        <v/>
      </c>
      <c r="D1779" s="23" t="str">
        <f aca="false">IF(B1779="","",IFERROR(INDEX(Office_Log!$ED$2:$ED$201,MATCH(IFERROR(INDEX(Clay_Offices!$A$2:$FZ$601,128,Sync!$C$5)&amp;"",""),Office_Log!$A$2:$A$201,0))&amp;"",IFERROR(INDEX(Clay_Offices!$A$2:$FZ$601,128,Sync!$C$5)&amp;"","")&amp;""))</f>
        <v/>
      </c>
      <c r="E1779" s="23" t="str">
        <f aca="false">IF(B1779="","",IFERROR(INDEX(Clay_Offices!$A$2:$FZ$601,128,Sync!$C$6)&amp;"",""))</f>
        <v/>
      </c>
      <c r="F1779" s="23" t="str">
        <f aca="false">IF(B1779="","","outreach_sent")</f>
        <v/>
      </c>
      <c r="G1779" s="23" t="str">
        <f aca="false">IF(B1779="","","")</f>
        <v/>
      </c>
      <c r="H1779" s="23" t="str">
        <f aca="false">IF(B1779="","","")</f>
        <v/>
      </c>
      <c r="I1779" s="23" t="str">
        <f aca="false">IF(B1779="","","")</f>
        <v/>
      </c>
      <c r="J1779" s="23" t="str">
        <f aca="false">IF(B1779="","","touch_1; "&amp;IFERROR(INDEX(Clay_Offices!$A$2:$FZ$601,128,Sync!$C$10)&amp;"","")&amp;"; "&amp;IFERROR(INDEX(Clay_Offices!$A$2:$FZ$601,128,Sync!$C$9)&amp;"",""))</f>
        <v/>
      </c>
      <c r="K1779" s="32" t="s">
        <v>1363</v>
      </c>
    </row>
    <row r="1780" customFormat="false" ht="15" hidden="false" customHeight="false" outlineLevel="0" collapsed="false">
      <c r="A1780" s="23" t="str">
        <f aca="false">IF(B1780="","",B1780+(12*1000+129)/10000000)</f>
        <v/>
      </c>
      <c r="B1780" s="35" t="str">
        <f aca="false">IF(AND(IFERROR(N(INDEX(Clay_Offices!$A$2:$FZ$601,129,Sync!$C$11)),0)&gt;0,IFERROR(INDEX(Clay_Offices!$A$2:$FZ$601,129,Sync!$C$5)&amp;"","")&lt;&gt;"",OR(LEFT(IFERROR(INDEX(Clay_Offices!$A$2:$FZ$601,129,Sync!$C$5)&amp;"",""),6)&lt;&gt;"SAMPLE",Config!$B$19="Y")),IFERROR(N(INDEX(Clay_Offices!$A$2:$FZ$601,129,Sync!$C$11)),0),"")</f>
        <v/>
      </c>
      <c r="C1780" s="23" t="str">
        <f aca="false">IF(B1780="","","office")</f>
        <v/>
      </c>
      <c r="D1780" s="23" t="str">
        <f aca="false">IF(B1780="","",IFERROR(INDEX(Office_Log!$ED$2:$ED$201,MATCH(IFERROR(INDEX(Clay_Offices!$A$2:$FZ$601,129,Sync!$C$5)&amp;"",""),Office_Log!$A$2:$A$201,0))&amp;"",IFERROR(INDEX(Clay_Offices!$A$2:$FZ$601,129,Sync!$C$5)&amp;"","")&amp;""))</f>
        <v/>
      </c>
      <c r="E1780" s="23" t="str">
        <f aca="false">IF(B1780="","",IFERROR(INDEX(Clay_Offices!$A$2:$FZ$601,129,Sync!$C$6)&amp;"",""))</f>
        <v/>
      </c>
      <c r="F1780" s="23" t="str">
        <f aca="false">IF(B1780="","","outreach_sent")</f>
        <v/>
      </c>
      <c r="G1780" s="23" t="str">
        <f aca="false">IF(B1780="","","")</f>
        <v/>
      </c>
      <c r="H1780" s="23" t="str">
        <f aca="false">IF(B1780="","","")</f>
        <v/>
      </c>
      <c r="I1780" s="23" t="str">
        <f aca="false">IF(B1780="","","")</f>
        <v/>
      </c>
      <c r="J1780" s="23" t="str">
        <f aca="false">IF(B1780="","","touch_1; "&amp;IFERROR(INDEX(Clay_Offices!$A$2:$FZ$601,129,Sync!$C$10)&amp;"","")&amp;"; "&amp;IFERROR(INDEX(Clay_Offices!$A$2:$FZ$601,129,Sync!$C$9)&amp;"",""))</f>
        <v/>
      </c>
      <c r="K1780" s="32" t="s">
        <v>1363</v>
      </c>
    </row>
    <row r="1781" customFormat="false" ht="15" hidden="false" customHeight="false" outlineLevel="0" collapsed="false">
      <c r="A1781" s="23" t="str">
        <f aca="false">IF(B1781="","",B1781+(12*1000+130)/10000000)</f>
        <v/>
      </c>
      <c r="B1781" s="35" t="str">
        <f aca="false">IF(AND(IFERROR(N(INDEX(Clay_Offices!$A$2:$FZ$601,130,Sync!$C$11)),0)&gt;0,IFERROR(INDEX(Clay_Offices!$A$2:$FZ$601,130,Sync!$C$5)&amp;"","")&lt;&gt;"",OR(LEFT(IFERROR(INDEX(Clay_Offices!$A$2:$FZ$601,130,Sync!$C$5)&amp;"",""),6)&lt;&gt;"SAMPLE",Config!$B$19="Y")),IFERROR(N(INDEX(Clay_Offices!$A$2:$FZ$601,130,Sync!$C$11)),0),"")</f>
        <v/>
      </c>
      <c r="C1781" s="23" t="str">
        <f aca="false">IF(B1781="","","office")</f>
        <v/>
      </c>
      <c r="D1781" s="23" t="str">
        <f aca="false">IF(B1781="","",IFERROR(INDEX(Office_Log!$ED$2:$ED$201,MATCH(IFERROR(INDEX(Clay_Offices!$A$2:$FZ$601,130,Sync!$C$5)&amp;"",""),Office_Log!$A$2:$A$201,0))&amp;"",IFERROR(INDEX(Clay_Offices!$A$2:$FZ$601,130,Sync!$C$5)&amp;"","")&amp;""))</f>
        <v/>
      </c>
      <c r="E1781" s="23" t="str">
        <f aca="false">IF(B1781="","",IFERROR(INDEX(Clay_Offices!$A$2:$FZ$601,130,Sync!$C$6)&amp;"",""))</f>
        <v/>
      </c>
      <c r="F1781" s="23" t="str">
        <f aca="false">IF(B1781="","","outreach_sent")</f>
        <v/>
      </c>
      <c r="G1781" s="23" t="str">
        <f aca="false">IF(B1781="","","")</f>
        <v/>
      </c>
      <c r="H1781" s="23" t="str">
        <f aca="false">IF(B1781="","","")</f>
        <v/>
      </c>
      <c r="I1781" s="23" t="str">
        <f aca="false">IF(B1781="","","")</f>
        <v/>
      </c>
      <c r="J1781" s="23" t="str">
        <f aca="false">IF(B1781="","","touch_1; "&amp;IFERROR(INDEX(Clay_Offices!$A$2:$FZ$601,130,Sync!$C$10)&amp;"","")&amp;"; "&amp;IFERROR(INDEX(Clay_Offices!$A$2:$FZ$601,130,Sync!$C$9)&amp;"",""))</f>
        <v/>
      </c>
      <c r="K1781" s="32" t="s">
        <v>1363</v>
      </c>
    </row>
    <row r="1782" customFormat="false" ht="15" hidden="false" customHeight="false" outlineLevel="0" collapsed="false">
      <c r="A1782" s="23" t="str">
        <f aca="false">IF(B1782="","",B1782+(12*1000+131)/10000000)</f>
        <v/>
      </c>
      <c r="B1782" s="35" t="str">
        <f aca="false">IF(AND(IFERROR(N(INDEX(Clay_Offices!$A$2:$FZ$601,131,Sync!$C$11)),0)&gt;0,IFERROR(INDEX(Clay_Offices!$A$2:$FZ$601,131,Sync!$C$5)&amp;"","")&lt;&gt;"",OR(LEFT(IFERROR(INDEX(Clay_Offices!$A$2:$FZ$601,131,Sync!$C$5)&amp;"",""),6)&lt;&gt;"SAMPLE",Config!$B$19="Y")),IFERROR(N(INDEX(Clay_Offices!$A$2:$FZ$601,131,Sync!$C$11)),0),"")</f>
        <v/>
      </c>
      <c r="C1782" s="23" t="str">
        <f aca="false">IF(B1782="","","office")</f>
        <v/>
      </c>
      <c r="D1782" s="23" t="str">
        <f aca="false">IF(B1782="","",IFERROR(INDEX(Office_Log!$ED$2:$ED$201,MATCH(IFERROR(INDEX(Clay_Offices!$A$2:$FZ$601,131,Sync!$C$5)&amp;"",""),Office_Log!$A$2:$A$201,0))&amp;"",IFERROR(INDEX(Clay_Offices!$A$2:$FZ$601,131,Sync!$C$5)&amp;"","")&amp;""))</f>
        <v/>
      </c>
      <c r="E1782" s="23" t="str">
        <f aca="false">IF(B1782="","",IFERROR(INDEX(Clay_Offices!$A$2:$FZ$601,131,Sync!$C$6)&amp;"",""))</f>
        <v/>
      </c>
      <c r="F1782" s="23" t="str">
        <f aca="false">IF(B1782="","","outreach_sent")</f>
        <v/>
      </c>
      <c r="G1782" s="23" t="str">
        <f aca="false">IF(B1782="","","")</f>
        <v/>
      </c>
      <c r="H1782" s="23" t="str">
        <f aca="false">IF(B1782="","","")</f>
        <v/>
      </c>
      <c r="I1782" s="23" t="str">
        <f aca="false">IF(B1782="","","")</f>
        <v/>
      </c>
      <c r="J1782" s="23" t="str">
        <f aca="false">IF(B1782="","","touch_1; "&amp;IFERROR(INDEX(Clay_Offices!$A$2:$FZ$601,131,Sync!$C$10)&amp;"","")&amp;"; "&amp;IFERROR(INDEX(Clay_Offices!$A$2:$FZ$601,131,Sync!$C$9)&amp;"",""))</f>
        <v/>
      </c>
      <c r="K1782" s="32" t="s">
        <v>1363</v>
      </c>
    </row>
    <row r="1783" customFormat="false" ht="15" hidden="false" customHeight="false" outlineLevel="0" collapsed="false">
      <c r="A1783" s="23" t="str">
        <f aca="false">IF(B1783="","",B1783+(12*1000+132)/10000000)</f>
        <v/>
      </c>
      <c r="B1783" s="35" t="str">
        <f aca="false">IF(AND(IFERROR(N(INDEX(Clay_Offices!$A$2:$FZ$601,132,Sync!$C$11)),0)&gt;0,IFERROR(INDEX(Clay_Offices!$A$2:$FZ$601,132,Sync!$C$5)&amp;"","")&lt;&gt;"",OR(LEFT(IFERROR(INDEX(Clay_Offices!$A$2:$FZ$601,132,Sync!$C$5)&amp;"",""),6)&lt;&gt;"SAMPLE",Config!$B$19="Y")),IFERROR(N(INDEX(Clay_Offices!$A$2:$FZ$601,132,Sync!$C$11)),0),"")</f>
        <v/>
      </c>
      <c r="C1783" s="23" t="str">
        <f aca="false">IF(B1783="","","office")</f>
        <v/>
      </c>
      <c r="D1783" s="23" t="str">
        <f aca="false">IF(B1783="","",IFERROR(INDEX(Office_Log!$ED$2:$ED$201,MATCH(IFERROR(INDEX(Clay_Offices!$A$2:$FZ$601,132,Sync!$C$5)&amp;"",""),Office_Log!$A$2:$A$201,0))&amp;"",IFERROR(INDEX(Clay_Offices!$A$2:$FZ$601,132,Sync!$C$5)&amp;"","")&amp;""))</f>
        <v/>
      </c>
      <c r="E1783" s="23" t="str">
        <f aca="false">IF(B1783="","",IFERROR(INDEX(Clay_Offices!$A$2:$FZ$601,132,Sync!$C$6)&amp;"",""))</f>
        <v/>
      </c>
      <c r="F1783" s="23" t="str">
        <f aca="false">IF(B1783="","","outreach_sent")</f>
        <v/>
      </c>
      <c r="G1783" s="23" t="str">
        <f aca="false">IF(B1783="","","")</f>
        <v/>
      </c>
      <c r="H1783" s="23" t="str">
        <f aca="false">IF(B1783="","","")</f>
        <v/>
      </c>
      <c r="I1783" s="23" t="str">
        <f aca="false">IF(B1783="","","")</f>
        <v/>
      </c>
      <c r="J1783" s="23" t="str">
        <f aca="false">IF(B1783="","","touch_1; "&amp;IFERROR(INDEX(Clay_Offices!$A$2:$FZ$601,132,Sync!$C$10)&amp;"","")&amp;"; "&amp;IFERROR(INDEX(Clay_Offices!$A$2:$FZ$601,132,Sync!$C$9)&amp;"",""))</f>
        <v/>
      </c>
      <c r="K1783" s="32" t="s">
        <v>1363</v>
      </c>
    </row>
    <row r="1784" customFormat="false" ht="15" hidden="false" customHeight="false" outlineLevel="0" collapsed="false">
      <c r="A1784" s="23" t="str">
        <f aca="false">IF(B1784="","",B1784+(12*1000+133)/10000000)</f>
        <v/>
      </c>
      <c r="B1784" s="35" t="str">
        <f aca="false">IF(AND(IFERROR(N(INDEX(Clay_Offices!$A$2:$FZ$601,133,Sync!$C$11)),0)&gt;0,IFERROR(INDEX(Clay_Offices!$A$2:$FZ$601,133,Sync!$C$5)&amp;"","")&lt;&gt;"",OR(LEFT(IFERROR(INDEX(Clay_Offices!$A$2:$FZ$601,133,Sync!$C$5)&amp;"",""),6)&lt;&gt;"SAMPLE",Config!$B$19="Y")),IFERROR(N(INDEX(Clay_Offices!$A$2:$FZ$601,133,Sync!$C$11)),0),"")</f>
        <v/>
      </c>
      <c r="C1784" s="23" t="str">
        <f aca="false">IF(B1784="","","office")</f>
        <v/>
      </c>
      <c r="D1784" s="23" t="str">
        <f aca="false">IF(B1784="","",IFERROR(INDEX(Office_Log!$ED$2:$ED$201,MATCH(IFERROR(INDEX(Clay_Offices!$A$2:$FZ$601,133,Sync!$C$5)&amp;"",""),Office_Log!$A$2:$A$201,0))&amp;"",IFERROR(INDEX(Clay_Offices!$A$2:$FZ$601,133,Sync!$C$5)&amp;"","")&amp;""))</f>
        <v/>
      </c>
      <c r="E1784" s="23" t="str">
        <f aca="false">IF(B1784="","",IFERROR(INDEX(Clay_Offices!$A$2:$FZ$601,133,Sync!$C$6)&amp;"",""))</f>
        <v/>
      </c>
      <c r="F1784" s="23" t="str">
        <f aca="false">IF(B1784="","","outreach_sent")</f>
        <v/>
      </c>
      <c r="G1784" s="23" t="str">
        <f aca="false">IF(B1784="","","")</f>
        <v/>
      </c>
      <c r="H1784" s="23" t="str">
        <f aca="false">IF(B1784="","","")</f>
        <v/>
      </c>
      <c r="I1784" s="23" t="str">
        <f aca="false">IF(B1784="","","")</f>
        <v/>
      </c>
      <c r="J1784" s="23" t="str">
        <f aca="false">IF(B1784="","","touch_1; "&amp;IFERROR(INDEX(Clay_Offices!$A$2:$FZ$601,133,Sync!$C$10)&amp;"","")&amp;"; "&amp;IFERROR(INDEX(Clay_Offices!$A$2:$FZ$601,133,Sync!$C$9)&amp;"",""))</f>
        <v/>
      </c>
      <c r="K1784" s="32" t="s">
        <v>1363</v>
      </c>
    </row>
    <row r="1785" customFormat="false" ht="15" hidden="false" customHeight="false" outlineLevel="0" collapsed="false">
      <c r="A1785" s="23" t="str">
        <f aca="false">IF(B1785="","",B1785+(12*1000+134)/10000000)</f>
        <v/>
      </c>
      <c r="B1785" s="35" t="str">
        <f aca="false">IF(AND(IFERROR(N(INDEX(Clay_Offices!$A$2:$FZ$601,134,Sync!$C$11)),0)&gt;0,IFERROR(INDEX(Clay_Offices!$A$2:$FZ$601,134,Sync!$C$5)&amp;"","")&lt;&gt;"",OR(LEFT(IFERROR(INDEX(Clay_Offices!$A$2:$FZ$601,134,Sync!$C$5)&amp;"",""),6)&lt;&gt;"SAMPLE",Config!$B$19="Y")),IFERROR(N(INDEX(Clay_Offices!$A$2:$FZ$601,134,Sync!$C$11)),0),"")</f>
        <v/>
      </c>
      <c r="C1785" s="23" t="str">
        <f aca="false">IF(B1785="","","office")</f>
        <v/>
      </c>
      <c r="D1785" s="23" t="str">
        <f aca="false">IF(B1785="","",IFERROR(INDEX(Office_Log!$ED$2:$ED$201,MATCH(IFERROR(INDEX(Clay_Offices!$A$2:$FZ$601,134,Sync!$C$5)&amp;"",""),Office_Log!$A$2:$A$201,0))&amp;"",IFERROR(INDEX(Clay_Offices!$A$2:$FZ$601,134,Sync!$C$5)&amp;"","")&amp;""))</f>
        <v/>
      </c>
      <c r="E1785" s="23" t="str">
        <f aca="false">IF(B1785="","",IFERROR(INDEX(Clay_Offices!$A$2:$FZ$601,134,Sync!$C$6)&amp;"",""))</f>
        <v/>
      </c>
      <c r="F1785" s="23" t="str">
        <f aca="false">IF(B1785="","","outreach_sent")</f>
        <v/>
      </c>
      <c r="G1785" s="23" t="str">
        <f aca="false">IF(B1785="","","")</f>
        <v/>
      </c>
      <c r="H1785" s="23" t="str">
        <f aca="false">IF(B1785="","","")</f>
        <v/>
      </c>
      <c r="I1785" s="23" t="str">
        <f aca="false">IF(B1785="","","")</f>
        <v/>
      </c>
      <c r="J1785" s="23" t="str">
        <f aca="false">IF(B1785="","","touch_1; "&amp;IFERROR(INDEX(Clay_Offices!$A$2:$FZ$601,134,Sync!$C$10)&amp;"","")&amp;"; "&amp;IFERROR(INDEX(Clay_Offices!$A$2:$FZ$601,134,Sync!$C$9)&amp;"",""))</f>
        <v/>
      </c>
      <c r="K1785" s="32" t="s">
        <v>1363</v>
      </c>
    </row>
    <row r="1786" customFormat="false" ht="15" hidden="false" customHeight="false" outlineLevel="0" collapsed="false">
      <c r="A1786" s="23" t="str">
        <f aca="false">IF(B1786="","",B1786+(12*1000+135)/10000000)</f>
        <v/>
      </c>
      <c r="B1786" s="35" t="str">
        <f aca="false">IF(AND(IFERROR(N(INDEX(Clay_Offices!$A$2:$FZ$601,135,Sync!$C$11)),0)&gt;0,IFERROR(INDEX(Clay_Offices!$A$2:$FZ$601,135,Sync!$C$5)&amp;"","")&lt;&gt;"",OR(LEFT(IFERROR(INDEX(Clay_Offices!$A$2:$FZ$601,135,Sync!$C$5)&amp;"",""),6)&lt;&gt;"SAMPLE",Config!$B$19="Y")),IFERROR(N(INDEX(Clay_Offices!$A$2:$FZ$601,135,Sync!$C$11)),0),"")</f>
        <v/>
      </c>
      <c r="C1786" s="23" t="str">
        <f aca="false">IF(B1786="","","office")</f>
        <v/>
      </c>
      <c r="D1786" s="23" t="str">
        <f aca="false">IF(B1786="","",IFERROR(INDEX(Office_Log!$ED$2:$ED$201,MATCH(IFERROR(INDEX(Clay_Offices!$A$2:$FZ$601,135,Sync!$C$5)&amp;"",""),Office_Log!$A$2:$A$201,0))&amp;"",IFERROR(INDEX(Clay_Offices!$A$2:$FZ$601,135,Sync!$C$5)&amp;"","")&amp;""))</f>
        <v/>
      </c>
      <c r="E1786" s="23" t="str">
        <f aca="false">IF(B1786="","",IFERROR(INDEX(Clay_Offices!$A$2:$FZ$601,135,Sync!$C$6)&amp;"",""))</f>
        <v/>
      </c>
      <c r="F1786" s="23" t="str">
        <f aca="false">IF(B1786="","","outreach_sent")</f>
        <v/>
      </c>
      <c r="G1786" s="23" t="str">
        <f aca="false">IF(B1786="","","")</f>
        <v/>
      </c>
      <c r="H1786" s="23" t="str">
        <f aca="false">IF(B1786="","","")</f>
        <v/>
      </c>
      <c r="I1786" s="23" t="str">
        <f aca="false">IF(B1786="","","")</f>
        <v/>
      </c>
      <c r="J1786" s="23" t="str">
        <f aca="false">IF(B1786="","","touch_1; "&amp;IFERROR(INDEX(Clay_Offices!$A$2:$FZ$601,135,Sync!$C$10)&amp;"","")&amp;"; "&amp;IFERROR(INDEX(Clay_Offices!$A$2:$FZ$601,135,Sync!$C$9)&amp;"",""))</f>
        <v/>
      </c>
      <c r="K1786" s="32" t="s">
        <v>1363</v>
      </c>
    </row>
    <row r="1787" customFormat="false" ht="15" hidden="false" customHeight="false" outlineLevel="0" collapsed="false">
      <c r="A1787" s="23" t="str">
        <f aca="false">IF(B1787="","",B1787+(12*1000+136)/10000000)</f>
        <v/>
      </c>
      <c r="B1787" s="35" t="str">
        <f aca="false">IF(AND(IFERROR(N(INDEX(Clay_Offices!$A$2:$FZ$601,136,Sync!$C$11)),0)&gt;0,IFERROR(INDEX(Clay_Offices!$A$2:$FZ$601,136,Sync!$C$5)&amp;"","")&lt;&gt;"",OR(LEFT(IFERROR(INDEX(Clay_Offices!$A$2:$FZ$601,136,Sync!$C$5)&amp;"",""),6)&lt;&gt;"SAMPLE",Config!$B$19="Y")),IFERROR(N(INDEX(Clay_Offices!$A$2:$FZ$601,136,Sync!$C$11)),0),"")</f>
        <v/>
      </c>
      <c r="C1787" s="23" t="str">
        <f aca="false">IF(B1787="","","office")</f>
        <v/>
      </c>
      <c r="D1787" s="23" t="str">
        <f aca="false">IF(B1787="","",IFERROR(INDEX(Office_Log!$ED$2:$ED$201,MATCH(IFERROR(INDEX(Clay_Offices!$A$2:$FZ$601,136,Sync!$C$5)&amp;"",""),Office_Log!$A$2:$A$201,0))&amp;"",IFERROR(INDEX(Clay_Offices!$A$2:$FZ$601,136,Sync!$C$5)&amp;"","")&amp;""))</f>
        <v/>
      </c>
      <c r="E1787" s="23" t="str">
        <f aca="false">IF(B1787="","",IFERROR(INDEX(Clay_Offices!$A$2:$FZ$601,136,Sync!$C$6)&amp;"",""))</f>
        <v/>
      </c>
      <c r="F1787" s="23" t="str">
        <f aca="false">IF(B1787="","","outreach_sent")</f>
        <v/>
      </c>
      <c r="G1787" s="23" t="str">
        <f aca="false">IF(B1787="","","")</f>
        <v/>
      </c>
      <c r="H1787" s="23" t="str">
        <f aca="false">IF(B1787="","","")</f>
        <v/>
      </c>
      <c r="I1787" s="23" t="str">
        <f aca="false">IF(B1787="","","")</f>
        <v/>
      </c>
      <c r="J1787" s="23" t="str">
        <f aca="false">IF(B1787="","","touch_1; "&amp;IFERROR(INDEX(Clay_Offices!$A$2:$FZ$601,136,Sync!$C$10)&amp;"","")&amp;"; "&amp;IFERROR(INDEX(Clay_Offices!$A$2:$FZ$601,136,Sync!$C$9)&amp;"",""))</f>
        <v/>
      </c>
      <c r="K1787" s="32" t="s">
        <v>1363</v>
      </c>
    </row>
    <row r="1788" customFormat="false" ht="15" hidden="false" customHeight="false" outlineLevel="0" collapsed="false">
      <c r="A1788" s="23" t="str">
        <f aca="false">IF(B1788="","",B1788+(12*1000+137)/10000000)</f>
        <v/>
      </c>
      <c r="B1788" s="35" t="str">
        <f aca="false">IF(AND(IFERROR(N(INDEX(Clay_Offices!$A$2:$FZ$601,137,Sync!$C$11)),0)&gt;0,IFERROR(INDEX(Clay_Offices!$A$2:$FZ$601,137,Sync!$C$5)&amp;"","")&lt;&gt;"",OR(LEFT(IFERROR(INDEX(Clay_Offices!$A$2:$FZ$601,137,Sync!$C$5)&amp;"",""),6)&lt;&gt;"SAMPLE",Config!$B$19="Y")),IFERROR(N(INDEX(Clay_Offices!$A$2:$FZ$601,137,Sync!$C$11)),0),"")</f>
        <v/>
      </c>
      <c r="C1788" s="23" t="str">
        <f aca="false">IF(B1788="","","office")</f>
        <v/>
      </c>
      <c r="D1788" s="23" t="str">
        <f aca="false">IF(B1788="","",IFERROR(INDEX(Office_Log!$ED$2:$ED$201,MATCH(IFERROR(INDEX(Clay_Offices!$A$2:$FZ$601,137,Sync!$C$5)&amp;"",""),Office_Log!$A$2:$A$201,0))&amp;"",IFERROR(INDEX(Clay_Offices!$A$2:$FZ$601,137,Sync!$C$5)&amp;"","")&amp;""))</f>
        <v/>
      </c>
      <c r="E1788" s="23" t="str">
        <f aca="false">IF(B1788="","",IFERROR(INDEX(Clay_Offices!$A$2:$FZ$601,137,Sync!$C$6)&amp;"",""))</f>
        <v/>
      </c>
      <c r="F1788" s="23" t="str">
        <f aca="false">IF(B1788="","","outreach_sent")</f>
        <v/>
      </c>
      <c r="G1788" s="23" t="str">
        <f aca="false">IF(B1788="","","")</f>
        <v/>
      </c>
      <c r="H1788" s="23" t="str">
        <f aca="false">IF(B1788="","","")</f>
        <v/>
      </c>
      <c r="I1788" s="23" t="str">
        <f aca="false">IF(B1788="","","")</f>
        <v/>
      </c>
      <c r="J1788" s="23" t="str">
        <f aca="false">IF(B1788="","","touch_1; "&amp;IFERROR(INDEX(Clay_Offices!$A$2:$FZ$601,137,Sync!$C$10)&amp;"","")&amp;"; "&amp;IFERROR(INDEX(Clay_Offices!$A$2:$FZ$601,137,Sync!$C$9)&amp;"",""))</f>
        <v/>
      </c>
      <c r="K1788" s="32" t="s">
        <v>1363</v>
      </c>
    </row>
    <row r="1789" customFormat="false" ht="15" hidden="false" customHeight="false" outlineLevel="0" collapsed="false">
      <c r="A1789" s="23" t="str">
        <f aca="false">IF(B1789="","",B1789+(12*1000+138)/10000000)</f>
        <v/>
      </c>
      <c r="B1789" s="35" t="str">
        <f aca="false">IF(AND(IFERROR(N(INDEX(Clay_Offices!$A$2:$FZ$601,138,Sync!$C$11)),0)&gt;0,IFERROR(INDEX(Clay_Offices!$A$2:$FZ$601,138,Sync!$C$5)&amp;"","")&lt;&gt;"",OR(LEFT(IFERROR(INDEX(Clay_Offices!$A$2:$FZ$601,138,Sync!$C$5)&amp;"",""),6)&lt;&gt;"SAMPLE",Config!$B$19="Y")),IFERROR(N(INDEX(Clay_Offices!$A$2:$FZ$601,138,Sync!$C$11)),0),"")</f>
        <v/>
      </c>
      <c r="C1789" s="23" t="str">
        <f aca="false">IF(B1789="","","office")</f>
        <v/>
      </c>
      <c r="D1789" s="23" t="str">
        <f aca="false">IF(B1789="","",IFERROR(INDEX(Office_Log!$ED$2:$ED$201,MATCH(IFERROR(INDEX(Clay_Offices!$A$2:$FZ$601,138,Sync!$C$5)&amp;"",""),Office_Log!$A$2:$A$201,0))&amp;"",IFERROR(INDEX(Clay_Offices!$A$2:$FZ$601,138,Sync!$C$5)&amp;"","")&amp;""))</f>
        <v/>
      </c>
      <c r="E1789" s="23" t="str">
        <f aca="false">IF(B1789="","",IFERROR(INDEX(Clay_Offices!$A$2:$FZ$601,138,Sync!$C$6)&amp;"",""))</f>
        <v/>
      </c>
      <c r="F1789" s="23" t="str">
        <f aca="false">IF(B1789="","","outreach_sent")</f>
        <v/>
      </c>
      <c r="G1789" s="23" t="str">
        <f aca="false">IF(B1789="","","")</f>
        <v/>
      </c>
      <c r="H1789" s="23" t="str">
        <f aca="false">IF(B1789="","","")</f>
        <v/>
      </c>
      <c r="I1789" s="23" t="str">
        <f aca="false">IF(B1789="","","")</f>
        <v/>
      </c>
      <c r="J1789" s="23" t="str">
        <f aca="false">IF(B1789="","","touch_1; "&amp;IFERROR(INDEX(Clay_Offices!$A$2:$FZ$601,138,Sync!$C$10)&amp;"","")&amp;"; "&amp;IFERROR(INDEX(Clay_Offices!$A$2:$FZ$601,138,Sync!$C$9)&amp;"",""))</f>
        <v/>
      </c>
      <c r="K1789" s="32" t="s">
        <v>1363</v>
      </c>
    </row>
    <row r="1790" customFormat="false" ht="15" hidden="false" customHeight="false" outlineLevel="0" collapsed="false">
      <c r="A1790" s="23" t="str">
        <f aca="false">IF(B1790="","",B1790+(12*1000+139)/10000000)</f>
        <v/>
      </c>
      <c r="B1790" s="35" t="str">
        <f aca="false">IF(AND(IFERROR(N(INDEX(Clay_Offices!$A$2:$FZ$601,139,Sync!$C$11)),0)&gt;0,IFERROR(INDEX(Clay_Offices!$A$2:$FZ$601,139,Sync!$C$5)&amp;"","")&lt;&gt;"",OR(LEFT(IFERROR(INDEX(Clay_Offices!$A$2:$FZ$601,139,Sync!$C$5)&amp;"",""),6)&lt;&gt;"SAMPLE",Config!$B$19="Y")),IFERROR(N(INDEX(Clay_Offices!$A$2:$FZ$601,139,Sync!$C$11)),0),"")</f>
        <v/>
      </c>
      <c r="C1790" s="23" t="str">
        <f aca="false">IF(B1790="","","office")</f>
        <v/>
      </c>
      <c r="D1790" s="23" t="str">
        <f aca="false">IF(B1790="","",IFERROR(INDEX(Office_Log!$ED$2:$ED$201,MATCH(IFERROR(INDEX(Clay_Offices!$A$2:$FZ$601,139,Sync!$C$5)&amp;"",""),Office_Log!$A$2:$A$201,0))&amp;"",IFERROR(INDEX(Clay_Offices!$A$2:$FZ$601,139,Sync!$C$5)&amp;"","")&amp;""))</f>
        <v/>
      </c>
      <c r="E1790" s="23" t="str">
        <f aca="false">IF(B1790="","",IFERROR(INDEX(Clay_Offices!$A$2:$FZ$601,139,Sync!$C$6)&amp;"",""))</f>
        <v/>
      </c>
      <c r="F1790" s="23" t="str">
        <f aca="false">IF(B1790="","","outreach_sent")</f>
        <v/>
      </c>
      <c r="G1790" s="23" t="str">
        <f aca="false">IF(B1790="","","")</f>
        <v/>
      </c>
      <c r="H1790" s="23" t="str">
        <f aca="false">IF(B1790="","","")</f>
        <v/>
      </c>
      <c r="I1790" s="23" t="str">
        <f aca="false">IF(B1790="","","")</f>
        <v/>
      </c>
      <c r="J1790" s="23" t="str">
        <f aca="false">IF(B1790="","","touch_1; "&amp;IFERROR(INDEX(Clay_Offices!$A$2:$FZ$601,139,Sync!$C$10)&amp;"","")&amp;"; "&amp;IFERROR(INDEX(Clay_Offices!$A$2:$FZ$601,139,Sync!$C$9)&amp;"",""))</f>
        <v/>
      </c>
      <c r="K1790" s="32" t="s">
        <v>1363</v>
      </c>
    </row>
    <row r="1791" customFormat="false" ht="15" hidden="false" customHeight="false" outlineLevel="0" collapsed="false">
      <c r="A1791" s="23" t="str">
        <f aca="false">IF(B1791="","",B1791+(12*1000+140)/10000000)</f>
        <v/>
      </c>
      <c r="B1791" s="35" t="str">
        <f aca="false">IF(AND(IFERROR(N(INDEX(Clay_Offices!$A$2:$FZ$601,140,Sync!$C$11)),0)&gt;0,IFERROR(INDEX(Clay_Offices!$A$2:$FZ$601,140,Sync!$C$5)&amp;"","")&lt;&gt;"",OR(LEFT(IFERROR(INDEX(Clay_Offices!$A$2:$FZ$601,140,Sync!$C$5)&amp;"",""),6)&lt;&gt;"SAMPLE",Config!$B$19="Y")),IFERROR(N(INDEX(Clay_Offices!$A$2:$FZ$601,140,Sync!$C$11)),0),"")</f>
        <v/>
      </c>
      <c r="C1791" s="23" t="str">
        <f aca="false">IF(B1791="","","office")</f>
        <v/>
      </c>
      <c r="D1791" s="23" t="str">
        <f aca="false">IF(B1791="","",IFERROR(INDEX(Office_Log!$ED$2:$ED$201,MATCH(IFERROR(INDEX(Clay_Offices!$A$2:$FZ$601,140,Sync!$C$5)&amp;"",""),Office_Log!$A$2:$A$201,0))&amp;"",IFERROR(INDEX(Clay_Offices!$A$2:$FZ$601,140,Sync!$C$5)&amp;"","")&amp;""))</f>
        <v/>
      </c>
      <c r="E1791" s="23" t="str">
        <f aca="false">IF(B1791="","",IFERROR(INDEX(Clay_Offices!$A$2:$FZ$601,140,Sync!$C$6)&amp;"",""))</f>
        <v/>
      </c>
      <c r="F1791" s="23" t="str">
        <f aca="false">IF(B1791="","","outreach_sent")</f>
        <v/>
      </c>
      <c r="G1791" s="23" t="str">
        <f aca="false">IF(B1791="","","")</f>
        <v/>
      </c>
      <c r="H1791" s="23" t="str">
        <f aca="false">IF(B1791="","","")</f>
        <v/>
      </c>
      <c r="I1791" s="23" t="str">
        <f aca="false">IF(B1791="","","")</f>
        <v/>
      </c>
      <c r="J1791" s="23" t="str">
        <f aca="false">IF(B1791="","","touch_1; "&amp;IFERROR(INDEX(Clay_Offices!$A$2:$FZ$601,140,Sync!$C$10)&amp;"","")&amp;"; "&amp;IFERROR(INDEX(Clay_Offices!$A$2:$FZ$601,140,Sync!$C$9)&amp;"",""))</f>
        <v/>
      </c>
      <c r="K1791" s="32" t="s">
        <v>1363</v>
      </c>
    </row>
    <row r="1792" customFormat="false" ht="15" hidden="false" customHeight="false" outlineLevel="0" collapsed="false">
      <c r="A1792" s="23" t="str">
        <f aca="false">IF(B1792="","",B1792+(12*1000+141)/10000000)</f>
        <v/>
      </c>
      <c r="B1792" s="35" t="str">
        <f aca="false">IF(AND(IFERROR(N(INDEX(Clay_Offices!$A$2:$FZ$601,141,Sync!$C$11)),0)&gt;0,IFERROR(INDEX(Clay_Offices!$A$2:$FZ$601,141,Sync!$C$5)&amp;"","")&lt;&gt;"",OR(LEFT(IFERROR(INDEX(Clay_Offices!$A$2:$FZ$601,141,Sync!$C$5)&amp;"",""),6)&lt;&gt;"SAMPLE",Config!$B$19="Y")),IFERROR(N(INDEX(Clay_Offices!$A$2:$FZ$601,141,Sync!$C$11)),0),"")</f>
        <v/>
      </c>
      <c r="C1792" s="23" t="str">
        <f aca="false">IF(B1792="","","office")</f>
        <v/>
      </c>
      <c r="D1792" s="23" t="str">
        <f aca="false">IF(B1792="","",IFERROR(INDEX(Office_Log!$ED$2:$ED$201,MATCH(IFERROR(INDEX(Clay_Offices!$A$2:$FZ$601,141,Sync!$C$5)&amp;"",""),Office_Log!$A$2:$A$201,0))&amp;"",IFERROR(INDEX(Clay_Offices!$A$2:$FZ$601,141,Sync!$C$5)&amp;"","")&amp;""))</f>
        <v/>
      </c>
      <c r="E1792" s="23" t="str">
        <f aca="false">IF(B1792="","",IFERROR(INDEX(Clay_Offices!$A$2:$FZ$601,141,Sync!$C$6)&amp;"",""))</f>
        <v/>
      </c>
      <c r="F1792" s="23" t="str">
        <f aca="false">IF(B1792="","","outreach_sent")</f>
        <v/>
      </c>
      <c r="G1792" s="23" t="str">
        <f aca="false">IF(B1792="","","")</f>
        <v/>
      </c>
      <c r="H1792" s="23" t="str">
        <f aca="false">IF(B1792="","","")</f>
        <v/>
      </c>
      <c r="I1792" s="23" t="str">
        <f aca="false">IF(B1792="","","")</f>
        <v/>
      </c>
      <c r="J1792" s="23" t="str">
        <f aca="false">IF(B1792="","","touch_1; "&amp;IFERROR(INDEX(Clay_Offices!$A$2:$FZ$601,141,Sync!$C$10)&amp;"","")&amp;"; "&amp;IFERROR(INDEX(Clay_Offices!$A$2:$FZ$601,141,Sync!$C$9)&amp;"",""))</f>
        <v/>
      </c>
      <c r="K1792" s="32" t="s">
        <v>1363</v>
      </c>
    </row>
    <row r="1793" customFormat="false" ht="15" hidden="false" customHeight="false" outlineLevel="0" collapsed="false">
      <c r="A1793" s="23" t="str">
        <f aca="false">IF(B1793="","",B1793+(12*1000+142)/10000000)</f>
        <v/>
      </c>
      <c r="B1793" s="35" t="str">
        <f aca="false">IF(AND(IFERROR(N(INDEX(Clay_Offices!$A$2:$FZ$601,142,Sync!$C$11)),0)&gt;0,IFERROR(INDEX(Clay_Offices!$A$2:$FZ$601,142,Sync!$C$5)&amp;"","")&lt;&gt;"",OR(LEFT(IFERROR(INDEX(Clay_Offices!$A$2:$FZ$601,142,Sync!$C$5)&amp;"",""),6)&lt;&gt;"SAMPLE",Config!$B$19="Y")),IFERROR(N(INDEX(Clay_Offices!$A$2:$FZ$601,142,Sync!$C$11)),0),"")</f>
        <v/>
      </c>
      <c r="C1793" s="23" t="str">
        <f aca="false">IF(B1793="","","office")</f>
        <v/>
      </c>
      <c r="D1793" s="23" t="str">
        <f aca="false">IF(B1793="","",IFERROR(INDEX(Office_Log!$ED$2:$ED$201,MATCH(IFERROR(INDEX(Clay_Offices!$A$2:$FZ$601,142,Sync!$C$5)&amp;"",""),Office_Log!$A$2:$A$201,0))&amp;"",IFERROR(INDEX(Clay_Offices!$A$2:$FZ$601,142,Sync!$C$5)&amp;"","")&amp;""))</f>
        <v/>
      </c>
      <c r="E1793" s="23" t="str">
        <f aca="false">IF(B1793="","",IFERROR(INDEX(Clay_Offices!$A$2:$FZ$601,142,Sync!$C$6)&amp;"",""))</f>
        <v/>
      </c>
      <c r="F1793" s="23" t="str">
        <f aca="false">IF(B1793="","","outreach_sent")</f>
        <v/>
      </c>
      <c r="G1793" s="23" t="str">
        <f aca="false">IF(B1793="","","")</f>
        <v/>
      </c>
      <c r="H1793" s="23" t="str">
        <f aca="false">IF(B1793="","","")</f>
        <v/>
      </c>
      <c r="I1793" s="23" t="str">
        <f aca="false">IF(B1793="","","")</f>
        <v/>
      </c>
      <c r="J1793" s="23" t="str">
        <f aca="false">IF(B1793="","","touch_1; "&amp;IFERROR(INDEX(Clay_Offices!$A$2:$FZ$601,142,Sync!$C$10)&amp;"","")&amp;"; "&amp;IFERROR(INDEX(Clay_Offices!$A$2:$FZ$601,142,Sync!$C$9)&amp;"",""))</f>
        <v/>
      </c>
      <c r="K1793" s="32" t="s">
        <v>1363</v>
      </c>
    </row>
    <row r="1794" customFormat="false" ht="15" hidden="false" customHeight="false" outlineLevel="0" collapsed="false">
      <c r="A1794" s="23" t="str">
        <f aca="false">IF(B1794="","",B1794+(12*1000+143)/10000000)</f>
        <v/>
      </c>
      <c r="B1794" s="35" t="str">
        <f aca="false">IF(AND(IFERROR(N(INDEX(Clay_Offices!$A$2:$FZ$601,143,Sync!$C$11)),0)&gt;0,IFERROR(INDEX(Clay_Offices!$A$2:$FZ$601,143,Sync!$C$5)&amp;"","")&lt;&gt;"",OR(LEFT(IFERROR(INDEX(Clay_Offices!$A$2:$FZ$601,143,Sync!$C$5)&amp;"",""),6)&lt;&gt;"SAMPLE",Config!$B$19="Y")),IFERROR(N(INDEX(Clay_Offices!$A$2:$FZ$601,143,Sync!$C$11)),0),"")</f>
        <v/>
      </c>
      <c r="C1794" s="23" t="str">
        <f aca="false">IF(B1794="","","office")</f>
        <v/>
      </c>
      <c r="D1794" s="23" t="str">
        <f aca="false">IF(B1794="","",IFERROR(INDEX(Office_Log!$ED$2:$ED$201,MATCH(IFERROR(INDEX(Clay_Offices!$A$2:$FZ$601,143,Sync!$C$5)&amp;"",""),Office_Log!$A$2:$A$201,0))&amp;"",IFERROR(INDEX(Clay_Offices!$A$2:$FZ$601,143,Sync!$C$5)&amp;"","")&amp;""))</f>
        <v/>
      </c>
      <c r="E1794" s="23" t="str">
        <f aca="false">IF(B1794="","",IFERROR(INDEX(Clay_Offices!$A$2:$FZ$601,143,Sync!$C$6)&amp;"",""))</f>
        <v/>
      </c>
      <c r="F1794" s="23" t="str">
        <f aca="false">IF(B1794="","","outreach_sent")</f>
        <v/>
      </c>
      <c r="G1794" s="23" t="str">
        <f aca="false">IF(B1794="","","")</f>
        <v/>
      </c>
      <c r="H1794" s="23" t="str">
        <f aca="false">IF(B1794="","","")</f>
        <v/>
      </c>
      <c r="I1794" s="23" t="str">
        <f aca="false">IF(B1794="","","")</f>
        <v/>
      </c>
      <c r="J1794" s="23" t="str">
        <f aca="false">IF(B1794="","","touch_1; "&amp;IFERROR(INDEX(Clay_Offices!$A$2:$FZ$601,143,Sync!$C$10)&amp;"","")&amp;"; "&amp;IFERROR(INDEX(Clay_Offices!$A$2:$FZ$601,143,Sync!$C$9)&amp;"",""))</f>
        <v/>
      </c>
      <c r="K1794" s="32" t="s">
        <v>1363</v>
      </c>
    </row>
    <row r="1795" customFormat="false" ht="15" hidden="false" customHeight="false" outlineLevel="0" collapsed="false">
      <c r="A1795" s="23" t="str">
        <f aca="false">IF(B1795="","",B1795+(12*1000+144)/10000000)</f>
        <v/>
      </c>
      <c r="B1795" s="35" t="str">
        <f aca="false">IF(AND(IFERROR(N(INDEX(Clay_Offices!$A$2:$FZ$601,144,Sync!$C$11)),0)&gt;0,IFERROR(INDEX(Clay_Offices!$A$2:$FZ$601,144,Sync!$C$5)&amp;"","")&lt;&gt;"",OR(LEFT(IFERROR(INDEX(Clay_Offices!$A$2:$FZ$601,144,Sync!$C$5)&amp;"",""),6)&lt;&gt;"SAMPLE",Config!$B$19="Y")),IFERROR(N(INDEX(Clay_Offices!$A$2:$FZ$601,144,Sync!$C$11)),0),"")</f>
        <v/>
      </c>
      <c r="C1795" s="23" t="str">
        <f aca="false">IF(B1795="","","office")</f>
        <v/>
      </c>
      <c r="D1795" s="23" t="str">
        <f aca="false">IF(B1795="","",IFERROR(INDEX(Office_Log!$ED$2:$ED$201,MATCH(IFERROR(INDEX(Clay_Offices!$A$2:$FZ$601,144,Sync!$C$5)&amp;"",""),Office_Log!$A$2:$A$201,0))&amp;"",IFERROR(INDEX(Clay_Offices!$A$2:$FZ$601,144,Sync!$C$5)&amp;"","")&amp;""))</f>
        <v/>
      </c>
      <c r="E1795" s="23" t="str">
        <f aca="false">IF(B1795="","",IFERROR(INDEX(Clay_Offices!$A$2:$FZ$601,144,Sync!$C$6)&amp;"",""))</f>
        <v/>
      </c>
      <c r="F1795" s="23" t="str">
        <f aca="false">IF(B1795="","","outreach_sent")</f>
        <v/>
      </c>
      <c r="G1795" s="23" t="str">
        <f aca="false">IF(B1795="","","")</f>
        <v/>
      </c>
      <c r="H1795" s="23" t="str">
        <f aca="false">IF(B1795="","","")</f>
        <v/>
      </c>
      <c r="I1795" s="23" t="str">
        <f aca="false">IF(B1795="","","")</f>
        <v/>
      </c>
      <c r="J1795" s="23" t="str">
        <f aca="false">IF(B1795="","","touch_1; "&amp;IFERROR(INDEX(Clay_Offices!$A$2:$FZ$601,144,Sync!$C$10)&amp;"","")&amp;"; "&amp;IFERROR(INDEX(Clay_Offices!$A$2:$FZ$601,144,Sync!$C$9)&amp;"",""))</f>
        <v/>
      </c>
      <c r="K1795" s="32" t="s">
        <v>1363</v>
      </c>
    </row>
    <row r="1796" customFormat="false" ht="15" hidden="false" customHeight="false" outlineLevel="0" collapsed="false">
      <c r="A1796" s="23" t="str">
        <f aca="false">IF(B1796="","",B1796+(12*1000+145)/10000000)</f>
        <v/>
      </c>
      <c r="B1796" s="35" t="str">
        <f aca="false">IF(AND(IFERROR(N(INDEX(Clay_Offices!$A$2:$FZ$601,145,Sync!$C$11)),0)&gt;0,IFERROR(INDEX(Clay_Offices!$A$2:$FZ$601,145,Sync!$C$5)&amp;"","")&lt;&gt;"",OR(LEFT(IFERROR(INDEX(Clay_Offices!$A$2:$FZ$601,145,Sync!$C$5)&amp;"",""),6)&lt;&gt;"SAMPLE",Config!$B$19="Y")),IFERROR(N(INDEX(Clay_Offices!$A$2:$FZ$601,145,Sync!$C$11)),0),"")</f>
        <v/>
      </c>
      <c r="C1796" s="23" t="str">
        <f aca="false">IF(B1796="","","office")</f>
        <v/>
      </c>
      <c r="D1796" s="23" t="str">
        <f aca="false">IF(B1796="","",IFERROR(INDEX(Office_Log!$ED$2:$ED$201,MATCH(IFERROR(INDEX(Clay_Offices!$A$2:$FZ$601,145,Sync!$C$5)&amp;"",""),Office_Log!$A$2:$A$201,0))&amp;"",IFERROR(INDEX(Clay_Offices!$A$2:$FZ$601,145,Sync!$C$5)&amp;"","")&amp;""))</f>
        <v/>
      </c>
      <c r="E1796" s="23" t="str">
        <f aca="false">IF(B1796="","",IFERROR(INDEX(Clay_Offices!$A$2:$FZ$601,145,Sync!$C$6)&amp;"",""))</f>
        <v/>
      </c>
      <c r="F1796" s="23" t="str">
        <f aca="false">IF(B1796="","","outreach_sent")</f>
        <v/>
      </c>
      <c r="G1796" s="23" t="str">
        <f aca="false">IF(B1796="","","")</f>
        <v/>
      </c>
      <c r="H1796" s="23" t="str">
        <f aca="false">IF(B1796="","","")</f>
        <v/>
      </c>
      <c r="I1796" s="23" t="str">
        <f aca="false">IF(B1796="","","")</f>
        <v/>
      </c>
      <c r="J1796" s="23" t="str">
        <f aca="false">IF(B1796="","","touch_1; "&amp;IFERROR(INDEX(Clay_Offices!$A$2:$FZ$601,145,Sync!$C$10)&amp;"","")&amp;"; "&amp;IFERROR(INDEX(Clay_Offices!$A$2:$FZ$601,145,Sync!$C$9)&amp;"",""))</f>
        <v/>
      </c>
      <c r="K1796" s="32" t="s">
        <v>1363</v>
      </c>
    </row>
    <row r="1797" customFormat="false" ht="15" hidden="false" customHeight="false" outlineLevel="0" collapsed="false">
      <c r="A1797" s="23" t="str">
        <f aca="false">IF(B1797="","",B1797+(12*1000+146)/10000000)</f>
        <v/>
      </c>
      <c r="B1797" s="35" t="str">
        <f aca="false">IF(AND(IFERROR(N(INDEX(Clay_Offices!$A$2:$FZ$601,146,Sync!$C$11)),0)&gt;0,IFERROR(INDEX(Clay_Offices!$A$2:$FZ$601,146,Sync!$C$5)&amp;"","")&lt;&gt;"",OR(LEFT(IFERROR(INDEX(Clay_Offices!$A$2:$FZ$601,146,Sync!$C$5)&amp;"",""),6)&lt;&gt;"SAMPLE",Config!$B$19="Y")),IFERROR(N(INDEX(Clay_Offices!$A$2:$FZ$601,146,Sync!$C$11)),0),"")</f>
        <v/>
      </c>
      <c r="C1797" s="23" t="str">
        <f aca="false">IF(B1797="","","office")</f>
        <v/>
      </c>
      <c r="D1797" s="23" t="str">
        <f aca="false">IF(B1797="","",IFERROR(INDEX(Office_Log!$ED$2:$ED$201,MATCH(IFERROR(INDEX(Clay_Offices!$A$2:$FZ$601,146,Sync!$C$5)&amp;"",""),Office_Log!$A$2:$A$201,0))&amp;"",IFERROR(INDEX(Clay_Offices!$A$2:$FZ$601,146,Sync!$C$5)&amp;"","")&amp;""))</f>
        <v/>
      </c>
      <c r="E1797" s="23" t="str">
        <f aca="false">IF(B1797="","",IFERROR(INDEX(Clay_Offices!$A$2:$FZ$601,146,Sync!$C$6)&amp;"",""))</f>
        <v/>
      </c>
      <c r="F1797" s="23" t="str">
        <f aca="false">IF(B1797="","","outreach_sent")</f>
        <v/>
      </c>
      <c r="G1797" s="23" t="str">
        <f aca="false">IF(B1797="","","")</f>
        <v/>
      </c>
      <c r="H1797" s="23" t="str">
        <f aca="false">IF(B1797="","","")</f>
        <v/>
      </c>
      <c r="I1797" s="23" t="str">
        <f aca="false">IF(B1797="","","")</f>
        <v/>
      </c>
      <c r="J1797" s="23" t="str">
        <f aca="false">IF(B1797="","","touch_1; "&amp;IFERROR(INDEX(Clay_Offices!$A$2:$FZ$601,146,Sync!$C$10)&amp;"","")&amp;"; "&amp;IFERROR(INDEX(Clay_Offices!$A$2:$FZ$601,146,Sync!$C$9)&amp;"",""))</f>
        <v/>
      </c>
      <c r="K1797" s="32" t="s">
        <v>1363</v>
      </c>
    </row>
    <row r="1798" customFormat="false" ht="15" hidden="false" customHeight="false" outlineLevel="0" collapsed="false">
      <c r="A1798" s="23" t="str">
        <f aca="false">IF(B1798="","",B1798+(12*1000+147)/10000000)</f>
        <v/>
      </c>
      <c r="B1798" s="35" t="str">
        <f aca="false">IF(AND(IFERROR(N(INDEX(Clay_Offices!$A$2:$FZ$601,147,Sync!$C$11)),0)&gt;0,IFERROR(INDEX(Clay_Offices!$A$2:$FZ$601,147,Sync!$C$5)&amp;"","")&lt;&gt;"",OR(LEFT(IFERROR(INDEX(Clay_Offices!$A$2:$FZ$601,147,Sync!$C$5)&amp;"",""),6)&lt;&gt;"SAMPLE",Config!$B$19="Y")),IFERROR(N(INDEX(Clay_Offices!$A$2:$FZ$601,147,Sync!$C$11)),0),"")</f>
        <v/>
      </c>
      <c r="C1798" s="23" t="str">
        <f aca="false">IF(B1798="","","office")</f>
        <v/>
      </c>
      <c r="D1798" s="23" t="str">
        <f aca="false">IF(B1798="","",IFERROR(INDEX(Office_Log!$ED$2:$ED$201,MATCH(IFERROR(INDEX(Clay_Offices!$A$2:$FZ$601,147,Sync!$C$5)&amp;"",""),Office_Log!$A$2:$A$201,0))&amp;"",IFERROR(INDEX(Clay_Offices!$A$2:$FZ$601,147,Sync!$C$5)&amp;"","")&amp;""))</f>
        <v/>
      </c>
      <c r="E1798" s="23" t="str">
        <f aca="false">IF(B1798="","",IFERROR(INDEX(Clay_Offices!$A$2:$FZ$601,147,Sync!$C$6)&amp;"",""))</f>
        <v/>
      </c>
      <c r="F1798" s="23" t="str">
        <f aca="false">IF(B1798="","","outreach_sent")</f>
        <v/>
      </c>
      <c r="G1798" s="23" t="str">
        <f aca="false">IF(B1798="","","")</f>
        <v/>
      </c>
      <c r="H1798" s="23" t="str">
        <f aca="false">IF(B1798="","","")</f>
        <v/>
      </c>
      <c r="I1798" s="23" t="str">
        <f aca="false">IF(B1798="","","")</f>
        <v/>
      </c>
      <c r="J1798" s="23" t="str">
        <f aca="false">IF(B1798="","","touch_1; "&amp;IFERROR(INDEX(Clay_Offices!$A$2:$FZ$601,147,Sync!$C$10)&amp;"","")&amp;"; "&amp;IFERROR(INDEX(Clay_Offices!$A$2:$FZ$601,147,Sync!$C$9)&amp;"",""))</f>
        <v/>
      </c>
      <c r="K1798" s="32" t="s">
        <v>1363</v>
      </c>
    </row>
    <row r="1799" customFormat="false" ht="15" hidden="false" customHeight="false" outlineLevel="0" collapsed="false">
      <c r="A1799" s="23" t="str">
        <f aca="false">IF(B1799="","",B1799+(12*1000+148)/10000000)</f>
        <v/>
      </c>
      <c r="B1799" s="35" t="str">
        <f aca="false">IF(AND(IFERROR(N(INDEX(Clay_Offices!$A$2:$FZ$601,148,Sync!$C$11)),0)&gt;0,IFERROR(INDEX(Clay_Offices!$A$2:$FZ$601,148,Sync!$C$5)&amp;"","")&lt;&gt;"",OR(LEFT(IFERROR(INDEX(Clay_Offices!$A$2:$FZ$601,148,Sync!$C$5)&amp;"",""),6)&lt;&gt;"SAMPLE",Config!$B$19="Y")),IFERROR(N(INDEX(Clay_Offices!$A$2:$FZ$601,148,Sync!$C$11)),0),"")</f>
        <v/>
      </c>
      <c r="C1799" s="23" t="str">
        <f aca="false">IF(B1799="","","office")</f>
        <v/>
      </c>
      <c r="D1799" s="23" t="str">
        <f aca="false">IF(B1799="","",IFERROR(INDEX(Office_Log!$ED$2:$ED$201,MATCH(IFERROR(INDEX(Clay_Offices!$A$2:$FZ$601,148,Sync!$C$5)&amp;"",""),Office_Log!$A$2:$A$201,0))&amp;"",IFERROR(INDEX(Clay_Offices!$A$2:$FZ$601,148,Sync!$C$5)&amp;"","")&amp;""))</f>
        <v/>
      </c>
      <c r="E1799" s="23" t="str">
        <f aca="false">IF(B1799="","",IFERROR(INDEX(Clay_Offices!$A$2:$FZ$601,148,Sync!$C$6)&amp;"",""))</f>
        <v/>
      </c>
      <c r="F1799" s="23" t="str">
        <f aca="false">IF(B1799="","","outreach_sent")</f>
        <v/>
      </c>
      <c r="G1799" s="23" t="str">
        <f aca="false">IF(B1799="","","")</f>
        <v/>
      </c>
      <c r="H1799" s="23" t="str">
        <f aca="false">IF(B1799="","","")</f>
        <v/>
      </c>
      <c r="I1799" s="23" t="str">
        <f aca="false">IF(B1799="","","")</f>
        <v/>
      </c>
      <c r="J1799" s="23" t="str">
        <f aca="false">IF(B1799="","","touch_1; "&amp;IFERROR(INDEX(Clay_Offices!$A$2:$FZ$601,148,Sync!$C$10)&amp;"","")&amp;"; "&amp;IFERROR(INDEX(Clay_Offices!$A$2:$FZ$601,148,Sync!$C$9)&amp;"",""))</f>
        <v/>
      </c>
      <c r="K1799" s="32" t="s">
        <v>1363</v>
      </c>
    </row>
    <row r="1800" customFormat="false" ht="15" hidden="false" customHeight="false" outlineLevel="0" collapsed="false">
      <c r="A1800" s="23" t="str">
        <f aca="false">IF(B1800="","",B1800+(12*1000+149)/10000000)</f>
        <v/>
      </c>
      <c r="B1800" s="35" t="str">
        <f aca="false">IF(AND(IFERROR(N(INDEX(Clay_Offices!$A$2:$FZ$601,149,Sync!$C$11)),0)&gt;0,IFERROR(INDEX(Clay_Offices!$A$2:$FZ$601,149,Sync!$C$5)&amp;"","")&lt;&gt;"",OR(LEFT(IFERROR(INDEX(Clay_Offices!$A$2:$FZ$601,149,Sync!$C$5)&amp;"",""),6)&lt;&gt;"SAMPLE",Config!$B$19="Y")),IFERROR(N(INDEX(Clay_Offices!$A$2:$FZ$601,149,Sync!$C$11)),0),"")</f>
        <v/>
      </c>
      <c r="C1800" s="23" t="str">
        <f aca="false">IF(B1800="","","office")</f>
        <v/>
      </c>
      <c r="D1800" s="23" t="str">
        <f aca="false">IF(B1800="","",IFERROR(INDEX(Office_Log!$ED$2:$ED$201,MATCH(IFERROR(INDEX(Clay_Offices!$A$2:$FZ$601,149,Sync!$C$5)&amp;"",""),Office_Log!$A$2:$A$201,0))&amp;"",IFERROR(INDEX(Clay_Offices!$A$2:$FZ$601,149,Sync!$C$5)&amp;"","")&amp;""))</f>
        <v/>
      </c>
      <c r="E1800" s="23" t="str">
        <f aca="false">IF(B1800="","",IFERROR(INDEX(Clay_Offices!$A$2:$FZ$601,149,Sync!$C$6)&amp;"",""))</f>
        <v/>
      </c>
      <c r="F1800" s="23" t="str">
        <f aca="false">IF(B1800="","","outreach_sent")</f>
        <v/>
      </c>
      <c r="G1800" s="23" t="str">
        <f aca="false">IF(B1800="","","")</f>
        <v/>
      </c>
      <c r="H1800" s="23" t="str">
        <f aca="false">IF(B1800="","","")</f>
        <v/>
      </c>
      <c r="I1800" s="23" t="str">
        <f aca="false">IF(B1800="","","")</f>
        <v/>
      </c>
      <c r="J1800" s="23" t="str">
        <f aca="false">IF(B1800="","","touch_1; "&amp;IFERROR(INDEX(Clay_Offices!$A$2:$FZ$601,149,Sync!$C$10)&amp;"","")&amp;"; "&amp;IFERROR(INDEX(Clay_Offices!$A$2:$FZ$601,149,Sync!$C$9)&amp;"",""))</f>
        <v/>
      </c>
      <c r="K1800" s="32" t="s">
        <v>1363</v>
      </c>
    </row>
    <row r="1801" customFormat="false" ht="15" hidden="false" customHeight="false" outlineLevel="0" collapsed="false">
      <c r="A1801" s="23" t="str">
        <f aca="false">IF(B1801="","",B1801+(12*1000+150)/10000000)</f>
        <v/>
      </c>
      <c r="B1801" s="35" t="str">
        <f aca="false">IF(AND(IFERROR(N(INDEX(Clay_Offices!$A$2:$FZ$601,150,Sync!$C$11)),0)&gt;0,IFERROR(INDEX(Clay_Offices!$A$2:$FZ$601,150,Sync!$C$5)&amp;"","")&lt;&gt;"",OR(LEFT(IFERROR(INDEX(Clay_Offices!$A$2:$FZ$601,150,Sync!$C$5)&amp;"",""),6)&lt;&gt;"SAMPLE",Config!$B$19="Y")),IFERROR(N(INDEX(Clay_Offices!$A$2:$FZ$601,150,Sync!$C$11)),0),"")</f>
        <v/>
      </c>
      <c r="C1801" s="23" t="str">
        <f aca="false">IF(B1801="","","office")</f>
        <v/>
      </c>
      <c r="D1801" s="23" t="str">
        <f aca="false">IF(B1801="","",IFERROR(INDEX(Office_Log!$ED$2:$ED$201,MATCH(IFERROR(INDEX(Clay_Offices!$A$2:$FZ$601,150,Sync!$C$5)&amp;"",""),Office_Log!$A$2:$A$201,0))&amp;"",IFERROR(INDEX(Clay_Offices!$A$2:$FZ$601,150,Sync!$C$5)&amp;"","")&amp;""))</f>
        <v/>
      </c>
      <c r="E1801" s="23" t="str">
        <f aca="false">IF(B1801="","",IFERROR(INDEX(Clay_Offices!$A$2:$FZ$601,150,Sync!$C$6)&amp;"",""))</f>
        <v/>
      </c>
      <c r="F1801" s="23" t="str">
        <f aca="false">IF(B1801="","","outreach_sent")</f>
        <v/>
      </c>
      <c r="G1801" s="23" t="str">
        <f aca="false">IF(B1801="","","")</f>
        <v/>
      </c>
      <c r="H1801" s="23" t="str">
        <f aca="false">IF(B1801="","","")</f>
        <v/>
      </c>
      <c r="I1801" s="23" t="str">
        <f aca="false">IF(B1801="","","")</f>
        <v/>
      </c>
      <c r="J1801" s="23" t="str">
        <f aca="false">IF(B1801="","","touch_1; "&amp;IFERROR(INDEX(Clay_Offices!$A$2:$FZ$601,150,Sync!$C$10)&amp;"","")&amp;"; "&amp;IFERROR(INDEX(Clay_Offices!$A$2:$FZ$601,150,Sync!$C$9)&amp;"",""))</f>
        <v/>
      </c>
      <c r="K1801" s="32" t="s">
        <v>1363</v>
      </c>
    </row>
    <row r="1802" customFormat="false" ht="15" hidden="false" customHeight="false" outlineLevel="0" collapsed="false">
      <c r="A1802" s="23" t="str">
        <f aca="false">IF(B1802="","",B1802+(12*1000+151)/10000000)</f>
        <v/>
      </c>
      <c r="B1802" s="35" t="str">
        <f aca="false">IF(AND(IFERROR(N(INDEX(Clay_Offices!$A$2:$FZ$601,151,Sync!$C$11)),0)&gt;0,IFERROR(INDEX(Clay_Offices!$A$2:$FZ$601,151,Sync!$C$5)&amp;"","")&lt;&gt;"",OR(LEFT(IFERROR(INDEX(Clay_Offices!$A$2:$FZ$601,151,Sync!$C$5)&amp;"",""),6)&lt;&gt;"SAMPLE",Config!$B$19="Y")),IFERROR(N(INDEX(Clay_Offices!$A$2:$FZ$601,151,Sync!$C$11)),0),"")</f>
        <v/>
      </c>
      <c r="C1802" s="23" t="str">
        <f aca="false">IF(B1802="","","office")</f>
        <v/>
      </c>
      <c r="D1802" s="23" t="str">
        <f aca="false">IF(B1802="","",IFERROR(INDEX(Office_Log!$ED$2:$ED$201,MATCH(IFERROR(INDEX(Clay_Offices!$A$2:$FZ$601,151,Sync!$C$5)&amp;"",""),Office_Log!$A$2:$A$201,0))&amp;"",IFERROR(INDEX(Clay_Offices!$A$2:$FZ$601,151,Sync!$C$5)&amp;"","")&amp;""))</f>
        <v/>
      </c>
      <c r="E1802" s="23" t="str">
        <f aca="false">IF(B1802="","",IFERROR(INDEX(Clay_Offices!$A$2:$FZ$601,151,Sync!$C$6)&amp;"",""))</f>
        <v/>
      </c>
      <c r="F1802" s="23" t="str">
        <f aca="false">IF(B1802="","","outreach_sent")</f>
        <v/>
      </c>
      <c r="G1802" s="23" t="str">
        <f aca="false">IF(B1802="","","")</f>
        <v/>
      </c>
      <c r="H1802" s="23" t="str">
        <f aca="false">IF(B1802="","","")</f>
        <v/>
      </c>
      <c r="I1802" s="23" t="str">
        <f aca="false">IF(B1802="","","")</f>
        <v/>
      </c>
      <c r="J1802" s="23" t="str">
        <f aca="false">IF(B1802="","","touch_1; "&amp;IFERROR(INDEX(Clay_Offices!$A$2:$FZ$601,151,Sync!$C$10)&amp;"","")&amp;"; "&amp;IFERROR(INDEX(Clay_Offices!$A$2:$FZ$601,151,Sync!$C$9)&amp;"",""))</f>
        <v/>
      </c>
      <c r="K1802" s="32" t="s">
        <v>1363</v>
      </c>
    </row>
    <row r="1803" customFormat="false" ht="15" hidden="false" customHeight="false" outlineLevel="0" collapsed="false">
      <c r="A1803" s="23" t="str">
        <f aca="false">IF(B1803="","",B1803+(12*1000+152)/10000000)</f>
        <v/>
      </c>
      <c r="B1803" s="35" t="str">
        <f aca="false">IF(AND(IFERROR(N(INDEX(Clay_Offices!$A$2:$FZ$601,152,Sync!$C$11)),0)&gt;0,IFERROR(INDEX(Clay_Offices!$A$2:$FZ$601,152,Sync!$C$5)&amp;"","")&lt;&gt;"",OR(LEFT(IFERROR(INDEX(Clay_Offices!$A$2:$FZ$601,152,Sync!$C$5)&amp;"",""),6)&lt;&gt;"SAMPLE",Config!$B$19="Y")),IFERROR(N(INDEX(Clay_Offices!$A$2:$FZ$601,152,Sync!$C$11)),0),"")</f>
        <v/>
      </c>
      <c r="C1803" s="23" t="str">
        <f aca="false">IF(B1803="","","office")</f>
        <v/>
      </c>
      <c r="D1803" s="23" t="str">
        <f aca="false">IF(B1803="","",IFERROR(INDEX(Office_Log!$ED$2:$ED$201,MATCH(IFERROR(INDEX(Clay_Offices!$A$2:$FZ$601,152,Sync!$C$5)&amp;"",""),Office_Log!$A$2:$A$201,0))&amp;"",IFERROR(INDEX(Clay_Offices!$A$2:$FZ$601,152,Sync!$C$5)&amp;"","")&amp;""))</f>
        <v/>
      </c>
      <c r="E1803" s="23" t="str">
        <f aca="false">IF(B1803="","",IFERROR(INDEX(Clay_Offices!$A$2:$FZ$601,152,Sync!$C$6)&amp;"",""))</f>
        <v/>
      </c>
      <c r="F1803" s="23" t="str">
        <f aca="false">IF(B1803="","","outreach_sent")</f>
        <v/>
      </c>
      <c r="G1803" s="23" t="str">
        <f aca="false">IF(B1803="","","")</f>
        <v/>
      </c>
      <c r="H1803" s="23" t="str">
        <f aca="false">IF(B1803="","","")</f>
        <v/>
      </c>
      <c r="I1803" s="23" t="str">
        <f aca="false">IF(B1803="","","")</f>
        <v/>
      </c>
      <c r="J1803" s="23" t="str">
        <f aca="false">IF(B1803="","","touch_1; "&amp;IFERROR(INDEX(Clay_Offices!$A$2:$FZ$601,152,Sync!$C$10)&amp;"","")&amp;"; "&amp;IFERROR(INDEX(Clay_Offices!$A$2:$FZ$601,152,Sync!$C$9)&amp;"",""))</f>
        <v/>
      </c>
      <c r="K1803" s="32" t="s">
        <v>1363</v>
      </c>
    </row>
    <row r="1804" customFormat="false" ht="15" hidden="false" customHeight="false" outlineLevel="0" collapsed="false">
      <c r="A1804" s="23" t="str">
        <f aca="false">IF(B1804="","",B1804+(12*1000+153)/10000000)</f>
        <v/>
      </c>
      <c r="B1804" s="35" t="str">
        <f aca="false">IF(AND(IFERROR(N(INDEX(Clay_Offices!$A$2:$FZ$601,153,Sync!$C$11)),0)&gt;0,IFERROR(INDEX(Clay_Offices!$A$2:$FZ$601,153,Sync!$C$5)&amp;"","")&lt;&gt;"",OR(LEFT(IFERROR(INDEX(Clay_Offices!$A$2:$FZ$601,153,Sync!$C$5)&amp;"",""),6)&lt;&gt;"SAMPLE",Config!$B$19="Y")),IFERROR(N(INDEX(Clay_Offices!$A$2:$FZ$601,153,Sync!$C$11)),0),"")</f>
        <v/>
      </c>
      <c r="C1804" s="23" t="str">
        <f aca="false">IF(B1804="","","office")</f>
        <v/>
      </c>
      <c r="D1804" s="23" t="str">
        <f aca="false">IF(B1804="","",IFERROR(INDEX(Office_Log!$ED$2:$ED$201,MATCH(IFERROR(INDEX(Clay_Offices!$A$2:$FZ$601,153,Sync!$C$5)&amp;"",""),Office_Log!$A$2:$A$201,0))&amp;"",IFERROR(INDEX(Clay_Offices!$A$2:$FZ$601,153,Sync!$C$5)&amp;"","")&amp;""))</f>
        <v/>
      </c>
      <c r="E1804" s="23" t="str">
        <f aca="false">IF(B1804="","",IFERROR(INDEX(Clay_Offices!$A$2:$FZ$601,153,Sync!$C$6)&amp;"",""))</f>
        <v/>
      </c>
      <c r="F1804" s="23" t="str">
        <f aca="false">IF(B1804="","","outreach_sent")</f>
        <v/>
      </c>
      <c r="G1804" s="23" t="str">
        <f aca="false">IF(B1804="","","")</f>
        <v/>
      </c>
      <c r="H1804" s="23" t="str">
        <f aca="false">IF(B1804="","","")</f>
        <v/>
      </c>
      <c r="I1804" s="23" t="str">
        <f aca="false">IF(B1804="","","")</f>
        <v/>
      </c>
      <c r="J1804" s="23" t="str">
        <f aca="false">IF(B1804="","","touch_1; "&amp;IFERROR(INDEX(Clay_Offices!$A$2:$FZ$601,153,Sync!$C$10)&amp;"","")&amp;"; "&amp;IFERROR(INDEX(Clay_Offices!$A$2:$FZ$601,153,Sync!$C$9)&amp;"",""))</f>
        <v/>
      </c>
      <c r="K1804" s="32" t="s">
        <v>1363</v>
      </c>
    </row>
    <row r="1805" customFormat="false" ht="15" hidden="false" customHeight="false" outlineLevel="0" collapsed="false">
      <c r="A1805" s="23" t="str">
        <f aca="false">IF(B1805="","",B1805+(12*1000+154)/10000000)</f>
        <v/>
      </c>
      <c r="B1805" s="35" t="str">
        <f aca="false">IF(AND(IFERROR(N(INDEX(Clay_Offices!$A$2:$FZ$601,154,Sync!$C$11)),0)&gt;0,IFERROR(INDEX(Clay_Offices!$A$2:$FZ$601,154,Sync!$C$5)&amp;"","")&lt;&gt;"",OR(LEFT(IFERROR(INDEX(Clay_Offices!$A$2:$FZ$601,154,Sync!$C$5)&amp;"",""),6)&lt;&gt;"SAMPLE",Config!$B$19="Y")),IFERROR(N(INDEX(Clay_Offices!$A$2:$FZ$601,154,Sync!$C$11)),0),"")</f>
        <v/>
      </c>
      <c r="C1805" s="23" t="str">
        <f aca="false">IF(B1805="","","office")</f>
        <v/>
      </c>
      <c r="D1805" s="23" t="str">
        <f aca="false">IF(B1805="","",IFERROR(INDEX(Office_Log!$ED$2:$ED$201,MATCH(IFERROR(INDEX(Clay_Offices!$A$2:$FZ$601,154,Sync!$C$5)&amp;"",""),Office_Log!$A$2:$A$201,0))&amp;"",IFERROR(INDEX(Clay_Offices!$A$2:$FZ$601,154,Sync!$C$5)&amp;"","")&amp;""))</f>
        <v/>
      </c>
      <c r="E1805" s="23" t="str">
        <f aca="false">IF(B1805="","",IFERROR(INDEX(Clay_Offices!$A$2:$FZ$601,154,Sync!$C$6)&amp;"",""))</f>
        <v/>
      </c>
      <c r="F1805" s="23" t="str">
        <f aca="false">IF(B1805="","","outreach_sent")</f>
        <v/>
      </c>
      <c r="G1805" s="23" t="str">
        <f aca="false">IF(B1805="","","")</f>
        <v/>
      </c>
      <c r="H1805" s="23" t="str">
        <f aca="false">IF(B1805="","","")</f>
        <v/>
      </c>
      <c r="I1805" s="23" t="str">
        <f aca="false">IF(B1805="","","")</f>
        <v/>
      </c>
      <c r="J1805" s="23" t="str">
        <f aca="false">IF(B1805="","","touch_1; "&amp;IFERROR(INDEX(Clay_Offices!$A$2:$FZ$601,154,Sync!$C$10)&amp;"","")&amp;"; "&amp;IFERROR(INDEX(Clay_Offices!$A$2:$FZ$601,154,Sync!$C$9)&amp;"",""))</f>
        <v/>
      </c>
      <c r="K1805" s="32" t="s">
        <v>1363</v>
      </c>
    </row>
    <row r="1806" customFormat="false" ht="15" hidden="false" customHeight="false" outlineLevel="0" collapsed="false">
      <c r="A1806" s="23" t="str">
        <f aca="false">IF(B1806="","",B1806+(12*1000+155)/10000000)</f>
        <v/>
      </c>
      <c r="B1806" s="35" t="str">
        <f aca="false">IF(AND(IFERROR(N(INDEX(Clay_Offices!$A$2:$FZ$601,155,Sync!$C$11)),0)&gt;0,IFERROR(INDEX(Clay_Offices!$A$2:$FZ$601,155,Sync!$C$5)&amp;"","")&lt;&gt;"",OR(LEFT(IFERROR(INDEX(Clay_Offices!$A$2:$FZ$601,155,Sync!$C$5)&amp;"",""),6)&lt;&gt;"SAMPLE",Config!$B$19="Y")),IFERROR(N(INDEX(Clay_Offices!$A$2:$FZ$601,155,Sync!$C$11)),0),"")</f>
        <v/>
      </c>
      <c r="C1806" s="23" t="str">
        <f aca="false">IF(B1806="","","office")</f>
        <v/>
      </c>
      <c r="D1806" s="23" t="str">
        <f aca="false">IF(B1806="","",IFERROR(INDEX(Office_Log!$ED$2:$ED$201,MATCH(IFERROR(INDEX(Clay_Offices!$A$2:$FZ$601,155,Sync!$C$5)&amp;"",""),Office_Log!$A$2:$A$201,0))&amp;"",IFERROR(INDEX(Clay_Offices!$A$2:$FZ$601,155,Sync!$C$5)&amp;"","")&amp;""))</f>
        <v/>
      </c>
      <c r="E1806" s="23" t="str">
        <f aca="false">IF(B1806="","",IFERROR(INDEX(Clay_Offices!$A$2:$FZ$601,155,Sync!$C$6)&amp;"",""))</f>
        <v/>
      </c>
      <c r="F1806" s="23" t="str">
        <f aca="false">IF(B1806="","","outreach_sent")</f>
        <v/>
      </c>
      <c r="G1806" s="23" t="str">
        <f aca="false">IF(B1806="","","")</f>
        <v/>
      </c>
      <c r="H1806" s="23" t="str">
        <f aca="false">IF(B1806="","","")</f>
        <v/>
      </c>
      <c r="I1806" s="23" t="str">
        <f aca="false">IF(B1806="","","")</f>
        <v/>
      </c>
      <c r="J1806" s="23" t="str">
        <f aca="false">IF(B1806="","","touch_1; "&amp;IFERROR(INDEX(Clay_Offices!$A$2:$FZ$601,155,Sync!$C$10)&amp;"","")&amp;"; "&amp;IFERROR(INDEX(Clay_Offices!$A$2:$FZ$601,155,Sync!$C$9)&amp;"",""))</f>
        <v/>
      </c>
      <c r="K1806" s="32" t="s">
        <v>1363</v>
      </c>
    </row>
    <row r="1807" customFormat="false" ht="15" hidden="false" customHeight="false" outlineLevel="0" collapsed="false">
      <c r="A1807" s="23" t="str">
        <f aca="false">IF(B1807="","",B1807+(12*1000+156)/10000000)</f>
        <v/>
      </c>
      <c r="B1807" s="35" t="str">
        <f aca="false">IF(AND(IFERROR(N(INDEX(Clay_Offices!$A$2:$FZ$601,156,Sync!$C$11)),0)&gt;0,IFERROR(INDEX(Clay_Offices!$A$2:$FZ$601,156,Sync!$C$5)&amp;"","")&lt;&gt;"",OR(LEFT(IFERROR(INDEX(Clay_Offices!$A$2:$FZ$601,156,Sync!$C$5)&amp;"",""),6)&lt;&gt;"SAMPLE",Config!$B$19="Y")),IFERROR(N(INDEX(Clay_Offices!$A$2:$FZ$601,156,Sync!$C$11)),0),"")</f>
        <v/>
      </c>
      <c r="C1807" s="23" t="str">
        <f aca="false">IF(B1807="","","office")</f>
        <v/>
      </c>
      <c r="D1807" s="23" t="str">
        <f aca="false">IF(B1807="","",IFERROR(INDEX(Office_Log!$ED$2:$ED$201,MATCH(IFERROR(INDEX(Clay_Offices!$A$2:$FZ$601,156,Sync!$C$5)&amp;"",""),Office_Log!$A$2:$A$201,0))&amp;"",IFERROR(INDEX(Clay_Offices!$A$2:$FZ$601,156,Sync!$C$5)&amp;"","")&amp;""))</f>
        <v/>
      </c>
      <c r="E1807" s="23" t="str">
        <f aca="false">IF(B1807="","",IFERROR(INDEX(Clay_Offices!$A$2:$FZ$601,156,Sync!$C$6)&amp;"",""))</f>
        <v/>
      </c>
      <c r="F1807" s="23" t="str">
        <f aca="false">IF(B1807="","","outreach_sent")</f>
        <v/>
      </c>
      <c r="G1807" s="23" t="str">
        <f aca="false">IF(B1807="","","")</f>
        <v/>
      </c>
      <c r="H1807" s="23" t="str">
        <f aca="false">IF(B1807="","","")</f>
        <v/>
      </c>
      <c r="I1807" s="23" t="str">
        <f aca="false">IF(B1807="","","")</f>
        <v/>
      </c>
      <c r="J1807" s="23" t="str">
        <f aca="false">IF(B1807="","","touch_1; "&amp;IFERROR(INDEX(Clay_Offices!$A$2:$FZ$601,156,Sync!$C$10)&amp;"","")&amp;"; "&amp;IFERROR(INDEX(Clay_Offices!$A$2:$FZ$601,156,Sync!$C$9)&amp;"",""))</f>
        <v/>
      </c>
      <c r="K1807" s="32" t="s">
        <v>1363</v>
      </c>
    </row>
    <row r="1808" customFormat="false" ht="15" hidden="false" customHeight="false" outlineLevel="0" collapsed="false">
      <c r="A1808" s="23" t="str">
        <f aca="false">IF(B1808="","",B1808+(12*1000+157)/10000000)</f>
        <v/>
      </c>
      <c r="B1808" s="35" t="str">
        <f aca="false">IF(AND(IFERROR(N(INDEX(Clay_Offices!$A$2:$FZ$601,157,Sync!$C$11)),0)&gt;0,IFERROR(INDEX(Clay_Offices!$A$2:$FZ$601,157,Sync!$C$5)&amp;"","")&lt;&gt;"",OR(LEFT(IFERROR(INDEX(Clay_Offices!$A$2:$FZ$601,157,Sync!$C$5)&amp;"",""),6)&lt;&gt;"SAMPLE",Config!$B$19="Y")),IFERROR(N(INDEX(Clay_Offices!$A$2:$FZ$601,157,Sync!$C$11)),0),"")</f>
        <v/>
      </c>
      <c r="C1808" s="23" t="str">
        <f aca="false">IF(B1808="","","office")</f>
        <v/>
      </c>
      <c r="D1808" s="23" t="str">
        <f aca="false">IF(B1808="","",IFERROR(INDEX(Office_Log!$ED$2:$ED$201,MATCH(IFERROR(INDEX(Clay_Offices!$A$2:$FZ$601,157,Sync!$C$5)&amp;"",""),Office_Log!$A$2:$A$201,0))&amp;"",IFERROR(INDEX(Clay_Offices!$A$2:$FZ$601,157,Sync!$C$5)&amp;"","")&amp;""))</f>
        <v/>
      </c>
      <c r="E1808" s="23" t="str">
        <f aca="false">IF(B1808="","",IFERROR(INDEX(Clay_Offices!$A$2:$FZ$601,157,Sync!$C$6)&amp;"",""))</f>
        <v/>
      </c>
      <c r="F1808" s="23" t="str">
        <f aca="false">IF(B1808="","","outreach_sent")</f>
        <v/>
      </c>
      <c r="G1808" s="23" t="str">
        <f aca="false">IF(B1808="","","")</f>
        <v/>
      </c>
      <c r="H1808" s="23" t="str">
        <f aca="false">IF(B1808="","","")</f>
        <v/>
      </c>
      <c r="I1808" s="23" t="str">
        <f aca="false">IF(B1808="","","")</f>
        <v/>
      </c>
      <c r="J1808" s="23" t="str">
        <f aca="false">IF(B1808="","","touch_1; "&amp;IFERROR(INDEX(Clay_Offices!$A$2:$FZ$601,157,Sync!$C$10)&amp;"","")&amp;"; "&amp;IFERROR(INDEX(Clay_Offices!$A$2:$FZ$601,157,Sync!$C$9)&amp;"",""))</f>
        <v/>
      </c>
      <c r="K1808" s="32" t="s">
        <v>1363</v>
      </c>
    </row>
    <row r="1809" customFormat="false" ht="15" hidden="false" customHeight="false" outlineLevel="0" collapsed="false">
      <c r="A1809" s="23" t="str">
        <f aca="false">IF(B1809="","",B1809+(12*1000+158)/10000000)</f>
        <v/>
      </c>
      <c r="B1809" s="35" t="str">
        <f aca="false">IF(AND(IFERROR(N(INDEX(Clay_Offices!$A$2:$FZ$601,158,Sync!$C$11)),0)&gt;0,IFERROR(INDEX(Clay_Offices!$A$2:$FZ$601,158,Sync!$C$5)&amp;"","")&lt;&gt;"",OR(LEFT(IFERROR(INDEX(Clay_Offices!$A$2:$FZ$601,158,Sync!$C$5)&amp;"",""),6)&lt;&gt;"SAMPLE",Config!$B$19="Y")),IFERROR(N(INDEX(Clay_Offices!$A$2:$FZ$601,158,Sync!$C$11)),0),"")</f>
        <v/>
      </c>
      <c r="C1809" s="23" t="str">
        <f aca="false">IF(B1809="","","office")</f>
        <v/>
      </c>
      <c r="D1809" s="23" t="str">
        <f aca="false">IF(B1809="","",IFERROR(INDEX(Office_Log!$ED$2:$ED$201,MATCH(IFERROR(INDEX(Clay_Offices!$A$2:$FZ$601,158,Sync!$C$5)&amp;"",""),Office_Log!$A$2:$A$201,0))&amp;"",IFERROR(INDEX(Clay_Offices!$A$2:$FZ$601,158,Sync!$C$5)&amp;"","")&amp;""))</f>
        <v/>
      </c>
      <c r="E1809" s="23" t="str">
        <f aca="false">IF(B1809="","",IFERROR(INDEX(Clay_Offices!$A$2:$FZ$601,158,Sync!$C$6)&amp;"",""))</f>
        <v/>
      </c>
      <c r="F1809" s="23" t="str">
        <f aca="false">IF(B1809="","","outreach_sent")</f>
        <v/>
      </c>
      <c r="G1809" s="23" t="str">
        <f aca="false">IF(B1809="","","")</f>
        <v/>
      </c>
      <c r="H1809" s="23" t="str">
        <f aca="false">IF(B1809="","","")</f>
        <v/>
      </c>
      <c r="I1809" s="23" t="str">
        <f aca="false">IF(B1809="","","")</f>
        <v/>
      </c>
      <c r="J1809" s="23" t="str">
        <f aca="false">IF(B1809="","","touch_1; "&amp;IFERROR(INDEX(Clay_Offices!$A$2:$FZ$601,158,Sync!$C$10)&amp;"","")&amp;"; "&amp;IFERROR(INDEX(Clay_Offices!$A$2:$FZ$601,158,Sync!$C$9)&amp;"",""))</f>
        <v/>
      </c>
      <c r="K1809" s="32" t="s">
        <v>1363</v>
      </c>
    </row>
    <row r="1810" customFormat="false" ht="15" hidden="false" customHeight="false" outlineLevel="0" collapsed="false">
      <c r="A1810" s="23" t="str">
        <f aca="false">IF(B1810="","",B1810+(12*1000+159)/10000000)</f>
        <v/>
      </c>
      <c r="B1810" s="35" t="str">
        <f aca="false">IF(AND(IFERROR(N(INDEX(Clay_Offices!$A$2:$FZ$601,159,Sync!$C$11)),0)&gt;0,IFERROR(INDEX(Clay_Offices!$A$2:$FZ$601,159,Sync!$C$5)&amp;"","")&lt;&gt;"",OR(LEFT(IFERROR(INDEX(Clay_Offices!$A$2:$FZ$601,159,Sync!$C$5)&amp;"",""),6)&lt;&gt;"SAMPLE",Config!$B$19="Y")),IFERROR(N(INDEX(Clay_Offices!$A$2:$FZ$601,159,Sync!$C$11)),0),"")</f>
        <v/>
      </c>
      <c r="C1810" s="23" t="str">
        <f aca="false">IF(B1810="","","office")</f>
        <v/>
      </c>
      <c r="D1810" s="23" t="str">
        <f aca="false">IF(B1810="","",IFERROR(INDEX(Office_Log!$ED$2:$ED$201,MATCH(IFERROR(INDEX(Clay_Offices!$A$2:$FZ$601,159,Sync!$C$5)&amp;"",""),Office_Log!$A$2:$A$201,0))&amp;"",IFERROR(INDEX(Clay_Offices!$A$2:$FZ$601,159,Sync!$C$5)&amp;"","")&amp;""))</f>
        <v/>
      </c>
      <c r="E1810" s="23" t="str">
        <f aca="false">IF(B1810="","",IFERROR(INDEX(Clay_Offices!$A$2:$FZ$601,159,Sync!$C$6)&amp;"",""))</f>
        <v/>
      </c>
      <c r="F1810" s="23" t="str">
        <f aca="false">IF(B1810="","","outreach_sent")</f>
        <v/>
      </c>
      <c r="G1810" s="23" t="str">
        <f aca="false">IF(B1810="","","")</f>
        <v/>
      </c>
      <c r="H1810" s="23" t="str">
        <f aca="false">IF(B1810="","","")</f>
        <v/>
      </c>
      <c r="I1810" s="23" t="str">
        <f aca="false">IF(B1810="","","")</f>
        <v/>
      </c>
      <c r="J1810" s="23" t="str">
        <f aca="false">IF(B1810="","","touch_1; "&amp;IFERROR(INDEX(Clay_Offices!$A$2:$FZ$601,159,Sync!$C$10)&amp;"","")&amp;"; "&amp;IFERROR(INDEX(Clay_Offices!$A$2:$FZ$601,159,Sync!$C$9)&amp;"",""))</f>
        <v/>
      </c>
      <c r="K1810" s="32" t="s">
        <v>1363</v>
      </c>
    </row>
    <row r="1811" customFormat="false" ht="15" hidden="false" customHeight="false" outlineLevel="0" collapsed="false">
      <c r="A1811" s="23" t="str">
        <f aca="false">IF(B1811="","",B1811+(12*1000+160)/10000000)</f>
        <v/>
      </c>
      <c r="B1811" s="35" t="str">
        <f aca="false">IF(AND(IFERROR(N(INDEX(Clay_Offices!$A$2:$FZ$601,160,Sync!$C$11)),0)&gt;0,IFERROR(INDEX(Clay_Offices!$A$2:$FZ$601,160,Sync!$C$5)&amp;"","")&lt;&gt;"",OR(LEFT(IFERROR(INDEX(Clay_Offices!$A$2:$FZ$601,160,Sync!$C$5)&amp;"",""),6)&lt;&gt;"SAMPLE",Config!$B$19="Y")),IFERROR(N(INDEX(Clay_Offices!$A$2:$FZ$601,160,Sync!$C$11)),0),"")</f>
        <v/>
      </c>
      <c r="C1811" s="23" t="str">
        <f aca="false">IF(B1811="","","office")</f>
        <v/>
      </c>
      <c r="D1811" s="23" t="str">
        <f aca="false">IF(B1811="","",IFERROR(INDEX(Office_Log!$ED$2:$ED$201,MATCH(IFERROR(INDEX(Clay_Offices!$A$2:$FZ$601,160,Sync!$C$5)&amp;"",""),Office_Log!$A$2:$A$201,0))&amp;"",IFERROR(INDEX(Clay_Offices!$A$2:$FZ$601,160,Sync!$C$5)&amp;"","")&amp;""))</f>
        <v/>
      </c>
      <c r="E1811" s="23" t="str">
        <f aca="false">IF(B1811="","",IFERROR(INDEX(Clay_Offices!$A$2:$FZ$601,160,Sync!$C$6)&amp;"",""))</f>
        <v/>
      </c>
      <c r="F1811" s="23" t="str">
        <f aca="false">IF(B1811="","","outreach_sent")</f>
        <v/>
      </c>
      <c r="G1811" s="23" t="str">
        <f aca="false">IF(B1811="","","")</f>
        <v/>
      </c>
      <c r="H1811" s="23" t="str">
        <f aca="false">IF(B1811="","","")</f>
        <v/>
      </c>
      <c r="I1811" s="23" t="str">
        <f aca="false">IF(B1811="","","")</f>
        <v/>
      </c>
      <c r="J1811" s="23" t="str">
        <f aca="false">IF(B1811="","","touch_1; "&amp;IFERROR(INDEX(Clay_Offices!$A$2:$FZ$601,160,Sync!$C$10)&amp;"","")&amp;"; "&amp;IFERROR(INDEX(Clay_Offices!$A$2:$FZ$601,160,Sync!$C$9)&amp;"",""))</f>
        <v/>
      </c>
      <c r="K1811" s="32" t="s">
        <v>1363</v>
      </c>
    </row>
    <row r="1812" customFormat="false" ht="15" hidden="false" customHeight="false" outlineLevel="0" collapsed="false">
      <c r="A1812" s="23" t="str">
        <f aca="false">IF(B1812="","",B1812+(12*1000+161)/10000000)</f>
        <v/>
      </c>
      <c r="B1812" s="35" t="str">
        <f aca="false">IF(AND(IFERROR(N(INDEX(Clay_Offices!$A$2:$FZ$601,161,Sync!$C$11)),0)&gt;0,IFERROR(INDEX(Clay_Offices!$A$2:$FZ$601,161,Sync!$C$5)&amp;"","")&lt;&gt;"",OR(LEFT(IFERROR(INDEX(Clay_Offices!$A$2:$FZ$601,161,Sync!$C$5)&amp;"",""),6)&lt;&gt;"SAMPLE",Config!$B$19="Y")),IFERROR(N(INDEX(Clay_Offices!$A$2:$FZ$601,161,Sync!$C$11)),0),"")</f>
        <v/>
      </c>
      <c r="C1812" s="23" t="str">
        <f aca="false">IF(B1812="","","office")</f>
        <v/>
      </c>
      <c r="D1812" s="23" t="str">
        <f aca="false">IF(B1812="","",IFERROR(INDEX(Office_Log!$ED$2:$ED$201,MATCH(IFERROR(INDEX(Clay_Offices!$A$2:$FZ$601,161,Sync!$C$5)&amp;"",""),Office_Log!$A$2:$A$201,0))&amp;"",IFERROR(INDEX(Clay_Offices!$A$2:$FZ$601,161,Sync!$C$5)&amp;"","")&amp;""))</f>
        <v/>
      </c>
      <c r="E1812" s="23" t="str">
        <f aca="false">IF(B1812="","",IFERROR(INDEX(Clay_Offices!$A$2:$FZ$601,161,Sync!$C$6)&amp;"",""))</f>
        <v/>
      </c>
      <c r="F1812" s="23" t="str">
        <f aca="false">IF(B1812="","","outreach_sent")</f>
        <v/>
      </c>
      <c r="G1812" s="23" t="str">
        <f aca="false">IF(B1812="","","")</f>
        <v/>
      </c>
      <c r="H1812" s="23" t="str">
        <f aca="false">IF(B1812="","","")</f>
        <v/>
      </c>
      <c r="I1812" s="23" t="str">
        <f aca="false">IF(B1812="","","")</f>
        <v/>
      </c>
      <c r="J1812" s="23" t="str">
        <f aca="false">IF(B1812="","","touch_1; "&amp;IFERROR(INDEX(Clay_Offices!$A$2:$FZ$601,161,Sync!$C$10)&amp;"","")&amp;"; "&amp;IFERROR(INDEX(Clay_Offices!$A$2:$FZ$601,161,Sync!$C$9)&amp;"",""))</f>
        <v/>
      </c>
      <c r="K1812" s="32" t="s">
        <v>1363</v>
      </c>
    </row>
    <row r="1813" customFormat="false" ht="15" hidden="false" customHeight="false" outlineLevel="0" collapsed="false">
      <c r="A1813" s="23" t="str">
        <f aca="false">IF(B1813="","",B1813+(12*1000+162)/10000000)</f>
        <v/>
      </c>
      <c r="B1813" s="35" t="str">
        <f aca="false">IF(AND(IFERROR(N(INDEX(Clay_Offices!$A$2:$FZ$601,162,Sync!$C$11)),0)&gt;0,IFERROR(INDEX(Clay_Offices!$A$2:$FZ$601,162,Sync!$C$5)&amp;"","")&lt;&gt;"",OR(LEFT(IFERROR(INDEX(Clay_Offices!$A$2:$FZ$601,162,Sync!$C$5)&amp;"",""),6)&lt;&gt;"SAMPLE",Config!$B$19="Y")),IFERROR(N(INDEX(Clay_Offices!$A$2:$FZ$601,162,Sync!$C$11)),0),"")</f>
        <v/>
      </c>
      <c r="C1813" s="23" t="str">
        <f aca="false">IF(B1813="","","office")</f>
        <v/>
      </c>
      <c r="D1813" s="23" t="str">
        <f aca="false">IF(B1813="","",IFERROR(INDEX(Office_Log!$ED$2:$ED$201,MATCH(IFERROR(INDEX(Clay_Offices!$A$2:$FZ$601,162,Sync!$C$5)&amp;"",""),Office_Log!$A$2:$A$201,0))&amp;"",IFERROR(INDEX(Clay_Offices!$A$2:$FZ$601,162,Sync!$C$5)&amp;"","")&amp;""))</f>
        <v/>
      </c>
      <c r="E1813" s="23" t="str">
        <f aca="false">IF(B1813="","",IFERROR(INDEX(Clay_Offices!$A$2:$FZ$601,162,Sync!$C$6)&amp;"",""))</f>
        <v/>
      </c>
      <c r="F1813" s="23" t="str">
        <f aca="false">IF(B1813="","","outreach_sent")</f>
        <v/>
      </c>
      <c r="G1813" s="23" t="str">
        <f aca="false">IF(B1813="","","")</f>
        <v/>
      </c>
      <c r="H1813" s="23" t="str">
        <f aca="false">IF(B1813="","","")</f>
        <v/>
      </c>
      <c r="I1813" s="23" t="str">
        <f aca="false">IF(B1813="","","")</f>
        <v/>
      </c>
      <c r="J1813" s="23" t="str">
        <f aca="false">IF(B1813="","","touch_1; "&amp;IFERROR(INDEX(Clay_Offices!$A$2:$FZ$601,162,Sync!$C$10)&amp;"","")&amp;"; "&amp;IFERROR(INDEX(Clay_Offices!$A$2:$FZ$601,162,Sync!$C$9)&amp;"",""))</f>
        <v/>
      </c>
      <c r="K1813" s="32" t="s">
        <v>1363</v>
      </c>
    </row>
    <row r="1814" customFormat="false" ht="15" hidden="false" customHeight="false" outlineLevel="0" collapsed="false">
      <c r="A1814" s="23" t="str">
        <f aca="false">IF(B1814="","",B1814+(12*1000+163)/10000000)</f>
        <v/>
      </c>
      <c r="B1814" s="35" t="str">
        <f aca="false">IF(AND(IFERROR(N(INDEX(Clay_Offices!$A$2:$FZ$601,163,Sync!$C$11)),0)&gt;0,IFERROR(INDEX(Clay_Offices!$A$2:$FZ$601,163,Sync!$C$5)&amp;"","")&lt;&gt;"",OR(LEFT(IFERROR(INDEX(Clay_Offices!$A$2:$FZ$601,163,Sync!$C$5)&amp;"",""),6)&lt;&gt;"SAMPLE",Config!$B$19="Y")),IFERROR(N(INDEX(Clay_Offices!$A$2:$FZ$601,163,Sync!$C$11)),0),"")</f>
        <v/>
      </c>
      <c r="C1814" s="23" t="str">
        <f aca="false">IF(B1814="","","office")</f>
        <v/>
      </c>
      <c r="D1814" s="23" t="str">
        <f aca="false">IF(B1814="","",IFERROR(INDEX(Office_Log!$ED$2:$ED$201,MATCH(IFERROR(INDEX(Clay_Offices!$A$2:$FZ$601,163,Sync!$C$5)&amp;"",""),Office_Log!$A$2:$A$201,0))&amp;"",IFERROR(INDEX(Clay_Offices!$A$2:$FZ$601,163,Sync!$C$5)&amp;"","")&amp;""))</f>
        <v/>
      </c>
      <c r="E1814" s="23" t="str">
        <f aca="false">IF(B1814="","",IFERROR(INDEX(Clay_Offices!$A$2:$FZ$601,163,Sync!$C$6)&amp;"",""))</f>
        <v/>
      </c>
      <c r="F1814" s="23" t="str">
        <f aca="false">IF(B1814="","","outreach_sent")</f>
        <v/>
      </c>
      <c r="G1814" s="23" t="str">
        <f aca="false">IF(B1814="","","")</f>
        <v/>
      </c>
      <c r="H1814" s="23" t="str">
        <f aca="false">IF(B1814="","","")</f>
        <v/>
      </c>
      <c r="I1814" s="23" t="str">
        <f aca="false">IF(B1814="","","")</f>
        <v/>
      </c>
      <c r="J1814" s="23" t="str">
        <f aca="false">IF(B1814="","","touch_1; "&amp;IFERROR(INDEX(Clay_Offices!$A$2:$FZ$601,163,Sync!$C$10)&amp;"","")&amp;"; "&amp;IFERROR(INDEX(Clay_Offices!$A$2:$FZ$601,163,Sync!$C$9)&amp;"",""))</f>
        <v/>
      </c>
      <c r="K1814" s="32" t="s">
        <v>1363</v>
      </c>
    </row>
    <row r="1815" customFormat="false" ht="15" hidden="false" customHeight="false" outlineLevel="0" collapsed="false">
      <c r="A1815" s="23" t="str">
        <f aca="false">IF(B1815="","",B1815+(12*1000+164)/10000000)</f>
        <v/>
      </c>
      <c r="B1815" s="35" t="str">
        <f aca="false">IF(AND(IFERROR(N(INDEX(Clay_Offices!$A$2:$FZ$601,164,Sync!$C$11)),0)&gt;0,IFERROR(INDEX(Clay_Offices!$A$2:$FZ$601,164,Sync!$C$5)&amp;"","")&lt;&gt;"",OR(LEFT(IFERROR(INDEX(Clay_Offices!$A$2:$FZ$601,164,Sync!$C$5)&amp;"",""),6)&lt;&gt;"SAMPLE",Config!$B$19="Y")),IFERROR(N(INDEX(Clay_Offices!$A$2:$FZ$601,164,Sync!$C$11)),0),"")</f>
        <v/>
      </c>
      <c r="C1815" s="23" t="str">
        <f aca="false">IF(B1815="","","office")</f>
        <v/>
      </c>
      <c r="D1815" s="23" t="str">
        <f aca="false">IF(B1815="","",IFERROR(INDEX(Office_Log!$ED$2:$ED$201,MATCH(IFERROR(INDEX(Clay_Offices!$A$2:$FZ$601,164,Sync!$C$5)&amp;"",""),Office_Log!$A$2:$A$201,0))&amp;"",IFERROR(INDEX(Clay_Offices!$A$2:$FZ$601,164,Sync!$C$5)&amp;"","")&amp;""))</f>
        <v/>
      </c>
      <c r="E1815" s="23" t="str">
        <f aca="false">IF(B1815="","",IFERROR(INDEX(Clay_Offices!$A$2:$FZ$601,164,Sync!$C$6)&amp;"",""))</f>
        <v/>
      </c>
      <c r="F1815" s="23" t="str">
        <f aca="false">IF(B1815="","","outreach_sent")</f>
        <v/>
      </c>
      <c r="G1815" s="23" t="str">
        <f aca="false">IF(B1815="","","")</f>
        <v/>
      </c>
      <c r="H1815" s="23" t="str">
        <f aca="false">IF(B1815="","","")</f>
        <v/>
      </c>
      <c r="I1815" s="23" t="str">
        <f aca="false">IF(B1815="","","")</f>
        <v/>
      </c>
      <c r="J1815" s="23" t="str">
        <f aca="false">IF(B1815="","","touch_1; "&amp;IFERROR(INDEX(Clay_Offices!$A$2:$FZ$601,164,Sync!$C$10)&amp;"","")&amp;"; "&amp;IFERROR(INDEX(Clay_Offices!$A$2:$FZ$601,164,Sync!$C$9)&amp;"",""))</f>
        <v/>
      </c>
      <c r="K1815" s="32" t="s">
        <v>1363</v>
      </c>
    </row>
    <row r="1816" customFormat="false" ht="15" hidden="false" customHeight="false" outlineLevel="0" collapsed="false">
      <c r="A1816" s="23" t="str">
        <f aca="false">IF(B1816="","",B1816+(12*1000+165)/10000000)</f>
        <v/>
      </c>
      <c r="B1816" s="35" t="str">
        <f aca="false">IF(AND(IFERROR(N(INDEX(Clay_Offices!$A$2:$FZ$601,165,Sync!$C$11)),0)&gt;0,IFERROR(INDEX(Clay_Offices!$A$2:$FZ$601,165,Sync!$C$5)&amp;"","")&lt;&gt;"",OR(LEFT(IFERROR(INDEX(Clay_Offices!$A$2:$FZ$601,165,Sync!$C$5)&amp;"",""),6)&lt;&gt;"SAMPLE",Config!$B$19="Y")),IFERROR(N(INDEX(Clay_Offices!$A$2:$FZ$601,165,Sync!$C$11)),0),"")</f>
        <v/>
      </c>
      <c r="C1816" s="23" t="str">
        <f aca="false">IF(B1816="","","office")</f>
        <v/>
      </c>
      <c r="D1816" s="23" t="str">
        <f aca="false">IF(B1816="","",IFERROR(INDEX(Office_Log!$ED$2:$ED$201,MATCH(IFERROR(INDEX(Clay_Offices!$A$2:$FZ$601,165,Sync!$C$5)&amp;"",""),Office_Log!$A$2:$A$201,0))&amp;"",IFERROR(INDEX(Clay_Offices!$A$2:$FZ$601,165,Sync!$C$5)&amp;"","")&amp;""))</f>
        <v/>
      </c>
      <c r="E1816" s="23" t="str">
        <f aca="false">IF(B1816="","",IFERROR(INDEX(Clay_Offices!$A$2:$FZ$601,165,Sync!$C$6)&amp;"",""))</f>
        <v/>
      </c>
      <c r="F1816" s="23" t="str">
        <f aca="false">IF(B1816="","","outreach_sent")</f>
        <v/>
      </c>
      <c r="G1816" s="23" t="str">
        <f aca="false">IF(B1816="","","")</f>
        <v/>
      </c>
      <c r="H1816" s="23" t="str">
        <f aca="false">IF(B1816="","","")</f>
        <v/>
      </c>
      <c r="I1816" s="23" t="str">
        <f aca="false">IF(B1816="","","")</f>
        <v/>
      </c>
      <c r="J1816" s="23" t="str">
        <f aca="false">IF(B1816="","","touch_1; "&amp;IFERROR(INDEX(Clay_Offices!$A$2:$FZ$601,165,Sync!$C$10)&amp;"","")&amp;"; "&amp;IFERROR(INDEX(Clay_Offices!$A$2:$FZ$601,165,Sync!$C$9)&amp;"",""))</f>
        <v/>
      </c>
      <c r="K1816" s="32" t="s">
        <v>1363</v>
      </c>
    </row>
    <row r="1817" customFormat="false" ht="15" hidden="false" customHeight="false" outlineLevel="0" collapsed="false">
      <c r="A1817" s="23" t="str">
        <f aca="false">IF(B1817="","",B1817+(12*1000+166)/10000000)</f>
        <v/>
      </c>
      <c r="B1817" s="35" t="str">
        <f aca="false">IF(AND(IFERROR(N(INDEX(Clay_Offices!$A$2:$FZ$601,166,Sync!$C$11)),0)&gt;0,IFERROR(INDEX(Clay_Offices!$A$2:$FZ$601,166,Sync!$C$5)&amp;"","")&lt;&gt;"",OR(LEFT(IFERROR(INDEX(Clay_Offices!$A$2:$FZ$601,166,Sync!$C$5)&amp;"",""),6)&lt;&gt;"SAMPLE",Config!$B$19="Y")),IFERROR(N(INDEX(Clay_Offices!$A$2:$FZ$601,166,Sync!$C$11)),0),"")</f>
        <v/>
      </c>
      <c r="C1817" s="23" t="str">
        <f aca="false">IF(B1817="","","office")</f>
        <v/>
      </c>
      <c r="D1817" s="23" t="str">
        <f aca="false">IF(B1817="","",IFERROR(INDEX(Office_Log!$ED$2:$ED$201,MATCH(IFERROR(INDEX(Clay_Offices!$A$2:$FZ$601,166,Sync!$C$5)&amp;"",""),Office_Log!$A$2:$A$201,0))&amp;"",IFERROR(INDEX(Clay_Offices!$A$2:$FZ$601,166,Sync!$C$5)&amp;"","")&amp;""))</f>
        <v/>
      </c>
      <c r="E1817" s="23" t="str">
        <f aca="false">IF(B1817="","",IFERROR(INDEX(Clay_Offices!$A$2:$FZ$601,166,Sync!$C$6)&amp;"",""))</f>
        <v/>
      </c>
      <c r="F1817" s="23" t="str">
        <f aca="false">IF(B1817="","","outreach_sent")</f>
        <v/>
      </c>
      <c r="G1817" s="23" t="str">
        <f aca="false">IF(B1817="","","")</f>
        <v/>
      </c>
      <c r="H1817" s="23" t="str">
        <f aca="false">IF(B1817="","","")</f>
        <v/>
      </c>
      <c r="I1817" s="23" t="str">
        <f aca="false">IF(B1817="","","")</f>
        <v/>
      </c>
      <c r="J1817" s="23" t="str">
        <f aca="false">IF(B1817="","","touch_1; "&amp;IFERROR(INDEX(Clay_Offices!$A$2:$FZ$601,166,Sync!$C$10)&amp;"","")&amp;"; "&amp;IFERROR(INDEX(Clay_Offices!$A$2:$FZ$601,166,Sync!$C$9)&amp;"",""))</f>
        <v/>
      </c>
      <c r="K1817" s="32" t="s">
        <v>1363</v>
      </c>
    </row>
    <row r="1818" customFormat="false" ht="15" hidden="false" customHeight="false" outlineLevel="0" collapsed="false">
      <c r="A1818" s="23" t="str">
        <f aca="false">IF(B1818="","",B1818+(12*1000+167)/10000000)</f>
        <v/>
      </c>
      <c r="B1818" s="35" t="str">
        <f aca="false">IF(AND(IFERROR(N(INDEX(Clay_Offices!$A$2:$FZ$601,167,Sync!$C$11)),0)&gt;0,IFERROR(INDEX(Clay_Offices!$A$2:$FZ$601,167,Sync!$C$5)&amp;"","")&lt;&gt;"",OR(LEFT(IFERROR(INDEX(Clay_Offices!$A$2:$FZ$601,167,Sync!$C$5)&amp;"",""),6)&lt;&gt;"SAMPLE",Config!$B$19="Y")),IFERROR(N(INDEX(Clay_Offices!$A$2:$FZ$601,167,Sync!$C$11)),0),"")</f>
        <v/>
      </c>
      <c r="C1818" s="23" t="str">
        <f aca="false">IF(B1818="","","office")</f>
        <v/>
      </c>
      <c r="D1818" s="23" t="str">
        <f aca="false">IF(B1818="","",IFERROR(INDEX(Office_Log!$ED$2:$ED$201,MATCH(IFERROR(INDEX(Clay_Offices!$A$2:$FZ$601,167,Sync!$C$5)&amp;"",""),Office_Log!$A$2:$A$201,0))&amp;"",IFERROR(INDEX(Clay_Offices!$A$2:$FZ$601,167,Sync!$C$5)&amp;"","")&amp;""))</f>
        <v/>
      </c>
      <c r="E1818" s="23" t="str">
        <f aca="false">IF(B1818="","",IFERROR(INDEX(Clay_Offices!$A$2:$FZ$601,167,Sync!$C$6)&amp;"",""))</f>
        <v/>
      </c>
      <c r="F1818" s="23" t="str">
        <f aca="false">IF(B1818="","","outreach_sent")</f>
        <v/>
      </c>
      <c r="G1818" s="23" t="str">
        <f aca="false">IF(B1818="","","")</f>
        <v/>
      </c>
      <c r="H1818" s="23" t="str">
        <f aca="false">IF(B1818="","","")</f>
        <v/>
      </c>
      <c r="I1818" s="23" t="str">
        <f aca="false">IF(B1818="","","")</f>
        <v/>
      </c>
      <c r="J1818" s="23" t="str">
        <f aca="false">IF(B1818="","","touch_1; "&amp;IFERROR(INDEX(Clay_Offices!$A$2:$FZ$601,167,Sync!$C$10)&amp;"","")&amp;"; "&amp;IFERROR(INDEX(Clay_Offices!$A$2:$FZ$601,167,Sync!$C$9)&amp;"",""))</f>
        <v/>
      </c>
      <c r="K1818" s="32" t="s">
        <v>1363</v>
      </c>
    </row>
    <row r="1819" customFormat="false" ht="15" hidden="false" customHeight="false" outlineLevel="0" collapsed="false">
      <c r="A1819" s="23" t="str">
        <f aca="false">IF(B1819="","",B1819+(12*1000+168)/10000000)</f>
        <v/>
      </c>
      <c r="B1819" s="35" t="str">
        <f aca="false">IF(AND(IFERROR(N(INDEX(Clay_Offices!$A$2:$FZ$601,168,Sync!$C$11)),0)&gt;0,IFERROR(INDEX(Clay_Offices!$A$2:$FZ$601,168,Sync!$C$5)&amp;"","")&lt;&gt;"",OR(LEFT(IFERROR(INDEX(Clay_Offices!$A$2:$FZ$601,168,Sync!$C$5)&amp;"",""),6)&lt;&gt;"SAMPLE",Config!$B$19="Y")),IFERROR(N(INDEX(Clay_Offices!$A$2:$FZ$601,168,Sync!$C$11)),0),"")</f>
        <v/>
      </c>
      <c r="C1819" s="23" t="str">
        <f aca="false">IF(B1819="","","office")</f>
        <v/>
      </c>
      <c r="D1819" s="23" t="str">
        <f aca="false">IF(B1819="","",IFERROR(INDEX(Office_Log!$ED$2:$ED$201,MATCH(IFERROR(INDEX(Clay_Offices!$A$2:$FZ$601,168,Sync!$C$5)&amp;"",""),Office_Log!$A$2:$A$201,0))&amp;"",IFERROR(INDEX(Clay_Offices!$A$2:$FZ$601,168,Sync!$C$5)&amp;"","")&amp;""))</f>
        <v/>
      </c>
      <c r="E1819" s="23" t="str">
        <f aca="false">IF(B1819="","",IFERROR(INDEX(Clay_Offices!$A$2:$FZ$601,168,Sync!$C$6)&amp;"",""))</f>
        <v/>
      </c>
      <c r="F1819" s="23" t="str">
        <f aca="false">IF(B1819="","","outreach_sent")</f>
        <v/>
      </c>
      <c r="G1819" s="23" t="str">
        <f aca="false">IF(B1819="","","")</f>
        <v/>
      </c>
      <c r="H1819" s="23" t="str">
        <f aca="false">IF(B1819="","","")</f>
        <v/>
      </c>
      <c r="I1819" s="23" t="str">
        <f aca="false">IF(B1819="","","")</f>
        <v/>
      </c>
      <c r="J1819" s="23" t="str">
        <f aca="false">IF(B1819="","","touch_1; "&amp;IFERROR(INDEX(Clay_Offices!$A$2:$FZ$601,168,Sync!$C$10)&amp;"","")&amp;"; "&amp;IFERROR(INDEX(Clay_Offices!$A$2:$FZ$601,168,Sync!$C$9)&amp;"",""))</f>
        <v/>
      </c>
      <c r="K1819" s="32" t="s">
        <v>1363</v>
      </c>
    </row>
    <row r="1820" customFormat="false" ht="15" hidden="false" customHeight="false" outlineLevel="0" collapsed="false">
      <c r="A1820" s="23" t="str">
        <f aca="false">IF(B1820="","",B1820+(12*1000+169)/10000000)</f>
        <v/>
      </c>
      <c r="B1820" s="35" t="str">
        <f aca="false">IF(AND(IFERROR(N(INDEX(Clay_Offices!$A$2:$FZ$601,169,Sync!$C$11)),0)&gt;0,IFERROR(INDEX(Clay_Offices!$A$2:$FZ$601,169,Sync!$C$5)&amp;"","")&lt;&gt;"",OR(LEFT(IFERROR(INDEX(Clay_Offices!$A$2:$FZ$601,169,Sync!$C$5)&amp;"",""),6)&lt;&gt;"SAMPLE",Config!$B$19="Y")),IFERROR(N(INDEX(Clay_Offices!$A$2:$FZ$601,169,Sync!$C$11)),0),"")</f>
        <v/>
      </c>
      <c r="C1820" s="23" t="str">
        <f aca="false">IF(B1820="","","office")</f>
        <v/>
      </c>
      <c r="D1820" s="23" t="str">
        <f aca="false">IF(B1820="","",IFERROR(INDEX(Office_Log!$ED$2:$ED$201,MATCH(IFERROR(INDEX(Clay_Offices!$A$2:$FZ$601,169,Sync!$C$5)&amp;"",""),Office_Log!$A$2:$A$201,0))&amp;"",IFERROR(INDEX(Clay_Offices!$A$2:$FZ$601,169,Sync!$C$5)&amp;"","")&amp;""))</f>
        <v/>
      </c>
      <c r="E1820" s="23" t="str">
        <f aca="false">IF(B1820="","",IFERROR(INDEX(Clay_Offices!$A$2:$FZ$601,169,Sync!$C$6)&amp;"",""))</f>
        <v/>
      </c>
      <c r="F1820" s="23" t="str">
        <f aca="false">IF(B1820="","","outreach_sent")</f>
        <v/>
      </c>
      <c r="G1820" s="23" t="str">
        <f aca="false">IF(B1820="","","")</f>
        <v/>
      </c>
      <c r="H1820" s="23" t="str">
        <f aca="false">IF(B1820="","","")</f>
        <v/>
      </c>
      <c r="I1820" s="23" t="str">
        <f aca="false">IF(B1820="","","")</f>
        <v/>
      </c>
      <c r="J1820" s="23" t="str">
        <f aca="false">IF(B1820="","","touch_1; "&amp;IFERROR(INDEX(Clay_Offices!$A$2:$FZ$601,169,Sync!$C$10)&amp;"","")&amp;"; "&amp;IFERROR(INDEX(Clay_Offices!$A$2:$FZ$601,169,Sync!$C$9)&amp;"",""))</f>
        <v/>
      </c>
      <c r="K1820" s="32" t="s">
        <v>1363</v>
      </c>
    </row>
    <row r="1821" customFormat="false" ht="15" hidden="false" customHeight="false" outlineLevel="0" collapsed="false">
      <c r="A1821" s="23" t="str">
        <f aca="false">IF(B1821="","",B1821+(12*1000+170)/10000000)</f>
        <v/>
      </c>
      <c r="B1821" s="35" t="str">
        <f aca="false">IF(AND(IFERROR(N(INDEX(Clay_Offices!$A$2:$FZ$601,170,Sync!$C$11)),0)&gt;0,IFERROR(INDEX(Clay_Offices!$A$2:$FZ$601,170,Sync!$C$5)&amp;"","")&lt;&gt;"",OR(LEFT(IFERROR(INDEX(Clay_Offices!$A$2:$FZ$601,170,Sync!$C$5)&amp;"",""),6)&lt;&gt;"SAMPLE",Config!$B$19="Y")),IFERROR(N(INDEX(Clay_Offices!$A$2:$FZ$601,170,Sync!$C$11)),0),"")</f>
        <v/>
      </c>
      <c r="C1821" s="23" t="str">
        <f aca="false">IF(B1821="","","office")</f>
        <v/>
      </c>
      <c r="D1821" s="23" t="str">
        <f aca="false">IF(B1821="","",IFERROR(INDEX(Office_Log!$ED$2:$ED$201,MATCH(IFERROR(INDEX(Clay_Offices!$A$2:$FZ$601,170,Sync!$C$5)&amp;"",""),Office_Log!$A$2:$A$201,0))&amp;"",IFERROR(INDEX(Clay_Offices!$A$2:$FZ$601,170,Sync!$C$5)&amp;"","")&amp;""))</f>
        <v/>
      </c>
      <c r="E1821" s="23" t="str">
        <f aca="false">IF(B1821="","",IFERROR(INDEX(Clay_Offices!$A$2:$FZ$601,170,Sync!$C$6)&amp;"",""))</f>
        <v/>
      </c>
      <c r="F1821" s="23" t="str">
        <f aca="false">IF(B1821="","","outreach_sent")</f>
        <v/>
      </c>
      <c r="G1821" s="23" t="str">
        <f aca="false">IF(B1821="","","")</f>
        <v/>
      </c>
      <c r="H1821" s="23" t="str">
        <f aca="false">IF(B1821="","","")</f>
        <v/>
      </c>
      <c r="I1821" s="23" t="str">
        <f aca="false">IF(B1821="","","")</f>
        <v/>
      </c>
      <c r="J1821" s="23" t="str">
        <f aca="false">IF(B1821="","","touch_1; "&amp;IFERROR(INDEX(Clay_Offices!$A$2:$FZ$601,170,Sync!$C$10)&amp;"","")&amp;"; "&amp;IFERROR(INDEX(Clay_Offices!$A$2:$FZ$601,170,Sync!$C$9)&amp;"",""))</f>
        <v/>
      </c>
      <c r="K1821" s="32" t="s">
        <v>1363</v>
      </c>
    </row>
    <row r="1822" customFormat="false" ht="15" hidden="false" customHeight="false" outlineLevel="0" collapsed="false">
      <c r="A1822" s="23" t="str">
        <f aca="false">IF(B1822="","",B1822+(12*1000+171)/10000000)</f>
        <v/>
      </c>
      <c r="B1822" s="35" t="str">
        <f aca="false">IF(AND(IFERROR(N(INDEX(Clay_Offices!$A$2:$FZ$601,171,Sync!$C$11)),0)&gt;0,IFERROR(INDEX(Clay_Offices!$A$2:$FZ$601,171,Sync!$C$5)&amp;"","")&lt;&gt;"",OR(LEFT(IFERROR(INDEX(Clay_Offices!$A$2:$FZ$601,171,Sync!$C$5)&amp;"",""),6)&lt;&gt;"SAMPLE",Config!$B$19="Y")),IFERROR(N(INDEX(Clay_Offices!$A$2:$FZ$601,171,Sync!$C$11)),0),"")</f>
        <v/>
      </c>
      <c r="C1822" s="23" t="str">
        <f aca="false">IF(B1822="","","office")</f>
        <v/>
      </c>
      <c r="D1822" s="23" t="str">
        <f aca="false">IF(B1822="","",IFERROR(INDEX(Office_Log!$ED$2:$ED$201,MATCH(IFERROR(INDEX(Clay_Offices!$A$2:$FZ$601,171,Sync!$C$5)&amp;"",""),Office_Log!$A$2:$A$201,0))&amp;"",IFERROR(INDEX(Clay_Offices!$A$2:$FZ$601,171,Sync!$C$5)&amp;"","")&amp;""))</f>
        <v/>
      </c>
      <c r="E1822" s="23" t="str">
        <f aca="false">IF(B1822="","",IFERROR(INDEX(Clay_Offices!$A$2:$FZ$601,171,Sync!$C$6)&amp;"",""))</f>
        <v/>
      </c>
      <c r="F1822" s="23" t="str">
        <f aca="false">IF(B1822="","","outreach_sent")</f>
        <v/>
      </c>
      <c r="G1822" s="23" t="str">
        <f aca="false">IF(B1822="","","")</f>
        <v/>
      </c>
      <c r="H1822" s="23" t="str">
        <f aca="false">IF(B1822="","","")</f>
        <v/>
      </c>
      <c r="I1822" s="23" t="str">
        <f aca="false">IF(B1822="","","")</f>
        <v/>
      </c>
      <c r="J1822" s="23" t="str">
        <f aca="false">IF(B1822="","","touch_1; "&amp;IFERROR(INDEX(Clay_Offices!$A$2:$FZ$601,171,Sync!$C$10)&amp;"","")&amp;"; "&amp;IFERROR(INDEX(Clay_Offices!$A$2:$FZ$601,171,Sync!$C$9)&amp;"",""))</f>
        <v/>
      </c>
      <c r="K1822" s="32" t="s">
        <v>1363</v>
      </c>
    </row>
    <row r="1823" customFormat="false" ht="15" hidden="false" customHeight="false" outlineLevel="0" collapsed="false">
      <c r="A1823" s="23" t="str">
        <f aca="false">IF(B1823="","",B1823+(12*1000+172)/10000000)</f>
        <v/>
      </c>
      <c r="B1823" s="35" t="str">
        <f aca="false">IF(AND(IFERROR(N(INDEX(Clay_Offices!$A$2:$FZ$601,172,Sync!$C$11)),0)&gt;0,IFERROR(INDEX(Clay_Offices!$A$2:$FZ$601,172,Sync!$C$5)&amp;"","")&lt;&gt;"",OR(LEFT(IFERROR(INDEX(Clay_Offices!$A$2:$FZ$601,172,Sync!$C$5)&amp;"",""),6)&lt;&gt;"SAMPLE",Config!$B$19="Y")),IFERROR(N(INDEX(Clay_Offices!$A$2:$FZ$601,172,Sync!$C$11)),0),"")</f>
        <v/>
      </c>
      <c r="C1823" s="23" t="str">
        <f aca="false">IF(B1823="","","office")</f>
        <v/>
      </c>
      <c r="D1823" s="23" t="str">
        <f aca="false">IF(B1823="","",IFERROR(INDEX(Office_Log!$ED$2:$ED$201,MATCH(IFERROR(INDEX(Clay_Offices!$A$2:$FZ$601,172,Sync!$C$5)&amp;"",""),Office_Log!$A$2:$A$201,0))&amp;"",IFERROR(INDEX(Clay_Offices!$A$2:$FZ$601,172,Sync!$C$5)&amp;"","")&amp;""))</f>
        <v/>
      </c>
      <c r="E1823" s="23" t="str">
        <f aca="false">IF(B1823="","",IFERROR(INDEX(Clay_Offices!$A$2:$FZ$601,172,Sync!$C$6)&amp;"",""))</f>
        <v/>
      </c>
      <c r="F1823" s="23" t="str">
        <f aca="false">IF(B1823="","","outreach_sent")</f>
        <v/>
      </c>
      <c r="G1823" s="23" t="str">
        <f aca="false">IF(B1823="","","")</f>
        <v/>
      </c>
      <c r="H1823" s="23" t="str">
        <f aca="false">IF(B1823="","","")</f>
        <v/>
      </c>
      <c r="I1823" s="23" t="str">
        <f aca="false">IF(B1823="","","")</f>
        <v/>
      </c>
      <c r="J1823" s="23" t="str">
        <f aca="false">IF(B1823="","","touch_1; "&amp;IFERROR(INDEX(Clay_Offices!$A$2:$FZ$601,172,Sync!$C$10)&amp;"","")&amp;"; "&amp;IFERROR(INDEX(Clay_Offices!$A$2:$FZ$601,172,Sync!$C$9)&amp;"",""))</f>
        <v/>
      </c>
      <c r="K1823" s="32" t="s">
        <v>1363</v>
      </c>
    </row>
    <row r="1824" customFormat="false" ht="15" hidden="false" customHeight="false" outlineLevel="0" collapsed="false">
      <c r="A1824" s="23" t="str">
        <f aca="false">IF(B1824="","",B1824+(12*1000+173)/10000000)</f>
        <v/>
      </c>
      <c r="B1824" s="35" t="str">
        <f aca="false">IF(AND(IFERROR(N(INDEX(Clay_Offices!$A$2:$FZ$601,173,Sync!$C$11)),0)&gt;0,IFERROR(INDEX(Clay_Offices!$A$2:$FZ$601,173,Sync!$C$5)&amp;"","")&lt;&gt;"",OR(LEFT(IFERROR(INDEX(Clay_Offices!$A$2:$FZ$601,173,Sync!$C$5)&amp;"",""),6)&lt;&gt;"SAMPLE",Config!$B$19="Y")),IFERROR(N(INDEX(Clay_Offices!$A$2:$FZ$601,173,Sync!$C$11)),0),"")</f>
        <v/>
      </c>
      <c r="C1824" s="23" t="str">
        <f aca="false">IF(B1824="","","office")</f>
        <v/>
      </c>
      <c r="D1824" s="23" t="str">
        <f aca="false">IF(B1824="","",IFERROR(INDEX(Office_Log!$ED$2:$ED$201,MATCH(IFERROR(INDEX(Clay_Offices!$A$2:$FZ$601,173,Sync!$C$5)&amp;"",""),Office_Log!$A$2:$A$201,0))&amp;"",IFERROR(INDEX(Clay_Offices!$A$2:$FZ$601,173,Sync!$C$5)&amp;"","")&amp;""))</f>
        <v/>
      </c>
      <c r="E1824" s="23" t="str">
        <f aca="false">IF(B1824="","",IFERROR(INDEX(Clay_Offices!$A$2:$FZ$601,173,Sync!$C$6)&amp;"",""))</f>
        <v/>
      </c>
      <c r="F1824" s="23" t="str">
        <f aca="false">IF(B1824="","","outreach_sent")</f>
        <v/>
      </c>
      <c r="G1824" s="23" t="str">
        <f aca="false">IF(B1824="","","")</f>
        <v/>
      </c>
      <c r="H1824" s="23" t="str">
        <f aca="false">IF(B1824="","","")</f>
        <v/>
      </c>
      <c r="I1824" s="23" t="str">
        <f aca="false">IF(B1824="","","")</f>
        <v/>
      </c>
      <c r="J1824" s="23" t="str">
        <f aca="false">IF(B1824="","","touch_1; "&amp;IFERROR(INDEX(Clay_Offices!$A$2:$FZ$601,173,Sync!$C$10)&amp;"","")&amp;"; "&amp;IFERROR(INDEX(Clay_Offices!$A$2:$FZ$601,173,Sync!$C$9)&amp;"",""))</f>
        <v/>
      </c>
      <c r="K1824" s="32" t="s">
        <v>1363</v>
      </c>
    </row>
    <row r="1825" customFormat="false" ht="15" hidden="false" customHeight="false" outlineLevel="0" collapsed="false">
      <c r="A1825" s="23" t="str">
        <f aca="false">IF(B1825="","",B1825+(12*1000+174)/10000000)</f>
        <v/>
      </c>
      <c r="B1825" s="35" t="str">
        <f aca="false">IF(AND(IFERROR(N(INDEX(Clay_Offices!$A$2:$FZ$601,174,Sync!$C$11)),0)&gt;0,IFERROR(INDEX(Clay_Offices!$A$2:$FZ$601,174,Sync!$C$5)&amp;"","")&lt;&gt;"",OR(LEFT(IFERROR(INDEX(Clay_Offices!$A$2:$FZ$601,174,Sync!$C$5)&amp;"",""),6)&lt;&gt;"SAMPLE",Config!$B$19="Y")),IFERROR(N(INDEX(Clay_Offices!$A$2:$FZ$601,174,Sync!$C$11)),0),"")</f>
        <v/>
      </c>
      <c r="C1825" s="23" t="str">
        <f aca="false">IF(B1825="","","office")</f>
        <v/>
      </c>
      <c r="D1825" s="23" t="str">
        <f aca="false">IF(B1825="","",IFERROR(INDEX(Office_Log!$ED$2:$ED$201,MATCH(IFERROR(INDEX(Clay_Offices!$A$2:$FZ$601,174,Sync!$C$5)&amp;"",""),Office_Log!$A$2:$A$201,0))&amp;"",IFERROR(INDEX(Clay_Offices!$A$2:$FZ$601,174,Sync!$C$5)&amp;"","")&amp;""))</f>
        <v/>
      </c>
      <c r="E1825" s="23" t="str">
        <f aca="false">IF(B1825="","",IFERROR(INDEX(Clay_Offices!$A$2:$FZ$601,174,Sync!$C$6)&amp;"",""))</f>
        <v/>
      </c>
      <c r="F1825" s="23" t="str">
        <f aca="false">IF(B1825="","","outreach_sent")</f>
        <v/>
      </c>
      <c r="G1825" s="23" t="str">
        <f aca="false">IF(B1825="","","")</f>
        <v/>
      </c>
      <c r="H1825" s="23" t="str">
        <f aca="false">IF(B1825="","","")</f>
        <v/>
      </c>
      <c r="I1825" s="23" t="str">
        <f aca="false">IF(B1825="","","")</f>
        <v/>
      </c>
      <c r="J1825" s="23" t="str">
        <f aca="false">IF(B1825="","","touch_1; "&amp;IFERROR(INDEX(Clay_Offices!$A$2:$FZ$601,174,Sync!$C$10)&amp;"","")&amp;"; "&amp;IFERROR(INDEX(Clay_Offices!$A$2:$FZ$601,174,Sync!$C$9)&amp;"",""))</f>
        <v/>
      </c>
      <c r="K1825" s="32" t="s">
        <v>1363</v>
      </c>
    </row>
    <row r="1826" customFormat="false" ht="15" hidden="false" customHeight="false" outlineLevel="0" collapsed="false">
      <c r="A1826" s="23" t="str">
        <f aca="false">IF(B1826="","",B1826+(12*1000+175)/10000000)</f>
        <v/>
      </c>
      <c r="B1826" s="35" t="str">
        <f aca="false">IF(AND(IFERROR(N(INDEX(Clay_Offices!$A$2:$FZ$601,175,Sync!$C$11)),0)&gt;0,IFERROR(INDEX(Clay_Offices!$A$2:$FZ$601,175,Sync!$C$5)&amp;"","")&lt;&gt;"",OR(LEFT(IFERROR(INDEX(Clay_Offices!$A$2:$FZ$601,175,Sync!$C$5)&amp;"",""),6)&lt;&gt;"SAMPLE",Config!$B$19="Y")),IFERROR(N(INDEX(Clay_Offices!$A$2:$FZ$601,175,Sync!$C$11)),0),"")</f>
        <v/>
      </c>
      <c r="C1826" s="23" t="str">
        <f aca="false">IF(B1826="","","office")</f>
        <v/>
      </c>
      <c r="D1826" s="23" t="str">
        <f aca="false">IF(B1826="","",IFERROR(INDEX(Office_Log!$ED$2:$ED$201,MATCH(IFERROR(INDEX(Clay_Offices!$A$2:$FZ$601,175,Sync!$C$5)&amp;"",""),Office_Log!$A$2:$A$201,0))&amp;"",IFERROR(INDEX(Clay_Offices!$A$2:$FZ$601,175,Sync!$C$5)&amp;"","")&amp;""))</f>
        <v/>
      </c>
      <c r="E1826" s="23" t="str">
        <f aca="false">IF(B1826="","",IFERROR(INDEX(Clay_Offices!$A$2:$FZ$601,175,Sync!$C$6)&amp;"",""))</f>
        <v/>
      </c>
      <c r="F1826" s="23" t="str">
        <f aca="false">IF(B1826="","","outreach_sent")</f>
        <v/>
      </c>
      <c r="G1826" s="23" t="str">
        <f aca="false">IF(B1826="","","")</f>
        <v/>
      </c>
      <c r="H1826" s="23" t="str">
        <f aca="false">IF(B1826="","","")</f>
        <v/>
      </c>
      <c r="I1826" s="23" t="str">
        <f aca="false">IF(B1826="","","")</f>
        <v/>
      </c>
      <c r="J1826" s="23" t="str">
        <f aca="false">IF(B1826="","","touch_1; "&amp;IFERROR(INDEX(Clay_Offices!$A$2:$FZ$601,175,Sync!$C$10)&amp;"","")&amp;"; "&amp;IFERROR(INDEX(Clay_Offices!$A$2:$FZ$601,175,Sync!$C$9)&amp;"",""))</f>
        <v/>
      </c>
      <c r="K1826" s="32" t="s">
        <v>1363</v>
      </c>
    </row>
    <row r="1827" customFormat="false" ht="15" hidden="false" customHeight="false" outlineLevel="0" collapsed="false">
      <c r="A1827" s="23" t="str">
        <f aca="false">IF(B1827="","",B1827+(12*1000+176)/10000000)</f>
        <v/>
      </c>
      <c r="B1827" s="35" t="str">
        <f aca="false">IF(AND(IFERROR(N(INDEX(Clay_Offices!$A$2:$FZ$601,176,Sync!$C$11)),0)&gt;0,IFERROR(INDEX(Clay_Offices!$A$2:$FZ$601,176,Sync!$C$5)&amp;"","")&lt;&gt;"",OR(LEFT(IFERROR(INDEX(Clay_Offices!$A$2:$FZ$601,176,Sync!$C$5)&amp;"",""),6)&lt;&gt;"SAMPLE",Config!$B$19="Y")),IFERROR(N(INDEX(Clay_Offices!$A$2:$FZ$601,176,Sync!$C$11)),0),"")</f>
        <v/>
      </c>
      <c r="C1827" s="23" t="str">
        <f aca="false">IF(B1827="","","office")</f>
        <v/>
      </c>
      <c r="D1827" s="23" t="str">
        <f aca="false">IF(B1827="","",IFERROR(INDEX(Office_Log!$ED$2:$ED$201,MATCH(IFERROR(INDEX(Clay_Offices!$A$2:$FZ$601,176,Sync!$C$5)&amp;"",""),Office_Log!$A$2:$A$201,0))&amp;"",IFERROR(INDEX(Clay_Offices!$A$2:$FZ$601,176,Sync!$C$5)&amp;"","")&amp;""))</f>
        <v/>
      </c>
      <c r="E1827" s="23" t="str">
        <f aca="false">IF(B1827="","",IFERROR(INDEX(Clay_Offices!$A$2:$FZ$601,176,Sync!$C$6)&amp;"",""))</f>
        <v/>
      </c>
      <c r="F1827" s="23" t="str">
        <f aca="false">IF(B1827="","","outreach_sent")</f>
        <v/>
      </c>
      <c r="G1827" s="23" t="str">
        <f aca="false">IF(B1827="","","")</f>
        <v/>
      </c>
      <c r="H1827" s="23" t="str">
        <f aca="false">IF(B1827="","","")</f>
        <v/>
      </c>
      <c r="I1827" s="23" t="str">
        <f aca="false">IF(B1827="","","")</f>
        <v/>
      </c>
      <c r="J1827" s="23" t="str">
        <f aca="false">IF(B1827="","","touch_1; "&amp;IFERROR(INDEX(Clay_Offices!$A$2:$FZ$601,176,Sync!$C$10)&amp;"","")&amp;"; "&amp;IFERROR(INDEX(Clay_Offices!$A$2:$FZ$601,176,Sync!$C$9)&amp;"",""))</f>
        <v/>
      </c>
      <c r="K1827" s="32" t="s">
        <v>1363</v>
      </c>
    </row>
    <row r="1828" customFormat="false" ht="15" hidden="false" customHeight="false" outlineLevel="0" collapsed="false">
      <c r="A1828" s="23" t="str">
        <f aca="false">IF(B1828="","",B1828+(12*1000+177)/10000000)</f>
        <v/>
      </c>
      <c r="B1828" s="35" t="str">
        <f aca="false">IF(AND(IFERROR(N(INDEX(Clay_Offices!$A$2:$FZ$601,177,Sync!$C$11)),0)&gt;0,IFERROR(INDEX(Clay_Offices!$A$2:$FZ$601,177,Sync!$C$5)&amp;"","")&lt;&gt;"",OR(LEFT(IFERROR(INDEX(Clay_Offices!$A$2:$FZ$601,177,Sync!$C$5)&amp;"",""),6)&lt;&gt;"SAMPLE",Config!$B$19="Y")),IFERROR(N(INDEX(Clay_Offices!$A$2:$FZ$601,177,Sync!$C$11)),0),"")</f>
        <v/>
      </c>
      <c r="C1828" s="23" t="str">
        <f aca="false">IF(B1828="","","office")</f>
        <v/>
      </c>
      <c r="D1828" s="23" t="str">
        <f aca="false">IF(B1828="","",IFERROR(INDEX(Office_Log!$ED$2:$ED$201,MATCH(IFERROR(INDEX(Clay_Offices!$A$2:$FZ$601,177,Sync!$C$5)&amp;"",""),Office_Log!$A$2:$A$201,0))&amp;"",IFERROR(INDEX(Clay_Offices!$A$2:$FZ$601,177,Sync!$C$5)&amp;"","")&amp;""))</f>
        <v/>
      </c>
      <c r="E1828" s="23" t="str">
        <f aca="false">IF(B1828="","",IFERROR(INDEX(Clay_Offices!$A$2:$FZ$601,177,Sync!$C$6)&amp;"",""))</f>
        <v/>
      </c>
      <c r="F1828" s="23" t="str">
        <f aca="false">IF(B1828="","","outreach_sent")</f>
        <v/>
      </c>
      <c r="G1828" s="23" t="str">
        <f aca="false">IF(B1828="","","")</f>
        <v/>
      </c>
      <c r="H1828" s="23" t="str">
        <f aca="false">IF(B1828="","","")</f>
        <v/>
      </c>
      <c r="I1828" s="23" t="str">
        <f aca="false">IF(B1828="","","")</f>
        <v/>
      </c>
      <c r="J1828" s="23" t="str">
        <f aca="false">IF(B1828="","","touch_1; "&amp;IFERROR(INDEX(Clay_Offices!$A$2:$FZ$601,177,Sync!$C$10)&amp;"","")&amp;"; "&amp;IFERROR(INDEX(Clay_Offices!$A$2:$FZ$601,177,Sync!$C$9)&amp;"",""))</f>
        <v/>
      </c>
      <c r="K1828" s="32" t="s">
        <v>1363</v>
      </c>
    </row>
    <row r="1829" customFormat="false" ht="15" hidden="false" customHeight="false" outlineLevel="0" collapsed="false">
      <c r="A1829" s="23" t="str">
        <f aca="false">IF(B1829="","",B1829+(12*1000+178)/10000000)</f>
        <v/>
      </c>
      <c r="B1829" s="35" t="str">
        <f aca="false">IF(AND(IFERROR(N(INDEX(Clay_Offices!$A$2:$FZ$601,178,Sync!$C$11)),0)&gt;0,IFERROR(INDEX(Clay_Offices!$A$2:$FZ$601,178,Sync!$C$5)&amp;"","")&lt;&gt;"",OR(LEFT(IFERROR(INDEX(Clay_Offices!$A$2:$FZ$601,178,Sync!$C$5)&amp;"",""),6)&lt;&gt;"SAMPLE",Config!$B$19="Y")),IFERROR(N(INDEX(Clay_Offices!$A$2:$FZ$601,178,Sync!$C$11)),0),"")</f>
        <v/>
      </c>
      <c r="C1829" s="23" t="str">
        <f aca="false">IF(B1829="","","office")</f>
        <v/>
      </c>
      <c r="D1829" s="23" t="str">
        <f aca="false">IF(B1829="","",IFERROR(INDEX(Office_Log!$ED$2:$ED$201,MATCH(IFERROR(INDEX(Clay_Offices!$A$2:$FZ$601,178,Sync!$C$5)&amp;"",""),Office_Log!$A$2:$A$201,0))&amp;"",IFERROR(INDEX(Clay_Offices!$A$2:$FZ$601,178,Sync!$C$5)&amp;"","")&amp;""))</f>
        <v/>
      </c>
      <c r="E1829" s="23" t="str">
        <f aca="false">IF(B1829="","",IFERROR(INDEX(Clay_Offices!$A$2:$FZ$601,178,Sync!$C$6)&amp;"",""))</f>
        <v/>
      </c>
      <c r="F1829" s="23" t="str">
        <f aca="false">IF(B1829="","","outreach_sent")</f>
        <v/>
      </c>
      <c r="G1829" s="23" t="str">
        <f aca="false">IF(B1829="","","")</f>
        <v/>
      </c>
      <c r="H1829" s="23" t="str">
        <f aca="false">IF(B1829="","","")</f>
        <v/>
      </c>
      <c r="I1829" s="23" t="str">
        <f aca="false">IF(B1829="","","")</f>
        <v/>
      </c>
      <c r="J1829" s="23" t="str">
        <f aca="false">IF(B1829="","","touch_1; "&amp;IFERROR(INDEX(Clay_Offices!$A$2:$FZ$601,178,Sync!$C$10)&amp;"","")&amp;"; "&amp;IFERROR(INDEX(Clay_Offices!$A$2:$FZ$601,178,Sync!$C$9)&amp;"",""))</f>
        <v/>
      </c>
      <c r="K1829" s="32" t="s">
        <v>1363</v>
      </c>
    </row>
    <row r="1830" customFormat="false" ht="15" hidden="false" customHeight="false" outlineLevel="0" collapsed="false">
      <c r="A1830" s="23" t="str">
        <f aca="false">IF(B1830="","",B1830+(12*1000+179)/10000000)</f>
        <v/>
      </c>
      <c r="B1830" s="35" t="str">
        <f aca="false">IF(AND(IFERROR(N(INDEX(Clay_Offices!$A$2:$FZ$601,179,Sync!$C$11)),0)&gt;0,IFERROR(INDEX(Clay_Offices!$A$2:$FZ$601,179,Sync!$C$5)&amp;"","")&lt;&gt;"",OR(LEFT(IFERROR(INDEX(Clay_Offices!$A$2:$FZ$601,179,Sync!$C$5)&amp;"",""),6)&lt;&gt;"SAMPLE",Config!$B$19="Y")),IFERROR(N(INDEX(Clay_Offices!$A$2:$FZ$601,179,Sync!$C$11)),0),"")</f>
        <v/>
      </c>
      <c r="C1830" s="23" t="str">
        <f aca="false">IF(B1830="","","office")</f>
        <v/>
      </c>
      <c r="D1830" s="23" t="str">
        <f aca="false">IF(B1830="","",IFERROR(INDEX(Office_Log!$ED$2:$ED$201,MATCH(IFERROR(INDEX(Clay_Offices!$A$2:$FZ$601,179,Sync!$C$5)&amp;"",""),Office_Log!$A$2:$A$201,0))&amp;"",IFERROR(INDEX(Clay_Offices!$A$2:$FZ$601,179,Sync!$C$5)&amp;"","")&amp;""))</f>
        <v/>
      </c>
      <c r="E1830" s="23" t="str">
        <f aca="false">IF(B1830="","",IFERROR(INDEX(Clay_Offices!$A$2:$FZ$601,179,Sync!$C$6)&amp;"",""))</f>
        <v/>
      </c>
      <c r="F1830" s="23" t="str">
        <f aca="false">IF(B1830="","","outreach_sent")</f>
        <v/>
      </c>
      <c r="G1830" s="23" t="str">
        <f aca="false">IF(B1830="","","")</f>
        <v/>
      </c>
      <c r="H1830" s="23" t="str">
        <f aca="false">IF(B1830="","","")</f>
        <v/>
      </c>
      <c r="I1830" s="23" t="str">
        <f aca="false">IF(B1830="","","")</f>
        <v/>
      </c>
      <c r="J1830" s="23" t="str">
        <f aca="false">IF(B1830="","","touch_1; "&amp;IFERROR(INDEX(Clay_Offices!$A$2:$FZ$601,179,Sync!$C$10)&amp;"","")&amp;"; "&amp;IFERROR(INDEX(Clay_Offices!$A$2:$FZ$601,179,Sync!$C$9)&amp;"",""))</f>
        <v/>
      </c>
      <c r="K1830" s="32" t="s">
        <v>1363</v>
      </c>
    </row>
    <row r="1831" customFormat="false" ht="15" hidden="false" customHeight="false" outlineLevel="0" collapsed="false">
      <c r="A1831" s="23" t="str">
        <f aca="false">IF(B1831="","",B1831+(12*1000+180)/10000000)</f>
        <v/>
      </c>
      <c r="B1831" s="35" t="str">
        <f aca="false">IF(AND(IFERROR(N(INDEX(Clay_Offices!$A$2:$FZ$601,180,Sync!$C$11)),0)&gt;0,IFERROR(INDEX(Clay_Offices!$A$2:$FZ$601,180,Sync!$C$5)&amp;"","")&lt;&gt;"",OR(LEFT(IFERROR(INDEX(Clay_Offices!$A$2:$FZ$601,180,Sync!$C$5)&amp;"",""),6)&lt;&gt;"SAMPLE",Config!$B$19="Y")),IFERROR(N(INDEX(Clay_Offices!$A$2:$FZ$601,180,Sync!$C$11)),0),"")</f>
        <v/>
      </c>
      <c r="C1831" s="23" t="str">
        <f aca="false">IF(B1831="","","office")</f>
        <v/>
      </c>
      <c r="D1831" s="23" t="str">
        <f aca="false">IF(B1831="","",IFERROR(INDEX(Office_Log!$ED$2:$ED$201,MATCH(IFERROR(INDEX(Clay_Offices!$A$2:$FZ$601,180,Sync!$C$5)&amp;"",""),Office_Log!$A$2:$A$201,0))&amp;"",IFERROR(INDEX(Clay_Offices!$A$2:$FZ$601,180,Sync!$C$5)&amp;"","")&amp;""))</f>
        <v/>
      </c>
      <c r="E1831" s="23" t="str">
        <f aca="false">IF(B1831="","",IFERROR(INDEX(Clay_Offices!$A$2:$FZ$601,180,Sync!$C$6)&amp;"",""))</f>
        <v/>
      </c>
      <c r="F1831" s="23" t="str">
        <f aca="false">IF(B1831="","","outreach_sent")</f>
        <v/>
      </c>
      <c r="G1831" s="23" t="str">
        <f aca="false">IF(B1831="","","")</f>
        <v/>
      </c>
      <c r="H1831" s="23" t="str">
        <f aca="false">IF(B1831="","","")</f>
        <v/>
      </c>
      <c r="I1831" s="23" t="str">
        <f aca="false">IF(B1831="","","")</f>
        <v/>
      </c>
      <c r="J1831" s="23" t="str">
        <f aca="false">IF(B1831="","","touch_1; "&amp;IFERROR(INDEX(Clay_Offices!$A$2:$FZ$601,180,Sync!$C$10)&amp;"","")&amp;"; "&amp;IFERROR(INDEX(Clay_Offices!$A$2:$FZ$601,180,Sync!$C$9)&amp;"",""))</f>
        <v/>
      </c>
      <c r="K1831" s="32" t="s">
        <v>1363</v>
      </c>
    </row>
    <row r="1832" customFormat="false" ht="15" hidden="false" customHeight="false" outlineLevel="0" collapsed="false">
      <c r="A1832" s="23" t="str">
        <f aca="false">IF(B1832="","",B1832+(12*1000+181)/10000000)</f>
        <v/>
      </c>
      <c r="B1832" s="35" t="str">
        <f aca="false">IF(AND(IFERROR(N(INDEX(Clay_Offices!$A$2:$FZ$601,181,Sync!$C$11)),0)&gt;0,IFERROR(INDEX(Clay_Offices!$A$2:$FZ$601,181,Sync!$C$5)&amp;"","")&lt;&gt;"",OR(LEFT(IFERROR(INDEX(Clay_Offices!$A$2:$FZ$601,181,Sync!$C$5)&amp;"",""),6)&lt;&gt;"SAMPLE",Config!$B$19="Y")),IFERROR(N(INDEX(Clay_Offices!$A$2:$FZ$601,181,Sync!$C$11)),0),"")</f>
        <v/>
      </c>
      <c r="C1832" s="23" t="str">
        <f aca="false">IF(B1832="","","office")</f>
        <v/>
      </c>
      <c r="D1832" s="23" t="str">
        <f aca="false">IF(B1832="","",IFERROR(INDEX(Office_Log!$ED$2:$ED$201,MATCH(IFERROR(INDEX(Clay_Offices!$A$2:$FZ$601,181,Sync!$C$5)&amp;"",""),Office_Log!$A$2:$A$201,0))&amp;"",IFERROR(INDEX(Clay_Offices!$A$2:$FZ$601,181,Sync!$C$5)&amp;"","")&amp;""))</f>
        <v/>
      </c>
      <c r="E1832" s="23" t="str">
        <f aca="false">IF(B1832="","",IFERROR(INDEX(Clay_Offices!$A$2:$FZ$601,181,Sync!$C$6)&amp;"",""))</f>
        <v/>
      </c>
      <c r="F1832" s="23" t="str">
        <f aca="false">IF(B1832="","","outreach_sent")</f>
        <v/>
      </c>
      <c r="G1832" s="23" t="str">
        <f aca="false">IF(B1832="","","")</f>
        <v/>
      </c>
      <c r="H1832" s="23" t="str">
        <f aca="false">IF(B1832="","","")</f>
        <v/>
      </c>
      <c r="I1832" s="23" t="str">
        <f aca="false">IF(B1832="","","")</f>
        <v/>
      </c>
      <c r="J1832" s="23" t="str">
        <f aca="false">IF(B1832="","","touch_1; "&amp;IFERROR(INDEX(Clay_Offices!$A$2:$FZ$601,181,Sync!$C$10)&amp;"","")&amp;"; "&amp;IFERROR(INDEX(Clay_Offices!$A$2:$FZ$601,181,Sync!$C$9)&amp;"",""))</f>
        <v/>
      </c>
      <c r="K1832" s="32" t="s">
        <v>1363</v>
      </c>
    </row>
    <row r="1833" customFormat="false" ht="15" hidden="false" customHeight="false" outlineLevel="0" collapsed="false">
      <c r="A1833" s="23" t="str">
        <f aca="false">IF(B1833="","",B1833+(12*1000+182)/10000000)</f>
        <v/>
      </c>
      <c r="B1833" s="35" t="str">
        <f aca="false">IF(AND(IFERROR(N(INDEX(Clay_Offices!$A$2:$FZ$601,182,Sync!$C$11)),0)&gt;0,IFERROR(INDEX(Clay_Offices!$A$2:$FZ$601,182,Sync!$C$5)&amp;"","")&lt;&gt;"",OR(LEFT(IFERROR(INDEX(Clay_Offices!$A$2:$FZ$601,182,Sync!$C$5)&amp;"",""),6)&lt;&gt;"SAMPLE",Config!$B$19="Y")),IFERROR(N(INDEX(Clay_Offices!$A$2:$FZ$601,182,Sync!$C$11)),0),"")</f>
        <v/>
      </c>
      <c r="C1833" s="23" t="str">
        <f aca="false">IF(B1833="","","office")</f>
        <v/>
      </c>
      <c r="D1833" s="23" t="str">
        <f aca="false">IF(B1833="","",IFERROR(INDEX(Office_Log!$ED$2:$ED$201,MATCH(IFERROR(INDEX(Clay_Offices!$A$2:$FZ$601,182,Sync!$C$5)&amp;"",""),Office_Log!$A$2:$A$201,0))&amp;"",IFERROR(INDEX(Clay_Offices!$A$2:$FZ$601,182,Sync!$C$5)&amp;"","")&amp;""))</f>
        <v/>
      </c>
      <c r="E1833" s="23" t="str">
        <f aca="false">IF(B1833="","",IFERROR(INDEX(Clay_Offices!$A$2:$FZ$601,182,Sync!$C$6)&amp;"",""))</f>
        <v/>
      </c>
      <c r="F1833" s="23" t="str">
        <f aca="false">IF(B1833="","","outreach_sent")</f>
        <v/>
      </c>
      <c r="G1833" s="23" t="str">
        <f aca="false">IF(B1833="","","")</f>
        <v/>
      </c>
      <c r="H1833" s="23" t="str">
        <f aca="false">IF(B1833="","","")</f>
        <v/>
      </c>
      <c r="I1833" s="23" t="str">
        <f aca="false">IF(B1833="","","")</f>
        <v/>
      </c>
      <c r="J1833" s="23" t="str">
        <f aca="false">IF(B1833="","","touch_1; "&amp;IFERROR(INDEX(Clay_Offices!$A$2:$FZ$601,182,Sync!$C$10)&amp;"","")&amp;"; "&amp;IFERROR(INDEX(Clay_Offices!$A$2:$FZ$601,182,Sync!$C$9)&amp;"",""))</f>
        <v/>
      </c>
      <c r="K1833" s="32" t="s">
        <v>1363</v>
      </c>
    </row>
    <row r="1834" customFormat="false" ht="15" hidden="false" customHeight="false" outlineLevel="0" collapsed="false">
      <c r="A1834" s="23" t="str">
        <f aca="false">IF(B1834="","",B1834+(12*1000+183)/10000000)</f>
        <v/>
      </c>
      <c r="B1834" s="35" t="str">
        <f aca="false">IF(AND(IFERROR(N(INDEX(Clay_Offices!$A$2:$FZ$601,183,Sync!$C$11)),0)&gt;0,IFERROR(INDEX(Clay_Offices!$A$2:$FZ$601,183,Sync!$C$5)&amp;"","")&lt;&gt;"",OR(LEFT(IFERROR(INDEX(Clay_Offices!$A$2:$FZ$601,183,Sync!$C$5)&amp;"",""),6)&lt;&gt;"SAMPLE",Config!$B$19="Y")),IFERROR(N(INDEX(Clay_Offices!$A$2:$FZ$601,183,Sync!$C$11)),0),"")</f>
        <v/>
      </c>
      <c r="C1834" s="23" t="str">
        <f aca="false">IF(B1834="","","office")</f>
        <v/>
      </c>
      <c r="D1834" s="23" t="str">
        <f aca="false">IF(B1834="","",IFERROR(INDEX(Office_Log!$ED$2:$ED$201,MATCH(IFERROR(INDEX(Clay_Offices!$A$2:$FZ$601,183,Sync!$C$5)&amp;"",""),Office_Log!$A$2:$A$201,0))&amp;"",IFERROR(INDEX(Clay_Offices!$A$2:$FZ$601,183,Sync!$C$5)&amp;"","")&amp;""))</f>
        <v/>
      </c>
      <c r="E1834" s="23" t="str">
        <f aca="false">IF(B1834="","",IFERROR(INDEX(Clay_Offices!$A$2:$FZ$601,183,Sync!$C$6)&amp;"",""))</f>
        <v/>
      </c>
      <c r="F1834" s="23" t="str">
        <f aca="false">IF(B1834="","","outreach_sent")</f>
        <v/>
      </c>
      <c r="G1834" s="23" t="str">
        <f aca="false">IF(B1834="","","")</f>
        <v/>
      </c>
      <c r="H1834" s="23" t="str">
        <f aca="false">IF(B1834="","","")</f>
        <v/>
      </c>
      <c r="I1834" s="23" t="str">
        <f aca="false">IF(B1834="","","")</f>
        <v/>
      </c>
      <c r="J1834" s="23" t="str">
        <f aca="false">IF(B1834="","","touch_1; "&amp;IFERROR(INDEX(Clay_Offices!$A$2:$FZ$601,183,Sync!$C$10)&amp;"","")&amp;"; "&amp;IFERROR(INDEX(Clay_Offices!$A$2:$FZ$601,183,Sync!$C$9)&amp;"",""))</f>
        <v/>
      </c>
      <c r="K1834" s="32" t="s">
        <v>1363</v>
      </c>
    </row>
    <row r="1835" customFormat="false" ht="15" hidden="false" customHeight="false" outlineLevel="0" collapsed="false">
      <c r="A1835" s="23" t="str">
        <f aca="false">IF(B1835="","",B1835+(12*1000+184)/10000000)</f>
        <v/>
      </c>
      <c r="B1835" s="35" t="str">
        <f aca="false">IF(AND(IFERROR(N(INDEX(Clay_Offices!$A$2:$FZ$601,184,Sync!$C$11)),0)&gt;0,IFERROR(INDEX(Clay_Offices!$A$2:$FZ$601,184,Sync!$C$5)&amp;"","")&lt;&gt;"",OR(LEFT(IFERROR(INDEX(Clay_Offices!$A$2:$FZ$601,184,Sync!$C$5)&amp;"",""),6)&lt;&gt;"SAMPLE",Config!$B$19="Y")),IFERROR(N(INDEX(Clay_Offices!$A$2:$FZ$601,184,Sync!$C$11)),0),"")</f>
        <v/>
      </c>
      <c r="C1835" s="23" t="str">
        <f aca="false">IF(B1835="","","office")</f>
        <v/>
      </c>
      <c r="D1835" s="23" t="str">
        <f aca="false">IF(B1835="","",IFERROR(INDEX(Office_Log!$ED$2:$ED$201,MATCH(IFERROR(INDEX(Clay_Offices!$A$2:$FZ$601,184,Sync!$C$5)&amp;"",""),Office_Log!$A$2:$A$201,0))&amp;"",IFERROR(INDEX(Clay_Offices!$A$2:$FZ$601,184,Sync!$C$5)&amp;"","")&amp;""))</f>
        <v/>
      </c>
      <c r="E1835" s="23" t="str">
        <f aca="false">IF(B1835="","",IFERROR(INDEX(Clay_Offices!$A$2:$FZ$601,184,Sync!$C$6)&amp;"",""))</f>
        <v/>
      </c>
      <c r="F1835" s="23" t="str">
        <f aca="false">IF(B1835="","","outreach_sent")</f>
        <v/>
      </c>
      <c r="G1835" s="23" t="str">
        <f aca="false">IF(B1835="","","")</f>
        <v/>
      </c>
      <c r="H1835" s="23" t="str">
        <f aca="false">IF(B1835="","","")</f>
        <v/>
      </c>
      <c r="I1835" s="23" t="str">
        <f aca="false">IF(B1835="","","")</f>
        <v/>
      </c>
      <c r="J1835" s="23" t="str">
        <f aca="false">IF(B1835="","","touch_1; "&amp;IFERROR(INDEX(Clay_Offices!$A$2:$FZ$601,184,Sync!$C$10)&amp;"","")&amp;"; "&amp;IFERROR(INDEX(Clay_Offices!$A$2:$FZ$601,184,Sync!$C$9)&amp;"",""))</f>
        <v/>
      </c>
      <c r="K1835" s="32" t="s">
        <v>1363</v>
      </c>
    </row>
    <row r="1836" customFormat="false" ht="15" hidden="false" customHeight="false" outlineLevel="0" collapsed="false">
      <c r="A1836" s="23" t="str">
        <f aca="false">IF(B1836="","",B1836+(12*1000+185)/10000000)</f>
        <v/>
      </c>
      <c r="B1836" s="35" t="str">
        <f aca="false">IF(AND(IFERROR(N(INDEX(Clay_Offices!$A$2:$FZ$601,185,Sync!$C$11)),0)&gt;0,IFERROR(INDEX(Clay_Offices!$A$2:$FZ$601,185,Sync!$C$5)&amp;"","")&lt;&gt;"",OR(LEFT(IFERROR(INDEX(Clay_Offices!$A$2:$FZ$601,185,Sync!$C$5)&amp;"",""),6)&lt;&gt;"SAMPLE",Config!$B$19="Y")),IFERROR(N(INDEX(Clay_Offices!$A$2:$FZ$601,185,Sync!$C$11)),0),"")</f>
        <v/>
      </c>
      <c r="C1836" s="23" t="str">
        <f aca="false">IF(B1836="","","office")</f>
        <v/>
      </c>
      <c r="D1836" s="23" t="str">
        <f aca="false">IF(B1836="","",IFERROR(INDEX(Office_Log!$ED$2:$ED$201,MATCH(IFERROR(INDEX(Clay_Offices!$A$2:$FZ$601,185,Sync!$C$5)&amp;"",""),Office_Log!$A$2:$A$201,0))&amp;"",IFERROR(INDEX(Clay_Offices!$A$2:$FZ$601,185,Sync!$C$5)&amp;"","")&amp;""))</f>
        <v/>
      </c>
      <c r="E1836" s="23" t="str">
        <f aca="false">IF(B1836="","",IFERROR(INDEX(Clay_Offices!$A$2:$FZ$601,185,Sync!$C$6)&amp;"",""))</f>
        <v/>
      </c>
      <c r="F1836" s="23" t="str">
        <f aca="false">IF(B1836="","","outreach_sent")</f>
        <v/>
      </c>
      <c r="G1836" s="23" t="str">
        <f aca="false">IF(B1836="","","")</f>
        <v/>
      </c>
      <c r="H1836" s="23" t="str">
        <f aca="false">IF(B1836="","","")</f>
        <v/>
      </c>
      <c r="I1836" s="23" t="str">
        <f aca="false">IF(B1836="","","")</f>
        <v/>
      </c>
      <c r="J1836" s="23" t="str">
        <f aca="false">IF(B1836="","","touch_1; "&amp;IFERROR(INDEX(Clay_Offices!$A$2:$FZ$601,185,Sync!$C$10)&amp;"","")&amp;"; "&amp;IFERROR(INDEX(Clay_Offices!$A$2:$FZ$601,185,Sync!$C$9)&amp;"",""))</f>
        <v/>
      </c>
      <c r="K1836" s="32" t="s">
        <v>1363</v>
      </c>
    </row>
    <row r="1837" customFormat="false" ht="15" hidden="false" customHeight="false" outlineLevel="0" collapsed="false">
      <c r="A1837" s="23" t="str">
        <f aca="false">IF(B1837="","",B1837+(12*1000+186)/10000000)</f>
        <v/>
      </c>
      <c r="B1837" s="35" t="str">
        <f aca="false">IF(AND(IFERROR(N(INDEX(Clay_Offices!$A$2:$FZ$601,186,Sync!$C$11)),0)&gt;0,IFERROR(INDEX(Clay_Offices!$A$2:$FZ$601,186,Sync!$C$5)&amp;"","")&lt;&gt;"",OR(LEFT(IFERROR(INDEX(Clay_Offices!$A$2:$FZ$601,186,Sync!$C$5)&amp;"",""),6)&lt;&gt;"SAMPLE",Config!$B$19="Y")),IFERROR(N(INDEX(Clay_Offices!$A$2:$FZ$601,186,Sync!$C$11)),0),"")</f>
        <v/>
      </c>
      <c r="C1837" s="23" t="str">
        <f aca="false">IF(B1837="","","office")</f>
        <v/>
      </c>
      <c r="D1837" s="23" t="str">
        <f aca="false">IF(B1837="","",IFERROR(INDEX(Office_Log!$ED$2:$ED$201,MATCH(IFERROR(INDEX(Clay_Offices!$A$2:$FZ$601,186,Sync!$C$5)&amp;"",""),Office_Log!$A$2:$A$201,0))&amp;"",IFERROR(INDEX(Clay_Offices!$A$2:$FZ$601,186,Sync!$C$5)&amp;"","")&amp;""))</f>
        <v/>
      </c>
      <c r="E1837" s="23" t="str">
        <f aca="false">IF(B1837="","",IFERROR(INDEX(Clay_Offices!$A$2:$FZ$601,186,Sync!$C$6)&amp;"",""))</f>
        <v/>
      </c>
      <c r="F1837" s="23" t="str">
        <f aca="false">IF(B1837="","","outreach_sent")</f>
        <v/>
      </c>
      <c r="G1837" s="23" t="str">
        <f aca="false">IF(B1837="","","")</f>
        <v/>
      </c>
      <c r="H1837" s="23" t="str">
        <f aca="false">IF(B1837="","","")</f>
        <v/>
      </c>
      <c r="I1837" s="23" t="str">
        <f aca="false">IF(B1837="","","")</f>
        <v/>
      </c>
      <c r="J1837" s="23" t="str">
        <f aca="false">IF(B1837="","","touch_1; "&amp;IFERROR(INDEX(Clay_Offices!$A$2:$FZ$601,186,Sync!$C$10)&amp;"","")&amp;"; "&amp;IFERROR(INDEX(Clay_Offices!$A$2:$FZ$601,186,Sync!$C$9)&amp;"",""))</f>
        <v/>
      </c>
      <c r="K1837" s="32" t="s">
        <v>1363</v>
      </c>
    </row>
    <row r="1838" customFormat="false" ht="15" hidden="false" customHeight="false" outlineLevel="0" collapsed="false">
      <c r="A1838" s="23" t="str">
        <f aca="false">IF(B1838="","",B1838+(12*1000+187)/10000000)</f>
        <v/>
      </c>
      <c r="B1838" s="35" t="str">
        <f aca="false">IF(AND(IFERROR(N(INDEX(Clay_Offices!$A$2:$FZ$601,187,Sync!$C$11)),0)&gt;0,IFERROR(INDEX(Clay_Offices!$A$2:$FZ$601,187,Sync!$C$5)&amp;"","")&lt;&gt;"",OR(LEFT(IFERROR(INDEX(Clay_Offices!$A$2:$FZ$601,187,Sync!$C$5)&amp;"",""),6)&lt;&gt;"SAMPLE",Config!$B$19="Y")),IFERROR(N(INDEX(Clay_Offices!$A$2:$FZ$601,187,Sync!$C$11)),0),"")</f>
        <v/>
      </c>
      <c r="C1838" s="23" t="str">
        <f aca="false">IF(B1838="","","office")</f>
        <v/>
      </c>
      <c r="D1838" s="23" t="str">
        <f aca="false">IF(B1838="","",IFERROR(INDEX(Office_Log!$ED$2:$ED$201,MATCH(IFERROR(INDEX(Clay_Offices!$A$2:$FZ$601,187,Sync!$C$5)&amp;"",""),Office_Log!$A$2:$A$201,0))&amp;"",IFERROR(INDEX(Clay_Offices!$A$2:$FZ$601,187,Sync!$C$5)&amp;"","")&amp;""))</f>
        <v/>
      </c>
      <c r="E1838" s="23" t="str">
        <f aca="false">IF(B1838="","",IFERROR(INDEX(Clay_Offices!$A$2:$FZ$601,187,Sync!$C$6)&amp;"",""))</f>
        <v/>
      </c>
      <c r="F1838" s="23" t="str">
        <f aca="false">IF(B1838="","","outreach_sent")</f>
        <v/>
      </c>
      <c r="G1838" s="23" t="str">
        <f aca="false">IF(B1838="","","")</f>
        <v/>
      </c>
      <c r="H1838" s="23" t="str">
        <f aca="false">IF(B1838="","","")</f>
        <v/>
      </c>
      <c r="I1838" s="23" t="str">
        <f aca="false">IF(B1838="","","")</f>
        <v/>
      </c>
      <c r="J1838" s="23" t="str">
        <f aca="false">IF(B1838="","","touch_1; "&amp;IFERROR(INDEX(Clay_Offices!$A$2:$FZ$601,187,Sync!$C$10)&amp;"","")&amp;"; "&amp;IFERROR(INDEX(Clay_Offices!$A$2:$FZ$601,187,Sync!$C$9)&amp;"",""))</f>
        <v/>
      </c>
      <c r="K1838" s="32" t="s">
        <v>1363</v>
      </c>
    </row>
    <row r="1839" customFormat="false" ht="15" hidden="false" customHeight="false" outlineLevel="0" collapsed="false">
      <c r="A1839" s="23" t="str">
        <f aca="false">IF(B1839="","",B1839+(12*1000+188)/10000000)</f>
        <v/>
      </c>
      <c r="B1839" s="35" t="str">
        <f aca="false">IF(AND(IFERROR(N(INDEX(Clay_Offices!$A$2:$FZ$601,188,Sync!$C$11)),0)&gt;0,IFERROR(INDEX(Clay_Offices!$A$2:$FZ$601,188,Sync!$C$5)&amp;"","")&lt;&gt;"",OR(LEFT(IFERROR(INDEX(Clay_Offices!$A$2:$FZ$601,188,Sync!$C$5)&amp;"",""),6)&lt;&gt;"SAMPLE",Config!$B$19="Y")),IFERROR(N(INDEX(Clay_Offices!$A$2:$FZ$601,188,Sync!$C$11)),0),"")</f>
        <v/>
      </c>
      <c r="C1839" s="23" t="str">
        <f aca="false">IF(B1839="","","office")</f>
        <v/>
      </c>
      <c r="D1839" s="23" t="str">
        <f aca="false">IF(B1839="","",IFERROR(INDEX(Office_Log!$ED$2:$ED$201,MATCH(IFERROR(INDEX(Clay_Offices!$A$2:$FZ$601,188,Sync!$C$5)&amp;"",""),Office_Log!$A$2:$A$201,0))&amp;"",IFERROR(INDEX(Clay_Offices!$A$2:$FZ$601,188,Sync!$C$5)&amp;"","")&amp;""))</f>
        <v/>
      </c>
      <c r="E1839" s="23" t="str">
        <f aca="false">IF(B1839="","",IFERROR(INDEX(Clay_Offices!$A$2:$FZ$601,188,Sync!$C$6)&amp;"",""))</f>
        <v/>
      </c>
      <c r="F1839" s="23" t="str">
        <f aca="false">IF(B1839="","","outreach_sent")</f>
        <v/>
      </c>
      <c r="G1839" s="23" t="str">
        <f aca="false">IF(B1839="","","")</f>
        <v/>
      </c>
      <c r="H1839" s="23" t="str">
        <f aca="false">IF(B1839="","","")</f>
        <v/>
      </c>
      <c r="I1839" s="23" t="str">
        <f aca="false">IF(B1839="","","")</f>
        <v/>
      </c>
      <c r="J1839" s="23" t="str">
        <f aca="false">IF(B1839="","","touch_1; "&amp;IFERROR(INDEX(Clay_Offices!$A$2:$FZ$601,188,Sync!$C$10)&amp;"","")&amp;"; "&amp;IFERROR(INDEX(Clay_Offices!$A$2:$FZ$601,188,Sync!$C$9)&amp;"",""))</f>
        <v/>
      </c>
      <c r="K1839" s="32" t="s">
        <v>1363</v>
      </c>
    </row>
    <row r="1840" customFormat="false" ht="15" hidden="false" customHeight="false" outlineLevel="0" collapsed="false">
      <c r="A1840" s="23" t="str">
        <f aca="false">IF(B1840="","",B1840+(12*1000+189)/10000000)</f>
        <v/>
      </c>
      <c r="B1840" s="35" t="str">
        <f aca="false">IF(AND(IFERROR(N(INDEX(Clay_Offices!$A$2:$FZ$601,189,Sync!$C$11)),0)&gt;0,IFERROR(INDEX(Clay_Offices!$A$2:$FZ$601,189,Sync!$C$5)&amp;"","")&lt;&gt;"",OR(LEFT(IFERROR(INDEX(Clay_Offices!$A$2:$FZ$601,189,Sync!$C$5)&amp;"",""),6)&lt;&gt;"SAMPLE",Config!$B$19="Y")),IFERROR(N(INDEX(Clay_Offices!$A$2:$FZ$601,189,Sync!$C$11)),0),"")</f>
        <v/>
      </c>
      <c r="C1840" s="23" t="str">
        <f aca="false">IF(B1840="","","office")</f>
        <v/>
      </c>
      <c r="D1840" s="23" t="str">
        <f aca="false">IF(B1840="","",IFERROR(INDEX(Office_Log!$ED$2:$ED$201,MATCH(IFERROR(INDEX(Clay_Offices!$A$2:$FZ$601,189,Sync!$C$5)&amp;"",""),Office_Log!$A$2:$A$201,0))&amp;"",IFERROR(INDEX(Clay_Offices!$A$2:$FZ$601,189,Sync!$C$5)&amp;"","")&amp;""))</f>
        <v/>
      </c>
      <c r="E1840" s="23" t="str">
        <f aca="false">IF(B1840="","",IFERROR(INDEX(Clay_Offices!$A$2:$FZ$601,189,Sync!$C$6)&amp;"",""))</f>
        <v/>
      </c>
      <c r="F1840" s="23" t="str">
        <f aca="false">IF(B1840="","","outreach_sent")</f>
        <v/>
      </c>
      <c r="G1840" s="23" t="str">
        <f aca="false">IF(B1840="","","")</f>
        <v/>
      </c>
      <c r="H1840" s="23" t="str">
        <f aca="false">IF(B1840="","","")</f>
        <v/>
      </c>
      <c r="I1840" s="23" t="str">
        <f aca="false">IF(B1840="","","")</f>
        <v/>
      </c>
      <c r="J1840" s="23" t="str">
        <f aca="false">IF(B1840="","","touch_1; "&amp;IFERROR(INDEX(Clay_Offices!$A$2:$FZ$601,189,Sync!$C$10)&amp;"","")&amp;"; "&amp;IFERROR(INDEX(Clay_Offices!$A$2:$FZ$601,189,Sync!$C$9)&amp;"",""))</f>
        <v/>
      </c>
      <c r="K1840" s="32" t="s">
        <v>1363</v>
      </c>
    </row>
    <row r="1841" customFormat="false" ht="15" hidden="false" customHeight="false" outlineLevel="0" collapsed="false">
      <c r="A1841" s="23" t="str">
        <f aca="false">IF(B1841="","",B1841+(12*1000+190)/10000000)</f>
        <v/>
      </c>
      <c r="B1841" s="35" t="str">
        <f aca="false">IF(AND(IFERROR(N(INDEX(Clay_Offices!$A$2:$FZ$601,190,Sync!$C$11)),0)&gt;0,IFERROR(INDEX(Clay_Offices!$A$2:$FZ$601,190,Sync!$C$5)&amp;"","")&lt;&gt;"",OR(LEFT(IFERROR(INDEX(Clay_Offices!$A$2:$FZ$601,190,Sync!$C$5)&amp;"",""),6)&lt;&gt;"SAMPLE",Config!$B$19="Y")),IFERROR(N(INDEX(Clay_Offices!$A$2:$FZ$601,190,Sync!$C$11)),0),"")</f>
        <v/>
      </c>
      <c r="C1841" s="23" t="str">
        <f aca="false">IF(B1841="","","office")</f>
        <v/>
      </c>
      <c r="D1841" s="23" t="str">
        <f aca="false">IF(B1841="","",IFERROR(INDEX(Office_Log!$ED$2:$ED$201,MATCH(IFERROR(INDEX(Clay_Offices!$A$2:$FZ$601,190,Sync!$C$5)&amp;"",""),Office_Log!$A$2:$A$201,0))&amp;"",IFERROR(INDEX(Clay_Offices!$A$2:$FZ$601,190,Sync!$C$5)&amp;"","")&amp;""))</f>
        <v/>
      </c>
      <c r="E1841" s="23" t="str">
        <f aca="false">IF(B1841="","",IFERROR(INDEX(Clay_Offices!$A$2:$FZ$601,190,Sync!$C$6)&amp;"",""))</f>
        <v/>
      </c>
      <c r="F1841" s="23" t="str">
        <f aca="false">IF(B1841="","","outreach_sent")</f>
        <v/>
      </c>
      <c r="G1841" s="23" t="str">
        <f aca="false">IF(B1841="","","")</f>
        <v/>
      </c>
      <c r="H1841" s="23" t="str">
        <f aca="false">IF(B1841="","","")</f>
        <v/>
      </c>
      <c r="I1841" s="23" t="str">
        <f aca="false">IF(B1841="","","")</f>
        <v/>
      </c>
      <c r="J1841" s="23" t="str">
        <f aca="false">IF(B1841="","","touch_1; "&amp;IFERROR(INDEX(Clay_Offices!$A$2:$FZ$601,190,Sync!$C$10)&amp;"","")&amp;"; "&amp;IFERROR(INDEX(Clay_Offices!$A$2:$FZ$601,190,Sync!$C$9)&amp;"",""))</f>
        <v/>
      </c>
      <c r="K1841" s="32" t="s">
        <v>1363</v>
      </c>
    </row>
    <row r="1842" customFormat="false" ht="15" hidden="false" customHeight="false" outlineLevel="0" collapsed="false">
      <c r="A1842" s="23" t="str">
        <f aca="false">IF(B1842="","",B1842+(12*1000+191)/10000000)</f>
        <v/>
      </c>
      <c r="B1842" s="35" t="str">
        <f aca="false">IF(AND(IFERROR(N(INDEX(Clay_Offices!$A$2:$FZ$601,191,Sync!$C$11)),0)&gt;0,IFERROR(INDEX(Clay_Offices!$A$2:$FZ$601,191,Sync!$C$5)&amp;"","")&lt;&gt;"",OR(LEFT(IFERROR(INDEX(Clay_Offices!$A$2:$FZ$601,191,Sync!$C$5)&amp;"",""),6)&lt;&gt;"SAMPLE",Config!$B$19="Y")),IFERROR(N(INDEX(Clay_Offices!$A$2:$FZ$601,191,Sync!$C$11)),0),"")</f>
        <v/>
      </c>
      <c r="C1842" s="23" t="str">
        <f aca="false">IF(B1842="","","office")</f>
        <v/>
      </c>
      <c r="D1842" s="23" t="str">
        <f aca="false">IF(B1842="","",IFERROR(INDEX(Office_Log!$ED$2:$ED$201,MATCH(IFERROR(INDEX(Clay_Offices!$A$2:$FZ$601,191,Sync!$C$5)&amp;"",""),Office_Log!$A$2:$A$201,0))&amp;"",IFERROR(INDEX(Clay_Offices!$A$2:$FZ$601,191,Sync!$C$5)&amp;"","")&amp;""))</f>
        <v/>
      </c>
      <c r="E1842" s="23" t="str">
        <f aca="false">IF(B1842="","",IFERROR(INDEX(Clay_Offices!$A$2:$FZ$601,191,Sync!$C$6)&amp;"",""))</f>
        <v/>
      </c>
      <c r="F1842" s="23" t="str">
        <f aca="false">IF(B1842="","","outreach_sent")</f>
        <v/>
      </c>
      <c r="G1842" s="23" t="str">
        <f aca="false">IF(B1842="","","")</f>
        <v/>
      </c>
      <c r="H1842" s="23" t="str">
        <f aca="false">IF(B1842="","","")</f>
        <v/>
      </c>
      <c r="I1842" s="23" t="str">
        <f aca="false">IF(B1842="","","")</f>
        <v/>
      </c>
      <c r="J1842" s="23" t="str">
        <f aca="false">IF(B1842="","","touch_1; "&amp;IFERROR(INDEX(Clay_Offices!$A$2:$FZ$601,191,Sync!$C$10)&amp;"","")&amp;"; "&amp;IFERROR(INDEX(Clay_Offices!$A$2:$FZ$601,191,Sync!$C$9)&amp;"",""))</f>
        <v/>
      </c>
      <c r="K1842" s="32" t="s">
        <v>1363</v>
      </c>
    </row>
    <row r="1843" customFormat="false" ht="15" hidden="false" customHeight="false" outlineLevel="0" collapsed="false">
      <c r="A1843" s="23" t="str">
        <f aca="false">IF(B1843="","",B1843+(12*1000+192)/10000000)</f>
        <v/>
      </c>
      <c r="B1843" s="35" t="str">
        <f aca="false">IF(AND(IFERROR(N(INDEX(Clay_Offices!$A$2:$FZ$601,192,Sync!$C$11)),0)&gt;0,IFERROR(INDEX(Clay_Offices!$A$2:$FZ$601,192,Sync!$C$5)&amp;"","")&lt;&gt;"",OR(LEFT(IFERROR(INDEX(Clay_Offices!$A$2:$FZ$601,192,Sync!$C$5)&amp;"",""),6)&lt;&gt;"SAMPLE",Config!$B$19="Y")),IFERROR(N(INDEX(Clay_Offices!$A$2:$FZ$601,192,Sync!$C$11)),0),"")</f>
        <v/>
      </c>
      <c r="C1843" s="23" t="str">
        <f aca="false">IF(B1843="","","office")</f>
        <v/>
      </c>
      <c r="D1843" s="23" t="str">
        <f aca="false">IF(B1843="","",IFERROR(INDEX(Office_Log!$ED$2:$ED$201,MATCH(IFERROR(INDEX(Clay_Offices!$A$2:$FZ$601,192,Sync!$C$5)&amp;"",""),Office_Log!$A$2:$A$201,0))&amp;"",IFERROR(INDEX(Clay_Offices!$A$2:$FZ$601,192,Sync!$C$5)&amp;"","")&amp;""))</f>
        <v/>
      </c>
      <c r="E1843" s="23" t="str">
        <f aca="false">IF(B1843="","",IFERROR(INDEX(Clay_Offices!$A$2:$FZ$601,192,Sync!$C$6)&amp;"",""))</f>
        <v/>
      </c>
      <c r="F1843" s="23" t="str">
        <f aca="false">IF(B1843="","","outreach_sent")</f>
        <v/>
      </c>
      <c r="G1843" s="23" t="str">
        <f aca="false">IF(B1843="","","")</f>
        <v/>
      </c>
      <c r="H1843" s="23" t="str">
        <f aca="false">IF(B1843="","","")</f>
        <v/>
      </c>
      <c r="I1843" s="23" t="str">
        <f aca="false">IF(B1843="","","")</f>
        <v/>
      </c>
      <c r="J1843" s="23" t="str">
        <f aca="false">IF(B1843="","","touch_1; "&amp;IFERROR(INDEX(Clay_Offices!$A$2:$FZ$601,192,Sync!$C$10)&amp;"","")&amp;"; "&amp;IFERROR(INDEX(Clay_Offices!$A$2:$FZ$601,192,Sync!$C$9)&amp;"",""))</f>
        <v/>
      </c>
      <c r="K1843" s="32" t="s">
        <v>1363</v>
      </c>
    </row>
    <row r="1844" customFormat="false" ht="15" hidden="false" customHeight="false" outlineLevel="0" collapsed="false">
      <c r="A1844" s="23" t="str">
        <f aca="false">IF(B1844="","",B1844+(12*1000+193)/10000000)</f>
        <v/>
      </c>
      <c r="B1844" s="35" t="str">
        <f aca="false">IF(AND(IFERROR(N(INDEX(Clay_Offices!$A$2:$FZ$601,193,Sync!$C$11)),0)&gt;0,IFERROR(INDEX(Clay_Offices!$A$2:$FZ$601,193,Sync!$C$5)&amp;"","")&lt;&gt;"",OR(LEFT(IFERROR(INDEX(Clay_Offices!$A$2:$FZ$601,193,Sync!$C$5)&amp;"",""),6)&lt;&gt;"SAMPLE",Config!$B$19="Y")),IFERROR(N(INDEX(Clay_Offices!$A$2:$FZ$601,193,Sync!$C$11)),0),"")</f>
        <v/>
      </c>
      <c r="C1844" s="23" t="str">
        <f aca="false">IF(B1844="","","office")</f>
        <v/>
      </c>
      <c r="D1844" s="23" t="str">
        <f aca="false">IF(B1844="","",IFERROR(INDEX(Office_Log!$ED$2:$ED$201,MATCH(IFERROR(INDEX(Clay_Offices!$A$2:$FZ$601,193,Sync!$C$5)&amp;"",""),Office_Log!$A$2:$A$201,0))&amp;"",IFERROR(INDEX(Clay_Offices!$A$2:$FZ$601,193,Sync!$C$5)&amp;"","")&amp;""))</f>
        <v/>
      </c>
      <c r="E1844" s="23" t="str">
        <f aca="false">IF(B1844="","",IFERROR(INDEX(Clay_Offices!$A$2:$FZ$601,193,Sync!$C$6)&amp;"",""))</f>
        <v/>
      </c>
      <c r="F1844" s="23" t="str">
        <f aca="false">IF(B1844="","","outreach_sent")</f>
        <v/>
      </c>
      <c r="G1844" s="23" t="str">
        <f aca="false">IF(B1844="","","")</f>
        <v/>
      </c>
      <c r="H1844" s="23" t="str">
        <f aca="false">IF(B1844="","","")</f>
        <v/>
      </c>
      <c r="I1844" s="23" t="str">
        <f aca="false">IF(B1844="","","")</f>
        <v/>
      </c>
      <c r="J1844" s="23" t="str">
        <f aca="false">IF(B1844="","","touch_1; "&amp;IFERROR(INDEX(Clay_Offices!$A$2:$FZ$601,193,Sync!$C$10)&amp;"","")&amp;"; "&amp;IFERROR(INDEX(Clay_Offices!$A$2:$FZ$601,193,Sync!$C$9)&amp;"",""))</f>
        <v/>
      </c>
      <c r="K1844" s="32" t="s">
        <v>1363</v>
      </c>
    </row>
    <row r="1845" customFormat="false" ht="15" hidden="false" customHeight="false" outlineLevel="0" collapsed="false">
      <c r="A1845" s="23" t="str">
        <f aca="false">IF(B1845="","",B1845+(12*1000+194)/10000000)</f>
        <v/>
      </c>
      <c r="B1845" s="35" t="str">
        <f aca="false">IF(AND(IFERROR(N(INDEX(Clay_Offices!$A$2:$FZ$601,194,Sync!$C$11)),0)&gt;0,IFERROR(INDEX(Clay_Offices!$A$2:$FZ$601,194,Sync!$C$5)&amp;"","")&lt;&gt;"",OR(LEFT(IFERROR(INDEX(Clay_Offices!$A$2:$FZ$601,194,Sync!$C$5)&amp;"",""),6)&lt;&gt;"SAMPLE",Config!$B$19="Y")),IFERROR(N(INDEX(Clay_Offices!$A$2:$FZ$601,194,Sync!$C$11)),0),"")</f>
        <v/>
      </c>
      <c r="C1845" s="23" t="str">
        <f aca="false">IF(B1845="","","office")</f>
        <v/>
      </c>
      <c r="D1845" s="23" t="str">
        <f aca="false">IF(B1845="","",IFERROR(INDEX(Office_Log!$ED$2:$ED$201,MATCH(IFERROR(INDEX(Clay_Offices!$A$2:$FZ$601,194,Sync!$C$5)&amp;"",""),Office_Log!$A$2:$A$201,0))&amp;"",IFERROR(INDEX(Clay_Offices!$A$2:$FZ$601,194,Sync!$C$5)&amp;"","")&amp;""))</f>
        <v/>
      </c>
      <c r="E1845" s="23" t="str">
        <f aca="false">IF(B1845="","",IFERROR(INDEX(Clay_Offices!$A$2:$FZ$601,194,Sync!$C$6)&amp;"",""))</f>
        <v/>
      </c>
      <c r="F1845" s="23" t="str">
        <f aca="false">IF(B1845="","","outreach_sent")</f>
        <v/>
      </c>
      <c r="G1845" s="23" t="str">
        <f aca="false">IF(B1845="","","")</f>
        <v/>
      </c>
      <c r="H1845" s="23" t="str">
        <f aca="false">IF(B1845="","","")</f>
        <v/>
      </c>
      <c r="I1845" s="23" t="str">
        <f aca="false">IF(B1845="","","")</f>
        <v/>
      </c>
      <c r="J1845" s="23" t="str">
        <f aca="false">IF(B1845="","","touch_1; "&amp;IFERROR(INDEX(Clay_Offices!$A$2:$FZ$601,194,Sync!$C$10)&amp;"","")&amp;"; "&amp;IFERROR(INDEX(Clay_Offices!$A$2:$FZ$601,194,Sync!$C$9)&amp;"",""))</f>
        <v/>
      </c>
      <c r="K1845" s="32" t="s">
        <v>1363</v>
      </c>
    </row>
    <row r="1846" customFormat="false" ht="15" hidden="false" customHeight="false" outlineLevel="0" collapsed="false">
      <c r="A1846" s="23" t="str">
        <f aca="false">IF(B1846="","",B1846+(12*1000+195)/10000000)</f>
        <v/>
      </c>
      <c r="B1846" s="35" t="str">
        <f aca="false">IF(AND(IFERROR(N(INDEX(Clay_Offices!$A$2:$FZ$601,195,Sync!$C$11)),0)&gt;0,IFERROR(INDEX(Clay_Offices!$A$2:$FZ$601,195,Sync!$C$5)&amp;"","")&lt;&gt;"",OR(LEFT(IFERROR(INDEX(Clay_Offices!$A$2:$FZ$601,195,Sync!$C$5)&amp;"",""),6)&lt;&gt;"SAMPLE",Config!$B$19="Y")),IFERROR(N(INDEX(Clay_Offices!$A$2:$FZ$601,195,Sync!$C$11)),0),"")</f>
        <v/>
      </c>
      <c r="C1846" s="23" t="str">
        <f aca="false">IF(B1846="","","office")</f>
        <v/>
      </c>
      <c r="D1846" s="23" t="str">
        <f aca="false">IF(B1846="","",IFERROR(INDEX(Office_Log!$ED$2:$ED$201,MATCH(IFERROR(INDEX(Clay_Offices!$A$2:$FZ$601,195,Sync!$C$5)&amp;"",""),Office_Log!$A$2:$A$201,0))&amp;"",IFERROR(INDEX(Clay_Offices!$A$2:$FZ$601,195,Sync!$C$5)&amp;"","")&amp;""))</f>
        <v/>
      </c>
      <c r="E1846" s="23" t="str">
        <f aca="false">IF(B1846="","",IFERROR(INDEX(Clay_Offices!$A$2:$FZ$601,195,Sync!$C$6)&amp;"",""))</f>
        <v/>
      </c>
      <c r="F1846" s="23" t="str">
        <f aca="false">IF(B1846="","","outreach_sent")</f>
        <v/>
      </c>
      <c r="G1846" s="23" t="str">
        <f aca="false">IF(B1846="","","")</f>
        <v/>
      </c>
      <c r="H1846" s="23" t="str">
        <f aca="false">IF(B1846="","","")</f>
        <v/>
      </c>
      <c r="I1846" s="23" t="str">
        <f aca="false">IF(B1846="","","")</f>
        <v/>
      </c>
      <c r="J1846" s="23" t="str">
        <f aca="false">IF(B1846="","","touch_1; "&amp;IFERROR(INDEX(Clay_Offices!$A$2:$FZ$601,195,Sync!$C$10)&amp;"","")&amp;"; "&amp;IFERROR(INDEX(Clay_Offices!$A$2:$FZ$601,195,Sync!$C$9)&amp;"",""))</f>
        <v/>
      </c>
      <c r="K1846" s="32" t="s">
        <v>1363</v>
      </c>
    </row>
    <row r="1847" customFormat="false" ht="15" hidden="false" customHeight="false" outlineLevel="0" collapsed="false">
      <c r="A1847" s="23" t="str">
        <f aca="false">IF(B1847="","",B1847+(12*1000+196)/10000000)</f>
        <v/>
      </c>
      <c r="B1847" s="35" t="str">
        <f aca="false">IF(AND(IFERROR(N(INDEX(Clay_Offices!$A$2:$FZ$601,196,Sync!$C$11)),0)&gt;0,IFERROR(INDEX(Clay_Offices!$A$2:$FZ$601,196,Sync!$C$5)&amp;"","")&lt;&gt;"",OR(LEFT(IFERROR(INDEX(Clay_Offices!$A$2:$FZ$601,196,Sync!$C$5)&amp;"",""),6)&lt;&gt;"SAMPLE",Config!$B$19="Y")),IFERROR(N(INDEX(Clay_Offices!$A$2:$FZ$601,196,Sync!$C$11)),0),"")</f>
        <v/>
      </c>
      <c r="C1847" s="23" t="str">
        <f aca="false">IF(B1847="","","office")</f>
        <v/>
      </c>
      <c r="D1847" s="23" t="str">
        <f aca="false">IF(B1847="","",IFERROR(INDEX(Office_Log!$ED$2:$ED$201,MATCH(IFERROR(INDEX(Clay_Offices!$A$2:$FZ$601,196,Sync!$C$5)&amp;"",""),Office_Log!$A$2:$A$201,0))&amp;"",IFERROR(INDEX(Clay_Offices!$A$2:$FZ$601,196,Sync!$C$5)&amp;"","")&amp;""))</f>
        <v/>
      </c>
      <c r="E1847" s="23" t="str">
        <f aca="false">IF(B1847="","",IFERROR(INDEX(Clay_Offices!$A$2:$FZ$601,196,Sync!$C$6)&amp;"",""))</f>
        <v/>
      </c>
      <c r="F1847" s="23" t="str">
        <f aca="false">IF(B1847="","","outreach_sent")</f>
        <v/>
      </c>
      <c r="G1847" s="23" t="str">
        <f aca="false">IF(B1847="","","")</f>
        <v/>
      </c>
      <c r="H1847" s="23" t="str">
        <f aca="false">IF(B1847="","","")</f>
        <v/>
      </c>
      <c r="I1847" s="23" t="str">
        <f aca="false">IF(B1847="","","")</f>
        <v/>
      </c>
      <c r="J1847" s="23" t="str">
        <f aca="false">IF(B1847="","","touch_1; "&amp;IFERROR(INDEX(Clay_Offices!$A$2:$FZ$601,196,Sync!$C$10)&amp;"","")&amp;"; "&amp;IFERROR(INDEX(Clay_Offices!$A$2:$FZ$601,196,Sync!$C$9)&amp;"",""))</f>
        <v/>
      </c>
      <c r="K1847" s="32" t="s">
        <v>1363</v>
      </c>
    </row>
    <row r="1848" customFormat="false" ht="15" hidden="false" customHeight="false" outlineLevel="0" collapsed="false">
      <c r="A1848" s="23" t="str">
        <f aca="false">IF(B1848="","",B1848+(12*1000+197)/10000000)</f>
        <v/>
      </c>
      <c r="B1848" s="35" t="str">
        <f aca="false">IF(AND(IFERROR(N(INDEX(Clay_Offices!$A$2:$FZ$601,197,Sync!$C$11)),0)&gt;0,IFERROR(INDEX(Clay_Offices!$A$2:$FZ$601,197,Sync!$C$5)&amp;"","")&lt;&gt;"",OR(LEFT(IFERROR(INDEX(Clay_Offices!$A$2:$FZ$601,197,Sync!$C$5)&amp;"",""),6)&lt;&gt;"SAMPLE",Config!$B$19="Y")),IFERROR(N(INDEX(Clay_Offices!$A$2:$FZ$601,197,Sync!$C$11)),0),"")</f>
        <v/>
      </c>
      <c r="C1848" s="23" t="str">
        <f aca="false">IF(B1848="","","office")</f>
        <v/>
      </c>
      <c r="D1848" s="23" t="str">
        <f aca="false">IF(B1848="","",IFERROR(INDEX(Office_Log!$ED$2:$ED$201,MATCH(IFERROR(INDEX(Clay_Offices!$A$2:$FZ$601,197,Sync!$C$5)&amp;"",""),Office_Log!$A$2:$A$201,0))&amp;"",IFERROR(INDEX(Clay_Offices!$A$2:$FZ$601,197,Sync!$C$5)&amp;"","")&amp;""))</f>
        <v/>
      </c>
      <c r="E1848" s="23" t="str">
        <f aca="false">IF(B1848="","",IFERROR(INDEX(Clay_Offices!$A$2:$FZ$601,197,Sync!$C$6)&amp;"",""))</f>
        <v/>
      </c>
      <c r="F1848" s="23" t="str">
        <f aca="false">IF(B1848="","","outreach_sent")</f>
        <v/>
      </c>
      <c r="G1848" s="23" t="str">
        <f aca="false">IF(B1848="","","")</f>
        <v/>
      </c>
      <c r="H1848" s="23" t="str">
        <f aca="false">IF(B1848="","","")</f>
        <v/>
      </c>
      <c r="I1848" s="23" t="str">
        <f aca="false">IF(B1848="","","")</f>
        <v/>
      </c>
      <c r="J1848" s="23" t="str">
        <f aca="false">IF(B1848="","","touch_1; "&amp;IFERROR(INDEX(Clay_Offices!$A$2:$FZ$601,197,Sync!$C$10)&amp;"","")&amp;"; "&amp;IFERROR(INDEX(Clay_Offices!$A$2:$FZ$601,197,Sync!$C$9)&amp;"",""))</f>
        <v/>
      </c>
      <c r="K1848" s="32" t="s">
        <v>1363</v>
      </c>
    </row>
    <row r="1849" customFormat="false" ht="15" hidden="false" customHeight="false" outlineLevel="0" collapsed="false">
      <c r="A1849" s="23" t="str">
        <f aca="false">IF(B1849="","",B1849+(12*1000+198)/10000000)</f>
        <v/>
      </c>
      <c r="B1849" s="35" t="str">
        <f aca="false">IF(AND(IFERROR(N(INDEX(Clay_Offices!$A$2:$FZ$601,198,Sync!$C$11)),0)&gt;0,IFERROR(INDEX(Clay_Offices!$A$2:$FZ$601,198,Sync!$C$5)&amp;"","")&lt;&gt;"",OR(LEFT(IFERROR(INDEX(Clay_Offices!$A$2:$FZ$601,198,Sync!$C$5)&amp;"",""),6)&lt;&gt;"SAMPLE",Config!$B$19="Y")),IFERROR(N(INDEX(Clay_Offices!$A$2:$FZ$601,198,Sync!$C$11)),0),"")</f>
        <v/>
      </c>
      <c r="C1849" s="23" t="str">
        <f aca="false">IF(B1849="","","office")</f>
        <v/>
      </c>
      <c r="D1849" s="23" t="str">
        <f aca="false">IF(B1849="","",IFERROR(INDEX(Office_Log!$ED$2:$ED$201,MATCH(IFERROR(INDEX(Clay_Offices!$A$2:$FZ$601,198,Sync!$C$5)&amp;"",""),Office_Log!$A$2:$A$201,0))&amp;"",IFERROR(INDEX(Clay_Offices!$A$2:$FZ$601,198,Sync!$C$5)&amp;"","")&amp;""))</f>
        <v/>
      </c>
      <c r="E1849" s="23" t="str">
        <f aca="false">IF(B1849="","",IFERROR(INDEX(Clay_Offices!$A$2:$FZ$601,198,Sync!$C$6)&amp;"",""))</f>
        <v/>
      </c>
      <c r="F1849" s="23" t="str">
        <f aca="false">IF(B1849="","","outreach_sent")</f>
        <v/>
      </c>
      <c r="G1849" s="23" t="str">
        <f aca="false">IF(B1849="","","")</f>
        <v/>
      </c>
      <c r="H1849" s="23" t="str">
        <f aca="false">IF(B1849="","","")</f>
        <v/>
      </c>
      <c r="I1849" s="23" t="str">
        <f aca="false">IF(B1849="","","")</f>
        <v/>
      </c>
      <c r="J1849" s="23" t="str">
        <f aca="false">IF(B1849="","","touch_1; "&amp;IFERROR(INDEX(Clay_Offices!$A$2:$FZ$601,198,Sync!$C$10)&amp;"","")&amp;"; "&amp;IFERROR(INDEX(Clay_Offices!$A$2:$FZ$601,198,Sync!$C$9)&amp;"",""))</f>
        <v/>
      </c>
      <c r="K1849" s="32" t="s">
        <v>1363</v>
      </c>
    </row>
    <row r="1850" customFormat="false" ht="15" hidden="false" customHeight="false" outlineLevel="0" collapsed="false">
      <c r="A1850" s="23" t="str">
        <f aca="false">IF(B1850="","",B1850+(12*1000+199)/10000000)</f>
        <v/>
      </c>
      <c r="B1850" s="35" t="str">
        <f aca="false">IF(AND(IFERROR(N(INDEX(Clay_Offices!$A$2:$FZ$601,199,Sync!$C$11)),0)&gt;0,IFERROR(INDEX(Clay_Offices!$A$2:$FZ$601,199,Sync!$C$5)&amp;"","")&lt;&gt;"",OR(LEFT(IFERROR(INDEX(Clay_Offices!$A$2:$FZ$601,199,Sync!$C$5)&amp;"",""),6)&lt;&gt;"SAMPLE",Config!$B$19="Y")),IFERROR(N(INDEX(Clay_Offices!$A$2:$FZ$601,199,Sync!$C$11)),0),"")</f>
        <v/>
      </c>
      <c r="C1850" s="23" t="str">
        <f aca="false">IF(B1850="","","office")</f>
        <v/>
      </c>
      <c r="D1850" s="23" t="str">
        <f aca="false">IF(B1850="","",IFERROR(INDEX(Office_Log!$ED$2:$ED$201,MATCH(IFERROR(INDEX(Clay_Offices!$A$2:$FZ$601,199,Sync!$C$5)&amp;"",""),Office_Log!$A$2:$A$201,0))&amp;"",IFERROR(INDEX(Clay_Offices!$A$2:$FZ$601,199,Sync!$C$5)&amp;"","")&amp;""))</f>
        <v/>
      </c>
      <c r="E1850" s="23" t="str">
        <f aca="false">IF(B1850="","",IFERROR(INDEX(Clay_Offices!$A$2:$FZ$601,199,Sync!$C$6)&amp;"",""))</f>
        <v/>
      </c>
      <c r="F1850" s="23" t="str">
        <f aca="false">IF(B1850="","","outreach_sent")</f>
        <v/>
      </c>
      <c r="G1850" s="23" t="str">
        <f aca="false">IF(B1850="","","")</f>
        <v/>
      </c>
      <c r="H1850" s="23" t="str">
        <f aca="false">IF(B1850="","","")</f>
        <v/>
      </c>
      <c r="I1850" s="23" t="str">
        <f aca="false">IF(B1850="","","")</f>
        <v/>
      </c>
      <c r="J1850" s="23" t="str">
        <f aca="false">IF(B1850="","","touch_1; "&amp;IFERROR(INDEX(Clay_Offices!$A$2:$FZ$601,199,Sync!$C$10)&amp;"","")&amp;"; "&amp;IFERROR(INDEX(Clay_Offices!$A$2:$FZ$601,199,Sync!$C$9)&amp;"",""))</f>
        <v/>
      </c>
      <c r="K1850" s="32" t="s">
        <v>1363</v>
      </c>
    </row>
    <row r="1851" customFormat="false" ht="15" hidden="false" customHeight="false" outlineLevel="0" collapsed="false">
      <c r="A1851" s="23" t="str">
        <f aca="false">IF(B1851="","",B1851+(12*1000+200)/10000000)</f>
        <v/>
      </c>
      <c r="B1851" s="35" t="str">
        <f aca="false">IF(AND(IFERROR(N(INDEX(Clay_Offices!$A$2:$FZ$601,200,Sync!$C$11)),0)&gt;0,IFERROR(INDEX(Clay_Offices!$A$2:$FZ$601,200,Sync!$C$5)&amp;"","")&lt;&gt;"",OR(LEFT(IFERROR(INDEX(Clay_Offices!$A$2:$FZ$601,200,Sync!$C$5)&amp;"",""),6)&lt;&gt;"SAMPLE",Config!$B$19="Y")),IFERROR(N(INDEX(Clay_Offices!$A$2:$FZ$601,200,Sync!$C$11)),0),"")</f>
        <v/>
      </c>
      <c r="C1851" s="23" t="str">
        <f aca="false">IF(B1851="","","office")</f>
        <v/>
      </c>
      <c r="D1851" s="23" t="str">
        <f aca="false">IF(B1851="","",IFERROR(INDEX(Office_Log!$ED$2:$ED$201,MATCH(IFERROR(INDEX(Clay_Offices!$A$2:$FZ$601,200,Sync!$C$5)&amp;"",""),Office_Log!$A$2:$A$201,0))&amp;"",IFERROR(INDEX(Clay_Offices!$A$2:$FZ$601,200,Sync!$C$5)&amp;"","")&amp;""))</f>
        <v/>
      </c>
      <c r="E1851" s="23" t="str">
        <f aca="false">IF(B1851="","",IFERROR(INDEX(Clay_Offices!$A$2:$FZ$601,200,Sync!$C$6)&amp;"",""))</f>
        <v/>
      </c>
      <c r="F1851" s="23" t="str">
        <f aca="false">IF(B1851="","","outreach_sent")</f>
        <v/>
      </c>
      <c r="G1851" s="23" t="str">
        <f aca="false">IF(B1851="","","")</f>
        <v/>
      </c>
      <c r="H1851" s="23" t="str">
        <f aca="false">IF(B1851="","","")</f>
        <v/>
      </c>
      <c r="I1851" s="23" t="str">
        <f aca="false">IF(B1851="","","")</f>
        <v/>
      </c>
      <c r="J1851" s="23" t="str">
        <f aca="false">IF(B1851="","","touch_1; "&amp;IFERROR(INDEX(Clay_Offices!$A$2:$FZ$601,200,Sync!$C$10)&amp;"","")&amp;"; "&amp;IFERROR(INDEX(Clay_Offices!$A$2:$FZ$601,200,Sync!$C$9)&amp;"",""))</f>
        <v/>
      </c>
      <c r="K1851" s="32" t="s">
        <v>1363</v>
      </c>
    </row>
    <row r="1852" customFormat="false" ht="15" hidden="false" customHeight="false" outlineLevel="0" collapsed="false">
      <c r="A1852" s="23" t="str">
        <f aca="false">IF(B1852="","",B1852+(12*1000+201)/10000000)</f>
        <v/>
      </c>
      <c r="B1852" s="35" t="str">
        <f aca="false">IF(AND(IFERROR(N(INDEX(Clay_Offices!$A$2:$FZ$601,201,Sync!$C$11)),0)&gt;0,IFERROR(INDEX(Clay_Offices!$A$2:$FZ$601,201,Sync!$C$5)&amp;"","")&lt;&gt;"",OR(LEFT(IFERROR(INDEX(Clay_Offices!$A$2:$FZ$601,201,Sync!$C$5)&amp;"",""),6)&lt;&gt;"SAMPLE",Config!$B$19="Y")),IFERROR(N(INDEX(Clay_Offices!$A$2:$FZ$601,201,Sync!$C$11)),0),"")</f>
        <v/>
      </c>
      <c r="C1852" s="23" t="str">
        <f aca="false">IF(B1852="","","office")</f>
        <v/>
      </c>
      <c r="D1852" s="23" t="str">
        <f aca="false">IF(B1852="","",IFERROR(INDEX(Office_Log!$ED$2:$ED$201,MATCH(IFERROR(INDEX(Clay_Offices!$A$2:$FZ$601,201,Sync!$C$5)&amp;"",""),Office_Log!$A$2:$A$201,0))&amp;"",IFERROR(INDEX(Clay_Offices!$A$2:$FZ$601,201,Sync!$C$5)&amp;"","")&amp;""))</f>
        <v/>
      </c>
      <c r="E1852" s="23" t="str">
        <f aca="false">IF(B1852="","",IFERROR(INDEX(Clay_Offices!$A$2:$FZ$601,201,Sync!$C$6)&amp;"",""))</f>
        <v/>
      </c>
      <c r="F1852" s="23" t="str">
        <f aca="false">IF(B1852="","","outreach_sent")</f>
        <v/>
      </c>
      <c r="G1852" s="23" t="str">
        <f aca="false">IF(B1852="","","")</f>
        <v/>
      </c>
      <c r="H1852" s="23" t="str">
        <f aca="false">IF(B1852="","","")</f>
        <v/>
      </c>
      <c r="I1852" s="23" t="str">
        <f aca="false">IF(B1852="","","")</f>
        <v/>
      </c>
      <c r="J1852" s="23" t="str">
        <f aca="false">IF(B1852="","","touch_1; "&amp;IFERROR(INDEX(Clay_Offices!$A$2:$FZ$601,201,Sync!$C$10)&amp;"","")&amp;"; "&amp;IFERROR(INDEX(Clay_Offices!$A$2:$FZ$601,201,Sync!$C$9)&amp;"",""))</f>
        <v/>
      </c>
      <c r="K1852" s="32" t="s">
        <v>1363</v>
      </c>
    </row>
    <row r="1853" customFormat="false" ht="15" hidden="false" customHeight="false" outlineLevel="0" collapsed="false">
      <c r="A1853" s="23" t="str">
        <f aca="false">IF(B1853="","",B1853+(12*1000+202)/10000000)</f>
        <v/>
      </c>
      <c r="B1853" s="35" t="str">
        <f aca="false">IF(AND(IFERROR(N(INDEX(Clay_Offices!$A$2:$FZ$601,202,Sync!$C$11)),0)&gt;0,IFERROR(INDEX(Clay_Offices!$A$2:$FZ$601,202,Sync!$C$5)&amp;"","")&lt;&gt;"",OR(LEFT(IFERROR(INDEX(Clay_Offices!$A$2:$FZ$601,202,Sync!$C$5)&amp;"",""),6)&lt;&gt;"SAMPLE",Config!$B$19="Y")),IFERROR(N(INDEX(Clay_Offices!$A$2:$FZ$601,202,Sync!$C$11)),0),"")</f>
        <v/>
      </c>
      <c r="C1853" s="23" t="str">
        <f aca="false">IF(B1853="","","office")</f>
        <v/>
      </c>
      <c r="D1853" s="23" t="str">
        <f aca="false">IF(B1853="","",IFERROR(INDEX(Office_Log!$ED$2:$ED$201,MATCH(IFERROR(INDEX(Clay_Offices!$A$2:$FZ$601,202,Sync!$C$5)&amp;"",""),Office_Log!$A$2:$A$201,0))&amp;"",IFERROR(INDEX(Clay_Offices!$A$2:$FZ$601,202,Sync!$C$5)&amp;"","")&amp;""))</f>
        <v/>
      </c>
      <c r="E1853" s="23" t="str">
        <f aca="false">IF(B1853="","",IFERROR(INDEX(Clay_Offices!$A$2:$FZ$601,202,Sync!$C$6)&amp;"",""))</f>
        <v/>
      </c>
      <c r="F1853" s="23" t="str">
        <f aca="false">IF(B1853="","","outreach_sent")</f>
        <v/>
      </c>
      <c r="G1853" s="23" t="str">
        <f aca="false">IF(B1853="","","")</f>
        <v/>
      </c>
      <c r="H1853" s="23" t="str">
        <f aca="false">IF(B1853="","","")</f>
        <v/>
      </c>
      <c r="I1853" s="23" t="str">
        <f aca="false">IF(B1853="","","")</f>
        <v/>
      </c>
      <c r="J1853" s="23" t="str">
        <f aca="false">IF(B1853="","","touch_1; "&amp;IFERROR(INDEX(Clay_Offices!$A$2:$FZ$601,202,Sync!$C$10)&amp;"","")&amp;"; "&amp;IFERROR(INDEX(Clay_Offices!$A$2:$FZ$601,202,Sync!$C$9)&amp;"",""))</f>
        <v/>
      </c>
      <c r="K1853" s="32" t="s">
        <v>1363</v>
      </c>
    </row>
    <row r="1854" customFormat="false" ht="15" hidden="false" customHeight="false" outlineLevel="0" collapsed="false">
      <c r="A1854" s="23" t="str">
        <f aca="false">IF(B1854="","",B1854+(12*1000+203)/10000000)</f>
        <v/>
      </c>
      <c r="B1854" s="35" t="str">
        <f aca="false">IF(AND(IFERROR(N(INDEX(Clay_Offices!$A$2:$FZ$601,203,Sync!$C$11)),0)&gt;0,IFERROR(INDEX(Clay_Offices!$A$2:$FZ$601,203,Sync!$C$5)&amp;"","")&lt;&gt;"",OR(LEFT(IFERROR(INDEX(Clay_Offices!$A$2:$FZ$601,203,Sync!$C$5)&amp;"",""),6)&lt;&gt;"SAMPLE",Config!$B$19="Y")),IFERROR(N(INDEX(Clay_Offices!$A$2:$FZ$601,203,Sync!$C$11)),0),"")</f>
        <v/>
      </c>
      <c r="C1854" s="23" t="str">
        <f aca="false">IF(B1854="","","office")</f>
        <v/>
      </c>
      <c r="D1854" s="23" t="str">
        <f aca="false">IF(B1854="","",IFERROR(INDEX(Office_Log!$ED$2:$ED$201,MATCH(IFERROR(INDEX(Clay_Offices!$A$2:$FZ$601,203,Sync!$C$5)&amp;"",""),Office_Log!$A$2:$A$201,0))&amp;"",IFERROR(INDEX(Clay_Offices!$A$2:$FZ$601,203,Sync!$C$5)&amp;"","")&amp;""))</f>
        <v/>
      </c>
      <c r="E1854" s="23" t="str">
        <f aca="false">IF(B1854="","",IFERROR(INDEX(Clay_Offices!$A$2:$FZ$601,203,Sync!$C$6)&amp;"",""))</f>
        <v/>
      </c>
      <c r="F1854" s="23" t="str">
        <f aca="false">IF(B1854="","","outreach_sent")</f>
        <v/>
      </c>
      <c r="G1854" s="23" t="str">
        <f aca="false">IF(B1854="","","")</f>
        <v/>
      </c>
      <c r="H1854" s="23" t="str">
        <f aca="false">IF(B1854="","","")</f>
        <v/>
      </c>
      <c r="I1854" s="23" t="str">
        <f aca="false">IF(B1854="","","")</f>
        <v/>
      </c>
      <c r="J1854" s="23" t="str">
        <f aca="false">IF(B1854="","","touch_1; "&amp;IFERROR(INDEX(Clay_Offices!$A$2:$FZ$601,203,Sync!$C$10)&amp;"","")&amp;"; "&amp;IFERROR(INDEX(Clay_Offices!$A$2:$FZ$601,203,Sync!$C$9)&amp;"",""))</f>
        <v/>
      </c>
      <c r="K1854" s="32" t="s">
        <v>1363</v>
      </c>
    </row>
    <row r="1855" customFormat="false" ht="15" hidden="false" customHeight="false" outlineLevel="0" collapsed="false">
      <c r="A1855" s="23" t="str">
        <f aca="false">IF(B1855="","",B1855+(12*1000+204)/10000000)</f>
        <v/>
      </c>
      <c r="B1855" s="35" t="str">
        <f aca="false">IF(AND(IFERROR(N(INDEX(Clay_Offices!$A$2:$FZ$601,204,Sync!$C$11)),0)&gt;0,IFERROR(INDEX(Clay_Offices!$A$2:$FZ$601,204,Sync!$C$5)&amp;"","")&lt;&gt;"",OR(LEFT(IFERROR(INDEX(Clay_Offices!$A$2:$FZ$601,204,Sync!$C$5)&amp;"",""),6)&lt;&gt;"SAMPLE",Config!$B$19="Y")),IFERROR(N(INDEX(Clay_Offices!$A$2:$FZ$601,204,Sync!$C$11)),0),"")</f>
        <v/>
      </c>
      <c r="C1855" s="23" t="str">
        <f aca="false">IF(B1855="","","office")</f>
        <v/>
      </c>
      <c r="D1855" s="23" t="str">
        <f aca="false">IF(B1855="","",IFERROR(INDEX(Office_Log!$ED$2:$ED$201,MATCH(IFERROR(INDEX(Clay_Offices!$A$2:$FZ$601,204,Sync!$C$5)&amp;"",""),Office_Log!$A$2:$A$201,0))&amp;"",IFERROR(INDEX(Clay_Offices!$A$2:$FZ$601,204,Sync!$C$5)&amp;"","")&amp;""))</f>
        <v/>
      </c>
      <c r="E1855" s="23" t="str">
        <f aca="false">IF(B1855="","",IFERROR(INDEX(Clay_Offices!$A$2:$FZ$601,204,Sync!$C$6)&amp;"",""))</f>
        <v/>
      </c>
      <c r="F1855" s="23" t="str">
        <f aca="false">IF(B1855="","","outreach_sent")</f>
        <v/>
      </c>
      <c r="G1855" s="23" t="str">
        <f aca="false">IF(B1855="","","")</f>
        <v/>
      </c>
      <c r="H1855" s="23" t="str">
        <f aca="false">IF(B1855="","","")</f>
        <v/>
      </c>
      <c r="I1855" s="23" t="str">
        <f aca="false">IF(B1855="","","")</f>
        <v/>
      </c>
      <c r="J1855" s="23" t="str">
        <f aca="false">IF(B1855="","","touch_1; "&amp;IFERROR(INDEX(Clay_Offices!$A$2:$FZ$601,204,Sync!$C$10)&amp;"","")&amp;"; "&amp;IFERROR(INDEX(Clay_Offices!$A$2:$FZ$601,204,Sync!$C$9)&amp;"",""))</f>
        <v/>
      </c>
      <c r="K1855" s="32" t="s">
        <v>1363</v>
      </c>
    </row>
    <row r="1856" customFormat="false" ht="15" hidden="false" customHeight="false" outlineLevel="0" collapsed="false">
      <c r="A1856" s="23" t="str">
        <f aca="false">IF(B1856="","",B1856+(12*1000+205)/10000000)</f>
        <v/>
      </c>
      <c r="B1856" s="35" t="str">
        <f aca="false">IF(AND(IFERROR(N(INDEX(Clay_Offices!$A$2:$FZ$601,205,Sync!$C$11)),0)&gt;0,IFERROR(INDEX(Clay_Offices!$A$2:$FZ$601,205,Sync!$C$5)&amp;"","")&lt;&gt;"",OR(LEFT(IFERROR(INDEX(Clay_Offices!$A$2:$FZ$601,205,Sync!$C$5)&amp;"",""),6)&lt;&gt;"SAMPLE",Config!$B$19="Y")),IFERROR(N(INDEX(Clay_Offices!$A$2:$FZ$601,205,Sync!$C$11)),0),"")</f>
        <v/>
      </c>
      <c r="C1856" s="23" t="str">
        <f aca="false">IF(B1856="","","office")</f>
        <v/>
      </c>
      <c r="D1856" s="23" t="str">
        <f aca="false">IF(B1856="","",IFERROR(INDEX(Office_Log!$ED$2:$ED$201,MATCH(IFERROR(INDEX(Clay_Offices!$A$2:$FZ$601,205,Sync!$C$5)&amp;"",""),Office_Log!$A$2:$A$201,0))&amp;"",IFERROR(INDEX(Clay_Offices!$A$2:$FZ$601,205,Sync!$C$5)&amp;"","")&amp;""))</f>
        <v/>
      </c>
      <c r="E1856" s="23" t="str">
        <f aca="false">IF(B1856="","",IFERROR(INDEX(Clay_Offices!$A$2:$FZ$601,205,Sync!$C$6)&amp;"",""))</f>
        <v/>
      </c>
      <c r="F1856" s="23" t="str">
        <f aca="false">IF(B1856="","","outreach_sent")</f>
        <v/>
      </c>
      <c r="G1856" s="23" t="str">
        <f aca="false">IF(B1856="","","")</f>
        <v/>
      </c>
      <c r="H1856" s="23" t="str">
        <f aca="false">IF(B1856="","","")</f>
        <v/>
      </c>
      <c r="I1856" s="23" t="str">
        <f aca="false">IF(B1856="","","")</f>
        <v/>
      </c>
      <c r="J1856" s="23" t="str">
        <f aca="false">IF(B1856="","","touch_1; "&amp;IFERROR(INDEX(Clay_Offices!$A$2:$FZ$601,205,Sync!$C$10)&amp;"","")&amp;"; "&amp;IFERROR(INDEX(Clay_Offices!$A$2:$FZ$601,205,Sync!$C$9)&amp;"",""))</f>
        <v/>
      </c>
      <c r="K1856" s="32" t="s">
        <v>1363</v>
      </c>
    </row>
    <row r="1857" customFormat="false" ht="15" hidden="false" customHeight="false" outlineLevel="0" collapsed="false">
      <c r="A1857" s="23" t="str">
        <f aca="false">IF(B1857="","",B1857+(12*1000+206)/10000000)</f>
        <v/>
      </c>
      <c r="B1857" s="35" t="str">
        <f aca="false">IF(AND(IFERROR(N(INDEX(Clay_Offices!$A$2:$FZ$601,206,Sync!$C$11)),0)&gt;0,IFERROR(INDEX(Clay_Offices!$A$2:$FZ$601,206,Sync!$C$5)&amp;"","")&lt;&gt;"",OR(LEFT(IFERROR(INDEX(Clay_Offices!$A$2:$FZ$601,206,Sync!$C$5)&amp;"",""),6)&lt;&gt;"SAMPLE",Config!$B$19="Y")),IFERROR(N(INDEX(Clay_Offices!$A$2:$FZ$601,206,Sync!$C$11)),0),"")</f>
        <v/>
      </c>
      <c r="C1857" s="23" t="str">
        <f aca="false">IF(B1857="","","office")</f>
        <v/>
      </c>
      <c r="D1857" s="23" t="str">
        <f aca="false">IF(B1857="","",IFERROR(INDEX(Office_Log!$ED$2:$ED$201,MATCH(IFERROR(INDEX(Clay_Offices!$A$2:$FZ$601,206,Sync!$C$5)&amp;"",""),Office_Log!$A$2:$A$201,0))&amp;"",IFERROR(INDEX(Clay_Offices!$A$2:$FZ$601,206,Sync!$C$5)&amp;"","")&amp;""))</f>
        <v/>
      </c>
      <c r="E1857" s="23" t="str">
        <f aca="false">IF(B1857="","",IFERROR(INDEX(Clay_Offices!$A$2:$FZ$601,206,Sync!$C$6)&amp;"",""))</f>
        <v/>
      </c>
      <c r="F1857" s="23" t="str">
        <f aca="false">IF(B1857="","","outreach_sent")</f>
        <v/>
      </c>
      <c r="G1857" s="23" t="str">
        <f aca="false">IF(B1857="","","")</f>
        <v/>
      </c>
      <c r="H1857" s="23" t="str">
        <f aca="false">IF(B1857="","","")</f>
        <v/>
      </c>
      <c r="I1857" s="23" t="str">
        <f aca="false">IF(B1857="","","")</f>
        <v/>
      </c>
      <c r="J1857" s="23" t="str">
        <f aca="false">IF(B1857="","","touch_1; "&amp;IFERROR(INDEX(Clay_Offices!$A$2:$FZ$601,206,Sync!$C$10)&amp;"","")&amp;"; "&amp;IFERROR(INDEX(Clay_Offices!$A$2:$FZ$601,206,Sync!$C$9)&amp;"",""))</f>
        <v/>
      </c>
      <c r="K1857" s="32" t="s">
        <v>1363</v>
      </c>
    </row>
    <row r="1858" customFormat="false" ht="15" hidden="false" customHeight="false" outlineLevel="0" collapsed="false">
      <c r="A1858" s="23" t="str">
        <f aca="false">IF(B1858="","",B1858+(12*1000+207)/10000000)</f>
        <v/>
      </c>
      <c r="B1858" s="35" t="str">
        <f aca="false">IF(AND(IFERROR(N(INDEX(Clay_Offices!$A$2:$FZ$601,207,Sync!$C$11)),0)&gt;0,IFERROR(INDEX(Clay_Offices!$A$2:$FZ$601,207,Sync!$C$5)&amp;"","")&lt;&gt;"",OR(LEFT(IFERROR(INDEX(Clay_Offices!$A$2:$FZ$601,207,Sync!$C$5)&amp;"",""),6)&lt;&gt;"SAMPLE",Config!$B$19="Y")),IFERROR(N(INDEX(Clay_Offices!$A$2:$FZ$601,207,Sync!$C$11)),0),"")</f>
        <v/>
      </c>
      <c r="C1858" s="23" t="str">
        <f aca="false">IF(B1858="","","office")</f>
        <v/>
      </c>
      <c r="D1858" s="23" t="str">
        <f aca="false">IF(B1858="","",IFERROR(INDEX(Office_Log!$ED$2:$ED$201,MATCH(IFERROR(INDEX(Clay_Offices!$A$2:$FZ$601,207,Sync!$C$5)&amp;"",""),Office_Log!$A$2:$A$201,0))&amp;"",IFERROR(INDEX(Clay_Offices!$A$2:$FZ$601,207,Sync!$C$5)&amp;"","")&amp;""))</f>
        <v/>
      </c>
      <c r="E1858" s="23" t="str">
        <f aca="false">IF(B1858="","",IFERROR(INDEX(Clay_Offices!$A$2:$FZ$601,207,Sync!$C$6)&amp;"",""))</f>
        <v/>
      </c>
      <c r="F1858" s="23" t="str">
        <f aca="false">IF(B1858="","","outreach_sent")</f>
        <v/>
      </c>
      <c r="G1858" s="23" t="str">
        <f aca="false">IF(B1858="","","")</f>
        <v/>
      </c>
      <c r="H1858" s="23" t="str">
        <f aca="false">IF(B1858="","","")</f>
        <v/>
      </c>
      <c r="I1858" s="23" t="str">
        <f aca="false">IF(B1858="","","")</f>
        <v/>
      </c>
      <c r="J1858" s="23" t="str">
        <f aca="false">IF(B1858="","","touch_1; "&amp;IFERROR(INDEX(Clay_Offices!$A$2:$FZ$601,207,Sync!$C$10)&amp;"","")&amp;"; "&amp;IFERROR(INDEX(Clay_Offices!$A$2:$FZ$601,207,Sync!$C$9)&amp;"",""))</f>
        <v/>
      </c>
      <c r="K1858" s="32" t="s">
        <v>1363</v>
      </c>
    </row>
    <row r="1859" customFormat="false" ht="15" hidden="false" customHeight="false" outlineLevel="0" collapsed="false">
      <c r="A1859" s="23" t="str">
        <f aca="false">IF(B1859="","",B1859+(12*1000+208)/10000000)</f>
        <v/>
      </c>
      <c r="B1859" s="35" t="str">
        <f aca="false">IF(AND(IFERROR(N(INDEX(Clay_Offices!$A$2:$FZ$601,208,Sync!$C$11)),0)&gt;0,IFERROR(INDEX(Clay_Offices!$A$2:$FZ$601,208,Sync!$C$5)&amp;"","")&lt;&gt;"",OR(LEFT(IFERROR(INDEX(Clay_Offices!$A$2:$FZ$601,208,Sync!$C$5)&amp;"",""),6)&lt;&gt;"SAMPLE",Config!$B$19="Y")),IFERROR(N(INDEX(Clay_Offices!$A$2:$FZ$601,208,Sync!$C$11)),0),"")</f>
        <v/>
      </c>
      <c r="C1859" s="23" t="str">
        <f aca="false">IF(B1859="","","office")</f>
        <v/>
      </c>
      <c r="D1859" s="23" t="str">
        <f aca="false">IF(B1859="","",IFERROR(INDEX(Office_Log!$ED$2:$ED$201,MATCH(IFERROR(INDEX(Clay_Offices!$A$2:$FZ$601,208,Sync!$C$5)&amp;"",""),Office_Log!$A$2:$A$201,0))&amp;"",IFERROR(INDEX(Clay_Offices!$A$2:$FZ$601,208,Sync!$C$5)&amp;"","")&amp;""))</f>
        <v/>
      </c>
      <c r="E1859" s="23" t="str">
        <f aca="false">IF(B1859="","",IFERROR(INDEX(Clay_Offices!$A$2:$FZ$601,208,Sync!$C$6)&amp;"",""))</f>
        <v/>
      </c>
      <c r="F1859" s="23" t="str">
        <f aca="false">IF(B1859="","","outreach_sent")</f>
        <v/>
      </c>
      <c r="G1859" s="23" t="str">
        <f aca="false">IF(B1859="","","")</f>
        <v/>
      </c>
      <c r="H1859" s="23" t="str">
        <f aca="false">IF(B1859="","","")</f>
        <v/>
      </c>
      <c r="I1859" s="23" t="str">
        <f aca="false">IF(B1859="","","")</f>
        <v/>
      </c>
      <c r="J1859" s="23" t="str">
        <f aca="false">IF(B1859="","","touch_1; "&amp;IFERROR(INDEX(Clay_Offices!$A$2:$FZ$601,208,Sync!$C$10)&amp;"","")&amp;"; "&amp;IFERROR(INDEX(Clay_Offices!$A$2:$FZ$601,208,Sync!$C$9)&amp;"",""))</f>
        <v/>
      </c>
      <c r="K1859" s="32" t="s">
        <v>1363</v>
      </c>
    </row>
    <row r="1860" customFormat="false" ht="15" hidden="false" customHeight="false" outlineLevel="0" collapsed="false">
      <c r="A1860" s="23" t="str">
        <f aca="false">IF(B1860="","",B1860+(12*1000+209)/10000000)</f>
        <v/>
      </c>
      <c r="B1860" s="35" t="str">
        <f aca="false">IF(AND(IFERROR(N(INDEX(Clay_Offices!$A$2:$FZ$601,209,Sync!$C$11)),0)&gt;0,IFERROR(INDEX(Clay_Offices!$A$2:$FZ$601,209,Sync!$C$5)&amp;"","")&lt;&gt;"",OR(LEFT(IFERROR(INDEX(Clay_Offices!$A$2:$FZ$601,209,Sync!$C$5)&amp;"",""),6)&lt;&gt;"SAMPLE",Config!$B$19="Y")),IFERROR(N(INDEX(Clay_Offices!$A$2:$FZ$601,209,Sync!$C$11)),0),"")</f>
        <v/>
      </c>
      <c r="C1860" s="23" t="str">
        <f aca="false">IF(B1860="","","office")</f>
        <v/>
      </c>
      <c r="D1860" s="23" t="str">
        <f aca="false">IF(B1860="","",IFERROR(INDEX(Office_Log!$ED$2:$ED$201,MATCH(IFERROR(INDEX(Clay_Offices!$A$2:$FZ$601,209,Sync!$C$5)&amp;"",""),Office_Log!$A$2:$A$201,0))&amp;"",IFERROR(INDEX(Clay_Offices!$A$2:$FZ$601,209,Sync!$C$5)&amp;"","")&amp;""))</f>
        <v/>
      </c>
      <c r="E1860" s="23" t="str">
        <f aca="false">IF(B1860="","",IFERROR(INDEX(Clay_Offices!$A$2:$FZ$601,209,Sync!$C$6)&amp;"",""))</f>
        <v/>
      </c>
      <c r="F1860" s="23" t="str">
        <f aca="false">IF(B1860="","","outreach_sent")</f>
        <v/>
      </c>
      <c r="G1860" s="23" t="str">
        <f aca="false">IF(B1860="","","")</f>
        <v/>
      </c>
      <c r="H1860" s="23" t="str">
        <f aca="false">IF(B1860="","","")</f>
        <v/>
      </c>
      <c r="I1860" s="23" t="str">
        <f aca="false">IF(B1860="","","")</f>
        <v/>
      </c>
      <c r="J1860" s="23" t="str">
        <f aca="false">IF(B1860="","","touch_1; "&amp;IFERROR(INDEX(Clay_Offices!$A$2:$FZ$601,209,Sync!$C$10)&amp;"","")&amp;"; "&amp;IFERROR(INDEX(Clay_Offices!$A$2:$FZ$601,209,Sync!$C$9)&amp;"",""))</f>
        <v/>
      </c>
      <c r="K1860" s="32" t="s">
        <v>1363</v>
      </c>
    </row>
    <row r="1861" customFormat="false" ht="15" hidden="false" customHeight="false" outlineLevel="0" collapsed="false">
      <c r="A1861" s="23" t="str">
        <f aca="false">IF(B1861="","",B1861+(12*1000+210)/10000000)</f>
        <v/>
      </c>
      <c r="B1861" s="35" t="str">
        <f aca="false">IF(AND(IFERROR(N(INDEX(Clay_Offices!$A$2:$FZ$601,210,Sync!$C$11)),0)&gt;0,IFERROR(INDEX(Clay_Offices!$A$2:$FZ$601,210,Sync!$C$5)&amp;"","")&lt;&gt;"",OR(LEFT(IFERROR(INDEX(Clay_Offices!$A$2:$FZ$601,210,Sync!$C$5)&amp;"",""),6)&lt;&gt;"SAMPLE",Config!$B$19="Y")),IFERROR(N(INDEX(Clay_Offices!$A$2:$FZ$601,210,Sync!$C$11)),0),"")</f>
        <v/>
      </c>
      <c r="C1861" s="23" t="str">
        <f aca="false">IF(B1861="","","office")</f>
        <v/>
      </c>
      <c r="D1861" s="23" t="str">
        <f aca="false">IF(B1861="","",IFERROR(INDEX(Office_Log!$ED$2:$ED$201,MATCH(IFERROR(INDEX(Clay_Offices!$A$2:$FZ$601,210,Sync!$C$5)&amp;"",""),Office_Log!$A$2:$A$201,0))&amp;"",IFERROR(INDEX(Clay_Offices!$A$2:$FZ$601,210,Sync!$C$5)&amp;"","")&amp;""))</f>
        <v/>
      </c>
      <c r="E1861" s="23" t="str">
        <f aca="false">IF(B1861="","",IFERROR(INDEX(Clay_Offices!$A$2:$FZ$601,210,Sync!$C$6)&amp;"",""))</f>
        <v/>
      </c>
      <c r="F1861" s="23" t="str">
        <f aca="false">IF(B1861="","","outreach_sent")</f>
        <v/>
      </c>
      <c r="G1861" s="23" t="str">
        <f aca="false">IF(B1861="","","")</f>
        <v/>
      </c>
      <c r="H1861" s="23" t="str">
        <f aca="false">IF(B1861="","","")</f>
        <v/>
      </c>
      <c r="I1861" s="23" t="str">
        <f aca="false">IF(B1861="","","")</f>
        <v/>
      </c>
      <c r="J1861" s="23" t="str">
        <f aca="false">IF(B1861="","","touch_1; "&amp;IFERROR(INDEX(Clay_Offices!$A$2:$FZ$601,210,Sync!$C$10)&amp;"","")&amp;"; "&amp;IFERROR(INDEX(Clay_Offices!$A$2:$FZ$601,210,Sync!$C$9)&amp;"",""))</f>
        <v/>
      </c>
      <c r="K1861" s="32" t="s">
        <v>1363</v>
      </c>
    </row>
    <row r="1862" customFormat="false" ht="15" hidden="false" customHeight="false" outlineLevel="0" collapsed="false">
      <c r="A1862" s="23" t="str">
        <f aca="false">IF(B1862="","",B1862+(12*1000+211)/10000000)</f>
        <v/>
      </c>
      <c r="B1862" s="35" t="str">
        <f aca="false">IF(AND(IFERROR(N(INDEX(Clay_Offices!$A$2:$FZ$601,211,Sync!$C$11)),0)&gt;0,IFERROR(INDEX(Clay_Offices!$A$2:$FZ$601,211,Sync!$C$5)&amp;"","")&lt;&gt;"",OR(LEFT(IFERROR(INDEX(Clay_Offices!$A$2:$FZ$601,211,Sync!$C$5)&amp;"",""),6)&lt;&gt;"SAMPLE",Config!$B$19="Y")),IFERROR(N(INDEX(Clay_Offices!$A$2:$FZ$601,211,Sync!$C$11)),0),"")</f>
        <v/>
      </c>
      <c r="C1862" s="23" t="str">
        <f aca="false">IF(B1862="","","office")</f>
        <v/>
      </c>
      <c r="D1862" s="23" t="str">
        <f aca="false">IF(B1862="","",IFERROR(INDEX(Office_Log!$ED$2:$ED$201,MATCH(IFERROR(INDEX(Clay_Offices!$A$2:$FZ$601,211,Sync!$C$5)&amp;"",""),Office_Log!$A$2:$A$201,0))&amp;"",IFERROR(INDEX(Clay_Offices!$A$2:$FZ$601,211,Sync!$C$5)&amp;"","")&amp;""))</f>
        <v/>
      </c>
      <c r="E1862" s="23" t="str">
        <f aca="false">IF(B1862="","",IFERROR(INDEX(Clay_Offices!$A$2:$FZ$601,211,Sync!$C$6)&amp;"",""))</f>
        <v/>
      </c>
      <c r="F1862" s="23" t="str">
        <f aca="false">IF(B1862="","","outreach_sent")</f>
        <v/>
      </c>
      <c r="G1862" s="23" t="str">
        <f aca="false">IF(B1862="","","")</f>
        <v/>
      </c>
      <c r="H1862" s="23" t="str">
        <f aca="false">IF(B1862="","","")</f>
        <v/>
      </c>
      <c r="I1862" s="23" t="str">
        <f aca="false">IF(B1862="","","")</f>
        <v/>
      </c>
      <c r="J1862" s="23" t="str">
        <f aca="false">IF(B1862="","","touch_1; "&amp;IFERROR(INDEX(Clay_Offices!$A$2:$FZ$601,211,Sync!$C$10)&amp;"","")&amp;"; "&amp;IFERROR(INDEX(Clay_Offices!$A$2:$FZ$601,211,Sync!$C$9)&amp;"",""))</f>
        <v/>
      </c>
      <c r="K1862" s="32" t="s">
        <v>1363</v>
      </c>
    </row>
    <row r="1863" customFormat="false" ht="15" hidden="false" customHeight="false" outlineLevel="0" collapsed="false">
      <c r="A1863" s="23" t="str">
        <f aca="false">IF(B1863="","",B1863+(12*1000+212)/10000000)</f>
        <v/>
      </c>
      <c r="B1863" s="35" t="str">
        <f aca="false">IF(AND(IFERROR(N(INDEX(Clay_Offices!$A$2:$FZ$601,212,Sync!$C$11)),0)&gt;0,IFERROR(INDEX(Clay_Offices!$A$2:$FZ$601,212,Sync!$C$5)&amp;"","")&lt;&gt;"",OR(LEFT(IFERROR(INDEX(Clay_Offices!$A$2:$FZ$601,212,Sync!$C$5)&amp;"",""),6)&lt;&gt;"SAMPLE",Config!$B$19="Y")),IFERROR(N(INDEX(Clay_Offices!$A$2:$FZ$601,212,Sync!$C$11)),0),"")</f>
        <v/>
      </c>
      <c r="C1863" s="23" t="str">
        <f aca="false">IF(B1863="","","office")</f>
        <v/>
      </c>
      <c r="D1863" s="23" t="str">
        <f aca="false">IF(B1863="","",IFERROR(INDEX(Office_Log!$ED$2:$ED$201,MATCH(IFERROR(INDEX(Clay_Offices!$A$2:$FZ$601,212,Sync!$C$5)&amp;"",""),Office_Log!$A$2:$A$201,0))&amp;"",IFERROR(INDEX(Clay_Offices!$A$2:$FZ$601,212,Sync!$C$5)&amp;"","")&amp;""))</f>
        <v/>
      </c>
      <c r="E1863" s="23" t="str">
        <f aca="false">IF(B1863="","",IFERROR(INDEX(Clay_Offices!$A$2:$FZ$601,212,Sync!$C$6)&amp;"",""))</f>
        <v/>
      </c>
      <c r="F1863" s="23" t="str">
        <f aca="false">IF(B1863="","","outreach_sent")</f>
        <v/>
      </c>
      <c r="G1863" s="23" t="str">
        <f aca="false">IF(B1863="","","")</f>
        <v/>
      </c>
      <c r="H1863" s="23" t="str">
        <f aca="false">IF(B1863="","","")</f>
        <v/>
      </c>
      <c r="I1863" s="23" t="str">
        <f aca="false">IF(B1863="","","")</f>
        <v/>
      </c>
      <c r="J1863" s="23" t="str">
        <f aca="false">IF(B1863="","","touch_1; "&amp;IFERROR(INDEX(Clay_Offices!$A$2:$FZ$601,212,Sync!$C$10)&amp;"","")&amp;"; "&amp;IFERROR(INDEX(Clay_Offices!$A$2:$FZ$601,212,Sync!$C$9)&amp;"",""))</f>
        <v/>
      </c>
      <c r="K1863" s="32" t="s">
        <v>1363</v>
      </c>
    </row>
    <row r="1864" customFormat="false" ht="15" hidden="false" customHeight="false" outlineLevel="0" collapsed="false">
      <c r="A1864" s="23" t="str">
        <f aca="false">IF(B1864="","",B1864+(12*1000+213)/10000000)</f>
        <v/>
      </c>
      <c r="B1864" s="35" t="str">
        <f aca="false">IF(AND(IFERROR(N(INDEX(Clay_Offices!$A$2:$FZ$601,213,Sync!$C$11)),0)&gt;0,IFERROR(INDEX(Clay_Offices!$A$2:$FZ$601,213,Sync!$C$5)&amp;"","")&lt;&gt;"",OR(LEFT(IFERROR(INDEX(Clay_Offices!$A$2:$FZ$601,213,Sync!$C$5)&amp;"",""),6)&lt;&gt;"SAMPLE",Config!$B$19="Y")),IFERROR(N(INDEX(Clay_Offices!$A$2:$FZ$601,213,Sync!$C$11)),0),"")</f>
        <v/>
      </c>
      <c r="C1864" s="23" t="str">
        <f aca="false">IF(B1864="","","office")</f>
        <v/>
      </c>
      <c r="D1864" s="23" t="str">
        <f aca="false">IF(B1864="","",IFERROR(INDEX(Office_Log!$ED$2:$ED$201,MATCH(IFERROR(INDEX(Clay_Offices!$A$2:$FZ$601,213,Sync!$C$5)&amp;"",""),Office_Log!$A$2:$A$201,0))&amp;"",IFERROR(INDEX(Clay_Offices!$A$2:$FZ$601,213,Sync!$C$5)&amp;"","")&amp;""))</f>
        <v/>
      </c>
      <c r="E1864" s="23" t="str">
        <f aca="false">IF(B1864="","",IFERROR(INDEX(Clay_Offices!$A$2:$FZ$601,213,Sync!$C$6)&amp;"",""))</f>
        <v/>
      </c>
      <c r="F1864" s="23" t="str">
        <f aca="false">IF(B1864="","","outreach_sent")</f>
        <v/>
      </c>
      <c r="G1864" s="23" t="str">
        <f aca="false">IF(B1864="","","")</f>
        <v/>
      </c>
      <c r="H1864" s="23" t="str">
        <f aca="false">IF(B1864="","","")</f>
        <v/>
      </c>
      <c r="I1864" s="23" t="str">
        <f aca="false">IF(B1864="","","")</f>
        <v/>
      </c>
      <c r="J1864" s="23" t="str">
        <f aca="false">IF(B1864="","","touch_1; "&amp;IFERROR(INDEX(Clay_Offices!$A$2:$FZ$601,213,Sync!$C$10)&amp;"","")&amp;"; "&amp;IFERROR(INDEX(Clay_Offices!$A$2:$FZ$601,213,Sync!$C$9)&amp;"",""))</f>
        <v/>
      </c>
      <c r="K1864" s="32" t="s">
        <v>1363</v>
      </c>
    </row>
    <row r="1865" customFormat="false" ht="15" hidden="false" customHeight="false" outlineLevel="0" collapsed="false">
      <c r="A1865" s="23" t="str">
        <f aca="false">IF(B1865="","",B1865+(12*1000+214)/10000000)</f>
        <v/>
      </c>
      <c r="B1865" s="35" t="str">
        <f aca="false">IF(AND(IFERROR(N(INDEX(Clay_Offices!$A$2:$FZ$601,214,Sync!$C$11)),0)&gt;0,IFERROR(INDEX(Clay_Offices!$A$2:$FZ$601,214,Sync!$C$5)&amp;"","")&lt;&gt;"",OR(LEFT(IFERROR(INDEX(Clay_Offices!$A$2:$FZ$601,214,Sync!$C$5)&amp;"",""),6)&lt;&gt;"SAMPLE",Config!$B$19="Y")),IFERROR(N(INDEX(Clay_Offices!$A$2:$FZ$601,214,Sync!$C$11)),0),"")</f>
        <v/>
      </c>
      <c r="C1865" s="23" t="str">
        <f aca="false">IF(B1865="","","office")</f>
        <v/>
      </c>
      <c r="D1865" s="23" t="str">
        <f aca="false">IF(B1865="","",IFERROR(INDEX(Office_Log!$ED$2:$ED$201,MATCH(IFERROR(INDEX(Clay_Offices!$A$2:$FZ$601,214,Sync!$C$5)&amp;"",""),Office_Log!$A$2:$A$201,0))&amp;"",IFERROR(INDEX(Clay_Offices!$A$2:$FZ$601,214,Sync!$C$5)&amp;"","")&amp;""))</f>
        <v/>
      </c>
      <c r="E1865" s="23" t="str">
        <f aca="false">IF(B1865="","",IFERROR(INDEX(Clay_Offices!$A$2:$FZ$601,214,Sync!$C$6)&amp;"",""))</f>
        <v/>
      </c>
      <c r="F1865" s="23" t="str">
        <f aca="false">IF(B1865="","","outreach_sent")</f>
        <v/>
      </c>
      <c r="G1865" s="23" t="str">
        <f aca="false">IF(B1865="","","")</f>
        <v/>
      </c>
      <c r="H1865" s="23" t="str">
        <f aca="false">IF(B1865="","","")</f>
        <v/>
      </c>
      <c r="I1865" s="23" t="str">
        <f aca="false">IF(B1865="","","")</f>
        <v/>
      </c>
      <c r="J1865" s="23" t="str">
        <f aca="false">IF(B1865="","","touch_1; "&amp;IFERROR(INDEX(Clay_Offices!$A$2:$FZ$601,214,Sync!$C$10)&amp;"","")&amp;"; "&amp;IFERROR(INDEX(Clay_Offices!$A$2:$FZ$601,214,Sync!$C$9)&amp;"",""))</f>
        <v/>
      </c>
      <c r="K1865" s="32" t="s">
        <v>1363</v>
      </c>
    </row>
    <row r="1866" customFormat="false" ht="15" hidden="false" customHeight="false" outlineLevel="0" collapsed="false">
      <c r="A1866" s="23" t="str">
        <f aca="false">IF(B1866="","",B1866+(12*1000+215)/10000000)</f>
        <v/>
      </c>
      <c r="B1866" s="35" t="str">
        <f aca="false">IF(AND(IFERROR(N(INDEX(Clay_Offices!$A$2:$FZ$601,215,Sync!$C$11)),0)&gt;0,IFERROR(INDEX(Clay_Offices!$A$2:$FZ$601,215,Sync!$C$5)&amp;"","")&lt;&gt;"",OR(LEFT(IFERROR(INDEX(Clay_Offices!$A$2:$FZ$601,215,Sync!$C$5)&amp;"",""),6)&lt;&gt;"SAMPLE",Config!$B$19="Y")),IFERROR(N(INDEX(Clay_Offices!$A$2:$FZ$601,215,Sync!$C$11)),0),"")</f>
        <v/>
      </c>
      <c r="C1866" s="23" t="str">
        <f aca="false">IF(B1866="","","office")</f>
        <v/>
      </c>
      <c r="D1866" s="23" t="str">
        <f aca="false">IF(B1866="","",IFERROR(INDEX(Office_Log!$ED$2:$ED$201,MATCH(IFERROR(INDEX(Clay_Offices!$A$2:$FZ$601,215,Sync!$C$5)&amp;"",""),Office_Log!$A$2:$A$201,0))&amp;"",IFERROR(INDEX(Clay_Offices!$A$2:$FZ$601,215,Sync!$C$5)&amp;"","")&amp;""))</f>
        <v/>
      </c>
      <c r="E1866" s="23" t="str">
        <f aca="false">IF(B1866="","",IFERROR(INDEX(Clay_Offices!$A$2:$FZ$601,215,Sync!$C$6)&amp;"",""))</f>
        <v/>
      </c>
      <c r="F1866" s="23" t="str">
        <f aca="false">IF(B1866="","","outreach_sent")</f>
        <v/>
      </c>
      <c r="G1866" s="23" t="str">
        <f aca="false">IF(B1866="","","")</f>
        <v/>
      </c>
      <c r="H1866" s="23" t="str">
        <f aca="false">IF(B1866="","","")</f>
        <v/>
      </c>
      <c r="I1866" s="23" t="str">
        <f aca="false">IF(B1866="","","")</f>
        <v/>
      </c>
      <c r="J1866" s="23" t="str">
        <f aca="false">IF(B1866="","","touch_1; "&amp;IFERROR(INDEX(Clay_Offices!$A$2:$FZ$601,215,Sync!$C$10)&amp;"","")&amp;"; "&amp;IFERROR(INDEX(Clay_Offices!$A$2:$FZ$601,215,Sync!$C$9)&amp;"",""))</f>
        <v/>
      </c>
      <c r="K1866" s="32" t="s">
        <v>1363</v>
      </c>
    </row>
    <row r="1867" customFormat="false" ht="15" hidden="false" customHeight="false" outlineLevel="0" collapsed="false">
      <c r="A1867" s="23" t="str">
        <f aca="false">IF(B1867="","",B1867+(12*1000+216)/10000000)</f>
        <v/>
      </c>
      <c r="B1867" s="35" t="str">
        <f aca="false">IF(AND(IFERROR(N(INDEX(Clay_Offices!$A$2:$FZ$601,216,Sync!$C$11)),0)&gt;0,IFERROR(INDEX(Clay_Offices!$A$2:$FZ$601,216,Sync!$C$5)&amp;"","")&lt;&gt;"",OR(LEFT(IFERROR(INDEX(Clay_Offices!$A$2:$FZ$601,216,Sync!$C$5)&amp;"",""),6)&lt;&gt;"SAMPLE",Config!$B$19="Y")),IFERROR(N(INDEX(Clay_Offices!$A$2:$FZ$601,216,Sync!$C$11)),0),"")</f>
        <v/>
      </c>
      <c r="C1867" s="23" t="str">
        <f aca="false">IF(B1867="","","office")</f>
        <v/>
      </c>
      <c r="D1867" s="23" t="str">
        <f aca="false">IF(B1867="","",IFERROR(INDEX(Office_Log!$ED$2:$ED$201,MATCH(IFERROR(INDEX(Clay_Offices!$A$2:$FZ$601,216,Sync!$C$5)&amp;"",""),Office_Log!$A$2:$A$201,0))&amp;"",IFERROR(INDEX(Clay_Offices!$A$2:$FZ$601,216,Sync!$C$5)&amp;"","")&amp;""))</f>
        <v/>
      </c>
      <c r="E1867" s="23" t="str">
        <f aca="false">IF(B1867="","",IFERROR(INDEX(Clay_Offices!$A$2:$FZ$601,216,Sync!$C$6)&amp;"",""))</f>
        <v/>
      </c>
      <c r="F1867" s="23" t="str">
        <f aca="false">IF(B1867="","","outreach_sent")</f>
        <v/>
      </c>
      <c r="G1867" s="23" t="str">
        <f aca="false">IF(B1867="","","")</f>
        <v/>
      </c>
      <c r="H1867" s="23" t="str">
        <f aca="false">IF(B1867="","","")</f>
        <v/>
      </c>
      <c r="I1867" s="23" t="str">
        <f aca="false">IF(B1867="","","")</f>
        <v/>
      </c>
      <c r="J1867" s="23" t="str">
        <f aca="false">IF(B1867="","","touch_1; "&amp;IFERROR(INDEX(Clay_Offices!$A$2:$FZ$601,216,Sync!$C$10)&amp;"","")&amp;"; "&amp;IFERROR(INDEX(Clay_Offices!$A$2:$FZ$601,216,Sync!$C$9)&amp;"",""))</f>
        <v/>
      </c>
      <c r="K1867" s="32" t="s">
        <v>1363</v>
      </c>
    </row>
    <row r="1868" customFormat="false" ht="15" hidden="false" customHeight="false" outlineLevel="0" collapsed="false">
      <c r="A1868" s="23" t="str">
        <f aca="false">IF(B1868="","",B1868+(12*1000+217)/10000000)</f>
        <v/>
      </c>
      <c r="B1868" s="35" t="str">
        <f aca="false">IF(AND(IFERROR(N(INDEX(Clay_Offices!$A$2:$FZ$601,217,Sync!$C$11)),0)&gt;0,IFERROR(INDEX(Clay_Offices!$A$2:$FZ$601,217,Sync!$C$5)&amp;"","")&lt;&gt;"",OR(LEFT(IFERROR(INDEX(Clay_Offices!$A$2:$FZ$601,217,Sync!$C$5)&amp;"",""),6)&lt;&gt;"SAMPLE",Config!$B$19="Y")),IFERROR(N(INDEX(Clay_Offices!$A$2:$FZ$601,217,Sync!$C$11)),0),"")</f>
        <v/>
      </c>
      <c r="C1868" s="23" t="str">
        <f aca="false">IF(B1868="","","office")</f>
        <v/>
      </c>
      <c r="D1868" s="23" t="str">
        <f aca="false">IF(B1868="","",IFERROR(INDEX(Office_Log!$ED$2:$ED$201,MATCH(IFERROR(INDEX(Clay_Offices!$A$2:$FZ$601,217,Sync!$C$5)&amp;"",""),Office_Log!$A$2:$A$201,0))&amp;"",IFERROR(INDEX(Clay_Offices!$A$2:$FZ$601,217,Sync!$C$5)&amp;"","")&amp;""))</f>
        <v/>
      </c>
      <c r="E1868" s="23" t="str">
        <f aca="false">IF(B1868="","",IFERROR(INDEX(Clay_Offices!$A$2:$FZ$601,217,Sync!$C$6)&amp;"",""))</f>
        <v/>
      </c>
      <c r="F1868" s="23" t="str">
        <f aca="false">IF(B1868="","","outreach_sent")</f>
        <v/>
      </c>
      <c r="G1868" s="23" t="str">
        <f aca="false">IF(B1868="","","")</f>
        <v/>
      </c>
      <c r="H1868" s="23" t="str">
        <f aca="false">IF(B1868="","","")</f>
        <v/>
      </c>
      <c r="I1868" s="23" t="str">
        <f aca="false">IF(B1868="","","")</f>
        <v/>
      </c>
      <c r="J1868" s="23" t="str">
        <f aca="false">IF(B1868="","","touch_1; "&amp;IFERROR(INDEX(Clay_Offices!$A$2:$FZ$601,217,Sync!$C$10)&amp;"","")&amp;"; "&amp;IFERROR(INDEX(Clay_Offices!$A$2:$FZ$601,217,Sync!$C$9)&amp;"",""))</f>
        <v/>
      </c>
      <c r="K1868" s="32" t="s">
        <v>1363</v>
      </c>
    </row>
    <row r="1869" customFormat="false" ht="15" hidden="false" customHeight="false" outlineLevel="0" collapsed="false">
      <c r="A1869" s="23" t="str">
        <f aca="false">IF(B1869="","",B1869+(12*1000+218)/10000000)</f>
        <v/>
      </c>
      <c r="B1869" s="35" t="str">
        <f aca="false">IF(AND(IFERROR(N(INDEX(Clay_Offices!$A$2:$FZ$601,218,Sync!$C$11)),0)&gt;0,IFERROR(INDEX(Clay_Offices!$A$2:$FZ$601,218,Sync!$C$5)&amp;"","")&lt;&gt;"",OR(LEFT(IFERROR(INDEX(Clay_Offices!$A$2:$FZ$601,218,Sync!$C$5)&amp;"",""),6)&lt;&gt;"SAMPLE",Config!$B$19="Y")),IFERROR(N(INDEX(Clay_Offices!$A$2:$FZ$601,218,Sync!$C$11)),0),"")</f>
        <v/>
      </c>
      <c r="C1869" s="23" t="str">
        <f aca="false">IF(B1869="","","office")</f>
        <v/>
      </c>
      <c r="D1869" s="23" t="str">
        <f aca="false">IF(B1869="","",IFERROR(INDEX(Office_Log!$ED$2:$ED$201,MATCH(IFERROR(INDEX(Clay_Offices!$A$2:$FZ$601,218,Sync!$C$5)&amp;"",""),Office_Log!$A$2:$A$201,0))&amp;"",IFERROR(INDEX(Clay_Offices!$A$2:$FZ$601,218,Sync!$C$5)&amp;"","")&amp;""))</f>
        <v/>
      </c>
      <c r="E1869" s="23" t="str">
        <f aca="false">IF(B1869="","",IFERROR(INDEX(Clay_Offices!$A$2:$FZ$601,218,Sync!$C$6)&amp;"",""))</f>
        <v/>
      </c>
      <c r="F1869" s="23" t="str">
        <f aca="false">IF(B1869="","","outreach_sent")</f>
        <v/>
      </c>
      <c r="G1869" s="23" t="str">
        <f aca="false">IF(B1869="","","")</f>
        <v/>
      </c>
      <c r="H1869" s="23" t="str">
        <f aca="false">IF(B1869="","","")</f>
        <v/>
      </c>
      <c r="I1869" s="23" t="str">
        <f aca="false">IF(B1869="","","")</f>
        <v/>
      </c>
      <c r="J1869" s="23" t="str">
        <f aca="false">IF(B1869="","","touch_1; "&amp;IFERROR(INDEX(Clay_Offices!$A$2:$FZ$601,218,Sync!$C$10)&amp;"","")&amp;"; "&amp;IFERROR(INDEX(Clay_Offices!$A$2:$FZ$601,218,Sync!$C$9)&amp;"",""))</f>
        <v/>
      </c>
      <c r="K1869" s="32" t="s">
        <v>1363</v>
      </c>
    </row>
    <row r="1870" customFormat="false" ht="15" hidden="false" customHeight="false" outlineLevel="0" collapsed="false">
      <c r="A1870" s="23" t="str">
        <f aca="false">IF(B1870="","",B1870+(12*1000+219)/10000000)</f>
        <v/>
      </c>
      <c r="B1870" s="35" t="str">
        <f aca="false">IF(AND(IFERROR(N(INDEX(Clay_Offices!$A$2:$FZ$601,219,Sync!$C$11)),0)&gt;0,IFERROR(INDEX(Clay_Offices!$A$2:$FZ$601,219,Sync!$C$5)&amp;"","")&lt;&gt;"",OR(LEFT(IFERROR(INDEX(Clay_Offices!$A$2:$FZ$601,219,Sync!$C$5)&amp;"",""),6)&lt;&gt;"SAMPLE",Config!$B$19="Y")),IFERROR(N(INDEX(Clay_Offices!$A$2:$FZ$601,219,Sync!$C$11)),0),"")</f>
        <v/>
      </c>
      <c r="C1870" s="23" t="str">
        <f aca="false">IF(B1870="","","office")</f>
        <v/>
      </c>
      <c r="D1870" s="23" t="str">
        <f aca="false">IF(B1870="","",IFERROR(INDEX(Office_Log!$ED$2:$ED$201,MATCH(IFERROR(INDEX(Clay_Offices!$A$2:$FZ$601,219,Sync!$C$5)&amp;"",""),Office_Log!$A$2:$A$201,0))&amp;"",IFERROR(INDEX(Clay_Offices!$A$2:$FZ$601,219,Sync!$C$5)&amp;"","")&amp;""))</f>
        <v/>
      </c>
      <c r="E1870" s="23" t="str">
        <f aca="false">IF(B1870="","",IFERROR(INDEX(Clay_Offices!$A$2:$FZ$601,219,Sync!$C$6)&amp;"",""))</f>
        <v/>
      </c>
      <c r="F1870" s="23" t="str">
        <f aca="false">IF(B1870="","","outreach_sent")</f>
        <v/>
      </c>
      <c r="G1870" s="23" t="str">
        <f aca="false">IF(B1870="","","")</f>
        <v/>
      </c>
      <c r="H1870" s="23" t="str">
        <f aca="false">IF(B1870="","","")</f>
        <v/>
      </c>
      <c r="I1870" s="23" t="str">
        <f aca="false">IF(B1870="","","")</f>
        <v/>
      </c>
      <c r="J1870" s="23" t="str">
        <f aca="false">IF(B1870="","","touch_1; "&amp;IFERROR(INDEX(Clay_Offices!$A$2:$FZ$601,219,Sync!$C$10)&amp;"","")&amp;"; "&amp;IFERROR(INDEX(Clay_Offices!$A$2:$FZ$601,219,Sync!$C$9)&amp;"",""))</f>
        <v/>
      </c>
      <c r="K1870" s="32" t="s">
        <v>1363</v>
      </c>
    </row>
    <row r="1871" customFormat="false" ht="15" hidden="false" customHeight="false" outlineLevel="0" collapsed="false">
      <c r="A1871" s="23" t="str">
        <f aca="false">IF(B1871="","",B1871+(12*1000+220)/10000000)</f>
        <v/>
      </c>
      <c r="B1871" s="35" t="str">
        <f aca="false">IF(AND(IFERROR(N(INDEX(Clay_Offices!$A$2:$FZ$601,220,Sync!$C$11)),0)&gt;0,IFERROR(INDEX(Clay_Offices!$A$2:$FZ$601,220,Sync!$C$5)&amp;"","")&lt;&gt;"",OR(LEFT(IFERROR(INDEX(Clay_Offices!$A$2:$FZ$601,220,Sync!$C$5)&amp;"",""),6)&lt;&gt;"SAMPLE",Config!$B$19="Y")),IFERROR(N(INDEX(Clay_Offices!$A$2:$FZ$601,220,Sync!$C$11)),0),"")</f>
        <v/>
      </c>
      <c r="C1871" s="23" t="str">
        <f aca="false">IF(B1871="","","office")</f>
        <v/>
      </c>
      <c r="D1871" s="23" t="str">
        <f aca="false">IF(B1871="","",IFERROR(INDEX(Office_Log!$ED$2:$ED$201,MATCH(IFERROR(INDEX(Clay_Offices!$A$2:$FZ$601,220,Sync!$C$5)&amp;"",""),Office_Log!$A$2:$A$201,0))&amp;"",IFERROR(INDEX(Clay_Offices!$A$2:$FZ$601,220,Sync!$C$5)&amp;"","")&amp;""))</f>
        <v/>
      </c>
      <c r="E1871" s="23" t="str">
        <f aca="false">IF(B1871="","",IFERROR(INDEX(Clay_Offices!$A$2:$FZ$601,220,Sync!$C$6)&amp;"",""))</f>
        <v/>
      </c>
      <c r="F1871" s="23" t="str">
        <f aca="false">IF(B1871="","","outreach_sent")</f>
        <v/>
      </c>
      <c r="G1871" s="23" t="str">
        <f aca="false">IF(B1871="","","")</f>
        <v/>
      </c>
      <c r="H1871" s="23" t="str">
        <f aca="false">IF(B1871="","","")</f>
        <v/>
      </c>
      <c r="I1871" s="23" t="str">
        <f aca="false">IF(B1871="","","")</f>
        <v/>
      </c>
      <c r="J1871" s="23" t="str">
        <f aca="false">IF(B1871="","","touch_1; "&amp;IFERROR(INDEX(Clay_Offices!$A$2:$FZ$601,220,Sync!$C$10)&amp;"","")&amp;"; "&amp;IFERROR(INDEX(Clay_Offices!$A$2:$FZ$601,220,Sync!$C$9)&amp;"",""))</f>
        <v/>
      </c>
      <c r="K1871" s="32" t="s">
        <v>1363</v>
      </c>
    </row>
    <row r="1872" customFormat="false" ht="15" hidden="false" customHeight="false" outlineLevel="0" collapsed="false">
      <c r="A1872" s="23" t="str">
        <f aca="false">IF(B1872="","",B1872+(12*1000+221)/10000000)</f>
        <v/>
      </c>
      <c r="B1872" s="35" t="str">
        <f aca="false">IF(AND(IFERROR(N(INDEX(Clay_Offices!$A$2:$FZ$601,221,Sync!$C$11)),0)&gt;0,IFERROR(INDEX(Clay_Offices!$A$2:$FZ$601,221,Sync!$C$5)&amp;"","")&lt;&gt;"",OR(LEFT(IFERROR(INDEX(Clay_Offices!$A$2:$FZ$601,221,Sync!$C$5)&amp;"",""),6)&lt;&gt;"SAMPLE",Config!$B$19="Y")),IFERROR(N(INDEX(Clay_Offices!$A$2:$FZ$601,221,Sync!$C$11)),0),"")</f>
        <v/>
      </c>
      <c r="C1872" s="23" t="str">
        <f aca="false">IF(B1872="","","office")</f>
        <v/>
      </c>
      <c r="D1872" s="23" t="str">
        <f aca="false">IF(B1872="","",IFERROR(INDEX(Office_Log!$ED$2:$ED$201,MATCH(IFERROR(INDEX(Clay_Offices!$A$2:$FZ$601,221,Sync!$C$5)&amp;"",""),Office_Log!$A$2:$A$201,0))&amp;"",IFERROR(INDEX(Clay_Offices!$A$2:$FZ$601,221,Sync!$C$5)&amp;"","")&amp;""))</f>
        <v/>
      </c>
      <c r="E1872" s="23" t="str">
        <f aca="false">IF(B1872="","",IFERROR(INDEX(Clay_Offices!$A$2:$FZ$601,221,Sync!$C$6)&amp;"",""))</f>
        <v/>
      </c>
      <c r="F1872" s="23" t="str">
        <f aca="false">IF(B1872="","","outreach_sent")</f>
        <v/>
      </c>
      <c r="G1872" s="23" t="str">
        <f aca="false">IF(B1872="","","")</f>
        <v/>
      </c>
      <c r="H1872" s="23" t="str">
        <f aca="false">IF(B1872="","","")</f>
        <v/>
      </c>
      <c r="I1872" s="23" t="str">
        <f aca="false">IF(B1872="","","")</f>
        <v/>
      </c>
      <c r="J1872" s="23" t="str">
        <f aca="false">IF(B1872="","","touch_1; "&amp;IFERROR(INDEX(Clay_Offices!$A$2:$FZ$601,221,Sync!$C$10)&amp;"","")&amp;"; "&amp;IFERROR(INDEX(Clay_Offices!$A$2:$FZ$601,221,Sync!$C$9)&amp;"",""))</f>
        <v/>
      </c>
      <c r="K1872" s="32" t="s">
        <v>1363</v>
      </c>
    </row>
    <row r="1873" customFormat="false" ht="15" hidden="false" customHeight="false" outlineLevel="0" collapsed="false">
      <c r="A1873" s="23" t="str">
        <f aca="false">IF(B1873="","",B1873+(12*1000+222)/10000000)</f>
        <v/>
      </c>
      <c r="B1873" s="35" t="str">
        <f aca="false">IF(AND(IFERROR(N(INDEX(Clay_Offices!$A$2:$FZ$601,222,Sync!$C$11)),0)&gt;0,IFERROR(INDEX(Clay_Offices!$A$2:$FZ$601,222,Sync!$C$5)&amp;"","")&lt;&gt;"",OR(LEFT(IFERROR(INDEX(Clay_Offices!$A$2:$FZ$601,222,Sync!$C$5)&amp;"",""),6)&lt;&gt;"SAMPLE",Config!$B$19="Y")),IFERROR(N(INDEX(Clay_Offices!$A$2:$FZ$601,222,Sync!$C$11)),0),"")</f>
        <v/>
      </c>
      <c r="C1873" s="23" t="str">
        <f aca="false">IF(B1873="","","office")</f>
        <v/>
      </c>
      <c r="D1873" s="23" t="str">
        <f aca="false">IF(B1873="","",IFERROR(INDEX(Office_Log!$ED$2:$ED$201,MATCH(IFERROR(INDEX(Clay_Offices!$A$2:$FZ$601,222,Sync!$C$5)&amp;"",""),Office_Log!$A$2:$A$201,0))&amp;"",IFERROR(INDEX(Clay_Offices!$A$2:$FZ$601,222,Sync!$C$5)&amp;"","")&amp;""))</f>
        <v/>
      </c>
      <c r="E1873" s="23" t="str">
        <f aca="false">IF(B1873="","",IFERROR(INDEX(Clay_Offices!$A$2:$FZ$601,222,Sync!$C$6)&amp;"",""))</f>
        <v/>
      </c>
      <c r="F1873" s="23" t="str">
        <f aca="false">IF(B1873="","","outreach_sent")</f>
        <v/>
      </c>
      <c r="G1873" s="23" t="str">
        <f aca="false">IF(B1873="","","")</f>
        <v/>
      </c>
      <c r="H1873" s="23" t="str">
        <f aca="false">IF(B1873="","","")</f>
        <v/>
      </c>
      <c r="I1873" s="23" t="str">
        <f aca="false">IF(B1873="","","")</f>
        <v/>
      </c>
      <c r="J1873" s="23" t="str">
        <f aca="false">IF(B1873="","","touch_1; "&amp;IFERROR(INDEX(Clay_Offices!$A$2:$FZ$601,222,Sync!$C$10)&amp;"","")&amp;"; "&amp;IFERROR(INDEX(Clay_Offices!$A$2:$FZ$601,222,Sync!$C$9)&amp;"",""))</f>
        <v/>
      </c>
      <c r="K1873" s="32" t="s">
        <v>1363</v>
      </c>
    </row>
    <row r="1874" customFormat="false" ht="15" hidden="false" customHeight="false" outlineLevel="0" collapsed="false">
      <c r="A1874" s="23" t="str">
        <f aca="false">IF(B1874="","",B1874+(12*1000+223)/10000000)</f>
        <v/>
      </c>
      <c r="B1874" s="35" t="str">
        <f aca="false">IF(AND(IFERROR(N(INDEX(Clay_Offices!$A$2:$FZ$601,223,Sync!$C$11)),0)&gt;0,IFERROR(INDEX(Clay_Offices!$A$2:$FZ$601,223,Sync!$C$5)&amp;"","")&lt;&gt;"",OR(LEFT(IFERROR(INDEX(Clay_Offices!$A$2:$FZ$601,223,Sync!$C$5)&amp;"",""),6)&lt;&gt;"SAMPLE",Config!$B$19="Y")),IFERROR(N(INDEX(Clay_Offices!$A$2:$FZ$601,223,Sync!$C$11)),0),"")</f>
        <v/>
      </c>
      <c r="C1874" s="23" t="str">
        <f aca="false">IF(B1874="","","office")</f>
        <v/>
      </c>
      <c r="D1874" s="23" t="str">
        <f aca="false">IF(B1874="","",IFERROR(INDEX(Office_Log!$ED$2:$ED$201,MATCH(IFERROR(INDEX(Clay_Offices!$A$2:$FZ$601,223,Sync!$C$5)&amp;"",""),Office_Log!$A$2:$A$201,0))&amp;"",IFERROR(INDEX(Clay_Offices!$A$2:$FZ$601,223,Sync!$C$5)&amp;"","")&amp;""))</f>
        <v/>
      </c>
      <c r="E1874" s="23" t="str">
        <f aca="false">IF(B1874="","",IFERROR(INDEX(Clay_Offices!$A$2:$FZ$601,223,Sync!$C$6)&amp;"",""))</f>
        <v/>
      </c>
      <c r="F1874" s="23" t="str">
        <f aca="false">IF(B1874="","","outreach_sent")</f>
        <v/>
      </c>
      <c r="G1874" s="23" t="str">
        <f aca="false">IF(B1874="","","")</f>
        <v/>
      </c>
      <c r="H1874" s="23" t="str">
        <f aca="false">IF(B1874="","","")</f>
        <v/>
      </c>
      <c r="I1874" s="23" t="str">
        <f aca="false">IF(B1874="","","")</f>
        <v/>
      </c>
      <c r="J1874" s="23" t="str">
        <f aca="false">IF(B1874="","","touch_1; "&amp;IFERROR(INDEX(Clay_Offices!$A$2:$FZ$601,223,Sync!$C$10)&amp;"","")&amp;"; "&amp;IFERROR(INDEX(Clay_Offices!$A$2:$FZ$601,223,Sync!$C$9)&amp;"",""))</f>
        <v/>
      </c>
      <c r="K1874" s="32" t="s">
        <v>1363</v>
      </c>
    </row>
    <row r="1875" customFormat="false" ht="15" hidden="false" customHeight="false" outlineLevel="0" collapsed="false">
      <c r="A1875" s="23" t="str">
        <f aca="false">IF(B1875="","",B1875+(12*1000+224)/10000000)</f>
        <v/>
      </c>
      <c r="B1875" s="35" t="str">
        <f aca="false">IF(AND(IFERROR(N(INDEX(Clay_Offices!$A$2:$FZ$601,224,Sync!$C$11)),0)&gt;0,IFERROR(INDEX(Clay_Offices!$A$2:$FZ$601,224,Sync!$C$5)&amp;"","")&lt;&gt;"",OR(LEFT(IFERROR(INDEX(Clay_Offices!$A$2:$FZ$601,224,Sync!$C$5)&amp;"",""),6)&lt;&gt;"SAMPLE",Config!$B$19="Y")),IFERROR(N(INDEX(Clay_Offices!$A$2:$FZ$601,224,Sync!$C$11)),0),"")</f>
        <v/>
      </c>
      <c r="C1875" s="23" t="str">
        <f aca="false">IF(B1875="","","office")</f>
        <v/>
      </c>
      <c r="D1875" s="23" t="str">
        <f aca="false">IF(B1875="","",IFERROR(INDEX(Office_Log!$ED$2:$ED$201,MATCH(IFERROR(INDEX(Clay_Offices!$A$2:$FZ$601,224,Sync!$C$5)&amp;"",""),Office_Log!$A$2:$A$201,0))&amp;"",IFERROR(INDEX(Clay_Offices!$A$2:$FZ$601,224,Sync!$C$5)&amp;"","")&amp;""))</f>
        <v/>
      </c>
      <c r="E1875" s="23" t="str">
        <f aca="false">IF(B1875="","",IFERROR(INDEX(Clay_Offices!$A$2:$FZ$601,224,Sync!$C$6)&amp;"",""))</f>
        <v/>
      </c>
      <c r="F1875" s="23" t="str">
        <f aca="false">IF(B1875="","","outreach_sent")</f>
        <v/>
      </c>
      <c r="G1875" s="23" t="str">
        <f aca="false">IF(B1875="","","")</f>
        <v/>
      </c>
      <c r="H1875" s="23" t="str">
        <f aca="false">IF(B1875="","","")</f>
        <v/>
      </c>
      <c r="I1875" s="23" t="str">
        <f aca="false">IF(B1875="","","")</f>
        <v/>
      </c>
      <c r="J1875" s="23" t="str">
        <f aca="false">IF(B1875="","","touch_1; "&amp;IFERROR(INDEX(Clay_Offices!$A$2:$FZ$601,224,Sync!$C$10)&amp;"","")&amp;"; "&amp;IFERROR(INDEX(Clay_Offices!$A$2:$FZ$601,224,Sync!$C$9)&amp;"",""))</f>
        <v/>
      </c>
      <c r="K1875" s="32" t="s">
        <v>1363</v>
      </c>
    </row>
    <row r="1876" customFormat="false" ht="15" hidden="false" customHeight="false" outlineLevel="0" collapsed="false">
      <c r="A1876" s="23" t="str">
        <f aca="false">IF(B1876="","",B1876+(12*1000+225)/10000000)</f>
        <v/>
      </c>
      <c r="B1876" s="35" t="str">
        <f aca="false">IF(AND(IFERROR(N(INDEX(Clay_Offices!$A$2:$FZ$601,225,Sync!$C$11)),0)&gt;0,IFERROR(INDEX(Clay_Offices!$A$2:$FZ$601,225,Sync!$C$5)&amp;"","")&lt;&gt;"",OR(LEFT(IFERROR(INDEX(Clay_Offices!$A$2:$FZ$601,225,Sync!$C$5)&amp;"",""),6)&lt;&gt;"SAMPLE",Config!$B$19="Y")),IFERROR(N(INDEX(Clay_Offices!$A$2:$FZ$601,225,Sync!$C$11)),0),"")</f>
        <v/>
      </c>
      <c r="C1876" s="23" t="str">
        <f aca="false">IF(B1876="","","office")</f>
        <v/>
      </c>
      <c r="D1876" s="23" t="str">
        <f aca="false">IF(B1876="","",IFERROR(INDEX(Office_Log!$ED$2:$ED$201,MATCH(IFERROR(INDEX(Clay_Offices!$A$2:$FZ$601,225,Sync!$C$5)&amp;"",""),Office_Log!$A$2:$A$201,0))&amp;"",IFERROR(INDEX(Clay_Offices!$A$2:$FZ$601,225,Sync!$C$5)&amp;"","")&amp;""))</f>
        <v/>
      </c>
      <c r="E1876" s="23" t="str">
        <f aca="false">IF(B1876="","",IFERROR(INDEX(Clay_Offices!$A$2:$FZ$601,225,Sync!$C$6)&amp;"",""))</f>
        <v/>
      </c>
      <c r="F1876" s="23" t="str">
        <f aca="false">IF(B1876="","","outreach_sent")</f>
        <v/>
      </c>
      <c r="G1876" s="23" t="str">
        <f aca="false">IF(B1876="","","")</f>
        <v/>
      </c>
      <c r="H1876" s="23" t="str">
        <f aca="false">IF(B1876="","","")</f>
        <v/>
      </c>
      <c r="I1876" s="23" t="str">
        <f aca="false">IF(B1876="","","")</f>
        <v/>
      </c>
      <c r="J1876" s="23" t="str">
        <f aca="false">IF(B1876="","","touch_1; "&amp;IFERROR(INDEX(Clay_Offices!$A$2:$FZ$601,225,Sync!$C$10)&amp;"","")&amp;"; "&amp;IFERROR(INDEX(Clay_Offices!$A$2:$FZ$601,225,Sync!$C$9)&amp;"",""))</f>
        <v/>
      </c>
      <c r="K1876" s="32" t="s">
        <v>1363</v>
      </c>
    </row>
    <row r="1877" customFormat="false" ht="15" hidden="false" customHeight="false" outlineLevel="0" collapsed="false">
      <c r="A1877" s="23" t="str">
        <f aca="false">IF(B1877="","",B1877+(12*1000+226)/10000000)</f>
        <v/>
      </c>
      <c r="B1877" s="35" t="str">
        <f aca="false">IF(AND(IFERROR(N(INDEX(Clay_Offices!$A$2:$FZ$601,226,Sync!$C$11)),0)&gt;0,IFERROR(INDEX(Clay_Offices!$A$2:$FZ$601,226,Sync!$C$5)&amp;"","")&lt;&gt;"",OR(LEFT(IFERROR(INDEX(Clay_Offices!$A$2:$FZ$601,226,Sync!$C$5)&amp;"",""),6)&lt;&gt;"SAMPLE",Config!$B$19="Y")),IFERROR(N(INDEX(Clay_Offices!$A$2:$FZ$601,226,Sync!$C$11)),0),"")</f>
        <v/>
      </c>
      <c r="C1877" s="23" t="str">
        <f aca="false">IF(B1877="","","office")</f>
        <v/>
      </c>
      <c r="D1877" s="23" t="str">
        <f aca="false">IF(B1877="","",IFERROR(INDEX(Office_Log!$ED$2:$ED$201,MATCH(IFERROR(INDEX(Clay_Offices!$A$2:$FZ$601,226,Sync!$C$5)&amp;"",""),Office_Log!$A$2:$A$201,0))&amp;"",IFERROR(INDEX(Clay_Offices!$A$2:$FZ$601,226,Sync!$C$5)&amp;"","")&amp;""))</f>
        <v/>
      </c>
      <c r="E1877" s="23" t="str">
        <f aca="false">IF(B1877="","",IFERROR(INDEX(Clay_Offices!$A$2:$FZ$601,226,Sync!$C$6)&amp;"",""))</f>
        <v/>
      </c>
      <c r="F1877" s="23" t="str">
        <f aca="false">IF(B1877="","","outreach_sent")</f>
        <v/>
      </c>
      <c r="G1877" s="23" t="str">
        <f aca="false">IF(B1877="","","")</f>
        <v/>
      </c>
      <c r="H1877" s="23" t="str">
        <f aca="false">IF(B1877="","","")</f>
        <v/>
      </c>
      <c r="I1877" s="23" t="str">
        <f aca="false">IF(B1877="","","")</f>
        <v/>
      </c>
      <c r="J1877" s="23" t="str">
        <f aca="false">IF(B1877="","","touch_1; "&amp;IFERROR(INDEX(Clay_Offices!$A$2:$FZ$601,226,Sync!$C$10)&amp;"","")&amp;"; "&amp;IFERROR(INDEX(Clay_Offices!$A$2:$FZ$601,226,Sync!$C$9)&amp;"",""))</f>
        <v/>
      </c>
      <c r="K1877" s="32" t="s">
        <v>1363</v>
      </c>
    </row>
    <row r="1878" customFormat="false" ht="15" hidden="false" customHeight="false" outlineLevel="0" collapsed="false">
      <c r="A1878" s="23" t="str">
        <f aca="false">IF(B1878="","",B1878+(12*1000+227)/10000000)</f>
        <v/>
      </c>
      <c r="B1878" s="35" t="str">
        <f aca="false">IF(AND(IFERROR(N(INDEX(Clay_Offices!$A$2:$FZ$601,227,Sync!$C$11)),0)&gt;0,IFERROR(INDEX(Clay_Offices!$A$2:$FZ$601,227,Sync!$C$5)&amp;"","")&lt;&gt;"",OR(LEFT(IFERROR(INDEX(Clay_Offices!$A$2:$FZ$601,227,Sync!$C$5)&amp;"",""),6)&lt;&gt;"SAMPLE",Config!$B$19="Y")),IFERROR(N(INDEX(Clay_Offices!$A$2:$FZ$601,227,Sync!$C$11)),0),"")</f>
        <v/>
      </c>
      <c r="C1878" s="23" t="str">
        <f aca="false">IF(B1878="","","office")</f>
        <v/>
      </c>
      <c r="D1878" s="23" t="str">
        <f aca="false">IF(B1878="","",IFERROR(INDEX(Office_Log!$ED$2:$ED$201,MATCH(IFERROR(INDEX(Clay_Offices!$A$2:$FZ$601,227,Sync!$C$5)&amp;"",""),Office_Log!$A$2:$A$201,0))&amp;"",IFERROR(INDEX(Clay_Offices!$A$2:$FZ$601,227,Sync!$C$5)&amp;"","")&amp;""))</f>
        <v/>
      </c>
      <c r="E1878" s="23" t="str">
        <f aca="false">IF(B1878="","",IFERROR(INDEX(Clay_Offices!$A$2:$FZ$601,227,Sync!$C$6)&amp;"",""))</f>
        <v/>
      </c>
      <c r="F1878" s="23" t="str">
        <f aca="false">IF(B1878="","","outreach_sent")</f>
        <v/>
      </c>
      <c r="G1878" s="23" t="str">
        <f aca="false">IF(B1878="","","")</f>
        <v/>
      </c>
      <c r="H1878" s="23" t="str">
        <f aca="false">IF(B1878="","","")</f>
        <v/>
      </c>
      <c r="I1878" s="23" t="str">
        <f aca="false">IF(B1878="","","")</f>
        <v/>
      </c>
      <c r="J1878" s="23" t="str">
        <f aca="false">IF(B1878="","","touch_1; "&amp;IFERROR(INDEX(Clay_Offices!$A$2:$FZ$601,227,Sync!$C$10)&amp;"","")&amp;"; "&amp;IFERROR(INDEX(Clay_Offices!$A$2:$FZ$601,227,Sync!$C$9)&amp;"",""))</f>
        <v/>
      </c>
      <c r="K1878" s="32" t="s">
        <v>1363</v>
      </c>
    </row>
    <row r="1879" customFormat="false" ht="15" hidden="false" customHeight="false" outlineLevel="0" collapsed="false">
      <c r="A1879" s="23" t="str">
        <f aca="false">IF(B1879="","",B1879+(12*1000+228)/10000000)</f>
        <v/>
      </c>
      <c r="B1879" s="35" t="str">
        <f aca="false">IF(AND(IFERROR(N(INDEX(Clay_Offices!$A$2:$FZ$601,228,Sync!$C$11)),0)&gt;0,IFERROR(INDEX(Clay_Offices!$A$2:$FZ$601,228,Sync!$C$5)&amp;"","")&lt;&gt;"",OR(LEFT(IFERROR(INDEX(Clay_Offices!$A$2:$FZ$601,228,Sync!$C$5)&amp;"",""),6)&lt;&gt;"SAMPLE",Config!$B$19="Y")),IFERROR(N(INDEX(Clay_Offices!$A$2:$FZ$601,228,Sync!$C$11)),0),"")</f>
        <v/>
      </c>
      <c r="C1879" s="23" t="str">
        <f aca="false">IF(B1879="","","office")</f>
        <v/>
      </c>
      <c r="D1879" s="23" t="str">
        <f aca="false">IF(B1879="","",IFERROR(INDEX(Office_Log!$ED$2:$ED$201,MATCH(IFERROR(INDEX(Clay_Offices!$A$2:$FZ$601,228,Sync!$C$5)&amp;"",""),Office_Log!$A$2:$A$201,0))&amp;"",IFERROR(INDEX(Clay_Offices!$A$2:$FZ$601,228,Sync!$C$5)&amp;"","")&amp;""))</f>
        <v/>
      </c>
      <c r="E1879" s="23" t="str">
        <f aca="false">IF(B1879="","",IFERROR(INDEX(Clay_Offices!$A$2:$FZ$601,228,Sync!$C$6)&amp;"",""))</f>
        <v/>
      </c>
      <c r="F1879" s="23" t="str">
        <f aca="false">IF(B1879="","","outreach_sent")</f>
        <v/>
      </c>
      <c r="G1879" s="23" t="str">
        <f aca="false">IF(B1879="","","")</f>
        <v/>
      </c>
      <c r="H1879" s="23" t="str">
        <f aca="false">IF(B1879="","","")</f>
        <v/>
      </c>
      <c r="I1879" s="23" t="str">
        <f aca="false">IF(B1879="","","")</f>
        <v/>
      </c>
      <c r="J1879" s="23" t="str">
        <f aca="false">IF(B1879="","","touch_1; "&amp;IFERROR(INDEX(Clay_Offices!$A$2:$FZ$601,228,Sync!$C$10)&amp;"","")&amp;"; "&amp;IFERROR(INDEX(Clay_Offices!$A$2:$FZ$601,228,Sync!$C$9)&amp;"",""))</f>
        <v/>
      </c>
      <c r="K1879" s="32" t="s">
        <v>1363</v>
      </c>
    </row>
    <row r="1880" customFormat="false" ht="15" hidden="false" customHeight="false" outlineLevel="0" collapsed="false">
      <c r="A1880" s="23" t="str">
        <f aca="false">IF(B1880="","",B1880+(12*1000+229)/10000000)</f>
        <v/>
      </c>
      <c r="B1880" s="35" t="str">
        <f aca="false">IF(AND(IFERROR(N(INDEX(Clay_Offices!$A$2:$FZ$601,229,Sync!$C$11)),0)&gt;0,IFERROR(INDEX(Clay_Offices!$A$2:$FZ$601,229,Sync!$C$5)&amp;"","")&lt;&gt;"",OR(LEFT(IFERROR(INDEX(Clay_Offices!$A$2:$FZ$601,229,Sync!$C$5)&amp;"",""),6)&lt;&gt;"SAMPLE",Config!$B$19="Y")),IFERROR(N(INDEX(Clay_Offices!$A$2:$FZ$601,229,Sync!$C$11)),0),"")</f>
        <v/>
      </c>
      <c r="C1880" s="23" t="str">
        <f aca="false">IF(B1880="","","office")</f>
        <v/>
      </c>
      <c r="D1880" s="23" t="str">
        <f aca="false">IF(B1880="","",IFERROR(INDEX(Office_Log!$ED$2:$ED$201,MATCH(IFERROR(INDEX(Clay_Offices!$A$2:$FZ$601,229,Sync!$C$5)&amp;"",""),Office_Log!$A$2:$A$201,0))&amp;"",IFERROR(INDEX(Clay_Offices!$A$2:$FZ$601,229,Sync!$C$5)&amp;"","")&amp;""))</f>
        <v/>
      </c>
      <c r="E1880" s="23" t="str">
        <f aca="false">IF(B1880="","",IFERROR(INDEX(Clay_Offices!$A$2:$FZ$601,229,Sync!$C$6)&amp;"",""))</f>
        <v/>
      </c>
      <c r="F1880" s="23" t="str">
        <f aca="false">IF(B1880="","","outreach_sent")</f>
        <v/>
      </c>
      <c r="G1880" s="23" t="str">
        <f aca="false">IF(B1880="","","")</f>
        <v/>
      </c>
      <c r="H1880" s="23" t="str">
        <f aca="false">IF(B1880="","","")</f>
        <v/>
      </c>
      <c r="I1880" s="23" t="str">
        <f aca="false">IF(B1880="","","")</f>
        <v/>
      </c>
      <c r="J1880" s="23" t="str">
        <f aca="false">IF(B1880="","","touch_1; "&amp;IFERROR(INDEX(Clay_Offices!$A$2:$FZ$601,229,Sync!$C$10)&amp;"","")&amp;"; "&amp;IFERROR(INDEX(Clay_Offices!$A$2:$FZ$601,229,Sync!$C$9)&amp;"",""))</f>
        <v/>
      </c>
      <c r="K1880" s="32" t="s">
        <v>1363</v>
      </c>
    </row>
    <row r="1881" customFormat="false" ht="15" hidden="false" customHeight="false" outlineLevel="0" collapsed="false">
      <c r="A1881" s="23" t="str">
        <f aca="false">IF(B1881="","",B1881+(12*1000+230)/10000000)</f>
        <v/>
      </c>
      <c r="B1881" s="35" t="str">
        <f aca="false">IF(AND(IFERROR(N(INDEX(Clay_Offices!$A$2:$FZ$601,230,Sync!$C$11)),0)&gt;0,IFERROR(INDEX(Clay_Offices!$A$2:$FZ$601,230,Sync!$C$5)&amp;"","")&lt;&gt;"",OR(LEFT(IFERROR(INDEX(Clay_Offices!$A$2:$FZ$601,230,Sync!$C$5)&amp;"",""),6)&lt;&gt;"SAMPLE",Config!$B$19="Y")),IFERROR(N(INDEX(Clay_Offices!$A$2:$FZ$601,230,Sync!$C$11)),0),"")</f>
        <v/>
      </c>
      <c r="C1881" s="23" t="str">
        <f aca="false">IF(B1881="","","office")</f>
        <v/>
      </c>
      <c r="D1881" s="23" t="str">
        <f aca="false">IF(B1881="","",IFERROR(INDEX(Office_Log!$ED$2:$ED$201,MATCH(IFERROR(INDEX(Clay_Offices!$A$2:$FZ$601,230,Sync!$C$5)&amp;"",""),Office_Log!$A$2:$A$201,0))&amp;"",IFERROR(INDEX(Clay_Offices!$A$2:$FZ$601,230,Sync!$C$5)&amp;"","")&amp;""))</f>
        <v/>
      </c>
      <c r="E1881" s="23" t="str">
        <f aca="false">IF(B1881="","",IFERROR(INDEX(Clay_Offices!$A$2:$FZ$601,230,Sync!$C$6)&amp;"",""))</f>
        <v/>
      </c>
      <c r="F1881" s="23" t="str">
        <f aca="false">IF(B1881="","","outreach_sent")</f>
        <v/>
      </c>
      <c r="G1881" s="23" t="str">
        <f aca="false">IF(B1881="","","")</f>
        <v/>
      </c>
      <c r="H1881" s="23" t="str">
        <f aca="false">IF(B1881="","","")</f>
        <v/>
      </c>
      <c r="I1881" s="23" t="str">
        <f aca="false">IF(B1881="","","")</f>
        <v/>
      </c>
      <c r="J1881" s="23" t="str">
        <f aca="false">IF(B1881="","","touch_1; "&amp;IFERROR(INDEX(Clay_Offices!$A$2:$FZ$601,230,Sync!$C$10)&amp;"","")&amp;"; "&amp;IFERROR(INDEX(Clay_Offices!$A$2:$FZ$601,230,Sync!$C$9)&amp;"",""))</f>
        <v/>
      </c>
      <c r="K1881" s="32" t="s">
        <v>1363</v>
      </c>
    </row>
    <row r="1882" customFormat="false" ht="15" hidden="false" customHeight="false" outlineLevel="0" collapsed="false">
      <c r="A1882" s="23" t="str">
        <f aca="false">IF(B1882="","",B1882+(12*1000+231)/10000000)</f>
        <v/>
      </c>
      <c r="B1882" s="35" t="str">
        <f aca="false">IF(AND(IFERROR(N(INDEX(Clay_Offices!$A$2:$FZ$601,231,Sync!$C$11)),0)&gt;0,IFERROR(INDEX(Clay_Offices!$A$2:$FZ$601,231,Sync!$C$5)&amp;"","")&lt;&gt;"",OR(LEFT(IFERROR(INDEX(Clay_Offices!$A$2:$FZ$601,231,Sync!$C$5)&amp;"",""),6)&lt;&gt;"SAMPLE",Config!$B$19="Y")),IFERROR(N(INDEX(Clay_Offices!$A$2:$FZ$601,231,Sync!$C$11)),0),"")</f>
        <v/>
      </c>
      <c r="C1882" s="23" t="str">
        <f aca="false">IF(B1882="","","office")</f>
        <v/>
      </c>
      <c r="D1882" s="23" t="str">
        <f aca="false">IF(B1882="","",IFERROR(INDEX(Office_Log!$ED$2:$ED$201,MATCH(IFERROR(INDEX(Clay_Offices!$A$2:$FZ$601,231,Sync!$C$5)&amp;"",""),Office_Log!$A$2:$A$201,0))&amp;"",IFERROR(INDEX(Clay_Offices!$A$2:$FZ$601,231,Sync!$C$5)&amp;"","")&amp;""))</f>
        <v/>
      </c>
      <c r="E1882" s="23" t="str">
        <f aca="false">IF(B1882="","",IFERROR(INDEX(Clay_Offices!$A$2:$FZ$601,231,Sync!$C$6)&amp;"",""))</f>
        <v/>
      </c>
      <c r="F1882" s="23" t="str">
        <f aca="false">IF(B1882="","","outreach_sent")</f>
        <v/>
      </c>
      <c r="G1882" s="23" t="str">
        <f aca="false">IF(B1882="","","")</f>
        <v/>
      </c>
      <c r="H1882" s="23" t="str">
        <f aca="false">IF(B1882="","","")</f>
        <v/>
      </c>
      <c r="I1882" s="23" t="str">
        <f aca="false">IF(B1882="","","")</f>
        <v/>
      </c>
      <c r="J1882" s="23" t="str">
        <f aca="false">IF(B1882="","","touch_1; "&amp;IFERROR(INDEX(Clay_Offices!$A$2:$FZ$601,231,Sync!$C$10)&amp;"","")&amp;"; "&amp;IFERROR(INDEX(Clay_Offices!$A$2:$FZ$601,231,Sync!$C$9)&amp;"",""))</f>
        <v/>
      </c>
      <c r="K1882" s="32" t="s">
        <v>1363</v>
      </c>
    </row>
    <row r="1883" customFormat="false" ht="15" hidden="false" customHeight="false" outlineLevel="0" collapsed="false">
      <c r="A1883" s="23" t="str">
        <f aca="false">IF(B1883="","",B1883+(12*1000+232)/10000000)</f>
        <v/>
      </c>
      <c r="B1883" s="35" t="str">
        <f aca="false">IF(AND(IFERROR(N(INDEX(Clay_Offices!$A$2:$FZ$601,232,Sync!$C$11)),0)&gt;0,IFERROR(INDEX(Clay_Offices!$A$2:$FZ$601,232,Sync!$C$5)&amp;"","")&lt;&gt;"",OR(LEFT(IFERROR(INDEX(Clay_Offices!$A$2:$FZ$601,232,Sync!$C$5)&amp;"",""),6)&lt;&gt;"SAMPLE",Config!$B$19="Y")),IFERROR(N(INDEX(Clay_Offices!$A$2:$FZ$601,232,Sync!$C$11)),0),"")</f>
        <v/>
      </c>
      <c r="C1883" s="23" t="str">
        <f aca="false">IF(B1883="","","office")</f>
        <v/>
      </c>
      <c r="D1883" s="23" t="str">
        <f aca="false">IF(B1883="","",IFERROR(INDEX(Office_Log!$ED$2:$ED$201,MATCH(IFERROR(INDEX(Clay_Offices!$A$2:$FZ$601,232,Sync!$C$5)&amp;"",""),Office_Log!$A$2:$A$201,0))&amp;"",IFERROR(INDEX(Clay_Offices!$A$2:$FZ$601,232,Sync!$C$5)&amp;"","")&amp;""))</f>
        <v/>
      </c>
      <c r="E1883" s="23" t="str">
        <f aca="false">IF(B1883="","",IFERROR(INDEX(Clay_Offices!$A$2:$FZ$601,232,Sync!$C$6)&amp;"",""))</f>
        <v/>
      </c>
      <c r="F1883" s="23" t="str">
        <f aca="false">IF(B1883="","","outreach_sent")</f>
        <v/>
      </c>
      <c r="G1883" s="23" t="str">
        <f aca="false">IF(B1883="","","")</f>
        <v/>
      </c>
      <c r="H1883" s="23" t="str">
        <f aca="false">IF(B1883="","","")</f>
        <v/>
      </c>
      <c r="I1883" s="23" t="str">
        <f aca="false">IF(B1883="","","")</f>
        <v/>
      </c>
      <c r="J1883" s="23" t="str">
        <f aca="false">IF(B1883="","","touch_1; "&amp;IFERROR(INDEX(Clay_Offices!$A$2:$FZ$601,232,Sync!$C$10)&amp;"","")&amp;"; "&amp;IFERROR(INDEX(Clay_Offices!$A$2:$FZ$601,232,Sync!$C$9)&amp;"",""))</f>
        <v/>
      </c>
      <c r="K1883" s="32" t="s">
        <v>1363</v>
      </c>
    </row>
    <row r="1884" customFormat="false" ht="15" hidden="false" customHeight="false" outlineLevel="0" collapsed="false">
      <c r="A1884" s="23" t="str">
        <f aca="false">IF(B1884="","",B1884+(12*1000+233)/10000000)</f>
        <v/>
      </c>
      <c r="B1884" s="35" t="str">
        <f aca="false">IF(AND(IFERROR(N(INDEX(Clay_Offices!$A$2:$FZ$601,233,Sync!$C$11)),0)&gt;0,IFERROR(INDEX(Clay_Offices!$A$2:$FZ$601,233,Sync!$C$5)&amp;"","")&lt;&gt;"",OR(LEFT(IFERROR(INDEX(Clay_Offices!$A$2:$FZ$601,233,Sync!$C$5)&amp;"",""),6)&lt;&gt;"SAMPLE",Config!$B$19="Y")),IFERROR(N(INDEX(Clay_Offices!$A$2:$FZ$601,233,Sync!$C$11)),0),"")</f>
        <v/>
      </c>
      <c r="C1884" s="23" t="str">
        <f aca="false">IF(B1884="","","office")</f>
        <v/>
      </c>
      <c r="D1884" s="23" t="str">
        <f aca="false">IF(B1884="","",IFERROR(INDEX(Office_Log!$ED$2:$ED$201,MATCH(IFERROR(INDEX(Clay_Offices!$A$2:$FZ$601,233,Sync!$C$5)&amp;"",""),Office_Log!$A$2:$A$201,0))&amp;"",IFERROR(INDEX(Clay_Offices!$A$2:$FZ$601,233,Sync!$C$5)&amp;"","")&amp;""))</f>
        <v/>
      </c>
      <c r="E1884" s="23" t="str">
        <f aca="false">IF(B1884="","",IFERROR(INDEX(Clay_Offices!$A$2:$FZ$601,233,Sync!$C$6)&amp;"",""))</f>
        <v/>
      </c>
      <c r="F1884" s="23" t="str">
        <f aca="false">IF(B1884="","","outreach_sent")</f>
        <v/>
      </c>
      <c r="G1884" s="23" t="str">
        <f aca="false">IF(B1884="","","")</f>
        <v/>
      </c>
      <c r="H1884" s="23" t="str">
        <f aca="false">IF(B1884="","","")</f>
        <v/>
      </c>
      <c r="I1884" s="23" t="str">
        <f aca="false">IF(B1884="","","")</f>
        <v/>
      </c>
      <c r="J1884" s="23" t="str">
        <f aca="false">IF(B1884="","","touch_1; "&amp;IFERROR(INDEX(Clay_Offices!$A$2:$FZ$601,233,Sync!$C$10)&amp;"","")&amp;"; "&amp;IFERROR(INDEX(Clay_Offices!$A$2:$FZ$601,233,Sync!$C$9)&amp;"",""))</f>
        <v/>
      </c>
      <c r="K1884" s="32" t="s">
        <v>1363</v>
      </c>
    </row>
    <row r="1885" customFormat="false" ht="15" hidden="false" customHeight="false" outlineLevel="0" collapsed="false">
      <c r="A1885" s="23" t="str">
        <f aca="false">IF(B1885="","",B1885+(12*1000+234)/10000000)</f>
        <v/>
      </c>
      <c r="B1885" s="35" t="str">
        <f aca="false">IF(AND(IFERROR(N(INDEX(Clay_Offices!$A$2:$FZ$601,234,Sync!$C$11)),0)&gt;0,IFERROR(INDEX(Clay_Offices!$A$2:$FZ$601,234,Sync!$C$5)&amp;"","")&lt;&gt;"",OR(LEFT(IFERROR(INDEX(Clay_Offices!$A$2:$FZ$601,234,Sync!$C$5)&amp;"",""),6)&lt;&gt;"SAMPLE",Config!$B$19="Y")),IFERROR(N(INDEX(Clay_Offices!$A$2:$FZ$601,234,Sync!$C$11)),0),"")</f>
        <v/>
      </c>
      <c r="C1885" s="23" t="str">
        <f aca="false">IF(B1885="","","office")</f>
        <v/>
      </c>
      <c r="D1885" s="23" t="str">
        <f aca="false">IF(B1885="","",IFERROR(INDEX(Office_Log!$ED$2:$ED$201,MATCH(IFERROR(INDEX(Clay_Offices!$A$2:$FZ$601,234,Sync!$C$5)&amp;"",""),Office_Log!$A$2:$A$201,0))&amp;"",IFERROR(INDEX(Clay_Offices!$A$2:$FZ$601,234,Sync!$C$5)&amp;"","")&amp;""))</f>
        <v/>
      </c>
      <c r="E1885" s="23" t="str">
        <f aca="false">IF(B1885="","",IFERROR(INDEX(Clay_Offices!$A$2:$FZ$601,234,Sync!$C$6)&amp;"",""))</f>
        <v/>
      </c>
      <c r="F1885" s="23" t="str">
        <f aca="false">IF(B1885="","","outreach_sent")</f>
        <v/>
      </c>
      <c r="G1885" s="23" t="str">
        <f aca="false">IF(B1885="","","")</f>
        <v/>
      </c>
      <c r="H1885" s="23" t="str">
        <f aca="false">IF(B1885="","","")</f>
        <v/>
      </c>
      <c r="I1885" s="23" t="str">
        <f aca="false">IF(B1885="","","")</f>
        <v/>
      </c>
      <c r="J1885" s="23" t="str">
        <f aca="false">IF(B1885="","","touch_1; "&amp;IFERROR(INDEX(Clay_Offices!$A$2:$FZ$601,234,Sync!$C$10)&amp;"","")&amp;"; "&amp;IFERROR(INDEX(Clay_Offices!$A$2:$FZ$601,234,Sync!$C$9)&amp;"",""))</f>
        <v/>
      </c>
      <c r="K1885" s="32" t="s">
        <v>1363</v>
      </c>
    </row>
    <row r="1886" customFormat="false" ht="15" hidden="false" customHeight="false" outlineLevel="0" collapsed="false">
      <c r="A1886" s="23" t="str">
        <f aca="false">IF(B1886="","",B1886+(12*1000+235)/10000000)</f>
        <v/>
      </c>
      <c r="B1886" s="35" t="str">
        <f aca="false">IF(AND(IFERROR(N(INDEX(Clay_Offices!$A$2:$FZ$601,235,Sync!$C$11)),0)&gt;0,IFERROR(INDEX(Clay_Offices!$A$2:$FZ$601,235,Sync!$C$5)&amp;"","")&lt;&gt;"",OR(LEFT(IFERROR(INDEX(Clay_Offices!$A$2:$FZ$601,235,Sync!$C$5)&amp;"",""),6)&lt;&gt;"SAMPLE",Config!$B$19="Y")),IFERROR(N(INDEX(Clay_Offices!$A$2:$FZ$601,235,Sync!$C$11)),0),"")</f>
        <v/>
      </c>
      <c r="C1886" s="23" t="str">
        <f aca="false">IF(B1886="","","office")</f>
        <v/>
      </c>
      <c r="D1886" s="23" t="str">
        <f aca="false">IF(B1886="","",IFERROR(INDEX(Office_Log!$ED$2:$ED$201,MATCH(IFERROR(INDEX(Clay_Offices!$A$2:$FZ$601,235,Sync!$C$5)&amp;"",""),Office_Log!$A$2:$A$201,0))&amp;"",IFERROR(INDEX(Clay_Offices!$A$2:$FZ$601,235,Sync!$C$5)&amp;"","")&amp;""))</f>
        <v/>
      </c>
      <c r="E1886" s="23" t="str">
        <f aca="false">IF(B1886="","",IFERROR(INDEX(Clay_Offices!$A$2:$FZ$601,235,Sync!$C$6)&amp;"",""))</f>
        <v/>
      </c>
      <c r="F1886" s="23" t="str">
        <f aca="false">IF(B1886="","","outreach_sent")</f>
        <v/>
      </c>
      <c r="G1886" s="23" t="str">
        <f aca="false">IF(B1886="","","")</f>
        <v/>
      </c>
      <c r="H1886" s="23" t="str">
        <f aca="false">IF(B1886="","","")</f>
        <v/>
      </c>
      <c r="I1886" s="23" t="str">
        <f aca="false">IF(B1886="","","")</f>
        <v/>
      </c>
      <c r="J1886" s="23" t="str">
        <f aca="false">IF(B1886="","","touch_1; "&amp;IFERROR(INDEX(Clay_Offices!$A$2:$FZ$601,235,Sync!$C$10)&amp;"","")&amp;"; "&amp;IFERROR(INDEX(Clay_Offices!$A$2:$FZ$601,235,Sync!$C$9)&amp;"",""))</f>
        <v/>
      </c>
      <c r="K1886" s="32" t="s">
        <v>1363</v>
      </c>
    </row>
    <row r="1887" customFormat="false" ht="15" hidden="false" customHeight="false" outlineLevel="0" collapsed="false">
      <c r="A1887" s="23" t="str">
        <f aca="false">IF(B1887="","",B1887+(12*1000+236)/10000000)</f>
        <v/>
      </c>
      <c r="B1887" s="35" t="str">
        <f aca="false">IF(AND(IFERROR(N(INDEX(Clay_Offices!$A$2:$FZ$601,236,Sync!$C$11)),0)&gt;0,IFERROR(INDEX(Clay_Offices!$A$2:$FZ$601,236,Sync!$C$5)&amp;"","")&lt;&gt;"",OR(LEFT(IFERROR(INDEX(Clay_Offices!$A$2:$FZ$601,236,Sync!$C$5)&amp;"",""),6)&lt;&gt;"SAMPLE",Config!$B$19="Y")),IFERROR(N(INDEX(Clay_Offices!$A$2:$FZ$601,236,Sync!$C$11)),0),"")</f>
        <v/>
      </c>
      <c r="C1887" s="23" t="str">
        <f aca="false">IF(B1887="","","office")</f>
        <v/>
      </c>
      <c r="D1887" s="23" t="str">
        <f aca="false">IF(B1887="","",IFERROR(INDEX(Office_Log!$ED$2:$ED$201,MATCH(IFERROR(INDEX(Clay_Offices!$A$2:$FZ$601,236,Sync!$C$5)&amp;"",""),Office_Log!$A$2:$A$201,0))&amp;"",IFERROR(INDEX(Clay_Offices!$A$2:$FZ$601,236,Sync!$C$5)&amp;"","")&amp;""))</f>
        <v/>
      </c>
      <c r="E1887" s="23" t="str">
        <f aca="false">IF(B1887="","",IFERROR(INDEX(Clay_Offices!$A$2:$FZ$601,236,Sync!$C$6)&amp;"",""))</f>
        <v/>
      </c>
      <c r="F1887" s="23" t="str">
        <f aca="false">IF(B1887="","","outreach_sent")</f>
        <v/>
      </c>
      <c r="G1887" s="23" t="str">
        <f aca="false">IF(B1887="","","")</f>
        <v/>
      </c>
      <c r="H1887" s="23" t="str">
        <f aca="false">IF(B1887="","","")</f>
        <v/>
      </c>
      <c r="I1887" s="23" t="str">
        <f aca="false">IF(B1887="","","")</f>
        <v/>
      </c>
      <c r="J1887" s="23" t="str">
        <f aca="false">IF(B1887="","","touch_1; "&amp;IFERROR(INDEX(Clay_Offices!$A$2:$FZ$601,236,Sync!$C$10)&amp;"","")&amp;"; "&amp;IFERROR(INDEX(Clay_Offices!$A$2:$FZ$601,236,Sync!$C$9)&amp;"",""))</f>
        <v/>
      </c>
      <c r="K1887" s="32" t="s">
        <v>1363</v>
      </c>
    </row>
    <row r="1888" customFormat="false" ht="15" hidden="false" customHeight="false" outlineLevel="0" collapsed="false">
      <c r="A1888" s="23" t="str">
        <f aca="false">IF(B1888="","",B1888+(12*1000+237)/10000000)</f>
        <v/>
      </c>
      <c r="B1888" s="35" t="str">
        <f aca="false">IF(AND(IFERROR(N(INDEX(Clay_Offices!$A$2:$FZ$601,237,Sync!$C$11)),0)&gt;0,IFERROR(INDEX(Clay_Offices!$A$2:$FZ$601,237,Sync!$C$5)&amp;"","")&lt;&gt;"",OR(LEFT(IFERROR(INDEX(Clay_Offices!$A$2:$FZ$601,237,Sync!$C$5)&amp;"",""),6)&lt;&gt;"SAMPLE",Config!$B$19="Y")),IFERROR(N(INDEX(Clay_Offices!$A$2:$FZ$601,237,Sync!$C$11)),0),"")</f>
        <v/>
      </c>
      <c r="C1888" s="23" t="str">
        <f aca="false">IF(B1888="","","office")</f>
        <v/>
      </c>
      <c r="D1888" s="23" t="str">
        <f aca="false">IF(B1888="","",IFERROR(INDEX(Office_Log!$ED$2:$ED$201,MATCH(IFERROR(INDEX(Clay_Offices!$A$2:$FZ$601,237,Sync!$C$5)&amp;"",""),Office_Log!$A$2:$A$201,0))&amp;"",IFERROR(INDEX(Clay_Offices!$A$2:$FZ$601,237,Sync!$C$5)&amp;"","")&amp;""))</f>
        <v/>
      </c>
      <c r="E1888" s="23" t="str">
        <f aca="false">IF(B1888="","",IFERROR(INDEX(Clay_Offices!$A$2:$FZ$601,237,Sync!$C$6)&amp;"",""))</f>
        <v/>
      </c>
      <c r="F1888" s="23" t="str">
        <f aca="false">IF(B1888="","","outreach_sent")</f>
        <v/>
      </c>
      <c r="G1888" s="23" t="str">
        <f aca="false">IF(B1888="","","")</f>
        <v/>
      </c>
      <c r="H1888" s="23" t="str">
        <f aca="false">IF(B1888="","","")</f>
        <v/>
      </c>
      <c r="I1888" s="23" t="str">
        <f aca="false">IF(B1888="","","")</f>
        <v/>
      </c>
      <c r="J1888" s="23" t="str">
        <f aca="false">IF(B1888="","","touch_1; "&amp;IFERROR(INDEX(Clay_Offices!$A$2:$FZ$601,237,Sync!$C$10)&amp;"","")&amp;"; "&amp;IFERROR(INDEX(Clay_Offices!$A$2:$FZ$601,237,Sync!$C$9)&amp;"",""))</f>
        <v/>
      </c>
      <c r="K1888" s="32" t="s">
        <v>1363</v>
      </c>
    </row>
    <row r="1889" customFormat="false" ht="15" hidden="false" customHeight="false" outlineLevel="0" collapsed="false">
      <c r="A1889" s="23" t="str">
        <f aca="false">IF(B1889="","",B1889+(12*1000+238)/10000000)</f>
        <v/>
      </c>
      <c r="B1889" s="35" t="str">
        <f aca="false">IF(AND(IFERROR(N(INDEX(Clay_Offices!$A$2:$FZ$601,238,Sync!$C$11)),0)&gt;0,IFERROR(INDEX(Clay_Offices!$A$2:$FZ$601,238,Sync!$C$5)&amp;"","")&lt;&gt;"",OR(LEFT(IFERROR(INDEX(Clay_Offices!$A$2:$FZ$601,238,Sync!$C$5)&amp;"",""),6)&lt;&gt;"SAMPLE",Config!$B$19="Y")),IFERROR(N(INDEX(Clay_Offices!$A$2:$FZ$601,238,Sync!$C$11)),0),"")</f>
        <v/>
      </c>
      <c r="C1889" s="23" t="str">
        <f aca="false">IF(B1889="","","office")</f>
        <v/>
      </c>
      <c r="D1889" s="23" t="str">
        <f aca="false">IF(B1889="","",IFERROR(INDEX(Office_Log!$ED$2:$ED$201,MATCH(IFERROR(INDEX(Clay_Offices!$A$2:$FZ$601,238,Sync!$C$5)&amp;"",""),Office_Log!$A$2:$A$201,0))&amp;"",IFERROR(INDEX(Clay_Offices!$A$2:$FZ$601,238,Sync!$C$5)&amp;"","")&amp;""))</f>
        <v/>
      </c>
      <c r="E1889" s="23" t="str">
        <f aca="false">IF(B1889="","",IFERROR(INDEX(Clay_Offices!$A$2:$FZ$601,238,Sync!$C$6)&amp;"",""))</f>
        <v/>
      </c>
      <c r="F1889" s="23" t="str">
        <f aca="false">IF(B1889="","","outreach_sent")</f>
        <v/>
      </c>
      <c r="G1889" s="23" t="str">
        <f aca="false">IF(B1889="","","")</f>
        <v/>
      </c>
      <c r="H1889" s="23" t="str">
        <f aca="false">IF(B1889="","","")</f>
        <v/>
      </c>
      <c r="I1889" s="23" t="str">
        <f aca="false">IF(B1889="","","")</f>
        <v/>
      </c>
      <c r="J1889" s="23" t="str">
        <f aca="false">IF(B1889="","","touch_1; "&amp;IFERROR(INDEX(Clay_Offices!$A$2:$FZ$601,238,Sync!$C$10)&amp;"","")&amp;"; "&amp;IFERROR(INDEX(Clay_Offices!$A$2:$FZ$601,238,Sync!$C$9)&amp;"",""))</f>
        <v/>
      </c>
      <c r="K1889" s="32" t="s">
        <v>1363</v>
      </c>
    </row>
    <row r="1890" customFormat="false" ht="15" hidden="false" customHeight="false" outlineLevel="0" collapsed="false">
      <c r="A1890" s="23" t="str">
        <f aca="false">IF(B1890="","",B1890+(12*1000+239)/10000000)</f>
        <v/>
      </c>
      <c r="B1890" s="35" t="str">
        <f aca="false">IF(AND(IFERROR(N(INDEX(Clay_Offices!$A$2:$FZ$601,239,Sync!$C$11)),0)&gt;0,IFERROR(INDEX(Clay_Offices!$A$2:$FZ$601,239,Sync!$C$5)&amp;"","")&lt;&gt;"",OR(LEFT(IFERROR(INDEX(Clay_Offices!$A$2:$FZ$601,239,Sync!$C$5)&amp;"",""),6)&lt;&gt;"SAMPLE",Config!$B$19="Y")),IFERROR(N(INDEX(Clay_Offices!$A$2:$FZ$601,239,Sync!$C$11)),0),"")</f>
        <v/>
      </c>
      <c r="C1890" s="23" t="str">
        <f aca="false">IF(B1890="","","office")</f>
        <v/>
      </c>
      <c r="D1890" s="23" t="str">
        <f aca="false">IF(B1890="","",IFERROR(INDEX(Office_Log!$ED$2:$ED$201,MATCH(IFERROR(INDEX(Clay_Offices!$A$2:$FZ$601,239,Sync!$C$5)&amp;"",""),Office_Log!$A$2:$A$201,0))&amp;"",IFERROR(INDEX(Clay_Offices!$A$2:$FZ$601,239,Sync!$C$5)&amp;"","")&amp;""))</f>
        <v/>
      </c>
      <c r="E1890" s="23" t="str">
        <f aca="false">IF(B1890="","",IFERROR(INDEX(Clay_Offices!$A$2:$FZ$601,239,Sync!$C$6)&amp;"",""))</f>
        <v/>
      </c>
      <c r="F1890" s="23" t="str">
        <f aca="false">IF(B1890="","","outreach_sent")</f>
        <v/>
      </c>
      <c r="G1890" s="23" t="str">
        <f aca="false">IF(B1890="","","")</f>
        <v/>
      </c>
      <c r="H1890" s="23" t="str">
        <f aca="false">IF(B1890="","","")</f>
        <v/>
      </c>
      <c r="I1890" s="23" t="str">
        <f aca="false">IF(B1890="","","")</f>
        <v/>
      </c>
      <c r="J1890" s="23" t="str">
        <f aca="false">IF(B1890="","","touch_1; "&amp;IFERROR(INDEX(Clay_Offices!$A$2:$FZ$601,239,Sync!$C$10)&amp;"","")&amp;"; "&amp;IFERROR(INDEX(Clay_Offices!$A$2:$FZ$601,239,Sync!$C$9)&amp;"",""))</f>
        <v/>
      </c>
      <c r="K1890" s="32" t="s">
        <v>1363</v>
      </c>
    </row>
    <row r="1891" customFormat="false" ht="15" hidden="false" customHeight="false" outlineLevel="0" collapsed="false">
      <c r="A1891" s="23" t="str">
        <f aca="false">IF(B1891="","",B1891+(12*1000+240)/10000000)</f>
        <v/>
      </c>
      <c r="B1891" s="35" t="str">
        <f aca="false">IF(AND(IFERROR(N(INDEX(Clay_Offices!$A$2:$FZ$601,240,Sync!$C$11)),0)&gt;0,IFERROR(INDEX(Clay_Offices!$A$2:$FZ$601,240,Sync!$C$5)&amp;"","")&lt;&gt;"",OR(LEFT(IFERROR(INDEX(Clay_Offices!$A$2:$FZ$601,240,Sync!$C$5)&amp;"",""),6)&lt;&gt;"SAMPLE",Config!$B$19="Y")),IFERROR(N(INDEX(Clay_Offices!$A$2:$FZ$601,240,Sync!$C$11)),0),"")</f>
        <v/>
      </c>
      <c r="C1891" s="23" t="str">
        <f aca="false">IF(B1891="","","office")</f>
        <v/>
      </c>
      <c r="D1891" s="23" t="str">
        <f aca="false">IF(B1891="","",IFERROR(INDEX(Office_Log!$ED$2:$ED$201,MATCH(IFERROR(INDEX(Clay_Offices!$A$2:$FZ$601,240,Sync!$C$5)&amp;"",""),Office_Log!$A$2:$A$201,0))&amp;"",IFERROR(INDEX(Clay_Offices!$A$2:$FZ$601,240,Sync!$C$5)&amp;"","")&amp;""))</f>
        <v/>
      </c>
      <c r="E1891" s="23" t="str">
        <f aca="false">IF(B1891="","",IFERROR(INDEX(Clay_Offices!$A$2:$FZ$601,240,Sync!$C$6)&amp;"",""))</f>
        <v/>
      </c>
      <c r="F1891" s="23" t="str">
        <f aca="false">IF(B1891="","","outreach_sent")</f>
        <v/>
      </c>
      <c r="G1891" s="23" t="str">
        <f aca="false">IF(B1891="","","")</f>
        <v/>
      </c>
      <c r="H1891" s="23" t="str">
        <f aca="false">IF(B1891="","","")</f>
        <v/>
      </c>
      <c r="I1891" s="23" t="str">
        <f aca="false">IF(B1891="","","")</f>
        <v/>
      </c>
      <c r="J1891" s="23" t="str">
        <f aca="false">IF(B1891="","","touch_1; "&amp;IFERROR(INDEX(Clay_Offices!$A$2:$FZ$601,240,Sync!$C$10)&amp;"","")&amp;"; "&amp;IFERROR(INDEX(Clay_Offices!$A$2:$FZ$601,240,Sync!$C$9)&amp;"",""))</f>
        <v/>
      </c>
      <c r="K1891" s="32" t="s">
        <v>1363</v>
      </c>
    </row>
    <row r="1892" customFormat="false" ht="15" hidden="false" customHeight="false" outlineLevel="0" collapsed="false">
      <c r="A1892" s="23" t="str">
        <f aca="false">IF(B1892="","",B1892+(12*1000+241)/10000000)</f>
        <v/>
      </c>
      <c r="B1892" s="35" t="str">
        <f aca="false">IF(AND(IFERROR(N(INDEX(Clay_Offices!$A$2:$FZ$601,241,Sync!$C$11)),0)&gt;0,IFERROR(INDEX(Clay_Offices!$A$2:$FZ$601,241,Sync!$C$5)&amp;"","")&lt;&gt;"",OR(LEFT(IFERROR(INDEX(Clay_Offices!$A$2:$FZ$601,241,Sync!$C$5)&amp;"",""),6)&lt;&gt;"SAMPLE",Config!$B$19="Y")),IFERROR(N(INDEX(Clay_Offices!$A$2:$FZ$601,241,Sync!$C$11)),0),"")</f>
        <v/>
      </c>
      <c r="C1892" s="23" t="str">
        <f aca="false">IF(B1892="","","office")</f>
        <v/>
      </c>
      <c r="D1892" s="23" t="str">
        <f aca="false">IF(B1892="","",IFERROR(INDEX(Office_Log!$ED$2:$ED$201,MATCH(IFERROR(INDEX(Clay_Offices!$A$2:$FZ$601,241,Sync!$C$5)&amp;"",""),Office_Log!$A$2:$A$201,0))&amp;"",IFERROR(INDEX(Clay_Offices!$A$2:$FZ$601,241,Sync!$C$5)&amp;"","")&amp;""))</f>
        <v/>
      </c>
      <c r="E1892" s="23" t="str">
        <f aca="false">IF(B1892="","",IFERROR(INDEX(Clay_Offices!$A$2:$FZ$601,241,Sync!$C$6)&amp;"",""))</f>
        <v/>
      </c>
      <c r="F1892" s="23" t="str">
        <f aca="false">IF(B1892="","","outreach_sent")</f>
        <v/>
      </c>
      <c r="G1892" s="23" t="str">
        <f aca="false">IF(B1892="","","")</f>
        <v/>
      </c>
      <c r="H1892" s="23" t="str">
        <f aca="false">IF(B1892="","","")</f>
        <v/>
      </c>
      <c r="I1892" s="23" t="str">
        <f aca="false">IF(B1892="","","")</f>
        <v/>
      </c>
      <c r="J1892" s="23" t="str">
        <f aca="false">IF(B1892="","","touch_1; "&amp;IFERROR(INDEX(Clay_Offices!$A$2:$FZ$601,241,Sync!$C$10)&amp;"","")&amp;"; "&amp;IFERROR(INDEX(Clay_Offices!$A$2:$FZ$601,241,Sync!$C$9)&amp;"",""))</f>
        <v/>
      </c>
      <c r="K1892" s="32" t="s">
        <v>1363</v>
      </c>
    </row>
    <row r="1893" customFormat="false" ht="15" hidden="false" customHeight="false" outlineLevel="0" collapsed="false">
      <c r="A1893" s="23" t="str">
        <f aca="false">IF(B1893="","",B1893+(12*1000+242)/10000000)</f>
        <v/>
      </c>
      <c r="B1893" s="35" t="str">
        <f aca="false">IF(AND(IFERROR(N(INDEX(Clay_Offices!$A$2:$FZ$601,242,Sync!$C$11)),0)&gt;0,IFERROR(INDEX(Clay_Offices!$A$2:$FZ$601,242,Sync!$C$5)&amp;"","")&lt;&gt;"",OR(LEFT(IFERROR(INDEX(Clay_Offices!$A$2:$FZ$601,242,Sync!$C$5)&amp;"",""),6)&lt;&gt;"SAMPLE",Config!$B$19="Y")),IFERROR(N(INDEX(Clay_Offices!$A$2:$FZ$601,242,Sync!$C$11)),0),"")</f>
        <v/>
      </c>
      <c r="C1893" s="23" t="str">
        <f aca="false">IF(B1893="","","office")</f>
        <v/>
      </c>
      <c r="D1893" s="23" t="str">
        <f aca="false">IF(B1893="","",IFERROR(INDEX(Office_Log!$ED$2:$ED$201,MATCH(IFERROR(INDEX(Clay_Offices!$A$2:$FZ$601,242,Sync!$C$5)&amp;"",""),Office_Log!$A$2:$A$201,0))&amp;"",IFERROR(INDEX(Clay_Offices!$A$2:$FZ$601,242,Sync!$C$5)&amp;"","")&amp;""))</f>
        <v/>
      </c>
      <c r="E1893" s="23" t="str">
        <f aca="false">IF(B1893="","",IFERROR(INDEX(Clay_Offices!$A$2:$FZ$601,242,Sync!$C$6)&amp;"",""))</f>
        <v/>
      </c>
      <c r="F1893" s="23" t="str">
        <f aca="false">IF(B1893="","","outreach_sent")</f>
        <v/>
      </c>
      <c r="G1893" s="23" t="str">
        <f aca="false">IF(B1893="","","")</f>
        <v/>
      </c>
      <c r="H1893" s="23" t="str">
        <f aca="false">IF(B1893="","","")</f>
        <v/>
      </c>
      <c r="I1893" s="23" t="str">
        <f aca="false">IF(B1893="","","")</f>
        <v/>
      </c>
      <c r="J1893" s="23" t="str">
        <f aca="false">IF(B1893="","","touch_1; "&amp;IFERROR(INDEX(Clay_Offices!$A$2:$FZ$601,242,Sync!$C$10)&amp;"","")&amp;"; "&amp;IFERROR(INDEX(Clay_Offices!$A$2:$FZ$601,242,Sync!$C$9)&amp;"",""))</f>
        <v/>
      </c>
      <c r="K1893" s="32" t="s">
        <v>1363</v>
      </c>
    </row>
    <row r="1894" customFormat="false" ht="15" hidden="false" customHeight="false" outlineLevel="0" collapsed="false">
      <c r="A1894" s="23" t="str">
        <f aca="false">IF(B1894="","",B1894+(12*1000+243)/10000000)</f>
        <v/>
      </c>
      <c r="B1894" s="35" t="str">
        <f aca="false">IF(AND(IFERROR(N(INDEX(Clay_Offices!$A$2:$FZ$601,243,Sync!$C$11)),0)&gt;0,IFERROR(INDEX(Clay_Offices!$A$2:$FZ$601,243,Sync!$C$5)&amp;"","")&lt;&gt;"",OR(LEFT(IFERROR(INDEX(Clay_Offices!$A$2:$FZ$601,243,Sync!$C$5)&amp;"",""),6)&lt;&gt;"SAMPLE",Config!$B$19="Y")),IFERROR(N(INDEX(Clay_Offices!$A$2:$FZ$601,243,Sync!$C$11)),0),"")</f>
        <v/>
      </c>
      <c r="C1894" s="23" t="str">
        <f aca="false">IF(B1894="","","office")</f>
        <v/>
      </c>
      <c r="D1894" s="23" t="str">
        <f aca="false">IF(B1894="","",IFERROR(INDEX(Office_Log!$ED$2:$ED$201,MATCH(IFERROR(INDEX(Clay_Offices!$A$2:$FZ$601,243,Sync!$C$5)&amp;"",""),Office_Log!$A$2:$A$201,0))&amp;"",IFERROR(INDEX(Clay_Offices!$A$2:$FZ$601,243,Sync!$C$5)&amp;"","")&amp;""))</f>
        <v/>
      </c>
      <c r="E1894" s="23" t="str">
        <f aca="false">IF(B1894="","",IFERROR(INDEX(Clay_Offices!$A$2:$FZ$601,243,Sync!$C$6)&amp;"",""))</f>
        <v/>
      </c>
      <c r="F1894" s="23" t="str">
        <f aca="false">IF(B1894="","","outreach_sent")</f>
        <v/>
      </c>
      <c r="G1894" s="23" t="str">
        <f aca="false">IF(B1894="","","")</f>
        <v/>
      </c>
      <c r="H1894" s="23" t="str">
        <f aca="false">IF(B1894="","","")</f>
        <v/>
      </c>
      <c r="I1894" s="23" t="str">
        <f aca="false">IF(B1894="","","")</f>
        <v/>
      </c>
      <c r="J1894" s="23" t="str">
        <f aca="false">IF(B1894="","","touch_1; "&amp;IFERROR(INDEX(Clay_Offices!$A$2:$FZ$601,243,Sync!$C$10)&amp;"","")&amp;"; "&amp;IFERROR(INDEX(Clay_Offices!$A$2:$FZ$601,243,Sync!$C$9)&amp;"",""))</f>
        <v/>
      </c>
      <c r="K1894" s="32" t="s">
        <v>1363</v>
      </c>
    </row>
    <row r="1895" customFormat="false" ht="15" hidden="false" customHeight="false" outlineLevel="0" collapsed="false">
      <c r="A1895" s="23" t="str">
        <f aca="false">IF(B1895="","",B1895+(12*1000+244)/10000000)</f>
        <v/>
      </c>
      <c r="B1895" s="35" t="str">
        <f aca="false">IF(AND(IFERROR(N(INDEX(Clay_Offices!$A$2:$FZ$601,244,Sync!$C$11)),0)&gt;0,IFERROR(INDEX(Clay_Offices!$A$2:$FZ$601,244,Sync!$C$5)&amp;"","")&lt;&gt;"",OR(LEFT(IFERROR(INDEX(Clay_Offices!$A$2:$FZ$601,244,Sync!$C$5)&amp;"",""),6)&lt;&gt;"SAMPLE",Config!$B$19="Y")),IFERROR(N(INDEX(Clay_Offices!$A$2:$FZ$601,244,Sync!$C$11)),0),"")</f>
        <v/>
      </c>
      <c r="C1895" s="23" t="str">
        <f aca="false">IF(B1895="","","office")</f>
        <v/>
      </c>
      <c r="D1895" s="23" t="str">
        <f aca="false">IF(B1895="","",IFERROR(INDEX(Office_Log!$ED$2:$ED$201,MATCH(IFERROR(INDEX(Clay_Offices!$A$2:$FZ$601,244,Sync!$C$5)&amp;"",""),Office_Log!$A$2:$A$201,0))&amp;"",IFERROR(INDEX(Clay_Offices!$A$2:$FZ$601,244,Sync!$C$5)&amp;"","")&amp;""))</f>
        <v/>
      </c>
      <c r="E1895" s="23" t="str">
        <f aca="false">IF(B1895="","",IFERROR(INDEX(Clay_Offices!$A$2:$FZ$601,244,Sync!$C$6)&amp;"",""))</f>
        <v/>
      </c>
      <c r="F1895" s="23" t="str">
        <f aca="false">IF(B1895="","","outreach_sent")</f>
        <v/>
      </c>
      <c r="G1895" s="23" t="str">
        <f aca="false">IF(B1895="","","")</f>
        <v/>
      </c>
      <c r="H1895" s="23" t="str">
        <f aca="false">IF(B1895="","","")</f>
        <v/>
      </c>
      <c r="I1895" s="23" t="str">
        <f aca="false">IF(B1895="","","")</f>
        <v/>
      </c>
      <c r="J1895" s="23" t="str">
        <f aca="false">IF(B1895="","","touch_1; "&amp;IFERROR(INDEX(Clay_Offices!$A$2:$FZ$601,244,Sync!$C$10)&amp;"","")&amp;"; "&amp;IFERROR(INDEX(Clay_Offices!$A$2:$FZ$601,244,Sync!$C$9)&amp;"",""))</f>
        <v/>
      </c>
      <c r="K1895" s="32" t="s">
        <v>1363</v>
      </c>
    </row>
    <row r="1896" customFormat="false" ht="15" hidden="false" customHeight="false" outlineLevel="0" collapsed="false">
      <c r="A1896" s="23" t="str">
        <f aca="false">IF(B1896="","",B1896+(12*1000+245)/10000000)</f>
        <v/>
      </c>
      <c r="B1896" s="35" t="str">
        <f aca="false">IF(AND(IFERROR(N(INDEX(Clay_Offices!$A$2:$FZ$601,245,Sync!$C$11)),0)&gt;0,IFERROR(INDEX(Clay_Offices!$A$2:$FZ$601,245,Sync!$C$5)&amp;"","")&lt;&gt;"",OR(LEFT(IFERROR(INDEX(Clay_Offices!$A$2:$FZ$601,245,Sync!$C$5)&amp;"",""),6)&lt;&gt;"SAMPLE",Config!$B$19="Y")),IFERROR(N(INDEX(Clay_Offices!$A$2:$FZ$601,245,Sync!$C$11)),0),"")</f>
        <v/>
      </c>
      <c r="C1896" s="23" t="str">
        <f aca="false">IF(B1896="","","office")</f>
        <v/>
      </c>
      <c r="D1896" s="23" t="str">
        <f aca="false">IF(B1896="","",IFERROR(INDEX(Office_Log!$ED$2:$ED$201,MATCH(IFERROR(INDEX(Clay_Offices!$A$2:$FZ$601,245,Sync!$C$5)&amp;"",""),Office_Log!$A$2:$A$201,0))&amp;"",IFERROR(INDEX(Clay_Offices!$A$2:$FZ$601,245,Sync!$C$5)&amp;"","")&amp;""))</f>
        <v/>
      </c>
      <c r="E1896" s="23" t="str">
        <f aca="false">IF(B1896="","",IFERROR(INDEX(Clay_Offices!$A$2:$FZ$601,245,Sync!$C$6)&amp;"",""))</f>
        <v/>
      </c>
      <c r="F1896" s="23" t="str">
        <f aca="false">IF(B1896="","","outreach_sent")</f>
        <v/>
      </c>
      <c r="G1896" s="23" t="str">
        <f aca="false">IF(B1896="","","")</f>
        <v/>
      </c>
      <c r="H1896" s="23" t="str">
        <f aca="false">IF(B1896="","","")</f>
        <v/>
      </c>
      <c r="I1896" s="23" t="str">
        <f aca="false">IF(B1896="","","")</f>
        <v/>
      </c>
      <c r="J1896" s="23" t="str">
        <f aca="false">IF(B1896="","","touch_1; "&amp;IFERROR(INDEX(Clay_Offices!$A$2:$FZ$601,245,Sync!$C$10)&amp;"","")&amp;"; "&amp;IFERROR(INDEX(Clay_Offices!$A$2:$FZ$601,245,Sync!$C$9)&amp;"",""))</f>
        <v/>
      </c>
      <c r="K1896" s="32" t="s">
        <v>1363</v>
      </c>
    </row>
    <row r="1897" customFormat="false" ht="15" hidden="false" customHeight="false" outlineLevel="0" collapsed="false">
      <c r="A1897" s="23" t="str">
        <f aca="false">IF(B1897="","",B1897+(12*1000+246)/10000000)</f>
        <v/>
      </c>
      <c r="B1897" s="35" t="str">
        <f aca="false">IF(AND(IFERROR(N(INDEX(Clay_Offices!$A$2:$FZ$601,246,Sync!$C$11)),0)&gt;0,IFERROR(INDEX(Clay_Offices!$A$2:$FZ$601,246,Sync!$C$5)&amp;"","")&lt;&gt;"",OR(LEFT(IFERROR(INDEX(Clay_Offices!$A$2:$FZ$601,246,Sync!$C$5)&amp;"",""),6)&lt;&gt;"SAMPLE",Config!$B$19="Y")),IFERROR(N(INDEX(Clay_Offices!$A$2:$FZ$601,246,Sync!$C$11)),0),"")</f>
        <v/>
      </c>
      <c r="C1897" s="23" t="str">
        <f aca="false">IF(B1897="","","office")</f>
        <v/>
      </c>
      <c r="D1897" s="23" t="str">
        <f aca="false">IF(B1897="","",IFERROR(INDEX(Office_Log!$ED$2:$ED$201,MATCH(IFERROR(INDEX(Clay_Offices!$A$2:$FZ$601,246,Sync!$C$5)&amp;"",""),Office_Log!$A$2:$A$201,0))&amp;"",IFERROR(INDEX(Clay_Offices!$A$2:$FZ$601,246,Sync!$C$5)&amp;"","")&amp;""))</f>
        <v/>
      </c>
      <c r="E1897" s="23" t="str">
        <f aca="false">IF(B1897="","",IFERROR(INDEX(Clay_Offices!$A$2:$FZ$601,246,Sync!$C$6)&amp;"",""))</f>
        <v/>
      </c>
      <c r="F1897" s="23" t="str">
        <f aca="false">IF(B1897="","","outreach_sent")</f>
        <v/>
      </c>
      <c r="G1897" s="23" t="str">
        <f aca="false">IF(B1897="","","")</f>
        <v/>
      </c>
      <c r="H1897" s="23" t="str">
        <f aca="false">IF(B1897="","","")</f>
        <v/>
      </c>
      <c r="I1897" s="23" t="str">
        <f aca="false">IF(B1897="","","")</f>
        <v/>
      </c>
      <c r="J1897" s="23" t="str">
        <f aca="false">IF(B1897="","","touch_1; "&amp;IFERROR(INDEX(Clay_Offices!$A$2:$FZ$601,246,Sync!$C$10)&amp;"","")&amp;"; "&amp;IFERROR(INDEX(Clay_Offices!$A$2:$FZ$601,246,Sync!$C$9)&amp;"",""))</f>
        <v/>
      </c>
      <c r="K1897" s="32" t="s">
        <v>1363</v>
      </c>
    </row>
    <row r="1898" customFormat="false" ht="15" hidden="false" customHeight="false" outlineLevel="0" collapsed="false">
      <c r="A1898" s="23" t="str">
        <f aca="false">IF(B1898="","",B1898+(12*1000+247)/10000000)</f>
        <v/>
      </c>
      <c r="B1898" s="35" t="str">
        <f aca="false">IF(AND(IFERROR(N(INDEX(Clay_Offices!$A$2:$FZ$601,247,Sync!$C$11)),0)&gt;0,IFERROR(INDEX(Clay_Offices!$A$2:$FZ$601,247,Sync!$C$5)&amp;"","")&lt;&gt;"",OR(LEFT(IFERROR(INDEX(Clay_Offices!$A$2:$FZ$601,247,Sync!$C$5)&amp;"",""),6)&lt;&gt;"SAMPLE",Config!$B$19="Y")),IFERROR(N(INDEX(Clay_Offices!$A$2:$FZ$601,247,Sync!$C$11)),0),"")</f>
        <v/>
      </c>
      <c r="C1898" s="23" t="str">
        <f aca="false">IF(B1898="","","office")</f>
        <v/>
      </c>
      <c r="D1898" s="23" t="str">
        <f aca="false">IF(B1898="","",IFERROR(INDEX(Office_Log!$ED$2:$ED$201,MATCH(IFERROR(INDEX(Clay_Offices!$A$2:$FZ$601,247,Sync!$C$5)&amp;"",""),Office_Log!$A$2:$A$201,0))&amp;"",IFERROR(INDEX(Clay_Offices!$A$2:$FZ$601,247,Sync!$C$5)&amp;"","")&amp;""))</f>
        <v/>
      </c>
      <c r="E1898" s="23" t="str">
        <f aca="false">IF(B1898="","",IFERROR(INDEX(Clay_Offices!$A$2:$FZ$601,247,Sync!$C$6)&amp;"",""))</f>
        <v/>
      </c>
      <c r="F1898" s="23" t="str">
        <f aca="false">IF(B1898="","","outreach_sent")</f>
        <v/>
      </c>
      <c r="G1898" s="23" t="str">
        <f aca="false">IF(B1898="","","")</f>
        <v/>
      </c>
      <c r="H1898" s="23" t="str">
        <f aca="false">IF(B1898="","","")</f>
        <v/>
      </c>
      <c r="I1898" s="23" t="str">
        <f aca="false">IF(B1898="","","")</f>
        <v/>
      </c>
      <c r="J1898" s="23" t="str">
        <f aca="false">IF(B1898="","","touch_1; "&amp;IFERROR(INDEX(Clay_Offices!$A$2:$FZ$601,247,Sync!$C$10)&amp;"","")&amp;"; "&amp;IFERROR(INDEX(Clay_Offices!$A$2:$FZ$601,247,Sync!$C$9)&amp;"",""))</f>
        <v/>
      </c>
      <c r="K1898" s="32" t="s">
        <v>1363</v>
      </c>
    </row>
    <row r="1899" customFormat="false" ht="15" hidden="false" customHeight="false" outlineLevel="0" collapsed="false">
      <c r="A1899" s="23" t="str">
        <f aca="false">IF(B1899="","",B1899+(12*1000+248)/10000000)</f>
        <v/>
      </c>
      <c r="B1899" s="35" t="str">
        <f aca="false">IF(AND(IFERROR(N(INDEX(Clay_Offices!$A$2:$FZ$601,248,Sync!$C$11)),0)&gt;0,IFERROR(INDEX(Clay_Offices!$A$2:$FZ$601,248,Sync!$C$5)&amp;"","")&lt;&gt;"",OR(LEFT(IFERROR(INDEX(Clay_Offices!$A$2:$FZ$601,248,Sync!$C$5)&amp;"",""),6)&lt;&gt;"SAMPLE",Config!$B$19="Y")),IFERROR(N(INDEX(Clay_Offices!$A$2:$FZ$601,248,Sync!$C$11)),0),"")</f>
        <v/>
      </c>
      <c r="C1899" s="23" t="str">
        <f aca="false">IF(B1899="","","office")</f>
        <v/>
      </c>
      <c r="D1899" s="23" t="str">
        <f aca="false">IF(B1899="","",IFERROR(INDEX(Office_Log!$ED$2:$ED$201,MATCH(IFERROR(INDEX(Clay_Offices!$A$2:$FZ$601,248,Sync!$C$5)&amp;"",""),Office_Log!$A$2:$A$201,0))&amp;"",IFERROR(INDEX(Clay_Offices!$A$2:$FZ$601,248,Sync!$C$5)&amp;"","")&amp;""))</f>
        <v/>
      </c>
      <c r="E1899" s="23" t="str">
        <f aca="false">IF(B1899="","",IFERROR(INDEX(Clay_Offices!$A$2:$FZ$601,248,Sync!$C$6)&amp;"",""))</f>
        <v/>
      </c>
      <c r="F1899" s="23" t="str">
        <f aca="false">IF(B1899="","","outreach_sent")</f>
        <v/>
      </c>
      <c r="G1899" s="23" t="str">
        <f aca="false">IF(B1899="","","")</f>
        <v/>
      </c>
      <c r="H1899" s="23" t="str">
        <f aca="false">IF(B1899="","","")</f>
        <v/>
      </c>
      <c r="I1899" s="23" t="str">
        <f aca="false">IF(B1899="","","")</f>
        <v/>
      </c>
      <c r="J1899" s="23" t="str">
        <f aca="false">IF(B1899="","","touch_1; "&amp;IFERROR(INDEX(Clay_Offices!$A$2:$FZ$601,248,Sync!$C$10)&amp;"","")&amp;"; "&amp;IFERROR(INDEX(Clay_Offices!$A$2:$FZ$601,248,Sync!$C$9)&amp;"",""))</f>
        <v/>
      </c>
      <c r="K1899" s="32" t="s">
        <v>1363</v>
      </c>
    </row>
    <row r="1900" customFormat="false" ht="15" hidden="false" customHeight="false" outlineLevel="0" collapsed="false">
      <c r="A1900" s="23" t="str">
        <f aca="false">IF(B1900="","",B1900+(12*1000+249)/10000000)</f>
        <v/>
      </c>
      <c r="B1900" s="35" t="str">
        <f aca="false">IF(AND(IFERROR(N(INDEX(Clay_Offices!$A$2:$FZ$601,249,Sync!$C$11)),0)&gt;0,IFERROR(INDEX(Clay_Offices!$A$2:$FZ$601,249,Sync!$C$5)&amp;"","")&lt;&gt;"",OR(LEFT(IFERROR(INDEX(Clay_Offices!$A$2:$FZ$601,249,Sync!$C$5)&amp;"",""),6)&lt;&gt;"SAMPLE",Config!$B$19="Y")),IFERROR(N(INDEX(Clay_Offices!$A$2:$FZ$601,249,Sync!$C$11)),0),"")</f>
        <v/>
      </c>
      <c r="C1900" s="23" t="str">
        <f aca="false">IF(B1900="","","office")</f>
        <v/>
      </c>
      <c r="D1900" s="23" t="str">
        <f aca="false">IF(B1900="","",IFERROR(INDEX(Office_Log!$ED$2:$ED$201,MATCH(IFERROR(INDEX(Clay_Offices!$A$2:$FZ$601,249,Sync!$C$5)&amp;"",""),Office_Log!$A$2:$A$201,0))&amp;"",IFERROR(INDEX(Clay_Offices!$A$2:$FZ$601,249,Sync!$C$5)&amp;"","")&amp;""))</f>
        <v/>
      </c>
      <c r="E1900" s="23" t="str">
        <f aca="false">IF(B1900="","",IFERROR(INDEX(Clay_Offices!$A$2:$FZ$601,249,Sync!$C$6)&amp;"",""))</f>
        <v/>
      </c>
      <c r="F1900" s="23" t="str">
        <f aca="false">IF(B1900="","","outreach_sent")</f>
        <v/>
      </c>
      <c r="G1900" s="23" t="str">
        <f aca="false">IF(B1900="","","")</f>
        <v/>
      </c>
      <c r="H1900" s="23" t="str">
        <f aca="false">IF(B1900="","","")</f>
        <v/>
      </c>
      <c r="I1900" s="23" t="str">
        <f aca="false">IF(B1900="","","")</f>
        <v/>
      </c>
      <c r="J1900" s="23" t="str">
        <f aca="false">IF(B1900="","","touch_1; "&amp;IFERROR(INDEX(Clay_Offices!$A$2:$FZ$601,249,Sync!$C$10)&amp;"","")&amp;"; "&amp;IFERROR(INDEX(Clay_Offices!$A$2:$FZ$601,249,Sync!$C$9)&amp;"",""))</f>
        <v/>
      </c>
      <c r="K1900" s="32" t="s">
        <v>1363</v>
      </c>
    </row>
    <row r="1901" customFormat="false" ht="15" hidden="false" customHeight="false" outlineLevel="0" collapsed="false">
      <c r="A1901" s="23" t="str">
        <f aca="false">IF(B1901="","",B1901+(12*1000+250)/10000000)</f>
        <v/>
      </c>
      <c r="B1901" s="35" t="str">
        <f aca="false">IF(AND(IFERROR(N(INDEX(Clay_Offices!$A$2:$FZ$601,250,Sync!$C$11)),0)&gt;0,IFERROR(INDEX(Clay_Offices!$A$2:$FZ$601,250,Sync!$C$5)&amp;"","")&lt;&gt;"",OR(LEFT(IFERROR(INDEX(Clay_Offices!$A$2:$FZ$601,250,Sync!$C$5)&amp;"",""),6)&lt;&gt;"SAMPLE",Config!$B$19="Y")),IFERROR(N(INDEX(Clay_Offices!$A$2:$FZ$601,250,Sync!$C$11)),0),"")</f>
        <v/>
      </c>
      <c r="C1901" s="23" t="str">
        <f aca="false">IF(B1901="","","office")</f>
        <v/>
      </c>
      <c r="D1901" s="23" t="str">
        <f aca="false">IF(B1901="","",IFERROR(INDEX(Office_Log!$ED$2:$ED$201,MATCH(IFERROR(INDEX(Clay_Offices!$A$2:$FZ$601,250,Sync!$C$5)&amp;"",""),Office_Log!$A$2:$A$201,0))&amp;"",IFERROR(INDEX(Clay_Offices!$A$2:$FZ$601,250,Sync!$C$5)&amp;"","")&amp;""))</f>
        <v/>
      </c>
      <c r="E1901" s="23" t="str">
        <f aca="false">IF(B1901="","",IFERROR(INDEX(Clay_Offices!$A$2:$FZ$601,250,Sync!$C$6)&amp;"",""))</f>
        <v/>
      </c>
      <c r="F1901" s="23" t="str">
        <f aca="false">IF(B1901="","","outreach_sent")</f>
        <v/>
      </c>
      <c r="G1901" s="23" t="str">
        <f aca="false">IF(B1901="","","")</f>
        <v/>
      </c>
      <c r="H1901" s="23" t="str">
        <f aca="false">IF(B1901="","","")</f>
        <v/>
      </c>
      <c r="I1901" s="23" t="str">
        <f aca="false">IF(B1901="","","")</f>
        <v/>
      </c>
      <c r="J1901" s="23" t="str">
        <f aca="false">IF(B1901="","","touch_1; "&amp;IFERROR(INDEX(Clay_Offices!$A$2:$FZ$601,250,Sync!$C$10)&amp;"","")&amp;"; "&amp;IFERROR(INDEX(Clay_Offices!$A$2:$FZ$601,250,Sync!$C$9)&amp;"",""))</f>
        <v/>
      </c>
      <c r="K1901" s="32" t="s">
        <v>1363</v>
      </c>
    </row>
    <row r="1902" customFormat="false" ht="15" hidden="false" customHeight="false" outlineLevel="0" collapsed="false">
      <c r="A1902" s="23" t="str">
        <f aca="false">IF(B1902="","",B1902+(12*1000+251)/10000000)</f>
        <v/>
      </c>
      <c r="B1902" s="35" t="str">
        <f aca="false">IF(AND(IFERROR(N(INDEX(Clay_Offices!$A$2:$FZ$601,251,Sync!$C$11)),0)&gt;0,IFERROR(INDEX(Clay_Offices!$A$2:$FZ$601,251,Sync!$C$5)&amp;"","")&lt;&gt;"",OR(LEFT(IFERROR(INDEX(Clay_Offices!$A$2:$FZ$601,251,Sync!$C$5)&amp;"",""),6)&lt;&gt;"SAMPLE",Config!$B$19="Y")),IFERROR(N(INDEX(Clay_Offices!$A$2:$FZ$601,251,Sync!$C$11)),0),"")</f>
        <v/>
      </c>
      <c r="C1902" s="23" t="str">
        <f aca="false">IF(B1902="","","office")</f>
        <v/>
      </c>
      <c r="D1902" s="23" t="str">
        <f aca="false">IF(B1902="","",IFERROR(INDEX(Office_Log!$ED$2:$ED$201,MATCH(IFERROR(INDEX(Clay_Offices!$A$2:$FZ$601,251,Sync!$C$5)&amp;"",""),Office_Log!$A$2:$A$201,0))&amp;"",IFERROR(INDEX(Clay_Offices!$A$2:$FZ$601,251,Sync!$C$5)&amp;"","")&amp;""))</f>
        <v/>
      </c>
      <c r="E1902" s="23" t="str">
        <f aca="false">IF(B1902="","",IFERROR(INDEX(Clay_Offices!$A$2:$FZ$601,251,Sync!$C$6)&amp;"",""))</f>
        <v/>
      </c>
      <c r="F1902" s="23" t="str">
        <f aca="false">IF(B1902="","","outreach_sent")</f>
        <v/>
      </c>
      <c r="G1902" s="23" t="str">
        <f aca="false">IF(B1902="","","")</f>
        <v/>
      </c>
      <c r="H1902" s="23" t="str">
        <f aca="false">IF(B1902="","","")</f>
        <v/>
      </c>
      <c r="I1902" s="23" t="str">
        <f aca="false">IF(B1902="","","")</f>
        <v/>
      </c>
      <c r="J1902" s="23" t="str">
        <f aca="false">IF(B1902="","","touch_1; "&amp;IFERROR(INDEX(Clay_Offices!$A$2:$FZ$601,251,Sync!$C$10)&amp;"","")&amp;"; "&amp;IFERROR(INDEX(Clay_Offices!$A$2:$FZ$601,251,Sync!$C$9)&amp;"",""))</f>
        <v/>
      </c>
      <c r="K1902" s="32" t="s">
        <v>1363</v>
      </c>
    </row>
    <row r="1903" customFormat="false" ht="15" hidden="false" customHeight="false" outlineLevel="0" collapsed="false">
      <c r="A1903" s="23" t="str">
        <f aca="false">IF(B1903="","",B1903+(12*1000+252)/10000000)</f>
        <v/>
      </c>
      <c r="B1903" s="35" t="str">
        <f aca="false">IF(AND(IFERROR(N(INDEX(Clay_Offices!$A$2:$FZ$601,252,Sync!$C$11)),0)&gt;0,IFERROR(INDEX(Clay_Offices!$A$2:$FZ$601,252,Sync!$C$5)&amp;"","")&lt;&gt;"",OR(LEFT(IFERROR(INDEX(Clay_Offices!$A$2:$FZ$601,252,Sync!$C$5)&amp;"",""),6)&lt;&gt;"SAMPLE",Config!$B$19="Y")),IFERROR(N(INDEX(Clay_Offices!$A$2:$FZ$601,252,Sync!$C$11)),0),"")</f>
        <v/>
      </c>
      <c r="C1903" s="23" t="str">
        <f aca="false">IF(B1903="","","office")</f>
        <v/>
      </c>
      <c r="D1903" s="23" t="str">
        <f aca="false">IF(B1903="","",IFERROR(INDEX(Office_Log!$ED$2:$ED$201,MATCH(IFERROR(INDEX(Clay_Offices!$A$2:$FZ$601,252,Sync!$C$5)&amp;"",""),Office_Log!$A$2:$A$201,0))&amp;"",IFERROR(INDEX(Clay_Offices!$A$2:$FZ$601,252,Sync!$C$5)&amp;"","")&amp;""))</f>
        <v/>
      </c>
      <c r="E1903" s="23" t="str">
        <f aca="false">IF(B1903="","",IFERROR(INDEX(Clay_Offices!$A$2:$FZ$601,252,Sync!$C$6)&amp;"",""))</f>
        <v/>
      </c>
      <c r="F1903" s="23" t="str">
        <f aca="false">IF(B1903="","","outreach_sent")</f>
        <v/>
      </c>
      <c r="G1903" s="23" t="str">
        <f aca="false">IF(B1903="","","")</f>
        <v/>
      </c>
      <c r="H1903" s="23" t="str">
        <f aca="false">IF(B1903="","","")</f>
        <v/>
      </c>
      <c r="I1903" s="23" t="str">
        <f aca="false">IF(B1903="","","")</f>
        <v/>
      </c>
      <c r="J1903" s="23" t="str">
        <f aca="false">IF(B1903="","","touch_1; "&amp;IFERROR(INDEX(Clay_Offices!$A$2:$FZ$601,252,Sync!$C$10)&amp;"","")&amp;"; "&amp;IFERROR(INDEX(Clay_Offices!$A$2:$FZ$601,252,Sync!$C$9)&amp;"",""))</f>
        <v/>
      </c>
      <c r="K1903" s="32" t="s">
        <v>1363</v>
      </c>
    </row>
    <row r="1904" customFormat="false" ht="15" hidden="false" customHeight="false" outlineLevel="0" collapsed="false">
      <c r="A1904" s="23" t="str">
        <f aca="false">IF(B1904="","",B1904+(12*1000+253)/10000000)</f>
        <v/>
      </c>
      <c r="B1904" s="35" t="str">
        <f aca="false">IF(AND(IFERROR(N(INDEX(Clay_Offices!$A$2:$FZ$601,253,Sync!$C$11)),0)&gt;0,IFERROR(INDEX(Clay_Offices!$A$2:$FZ$601,253,Sync!$C$5)&amp;"","")&lt;&gt;"",OR(LEFT(IFERROR(INDEX(Clay_Offices!$A$2:$FZ$601,253,Sync!$C$5)&amp;"",""),6)&lt;&gt;"SAMPLE",Config!$B$19="Y")),IFERROR(N(INDEX(Clay_Offices!$A$2:$FZ$601,253,Sync!$C$11)),0),"")</f>
        <v/>
      </c>
      <c r="C1904" s="23" t="str">
        <f aca="false">IF(B1904="","","office")</f>
        <v/>
      </c>
      <c r="D1904" s="23" t="str">
        <f aca="false">IF(B1904="","",IFERROR(INDEX(Office_Log!$ED$2:$ED$201,MATCH(IFERROR(INDEX(Clay_Offices!$A$2:$FZ$601,253,Sync!$C$5)&amp;"",""),Office_Log!$A$2:$A$201,0))&amp;"",IFERROR(INDEX(Clay_Offices!$A$2:$FZ$601,253,Sync!$C$5)&amp;"","")&amp;""))</f>
        <v/>
      </c>
      <c r="E1904" s="23" t="str">
        <f aca="false">IF(B1904="","",IFERROR(INDEX(Clay_Offices!$A$2:$FZ$601,253,Sync!$C$6)&amp;"",""))</f>
        <v/>
      </c>
      <c r="F1904" s="23" t="str">
        <f aca="false">IF(B1904="","","outreach_sent")</f>
        <v/>
      </c>
      <c r="G1904" s="23" t="str">
        <f aca="false">IF(B1904="","","")</f>
        <v/>
      </c>
      <c r="H1904" s="23" t="str">
        <f aca="false">IF(B1904="","","")</f>
        <v/>
      </c>
      <c r="I1904" s="23" t="str">
        <f aca="false">IF(B1904="","","")</f>
        <v/>
      </c>
      <c r="J1904" s="23" t="str">
        <f aca="false">IF(B1904="","","touch_1; "&amp;IFERROR(INDEX(Clay_Offices!$A$2:$FZ$601,253,Sync!$C$10)&amp;"","")&amp;"; "&amp;IFERROR(INDEX(Clay_Offices!$A$2:$FZ$601,253,Sync!$C$9)&amp;"",""))</f>
        <v/>
      </c>
      <c r="K1904" s="32" t="s">
        <v>1363</v>
      </c>
    </row>
    <row r="1905" customFormat="false" ht="15" hidden="false" customHeight="false" outlineLevel="0" collapsed="false">
      <c r="A1905" s="23" t="str">
        <f aca="false">IF(B1905="","",B1905+(12*1000+254)/10000000)</f>
        <v/>
      </c>
      <c r="B1905" s="35" t="str">
        <f aca="false">IF(AND(IFERROR(N(INDEX(Clay_Offices!$A$2:$FZ$601,254,Sync!$C$11)),0)&gt;0,IFERROR(INDEX(Clay_Offices!$A$2:$FZ$601,254,Sync!$C$5)&amp;"","")&lt;&gt;"",OR(LEFT(IFERROR(INDEX(Clay_Offices!$A$2:$FZ$601,254,Sync!$C$5)&amp;"",""),6)&lt;&gt;"SAMPLE",Config!$B$19="Y")),IFERROR(N(INDEX(Clay_Offices!$A$2:$FZ$601,254,Sync!$C$11)),0),"")</f>
        <v/>
      </c>
      <c r="C1905" s="23" t="str">
        <f aca="false">IF(B1905="","","office")</f>
        <v/>
      </c>
      <c r="D1905" s="23" t="str">
        <f aca="false">IF(B1905="","",IFERROR(INDEX(Office_Log!$ED$2:$ED$201,MATCH(IFERROR(INDEX(Clay_Offices!$A$2:$FZ$601,254,Sync!$C$5)&amp;"",""),Office_Log!$A$2:$A$201,0))&amp;"",IFERROR(INDEX(Clay_Offices!$A$2:$FZ$601,254,Sync!$C$5)&amp;"","")&amp;""))</f>
        <v/>
      </c>
      <c r="E1905" s="23" t="str">
        <f aca="false">IF(B1905="","",IFERROR(INDEX(Clay_Offices!$A$2:$FZ$601,254,Sync!$C$6)&amp;"",""))</f>
        <v/>
      </c>
      <c r="F1905" s="23" t="str">
        <f aca="false">IF(B1905="","","outreach_sent")</f>
        <v/>
      </c>
      <c r="G1905" s="23" t="str">
        <f aca="false">IF(B1905="","","")</f>
        <v/>
      </c>
      <c r="H1905" s="23" t="str">
        <f aca="false">IF(B1905="","","")</f>
        <v/>
      </c>
      <c r="I1905" s="23" t="str">
        <f aca="false">IF(B1905="","","")</f>
        <v/>
      </c>
      <c r="J1905" s="23" t="str">
        <f aca="false">IF(B1905="","","touch_1; "&amp;IFERROR(INDEX(Clay_Offices!$A$2:$FZ$601,254,Sync!$C$10)&amp;"","")&amp;"; "&amp;IFERROR(INDEX(Clay_Offices!$A$2:$FZ$601,254,Sync!$C$9)&amp;"",""))</f>
        <v/>
      </c>
      <c r="K1905" s="32" t="s">
        <v>1363</v>
      </c>
    </row>
    <row r="1906" customFormat="false" ht="15" hidden="false" customHeight="false" outlineLevel="0" collapsed="false">
      <c r="A1906" s="23" t="str">
        <f aca="false">IF(B1906="","",B1906+(12*1000+255)/10000000)</f>
        <v/>
      </c>
      <c r="B1906" s="35" t="str">
        <f aca="false">IF(AND(IFERROR(N(INDEX(Clay_Offices!$A$2:$FZ$601,255,Sync!$C$11)),0)&gt;0,IFERROR(INDEX(Clay_Offices!$A$2:$FZ$601,255,Sync!$C$5)&amp;"","")&lt;&gt;"",OR(LEFT(IFERROR(INDEX(Clay_Offices!$A$2:$FZ$601,255,Sync!$C$5)&amp;"",""),6)&lt;&gt;"SAMPLE",Config!$B$19="Y")),IFERROR(N(INDEX(Clay_Offices!$A$2:$FZ$601,255,Sync!$C$11)),0),"")</f>
        <v/>
      </c>
      <c r="C1906" s="23" t="str">
        <f aca="false">IF(B1906="","","office")</f>
        <v/>
      </c>
      <c r="D1906" s="23" t="str">
        <f aca="false">IF(B1906="","",IFERROR(INDEX(Office_Log!$ED$2:$ED$201,MATCH(IFERROR(INDEX(Clay_Offices!$A$2:$FZ$601,255,Sync!$C$5)&amp;"",""),Office_Log!$A$2:$A$201,0))&amp;"",IFERROR(INDEX(Clay_Offices!$A$2:$FZ$601,255,Sync!$C$5)&amp;"","")&amp;""))</f>
        <v/>
      </c>
      <c r="E1906" s="23" t="str">
        <f aca="false">IF(B1906="","",IFERROR(INDEX(Clay_Offices!$A$2:$FZ$601,255,Sync!$C$6)&amp;"",""))</f>
        <v/>
      </c>
      <c r="F1906" s="23" t="str">
        <f aca="false">IF(B1906="","","outreach_sent")</f>
        <v/>
      </c>
      <c r="G1906" s="23" t="str">
        <f aca="false">IF(B1906="","","")</f>
        <v/>
      </c>
      <c r="H1906" s="23" t="str">
        <f aca="false">IF(B1906="","","")</f>
        <v/>
      </c>
      <c r="I1906" s="23" t="str">
        <f aca="false">IF(B1906="","","")</f>
        <v/>
      </c>
      <c r="J1906" s="23" t="str">
        <f aca="false">IF(B1906="","","touch_1; "&amp;IFERROR(INDEX(Clay_Offices!$A$2:$FZ$601,255,Sync!$C$10)&amp;"","")&amp;"; "&amp;IFERROR(INDEX(Clay_Offices!$A$2:$FZ$601,255,Sync!$C$9)&amp;"",""))</f>
        <v/>
      </c>
      <c r="K1906" s="32" t="s">
        <v>1363</v>
      </c>
    </row>
    <row r="1907" customFormat="false" ht="15" hidden="false" customHeight="false" outlineLevel="0" collapsed="false">
      <c r="A1907" s="23" t="str">
        <f aca="false">IF(B1907="","",B1907+(12*1000+256)/10000000)</f>
        <v/>
      </c>
      <c r="B1907" s="35" t="str">
        <f aca="false">IF(AND(IFERROR(N(INDEX(Clay_Offices!$A$2:$FZ$601,256,Sync!$C$11)),0)&gt;0,IFERROR(INDEX(Clay_Offices!$A$2:$FZ$601,256,Sync!$C$5)&amp;"","")&lt;&gt;"",OR(LEFT(IFERROR(INDEX(Clay_Offices!$A$2:$FZ$601,256,Sync!$C$5)&amp;"",""),6)&lt;&gt;"SAMPLE",Config!$B$19="Y")),IFERROR(N(INDEX(Clay_Offices!$A$2:$FZ$601,256,Sync!$C$11)),0),"")</f>
        <v/>
      </c>
      <c r="C1907" s="23" t="str">
        <f aca="false">IF(B1907="","","office")</f>
        <v/>
      </c>
      <c r="D1907" s="23" t="str">
        <f aca="false">IF(B1907="","",IFERROR(INDEX(Office_Log!$ED$2:$ED$201,MATCH(IFERROR(INDEX(Clay_Offices!$A$2:$FZ$601,256,Sync!$C$5)&amp;"",""),Office_Log!$A$2:$A$201,0))&amp;"",IFERROR(INDEX(Clay_Offices!$A$2:$FZ$601,256,Sync!$C$5)&amp;"","")&amp;""))</f>
        <v/>
      </c>
      <c r="E1907" s="23" t="str">
        <f aca="false">IF(B1907="","",IFERROR(INDEX(Clay_Offices!$A$2:$FZ$601,256,Sync!$C$6)&amp;"",""))</f>
        <v/>
      </c>
      <c r="F1907" s="23" t="str">
        <f aca="false">IF(B1907="","","outreach_sent")</f>
        <v/>
      </c>
      <c r="G1907" s="23" t="str">
        <f aca="false">IF(B1907="","","")</f>
        <v/>
      </c>
      <c r="H1907" s="23" t="str">
        <f aca="false">IF(B1907="","","")</f>
        <v/>
      </c>
      <c r="I1907" s="23" t="str">
        <f aca="false">IF(B1907="","","")</f>
        <v/>
      </c>
      <c r="J1907" s="23" t="str">
        <f aca="false">IF(B1907="","","touch_1; "&amp;IFERROR(INDEX(Clay_Offices!$A$2:$FZ$601,256,Sync!$C$10)&amp;"","")&amp;"; "&amp;IFERROR(INDEX(Clay_Offices!$A$2:$FZ$601,256,Sync!$C$9)&amp;"",""))</f>
        <v/>
      </c>
      <c r="K1907" s="32" t="s">
        <v>1363</v>
      </c>
    </row>
    <row r="1908" customFormat="false" ht="15" hidden="false" customHeight="false" outlineLevel="0" collapsed="false">
      <c r="A1908" s="23" t="str">
        <f aca="false">IF(B1908="","",B1908+(12*1000+257)/10000000)</f>
        <v/>
      </c>
      <c r="B1908" s="35" t="str">
        <f aca="false">IF(AND(IFERROR(N(INDEX(Clay_Offices!$A$2:$FZ$601,257,Sync!$C$11)),0)&gt;0,IFERROR(INDEX(Clay_Offices!$A$2:$FZ$601,257,Sync!$C$5)&amp;"","")&lt;&gt;"",OR(LEFT(IFERROR(INDEX(Clay_Offices!$A$2:$FZ$601,257,Sync!$C$5)&amp;"",""),6)&lt;&gt;"SAMPLE",Config!$B$19="Y")),IFERROR(N(INDEX(Clay_Offices!$A$2:$FZ$601,257,Sync!$C$11)),0),"")</f>
        <v/>
      </c>
      <c r="C1908" s="23" t="str">
        <f aca="false">IF(B1908="","","office")</f>
        <v/>
      </c>
      <c r="D1908" s="23" t="str">
        <f aca="false">IF(B1908="","",IFERROR(INDEX(Office_Log!$ED$2:$ED$201,MATCH(IFERROR(INDEX(Clay_Offices!$A$2:$FZ$601,257,Sync!$C$5)&amp;"",""),Office_Log!$A$2:$A$201,0))&amp;"",IFERROR(INDEX(Clay_Offices!$A$2:$FZ$601,257,Sync!$C$5)&amp;"","")&amp;""))</f>
        <v/>
      </c>
      <c r="E1908" s="23" t="str">
        <f aca="false">IF(B1908="","",IFERROR(INDEX(Clay_Offices!$A$2:$FZ$601,257,Sync!$C$6)&amp;"",""))</f>
        <v/>
      </c>
      <c r="F1908" s="23" t="str">
        <f aca="false">IF(B1908="","","outreach_sent")</f>
        <v/>
      </c>
      <c r="G1908" s="23" t="str">
        <f aca="false">IF(B1908="","","")</f>
        <v/>
      </c>
      <c r="H1908" s="23" t="str">
        <f aca="false">IF(B1908="","","")</f>
        <v/>
      </c>
      <c r="I1908" s="23" t="str">
        <f aca="false">IF(B1908="","","")</f>
        <v/>
      </c>
      <c r="J1908" s="23" t="str">
        <f aca="false">IF(B1908="","","touch_1; "&amp;IFERROR(INDEX(Clay_Offices!$A$2:$FZ$601,257,Sync!$C$10)&amp;"","")&amp;"; "&amp;IFERROR(INDEX(Clay_Offices!$A$2:$FZ$601,257,Sync!$C$9)&amp;"",""))</f>
        <v/>
      </c>
      <c r="K1908" s="32" t="s">
        <v>1363</v>
      </c>
    </row>
    <row r="1909" customFormat="false" ht="15" hidden="false" customHeight="false" outlineLevel="0" collapsed="false">
      <c r="A1909" s="23" t="str">
        <f aca="false">IF(B1909="","",B1909+(12*1000+258)/10000000)</f>
        <v/>
      </c>
      <c r="B1909" s="35" t="str">
        <f aca="false">IF(AND(IFERROR(N(INDEX(Clay_Offices!$A$2:$FZ$601,258,Sync!$C$11)),0)&gt;0,IFERROR(INDEX(Clay_Offices!$A$2:$FZ$601,258,Sync!$C$5)&amp;"","")&lt;&gt;"",OR(LEFT(IFERROR(INDEX(Clay_Offices!$A$2:$FZ$601,258,Sync!$C$5)&amp;"",""),6)&lt;&gt;"SAMPLE",Config!$B$19="Y")),IFERROR(N(INDEX(Clay_Offices!$A$2:$FZ$601,258,Sync!$C$11)),0),"")</f>
        <v/>
      </c>
      <c r="C1909" s="23" t="str">
        <f aca="false">IF(B1909="","","office")</f>
        <v/>
      </c>
      <c r="D1909" s="23" t="str">
        <f aca="false">IF(B1909="","",IFERROR(INDEX(Office_Log!$ED$2:$ED$201,MATCH(IFERROR(INDEX(Clay_Offices!$A$2:$FZ$601,258,Sync!$C$5)&amp;"",""),Office_Log!$A$2:$A$201,0))&amp;"",IFERROR(INDEX(Clay_Offices!$A$2:$FZ$601,258,Sync!$C$5)&amp;"","")&amp;""))</f>
        <v/>
      </c>
      <c r="E1909" s="23" t="str">
        <f aca="false">IF(B1909="","",IFERROR(INDEX(Clay_Offices!$A$2:$FZ$601,258,Sync!$C$6)&amp;"",""))</f>
        <v/>
      </c>
      <c r="F1909" s="23" t="str">
        <f aca="false">IF(B1909="","","outreach_sent")</f>
        <v/>
      </c>
      <c r="G1909" s="23" t="str">
        <f aca="false">IF(B1909="","","")</f>
        <v/>
      </c>
      <c r="H1909" s="23" t="str">
        <f aca="false">IF(B1909="","","")</f>
        <v/>
      </c>
      <c r="I1909" s="23" t="str">
        <f aca="false">IF(B1909="","","")</f>
        <v/>
      </c>
      <c r="J1909" s="23" t="str">
        <f aca="false">IF(B1909="","","touch_1; "&amp;IFERROR(INDEX(Clay_Offices!$A$2:$FZ$601,258,Sync!$C$10)&amp;"","")&amp;"; "&amp;IFERROR(INDEX(Clay_Offices!$A$2:$FZ$601,258,Sync!$C$9)&amp;"",""))</f>
        <v/>
      </c>
      <c r="K1909" s="32" t="s">
        <v>1363</v>
      </c>
    </row>
    <row r="1910" customFormat="false" ht="15" hidden="false" customHeight="false" outlineLevel="0" collapsed="false">
      <c r="A1910" s="23" t="str">
        <f aca="false">IF(B1910="","",B1910+(12*1000+259)/10000000)</f>
        <v/>
      </c>
      <c r="B1910" s="35" t="str">
        <f aca="false">IF(AND(IFERROR(N(INDEX(Clay_Offices!$A$2:$FZ$601,259,Sync!$C$11)),0)&gt;0,IFERROR(INDEX(Clay_Offices!$A$2:$FZ$601,259,Sync!$C$5)&amp;"","")&lt;&gt;"",OR(LEFT(IFERROR(INDEX(Clay_Offices!$A$2:$FZ$601,259,Sync!$C$5)&amp;"",""),6)&lt;&gt;"SAMPLE",Config!$B$19="Y")),IFERROR(N(INDEX(Clay_Offices!$A$2:$FZ$601,259,Sync!$C$11)),0),"")</f>
        <v/>
      </c>
      <c r="C1910" s="23" t="str">
        <f aca="false">IF(B1910="","","office")</f>
        <v/>
      </c>
      <c r="D1910" s="23" t="str">
        <f aca="false">IF(B1910="","",IFERROR(INDEX(Office_Log!$ED$2:$ED$201,MATCH(IFERROR(INDEX(Clay_Offices!$A$2:$FZ$601,259,Sync!$C$5)&amp;"",""),Office_Log!$A$2:$A$201,0))&amp;"",IFERROR(INDEX(Clay_Offices!$A$2:$FZ$601,259,Sync!$C$5)&amp;"","")&amp;""))</f>
        <v/>
      </c>
      <c r="E1910" s="23" t="str">
        <f aca="false">IF(B1910="","",IFERROR(INDEX(Clay_Offices!$A$2:$FZ$601,259,Sync!$C$6)&amp;"",""))</f>
        <v/>
      </c>
      <c r="F1910" s="23" t="str">
        <f aca="false">IF(B1910="","","outreach_sent")</f>
        <v/>
      </c>
      <c r="G1910" s="23" t="str">
        <f aca="false">IF(B1910="","","")</f>
        <v/>
      </c>
      <c r="H1910" s="23" t="str">
        <f aca="false">IF(B1910="","","")</f>
        <v/>
      </c>
      <c r="I1910" s="23" t="str">
        <f aca="false">IF(B1910="","","")</f>
        <v/>
      </c>
      <c r="J1910" s="23" t="str">
        <f aca="false">IF(B1910="","","touch_1; "&amp;IFERROR(INDEX(Clay_Offices!$A$2:$FZ$601,259,Sync!$C$10)&amp;"","")&amp;"; "&amp;IFERROR(INDEX(Clay_Offices!$A$2:$FZ$601,259,Sync!$C$9)&amp;"",""))</f>
        <v/>
      </c>
      <c r="K1910" s="32" t="s">
        <v>1363</v>
      </c>
    </row>
    <row r="1911" customFormat="false" ht="15" hidden="false" customHeight="false" outlineLevel="0" collapsed="false">
      <c r="A1911" s="23" t="str">
        <f aca="false">IF(B1911="","",B1911+(12*1000+260)/10000000)</f>
        <v/>
      </c>
      <c r="B1911" s="35" t="str">
        <f aca="false">IF(AND(IFERROR(N(INDEX(Clay_Offices!$A$2:$FZ$601,260,Sync!$C$11)),0)&gt;0,IFERROR(INDEX(Clay_Offices!$A$2:$FZ$601,260,Sync!$C$5)&amp;"","")&lt;&gt;"",OR(LEFT(IFERROR(INDEX(Clay_Offices!$A$2:$FZ$601,260,Sync!$C$5)&amp;"",""),6)&lt;&gt;"SAMPLE",Config!$B$19="Y")),IFERROR(N(INDEX(Clay_Offices!$A$2:$FZ$601,260,Sync!$C$11)),0),"")</f>
        <v/>
      </c>
      <c r="C1911" s="23" t="str">
        <f aca="false">IF(B1911="","","office")</f>
        <v/>
      </c>
      <c r="D1911" s="23" t="str">
        <f aca="false">IF(B1911="","",IFERROR(INDEX(Office_Log!$ED$2:$ED$201,MATCH(IFERROR(INDEX(Clay_Offices!$A$2:$FZ$601,260,Sync!$C$5)&amp;"",""),Office_Log!$A$2:$A$201,0))&amp;"",IFERROR(INDEX(Clay_Offices!$A$2:$FZ$601,260,Sync!$C$5)&amp;"","")&amp;""))</f>
        <v/>
      </c>
      <c r="E1911" s="23" t="str">
        <f aca="false">IF(B1911="","",IFERROR(INDEX(Clay_Offices!$A$2:$FZ$601,260,Sync!$C$6)&amp;"",""))</f>
        <v/>
      </c>
      <c r="F1911" s="23" t="str">
        <f aca="false">IF(B1911="","","outreach_sent")</f>
        <v/>
      </c>
      <c r="G1911" s="23" t="str">
        <f aca="false">IF(B1911="","","")</f>
        <v/>
      </c>
      <c r="H1911" s="23" t="str">
        <f aca="false">IF(B1911="","","")</f>
        <v/>
      </c>
      <c r="I1911" s="23" t="str">
        <f aca="false">IF(B1911="","","")</f>
        <v/>
      </c>
      <c r="J1911" s="23" t="str">
        <f aca="false">IF(B1911="","","touch_1; "&amp;IFERROR(INDEX(Clay_Offices!$A$2:$FZ$601,260,Sync!$C$10)&amp;"","")&amp;"; "&amp;IFERROR(INDEX(Clay_Offices!$A$2:$FZ$601,260,Sync!$C$9)&amp;"",""))</f>
        <v/>
      </c>
      <c r="K1911" s="32" t="s">
        <v>1363</v>
      </c>
    </row>
    <row r="1912" customFormat="false" ht="15" hidden="false" customHeight="false" outlineLevel="0" collapsed="false">
      <c r="A1912" s="23" t="str">
        <f aca="false">IF(B1912="","",B1912+(12*1000+261)/10000000)</f>
        <v/>
      </c>
      <c r="B1912" s="35" t="str">
        <f aca="false">IF(AND(IFERROR(N(INDEX(Clay_Offices!$A$2:$FZ$601,261,Sync!$C$11)),0)&gt;0,IFERROR(INDEX(Clay_Offices!$A$2:$FZ$601,261,Sync!$C$5)&amp;"","")&lt;&gt;"",OR(LEFT(IFERROR(INDEX(Clay_Offices!$A$2:$FZ$601,261,Sync!$C$5)&amp;"",""),6)&lt;&gt;"SAMPLE",Config!$B$19="Y")),IFERROR(N(INDEX(Clay_Offices!$A$2:$FZ$601,261,Sync!$C$11)),0),"")</f>
        <v/>
      </c>
      <c r="C1912" s="23" t="str">
        <f aca="false">IF(B1912="","","office")</f>
        <v/>
      </c>
      <c r="D1912" s="23" t="str">
        <f aca="false">IF(B1912="","",IFERROR(INDEX(Office_Log!$ED$2:$ED$201,MATCH(IFERROR(INDEX(Clay_Offices!$A$2:$FZ$601,261,Sync!$C$5)&amp;"",""),Office_Log!$A$2:$A$201,0))&amp;"",IFERROR(INDEX(Clay_Offices!$A$2:$FZ$601,261,Sync!$C$5)&amp;"","")&amp;""))</f>
        <v/>
      </c>
      <c r="E1912" s="23" t="str">
        <f aca="false">IF(B1912="","",IFERROR(INDEX(Clay_Offices!$A$2:$FZ$601,261,Sync!$C$6)&amp;"",""))</f>
        <v/>
      </c>
      <c r="F1912" s="23" t="str">
        <f aca="false">IF(B1912="","","outreach_sent")</f>
        <v/>
      </c>
      <c r="G1912" s="23" t="str">
        <f aca="false">IF(B1912="","","")</f>
        <v/>
      </c>
      <c r="H1912" s="23" t="str">
        <f aca="false">IF(B1912="","","")</f>
        <v/>
      </c>
      <c r="I1912" s="23" t="str">
        <f aca="false">IF(B1912="","","")</f>
        <v/>
      </c>
      <c r="J1912" s="23" t="str">
        <f aca="false">IF(B1912="","","touch_1; "&amp;IFERROR(INDEX(Clay_Offices!$A$2:$FZ$601,261,Sync!$C$10)&amp;"","")&amp;"; "&amp;IFERROR(INDEX(Clay_Offices!$A$2:$FZ$601,261,Sync!$C$9)&amp;"",""))</f>
        <v/>
      </c>
      <c r="K1912" s="32" t="s">
        <v>1363</v>
      </c>
    </row>
    <row r="1913" customFormat="false" ht="15" hidden="false" customHeight="false" outlineLevel="0" collapsed="false">
      <c r="A1913" s="23" t="str">
        <f aca="false">IF(B1913="","",B1913+(12*1000+262)/10000000)</f>
        <v/>
      </c>
      <c r="B1913" s="35" t="str">
        <f aca="false">IF(AND(IFERROR(N(INDEX(Clay_Offices!$A$2:$FZ$601,262,Sync!$C$11)),0)&gt;0,IFERROR(INDEX(Clay_Offices!$A$2:$FZ$601,262,Sync!$C$5)&amp;"","")&lt;&gt;"",OR(LEFT(IFERROR(INDEX(Clay_Offices!$A$2:$FZ$601,262,Sync!$C$5)&amp;"",""),6)&lt;&gt;"SAMPLE",Config!$B$19="Y")),IFERROR(N(INDEX(Clay_Offices!$A$2:$FZ$601,262,Sync!$C$11)),0),"")</f>
        <v/>
      </c>
      <c r="C1913" s="23" t="str">
        <f aca="false">IF(B1913="","","office")</f>
        <v/>
      </c>
      <c r="D1913" s="23" t="str">
        <f aca="false">IF(B1913="","",IFERROR(INDEX(Office_Log!$ED$2:$ED$201,MATCH(IFERROR(INDEX(Clay_Offices!$A$2:$FZ$601,262,Sync!$C$5)&amp;"",""),Office_Log!$A$2:$A$201,0))&amp;"",IFERROR(INDEX(Clay_Offices!$A$2:$FZ$601,262,Sync!$C$5)&amp;"","")&amp;""))</f>
        <v/>
      </c>
      <c r="E1913" s="23" t="str">
        <f aca="false">IF(B1913="","",IFERROR(INDEX(Clay_Offices!$A$2:$FZ$601,262,Sync!$C$6)&amp;"",""))</f>
        <v/>
      </c>
      <c r="F1913" s="23" t="str">
        <f aca="false">IF(B1913="","","outreach_sent")</f>
        <v/>
      </c>
      <c r="G1913" s="23" t="str">
        <f aca="false">IF(B1913="","","")</f>
        <v/>
      </c>
      <c r="H1913" s="23" t="str">
        <f aca="false">IF(B1913="","","")</f>
        <v/>
      </c>
      <c r="I1913" s="23" t="str">
        <f aca="false">IF(B1913="","","")</f>
        <v/>
      </c>
      <c r="J1913" s="23" t="str">
        <f aca="false">IF(B1913="","","touch_1; "&amp;IFERROR(INDEX(Clay_Offices!$A$2:$FZ$601,262,Sync!$C$10)&amp;"","")&amp;"; "&amp;IFERROR(INDEX(Clay_Offices!$A$2:$FZ$601,262,Sync!$C$9)&amp;"",""))</f>
        <v/>
      </c>
      <c r="K1913" s="32" t="s">
        <v>1363</v>
      </c>
    </row>
    <row r="1914" customFormat="false" ht="15" hidden="false" customHeight="false" outlineLevel="0" collapsed="false">
      <c r="A1914" s="23" t="str">
        <f aca="false">IF(B1914="","",B1914+(12*1000+263)/10000000)</f>
        <v/>
      </c>
      <c r="B1914" s="35" t="str">
        <f aca="false">IF(AND(IFERROR(N(INDEX(Clay_Offices!$A$2:$FZ$601,263,Sync!$C$11)),0)&gt;0,IFERROR(INDEX(Clay_Offices!$A$2:$FZ$601,263,Sync!$C$5)&amp;"","")&lt;&gt;"",OR(LEFT(IFERROR(INDEX(Clay_Offices!$A$2:$FZ$601,263,Sync!$C$5)&amp;"",""),6)&lt;&gt;"SAMPLE",Config!$B$19="Y")),IFERROR(N(INDEX(Clay_Offices!$A$2:$FZ$601,263,Sync!$C$11)),0),"")</f>
        <v/>
      </c>
      <c r="C1914" s="23" t="str">
        <f aca="false">IF(B1914="","","office")</f>
        <v/>
      </c>
      <c r="D1914" s="23" t="str">
        <f aca="false">IF(B1914="","",IFERROR(INDEX(Office_Log!$ED$2:$ED$201,MATCH(IFERROR(INDEX(Clay_Offices!$A$2:$FZ$601,263,Sync!$C$5)&amp;"",""),Office_Log!$A$2:$A$201,0))&amp;"",IFERROR(INDEX(Clay_Offices!$A$2:$FZ$601,263,Sync!$C$5)&amp;"","")&amp;""))</f>
        <v/>
      </c>
      <c r="E1914" s="23" t="str">
        <f aca="false">IF(B1914="","",IFERROR(INDEX(Clay_Offices!$A$2:$FZ$601,263,Sync!$C$6)&amp;"",""))</f>
        <v/>
      </c>
      <c r="F1914" s="23" t="str">
        <f aca="false">IF(B1914="","","outreach_sent")</f>
        <v/>
      </c>
      <c r="G1914" s="23" t="str">
        <f aca="false">IF(B1914="","","")</f>
        <v/>
      </c>
      <c r="H1914" s="23" t="str">
        <f aca="false">IF(B1914="","","")</f>
        <v/>
      </c>
      <c r="I1914" s="23" t="str">
        <f aca="false">IF(B1914="","","")</f>
        <v/>
      </c>
      <c r="J1914" s="23" t="str">
        <f aca="false">IF(B1914="","","touch_1; "&amp;IFERROR(INDEX(Clay_Offices!$A$2:$FZ$601,263,Sync!$C$10)&amp;"","")&amp;"; "&amp;IFERROR(INDEX(Clay_Offices!$A$2:$FZ$601,263,Sync!$C$9)&amp;"",""))</f>
        <v/>
      </c>
      <c r="K1914" s="32" t="s">
        <v>1363</v>
      </c>
    </row>
    <row r="1915" customFormat="false" ht="15" hidden="false" customHeight="false" outlineLevel="0" collapsed="false">
      <c r="A1915" s="23" t="str">
        <f aca="false">IF(B1915="","",B1915+(12*1000+264)/10000000)</f>
        <v/>
      </c>
      <c r="B1915" s="35" t="str">
        <f aca="false">IF(AND(IFERROR(N(INDEX(Clay_Offices!$A$2:$FZ$601,264,Sync!$C$11)),0)&gt;0,IFERROR(INDEX(Clay_Offices!$A$2:$FZ$601,264,Sync!$C$5)&amp;"","")&lt;&gt;"",OR(LEFT(IFERROR(INDEX(Clay_Offices!$A$2:$FZ$601,264,Sync!$C$5)&amp;"",""),6)&lt;&gt;"SAMPLE",Config!$B$19="Y")),IFERROR(N(INDEX(Clay_Offices!$A$2:$FZ$601,264,Sync!$C$11)),0),"")</f>
        <v/>
      </c>
      <c r="C1915" s="23" t="str">
        <f aca="false">IF(B1915="","","office")</f>
        <v/>
      </c>
      <c r="D1915" s="23" t="str">
        <f aca="false">IF(B1915="","",IFERROR(INDEX(Office_Log!$ED$2:$ED$201,MATCH(IFERROR(INDEX(Clay_Offices!$A$2:$FZ$601,264,Sync!$C$5)&amp;"",""),Office_Log!$A$2:$A$201,0))&amp;"",IFERROR(INDEX(Clay_Offices!$A$2:$FZ$601,264,Sync!$C$5)&amp;"","")&amp;""))</f>
        <v/>
      </c>
      <c r="E1915" s="23" t="str">
        <f aca="false">IF(B1915="","",IFERROR(INDEX(Clay_Offices!$A$2:$FZ$601,264,Sync!$C$6)&amp;"",""))</f>
        <v/>
      </c>
      <c r="F1915" s="23" t="str">
        <f aca="false">IF(B1915="","","outreach_sent")</f>
        <v/>
      </c>
      <c r="G1915" s="23" t="str">
        <f aca="false">IF(B1915="","","")</f>
        <v/>
      </c>
      <c r="H1915" s="23" t="str">
        <f aca="false">IF(B1915="","","")</f>
        <v/>
      </c>
      <c r="I1915" s="23" t="str">
        <f aca="false">IF(B1915="","","")</f>
        <v/>
      </c>
      <c r="J1915" s="23" t="str">
        <f aca="false">IF(B1915="","","touch_1; "&amp;IFERROR(INDEX(Clay_Offices!$A$2:$FZ$601,264,Sync!$C$10)&amp;"","")&amp;"; "&amp;IFERROR(INDEX(Clay_Offices!$A$2:$FZ$601,264,Sync!$C$9)&amp;"",""))</f>
        <v/>
      </c>
      <c r="K1915" s="32" t="s">
        <v>1363</v>
      </c>
    </row>
    <row r="1916" customFormat="false" ht="15" hidden="false" customHeight="false" outlineLevel="0" collapsed="false">
      <c r="A1916" s="23" t="str">
        <f aca="false">IF(B1916="","",B1916+(12*1000+265)/10000000)</f>
        <v/>
      </c>
      <c r="B1916" s="35" t="str">
        <f aca="false">IF(AND(IFERROR(N(INDEX(Clay_Offices!$A$2:$FZ$601,265,Sync!$C$11)),0)&gt;0,IFERROR(INDEX(Clay_Offices!$A$2:$FZ$601,265,Sync!$C$5)&amp;"","")&lt;&gt;"",OR(LEFT(IFERROR(INDEX(Clay_Offices!$A$2:$FZ$601,265,Sync!$C$5)&amp;"",""),6)&lt;&gt;"SAMPLE",Config!$B$19="Y")),IFERROR(N(INDEX(Clay_Offices!$A$2:$FZ$601,265,Sync!$C$11)),0),"")</f>
        <v/>
      </c>
      <c r="C1916" s="23" t="str">
        <f aca="false">IF(B1916="","","office")</f>
        <v/>
      </c>
      <c r="D1916" s="23" t="str">
        <f aca="false">IF(B1916="","",IFERROR(INDEX(Office_Log!$ED$2:$ED$201,MATCH(IFERROR(INDEX(Clay_Offices!$A$2:$FZ$601,265,Sync!$C$5)&amp;"",""),Office_Log!$A$2:$A$201,0))&amp;"",IFERROR(INDEX(Clay_Offices!$A$2:$FZ$601,265,Sync!$C$5)&amp;"","")&amp;""))</f>
        <v/>
      </c>
      <c r="E1916" s="23" t="str">
        <f aca="false">IF(B1916="","",IFERROR(INDEX(Clay_Offices!$A$2:$FZ$601,265,Sync!$C$6)&amp;"",""))</f>
        <v/>
      </c>
      <c r="F1916" s="23" t="str">
        <f aca="false">IF(B1916="","","outreach_sent")</f>
        <v/>
      </c>
      <c r="G1916" s="23" t="str">
        <f aca="false">IF(B1916="","","")</f>
        <v/>
      </c>
      <c r="H1916" s="23" t="str">
        <f aca="false">IF(B1916="","","")</f>
        <v/>
      </c>
      <c r="I1916" s="23" t="str">
        <f aca="false">IF(B1916="","","")</f>
        <v/>
      </c>
      <c r="J1916" s="23" t="str">
        <f aca="false">IF(B1916="","","touch_1; "&amp;IFERROR(INDEX(Clay_Offices!$A$2:$FZ$601,265,Sync!$C$10)&amp;"","")&amp;"; "&amp;IFERROR(INDEX(Clay_Offices!$A$2:$FZ$601,265,Sync!$C$9)&amp;"",""))</f>
        <v/>
      </c>
      <c r="K1916" s="32" t="s">
        <v>1363</v>
      </c>
    </row>
    <row r="1917" customFormat="false" ht="15" hidden="false" customHeight="false" outlineLevel="0" collapsed="false">
      <c r="A1917" s="23" t="str">
        <f aca="false">IF(B1917="","",B1917+(12*1000+266)/10000000)</f>
        <v/>
      </c>
      <c r="B1917" s="35" t="str">
        <f aca="false">IF(AND(IFERROR(N(INDEX(Clay_Offices!$A$2:$FZ$601,266,Sync!$C$11)),0)&gt;0,IFERROR(INDEX(Clay_Offices!$A$2:$FZ$601,266,Sync!$C$5)&amp;"","")&lt;&gt;"",OR(LEFT(IFERROR(INDEX(Clay_Offices!$A$2:$FZ$601,266,Sync!$C$5)&amp;"",""),6)&lt;&gt;"SAMPLE",Config!$B$19="Y")),IFERROR(N(INDEX(Clay_Offices!$A$2:$FZ$601,266,Sync!$C$11)),0),"")</f>
        <v/>
      </c>
      <c r="C1917" s="23" t="str">
        <f aca="false">IF(B1917="","","office")</f>
        <v/>
      </c>
      <c r="D1917" s="23" t="str">
        <f aca="false">IF(B1917="","",IFERROR(INDEX(Office_Log!$ED$2:$ED$201,MATCH(IFERROR(INDEX(Clay_Offices!$A$2:$FZ$601,266,Sync!$C$5)&amp;"",""),Office_Log!$A$2:$A$201,0))&amp;"",IFERROR(INDEX(Clay_Offices!$A$2:$FZ$601,266,Sync!$C$5)&amp;"","")&amp;""))</f>
        <v/>
      </c>
      <c r="E1917" s="23" t="str">
        <f aca="false">IF(B1917="","",IFERROR(INDEX(Clay_Offices!$A$2:$FZ$601,266,Sync!$C$6)&amp;"",""))</f>
        <v/>
      </c>
      <c r="F1917" s="23" t="str">
        <f aca="false">IF(B1917="","","outreach_sent")</f>
        <v/>
      </c>
      <c r="G1917" s="23" t="str">
        <f aca="false">IF(B1917="","","")</f>
        <v/>
      </c>
      <c r="H1917" s="23" t="str">
        <f aca="false">IF(B1917="","","")</f>
        <v/>
      </c>
      <c r="I1917" s="23" t="str">
        <f aca="false">IF(B1917="","","")</f>
        <v/>
      </c>
      <c r="J1917" s="23" t="str">
        <f aca="false">IF(B1917="","","touch_1; "&amp;IFERROR(INDEX(Clay_Offices!$A$2:$FZ$601,266,Sync!$C$10)&amp;"","")&amp;"; "&amp;IFERROR(INDEX(Clay_Offices!$A$2:$FZ$601,266,Sync!$C$9)&amp;"",""))</f>
        <v/>
      </c>
      <c r="K1917" s="32" t="s">
        <v>1363</v>
      </c>
    </row>
    <row r="1918" customFormat="false" ht="15" hidden="false" customHeight="false" outlineLevel="0" collapsed="false">
      <c r="A1918" s="23" t="str">
        <f aca="false">IF(B1918="","",B1918+(12*1000+267)/10000000)</f>
        <v/>
      </c>
      <c r="B1918" s="35" t="str">
        <f aca="false">IF(AND(IFERROR(N(INDEX(Clay_Offices!$A$2:$FZ$601,267,Sync!$C$11)),0)&gt;0,IFERROR(INDEX(Clay_Offices!$A$2:$FZ$601,267,Sync!$C$5)&amp;"","")&lt;&gt;"",OR(LEFT(IFERROR(INDEX(Clay_Offices!$A$2:$FZ$601,267,Sync!$C$5)&amp;"",""),6)&lt;&gt;"SAMPLE",Config!$B$19="Y")),IFERROR(N(INDEX(Clay_Offices!$A$2:$FZ$601,267,Sync!$C$11)),0),"")</f>
        <v/>
      </c>
      <c r="C1918" s="23" t="str">
        <f aca="false">IF(B1918="","","office")</f>
        <v/>
      </c>
      <c r="D1918" s="23" t="str">
        <f aca="false">IF(B1918="","",IFERROR(INDEX(Office_Log!$ED$2:$ED$201,MATCH(IFERROR(INDEX(Clay_Offices!$A$2:$FZ$601,267,Sync!$C$5)&amp;"",""),Office_Log!$A$2:$A$201,0))&amp;"",IFERROR(INDEX(Clay_Offices!$A$2:$FZ$601,267,Sync!$C$5)&amp;"","")&amp;""))</f>
        <v/>
      </c>
      <c r="E1918" s="23" t="str">
        <f aca="false">IF(B1918="","",IFERROR(INDEX(Clay_Offices!$A$2:$FZ$601,267,Sync!$C$6)&amp;"",""))</f>
        <v/>
      </c>
      <c r="F1918" s="23" t="str">
        <f aca="false">IF(B1918="","","outreach_sent")</f>
        <v/>
      </c>
      <c r="G1918" s="23" t="str">
        <f aca="false">IF(B1918="","","")</f>
        <v/>
      </c>
      <c r="H1918" s="23" t="str">
        <f aca="false">IF(B1918="","","")</f>
        <v/>
      </c>
      <c r="I1918" s="23" t="str">
        <f aca="false">IF(B1918="","","")</f>
        <v/>
      </c>
      <c r="J1918" s="23" t="str">
        <f aca="false">IF(B1918="","","touch_1; "&amp;IFERROR(INDEX(Clay_Offices!$A$2:$FZ$601,267,Sync!$C$10)&amp;"","")&amp;"; "&amp;IFERROR(INDEX(Clay_Offices!$A$2:$FZ$601,267,Sync!$C$9)&amp;"",""))</f>
        <v/>
      </c>
      <c r="K1918" s="32" t="s">
        <v>1363</v>
      </c>
    </row>
    <row r="1919" customFormat="false" ht="15" hidden="false" customHeight="false" outlineLevel="0" collapsed="false">
      <c r="A1919" s="23" t="str">
        <f aca="false">IF(B1919="","",B1919+(12*1000+268)/10000000)</f>
        <v/>
      </c>
      <c r="B1919" s="35" t="str">
        <f aca="false">IF(AND(IFERROR(N(INDEX(Clay_Offices!$A$2:$FZ$601,268,Sync!$C$11)),0)&gt;0,IFERROR(INDEX(Clay_Offices!$A$2:$FZ$601,268,Sync!$C$5)&amp;"","")&lt;&gt;"",OR(LEFT(IFERROR(INDEX(Clay_Offices!$A$2:$FZ$601,268,Sync!$C$5)&amp;"",""),6)&lt;&gt;"SAMPLE",Config!$B$19="Y")),IFERROR(N(INDEX(Clay_Offices!$A$2:$FZ$601,268,Sync!$C$11)),0),"")</f>
        <v/>
      </c>
      <c r="C1919" s="23" t="str">
        <f aca="false">IF(B1919="","","office")</f>
        <v/>
      </c>
      <c r="D1919" s="23" t="str">
        <f aca="false">IF(B1919="","",IFERROR(INDEX(Office_Log!$ED$2:$ED$201,MATCH(IFERROR(INDEX(Clay_Offices!$A$2:$FZ$601,268,Sync!$C$5)&amp;"",""),Office_Log!$A$2:$A$201,0))&amp;"",IFERROR(INDEX(Clay_Offices!$A$2:$FZ$601,268,Sync!$C$5)&amp;"","")&amp;""))</f>
        <v/>
      </c>
      <c r="E1919" s="23" t="str">
        <f aca="false">IF(B1919="","",IFERROR(INDEX(Clay_Offices!$A$2:$FZ$601,268,Sync!$C$6)&amp;"",""))</f>
        <v/>
      </c>
      <c r="F1919" s="23" t="str">
        <f aca="false">IF(B1919="","","outreach_sent")</f>
        <v/>
      </c>
      <c r="G1919" s="23" t="str">
        <f aca="false">IF(B1919="","","")</f>
        <v/>
      </c>
      <c r="H1919" s="23" t="str">
        <f aca="false">IF(B1919="","","")</f>
        <v/>
      </c>
      <c r="I1919" s="23" t="str">
        <f aca="false">IF(B1919="","","")</f>
        <v/>
      </c>
      <c r="J1919" s="23" t="str">
        <f aca="false">IF(B1919="","","touch_1; "&amp;IFERROR(INDEX(Clay_Offices!$A$2:$FZ$601,268,Sync!$C$10)&amp;"","")&amp;"; "&amp;IFERROR(INDEX(Clay_Offices!$A$2:$FZ$601,268,Sync!$C$9)&amp;"",""))</f>
        <v/>
      </c>
      <c r="K1919" s="32" t="s">
        <v>1363</v>
      </c>
    </row>
    <row r="1920" customFormat="false" ht="15" hidden="false" customHeight="false" outlineLevel="0" collapsed="false">
      <c r="A1920" s="23" t="str">
        <f aca="false">IF(B1920="","",B1920+(12*1000+269)/10000000)</f>
        <v/>
      </c>
      <c r="B1920" s="35" t="str">
        <f aca="false">IF(AND(IFERROR(N(INDEX(Clay_Offices!$A$2:$FZ$601,269,Sync!$C$11)),0)&gt;0,IFERROR(INDEX(Clay_Offices!$A$2:$FZ$601,269,Sync!$C$5)&amp;"","")&lt;&gt;"",OR(LEFT(IFERROR(INDEX(Clay_Offices!$A$2:$FZ$601,269,Sync!$C$5)&amp;"",""),6)&lt;&gt;"SAMPLE",Config!$B$19="Y")),IFERROR(N(INDEX(Clay_Offices!$A$2:$FZ$601,269,Sync!$C$11)),0),"")</f>
        <v/>
      </c>
      <c r="C1920" s="23" t="str">
        <f aca="false">IF(B1920="","","office")</f>
        <v/>
      </c>
      <c r="D1920" s="23" t="str">
        <f aca="false">IF(B1920="","",IFERROR(INDEX(Office_Log!$ED$2:$ED$201,MATCH(IFERROR(INDEX(Clay_Offices!$A$2:$FZ$601,269,Sync!$C$5)&amp;"",""),Office_Log!$A$2:$A$201,0))&amp;"",IFERROR(INDEX(Clay_Offices!$A$2:$FZ$601,269,Sync!$C$5)&amp;"","")&amp;""))</f>
        <v/>
      </c>
      <c r="E1920" s="23" t="str">
        <f aca="false">IF(B1920="","",IFERROR(INDEX(Clay_Offices!$A$2:$FZ$601,269,Sync!$C$6)&amp;"",""))</f>
        <v/>
      </c>
      <c r="F1920" s="23" t="str">
        <f aca="false">IF(B1920="","","outreach_sent")</f>
        <v/>
      </c>
      <c r="G1920" s="23" t="str">
        <f aca="false">IF(B1920="","","")</f>
        <v/>
      </c>
      <c r="H1920" s="23" t="str">
        <f aca="false">IF(B1920="","","")</f>
        <v/>
      </c>
      <c r="I1920" s="23" t="str">
        <f aca="false">IF(B1920="","","")</f>
        <v/>
      </c>
      <c r="J1920" s="23" t="str">
        <f aca="false">IF(B1920="","","touch_1; "&amp;IFERROR(INDEX(Clay_Offices!$A$2:$FZ$601,269,Sync!$C$10)&amp;"","")&amp;"; "&amp;IFERROR(INDEX(Clay_Offices!$A$2:$FZ$601,269,Sync!$C$9)&amp;"",""))</f>
        <v/>
      </c>
      <c r="K1920" s="32" t="s">
        <v>1363</v>
      </c>
    </row>
    <row r="1921" customFormat="false" ht="15" hidden="false" customHeight="false" outlineLevel="0" collapsed="false">
      <c r="A1921" s="23" t="str">
        <f aca="false">IF(B1921="","",B1921+(12*1000+270)/10000000)</f>
        <v/>
      </c>
      <c r="B1921" s="35" t="str">
        <f aca="false">IF(AND(IFERROR(N(INDEX(Clay_Offices!$A$2:$FZ$601,270,Sync!$C$11)),0)&gt;0,IFERROR(INDEX(Clay_Offices!$A$2:$FZ$601,270,Sync!$C$5)&amp;"","")&lt;&gt;"",OR(LEFT(IFERROR(INDEX(Clay_Offices!$A$2:$FZ$601,270,Sync!$C$5)&amp;"",""),6)&lt;&gt;"SAMPLE",Config!$B$19="Y")),IFERROR(N(INDEX(Clay_Offices!$A$2:$FZ$601,270,Sync!$C$11)),0),"")</f>
        <v/>
      </c>
      <c r="C1921" s="23" t="str">
        <f aca="false">IF(B1921="","","office")</f>
        <v/>
      </c>
      <c r="D1921" s="23" t="str">
        <f aca="false">IF(B1921="","",IFERROR(INDEX(Office_Log!$ED$2:$ED$201,MATCH(IFERROR(INDEX(Clay_Offices!$A$2:$FZ$601,270,Sync!$C$5)&amp;"",""),Office_Log!$A$2:$A$201,0))&amp;"",IFERROR(INDEX(Clay_Offices!$A$2:$FZ$601,270,Sync!$C$5)&amp;"","")&amp;""))</f>
        <v/>
      </c>
      <c r="E1921" s="23" t="str">
        <f aca="false">IF(B1921="","",IFERROR(INDEX(Clay_Offices!$A$2:$FZ$601,270,Sync!$C$6)&amp;"",""))</f>
        <v/>
      </c>
      <c r="F1921" s="23" t="str">
        <f aca="false">IF(B1921="","","outreach_sent")</f>
        <v/>
      </c>
      <c r="G1921" s="23" t="str">
        <f aca="false">IF(B1921="","","")</f>
        <v/>
      </c>
      <c r="H1921" s="23" t="str">
        <f aca="false">IF(B1921="","","")</f>
        <v/>
      </c>
      <c r="I1921" s="23" t="str">
        <f aca="false">IF(B1921="","","")</f>
        <v/>
      </c>
      <c r="J1921" s="23" t="str">
        <f aca="false">IF(B1921="","","touch_1; "&amp;IFERROR(INDEX(Clay_Offices!$A$2:$FZ$601,270,Sync!$C$10)&amp;"","")&amp;"; "&amp;IFERROR(INDEX(Clay_Offices!$A$2:$FZ$601,270,Sync!$C$9)&amp;"",""))</f>
        <v/>
      </c>
      <c r="K1921" s="32" t="s">
        <v>1363</v>
      </c>
    </row>
    <row r="1922" customFormat="false" ht="15" hidden="false" customHeight="false" outlineLevel="0" collapsed="false">
      <c r="A1922" s="23" t="str">
        <f aca="false">IF(B1922="","",B1922+(12*1000+271)/10000000)</f>
        <v/>
      </c>
      <c r="B1922" s="35" t="str">
        <f aca="false">IF(AND(IFERROR(N(INDEX(Clay_Offices!$A$2:$FZ$601,271,Sync!$C$11)),0)&gt;0,IFERROR(INDEX(Clay_Offices!$A$2:$FZ$601,271,Sync!$C$5)&amp;"","")&lt;&gt;"",OR(LEFT(IFERROR(INDEX(Clay_Offices!$A$2:$FZ$601,271,Sync!$C$5)&amp;"",""),6)&lt;&gt;"SAMPLE",Config!$B$19="Y")),IFERROR(N(INDEX(Clay_Offices!$A$2:$FZ$601,271,Sync!$C$11)),0),"")</f>
        <v/>
      </c>
      <c r="C1922" s="23" t="str">
        <f aca="false">IF(B1922="","","office")</f>
        <v/>
      </c>
      <c r="D1922" s="23" t="str">
        <f aca="false">IF(B1922="","",IFERROR(INDEX(Office_Log!$ED$2:$ED$201,MATCH(IFERROR(INDEX(Clay_Offices!$A$2:$FZ$601,271,Sync!$C$5)&amp;"",""),Office_Log!$A$2:$A$201,0))&amp;"",IFERROR(INDEX(Clay_Offices!$A$2:$FZ$601,271,Sync!$C$5)&amp;"","")&amp;""))</f>
        <v/>
      </c>
      <c r="E1922" s="23" t="str">
        <f aca="false">IF(B1922="","",IFERROR(INDEX(Clay_Offices!$A$2:$FZ$601,271,Sync!$C$6)&amp;"",""))</f>
        <v/>
      </c>
      <c r="F1922" s="23" t="str">
        <f aca="false">IF(B1922="","","outreach_sent")</f>
        <v/>
      </c>
      <c r="G1922" s="23" t="str">
        <f aca="false">IF(B1922="","","")</f>
        <v/>
      </c>
      <c r="H1922" s="23" t="str">
        <f aca="false">IF(B1922="","","")</f>
        <v/>
      </c>
      <c r="I1922" s="23" t="str">
        <f aca="false">IF(B1922="","","")</f>
        <v/>
      </c>
      <c r="J1922" s="23" t="str">
        <f aca="false">IF(B1922="","","touch_1; "&amp;IFERROR(INDEX(Clay_Offices!$A$2:$FZ$601,271,Sync!$C$10)&amp;"","")&amp;"; "&amp;IFERROR(INDEX(Clay_Offices!$A$2:$FZ$601,271,Sync!$C$9)&amp;"",""))</f>
        <v/>
      </c>
      <c r="K1922" s="32" t="s">
        <v>1363</v>
      </c>
    </row>
    <row r="1923" customFormat="false" ht="15" hidden="false" customHeight="false" outlineLevel="0" collapsed="false">
      <c r="A1923" s="23" t="str">
        <f aca="false">IF(B1923="","",B1923+(12*1000+272)/10000000)</f>
        <v/>
      </c>
      <c r="B1923" s="35" t="str">
        <f aca="false">IF(AND(IFERROR(N(INDEX(Clay_Offices!$A$2:$FZ$601,272,Sync!$C$11)),0)&gt;0,IFERROR(INDEX(Clay_Offices!$A$2:$FZ$601,272,Sync!$C$5)&amp;"","")&lt;&gt;"",OR(LEFT(IFERROR(INDEX(Clay_Offices!$A$2:$FZ$601,272,Sync!$C$5)&amp;"",""),6)&lt;&gt;"SAMPLE",Config!$B$19="Y")),IFERROR(N(INDEX(Clay_Offices!$A$2:$FZ$601,272,Sync!$C$11)),0),"")</f>
        <v/>
      </c>
      <c r="C1923" s="23" t="str">
        <f aca="false">IF(B1923="","","office")</f>
        <v/>
      </c>
      <c r="D1923" s="23" t="str">
        <f aca="false">IF(B1923="","",IFERROR(INDEX(Office_Log!$ED$2:$ED$201,MATCH(IFERROR(INDEX(Clay_Offices!$A$2:$FZ$601,272,Sync!$C$5)&amp;"",""),Office_Log!$A$2:$A$201,0))&amp;"",IFERROR(INDEX(Clay_Offices!$A$2:$FZ$601,272,Sync!$C$5)&amp;"","")&amp;""))</f>
        <v/>
      </c>
      <c r="E1923" s="23" t="str">
        <f aca="false">IF(B1923="","",IFERROR(INDEX(Clay_Offices!$A$2:$FZ$601,272,Sync!$C$6)&amp;"",""))</f>
        <v/>
      </c>
      <c r="F1923" s="23" t="str">
        <f aca="false">IF(B1923="","","outreach_sent")</f>
        <v/>
      </c>
      <c r="G1923" s="23" t="str">
        <f aca="false">IF(B1923="","","")</f>
        <v/>
      </c>
      <c r="H1923" s="23" t="str">
        <f aca="false">IF(B1923="","","")</f>
        <v/>
      </c>
      <c r="I1923" s="23" t="str">
        <f aca="false">IF(B1923="","","")</f>
        <v/>
      </c>
      <c r="J1923" s="23" t="str">
        <f aca="false">IF(B1923="","","touch_1; "&amp;IFERROR(INDEX(Clay_Offices!$A$2:$FZ$601,272,Sync!$C$10)&amp;"","")&amp;"; "&amp;IFERROR(INDEX(Clay_Offices!$A$2:$FZ$601,272,Sync!$C$9)&amp;"",""))</f>
        <v/>
      </c>
      <c r="K1923" s="32" t="s">
        <v>1363</v>
      </c>
    </row>
    <row r="1924" customFormat="false" ht="15" hidden="false" customHeight="false" outlineLevel="0" collapsed="false">
      <c r="A1924" s="23" t="str">
        <f aca="false">IF(B1924="","",B1924+(12*1000+273)/10000000)</f>
        <v/>
      </c>
      <c r="B1924" s="35" t="str">
        <f aca="false">IF(AND(IFERROR(N(INDEX(Clay_Offices!$A$2:$FZ$601,273,Sync!$C$11)),0)&gt;0,IFERROR(INDEX(Clay_Offices!$A$2:$FZ$601,273,Sync!$C$5)&amp;"","")&lt;&gt;"",OR(LEFT(IFERROR(INDEX(Clay_Offices!$A$2:$FZ$601,273,Sync!$C$5)&amp;"",""),6)&lt;&gt;"SAMPLE",Config!$B$19="Y")),IFERROR(N(INDEX(Clay_Offices!$A$2:$FZ$601,273,Sync!$C$11)),0),"")</f>
        <v/>
      </c>
      <c r="C1924" s="23" t="str">
        <f aca="false">IF(B1924="","","office")</f>
        <v/>
      </c>
      <c r="D1924" s="23" t="str">
        <f aca="false">IF(B1924="","",IFERROR(INDEX(Office_Log!$ED$2:$ED$201,MATCH(IFERROR(INDEX(Clay_Offices!$A$2:$FZ$601,273,Sync!$C$5)&amp;"",""),Office_Log!$A$2:$A$201,0))&amp;"",IFERROR(INDEX(Clay_Offices!$A$2:$FZ$601,273,Sync!$C$5)&amp;"","")&amp;""))</f>
        <v/>
      </c>
      <c r="E1924" s="23" t="str">
        <f aca="false">IF(B1924="","",IFERROR(INDEX(Clay_Offices!$A$2:$FZ$601,273,Sync!$C$6)&amp;"",""))</f>
        <v/>
      </c>
      <c r="F1924" s="23" t="str">
        <f aca="false">IF(B1924="","","outreach_sent")</f>
        <v/>
      </c>
      <c r="G1924" s="23" t="str">
        <f aca="false">IF(B1924="","","")</f>
        <v/>
      </c>
      <c r="H1924" s="23" t="str">
        <f aca="false">IF(B1924="","","")</f>
        <v/>
      </c>
      <c r="I1924" s="23" t="str">
        <f aca="false">IF(B1924="","","")</f>
        <v/>
      </c>
      <c r="J1924" s="23" t="str">
        <f aca="false">IF(B1924="","","touch_1; "&amp;IFERROR(INDEX(Clay_Offices!$A$2:$FZ$601,273,Sync!$C$10)&amp;"","")&amp;"; "&amp;IFERROR(INDEX(Clay_Offices!$A$2:$FZ$601,273,Sync!$C$9)&amp;"",""))</f>
        <v/>
      </c>
      <c r="K1924" s="32" t="s">
        <v>1363</v>
      </c>
    </row>
    <row r="1925" customFormat="false" ht="15" hidden="false" customHeight="false" outlineLevel="0" collapsed="false">
      <c r="A1925" s="23" t="str">
        <f aca="false">IF(B1925="","",B1925+(12*1000+274)/10000000)</f>
        <v/>
      </c>
      <c r="B1925" s="35" t="str">
        <f aca="false">IF(AND(IFERROR(N(INDEX(Clay_Offices!$A$2:$FZ$601,274,Sync!$C$11)),0)&gt;0,IFERROR(INDEX(Clay_Offices!$A$2:$FZ$601,274,Sync!$C$5)&amp;"","")&lt;&gt;"",OR(LEFT(IFERROR(INDEX(Clay_Offices!$A$2:$FZ$601,274,Sync!$C$5)&amp;"",""),6)&lt;&gt;"SAMPLE",Config!$B$19="Y")),IFERROR(N(INDEX(Clay_Offices!$A$2:$FZ$601,274,Sync!$C$11)),0),"")</f>
        <v/>
      </c>
      <c r="C1925" s="23" t="str">
        <f aca="false">IF(B1925="","","office")</f>
        <v/>
      </c>
      <c r="D1925" s="23" t="str">
        <f aca="false">IF(B1925="","",IFERROR(INDEX(Office_Log!$ED$2:$ED$201,MATCH(IFERROR(INDEX(Clay_Offices!$A$2:$FZ$601,274,Sync!$C$5)&amp;"",""),Office_Log!$A$2:$A$201,0))&amp;"",IFERROR(INDEX(Clay_Offices!$A$2:$FZ$601,274,Sync!$C$5)&amp;"","")&amp;""))</f>
        <v/>
      </c>
      <c r="E1925" s="23" t="str">
        <f aca="false">IF(B1925="","",IFERROR(INDEX(Clay_Offices!$A$2:$FZ$601,274,Sync!$C$6)&amp;"",""))</f>
        <v/>
      </c>
      <c r="F1925" s="23" t="str">
        <f aca="false">IF(B1925="","","outreach_sent")</f>
        <v/>
      </c>
      <c r="G1925" s="23" t="str">
        <f aca="false">IF(B1925="","","")</f>
        <v/>
      </c>
      <c r="H1925" s="23" t="str">
        <f aca="false">IF(B1925="","","")</f>
        <v/>
      </c>
      <c r="I1925" s="23" t="str">
        <f aca="false">IF(B1925="","","")</f>
        <v/>
      </c>
      <c r="J1925" s="23" t="str">
        <f aca="false">IF(B1925="","","touch_1; "&amp;IFERROR(INDEX(Clay_Offices!$A$2:$FZ$601,274,Sync!$C$10)&amp;"","")&amp;"; "&amp;IFERROR(INDEX(Clay_Offices!$A$2:$FZ$601,274,Sync!$C$9)&amp;"",""))</f>
        <v/>
      </c>
      <c r="K1925" s="32" t="s">
        <v>1363</v>
      </c>
    </row>
    <row r="1926" customFormat="false" ht="15" hidden="false" customHeight="false" outlineLevel="0" collapsed="false">
      <c r="A1926" s="23" t="str">
        <f aca="false">IF(B1926="","",B1926+(12*1000+275)/10000000)</f>
        <v/>
      </c>
      <c r="B1926" s="35" t="str">
        <f aca="false">IF(AND(IFERROR(N(INDEX(Clay_Offices!$A$2:$FZ$601,275,Sync!$C$11)),0)&gt;0,IFERROR(INDEX(Clay_Offices!$A$2:$FZ$601,275,Sync!$C$5)&amp;"","")&lt;&gt;"",OR(LEFT(IFERROR(INDEX(Clay_Offices!$A$2:$FZ$601,275,Sync!$C$5)&amp;"",""),6)&lt;&gt;"SAMPLE",Config!$B$19="Y")),IFERROR(N(INDEX(Clay_Offices!$A$2:$FZ$601,275,Sync!$C$11)),0),"")</f>
        <v/>
      </c>
      <c r="C1926" s="23" t="str">
        <f aca="false">IF(B1926="","","office")</f>
        <v/>
      </c>
      <c r="D1926" s="23" t="str">
        <f aca="false">IF(B1926="","",IFERROR(INDEX(Office_Log!$ED$2:$ED$201,MATCH(IFERROR(INDEX(Clay_Offices!$A$2:$FZ$601,275,Sync!$C$5)&amp;"",""),Office_Log!$A$2:$A$201,0))&amp;"",IFERROR(INDEX(Clay_Offices!$A$2:$FZ$601,275,Sync!$C$5)&amp;"","")&amp;""))</f>
        <v/>
      </c>
      <c r="E1926" s="23" t="str">
        <f aca="false">IF(B1926="","",IFERROR(INDEX(Clay_Offices!$A$2:$FZ$601,275,Sync!$C$6)&amp;"",""))</f>
        <v/>
      </c>
      <c r="F1926" s="23" t="str">
        <f aca="false">IF(B1926="","","outreach_sent")</f>
        <v/>
      </c>
      <c r="G1926" s="23" t="str">
        <f aca="false">IF(B1926="","","")</f>
        <v/>
      </c>
      <c r="H1926" s="23" t="str">
        <f aca="false">IF(B1926="","","")</f>
        <v/>
      </c>
      <c r="I1926" s="23" t="str">
        <f aca="false">IF(B1926="","","")</f>
        <v/>
      </c>
      <c r="J1926" s="23" t="str">
        <f aca="false">IF(B1926="","","touch_1; "&amp;IFERROR(INDEX(Clay_Offices!$A$2:$FZ$601,275,Sync!$C$10)&amp;"","")&amp;"; "&amp;IFERROR(INDEX(Clay_Offices!$A$2:$FZ$601,275,Sync!$C$9)&amp;"",""))</f>
        <v/>
      </c>
      <c r="K1926" s="32" t="s">
        <v>1363</v>
      </c>
    </row>
    <row r="1927" customFormat="false" ht="15" hidden="false" customHeight="false" outlineLevel="0" collapsed="false">
      <c r="A1927" s="23" t="str">
        <f aca="false">IF(B1927="","",B1927+(12*1000+276)/10000000)</f>
        <v/>
      </c>
      <c r="B1927" s="35" t="str">
        <f aca="false">IF(AND(IFERROR(N(INDEX(Clay_Offices!$A$2:$FZ$601,276,Sync!$C$11)),0)&gt;0,IFERROR(INDEX(Clay_Offices!$A$2:$FZ$601,276,Sync!$C$5)&amp;"","")&lt;&gt;"",OR(LEFT(IFERROR(INDEX(Clay_Offices!$A$2:$FZ$601,276,Sync!$C$5)&amp;"",""),6)&lt;&gt;"SAMPLE",Config!$B$19="Y")),IFERROR(N(INDEX(Clay_Offices!$A$2:$FZ$601,276,Sync!$C$11)),0),"")</f>
        <v/>
      </c>
      <c r="C1927" s="23" t="str">
        <f aca="false">IF(B1927="","","office")</f>
        <v/>
      </c>
      <c r="D1927" s="23" t="str">
        <f aca="false">IF(B1927="","",IFERROR(INDEX(Office_Log!$ED$2:$ED$201,MATCH(IFERROR(INDEX(Clay_Offices!$A$2:$FZ$601,276,Sync!$C$5)&amp;"",""),Office_Log!$A$2:$A$201,0))&amp;"",IFERROR(INDEX(Clay_Offices!$A$2:$FZ$601,276,Sync!$C$5)&amp;"","")&amp;""))</f>
        <v/>
      </c>
      <c r="E1927" s="23" t="str">
        <f aca="false">IF(B1927="","",IFERROR(INDEX(Clay_Offices!$A$2:$FZ$601,276,Sync!$C$6)&amp;"",""))</f>
        <v/>
      </c>
      <c r="F1927" s="23" t="str">
        <f aca="false">IF(B1927="","","outreach_sent")</f>
        <v/>
      </c>
      <c r="G1927" s="23" t="str">
        <f aca="false">IF(B1927="","","")</f>
        <v/>
      </c>
      <c r="H1927" s="23" t="str">
        <f aca="false">IF(B1927="","","")</f>
        <v/>
      </c>
      <c r="I1927" s="23" t="str">
        <f aca="false">IF(B1927="","","")</f>
        <v/>
      </c>
      <c r="J1927" s="23" t="str">
        <f aca="false">IF(B1927="","","touch_1; "&amp;IFERROR(INDEX(Clay_Offices!$A$2:$FZ$601,276,Sync!$C$10)&amp;"","")&amp;"; "&amp;IFERROR(INDEX(Clay_Offices!$A$2:$FZ$601,276,Sync!$C$9)&amp;"",""))</f>
        <v/>
      </c>
      <c r="K1927" s="32" t="s">
        <v>1363</v>
      </c>
    </row>
    <row r="1928" customFormat="false" ht="15" hidden="false" customHeight="false" outlineLevel="0" collapsed="false">
      <c r="A1928" s="23" t="str">
        <f aca="false">IF(B1928="","",B1928+(12*1000+277)/10000000)</f>
        <v/>
      </c>
      <c r="B1928" s="35" t="str">
        <f aca="false">IF(AND(IFERROR(N(INDEX(Clay_Offices!$A$2:$FZ$601,277,Sync!$C$11)),0)&gt;0,IFERROR(INDEX(Clay_Offices!$A$2:$FZ$601,277,Sync!$C$5)&amp;"","")&lt;&gt;"",OR(LEFT(IFERROR(INDEX(Clay_Offices!$A$2:$FZ$601,277,Sync!$C$5)&amp;"",""),6)&lt;&gt;"SAMPLE",Config!$B$19="Y")),IFERROR(N(INDEX(Clay_Offices!$A$2:$FZ$601,277,Sync!$C$11)),0),"")</f>
        <v/>
      </c>
      <c r="C1928" s="23" t="str">
        <f aca="false">IF(B1928="","","office")</f>
        <v/>
      </c>
      <c r="D1928" s="23" t="str">
        <f aca="false">IF(B1928="","",IFERROR(INDEX(Office_Log!$ED$2:$ED$201,MATCH(IFERROR(INDEX(Clay_Offices!$A$2:$FZ$601,277,Sync!$C$5)&amp;"",""),Office_Log!$A$2:$A$201,0))&amp;"",IFERROR(INDEX(Clay_Offices!$A$2:$FZ$601,277,Sync!$C$5)&amp;"","")&amp;""))</f>
        <v/>
      </c>
      <c r="E1928" s="23" t="str">
        <f aca="false">IF(B1928="","",IFERROR(INDEX(Clay_Offices!$A$2:$FZ$601,277,Sync!$C$6)&amp;"",""))</f>
        <v/>
      </c>
      <c r="F1928" s="23" t="str">
        <f aca="false">IF(B1928="","","outreach_sent")</f>
        <v/>
      </c>
      <c r="G1928" s="23" t="str">
        <f aca="false">IF(B1928="","","")</f>
        <v/>
      </c>
      <c r="H1928" s="23" t="str">
        <f aca="false">IF(B1928="","","")</f>
        <v/>
      </c>
      <c r="I1928" s="23" t="str">
        <f aca="false">IF(B1928="","","")</f>
        <v/>
      </c>
      <c r="J1928" s="23" t="str">
        <f aca="false">IF(B1928="","","touch_1; "&amp;IFERROR(INDEX(Clay_Offices!$A$2:$FZ$601,277,Sync!$C$10)&amp;"","")&amp;"; "&amp;IFERROR(INDEX(Clay_Offices!$A$2:$FZ$601,277,Sync!$C$9)&amp;"",""))</f>
        <v/>
      </c>
      <c r="K1928" s="32" t="s">
        <v>1363</v>
      </c>
    </row>
    <row r="1929" customFormat="false" ht="15" hidden="false" customHeight="false" outlineLevel="0" collapsed="false">
      <c r="A1929" s="23" t="str">
        <f aca="false">IF(B1929="","",B1929+(12*1000+278)/10000000)</f>
        <v/>
      </c>
      <c r="B1929" s="35" t="str">
        <f aca="false">IF(AND(IFERROR(N(INDEX(Clay_Offices!$A$2:$FZ$601,278,Sync!$C$11)),0)&gt;0,IFERROR(INDEX(Clay_Offices!$A$2:$FZ$601,278,Sync!$C$5)&amp;"","")&lt;&gt;"",OR(LEFT(IFERROR(INDEX(Clay_Offices!$A$2:$FZ$601,278,Sync!$C$5)&amp;"",""),6)&lt;&gt;"SAMPLE",Config!$B$19="Y")),IFERROR(N(INDEX(Clay_Offices!$A$2:$FZ$601,278,Sync!$C$11)),0),"")</f>
        <v/>
      </c>
      <c r="C1929" s="23" t="str">
        <f aca="false">IF(B1929="","","office")</f>
        <v/>
      </c>
      <c r="D1929" s="23" t="str">
        <f aca="false">IF(B1929="","",IFERROR(INDEX(Office_Log!$ED$2:$ED$201,MATCH(IFERROR(INDEX(Clay_Offices!$A$2:$FZ$601,278,Sync!$C$5)&amp;"",""),Office_Log!$A$2:$A$201,0))&amp;"",IFERROR(INDEX(Clay_Offices!$A$2:$FZ$601,278,Sync!$C$5)&amp;"","")&amp;""))</f>
        <v/>
      </c>
      <c r="E1929" s="23" t="str">
        <f aca="false">IF(B1929="","",IFERROR(INDEX(Clay_Offices!$A$2:$FZ$601,278,Sync!$C$6)&amp;"",""))</f>
        <v/>
      </c>
      <c r="F1929" s="23" t="str">
        <f aca="false">IF(B1929="","","outreach_sent")</f>
        <v/>
      </c>
      <c r="G1929" s="23" t="str">
        <f aca="false">IF(B1929="","","")</f>
        <v/>
      </c>
      <c r="H1929" s="23" t="str">
        <f aca="false">IF(B1929="","","")</f>
        <v/>
      </c>
      <c r="I1929" s="23" t="str">
        <f aca="false">IF(B1929="","","")</f>
        <v/>
      </c>
      <c r="J1929" s="23" t="str">
        <f aca="false">IF(B1929="","","touch_1; "&amp;IFERROR(INDEX(Clay_Offices!$A$2:$FZ$601,278,Sync!$C$10)&amp;"","")&amp;"; "&amp;IFERROR(INDEX(Clay_Offices!$A$2:$FZ$601,278,Sync!$C$9)&amp;"",""))</f>
        <v/>
      </c>
      <c r="K1929" s="32" t="s">
        <v>1363</v>
      </c>
    </row>
    <row r="1930" customFormat="false" ht="15" hidden="false" customHeight="false" outlineLevel="0" collapsed="false">
      <c r="A1930" s="23" t="str">
        <f aca="false">IF(B1930="","",B1930+(12*1000+279)/10000000)</f>
        <v/>
      </c>
      <c r="B1930" s="35" t="str">
        <f aca="false">IF(AND(IFERROR(N(INDEX(Clay_Offices!$A$2:$FZ$601,279,Sync!$C$11)),0)&gt;0,IFERROR(INDEX(Clay_Offices!$A$2:$FZ$601,279,Sync!$C$5)&amp;"","")&lt;&gt;"",OR(LEFT(IFERROR(INDEX(Clay_Offices!$A$2:$FZ$601,279,Sync!$C$5)&amp;"",""),6)&lt;&gt;"SAMPLE",Config!$B$19="Y")),IFERROR(N(INDEX(Clay_Offices!$A$2:$FZ$601,279,Sync!$C$11)),0),"")</f>
        <v/>
      </c>
      <c r="C1930" s="23" t="str">
        <f aca="false">IF(B1930="","","office")</f>
        <v/>
      </c>
      <c r="D1930" s="23" t="str">
        <f aca="false">IF(B1930="","",IFERROR(INDEX(Office_Log!$ED$2:$ED$201,MATCH(IFERROR(INDEX(Clay_Offices!$A$2:$FZ$601,279,Sync!$C$5)&amp;"",""),Office_Log!$A$2:$A$201,0))&amp;"",IFERROR(INDEX(Clay_Offices!$A$2:$FZ$601,279,Sync!$C$5)&amp;"","")&amp;""))</f>
        <v/>
      </c>
      <c r="E1930" s="23" t="str">
        <f aca="false">IF(B1930="","",IFERROR(INDEX(Clay_Offices!$A$2:$FZ$601,279,Sync!$C$6)&amp;"",""))</f>
        <v/>
      </c>
      <c r="F1930" s="23" t="str">
        <f aca="false">IF(B1930="","","outreach_sent")</f>
        <v/>
      </c>
      <c r="G1930" s="23" t="str">
        <f aca="false">IF(B1930="","","")</f>
        <v/>
      </c>
      <c r="H1930" s="23" t="str">
        <f aca="false">IF(B1930="","","")</f>
        <v/>
      </c>
      <c r="I1930" s="23" t="str">
        <f aca="false">IF(B1930="","","")</f>
        <v/>
      </c>
      <c r="J1930" s="23" t="str">
        <f aca="false">IF(B1930="","","touch_1; "&amp;IFERROR(INDEX(Clay_Offices!$A$2:$FZ$601,279,Sync!$C$10)&amp;"","")&amp;"; "&amp;IFERROR(INDEX(Clay_Offices!$A$2:$FZ$601,279,Sync!$C$9)&amp;"",""))</f>
        <v/>
      </c>
      <c r="K1930" s="32" t="s">
        <v>1363</v>
      </c>
    </row>
    <row r="1931" customFormat="false" ht="15" hidden="false" customHeight="false" outlineLevel="0" collapsed="false">
      <c r="A1931" s="23" t="str">
        <f aca="false">IF(B1931="","",B1931+(12*1000+280)/10000000)</f>
        <v/>
      </c>
      <c r="B1931" s="35" t="str">
        <f aca="false">IF(AND(IFERROR(N(INDEX(Clay_Offices!$A$2:$FZ$601,280,Sync!$C$11)),0)&gt;0,IFERROR(INDEX(Clay_Offices!$A$2:$FZ$601,280,Sync!$C$5)&amp;"","")&lt;&gt;"",OR(LEFT(IFERROR(INDEX(Clay_Offices!$A$2:$FZ$601,280,Sync!$C$5)&amp;"",""),6)&lt;&gt;"SAMPLE",Config!$B$19="Y")),IFERROR(N(INDEX(Clay_Offices!$A$2:$FZ$601,280,Sync!$C$11)),0),"")</f>
        <v/>
      </c>
      <c r="C1931" s="23" t="str">
        <f aca="false">IF(B1931="","","office")</f>
        <v/>
      </c>
      <c r="D1931" s="23" t="str">
        <f aca="false">IF(B1931="","",IFERROR(INDEX(Office_Log!$ED$2:$ED$201,MATCH(IFERROR(INDEX(Clay_Offices!$A$2:$FZ$601,280,Sync!$C$5)&amp;"",""),Office_Log!$A$2:$A$201,0))&amp;"",IFERROR(INDEX(Clay_Offices!$A$2:$FZ$601,280,Sync!$C$5)&amp;"","")&amp;""))</f>
        <v/>
      </c>
      <c r="E1931" s="23" t="str">
        <f aca="false">IF(B1931="","",IFERROR(INDEX(Clay_Offices!$A$2:$FZ$601,280,Sync!$C$6)&amp;"",""))</f>
        <v/>
      </c>
      <c r="F1931" s="23" t="str">
        <f aca="false">IF(B1931="","","outreach_sent")</f>
        <v/>
      </c>
      <c r="G1931" s="23" t="str">
        <f aca="false">IF(B1931="","","")</f>
        <v/>
      </c>
      <c r="H1931" s="23" t="str">
        <f aca="false">IF(B1931="","","")</f>
        <v/>
      </c>
      <c r="I1931" s="23" t="str">
        <f aca="false">IF(B1931="","","")</f>
        <v/>
      </c>
      <c r="J1931" s="23" t="str">
        <f aca="false">IF(B1931="","","touch_1; "&amp;IFERROR(INDEX(Clay_Offices!$A$2:$FZ$601,280,Sync!$C$10)&amp;"","")&amp;"; "&amp;IFERROR(INDEX(Clay_Offices!$A$2:$FZ$601,280,Sync!$C$9)&amp;"",""))</f>
        <v/>
      </c>
      <c r="K1931" s="32" t="s">
        <v>1363</v>
      </c>
    </row>
    <row r="1932" customFormat="false" ht="15" hidden="false" customHeight="false" outlineLevel="0" collapsed="false">
      <c r="A1932" s="23" t="str">
        <f aca="false">IF(B1932="","",B1932+(12*1000+281)/10000000)</f>
        <v/>
      </c>
      <c r="B1932" s="35" t="str">
        <f aca="false">IF(AND(IFERROR(N(INDEX(Clay_Offices!$A$2:$FZ$601,281,Sync!$C$11)),0)&gt;0,IFERROR(INDEX(Clay_Offices!$A$2:$FZ$601,281,Sync!$C$5)&amp;"","")&lt;&gt;"",OR(LEFT(IFERROR(INDEX(Clay_Offices!$A$2:$FZ$601,281,Sync!$C$5)&amp;"",""),6)&lt;&gt;"SAMPLE",Config!$B$19="Y")),IFERROR(N(INDEX(Clay_Offices!$A$2:$FZ$601,281,Sync!$C$11)),0),"")</f>
        <v/>
      </c>
      <c r="C1932" s="23" t="str">
        <f aca="false">IF(B1932="","","office")</f>
        <v/>
      </c>
      <c r="D1932" s="23" t="str">
        <f aca="false">IF(B1932="","",IFERROR(INDEX(Office_Log!$ED$2:$ED$201,MATCH(IFERROR(INDEX(Clay_Offices!$A$2:$FZ$601,281,Sync!$C$5)&amp;"",""),Office_Log!$A$2:$A$201,0))&amp;"",IFERROR(INDEX(Clay_Offices!$A$2:$FZ$601,281,Sync!$C$5)&amp;"","")&amp;""))</f>
        <v/>
      </c>
      <c r="E1932" s="23" t="str">
        <f aca="false">IF(B1932="","",IFERROR(INDEX(Clay_Offices!$A$2:$FZ$601,281,Sync!$C$6)&amp;"",""))</f>
        <v/>
      </c>
      <c r="F1932" s="23" t="str">
        <f aca="false">IF(B1932="","","outreach_sent")</f>
        <v/>
      </c>
      <c r="G1932" s="23" t="str">
        <f aca="false">IF(B1932="","","")</f>
        <v/>
      </c>
      <c r="H1932" s="23" t="str">
        <f aca="false">IF(B1932="","","")</f>
        <v/>
      </c>
      <c r="I1932" s="23" t="str">
        <f aca="false">IF(B1932="","","")</f>
        <v/>
      </c>
      <c r="J1932" s="23" t="str">
        <f aca="false">IF(B1932="","","touch_1; "&amp;IFERROR(INDEX(Clay_Offices!$A$2:$FZ$601,281,Sync!$C$10)&amp;"","")&amp;"; "&amp;IFERROR(INDEX(Clay_Offices!$A$2:$FZ$601,281,Sync!$C$9)&amp;"",""))</f>
        <v/>
      </c>
      <c r="K1932" s="32" t="s">
        <v>1363</v>
      </c>
    </row>
    <row r="1933" customFormat="false" ht="15" hidden="false" customHeight="false" outlineLevel="0" collapsed="false">
      <c r="A1933" s="23" t="str">
        <f aca="false">IF(B1933="","",B1933+(12*1000+282)/10000000)</f>
        <v/>
      </c>
      <c r="B1933" s="35" t="str">
        <f aca="false">IF(AND(IFERROR(N(INDEX(Clay_Offices!$A$2:$FZ$601,282,Sync!$C$11)),0)&gt;0,IFERROR(INDEX(Clay_Offices!$A$2:$FZ$601,282,Sync!$C$5)&amp;"","")&lt;&gt;"",OR(LEFT(IFERROR(INDEX(Clay_Offices!$A$2:$FZ$601,282,Sync!$C$5)&amp;"",""),6)&lt;&gt;"SAMPLE",Config!$B$19="Y")),IFERROR(N(INDEX(Clay_Offices!$A$2:$FZ$601,282,Sync!$C$11)),0),"")</f>
        <v/>
      </c>
      <c r="C1933" s="23" t="str">
        <f aca="false">IF(B1933="","","office")</f>
        <v/>
      </c>
      <c r="D1933" s="23" t="str">
        <f aca="false">IF(B1933="","",IFERROR(INDEX(Office_Log!$ED$2:$ED$201,MATCH(IFERROR(INDEX(Clay_Offices!$A$2:$FZ$601,282,Sync!$C$5)&amp;"",""),Office_Log!$A$2:$A$201,0))&amp;"",IFERROR(INDEX(Clay_Offices!$A$2:$FZ$601,282,Sync!$C$5)&amp;"","")&amp;""))</f>
        <v/>
      </c>
      <c r="E1933" s="23" t="str">
        <f aca="false">IF(B1933="","",IFERROR(INDEX(Clay_Offices!$A$2:$FZ$601,282,Sync!$C$6)&amp;"",""))</f>
        <v/>
      </c>
      <c r="F1933" s="23" t="str">
        <f aca="false">IF(B1933="","","outreach_sent")</f>
        <v/>
      </c>
      <c r="G1933" s="23" t="str">
        <f aca="false">IF(B1933="","","")</f>
        <v/>
      </c>
      <c r="H1933" s="23" t="str">
        <f aca="false">IF(B1933="","","")</f>
        <v/>
      </c>
      <c r="I1933" s="23" t="str">
        <f aca="false">IF(B1933="","","")</f>
        <v/>
      </c>
      <c r="J1933" s="23" t="str">
        <f aca="false">IF(B1933="","","touch_1; "&amp;IFERROR(INDEX(Clay_Offices!$A$2:$FZ$601,282,Sync!$C$10)&amp;"","")&amp;"; "&amp;IFERROR(INDEX(Clay_Offices!$A$2:$FZ$601,282,Sync!$C$9)&amp;"",""))</f>
        <v/>
      </c>
      <c r="K1933" s="32" t="s">
        <v>1363</v>
      </c>
    </row>
    <row r="1934" customFormat="false" ht="15" hidden="false" customHeight="false" outlineLevel="0" collapsed="false">
      <c r="A1934" s="23" t="str">
        <f aca="false">IF(B1934="","",B1934+(12*1000+283)/10000000)</f>
        <v/>
      </c>
      <c r="B1934" s="35" t="str">
        <f aca="false">IF(AND(IFERROR(N(INDEX(Clay_Offices!$A$2:$FZ$601,283,Sync!$C$11)),0)&gt;0,IFERROR(INDEX(Clay_Offices!$A$2:$FZ$601,283,Sync!$C$5)&amp;"","")&lt;&gt;"",OR(LEFT(IFERROR(INDEX(Clay_Offices!$A$2:$FZ$601,283,Sync!$C$5)&amp;"",""),6)&lt;&gt;"SAMPLE",Config!$B$19="Y")),IFERROR(N(INDEX(Clay_Offices!$A$2:$FZ$601,283,Sync!$C$11)),0),"")</f>
        <v/>
      </c>
      <c r="C1934" s="23" t="str">
        <f aca="false">IF(B1934="","","office")</f>
        <v/>
      </c>
      <c r="D1934" s="23" t="str">
        <f aca="false">IF(B1934="","",IFERROR(INDEX(Office_Log!$ED$2:$ED$201,MATCH(IFERROR(INDEX(Clay_Offices!$A$2:$FZ$601,283,Sync!$C$5)&amp;"",""),Office_Log!$A$2:$A$201,0))&amp;"",IFERROR(INDEX(Clay_Offices!$A$2:$FZ$601,283,Sync!$C$5)&amp;"","")&amp;""))</f>
        <v/>
      </c>
      <c r="E1934" s="23" t="str">
        <f aca="false">IF(B1934="","",IFERROR(INDEX(Clay_Offices!$A$2:$FZ$601,283,Sync!$C$6)&amp;"",""))</f>
        <v/>
      </c>
      <c r="F1934" s="23" t="str">
        <f aca="false">IF(B1934="","","outreach_sent")</f>
        <v/>
      </c>
      <c r="G1934" s="23" t="str">
        <f aca="false">IF(B1934="","","")</f>
        <v/>
      </c>
      <c r="H1934" s="23" t="str">
        <f aca="false">IF(B1934="","","")</f>
        <v/>
      </c>
      <c r="I1934" s="23" t="str">
        <f aca="false">IF(B1934="","","")</f>
        <v/>
      </c>
      <c r="J1934" s="23" t="str">
        <f aca="false">IF(B1934="","","touch_1; "&amp;IFERROR(INDEX(Clay_Offices!$A$2:$FZ$601,283,Sync!$C$10)&amp;"","")&amp;"; "&amp;IFERROR(INDEX(Clay_Offices!$A$2:$FZ$601,283,Sync!$C$9)&amp;"",""))</f>
        <v/>
      </c>
      <c r="K1934" s="32" t="s">
        <v>1363</v>
      </c>
    </row>
    <row r="1935" customFormat="false" ht="15" hidden="false" customHeight="false" outlineLevel="0" collapsed="false">
      <c r="A1935" s="23" t="str">
        <f aca="false">IF(B1935="","",B1935+(12*1000+284)/10000000)</f>
        <v/>
      </c>
      <c r="B1935" s="35" t="str">
        <f aca="false">IF(AND(IFERROR(N(INDEX(Clay_Offices!$A$2:$FZ$601,284,Sync!$C$11)),0)&gt;0,IFERROR(INDEX(Clay_Offices!$A$2:$FZ$601,284,Sync!$C$5)&amp;"","")&lt;&gt;"",OR(LEFT(IFERROR(INDEX(Clay_Offices!$A$2:$FZ$601,284,Sync!$C$5)&amp;"",""),6)&lt;&gt;"SAMPLE",Config!$B$19="Y")),IFERROR(N(INDEX(Clay_Offices!$A$2:$FZ$601,284,Sync!$C$11)),0),"")</f>
        <v/>
      </c>
      <c r="C1935" s="23" t="str">
        <f aca="false">IF(B1935="","","office")</f>
        <v/>
      </c>
      <c r="D1935" s="23" t="str">
        <f aca="false">IF(B1935="","",IFERROR(INDEX(Office_Log!$ED$2:$ED$201,MATCH(IFERROR(INDEX(Clay_Offices!$A$2:$FZ$601,284,Sync!$C$5)&amp;"",""),Office_Log!$A$2:$A$201,0))&amp;"",IFERROR(INDEX(Clay_Offices!$A$2:$FZ$601,284,Sync!$C$5)&amp;"","")&amp;""))</f>
        <v/>
      </c>
      <c r="E1935" s="23" t="str">
        <f aca="false">IF(B1935="","",IFERROR(INDEX(Clay_Offices!$A$2:$FZ$601,284,Sync!$C$6)&amp;"",""))</f>
        <v/>
      </c>
      <c r="F1935" s="23" t="str">
        <f aca="false">IF(B1935="","","outreach_sent")</f>
        <v/>
      </c>
      <c r="G1935" s="23" t="str">
        <f aca="false">IF(B1935="","","")</f>
        <v/>
      </c>
      <c r="H1935" s="23" t="str">
        <f aca="false">IF(B1935="","","")</f>
        <v/>
      </c>
      <c r="I1935" s="23" t="str">
        <f aca="false">IF(B1935="","","")</f>
        <v/>
      </c>
      <c r="J1935" s="23" t="str">
        <f aca="false">IF(B1935="","","touch_1; "&amp;IFERROR(INDEX(Clay_Offices!$A$2:$FZ$601,284,Sync!$C$10)&amp;"","")&amp;"; "&amp;IFERROR(INDEX(Clay_Offices!$A$2:$FZ$601,284,Sync!$C$9)&amp;"",""))</f>
        <v/>
      </c>
      <c r="K1935" s="32" t="s">
        <v>1363</v>
      </c>
    </row>
    <row r="1936" customFormat="false" ht="15" hidden="false" customHeight="false" outlineLevel="0" collapsed="false">
      <c r="A1936" s="23" t="str">
        <f aca="false">IF(B1936="","",B1936+(12*1000+285)/10000000)</f>
        <v/>
      </c>
      <c r="B1936" s="35" t="str">
        <f aca="false">IF(AND(IFERROR(N(INDEX(Clay_Offices!$A$2:$FZ$601,285,Sync!$C$11)),0)&gt;0,IFERROR(INDEX(Clay_Offices!$A$2:$FZ$601,285,Sync!$C$5)&amp;"","")&lt;&gt;"",OR(LEFT(IFERROR(INDEX(Clay_Offices!$A$2:$FZ$601,285,Sync!$C$5)&amp;"",""),6)&lt;&gt;"SAMPLE",Config!$B$19="Y")),IFERROR(N(INDEX(Clay_Offices!$A$2:$FZ$601,285,Sync!$C$11)),0),"")</f>
        <v/>
      </c>
      <c r="C1936" s="23" t="str">
        <f aca="false">IF(B1936="","","office")</f>
        <v/>
      </c>
      <c r="D1936" s="23" t="str">
        <f aca="false">IF(B1936="","",IFERROR(INDEX(Office_Log!$ED$2:$ED$201,MATCH(IFERROR(INDEX(Clay_Offices!$A$2:$FZ$601,285,Sync!$C$5)&amp;"",""),Office_Log!$A$2:$A$201,0))&amp;"",IFERROR(INDEX(Clay_Offices!$A$2:$FZ$601,285,Sync!$C$5)&amp;"","")&amp;""))</f>
        <v/>
      </c>
      <c r="E1936" s="23" t="str">
        <f aca="false">IF(B1936="","",IFERROR(INDEX(Clay_Offices!$A$2:$FZ$601,285,Sync!$C$6)&amp;"",""))</f>
        <v/>
      </c>
      <c r="F1936" s="23" t="str">
        <f aca="false">IF(B1936="","","outreach_sent")</f>
        <v/>
      </c>
      <c r="G1936" s="23" t="str">
        <f aca="false">IF(B1936="","","")</f>
        <v/>
      </c>
      <c r="H1936" s="23" t="str">
        <f aca="false">IF(B1936="","","")</f>
        <v/>
      </c>
      <c r="I1936" s="23" t="str">
        <f aca="false">IF(B1936="","","")</f>
        <v/>
      </c>
      <c r="J1936" s="23" t="str">
        <f aca="false">IF(B1936="","","touch_1; "&amp;IFERROR(INDEX(Clay_Offices!$A$2:$FZ$601,285,Sync!$C$10)&amp;"","")&amp;"; "&amp;IFERROR(INDEX(Clay_Offices!$A$2:$FZ$601,285,Sync!$C$9)&amp;"",""))</f>
        <v/>
      </c>
      <c r="K1936" s="32" t="s">
        <v>1363</v>
      </c>
    </row>
    <row r="1937" customFormat="false" ht="15" hidden="false" customHeight="false" outlineLevel="0" collapsed="false">
      <c r="A1937" s="23" t="str">
        <f aca="false">IF(B1937="","",B1937+(12*1000+286)/10000000)</f>
        <v/>
      </c>
      <c r="B1937" s="35" t="str">
        <f aca="false">IF(AND(IFERROR(N(INDEX(Clay_Offices!$A$2:$FZ$601,286,Sync!$C$11)),0)&gt;0,IFERROR(INDEX(Clay_Offices!$A$2:$FZ$601,286,Sync!$C$5)&amp;"","")&lt;&gt;"",OR(LEFT(IFERROR(INDEX(Clay_Offices!$A$2:$FZ$601,286,Sync!$C$5)&amp;"",""),6)&lt;&gt;"SAMPLE",Config!$B$19="Y")),IFERROR(N(INDEX(Clay_Offices!$A$2:$FZ$601,286,Sync!$C$11)),0),"")</f>
        <v/>
      </c>
      <c r="C1937" s="23" t="str">
        <f aca="false">IF(B1937="","","office")</f>
        <v/>
      </c>
      <c r="D1937" s="23" t="str">
        <f aca="false">IF(B1937="","",IFERROR(INDEX(Office_Log!$ED$2:$ED$201,MATCH(IFERROR(INDEX(Clay_Offices!$A$2:$FZ$601,286,Sync!$C$5)&amp;"",""),Office_Log!$A$2:$A$201,0))&amp;"",IFERROR(INDEX(Clay_Offices!$A$2:$FZ$601,286,Sync!$C$5)&amp;"","")&amp;""))</f>
        <v/>
      </c>
      <c r="E1937" s="23" t="str">
        <f aca="false">IF(B1937="","",IFERROR(INDEX(Clay_Offices!$A$2:$FZ$601,286,Sync!$C$6)&amp;"",""))</f>
        <v/>
      </c>
      <c r="F1937" s="23" t="str">
        <f aca="false">IF(B1937="","","outreach_sent")</f>
        <v/>
      </c>
      <c r="G1937" s="23" t="str">
        <f aca="false">IF(B1937="","","")</f>
        <v/>
      </c>
      <c r="H1937" s="23" t="str">
        <f aca="false">IF(B1937="","","")</f>
        <v/>
      </c>
      <c r="I1937" s="23" t="str">
        <f aca="false">IF(B1937="","","")</f>
        <v/>
      </c>
      <c r="J1937" s="23" t="str">
        <f aca="false">IF(B1937="","","touch_1; "&amp;IFERROR(INDEX(Clay_Offices!$A$2:$FZ$601,286,Sync!$C$10)&amp;"","")&amp;"; "&amp;IFERROR(INDEX(Clay_Offices!$A$2:$FZ$601,286,Sync!$C$9)&amp;"",""))</f>
        <v/>
      </c>
      <c r="K1937" s="32" t="s">
        <v>1363</v>
      </c>
    </row>
    <row r="1938" customFormat="false" ht="15" hidden="false" customHeight="false" outlineLevel="0" collapsed="false">
      <c r="A1938" s="23" t="str">
        <f aca="false">IF(B1938="","",B1938+(12*1000+287)/10000000)</f>
        <v/>
      </c>
      <c r="B1938" s="35" t="str">
        <f aca="false">IF(AND(IFERROR(N(INDEX(Clay_Offices!$A$2:$FZ$601,287,Sync!$C$11)),0)&gt;0,IFERROR(INDEX(Clay_Offices!$A$2:$FZ$601,287,Sync!$C$5)&amp;"","")&lt;&gt;"",OR(LEFT(IFERROR(INDEX(Clay_Offices!$A$2:$FZ$601,287,Sync!$C$5)&amp;"",""),6)&lt;&gt;"SAMPLE",Config!$B$19="Y")),IFERROR(N(INDEX(Clay_Offices!$A$2:$FZ$601,287,Sync!$C$11)),0),"")</f>
        <v/>
      </c>
      <c r="C1938" s="23" t="str">
        <f aca="false">IF(B1938="","","office")</f>
        <v/>
      </c>
      <c r="D1938" s="23" t="str">
        <f aca="false">IF(B1938="","",IFERROR(INDEX(Office_Log!$ED$2:$ED$201,MATCH(IFERROR(INDEX(Clay_Offices!$A$2:$FZ$601,287,Sync!$C$5)&amp;"",""),Office_Log!$A$2:$A$201,0))&amp;"",IFERROR(INDEX(Clay_Offices!$A$2:$FZ$601,287,Sync!$C$5)&amp;"","")&amp;""))</f>
        <v/>
      </c>
      <c r="E1938" s="23" t="str">
        <f aca="false">IF(B1938="","",IFERROR(INDEX(Clay_Offices!$A$2:$FZ$601,287,Sync!$C$6)&amp;"",""))</f>
        <v/>
      </c>
      <c r="F1938" s="23" t="str">
        <f aca="false">IF(B1938="","","outreach_sent")</f>
        <v/>
      </c>
      <c r="G1938" s="23" t="str">
        <f aca="false">IF(B1938="","","")</f>
        <v/>
      </c>
      <c r="H1938" s="23" t="str">
        <f aca="false">IF(B1938="","","")</f>
        <v/>
      </c>
      <c r="I1938" s="23" t="str">
        <f aca="false">IF(B1938="","","")</f>
        <v/>
      </c>
      <c r="J1938" s="23" t="str">
        <f aca="false">IF(B1938="","","touch_1; "&amp;IFERROR(INDEX(Clay_Offices!$A$2:$FZ$601,287,Sync!$C$10)&amp;"","")&amp;"; "&amp;IFERROR(INDEX(Clay_Offices!$A$2:$FZ$601,287,Sync!$C$9)&amp;"",""))</f>
        <v/>
      </c>
      <c r="K1938" s="32" t="s">
        <v>1363</v>
      </c>
    </row>
    <row r="1939" customFormat="false" ht="15" hidden="false" customHeight="false" outlineLevel="0" collapsed="false">
      <c r="A1939" s="23" t="str">
        <f aca="false">IF(B1939="","",B1939+(12*1000+288)/10000000)</f>
        <v/>
      </c>
      <c r="B1939" s="35" t="str">
        <f aca="false">IF(AND(IFERROR(N(INDEX(Clay_Offices!$A$2:$FZ$601,288,Sync!$C$11)),0)&gt;0,IFERROR(INDEX(Clay_Offices!$A$2:$FZ$601,288,Sync!$C$5)&amp;"","")&lt;&gt;"",OR(LEFT(IFERROR(INDEX(Clay_Offices!$A$2:$FZ$601,288,Sync!$C$5)&amp;"",""),6)&lt;&gt;"SAMPLE",Config!$B$19="Y")),IFERROR(N(INDEX(Clay_Offices!$A$2:$FZ$601,288,Sync!$C$11)),0),"")</f>
        <v/>
      </c>
      <c r="C1939" s="23" t="str">
        <f aca="false">IF(B1939="","","office")</f>
        <v/>
      </c>
      <c r="D1939" s="23" t="str">
        <f aca="false">IF(B1939="","",IFERROR(INDEX(Office_Log!$ED$2:$ED$201,MATCH(IFERROR(INDEX(Clay_Offices!$A$2:$FZ$601,288,Sync!$C$5)&amp;"",""),Office_Log!$A$2:$A$201,0))&amp;"",IFERROR(INDEX(Clay_Offices!$A$2:$FZ$601,288,Sync!$C$5)&amp;"","")&amp;""))</f>
        <v/>
      </c>
      <c r="E1939" s="23" t="str">
        <f aca="false">IF(B1939="","",IFERROR(INDEX(Clay_Offices!$A$2:$FZ$601,288,Sync!$C$6)&amp;"",""))</f>
        <v/>
      </c>
      <c r="F1939" s="23" t="str">
        <f aca="false">IF(B1939="","","outreach_sent")</f>
        <v/>
      </c>
      <c r="G1939" s="23" t="str">
        <f aca="false">IF(B1939="","","")</f>
        <v/>
      </c>
      <c r="H1939" s="23" t="str">
        <f aca="false">IF(B1939="","","")</f>
        <v/>
      </c>
      <c r="I1939" s="23" t="str">
        <f aca="false">IF(B1939="","","")</f>
        <v/>
      </c>
      <c r="J1939" s="23" t="str">
        <f aca="false">IF(B1939="","","touch_1; "&amp;IFERROR(INDEX(Clay_Offices!$A$2:$FZ$601,288,Sync!$C$10)&amp;"","")&amp;"; "&amp;IFERROR(INDEX(Clay_Offices!$A$2:$FZ$601,288,Sync!$C$9)&amp;"",""))</f>
        <v/>
      </c>
      <c r="K1939" s="32" t="s">
        <v>1363</v>
      </c>
    </row>
    <row r="1940" customFormat="false" ht="15" hidden="false" customHeight="false" outlineLevel="0" collapsed="false">
      <c r="A1940" s="23" t="str">
        <f aca="false">IF(B1940="","",B1940+(12*1000+289)/10000000)</f>
        <v/>
      </c>
      <c r="B1940" s="35" t="str">
        <f aca="false">IF(AND(IFERROR(N(INDEX(Clay_Offices!$A$2:$FZ$601,289,Sync!$C$11)),0)&gt;0,IFERROR(INDEX(Clay_Offices!$A$2:$FZ$601,289,Sync!$C$5)&amp;"","")&lt;&gt;"",OR(LEFT(IFERROR(INDEX(Clay_Offices!$A$2:$FZ$601,289,Sync!$C$5)&amp;"",""),6)&lt;&gt;"SAMPLE",Config!$B$19="Y")),IFERROR(N(INDEX(Clay_Offices!$A$2:$FZ$601,289,Sync!$C$11)),0),"")</f>
        <v/>
      </c>
      <c r="C1940" s="23" t="str">
        <f aca="false">IF(B1940="","","office")</f>
        <v/>
      </c>
      <c r="D1940" s="23" t="str">
        <f aca="false">IF(B1940="","",IFERROR(INDEX(Office_Log!$ED$2:$ED$201,MATCH(IFERROR(INDEX(Clay_Offices!$A$2:$FZ$601,289,Sync!$C$5)&amp;"",""),Office_Log!$A$2:$A$201,0))&amp;"",IFERROR(INDEX(Clay_Offices!$A$2:$FZ$601,289,Sync!$C$5)&amp;"","")&amp;""))</f>
        <v/>
      </c>
      <c r="E1940" s="23" t="str">
        <f aca="false">IF(B1940="","",IFERROR(INDEX(Clay_Offices!$A$2:$FZ$601,289,Sync!$C$6)&amp;"",""))</f>
        <v/>
      </c>
      <c r="F1940" s="23" t="str">
        <f aca="false">IF(B1940="","","outreach_sent")</f>
        <v/>
      </c>
      <c r="G1940" s="23" t="str">
        <f aca="false">IF(B1940="","","")</f>
        <v/>
      </c>
      <c r="H1940" s="23" t="str">
        <f aca="false">IF(B1940="","","")</f>
        <v/>
      </c>
      <c r="I1940" s="23" t="str">
        <f aca="false">IF(B1940="","","")</f>
        <v/>
      </c>
      <c r="J1940" s="23" t="str">
        <f aca="false">IF(B1940="","","touch_1; "&amp;IFERROR(INDEX(Clay_Offices!$A$2:$FZ$601,289,Sync!$C$10)&amp;"","")&amp;"; "&amp;IFERROR(INDEX(Clay_Offices!$A$2:$FZ$601,289,Sync!$C$9)&amp;"",""))</f>
        <v/>
      </c>
      <c r="K1940" s="32" t="s">
        <v>1363</v>
      </c>
    </row>
    <row r="1941" customFormat="false" ht="15" hidden="false" customHeight="false" outlineLevel="0" collapsed="false">
      <c r="A1941" s="23" t="str">
        <f aca="false">IF(B1941="","",B1941+(12*1000+290)/10000000)</f>
        <v/>
      </c>
      <c r="B1941" s="35" t="str">
        <f aca="false">IF(AND(IFERROR(N(INDEX(Clay_Offices!$A$2:$FZ$601,290,Sync!$C$11)),0)&gt;0,IFERROR(INDEX(Clay_Offices!$A$2:$FZ$601,290,Sync!$C$5)&amp;"","")&lt;&gt;"",OR(LEFT(IFERROR(INDEX(Clay_Offices!$A$2:$FZ$601,290,Sync!$C$5)&amp;"",""),6)&lt;&gt;"SAMPLE",Config!$B$19="Y")),IFERROR(N(INDEX(Clay_Offices!$A$2:$FZ$601,290,Sync!$C$11)),0),"")</f>
        <v/>
      </c>
      <c r="C1941" s="23" t="str">
        <f aca="false">IF(B1941="","","office")</f>
        <v/>
      </c>
      <c r="D1941" s="23" t="str">
        <f aca="false">IF(B1941="","",IFERROR(INDEX(Office_Log!$ED$2:$ED$201,MATCH(IFERROR(INDEX(Clay_Offices!$A$2:$FZ$601,290,Sync!$C$5)&amp;"",""),Office_Log!$A$2:$A$201,0))&amp;"",IFERROR(INDEX(Clay_Offices!$A$2:$FZ$601,290,Sync!$C$5)&amp;"","")&amp;""))</f>
        <v/>
      </c>
      <c r="E1941" s="23" t="str">
        <f aca="false">IF(B1941="","",IFERROR(INDEX(Clay_Offices!$A$2:$FZ$601,290,Sync!$C$6)&amp;"",""))</f>
        <v/>
      </c>
      <c r="F1941" s="23" t="str">
        <f aca="false">IF(B1941="","","outreach_sent")</f>
        <v/>
      </c>
      <c r="G1941" s="23" t="str">
        <f aca="false">IF(B1941="","","")</f>
        <v/>
      </c>
      <c r="H1941" s="23" t="str">
        <f aca="false">IF(B1941="","","")</f>
        <v/>
      </c>
      <c r="I1941" s="23" t="str">
        <f aca="false">IF(B1941="","","")</f>
        <v/>
      </c>
      <c r="J1941" s="23" t="str">
        <f aca="false">IF(B1941="","","touch_1; "&amp;IFERROR(INDEX(Clay_Offices!$A$2:$FZ$601,290,Sync!$C$10)&amp;"","")&amp;"; "&amp;IFERROR(INDEX(Clay_Offices!$A$2:$FZ$601,290,Sync!$C$9)&amp;"",""))</f>
        <v/>
      </c>
      <c r="K1941" s="32" t="s">
        <v>1363</v>
      </c>
    </row>
    <row r="1942" customFormat="false" ht="15" hidden="false" customHeight="false" outlineLevel="0" collapsed="false">
      <c r="A1942" s="23" t="str">
        <f aca="false">IF(B1942="","",B1942+(12*1000+291)/10000000)</f>
        <v/>
      </c>
      <c r="B1942" s="35" t="str">
        <f aca="false">IF(AND(IFERROR(N(INDEX(Clay_Offices!$A$2:$FZ$601,291,Sync!$C$11)),0)&gt;0,IFERROR(INDEX(Clay_Offices!$A$2:$FZ$601,291,Sync!$C$5)&amp;"","")&lt;&gt;"",OR(LEFT(IFERROR(INDEX(Clay_Offices!$A$2:$FZ$601,291,Sync!$C$5)&amp;"",""),6)&lt;&gt;"SAMPLE",Config!$B$19="Y")),IFERROR(N(INDEX(Clay_Offices!$A$2:$FZ$601,291,Sync!$C$11)),0),"")</f>
        <v/>
      </c>
      <c r="C1942" s="23" t="str">
        <f aca="false">IF(B1942="","","office")</f>
        <v/>
      </c>
      <c r="D1942" s="23" t="str">
        <f aca="false">IF(B1942="","",IFERROR(INDEX(Office_Log!$ED$2:$ED$201,MATCH(IFERROR(INDEX(Clay_Offices!$A$2:$FZ$601,291,Sync!$C$5)&amp;"",""),Office_Log!$A$2:$A$201,0))&amp;"",IFERROR(INDEX(Clay_Offices!$A$2:$FZ$601,291,Sync!$C$5)&amp;"","")&amp;""))</f>
        <v/>
      </c>
      <c r="E1942" s="23" t="str">
        <f aca="false">IF(B1942="","",IFERROR(INDEX(Clay_Offices!$A$2:$FZ$601,291,Sync!$C$6)&amp;"",""))</f>
        <v/>
      </c>
      <c r="F1942" s="23" t="str">
        <f aca="false">IF(B1942="","","outreach_sent")</f>
        <v/>
      </c>
      <c r="G1942" s="23" t="str">
        <f aca="false">IF(B1942="","","")</f>
        <v/>
      </c>
      <c r="H1942" s="23" t="str">
        <f aca="false">IF(B1942="","","")</f>
        <v/>
      </c>
      <c r="I1942" s="23" t="str">
        <f aca="false">IF(B1942="","","")</f>
        <v/>
      </c>
      <c r="J1942" s="23" t="str">
        <f aca="false">IF(B1942="","","touch_1; "&amp;IFERROR(INDEX(Clay_Offices!$A$2:$FZ$601,291,Sync!$C$10)&amp;"","")&amp;"; "&amp;IFERROR(INDEX(Clay_Offices!$A$2:$FZ$601,291,Sync!$C$9)&amp;"",""))</f>
        <v/>
      </c>
      <c r="K1942" s="32" t="s">
        <v>1363</v>
      </c>
    </row>
    <row r="1943" customFormat="false" ht="15" hidden="false" customHeight="false" outlineLevel="0" collapsed="false">
      <c r="A1943" s="23" t="str">
        <f aca="false">IF(B1943="","",B1943+(12*1000+292)/10000000)</f>
        <v/>
      </c>
      <c r="B1943" s="35" t="str">
        <f aca="false">IF(AND(IFERROR(N(INDEX(Clay_Offices!$A$2:$FZ$601,292,Sync!$C$11)),0)&gt;0,IFERROR(INDEX(Clay_Offices!$A$2:$FZ$601,292,Sync!$C$5)&amp;"","")&lt;&gt;"",OR(LEFT(IFERROR(INDEX(Clay_Offices!$A$2:$FZ$601,292,Sync!$C$5)&amp;"",""),6)&lt;&gt;"SAMPLE",Config!$B$19="Y")),IFERROR(N(INDEX(Clay_Offices!$A$2:$FZ$601,292,Sync!$C$11)),0),"")</f>
        <v/>
      </c>
      <c r="C1943" s="23" t="str">
        <f aca="false">IF(B1943="","","office")</f>
        <v/>
      </c>
      <c r="D1943" s="23" t="str">
        <f aca="false">IF(B1943="","",IFERROR(INDEX(Office_Log!$ED$2:$ED$201,MATCH(IFERROR(INDEX(Clay_Offices!$A$2:$FZ$601,292,Sync!$C$5)&amp;"",""),Office_Log!$A$2:$A$201,0))&amp;"",IFERROR(INDEX(Clay_Offices!$A$2:$FZ$601,292,Sync!$C$5)&amp;"","")&amp;""))</f>
        <v/>
      </c>
      <c r="E1943" s="23" t="str">
        <f aca="false">IF(B1943="","",IFERROR(INDEX(Clay_Offices!$A$2:$FZ$601,292,Sync!$C$6)&amp;"",""))</f>
        <v/>
      </c>
      <c r="F1943" s="23" t="str">
        <f aca="false">IF(B1943="","","outreach_sent")</f>
        <v/>
      </c>
      <c r="G1943" s="23" t="str">
        <f aca="false">IF(B1943="","","")</f>
        <v/>
      </c>
      <c r="H1943" s="23" t="str">
        <f aca="false">IF(B1943="","","")</f>
        <v/>
      </c>
      <c r="I1943" s="23" t="str">
        <f aca="false">IF(B1943="","","")</f>
        <v/>
      </c>
      <c r="J1943" s="23" t="str">
        <f aca="false">IF(B1943="","","touch_1; "&amp;IFERROR(INDEX(Clay_Offices!$A$2:$FZ$601,292,Sync!$C$10)&amp;"","")&amp;"; "&amp;IFERROR(INDEX(Clay_Offices!$A$2:$FZ$601,292,Sync!$C$9)&amp;"",""))</f>
        <v/>
      </c>
      <c r="K1943" s="32" t="s">
        <v>1363</v>
      </c>
    </row>
    <row r="1944" customFormat="false" ht="15" hidden="false" customHeight="false" outlineLevel="0" collapsed="false">
      <c r="A1944" s="23" t="str">
        <f aca="false">IF(B1944="","",B1944+(12*1000+293)/10000000)</f>
        <v/>
      </c>
      <c r="B1944" s="35" t="str">
        <f aca="false">IF(AND(IFERROR(N(INDEX(Clay_Offices!$A$2:$FZ$601,293,Sync!$C$11)),0)&gt;0,IFERROR(INDEX(Clay_Offices!$A$2:$FZ$601,293,Sync!$C$5)&amp;"","")&lt;&gt;"",OR(LEFT(IFERROR(INDEX(Clay_Offices!$A$2:$FZ$601,293,Sync!$C$5)&amp;"",""),6)&lt;&gt;"SAMPLE",Config!$B$19="Y")),IFERROR(N(INDEX(Clay_Offices!$A$2:$FZ$601,293,Sync!$C$11)),0),"")</f>
        <v/>
      </c>
      <c r="C1944" s="23" t="str">
        <f aca="false">IF(B1944="","","office")</f>
        <v/>
      </c>
      <c r="D1944" s="23" t="str">
        <f aca="false">IF(B1944="","",IFERROR(INDEX(Office_Log!$ED$2:$ED$201,MATCH(IFERROR(INDEX(Clay_Offices!$A$2:$FZ$601,293,Sync!$C$5)&amp;"",""),Office_Log!$A$2:$A$201,0))&amp;"",IFERROR(INDEX(Clay_Offices!$A$2:$FZ$601,293,Sync!$C$5)&amp;"","")&amp;""))</f>
        <v/>
      </c>
      <c r="E1944" s="23" t="str">
        <f aca="false">IF(B1944="","",IFERROR(INDEX(Clay_Offices!$A$2:$FZ$601,293,Sync!$C$6)&amp;"",""))</f>
        <v/>
      </c>
      <c r="F1944" s="23" t="str">
        <f aca="false">IF(B1944="","","outreach_sent")</f>
        <v/>
      </c>
      <c r="G1944" s="23" t="str">
        <f aca="false">IF(B1944="","","")</f>
        <v/>
      </c>
      <c r="H1944" s="23" t="str">
        <f aca="false">IF(B1944="","","")</f>
        <v/>
      </c>
      <c r="I1944" s="23" t="str">
        <f aca="false">IF(B1944="","","")</f>
        <v/>
      </c>
      <c r="J1944" s="23" t="str">
        <f aca="false">IF(B1944="","","touch_1; "&amp;IFERROR(INDEX(Clay_Offices!$A$2:$FZ$601,293,Sync!$C$10)&amp;"","")&amp;"; "&amp;IFERROR(INDEX(Clay_Offices!$A$2:$FZ$601,293,Sync!$C$9)&amp;"",""))</f>
        <v/>
      </c>
      <c r="K1944" s="32" t="s">
        <v>1363</v>
      </c>
    </row>
    <row r="1945" customFormat="false" ht="15" hidden="false" customHeight="false" outlineLevel="0" collapsed="false">
      <c r="A1945" s="23" t="str">
        <f aca="false">IF(B1945="","",B1945+(12*1000+294)/10000000)</f>
        <v/>
      </c>
      <c r="B1945" s="35" t="str">
        <f aca="false">IF(AND(IFERROR(N(INDEX(Clay_Offices!$A$2:$FZ$601,294,Sync!$C$11)),0)&gt;0,IFERROR(INDEX(Clay_Offices!$A$2:$FZ$601,294,Sync!$C$5)&amp;"","")&lt;&gt;"",OR(LEFT(IFERROR(INDEX(Clay_Offices!$A$2:$FZ$601,294,Sync!$C$5)&amp;"",""),6)&lt;&gt;"SAMPLE",Config!$B$19="Y")),IFERROR(N(INDEX(Clay_Offices!$A$2:$FZ$601,294,Sync!$C$11)),0),"")</f>
        <v/>
      </c>
      <c r="C1945" s="23" t="str">
        <f aca="false">IF(B1945="","","office")</f>
        <v/>
      </c>
      <c r="D1945" s="23" t="str">
        <f aca="false">IF(B1945="","",IFERROR(INDEX(Office_Log!$ED$2:$ED$201,MATCH(IFERROR(INDEX(Clay_Offices!$A$2:$FZ$601,294,Sync!$C$5)&amp;"",""),Office_Log!$A$2:$A$201,0))&amp;"",IFERROR(INDEX(Clay_Offices!$A$2:$FZ$601,294,Sync!$C$5)&amp;"","")&amp;""))</f>
        <v/>
      </c>
      <c r="E1945" s="23" t="str">
        <f aca="false">IF(B1945="","",IFERROR(INDEX(Clay_Offices!$A$2:$FZ$601,294,Sync!$C$6)&amp;"",""))</f>
        <v/>
      </c>
      <c r="F1945" s="23" t="str">
        <f aca="false">IF(B1945="","","outreach_sent")</f>
        <v/>
      </c>
      <c r="G1945" s="23" t="str">
        <f aca="false">IF(B1945="","","")</f>
        <v/>
      </c>
      <c r="H1945" s="23" t="str">
        <f aca="false">IF(B1945="","","")</f>
        <v/>
      </c>
      <c r="I1945" s="23" t="str">
        <f aca="false">IF(B1945="","","")</f>
        <v/>
      </c>
      <c r="J1945" s="23" t="str">
        <f aca="false">IF(B1945="","","touch_1; "&amp;IFERROR(INDEX(Clay_Offices!$A$2:$FZ$601,294,Sync!$C$10)&amp;"","")&amp;"; "&amp;IFERROR(INDEX(Clay_Offices!$A$2:$FZ$601,294,Sync!$C$9)&amp;"",""))</f>
        <v/>
      </c>
      <c r="K1945" s="32" t="s">
        <v>1363</v>
      </c>
    </row>
    <row r="1946" customFormat="false" ht="15" hidden="false" customHeight="false" outlineLevel="0" collapsed="false">
      <c r="A1946" s="23" t="str">
        <f aca="false">IF(B1946="","",B1946+(12*1000+295)/10000000)</f>
        <v/>
      </c>
      <c r="B1946" s="35" t="str">
        <f aca="false">IF(AND(IFERROR(N(INDEX(Clay_Offices!$A$2:$FZ$601,295,Sync!$C$11)),0)&gt;0,IFERROR(INDEX(Clay_Offices!$A$2:$FZ$601,295,Sync!$C$5)&amp;"","")&lt;&gt;"",OR(LEFT(IFERROR(INDEX(Clay_Offices!$A$2:$FZ$601,295,Sync!$C$5)&amp;"",""),6)&lt;&gt;"SAMPLE",Config!$B$19="Y")),IFERROR(N(INDEX(Clay_Offices!$A$2:$FZ$601,295,Sync!$C$11)),0),"")</f>
        <v/>
      </c>
      <c r="C1946" s="23" t="str">
        <f aca="false">IF(B1946="","","office")</f>
        <v/>
      </c>
      <c r="D1946" s="23" t="str">
        <f aca="false">IF(B1946="","",IFERROR(INDEX(Office_Log!$ED$2:$ED$201,MATCH(IFERROR(INDEX(Clay_Offices!$A$2:$FZ$601,295,Sync!$C$5)&amp;"",""),Office_Log!$A$2:$A$201,0))&amp;"",IFERROR(INDEX(Clay_Offices!$A$2:$FZ$601,295,Sync!$C$5)&amp;"","")&amp;""))</f>
        <v/>
      </c>
      <c r="E1946" s="23" t="str">
        <f aca="false">IF(B1946="","",IFERROR(INDEX(Clay_Offices!$A$2:$FZ$601,295,Sync!$C$6)&amp;"",""))</f>
        <v/>
      </c>
      <c r="F1946" s="23" t="str">
        <f aca="false">IF(B1946="","","outreach_sent")</f>
        <v/>
      </c>
      <c r="G1946" s="23" t="str">
        <f aca="false">IF(B1946="","","")</f>
        <v/>
      </c>
      <c r="H1946" s="23" t="str">
        <f aca="false">IF(B1946="","","")</f>
        <v/>
      </c>
      <c r="I1946" s="23" t="str">
        <f aca="false">IF(B1946="","","")</f>
        <v/>
      </c>
      <c r="J1946" s="23" t="str">
        <f aca="false">IF(B1946="","","touch_1; "&amp;IFERROR(INDEX(Clay_Offices!$A$2:$FZ$601,295,Sync!$C$10)&amp;"","")&amp;"; "&amp;IFERROR(INDEX(Clay_Offices!$A$2:$FZ$601,295,Sync!$C$9)&amp;"",""))</f>
        <v/>
      </c>
      <c r="K1946" s="32" t="s">
        <v>1363</v>
      </c>
    </row>
    <row r="1947" customFormat="false" ht="15" hidden="false" customHeight="false" outlineLevel="0" collapsed="false">
      <c r="A1947" s="23" t="str">
        <f aca="false">IF(B1947="","",B1947+(12*1000+296)/10000000)</f>
        <v/>
      </c>
      <c r="B1947" s="35" t="str">
        <f aca="false">IF(AND(IFERROR(N(INDEX(Clay_Offices!$A$2:$FZ$601,296,Sync!$C$11)),0)&gt;0,IFERROR(INDEX(Clay_Offices!$A$2:$FZ$601,296,Sync!$C$5)&amp;"","")&lt;&gt;"",OR(LEFT(IFERROR(INDEX(Clay_Offices!$A$2:$FZ$601,296,Sync!$C$5)&amp;"",""),6)&lt;&gt;"SAMPLE",Config!$B$19="Y")),IFERROR(N(INDEX(Clay_Offices!$A$2:$FZ$601,296,Sync!$C$11)),0),"")</f>
        <v/>
      </c>
      <c r="C1947" s="23" t="str">
        <f aca="false">IF(B1947="","","office")</f>
        <v/>
      </c>
      <c r="D1947" s="23" t="str">
        <f aca="false">IF(B1947="","",IFERROR(INDEX(Office_Log!$ED$2:$ED$201,MATCH(IFERROR(INDEX(Clay_Offices!$A$2:$FZ$601,296,Sync!$C$5)&amp;"",""),Office_Log!$A$2:$A$201,0))&amp;"",IFERROR(INDEX(Clay_Offices!$A$2:$FZ$601,296,Sync!$C$5)&amp;"","")&amp;""))</f>
        <v/>
      </c>
      <c r="E1947" s="23" t="str">
        <f aca="false">IF(B1947="","",IFERROR(INDEX(Clay_Offices!$A$2:$FZ$601,296,Sync!$C$6)&amp;"",""))</f>
        <v/>
      </c>
      <c r="F1947" s="23" t="str">
        <f aca="false">IF(B1947="","","outreach_sent")</f>
        <v/>
      </c>
      <c r="G1947" s="23" t="str">
        <f aca="false">IF(B1947="","","")</f>
        <v/>
      </c>
      <c r="H1947" s="23" t="str">
        <f aca="false">IF(B1947="","","")</f>
        <v/>
      </c>
      <c r="I1947" s="23" t="str">
        <f aca="false">IF(B1947="","","")</f>
        <v/>
      </c>
      <c r="J1947" s="23" t="str">
        <f aca="false">IF(B1947="","","touch_1; "&amp;IFERROR(INDEX(Clay_Offices!$A$2:$FZ$601,296,Sync!$C$10)&amp;"","")&amp;"; "&amp;IFERROR(INDEX(Clay_Offices!$A$2:$FZ$601,296,Sync!$C$9)&amp;"",""))</f>
        <v/>
      </c>
      <c r="K1947" s="32" t="s">
        <v>1363</v>
      </c>
    </row>
    <row r="1948" customFormat="false" ht="15" hidden="false" customHeight="false" outlineLevel="0" collapsed="false">
      <c r="A1948" s="23" t="str">
        <f aca="false">IF(B1948="","",B1948+(12*1000+297)/10000000)</f>
        <v/>
      </c>
      <c r="B1948" s="35" t="str">
        <f aca="false">IF(AND(IFERROR(N(INDEX(Clay_Offices!$A$2:$FZ$601,297,Sync!$C$11)),0)&gt;0,IFERROR(INDEX(Clay_Offices!$A$2:$FZ$601,297,Sync!$C$5)&amp;"","")&lt;&gt;"",OR(LEFT(IFERROR(INDEX(Clay_Offices!$A$2:$FZ$601,297,Sync!$C$5)&amp;"",""),6)&lt;&gt;"SAMPLE",Config!$B$19="Y")),IFERROR(N(INDEX(Clay_Offices!$A$2:$FZ$601,297,Sync!$C$11)),0),"")</f>
        <v/>
      </c>
      <c r="C1948" s="23" t="str">
        <f aca="false">IF(B1948="","","office")</f>
        <v/>
      </c>
      <c r="D1948" s="23" t="str">
        <f aca="false">IF(B1948="","",IFERROR(INDEX(Office_Log!$ED$2:$ED$201,MATCH(IFERROR(INDEX(Clay_Offices!$A$2:$FZ$601,297,Sync!$C$5)&amp;"",""),Office_Log!$A$2:$A$201,0))&amp;"",IFERROR(INDEX(Clay_Offices!$A$2:$FZ$601,297,Sync!$C$5)&amp;"","")&amp;""))</f>
        <v/>
      </c>
      <c r="E1948" s="23" t="str">
        <f aca="false">IF(B1948="","",IFERROR(INDEX(Clay_Offices!$A$2:$FZ$601,297,Sync!$C$6)&amp;"",""))</f>
        <v/>
      </c>
      <c r="F1948" s="23" t="str">
        <f aca="false">IF(B1948="","","outreach_sent")</f>
        <v/>
      </c>
      <c r="G1948" s="23" t="str">
        <f aca="false">IF(B1948="","","")</f>
        <v/>
      </c>
      <c r="H1948" s="23" t="str">
        <f aca="false">IF(B1948="","","")</f>
        <v/>
      </c>
      <c r="I1948" s="23" t="str">
        <f aca="false">IF(B1948="","","")</f>
        <v/>
      </c>
      <c r="J1948" s="23" t="str">
        <f aca="false">IF(B1948="","","touch_1; "&amp;IFERROR(INDEX(Clay_Offices!$A$2:$FZ$601,297,Sync!$C$10)&amp;"","")&amp;"; "&amp;IFERROR(INDEX(Clay_Offices!$A$2:$FZ$601,297,Sync!$C$9)&amp;"",""))</f>
        <v/>
      </c>
      <c r="K1948" s="32" t="s">
        <v>1363</v>
      </c>
    </row>
    <row r="1949" customFormat="false" ht="15" hidden="false" customHeight="false" outlineLevel="0" collapsed="false">
      <c r="A1949" s="23" t="str">
        <f aca="false">IF(B1949="","",B1949+(12*1000+298)/10000000)</f>
        <v/>
      </c>
      <c r="B1949" s="35" t="str">
        <f aca="false">IF(AND(IFERROR(N(INDEX(Clay_Offices!$A$2:$FZ$601,298,Sync!$C$11)),0)&gt;0,IFERROR(INDEX(Clay_Offices!$A$2:$FZ$601,298,Sync!$C$5)&amp;"","")&lt;&gt;"",OR(LEFT(IFERROR(INDEX(Clay_Offices!$A$2:$FZ$601,298,Sync!$C$5)&amp;"",""),6)&lt;&gt;"SAMPLE",Config!$B$19="Y")),IFERROR(N(INDEX(Clay_Offices!$A$2:$FZ$601,298,Sync!$C$11)),0),"")</f>
        <v/>
      </c>
      <c r="C1949" s="23" t="str">
        <f aca="false">IF(B1949="","","office")</f>
        <v/>
      </c>
      <c r="D1949" s="23" t="str">
        <f aca="false">IF(B1949="","",IFERROR(INDEX(Office_Log!$ED$2:$ED$201,MATCH(IFERROR(INDEX(Clay_Offices!$A$2:$FZ$601,298,Sync!$C$5)&amp;"",""),Office_Log!$A$2:$A$201,0))&amp;"",IFERROR(INDEX(Clay_Offices!$A$2:$FZ$601,298,Sync!$C$5)&amp;"","")&amp;""))</f>
        <v/>
      </c>
      <c r="E1949" s="23" t="str">
        <f aca="false">IF(B1949="","",IFERROR(INDEX(Clay_Offices!$A$2:$FZ$601,298,Sync!$C$6)&amp;"",""))</f>
        <v/>
      </c>
      <c r="F1949" s="23" t="str">
        <f aca="false">IF(B1949="","","outreach_sent")</f>
        <v/>
      </c>
      <c r="G1949" s="23" t="str">
        <f aca="false">IF(B1949="","","")</f>
        <v/>
      </c>
      <c r="H1949" s="23" t="str">
        <f aca="false">IF(B1949="","","")</f>
        <v/>
      </c>
      <c r="I1949" s="23" t="str">
        <f aca="false">IF(B1949="","","")</f>
        <v/>
      </c>
      <c r="J1949" s="23" t="str">
        <f aca="false">IF(B1949="","","touch_1; "&amp;IFERROR(INDEX(Clay_Offices!$A$2:$FZ$601,298,Sync!$C$10)&amp;"","")&amp;"; "&amp;IFERROR(INDEX(Clay_Offices!$A$2:$FZ$601,298,Sync!$C$9)&amp;"",""))</f>
        <v/>
      </c>
      <c r="K1949" s="32" t="s">
        <v>1363</v>
      </c>
    </row>
    <row r="1950" customFormat="false" ht="15" hidden="false" customHeight="false" outlineLevel="0" collapsed="false">
      <c r="A1950" s="23" t="str">
        <f aca="false">IF(B1950="","",B1950+(12*1000+299)/10000000)</f>
        <v/>
      </c>
      <c r="B1950" s="35" t="str">
        <f aca="false">IF(AND(IFERROR(N(INDEX(Clay_Offices!$A$2:$FZ$601,299,Sync!$C$11)),0)&gt;0,IFERROR(INDEX(Clay_Offices!$A$2:$FZ$601,299,Sync!$C$5)&amp;"","")&lt;&gt;"",OR(LEFT(IFERROR(INDEX(Clay_Offices!$A$2:$FZ$601,299,Sync!$C$5)&amp;"",""),6)&lt;&gt;"SAMPLE",Config!$B$19="Y")),IFERROR(N(INDEX(Clay_Offices!$A$2:$FZ$601,299,Sync!$C$11)),0),"")</f>
        <v/>
      </c>
      <c r="C1950" s="23" t="str">
        <f aca="false">IF(B1950="","","office")</f>
        <v/>
      </c>
      <c r="D1950" s="23" t="str">
        <f aca="false">IF(B1950="","",IFERROR(INDEX(Office_Log!$ED$2:$ED$201,MATCH(IFERROR(INDEX(Clay_Offices!$A$2:$FZ$601,299,Sync!$C$5)&amp;"",""),Office_Log!$A$2:$A$201,0))&amp;"",IFERROR(INDEX(Clay_Offices!$A$2:$FZ$601,299,Sync!$C$5)&amp;"","")&amp;""))</f>
        <v/>
      </c>
      <c r="E1950" s="23" t="str">
        <f aca="false">IF(B1950="","",IFERROR(INDEX(Clay_Offices!$A$2:$FZ$601,299,Sync!$C$6)&amp;"",""))</f>
        <v/>
      </c>
      <c r="F1950" s="23" t="str">
        <f aca="false">IF(B1950="","","outreach_sent")</f>
        <v/>
      </c>
      <c r="G1950" s="23" t="str">
        <f aca="false">IF(B1950="","","")</f>
        <v/>
      </c>
      <c r="H1950" s="23" t="str">
        <f aca="false">IF(B1950="","","")</f>
        <v/>
      </c>
      <c r="I1950" s="23" t="str">
        <f aca="false">IF(B1950="","","")</f>
        <v/>
      </c>
      <c r="J1950" s="23" t="str">
        <f aca="false">IF(B1950="","","touch_1; "&amp;IFERROR(INDEX(Clay_Offices!$A$2:$FZ$601,299,Sync!$C$10)&amp;"","")&amp;"; "&amp;IFERROR(INDEX(Clay_Offices!$A$2:$FZ$601,299,Sync!$C$9)&amp;"",""))</f>
        <v/>
      </c>
      <c r="K1950" s="32" t="s">
        <v>1363</v>
      </c>
    </row>
    <row r="1951" customFormat="false" ht="15" hidden="false" customHeight="false" outlineLevel="0" collapsed="false">
      <c r="A1951" s="23" t="str">
        <f aca="false">IF(B1951="","",B1951+(12*1000+300)/10000000)</f>
        <v/>
      </c>
      <c r="B1951" s="35" t="str">
        <f aca="false">IF(AND(IFERROR(N(INDEX(Clay_Offices!$A$2:$FZ$601,300,Sync!$C$11)),0)&gt;0,IFERROR(INDEX(Clay_Offices!$A$2:$FZ$601,300,Sync!$C$5)&amp;"","")&lt;&gt;"",OR(LEFT(IFERROR(INDEX(Clay_Offices!$A$2:$FZ$601,300,Sync!$C$5)&amp;"",""),6)&lt;&gt;"SAMPLE",Config!$B$19="Y")),IFERROR(N(INDEX(Clay_Offices!$A$2:$FZ$601,300,Sync!$C$11)),0),"")</f>
        <v/>
      </c>
      <c r="C1951" s="23" t="str">
        <f aca="false">IF(B1951="","","office")</f>
        <v/>
      </c>
      <c r="D1951" s="23" t="str">
        <f aca="false">IF(B1951="","",IFERROR(INDEX(Office_Log!$ED$2:$ED$201,MATCH(IFERROR(INDEX(Clay_Offices!$A$2:$FZ$601,300,Sync!$C$5)&amp;"",""),Office_Log!$A$2:$A$201,0))&amp;"",IFERROR(INDEX(Clay_Offices!$A$2:$FZ$601,300,Sync!$C$5)&amp;"","")&amp;""))</f>
        <v/>
      </c>
      <c r="E1951" s="23" t="str">
        <f aca="false">IF(B1951="","",IFERROR(INDEX(Clay_Offices!$A$2:$FZ$601,300,Sync!$C$6)&amp;"",""))</f>
        <v/>
      </c>
      <c r="F1951" s="23" t="str">
        <f aca="false">IF(B1951="","","outreach_sent")</f>
        <v/>
      </c>
      <c r="G1951" s="23" t="str">
        <f aca="false">IF(B1951="","","")</f>
        <v/>
      </c>
      <c r="H1951" s="23" t="str">
        <f aca="false">IF(B1951="","","")</f>
        <v/>
      </c>
      <c r="I1951" s="23" t="str">
        <f aca="false">IF(B1951="","","")</f>
        <v/>
      </c>
      <c r="J1951" s="23" t="str">
        <f aca="false">IF(B1951="","","touch_1; "&amp;IFERROR(INDEX(Clay_Offices!$A$2:$FZ$601,300,Sync!$C$10)&amp;"","")&amp;"; "&amp;IFERROR(INDEX(Clay_Offices!$A$2:$FZ$601,300,Sync!$C$9)&amp;"",""))</f>
        <v/>
      </c>
      <c r="K1951" s="32" t="s">
        <v>1363</v>
      </c>
    </row>
    <row r="1952" customFormat="false" ht="15" hidden="false" customHeight="false" outlineLevel="0" collapsed="false">
      <c r="A1952" s="23" t="str">
        <f aca="false">IF(B1952="","",B1952+(12*1000+301)/10000000)</f>
        <v/>
      </c>
      <c r="B1952" s="35" t="str">
        <f aca="false">IF(AND(IFERROR(N(INDEX(Clay_Offices!$A$2:$FZ$601,301,Sync!$C$11)),0)&gt;0,IFERROR(INDEX(Clay_Offices!$A$2:$FZ$601,301,Sync!$C$5)&amp;"","")&lt;&gt;"",OR(LEFT(IFERROR(INDEX(Clay_Offices!$A$2:$FZ$601,301,Sync!$C$5)&amp;"",""),6)&lt;&gt;"SAMPLE",Config!$B$19="Y")),IFERROR(N(INDEX(Clay_Offices!$A$2:$FZ$601,301,Sync!$C$11)),0),"")</f>
        <v/>
      </c>
      <c r="C1952" s="23" t="str">
        <f aca="false">IF(B1952="","","office")</f>
        <v/>
      </c>
      <c r="D1952" s="23" t="str">
        <f aca="false">IF(B1952="","",IFERROR(INDEX(Office_Log!$ED$2:$ED$201,MATCH(IFERROR(INDEX(Clay_Offices!$A$2:$FZ$601,301,Sync!$C$5)&amp;"",""),Office_Log!$A$2:$A$201,0))&amp;"",IFERROR(INDEX(Clay_Offices!$A$2:$FZ$601,301,Sync!$C$5)&amp;"","")&amp;""))</f>
        <v/>
      </c>
      <c r="E1952" s="23" t="str">
        <f aca="false">IF(B1952="","",IFERROR(INDEX(Clay_Offices!$A$2:$FZ$601,301,Sync!$C$6)&amp;"",""))</f>
        <v/>
      </c>
      <c r="F1952" s="23" t="str">
        <f aca="false">IF(B1952="","","outreach_sent")</f>
        <v/>
      </c>
      <c r="G1952" s="23" t="str">
        <f aca="false">IF(B1952="","","")</f>
        <v/>
      </c>
      <c r="H1952" s="23" t="str">
        <f aca="false">IF(B1952="","","")</f>
        <v/>
      </c>
      <c r="I1952" s="23" t="str">
        <f aca="false">IF(B1952="","","")</f>
        <v/>
      </c>
      <c r="J1952" s="23" t="str">
        <f aca="false">IF(B1952="","","touch_1; "&amp;IFERROR(INDEX(Clay_Offices!$A$2:$FZ$601,301,Sync!$C$10)&amp;"","")&amp;"; "&amp;IFERROR(INDEX(Clay_Offices!$A$2:$FZ$601,301,Sync!$C$9)&amp;"",""))</f>
        <v/>
      </c>
      <c r="K1952" s="32" t="s">
        <v>1363</v>
      </c>
    </row>
    <row r="1953" customFormat="false" ht="15" hidden="false" customHeight="false" outlineLevel="0" collapsed="false">
      <c r="A1953" s="23" t="str">
        <f aca="false">IF(B1953="","",B1953+(12*1000+302)/10000000)</f>
        <v/>
      </c>
      <c r="B1953" s="35" t="str">
        <f aca="false">IF(AND(IFERROR(N(INDEX(Clay_Offices!$A$2:$FZ$601,302,Sync!$C$11)),0)&gt;0,IFERROR(INDEX(Clay_Offices!$A$2:$FZ$601,302,Sync!$C$5)&amp;"","")&lt;&gt;"",OR(LEFT(IFERROR(INDEX(Clay_Offices!$A$2:$FZ$601,302,Sync!$C$5)&amp;"",""),6)&lt;&gt;"SAMPLE",Config!$B$19="Y")),IFERROR(N(INDEX(Clay_Offices!$A$2:$FZ$601,302,Sync!$C$11)),0),"")</f>
        <v/>
      </c>
      <c r="C1953" s="23" t="str">
        <f aca="false">IF(B1953="","","office")</f>
        <v/>
      </c>
      <c r="D1953" s="23" t="str">
        <f aca="false">IF(B1953="","",IFERROR(INDEX(Office_Log!$ED$2:$ED$201,MATCH(IFERROR(INDEX(Clay_Offices!$A$2:$FZ$601,302,Sync!$C$5)&amp;"",""),Office_Log!$A$2:$A$201,0))&amp;"",IFERROR(INDEX(Clay_Offices!$A$2:$FZ$601,302,Sync!$C$5)&amp;"","")&amp;""))</f>
        <v/>
      </c>
      <c r="E1953" s="23" t="str">
        <f aca="false">IF(B1953="","",IFERROR(INDEX(Clay_Offices!$A$2:$FZ$601,302,Sync!$C$6)&amp;"",""))</f>
        <v/>
      </c>
      <c r="F1953" s="23" t="str">
        <f aca="false">IF(B1953="","","outreach_sent")</f>
        <v/>
      </c>
      <c r="G1953" s="23" t="str">
        <f aca="false">IF(B1953="","","")</f>
        <v/>
      </c>
      <c r="H1953" s="23" t="str">
        <f aca="false">IF(B1953="","","")</f>
        <v/>
      </c>
      <c r="I1953" s="23" t="str">
        <f aca="false">IF(B1953="","","")</f>
        <v/>
      </c>
      <c r="J1953" s="23" t="str">
        <f aca="false">IF(B1953="","","touch_1; "&amp;IFERROR(INDEX(Clay_Offices!$A$2:$FZ$601,302,Sync!$C$10)&amp;"","")&amp;"; "&amp;IFERROR(INDEX(Clay_Offices!$A$2:$FZ$601,302,Sync!$C$9)&amp;"",""))</f>
        <v/>
      </c>
      <c r="K1953" s="32" t="s">
        <v>1363</v>
      </c>
    </row>
    <row r="1954" customFormat="false" ht="15" hidden="false" customHeight="false" outlineLevel="0" collapsed="false">
      <c r="A1954" s="23" t="str">
        <f aca="false">IF(B1954="","",B1954+(12*1000+303)/10000000)</f>
        <v/>
      </c>
      <c r="B1954" s="35" t="str">
        <f aca="false">IF(AND(IFERROR(N(INDEX(Clay_Offices!$A$2:$FZ$601,303,Sync!$C$11)),0)&gt;0,IFERROR(INDEX(Clay_Offices!$A$2:$FZ$601,303,Sync!$C$5)&amp;"","")&lt;&gt;"",OR(LEFT(IFERROR(INDEX(Clay_Offices!$A$2:$FZ$601,303,Sync!$C$5)&amp;"",""),6)&lt;&gt;"SAMPLE",Config!$B$19="Y")),IFERROR(N(INDEX(Clay_Offices!$A$2:$FZ$601,303,Sync!$C$11)),0),"")</f>
        <v/>
      </c>
      <c r="C1954" s="23" t="str">
        <f aca="false">IF(B1954="","","office")</f>
        <v/>
      </c>
      <c r="D1954" s="23" t="str">
        <f aca="false">IF(B1954="","",IFERROR(INDEX(Office_Log!$ED$2:$ED$201,MATCH(IFERROR(INDEX(Clay_Offices!$A$2:$FZ$601,303,Sync!$C$5)&amp;"",""),Office_Log!$A$2:$A$201,0))&amp;"",IFERROR(INDEX(Clay_Offices!$A$2:$FZ$601,303,Sync!$C$5)&amp;"","")&amp;""))</f>
        <v/>
      </c>
      <c r="E1954" s="23" t="str">
        <f aca="false">IF(B1954="","",IFERROR(INDEX(Clay_Offices!$A$2:$FZ$601,303,Sync!$C$6)&amp;"",""))</f>
        <v/>
      </c>
      <c r="F1954" s="23" t="str">
        <f aca="false">IF(B1954="","","outreach_sent")</f>
        <v/>
      </c>
      <c r="G1954" s="23" t="str">
        <f aca="false">IF(B1954="","","")</f>
        <v/>
      </c>
      <c r="H1954" s="23" t="str">
        <f aca="false">IF(B1954="","","")</f>
        <v/>
      </c>
      <c r="I1954" s="23" t="str">
        <f aca="false">IF(B1954="","","")</f>
        <v/>
      </c>
      <c r="J1954" s="23" t="str">
        <f aca="false">IF(B1954="","","touch_1; "&amp;IFERROR(INDEX(Clay_Offices!$A$2:$FZ$601,303,Sync!$C$10)&amp;"","")&amp;"; "&amp;IFERROR(INDEX(Clay_Offices!$A$2:$FZ$601,303,Sync!$C$9)&amp;"",""))</f>
        <v/>
      </c>
      <c r="K1954" s="32" t="s">
        <v>1363</v>
      </c>
    </row>
    <row r="1955" customFormat="false" ht="15" hidden="false" customHeight="false" outlineLevel="0" collapsed="false">
      <c r="A1955" s="23" t="str">
        <f aca="false">IF(B1955="","",B1955+(12*1000+304)/10000000)</f>
        <v/>
      </c>
      <c r="B1955" s="35" t="str">
        <f aca="false">IF(AND(IFERROR(N(INDEX(Clay_Offices!$A$2:$FZ$601,304,Sync!$C$11)),0)&gt;0,IFERROR(INDEX(Clay_Offices!$A$2:$FZ$601,304,Sync!$C$5)&amp;"","")&lt;&gt;"",OR(LEFT(IFERROR(INDEX(Clay_Offices!$A$2:$FZ$601,304,Sync!$C$5)&amp;"",""),6)&lt;&gt;"SAMPLE",Config!$B$19="Y")),IFERROR(N(INDEX(Clay_Offices!$A$2:$FZ$601,304,Sync!$C$11)),0),"")</f>
        <v/>
      </c>
      <c r="C1955" s="23" t="str">
        <f aca="false">IF(B1955="","","office")</f>
        <v/>
      </c>
      <c r="D1955" s="23" t="str">
        <f aca="false">IF(B1955="","",IFERROR(INDEX(Office_Log!$ED$2:$ED$201,MATCH(IFERROR(INDEX(Clay_Offices!$A$2:$FZ$601,304,Sync!$C$5)&amp;"",""),Office_Log!$A$2:$A$201,0))&amp;"",IFERROR(INDEX(Clay_Offices!$A$2:$FZ$601,304,Sync!$C$5)&amp;"","")&amp;""))</f>
        <v/>
      </c>
      <c r="E1955" s="23" t="str">
        <f aca="false">IF(B1955="","",IFERROR(INDEX(Clay_Offices!$A$2:$FZ$601,304,Sync!$C$6)&amp;"",""))</f>
        <v/>
      </c>
      <c r="F1955" s="23" t="str">
        <f aca="false">IF(B1955="","","outreach_sent")</f>
        <v/>
      </c>
      <c r="G1955" s="23" t="str">
        <f aca="false">IF(B1955="","","")</f>
        <v/>
      </c>
      <c r="H1955" s="23" t="str">
        <f aca="false">IF(B1955="","","")</f>
        <v/>
      </c>
      <c r="I1955" s="23" t="str">
        <f aca="false">IF(B1955="","","")</f>
        <v/>
      </c>
      <c r="J1955" s="23" t="str">
        <f aca="false">IF(B1955="","","touch_1; "&amp;IFERROR(INDEX(Clay_Offices!$A$2:$FZ$601,304,Sync!$C$10)&amp;"","")&amp;"; "&amp;IFERROR(INDEX(Clay_Offices!$A$2:$FZ$601,304,Sync!$C$9)&amp;"",""))</f>
        <v/>
      </c>
      <c r="K1955" s="32" t="s">
        <v>1363</v>
      </c>
    </row>
    <row r="1956" customFormat="false" ht="15" hidden="false" customHeight="false" outlineLevel="0" collapsed="false">
      <c r="A1956" s="23" t="str">
        <f aca="false">IF(B1956="","",B1956+(12*1000+305)/10000000)</f>
        <v/>
      </c>
      <c r="B1956" s="35" t="str">
        <f aca="false">IF(AND(IFERROR(N(INDEX(Clay_Offices!$A$2:$FZ$601,305,Sync!$C$11)),0)&gt;0,IFERROR(INDEX(Clay_Offices!$A$2:$FZ$601,305,Sync!$C$5)&amp;"","")&lt;&gt;"",OR(LEFT(IFERROR(INDEX(Clay_Offices!$A$2:$FZ$601,305,Sync!$C$5)&amp;"",""),6)&lt;&gt;"SAMPLE",Config!$B$19="Y")),IFERROR(N(INDEX(Clay_Offices!$A$2:$FZ$601,305,Sync!$C$11)),0),"")</f>
        <v/>
      </c>
      <c r="C1956" s="23" t="str">
        <f aca="false">IF(B1956="","","office")</f>
        <v/>
      </c>
      <c r="D1956" s="23" t="str">
        <f aca="false">IF(B1956="","",IFERROR(INDEX(Office_Log!$ED$2:$ED$201,MATCH(IFERROR(INDEX(Clay_Offices!$A$2:$FZ$601,305,Sync!$C$5)&amp;"",""),Office_Log!$A$2:$A$201,0))&amp;"",IFERROR(INDEX(Clay_Offices!$A$2:$FZ$601,305,Sync!$C$5)&amp;"","")&amp;""))</f>
        <v/>
      </c>
      <c r="E1956" s="23" t="str">
        <f aca="false">IF(B1956="","",IFERROR(INDEX(Clay_Offices!$A$2:$FZ$601,305,Sync!$C$6)&amp;"",""))</f>
        <v/>
      </c>
      <c r="F1956" s="23" t="str">
        <f aca="false">IF(B1956="","","outreach_sent")</f>
        <v/>
      </c>
      <c r="G1956" s="23" t="str">
        <f aca="false">IF(B1956="","","")</f>
        <v/>
      </c>
      <c r="H1956" s="23" t="str">
        <f aca="false">IF(B1956="","","")</f>
        <v/>
      </c>
      <c r="I1956" s="23" t="str">
        <f aca="false">IF(B1956="","","")</f>
        <v/>
      </c>
      <c r="J1956" s="23" t="str">
        <f aca="false">IF(B1956="","","touch_1; "&amp;IFERROR(INDEX(Clay_Offices!$A$2:$FZ$601,305,Sync!$C$10)&amp;"","")&amp;"; "&amp;IFERROR(INDEX(Clay_Offices!$A$2:$FZ$601,305,Sync!$C$9)&amp;"",""))</f>
        <v/>
      </c>
      <c r="K1956" s="32" t="s">
        <v>1363</v>
      </c>
    </row>
    <row r="1957" customFormat="false" ht="15" hidden="false" customHeight="false" outlineLevel="0" collapsed="false">
      <c r="A1957" s="23" t="str">
        <f aca="false">IF(B1957="","",B1957+(12*1000+306)/10000000)</f>
        <v/>
      </c>
      <c r="B1957" s="35" t="str">
        <f aca="false">IF(AND(IFERROR(N(INDEX(Clay_Offices!$A$2:$FZ$601,306,Sync!$C$11)),0)&gt;0,IFERROR(INDEX(Clay_Offices!$A$2:$FZ$601,306,Sync!$C$5)&amp;"","")&lt;&gt;"",OR(LEFT(IFERROR(INDEX(Clay_Offices!$A$2:$FZ$601,306,Sync!$C$5)&amp;"",""),6)&lt;&gt;"SAMPLE",Config!$B$19="Y")),IFERROR(N(INDEX(Clay_Offices!$A$2:$FZ$601,306,Sync!$C$11)),0),"")</f>
        <v/>
      </c>
      <c r="C1957" s="23" t="str">
        <f aca="false">IF(B1957="","","office")</f>
        <v/>
      </c>
      <c r="D1957" s="23" t="str">
        <f aca="false">IF(B1957="","",IFERROR(INDEX(Office_Log!$ED$2:$ED$201,MATCH(IFERROR(INDEX(Clay_Offices!$A$2:$FZ$601,306,Sync!$C$5)&amp;"",""),Office_Log!$A$2:$A$201,0))&amp;"",IFERROR(INDEX(Clay_Offices!$A$2:$FZ$601,306,Sync!$C$5)&amp;"","")&amp;""))</f>
        <v/>
      </c>
      <c r="E1957" s="23" t="str">
        <f aca="false">IF(B1957="","",IFERROR(INDEX(Clay_Offices!$A$2:$FZ$601,306,Sync!$C$6)&amp;"",""))</f>
        <v/>
      </c>
      <c r="F1957" s="23" t="str">
        <f aca="false">IF(B1957="","","outreach_sent")</f>
        <v/>
      </c>
      <c r="G1957" s="23" t="str">
        <f aca="false">IF(B1957="","","")</f>
        <v/>
      </c>
      <c r="H1957" s="23" t="str">
        <f aca="false">IF(B1957="","","")</f>
        <v/>
      </c>
      <c r="I1957" s="23" t="str">
        <f aca="false">IF(B1957="","","")</f>
        <v/>
      </c>
      <c r="J1957" s="23" t="str">
        <f aca="false">IF(B1957="","","touch_1; "&amp;IFERROR(INDEX(Clay_Offices!$A$2:$FZ$601,306,Sync!$C$10)&amp;"","")&amp;"; "&amp;IFERROR(INDEX(Clay_Offices!$A$2:$FZ$601,306,Sync!$C$9)&amp;"",""))</f>
        <v/>
      </c>
      <c r="K1957" s="32" t="s">
        <v>1363</v>
      </c>
    </row>
    <row r="1958" customFormat="false" ht="15" hidden="false" customHeight="false" outlineLevel="0" collapsed="false">
      <c r="A1958" s="23" t="str">
        <f aca="false">IF(B1958="","",B1958+(12*1000+307)/10000000)</f>
        <v/>
      </c>
      <c r="B1958" s="35" t="str">
        <f aca="false">IF(AND(IFERROR(N(INDEX(Clay_Offices!$A$2:$FZ$601,307,Sync!$C$11)),0)&gt;0,IFERROR(INDEX(Clay_Offices!$A$2:$FZ$601,307,Sync!$C$5)&amp;"","")&lt;&gt;"",OR(LEFT(IFERROR(INDEX(Clay_Offices!$A$2:$FZ$601,307,Sync!$C$5)&amp;"",""),6)&lt;&gt;"SAMPLE",Config!$B$19="Y")),IFERROR(N(INDEX(Clay_Offices!$A$2:$FZ$601,307,Sync!$C$11)),0),"")</f>
        <v/>
      </c>
      <c r="C1958" s="23" t="str">
        <f aca="false">IF(B1958="","","office")</f>
        <v/>
      </c>
      <c r="D1958" s="23" t="str">
        <f aca="false">IF(B1958="","",IFERROR(INDEX(Office_Log!$ED$2:$ED$201,MATCH(IFERROR(INDEX(Clay_Offices!$A$2:$FZ$601,307,Sync!$C$5)&amp;"",""),Office_Log!$A$2:$A$201,0))&amp;"",IFERROR(INDEX(Clay_Offices!$A$2:$FZ$601,307,Sync!$C$5)&amp;"","")&amp;""))</f>
        <v/>
      </c>
      <c r="E1958" s="23" t="str">
        <f aca="false">IF(B1958="","",IFERROR(INDEX(Clay_Offices!$A$2:$FZ$601,307,Sync!$C$6)&amp;"",""))</f>
        <v/>
      </c>
      <c r="F1958" s="23" t="str">
        <f aca="false">IF(B1958="","","outreach_sent")</f>
        <v/>
      </c>
      <c r="G1958" s="23" t="str">
        <f aca="false">IF(B1958="","","")</f>
        <v/>
      </c>
      <c r="H1958" s="23" t="str">
        <f aca="false">IF(B1958="","","")</f>
        <v/>
      </c>
      <c r="I1958" s="23" t="str">
        <f aca="false">IF(B1958="","","")</f>
        <v/>
      </c>
      <c r="J1958" s="23" t="str">
        <f aca="false">IF(B1958="","","touch_1; "&amp;IFERROR(INDEX(Clay_Offices!$A$2:$FZ$601,307,Sync!$C$10)&amp;"","")&amp;"; "&amp;IFERROR(INDEX(Clay_Offices!$A$2:$FZ$601,307,Sync!$C$9)&amp;"",""))</f>
        <v/>
      </c>
      <c r="K1958" s="32" t="s">
        <v>1363</v>
      </c>
    </row>
    <row r="1959" customFormat="false" ht="15" hidden="false" customHeight="false" outlineLevel="0" collapsed="false">
      <c r="A1959" s="23" t="str">
        <f aca="false">IF(B1959="","",B1959+(12*1000+308)/10000000)</f>
        <v/>
      </c>
      <c r="B1959" s="35" t="str">
        <f aca="false">IF(AND(IFERROR(N(INDEX(Clay_Offices!$A$2:$FZ$601,308,Sync!$C$11)),0)&gt;0,IFERROR(INDEX(Clay_Offices!$A$2:$FZ$601,308,Sync!$C$5)&amp;"","")&lt;&gt;"",OR(LEFT(IFERROR(INDEX(Clay_Offices!$A$2:$FZ$601,308,Sync!$C$5)&amp;"",""),6)&lt;&gt;"SAMPLE",Config!$B$19="Y")),IFERROR(N(INDEX(Clay_Offices!$A$2:$FZ$601,308,Sync!$C$11)),0),"")</f>
        <v/>
      </c>
      <c r="C1959" s="23" t="str">
        <f aca="false">IF(B1959="","","office")</f>
        <v/>
      </c>
      <c r="D1959" s="23" t="str">
        <f aca="false">IF(B1959="","",IFERROR(INDEX(Office_Log!$ED$2:$ED$201,MATCH(IFERROR(INDEX(Clay_Offices!$A$2:$FZ$601,308,Sync!$C$5)&amp;"",""),Office_Log!$A$2:$A$201,0))&amp;"",IFERROR(INDEX(Clay_Offices!$A$2:$FZ$601,308,Sync!$C$5)&amp;"","")&amp;""))</f>
        <v/>
      </c>
      <c r="E1959" s="23" t="str">
        <f aca="false">IF(B1959="","",IFERROR(INDEX(Clay_Offices!$A$2:$FZ$601,308,Sync!$C$6)&amp;"",""))</f>
        <v/>
      </c>
      <c r="F1959" s="23" t="str">
        <f aca="false">IF(B1959="","","outreach_sent")</f>
        <v/>
      </c>
      <c r="G1959" s="23" t="str">
        <f aca="false">IF(B1959="","","")</f>
        <v/>
      </c>
      <c r="H1959" s="23" t="str">
        <f aca="false">IF(B1959="","","")</f>
        <v/>
      </c>
      <c r="I1959" s="23" t="str">
        <f aca="false">IF(B1959="","","")</f>
        <v/>
      </c>
      <c r="J1959" s="23" t="str">
        <f aca="false">IF(B1959="","","touch_1; "&amp;IFERROR(INDEX(Clay_Offices!$A$2:$FZ$601,308,Sync!$C$10)&amp;"","")&amp;"; "&amp;IFERROR(INDEX(Clay_Offices!$A$2:$FZ$601,308,Sync!$C$9)&amp;"",""))</f>
        <v/>
      </c>
      <c r="K1959" s="32" t="s">
        <v>1363</v>
      </c>
    </row>
    <row r="1960" customFormat="false" ht="15" hidden="false" customHeight="false" outlineLevel="0" collapsed="false">
      <c r="A1960" s="23" t="str">
        <f aca="false">IF(B1960="","",B1960+(12*1000+309)/10000000)</f>
        <v/>
      </c>
      <c r="B1960" s="35" t="str">
        <f aca="false">IF(AND(IFERROR(N(INDEX(Clay_Offices!$A$2:$FZ$601,309,Sync!$C$11)),0)&gt;0,IFERROR(INDEX(Clay_Offices!$A$2:$FZ$601,309,Sync!$C$5)&amp;"","")&lt;&gt;"",OR(LEFT(IFERROR(INDEX(Clay_Offices!$A$2:$FZ$601,309,Sync!$C$5)&amp;"",""),6)&lt;&gt;"SAMPLE",Config!$B$19="Y")),IFERROR(N(INDEX(Clay_Offices!$A$2:$FZ$601,309,Sync!$C$11)),0),"")</f>
        <v/>
      </c>
      <c r="C1960" s="23" t="str">
        <f aca="false">IF(B1960="","","office")</f>
        <v/>
      </c>
      <c r="D1960" s="23" t="str">
        <f aca="false">IF(B1960="","",IFERROR(INDEX(Office_Log!$ED$2:$ED$201,MATCH(IFERROR(INDEX(Clay_Offices!$A$2:$FZ$601,309,Sync!$C$5)&amp;"",""),Office_Log!$A$2:$A$201,0))&amp;"",IFERROR(INDEX(Clay_Offices!$A$2:$FZ$601,309,Sync!$C$5)&amp;"","")&amp;""))</f>
        <v/>
      </c>
      <c r="E1960" s="23" t="str">
        <f aca="false">IF(B1960="","",IFERROR(INDEX(Clay_Offices!$A$2:$FZ$601,309,Sync!$C$6)&amp;"",""))</f>
        <v/>
      </c>
      <c r="F1960" s="23" t="str">
        <f aca="false">IF(B1960="","","outreach_sent")</f>
        <v/>
      </c>
      <c r="G1960" s="23" t="str">
        <f aca="false">IF(B1960="","","")</f>
        <v/>
      </c>
      <c r="H1960" s="23" t="str">
        <f aca="false">IF(B1960="","","")</f>
        <v/>
      </c>
      <c r="I1960" s="23" t="str">
        <f aca="false">IF(B1960="","","")</f>
        <v/>
      </c>
      <c r="J1960" s="23" t="str">
        <f aca="false">IF(B1960="","","touch_1; "&amp;IFERROR(INDEX(Clay_Offices!$A$2:$FZ$601,309,Sync!$C$10)&amp;"","")&amp;"; "&amp;IFERROR(INDEX(Clay_Offices!$A$2:$FZ$601,309,Sync!$C$9)&amp;"",""))</f>
        <v/>
      </c>
      <c r="K1960" s="32" t="s">
        <v>1363</v>
      </c>
    </row>
    <row r="1961" customFormat="false" ht="15" hidden="false" customHeight="false" outlineLevel="0" collapsed="false">
      <c r="A1961" s="23" t="str">
        <f aca="false">IF(B1961="","",B1961+(12*1000+310)/10000000)</f>
        <v/>
      </c>
      <c r="B1961" s="35" t="str">
        <f aca="false">IF(AND(IFERROR(N(INDEX(Clay_Offices!$A$2:$FZ$601,310,Sync!$C$11)),0)&gt;0,IFERROR(INDEX(Clay_Offices!$A$2:$FZ$601,310,Sync!$C$5)&amp;"","")&lt;&gt;"",OR(LEFT(IFERROR(INDEX(Clay_Offices!$A$2:$FZ$601,310,Sync!$C$5)&amp;"",""),6)&lt;&gt;"SAMPLE",Config!$B$19="Y")),IFERROR(N(INDEX(Clay_Offices!$A$2:$FZ$601,310,Sync!$C$11)),0),"")</f>
        <v/>
      </c>
      <c r="C1961" s="23" t="str">
        <f aca="false">IF(B1961="","","office")</f>
        <v/>
      </c>
      <c r="D1961" s="23" t="str">
        <f aca="false">IF(B1961="","",IFERROR(INDEX(Office_Log!$ED$2:$ED$201,MATCH(IFERROR(INDEX(Clay_Offices!$A$2:$FZ$601,310,Sync!$C$5)&amp;"",""),Office_Log!$A$2:$A$201,0))&amp;"",IFERROR(INDEX(Clay_Offices!$A$2:$FZ$601,310,Sync!$C$5)&amp;"","")&amp;""))</f>
        <v/>
      </c>
      <c r="E1961" s="23" t="str">
        <f aca="false">IF(B1961="","",IFERROR(INDEX(Clay_Offices!$A$2:$FZ$601,310,Sync!$C$6)&amp;"",""))</f>
        <v/>
      </c>
      <c r="F1961" s="23" t="str">
        <f aca="false">IF(B1961="","","outreach_sent")</f>
        <v/>
      </c>
      <c r="G1961" s="23" t="str">
        <f aca="false">IF(B1961="","","")</f>
        <v/>
      </c>
      <c r="H1961" s="23" t="str">
        <f aca="false">IF(B1961="","","")</f>
        <v/>
      </c>
      <c r="I1961" s="23" t="str">
        <f aca="false">IF(B1961="","","")</f>
        <v/>
      </c>
      <c r="J1961" s="23" t="str">
        <f aca="false">IF(B1961="","","touch_1; "&amp;IFERROR(INDEX(Clay_Offices!$A$2:$FZ$601,310,Sync!$C$10)&amp;"","")&amp;"; "&amp;IFERROR(INDEX(Clay_Offices!$A$2:$FZ$601,310,Sync!$C$9)&amp;"",""))</f>
        <v/>
      </c>
      <c r="K1961" s="32" t="s">
        <v>1363</v>
      </c>
    </row>
    <row r="1962" customFormat="false" ht="15" hidden="false" customHeight="false" outlineLevel="0" collapsed="false">
      <c r="A1962" s="23" t="str">
        <f aca="false">IF(B1962="","",B1962+(12*1000+311)/10000000)</f>
        <v/>
      </c>
      <c r="B1962" s="35" t="str">
        <f aca="false">IF(AND(IFERROR(N(INDEX(Clay_Offices!$A$2:$FZ$601,311,Sync!$C$11)),0)&gt;0,IFERROR(INDEX(Clay_Offices!$A$2:$FZ$601,311,Sync!$C$5)&amp;"","")&lt;&gt;"",OR(LEFT(IFERROR(INDEX(Clay_Offices!$A$2:$FZ$601,311,Sync!$C$5)&amp;"",""),6)&lt;&gt;"SAMPLE",Config!$B$19="Y")),IFERROR(N(INDEX(Clay_Offices!$A$2:$FZ$601,311,Sync!$C$11)),0),"")</f>
        <v/>
      </c>
      <c r="C1962" s="23" t="str">
        <f aca="false">IF(B1962="","","office")</f>
        <v/>
      </c>
      <c r="D1962" s="23" t="str">
        <f aca="false">IF(B1962="","",IFERROR(INDEX(Office_Log!$ED$2:$ED$201,MATCH(IFERROR(INDEX(Clay_Offices!$A$2:$FZ$601,311,Sync!$C$5)&amp;"",""),Office_Log!$A$2:$A$201,0))&amp;"",IFERROR(INDEX(Clay_Offices!$A$2:$FZ$601,311,Sync!$C$5)&amp;"","")&amp;""))</f>
        <v/>
      </c>
      <c r="E1962" s="23" t="str">
        <f aca="false">IF(B1962="","",IFERROR(INDEX(Clay_Offices!$A$2:$FZ$601,311,Sync!$C$6)&amp;"",""))</f>
        <v/>
      </c>
      <c r="F1962" s="23" t="str">
        <f aca="false">IF(B1962="","","outreach_sent")</f>
        <v/>
      </c>
      <c r="G1962" s="23" t="str">
        <f aca="false">IF(B1962="","","")</f>
        <v/>
      </c>
      <c r="H1962" s="23" t="str">
        <f aca="false">IF(B1962="","","")</f>
        <v/>
      </c>
      <c r="I1962" s="23" t="str">
        <f aca="false">IF(B1962="","","")</f>
        <v/>
      </c>
      <c r="J1962" s="23" t="str">
        <f aca="false">IF(B1962="","","touch_1; "&amp;IFERROR(INDEX(Clay_Offices!$A$2:$FZ$601,311,Sync!$C$10)&amp;"","")&amp;"; "&amp;IFERROR(INDEX(Clay_Offices!$A$2:$FZ$601,311,Sync!$C$9)&amp;"",""))</f>
        <v/>
      </c>
      <c r="K1962" s="32" t="s">
        <v>1363</v>
      </c>
    </row>
    <row r="1963" customFormat="false" ht="15" hidden="false" customHeight="false" outlineLevel="0" collapsed="false">
      <c r="A1963" s="23" t="str">
        <f aca="false">IF(B1963="","",B1963+(12*1000+312)/10000000)</f>
        <v/>
      </c>
      <c r="B1963" s="35" t="str">
        <f aca="false">IF(AND(IFERROR(N(INDEX(Clay_Offices!$A$2:$FZ$601,312,Sync!$C$11)),0)&gt;0,IFERROR(INDEX(Clay_Offices!$A$2:$FZ$601,312,Sync!$C$5)&amp;"","")&lt;&gt;"",OR(LEFT(IFERROR(INDEX(Clay_Offices!$A$2:$FZ$601,312,Sync!$C$5)&amp;"",""),6)&lt;&gt;"SAMPLE",Config!$B$19="Y")),IFERROR(N(INDEX(Clay_Offices!$A$2:$FZ$601,312,Sync!$C$11)),0),"")</f>
        <v/>
      </c>
      <c r="C1963" s="23" t="str">
        <f aca="false">IF(B1963="","","office")</f>
        <v/>
      </c>
      <c r="D1963" s="23" t="str">
        <f aca="false">IF(B1963="","",IFERROR(INDEX(Office_Log!$ED$2:$ED$201,MATCH(IFERROR(INDEX(Clay_Offices!$A$2:$FZ$601,312,Sync!$C$5)&amp;"",""),Office_Log!$A$2:$A$201,0))&amp;"",IFERROR(INDEX(Clay_Offices!$A$2:$FZ$601,312,Sync!$C$5)&amp;"","")&amp;""))</f>
        <v/>
      </c>
      <c r="E1963" s="23" t="str">
        <f aca="false">IF(B1963="","",IFERROR(INDEX(Clay_Offices!$A$2:$FZ$601,312,Sync!$C$6)&amp;"",""))</f>
        <v/>
      </c>
      <c r="F1963" s="23" t="str">
        <f aca="false">IF(B1963="","","outreach_sent")</f>
        <v/>
      </c>
      <c r="G1963" s="23" t="str">
        <f aca="false">IF(B1963="","","")</f>
        <v/>
      </c>
      <c r="H1963" s="23" t="str">
        <f aca="false">IF(B1963="","","")</f>
        <v/>
      </c>
      <c r="I1963" s="23" t="str">
        <f aca="false">IF(B1963="","","")</f>
        <v/>
      </c>
      <c r="J1963" s="23" t="str">
        <f aca="false">IF(B1963="","","touch_1; "&amp;IFERROR(INDEX(Clay_Offices!$A$2:$FZ$601,312,Sync!$C$10)&amp;"","")&amp;"; "&amp;IFERROR(INDEX(Clay_Offices!$A$2:$FZ$601,312,Sync!$C$9)&amp;"",""))</f>
        <v/>
      </c>
      <c r="K1963" s="32" t="s">
        <v>1363</v>
      </c>
    </row>
    <row r="1964" customFormat="false" ht="15" hidden="false" customHeight="false" outlineLevel="0" collapsed="false">
      <c r="A1964" s="23" t="str">
        <f aca="false">IF(B1964="","",B1964+(12*1000+313)/10000000)</f>
        <v/>
      </c>
      <c r="B1964" s="35" t="str">
        <f aca="false">IF(AND(IFERROR(N(INDEX(Clay_Offices!$A$2:$FZ$601,313,Sync!$C$11)),0)&gt;0,IFERROR(INDEX(Clay_Offices!$A$2:$FZ$601,313,Sync!$C$5)&amp;"","")&lt;&gt;"",OR(LEFT(IFERROR(INDEX(Clay_Offices!$A$2:$FZ$601,313,Sync!$C$5)&amp;"",""),6)&lt;&gt;"SAMPLE",Config!$B$19="Y")),IFERROR(N(INDEX(Clay_Offices!$A$2:$FZ$601,313,Sync!$C$11)),0),"")</f>
        <v/>
      </c>
      <c r="C1964" s="23" t="str">
        <f aca="false">IF(B1964="","","office")</f>
        <v/>
      </c>
      <c r="D1964" s="23" t="str">
        <f aca="false">IF(B1964="","",IFERROR(INDEX(Office_Log!$ED$2:$ED$201,MATCH(IFERROR(INDEX(Clay_Offices!$A$2:$FZ$601,313,Sync!$C$5)&amp;"",""),Office_Log!$A$2:$A$201,0))&amp;"",IFERROR(INDEX(Clay_Offices!$A$2:$FZ$601,313,Sync!$C$5)&amp;"","")&amp;""))</f>
        <v/>
      </c>
      <c r="E1964" s="23" t="str">
        <f aca="false">IF(B1964="","",IFERROR(INDEX(Clay_Offices!$A$2:$FZ$601,313,Sync!$C$6)&amp;"",""))</f>
        <v/>
      </c>
      <c r="F1964" s="23" t="str">
        <f aca="false">IF(B1964="","","outreach_sent")</f>
        <v/>
      </c>
      <c r="G1964" s="23" t="str">
        <f aca="false">IF(B1964="","","")</f>
        <v/>
      </c>
      <c r="H1964" s="23" t="str">
        <f aca="false">IF(B1964="","","")</f>
        <v/>
      </c>
      <c r="I1964" s="23" t="str">
        <f aca="false">IF(B1964="","","")</f>
        <v/>
      </c>
      <c r="J1964" s="23" t="str">
        <f aca="false">IF(B1964="","","touch_1; "&amp;IFERROR(INDEX(Clay_Offices!$A$2:$FZ$601,313,Sync!$C$10)&amp;"","")&amp;"; "&amp;IFERROR(INDEX(Clay_Offices!$A$2:$FZ$601,313,Sync!$C$9)&amp;"",""))</f>
        <v/>
      </c>
      <c r="K1964" s="32" t="s">
        <v>1363</v>
      </c>
    </row>
    <row r="1965" customFormat="false" ht="15" hidden="false" customHeight="false" outlineLevel="0" collapsed="false">
      <c r="A1965" s="23" t="str">
        <f aca="false">IF(B1965="","",B1965+(12*1000+314)/10000000)</f>
        <v/>
      </c>
      <c r="B1965" s="35" t="str">
        <f aca="false">IF(AND(IFERROR(N(INDEX(Clay_Offices!$A$2:$FZ$601,314,Sync!$C$11)),0)&gt;0,IFERROR(INDEX(Clay_Offices!$A$2:$FZ$601,314,Sync!$C$5)&amp;"","")&lt;&gt;"",OR(LEFT(IFERROR(INDEX(Clay_Offices!$A$2:$FZ$601,314,Sync!$C$5)&amp;"",""),6)&lt;&gt;"SAMPLE",Config!$B$19="Y")),IFERROR(N(INDEX(Clay_Offices!$A$2:$FZ$601,314,Sync!$C$11)),0),"")</f>
        <v/>
      </c>
      <c r="C1965" s="23" t="str">
        <f aca="false">IF(B1965="","","office")</f>
        <v/>
      </c>
      <c r="D1965" s="23" t="str">
        <f aca="false">IF(B1965="","",IFERROR(INDEX(Office_Log!$ED$2:$ED$201,MATCH(IFERROR(INDEX(Clay_Offices!$A$2:$FZ$601,314,Sync!$C$5)&amp;"",""),Office_Log!$A$2:$A$201,0))&amp;"",IFERROR(INDEX(Clay_Offices!$A$2:$FZ$601,314,Sync!$C$5)&amp;"","")&amp;""))</f>
        <v/>
      </c>
      <c r="E1965" s="23" t="str">
        <f aca="false">IF(B1965="","",IFERROR(INDEX(Clay_Offices!$A$2:$FZ$601,314,Sync!$C$6)&amp;"",""))</f>
        <v/>
      </c>
      <c r="F1965" s="23" t="str">
        <f aca="false">IF(B1965="","","outreach_sent")</f>
        <v/>
      </c>
      <c r="G1965" s="23" t="str">
        <f aca="false">IF(B1965="","","")</f>
        <v/>
      </c>
      <c r="H1965" s="23" t="str">
        <f aca="false">IF(B1965="","","")</f>
        <v/>
      </c>
      <c r="I1965" s="23" t="str">
        <f aca="false">IF(B1965="","","")</f>
        <v/>
      </c>
      <c r="J1965" s="23" t="str">
        <f aca="false">IF(B1965="","","touch_1; "&amp;IFERROR(INDEX(Clay_Offices!$A$2:$FZ$601,314,Sync!$C$10)&amp;"","")&amp;"; "&amp;IFERROR(INDEX(Clay_Offices!$A$2:$FZ$601,314,Sync!$C$9)&amp;"",""))</f>
        <v/>
      </c>
      <c r="K1965" s="32" t="s">
        <v>1363</v>
      </c>
    </row>
    <row r="1966" customFormat="false" ht="15" hidden="false" customHeight="false" outlineLevel="0" collapsed="false">
      <c r="A1966" s="23" t="str">
        <f aca="false">IF(B1966="","",B1966+(12*1000+315)/10000000)</f>
        <v/>
      </c>
      <c r="B1966" s="35" t="str">
        <f aca="false">IF(AND(IFERROR(N(INDEX(Clay_Offices!$A$2:$FZ$601,315,Sync!$C$11)),0)&gt;0,IFERROR(INDEX(Clay_Offices!$A$2:$FZ$601,315,Sync!$C$5)&amp;"","")&lt;&gt;"",OR(LEFT(IFERROR(INDEX(Clay_Offices!$A$2:$FZ$601,315,Sync!$C$5)&amp;"",""),6)&lt;&gt;"SAMPLE",Config!$B$19="Y")),IFERROR(N(INDEX(Clay_Offices!$A$2:$FZ$601,315,Sync!$C$11)),0),"")</f>
        <v/>
      </c>
      <c r="C1966" s="23" t="str">
        <f aca="false">IF(B1966="","","office")</f>
        <v/>
      </c>
      <c r="D1966" s="23" t="str">
        <f aca="false">IF(B1966="","",IFERROR(INDEX(Office_Log!$ED$2:$ED$201,MATCH(IFERROR(INDEX(Clay_Offices!$A$2:$FZ$601,315,Sync!$C$5)&amp;"",""),Office_Log!$A$2:$A$201,0))&amp;"",IFERROR(INDEX(Clay_Offices!$A$2:$FZ$601,315,Sync!$C$5)&amp;"","")&amp;""))</f>
        <v/>
      </c>
      <c r="E1966" s="23" t="str">
        <f aca="false">IF(B1966="","",IFERROR(INDEX(Clay_Offices!$A$2:$FZ$601,315,Sync!$C$6)&amp;"",""))</f>
        <v/>
      </c>
      <c r="F1966" s="23" t="str">
        <f aca="false">IF(B1966="","","outreach_sent")</f>
        <v/>
      </c>
      <c r="G1966" s="23" t="str">
        <f aca="false">IF(B1966="","","")</f>
        <v/>
      </c>
      <c r="H1966" s="23" t="str">
        <f aca="false">IF(B1966="","","")</f>
        <v/>
      </c>
      <c r="I1966" s="23" t="str">
        <f aca="false">IF(B1966="","","")</f>
        <v/>
      </c>
      <c r="J1966" s="23" t="str">
        <f aca="false">IF(B1966="","","touch_1; "&amp;IFERROR(INDEX(Clay_Offices!$A$2:$FZ$601,315,Sync!$C$10)&amp;"","")&amp;"; "&amp;IFERROR(INDEX(Clay_Offices!$A$2:$FZ$601,315,Sync!$C$9)&amp;"",""))</f>
        <v/>
      </c>
      <c r="K1966" s="32" t="s">
        <v>1363</v>
      </c>
    </row>
    <row r="1967" customFormat="false" ht="15" hidden="false" customHeight="false" outlineLevel="0" collapsed="false">
      <c r="A1967" s="23" t="str">
        <f aca="false">IF(B1967="","",B1967+(12*1000+316)/10000000)</f>
        <v/>
      </c>
      <c r="B1967" s="35" t="str">
        <f aca="false">IF(AND(IFERROR(N(INDEX(Clay_Offices!$A$2:$FZ$601,316,Sync!$C$11)),0)&gt;0,IFERROR(INDEX(Clay_Offices!$A$2:$FZ$601,316,Sync!$C$5)&amp;"","")&lt;&gt;"",OR(LEFT(IFERROR(INDEX(Clay_Offices!$A$2:$FZ$601,316,Sync!$C$5)&amp;"",""),6)&lt;&gt;"SAMPLE",Config!$B$19="Y")),IFERROR(N(INDEX(Clay_Offices!$A$2:$FZ$601,316,Sync!$C$11)),0),"")</f>
        <v/>
      </c>
      <c r="C1967" s="23" t="str">
        <f aca="false">IF(B1967="","","office")</f>
        <v/>
      </c>
      <c r="D1967" s="23" t="str">
        <f aca="false">IF(B1967="","",IFERROR(INDEX(Office_Log!$ED$2:$ED$201,MATCH(IFERROR(INDEX(Clay_Offices!$A$2:$FZ$601,316,Sync!$C$5)&amp;"",""),Office_Log!$A$2:$A$201,0))&amp;"",IFERROR(INDEX(Clay_Offices!$A$2:$FZ$601,316,Sync!$C$5)&amp;"","")&amp;""))</f>
        <v/>
      </c>
      <c r="E1967" s="23" t="str">
        <f aca="false">IF(B1967="","",IFERROR(INDEX(Clay_Offices!$A$2:$FZ$601,316,Sync!$C$6)&amp;"",""))</f>
        <v/>
      </c>
      <c r="F1967" s="23" t="str">
        <f aca="false">IF(B1967="","","outreach_sent")</f>
        <v/>
      </c>
      <c r="G1967" s="23" t="str">
        <f aca="false">IF(B1967="","","")</f>
        <v/>
      </c>
      <c r="H1967" s="23" t="str">
        <f aca="false">IF(B1967="","","")</f>
        <v/>
      </c>
      <c r="I1967" s="23" t="str">
        <f aca="false">IF(B1967="","","")</f>
        <v/>
      </c>
      <c r="J1967" s="23" t="str">
        <f aca="false">IF(B1967="","","touch_1; "&amp;IFERROR(INDEX(Clay_Offices!$A$2:$FZ$601,316,Sync!$C$10)&amp;"","")&amp;"; "&amp;IFERROR(INDEX(Clay_Offices!$A$2:$FZ$601,316,Sync!$C$9)&amp;"",""))</f>
        <v/>
      </c>
      <c r="K1967" s="32" t="s">
        <v>1363</v>
      </c>
    </row>
    <row r="1968" customFormat="false" ht="15" hidden="false" customHeight="false" outlineLevel="0" collapsed="false">
      <c r="A1968" s="23" t="str">
        <f aca="false">IF(B1968="","",B1968+(12*1000+317)/10000000)</f>
        <v/>
      </c>
      <c r="B1968" s="35" t="str">
        <f aca="false">IF(AND(IFERROR(N(INDEX(Clay_Offices!$A$2:$FZ$601,317,Sync!$C$11)),0)&gt;0,IFERROR(INDEX(Clay_Offices!$A$2:$FZ$601,317,Sync!$C$5)&amp;"","")&lt;&gt;"",OR(LEFT(IFERROR(INDEX(Clay_Offices!$A$2:$FZ$601,317,Sync!$C$5)&amp;"",""),6)&lt;&gt;"SAMPLE",Config!$B$19="Y")),IFERROR(N(INDEX(Clay_Offices!$A$2:$FZ$601,317,Sync!$C$11)),0),"")</f>
        <v/>
      </c>
      <c r="C1968" s="23" t="str">
        <f aca="false">IF(B1968="","","office")</f>
        <v/>
      </c>
      <c r="D1968" s="23" t="str">
        <f aca="false">IF(B1968="","",IFERROR(INDEX(Office_Log!$ED$2:$ED$201,MATCH(IFERROR(INDEX(Clay_Offices!$A$2:$FZ$601,317,Sync!$C$5)&amp;"",""),Office_Log!$A$2:$A$201,0))&amp;"",IFERROR(INDEX(Clay_Offices!$A$2:$FZ$601,317,Sync!$C$5)&amp;"","")&amp;""))</f>
        <v/>
      </c>
      <c r="E1968" s="23" t="str">
        <f aca="false">IF(B1968="","",IFERROR(INDEX(Clay_Offices!$A$2:$FZ$601,317,Sync!$C$6)&amp;"",""))</f>
        <v/>
      </c>
      <c r="F1968" s="23" t="str">
        <f aca="false">IF(B1968="","","outreach_sent")</f>
        <v/>
      </c>
      <c r="G1968" s="23" t="str">
        <f aca="false">IF(B1968="","","")</f>
        <v/>
      </c>
      <c r="H1968" s="23" t="str">
        <f aca="false">IF(B1968="","","")</f>
        <v/>
      </c>
      <c r="I1968" s="23" t="str">
        <f aca="false">IF(B1968="","","")</f>
        <v/>
      </c>
      <c r="J1968" s="23" t="str">
        <f aca="false">IF(B1968="","","touch_1; "&amp;IFERROR(INDEX(Clay_Offices!$A$2:$FZ$601,317,Sync!$C$10)&amp;"","")&amp;"; "&amp;IFERROR(INDEX(Clay_Offices!$A$2:$FZ$601,317,Sync!$C$9)&amp;"",""))</f>
        <v/>
      </c>
      <c r="K1968" s="32" t="s">
        <v>1363</v>
      </c>
    </row>
    <row r="1969" customFormat="false" ht="15" hidden="false" customHeight="false" outlineLevel="0" collapsed="false">
      <c r="A1969" s="23" t="str">
        <f aca="false">IF(B1969="","",B1969+(12*1000+318)/10000000)</f>
        <v/>
      </c>
      <c r="B1969" s="35" t="str">
        <f aca="false">IF(AND(IFERROR(N(INDEX(Clay_Offices!$A$2:$FZ$601,318,Sync!$C$11)),0)&gt;0,IFERROR(INDEX(Clay_Offices!$A$2:$FZ$601,318,Sync!$C$5)&amp;"","")&lt;&gt;"",OR(LEFT(IFERROR(INDEX(Clay_Offices!$A$2:$FZ$601,318,Sync!$C$5)&amp;"",""),6)&lt;&gt;"SAMPLE",Config!$B$19="Y")),IFERROR(N(INDEX(Clay_Offices!$A$2:$FZ$601,318,Sync!$C$11)),0),"")</f>
        <v/>
      </c>
      <c r="C1969" s="23" t="str">
        <f aca="false">IF(B1969="","","office")</f>
        <v/>
      </c>
      <c r="D1969" s="23" t="str">
        <f aca="false">IF(B1969="","",IFERROR(INDEX(Office_Log!$ED$2:$ED$201,MATCH(IFERROR(INDEX(Clay_Offices!$A$2:$FZ$601,318,Sync!$C$5)&amp;"",""),Office_Log!$A$2:$A$201,0))&amp;"",IFERROR(INDEX(Clay_Offices!$A$2:$FZ$601,318,Sync!$C$5)&amp;"","")&amp;""))</f>
        <v/>
      </c>
      <c r="E1969" s="23" t="str">
        <f aca="false">IF(B1969="","",IFERROR(INDEX(Clay_Offices!$A$2:$FZ$601,318,Sync!$C$6)&amp;"",""))</f>
        <v/>
      </c>
      <c r="F1969" s="23" t="str">
        <f aca="false">IF(B1969="","","outreach_sent")</f>
        <v/>
      </c>
      <c r="G1969" s="23" t="str">
        <f aca="false">IF(B1969="","","")</f>
        <v/>
      </c>
      <c r="H1969" s="23" t="str">
        <f aca="false">IF(B1969="","","")</f>
        <v/>
      </c>
      <c r="I1969" s="23" t="str">
        <f aca="false">IF(B1969="","","")</f>
        <v/>
      </c>
      <c r="J1969" s="23" t="str">
        <f aca="false">IF(B1969="","","touch_1; "&amp;IFERROR(INDEX(Clay_Offices!$A$2:$FZ$601,318,Sync!$C$10)&amp;"","")&amp;"; "&amp;IFERROR(INDEX(Clay_Offices!$A$2:$FZ$601,318,Sync!$C$9)&amp;"",""))</f>
        <v/>
      </c>
      <c r="K1969" s="32" t="s">
        <v>1363</v>
      </c>
    </row>
    <row r="1970" customFormat="false" ht="15" hidden="false" customHeight="false" outlineLevel="0" collapsed="false">
      <c r="A1970" s="23" t="str">
        <f aca="false">IF(B1970="","",B1970+(12*1000+319)/10000000)</f>
        <v/>
      </c>
      <c r="B1970" s="35" t="str">
        <f aca="false">IF(AND(IFERROR(N(INDEX(Clay_Offices!$A$2:$FZ$601,319,Sync!$C$11)),0)&gt;0,IFERROR(INDEX(Clay_Offices!$A$2:$FZ$601,319,Sync!$C$5)&amp;"","")&lt;&gt;"",OR(LEFT(IFERROR(INDEX(Clay_Offices!$A$2:$FZ$601,319,Sync!$C$5)&amp;"",""),6)&lt;&gt;"SAMPLE",Config!$B$19="Y")),IFERROR(N(INDEX(Clay_Offices!$A$2:$FZ$601,319,Sync!$C$11)),0),"")</f>
        <v/>
      </c>
      <c r="C1970" s="23" t="str">
        <f aca="false">IF(B1970="","","office")</f>
        <v/>
      </c>
      <c r="D1970" s="23" t="str">
        <f aca="false">IF(B1970="","",IFERROR(INDEX(Office_Log!$ED$2:$ED$201,MATCH(IFERROR(INDEX(Clay_Offices!$A$2:$FZ$601,319,Sync!$C$5)&amp;"",""),Office_Log!$A$2:$A$201,0))&amp;"",IFERROR(INDEX(Clay_Offices!$A$2:$FZ$601,319,Sync!$C$5)&amp;"","")&amp;""))</f>
        <v/>
      </c>
      <c r="E1970" s="23" t="str">
        <f aca="false">IF(B1970="","",IFERROR(INDEX(Clay_Offices!$A$2:$FZ$601,319,Sync!$C$6)&amp;"",""))</f>
        <v/>
      </c>
      <c r="F1970" s="23" t="str">
        <f aca="false">IF(B1970="","","outreach_sent")</f>
        <v/>
      </c>
      <c r="G1970" s="23" t="str">
        <f aca="false">IF(B1970="","","")</f>
        <v/>
      </c>
      <c r="H1970" s="23" t="str">
        <f aca="false">IF(B1970="","","")</f>
        <v/>
      </c>
      <c r="I1970" s="23" t="str">
        <f aca="false">IF(B1970="","","")</f>
        <v/>
      </c>
      <c r="J1970" s="23" t="str">
        <f aca="false">IF(B1970="","","touch_1; "&amp;IFERROR(INDEX(Clay_Offices!$A$2:$FZ$601,319,Sync!$C$10)&amp;"","")&amp;"; "&amp;IFERROR(INDEX(Clay_Offices!$A$2:$FZ$601,319,Sync!$C$9)&amp;"",""))</f>
        <v/>
      </c>
      <c r="K1970" s="32" t="s">
        <v>1363</v>
      </c>
    </row>
    <row r="1971" customFormat="false" ht="15" hidden="false" customHeight="false" outlineLevel="0" collapsed="false">
      <c r="A1971" s="23" t="str">
        <f aca="false">IF(B1971="","",B1971+(12*1000+320)/10000000)</f>
        <v/>
      </c>
      <c r="B1971" s="35" t="str">
        <f aca="false">IF(AND(IFERROR(N(INDEX(Clay_Offices!$A$2:$FZ$601,320,Sync!$C$11)),0)&gt;0,IFERROR(INDEX(Clay_Offices!$A$2:$FZ$601,320,Sync!$C$5)&amp;"","")&lt;&gt;"",OR(LEFT(IFERROR(INDEX(Clay_Offices!$A$2:$FZ$601,320,Sync!$C$5)&amp;"",""),6)&lt;&gt;"SAMPLE",Config!$B$19="Y")),IFERROR(N(INDEX(Clay_Offices!$A$2:$FZ$601,320,Sync!$C$11)),0),"")</f>
        <v/>
      </c>
      <c r="C1971" s="23" t="str">
        <f aca="false">IF(B1971="","","office")</f>
        <v/>
      </c>
      <c r="D1971" s="23" t="str">
        <f aca="false">IF(B1971="","",IFERROR(INDEX(Office_Log!$ED$2:$ED$201,MATCH(IFERROR(INDEX(Clay_Offices!$A$2:$FZ$601,320,Sync!$C$5)&amp;"",""),Office_Log!$A$2:$A$201,0))&amp;"",IFERROR(INDEX(Clay_Offices!$A$2:$FZ$601,320,Sync!$C$5)&amp;"","")&amp;""))</f>
        <v/>
      </c>
      <c r="E1971" s="23" t="str">
        <f aca="false">IF(B1971="","",IFERROR(INDEX(Clay_Offices!$A$2:$FZ$601,320,Sync!$C$6)&amp;"",""))</f>
        <v/>
      </c>
      <c r="F1971" s="23" t="str">
        <f aca="false">IF(B1971="","","outreach_sent")</f>
        <v/>
      </c>
      <c r="G1971" s="23" t="str">
        <f aca="false">IF(B1971="","","")</f>
        <v/>
      </c>
      <c r="H1971" s="23" t="str">
        <f aca="false">IF(B1971="","","")</f>
        <v/>
      </c>
      <c r="I1971" s="23" t="str">
        <f aca="false">IF(B1971="","","")</f>
        <v/>
      </c>
      <c r="J1971" s="23" t="str">
        <f aca="false">IF(B1971="","","touch_1; "&amp;IFERROR(INDEX(Clay_Offices!$A$2:$FZ$601,320,Sync!$C$10)&amp;"","")&amp;"; "&amp;IFERROR(INDEX(Clay_Offices!$A$2:$FZ$601,320,Sync!$C$9)&amp;"",""))</f>
        <v/>
      </c>
      <c r="K1971" s="32" t="s">
        <v>1363</v>
      </c>
    </row>
    <row r="1972" customFormat="false" ht="15" hidden="false" customHeight="false" outlineLevel="0" collapsed="false">
      <c r="A1972" s="23" t="str">
        <f aca="false">IF(B1972="","",B1972+(12*1000+321)/10000000)</f>
        <v/>
      </c>
      <c r="B1972" s="35" t="str">
        <f aca="false">IF(AND(IFERROR(N(INDEX(Clay_Offices!$A$2:$FZ$601,321,Sync!$C$11)),0)&gt;0,IFERROR(INDEX(Clay_Offices!$A$2:$FZ$601,321,Sync!$C$5)&amp;"","")&lt;&gt;"",OR(LEFT(IFERROR(INDEX(Clay_Offices!$A$2:$FZ$601,321,Sync!$C$5)&amp;"",""),6)&lt;&gt;"SAMPLE",Config!$B$19="Y")),IFERROR(N(INDEX(Clay_Offices!$A$2:$FZ$601,321,Sync!$C$11)),0),"")</f>
        <v/>
      </c>
      <c r="C1972" s="23" t="str">
        <f aca="false">IF(B1972="","","office")</f>
        <v/>
      </c>
      <c r="D1972" s="23" t="str">
        <f aca="false">IF(B1972="","",IFERROR(INDEX(Office_Log!$ED$2:$ED$201,MATCH(IFERROR(INDEX(Clay_Offices!$A$2:$FZ$601,321,Sync!$C$5)&amp;"",""),Office_Log!$A$2:$A$201,0))&amp;"",IFERROR(INDEX(Clay_Offices!$A$2:$FZ$601,321,Sync!$C$5)&amp;"","")&amp;""))</f>
        <v/>
      </c>
      <c r="E1972" s="23" t="str">
        <f aca="false">IF(B1972="","",IFERROR(INDEX(Clay_Offices!$A$2:$FZ$601,321,Sync!$C$6)&amp;"",""))</f>
        <v/>
      </c>
      <c r="F1972" s="23" t="str">
        <f aca="false">IF(B1972="","","outreach_sent")</f>
        <v/>
      </c>
      <c r="G1972" s="23" t="str">
        <f aca="false">IF(B1972="","","")</f>
        <v/>
      </c>
      <c r="H1972" s="23" t="str">
        <f aca="false">IF(B1972="","","")</f>
        <v/>
      </c>
      <c r="I1972" s="23" t="str">
        <f aca="false">IF(B1972="","","")</f>
        <v/>
      </c>
      <c r="J1972" s="23" t="str">
        <f aca="false">IF(B1972="","","touch_1; "&amp;IFERROR(INDEX(Clay_Offices!$A$2:$FZ$601,321,Sync!$C$10)&amp;"","")&amp;"; "&amp;IFERROR(INDEX(Clay_Offices!$A$2:$FZ$601,321,Sync!$C$9)&amp;"",""))</f>
        <v/>
      </c>
      <c r="K1972" s="32" t="s">
        <v>1363</v>
      </c>
    </row>
    <row r="1973" customFormat="false" ht="15" hidden="false" customHeight="false" outlineLevel="0" collapsed="false">
      <c r="A1973" s="23" t="str">
        <f aca="false">IF(B1973="","",B1973+(12*1000+322)/10000000)</f>
        <v/>
      </c>
      <c r="B1973" s="35" t="str">
        <f aca="false">IF(AND(IFERROR(N(INDEX(Clay_Offices!$A$2:$FZ$601,322,Sync!$C$11)),0)&gt;0,IFERROR(INDEX(Clay_Offices!$A$2:$FZ$601,322,Sync!$C$5)&amp;"","")&lt;&gt;"",OR(LEFT(IFERROR(INDEX(Clay_Offices!$A$2:$FZ$601,322,Sync!$C$5)&amp;"",""),6)&lt;&gt;"SAMPLE",Config!$B$19="Y")),IFERROR(N(INDEX(Clay_Offices!$A$2:$FZ$601,322,Sync!$C$11)),0),"")</f>
        <v/>
      </c>
      <c r="C1973" s="23" t="str">
        <f aca="false">IF(B1973="","","office")</f>
        <v/>
      </c>
      <c r="D1973" s="23" t="str">
        <f aca="false">IF(B1973="","",IFERROR(INDEX(Office_Log!$ED$2:$ED$201,MATCH(IFERROR(INDEX(Clay_Offices!$A$2:$FZ$601,322,Sync!$C$5)&amp;"",""),Office_Log!$A$2:$A$201,0))&amp;"",IFERROR(INDEX(Clay_Offices!$A$2:$FZ$601,322,Sync!$C$5)&amp;"","")&amp;""))</f>
        <v/>
      </c>
      <c r="E1973" s="23" t="str">
        <f aca="false">IF(B1973="","",IFERROR(INDEX(Clay_Offices!$A$2:$FZ$601,322,Sync!$C$6)&amp;"",""))</f>
        <v/>
      </c>
      <c r="F1973" s="23" t="str">
        <f aca="false">IF(B1973="","","outreach_sent")</f>
        <v/>
      </c>
      <c r="G1973" s="23" t="str">
        <f aca="false">IF(B1973="","","")</f>
        <v/>
      </c>
      <c r="H1973" s="23" t="str">
        <f aca="false">IF(B1973="","","")</f>
        <v/>
      </c>
      <c r="I1973" s="23" t="str">
        <f aca="false">IF(B1973="","","")</f>
        <v/>
      </c>
      <c r="J1973" s="23" t="str">
        <f aca="false">IF(B1973="","","touch_1; "&amp;IFERROR(INDEX(Clay_Offices!$A$2:$FZ$601,322,Sync!$C$10)&amp;"","")&amp;"; "&amp;IFERROR(INDEX(Clay_Offices!$A$2:$FZ$601,322,Sync!$C$9)&amp;"",""))</f>
        <v/>
      </c>
      <c r="K1973" s="32" t="s">
        <v>1363</v>
      </c>
    </row>
    <row r="1974" customFormat="false" ht="15" hidden="false" customHeight="false" outlineLevel="0" collapsed="false">
      <c r="A1974" s="23" t="str">
        <f aca="false">IF(B1974="","",B1974+(12*1000+323)/10000000)</f>
        <v/>
      </c>
      <c r="B1974" s="35" t="str">
        <f aca="false">IF(AND(IFERROR(N(INDEX(Clay_Offices!$A$2:$FZ$601,323,Sync!$C$11)),0)&gt;0,IFERROR(INDEX(Clay_Offices!$A$2:$FZ$601,323,Sync!$C$5)&amp;"","")&lt;&gt;"",OR(LEFT(IFERROR(INDEX(Clay_Offices!$A$2:$FZ$601,323,Sync!$C$5)&amp;"",""),6)&lt;&gt;"SAMPLE",Config!$B$19="Y")),IFERROR(N(INDEX(Clay_Offices!$A$2:$FZ$601,323,Sync!$C$11)),0),"")</f>
        <v/>
      </c>
      <c r="C1974" s="23" t="str">
        <f aca="false">IF(B1974="","","office")</f>
        <v/>
      </c>
      <c r="D1974" s="23" t="str">
        <f aca="false">IF(B1974="","",IFERROR(INDEX(Office_Log!$ED$2:$ED$201,MATCH(IFERROR(INDEX(Clay_Offices!$A$2:$FZ$601,323,Sync!$C$5)&amp;"",""),Office_Log!$A$2:$A$201,0))&amp;"",IFERROR(INDEX(Clay_Offices!$A$2:$FZ$601,323,Sync!$C$5)&amp;"","")&amp;""))</f>
        <v/>
      </c>
      <c r="E1974" s="23" t="str">
        <f aca="false">IF(B1974="","",IFERROR(INDEX(Clay_Offices!$A$2:$FZ$601,323,Sync!$C$6)&amp;"",""))</f>
        <v/>
      </c>
      <c r="F1974" s="23" t="str">
        <f aca="false">IF(B1974="","","outreach_sent")</f>
        <v/>
      </c>
      <c r="G1974" s="23" t="str">
        <f aca="false">IF(B1974="","","")</f>
        <v/>
      </c>
      <c r="H1974" s="23" t="str">
        <f aca="false">IF(B1974="","","")</f>
        <v/>
      </c>
      <c r="I1974" s="23" t="str">
        <f aca="false">IF(B1974="","","")</f>
        <v/>
      </c>
      <c r="J1974" s="23" t="str">
        <f aca="false">IF(B1974="","","touch_1; "&amp;IFERROR(INDEX(Clay_Offices!$A$2:$FZ$601,323,Sync!$C$10)&amp;"","")&amp;"; "&amp;IFERROR(INDEX(Clay_Offices!$A$2:$FZ$601,323,Sync!$C$9)&amp;"",""))</f>
        <v/>
      </c>
      <c r="K1974" s="32" t="s">
        <v>1363</v>
      </c>
    </row>
    <row r="1975" customFormat="false" ht="15" hidden="false" customHeight="false" outlineLevel="0" collapsed="false">
      <c r="A1975" s="23" t="str">
        <f aca="false">IF(B1975="","",B1975+(12*1000+324)/10000000)</f>
        <v/>
      </c>
      <c r="B1975" s="35" t="str">
        <f aca="false">IF(AND(IFERROR(N(INDEX(Clay_Offices!$A$2:$FZ$601,324,Sync!$C$11)),0)&gt;0,IFERROR(INDEX(Clay_Offices!$A$2:$FZ$601,324,Sync!$C$5)&amp;"","")&lt;&gt;"",OR(LEFT(IFERROR(INDEX(Clay_Offices!$A$2:$FZ$601,324,Sync!$C$5)&amp;"",""),6)&lt;&gt;"SAMPLE",Config!$B$19="Y")),IFERROR(N(INDEX(Clay_Offices!$A$2:$FZ$601,324,Sync!$C$11)),0),"")</f>
        <v/>
      </c>
      <c r="C1975" s="23" t="str">
        <f aca="false">IF(B1975="","","office")</f>
        <v/>
      </c>
      <c r="D1975" s="23" t="str">
        <f aca="false">IF(B1975="","",IFERROR(INDEX(Office_Log!$ED$2:$ED$201,MATCH(IFERROR(INDEX(Clay_Offices!$A$2:$FZ$601,324,Sync!$C$5)&amp;"",""),Office_Log!$A$2:$A$201,0))&amp;"",IFERROR(INDEX(Clay_Offices!$A$2:$FZ$601,324,Sync!$C$5)&amp;"","")&amp;""))</f>
        <v/>
      </c>
      <c r="E1975" s="23" t="str">
        <f aca="false">IF(B1975="","",IFERROR(INDEX(Clay_Offices!$A$2:$FZ$601,324,Sync!$C$6)&amp;"",""))</f>
        <v/>
      </c>
      <c r="F1975" s="23" t="str">
        <f aca="false">IF(B1975="","","outreach_sent")</f>
        <v/>
      </c>
      <c r="G1975" s="23" t="str">
        <f aca="false">IF(B1975="","","")</f>
        <v/>
      </c>
      <c r="H1975" s="23" t="str">
        <f aca="false">IF(B1975="","","")</f>
        <v/>
      </c>
      <c r="I1975" s="23" t="str">
        <f aca="false">IF(B1975="","","")</f>
        <v/>
      </c>
      <c r="J1975" s="23" t="str">
        <f aca="false">IF(B1975="","","touch_1; "&amp;IFERROR(INDEX(Clay_Offices!$A$2:$FZ$601,324,Sync!$C$10)&amp;"","")&amp;"; "&amp;IFERROR(INDEX(Clay_Offices!$A$2:$FZ$601,324,Sync!$C$9)&amp;"",""))</f>
        <v/>
      </c>
      <c r="K1975" s="32" t="s">
        <v>1363</v>
      </c>
    </row>
    <row r="1976" customFormat="false" ht="15" hidden="false" customHeight="false" outlineLevel="0" collapsed="false">
      <c r="A1976" s="23" t="str">
        <f aca="false">IF(B1976="","",B1976+(12*1000+325)/10000000)</f>
        <v/>
      </c>
      <c r="B1976" s="35" t="str">
        <f aca="false">IF(AND(IFERROR(N(INDEX(Clay_Offices!$A$2:$FZ$601,325,Sync!$C$11)),0)&gt;0,IFERROR(INDEX(Clay_Offices!$A$2:$FZ$601,325,Sync!$C$5)&amp;"","")&lt;&gt;"",OR(LEFT(IFERROR(INDEX(Clay_Offices!$A$2:$FZ$601,325,Sync!$C$5)&amp;"",""),6)&lt;&gt;"SAMPLE",Config!$B$19="Y")),IFERROR(N(INDEX(Clay_Offices!$A$2:$FZ$601,325,Sync!$C$11)),0),"")</f>
        <v/>
      </c>
      <c r="C1976" s="23" t="str">
        <f aca="false">IF(B1976="","","office")</f>
        <v/>
      </c>
      <c r="D1976" s="23" t="str">
        <f aca="false">IF(B1976="","",IFERROR(INDEX(Office_Log!$ED$2:$ED$201,MATCH(IFERROR(INDEX(Clay_Offices!$A$2:$FZ$601,325,Sync!$C$5)&amp;"",""),Office_Log!$A$2:$A$201,0))&amp;"",IFERROR(INDEX(Clay_Offices!$A$2:$FZ$601,325,Sync!$C$5)&amp;"","")&amp;""))</f>
        <v/>
      </c>
      <c r="E1976" s="23" t="str">
        <f aca="false">IF(B1976="","",IFERROR(INDEX(Clay_Offices!$A$2:$FZ$601,325,Sync!$C$6)&amp;"",""))</f>
        <v/>
      </c>
      <c r="F1976" s="23" t="str">
        <f aca="false">IF(B1976="","","outreach_sent")</f>
        <v/>
      </c>
      <c r="G1976" s="23" t="str">
        <f aca="false">IF(B1976="","","")</f>
        <v/>
      </c>
      <c r="H1976" s="23" t="str">
        <f aca="false">IF(B1976="","","")</f>
        <v/>
      </c>
      <c r="I1976" s="23" t="str">
        <f aca="false">IF(B1976="","","")</f>
        <v/>
      </c>
      <c r="J1976" s="23" t="str">
        <f aca="false">IF(B1976="","","touch_1; "&amp;IFERROR(INDEX(Clay_Offices!$A$2:$FZ$601,325,Sync!$C$10)&amp;"","")&amp;"; "&amp;IFERROR(INDEX(Clay_Offices!$A$2:$FZ$601,325,Sync!$C$9)&amp;"",""))</f>
        <v/>
      </c>
      <c r="K1976" s="32" t="s">
        <v>1363</v>
      </c>
    </row>
    <row r="1977" customFormat="false" ht="15" hidden="false" customHeight="false" outlineLevel="0" collapsed="false">
      <c r="A1977" s="23" t="str">
        <f aca="false">IF(B1977="","",B1977+(12*1000+326)/10000000)</f>
        <v/>
      </c>
      <c r="B1977" s="35" t="str">
        <f aca="false">IF(AND(IFERROR(N(INDEX(Clay_Offices!$A$2:$FZ$601,326,Sync!$C$11)),0)&gt;0,IFERROR(INDEX(Clay_Offices!$A$2:$FZ$601,326,Sync!$C$5)&amp;"","")&lt;&gt;"",OR(LEFT(IFERROR(INDEX(Clay_Offices!$A$2:$FZ$601,326,Sync!$C$5)&amp;"",""),6)&lt;&gt;"SAMPLE",Config!$B$19="Y")),IFERROR(N(INDEX(Clay_Offices!$A$2:$FZ$601,326,Sync!$C$11)),0),"")</f>
        <v/>
      </c>
      <c r="C1977" s="23" t="str">
        <f aca="false">IF(B1977="","","office")</f>
        <v/>
      </c>
      <c r="D1977" s="23" t="str">
        <f aca="false">IF(B1977="","",IFERROR(INDEX(Office_Log!$ED$2:$ED$201,MATCH(IFERROR(INDEX(Clay_Offices!$A$2:$FZ$601,326,Sync!$C$5)&amp;"",""),Office_Log!$A$2:$A$201,0))&amp;"",IFERROR(INDEX(Clay_Offices!$A$2:$FZ$601,326,Sync!$C$5)&amp;"","")&amp;""))</f>
        <v/>
      </c>
      <c r="E1977" s="23" t="str">
        <f aca="false">IF(B1977="","",IFERROR(INDEX(Clay_Offices!$A$2:$FZ$601,326,Sync!$C$6)&amp;"",""))</f>
        <v/>
      </c>
      <c r="F1977" s="23" t="str">
        <f aca="false">IF(B1977="","","outreach_sent")</f>
        <v/>
      </c>
      <c r="G1977" s="23" t="str">
        <f aca="false">IF(B1977="","","")</f>
        <v/>
      </c>
      <c r="H1977" s="23" t="str">
        <f aca="false">IF(B1977="","","")</f>
        <v/>
      </c>
      <c r="I1977" s="23" t="str">
        <f aca="false">IF(B1977="","","")</f>
        <v/>
      </c>
      <c r="J1977" s="23" t="str">
        <f aca="false">IF(B1977="","","touch_1; "&amp;IFERROR(INDEX(Clay_Offices!$A$2:$FZ$601,326,Sync!$C$10)&amp;"","")&amp;"; "&amp;IFERROR(INDEX(Clay_Offices!$A$2:$FZ$601,326,Sync!$C$9)&amp;"",""))</f>
        <v/>
      </c>
      <c r="K1977" s="32" t="s">
        <v>1363</v>
      </c>
    </row>
    <row r="1978" customFormat="false" ht="15" hidden="false" customHeight="false" outlineLevel="0" collapsed="false">
      <c r="A1978" s="23" t="str">
        <f aca="false">IF(B1978="","",B1978+(12*1000+327)/10000000)</f>
        <v/>
      </c>
      <c r="B1978" s="35" t="str">
        <f aca="false">IF(AND(IFERROR(N(INDEX(Clay_Offices!$A$2:$FZ$601,327,Sync!$C$11)),0)&gt;0,IFERROR(INDEX(Clay_Offices!$A$2:$FZ$601,327,Sync!$C$5)&amp;"","")&lt;&gt;"",OR(LEFT(IFERROR(INDEX(Clay_Offices!$A$2:$FZ$601,327,Sync!$C$5)&amp;"",""),6)&lt;&gt;"SAMPLE",Config!$B$19="Y")),IFERROR(N(INDEX(Clay_Offices!$A$2:$FZ$601,327,Sync!$C$11)),0),"")</f>
        <v/>
      </c>
      <c r="C1978" s="23" t="str">
        <f aca="false">IF(B1978="","","office")</f>
        <v/>
      </c>
      <c r="D1978" s="23" t="str">
        <f aca="false">IF(B1978="","",IFERROR(INDEX(Office_Log!$ED$2:$ED$201,MATCH(IFERROR(INDEX(Clay_Offices!$A$2:$FZ$601,327,Sync!$C$5)&amp;"",""),Office_Log!$A$2:$A$201,0))&amp;"",IFERROR(INDEX(Clay_Offices!$A$2:$FZ$601,327,Sync!$C$5)&amp;"","")&amp;""))</f>
        <v/>
      </c>
      <c r="E1978" s="23" t="str">
        <f aca="false">IF(B1978="","",IFERROR(INDEX(Clay_Offices!$A$2:$FZ$601,327,Sync!$C$6)&amp;"",""))</f>
        <v/>
      </c>
      <c r="F1978" s="23" t="str">
        <f aca="false">IF(B1978="","","outreach_sent")</f>
        <v/>
      </c>
      <c r="G1978" s="23" t="str">
        <f aca="false">IF(B1978="","","")</f>
        <v/>
      </c>
      <c r="H1978" s="23" t="str">
        <f aca="false">IF(B1978="","","")</f>
        <v/>
      </c>
      <c r="I1978" s="23" t="str">
        <f aca="false">IF(B1978="","","")</f>
        <v/>
      </c>
      <c r="J1978" s="23" t="str">
        <f aca="false">IF(B1978="","","touch_1; "&amp;IFERROR(INDEX(Clay_Offices!$A$2:$FZ$601,327,Sync!$C$10)&amp;"","")&amp;"; "&amp;IFERROR(INDEX(Clay_Offices!$A$2:$FZ$601,327,Sync!$C$9)&amp;"",""))</f>
        <v/>
      </c>
      <c r="K1978" s="32" t="s">
        <v>1363</v>
      </c>
    </row>
    <row r="1979" customFormat="false" ht="15" hidden="false" customHeight="false" outlineLevel="0" collapsed="false">
      <c r="A1979" s="23" t="str">
        <f aca="false">IF(B1979="","",B1979+(12*1000+328)/10000000)</f>
        <v/>
      </c>
      <c r="B1979" s="35" t="str">
        <f aca="false">IF(AND(IFERROR(N(INDEX(Clay_Offices!$A$2:$FZ$601,328,Sync!$C$11)),0)&gt;0,IFERROR(INDEX(Clay_Offices!$A$2:$FZ$601,328,Sync!$C$5)&amp;"","")&lt;&gt;"",OR(LEFT(IFERROR(INDEX(Clay_Offices!$A$2:$FZ$601,328,Sync!$C$5)&amp;"",""),6)&lt;&gt;"SAMPLE",Config!$B$19="Y")),IFERROR(N(INDEX(Clay_Offices!$A$2:$FZ$601,328,Sync!$C$11)),0),"")</f>
        <v/>
      </c>
      <c r="C1979" s="23" t="str">
        <f aca="false">IF(B1979="","","office")</f>
        <v/>
      </c>
      <c r="D1979" s="23" t="str">
        <f aca="false">IF(B1979="","",IFERROR(INDEX(Office_Log!$ED$2:$ED$201,MATCH(IFERROR(INDEX(Clay_Offices!$A$2:$FZ$601,328,Sync!$C$5)&amp;"",""),Office_Log!$A$2:$A$201,0))&amp;"",IFERROR(INDEX(Clay_Offices!$A$2:$FZ$601,328,Sync!$C$5)&amp;"","")&amp;""))</f>
        <v/>
      </c>
      <c r="E1979" s="23" t="str">
        <f aca="false">IF(B1979="","",IFERROR(INDEX(Clay_Offices!$A$2:$FZ$601,328,Sync!$C$6)&amp;"",""))</f>
        <v/>
      </c>
      <c r="F1979" s="23" t="str">
        <f aca="false">IF(B1979="","","outreach_sent")</f>
        <v/>
      </c>
      <c r="G1979" s="23" t="str">
        <f aca="false">IF(B1979="","","")</f>
        <v/>
      </c>
      <c r="H1979" s="23" t="str">
        <f aca="false">IF(B1979="","","")</f>
        <v/>
      </c>
      <c r="I1979" s="23" t="str">
        <f aca="false">IF(B1979="","","")</f>
        <v/>
      </c>
      <c r="J1979" s="23" t="str">
        <f aca="false">IF(B1979="","","touch_1; "&amp;IFERROR(INDEX(Clay_Offices!$A$2:$FZ$601,328,Sync!$C$10)&amp;"","")&amp;"; "&amp;IFERROR(INDEX(Clay_Offices!$A$2:$FZ$601,328,Sync!$C$9)&amp;"",""))</f>
        <v/>
      </c>
      <c r="K1979" s="32" t="s">
        <v>1363</v>
      </c>
    </row>
    <row r="1980" customFormat="false" ht="15" hidden="false" customHeight="false" outlineLevel="0" collapsed="false">
      <c r="A1980" s="23" t="str">
        <f aca="false">IF(B1980="","",B1980+(12*1000+329)/10000000)</f>
        <v/>
      </c>
      <c r="B1980" s="35" t="str">
        <f aca="false">IF(AND(IFERROR(N(INDEX(Clay_Offices!$A$2:$FZ$601,329,Sync!$C$11)),0)&gt;0,IFERROR(INDEX(Clay_Offices!$A$2:$FZ$601,329,Sync!$C$5)&amp;"","")&lt;&gt;"",OR(LEFT(IFERROR(INDEX(Clay_Offices!$A$2:$FZ$601,329,Sync!$C$5)&amp;"",""),6)&lt;&gt;"SAMPLE",Config!$B$19="Y")),IFERROR(N(INDEX(Clay_Offices!$A$2:$FZ$601,329,Sync!$C$11)),0),"")</f>
        <v/>
      </c>
      <c r="C1980" s="23" t="str">
        <f aca="false">IF(B1980="","","office")</f>
        <v/>
      </c>
      <c r="D1980" s="23" t="str">
        <f aca="false">IF(B1980="","",IFERROR(INDEX(Office_Log!$ED$2:$ED$201,MATCH(IFERROR(INDEX(Clay_Offices!$A$2:$FZ$601,329,Sync!$C$5)&amp;"",""),Office_Log!$A$2:$A$201,0))&amp;"",IFERROR(INDEX(Clay_Offices!$A$2:$FZ$601,329,Sync!$C$5)&amp;"","")&amp;""))</f>
        <v/>
      </c>
      <c r="E1980" s="23" t="str">
        <f aca="false">IF(B1980="","",IFERROR(INDEX(Clay_Offices!$A$2:$FZ$601,329,Sync!$C$6)&amp;"",""))</f>
        <v/>
      </c>
      <c r="F1980" s="23" t="str">
        <f aca="false">IF(B1980="","","outreach_sent")</f>
        <v/>
      </c>
      <c r="G1980" s="23" t="str">
        <f aca="false">IF(B1980="","","")</f>
        <v/>
      </c>
      <c r="H1980" s="23" t="str">
        <f aca="false">IF(B1980="","","")</f>
        <v/>
      </c>
      <c r="I1980" s="23" t="str">
        <f aca="false">IF(B1980="","","")</f>
        <v/>
      </c>
      <c r="J1980" s="23" t="str">
        <f aca="false">IF(B1980="","","touch_1; "&amp;IFERROR(INDEX(Clay_Offices!$A$2:$FZ$601,329,Sync!$C$10)&amp;"","")&amp;"; "&amp;IFERROR(INDEX(Clay_Offices!$A$2:$FZ$601,329,Sync!$C$9)&amp;"",""))</f>
        <v/>
      </c>
      <c r="K1980" s="32" t="s">
        <v>1363</v>
      </c>
    </row>
    <row r="1981" customFormat="false" ht="15" hidden="false" customHeight="false" outlineLevel="0" collapsed="false">
      <c r="A1981" s="23" t="str">
        <f aca="false">IF(B1981="","",B1981+(12*1000+330)/10000000)</f>
        <v/>
      </c>
      <c r="B1981" s="35" t="str">
        <f aca="false">IF(AND(IFERROR(N(INDEX(Clay_Offices!$A$2:$FZ$601,330,Sync!$C$11)),0)&gt;0,IFERROR(INDEX(Clay_Offices!$A$2:$FZ$601,330,Sync!$C$5)&amp;"","")&lt;&gt;"",OR(LEFT(IFERROR(INDEX(Clay_Offices!$A$2:$FZ$601,330,Sync!$C$5)&amp;"",""),6)&lt;&gt;"SAMPLE",Config!$B$19="Y")),IFERROR(N(INDEX(Clay_Offices!$A$2:$FZ$601,330,Sync!$C$11)),0),"")</f>
        <v/>
      </c>
      <c r="C1981" s="23" t="str">
        <f aca="false">IF(B1981="","","office")</f>
        <v/>
      </c>
      <c r="D1981" s="23" t="str">
        <f aca="false">IF(B1981="","",IFERROR(INDEX(Office_Log!$ED$2:$ED$201,MATCH(IFERROR(INDEX(Clay_Offices!$A$2:$FZ$601,330,Sync!$C$5)&amp;"",""),Office_Log!$A$2:$A$201,0))&amp;"",IFERROR(INDEX(Clay_Offices!$A$2:$FZ$601,330,Sync!$C$5)&amp;"","")&amp;""))</f>
        <v/>
      </c>
      <c r="E1981" s="23" t="str">
        <f aca="false">IF(B1981="","",IFERROR(INDEX(Clay_Offices!$A$2:$FZ$601,330,Sync!$C$6)&amp;"",""))</f>
        <v/>
      </c>
      <c r="F1981" s="23" t="str">
        <f aca="false">IF(B1981="","","outreach_sent")</f>
        <v/>
      </c>
      <c r="G1981" s="23" t="str">
        <f aca="false">IF(B1981="","","")</f>
        <v/>
      </c>
      <c r="H1981" s="23" t="str">
        <f aca="false">IF(B1981="","","")</f>
        <v/>
      </c>
      <c r="I1981" s="23" t="str">
        <f aca="false">IF(B1981="","","")</f>
        <v/>
      </c>
      <c r="J1981" s="23" t="str">
        <f aca="false">IF(B1981="","","touch_1; "&amp;IFERROR(INDEX(Clay_Offices!$A$2:$FZ$601,330,Sync!$C$10)&amp;"","")&amp;"; "&amp;IFERROR(INDEX(Clay_Offices!$A$2:$FZ$601,330,Sync!$C$9)&amp;"",""))</f>
        <v/>
      </c>
      <c r="K1981" s="32" t="s">
        <v>1363</v>
      </c>
    </row>
    <row r="1982" customFormat="false" ht="15" hidden="false" customHeight="false" outlineLevel="0" collapsed="false">
      <c r="A1982" s="23" t="str">
        <f aca="false">IF(B1982="","",B1982+(12*1000+331)/10000000)</f>
        <v/>
      </c>
      <c r="B1982" s="35" t="str">
        <f aca="false">IF(AND(IFERROR(N(INDEX(Clay_Offices!$A$2:$FZ$601,331,Sync!$C$11)),0)&gt;0,IFERROR(INDEX(Clay_Offices!$A$2:$FZ$601,331,Sync!$C$5)&amp;"","")&lt;&gt;"",OR(LEFT(IFERROR(INDEX(Clay_Offices!$A$2:$FZ$601,331,Sync!$C$5)&amp;"",""),6)&lt;&gt;"SAMPLE",Config!$B$19="Y")),IFERROR(N(INDEX(Clay_Offices!$A$2:$FZ$601,331,Sync!$C$11)),0),"")</f>
        <v/>
      </c>
      <c r="C1982" s="23" t="str">
        <f aca="false">IF(B1982="","","office")</f>
        <v/>
      </c>
      <c r="D1982" s="23" t="str">
        <f aca="false">IF(B1982="","",IFERROR(INDEX(Office_Log!$ED$2:$ED$201,MATCH(IFERROR(INDEX(Clay_Offices!$A$2:$FZ$601,331,Sync!$C$5)&amp;"",""),Office_Log!$A$2:$A$201,0))&amp;"",IFERROR(INDEX(Clay_Offices!$A$2:$FZ$601,331,Sync!$C$5)&amp;"","")&amp;""))</f>
        <v/>
      </c>
      <c r="E1982" s="23" t="str">
        <f aca="false">IF(B1982="","",IFERROR(INDEX(Clay_Offices!$A$2:$FZ$601,331,Sync!$C$6)&amp;"",""))</f>
        <v/>
      </c>
      <c r="F1982" s="23" t="str">
        <f aca="false">IF(B1982="","","outreach_sent")</f>
        <v/>
      </c>
      <c r="G1982" s="23" t="str">
        <f aca="false">IF(B1982="","","")</f>
        <v/>
      </c>
      <c r="H1982" s="23" t="str">
        <f aca="false">IF(B1982="","","")</f>
        <v/>
      </c>
      <c r="I1982" s="23" t="str">
        <f aca="false">IF(B1982="","","")</f>
        <v/>
      </c>
      <c r="J1982" s="23" t="str">
        <f aca="false">IF(B1982="","","touch_1; "&amp;IFERROR(INDEX(Clay_Offices!$A$2:$FZ$601,331,Sync!$C$10)&amp;"","")&amp;"; "&amp;IFERROR(INDEX(Clay_Offices!$A$2:$FZ$601,331,Sync!$C$9)&amp;"",""))</f>
        <v/>
      </c>
      <c r="K1982" s="32" t="s">
        <v>1363</v>
      </c>
    </row>
    <row r="1983" customFormat="false" ht="15" hidden="false" customHeight="false" outlineLevel="0" collapsed="false">
      <c r="A1983" s="23" t="str">
        <f aca="false">IF(B1983="","",B1983+(12*1000+332)/10000000)</f>
        <v/>
      </c>
      <c r="B1983" s="35" t="str">
        <f aca="false">IF(AND(IFERROR(N(INDEX(Clay_Offices!$A$2:$FZ$601,332,Sync!$C$11)),0)&gt;0,IFERROR(INDEX(Clay_Offices!$A$2:$FZ$601,332,Sync!$C$5)&amp;"","")&lt;&gt;"",OR(LEFT(IFERROR(INDEX(Clay_Offices!$A$2:$FZ$601,332,Sync!$C$5)&amp;"",""),6)&lt;&gt;"SAMPLE",Config!$B$19="Y")),IFERROR(N(INDEX(Clay_Offices!$A$2:$FZ$601,332,Sync!$C$11)),0),"")</f>
        <v/>
      </c>
      <c r="C1983" s="23" t="str">
        <f aca="false">IF(B1983="","","office")</f>
        <v/>
      </c>
      <c r="D1983" s="23" t="str">
        <f aca="false">IF(B1983="","",IFERROR(INDEX(Office_Log!$ED$2:$ED$201,MATCH(IFERROR(INDEX(Clay_Offices!$A$2:$FZ$601,332,Sync!$C$5)&amp;"",""),Office_Log!$A$2:$A$201,0))&amp;"",IFERROR(INDEX(Clay_Offices!$A$2:$FZ$601,332,Sync!$C$5)&amp;"","")&amp;""))</f>
        <v/>
      </c>
      <c r="E1983" s="23" t="str">
        <f aca="false">IF(B1983="","",IFERROR(INDEX(Clay_Offices!$A$2:$FZ$601,332,Sync!$C$6)&amp;"",""))</f>
        <v/>
      </c>
      <c r="F1983" s="23" t="str">
        <f aca="false">IF(B1983="","","outreach_sent")</f>
        <v/>
      </c>
      <c r="G1983" s="23" t="str">
        <f aca="false">IF(B1983="","","")</f>
        <v/>
      </c>
      <c r="H1983" s="23" t="str">
        <f aca="false">IF(B1983="","","")</f>
        <v/>
      </c>
      <c r="I1983" s="23" t="str">
        <f aca="false">IF(B1983="","","")</f>
        <v/>
      </c>
      <c r="J1983" s="23" t="str">
        <f aca="false">IF(B1983="","","touch_1; "&amp;IFERROR(INDEX(Clay_Offices!$A$2:$FZ$601,332,Sync!$C$10)&amp;"","")&amp;"; "&amp;IFERROR(INDEX(Clay_Offices!$A$2:$FZ$601,332,Sync!$C$9)&amp;"",""))</f>
        <v/>
      </c>
      <c r="K1983" s="32" t="s">
        <v>1363</v>
      </c>
    </row>
    <row r="1984" customFormat="false" ht="15" hidden="false" customHeight="false" outlineLevel="0" collapsed="false">
      <c r="A1984" s="23" t="str">
        <f aca="false">IF(B1984="","",B1984+(12*1000+333)/10000000)</f>
        <v/>
      </c>
      <c r="B1984" s="35" t="str">
        <f aca="false">IF(AND(IFERROR(N(INDEX(Clay_Offices!$A$2:$FZ$601,333,Sync!$C$11)),0)&gt;0,IFERROR(INDEX(Clay_Offices!$A$2:$FZ$601,333,Sync!$C$5)&amp;"","")&lt;&gt;"",OR(LEFT(IFERROR(INDEX(Clay_Offices!$A$2:$FZ$601,333,Sync!$C$5)&amp;"",""),6)&lt;&gt;"SAMPLE",Config!$B$19="Y")),IFERROR(N(INDEX(Clay_Offices!$A$2:$FZ$601,333,Sync!$C$11)),0),"")</f>
        <v/>
      </c>
      <c r="C1984" s="23" t="str">
        <f aca="false">IF(B1984="","","office")</f>
        <v/>
      </c>
      <c r="D1984" s="23" t="str">
        <f aca="false">IF(B1984="","",IFERROR(INDEX(Office_Log!$ED$2:$ED$201,MATCH(IFERROR(INDEX(Clay_Offices!$A$2:$FZ$601,333,Sync!$C$5)&amp;"",""),Office_Log!$A$2:$A$201,0))&amp;"",IFERROR(INDEX(Clay_Offices!$A$2:$FZ$601,333,Sync!$C$5)&amp;"","")&amp;""))</f>
        <v/>
      </c>
      <c r="E1984" s="23" t="str">
        <f aca="false">IF(B1984="","",IFERROR(INDEX(Clay_Offices!$A$2:$FZ$601,333,Sync!$C$6)&amp;"",""))</f>
        <v/>
      </c>
      <c r="F1984" s="23" t="str">
        <f aca="false">IF(B1984="","","outreach_sent")</f>
        <v/>
      </c>
      <c r="G1984" s="23" t="str">
        <f aca="false">IF(B1984="","","")</f>
        <v/>
      </c>
      <c r="H1984" s="23" t="str">
        <f aca="false">IF(B1984="","","")</f>
        <v/>
      </c>
      <c r="I1984" s="23" t="str">
        <f aca="false">IF(B1984="","","")</f>
        <v/>
      </c>
      <c r="J1984" s="23" t="str">
        <f aca="false">IF(B1984="","","touch_1; "&amp;IFERROR(INDEX(Clay_Offices!$A$2:$FZ$601,333,Sync!$C$10)&amp;"","")&amp;"; "&amp;IFERROR(INDEX(Clay_Offices!$A$2:$FZ$601,333,Sync!$C$9)&amp;"",""))</f>
        <v/>
      </c>
      <c r="K1984" s="32" t="s">
        <v>1363</v>
      </c>
    </row>
    <row r="1985" customFormat="false" ht="15" hidden="false" customHeight="false" outlineLevel="0" collapsed="false">
      <c r="A1985" s="23" t="str">
        <f aca="false">IF(B1985="","",B1985+(12*1000+334)/10000000)</f>
        <v/>
      </c>
      <c r="B1985" s="35" t="str">
        <f aca="false">IF(AND(IFERROR(N(INDEX(Clay_Offices!$A$2:$FZ$601,334,Sync!$C$11)),0)&gt;0,IFERROR(INDEX(Clay_Offices!$A$2:$FZ$601,334,Sync!$C$5)&amp;"","")&lt;&gt;"",OR(LEFT(IFERROR(INDEX(Clay_Offices!$A$2:$FZ$601,334,Sync!$C$5)&amp;"",""),6)&lt;&gt;"SAMPLE",Config!$B$19="Y")),IFERROR(N(INDEX(Clay_Offices!$A$2:$FZ$601,334,Sync!$C$11)),0),"")</f>
        <v/>
      </c>
      <c r="C1985" s="23" t="str">
        <f aca="false">IF(B1985="","","office")</f>
        <v/>
      </c>
      <c r="D1985" s="23" t="str">
        <f aca="false">IF(B1985="","",IFERROR(INDEX(Office_Log!$ED$2:$ED$201,MATCH(IFERROR(INDEX(Clay_Offices!$A$2:$FZ$601,334,Sync!$C$5)&amp;"",""),Office_Log!$A$2:$A$201,0))&amp;"",IFERROR(INDEX(Clay_Offices!$A$2:$FZ$601,334,Sync!$C$5)&amp;"","")&amp;""))</f>
        <v/>
      </c>
      <c r="E1985" s="23" t="str">
        <f aca="false">IF(B1985="","",IFERROR(INDEX(Clay_Offices!$A$2:$FZ$601,334,Sync!$C$6)&amp;"",""))</f>
        <v/>
      </c>
      <c r="F1985" s="23" t="str">
        <f aca="false">IF(B1985="","","outreach_sent")</f>
        <v/>
      </c>
      <c r="G1985" s="23" t="str">
        <f aca="false">IF(B1985="","","")</f>
        <v/>
      </c>
      <c r="H1985" s="23" t="str">
        <f aca="false">IF(B1985="","","")</f>
        <v/>
      </c>
      <c r="I1985" s="23" t="str">
        <f aca="false">IF(B1985="","","")</f>
        <v/>
      </c>
      <c r="J1985" s="23" t="str">
        <f aca="false">IF(B1985="","","touch_1; "&amp;IFERROR(INDEX(Clay_Offices!$A$2:$FZ$601,334,Sync!$C$10)&amp;"","")&amp;"; "&amp;IFERROR(INDEX(Clay_Offices!$A$2:$FZ$601,334,Sync!$C$9)&amp;"",""))</f>
        <v/>
      </c>
      <c r="K1985" s="32" t="s">
        <v>1363</v>
      </c>
    </row>
    <row r="1986" customFormat="false" ht="15" hidden="false" customHeight="false" outlineLevel="0" collapsed="false">
      <c r="A1986" s="23" t="str">
        <f aca="false">IF(B1986="","",B1986+(12*1000+335)/10000000)</f>
        <v/>
      </c>
      <c r="B1986" s="35" t="str">
        <f aca="false">IF(AND(IFERROR(N(INDEX(Clay_Offices!$A$2:$FZ$601,335,Sync!$C$11)),0)&gt;0,IFERROR(INDEX(Clay_Offices!$A$2:$FZ$601,335,Sync!$C$5)&amp;"","")&lt;&gt;"",OR(LEFT(IFERROR(INDEX(Clay_Offices!$A$2:$FZ$601,335,Sync!$C$5)&amp;"",""),6)&lt;&gt;"SAMPLE",Config!$B$19="Y")),IFERROR(N(INDEX(Clay_Offices!$A$2:$FZ$601,335,Sync!$C$11)),0),"")</f>
        <v/>
      </c>
      <c r="C1986" s="23" t="str">
        <f aca="false">IF(B1986="","","office")</f>
        <v/>
      </c>
      <c r="D1986" s="23" t="str">
        <f aca="false">IF(B1986="","",IFERROR(INDEX(Office_Log!$ED$2:$ED$201,MATCH(IFERROR(INDEX(Clay_Offices!$A$2:$FZ$601,335,Sync!$C$5)&amp;"",""),Office_Log!$A$2:$A$201,0))&amp;"",IFERROR(INDEX(Clay_Offices!$A$2:$FZ$601,335,Sync!$C$5)&amp;"","")&amp;""))</f>
        <v/>
      </c>
      <c r="E1986" s="23" t="str">
        <f aca="false">IF(B1986="","",IFERROR(INDEX(Clay_Offices!$A$2:$FZ$601,335,Sync!$C$6)&amp;"",""))</f>
        <v/>
      </c>
      <c r="F1986" s="23" t="str">
        <f aca="false">IF(B1986="","","outreach_sent")</f>
        <v/>
      </c>
      <c r="G1986" s="23" t="str">
        <f aca="false">IF(B1986="","","")</f>
        <v/>
      </c>
      <c r="H1986" s="23" t="str">
        <f aca="false">IF(B1986="","","")</f>
        <v/>
      </c>
      <c r="I1986" s="23" t="str">
        <f aca="false">IF(B1986="","","")</f>
        <v/>
      </c>
      <c r="J1986" s="23" t="str">
        <f aca="false">IF(B1986="","","touch_1; "&amp;IFERROR(INDEX(Clay_Offices!$A$2:$FZ$601,335,Sync!$C$10)&amp;"","")&amp;"; "&amp;IFERROR(INDEX(Clay_Offices!$A$2:$FZ$601,335,Sync!$C$9)&amp;"",""))</f>
        <v/>
      </c>
      <c r="K1986" s="32" t="s">
        <v>1363</v>
      </c>
    </row>
    <row r="1987" customFormat="false" ht="15" hidden="false" customHeight="false" outlineLevel="0" collapsed="false">
      <c r="A1987" s="23" t="str">
        <f aca="false">IF(B1987="","",B1987+(12*1000+336)/10000000)</f>
        <v/>
      </c>
      <c r="B1987" s="35" t="str">
        <f aca="false">IF(AND(IFERROR(N(INDEX(Clay_Offices!$A$2:$FZ$601,336,Sync!$C$11)),0)&gt;0,IFERROR(INDEX(Clay_Offices!$A$2:$FZ$601,336,Sync!$C$5)&amp;"","")&lt;&gt;"",OR(LEFT(IFERROR(INDEX(Clay_Offices!$A$2:$FZ$601,336,Sync!$C$5)&amp;"",""),6)&lt;&gt;"SAMPLE",Config!$B$19="Y")),IFERROR(N(INDEX(Clay_Offices!$A$2:$FZ$601,336,Sync!$C$11)),0),"")</f>
        <v/>
      </c>
      <c r="C1987" s="23" t="str">
        <f aca="false">IF(B1987="","","office")</f>
        <v/>
      </c>
      <c r="D1987" s="23" t="str">
        <f aca="false">IF(B1987="","",IFERROR(INDEX(Office_Log!$ED$2:$ED$201,MATCH(IFERROR(INDEX(Clay_Offices!$A$2:$FZ$601,336,Sync!$C$5)&amp;"",""),Office_Log!$A$2:$A$201,0))&amp;"",IFERROR(INDEX(Clay_Offices!$A$2:$FZ$601,336,Sync!$C$5)&amp;"","")&amp;""))</f>
        <v/>
      </c>
      <c r="E1987" s="23" t="str">
        <f aca="false">IF(B1987="","",IFERROR(INDEX(Clay_Offices!$A$2:$FZ$601,336,Sync!$C$6)&amp;"",""))</f>
        <v/>
      </c>
      <c r="F1987" s="23" t="str">
        <f aca="false">IF(B1987="","","outreach_sent")</f>
        <v/>
      </c>
      <c r="G1987" s="23" t="str">
        <f aca="false">IF(B1987="","","")</f>
        <v/>
      </c>
      <c r="H1987" s="23" t="str">
        <f aca="false">IF(B1987="","","")</f>
        <v/>
      </c>
      <c r="I1987" s="23" t="str">
        <f aca="false">IF(B1987="","","")</f>
        <v/>
      </c>
      <c r="J1987" s="23" t="str">
        <f aca="false">IF(B1987="","","touch_1; "&amp;IFERROR(INDEX(Clay_Offices!$A$2:$FZ$601,336,Sync!$C$10)&amp;"","")&amp;"; "&amp;IFERROR(INDEX(Clay_Offices!$A$2:$FZ$601,336,Sync!$C$9)&amp;"",""))</f>
        <v/>
      </c>
      <c r="K1987" s="32" t="s">
        <v>1363</v>
      </c>
    </row>
    <row r="1988" customFormat="false" ht="15" hidden="false" customHeight="false" outlineLevel="0" collapsed="false">
      <c r="A1988" s="23" t="str">
        <f aca="false">IF(B1988="","",B1988+(12*1000+337)/10000000)</f>
        <v/>
      </c>
      <c r="B1988" s="35" t="str">
        <f aca="false">IF(AND(IFERROR(N(INDEX(Clay_Offices!$A$2:$FZ$601,337,Sync!$C$11)),0)&gt;0,IFERROR(INDEX(Clay_Offices!$A$2:$FZ$601,337,Sync!$C$5)&amp;"","")&lt;&gt;"",OR(LEFT(IFERROR(INDEX(Clay_Offices!$A$2:$FZ$601,337,Sync!$C$5)&amp;"",""),6)&lt;&gt;"SAMPLE",Config!$B$19="Y")),IFERROR(N(INDEX(Clay_Offices!$A$2:$FZ$601,337,Sync!$C$11)),0),"")</f>
        <v/>
      </c>
      <c r="C1988" s="23" t="str">
        <f aca="false">IF(B1988="","","office")</f>
        <v/>
      </c>
      <c r="D1988" s="23" t="str">
        <f aca="false">IF(B1988="","",IFERROR(INDEX(Office_Log!$ED$2:$ED$201,MATCH(IFERROR(INDEX(Clay_Offices!$A$2:$FZ$601,337,Sync!$C$5)&amp;"",""),Office_Log!$A$2:$A$201,0))&amp;"",IFERROR(INDEX(Clay_Offices!$A$2:$FZ$601,337,Sync!$C$5)&amp;"","")&amp;""))</f>
        <v/>
      </c>
      <c r="E1988" s="23" t="str">
        <f aca="false">IF(B1988="","",IFERROR(INDEX(Clay_Offices!$A$2:$FZ$601,337,Sync!$C$6)&amp;"",""))</f>
        <v/>
      </c>
      <c r="F1988" s="23" t="str">
        <f aca="false">IF(B1988="","","outreach_sent")</f>
        <v/>
      </c>
      <c r="G1988" s="23" t="str">
        <f aca="false">IF(B1988="","","")</f>
        <v/>
      </c>
      <c r="H1988" s="23" t="str">
        <f aca="false">IF(B1988="","","")</f>
        <v/>
      </c>
      <c r="I1988" s="23" t="str">
        <f aca="false">IF(B1988="","","")</f>
        <v/>
      </c>
      <c r="J1988" s="23" t="str">
        <f aca="false">IF(B1988="","","touch_1; "&amp;IFERROR(INDEX(Clay_Offices!$A$2:$FZ$601,337,Sync!$C$10)&amp;"","")&amp;"; "&amp;IFERROR(INDEX(Clay_Offices!$A$2:$FZ$601,337,Sync!$C$9)&amp;"",""))</f>
        <v/>
      </c>
      <c r="K1988" s="32" t="s">
        <v>1363</v>
      </c>
    </row>
    <row r="1989" customFormat="false" ht="15" hidden="false" customHeight="false" outlineLevel="0" collapsed="false">
      <c r="A1989" s="23" t="str">
        <f aca="false">IF(B1989="","",B1989+(12*1000+338)/10000000)</f>
        <v/>
      </c>
      <c r="B1989" s="35" t="str">
        <f aca="false">IF(AND(IFERROR(N(INDEX(Clay_Offices!$A$2:$FZ$601,338,Sync!$C$11)),0)&gt;0,IFERROR(INDEX(Clay_Offices!$A$2:$FZ$601,338,Sync!$C$5)&amp;"","")&lt;&gt;"",OR(LEFT(IFERROR(INDEX(Clay_Offices!$A$2:$FZ$601,338,Sync!$C$5)&amp;"",""),6)&lt;&gt;"SAMPLE",Config!$B$19="Y")),IFERROR(N(INDEX(Clay_Offices!$A$2:$FZ$601,338,Sync!$C$11)),0),"")</f>
        <v/>
      </c>
      <c r="C1989" s="23" t="str">
        <f aca="false">IF(B1989="","","office")</f>
        <v/>
      </c>
      <c r="D1989" s="23" t="str">
        <f aca="false">IF(B1989="","",IFERROR(INDEX(Office_Log!$ED$2:$ED$201,MATCH(IFERROR(INDEX(Clay_Offices!$A$2:$FZ$601,338,Sync!$C$5)&amp;"",""),Office_Log!$A$2:$A$201,0))&amp;"",IFERROR(INDEX(Clay_Offices!$A$2:$FZ$601,338,Sync!$C$5)&amp;"","")&amp;""))</f>
        <v/>
      </c>
      <c r="E1989" s="23" t="str">
        <f aca="false">IF(B1989="","",IFERROR(INDEX(Clay_Offices!$A$2:$FZ$601,338,Sync!$C$6)&amp;"",""))</f>
        <v/>
      </c>
      <c r="F1989" s="23" t="str">
        <f aca="false">IF(B1989="","","outreach_sent")</f>
        <v/>
      </c>
      <c r="G1989" s="23" t="str">
        <f aca="false">IF(B1989="","","")</f>
        <v/>
      </c>
      <c r="H1989" s="23" t="str">
        <f aca="false">IF(B1989="","","")</f>
        <v/>
      </c>
      <c r="I1989" s="23" t="str">
        <f aca="false">IF(B1989="","","")</f>
        <v/>
      </c>
      <c r="J1989" s="23" t="str">
        <f aca="false">IF(B1989="","","touch_1; "&amp;IFERROR(INDEX(Clay_Offices!$A$2:$FZ$601,338,Sync!$C$10)&amp;"","")&amp;"; "&amp;IFERROR(INDEX(Clay_Offices!$A$2:$FZ$601,338,Sync!$C$9)&amp;"",""))</f>
        <v/>
      </c>
      <c r="K1989" s="32" t="s">
        <v>1363</v>
      </c>
    </row>
    <row r="1990" customFormat="false" ht="15" hidden="false" customHeight="false" outlineLevel="0" collapsed="false">
      <c r="A1990" s="23" t="str">
        <f aca="false">IF(B1990="","",B1990+(12*1000+339)/10000000)</f>
        <v/>
      </c>
      <c r="B1990" s="35" t="str">
        <f aca="false">IF(AND(IFERROR(N(INDEX(Clay_Offices!$A$2:$FZ$601,339,Sync!$C$11)),0)&gt;0,IFERROR(INDEX(Clay_Offices!$A$2:$FZ$601,339,Sync!$C$5)&amp;"","")&lt;&gt;"",OR(LEFT(IFERROR(INDEX(Clay_Offices!$A$2:$FZ$601,339,Sync!$C$5)&amp;"",""),6)&lt;&gt;"SAMPLE",Config!$B$19="Y")),IFERROR(N(INDEX(Clay_Offices!$A$2:$FZ$601,339,Sync!$C$11)),0),"")</f>
        <v/>
      </c>
      <c r="C1990" s="23" t="str">
        <f aca="false">IF(B1990="","","office")</f>
        <v/>
      </c>
      <c r="D1990" s="23" t="str">
        <f aca="false">IF(B1990="","",IFERROR(INDEX(Office_Log!$ED$2:$ED$201,MATCH(IFERROR(INDEX(Clay_Offices!$A$2:$FZ$601,339,Sync!$C$5)&amp;"",""),Office_Log!$A$2:$A$201,0))&amp;"",IFERROR(INDEX(Clay_Offices!$A$2:$FZ$601,339,Sync!$C$5)&amp;"","")&amp;""))</f>
        <v/>
      </c>
      <c r="E1990" s="23" t="str">
        <f aca="false">IF(B1990="","",IFERROR(INDEX(Clay_Offices!$A$2:$FZ$601,339,Sync!$C$6)&amp;"",""))</f>
        <v/>
      </c>
      <c r="F1990" s="23" t="str">
        <f aca="false">IF(B1990="","","outreach_sent")</f>
        <v/>
      </c>
      <c r="G1990" s="23" t="str">
        <f aca="false">IF(B1990="","","")</f>
        <v/>
      </c>
      <c r="H1990" s="23" t="str">
        <f aca="false">IF(B1990="","","")</f>
        <v/>
      </c>
      <c r="I1990" s="23" t="str">
        <f aca="false">IF(B1990="","","")</f>
        <v/>
      </c>
      <c r="J1990" s="23" t="str">
        <f aca="false">IF(B1990="","","touch_1; "&amp;IFERROR(INDEX(Clay_Offices!$A$2:$FZ$601,339,Sync!$C$10)&amp;"","")&amp;"; "&amp;IFERROR(INDEX(Clay_Offices!$A$2:$FZ$601,339,Sync!$C$9)&amp;"",""))</f>
        <v/>
      </c>
      <c r="K1990" s="32" t="s">
        <v>1363</v>
      </c>
    </row>
    <row r="1991" customFormat="false" ht="15" hidden="false" customHeight="false" outlineLevel="0" collapsed="false">
      <c r="A1991" s="23" t="str">
        <f aca="false">IF(B1991="","",B1991+(12*1000+340)/10000000)</f>
        <v/>
      </c>
      <c r="B1991" s="35" t="str">
        <f aca="false">IF(AND(IFERROR(N(INDEX(Clay_Offices!$A$2:$FZ$601,340,Sync!$C$11)),0)&gt;0,IFERROR(INDEX(Clay_Offices!$A$2:$FZ$601,340,Sync!$C$5)&amp;"","")&lt;&gt;"",OR(LEFT(IFERROR(INDEX(Clay_Offices!$A$2:$FZ$601,340,Sync!$C$5)&amp;"",""),6)&lt;&gt;"SAMPLE",Config!$B$19="Y")),IFERROR(N(INDEX(Clay_Offices!$A$2:$FZ$601,340,Sync!$C$11)),0),"")</f>
        <v/>
      </c>
      <c r="C1991" s="23" t="str">
        <f aca="false">IF(B1991="","","office")</f>
        <v/>
      </c>
      <c r="D1991" s="23" t="str">
        <f aca="false">IF(B1991="","",IFERROR(INDEX(Office_Log!$ED$2:$ED$201,MATCH(IFERROR(INDEX(Clay_Offices!$A$2:$FZ$601,340,Sync!$C$5)&amp;"",""),Office_Log!$A$2:$A$201,0))&amp;"",IFERROR(INDEX(Clay_Offices!$A$2:$FZ$601,340,Sync!$C$5)&amp;"","")&amp;""))</f>
        <v/>
      </c>
      <c r="E1991" s="23" t="str">
        <f aca="false">IF(B1991="","",IFERROR(INDEX(Clay_Offices!$A$2:$FZ$601,340,Sync!$C$6)&amp;"",""))</f>
        <v/>
      </c>
      <c r="F1991" s="23" t="str">
        <f aca="false">IF(B1991="","","outreach_sent")</f>
        <v/>
      </c>
      <c r="G1991" s="23" t="str">
        <f aca="false">IF(B1991="","","")</f>
        <v/>
      </c>
      <c r="H1991" s="23" t="str">
        <f aca="false">IF(B1991="","","")</f>
        <v/>
      </c>
      <c r="I1991" s="23" t="str">
        <f aca="false">IF(B1991="","","")</f>
        <v/>
      </c>
      <c r="J1991" s="23" t="str">
        <f aca="false">IF(B1991="","","touch_1; "&amp;IFERROR(INDEX(Clay_Offices!$A$2:$FZ$601,340,Sync!$C$10)&amp;"","")&amp;"; "&amp;IFERROR(INDEX(Clay_Offices!$A$2:$FZ$601,340,Sync!$C$9)&amp;"",""))</f>
        <v/>
      </c>
      <c r="K1991" s="32" t="s">
        <v>1363</v>
      </c>
    </row>
    <row r="1992" customFormat="false" ht="15" hidden="false" customHeight="false" outlineLevel="0" collapsed="false">
      <c r="A1992" s="23" t="str">
        <f aca="false">IF(B1992="","",B1992+(12*1000+341)/10000000)</f>
        <v/>
      </c>
      <c r="B1992" s="35" t="str">
        <f aca="false">IF(AND(IFERROR(N(INDEX(Clay_Offices!$A$2:$FZ$601,341,Sync!$C$11)),0)&gt;0,IFERROR(INDEX(Clay_Offices!$A$2:$FZ$601,341,Sync!$C$5)&amp;"","")&lt;&gt;"",OR(LEFT(IFERROR(INDEX(Clay_Offices!$A$2:$FZ$601,341,Sync!$C$5)&amp;"",""),6)&lt;&gt;"SAMPLE",Config!$B$19="Y")),IFERROR(N(INDEX(Clay_Offices!$A$2:$FZ$601,341,Sync!$C$11)),0),"")</f>
        <v/>
      </c>
      <c r="C1992" s="23" t="str">
        <f aca="false">IF(B1992="","","office")</f>
        <v/>
      </c>
      <c r="D1992" s="23" t="str">
        <f aca="false">IF(B1992="","",IFERROR(INDEX(Office_Log!$ED$2:$ED$201,MATCH(IFERROR(INDEX(Clay_Offices!$A$2:$FZ$601,341,Sync!$C$5)&amp;"",""),Office_Log!$A$2:$A$201,0))&amp;"",IFERROR(INDEX(Clay_Offices!$A$2:$FZ$601,341,Sync!$C$5)&amp;"","")&amp;""))</f>
        <v/>
      </c>
      <c r="E1992" s="23" t="str">
        <f aca="false">IF(B1992="","",IFERROR(INDEX(Clay_Offices!$A$2:$FZ$601,341,Sync!$C$6)&amp;"",""))</f>
        <v/>
      </c>
      <c r="F1992" s="23" t="str">
        <f aca="false">IF(B1992="","","outreach_sent")</f>
        <v/>
      </c>
      <c r="G1992" s="23" t="str">
        <f aca="false">IF(B1992="","","")</f>
        <v/>
      </c>
      <c r="H1992" s="23" t="str">
        <f aca="false">IF(B1992="","","")</f>
        <v/>
      </c>
      <c r="I1992" s="23" t="str">
        <f aca="false">IF(B1992="","","")</f>
        <v/>
      </c>
      <c r="J1992" s="23" t="str">
        <f aca="false">IF(B1992="","","touch_1; "&amp;IFERROR(INDEX(Clay_Offices!$A$2:$FZ$601,341,Sync!$C$10)&amp;"","")&amp;"; "&amp;IFERROR(INDEX(Clay_Offices!$A$2:$FZ$601,341,Sync!$C$9)&amp;"",""))</f>
        <v/>
      </c>
      <c r="K1992" s="32" t="s">
        <v>1363</v>
      </c>
    </row>
    <row r="1993" customFormat="false" ht="15" hidden="false" customHeight="false" outlineLevel="0" collapsed="false">
      <c r="A1993" s="23" t="str">
        <f aca="false">IF(B1993="","",B1993+(12*1000+342)/10000000)</f>
        <v/>
      </c>
      <c r="B1993" s="35" t="str">
        <f aca="false">IF(AND(IFERROR(N(INDEX(Clay_Offices!$A$2:$FZ$601,342,Sync!$C$11)),0)&gt;0,IFERROR(INDEX(Clay_Offices!$A$2:$FZ$601,342,Sync!$C$5)&amp;"","")&lt;&gt;"",OR(LEFT(IFERROR(INDEX(Clay_Offices!$A$2:$FZ$601,342,Sync!$C$5)&amp;"",""),6)&lt;&gt;"SAMPLE",Config!$B$19="Y")),IFERROR(N(INDEX(Clay_Offices!$A$2:$FZ$601,342,Sync!$C$11)),0),"")</f>
        <v/>
      </c>
      <c r="C1993" s="23" t="str">
        <f aca="false">IF(B1993="","","office")</f>
        <v/>
      </c>
      <c r="D1993" s="23" t="str">
        <f aca="false">IF(B1993="","",IFERROR(INDEX(Office_Log!$ED$2:$ED$201,MATCH(IFERROR(INDEX(Clay_Offices!$A$2:$FZ$601,342,Sync!$C$5)&amp;"",""),Office_Log!$A$2:$A$201,0))&amp;"",IFERROR(INDEX(Clay_Offices!$A$2:$FZ$601,342,Sync!$C$5)&amp;"","")&amp;""))</f>
        <v/>
      </c>
      <c r="E1993" s="23" t="str">
        <f aca="false">IF(B1993="","",IFERROR(INDEX(Clay_Offices!$A$2:$FZ$601,342,Sync!$C$6)&amp;"",""))</f>
        <v/>
      </c>
      <c r="F1993" s="23" t="str">
        <f aca="false">IF(B1993="","","outreach_sent")</f>
        <v/>
      </c>
      <c r="G1993" s="23" t="str">
        <f aca="false">IF(B1993="","","")</f>
        <v/>
      </c>
      <c r="H1993" s="23" t="str">
        <f aca="false">IF(B1993="","","")</f>
        <v/>
      </c>
      <c r="I1993" s="23" t="str">
        <f aca="false">IF(B1993="","","")</f>
        <v/>
      </c>
      <c r="J1993" s="23" t="str">
        <f aca="false">IF(B1993="","","touch_1; "&amp;IFERROR(INDEX(Clay_Offices!$A$2:$FZ$601,342,Sync!$C$10)&amp;"","")&amp;"; "&amp;IFERROR(INDEX(Clay_Offices!$A$2:$FZ$601,342,Sync!$C$9)&amp;"",""))</f>
        <v/>
      </c>
      <c r="K1993" s="32" t="s">
        <v>1363</v>
      </c>
    </row>
    <row r="1994" customFormat="false" ht="15" hidden="false" customHeight="false" outlineLevel="0" collapsed="false">
      <c r="A1994" s="23" t="str">
        <f aca="false">IF(B1994="","",B1994+(12*1000+343)/10000000)</f>
        <v/>
      </c>
      <c r="B1994" s="35" t="str">
        <f aca="false">IF(AND(IFERROR(N(INDEX(Clay_Offices!$A$2:$FZ$601,343,Sync!$C$11)),0)&gt;0,IFERROR(INDEX(Clay_Offices!$A$2:$FZ$601,343,Sync!$C$5)&amp;"","")&lt;&gt;"",OR(LEFT(IFERROR(INDEX(Clay_Offices!$A$2:$FZ$601,343,Sync!$C$5)&amp;"",""),6)&lt;&gt;"SAMPLE",Config!$B$19="Y")),IFERROR(N(INDEX(Clay_Offices!$A$2:$FZ$601,343,Sync!$C$11)),0),"")</f>
        <v/>
      </c>
      <c r="C1994" s="23" t="str">
        <f aca="false">IF(B1994="","","office")</f>
        <v/>
      </c>
      <c r="D1994" s="23" t="str">
        <f aca="false">IF(B1994="","",IFERROR(INDEX(Office_Log!$ED$2:$ED$201,MATCH(IFERROR(INDEX(Clay_Offices!$A$2:$FZ$601,343,Sync!$C$5)&amp;"",""),Office_Log!$A$2:$A$201,0))&amp;"",IFERROR(INDEX(Clay_Offices!$A$2:$FZ$601,343,Sync!$C$5)&amp;"","")&amp;""))</f>
        <v/>
      </c>
      <c r="E1994" s="23" t="str">
        <f aca="false">IF(B1994="","",IFERROR(INDEX(Clay_Offices!$A$2:$FZ$601,343,Sync!$C$6)&amp;"",""))</f>
        <v/>
      </c>
      <c r="F1994" s="23" t="str">
        <f aca="false">IF(B1994="","","outreach_sent")</f>
        <v/>
      </c>
      <c r="G1994" s="23" t="str">
        <f aca="false">IF(B1994="","","")</f>
        <v/>
      </c>
      <c r="H1994" s="23" t="str">
        <f aca="false">IF(B1994="","","")</f>
        <v/>
      </c>
      <c r="I1994" s="23" t="str">
        <f aca="false">IF(B1994="","","")</f>
        <v/>
      </c>
      <c r="J1994" s="23" t="str">
        <f aca="false">IF(B1994="","","touch_1; "&amp;IFERROR(INDEX(Clay_Offices!$A$2:$FZ$601,343,Sync!$C$10)&amp;"","")&amp;"; "&amp;IFERROR(INDEX(Clay_Offices!$A$2:$FZ$601,343,Sync!$C$9)&amp;"",""))</f>
        <v/>
      </c>
      <c r="K1994" s="32" t="s">
        <v>1363</v>
      </c>
    </row>
    <row r="1995" customFormat="false" ht="15" hidden="false" customHeight="false" outlineLevel="0" collapsed="false">
      <c r="A1995" s="23" t="str">
        <f aca="false">IF(B1995="","",B1995+(12*1000+344)/10000000)</f>
        <v/>
      </c>
      <c r="B1995" s="35" t="str">
        <f aca="false">IF(AND(IFERROR(N(INDEX(Clay_Offices!$A$2:$FZ$601,344,Sync!$C$11)),0)&gt;0,IFERROR(INDEX(Clay_Offices!$A$2:$FZ$601,344,Sync!$C$5)&amp;"","")&lt;&gt;"",OR(LEFT(IFERROR(INDEX(Clay_Offices!$A$2:$FZ$601,344,Sync!$C$5)&amp;"",""),6)&lt;&gt;"SAMPLE",Config!$B$19="Y")),IFERROR(N(INDEX(Clay_Offices!$A$2:$FZ$601,344,Sync!$C$11)),0),"")</f>
        <v/>
      </c>
      <c r="C1995" s="23" t="str">
        <f aca="false">IF(B1995="","","office")</f>
        <v/>
      </c>
      <c r="D1995" s="23" t="str">
        <f aca="false">IF(B1995="","",IFERROR(INDEX(Office_Log!$ED$2:$ED$201,MATCH(IFERROR(INDEX(Clay_Offices!$A$2:$FZ$601,344,Sync!$C$5)&amp;"",""),Office_Log!$A$2:$A$201,0))&amp;"",IFERROR(INDEX(Clay_Offices!$A$2:$FZ$601,344,Sync!$C$5)&amp;"","")&amp;""))</f>
        <v/>
      </c>
      <c r="E1995" s="23" t="str">
        <f aca="false">IF(B1995="","",IFERROR(INDEX(Clay_Offices!$A$2:$FZ$601,344,Sync!$C$6)&amp;"",""))</f>
        <v/>
      </c>
      <c r="F1995" s="23" t="str">
        <f aca="false">IF(B1995="","","outreach_sent")</f>
        <v/>
      </c>
      <c r="G1995" s="23" t="str">
        <f aca="false">IF(B1995="","","")</f>
        <v/>
      </c>
      <c r="H1995" s="23" t="str">
        <f aca="false">IF(B1995="","","")</f>
        <v/>
      </c>
      <c r="I1995" s="23" t="str">
        <f aca="false">IF(B1995="","","")</f>
        <v/>
      </c>
      <c r="J1995" s="23" t="str">
        <f aca="false">IF(B1995="","","touch_1; "&amp;IFERROR(INDEX(Clay_Offices!$A$2:$FZ$601,344,Sync!$C$10)&amp;"","")&amp;"; "&amp;IFERROR(INDEX(Clay_Offices!$A$2:$FZ$601,344,Sync!$C$9)&amp;"",""))</f>
        <v/>
      </c>
      <c r="K1995" s="32" t="s">
        <v>1363</v>
      </c>
    </row>
    <row r="1996" customFormat="false" ht="15" hidden="false" customHeight="false" outlineLevel="0" collapsed="false">
      <c r="A1996" s="23" t="str">
        <f aca="false">IF(B1996="","",B1996+(12*1000+345)/10000000)</f>
        <v/>
      </c>
      <c r="B1996" s="35" t="str">
        <f aca="false">IF(AND(IFERROR(N(INDEX(Clay_Offices!$A$2:$FZ$601,345,Sync!$C$11)),0)&gt;0,IFERROR(INDEX(Clay_Offices!$A$2:$FZ$601,345,Sync!$C$5)&amp;"","")&lt;&gt;"",OR(LEFT(IFERROR(INDEX(Clay_Offices!$A$2:$FZ$601,345,Sync!$C$5)&amp;"",""),6)&lt;&gt;"SAMPLE",Config!$B$19="Y")),IFERROR(N(INDEX(Clay_Offices!$A$2:$FZ$601,345,Sync!$C$11)),0),"")</f>
        <v/>
      </c>
      <c r="C1996" s="23" t="str">
        <f aca="false">IF(B1996="","","office")</f>
        <v/>
      </c>
      <c r="D1996" s="23" t="str">
        <f aca="false">IF(B1996="","",IFERROR(INDEX(Office_Log!$ED$2:$ED$201,MATCH(IFERROR(INDEX(Clay_Offices!$A$2:$FZ$601,345,Sync!$C$5)&amp;"",""),Office_Log!$A$2:$A$201,0))&amp;"",IFERROR(INDEX(Clay_Offices!$A$2:$FZ$601,345,Sync!$C$5)&amp;"","")&amp;""))</f>
        <v/>
      </c>
      <c r="E1996" s="23" t="str">
        <f aca="false">IF(B1996="","",IFERROR(INDEX(Clay_Offices!$A$2:$FZ$601,345,Sync!$C$6)&amp;"",""))</f>
        <v/>
      </c>
      <c r="F1996" s="23" t="str">
        <f aca="false">IF(B1996="","","outreach_sent")</f>
        <v/>
      </c>
      <c r="G1996" s="23" t="str">
        <f aca="false">IF(B1996="","","")</f>
        <v/>
      </c>
      <c r="H1996" s="23" t="str">
        <f aca="false">IF(B1996="","","")</f>
        <v/>
      </c>
      <c r="I1996" s="23" t="str">
        <f aca="false">IF(B1996="","","")</f>
        <v/>
      </c>
      <c r="J1996" s="23" t="str">
        <f aca="false">IF(B1996="","","touch_1; "&amp;IFERROR(INDEX(Clay_Offices!$A$2:$FZ$601,345,Sync!$C$10)&amp;"","")&amp;"; "&amp;IFERROR(INDEX(Clay_Offices!$A$2:$FZ$601,345,Sync!$C$9)&amp;"",""))</f>
        <v/>
      </c>
      <c r="K1996" s="32" t="s">
        <v>1363</v>
      </c>
    </row>
    <row r="1997" customFormat="false" ht="15" hidden="false" customHeight="false" outlineLevel="0" collapsed="false">
      <c r="A1997" s="23" t="str">
        <f aca="false">IF(B1997="","",B1997+(12*1000+346)/10000000)</f>
        <v/>
      </c>
      <c r="B1997" s="35" t="str">
        <f aca="false">IF(AND(IFERROR(N(INDEX(Clay_Offices!$A$2:$FZ$601,346,Sync!$C$11)),0)&gt;0,IFERROR(INDEX(Clay_Offices!$A$2:$FZ$601,346,Sync!$C$5)&amp;"","")&lt;&gt;"",OR(LEFT(IFERROR(INDEX(Clay_Offices!$A$2:$FZ$601,346,Sync!$C$5)&amp;"",""),6)&lt;&gt;"SAMPLE",Config!$B$19="Y")),IFERROR(N(INDEX(Clay_Offices!$A$2:$FZ$601,346,Sync!$C$11)),0),"")</f>
        <v/>
      </c>
      <c r="C1997" s="23" t="str">
        <f aca="false">IF(B1997="","","office")</f>
        <v/>
      </c>
      <c r="D1997" s="23" t="str">
        <f aca="false">IF(B1997="","",IFERROR(INDEX(Office_Log!$ED$2:$ED$201,MATCH(IFERROR(INDEX(Clay_Offices!$A$2:$FZ$601,346,Sync!$C$5)&amp;"",""),Office_Log!$A$2:$A$201,0))&amp;"",IFERROR(INDEX(Clay_Offices!$A$2:$FZ$601,346,Sync!$C$5)&amp;"","")&amp;""))</f>
        <v/>
      </c>
      <c r="E1997" s="23" t="str">
        <f aca="false">IF(B1997="","",IFERROR(INDEX(Clay_Offices!$A$2:$FZ$601,346,Sync!$C$6)&amp;"",""))</f>
        <v/>
      </c>
      <c r="F1997" s="23" t="str">
        <f aca="false">IF(B1997="","","outreach_sent")</f>
        <v/>
      </c>
      <c r="G1997" s="23" t="str">
        <f aca="false">IF(B1997="","","")</f>
        <v/>
      </c>
      <c r="H1997" s="23" t="str">
        <f aca="false">IF(B1997="","","")</f>
        <v/>
      </c>
      <c r="I1997" s="23" t="str">
        <f aca="false">IF(B1997="","","")</f>
        <v/>
      </c>
      <c r="J1997" s="23" t="str">
        <f aca="false">IF(B1997="","","touch_1; "&amp;IFERROR(INDEX(Clay_Offices!$A$2:$FZ$601,346,Sync!$C$10)&amp;"","")&amp;"; "&amp;IFERROR(INDEX(Clay_Offices!$A$2:$FZ$601,346,Sync!$C$9)&amp;"",""))</f>
        <v/>
      </c>
      <c r="K1997" s="32" t="s">
        <v>1363</v>
      </c>
    </row>
    <row r="1998" customFormat="false" ht="15" hidden="false" customHeight="false" outlineLevel="0" collapsed="false">
      <c r="A1998" s="23" t="str">
        <f aca="false">IF(B1998="","",B1998+(12*1000+347)/10000000)</f>
        <v/>
      </c>
      <c r="B1998" s="35" t="str">
        <f aca="false">IF(AND(IFERROR(N(INDEX(Clay_Offices!$A$2:$FZ$601,347,Sync!$C$11)),0)&gt;0,IFERROR(INDEX(Clay_Offices!$A$2:$FZ$601,347,Sync!$C$5)&amp;"","")&lt;&gt;"",OR(LEFT(IFERROR(INDEX(Clay_Offices!$A$2:$FZ$601,347,Sync!$C$5)&amp;"",""),6)&lt;&gt;"SAMPLE",Config!$B$19="Y")),IFERROR(N(INDEX(Clay_Offices!$A$2:$FZ$601,347,Sync!$C$11)),0),"")</f>
        <v/>
      </c>
      <c r="C1998" s="23" t="str">
        <f aca="false">IF(B1998="","","office")</f>
        <v/>
      </c>
      <c r="D1998" s="23" t="str">
        <f aca="false">IF(B1998="","",IFERROR(INDEX(Office_Log!$ED$2:$ED$201,MATCH(IFERROR(INDEX(Clay_Offices!$A$2:$FZ$601,347,Sync!$C$5)&amp;"",""),Office_Log!$A$2:$A$201,0))&amp;"",IFERROR(INDEX(Clay_Offices!$A$2:$FZ$601,347,Sync!$C$5)&amp;"","")&amp;""))</f>
        <v/>
      </c>
      <c r="E1998" s="23" t="str">
        <f aca="false">IF(B1998="","",IFERROR(INDEX(Clay_Offices!$A$2:$FZ$601,347,Sync!$C$6)&amp;"",""))</f>
        <v/>
      </c>
      <c r="F1998" s="23" t="str">
        <f aca="false">IF(B1998="","","outreach_sent")</f>
        <v/>
      </c>
      <c r="G1998" s="23" t="str">
        <f aca="false">IF(B1998="","","")</f>
        <v/>
      </c>
      <c r="H1998" s="23" t="str">
        <f aca="false">IF(B1998="","","")</f>
        <v/>
      </c>
      <c r="I1998" s="23" t="str">
        <f aca="false">IF(B1998="","","")</f>
        <v/>
      </c>
      <c r="J1998" s="23" t="str">
        <f aca="false">IF(B1998="","","touch_1; "&amp;IFERROR(INDEX(Clay_Offices!$A$2:$FZ$601,347,Sync!$C$10)&amp;"","")&amp;"; "&amp;IFERROR(INDEX(Clay_Offices!$A$2:$FZ$601,347,Sync!$C$9)&amp;"",""))</f>
        <v/>
      </c>
      <c r="K1998" s="32" t="s">
        <v>1363</v>
      </c>
    </row>
    <row r="1999" customFormat="false" ht="15" hidden="false" customHeight="false" outlineLevel="0" collapsed="false">
      <c r="A1999" s="23" t="str">
        <f aca="false">IF(B1999="","",B1999+(12*1000+348)/10000000)</f>
        <v/>
      </c>
      <c r="B1999" s="35" t="str">
        <f aca="false">IF(AND(IFERROR(N(INDEX(Clay_Offices!$A$2:$FZ$601,348,Sync!$C$11)),0)&gt;0,IFERROR(INDEX(Clay_Offices!$A$2:$FZ$601,348,Sync!$C$5)&amp;"","")&lt;&gt;"",OR(LEFT(IFERROR(INDEX(Clay_Offices!$A$2:$FZ$601,348,Sync!$C$5)&amp;"",""),6)&lt;&gt;"SAMPLE",Config!$B$19="Y")),IFERROR(N(INDEX(Clay_Offices!$A$2:$FZ$601,348,Sync!$C$11)),0),"")</f>
        <v/>
      </c>
      <c r="C1999" s="23" t="str">
        <f aca="false">IF(B1999="","","office")</f>
        <v/>
      </c>
      <c r="D1999" s="23" t="str">
        <f aca="false">IF(B1999="","",IFERROR(INDEX(Office_Log!$ED$2:$ED$201,MATCH(IFERROR(INDEX(Clay_Offices!$A$2:$FZ$601,348,Sync!$C$5)&amp;"",""),Office_Log!$A$2:$A$201,0))&amp;"",IFERROR(INDEX(Clay_Offices!$A$2:$FZ$601,348,Sync!$C$5)&amp;"","")&amp;""))</f>
        <v/>
      </c>
      <c r="E1999" s="23" t="str">
        <f aca="false">IF(B1999="","",IFERROR(INDEX(Clay_Offices!$A$2:$FZ$601,348,Sync!$C$6)&amp;"",""))</f>
        <v/>
      </c>
      <c r="F1999" s="23" t="str">
        <f aca="false">IF(B1999="","","outreach_sent")</f>
        <v/>
      </c>
      <c r="G1999" s="23" t="str">
        <f aca="false">IF(B1999="","","")</f>
        <v/>
      </c>
      <c r="H1999" s="23" t="str">
        <f aca="false">IF(B1999="","","")</f>
        <v/>
      </c>
      <c r="I1999" s="23" t="str">
        <f aca="false">IF(B1999="","","")</f>
        <v/>
      </c>
      <c r="J1999" s="23" t="str">
        <f aca="false">IF(B1999="","","touch_1; "&amp;IFERROR(INDEX(Clay_Offices!$A$2:$FZ$601,348,Sync!$C$10)&amp;"","")&amp;"; "&amp;IFERROR(INDEX(Clay_Offices!$A$2:$FZ$601,348,Sync!$C$9)&amp;"",""))</f>
        <v/>
      </c>
      <c r="K1999" s="32" t="s">
        <v>1363</v>
      </c>
    </row>
    <row r="2000" customFormat="false" ht="15" hidden="false" customHeight="false" outlineLevel="0" collapsed="false">
      <c r="A2000" s="23" t="str">
        <f aca="false">IF(B2000="","",B2000+(12*1000+349)/10000000)</f>
        <v/>
      </c>
      <c r="B2000" s="35" t="str">
        <f aca="false">IF(AND(IFERROR(N(INDEX(Clay_Offices!$A$2:$FZ$601,349,Sync!$C$11)),0)&gt;0,IFERROR(INDEX(Clay_Offices!$A$2:$FZ$601,349,Sync!$C$5)&amp;"","")&lt;&gt;"",OR(LEFT(IFERROR(INDEX(Clay_Offices!$A$2:$FZ$601,349,Sync!$C$5)&amp;"",""),6)&lt;&gt;"SAMPLE",Config!$B$19="Y")),IFERROR(N(INDEX(Clay_Offices!$A$2:$FZ$601,349,Sync!$C$11)),0),"")</f>
        <v/>
      </c>
      <c r="C2000" s="23" t="str">
        <f aca="false">IF(B2000="","","office")</f>
        <v/>
      </c>
      <c r="D2000" s="23" t="str">
        <f aca="false">IF(B2000="","",IFERROR(INDEX(Office_Log!$ED$2:$ED$201,MATCH(IFERROR(INDEX(Clay_Offices!$A$2:$FZ$601,349,Sync!$C$5)&amp;"",""),Office_Log!$A$2:$A$201,0))&amp;"",IFERROR(INDEX(Clay_Offices!$A$2:$FZ$601,349,Sync!$C$5)&amp;"","")&amp;""))</f>
        <v/>
      </c>
      <c r="E2000" s="23" t="str">
        <f aca="false">IF(B2000="","",IFERROR(INDEX(Clay_Offices!$A$2:$FZ$601,349,Sync!$C$6)&amp;"",""))</f>
        <v/>
      </c>
      <c r="F2000" s="23" t="str">
        <f aca="false">IF(B2000="","","outreach_sent")</f>
        <v/>
      </c>
      <c r="G2000" s="23" t="str">
        <f aca="false">IF(B2000="","","")</f>
        <v/>
      </c>
      <c r="H2000" s="23" t="str">
        <f aca="false">IF(B2000="","","")</f>
        <v/>
      </c>
      <c r="I2000" s="23" t="str">
        <f aca="false">IF(B2000="","","")</f>
        <v/>
      </c>
      <c r="J2000" s="23" t="str">
        <f aca="false">IF(B2000="","","touch_1; "&amp;IFERROR(INDEX(Clay_Offices!$A$2:$FZ$601,349,Sync!$C$10)&amp;"","")&amp;"; "&amp;IFERROR(INDEX(Clay_Offices!$A$2:$FZ$601,349,Sync!$C$9)&amp;"",""))</f>
        <v/>
      </c>
      <c r="K2000" s="32" t="s">
        <v>1363</v>
      </c>
    </row>
    <row r="2001" customFormat="false" ht="15" hidden="false" customHeight="false" outlineLevel="0" collapsed="false">
      <c r="A2001" s="23" t="str">
        <f aca="false">IF(B2001="","",B2001+(12*1000+350)/10000000)</f>
        <v/>
      </c>
      <c r="B2001" s="35" t="str">
        <f aca="false">IF(AND(IFERROR(N(INDEX(Clay_Offices!$A$2:$FZ$601,350,Sync!$C$11)),0)&gt;0,IFERROR(INDEX(Clay_Offices!$A$2:$FZ$601,350,Sync!$C$5)&amp;"","")&lt;&gt;"",OR(LEFT(IFERROR(INDEX(Clay_Offices!$A$2:$FZ$601,350,Sync!$C$5)&amp;"",""),6)&lt;&gt;"SAMPLE",Config!$B$19="Y")),IFERROR(N(INDEX(Clay_Offices!$A$2:$FZ$601,350,Sync!$C$11)),0),"")</f>
        <v/>
      </c>
      <c r="C2001" s="23" t="str">
        <f aca="false">IF(B2001="","","office")</f>
        <v/>
      </c>
      <c r="D2001" s="23" t="str">
        <f aca="false">IF(B2001="","",IFERROR(INDEX(Office_Log!$ED$2:$ED$201,MATCH(IFERROR(INDEX(Clay_Offices!$A$2:$FZ$601,350,Sync!$C$5)&amp;"",""),Office_Log!$A$2:$A$201,0))&amp;"",IFERROR(INDEX(Clay_Offices!$A$2:$FZ$601,350,Sync!$C$5)&amp;"","")&amp;""))</f>
        <v/>
      </c>
      <c r="E2001" s="23" t="str">
        <f aca="false">IF(B2001="","",IFERROR(INDEX(Clay_Offices!$A$2:$FZ$601,350,Sync!$C$6)&amp;"",""))</f>
        <v/>
      </c>
      <c r="F2001" s="23" t="str">
        <f aca="false">IF(B2001="","","outreach_sent")</f>
        <v/>
      </c>
      <c r="G2001" s="23" t="str">
        <f aca="false">IF(B2001="","","")</f>
        <v/>
      </c>
      <c r="H2001" s="23" t="str">
        <f aca="false">IF(B2001="","","")</f>
        <v/>
      </c>
      <c r="I2001" s="23" t="str">
        <f aca="false">IF(B2001="","","")</f>
        <v/>
      </c>
      <c r="J2001" s="23" t="str">
        <f aca="false">IF(B2001="","","touch_1; "&amp;IFERROR(INDEX(Clay_Offices!$A$2:$FZ$601,350,Sync!$C$10)&amp;"","")&amp;"; "&amp;IFERROR(INDEX(Clay_Offices!$A$2:$FZ$601,350,Sync!$C$9)&amp;"",""))</f>
        <v/>
      </c>
      <c r="K2001" s="32" t="s">
        <v>1363</v>
      </c>
    </row>
    <row r="2002" customFormat="false" ht="15" hidden="false" customHeight="false" outlineLevel="0" collapsed="false">
      <c r="A2002" s="23" t="str">
        <f aca="false">IF(B2002="","",B2002+(12*1000+351)/10000000)</f>
        <v/>
      </c>
      <c r="B2002" s="35" t="str">
        <f aca="false">IF(AND(IFERROR(N(INDEX(Clay_Offices!$A$2:$FZ$601,351,Sync!$C$11)),0)&gt;0,IFERROR(INDEX(Clay_Offices!$A$2:$FZ$601,351,Sync!$C$5)&amp;"","")&lt;&gt;"",OR(LEFT(IFERROR(INDEX(Clay_Offices!$A$2:$FZ$601,351,Sync!$C$5)&amp;"",""),6)&lt;&gt;"SAMPLE",Config!$B$19="Y")),IFERROR(N(INDEX(Clay_Offices!$A$2:$FZ$601,351,Sync!$C$11)),0),"")</f>
        <v/>
      </c>
      <c r="C2002" s="23" t="str">
        <f aca="false">IF(B2002="","","office")</f>
        <v/>
      </c>
      <c r="D2002" s="23" t="str">
        <f aca="false">IF(B2002="","",IFERROR(INDEX(Office_Log!$ED$2:$ED$201,MATCH(IFERROR(INDEX(Clay_Offices!$A$2:$FZ$601,351,Sync!$C$5)&amp;"",""),Office_Log!$A$2:$A$201,0))&amp;"",IFERROR(INDEX(Clay_Offices!$A$2:$FZ$601,351,Sync!$C$5)&amp;"","")&amp;""))</f>
        <v/>
      </c>
      <c r="E2002" s="23" t="str">
        <f aca="false">IF(B2002="","",IFERROR(INDEX(Clay_Offices!$A$2:$FZ$601,351,Sync!$C$6)&amp;"",""))</f>
        <v/>
      </c>
      <c r="F2002" s="23" t="str">
        <f aca="false">IF(B2002="","","outreach_sent")</f>
        <v/>
      </c>
      <c r="G2002" s="23" t="str">
        <f aca="false">IF(B2002="","","")</f>
        <v/>
      </c>
      <c r="H2002" s="23" t="str">
        <f aca="false">IF(B2002="","","")</f>
        <v/>
      </c>
      <c r="I2002" s="23" t="str">
        <f aca="false">IF(B2002="","","")</f>
        <v/>
      </c>
      <c r="J2002" s="23" t="str">
        <f aca="false">IF(B2002="","","touch_1; "&amp;IFERROR(INDEX(Clay_Offices!$A$2:$FZ$601,351,Sync!$C$10)&amp;"","")&amp;"; "&amp;IFERROR(INDEX(Clay_Offices!$A$2:$FZ$601,351,Sync!$C$9)&amp;"",""))</f>
        <v/>
      </c>
      <c r="K2002" s="32" t="s">
        <v>1363</v>
      </c>
    </row>
    <row r="2003" customFormat="false" ht="15" hidden="false" customHeight="false" outlineLevel="0" collapsed="false">
      <c r="A2003" s="23" t="str">
        <f aca="false">IF(B2003="","",B2003+(12*1000+352)/10000000)</f>
        <v/>
      </c>
      <c r="B2003" s="35" t="str">
        <f aca="false">IF(AND(IFERROR(N(INDEX(Clay_Offices!$A$2:$FZ$601,352,Sync!$C$11)),0)&gt;0,IFERROR(INDEX(Clay_Offices!$A$2:$FZ$601,352,Sync!$C$5)&amp;"","")&lt;&gt;"",OR(LEFT(IFERROR(INDEX(Clay_Offices!$A$2:$FZ$601,352,Sync!$C$5)&amp;"",""),6)&lt;&gt;"SAMPLE",Config!$B$19="Y")),IFERROR(N(INDEX(Clay_Offices!$A$2:$FZ$601,352,Sync!$C$11)),0),"")</f>
        <v/>
      </c>
      <c r="C2003" s="23" t="str">
        <f aca="false">IF(B2003="","","office")</f>
        <v/>
      </c>
      <c r="D2003" s="23" t="str">
        <f aca="false">IF(B2003="","",IFERROR(INDEX(Office_Log!$ED$2:$ED$201,MATCH(IFERROR(INDEX(Clay_Offices!$A$2:$FZ$601,352,Sync!$C$5)&amp;"",""),Office_Log!$A$2:$A$201,0))&amp;"",IFERROR(INDEX(Clay_Offices!$A$2:$FZ$601,352,Sync!$C$5)&amp;"","")&amp;""))</f>
        <v/>
      </c>
      <c r="E2003" s="23" t="str">
        <f aca="false">IF(B2003="","",IFERROR(INDEX(Clay_Offices!$A$2:$FZ$601,352,Sync!$C$6)&amp;"",""))</f>
        <v/>
      </c>
      <c r="F2003" s="23" t="str">
        <f aca="false">IF(B2003="","","outreach_sent")</f>
        <v/>
      </c>
      <c r="G2003" s="23" t="str">
        <f aca="false">IF(B2003="","","")</f>
        <v/>
      </c>
      <c r="H2003" s="23" t="str">
        <f aca="false">IF(B2003="","","")</f>
        <v/>
      </c>
      <c r="I2003" s="23" t="str">
        <f aca="false">IF(B2003="","","")</f>
        <v/>
      </c>
      <c r="J2003" s="23" t="str">
        <f aca="false">IF(B2003="","","touch_1; "&amp;IFERROR(INDEX(Clay_Offices!$A$2:$FZ$601,352,Sync!$C$10)&amp;"","")&amp;"; "&amp;IFERROR(INDEX(Clay_Offices!$A$2:$FZ$601,352,Sync!$C$9)&amp;"",""))</f>
        <v/>
      </c>
      <c r="K2003" s="32" t="s">
        <v>1363</v>
      </c>
    </row>
    <row r="2004" customFormat="false" ht="15" hidden="false" customHeight="false" outlineLevel="0" collapsed="false">
      <c r="A2004" s="23" t="str">
        <f aca="false">IF(B2004="","",B2004+(12*1000+353)/10000000)</f>
        <v/>
      </c>
      <c r="B2004" s="35" t="str">
        <f aca="false">IF(AND(IFERROR(N(INDEX(Clay_Offices!$A$2:$FZ$601,353,Sync!$C$11)),0)&gt;0,IFERROR(INDEX(Clay_Offices!$A$2:$FZ$601,353,Sync!$C$5)&amp;"","")&lt;&gt;"",OR(LEFT(IFERROR(INDEX(Clay_Offices!$A$2:$FZ$601,353,Sync!$C$5)&amp;"",""),6)&lt;&gt;"SAMPLE",Config!$B$19="Y")),IFERROR(N(INDEX(Clay_Offices!$A$2:$FZ$601,353,Sync!$C$11)),0),"")</f>
        <v/>
      </c>
      <c r="C2004" s="23" t="str">
        <f aca="false">IF(B2004="","","office")</f>
        <v/>
      </c>
      <c r="D2004" s="23" t="str">
        <f aca="false">IF(B2004="","",IFERROR(INDEX(Office_Log!$ED$2:$ED$201,MATCH(IFERROR(INDEX(Clay_Offices!$A$2:$FZ$601,353,Sync!$C$5)&amp;"",""),Office_Log!$A$2:$A$201,0))&amp;"",IFERROR(INDEX(Clay_Offices!$A$2:$FZ$601,353,Sync!$C$5)&amp;"","")&amp;""))</f>
        <v/>
      </c>
      <c r="E2004" s="23" t="str">
        <f aca="false">IF(B2004="","",IFERROR(INDEX(Clay_Offices!$A$2:$FZ$601,353,Sync!$C$6)&amp;"",""))</f>
        <v/>
      </c>
      <c r="F2004" s="23" t="str">
        <f aca="false">IF(B2004="","","outreach_sent")</f>
        <v/>
      </c>
      <c r="G2004" s="23" t="str">
        <f aca="false">IF(B2004="","","")</f>
        <v/>
      </c>
      <c r="H2004" s="23" t="str">
        <f aca="false">IF(B2004="","","")</f>
        <v/>
      </c>
      <c r="I2004" s="23" t="str">
        <f aca="false">IF(B2004="","","")</f>
        <v/>
      </c>
      <c r="J2004" s="23" t="str">
        <f aca="false">IF(B2004="","","touch_1; "&amp;IFERROR(INDEX(Clay_Offices!$A$2:$FZ$601,353,Sync!$C$10)&amp;"","")&amp;"; "&amp;IFERROR(INDEX(Clay_Offices!$A$2:$FZ$601,353,Sync!$C$9)&amp;"",""))</f>
        <v/>
      </c>
      <c r="K2004" s="32" t="s">
        <v>1363</v>
      </c>
    </row>
    <row r="2005" customFormat="false" ht="15" hidden="false" customHeight="false" outlineLevel="0" collapsed="false">
      <c r="A2005" s="23" t="str">
        <f aca="false">IF(B2005="","",B2005+(12*1000+354)/10000000)</f>
        <v/>
      </c>
      <c r="B2005" s="35" t="str">
        <f aca="false">IF(AND(IFERROR(N(INDEX(Clay_Offices!$A$2:$FZ$601,354,Sync!$C$11)),0)&gt;0,IFERROR(INDEX(Clay_Offices!$A$2:$FZ$601,354,Sync!$C$5)&amp;"","")&lt;&gt;"",OR(LEFT(IFERROR(INDEX(Clay_Offices!$A$2:$FZ$601,354,Sync!$C$5)&amp;"",""),6)&lt;&gt;"SAMPLE",Config!$B$19="Y")),IFERROR(N(INDEX(Clay_Offices!$A$2:$FZ$601,354,Sync!$C$11)),0),"")</f>
        <v/>
      </c>
      <c r="C2005" s="23" t="str">
        <f aca="false">IF(B2005="","","office")</f>
        <v/>
      </c>
      <c r="D2005" s="23" t="str">
        <f aca="false">IF(B2005="","",IFERROR(INDEX(Office_Log!$ED$2:$ED$201,MATCH(IFERROR(INDEX(Clay_Offices!$A$2:$FZ$601,354,Sync!$C$5)&amp;"",""),Office_Log!$A$2:$A$201,0))&amp;"",IFERROR(INDEX(Clay_Offices!$A$2:$FZ$601,354,Sync!$C$5)&amp;"","")&amp;""))</f>
        <v/>
      </c>
      <c r="E2005" s="23" t="str">
        <f aca="false">IF(B2005="","",IFERROR(INDEX(Clay_Offices!$A$2:$FZ$601,354,Sync!$C$6)&amp;"",""))</f>
        <v/>
      </c>
      <c r="F2005" s="23" t="str">
        <f aca="false">IF(B2005="","","outreach_sent")</f>
        <v/>
      </c>
      <c r="G2005" s="23" t="str">
        <f aca="false">IF(B2005="","","")</f>
        <v/>
      </c>
      <c r="H2005" s="23" t="str">
        <f aca="false">IF(B2005="","","")</f>
        <v/>
      </c>
      <c r="I2005" s="23" t="str">
        <f aca="false">IF(B2005="","","")</f>
        <v/>
      </c>
      <c r="J2005" s="23" t="str">
        <f aca="false">IF(B2005="","","touch_1; "&amp;IFERROR(INDEX(Clay_Offices!$A$2:$FZ$601,354,Sync!$C$10)&amp;"","")&amp;"; "&amp;IFERROR(INDEX(Clay_Offices!$A$2:$FZ$601,354,Sync!$C$9)&amp;"",""))</f>
        <v/>
      </c>
      <c r="K2005" s="32" t="s">
        <v>1363</v>
      </c>
    </row>
    <row r="2006" customFormat="false" ht="15" hidden="false" customHeight="false" outlineLevel="0" collapsed="false">
      <c r="A2006" s="23" t="str">
        <f aca="false">IF(B2006="","",B2006+(12*1000+355)/10000000)</f>
        <v/>
      </c>
      <c r="B2006" s="35" t="str">
        <f aca="false">IF(AND(IFERROR(N(INDEX(Clay_Offices!$A$2:$FZ$601,355,Sync!$C$11)),0)&gt;0,IFERROR(INDEX(Clay_Offices!$A$2:$FZ$601,355,Sync!$C$5)&amp;"","")&lt;&gt;"",OR(LEFT(IFERROR(INDEX(Clay_Offices!$A$2:$FZ$601,355,Sync!$C$5)&amp;"",""),6)&lt;&gt;"SAMPLE",Config!$B$19="Y")),IFERROR(N(INDEX(Clay_Offices!$A$2:$FZ$601,355,Sync!$C$11)),0),"")</f>
        <v/>
      </c>
      <c r="C2006" s="23" t="str">
        <f aca="false">IF(B2006="","","office")</f>
        <v/>
      </c>
      <c r="D2006" s="23" t="str">
        <f aca="false">IF(B2006="","",IFERROR(INDEX(Office_Log!$ED$2:$ED$201,MATCH(IFERROR(INDEX(Clay_Offices!$A$2:$FZ$601,355,Sync!$C$5)&amp;"",""),Office_Log!$A$2:$A$201,0))&amp;"",IFERROR(INDEX(Clay_Offices!$A$2:$FZ$601,355,Sync!$C$5)&amp;"","")&amp;""))</f>
        <v/>
      </c>
      <c r="E2006" s="23" t="str">
        <f aca="false">IF(B2006="","",IFERROR(INDEX(Clay_Offices!$A$2:$FZ$601,355,Sync!$C$6)&amp;"",""))</f>
        <v/>
      </c>
      <c r="F2006" s="23" t="str">
        <f aca="false">IF(B2006="","","outreach_sent")</f>
        <v/>
      </c>
      <c r="G2006" s="23" t="str">
        <f aca="false">IF(B2006="","","")</f>
        <v/>
      </c>
      <c r="H2006" s="23" t="str">
        <f aca="false">IF(B2006="","","")</f>
        <v/>
      </c>
      <c r="I2006" s="23" t="str">
        <f aca="false">IF(B2006="","","")</f>
        <v/>
      </c>
      <c r="J2006" s="23" t="str">
        <f aca="false">IF(B2006="","","touch_1; "&amp;IFERROR(INDEX(Clay_Offices!$A$2:$FZ$601,355,Sync!$C$10)&amp;"","")&amp;"; "&amp;IFERROR(INDEX(Clay_Offices!$A$2:$FZ$601,355,Sync!$C$9)&amp;"",""))</f>
        <v/>
      </c>
      <c r="K2006" s="32" t="s">
        <v>1363</v>
      </c>
    </row>
    <row r="2007" customFormat="false" ht="15" hidden="false" customHeight="false" outlineLevel="0" collapsed="false">
      <c r="A2007" s="23" t="str">
        <f aca="false">IF(B2007="","",B2007+(12*1000+356)/10000000)</f>
        <v/>
      </c>
      <c r="B2007" s="35" t="str">
        <f aca="false">IF(AND(IFERROR(N(INDEX(Clay_Offices!$A$2:$FZ$601,356,Sync!$C$11)),0)&gt;0,IFERROR(INDEX(Clay_Offices!$A$2:$FZ$601,356,Sync!$C$5)&amp;"","")&lt;&gt;"",OR(LEFT(IFERROR(INDEX(Clay_Offices!$A$2:$FZ$601,356,Sync!$C$5)&amp;"",""),6)&lt;&gt;"SAMPLE",Config!$B$19="Y")),IFERROR(N(INDEX(Clay_Offices!$A$2:$FZ$601,356,Sync!$C$11)),0),"")</f>
        <v/>
      </c>
      <c r="C2007" s="23" t="str">
        <f aca="false">IF(B2007="","","office")</f>
        <v/>
      </c>
      <c r="D2007" s="23" t="str">
        <f aca="false">IF(B2007="","",IFERROR(INDEX(Office_Log!$ED$2:$ED$201,MATCH(IFERROR(INDEX(Clay_Offices!$A$2:$FZ$601,356,Sync!$C$5)&amp;"",""),Office_Log!$A$2:$A$201,0))&amp;"",IFERROR(INDEX(Clay_Offices!$A$2:$FZ$601,356,Sync!$C$5)&amp;"","")&amp;""))</f>
        <v/>
      </c>
      <c r="E2007" s="23" t="str">
        <f aca="false">IF(B2007="","",IFERROR(INDEX(Clay_Offices!$A$2:$FZ$601,356,Sync!$C$6)&amp;"",""))</f>
        <v/>
      </c>
      <c r="F2007" s="23" t="str">
        <f aca="false">IF(B2007="","","outreach_sent")</f>
        <v/>
      </c>
      <c r="G2007" s="23" t="str">
        <f aca="false">IF(B2007="","","")</f>
        <v/>
      </c>
      <c r="H2007" s="23" t="str">
        <f aca="false">IF(B2007="","","")</f>
        <v/>
      </c>
      <c r="I2007" s="23" t="str">
        <f aca="false">IF(B2007="","","")</f>
        <v/>
      </c>
      <c r="J2007" s="23" t="str">
        <f aca="false">IF(B2007="","","touch_1; "&amp;IFERROR(INDEX(Clay_Offices!$A$2:$FZ$601,356,Sync!$C$10)&amp;"","")&amp;"; "&amp;IFERROR(INDEX(Clay_Offices!$A$2:$FZ$601,356,Sync!$C$9)&amp;"",""))</f>
        <v/>
      </c>
      <c r="K2007" s="32" t="s">
        <v>1363</v>
      </c>
    </row>
    <row r="2008" customFormat="false" ht="15" hidden="false" customHeight="false" outlineLevel="0" collapsed="false">
      <c r="A2008" s="23" t="str">
        <f aca="false">IF(B2008="","",B2008+(12*1000+357)/10000000)</f>
        <v/>
      </c>
      <c r="B2008" s="35" t="str">
        <f aca="false">IF(AND(IFERROR(N(INDEX(Clay_Offices!$A$2:$FZ$601,357,Sync!$C$11)),0)&gt;0,IFERROR(INDEX(Clay_Offices!$A$2:$FZ$601,357,Sync!$C$5)&amp;"","")&lt;&gt;"",OR(LEFT(IFERROR(INDEX(Clay_Offices!$A$2:$FZ$601,357,Sync!$C$5)&amp;"",""),6)&lt;&gt;"SAMPLE",Config!$B$19="Y")),IFERROR(N(INDEX(Clay_Offices!$A$2:$FZ$601,357,Sync!$C$11)),0),"")</f>
        <v/>
      </c>
      <c r="C2008" s="23" t="str">
        <f aca="false">IF(B2008="","","office")</f>
        <v/>
      </c>
      <c r="D2008" s="23" t="str">
        <f aca="false">IF(B2008="","",IFERROR(INDEX(Office_Log!$ED$2:$ED$201,MATCH(IFERROR(INDEX(Clay_Offices!$A$2:$FZ$601,357,Sync!$C$5)&amp;"",""),Office_Log!$A$2:$A$201,0))&amp;"",IFERROR(INDEX(Clay_Offices!$A$2:$FZ$601,357,Sync!$C$5)&amp;"","")&amp;""))</f>
        <v/>
      </c>
      <c r="E2008" s="23" t="str">
        <f aca="false">IF(B2008="","",IFERROR(INDEX(Clay_Offices!$A$2:$FZ$601,357,Sync!$C$6)&amp;"",""))</f>
        <v/>
      </c>
      <c r="F2008" s="23" t="str">
        <f aca="false">IF(B2008="","","outreach_sent")</f>
        <v/>
      </c>
      <c r="G2008" s="23" t="str">
        <f aca="false">IF(B2008="","","")</f>
        <v/>
      </c>
      <c r="H2008" s="23" t="str">
        <f aca="false">IF(B2008="","","")</f>
        <v/>
      </c>
      <c r="I2008" s="23" t="str">
        <f aca="false">IF(B2008="","","")</f>
        <v/>
      </c>
      <c r="J2008" s="23" t="str">
        <f aca="false">IF(B2008="","","touch_1; "&amp;IFERROR(INDEX(Clay_Offices!$A$2:$FZ$601,357,Sync!$C$10)&amp;"","")&amp;"; "&amp;IFERROR(INDEX(Clay_Offices!$A$2:$FZ$601,357,Sync!$C$9)&amp;"",""))</f>
        <v/>
      </c>
      <c r="K2008" s="32" t="s">
        <v>1363</v>
      </c>
    </row>
    <row r="2009" customFormat="false" ht="15" hidden="false" customHeight="false" outlineLevel="0" collapsed="false">
      <c r="A2009" s="23" t="str">
        <f aca="false">IF(B2009="","",B2009+(12*1000+358)/10000000)</f>
        <v/>
      </c>
      <c r="B2009" s="35" t="str">
        <f aca="false">IF(AND(IFERROR(N(INDEX(Clay_Offices!$A$2:$FZ$601,358,Sync!$C$11)),0)&gt;0,IFERROR(INDEX(Clay_Offices!$A$2:$FZ$601,358,Sync!$C$5)&amp;"","")&lt;&gt;"",OR(LEFT(IFERROR(INDEX(Clay_Offices!$A$2:$FZ$601,358,Sync!$C$5)&amp;"",""),6)&lt;&gt;"SAMPLE",Config!$B$19="Y")),IFERROR(N(INDEX(Clay_Offices!$A$2:$FZ$601,358,Sync!$C$11)),0),"")</f>
        <v/>
      </c>
      <c r="C2009" s="23" t="str">
        <f aca="false">IF(B2009="","","office")</f>
        <v/>
      </c>
      <c r="D2009" s="23" t="str">
        <f aca="false">IF(B2009="","",IFERROR(INDEX(Office_Log!$ED$2:$ED$201,MATCH(IFERROR(INDEX(Clay_Offices!$A$2:$FZ$601,358,Sync!$C$5)&amp;"",""),Office_Log!$A$2:$A$201,0))&amp;"",IFERROR(INDEX(Clay_Offices!$A$2:$FZ$601,358,Sync!$C$5)&amp;"","")&amp;""))</f>
        <v/>
      </c>
      <c r="E2009" s="23" t="str">
        <f aca="false">IF(B2009="","",IFERROR(INDEX(Clay_Offices!$A$2:$FZ$601,358,Sync!$C$6)&amp;"",""))</f>
        <v/>
      </c>
      <c r="F2009" s="23" t="str">
        <f aca="false">IF(B2009="","","outreach_sent")</f>
        <v/>
      </c>
      <c r="G2009" s="23" t="str">
        <f aca="false">IF(B2009="","","")</f>
        <v/>
      </c>
      <c r="H2009" s="23" t="str">
        <f aca="false">IF(B2009="","","")</f>
        <v/>
      </c>
      <c r="I2009" s="23" t="str">
        <f aca="false">IF(B2009="","","")</f>
        <v/>
      </c>
      <c r="J2009" s="23" t="str">
        <f aca="false">IF(B2009="","","touch_1; "&amp;IFERROR(INDEX(Clay_Offices!$A$2:$FZ$601,358,Sync!$C$10)&amp;"","")&amp;"; "&amp;IFERROR(INDEX(Clay_Offices!$A$2:$FZ$601,358,Sync!$C$9)&amp;"",""))</f>
        <v/>
      </c>
      <c r="K2009" s="32" t="s">
        <v>1363</v>
      </c>
    </row>
    <row r="2010" customFormat="false" ht="15" hidden="false" customHeight="false" outlineLevel="0" collapsed="false">
      <c r="A2010" s="23" t="str">
        <f aca="false">IF(B2010="","",B2010+(12*1000+359)/10000000)</f>
        <v/>
      </c>
      <c r="B2010" s="35" t="str">
        <f aca="false">IF(AND(IFERROR(N(INDEX(Clay_Offices!$A$2:$FZ$601,359,Sync!$C$11)),0)&gt;0,IFERROR(INDEX(Clay_Offices!$A$2:$FZ$601,359,Sync!$C$5)&amp;"","")&lt;&gt;"",OR(LEFT(IFERROR(INDEX(Clay_Offices!$A$2:$FZ$601,359,Sync!$C$5)&amp;"",""),6)&lt;&gt;"SAMPLE",Config!$B$19="Y")),IFERROR(N(INDEX(Clay_Offices!$A$2:$FZ$601,359,Sync!$C$11)),0),"")</f>
        <v/>
      </c>
      <c r="C2010" s="23" t="str">
        <f aca="false">IF(B2010="","","office")</f>
        <v/>
      </c>
      <c r="D2010" s="23" t="str">
        <f aca="false">IF(B2010="","",IFERROR(INDEX(Office_Log!$ED$2:$ED$201,MATCH(IFERROR(INDEX(Clay_Offices!$A$2:$FZ$601,359,Sync!$C$5)&amp;"",""),Office_Log!$A$2:$A$201,0))&amp;"",IFERROR(INDEX(Clay_Offices!$A$2:$FZ$601,359,Sync!$C$5)&amp;"","")&amp;""))</f>
        <v/>
      </c>
      <c r="E2010" s="23" t="str">
        <f aca="false">IF(B2010="","",IFERROR(INDEX(Clay_Offices!$A$2:$FZ$601,359,Sync!$C$6)&amp;"",""))</f>
        <v/>
      </c>
      <c r="F2010" s="23" t="str">
        <f aca="false">IF(B2010="","","outreach_sent")</f>
        <v/>
      </c>
      <c r="G2010" s="23" t="str">
        <f aca="false">IF(B2010="","","")</f>
        <v/>
      </c>
      <c r="H2010" s="23" t="str">
        <f aca="false">IF(B2010="","","")</f>
        <v/>
      </c>
      <c r="I2010" s="23" t="str">
        <f aca="false">IF(B2010="","","")</f>
        <v/>
      </c>
      <c r="J2010" s="23" t="str">
        <f aca="false">IF(B2010="","","touch_1; "&amp;IFERROR(INDEX(Clay_Offices!$A$2:$FZ$601,359,Sync!$C$10)&amp;"","")&amp;"; "&amp;IFERROR(INDEX(Clay_Offices!$A$2:$FZ$601,359,Sync!$C$9)&amp;"",""))</f>
        <v/>
      </c>
      <c r="K2010" s="32" t="s">
        <v>1363</v>
      </c>
    </row>
    <row r="2011" customFormat="false" ht="15" hidden="false" customHeight="false" outlineLevel="0" collapsed="false">
      <c r="A2011" s="23" t="str">
        <f aca="false">IF(B2011="","",B2011+(12*1000+360)/10000000)</f>
        <v/>
      </c>
      <c r="B2011" s="35" t="str">
        <f aca="false">IF(AND(IFERROR(N(INDEX(Clay_Offices!$A$2:$FZ$601,360,Sync!$C$11)),0)&gt;0,IFERROR(INDEX(Clay_Offices!$A$2:$FZ$601,360,Sync!$C$5)&amp;"","")&lt;&gt;"",OR(LEFT(IFERROR(INDEX(Clay_Offices!$A$2:$FZ$601,360,Sync!$C$5)&amp;"",""),6)&lt;&gt;"SAMPLE",Config!$B$19="Y")),IFERROR(N(INDEX(Clay_Offices!$A$2:$FZ$601,360,Sync!$C$11)),0),"")</f>
        <v/>
      </c>
      <c r="C2011" s="23" t="str">
        <f aca="false">IF(B2011="","","office")</f>
        <v/>
      </c>
      <c r="D2011" s="23" t="str">
        <f aca="false">IF(B2011="","",IFERROR(INDEX(Office_Log!$ED$2:$ED$201,MATCH(IFERROR(INDEX(Clay_Offices!$A$2:$FZ$601,360,Sync!$C$5)&amp;"",""),Office_Log!$A$2:$A$201,0))&amp;"",IFERROR(INDEX(Clay_Offices!$A$2:$FZ$601,360,Sync!$C$5)&amp;"","")&amp;""))</f>
        <v/>
      </c>
      <c r="E2011" s="23" t="str">
        <f aca="false">IF(B2011="","",IFERROR(INDEX(Clay_Offices!$A$2:$FZ$601,360,Sync!$C$6)&amp;"",""))</f>
        <v/>
      </c>
      <c r="F2011" s="23" t="str">
        <f aca="false">IF(B2011="","","outreach_sent")</f>
        <v/>
      </c>
      <c r="G2011" s="23" t="str">
        <f aca="false">IF(B2011="","","")</f>
        <v/>
      </c>
      <c r="H2011" s="23" t="str">
        <f aca="false">IF(B2011="","","")</f>
        <v/>
      </c>
      <c r="I2011" s="23" t="str">
        <f aca="false">IF(B2011="","","")</f>
        <v/>
      </c>
      <c r="J2011" s="23" t="str">
        <f aca="false">IF(B2011="","","touch_1; "&amp;IFERROR(INDEX(Clay_Offices!$A$2:$FZ$601,360,Sync!$C$10)&amp;"","")&amp;"; "&amp;IFERROR(INDEX(Clay_Offices!$A$2:$FZ$601,360,Sync!$C$9)&amp;"",""))</f>
        <v/>
      </c>
      <c r="K2011" s="32" t="s">
        <v>1363</v>
      </c>
    </row>
    <row r="2012" customFormat="false" ht="15" hidden="false" customHeight="false" outlineLevel="0" collapsed="false">
      <c r="A2012" s="23" t="str">
        <f aca="false">IF(B2012="","",B2012+(12*1000+361)/10000000)</f>
        <v/>
      </c>
      <c r="B2012" s="35" t="str">
        <f aca="false">IF(AND(IFERROR(N(INDEX(Clay_Offices!$A$2:$FZ$601,361,Sync!$C$11)),0)&gt;0,IFERROR(INDEX(Clay_Offices!$A$2:$FZ$601,361,Sync!$C$5)&amp;"","")&lt;&gt;"",OR(LEFT(IFERROR(INDEX(Clay_Offices!$A$2:$FZ$601,361,Sync!$C$5)&amp;"",""),6)&lt;&gt;"SAMPLE",Config!$B$19="Y")),IFERROR(N(INDEX(Clay_Offices!$A$2:$FZ$601,361,Sync!$C$11)),0),"")</f>
        <v/>
      </c>
      <c r="C2012" s="23" t="str">
        <f aca="false">IF(B2012="","","office")</f>
        <v/>
      </c>
      <c r="D2012" s="23" t="str">
        <f aca="false">IF(B2012="","",IFERROR(INDEX(Office_Log!$ED$2:$ED$201,MATCH(IFERROR(INDEX(Clay_Offices!$A$2:$FZ$601,361,Sync!$C$5)&amp;"",""),Office_Log!$A$2:$A$201,0))&amp;"",IFERROR(INDEX(Clay_Offices!$A$2:$FZ$601,361,Sync!$C$5)&amp;"","")&amp;""))</f>
        <v/>
      </c>
      <c r="E2012" s="23" t="str">
        <f aca="false">IF(B2012="","",IFERROR(INDEX(Clay_Offices!$A$2:$FZ$601,361,Sync!$C$6)&amp;"",""))</f>
        <v/>
      </c>
      <c r="F2012" s="23" t="str">
        <f aca="false">IF(B2012="","","outreach_sent")</f>
        <v/>
      </c>
      <c r="G2012" s="23" t="str">
        <f aca="false">IF(B2012="","","")</f>
        <v/>
      </c>
      <c r="H2012" s="23" t="str">
        <f aca="false">IF(B2012="","","")</f>
        <v/>
      </c>
      <c r="I2012" s="23" t="str">
        <f aca="false">IF(B2012="","","")</f>
        <v/>
      </c>
      <c r="J2012" s="23" t="str">
        <f aca="false">IF(B2012="","","touch_1; "&amp;IFERROR(INDEX(Clay_Offices!$A$2:$FZ$601,361,Sync!$C$10)&amp;"","")&amp;"; "&amp;IFERROR(INDEX(Clay_Offices!$A$2:$FZ$601,361,Sync!$C$9)&amp;"",""))</f>
        <v/>
      </c>
      <c r="K2012" s="32" t="s">
        <v>1363</v>
      </c>
    </row>
    <row r="2013" customFormat="false" ht="15" hidden="false" customHeight="false" outlineLevel="0" collapsed="false">
      <c r="A2013" s="23" t="str">
        <f aca="false">IF(B2013="","",B2013+(12*1000+362)/10000000)</f>
        <v/>
      </c>
      <c r="B2013" s="35" t="str">
        <f aca="false">IF(AND(IFERROR(N(INDEX(Clay_Offices!$A$2:$FZ$601,362,Sync!$C$11)),0)&gt;0,IFERROR(INDEX(Clay_Offices!$A$2:$FZ$601,362,Sync!$C$5)&amp;"","")&lt;&gt;"",OR(LEFT(IFERROR(INDEX(Clay_Offices!$A$2:$FZ$601,362,Sync!$C$5)&amp;"",""),6)&lt;&gt;"SAMPLE",Config!$B$19="Y")),IFERROR(N(INDEX(Clay_Offices!$A$2:$FZ$601,362,Sync!$C$11)),0),"")</f>
        <v/>
      </c>
      <c r="C2013" s="23" t="str">
        <f aca="false">IF(B2013="","","office")</f>
        <v/>
      </c>
      <c r="D2013" s="23" t="str">
        <f aca="false">IF(B2013="","",IFERROR(INDEX(Office_Log!$ED$2:$ED$201,MATCH(IFERROR(INDEX(Clay_Offices!$A$2:$FZ$601,362,Sync!$C$5)&amp;"",""),Office_Log!$A$2:$A$201,0))&amp;"",IFERROR(INDEX(Clay_Offices!$A$2:$FZ$601,362,Sync!$C$5)&amp;"","")&amp;""))</f>
        <v/>
      </c>
      <c r="E2013" s="23" t="str">
        <f aca="false">IF(B2013="","",IFERROR(INDEX(Clay_Offices!$A$2:$FZ$601,362,Sync!$C$6)&amp;"",""))</f>
        <v/>
      </c>
      <c r="F2013" s="23" t="str">
        <f aca="false">IF(B2013="","","outreach_sent")</f>
        <v/>
      </c>
      <c r="G2013" s="23" t="str">
        <f aca="false">IF(B2013="","","")</f>
        <v/>
      </c>
      <c r="H2013" s="23" t="str">
        <f aca="false">IF(B2013="","","")</f>
        <v/>
      </c>
      <c r="I2013" s="23" t="str">
        <f aca="false">IF(B2013="","","")</f>
        <v/>
      </c>
      <c r="J2013" s="23" t="str">
        <f aca="false">IF(B2013="","","touch_1; "&amp;IFERROR(INDEX(Clay_Offices!$A$2:$FZ$601,362,Sync!$C$10)&amp;"","")&amp;"; "&amp;IFERROR(INDEX(Clay_Offices!$A$2:$FZ$601,362,Sync!$C$9)&amp;"",""))</f>
        <v/>
      </c>
      <c r="K2013" s="32" t="s">
        <v>1363</v>
      </c>
    </row>
    <row r="2014" customFormat="false" ht="15" hidden="false" customHeight="false" outlineLevel="0" collapsed="false">
      <c r="A2014" s="23" t="str">
        <f aca="false">IF(B2014="","",B2014+(12*1000+363)/10000000)</f>
        <v/>
      </c>
      <c r="B2014" s="35" t="str">
        <f aca="false">IF(AND(IFERROR(N(INDEX(Clay_Offices!$A$2:$FZ$601,363,Sync!$C$11)),0)&gt;0,IFERROR(INDEX(Clay_Offices!$A$2:$FZ$601,363,Sync!$C$5)&amp;"","")&lt;&gt;"",OR(LEFT(IFERROR(INDEX(Clay_Offices!$A$2:$FZ$601,363,Sync!$C$5)&amp;"",""),6)&lt;&gt;"SAMPLE",Config!$B$19="Y")),IFERROR(N(INDEX(Clay_Offices!$A$2:$FZ$601,363,Sync!$C$11)),0),"")</f>
        <v/>
      </c>
      <c r="C2014" s="23" t="str">
        <f aca="false">IF(B2014="","","office")</f>
        <v/>
      </c>
      <c r="D2014" s="23" t="str">
        <f aca="false">IF(B2014="","",IFERROR(INDEX(Office_Log!$ED$2:$ED$201,MATCH(IFERROR(INDEX(Clay_Offices!$A$2:$FZ$601,363,Sync!$C$5)&amp;"",""),Office_Log!$A$2:$A$201,0))&amp;"",IFERROR(INDEX(Clay_Offices!$A$2:$FZ$601,363,Sync!$C$5)&amp;"","")&amp;""))</f>
        <v/>
      </c>
      <c r="E2014" s="23" t="str">
        <f aca="false">IF(B2014="","",IFERROR(INDEX(Clay_Offices!$A$2:$FZ$601,363,Sync!$C$6)&amp;"",""))</f>
        <v/>
      </c>
      <c r="F2014" s="23" t="str">
        <f aca="false">IF(B2014="","","outreach_sent")</f>
        <v/>
      </c>
      <c r="G2014" s="23" t="str">
        <f aca="false">IF(B2014="","","")</f>
        <v/>
      </c>
      <c r="H2014" s="23" t="str">
        <f aca="false">IF(B2014="","","")</f>
        <v/>
      </c>
      <c r="I2014" s="23" t="str">
        <f aca="false">IF(B2014="","","")</f>
        <v/>
      </c>
      <c r="J2014" s="23" t="str">
        <f aca="false">IF(B2014="","","touch_1; "&amp;IFERROR(INDEX(Clay_Offices!$A$2:$FZ$601,363,Sync!$C$10)&amp;"","")&amp;"; "&amp;IFERROR(INDEX(Clay_Offices!$A$2:$FZ$601,363,Sync!$C$9)&amp;"",""))</f>
        <v/>
      </c>
      <c r="K2014" s="32" t="s">
        <v>1363</v>
      </c>
    </row>
    <row r="2015" customFormat="false" ht="15" hidden="false" customHeight="false" outlineLevel="0" collapsed="false">
      <c r="A2015" s="23" t="str">
        <f aca="false">IF(B2015="","",B2015+(12*1000+364)/10000000)</f>
        <v/>
      </c>
      <c r="B2015" s="35" t="str">
        <f aca="false">IF(AND(IFERROR(N(INDEX(Clay_Offices!$A$2:$FZ$601,364,Sync!$C$11)),0)&gt;0,IFERROR(INDEX(Clay_Offices!$A$2:$FZ$601,364,Sync!$C$5)&amp;"","")&lt;&gt;"",OR(LEFT(IFERROR(INDEX(Clay_Offices!$A$2:$FZ$601,364,Sync!$C$5)&amp;"",""),6)&lt;&gt;"SAMPLE",Config!$B$19="Y")),IFERROR(N(INDEX(Clay_Offices!$A$2:$FZ$601,364,Sync!$C$11)),0),"")</f>
        <v/>
      </c>
      <c r="C2015" s="23" t="str">
        <f aca="false">IF(B2015="","","office")</f>
        <v/>
      </c>
      <c r="D2015" s="23" t="str">
        <f aca="false">IF(B2015="","",IFERROR(INDEX(Office_Log!$ED$2:$ED$201,MATCH(IFERROR(INDEX(Clay_Offices!$A$2:$FZ$601,364,Sync!$C$5)&amp;"",""),Office_Log!$A$2:$A$201,0))&amp;"",IFERROR(INDEX(Clay_Offices!$A$2:$FZ$601,364,Sync!$C$5)&amp;"","")&amp;""))</f>
        <v/>
      </c>
      <c r="E2015" s="23" t="str">
        <f aca="false">IF(B2015="","",IFERROR(INDEX(Clay_Offices!$A$2:$FZ$601,364,Sync!$C$6)&amp;"",""))</f>
        <v/>
      </c>
      <c r="F2015" s="23" t="str">
        <f aca="false">IF(B2015="","","outreach_sent")</f>
        <v/>
      </c>
      <c r="G2015" s="23" t="str">
        <f aca="false">IF(B2015="","","")</f>
        <v/>
      </c>
      <c r="H2015" s="23" t="str">
        <f aca="false">IF(B2015="","","")</f>
        <v/>
      </c>
      <c r="I2015" s="23" t="str">
        <f aca="false">IF(B2015="","","")</f>
        <v/>
      </c>
      <c r="J2015" s="23" t="str">
        <f aca="false">IF(B2015="","","touch_1; "&amp;IFERROR(INDEX(Clay_Offices!$A$2:$FZ$601,364,Sync!$C$10)&amp;"","")&amp;"; "&amp;IFERROR(INDEX(Clay_Offices!$A$2:$FZ$601,364,Sync!$C$9)&amp;"",""))</f>
        <v/>
      </c>
      <c r="K2015" s="32" t="s">
        <v>1363</v>
      </c>
    </row>
    <row r="2016" customFormat="false" ht="15" hidden="false" customHeight="false" outlineLevel="0" collapsed="false">
      <c r="A2016" s="23" t="str">
        <f aca="false">IF(B2016="","",B2016+(12*1000+365)/10000000)</f>
        <v/>
      </c>
      <c r="B2016" s="35" t="str">
        <f aca="false">IF(AND(IFERROR(N(INDEX(Clay_Offices!$A$2:$FZ$601,365,Sync!$C$11)),0)&gt;0,IFERROR(INDEX(Clay_Offices!$A$2:$FZ$601,365,Sync!$C$5)&amp;"","")&lt;&gt;"",OR(LEFT(IFERROR(INDEX(Clay_Offices!$A$2:$FZ$601,365,Sync!$C$5)&amp;"",""),6)&lt;&gt;"SAMPLE",Config!$B$19="Y")),IFERROR(N(INDEX(Clay_Offices!$A$2:$FZ$601,365,Sync!$C$11)),0),"")</f>
        <v/>
      </c>
      <c r="C2016" s="23" t="str">
        <f aca="false">IF(B2016="","","office")</f>
        <v/>
      </c>
      <c r="D2016" s="23" t="str">
        <f aca="false">IF(B2016="","",IFERROR(INDEX(Office_Log!$ED$2:$ED$201,MATCH(IFERROR(INDEX(Clay_Offices!$A$2:$FZ$601,365,Sync!$C$5)&amp;"",""),Office_Log!$A$2:$A$201,0))&amp;"",IFERROR(INDEX(Clay_Offices!$A$2:$FZ$601,365,Sync!$C$5)&amp;"","")&amp;""))</f>
        <v/>
      </c>
      <c r="E2016" s="23" t="str">
        <f aca="false">IF(B2016="","",IFERROR(INDEX(Clay_Offices!$A$2:$FZ$601,365,Sync!$C$6)&amp;"",""))</f>
        <v/>
      </c>
      <c r="F2016" s="23" t="str">
        <f aca="false">IF(B2016="","","outreach_sent")</f>
        <v/>
      </c>
      <c r="G2016" s="23" t="str">
        <f aca="false">IF(B2016="","","")</f>
        <v/>
      </c>
      <c r="H2016" s="23" t="str">
        <f aca="false">IF(B2016="","","")</f>
        <v/>
      </c>
      <c r="I2016" s="23" t="str">
        <f aca="false">IF(B2016="","","")</f>
        <v/>
      </c>
      <c r="J2016" s="23" t="str">
        <f aca="false">IF(B2016="","","touch_1; "&amp;IFERROR(INDEX(Clay_Offices!$A$2:$FZ$601,365,Sync!$C$10)&amp;"","")&amp;"; "&amp;IFERROR(INDEX(Clay_Offices!$A$2:$FZ$601,365,Sync!$C$9)&amp;"",""))</f>
        <v/>
      </c>
      <c r="K2016" s="32" t="s">
        <v>1363</v>
      </c>
    </row>
    <row r="2017" customFormat="false" ht="15" hidden="false" customHeight="false" outlineLevel="0" collapsed="false">
      <c r="A2017" s="23" t="str">
        <f aca="false">IF(B2017="","",B2017+(12*1000+366)/10000000)</f>
        <v/>
      </c>
      <c r="B2017" s="35" t="str">
        <f aca="false">IF(AND(IFERROR(N(INDEX(Clay_Offices!$A$2:$FZ$601,366,Sync!$C$11)),0)&gt;0,IFERROR(INDEX(Clay_Offices!$A$2:$FZ$601,366,Sync!$C$5)&amp;"","")&lt;&gt;"",OR(LEFT(IFERROR(INDEX(Clay_Offices!$A$2:$FZ$601,366,Sync!$C$5)&amp;"",""),6)&lt;&gt;"SAMPLE",Config!$B$19="Y")),IFERROR(N(INDEX(Clay_Offices!$A$2:$FZ$601,366,Sync!$C$11)),0),"")</f>
        <v/>
      </c>
      <c r="C2017" s="23" t="str">
        <f aca="false">IF(B2017="","","office")</f>
        <v/>
      </c>
      <c r="D2017" s="23" t="str">
        <f aca="false">IF(B2017="","",IFERROR(INDEX(Office_Log!$ED$2:$ED$201,MATCH(IFERROR(INDEX(Clay_Offices!$A$2:$FZ$601,366,Sync!$C$5)&amp;"",""),Office_Log!$A$2:$A$201,0))&amp;"",IFERROR(INDEX(Clay_Offices!$A$2:$FZ$601,366,Sync!$C$5)&amp;"","")&amp;""))</f>
        <v/>
      </c>
      <c r="E2017" s="23" t="str">
        <f aca="false">IF(B2017="","",IFERROR(INDEX(Clay_Offices!$A$2:$FZ$601,366,Sync!$C$6)&amp;"",""))</f>
        <v/>
      </c>
      <c r="F2017" s="23" t="str">
        <f aca="false">IF(B2017="","","outreach_sent")</f>
        <v/>
      </c>
      <c r="G2017" s="23" t="str">
        <f aca="false">IF(B2017="","","")</f>
        <v/>
      </c>
      <c r="H2017" s="23" t="str">
        <f aca="false">IF(B2017="","","")</f>
        <v/>
      </c>
      <c r="I2017" s="23" t="str">
        <f aca="false">IF(B2017="","","")</f>
        <v/>
      </c>
      <c r="J2017" s="23" t="str">
        <f aca="false">IF(B2017="","","touch_1; "&amp;IFERROR(INDEX(Clay_Offices!$A$2:$FZ$601,366,Sync!$C$10)&amp;"","")&amp;"; "&amp;IFERROR(INDEX(Clay_Offices!$A$2:$FZ$601,366,Sync!$C$9)&amp;"",""))</f>
        <v/>
      </c>
      <c r="K2017" s="32" t="s">
        <v>1363</v>
      </c>
    </row>
    <row r="2018" customFormat="false" ht="15" hidden="false" customHeight="false" outlineLevel="0" collapsed="false">
      <c r="A2018" s="23" t="str">
        <f aca="false">IF(B2018="","",B2018+(12*1000+367)/10000000)</f>
        <v/>
      </c>
      <c r="B2018" s="35" t="str">
        <f aca="false">IF(AND(IFERROR(N(INDEX(Clay_Offices!$A$2:$FZ$601,367,Sync!$C$11)),0)&gt;0,IFERROR(INDEX(Clay_Offices!$A$2:$FZ$601,367,Sync!$C$5)&amp;"","")&lt;&gt;"",OR(LEFT(IFERROR(INDEX(Clay_Offices!$A$2:$FZ$601,367,Sync!$C$5)&amp;"",""),6)&lt;&gt;"SAMPLE",Config!$B$19="Y")),IFERROR(N(INDEX(Clay_Offices!$A$2:$FZ$601,367,Sync!$C$11)),0),"")</f>
        <v/>
      </c>
      <c r="C2018" s="23" t="str">
        <f aca="false">IF(B2018="","","office")</f>
        <v/>
      </c>
      <c r="D2018" s="23" t="str">
        <f aca="false">IF(B2018="","",IFERROR(INDEX(Office_Log!$ED$2:$ED$201,MATCH(IFERROR(INDEX(Clay_Offices!$A$2:$FZ$601,367,Sync!$C$5)&amp;"",""),Office_Log!$A$2:$A$201,0))&amp;"",IFERROR(INDEX(Clay_Offices!$A$2:$FZ$601,367,Sync!$C$5)&amp;"","")&amp;""))</f>
        <v/>
      </c>
      <c r="E2018" s="23" t="str">
        <f aca="false">IF(B2018="","",IFERROR(INDEX(Clay_Offices!$A$2:$FZ$601,367,Sync!$C$6)&amp;"",""))</f>
        <v/>
      </c>
      <c r="F2018" s="23" t="str">
        <f aca="false">IF(B2018="","","outreach_sent")</f>
        <v/>
      </c>
      <c r="G2018" s="23" t="str">
        <f aca="false">IF(B2018="","","")</f>
        <v/>
      </c>
      <c r="H2018" s="23" t="str">
        <f aca="false">IF(B2018="","","")</f>
        <v/>
      </c>
      <c r="I2018" s="23" t="str">
        <f aca="false">IF(B2018="","","")</f>
        <v/>
      </c>
      <c r="J2018" s="23" t="str">
        <f aca="false">IF(B2018="","","touch_1; "&amp;IFERROR(INDEX(Clay_Offices!$A$2:$FZ$601,367,Sync!$C$10)&amp;"","")&amp;"; "&amp;IFERROR(INDEX(Clay_Offices!$A$2:$FZ$601,367,Sync!$C$9)&amp;"",""))</f>
        <v/>
      </c>
      <c r="K2018" s="32" t="s">
        <v>1363</v>
      </c>
    </row>
    <row r="2019" customFormat="false" ht="15" hidden="false" customHeight="false" outlineLevel="0" collapsed="false">
      <c r="A2019" s="23" t="str">
        <f aca="false">IF(B2019="","",B2019+(12*1000+368)/10000000)</f>
        <v/>
      </c>
      <c r="B2019" s="35" t="str">
        <f aca="false">IF(AND(IFERROR(N(INDEX(Clay_Offices!$A$2:$FZ$601,368,Sync!$C$11)),0)&gt;0,IFERROR(INDEX(Clay_Offices!$A$2:$FZ$601,368,Sync!$C$5)&amp;"","")&lt;&gt;"",OR(LEFT(IFERROR(INDEX(Clay_Offices!$A$2:$FZ$601,368,Sync!$C$5)&amp;"",""),6)&lt;&gt;"SAMPLE",Config!$B$19="Y")),IFERROR(N(INDEX(Clay_Offices!$A$2:$FZ$601,368,Sync!$C$11)),0),"")</f>
        <v/>
      </c>
      <c r="C2019" s="23" t="str">
        <f aca="false">IF(B2019="","","office")</f>
        <v/>
      </c>
      <c r="D2019" s="23" t="str">
        <f aca="false">IF(B2019="","",IFERROR(INDEX(Office_Log!$ED$2:$ED$201,MATCH(IFERROR(INDEX(Clay_Offices!$A$2:$FZ$601,368,Sync!$C$5)&amp;"",""),Office_Log!$A$2:$A$201,0))&amp;"",IFERROR(INDEX(Clay_Offices!$A$2:$FZ$601,368,Sync!$C$5)&amp;"","")&amp;""))</f>
        <v/>
      </c>
      <c r="E2019" s="23" t="str">
        <f aca="false">IF(B2019="","",IFERROR(INDEX(Clay_Offices!$A$2:$FZ$601,368,Sync!$C$6)&amp;"",""))</f>
        <v/>
      </c>
      <c r="F2019" s="23" t="str">
        <f aca="false">IF(B2019="","","outreach_sent")</f>
        <v/>
      </c>
      <c r="G2019" s="23" t="str">
        <f aca="false">IF(B2019="","","")</f>
        <v/>
      </c>
      <c r="H2019" s="23" t="str">
        <f aca="false">IF(B2019="","","")</f>
        <v/>
      </c>
      <c r="I2019" s="23" t="str">
        <f aca="false">IF(B2019="","","")</f>
        <v/>
      </c>
      <c r="J2019" s="23" t="str">
        <f aca="false">IF(B2019="","","touch_1; "&amp;IFERROR(INDEX(Clay_Offices!$A$2:$FZ$601,368,Sync!$C$10)&amp;"","")&amp;"; "&amp;IFERROR(INDEX(Clay_Offices!$A$2:$FZ$601,368,Sync!$C$9)&amp;"",""))</f>
        <v/>
      </c>
      <c r="K2019" s="32" t="s">
        <v>1363</v>
      </c>
    </row>
    <row r="2020" customFormat="false" ht="15" hidden="false" customHeight="false" outlineLevel="0" collapsed="false">
      <c r="A2020" s="23" t="str">
        <f aca="false">IF(B2020="","",B2020+(12*1000+369)/10000000)</f>
        <v/>
      </c>
      <c r="B2020" s="35" t="str">
        <f aca="false">IF(AND(IFERROR(N(INDEX(Clay_Offices!$A$2:$FZ$601,369,Sync!$C$11)),0)&gt;0,IFERROR(INDEX(Clay_Offices!$A$2:$FZ$601,369,Sync!$C$5)&amp;"","")&lt;&gt;"",OR(LEFT(IFERROR(INDEX(Clay_Offices!$A$2:$FZ$601,369,Sync!$C$5)&amp;"",""),6)&lt;&gt;"SAMPLE",Config!$B$19="Y")),IFERROR(N(INDEX(Clay_Offices!$A$2:$FZ$601,369,Sync!$C$11)),0),"")</f>
        <v/>
      </c>
      <c r="C2020" s="23" t="str">
        <f aca="false">IF(B2020="","","office")</f>
        <v/>
      </c>
      <c r="D2020" s="23" t="str">
        <f aca="false">IF(B2020="","",IFERROR(INDEX(Office_Log!$ED$2:$ED$201,MATCH(IFERROR(INDEX(Clay_Offices!$A$2:$FZ$601,369,Sync!$C$5)&amp;"",""),Office_Log!$A$2:$A$201,0))&amp;"",IFERROR(INDEX(Clay_Offices!$A$2:$FZ$601,369,Sync!$C$5)&amp;"","")&amp;""))</f>
        <v/>
      </c>
      <c r="E2020" s="23" t="str">
        <f aca="false">IF(B2020="","",IFERROR(INDEX(Clay_Offices!$A$2:$FZ$601,369,Sync!$C$6)&amp;"",""))</f>
        <v/>
      </c>
      <c r="F2020" s="23" t="str">
        <f aca="false">IF(B2020="","","outreach_sent")</f>
        <v/>
      </c>
      <c r="G2020" s="23" t="str">
        <f aca="false">IF(B2020="","","")</f>
        <v/>
      </c>
      <c r="H2020" s="23" t="str">
        <f aca="false">IF(B2020="","","")</f>
        <v/>
      </c>
      <c r="I2020" s="23" t="str">
        <f aca="false">IF(B2020="","","")</f>
        <v/>
      </c>
      <c r="J2020" s="23" t="str">
        <f aca="false">IF(B2020="","","touch_1; "&amp;IFERROR(INDEX(Clay_Offices!$A$2:$FZ$601,369,Sync!$C$10)&amp;"","")&amp;"; "&amp;IFERROR(INDEX(Clay_Offices!$A$2:$FZ$601,369,Sync!$C$9)&amp;"",""))</f>
        <v/>
      </c>
      <c r="K2020" s="32" t="s">
        <v>1363</v>
      </c>
    </row>
    <row r="2021" customFormat="false" ht="15" hidden="false" customHeight="false" outlineLevel="0" collapsed="false">
      <c r="A2021" s="23" t="str">
        <f aca="false">IF(B2021="","",B2021+(12*1000+370)/10000000)</f>
        <v/>
      </c>
      <c r="B2021" s="35" t="str">
        <f aca="false">IF(AND(IFERROR(N(INDEX(Clay_Offices!$A$2:$FZ$601,370,Sync!$C$11)),0)&gt;0,IFERROR(INDEX(Clay_Offices!$A$2:$FZ$601,370,Sync!$C$5)&amp;"","")&lt;&gt;"",OR(LEFT(IFERROR(INDEX(Clay_Offices!$A$2:$FZ$601,370,Sync!$C$5)&amp;"",""),6)&lt;&gt;"SAMPLE",Config!$B$19="Y")),IFERROR(N(INDEX(Clay_Offices!$A$2:$FZ$601,370,Sync!$C$11)),0),"")</f>
        <v/>
      </c>
      <c r="C2021" s="23" t="str">
        <f aca="false">IF(B2021="","","office")</f>
        <v/>
      </c>
      <c r="D2021" s="23" t="str">
        <f aca="false">IF(B2021="","",IFERROR(INDEX(Office_Log!$ED$2:$ED$201,MATCH(IFERROR(INDEX(Clay_Offices!$A$2:$FZ$601,370,Sync!$C$5)&amp;"",""),Office_Log!$A$2:$A$201,0))&amp;"",IFERROR(INDEX(Clay_Offices!$A$2:$FZ$601,370,Sync!$C$5)&amp;"","")&amp;""))</f>
        <v/>
      </c>
      <c r="E2021" s="23" t="str">
        <f aca="false">IF(B2021="","",IFERROR(INDEX(Clay_Offices!$A$2:$FZ$601,370,Sync!$C$6)&amp;"",""))</f>
        <v/>
      </c>
      <c r="F2021" s="23" t="str">
        <f aca="false">IF(B2021="","","outreach_sent")</f>
        <v/>
      </c>
      <c r="G2021" s="23" t="str">
        <f aca="false">IF(B2021="","","")</f>
        <v/>
      </c>
      <c r="H2021" s="23" t="str">
        <f aca="false">IF(B2021="","","")</f>
        <v/>
      </c>
      <c r="I2021" s="23" t="str">
        <f aca="false">IF(B2021="","","")</f>
        <v/>
      </c>
      <c r="J2021" s="23" t="str">
        <f aca="false">IF(B2021="","","touch_1; "&amp;IFERROR(INDEX(Clay_Offices!$A$2:$FZ$601,370,Sync!$C$10)&amp;"","")&amp;"; "&amp;IFERROR(INDEX(Clay_Offices!$A$2:$FZ$601,370,Sync!$C$9)&amp;"",""))</f>
        <v/>
      </c>
      <c r="K2021" s="32" t="s">
        <v>1363</v>
      </c>
    </row>
    <row r="2022" customFormat="false" ht="15" hidden="false" customHeight="false" outlineLevel="0" collapsed="false">
      <c r="A2022" s="23" t="str">
        <f aca="false">IF(B2022="","",B2022+(12*1000+371)/10000000)</f>
        <v/>
      </c>
      <c r="B2022" s="35" t="str">
        <f aca="false">IF(AND(IFERROR(N(INDEX(Clay_Offices!$A$2:$FZ$601,371,Sync!$C$11)),0)&gt;0,IFERROR(INDEX(Clay_Offices!$A$2:$FZ$601,371,Sync!$C$5)&amp;"","")&lt;&gt;"",OR(LEFT(IFERROR(INDEX(Clay_Offices!$A$2:$FZ$601,371,Sync!$C$5)&amp;"",""),6)&lt;&gt;"SAMPLE",Config!$B$19="Y")),IFERROR(N(INDEX(Clay_Offices!$A$2:$FZ$601,371,Sync!$C$11)),0),"")</f>
        <v/>
      </c>
      <c r="C2022" s="23" t="str">
        <f aca="false">IF(B2022="","","office")</f>
        <v/>
      </c>
      <c r="D2022" s="23" t="str">
        <f aca="false">IF(B2022="","",IFERROR(INDEX(Office_Log!$ED$2:$ED$201,MATCH(IFERROR(INDEX(Clay_Offices!$A$2:$FZ$601,371,Sync!$C$5)&amp;"",""),Office_Log!$A$2:$A$201,0))&amp;"",IFERROR(INDEX(Clay_Offices!$A$2:$FZ$601,371,Sync!$C$5)&amp;"","")&amp;""))</f>
        <v/>
      </c>
      <c r="E2022" s="23" t="str">
        <f aca="false">IF(B2022="","",IFERROR(INDEX(Clay_Offices!$A$2:$FZ$601,371,Sync!$C$6)&amp;"",""))</f>
        <v/>
      </c>
      <c r="F2022" s="23" t="str">
        <f aca="false">IF(B2022="","","outreach_sent")</f>
        <v/>
      </c>
      <c r="G2022" s="23" t="str">
        <f aca="false">IF(B2022="","","")</f>
        <v/>
      </c>
      <c r="H2022" s="23" t="str">
        <f aca="false">IF(B2022="","","")</f>
        <v/>
      </c>
      <c r="I2022" s="23" t="str">
        <f aca="false">IF(B2022="","","")</f>
        <v/>
      </c>
      <c r="J2022" s="23" t="str">
        <f aca="false">IF(B2022="","","touch_1; "&amp;IFERROR(INDEX(Clay_Offices!$A$2:$FZ$601,371,Sync!$C$10)&amp;"","")&amp;"; "&amp;IFERROR(INDEX(Clay_Offices!$A$2:$FZ$601,371,Sync!$C$9)&amp;"",""))</f>
        <v/>
      </c>
      <c r="K2022" s="32" t="s">
        <v>1363</v>
      </c>
    </row>
    <row r="2023" customFormat="false" ht="15" hidden="false" customHeight="false" outlineLevel="0" collapsed="false">
      <c r="A2023" s="23" t="str">
        <f aca="false">IF(B2023="","",B2023+(12*1000+372)/10000000)</f>
        <v/>
      </c>
      <c r="B2023" s="35" t="str">
        <f aca="false">IF(AND(IFERROR(N(INDEX(Clay_Offices!$A$2:$FZ$601,372,Sync!$C$11)),0)&gt;0,IFERROR(INDEX(Clay_Offices!$A$2:$FZ$601,372,Sync!$C$5)&amp;"","")&lt;&gt;"",OR(LEFT(IFERROR(INDEX(Clay_Offices!$A$2:$FZ$601,372,Sync!$C$5)&amp;"",""),6)&lt;&gt;"SAMPLE",Config!$B$19="Y")),IFERROR(N(INDEX(Clay_Offices!$A$2:$FZ$601,372,Sync!$C$11)),0),"")</f>
        <v/>
      </c>
      <c r="C2023" s="23" t="str">
        <f aca="false">IF(B2023="","","office")</f>
        <v/>
      </c>
      <c r="D2023" s="23" t="str">
        <f aca="false">IF(B2023="","",IFERROR(INDEX(Office_Log!$ED$2:$ED$201,MATCH(IFERROR(INDEX(Clay_Offices!$A$2:$FZ$601,372,Sync!$C$5)&amp;"",""),Office_Log!$A$2:$A$201,0))&amp;"",IFERROR(INDEX(Clay_Offices!$A$2:$FZ$601,372,Sync!$C$5)&amp;"","")&amp;""))</f>
        <v/>
      </c>
      <c r="E2023" s="23" t="str">
        <f aca="false">IF(B2023="","",IFERROR(INDEX(Clay_Offices!$A$2:$FZ$601,372,Sync!$C$6)&amp;"",""))</f>
        <v/>
      </c>
      <c r="F2023" s="23" t="str">
        <f aca="false">IF(B2023="","","outreach_sent")</f>
        <v/>
      </c>
      <c r="G2023" s="23" t="str">
        <f aca="false">IF(B2023="","","")</f>
        <v/>
      </c>
      <c r="H2023" s="23" t="str">
        <f aca="false">IF(B2023="","","")</f>
        <v/>
      </c>
      <c r="I2023" s="23" t="str">
        <f aca="false">IF(B2023="","","")</f>
        <v/>
      </c>
      <c r="J2023" s="23" t="str">
        <f aca="false">IF(B2023="","","touch_1; "&amp;IFERROR(INDEX(Clay_Offices!$A$2:$FZ$601,372,Sync!$C$10)&amp;"","")&amp;"; "&amp;IFERROR(INDEX(Clay_Offices!$A$2:$FZ$601,372,Sync!$C$9)&amp;"",""))</f>
        <v/>
      </c>
      <c r="K2023" s="32" t="s">
        <v>1363</v>
      </c>
    </row>
    <row r="2024" customFormat="false" ht="15" hidden="false" customHeight="false" outlineLevel="0" collapsed="false">
      <c r="A2024" s="23" t="str">
        <f aca="false">IF(B2024="","",B2024+(12*1000+373)/10000000)</f>
        <v/>
      </c>
      <c r="B2024" s="35" t="str">
        <f aca="false">IF(AND(IFERROR(N(INDEX(Clay_Offices!$A$2:$FZ$601,373,Sync!$C$11)),0)&gt;0,IFERROR(INDEX(Clay_Offices!$A$2:$FZ$601,373,Sync!$C$5)&amp;"","")&lt;&gt;"",OR(LEFT(IFERROR(INDEX(Clay_Offices!$A$2:$FZ$601,373,Sync!$C$5)&amp;"",""),6)&lt;&gt;"SAMPLE",Config!$B$19="Y")),IFERROR(N(INDEX(Clay_Offices!$A$2:$FZ$601,373,Sync!$C$11)),0),"")</f>
        <v/>
      </c>
      <c r="C2024" s="23" t="str">
        <f aca="false">IF(B2024="","","office")</f>
        <v/>
      </c>
      <c r="D2024" s="23" t="str">
        <f aca="false">IF(B2024="","",IFERROR(INDEX(Office_Log!$ED$2:$ED$201,MATCH(IFERROR(INDEX(Clay_Offices!$A$2:$FZ$601,373,Sync!$C$5)&amp;"",""),Office_Log!$A$2:$A$201,0))&amp;"",IFERROR(INDEX(Clay_Offices!$A$2:$FZ$601,373,Sync!$C$5)&amp;"","")&amp;""))</f>
        <v/>
      </c>
      <c r="E2024" s="23" t="str">
        <f aca="false">IF(B2024="","",IFERROR(INDEX(Clay_Offices!$A$2:$FZ$601,373,Sync!$C$6)&amp;"",""))</f>
        <v/>
      </c>
      <c r="F2024" s="23" t="str">
        <f aca="false">IF(B2024="","","outreach_sent")</f>
        <v/>
      </c>
      <c r="G2024" s="23" t="str">
        <f aca="false">IF(B2024="","","")</f>
        <v/>
      </c>
      <c r="H2024" s="23" t="str">
        <f aca="false">IF(B2024="","","")</f>
        <v/>
      </c>
      <c r="I2024" s="23" t="str">
        <f aca="false">IF(B2024="","","")</f>
        <v/>
      </c>
      <c r="J2024" s="23" t="str">
        <f aca="false">IF(B2024="","","touch_1; "&amp;IFERROR(INDEX(Clay_Offices!$A$2:$FZ$601,373,Sync!$C$10)&amp;"","")&amp;"; "&amp;IFERROR(INDEX(Clay_Offices!$A$2:$FZ$601,373,Sync!$C$9)&amp;"",""))</f>
        <v/>
      </c>
      <c r="K2024" s="32" t="s">
        <v>1363</v>
      </c>
    </row>
    <row r="2025" customFormat="false" ht="15" hidden="false" customHeight="false" outlineLevel="0" collapsed="false">
      <c r="A2025" s="23" t="str">
        <f aca="false">IF(B2025="","",B2025+(12*1000+374)/10000000)</f>
        <v/>
      </c>
      <c r="B2025" s="35" t="str">
        <f aca="false">IF(AND(IFERROR(N(INDEX(Clay_Offices!$A$2:$FZ$601,374,Sync!$C$11)),0)&gt;0,IFERROR(INDEX(Clay_Offices!$A$2:$FZ$601,374,Sync!$C$5)&amp;"","")&lt;&gt;"",OR(LEFT(IFERROR(INDEX(Clay_Offices!$A$2:$FZ$601,374,Sync!$C$5)&amp;"",""),6)&lt;&gt;"SAMPLE",Config!$B$19="Y")),IFERROR(N(INDEX(Clay_Offices!$A$2:$FZ$601,374,Sync!$C$11)),0),"")</f>
        <v/>
      </c>
      <c r="C2025" s="23" t="str">
        <f aca="false">IF(B2025="","","office")</f>
        <v/>
      </c>
      <c r="D2025" s="23" t="str">
        <f aca="false">IF(B2025="","",IFERROR(INDEX(Office_Log!$ED$2:$ED$201,MATCH(IFERROR(INDEX(Clay_Offices!$A$2:$FZ$601,374,Sync!$C$5)&amp;"",""),Office_Log!$A$2:$A$201,0))&amp;"",IFERROR(INDEX(Clay_Offices!$A$2:$FZ$601,374,Sync!$C$5)&amp;"","")&amp;""))</f>
        <v/>
      </c>
      <c r="E2025" s="23" t="str">
        <f aca="false">IF(B2025="","",IFERROR(INDEX(Clay_Offices!$A$2:$FZ$601,374,Sync!$C$6)&amp;"",""))</f>
        <v/>
      </c>
      <c r="F2025" s="23" t="str">
        <f aca="false">IF(B2025="","","outreach_sent")</f>
        <v/>
      </c>
      <c r="G2025" s="23" t="str">
        <f aca="false">IF(B2025="","","")</f>
        <v/>
      </c>
      <c r="H2025" s="23" t="str">
        <f aca="false">IF(B2025="","","")</f>
        <v/>
      </c>
      <c r="I2025" s="23" t="str">
        <f aca="false">IF(B2025="","","")</f>
        <v/>
      </c>
      <c r="J2025" s="23" t="str">
        <f aca="false">IF(B2025="","","touch_1; "&amp;IFERROR(INDEX(Clay_Offices!$A$2:$FZ$601,374,Sync!$C$10)&amp;"","")&amp;"; "&amp;IFERROR(INDEX(Clay_Offices!$A$2:$FZ$601,374,Sync!$C$9)&amp;"",""))</f>
        <v/>
      </c>
      <c r="K2025" s="32" t="s">
        <v>1363</v>
      </c>
    </row>
    <row r="2026" customFormat="false" ht="15" hidden="false" customHeight="false" outlineLevel="0" collapsed="false">
      <c r="A2026" s="23" t="str">
        <f aca="false">IF(B2026="","",B2026+(12*1000+375)/10000000)</f>
        <v/>
      </c>
      <c r="B2026" s="35" t="str">
        <f aca="false">IF(AND(IFERROR(N(INDEX(Clay_Offices!$A$2:$FZ$601,375,Sync!$C$11)),0)&gt;0,IFERROR(INDEX(Clay_Offices!$A$2:$FZ$601,375,Sync!$C$5)&amp;"","")&lt;&gt;"",OR(LEFT(IFERROR(INDEX(Clay_Offices!$A$2:$FZ$601,375,Sync!$C$5)&amp;"",""),6)&lt;&gt;"SAMPLE",Config!$B$19="Y")),IFERROR(N(INDEX(Clay_Offices!$A$2:$FZ$601,375,Sync!$C$11)),0),"")</f>
        <v/>
      </c>
      <c r="C2026" s="23" t="str">
        <f aca="false">IF(B2026="","","office")</f>
        <v/>
      </c>
      <c r="D2026" s="23" t="str">
        <f aca="false">IF(B2026="","",IFERROR(INDEX(Office_Log!$ED$2:$ED$201,MATCH(IFERROR(INDEX(Clay_Offices!$A$2:$FZ$601,375,Sync!$C$5)&amp;"",""),Office_Log!$A$2:$A$201,0))&amp;"",IFERROR(INDEX(Clay_Offices!$A$2:$FZ$601,375,Sync!$C$5)&amp;"","")&amp;""))</f>
        <v/>
      </c>
      <c r="E2026" s="23" t="str">
        <f aca="false">IF(B2026="","",IFERROR(INDEX(Clay_Offices!$A$2:$FZ$601,375,Sync!$C$6)&amp;"",""))</f>
        <v/>
      </c>
      <c r="F2026" s="23" t="str">
        <f aca="false">IF(B2026="","","outreach_sent")</f>
        <v/>
      </c>
      <c r="G2026" s="23" t="str">
        <f aca="false">IF(B2026="","","")</f>
        <v/>
      </c>
      <c r="H2026" s="23" t="str">
        <f aca="false">IF(B2026="","","")</f>
        <v/>
      </c>
      <c r="I2026" s="23" t="str">
        <f aca="false">IF(B2026="","","")</f>
        <v/>
      </c>
      <c r="J2026" s="23" t="str">
        <f aca="false">IF(B2026="","","touch_1; "&amp;IFERROR(INDEX(Clay_Offices!$A$2:$FZ$601,375,Sync!$C$10)&amp;"","")&amp;"; "&amp;IFERROR(INDEX(Clay_Offices!$A$2:$FZ$601,375,Sync!$C$9)&amp;"",""))</f>
        <v/>
      </c>
      <c r="K2026" s="32" t="s">
        <v>1363</v>
      </c>
    </row>
    <row r="2027" customFormat="false" ht="15" hidden="false" customHeight="false" outlineLevel="0" collapsed="false">
      <c r="A2027" s="23" t="str">
        <f aca="false">IF(B2027="","",B2027+(12*1000+376)/10000000)</f>
        <v/>
      </c>
      <c r="B2027" s="35" t="str">
        <f aca="false">IF(AND(IFERROR(N(INDEX(Clay_Offices!$A$2:$FZ$601,376,Sync!$C$11)),0)&gt;0,IFERROR(INDEX(Clay_Offices!$A$2:$FZ$601,376,Sync!$C$5)&amp;"","")&lt;&gt;"",OR(LEFT(IFERROR(INDEX(Clay_Offices!$A$2:$FZ$601,376,Sync!$C$5)&amp;"",""),6)&lt;&gt;"SAMPLE",Config!$B$19="Y")),IFERROR(N(INDEX(Clay_Offices!$A$2:$FZ$601,376,Sync!$C$11)),0),"")</f>
        <v/>
      </c>
      <c r="C2027" s="23" t="str">
        <f aca="false">IF(B2027="","","office")</f>
        <v/>
      </c>
      <c r="D2027" s="23" t="str">
        <f aca="false">IF(B2027="","",IFERROR(INDEX(Office_Log!$ED$2:$ED$201,MATCH(IFERROR(INDEX(Clay_Offices!$A$2:$FZ$601,376,Sync!$C$5)&amp;"",""),Office_Log!$A$2:$A$201,0))&amp;"",IFERROR(INDEX(Clay_Offices!$A$2:$FZ$601,376,Sync!$C$5)&amp;"","")&amp;""))</f>
        <v/>
      </c>
      <c r="E2027" s="23" t="str">
        <f aca="false">IF(B2027="","",IFERROR(INDEX(Clay_Offices!$A$2:$FZ$601,376,Sync!$C$6)&amp;"",""))</f>
        <v/>
      </c>
      <c r="F2027" s="23" t="str">
        <f aca="false">IF(B2027="","","outreach_sent")</f>
        <v/>
      </c>
      <c r="G2027" s="23" t="str">
        <f aca="false">IF(B2027="","","")</f>
        <v/>
      </c>
      <c r="H2027" s="23" t="str">
        <f aca="false">IF(B2027="","","")</f>
        <v/>
      </c>
      <c r="I2027" s="23" t="str">
        <f aca="false">IF(B2027="","","")</f>
        <v/>
      </c>
      <c r="J2027" s="23" t="str">
        <f aca="false">IF(B2027="","","touch_1; "&amp;IFERROR(INDEX(Clay_Offices!$A$2:$FZ$601,376,Sync!$C$10)&amp;"","")&amp;"; "&amp;IFERROR(INDEX(Clay_Offices!$A$2:$FZ$601,376,Sync!$C$9)&amp;"",""))</f>
        <v/>
      </c>
      <c r="K2027" s="32" t="s">
        <v>1363</v>
      </c>
    </row>
    <row r="2028" customFormat="false" ht="15" hidden="false" customHeight="false" outlineLevel="0" collapsed="false">
      <c r="A2028" s="23" t="str">
        <f aca="false">IF(B2028="","",B2028+(12*1000+377)/10000000)</f>
        <v/>
      </c>
      <c r="B2028" s="35" t="str">
        <f aca="false">IF(AND(IFERROR(N(INDEX(Clay_Offices!$A$2:$FZ$601,377,Sync!$C$11)),0)&gt;0,IFERROR(INDEX(Clay_Offices!$A$2:$FZ$601,377,Sync!$C$5)&amp;"","")&lt;&gt;"",OR(LEFT(IFERROR(INDEX(Clay_Offices!$A$2:$FZ$601,377,Sync!$C$5)&amp;"",""),6)&lt;&gt;"SAMPLE",Config!$B$19="Y")),IFERROR(N(INDEX(Clay_Offices!$A$2:$FZ$601,377,Sync!$C$11)),0),"")</f>
        <v/>
      </c>
      <c r="C2028" s="23" t="str">
        <f aca="false">IF(B2028="","","office")</f>
        <v/>
      </c>
      <c r="D2028" s="23" t="str">
        <f aca="false">IF(B2028="","",IFERROR(INDEX(Office_Log!$ED$2:$ED$201,MATCH(IFERROR(INDEX(Clay_Offices!$A$2:$FZ$601,377,Sync!$C$5)&amp;"",""),Office_Log!$A$2:$A$201,0))&amp;"",IFERROR(INDEX(Clay_Offices!$A$2:$FZ$601,377,Sync!$C$5)&amp;"","")&amp;""))</f>
        <v/>
      </c>
      <c r="E2028" s="23" t="str">
        <f aca="false">IF(B2028="","",IFERROR(INDEX(Clay_Offices!$A$2:$FZ$601,377,Sync!$C$6)&amp;"",""))</f>
        <v/>
      </c>
      <c r="F2028" s="23" t="str">
        <f aca="false">IF(B2028="","","outreach_sent")</f>
        <v/>
      </c>
      <c r="G2028" s="23" t="str">
        <f aca="false">IF(B2028="","","")</f>
        <v/>
      </c>
      <c r="H2028" s="23" t="str">
        <f aca="false">IF(B2028="","","")</f>
        <v/>
      </c>
      <c r="I2028" s="23" t="str">
        <f aca="false">IF(B2028="","","")</f>
        <v/>
      </c>
      <c r="J2028" s="23" t="str">
        <f aca="false">IF(B2028="","","touch_1; "&amp;IFERROR(INDEX(Clay_Offices!$A$2:$FZ$601,377,Sync!$C$10)&amp;"","")&amp;"; "&amp;IFERROR(INDEX(Clay_Offices!$A$2:$FZ$601,377,Sync!$C$9)&amp;"",""))</f>
        <v/>
      </c>
      <c r="K2028" s="32" t="s">
        <v>1363</v>
      </c>
    </row>
    <row r="2029" customFormat="false" ht="15" hidden="false" customHeight="false" outlineLevel="0" collapsed="false">
      <c r="A2029" s="23" t="str">
        <f aca="false">IF(B2029="","",B2029+(12*1000+378)/10000000)</f>
        <v/>
      </c>
      <c r="B2029" s="35" t="str">
        <f aca="false">IF(AND(IFERROR(N(INDEX(Clay_Offices!$A$2:$FZ$601,378,Sync!$C$11)),0)&gt;0,IFERROR(INDEX(Clay_Offices!$A$2:$FZ$601,378,Sync!$C$5)&amp;"","")&lt;&gt;"",OR(LEFT(IFERROR(INDEX(Clay_Offices!$A$2:$FZ$601,378,Sync!$C$5)&amp;"",""),6)&lt;&gt;"SAMPLE",Config!$B$19="Y")),IFERROR(N(INDEX(Clay_Offices!$A$2:$FZ$601,378,Sync!$C$11)),0),"")</f>
        <v/>
      </c>
      <c r="C2029" s="23" t="str">
        <f aca="false">IF(B2029="","","office")</f>
        <v/>
      </c>
      <c r="D2029" s="23" t="str">
        <f aca="false">IF(B2029="","",IFERROR(INDEX(Office_Log!$ED$2:$ED$201,MATCH(IFERROR(INDEX(Clay_Offices!$A$2:$FZ$601,378,Sync!$C$5)&amp;"",""),Office_Log!$A$2:$A$201,0))&amp;"",IFERROR(INDEX(Clay_Offices!$A$2:$FZ$601,378,Sync!$C$5)&amp;"","")&amp;""))</f>
        <v/>
      </c>
      <c r="E2029" s="23" t="str">
        <f aca="false">IF(B2029="","",IFERROR(INDEX(Clay_Offices!$A$2:$FZ$601,378,Sync!$C$6)&amp;"",""))</f>
        <v/>
      </c>
      <c r="F2029" s="23" t="str">
        <f aca="false">IF(B2029="","","outreach_sent")</f>
        <v/>
      </c>
      <c r="G2029" s="23" t="str">
        <f aca="false">IF(B2029="","","")</f>
        <v/>
      </c>
      <c r="H2029" s="23" t="str">
        <f aca="false">IF(B2029="","","")</f>
        <v/>
      </c>
      <c r="I2029" s="23" t="str">
        <f aca="false">IF(B2029="","","")</f>
        <v/>
      </c>
      <c r="J2029" s="23" t="str">
        <f aca="false">IF(B2029="","","touch_1; "&amp;IFERROR(INDEX(Clay_Offices!$A$2:$FZ$601,378,Sync!$C$10)&amp;"","")&amp;"; "&amp;IFERROR(INDEX(Clay_Offices!$A$2:$FZ$601,378,Sync!$C$9)&amp;"",""))</f>
        <v/>
      </c>
      <c r="K2029" s="32" t="s">
        <v>1363</v>
      </c>
    </row>
    <row r="2030" customFormat="false" ht="15" hidden="false" customHeight="false" outlineLevel="0" collapsed="false">
      <c r="A2030" s="23" t="str">
        <f aca="false">IF(B2030="","",B2030+(12*1000+379)/10000000)</f>
        <v/>
      </c>
      <c r="B2030" s="35" t="str">
        <f aca="false">IF(AND(IFERROR(N(INDEX(Clay_Offices!$A$2:$FZ$601,379,Sync!$C$11)),0)&gt;0,IFERROR(INDEX(Clay_Offices!$A$2:$FZ$601,379,Sync!$C$5)&amp;"","")&lt;&gt;"",OR(LEFT(IFERROR(INDEX(Clay_Offices!$A$2:$FZ$601,379,Sync!$C$5)&amp;"",""),6)&lt;&gt;"SAMPLE",Config!$B$19="Y")),IFERROR(N(INDEX(Clay_Offices!$A$2:$FZ$601,379,Sync!$C$11)),0),"")</f>
        <v/>
      </c>
      <c r="C2030" s="23" t="str">
        <f aca="false">IF(B2030="","","office")</f>
        <v/>
      </c>
      <c r="D2030" s="23" t="str">
        <f aca="false">IF(B2030="","",IFERROR(INDEX(Office_Log!$ED$2:$ED$201,MATCH(IFERROR(INDEX(Clay_Offices!$A$2:$FZ$601,379,Sync!$C$5)&amp;"",""),Office_Log!$A$2:$A$201,0))&amp;"",IFERROR(INDEX(Clay_Offices!$A$2:$FZ$601,379,Sync!$C$5)&amp;"","")&amp;""))</f>
        <v/>
      </c>
      <c r="E2030" s="23" t="str">
        <f aca="false">IF(B2030="","",IFERROR(INDEX(Clay_Offices!$A$2:$FZ$601,379,Sync!$C$6)&amp;"",""))</f>
        <v/>
      </c>
      <c r="F2030" s="23" t="str">
        <f aca="false">IF(B2030="","","outreach_sent")</f>
        <v/>
      </c>
      <c r="G2030" s="23" t="str">
        <f aca="false">IF(B2030="","","")</f>
        <v/>
      </c>
      <c r="H2030" s="23" t="str">
        <f aca="false">IF(B2030="","","")</f>
        <v/>
      </c>
      <c r="I2030" s="23" t="str">
        <f aca="false">IF(B2030="","","")</f>
        <v/>
      </c>
      <c r="J2030" s="23" t="str">
        <f aca="false">IF(B2030="","","touch_1; "&amp;IFERROR(INDEX(Clay_Offices!$A$2:$FZ$601,379,Sync!$C$10)&amp;"","")&amp;"; "&amp;IFERROR(INDEX(Clay_Offices!$A$2:$FZ$601,379,Sync!$C$9)&amp;"",""))</f>
        <v/>
      </c>
      <c r="K2030" s="32" t="s">
        <v>1363</v>
      </c>
    </row>
    <row r="2031" customFormat="false" ht="15" hidden="false" customHeight="false" outlineLevel="0" collapsed="false">
      <c r="A2031" s="23" t="str">
        <f aca="false">IF(B2031="","",B2031+(12*1000+380)/10000000)</f>
        <v/>
      </c>
      <c r="B2031" s="35" t="str">
        <f aca="false">IF(AND(IFERROR(N(INDEX(Clay_Offices!$A$2:$FZ$601,380,Sync!$C$11)),0)&gt;0,IFERROR(INDEX(Clay_Offices!$A$2:$FZ$601,380,Sync!$C$5)&amp;"","")&lt;&gt;"",OR(LEFT(IFERROR(INDEX(Clay_Offices!$A$2:$FZ$601,380,Sync!$C$5)&amp;"",""),6)&lt;&gt;"SAMPLE",Config!$B$19="Y")),IFERROR(N(INDEX(Clay_Offices!$A$2:$FZ$601,380,Sync!$C$11)),0),"")</f>
        <v/>
      </c>
      <c r="C2031" s="23" t="str">
        <f aca="false">IF(B2031="","","office")</f>
        <v/>
      </c>
      <c r="D2031" s="23" t="str">
        <f aca="false">IF(B2031="","",IFERROR(INDEX(Office_Log!$ED$2:$ED$201,MATCH(IFERROR(INDEX(Clay_Offices!$A$2:$FZ$601,380,Sync!$C$5)&amp;"",""),Office_Log!$A$2:$A$201,0))&amp;"",IFERROR(INDEX(Clay_Offices!$A$2:$FZ$601,380,Sync!$C$5)&amp;"","")&amp;""))</f>
        <v/>
      </c>
      <c r="E2031" s="23" t="str">
        <f aca="false">IF(B2031="","",IFERROR(INDEX(Clay_Offices!$A$2:$FZ$601,380,Sync!$C$6)&amp;"",""))</f>
        <v/>
      </c>
      <c r="F2031" s="23" t="str">
        <f aca="false">IF(B2031="","","outreach_sent")</f>
        <v/>
      </c>
      <c r="G2031" s="23" t="str">
        <f aca="false">IF(B2031="","","")</f>
        <v/>
      </c>
      <c r="H2031" s="23" t="str">
        <f aca="false">IF(B2031="","","")</f>
        <v/>
      </c>
      <c r="I2031" s="23" t="str">
        <f aca="false">IF(B2031="","","")</f>
        <v/>
      </c>
      <c r="J2031" s="23" t="str">
        <f aca="false">IF(B2031="","","touch_1; "&amp;IFERROR(INDEX(Clay_Offices!$A$2:$FZ$601,380,Sync!$C$10)&amp;"","")&amp;"; "&amp;IFERROR(INDEX(Clay_Offices!$A$2:$FZ$601,380,Sync!$C$9)&amp;"",""))</f>
        <v/>
      </c>
      <c r="K2031" s="32" t="s">
        <v>1363</v>
      </c>
    </row>
    <row r="2032" customFormat="false" ht="15" hidden="false" customHeight="false" outlineLevel="0" collapsed="false">
      <c r="A2032" s="23" t="str">
        <f aca="false">IF(B2032="","",B2032+(12*1000+381)/10000000)</f>
        <v/>
      </c>
      <c r="B2032" s="35" t="str">
        <f aca="false">IF(AND(IFERROR(N(INDEX(Clay_Offices!$A$2:$FZ$601,381,Sync!$C$11)),0)&gt;0,IFERROR(INDEX(Clay_Offices!$A$2:$FZ$601,381,Sync!$C$5)&amp;"","")&lt;&gt;"",OR(LEFT(IFERROR(INDEX(Clay_Offices!$A$2:$FZ$601,381,Sync!$C$5)&amp;"",""),6)&lt;&gt;"SAMPLE",Config!$B$19="Y")),IFERROR(N(INDEX(Clay_Offices!$A$2:$FZ$601,381,Sync!$C$11)),0),"")</f>
        <v/>
      </c>
      <c r="C2032" s="23" t="str">
        <f aca="false">IF(B2032="","","office")</f>
        <v/>
      </c>
      <c r="D2032" s="23" t="str">
        <f aca="false">IF(B2032="","",IFERROR(INDEX(Office_Log!$ED$2:$ED$201,MATCH(IFERROR(INDEX(Clay_Offices!$A$2:$FZ$601,381,Sync!$C$5)&amp;"",""),Office_Log!$A$2:$A$201,0))&amp;"",IFERROR(INDEX(Clay_Offices!$A$2:$FZ$601,381,Sync!$C$5)&amp;"","")&amp;""))</f>
        <v/>
      </c>
      <c r="E2032" s="23" t="str">
        <f aca="false">IF(B2032="","",IFERROR(INDEX(Clay_Offices!$A$2:$FZ$601,381,Sync!$C$6)&amp;"",""))</f>
        <v/>
      </c>
      <c r="F2032" s="23" t="str">
        <f aca="false">IF(B2032="","","outreach_sent")</f>
        <v/>
      </c>
      <c r="G2032" s="23" t="str">
        <f aca="false">IF(B2032="","","")</f>
        <v/>
      </c>
      <c r="H2032" s="23" t="str">
        <f aca="false">IF(B2032="","","")</f>
        <v/>
      </c>
      <c r="I2032" s="23" t="str">
        <f aca="false">IF(B2032="","","")</f>
        <v/>
      </c>
      <c r="J2032" s="23" t="str">
        <f aca="false">IF(B2032="","","touch_1; "&amp;IFERROR(INDEX(Clay_Offices!$A$2:$FZ$601,381,Sync!$C$10)&amp;"","")&amp;"; "&amp;IFERROR(INDEX(Clay_Offices!$A$2:$FZ$601,381,Sync!$C$9)&amp;"",""))</f>
        <v/>
      </c>
      <c r="K2032" s="32" t="s">
        <v>1363</v>
      </c>
    </row>
    <row r="2033" customFormat="false" ht="15" hidden="false" customHeight="false" outlineLevel="0" collapsed="false">
      <c r="A2033" s="23" t="str">
        <f aca="false">IF(B2033="","",B2033+(12*1000+382)/10000000)</f>
        <v/>
      </c>
      <c r="B2033" s="35" t="str">
        <f aca="false">IF(AND(IFERROR(N(INDEX(Clay_Offices!$A$2:$FZ$601,382,Sync!$C$11)),0)&gt;0,IFERROR(INDEX(Clay_Offices!$A$2:$FZ$601,382,Sync!$C$5)&amp;"","")&lt;&gt;"",OR(LEFT(IFERROR(INDEX(Clay_Offices!$A$2:$FZ$601,382,Sync!$C$5)&amp;"",""),6)&lt;&gt;"SAMPLE",Config!$B$19="Y")),IFERROR(N(INDEX(Clay_Offices!$A$2:$FZ$601,382,Sync!$C$11)),0),"")</f>
        <v/>
      </c>
      <c r="C2033" s="23" t="str">
        <f aca="false">IF(B2033="","","office")</f>
        <v/>
      </c>
      <c r="D2033" s="23" t="str">
        <f aca="false">IF(B2033="","",IFERROR(INDEX(Office_Log!$ED$2:$ED$201,MATCH(IFERROR(INDEX(Clay_Offices!$A$2:$FZ$601,382,Sync!$C$5)&amp;"",""),Office_Log!$A$2:$A$201,0))&amp;"",IFERROR(INDEX(Clay_Offices!$A$2:$FZ$601,382,Sync!$C$5)&amp;"","")&amp;""))</f>
        <v/>
      </c>
      <c r="E2033" s="23" t="str">
        <f aca="false">IF(B2033="","",IFERROR(INDEX(Clay_Offices!$A$2:$FZ$601,382,Sync!$C$6)&amp;"",""))</f>
        <v/>
      </c>
      <c r="F2033" s="23" t="str">
        <f aca="false">IF(B2033="","","outreach_sent")</f>
        <v/>
      </c>
      <c r="G2033" s="23" t="str">
        <f aca="false">IF(B2033="","","")</f>
        <v/>
      </c>
      <c r="H2033" s="23" t="str">
        <f aca="false">IF(B2033="","","")</f>
        <v/>
      </c>
      <c r="I2033" s="23" t="str">
        <f aca="false">IF(B2033="","","")</f>
        <v/>
      </c>
      <c r="J2033" s="23" t="str">
        <f aca="false">IF(B2033="","","touch_1; "&amp;IFERROR(INDEX(Clay_Offices!$A$2:$FZ$601,382,Sync!$C$10)&amp;"","")&amp;"; "&amp;IFERROR(INDEX(Clay_Offices!$A$2:$FZ$601,382,Sync!$C$9)&amp;"",""))</f>
        <v/>
      </c>
      <c r="K2033" s="32" t="s">
        <v>1363</v>
      </c>
    </row>
    <row r="2034" customFormat="false" ht="15" hidden="false" customHeight="false" outlineLevel="0" collapsed="false">
      <c r="A2034" s="23" t="str">
        <f aca="false">IF(B2034="","",B2034+(12*1000+383)/10000000)</f>
        <v/>
      </c>
      <c r="B2034" s="35" t="str">
        <f aca="false">IF(AND(IFERROR(N(INDEX(Clay_Offices!$A$2:$FZ$601,383,Sync!$C$11)),0)&gt;0,IFERROR(INDEX(Clay_Offices!$A$2:$FZ$601,383,Sync!$C$5)&amp;"","")&lt;&gt;"",OR(LEFT(IFERROR(INDEX(Clay_Offices!$A$2:$FZ$601,383,Sync!$C$5)&amp;"",""),6)&lt;&gt;"SAMPLE",Config!$B$19="Y")),IFERROR(N(INDEX(Clay_Offices!$A$2:$FZ$601,383,Sync!$C$11)),0),"")</f>
        <v/>
      </c>
      <c r="C2034" s="23" t="str">
        <f aca="false">IF(B2034="","","office")</f>
        <v/>
      </c>
      <c r="D2034" s="23" t="str">
        <f aca="false">IF(B2034="","",IFERROR(INDEX(Office_Log!$ED$2:$ED$201,MATCH(IFERROR(INDEX(Clay_Offices!$A$2:$FZ$601,383,Sync!$C$5)&amp;"",""),Office_Log!$A$2:$A$201,0))&amp;"",IFERROR(INDEX(Clay_Offices!$A$2:$FZ$601,383,Sync!$C$5)&amp;"","")&amp;""))</f>
        <v/>
      </c>
      <c r="E2034" s="23" t="str">
        <f aca="false">IF(B2034="","",IFERROR(INDEX(Clay_Offices!$A$2:$FZ$601,383,Sync!$C$6)&amp;"",""))</f>
        <v/>
      </c>
      <c r="F2034" s="23" t="str">
        <f aca="false">IF(B2034="","","outreach_sent")</f>
        <v/>
      </c>
      <c r="G2034" s="23" t="str">
        <f aca="false">IF(B2034="","","")</f>
        <v/>
      </c>
      <c r="H2034" s="23" t="str">
        <f aca="false">IF(B2034="","","")</f>
        <v/>
      </c>
      <c r="I2034" s="23" t="str">
        <f aca="false">IF(B2034="","","")</f>
        <v/>
      </c>
      <c r="J2034" s="23" t="str">
        <f aca="false">IF(B2034="","","touch_1; "&amp;IFERROR(INDEX(Clay_Offices!$A$2:$FZ$601,383,Sync!$C$10)&amp;"","")&amp;"; "&amp;IFERROR(INDEX(Clay_Offices!$A$2:$FZ$601,383,Sync!$C$9)&amp;"",""))</f>
        <v/>
      </c>
      <c r="K2034" s="32" t="s">
        <v>1363</v>
      </c>
    </row>
    <row r="2035" customFormat="false" ht="15" hidden="false" customHeight="false" outlineLevel="0" collapsed="false">
      <c r="A2035" s="23" t="str">
        <f aca="false">IF(B2035="","",B2035+(12*1000+384)/10000000)</f>
        <v/>
      </c>
      <c r="B2035" s="35" t="str">
        <f aca="false">IF(AND(IFERROR(N(INDEX(Clay_Offices!$A$2:$FZ$601,384,Sync!$C$11)),0)&gt;0,IFERROR(INDEX(Clay_Offices!$A$2:$FZ$601,384,Sync!$C$5)&amp;"","")&lt;&gt;"",OR(LEFT(IFERROR(INDEX(Clay_Offices!$A$2:$FZ$601,384,Sync!$C$5)&amp;"",""),6)&lt;&gt;"SAMPLE",Config!$B$19="Y")),IFERROR(N(INDEX(Clay_Offices!$A$2:$FZ$601,384,Sync!$C$11)),0),"")</f>
        <v/>
      </c>
      <c r="C2035" s="23" t="str">
        <f aca="false">IF(B2035="","","office")</f>
        <v/>
      </c>
      <c r="D2035" s="23" t="str">
        <f aca="false">IF(B2035="","",IFERROR(INDEX(Office_Log!$ED$2:$ED$201,MATCH(IFERROR(INDEX(Clay_Offices!$A$2:$FZ$601,384,Sync!$C$5)&amp;"",""),Office_Log!$A$2:$A$201,0))&amp;"",IFERROR(INDEX(Clay_Offices!$A$2:$FZ$601,384,Sync!$C$5)&amp;"","")&amp;""))</f>
        <v/>
      </c>
      <c r="E2035" s="23" t="str">
        <f aca="false">IF(B2035="","",IFERROR(INDEX(Clay_Offices!$A$2:$FZ$601,384,Sync!$C$6)&amp;"",""))</f>
        <v/>
      </c>
      <c r="F2035" s="23" t="str">
        <f aca="false">IF(B2035="","","outreach_sent")</f>
        <v/>
      </c>
      <c r="G2035" s="23" t="str">
        <f aca="false">IF(B2035="","","")</f>
        <v/>
      </c>
      <c r="H2035" s="23" t="str">
        <f aca="false">IF(B2035="","","")</f>
        <v/>
      </c>
      <c r="I2035" s="23" t="str">
        <f aca="false">IF(B2035="","","")</f>
        <v/>
      </c>
      <c r="J2035" s="23" t="str">
        <f aca="false">IF(B2035="","","touch_1; "&amp;IFERROR(INDEX(Clay_Offices!$A$2:$FZ$601,384,Sync!$C$10)&amp;"","")&amp;"; "&amp;IFERROR(INDEX(Clay_Offices!$A$2:$FZ$601,384,Sync!$C$9)&amp;"",""))</f>
        <v/>
      </c>
      <c r="K2035" s="32" t="s">
        <v>1363</v>
      </c>
    </row>
    <row r="2036" customFormat="false" ht="15" hidden="false" customHeight="false" outlineLevel="0" collapsed="false">
      <c r="A2036" s="23" t="str">
        <f aca="false">IF(B2036="","",B2036+(12*1000+385)/10000000)</f>
        <v/>
      </c>
      <c r="B2036" s="35" t="str">
        <f aca="false">IF(AND(IFERROR(N(INDEX(Clay_Offices!$A$2:$FZ$601,385,Sync!$C$11)),0)&gt;0,IFERROR(INDEX(Clay_Offices!$A$2:$FZ$601,385,Sync!$C$5)&amp;"","")&lt;&gt;"",OR(LEFT(IFERROR(INDEX(Clay_Offices!$A$2:$FZ$601,385,Sync!$C$5)&amp;"",""),6)&lt;&gt;"SAMPLE",Config!$B$19="Y")),IFERROR(N(INDEX(Clay_Offices!$A$2:$FZ$601,385,Sync!$C$11)),0),"")</f>
        <v/>
      </c>
      <c r="C2036" s="23" t="str">
        <f aca="false">IF(B2036="","","office")</f>
        <v/>
      </c>
      <c r="D2036" s="23" t="str">
        <f aca="false">IF(B2036="","",IFERROR(INDEX(Office_Log!$ED$2:$ED$201,MATCH(IFERROR(INDEX(Clay_Offices!$A$2:$FZ$601,385,Sync!$C$5)&amp;"",""),Office_Log!$A$2:$A$201,0))&amp;"",IFERROR(INDEX(Clay_Offices!$A$2:$FZ$601,385,Sync!$C$5)&amp;"","")&amp;""))</f>
        <v/>
      </c>
      <c r="E2036" s="23" t="str">
        <f aca="false">IF(B2036="","",IFERROR(INDEX(Clay_Offices!$A$2:$FZ$601,385,Sync!$C$6)&amp;"",""))</f>
        <v/>
      </c>
      <c r="F2036" s="23" t="str">
        <f aca="false">IF(B2036="","","outreach_sent")</f>
        <v/>
      </c>
      <c r="G2036" s="23" t="str">
        <f aca="false">IF(B2036="","","")</f>
        <v/>
      </c>
      <c r="H2036" s="23" t="str">
        <f aca="false">IF(B2036="","","")</f>
        <v/>
      </c>
      <c r="I2036" s="23" t="str">
        <f aca="false">IF(B2036="","","")</f>
        <v/>
      </c>
      <c r="J2036" s="23" t="str">
        <f aca="false">IF(B2036="","","touch_1; "&amp;IFERROR(INDEX(Clay_Offices!$A$2:$FZ$601,385,Sync!$C$10)&amp;"","")&amp;"; "&amp;IFERROR(INDEX(Clay_Offices!$A$2:$FZ$601,385,Sync!$C$9)&amp;"",""))</f>
        <v/>
      </c>
      <c r="K2036" s="32" t="s">
        <v>1363</v>
      </c>
    </row>
    <row r="2037" customFormat="false" ht="15" hidden="false" customHeight="false" outlineLevel="0" collapsed="false">
      <c r="A2037" s="23" t="str">
        <f aca="false">IF(B2037="","",B2037+(12*1000+386)/10000000)</f>
        <v/>
      </c>
      <c r="B2037" s="35" t="str">
        <f aca="false">IF(AND(IFERROR(N(INDEX(Clay_Offices!$A$2:$FZ$601,386,Sync!$C$11)),0)&gt;0,IFERROR(INDEX(Clay_Offices!$A$2:$FZ$601,386,Sync!$C$5)&amp;"","")&lt;&gt;"",OR(LEFT(IFERROR(INDEX(Clay_Offices!$A$2:$FZ$601,386,Sync!$C$5)&amp;"",""),6)&lt;&gt;"SAMPLE",Config!$B$19="Y")),IFERROR(N(INDEX(Clay_Offices!$A$2:$FZ$601,386,Sync!$C$11)),0),"")</f>
        <v/>
      </c>
      <c r="C2037" s="23" t="str">
        <f aca="false">IF(B2037="","","office")</f>
        <v/>
      </c>
      <c r="D2037" s="23" t="str">
        <f aca="false">IF(B2037="","",IFERROR(INDEX(Office_Log!$ED$2:$ED$201,MATCH(IFERROR(INDEX(Clay_Offices!$A$2:$FZ$601,386,Sync!$C$5)&amp;"",""),Office_Log!$A$2:$A$201,0))&amp;"",IFERROR(INDEX(Clay_Offices!$A$2:$FZ$601,386,Sync!$C$5)&amp;"","")&amp;""))</f>
        <v/>
      </c>
      <c r="E2037" s="23" t="str">
        <f aca="false">IF(B2037="","",IFERROR(INDEX(Clay_Offices!$A$2:$FZ$601,386,Sync!$C$6)&amp;"",""))</f>
        <v/>
      </c>
      <c r="F2037" s="23" t="str">
        <f aca="false">IF(B2037="","","outreach_sent")</f>
        <v/>
      </c>
      <c r="G2037" s="23" t="str">
        <f aca="false">IF(B2037="","","")</f>
        <v/>
      </c>
      <c r="H2037" s="23" t="str">
        <f aca="false">IF(B2037="","","")</f>
        <v/>
      </c>
      <c r="I2037" s="23" t="str">
        <f aca="false">IF(B2037="","","")</f>
        <v/>
      </c>
      <c r="J2037" s="23" t="str">
        <f aca="false">IF(B2037="","","touch_1; "&amp;IFERROR(INDEX(Clay_Offices!$A$2:$FZ$601,386,Sync!$C$10)&amp;"","")&amp;"; "&amp;IFERROR(INDEX(Clay_Offices!$A$2:$FZ$601,386,Sync!$C$9)&amp;"",""))</f>
        <v/>
      </c>
      <c r="K2037" s="32" t="s">
        <v>1363</v>
      </c>
    </row>
    <row r="2038" customFormat="false" ht="15" hidden="false" customHeight="false" outlineLevel="0" collapsed="false">
      <c r="A2038" s="23" t="str">
        <f aca="false">IF(B2038="","",B2038+(12*1000+387)/10000000)</f>
        <v/>
      </c>
      <c r="B2038" s="35" t="str">
        <f aca="false">IF(AND(IFERROR(N(INDEX(Clay_Offices!$A$2:$FZ$601,387,Sync!$C$11)),0)&gt;0,IFERROR(INDEX(Clay_Offices!$A$2:$FZ$601,387,Sync!$C$5)&amp;"","")&lt;&gt;"",OR(LEFT(IFERROR(INDEX(Clay_Offices!$A$2:$FZ$601,387,Sync!$C$5)&amp;"",""),6)&lt;&gt;"SAMPLE",Config!$B$19="Y")),IFERROR(N(INDEX(Clay_Offices!$A$2:$FZ$601,387,Sync!$C$11)),0),"")</f>
        <v/>
      </c>
      <c r="C2038" s="23" t="str">
        <f aca="false">IF(B2038="","","office")</f>
        <v/>
      </c>
      <c r="D2038" s="23" t="str">
        <f aca="false">IF(B2038="","",IFERROR(INDEX(Office_Log!$ED$2:$ED$201,MATCH(IFERROR(INDEX(Clay_Offices!$A$2:$FZ$601,387,Sync!$C$5)&amp;"",""),Office_Log!$A$2:$A$201,0))&amp;"",IFERROR(INDEX(Clay_Offices!$A$2:$FZ$601,387,Sync!$C$5)&amp;"","")&amp;""))</f>
        <v/>
      </c>
      <c r="E2038" s="23" t="str">
        <f aca="false">IF(B2038="","",IFERROR(INDEX(Clay_Offices!$A$2:$FZ$601,387,Sync!$C$6)&amp;"",""))</f>
        <v/>
      </c>
      <c r="F2038" s="23" t="str">
        <f aca="false">IF(B2038="","","outreach_sent")</f>
        <v/>
      </c>
      <c r="G2038" s="23" t="str">
        <f aca="false">IF(B2038="","","")</f>
        <v/>
      </c>
      <c r="H2038" s="23" t="str">
        <f aca="false">IF(B2038="","","")</f>
        <v/>
      </c>
      <c r="I2038" s="23" t="str">
        <f aca="false">IF(B2038="","","")</f>
        <v/>
      </c>
      <c r="J2038" s="23" t="str">
        <f aca="false">IF(B2038="","","touch_1; "&amp;IFERROR(INDEX(Clay_Offices!$A$2:$FZ$601,387,Sync!$C$10)&amp;"","")&amp;"; "&amp;IFERROR(INDEX(Clay_Offices!$A$2:$FZ$601,387,Sync!$C$9)&amp;"",""))</f>
        <v/>
      </c>
      <c r="K2038" s="32" t="s">
        <v>1363</v>
      </c>
    </row>
    <row r="2039" customFormat="false" ht="15" hidden="false" customHeight="false" outlineLevel="0" collapsed="false">
      <c r="A2039" s="23" t="str">
        <f aca="false">IF(B2039="","",B2039+(12*1000+388)/10000000)</f>
        <v/>
      </c>
      <c r="B2039" s="35" t="str">
        <f aca="false">IF(AND(IFERROR(N(INDEX(Clay_Offices!$A$2:$FZ$601,388,Sync!$C$11)),0)&gt;0,IFERROR(INDEX(Clay_Offices!$A$2:$FZ$601,388,Sync!$C$5)&amp;"","")&lt;&gt;"",OR(LEFT(IFERROR(INDEX(Clay_Offices!$A$2:$FZ$601,388,Sync!$C$5)&amp;"",""),6)&lt;&gt;"SAMPLE",Config!$B$19="Y")),IFERROR(N(INDEX(Clay_Offices!$A$2:$FZ$601,388,Sync!$C$11)),0),"")</f>
        <v/>
      </c>
      <c r="C2039" s="23" t="str">
        <f aca="false">IF(B2039="","","office")</f>
        <v/>
      </c>
      <c r="D2039" s="23" t="str">
        <f aca="false">IF(B2039="","",IFERROR(INDEX(Office_Log!$ED$2:$ED$201,MATCH(IFERROR(INDEX(Clay_Offices!$A$2:$FZ$601,388,Sync!$C$5)&amp;"",""),Office_Log!$A$2:$A$201,0))&amp;"",IFERROR(INDEX(Clay_Offices!$A$2:$FZ$601,388,Sync!$C$5)&amp;"","")&amp;""))</f>
        <v/>
      </c>
      <c r="E2039" s="23" t="str">
        <f aca="false">IF(B2039="","",IFERROR(INDEX(Clay_Offices!$A$2:$FZ$601,388,Sync!$C$6)&amp;"",""))</f>
        <v/>
      </c>
      <c r="F2039" s="23" t="str">
        <f aca="false">IF(B2039="","","outreach_sent")</f>
        <v/>
      </c>
      <c r="G2039" s="23" t="str">
        <f aca="false">IF(B2039="","","")</f>
        <v/>
      </c>
      <c r="H2039" s="23" t="str">
        <f aca="false">IF(B2039="","","")</f>
        <v/>
      </c>
      <c r="I2039" s="23" t="str">
        <f aca="false">IF(B2039="","","")</f>
        <v/>
      </c>
      <c r="J2039" s="23" t="str">
        <f aca="false">IF(B2039="","","touch_1; "&amp;IFERROR(INDEX(Clay_Offices!$A$2:$FZ$601,388,Sync!$C$10)&amp;"","")&amp;"; "&amp;IFERROR(INDEX(Clay_Offices!$A$2:$FZ$601,388,Sync!$C$9)&amp;"",""))</f>
        <v/>
      </c>
      <c r="K2039" s="32" t="s">
        <v>1363</v>
      </c>
    </row>
    <row r="2040" customFormat="false" ht="15" hidden="false" customHeight="false" outlineLevel="0" collapsed="false">
      <c r="A2040" s="23" t="str">
        <f aca="false">IF(B2040="","",B2040+(12*1000+389)/10000000)</f>
        <v/>
      </c>
      <c r="B2040" s="35" t="str">
        <f aca="false">IF(AND(IFERROR(N(INDEX(Clay_Offices!$A$2:$FZ$601,389,Sync!$C$11)),0)&gt;0,IFERROR(INDEX(Clay_Offices!$A$2:$FZ$601,389,Sync!$C$5)&amp;"","")&lt;&gt;"",OR(LEFT(IFERROR(INDEX(Clay_Offices!$A$2:$FZ$601,389,Sync!$C$5)&amp;"",""),6)&lt;&gt;"SAMPLE",Config!$B$19="Y")),IFERROR(N(INDEX(Clay_Offices!$A$2:$FZ$601,389,Sync!$C$11)),0),"")</f>
        <v/>
      </c>
      <c r="C2040" s="23" t="str">
        <f aca="false">IF(B2040="","","office")</f>
        <v/>
      </c>
      <c r="D2040" s="23" t="str">
        <f aca="false">IF(B2040="","",IFERROR(INDEX(Office_Log!$ED$2:$ED$201,MATCH(IFERROR(INDEX(Clay_Offices!$A$2:$FZ$601,389,Sync!$C$5)&amp;"",""),Office_Log!$A$2:$A$201,0))&amp;"",IFERROR(INDEX(Clay_Offices!$A$2:$FZ$601,389,Sync!$C$5)&amp;"","")&amp;""))</f>
        <v/>
      </c>
      <c r="E2040" s="23" t="str">
        <f aca="false">IF(B2040="","",IFERROR(INDEX(Clay_Offices!$A$2:$FZ$601,389,Sync!$C$6)&amp;"",""))</f>
        <v/>
      </c>
      <c r="F2040" s="23" t="str">
        <f aca="false">IF(B2040="","","outreach_sent")</f>
        <v/>
      </c>
      <c r="G2040" s="23" t="str">
        <f aca="false">IF(B2040="","","")</f>
        <v/>
      </c>
      <c r="H2040" s="23" t="str">
        <f aca="false">IF(B2040="","","")</f>
        <v/>
      </c>
      <c r="I2040" s="23" t="str">
        <f aca="false">IF(B2040="","","")</f>
        <v/>
      </c>
      <c r="J2040" s="23" t="str">
        <f aca="false">IF(B2040="","","touch_1; "&amp;IFERROR(INDEX(Clay_Offices!$A$2:$FZ$601,389,Sync!$C$10)&amp;"","")&amp;"; "&amp;IFERROR(INDEX(Clay_Offices!$A$2:$FZ$601,389,Sync!$C$9)&amp;"",""))</f>
        <v/>
      </c>
      <c r="K2040" s="32" t="s">
        <v>1363</v>
      </c>
    </row>
    <row r="2041" customFormat="false" ht="15" hidden="false" customHeight="false" outlineLevel="0" collapsed="false">
      <c r="A2041" s="23" t="str">
        <f aca="false">IF(B2041="","",B2041+(12*1000+390)/10000000)</f>
        <v/>
      </c>
      <c r="B2041" s="35" t="str">
        <f aca="false">IF(AND(IFERROR(N(INDEX(Clay_Offices!$A$2:$FZ$601,390,Sync!$C$11)),0)&gt;0,IFERROR(INDEX(Clay_Offices!$A$2:$FZ$601,390,Sync!$C$5)&amp;"","")&lt;&gt;"",OR(LEFT(IFERROR(INDEX(Clay_Offices!$A$2:$FZ$601,390,Sync!$C$5)&amp;"",""),6)&lt;&gt;"SAMPLE",Config!$B$19="Y")),IFERROR(N(INDEX(Clay_Offices!$A$2:$FZ$601,390,Sync!$C$11)),0),"")</f>
        <v/>
      </c>
      <c r="C2041" s="23" t="str">
        <f aca="false">IF(B2041="","","office")</f>
        <v/>
      </c>
      <c r="D2041" s="23" t="str">
        <f aca="false">IF(B2041="","",IFERROR(INDEX(Office_Log!$ED$2:$ED$201,MATCH(IFERROR(INDEX(Clay_Offices!$A$2:$FZ$601,390,Sync!$C$5)&amp;"",""),Office_Log!$A$2:$A$201,0))&amp;"",IFERROR(INDEX(Clay_Offices!$A$2:$FZ$601,390,Sync!$C$5)&amp;"","")&amp;""))</f>
        <v/>
      </c>
      <c r="E2041" s="23" t="str">
        <f aca="false">IF(B2041="","",IFERROR(INDEX(Clay_Offices!$A$2:$FZ$601,390,Sync!$C$6)&amp;"",""))</f>
        <v/>
      </c>
      <c r="F2041" s="23" t="str">
        <f aca="false">IF(B2041="","","outreach_sent")</f>
        <v/>
      </c>
      <c r="G2041" s="23" t="str">
        <f aca="false">IF(B2041="","","")</f>
        <v/>
      </c>
      <c r="H2041" s="23" t="str">
        <f aca="false">IF(B2041="","","")</f>
        <v/>
      </c>
      <c r="I2041" s="23" t="str">
        <f aca="false">IF(B2041="","","")</f>
        <v/>
      </c>
      <c r="J2041" s="23" t="str">
        <f aca="false">IF(B2041="","","touch_1; "&amp;IFERROR(INDEX(Clay_Offices!$A$2:$FZ$601,390,Sync!$C$10)&amp;"","")&amp;"; "&amp;IFERROR(INDEX(Clay_Offices!$A$2:$FZ$601,390,Sync!$C$9)&amp;"",""))</f>
        <v/>
      </c>
      <c r="K2041" s="32" t="s">
        <v>1363</v>
      </c>
    </row>
    <row r="2042" customFormat="false" ht="15" hidden="false" customHeight="false" outlineLevel="0" collapsed="false">
      <c r="A2042" s="23" t="str">
        <f aca="false">IF(B2042="","",B2042+(12*1000+391)/10000000)</f>
        <v/>
      </c>
      <c r="B2042" s="35" t="str">
        <f aca="false">IF(AND(IFERROR(N(INDEX(Clay_Offices!$A$2:$FZ$601,391,Sync!$C$11)),0)&gt;0,IFERROR(INDEX(Clay_Offices!$A$2:$FZ$601,391,Sync!$C$5)&amp;"","")&lt;&gt;"",OR(LEFT(IFERROR(INDEX(Clay_Offices!$A$2:$FZ$601,391,Sync!$C$5)&amp;"",""),6)&lt;&gt;"SAMPLE",Config!$B$19="Y")),IFERROR(N(INDEX(Clay_Offices!$A$2:$FZ$601,391,Sync!$C$11)),0),"")</f>
        <v/>
      </c>
      <c r="C2042" s="23" t="str">
        <f aca="false">IF(B2042="","","office")</f>
        <v/>
      </c>
      <c r="D2042" s="23" t="str">
        <f aca="false">IF(B2042="","",IFERROR(INDEX(Office_Log!$ED$2:$ED$201,MATCH(IFERROR(INDEX(Clay_Offices!$A$2:$FZ$601,391,Sync!$C$5)&amp;"",""),Office_Log!$A$2:$A$201,0))&amp;"",IFERROR(INDEX(Clay_Offices!$A$2:$FZ$601,391,Sync!$C$5)&amp;"","")&amp;""))</f>
        <v/>
      </c>
      <c r="E2042" s="23" t="str">
        <f aca="false">IF(B2042="","",IFERROR(INDEX(Clay_Offices!$A$2:$FZ$601,391,Sync!$C$6)&amp;"",""))</f>
        <v/>
      </c>
      <c r="F2042" s="23" t="str">
        <f aca="false">IF(B2042="","","outreach_sent")</f>
        <v/>
      </c>
      <c r="G2042" s="23" t="str">
        <f aca="false">IF(B2042="","","")</f>
        <v/>
      </c>
      <c r="H2042" s="23" t="str">
        <f aca="false">IF(B2042="","","")</f>
        <v/>
      </c>
      <c r="I2042" s="23" t="str">
        <f aca="false">IF(B2042="","","")</f>
        <v/>
      </c>
      <c r="J2042" s="23" t="str">
        <f aca="false">IF(B2042="","","touch_1; "&amp;IFERROR(INDEX(Clay_Offices!$A$2:$FZ$601,391,Sync!$C$10)&amp;"","")&amp;"; "&amp;IFERROR(INDEX(Clay_Offices!$A$2:$FZ$601,391,Sync!$C$9)&amp;"",""))</f>
        <v/>
      </c>
      <c r="K2042" s="32" t="s">
        <v>1363</v>
      </c>
    </row>
    <row r="2043" customFormat="false" ht="15" hidden="false" customHeight="false" outlineLevel="0" collapsed="false">
      <c r="A2043" s="23" t="str">
        <f aca="false">IF(B2043="","",B2043+(12*1000+392)/10000000)</f>
        <v/>
      </c>
      <c r="B2043" s="35" t="str">
        <f aca="false">IF(AND(IFERROR(N(INDEX(Clay_Offices!$A$2:$FZ$601,392,Sync!$C$11)),0)&gt;0,IFERROR(INDEX(Clay_Offices!$A$2:$FZ$601,392,Sync!$C$5)&amp;"","")&lt;&gt;"",OR(LEFT(IFERROR(INDEX(Clay_Offices!$A$2:$FZ$601,392,Sync!$C$5)&amp;"",""),6)&lt;&gt;"SAMPLE",Config!$B$19="Y")),IFERROR(N(INDEX(Clay_Offices!$A$2:$FZ$601,392,Sync!$C$11)),0),"")</f>
        <v/>
      </c>
      <c r="C2043" s="23" t="str">
        <f aca="false">IF(B2043="","","office")</f>
        <v/>
      </c>
      <c r="D2043" s="23" t="str">
        <f aca="false">IF(B2043="","",IFERROR(INDEX(Office_Log!$ED$2:$ED$201,MATCH(IFERROR(INDEX(Clay_Offices!$A$2:$FZ$601,392,Sync!$C$5)&amp;"",""),Office_Log!$A$2:$A$201,0))&amp;"",IFERROR(INDEX(Clay_Offices!$A$2:$FZ$601,392,Sync!$C$5)&amp;"","")&amp;""))</f>
        <v/>
      </c>
      <c r="E2043" s="23" t="str">
        <f aca="false">IF(B2043="","",IFERROR(INDEX(Clay_Offices!$A$2:$FZ$601,392,Sync!$C$6)&amp;"",""))</f>
        <v/>
      </c>
      <c r="F2043" s="23" t="str">
        <f aca="false">IF(B2043="","","outreach_sent")</f>
        <v/>
      </c>
      <c r="G2043" s="23" t="str">
        <f aca="false">IF(B2043="","","")</f>
        <v/>
      </c>
      <c r="H2043" s="23" t="str">
        <f aca="false">IF(B2043="","","")</f>
        <v/>
      </c>
      <c r="I2043" s="23" t="str">
        <f aca="false">IF(B2043="","","")</f>
        <v/>
      </c>
      <c r="J2043" s="23" t="str">
        <f aca="false">IF(B2043="","","touch_1; "&amp;IFERROR(INDEX(Clay_Offices!$A$2:$FZ$601,392,Sync!$C$10)&amp;"","")&amp;"; "&amp;IFERROR(INDEX(Clay_Offices!$A$2:$FZ$601,392,Sync!$C$9)&amp;"",""))</f>
        <v/>
      </c>
      <c r="K2043" s="32" t="s">
        <v>1363</v>
      </c>
    </row>
    <row r="2044" customFormat="false" ht="15" hidden="false" customHeight="false" outlineLevel="0" collapsed="false">
      <c r="A2044" s="23" t="str">
        <f aca="false">IF(B2044="","",B2044+(12*1000+393)/10000000)</f>
        <v/>
      </c>
      <c r="B2044" s="35" t="str">
        <f aca="false">IF(AND(IFERROR(N(INDEX(Clay_Offices!$A$2:$FZ$601,393,Sync!$C$11)),0)&gt;0,IFERROR(INDEX(Clay_Offices!$A$2:$FZ$601,393,Sync!$C$5)&amp;"","")&lt;&gt;"",OR(LEFT(IFERROR(INDEX(Clay_Offices!$A$2:$FZ$601,393,Sync!$C$5)&amp;"",""),6)&lt;&gt;"SAMPLE",Config!$B$19="Y")),IFERROR(N(INDEX(Clay_Offices!$A$2:$FZ$601,393,Sync!$C$11)),0),"")</f>
        <v/>
      </c>
      <c r="C2044" s="23" t="str">
        <f aca="false">IF(B2044="","","office")</f>
        <v/>
      </c>
      <c r="D2044" s="23" t="str">
        <f aca="false">IF(B2044="","",IFERROR(INDEX(Office_Log!$ED$2:$ED$201,MATCH(IFERROR(INDEX(Clay_Offices!$A$2:$FZ$601,393,Sync!$C$5)&amp;"",""),Office_Log!$A$2:$A$201,0))&amp;"",IFERROR(INDEX(Clay_Offices!$A$2:$FZ$601,393,Sync!$C$5)&amp;"","")&amp;""))</f>
        <v/>
      </c>
      <c r="E2044" s="23" t="str">
        <f aca="false">IF(B2044="","",IFERROR(INDEX(Clay_Offices!$A$2:$FZ$601,393,Sync!$C$6)&amp;"",""))</f>
        <v/>
      </c>
      <c r="F2044" s="23" t="str">
        <f aca="false">IF(B2044="","","outreach_sent")</f>
        <v/>
      </c>
      <c r="G2044" s="23" t="str">
        <f aca="false">IF(B2044="","","")</f>
        <v/>
      </c>
      <c r="H2044" s="23" t="str">
        <f aca="false">IF(B2044="","","")</f>
        <v/>
      </c>
      <c r="I2044" s="23" t="str">
        <f aca="false">IF(B2044="","","")</f>
        <v/>
      </c>
      <c r="J2044" s="23" t="str">
        <f aca="false">IF(B2044="","","touch_1; "&amp;IFERROR(INDEX(Clay_Offices!$A$2:$FZ$601,393,Sync!$C$10)&amp;"","")&amp;"; "&amp;IFERROR(INDEX(Clay_Offices!$A$2:$FZ$601,393,Sync!$C$9)&amp;"",""))</f>
        <v/>
      </c>
      <c r="K2044" s="32" t="s">
        <v>1363</v>
      </c>
    </row>
    <row r="2045" customFormat="false" ht="15" hidden="false" customHeight="false" outlineLevel="0" collapsed="false">
      <c r="A2045" s="23" t="str">
        <f aca="false">IF(B2045="","",B2045+(12*1000+394)/10000000)</f>
        <v/>
      </c>
      <c r="B2045" s="35" t="str">
        <f aca="false">IF(AND(IFERROR(N(INDEX(Clay_Offices!$A$2:$FZ$601,394,Sync!$C$11)),0)&gt;0,IFERROR(INDEX(Clay_Offices!$A$2:$FZ$601,394,Sync!$C$5)&amp;"","")&lt;&gt;"",OR(LEFT(IFERROR(INDEX(Clay_Offices!$A$2:$FZ$601,394,Sync!$C$5)&amp;"",""),6)&lt;&gt;"SAMPLE",Config!$B$19="Y")),IFERROR(N(INDEX(Clay_Offices!$A$2:$FZ$601,394,Sync!$C$11)),0),"")</f>
        <v/>
      </c>
      <c r="C2045" s="23" t="str">
        <f aca="false">IF(B2045="","","office")</f>
        <v/>
      </c>
      <c r="D2045" s="23" t="str">
        <f aca="false">IF(B2045="","",IFERROR(INDEX(Office_Log!$ED$2:$ED$201,MATCH(IFERROR(INDEX(Clay_Offices!$A$2:$FZ$601,394,Sync!$C$5)&amp;"",""),Office_Log!$A$2:$A$201,0))&amp;"",IFERROR(INDEX(Clay_Offices!$A$2:$FZ$601,394,Sync!$C$5)&amp;"","")&amp;""))</f>
        <v/>
      </c>
      <c r="E2045" s="23" t="str">
        <f aca="false">IF(B2045="","",IFERROR(INDEX(Clay_Offices!$A$2:$FZ$601,394,Sync!$C$6)&amp;"",""))</f>
        <v/>
      </c>
      <c r="F2045" s="23" t="str">
        <f aca="false">IF(B2045="","","outreach_sent")</f>
        <v/>
      </c>
      <c r="G2045" s="23" t="str">
        <f aca="false">IF(B2045="","","")</f>
        <v/>
      </c>
      <c r="H2045" s="23" t="str">
        <f aca="false">IF(B2045="","","")</f>
        <v/>
      </c>
      <c r="I2045" s="23" t="str">
        <f aca="false">IF(B2045="","","")</f>
        <v/>
      </c>
      <c r="J2045" s="23" t="str">
        <f aca="false">IF(B2045="","","touch_1; "&amp;IFERROR(INDEX(Clay_Offices!$A$2:$FZ$601,394,Sync!$C$10)&amp;"","")&amp;"; "&amp;IFERROR(INDEX(Clay_Offices!$A$2:$FZ$601,394,Sync!$C$9)&amp;"",""))</f>
        <v/>
      </c>
      <c r="K2045" s="32" t="s">
        <v>1363</v>
      </c>
    </row>
    <row r="2046" customFormat="false" ht="15" hidden="false" customHeight="false" outlineLevel="0" collapsed="false">
      <c r="A2046" s="23" t="str">
        <f aca="false">IF(B2046="","",B2046+(12*1000+395)/10000000)</f>
        <v/>
      </c>
      <c r="B2046" s="35" t="str">
        <f aca="false">IF(AND(IFERROR(N(INDEX(Clay_Offices!$A$2:$FZ$601,395,Sync!$C$11)),0)&gt;0,IFERROR(INDEX(Clay_Offices!$A$2:$FZ$601,395,Sync!$C$5)&amp;"","")&lt;&gt;"",OR(LEFT(IFERROR(INDEX(Clay_Offices!$A$2:$FZ$601,395,Sync!$C$5)&amp;"",""),6)&lt;&gt;"SAMPLE",Config!$B$19="Y")),IFERROR(N(INDEX(Clay_Offices!$A$2:$FZ$601,395,Sync!$C$11)),0),"")</f>
        <v/>
      </c>
      <c r="C2046" s="23" t="str">
        <f aca="false">IF(B2046="","","office")</f>
        <v/>
      </c>
      <c r="D2046" s="23" t="str">
        <f aca="false">IF(B2046="","",IFERROR(INDEX(Office_Log!$ED$2:$ED$201,MATCH(IFERROR(INDEX(Clay_Offices!$A$2:$FZ$601,395,Sync!$C$5)&amp;"",""),Office_Log!$A$2:$A$201,0))&amp;"",IFERROR(INDEX(Clay_Offices!$A$2:$FZ$601,395,Sync!$C$5)&amp;"","")&amp;""))</f>
        <v/>
      </c>
      <c r="E2046" s="23" t="str">
        <f aca="false">IF(B2046="","",IFERROR(INDEX(Clay_Offices!$A$2:$FZ$601,395,Sync!$C$6)&amp;"",""))</f>
        <v/>
      </c>
      <c r="F2046" s="23" t="str">
        <f aca="false">IF(B2046="","","outreach_sent")</f>
        <v/>
      </c>
      <c r="G2046" s="23" t="str">
        <f aca="false">IF(B2046="","","")</f>
        <v/>
      </c>
      <c r="H2046" s="23" t="str">
        <f aca="false">IF(B2046="","","")</f>
        <v/>
      </c>
      <c r="I2046" s="23" t="str">
        <f aca="false">IF(B2046="","","")</f>
        <v/>
      </c>
      <c r="J2046" s="23" t="str">
        <f aca="false">IF(B2046="","","touch_1; "&amp;IFERROR(INDEX(Clay_Offices!$A$2:$FZ$601,395,Sync!$C$10)&amp;"","")&amp;"; "&amp;IFERROR(INDEX(Clay_Offices!$A$2:$FZ$601,395,Sync!$C$9)&amp;"",""))</f>
        <v/>
      </c>
      <c r="K2046" s="32" t="s">
        <v>1363</v>
      </c>
    </row>
    <row r="2047" customFormat="false" ht="15" hidden="false" customHeight="false" outlineLevel="0" collapsed="false">
      <c r="A2047" s="23" t="str">
        <f aca="false">IF(B2047="","",B2047+(12*1000+396)/10000000)</f>
        <v/>
      </c>
      <c r="B2047" s="35" t="str">
        <f aca="false">IF(AND(IFERROR(N(INDEX(Clay_Offices!$A$2:$FZ$601,396,Sync!$C$11)),0)&gt;0,IFERROR(INDEX(Clay_Offices!$A$2:$FZ$601,396,Sync!$C$5)&amp;"","")&lt;&gt;"",OR(LEFT(IFERROR(INDEX(Clay_Offices!$A$2:$FZ$601,396,Sync!$C$5)&amp;"",""),6)&lt;&gt;"SAMPLE",Config!$B$19="Y")),IFERROR(N(INDEX(Clay_Offices!$A$2:$FZ$601,396,Sync!$C$11)),0),"")</f>
        <v/>
      </c>
      <c r="C2047" s="23" t="str">
        <f aca="false">IF(B2047="","","office")</f>
        <v/>
      </c>
      <c r="D2047" s="23" t="str">
        <f aca="false">IF(B2047="","",IFERROR(INDEX(Office_Log!$ED$2:$ED$201,MATCH(IFERROR(INDEX(Clay_Offices!$A$2:$FZ$601,396,Sync!$C$5)&amp;"",""),Office_Log!$A$2:$A$201,0))&amp;"",IFERROR(INDEX(Clay_Offices!$A$2:$FZ$601,396,Sync!$C$5)&amp;"","")&amp;""))</f>
        <v/>
      </c>
      <c r="E2047" s="23" t="str">
        <f aca="false">IF(B2047="","",IFERROR(INDEX(Clay_Offices!$A$2:$FZ$601,396,Sync!$C$6)&amp;"",""))</f>
        <v/>
      </c>
      <c r="F2047" s="23" t="str">
        <f aca="false">IF(B2047="","","outreach_sent")</f>
        <v/>
      </c>
      <c r="G2047" s="23" t="str">
        <f aca="false">IF(B2047="","","")</f>
        <v/>
      </c>
      <c r="H2047" s="23" t="str">
        <f aca="false">IF(B2047="","","")</f>
        <v/>
      </c>
      <c r="I2047" s="23" t="str">
        <f aca="false">IF(B2047="","","")</f>
        <v/>
      </c>
      <c r="J2047" s="23" t="str">
        <f aca="false">IF(B2047="","","touch_1; "&amp;IFERROR(INDEX(Clay_Offices!$A$2:$FZ$601,396,Sync!$C$10)&amp;"","")&amp;"; "&amp;IFERROR(INDEX(Clay_Offices!$A$2:$FZ$601,396,Sync!$C$9)&amp;"",""))</f>
        <v/>
      </c>
      <c r="K2047" s="32" t="s">
        <v>1363</v>
      </c>
    </row>
    <row r="2048" customFormat="false" ht="15" hidden="false" customHeight="false" outlineLevel="0" collapsed="false">
      <c r="A2048" s="23" t="str">
        <f aca="false">IF(B2048="","",B2048+(12*1000+397)/10000000)</f>
        <v/>
      </c>
      <c r="B2048" s="35" t="str">
        <f aca="false">IF(AND(IFERROR(N(INDEX(Clay_Offices!$A$2:$FZ$601,397,Sync!$C$11)),0)&gt;0,IFERROR(INDEX(Clay_Offices!$A$2:$FZ$601,397,Sync!$C$5)&amp;"","")&lt;&gt;"",OR(LEFT(IFERROR(INDEX(Clay_Offices!$A$2:$FZ$601,397,Sync!$C$5)&amp;"",""),6)&lt;&gt;"SAMPLE",Config!$B$19="Y")),IFERROR(N(INDEX(Clay_Offices!$A$2:$FZ$601,397,Sync!$C$11)),0),"")</f>
        <v/>
      </c>
      <c r="C2048" s="23" t="str">
        <f aca="false">IF(B2048="","","office")</f>
        <v/>
      </c>
      <c r="D2048" s="23" t="str">
        <f aca="false">IF(B2048="","",IFERROR(INDEX(Office_Log!$ED$2:$ED$201,MATCH(IFERROR(INDEX(Clay_Offices!$A$2:$FZ$601,397,Sync!$C$5)&amp;"",""),Office_Log!$A$2:$A$201,0))&amp;"",IFERROR(INDEX(Clay_Offices!$A$2:$FZ$601,397,Sync!$C$5)&amp;"","")&amp;""))</f>
        <v/>
      </c>
      <c r="E2048" s="23" t="str">
        <f aca="false">IF(B2048="","",IFERROR(INDEX(Clay_Offices!$A$2:$FZ$601,397,Sync!$C$6)&amp;"",""))</f>
        <v/>
      </c>
      <c r="F2048" s="23" t="str">
        <f aca="false">IF(B2048="","","outreach_sent")</f>
        <v/>
      </c>
      <c r="G2048" s="23" t="str">
        <f aca="false">IF(B2048="","","")</f>
        <v/>
      </c>
      <c r="H2048" s="23" t="str">
        <f aca="false">IF(B2048="","","")</f>
        <v/>
      </c>
      <c r="I2048" s="23" t="str">
        <f aca="false">IF(B2048="","","")</f>
        <v/>
      </c>
      <c r="J2048" s="23" t="str">
        <f aca="false">IF(B2048="","","touch_1; "&amp;IFERROR(INDEX(Clay_Offices!$A$2:$FZ$601,397,Sync!$C$10)&amp;"","")&amp;"; "&amp;IFERROR(INDEX(Clay_Offices!$A$2:$FZ$601,397,Sync!$C$9)&amp;"",""))</f>
        <v/>
      </c>
      <c r="K2048" s="32" t="s">
        <v>1363</v>
      </c>
    </row>
    <row r="2049" customFormat="false" ht="15" hidden="false" customHeight="false" outlineLevel="0" collapsed="false">
      <c r="A2049" s="23" t="str">
        <f aca="false">IF(B2049="","",B2049+(12*1000+398)/10000000)</f>
        <v/>
      </c>
      <c r="B2049" s="35" t="str">
        <f aca="false">IF(AND(IFERROR(N(INDEX(Clay_Offices!$A$2:$FZ$601,398,Sync!$C$11)),0)&gt;0,IFERROR(INDEX(Clay_Offices!$A$2:$FZ$601,398,Sync!$C$5)&amp;"","")&lt;&gt;"",OR(LEFT(IFERROR(INDEX(Clay_Offices!$A$2:$FZ$601,398,Sync!$C$5)&amp;"",""),6)&lt;&gt;"SAMPLE",Config!$B$19="Y")),IFERROR(N(INDEX(Clay_Offices!$A$2:$FZ$601,398,Sync!$C$11)),0),"")</f>
        <v/>
      </c>
      <c r="C2049" s="23" t="str">
        <f aca="false">IF(B2049="","","office")</f>
        <v/>
      </c>
      <c r="D2049" s="23" t="str">
        <f aca="false">IF(B2049="","",IFERROR(INDEX(Office_Log!$ED$2:$ED$201,MATCH(IFERROR(INDEX(Clay_Offices!$A$2:$FZ$601,398,Sync!$C$5)&amp;"",""),Office_Log!$A$2:$A$201,0))&amp;"",IFERROR(INDEX(Clay_Offices!$A$2:$FZ$601,398,Sync!$C$5)&amp;"","")&amp;""))</f>
        <v/>
      </c>
      <c r="E2049" s="23" t="str">
        <f aca="false">IF(B2049="","",IFERROR(INDEX(Clay_Offices!$A$2:$FZ$601,398,Sync!$C$6)&amp;"",""))</f>
        <v/>
      </c>
      <c r="F2049" s="23" t="str">
        <f aca="false">IF(B2049="","","outreach_sent")</f>
        <v/>
      </c>
      <c r="G2049" s="23" t="str">
        <f aca="false">IF(B2049="","","")</f>
        <v/>
      </c>
      <c r="H2049" s="23" t="str">
        <f aca="false">IF(B2049="","","")</f>
        <v/>
      </c>
      <c r="I2049" s="23" t="str">
        <f aca="false">IF(B2049="","","")</f>
        <v/>
      </c>
      <c r="J2049" s="23" t="str">
        <f aca="false">IF(B2049="","","touch_1; "&amp;IFERROR(INDEX(Clay_Offices!$A$2:$FZ$601,398,Sync!$C$10)&amp;"","")&amp;"; "&amp;IFERROR(INDEX(Clay_Offices!$A$2:$FZ$601,398,Sync!$C$9)&amp;"",""))</f>
        <v/>
      </c>
      <c r="K2049" s="32" t="s">
        <v>1363</v>
      </c>
    </row>
    <row r="2050" customFormat="false" ht="15" hidden="false" customHeight="false" outlineLevel="0" collapsed="false">
      <c r="A2050" s="23" t="str">
        <f aca="false">IF(B2050="","",B2050+(12*1000+399)/10000000)</f>
        <v/>
      </c>
      <c r="B2050" s="35" t="str">
        <f aca="false">IF(AND(IFERROR(N(INDEX(Clay_Offices!$A$2:$FZ$601,399,Sync!$C$11)),0)&gt;0,IFERROR(INDEX(Clay_Offices!$A$2:$FZ$601,399,Sync!$C$5)&amp;"","")&lt;&gt;"",OR(LEFT(IFERROR(INDEX(Clay_Offices!$A$2:$FZ$601,399,Sync!$C$5)&amp;"",""),6)&lt;&gt;"SAMPLE",Config!$B$19="Y")),IFERROR(N(INDEX(Clay_Offices!$A$2:$FZ$601,399,Sync!$C$11)),0),"")</f>
        <v/>
      </c>
      <c r="C2050" s="23" t="str">
        <f aca="false">IF(B2050="","","office")</f>
        <v/>
      </c>
      <c r="D2050" s="23" t="str">
        <f aca="false">IF(B2050="","",IFERROR(INDEX(Office_Log!$ED$2:$ED$201,MATCH(IFERROR(INDEX(Clay_Offices!$A$2:$FZ$601,399,Sync!$C$5)&amp;"",""),Office_Log!$A$2:$A$201,0))&amp;"",IFERROR(INDEX(Clay_Offices!$A$2:$FZ$601,399,Sync!$C$5)&amp;"","")&amp;""))</f>
        <v/>
      </c>
      <c r="E2050" s="23" t="str">
        <f aca="false">IF(B2050="","",IFERROR(INDEX(Clay_Offices!$A$2:$FZ$601,399,Sync!$C$6)&amp;"",""))</f>
        <v/>
      </c>
      <c r="F2050" s="23" t="str">
        <f aca="false">IF(B2050="","","outreach_sent")</f>
        <v/>
      </c>
      <c r="G2050" s="23" t="str">
        <f aca="false">IF(B2050="","","")</f>
        <v/>
      </c>
      <c r="H2050" s="23" t="str">
        <f aca="false">IF(B2050="","","")</f>
        <v/>
      </c>
      <c r="I2050" s="23" t="str">
        <f aca="false">IF(B2050="","","")</f>
        <v/>
      </c>
      <c r="J2050" s="23" t="str">
        <f aca="false">IF(B2050="","","touch_1; "&amp;IFERROR(INDEX(Clay_Offices!$A$2:$FZ$601,399,Sync!$C$10)&amp;"","")&amp;"; "&amp;IFERROR(INDEX(Clay_Offices!$A$2:$FZ$601,399,Sync!$C$9)&amp;"",""))</f>
        <v/>
      </c>
      <c r="K2050" s="32" t="s">
        <v>1363</v>
      </c>
    </row>
    <row r="2051" customFormat="false" ht="15" hidden="false" customHeight="false" outlineLevel="0" collapsed="false">
      <c r="A2051" s="23" t="str">
        <f aca="false">IF(B2051="","",B2051+(12*1000+400)/10000000)</f>
        <v/>
      </c>
      <c r="B2051" s="35" t="str">
        <f aca="false">IF(AND(IFERROR(N(INDEX(Clay_Offices!$A$2:$FZ$601,400,Sync!$C$11)),0)&gt;0,IFERROR(INDEX(Clay_Offices!$A$2:$FZ$601,400,Sync!$C$5)&amp;"","")&lt;&gt;"",OR(LEFT(IFERROR(INDEX(Clay_Offices!$A$2:$FZ$601,400,Sync!$C$5)&amp;"",""),6)&lt;&gt;"SAMPLE",Config!$B$19="Y")),IFERROR(N(INDEX(Clay_Offices!$A$2:$FZ$601,400,Sync!$C$11)),0),"")</f>
        <v/>
      </c>
      <c r="C2051" s="23" t="str">
        <f aca="false">IF(B2051="","","office")</f>
        <v/>
      </c>
      <c r="D2051" s="23" t="str">
        <f aca="false">IF(B2051="","",IFERROR(INDEX(Office_Log!$ED$2:$ED$201,MATCH(IFERROR(INDEX(Clay_Offices!$A$2:$FZ$601,400,Sync!$C$5)&amp;"",""),Office_Log!$A$2:$A$201,0))&amp;"",IFERROR(INDEX(Clay_Offices!$A$2:$FZ$601,400,Sync!$C$5)&amp;"","")&amp;""))</f>
        <v/>
      </c>
      <c r="E2051" s="23" t="str">
        <f aca="false">IF(B2051="","",IFERROR(INDEX(Clay_Offices!$A$2:$FZ$601,400,Sync!$C$6)&amp;"",""))</f>
        <v/>
      </c>
      <c r="F2051" s="23" t="str">
        <f aca="false">IF(B2051="","","outreach_sent")</f>
        <v/>
      </c>
      <c r="G2051" s="23" t="str">
        <f aca="false">IF(B2051="","","")</f>
        <v/>
      </c>
      <c r="H2051" s="23" t="str">
        <f aca="false">IF(B2051="","","")</f>
        <v/>
      </c>
      <c r="I2051" s="23" t="str">
        <f aca="false">IF(B2051="","","")</f>
        <v/>
      </c>
      <c r="J2051" s="23" t="str">
        <f aca="false">IF(B2051="","","touch_1; "&amp;IFERROR(INDEX(Clay_Offices!$A$2:$FZ$601,400,Sync!$C$10)&amp;"","")&amp;"; "&amp;IFERROR(INDEX(Clay_Offices!$A$2:$FZ$601,400,Sync!$C$9)&amp;"",""))</f>
        <v/>
      </c>
      <c r="K2051" s="32" t="s">
        <v>1363</v>
      </c>
    </row>
    <row r="2052" customFormat="false" ht="15" hidden="false" customHeight="false" outlineLevel="0" collapsed="false">
      <c r="A2052" s="23" t="str">
        <f aca="false">IF(B2052="","",B2052+(12*1000+401)/10000000)</f>
        <v/>
      </c>
      <c r="B2052" s="35" t="str">
        <f aca="false">IF(AND(IFERROR(N(INDEX(Clay_Offices!$A$2:$FZ$601,401,Sync!$C$11)),0)&gt;0,IFERROR(INDEX(Clay_Offices!$A$2:$FZ$601,401,Sync!$C$5)&amp;"","")&lt;&gt;"",OR(LEFT(IFERROR(INDEX(Clay_Offices!$A$2:$FZ$601,401,Sync!$C$5)&amp;"",""),6)&lt;&gt;"SAMPLE",Config!$B$19="Y")),IFERROR(N(INDEX(Clay_Offices!$A$2:$FZ$601,401,Sync!$C$11)),0),"")</f>
        <v/>
      </c>
      <c r="C2052" s="23" t="str">
        <f aca="false">IF(B2052="","","office")</f>
        <v/>
      </c>
      <c r="D2052" s="23" t="str">
        <f aca="false">IF(B2052="","",IFERROR(INDEX(Office_Log!$ED$2:$ED$201,MATCH(IFERROR(INDEX(Clay_Offices!$A$2:$FZ$601,401,Sync!$C$5)&amp;"",""),Office_Log!$A$2:$A$201,0))&amp;"",IFERROR(INDEX(Clay_Offices!$A$2:$FZ$601,401,Sync!$C$5)&amp;"","")&amp;""))</f>
        <v/>
      </c>
      <c r="E2052" s="23" t="str">
        <f aca="false">IF(B2052="","",IFERROR(INDEX(Clay_Offices!$A$2:$FZ$601,401,Sync!$C$6)&amp;"",""))</f>
        <v/>
      </c>
      <c r="F2052" s="23" t="str">
        <f aca="false">IF(B2052="","","outreach_sent")</f>
        <v/>
      </c>
      <c r="G2052" s="23" t="str">
        <f aca="false">IF(B2052="","","")</f>
        <v/>
      </c>
      <c r="H2052" s="23" t="str">
        <f aca="false">IF(B2052="","","")</f>
        <v/>
      </c>
      <c r="I2052" s="23" t="str">
        <f aca="false">IF(B2052="","","")</f>
        <v/>
      </c>
      <c r="J2052" s="23" t="str">
        <f aca="false">IF(B2052="","","touch_1; "&amp;IFERROR(INDEX(Clay_Offices!$A$2:$FZ$601,401,Sync!$C$10)&amp;"","")&amp;"; "&amp;IFERROR(INDEX(Clay_Offices!$A$2:$FZ$601,401,Sync!$C$9)&amp;"",""))</f>
        <v/>
      </c>
      <c r="K2052" s="32" t="s">
        <v>1363</v>
      </c>
    </row>
    <row r="2053" customFormat="false" ht="15" hidden="false" customHeight="false" outlineLevel="0" collapsed="false">
      <c r="A2053" s="23" t="str">
        <f aca="false">IF(B2053="","",B2053+(12*1000+402)/10000000)</f>
        <v/>
      </c>
      <c r="B2053" s="35" t="str">
        <f aca="false">IF(AND(IFERROR(N(INDEX(Clay_Offices!$A$2:$FZ$601,402,Sync!$C$11)),0)&gt;0,IFERROR(INDEX(Clay_Offices!$A$2:$FZ$601,402,Sync!$C$5)&amp;"","")&lt;&gt;"",OR(LEFT(IFERROR(INDEX(Clay_Offices!$A$2:$FZ$601,402,Sync!$C$5)&amp;"",""),6)&lt;&gt;"SAMPLE",Config!$B$19="Y")),IFERROR(N(INDEX(Clay_Offices!$A$2:$FZ$601,402,Sync!$C$11)),0),"")</f>
        <v/>
      </c>
      <c r="C2053" s="23" t="str">
        <f aca="false">IF(B2053="","","office")</f>
        <v/>
      </c>
      <c r="D2053" s="23" t="str">
        <f aca="false">IF(B2053="","",IFERROR(INDEX(Office_Log!$ED$2:$ED$201,MATCH(IFERROR(INDEX(Clay_Offices!$A$2:$FZ$601,402,Sync!$C$5)&amp;"",""),Office_Log!$A$2:$A$201,0))&amp;"",IFERROR(INDEX(Clay_Offices!$A$2:$FZ$601,402,Sync!$C$5)&amp;"","")&amp;""))</f>
        <v/>
      </c>
      <c r="E2053" s="23" t="str">
        <f aca="false">IF(B2053="","",IFERROR(INDEX(Clay_Offices!$A$2:$FZ$601,402,Sync!$C$6)&amp;"",""))</f>
        <v/>
      </c>
      <c r="F2053" s="23" t="str">
        <f aca="false">IF(B2053="","","outreach_sent")</f>
        <v/>
      </c>
      <c r="G2053" s="23" t="str">
        <f aca="false">IF(B2053="","","")</f>
        <v/>
      </c>
      <c r="H2053" s="23" t="str">
        <f aca="false">IF(B2053="","","")</f>
        <v/>
      </c>
      <c r="I2053" s="23" t="str">
        <f aca="false">IF(B2053="","","")</f>
        <v/>
      </c>
      <c r="J2053" s="23" t="str">
        <f aca="false">IF(B2053="","","touch_1; "&amp;IFERROR(INDEX(Clay_Offices!$A$2:$FZ$601,402,Sync!$C$10)&amp;"","")&amp;"; "&amp;IFERROR(INDEX(Clay_Offices!$A$2:$FZ$601,402,Sync!$C$9)&amp;"",""))</f>
        <v/>
      </c>
      <c r="K2053" s="32" t="s">
        <v>1363</v>
      </c>
    </row>
    <row r="2054" customFormat="false" ht="15" hidden="false" customHeight="false" outlineLevel="0" collapsed="false">
      <c r="A2054" s="23" t="str">
        <f aca="false">IF(B2054="","",B2054+(12*1000+403)/10000000)</f>
        <v/>
      </c>
      <c r="B2054" s="35" t="str">
        <f aca="false">IF(AND(IFERROR(N(INDEX(Clay_Offices!$A$2:$FZ$601,403,Sync!$C$11)),0)&gt;0,IFERROR(INDEX(Clay_Offices!$A$2:$FZ$601,403,Sync!$C$5)&amp;"","")&lt;&gt;"",OR(LEFT(IFERROR(INDEX(Clay_Offices!$A$2:$FZ$601,403,Sync!$C$5)&amp;"",""),6)&lt;&gt;"SAMPLE",Config!$B$19="Y")),IFERROR(N(INDEX(Clay_Offices!$A$2:$FZ$601,403,Sync!$C$11)),0),"")</f>
        <v/>
      </c>
      <c r="C2054" s="23" t="str">
        <f aca="false">IF(B2054="","","office")</f>
        <v/>
      </c>
      <c r="D2054" s="23" t="str">
        <f aca="false">IF(B2054="","",IFERROR(INDEX(Office_Log!$ED$2:$ED$201,MATCH(IFERROR(INDEX(Clay_Offices!$A$2:$FZ$601,403,Sync!$C$5)&amp;"",""),Office_Log!$A$2:$A$201,0))&amp;"",IFERROR(INDEX(Clay_Offices!$A$2:$FZ$601,403,Sync!$C$5)&amp;"","")&amp;""))</f>
        <v/>
      </c>
      <c r="E2054" s="23" t="str">
        <f aca="false">IF(B2054="","",IFERROR(INDEX(Clay_Offices!$A$2:$FZ$601,403,Sync!$C$6)&amp;"",""))</f>
        <v/>
      </c>
      <c r="F2054" s="23" t="str">
        <f aca="false">IF(B2054="","","outreach_sent")</f>
        <v/>
      </c>
      <c r="G2054" s="23" t="str">
        <f aca="false">IF(B2054="","","")</f>
        <v/>
      </c>
      <c r="H2054" s="23" t="str">
        <f aca="false">IF(B2054="","","")</f>
        <v/>
      </c>
      <c r="I2054" s="23" t="str">
        <f aca="false">IF(B2054="","","")</f>
        <v/>
      </c>
      <c r="J2054" s="23" t="str">
        <f aca="false">IF(B2054="","","touch_1; "&amp;IFERROR(INDEX(Clay_Offices!$A$2:$FZ$601,403,Sync!$C$10)&amp;"","")&amp;"; "&amp;IFERROR(INDEX(Clay_Offices!$A$2:$FZ$601,403,Sync!$C$9)&amp;"",""))</f>
        <v/>
      </c>
      <c r="K2054" s="32" t="s">
        <v>1363</v>
      </c>
    </row>
    <row r="2055" customFormat="false" ht="15" hidden="false" customHeight="false" outlineLevel="0" collapsed="false">
      <c r="A2055" s="23" t="str">
        <f aca="false">IF(B2055="","",B2055+(12*1000+404)/10000000)</f>
        <v/>
      </c>
      <c r="B2055" s="35" t="str">
        <f aca="false">IF(AND(IFERROR(N(INDEX(Clay_Offices!$A$2:$FZ$601,404,Sync!$C$11)),0)&gt;0,IFERROR(INDEX(Clay_Offices!$A$2:$FZ$601,404,Sync!$C$5)&amp;"","")&lt;&gt;"",OR(LEFT(IFERROR(INDEX(Clay_Offices!$A$2:$FZ$601,404,Sync!$C$5)&amp;"",""),6)&lt;&gt;"SAMPLE",Config!$B$19="Y")),IFERROR(N(INDEX(Clay_Offices!$A$2:$FZ$601,404,Sync!$C$11)),0),"")</f>
        <v/>
      </c>
      <c r="C2055" s="23" t="str">
        <f aca="false">IF(B2055="","","office")</f>
        <v/>
      </c>
      <c r="D2055" s="23" t="str">
        <f aca="false">IF(B2055="","",IFERROR(INDEX(Office_Log!$ED$2:$ED$201,MATCH(IFERROR(INDEX(Clay_Offices!$A$2:$FZ$601,404,Sync!$C$5)&amp;"",""),Office_Log!$A$2:$A$201,0))&amp;"",IFERROR(INDEX(Clay_Offices!$A$2:$FZ$601,404,Sync!$C$5)&amp;"","")&amp;""))</f>
        <v/>
      </c>
      <c r="E2055" s="23" t="str">
        <f aca="false">IF(B2055="","",IFERROR(INDEX(Clay_Offices!$A$2:$FZ$601,404,Sync!$C$6)&amp;"",""))</f>
        <v/>
      </c>
      <c r="F2055" s="23" t="str">
        <f aca="false">IF(B2055="","","outreach_sent")</f>
        <v/>
      </c>
      <c r="G2055" s="23" t="str">
        <f aca="false">IF(B2055="","","")</f>
        <v/>
      </c>
      <c r="H2055" s="23" t="str">
        <f aca="false">IF(B2055="","","")</f>
        <v/>
      </c>
      <c r="I2055" s="23" t="str">
        <f aca="false">IF(B2055="","","")</f>
        <v/>
      </c>
      <c r="J2055" s="23" t="str">
        <f aca="false">IF(B2055="","","touch_1; "&amp;IFERROR(INDEX(Clay_Offices!$A$2:$FZ$601,404,Sync!$C$10)&amp;"","")&amp;"; "&amp;IFERROR(INDEX(Clay_Offices!$A$2:$FZ$601,404,Sync!$C$9)&amp;"",""))</f>
        <v/>
      </c>
      <c r="K2055" s="32" t="s">
        <v>1363</v>
      </c>
    </row>
    <row r="2056" customFormat="false" ht="15" hidden="false" customHeight="false" outlineLevel="0" collapsed="false">
      <c r="A2056" s="23" t="str">
        <f aca="false">IF(B2056="","",B2056+(12*1000+405)/10000000)</f>
        <v/>
      </c>
      <c r="B2056" s="35" t="str">
        <f aca="false">IF(AND(IFERROR(N(INDEX(Clay_Offices!$A$2:$FZ$601,405,Sync!$C$11)),0)&gt;0,IFERROR(INDEX(Clay_Offices!$A$2:$FZ$601,405,Sync!$C$5)&amp;"","")&lt;&gt;"",OR(LEFT(IFERROR(INDEX(Clay_Offices!$A$2:$FZ$601,405,Sync!$C$5)&amp;"",""),6)&lt;&gt;"SAMPLE",Config!$B$19="Y")),IFERROR(N(INDEX(Clay_Offices!$A$2:$FZ$601,405,Sync!$C$11)),0),"")</f>
        <v/>
      </c>
      <c r="C2056" s="23" t="str">
        <f aca="false">IF(B2056="","","office")</f>
        <v/>
      </c>
      <c r="D2056" s="23" t="str">
        <f aca="false">IF(B2056="","",IFERROR(INDEX(Office_Log!$ED$2:$ED$201,MATCH(IFERROR(INDEX(Clay_Offices!$A$2:$FZ$601,405,Sync!$C$5)&amp;"",""),Office_Log!$A$2:$A$201,0))&amp;"",IFERROR(INDEX(Clay_Offices!$A$2:$FZ$601,405,Sync!$C$5)&amp;"","")&amp;""))</f>
        <v/>
      </c>
      <c r="E2056" s="23" t="str">
        <f aca="false">IF(B2056="","",IFERROR(INDEX(Clay_Offices!$A$2:$FZ$601,405,Sync!$C$6)&amp;"",""))</f>
        <v/>
      </c>
      <c r="F2056" s="23" t="str">
        <f aca="false">IF(B2056="","","outreach_sent")</f>
        <v/>
      </c>
      <c r="G2056" s="23" t="str">
        <f aca="false">IF(B2056="","","")</f>
        <v/>
      </c>
      <c r="H2056" s="23" t="str">
        <f aca="false">IF(B2056="","","")</f>
        <v/>
      </c>
      <c r="I2056" s="23" t="str">
        <f aca="false">IF(B2056="","","")</f>
        <v/>
      </c>
      <c r="J2056" s="23" t="str">
        <f aca="false">IF(B2056="","","touch_1; "&amp;IFERROR(INDEX(Clay_Offices!$A$2:$FZ$601,405,Sync!$C$10)&amp;"","")&amp;"; "&amp;IFERROR(INDEX(Clay_Offices!$A$2:$FZ$601,405,Sync!$C$9)&amp;"",""))</f>
        <v/>
      </c>
      <c r="K2056" s="32" t="s">
        <v>1363</v>
      </c>
    </row>
    <row r="2057" customFormat="false" ht="15" hidden="false" customHeight="false" outlineLevel="0" collapsed="false">
      <c r="A2057" s="23" t="str">
        <f aca="false">IF(B2057="","",B2057+(12*1000+406)/10000000)</f>
        <v/>
      </c>
      <c r="B2057" s="35" t="str">
        <f aca="false">IF(AND(IFERROR(N(INDEX(Clay_Offices!$A$2:$FZ$601,406,Sync!$C$11)),0)&gt;0,IFERROR(INDEX(Clay_Offices!$A$2:$FZ$601,406,Sync!$C$5)&amp;"","")&lt;&gt;"",OR(LEFT(IFERROR(INDEX(Clay_Offices!$A$2:$FZ$601,406,Sync!$C$5)&amp;"",""),6)&lt;&gt;"SAMPLE",Config!$B$19="Y")),IFERROR(N(INDEX(Clay_Offices!$A$2:$FZ$601,406,Sync!$C$11)),0),"")</f>
        <v/>
      </c>
      <c r="C2057" s="23" t="str">
        <f aca="false">IF(B2057="","","office")</f>
        <v/>
      </c>
      <c r="D2057" s="23" t="str">
        <f aca="false">IF(B2057="","",IFERROR(INDEX(Office_Log!$ED$2:$ED$201,MATCH(IFERROR(INDEX(Clay_Offices!$A$2:$FZ$601,406,Sync!$C$5)&amp;"",""),Office_Log!$A$2:$A$201,0))&amp;"",IFERROR(INDEX(Clay_Offices!$A$2:$FZ$601,406,Sync!$C$5)&amp;"","")&amp;""))</f>
        <v/>
      </c>
      <c r="E2057" s="23" t="str">
        <f aca="false">IF(B2057="","",IFERROR(INDEX(Clay_Offices!$A$2:$FZ$601,406,Sync!$C$6)&amp;"",""))</f>
        <v/>
      </c>
      <c r="F2057" s="23" t="str">
        <f aca="false">IF(B2057="","","outreach_sent")</f>
        <v/>
      </c>
      <c r="G2057" s="23" t="str">
        <f aca="false">IF(B2057="","","")</f>
        <v/>
      </c>
      <c r="H2057" s="23" t="str">
        <f aca="false">IF(B2057="","","")</f>
        <v/>
      </c>
      <c r="I2057" s="23" t="str">
        <f aca="false">IF(B2057="","","")</f>
        <v/>
      </c>
      <c r="J2057" s="23" t="str">
        <f aca="false">IF(B2057="","","touch_1; "&amp;IFERROR(INDEX(Clay_Offices!$A$2:$FZ$601,406,Sync!$C$10)&amp;"","")&amp;"; "&amp;IFERROR(INDEX(Clay_Offices!$A$2:$FZ$601,406,Sync!$C$9)&amp;"",""))</f>
        <v/>
      </c>
      <c r="K2057" s="32" t="s">
        <v>1363</v>
      </c>
    </row>
    <row r="2058" customFormat="false" ht="15" hidden="false" customHeight="false" outlineLevel="0" collapsed="false">
      <c r="A2058" s="23" t="str">
        <f aca="false">IF(B2058="","",B2058+(12*1000+407)/10000000)</f>
        <v/>
      </c>
      <c r="B2058" s="35" t="str">
        <f aca="false">IF(AND(IFERROR(N(INDEX(Clay_Offices!$A$2:$FZ$601,407,Sync!$C$11)),0)&gt;0,IFERROR(INDEX(Clay_Offices!$A$2:$FZ$601,407,Sync!$C$5)&amp;"","")&lt;&gt;"",OR(LEFT(IFERROR(INDEX(Clay_Offices!$A$2:$FZ$601,407,Sync!$C$5)&amp;"",""),6)&lt;&gt;"SAMPLE",Config!$B$19="Y")),IFERROR(N(INDEX(Clay_Offices!$A$2:$FZ$601,407,Sync!$C$11)),0),"")</f>
        <v/>
      </c>
      <c r="C2058" s="23" t="str">
        <f aca="false">IF(B2058="","","office")</f>
        <v/>
      </c>
      <c r="D2058" s="23" t="str">
        <f aca="false">IF(B2058="","",IFERROR(INDEX(Office_Log!$ED$2:$ED$201,MATCH(IFERROR(INDEX(Clay_Offices!$A$2:$FZ$601,407,Sync!$C$5)&amp;"",""),Office_Log!$A$2:$A$201,0))&amp;"",IFERROR(INDEX(Clay_Offices!$A$2:$FZ$601,407,Sync!$C$5)&amp;"","")&amp;""))</f>
        <v/>
      </c>
      <c r="E2058" s="23" t="str">
        <f aca="false">IF(B2058="","",IFERROR(INDEX(Clay_Offices!$A$2:$FZ$601,407,Sync!$C$6)&amp;"",""))</f>
        <v/>
      </c>
      <c r="F2058" s="23" t="str">
        <f aca="false">IF(B2058="","","outreach_sent")</f>
        <v/>
      </c>
      <c r="G2058" s="23" t="str">
        <f aca="false">IF(B2058="","","")</f>
        <v/>
      </c>
      <c r="H2058" s="23" t="str">
        <f aca="false">IF(B2058="","","")</f>
        <v/>
      </c>
      <c r="I2058" s="23" t="str">
        <f aca="false">IF(B2058="","","")</f>
        <v/>
      </c>
      <c r="J2058" s="23" t="str">
        <f aca="false">IF(B2058="","","touch_1; "&amp;IFERROR(INDEX(Clay_Offices!$A$2:$FZ$601,407,Sync!$C$10)&amp;"","")&amp;"; "&amp;IFERROR(INDEX(Clay_Offices!$A$2:$FZ$601,407,Sync!$C$9)&amp;"",""))</f>
        <v/>
      </c>
      <c r="K2058" s="32" t="s">
        <v>1363</v>
      </c>
    </row>
    <row r="2059" customFormat="false" ht="15" hidden="false" customHeight="false" outlineLevel="0" collapsed="false">
      <c r="A2059" s="23" t="str">
        <f aca="false">IF(B2059="","",B2059+(12*1000+408)/10000000)</f>
        <v/>
      </c>
      <c r="B2059" s="35" t="str">
        <f aca="false">IF(AND(IFERROR(N(INDEX(Clay_Offices!$A$2:$FZ$601,408,Sync!$C$11)),0)&gt;0,IFERROR(INDEX(Clay_Offices!$A$2:$FZ$601,408,Sync!$C$5)&amp;"","")&lt;&gt;"",OR(LEFT(IFERROR(INDEX(Clay_Offices!$A$2:$FZ$601,408,Sync!$C$5)&amp;"",""),6)&lt;&gt;"SAMPLE",Config!$B$19="Y")),IFERROR(N(INDEX(Clay_Offices!$A$2:$FZ$601,408,Sync!$C$11)),0),"")</f>
        <v/>
      </c>
      <c r="C2059" s="23" t="str">
        <f aca="false">IF(B2059="","","office")</f>
        <v/>
      </c>
      <c r="D2059" s="23" t="str">
        <f aca="false">IF(B2059="","",IFERROR(INDEX(Office_Log!$ED$2:$ED$201,MATCH(IFERROR(INDEX(Clay_Offices!$A$2:$FZ$601,408,Sync!$C$5)&amp;"",""),Office_Log!$A$2:$A$201,0))&amp;"",IFERROR(INDEX(Clay_Offices!$A$2:$FZ$601,408,Sync!$C$5)&amp;"","")&amp;""))</f>
        <v/>
      </c>
      <c r="E2059" s="23" t="str">
        <f aca="false">IF(B2059="","",IFERROR(INDEX(Clay_Offices!$A$2:$FZ$601,408,Sync!$C$6)&amp;"",""))</f>
        <v/>
      </c>
      <c r="F2059" s="23" t="str">
        <f aca="false">IF(B2059="","","outreach_sent")</f>
        <v/>
      </c>
      <c r="G2059" s="23" t="str">
        <f aca="false">IF(B2059="","","")</f>
        <v/>
      </c>
      <c r="H2059" s="23" t="str">
        <f aca="false">IF(B2059="","","")</f>
        <v/>
      </c>
      <c r="I2059" s="23" t="str">
        <f aca="false">IF(B2059="","","")</f>
        <v/>
      </c>
      <c r="J2059" s="23" t="str">
        <f aca="false">IF(B2059="","","touch_1; "&amp;IFERROR(INDEX(Clay_Offices!$A$2:$FZ$601,408,Sync!$C$10)&amp;"","")&amp;"; "&amp;IFERROR(INDEX(Clay_Offices!$A$2:$FZ$601,408,Sync!$C$9)&amp;"",""))</f>
        <v/>
      </c>
      <c r="K2059" s="32" t="s">
        <v>1363</v>
      </c>
    </row>
    <row r="2060" customFormat="false" ht="15" hidden="false" customHeight="false" outlineLevel="0" collapsed="false">
      <c r="A2060" s="23" t="str">
        <f aca="false">IF(B2060="","",B2060+(12*1000+409)/10000000)</f>
        <v/>
      </c>
      <c r="B2060" s="35" t="str">
        <f aca="false">IF(AND(IFERROR(N(INDEX(Clay_Offices!$A$2:$FZ$601,409,Sync!$C$11)),0)&gt;0,IFERROR(INDEX(Clay_Offices!$A$2:$FZ$601,409,Sync!$C$5)&amp;"","")&lt;&gt;"",OR(LEFT(IFERROR(INDEX(Clay_Offices!$A$2:$FZ$601,409,Sync!$C$5)&amp;"",""),6)&lt;&gt;"SAMPLE",Config!$B$19="Y")),IFERROR(N(INDEX(Clay_Offices!$A$2:$FZ$601,409,Sync!$C$11)),0),"")</f>
        <v/>
      </c>
      <c r="C2060" s="23" t="str">
        <f aca="false">IF(B2060="","","office")</f>
        <v/>
      </c>
      <c r="D2060" s="23" t="str">
        <f aca="false">IF(B2060="","",IFERROR(INDEX(Office_Log!$ED$2:$ED$201,MATCH(IFERROR(INDEX(Clay_Offices!$A$2:$FZ$601,409,Sync!$C$5)&amp;"",""),Office_Log!$A$2:$A$201,0))&amp;"",IFERROR(INDEX(Clay_Offices!$A$2:$FZ$601,409,Sync!$C$5)&amp;"","")&amp;""))</f>
        <v/>
      </c>
      <c r="E2060" s="23" t="str">
        <f aca="false">IF(B2060="","",IFERROR(INDEX(Clay_Offices!$A$2:$FZ$601,409,Sync!$C$6)&amp;"",""))</f>
        <v/>
      </c>
      <c r="F2060" s="23" t="str">
        <f aca="false">IF(B2060="","","outreach_sent")</f>
        <v/>
      </c>
      <c r="G2060" s="23" t="str">
        <f aca="false">IF(B2060="","","")</f>
        <v/>
      </c>
      <c r="H2060" s="23" t="str">
        <f aca="false">IF(B2060="","","")</f>
        <v/>
      </c>
      <c r="I2060" s="23" t="str">
        <f aca="false">IF(B2060="","","")</f>
        <v/>
      </c>
      <c r="J2060" s="23" t="str">
        <f aca="false">IF(B2060="","","touch_1; "&amp;IFERROR(INDEX(Clay_Offices!$A$2:$FZ$601,409,Sync!$C$10)&amp;"","")&amp;"; "&amp;IFERROR(INDEX(Clay_Offices!$A$2:$FZ$601,409,Sync!$C$9)&amp;"",""))</f>
        <v/>
      </c>
      <c r="K2060" s="32" t="s">
        <v>1363</v>
      </c>
    </row>
    <row r="2061" customFormat="false" ht="15" hidden="false" customHeight="false" outlineLevel="0" collapsed="false">
      <c r="A2061" s="23" t="str">
        <f aca="false">IF(B2061="","",B2061+(12*1000+410)/10000000)</f>
        <v/>
      </c>
      <c r="B2061" s="35" t="str">
        <f aca="false">IF(AND(IFERROR(N(INDEX(Clay_Offices!$A$2:$FZ$601,410,Sync!$C$11)),0)&gt;0,IFERROR(INDEX(Clay_Offices!$A$2:$FZ$601,410,Sync!$C$5)&amp;"","")&lt;&gt;"",OR(LEFT(IFERROR(INDEX(Clay_Offices!$A$2:$FZ$601,410,Sync!$C$5)&amp;"",""),6)&lt;&gt;"SAMPLE",Config!$B$19="Y")),IFERROR(N(INDEX(Clay_Offices!$A$2:$FZ$601,410,Sync!$C$11)),0),"")</f>
        <v/>
      </c>
      <c r="C2061" s="23" t="str">
        <f aca="false">IF(B2061="","","office")</f>
        <v/>
      </c>
      <c r="D2061" s="23" t="str">
        <f aca="false">IF(B2061="","",IFERROR(INDEX(Office_Log!$ED$2:$ED$201,MATCH(IFERROR(INDEX(Clay_Offices!$A$2:$FZ$601,410,Sync!$C$5)&amp;"",""),Office_Log!$A$2:$A$201,0))&amp;"",IFERROR(INDEX(Clay_Offices!$A$2:$FZ$601,410,Sync!$C$5)&amp;"","")&amp;""))</f>
        <v/>
      </c>
      <c r="E2061" s="23" t="str">
        <f aca="false">IF(B2061="","",IFERROR(INDEX(Clay_Offices!$A$2:$FZ$601,410,Sync!$C$6)&amp;"",""))</f>
        <v/>
      </c>
      <c r="F2061" s="23" t="str">
        <f aca="false">IF(B2061="","","outreach_sent")</f>
        <v/>
      </c>
      <c r="G2061" s="23" t="str">
        <f aca="false">IF(B2061="","","")</f>
        <v/>
      </c>
      <c r="H2061" s="23" t="str">
        <f aca="false">IF(B2061="","","")</f>
        <v/>
      </c>
      <c r="I2061" s="23" t="str">
        <f aca="false">IF(B2061="","","")</f>
        <v/>
      </c>
      <c r="J2061" s="23" t="str">
        <f aca="false">IF(B2061="","","touch_1; "&amp;IFERROR(INDEX(Clay_Offices!$A$2:$FZ$601,410,Sync!$C$10)&amp;"","")&amp;"; "&amp;IFERROR(INDEX(Clay_Offices!$A$2:$FZ$601,410,Sync!$C$9)&amp;"",""))</f>
        <v/>
      </c>
      <c r="K2061" s="32" t="s">
        <v>1363</v>
      </c>
    </row>
    <row r="2062" customFormat="false" ht="15" hidden="false" customHeight="false" outlineLevel="0" collapsed="false">
      <c r="A2062" s="23" t="str">
        <f aca="false">IF(B2062="","",B2062+(12*1000+411)/10000000)</f>
        <v/>
      </c>
      <c r="B2062" s="35" t="str">
        <f aca="false">IF(AND(IFERROR(N(INDEX(Clay_Offices!$A$2:$FZ$601,411,Sync!$C$11)),0)&gt;0,IFERROR(INDEX(Clay_Offices!$A$2:$FZ$601,411,Sync!$C$5)&amp;"","")&lt;&gt;"",OR(LEFT(IFERROR(INDEX(Clay_Offices!$A$2:$FZ$601,411,Sync!$C$5)&amp;"",""),6)&lt;&gt;"SAMPLE",Config!$B$19="Y")),IFERROR(N(INDEX(Clay_Offices!$A$2:$FZ$601,411,Sync!$C$11)),0),"")</f>
        <v/>
      </c>
      <c r="C2062" s="23" t="str">
        <f aca="false">IF(B2062="","","office")</f>
        <v/>
      </c>
      <c r="D2062" s="23" t="str">
        <f aca="false">IF(B2062="","",IFERROR(INDEX(Office_Log!$ED$2:$ED$201,MATCH(IFERROR(INDEX(Clay_Offices!$A$2:$FZ$601,411,Sync!$C$5)&amp;"",""),Office_Log!$A$2:$A$201,0))&amp;"",IFERROR(INDEX(Clay_Offices!$A$2:$FZ$601,411,Sync!$C$5)&amp;"","")&amp;""))</f>
        <v/>
      </c>
      <c r="E2062" s="23" t="str">
        <f aca="false">IF(B2062="","",IFERROR(INDEX(Clay_Offices!$A$2:$FZ$601,411,Sync!$C$6)&amp;"",""))</f>
        <v/>
      </c>
      <c r="F2062" s="23" t="str">
        <f aca="false">IF(B2062="","","outreach_sent")</f>
        <v/>
      </c>
      <c r="G2062" s="23" t="str">
        <f aca="false">IF(B2062="","","")</f>
        <v/>
      </c>
      <c r="H2062" s="23" t="str">
        <f aca="false">IF(B2062="","","")</f>
        <v/>
      </c>
      <c r="I2062" s="23" t="str">
        <f aca="false">IF(B2062="","","")</f>
        <v/>
      </c>
      <c r="J2062" s="23" t="str">
        <f aca="false">IF(B2062="","","touch_1; "&amp;IFERROR(INDEX(Clay_Offices!$A$2:$FZ$601,411,Sync!$C$10)&amp;"","")&amp;"; "&amp;IFERROR(INDEX(Clay_Offices!$A$2:$FZ$601,411,Sync!$C$9)&amp;"",""))</f>
        <v/>
      </c>
      <c r="K2062" s="32" t="s">
        <v>1363</v>
      </c>
    </row>
    <row r="2063" customFormat="false" ht="15" hidden="false" customHeight="false" outlineLevel="0" collapsed="false">
      <c r="A2063" s="23" t="str">
        <f aca="false">IF(B2063="","",B2063+(12*1000+412)/10000000)</f>
        <v/>
      </c>
      <c r="B2063" s="35" t="str">
        <f aca="false">IF(AND(IFERROR(N(INDEX(Clay_Offices!$A$2:$FZ$601,412,Sync!$C$11)),0)&gt;0,IFERROR(INDEX(Clay_Offices!$A$2:$FZ$601,412,Sync!$C$5)&amp;"","")&lt;&gt;"",OR(LEFT(IFERROR(INDEX(Clay_Offices!$A$2:$FZ$601,412,Sync!$C$5)&amp;"",""),6)&lt;&gt;"SAMPLE",Config!$B$19="Y")),IFERROR(N(INDEX(Clay_Offices!$A$2:$FZ$601,412,Sync!$C$11)),0),"")</f>
        <v/>
      </c>
      <c r="C2063" s="23" t="str">
        <f aca="false">IF(B2063="","","office")</f>
        <v/>
      </c>
      <c r="D2063" s="23" t="str">
        <f aca="false">IF(B2063="","",IFERROR(INDEX(Office_Log!$ED$2:$ED$201,MATCH(IFERROR(INDEX(Clay_Offices!$A$2:$FZ$601,412,Sync!$C$5)&amp;"",""),Office_Log!$A$2:$A$201,0))&amp;"",IFERROR(INDEX(Clay_Offices!$A$2:$FZ$601,412,Sync!$C$5)&amp;"","")&amp;""))</f>
        <v/>
      </c>
      <c r="E2063" s="23" t="str">
        <f aca="false">IF(B2063="","",IFERROR(INDEX(Clay_Offices!$A$2:$FZ$601,412,Sync!$C$6)&amp;"",""))</f>
        <v/>
      </c>
      <c r="F2063" s="23" t="str">
        <f aca="false">IF(B2063="","","outreach_sent")</f>
        <v/>
      </c>
      <c r="G2063" s="23" t="str">
        <f aca="false">IF(B2063="","","")</f>
        <v/>
      </c>
      <c r="H2063" s="23" t="str">
        <f aca="false">IF(B2063="","","")</f>
        <v/>
      </c>
      <c r="I2063" s="23" t="str">
        <f aca="false">IF(B2063="","","")</f>
        <v/>
      </c>
      <c r="J2063" s="23" t="str">
        <f aca="false">IF(B2063="","","touch_1; "&amp;IFERROR(INDEX(Clay_Offices!$A$2:$FZ$601,412,Sync!$C$10)&amp;"","")&amp;"; "&amp;IFERROR(INDEX(Clay_Offices!$A$2:$FZ$601,412,Sync!$C$9)&amp;"",""))</f>
        <v/>
      </c>
      <c r="K2063" s="32" t="s">
        <v>1363</v>
      </c>
    </row>
    <row r="2064" customFormat="false" ht="15" hidden="false" customHeight="false" outlineLevel="0" collapsed="false">
      <c r="A2064" s="23" t="str">
        <f aca="false">IF(B2064="","",B2064+(12*1000+413)/10000000)</f>
        <v/>
      </c>
      <c r="B2064" s="35" t="str">
        <f aca="false">IF(AND(IFERROR(N(INDEX(Clay_Offices!$A$2:$FZ$601,413,Sync!$C$11)),0)&gt;0,IFERROR(INDEX(Clay_Offices!$A$2:$FZ$601,413,Sync!$C$5)&amp;"","")&lt;&gt;"",OR(LEFT(IFERROR(INDEX(Clay_Offices!$A$2:$FZ$601,413,Sync!$C$5)&amp;"",""),6)&lt;&gt;"SAMPLE",Config!$B$19="Y")),IFERROR(N(INDEX(Clay_Offices!$A$2:$FZ$601,413,Sync!$C$11)),0),"")</f>
        <v/>
      </c>
      <c r="C2064" s="23" t="str">
        <f aca="false">IF(B2064="","","office")</f>
        <v/>
      </c>
      <c r="D2064" s="23" t="str">
        <f aca="false">IF(B2064="","",IFERROR(INDEX(Office_Log!$ED$2:$ED$201,MATCH(IFERROR(INDEX(Clay_Offices!$A$2:$FZ$601,413,Sync!$C$5)&amp;"",""),Office_Log!$A$2:$A$201,0))&amp;"",IFERROR(INDEX(Clay_Offices!$A$2:$FZ$601,413,Sync!$C$5)&amp;"","")&amp;""))</f>
        <v/>
      </c>
      <c r="E2064" s="23" t="str">
        <f aca="false">IF(B2064="","",IFERROR(INDEX(Clay_Offices!$A$2:$FZ$601,413,Sync!$C$6)&amp;"",""))</f>
        <v/>
      </c>
      <c r="F2064" s="23" t="str">
        <f aca="false">IF(B2064="","","outreach_sent")</f>
        <v/>
      </c>
      <c r="G2064" s="23" t="str">
        <f aca="false">IF(B2064="","","")</f>
        <v/>
      </c>
      <c r="H2064" s="23" t="str">
        <f aca="false">IF(B2064="","","")</f>
        <v/>
      </c>
      <c r="I2064" s="23" t="str">
        <f aca="false">IF(B2064="","","")</f>
        <v/>
      </c>
      <c r="J2064" s="23" t="str">
        <f aca="false">IF(B2064="","","touch_1; "&amp;IFERROR(INDEX(Clay_Offices!$A$2:$FZ$601,413,Sync!$C$10)&amp;"","")&amp;"; "&amp;IFERROR(INDEX(Clay_Offices!$A$2:$FZ$601,413,Sync!$C$9)&amp;"",""))</f>
        <v/>
      </c>
      <c r="K2064" s="32" t="s">
        <v>1363</v>
      </c>
    </row>
    <row r="2065" customFormat="false" ht="15" hidden="false" customHeight="false" outlineLevel="0" collapsed="false">
      <c r="A2065" s="23" t="str">
        <f aca="false">IF(B2065="","",B2065+(12*1000+414)/10000000)</f>
        <v/>
      </c>
      <c r="B2065" s="35" t="str">
        <f aca="false">IF(AND(IFERROR(N(INDEX(Clay_Offices!$A$2:$FZ$601,414,Sync!$C$11)),0)&gt;0,IFERROR(INDEX(Clay_Offices!$A$2:$FZ$601,414,Sync!$C$5)&amp;"","")&lt;&gt;"",OR(LEFT(IFERROR(INDEX(Clay_Offices!$A$2:$FZ$601,414,Sync!$C$5)&amp;"",""),6)&lt;&gt;"SAMPLE",Config!$B$19="Y")),IFERROR(N(INDEX(Clay_Offices!$A$2:$FZ$601,414,Sync!$C$11)),0),"")</f>
        <v/>
      </c>
      <c r="C2065" s="23" t="str">
        <f aca="false">IF(B2065="","","office")</f>
        <v/>
      </c>
      <c r="D2065" s="23" t="str">
        <f aca="false">IF(B2065="","",IFERROR(INDEX(Office_Log!$ED$2:$ED$201,MATCH(IFERROR(INDEX(Clay_Offices!$A$2:$FZ$601,414,Sync!$C$5)&amp;"",""),Office_Log!$A$2:$A$201,0))&amp;"",IFERROR(INDEX(Clay_Offices!$A$2:$FZ$601,414,Sync!$C$5)&amp;"","")&amp;""))</f>
        <v/>
      </c>
      <c r="E2065" s="23" t="str">
        <f aca="false">IF(B2065="","",IFERROR(INDEX(Clay_Offices!$A$2:$FZ$601,414,Sync!$C$6)&amp;"",""))</f>
        <v/>
      </c>
      <c r="F2065" s="23" t="str">
        <f aca="false">IF(B2065="","","outreach_sent")</f>
        <v/>
      </c>
      <c r="G2065" s="23" t="str">
        <f aca="false">IF(B2065="","","")</f>
        <v/>
      </c>
      <c r="H2065" s="23" t="str">
        <f aca="false">IF(B2065="","","")</f>
        <v/>
      </c>
      <c r="I2065" s="23" t="str">
        <f aca="false">IF(B2065="","","")</f>
        <v/>
      </c>
      <c r="J2065" s="23" t="str">
        <f aca="false">IF(B2065="","","touch_1; "&amp;IFERROR(INDEX(Clay_Offices!$A$2:$FZ$601,414,Sync!$C$10)&amp;"","")&amp;"; "&amp;IFERROR(INDEX(Clay_Offices!$A$2:$FZ$601,414,Sync!$C$9)&amp;"",""))</f>
        <v/>
      </c>
      <c r="K2065" s="32" t="s">
        <v>1363</v>
      </c>
    </row>
    <row r="2066" customFormat="false" ht="15" hidden="false" customHeight="false" outlineLevel="0" collapsed="false">
      <c r="A2066" s="23" t="str">
        <f aca="false">IF(B2066="","",B2066+(12*1000+415)/10000000)</f>
        <v/>
      </c>
      <c r="B2066" s="35" t="str">
        <f aca="false">IF(AND(IFERROR(N(INDEX(Clay_Offices!$A$2:$FZ$601,415,Sync!$C$11)),0)&gt;0,IFERROR(INDEX(Clay_Offices!$A$2:$FZ$601,415,Sync!$C$5)&amp;"","")&lt;&gt;"",OR(LEFT(IFERROR(INDEX(Clay_Offices!$A$2:$FZ$601,415,Sync!$C$5)&amp;"",""),6)&lt;&gt;"SAMPLE",Config!$B$19="Y")),IFERROR(N(INDEX(Clay_Offices!$A$2:$FZ$601,415,Sync!$C$11)),0),"")</f>
        <v/>
      </c>
      <c r="C2066" s="23" t="str">
        <f aca="false">IF(B2066="","","office")</f>
        <v/>
      </c>
      <c r="D2066" s="23" t="str">
        <f aca="false">IF(B2066="","",IFERROR(INDEX(Office_Log!$ED$2:$ED$201,MATCH(IFERROR(INDEX(Clay_Offices!$A$2:$FZ$601,415,Sync!$C$5)&amp;"",""),Office_Log!$A$2:$A$201,0))&amp;"",IFERROR(INDEX(Clay_Offices!$A$2:$FZ$601,415,Sync!$C$5)&amp;"","")&amp;""))</f>
        <v/>
      </c>
      <c r="E2066" s="23" t="str">
        <f aca="false">IF(B2066="","",IFERROR(INDEX(Clay_Offices!$A$2:$FZ$601,415,Sync!$C$6)&amp;"",""))</f>
        <v/>
      </c>
      <c r="F2066" s="23" t="str">
        <f aca="false">IF(B2066="","","outreach_sent")</f>
        <v/>
      </c>
      <c r="G2066" s="23" t="str">
        <f aca="false">IF(B2066="","","")</f>
        <v/>
      </c>
      <c r="H2066" s="23" t="str">
        <f aca="false">IF(B2066="","","")</f>
        <v/>
      </c>
      <c r="I2066" s="23" t="str">
        <f aca="false">IF(B2066="","","")</f>
        <v/>
      </c>
      <c r="J2066" s="23" t="str">
        <f aca="false">IF(B2066="","","touch_1; "&amp;IFERROR(INDEX(Clay_Offices!$A$2:$FZ$601,415,Sync!$C$10)&amp;"","")&amp;"; "&amp;IFERROR(INDEX(Clay_Offices!$A$2:$FZ$601,415,Sync!$C$9)&amp;"",""))</f>
        <v/>
      </c>
      <c r="K2066" s="32" t="s">
        <v>1363</v>
      </c>
    </row>
    <row r="2067" customFormat="false" ht="15" hidden="false" customHeight="false" outlineLevel="0" collapsed="false">
      <c r="A2067" s="23" t="str">
        <f aca="false">IF(B2067="","",B2067+(12*1000+416)/10000000)</f>
        <v/>
      </c>
      <c r="B2067" s="35" t="str">
        <f aca="false">IF(AND(IFERROR(N(INDEX(Clay_Offices!$A$2:$FZ$601,416,Sync!$C$11)),0)&gt;0,IFERROR(INDEX(Clay_Offices!$A$2:$FZ$601,416,Sync!$C$5)&amp;"","")&lt;&gt;"",OR(LEFT(IFERROR(INDEX(Clay_Offices!$A$2:$FZ$601,416,Sync!$C$5)&amp;"",""),6)&lt;&gt;"SAMPLE",Config!$B$19="Y")),IFERROR(N(INDEX(Clay_Offices!$A$2:$FZ$601,416,Sync!$C$11)),0),"")</f>
        <v/>
      </c>
      <c r="C2067" s="23" t="str">
        <f aca="false">IF(B2067="","","office")</f>
        <v/>
      </c>
      <c r="D2067" s="23" t="str">
        <f aca="false">IF(B2067="","",IFERROR(INDEX(Office_Log!$ED$2:$ED$201,MATCH(IFERROR(INDEX(Clay_Offices!$A$2:$FZ$601,416,Sync!$C$5)&amp;"",""),Office_Log!$A$2:$A$201,0))&amp;"",IFERROR(INDEX(Clay_Offices!$A$2:$FZ$601,416,Sync!$C$5)&amp;"","")&amp;""))</f>
        <v/>
      </c>
      <c r="E2067" s="23" t="str">
        <f aca="false">IF(B2067="","",IFERROR(INDEX(Clay_Offices!$A$2:$FZ$601,416,Sync!$C$6)&amp;"",""))</f>
        <v/>
      </c>
      <c r="F2067" s="23" t="str">
        <f aca="false">IF(B2067="","","outreach_sent")</f>
        <v/>
      </c>
      <c r="G2067" s="23" t="str">
        <f aca="false">IF(B2067="","","")</f>
        <v/>
      </c>
      <c r="H2067" s="23" t="str">
        <f aca="false">IF(B2067="","","")</f>
        <v/>
      </c>
      <c r="I2067" s="23" t="str">
        <f aca="false">IF(B2067="","","")</f>
        <v/>
      </c>
      <c r="J2067" s="23" t="str">
        <f aca="false">IF(B2067="","","touch_1; "&amp;IFERROR(INDEX(Clay_Offices!$A$2:$FZ$601,416,Sync!$C$10)&amp;"","")&amp;"; "&amp;IFERROR(INDEX(Clay_Offices!$A$2:$FZ$601,416,Sync!$C$9)&amp;"",""))</f>
        <v/>
      </c>
      <c r="K2067" s="32" t="s">
        <v>1363</v>
      </c>
    </row>
    <row r="2068" customFormat="false" ht="15" hidden="false" customHeight="false" outlineLevel="0" collapsed="false">
      <c r="A2068" s="23" t="str">
        <f aca="false">IF(B2068="","",B2068+(12*1000+417)/10000000)</f>
        <v/>
      </c>
      <c r="B2068" s="35" t="str">
        <f aca="false">IF(AND(IFERROR(N(INDEX(Clay_Offices!$A$2:$FZ$601,417,Sync!$C$11)),0)&gt;0,IFERROR(INDEX(Clay_Offices!$A$2:$FZ$601,417,Sync!$C$5)&amp;"","")&lt;&gt;"",OR(LEFT(IFERROR(INDEX(Clay_Offices!$A$2:$FZ$601,417,Sync!$C$5)&amp;"",""),6)&lt;&gt;"SAMPLE",Config!$B$19="Y")),IFERROR(N(INDEX(Clay_Offices!$A$2:$FZ$601,417,Sync!$C$11)),0),"")</f>
        <v/>
      </c>
      <c r="C2068" s="23" t="str">
        <f aca="false">IF(B2068="","","office")</f>
        <v/>
      </c>
      <c r="D2068" s="23" t="str">
        <f aca="false">IF(B2068="","",IFERROR(INDEX(Office_Log!$ED$2:$ED$201,MATCH(IFERROR(INDEX(Clay_Offices!$A$2:$FZ$601,417,Sync!$C$5)&amp;"",""),Office_Log!$A$2:$A$201,0))&amp;"",IFERROR(INDEX(Clay_Offices!$A$2:$FZ$601,417,Sync!$C$5)&amp;"","")&amp;""))</f>
        <v/>
      </c>
      <c r="E2068" s="23" t="str">
        <f aca="false">IF(B2068="","",IFERROR(INDEX(Clay_Offices!$A$2:$FZ$601,417,Sync!$C$6)&amp;"",""))</f>
        <v/>
      </c>
      <c r="F2068" s="23" t="str">
        <f aca="false">IF(B2068="","","outreach_sent")</f>
        <v/>
      </c>
      <c r="G2068" s="23" t="str">
        <f aca="false">IF(B2068="","","")</f>
        <v/>
      </c>
      <c r="H2068" s="23" t="str">
        <f aca="false">IF(B2068="","","")</f>
        <v/>
      </c>
      <c r="I2068" s="23" t="str">
        <f aca="false">IF(B2068="","","")</f>
        <v/>
      </c>
      <c r="J2068" s="23" t="str">
        <f aca="false">IF(B2068="","","touch_1; "&amp;IFERROR(INDEX(Clay_Offices!$A$2:$FZ$601,417,Sync!$C$10)&amp;"","")&amp;"; "&amp;IFERROR(INDEX(Clay_Offices!$A$2:$FZ$601,417,Sync!$C$9)&amp;"",""))</f>
        <v/>
      </c>
      <c r="K2068" s="32" t="s">
        <v>1363</v>
      </c>
    </row>
    <row r="2069" customFormat="false" ht="15" hidden="false" customHeight="false" outlineLevel="0" collapsed="false">
      <c r="A2069" s="23" t="str">
        <f aca="false">IF(B2069="","",B2069+(12*1000+418)/10000000)</f>
        <v/>
      </c>
      <c r="B2069" s="35" t="str">
        <f aca="false">IF(AND(IFERROR(N(INDEX(Clay_Offices!$A$2:$FZ$601,418,Sync!$C$11)),0)&gt;0,IFERROR(INDEX(Clay_Offices!$A$2:$FZ$601,418,Sync!$C$5)&amp;"","")&lt;&gt;"",OR(LEFT(IFERROR(INDEX(Clay_Offices!$A$2:$FZ$601,418,Sync!$C$5)&amp;"",""),6)&lt;&gt;"SAMPLE",Config!$B$19="Y")),IFERROR(N(INDEX(Clay_Offices!$A$2:$FZ$601,418,Sync!$C$11)),0),"")</f>
        <v/>
      </c>
      <c r="C2069" s="23" t="str">
        <f aca="false">IF(B2069="","","office")</f>
        <v/>
      </c>
      <c r="D2069" s="23" t="str">
        <f aca="false">IF(B2069="","",IFERROR(INDEX(Office_Log!$ED$2:$ED$201,MATCH(IFERROR(INDEX(Clay_Offices!$A$2:$FZ$601,418,Sync!$C$5)&amp;"",""),Office_Log!$A$2:$A$201,0))&amp;"",IFERROR(INDEX(Clay_Offices!$A$2:$FZ$601,418,Sync!$C$5)&amp;"","")&amp;""))</f>
        <v/>
      </c>
      <c r="E2069" s="23" t="str">
        <f aca="false">IF(B2069="","",IFERROR(INDEX(Clay_Offices!$A$2:$FZ$601,418,Sync!$C$6)&amp;"",""))</f>
        <v/>
      </c>
      <c r="F2069" s="23" t="str">
        <f aca="false">IF(B2069="","","outreach_sent")</f>
        <v/>
      </c>
      <c r="G2069" s="23" t="str">
        <f aca="false">IF(B2069="","","")</f>
        <v/>
      </c>
      <c r="H2069" s="23" t="str">
        <f aca="false">IF(B2069="","","")</f>
        <v/>
      </c>
      <c r="I2069" s="23" t="str">
        <f aca="false">IF(B2069="","","")</f>
        <v/>
      </c>
      <c r="J2069" s="23" t="str">
        <f aca="false">IF(B2069="","","touch_1; "&amp;IFERROR(INDEX(Clay_Offices!$A$2:$FZ$601,418,Sync!$C$10)&amp;"","")&amp;"; "&amp;IFERROR(INDEX(Clay_Offices!$A$2:$FZ$601,418,Sync!$C$9)&amp;"",""))</f>
        <v/>
      </c>
      <c r="K2069" s="32" t="s">
        <v>1363</v>
      </c>
    </row>
    <row r="2070" customFormat="false" ht="15" hidden="false" customHeight="false" outlineLevel="0" collapsed="false">
      <c r="A2070" s="23" t="str">
        <f aca="false">IF(B2070="","",B2070+(12*1000+419)/10000000)</f>
        <v/>
      </c>
      <c r="B2070" s="35" t="str">
        <f aca="false">IF(AND(IFERROR(N(INDEX(Clay_Offices!$A$2:$FZ$601,419,Sync!$C$11)),0)&gt;0,IFERROR(INDEX(Clay_Offices!$A$2:$FZ$601,419,Sync!$C$5)&amp;"","")&lt;&gt;"",OR(LEFT(IFERROR(INDEX(Clay_Offices!$A$2:$FZ$601,419,Sync!$C$5)&amp;"",""),6)&lt;&gt;"SAMPLE",Config!$B$19="Y")),IFERROR(N(INDEX(Clay_Offices!$A$2:$FZ$601,419,Sync!$C$11)),0),"")</f>
        <v/>
      </c>
      <c r="C2070" s="23" t="str">
        <f aca="false">IF(B2070="","","office")</f>
        <v/>
      </c>
      <c r="D2070" s="23" t="str">
        <f aca="false">IF(B2070="","",IFERROR(INDEX(Office_Log!$ED$2:$ED$201,MATCH(IFERROR(INDEX(Clay_Offices!$A$2:$FZ$601,419,Sync!$C$5)&amp;"",""),Office_Log!$A$2:$A$201,0))&amp;"",IFERROR(INDEX(Clay_Offices!$A$2:$FZ$601,419,Sync!$C$5)&amp;"","")&amp;""))</f>
        <v/>
      </c>
      <c r="E2070" s="23" t="str">
        <f aca="false">IF(B2070="","",IFERROR(INDEX(Clay_Offices!$A$2:$FZ$601,419,Sync!$C$6)&amp;"",""))</f>
        <v/>
      </c>
      <c r="F2070" s="23" t="str">
        <f aca="false">IF(B2070="","","outreach_sent")</f>
        <v/>
      </c>
      <c r="G2070" s="23" t="str">
        <f aca="false">IF(B2070="","","")</f>
        <v/>
      </c>
      <c r="H2070" s="23" t="str">
        <f aca="false">IF(B2070="","","")</f>
        <v/>
      </c>
      <c r="I2070" s="23" t="str">
        <f aca="false">IF(B2070="","","")</f>
        <v/>
      </c>
      <c r="J2070" s="23" t="str">
        <f aca="false">IF(B2070="","","touch_1; "&amp;IFERROR(INDEX(Clay_Offices!$A$2:$FZ$601,419,Sync!$C$10)&amp;"","")&amp;"; "&amp;IFERROR(INDEX(Clay_Offices!$A$2:$FZ$601,419,Sync!$C$9)&amp;"",""))</f>
        <v/>
      </c>
      <c r="K2070" s="32" t="s">
        <v>1363</v>
      </c>
    </row>
    <row r="2071" customFormat="false" ht="15" hidden="false" customHeight="false" outlineLevel="0" collapsed="false">
      <c r="A2071" s="23" t="str">
        <f aca="false">IF(B2071="","",B2071+(12*1000+420)/10000000)</f>
        <v/>
      </c>
      <c r="B2071" s="35" t="str">
        <f aca="false">IF(AND(IFERROR(N(INDEX(Clay_Offices!$A$2:$FZ$601,420,Sync!$C$11)),0)&gt;0,IFERROR(INDEX(Clay_Offices!$A$2:$FZ$601,420,Sync!$C$5)&amp;"","")&lt;&gt;"",OR(LEFT(IFERROR(INDEX(Clay_Offices!$A$2:$FZ$601,420,Sync!$C$5)&amp;"",""),6)&lt;&gt;"SAMPLE",Config!$B$19="Y")),IFERROR(N(INDEX(Clay_Offices!$A$2:$FZ$601,420,Sync!$C$11)),0),"")</f>
        <v/>
      </c>
      <c r="C2071" s="23" t="str">
        <f aca="false">IF(B2071="","","office")</f>
        <v/>
      </c>
      <c r="D2071" s="23" t="str">
        <f aca="false">IF(B2071="","",IFERROR(INDEX(Office_Log!$ED$2:$ED$201,MATCH(IFERROR(INDEX(Clay_Offices!$A$2:$FZ$601,420,Sync!$C$5)&amp;"",""),Office_Log!$A$2:$A$201,0))&amp;"",IFERROR(INDEX(Clay_Offices!$A$2:$FZ$601,420,Sync!$C$5)&amp;"","")&amp;""))</f>
        <v/>
      </c>
      <c r="E2071" s="23" t="str">
        <f aca="false">IF(B2071="","",IFERROR(INDEX(Clay_Offices!$A$2:$FZ$601,420,Sync!$C$6)&amp;"",""))</f>
        <v/>
      </c>
      <c r="F2071" s="23" t="str">
        <f aca="false">IF(B2071="","","outreach_sent")</f>
        <v/>
      </c>
      <c r="G2071" s="23" t="str">
        <f aca="false">IF(B2071="","","")</f>
        <v/>
      </c>
      <c r="H2071" s="23" t="str">
        <f aca="false">IF(B2071="","","")</f>
        <v/>
      </c>
      <c r="I2071" s="23" t="str">
        <f aca="false">IF(B2071="","","")</f>
        <v/>
      </c>
      <c r="J2071" s="23" t="str">
        <f aca="false">IF(B2071="","","touch_1; "&amp;IFERROR(INDEX(Clay_Offices!$A$2:$FZ$601,420,Sync!$C$10)&amp;"","")&amp;"; "&amp;IFERROR(INDEX(Clay_Offices!$A$2:$FZ$601,420,Sync!$C$9)&amp;"",""))</f>
        <v/>
      </c>
      <c r="K2071" s="32" t="s">
        <v>1363</v>
      </c>
    </row>
    <row r="2072" customFormat="false" ht="15" hidden="false" customHeight="false" outlineLevel="0" collapsed="false">
      <c r="A2072" s="23" t="str">
        <f aca="false">IF(B2072="","",B2072+(12*1000+421)/10000000)</f>
        <v/>
      </c>
      <c r="B2072" s="35" t="str">
        <f aca="false">IF(AND(IFERROR(N(INDEX(Clay_Offices!$A$2:$FZ$601,421,Sync!$C$11)),0)&gt;0,IFERROR(INDEX(Clay_Offices!$A$2:$FZ$601,421,Sync!$C$5)&amp;"","")&lt;&gt;"",OR(LEFT(IFERROR(INDEX(Clay_Offices!$A$2:$FZ$601,421,Sync!$C$5)&amp;"",""),6)&lt;&gt;"SAMPLE",Config!$B$19="Y")),IFERROR(N(INDEX(Clay_Offices!$A$2:$FZ$601,421,Sync!$C$11)),0),"")</f>
        <v/>
      </c>
      <c r="C2072" s="23" t="str">
        <f aca="false">IF(B2072="","","office")</f>
        <v/>
      </c>
      <c r="D2072" s="23" t="str">
        <f aca="false">IF(B2072="","",IFERROR(INDEX(Office_Log!$ED$2:$ED$201,MATCH(IFERROR(INDEX(Clay_Offices!$A$2:$FZ$601,421,Sync!$C$5)&amp;"",""),Office_Log!$A$2:$A$201,0))&amp;"",IFERROR(INDEX(Clay_Offices!$A$2:$FZ$601,421,Sync!$C$5)&amp;"","")&amp;""))</f>
        <v/>
      </c>
      <c r="E2072" s="23" t="str">
        <f aca="false">IF(B2072="","",IFERROR(INDEX(Clay_Offices!$A$2:$FZ$601,421,Sync!$C$6)&amp;"",""))</f>
        <v/>
      </c>
      <c r="F2072" s="23" t="str">
        <f aca="false">IF(B2072="","","outreach_sent")</f>
        <v/>
      </c>
      <c r="G2072" s="23" t="str">
        <f aca="false">IF(B2072="","","")</f>
        <v/>
      </c>
      <c r="H2072" s="23" t="str">
        <f aca="false">IF(B2072="","","")</f>
        <v/>
      </c>
      <c r="I2072" s="23" t="str">
        <f aca="false">IF(B2072="","","")</f>
        <v/>
      </c>
      <c r="J2072" s="23" t="str">
        <f aca="false">IF(B2072="","","touch_1; "&amp;IFERROR(INDEX(Clay_Offices!$A$2:$FZ$601,421,Sync!$C$10)&amp;"","")&amp;"; "&amp;IFERROR(INDEX(Clay_Offices!$A$2:$FZ$601,421,Sync!$C$9)&amp;"",""))</f>
        <v/>
      </c>
      <c r="K2072" s="32" t="s">
        <v>1363</v>
      </c>
    </row>
    <row r="2073" customFormat="false" ht="15" hidden="false" customHeight="false" outlineLevel="0" collapsed="false">
      <c r="A2073" s="23" t="str">
        <f aca="false">IF(B2073="","",B2073+(12*1000+422)/10000000)</f>
        <v/>
      </c>
      <c r="B2073" s="35" t="str">
        <f aca="false">IF(AND(IFERROR(N(INDEX(Clay_Offices!$A$2:$FZ$601,422,Sync!$C$11)),0)&gt;0,IFERROR(INDEX(Clay_Offices!$A$2:$FZ$601,422,Sync!$C$5)&amp;"","")&lt;&gt;"",OR(LEFT(IFERROR(INDEX(Clay_Offices!$A$2:$FZ$601,422,Sync!$C$5)&amp;"",""),6)&lt;&gt;"SAMPLE",Config!$B$19="Y")),IFERROR(N(INDEX(Clay_Offices!$A$2:$FZ$601,422,Sync!$C$11)),0),"")</f>
        <v/>
      </c>
      <c r="C2073" s="23" t="str">
        <f aca="false">IF(B2073="","","office")</f>
        <v/>
      </c>
      <c r="D2073" s="23" t="str">
        <f aca="false">IF(B2073="","",IFERROR(INDEX(Office_Log!$ED$2:$ED$201,MATCH(IFERROR(INDEX(Clay_Offices!$A$2:$FZ$601,422,Sync!$C$5)&amp;"",""),Office_Log!$A$2:$A$201,0))&amp;"",IFERROR(INDEX(Clay_Offices!$A$2:$FZ$601,422,Sync!$C$5)&amp;"","")&amp;""))</f>
        <v/>
      </c>
      <c r="E2073" s="23" t="str">
        <f aca="false">IF(B2073="","",IFERROR(INDEX(Clay_Offices!$A$2:$FZ$601,422,Sync!$C$6)&amp;"",""))</f>
        <v/>
      </c>
      <c r="F2073" s="23" t="str">
        <f aca="false">IF(B2073="","","outreach_sent")</f>
        <v/>
      </c>
      <c r="G2073" s="23" t="str">
        <f aca="false">IF(B2073="","","")</f>
        <v/>
      </c>
      <c r="H2073" s="23" t="str">
        <f aca="false">IF(B2073="","","")</f>
        <v/>
      </c>
      <c r="I2073" s="23" t="str">
        <f aca="false">IF(B2073="","","")</f>
        <v/>
      </c>
      <c r="J2073" s="23" t="str">
        <f aca="false">IF(B2073="","","touch_1; "&amp;IFERROR(INDEX(Clay_Offices!$A$2:$FZ$601,422,Sync!$C$10)&amp;"","")&amp;"; "&amp;IFERROR(INDEX(Clay_Offices!$A$2:$FZ$601,422,Sync!$C$9)&amp;"",""))</f>
        <v/>
      </c>
      <c r="K2073" s="32" t="s">
        <v>1363</v>
      </c>
    </row>
    <row r="2074" customFormat="false" ht="15" hidden="false" customHeight="false" outlineLevel="0" collapsed="false">
      <c r="A2074" s="23" t="str">
        <f aca="false">IF(B2074="","",B2074+(12*1000+423)/10000000)</f>
        <v/>
      </c>
      <c r="B2074" s="35" t="str">
        <f aca="false">IF(AND(IFERROR(N(INDEX(Clay_Offices!$A$2:$FZ$601,423,Sync!$C$11)),0)&gt;0,IFERROR(INDEX(Clay_Offices!$A$2:$FZ$601,423,Sync!$C$5)&amp;"","")&lt;&gt;"",OR(LEFT(IFERROR(INDEX(Clay_Offices!$A$2:$FZ$601,423,Sync!$C$5)&amp;"",""),6)&lt;&gt;"SAMPLE",Config!$B$19="Y")),IFERROR(N(INDEX(Clay_Offices!$A$2:$FZ$601,423,Sync!$C$11)),0),"")</f>
        <v/>
      </c>
      <c r="C2074" s="23" t="str">
        <f aca="false">IF(B2074="","","office")</f>
        <v/>
      </c>
      <c r="D2074" s="23" t="str">
        <f aca="false">IF(B2074="","",IFERROR(INDEX(Office_Log!$ED$2:$ED$201,MATCH(IFERROR(INDEX(Clay_Offices!$A$2:$FZ$601,423,Sync!$C$5)&amp;"",""),Office_Log!$A$2:$A$201,0))&amp;"",IFERROR(INDEX(Clay_Offices!$A$2:$FZ$601,423,Sync!$C$5)&amp;"","")&amp;""))</f>
        <v/>
      </c>
      <c r="E2074" s="23" t="str">
        <f aca="false">IF(B2074="","",IFERROR(INDEX(Clay_Offices!$A$2:$FZ$601,423,Sync!$C$6)&amp;"",""))</f>
        <v/>
      </c>
      <c r="F2074" s="23" t="str">
        <f aca="false">IF(B2074="","","outreach_sent")</f>
        <v/>
      </c>
      <c r="G2074" s="23" t="str">
        <f aca="false">IF(B2074="","","")</f>
        <v/>
      </c>
      <c r="H2074" s="23" t="str">
        <f aca="false">IF(B2074="","","")</f>
        <v/>
      </c>
      <c r="I2074" s="23" t="str">
        <f aca="false">IF(B2074="","","")</f>
        <v/>
      </c>
      <c r="J2074" s="23" t="str">
        <f aca="false">IF(B2074="","","touch_1; "&amp;IFERROR(INDEX(Clay_Offices!$A$2:$FZ$601,423,Sync!$C$10)&amp;"","")&amp;"; "&amp;IFERROR(INDEX(Clay_Offices!$A$2:$FZ$601,423,Sync!$C$9)&amp;"",""))</f>
        <v/>
      </c>
      <c r="K2074" s="32" t="s">
        <v>1363</v>
      </c>
    </row>
    <row r="2075" customFormat="false" ht="15" hidden="false" customHeight="false" outlineLevel="0" collapsed="false">
      <c r="A2075" s="23" t="str">
        <f aca="false">IF(B2075="","",B2075+(12*1000+424)/10000000)</f>
        <v/>
      </c>
      <c r="B2075" s="35" t="str">
        <f aca="false">IF(AND(IFERROR(N(INDEX(Clay_Offices!$A$2:$FZ$601,424,Sync!$C$11)),0)&gt;0,IFERROR(INDEX(Clay_Offices!$A$2:$FZ$601,424,Sync!$C$5)&amp;"","")&lt;&gt;"",OR(LEFT(IFERROR(INDEX(Clay_Offices!$A$2:$FZ$601,424,Sync!$C$5)&amp;"",""),6)&lt;&gt;"SAMPLE",Config!$B$19="Y")),IFERROR(N(INDEX(Clay_Offices!$A$2:$FZ$601,424,Sync!$C$11)),0),"")</f>
        <v/>
      </c>
      <c r="C2075" s="23" t="str">
        <f aca="false">IF(B2075="","","office")</f>
        <v/>
      </c>
      <c r="D2075" s="23" t="str">
        <f aca="false">IF(B2075="","",IFERROR(INDEX(Office_Log!$ED$2:$ED$201,MATCH(IFERROR(INDEX(Clay_Offices!$A$2:$FZ$601,424,Sync!$C$5)&amp;"",""),Office_Log!$A$2:$A$201,0))&amp;"",IFERROR(INDEX(Clay_Offices!$A$2:$FZ$601,424,Sync!$C$5)&amp;"","")&amp;""))</f>
        <v/>
      </c>
      <c r="E2075" s="23" t="str">
        <f aca="false">IF(B2075="","",IFERROR(INDEX(Clay_Offices!$A$2:$FZ$601,424,Sync!$C$6)&amp;"",""))</f>
        <v/>
      </c>
      <c r="F2075" s="23" t="str">
        <f aca="false">IF(B2075="","","outreach_sent")</f>
        <v/>
      </c>
      <c r="G2075" s="23" t="str">
        <f aca="false">IF(B2075="","","")</f>
        <v/>
      </c>
      <c r="H2075" s="23" t="str">
        <f aca="false">IF(B2075="","","")</f>
        <v/>
      </c>
      <c r="I2075" s="23" t="str">
        <f aca="false">IF(B2075="","","")</f>
        <v/>
      </c>
      <c r="J2075" s="23" t="str">
        <f aca="false">IF(B2075="","","touch_1; "&amp;IFERROR(INDEX(Clay_Offices!$A$2:$FZ$601,424,Sync!$C$10)&amp;"","")&amp;"; "&amp;IFERROR(INDEX(Clay_Offices!$A$2:$FZ$601,424,Sync!$C$9)&amp;"",""))</f>
        <v/>
      </c>
      <c r="K2075" s="32" t="s">
        <v>1363</v>
      </c>
    </row>
    <row r="2076" customFormat="false" ht="15" hidden="false" customHeight="false" outlineLevel="0" collapsed="false">
      <c r="A2076" s="23" t="str">
        <f aca="false">IF(B2076="","",B2076+(12*1000+425)/10000000)</f>
        <v/>
      </c>
      <c r="B2076" s="35" t="str">
        <f aca="false">IF(AND(IFERROR(N(INDEX(Clay_Offices!$A$2:$FZ$601,425,Sync!$C$11)),0)&gt;0,IFERROR(INDEX(Clay_Offices!$A$2:$FZ$601,425,Sync!$C$5)&amp;"","")&lt;&gt;"",OR(LEFT(IFERROR(INDEX(Clay_Offices!$A$2:$FZ$601,425,Sync!$C$5)&amp;"",""),6)&lt;&gt;"SAMPLE",Config!$B$19="Y")),IFERROR(N(INDEX(Clay_Offices!$A$2:$FZ$601,425,Sync!$C$11)),0),"")</f>
        <v/>
      </c>
      <c r="C2076" s="23" t="str">
        <f aca="false">IF(B2076="","","office")</f>
        <v/>
      </c>
      <c r="D2076" s="23" t="str">
        <f aca="false">IF(B2076="","",IFERROR(INDEX(Office_Log!$ED$2:$ED$201,MATCH(IFERROR(INDEX(Clay_Offices!$A$2:$FZ$601,425,Sync!$C$5)&amp;"",""),Office_Log!$A$2:$A$201,0))&amp;"",IFERROR(INDEX(Clay_Offices!$A$2:$FZ$601,425,Sync!$C$5)&amp;"","")&amp;""))</f>
        <v/>
      </c>
      <c r="E2076" s="23" t="str">
        <f aca="false">IF(B2076="","",IFERROR(INDEX(Clay_Offices!$A$2:$FZ$601,425,Sync!$C$6)&amp;"",""))</f>
        <v/>
      </c>
      <c r="F2076" s="23" t="str">
        <f aca="false">IF(B2076="","","outreach_sent")</f>
        <v/>
      </c>
      <c r="G2076" s="23" t="str">
        <f aca="false">IF(B2076="","","")</f>
        <v/>
      </c>
      <c r="H2076" s="23" t="str">
        <f aca="false">IF(B2076="","","")</f>
        <v/>
      </c>
      <c r="I2076" s="23" t="str">
        <f aca="false">IF(B2076="","","")</f>
        <v/>
      </c>
      <c r="J2076" s="23" t="str">
        <f aca="false">IF(B2076="","","touch_1; "&amp;IFERROR(INDEX(Clay_Offices!$A$2:$FZ$601,425,Sync!$C$10)&amp;"","")&amp;"; "&amp;IFERROR(INDEX(Clay_Offices!$A$2:$FZ$601,425,Sync!$C$9)&amp;"",""))</f>
        <v/>
      </c>
      <c r="K2076" s="32" t="s">
        <v>1363</v>
      </c>
    </row>
    <row r="2077" customFormat="false" ht="15" hidden="false" customHeight="false" outlineLevel="0" collapsed="false">
      <c r="A2077" s="23" t="str">
        <f aca="false">IF(B2077="","",B2077+(12*1000+426)/10000000)</f>
        <v/>
      </c>
      <c r="B2077" s="35" t="str">
        <f aca="false">IF(AND(IFERROR(N(INDEX(Clay_Offices!$A$2:$FZ$601,426,Sync!$C$11)),0)&gt;0,IFERROR(INDEX(Clay_Offices!$A$2:$FZ$601,426,Sync!$C$5)&amp;"","")&lt;&gt;"",OR(LEFT(IFERROR(INDEX(Clay_Offices!$A$2:$FZ$601,426,Sync!$C$5)&amp;"",""),6)&lt;&gt;"SAMPLE",Config!$B$19="Y")),IFERROR(N(INDEX(Clay_Offices!$A$2:$FZ$601,426,Sync!$C$11)),0),"")</f>
        <v/>
      </c>
      <c r="C2077" s="23" t="str">
        <f aca="false">IF(B2077="","","office")</f>
        <v/>
      </c>
      <c r="D2077" s="23" t="str">
        <f aca="false">IF(B2077="","",IFERROR(INDEX(Office_Log!$ED$2:$ED$201,MATCH(IFERROR(INDEX(Clay_Offices!$A$2:$FZ$601,426,Sync!$C$5)&amp;"",""),Office_Log!$A$2:$A$201,0))&amp;"",IFERROR(INDEX(Clay_Offices!$A$2:$FZ$601,426,Sync!$C$5)&amp;"","")&amp;""))</f>
        <v/>
      </c>
      <c r="E2077" s="23" t="str">
        <f aca="false">IF(B2077="","",IFERROR(INDEX(Clay_Offices!$A$2:$FZ$601,426,Sync!$C$6)&amp;"",""))</f>
        <v/>
      </c>
      <c r="F2077" s="23" t="str">
        <f aca="false">IF(B2077="","","outreach_sent")</f>
        <v/>
      </c>
      <c r="G2077" s="23" t="str">
        <f aca="false">IF(B2077="","","")</f>
        <v/>
      </c>
      <c r="H2077" s="23" t="str">
        <f aca="false">IF(B2077="","","")</f>
        <v/>
      </c>
      <c r="I2077" s="23" t="str">
        <f aca="false">IF(B2077="","","")</f>
        <v/>
      </c>
      <c r="J2077" s="23" t="str">
        <f aca="false">IF(B2077="","","touch_1; "&amp;IFERROR(INDEX(Clay_Offices!$A$2:$FZ$601,426,Sync!$C$10)&amp;"","")&amp;"; "&amp;IFERROR(INDEX(Clay_Offices!$A$2:$FZ$601,426,Sync!$C$9)&amp;"",""))</f>
        <v/>
      </c>
      <c r="K2077" s="32" t="s">
        <v>1363</v>
      </c>
    </row>
    <row r="2078" customFormat="false" ht="15" hidden="false" customHeight="false" outlineLevel="0" collapsed="false">
      <c r="A2078" s="23" t="str">
        <f aca="false">IF(B2078="","",B2078+(12*1000+427)/10000000)</f>
        <v/>
      </c>
      <c r="B2078" s="35" t="str">
        <f aca="false">IF(AND(IFERROR(N(INDEX(Clay_Offices!$A$2:$FZ$601,427,Sync!$C$11)),0)&gt;0,IFERROR(INDEX(Clay_Offices!$A$2:$FZ$601,427,Sync!$C$5)&amp;"","")&lt;&gt;"",OR(LEFT(IFERROR(INDEX(Clay_Offices!$A$2:$FZ$601,427,Sync!$C$5)&amp;"",""),6)&lt;&gt;"SAMPLE",Config!$B$19="Y")),IFERROR(N(INDEX(Clay_Offices!$A$2:$FZ$601,427,Sync!$C$11)),0),"")</f>
        <v/>
      </c>
      <c r="C2078" s="23" t="str">
        <f aca="false">IF(B2078="","","office")</f>
        <v/>
      </c>
      <c r="D2078" s="23" t="str">
        <f aca="false">IF(B2078="","",IFERROR(INDEX(Office_Log!$ED$2:$ED$201,MATCH(IFERROR(INDEX(Clay_Offices!$A$2:$FZ$601,427,Sync!$C$5)&amp;"",""),Office_Log!$A$2:$A$201,0))&amp;"",IFERROR(INDEX(Clay_Offices!$A$2:$FZ$601,427,Sync!$C$5)&amp;"","")&amp;""))</f>
        <v/>
      </c>
      <c r="E2078" s="23" t="str">
        <f aca="false">IF(B2078="","",IFERROR(INDEX(Clay_Offices!$A$2:$FZ$601,427,Sync!$C$6)&amp;"",""))</f>
        <v/>
      </c>
      <c r="F2078" s="23" t="str">
        <f aca="false">IF(B2078="","","outreach_sent")</f>
        <v/>
      </c>
      <c r="G2078" s="23" t="str">
        <f aca="false">IF(B2078="","","")</f>
        <v/>
      </c>
      <c r="H2078" s="23" t="str">
        <f aca="false">IF(B2078="","","")</f>
        <v/>
      </c>
      <c r="I2078" s="23" t="str">
        <f aca="false">IF(B2078="","","")</f>
        <v/>
      </c>
      <c r="J2078" s="23" t="str">
        <f aca="false">IF(B2078="","","touch_1; "&amp;IFERROR(INDEX(Clay_Offices!$A$2:$FZ$601,427,Sync!$C$10)&amp;"","")&amp;"; "&amp;IFERROR(INDEX(Clay_Offices!$A$2:$FZ$601,427,Sync!$C$9)&amp;"",""))</f>
        <v/>
      </c>
      <c r="K2078" s="32" t="s">
        <v>1363</v>
      </c>
    </row>
    <row r="2079" customFormat="false" ht="15" hidden="false" customHeight="false" outlineLevel="0" collapsed="false">
      <c r="A2079" s="23" t="str">
        <f aca="false">IF(B2079="","",B2079+(12*1000+428)/10000000)</f>
        <v/>
      </c>
      <c r="B2079" s="35" t="str">
        <f aca="false">IF(AND(IFERROR(N(INDEX(Clay_Offices!$A$2:$FZ$601,428,Sync!$C$11)),0)&gt;0,IFERROR(INDEX(Clay_Offices!$A$2:$FZ$601,428,Sync!$C$5)&amp;"","")&lt;&gt;"",OR(LEFT(IFERROR(INDEX(Clay_Offices!$A$2:$FZ$601,428,Sync!$C$5)&amp;"",""),6)&lt;&gt;"SAMPLE",Config!$B$19="Y")),IFERROR(N(INDEX(Clay_Offices!$A$2:$FZ$601,428,Sync!$C$11)),0),"")</f>
        <v/>
      </c>
      <c r="C2079" s="23" t="str">
        <f aca="false">IF(B2079="","","office")</f>
        <v/>
      </c>
      <c r="D2079" s="23" t="str">
        <f aca="false">IF(B2079="","",IFERROR(INDEX(Office_Log!$ED$2:$ED$201,MATCH(IFERROR(INDEX(Clay_Offices!$A$2:$FZ$601,428,Sync!$C$5)&amp;"",""),Office_Log!$A$2:$A$201,0))&amp;"",IFERROR(INDEX(Clay_Offices!$A$2:$FZ$601,428,Sync!$C$5)&amp;"","")&amp;""))</f>
        <v/>
      </c>
      <c r="E2079" s="23" t="str">
        <f aca="false">IF(B2079="","",IFERROR(INDEX(Clay_Offices!$A$2:$FZ$601,428,Sync!$C$6)&amp;"",""))</f>
        <v/>
      </c>
      <c r="F2079" s="23" t="str">
        <f aca="false">IF(B2079="","","outreach_sent")</f>
        <v/>
      </c>
      <c r="G2079" s="23" t="str">
        <f aca="false">IF(B2079="","","")</f>
        <v/>
      </c>
      <c r="H2079" s="23" t="str">
        <f aca="false">IF(B2079="","","")</f>
        <v/>
      </c>
      <c r="I2079" s="23" t="str">
        <f aca="false">IF(B2079="","","")</f>
        <v/>
      </c>
      <c r="J2079" s="23" t="str">
        <f aca="false">IF(B2079="","","touch_1; "&amp;IFERROR(INDEX(Clay_Offices!$A$2:$FZ$601,428,Sync!$C$10)&amp;"","")&amp;"; "&amp;IFERROR(INDEX(Clay_Offices!$A$2:$FZ$601,428,Sync!$C$9)&amp;"",""))</f>
        <v/>
      </c>
      <c r="K2079" s="32" t="s">
        <v>1363</v>
      </c>
    </row>
    <row r="2080" customFormat="false" ht="15" hidden="false" customHeight="false" outlineLevel="0" collapsed="false">
      <c r="A2080" s="23" t="str">
        <f aca="false">IF(B2080="","",B2080+(12*1000+429)/10000000)</f>
        <v/>
      </c>
      <c r="B2080" s="35" t="str">
        <f aca="false">IF(AND(IFERROR(N(INDEX(Clay_Offices!$A$2:$FZ$601,429,Sync!$C$11)),0)&gt;0,IFERROR(INDEX(Clay_Offices!$A$2:$FZ$601,429,Sync!$C$5)&amp;"","")&lt;&gt;"",OR(LEFT(IFERROR(INDEX(Clay_Offices!$A$2:$FZ$601,429,Sync!$C$5)&amp;"",""),6)&lt;&gt;"SAMPLE",Config!$B$19="Y")),IFERROR(N(INDEX(Clay_Offices!$A$2:$FZ$601,429,Sync!$C$11)),0),"")</f>
        <v/>
      </c>
      <c r="C2080" s="23" t="str">
        <f aca="false">IF(B2080="","","office")</f>
        <v/>
      </c>
      <c r="D2080" s="23" t="str">
        <f aca="false">IF(B2080="","",IFERROR(INDEX(Office_Log!$ED$2:$ED$201,MATCH(IFERROR(INDEX(Clay_Offices!$A$2:$FZ$601,429,Sync!$C$5)&amp;"",""),Office_Log!$A$2:$A$201,0))&amp;"",IFERROR(INDEX(Clay_Offices!$A$2:$FZ$601,429,Sync!$C$5)&amp;"","")&amp;""))</f>
        <v/>
      </c>
      <c r="E2080" s="23" t="str">
        <f aca="false">IF(B2080="","",IFERROR(INDEX(Clay_Offices!$A$2:$FZ$601,429,Sync!$C$6)&amp;"",""))</f>
        <v/>
      </c>
      <c r="F2080" s="23" t="str">
        <f aca="false">IF(B2080="","","outreach_sent")</f>
        <v/>
      </c>
      <c r="G2080" s="23" t="str">
        <f aca="false">IF(B2080="","","")</f>
        <v/>
      </c>
      <c r="H2080" s="23" t="str">
        <f aca="false">IF(B2080="","","")</f>
        <v/>
      </c>
      <c r="I2080" s="23" t="str">
        <f aca="false">IF(B2080="","","")</f>
        <v/>
      </c>
      <c r="J2080" s="23" t="str">
        <f aca="false">IF(B2080="","","touch_1; "&amp;IFERROR(INDEX(Clay_Offices!$A$2:$FZ$601,429,Sync!$C$10)&amp;"","")&amp;"; "&amp;IFERROR(INDEX(Clay_Offices!$A$2:$FZ$601,429,Sync!$C$9)&amp;"",""))</f>
        <v/>
      </c>
      <c r="K2080" s="32" t="s">
        <v>1363</v>
      </c>
    </row>
    <row r="2081" customFormat="false" ht="15" hidden="false" customHeight="false" outlineLevel="0" collapsed="false">
      <c r="A2081" s="23" t="str">
        <f aca="false">IF(B2081="","",B2081+(12*1000+430)/10000000)</f>
        <v/>
      </c>
      <c r="B2081" s="35" t="str">
        <f aca="false">IF(AND(IFERROR(N(INDEX(Clay_Offices!$A$2:$FZ$601,430,Sync!$C$11)),0)&gt;0,IFERROR(INDEX(Clay_Offices!$A$2:$FZ$601,430,Sync!$C$5)&amp;"","")&lt;&gt;"",OR(LEFT(IFERROR(INDEX(Clay_Offices!$A$2:$FZ$601,430,Sync!$C$5)&amp;"",""),6)&lt;&gt;"SAMPLE",Config!$B$19="Y")),IFERROR(N(INDEX(Clay_Offices!$A$2:$FZ$601,430,Sync!$C$11)),0),"")</f>
        <v/>
      </c>
      <c r="C2081" s="23" t="str">
        <f aca="false">IF(B2081="","","office")</f>
        <v/>
      </c>
      <c r="D2081" s="23" t="str">
        <f aca="false">IF(B2081="","",IFERROR(INDEX(Office_Log!$ED$2:$ED$201,MATCH(IFERROR(INDEX(Clay_Offices!$A$2:$FZ$601,430,Sync!$C$5)&amp;"",""),Office_Log!$A$2:$A$201,0))&amp;"",IFERROR(INDEX(Clay_Offices!$A$2:$FZ$601,430,Sync!$C$5)&amp;"","")&amp;""))</f>
        <v/>
      </c>
      <c r="E2081" s="23" t="str">
        <f aca="false">IF(B2081="","",IFERROR(INDEX(Clay_Offices!$A$2:$FZ$601,430,Sync!$C$6)&amp;"",""))</f>
        <v/>
      </c>
      <c r="F2081" s="23" t="str">
        <f aca="false">IF(B2081="","","outreach_sent")</f>
        <v/>
      </c>
      <c r="G2081" s="23" t="str">
        <f aca="false">IF(B2081="","","")</f>
        <v/>
      </c>
      <c r="H2081" s="23" t="str">
        <f aca="false">IF(B2081="","","")</f>
        <v/>
      </c>
      <c r="I2081" s="23" t="str">
        <f aca="false">IF(B2081="","","")</f>
        <v/>
      </c>
      <c r="J2081" s="23" t="str">
        <f aca="false">IF(B2081="","","touch_1; "&amp;IFERROR(INDEX(Clay_Offices!$A$2:$FZ$601,430,Sync!$C$10)&amp;"","")&amp;"; "&amp;IFERROR(INDEX(Clay_Offices!$A$2:$FZ$601,430,Sync!$C$9)&amp;"",""))</f>
        <v/>
      </c>
      <c r="K2081" s="32" t="s">
        <v>1363</v>
      </c>
    </row>
    <row r="2082" customFormat="false" ht="15" hidden="false" customHeight="false" outlineLevel="0" collapsed="false">
      <c r="A2082" s="23" t="str">
        <f aca="false">IF(B2082="","",B2082+(12*1000+431)/10000000)</f>
        <v/>
      </c>
      <c r="B2082" s="35" t="str">
        <f aca="false">IF(AND(IFERROR(N(INDEX(Clay_Offices!$A$2:$FZ$601,431,Sync!$C$11)),0)&gt;0,IFERROR(INDEX(Clay_Offices!$A$2:$FZ$601,431,Sync!$C$5)&amp;"","")&lt;&gt;"",OR(LEFT(IFERROR(INDEX(Clay_Offices!$A$2:$FZ$601,431,Sync!$C$5)&amp;"",""),6)&lt;&gt;"SAMPLE",Config!$B$19="Y")),IFERROR(N(INDEX(Clay_Offices!$A$2:$FZ$601,431,Sync!$C$11)),0),"")</f>
        <v/>
      </c>
      <c r="C2082" s="23" t="str">
        <f aca="false">IF(B2082="","","office")</f>
        <v/>
      </c>
      <c r="D2082" s="23" t="str">
        <f aca="false">IF(B2082="","",IFERROR(INDEX(Office_Log!$ED$2:$ED$201,MATCH(IFERROR(INDEX(Clay_Offices!$A$2:$FZ$601,431,Sync!$C$5)&amp;"",""),Office_Log!$A$2:$A$201,0))&amp;"",IFERROR(INDEX(Clay_Offices!$A$2:$FZ$601,431,Sync!$C$5)&amp;"","")&amp;""))</f>
        <v/>
      </c>
      <c r="E2082" s="23" t="str">
        <f aca="false">IF(B2082="","",IFERROR(INDEX(Clay_Offices!$A$2:$FZ$601,431,Sync!$C$6)&amp;"",""))</f>
        <v/>
      </c>
      <c r="F2082" s="23" t="str">
        <f aca="false">IF(B2082="","","outreach_sent")</f>
        <v/>
      </c>
      <c r="G2082" s="23" t="str">
        <f aca="false">IF(B2082="","","")</f>
        <v/>
      </c>
      <c r="H2082" s="23" t="str">
        <f aca="false">IF(B2082="","","")</f>
        <v/>
      </c>
      <c r="I2082" s="23" t="str">
        <f aca="false">IF(B2082="","","")</f>
        <v/>
      </c>
      <c r="J2082" s="23" t="str">
        <f aca="false">IF(B2082="","","touch_1; "&amp;IFERROR(INDEX(Clay_Offices!$A$2:$FZ$601,431,Sync!$C$10)&amp;"","")&amp;"; "&amp;IFERROR(INDEX(Clay_Offices!$A$2:$FZ$601,431,Sync!$C$9)&amp;"",""))</f>
        <v/>
      </c>
      <c r="K2082" s="32" t="s">
        <v>1363</v>
      </c>
    </row>
    <row r="2083" customFormat="false" ht="15" hidden="false" customHeight="false" outlineLevel="0" collapsed="false">
      <c r="A2083" s="23" t="str">
        <f aca="false">IF(B2083="","",B2083+(12*1000+432)/10000000)</f>
        <v/>
      </c>
      <c r="B2083" s="35" t="str">
        <f aca="false">IF(AND(IFERROR(N(INDEX(Clay_Offices!$A$2:$FZ$601,432,Sync!$C$11)),0)&gt;0,IFERROR(INDEX(Clay_Offices!$A$2:$FZ$601,432,Sync!$C$5)&amp;"","")&lt;&gt;"",OR(LEFT(IFERROR(INDEX(Clay_Offices!$A$2:$FZ$601,432,Sync!$C$5)&amp;"",""),6)&lt;&gt;"SAMPLE",Config!$B$19="Y")),IFERROR(N(INDEX(Clay_Offices!$A$2:$FZ$601,432,Sync!$C$11)),0),"")</f>
        <v/>
      </c>
      <c r="C2083" s="23" t="str">
        <f aca="false">IF(B2083="","","office")</f>
        <v/>
      </c>
      <c r="D2083" s="23" t="str">
        <f aca="false">IF(B2083="","",IFERROR(INDEX(Office_Log!$ED$2:$ED$201,MATCH(IFERROR(INDEX(Clay_Offices!$A$2:$FZ$601,432,Sync!$C$5)&amp;"",""),Office_Log!$A$2:$A$201,0))&amp;"",IFERROR(INDEX(Clay_Offices!$A$2:$FZ$601,432,Sync!$C$5)&amp;"","")&amp;""))</f>
        <v/>
      </c>
      <c r="E2083" s="23" t="str">
        <f aca="false">IF(B2083="","",IFERROR(INDEX(Clay_Offices!$A$2:$FZ$601,432,Sync!$C$6)&amp;"",""))</f>
        <v/>
      </c>
      <c r="F2083" s="23" t="str">
        <f aca="false">IF(B2083="","","outreach_sent")</f>
        <v/>
      </c>
      <c r="G2083" s="23" t="str">
        <f aca="false">IF(B2083="","","")</f>
        <v/>
      </c>
      <c r="H2083" s="23" t="str">
        <f aca="false">IF(B2083="","","")</f>
        <v/>
      </c>
      <c r="I2083" s="23" t="str">
        <f aca="false">IF(B2083="","","")</f>
        <v/>
      </c>
      <c r="J2083" s="23" t="str">
        <f aca="false">IF(B2083="","","touch_1; "&amp;IFERROR(INDEX(Clay_Offices!$A$2:$FZ$601,432,Sync!$C$10)&amp;"","")&amp;"; "&amp;IFERROR(INDEX(Clay_Offices!$A$2:$FZ$601,432,Sync!$C$9)&amp;"",""))</f>
        <v/>
      </c>
      <c r="K2083" s="32" t="s">
        <v>1363</v>
      </c>
    </row>
    <row r="2084" customFormat="false" ht="15" hidden="false" customHeight="false" outlineLevel="0" collapsed="false">
      <c r="A2084" s="23" t="str">
        <f aca="false">IF(B2084="","",B2084+(12*1000+433)/10000000)</f>
        <v/>
      </c>
      <c r="B2084" s="35" t="str">
        <f aca="false">IF(AND(IFERROR(N(INDEX(Clay_Offices!$A$2:$FZ$601,433,Sync!$C$11)),0)&gt;0,IFERROR(INDEX(Clay_Offices!$A$2:$FZ$601,433,Sync!$C$5)&amp;"","")&lt;&gt;"",OR(LEFT(IFERROR(INDEX(Clay_Offices!$A$2:$FZ$601,433,Sync!$C$5)&amp;"",""),6)&lt;&gt;"SAMPLE",Config!$B$19="Y")),IFERROR(N(INDEX(Clay_Offices!$A$2:$FZ$601,433,Sync!$C$11)),0),"")</f>
        <v/>
      </c>
      <c r="C2084" s="23" t="str">
        <f aca="false">IF(B2084="","","office")</f>
        <v/>
      </c>
      <c r="D2084" s="23" t="str">
        <f aca="false">IF(B2084="","",IFERROR(INDEX(Office_Log!$ED$2:$ED$201,MATCH(IFERROR(INDEX(Clay_Offices!$A$2:$FZ$601,433,Sync!$C$5)&amp;"",""),Office_Log!$A$2:$A$201,0))&amp;"",IFERROR(INDEX(Clay_Offices!$A$2:$FZ$601,433,Sync!$C$5)&amp;"","")&amp;""))</f>
        <v/>
      </c>
      <c r="E2084" s="23" t="str">
        <f aca="false">IF(B2084="","",IFERROR(INDEX(Clay_Offices!$A$2:$FZ$601,433,Sync!$C$6)&amp;"",""))</f>
        <v/>
      </c>
      <c r="F2084" s="23" t="str">
        <f aca="false">IF(B2084="","","outreach_sent")</f>
        <v/>
      </c>
      <c r="G2084" s="23" t="str">
        <f aca="false">IF(B2084="","","")</f>
        <v/>
      </c>
      <c r="H2084" s="23" t="str">
        <f aca="false">IF(B2084="","","")</f>
        <v/>
      </c>
      <c r="I2084" s="23" t="str">
        <f aca="false">IF(B2084="","","")</f>
        <v/>
      </c>
      <c r="J2084" s="23" t="str">
        <f aca="false">IF(B2084="","","touch_1; "&amp;IFERROR(INDEX(Clay_Offices!$A$2:$FZ$601,433,Sync!$C$10)&amp;"","")&amp;"; "&amp;IFERROR(INDEX(Clay_Offices!$A$2:$FZ$601,433,Sync!$C$9)&amp;"",""))</f>
        <v/>
      </c>
      <c r="K2084" s="32" t="s">
        <v>1363</v>
      </c>
    </row>
    <row r="2085" customFormat="false" ht="15" hidden="false" customHeight="false" outlineLevel="0" collapsed="false">
      <c r="A2085" s="23" t="str">
        <f aca="false">IF(B2085="","",B2085+(12*1000+434)/10000000)</f>
        <v/>
      </c>
      <c r="B2085" s="35" t="str">
        <f aca="false">IF(AND(IFERROR(N(INDEX(Clay_Offices!$A$2:$FZ$601,434,Sync!$C$11)),0)&gt;0,IFERROR(INDEX(Clay_Offices!$A$2:$FZ$601,434,Sync!$C$5)&amp;"","")&lt;&gt;"",OR(LEFT(IFERROR(INDEX(Clay_Offices!$A$2:$FZ$601,434,Sync!$C$5)&amp;"",""),6)&lt;&gt;"SAMPLE",Config!$B$19="Y")),IFERROR(N(INDEX(Clay_Offices!$A$2:$FZ$601,434,Sync!$C$11)),0),"")</f>
        <v/>
      </c>
      <c r="C2085" s="23" t="str">
        <f aca="false">IF(B2085="","","office")</f>
        <v/>
      </c>
      <c r="D2085" s="23" t="str">
        <f aca="false">IF(B2085="","",IFERROR(INDEX(Office_Log!$ED$2:$ED$201,MATCH(IFERROR(INDEX(Clay_Offices!$A$2:$FZ$601,434,Sync!$C$5)&amp;"",""),Office_Log!$A$2:$A$201,0))&amp;"",IFERROR(INDEX(Clay_Offices!$A$2:$FZ$601,434,Sync!$C$5)&amp;"","")&amp;""))</f>
        <v/>
      </c>
      <c r="E2085" s="23" t="str">
        <f aca="false">IF(B2085="","",IFERROR(INDEX(Clay_Offices!$A$2:$FZ$601,434,Sync!$C$6)&amp;"",""))</f>
        <v/>
      </c>
      <c r="F2085" s="23" t="str">
        <f aca="false">IF(B2085="","","outreach_sent")</f>
        <v/>
      </c>
      <c r="G2085" s="23" t="str">
        <f aca="false">IF(B2085="","","")</f>
        <v/>
      </c>
      <c r="H2085" s="23" t="str">
        <f aca="false">IF(B2085="","","")</f>
        <v/>
      </c>
      <c r="I2085" s="23" t="str">
        <f aca="false">IF(B2085="","","")</f>
        <v/>
      </c>
      <c r="J2085" s="23" t="str">
        <f aca="false">IF(B2085="","","touch_1; "&amp;IFERROR(INDEX(Clay_Offices!$A$2:$FZ$601,434,Sync!$C$10)&amp;"","")&amp;"; "&amp;IFERROR(INDEX(Clay_Offices!$A$2:$FZ$601,434,Sync!$C$9)&amp;"",""))</f>
        <v/>
      </c>
      <c r="K2085" s="32" t="s">
        <v>1363</v>
      </c>
    </row>
    <row r="2086" customFormat="false" ht="15" hidden="false" customHeight="false" outlineLevel="0" collapsed="false">
      <c r="A2086" s="23" t="str">
        <f aca="false">IF(B2086="","",B2086+(12*1000+435)/10000000)</f>
        <v/>
      </c>
      <c r="B2086" s="35" t="str">
        <f aca="false">IF(AND(IFERROR(N(INDEX(Clay_Offices!$A$2:$FZ$601,435,Sync!$C$11)),0)&gt;0,IFERROR(INDEX(Clay_Offices!$A$2:$FZ$601,435,Sync!$C$5)&amp;"","")&lt;&gt;"",OR(LEFT(IFERROR(INDEX(Clay_Offices!$A$2:$FZ$601,435,Sync!$C$5)&amp;"",""),6)&lt;&gt;"SAMPLE",Config!$B$19="Y")),IFERROR(N(INDEX(Clay_Offices!$A$2:$FZ$601,435,Sync!$C$11)),0),"")</f>
        <v/>
      </c>
      <c r="C2086" s="23" t="str">
        <f aca="false">IF(B2086="","","office")</f>
        <v/>
      </c>
      <c r="D2086" s="23" t="str">
        <f aca="false">IF(B2086="","",IFERROR(INDEX(Office_Log!$ED$2:$ED$201,MATCH(IFERROR(INDEX(Clay_Offices!$A$2:$FZ$601,435,Sync!$C$5)&amp;"",""),Office_Log!$A$2:$A$201,0))&amp;"",IFERROR(INDEX(Clay_Offices!$A$2:$FZ$601,435,Sync!$C$5)&amp;"","")&amp;""))</f>
        <v/>
      </c>
      <c r="E2086" s="23" t="str">
        <f aca="false">IF(B2086="","",IFERROR(INDEX(Clay_Offices!$A$2:$FZ$601,435,Sync!$C$6)&amp;"",""))</f>
        <v/>
      </c>
      <c r="F2086" s="23" t="str">
        <f aca="false">IF(B2086="","","outreach_sent")</f>
        <v/>
      </c>
      <c r="G2086" s="23" t="str">
        <f aca="false">IF(B2086="","","")</f>
        <v/>
      </c>
      <c r="H2086" s="23" t="str">
        <f aca="false">IF(B2086="","","")</f>
        <v/>
      </c>
      <c r="I2086" s="23" t="str">
        <f aca="false">IF(B2086="","","")</f>
        <v/>
      </c>
      <c r="J2086" s="23" t="str">
        <f aca="false">IF(B2086="","","touch_1; "&amp;IFERROR(INDEX(Clay_Offices!$A$2:$FZ$601,435,Sync!$C$10)&amp;"","")&amp;"; "&amp;IFERROR(INDEX(Clay_Offices!$A$2:$FZ$601,435,Sync!$C$9)&amp;"",""))</f>
        <v/>
      </c>
      <c r="K2086" s="32" t="s">
        <v>1363</v>
      </c>
    </row>
    <row r="2087" customFormat="false" ht="15" hidden="false" customHeight="false" outlineLevel="0" collapsed="false">
      <c r="A2087" s="23" t="str">
        <f aca="false">IF(B2087="","",B2087+(12*1000+436)/10000000)</f>
        <v/>
      </c>
      <c r="B2087" s="35" t="str">
        <f aca="false">IF(AND(IFERROR(N(INDEX(Clay_Offices!$A$2:$FZ$601,436,Sync!$C$11)),0)&gt;0,IFERROR(INDEX(Clay_Offices!$A$2:$FZ$601,436,Sync!$C$5)&amp;"","")&lt;&gt;"",OR(LEFT(IFERROR(INDEX(Clay_Offices!$A$2:$FZ$601,436,Sync!$C$5)&amp;"",""),6)&lt;&gt;"SAMPLE",Config!$B$19="Y")),IFERROR(N(INDEX(Clay_Offices!$A$2:$FZ$601,436,Sync!$C$11)),0),"")</f>
        <v/>
      </c>
      <c r="C2087" s="23" t="str">
        <f aca="false">IF(B2087="","","office")</f>
        <v/>
      </c>
      <c r="D2087" s="23" t="str">
        <f aca="false">IF(B2087="","",IFERROR(INDEX(Office_Log!$ED$2:$ED$201,MATCH(IFERROR(INDEX(Clay_Offices!$A$2:$FZ$601,436,Sync!$C$5)&amp;"",""),Office_Log!$A$2:$A$201,0))&amp;"",IFERROR(INDEX(Clay_Offices!$A$2:$FZ$601,436,Sync!$C$5)&amp;"","")&amp;""))</f>
        <v/>
      </c>
      <c r="E2087" s="23" t="str">
        <f aca="false">IF(B2087="","",IFERROR(INDEX(Clay_Offices!$A$2:$FZ$601,436,Sync!$C$6)&amp;"",""))</f>
        <v/>
      </c>
      <c r="F2087" s="23" t="str">
        <f aca="false">IF(B2087="","","outreach_sent")</f>
        <v/>
      </c>
      <c r="G2087" s="23" t="str">
        <f aca="false">IF(B2087="","","")</f>
        <v/>
      </c>
      <c r="H2087" s="23" t="str">
        <f aca="false">IF(B2087="","","")</f>
        <v/>
      </c>
      <c r="I2087" s="23" t="str">
        <f aca="false">IF(B2087="","","")</f>
        <v/>
      </c>
      <c r="J2087" s="23" t="str">
        <f aca="false">IF(B2087="","","touch_1; "&amp;IFERROR(INDEX(Clay_Offices!$A$2:$FZ$601,436,Sync!$C$10)&amp;"","")&amp;"; "&amp;IFERROR(INDEX(Clay_Offices!$A$2:$FZ$601,436,Sync!$C$9)&amp;"",""))</f>
        <v/>
      </c>
      <c r="K2087" s="32" t="s">
        <v>1363</v>
      </c>
    </row>
    <row r="2088" customFormat="false" ht="15" hidden="false" customHeight="false" outlineLevel="0" collapsed="false">
      <c r="A2088" s="23" t="str">
        <f aca="false">IF(B2088="","",B2088+(12*1000+437)/10000000)</f>
        <v/>
      </c>
      <c r="B2088" s="35" t="str">
        <f aca="false">IF(AND(IFERROR(N(INDEX(Clay_Offices!$A$2:$FZ$601,437,Sync!$C$11)),0)&gt;0,IFERROR(INDEX(Clay_Offices!$A$2:$FZ$601,437,Sync!$C$5)&amp;"","")&lt;&gt;"",OR(LEFT(IFERROR(INDEX(Clay_Offices!$A$2:$FZ$601,437,Sync!$C$5)&amp;"",""),6)&lt;&gt;"SAMPLE",Config!$B$19="Y")),IFERROR(N(INDEX(Clay_Offices!$A$2:$FZ$601,437,Sync!$C$11)),0),"")</f>
        <v/>
      </c>
      <c r="C2088" s="23" t="str">
        <f aca="false">IF(B2088="","","office")</f>
        <v/>
      </c>
      <c r="D2088" s="23" t="str">
        <f aca="false">IF(B2088="","",IFERROR(INDEX(Office_Log!$ED$2:$ED$201,MATCH(IFERROR(INDEX(Clay_Offices!$A$2:$FZ$601,437,Sync!$C$5)&amp;"",""),Office_Log!$A$2:$A$201,0))&amp;"",IFERROR(INDEX(Clay_Offices!$A$2:$FZ$601,437,Sync!$C$5)&amp;"","")&amp;""))</f>
        <v/>
      </c>
      <c r="E2088" s="23" t="str">
        <f aca="false">IF(B2088="","",IFERROR(INDEX(Clay_Offices!$A$2:$FZ$601,437,Sync!$C$6)&amp;"",""))</f>
        <v/>
      </c>
      <c r="F2088" s="23" t="str">
        <f aca="false">IF(B2088="","","outreach_sent")</f>
        <v/>
      </c>
      <c r="G2088" s="23" t="str">
        <f aca="false">IF(B2088="","","")</f>
        <v/>
      </c>
      <c r="H2088" s="23" t="str">
        <f aca="false">IF(B2088="","","")</f>
        <v/>
      </c>
      <c r="I2088" s="23" t="str">
        <f aca="false">IF(B2088="","","")</f>
        <v/>
      </c>
      <c r="J2088" s="23" t="str">
        <f aca="false">IF(B2088="","","touch_1; "&amp;IFERROR(INDEX(Clay_Offices!$A$2:$FZ$601,437,Sync!$C$10)&amp;"","")&amp;"; "&amp;IFERROR(INDEX(Clay_Offices!$A$2:$FZ$601,437,Sync!$C$9)&amp;"",""))</f>
        <v/>
      </c>
      <c r="K2088" s="32" t="s">
        <v>1363</v>
      </c>
    </row>
    <row r="2089" customFormat="false" ht="15" hidden="false" customHeight="false" outlineLevel="0" collapsed="false">
      <c r="A2089" s="23" t="str">
        <f aca="false">IF(B2089="","",B2089+(12*1000+438)/10000000)</f>
        <v/>
      </c>
      <c r="B2089" s="35" t="str">
        <f aca="false">IF(AND(IFERROR(N(INDEX(Clay_Offices!$A$2:$FZ$601,438,Sync!$C$11)),0)&gt;0,IFERROR(INDEX(Clay_Offices!$A$2:$FZ$601,438,Sync!$C$5)&amp;"","")&lt;&gt;"",OR(LEFT(IFERROR(INDEX(Clay_Offices!$A$2:$FZ$601,438,Sync!$C$5)&amp;"",""),6)&lt;&gt;"SAMPLE",Config!$B$19="Y")),IFERROR(N(INDEX(Clay_Offices!$A$2:$FZ$601,438,Sync!$C$11)),0),"")</f>
        <v/>
      </c>
      <c r="C2089" s="23" t="str">
        <f aca="false">IF(B2089="","","office")</f>
        <v/>
      </c>
      <c r="D2089" s="23" t="str">
        <f aca="false">IF(B2089="","",IFERROR(INDEX(Office_Log!$ED$2:$ED$201,MATCH(IFERROR(INDEX(Clay_Offices!$A$2:$FZ$601,438,Sync!$C$5)&amp;"",""),Office_Log!$A$2:$A$201,0))&amp;"",IFERROR(INDEX(Clay_Offices!$A$2:$FZ$601,438,Sync!$C$5)&amp;"","")&amp;""))</f>
        <v/>
      </c>
      <c r="E2089" s="23" t="str">
        <f aca="false">IF(B2089="","",IFERROR(INDEX(Clay_Offices!$A$2:$FZ$601,438,Sync!$C$6)&amp;"",""))</f>
        <v/>
      </c>
      <c r="F2089" s="23" t="str">
        <f aca="false">IF(B2089="","","outreach_sent")</f>
        <v/>
      </c>
      <c r="G2089" s="23" t="str">
        <f aca="false">IF(B2089="","","")</f>
        <v/>
      </c>
      <c r="H2089" s="23" t="str">
        <f aca="false">IF(B2089="","","")</f>
        <v/>
      </c>
      <c r="I2089" s="23" t="str">
        <f aca="false">IF(B2089="","","")</f>
        <v/>
      </c>
      <c r="J2089" s="23" t="str">
        <f aca="false">IF(B2089="","","touch_1; "&amp;IFERROR(INDEX(Clay_Offices!$A$2:$FZ$601,438,Sync!$C$10)&amp;"","")&amp;"; "&amp;IFERROR(INDEX(Clay_Offices!$A$2:$FZ$601,438,Sync!$C$9)&amp;"",""))</f>
        <v/>
      </c>
      <c r="K2089" s="32" t="s">
        <v>1363</v>
      </c>
    </row>
    <row r="2090" customFormat="false" ht="15" hidden="false" customHeight="false" outlineLevel="0" collapsed="false">
      <c r="A2090" s="23" t="str">
        <f aca="false">IF(B2090="","",B2090+(12*1000+439)/10000000)</f>
        <v/>
      </c>
      <c r="B2090" s="35" t="str">
        <f aca="false">IF(AND(IFERROR(N(INDEX(Clay_Offices!$A$2:$FZ$601,439,Sync!$C$11)),0)&gt;0,IFERROR(INDEX(Clay_Offices!$A$2:$FZ$601,439,Sync!$C$5)&amp;"","")&lt;&gt;"",OR(LEFT(IFERROR(INDEX(Clay_Offices!$A$2:$FZ$601,439,Sync!$C$5)&amp;"",""),6)&lt;&gt;"SAMPLE",Config!$B$19="Y")),IFERROR(N(INDEX(Clay_Offices!$A$2:$FZ$601,439,Sync!$C$11)),0),"")</f>
        <v/>
      </c>
      <c r="C2090" s="23" t="str">
        <f aca="false">IF(B2090="","","office")</f>
        <v/>
      </c>
      <c r="D2090" s="23" t="str">
        <f aca="false">IF(B2090="","",IFERROR(INDEX(Office_Log!$ED$2:$ED$201,MATCH(IFERROR(INDEX(Clay_Offices!$A$2:$FZ$601,439,Sync!$C$5)&amp;"",""),Office_Log!$A$2:$A$201,0))&amp;"",IFERROR(INDEX(Clay_Offices!$A$2:$FZ$601,439,Sync!$C$5)&amp;"","")&amp;""))</f>
        <v/>
      </c>
      <c r="E2090" s="23" t="str">
        <f aca="false">IF(B2090="","",IFERROR(INDEX(Clay_Offices!$A$2:$FZ$601,439,Sync!$C$6)&amp;"",""))</f>
        <v/>
      </c>
      <c r="F2090" s="23" t="str">
        <f aca="false">IF(B2090="","","outreach_sent")</f>
        <v/>
      </c>
      <c r="G2090" s="23" t="str">
        <f aca="false">IF(B2090="","","")</f>
        <v/>
      </c>
      <c r="H2090" s="23" t="str">
        <f aca="false">IF(B2090="","","")</f>
        <v/>
      </c>
      <c r="I2090" s="23" t="str">
        <f aca="false">IF(B2090="","","")</f>
        <v/>
      </c>
      <c r="J2090" s="23" t="str">
        <f aca="false">IF(B2090="","","touch_1; "&amp;IFERROR(INDEX(Clay_Offices!$A$2:$FZ$601,439,Sync!$C$10)&amp;"","")&amp;"; "&amp;IFERROR(INDEX(Clay_Offices!$A$2:$FZ$601,439,Sync!$C$9)&amp;"",""))</f>
        <v/>
      </c>
      <c r="K2090" s="32" t="s">
        <v>1363</v>
      </c>
    </row>
    <row r="2091" customFormat="false" ht="15" hidden="false" customHeight="false" outlineLevel="0" collapsed="false">
      <c r="A2091" s="23" t="str">
        <f aca="false">IF(B2091="","",B2091+(12*1000+440)/10000000)</f>
        <v/>
      </c>
      <c r="B2091" s="35" t="str">
        <f aca="false">IF(AND(IFERROR(N(INDEX(Clay_Offices!$A$2:$FZ$601,440,Sync!$C$11)),0)&gt;0,IFERROR(INDEX(Clay_Offices!$A$2:$FZ$601,440,Sync!$C$5)&amp;"","")&lt;&gt;"",OR(LEFT(IFERROR(INDEX(Clay_Offices!$A$2:$FZ$601,440,Sync!$C$5)&amp;"",""),6)&lt;&gt;"SAMPLE",Config!$B$19="Y")),IFERROR(N(INDEX(Clay_Offices!$A$2:$FZ$601,440,Sync!$C$11)),0),"")</f>
        <v/>
      </c>
      <c r="C2091" s="23" t="str">
        <f aca="false">IF(B2091="","","office")</f>
        <v/>
      </c>
      <c r="D2091" s="23" t="str">
        <f aca="false">IF(B2091="","",IFERROR(INDEX(Office_Log!$ED$2:$ED$201,MATCH(IFERROR(INDEX(Clay_Offices!$A$2:$FZ$601,440,Sync!$C$5)&amp;"",""),Office_Log!$A$2:$A$201,0))&amp;"",IFERROR(INDEX(Clay_Offices!$A$2:$FZ$601,440,Sync!$C$5)&amp;"","")&amp;""))</f>
        <v/>
      </c>
      <c r="E2091" s="23" t="str">
        <f aca="false">IF(B2091="","",IFERROR(INDEX(Clay_Offices!$A$2:$FZ$601,440,Sync!$C$6)&amp;"",""))</f>
        <v/>
      </c>
      <c r="F2091" s="23" t="str">
        <f aca="false">IF(B2091="","","outreach_sent")</f>
        <v/>
      </c>
      <c r="G2091" s="23" t="str">
        <f aca="false">IF(B2091="","","")</f>
        <v/>
      </c>
      <c r="H2091" s="23" t="str">
        <f aca="false">IF(B2091="","","")</f>
        <v/>
      </c>
      <c r="I2091" s="23" t="str">
        <f aca="false">IF(B2091="","","")</f>
        <v/>
      </c>
      <c r="J2091" s="23" t="str">
        <f aca="false">IF(B2091="","","touch_1; "&amp;IFERROR(INDEX(Clay_Offices!$A$2:$FZ$601,440,Sync!$C$10)&amp;"","")&amp;"; "&amp;IFERROR(INDEX(Clay_Offices!$A$2:$FZ$601,440,Sync!$C$9)&amp;"",""))</f>
        <v/>
      </c>
      <c r="K2091" s="32" t="s">
        <v>1363</v>
      </c>
    </row>
    <row r="2092" customFormat="false" ht="15" hidden="false" customHeight="false" outlineLevel="0" collapsed="false">
      <c r="A2092" s="23" t="str">
        <f aca="false">IF(B2092="","",B2092+(12*1000+441)/10000000)</f>
        <v/>
      </c>
      <c r="B2092" s="35" t="str">
        <f aca="false">IF(AND(IFERROR(N(INDEX(Clay_Offices!$A$2:$FZ$601,441,Sync!$C$11)),0)&gt;0,IFERROR(INDEX(Clay_Offices!$A$2:$FZ$601,441,Sync!$C$5)&amp;"","")&lt;&gt;"",OR(LEFT(IFERROR(INDEX(Clay_Offices!$A$2:$FZ$601,441,Sync!$C$5)&amp;"",""),6)&lt;&gt;"SAMPLE",Config!$B$19="Y")),IFERROR(N(INDEX(Clay_Offices!$A$2:$FZ$601,441,Sync!$C$11)),0),"")</f>
        <v/>
      </c>
      <c r="C2092" s="23" t="str">
        <f aca="false">IF(B2092="","","office")</f>
        <v/>
      </c>
      <c r="D2092" s="23" t="str">
        <f aca="false">IF(B2092="","",IFERROR(INDEX(Office_Log!$ED$2:$ED$201,MATCH(IFERROR(INDEX(Clay_Offices!$A$2:$FZ$601,441,Sync!$C$5)&amp;"",""),Office_Log!$A$2:$A$201,0))&amp;"",IFERROR(INDEX(Clay_Offices!$A$2:$FZ$601,441,Sync!$C$5)&amp;"","")&amp;""))</f>
        <v/>
      </c>
      <c r="E2092" s="23" t="str">
        <f aca="false">IF(B2092="","",IFERROR(INDEX(Clay_Offices!$A$2:$FZ$601,441,Sync!$C$6)&amp;"",""))</f>
        <v/>
      </c>
      <c r="F2092" s="23" t="str">
        <f aca="false">IF(B2092="","","outreach_sent")</f>
        <v/>
      </c>
      <c r="G2092" s="23" t="str">
        <f aca="false">IF(B2092="","","")</f>
        <v/>
      </c>
      <c r="H2092" s="23" t="str">
        <f aca="false">IF(B2092="","","")</f>
        <v/>
      </c>
      <c r="I2092" s="23" t="str">
        <f aca="false">IF(B2092="","","")</f>
        <v/>
      </c>
      <c r="J2092" s="23" t="str">
        <f aca="false">IF(B2092="","","touch_1; "&amp;IFERROR(INDEX(Clay_Offices!$A$2:$FZ$601,441,Sync!$C$10)&amp;"","")&amp;"; "&amp;IFERROR(INDEX(Clay_Offices!$A$2:$FZ$601,441,Sync!$C$9)&amp;"",""))</f>
        <v/>
      </c>
      <c r="K2092" s="32" t="s">
        <v>1363</v>
      </c>
    </row>
    <row r="2093" customFormat="false" ht="15" hidden="false" customHeight="false" outlineLevel="0" collapsed="false">
      <c r="A2093" s="23" t="str">
        <f aca="false">IF(B2093="","",B2093+(12*1000+442)/10000000)</f>
        <v/>
      </c>
      <c r="B2093" s="35" t="str">
        <f aca="false">IF(AND(IFERROR(N(INDEX(Clay_Offices!$A$2:$FZ$601,442,Sync!$C$11)),0)&gt;0,IFERROR(INDEX(Clay_Offices!$A$2:$FZ$601,442,Sync!$C$5)&amp;"","")&lt;&gt;"",OR(LEFT(IFERROR(INDEX(Clay_Offices!$A$2:$FZ$601,442,Sync!$C$5)&amp;"",""),6)&lt;&gt;"SAMPLE",Config!$B$19="Y")),IFERROR(N(INDEX(Clay_Offices!$A$2:$FZ$601,442,Sync!$C$11)),0),"")</f>
        <v/>
      </c>
      <c r="C2093" s="23" t="str">
        <f aca="false">IF(B2093="","","office")</f>
        <v/>
      </c>
      <c r="D2093" s="23" t="str">
        <f aca="false">IF(B2093="","",IFERROR(INDEX(Office_Log!$ED$2:$ED$201,MATCH(IFERROR(INDEX(Clay_Offices!$A$2:$FZ$601,442,Sync!$C$5)&amp;"",""),Office_Log!$A$2:$A$201,0))&amp;"",IFERROR(INDEX(Clay_Offices!$A$2:$FZ$601,442,Sync!$C$5)&amp;"","")&amp;""))</f>
        <v/>
      </c>
      <c r="E2093" s="23" t="str">
        <f aca="false">IF(B2093="","",IFERROR(INDEX(Clay_Offices!$A$2:$FZ$601,442,Sync!$C$6)&amp;"",""))</f>
        <v/>
      </c>
      <c r="F2093" s="23" t="str">
        <f aca="false">IF(B2093="","","outreach_sent")</f>
        <v/>
      </c>
      <c r="G2093" s="23" t="str">
        <f aca="false">IF(B2093="","","")</f>
        <v/>
      </c>
      <c r="H2093" s="23" t="str">
        <f aca="false">IF(B2093="","","")</f>
        <v/>
      </c>
      <c r="I2093" s="23" t="str">
        <f aca="false">IF(B2093="","","")</f>
        <v/>
      </c>
      <c r="J2093" s="23" t="str">
        <f aca="false">IF(B2093="","","touch_1; "&amp;IFERROR(INDEX(Clay_Offices!$A$2:$FZ$601,442,Sync!$C$10)&amp;"","")&amp;"; "&amp;IFERROR(INDEX(Clay_Offices!$A$2:$FZ$601,442,Sync!$C$9)&amp;"",""))</f>
        <v/>
      </c>
      <c r="K2093" s="32" t="s">
        <v>1363</v>
      </c>
    </row>
    <row r="2094" customFormat="false" ht="15" hidden="false" customHeight="false" outlineLevel="0" collapsed="false">
      <c r="A2094" s="23" t="str">
        <f aca="false">IF(B2094="","",B2094+(12*1000+443)/10000000)</f>
        <v/>
      </c>
      <c r="B2094" s="35" t="str">
        <f aca="false">IF(AND(IFERROR(N(INDEX(Clay_Offices!$A$2:$FZ$601,443,Sync!$C$11)),0)&gt;0,IFERROR(INDEX(Clay_Offices!$A$2:$FZ$601,443,Sync!$C$5)&amp;"","")&lt;&gt;"",OR(LEFT(IFERROR(INDEX(Clay_Offices!$A$2:$FZ$601,443,Sync!$C$5)&amp;"",""),6)&lt;&gt;"SAMPLE",Config!$B$19="Y")),IFERROR(N(INDEX(Clay_Offices!$A$2:$FZ$601,443,Sync!$C$11)),0),"")</f>
        <v/>
      </c>
      <c r="C2094" s="23" t="str">
        <f aca="false">IF(B2094="","","office")</f>
        <v/>
      </c>
      <c r="D2094" s="23" t="str">
        <f aca="false">IF(B2094="","",IFERROR(INDEX(Office_Log!$ED$2:$ED$201,MATCH(IFERROR(INDEX(Clay_Offices!$A$2:$FZ$601,443,Sync!$C$5)&amp;"",""),Office_Log!$A$2:$A$201,0))&amp;"",IFERROR(INDEX(Clay_Offices!$A$2:$FZ$601,443,Sync!$C$5)&amp;"","")&amp;""))</f>
        <v/>
      </c>
      <c r="E2094" s="23" t="str">
        <f aca="false">IF(B2094="","",IFERROR(INDEX(Clay_Offices!$A$2:$FZ$601,443,Sync!$C$6)&amp;"",""))</f>
        <v/>
      </c>
      <c r="F2094" s="23" t="str">
        <f aca="false">IF(B2094="","","outreach_sent")</f>
        <v/>
      </c>
      <c r="G2094" s="23" t="str">
        <f aca="false">IF(B2094="","","")</f>
        <v/>
      </c>
      <c r="H2094" s="23" t="str">
        <f aca="false">IF(B2094="","","")</f>
        <v/>
      </c>
      <c r="I2094" s="23" t="str">
        <f aca="false">IF(B2094="","","")</f>
        <v/>
      </c>
      <c r="J2094" s="23" t="str">
        <f aca="false">IF(B2094="","","touch_1; "&amp;IFERROR(INDEX(Clay_Offices!$A$2:$FZ$601,443,Sync!$C$10)&amp;"","")&amp;"; "&amp;IFERROR(INDEX(Clay_Offices!$A$2:$FZ$601,443,Sync!$C$9)&amp;"",""))</f>
        <v/>
      </c>
      <c r="K2094" s="32" t="s">
        <v>1363</v>
      </c>
    </row>
    <row r="2095" customFormat="false" ht="15" hidden="false" customHeight="false" outlineLevel="0" collapsed="false">
      <c r="A2095" s="23" t="str">
        <f aca="false">IF(B2095="","",B2095+(12*1000+444)/10000000)</f>
        <v/>
      </c>
      <c r="B2095" s="35" t="str">
        <f aca="false">IF(AND(IFERROR(N(INDEX(Clay_Offices!$A$2:$FZ$601,444,Sync!$C$11)),0)&gt;0,IFERROR(INDEX(Clay_Offices!$A$2:$FZ$601,444,Sync!$C$5)&amp;"","")&lt;&gt;"",OR(LEFT(IFERROR(INDEX(Clay_Offices!$A$2:$FZ$601,444,Sync!$C$5)&amp;"",""),6)&lt;&gt;"SAMPLE",Config!$B$19="Y")),IFERROR(N(INDEX(Clay_Offices!$A$2:$FZ$601,444,Sync!$C$11)),0),"")</f>
        <v/>
      </c>
      <c r="C2095" s="23" t="str">
        <f aca="false">IF(B2095="","","office")</f>
        <v/>
      </c>
      <c r="D2095" s="23" t="str">
        <f aca="false">IF(B2095="","",IFERROR(INDEX(Office_Log!$ED$2:$ED$201,MATCH(IFERROR(INDEX(Clay_Offices!$A$2:$FZ$601,444,Sync!$C$5)&amp;"",""),Office_Log!$A$2:$A$201,0))&amp;"",IFERROR(INDEX(Clay_Offices!$A$2:$FZ$601,444,Sync!$C$5)&amp;"","")&amp;""))</f>
        <v/>
      </c>
      <c r="E2095" s="23" t="str">
        <f aca="false">IF(B2095="","",IFERROR(INDEX(Clay_Offices!$A$2:$FZ$601,444,Sync!$C$6)&amp;"",""))</f>
        <v/>
      </c>
      <c r="F2095" s="23" t="str">
        <f aca="false">IF(B2095="","","outreach_sent")</f>
        <v/>
      </c>
      <c r="G2095" s="23" t="str">
        <f aca="false">IF(B2095="","","")</f>
        <v/>
      </c>
      <c r="H2095" s="23" t="str">
        <f aca="false">IF(B2095="","","")</f>
        <v/>
      </c>
      <c r="I2095" s="23" t="str">
        <f aca="false">IF(B2095="","","")</f>
        <v/>
      </c>
      <c r="J2095" s="23" t="str">
        <f aca="false">IF(B2095="","","touch_1; "&amp;IFERROR(INDEX(Clay_Offices!$A$2:$FZ$601,444,Sync!$C$10)&amp;"","")&amp;"; "&amp;IFERROR(INDEX(Clay_Offices!$A$2:$FZ$601,444,Sync!$C$9)&amp;"",""))</f>
        <v/>
      </c>
      <c r="K2095" s="32" t="s">
        <v>1363</v>
      </c>
    </row>
    <row r="2096" customFormat="false" ht="15" hidden="false" customHeight="false" outlineLevel="0" collapsed="false">
      <c r="A2096" s="23" t="str">
        <f aca="false">IF(B2096="","",B2096+(12*1000+445)/10000000)</f>
        <v/>
      </c>
      <c r="B2096" s="35" t="str">
        <f aca="false">IF(AND(IFERROR(N(INDEX(Clay_Offices!$A$2:$FZ$601,445,Sync!$C$11)),0)&gt;0,IFERROR(INDEX(Clay_Offices!$A$2:$FZ$601,445,Sync!$C$5)&amp;"","")&lt;&gt;"",OR(LEFT(IFERROR(INDEX(Clay_Offices!$A$2:$FZ$601,445,Sync!$C$5)&amp;"",""),6)&lt;&gt;"SAMPLE",Config!$B$19="Y")),IFERROR(N(INDEX(Clay_Offices!$A$2:$FZ$601,445,Sync!$C$11)),0),"")</f>
        <v/>
      </c>
      <c r="C2096" s="23" t="str">
        <f aca="false">IF(B2096="","","office")</f>
        <v/>
      </c>
      <c r="D2096" s="23" t="str">
        <f aca="false">IF(B2096="","",IFERROR(INDEX(Office_Log!$ED$2:$ED$201,MATCH(IFERROR(INDEX(Clay_Offices!$A$2:$FZ$601,445,Sync!$C$5)&amp;"",""),Office_Log!$A$2:$A$201,0))&amp;"",IFERROR(INDEX(Clay_Offices!$A$2:$FZ$601,445,Sync!$C$5)&amp;"","")&amp;""))</f>
        <v/>
      </c>
      <c r="E2096" s="23" t="str">
        <f aca="false">IF(B2096="","",IFERROR(INDEX(Clay_Offices!$A$2:$FZ$601,445,Sync!$C$6)&amp;"",""))</f>
        <v/>
      </c>
      <c r="F2096" s="23" t="str">
        <f aca="false">IF(B2096="","","outreach_sent")</f>
        <v/>
      </c>
      <c r="G2096" s="23" t="str">
        <f aca="false">IF(B2096="","","")</f>
        <v/>
      </c>
      <c r="H2096" s="23" t="str">
        <f aca="false">IF(B2096="","","")</f>
        <v/>
      </c>
      <c r="I2096" s="23" t="str">
        <f aca="false">IF(B2096="","","")</f>
        <v/>
      </c>
      <c r="J2096" s="23" t="str">
        <f aca="false">IF(B2096="","","touch_1; "&amp;IFERROR(INDEX(Clay_Offices!$A$2:$FZ$601,445,Sync!$C$10)&amp;"","")&amp;"; "&amp;IFERROR(INDEX(Clay_Offices!$A$2:$FZ$601,445,Sync!$C$9)&amp;"",""))</f>
        <v/>
      </c>
      <c r="K2096" s="32" t="s">
        <v>1363</v>
      </c>
    </row>
    <row r="2097" customFormat="false" ht="15" hidden="false" customHeight="false" outlineLevel="0" collapsed="false">
      <c r="A2097" s="23" t="str">
        <f aca="false">IF(B2097="","",B2097+(12*1000+446)/10000000)</f>
        <v/>
      </c>
      <c r="B2097" s="35" t="str">
        <f aca="false">IF(AND(IFERROR(N(INDEX(Clay_Offices!$A$2:$FZ$601,446,Sync!$C$11)),0)&gt;0,IFERROR(INDEX(Clay_Offices!$A$2:$FZ$601,446,Sync!$C$5)&amp;"","")&lt;&gt;"",OR(LEFT(IFERROR(INDEX(Clay_Offices!$A$2:$FZ$601,446,Sync!$C$5)&amp;"",""),6)&lt;&gt;"SAMPLE",Config!$B$19="Y")),IFERROR(N(INDEX(Clay_Offices!$A$2:$FZ$601,446,Sync!$C$11)),0),"")</f>
        <v/>
      </c>
      <c r="C2097" s="23" t="str">
        <f aca="false">IF(B2097="","","office")</f>
        <v/>
      </c>
      <c r="D2097" s="23" t="str">
        <f aca="false">IF(B2097="","",IFERROR(INDEX(Office_Log!$ED$2:$ED$201,MATCH(IFERROR(INDEX(Clay_Offices!$A$2:$FZ$601,446,Sync!$C$5)&amp;"",""),Office_Log!$A$2:$A$201,0))&amp;"",IFERROR(INDEX(Clay_Offices!$A$2:$FZ$601,446,Sync!$C$5)&amp;"","")&amp;""))</f>
        <v/>
      </c>
      <c r="E2097" s="23" t="str">
        <f aca="false">IF(B2097="","",IFERROR(INDEX(Clay_Offices!$A$2:$FZ$601,446,Sync!$C$6)&amp;"",""))</f>
        <v/>
      </c>
      <c r="F2097" s="23" t="str">
        <f aca="false">IF(B2097="","","outreach_sent")</f>
        <v/>
      </c>
      <c r="G2097" s="23" t="str">
        <f aca="false">IF(B2097="","","")</f>
        <v/>
      </c>
      <c r="H2097" s="23" t="str">
        <f aca="false">IF(B2097="","","")</f>
        <v/>
      </c>
      <c r="I2097" s="23" t="str">
        <f aca="false">IF(B2097="","","")</f>
        <v/>
      </c>
      <c r="J2097" s="23" t="str">
        <f aca="false">IF(B2097="","","touch_1; "&amp;IFERROR(INDEX(Clay_Offices!$A$2:$FZ$601,446,Sync!$C$10)&amp;"","")&amp;"; "&amp;IFERROR(INDEX(Clay_Offices!$A$2:$FZ$601,446,Sync!$C$9)&amp;"",""))</f>
        <v/>
      </c>
      <c r="K2097" s="32" t="s">
        <v>1363</v>
      </c>
    </row>
    <row r="2098" customFormat="false" ht="15" hidden="false" customHeight="false" outlineLevel="0" collapsed="false">
      <c r="A2098" s="23" t="str">
        <f aca="false">IF(B2098="","",B2098+(12*1000+447)/10000000)</f>
        <v/>
      </c>
      <c r="B2098" s="35" t="str">
        <f aca="false">IF(AND(IFERROR(N(INDEX(Clay_Offices!$A$2:$FZ$601,447,Sync!$C$11)),0)&gt;0,IFERROR(INDEX(Clay_Offices!$A$2:$FZ$601,447,Sync!$C$5)&amp;"","")&lt;&gt;"",OR(LEFT(IFERROR(INDEX(Clay_Offices!$A$2:$FZ$601,447,Sync!$C$5)&amp;"",""),6)&lt;&gt;"SAMPLE",Config!$B$19="Y")),IFERROR(N(INDEX(Clay_Offices!$A$2:$FZ$601,447,Sync!$C$11)),0),"")</f>
        <v/>
      </c>
      <c r="C2098" s="23" t="str">
        <f aca="false">IF(B2098="","","office")</f>
        <v/>
      </c>
      <c r="D2098" s="23" t="str">
        <f aca="false">IF(B2098="","",IFERROR(INDEX(Office_Log!$ED$2:$ED$201,MATCH(IFERROR(INDEX(Clay_Offices!$A$2:$FZ$601,447,Sync!$C$5)&amp;"",""),Office_Log!$A$2:$A$201,0))&amp;"",IFERROR(INDEX(Clay_Offices!$A$2:$FZ$601,447,Sync!$C$5)&amp;"","")&amp;""))</f>
        <v/>
      </c>
      <c r="E2098" s="23" t="str">
        <f aca="false">IF(B2098="","",IFERROR(INDEX(Clay_Offices!$A$2:$FZ$601,447,Sync!$C$6)&amp;"",""))</f>
        <v/>
      </c>
      <c r="F2098" s="23" t="str">
        <f aca="false">IF(B2098="","","outreach_sent")</f>
        <v/>
      </c>
      <c r="G2098" s="23" t="str">
        <f aca="false">IF(B2098="","","")</f>
        <v/>
      </c>
      <c r="H2098" s="23" t="str">
        <f aca="false">IF(B2098="","","")</f>
        <v/>
      </c>
      <c r="I2098" s="23" t="str">
        <f aca="false">IF(B2098="","","")</f>
        <v/>
      </c>
      <c r="J2098" s="23" t="str">
        <f aca="false">IF(B2098="","","touch_1; "&amp;IFERROR(INDEX(Clay_Offices!$A$2:$FZ$601,447,Sync!$C$10)&amp;"","")&amp;"; "&amp;IFERROR(INDEX(Clay_Offices!$A$2:$FZ$601,447,Sync!$C$9)&amp;"",""))</f>
        <v/>
      </c>
      <c r="K2098" s="32" t="s">
        <v>1363</v>
      </c>
    </row>
    <row r="2099" customFormat="false" ht="15" hidden="false" customHeight="false" outlineLevel="0" collapsed="false">
      <c r="A2099" s="23" t="str">
        <f aca="false">IF(B2099="","",B2099+(12*1000+448)/10000000)</f>
        <v/>
      </c>
      <c r="B2099" s="35" t="str">
        <f aca="false">IF(AND(IFERROR(N(INDEX(Clay_Offices!$A$2:$FZ$601,448,Sync!$C$11)),0)&gt;0,IFERROR(INDEX(Clay_Offices!$A$2:$FZ$601,448,Sync!$C$5)&amp;"","")&lt;&gt;"",OR(LEFT(IFERROR(INDEX(Clay_Offices!$A$2:$FZ$601,448,Sync!$C$5)&amp;"",""),6)&lt;&gt;"SAMPLE",Config!$B$19="Y")),IFERROR(N(INDEX(Clay_Offices!$A$2:$FZ$601,448,Sync!$C$11)),0),"")</f>
        <v/>
      </c>
      <c r="C2099" s="23" t="str">
        <f aca="false">IF(B2099="","","office")</f>
        <v/>
      </c>
      <c r="D2099" s="23" t="str">
        <f aca="false">IF(B2099="","",IFERROR(INDEX(Office_Log!$ED$2:$ED$201,MATCH(IFERROR(INDEX(Clay_Offices!$A$2:$FZ$601,448,Sync!$C$5)&amp;"",""),Office_Log!$A$2:$A$201,0))&amp;"",IFERROR(INDEX(Clay_Offices!$A$2:$FZ$601,448,Sync!$C$5)&amp;"","")&amp;""))</f>
        <v/>
      </c>
      <c r="E2099" s="23" t="str">
        <f aca="false">IF(B2099="","",IFERROR(INDEX(Clay_Offices!$A$2:$FZ$601,448,Sync!$C$6)&amp;"",""))</f>
        <v/>
      </c>
      <c r="F2099" s="23" t="str">
        <f aca="false">IF(B2099="","","outreach_sent")</f>
        <v/>
      </c>
      <c r="G2099" s="23" t="str">
        <f aca="false">IF(B2099="","","")</f>
        <v/>
      </c>
      <c r="H2099" s="23" t="str">
        <f aca="false">IF(B2099="","","")</f>
        <v/>
      </c>
      <c r="I2099" s="23" t="str">
        <f aca="false">IF(B2099="","","")</f>
        <v/>
      </c>
      <c r="J2099" s="23" t="str">
        <f aca="false">IF(B2099="","","touch_1; "&amp;IFERROR(INDEX(Clay_Offices!$A$2:$FZ$601,448,Sync!$C$10)&amp;"","")&amp;"; "&amp;IFERROR(INDEX(Clay_Offices!$A$2:$FZ$601,448,Sync!$C$9)&amp;"",""))</f>
        <v/>
      </c>
      <c r="K2099" s="32" t="s">
        <v>1363</v>
      </c>
    </row>
    <row r="2100" customFormat="false" ht="15" hidden="false" customHeight="false" outlineLevel="0" collapsed="false">
      <c r="A2100" s="23" t="str">
        <f aca="false">IF(B2100="","",B2100+(12*1000+449)/10000000)</f>
        <v/>
      </c>
      <c r="B2100" s="35" t="str">
        <f aca="false">IF(AND(IFERROR(N(INDEX(Clay_Offices!$A$2:$FZ$601,449,Sync!$C$11)),0)&gt;0,IFERROR(INDEX(Clay_Offices!$A$2:$FZ$601,449,Sync!$C$5)&amp;"","")&lt;&gt;"",OR(LEFT(IFERROR(INDEX(Clay_Offices!$A$2:$FZ$601,449,Sync!$C$5)&amp;"",""),6)&lt;&gt;"SAMPLE",Config!$B$19="Y")),IFERROR(N(INDEX(Clay_Offices!$A$2:$FZ$601,449,Sync!$C$11)),0),"")</f>
        <v/>
      </c>
      <c r="C2100" s="23" t="str">
        <f aca="false">IF(B2100="","","office")</f>
        <v/>
      </c>
      <c r="D2100" s="23" t="str">
        <f aca="false">IF(B2100="","",IFERROR(INDEX(Office_Log!$ED$2:$ED$201,MATCH(IFERROR(INDEX(Clay_Offices!$A$2:$FZ$601,449,Sync!$C$5)&amp;"",""),Office_Log!$A$2:$A$201,0))&amp;"",IFERROR(INDEX(Clay_Offices!$A$2:$FZ$601,449,Sync!$C$5)&amp;"","")&amp;""))</f>
        <v/>
      </c>
      <c r="E2100" s="23" t="str">
        <f aca="false">IF(B2100="","",IFERROR(INDEX(Clay_Offices!$A$2:$FZ$601,449,Sync!$C$6)&amp;"",""))</f>
        <v/>
      </c>
      <c r="F2100" s="23" t="str">
        <f aca="false">IF(B2100="","","outreach_sent")</f>
        <v/>
      </c>
      <c r="G2100" s="23" t="str">
        <f aca="false">IF(B2100="","","")</f>
        <v/>
      </c>
      <c r="H2100" s="23" t="str">
        <f aca="false">IF(B2100="","","")</f>
        <v/>
      </c>
      <c r="I2100" s="23" t="str">
        <f aca="false">IF(B2100="","","")</f>
        <v/>
      </c>
      <c r="J2100" s="23" t="str">
        <f aca="false">IF(B2100="","","touch_1; "&amp;IFERROR(INDEX(Clay_Offices!$A$2:$FZ$601,449,Sync!$C$10)&amp;"","")&amp;"; "&amp;IFERROR(INDEX(Clay_Offices!$A$2:$FZ$601,449,Sync!$C$9)&amp;"",""))</f>
        <v/>
      </c>
      <c r="K2100" s="32" t="s">
        <v>1363</v>
      </c>
    </row>
    <row r="2101" customFormat="false" ht="15" hidden="false" customHeight="false" outlineLevel="0" collapsed="false">
      <c r="A2101" s="23" t="str">
        <f aca="false">IF(B2101="","",B2101+(12*1000+450)/10000000)</f>
        <v/>
      </c>
      <c r="B2101" s="35" t="str">
        <f aca="false">IF(AND(IFERROR(N(INDEX(Clay_Offices!$A$2:$FZ$601,450,Sync!$C$11)),0)&gt;0,IFERROR(INDEX(Clay_Offices!$A$2:$FZ$601,450,Sync!$C$5)&amp;"","")&lt;&gt;"",OR(LEFT(IFERROR(INDEX(Clay_Offices!$A$2:$FZ$601,450,Sync!$C$5)&amp;"",""),6)&lt;&gt;"SAMPLE",Config!$B$19="Y")),IFERROR(N(INDEX(Clay_Offices!$A$2:$FZ$601,450,Sync!$C$11)),0),"")</f>
        <v/>
      </c>
      <c r="C2101" s="23" t="str">
        <f aca="false">IF(B2101="","","office")</f>
        <v/>
      </c>
      <c r="D2101" s="23" t="str">
        <f aca="false">IF(B2101="","",IFERROR(INDEX(Office_Log!$ED$2:$ED$201,MATCH(IFERROR(INDEX(Clay_Offices!$A$2:$FZ$601,450,Sync!$C$5)&amp;"",""),Office_Log!$A$2:$A$201,0))&amp;"",IFERROR(INDEX(Clay_Offices!$A$2:$FZ$601,450,Sync!$C$5)&amp;"","")&amp;""))</f>
        <v/>
      </c>
      <c r="E2101" s="23" t="str">
        <f aca="false">IF(B2101="","",IFERROR(INDEX(Clay_Offices!$A$2:$FZ$601,450,Sync!$C$6)&amp;"",""))</f>
        <v/>
      </c>
      <c r="F2101" s="23" t="str">
        <f aca="false">IF(B2101="","","outreach_sent")</f>
        <v/>
      </c>
      <c r="G2101" s="23" t="str">
        <f aca="false">IF(B2101="","","")</f>
        <v/>
      </c>
      <c r="H2101" s="23" t="str">
        <f aca="false">IF(B2101="","","")</f>
        <v/>
      </c>
      <c r="I2101" s="23" t="str">
        <f aca="false">IF(B2101="","","")</f>
        <v/>
      </c>
      <c r="J2101" s="23" t="str">
        <f aca="false">IF(B2101="","","touch_1; "&amp;IFERROR(INDEX(Clay_Offices!$A$2:$FZ$601,450,Sync!$C$10)&amp;"","")&amp;"; "&amp;IFERROR(INDEX(Clay_Offices!$A$2:$FZ$601,450,Sync!$C$9)&amp;"",""))</f>
        <v/>
      </c>
      <c r="K2101" s="32" t="s">
        <v>1363</v>
      </c>
    </row>
    <row r="2102" customFormat="false" ht="15" hidden="false" customHeight="false" outlineLevel="0" collapsed="false">
      <c r="A2102" s="23" t="str">
        <f aca="false">IF(B2102="","",B2102+(12*1000+451)/10000000)</f>
        <v/>
      </c>
      <c r="B2102" s="35" t="str">
        <f aca="false">IF(AND(IFERROR(N(INDEX(Clay_Offices!$A$2:$FZ$601,451,Sync!$C$11)),0)&gt;0,IFERROR(INDEX(Clay_Offices!$A$2:$FZ$601,451,Sync!$C$5)&amp;"","")&lt;&gt;"",OR(LEFT(IFERROR(INDEX(Clay_Offices!$A$2:$FZ$601,451,Sync!$C$5)&amp;"",""),6)&lt;&gt;"SAMPLE",Config!$B$19="Y")),IFERROR(N(INDEX(Clay_Offices!$A$2:$FZ$601,451,Sync!$C$11)),0),"")</f>
        <v/>
      </c>
      <c r="C2102" s="23" t="str">
        <f aca="false">IF(B2102="","","office")</f>
        <v/>
      </c>
      <c r="D2102" s="23" t="str">
        <f aca="false">IF(B2102="","",IFERROR(INDEX(Office_Log!$ED$2:$ED$201,MATCH(IFERROR(INDEX(Clay_Offices!$A$2:$FZ$601,451,Sync!$C$5)&amp;"",""),Office_Log!$A$2:$A$201,0))&amp;"",IFERROR(INDEX(Clay_Offices!$A$2:$FZ$601,451,Sync!$C$5)&amp;"","")&amp;""))</f>
        <v/>
      </c>
      <c r="E2102" s="23" t="str">
        <f aca="false">IF(B2102="","",IFERROR(INDEX(Clay_Offices!$A$2:$FZ$601,451,Sync!$C$6)&amp;"",""))</f>
        <v/>
      </c>
      <c r="F2102" s="23" t="str">
        <f aca="false">IF(B2102="","","outreach_sent")</f>
        <v/>
      </c>
      <c r="G2102" s="23" t="str">
        <f aca="false">IF(B2102="","","")</f>
        <v/>
      </c>
      <c r="H2102" s="23" t="str">
        <f aca="false">IF(B2102="","","")</f>
        <v/>
      </c>
      <c r="I2102" s="23" t="str">
        <f aca="false">IF(B2102="","","")</f>
        <v/>
      </c>
      <c r="J2102" s="23" t="str">
        <f aca="false">IF(B2102="","","touch_1; "&amp;IFERROR(INDEX(Clay_Offices!$A$2:$FZ$601,451,Sync!$C$10)&amp;"","")&amp;"; "&amp;IFERROR(INDEX(Clay_Offices!$A$2:$FZ$601,451,Sync!$C$9)&amp;"",""))</f>
        <v/>
      </c>
      <c r="K2102" s="32" t="s">
        <v>1363</v>
      </c>
    </row>
    <row r="2103" customFormat="false" ht="15" hidden="false" customHeight="false" outlineLevel="0" collapsed="false">
      <c r="A2103" s="23" t="str">
        <f aca="false">IF(B2103="","",B2103+(12*1000+452)/10000000)</f>
        <v/>
      </c>
      <c r="B2103" s="35" t="str">
        <f aca="false">IF(AND(IFERROR(N(INDEX(Clay_Offices!$A$2:$FZ$601,452,Sync!$C$11)),0)&gt;0,IFERROR(INDEX(Clay_Offices!$A$2:$FZ$601,452,Sync!$C$5)&amp;"","")&lt;&gt;"",OR(LEFT(IFERROR(INDEX(Clay_Offices!$A$2:$FZ$601,452,Sync!$C$5)&amp;"",""),6)&lt;&gt;"SAMPLE",Config!$B$19="Y")),IFERROR(N(INDEX(Clay_Offices!$A$2:$FZ$601,452,Sync!$C$11)),0),"")</f>
        <v/>
      </c>
      <c r="C2103" s="23" t="str">
        <f aca="false">IF(B2103="","","office")</f>
        <v/>
      </c>
      <c r="D2103" s="23" t="str">
        <f aca="false">IF(B2103="","",IFERROR(INDEX(Office_Log!$ED$2:$ED$201,MATCH(IFERROR(INDEX(Clay_Offices!$A$2:$FZ$601,452,Sync!$C$5)&amp;"",""),Office_Log!$A$2:$A$201,0))&amp;"",IFERROR(INDEX(Clay_Offices!$A$2:$FZ$601,452,Sync!$C$5)&amp;"","")&amp;""))</f>
        <v/>
      </c>
      <c r="E2103" s="23" t="str">
        <f aca="false">IF(B2103="","",IFERROR(INDEX(Clay_Offices!$A$2:$FZ$601,452,Sync!$C$6)&amp;"",""))</f>
        <v/>
      </c>
      <c r="F2103" s="23" t="str">
        <f aca="false">IF(B2103="","","outreach_sent")</f>
        <v/>
      </c>
      <c r="G2103" s="23" t="str">
        <f aca="false">IF(B2103="","","")</f>
        <v/>
      </c>
      <c r="H2103" s="23" t="str">
        <f aca="false">IF(B2103="","","")</f>
        <v/>
      </c>
      <c r="I2103" s="23" t="str">
        <f aca="false">IF(B2103="","","")</f>
        <v/>
      </c>
      <c r="J2103" s="23" t="str">
        <f aca="false">IF(B2103="","","touch_1; "&amp;IFERROR(INDEX(Clay_Offices!$A$2:$FZ$601,452,Sync!$C$10)&amp;"","")&amp;"; "&amp;IFERROR(INDEX(Clay_Offices!$A$2:$FZ$601,452,Sync!$C$9)&amp;"",""))</f>
        <v/>
      </c>
      <c r="K2103" s="32" t="s">
        <v>1363</v>
      </c>
    </row>
    <row r="2104" customFormat="false" ht="15" hidden="false" customHeight="false" outlineLevel="0" collapsed="false">
      <c r="A2104" s="23" t="str">
        <f aca="false">IF(B2104="","",B2104+(12*1000+453)/10000000)</f>
        <v/>
      </c>
      <c r="B2104" s="35" t="str">
        <f aca="false">IF(AND(IFERROR(N(INDEX(Clay_Offices!$A$2:$FZ$601,453,Sync!$C$11)),0)&gt;0,IFERROR(INDEX(Clay_Offices!$A$2:$FZ$601,453,Sync!$C$5)&amp;"","")&lt;&gt;"",OR(LEFT(IFERROR(INDEX(Clay_Offices!$A$2:$FZ$601,453,Sync!$C$5)&amp;"",""),6)&lt;&gt;"SAMPLE",Config!$B$19="Y")),IFERROR(N(INDEX(Clay_Offices!$A$2:$FZ$601,453,Sync!$C$11)),0),"")</f>
        <v/>
      </c>
      <c r="C2104" s="23" t="str">
        <f aca="false">IF(B2104="","","office")</f>
        <v/>
      </c>
      <c r="D2104" s="23" t="str">
        <f aca="false">IF(B2104="","",IFERROR(INDEX(Office_Log!$ED$2:$ED$201,MATCH(IFERROR(INDEX(Clay_Offices!$A$2:$FZ$601,453,Sync!$C$5)&amp;"",""),Office_Log!$A$2:$A$201,0))&amp;"",IFERROR(INDEX(Clay_Offices!$A$2:$FZ$601,453,Sync!$C$5)&amp;"","")&amp;""))</f>
        <v/>
      </c>
      <c r="E2104" s="23" t="str">
        <f aca="false">IF(B2104="","",IFERROR(INDEX(Clay_Offices!$A$2:$FZ$601,453,Sync!$C$6)&amp;"",""))</f>
        <v/>
      </c>
      <c r="F2104" s="23" t="str">
        <f aca="false">IF(B2104="","","outreach_sent")</f>
        <v/>
      </c>
      <c r="G2104" s="23" t="str">
        <f aca="false">IF(B2104="","","")</f>
        <v/>
      </c>
      <c r="H2104" s="23" t="str">
        <f aca="false">IF(B2104="","","")</f>
        <v/>
      </c>
      <c r="I2104" s="23" t="str">
        <f aca="false">IF(B2104="","","")</f>
        <v/>
      </c>
      <c r="J2104" s="23" t="str">
        <f aca="false">IF(B2104="","","touch_1; "&amp;IFERROR(INDEX(Clay_Offices!$A$2:$FZ$601,453,Sync!$C$10)&amp;"","")&amp;"; "&amp;IFERROR(INDEX(Clay_Offices!$A$2:$FZ$601,453,Sync!$C$9)&amp;"",""))</f>
        <v/>
      </c>
      <c r="K2104" s="32" t="s">
        <v>1363</v>
      </c>
    </row>
    <row r="2105" customFormat="false" ht="15" hidden="false" customHeight="false" outlineLevel="0" collapsed="false">
      <c r="A2105" s="23" t="str">
        <f aca="false">IF(B2105="","",B2105+(12*1000+454)/10000000)</f>
        <v/>
      </c>
      <c r="B2105" s="35" t="str">
        <f aca="false">IF(AND(IFERROR(N(INDEX(Clay_Offices!$A$2:$FZ$601,454,Sync!$C$11)),0)&gt;0,IFERROR(INDEX(Clay_Offices!$A$2:$FZ$601,454,Sync!$C$5)&amp;"","")&lt;&gt;"",OR(LEFT(IFERROR(INDEX(Clay_Offices!$A$2:$FZ$601,454,Sync!$C$5)&amp;"",""),6)&lt;&gt;"SAMPLE",Config!$B$19="Y")),IFERROR(N(INDEX(Clay_Offices!$A$2:$FZ$601,454,Sync!$C$11)),0),"")</f>
        <v/>
      </c>
      <c r="C2105" s="23" t="str">
        <f aca="false">IF(B2105="","","office")</f>
        <v/>
      </c>
      <c r="D2105" s="23" t="str">
        <f aca="false">IF(B2105="","",IFERROR(INDEX(Office_Log!$ED$2:$ED$201,MATCH(IFERROR(INDEX(Clay_Offices!$A$2:$FZ$601,454,Sync!$C$5)&amp;"",""),Office_Log!$A$2:$A$201,0))&amp;"",IFERROR(INDEX(Clay_Offices!$A$2:$FZ$601,454,Sync!$C$5)&amp;"","")&amp;""))</f>
        <v/>
      </c>
      <c r="E2105" s="23" t="str">
        <f aca="false">IF(B2105="","",IFERROR(INDEX(Clay_Offices!$A$2:$FZ$601,454,Sync!$C$6)&amp;"",""))</f>
        <v/>
      </c>
      <c r="F2105" s="23" t="str">
        <f aca="false">IF(B2105="","","outreach_sent")</f>
        <v/>
      </c>
      <c r="G2105" s="23" t="str">
        <f aca="false">IF(B2105="","","")</f>
        <v/>
      </c>
      <c r="H2105" s="23" t="str">
        <f aca="false">IF(B2105="","","")</f>
        <v/>
      </c>
      <c r="I2105" s="23" t="str">
        <f aca="false">IF(B2105="","","")</f>
        <v/>
      </c>
      <c r="J2105" s="23" t="str">
        <f aca="false">IF(B2105="","","touch_1; "&amp;IFERROR(INDEX(Clay_Offices!$A$2:$FZ$601,454,Sync!$C$10)&amp;"","")&amp;"; "&amp;IFERROR(INDEX(Clay_Offices!$A$2:$FZ$601,454,Sync!$C$9)&amp;"",""))</f>
        <v/>
      </c>
      <c r="K2105" s="32" t="s">
        <v>1363</v>
      </c>
    </row>
    <row r="2106" customFormat="false" ht="15" hidden="false" customHeight="false" outlineLevel="0" collapsed="false">
      <c r="A2106" s="23" t="str">
        <f aca="false">IF(B2106="","",B2106+(12*1000+455)/10000000)</f>
        <v/>
      </c>
      <c r="B2106" s="35" t="str">
        <f aca="false">IF(AND(IFERROR(N(INDEX(Clay_Offices!$A$2:$FZ$601,455,Sync!$C$11)),0)&gt;0,IFERROR(INDEX(Clay_Offices!$A$2:$FZ$601,455,Sync!$C$5)&amp;"","")&lt;&gt;"",OR(LEFT(IFERROR(INDEX(Clay_Offices!$A$2:$FZ$601,455,Sync!$C$5)&amp;"",""),6)&lt;&gt;"SAMPLE",Config!$B$19="Y")),IFERROR(N(INDEX(Clay_Offices!$A$2:$FZ$601,455,Sync!$C$11)),0),"")</f>
        <v/>
      </c>
      <c r="C2106" s="23" t="str">
        <f aca="false">IF(B2106="","","office")</f>
        <v/>
      </c>
      <c r="D2106" s="23" t="str">
        <f aca="false">IF(B2106="","",IFERROR(INDEX(Office_Log!$ED$2:$ED$201,MATCH(IFERROR(INDEX(Clay_Offices!$A$2:$FZ$601,455,Sync!$C$5)&amp;"",""),Office_Log!$A$2:$A$201,0))&amp;"",IFERROR(INDEX(Clay_Offices!$A$2:$FZ$601,455,Sync!$C$5)&amp;"","")&amp;""))</f>
        <v/>
      </c>
      <c r="E2106" s="23" t="str">
        <f aca="false">IF(B2106="","",IFERROR(INDEX(Clay_Offices!$A$2:$FZ$601,455,Sync!$C$6)&amp;"",""))</f>
        <v/>
      </c>
      <c r="F2106" s="23" t="str">
        <f aca="false">IF(B2106="","","outreach_sent")</f>
        <v/>
      </c>
      <c r="G2106" s="23" t="str">
        <f aca="false">IF(B2106="","","")</f>
        <v/>
      </c>
      <c r="H2106" s="23" t="str">
        <f aca="false">IF(B2106="","","")</f>
        <v/>
      </c>
      <c r="I2106" s="23" t="str">
        <f aca="false">IF(B2106="","","")</f>
        <v/>
      </c>
      <c r="J2106" s="23" t="str">
        <f aca="false">IF(B2106="","","touch_1; "&amp;IFERROR(INDEX(Clay_Offices!$A$2:$FZ$601,455,Sync!$C$10)&amp;"","")&amp;"; "&amp;IFERROR(INDEX(Clay_Offices!$A$2:$FZ$601,455,Sync!$C$9)&amp;"",""))</f>
        <v/>
      </c>
      <c r="K2106" s="32" t="s">
        <v>1363</v>
      </c>
    </row>
    <row r="2107" customFormat="false" ht="15" hidden="false" customHeight="false" outlineLevel="0" collapsed="false">
      <c r="A2107" s="23" t="str">
        <f aca="false">IF(B2107="","",B2107+(12*1000+456)/10000000)</f>
        <v/>
      </c>
      <c r="B2107" s="35" t="str">
        <f aca="false">IF(AND(IFERROR(N(INDEX(Clay_Offices!$A$2:$FZ$601,456,Sync!$C$11)),0)&gt;0,IFERROR(INDEX(Clay_Offices!$A$2:$FZ$601,456,Sync!$C$5)&amp;"","")&lt;&gt;"",OR(LEFT(IFERROR(INDEX(Clay_Offices!$A$2:$FZ$601,456,Sync!$C$5)&amp;"",""),6)&lt;&gt;"SAMPLE",Config!$B$19="Y")),IFERROR(N(INDEX(Clay_Offices!$A$2:$FZ$601,456,Sync!$C$11)),0),"")</f>
        <v/>
      </c>
      <c r="C2107" s="23" t="str">
        <f aca="false">IF(B2107="","","office")</f>
        <v/>
      </c>
      <c r="D2107" s="23" t="str">
        <f aca="false">IF(B2107="","",IFERROR(INDEX(Office_Log!$ED$2:$ED$201,MATCH(IFERROR(INDEX(Clay_Offices!$A$2:$FZ$601,456,Sync!$C$5)&amp;"",""),Office_Log!$A$2:$A$201,0))&amp;"",IFERROR(INDEX(Clay_Offices!$A$2:$FZ$601,456,Sync!$C$5)&amp;"","")&amp;""))</f>
        <v/>
      </c>
      <c r="E2107" s="23" t="str">
        <f aca="false">IF(B2107="","",IFERROR(INDEX(Clay_Offices!$A$2:$FZ$601,456,Sync!$C$6)&amp;"",""))</f>
        <v/>
      </c>
      <c r="F2107" s="23" t="str">
        <f aca="false">IF(B2107="","","outreach_sent")</f>
        <v/>
      </c>
      <c r="G2107" s="23" t="str">
        <f aca="false">IF(B2107="","","")</f>
        <v/>
      </c>
      <c r="H2107" s="23" t="str">
        <f aca="false">IF(B2107="","","")</f>
        <v/>
      </c>
      <c r="I2107" s="23" t="str">
        <f aca="false">IF(B2107="","","")</f>
        <v/>
      </c>
      <c r="J2107" s="23" t="str">
        <f aca="false">IF(B2107="","","touch_1; "&amp;IFERROR(INDEX(Clay_Offices!$A$2:$FZ$601,456,Sync!$C$10)&amp;"","")&amp;"; "&amp;IFERROR(INDEX(Clay_Offices!$A$2:$FZ$601,456,Sync!$C$9)&amp;"",""))</f>
        <v/>
      </c>
      <c r="K2107" s="32" t="s">
        <v>1363</v>
      </c>
    </row>
    <row r="2108" customFormat="false" ht="15" hidden="false" customHeight="false" outlineLevel="0" collapsed="false">
      <c r="A2108" s="23" t="str">
        <f aca="false">IF(B2108="","",B2108+(12*1000+457)/10000000)</f>
        <v/>
      </c>
      <c r="B2108" s="35" t="str">
        <f aca="false">IF(AND(IFERROR(N(INDEX(Clay_Offices!$A$2:$FZ$601,457,Sync!$C$11)),0)&gt;0,IFERROR(INDEX(Clay_Offices!$A$2:$FZ$601,457,Sync!$C$5)&amp;"","")&lt;&gt;"",OR(LEFT(IFERROR(INDEX(Clay_Offices!$A$2:$FZ$601,457,Sync!$C$5)&amp;"",""),6)&lt;&gt;"SAMPLE",Config!$B$19="Y")),IFERROR(N(INDEX(Clay_Offices!$A$2:$FZ$601,457,Sync!$C$11)),0),"")</f>
        <v/>
      </c>
      <c r="C2108" s="23" t="str">
        <f aca="false">IF(B2108="","","office")</f>
        <v/>
      </c>
      <c r="D2108" s="23" t="str">
        <f aca="false">IF(B2108="","",IFERROR(INDEX(Office_Log!$ED$2:$ED$201,MATCH(IFERROR(INDEX(Clay_Offices!$A$2:$FZ$601,457,Sync!$C$5)&amp;"",""),Office_Log!$A$2:$A$201,0))&amp;"",IFERROR(INDEX(Clay_Offices!$A$2:$FZ$601,457,Sync!$C$5)&amp;"","")&amp;""))</f>
        <v/>
      </c>
      <c r="E2108" s="23" t="str">
        <f aca="false">IF(B2108="","",IFERROR(INDEX(Clay_Offices!$A$2:$FZ$601,457,Sync!$C$6)&amp;"",""))</f>
        <v/>
      </c>
      <c r="F2108" s="23" t="str">
        <f aca="false">IF(B2108="","","outreach_sent")</f>
        <v/>
      </c>
      <c r="G2108" s="23" t="str">
        <f aca="false">IF(B2108="","","")</f>
        <v/>
      </c>
      <c r="H2108" s="23" t="str">
        <f aca="false">IF(B2108="","","")</f>
        <v/>
      </c>
      <c r="I2108" s="23" t="str">
        <f aca="false">IF(B2108="","","")</f>
        <v/>
      </c>
      <c r="J2108" s="23" t="str">
        <f aca="false">IF(B2108="","","touch_1; "&amp;IFERROR(INDEX(Clay_Offices!$A$2:$FZ$601,457,Sync!$C$10)&amp;"","")&amp;"; "&amp;IFERROR(INDEX(Clay_Offices!$A$2:$FZ$601,457,Sync!$C$9)&amp;"",""))</f>
        <v/>
      </c>
      <c r="K2108" s="32" t="s">
        <v>1363</v>
      </c>
    </row>
    <row r="2109" customFormat="false" ht="15" hidden="false" customHeight="false" outlineLevel="0" collapsed="false">
      <c r="A2109" s="23" t="str">
        <f aca="false">IF(B2109="","",B2109+(12*1000+458)/10000000)</f>
        <v/>
      </c>
      <c r="B2109" s="35" t="str">
        <f aca="false">IF(AND(IFERROR(N(INDEX(Clay_Offices!$A$2:$FZ$601,458,Sync!$C$11)),0)&gt;0,IFERROR(INDEX(Clay_Offices!$A$2:$FZ$601,458,Sync!$C$5)&amp;"","")&lt;&gt;"",OR(LEFT(IFERROR(INDEX(Clay_Offices!$A$2:$FZ$601,458,Sync!$C$5)&amp;"",""),6)&lt;&gt;"SAMPLE",Config!$B$19="Y")),IFERROR(N(INDEX(Clay_Offices!$A$2:$FZ$601,458,Sync!$C$11)),0),"")</f>
        <v/>
      </c>
      <c r="C2109" s="23" t="str">
        <f aca="false">IF(B2109="","","office")</f>
        <v/>
      </c>
      <c r="D2109" s="23" t="str">
        <f aca="false">IF(B2109="","",IFERROR(INDEX(Office_Log!$ED$2:$ED$201,MATCH(IFERROR(INDEX(Clay_Offices!$A$2:$FZ$601,458,Sync!$C$5)&amp;"",""),Office_Log!$A$2:$A$201,0))&amp;"",IFERROR(INDEX(Clay_Offices!$A$2:$FZ$601,458,Sync!$C$5)&amp;"","")&amp;""))</f>
        <v/>
      </c>
      <c r="E2109" s="23" t="str">
        <f aca="false">IF(B2109="","",IFERROR(INDEX(Clay_Offices!$A$2:$FZ$601,458,Sync!$C$6)&amp;"",""))</f>
        <v/>
      </c>
      <c r="F2109" s="23" t="str">
        <f aca="false">IF(B2109="","","outreach_sent")</f>
        <v/>
      </c>
      <c r="G2109" s="23" t="str">
        <f aca="false">IF(B2109="","","")</f>
        <v/>
      </c>
      <c r="H2109" s="23" t="str">
        <f aca="false">IF(B2109="","","")</f>
        <v/>
      </c>
      <c r="I2109" s="23" t="str">
        <f aca="false">IF(B2109="","","")</f>
        <v/>
      </c>
      <c r="J2109" s="23" t="str">
        <f aca="false">IF(B2109="","","touch_1; "&amp;IFERROR(INDEX(Clay_Offices!$A$2:$FZ$601,458,Sync!$C$10)&amp;"","")&amp;"; "&amp;IFERROR(INDEX(Clay_Offices!$A$2:$FZ$601,458,Sync!$C$9)&amp;"",""))</f>
        <v/>
      </c>
      <c r="K2109" s="32" t="s">
        <v>1363</v>
      </c>
    </row>
    <row r="2110" customFormat="false" ht="15" hidden="false" customHeight="false" outlineLevel="0" collapsed="false">
      <c r="A2110" s="23" t="str">
        <f aca="false">IF(B2110="","",B2110+(12*1000+459)/10000000)</f>
        <v/>
      </c>
      <c r="B2110" s="35" t="str">
        <f aca="false">IF(AND(IFERROR(N(INDEX(Clay_Offices!$A$2:$FZ$601,459,Sync!$C$11)),0)&gt;0,IFERROR(INDEX(Clay_Offices!$A$2:$FZ$601,459,Sync!$C$5)&amp;"","")&lt;&gt;"",OR(LEFT(IFERROR(INDEX(Clay_Offices!$A$2:$FZ$601,459,Sync!$C$5)&amp;"",""),6)&lt;&gt;"SAMPLE",Config!$B$19="Y")),IFERROR(N(INDEX(Clay_Offices!$A$2:$FZ$601,459,Sync!$C$11)),0),"")</f>
        <v/>
      </c>
      <c r="C2110" s="23" t="str">
        <f aca="false">IF(B2110="","","office")</f>
        <v/>
      </c>
      <c r="D2110" s="23" t="str">
        <f aca="false">IF(B2110="","",IFERROR(INDEX(Office_Log!$ED$2:$ED$201,MATCH(IFERROR(INDEX(Clay_Offices!$A$2:$FZ$601,459,Sync!$C$5)&amp;"",""),Office_Log!$A$2:$A$201,0))&amp;"",IFERROR(INDEX(Clay_Offices!$A$2:$FZ$601,459,Sync!$C$5)&amp;"","")&amp;""))</f>
        <v/>
      </c>
      <c r="E2110" s="23" t="str">
        <f aca="false">IF(B2110="","",IFERROR(INDEX(Clay_Offices!$A$2:$FZ$601,459,Sync!$C$6)&amp;"",""))</f>
        <v/>
      </c>
      <c r="F2110" s="23" t="str">
        <f aca="false">IF(B2110="","","outreach_sent")</f>
        <v/>
      </c>
      <c r="G2110" s="23" t="str">
        <f aca="false">IF(B2110="","","")</f>
        <v/>
      </c>
      <c r="H2110" s="23" t="str">
        <f aca="false">IF(B2110="","","")</f>
        <v/>
      </c>
      <c r="I2110" s="23" t="str">
        <f aca="false">IF(B2110="","","")</f>
        <v/>
      </c>
      <c r="J2110" s="23" t="str">
        <f aca="false">IF(B2110="","","touch_1; "&amp;IFERROR(INDEX(Clay_Offices!$A$2:$FZ$601,459,Sync!$C$10)&amp;"","")&amp;"; "&amp;IFERROR(INDEX(Clay_Offices!$A$2:$FZ$601,459,Sync!$C$9)&amp;"",""))</f>
        <v/>
      </c>
      <c r="K2110" s="32" t="s">
        <v>1363</v>
      </c>
    </row>
    <row r="2111" customFormat="false" ht="15" hidden="false" customHeight="false" outlineLevel="0" collapsed="false">
      <c r="A2111" s="23" t="str">
        <f aca="false">IF(B2111="","",B2111+(12*1000+460)/10000000)</f>
        <v/>
      </c>
      <c r="B2111" s="35" t="str">
        <f aca="false">IF(AND(IFERROR(N(INDEX(Clay_Offices!$A$2:$FZ$601,460,Sync!$C$11)),0)&gt;0,IFERROR(INDEX(Clay_Offices!$A$2:$FZ$601,460,Sync!$C$5)&amp;"","")&lt;&gt;"",OR(LEFT(IFERROR(INDEX(Clay_Offices!$A$2:$FZ$601,460,Sync!$C$5)&amp;"",""),6)&lt;&gt;"SAMPLE",Config!$B$19="Y")),IFERROR(N(INDEX(Clay_Offices!$A$2:$FZ$601,460,Sync!$C$11)),0),"")</f>
        <v/>
      </c>
      <c r="C2111" s="23" t="str">
        <f aca="false">IF(B2111="","","office")</f>
        <v/>
      </c>
      <c r="D2111" s="23" t="str">
        <f aca="false">IF(B2111="","",IFERROR(INDEX(Office_Log!$ED$2:$ED$201,MATCH(IFERROR(INDEX(Clay_Offices!$A$2:$FZ$601,460,Sync!$C$5)&amp;"",""),Office_Log!$A$2:$A$201,0))&amp;"",IFERROR(INDEX(Clay_Offices!$A$2:$FZ$601,460,Sync!$C$5)&amp;"","")&amp;""))</f>
        <v/>
      </c>
      <c r="E2111" s="23" t="str">
        <f aca="false">IF(B2111="","",IFERROR(INDEX(Clay_Offices!$A$2:$FZ$601,460,Sync!$C$6)&amp;"",""))</f>
        <v/>
      </c>
      <c r="F2111" s="23" t="str">
        <f aca="false">IF(B2111="","","outreach_sent")</f>
        <v/>
      </c>
      <c r="G2111" s="23" t="str">
        <f aca="false">IF(B2111="","","")</f>
        <v/>
      </c>
      <c r="H2111" s="23" t="str">
        <f aca="false">IF(B2111="","","")</f>
        <v/>
      </c>
      <c r="I2111" s="23" t="str">
        <f aca="false">IF(B2111="","","")</f>
        <v/>
      </c>
      <c r="J2111" s="23" t="str">
        <f aca="false">IF(B2111="","","touch_1; "&amp;IFERROR(INDEX(Clay_Offices!$A$2:$FZ$601,460,Sync!$C$10)&amp;"","")&amp;"; "&amp;IFERROR(INDEX(Clay_Offices!$A$2:$FZ$601,460,Sync!$C$9)&amp;"",""))</f>
        <v/>
      </c>
      <c r="K2111" s="32" t="s">
        <v>1363</v>
      </c>
    </row>
    <row r="2112" customFormat="false" ht="15" hidden="false" customHeight="false" outlineLevel="0" collapsed="false">
      <c r="A2112" s="23" t="str">
        <f aca="false">IF(B2112="","",B2112+(12*1000+461)/10000000)</f>
        <v/>
      </c>
      <c r="B2112" s="35" t="str">
        <f aca="false">IF(AND(IFERROR(N(INDEX(Clay_Offices!$A$2:$FZ$601,461,Sync!$C$11)),0)&gt;0,IFERROR(INDEX(Clay_Offices!$A$2:$FZ$601,461,Sync!$C$5)&amp;"","")&lt;&gt;"",OR(LEFT(IFERROR(INDEX(Clay_Offices!$A$2:$FZ$601,461,Sync!$C$5)&amp;"",""),6)&lt;&gt;"SAMPLE",Config!$B$19="Y")),IFERROR(N(INDEX(Clay_Offices!$A$2:$FZ$601,461,Sync!$C$11)),0),"")</f>
        <v/>
      </c>
      <c r="C2112" s="23" t="str">
        <f aca="false">IF(B2112="","","office")</f>
        <v/>
      </c>
      <c r="D2112" s="23" t="str">
        <f aca="false">IF(B2112="","",IFERROR(INDEX(Office_Log!$ED$2:$ED$201,MATCH(IFERROR(INDEX(Clay_Offices!$A$2:$FZ$601,461,Sync!$C$5)&amp;"",""),Office_Log!$A$2:$A$201,0))&amp;"",IFERROR(INDEX(Clay_Offices!$A$2:$FZ$601,461,Sync!$C$5)&amp;"","")&amp;""))</f>
        <v/>
      </c>
      <c r="E2112" s="23" t="str">
        <f aca="false">IF(B2112="","",IFERROR(INDEX(Clay_Offices!$A$2:$FZ$601,461,Sync!$C$6)&amp;"",""))</f>
        <v/>
      </c>
      <c r="F2112" s="23" t="str">
        <f aca="false">IF(B2112="","","outreach_sent")</f>
        <v/>
      </c>
      <c r="G2112" s="23" t="str">
        <f aca="false">IF(B2112="","","")</f>
        <v/>
      </c>
      <c r="H2112" s="23" t="str">
        <f aca="false">IF(B2112="","","")</f>
        <v/>
      </c>
      <c r="I2112" s="23" t="str">
        <f aca="false">IF(B2112="","","")</f>
        <v/>
      </c>
      <c r="J2112" s="23" t="str">
        <f aca="false">IF(B2112="","","touch_1; "&amp;IFERROR(INDEX(Clay_Offices!$A$2:$FZ$601,461,Sync!$C$10)&amp;"","")&amp;"; "&amp;IFERROR(INDEX(Clay_Offices!$A$2:$FZ$601,461,Sync!$C$9)&amp;"",""))</f>
        <v/>
      </c>
      <c r="K2112" s="32" t="s">
        <v>1363</v>
      </c>
    </row>
    <row r="2113" customFormat="false" ht="15" hidden="false" customHeight="false" outlineLevel="0" collapsed="false">
      <c r="A2113" s="23" t="str">
        <f aca="false">IF(B2113="","",B2113+(12*1000+462)/10000000)</f>
        <v/>
      </c>
      <c r="B2113" s="35" t="str">
        <f aca="false">IF(AND(IFERROR(N(INDEX(Clay_Offices!$A$2:$FZ$601,462,Sync!$C$11)),0)&gt;0,IFERROR(INDEX(Clay_Offices!$A$2:$FZ$601,462,Sync!$C$5)&amp;"","")&lt;&gt;"",OR(LEFT(IFERROR(INDEX(Clay_Offices!$A$2:$FZ$601,462,Sync!$C$5)&amp;"",""),6)&lt;&gt;"SAMPLE",Config!$B$19="Y")),IFERROR(N(INDEX(Clay_Offices!$A$2:$FZ$601,462,Sync!$C$11)),0),"")</f>
        <v/>
      </c>
      <c r="C2113" s="23" t="str">
        <f aca="false">IF(B2113="","","office")</f>
        <v/>
      </c>
      <c r="D2113" s="23" t="str">
        <f aca="false">IF(B2113="","",IFERROR(INDEX(Office_Log!$ED$2:$ED$201,MATCH(IFERROR(INDEX(Clay_Offices!$A$2:$FZ$601,462,Sync!$C$5)&amp;"",""),Office_Log!$A$2:$A$201,0))&amp;"",IFERROR(INDEX(Clay_Offices!$A$2:$FZ$601,462,Sync!$C$5)&amp;"","")&amp;""))</f>
        <v/>
      </c>
      <c r="E2113" s="23" t="str">
        <f aca="false">IF(B2113="","",IFERROR(INDEX(Clay_Offices!$A$2:$FZ$601,462,Sync!$C$6)&amp;"",""))</f>
        <v/>
      </c>
      <c r="F2113" s="23" t="str">
        <f aca="false">IF(B2113="","","outreach_sent")</f>
        <v/>
      </c>
      <c r="G2113" s="23" t="str">
        <f aca="false">IF(B2113="","","")</f>
        <v/>
      </c>
      <c r="H2113" s="23" t="str">
        <f aca="false">IF(B2113="","","")</f>
        <v/>
      </c>
      <c r="I2113" s="23" t="str">
        <f aca="false">IF(B2113="","","")</f>
        <v/>
      </c>
      <c r="J2113" s="23" t="str">
        <f aca="false">IF(B2113="","","touch_1; "&amp;IFERROR(INDEX(Clay_Offices!$A$2:$FZ$601,462,Sync!$C$10)&amp;"","")&amp;"; "&amp;IFERROR(INDEX(Clay_Offices!$A$2:$FZ$601,462,Sync!$C$9)&amp;"",""))</f>
        <v/>
      </c>
      <c r="K2113" s="32" t="s">
        <v>1363</v>
      </c>
    </row>
    <row r="2114" customFormat="false" ht="15" hidden="false" customHeight="false" outlineLevel="0" collapsed="false">
      <c r="A2114" s="23" t="str">
        <f aca="false">IF(B2114="","",B2114+(12*1000+463)/10000000)</f>
        <v/>
      </c>
      <c r="B2114" s="35" t="str">
        <f aca="false">IF(AND(IFERROR(N(INDEX(Clay_Offices!$A$2:$FZ$601,463,Sync!$C$11)),0)&gt;0,IFERROR(INDEX(Clay_Offices!$A$2:$FZ$601,463,Sync!$C$5)&amp;"","")&lt;&gt;"",OR(LEFT(IFERROR(INDEX(Clay_Offices!$A$2:$FZ$601,463,Sync!$C$5)&amp;"",""),6)&lt;&gt;"SAMPLE",Config!$B$19="Y")),IFERROR(N(INDEX(Clay_Offices!$A$2:$FZ$601,463,Sync!$C$11)),0),"")</f>
        <v/>
      </c>
      <c r="C2114" s="23" t="str">
        <f aca="false">IF(B2114="","","office")</f>
        <v/>
      </c>
      <c r="D2114" s="23" t="str">
        <f aca="false">IF(B2114="","",IFERROR(INDEX(Office_Log!$ED$2:$ED$201,MATCH(IFERROR(INDEX(Clay_Offices!$A$2:$FZ$601,463,Sync!$C$5)&amp;"",""),Office_Log!$A$2:$A$201,0))&amp;"",IFERROR(INDEX(Clay_Offices!$A$2:$FZ$601,463,Sync!$C$5)&amp;"","")&amp;""))</f>
        <v/>
      </c>
      <c r="E2114" s="23" t="str">
        <f aca="false">IF(B2114="","",IFERROR(INDEX(Clay_Offices!$A$2:$FZ$601,463,Sync!$C$6)&amp;"",""))</f>
        <v/>
      </c>
      <c r="F2114" s="23" t="str">
        <f aca="false">IF(B2114="","","outreach_sent")</f>
        <v/>
      </c>
      <c r="G2114" s="23" t="str">
        <f aca="false">IF(B2114="","","")</f>
        <v/>
      </c>
      <c r="H2114" s="23" t="str">
        <f aca="false">IF(B2114="","","")</f>
        <v/>
      </c>
      <c r="I2114" s="23" t="str">
        <f aca="false">IF(B2114="","","")</f>
        <v/>
      </c>
      <c r="J2114" s="23" t="str">
        <f aca="false">IF(B2114="","","touch_1; "&amp;IFERROR(INDEX(Clay_Offices!$A$2:$FZ$601,463,Sync!$C$10)&amp;"","")&amp;"; "&amp;IFERROR(INDEX(Clay_Offices!$A$2:$FZ$601,463,Sync!$C$9)&amp;"",""))</f>
        <v/>
      </c>
      <c r="K2114" s="32" t="s">
        <v>1363</v>
      </c>
    </row>
    <row r="2115" customFormat="false" ht="15" hidden="false" customHeight="false" outlineLevel="0" collapsed="false">
      <c r="A2115" s="23" t="str">
        <f aca="false">IF(B2115="","",B2115+(12*1000+464)/10000000)</f>
        <v/>
      </c>
      <c r="B2115" s="35" t="str">
        <f aca="false">IF(AND(IFERROR(N(INDEX(Clay_Offices!$A$2:$FZ$601,464,Sync!$C$11)),0)&gt;0,IFERROR(INDEX(Clay_Offices!$A$2:$FZ$601,464,Sync!$C$5)&amp;"","")&lt;&gt;"",OR(LEFT(IFERROR(INDEX(Clay_Offices!$A$2:$FZ$601,464,Sync!$C$5)&amp;"",""),6)&lt;&gt;"SAMPLE",Config!$B$19="Y")),IFERROR(N(INDEX(Clay_Offices!$A$2:$FZ$601,464,Sync!$C$11)),0),"")</f>
        <v/>
      </c>
      <c r="C2115" s="23" t="str">
        <f aca="false">IF(B2115="","","office")</f>
        <v/>
      </c>
      <c r="D2115" s="23" t="str">
        <f aca="false">IF(B2115="","",IFERROR(INDEX(Office_Log!$ED$2:$ED$201,MATCH(IFERROR(INDEX(Clay_Offices!$A$2:$FZ$601,464,Sync!$C$5)&amp;"",""),Office_Log!$A$2:$A$201,0))&amp;"",IFERROR(INDEX(Clay_Offices!$A$2:$FZ$601,464,Sync!$C$5)&amp;"","")&amp;""))</f>
        <v/>
      </c>
      <c r="E2115" s="23" t="str">
        <f aca="false">IF(B2115="","",IFERROR(INDEX(Clay_Offices!$A$2:$FZ$601,464,Sync!$C$6)&amp;"",""))</f>
        <v/>
      </c>
      <c r="F2115" s="23" t="str">
        <f aca="false">IF(B2115="","","outreach_sent")</f>
        <v/>
      </c>
      <c r="G2115" s="23" t="str">
        <f aca="false">IF(B2115="","","")</f>
        <v/>
      </c>
      <c r="H2115" s="23" t="str">
        <f aca="false">IF(B2115="","","")</f>
        <v/>
      </c>
      <c r="I2115" s="23" t="str">
        <f aca="false">IF(B2115="","","")</f>
        <v/>
      </c>
      <c r="J2115" s="23" t="str">
        <f aca="false">IF(B2115="","","touch_1; "&amp;IFERROR(INDEX(Clay_Offices!$A$2:$FZ$601,464,Sync!$C$10)&amp;"","")&amp;"; "&amp;IFERROR(INDEX(Clay_Offices!$A$2:$FZ$601,464,Sync!$C$9)&amp;"",""))</f>
        <v/>
      </c>
      <c r="K2115" s="32" t="s">
        <v>1363</v>
      </c>
    </row>
    <row r="2116" customFormat="false" ht="15" hidden="false" customHeight="false" outlineLevel="0" collapsed="false">
      <c r="A2116" s="23" t="str">
        <f aca="false">IF(B2116="","",B2116+(12*1000+465)/10000000)</f>
        <v/>
      </c>
      <c r="B2116" s="35" t="str">
        <f aca="false">IF(AND(IFERROR(N(INDEX(Clay_Offices!$A$2:$FZ$601,465,Sync!$C$11)),0)&gt;0,IFERROR(INDEX(Clay_Offices!$A$2:$FZ$601,465,Sync!$C$5)&amp;"","")&lt;&gt;"",OR(LEFT(IFERROR(INDEX(Clay_Offices!$A$2:$FZ$601,465,Sync!$C$5)&amp;"",""),6)&lt;&gt;"SAMPLE",Config!$B$19="Y")),IFERROR(N(INDEX(Clay_Offices!$A$2:$FZ$601,465,Sync!$C$11)),0),"")</f>
        <v/>
      </c>
      <c r="C2116" s="23" t="str">
        <f aca="false">IF(B2116="","","office")</f>
        <v/>
      </c>
      <c r="D2116" s="23" t="str">
        <f aca="false">IF(B2116="","",IFERROR(INDEX(Office_Log!$ED$2:$ED$201,MATCH(IFERROR(INDEX(Clay_Offices!$A$2:$FZ$601,465,Sync!$C$5)&amp;"",""),Office_Log!$A$2:$A$201,0))&amp;"",IFERROR(INDEX(Clay_Offices!$A$2:$FZ$601,465,Sync!$C$5)&amp;"","")&amp;""))</f>
        <v/>
      </c>
      <c r="E2116" s="23" t="str">
        <f aca="false">IF(B2116="","",IFERROR(INDEX(Clay_Offices!$A$2:$FZ$601,465,Sync!$C$6)&amp;"",""))</f>
        <v/>
      </c>
      <c r="F2116" s="23" t="str">
        <f aca="false">IF(B2116="","","outreach_sent")</f>
        <v/>
      </c>
      <c r="G2116" s="23" t="str">
        <f aca="false">IF(B2116="","","")</f>
        <v/>
      </c>
      <c r="H2116" s="23" t="str">
        <f aca="false">IF(B2116="","","")</f>
        <v/>
      </c>
      <c r="I2116" s="23" t="str">
        <f aca="false">IF(B2116="","","")</f>
        <v/>
      </c>
      <c r="J2116" s="23" t="str">
        <f aca="false">IF(B2116="","","touch_1; "&amp;IFERROR(INDEX(Clay_Offices!$A$2:$FZ$601,465,Sync!$C$10)&amp;"","")&amp;"; "&amp;IFERROR(INDEX(Clay_Offices!$A$2:$FZ$601,465,Sync!$C$9)&amp;"",""))</f>
        <v/>
      </c>
      <c r="K2116" s="32" t="s">
        <v>1363</v>
      </c>
    </row>
    <row r="2117" customFormat="false" ht="15" hidden="false" customHeight="false" outlineLevel="0" collapsed="false">
      <c r="A2117" s="23" t="str">
        <f aca="false">IF(B2117="","",B2117+(12*1000+466)/10000000)</f>
        <v/>
      </c>
      <c r="B2117" s="35" t="str">
        <f aca="false">IF(AND(IFERROR(N(INDEX(Clay_Offices!$A$2:$FZ$601,466,Sync!$C$11)),0)&gt;0,IFERROR(INDEX(Clay_Offices!$A$2:$FZ$601,466,Sync!$C$5)&amp;"","")&lt;&gt;"",OR(LEFT(IFERROR(INDEX(Clay_Offices!$A$2:$FZ$601,466,Sync!$C$5)&amp;"",""),6)&lt;&gt;"SAMPLE",Config!$B$19="Y")),IFERROR(N(INDEX(Clay_Offices!$A$2:$FZ$601,466,Sync!$C$11)),0),"")</f>
        <v/>
      </c>
      <c r="C2117" s="23" t="str">
        <f aca="false">IF(B2117="","","office")</f>
        <v/>
      </c>
      <c r="D2117" s="23" t="str">
        <f aca="false">IF(B2117="","",IFERROR(INDEX(Office_Log!$ED$2:$ED$201,MATCH(IFERROR(INDEX(Clay_Offices!$A$2:$FZ$601,466,Sync!$C$5)&amp;"",""),Office_Log!$A$2:$A$201,0))&amp;"",IFERROR(INDEX(Clay_Offices!$A$2:$FZ$601,466,Sync!$C$5)&amp;"","")&amp;""))</f>
        <v/>
      </c>
      <c r="E2117" s="23" t="str">
        <f aca="false">IF(B2117="","",IFERROR(INDEX(Clay_Offices!$A$2:$FZ$601,466,Sync!$C$6)&amp;"",""))</f>
        <v/>
      </c>
      <c r="F2117" s="23" t="str">
        <f aca="false">IF(B2117="","","outreach_sent")</f>
        <v/>
      </c>
      <c r="G2117" s="23" t="str">
        <f aca="false">IF(B2117="","","")</f>
        <v/>
      </c>
      <c r="H2117" s="23" t="str">
        <f aca="false">IF(B2117="","","")</f>
        <v/>
      </c>
      <c r="I2117" s="23" t="str">
        <f aca="false">IF(B2117="","","")</f>
        <v/>
      </c>
      <c r="J2117" s="23" t="str">
        <f aca="false">IF(B2117="","","touch_1; "&amp;IFERROR(INDEX(Clay_Offices!$A$2:$FZ$601,466,Sync!$C$10)&amp;"","")&amp;"; "&amp;IFERROR(INDEX(Clay_Offices!$A$2:$FZ$601,466,Sync!$C$9)&amp;"",""))</f>
        <v/>
      </c>
      <c r="K2117" s="32" t="s">
        <v>1363</v>
      </c>
    </row>
    <row r="2118" customFormat="false" ht="15" hidden="false" customHeight="false" outlineLevel="0" collapsed="false">
      <c r="A2118" s="23" t="str">
        <f aca="false">IF(B2118="","",B2118+(12*1000+467)/10000000)</f>
        <v/>
      </c>
      <c r="B2118" s="35" t="str">
        <f aca="false">IF(AND(IFERROR(N(INDEX(Clay_Offices!$A$2:$FZ$601,467,Sync!$C$11)),0)&gt;0,IFERROR(INDEX(Clay_Offices!$A$2:$FZ$601,467,Sync!$C$5)&amp;"","")&lt;&gt;"",OR(LEFT(IFERROR(INDEX(Clay_Offices!$A$2:$FZ$601,467,Sync!$C$5)&amp;"",""),6)&lt;&gt;"SAMPLE",Config!$B$19="Y")),IFERROR(N(INDEX(Clay_Offices!$A$2:$FZ$601,467,Sync!$C$11)),0),"")</f>
        <v/>
      </c>
      <c r="C2118" s="23" t="str">
        <f aca="false">IF(B2118="","","office")</f>
        <v/>
      </c>
      <c r="D2118" s="23" t="str">
        <f aca="false">IF(B2118="","",IFERROR(INDEX(Office_Log!$ED$2:$ED$201,MATCH(IFERROR(INDEX(Clay_Offices!$A$2:$FZ$601,467,Sync!$C$5)&amp;"",""),Office_Log!$A$2:$A$201,0))&amp;"",IFERROR(INDEX(Clay_Offices!$A$2:$FZ$601,467,Sync!$C$5)&amp;"","")&amp;""))</f>
        <v/>
      </c>
      <c r="E2118" s="23" t="str">
        <f aca="false">IF(B2118="","",IFERROR(INDEX(Clay_Offices!$A$2:$FZ$601,467,Sync!$C$6)&amp;"",""))</f>
        <v/>
      </c>
      <c r="F2118" s="23" t="str">
        <f aca="false">IF(B2118="","","outreach_sent")</f>
        <v/>
      </c>
      <c r="G2118" s="23" t="str">
        <f aca="false">IF(B2118="","","")</f>
        <v/>
      </c>
      <c r="H2118" s="23" t="str">
        <f aca="false">IF(B2118="","","")</f>
        <v/>
      </c>
      <c r="I2118" s="23" t="str">
        <f aca="false">IF(B2118="","","")</f>
        <v/>
      </c>
      <c r="J2118" s="23" t="str">
        <f aca="false">IF(B2118="","","touch_1; "&amp;IFERROR(INDEX(Clay_Offices!$A$2:$FZ$601,467,Sync!$C$10)&amp;"","")&amp;"; "&amp;IFERROR(INDEX(Clay_Offices!$A$2:$FZ$601,467,Sync!$C$9)&amp;"",""))</f>
        <v/>
      </c>
      <c r="K2118" s="32" t="s">
        <v>1363</v>
      </c>
    </row>
    <row r="2119" customFormat="false" ht="15" hidden="false" customHeight="false" outlineLevel="0" collapsed="false">
      <c r="A2119" s="23" t="str">
        <f aca="false">IF(B2119="","",B2119+(12*1000+468)/10000000)</f>
        <v/>
      </c>
      <c r="B2119" s="35" t="str">
        <f aca="false">IF(AND(IFERROR(N(INDEX(Clay_Offices!$A$2:$FZ$601,468,Sync!$C$11)),0)&gt;0,IFERROR(INDEX(Clay_Offices!$A$2:$FZ$601,468,Sync!$C$5)&amp;"","")&lt;&gt;"",OR(LEFT(IFERROR(INDEX(Clay_Offices!$A$2:$FZ$601,468,Sync!$C$5)&amp;"",""),6)&lt;&gt;"SAMPLE",Config!$B$19="Y")),IFERROR(N(INDEX(Clay_Offices!$A$2:$FZ$601,468,Sync!$C$11)),0),"")</f>
        <v/>
      </c>
      <c r="C2119" s="23" t="str">
        <f aca="false">IF(B2119="","","office")</f>
        <v/>
      </c>
      <c r="D2119" s="23" t="str">
        <f aca="false">IF(B2119="","",IFERROR(INDEX(Office_Log!$ED$2:$ED$201,MATCH(IFERROR(INDEX(Clay_Offices!$A$2:$FZ$601,468,Sync!$C$5)&amp;"",""),Office_Log!$A$2:$A$201,0))&amp;"",IFERROR(INDEX(Clay_Offices!$A$2:$FZ$601,468,Sync!$C$5)&amp;"","")&amp;""))</f>
        <v/>
      </c>
      <c r="E2119" s="23" t="str">
        <f aca="false">IF(B2119="","",IFERROR(INDEX(Clay_Offices!$A$2:$FZ$601,468,Sync!$C$6)&amp;"",""))</f>
        <v/>
      </c>
      <c r="F2119" s="23" t="str">
        <f aca="false">IF(B2119="","","outreach_sent")</f>
        <v/>
      </c>
      <c r="G2119" s="23" t="str">
        <f aca="false">IF(B2119="","","")</f>
        <v/>
      </c>
      <c r="H2119" s="23" t="str">
        <f aca="false">IF(B2119="","","")</f>
        <v/>
      </c>
      <c r="I2119" s="23" t="str">
        <f aca="false">IF(B2119="","","")</f>
        <v/>
      </c>
      <c r="J2119" s="23" t="str">
        <f aca="false">IF(B2119="","","touch_1; "&amp;IFERROR(INDEX(Clay_Offices!$A$2:$FZ$601,468,Sync!$C$10)&amp;"","")&amp;"; "&amp;IFERROR(INDEX(Clay_Offices!$A$2:$FZ$601,468,Sync!$C$9)&amp;"",""))</f>
        <v/>
      </c>
      <c r="K2119" s="32" t="s">
        <v>1363</v>
      </c>
    </row>
    <row r="2120" customFormat="false" ht="15" hidden="false" customHeight="false" outlineLevel="0" collapsed="false">
      <c r="A2120" s="23" t="str">
        <f aca="false">IF(B2120="","",B2120+(12*1000+469)/10000000)</f>
        <v/>
      </c>
      <c r="B2120" s="35" t="str">
        <f aca="false">IF(AND(IFERROR(N(INDEX(Clay_Offices!$A$2:$FZ$601,469,Sync!$C$11)),0)&gt;0,IFERROR(INDEX(Clay_Offices!$A$2:$FZ$601,469,Sync!$C$5)&amp;"","")&lt;&gt;"",OR(LEFT(IFERROR(INDEX(Clay_Offices!$A$2:$FZ$601,469,Sync!$C$5)&amp;"",""),6)&lt;&gt;"SAMPLE",Config!$B$19="Y")),IFERROR(N(INDEX(Clay_Offices!$A$2:$FZ$601,469,Sync!$C$11)),0),"")</f>
        <v/>
      </c>
      <c r="C2120" s="23" t="str">
        <f aca="false">IF(B2120="","","office")</f>
        <v/>
      </c>
      <c r="D2120" s="23" t="str">
        <f aca="false">IF(B2120="","",IFERROR(INDEX(Office_Log!$ED$2:$ED$201,MATCH(IFERROR(INDEX(Clay_Offices!$A$2:$FZ$601,469,Sync!$C$5)&amp;"",""),Office_Log!$A$2:$A$201,0))&amp;"",IFERROR(INDEX(Clay_Offices!$A$2:$FZ$601,469,Sync!$C$5)&amp;"","")&amp;""))</f>
        <v/>
      </c>
      <c r="E2120" s="23" t="str">
        <f aca="false">IF(B2120="","",IFERROR(INDEX(Clay_Offices!$A$2:$FZ$601,469,Sync!$C$6)&amp;"",""))</f>
        <v/>
      </c>
      <c r="F2120" s="23" t="str">
        <f aca="false">IF(B2120="","","outreach_sent")</f>
        <v/>
      </c>
      <c r="G2120" s="23" t="str">
        <f aca="false">IF(B2120="","","")</f>
        <v/>
      </c>
      <c r="H2120" s="23" t="str">
        <f aca="false">IF(B2120="","","")</f>
        <v/>
      </c>
      <c r="I2120" s="23" t="str">
        <f aca="false">IF(B2120="","","")</f>
        <v/>
      </c>
      <c r="J2120" s="23" t="str">
        <f aca="false">IF(B2120="","","touch_1; "&amp;IFERROR(INDEX(Clay_Offices!$A$2:$FZ$601,469,Sync!$C$10)&amp;"","")&amp;"; "&amp;IFERROR(INDEX(Clay_Offices!$A$2:$FZ$601,469,Sync!$C$9)&amp;"",""))</f>
        <v/>
      </c>
      <c r="K2120" s="32" t="s">
        <v>1363</v>
      </c>
    </row>
    <row r="2121" customFormat="false" ht="15" hidden="false" customHeight="false" outlineLevel="0" collapsed="false">
      <c r="A2121" s="23" t="str">
        <f aca="false">IF(B2121="","",B2121+(12*1000+470)/10000000)</f>
        <v/>
      </c>
      <c r="B2121" s="35" t="str">
        <f aca="false">IF(AND(IFERROR(N(INDEX(Clay_Offices!$A$2:$FZ$601,470,Sync!$C$11)),0)&gt;0,IFERROR(INDEX(Clay_Offices!$A$2:$FZ$601,470,Sync!$C$5)&amp;"","")&lt;&gt;"",OR(LEFT(IFERROR(INDEX(Clay_Offices!$A$2:$FZ$601,470,Sync!$C$5)&amp;"",""),6)&lt;&gt;"SAMPLE",Config!$B$19="Y")),IFERROR(N(INDEX(Clay_Offices!$A$2:$FZ$601,470,Sync!$C$11)),0),"")</f>
        <v/>
      </c>
      <c r="C2121" s="23" t="str">
        <f aca="false">IF(B2121="","","office")</f>
        <v/>
      </c>
      <c r="D2121" s="23" t="str">
        <f aca="false">IF(B2121="","",IFERROR(INDEX(Office_Log!$ED$2:$ED$201,MATCH(IFERROR(INDEX(Clay_Offices!$A$2:$FZ$601,470,Sync!$C$5)&amp;"",""),Office_Log!$A$2:$A$201,0))&amp;"",IFERROR(INDEX(Clay_Offices!$A$2:$FZ$601,470,Sync!$C$5)&amp;"","")&amp;""))</f>
        <v/>
      </c>
      <c r="E2121" s="23" t="str">
        <f aca="false">IF(B2121="","",IFERROR(INDEX(Clay_Offices!$A$2:$FZ$601,470,Sync!$C$6)&amp;"",""))</f>
        <v/>
      </c>
      <c r="F2121" s="23" t="str">
        <f aca="false">IF(B2121="","","outreach_sent")</f>
        <v/>
      </c>
      <c r="G2121" s="23" t="str">
        <f aca="false">IF(B2121="","","")</f>
        <v/>
      </c>
      <c r="H2121" s="23" t="str">
        <f aca="false">IF(B2121="","","")</f>
        <v/>
      </c>
      <c r="I2121" s="23" t="str">
        <f aca="false">IF(B2121="","","")</f>
        <v/>
      </c>
      <c r="J2121" s="23" t="str">
        <f aca="false">IF(B2121="","","touch_1; "&amp;IFERROR(INDEX(Clay_Offices!$A$2:$FZ$601,470,Sync!$C$10)&amp;"","")&amp;"; "&amp;IFERROR(INDEX(Clay_Offices!$A$2:$FZ$601,470,Sync!$C$9)&amp;"",""))</f>
        <v/>
      </c>
      <c r="K2121" s="32" t="s">
        <v>1363</v>
      </c>
    </row>
    <row r="2122" customFormat="false" ht="15" hidden="false" customHeight="false" outlineLevel="0" collapsed="false">
      <c r="A2122" s="23" t="str">
        <f aca="false">IF(B2122="","",B2122+(12*1000+471)/10000000)</f>
        <v/>
      </c>
      <c r="B2122" s="35" t="str">
        <f aca="false">IF(AND(IFERROR(N(INDEX(Clay_Offices!$A$2:$FZ$601,471,Sync!$C$11)),0)&gt;0,IFERROR(INDEX(Clay_Offices!$A$2:$FZ$601,471,Sync!$C$5)&amp;"","")&lt;&gt;"",OR(LEFT(IFERROR(INDEX(Clay_Offices!$A$2:$FZ$601,471,Sync!$C$5)&amp;"",""),6)&lt;&gt;"SAMPLE",Config!$B$19="Y")),IFERROR(N(INDEX(Clay_Offices!$A$2:$FZ$601,471,Sync!$C$11)),0),"")</f>
        <v/>
      </c>
      <c r="C2122" s="23" t="str">
        <f aca="false">IF(B2122="","","office")</f>
        <v/>
      </c>
      <c r="D2122" s="23" t="str">
        <f aca="false">IF(B2122="","",IFERROR(INDEX(Office_Log!$ED$2:$ED$201,MATCH(IFERROR(INDEX(Clay_Offices!$A$2:$FZ$601,471,Sync!$C$5)&amp;"",""),Office_Log!$A$2:$A$201,0))&amp;"",IFERROR(INDEX(Clay_Offices!$A$2:$FZ$601,471,Sync!$C$5)&amp;"","")&amp;""))</f>
        <v/>
      </c>
      <c r="E2122" s="23" t="str">
        <f aca="false">IF(B2122="","",IFERROR(INDEX(Clay_Offices!$A$2:$FZ$601,471,Sync!$C$6)&amp;"",""))</f>
        <v/>
      </c>
      <c r="F2122" s="23" t="str">
        <f aca="false">IF(B2122="","","outreach_sent")</f>
        <v/>
      </c>
      <c r="G2122" s="23" t="str">
        <f aca="false">IF(B2122="","","")</f>
        <v/>
      </c>
      <c r="H2122" s="23" t="str">
        <f aca="false">IF(B2122="","","")</f>
        <v/>
      </c>
      <c r="I2122" s="23" t="str">
        <f aca="false">IF(B2122="","","")</f>
        <v/>
      </c>
      <c r="J2122" s="23" t="str">
        <f aca="false">IF(B2122="","","touch_1; "&amp;IFERROR(INDEX(Clay_Offices!$A$2:$FZ$601,471,Sync!$C$10)&amp;"","")&amp;"; "&amp;IFERROR(INDEX(Clay_Offices!$A$2:$FZ$601,471,Sync!$C$9)&amp;"",""))</f>
        <v/>
      </c>
      <c r="K2122" s="32" t="s">
        <v>1363</v>
      </c>
    </row>
    <row r="2123" customFormat="false" ht="15" hidden="false" customHeight="false" outlineLevel="0" collapsed="false">
      <c r="A2123" s="23" t="str">
        <f aca="false">IF(B2123="","",B2123+(12*1000+472)/10000000)</f>
        <v/>
      </c>
      <c r="B2123" s="35" t="str">
        <f aca="false">IF(AND(IFERROR(N(INDEX(Clay_Offices!$A$2:$FZ$601,472,Sync!$C$11)),0)&gt;0,IFERROR(INDEX(Clay_Offices!$A$2:$FZ$601,472,Sync!$C$5)&amp;"","")&lt;&gt;"",OR(LEFT(IFERROR(INDEX(Clay_Offices!$A$2:$FZ$601,472,Sync!$C$5)&amp;"",""),6)&lt;&gt;"SAMPLE",Config!$B$19="Y")),IFERROR(N(INDEX(Clay_Offices!$A$2:$FZ$601,472,Sync!$C$11)),0),"")</f>
        <v/>
      </c>
      <c r="C2123" s="23" t="str">
        <f aca="false">IF(B2123="","","office")</f>
        <v/>
      </c>
      <c r="D2123" s="23" t="str">
        <f aca="false">IF(B2123="","",IFERROR(INDEX(Office_Log!$ED$2:$ED$201,MATCH(IFERROR(INDEX(Clay_Offices!$A$2:$FZ$601,472,Sync!$C$5)&amp;"",""),Office_Log!$A$2:$A$201,0))&amp;"",IFERROR(INDEX(Clay_Offices!$A$2:$FZ$601,472,Sync!$C$5)&amp;"","")&amp;""))</f>
        <v/>
      </c>
      <c r="E2123" s="23" t="str">
        <f aca="false">IF(B2123="","",IFERROR(INDEX(Clay_Offices!$A$2:$FZ$601,472,Sync!$C$6)&amp;"",""))</f>
        <v/>
      </c>
      <c r="F2123" s="23" t="str">
        <f aca="false">IF(B2123="","","outreach_sent")</f>
        <v/>
      </c>
      <c r="G2123" s="23" t="str">
        <f aca="false">IF(B2123="","","")</f>
        <v/>
      </c>
      <c r="H2123" s="23" t="str">
        <f aca="false">IF(B2123="","","")</f>
        <v/>
      </c>
      <c r="I2123" s="23" t="str">
        <f aca="false">IF(B2123="","","")</f>
        <v/>
      </c>
      <c r="J2123" s="23" t="str">
        <f aca="false">IF(B2123="","","touch_1; "&amp;IFERROR(INDEX(Clay_Offices!$A$2:$FZ$601,472,Sync!$C$10)&amp;"","")&amp;"; "&amp;IFERROR(INDEX(Clay_Offices!$A$2:$FZ$601,472,Sync!$C$9)&amp;"",""))</f>
        <v/>
      </c>
      <c r="K2123" s="32" t="s">
        <v>1363</v>
      </c>
    </row>
    <row r="2124" customFormat="false" ht="15" hidden="false" customHeight="false" outlineLevel="0" collapsed="false">
      <c r="A2124" s="23" t="str">
        <f aca="false">IF(B2124="","",B2124+(12*1000+473)/10000000)</f>
        <v/>
      </c>
      <c r="B2124" s="35" t="str">
        <f aca="false">IF(AND(IFERROR(N(INDEX(Clay_Offices!$A$2:$FZ$601,473,Sync!$C$11)),0)&gt;0,IFERROR(INDEX(Clay_Offices!$A$2:$FZ$601,473,Sync!$C$5)&amp;"","")&lt;&gt;"",OR(LEFT(IFERROR(INDEX(Clay_Offices!$A$2:$FZ$601,473,Sync!$C$5)&amp;"",""),6)&lt;&gt;"SAMPLE",Config!$B$19="Y")),IFERROR(N(INDEX(Clay_Offices!$A$2:$FZ$601,473,Sync!$C$11)),0),"")</f>
        <v/>
      </c>
      <c r="C2124" s="23" t="str">
        <f aca="false">IF(B2124="","","office")</f>
        <v/>
      </c>
      <c r="D2124" s="23" t="str">
        <f aca="false">IF(B2124="","",IFERROR(INDEX(Office_Log!$ED$2:$ED$201,MATCH(IFERROR(INDEX(Clay_Offices!$A$2:$FZ$601,473,Sync!$C$5)&amp;"",""),Office_Log!$A$2:$A$201,0))&amp;"",IFERROR(INDEX(Clay_Offices!$A$2:$FZ$601,473,Sync!$C$5)&amp;"","")&amp;""))</f>
        <v/>
      </c>
      <c r="E2124" s="23" t="str">
        <f aca="false">IF(B2124="","",IFERROR(INDEX(Clay_Offices!$A$2:$FZ$601,473,Sync!$C$6)&amp;"",""))</f>
        <v/>
      </c>
      <c r="F2124" s="23" t="str">
        <f aca="false">IF(B2124="","","outreach_sent")</f>
        <v/>
      </c>
      <c r="G2124" s="23" t="str">
        <f aca="false">IF(B2124="","","")</f>
        <v/>
      </c>
      <c r="H2124" s="23" t="str">
        <f aca="false">IF(B2124="","","")</f>
        <v/>
      </c>
      <c r="I2124" s="23" t="str">
        <f aca="false">IF(B2124="","","")</f>
        <v/>
      </c>
      <c r="J2124" s="23" t="str">
        <f aca="false">IF(B2124="","","touch_1; "&amp;IFERROR(INDEX(Clay_Offices!$A$2:$FZ$601,473,Sync!$C$10)&amp;"","")&amp;"; "&amp;IFERROR(INDEX(Clay_Offices!$A$2:$FZ$601,473,Sync!$C$9)&amp;"",""))</f>
        <v/>
      </c>
      <c r="K2124" s="32" t="s">
        <v>1363</v>
      </c>
    </row>
    <row r="2125" customFormat="false" ht="15" hidden="false" customHeight="false" outlineLevel="0" collapsed="false">
      <c r="A2125" s="23" t="str">
        <f aca="false">IF(B2125="","",B2125+(12*1000+474)/10000000)</f>
        <v/>
      </c>
      <c r="B2125" s="35" t="str">
        <f aca="false">IF(AND(IFERROR(N(INDEX(Clay_Offices!$A$2:$FZ$601,474,Sync!$C$11)),0)&gt;0,IFERROR(INDEX(Clay_Offices!$A$2:$FZ$601,474,Sync!$C$5)&amp;"","")&lt;&gt;"",OR(LEFT(IFERROR(INDEX(Clay_Offices!$A$2:$FZ$601,474,Sync!$C$5)&amp;"",""),6)&lt;&gt;"SAMPLE",Config!$B$19="Y")),IFERROR(N(INDEX(Clay_Offices!$A$2:$FZ$601,474,Sync!$C$11)),0),"")</f>
        <v/>
      </c>
      <c r="C2125" s="23" t="str">
        <f aca="false">IF(B2125="","","office")</f>
        <v/>
      </c>
      <c r="D2125" s="23" t="str">
        <f aca="false">IF(B2125="","",IFERROR(INDEX(Office_Log!$ED$2:$ED$201,MATCH(IFERROR(INDEX(Clay_Offices!$A$2:$FZ$601,474,Sync!$C$5)&amp;"",""),Office_Log!$A$2:$A$201,0))&amp;"",IFERROR(INDEX(Clay_Offices!$A$2:$FZ$601,474,Sync!$C$5)&amp;"","")&amp;""))</f>
        <v/>
      </c>
      <c r="E2125" s="23" t="str">
        <f aca="false">IF(B2125="","",IFERROR(INDEX(Clay_Offices!$A$2:$FZ$601,474,Sync!$C$6)&amp;"",""))</f>
        <v/>
      </c>
      <c r="F2125" s="23" t="str">
        <f aca="false">IF(B2125="","","outreach_sent")</f>
        <v/>
      </c>
      <c r="G2125" s="23" t="str">
        <f aca="false">IF(B2125="","","")</f>
        <v/>
      </c>
      <c r="H2125" s="23" t="str">
        <f aca="false">IF(B2125="","","")</f>
        <v/>
      </c>
      <c r="I2125" s="23" t="str">
        <f aca="false">IF(B2125="","","")</f>
        <v/>
      </c>
      <c r="J2125" s="23" t="str">
        <f aca="false">IF(B2125="","","touch_1; "&amp;IFERROR(INDEX(Clay_Offices!$A$2:$FZ$601,474,Sync!$C$10)&amp;"","")&amp;"; "&amp;IFERROR(INDEX(Clay_Offices!$A$2:$FZ$601,474,Sync!$C$9)&amp;"",""))</f>
        <v/>
      </c>
      <c r="K2125" s="32" t="s">
        <v>1363</v>
      </c>
    </row>
    <row r="2126" customFormat="false" ht="15" hidden="false" customHeight="false" outlineLevel="0" collapsed="false">
      <c r="A2126" s="23" t="str">
        <f aca="false">IF(B2126="","",B2126+(12*1000+475)/10000000)</f>
        <v/>
      </c>
      <c r="B2126" s="35" t="str">
        <f aca="false">IF(AND(IFERROR(N(INDEX(Clay_Offices!$A$2:$FZ$601,475,Sync!$C$11)),0)&gt;0,IFERROR(INDEX(Clay_Offices!$A$2:$FZ$601,475,Sync!$C$5)&amp;"","")&lt;&gt;"",OR(LEFT(IFERROR(INDEX(Clay_Offices!$A$2:$FZ$601,475,Sync!$C$5)&amp;"",""),6)&lt;&gt;"SAMPLE",Config!$B$19="Y")),IFERROR(N(INDEX(Clay_Offices!$A$2:$FZ$601,475,Sync!$C$11)),0),"")</f>
        <v/>
      </c>
      <c r="C2126" s="23" t="str">
        <f aca="false">IF(B2126="","","office")</f>
        <v/>
      </c>
      <c r="D2126" s="23" t="str">
        <f aca="false">IF(B2126="","",IFERROR(INDEX(Office_Log!$ED$2:$ED$201,MATCH(IFERROR(INDEX(Clay_Offices!$A$2:$FZ$601,475,Sync!$C$5)&amp;"",""),Office_Log!$A$2:$A$201,0))&amp;"",IFERROR(INDEX(Clay_Offices!$A$2:$FZ$601,475,Sync!$C$5)&amp;"","")&amp;""))</f>
        <v/>
      </c>
      <c r="E2126" s="23" t="str">
        <f aca="false">IF(B2126="","",IFERROR(INDEX(Clay_Offices!$A$2:$FZ$601,475,Sync!$C$6)&amp;"",""))</f>
        <v/>
      </c>
      <c r="F2126" s="23" t="str">
        <f aca="false">IF(B2126="","","outreach_sent")</f>
        <v/>
      </c>
      <c r="G2126" s="23" t="str">
        <f aca="false">IF(B2126="","","")</f>
        <v/>
      </c>
      <c r="H2126" s="23" t="str">
        <f aca="false">IF(B2126="","","")</f>
        <v/>
      </c>
      <c r="I2126" s="23" t="str">
        <f aca="false">IF(B2126="","","")</f>
        <v/>
      </c>
      <c r="J2126" s="23" t="str">
        <f aca="false">IF(B2126="","","touch_1; "&amp;IFERROR(INDEX(Clay_Offices!$A$2:$FZ$601,475,Sync!$C$10)&amp;"","")&amp;"; "&amp;IFERROR(INDEX(Clay_Offices!$A$2:$FZ$601,475,Sync!$C$9)&amp;"",""))</f>
        <v/>
      </c>
      <c r="K2126" s="32" t="s">
        <v>1363</v>
      </c>
    </row>
    <row r="2127" customFormat="false" ht="15" hidden="false" customHeight="false" outlineLevel="0" collapsed="false">
      <c r="A2127" s="23" t="str">
        <f aca="false">IF(B2127="","",B2127+(12*1000+476)/10000000)</f>
        <v/>
      </c>
      <c r="B2127" s="35" t="str">
        <f aca="false">IF(AND(IFERROR(N(INDEX(Clay_Offices!$A$2:$FZ$601,476,Sync!$C$11)),0)&gt;0,IFERROR(INDEX(Clay_Offices!$A$2:$FZ$601,476,Sync!$C$5)&amp;"","")&lt;&gt;"",OR(LEFT(IFERROR(INDEX(Clay_Offices!$A$2:$FZ$601,476,Sync!$C$5)&amp;"",""),6)&lt;&gt;"SAMPLE",Config!$B$19="Y")),IFERROR(N(INDEX(Clay_Offices!$A$2:$FZ$601,476,Sync!$C$11)),0),"")</f>
        <v/>
      </c>
      <c r="C2127" s="23" t="str">
        <f aca="false">IF(B2127="","","office")</f>
        <v/>
      </c>
      <c r="D2127" s="23" t="str">
        <f aca="false">IF(B2127="","",IFERROR(INDEX(Office_Log!$ED$2:$ED$201,MATCH(IFERROR(INDEX(Clay_Offices!$A$2:$FZ$601,476,Sync!$C$5)&amp;"",""),Office_Log!$A$2:$A$201,0))&amp;"",IFERROR(INDEX(Clay_Offices!$A$2:$FZ$601,476,Sync!$C$5)&amp;"","")&amp;""))</f>
        <v/>
      </c>
      <c r="E2127" s="23" t="str">
        <f aca="false">IF(B2127="","",IFERROR(INDEX(Clay_Offices!$A$2:$FZ$601,476,Sync!$C$6)&amp;"",""))</f>
        <v/>
      </c>
      <c r="F2127" s="23" t="str">
        <f aca="false">IF(B2127="","","outreach_sent")</f>
        <v/>
      </c>
      <c r="G2127" s="23" t="str">
        <f aca="false">IF(B2127="","","")</f>
        <v/>
      </c>
      <c r="H2127" s="23" t="str">
        <f aca="false">IF(B2127="","","")</f>
        <v/>
      </c>
      <c r="I2127" s="23" t="str">
        <f aca="false">IF(B2127="","","")</f>
        <v/>
      </c>
      <c r="J2127" s="23" t="str">
        <f aca="false">IF(B2127="","","touch_1; "&amp;IFERROR(INDEX(Clay_Offices!$A$2:$FZ$601,476,Sync!$C$10)&amp;"","")&amp;"; "&amp;IFERROR(INDEX(Clay_Offices!$A$2:$FZ$601,476,Sync!$C$9)&amp;"",""))</f>
        <v/>
      </c>
      <c r="K2127" s="32" t="s">
        <v>1363</v>
      </c>
    </row>
    <row r="2128" customFormat="false" ht="15" hidden="false" customHeight="false" outlineLevel="0" collapsed="false">
      <c r="A2128" s="23" t="str">
        <f aca="false">IF(B2128="","",B2128+(12*1000+477)/10000000)</f>
        <v/>
      </c>
      <c r="B2128" s="35" t="str">
        <f aca="false">IF(AND(IFERROR(N(INDEX(Clay_Offices!$A$2:$FZ$601,477,Sync!$C$11)),0)&gt;0,IFERROR(INDEX(Clay_Offices!$A$2:$FZ$601,477,Sync!$C$5)&amp;"","")&lt;&gt;"",OR(LEFT(IFERROR(INDEX(Clay_Offices!$A$2:$FZ$601,477,Sync!$C$5)&amp;"",""),6)&lt;&gt;"SAMPLE",Config!$B$19="Y")),IFERROR(N(INDEX(Clay_Offices!$A$2:$FZ$601,477,Sync!$C$11)),0),"")</f>
        <v/>
      </c>
      <c r="C2128" s="23" t="str">
        <f aca="false">IF(B2128="","","office")</f>
        <v/>
      </c>
      <c r="D2128" s="23" t="str">
        <f aca="false">IF(B2128="","",IFERROR(INDEX(Office_Log!$ED$2:$ED$201,MATCH(IFERROR(INDEX(Clay_Offices!$A$2:$FZ$601,477,Sync!$C$5)&amp;"",""),Office_Log!$A$2:$A$201,0))&amp;"",IFERROR(INDEX(Clay_Offices!$A$2:$FZ$601,477,Sync!$C$5)&amp;"","")&amp;""))</f>
        <v/>
      </c>
      <c r="E2128" s="23" t="str">
        <f aca="false">IF(B2128="","",IFERROR(INDEX(Clay_Offices!$A$2:$FZ$601,477,Sync!$C$6)&amp;"",""))</f>
        <v/>
      </c>
      <c r="F2128" s="23" t="str">
        <f aca="false">IF(B2128="","","outreach_sent")</f>
        <v/>
      </c>
      <c r="G2128" s="23" t="str">
        <f aca="false">IF(B2128="","","")</f>
        <v/>
      </c>
      <c r="H2128" s="23" t="str">
        <f aca="false">IF(B2128="","","")</f>
        <v/>
      </c>
      <c r="I2128" s="23" t="str">
        <f aca="false">IF(B2128="","","")</f>
        <v/>
      </c>
      <c r="J2128" s="23" t="str">
        <f aca="false">IF(B2128="","","touch_1; "&amp;IFERROR(INDEX(Clay_Offices!$A$2:$FZ$601,477,Sync!$C$10)&amp;"","")&amp;"; "&amp;IFERROR(INDEX(Clay_Offices!$A$2:$FZ$601,477,Sync!$C$9)&amp;"",""))</f>
        <v/>
      </c>
      <c r="K2128" s="32" t="s">
        <v>1363</v>
      </c>
    </row>
    <row r="2129" customFormat="false" ht="15" hidden="false" customHeight="false" outlineLevel="0" collapsed="false">
      <c r="A2129" s="23" t="str">
        <f aca="false">IF(B2129="","",B2129+(12*1000+478)/10000000)</f>
        <v/>
      </c>
      <c r="B2129" s="35" t="str">
        <f aca="false">IF(AND(IFERROR(N(INDEX(Clay_Offices!$A$2:$FZ$601,478,Sync!$C$11)),0)&gt;0,IFERROR(INDEX(Clay_Offices!$A$2:$FZ$601,478,Sync!$C$5)&amp;"","")&lt;&gt;"",OR(LEFT(IFERROR(INDEX(Clay_Offices!$A$2:$FZ$601,478,Sync!$C$5)&amp;"",""),6)&lt;&gt;"SAMPLE",Config!$B$19="Y")),IFERROR(N(INDEX(Clay_Offices!$A$2:$FZ$601,478,Sync!$C$11)),0),"")</f>
        <v/>
      </c>
      <c r="C2129" s="23" t="str">
        <f aca="false">IF(B2129="","","office")</f>
        <v/>
      </c>
      <c r="D2129" s="23" t="str">
        <f aca="false">IF(B2129="","",IFERROR(INDEX(Office_Log!$ED$2:$ED$201,MATCH(IFERROR(INDEX(Clay_Offices!$A$2:$FZ$601,478,Sync!$C$5)&amp;"",""),Office_Log!$A$2:$A$201,0))&amp;"",IFERROR(INDEX(Clay_Offices!$A$2:$FZ$601,478,Sync!$C$5)&amp;"","")&amp;""))</f>
        <v/>
      </c>
      <c r="E2129" s="23" t="str">
        <f aca="false">IF(B2129="","",IFERROR(INDEX(Clay_Offices!$A$2:$FZ$601,478,Sync!$C$6)&amp;"",""))</f>
        <v/>
      </c>
      <c r="F2129" s="23" t="str">
        <f aca="false">IF(B2129="","","outreach_sent")</f>
        <v/>
      </c>
      <c r="G2129" s="23" t="str">
        <f aca="false">IF(B2129="","","")</f>
        <v/>
      </c>
      <c r="H2129" s="23" t="str">
        <f aca="false">IF(B2129="","","")</f>
        <v/>
      </c>
      <c r="I2129" s="23" t="str">
        <f aca="false">IF(B2129="","","")</f>
        <v/>
      </c>
      <c r="J2129" s="23" t="str">
        <f aca="false">IF(B2129="","","touch_1; "&amp;IFERROR(INDEX(Clay_Offices!$A$2:$FZ$601,478,Sync!$C$10)&amp;"","")&amp;"; "&amp;IFERROR(INDEX(Clay_Offices!$A$2:$FZ$601,478,Sync!$C$9)&amp;"",""))</f>
        <v/>
      </c>
      <c r="K2129" s="32" t="s">
        <v>1363</v>
      </c>
    </row>
    <row r="2130" customFormat="false" ht="15" hidden="false" customHeight="false" outlineLevel="0" collapsed="false">
      <c r="A2130" s="23" t="str">
        <f aca="false">IF(B2130="","",B2130+(12*1000+479)/10000000)</f>
        <v/>
      </c>
      <c r="B2130" s="35" t="str">
        <f aca="false">IF(AND(IFERROR(N(INDEX(Clay_Offices!$A$2:$FZ$601,479,Sync!$C$11)),0)&gt;0,IFERROR(INDEX(Clay_Offices!$A$2:$FZ$601,479,Sync!$C$5)&amp;"","")&lt;&gt;"",OR(LEFT(IFERROR(INDEX(Clay_Offices!$A$2:$FZ$601,479,Sync!$C$5)&amp;"",""),6)&lt;&gt;"SAMPLE",Config!$B$19="Y")),IFERROR(N(INDEX(Clay_Offices!$A$2:$FZ$601,479,Sync!$C$11)),0),"")</f>
        <v/>
      </c>
      <c r="C2130" s="23" t="str">
        <f aca="false">IF(B2130="","","office")</f>
        <v/>
      </c>
      <c r="D2130" s="23" t="str">
        <f aca="false">IF(B2130="","",IFERROR(INDEX(Office_Log!$ED$2:$ED$201,MATCH(IFERROR(INDEX(Clay_Offices!$A$2:$FZ$601,479,Sync!$C$5)&amp;"",""),Office_Log!$A$2:$A$201,0))&amp;"",IFERROR(INDEX(Clay_Offices!$A$2:$FZ$601,479,Sync!$C$5)&amp;"","")&amp;""))</f>
        <v/>
      </c>
      <c r="E2130" s="23" t="str">
        <f aca="false">IF(B2130="","",IFERROR(INDEX(Clay_Offices!$A$2:$FZ$601,479,Sync!$C$6)&amp;"",""))</f>
        <v/>
      </c>
      <c r="F2130" s="23" t="str">
        <f aca="false">IF(B2130="","","outreach_sent")</f>
        <v/>
      </c>
      <c r="G2130" s="23" t="str">
        <f aca="false">IF(B2130="","","")</f>
        <v/>
      </c>
      <c r="H2130" s="23" t="str">
        <f aca="false">IF(B2130="","","")</f>
        <v/>
      </c>
      <c r="I2130" s="23" t="str">
        <f aca="false">IF(B2130="","","")</f>
        <v/>
      </c>
      <c r="J2130" s="23" t="str">
        <f aca="false">IF(B2130="","","touch_1; "&amp;IFERROR(INDEX(Clay_Offices!$A$2:$FZ$601,479,Sync!$C$10)&amp;"","")&amp;"; "&amp;IFERROR(INDEX(Clay_Offices!$A$2:$FZ$601,479,Sync!$C$9)&amp;"",""))</f>
        <v/>
      </c>
      <c r="K2130" s="32" t="s">
        <v>1363</v>
      </c>
    </row>
    <row r="2131" customFormat="false" ht="15" hidden="false" customHeight="false" outlineLevel="0" collapsed="false">
      <c r="A2131" s="23" t="str">
        <f aca="false">IF(B2131="","",B2131+(12*1000+480)/10000000)</f>
        <v/>
      </c>
      <c r="B2131" s="35" t="str">
        <f aca="false">IF(AND(IFERROR(N(INDEX(Clay_Offices!$A$2:$FZ$601,480,Sync!$C$11)),0)&gt;0,IFERROR(INDEX(Clay_Offices!$A$2:$FZ$601,480,Sync!$C$5)&amp;"","")&lt;&gt;"",OR(LEFT(IFERROR(INDEX(Clay_Offices!$A$2:$FZ$601,480,Sync!$C$5)&amp;"",""),6)&lt;&gt;"SAMPLE",Config!$B$19="Y")),IFERROR(N(INDEX(Clay_Offices!$A$2:$FZ$601,480,Sync!$C$11)),0),"")</f>
        <v/>
      </c>
      <c r="C2131" s="23" t="str">
        <f aca="false">IF(B2131="","","office")</f>
        <v/>
      </c>
      <c r="D2131" s="23" t="str">
        <f aca="false">IF(B2131="","",IFERROR(INDEX(Office_Log!$ED$2:$ED$201,MATCH(IFERROR(INDEX(Clay_Offices!$A$2:$FZ$601,480,Sync!$C$5)&amp;"",""),Office_Log!$A$2:$A$201,0))&amp;"",IFERROR(INDEX(Clay_Offices!$A$2:$FZ$601,480,Sync!$C$5)&amp;"","")&amp;""))</f>
        <v/>
      </c>
      <c r="E2131" s="23" t="str">
        <f aca="false">IF(B2131="","",IFERROR(INDEX(Clay_Offices!$A$2:$FZ$601,480,Sync!$C$6)&amp;"",""))</f>
        <v/>
      </c>
      <c r="F2131" s="23" t="str">
        <f aca="false">IF(B2131="","","outreach_sent")</f>
        <v/>
      </c>
      <c r="G2131" s="23" t="str">
        <f aca="false">IF(B2131="","","")</f>
        <v/>
      </c>
      <c r="H2131" s="23" t="str">
        <f aca="false">IF(B2131="","","")</f>
        <v/>
      </c>
      <c r="I2131" s="23" t="str">
        <f aca="false">IF(B2131="","","")</f>
        <v/>
      </c>
      <c r="J2131" s="23" t="str">
        <f aca="false">IF(B2131="","","touch_1; "&amp;IFERROR(INDEX(Clay_Offices!$A$2:$FZ$601,480,Sync!$C$10)&amp;"","")&amp;"; "&amp;IFERROR(INDEX(Clay_Offices!$A$2:$FZ$601,480,Sync!$C$9)&amp;"",""))</f>
        <v/>
      </c>
      <c r="K2131" s="32" t="s">
        <v>1363</v>
      </c>
    </row>
    <row r="2132" customFormat="false" ht="15" hidden="false" customHeight="false" outlineLevel="0" collapsed="false">
      <c r="A2132" s="23" t="str">
        <f aca="false">IF(B2132="","",B2132+(12*1000+481)/10000000)</f>
        <v/>
      </c>
      <c r="B2132" s="35" t="str">
        <f aca="false">IF(AND(IFERROR(N(INDEX(Clay_Offices!$A$2:$FZ$601,481,Sync!$C$11)),0)&gt;0,IFERROR(INDEX(Clay_Offices!$A$2:$FZ$601,481,Sync!$C$5)&amp;"","")&lt;&gt;"",OR(LEFT(IFERROR(INDEX(Clay_Offices!$A$2:$FZ$601,481,Sync!$C$5)&amp;"",""),6)&lt;&gt;"SAMPLE",Config!$B$19="Y")),IFERROR(N(INDEX(Clay_Offices!$A$2:$FZ$601,481,Sync!$C$11)),0),"")</f>
        <v/>
      </c>
      <c r="C2132" s="23" t="str">
        <f aca="false">IF(B2132="","","office")</f>
        <v/>
      </c>
      <c r="D2132" s="23" t="str">
        <f aca="false">IF(B2132="","",IFERROR(INDEX(Office_Log!$ED$2:$ED$201,MATCH(IFERROR(INDEX(Clay_Offices!$A$2:$FZ$601,481,Sync!$C$5)&amp;"",""),Office_Log!$A$2:$A$201,0))&amp;"",IFERROR(INDEX(Clay_Offices!$A$2:$FZ$601,481,Sync!$C$5)&amp;"","")&amp;""))</f>
        <v/>
      </c>
      <c r="E2132" s="23" t="str">
        <f aca="false">IF(B2132="","",IFERROR(INDEX(Clay_Offices!$A$2:$FZ$601,481,Sync!$C$6)&amp;"",""))</f>
        <v/>
      </c>
      <c r="F2132" s="23" t="str">
        <f aca="false">IF(B2132="","","outreach_sent")</f>
        <v/>
      </c>
      <c r="G2132" s="23" t="str">
        <f aca="false">IF(B2132="","","")</f>
        <v/>
      </c>
      <c r="H2132" s="23" t="str">
        <f aca="false">IF(B2132="","","")</f>
        <v/>
      </c>
      <c r="I2132" s="23" t="str">
        <f aca="false">IF(B2132="","","")</f>
        <v/>
      </c>
      <c r="J2132" s="23" t="str">
        <f aca="false">IF(B2132="","","touch_1; "&amp;IFERROR(INDEX(Clay_Offices!$A$2:$FZ$601,481,Sync!$C$10)&amp;"","")&amp;"; "&amp;IFERROR(INDEX(Clay_Offices!$A$2:$FZ$601,481,Sync!$C$9)&amp;"",""))</f>
        <v/>
      </c>
      <c r="K2132" s="32" t="s">
        <v>1363</v>
      </c>
    </row>
    <row r="2133" customFormat="false" ht="15" hidden="false" customHeight="false" outlineLevel="0" collapsed="false">
      <c r="A2133" s="23" t="str">
        <f aca="false">IF(B2133="","",B2133+(12*1000+482)/10000000)</f>
        <v/>
      </c>
      <c r="B2133" s="35" t="str">
        <f aca="false">IF(AND(IFERROR(N(INDEX(Clay_Offices!$A$2:$FZ$601,482,Sync!$C$11)),0)&gt;0,IFERROR(INDEX(Clay_Offices!$A$2:$FZ$601,482,Sync!$C$5)&amp;"","")&lt;&gt;"",OR(LEFT(IFERROR(INDEX(Clay_Offices!$A$2:$FZ$601,482,Sync!$C$5)&amp;"",""),6)&lt;&gt;"SAMPLE",Config!$B$19="Y")),IFERROR(N(INDEX(Clay_Offices!$A$2:$FZ$601,482,Sync!$C$11)),0),"")</f>
        <v/>
      </c>
      <c r="C2133" s="23" t="str">
        <f aca="false">IF(B2133="","","office")</f>
        <v/>
      </c>
      <c r="D2133" s="23" t="str">
        <f aca="false">IF(B2133="","",IFERROR(INDEX(Office_Log!$ED$2:$ED$201,MATCH(IFERROR(INDEX(Clay_Offices!$A$2:$FZ$601,482,Sync!$C$5)&amp;"",""),Office_Log!$A$2:$A$201,0))&amp;"",IFERROR(INDEX(Clay_Offices!$A$2:$FZ$601,482,Sync!$C$5)&amp;"","")&amp;""))</f>
        <v/>
      </c>
      <c r="E2133" s="23" t="str">
        <f aca="false">IF(B2133="","",IFERROR(INDEX(Clay_Offices!$A$2:$FZ$601,482,Sync!$C$6)&amp;"",""))</f>
        <v/>
      </c>
      <c r="F2133" s="23" t="str">
        <f aca="false">IF(B2133="","","outreach_sent")</f>
        <v/>
      </c>
      <c r="G2133" s="23" t="str">
        <f aca="false">IF(B2133="","","")</f>
        <v/>
      </c>
      <c r="H2133" s="23" t="str">
        <f aca="false">IF(B2133="","","")</f>
        <v/>
      </c>
      <c r="I2133" s="23" t="str">
        <f aca="false">IF(B2133="","","")</f>
        <v/>
      </c>
      <c r="J2133" s="23" t="str">
        <f aca="false">IF(B2133="","","touch_1; "&amp;IFERROR(INDEX(Clay_Offices!$A$2:$FZ$601,482,Sync!$C$10)&amp;"","")&amp;"; "&amp;IFERROR(INDEX(Clay_Offices!$A$2:$FZ$601,482,Sync!$C$9)&amp;"",""))</f>
        <v/>
      </c>
      <c r="K2133" s="32" t="s">
        <v>1363</v>
      </c>
    </row>
    <row r="2134" customFormat="false" ht="15" hidden="false" customHeight="false" outlineLevel="0" collapsed="false">
      <c r="A2134" s="23" t="str">
        <f aca="false">IF(B2134="","",B2134+(12*1000+483)/10000000)</f>
        <v/>
      </c>
      <c r="B2134" s="35" t="str">
        <f aca="false">IF(AND(IFERROR(N(INDEX(Clay_Offices!$A$2:$FZ$601,483,Sync!$C$11)),0)&gt;0,IFERROR(INDEX(Clay_Offices!$A$2:$FZ$601,483,Sync!$C$5)&amp;"","")&lt;&gt;"",OR(LEFT(IFERROR(INDEX(Clay_Offices!$A$2:$FZ$601,483,Sync!$C$5)&amp;"",""),6)&lt;&gt;"SAMPLE",Config!$B$19="Y")),IFERROR(N(INDEX(Clay_Offices!$A$2:$FZ$601,483,Sync!$C$11)),0),"")</f>
        <v/>
      </c>
      <c r="C2134" s="23" t="str">
        <f aca="false">IF(B2134="","","office")</f>
        <v/>
      </c>
      <c r="D2134" s="23" t="str">
        <f aca="false">IF(B2134="","",IFERROR(INDEX(Office_Log!$ED$2:$ED$201,MATCH(IFERROR(INDEX(Clay_Offices!$A$2:$FZ$601,483,Sync!$C$5)&amp;"",""),Office_Log!$A$2:$A$201,0))&amp;"",IFERROR(INDEX(Clay_Offices!$A$2:$FZ$601,483,Sync!$C$5)&amp;"","")&amp;""))</f>
        <v/>
      </c>
      <c r="E2134" s="23" t="str">
        <f aca="false">IF(B2134="","",IFERROR(INDEX(Clay_Offices!$A$2:$FZ$601,483,Sync!$C$6)&amp;"",""))</f>
        <v/>
      </c>
      <c r="F2134" s="23" t="str">
        <f aca="false">IF(B2134="","","outreach_sent")</f>
        <v/>
      </c>
      <c r="G2134" s="23" t="str">
        <f aca="false">IF(B2134="","","")</f>
        <v/>
      </c>
      <c r="H2134" s="23" t="str">
        <f aca="false">IF(B2134="","","")</f>
        <v/>
      </c>
      <c r="I2134" s="23" t="str">
        <f aca="false">IF(B2134="","","")</f>
        <v/>
      </c>
      <c r="J2134" s="23" t="str">
        <f aca="false">IF(B2134="","","touch_1; "&amp;IFERROR(INDEX(Clay_Offices!$A$2:$FZ$601,483,Sync!$C$10)&amp;"","")&amp;"; "&amp;IFERROR(INDEX(Clay_Offices!$A$2:$FZ$601,483,Sync!$C$9)&amp;"",""))</f>
        <v/>
      </c>
      <c r="K2134" s="32" t="s">
        <v>1363</v>
      </c>
    </row>
    <row r="2135" customFormat="false" ht="15" hidden="false" customHeight="false" outlineLevel="0" collapsed="false">
      <c r="A2135" s="23" t="str">
        <f aca="false">IF(B2135="","",B2135+(12*1000+484)/10000000)</f>
        <v/>
      </c>
      <c r="B2135" s="35" t="str">
        <f aca="false">IF(AND(IFERROR(N(INDEX(Clay_Offices!$A$2:$FZ$601,484,Sync!$C$11)),0)&gt;0,IFERROR(INDEX(Clay_Offices!$A$2:$FZ$601,484,Sync!$C$5)&amp;"","")&lt;&gt;"",OR(LEFT(IFERROR(INDEX(Clay_Offices!$A$2:$FZ$601,484,Sync!$C$5)&amp;"",""),6)&lt;&gt;"SAMPLE",Config!$B$19="Y")),IFERROR(N(INDEX(Clay_Offices!$A$2:$FZ$601,484,Sync!$C$11)),0),"")</f>
        <v/>
      </c>
      <c r="C2135" s="23" t="str">
        <f aca="false">IF(B2135="","","office")</f>
        <v/>
      </c>
      <c r="D2135" s="23" t="str">
        <f aca="false">IF(B2135="","",IFERROR(INDEX(Office_Log!$ED$2:$ED$201,MATCH(IFERROR(INDEX(Clay_Offices!$A$2:$FZ$601,484,Sync!$C$5)&amp;"",""),Office_Log!$A$2:$A$201,0))&amp;"",IFERROR(INDEX(Clay_Offices!$A$2:$FZ$601,484,Sync!$C$5)&amp;"","")&amp;""))</f>
        <v/>
      </c>
      <c r="E2135" s="23" t="str">
        <f aca="false">IF(B2135="","",IFERROR(INDEX(Clay_Offices!$A$2:$FZ$601,484,Sync!$C$6)&amp;"",""))</f>
        <v/>
      </c>
      <c r="F2135" s="23" t="str">
        <f aca="false">IF(B2135="","","outreach_sent")</f>
        <v/>
      </c>
      <c r="G2135" s="23" t="str">
        <f aca="false">IF(B2135="","","")</f>
        <v/>
      </c>
      <c r="H2135" s="23" t="str">
        <f aca="false">IF(B2135="","","")</f>
        <v/>
      </c>
      <c r="I2135" s="23" t="str">
        <f aca="false">IF(B2135="","","")</f>
        <v/>
      </c>
      <c r="J2135" s="23" t="str">
        <f aca="false">IF(B2135="","","touch_1; "&amp;IFERROR(INDEX(Clay_Offices!$A$2:$FZ$601,484,Sync!$C$10)&amp;"","")&amp;"; "&amp;IFERROR(INDEX(Clay_Offices!$A$2:$FZ$601,484,Sync!$C$9)&amp;"",""))</f>
        <v/>
      </c>
      <c r="K2135" s="32" t="s">
        <v>1363</v>
      </c>
    </row>
    <row r="2136" customFormat="false" ht="15" hidden="false" customHeight="false" outlineLevel="0" collapsed="false">
      <c r="A2136" s="23" t="str">
        <f aca="false">IF(B2136="","",B2136+(12*1000+485)/10000000)</f>
        <v/>
      </c>
      <c r="B2136" s="35" t="str">
        <f aca="false">IF(AND(IFERROR(N(INDEX(Clay_Offices!$A$2:$FZ$601,485,Sync!$C$11)),0)&gt;0,IFERROR(INDEX(Clay_Offices!$A$2:$FZ$601,485,Sync!$C$5)&amp;"","")&lt;&gt;"",OR(LEFT(IFERROR(INDEX(Clay_Offices!$A$2:$FZ$601,485,Sync!$C$5)&amp;"",""),6)&lt;&gt;"SAMPLE",Config!$B$19="Y")),IFERROR(N(INDEX(Clay_Offices!$A$2:$FZ$601,485,Sync!$C$11)),0),"")</f>
        <v/>
      </c>
      <c r="C2136" s="23" t="str">
        <f aca="false">IF(B2136="","","office")</f>
        <v/>
      </c>
      <c r="D2136" s="23" t="str">
        <f aca="false">IF(B2136="","",IFERROR(INDEX(Office_Log!$ED$2:$ED$201,MATCH(IFERROR(INDEX(Clay_Offices!$A$2:$FZ$601,485,Sync!$C$5)&amp;"",""),Office_Log!$A$2:$A$201,0))&amp;"",IFERROR(INDEX(Clay_Offices!$A$2:$FZ$601,485,Sync!$C$5)&amp;"","")&amp;""))</f>
        <v/>
      </c>
      <c r="E2136" s="23" t="str">
        <f aca="false">IF(B2136="","",IFERROR(INDEX(Clay_Offices!$A$2:$FZ$601,485,Sync!$C$6)&amp;"",""))</f>
        <v/>
      </c>
      <c r="F2136" s="23" t="str">
        <f aca="false">IF(B2136="","","outreach_sent")</f>
        <v/>
      </c>
      <c r="G2136" s="23" t="str">
        <f aca="false">IF(B2136="","","")</f>
        <v/>
      </c>
      <c r="H2136" s="23" t="str">
        <f aca="false">IF(B2136="","","")</f>
        <v/>
      </c>
      <c r="I2136" s="23" t="str">
        <f aca="false">IF(B2136="","","")</f>
        <v/>
      </c>
      <c r="J2136" s="23" t="str">
        <f aca="false">IF(B2136="","","touch_1; "&amp;IFERROR(INDEX(Clay_Offices!$A$2:$FZ$601,485,Sync!$C$10)&amp;"","")&amp;"; "&amp;IFERROR(INDEX(Clay_Offices!$A$2:$FZ$601,485,Sync!$C$9)&amp;"",""))</f>
        <v/>
      </c>
      <c r="K2136" s="32" t="s">
        <v>1363</v>
      </c>
    </row>
    <row r="2137" customFormat="false" ht="15" hidden="false" customHeight="false" outlineLevel="0" collapsed="false">
      <c r="A2137" s="23" t="str">
        <f aca="false">IF(B2137="","",B2137+(12*1000+486)/10000000)</f>
        <v/>
      </c>
      <c r="B2137" s="35" t="str">
        <f aca="false">IF(AND(IFERROR(N(INDEX(Clay_Offices!$A$2:$FZ$601,486,Sync!$C$11)),0)&gt;0,IFERROR(INDEX(Clay_Offices!$A$2:$FZ$601,486,Sync!$C$5)&amp;"","")&lt;&gt;"",OR(LEFT(IFERROR(INDEX(Clay_Offices!$A$2:$FZ$601,486,Sync!$C$5)&amp;"",""),6)&lt;&gt;"SAMPLE",Config!$B$19="Y")),IFERROR(N(INDEX(Clay_Offices!$A$2:$FZ$601,486,Sync!$C$11)),0),"")</f>
        <v/>
      </c>
      <c r="C2137" s="23" t="str">
        <f aca="false">IF(B2137="","","office")</f>
        <v/>
      </c>
      <c r="D2137" s="23" t="str">
        <f aca="false">IF(B2137="","",IFERROR(INDEX(Office_Log!$ED$2:$ED$201,MATCH(IFERROR(INDEX(Clay_Offices!$A$2:$FZ$601,486,Sync!$C$5)&amp;"",""),Office_Log!$A$2:$A$201,0))&amp;"",IFERROR(INDEX(Clay_Offices!$A$2:$FZ$601,486,Sync!$C$5)&amp;"","")&amp;""))</f>
        <v/>
      </c>
      <c r="E2137" s="23" t="str">
        <f aca="false">IF(B2137="","",IFERROR(INDEX(Clay_Offices!$A$2:$FZ$601,486,Sync!$C$6)&amp;"",""))</f>
        <v/>
      </c>
      <c r="F2137" s="23" t="str">
        <f aca="false">IF(B2137="","","outreach_sent")</f>
        <v/>
      </c>
      <c r="G2137" s="23" t="str">
        <f aca="false">IF(B2137="","","")</f>
        <v/>
      </c>
      <c r="H2137" s="23" t="str">
        <f aca="false">IF(B2137="","","")</f>
        <v/>
      </c>
      <c r="I2137" s="23" t="str">
        <f aca="false">IF(B2137="","","")</f>
        <v/>
      </c>
      <c r="J2137" s="23" t="str">
        <f aca="false">IF(B2137="","","touch_1; "&amp;IFERROR(INDEX(Clay_Offices!$A$2:$FZ$601,486,Sync!$C$10)&amp;"","")&amp;"; "&amp;IFERROR(INDEX(Clay_Offices!$A$2:$FZ$601,486,Sync!$C$9)&amp;"",""))</f>
        <v/>
      </c>
      <c r="K2137" s="32" t="s">
        <v>1363</v>
      </c>
    </row>
    <row r="2138" customFormat="false" ht="15" hidden="false" customHeight="false" outlineLevel="0" collapsed="false">
      <c r="A2138" s="23" t="str">
        <f aca="false">IF(B2138="","",B2138+(12*1000+487)/10000000)</f>
        <v/>
      </c>
      <c r="B2138" s="35" t="str">
        <f aca="false">IF(AND(IFERROR(N(INDEX(Clay_Offices!$A$2:$FZ$601,487,Sync!$C$11)),0)&gt;0,IFERROR(INDEX(Clay_Offices!$A$2:$FZ$601,487,Sync!$C$5)&amp;"","")&lt;&gt;"",OR(LEFT(IFERROR(INDEX(Clay_Offices!$A$2:$FZ$601,487,Sync!$C$5)&amp;"",""),6)&lt;&gt;"SAMPLE",Config!$B$19="Y")),IFERROR(N(INDEX(Clay_Offices!$A$2:$FZ$601,487,Sync!$C$11)),0),"")</f>
        <v/>
      </c>
      <c r="C2138" s="23" t="str">
        <f aca="false">IF(B2138="","","office")</f>
        <v/>
      </c>
      <c r="D2138" s="23" t="str">
        <f aca="false">IF(B2138="","",IFERROR(INDEX(Office_Log!$ED$2:$ED$201,MATCH(IFERROR(INDEX(Clay_Offices!$A$2:$FZ$601,487,Sync!$C$5)&amp;"",""),Office_Log!$A$2:$A$201,0))&amp;"",IFERROR(INDEX(Clay_Offices!$A$2:$FZ$601,487,Sync!$C$5)&amp;"","")&amp;""))</f>
        <v/>
      </c>
      <c r="E2138" s="23" t="str">
        <f aca="false">IF(B2138="","",IFERROR(INDEX(Clay_Offices!$A$2:$FZ$601,487,Sync!$C$6)&amp;"",""))</f>
        <v/>
      </c>
      <c r="F2138" s="23" t="str">
        <f aca="false">IF(B2138="","","outreach_sent")</f>
        <v/>
      </c>
      <c r="G2138" s="23" t="str">
        <f aca="false">IF(B2138="","","")</f>
        <v/>
      </c>
      <c r="H2138" s="23" t="str">
        <f aca="false">IF(B2138="","","")</f>
        <v/>
      </c>
      <c r="I2138" s="23" t="str">
        <f aca="false">IF(B2138="","","")</f>
        <v/>
      </c>
      <c r="J2138" s="23" t="str">
        <f aca="false">IF(B2138="","","touch_1; "&amp;IFERROR(INDEX(Clay_Offices!$A$2:$FZ$601,487,Sync!$C$10)&amp;"","")&amp;"; "&amp;IFERROR(INDEX(Clay_Offices!$A$2:$FZ$601,487,Sync!$C$9)&amp;"",""))</f>
        <v/>
      </c>
      <c r="K2138" s="32" t="s">
        <v>1363</v>
      </c>
    </row>
    <row r="2139" customFormat="false" ht="15" hidden="false" customHeight="false" outlineLevel="0" collapsed="false">
      <c r="A2139" s="23" t="str">
        <f aca="false">IF(B2139="","",B2139+(12*1000+488)/10000000)</f>
        <v/>
      </c>
      <c r="B2139" s="35" t="str">
        <f aca="false">IF(AND(IFERROR(N(INDEX(Clay_Offices!$A$2:$FZ$601,488,Sync!$C$11)),0)&gt;0,IFERROR(INDEX(Clay_Offices!$A$2:$FZ$601,488,Sync!$C$5)&amp;"","")&lt;&gt;"",OR(LEFT(IFERROR(INDEX(Clay_Offices!$A$2:$FZ$601,488,Sync!$C$5)&amp;"",""),6)&lt;&gt;"SAMPLE",Config!$B$19="Y")),IFERROR(N(INDEX(Clay_Offices!$A$2:$FZ$601,488,Sync!$C$11)),0),"")</f>
        <v/>
      </c>
      <c r="C2139" s="23" t="str">
        <f aca="false">IF(B2139="","","office")</f>
        <v/>
      </c>
      <c r="D2139" s="23" t="str">
        <f aca="false">IF(B2139="","",IFERROR(INDEX(Office_Log!$ED$2:$ED$201,MATCH(IFERROR(INDEX(Clay_Offices!$A$2:$FZ$601,488,Sync!$C$5)&amp;"",""),Office_Log!$A$2:$A$201,0))&amp;"",IFERROR(INDEX(Clay_Offices!$A$2:$FZ$601,488,Sync!$C$5)&amp;"","")&amp;""))</f>
        <v/>
      </c>
      <c r="E2139" s="23" t="str">
        <f aca="false">IF(B2139="","",IFERROR(INDEX(Clay_Offices!$A$2:$FZ$601,488,Sync!$C$6)&amp;"",""))</f>
        <v/>
      </c>
      <c r="F2139" s="23" t="str">
        <f aca="false">IF(B2139="","","outreach_sent")</f>
        <v/>
      </c>
      <c r="G2139" s="23" t="str">
        <f aca="false">IF(B2139="","","")</f>
        <v/>
      </c>
      <c r="H2139" s="23" t="str">
        <f aca="false">IF(B2139="","","")</f>
        <v/>
      </c>
      <c r="I2139" s="23" t="str">
        <f aca="false">IF(B2139="","","")</f>
        <v/>
      </c>
      <c r="J2139" s="23" t="str">
        <f aca="false">IF(B2139="","","touch_1; "&amp;IFERROR(INDEX(Clay_Offices!$A$2:$FZ$601,488,Sync!$C$10)&amp;"","")&amp;"; "&amp;IFERROR(INDEX(Clay_Offices!$A$2:$FZ$601,488,Sync!$C$9)&amp;"",""))</f>
        <v/>
      </c>
      <c r="K2139" s="32" t="s">
        <v>1363</v>
      </c>
    </row>
    <row r="2140" customFormat="false" ht="15" hidden="false" customHeight="false" outlineLevel="0" collapsed="false">
      <c r="A2140" s="23" t="str">
        <f aca="false">IF(B2140="","",B2140+(12*1000+489)/10000000)</f>
        <v/>
      </c>
      <c r="B2140" s="35" t="str">
        <f aca="false">IF(AND(IFERROR(N(INDEX(Clay_Offices!$A$2:$FZ$601,489,Sync!$C$11)),0)&gt;0,IFERROR(INDEX(Clay_Offices!$A$2:$FZ$601,489,Sync!$C$5)&amp;"","")&lt;&gt;"",OR(LEFT(IFERROR(INDEX(Clay_Offices!$A$2:$FZ$601,489,Sync!$C$5)&amp;"",""),6)&lt;&gt;"SAMPLE",Config!$B$19="Y")),IFERROR(N(INDEX(Clay_Offices!$A$2:$FZ$601,489,Sync!$C$11)),0),"")</f>
        <v/>
      </c>
      <c r="C2140" s="23" t="str">
        <f aca="false">IF(B2140="","","office")</f>
        <v/>
      </c>
      <c r="D2140" s="23" t="str">
        <f aca="false">IF(B2140="","",IFERROR(INDEX(Office_Log!$ED$2:$ED$201,MATCH(IFERROR(INDEX(Clay_Offices!$A$2:$FZ$601,489,Sync!$C$5)&amp;"",""),Office_Log!$A$2:$A$201,0))&amp;"",IFERROR(INDEX(Clay_Offices!$A$2:$FZ$601,489,Sync!$C$5)&amp;"","")&amp;""))</f>
        <v/>
      </c>
      <c r="E2140" s="23" t="str">
        <f aca="false">IF(B2140="","",IFERROR(INDEX(Clay_Offices!$A$2:$FZ$601,489,Sync!$C$6)&amp;"",""))</f>
        <v/>
      </c>
      <c r="F2140" s="23" t="str">
        <f aca="false">IF(B2140="","","outreach_sent")</f>
        <v/>
      </c>
      <c r="G2140" s="23" t="str">
        <f aca="false">IF(B2140="","","")</f>
        <v/>
      </c>
      <c r="H2140" s="23" t="str">
        <f aca="false">IF(B2140="","","")</f>
        <v/>
      </c>
      <c r="I2140" s="23" t="str">
        <f aca="false">IF(B2140="","","")</f>
        <v/>
      </c>
      <c r="J2140" s="23" t="str">
        <f aca="false">IF(B2140="","","touch_1; "&amp;IFERROR(INDEX(Clay_Offices!$A$2:$FZ$601,489,Sync!$C$10)&amp;"","")&amp;"; "&amp;IFERROR(INDEX(Clay_Offices!$A$2:$FZ$601,489,Sync!$C$9)&amp;"",""))</f>
        <v/>
      </c>
      <c r="K2140" s="32" t="s">
        <v>1363</v>
      </c>
    </row>
    <row r="2141" customFormat="false" ht="15" hidden="false" customHeight="false" outlineLevel="0" collapsed="false">
      <c r="A2141" s="23" t="str">
        <f aca="false">IF(B2141="","",B2141+(12*1000+490)/10000000)</f>
        <v/>
      </c>
      <c r="B2141" s="35" t="str">
        <f aca="false">IF(AND(IFERROR(N(INDEX(Clay_Offices!$A$2:$FZ$601,490,Sync!$C$11)),0)&gt;0,IFERROR(INDEX(Clay_Offices!$A$2:$FZ$601,490,Sync!$C$5)&amp;"","")&lt;&gt;"",OR(LEFT(IFERROR(INDEX(Clay_Offices!$A$2:$FZ$601,490,Sync!$C$5)&amp;"",""),6)&lt;&gt;"SAMPLE",Config!$B$19="Y")),IFERROR(N(INDEX(Clay_Offices!$A$2:$FZ$601,490,Sync!$C$11)),0),"")</f>
        <v/>
      </c>
      <c r="C2141" s="23" t="str">
        <f aca="false">IF(B2141="","","office")</f>
        <v/>
      </c>
      <c r="D2141" s="23" t="str">
        <f aca="false">IF(B2141="","",IFERROR(INDEX(Office_Log!$ED$2:$ED$201,MATCH(IFERROR(INDEX(Clay_Offices!$A$2:$FZ$601,490,Sync!$C$5)&amp;"",""),Office_Log!$A$2:$A$201,0))&amp;"",IFERROR(INDEX(Clay_Offices!$A$2:$FZ$601,490,Sync!$C$5)&amp;"","")&amp;""))</f>
        <v/>
      </c>
      <c r="E2141" s="23" t="str">
        <f aca="false">IF(B2141="","",IFERROR(INDEX(Clay_Offices!$A$2:$FZ$601,490,Sync!$C$6)&amp;"",""))</f>
        <v/>
      </c>
      <c r="F2141" s="23" t="str">
        <f aca="false">IF(B2141="","","outreach_sent")</f>
        <v/>
      </c>
      <c r="G2141" s="23" t="str">
        <f aca="false">IF(B2141="","","")</f>
        <v/>
      </c>
      <c r="H2141" s="23" t="str">
        <f aca="false">IF(B2141="","","")</f>
        <v/>
      </c>
      <c r="I2141" s="23" t="str">
        <f aca="false">IF(B2141="","","")</f>
        <v/>
      </c>
      <c r="J2141" s="23" t="str">
        <f aca="false">IF(B2141="","","touch_1; "&amp;IFERROR(INDEX(Clay_Offices!$A$2:$FZ$601,490,Sync!$C$10)&amp;"","")&amp;"; "&amp;IFERROR(INDEX(Clay_Offices!$A$2:$FZ$601,490,Sync!$C$9)&amp;"",""))</f>
        <v/>
      </c>
      <c r="K2141" s="32" t="s">
        <v>1363</v>
      </c>
    </row>
    <row r="2142" customFormat="false" ht="15" hidden="false" customHeight="false" outlineLevel="0" collapsed="false">
      <c r="A2142" s="23" t="str">
        <f aca="false">IF(B2142="","",B2142+(12*1000+491)/10000000)</f>
        <v/>
      </c>
      <c r="B2142" s="35" t="str">
        <f aca="false">IF(AND(IFERROR(N(INDEX(Clay_Offices!$A$2:$FZ$601,491,Sync!$C$11)),0)&gt;0,IFERROR(INDEX(Clay_Offices!$A$2:$FZ$601,491,Sync!$C$5)&amp;"","")&lt;&gt;"",OR(LEFT(IFERROR(INDEX(Clay_Offices!$A$2:$FZ$601,491,Sync!$C$5)&amp;"",""),6)&lt;&gt;"SAMPLE",Config!$B$19="Y")),IFERROR(N(INDEX(Clay_Offices!$A$2:$FZ$601,491,Sync!$C$11)),0),"")</f>
        <v/>
      </c>
      <c r="C2142" s="23" t="str">
        <f aca="false">IF(B2142="","","office")</f>
        <v/>
      </c>
      <c r="D2142" s="23" t="str">
        <f aca="false">IF(B2142="","",IFERROR(INDEX(Office_Log!$ED$2:$ED$201,MATCH(IFERROR(INDEX(Clay_Offices!$A$2:$FZ$601,491,Sync!$C$5)&amp;"",""),Office_Log!$A$2:$A$201,0))&amp;"",IFERROR(INDEX(Clay_Offices!$A$2:$FZ$601,491,Sync!$C$5)&amp;"","")&amp;""))</f>
        <v/>
      </c>
      <c r="E2142" s="23" t="str">
        <f aca="false">IF(B2142="","",IFERROR(INDEX(Clay_Offices!$A$2:$FZ$601,491,Sync!$C$6)&amp;"",""))</f>
        <v/>
      </c>
      <c r="F2142" s="23" t="str">
        <f aca="false">IF(B2142="","","outreach_sent")</f>
        <v/>
      </c>
      <c r="G2142" s="23" t="str">
        <f aca="false">IF(B2142="","","")</f>
        <v/>
      </c>
      <c r="H2142" s="23" t="str">
        <f aca="false">IF(B2142="","","")</f>
        <v/>
      </c>
      <c r="I2142" s="23" t="str">
        <f aca="false">IF(B2142="","","")</f>
        <v/>
      </c>
      <c r="J2142" s="23" t="str">
        <f aca="false">IF(B2142="","","touch_1; "&amp;IFERROR(INDEX(Clay_Offices!$A$2:$FZ$601,491,Sync!$C$10)&amp;"","")&amp;"; "&amp;IFERROR(INDEX(Clay_Offices!$A$2:$FZ$601,491,Sync!$C$9)&amp;"",""))</f>
        <v/>
      </c>
      <c r="K2142" s="32" t="s">
        <v>1363</v>
      </c>
    </row>
    <row r="2143" customFormat="false" ht="15" hidden="false" customHeight="false" outlineLevel="0" collapsed="false">
      <c r="A2143" s="23" t="str">
        <f aca="false">IF(B2143="","",B2143+(12*1000+492)/10000000)</f>
        <v/>
      </c>
      <c r="B2143" s="35" t="str">
        <f aca="false">IF(AND(IFERROR(N(INDEX(Clay_Offices!$A$2:$FZ$601,492,Sync!$C$11)),0)&gt;0,IFERROR(INDEX(Clay_Offices!$A$2:$FZ$601,492,Sync!$C$5)&amp;"","")&lt;&gt;"",OR(LEFT(IFERROR(INDEX(Clay_Offices!$A$2:$FZ$601,492,Sync!$C$5)&amp;"",""),6)&lt;&gt;"SAMPLE",Config!$B$19="Y")),IFERROR(N(INDEX(Clay_Offices!$A$2:$FZ$601,492,Sync!$C$11)),0),"")</f>
        <v/>
      </c>
      <c r="C2143" s="23" t="str">
        <f aca="false">IF(B2143="","","office")</f>
        <v/>
      </c>
      <c r="D2143" s="23" t="str">
        <f aca="false">IF(B2143="","",IFERROR(INDEX(Office_Log!$ED$2:$ED$201,MATCH(IFERROR(INDEX(Clay_Offices!$A$2:$FZ$601,492,Sync!$C$5)&amp;"",""),Office_Log!$A$2:$A$201,0))&amp;"",IFERROR(INDEX(Clay_Offices!$A$2:$FZ$601,492,Sync!$C$5)&amp;"","")&amp;""))</f>
        <v/>
      </c>
      <c r="E2143" s="23" t="str">
        <f aca="false">IF(B2143="","",IFERROR(INDEX(Clay_Offices!$A$2:$FZ$601,492,Sync!$C$6)&amp;"",""))</f>
        <v/>
      </c>
      <c r="F2143" s="23" t="str">
        <f aca="false">IF(B2143="","","outreach_sent")</f>
        <v/>
      </c>
      <c r="G2143" s="23" t="str">
        <f aca="false">IF(B2143="","","")</f>
        <v/>
      </c>
      <c r="H2143" s="23" t="str">
        <f aca="false">IF(B2143="","","")</f>
        <v/>
      </c>
      <c r="I2143" s="23" t="str">
        <f aca="false">IF(B2143="","","")</f>
        <v/>
      </c>
      <c r="J2143" s="23" t="str">
        <f aca="false">IF(B2143="","","touch_1; "&amp;IFERROR(INDEX(Clay_Offices!$A$2:$FZ$601,492,Sync!$C$10)&amp;"","")&amp;"; "&amp;IFERROR(INDEX(Clay_Offices!$A$2:$FZ$601,492,Sync!$C$9)&amp;"",""))</f>
        <v/>
      </c>
      <c r="K2143" s="32" t="s">
        <v>1363</v>
      </c>
    </row>
    <row r="2144" customFormat="false" ht="15" hidden="false" customHeight="false" outlineLevel="0" collapsed="false">
      <c r="A2144" s="23" t="str">
        <f aca="false">IF(B2144="","",B2144+(12*1000+493)/10000000)</f>
        <v/>
      </c>
      <c r="B2144" s="35" t="str">
        <f aca="false">IF(AND(IFERROR(N(INDEX(Clay_Offices!$A$2:$FZ$601,493,Sync!$C$11)),0)&gt;0,IFERROR(INDEX(Clay_Offices!$A$2:$FZ$601,493,Sync!$C$5)&amp;"","")&lt;&gt;"",OR(LEFT(IFERROR(INDEX(Clay_Offices!$A$2:$FZ$601,493,Sync!$C$5)&amp;"",""),6)&lt;&gt;"SAMPLE",Config!$B$19="Y")),IFERROR(N(INDEX(Clay_Offices!$A$2:$FZ$601,493,Sync!$C$11)),0),"")</f>
        <v/>
      </c>
      <c r="C2144" s="23" t="str">
        <f aca="false">IF(B2144="","","office")</f>
        <v/>
      </c>
      <c r="D2144" s="23" t="str">
        <f aca="false">IF(B2144="","",IFERROR(INDEX(Office_Log!$ED$2:$ED$201,MATCH(IFERROR(INDEX(Clay_Offices!$A$2:$FZ$601,493,Sync!$C$5)&amp;"",""),Office_Log!$A$2:$A$201,0))&amp;"",IFERROR(INDEX(Clay_Offices!$A$2:$FZ$601,493,Sync!$C$5)&amp;"","")&amp;""))</f>
        <v/>
      </c>
      <c r="E2144" s="23" t="str">
        <f aca="false">IF(B2144="","",IFERROR(INDEX(Clay_Offices!$A$2:$FZ$601,493,Sync!$C$6)&amp;"",""))</f>
        <v/>
      </c>
      <c r="F2144" s="23" t="str">
        <f aca="false">IF(B2144="","","outreach_sent")</f>
        <v/>
      </c>
      <c r="G2144" s="23" t="str">
        <f aca="false">IF(B2144="","","")</f>
        <v/>
      </c>
      <c r="H2144" s="23" t="str">
        <f aca="false">IF(B2144="","","")</f>
        <v/>
      </c>
      <c r="I2144" s="23" t="str">
        <f aca="false">IF(B2144="","","")</f>
        <v/>
      </c>
      <c r="J2144" s="23" t="str">
        <f aca="false">IF(B2144="","","touch_1; "&amp;IFERROR(INDEX(Clay_Offices!$A$2:$FZ$601,493,Sync!$C$10)&amp;"","")&amp;"; "&amp;IFERROR(INDEX(Clay_Offices!$A$2:$FZ$601,493,Sync!$C$9)&amp;"",""))</f>
        <v/>
      </c>
      <c r="K2144" s="32" t="s">
        <v>1363</v>
      </c>
    </row>
    <row r="2145" customFormat="false" ht="15" hidden="false" customHeight="false" outlineLevel="0" collapsed="false">
      <c r="A2145" s="23" t="str">
        <f aca="false">IF(B2145="","",B2145+(12*1000+494)/10000000)</f>
        <v/>
      </c>
      <c r="B2145" s="35" t="str">
        <f aca="false">IF(AND(IFERROR(N(INDEX(Clay_Offices!$A$2:$FZ$601,494,Sync!$C$11)),0)&gt;0,IFERROR(INDEX(Clay_Offices!$A$2:$FZ$601,494,Sync!$C$5)&amp;"","")&lt;&gt;"",OR(LEFT(IFERROR(INDEX(Clay_Offices!$A$2:$FZ$601,494,Sync!$C$5)&amp;"",""),6)&lt;&gt;"SAMPLE",Config!$B$19="Y")),IFERROR(N(INDEX(Clay_Offices!$A$2:$FZ$601,494,Sync!$C$11)),0),"")</f>
        <v/>
      </c>
      <c r="C2145" s="23" t="str">
        <f aca="false">IF(B2145="","","office")</f>
        <v/>
      </c>
      <c r="D2145" s="23" t="str">
        <f aca="false">IF(B2145="","",IFERROR(INDEX(Office_Log!$ED$2:$ED$201,MATCH(IFERROR(INDEX(Clay_Offices!$A$2:$FZ$601,494,Sync!$C$5)&amp;"",""),Office_Log!$A$2:$A$201,0))&amp;"",IFERROR(INDEX(Clay_Offices!$A$2:$FZ$601,494,Sync!$C$5)&amp;"","")&amp;""))</f>
        <v/>
      </c>
      <c r="E2145" s="23" t="str">
        <f aca="false">IF(B2145="","",IFERROR(INDEX(Clay_Offices!$A$2:$FZ$601,494,Sync!$C$6)&amp;"",""))</f>
        <v/>
      </c>
      <c r="F2145" s="23" t="str">
        <f aca="false">IF(B2145="","","outreach_sent")</f>
        <v/>
      </c>
      <c r="G2145" s="23" t="str">
        <f aca="false">IF(B2145="","","")</f>
        <v/>
      </c>
      <c r="H2145" s="23" t="str">
        <f aca="false">IF(B2145="","","")</f>
        <v/>
      </c>
      <c r="I2145" s="23" t="str">
        <f aca="false">IF(B2145="","","")</f>
        <v/>
      </c>
      <c r="J2145" s="23" t="str">
        <f aca="false">IF(B2145="","","touch_1; "&amp;IFERROR(INDEX(Clay_Offices!$A$2:$FZ$601,494,Sync!$C$10)&amp;"","")&amp;"; "&amp;IFERROR(INDEX(Clay_Offices!$A$2:$FZ$601,494,Sync!$C$9)&amp;"",""))</f>
        <v/>
      </c>
      <c r="K2145" s="32" t="s">
        <v>1363</v>
      </c>
    </row>
    <row r="2146" customFormat="false" ht="15" hidden="false" customHeight="false" outlineLevel="0" collapsed="false">
      <c r="A2146" s="23" t="str">
        <f aca="false">IF(B2146="","",B2146+(12*1000+495)/10000000)</f>
        <v/>
      </c>
      <c r="B2146" s="35" t="str">
        <f aca="false">IF(AND(IFERROR(N(INDEX(Clay_Offices!$A$2:$FZ$601,495,Sync!$C$11)),0)&gt;0,IFERROR(INDEX(Clay_Offices!$A$2:$FZ$601,495,Sync!$C$5)&amp;"","")&lt;&gt;"",OR(LEFT(IFERROR(INDEX(Clay_Offices!$A$2:$FZ$601,495,Sync!$C$5)&amp;"",""),6)&lt;&gt;"SAMPLE",Config!$B$19="Y")),IFERROR(N(INDEX(Clay_Offices!$A$2:$FZ$601,495,Sync!$C$11)),0),"")</f>
        <v/>
      </c>
      <c r="C2146" s="23" t="str">
        <f aca="false">IF(B2146="","","office")</f>
        <v/>
      </c>
      <c r="D2146" s="23" t="str">
        <f aca="false">IF(B2146="","",IFERROR(INDEX(Office_Log!$ED$2:$ED$201,MATCH(IFERROR(INDEX(Clay_Offices!$A$2:$FZ$601,495,Sync!$C$5)&amp;"",""),Office_Log!$A$2:$A$201,0))&amp;"",IFERROR(INDEX(Clay_Offices!$A$2:$FZ$601,495,Sync!$C$5)&amp;"","")&amp;""))</f>
        <v/>
      </c>
      <c r="E2146" s="23" t="str">
        <f aca="false">IF(B2146="","",IFERROR(INDEX(Clay_Offices!$A$2:$FZ$601,495,Sync!$C$6)&amp;"",""))</f>
        <v/>
      </c>
      <c r="F2146" s="23" t="str">
        <f aca="false">IF(B2146="","","outreach_sent")</f>
        <v/>
      </c>
      <c r="G2146" s="23" t="str">
        <f aca="false">IF(B2146="","","")</f>
        <v/>
      </c>
      <c r="H2146" s="23" t="str">
        <f aca="false">IF(B2146="","","")</f>
        <v/>
      </c>
      <c r="I2146" s="23" t="str">
        <f aca="false">IF(B2146="","","")</f>
        <v/>
      </c>
      <c r="J2146" s="23" t="str">
        <f aca="false">IF(B2146="","","touch_1; "&amp;IFERROR(INDEX(Clay_Offices!$A$2:$FZ$601,495,Sync!$C$10)&amp;"","")&amp;"; "&amp;IFERROR(INDEX(Clay_Offices!$A$2:$FZ$601,495,Sync!$C$9)&amp;"",""))</f>
        <v/>
      </c>
      <c r="K2146" s="32" t="s">
        <v>1363</v>
      </c>
    </row>
    <row r="2147" customFormat="false" ht="15" hidden="false" customHeight="false" outlineLevel="0" collapsed="false">
      <c r="A2147" s="23" t="str">
        <f aca="false">IF(B2147="","",B2147+(12*1000+496)/10000000)</f>
        <v/>
      </c>
      <c r="B2147" s="35" t="str">
        <f aca="false">IF(AND(IFERROR(N(INDEX(Clay_Offices!$A$2:$FZ$601,496,Sync!$C$11)),0)&gt;0,IFERROR(INDEX(Clay_Offices!$A$2:$FZ$601,496,Sync!$C$5)&amp;"","")&lt;&gt;"",OR(LEFT(IFERROR(INDEX(Clay_Offices!$A$2:$FZ$601,496,Sync!$C$5)&amp;"",""),6)&lt;&gt;"SAMPLE",Config!$B$19="Y")),IFERROR(N(INDEX(Clay_Offices!$A$2:$FZ$601,496,Sync!$C$11)),0),"")</f>
        <v/>
      </c>
      <c r="C2147" s="23" t="str">
        <f aca="false">IF(B2147="","","office")</f>
        <v/>
      </c>
      <c r="D2147" s="23" t="str">
        <f aca="false">IF(B2147="","",IFERROR(INDEX(Office_Log!$ED$2:$ED$201,MATCH(IFERROR(INDEX(Clay_Offices!$A$2:$FZ$601,496,Sync!$C$5)&amp;"",""),Office_Log!$A$2:$A$201,0))&amp;"",IFERROR(INDEX(Clay_Offices!$A$2:$FZ$601,496,Sync!$C$5)&amp;"","")&amp;""))</f>
        <v/>
      </c>
      <c r="E2147" s="23" t="str">
        <f aca="false">IF(B2147="","",IFERROR(INDEX(Clay_Offices!$A$2:$FZ$601,496,Sync!$C$6)&amp;"",""))</f>
        <v/>
      </c>
      <c r="F2147" s="23" t="str">
        <f aca="false">IF(B2147="","","outreach_sent")</f>
        <v/>
      </c>
      <c r="G2147" s="23" t="str">
        <f aca="false">IF(B2147="","","")</f>
        <v/>
      </c>
      <c r="H2147" s="23" t="str">
        <f aca="false">IF(B2147="","","")</f>
        <v/>
      </c>
      <c r="I2147" s="23" t="str">
        <f aca="false">IF(B2147="","","")</f>
        <v/>
      </c>
      <c r="J2147" s="23" t="str">
        <f aca="false">IF(B2147="","","touch_1; "&amp;IFERROR(INDEX(Clay_Offices!$A$2:$FZ$601,496,Sync!$C$10)&amp;"","")&amp;"; "&amp;IFERROR(INDEX(Clay_Offices!$A$2:$FZ$601,496,Sync!$C$9)&amp;"",""))</f>
        <v/>
      </c>
      <c r="K2147" s="32" t="s">
        <v>1363</v>
      </c>
    </row>
    <row r="2148" customFormat="false" ht="15" hidden="false" customHeight="false" outlineLevel="0" collapsed="false">
      <c r="A2148" s="23" t="str">
        <f aca="false">IF(B2148="","",B2148+(12*1000+497)/10000000)</f>
        <v/>
      </c>
      <c r="B2148" s="35" t="str">
        <f aca="false">IF(AND(IFERROR(N(INDEX(Clay_Offices!$A$2:$FZ$601,497,Sync!$C$11)),0)&gt;0,IFERROR(INDEX(Clay_Offices!$A$2:$FZ$601,497,Sync!$C$5)&amp;"","")&lt;&gt;"",OR(LEFT(IFERROR(INDEX(Clay_Offices!$A$2:$FZ$601,497,Sync!$C$5)&amp;"",""),6)&lt;&gt;"SAMPLE",Config!$B$19="Y")),IFERROR(N(INDEX(Clay_Offices!$A$2:$FZ$601,497,Sync!$C$11)),0),"")</f>
        <v/>
      </c>
      <c r="C2148" s="23" t="str">
        <f aca="false">IF(B2148="","","office")</f>
        <v/>
      </c>
      <c r="D2148" s="23" t="str">
        <f aca="false">IF(B2148="","",IFERROR(INDEX(Office_Log!$ED$2:$ED$201,MATCH(IFERROR(INDEX(Clay_Offices!$A$2:$FZ$601,497,Sync!$C$5)&amp;"",""),Office_Log!$A$2:$A$201,0))&amp;"",IFERROR(INDEX(Clay_Offices!$A$2:$FZ$601,497,Sync!$C$5)&amp;"","")&amp;""))</f>
        <v/>
      </c>
      <c r="E2148" s="23" t="str">
        <f aca="false">IF(B2148="","",IFERROR(INDEX(Clay_Offices!$A$2:$FZ$601,497,Sync!$C$6)&amp;"",""))</f>
        <v/>
      </c>
      <c r="F2148" s="23" t="str">
        <f aca="false">IF(B2148="","","outreach_sent")</f>
        <v/>
      </c>
      <c r="G2148" s="23" t="str">
        <f aca="false">IF(B2148="","","")</f>
        <v/>
      </c>
      <c r="H2148" s="23" t="str">
        <f aca="false">IF(B2148="","","")</f>
        <v/>
      </c>
      <c r="I2148" s="23" t="str">
        <f aca="false">IF(B2148="","","")</f>
        <v/>
      </c>
      <c r="J2148" s="23" t="str">
        <f aca="false">IF(B2148="","","touch_1; "&amp;IFERROR(INDEX(Clay_Offices!$A$2:$FZ$601,497,Sync!$C$10)&amp;"","")&amp;"; "&amp;IFERROR(INDEX(Clay_Offices!$A$2:$FZ$601,497,Sync!$C$9)&amp;"",""))</f>
        <v/>
      </c>
      <c r="K2148" s="32" t="s">
        <v>1363</v>
      </c>
    </row>
    <row r="2149" customFormat="false" ht="15" hidden="false" customHeight="false" outlineLevel="0" collapsed="false">
      <c r="A2149" s="23" t="str">
        <f aca="false">IF(B2149="","",B2149+(12*1000+498)/10000000)</f>
        <v/>
      </c>
      <c r="B2149" s="35" t="str">
        <f aca="false">IF(AND(IFERROR(N(INDEX(Clay_Offices!$A$2:$FZ$601,498,Sync!$C$11)),0)&gt;0,IFERROR(INDEX(Clay_Offices!$A$2:$FZ$601,498,Sync!$C$5)&amp;"","")&lt;&gt;"",OR(LEFT(IFERROR(INDEX(Clay_Offices!$A$2:$FZ$601,498,Sync!$C$5)&amp;"",""),6)&lt;&gt;"SAMPLE",Config!$B$19="Y")),IFERROR(N(INDEX(Clay_Offices!$A$2:$FZ$601,498,Sync!$C$11)),0),"")</f>
        <v/>
      </c>
      <c r="C2149" s="23" t="str">
        <f aca="false">IF(B2149="","","office")</f>
        <v/>
      </c>
      <c r="D2149" s="23" t="str">
        <f aca="false">IF(B2149="","",IFERROR(INDEX(Office_Log!$ED$2:$ED$201,MATCH(IFERROR(INDEX(Clay_Offices!$A$2:$FZ$601,498,Sync!$C$5)&amp;"",""),Office_Log!$A$2:$A$201,0))&amp;"",IFERROR(INDEX(Clay_Offices!$A$2:$FZ$601,498,Sync!$C$5)&amp;"","")&amp;""))</f>
        <v/>
      </c>
      <c r="E2149" s="23" t="str">
        <f aca="false">IF(B2149="","",IFERROR(INDEX(Clay_Offices!$A$2:$FZ$601,498,Sync!$C$6)&amp;"",""))</f>
        <v/>
      </c>
      <c r="F2149" s="23" t="str">
        <f aca="false">IF(B2149="","","outreach_sent")</f>
        <v/>
      </c>
      <c r="G2149" s="23" t="str">
        <f aca="false">IF(B2149="","","")</f>
        <v/>
      </c>
      <c r="H2149" s="23" t="str">
        <f aca="false">IF(B2149="","","")</f>
        <v/>
      </c>
      <c r="I2149" s="23" t="str">
        <f aca="false">IF(B2149="","","")</f>
        <v/>
      </c>
      <c r="J2149" s="23" t="str">
        <f aca="false">IF(B2149="","","touch_1; "&amp;IFERROR(INDEX(Clay_Offices!$A$2:$FZ$601,498,Sync!$C$10)&amp;"","")&amp;"; "&amp;IFERROR(INDEX(Clay_Offices!$A$2:$FZ$601,498,Sync!$C$9)&amp;"",""))</f>
        <v/>
      </c>
      <c r="K2149" s="32" t="s">
        <v>1363</v>
      </c>
    </row>
    <row r="2150" customFormat="false" ht="15" hidden="false" customHeight="false" outlineLevel="0" collapsed="false">
      <c r="A2150" s="23" t="str">
        <f aca="false">IF(B2150="","",B2150+(12*1000+499)/10000000)</f>
        <v/>
      </c>
      <c r="B2150" s="35" t="str">
        <f aca="false">IF(AND(IFERROR(N(INDEX(Clay_Offices!$A$2:$FZ$601,499,Sync!$C$11)),0)&gt;0,IFERROR(INDEX(Clay_Offices!$A$2:$FZ$601,499,Sync!$C$5)&amp;"","")&lt;&gt;"",OR(LEFT(IFERROR(INDEX(Clay_Offices!$A$2:$FZ$601,499,Sync!$C$5)&amp;"",""),6)&lt;&gt;"SAMPLE",Config!$B$19="Y")),IFERROR(N(INDEX(Clay_Offices!$A$2:$FZ$601,499,Sync!$C$11)),0),"")</f>
        <v/>
      </c>
      <c r="C2150" s="23" t="str">
        <f aca="false">IF(B2150="","","office")</f>
        <v/>
      </c>
      <c r="D2150" s="23" t="str">
        <f aca="false">IF(B2150="","",IFERROR(INDEX(Office_Log!$ED$2:$ED$201,MATCH(IFERROR(INDEX(Clay_Offices!$A$2:$FZ$601,499,Sync!$C$5)&amp;"",""),Office_Log!$A$2:$A$201,0))&amp;"",IFERROR(INDEX(Clay_Offices!$A$2:$FZ$601,499,Sync!$C$5)&amp;"","")&amp;""))</f>
        <v/>
      </c>
      <c r="E2150" s="23" t="str">
        <f aca="false">IF(B2150="","",IFERROR(INDEX(Clay_Offices!$A$2:$FZ$601,499,Sync!$C$6)&amp;"",""))</f>
        <v/>
      </c>
      <c r="F2150" s="23" t="str">
        <f aca="false">IF(B2150="","","outreach_sent")</f>
        <v/>
      </c>
      <c r="G2150" s="23" t="str">
        <f aca="false">IF(B2150="","","")</f>
        <v/>
      </c>
      <c r="H2150" s="23" t="str">
        <f aca="false">IF(B2150="","","")</f>
        <v/>
      </c>
      <c r="I2150" s="23" t="str">
        <f aca="false">IF(B2150="","","")</f>
        <v/>
      </c>
      <c r="J2150" s="23" t="str">
        <f aca="false">IF(B2150="","","touch_1; "&amp;IFERROR(INDEX(Clay_Offices!$A$2:$FZ$601,499,Sync!$C$10)&amp;"","")&amp;"; "&amp;IFERROR(INDEX(Clay_Offices!$A$2:$FZ$601,499,Sync!$C$9)&amp;"",""))</f>
        <v/>
      </c>
      <c r="K2150" s="32" t="s">
        <v>1363</v>
      </c>
    </row>
    <row r="2151" customFormat="false" ht="15" hidden="false" customHeight="false" outlineLevel="0" collapsed="false">
      <c r="A2151" s="23" t="str">
        <f aca="false">IF(B2151="","",B2151+(12*1000+500)/10000000)</f>
        <v/>
      </c>
      <c r="B2151" s="35" t="str">
        <f aca="false">IF(AND(IFERROR(N(INDEX(Clay_Offices!$A$2:$FZ$601,500,Sync!$C$11)),0)&gt;0,IFERROR(INDEX(Clay_Offices!$A$2:$FZ$601,500,Sync!$C$5)&amp;"","")&lt;&gt;"",OR(LEFT(IFERROR(INDEX(Clay_Offices!$A$2:$FZ$601,500,Sync!$C$5)&amp;"",""),6)&lt;&gt;"SAMPLE",Config!$B$19="Y")),IFERROR(N(INDEX(Clay_Offices!$A$2:$FZ$601,500,Sync!$C$11)),0),"")</f>
        <v/>
      </c>
      <c r="C2151" s="23" t="str">
        <f aca="false">IF(B2151="","","office")</f>
        <v/>
      </c>
      <c r="D2151" s="23" t="str">
        <f aca="false">IF(B2151="","",IFERROR(INDEX(Office_Log!$ED$2:$ED$201,MATCH(IFERROR(INDEX(Clay_Offices!$A$2:$FZ$601,500,Sync!$C$5)&amp;"",""),Office_Log!$A$2:$A$201,0))&amp;"",IFERROR(INDEX(Clay_Offices!$A$2:$FZ$601,500,Sync!$C$5)&amp;"","")&amp;""))</f>
        <v/>
      </c>
      <c r="E2151" s="23" t="str">
        <f aca="false">IF(B2151="","",IFERROR(INDEX(Clay_Offices!$A$2:$FZ$601,500,Sync!$C$6)&amp;"",""))</f>
        <v/>
      </c>
      <c r="F2151" s="23" t="str">
        <f aca="false">IF(B2151="","","outreach_sent")</f>
        <v/>
      </c>
      <c r="G2151" s="23" t="str">
        <f aca="false">IF(B2151="","","")</f>
        <v/>
      </c>
      <c r="H2151" s="23" t="str">
        <f aca="false">IF(B2151="","","")</f>
        <v/>
      </c>
      <c r="I2151" s="23" t="str">
        <f aca="false">IF(B2151="","","")</f>
        <v/>
      </c>
      <c r="J2151" s="23" t="str">
        <f aca="false">IF(B2151="","","touch_1; "&amp;IFERROR(INDEX(Clay_Offices!$A$2:$FZ$601,500,Sync!$C$10)&amp;"","")&amp;"; "&amp;IFERROR(INDEX(Clay_Offices!$A$2:$FZ$601,500,Sync!$C$9)&amp;"",""))</f>
        <v/>
      </c>
      <c r="K2151" s="32" t="s">
        <v>1363</v>
      </c>
    </row>
    <row r="2152" customFormat="false" ht="15" hidden="false" customHeight="false" outlineLevel="0" collapsed="false">
      <c r="A2152" s="23" t="str">
        <f aca="false">IF(B2152="","",B2152+(12*1000+501)/10000000)</f>
        <v/>
      </c>
      <c r="B2152" s="35" t="str">
        <f aca="false">IF(AND(IFERROR(N(INDEX(Clay_Offices!$A$2:$FZ$601,501,Sync!$C$11)),0)&gt;0,IFERROR(INDEX(Clay_Offices!$A$2:$FZ$601,501,Sync!$C$5)&amp;"","")&lt;&gt;"",OR(LEFT(IFERROR(INDEX(Clay_Offices!$A$2:$FZ$601,501,Sync!$C$5)&amp;"",""),6)&lt;&gt;"SAMPLE",Config!$B$19="Y")),IFERROR(N(INDEX(Clay_Offices!$A$2:$FZ$601,501,Sync!$C$11)),0),"")</f>
        <v/>
      </c>
      <c r="C2152" s="23" t="str">
        <f aca="false">IF(B2152="","","office")</f>
        <v/>
      </c>
      <c r="D2152" s="23" t="str">
        <f aca="false">IF(B2152="","",IFERROR(INDEX(Office_Log!$ED$2:$ED$201,MATCH(IFERROR(INDEX(Clay_Offices!$A$2:$FZ$601,501,Sync!$C$5)&amp;"",""),Office_Log!$A$2:$A$201,0))&amp;"",IFERROR(INDEX(Clay_Offices!$A$2:$FZ$601,501,Sync!$C$5)&amp;"","")&amp;""))</f>
        <v/>
      </c>
      <c r="E2152" s="23" t="str">
        <f aca="false">IF(B2152="","",IFERROR(INDEX(Clay_Offices!$A$2:$FZ$601,501,Sync!$C$6)&amp;"",""))</f>
        <v/>
      </c>
      <c r="F2152" s="23" t="str">
        <f aca="false">IF(B2152="","","outreach_sent")</f>
        <v/>
      </c>
      <c r="G2152" s="23" t="str">
        <f aca="false">IF(B2152="","","")</f>
        <v/>
      </c>
      <c r="H2152" s="23" t="str">
        <f aca="false">IF(B2152="","","")</f>
        <v/>
      </c>
      <c r="I2152" s="23" t="str">
        <f aca="false">IF(B2152="","","")</f>
        <v/>
      </c>
      <c r="J2152" s="23" t="str">
        <f aca="false">IF(B2152="","","touch_1; "&amp;IFERROR(INDEX(Clay_Offices!$A$2:$FZ$601,501,Sync!$C$10)&amp;"","")&amp;"; "&amp;IFERROR(INDEX(Clay_Offices!$A$2:$FZ$601,501,Sync!$C$9)&amp;"",""))</f>
        <v/>
      </c>
      <c r="K2152" s="32" t="s">
        <v>1363</v>
      </c>
    </row>
    <row r="2153" customFormat="false" ht="15" hidden="false" customHeight="false" outlineLevel="0" collapsed="false">
      <c r="A2153" s="23" t="str">
        <f aca="false">IF(B2153="","",B2153+(12*1000+502)/10000000)</f>
        <v/>
      </c>
      <c r="B2153" s="35" t="str">
        <f aca="false">IF(AND(IFERROR(N(INDEX(Clay_Offices!$A$2:$FZ$601,502,Sync!$C$11)),0)&gt;0,IFERROR(INDEX(Clay_Offices!$A$2:$FZ$601,502,Sync!$C$5)&amp;"","")&lt;&gt;"",OR(LEFT(IFERROR(INDEX(Clay_Offices!$A$2:$FZ$601,502,Sync!$C$5)&amp;"",""),6)&lt;&gt;"SAMPLE",Config!$B$19="Y")),IFERROR(N(INDEX(Clay_Offices!$A$2:$FZ$601,502,Sync!$C$11)),0),"")</f>
        <v/>
      </c>
      <c r="C2153" s="23" t="str">
        <f aca="false">IF(B2153="","","office")</f>
        <v/>
      </c>
      <c r="D2153" s="23" t="str">
        <f aca="false">IF(B2153="","",IFERROR(INDEX(Office_Log!$ED$2:$ED$201,MATCH(IFERROR(INDEX(Clay_Offices!$A$2:$FZ$601,502,Sync!$C$5)&amp;"",""),Office_Log!$A$2:$A$201,0))&amp;"",IFERROR(INDEX(Clay_Offices!$A$2:$FZ$601,502,Sync!$C$5)&amp;"","")&amp;""))</f>
        <v/>
      </c>
      <c r="E2153" s="23" t="str">
        <f aca="false">IF(B2153="","",IFERROR(INDEX(Clay_Offices!$A$2:$FZ$601,502,Sync!$C$6)&amp;"",""))</f>
        <v/>
      </c>
      <c r="F2153" s="23" t="str">
        <f aca="false">IF(B2153="","","outreach_sent")</f>
        <v/>
      </c>
      <c r="G2153" s="23" t="str">
        <f aca="false">IF(B2153="","","")</f>
        <v/>
      </c>
      <c r="H2153" s="23" t="str">
        <f aca="false">IF(B2153="","","")</f>
        <v/>
      </c>
      <c r="I2153" s="23" t="str">
        <f aca="false">IF(B2153="","","")</f>
        <v/>
      </c>
      <c r="J2153" s="23" t="str">
        <f aca="false">IF(B2153="","","touch_1; "&amp;IFERROR(INDEX(Clay_Offices!$A$2:$FZ$601,502,Sync!$C$10)&amp;"","")&amp;"; "&amp;IFERROR(INDEX(Clay_Offices!$A$2:$FZ$601,502,Sync!$C$9)&amp;"",""))</f>
        <v/>
      </c>
      <c r="K2153" s="32" t="s">
        <v>1363</v>
      </c>
    </row>
    <row r="2154" customFormat="false" ht="15" hidden="false" customHeight="false" outlineLevel="0" collapsed="false">
      <c r="A2154" s="23" t="str">
        <f aca="false">IF(B2154="","",B2154+(12*1000+503)/10000000)</f>
        <v/>
      </c>
      <c r="B2154" s="35" t="str">
        <f aca="false">IF(AND(IFERROR(N(INDEX(Clay_Offices!$A$2:$FZ$601,503,Sync!$C$11)),0)&gt;0,IFERROR(INDEX(Clay_Offices!$A$2:$FZ$601,503,Sync!$C$5)&amp;"","")&lt;&gt;"",OR(LEFT(IFERROR(INDEX(Clay_Offices!$A$2:$FZ$601,503,Sync!$C$5)&amp;"",""),6)&lt;&gt;"SAMPLE",Config!$B$19="Y")),IFERROR(N(INDEX(Clay_Offices!$A$2:$FZ$601,503,Sync!$C$11)),0),"")</f>
        <v/>
      </c>
      <c r="C2154" s="23" t="str">
        <f aca="false">IF(B2154="","","office")</f>
        <v/>
      </c>
      <c r="D2154" s="23" t="str">
        <f aca="false">IF(B2154="","",IFERROR(INDEX(Office_Log!$ED$2:$ED$201,MATCH(IFERROR(INDEX(Clay_Offices!$A$2:$FZ$601,503,Sync!$C$5)&amp;"",""),Office_Log!$A$2:$A$201,0))&amp;"",IFERROR(INDEX(Clay_Offices!$A$2:$FZ$601,503,Sync!$C$5)&amp;"","")&amp;""))</f>
        <v/>
      </c>
      <c r="E2154" s="23" t="str">
        <f aca="false">IF(B2154="","",IFERROR(INDEX(Clay_Offices!$A$2:$FZ$601,503,Sync!$C$6)&amp;"",""))</f>
        <v/>
      </c>
      <c r="F2154" s="23" t="str">
        <f aca="false">IF(B2154="","","outreach_sent")</f>
        <v/>
      </c>
      <c r="G2154" s="23" t="str">
        <f aca="false">IF(B2154="","","")</f>
        <v/>
      </c>
      <c r="H2154" s="23" t="str">
        <f aca="false">IF(B2154="","","")</f>
        <v/>
      </c>
      <c r="I2154" s="23" t="str">
        <f aca="false">IF(B2154="","","")</f>
        <v/>
      </c>
      <c r="J2154" s="23" t="str">
        <f aca="false">IF(B2154="","","touch_1; "&amp;IFERROR(INDEX(Clay_Offices!$A$2:$FZ$601,503,Sync!$C$10)&amp;"","")&amp;"; "&amp;IFERROR(INDEX(Clay_Offices!$A$2:$FZ$601,503,Sync!$C$9)&amp;"",""))</f>
        <v/>
      </c>
      <c r="K2154" s="32" t="s">
        <v>1363</v>
      </c>
    </row>
    <row r="2155" customFormat="false" ht="15" hidden="false" customHeight="false" outlineLevel="0" collapsed="false">
      <c r="A2155" s="23" t="str">
        <f aca="false">IF(B2155="","",B2155+(12*1000+504)/10000000)</f>
        <v/>
      </c>
      <c r="B2155" s="35" t="str">
        <f aca="false">IF(AND(IFERROR(N(INDEX(Clay_Offices!$A$2:$FZ$601,504,Sync!$C$11)),0)&gt;0,IFERROR(INDEX(Clay_Offices!$A$2:$FZ$601,504,Sync!$C$5)&amp;"","")&lt;&gt;"",OR(LEFT(IFERROR(INDEX(Clay_Offices!$A$2:$FZ$601,504,Sync!$C$5)&amp;"",""),6)&lt;&gt;"SAMPLE",Config!$B$19="Y")),IFERROR(N(INDEX(Clay_Offices!$A$2:$FZ$601,504,Sync!$C$11)),0),"")</f>
        <v/>
      </c>
      <c r="C2155" s="23" t="str">
        <f aca="false">IF(B2155="","","office")</f>
        <v/>
      </c>
      <c r="D2155" s="23" t="str">
        <f aca="false">IF(B2155="","",IFERROR(INDEX(Office_Log!$ED$2:$ED$201,MATCH(IFERROR(INDEX(Clay_Offices!$A$2:$FZ$601,504,Sync!$C$5)&amp;"",""),Office_Log!$A$2:$A$201,0))&amp;"",IFERROR(INDEX(Clay_Offices!$A$2:$FZ$601,504,Sync!$C$5)&amp;"","")&amp;""))</f>
        <v/>
      </c>
      <c r="E2155" s="23" t="str">
        <f aca="false">IF(B2155="","",IFERROR(INDEX(Clay_Offices!$A$2:$FZ$601,504,Sync!$C$6)&amp;"",""))</f>
        <v/>
      </c>
      <c r="F2155" s="23" t="str">
        <f aca="false">IF(B2155="","","outreach_sent")</f>
        <v/>
      </c>
      <c r="G2155" s="23" t="str">
        <f aca="false">IF(B2155="","","")</f>
        <v/>
      </c>
      <c r="H2155" s="23" t="str">
        <f aca="false">IF(B2155="","","")</f>
        <v/>
      </c>
      <c r="I2155" s="23" t="str">
        <f aca="false">IF(B2155="","","")</f>
        <v/>
      </c>
      <c r="J2155" s="23" t="str">
        <f aca="false">IF(B2155="","","touch_1; "&amp;IFERROR(INDEX(Clay_Offices!$A$2:$FZ$601,504,Sync!$C$10)&amp;"","")&amp;"; "&amp;IFERROR(INDEX(Clay_Offices!$A$2:$FZ$601,504,Sync!$C$9)&amp;"",""))</f>
        <v/>
      </c>
      <c r="K2155" s="32" t="s">
        <v>1363</v>
      </c>
    </row>
    <row r="2156" customFormat="false" ht="15" hidden="false" customHeight="false" outlineLevel="0" collapsed="false">
      <c r="A2156" s="23" t="str">
        <f aca="false">IF(B2156="","",B2156+(12*1000+505)/10000000)</f>
        <v/>
      </c>
      <c r="B2156" s="35" t="str">
        <f aca="false">IF(AND(IFERROR(N(INDEX(Clay_Offices!$A$2:$FZ$601,505,Sync!$C$11)),0)&gt;0,IFERROR(INDEX(Clay_Offices!$A$2:$FZ$601,505,Sync!$C$5)&amp;"","")&lt;&gt;"",OR(LEFT(IFERROR(INDEX(Clay_Offices!$A$2:$FZ$601,505,Sync!$C$5)&amp;"",""),6)&lt;&gt;"SAMPLE",Config!$B$19="Y")),IFERROR(N(INDEX(Clay_Offices!$A$2:$FZ$601,505,Sync!$C$11)),0),"")</f>
        <v/>
      </c>
      <c r="C2156" s="23" t="str">
        <f aca="false">IF(B2156="","","office")</f>
        <v/>
      </c>
      <c r="D2156" s="23" t="str">
        <f aca="false">IF(B2156="","",IFERROR(INDEX(Office_Log!$ED$2:$ED$201,MATCH(IFERROR(INDEX(Clay_Offices!$A$2:$FZ$601,505,Sync!$C$5)&amp;"",""),Office_Log!$A$2:$A$201,0))&amp;"",IFERROR(INDEX(Clay_Offices!$A$2:$FZ$601,505,Sync!$C$5)&amp;"","")&amp;""))</f>
        <v/>
      </c>
      <c r="E2156" s="23" t="str">
        <f aca="false">IF(B2156="","",IFERROR(INDEX(Clay_Offices!$A$2:$FZ$601,505,Sync!$C$6)&amp;"",""))</f>
        <v/>
      </c>
      <c r="F2156" s="23" t="str">
        <f aca="false">IF(B2156="","","outreach_sent")</f>
        <v/>
      </c>
      <c r="G2156" s="23" t="str">
        <f aca="false">IF(B2156="","","")</f>
        <v/>
      </c>
      <c r="H2156" s="23" t="str">
        <f aca="false">IF(B2156="","","")</f>
        <v/>
      </c>
      <c r="I2156" s="23" t="str">
        <f aca="false">IF(B2156="","","")</f>
        <v/>
      </c>
      <c r="J2156" s="23" t="str">
        <f aca="false">IF(B2156="","","touch_1; "&amp;IFERROR(INDEX(Clay_Offices!$A$2:$FZ$601,505,Sync!$C$10)&amp;"","")&amp;"; "&amp;IFERROR(INDEX(Clay_Offices!$A$2:$FZ$601,505,Sync!$C$9)&amp;"",""))</f>
        <v/>
      </c>
      <c r="K2156" s="32" t="s">
        <v>1363</v>
      </c>
    </row>
    <row r="2157" customFormat="false" ht="15" hidden="false" customHeight="false" outlineLevel="0" collapsed="false">
      <c r="A2157" s="23" t="str">
        <f aca="false">IF(B2157="","",B2157+(12*1000+506)/10000000)</f>
        <v/>
      </c>
      <c r="B2157" s="35" t="str">
        <f aca="false">IF(AND(IFERROR(N(INDEX(Clay_Offices!$A$2:$FZ$601,506,Sync!$C$11)),0)&gt;0,IFERROR(INDEX(Clay_Offices!$A$2:$FZ$601,506,Sync!$C$5)&amp;"","")&lt;&gt;"",OR(LEFT(IFERROR(INDEX(Clay_Offices!$A$2:$FZ$601,506,Sync!$C$5)&amp;"",""),6)&lt;&gt;"SAMPLE",Config!$B$19="Y")),IFERROR(N(INDEX(Clay_Offices!$A$2:$FZ$601,506,Sync!$C$11)),0),"")</f>
        <v/>
      </c>
      <c r="C2157" s="23" t="str">
        <f aca="false">IF(B2157="","","office")</f>
        <v/>
      </c>
      <c r="D2157" s="23" t="str">
        <f aca="false">IF(B2157="","",IFERROR(INDEX(Office_Log!$ED$2:$ED$201,MATCH(IFERROR(INDEX(Clay_Offices!$A$2:$FZ$601,506,Sync!$C$5)&amp;"",""),Office_Log!$A$2:$A$201,0))&amp;"",IFERROR(INDEX(Clay_Offices!$A$2:$FZ$601,506,Sync!$C$5)&amp;"","")&amp;""))</f>
        <v/>
      </c>
      <c r="E2157" s="23" t="str">
        <f aca="false">IF(B2157="","",IFERROR(INDEX(Clay_Offices!$A$2:$FZ$601,506,Sync!$C$6)&amp;"",""))</f>
        <v/>
      </c>
      <c r="F2157" s="23" t="str">
        <f aca="false">IF(B2157="","","outreach_sent")</f>
        <v/>
      </c>
      <c r="G2157" s="23" t="str">
        <f aca="false">IF(B2157="","","")</f>
        <v/>
      </c>
      <c r="H2157" s="23" t="str">
        <f aca="false">IF(B2157="","","")</f>
        <v/>
      </c>
      <c r="I2157" s="23" t="str">
        <f aca="false">IF(B2157="","","")</f>
        <v/>
      </c>
      <c r="J2157" s="23" t="str">
        <f aca="false">IF(B2157="","","touch_1; "&amp;IFERROR(INDEX(Clay_Offices!$A$2:$FZ$601,506,Sync!$C$10)&amp;"","")&amp;"; "&amp;IFERROR(INDEX(Clay_Offices!$A$2:$FZ$601,506,Sync!$C$9)&amp;"",""))</f>
        <v/>
      </c>
      <c r="K2157" s="32" t="s">
        <v>1363</v>
      </c>
    </row>
    <row r="2158" customFormat="false" ht="15" hidden="false" customHeight="false" outlineLevel="0" collapsed="false">
      <c r="A2158" s="23" t="str">
        <f aca="false">IF(B2158="","",B2158+(12*1000+507)/10000000)</f>
        <v/>
      </c>
      <c r="B2158" s="35" t="str">
        <f aca="false">IF(AND(IFERROR(N(INDEX(Clay_Offices!$A$2:$FZ$601,507,Sync!$C$11)),0)&gt;0,IFERROR(INDEX(Clay_Offices!$A$2:$FZ$601,507,Sync!$C$5)&amp;"","")&lt;&gt;"",OR(LEFT(IFERROR(INDEX(Clay_Offices!$A$2:$FZ$601,507,Sync!$C$5)&amp;"",""),6)&lt;&gt;"SAMPLE",Config!$B$19="Y")),IFERROR(N(INDEX(Clay_Offices!$A$2:$FZ$601,507,Sync!$C$11)),0),"")</f>
        <v/>
      </c>
      <c r="C2158" s="23" t="str">
        <f aca="false">IF(B2158="","","office")</f>
        <v/>
      </c>
      <c r="D2158" s="23" t="str">
        <f aca="false">IF(B2158="","",IFERROR(INDEX(Office_Log!$ED$2:$ED$201,MATCH(IFERROR(INDEX(Clay_Offices!$A$2:$FZ$601,507,Sync!$C$5)&amp;"",""),Office_Log!$A$2:$A$201,0))&amp;"",IFERROR(INDEX(Clay_Offices!$A$2:$FZ$601,507,Sync!$C$5)&amp;"","")&amp;""))</f>
        <v/>
      </c>
      <c r="E2158" s="23" t="str">
        <f aca="false">IF(B2158="","",IFERROR(INDEX(Clay_Offices!$A$2:$FZ$601,507,Sync!$C$6)&amp;"",""))</f>
        <v/>
      </c>
      <c r="F2158" s="23" t="str">
        <f aca="false">IF(B2158="","","outreach_sent")</f>
        <v/>
      </c>
      <c r="G2158" s="23" t="str">
        <f aca="false">IF(B2158="","","")</f>
        <v/>
      </c>
      <c r="H2158" s="23" t="str">
        <f aca="false">IF(B2158="","","")</f>
        <v/>
      </c>
      <c r="I2158" s="23" t="str">
        <f aca="false">IF(B2158="","","")</f>
        <v/>
      </c>
      <c r="J2158" s="23" t="str">
        <f aca="false">IF(B2158="","","touch_1; "&amp;IFERROR(INDEX(Clay_Offices!$A$2:$FZ$601,507,Sync!$C$10)&amp;"","")&amp;"; "&amp;IFERROR(INDEX(Clay_Offices!$A$2:$FZ$601,507,Sync!$C$9)&amp;"",""))</f>
        <v/>
      </c>
      <c r="K2158" s="32" t="s">
        <v>1363</v>
      </c>
    </row>
    <row r="2159" customFormat="false" ht="15" hidden="false" customHeight="false" outlineLevel="0" collapsed="false">
      <c r="A2159" s="23" t="str">
        <f aca="false">IF(B2159="","",B2159+(12*1000+508)/10000000)</f>
        <v/>
      </c>
      <c r="B2159" s="35" t="str">
        <f aca="false">IF(AND(IFERROR(N(INDEX(Clay_Offices!$A$2:$FZ$601,508,Sync!$C$11)),0)&gt;0,IFERROR(INDEX(Clay_Offices!$A$2:$FZ$601,508,Sync!$C$5)&amp;"","")&lt;&gt;"",OR(LEFT(IFERROR(INDEX(Clay_Offices!$A$2:$FZ$601,508,Sync!$C$5)&amp;"",""),6)&lt;&gt;"SAMPLE",Config!$B$19="Y")),IFERROR(N(INDEX(Clay_Offices!$A$2:$FZ$601,508,Sync!$C$11)),0),"")</f>
        <v/>
      </c>
      <c r="C2159" s="23" t="str">
        <f aca="false">IF(B2159="","","office")</f>
        <v/>
      </c>
      <c r="D2159" s="23" t="str">
        <f aca="false">IF(B2159="","",IFERROR(INDEX(Office_Log!$ED$2:$ED$201,MATCH(IFERROR(INDEX(Clay_Offices!$A$2:$FZ$601,508,Sync!$C$5)&amp;"",""),Office_Log!$A$2:$A$201,0))&amp;"",IFERROR(INDEX(Clay_Offices!$A$2:$FZ$601,508,Sync!$C$5)&amp;"","")&amp;""))</f>
        <v/>
      </c>
      <c r="E2159" s="23" t="str">
        <f aca="false">IF(B2159="","",IFERROR(INDEX(Clay_Offices!$A$2:$FZ$601,508,Sync!$C$6)&amp;"",""))</f>
        <v/>
      </c>
      <c r="F2159" s="23" t="str">
        <f aca="false">IF(B2159="","","outreach_sent")</f>
        <v/>
      </c>
      <c r="G2159" s="23" t="str">
        <f aca="false">IF(B2159="","","")</f>
        <v/>
      </c>
      <c r="H2159" s="23" t="str">
        <f aca="false">IF(B2159="","","")</f>
        <v/>
      </c>
      <c r="I2159" s="23" t="str">
        <f aca="false">IF(B2159="","","")</f>
        <v/>
      </c>
      <c r="J2159" s="23" t="str">
        <f aca="false">IF(B2159="","","touch_1; "&amp;IFERROR(INDEX(Clay_Offices!$A$2:$FZ$601,508,Sync!$C$10)&amp;"","")&amp;"; "&amp;IFERROR(INDEX(Clay_Offices!$A$2:$FZ$601,508,Sync!$C$9)&amp;"",""))</f>
        <v/>
      </c>
      <c r="K2159" s="32" t="s">
        <v>1363</v>
      </c>
    </row>
    <row r="2160" customFormat="false" ht="15" hidden="false" customHeight="false" outlineLevel="0" collapsed="false">
      <c r="A2160" s="23" t="str">
        <f aca="false">IF(B2160="","",B2160+(12*1000+509)/10000000)</f>
        <v/>
      </c>
      <c r="B2160" s="35" t="str">
        <f aca="false">IF(AND(IFERROR(N(INDEX(Clay_Offices!$A$2:$FZ$601,509,Sync!$C$11)),0)&gt;0,IFERROR(INDEX(Clay_Offices!$A$2:$FZ$601,509,Sync!$C$5)&amp;"","")&lt;&gt;"",OR(LEFT(IFERROR(INDEX(Clay_Offices!$A$2:$FZ$601,509,Sync!$C$5)&amp;"",""),6)&lt;&gt;"SAMPLE",Config!$B$19="Y")),IFERROR(N(INDEX(Clay_Offices!$A$2:$FZ$601,509,Sync!$C$11)),0),"")</f>
        <v/>
      </c>
      <c r="C2160" s="23" t="str">
        <f aca="false">IF(B2160="","","office")</f>
        <v/>
      </c>
      <c r="D2160" s="23" t="str">
        <f aca="false">IF(B2160="","",IFERROR(INDEX(Office_Log!$ED$2:$ED$201,MATCH(IFERROR(INDEX(Clay_Offices!$A$2:$FZ$601,509,Sync!$C$5)&amp;"",""),Office_Log!$A$2:$A$201,0))&amp;"",IFERROR(INDEX(Clay_Offices!$A$2:$FZ$601,509,Sync!$C$5)&amp;"","")&amp;""))</f>
        <v/>
      </c>
      <c r="E2160" s="23" t="str">
        <f aca="false">IF(B2160="","",IFERROR(INDEX(Clay_Offices!$A$2:$FZ$601,509,Sync!$C$6)&amp;"",""))</f>
        <v/>
      </c>
      <c r="F2160" s="23" t="str">
        <f aca="false">IF(B2160="","","outreach_sent")</f>
        <v/>
      </c>
      <c r="G2160" s="23" t="str">
        <f aca="false">IF(B2160="","","")</f>
        <v/>
      </c>
      <c r="H2160" s="23" t="str">
        <f aca="false">IF(B2160="","","")</f>
        <v/>
      </c>
      <c r="I2160" s="23" t="str">
        <f aca="false">IF(B2160="","","")</f>
        <v/>
      </c>
      <c r="J2160" s="23" t="str">
        <f aca="false">IF(B2160="","","touch_1; "&amp;IFERROR(INDEX(Clay_Offices!$A$2:$FZ$601,509,Sync!$C$10)&amp;"","")&amp;"; "&amp;IFERROR(INDEX(Clay_Offices!$A$2:$FZ$601,509,Sync!$C$9)&amp;"",""))</f>
        <v/>
      </c>
      <c r="K2160" s="32" t="s">
        <v>1363</v>
      </c>
    </row>
    <row r="2161" customFormat="false" ht="15" hidden="false" customHeight="false" outlineLevel="0" collapsed="false">
      <c r="A2161" s="23" t="str">
        <f aca="false">IF(B2161="","",B2161+(12*1000+510)/10000000)</f>
        <v/>
      </c>
      <c r="B2161" s="35" t="str">
        <f aca="false">IF(AND(IFERROR(N(INDEX(Clay_Offices!$A$2:$FZ$601,510,Sync!$C$11)),0)&gt;0,IFERROR(INDEX(Clay_Offices!$A$2:$FZ$601,510,Sync!$C$5)&amp;"","")&lt;&gt;"",OR(LEFT(IFERROR(INDEX(Clay_Offices!$A$2:$FZ$601,510,Sync!$C$5)&amp;"",""),6)&lt;&gt;"SAMPLE",Config!$B$19="Y")),IFERROR(N(INDEX(Clay_Offices!$A$2:$FZ$601,510,Sync!$C$11)),0),"")</f>
        <v/>
      </c>
      <c r="C2161" s="23" t="str">
        <f aca="false">IF(B2161="","","office")</f>
        <v/>
      </c>
      <c r="D2161" s="23" t="str">
        <f aca="false">IF(B2161="","",IFERROR(INDEX(Office_Log!$ED$2:$ED$201,MATCH(IFERROR(INDEX(Clay_Offices!$A$2:$FZ$601,510,Sync!$C$5)&amp;"",""),Office_Log!$A$2:$A$201,0))&amp;"",IFERROR(INDEX(Clay_Offices!$A$2:$FZ$601,510,Sync!$C$5)&amp;"","")&amp;""))</f>
        <v/>
      </c>
      <c r="E2161" s="23" t="str">
        <f aca="false">IF(B2161="","",IFERROR(INDEX(Clay_Offices!$A$2:$FZ$601,510,Sync!$C$6)&amp;"",""))</f>
        <v/>
      </c>
      <c r="F2161" s="23" t="str">
        <f aca="false">IF(B2161="","","outreach_sent")</f>
        <v/>
      </c>
      <c r="G2161" s="23" t="str">
        <f aca="false">IF(B2161="","","")</f>
        <v/>
      </c>
      <c r="H2161" s="23" t="str">
        <f aca="false">IF(B2161="","","")</f>
        <v/>
      </c>
      <c r="I2161" s="23" t="str">
        <f aca="false">IF(B2161="","","")</f>
        <v/>
      </c>
      <c r="J2161" s="23" t="str">
        <f aca="false">IF(B2161="","","touch_1; "&amp;IFERROR(INDEX(Clay_Offices!$A$2:$FZ$601,510,Sync!$C$10)&amp;"","")&amp;"; "&amp;IFERROR(INDEX(Clay_Offices!$A$2:$FZ$601,510,Sync!$C$9)&amp;"",""))</f>
        <v/>
      </c>
      <c r="K2161" s="32" t="s">
        <v>1363</v>
      </c>
    </row>
    <row r="2162" customFormat="false" ht="15" hidden="false" customHeight="false" outlineLevel="0" collapsed="false">
      <c r="A2162" s="23" t="str">
        <f aca="false">IF(B2162="","",B2162+(12*1000+511)/10000000)</f>
        <v/>
      </c>
      <c r="B2162" s="35" t="str">
        <f aca="false">IF(AND(IFERROR(N(INDEX(Clay_Offices!$A$2:$FZ$601,511,Sync!$C$11)),0)&gt;0,IFERROR(INDEX(Clay_Offices!$A$2:$FZ$601,511,Sync!$C$5)&amp;"","")&lt;&gt;"",OR(LEFT(IFERROR(INDEX(Clay_Offices!$A$2:$FZ$601,511,Sync!$C$5)&amp;"",""),6)&lt;&gt;"SAMPLE",Config!$B$19="Y")),IFERROR(N(INDEX(Clay_Offices!$A$2:$FZ$601,511,Sync!$C$11)),0),"")</f>
        <v/>
      </c>
      <c r="C2162" s="23" t="str">
        <f aca="false">IF(B2162="","","office")</f>
        <v/>
      </c>
      <c r="D2162" s="23" t="str">
        <f aca="false">IF(B2162="","",IFERROR(INDEX(Office_Log!$ED$2:$ED$201,MATCH(IFERROR(INDEX(Clay_Offices!$A$2:$FZ$601,511,Sync!$C$5)&amp;"",""),Office_Log!$A$2:$A$201,0))&amp;"",IFERROR(INDEX(Clay_Offices!$A$2:$FZ$601,511,Sync!$C$5)&amp;"","")&amp;""))</f>
        <v/>
      </c>
      <c r="E2162" s="23" t="str">
        <f aca="false">IF(B2162="","",IFERROR(INDEX(Clay_Offices!$A$2:$FZ$601,511,Sync!$C$6)&amp;"",""))</f>
        <v/>
      </c>
      <c r="F2162" s="23" t="str">
        <f aca="false">IF(B2162="","","outreach_sent")</f>
        <v/>
      </c>
      <c r="G2162" s="23" t="str">
        <f aca="false">IF(B2162="","","")</f>
        <v/>
      </c>
      <c r="H2162" s="23" t="str">
        <f aca="false">IF(B2162="","","")</f>
        <v/>
      </c>
      <c r="I2162" s="23" t="str">
        <f aca="false">IF(B2162="","","")</f>
        <v/>
      </c>
      <c r="J2162" s="23" t="str">
        <f aca="false">IF(B2162="","","touch_1; "&amp;IFERROR(INDEX(Clay_Offices!$A$2:$FZ$601,511,Sync!$C$10)&amp;"","")&amp;"; "&amp;IFERROR(INDEX(Clay_Offices!$A$2:$FZ$601,511,Sync!$C$9)&amp;"",""))</f>
        <v/>
      </c>
      <c r="K2162" s="32" t="s">
        <v>1363</v>
      </c>
    </row>
    <row r="2163" customFormat="false" ht="15" hidden="false" customHeight="false" outlineLevel="0" collapsed="false">
      <c r="A2163" s="23" t="str">
        <f aca="false">IF(B2163="","",B2163+(12*1000+512)/10000000)</f>
        <v/>
      </c>
      <c r="B2163" s="35" t="str">
        <f aca="false">IF(AND(IFERROR(N(INDEX(Clay_Offices!$A$2:$FZ$601,512,Sync!$C$11)),0)&gt;0,IFERROR(INDEX(Clay_Offices!$A$2:$FZ$601,512,Sync!$C$5)&amp;"","")&lt;&gt;"",OR(LEFT(IFERROR(INDEX(Clay_Offices!$A$2:$FZ$601,512,Sync!$C$5)&amp;"",""),6)&lt;&gt;"SAMPLE",Config!$B$19="Y")),IFERROR(N(INDEX(Clay_Offices!$A$2:$FZ$601,512,Sync!$C$11)),0),"")</f>
        <v/>
      </c>
      <c r="C2163" s="23" t="str">
        <f aca="false">IF(B2163="","","office")</f>
        <v/>
      </c>
      <c r="D2163" s="23" t="str">
        <f aca="false">IF(B2163="","",IFERROR(INDEX(Office_Log!$ED$2:$ED$201,MATCH(IFERROR(INDEX(Clay_Offices!$A$2:$FZ$601,512,Sync!$C$5)&amp;"",""),Office_Log!$A$2:$A$201,0))&amp;"",IFERROR(INDEX(Clay_Offices!$A$2:$FZ$601,512,Sync!$C$5)&amp;"","")&amp;""))</f>
        <v/>
      </c>
      <c r="E2163" s="23" t="str">
        <f aca="false">IF(B2163="","",IFERROR(INDEX(Clay_Offices!$A$2:$FZ$601,512,Sync!$C$6)&amp;"",""))</f>
        <v/>
      </c>
      <c r="F2163" s="23" t="str">
        <f aca="false">IF(B2163="","","outreach_sent")</f>
        <v/>
      </c>
      <c r="G2163" s="23" t="str">
        <f aca="false">IF(B2163="","","")</f>
        <v/>
      </c>
      <c r="H2163" s="23" t="str">
        <f aca="false">IF(B2163="","","")</f>
        <v/>
      </c>
      <c r="I2163" s="23" t="str">
        <f aca="false">IF(B2163="","","")</f>
        <v/>
      </c>
      <c r="J2163" s="23" t="str">
        <f aca="false">IF(B2163="","","touch_1; "&amp;IFERROR(INDEX(Clay_Offices!$A$2:$FZ$601,512,Sync!$C$10)&amp;"","")&amp;"; "&amp;IFERROR(INDEX(Clay_Offices!$A$2:$FZ$601,512,Sync!$C$9)&amp;"",""))</f>
        <v/>
      </c>
      <c r="K2163" s="32" t="s">
        <v>1363</v>
      </c>
    </row>
    <row r="2164" customFormat="false" ht="15" hidden="false" customHeight="false" outlineLevel="0" collapsed="false">
      <c r="A2164" s="23" t="str">
        <f aca="false">IF(B2164="","",B2164+(12*1000+513)/10000000)</f>
        <v/>
      </c>
      <c r="B2164" s="35" t="str">
        <f aca="false">IF(AND(IFERROR(N(INDEX(Clay_Offices!$A$2:$FZ$601,513,Sync!$C$11)),0)&gt;0,IFERROR(INDEX(Clay_Offices!$A$2:$FZ$601,513,Sync!$C$5)&amp;"","")&lt;&gt;"",OR(LEFT(IFERROR(INDEX(Clay_Offices!$A$2:$FZ$601,513,Sync!$C$5)&amp;"",""),6)&lt;&gt;"SAMPLE",Config!$B$19="Y")),IFERROR(N(INDEX(Clay_Offices!$A$2:$FZ$601,513,Sync!$C$11)),0),"")</f>
        <v/>
      </c>
      <c r="C2164" s="23" t="str">
        <f aca="false">IF(B2164="","","office")</f>
        <v/>
      </c>
      <c r="D2164" s="23" t="str">
        <f aca="false">IF(B2164="","",IFERROR(INDEX(Office_Log!$ED$2:$ED$201,MATCH(IFERROR(INDEX(Clay_Offices!$A$2:$FZ$601,513,Sync!$C$5)&amp;"",""),Office_Log!$A$2:$A$201,0))&amp;"",IFERROR(INDEX(Clay_Offices!$A$2:$FZ$601,513,Sync!$C$5)&amp;"","")&amp;""))</f>
        <v/>
      </c>
      <c r="E2164" s="23" t="str">
        <f aca="false">IF(B2164="","",IFERROR(INDEX(Clay_Offices!$A$2:$FZ$601,513,Sync!$C$6)&amp;"",""))</f>
        <v/>
      </c>
      <c r="F2164" s="23" t="str">
        <f aca="false">IF(B2164="","","outreach_sent")</f>
        <v/>
      </c>
      <c r="G2164" s="23" t="str">
        <f aca="false">IF(B2164="","","")</f>
        <v/>
      </c>
      <c r="H2164" s="23" t="str">
        <f aca="false">IF(B2164="","","")</f>
        <v/>
      </c>
      <c r="I2164" s="23" t="str">
        <f aca="false">IF(B2164="","","")</f>
        <v/>
      </c>
      <c r="J2164" s="23" t="str">
        <f aca="false">IF(B2164="","","touch_1; "&amp;IFERROR(INDEX(Clay_Offices!$A$2:$FZ$601,513,Sync!$C$10)&amp;"","")&amp;"; "&amp;IFERROR(INDEX(Clay_Offices!$A$2:$FZ$601,513,Sync!$C$9)&amp;"",""))</f>
        <v/>
      </c>
      <c r="K2164" s="32" t="s">
        <v>1363</v>
      </c>
    </row>
    <row r="2165" customFormat="false" ht="15" hidden="false" customHeight="false" outlineLevel="0" collapsed="false">
      <c r="A2165" s="23" t="str">
        <f aca="false">IF(B2165="","",B2165+(12*1000+514)/10000000)</f>
        <v/>
      </c>
      <c r="B2165" s="35" t="str">
        <f aca="false">IF(AND(IFERROR(N(INDEX(Clay_Offices!$A$2:$FZ$601,514,Sync!$C$11)),0)&gt;0,IFERROR(INDEX(Clay_Offices!$A$2:$FZ$601,514,Sync!$C$5)&amp;"","")&lt;&gt;"",OR(LEFT(IFERROR(INDEX(Clay_Offices!$A$2:$FZ$601,514,Sync!$C$5)&amp;"",""),6)&lt;&gt;"SAMPLE",Config!$B$19="Y")),IFERROR(N(INDEX(Clay_Offices!$A$2:$FZ$601,514,Sync!$C$11)),0),"")</f>
        <v/>
      </c>
      <c r="C2165" s="23" t="str">
        <f aca="false">IF(B2165="","","office")</f>
        <v/>
      </c>
      <c r="D2165" s="23" t="str">
        <f aca="false">IF(B2165="","",IFERROR(INDEX(Office_Log!$ED$2:$ED$201,MATCH(IFERROR(INDEX(Clay_Offices!$A$2:$FZ$601,514,Sync!$C$5)&amp;"",""),Office_Log!$A$2:$A$201,0))&amp;"",IFERROR(INDEX(Clay_Offices!$A$2:$FZ$601,514,Sync!$C$5)&amp;"","")&amp;""))</f>
        <v/>
      </c>
      <c r="E2165" s="23" t="str">
        <f aca="false">IF(B2165="","",IFERROR(INDEX(Clay_Offices!$A$2:$FZ$601,514,Sync!$C$6)&amp;"",""))</f>
        <v/>
      </c>
      <c r="F2165" s="23" t="str">
        <f aca="false">IF(B2165="","","outreach_sent")</f>
        <v/>
      </c>
      <c r="G2165" s="23" t="str">
        <f aca="false">IF(B2165="","","")</f>
        <v/>
      </c>
      <c r="H2165" s="23" t="str">
        <f aca="false">IF(B2165="","","")</f>
        <v/>
      </c>
      <c r="I2165" s="23" t="str">
        <f aca="false">IF(B2165="","","")</f>
        <v/>
      </c>
      <c r="J2165" s="23" t="str">
        <f aca="false">IF(B2165="","","touch_1; "&amp;IFERROR(INDEX(Clay_Offices!$A$2:$FZ$601,514,Sync!$C$10)&amp;"","")&amp;"; "&amp;IFERROR(INDEX(Clay_Offices!$A$2:$FZ$601,514,Sync!$C$9)&amp;"",""))</f>
        <v/>
      </c>
      <c r="K2165" s="32" t="s">
        <v>1363</v>
      </c>
    </row>
    <row r="2166" customFormat="false" ht="15" hidden="false" customHeight="false" outlineLevel="0" collapsed="false">
      <c r="A2166" s="23" t="str">
        <f aca="false">IF(B2166="","",B2166+(12*1000+515)/10000000)</f>
        <v/>
      </c>
      <c r="B2166" s="35" t="str">
        <f aca="false">IF(AND(IFERROR(N(INDEX(Clay_Offices!$A$2:$FZ$601,515,Sync!$C$11)),0)&gt;0,IFERROR(INDEX(Clay_Offices!$A$2:$FZ$601,515,Sync!$C$5)&amp;"","")&lt;&gt;"",OR(LEFT(IFERROR(INDEX(Clay_Offices!$A$2:$FZ$601,515,Sync!$C$5)&amp;"",""),6)&lt;&gt;"SAMPLE",Config!$B$19="Y")),IFERROR(N(INDEX(Clay_Offices!$A$2:$FZ$601,515,Sync!$C$11)),0),"")</f>
        <v/>
      </c>
      <c r="C2166" s="23" t="str">
        <f aca="false">IF(B2166="","","office")</f>
        <v/>
      </c>
      <c r="D2166" s="23" t="str">
        <f aca="false">IF(B2166="","",IFERROR(INDEX(Office_Log!$ED$2:$ED$201,MATCH(IFERROR(INDEX(Clay_Offices!$A$2:$FZ$601,515,Sync!$C$5)&amp;"",""),Office_Log!$A$2:$A$201,0))&amp;"",IFERROR(INDEX(Clay_Offices!$A$2:$FZ$601,515,Sync!$C$5)&amp;"","")&amp;""))</f>
        <v/>
      </c>
      <c r="E2166" s="23" t="str">
        <f aca="false">IF(B2166="","",IFERROR(INDEX(Clay_Offices!$A$2:$FZ$601,515,Sync!$C$6)&amp;"",""))</f>
        <v/>
      </c>
      <c r="F2166" s="23" t="str">
        <f aca="false">IF(B2166="","","outreach_sent")</f>
        <v/>
      </c>
      <c r="G2166" s="23" t="str">
        <f aca="false">IF(B2166="","","")</f>
        <v/>
      </c>
      <c r="H2166" s="23" t="str">
        <f aca="false">IF(B2166="","","")</f>
        <v/>
      </c>
      <c r="I2166" s="23" t="str">
        <f aca="false">IF(B2166="","","")</f>
        <v/>
      </c>
      <c r="J2166" s="23" t="str">
        <f aca="false">IF(B2166="","","touch_1; "&amp;IFERROR(INDEX(Clay_Offices!$A$2:$FZ$601,515,Sync!$C$10)&amp;"","")&amp;"; "&amp;IFERROR(INDEX(Clay_Offices!$A$2:$FZ$601,515,Sync!$C$9)&amp;"",""))</f>
        <v/>
      </c>
      <c r="K2166" s="32" t="s">
        <v>1363</v>
      </c>
    </row>
    <row r="2167" customFormat="false" ht="15" hidden="false" customHeight="false" outlineLevel="0" collapsed="false">
      <c r="A2167" s="23" t="str">
        <f aca="false">IF(B2167="","",B2167+(12*1000+516)/10000000)</f>
        <v/>
      </c>
      <c r="B2167" s="35" t="str">
        <f aca="false">IF(AND(IFERROR(N(INDEX(Clay_Offices!$A$2:$FZ$601,516,Sync!$C$11)),0)&gt;0,IFERROR(INDEX(Clay_Offices!$A$2:$FZ$601,516,Sync!$C$5)&amp;"","")&lt;&gt;"",OR(LEFT(IFERROR(INDEX(Clay_Offices!$A$2:$FZ$601,516,Sync!$C$5)&amp;"",""),6)&lt;&gt;"SAMPLE",Config!$B$19="Y")),IFERROR(N(INDEX(Clay_Offices!$A$2:$FZ$601,516,Sync!$C$11)),0),"")</f>
        <v/>
      </c>
      <c r="C2167" s="23" t="str">
        <f aca="false">IF(B2167="","","office")</f>
        <v/>
      </c>
      <c r="D2167" s="23" t="str">
        <f aca="false">IF(B2167="","",IFERROR(INDEX(Office_Log!$ED$2:$ED$201,MATCH(IFERROR(INDEX(Clay_Offices!$A$2:$FZ$601,516,Sync!$C$5)&amp;"",""),Office_Log!$A$2:$A$201,0))&amp;"",IFERROR(INDEX(Clay_Offices!$A$2:$FZ$601,516,Sync!$C$5)&amp;"","")&amp;""))</f>
        <v/>
      </c>
      <c r="E2167" s="23" t="str">
        <f aca="false">IF(B2167="","",IFERROR(INDEX(Clay_Offices!$A$2:$FZ$601,516,Sync!$C$6)&amp;"",""))</f>
        <v/>
      </c>
      <c r="F2167" s="23" t="str">
        <f aca="false">IF(B2167="","","outreach_sent")</f>
        <v/>
      </c>
      <c r="G2167" s="23" t="str">
        <f aca="false">IF(B2167="","","")</f>
        <v/>
      </c>
      <c r="H2167" s="23" t="str">
        <f aca="false">IF(B2167="","","")</f>
        <v/>
      </c>
      <c r="I2167" s="23" t="str">
        <f aca="false">IF(B2167="","","")</f>
        <v/>
      </c>
      <c r="J2167" s="23" t="str">
        <f aca="false">IF(B2167="","","touch_1; "&amp;IFERROR(INDEX(Clay_Offices!$A$2:$FZ$601,516,Sync!$C$10)&amp;"","")&amp;"; "&amp;IFERROR(INDEX(Clay_Offices!$A$2:$FZ$601,516,Sync!$C$9)&amp;"",""))</f>
        <v/>
      </c>
      <c r="K2167" s="32" t="s">
        <v>1363</v>
      </c>
    </row>
    <row r="2168" customFormat="false" ht="15" hidden="false" customHeight="false" outlineLevel="0" collapsed="false">
      <c r="A2168" s="23" t="str">
        <f aca="false">IF(B2168="","",B2168+(12*1000+517)/10000000)</f>
        <v/>
      </c>
      <c r="B2168" s="35" t="str">
        <f aca="false">IF(AND(IFERROR(N(INDEX(Clay_Offices!$A$2:$FZ$601,517,Sync!$C$11)),0)&gt;0,IFERROR(INDEX(Clay_Offices!$A$2:$FZ$601,517,Sync!$C$5)&amp;"","")&lt;&gt;"",OR(LEFT(IFERROR(INDEX(Clay_Offices!$A$2:$FZ$601,517,Sync!$C$5)&amp;"",""),6)&lt;&gt;"SAMPLE",Config!$B$19="Y")),IFERROR(N(INDEX(Clay_Offices!$A$2:$FZ$601,517,Sync!$C$11)),0),"")</f>
        <v/>
      </c>
      <c r="C2168" s="23" t="str">
        <f aca="false">IF(B2168="","","office")</f>
        <v/>
      </c>
      <c r="D2168" s="23" t="str">
        <f aca="false">IF(B2168="","",IFERROR(INDEX(Office_Log!$ED$2:$ED$201,MATCH(IFERROR(INDEX(Clay_Offices!$A$2:$FZ$601,517,Sync!$C$5)&amp;"",""),Office_Log!$A$2:$A$201,0))&amp;"",IFERROR(INDEX(Clay_Offices!$A$2:$FZ$601,517,Sync!$C$5)&amp;"","")&amp;""))</f>
        <v/>
      </c>
      <c r="E2168" s="23" t="str">
        <f aca="false">IF(B2168="","",IFERROR(INDEX(Clay_Offices!$A$2:$FZ$601,517,Sync!$C$6)&amp;"",""))</f>
        <v/>
      </c>
      <c r="F2168" s="23" t="str">
        <f aca="false">IF(B2168="","","outreach_sent")</f>
        <v/>
      </c>
      <c r="G2168" s="23" t="str">
        <f aca="false">IF(B2168="","","")</f>
        <v/>
      </c>
      <c r="H2168" s="23" t="str">
        <f aca="false">IF(B2168="","","")</f>
        <v/>
      </c>
      <c r="I2168" s="23" t="str">
        <f aca="false">IF(B2168="","","")</f>
        <v/>
      </c>
      <c r="J2168" s="23" t="str">
        <f aca="false">IF(B2168="","","touch_1; "&amp;IFERROR(INDEX(Clay_Offices!$A$2:$FZ$601,517,Sync!$C$10)&amp;"","")&amp;"; "&amp;IFERROR(INDEX(Clay_Offices!$A$2:$FZ$601,517,Sync!$C$9)&amp;"",""))</f>
        <v/>
      </c>
      <c r="K2168" s="32" t="s">
        <v>1363</v>
      </c>
    </row>
    <row r="2169" customFormat="false" ht="15" hidden="false" customHeight="false" outlineLevel="0" collapsed="false">
      <c r="A2169" s="23" t="str">
        <f aca="false">IF(B2169="","",B2169+(12*1000+518)/10000000)</f>
        <v/>
      </c>
      <c r="B2169" s="35" t="str">
        <f aca="false">IF(AND(IFERROR(N(INDEX(Clay_Offices!$A$2:$FZ$601,518,Sync!$C$11)),0)&gt;0,IFERROR(INDEX(Clay_Offices!$A$2:$FZ$601,518,Sync!$C$5)&amp;"","")&lt;&gt;"",OR(LEFT(IFERROR(INDEX(Clay_Offices!$A$2:$FZ$601,518,Sync!$C$5)&amp;"",""),6)&lt;&gt;"SAMPLE",Config!$B$19="Y")),IFERROR(N(INDEX(Clay_Offices!$A$2:$FZ$601,518,Sync!$C$11)),0),"")</f>
        <v/>
      </c>
      <c r="C2169" s="23" t="str">
        <f aca="false">IF(B2169="","","office")</f>
        <v/>
      </c>
      <c r="D2169" s="23" t="str">
        <f aca="false">IF(B2169="","",IFERROR(INDEX(Office_Log!$ED$2:$ED$201,MATCH(IFERROR(INDEX(Clay_Offices!$A$2:$FZ$601,518,Sync!$C$5)&amp;"",""),Office_Log!$A$2:$A$201,0))&amp;"",IFERROR(INDEX(Clay_Offices!$A$2:$FZ$601,518,Sync!$C$5)&amp;"","")&amp;""))</f>
        <v/>
      </c>
      <c r="E2169" s="23" t="str">
        <f aca="false">IF(B2169="","",IFERROR(INDEX(Clay_Offices!$A$2:$FZ$601,518,Sync!$C$6)&amp;"",""))</f>
        <v/>
      </c>
      <c r="F2169" s="23" t="str">
        <f aca="false">IF(B2169="","","outreach_sent")</f>
        <v/>
      </c>
      <c r="G2169" s="23" t="str">
        <f aca="false">IF(B2169="","","")</f>
        <v/>
      </c>
      <c r="H2169" s="23" t="str">
        <f aca="false">IF(B2169="","","")</f>
        <v/>
      </c>
      <c r="I2169" s="23" t="str">
        <f aca="false">IF(B2169="","","")</f>
        <v/>
      </c>
      <c r="J2169" s="23" t="str">
        <f aca="false">IF(B2169="","","touch_1; "&amp;IFERROR(INDEX(Clay_Offices!$A$2:$FZ$601,518,Sync!$C$10)&amp;"","")&amp;"; "&amp;IFERROR(INDEX(Clay_Offices!$A$2:$FZ$601,518,Sync!$C$9)&amp;"",""))</f>
        <v/>
      </c>
      <c r="K2169" s="32" t="s">
        <v>1363</v>
      </c>
    </row>
    <row r="2170" customFormat="false" ht="15" hidden="false" customHeight="false" outlineLevel="0" collapsed="false">
      <c r="A2170" s="23" t="str">
        <f aca="false">IF(B2170="","",B2170+(12*1000+519)/10000000)</f>
        <v/>
      </c>
      <c r="B2170" s="35" t="str">
        <f aca="false">IF(AND(IFERROR(N(INDEX(Clay_Offices!$A$2:$FZ$601,519,Sync!$C$11)),0)&gt;0,IFERROR(INDEX(Clay_Offices!$A$2:$FZ$601,519,Sync!$C$5)&amp;"","")&lt;&gt;"",OR(LEFT(IFERROR(INDEX(Clay_Offices!$A$2:$FZ$601,519,Sync!$C$5)&amp;"",""),6)&lt;&gt;"SAMPLE",Config!$B$19="Y")),IFERROR(N(INDEX(Clay_Offices!$A$2:$FZ$601,519,Sync!$C$11)),0),"")</f>
        <v/>
      </c>
      <c r="C2170" s="23" t="str">
        <f aca="false">IF(B2170="","","office")</f>
        <v/>
      </c>
      <c r="D2170" s="23" t="str">
        <f aca="false">IF(B2170="","",IFERROR(INDEX(Office_Log!$ED$2:$ED$201,MATCH(IFERROR(INDEX(Clay_Offices!$A$2:$FZ$601,519,Sync!$C$5)&amp;"",""),Office_Log!$A$2:$A$201,0))&amp;"",IFERROR(INDEX(Clay_Offices!$A$2:$FZ$601,519,Sync!$C$5)&amp;"","")&amp;""))</f>
        <v/>
      </c>
      <c r="E2170" s="23" t="str">
        <f aca="false">IF(B2170="","",IFERROR(INDEX(Clay_Offices!$A$2:$FZ$601,519,Sync!$C$6)&amp;"",""))</f>
        <v/>
      </c>
      <c r="F2170" s="23" t="str">
        <f aca="false">IF(B2170="","","outreach_sent")</f>
        <v/>
      </c>
      <c r="G2170" s="23" t="str">
        <f aca="false">IF(B2170="","","")</f>
        <v/>
      </c>
      <c r="H2170" s="23" t="str">
        <f aca="false">IF(B2170="","","")</f>
        <v/>
      </c>
      <c r="I2170" s="23" t="str">
        <f aca="false">IF(B2170="","","")</f>
        <v/>
      </c>
      <c r="J2170" s="23" t="str">
        <f aca="false">IF(B2170="","","touch_1; "&amp;IFERROR(INDEX(Clay_Offices!$A$2:$FZ$601,519,Sync!$C$10)&amp;"","")&amp;"; "&amp;IFERROR(INDEX(Clay_Offices!$A$2:$FZ$601,519,Sync!$C$9)&amp;"",""))</f>
        <v/>
      </c>
      <c r="K2170" s="32" t="s">
        <v>1363</v>
      </c>
    </row>
    <row r="2171" customFormat="false" ht="15" hidden="false" customHeight="false" outlineLevel="0" collapsed="false">
      <c r="A2171" s="23" t="str">
        <f aca="false">IF(B2171="","",B2171+(12*1000+520)/10000000)</f>
        <v/>
      </c>
      <c r="B2171" s="35" t="str">
        <f aca="false">IF(AND(IFERROR(N(INDEX(Clay_Offices!$A$2:$FZ$601,520,Sync!$C$11)),0)&gt;0,IFERROR(INDEX(Clay_Offices!$A$2:$FZ$601,520,Sync!$C$5)&amp;"","")&lt;&gt;"",OR(LEFT(IFERROR(INDEX(Clay_Offices!$A$2:$FZ$601,520,Sync!$C$5)&amp;"",""),6)&lt;&gt;"SAMPLE",Config!$B$19="Y")),IFERROR(N(INDEX(Clay_Offices!$A$2:$FZ$601,520,Sync!$C$11)),0),"")</f>
        <v/>
      </c>
      <c r="C2171" s="23" t="str">
        <f aca="false">IF(B2171="","","office")</f>
        <v/>
      </c>
      <c r="D2171" s="23" t="str">
        <f aca="false">IF(B2171="","",IFERROR(INDEX(Office_Log!$ED$2:$ED$201,MATCH(IFERROR(INDEX(Clay_Offices!$A$2:$FZ$601,520,Sync!$C$5)&amp;"",""),Office_Log!$A$2:$A$201,0))&amp;"",IFERROR(INDEX(Clay_Offices!$A$2:$FZ$601,520,Sync!$C$5)&amp;"","")&amp;""))</f>
        <v/>
      </c>
      <c r="E2171" s="23" t="str">
        <f aca="false">IF(B2171="","",IFERROR(INDEX(Clay_Offices!$A$2:$FZ$601,520,Sync!$C$6)&amp;"",""))</f>
        <v/>
      </c>
      <c r="F2171" s="23" t="str">
        <f aca="false">IF(B2171="","","outreach_sent")</f>
        <v/>
      </c>
      <c r="G2171" s="23" t="str">
        <f aca="false">IF(B2171="","","")</f>
        <v/>
      </c>
      <c r="H2171" s="23" t="str">
        <f aca="false">IF(B2171="","","")</f>
        <v/>
      </c>
      <c r="I2171" s="23" t="str">
        <f aca="false">IF(B2171="","","")</f>
        <v/>
      </c>
      <c r="J2171" s="23" t="str">
        <f aca="false">IF(B2171="","","touch_1; "&amp;IFERROR(INDEX(Clay_Offices!$A$2:$FZ$601,520,Sync!$C$10)&amp;"","")&amp;"; "&amp;IFERROR(INDEX(Clay_Offices!$A$2:$FZ$601,520,Sync!$C$9)&amp;"",""))</f>
        <v/>
      </c>
      <c r="K2171" s="32" t="s">
        <v>1363</v>
      </c>
    </row>
    <row r="2172" customFormat="false" ht="15" hidden="false" customHeight="false" outlineLevel="0" collapsed="false">
      <c r="A2172" s="23" t="str">
        <f aca="false">IF(B2172="","",B2172+(12*1000+521)/10000000)</f>
        <v/>
      </c>
      <c r="B2172" s="35" t="str">
        <f aca="false">IF(AND(IFERROR(N(INDEX(Clay_Offices!$A$2:$FZ$601,521,Sync!$C$11)),0)&gt;0,IFERROR(INDEX(Clay_Offices!$A$2:$FZ$601,521,Sync!$C$5)&amp;"","")&lt;&gt;"",OR(LEFT(IFERROR(INDEX(Clay_Offices!$A$2:$FZ$601,521,Sync!$C$5)&amp;"",""),6)&lt;&gt;"SAMPLE",Config!$B$19="Y")),IFERROR(N(INDEX(Clay_Offices!$A$2:$FZ$601,521,Sync!$C$11)),0),"")</f>
        <v/>
      </c>
      <c r="C2172" s="23" t="str">
        <f aca="false">IF(B2172="","","office")</f>
        <v/>
      </c>
      <c r="D2172" s="23" t="str">
        <f aca="false">IF(B2172="","",IFERROR(INDEX(Office_Log!$ED$2:$ED$201,MATCH(IFERROR(INDEX(Clay_Offices!$A$2:$FZ$601,521,Sync!$C$5)&amp;"",""),Office_Log!$A$2:$A$201,0))&amp;"",IFERROR(INDEX(Clay_Offices!$A$2:$FZ$601,521,Sync!$C$5)&amp;"","")&amp;""))</f>
        <v/>
      </c>
      <c r="E2172" s="23" t="str">
        <f aca="false">IF(B2172="","",IFERROR(INDEX(Clay_Offices!$A$2:$FZ$601,521,Sync!$C$6)&amp;"",""))</f>
        <v/>
      </c>
      <c r="F2172" s="23" t="str">
        <f aca="false">IF(B2172="","","outreach_sent")</f>
        <v/>
      </c>
      <c r="G2172" s="23" t="str">
        <f aca="false">IF(B2172="","","")</f>
        <v/>
      </c>
      <c r="H2172" s="23" t="str">
        <f aca="false">IF(B2172="","","")</f>
        <v/>
      </c>
      <c r="I2172" s="23" t="str">
        <f aca="false">IF(B2172="","","")</f>
        <v/>
      </c>
      <c r="J2172" s="23" t="str">
        <f aca="false">IF(B2172="","","touch_1; "&amp;IFERROR(INDEX(Clay_Offices!$A$2:$FZ$601,521,Sync!$C$10)&amp;"","")&amp;"; "&amp;IFERROR(INDEX(Clay_Offices!$A$2:$FZ$601,521,Sync!$C$9)&amp;"",""))</f>
        <v/>
      </c>
      <c r="K2172" s="32" t="s">
        <v>1363</v>
      </c>
    </row>
    <row r="2173" customFormat="false" ht="15" hidden="false" customHeight="false" outlineLevel="0" collapsed="false">
      <c r="A2173" s="23" t="str">
        <f aca="false">IF(B2173="","",B2173+(12*1000+522)/10000000)</f>
        <v/>
      </c>
      <c r="B2173" s="35" t="str">
        <f aca="false">IF(AND(IFERROR(N(INDEX(Clay_Offices!$A$2:$FZ$601,522,Sync!$C$11)),0)&gt;0,IFERROR(INDEX(Clay_Offices!$A$2:$FZ$601,522,Sync!$C$5)&amp;"","")&lt;&gt;"",OR(LEFT(IFERROR(INDEX(Clay_Offices!$A$2:$FZ$601,522,Sync!$C$5)&amp;"",""),6)&lt;&gt;"SAMPLE",Config!$B$19="Y")),IFERROR(N(INDEX(Clay_Offices!$A$2:$FZ$601,522,Sync!$C$11)),0),"")</f>
        <v/>
      </c>
      <c r="C2173" s="23" t="str">
        <f aca="false">IF(B2173="","","office")</f>
        <v/>
      </c>
      <c r="D2173" s="23" t="str">
        <f aca="false">IF(B2173="","",IFERROR(INDEX(Office_Log!$ED$2:$ED$201,MATCH(IFERROR(INDEX(Clay_Offices!$A$2:$FZ$601,522,Sync!$C$5)&amp;"",""),Office_Log!$A$2:$A$201,0))&amp;"",IFERROR(INDEX(Clay_Offices!$A$2:$FZ$601,522,Sync!$C$5)&amp;"","")&amp;""))</f>
        <v/>
      </c>
      <c r="E2173" s="23" t="str">
        <f aca="false">IF(B2173="","",IFERROR(INDEX(Clay_Offices!$A$2:$FZ$601,522,Sync!$C$6)&amp;"",""))</f>
        <v/>
      </c>
      <c r="F2173" s="23" t="str">
        <f aca="false">IF(B2173="","","outreach_sent")</f>
        <v/>
      </c>
      <c r="G2173" s="23" t="str">
        <f aca="false">IF(B2173="","","")</f>
        <v/>
      </c>
      <c r="H2173" s="23" t="str">
        <f aca="false">IF(B2173="","","")</f>
        <v/>
      </c>
      <c r="I2173" s="23" t="str">
        <f aca="false">IF(B2173="","","")</f>
        <v/>
      </c>
      <c r="J2173" s="23" t="str">
        <f aca="false">IF(B2173="","","touch_1; "&amp;IFERROR(INDEX(Clay_Offices!$A$2:$FZ$601,522,Sync!$C$10)&amp;"","")&amp;"; "&amp;IFERROR(INDEX(Clay_Offices!$A$2:$FZ$601,522,Sync!$C$9)&amp;"",""))</f>
        <v/>
      </c>
      <c r="K2173" s="32" t="s">
        <v>1363</v>
      </c>
    </row>
    <row r="2174" customFormat="false" ht="15" hidden="false" customHeight="false" outlineLevel="0" collapsed="false">
      <c r="A2174" s="23" t="str">
        <f aca="false">IF(B2174="","",B2174+(12*1000+523)/10000000)</f>
        <v/>
      </c>
      <c r="B2174" s="35" t="str">
        <f aca="false">IF(AND(IFERROR(N(INDEX(Clay_Offices!$A$2:$FZ$601,523,Sync!$C$11)),0)&gt;0,IFERROR(INDEX(Clay_Offices!$A$2:$FZ$601,523,Sync!$C$5)&amp;"","")&lt;&gt;"",OR(LEFT(IFERROR(INDEX(Clay_Offices!$A$2:$FZ$601,523,Sync!$C$5)&amp;"",""),6)&lt;&gt;"SAMPLE",Config!$B$19="Y")),IFERROR(N(INDEX(Clay_Offices!$A$2:$FZ$601,523,Sync!$C$11)),0),"")</f>
        <v/>
      </c>
      <c r="C2174" s="23" t="str">
        <f aca="false">IF(B2174="","","office")</f>
        <v/>
      </c>
      <c r="D2174" s="23" t="str">
        <f aca="false">IF(B2174="","",IFERROR(INDEX(Office_Log!$ED$2:$ED$201,MATCH(IFERROR(INDEX(Clay_Offices!$A$2:$FZ$601,523,Sync!$C$5)&amp;"",""),Office_Log!$A$2:$A$201,0))&amp;"",IFERROR(INDEX(Clay_Offices!$A$2:$FZ$601,523,Sync!$C$5)&amp;"","")&amp;""))</f>
        <v/>
      </c>
      <c r="E2174" s="23" t="str">
        <f aca="false">IF(B2174="","",IFERROR(INDEX(Clay_Offices!$A$2:$FZ$601,523,Sync!$C$6)&amp;"",""))</f>
        <v/>
      </c>
      <c r="F2174" s="23" t="str">
        <f aca="false">IF(B2174="","","outreach_sent")</f>
        <v/>
      </c>
      <c r="G2174" s="23" t="str">
        <f aca="false">IF(B2174="","","")</f>
        <v/>
      </c>
      <c r="H2174" s="23" t="str">
        <f aca="false">IF(B2174="","","")</f>
        <v/>
      </c>
      <c r="I2174" s="23" t="str">
        <f aca="false">IF(B2174="","","")</f>
        <v/>
      </c>
      <c r="J2174" s="23" t="str">
        <f aca="false">IF(B2174="","","touch_1; "&amp;IFERROR(INDEX(Clay_Offices!$A$2:$FZ$601,523,Sync!$C$10)&amp;"","")&amp;"; "&amp;IFERROR(INDEX(Clay_Offices!$A$2:$FZ$601,523,Sync!$C$9)&amp;"",""))</f>
        <v/>
      </c>
      <c r="K2174" s="32" t="s">
        <v>1363</v>
      </c>
    </row>
    <row r="2175" customFormat="false" ht="15" hidden="false" customHeight="false" outlineLevel="0" collapsed="false">
      <c r="A2175" s="23" t="str">
        <f aca="false">IF(B2175="","",B2175+(12*1000+524)/10000000)</f>
        <v/>
      </c>
      <c r="B2175" s="35" t="str">
        <f aca="false">IF(AND(IFERROR(N(INDEX(Clay_Offices!$A$2:$FZ$601,524,Sync!$C$11)),0)&gt;0,IFERROR(INDEX(Clay_Offices!$A$2:$FZ$601,524,Sync!$C$5)&amp;"","")&lt;&gt;"",OR(LEFT(IFERROR(INDEX(Clay_Offices!$A$2:$FZ$601,524,Sync!$C$5)&amp;"",""),6)&lt;&gt;"SAMPLE",Config!$B$19="Y")),IFERROR(N(INDEX(Clay_Offices!$A$2:$FZ$601,524,Sync!$C$11)),0),"")</f>
        <v/>
      </c>
      <c r="C2175" s="23" t="str">
        <f aca="false">IF(B2175="","","office")</f>
        <v/>
      </c>
      <c r="D2175" s="23" t="str">
        <f aca="false">IF(B2175="","",IFERROR(INDEX(Office_Log!$ED$2:$ED$201,MATCH(IFERROR(INDEX(Clay_Offices!$A$2:$FZ$601,524,Sync!$C$5)&amp;"",""),Office_Log!$A$2:$A$201,0))&amp;"",IFERROR(INDEX(Clay_Offices!$A$2:$FZ$601,524,Sync!$C$5)&amp;"","")&amp;""))</f>
        <v/>
      </c>
      <c r="E2175" s="23" t="str">
        <f aca="false">IF(B2175="","",IFERROR(INDEX(Clay_Offices!$A$2:$FZ$601,524,Sync!$C$6)&amp;"",""))</f>
        <v/>
      </c>
      <c r="F2175" s="23" t="str">
        <f aca="false">IF(B2175="","","outreach_sent")</f>
        <v/>
      </c>
      <c r="G2175" s="23" t="str">
        <f aca="false">IF(B2175="","","")</f>
        <v/>
      </c>
      <c r="H2175" s="23" t="str">
        <f aca="false">IF(B2175="","","")</f>
        <v/>
      </c>
      <c r="I2175" s="23" t="str">
        <f aca="false">IF(B2175="","","")</f>
        <v/>
      </c>
      <c r="J2175" s="23" t="str">
        <f aca="false">IF(B2175="","","touch_1; "&amp;IFERROR(INDEX(Clay_Offices!$A$2:$FZ$601,524,Sync!$C$10)&amp;"","")&amp;"; "&amp;IFERROR(INDEX(Clay_Offices!$A$2:$FZ$601,524,Sync!$C$9)&amp;"",""))</f>
        <v/>
      </c>
      <c r="K2175" s="32" t="s">
        <v>1363</v>
      </c>
    </row>
    <row r="2176" customFormat="false" ht="15" hidden="false" customHeight="false" outlineLevel="0" collapsed="false">
      <c r="A2176" s="23" t="str">
        <f aca="false">IF(B2176="","",B2176+(12*1000+525)/10000000)</f>
        <v/>
      </c>
      <c r="B2176" s="35" t="str">
        <f aca="false">IF(AND(IFERROR(N(INDEX(Clay_Offices!$A$2:$FZ$601,525,Sync!$C$11)),0)&gt;0,IFERROR(INDEX(Clay_Offices!$A$2:$FZ$601,525,Sync!$C$5)&amp;"","")&lt;&gt;"",OR(LEFT(IFERROR(INDEX(Clay_Offices!$A$2:$FZ$601,525,Sync!$C$5)&amp;"",""),6)&lt;&gt;"SAMPLE",Config!$B$19="Y")),IFERROR(N(INDEX(Clay_Offices!$A$2:$FZ$601,525,Sync!$C$11)),0),"")</f>
        <v/>
      </c>
      <c r="C2176" s="23" t="str">
        <f aca="false">IF(B2176="","","office")</f>
        <v/>
      </c>
      <c r="D2176" s="23" t="str">
        <f aca="false">IF(B2176="","",IFERROR(INDEX(Office_Log!$ED$2:$ED$201,MATCH(IFERROR(INDEX(Clay_Offices!$A$2:$FZ$601,525,Sync!$C$5)&amp;"",""),Office_Log!$A$2:$A$201,0))&amp;"",IFERROR(INDEX(Clay_Offices!$A$2:$FZ$601,525,Sync!$C$5)&amp;"","")&amp;""))</f>
        <v/>
      </c>
      <c r="E2176" s="23" t="str">
        <f aca="false">IF(B2176="","",IFERROR(INDEX(Clay_Offices!$A$2:$FZ$601,525,Sync!$C$6)&amp;"",""))</f>
        <v/>
      </c>
      <c r="F2176" s="23" t="str">
        <f aca="false">IF(B2176="","","outreach_sent")</f>
        <v/>
      </c>
      <c r="G2176" s="23" t="str">
        <f aca="false">IF(B2176="","","")</f>
        <v/>
      </c>
      <c r="H2176" s="23" t="str">
        <f aca="false">IF(B2176="","","")</f>
        <v/>
      </c>
      <c r="I2176" s="23" t="str">
        <f aca="false">IF(B2176="","","")</f>
        <v/>
      </c>
      <c r="J2176" s="23" t="str">
        <f aca="false">IF(B2176="","","touch_1; "&amp;IFERROR(INDEX(Clay_Offices!$A$2:$FZ$601,525,Sync!$C$10)&amp;"","")&amp;"; "&amp;IFERROR(INDEX(Clay_Offices!$A$2:$FZ$601,525,Sync!$C$9)&amp;"",""))</f>
        <v/>
      </c>
      <c r="K2176" s="32" t="s">
        <v>1363</v>
      </c>
    </row>
    <row r="2177" customFormat="false" ht="15" hidden="false" customHeight="false" outlineLevel="0" collapsed="false">
      <c r="A2177" s="23" t="str">
        <f aca="false">IF(B2177="","",B2177+(12*1000+526)/10000000)</f>
        <v/>
      </c>
      <c r="B2177" s="35" t="str">
        <f aca="false">IF(AND(IFERROR(N(INDEX(Clay_Offices!$A$2:$FZ$601,526,Sync!$C$11)),0)&gt;0,IFERROR(INDEX(Clay_Offices!$A$2:$FZ$601,526,Sync!$C$5)&amp;"","")&lt;&gt;"",OR(LEFT(IFERROR(INDEX(Clay_Offices!$A$2:$FZ$601,526,Sync!$C$5)&amp;"",""),6)&lt;&gt;"SAMPLE",Config!$B$19="Y")),IFERROR(N(INDEX(Clay_Offices!$A$2:$FZ$601,526,Sync!$C$11)),0),"")</f>
        <v/>
      </c>
      <c r="C2177" s="23" t="str">
        <f aca="false">IF(B2177="","","office")</f>
        <v/>
      </c>
      <c r="D2177" s="23" t="str">
        <f aca="false">IF(B2177="","",IFERROR(INDEX(Office_Log!$ED$2:$ED$201,MATCH(IFERROR(INDEX(Clay_Offices!$A$2:$FZ$601,526,Sync!$C$5)&amp;"",""),Office_Log!$A$2:$A$201,0))&amp;"",IFERROR(INDEX(Clay_Offices!$A$2:$FZ$601,526,Sync!$C$5)&amp;"","")&amp;""))</f>
        <v/>
      </c>
      <c r="E2177" s="23" t="str">
        <f aca="false">IF(B2177="","",IFERROR(INDEX(Clay_Offices!$A$2:$FZ$601,526,Sync!$C$6)&amp;"",""))</f>
        <v/>
      </c>
      <c r="F2177" s="23" t="str">
        <f aca="false">IF(B2177="","","outreach_sent")</f>
        <v/>
      </c>
      <c r="G2177" s="23" t="str">
        <f aca="false">IF(B2177="","","")</f>
        <v/>
      </c>
      <c r="H2177" s="23" t="str">
        <f aca="false">IF(B2177="","","")</f>
        <v/>
      </c>
      <c r="I2177" s="23" t="str">
        <f aca="false">IF(B2177="","","")</f>
        <v/>
      </c>
      <c r="J2177" s="23" t="str">
        <f aca="false">IF(B2177="","","touch_1; "&amp;IFERROR(INDEX(Clay_Offices!$A$2:$FZ$601,526,Sync!$C$10)&amp;"","")&amp;"; "&amp;IFERROR(INDEX(Clay_Offices!$A$2:$FZ$601,526,Sync!$C$9)&amp;"",""))</f>
        <v/>
      </c>
      <c r="K2177" s="32" t="s">
        <v>1363</v>
      </c>
    </row>
    <row r="2178" customFormat="false" ht="15" hidden="false" customHeight="false" outlineLevel="0" collapsed="false">
      <c r="A2178" s="23" t="str">
        <f aca="false">IF(B2178="","",B2178+(12*1000+527)/10000000)</f>
        <v/>
      </c>
      <c r="B2178" s="35" t="str">
        <f aca="false">IF(AND(IFERROR(N(INDEX(Clay_Offices!$A$2:$FZ$601,527,Sync!$C$11)),0)&gt;0,IFERROR(INDEX(Clay_Offices!$A$2:$FZ$601,527,Sync!$C$5)&amp;"","")&lt;&gt;"",OR(LEFT(IFERROR(INDEX(Clay_Offices!$A$2:$FZ$601,527,Sync!$C$5)&amp;"",""),6)&lt;&gt;"SAMPLE",Config!$B$19="Y")),IFERROR(N(INDEX(Clay_Offices!$A$2:$FZ$601,527,Sync!$C$11)),0),"")</f>
        <v/>
      </c>
      <c r="C2178" s="23" t="str">
        <f aca="false">IF(B2178="","","office")</f>
        <v/>
      </c>
      <c r="D2178" s="23" t="str">
        <f aca="false">IF(B2178="","",IFERROR(INDEX(Office_Log!$ED$2:$ED$201,MATCH(IFERROR(INDEX(Clay_Offices!$A$2:$FZ$601,527,Sync!$C$5)&amp;"",""),Office_Log!$A$2:$A$201,0))&amp;"",IFERROR(INDEX(Clay_Offices!$A$2:$FZ$601,527,Sync!$C$5)&amp;"","")&amp;""))</f>
        <v/>
      </c>
      <c r="E2178" s="23" t="str">
        <f aca="false">IF(B2178="","",IFERROR(INDEX(Clay_Offices!$A$2:$FZ$601,527,Sync!$C$6)&amp;"",""))</f>
        <v/>
      </c>
      <c r="F2178" s="23" t="str">
        <f aca="false">IF(B2178="","","outreach_sent")</f>
        <v/>
      </c>
      <c r="G2178" s="23" t="str">
        <f aca="false">IF(B2178="","","")</f>
        <v/>
      </c>
      <c r="H2178" s="23" t="str">
        <f aca="false">IF(B2178="","","")</f>
        <v/>
      </c>
      <c r="I2178" s="23" t="str">
        <f aca="false">IF(B2178="","","")</f>
        <v/>
      </c>
      <c r="J2178" s="23" t="str">
        <f aca="false">IF(B2178="","","touch_1; "&amp;IFERROR(INDEX(Clay_Offices!$A$2:$FZ$601,527,Sync!$C$10)&amp;"","")&amp;"; "&amp;IFERROR(INDEX(Clay_Offices!$A$2:$FZ$601,527,Sync!$C$9)&amp;"",""))</f>
        <v/>
      </c>
      <c r="K2178" s="32" t="s">
        <v>1363</v>
      </c>
    </row>
    <row r="2179" customFormat="false" ht="15" hidden="false" customHeight="false" outlineLevel="0" collapsed="false">
      <c r="A2179" s="23" t="str">
        <f aca="false">IF(B2179="","",B2179+(12*1000+528)/10000000)</f>
        <v/>
      </c>
      <c r="B2179" s="35" t="str">
        <f aca="false">IF(AND(IFERROR(N(INDEX(Clay_Offices!$A$2:$FZ$601,528,Sync!$C$11)),0)&gt;0,IFERROR(INDEX(Clay_Offices!$A$2:$FZ$601,528,Sync!$C$5)&amp;"","")&lt;&gt;"",OR(LEFT(IFERROR(INDEX(Clay_Offices!$A$2:$FZ$601,528,Sync!$C$5)&amp;"",""),6)&lt;&gt;"SAMPLE",Config!$B$19="Y")),IFERROR(N(INDEX(Clay_Offices!$A$2:$FZ$601,528,Sync!$C$11)),0),"")</f>
        <v/>
      </c>
      <c r="C2179" s="23" t="str">
        <f aca="false">IF(B2179="","","office")</f>
        <v/>
      </c>
      <c r="D2179" s="23" t="str">
        <f aca="false">IF(B2179="","",IFERROR(INDEX(Office_Log!$ED$2:$ED$201,MATCH(IFERROR(INDEX(Clay_Offices!$A$2:$FZ$601,528,Sync!$C$5)&amp;"",""),Office_Log!$A$2:$A$201,0))&amp;"",IFERROR(INDEX(Clay_Offices!$A$2:$FZ$601,528,Sync!$C$5)&amp;"","")&amp;""))</f>
        <v/>
      </c>
      <c r="E2179" s="23" t="str">
        <f aca="false">IF(B2179="","",IFERROR(INDEX(Clay_Offices!$A$2:$FZ$601,528,Sync!$C$6)&amp;"",""))</f>
        <v/>
      </c>
      <c r="F2179" s="23" t="str">
        <f aca="false">IF(B2179="","","outreach_sent")</f>
        <v/>
      </c>
      <c r="G2179" s="23" t="str">
        <f aca="false">IF(B2179="","","")</f>
        <v/>
      </c>
      <c r="H2179" s="23" t="str">
        <f aca="false">IF(B2179="","","")</f>
        <v/>
      </c>
      <c r="I2179" s="23" t="str">
        <f aca="false">IF(B2179="","","")</f>
        <v/>
      </c>
      <c r="J2179" s="23" t="str">
        <f aca="false">IF(B2179="","","touch_1; "&amp;IFERROR(INDEX(Clay_Offices!$A$2:$FZ$601,528,Sync!$C$10)&amp;"","")&amp;"; "&amp;IFERROR(INDEX(Clay_Offices!$A$2:$FZ$601,528,Sync!$C$9)&amp;"",""))</f>
        <v/>
      </c>
      <c r="K2179" s="32" t="s">
        <v>1363</v>
      </c>
    </row>
    <row r="2180" customFormat="false" ht="15" hidden="false" customHeight="false" outlineLevel="0" collapsed="false">
      <c r="A2180" s="23" t="str">
        <f aca="false">IF(B2180="","",B2180+(12*1000+529)/10000000)</f>
        <v/>
      </c>
      <c r="B2180" s="35" t="str">
        <f aca="false">IF(AND(IFERROR(N(INDEX(Clay_Offices!$A$2:$FZ$601,529,Sync!$C$11)),0)&gt;0,IFERROR(INDEX(Clay_Offices!$A$2:$FZ$601,529,Sync!$C$5)&amp;"","")&lt;&gt;"",OR(LEFT(IFERROR(INDEX(Clay_Offices!$A$2:$FZ$601,529,Sync!$C$5)&amp;"",""),6)&lt;&gt;"SAMPLE",Config!$B$19="Y")),IFERROR(N(INDEX(Clay_Offices!$A$2:$FZ$601,529,Sync!$C$11)),0),"")</f>
        <v/>
      </c>
      <c r="C2180" s="23" t="str">
        <f aca="false">IF(B2180="","","office")</f>
        <v/>
      </c>
      <c r="D2180" s="23" t="str">
        <f aca="false">IF(B2180="","",IFERROR(INDEX(Office_Log!$ED$2:$ED$201,MATCH(IFERROR(INDEX(Clay_Offices!$A$2:$FZ$601,529,Sync!$C$5)&amp;"",""),Office_Log!$A$2:$A$201,0))&amp;"",IFERROR(INDEX(Clay_Offices!$A$2:$FZ$601,529,Sync!$C$5)&amp;"","")&amp;""))</f>
        <v/>
      </c>
      <c r="E2180" s="23" t="str">
        <f aca="false">IF(B2180="","",IFERROR(INDEX(Clay_Offices!$A$2:$FZ$601,529,Sync!$C$6)&amp;"",""))</f>
        <v/>
      </c>
      <c r="F2180" s="23" t="str">
        <f aca="false">IF(B2180="","","outreach_sent")</f>
        <v/>
      </c>
      <c r="G2180" s="23" t="str">
        <f aca="false">IF(B2180="","","")</f>
        <v/>
      </c>
      <c r="H2180" s="23" t="str">
        <f aca="false">IF(B2180="","","")</f>
        <v/>
      </c>
      <c r="I2180" s="23" t="str">
        <f aca="false">IF(B2180="","","")</f>
        <v/>
      </c>
      <c r="J2180" s="23" t="str">
        <f aca="false">IF(B2180="","","touch_1; "&amp;IFERROR(INDEX(Clay_Offices!$A$2:$FZ$601,529,Sync!$C$10)&amp;"","")&amp;"; "&amp;IFERROR(INDEX(Clay_Offices!$A$2:$FZ$601,529,Sync!$C$9)&amp;"",""))</f>
        <v/>
      </c>
      <c r="K2180" s="32" t="s">
        <v>1363</v>
      </c>
    </row>
    <row r="2181" customFormat="false" ht="15" hidden="false" customHeight="false" outlineLevel="0" collapsed="false">
      <c r="A2181" s="23" t="str">
        <f aca="false">IF(B2181="","",B2181+(12*1000+530)/10000000)</f>
        <v/>
      </c>
      <c r="B2181" s="35" t="str">
        <f aca="false">IF(AND(IFERROR(N(INDEX(Clay_Offices!$A$2:$FZ$601,530,Sync!$C$11)),0)&gt;0,IFERROR(INDEX(Clay_Offices!$A$2:$FZ$601,530,Sync!$C$5)&amp;"","")&lt;&gt;"",OR(LEFT(IFERROR(INDEX(Clay_Offices!$A$2:$FZ$601,530,Sync!$C$5)&amp;"",""),6)&lt;&gt;"SAMPLE",Config!$B$19="Y")),IFERROR(N(INDEX(Clay_Offices!$A$2:$FZ$601,530,Sync!$C$11)),0),"")</f>
        <v/>
      </c>
      <c r="C2181" s="23" t="str">
        <f aca="false">IF(B2181="","","office")</f>
        <v/>
      </c>
      <c r="D2181" s="23" t="str">
        <f aca="false">IF(B2181="","",IFERROR(INDEX(Office_Log!$ED$2:$ED$201,MATCH(IFERROR(INDEX(Clay_Offices!$A$2:$FZ$601,530,Sync!$C$5)&amp;"",""),Office_Log!$A$2:$A$201,0))&amp;"",IFERROR(INDEX(Clay_Offices!$A$2:$FZ$601,530,Sync!$C$5)&amp;"","")&amp;""))</f>
        <v/>
      </c>
      <c r="E2181" s="23" t="str">
        <f aca="false">IF(B2181="","",IFERROR(INDEX(Clay_Offices!$A$2:$FZ$601,530,Sync!$C$6)&amp;"",""))</f>
        <v/>
      </c>
      <c r="F2181" s="23" t="str">
        <f aca="false">IF(B2181="","","outreach_sent")</f>
        <v/>
      </c>
      <c r="G2181" s="23" t="str">
        <f aca="false">IF(B2181="","","")</f>
        <v/>
      </c>
      <c r="H2181" s="23" t="str">
        <f aca="false">IF(B2181="","","")</f>
        <v/>
      </c>
      <c r="I2181" s="23" t="str">
        <f aca="false">IF(B2181="","","")</f>
        <v/>
      </c>
      <c r="J2181" s="23" t="str">
        <f aca="false">IF(B2181="","","touch_1; "&amp;IFERROR(INDEX(Clay_Offices!$A$2:$FZ$601,530,Sync!$C$10)&amp;"","")&amp;"; "&amp;IFERROR(INDEX(Clay_Offices!$A$2:$FZ$601,530,Sync!$C$9)&amp;"",""))</f>
        <v/>
      </c>
      <c r="K2181" s="32" t="s">
        <v>1363</v>
      </c>
    </row>
    <row r="2182" customFormat="false" ht="15" hidden="false" customHeight="false" outlineLevel="0" collapsed="false">
      <c r="A2182" s="23" t="str">
        <f aca="false">IF(B2182="","",B2182+(12*1000+531)/10000000)</f>
        <v/>
      </c>
      <c r="B2182" s="35" t="str">
        <f aca="false">IF(AND(IFERROR(N(INDEX(Clay_Offices!$A$2:$FZ$601,531,Sync!$C$11)),0)&gt;0,IFERROR(INDEX(Clay_Offices!$A$2:$FZ$601,531,Sync!$C$5)&amp;"","")&lt;&gt;"",OR(LEFT(IFERROR(INDEX(Clay_Offices!$A$2:$FZ$601,531,Sync!$C$5)&amp;"",""),6)&lt;&gt;"SAMPLE",Config!$B$19="Y")),IFERROR(N(INDEX(Clay_Offices!$A$2:$FZ$601,531,Sync!$C$11)),0),"")</f>
        <v/>
      </c>
      <c r="C2182" s="23" t="str">
        <f aca="false">IF(B2182="","","office")</f>
        <v/>
      </c>
      <c r="D2182" s="23" t="str">
        <f aca="false">IF(B2182="","",IFERROR(INDEX(Office_Log!$ED$2:$ED$201,MATCH(IFERROR(INDEX(Clay_Offices!$A$2:$FZ$601,531,Sync!$C$5)&amp;"",""),Office_Log!$A$2:$A$201,0))&amp;"",IFERROR(INDEX(Clay_Offices!$A$2:$FZ$601,531,Sync!$C$5)&amp;"","")&amp;""))</f>
        <v/>
      </c>
      <c r="E2182" s="23" t="str">
        <f aca="false">IF(B2182="","",IFERROR(INDEX(Clay_Offices!$A$2:$FZ$601,531,Sync!$C$6)&amp;"",""))</f>
        <v/>
      </c>
      <c r="F2182" s="23" t="str">
        <f aca="false">IF(B2182="","","outreach_sent")</f>
        <v/>
      </c>
      <c r="G2182" s="23" t="str">
        <f aca="false">IF(B2182="","","")</f>
        <v/>
      </c>
      <c r="H2182" s="23" t="str">
        <f aca="false">IF(B2182="","","")</f>
        <v/>
      </c>
      <c r="I2182" s="23" t="str">
        <f aca="false">IF(B2182="","","")</f>
        <v/>
      </c>
      <c r="J2182" s="23" t="str">
        <f aca="false">IF(B2182="","","touch_1; "&amp;IFERROR(INDEX(Clay_Offices!$A$2:$FZ$601,531,Sync!$C$10)&amp;"","")&amp;"; "&amp;IFERROR(INDEX(Clay_Offices!$A$2:$FZ$601,531,Sync!$C$9)&amp;"",""))</f>
        <v/>
      </c>
      <c r="K2182" s="32" t="s">
        <v>1363</v>
      </c>
    </row>
    <row r="2183" customFormat="false" ht="15" hidden="false" customHeight="false" outlineLevel="0" collapsed="false">
      <c r="A2183" s="23" t="str">
        <f aca="false">IF(B2183="","",B2183+(12*1000+532)/10000000)</f>
        <v/>
      </c>
      <c r="B2183" s="35" t="str">
        <f aca="false">IF(AND(IFERROR(N(INDEX(Clay_Offices!$A$2:$FZ$601,532,Sync!$C$11)),0)&gt;0,IFERROR(INDEX(Clay_Offices!$A$2:$FZ$601,532,Sync!$C$5)&amp;"","")&lt;&gt;"",OR(LEFT(IFERROR(INDEX(Clay_Offices!$A$2:$FZ$601,532,Sync!$C$5)&amp;"",""),6)&lt;&gt;"SAMPLE",Config!$B$19="Y")),IFERROR(N(INDEX(Clay_Offices!$A$2:$FZ$601,532,Sync!$C$11)),0),"")</f>
        <v/>
      </c>
      <c r="C2183" s="23" t="str">
        <f aca="false">IF(B2183="","","office")</f>
        <v/>
      </c>
      <c r="D2183" s="23" t="str">
        <f aca="false">IF(B2183="","",IFERROR(INDEX(Office_Log!$ED$2:$ED$201,MATCH(IFERROR(INDEX(Clay_Offices!$A$2:$FZ$601,532,Sync!$C$5)&amp;"",""),Office_Log!$A$2:$A$201,0))&amp;"",IFERROR(INDEX(Clay_Offices!$A$2:$FZ$601,532,Sync!$C$5)&amp;"","")&amp;""))</f>
        <v/>
      </c>
      <c r="E2183" s="23" t="str">
        <f aca="false">IF(B2183="","",IFERROR(INDEX(Clay_Offices!$A$2:$FZ$601,532,Sync!$C$6)&amp;"",""))</f>
        <v/>
      </c>
      <c r="F2183" s="23" t="str">
        <f aca="false">IF(B2183="","","outreach_sent")</f>
        <v/>
      </c>
      <c r="G2183" s="23" t="str">
        <f aca="false">IF(B2183="","","")</f>
        <v/>
      </c>
      <c r="H2183" s="23" t="str">
        <f aca="false">IF(B2183="","","")</f>
        <v/>
      </c>
      <c r="I2183" s="23" t="str">
        <f aca="false">IF(B2183="","","")</f>
        <v/>
      </c>
      <c r="J2183" s="23" t="str">
        <f aca="false">IF(B2183="","","touch_1; "&amp;IFERROR(INDEX(Clay_Offices!$A$2:$FZ$601,532,Sync!$C$10)&amp;"","")&amp;"; "&amp;IFERROR(INDEX(Clay_Offices!$A$2:$FZ$601,532,Sync!$C$9)&amp;"",""))</f>
        <v/>
      </c>
      <c r="K2183" s="32" t="s">
        <v>1363</v>
      </c>
    </row>
    <row r="2184" customFormat="false" ht="15" hidden="false" customHeight="false" outlineLevel="0" collapsed="false">
      <c r="A2184" s="23" t="str">
        <f aca="false">IF(B2184="","",B2184+(12*1000+533)/10000000)</f>
        <v/>
      </c>
      <c r="B2184" s="35" t="str">
        <f aca="false">IF(AND(IFERROR(N(INDEX(Clay_Offices!$A$2:$FZ$601,533,Sync!$C$11)),0)&gt;0,IFERROR(INDEX(Clay_Offices!$A$2:$FZ$601,533,Sync!$C$5)&amp;"","")&lt;&gt;"",OR(LEFT(IFERROR(INDEX(Clay_Offices!$A$2:$FZ$601,533,Sync!$C$5)&amp;"",""),6)&lt;&gt;"SAMPLE",Config!$B$19="Y")),IFERROR(N(INDEX(Clay_Offices!$A$2:$FZ$601,533,Sync!$C$11)),0),"")</f>
        <v/>
      </c>
      <c r="C2184" s="23" t="str">
        <f aca="false">IF(B2184="","","office")</f>
        <v/>
      </c>
      <c r="D2184" s="23" t="str">
        <f aca="false">IF(B2184="","",IFERROR(INDEX(Office_Log!$ED$2:$ED$201,MATCH(IFERROR(INDEX(Clay_Offices!$A$2:$FZ$601,533,Sync!$C$5)&amp;"",""),Office_Log!$A$2:$A$201,0))&amp;"",IFERROR(INDEX(Clay_Offices!$A$2:$FZ$601,533,Sync!$C$5)&amp;"","")&amp;""))</f>
        <v/>
      </c>
      <c r="E2184" s="23" t="str">
        <f aca="false">IF(B2184="","",IFERROR(INDEX(Clay_Offices!$A$2:$FZ$601,533,Sync!$C$6)&amp;"",""))</f>
        <v/>
      </c>
      <c r="F2184" s="23" t="str">
        <f aca="false">IF(B2184="","","outreach_sent")</f>
        <v/>
      </c>
      <c r="G2184" s="23" t="str">
        <f aca="false">IF(B2184="","","")</f>
        <v/>
      </c>
      <c r="H2184" s="23" t="str">
        <f aca="false">IF(B2184="","","")</f>
        <v/>
      </c>
      <c r="I2184" s="23" t="str">
        <f aca="false">IF(B2184="","","")</f>
        <v/>
      </c>
      <c r="J2184" s="23" t="str">
        <f aca="false">IF(B2184="","","touch_1; "&amp;IFERROR(INDEX(Clay_Offices!$A$2:$FZ$601,533,Sync!$C$10)&amp;"","")&amp;"; "&amp;IFERROR(INDEX(Clay_Offices!$A$2:$FZ$601,533,Sync!$C$9)&amp;"",""))</f>
        <v/>
      </c>
      <c r="K2184" s="32" t="s">
        <v>1363</v>
      </c>
    </row>
    <row r="2185" customFormat="false" ht="15" hidden="false" customHeight="false" outlineLevel="0" collapsed="false">
      <c r="A2185" s="23" t="str">
        <f aca="false">IF(B2185="","",B2185+(12*1000+534)/10000000)</f>
        <v/>
      </c>
      <c r="B2185" s="35" t="str">
        <f aca="false">IF(AND(IFERROR(N(INDEX(Clay_Offices!$A$2:$FZ$601,534,Sync!$C$11)),0)&gt;0,IFERROR(INDEX(Clay_Offices!$A$2:$FZ$601,534,Sync!$C$5)&amp;"","")&lt;&gt;"",OR(LEFT(IFERROR(INDEX(Clay_Offices!$A$2:$FZ$601,534,Sync!$C$5)&amp;"",""),6)&lt;&gt;"SAMPLE",Config!$B$19="Y")),IFERROR(N(INDEX(Clay_Offices!$A$2:$FZ$601,534,Sync!$C$11)),0),"")</f>
        <v/>
      </c>
      <c r="C2185" s="23" t="str">
        <f aca="false">IF(B2185="","","office")</f>
        <v/>
      </c>
      <c r="D2185" s="23" t="str">
        <f aca="false">IF(B2185="","",IFERROR(INDEX(Office_Log!$ED$2:$ED$201,MATCH(IFERROR(INDEX(Clay_Offices!$A$2:$FZ$601,534,Sync!$C$5)&amp;"",""),Office_Log!$A$2:$A$201,0))&amp;"",IFERROR(INDEX(Clay_Offices!$A$2:$FZ$601,534,Sync!$C$5)&amp;"","")&amp;""))</f>
        <v/>
      </c>
      <c r="E2185" s="23" t="str">
        <f aca="false">IF(B2185="","",IFERROR(INDEX(Clay_Offices!$A$2:$FZ$601,534,Sync!$C$6)&amp;"",""))</f>
        <v/>
      </c>
      <c r="F2185" s="23" t="str">
        <f aca="false">IF(B2185="","","outreach_sent")</f>
        <v/>
      </c>
      <c r="G2185" s="23" t="str">
        <f aca="false">IF(B2185="","","")</f>
        <v/>
      </c>
      <c r="H2185" s="23" t="str">
        <f aca="false">IF(B2185="","","")</f>
        <v/>
      </c>
      <c r="I2185" s="23" t="str">
        <f aca="false">IF(B2185="","","")</f>
        <v/>
      </c>
      <c r="J2185" s="23" t="str">
        <f aca="false">IF(B2185="","","touch_1; "&amp;IFERROR(INDEX(Clay_Offices!$A$2:$FZ$601,534,Sync!$C$10)&amp;"","")&amp;"; "&amp;IFERROR(INDEX(Clay_Offices!$A$2:$FZ$601,534,Sync!$C$9)&amp;"",""))</f>
        <v/>
      </c>
      <c r="K2185" s="32" t="s">
        <v>1363</v>
      </c>
    </row>
    <row r="2186" customFormat="false" ht="15" hidden="false" customHeight="false" outlineLevel="0" collapsed="false">
      <c r="A2186" s="23" t="str">
        <f aca="false">IF(B2186="","",B2186+(12*1000+535)/10000000)</f>
        <v/>
      </c>
      <c r="B2186" s="35" t="str">
        <f aca="false">IF(AND(IFERROR(N(INDEX(Clay_Offices!$A$2:$FZ$601,535,Sync!$C$11)),0)&gt;0,IFERROR(INDEX(Clay_Offices!$A$2:$FZ$601,535,Sync!$C$5)&amp;"","")&lt;&gt;"",OR(LEFT(IFERROR(INDEX(Clay_Offices!$A$2:$FZ$601,535,Sync!$C$5)&amp;"",""),6)&lt;&gt;"SAMPLE",Config!$B$19="Y")),IFERROR(N(INDEX(Clay_Offices!$A$2:$FZ$601,535,Sync!$C$11)),0),"")</f>
        <v/>
      </c>
      <c r="C2186" s="23" t="str">
        <f aca="false">IF(B2186="","","office")</f>
        <v/>
      </c>
      <c r="D2186" s="23" t="str">
        <f aca="false">IF(B2186="","",IFERROR(INDEX(Office_Log!$ED$2:$ED$201,MATCH(IFERROR(INDEX(Clay_Offices!$A$2:$FZ$601,535,Sync!$C$5)&amp;"",""),Office_Log!$A$2:$A$201,0))&amp;"",IFERROR(INDEX(Clay_Offices!$A$2:$FZ$601,535,Sync!$C$5)&amp;"","")&amp;""))</f>
        <v/>
      </c>
      <c r="E2186" s="23" t="str">
        <f aca="false">IF(B2186="","",IFERROR(INDEX(Clay_Offices!$A$2:$FZ$601,535,Sync!$C$6)&amp;"",""))</f>
        <v/>
      </c>
      <c r="F2186" s="23" t="str">
        <f aca="false">IF(B2186="","","outreach_sent")</f>
        <v/>
      </c>
      <c r="G2186" s="23" t="str">
        <f aca="false">IF(B2186="","","")</f>
        <v/>
      </c>
      <c r="H2186" s="23" t="str">
        <f aca="false">IF(B2186="","","")</f>
        <v/>
      </c>
      <c r="I2186" s="23" t="str">
        <f aca="false">IF(B2186="","","")</f>
        <v/>
      </c>
      <c r="J2186" s="23" t="str">
        <f aca="false">IF(B2186="","","touch_1; "&amp;IFERROR(INDEX(Clay_Offices!$A$2:$FZ$601,535,Sync!$C$10)&amp;"","")&amp;"; "&amp;IFERROR(INDEX(Clay_Offices!$A$2:$FZ$601,535,Sync!$C$9)&amp;"",""))</f>
        <v/>
      </c>
      <c r="K2186" s="32" t="s">
        <v>1363</v>
      </c>
    </row>
    <row r="2187" customFormat="false" ht="15" hidden="false" customHeight="false" outlineLevel="0" collapsed="false">
      <c r="A2187" s="23" t="str">
        <f aca="false">IF(B2187="","",B2187+(12*1000+536)/10000000)</f>
        <v/>
      </c>
      <c r="B2187" s="35" t="str">
        <f aca="false">IF(AND(IFERROR(N(INDEX(Clay_Offices!$A$2:$FZ$601,536,Sync!$C$11)),0)&gt;0,IFERROR(INDEX(Clay_Offices!$A$2:$FZ$601,536,Sync!$C$5)&amp;"","")&lt;&gt;"",OR(LEFT(IFERROR(INDEX(Clay_Offices!$A$2:$FZ$601,536,Sync!$C$5)&amp;"",""),6)&lt;&gt;"SAMPLE",Config!$B$19="Y")),IFERROR(N(INDEX(Clay_Offices!$A$2:$FZ$601,536,Sync!$C$11)),0),"")</f>
        <v/>
      </c>
      <c r="C2187" s="23" t="str">
        <f aca="false">IF(B2187="","","office")</f>
        <v/>
      </c>
      <c r="D2187" s="23" t="str">
        <f aca="false">IF(B2187="","",IFERROR(INDEX(Office_Log!$ED$2:$ED$201,MATCH(IFERROR(INDEX(Clay_Offices!$A$2:$FZ$601,536,Sync!$C$5)&amp;"",""),Office_Log!$A$2:$A$201,0))&amp;"",IFERROR(INDEX(Clay_Offices!$A$2:$FZ$601,536,Sync!$C$5)&amp;"","")&amp;""))</f>
        <v/>
      </c>
      <c r="E2187" s="23" t="str">
        <f aca="false">IF(B2187="","",IFERROR(INDEX(Clay_Offices!$A$2:$FZ$601,536,Sync!$C$6)&amp;"",""))</f>
        <v/>
      </c>
      <c r="F2187" s="23" t="str">
        <f aca="false">IF(B2187="","","outreach_sent")</f>
        <v/>
      </c>
      <c r="G2187" s="23" t="str">
        <f aca="false">IF(B2187="","","")</f>
        <v/>
      </c>
      <c r="H2187" s="23" t="str">
        <f aca="false">IF(B2187="","","")</f>
        <v/>
      </c>
      <c r="I2187" s="23" t="str">
        <f aca="false">IF(B2187="","","")</f>
        <v/>
      </c>
      <c r="J2187" s="23" t="str">
        <f aca="false">IF(B2187="","","touch_1; "&amp;IFERROR(INDEX(Clay_Offices!$A$2:$FZ$601,536,Sync!$C$10)&amp;"","")&amp;"; "&amp;IFERROR(INDEX(Clay_Offices!$A$2:$FZ$601,536,Sync!$C$9)&amp;"",""))</f>
        <v/>
      </c>
      <c r="K2187" s="32" t="s">
        <v>1363</v>
      </c>
    </row>
    <row r="2188" customFormat="false" ht="15" hidden="false" customHeight="false" outlineLevel="0" collapsed="false">
      <c r="A2188" s="23" t="str">
        <f aca="false">IF(B2188="","",B2188+(12*1000+537)/10000000)</f>
        <v/>
      </c>
      <c r="B2188" s="35" t="str">
        <f aca="false">IF(AND(IFERROR(N(INDEX(Clay_Offices!$A$2:$FZ$601,537,Sync!$C$11)),0)&gt;0,IFERROR(INDEX(Clay_Offices!$A$2:$FZ$601,537,Sync!$C$5)&amp;"","")&lt;&gt;"",OR(LEFT(IFERROR(INDEX(Clay_Offices!$A$2:$FZ$601,537,Sync!$C$5)&amp;"",""),6)&lt;&gt;"SAMPLE",Config!$B$19="Y")),IFERROR(N(INDEX(Clay_Offices!$A$2:$FZ$601,537,Sync!$C$11)),0),"")</f>
        <v/>
      </c>
      <c r="C2188" s="23" t="str">
        <f aca="false">IF(B2188="","","office")</f>
        <v/>
      </c>
      <c r="D2188" s="23" t="str">
        <f aca="false">IF(B2188="","",IFERROR(INDEX(Office_Log!$ED$2:$ED$201,MATCH(IFERROR(INDEX(Clay_Offices!$A$2:$FZ$601,537,Sync!$C$5)&amp;"",""),Office_Log!$A$2:$A$201,0))&amp;"",IFERROR(INDEX(Clay_Offices!$A$2:$FZ$601,537,Sync!$C$5)&amp;"","")&amp;""))</f>
        <v/>
      </c>
      <c r="E2188" s="23" t="str">
        <f aca="false">IF(B2188="","",IFERROR(INDEX(Clay_Offices!$A$2:$FZ$601,537,Sync!$C$6)&amp;"",""))</f>
        <v/>
      </c>
      <c r="F2188" s="23" t="str">
        <f aca="false">IF(B2188="","","outreach_sent")</f>
        <v/>
      </c>
      <c r="G2188" s="23" t="str">
        <f aca="false">IF(B2188="","","")</f>
        <v/>
      </c>
      <c r="H2188" s="23" t="str">
        <f aca="false">IF(B2188="","","")</f>
        <v/>
      </c>
      <c r="I2188" s="23" t="str">
        <f aca="false">IF(B2188="","","")</f>
        <v/>
      </c>
      <c r="J2188" s="23" t="str">
        <f aca="false">IF(B2188="","","touch_1; "&amp;IFERROR(INDEX(Clay_Offices!$A$2:$FZ$601,537,Sync!$C$10)&amp;"","")&amp;"; "&amp;IFERROR(INDEX(Clay_Offices!$A$2:$FZ$601,537,Sync!$C$9)&amp;"",""))</f>
        <v/>
      </c>
      <c r="K2188" s="32" t="s">
        <v>1363</v>
      </c>
    </row>
    <row r="2189" customFormat="false" ht="15" hidden="false" customHeight="false" outlineLevel="0" collapsed="false">
      <c r="A2189" s="23" t="str">
        <f aca="false">IF(B2189="","",B2189+(12*1000+538)/10000000)</f>
        <v/>
      </c>
      <c r="B2189" s="35" t="str">
        <f aca="false">IF(AND(IFERROR(N(INDEX(Clay_Offices!$A$2:$FZ$601,538,Sync!$C$11)),0)&gt;0,IFERROR(INDEX(Clay_Offices!$A$2:$FZ$601,538,Sync!$C$5)&amp;"","")&lt;&gt;"",OR(LEFT(IFERROR(INDEX(Clay_Offices!$A$2:$FZ$601,538,Sync!$C$5)&amp;"",""),6)&lt;&gt;"SAMPLE",Config!$B$19="Y")),IFERROR(N(INDEX(Clay_Offices!$A$2:$FZ$601,538,Sync!$C$11)),0),"")</f>
        <v/>
      </c>
      <c r="C2189" s="23" t="str">
        <f aca="false">IF(B2189="","","office")</f>
        <v/>
      </c>
      <c r="D2189" s="23" t="str">
        <f aca="false">IF(B2189="","",IFERROR(INDEX(Office_Log!$ED$2:$ED$201,MATCH(IFERROR(INDEX(Clay_Offices!$A$2:$FZ$601,538,Sync!$C$5)&amp;"",""),Office_Log!$A$2:$A$201,0))&amp;"",IFERROR(INDEX(Clay_Offices!$A$2:$FZ$601,538,Sync!$C$5)&amp;"","")&amp;""))</f>
        <v/>
      </c>
      <c r="E2189" s="23" t="str">
        <f aca="false">IF(B2189="","",IFERROR(INDEX(Clay_Offices!$A$2:$FZ$601,538,Sync!$C$6)&amp;"",""))</f>
        <v/>
      </c>
      <c r="F2189" s="23" t="str">
        <f aca="false">IF(B2189="","","outreach_sent")</f>
        <v/>
      </c>
      <c r="G2189" s="23" t="str">
        <f aca="false">IF(B2189="","","")</f>
        <v/>
      </c>
      <c r="H2189" s="23" t="str">
        <f aca="false">IF(B2189="","","")</f>
        <v/>
      </c>
      <c r="I2189" s="23" t="str">
        <f aca="false">IF(B2189="","","")</f>
        <v/>
      </c>
      <c r="J2189" s="23" t="str">
        <f aca="false">IF(B2189="","","touch_1; "&amp;IFERROR(INDEX(Clay_Offices!$A$2:$FZ$601,538,Sync!$C$10)&amp;"","")&amp;"; "&amp;IFERROR(INDEX(Clay_Offices!$A$2:$FZ$601,538,Sync!$C$9)&amp;"",""))</f>
        <v/>
      </c>
      <c r="K2189" s="32" t="s">
        <v>1363</v>
      </c>
    </row>
    <row r="2190" customFormat="false" ht="15" hidden="false" customHeight="false" outlineLevel="0" collapsed="false">
      <c r="A2190" s="23" t="str">
        <f aca="false">IF(B2190="","",B2190+(12*1000+539)/10000000)</f>
        <v/>
      </c>
      <c r="B2190" s="35" t="str">
        <f aca="false">IF(AND(IFERROR(N(INDEX(Clay_Offices!$A$2:$FZ$601,539,Sync!$C$11)),0)&gt;0,IFERROR(INDEX(Clay_Offices!$A$2:$FZ$601,539,Sync!$C$5)&amp;"","")&lt;&gt;"",OR(LEFT(IFERROR(INDEX(Clay_Offices!$A$2:$FZ$601,539,Sync!$C$5)&amp;"",""),6)&lt;&gt;"SAMPLE",Config!$B$19="Y")),IFERROR(N(INDEX(Clay_Offices!$A$2:$FZ$601,539,Sync!$C$11)),0),"")</f>
        <v/>
      </c>
      <c r="C2190" s="23" t="str">
        <f aca="false">IF(B2190="","","office")</f>
        <v/>
      </c>
      <c r="D2190" s="23" t="str">
        <f aca="false">IF(B2190="","",IFERROR(INDEX(Office_Log!$ED$2:$ED$201,MATCH(IFERROR(INDEX(Clay_Offices!$A$2:$FZ$601,539,Sync!$C$5)&amp;"",""),Office_Log!$A$2:$A$201,0))&amp;"",IFERROR(INDEX(Clay_Offices!$A$2:$FZ$601,539,Sync!$C$5)&amp;"","")&amp;""))</f>
        <v/>
      </c>
      <c r="E2190" s="23" t="str">
        <f aca="false">IF(B2190="","",IFERROR(INDEX(Clay_Offices!$A$2:$FZ$601,539,Sync!$C$6)&amp;"",""))</f>
        <v/>
      </c>
      <c r="F2190" s="23" t="str">
        <f aca="false">IF(B2190="","","outreach_sent")</f>
        <v/>
      </c>
      <c r="G2190" s="23" t="str">
        <f aca="false">IF(B2190="","","")</f>
        <v/>
      </c>
      <c r="H2190" s="23" t="str">
        <f aca="false">IF(B2190="","","")</f>
        <v/>
      </c>
      <c r="I2190" s="23" t="str">
        <f aca="false">IF(B2190="","","")</f>
        <v/>
      </c>
      <c r="J2190" s="23" t="str">
        <f aca="false">IF(B2190="","","touch_1; "&amp;IFERROR(INDEX(Clay_Offices!$A$2:$FZ$601,539,Sync!$C$10)&amp;"","")&amp;"; "&amp;IFERROR(INDEX(Clay_Offices!$A$2:$FZ$601,539,Sync!$C$9)&amp;"",""))</f>
        <v/>
      </c>
      <c r="K2190" s="32" t="s">
        <v>1363</v>
      </c>
    </row>
    <row r="2191" customFormat="false" ht="15" hidden="false" customHeight="false" outlineLevel="0" collapsed="false">
      <c r="A2191" s="23" t="str">
        <f aca="false">IF(B2191="","",B2191+(12*1000+540)/10000000)</f>
        <v/>
      </c>
      <c r="B2191" s="35" t="str">
        <f aca="false">IF(AND(IFERROR(N(INDEX(Clay_Offices!$A$2:$FZ$601,540,Sync!$C$11)),0)&gt;0,IFERROR(INDEX(Clay_Offices!$A$2:$FZ$601,540,Sync!$C$5)&amp;"","")&lt;&gt;"",OR(LEFT(IFERROR(INDEX(Clay_Offices!$A$2:$FZ$601,540,Sync!$C$5)&amp;"",""),6)&lt;&gt;"SAMPLE",Config!$B$19="Y")),IFERROR(N(INDEX(Clay_Offices!$A$2:$FZ$601,540,Sync!$C$11)),0),"")</f>
        <v/>
      </c>
      <c r="C2191" s="23" t="str">
        <f aca="false">IF(B2191="","","office")</f>
        <v/>
      </c>
      <c r="D2191" s="23" t="str">
        <f aca="false">IF(B2191="","",IFERROR(INDEX(Office_Log!$ED$2:$ED$201,MATCH(IFERROR(INDEX(Clay_Offices!$A$2:$FZ$601,540,Sync!$C$5)&amp;"",""),Office_Log!$A$2:$A$201,0))&amp;"",IFERROR(INDEX(Clay_Offices!$A$2:$FZ$601,540,Sync!$C$5)&amp;"","")&amp;""))</f>
        <v/>
      </c>
      <c r="E2191" s="23" t="str">
        <f aca="false">IF(B2191="","",IFERROR(INDEX(Clay_Offices!$A$2:$FZ$601,540,Sync!$C$6)&amp;"",""))</f>
        <v/>
      </c>
      <c r="F2191" s="23" t="str">
        <f aca="false">IF(B2191="","","outreach_sent")</f>
        <v/>
      </c>
      <c r="G2191" s="23" t="str">
        <f aca="false">IF(B2191="","","")</f>
        <v/>
      </c>
      <c r="H2191" s="23" t="str">
        <f aca="false">IF(B2191="","","")</f>
        <v/>
      </c>
      <c r="I2191" s="23" t="str">
        <f aca="false">IF(B2191="","","")</f>
        <v/>
      </c>
      <c r="J2191" s="23" t="str">
        <f aca="false">IF(B2191="","","touch_1; "&amp;IFERROR(INDEX(Clay_Offices!$A$2:$FZ$601,540,Sync!$C$10)&amp;"","")&amp;"; "&amp;IFERROR(INDEX(Clay_Offices!$A$2:$FZ$601,540,Sync!$C$9)&amp;"",""))</f>
        <v/>
      </c>
      <c r="K2191" s="32" t="s">
        <v>1363</v>
      </c>
    </row>
    <row r="2192" customFormat="false" ht="15" hidden="false" customHeight="false" outlineLevel="0" collapsed="false">
      <c r="A2192" s="23" t="str">
        <f aca="false">IF(B2192="","",B2192+(12*1000+541)/10000000)</f>
        <v/>
      </c>
      <c r="B2192" s="35" t="str">
        <f aca="false">IF(AND(IFERROR(N(INDEX(Clay_Offices!$A$2:$FZ$601,541,Sync!$C$11)),0)&gt;0,IFERROR(INDEX(Clay_Offices!$A$2:$FZ$601,541,Sync!$C$5)&amp;"","")&lt;&gt;"",OR(LEFT(IFERROR(INDEX(Clay_Offices!$A$2:$FZ$601,541,Sync!$C$5)&amp;"",""),6)&lt;&gt;"SAMPLE",Config!$B$19="Y")),IFERROR(N(INDEX(Clay_Offices!$A$2:$FZ$601,541,Sync!$C$11)),0),"")</f>
        <v/>
      </c>
      <c r="C2192" s="23" t="str">
        <f aca="false">IF(B2192="","","office")</f>
        <v/>
      </c>
      <c r="D2192" s="23" t="str">
        <f aca="false">IF(B2192="","",IFERROR(INDEX(Office_Log!$ED$2:$ED$201,MATCH(IFERROR(INDEX(Clay_Offices!$A$2:$FZ$601,541,Sync!$C$5)&amp;"",""),Office_Log!$A$2:$A$201,0))&amp;"",IFERROR(INDEX(Clay_Offices!$A$2:$FZ$601,541,Sync!$C$5)&amp;"","")&amp;""))</f>
        <v/>
      </c>
      <c r="E2192" s="23" t="str">
        <f aca="false">IF(B2192="","",IFERROR(INDEX(Clay_Offices!$A$2:$FZ$601,541,Sync!$C$6)&amp;"",""))</f>
        <v/>
      </c>
      <c r="F2192" s="23" t="str">
        <f aca="false">IF(B2192="","","outreach_sent")</f>
        <v/>
      </c>
      <c r="G2192" s="23" t="str">
        <f aca="false">IF(B2192="","","")</f>
        <v/>
      </c>
      <c r="H2192" s="23" t="str">
        <f aca="false">IF(B2192="","","")</f>
        <v/>
      </c>
      <c r="I2192" s="23" t="str">
        <f aca="false">IF(B2192="","","")</f>
        <v/>
      </c>
      <c r="J2192" s="23" t="str">
        <f aca="false">IF(B2192="","","touch_1; "&amp;IFERROR(INDEX(Clay_Offices!$A$2:$FZ$601,541,Sync!$C$10)&amp;"","")&amp;"; "&amp;IFERROR(INDEX(Clay_Offices!$A$2:$FZ$601,541,Sync!$C$9)&amp;"",""))</f>
        <v/>
      </c>
      <c r="K2192" s="32" t="s">
        <v>1363</v>
      </c>
    </row>
    <row r="2193" customFormat="false" ht="15" hidden="false" customHeight="false" outlineLevel="0" collapsed="false">
      <c r="A2193" s="23" t="str">
        <f aca="false">IF(B2193="","",B2193+(12*1000+542)/10000000)</f>
        <v/>
      </c>
      <c r="B2193" s="35" t="str">
        <f aca="false">IF(AND(IFERROR(N(INDEX(Clay_Offices!$A$2:$FZ$601,542,Sync!$C$11)),0)&gt;0,IFERROR(INDEX(Clay_Offices!$A$2:$FZ$601,542,Sync!$C$5)&amp;"","")&lt;&gt;"",OR(LEFT(IFERROR(INDEX(Clay_Offices!$A$2:$FZ$601,542,Sync!$C$5)&amp;"",""),6)&lt;&gt;"SAMPLE",Config!$B$19="Y")),IFERROR(N(INDEX(Clay_Offices!$A$2:$FZ$601,542,Sync!$C$11)),0),"")</f>
        <v/>
      </c>
      <c r="C2193" s="23" t="str">
        <f aca="false">IF(B2193="","","office")</f>
        <v/>
      </c>
      <c r="D2193" s="23" t="str">
        <f aca="false">IF(B2193="","",IFERROR(INDEX(Office_Log!$ED$2:$ED$201,MATCH(IFERROR(INDEX(Clay_Offices!$A$2:$FZ$601,542,Sync!$C$5)&amp;"",""),Office_Log!$A$2:$A$201,0))&amp;"",IFERROR(INDEX(Clay_Offices!$A$2:$FZ$601,542,Sync!$C$5)&amp;"","")&amp;""))</f>
        <v/>
      </c>
      <c r="E2193" s="23" t="str">
        <f aca="false">IF(B2193="","",IFERROR(INDEX(Clay_Offices!$A$2:$FZ$601,542,Sync!$C$6)&amp;"",""))</f>
        <v/>
      </c>
      <c r="F2193" s="23" t="str">
        <f aca="false">IF(B2193="","","outreach_sent")</f>
        <v/>
      </c>
      <c r="G2193" s="23" t="str">
        <f aca="false">IF(B2193="","","")</f>
        <v/>
      </c>
      <c r="H2193" s="23" t="str">
        <f aca="false">IF(B2193="","","")</f>
        <v/>
      </c>
      <c r="I2193" s="23" t="str">
        <f aca="false">IF(B2193="","","")</f>
        <v/>
      </c>
      <c r="J2193" s="23" t="str">
        <f aca="false">IF(B2193="","","touch_1; "&amp;IFERROR(INDEX(Clay_Offices!$A$2:$FZ$601,542,Sync!$C$10)&amp;"","")&amp;"; "&amp;IFERROR(INDEX(Clay_Offices!$A$2:$FZ$601,542,Sync!$C$9)&amp;"",""))</f>
        <v/>
      </c>
      <c r="K2193" s="32" t="s">
        <v>1363</v>
      </c>
    </row>
    <row r="2194" customFormat="false" ht="15" hidden="false" customHeight="false" outlineLevel="0" collapsed="false">
      <c r="A2194" s="23" t="str">
        <f aca="false">IF(B2194="","",B2194+(12*1000+543)/10000000)</f>
        <v/>
      </c>
      <c r="B2194" s="35" t="str">
        <f aca="false">IF(AND(IFERROR(N(INDEX(Clay_Offices!$A$2:$FZ$601,543,Sync!$C$11)),0)&gt;0,IFERROR(INDEX(Clay_Offices!$A$2:$FZ$601,543,Sync!$C$5)&amp;"","")&lt;&gt;"",OR(LEFT(IFERROR(INDEX(Clay_Offices!$A$2:$FZ$601,543,Sync!$C$5)&amp;"",""),6)&lt;&gt;"SAMPLE",Config!$B$19="Y")),IFERROR(N(INDEX(Clay_Offices!$A$2:$FZ$601,543,Sync!$C$11)),0),"")</f>
        <v/>
      </c>
      <c r="C2194" s="23" t="str">
        <f aca="false">IF(B2194="","","office")</f>
        <v/>
      </c>
      <c r="D2194" s="23" t="str">
        <f aca="false">IF(B2194="","",IFERROR(INDEX(Office_Log!$ED$2:$ED$201,MATCH(IFERROR(INDEX(Clay_Offices!$A$2:$FZ$601,543,Sync!$C$5)&amp;"",""),Office_Log!$A$2:$A$201,0))&amp;"",IFERROR(INDEX(Clay_Offices!$A$2:$FZ$601,543,Sync!$C$5)&amp;"","")&amp;""))</f>
        <v/>
      </c>
      <c r="E2194" s="23" t="str">
        <f aca="false">IF(B2194="","",IFERROR(INDEX(Clay_Offices!$A$2:$FZ$601,543,Sync!$C$6)&amp;"",""))</f>
        <v/>
      </c>
      <c r="F2194" s="23" t="str">
        <f aca="false">IF(B2194="","","outreach_sent")</f>
        <v/>
      </c>
      <c r="G2194" s="23" t="str">
        <f aca="false">IF(B2194="","","")</f>
        <v/>
      </c>
      <c r="H2194" s="23" t="str">
        <f aca="false">IF(B2194="","","")</f>
        <v/>
      </c>
      <c r="I2194" s="23" t="str">
        <f aca="false">IF(B2194="","","")</f>
        <v/>
      </c>
      <c r="J2194" s="23" t="str">
        <f aca="false">IF(B2194="","","touch_1; "&amp;IFERROR(INDEX(Clay_Offices!$A$2:$FZ$601,543,Sync!$C$10)&amp;"","")&amp;"; "&amp;IFERROR(INDEX(Clay_Offices!$A$2:$FZ$601,543,Sync!$C$9)&amp;"",""))</f>
        <v/>
      </c>
      <c r="K2194" s="32" t="s">
        <v>1363</v>
      </c>
    </row>
    <row r="2195" customFormat="false" ht="15" hidden="false" customHeight="false" outlineLevel="0" collapsed="false">
      <c r="A2195" s="23" t="str">
        <f aca="false">IF(B2195="","",B2195+(12*1000+544)/10000000)</f>
        <v/>
      </c>
      <c r="B2195" s="35" t="str">
        <f aca="false">IF(AND(IFERROR(N(INDEX(Clay_Offices!$A$2:$FZ$601,544,Sync!$C$11)),0)&gt;0,IFERROR(INDEX(Clay_Offices!$A$2:$FZ$601,544,Sync!$C$5)&amp;"","")&lt;&gt;"",OR(LEFT(IFERROR(INDEX(Clay_Offices!$A$2:$FZ$601,544,Sync!$C$5)&amp;"",""),6)&lt;&gt;"SAMPLE",Config!$B$19="Y")),IFERROR(N(INDEX(Clay_Offices!$A$2:$FZ$601,544,Sync!$C$11)),0),"")</f>
        <v/>
      </c>
      <c r="C2195" s="23" t="str">
        <f aca="false">IF(B2195="","","office")</f>
        <v/>
      </c>
      <c r="D2195" s="23" t="str">
        <f aca="false">IF(B2195="","",IFERROR(INDEX(Office_Log!$ED$2:$ED$201,MATCH(IFERROR(INDEX(Clay_Offices!$A$2:$FZ$601,544,Sync!$C$5)&amp;"",""),Office_Log!$A$2:$A$201,0))&amp;"",IFERROR(INDEX(Clay_Offices!$A$2:$FZ$601,544,Sync!$C$5)&amp;"","")&amp;""))</f>
        <v/>
      </c>
      <c r="E2195" s="23" t="str">
        <f aca="false">IF(B2195="","",IFERROR(INDEX(Clay_Offices!$A$2:$FZ$601,544,Sync!$C$6)&amp;"",""))</f>
        <v/>
      </c>
      <c r="F2195" s="23" t="str">
        <f aca="false">IF(B2195="","","outreach_sent")</f>
        <v/>
      </c>
      <c r="G2195" s="23" t="str">
        <f aca="false">IF(B2195="","","")</f>
        <v/>
      </c>
      <c r="H2195" s="23" t="str">
        <f aca="false">IF(B2195="","","")</f>
        <v/>
      </c>
      <c r="I2195" s="23" t="str">
        <f aca="false">IF(B2195="","","")</f>
        <v/>
      </c>
      <c r="J2195" s="23" t="str">
        <f aca="false">IF(B2195="","","touch_1; "&amp;IFERROR(INDEX(Clay_Offices!$A$2:$FZ$601,544,Sync!$C$10)&amp;"","")&amp;"; "&amp;IFERROR(INDEX(Clay_Offices!$A$2:$FZ$601,544,Sync!$C$9)&amp;"",""))</f>
        <v/>
      </c>
      <c r="K2195" s="32" t="s">
        <v>1363</v>
      </c>
    </row>
    <row r="2196" customFormat="false" ht="15" hidden="false" customHeight="false" outlineLevel="0" collapsed="false">
      <c r="A2196" s="23" t="str">
        <f aca="false">IF(B2196="","",B2196+(12*1000+545)/10000000)</f>
        <v/>
      </c>
      <c r="B2196" s="35" t="str">
        <f aca="false">IF(AND(IFERROR(N(INDEX(Clay_Offices!$A$2:$FZ$601,545,Sync!$C$11)),0)&gt;0,IFERROR(INDEX(Clay_Offices!$A$2:$FZ$601,545,Sync!$C$5)&amp;"","")&lt;&gt;"",OR(LEFT(IFERROR(INDEX(Clay_Offices!$A$2:$FZ$601,545,Sync!$C$5)&amp;"",""),6)&lt;&gt;"SAMPLE",Config!$B$19="Y")),IFERROR(N(INDEX(Clay_Offices!$A$2:$FZ$601,545,Sync!$C$11)),0),"")</f>
        <v/>
      </c>
      <c r="C2196" s="23" t="str">
        <f aca="false">IF(B2196="","","office")</f>
        <v/>
      </c>
      <c r="D2196" s="23" t="str">
        <f aca="false">IF(B2196="","",IFERROR(INDEX(Office_Log!$ED$2:$ED$201,MATCH(IFERROR(INDEX(Clay_Offices!$A$2:$FZ$601,545,Sync!$C$5)&amp;"",""),Office_Log!$A$2:$A$201,0))&amp;"",IFERROR(INDEX(Clay_Offices!$A$2:$FZ$601,545,Sync!$C$5)&amp;"","")&amp;""))</f>
        <v/>
      </c>
      <c r="E2196" s="23" t="str">
        <f aca="false">IF(B2196="","",IFERROR(INDEX(Clay_Offices!$A$2:$FZ$601,545,Sync!$C$6)&amp;"",""))</f>
        <v/>
      </c>
      <c r="F2196" s="23" t="str">
        <f aca="false">IF(B2196="","","outreach_sent")</f>
        <v/>
      </c>
      <c r="G2196" s="23" t="str">
        <f aca="false">IF(B2196="","","")</f>
        <v/>
      </c>
      <c r="H2196" s="23" t="str">
        <f aca="false">IF(B2196="","","")</f>
        <v/>
      </c>
      <c r="I2196" s="23" t="str">
        <f aca="false">IF(B2196="","","")</f>
        <v/>
      </c>
      <c r="J2196" s="23" t="str">
        <f aca="false">IF(B2196="","","touch_1; "&amp;IFERROR(INDEX(Clay_Offices!$A$2:$FZ$601,545,Sync!$C$10)&amp;"","")&amp;"; "&amp;IFERROR(INDEX(Clay_Offices!$A$2:$FZ$601,545,Sync!$C$9)&amp;"",""))</f>
        <v/>
      </c>
      <c r="K2196" s="32" t="s">
        <v>1363</v>
      </c>
    </row>
    <row r="2197" customFormat="false" ht="15" hidden="false" customHeight="false" outlineLevel="0" collapsed="false">
      <c r="A2197" s="23" t="str">
        <f aca="false">IF(B2197="","",B2197+(12*1000+546)/10000000)</f>
        <v/>
      </c>
      <c r="B2197" s="35" t="str">
        <f aca="false">IF(AND(IFERROR(N(INDEX(Clay_Offices!$A$2:$FZ$601,546,Sync!$C$11)),0)&gt;0,IFERROR(INDEX(Clay_Offices!$A$2:$FZ$601,546,Sync!$C$5)&amp;"","")&lt;&gt;"",OR(LEFT(IFERROR(INDEX(Clay_Offices!$A$2:$FZ$601,546,Sync!$C$5)&amp;"",""),6)&lt;&gt;"SAMPLE",Config!$B$19="Y")),IFERROR(N(INDEX(Clay_Offices!$A$2:$FZ$601,546,Sync!$C$11)),0),"")</f>
        <v/>
      </c>
      <c r="C2197" s="23" t="str">
        <f aca="false">IF(B2197="","","office")</f>
        <v/>
      </c>
      <c r="D2197" s="23" t="str">
        <f aca="false">IF(B2197="","",IFERROR(INDEX(Office_Log!$ED$2:$ED$201,MATCH(IFERROR(INDEX(Clay_Offices!$A$2:$FZ$601,546,Sync!$C$5)&amp;"",""),Office_Log!$A$2:$A$201,0))&amp;"",IFERROR(INDEX(Clay_Offices!$A$2:$FZ$601,546,Sync!$C$5)&amp;"","")&amp;""))</f>
        <v/>
      </c>
      <c r="E2197" s="23" t="str">
        <f aca="false">IF(B2197="","",IFERROR(INDEX(Clay_Offices!$A$2:$FZ$601,546,Sync!$C$6)&amp;"",""))</f>
        <v/>
      </c>
      <c r="F2197" s="23" t="str">
        <f aca="false">IF(B2197="","","outreach_sent")</f>
        <v/>
      </c>
      <c r="G2197" s="23" t="str">
        <f aca="false">IF(B2197="","","")</f>
        <v/>
      </c>
      <c r="H2197" s="23" t="str">
        <f aca="false">IF(B2197="","","")</f>
        <v/>
      </c>
      <c r="I2197" s="23" t="str">
        <f aca="false">IF(B2197="","","")</f>
        <v/>
      </c>
      <c r="J2197" s="23" t="str">
        <f aca="false">IF(B2197="","","touch_1; "&amp;IFERROR(INDEX(Clay_Offices!$A$2:$FZ$601,546,Sync!$C$10)&amp;"","")&amp;"; "&amp;IFERROR(INDEX(Clay_Offices!$A$2:$FZ$601,546,Sync!$C$9)&amp;"",""))</f>
        <v/>
      </c>
      <c r="K2197" s="32" t="s">
        <v>1363</v>
      </c>
    </row>
    <row r="2198" customFormat="false" ht="15" hidden="false" customHeight="false" outlineLevel="0" collapsed="false">
      <c r="A2198" s="23" t="str">
        <f aca="false">IF(B2198="","",B2198+(12*1000+547)/10000000)</f>
        <v/>
      </c>
      <c r="B2198" s="35" t="str">
        <f aca="false">IF(AND(IFERROR(N(INDEX(Clay_Offices!$A$2:$FZ$601,547,Sync!$C$11)),0)&gt;0,IFERROR(INDEX(Clay_Offices!$A$2:$FZ$601,547,Sync!$C$5)&amp;"","")&lt;&gt;"",OR(LEFT(IFERROR(INDEX(Clay_Offices!$A$2:$FZ$601,547,Sync!$C$5)&amp;"",""),6)&lt;&gt;"SAMPLE",Config!$B$19="Y")),IFERROR(N(INDEX(Clay_Offices!$A$2:$FZ$601,547,Sync!$C$11)),0),"")</f>
        <v/>
      </c>
      <c r="C2198" s="23" t="str">
        <f aca="false">IF(B2198="","","office")</f>
        <v/>
      </c>
      <c r="D2198" s="23" t="str">
        <f aca="false">IF(B2198="","",IFERROR(INDEX(Office_Log!$ED$2:$ED$201,MATCH(IFERROR(INDEX(Clay_Offices!$A$2:$FZ$601,547,Sync!$C$5)&amp;"",""),Office_Log!$A$2:$A$201,0))&amp;"",IFERROR(INDEX(Clay_Offices!$A$2:$FZ$601,547,Sync!$C$5)&amp;"","")&amp;""))</f>
        <v/>
      </c>
      <c r="E2198" s="23" t="str">
        <f aca="false">IF(B2198="","",IFERROR(INDEX(Clay_Offices!$A$2:$FZ$601,547,Sync!$C$6)&amp;"",""))</f>
        <v/>
      </c>
      <c r="F2198" s="23" t="str">
        <f aca="false">IF(B2198="","","outreach_sent")</f>
        <v/>
      </c>
      <c r="G2198" s="23" t="str">
        <f aca="false">IF(B2198="","","")</f>
        <v/>
      </c>
      <c r="H2198" s="23" t="str">
        <f aca="false">IF(B2198="","","")</f>
        <v/>
      </c>
      <c r="I2198" s="23" t="str">
        <f aca="false">IF(B2198="","","")</f>
        <v/>
      </c>
      <c r="J2198" s="23" t="str">
        <f aca="false">IF(B2198="","","touch_1; "&amp;IFERROR(INDEX(Clay_Offices!$A$2:$FZ$601,547,Sync!$C$10)&amp;"","")&amp;"; "&amp;IFERROR(INDEX(Clay_Offices!$A$2:$FZ$601,547,Sync!$C$9)&amp;"",""))</f>
        <v/>
      </c>
      <c r="K2198" s="32" t="s">
        <v>1363</v>
      </c>
    </row>
    <row r="2199" customFormat="false" ht="15" hidden="false" customHeight="false" outlineLevel="0" collapsed="false">
      <c r="A2199" s="23" t="str">
        <f aca="false">IF(B2199="","",B2199+(12*1000+548)/10000000)</f>
        <v/>
      </c>
      <c r="B2199" s="35" t="str">
        <f aca="false">IF(AND(IFERROR(N(INDEX(Clay_Offices!$A$2:$FZ$601,548,Sync!$C$11)),0)&gt;0,IFERROR(INDEX(Clay_Offices!$A$2:$FZ$601,548,Sync!$C$5)&amp;"","")&lt;&gt;"",OR(LEFT(IFERROR(INDEX(Clay_Offices!$A$2:$FZ$601,548,Sync!$C$5)&amp;"",""),6)&lt;&gt;"SAMPLE",Config!$B$19="Y")),IFERROR(N(INDEX(Clay_Offices!$A$2:$FZ$601,548,Sync!$C$11)),0),"")</f>
        <v/>
      </c>
      <c r="C2199" s="23" t="str">
        <f aca="false">IF(B2199="","","office")</f>
        <v/>
      </c>
      <c r="D2199" s="23" t="str">
        <f aca="false">IF(B2199="","",IFERROR(INDEX(Office_Log!$ED$2:$ED$201,MATCH(IFERROR(INDEX(Clay_Offices!$A$2:$FZ$601,548,Sync!$C$5)&amp;"",""),Office_Log!$A$2:$A$201,0))&amp;"",IFERROR(INDEX(Clay_Offices!$A$2:$FZ$601,548,Sync!$C$5)&amp;"","")&amp;""))</f>
        <v/>
      </c>
      <c r="E2199" s="23" t="str">
        <f aca="false">IF(B2199="","",IFERROR(INDEX(Clay_Offices!$A$2:$FZ$601,548,Sync!$C$6)&amp;"",""))</f>
        <v/>
      </c>
      <c r="F2199" s="23" t="str">
        <f aca="false">IF(B2199="","","outreach_sent")</f>
        <v/>
      </c>
      <c r="G2199" s="23" t="str">
        <f aca="false">IF(B2199="","","")</f>
        <v/>
      </c>
      <c r="H2199" s="23" t="str">
        <f aca="false">IF(B2199="","","")</f>
        <v/>
      </c>
      <c r="I2199" s="23" t="str">
        <f aca="false">IF(B2199="","","")</f>
        <v/>
      </c>
      <c r="J2199" s="23" t="str">
        <f aca="false">IF(B2199="","","touch_1; "&amp;IFERROR(INDEX(Clay_Offices!$A$2:$FZ$601,548,Sync!$C$10)&amp;"","")&amp;"; "&amp;IFERROR(INDEX(Clay_Offices!$A$2:$FZ$601,548,Sync!$C$9)&amp;"",""))</f>
        <v/>
      </c>
      <c r="K2199" s="32" t="s">
        <v>1363</v>
      </c>
    </row>
    <row r="2200" customFormat="false" ht="15" hidden="false" customHeight="false" outlineLevel="0" collapsed="false">
      <c r="A2200" s="23" t="str">
        <f aca="false">IF(B2200="","",B2200+(12*1000+549)/10000000)</f>
        <v/>
      </c>
      <c r="B2200" s="35" t="str">
        <f aca="false">IF(AND(IFERROR(N(INDEX(Clay_Offices!$A$2:$FZ$601,549,Sync!$C$11)),0)&gt;0,IFERROR(INDEX(Clay_Offices!$A$2:$FZ$601,549,Sync!$C$5)&amp;"","")&lt;&gt;"",OR(LEFT(IFERROR(INDEX(Clay_Offices!$A$2:$FZ$601,549,Sync!$C$5)&amp;"",""),6)&lt;&gt;"SAMPLE",Config!$B$19="Y")),IFERROR(N(INDEX(Clay_Offices!$A$2:$FZ$601,549,Sync!$C$11)),0),"")</f>
        <v/>
      </c>
      <c r="C2200" s="23" t="str">
        <f aca="false">IF(B2200="","","office")</f>
        <v/>
      </c>
      <c r="D2200" s="23" t="str">
        <f aca="false">IF(B2200="","",IFERROR(INDEX(Office_Log!$ED$2:$ED$201,MATCH(IFERROR(INDEX(Clay_Offices!$A$2:$FZ$601,549,Sync!$C$5)&amp;"",""),Office_Log!$A$2:$A$201,0))&amp;"",IFERROR(INDEX(Clay_Offices!$A$2:$FZ$601,549,Sync!$C$5)&amp;"","")&amp;""))</f>
        <v/>
      </c>
      <c r="E2200" s="23" t="str">
        <f aca="false">IF(B2200="","",IFERROR(INDEX(Clay_Offices!$A$2:$FZ$601,549,Sync!$C$6)&amp;"",""))</f>
        <v/>
      </c>
      <c r="F2200" s="23" t="str">
        <f aca="false">IF(B2200="","","outreach_sent")</f>
        <v/>
      </c>
      <c r="G2200" s="23" t="str">
        <f aca="false">IF(B2200="","","")</f>
        <v/>
      </c>
      <c r="H2200" s="23" t="str">
        <f aca="false">IF(B2200="","","")</f>
        <v/>
      </c>
      <c r="I2200" s="23" t="str">
        <f aca="false">IF(B2200="","","")</f>
        <v/>
      </c>
      <c r="J2200" s="23" t="str">
        <f aca="false">IF(B2200="","","touch_1; "&amp;IFERROR(INDEX(Clay_Offices!$A$2:$FZ$601,549,Sync!$C$10)&amp;"","")&amp;"; "&amp;IFERROR(INDEX(Clay_Offices!$A$2:$FZ$601,549,Sync!$C$9)&amp;"",""))</f>
        <v/>
      </c>
      <c r="K2200" s="32" t="s">
        <v>1363</v>
      </c>
    </row>
    <row r="2201" customFormat="false" ht="15" hidden="false" customHeight="false" outlineLevel="0" collapsed="false">
      <c r="A2201" s="23" t="str">
        <f aca="false">IF(B2201="","",B2201+(12*1000+550)/10000000)</f>
        <v/>
      </c>
      <c r="B2201" s="35" t="str">
        <f aca="false">IF(AND(IFERROR(N(INDEX(Clay_Offices!$A$2:$FZ$601,550,Sync!$C$11)),0)&gt;0,IFERROR(INDEX(Clay_Offices!$A$2:$FZ$601,550,Sync!$C$5)&amp;"","")&lt;&gt;"",OR(LEFT(IFERROR(INDEX(Clay_Offices!$A$2:$FZ$601,550,Sync!$C$5)&amp;"",""),6)&lt;&gt;"SAMPLE",Config!$B$19="Y")),IFERROR(N(INDEX(Clay_Offices!$A$2:$FZ$601,550,Sync!$C$11)),0),"")</f>
        <v/>
      </c>
      <c r="C2201" s="23" t="str">
        <f aca="false">IF(B2201="","","office")</f>
        <v/>
      </c>
      <c r="D2201" s="23" t="str">
        <f aca="false">IF(B2201="","",IFERROR(INDEX(Office_Log!$ED$2:$ED$201,MATCH(IFERROR(INDEX(Clay_Offices!$A$2:$FZ$601,550,Sync!$C$5)&amp;"",""),Office_Log!$A$2:$A$201,0))&amp;"",IFERROR(INDEX(Clay_Offices!$A$2:$FZ$601,550,Sync!$C$5)&amp;"","")&amp;""))</f>
        <v/>
      </c>
      <c r="E2201" s="23" t="str">
        <f aca="false">IF(B2201="","",IFERROR(INDEX(Clay_Offices!$A$2:$FZ$601,550,Sync!$C$6)&amp;"",""))</f>
        <v/>
      </c>
      <c r="F2201" s="23" t="str">
        <f aca="false">IF(B2201="","","outreach_sent")</f>
        <v/>
      </c>
      <c r="G2201" s="23" t="str">
        <f aca="false">IF(B2201="","","")</f>
        <v/>
      </c>
      <c r="H2201" s="23" t="str">
        <f aca="false">IF(B2201="","","")</f>
        <v/>
      </c>
      <c r="I2201" s="23" t="str">
        <f aca="false">IF(B2201="","","")</f>
        <v/>
      </c>
      <c r="J2201" s="23" t="str">
        <f aca="false">IF(B2201="","","touch_1; "&amp;IFERROR(INDEX(Clay_Offices!$A$2:$FZ$601,550,Sync!$C$10)&amp;"","")&amp;"; "&amp;IFERROR(INDEX(Clay_Offices!$A$2:$FZ$601,550,Sync!$C$9)&amp;"",""))</f>
        <v/>
      </c>
      <c r="K2201" s="32" t="s">
        <v>1363</v>
      </c>
    </row>
    <row r="2202" customFormat="false" ht="15" hidden="false" customHeight="false" outlineLevel="0" collapsed="false">
      <c r="A2202" s="23" t="str">
        <f aca="false">IF(B2202="","",B2202+(12*1000+551)/10000000)</f>
        <v/>
      </c>
      <c r="B2202" s="35" t="str">
        <f aca="false">IF(AND(IFERROR(N(INDEX(Clay_Offices!$A$2:$FZ$601,551,Sync!$C$11)),0)&gt;0,IFERROR(INDEX(Clay_Offices!$A$2:$FZ$601,551,Sync!$C$5)&amp;"","")&lt;&gt;"",OR(LEFT(IFERROR(INDEX(Clay_Offices!$A$2:$FZ$601,551,Sync!$C$5)&amp;"",""),6)&lt;&gt;"SAMPLE",Config!$B$19="Y")),IFERROR(N(INDEX(Clay_Offices!$A$2:$FZ$601,551,Sync!$C$11)),0),"")</f>
        <v/>
      </c>
      <c r="C2202" s="23" t="str">
        <f aca="false">IF(B2202="","","office")</f>
        <v/>
      </c>
      <c r="D2202" s="23" t="str">
        <f aca="false">IF(B2202="","",IFERROR(INDEX(Office_Log!$ED$2:$ED$201,MATCH(IFERROR(INDEX(Clay_Offices!$A$2:$FZ$601,551,Sync!$C$5)&amp;"",""),Office_Log!$A$2:$A$201,0))&amp;"",IFERROR(INDEX(Clay_Offices!$A$2:$FZ$601,551,Sync!$C$5)&amp;"","")&amp;""))</f>
        <v/>
      </c>
      <c r="E2202" s="23" t="str">
        <f aca="false">IF(B2202="","",IFERROR(INDEX(Clay_Offices!$A$2:$FZ$601,551,Sync!$C$6)&amp;"",""))</f>
        <v/>
      </c>
      <c r="F2202" s="23" t="str">
        <f aca="false">IF(B2202="","","outreach_sent")</f>
        <v/>
      </c>
      <c r="G2202" s="23" t="str">
        <f aca="false">IF(B2202="","","")</f>
        <v/>
      </c>
      <c r="H2202" s="23" t="str">
        <f aca="false">IF(B2202="","","")</f>
        <v/>
      </c>
      <c r="I2202" s="23" t="str">
        <f aca="false">IF(B2202="","","")</f>
        <v/>
      </c>
      <c r="J2202" s="23" t="str">
        <f aca="false">IF(B2202="","","touch_1; "&amp;IFERROR(INDEX(Clay_Offices!$A$2:$FZ$601,551,Sync!$C$10)&amp;"","")&amp;"; "&amp;IFERROR(INDEX(Clay_Offices!$A$2:$FZ$601,551,Sync!$C$9)&amp;"",""))</f>
        <v/>
      </c>
      <c r="K2202" s="32" t="s">
        <v>1363</v>
      </c>
    </row>
    <row r="2203" customFormat="false" ht="15" hidden="false" customHeight="false" outlineLevel="0" collapsed="false">
      <c r="A2203" s="23" t="str">
        <f aca="false">IF(B2203="","",B2203+(12*1000+552)/10000000)</f>
        <v/>
      </c>
      <c r="B2203" s="35" t="str">
        <f aca="false">IF(AND(IFERROR(N(INDEX(Clay_Offices!$A$2:$FZ$601,552,Sync!$C$11)),0)&gt;0,IFERROR(INDEX(Clay_Offices!$A$2:$FZ$601,552,Sync!$C$5)&amp;"","")&lt;&gt;"",OR(LEFT(IFERROR(INDEX(Clay_Offices!$A$2:$FZ$601,552,Sync!$C$5)&amp;"",""),6)&lt;&gt;"SAMPLE",Config!$B$19="Y")),IFERROR(N(INDEX(Clay_Offices!$A$2:$FZ$601,552,Sync!$C$11)),0),"")</f>
        <v/>
      </c>
      <c r="C2203" s="23" t="str">
        <f aca="false">IF(B2203="","","office")</f>
        <v/>
      </c>
      <c r="D2203" s="23" t="str">
        <f aca="false">IF(B2203="","",IFERROR(INDEX(Office_Log!$ED$2:$ED$201,MATCH(IFERROR(INDEX(Clay_Offices!$A$2:$FZ$601,552,Sync!$C$5)&amp;"",""),Office_Log!$A$2:$A$201,0))&amp;"",IFERROR(INDEX(Clay_Offices!$A$2:$FZ$601,552,Sync!$C$5)&amp;"","")&amp;""))</f>
        <v/>
      </c>
      <c r="E2203" s="23" t="str">
        <f aca="false">IF(B2203="","",IFERROR(INDEX(Clay_Offices!$A$2:$FZ$601,552,Sync!$C$6)&amp;"",""))</f>
        <v/>
      </c>
      <c r="F2203" s="23" t="str">
        <f aca="false">IF(B2203="","","outreach_sent")</f>
        <v/>
      </c>
      <c r="G2203" s="23" t="str">
        <f aca="false">IF(B2203="","","")</f>
        <v/>
      </c>
      <c r="H2203" s="23" t="str">
        <f aca="false">IF(B2203="","","")</f>
        <v/>
      </c>
      <c r="I2203" s="23" t="str">
        <f aca="false">IF(B2203="","","")</f>
        <v/>
      </c>
      <c r="J2203" s="23" t="str">
        <f aca="false">IF(B2203="","","touch_1; "&amp;IFERROR(INDEX(Clay_Offices!$A$2:$FZ$601,552,Sync!$C$10)&amp;"","")&amp;"; "&amp;IFERROR(INDEX(Clay_Offices!$A$2:$FZ$601,552,Sync!$C$9)&amp;"",""))</f>
        <v/>
      </c>
      <c r="K2203" s="32" t="s">
        <v>1363</v>
      </c>
    </row>
    <row r="2204" customFormat="false" ht="15" hidden="false" customHeight="false" outlineLevel="0" collapsed="false">
      <c r="A2204" s="23" t="str">
        <f aca="false">IF(B2204="","",B2204+(12*1000+553)/10000000)</f>
        <v/>
      </c>
      <c r="B2204" s="35" t="str">
        <f aca="false">IF(AND(IFERROR(N(INDEX(Clay_Offices!$A$2:$FZ$601,553,Sync!$C$11)),0)&gt;0,IFERROR(INDEX(Clay_Offices!$A$2:$FZ$601,553,Sync!$C$5)&amp;"","")&lt;&gt;"",OR(LEFT(IFERROR(INDEX(Clay_Offices!$A$2:$FZ$601,553,Sync!$C$5)&amp;"",""),6)&lt;&gt;"SAMPLE",Config!$B$19="Y")),IFERROR(N(INDEX(Clay_Offices!$A$2:$FZ$601,553,Sync!$C$11)),0),"")</f>
        <v/>
      </c>
      <c r="C2204" s="23" t="str">
        <f aca="false">IF(B2204="","","office")</f>
        <v/>
      </c>
      <c r="D2204" s="23" t="str">
        <f aca="false">IF(B2204="","",IFERROR(INDEX(Office_Log!$ED$2:$ED$201,MATCH(IFERROR(INDEX(Clay_Offices!$A$2:$FZ$601,553,Sync!$C$5)&amp;"",""),Office_Log!$A$2:$A$201,0))&amp;"",IFERROR(INDEX(Clay_Offices!$A$2:$FZ$601,553,Sync!$C$5)&amp;"","")&amp;""))</f>
        <v/>
      </c>
      <c r="E2204" s="23" t="str">
        <f aca="false">IF(B2204="","",IFERROR(INDEX(Clay_Offices!$A$2:$FZ$601,553,Sync!$C$6)&amp;"",""))</f>
        <v/>
      </c>
      <c r="F2204" s="23" t="str">
        <f aca="false">IF(B2204="","","outreach_sent")</f>
        <v/>
      </c>
      <c r="G2204" s="23" t="str">
        <f aca="false">IF(B2204="","","")</f>
        <v/>
      </c>
      <c r="H2204" s="23" t="str">
        <f aca="false">IF(B2204="","","")</f>
        <v/>
      </c>
      <c r="I2204" s="23" t="str">
        <f aca="false">IF(B2204="","","")</f>
        <v/>
      </c>
      <c r="J2204" s="23" t="str">
        <f aca="false">IF(B2204="","","touch_1; "&amp;IFERROR(INDEX(Clay_Offices!$A$2:$FZ$601,553,Sync!$C$10)&amp;"","")&amp;"; "&amp;IFERROR(INDEX(Clay_Offices!$A$2:$FZ$601,553,Sync!$C$9)&amp;"",""))</f>
        <v/>
      </c>
      <c r="K2204" s="32" t="s">
        <v>1363</v>
      </c>
    </row>
    <row r="2205" customFormat="false" ht="15" hidden="false" customHeight="false" outlineLevel="0" collapsed="false">
      <c r="A2205" s="23" t="str">
        <f aca="false">IF(B2205="","",B2205+(12*1000+554)/10000000)</f>
        <v/>
      </c>
      <c r="B2205" s="35" t="str">
        <f aca="false">IF(AND(IFERROR(N(INDEX(Clay_Offices!$A$2:$FZ$601,554,Sync!$C$11)),0)&gt;0,IFERROR(INDEX(Clay_Offices!$A$2:$FZ$601,554,Sync!$C$5)&amp;"","")&lt;&gt;"",OR(LEFT(IFERROR(INDEX(Clay_Offices!$A$2:$FZ$601,554,Sync!$C$5)&amp;"",""),6)&lt;&gt;"SAMPLE",Config!$B$19="Y")),IFERROR(N(INDEX(Clay_Offices!$A$2:$FZ$601,554,Sync!$C$11)),0),"")</f>
        <v/>
      </c>
      <c r="C2205" s="23" t="str">
        <f aca="false">IF(B2205="","","office")</f>
        <v/>
      </c>
      <c r="D2205" s="23" t="str">
        <f aca="false">IF(B2205="","",IFERROR(INDEX(Office_Log!$ED$2:$ED$201,MATCH(IFERROR(INDEX(Clay_Offices!$A$2:$FZ$601,554,Sync!$C$5)&amp;"",""),Office_Log!$A$2:$A$201,0))&amp;"",IFERROR(INDEX(Clay_Offices!$A$2:$FZ$601,554,Sync!$C$5)&amp;"","")&amp;""))</f>
        <v/>
      </c>
      <c r="E2205" s="23" t="str">
        <f aca="false">IF(B2205="","",IFERROR(INDEX(Clay_Offices!$A$2:$FZ$601,554,Sync!$C$6)&amp;"",""))</f>
        <v/>
      </c>
      <c r="F2205" s="23" t="str">
        <f aca="false">IF(B2205="","","outreach_sent")</f>
        <v/>
      </c>
      <c r="G2205" s="23" t="str">
        <f aca="false">IF(B2205="","","")</f>
        <v/>
      </c>
      <c r="H2205" s="23" t="str">
        <f aca="false">IF(B2205="","","")</f>
        <v/>
      </c>
      <c r="I2205" s="23" t="str">
        <f aca="false">IF(B2205="","","")</f>
        <v/>
      </c>
      <c r="J2205" s="23" t="str">
        <f aca="false">IF(B2205="","","touch_1; "&amp;IFERROR(INDEX(Clay_Offices!$A$2:$FZ$601,554,Sync!$C$10)&amp;"","")&amp;"; "&amp;IFERROR(INDEX(Clay_Offices!$A$2:$FZ$601,554,Sync!$C$9)&amp;"",""))</f>
        <v/>
      </c>
      <c r="K2205" s="32" t="s">
        <v>1363</v>
      </c>
    </row>
    <row r="2206" customFormat="false" ht="15" hidden="false" customHeight="false" outlineLevel="0" collapsed="false">
      <c r="A2206" s="23" t="str">
        <f aca="false">IF(B2206="","",B2206+(12*1000+555)/10000000)</f>
        <v/>
      </c>
      <c r="B2206" s="35" t="str">
        <f aca="false">IF(AND(IFERROR(N(INDEX(Clay_Offices!$A$2:$FZ$601,555,Sync!$C$11)),0)&gt;0,IFERROR(INDEX(Clay_Offices!$A$2:$FZ$601,555,Sync!$C$5)&amp;"","")&lt;&gt;"",OR(LEFT(IFERROR(INDEX(Clay_Offices!$A$2:$FZ$601,555,Sync!$C$5)&amp;"",""),6)&lt;&gt;"SAMPLE",Config!$B$19="Y")),IFERROR(N(INDEX(Clay_Offices!$A$2:$FZ$601,555,Sync!$C$11)),0),"")</f>
        <v/>
      </c>
      <c r="C2206" s="23" t="str">
        <f aca="false">IF(B2206="","","office")</f>
        <v/>
      </c>
      <c r="D2206" s="23" t="str">
        <f aca="false">IF(B2206="","",IFERROR(INDEX(Office_Log!$ED$2:$ED$201,MATCH(IFERROR(INDEX(Clay_Offices!$A$2:$FZ$601,555,Sync!$C$5)&amp;"",""),Office_Log!$A$2:$A$201,0))&amp;"",IFERROR(INDEX(Clay_Offices!$A$2:$FZ$601,555,Sync!$C$5)&amp;"","")&amp;""))</f>
        <v/>
      </c>
      <c r="E2206" s="23" t="str">
        <f aca="false">IF(B2206="","",IFERROR(INDEX(Clay_Offices!$A$2:$FZ$601,555,Sync!$C$6)&amp;"",""))</f>
        <v/>
      </c>
      <c r="F2206" s="23" t="str">
        <f aca="false">IF(B2206="","","outreach_sent")</f>
        <v/>
      </c>
      <c r="G2206" s="23" t="str">
        <f aca="false">IF(B2206="","","")</f>
        <v/>
      </c>
      <c r="H2206" s="23" t="str">
        <f aca="false">IF(B2206="","","")</f>
        <v/>
      </c>
      <c r="I2206" s="23" t="str">
        <f aca="false">IF(B2206="","","")</f>
        <v/>
      </c>
      <c r="J2206" s="23" t="str">
        <f aca="false">IF(B2206="","","touch_1; "&amp;IFERROR(INDEX(Clay_Offices!$A$2:$FZ$601,555,Sync!$C$10)&amp;"","")&amp;"; "&amp;IFERROR(INDEX(Clay_Offices!$A$2:$FZ$601,555,Sync!$C$9)&amp;"",""))</f>
        <v/>
      </c>
      <c r="K2206" s="32" t="s">
        <v>1363</v>
      </c>
    </row>
    <row r="2207" customFormat="false" ht="15" hidden="false" customHeight="false" outlineLevel="0" collapsed="false">
      <c r="A2207" s="23" t="str">
        <f aca="false">IF(B2207="","",B2207+(12*1000+556)/10000000)</f>
        <v/>
      </c>
      <c r="B2207" s="35" t="str">
        <f aca="false">IF(AND(IFERROR(N(INDEX(Clay_Offices!$A$2:$FZ$601,556,Sync!$C$11)),0)&gt;0,IFERROR(INDEX(Clay_Offices!$A$2:$FZ$601,556,Sync!$C$5)&amp;"","")&lt;&gt;"",OR(LEFT(IFERROR(INDEX(Clay_Offices!$A$2:$FZ$601,556,Sync!$C$5)&amp;"",""),6)&lt;&gt;"SAMPLE",Config!$B$19="Y")),IFERROR(N(INDEX(Clay_Offices!$A$2:$FZ$601,556,Sync!$C$11)),0),"")</f>
        <v/>
      </c>
      <c r="C2207" s="23" t="str">
        <f aca="false">IF(B2207="","","office")</f>
        <v/>
      </c>
      <c r="D2207" s="23" t="str">
        <f aca="false">IF(B2207="","",IFERROR(INDEX(Office_Log!$ED$2:$ED$201,MATCH(IFERROR(INDEX(Clay_Offices!$A$2:$FZ$601,556,Sync!$C$5)&amp;"",""),Office_Log!$A$2:$A$201,0))&amp;"",IFERROR(INDEX(Clay_Offices!$A$2:$FZ$601,556,Sync!$C$5)&amp;"","")&amp;""))</f>
        <v/>
      </c>
      <c r="E2207" s="23" t="str">
        <f aca="false">IF(B2207="","",IFERROR(INDEX(Clay_Offices!$A$2:$FZ$601,556,Sync!$C$6)&amp;"",""))</f>
        <v/>
      </c>
      <c r="F2207" s="23" t="str">
        <f aca="false">IF(B2207="","","outreach_sent")</f>
        <v/>
      </c>
      <c r="G2207" s="23" t="str">
        <f aca="false">IF(B2207="","","")</f>
        <v/>
      </c>
      <c r="H2207" s="23" t="str">
        <f aca="false">IF(B2207="","","")</f>
        <v/>
      </c>
      <c r="I2207" s="23" t="str">
        <f aca="false">IF(B2207="","","")</f>
        <v/>
      </c>
      <c r="J2207" s="23" t="str">
        <f aca="false">IF(B2207="","","touch_1; "&amp;IFERROR(INDEX(Clay_Offices!$A$2:$FZ$601,556,Sync!$C$10)&amp;"","")&amp;"; "&amp;IFERROR(INDEX(Clay_Offices!$A$2:$FZ$601,556,Sync!$C$9)&amp;"",""))</f>
        <v/>
      </c>
      <c r="K2207" s="32" t="s">
        <v>1363</v>
      </c>
    </row>
    <row r="2208" customFormat="false" ht="15" hidden="false" customHeight="false" outlineLevel="0" collapsed="false">
      <c r="A2208" s="23" t="str">
        <f aca="false">IF(B2208="","",B2208+(12*1000+557)/10000000)</f>
        <v/>
      </c>
      <c r="B2208" s="35" t="str">
        <f aca="false">IF(AND(IFERROR(N(INDEX(Clay_Offices!$A$2:$FZ$601,557,Sync!$C$11)),0)&gt;0,IFERROR(INDEX(Clay_Offices!$A$2:$FZ$601,557,Sync!$C$5)&amp;"","")&lt;&gt;"",OR(LEFT(IFERROR(INDEX(Clay_Offices!$A$2:$FZ$601,557,Sync!$C$5)&amp;"",""),6)&lt;&gt;"SAMPLE",Config!$B$19="Y")),IFERROR(N(INDEX(Clay_Offices!$A$2:$FZ$601,557,Sync!$C$11)),0),"")</f>
        <v/>
      </c>
      <c r="C2208" s="23" t="str">
        <f aca="false">IF(B2208="","","office")</f>
        <v/>
      </c>
      <c r="D2208" s="23" t="str">
        <f aca="false">IF(B2208="","",IFERROR(INDEX(Office_Log!$ED$2:$ED$201,MATCH(IFERROR(INDEX(Clay_Offices!$A$2:$FZ$601,557,Sync!$C$5)&amp;"",""),Office_Log!$A$2:$A$201,0))&amp;"",IFERROR(INDEX(Clay_Offices!$A$2:$FZ$601,557,Sync!$C$5)&amp;"","")&amp;""))</f>
        <v/>
      </c>
      <c r="E2208" s="23" t="str">
        <f aca="false">IF(B2208="","",IFERROR(INDEX(Clay_Offices!$A$2:$FZ$601,557,Sync!$C$6)&amp;"",""))</f>
        <v/>
      </c>
      <c r="F2208" s="23" t="str">
        <f aca="false">IF(B2208="","","outreach_sent")</f>
        <v/>
      </c>
      <c r="G2208" s="23" t="str">
        <f aca="false">IF(B2208="","","")</f>
        <v/>
      </c>
      <c r="H2208" s="23" t="str">
        <f aca="false">IF(B2208="","","")</f>
        <v/>
      </c>
      <c r="I2208" s="23" t="str">
        <f aca="false">IF(B2208="","","")</f>
        <v/>
      </c>
      <c r="J2208" s="23" t="str">
        <f aca="false">IF(B2208="","","touch_1; "&amp;IFERROR(INDEX(Clay_Offices!$A$2:$FZ$601,557,Sync!$C$10)&amp;"","")&amp;"; "&amp;IFERROR(INDEX(Clay_Offices!$A$2:$FZ$601,557,Sync!$C$9)&amp;"",""))</f>
        <v/>
      </c>
      <c r="K2208" s="32" t="s">
        <v>1363</v>
      </c>
    </row>
    <row r="2209" customFormat="false" ht="15" hidden="false" customHeight="false" outlineLevel="0" collapsed="false">
      <c r="A2209" s="23" t="str">
        <f aca="false">IF(B2209="","",B2209+(12*1000+558)/10000000)</f>
        <v/>
      </c>
      <c r="B2209" s="35" t="str">
        <f aca="false">IF(AND(IFERROR(N(INDEX(Clay_Offices!$A$2:$FZ$601,558,Sync!$C$11)),0)&gt;0,IFERROR(INDEX(Clay_Offices!$A$2:$FZ$601,558,Sync!$C$5)&amp;"","")&lt;&gt;"",OR(LEFT(IFERROR(INDEX(Clay_Offices!$A$2:$FZ$601,558,Sync!$C$5)&amp;"",""),6)&lt;&gt;"SAMPLE",Config!$B$19="Y")),IFERROR(N(INDEX(Clay_Offices!$A$2:$FZ$601,558,Sync!$C$11)),0),"")</f>
        <v/>
      </c>
      <c r="C2209" s="23" t="str">
        <f aca="false">IF(B2209="","","office")</f>
        <v/>
      </c>
      <c r="D2209" s="23" t="str">
        <f aca="false">IF(B2209="","",IFERROR(INDEX(Office_Log!$ED$2:$ED$201,MATCH(IFERROR(INDEX(Clay_Offices!$A$2:$FZ$601,558,Sync!$C$5)&amp;"",""),Office_Log!$A$2:$A$201,0))&amp;"",IFERROR(INDEX(Clay_Offices!$A$2:$FZ$601,558,Sync!$C$5)&amp;"","")&amp;""))</f>
        <v/>
      </c>
      <c r="E2209" s="23" t="str">
        <f aca="false">IF(B2209="","",IFERROR(INDEX(Clay_Offices!$A$2:$FZ$601,558,Sync!$C$6)&amp;"",""))</f>
        <v/>
      </c>
      <c r="F2209" s="23" t="str">
        <f aca="false">IF(B2209="","","outreach_sent")</f>
        <v/>
      </c>
      <c r="G2209" s="23" t="str">
        <f aca="false">IF(B2209="","","")</f>
        <v/>
      </c>
      <c r="H2209" s="23" t="str">
        <f aca="false">IF(B2209="","","")</f>
        <v/>
      </c>
      <c r="I2209" s="23" t="str">
        <f aca="false">IF(B2209="","","")</f>
        <v/>
      </c>
      <c r="J2209" s="23" t="str">
        <f aca="false">IF(B2209="","","touch_1; "&amp;IFERROR(INDEX(Clay_Offices!$A$2:$FZ$601,558,Sync!$C$10)&amp;"","")&amp;"; "&amp;IFERROR(INDEX(Clay_Offices!$A$2:$FZ$601,558,Sync!$C$9)&amp;"",""))</f>
        <v/>
      </c>
      <c r="K2209" s="32" t="s">
        <v>1363</v>
      </c>
    </row>
    <row r="2210" customFormat="false" ht="15" hidden="false" customHeight="false" outlineLevel="0" collapsed="false">
      <c r="A2210" s="23" t="str">
        <f aca="false">IF(B2210="","",B2210+(12*1000+559)/10000000)</f>
        <v/>
      </c>
      <c r="B2210" s="35" t="str">
        <f aca="false">IF(AND(IFERROR(N(INDEX(Clay_Offices!$A$2:$FZ$601,559,Sync!$C$11)),0)&gt;0,IFERROR(INDEX(Clay_Offices!$A$2:$FZ$601,559,Sync!$C$5)&amp;"","")&lt;&gt;"",OR(LEFT(IFERROR(INDEX(Clay_Offices!$A$2:$FZ$601,559,Sync!$C$5)&amp;"",""),6)&lt;&gt;"SAMPLE",Config!$B$19="Y")),IFERROR(N(INDEX(Clay_Offices!$A$2:$FZ$601,559,Sync!$C$11)),0),"")</f>
        <v/>
      </c>
      <c r="C2210" s="23" t="str">
        <f aca="false">IF(B2210="","","office")</f>
        <v/>
      </c>
      <c r="D2210" s="23" t="str">
        <f aca="false">IF(B2210="","",IFERROR(INDEX(Office_Log!$ED$2:$ED$201,MATCH(IFERROR(INDEX(Clay_Offices!$A$2:$FZ$601,559,Sync!$C$5)&amp;"",""),Office_Log!$A$2:$A$201,0))&amp;"",IFERROR(INDEX(Clay_Offices!$A$2:$FZ$601,559,Sync!$C$5)&amp;"","")&amp;""))</f>
        <v/>
      </c>
      <c r="E2210" s="23" t="str">
        <f aca="false">IF(B2210="","",IFERROR(INDEX(Clay_Offices!$A$2:$FZ$601,559,Sync!$C$6)&amp;"",""))</f>
        <v/>
      </c>
      <c r="F2210" s="23" t="str">
        <f aca="false">IF(B2210="","","outreach_sent")</f>
        <v/>
      </c>
      <c r="G2210" s="23" t="str">
        <f aca="false">IF(B2210="","","")</f>
        <v/>
      </c>
      <c r="H2210" s="23" t="str">
        <f aca="false">IF(B2210="","","")</f>
        <v/>
      </c>
      <c r="I2210" s="23" t="str">
        <f aca="false">IF(B2210="","","")</f>
        <v/>
      </c>
      <c r="J2210" s="23" t="str">
        <f aca="false">IF(B2210="","","touch_1; "&amp;IFERROR(INDEX(Clay_Offices!$A$2:$FZ$601,559,Sync!$C$10)&amp;"","")&amp;"; "&amp;IFERROR(INDEX(Clay_Offices!$A$2:$FZ$601,559,Sync!$C$9)&amp;"",""))</f>
        <v/>
      </c>
      <c r="K2210" s="32" t="s">
        <v>1363</v>
      </c>
    </row>
    <row r="2211" customFormat="false" ht="15" hidden="false" customHeight="false" outlineLevel="0" collapsed="false">
      <c r="A2211" s="23" t="str">
        <f aca="false">IF(B2211="","",B2211+(12*1000+560)/10000000)</f>
        <v/>
      </c>
      <c r="B2211" s="35" t="str">
        <f aca="false">IF(AND(IFERROR(N(INDEX(Clay_Offices!$A$2:$FZ$601,560,Sync!$C$11)),0)&gt;0,IFERROR(INDEX(Clay_Offices!$A$2:$FZ$601,560,Sync!$C$5)&amp;"","")&lt;&gt;"",OR(LEFT(IFERROR(INDEX(Clay_Offices!$A$2:$FZ$601,560,Sync!$C$5)&amp;"",""),6)&lt;&gt;"SAMPLE",Config!$B$19="Y")),IFERROR(N(INDEX(Clay_Offices!$A$2:$FZ$601,560,Sync!$C$11)),0),"")</f>
        <v/>
      </c>
      <c r="C2211" s="23" t="str">
        <f aca="false">IF(B2211="","","office")</f>
        <v/>
      </c>
      <c r="D2211" s="23" t="str">
        <f aca="false">IF(B2211="","",IFERROR(INDEX(Office_Log!$ED$2:$ED$201,MATCH(IFERROR(INDEX(Clay_Offices!$A$2:$FZ$601,560,Sync!$C$5)&amp;"",""),Office_Log!$A$2:$A$201,0))&amp;"",IFERROR(INDEX(Clay_Offices!$A$2:$FZ$601,560,Sync!$C$5)&amp;"","")&amp;""))</f>
        <v/>
      </c>
      <c r="E2211" s="23" t="str">
        <f aca="false">IF(B2211="","",IFERROR(INDEX(Clay_Offices!$A$2:$FZ$601,560,Sync!$C$6)&amp;"",""))</f>
        <v/>
      </c>
      <c r="F2211" s="23" t="str">
        <f aca="false">IF(B2211="","","outreach_sent")</f>
        <v/>
      </c>
      <c r="G2211" s="23" t="str">
        <f aca="false">IF(B2211="","","")</f>
        <v/>
      </c>
      <c r="H2211" s="23" t="str">
        <f aca="false">IF(B2211="","","")</f>
        <v/>
      </c>
      <c r="I2211" s="23" t="str">
        <f aca="false">IF(B2211="","","")</f>
        <v/>
      </c>
      <c r="J2211" s="23" t="str">
        <f aca="false">IF(B2211="","","touch_1; "&amp;IFERROR(INDEX(Clay_Offices!$A$2:$FZ$601,560,Sync!$C$10)&amp;"","")&amp;"; "&amp;IFERROR(INDEX(Clay_Offices!$A$2:$FZ$601,560,Sync!$C$9)&amp;"",""))</f>
        <v/>
      </c>
      <c r="K2211" s="32" t="s">
        <v>1363</v>
      </c>
    </row>
    <row r="2212" customFormat="false" ht="15" hidden="false" customHeight="false" outlineLevel="0" collapsed="false">
      <c r="A2212" s="23" t="str">
        <f aca="false">IF(B2212="","",B2212+(12*1000+561)/10000000)</f>
        <v/>
      </c>
      <c r="B2212" s="35" t="str">
        <f aca="false">IF(AND(IFERROR(N(INDEX(Clay_Offices!$A$2:$FZ$601,561,Sync!$C$11)),0)&gt;0,IFERROR(INDEX(Clay_Offices!$A$2:$FZ$601,561,Sync!$C$5)&amp;"","")&lt;&gt;"",OR(LEFT(IFERROR(INDEX(Clay_Offices!$A$2:$FZ$601,561,Sync!$C$5)&amp;"",""),6)&lt;&gt;"SAMPLE",Config!$B$19="Y")),IFERROR(N(INDEX(Clay_Offices!$A$2:$FZ$601,561,Sync!$C$11)),0),"")</f>
        <v/>
      </c>
      <c r="C2212" s="23" t="str">
        <f aca="false">IF(B2212="","","office")</f>
        <v/>
      </c>
      <c r="D2212" s="23" t="str">
        <f aca="false">IF(B2212="","",IFERROR(INDEX(Office_Log!$ED$2:$ED$201,MATCH(IFERROR(INDEX(Clay_Offices!$A$2:$FZ$601,561,Sync!$C$5)&amp;"",""),Office_Log!$A$2:$A$201,0))&amp;"",IFERROR(INDEX(Clay_Offices!$A$2:$FZ$601,561,Sync!$C$5)&amp;"","")&amp;""))</f>
        <v/>
      </c>
      <c r="E2212" s="23" t="str">
        <f aca="false">IF(B2212="","",IFERROR(INDEX(Clay_Offices!$A$2:$FZ$601,561,Sync!$C$6)&amp;"",""))</f>
        <v/>
      </c>
      <c r="F2212" s="23" t="str">
        <f aca="false">IF(B2212="","","outreach_sent")</f>
        <v/>
      </c>
      <c r="G2212" s="23" t="str">
        <f aca="false">IF(B2212="","","")</f>
        <v/>
      </c>
      <c r="H2212" s="23" t="str">
        <f aca="false">IF(B2212="","","")</f>
        <v/>
      </c>
      <c r="I2212" s="23" t="str">
        <f aca="false">IF(B2212="","","")</f>
        <v/>
      </c>
      <c r="J2212" s="23" t="str">
        <f aca="false">IF(B2212="","","touch_1; "&amp;IFERROR(INDEX(Clay_Offices!$A$2:$FZ$601,561,Sync!$C$10)&amp;"","")&amp;"; "&amp;IFERROR(INDEX(Clay_Offices!$A$2:$FZ$601,561,Sync!$C$9)&amp;"",""))</f>
        <v/>
      </c>
      <c r="K2212" s="32" t="s">
        <v>1363</v>
      </c>
    </row>
    <row r="2213" customFormat="false" ht="15" hidden="false" customHeight="false" outlineLevel="0" collapsed="false">
      <c r="A2213" s="23" t="str">
        <f aca="false">IF(B2213="","",B2213+(12*1000+562)/10000000)</f>
        <v/>
      </c>
      <c r="B2213" s="35" t="str">
        <f aca="false">IF(AND(IFERROR(N(INDEX(Clay_Offices!$A$2:$FZ$601,562,Sync!$C$11)),0)&gt;0,IFERROR(INDEX(Clay_Offices!$A$2:$FZ$601,562,Sync!$C$5)&amp;"","")&lt;&gt;"",OR(LEFT(IFERROR(INDEX(Clay_Offices!$A$2:$FZ$601,562,Sync!$C$5)&amp;"",""),6)&lt;&gt;"SAMPLE",Config!$B$19="Y")),IFERROR(N(INDEX(Clay_Offices!$A$2:$FZ$601,562,Sync!$C$11)),0),"")</f>
        <v/>
      </c>
      <c r="C2213" s="23" t="str">
        <f aca="false">IF(B2213="","","office")</f>
        <v/>
      </c>
      <c r="D2213" s="23" t="str">
        <f aca="false">IF(B2213="","",IFERROR(INDEX(Office_Log!$ED$2:$ED$201,MATCH(IFERROR(INDEX(Clay_Offices!$A$2:$FZ$601,562,Sync!$C$5)&amp;"",""),Office_Log!$A$2:$A$201,0))&amp;"",IFERROR(INDEX(Clay_Offices!$A$2:$FZ$601,562,Sync!$C$5)&amp;"","")&amp;""))</f>
        <v/>
      </c>
      <c r="E2213" s="23" t="str">
        <f aca="false">IF(B2213="","",IFERROR(INDEX(Clay_Offices!$A$2:$FZ$601,562,Sync!$C$6)&amp;"",""))</f>
        <v/>
      </c>
      <c r="F2213" s="23" t="str">
        <f aca="false">IF(B2213="","","outreach_sent")</f>
        <v/>
      </c>
      <c r="G2213" s="23" t="str">
        <f aca="false">IF(B2213="","","")</f>
        <v/>
      </c>
      <c r="H2213" s="23" t="str">
        <f aca="false">IF(B2213="","","")</f>
        <v/>
      </c>
      <c r="I2213" s="23" t="str">
        <f aca="false">IF(B2213="","","")</f>
        <v/>
      </c>
      <c r="J2213" s="23" t="str">
        <f aca="false">IF(B2213="","","touch_1; "&amp;IFERROR(INDEX(Clay_Offices!$A$2:$FZ$601,562,Sync!$C$10)&amp;"","")&amp;"; "&amp;IFERROR(INDEX(Clay_Offices!$A$2:$FZ$601,562,Sync!$C$9)&amp;"",""))</f>
        <v/>
      </c>
      <c r="K2213" s="32" t="s">
        <v>1363</v>
      </c>
    </row>
    <row r="2214" customFormat="false" ht="15" hidden="false" customHeight="false" outlineLevel="0" collapsed="false">
      <c r="A2214" s="23" t="str">
        <f aca="false">IF(B2214="","",B2214+(12*1000+563)/10000000)</f>
        <v/>
      </c>
      <c r="B2214" s="35" t="str">
        <f aca="false">IF(AND(IFERROR(N(INDEX(Clay_Offices!$A$2:$FZ$601,563,Sync!$C$11)),0)&gt;0,IFERROR(INDEX(Clay_Offices!$A$2:$FZ$601,563,Sync!$C$5)&amp;"","")&lt;&gt;"",OR(LEFT(IFERROR(INDEX(Clay_Offices!$A$2:$FZ$601,563,Sync!$C$5)&amp;"",""),6)&lt;&gt;"SAMPLE",Config!$B$19="Y")),IFERROR(N(INDEX(Clay_Offices!$A$2:$FZ$601,563,Sync!$C$11)),0),"")</f>
        <v/>
      </c>
      <c r="C2214" s="23" t="str">
        <f aca="false">IF(B2214="","","office")</f>
        <v/>
      </c>
      <c r="D2214" s="23" t="str">
        <f aca="false">IF(B2214="","",IFERROR(INDEX(Office_Log!$ED$2:$ED$201,MATCH(IFERROR(INDEX(Clay_Offices!$A$2:$FZ$601,563,Sync!$C$5)&amp;"",""),Office_Log!$A$2:$A$201,0))&amp;"",IFERROR(INDEX(Clay_Offices!$A$2:$FZ$601,563,Sync!$C$5)&amp;"","")&amp;""))</f>
        <v/>
      </c>
      <c r="E2214" s="23" t="str">
        <f aca="false">IF(B2214="","",IFERROR(INDEX(Clay_Offices!$A$2:$FZ$601,563,Sync!$C$6)&amp;"",""))</f>
        <v/>
      </c>
      <c r="F2214" s="23" t="str">
        <f aca="false">IF(B2214="","","outreach_sent")</f>
        <v/>
      </c>
      <c r="G2214" s="23" t="str">
        <f aca="false">IF(B2214="","","")</f>
        <v/>
      </c>
      <c r="H2214" s="23" t="str">
        <f aca="false">IF(B2214="","","")</f>
        <v/>
      </c>
      <c r="I2214" s="23" t="str">
        <f aca="false">IF(B2214="","","")</f>
        <v/>
      </c>
      <c r="J2214" s="23" t="str">
        <f aca="false">IF(B2214="","","touch_1; "&amp;IFERROR(INDEX(Clay_Offices!$A$2:$FZ$601,563,Sync!$C$10)&amp;"","")&amp;"; "&amp;IFERROR(INDEX(Clay_Offices!$A$2:$FZ$601,563,Sync!$C$9)&amp;"",""))</f>
        <v/>
      </c>
      <c r="K2214" s="32" t="s">
        <v>1363</v>
      </c>
    </row>
    <row r="2215" customFormat="false" ht="15" hidden="false" customHeight="false" outlineLevel="0" collapsed="false">
      <c r="A2215" s="23" t="str">
        <f aca="false">IF(B2215="","",B2215+(12*1000+564)/10000000)</f>
        <v/>
      </c>
      <c r="B2215" s="35" t="str">
        <f aca="false">IF(AND(IFERROR(N(INDEX(Clay_Offices!$A$2:$FZ$601,564,Sync!$C$11)),0)&gt;0,IFERROR(INDEX(Clay_Offices!$A$2:$FZ$601,564,Sync!$C$5)&amp;"","")&lt;&gt;"",OR(LEFT(IFERROR(INDEX(Clay_Offices!$A$2:$FZ$601,564,Sync!$C$5)&amp;"",""),6)&lt;&gt;"SAMPLE",Config!$B$19="Y")),IFERROR(N(INDEX(Clay_Offices!$A$2:$FZ$601,564,Sync!$C$11)),0),"")</f>
        <v/>
      </c>
      <c r="C2215" s="23" t="str">
        <f aca="false">IF(B2215="","","office")</f>
        <v/>
      </c>
      <c r="D2215" s="23" t="str">
        <f aca="false">IF(B2215="","",IFERROR(INDEX(Office_Log!$ED$2:$ED$201,MATCH(IFERROR(INDEX(Clay_Offices!$A$2:$FZ$601,564,Sync!$C$5)&amp;"",""),Office_Log!$A$2:$A$201,0))&amp;"",IFERROR(INDEX(Clay_Offices!$A$2:$FZ$601,564,Sync!$C$5)&amp;"","")&amp;""))</f>
        <v/>
      </c>
      <c r="E2215" s="23" t="str">
        <f aca="false">IF(B2215="","",IFERROR(INDEX(Clay_Offices!$A$2:$FZ$601,564,Sync!$C$6)&amp;"",""))</f>
        <v/>
      </c>
      <c r="F2215" s="23" t="str">
        <f aca="false">IF(B2215="","","outreach_sent")</f>
        <v/>
      </c>
      <c r="G2215" s="23" t="str">
        <f aca="false">IF(B2215="","","")</f>
        <v/>
      </c>
      <c r="H2215" s="23" t="str">
        <f aca="false">IF(B2215="","","")</f>
        <v/>
      </c>
      <c r="I2215" s="23" t="str">
        <f aca="false">IF(B2215="","","")</f>
        <v/>
      </c>
      <c r="J2215" s="23" t="str">
        <f aca="false">IF(B2215="","","touch_1; "&amp;IFERROR(INDEX(Clay_Offices!$A$2:$FZ$601,564,Sync!$C$10)&amp;"","")&amp;"; "&amp;IFERROR(INDEX(Clay_Offices!$A$2:$FZ$601,564,Sync!$C$9)&amp;"",""))</f>
        <v/>
      </c>
      <c r="K2215" s="32" t="s">
        <v>1363</v>
      </c>
    </row>
    <row r="2216" customFormat="false" ht="15" hidden="false" customHeight="false" outlineLevel="0" collapsed="false">
      <c r="A2216" s="23" t="str">
        <f aca="false">IF(B2216="","",B2216+(12*1000+565)/10000000)</f>
        <v/>
      </c>
      <c r="B2216" s="35" t="str">
        <f aca="false">IF(AND(IFERROR(N(INDEX(Clay_Offices!$A$2:$FZ$601,565,Sync!$C$11)),0)&gt;0,IFERROR(INDEX(Clay_Offices!$A$2:$FZ$601,565,Sync!$C$5)&amp;"","")&lt;&gt;"",OR(LEFT(IFERROR(INDEX(Clay_Offices!$A$2:$FZ$601,565,Sync!$C$5)&amp;"",""),6)&lt;&gt;"SAMPLE",Config!$B$19="Y")),IFERROR(N(INDEX(Clay_Offices!$A$2:$FZ$601,565,Sync!$C$11)),0),"")</f>
        <v/>
      </c>
      <c r="C2216" s="23" t="str">
        <f aca="false">IF(B2216="","","office")</f>
        <v/>
      </c>
      <c r="D2216" s="23" t="str">
        <f aca="false">IF(B2216="","",IFERROR(INDEX(Office_Log!$ED$2:$ED$201,MATCH(IFERROR(INDEX(Clay_Offices!$A$2:$FZ$601,565,Sync!$C$5)&amp;"",""),Office_Log!$A$2:$A$201,0))&amp;"",IFERROR(INDEX(Clay_Offices!$A$2:$FZ$601,565,Sync!$C$5)&amp;"","")&amp;""))</f>
        <v/>
      </c>
      <c r="E2216" s="23" t="str">
        <f aca="false">IF(B2216="","",IFERROR(INDEX(Clay_Offices!$A$2:$FZ$601,565,Sync!$C$6)&amp;"",""))</f>
        <v/>
      </c>
      <c r="F2216" s="23" t="str">
        <f aca="false">IF(B2216="","","outreach_sent")</f>
        <v/>
      </c>
      <c r="G2216" s="23" t="str">
        <f aca="false">IF(B2216="","","")</f>
        <v/>
      </c>
      <c r="H2216" s="23" t="str">
        <f aca="false">IF(B2216="","","")</f>
        <v/>
      </c>
      <c r="I2216" s="23" t="str">
        <f aca="false">IF(B2216="","","")</f>
        <v/>
      </c>
      <c r="J2216" s="23" t="str">
        <f aca="false">IF(B2216="","","touch_1; "&amp;IFERROR(INDEX(Clay_Offices!$A$2:$FZ$601,565,Sync!$C$10)&amp;"","")&amp;"; "&amp;IFERROR(INDEX(Clay_Offices!$A$2:$FZ$601,565,Sync!$C$9)&amp;"",""))</f>
        <v/>
      </c>
      <c r="K2216" s="32" t="s">
        <v>1363</v>
      </c>
    </row>
    <row r="2217" customFormat="false" ht="15" hidden="false" customHeight="false" outlineLevel="0" collapsed="false">
      <c r="A2217" s="23" t="str">
        <f aca="false">IF(B2217="","",B2217+(12*1000+566)/10000000)</f>
        <v/>
      </c>
      <c r="B2217" s="35" t="str">
        <f aca="false">IF(AND(IFERROR(N(INDEX(Clay_Offices!$A$2:$FZ$601,566,Sync!$C$11)),0)&gt;0,IFERROR(INDEX(Clay_Offices!$A$2:$FZ$601,566,Sync!$C$5)&amp;"","")&lt;&gt;"",OR(LEFT(IFERROR(INDEX(Clay_Offices!$A$2:$FZ$601,566,Sync!$C$5)&amp;"",""),6)&lt;&gt;"SAMPLE",Config!$B$19="Y")),IFERROR(N(INDEX(Clay_Offices!$A$2:$FZ$601,566,Sync!$C$11)),0),"")</f>
        <v/>
      </c>
      <c r="C2217" s="23" t="str">
        <f aca="false">IF(B2217="","","office")</f>
        <v/>
      </c>
      <c r="D2217" s="23" t="str">
        <f aca="false">IF(B2217="","",IFERROR(INDEX(Office_Log!$ED$2:$ED$201,MATCH(IFERROR(INDEX(Clay_Offices!$A$2:$FZ$601,566,Sync!$C$5)&amp;"",""),Office_Log!$A$2:$A$201,0))&amp;"",IFERROR(INDEX(Clay_Offices!$A$2:$FZ$601,566,Sync!$C$5)&amp;"","")&amp;""))</f>
        <v/>
      </c>
      <c r="E2217" s="23" t="str">
        <f aca="false">IF(B2217="","",IFERROR(INDEX(Clay_Offices!$A$2:$FZ$601,566,Sync!$C$6)&amp;"",""))</f>
        <v/>
      </c>
      <c r="F2217" s="23" t="str">
        <f aca="false">IF(B2217="","","outreach_sent")</f>
        <v/>
      </c>
      <c r="G2217" s="23" t="str">
        <f aca="false">IF(B2217="","","")</f>
        <v/>
      </c>
      <c r="H2217" s="23" t="str">
        <f aca="false">IF(B2217="","","")</f>
        <v/>
      </c>
      <c r="I2217" s="23" t="str">
        <f aca="false">IF(B2217="","","")</f>
        <v/>
      </c>
      <c r="J2217" s="23" t="str">
        <f aca="false">IF(B2217="","","touch_1; "&amp;IFERROR(INDEX(Clay_Offices!$A$2:$FZ$601,566,Sync!$C$10)&amp;"","")&amp;"; "&amp;IFERROR(INDEX(Clay_Offices!$A$2:$FZ$601,566,Sync!$C$9)&amp;"",""))</f>
        <v/>
      </c>
      <c r="K2217" s="32" t="s">
        <v>1363</v>
      </c>
    </row>
    <row r="2218" customFormat="false" ht="15" hidden="false" customHeight="false" outlineLevel="0" collapsed="false">
      <c r="A2218" s="23" t="str">
        <f aca="false">IF(B2218="","",B2218+(12*1000+567)/10000000)</f>
        <v/>
      </c>
      <c r="B2218" s="35" t="str">
        <f aca="false">IF(AND(IFERROR(N(INDEX(Clay_Offices!$A$2:$FZ$601,567,Sync!$C$11)),0)&gt;0,IFERROR(INDEX(Clay_Offices!$A$2:$FZ$601,567,Sync!$C$5)&amp;"","")&lt;&gt;"",OR(LEFT(IFERROR(INDEX(Clay_Offices!$A$2:$FZ$601,567,Sync!$C$5)&amp;"",""),6)&lt;&gt;"SAMPLE",Config!$B$19="Y")),IFERROR(N(INDEX(Clay_Offices!$A$2:$FZ$601,567,Sync!$C$11)),0),"")</f>
        <v/>
      </c>
      <c r="C2218" s="23" t="str">
        <f aca="false">IF(B2218="","","office")</f>
        <v/>
      </c>
      <c r="D2218" s="23" t="str">
        <f aca="false">IF(B2218="","",IFERROR(INDEX(Office_Log!$ED$2:$ED$201,MATCH(IFERROR(INDEX(Clay_Offices!$A$2:$FZ$601,567,Sync!$C$5)&amp;"",""),Office_Log!$A$2:$A$201,0))&amp;"",IFERROR(INDEX(Clay_Offices!$A$2:$FZ$601,567,Sync!$C$5)&amp;"","")&amp;""))</f>
        <v/>
      </c>
      <c r="E2218" s="23" t="str">
        <f aca="false">IF(B2218="","",IFERROR(INDEX(Clay_Offices!$A$2:$FZ$601,567,Sync!$C$6)&amp;"",""))</f>
        <v/>
      </c>
      <c r="F2218" s="23" t="str">
        <f aca="false">IF(B2218="","","outreach_sent")</f>
        <v/>
      </c>
      <c r="G2218" s="23" t="str">
        <f aca="false">IF(B2218="","","")</f>
        <v/>
      </c>
      <c r="H2218" s="23" t="str">
        <f aca="false">IF(B2218="","","")</f>
        <v/>
      </c>
      <c r="I2218" s="23" t="str">
        <f aca="false">IF(B2218="","","")</f>
        <v/>
      </c>
      <c r="J2218" s="23" t="str">
        <f aca="false">IF(B2218="","","touch_1; "&amp;IFERROR(INDEX(Clay_Offices!$A$2:$FZ$601,567,Sync!$C$10)&amp;"","")&amp;"; "&amp;IFERROR(INDEX(Clay_Offices!$A$2:$FZ$601,567,Sync!$C$9)&amp;"",""))</f>
        <v/>
      </c>
      <c r="K2218" s="32" t="s">
        <v>1363</v>
      </c>
    </row>
    <row r="2219" customFormat="false" ht="15" hidden="false" customHeight="false" outlineLevel="0" collapsed="false">
      <c r="A2219" s="23" t="str">
        <f aca="false">IF(B2219="","",B2219+(12*1000+568)/10000000)</f>
        <v/>
      </c>
      <c r="B2219" s="35" t="str">
        <f aca="false">IF(AND(IFERROR(N(INDEX(Clay_Offices!$A$2:$FZ$601,568,Sync!$C$11)),0)&gt;0,IFERROR(INDEX(Clay_Offices!$A$2:$FZ$601,568,Sync!$C$5)&amp;"","")&lt;&gt;"",OR(LEFT(IFERROR(INDEX(Clay_Offices!$A$2:$FZ$601,568,Sync!$C$5)&amp;"",""),6)&lt;&gt;"SAMPLE",Config!$B$19="Y")),IFERROR(N(INDEX(Clay_Offices!$A$2:$FZ$601,568,Sync!$C$11)),0),"")</f>
        <v/>
      </c>
      <c r="C2219" s="23" t="str">
        <f aca="false">IF(B2219="","","office")</f>
        <v/>
      </c>
      <c r="D2219" s="23" t="str">
        <f aca="false">IF(B2219="","",IFERROR(INDEX(Office_Log!$ED$2:$ED$201,MATCH(IFERROR(INDEX(Clay_Offices!$A$2:$FZ$601,568,Sync!$C$5)&amp;"",""),Office_Log!$A$2:$A$201,0))&amp;"",IFERROR(INDEX(Clay_Offices!$A$2:$FZ$601,568,Sync!$C$5)&amp;"","")&amp;""))</f>
        <v/>
      </c>
      <c r="E2219" s="23" t="str">
        <f aca="false">IF(B2219="","",IFERROR(INDEX(Clay_Offices!$A$2:$FZ$601,568,Sync!$C$6)&amp;"",""))</f>
        <v/>
      </c>
      <c r="F2219" s="23" t="str">
        <f aca="false">IF(B2219="","","outreach_sent")</f>
        <v/>
      </c>
      <c r="G2219" s="23" t="str">
        <f aca="false">IF(B2219="","","")</f>
        <v/>
      </c>
      <c r="H2219" s="23" t="str">
        <f aca="false">IF(B2219="","","")</f>
        <v/>
      </c>
      <c r="I2219" s="23" t="str">
        <f aca="false">IF(B2219="","","")</f>
        <v/>
      </c>
      <c r="J2219" s="23" t="str">
        <f aca="false">IF(B2219="","","touch_1; "&amp;IFERROR(INDEX(Clay_Offices!$A$2:$FZ$601,568,Sync!$C$10)&amp;"","")&amp;"; "&amp;IFERROR(INDEX(Clay_Offices!$A$2:$FZ$601,568,Sync!$C$9)&amp;"",""))</f>
        <v/>
      </c>
      <c r="K2219" s="32" t="s">
        <v>1363</v>
      </c>
    </row>
    <row r="2220" customFormat="false" ht="15" hidden="false" customHeight="false" outlineLevel="0" collapsed="false">
      <c r="A2220" s="23" t="str">
        <f aca="false">IF(B2220="","",B2220+(12*1000+569)/10000000)</f>
        <v/>
      </c>
      <c r="B2220" s="35" t="str">
        <f aca="false">IF(AND(IFERROR(N(INDEX(Clay_Offices!$A$2:$FZ$601,569,Sync!$C$11)),0)&gt;0,IFERROR(INDEX(Clay_Offices!$A$2:$FZ$601,569,Sync!$C$5)&amp;"","")&lt;&gt;"",OR(LEFT(IFERROR(INDEX(Clay_Offices!$A$2:$FZ$601,569,Sync!$C$5)&amp;"",""),6)&lt;&gt;"SAMPLE",Config!$B$19="Y")),IFERROR(N(INDEX(Clay_Offices!$A$2:$FZ$601,569,Sync!$C$11)),0),"")</f>
        <v/>
      </c>
      <c r="C2220" s="23" t="str">
        <f aca="false">IF(B2220="","","office")</f>
        <v/>
      </c>
      <c r="D2220" s="23" t="str">
        <f aca="false">IF(B2220="","",IFERROR(INDEX(Office_Log!$ED$2:$ED$201,MATCH(IFERROR(INDEX(Clay_Offices!$A$2:$FZ$601,569,Sync!$C$5)&amp;"",""),Office_Log!$A$2:$A$201,0))&amp;"",IFERROR(INDEX(Clay_Offices!$A$2:$FZ$601,569,Sync!$C$5)&amp;"","")&amp;""))</f>
        <v/>
      </c>
      <c r="E2220" s="23" t="str">
        <f aca="false">IF(B2220="","",IFERROR(INDEX(Clay_Offices!$A$2:$FZ$601,569,Sync!$C$6)&amp;"",""))</f>
        <v/>
      </c>
      <c r="F2220" s="23" t="str">
        <f aca="false">IF(B2220="","","outreach_sent")</f>
        <v/>
      </c>
      <c r="G2220" s="23" t="str">
        <f aca="false">IF(B2220="","","")</f>
        <v/>
      </c>
      <c r="H2220" s="23" t="str">
        <f aca="false">IF(B2220="","","")</f>
        <v/>
      </c>
      <c r="I2220" s="23" t="str">
        <f aca="false">IF(B2220="","","")</f>
        <v/>
      </c>
      <c r="J2220" s="23" t="str">
        <f aca="false">IF(B2220="","","touch_1; "&amp;IFERROR(INDEX(Clay_Offices!$A$2:$FZ$601,569,Sync!$C$10)&amp;"","")&amp;"; "&amp;IFERROR(INDEX(Clay_Offices!$A$2:$FZ$601,569,Sync!$C$9)&amp;"",""))</f>
        <v/>
      </c>
      <c r="K2220" s="32" t="s">
        <v>1363</v>
      </c>
    </row>
    <row r="2221" customFormat="false" ht="15" hidden="false" customHeight="false" outlineLevel="0" collapsed="false">
      <c r="A2221" s="23" t="str">
        <f aca="false">IF(B2221="","",B2221+(12*1000+570)/10000000)</f>
        <v/>
      </c>
      <c r="B2221" s="35" t="str">
        <f aca="false">IF(AND(IFERROR(N(INDEX(Clay_Offices!$A$2:$FZ$601,570,Sync!$C$11)),0)&gt;0,IFERROR(INDEX(Clay_Offices!$A$2:$FZ$601,570,Sync!$C$5)&amp;"","")&lt;&gt;"",OR(LEFT(IFERROR(INDEX(Clay_Offices!$A$2:$FZ$601,570,Sync!$C$5)&amp;"",""),6)&lt;&gt;"SAMPLE",Config!$B$19="Y")),IFERROR(N(INDEX(Clay_Offices!$A$2:$FZ$601,570,Sync!$C$11)),0),"")</f>
        <v/>
      </c>
      <c r="C2221" s="23" t="str">
        <f aca="false">IF(B2221="","","office")</f>
        <v/>
      </c>
      <c r="D2221" s="23" t="str">
        <f aca="false">IF(B2221="","",IFERROR(INDEX(Office_Log!$ED$2:$ED$201,MATCH(IFERROR(INDEX(Clay_Offices!$A$2:$FZ$601,570,Sync!$C$5)&amp;"",""),Office_Log!$A$2:$A$201,0))&amp;"",IFERROR(INDEX(Clay_Offices!$A$2:$FZ$601,570,Sync!$C$5)&amp;"","")&amp;""))</f>
        <v/>
      </c>
      <c r="E2221" s="23" t="str">
        <f aca="false">IF(B2221="","",IFERROR(INDEX(Clay_Offices!$A$2:$FZ$601,570,Sync!$C$6)&amp;"",""))</f>
        <v/>
      </c>
      <c r="F2221" s="23" t="str">
        <f aca="false">IF(B2221="","","outreach_sent")</f>
        <v/>
      </c>
      <c r="G2221" s="23" t="str">
        <f aca="false">IF(B2221="","","")</f>
        <v/>
      </c>
      <c r="H2221" s="23" t="str">
        <f aca="false">IF(B2221="","","")</f>
        <v/>
      </c>
      <c r="I2221" s="23" t="str">
        <f aca="false">IF(B2221="","","")</f>
        <v/>
      </c>
      <c r="J2221" s="23" t="str">
        <f aca="false">IF(B2221="","","touch_1; "&amp;IFERROR(INDEX(Clay_Offices!$A$2:$FZ$601,570,Sync!$C$10)&amp;"","")&amp;"; "&amp;IFERROR(INDEX(Clay_Offices!$A$2:$FZ$601,570,Sync!$C$9)&amp;"",""))</f>
        <v/>
      </c>
      <c r="K2221" s="32" t="s">
        <v>1363</v>
      </c>
    </row>
    <row r="2222" customFormat="false" ht="15" hidden="false" customHeight="false" outlineLevel="0" collapsed="false">
      <c r="A2222" s="23" t="str">
        <f aca="false">IF(B2222="","",B2222+(12*1000+571)/10000000)</f>
        <v/>
      </c>
      <c r="B2222" s="35" t="str">
        <f aca="false">IF(AND(IFERROR(N(INDEX(Clay_Offices!$A$2:$FZ$601,571,Sync!$C$11)),0)&gt;0,IFERROR(INDEX(Clay_Offices!$A$2:$FZ$601,571,Sync!$C$5)&amp;"","")&lt;&gt;"",OR(LEFT(IFERROR(INDEX(Clay_Offices!$A$2:$FZ$601,571,Sync!$C$5)&amp;"",""),6)&lt;&gt;"SAMPLE",Config!$B$19="Y")),IFERROR(N(INDEX(Clay_Offices!$A$2:$FZ$601,571,Sync!$C$11)),0),"")</f>
        <v/>
      </c>
      <c r="C2222" s="23" t="str">
        <f aca="false">IF(B2222="","","office")</f>
        <v/>
      </c>
      <c r="D2222" s="23" t="str">
        <f aca="false">IF(B2222="","",IFERROR(INDEX(Office_Log!$ED$2:$ED$201,MATCH(IFERROR(INDEX(Clay_Offices!$A$2:$FZ$601,571,Sync!$C$5)&amp;"",""),Office_Log!$A$2:$A$201,0))&amp;"",IFERROR(INDEX(Clay_Offices!$A$2:$FZ$601,571,Sync!$C$5)&amp;"","")&amp;""))</f>
        <v/>
      </c>
      <c r="E2222" s="23" t="str">
        <f aca="false">IF(B2222="","",IFERROR(INDEX(Clay_Offices!$A$2:$FZ$601,571,Sync!$C$6)&amp;"",""))</f>
        <v/>
      </c>
      <c r="F2222" s="23" t="str">
        <f aca="false">IF(B2222="","","outreach_sent")</f>
        <v/>
      </c>
      <c r="G2222" s="23" t="str">
        <f aca="false">IF(B2222="","","")</f>
        <v/>
      </c>
      <c r="H2222" s="23" t="str">
        <f aca="false">IF(B2222="","","")</f>
        <v/>
      </c>
      <c r="I2222" s="23" t="str">
        <f aca="false">IF(B2222="","","")</f>
        <v/>
      </c>
      <c r="J2222" s="23" t="str">
        <f aca="false">IF(B2222="","","touch_1; "&amp;IFERROR(INDEX(Clay_Offices!$A$2:$FZ$601,571,Sync!$C$10)&amp;"","")&amp;"; "&amp;IFERROR(INDEX(Clay_Offices!$A$2:$FZ$601,571,Sync!$C$9)&amp;"",""))</f>
        <v/>
      </c>
      <c r="K2222" s="32" t="s">
        <v>1363</v>
      </c>
    </row>
    <row r="2223" customFormat="false" ht="15" hidden="false" customHeight="false" outlineLevel="0" collapsed="false">
      <c r="A2223" s="23" t="str">
        <f aca="false">IF(B2223="","",B2223+(12*1000+572)/10000000)</f>
        <v/>
      </c>
      <c r="B2223" s="35" t="str">
        <f aca="false">IF(AND(IFERROR(N(INDEX(Clay_Offices!$A$2:$FZ$601,572,Sync!$C$11)),0)&gt;0,IFERROR(INDEX(Clay_Offices!$A$2:$FZ$601,572,Sync!$C$5)&amp;"","")&lt;&gt;"",OR(LEFT(IFERROR(INDEX(Clay_Offices!$A$2:$FZ$601,572,Sync!$C$5)&amp;"",""),6)&lt;&gt;"SAMPLE",Config!$B$19="Y")),IFERROR(N(INDEX(Clay_Offices!$A$2:$FZ$601,572,Sync!$C$11)),0),"")</f>
        <v/>
      </c>
      <c r="C2223" s="23" t="str">
        <f aca="false">IF(B2223="","","office")</f>
        <v/>
      </c>
      <c r="D2223" s="23" t="str">
        <f aca="false">IF(B2223="","",IFERROR(INDEX(Office_Log!$ED$2:$ED$201,MATCH(IFERROR(INDEX(Clay_Offices!$A$2:$FZ$601,572,Sync!$C$5)&amp;"",""),Office_Log!$A$2:$A$201,0))&amp;"",IFERROR(INDEX(Clay_Offices!$A$2:$FZ$601,572,Sync!$C$5)&amp;"","")&amp;""))</f>
        <v/>
      </c>
      <c r="E2223" s="23" t="str">
        <f aca="false">IF(B2223="","",IFERROR(INDEX(Clay_Offices!$A$2:$FZ$601,572,Sync!$C$6)&amp;"",""))</f>
        <v/>
      </c>
      <c r="F2223" s="23" t="str">
        <f aca="false">IF(B2223="","","outreach_sent")</f>
        <v/>
      </c>
      <c r="G2223" s="23" t="str">
        <f aca="false">IF(B2223="","","")</f>
        <v/>
      </c>
      <c r="H2223" s="23" t="str">
        <f aca="false">IF(B2223="","","")</f>
        <v/>
      </c>
      <c r="I2223" s="23" t="str">
        <f aca="false">IF(B2223="","","")</f>
        <v/>
      </c>
      <c r="J2223" s="23" t="str">
        <f aca="false">IF(B2223="","","touch_1; "&amp;IFERROR(INDEX(Clay_Offices!$A$2:$FZ$601,572,Sync!$C$10)&amp;"","")&amp;"; "&amp;IFERROR(INDEX(Clay_Offices!$A$2:$FZ$601,572,Sync!$C$9)&amp;"",""))</f>
        <v/>
      </c>
      <c r="K2223" s="32" t="s">
        <v>1363</v>
      </c>
    </row>
    <row r="2224" customFormat="false" ht="15" hidden="false" customHeight="false" outlineLevel="0" collapsed="false">
      <c r="A2224" s="23" t="str">
        <f aca="false">IF(B2224="","",B2224+(12*1000+573)/10000000)</f>
        <v/>
      </c>
      <c r="B2224" s="35" t="str">
        <f aca="false">IF(AND(IFERROR(N(INDEX(Clay_Offices!$A$2:$FZ$601,573,Sync!$C$11)),0)&gt;0,IFERROR(INDEX(Clay_Offices!$A$2:$FZ$601,573,Sync!$C$5)&amp;"","")&lt;&gt;"",OR(LEFT(IFERROR(INDEX(Clay_Offices!$A$2:$FZ$601,573,Sync!$C$5)&amp;"",""),6)&lt;&gt;"SAMPLE",Config!$B$19="Y")),IFERROR(N(INDEX(Clay_Offices!$A$2:$FZ$601,573,Sync!$C$11)),0),"")</f>
        <v/>
      </c>
      <c r="C2224" s="23" t="str">
        <f aca="false">IF(B2224="","","office")</f>
        <v/>
      </c>
      <c r="D2224" s="23" t="str">
        <f aca="false">IF(B2224="","",IFERROR(INDEX(Office_Log!$ED$2:$ED$201,MATCH(IFERROR(INDEX(Clay_Offices!$A$2:$FZ$601,573,Sync!$C$5)&amp;"",""),Office_Log!$A$2:$A$201,0))&amp;"",IFERROR(INDEX(Clay_Offices!$A$2:$FZ$601,573,Sync!$C$5)&amp;"","")&amp;""))</f>
        <v/>
      </c>
      <c r="E2224" s="23" t="str">
        <f aca="false">IF(B2224="","",IFERROR(INDEX(Clay_Offices!$A$2:$FZ$601,573,Sync!$C$6)&amp;"",""))</f>
        <v/>
      </c>
      <c r="F2224" s="23" t="str">
        <f aca="false">IF(B2224="","","outreach_sent")</f>
        <v/>
      </c>
      <c r="G2224" s="23" t="str">
        <f aca="false">IF(B2224="","","")</f>
        <v/>
      </c>
      <c r="H2224" s="23" t="str">
        <f aca="false">IF(B2224="","","")</f>
        <v/>
      </c>
      <c r="I2224" s="23" t="str">
        <f aca="false">IF(B2224="","","")</f>
        <v/>
      </c>
      <c r="J2224" s="23" t="str">
        <f aca="false">IF(B2224="","","touch_1; "&amp;IFERROR(INDEX(Clay_Offices!$A$2:$FZ$601,573,Sync!$C$10)&amp;"","")&amp;"; "&amp;IFERROR(INDEX(Clay_Offices!$A$2:$FZ$601,573,Sync!$C$9)&amp;"",""))</f>
        <v/>
      </c>
      <c r="K2224" s="32" t="s">
        <v>1363</v>
      </c>
    </row>
    <row r="2225" customFormat="false" ht="15" hidden="false" customHeight="false" outlineLevel="0" collapsed="false">
      <c r="A2225" s="23" t="str">
        <f aca="false">IF(B2225="","",B2225+(12*1000+574)/10000000)</f>
        <v/>
      </c>
      <c r="B2225" s="35" t="str">
        <f aca="false">IF(AND(IFERROR(N(INDEX(Clay_Offices!$A$2:$FZ$601,574,Sync!$C$11)),0)&gt;0,IFERROR(INDEX(Clay_Offices!$A$2:$FZ$601,574,Sync!$C$5)&amp;"","")&lt;&gt;"",OR(LEFT(IFERROR(INDEX(Clay_Offices!$A$2:$FZ$601,574,Sync!$C$5)&amp;"",""),6)&lt;&gt;"SAMPLE",Config!$B$19="Y")),IFERROR(N(INDEX(Clay_Offices!$A$2:$FZ$601,574,Sync!$C$11)),0),"")</f>
        <v/>
      </c>
      <c r="C2225" s="23" t="str">
        <f aca="false">IF(B2225="","","office")</f>
        <v/>
      </c>
      <c r="D2225" s="23" t="str">
        <f aca="false">IF(B2225="","",IFERROR(INDEX(Office_Log!$ED$2:$ED$201,MATCH(IFERROR(INDEX(Clay_Offices!$A$2:$FZ$601,574,Sync!$C$5)&amp;"",""),Office_Log!$A$2:$A$201,0))&amp;"",IFERROR(INDEX(Clay_Offices!$A$2:$FZ$601,574,Sync!$C$5)&amp;"","")&amp;""))</f>
        <v/>
      </c>
      <c r="E2225" s="23" t="str">
        <f aca="false">IF(B2225="","",IFERROR(INDEX(Clay_Offices!$A$2:$FZ$601,574,Sync!$C$6)&amp;"",""))</f>
        <v/>
      </c>
      <c r="F2225" s="23" t="str">
        <f aca="false">IF(B2225="","","outreach_sent")</f>
        <v/>
      </c>
      <c r="G2225" s="23" t="str">
        <f aca="false">IF(B2225="","","")</f>
        <v/>
      </c>
      <c r="H2225" s="23" t="str">
        <f aca="false">IF(B2225="","","")</f>
        <v/>
      </c>
      <c r="I2225" s="23" t="str">
        <f aca="false">IF(B2225="","","")</f>
        <v/>
      </c>
      <c r="J2225" s="23" t="str">
        <f aca="false">IF(B2225="","","touch_1; "&amp;IFERROR(INDEX(Clay_Offices!$A$2:$FZ$601,574,Sync!$C$10)&amp;"","")&amp;"; "&amp;IFERROR(INDEX(Clay_Offices!$A$2:$FZ$601,574,Sync!$C$9)&amp;"",""))</f>
        <v/>
      </c>
      <c r="K2225" s="32" t="s">
        <v>1363</v>
      </c>
    </row>
    <row r="2226" customFormat="false" ht="15" hidden="false" customHeight="false" outlineLevel="0" collapsed="false">
      <c r="A2226" s="23" t="str">
        <f aca="false">IF(B2226="","",B2226+(12*1000+575)/10000000)</f>
        <v/>
      </c>
      <c r="B2226" s="35" t="str">
        <f aca="false">IF(AND(IFERROR(N(INDEX(Clay_Offices!$A$2:$FZ$601,575,Sync!$C$11)),0)&gt;0,IFERROR(INDEX(Clay_Offices!$A$2:$FZ$601,575,Sync!$C$5)&amp;"","")&lt;&gt;"",OR(LEFT(IFERROR(INDEX(Clay_Offices!$A$2:$FZ$601,575,Sync!$C$5)&amp;"",""),6)&lt;&gt;"SAMPLE",Config!$B$19="Y")),IFERROR(N(INDEX(Clay_Offices!$A$2:$FZ$601,575,Sync!$C$11)),0),"")</f>
        <v/>
      </c>
      <c r="C2226" s="23" t="str">
        <f aca="false">IF(B2226="","","office")</f>
        <v/>
      </c>
      <c r="D2226" s="23" t="str">
        <f aca="false">IF(B2226="","",IFERROR(INDEX(Office_Log!$ED$2:$ED$201,MATCH(IFERROR(INDEX(Clay_Offices!$A$2:$FZ$601,575,Sync!$C$5)&amp;"",""),Office_Log!$A$2:$A$201,0))&amp;"",IFERROR(INDEX(Clay_Offices!$A$2:$FZ$601,575,Sync!$C$5)&amp;"","")&amp;""))</f>
        <v/>
      </c>
      <c r="E2226" s="23" t="str">
        <f aca="false">IF(B2226="","",IFERROR(INDEX(Clay_Offices!$A$2:$FZ$601,575,Sync!$C$6)&amp;"",""))</f>
        <v/>
      </c>
      <c r="F2226" s="23" t="str">
        <f aca="false">IF(B2226="","","outreach_sent")</f>
        <v/>
      </c>
      <c r="G2226" s="23" t="str">
        <f aca="false">IF(B2226="","","")</f>
        <v/>
      </c>
      <c r="H2226" s="23" t="str">
        <f aca="false">IF(B2226="","","")</f>
        <v/>
      </c>
      <c r="I2226" s="23" t="str">
        <f aca="false">IF(B2226="","","")</f>
        <v/>
      </c>
      <c r="J2226" s="23" t="str">
        <f aca="false">IF(B2226="","","touch_1; "&amp;IFERROR(INDEX(Clay_Offices!$A$2:$FZ$601,575,Sync!$C$10)&amp;"","")&amp;"; "&amp;IFERROR(INDEX(Clay_Offices!$A$2:$FZ$601,575,Sync!$C$9)&amp;"",""))</f>
        <v/>
      </c>
      <c r="K2226" s="32" t="s">
        <v>1363</v>
      </c>
    </row>
    <row r="2227" customFormat="false" ht="15" hidden="false" customHeight="false" outlineLevel="0" collapsed="false">
      <c r="A2227" s="23" t="str">
        <f aca="false">IF(B2227="","",B2227+(12*1000+576)/10000000)</f>
        <v/>
      </c>
      <c r="B2227" s="35" t="str">
        <f aca="false">IF(AND(IFERROR(N(INDEX(Clay_Offices!$A$2:$FZ$601,576,Sync!$C$11)),0)&gt;0,IFERROR(INDEX(Clay_Offices!$A$2:$FZ$601,576,Sync!$C$5)&amp;"","")&lt;&gt;"",OR(LEFT(IFERROR(INDEX(Clay_Offices!$A$2:$FZ$601,576,Sync!$C$5)&amp;"",""),6)&lt;&gt;"SAMPLE",Config!$B$19="Y")),IFERROR(N(INDEX(Clay_Offices!$A$2:$FZ$601,576,Sync!$C$11)),0),"")</f>
        <v/>
      </c>
      <c r="C2227" s="23" t="str">
        <f aca="false">IF(B2227="","","office")</f>
        <v/>
      </c>
      <c r="D2227" s="23" t="str">
        <f aca="false">IF(B2227="","",IFERROR(INDEX(Office_Log!$ED$2:$ED$201,MATCH(IFERROR(INDEX(Clay_Offices!$A$2:$FZ$601,576,Sync!$C$5)&amp;"",""),Office_Log!$A$2:$A$201,0))&amp;"",IFERROR(INDEX(Clay_Offices!$A$2:$FZ$601,576,Sync!$C$5)&amp;"","")&amp;""))</f>
        <v/>
      </c>
      <c r="E2227" s="23" t="str">
        <f aca="false">IF(B2227="","",IFERROR(INDEX(Clay_Offices!$A$2:$FZ$601,576,Sync!$C$6)&amp;"",""))</f>
        <v/>
      </c>
      <c r="F2227" s="23" t="str">
        <f aca="false">IF(B2227="","","outreach_sent")</f>
        <v/>
      </c>
      <c r="G2227" s="23" t="str">
        <f aca="false">IF(B2227="","","")</f>
        <v/>
      </c>
      <c r="H2227" s="23" t="str">
        <f aca="false">IF(B2227="","","")</f>
        <v/>
      </c>
      <c r="I2227" s="23" t="str">
        <f aca="false">IF(B2227="","","")</f>
        <v/>
      </c>
      <c r="J2227" s="23" t="str">
        <f aca="false">IF(B2227="","","touch_1; "&amp;IFERROR(INDEX(Clay_Offices!$A$2:$FZ$601,576,Sync!$C$10)&amp;"","")&amp;"; "&amp;IFERROR(INDEX(Clay_Offices!$A$2:$FZ$601,576,Sync!$C$9)&amp;"",""))</f>
        <v/>
      </c>
      <c r="K2227" s="32" t="s">
        <v>1363</v>
      </c>
    </row>
    <row r="2228" customFormat="false" ht="15" hidden="false" customHeight="false" outlineLevel="0" collapsed="false">
      <c r="A2228" s="23" t="str">
        <f aca="false">IF(B2228="","",B2228+(12*1000+577)/10000000)</f>
        <v/>
      </c>
      <c r="B2228" s="35" t="str">
        <f aca="false">IF(AND(IFERROR(N(INDEX(Clay_Offices!$A$2:$FZ$601,577,Sync!$C$11)),0)&gt;0,IFERROR(INDEX(Clay_Offices!$A$2:$FZ$601,577,Sync!$C$5)&amp;"","")&lt;&gt;"",OR(LEFT(IFERROR(INDEX(Clay_Offices!$A$2:$FZ$601,577,Sync!$C$5)&amp;"",""),6)&lt;&gt;"SAMPLE",Config!$B$19="Y")),IFERROR(N(INDEX(Clay_Offices!$A$2:$FZ$601,577,Sync!$C$11)),0),"")</f>
        <v/>
      </c>
      <c r="C2228" s="23" t="str">
        <f aca="false">IF(B2228="","","office")</f>
        <v/>
      </c>
      <c r="D2228" s="23" t="str">
        <f aca="false">IF(B2228="","",IFERROR(INDEX(Office_Log!$ED$2:$ED$201,MATCH(IFERROR(INDEX(Clay_Offices!$A$2:$FZ$601,577,Sync!$C$5)&amp;"",""),Office_Log!$A$2:$A$201,0))&amp;"",IFERROR(INDEX(Clay_Offices!$A$2:$FZ$601,577,Sync!$C$5)&amp;"","")&amp;""))</f>
        <v/>
      </c>
      <c r="E2228" s="23" t="str">
        <f aca="false">IF(B2228="","",IFERROR(INDEX(Clay_Offices!$A$2:$FZ$601,577,Sync!$C$6)&amp;"",""))</f>
        <v/>
      </c>
      <c r="F2228" s="23" t="str">
        <f aca="false">IF(B2228="","","outreach_sent")</f>
        <v/>
      </c>
      <c r="G2228" s="23" t="str">
        <f aca="false">IF(B2228="","","")</f>
        <v/>
      </c>
      <c r="H2228" s="23" t="str">
        <f aca="false">IF(B2228="","","")</f>
        <v/>
      </c>
      <c r="I2228" s="23" t="str">
        <f aca="false">IF(B2228="","","")</f>
        <v/>
      </c>
      <c r="J2228" s="23" t="str">
        <f aca="false">IF(B2228="","","touch_1; "&amp;IFERROR(INDEX(Clay_Offices!$A$2:$FZ$601,577,Sync!$C$10)&amp;"","")&amp;"; "&amp;IFERROR(INDEX(Clay_Offices!$A$2:$FZ$601,577,Sync!$C$9)&amp;"",""))</f>
        <v/>
      </c>
      <c r="K2228" s="32" t="s">
        <v>1363</v>
      </c>
    </row>
    <row r="2229" customFormat="false" ht="15" hidden="false" customHeight="false" outlineLevel="0" collapsed="false">
      <c r="A2229" s="23" t="str">
        <f aca="false">IF(B2229="","",B2229+(12*1000+578)/10000000)</f>
        <v/>
      </c>
      <c r="B2229" s="35" t="str">
        <f aca="false">IF(AND(IFERROR(N(INDEX(Clay_Offices!$A$2:$FZ$601,578,Sync!$C$11)),0)&gt;0,IFERROR(INDEX(Clay_Offices!$A$2:$FZ$601,578,Sync!$C$5)&amp;"","")&lt;&gt;"",OR(LEFT(IFERROR(INDEX(Clay_Offices!$A$2:$FZ$601,578,Sync!$C$5)&amp;"",""),6)&lt;&gt;"SAMPLE",Config!$B$19="Y")),IFERROR(N(INDEX(Clay_Offices!$A$2:$FZ$601,578,Sync!$C$11)),0),"")</f>
        <v/>
      </c>
      <c r="C2229" s="23" t="str">
        <f aca="false">IF(B2229="","","office")</f>
        <v/>
      </c>
      <c r="D2229" s="23" t="str">
        <f aca="false">IF(B2229="","",IFERROR(INDEX(Office_Log!$ED$2:$ED$201,MATCH(IFERROR(INDEX(Clay_Offices!$A$2:$FZ$601,578,Sync!$C$5)&amp;"",""),Office_Log!$A$2:$A$201,0))&amp;"",IFERROR(INDEX(Clay_Offices!$A$2:$FZ$601,578,Sync!$C$5)&amp;"","")&amp;""))</f>
        <v/>
      </c>
      <c r="E2229" s="23" t="str">
        <f aca="false">IF(B2229="","",IFERROR(INDEX(Clay_Offices!$A$2:$FZ$601,578,Sync!$C$6)&amp;"",""))</f>
        <v/>
      </c>
      <c r="F2229" s="23" t="str">
        <f aca="false">IF(B2229="","","outreach_sent")</f>
        <v/>
      </c>
      <c r="G2229" s="23" t="str">
        <f aca="false">IF(B2229="","","")</f>
        <v/>
      </c>
      <c r="H2229" s="23" t="str">
        <f aca="false">IF(B2229="","","")</f>
        <v/>
      </c>
      <c r="I2229" s="23" t="str">
        <f aca="false">IF(B2229="","","")</f>
        <v/>
      </c>
      <c r="J2229" s="23" t="str">
        <f aca="false">IF(B2229="","","touch_1; "&amp;IFERROR(INDEX(Clay_Offices!$A$2:$FZ$601,578,Sync!$C$10)&amp;"","")&amp;"; "&amp;IFERROR(INDEX(Clay_Offices!$A$2:$FZ$601,578,Sync!$C$9)&amp;"",""))</f>
        <v/>
      </c>
      <c r="K2229" s="32" t="s">
        <v>1363</v>
      </c>
    </row>
    <row r="2230" customFormat="false" ht="15" hidden="false" customHeight="false" outlineLevel="0" collapsed="false">
      <c r="A2230" s="23" t="str">
        <f aca="false">IF(B2230="","",B2230+(12*1000+579)/10000000)</f>
        <v/>
      </c>
      <c r="B2230" s="35" t="str">
        <f aca="false">IF(AND(IFERROR(N(INDEX(Clay_Offices!$A$2:$FZ$601,579,Sync!$C$11)),0)&gt;0,IFERROR(INDEX(Clay_Offices!$A$2:$FZ$601,579,Sync!$C$5)&amp;"","")&lt;&gt;"",OR(LEFT(IFERROR(INDEX(Clay_Offices!$A$2:$FZ$601,579,Sync!$C$5)&amp;"",""),6)&lt;&gt;"SAMPLE",Config!$B$19="Y")),IFERROR(N(INDEX(Clay_Offices!$A$2:$FZ$601,579,Sync!$C$11)),0),"")</f>
        <v/>
      </c>
      <c r="C2230" s="23" t="str">
        <f aca="false">IF(B2230="","","office")</f>
        <v/>
      </c>
      <c r="D2230" s="23" t="str">
        <f aca="false">IF(B2230="","",IFERROR(INDEX(Office_Log!$ED$2:$ED$201,MATCH(IFERROR(INDEX(Clay_Offices!$A$2:$FZ$601,579,Sync!$C$5)&amp;"",""),Office_Log!$A$2:$A$201,0))&amp;"",IFERROR(INDEX(Clay_Offices!$A$2:$FZ$601,579,Sync!$C$5)&amp;"","")&amp;""))</f>
        <v/>
      </c>
      <c r="E2230" s="23" t="str">
        <f aca="false">IF(B2230="","",IFERROR(INDEX(Clay_Offices!$A$2:$FZ$601,579,Sync!$C$6)&amp;"",""))</f>
        <v/>
      </c>
      <c r="F2230" s="23" t="str">
        <f aca="false">IF(B2230="","","outreach_sent")</f>
        <v/>
      </c>
      <c r="G2230" s="23" t="str">
        <f aca="false">IF(B2230="","","")</f>
        <v/>
      </c>
      <c r="H2230" s="23" t="str">
        <f aca="false">IF(B2230="","","")</f>
        <v/>
      </c>
      <c r="I2230" s="23" t="str">
        <f aca="false">IF(B2230="","","")</f>
        <v/>
      </c>
      <c r="J2230" s="23" t="str">
        <f aca="false">IF(B2230="","","touch_1; "&amp;IFERROR(INDEX(Clay_Offices!$A$2:$FZ$601,579,Sync!$C$10)&amp;"","")&amp;"; "&amp;IFERROR(INDEX(Clay_Offices!$A$2:$FZ$601,579,Sync!$C$9)&amp;"",""))</f>
        <v/>
      </c>
      <c r="K2230" s="32" t="s">
        <v>1363</v>
      </c>
    </row>
    <row r="2231" customFormat="false" ht="15" hidden="false" customHeight="false" outlineLevel="0" collapsed="false">
      <c r="A2231" s="23" t="str">
        <f aca="false">IF(B2231="","",B2231+(12*1000+580)/10000000)</f>
        <v/>
      </c>
      <c r="B2231" s="35" t="str">
        <f aca="false">IF(AND(IFERROR(N(INDEX(Clay_Offices!$A$2:$FZ$601,580,Sync!$C$11)),0)&gt;0,IFERROR(INDEX(Clay_Offices!$A$2:$FZ$601,580,Sync!$C$5)&amp;"","")&lt;&gt;"",OR(LEFT(IFERROR(INDEX(Clay_Offices!$A$2:$FZ$601,580,Sync!$C$5)&amp;"",""),6)&lt;&gt;"SAMPLE",Config!$B$19="Y")),IFERROR(N(INDEX(Clay_Offices!$A$2:$FZ$601,580,Sync!$C$11)),0),"")</f>
        <v/>
      </c>
      <c r="C2231" s="23" t="str">
        <f aca="false">IF(B2231="","","office")</f>
        <v/>
      </c>
      <c r="D2231" s="23" t="str">
        <f aca="false">IF(B2231="","",IFERROR(INDEX(Office_Log!$ED$2:$ED$201,MATCH(IFERROR(INDEX(Clay_Offices!$A$2:$FZ$601,580,Sync!$C$5)&amp;"",""),Office_Log!$A$2:$A$201,0))&amp;"",IFERROR(INDEX(Clay_Offices!$A$2:$FZ$601,580,Sync!$C$5)&amp;"","")&amp;""))</f>
        <v/>
      </c>
      <c r="E2231" s="23" t="str">
        <f aca="false">IF(B2231="","",IFERROR(INDEX(Clay_Offices!$A$2:$FZ$601,580,Sync!$C$6)&amp;"",""))</f>
        <v/>
      </c>
      <c r="F2231" s="23" t="str">
        <f aca="false">IF(B2231="","","outreach_sent")</f>
        <v/>
      </c>
      <c r="G2231" s="23" t="str">
        <f aca="false">IF(B2231="","","")</f>
        <v/>
      </c>
      <c r="H2231" s="23" t="str">
        <f aca="false">IF(B2231="","","")</f>
        <v/>
      </c>
      <c r="I2231" s="23" t="str">
        <f aca="false">IF(B2231="","","")</f>
        <v/>
      </c>
      <c r="J2231" s="23" t="str">
        <f aca="false">IF(B2231="","","touch_1; "&amp;IFERROR(INDEX(Clay_Offices!$A$2:$FZ$601,580,Sync!$C$10)&amp;"","")&amp;"; "&amp;IFERROR(INDEX(Clay_Offices!$A$2:$FZ$601,580,Sync!$C$9)&amp;"",""))</f>
        <v/>
      </c>
      <c r="K2231" s="32" t="s">
        <v>1363</v>
      </c>
    </row>
    <row r="2232" customFormat="false" ht="15" hidden="false" customHeight="false" outlineLevel="0" collapsed="false">
      <c r="A2232" s="23" t="str">
        <f aca="false">IF(B2232="","",B2232+(12*1000+581)/10000000)</f>
        <v/>
      </c>
      <c r="B2232" s="35" t="str">
        <f aca="false">IF(AND(IFERROR(N(INDEX(Clay_Offices!$A$2:$FZ$601,581,Sync!$C$11)),0)&gt;0,IFERROR(INDEX(Clay_Offices!$A$2:$FZ$601,581,Sync!$C$5)&amp;"","")&lt;&gt;"",OR(LEFT(IFERROR(INDEX(Clay_Offices!$A$2:$FZ$601,581,Sync!$C$5)&amp;"",""),6)&lt;&gt;"SAMPLE",Config!$B$19="Y")),IFERROR(N(INDEX(Clay_Offices!$A$2:$FZ$601,581,Sync!$C$11)),0),"")</f>
        <v/>
      </c>
      <c r="C2232" s="23" t="str">
        <f aca="false">IF(B2232="","","office")</f>
        <v/>
      </c>
      <c r="D2232" s="23" t="str">
        <f aca="false">IF(B2232="","",IFERROR(INDEX(Office_Log!$ED$2:$ED$201,MATCH(IFERROR(INDEX(Clay_Offices!$A$2:$FZ$601,581,Sync!$C$5)&amp;"",""),Office_Log!$A$2:$A$201,0))&amp;"",IFERROR(INDEX(Clay_Offices!$A$2:$FZ$601,581,Sync!$C$5)&amp;"","")&amp;""))</f>
        <v/>
      </c>
      <c r="E2232" s="23" t="str">
        <f aca="false">IF(B2232="","",IFERROR(INDEX(Clay_Offices!$A$2:$FZ$601,581,Sync!$C$6)&amp;"",""))</f>
        <v/>
      </c>
      <c r="F2232" s="23" t="str">
        <f aca="false">IF(B2232="","","outreach_sent")</f>
        <v/>
      </c>
      <c r="G2232" s="23" t="str">
        <f aca="false">IF(B2232="","","")</f>
        <v/>
      </c>
      <c r="H2232" s="23" t="str">
        <f aca="false">IF(B2232="","","")</f>
        <v/>
      </c>
      <c r="I2232" s="23" t="str">
        <f aca="false">IF(B2232="","","")</f>
        <v/>
      </c>
      <c r="J2232" s="23" t="str">
        <f aca="false">IF(B2232="","","touch_1; "&amp;IFERROR(INDEX(Clay_Offices!$A$2:$FZ$601,581,Sync!$C$10)&amp;"","")&amp;"; "&amp;IFERROR(INDEX(Clay_Offices!$A$2:$FZ$601,581,Sync!$C$9)&amp;"",""))</f>
        <v/>
      </c>
      <c r="K2232" s="32" t="s">
        <v>1363</v>
      </c>
    </row>
    <row r="2233" customFormat="false" ht="15" hidden="false" customHeight="false" outlineLevel="0" collapsed="false">
      <c r="A2233" s="23" t="str">
        <f aca="false">IF(B2233="","",B2233+(12*1000+582)/10000000)</f>
        <v/>
      </c>
      <c r="B2233" s="35" t="str">
        <f aca="false">IF(AND(IFERROR(N(INDEX(Clay_Offices!$A$2:$FZ$601,582,Sync!$C$11)),0)&gt;0,IFERROR(INDEX(Clay_Offices!$A$2:$FZ$601,582,Sync!$C$5)&amp;"","")&lt;&gt;"",OR(LEFT(IFERROR(INDEX(Clay_Offices!$A$2:$FZ$601,582,Sync!$C$5)&amp;"",""),6)&lt;&gt;"SAMPLE",Config!$B$19="Y")),IFERROR(N(INDEX(Clay_Offices!$A$2:$FZ$601,582,Sync!$C$11)),0),"")</f>
        <v/>
      </c>
      <c r="C2233" s="23" t="str">
        <f aca="false">IF(B2233="","","office")</f>
        <v/>
      </c>
      <c r="D2233" s="23" t="str">
        <f aca="false">IF(B2233="","",IFERROR(INDEX(Office_Log!$ED$2:$ED$201,MATCH(IFERROR(INDEX(Clay_Offices!$A$2:$FZ$601,582,Sync!$C$5)&amp;"",""),Office_Log!$A$2:$A$201,0))&amp;"",IFERROR(INDEX(Clay_Offices!$A$2:$FZ$601,582,Sync!$C$5)&amp;"","")&amp;""))</f>
        <v/>
      </c>
      <c r="E2233" s="23" t="str">
        <f aca="false">IF(B2233="","",IFERROR(INDEX(Clay_Offices!$A$2:$FZ$601,582,Sync!$C$6)&amp;"",""))</f>
        <v/>
      </c>
      <c r="F2233" s="23" t="str">
        <f aca="false">IF(B2233="","","outreach_sent")</f>
        <v/>
      </c>
      <c r="G2233" s="23" t="str">
        <f aca="false">IF(B2233="","","")</f>
        <v/>
      </c>
      <c r="H2233" s="23" t="str">
        <f aca="false">IF(B2233="","","")</f>
        <v/>
      </c>
      <c r="I2233" s="23" t="str">
        <f aca="false">IF(B2233="","","")</f>
        <v/>
      </c>
      <c r="J2233" s="23" t="str">
        <f aca="false">IF(B2233="","","touch_1; "&amp;IFERROR(INDEX(Clay_Offices!$A$2:$FZ$601,582,Sync!$C$10)&amp;"","")&amp;"; "&amp;IFERROR(INDEX(Clay_Offices!$A$2:$FZ$601,582,Sync!$C$9)&amp;"",""))</f>
        <v/>
      </c>
      <c r="K2233" s="32" t="s">
        <v>1363</v>
      </c>
    </row>
    <row r="2234" customFormat="false" ht="15" hidden="false" customHeight="false" outlineLevel="0" collapsed="false">
      <c r="A2234" s="23" t="str">
        <f aca="false">IF(B2234="","",B2234+(12*1000+583)/10000000)</f>
        <v/>
      </c>
      <c r="B2234" s="35" t="str">
        <f aca="false">IF(AND(IFERROR(N(INDEX(Clay_Offices!$A$2:$FZ$601,583,Sync!$C$11)),0)&gt;0,IFERROR(INDEX(Clay_Offices!$A$2:$FZ$601,583,Sync!$C$5)&amp;"","")&lt;&gt;"",OR(LEFT(IFERROR(INDEX(Clay_Offices!$A$2:$FZ$601,583,Sync!$C$5)&amp;"",""),6)&lt;&gt;"SAMPLE",Config!$B$19="Y")),IFERROR(N(INDEX(Clay_Offices!$A$2:$FZ$601,583,Sync!$C$11)),0),"")</f>
        <v/>
      </c>
      <c r="C2234" s="23" t="str">
        <f aca="false">IF(B2234="","","office")</f>
        <v/>
      </c>
      <c r="D2234" s="23" t="str">
        <f aca="false">IF(B2234="","",IFERROR(INDEX(Office_Log!$ED$2:$ED$201,MATCH(IFERROR(INDEX(Clay_Offices!$A$2:$FZ$601,583,Sync!$C$5)&amp;"",""),Office_Log!$A$2:$A$201,0))&amp;"",IFERROR(INDEX(Clay_Offices!$A$2:$FZ$601,583,Sync!$C$5)&amp;"","")&amp;""))</f>
        <v/>
      </c>
      <c r="E2234" s="23" t="str">
        <f aca="false">IF(B2234="","",IFERROR(INDEX(Clay_Offices!$A$2:$FZ$601,583,Sync!$C$6)&amp;"",""))</f>
        <v/>
      </c>
      <c r="F2234" s="23" t="str">
        <f aca="false">IF(B2234="","","outreach_sent")</f>
        <v/>
      </c>
      <c r="G2234" s="23" t="str">
        <f aca="false">IF(B2234="","","")</f>
        <v/>
      </c>
      <c r="H2234" s="23" t="str">
        <f aca="false">IF(B2234="","","")</f>
        <v/>
      </c>
      <c r="I2234" s="23" t="str">
        <f aca="false">IF(B2234="","","")</f>
        <v/>
      </c>
      <c r="J2234" s="23" t="str">
        <f aca="false">IF(B2234="","","touch_1; "&amp;IFERROR(INDEX(Clay_Offices!$A$2:$FZ$601,583,Sync!$C$10)&amp;"","")&amp;"; "&amp;IFERROR(INDEX(Clay_Offices!$A$2:$FZ$601,583,Sync!$C$9)&amp;"",""))</f>
        <v/>
      </c>
      <c r="K2234" s="32" t="s">
        <v>1363</v>
      </c>
    </row>
    <row r="2235" customFormat="false" ht="15" hidden="false" customHeight="false" outlineLevel="0" collapsed="false">
      <c r="A2235" s="23" t="str">
        <f aca="false">IF(B2235="","",B2235+(12*1000+584)/10000000)</f>
        <v/>
      </c>
      <c r="B2235" s="35" t="str">
        <f aca="false">IF(AND(IFERROR(N(INDEX(Clay_Offices!$A$2:$FZ$601,584,Sync!$C$11)),0)&gt;0,IFERROR(INDEX(Clay_Offices!$A$2:$FZ$601,584,Sync!$C$5)&amp;"","")&lt;&gt;"",OR(LEFT(IFERROR(INDEX(Clay_Offices!$A$2:$FZ$601,584,Sync!$C$5)&amp;"",""),6)&lt;&gt;"SAMPLE",Config!$B$19="Y")),IFERROR(N(INDEX(Clay_Offices!$A$2:$FZ$601,584,Sync!$C$11)),0),"")</f>
        <v/>
      </c>
      <c r="C2235" s="23" t="str">
        <f aca="false">IF(B2235="","","office")</f>
        <v/>
      </c>
      <c r="D2235" s="23" t="str">
        <f aca="false">IF(B2235="","",IFERROR(INDEX(Office_Log!$ED$2:$ED$201,MATCH(IFERROR(INDEX(Clay_Offices!$A$2:$FZ$601,584,Sync!$C$5)&amp;"",""),Office_Log!$A$2:$A$201,0))&amp;"",IFERROR(INDEX(Clay_Offices!$A$2:$FZ$601,584,Sync!$C$5)&amp;"","")&amp;""))</f>
        <v/>
      </c>
      <c r="E2235" s="23" t="str">
        <f aca="false">IF(B2235="","",IFERROR(INDEX(Clay_Offices!$A$2:$FZ$601,584,Sync!$C$6)&amp;"",""))</f>
        <v/>
      </c>
      <c r="F2235" s="23" t="str">
        <f aca="false">IF(B2235="","","outreach_sent")</f>
        <v/>
      </c>
      <c r="G2235" s="23" t="str">
        <f aca="false">IF(B2235="","","")</f>
        <v/>
      </c>
      <c r="H2235" s="23" t="str">
        <f aca="false">IF(B2235="","","")</f>
        <v/>
      </c>
      <c r="I2235" s="23" t="str">
        <f aca="false">IF(B2235="","","")</f>
        <v/>
      </c>
      <c r="J2235" s="23" t="str">
        <f aca="false">IF(B2235="","","touch_1; "&amp;IFERROR(INDEX(Clay_Offices!$A$2:$FZ$601,584,Sync!$C$10)&amp;"","")&amp;"; "&amp;IFERROR(INDEX(Clay_Offices!$A$2:$FZ$601,584,Sync!$C$9)&amp;"",""))</f>
        <v/>
      </c>
      <c r="K2235" s="32" t="s">
        <v>1363</v>
      </c>
    </row>
    <row r="2236" customFormat="false" ht="15" hidden="false" customHeight="false" outlineLevel="0" collapsed="false">
      <c r="A2236" s="23" t="str">
        <f aca="false">IF(B2236="","",B2236+(12*1000+585)/10000000)</f>
        <v/>
      </c>
      <c r="B2236" s="35" t="str">
        <f aca="false">IF(AND(IFERROR(N(INDEX(Clay_Offices!$A$2:$FZ$601,585,Sync!$C$11)),0)&gt;0,IFERROR(INDEX(Clay_Offices!$A$2:$FZ$601,585,Sync!$C$5)&amp;"","")&lt;&gt;"",OR(LEFT(IFERROR(INDEX(Clay_Offices!$A$2:$FZ$601,585,Sync!$C$5)&amp;"",""),6)&lt;&gt;"SAMPLE",Config!$B$19="Y")),IFERROR(N(INDEX(Clay_Offices!$A$2:$FZ$601,585,Sync!$C$11)),0),"")</f>
        <v/>
      </c>
      <c r="C2236" s="23" t="str">
        <f aca="false">IF(B2236="","","office")</f>
        <v/>
      </c>
      <c r="D2236" s="23" t="str">
        <f aca="false">IF(B2236="","",IFERROR(INDEX(Office_Log!$ED$2:$ED$201,MATCH(IFERROR(INDEX(Clay_Offices!$A$2:$FZ$601,585,Sync!$C$5)&amp;"",""),Office_Log!$A$2:$A$201,0))&amp;"",IFERROR(INDEX(Clay_Offices!$A$2:$FZ$601,585,Sync!$C$5)&amp;"","")&amp;""))</f>
        <v/>
      </c>
      <c r="E2236" s="23" t="str">
        <f aca="false">IF(B2236="","",IFERROR(INDEX(Clay_Offices!$A$2:$FZ$601,585,Sync!$C$6)&amp;"",""))</f>
        <v/>
      </c>
      <c r="F2236" s="23" t="str">
        <f aca="false">IF(B2236="","","outreach_sent")</f>
        <v/>
      </c>
      <c r="G2236" s="23" t="str">
        <f aca="false">IF(B2236="","","")</f>
        <v/>
      </c>
      <c r="H2236" s="23" t="str">
        <f aca="false">IF(B2236="","","")</f>
        <v/>
      </c>
      <c r="I2236" s="23" t="str">
        <f aca="false">IF(B2236="","","")</f>
        <v/>
      </c>
      <c r="J2236" s="23" t="str">
        <f aca="false">IF(B2236="","","touch_1; "&amp;IFERROR(INDEX(Clay_Offices!$A$2:$FZ$601,585,Sync!$C$10)&amp;"","")&amp;"; "&amp;IFERROR(INDEX(Clay_Offices!$A$2:$FZ$601,585,Sync!$C$9)&amp;"",""))</f>
        <v/>
      </c>
      <c r="K2236" s="32" t="s">
        <v>1363</v>
      </c>
    </row>
    <row r="2237" customFormat="false" ht="15" hidden="false" customHeight="false" outlineLevel="0" collapsed="false">
      <c r="A2237" s="23" t="str">
        <f aca="false">IF(B2237="","",B2237+(12*1000+586)/10000000)</f>
        <v/>
      </c>
      <c r="B2237" s="35" t="str">
        <f aca="false">IF(AND(IFERROR(N(INDEX(Clay_Offices!$A$2:$FZ$601,586,Sync!$C$11)),0)&gt;0,IFERROR(INDEX(Clay_Offices!$A$2:$FZ$601,586,Sync!$C$5)&amp;"","")&lt;&gt;"",OR(LEFT(IFERROR(INDEX(Clay_Offices!$A$2:$FZ$601,586,Sync!$C$5)&amp;"",""),6)&lt;&gt;"SAMPLE",Config!$B$19="Y")),IFERROR(N(INDEX(Clay_Offices!$A$2:$FZ$601,586,Sync!$C$11)),0),"")</f>
        <v/>
      </c>
      <c r="C2237" s="23" t="str">
        <f aca="false">IF(B2237="","","office")</f>
        <v/>
      </c>
      <c r="D2237" s="23" t="str">
        <f aca="false">IF(B2237="","",IFERROR(INDEX(Office_Log!$ED$2:$ED$201,MATCH(IFERROR(INDEX(Clay_Offices!$A$2:$FZ$601,586,Sync!$C$5)&amp;"",""),Office_Log!$A$2:$A$201,0))&amp;"",IFERROR(INDEX(Clay_Offices!$A$2:$FZ$601,586,Sync!$C$5)&amp;"","")&amp;""))</f>
        <v/>
      </c>
      <c r="E2237" s="23" t="str">
        <f aca="false">IF(B2237="","",IFERROR(INDEX(Clay_Offices!$A$2:$FZ$601,586,Sync!$C$6)&amp;"",""))</f>
        <v/>
      </c>
      <c r="F2237" s="23" t="str">
        <f aca="false">IF(B2237="","","outreach_sent")</f>
        <v/>
      </c>
      <c r="G2237" s="23" t="str">
        <f aca="false">IF(B2237="","","")</f>
        <v/>
      </c>
      <c r="H2237" s="23" t="str">
        <f aca="false">IF(B2237="","","")</f>
        <v/>
      </c>
      <c r="I2237" s="23" t="str">
        <f aca="false">IF(B2237="","","")</f>
        <v/>
      </c>
      <c r="J2237" s="23" t="str">
        <f aca="false">IF(B2237="","","touch_1; "&amp;IFERROR(INDEX(Clay_Offices!$A$2:$FZ$601,586,Sync!$C$10)&amp;"","")&amp;"; "&amp;IFERROR(INDEX(Clay_Offices!$A$2:$FZ$601,586,Sync!$C$9)&amp;"",""))</f>
        <v/>
      </c>
      <c r="K2237" s="32" t="s">
        <v>1363</v>
      </c>
    </row>
    <row r="2238" customFormat="false" ht="15" hidden="false" customHeight="false" outlineLevel="0" collapsed="false">
      <c r="A2238" s="23" t="str">
        <f aca="false">IF(B2238="","",B2238+(12*1000+587)/10000000)</f>
        <v/>
      </c>
      <c r="B2238" s="35" t="str">
        <f aca="false">IF(AND(IFERROR(N(INDEX(Clay_Offices!$A$2:$FZ$601,587,Sync!$C$11)),0)&gt;0,IFERROR(INDEX(Clay_Offices!$A$2:$FZ$601,587,Sync!$C$5)&amp;"","")&lt;&gt;"",OR(LEFT(IFERROR(INDEX(Clay_Offices!$A$2:$FZ$601,587,Sync!$C$5)&amp;"",""),6)&lt;&gt;"SAMPLE",Config!$B$19="Y")),IFERROR(N(INDEX(Clay_Offices!$A$2:$FZ$601,587,Sync!$C$11)),0),"")</f>
        <v/>
      </c>
      <c r="C2238" s="23" t="str">
        <f aca="false">IF(B2238="","","office")</f>
        <v/>
      </c>
      <c r="D2238" s="23" t="str">
        <f aca="false">IF(B2238="","",IFERROR(INDEX(Office_Log!$ED$2:$ED$201,MATCH(IFERROR(INDEX(Clay_Offices!$A$2:$FZ$601,587,Sync!$C$5)&amp;"",""),Office_Log!$A$2:$A$201,0))&amp;"",IFERROR(INDEX(Clay_Offices!$A$2:$FZ$601,587,Sync!$C$5)&amp;"","")&amp;""))</f>
        <v/>
      </c>
      <c r="E2238" s="23" t="str">
        <f aca="false">IF(B2238="","",IFERROR(INDEX(Clay_Offices!$A$2:$FZ$601,587,Sync!$C$6)&amp;"",""))</f>
        <v/>
      </c>
      <c r="F2238" s="23" t="str">
        <f aca="false">IF(B2238="","","outreach_sent")</f>
        <v/>
      </c>
      <c r="G2238" s="23" t="str">
        <f aca="false">IF(B2238="","","")</f>
        <v/>
      </c>
      <c r="H2238" s="23" t="str">
        <f aca="false">IF(B2238="","","")</f>
        <v/>
      </c>
      <c r="I2238" s="23" t="str">
        <f aca="false">IF(B2238="","","")</f>
        <v/>
      </c>
      <c r="J2238" s="23" t="str">
        <f aca="false">IF(B2238="","","touch_1; "&amp;IFERROR(INDEX(Clay_Offices!$A$2:$FZ$601,587,Sync!$C$10)&amp;"","")&amp;"; "&amp;IFERROR(INDEX(Clay_Offices!$A$2:$FZ$601,587,Sync!$C$9)&amp;"",""))</f>
        <v/>
      </c>
      <c r="K2238" s="32" t="s">
        <v>1363</v>
      </c>
    </row>
    <row r="2239" customFormat="false" ht="15" hidden="false" customHeight="false" outlineLevel="0" collapsed="false">
      <c r="A2239" s="23" t="str">
        <f aca="false">IF(B2239="","",B2239+(12*1000+588)/10000000)</f>
        <v/>
      </c>
      <c r="B2239" s="35" t="str">
        <f aca="false">IF(AND(IFERROR(N(INDEX(Clay_Offices!$A$2:$FZ$601,588,Sync!$C$11)),0)&gt;0,IFERROR(INDEX(Clay_Offices!$A$2:$FZ$601,588,Sync!$C$5)&amp;"","")&lt;&gt;"",OR(LEFT(IFERROR(INDEX(Clay_Offices!$A$2:$FZ$601,588,Sync!$C$5)&amp;"",""),6)&lt;&gt;"SAMPLE",Config!$B$19="Y")),IFERROR(N(INDEX(Clay_Offices!$A$2:$FZ$601,588,Sync!$C$11)),0),"")</f>
        <v/>
      </c>
      <c r="C2239" s="23" t="str">
        <f aca="false">IF(B2239="","","office")</f>
        <v/>
      </c>
      <c r="D2239" s="23" t="str">
        <f aca="false">IF(B2239="","",IFERROR(INDEX(Office_Log!$ED$2:$ED$201,MATCH(IFERROR(INDEX(Clay_Offices!$A$2:$FZ$601,588,Sync!$C$5)&amp;"",""),Office_Log!$A$2:$A$201,0))&amp;"",IFERROR(INDEX(Clay_Offices!$A$2:$FZ$601,588,Sync!$C$5)&amp;"","")&amp;""))</f>
        <v/>
      </c>
      <c r="E2239" s="23" t="str">
        <f aca="false">IF(B2239="","",IFERROR(INDEX(Clay_Offices!$A$2:$FZ$601,588,Sync!$C$6)&amp;"",""))</f>
        <v/>
      </c>
      <c r="F2239" s="23" t="str">
        <f aca="false">IF(B2239="","","outreach_sent")</f>
        <v/>
      </c>
      <c r="G2239" s="23" t="str">
        <f aca="false">IF(B2239="","","")</f>
        <v/>
      </c>
      <c r="H2239" s="23" t="str">
        <f aca="false">IF(B2239="","","")</f>
        <v/>
      </c>
      <c r="I2239" s="23" t="str">
        <f aca="false">IF(B2239="","","")</f>
        <v/>
      </c>
      <c r="J2239" s="23" t="str">
        <f aca="false">IF(B2239="","","touch_1; "&amp;IFERROR(INDEX(Clay_Offices!$A$2:$FZ$601,588,Sync!$C$10)&amp;"","")&amp;"; "&amp;IFERROR(INDEX(Clay_Offices!$A$2:$FZ$601,588,Sync!$C$9)&amp;"",""))</f>
        <v/>
      </c>
      <c r="K2239" s="32" t="s">
        <v>1363</v>
      </c>
    </row>
    <row r="2240" customFormat="false" ht="15" hidden="false" customHeight="false" outlineLevel="0" collapsed="false">
      <c r="A2240" s="23" t="str">
        <f aca="false">IF(B2240="","",B2240+(12*1000+589)/10000000)</f>
        <v/>
      </c>
      <c r="B2240" s="35" t="str">
        <f aca="false">IF(AND(IFERROR(N(INDEX(Clay_Offices!$A$2:$FZ$601,589,Sync!$C$11)),0)&gt;0,IFERROR(INDEX(Clay_Offices!$A$2:$FZ$601,589,Sync!$C$5)&amp;"","")&lt;&gt;"",OR(LEFT(IFERROR(INDEX(Clay_Offices!$A$2:$FZ$601,589,Sync!$C$5)&amp;"",""),6)&lt;&gt;"SAMPLE",Config!$B$19="Y")),IFERROR(N(INDEX(Clay_Offices!$A$2:$FZ$601,589,Sync!$C$11)),0),"")</f>
        <v/>
      </c>
      <c r="C2240" s="23" t="str">
        <f aca="false">IF(B2240="","","office")</f>
        <v/>
      </c>
      <c r="D2240" s="23" t="str">
        <f aca="false">IF(B2240="","",IFERROR(INDEX(Office_Log!$ED$2:$ED$201,MATCH(IFERROR(INDEX(Clay_Offices!$A$2:$FZ$601,589,Sync!$C$5)&amp;"",""),Office_Log!$A$2:$A$201,0))&amp;"",IFERROR(INDEX(Clay_Offices!$A$2:$FZ$601,589,Sync!$C$5)&amp;"","")&amp;""))</f>
        <v/>
      </c>
      <c r="E2240" s="23" t="str">
        <f aca="false">IF(B2240="","",IFERROR(INDEX(Clay_Offices!$A$2:$FZ$601,589,Sync!$C$6)&amp;"",""))</f>
        <v/>
      </c>
      <c r="F2240" s="23" t="str">
        <f aca="false">IF(B2240="","","outreach_sent")</f>
        <v/>
      </c>
      <c r="G2240" s="23" t="str">
        <f aca="false">IF(B2240="","","")</f>
        <v/>
      </c>
      <c r="H2240" s="23" t="str">
        <f aca="false">IF(B2240="","","")</f>
        <v/>
      </c>
      <c r="I2240" s="23" t="str">
        <f aca="false">IF(B2240="","","")</f>
        <v/>
      </c>
      <c r="J2240" s="23" t="str">
        <f aca="false">IF(B2240="","","touch_1; "&amp;IFERROR(INDEX(Clay_Offices!$A$2:$FZ$601,589,Sync!$C$10)&amp;"","")&amp;"; "&amp;IFERROR(INDEX(Clay_Offices!$A$2:$FZ$601,589,Sync!$C$9)&amp;"",""))</f>
        <v/>
      </c>
      <c r="K2240" s="32" t="s">
        <v>1363</v>
      </c>
    </row>
    <row r="2241" customFormat="false" ht="15" hidden="false" customHeight="false" outlineLevel="0" collapsed="false">
      <c r="A2241" s="23" t="str">
        <f aca="false">IF(B2241="","",B2241+(12*1000+590)/10000000)</f>
        <v/>
      </c>
      <c r="B2241" s="35" t="str">
        <f aca="false">IF(AND(IFERROR(N(INDEX(Clay_Offices!$A$2:$FZ$601,590,Sync!$C$11)),0)&gt;0,IFERROR(INDEX(Clay_Offices!$A$2:$FZ$601,590,Sync!$C$5)&amp;"","")&lt;&gt;"",OR(LEFT(IFERROR(INDEX(Clay_Offices!$A$2:$FZ$601,590,Sync!$C$5)&amp;"",""),6)&lt;&gt;"SAMPLE",Config!$B$19="Y")),IFERROR(N(INDEX(Clay_Offices!$A$2:$FZ$601,590,Sync!$C$11)),0),"")</f>
        <v/>
      </c>
      <c r="C2241" s="23" t="str">
        <f aca="false">IF(B2241="","","office")</f>
        <v/>
      </c>
      <c r="D2241" s="23" t="str">
        <f aca="false">IF(B2241="","",IFERROR(INDEX(Office_Log!$ED$2:$ED$201,MATCH(IFERROR(INDEX(Clay_Offices!$A$2:$FZ$601,590,Sync!$C$5)&amp;"",""),Office_Log!$A$2:$A$201,0))&amp;"",IFERROR(INDEX(Clay_Offices!$A$2:$FZ$601,590,Sync!$C$5)&amp;"","")&amp;""))</f>
        <v/>
      </c>
      <c r="E2241" s="23" t="str">
        <f aca="false">IF(B2241="","",IFERROR(INDEX(Clay_Offices!$A$2:$FZ$601,590,Sync!$C$6)&amp;"",""))</f>
        <v/>
      </c>
      <c r="F2241" s="23" t="str">
        <f aca="false">IF(B2241="","","outreach_sent")</f>
        <v/>
      </c>
      <c r="G2241" s="23" t="str">
        <f aca="false">IF(B2241="","","")</f>
        <v/>
      </c>
      <c r="H2241" s="23" t="str">
        <f aca="false">IF(B2241="","","")</f>
        <v/>
      </c>
      <c r="I2241" s="23" t="str">
        <f aca="false">IF(B2241="","","")</f>
        <v/>
      </c>
      <c r="J2241" s="23" t="str">
        <f aca="false">IF(B2241="","","touch_1; "&amp;IFERROR(INDEX(Clay_Offices!$A$2:$FZ$601,590,Sync!$C$10)&amp;"","")&amp;"; "&amp;IFERROR(INDEX(Clay_Offices!$A$2:$FZ$601,590,Sync!$C$9)&amp;"",""))</f>
        <v/>
      </c>
      <c r="K2241" s="32" t="s">
        <v>1363</v>
      </c>
    </row>
    <row r="2242" customFormat="false" ht="15" hidden="false" customHeight="false" outlineLevel="0" collapsed="false">
      <c r="A2242" s="23" t="str">
        <f aca="false">IF(B2242="","",B2242+(12*1000+591)/10000000)</f>
        <v/>
      </c>
      <c r="B2242" s="35" t="str">
        <f aca="false">IF(AND(IFERROR(N(INDEX(Clay_Offices!$A$2:$FZ$601,591,Sync!$C$11)),0)&gt;0,IFERROR(INDEX(Clay_Offices!$A$2:$FZ$601,591,Sync!$C$5)&amp;"","")&lt;&gt;"",OR(LEFT(IFERROR(INDEX(Clay_Offices!$A$2:$FZ$601,591,Sync!$C$5)&amp;"",""),6)&lt;&gt;"SAMPLE",Config!$B$19="Y")),IFERROR(N(INDEX(Clay_Offices!$A$2:$FZ$601,591,Sync!$C$11)),0),"")</f>
        <v/>
      </c>
      <c r="C2242" s="23" t="str">
        <f aca="false">IF(B2242="","","office")</f>
        <v/>
      </c>
      <c r="D2242" s="23" t="str">
        <f aca="false">IF(B2242="","",IFERROR(INDEX(Office_Log!$ED$2:$ED$201,MATCH(IFERROR(INDEX(Clay_Offices!$A$2:$FZ$601,591,Sync!$C$5)&amp;"",""),Office_Log!$A$2:$A$201,0))&amp;"",IFERROR(INDEX(Clay_Offices!$A$2:$FZ$601,591,Sync!$C$5)&amp;"","")&amp;""))</f>
        <v/>
      </c>
      <c r="E2242" s="23" t="str">
        <f aca="false">IF(B2242="","",IFERROR(INDEX(Clay_Offices!$A$2:$FZ$601,591,Sync!$C$6)&amp;"",""))</f>
        <v/>
      </c>
      <c r="F2242" s="23" t="str">
        <f aca="false">IF(B2242="","","outreach_sent")</f>
        <v/>
      </c>
      <c r="G2242" s="23" t="str">
        <f aca="false">IF(B2242="","","")</f>
        <v/>
      </c>
      <c r="H2242" s="23" t="str">
        <f aca="false">IF(B2242="","","")</f>
        <v/>
      </c>
      <c r="I2242" s="23" t="str">
        <f aca="false">IF(B2242="","","")</f>
        <v/>
      </c>
      <c r="J2242" s="23" t="str">
        <f aca="false">IF(B2242="","","touch_1; "&amp;IFERROR(INDEX(Clay_Offices!$A$2:$FZ$601,591,Sync!$C$10)&amp;"","")&amp;"; "&amp;IFERROR(INDEX(Clay_Offices!$A$2:$FZ$601,591,Sync!$C$9)&amp;"",""))</f>
        <v/>
      </c>
      <c r="K2242" s="32" t="s">
        <v>1363</v>
      </c>
    </row>
    <row r="2243" customFormat="false" ht="15" hidden="false" customHeight="false" outlineLevel="0" collapsed="false">
      <c r="A2243" s="23" t="str">
        <f aca="false">IF(B2243="","",B2243+(12*1000+592)/10000000)</f>
        <v/>
      </c>
      <c r="B2243" s="35" t="str">
        <f aca="false">IF(AND(IFERROR(N(INDEX(Clay_Offices!$A$2:$FZ$601,592,Sync!$C$11)),0)&gt;0,IFERROR(INDEX(Clay_Offices!$A$2:$FZ$601,592,Sync!$C$5)&amp;"","")&lt;&gt;"",OR(LEFT(IFERROR(INDEX(Clay_Offices!$A$2:$FZ$601,592,Sync!$C$5)&amp;"",""),6)&lt;&gt;"SAMPLE",Config!$B$19="Y")),IFERROR(N(INDEX(Clay_Offices!$A$2:$FZ$601,592,Sync!$C$11)),0),"")</f>
        <v/>
      </c>
      <c r="C2243" s="23" t="str">
        <f aca="false">IF(B2243="","","office")</f>
        <v/>
      </c>
      <c r="D2243" s="23" t="str">
        <f aca="false">IF(B2243="","",IFERROR(INDEX(Office_Log!$ED$2:$ED$201,MATCH(IFERROR(INDEX(Clay_Offices!$A$2:$FZ$601,592,Sync!$C$5)&amp;"",""),Office_Log!$A$2:$A$201,0))&amp;"",IFERROR(INDEX(Clay_Offices!$A$2:$FZ$601,592,Sync!$C$5)&amp;"","")&amp;""))</f>
        <v/>
      </c>
      <c r="E2243" s="23" t="str">
        <f aca="false">IF(B2243="","",IFERROR(INDEX(Clay_Offices!$A$2:$FZ$601,592,Sync!$C$6)&amp;"",""))</f>
        <v/>
      </c>
      <c r="F2243" s="23" t="str">
        <f aca="false">IF(B2243="","","outreach_sent")</f>
        <v/>
      </c>
      <c r="G2243" s="23" t="str">
        <f aca="false">IF(B2243="","","")</f>
        <v/>
      </c>
      <c r="H2243" s="23" t="str">
        <f aca="false">IF(B2243="","","")</f>
        <v/>
      </c>
      <c r="I2243" s="23" t="str">
        <f aca="false">IF(B2243="","","")</f>
        <v/>
      </c>
      <c r="J2243" s="23" t="str">
        <f aca="false">IF(B2243="","","touch_1; "&amp;IFERROR(INDEX(Clay_Offices!$A$2:$FZ$601,592,Sync!$C$10)&amp;"","")&amp;"; "&amp;IFERROR(INDEX(Clay_Offices!$A$2:$FZ$601,592,Sync!$C$9)&amp;"",""))</f>
        <v/>
      </c>
      <c r="K2243" s="32" t="s">
        <v>1363</v>
      </c>
    </row>
    <row r="2244" customFormat="false" ht="15" hidden="false" customHeight="false" outlineLevel="0" collapsed="false">
      <c r="A2244" s="23" t="str">
        <f aca="false">IF(B2244="","",B2244+(12*1000+593)/10000000)</f>
        <v/>
      </c>
      <c r="B2244" s="35" t="str">
        <f aca="false">IF(AND(IFERROR(N(INDEX(Clay_Offices!$A$2:$FZ$601,593,Sync!$C$11)),0)&gt;0,IFERROR(INDEX(Clay_Offices!$A$2:$FZ$601,593,Sync!$C$5)&amp;"","")&lt;&gt;"",OR(LEFT(IFERROR(INDEX(Clay_Offices!$A$2:$FZ$601,593,Sync!$C$5)&amp;"",""),6)&lt;&gt;"SAMPLE",Config!$B$19="Y")),IFERROR(N(INDEX(Clay_Offices!$A$2:$FZ$601,593,Sync!$C$11)),0),"")</f>
        <v/>
      </c>
      <c r="C2244" s="23" t="str">
        <f aca="false">IF(B2244="","","office")</f>
        <v/>
      </c>
      <c r="D2244" s="23" t="str">
        <f aca="false">IF(B2244="","",IFERROR(INDEX(Office_Log!$ED$2:$ED$201,MATCH(IFERROR(INDEX(Clay_Offices!$A$2:$FZ$601,593,Sync!$C$5)&amp;"",""),Office_Log!$A$2:$A$201,0))&amp;"",IFERROR(INDEX(Clay_Offices!$A$2:$FZ$601,593,Sync!$C$5)&amp;"","")&amp;""))</f>
        <v/>
      </c>
      <c r="E2244" s="23" t="str">
        <f aca="false">IF(B2244="","",IFERROR(INDEX(Clay_Offices!$A$2:$FZ$601,593,Sync!$C$6)&amp;"",""))</f>
        <v/>
      </c>
      <c r="F2244" s="23" t="str">
        <f aca="false">IF(B2244="","","outreach_sent")</f>
        <v/>
      </c>
      <c r="G2244" s="23" t="str">
        <f aca="false">IF(B2244="","","")</f>
        <v/>
      </c>
      <c r="H2244" s="23" t="str">
        <f aca="false">IF(B2244="","","")</f>
        <v/>
      </c>
      <c r="I2244" s="23" t="str">
        <f aca="false">IF(B2244="","","")</f>
        <v/>
      </c>
      <c r="J2244" s="23" t="str">
        <f aca="false">IF(B2244="","","touch_1; "&amp;IFERROR(INDEX(Clay_Offices!$A$2:$FZ$601,593,Sync!$C$10)&amp;"","")&amp;"; "&amp;IFERROR(INDEX(Clay_Offices!$A$2:$FZ$601,593,Sync!$C$9)&amp;"",""))</f>
        <v/>
      </c>
      <c r="K2244" s="32" t="s">
        <v>1363</v>
      </c>
    </row>
    <row r="2245" customFormat="false" ht="15" hidden="false" customHeight="false" outlineLevel="0" collapsed="false">
      <c r="A2245" s="23" t="str">
        <f aca="false">IF(B2245="","",B2245+(12*1000+594)/10000000)</f>
        <v/>
      </c>
      <c r="B2245" s="35" t="str">
        <f aca="false">IF(AND(IFERROR(N(INDEX(Clay_Offices!$A$2:$FZ$601,594,Sync!$C$11)),0)&gt;0,IFERROR(INDEX(Clay_Offices!$A$2:$FZ$601,594,Sync!$C$5)&amp;"","")&lt;&gt;"",OR(LEFT(IFERROR(INDEX(Clay_Offices!$A$2:$FZ$601,594,Sync!$C$5)&amp;"",""),6)&lt;&gt;"SAMPLE",Config!$B$19="Y")),IFERROR(N(INDEX(Clay_Offices!$A$2:$FZ$601,594,Sync!$C$11)),0),"")</f>
        <v/>
      </c>
      <c r="C2245" s="23" t="str">
        <f aca="false">IF(B2245="","","office")</f>
        <v/>
      </c>
      <c r="D2245" s="23" t="str">
        <f aca="false">IF(B2245="","",IFERROR(INDEX(Office_Log!$ED$2:$ED$201,MATCH(IFERROR(INDEX(Clay_Offices!$A$2:$FZ$601,594,Sync!$C$5)&amp;"",""),Office_Log!$A$2:$A$201,0))&amp;"",IFERROR(INDEX(Clay_Offices!$A$2:$FZ$601,594,Sync!$C$5)&amp;"","")&amp;""))</f>
        <v/>
      </c>
      <c r="E2245" s="23" t="str">
        <f aca="false">IF(B2245="","",IFERROR(INDEX(Clay_Offices!$A$2:$FZ$601,594,Sync!$C$6)&amp;"",""))</f>
        <v/>
      </c>
      <c r="F2245" s="23" t="str">
        <f aca="false">IF(B2245="","","outreach_sent")</f>
        <v/>
      </c>
      <c r="G2245" s="23" t="str">
        <f aca="false">IF(B2245="","","")</f>
        <v/>
      </c>
      <c r="H2245" s="23" t="str">
        <f aca="false">IF(B2245="","","")</f>
        <v/>
      </c>
      <c r="I2245" s="23" t="str">
        <f aca="false">IF(B2245="","","")</f>
        <v/>
      </c>
      <c r="J2245" s="23" t="str">
        <f aca="false">IF(B2245="","","touch_1; "&amp;IFERROR(INDEX(Clay_Offices!$A$2:$FZ$601,594,Sync!$C$10)&amp;"","")&amp;"; "&amp;IFERROR(INDEX(Clay_Offices!$A$2:$FZ$601,594,Sync!$C$9)&amp;"",""))</f>
        <v/>
      </c>
      <c r="K2245" s="32" t="s">
        <v>1363</v>
      </c>
    </row>
    <row r="2246" customFormat="false" ht="15" hidden="false" customHeight="false" outlineLevel="0" collapsed="false">
      <c r="A2246" s="23" t="str">
        <f aca="false">IF(B2246="","",B2246+(12*1000+595)/10000000)</f>
        <v/>
      </c>
      <c r="B2246" s="35" t="str">
        <f aca="false">IF(AND(IFERROR(N(INDEX(Clay_Offices!$A$2:$FZ$601,595,Sync!$C$11)),0)&gt;0,IFERROR(INDEX(Clay_Offices!$A$2:$FZ$601,595,Sync!$C$5)&amp;"","")&lt;&gt;"",OR(LEFT(IFERROR(INDEX(Clay_Offices!$A$2:$FZ$601,595,Sync!$C$5)&amp;"",""),6)&lt;&gt;"SAMPLE",Config!$B$19="Y")),IFERROR(N(INDEX(Clay_Offices!$A$2:$FZ$601,595,Sync!$C$11)),0),"")</f>
        <v/>
      </c>
      <c r="C2246" s="23" t="str">
        <f aca="false">IF(B2246="","","office")</f>
        <v/>
      </c>
      <c r="D2246" s="23" t="str">
        <f aca="false">IF(B2246="","",IFERROR(INDEX(Office_Log!$ED$2:$ED$201,MATCH(IFERROR(INDEX(Clay_Offices!$A$2:$FZ$601,595,Sync!$C$5)&amp;"",""),Office_Log!$A$2:$A$201,0))&amp;"",IFERROR(INDEX(Clay_Offices!$A$2:$FZ$601,595,Sync!$C$5)&amp;"","")&amp;""))</f>
        <v/>
      </c>
      <c r="E2246" s="23" t="str">
        <f aca="false">IF(B2246="","",IFERROR(INDEX(Clay_Offices!$A$2:$FZ$601,595,Sync!$C$6)&amp;"",""))</f>
        <v/>
      </c>
      <c r="F2246" s="23" t="str">
        <f aca="false">IF(B2246="","","outreach_sent")</f>
        <v/>
      </c>
      <c r="G2246" s="23" t="str">
        <f aca="false">IF(B2246="","","")</f>
        <v/>
      </c>
      <c r="H2246" s="23" t="str">
        <f aca="false">IF(B2246="","","")</f>
        <v/>
      </c>
      <c r="I2246" s="23" t="str">
        <f aca="false">IF(B2246="","","")</f>
        <v/>
      </c>
      <c r="J2246" s="23" t="str">
        <f aca="false">IF(B2246="","","touch_1; "&amp;IFERROR(INDEX(Clay_Offices!$A$2:$FZ$601,595,Sync!$C$10)&amp;"","")&amp;"; "&amp;IFERROR(INDEX(Clay_Offices!$A$2:$FZ$601,595,Sync!$C$9)&amp;"",""))</f>
        <v/>
      </c>
      <c r="K2246" s="32" t="s">
        <v>1363</v>
      </c>
    </row>
    <row r="2247" customFormat="false" ht="15" hidden="false" customHeight="false" outlineLevel="0" collapsed="false">
      <c r="A2247" s="23" t="str">
        <f aca="false">IF(B2247="","",B2247+(12*1000+596)/10000000)</f>
        <v/>
      </c>
      <c r="B2247" s="35" t="str">
        <f aca="false">IF(AND(IFERROR(N(INDEX(Clay_Offices!$A$2:$FZ$601,596,Sync!$C$11)),0)&gt;0,IFERROR(INDEX(Clay_Offices!$A$2:$FZ$601,596,Sync!$C$5)&amp;"","")&lt;&gt;"",OR(LEFT(IFERROR(INDEX(Clay_Offices!$A$2:$FZ$601,596,Sync!$C$5)&amp;"",""),6)&lt;&gt;"SAMPLE",Config!$B$19="Y")),IFERROR(N(INDEX(Clay_Offices!$A$2:$FZ$601,596,Sync!$C$11)),0),"")</f>
        <v/>
      </c>
      <c r="C2247" s="23" t="str">
        <f aca="false">IF(B2247="","","office")</f>
        <v/>
      </c>
      <c r="D2247" s="23" t="str">
        <f aca="false">IF(B2247="","",IFERROR(INDEX(Office_Log!$ED$2:$ED$201,MATCH(IFERROR(INDEX(Clay_Offices!$A$2:$FZ$601,596,Sync!$C$5)&amp;"",""),Office_Log!$A$2:$A$201,0))&amp;"",IFERROR(INDEX(Clay_Offices!$A$2:$FZ$601,596,Sync!$C$5)&amp;"","")&amp;""))</f>
        <v/>
      </c>
      <c r="E2247" s="23" t="str">
        <f aca="false">IF(B2247="","",IFERROR(INDEX(Clay_Offices!$A$2:$FZ$601,596,Sync!$C$6)&amp;"",""))</f>
        <v/>
      </c>
      <c r="F2247" s="23" t="str">
        <f aca="false">IF(B2247="","","outreach_sent")</f>
        <v/>
      </c>
      <c r="G2247" s="23" t="str">
        <f aca="false">IF(B2247="","","")</f>
        <v/>
      </c>
      <c r="H2247" s="23" t="str">
        <f aca="false">IF(B2247="","","")</f>
        <v/>
      </c>
      <c r="I2247" s="23" t="str">
        <f aca="false">IF(B2247="","","")</f>
        <v/>
      </c>
      <c r="J2247" s="23" t="str">
        <f aca="false">IF(B2247="","","touch_1; "&amp;IFERROR(INDEX(Clay_Offices!$A$2:$FZ$601,596,Sync!$C$10)&amp;"","")&amp;"; "&amp;IFERROR(INDEX(Clay_Offices!$A$2:$FZ$601,596,Sync!$C$9)&amp;"",""))</f>
        <v/>
      </c>
      <c r="K2247" s="32" t="s">
        <v>1363</v>
      </c>
    </row>
    <row r="2248" customFormat="false" ht="15" hidden="false" customHeight="false" outlineLevel="0" collapsed="false">
      <c r="A2248" s="23" t="str">
        <f aca="false">IF(B2248="","",B2248+(12*1000+597)/10000000)</f>
        <v/>
      </c>
      <c r="B2248" s="35" t="str">
        <f aca="false">IF(AND(IFERROR(N(INDEX(Clay_Offices!$A$2:$FZ$601,597,Sync!$C$11)),0)&gt;0,IFERROR(INDEX(Clay_Offices!$A$2:$FZ$601,597,Sync!$C$5)&amp;"","")&lt;&gt;"",OR(LEFT(IFERROR(INDEX(Clay_Offices!$A$2:$FZ$601,597,Sync!$C$5)&amp;"",""),6)&lt;&gt;"SAMPLE",Config!$B$19="Y")),IFERROR(N(INDEX(Clay_Offices!$A$2:$FZ$601,597,Sync!$C$11)),0),"")</f>
        <v/>
      </c>
      <c r="C2248" s="23" t="str">
        <f aca="false">IF(B2248="","","office")</f>
        <v/>
      </c>
      <c r="D2248" s="23" t="str">
        <f aca="false">IF(B2248="","",IFERROR(INDEX(Office_Log!$ED$2:$ED$201,MATCH(IFERROR(INDEX(Clay_Offices!$A$2:$FZ$601,597,Sync!$C$5)&amp;"",""),Office_Log!$A$2:$A$201,0))&amp;"",IFERROR(INDEX(Clay_Offices!$A$2:$FZ$601,597,Sync!$C$5)&amp;"","")&amp;""))</f>
        <v/>
      </c>
      <c r="E2248" s="23" t="str">
        <f aca="false">IF(B2248="","",IFERROR(INDEX(Clay_Offices!$A$2:$FZ$601,597,Sync!$C$6)&amp;"",""))</f>
        <v/>
      </c>
      <c r="F2248" s="23" t="str">
        <f aca="false">IF(B2248="","","outreach_sent")</f>
        <v/>
      </c>
      <c r="G2248" s="23" t="str">
        <f aca="false">IF(B2248="","","")</f>
        <v/>
      </c>
      <c r="H2248" s="23" t="str">
        <f aca="false">IF(B2248="","","")</f>
        <v/>
      </c>
      <c r="I2248" s="23" t="str">
        <f aca="false">IF(B2248="","","")</f>
        <v/>
      </c>
      <c r="J2248" s="23" t="str">
        <f aca="false">IF(B2248="","","touch_1; "&amp;IFERROR(INDEX(Clay_Offices!$A$2:$FZ$601,597,Sync!$C$10)&amp;"","")&amp;"; "&amp;IFERROR(INDEX(Clay_Offices!$A$2:$FZ$601,597,Sync!$C$9)&amp;"",""))</f>
        <v/>
      </c>
      <c r="K2248" s="32" t="s">
        <v>1363</v>
      </c>
    </row>
    <row r="2249" customFormat="false" ht="15" hidden="false" customHeight="false" outlineLevel="0" collapsed="false">
      <c r="A2249" s="23" t="str">
        <f aca="false">IF(B2249="","",B2249+(12*1000+598)/10000000)</f>
        <v/>
      </c>
      <c r="B2249" s="35" t="str">
        <f aca="false">IF(AND(IFERROR(N(INDEX(Clay_Offices!$A$2:$FZ$601,598,Sync!$C$11)),0)&gt;0,IFERROR(INDEX(Clay_Offices!$A$2:$FZ$601,598,Sync!$C$5)&amp;"","")&lt;&gt;"",OR(LEFT(IFERROR(INDEX(Clay_Offices!$A$2:$FZ$601,598,Sync!$C$5)&amp;"",""),6)&lt;&gt;"SAMPLE",Config!$B$19="Y")),IFERROR(N(INDEX(Clay_Offices!$A$2:$FZ$601,598,Sync!$C$11)),0),"")</f>
        <v/>
      </c>
      <c r="C2249" s="23" t="str">
        <f aca="false">IF(B2249="","","office")</f>
        <v/>
      </c>
      <c r="D2249" s="23" t="str">
        <f aca="false">IF(B2249="","",IFERROR(INDEX(Office_Log!$ED$2:$ED$201,MATCH(IFERROR(INDEX(Clay_Offices!$A$2:$FZ$601,598,Sync!$C$5)&amp;"",""),Office_Log!$A$2:$A$201,0))&amp;"",IFERROR(INDEX(Clay_Offices!$A$2:$FZ$601,598,Sync!$C$5)&amp;"","")&amp;""))</f>
        <v/>
      </c>
      <c r="E2249" s="23" t="str">
        <f aca="false">IF(B2249="","",IFERROR(INDEX(Clay_Offices!$A$2:$FZ$601,598,Sync!$C$6)&amp;"",""))</f>
        <v/>
      </c>
      <c r="F2249" s="23" t="str">
        <f aca="false">IF(B2249="","","outreach_sent")</f>
        <v/>
      </c>
      <c r="G2249" s="23" t="str">
        <f aca="false">IF(B2249="","","")</f>
        <v/>
      </c>
      <c r="H2249" s="23" t="str">
        <f aca="false">IF(B2249="","","")</f>
        <v/>
      </c>
      <c r="I2249" s="23" t="str">
        <f aca="false">IF(B2249="","","")</f>
        <v/>
      </c>
      <c r="J2249" s="23" t="str">
        <f aca="false">IF(B2249="","","touch_1; "&amp;IFERROR(INDEX(Clay_Offices!$A$2:$FZ$601,598,Sync!$C$10)&amp;"","")&amp;"; "&amp;IFERROR(INDEX(Clay_Offices!$A$2:$FZ$601,598,Sync!$C$9)&amp;"",""))</f>
        <v/>
      </c>
      <c r="K2249" s="32" t="s">
        <v>1363</v>
      </c>
    </row>
    <row r="2250" customFormat="false" ht="15" hidden="false" customHeight="false" outlineLevel="0" collapsed="false">
      <c r="A2250" s="23" t="str">
        <f aca="false">IF(B2250="","",B2250+(12*1000+599)/10000000)</f>
        <v/>
      </c>
      <c r="B2250" s="35" t="str">
        <f aca="false">IF(AND(IFERROR(N(INDEX(Clay_Offices!$A$2:$FZ$601,599,Sync!$C$11)),0)&gt;0,IFERROR(INDEX(Clay_Offices!$A$2:$FZ$601,599,Sync!$C$5)&amp;"","")&lt;&gt;"",OR(LEFT(IFERROR(INDEX(Clay_Offices!$A$2:$FZ$601,599,Sync!$C$5)&amp;"",""),6)&lt;&gt;"SAMPLE",Config!$B$19="Y")),IFERROR(N(INDEX(Clay_Offices!$A$2:$FZ$601,599,Sync!$C$11)),0),"")</f>
        <v/>
      </c>
      <c r="C2250" s="23" t="str">
        <f aca="false">IF(B2250="","","office")</f>
        <v/>
      </c>
      <c r="D2250" s="23" t="str">
        <f aca="false">IF(B2250="","",IFERROR(INDEX(Office_Log!$ED$2:$ED$201,MATCH(IFERROR(INDEX(Clay_Offices!$A$2:$FZ$601,599,Sync!$C$5)&amp;"",""),Office_Log!$A$2:$A$201,0))&amp;"",IFERROR(INDEX(Clay_Offices!$A$2:$FZ$601,599,Sync!$C$5)&amp;"","")&amp;""))</f>
        <v/>
      </c>
      <c r="E2250" s="23" t="str">
        <f aca="false">IF(B2250="","",IFERROR(INDEX(Clay_Offices!$A$2:$FZ$601,599,Sync!$C$6)&amp;"",""))</f>
        <v/>
      </c>
      <c r="F2250" s="23" t="str">
        <f aca="false">IF(B2250="","","outreach_sent")</f>
        <v/>
      </c>
      <c r="G2250" s="23" t="str">
        <f aca="false">IF(B2250="","","")</f>
        <v/>
      </c>
      <c r="H2250" s="23" t="str">
        <f aca="false">IF(B2250="","","")</f>
        <v/>
      </c>
      <c r="I2250" s="23" t="str">
        <f aca="false">IF(B2250="","","")</f>
        <v/>
      </c>
      <c r="J2250" s="23" t="str">
        <f aca="false">IF(B2250="","","touch_1; "&amp;IFERROR(INDEX(Clay_Offices!$A$2:$FZ$601,599,Sync!$C$10)&amp;"","")&amp;"; "&amp;IFERROR(INDEX(Clay_Offices!$A$2:$FZ$601,599,Sync!$C$9)&amp;"",""))</f>
        <v/>
      </c>
      <c r="K2250" s="32" t="s">
        <v>1363</v>
      </c>
    </row>
    <row r="2251" customFormat="false" ht="15" hidden="false" customHeight="false" outlineLevel="0" collapsed="false">
      <c r="A2251" s="23" t="str">
        <f aca="false">IF(B2251="","",B2251+(12*1000+600)/10000000)</f>
        <v/>
      </c>
      <c r="B2251" s="35" t="str">
        <f aca="false">IF(AND(IFERROR(N(INDEX(Clay_Offices!$A$2:$FZ$601,600,Sync!$C$11)),0)&gt;0,IFERROR(INDEX(Clay_Offices!$A$2:$FZ$601,600,Sync!$C$5)&amp;"","")&lt;&gt;"",OR(LEFT(IFERROR(INDEX(Clay_Offices!$A$2:$FZ$601,600,Sync!$C$5)&amp;"",""),6)&lt;&gt;"SAMPLE",Config!$B$19="Y")),IFERROR(N(INDEX(Clay_Offices!$A$2:$FZ$601,600,Sync!$C$11)),0),"")</f>
        <v/>
      </c>
      <c r="C2251" s="23" t="str">
        <f aca="false">IF(B2251="","","office")</f>
        <v/>
      </c>
      <c r="D2251" s="23" t="str">
        <f aca="false">IF(B2251="","",IFERROR(INDEX(Office_Log!$ED$2:$ED$201,MATCH(IFERROR(INDEX(Clay_Offices!$A$2:$FZ$601,600,Sync!$C$5)&amp;"",""),Office_Log!$A$2:$A$201,0))&amp;"",IFERROR(INDEX(Clay_Offices!$A$2:$FZ$601,600,Sync!$C$5)&amp;"","")&amp;""))</f>
        <v/>
      </c>
      <c r="E2251" s="23" t="str">
        <f aca="false">IF(B2251="","",IFERROR(INDEX(Clay_Offices!$A$2:$FZ$601,600,Sync!$C$6)&amp;"",""))</f>
        <v/>
      </c>
      <c r="F2251" s="23" t="str">
        <f aca="false">IF(B2251="","","outreach_sent")</f>
        <v/>
      </c>
      <c r="G2251" s="23" t="str">
        <f aca="false">IF(B2251="","","")</f>
        <v/>
      </c>
      <c r="H2251" s="23" t="str">
        <f aca="false">IF(B2251="","","")</f>
        <v/>
      </c>
      <c r="I2251" s="23" t="str">
        <f aca="false">IF(B2251="","","")</f>
        <v/>
      </c>
      <c r="J2251" s="23" t="str">
        <f aca="false">IF(B2251="","","touch_1; "&amp;IFERROR(INDEX(Clay_Offices!$A$2:$FZ$601,600,Sync!$C$10)&amp;"","")&amp;"; "&amp;IFERROR(INDEX(Clay_Offices!$A$2:$FZ$601,600,Sync!$C$9)&amp;"",""))</f>
        <v/>
      </c>
      <c r="K2251" s="32" t="s">
        <v>1363</v>
      </c>
    </row>
    <row r="2252" customFormat="false" ht="15" hidden="false" customHeight="false" outlineLevel="0" collapsed="false">
      <c r="A2252" s="23" t="str">
        <f aca="false">IF(B2252="","",B2252+(13*1000+1)/10000000)</f>
        <v/>
      </c>
      <c r="B2252" s="35" t="str">
        <f aca="false">IF(AND(IFERROR(N(INDEX(Clay_Offices!$A$2:$FZ$601,1,Sync!$C$12)),0)&gt;0,IFERROR(INDEX(Clay_Offices!$A$2:$FZ$601,1,Sync!$C$5)&amp;"","")&lt;&gt;"",OR(LEFT(IFERROR(INDEX(Clay_Offices!$A$2:$FZ$601,1,Sync!$C$5)&amp;"",""),6)&lt;&gt;"SAMPLE",Config!$B$19="Y")),IFERROR(N(INDEX(Clay_Offices!$A$2:$FZ$601,1,Sync!$C$12)),0),"")</f>
        <v/>
      </c>
      <c r="C2252" s="23" t="str">
        <f aca="false">IF(B2252="","","office")</f>
        <v/>
      </c>
      <c r="D2252" s="23" t="str">
        <f aca="false">IF(B2252="","",IFERROR(INDEX(Office_Log!$ED$2:$ED$201,MATCH(IFERROR(INDEX(Clay_Offices!$A$2:$FZ$601,1,Sync!$C$5)&amp;"",""),Office_Log!$A$2:$A$201,0))&amp;"",IFERROR(INDEX(Clay_Offices!$A$2:$FZ$601,1,Sync!$C$5)&amp;"","")&amp;""))</f>
        <v/>
      </c>
      <c r="E2252" s="23" t="str">
        <f aca="false">IF(B2252="","",IFERROR(INDEX(Clay_Offices!$A$2:$FZ$601,1,Sync!$C$6)&amp;"",""))</f>
        <v/>
      </c>
      <c r="F2252" s="23" t="str">
        <f aca="false">IF(B2252="","","outreach_sent")</f>
        <v/>
      </c>
      <c r="G2252" s="23" t="str">
        <f aca="false">IF(B2252="","","")</f>
        <v/>
      </c>
      <c r="H2252" s="23" t="str">
        <f aca="false">IF(B2252="","","")</f>
        <v/>
      </c>
      <c r="I2252" s="23" t="str">
        <f aca="false">IF(B2252="","","")</f>
        <v/>
      </c>
      <c r="J2252" s="23" t="str">
        <f aca="false">IF(B2252="","","touch_2; "&amp;IFERROR(INDEX(Clay_Offices!$A$2:$FZ$601,1,Sync!$C$10)&amp;"","")&amp;"; "&amp;IFERROR(INDEX(Clay_Offices!$A$2:$FZ$601,1,Sync!$C$9)&amp;"",""))</f>
        <v/>
      </c>
      <c r="K2252" s="32" t="s">
        <v>1364</v>
      </c>
    </row>
    <row r="2253" customFormat="false" ht="15" hidden="false" customHeight="false" outlineLevel="0" collapsed="false">
      <c r="A2253" s="23" t="str">
        <f aca="false">IF(B2253="","",B2253+(13*1000+2)/10000000)</f>
        <v/>
      </c>
      <c r="B2253" s="35" t="str">
        <f aca="false">IF(AND(IFERROR(N(INDEX(Clay_Offices!$A$2:$FZ$601,2,Sync!$C$12)),0)&gt;0,IFERROR(INDEX(Clay_Offices!$A$2:$FZ$601,2,Sync!$C$5)&amp;"","")&lt;&gt;"",OR(LEFT(IFERROR(INDEX(Clay_Offices!$A$2:$FZ$601,2,Sync!$C$5)&amp;"",""),6)&lt;&gt;"SAMPLE",Config!$B$19="Y")),IFERROR(N(INDEX(Clay_Offices!$A$2:$FZ$601,2,Sync!$C$12)),0),"")</f>
        <v/>
      </c>
      <c r="C2253" s="23" t="str">
        <f aca="false">IF(B2253="","","office")</f>
        <v/>
      </c>
      <c r="D2253" s="23" t="str">
        <f aca="false">IF(B2253="","",IFERROR(INDEX(Office_Log!$ED$2:$ED$201,MATCH(IFERROR(INDEX(Clay_Offices!$A$2:$FZ$601,2,Sync!$C$5)&amp;"",""),Office_Log!$A$2:$A$201,0))&amp;"",IFERROR(INDEX(Clay_Offices!$A$2:$FZ$601,2,Sync!$C$5)&amp;"","")&amp;""))</f>
        <v/>
      </c>
      <c r="E2253" s="23" t="str">
        <f aca="false">IF(B2253="","",IFERROR(INDEX(Clay_Offices!$A$2:$FZ$601,2,Sync!$C$6)&amp;"",""))</f>
        <v/>
      </c>
      <c r="F2253" s="23" t="str">
        <f aca="false">IF(B2253="","","outreach_sent")</f>
        <v/>
      </c>
      <c r="G2253" s="23" t="str">
        <f aca="false">IF(B2253="","","")</f>
        <v/>
      </c>
      <c r="H2253" s="23" t="str">
        <f aca="false">IF(B2253="","","")</f>
        <v/>
      </c>
      <c r="I2253" s="23" t="str">
        <f aca="false">IF(B2253="","","")</f>
        <v/>
      </c>
      <c r="J2253" s="23" t="str">
        <f aca="false">IF(B2253="","","touch_2; "&amp;IFERROR(INDEX(Clay_Offices!$A$2:$FZ$601,2,Sync!$C$10)&amp;"","")&amp;"; "&amp;IFERROR(INDEX(Clay_Offices!$A$2:$FZ$601,2,Sync!$C$9)&amp;"",""))</f>
        <v/>
      </c>
      <c r="K2253" s="32" t="s">
        <v>1364</v>
      </c>
    </row>
    <row r="2254" customFormat="false" ht="15" hidden="false" customHeight="false" outlineLevel="0" collapsed="false">
      <c r="A2254" s="23" t="str">
        <f aca="false">IF(B2254="","",B2254+(13*1000+3)/10000000)</f>
        <v/>
      </c>
      <c r="B2254" s="35" t="str">
        <f aca="false">IF(AND(IFERROR(N(INDEX(Clay_Offices!$A$2:$FZ$601,3,Sync!$C$12)),0)&gt;0,IFERROR(INDEX(Clay_Offices!$A$2:$FZ$601,3,Sync!$C$5)&amp;"","")&lt;&gt;"",OR(LEFT(IFERROR(INDEX(Clay_Offices!$A$2:$FZ$601,3,Sync!$C$5)&amp;"",""),6)&lt;&gt;"SAMPLE",Config!$B$19="Y")),IFERROR(N(INDEX(Clay_Offices!$A$2:$FZ$601,3,Sync!$C$12)),0),"")</f>
        <v/>
      </c>
      <c r="C2254" s="23" t="str">
        <f aca="false">IF(B2254="","","office")</f>
        <v/>
      </c>
      <c r="D2254" s="23" t="str">
        <f aca="false">IF(B2254="","",IFERROR(INDEX(Office_Log!$ED$2:$ED$201,MATCH(IFERROR(INDEX(Clay_Offices!$A$2:$FZ$601,3,Sync!$C$5)&amp;"",""),Office_Log!$A$2:$A$201,0))&amp;"",IFERROR(INDEX(Clay_Offices!$A$2:$FZ$601,3,Sync!$C$5)&amp;"","")&amp;""))</f>
        <v/>
      </c>
      <c r="E2254" s="23" t="str">
        <f aca="false">IF(B2254="","",IFERROR(INDEX(Clay_Offices!$A$2:$FZ$601,3,Sync!$C$6)&amp;"",""))</f>
        <v/>
      </c>
      <c r="F2254" s="23" t="str">
        <f aca="false">IF(B2254="","","outreach_sent")</f>
        <v/>
      </c>
      <c r="G2254" s="23" t="str">
        <f aca="false">IF(B2254="","","")</f>
        <v/>
      </c>
      <c r="H2254" s="23" t="str">
        <f aca="false">IF(B2254="","","")</f>
        <v/>
      </c>
      <c r="I2254" s="23" t="str">
        <f aca="false">IF(B2254="","","")</f>
        <v/>
      </c>
      <c r="J2254" s="23" t="str">
        <f aca="false">IF(B2254="","","touch_2; "&amp;IFERROR(INDEX(Clay_Offices!$A$2:$FZ$601,3,Sync!$C$10)&amp;"","")&amp;"; "&amp;IFERROR(INDEX(Clay_Offices!$A$2:$FZ$601,3,Sync!$C$9)&amp;"",""))</f>
        <v/>
      </c>
      <c r="K2254" s="32" t="s">
        <v>1364</v>
      </c>
    </row>
    <row r="2255" customFormat="false" ht="15" hidden="false" customHeight="false" outlineLevel="0" collapsed="false">
      <c r="A2255" s="23" t="str">
        <f aca="false">IF(B2255="","",B2255+(13*1000+4)/10000000)</f>
        <v/>
      </c>
      <c r="B2255" s="35" t="str">
        <f aca="false">IF(AND(IFERROR(N(INDEX(Clay_Offices!$A$2:$FZ$601,4,Sync!$C$12)),0)&gt;0,IFERROR(INDEX(Clay_Offices!$A$2:$FZ$601,4,Sync!$C$5)&amp;"","")&lt;&gt;"",OR(LEFT(IFERROR(INDEX(Clay_Offices!$A$2:$FZ$601,4,Sync!$C$5)&amp;"",""),6)&lt;&gt;"SAMPLE",Config!$B$19="Y")),IFERROR(N(INDEX(Clay_Offices!$A$2:$FZ$601,4,Sync!$C$12)),0),"")</f>
        <v/>
      </c>
      <c r="C2255" s="23" t="str">
        <f aca="false">IF(B2255="","","office")</f>
        <v/>
      </c>
      <c r="D2255" s="23" t="str">
        <f aca="false">IF(B2255="","",IFERROR(INDEX(Office_Log!$ED$2:$ED$201,MATCH(IFERROR(INDEX(Clay_Offices!$A$2:$FZ$601,4,Sync!$C$5)&amp;"",""),Office_Log!$A$2:$A$201,0))&amp;"",IFERROR(INDEX(Clay_Offices!$A$2:$FZ$601,4,Sync!$C$5)&amp;"","")&amp;""))</f>
        <v/>
      </c>
      <c r="E2255" s="23" t="str">
        <f aca="false">IF(B2255="","",IFERROR(INDEX(Clay_Offices!$A$2:$FZ$601,4,Sync!$C$6)&amp;"",""))</f>
        <v/>
      </c>
      <c r="F2255" s="23" t="str">
        <f aca="false">IF(B2255="","","outreach_sent")</f>
        <v/>
      </c>
      <c r="G2255" s="23" t="str">
        <f aca="false">IF(B2255="","","")</f>
        <v/>
      </c>
      <c r="H2255" s="23" t="str">
        <f aca="false">IF(B2255="","","")</f>
        <v/>
      </c>
      <c r="I2255" s="23" t="str">
        <f aca="false">IF(B2255="","","")</f>
        <v/>
      </c>
      <c r="J2255" s="23" t="str">
        <f aca="false">IF(B2255="","","touch_2; "&amp;IFERROR(INDEX(Clay_Offices!$A$2:$FZ$601,4,Sync!$C$10)&amp;"","")&amp;"; "&amp;IFERROR(INDEX(Clay_Offices!$A$2:$FZ$601,4,Sync!$C$9)&amp;"",""))</f>
        <v/>
      </c>
      <c r="K2255" s="32" t="s">
        <v>1364</v>
      </c>
    </row>
    <row r="2256" customFormat="false" ht="15" hidden="false" customHeight="false" outlineLevel="0" collapsed="false">
      <c r="A2256" s="23" t="str">
        <f aca="false">IF(B2256="","",B2256+(13*1000+5)/10000000)</f>
        <v/>
      </c>
      <c r="B2256" s="35" t="str">
        <f aca="false">IF(AND(IFERROR(N(INDEX(Clay_Offices!$A$2:$FZ$601,5,Sync!$C$12)),0)&gt;0,IFERROR(INDEX(Clay_Offices!$A$2:$FZ$601,5,Sync!$C$5)&amp;"","")&lt;&gt;"",OR(LEFT(IFERROR(INDEX(Clay_Offices!$A$2:$FZ$601,5,Sync!$C$5)&amp;"",""),6)&lt;&gt;"SAMPLE",Config!$B$19="Y")),IFERROR(N(INDEX(Clay_Offices!$A$2:$FZ$601,5,Sync!$C$12)),0),"")</f>
        <v/>
      </c>
      <c r="C2256" s="23" t="str">
        <f aca="false">IF(B2256="","","office")</f>
        <v/>
      </c>
      <c r="D2256" s="23" t="str">
        <f aca="false">IF(B2256="","",IFERROR(INDEX(Office_Log!$ED$2:$ED$201,MATCH(IFERROR(INDEX(Clay_Offices!$A$2:$FZ$601,5,Sync!$C$5)&amp;"",""),Office_Log!$A$2:$A$201,0))&amp;"",IFERROR(INDEX(Clay_Offices!$A$2:$FZ$601,5,Sync!$C$5)&amp;"","")&amp;""))</f>
        <v/>
      </c>
      <c r="E2256" s="23" t="str">
        <f aca="false">IF(B2256="","",IFERROR(INDEX(Clay_Offices!$A$2:$FZ$601,5,Sync!$C$6)&amp;"",""))</f>
        <v/>
      </c>
      <c r="F2256" s="23" t="str">
        <f aca="false">IF(B2256="","","outreach_sent")</f>
        <v/>
      </c>
      <c r="G2256" s="23" t="str">
        <f aca="false">IF(B2256="","","")</f>
        <v/>
      </c>
      <c r="H2256" s="23" t="str">
        <f aca="false">IF(B2256="","","")</f>
        <v/>
      </c>
      <c r="I2256" s="23" t="str">
        <f aca="false">IF(B2256="","","")</f>
        <v/>
      </c>
      <c r="J2256" s="23" t="str">
        <f aca="false">IF(B2256="","","touch_2; "&amp;IFERROR(INDEX(Clay_Offices!$A$2:$FZ$601,5,Sync!$C$10)&amp;"","")&amp;"; "&amp;IFERROR(INDEX(Clay_Offices!$A$2:$FZ$601,5,Sync!$C$9)&amp;"",""))</f>
        <v/>
      </c>
      <c r="K2256" s="32" t="s">
        <v>1364</v>
      </c>
    </row>
    <row r="2257" customFormat="false" ht="15" hidden="false" customHeight="false" outlineLevel="0" collapsed="false">
      <c r="A2257" s="23" t="str">
        <f aca="false">IF(B2257="","",B2257+(13*1000+6)/10000000)</f>
        <v/>
      </c>
      <c r="B2257" s="35" t="str">
        <f aca="false">IF(AND(IFERROR(N(INDEX(Clay_Offices!$A$2:$FZ$601,6,Sync!$C$12)),0)&gt;0,IFERROR(INDEX(Clay_Offices!$A$2:$FZ$601,6,Sync!$C$5)&amp;"","")&lt;&gt;"",OR(LEFT(IFERROR(INDEX(Clay_Offices!$A$2:$FZ$601,6,Sync!$C$5)&amp;"",""),6)&lt;&gt;"SAMPLE",Config!$B$19="Y")),IFERROR(N(INDEX(Clay_Offices!$A$2:$FZ$601,6,Sync!$C$12)),0),"")</f>
        <v/>
      </c>
      <c r="C2257" s="23" t="str">
        <f aca="false">IF(B2257="","","office")</f>
        <v/>
      </c>
      <c r="D2257" s="23" t="str">
        <f aca="false">IF(B2257="","",IFERROR(INDEX(Office_Log!$ED$2:$ED$201,MATCH(IFERROR(INDEX(Clay_Offices!$A$2:$FZ$601,6,Sync!$C$5)&amp;"",""),Office_Log!$A$2:$A$201,0))&amp;"",IFERROR(INDEX(Clay_Offices!$A$2:$FZ$601,6,Sync!$C$5)&amp;"","")&amp;""))</f>
        <v/>
      </c>
      <c r="E2257" s="23" t="str">
        <f aca="false">IF(B2257="","",IFERROR(INDEX(Clay_Offices!$A$2:$FZ$601,6,Sync!$C$6)&amp;"",""))</f>
        <v/>
      </c>
      <c r="F2257" s="23" t="str">
        <f aca="false">IF(B2257="","","outreach_sent")</f>
        <v/>
      </c>
      <c r="G2257" s="23" t="str">
        <f aca="false">IF(B2257="","","")</f>
        <v/>
      </c>
      <c r="H2257" s="23" t="str">
        <f aca="false">IF(B2257="","","")</f>
        <v/>
      </c>
      <c r="I2257" s="23" t="str">
        <f aca="false">IF(B2257="","","")</f>
        <v/>
      </c>
      <c r="J2257" s="23" t="str">
        <f aca="false">IF(B2257="","","touch_2; "&amp;IFERROR(INDEX(Clay_Offices!$A$2:$FZ$601,6,Sync!$C$10)&amp;"","")&amp;"; "&amp;IFERROR(INDEX(Clay_Offices!$A$2:$FZ$601,6,Sync!$C$9)&amp;"",""))</f>
        <v/>
      </c>
      <c r="K2257" s="32" t="s">
        <v>1364</v>
      </c>
    </row>
    <row r="2258" customFormat="false" ht="15" hidden="false" customHeight="false" outlineLevel="0" collapsed="false">
      <c r="A2258" s="23" t="str">
        <f aca="false">IF(B2258="","",B2258+(13*1000+7)/10000000)</f>
        <v/>
      </c>
      <c r="B2258" s="35" t="str">
        <f aca="false">IF(AND(IFERROR(N(INDEX(Clay_Offices!$A$2:$FZ$601,7,Sync!$C$12)),0)&gt;0,IFERROR(INDEX(Clay_Offices!$A$2:$FZ$601,7,Sync!$C$5)&amp;"","")&lt;&gt;"",OR(LEFT(IFERROR(INDEX(Clay_Offices!$A$2:$FZ$601,7,Sync!$C$5)&amp;"",""),6)&lt;&gt;"SAMPLE",Config!$B$19="Y")),IFERROR(N(INDEX(Clay_Offices!$A$2:$FZ$601,7,Sync!$C$12)),0),"")</f>
        <v/>
      </c>
      <c r="C2258" s="23" t="str">
        <f aca="false">IF(B2258="","","office")</f>
        <v/>
      </c>
      <c r="D2258" s="23" t="str">
        <f aca="false">IF(B2258="","",IFERROR(INDEX(Office_Log!$ED$2:$ED$201,MATCH(IFERROR(INDEX(Clay_Offices!$A$2:$FZ$601,7,Sync!$C$5)&amp;"",""),Office_Log!$A$2:$A$201,0))&amp;"",IFERROR(INDEX(Clay_Offices!$A$2:$FZ$601,7,Sync!$C$5)&amp;"","")&amp;""))</f>
        <v/>
      </c>
      <c r="E2258" s="23" t="str">
        <f aca="false">IF(B2258="","",IFERROR(INDEX(Clay_Offices!$A$2:$FZ$601,7,Sync!$C$6)&amp;"",""))</f>
        <v/>
      </c>
      <c r="F2258" s="23" t="str">
        <f aca="false">IF(B2258="","","outreach_sent")</f>
        <v/>
      </c>
      <c r="G2258" s="23" t="str">
        <f aca="false">IF(B2258="","","")</f>
        <v/>
      </c>
      <c r="H2258" s="23" t="str">
        <f aca="false">IF(B2258="","","")</f>
        <v/>
      </c>
      <c r="I2258" s="23" t="str">
        <f aca="false">IF(B2258="","","")</f>
        <v/>
      </c>
      <c r="J2258" s="23" t="str">
        <f aca="false">IF(B2258="","","touch_2; "&amp;IFERROR(INDEX(Clay_Offices!$A$2:$FZ$601,7,Sync!$C$10)&amp;"","")&amp;"; "&amp;IFERROR(INDEX(Clay_Offices!$A$2:$FZ$601,7,Sync!$C$9)&amp;"",""))</f>
        <v/>
      </c>
      <c r="K2258" s="32" t="s">
        <v>1364</v>
      </c>
    </row>
    <row r="2259" customFormat="false" ht="15" hidden="false" customHeight="false" outlineLevel="0" collapsed="false">
      <c r="A2259" s="23" t="str">
        <f aca="false">IF(B2259="","",B2259+(13*1000+8)/10000000)</f>
        <v/>
      </c>
      <c r="B2259" s="35" t="str">
        <f aca="false">IF(AND(IFERROR(N(INDEX(Clay_Offices!$A$2:$FZ$601,8,Sync!$C$12)),0)&gt;0,IFERROR(INDEX(Clay_Offices!$A$2:$FZ$601,8,Sync!$C$5)&amp;"","")&lt;&gt;"",OR(LEFT(IFERROR(INDEX(Clay_Offices!$A$2:$FZ$601,8,Sync!$C$5)&amp;"",""),6)&lt;&gt;"SAMPLE",Config!$B$19="Y")),IFERROR(N(INDEX(Clay_Offices!$A$2:$FZ$601,8,Sync!$C$12)),0),"")</f>
        <v/>
      </c>
      <c r="C2259" s="23" t="str">
        <f aca="false">IF(B2259="","","office")</f>
        <v/>
      </c>
      <c r="D2259" s="23" t="str">
        <f aca="false">IF(B2259="","",IFERROR(INDEX(Office_Log!$ED$2:$ED$201,MATCH(IFERROR(INDEX(Clay_Offices!$A$2:$FZ$601,8,Sync!$C$5)&amp;"",""),Office_Log!$A$2:$A$201,0))&amp;"",IFERROR(INDEX(Clay_Offices!$A$2:$FZ$601,8,Sync!$C$5)&amp;"","")&amp;""))</f>
        <v/>
      </c>
      <c r="E2259" s="23" t="str">
        <f aca="false">IF(B2259="","",IFERROR(INDEX(Clay_Offices!$A$2:$FZ$601,8,Sync!$C$6)&amp;"",""))</f>
        <v/>
      </c>
      <c r="F2259" s="23" t="str">
        <f aca="false">IF(B2259="","","outreach_sent")</f>
        <v/>
      </c>
      <c r="G2259" s="23" t="str">
        <f aca="false">IF(B2259="","","")</f>
        <v/>
      </c>
      <c r="H2259" s="23" t="str">
        <f aca="false">IF(B2259="","","")</f>
        <v/>
      </c>
      <c r="I2259" s="23" t="str">
        <f aca="false">IF(B2259="","","")</f>
        <v/>
      </c>
      <c r="J2259" s="23" t="str">
        <f aca="false">IF(B2259="","","touch_2; "&amp;IFERROR(INDEX(Clay_Offices!$A$2:$FZ$601,8,Sync!$C$10)&amp;"","")&amp;"; "&amp;IFERROR(INDEX(Clay_Offices!$A$2:$FZ$601,8,Sync!$C$9)&amp;"",""))</f>
        <v/>
      </c>
      <c r="K2259" s="32" t="s">
        <v>1364</v>
      </c>
    </row>
    <row r="2260" customFormat="false" ht="15" hidden="false" customHeight="false" outlineLevel="0" collapsed="false">
      <c r="A2260" s="23" t="str">
        <f aca="false">IF(B2260="","",B2260+(13*1000+9)/10000000)</f>
        <v/>
      </c>
      <c r="B2260" s="35" t="str">
        <f aca="false">IF(AND(IFERROR(N(INDEX(Clay_Offices!$A$2:$FZ$601,9,Sync!$C$12)),0)&gt;0,IFERROR(INDEX(Clay_Offices!$A$2:$FZ$601,9,Sync!$C$5)&amp;"","")&lt;&gt;"",OR(LEFT(IFERROR(INDEX(Clay_Offices!$A$2:$FZ$601,9,Sync!$C$5)&amp;"",""),6)&lt;&gt;"SAMPLE",Config!$B$19="Y")),IFERROR(N(INDEX(Clay_Offices!$A$2:$FZ$601,9,Sync!$C$12)),0),"")</f>
        <v/>
      </c>
      <c r="C2260" s="23" t="str">
        <f aca="false">IF(B2260="","","office")</f>
        <v/>
      </c>
      <c r="D2260" s="23" t="str">
        <f aca="false">IF(B2260="","",IFERROR(INDEX(Office_Log!$ED$2:$ED$201,MATCH(IFERROR(INDEX(Clay_Offices!$A$2:$FZ$601,9,Sync!$C$5)&amp;"",""),Office_Log!$A$2:$A$201,0))&amp;"",IFERROR(INDEX(Clay_Offices!$A$2:$FZ$601,9,Sync!$C$5)&amp;"","")&amp;""))</f>
        <v/>
      </c>
      <c r="E2260" s="23" t="str">
        <f aca="false">IF(B2260="","",IFERROR(INDEX(Clay_Offices!$A$2:$FZ$601,9,Sync!$C$6)&amp;"",""))</f>
        <v/>
      </c>
      <c r="F2260" s="23" t="str">
        <f aca="false">IF(B2260="","","outreach_sent")</f>
        <v/>
      </c>
      <c r="G2260" s="23" t="str">
        <f aca="false">IF(B2260="","","")</f>
        <v/>
      </c>
      <c r="H2260" s="23" t="str">
        <f aca="false">IF(B2260="","","")</f>
        <v/>
      </c>
      <c r="I2260" s="23" t="str">
        <f aca="false">IF(B2260="","","")</f>
        <v/>
      </c>
      <c r="J2260" s="23" t="str">
        <f aca="false">IF(B2260="","","touch_2; "&amp;IFERROR(INDEX(Clay_Offices!$A$2:$FZ$601,9,Sync!$C$10)&amp;"","")&amp;"; "&amp;IFERROR(INDEX(Clay_Offices!$A$2:$FZ$601,9,Sync!$C$9)&amp;"",""))</f>
        <v/>
      </c>
      <c r="K2260" s="32" t="s">
        <v>1364</v>
      </c>
    </row>
    <row r="2261" customFormat="false" ht="15" hidden="false" customHeight="false" outlineLevel="0" collapsed="false">
      <c r="A2261" s="23" t="str">
        <f aca="false">IF(B2261="","",B2261+(13*1000+10)/10000000)</f>
        <v/>
      </c>
      <c r="B2261" s="35" t="str">
        <f aca="false">IF(AND(IFERROR(N(INDEX(Clay_Offices!$A$2:$FZ$601,10,Sync!$C$12)),0)&gt;0,IFERROR(INDEX(Clay_Offices!$A$2:$FZ$601,10,Sync!$C$5)&amp;"","")&lt;&gt;"",OR(LEFT(IFERROR(INDEX(Clay_Offices!$A$2:$FZ$601,10,Sync!$C$5)&amp;"",""),6)&lt;&gt;"SAMPLE",Config!$B$19="Y")),IFERROR(N(INDEX(Clay_Offices!$A$2:$FZ$601,10,Sync!$C$12)),0),"")</f>
        <v/>
      </c>
      <c r="C2261" s="23" t="str">
        <f aca="false">IF(B2261="","","office")</f>
        <v/>
      </c>
      <c r="D2261" s="23" t="str">
        <f aca="false">IF(B2261="","",IFERROR(INDEX(Office_Log!$ED$2:$ED$201,MATCH(IFERROR(INDEX(Clay_Offices!$A$2:$FZ$601,10,Sync!$C$5)&amp;"",""),Office_Log!$A$2:$A$201,0))&amp;"",IFERROR(INDEX(Clay_Offices!$A$2:$FZ$601,10,Sync!$C$5)&amp;"","")&amp;""))</f>
        <v/>
      </c>
      <c r="E2261" s="23" t="str">
        <f aca="false">IF(B2261="","",IFERROR(INDEX(Clay_Offices!$A$2:$FZ$601,10,Sync!$C$6)&amp;"",""))</f>
        <v/>
      </c>
      <c r="F2261" s="23" t="str">
        <f aca="false">IF(B2261="","","outreach_sent")</f>
        <v/>
      </c>
      <c r="G2261" s="23" t="str">
        <f aca="false">IF(B2261="","","")</f>
        <v/>
      </c>
      <c r="H2261" s="23" t="str">
        <f aca="false">IF(B2261="","","")</f>
        <v/>
      </c>
      <c r="I2261" s="23" t="str">
        <f aca="false">IF(B2261="","","")</f>
        <v/>
      </c>
      <c r="J2261" s="23" t="str">
        <f aca="false">IF(B2261="","","touch_2; "&amp;IFERROR(INDEX(Clay_Offices!$A$2:$FZ$601,10,Sync!$C$10)&amp;"","")&amp;"; "&amp;IFERROR(INDEX(Clay_Offices!$A$2:$FZ$601,10,Sync!$C$9)&amp;"",""))</f>
        <v/>
      </c>
      <c r="K2261" s="32" t="s">
        <v>1364</v>
      </c>
    </row>
    <row r="2262" customFormat="false" ht="15" hidden="false" customHeight="false" outlineLevel="0" collapsed="false">
      <c r="A2262" s="23" t="str">
        <f aca="false">IF(B2262="","",B2262+(13*1000+11)/10000000)</f>
        <v/>
      </c>
      <c r="B2262" s="35" t="str">
        <f aca="false">IF(AND(IFERROR(N(INDEX(Clay_Offices!$A$2:$FZ$601,11,Sync!$C$12)),0)&gt;0,IFERROR(INDEX(Clay_Offices!$A$2:$FZ$601,11,Sync!$C$5)&amp;"","")&lt;&gt;"",OR(LEFT(IFERROR(INDEX(Clay_Offices!$A$2:$FZ$601,11,Sync!$C$5)&amp;"",""),6)&lt;&gt;"SAMPLE",Config!$B$19="Y")),IFERROR(N(INDEX(Clay_Offices!$A$2:$FZ$601,11,Sync!$C$12)),0),"")</f>
        <v/>
      </c>
      <c r="C2262" s="23" t="str">
        <f aca="false">IF(B2262="","","office")</f>
        <v/>
      </c>
      <c r="D2262" s="23" t="str">
        <f aca="false">IF(B2262="","",IFERROR(INDEX(Office_Log!$ED$2:$ED$201,MATCH(IFERROR(INDEX(Clay_Offices!$A$2:$FZ$601,11,Sync!$C$5)&amp;"",""),Office_Log!$A$2:$A$201,0))&amp;"",IFERROR(INDEX(Clay_Offices!$A$2:$FZ$601,11,Sync!$C$5)&amp;"","")&amp;""))</f>
        <v/>
      </c>
      <c r="E2262" s="23" t="str">
        <f aca="false">IF(B2262="","",IFERROR(INDEX(Clay_Offices!$A$2:$FZ$601,11,Sync!$C$6)&amp;"",""))</f>
        <v/>
      </c>
      <c r="F2262" s="23" t="str">
        <f aca="false">IF(B2262="","","outreach_sent")</f>
        <v/>
      </c>
      <c r="G2262" s="23" t="str">
        <f aca="false">IF(B2262="","","")</f>
        <v/>
      </c>
      <c r="H2262" s="23" t="str">
        <f aca="false">IF(B2262="","","")</f>
        <v/>
      </c>
      <c r="I2262" s="23" t="str">
        <f aca="false">IF(B2262="","","")</f>
        <v/>
      </c>
      <c r="J2262" s="23" t="str">
        <f aca="false">IF(B2262="","","touch_2; "&amp;IFERROR(INDEX(Clay_Offices!$A$2:$FZ$601,11,Sync!$C$10)&amp;"","")&amp;"; "&amp;IFERROR(INDEX(Clay_Offices!$A$2:$FZ$601,11,Sync!$C$9)&amp;"",""))</f>
        <v/>
      </c>
      <c r="K2262" s="32" t="s">
        <v>1364</v>
      </c>
    </row>
    <row r="2263" customFormat="false" ht="15" hidden="false" customHeight="false" outlineLevel="0" collapsed="false">
      <c r="A2263" s="23" t="str">
        <f aca="false">IF(B2263="","",B2263+(13*1000+12)/10000000)</f>
        <v/>
      </c>
      <c r="B2263" s="35" t="str">
        <f aca="false">IF(AND(IFERROR(N(INDEX(Clay_Offices!$A$2:$FZ$601,12,Sync!$C$12)),0)&gt;0,IFERROR(INDEX(Clay_Offices!$A$2:$FZ$601,12,Sync!$C$5)&amp;"","")&lt;&gt;"",OR(LEFT(IFERROR(INDEX(Clay_Offices!$A$2:$FZ$601,12,Sync!$C$5)&amp;"",""),6)&lt;&gt;"SAMPLE",Config!$B$19="Y")),IFERROR(N(INDEX(Clay_Offices!$A$2:$FZ$601,12,Sync!$C$12)),0),"")</f>
        <v/>
      </c>
      <c r="C2263" s="23" t="str">
        <f aca="false">IF(B2263="","","office")</f>
        <v/>
      </c>
      <c r="D2263" s="23" t="str">
        <f aca="false">IF(B2263="","",IFERROR(INDEX(Office_Log!$ED$2:$ED$201,MATCH(IFERROR(INDEX(Clay_Offices!$A$2:$FZ$601,12,Sync!$C$5)&amp;"",""),Office_Log!$A$2:$A$201,0))&amp;"",IFERROR(INDEX(Clay_Offices!$A$2:$FZ$601,12,Sync!$C$5)&amp;"","")&amp;""))</f>
        <v/>
      </c>
      <c r="E2263" s="23" t="str">
        <f aca="false">IF(B2263="","",IFERROR(INDEX(Clay_Offices!$A$2:$FZ$601,12,Sync!$C$6)&amp;"",""))</f>
        <v/>
      </c>
      <c r="F2263" s="23" t="str">
        <f aca="false">IF(B2263="","","outreach_sent")</f>
        <v/>
      </c>
      <c r="G2263" s="23" t="str">
        <f aca="false">IF(B2263="","","")</f>
        <v/>
      </c>
      <c r="H2263" s="23" t="str">
        <f aca="false">IF(B2263="","","")</f>
        <v/>
      </c>
      <c r="I2263" s="23" t="str">
        <f aca="false">IF(B2263="","","")</f>
        <v/>
      </c>
      <c r="J2263" s="23" t="str">
        <f aca="false">IF(B2263="","","touch_2; "&amp;IFERROR(INDEX(Clay_Offices!$A$2:$FZ$601,12,Sync!$C$10)&amp;"","")&amp;"; "&amp;IFERROR(INDEX(Clay_Offices!$A$2:$FZ$601,12,Sync!$C$9)&amp;"",""))</f>
        <v/>
      </c>
      <c r="K2263" s="32" t="s">
        <v>1364</v>
      </c>
    </row>
    <row r="2264" customFormat="false" ht="15" hidden="false" customHeight="false" outlineLevel="0" collapsed="false">
      <c r="A2264" s="23" t="str">
        <f aca="false">IF(B2264="","",B2264+(13*1000+13)/10000000)</f>
        <v/>
      </c>
      <c r="B2264" s="35" t="str">
        <f aca="false">IF(AND(IFERROR(N(INDEX(Clay_Offices!$A$2:$FZ$601,13,Sync!$C$12)),0)&gt;0,IFERROR(INDEX(Clay_Offices!$A$2:$FZ$601,13,Sync!$C$5)&amp;"","")&lt;&gt;"",OR(LEFT(IFERROR(INDEX(Clay_Offices!$A$2:$FZ$601,13,Sync!$C$5)&amp;"",""),6)&lt;&gt;"SAMPLE",Config!$B$19="Y")),IFERROR(N(INDEX(Clay_Offices!$A$2:$FZ$601,13,Sync!$C$12)),0),"")</f>
        <v/>
      </c>
      <c r="C2264" s="23" t="str">
        <f aca="false">IF(B2264="","","office")</f>
        <v/>
      </c>
      <c r="D2264" s="23" t="str">
        <f aca="false">IF(B2264="","",IFERROR(INDEX(Office_Log!$ED$2:$ED$201,MATCH(IFERROR(INDEX(Clay_Offices!$A$2:$FZ$601,13,Sync!$C$5)&amp;"",""),Office_Log!$A$2:$A$201,0))&amp;"",IFERROR(INDEX(Clay_Offices!$A$2:$FZ$601,13,Sync!$C$5)&amp;"","")&amp;""))</f>
        <v/>
      </c>
      <c r="E2264" s="23" t="str">
        <f aca="false">IF(B2264="","",IFERROR(INDEX(Clay_Offices!$A$2:$FZ$601,13,Sync!$C$6)&amp;"",""))</f>
        <v/>
      </c>
      <c r="F2264" s="23" t="str">
        <f aca="false">IF(B2264="","","outreach_sent")</f>
        <v/>
      </c>
      <c r="G2264" s="23" t="str">
        <f aca="false">IF(B2264="","","")</f>
        <v/>
      </c>
      <c r="H2264" s="23" t="str">
        <f aca="false">IF(B2264="","","")</f>
        <v/>
      </c>
      <c r="I2264" s="23" t="str">
        <f aca="false">IF(B2264="","","")</f>
        <v/>
      </c>
      <c r="J2264" s="23" t="str">
        <f aca="false">IF(B2264="","","touch_2; "&amp;IFERROR(INDEX(Clay_Offices!$A$2:$FZ$601,13,Sync!$C$10)&amp;"","")&amp;"; "&amp;IFERROR(INDEX(Clay_Offices!$A$2:$FZ$601,13,Sync!$C$9)&amp;"",""))</f>
        <v/>
      </c>
      <c r="K2264" s="32" t="s">
        <v>1364</v>
      </c>
    </row>
    <row r="2265" customFormat="false" ht="15" hidden="false" customHeight="false" outlineLevel="0" collapsed="false">
      <c r="A2265" s="23" t="str">
        <f aca="false">IF(B2265="","",B2265+(13*1000+14)/10000000)</f>
        <v/>
      </c>
      <c r="B2265" s="35" t="str">
        <f aca="false">IF(AND(IFERROR(N(INDEX(Clay_Offices!$A$2:$FZ$601,14,Sync!$C$12)),0)&gt;0,IFERROR(INDEX(Clay_Offices!$A$2:$FZ$601,14,Sync!$C$5)&amp;"","")&lt;&gt;"",OR(LEFT(IFERROR(INDEX(Clay_Offices!$A$2:$FZ$601,14,Sync!$C$5)&amp;"",""),6)&lt;&gt;"SAMPLE",Config!$B$19="Y")),IFERROR(N(INDEX(Clay_Offices!$A$2:$FZ$601,14,Sync!$C$12)),0),"")</f>
        <v/>
      </c>
      <c r="C2265" s="23" t="str">
        <f aca="false">IF(B2265="","","office")</f>
        <v/>
      </c>
      <c r="D2265" s="23" t="str">
        <f aca="false">IF(B2265="","",IFERROR(INDEX(Office_Log!$ED$2:$ED$201,MATCH(IFERROR(INDEX(Clay_Offices!$A$2:$FZ$601,14,Sync!$C$5)&amp;"",""),Office_Log!$A$2:$A$201,0))&amp;"",IFERROR(INDEX(Clay_Offices!$A$2:$FZ$601,14,Sync!$C$5)&amp;"","")&amp;""))</f>
        <v/>
      </c>
      <c r="E2265" s="23" t="str">
        <f aca="false">IF(B2265="","",IFERROR(INDEX(Clay_Offices!$A$2:$FZ$601,14,Sync!$C$6)&amp;"",""))</f>
        <v/>
      </c>
      <c r="F2265" s="23" t="str">
        <f aca="false">IF(B2265="","","outreach_sent")</f>
        <v/>
      </c>
      <c r="G2265" s="23" t="str">
        <f aca="false">IF(B2265="","","")</f>
        <v/>
      </c>
      <c r="H2265" s="23" t="str">
        <f aca="false">IF(B2265="","","")</f>
        <v/>
      </c>
      <c r="I2265" s="23" t="str">
        <f aca="false">IF(B2265="","","")</f>
        <v/>
      </c>
      <c r="J2265" s="23" t="str">
        <f aca="false">IF(B2265="","","touch_2; "&amp;IFERROR(INDEX(Clay_Offices!$A$2:$FZ$601,14,Sync!$C$10)&amp;"","")&amp;"; "&amp;IFERROR(INDEX(Clay_Offices!$A$2:$FZ$601,14,Sync!$C$9)&amp;"",""))</f>
        <v/>
      </c>
      <c r="K2265" s="32" t="s">
        <v>1364</v>
      </c>
    </row>
    <row r="2266" customFormat="false" ht="15" hidden="false" customHeight="false" outlineLevel="0" collapsed="false">
      <c r="A2266" s="42" t="n">
        <f aca="false">IF(B2266="","",B2266+(13*1000+15)/10000000)</f>
        <v>46339.0013015</v>
      </c>
      <c r="B2266" s="35" t="n">
        <f aca="false">IF(AND(IFERROR(N(INDEX(Clay_Offices!$A$2:$FZ$601,15,Sync!$C$12)),0)&gt;0,IFERROR(INDEX(Clay_Offices!$A$2:$FZ$601,15,Sync!$C$5)&amp;"","")&lt;&gt;"",OR(LEFT(IFERROR(INDEX(Clay_Offices!$A$2:$FZ$601,15,Sync!$C$5)&amp;"",""),6)&lt;&gt;"SAMPLE",Config!$B$19="Y")),IFERROR(N(INDEX(Clay_Offices!$A$2:$FZ$601,15,Sync!$C$12)),0),"")</f>
        <v>46339</v>
      </c>
      <c r="C2266" s="23" t="str">
        <f aca="false">IF(B2266="","","office")</f>
        <v>office</v>
      </c>
      <c r="D2266" s="23" t="str">
        <f aca="false">IF(B2266="","",IFERROR(INDEX(Office_Log!$ED$2:$ED$201,MATCH(IFERROR(INDEX(Clay_Offices!$A$2:$FZ$601,15,Sync!$C$5)&amp;"",""),Office_Log!$A$2:$A$201,0))&amp;"",IFERROR(INDEX(Clay_Offices!$A$2:$FZ$601,15,Sync!$C$5)&amp;"","")&amp;""))</f>
        <v>SAMPLE-O-016</v>
      </c>
      <c r="E2266" s="23" t="str">
        <f aca="false">IF(B2266="","",IFERROR(INDEX(Clay_Offices!$A$2:$FZ$601,15,Sync!$C$6)&amp;"",""))</f>
        <v>SAMPLE Office 16</v>
      </c>
      <c r="F2266" s="23" t="str">
        <f aca="false">IF(B2266="","","outreach_sent")</f>
        <v>outreach_sent</v>
      </c>
      <c r="G2266" s="23" t="str">
        <f aca="false">IF(B2266="","","")</f>
        <v/>
      </c>
      <c r="H2266" s="23" t="str">
        <f aca="false">IF(B2266="","","")</f>
        <v/>
      </c>
      <c r="I2266" s="23" t="str">
        <f aca="false">IF(B2266="","","")</f>
        <v/>
      </c>
      <c r="J2266" s="23" t="str">
        <f aca="false">IF(B2266="","","touch_2; "&amp;IFERROR(INDEX(Clay_Offices!$A$2:$FZ$601,15,Sync!$C$10)&amp;"","")&amp;"; "&amp;IFERROR(INDEX(Clay_Offices!$A$2:$FZ$601,15,Sync!$C$9)&amp;"",""))</f>
        <v>touch_2; office-discovery-B; linkedin</v>
      </c>
      <c r="K2266" s="32" t="s">
        <v>1364</v>
      </c>
    </row>
    <row r="2267" customFormat="false" ht="15" hidden="false" customHeight="false" outlineLevel="0" collapsed="false">
      <c r="A2267" s="42" t="n">
        <f aca="false">IF(B2267="","",B2267+(13*1000+16)/10000000)</f>
        <v>46344.0013016</v>
      </c>
      <c r="B2267" s="35" t="n">
        <f aca="false">IF(AND(IFERROR(N(INDEX(Clay_Offices!$A$2:$FZ$601,16,Sync!$C$12)),0)&gt;0,IFERROR(INDEX(Clay_Offices!$A$2:$FZ$601,16,Sync!$C$5)&amp;"","")&lt;&gt;"",OR(LEFT(IFERROR(INDEX(Clay_Offices!$A$2:$FZ$601,16,Sync!$C$5)&amp;"",""),6)&lt;&gt;"SAMPLE",Config!$B$19="Y")),IFERROR(N(INDEX(Clay_Offices!$A$2:$FZ$601,16,Sync!$C$12)),0),"")</f>
        <v>46344</v>
      </c>
      <c r="C2267" s="23" t="str">
        <f aca="false">IF(B2267="","","office")</f>
        <v>office</v>
      </c>
      <c r="D2267" s="23" t="str">
        <f aca="false">IF(B2267="","",IFERROR(INDEX(Office_Log!$ED$2:$ED$201,MATCH(IFERROR(INDEX(Clay_Offices!$A$2:$FZ$601,16,Sync!$C$5)&amp;"",""),Office_Log!$A$2:$A$201,0))&amp;"",IFERROR(INDEX(Clay_Offices!$A$2:$FZ$601,16,Sync!$C$5)&amp;"","")&amp;""))</f>
        <v>SAMPLE-O-017</v>
      </c>
      <c r="E2267" s="23" t="str">
        <f aca="false">IF(B2267="","",IFERROR(INDEX(Clay_Offices!$A$2:$FZ$601,16,Sync!$C$6)&amp;"",""))</f>
        <v>SAMPLE Office 17</v>
      </c>
      <c r="F2267" s="23" t="str">
        <f aca="false">IF(B2267="","","outreach_sent")</f>
        <v>outreach_sent</v>
      </c>
      <c r="G2267" s="23" t="str">
        <f aca="false">IF(B2267="","","")</f>
        <v/>
      </c>
      <c r="H2267" s="23" t="str">
        <f aca="false">IF(B2267="","","")</f>
        <v/>
      </c>
      <c r="I2267" s="23" t="str">
        <f aca="false">IF(B2267="","","")</f>
        <v/>
      </c>
      <c r="J2267" s="23" t="str">
        <f aca="false">IF(B2267="","","touch_2; "&amp;IFERROR(INDEX(Clay_Offices!$A$2:$FZ$601,16,Sync!$C$10)&amp;"","")&amp;"; "&amp;IFERROR(INDEX(Clay_Offices!$A$2:$FZ$601,16,Sync!$C$9)&amp;"",""))</f>
        <v>touch_2; office-discovery-A; email</v>
      </c>
      <c r="K2267" s="32" t="s">
        <v>1364</v>
      </c>
    </row>
    <row r="2268" customFormat="false" ht="15" hidden="false" customHeight="false" outlineLevel="0" collapsed="false">
      <c r="A2268" s="42" t="n">
        <f aca="false">IF(B2268="","",B2268+(13*1000+17)/10000000)</f>
        <v>46349.0013017</v>
      </c>
      <c r="B2268" s="35" t="n">
        <f aca="false">IF(AND(IFERROR(N(INDEX(Clay_Offices!$A$2:$FZ$601,17,Sync!$C$12)),0)&gt;0,IFERROR(INDEX(Clay_Offices!$A$2:$FZ$601,17,Sync!$C$5)&amp;"","")&lt;&gt;"",OR(LEFT(IFERROR(INDEX(Clay_Offices!$A$2:$FZ$601,17,Sync!$C$5)&amp;"",""),6)&lt;&gt;"SAMPLE",Config!$B$19="Y")),IFERROR(N(INDEX(Clay_Offices!$A$2:$FZ$601,17,Sync!$C$12)),0),"")</f>
        <v>46349</v>
      </c>
      <c r="C2268" s="23" t="str">
        <f aca="false">IF(B2268="","","office")</f>
        <v>office</v>
      </c>
      <c r="D2268" s="23" t="str">
        <f aca="false">IF(B2268="","",IFERROR(INDEX(Office_Log!$ED$2:$ED$201,MATCH(IFERROR(INDEX(Clay_Offices!$A$2:$FZ$601,17,Sync!$C$5)&amp;"",""),Office_Log!$A$2:$A$201,0))&amp;"",IFERROR(INDEX(Clay_Offices!$A$2:$FZ$601,17,Sync!$C$5)&amp;"","")&amp;""))</f>
        <v>SAMPLE-O-018</v>
      </c>
      <c r="E2268" s="23" t="str">
        <f aca="false">IF(B2268="","",IFERROR(INDEX(Clay_Offices!$A$2:$FZ$601,17,Sync!$C$6)&amp;"",""))</f>
        <v>SAMPLE Office 18</v>
      </c>
      <c r="F2268" s="23" t="str">
        <f aca="false">IF(B2268="","","outreach_sent")</f>
        <v>outreach_sent</v>
      </c>
      <c r="G2268" s="23" t="str">
        <f aca="false">IF(B2268="","","")</f>
        <v/>
      </c>
      <c r="H2268" s="23" t="str">
        <f aca="false">IF(B2268="","","")</f>
        <v/>
      </c>
      <c r="I2268" s="23" t="str">
        <f aca="false">IF(B2268="","","")</f>
        <v/>
      </c>
      <c r="J2268" s="23" t="str">
        <f aca="false">IF(B2268="","","touch_2; "&amp;IFERROR(INDEX(Clay_Offices!$A$2:$FZ$601,17,Sync!$C$10)&amp;"","")&amp;"; "&amp;IFERROR(INDEX(Clay_Offices!$A$2:$FZ$601,17,Sync!$C$9)&amp;"",""))</f>
        <v>touch_2; office-discovery-B; email</v>
      </c>
      <c r="K2268" s="32" t="s">
        <v>1364</v>
      </c>
    </row>
    <row r="2269" customFormat="false" ht="15" hidden="false" customHeight="false" outlineLevel="0" collapsed="false">
      <c r="A2269" s="42" t="n">
        <f aca="false">IF(B2269="","",B2269+(13*1000+18)/10000000)</f>
        <v>46324.0013018</v>
      </c>
      <c r="B2269" s="35" t="n">
        <f aca="false">IF(AND(IFERROR(N(INDEX(Clay_Offices!$A$2:$FZ$601,18,Sync!$C$12)),0)&gt;0,IFERROR(INDEX(Clay_Offices!$A$2:$FZ$601,18,Sync!$C$5)&amp;"","")&lt;&gt;"",OR(LEFT(IFERROR(INDEX(Clay_Offices!$A$2:$FZ$601,18,Sync!$C$5)&amp;"",""),6)&lt;&gt;"SAMPLE",Config!$B$19="Y")),IFERROR(N(INDEX(Clay_Offices!$A$2:$FZ$601,18,Sync!$C$12)),0),"")</f>
        <v>46324</v>
      </c>
      <c r="C2269" s="23" t="str">
        <f aca="false">IF(B2269="","","office")</f>
        <v>office</v>
      </c>
      <c r="D2269" s="23" t="str">
        <f aca="false">IF(B2269="","",IFERROR(INDEX(Office_Log!$ED$2:$ED$201,MATCH(IFERROR(INDEX(Clay_Offices!$A$2:$FZ$601,18,Sync!$C$5)&amp;"",""),Office_Log!$A$2:$A$201,0))&amp;"",IFERROR(INDEX(Clay_Offices!$A$2:$FZ$601,18,Sync!$C$5)&amp;"","")&amp;""))</f>
        <v>SAMPLE-O-019</v>
      </c>
      <c r="E2269" s="23" t="str">
        <f aca="false">IF(B2269="","",IFERROR(INDEX(Clay_Offices!$A$2:$FZ$601,18,Sync!$C$6)&amp;"",""))</f>
        <v>SAMPLE Office 19</v>
      </c>
      <c r="F2269" s="23" t="str">
        <f aca="false">IF(B2269="","","outreach_sent")</f>
        <v>outreach_sent</v>
      </c>
      <c r="G2269" s="23" t="str">
        <f aca="false">IF(B2269="","","")</f>
        <v/>
      </c>
      <c r="H2269" s="23" t="str">
        <f aca="false">IF(B2269="","","")</f>
        <v/>
      </c>
      <c r="I2269" s="23" t="str">
        <f aca="false">IF(B2269="","","")</f>
        <v/>
      </c>
      <c r="J2269" s="23" t="str">
        <f aca="false">IF(B2269="","","touch_2; "&amp;IFERROR(INDEX(Clay_Offices!$A$2:$FZ$601,18,Sync!$C$10)&amp;"","")&amp;"; "&amp;IFERROR(INDEX(Clay_Offices!$A$2:$FZ$601,18,Sync!$C$9)&amp;"",""))</f>
        <v>touch_2; office-discovery-A; linkedin</v>
      </c>
      <c r="K2269" s="32" t="s">
        <v>1364</v>
      </c>
    </row>
    <row r="2270" customFormat="false" ht="15" hidden="false" customHeight="false" outlineLevel="0" collapsed="false">
      <c r="A2270" s="23" t="str">
        <f aca="false">IF(B2270="","",B2270+(13*1000+19)/10000000)</f>
        <v/>
      </c>
      <c r="B2270" s="35" t="str">
        <f aca="false">IF(AND(IFERROR(N(INDEX(Clay_Offices!$A$2:$FZ$601,19,Sync!$C$12)),0)&gt;0,IFERROR(INDEX(Clay_Offices!$A$2:$FZ$601,19,Sync!$C$5)&amp;"","")&lt;&gt;"",OR(LEFT(IFERROR(INDEX(Clay_Offices!$A$2:$FZ$601,19,Sync!$C$5)&amp;"",""),6)&lt;&gt;"SAMPLE",Config!$B$19="Y")),IFERROR(N(INDEX(Clay_Offices!$A$2:$FZ$601,19,Sync!$C$12)),0),"")</f>
        <v/>
      </c>
      <c r="C2270" s="23" t="str">
        <f aca="false">IF(B2270="","","office")</f>
        <v/>
      </c>
      <c r="D2270" s="23" t="str">
        <f aca="false">IF(B2270="","",IFERROR(INDEX(Office_Log!$ED$2:$ED$201,MATCH(IFERROR(INDEX(Clay_Offices!$A$2:$FZ$601,19,Sync!$C$5)&amp;"",""),Office_Log!$A$2:$A$201,0))&amp;"",IFERROR(INDEX(Clay_Offices!$A$2:$FZ$601,19,Sync!$C$5)&amp;"","")&amp;""))</f>
        <v/>
      </c>
      <c r="E2270" s="23" t="str">
        <f aca="false">IF(B2270="","",IFERROR(INDEX(Clay_Offices!$A$2:$FZ$601,19,Sync!$C$6)&amp;"",""))</f>
        <v/>
      </c>
      <c r="F2270" s="23" t="str">
        <f aca="false">IF(B2270="","","outreach_sent")</f>
        <v/>
      </c>
      <c r="G2270" s="23" t="str">
        <f aca="false">IF(B2270="","","")</f>
        <v/>
      </c>
      <c r="H2270" s="23" t="str">
        <f aca="false">IF(B2270="","","")</f>
        <v/>
      </c>
      <c r="I2270" s="23" t="str">
        <f aca="false">IF(B2270="","","")</f>
        <v/>
      </c>
      <c r="J2270" s="23" t="str">
        <f aca="false">IF(B2270="","","touch_2; "&amp;IFERROR(INDEX(Clay_Offices!$A$2:$FZ$601,19,Sync!$C$10)&amp;"","")&amp;"; "&amp;IFERROR(INDEX(Clay_Offices!$A$2:$FZ$601,19,Sync!$C$9)&amp;"",""))</f>
        <v/>
      </c>
      <c r="K2270" s="32" t="s">
        <v>1364</v>
      </c>
    </row>
    <row r="2271" customFormat="false" ht="15" hidden="false" customHeight="false" outlineLevel="0" collapsed="false">
      <c r="A2271" s="42" t="n">
        <f aca="false">IF(B2271="","",B2271+(13*1000+20)/10000000)</f>
        <v>46332.001302</v>
      </c>
      <c r="B2271" s="35" t="n">
        <f aca="false">IF(AND(IFERROR(N(INDEX(Clay_Offices!$A$2:$FZ$601,20,Sync!$C$12)),0)&gt;0,IFERROR(INDEX(Clay_Offices!$A$2:$FZ$601,20,Sync!$C$5)&amp;"","")&lt;&gt;"",OR(LEFT(IFERROR(INDEX(Clay_Offices!$A$2:$FZ$601,20,Sync!$C$5)&amp;"",""),6)&lt;&gt;"SAMPLE",Config!$B$19="Y")),IFERROR(N(INDEX(Clay_Offices!$A$2:$FZ$601,20,Sync!$C$12)),0),"")</f>
        <v>46332</v>
      </c>
      <c r="C2271" s="23" t="str">
        <f aca="false">IF(B2271="","","office")</f>
        <v>office</v>
      </c>
      <c r="D2271" s="23" t="str">
        <f aca="false">IF(B2271="","",IFERROR(INDEX(Office_Log!$ED$2:$ED$201,MATCH(IFERROR(INDEX(Clay_Offices!$A$2:$FZ$601,20,Sync!$C$5)&amp;"",""),Office_Log!$A$2:$A$201,0))&amp;"",IFERROR(INDEX(Clay_Offices!$A$2:$FZ$601,20,Sync!$C$5)&amp;"","")&amp;""))</f>
        <v>SAMPLE-O-021</v>
      </c>
      <c r="E2271" s="23" t="str">
        <f aca="false">IF(B2271="","",IFERROR(INDEX(Clay_Offices!$A$2:$FZ$601,20,Sync!$C$6)&amp;"",""))</f>
        <v>SAMPLE Office 21</v>
      </c>
      <c r="F2271" s="23" t="str">
        <f aca="false">IF(B2271="","","outreach_sent")</f>
        <v>outreach_sent</v>
      </c>
      <c r="G2271" s="23" t="str">
        <f aca="false">IF(B2271="","","")</f>
        <v/>
      </c>
      <c r="H2271" s="23" t="str">
        <f aca="false">IF(B2271="","","")</f>
        <v/>
      </c>
      <c r="I2271" s="23" t="str">
        <f aca="false">IF(B2271="","","")</f>
        <v/>
      </c>
      <c r="J2271" s="23" t="str">
        <f aca="false">IF(B2271="","","touch_2; "&amp;IFERROR(INDEX(Clay_Offices!$A$2:$FZ$601,20,Sync!$C$10)&amp;"","")&amp;"; "&amp;IFERROR(INDEX(Clay_Offices!$A$2:$FZ$601,20,Sync!$C$9)&amp;"",""))</f>
        <v>touch_2; office-discovery-A; linkedin</v>
      </c>
      <c r="K2271" s="32" t="s">
        <v>1364</v>
      </c>
    </row>
    <row r="2272" customFormat="false" ht="15" hidden="false" customHeight="false" outlineLevel="0" collapsed="false">
      <c r="A2272" s="42" t="n">
        <f aca="false">IF(B2272="","",B2272+(13*1000+21)/10000000)</f>
        <v>46338.0013021</v>
      </c>
      <c r="B2272" s="35" t="n">
        <f aca="false">IF(AND(IFERROR(N(INDEX(Clay_Offices!$A$2:$FZ$601,21,Sync!$C$12)),0)&gt;0,IFERROR(INDEX(Clay_Offices!$A$2:$FZ$601,21,Sync!$C$5)&amp;"","")&lt;&gt;"",OR(LEFT(IFERROR(INDEX(Clay_Offices!$A$2:$FZ$601,21,Sync!$C$5)&amp;"",""),6)&lt;&gt;"SAMPLE",Config!$B$19="Y")),IFERROR(N(INDEX(Clay_Offices!$A$2:$FZ$601,21,Sync!$C$12)),0),"")</f>
        <v>46338</v>
      </c>
      <c r="C2272" s="23" t="str">
        <f aca="false">IF(B2272="","","office")</f>
        <v>office</v>
      </c>
      <c r="D2272" s="23" t="str">
        <f aca="false">IF(B2272="","",IFERROR(INDEX(Office_Log!$ED$2:$ED$201,MATCH(IFERROR(INDEX(Clay_Offices!$A$2:$FZ$601,21,Sync!$C$5)&amp;"",""),Office_Log!$A$2:$A$201,0))&amp;"",IFERROR(INDEX(Clay_Offices!$A$2:$FZ$601,21,Sync!$C$5)&amp;"","")&amp;""))</f>
        <v>SAMPLE-O-022</v>
      </c>
      <c r="E2272" s="23" t="str">
        <f aca="false">IF(B2272="","",IFERROR(INDEX(Clay_Offices!$A$2:$FZ$601,21,Sync!$C$6)&amp;"",""))</f>
        <v>SAMPLE Office 22</v>
      </c>
      <c r="F2272" s="23" t="str">
        <f aca="false">IF(B2272="","","outreach_sent")</f>
        <v>outreach_sent</v>
      </c>
      <c r="G2272" s="23" t="str">
        <f aca="false">IF(B2272="","","")</f>
        <v/>
      </c>
      <c r="H2272" s="23" t="str">
        <f aca="false">IF(B2272="","","")</f>
        <v/>
      </c>
      <c r="I2272" s="23" t="str">
        <f aca="false">IF(B2272="","","")</f>
        <v/>
      </c>
      <c r="J2272" s="23" t="str">
        <f aca="false">IF(B2272="","","touch_2; "&amp;IFERROR(INDEX(Clay_Offices!$A$2:$FZ$601,21,Sync!$C$10)&amp;"","")&amp;"; "&amp;IFERROR(INDEX(Clay_Offices!$A$2:$FZ$601,21,Sync!$C$9)&amp;"",""))</f>
        <v>touch_2; office-discovery-B; linkedin</v>
      </c>
      <c r="K2272" s="32" t="s">
        <v>1364</v>
      </c>
    </row>
    <row r="2273" customFormat="false" ht="15" hidden="false" customHeight="false" outlineLevel="0" collapsed="false">
      <c r="A2273" s="42" t="n">
        <f aca="false">IF(B2273="","",B2273+(13*1000+22)/10000000)</f>
        <v>46343.0013022</v>
      </c>
      <c r="B2273" s="35" t="n">
        <f aca="false">IF(AND(IFERROR(N(INDEX(Clay_Offices!$A$2:$FZ$601,22,Sync!$C$12)),0)&gt;0,IFERROR(INDEX(Clay_Offices!$A$2:$FZ$601,22,Sync!$C$5)&amp;"","")&lt;&gt;"",OR(LEFT(IFERROR(INDEX(Clay_Offices!$A$2:$FZ$601,22,Sync!$C$5)&amp;"",""),6)&lt;&gt;"SAMPLE",Config!$B$19="Y")),IFERROR(N(INDEX(Clay_Offices!$A$2:$FZ$601,22,Sync!$C$12)),0),"")</f>
        <v>46343</v>
      </c>
      <c r="C2273" s="23" t="str">
        <f aca="false">IF(B2273="","","office")</f>
        <v>office</v>
      </c>
      <c r="D2273" s="23" t="str">
        <f aca="false">IF(B2273="","",IFERROR(INDEX(Office_Log!$ED$2:$ED$201,MATCH(IFERROR(INDEX(Clay_Offices!$A$2:$FZ$601,22,Sync!$C$5)&amp;"",""),Office_Log!$A$2:$A$201,0))&amp;"",IFERROR(INDEX(Clay_Offices!$A$2:$FZ$601,22,Sync!$C$5)&amp;"","")&amp;""))</f>
        <v>SAMPLE-O-023</v>
      </c>
      <c r="E2273" s="23" t="str">
        <f aca="false">IF(B2273="","",IFERROR(INDEX(Clay_Offices!$A$2:$FZ$601,22,Sync!$C$6)&amp;"",""))</f>
        <v>SAMPLE Office 23</v>
      </c>
      <c r="F2273" s="23" t="str">
        <f aca="false">IF(B2273="","","outreach_sent")</f>
        <v>outreach_sent</v>
      </c>
      <c r="G2273" s="23" t="str">
        <f aca="false">IF(B2273="","","")</f>
        <v/>
      </c>
      <c r="H2273" s="23" t="str">
        <f aca="false">IF(B2273="","","")</f>
        <v/>
      </c>
      <c r="I2273" s="23" t="str">
        <f aca="false">IF(B2273="","","")</f>
        <v/>
      </c>
      <c r="J2273" s="23" t="str">
        <f aca="false">IF(B2273="","","touch_2; "&amp;IFERROR(INDEX(Clay_Offices!$A$2:$FZ$601,22,Sync!$C$10)&amp;"","")&amp;"; "&amp;IFERROR(INDEX(Clay_Offices!$A$2:$FZ$601,22,Sync!$C$9)&amp;"",""))</f>
        <v>touch_2; office-discovery-A; email</v>
      </c>
      <c r="K2273" s="32" t="s">
        <v>1364</v>
      </c>
    </row>
    <row r="2274" customFormat="false" ht="15" hidden="false" customHeight="false" outlineLevel="0" collapsed="false">
      <c r="A2274" s="42" t="n">
        <f aca="false">IF(B2274="","",B2274+(13*1000+23)/10000000)</f>
        <v>46346.0013023</v>
      </c>
      <c r="B2274" s="35" t="n">
        <f aca="false">IF(AND(IFERROR(N(INDEX(Clay_Offices!$A$2:$FZ$601,23,Sync!$C$12)),0)&gt;0,IFERROR(INDEX(Clay_Offices!$A$2:$FZ$601,23,Sync!$C$5)&amp;"","")&lt;&gt;"",OR(LEFT(IFERROR(INDEX(Clay_Offices!$A$2:$FZ$601,23,Sync!$C$5)&amp;"",""),6)&lt;&gt;"SAMPLE",Config!$B$19="Y")),IFERROR(N(INDEX(Clay_Offices!$A$2:$FZ$601,23,Sync!$C$12)),0),"")</f>
        <v>46346</v>
      </c>
      <c r="C2274" s="23" t="str">
        <f aca="false">IF(B2274="","","office")</f>
        <v>office</v>
      </c>
      <c r="D2274" s="23" t="str">
        <f aca="false">IF(B2274="","",IFERROR(INDEX(Office_Log!$ED$2:$ED$201,MATCH(IFERROR(INDEX(Clay_Offices!$A$2:$FZ$601,23,Sync!$C$5)&amp;"",""),Office_Log!$A$2:$A$201,0))&amp;"",IFERROR(INDEX(Clay_Offices!$A$2:$FZ$601,23,Sync!$C$5)&amp;"","")&amp;""))</f>
        <v>SAMPLE-O-024</v>
      </c>
      <c r="E2274" s="23" t="str">
        <f aca="false">IF(B2274="","",IFERROR(INDEX(Clay_Offices!$A$2:$FZ$601,23,Sync!$C$6)&amp;"",""))</f>
        <v>SAMPLE Office 24</v>
      </c>
      <c r="F2274" s="23" t="str">
        <f aca="false">IF(B2274="","","outreach_sent")</f>
        <v>outreach_sent</v>
      </c>
      <c r="G2274" s="23" t="str">
        <f aca="false">IF(B2274="","","")</f>
        <v/>
      </c>
      <c r="H2274" s="23" t="str">
        <f aca="false">IF(B2274="","","")</f>
        <v/>
      </c>
      <c r="I2274" s="23" t="str">
        <f aca="false">IF(B2274="","","")</f>
        <v/>
      </c>
      <c r="J2274" s="23" t="str">
        <f aca="false">IF(B2274="","","touch_2; "&amp;IFERROR(INDEX(Clay_Offices!$A$2:$FZ$601,23,Sync!$C$10)&amp;"","")&amp;"; "&amp;IFERROR(INDEX(Clay_Offices!$A$2:$FZ$601,23,Sync!$C$9)&amp;"",""))</f>
        <v>touch_2; office-discovery-B; linkedin</v>
      </c>
      <c r="K2274" s="32" t="s">
        <v>1364</v>
      </c>
    </row>
    <row r="2275" customFormat="false" ht="15" hidden="false" customHeight="false" outlineLevel="0" collapsed="false">
      <c r="A2275" s="23" t="str">
        <f aca="false">IF(B2275="","",B2275+(13*1000+24)/10000000)</f>
        <v/>
      </c>
      <c r="B2275" s="35" t="str">
        <f aca="false">IF(AND(IFERROR(N(INDEX(Clay_Offices!$A$2:$FZ$601,24,Sync!$C$12)),0)&gt;0,IFERROR(INDEX(Clay_Offices!$A$2:$FZ$601,24,Sync!$C$5)&amp;"","")&lt;&gt;"",OR(LEFT(IFERROR(INDEX(Clay_Offices!$A$2:$FZ$601,24,Sync!$C$5)&amp;"",""),6)&lt;&gt;"SAMPLE",Config!$B$19="Y")),IFERROR(N(INDEX(Clay_Offices!$A$2:$FZ$601,24,Sync!$C$12)),0),"")</f>
        <v/>
      </c>
      <c r="C2275" s="23" t="str">
        <f aca="false">IF(B2275="","","office")</f>
        <v/>
      </c>
      <c r="D2275" s="23" t="str">
        <f aca="false">IF(B2275="","",IFERROR(INDEX(Office_Log!$ED$2:$ED$201,MATCH(IFERROR(INDEX(Clay_Offices!$A$2:$FZ$601,24,Sync!$C$5)&amp;"",""),Office_Log!$A$2:$A$201,0))&amp;"",IFERROR(INDEX(Clay_Offices!$A$2:$FZ$601,24,Sync!$C$5)&amp;"","")&amp;""))</f>
        <v/>
      </c>
      <c r="E2275" s="23" t="str">
        <f aca="false">IF(B2275="","",IFERROR(INDEX(Clay_Offices!$A$2:$FZ$601,24,Sync!$C$6)&amp;"",""))</f>
        <v/>
      </c>
      <c r="F2275" s="23" t="str">
        <f aca="false">IF(B2275="","","outreach_sent")</f>
        <v/>
      </c>
      <c r="G2275" s="23" t="str">
        <f aca="false">IF(B2275="","","")</f>
        <v/>
      </c>
      <c r="H2275" s="23" t="str">
        <f aca="false">IF(B2275="","","")</f>
        <v/>
      </c>
      <c r="I2275" s="23" t="str">
        <f aca="false">IF(B2275="","","")</f>
        <v/>
      </c>
      <c r="J2275" s="23" t="str">
        <f aca="false">IF(B2275="","","touch_2; "&amp;IFERROR(INDEX(Clay_Offices!$A$2:$FZ$601,24,Sync!$C$10)&amp;"","")&amp;"; "&amp;IFERROR(INDEX(Clay_Offices!$A$2:$FZ$601,24,Sync!$C$9)&amp;"",""))</f>
        <v/>
      </c>
      <c r="K2275" s="32" t="s">
        <v>1364</v>
      </c>
    </row>
    <row r="2276" customFormat="false" ht="15" hidden="false" customHeight="false" outlineLevel="0" collapsed="false">
      <c r="A2276" s="42" t="n">
        <f aca="false">IF(B2276="","",B2276+(13*1000+25)/10000000)</f>
        <v>46328.0013025</v>
      </c>
      <c r="B2276" s="35" t="n">
        <f aca="false">IF(AND(IFERROR(N(INDEX(Clay_Offices!$A$2:$FZ$601,25,Sync!$C$12)),0)&gt;0,IFERROR(INDEX(Clay_Offices!$A$2:$FZ$601,25,Sync!$C$5)&amp;"","")&lt;&gt;"",OR(LEFT(IFERROR(INDEX(Clay_Offices!$A$2:$FZ$601,25,Sync!$C$5)&amp;"",""),6)&lt;&gt;"SAMPLE",Config!$B$19="Y")),IFERROR(N(INDEX(Clay_Offices!$A$2:$FZ$601,25,Sync!$C$12)),0),"")</f>
        <v>46328</v>
      </c>
      <c r="C2276" s="23" t="str">
        <f aca="false">IF(B2276="","","office")</f>
        <v>office</v>
      </c>
      <c r="D2276" s="23" t="str">
        <f aca="false">IF(B2276="","",IFERROR(INDEX(Office_Log!$ED$2:$ED$201,MATCH(IFERROR(INDEX(Clay_Offices!$A$2:$FZ$601,25,Sync!$C$5)&amp;"",""),Office_Log!$A$2:$A$201,0))&amp;"",IFERROR(INDEX(Clay_Offices!$A$2:$FZ$601,25,Sync!$C$5)&amp;"","")&amp;""))</f>
        <v>SAMPLE-O-026</v>
      </c>
      <c r="E2276" s="23" t="str">
        <f aca="false">IF(B2276="","",IFERROR(INDEX(Clay_Offices!$A$2:$FZ$601,25,Sync!$C$6)&amp;"",""))</f>
        <v>SAMPLE Office 26</v>
      </c>
      <c r="F2276" s="23" t="str">
        <f aca="false">IF(B2276="","","outreach_sent")</f>
        <v>outreach_sent</v>
      </c>
      <c r="G2276" s="23" t="str">
        <f aca="false">IF(B2276="","","")</f>
        <v/>
      </c>
      <c r="H2276" s="23" t="str">
        <f aca="false">IF(B2276="","","")</f>
        <v/>
      </c>
      <c r="I2276" s="23" t="str">
        <f aca="false">IF(B2276="","","")</f>
        <v/>
      </c>
      <c r="J2276" s="23" t="str">
        <f aca="false">IF(B2276="","","touch_2; "&amp;IFERROR(INDEX(Clay_Offices!$A$2:$FZ$601,25,Sync!$C$10)&amp;"","")&amp;"; "&amp;IFERROR(INDEX(Clay_Offices!$A$2:$FZ$601,25,Sync!$C$9)&amp;"",""))</f>
        <v>touch_2; office-discovery-B; linkedin</v>
      </c>
      <c r="K2276" s="32" t="s">
        <v>1364</v>
      </c>
    </row>
    <row r="2277" customFormat="false" ht="15" hidden="false" customHeight="false" outlineLevel="0" collapsed="false">
      <c r="A2277" s="42" t="n">
        <f aca="false">IF(B2277="","",B2277+(13*1000+26)/10000000)</f>
        <v>46331.0013026</v>
      </c>
      <c r="B2277" s="35" t="n">
        <f aca="false">IF(AND(IFERROR(N(INDEX(Clay_Offices!$A$2:$FZ$601,26,Sync!$C$12)),0)&gt;0,IFERROR(INDEX(Clay_Offices!$A$2:$FZ$601,26,Sync!$C$5)&amp;"","")&lt;&gt;"",OR(LEFT(IFERROR(INDEX(Clay_Offices!$A$2:$FZ$601,26,Sync!$C$5)&amp;"",""),6)&lt;&gt;"SAMPLE",Config!$B$19="Y")),IFERROR(N(INDEX(Clay_Offices!$A$2:$FZ$601,26,Sync!$C$12)),0),"")</f>
        <v>46331</v>
      </c>
      <c r="C2277" s="23" t="str">
        <f aca="false">IF(B2277="","","office")</f>
        <v>office</v>
      </c>
      <c r="D2277" s="23" t="str">
        <f aca="false">IF(B2277="","",IFERROR(INDEX(Office_Log!$ED$2:$ED$201,MATCH(IFERROR(INDEX(Clay_Offices!$A$2:$FZ$601,26,Sync!$C$5)&amp;"",""),Office_Log!$A$2:$A$201,0))&amp;"",IFERROR(INDEX(Clay_Offices!$A$2:$FZ$601,26,Sync!$C$5)&amp;"","")&amp;""))</f>
        <v>SAMPLE-O-027</v>
      </c>
      <c r="E2277" s="23" t="str">
        <f aca="false">IF(B2277="","",IFERROR(INDEX(Clay_Offices!$A$2:$FZ$601,26,Sync!$C$6)&amp;"",""))</f>
        <v>SAMPLE Office 27</v>
      </c>
      <c r="F2277" s="23" t="str">
        <f aca="false">IF(B2277="","","outreach_sent")</f>
        <v>outreach_sent</v>
      </c>
      <c r="G2277" s="23" t="str">
        <f aca="false">IF(B2277="","","")</f>
        <v/>
      </c>
      <c r="H2277" s="23" t="str">
        <f aca="false">IF(B2277="","","")</f>
        <v/>
      </c>
      <c r="I2277" s="23" t="str">
        <f aca="false">IF(B2277="","","")</f>
        <v/>
      </c>
      <c r="J2277" s="23" t="str">
        <f aca="false">IF(B2277="","","touch_2; "&amp;IFERROR(INDEX(Clay_Offices!$A$2:$FZ$601,26,Sync!$C$10)&amp;"","")&amp;"; "&amp;IFERROR(INDEX(Clay_Offices!$A$2:$FZ$601,26,Sync!$C$9)&amp;"",""))</f>
        <v>touch_2; office-discovery-A; linkedin</v>
      </c>
      <c r="K2277" s="32" t="s">
        <v>1364</v>
      </c>
    </row>
    <row r="2278" customFormat="false" ht="15" hidden="false" customHeight="false" outlineLevel="0" collapsed="false">
      <c r="A2278" s="42" t="n">
        <f aca="false">IF(B2278="","",B2278+(13*1000+27)/10000000)</f>
        <v>46336.0013027</v>
      </c>
      <c r="B2278" s="35" t="n">
        <f aca="false">IF(AND(IFERROR(N(INDEX(Clay_Offices!$A$2:$FZ$601,27,Sync!$C$12)),0)&gt;0,IFERROR(INDEX(Clay_Offices!$A$2:$FZ$601,27,Sync!$C$5)&amp;"","")&lt;&gt;"",OR(LEFT(IFERROR(INDEX(Clay_Offices!$A$2:$FZ$601,27,Sync!$C$5)&amp;"",""),6)&lt;&gt;"SAMPLE",Config!$B$19="Y")),IFERROR(N(INDEX(Clay_Offices!$A$2:$FZ$601,27,Sync!$C$12)),0),"")</f>
        <v>46336</v>
      </c>
      <c r="C2278" s="23" t="str">
        <f aca="false">IF(B2278="","","office")</f>
        <v>office</v>
      </c>
      <c r="D2278" s="23" t="str">
        <f aca="false">IF(B2278="","",IFERROR(INDEX(Office_Log!$ED$2:$ED$201,MATCH(IFERROR(INDEX(Clay_Offices!$A$2:$FZ$601,27,Sync!$C$5)&amp;"",""),Office_Log!$A$2:$A$201,0))&amp;"",IFERROR(INDEX(Clay_Offices!$A$2:$FZ$601,27,Sync!$C$5)&amp;"","")&amp;""))</f>
        <v>SAMPLE-O-028</v>
      </c>
      <c r="E2278" s="23" t="str">
        <f aca="false">IF(B2278="","",IFERROR(INDEX(Clay_Offices!$A$2:$FZ$601,27,Sync!$C$6)&amp;"",""))</f>
        <v>SAMPLE Office 28</v>
      </c>
      <c r="F2278" s="23" t="str">
        <f aca="false">IF(B2278="","","outreach_sent")</f>
        <v>outreach_sent</v>
      </c>
      <c r="G2278" s="23" t="str">
        <f aca="false">IF(B2278="","","")</f>
        <v/>
      </c>
      <c r="H2278" s="23" t="str">
        <f aca="false">IF(B2278="","","")</f>
        <v/>
      </c>
      <c r="I2278" s="23" t="str">
        <f aca="false">IF(B2278="","","")</f>
        <v/>
      </c>
      <c r="J2278" s="23" t="str">
        <f aca="false">IF(B2278="","","touch_2; "&amp;IFERROR(INDEX(Clay_Offices!$A$2:$FZ$601,27,Sync!$C$10)&amp;"","")&amp;"; "&amp;IFERROR(INDEX(Clay_Offices!$A$2:$FZ$601,27,Sync!$C$9)&amp;"",""))</f>
        <v>touch_2; office-discovery-B; linkedin</v>
      </c>
      <c r="K2278" s="32" t="s">
        <v>1364</v>
      </c>
    </row>
    <row r="2279" customFormat="false" ht="15" hidden="false" customHeight="false" outlineLevel="0" collapsed="false">
      <c r="A2279" s="42" t="n">
        <f aca="false">IF(B2279="","",B2279+(13*1000+28)/10000000)</f>
        <v>46342.0013028</v>
      </c>
      <c r="B2279" s="35" t="n">
        <f aca="false">IF(AND(IFERROR(N(INDEX(Clay_Offices!$A$2:$FZ$601,28,Sync!$C$12)),0)&gt;0,IFERROR(INDEX(Clay_Offices!$A$2:$FZ$601,28,Sync!$C$5)&amp;"","")&lt;&gt;"",OR(LEFT(IFERROR(INDEX(Clay_Offices!$A$2:$FZ$601,28,Sync!$C$5)&amp;"",""),6)&lt;&gt;"SAMPLE",Config!$B$19="Y")),IFERROR(N(INDEX(Clay_Offices!$A$2:$FZ$601,28,Sync!$C$12)),0),"")</f>
        <v>46342</v>
      </c>
      <c r="C2279" s="23" t="str">
        <f aca="false">IF(B2279="","","office")</f>
        <v>office</v>
      </c>
      <c r="D2279" s="23" t="str">
        <f aca="false">IF(B2279="","",IFERROR(INDEX(Office_Log!$ED$2:$ED$201,MATCH(IFERROR(INDEX(Clay_Offices!$A$2:$FZ$601,28,Sync!$C$5)&amp;"",""),Office_Log!$A$2:$A$201,0))&amp;"",IFERROR(INDEX(Clay_Offices!$A$2:$FZ$601,28,Sync!$C$5)&amp;"","")&amp;""))</f>
        <v>SAMPLE-O-029</v>
      </c>
      <c r="E2279" s="23" t="str">
        <f aca="false">IF(B2279="","",IFERROR(INDEX(Clay_Offices!$A$2:$FZ$601,28,Sync!$C$6)&amp;"",""))</f>
        <v>SAMPLE Office 29</v>
      </c>
      <c r="F2279" s="23" t="str">
        <f aca="false">IF(B2279="","","outreach_sent")</f>
        <v>outreach_sent</v>
      </c>
      <c r="G2279" s="23" t="str">
        <f aca="false">IF(B2279="","","")</f>
        <v/>
      </c>
      <c r="H2279" s="23" t="str">
        <f aca="false">IF(B2279="","","")</f>
        <v/>
      </c>
      <c r="I2279" s="23" t="str">
        <f aca="false">IF(B2279="","","")</f>
        <v/>
      </c>
      <c r="J2279" s="23" t="str">
        <f aca="false">IF(B2279="","","touch_2; "&amp;IFERROR(INDEX(Clay_Offices!$A$2:$FZ$601,28,Sync!$C$10)&amp;"","")&amp;"; "&amp;IFERROR(INDEX(Clay_Offices!$A$2:$FZ$601,28,Sync!$C$9)&amp;"",""))</f>
        <v>touch_2; office-discovery-A; email</v>
      </c>
      <c r="K2279" s="32" t="s">
        <v>1364</v>
      </c>
    </row>
    <row r="2280" customFormat="false" ht="15" hidden="false" customHeight="false" outlineLevel="0" collapsed="false">
      <c r="A2280" s="23" t="str">
        <f aca="false">IF(B2280="","",B2280+(13*1000+29)/10000000)</f>
        <v/>
      </c>
      <c r="B2280" s="35" t="str">
        <f aca="false">IF(AND(IFERROR(N(INDEX(Clay_Offices!$A$2:$FZ$601,29,Sync!$C$12)),0)&gt;0,IFERROR(INDEX(Clay_Offices!$A$2:$FZ$601,29,Sync!$C$5)&amp;"","")&lt;&gt;"",OR(LEFT(IFERROR(INDEX(Clay_Offices!$A$2:$FZ$601,29,Sync!$C$5)&amp;"",""),6)&lt;&gt;"SAMPLE",Config!$B$19="Y")),IFERROR(N(INDEX(Clay_Offices!$A$2:$FZ$601,29,Sync!$C$12)),0),"")</f>
        <v/>
      </c>
      <c r="C2280" s="23" t="str">
        <f aca="false">IF(B2280="","","office")</f>
        <v/>
      </c>
      <c r="D2280" s="23" t="str">
        <f aca="false">IF(B2280="","",IFERROR(INDEX(Office_Log!$ED$2:$ED$201,MATCH(IFERROR(INDEX(Clay_Offices!$A$2:$FZ$601,29,Sync!$C$5)&amp;"",""),Office_Log!$A$2:$A$201,0))&amp;"",IFERROR(INDEX(Clay_Offices!$A$2:$FZ$601,29,Sync!$C$5)&amp;"","")&amp;""))</f>
        <v/>
      </c>
      <c r="E2280" s="23" t="str">
        <f aca="false">IF(B2280="","",IFERROR(INDEX(Clay_Offices!$A$2:$FZ$601,29,Sync!$C$6)&amp;"",""))</f>
        <v/>
      </c>
      <c r="F2280" s="23" t="str">
        <f aca="false">IF(B2280="","","outreach_sent")</f>
        <v/>
      </c>
      <c r="G2280" s="23" t="str">
        <f aca="false">IF(B2280="","","")</f>
        <v/>
      </c>
      <c r="H2280" s="23" t="str">
        <f aca="false">IF(B2280="","","")</f>
        <v/>
      </c>
      <c r="I2280" s="23" t="str">
        <f aca="false">IF(B2280="","","")</f>
        <v/>
      </c>
      <c r="J2280" s="23" t="str">
        <f aca="false">IF(B2280="","","touch_2; "&amp;IFERROR(INDEX(Clay_Offices!$A$2:$FZ$601,29,Sync!$C$10)&amp;"","")&amp;"; "&amp;IFERROR(INDEX(Clay_Offices!$A$2:$FZ$601,29,Sync!$C$9)&amp;"",""))</f>
        <v/>
      </c>
      <c r="K2280" s="32" t="s">
        <v>1364</v>
      </c>
    </row>
    <row r="2281" customFormat="false" ht="15" hidden="false" customHeight="false" outlineLevel="0" collapsed="false">
      <c r="A2281" s="42" t="n">
        <f aca="false">IF(B2281="","",B2281+(13*1000+30)/10000000)</f>
        <v>46350.001303</v>
      </c>
      <c r="B2281" s="35" t="n">
        <f aca="false">IF(AND(IFERROR(N(INDEX(Clay_Offices!$A$2:$FZ$601,30,Sync!$C$12)),0)&gt;0,IFERROR(INDEX(Clay_Offices!$A$2:$FZ$601,30,Sync!$C$5)&amp;"","")&lt;&gt;"",OR(LEFT(IFERROR(INDEX(Clay_Offices!$A$2:$FZ$601,30,Sync!$C$5)&amp;"",""),6)&lt;&gt;"SAMPLE",Config!$B$19="Y")),IFERROR(N(INDEX(Clay_Offices!$A$2:$FZ$601,30,Sync!$C$12)),0),"")</f>
        <v>46350</v>
      </c>
      <c r="C2281" s="23" t="str">
        <f aca="false">IF(B2281="","","office")</f>
        <v>office</v>
      </c>
      <c r="D2281" s="23" t="str">
        <f aca="false">IF(B2281="","",IFERROR(INDEX(Office_Log!$ED$2:$ED$201,MATCH(IFERROR(INDEX(Clay_Offices!$A$2:$FZ$601,30,Sync!$C$5)&amp;"",""),Office_Log!$A$2:$A$201,0))&amp;"",IFERROR(INDEX(Clay_Offices!$A$2:$FZ$601,30,Sync!$C$5)&amp;"","")&amp;""))</f>
        <v>SAMPLE-O-031</v>
      </c>
      <c r="E2281" s="23" t="str">
        <f aca="false">IF(B2281="","",IFERROR(INDEX(Clay_Offices!$A$2:$FZ$601,30,Sync!$C$6)&amp;"",""))</f>
        <v>SAMPLE Office 31</v>
      </c>
      <c r="F2281" s="23" t="str">
        <f aca="false">IF(B2281="","","outreach_sent")</f>
        <v>outreach_sent</v>
      </c>
      <c r="G2281" s="23" t="str">
        <f aca="false">IF(B2281="","","")</f>
        <v/>
      </c>
      <c r="H2281" s="23" t="str">
        <f aca="false">IF(B2281="","","")</f>
        <v/>
      </c>
      <c r="I2281" s="23" t="str">
        <f aca="false">IF(B2281="","","")</f>
        <v/>
      </c>
      <c r="J2281" s="23" t="str">
        <f aca="false">IF(B2281="","","touch_2; "&amp;IFERROR(INDEX(Clay_Offices!$A$2:$FZ$601,30,Sync!$C$10)&amp;"","")&amp;"; "&amp;IFERROR(INDEX(Clay_Offices!$A$2:$FZ$601,30,Sync!$C$9)&amp;"",""))</f>
        <v>touch_2; office-discovery-A; email</v>
      </c>
      <c r="K2281" s="32" t="s">
        <v>1364</v>
      </c>
    </row>
    <row r="2282" customFormat="false" ht="15" hidden="false" customHeight="false" outlineLevel="0" collapsed="false">
      <c r="A2282" s="42" t="n">
        <f aca="false">IF(B2282="","",B2282+(13*1000+31)/10000000)</f>
        <v>46325.0013031</v>
      </c>
      <c r="B2282" s="35" t="n">
        <f aca="false">IF(AND(IFERROR(N(INDEX(Clay_Offices!$A$2:$FZ$601,31,Sync!$C$12)),0)&gt;0,IFERROR(INDEX(Clay_Offices!$A$2:$FZ$601,31,Sync!$C$5)&amp;"","")&lt;&gt;"",OR(LEFT(IFERROR(INDEX(Clay_Offices!$A$2:$FZ$601,31,Sync!$C$5)&amp;"",""),6)&lt;&gt;"SAMPLE",Config!$B$19="Y")),IFERROR(N(INDEX(Clay_Offices!$A$2:$FZ$601,31,Sync!$C$12)),0),"")</f>
        <v>46325</v>
      </c>
      <c r="C2282" s="23" t="str">
        <f aca="false">IF(B2282="","","office")</f>
        <v>office</v>
      </c>
      <c r="D2282" s="23" t="str">
        <f aca="false">IF(B2282="","",IFERROR(INDEX(Office_Log!$ED$2:$ED$201,MATCH(IFERROR(INDEX(Clay_Offices!$A$2:$FZ$601,31,Sync!$C$5)&amp;"",""),Office_Log!$A$2:$A$201,0))&amp;"",IFERROR(INDEX(Clay_Offices!$A$2:$FZ$601,31,Sync!$C$5)&amp;"","")&amp;""))</f>
        <v>SAMPLE-O-032</v>
      </c>
      <c r="E2282" s="23" t="str">
        <f aca="false">IF(B2282="","",IFERROR(INDEX(Clay_Offices!$A$2:$FZ$601,31,Sync!$C$6)&amp;"",""))</f>
        <v>SAMPLE Office 32</v>
      </c>
      <c r="F2282" s="23" t="str">
        <f aca="false">IF(B2282="","","outreach_sent")</f>
        <v>outreach_sent</v>
      </c>
      <c r="G2282" s="23" t="str">
        <f aca="false">IF(B2282="","","")</f>
        <v/>
      </c>
      <c r="H2282" s="23" t="str">
        <f aca="false">IF(B2282="","","")</f>
        <v/>
      </c>
      <c r="I2282" s="23" t="str">
        <f aca="false">IF(B2282="","","")</f>
        <v/>
      </c>
      <c r="J2282" s="23" t="str">
        <f aca="false">IF(B2282="","","touch_2; "&amp;IFERROR(INDEX(Clay_Offices!$A$2:$FZ$601,31,Sync!$C$10)&amp;"","")&amp;"; "&amp;IFERROR(INDEX(Clay_Offices!$A$2:$FZ$601,31,Sync!$C$9)&amp;"",""))</f>
        <v>touch_2; office-discovery-B; linkedin</v>
      </c>
      <c r="K2282" s="32" t="s">
        <v>1364</v>
      </c>
    </row>
    <row r="2283" customFormat="false" ht="15" hidden="false" customHeight="false" outlineLevel="0" collapsed="false">
      <c r="A2283" s="42" t="n">
        <f aca="false">IF(B2283="","",B2283+(13*1000+32)/10000000)</f>
        <v>46330.0013032</v>
      </c>
      <c r="B2283" s="35" t="n">
        <f aca="false">IF(AND(IFERROR(N(INDEX(Clay_Offices!$A$2:$FZ$601,32,Sync!$C$12)),0)&gt;0,IFERROR(INDEX(Clay_Offices!$A$2:$FZ$601,32,Sync!$C$5)&amp;"","")&lt;&gt;"",OR(LEFT(IFERROR(INDEX(Clay_Offices!$A$2:$FZ$601,32,Sync!$C$5)&amp;"",""),6)&lt;&gt;"SAMPLE",Config!$B$19="Y")),IFERROR(N(INDEX(Clay_Offices!$A$2:$FZ$601,32,Sync!$C$12)),0),"")</f>
        <v>46330</v>
      </c>
      <c r="C2283" s="23" t="str">
        <f aca="false">IF(B2283="","","office")</f>
        <v>office</v>
      </c>
      <c r="D2283" s="23" t="str">
        <f aca="false">IF(B2283="","",IFERROR(INDEX(Office_Log!$ED$2:$ED$201,MATCH(IFERROR(INDEX(Clay_Offices!$A$2:$FZ$601,32,Sync!$C$5)&amp;"",""),Office_Log!$A$2:$A$201,0))&amp;"",IFERROR(INDEX(Clay_Offices!$A$2:$FZ$601,32,Sync!$C$5)&amp;"","")&amp;""))</f>
        <v>SAMPLE-O-033</v>
      </c>
      <c r="E2283" s="23" t="str">
        <f aca="false">IF(B2283="","",IFERROR(INDEX(Clay_Offices!$A$2:$FZ$601,32,Sync!$C$6)&amp;"",""))</f>
        <v>SAMPLE Office 33</v>
      </c>
      <c r="F2283" s="23" t="str">
        <f aca="false">IF(B2283="","","outreach_sent")</f>
        <v>outreach_sent</v>
      </c>
      <c r="G2283" s="23" t="str">
        <f aca="false">IF(B2283="","","")</f>
        <v/>
      </c>
      <c r="H2283" s="23" t="str">
        <f aca="false">IF(B2283="","","")</f>
        <v/>
      </c>
      <c r="I2283" s="23" t="str">
        <f aca="false">IF(B2283="","","")</f>
        <v/>
      </c>
      <c r="J2283" s="23" t="str">
        <f aca="false">IF(B2283="","","touch_2; "&amp;IFERROR(INDEX(Clay_Offices!$A$2:$FZ$601,32,Sync!$C$10)&amp;"","")&amp;"; "&amp;IFERROR(INDEX(Clay_Offices!$A$2:$FZ$601,32,Sync!$C$9)&amp;"",""))</f>
        <v>touch_2; office-discovery-A; linkedin</v>
      </c>
      <c r="K2283" s="32" t="s">
        <v>1364</v>
      </c>
    </row>
    <row r="2284" customFormat="false" ht="15" hidden="false" customHeight="false" outlineLevel="0" collapsed="false">
      <c r="A2284" s="42" t="n">
        <f aca="false">IF(B2284="","",B2284+(13*1000+33)/10000000)</f>
        <v>46335.0013033</v>
      </c>
      <c r="B2284" s="35" t="n">
        <f aca="false">IF(AND(IFERROR(N(INDEX(Clay_Offices!$A$2:$FZ$601,33,Sync!$C$12)),0)&gt;0,IFERROR(INDEX(Clay_Offices!$A$2:$FZ$601,33,Sync!$C$5)&amp;"","")&lt;&gt;"",OR(LEFT(IFERROR(INDEX(Clay_Offices!$A$2:$FZ$601,33,Sync!$C$5)&amp;"",""),6)&lt;&gt;"SAMPLE",Config!$B$19="Y")),IFERROR(N(INDEX(Clay_Offices!$A$2:$FZ$601,33,Sync!$C$12)),0),"")</f>
        <v>46335</v>
      </c>
      <c r="C2284" s="23" t="str">
        <f aca="false">IF(B2284="","","office")</f>
        <v>office</v>
      </c>
      <c r="D2284" s="23" t="str">
        <f aca="false">IF(B2284="","",IFERROR(INDEX(Office_Log!$ED$2:$ED$201,MATCH(IFERROR(INDEX(Clay_Offices!$A$2:$FZ$601,33,Sync!$C$5)&amp;"",""),Office_Log!$A$2:$A$201,0))&amp;"",IFERROR(INDEX(Clay_Offices!$A$2:$FZ$601,33,Sync!$C$5)&amp;"","")&amp;""))</f>
        <v>SAMPLE-O-034</v>
      </c>
      <c r="E2284" s="23" t="str">
        <f aca="false">IF(B2284="","",IFERROR(INDEX(Clay_Offices!$A$2:$FZ$601,33,Sync!$C$6)&amp;"",""))</f>
        <v>SAMPLE Office 34</v>
      </c>
      <c r="F2284" s="23" t="str">
        <f aca="false">IF(B2284="","","outreach_sent")</f>
        <v>outreach_sent</v>
      </c>
      <c r="G2284" s="23" t="str">
        <f aca="false">IF(B2284="","","")</f>
        <v/>
      </c>
      <c r="H2284" s="23" t="str">
        <f aca="false">IF(B2284="","","")</f>
        <v/>
      </c>
      <c r="I2284" s="23" t="str">
        <f aca="false">IF(B2284="","","")</f>
        <v/>
      </c>
      <c r="J2284" s="23" t="str">
        <f aca="false">IF(B2284="","","touch_2; "&amp;IFERROR(INDEX(Clay_Offices!$A$2:$FZ$601,33,Sync!$C$10)&amp;"","")&amp;"; "&amp;IFERROR(INDEX(Clay_Offices!$A$2:$FZ$601,33,Sync!$C$9)&amp;"",""))</f>
        <v>touch_2; office-discovery-B; linkedin</v>
      </c>
      <c r="K2284" s="32" t="s">
        <v>1364</v>
      </c>
    </row>
    <row r="2285" customFormat="false" ht="15" hidden="false" customHeight="false" outlineLevel="0" collapsed="false">
      <c r="A2285" s="23" t="str">
        <f aca="false">IF(B2285="","",B2285+(13*1000+34)/10000000)</f>
        <v/>
      </c>
      <c r="B2285" s="35" t="str">
        <f aca="false">IF(AND(IFERROR(N(INDEX(Clay_Offices!$A$2:$FZ$601,34,Sync!$C$12)),0)&gt;0,IFERROR(INDEX(Clay_Offices!$A$2:$FZ$601,34,Sync!$C$5)&amp;"","")&lt;&gt;"",OR(LEFT(IFERROR(INDEX(Clay_Offices!$A$2:$FZ$601,34,Sync!$C$5)&amp;"",""),6)&lt;&gt;"SAMPLE",Config!$B$19="Y")),IFERROR(N(INDEX(Clay_Offices!$A$2:$FZ$601,34,Sync!$C$12)),0),"")</f>
        <v/>
      </c>
      <c r="C2285" s="23" t="str">
        <f aca="false">IF(B2285="","","office")</f>
        <v/>
      </c>
      <c r="D2285" s="23" t="str">
        <f aca="false">IF(B2285="","",IFERROR(INDEX(Office_Log!$ED$2:$ED$201,MATCH(IFERROR(INDEX(Clay_Offices!$A$2:$FZ$601,34,Sync!$C$5)&amp;"",""),Office_Log!$A$2:$A$201,0))&amp;"",IFERROR(INDEX(Clay_Offices!$A$2:$FZ$601,34,Sync!$C$5)&amp;"","")&amp;""))</f>
        <v/>
      </c>
      <c r="E2285" s="23" t="str">
        <f aca="false">IF(B2285="","",IFERROR(INDEX(Clay_Offices!$A$2:$FZ$601,34,Sync!$C$6)&amp;"",""))</f>
        <v/>
      </c>
      <c r="F2285" s="23" t="str">
        <f aca="false">IF(B2285="","","outreach_sent")</f>
        <v/>
      </c>
      <c r="G2285" s="23" t="str">
        <f aca="false">IF(B2285="","","")</f>
        <v/>
      </c>
      <c r="H2285" s="23" t="str">
        <f aca="false">IF(B2285="","","")</f>
        <v/>
      </c>
      <c r="I2285" s="23" t="str">
        <f aca="false">IF(B2285="","","")</f>
        <v/>
      </c>
      <c r="J2285" s="23" t="str">
        <f aca="false">IF(B2285="","","touch_2; "&amp;IFERROR(INDEX(Clay_Offices!$A$2:$FZ$601,34,Sync!$C$10)&amp;"","")&amp;"; "&amp;IFERROR(INDEX(Clay_Offices!$A$2:$FZ$601,34,Sync!$C$9)&amp;"",""))</f>
        <v/>
      </c>
      <c r="K2285" s="32" t="s">
        <v>1364</v>
      </c>
    </row>
    <row r="2286" customFormat="false" ht="15" hidden="false" customHeight="false" outlineLevel="0" collapsed="false">
      <c r="A2286" s="42" t="n">
        <f aca="false">IF(B2286="","",B2286+(13*1000+35)/10000000)</f>
        <v>46344.0013035</v>
      </c>
      <c r="B2286" s="35" t="n">
        <f aca="false">IF(AND(IFERROR(N(INDEX(Clay_Offices!$A$2:$FZ$601,35,Sync!$C$12)),0)&gt;0,IFERROR(INDEX(Clay_Offices!$A$2:$FZ$601,35,Sync!$C$5)&amp;"","")&lt;&gt;"",OR(LEFT(IFERROR(INDEX(Clay_Offices!$A$2:$FZ$601,35,Sync!$C$5)&amp;"",""),6)&lt;&gt;"SAMPLE",Config!$B$19="Y")),IFERROR(N(INDEX(Clay_Offices!$A$2:$FZ$601,35,Sync!$C$12)),0),"")</f>
        <v>46344</v>
      </c>
      <c r="C2286" s="23" t="str">
        <f aca="false">IF(B2286="","","office")</f>
        <v>office</v>
      </c>
      <c r="D2286" s="23" t="str">
        <f aca="false">IF(B2286="","",IFERROR(INDEX(Office_Log!$ED$2:$ED$201,MATCH(IFERROR(INDEX(Clay_Offices!$A$2:$FZ$601,35,Sync!$C$5)&amp;"",""),Office_Log!$A$2:$A$201,0))&amp;"",IFERROR(INDEX(Clay_Offices!$A$2:$FZ$601,35,Sync!$C$5)&amp;"","")&amp;""))</f>
        <v>SAMPLE-O-036</v>
      </c>
      <c r="E2286" s="23" t="str">
        <f aca="false">IF(B2286="","",IFERROR(INDEX(Clay_Offices!$A$2:$FZ$601,35,Sync!$C$6)&amp;"",""))</f>
        <v>SAMPLE Office 36</v>
      </c>
      <c r="F2286" s="23" t="str">
        <f aca="false">IF(B2286="","","outreach_sent")</f>
        <v>outreach_sent</v>
      </c>
      <c r="G2286" s="23" t="str">
        <f aca="false">IF(B2286="","","")</f>
        <v/>
      </c>
      <c r="H2286" s="23" t="str">
        <f aca="false">IF(B2286="","","")</f>
        <v/>
      </c>
      <c r="I2286" s="23" t="str">
        <f aca="false">IF(B2286="","","")</f>
        <v/>
      </c>
      <c r="J2286" s="23" t="str">
        <f aca="false">IF(B2286="","","touch_2; "&amp;IFERROR(INDEX(Clay_Offices!$A$2:$FZ$601,35,Sync!$C$10)&amp;"","")&amp;"; "&amp;IFERROR(INDEX(Clay_Offices!$A$2:$FZ$601,35,Sync!$C$9)&amp;"",""))</f>
        <v>touch_2; office-discovery-B; linkedin</v>
      </c>
      <c r="K2286" s="32" t="s">
        <v>1364</v>
      </c>
    </row>
    <row r="2287" customFormat="false" ht="15" hidden="false" customHeight="false" outlineLevel="0" collapsed="false">
      <c r="A2287" s="42" t="n">
        <f aca="false">IF(B2287="","",B2287+(13*1000+36)/10000000)</f>
        <v>46349.0013036</v>
      </c>
      <c r="B2287" s="35" t="n">
        <f aca="false">IF(AND(IFERROR(N(INDEX(Clay_Offices!$A$2:$FZ$601,36,Sync!$C$12)),0)&gt;0,IFERROR(INDEX(Clay_Offices!$A$2:$FZ$601,36,Sync!$C$5)&amp;"","")&lt;&gt;"",OR(LEFT(IFERROR(INDEX(Clay_Offices!$A$2:$FZ$601,36,Sync!$C$5)&amp;"",""),6)&lt;&gt;"SAMPLE",Config!$B$19="Y")),IFERROR(N(INDEX(Clay_Offices!$A$2:$FZ$601,36,Sync!$C$12)),0),"")</f>
        <v>46349</v>
      </c>
      <c r="C2287" s="23" t="str">
        <f aca="false">IF(B2287="","","office")</f>
        <v>office</v>
      </c>
      <c r="D2287" s="23" t="str">
        <f aca="false">IF(B2287="","",IFERROR(INDEX(Office_Log!$ED$2:$ED$201,MATCH(IFERROR(INDEX(Clay_Offices!$A$2:$FZ$601,36,Sync!$C$5)&amp;"",""),Office_Log!$A$2:$A$201,0))&amp;"",IFERROR(INDEX(Clay_Offices!$A$2:$FZ$601,36,Sync!$C$5)&amp;"","")&amp;""))</f>
        <v>SAMPLE-O-037</v>
      </c>
      <c r="E2287" s="23" t="str">
        <f aca="false">IF(B2287="","",IFERROR(INDEX(Clay_Offices!$A$2:$FZ$601,36,Sync!$C$6)&amp;"",""))</f>
        <v>SAMPLE Office 37</v>
      </c>
      <c r="F2287" s="23" t="str">
        <f aca="false">IF(B2287="","","outreach_sent")</f>
        <v>outreach_sent</v>
      </c>
      <c r="G2287" s="23" t="str">
        <f aca="false">IF(B2287="","","")</f>
        <v/>
      </c>
      <c r="H2287" s="23" t="str">
        <f aca="false">IF(B2287="","","")</f>
        <v/>
      </c>
      <c r="I2287" s="23" t="str">
        <f aca="false">IF(B2287="","","")</f>
        <v/>
      </c>
      <c r="J2287" s="23" t="str">
        <f aca="false">IF(B2287="","","touch_2; "&amp;IFERROR(INDEX(Clay_Offices!$A$2:$FZ$601,36,Sync!$C$10)&amp;"","")&amp;"; "&amp;IFERROR(INDEX(Clay_Offices!$A$2:$FZ$601,36,Sync!$C$9)&amp;"",""))</f>
        <v>touch_2; office-discovery-A; email</v>
      </c>
      <c r="K2287" s="32" t="s">
        <v>1364</v>
      </c>
    </row>
    <row r="2288" customFormat="false" ht="15" hidden="false" customHeight="false" outlineLevel="0" collapsed="false">
      <c r="A2288" s="42" t="n">
        <f aca="false">IF(B2288="","",B2288+(13*1000+37)/10000000)</f>
        <v>46324.0013037</v>
      </c>
      <c r="B2288" s="35" t="n">
        <f aca="false">IF(AND(IFERROR(N(INDEX(Clay_Offices!$A$2:$FZ$601,37,Sync!$C$12)),0)&gt;0,IFERROR(INDEX(Clay_Offices!$A$2:$FZ$601,37,Sync!$C$5)&amp;"","")&lt;&gt;"",OR(LEFT(IFERROR(INDEX(Clay_Offices!$A$2:$FZ$601,37,Sync!$C$5)&amp;"",""),6)&lt;&gt;"SAMPLE",Config!$B$19="Y")),IFERROR(N(INDEX(Clay_Offices!$A$2:$FZ$601,37,Sync!$C$12)),0),"")</f>
        <v>46324</v>
      </c>
      <c r="C2288" s="23" t="str">
        <f aca="false">IF(B2288="","","office")</f>
        <v>office</v>
      </c>
      <c r="D2288" s="23" t="str">
        <f aca="false">IF(B2288="","",IFERROR(INDEX(Office_Log!$ED$2:$ED$201,MATCH(IFERROR(INDEX(Clay_Offices!$A$2:$FZ$601,37,Sync!$C$5)&amp;"",""),Office_Log!$A$2:$A$201,0))&amp;"",IFERROR(INDEX(Clay_Offices!$A$2:$FZ$601,37,Sync!$C$5)&amp;"","")&amp;""))</f>
        <v>SAMPLE-O-038</v>
      </c>
      <c r="E2288" s="23" t="str">
        <f aca="false">IF(B2288="","",IFERROR(INDEX(Clay_Offices!$A$2:$FZ$601,37,Sync!$C$6)&amp;"",""))</f>
        <v>SAMPLE Office 38</v>
      </c>
      <c r="F2288" s="23" t="str">
        <f aca="false">IF(B2288="","","outreach_sent")</f>
        <v>outreach_sent</v>
      </c>
      <c r="G2288" s="23" t="str">
        <f aca="false">IF(B2288="","","")</f>
        <v/>
      </c>
      <c r="H2288" s="23" t="str">
        <f aca="false">IF(B2288="","","")</f>
        <v/>
      </c>
      <c r="I2288" s="23" t="str">
        <f aca="false">IF(B2288="","","")</f>
        <v/>
      </c>
      <c r="J2288" s="23" t="str">
        <f aca="false">IF(B2288="","","touch_2; "&amp;IFERROR(INDEX(Clay_Offices!$A$2:$FZ$601,37,Sync!$C$10)&amp;"","")&amp;"; "&amp;IFERROR(INDEX(Clay_Offices!$A$2:$FZ$601,37,Sync!$C$9)&amp;"",""))</f>
        <v>touch_2; office-discovery-B; linkedin</v>
      </c>
      <c r="K2288" s="32" t="s">
        <v>1364</v>
      </c>
    </row>
    <row r="2289" customFormat="false" ht="15" hidden="false" customHeight="false" outlineLevel="0" collapsed="false">
      <c r="A2289" s="42" t="n">
        <f aca="false">IF(B2289="","",B2289+(13*1000+38)/10000000)</f>
        <v>46329.0013038</v>
      </c>
      <c r="B2289" s="35" t="n">
        <f aca="false">IF(AND(IFERROR(N(INDEX(Clay_Offices!$A$2:$FZ$601,38,Sync!$C$12)),0)&gt;0,IFERROR(INDEX(Clay_Offices!$A$2:$FZ$601,38,Sync!$C$5)&amp;"","")&lt;&gt;"",OR(LEFT(IFERROR(INDEX(Clay_Offices!$A$2:$FZ$601,38,Sync!$C$5)&amp;"",""),6)&lt;&gt;"SAMPLE",Config!$B$19="Y")),IFERROR(N(INDEX(Clay_Offices!$A$2:$FZ$601,38,Sync!$C$12)),0),"")</f>
        <v>46329</v>
      </c>
      <c r="C2289" s="23" t="str">
        <f aca="false">IF(B2289="","","office")</f>
        <v>office</v>
      </c>
      <c r="D2289" s="23" t="str">
        <f aca="false">IF(B2289="","",IFERROR(INDEX(Office_Log!$ED$2:$ED$201,MATCH(IFERROR(INDEX(Clay_Offices!$A$2:$FZ$601,38,Sync!$C$5)&amp;"",""),Office_Log!$A$2:$A$201,0))&amp;"",IFERROR(INDEX(Clay_Offices!$A$2:$FZ$601,38,Sync!$C$5)&amp;"","")&amp;""))</f>
        <v>SAMPLE-O-039</v>
      </c>
      <c r="E2289" s="23" t="str">
        <f aca="false">IF(B2289="","",IFERROR(INDEX(Clay_Offices!$A$2:$FZ$601,38,Sync!$C$6)&amp;"",""))</f>
        <v>SAMPLE Office 39</v>
      </c>
      <c r="F2289" s="23" t="str">
        <f aca="false">IF(B2289="","","outreach_sent")</f>
        <v>outreach_sent</v>
      </c>
      <c r="G2289" s="23" t="str">
        <f aca="false">IF(B2289="","","")</f>
        <v/>
      </c>
      <c r="H2289" s="23" t="str">
        <f aca="false">IF(B2289="","","")</f>
        <v/>
      </c>
      <c r="I2289" s="23" t="str">
        <f aca="false">IF(B2289="","","")</f>
        <v/>
      </c>
      <c r="J2289" s="23" t="str">
        <f aca="false">IF(B2289="","","touch_2; "&amp;IFERROR(INDEX(Clay_Offices!$A$2:$FZ$601,38,Sync!$C$10)&amp;"","")&amp;"; "&amp;IFERROR(INDEX(Clay_Offices!$A$2:$FZ$601,38,Sync!$C$9)&amp;"",""))</f>
        <v>touch_2; office-discovery-A; linkedin</v>
      </c>
      <c r="K2289" s="32" t="s">
        <v>1364</v>
      </c>
    </row>
    <row r="2290" customFormat="false" ht="15" hidden="false" customHeight="false" outlineLevel="0" collapsed="false">
      <c r="A2290" s="23" t="str">
        <f aca="false">IF(B2290="","",B2290+(13*1000+39)/10000000)</f>
        <v/>
      </c>
      <c r="B2290" s="35" t="str">
        <f aca="false">IF(AND(IFERROR(N(INDEX(Clay_Offices!$A$2:$FZ$601,39,Sync!$C$12)),0)&gt;0,IFERROR(INDEX(Clay_Offices!$A$2:$FZ$601,39,Sync!$C$5)&amp;"","")&lt;&gt;"",OR(LEFT(IFERROR(INDEX(Clay_Offices!$A$2:$FZ$601,39,Sync!$C$5)&amp;"",""),6)&lt;&gt;"SAMPLE",Config!$B$19="Y")),IFERROR(N(INDEX(Clay_Offices!$A$2:$FZ$601,39,Sync!$C$12)),0),"")</f>
        <v/>
      </c>
      <c r="C2290" s="23" t="str">
        <f aca="false">IF(B2290="","","office")</f>
        <v/>
      </c>
      <c r="D2290" s="23" t="str">
        <f aca="false">IF(B2290="","",IFERROR(INDEX(Office_Log!$ED$2:$ED$201,MATCH(IFERROR(INDEX(Clay_Offices!$A$2:$FZ$601,39,Sync!$C$5)&amp;"",""),Office_Log!$A$2:$A$201,0))&amp;"",IFERROR(INDEX(Clay_Offices!$A$2:$FZ$601,39,Sync!$C$5)&amp;"","")&amp;""))</f>
        <v/>
      </c>
      <c r="E2290" s="23" t="str">
        <f aca="false">IF(B2290="","",IFERROR(INDEX(Clay_Offices!$A$2:$FZ$601,39,Sync!$C$6)&amp;"",""))</f>
        <v/>
      </c>
      <c r="F2290" s="23" t="str">
        <f aca="false">IF(B2290="","","outreach_sent")</f>
        <v/>
      </c>
      <c r="G2290" s="23" t="str">
        <f aca="false">IF(B2290="","","")</f>
        <v/>
      </c>
      <c r="H2290" s="23" t="str">
        <f aca="false">IF(B2290="","","")</f>
        <v/>
      </c>
      <c r="I2290" s="23" t="str">
        <f aca="false">IF(B2290="","","")</f>
        <v/>
      </c>
      <c r="J2290" s="23" t="str">
        <f aca="false">IF(B2290="","","touch_2; "&amp;IFERROR(INDEX(Clay_Offices!$A$2:$FZ$601,39,Sync!$C$10)&amp;"","")&amp;"; "&amp;IFERROR(INDEX(Clay_Offices!$A$2:$FZ$601,39,Sync!$C$9)&amp;"",""))</f>
        <v/>
      </c>
      <c r="K2290" s="32" t="s">
        <v>1364</v>
      </c>
    </row>
    <row r="2291" customFormat="false" ht="15" hidden="false" customHeight="false" outlineLevel="0" collapsed="false">
      <c r="A2291" s="23" t="str">
        <f aca="false">IF(B2291="","",B2291+(13*1000+40)/10000000)</f>
        <v/>
      </c>
      <c r="B2291" s="35" t="str">
        <f aca="false">IF(AND(IFERROR(N(INDEX(Clay_Offices!$A$2:$FZ$601,40,Sync!$C$12)),0)&gt;0,IFERROR(INDEX(Clay_Offices!$A$2:$FZ$601,40,Sync!$C$5)&amp;"","")&lt;&gt;"",OR(LEFT(IFERROR(INDEX(Clay_Offices!$A$2:$FZ$601,40,Sync!$C$5)&amp;"",""),6)&lt;&gt;"SAMPLE",Config!$B$19="Y")),IFERROR(N(INDEX(Clay_Offices!$A$2:$FZ$601,40,Sync!$C$12)),0),"")</f>
        <v/>
      </c>
      <c r="C2291" s="23" t="str">
        <f aca="false">IF(B2291="","","office")</f>
        <v/>
      </c>
      <c r="D2291" s="23" t="str">
        <f aca="false">IF(B2291="","",IFERROR(INDEX(Office_Log!$ED$2:$ED$201,MATCH(IFERROR(INDEX(Clay_Offices!$A$2:$FZ$601,40,Sync!$C$5)&amp;"",""),Office_Log!$A$2:$A$201,0))&amp;"",IFERROR(INDEX(Clay_Offices!$A$2:$FZ$601,40,Sync!$C$5)&amp;"","")&amp;""))</f>
        <v/>
      </c>
      <c r="E2291" s="23" t="str">
        <f aca="false">IF(B2291="","",IFERROR(INDEX(Clay_Offices!$A$2:$FZ$601,40,Sync!$C$6)&amp;"",""))</f>
        <v/>
      </c>
      <c r="F2291" s="23" t="str">
        <f aca="false">IF(B2291="","","outreach_sent")</f>
        <v/>
      </c>
      <c r="G2291" s="23" t="str">
        <f aca="false">IF(B2291="","","")</f>
        <v/>
      </c>
      <c r="H2291" s="23" t="str">
        <f aca="false">IF(B2291="","","")</f>
        <v/>
      </c>
      <c r="I2291" s="23" t="str">
        <f aca="false">IF(B2291="","","")</f>
        <v/>
      </c>
      <c r="J2291" s="23" t="str">
        <f aca="false">IF(B2291="","","touch_2; "&amp;IFERROR(INDEX(Clay_Offices!$A$2:$FZ$601,40,Sync!$C$10)&amp;"","")&amp;"; "&amp;IFERROR(INDEX(Clay_Offices!$A$2:$FZ$601,40,Sync!$C$9)&amp;"",""))</f>
        <v/>
      </c>
      <c r="K2291" s="32" t="s">
        <v>1364</v>
      </c>
    </row>
    <row r="2292" customFormat="false" ht="15" hidden="false" customHeight="false" outlineLevel="0" collapsed="false">
      <c r="A2292" s="23" t="str">
        <f aca="false">IF(B2292="","",B2292+(13*1000+41)/10000000)</f>
        <v/>
      </c>
      <c r="B2292" s="35" t="str">
        <f aca="false">IF(AND(IFERROR(N(INDEX(Clay_Offices!$A$2:$FZ$601,41,Sync!$C$12)),0)&gt;0,IFERROR(INDEX(Clay_Offices!$A$2:$FZ$601,41,Sync!$C$5)&amp;"","")&lt;&gt;"",OR(LEFT(IFERROR(INDEX(Clay_Offices!$A$2:$FZ$601,41,Sync!$C$5)&amp;"",""),6)&lt;&gt;"SAMPLE",Config!$B$19="Y")),IFERROR(N(INDEX(Clay_Offices!$A$2:$FZ$601,41,Sync!$C$12)),0),"")</f>
        <v/>
      </c>
      <c r="C2292" s="23" t="str">
        <f aca="false">IF(B2292="","","office")</f>
        <v/>
      </c>
      <c r="D2292" s="23" t="str">
        <f aca="false">IF(B2292="","",IFERROR(INDEX(Office_Log!$ED$2:$ED$201,MATCH(IFERROR(INDEX(Clay_Offices!$A$2:$FZ$601,41,Sync!$C$5)&amp;"",""),Office_Log!$A$2:$A$201,0))&amp;"",IFERROR(INDEX(Clay_Offices!$A$2:$FZ$601,41,Sync!$C$5)&amp;"","")&amp;""))</f>
        <v/>
      </c>
      <c r="E2292" s="23" t="str">
        <f aca="false">IF(B2292="","",IFERROR(INDEX(Clay_Offices!$A$2:$FZ$601,41,Sync!$C$6)&amp;"",""))</f>
        <v/>
      </c>
      <c r="F2292" s="23" t="str">
        <f aca="false">IF(B2292="","","outreach_sent")</f>
        <v/>
      </c>
      <c r="G2292" s="23" t="str">
        <f aca="false">IF(B2292="","","")</f>
        <v/>
      </c>
      <c r="H2292" s="23" t="str">
        <f aca="false">IF(B2292="","","")</f>
        <v/>
      </c>
      <c r="I2292" s="23" t="str">
        <f aca="false">IF(B2292="","","")</f>
        <v/>
      </c>
      <c r="J2292" s="23" t="str">
        <f aca="false">IF(B2292="","","touch_2; "&amp;IFERROR(INDEX(Clay_Offices!$A$2:$FZ$601,41,Sync!$C$10)&amp;"","")&amp;"; "&amp;IFERROR(INDEX(Clay_Offices!$A$2:$FZ$601,41,Sync!$C$9)&amp;"",""))</f>
        <v/>
      </c>
      <c r="K2292" s="32" t="s">
        <v>1364</v>
      </c>
    </row>
    <row r="2293" customFormat="false" ht="15" hidden="false" customHeight="false" outlineLevel="0" collapsed="false">
      <c r="A2293" s="23" t="str">
        <f aca="false">IF(B2293="","",B2293+(13*1000+42)/10000000)</f>
        <v/>
      </c>
      <c r="B2293" s="35" t="str">
        <f aca="false">IF(AND(IFERROR(N(INDEX(Clay_Offices!$A$2:$FZ$601,42,Sync!$C$12)),0)&gt;0,IFERROR(INDEX(Clay_Offices!$A$2:$FZ$601,42,Sync!$C$5)&amp;"","")&lt;&gt;"",OR(LEFT(IFERROR(INDEX(Clay_Offices!$A$2:$FZ$601,42,Sync!$C$5)&amp;"",""),6)&lt;&gt;"SAMPLE",Config!$B$19="Y")),IFERROR(N(INDEX(Clay_Offices!$A$2:$FZ$601,42,Sync!$C$12)),0),"")</f>
        <v/>
      </c>
      <c r="C2293" s="23" t="str">
        <f aca="false">IF(B2293="","","office")</f>
        <v/>
      </c>
      <c r="D2293" s="23" t="str">
        <f aca="false">IF(B2293="","",IFERROR(INDEX(Office_Log!$ED$2:$ED$201,MATCH(IFERROR(INDEX(Clay_Offices!$A$2:$FZ$601,42,Sync!$C$5)&amp;"",""),Office_Log!$A$2:$A$201,0))&amp;"",IFERROR(INDEX(Clay_Offices!$A$2:$FZ$601,42,Sync!$C$5)&amp;"","")&amp;""))</f>
        <v/>
      </c>
      <c r="E2293" s="23" t="str">
        <f aca="false">IF(B2293="","",IFERROR(INDEX(Clay_Offices!$A$2:$FZ$601,42,Sync!$C$6)&amp;"",""))</f>
        <v/>
      </c>
      <c r="F2293" s="23" t="str">
        <f aca="false">IF(B2293="","","outreach_sent")</f>
        <v/>
      </c>
      <c r="G2293" s="23" t="str">
        <f aca="false">IF(B2293="","","")</f>
        <v/>
      </c>
      <c r="H2293" s="23" t="str">
        <f aca="false">IF(B2293="","","")</f>
        <v/>
      </c>
      <c r="I2293" s="23" t="str">
        <f aca="false">IF(B2293="","","")</f>
        <v/>
      </c>
      <c r="J2293" s="23" t="str">
        <f aca="false">IF(B2293="","","touch_2; "&amp;IFERROR(INDEX(Clay_Offices!$A$2:$FZ$601,42,Sync!$C$10)&amp;"","")&amp;"; "&amp;IFERROR(INDEX(Clay_Offices!$A$2:$FZ$601,42,Sync!$C$9)&amp;"",""))</f>
        <v/>
      </c>
      <c r="K2293" s="32" t="s">
        <v>1364</v>
      </c>
    </row>
    <row r="2294" customFormat="false" ht="15" hidden="false" customHeight="false" outlineLevel="0" collapsed="false">
      <c r="A2294" s="23" t="str">
        <f aca="false">IF(B2294="","",B2294+(13*1000+43)/10000000)</f>
        <v/>
      </c>
      <c r="B2294" s="35" t="str">
        <f aca="false">IF(AND(IFERROR(N(INDEX(Clay_Offices!$A$2:$FZ$601,43,Sync!$C$12)),0)&gt;0,IFERROR(INDEX(Clay_Offices!$A$2:$FZ$601,43,Sync!$C$5)&amp;"","")&lt;&gt;"",OR(LEFT(IFERROR(INDEX(Clay_Offices!$A$2:$FZ$601,43,Sync!$C$5)&amp;"",""),6)&lt;&gt;"SAMPLE",Config!$B$19="Y")),IFERROR(N(INDEX(Clay_Offices!$A$2:$FZ$601,43,Sync!$C$12)),0),"")</f>
        <v/>
      </c>
      <c r="C2294" s="23" t="str">
        <f aca="false">IF(B2294="","","office")</f>
        <v/>
      </c>
      <c r="D2294" s="23" t="str">
        <f aca="false">IF(B2294="","",IFERROR(INDEX(Office_Log!$ED$2:$ED$201,MATCH(IFERROR(INDEX(Clay_Offices!$A$2:$FZ$601,43,Sync!$C$5)&amp;"",""),Office_Log!$A$2:$A$201,0))&amp;"",IFERROR(INDEX(Clay_Offices!$A$2:$FZ$601,43,Sync!$C$5)&amp;"","")&amp;""))</f>
        <v/>
      </c>
      <c r="E2294" s="23" t="str">
        <f aca="false">IF(B2294="","",IFERROR(INDEX(Clay_Offices!$A$2:$FZ$601,43,Sync!$C$6)&amp;"",""))</f>
        <v/>
      </c>
      <c r="F2294" s="23" t="str">
        <f aca="false">IF(B2294="","","outreach_sent")</f>
        <v/>
      </c>
      <c r="G2294" s="23" t="str">
        <f aca="false">IF(B2294="","","")</f>
        <v/>
      </c>
      <c r="H2294" s="23" t="str">
        <f aca="false">IF(B2294="","","")</f>
        <v/>
      </c>
      <c r="I2294" s="23" t="str">
        <f aca="false">IF(B2294="","","")</f>
        <v/>
      </c>
      <c r="J2294" s="23" t="str">
        <f aca="false">IF(B2294="","","touch_2; "&amp;IFERROR(INDEX(Clay_Offices!$A$2:$FZ$601,43,Sync!$C$10)&amp;"","")&amp;"; "&amp;IFERROR(INDEX(Clay_Offices!$A$2:$FZ$601,43,Sync!$C$9)&amp;"",""))</f>
        <v/>
      </c>
      <c r="K2294" s="32" t="s">
        <v>1364</v>
      </c>
    </row>
    <row r="2295" customFormat="false" ht="15" hidden="false" customHeight="false" outlineLevel="0" collapsed="false">
      <c r="A2295" s="23" t="str">
        <f aca="false">IF(B2295="","",B2295+(13*1000+44)/10000000)</f>
        <v/>
      </c>
      <c r="B2295" s="35" t="str">
        <f aca="false">IF(AND(IFERROR(N(INDEX(Clay_Offices!$A$2:$FZ$601,44,Sync!$C$12)),0)&gt;0,IFERROR(INDEX(Clay_Offices!$A$2:$FZ$601,44,Sync!$C$5)&amp;"","")&lt;&gt;"",OR(LEFT(IFERROR(INDEX(Clay_Offices!$A$2:$FZ$601,44,Sync!$C$5)&amp;"",""),6)&lt;&gt;"SAMPLE",Config!$B$19="Y")),IFERROR(N(INDEX(Clay_Offices!$A$2:$FZ$601,44,Sync!$C$12)),0),"")</f>
        <v/>
      </c>
      <c r="C2295" s="23" t="str">
        <f aca="false">IF(B2295="","","office")</f>
        <v/>
      </c>
      <c r="D2295" s="23" t="str">
        <f aca="false">IF(B2295="","",IFERROR(INDEX(Office_Log!$ED$2:$ED$201,MATCH(IFERROR(INDEX(Clay_Offices!$A$2:$FZ$601,44,Sync!$C$5)&amp;"",""),Office_Log!$A$2:$A$201,0))&amp;"",IFERROR(INDEX(Clay_Offices!$A$2:$FZ$601,44,Sync!$C$5)&amp;"","")&amp;""))</f>
        <v/>
      </c>
      <c r="E2295" s="23" t="str">
        <f aca="false">IF(B2295="","",IFERROR(INDEX(Clay_Offices!$A$2:$FZ$601,44,Sync!$C$6)&amp;"",""))</f>
        <v/>
      </c>
      <c r="F2295" s="23" t="str">
        <f aca="false">IF(B2295="","","outreach_sent")</f>
        <v/>
      </c>
      <c r="G2295" s="23" t="str">
        <f aca="false">IF(B2295="","","")</f>
        <v/>
      </c>
      <c r="H2295" s="23" t="str">
        <f aca="false">IF(B2295="","","")</f>
        <v/>
      </c>
      <c r="I2295" s="23" t="str">
        <f aca="false">IF(B2295="","","")</f>
        <v/>
      </c>
      <c r="J2295" s="23" t="str">
        <f aca="false">IF(B2295="","","touch_2; "&amp;IFERROR(INDEX(Clay_Offices!$A$2:$FZ$601,44,Sync!$C$10)&amp;"","")&amp;"; "&amp;IFERROR(INDEX(Clay_Offices!$A$2:$FZ$601,44,Sync!$C$9)&amp;"",""))</f>
        <v/>
      </c>
      <c r="K2295" s="32" t="s">
        <v>1364</v>
      </c>
    </row>
    <row r="2296" customFormat="false" ht="15" hidden="false" customHeight="false" outlineLevel="0" collapsed="false">
      <c r="A2296" s="23" t="str">
        <f aca="false">IF(B2296="","",B2296+(13*1000+45)/10000000)</f>
        <v/>
      </c>
      <c r="B2296" s="35" t="str">
        <f aca="false">IF(AND(IFERROR(N(INDEX(Clay_Offices!$A$2:$FZ$601,45,Sync!$C$12)),0)&gt;0,IFERROR(INDEX(Clay_Offices!$A$2:$FZ$601,45,Sync!$C$5)&amp;"","")&lt;&gt;"",OR(LEFT(IFERROR(INDEX(Clay_Offices!$A$2:$FZ$601,45,Sync!$C$5)&amp;"",""),6)&lt;&gt;"SAMPLE",Config!$B$19="Y")),IFERROR(N(INDEX(Clay_Offices!$A$2:$FZ$601,45,Sync!$C$12)),0),"")</f>
        <v/>
      </c>
      <c r="C2296" s="23" t="str">
        <f aca="false">IF(B2296="","","office")</f>
        <v/>
      </c>
      <c r="D2296" s="23" t="str">
        <f aca="false">IF(B2296="","",IFERROR(INDEX(Office_Log!$ED$2:$ED$201,MATCH(IFERROR(INDEX(Clay_Offices!$A$2:$FZ$601,45,Sync!$C$5)&amp;"",""),Office_Log!$A$2:$A$201,0))&amp;"",IFERROR(INDEX(Clay_Offices!$A$2:$FZ$601,45,Sync!$C$5)&amp;"","")&amp;""))</f>
        <v/>
      </c>
      <c r="E2296" s="23" t="str">
        <f aca="false">IF(B2296="","",IFERROR(INDEX(Clay_Offices!$A$2:$FZ$601,45,Sync!$C$6)&amp;"",""))</f>
        <v/>
      </c>
      <c r="F2296" s="23" t="str">
        <f aca="false">IF(B2296="","","outreach_sent")</f>
        <v/>
      </c>
      <c r="G2296" s="23" t="str">
        <f aca="false">IF(B2296="","","")</f>
        <v/>
      </c>
      <c r="H2296" s="23" t="str">
        <f aca="false">IF(B2296="","","")</f>
        <v/>
      </c>
      <c r="I2296" s="23" t="str">
        <f aca="false">IF(B2296="","","")</f>
        <v/>
      </c>
      <c r="J2296" s="23" t="str">
        <f aca="false">IF(B2296="","","touch_2; "&amp;IFERROR(INDEX(Clay_Offices!$A$2:$FZ$601,45,Sync!$C$10)&amp;"","")&amp;"; "&amp;IFERROR(INDEX(Clay_Offices!$A$2:$FZ$601,45,Sync!$C$9)&amp;"",""))</f>
        <v/>
      </c>
      <c r="K2296" s="32" t="s">
        <v>1364</v>
      </c>
    </row>
    <row r="2297" customFormat="false" ht="15" hidden="false" customHeight="false" outlineLevel="0" collapsed="false">
      <c r="A2297" s="23" t="str">
        <f aca="false">IF(B2297="","",B2297+(13*1000+46)/10000000)</f>
        <v/>
      </c>
      <c r="B2297" s="35" t="str">
        <f aca="false">IF(AND(IFERROR(N(INDEX(Clay_Offices!$A$2:$FZ$601,46,Sync!$C$12)),0)&gt;0,IFERROR(INDEX(Clay_Offices!$A$2:$FZ$601,46,Sync!$C$5)&amp;"","")&lt;&gt;"",OR(LEFT(IFERROR(INDEX(Clay_Offices!$A$2:$FZ$601,46,Sync!$C$5)&amp;"",""),6)&lt;&gt;"SAMPLE",Config!$B$19="Y")),IFERROR(N(INDEX(Clay_Offices!$A$2:$FZ$601,46,Sync!$C$12)),0),"")</f>
        <v/>
      </c>
      <c r="C2297" s="23" t="str">
        <f aca="false">IF(B2297="","","office")</f>
        <v/>
      </c>
      <c r="D2297" s="23" t="str">
        <f aca="false">IF(B2297="","",IFERROR(INDEX(Office_Log!$ED$2:$ED$201,MATCH(IFERROR(INDEX(Clay_Offices!$A$2:$FZ$601,46,Sync!$C$5)&amp;"",""),Office_Log!$A$2:$A$201,0))&amp;"",IFERROR(INDEX(Clay_Offices!$A$2:$FZ$601,46,Sync!$C$5)&amp;"","")&amp;""))</f>
        <v/>
      </c>
      <c r="E2297" s="23" t="str">
        <f aca="false">IF(B2297="","",IFERROR(INDEX(Clay_Offices!$A$2:$FZ$601,46,Sync!$C$6)&amp;"",""))</f>
        <v/>
      </c>
      <c r="F2297" s="23" t="str">
        <f aca="false">IF(B2297="","","outreach_sent")</f>
        <v/>
      </c>
      <c r="G2297" s="23" t="str">
        <f aca="false">IF(B2297="","","")</f>
        <v/>
      </c>
      <c r="H2297" s="23" t="str">
        <f aca="false">IF(B2297="","","")</f>
        <v/>
      </c>
      <c r="I2297" s="23" t="str">
        <f aca="false">IF(B2297="","","")</f>
        <v/>
      </c>
      <c r="J2297" s="23" t="str">
        <f aca="false">IF(B2297="","","touch_2; "&amp;IFERROR(INDEX(Clay_Offices!$A$2:$FZ$601,46,Sync!$C$10)&amp;"","")&amp;"; "&amp;IFERROR(INDEX(Clay_Offices!$A$2:$FZ$601,46,Sync!$C$9)&amp;"",""))</f>
        <v/>
      </c>
      <c r="K2297" s="32" t="s">
        <v>1364</v>
      </c>
    </row>
    <row r="2298" customFormat="false" ht="15" hidden="false" customHeight="false" outlineLevel="0" collapsed="false">
      <c r="A2298" s="23" t="str">
        <f aca="false">IF(B2298="","",B2298+(13*1000+47)/10000000)</f>
        <v/>
      </c>
      <c r="B2298" s="35" t="str">
        <f aca="false">IF(AND(IFERROR(N(INDEX(Clay_Offices!$A$2:$FZ$601,47,Sync!$C$12)),0)&gt;0,IFERROR(INDEX(Clay_Offices!$A$2:$FZ$601,47,Sync!$C$5)&amp;"","")&lt;&gt;"",OR(LEFT(IFERROR(INDEX(Clay_Offices!$A$2:$FZ$601,47,Sync!$C$5)&amp;"",""),6)&lt;&gt;"SAMPLE",Config!$B$19="Y")),IFERROR(N(INDEX(Clay_Offices!$A$2:$FZ$601,47,Sync!$C$12)),0),"")</f>
        <v/>
      </c>
      <c r="C2298" s="23" t="str">
        <f aca="false">IF(B2298="","","office")</f>
        <v/>
      </c>
      <c r="D2298" s="23" t="str">
        <f aca="false">IF(B2298="","",IFERROR(INDEX(Office_Log!$ED$2:$ED$201,MATCH(IFERROR(INDEX(Clay_Offices!$A$2:$FZ$601,47,Sync!$C$5)&amp;"",""),Office_Log!$A$2:$A$201,0))&amp;"",IFERROR(INDEX(Clay_Offices!$A$2:$FZ$601,47,Sync!$C$5)&amp;"","")&amp;""))</f>
        <v/>
      </c>
      <c r="E2298" s="23" t="str">
        <f aca="false">IF(B2298="","",IFERROR(INDEX(Clay_Offices!$A$2:$FZ$601,47,Sync!$C$6)&amp;"",""))</f>
        <v/>
      </c>
      <c r="F2298" s="23" t="str">
        <f aca="false">IF(B2298="","","outreach_sent")</f>
        <v/>
      </c>
      <c r="G2298" s="23" t="str">
        <f aca="false">IF(B2298="","","")</f>
        <v/>
      </c>
      <c r="H2298" s="23" t="str">
        <f aca="false">IF(B2298="","","")</f>
        <v/>
      </c>
      <c r="I2298" s="23" t="str">
        <f aca="false">IF(B2298="","","")</f>
        <v/>
      </c>
      <c r="J2298" s="23" t="str">
        <f aca="false">IF(B2298="","","touch_2; "&amp;IFERROR(INDEX(Clay_Offices!$A$2:$FZ$601,47,Sync!$C$10)&amp;"","")&amp;"; "&amp;IFERROR(INDEX(Clay_Offices!$A$2:$FZ$601,47,Sync!$C$9)&amp;"",""))</f>
        <v/>
      </c>
      <c r="K2298" s="32" t="s">
        <v>1364</v>
      </c>
    </row>
    <row r="2299" customFormat="false" ht="15" hidden="false" customHeight="false" outlineLevel="0" collapsed="false">
      <c r="A2299" s="23" t="str">
        <f aca="false">IF(B2299="","",B2299+(13*1000+48)/10000000)</f>
        <v/>
      </c>
      <c r="B2299" s="35" t="str">
        <f aca="false">IF(AND(IFERROR(N(INDEX(Clay_Offices!$A$2:$FZ$601,48,Sync!$C$12)),0)&gt;0,IFERROR(INDEX(Clay_Offices!$A$2:$FZ$601,48,Sync!$C$5)&amp;"","")&lt;&gt;"",OR(LEFT(IFERROR(INDEX(Clay_Offices!$A$2:$FZ$601,48,Sync!$C$5)&amp;"",""),6)&lt;&gt;"SAMPLE",Config!$B$19="Y")),IFERROR(N(INDEX(Clay_Offices!$A$2:$FZ$601,48,Sync!$C$12)),0),"")</f>
        <v/>
      </c>
      <c r="C2299" s="23" t="str">
        <f aca="false">IF(B2299="","","office")</f>
        <v/>
      </c>
      <c r="D2299" s="23" t="str">
        <f aca="false">IF(B2299="","",IFERROR(INDEX(Office_Log!$ED$2:$ED$201,MATCH(IFERROR(INDEX(Clay_Offices!$A$2:$FZ$601,48,Sync!$C$5)&amp;"",""),Office_Log!$A$2:$A$201,0))&amp;"",IFERROR(INDEX(Clay_Offices!$A$2:$FZ$601,48,Sync!$C$5)&amp;"","")&amp;""))</f>
        <v/>
      </c>
      <c r="E2299" s="23" t="str">
        <f aca="false">IF(B2299="","",IFERROR(INDEX(Clay_Offices!$A$2:$FZ$601,48,Sync!$C$6)&amp;"",""))</f>
        <v/>
      </c>
      <c r="F2299" s="23" t="str">
        <f aca="false">IF(B2299="","","outreach_sent")</f>
        <v/>
      </c>
      <c r="G2299" s="23" t="str">
        <f aca="false">IF(B2299="","","")</f>
        <v/>
      </c>
      <c r="H2299" s="23" t="str">
        <f aca="false">IF(B2299="","","")</f>
        <v/>
      </c>
      <c r="I2299" s="23" t="str">
        <f aca="false">IF(B2299="","","")</f>
        <v/>
      </c>
      <c r="J2299" s="23" t="str">
        <f aca="false">IF(B2299="","","touch_2; "&amp;IFERROR(INDEX(Clay_Offices!$A$2:$FZ$601,48,Sync!$C$10)&amp;"","")&amp;"; "&amp;IFERROR(INDEX(Clay_Offices!$A$2:$FZ$601,48,Sync!$C$9)&amp;"",""))</f>
        <v/>
      </c>
      <c r="K2299" s="32" t="s">
        <v>1364</v>
      </c>
    </row>
    <row r="2300" customFormat="false" ht="15" hidden="false" customHeight="false" outlineLevel="0" collapsed="false">
      <c r="A2300" s="23" t="str">
        <f aca="false">IF(B2300="","",B2300+(13*1000+49)/10000000)</f>
        <v/>
      </c>
      <c r="B2300" s="35" t="str">
        <f aca="false">IF(AND(IFERROR(N(INDEX(Clay_Offices!$A$2:$FZ$601,49,Sync!$C$12)),0)&gt;0,IFERROR(INDEX(Clay_Offices!$A$2:$FZ$601,49,Sync!$C$5)&amp;"","")&lt;&gt;"",OR(LEFT(IFERROR(INDEX(Clay_Offices!$A$2:$FZ$601,49,Sync!$C$5)&amp;"",""),6)&lt;&gt;"SAMPLE",Config!$B$19="Y")),IFERROR(N(INDEX(Clay_Offices!$A$2:$FZ$601,49,Sync!$C$12)),0),"")</f>
        <v/>
      </c>
      <c r="C2300" s="23" t="str">
        <f aca="false">IF(B2300="","","office")</f>
        <v/>
      </c>
      <c r="D2300" s="23" t="str">
        <f aca="false">IF(B2300="","",IFERROR(INDEX(Office_Log!$ED$2:$ED$201,MATCH(IFERROR(INDEX(Clay_Offices!$A$2:$FZ$601,49,Sync!$C$5)&amp;"",""),Office_Log!$A$2:$A$201,0))&amp;"",IFERROR(INDEX(Clay_Offices!$A$2:$FZ$601,49,Sync!$C$5)&amp;"","")&amp;""))</f>
        <v/>
      </c>
      <c r="E2300" s="23" t="str">
        <f aca="false">IF(B2300="","",IFERROR(INDEX(Clay_Offices!$A$2:$FZ$601,49,Sync!$C$6)&amp;"",""))</f>
        <v/>
      </c>
      <c r="F2300" s="23" t="str">
        <f aca="false">IF(B2300="","","outreach_sent")</f>
        <v/>
      </c>
      <c r="G2300" s="23" t="str">
        <f aca="false">IF(B2300="","","")</f>
        <v/>
      </c>
      <c r="H2300" s="23" t="str">
        <f aca="false">IF(B2300="","","")</f>
        <v/>
      </c>
      <c r="I2300" s="23" t="str">
        <f aca="false">IF(B2300="","","")</f>
        <v/>
      </c>
      <c r="J2300" s="23" t="str">
        <f aca="false">IF(B2300="","","touch_2; "&amp;IFERROR(INDEX(Clay_Offices!$A$2:$FZ$601,49,Sync!$C$10)&amp;"","")&amp;"; "&amp;IFERROR(INDEX(Clay_Offices!$A$2:$FZ$601,49,Sync!$C$9)&amp;"",""))</f>
        <v/>
      </c>
      <c r="K2300" s="32" t="s">
        <v>1364</v>
      </c>
    </row>
    <row r="2301" customFormat="false" ht="15" hidden="false" customHeight="false" outlineLevel="0" collapsed="false">
      <c r="A2301" s="23" t="str">
        <f aca="false">IF(B2301="","",B2301+(13*1000+50)/10000000)</f>
        <v/>
      </c>
      <c r="B2301" s="35" t="str">
        <f aca="false">IF(AND(IFERROR(N(INDEX(Clay_Offices!$A$2:$FZ$601,50,Sync!$C$12)),0)&gt;0,IFERROR(INDEX(Clay_Offices!$A$2:$FZ$601,50,Sync!$C$5)&amp;"","")&lt;&gt;"",OR(LEFT(IFERROR(INDEX(Clay_Offices!$A$2:$FZ$601,50,Sync!$C$5)&amp;"",""),6)&lt;&gt;"SAMPLE",Config!$B$19="Y")),IFERROR(N(INDEX(Clay_Offices!$A$2:$FZ$601,50,Sync!$C$12)),0),"")</f>
        <v/>
      </c>
      <c r="C2301" s="23" t="str">
        <f aca="false">IF(B2301="","","office")</f>
        <v/>
      </c>
      <c r="D2301" s="23" t="str">
        <f aca="false">IF(B2301="","",IFERROR(INDEX(Office_Log!$ED$2:$ED$201,MATCH(IFERROR(INDEX(Clay_Offices!$A$2:$FZ$601,50,Sync!$C$5)&amp;"",""),Office_Log!$A$2:$A$201,0))&amp;"",IFERROR(INDEX(Clay_Offices!$A$2:$FZ$601,50,Sync!$C$5)&amp;"","")&amp;""))</f>
        <v/>
      </c>
      <c r="E2301" s="23" t="str">
        <f aca="false">IF(B2301="","",IFERROR(INDEX(Clay_Offices!$A$2:$FZ$601,50,Sync!$C$6)&amp;"",""))</f>
        <v/>
      </c>
      <c r="F2301" s="23" t="str">
        <f aca="false">IF(B2301="","","outreach_sent")</f>
        <v/>
      </c>
      <c r="G2301" s="23" t="str">
        <f aca="false">IF(B2301="","","")</f>
        <v/>
      </c>
      <c r="H2301" s="23" t="str">
        <f aca="false">IF(B2301="","","")</f>
        <v/>
      </c>
      <c r="I2301" s="23" t="str">
        <f aca="false">IF(B2301="","","")</f>
        <v/>
      </c>
      <c r="J2301" s="23" t="str">
        <f aca="false">IF(B2301="","","touch_2; "&amp;IFERROR(INDEX(Clay_Offices!$A$2:$FZ$601,50,Sync!$C$10)&amp;"","")&amp;"; "&amp;IFERROR(INDEX(Clay_Offices!$A$2:$FZ$601,50,Sync!$C$9)&amp;"",""))</f>
        <v/>
      </c>
      <c r="K2301" s="32" t="s">
        <v>1364</v>
      </c>
    </row>
    <row r="2302" customFormat="false" ht="15" hidden="false" customHeight="false" outlineLevel="0" collapsed="false">
      <c r="A2302" s="23" t="str">
        <f aca="false">IF(B2302="","",B2302+(13*1000+51)/10000000)</f>
        <v/>
      </c>
      <c r="B2302" s="35" t="str">
        <f aca="false">IF(AND(IFERROR(N(INDEX(Clay_Offices!$A$2:$FZ$601,51,Sync!$C$12)),0)&gt;0,IFERROR(INDEX(Clay_Offices!$A$2:$FZ$601,51,Sync!$C$5)&amp;"","")&lt;&gt;"",OR(LEFT(IFERROR(INDEX(Clay_Offices!$A$2:$FZ$601,51,Sync!$C$5)&amp;"",""),6)&lt;&gt;"SAMPLE",Config!$B$19="Y")),IFERROR(N(INDEX(Clay_Offices!$A$2:$FZ$601,51,Sync!$C$12)),0),"")</f>
        <v/>
      </c>
      <c r="C2302" s="23" t="str">
        <f aca="false">IF(B2302="","","office")</f>
        <v/>
      </c>
      <c r="D2302" s="23" t="str">
        <f aca="false">IF(B2302="","",IFERROR(INDEX(Office_Log!$ED$2:$ED$201,MATCH(IFERROR(INDEX(Clay_Offices!$A$2:$FZ$601,51,Sync!$C$5)&amp;"",""),Office_Log!$A$2:$A$201,0))&amp;"",IFERROR(INDEX(Clay_Offices!$A$2:$FZ$601,51,Sync!$C$5)&amp;"","")&amp;""))</f>
        <v/>
      </c>
      <c r="E2302" s="23" t="str">
        <f aca="false">IF(B2302="","",IFERROR(INDEX(Clay_Offices!$A$2:$FZ$601,51,Sync!$C$6)&amp;"",""))</f>
        <v/>
      </c>
      <c r="F2302" s="23" t="str">
        <f aca="false">IF(B2302="","","outreach_sent")</f>
        <v/>
      </c>
      <c r="G2302" s="23" t="str">
        <f aca="false">IF(B2302="","","")</f>
        <v/>
      </c>
      <c r="H2302" s="23" t="str">
        <f aca="false">IF(B2302="","","")</f>
        <v/>
      </c>
      <c r="I2302" s="23" t="str">
        <f aca="false">IF(B2302="","","")</f>
        <v/>
      </c>
      <c r="J2302" s="23" t="str">
        <f aca="false">IF(B2302="","","touch_2; "&amp;IFERROR(INDEX(Clay_Offices!$A$2:$FZ$601,51,Sync!$C$10)&amp;"","")&amp;"; "&amp;IFERROR(INDEX(Clay_Offices!$A$2:$FZ$601,51,Sync!$C$9)&amp;"",""))</f>
        <v/>
      </c>
      <c r="K2302" s="32" t="s">
        <v>1364</v>
      </c>
    </row>
    <row r="2303" customFormat="false" ht="15" hidden="false" customHeight="false" outlineLevel="0" collapsed="false">
      <c r="A2303" s="23" t="str">
        <f aca="false">IF(B2303="","",B2303+(13*1000+52)/10000000)</f>
        <v/>
      </c>
      <c r="B2303" s="35" t="str">
        <f aca="false">IF(AND(IFERROR(N(INDEX(Clay_Offices!$A$2:$FZ$601,52,Sync!$C$12)),0)&gt;0,IFERROR(INDEX(Clay_Offices!$A$2:$FZ$601,52,Sync!$C$5)&amp;"","")&lt;&gt;"",OR(LEFT(IFERROR(INDEX(Clay_Offices!$A$2:$FZ$601,52,Sync!$C$5)&amp;"",""),6)&lt;&gt;"SAMPLE",Config!$B$19="Y")),IFERROR(N(INDEX(Clay_Offices!$A$2:$FZ$601,52,Sync!$C$12)),0),"")</f>
        <v/>
      </c>
      <c r="C2303" s="23" t="str">
        <f aca="false">IF(B2303="","","office")</f>
        <v/>
      </c>
      <c r="D2303" s="23" t="str">
        <f aca="false">IF(B2303="","",IFERROR(INDEX(Office_Log!$ED$2:$ED$201,MATCH(IFERROR(INDEX(Clay_Offices!$A$2:$FZ$601,52,Sync!$C$5)&amp;"",""),Office_Log!$A$2:$A$201,0))&amp;"",IFERROR(INDEX(Clay_Offices!$A$2:$FZ$601,52,Sync!$C$5)&amp;"","")&amp;""))</f>
        <v/>
      </c>
      <c r="E2303" s="23" t="str">
        <f aca="false">IF(B2303="","",IFERROR(INDEX(Clay_Offices!$A$2:$FZ$601,52,Sync!$C$6)&amp;"",""))</f>
        <v/>
      </c>
      <c r="F2303" s="23" t="str">
        <f aca="false">IF(B2303="","","outreach_sent")</f>
        <v/>
      </c>
      <c r="G2303" s="23" t="str">
        <f aca="false">IF(B2303="","","")</f>
        <v/>
      </c>
      <c r="H2303" s="23" t="str">
        <f aca="false">IF(B2303="","","")</f>
        <v/>
      </c>
      <c r="I2303" s="23" t="str">
        <f aca="false">IF(B2303="","","")</f>
        <v/>
      </c>
      <c r="J2303" s="23" t="str">
        <f aca="false">IF(B2303="","","touch_2; "&amp;IFERROR(INDEX(Clay_Offices!$A$2:$FZ$601,52,Sync!$C$10)&amp;"","")&amp;"; "&amp;IFERROR(INDEX(Clay_Offices!$A$2:$FZ$601,52,Sync!$C$9)&amp;"",""))</f>
        <v/>
      </c>
      <c r="K2303" s="32" t="s">
        <v>1364</v>
      </c>
    </row>
    <row r="2304" customFormat="false" ht="15" hidden="false" customHeight="false" outlineLevel="0" collapsed="false">
      <c r="A2304" s="23" t="str">
        <f aca="false">IF(B2304="","",B2304+(13*1000+53)/10000000)</f>
        <v/>
      </c>
      <c r="B2304" s="35" t="str">
        <f aca="false">IF(AND(IFERROR(N(INDEX(Clay_Offices!$A$2:$FZ$601,53,Sync!$C$12)),0)&gt;0,IFERROR(INDEX(Clay_Offices!$A$2:$FZ$601,53,Sync!$C$5)&amp;"","")&lt;&gt;"",OR(LEFT(IFERROR(INDEX(Clay_Offices!$A$2:$FZ$601,53,Sync!$C$5)&amp;"",""),6)&lt;&gt;"SAMPLE",Config!$B$19="Y")),IFERROR(N(INDEX(Clay_Offices!$A$2:$FZ$601,53,Sync!$C$12)),0),"")</f>
        <v/>
      </c>
      <c r="C2304" s="23" t="str">
        <f aca="false">IF(B2304="","","office")</f>
        <v/>
      </c>
      <c r="D2304" s="23" t="str">
        <f aca="false">IF(B2304="","",IFERROR(INDEX(Office_Log!$ED$2:$ED$201,MATCH(IFERROR(INDEX(Clay_Offices!$A$2:$FZ$601,53,Sync!$C$5)&amp;"",""),Office_Log!$A$2:$A$201,0))&amp;"",IFERROR(INDEX(Clay_Offices!$A$2:$FZ$601,53,Sync!$C$5)&amp;"","")&amp;""))</f>
        <v/>
      </c>
      <c r="E2304" s="23" t="str">
        <f aca="false">IF(B2304="","",IFERROR(INDEX(Clay_Offices!$A$2:$FZ$601,53,Sync!$C$6)&amp;"",""))</f>
        <v/>
      </c>
      <c r="F2304" s="23" t="str">
        <f aca="false">IF(B2304="","","outreach_sent")</f>
        <v/>
      </c>
      <c r="G2304" s="23" t="str">
        <f aca="false">IF(B2304="","","")</f>
        <v/>
      </c>
      <c r="H2304" s="23" t="str">
        <f aca="false">IF(B2304="","","")</f>
        <v/>
      </c>
      <c r="I2304" s="23" t="str">
        <f aca="false">IF(B2304="","","")</f>
        <v/>
      </c>
      <c r="J2304" s="23" t="str">
        <f aca="false">IF(B2304="","","touch_2; "&amp;IFERROR(INDEX(Clay_Offices!$A$2:$FZ$601,53,Sync!$C$10)&amp;"","")&amp;"; "&amp;IFERROR(INDEX(Clay_Offices!$A$2:$FZ$601,53,Sync!$C$9)&amp;"",""))</f>
        <v/>
      </c>
      <c r="K2304" s="32" t="s">
        <v>1364</v>
      </c>
    </row>
    <row r="2305" customFormat="false" ht="15" hidden="false" customHeight="false" outlineLevel="0" collapsed="false">
      <c r="A2305" s="23" t="str">
        <f aca="false">IF(B2305="","",B2305+(13*1000+54)/10000000)</f>
        <v/>
      </c>
      <c r="B2305" s="35" t="str">
        <f aca="false">IF(AND(IFERROR(N(INDEX(Clay_Offices!$A$2:$FZ$601,54,Sync!$C$12)),0)&gt;0,IFERROR(INDEX(Clay_Offices!$A$2:$FZ$601,54,Sync!$C$5)&amp;"","")&lt;&gt;"",OR(LEFT(IFERROR(INDEX(Clay_Offices!$A$2:$FZ$601,54,Sync!$C$5)&amp;"",""),6)&lt;&gt;"SAMPLE",Config!$B$19="Y")),IFERROR(N(INDEX(Clay_Offices!$A$2:$FZ$601,54,Sync!$C$12)),0),"")</f>
        <v/>
      </c>
      <c r="C2305" s="23" t="str">
        <f aca="false">IF(B2305="","","office")</f>
        <v/>
      </c>
      <c r="D2305" s="23" t="str">
        <f aca="false">IF(B2305="","",IFERROR(INDEX(Office_Log!$ED$2:$ED$201,MATCH(IFERROR(INDEX(Clay_Offices!$A$2:$FZ$601,54,Sync!$C$5)&amp;"",""),Office_Log!$A$2:$A$201,0))&amp;"",IFERROR(INDEX(Clay_Offices!$A$2:$FZ$601,54,Sync!$C$5)&amp;"","")&amp;""))</f>
        <v/>
      </c>
      <c r="E2305" s="23" t="str">
        <f aca="false">IF(B2305="","",IFERROR(INDEX(Clay_Offices!$A$2:$FZ$601,54,Sync!$C$6)&amp;"",""))</f>
        <v/>
      </c>
      <c r="F2305" s="23" t="str">
        <f aca="false">IF(B2305="","","outreach_sent")</f>
        <v/>
      </c>
      <c r="G2305" s="23" t="str">
        <f aca="false">IF(B2305="","","")</f>
        <v/>
      </c>
      <c r="H2305" s="23" t="str">
        <f aca="false">IF(B2305="","","")</f>
        <v/>
      </c>
      <c r="I2305" s="23" t="str">
        <f aca="false">IF(B2305="","","")</f>
        <v/>
      </c>
      <c r="J2305" s="23" t="str">
        <f aca="false">IF(B2305="","","touch_2; "&amp;IFERROR(INDEX(Clay_Offices!$A$2:$FZ$601,54,Sync!$C$10)&amp;"","")&amp;"; "&amp;IFERROR(INDEX(Clay_Offices!$A$2:$FZ$601,54,Sync!$C$9)&amp;"",""))</f>
        <v/>
      </c>
      <c r="K2305" s="32" t="s">
        <v>1364</v>
      </c>
    </row>
    <row r="2306" customFormat="false" ht="15" hidden="false" customHeight="false" outlineLevel="0" collapsed="false">
      <c r="A2306" s="23" t="str">
        <f aca="false">IF(B2306="","",B2306+(13*1000+55)/10000000)</f>
        <v/>
      </c>
      <c r="B2306" s="35" t="str">
        <f aca="false">IF(AND(IFERROR(N(INDEX(Clay_Offices!$A$2:$FZ$601,55,Sync!$C$12)),0)&gt;0,IFERROR(INDEX(Clay_Offices!$A$2:$FZ$601,55,Sync!$C$5)&amp;"","")&lt;&gt;"",OR(LEFT(IFERROR(INDEX(Clay_Offices!$A$2:$FZ$601,55,Sync!$C$5)&amp;"",""),6)&lt;&gt;"SAMPLE",Config!$B$19="Y")),IFERROR(N(INDEX(Clay_Offices!$A$2:$FZ$601,55,Sync!$C$12)),0),"")</f>
        <v/>
      </c>
      <c r="C2306" s="23" t="str">
        <f aca="false">IF(B2306="","","office")</f>
        <v/>
      </c>
      <c r="D2306" s="23" t="str">
        <f aca="false">IF(B2306="","",IFERROR(INDEX(Office_Log!$ED$2:$ED$201,MATCH(IFERROR(INDEX(Clay_Offices!$A$2:$FZ$601,55,Sync!$C$5)&amp;"",""),Office_Log!$A$2:$A$201,0))&amp;"",IFERROR(INDEX(Clay_Offices!$A$2:$FZ$601,55,Sync!$C$5)&amp;"","")&amp;""))</f>
        <v/>
      </c>
      <c r="E2306" s="23" t="str">
        <f aca="false">IF(B2306="","",IFERROR(INDEX(Clay_Offices!$A$2:$FZ$601,55,Sync!$C$6)&amp;"",""))</f>
        <v/>
      </c>
      <c r="F2306" s="23" t="str">
        <f aca="false">IF(B2306="","","outreach_sent")</f>
        <v/>
      </c>
      <c r="G2306" s="23" t="str">
        <f aca="false">IF(B2306="","","")</f>
        <v/>
      </c>
      <c r="H2306" s="23" t="str">
        <f aca="false">IF(B2306="","","")</f>
        <v/>
      </c>
      <c r="I2306" s="23" t="str">
        <f aca="false">IF(B2306="","","")</f>
        <v/>
      </c>
      <c r="J2306" s="23" t="str">
        <f aca="false">IF(B2306="","","touch_2; "&amp;IFERROR(INDEX(Clay_Offices!$A$2:$FZ$601,55,Sync!$C$10)&amp;"","")&amp;"; "&amp;IFERROR(INDEX(Clay_Offices!$A$2:$FZ$601,55,Sync!$C$9)&amp;"",""))</f>
        <v/>
      </c>
      <c r="K2306" s="32" t="s">
        <v>1364</v>
      </c>
    </row>
    <row r="2307" customFormat="false" ht="15" hidden="false" customHeight="false" outlineLevel="0" collapsed="false">
      <c r="A2307" s="23" t="str">
        <f aca="false">IF(B2307="","",B2307+(13*1000+56)/10000000)</f>
        <v/>
      </c>
      <c r="B2307" s="35" t="str">
        <f aca="false">IF(AND(IFERROR(N(INDEX(Clay_Offices!$A$2:$FZ$601,56,Sync!$C$12)),0)&gt;0,IFERROR(INDEX(Clay_Offices!$A$2:$FZ$601,56,Sync!$C$5)&amp;"","")&lt;&gt;"",OR(LEFT(IFERROR(INDEX(Clay_Offices!$A$2:$FZ$601,56,Sync!$C$5)&amp;"",""),6)&lt;&gt;"SAMPLE",Config!$B$19="Y")),IFERROR(N(INDEX(Clay_Offices!$A$2:$FZ$601,56,Sync!$C$12)),0),"")</f>
        <v/>
      </c>
      <c r="C2307" s="23" t="str">
        <f aca="false">IF(B2307="","","office")</f>
        <v/>
      </c>
      <c r="D2307" s="23" t="str">
        <f aca="false">IF(B2307="","",IFERROR(INDEX(Office_Log!$ED$2:$ED$201,MATCH(IFERROR(INDEX(Clay_Offices!$A$2:$FZ$601,56,Sync!$C$5)&amp;"",""),Office_Log!$A$2:$A$201,0))&amp;"",IFERROR(INDEX(Clay_Offices!$A$2:$FZ$601,56,Sync!$C$5)&amp;"","")&amp;""))</f>
        <v/>
      </c>
      <c r="E2307" s="23" t="str">
        <f aca="false">IF(B2307="","",IFERROR(INDEX(Clay_Offices!$A$2:$FZ$601,56,Sync!$C$6)&amp;"",""))</f>
        <v/>
      </c>
      <c r="F2307" s="23" t="str">
        <f aca="false">IF(B2307="","","outreach_sent")</f>
        <v/>
      </c>
      <c r="G2307" s="23" t="str">
        <f aca="false">IF(B2307="","","")</f>
        <v/>
      </c>
      <c r="H2307" s="23" t="str">
        <f aca="false">IF(B2307="","","")</f>
        <v/>
      </c>
      <c r="I2307" s="23" t="str">
        <f aca="false">IF(B2307="","","")</f>
        <v/>
      </c>
      <c r="J2307" s="23" t="str">
        <f aca="false">IF(B2307="","","touch_2; "&amp;IFERROR(INDEX(Clay_Offices!$A$2:$FZ$601,56,Sync!$C$10)&amp;"","")&amp;"; "&amp;IFERROR(INDEX(Clay_Offices!$A$2:$FZ$601,56,Sync!$C$9)&amp;"",""))</f>
        <v/>
      </c>
      <c r="K2307" s="32" t="s">
        <v>1364</v>
      </c>
    </row>
    <row r="2308" customFormat="false" ht="15" hidden="false" customHeight="false" outlineLevel="0" collapsed="false">
      <c r="A2308" s="23" t="str">
        <f aca="false">IF(B2308="","",B2308+(13*1000+57)/10000000)</f>
        <v/>
      </c>
      <c r="B2308" s="35" t="str">
        <f aca="false">IF(AND(IFERROR(N(INDEX(Clay_Offices!$A$2:$FZ$601,57,Sync!$C$12)),0)&gt;0,IFERROR(INDEX(Clay_Offices!$A$2:$FZ$601,57,Sync!$C$5)&amp;"","")&lt;&gt;"",OR(LEFT(IFERROR(INDEX(Clay_Offices!$A$2:$FZ$601,57,Sync!$C$5)&amp;"",""),6)&lt;&gt;"SAMPLE",Config!$B$19="Y")),IFERROR(N(INDEX(Clay_Offices!$A$2:$FZ$601,57,Sync!$C$12)),0),"")</f>
        <v/>
      </c>
      <c r="C2308" s="23" t="str">
        <f aca="false">IF(B2308="","","office")</f>
        <v/>
      </c>
      <c r="D2308" s="23" t="str">
        <f aca="false">IF(B2308="","",IFERROR(INDEX(Office_Log!$ED$2:$ED$201,MATCH(IFERROR(INDEX(Clay_Offices!$A$2:$FZ$601,57,Sync!$C$5)&amp;"",""),Office_Log!$A$2:$A$201,0))&amp;"",IFERROR(INDEX(Clay_Offices!$A$2:$FZ$601,57,Sync!$C$5)&amp;"","")&amp;""))</f>
        <v/>
      </c>
      <c r="E2308" s="23" t="str">
        <f aca="false">IF(B2308="","",IFERROR(INDEX(Clay_Offices!$A$2:$FZ$601,57,Sync!$C$6)&amp;"",""))</f>
        <v/>
      </c>
      <c r="F2308" s="23" t="str">
        <f aca="false">IF(B2308="","","outreach_sent")</f>
        <v/>
      </c>
      <c r="G2308" s="23" t="str">
        <f aca="false">IF(B2308="","","")</f>
        <v/>
      </c>
      <c r="H2308" s="23" t="str">
        <f aca="false">IF(B2308="","","")</f>
        <v/>
      </c>
      <c r="I2308" s="23" t="str">
        <f aca="false">IF(B2308="","","")</f>
        <v/>
      </c>
      <c r="J2308" s="23" t="str">
        <f aca="false">IF(B2308="","","touch_2; "&amp;IFERROR(INDEX(Clay_Offices!$A$2:$FZ$601,57,Sync!$C$10)&amp;"","")&amp;"; "&amp;IFERROR(INDEX(Clay_Offices!$A$2:$FZ$601,57,Sync!$C$9)&amp;"",""))</f>
        <v/>
      </c>
      <c r="K2308" s="32" t="s">
        <v>1364</v>
      </c>
    </row>
    <row r="2309" customFormat="false" ht="15" hidden="false" customHeight="false" outlineLevel="0" collapsed="false">
      <c r="A2309" s="23" t="str">
        <f aca="false">IF(B2309="","",B2309+(13*1000+58)/10000000)</f>
        <v/>
      </c>
      <c r="B2309" s="35" t="str">
        <f aca="false">IF(AND(IFERROR(N(INDEX(Clay_Offices!$A$2:$FZ$601,58,Sync!$C$12)),0)&gt;0,IFERROR(INDEX(Clay_Offices!$A$2:$FZ$601,58,Sync!$C$5)&amp;"","")&lt;&gt;"",OR(LEFT(IFERROR(INDEX(Clay_Offices!$A$2:$FZ$601,58,Sync!$C$5)&amp;"",""),6)&lt;&gt;"SAMPLE",Config!$B$19="Y")),IFERROR(N(INDEX(Clay_Offices!$A$2:$FZ$601,58,Sync!$C$12)),0),"")</f>
        <v/>
      </c>
      <c r="C2309" s="23" t="str">
        <f aca="false">IF(B2309="","","office")</f>
        <v/>
      </c>
      <c r="D2309" s="23" t="str">
        <f aca="false">IF(B2309="","",IFERROR(INDEX(Office_Log!$ED$2:$ED$201,MATCH(IFERROR(INDEX(Clay_Offices!$A$2:$FZ$601,58,Sync!$C$5)&amp;"",""),Office_Log!$A$2:$A$201,0))&amp;"",IFERROR(INDEX(Clay_Offices!$A$2:$FZ$601,58,Sync!$C$5)&amp;"","")&amp;""))</f>
        <v/>
      </c>
      <c r="E2309" s="23" t="str">
        <f aca="false">IF(B2309="","",IFERROR(INDEX(Clay_Offices!$A$2:$FZ$601,58,Sync!$C$6)&amp;"",""))</f>
        <v/>
      </c>
      <c r="F2309" s="23" t="str">
        <f aca="false">IF(B2309="","","outreach_sent")</f>
        <v/>
      </c>
      <c r="G2309" s="23" t="str">
        <f aca="false">IF(B2309="","","")</f>
        <v/>
      </c>
      <c r="H2309" s="23" t="str">
        <f aca="false">IF(B2309="","","")</f>
        <v/>
      </c>
      <c r="I2309" s="23" t="str">
        <f aca="false">IF(B2309="","","")</f>
        <v/>
      </c>
      <c r="J2309" s="23" t="str">
        <f aca="false">IF(B2309="","","touch_2; "&amp;IFERROR(INDEX(Clay_Offices!$A$2:$FZ$601,58,Sync!$C$10)&amp;"","")&amp;"; "&amp;IFERROR(INDEX(Clay_Offices!$A$2:$FZ$601,58,Sync!$C$9)&amp;"",""))</f>
        <v/>
      </c>
      <c r="K2309" s="32" t="s">
        <v>1364</v>
      </c>
    </row>
    <row r="2310" customFormat="false" ht="15" hidden="false" customHeight="false" outlineLevel="0" collapsed="false">
      <c r="A2310" s="23" t="str">
        <f aca="false">IF(B2310="","",B2310+(13*1000+59)/10000000)</f>
        <v/>
      </c>
      <c r="B2310" s="35" t="str">
        <f aca="false">IF(AND(IFERROR(N(INDEX(Clay_Offices!$A$2:$FZ$601,59,Sync!$C$12)),0)&gt;0,IFERROR(INDEX(Clay_Offices!$A$2:$FZ$601,59,Sync!$C$5)&amp;"","")&lt;&gt;"",OR(LEFT(IFERROR(INDEX(Clay_Offices!$A$2:$FZ$601,59,Sync!$C$5)&amp;"",""),6)&lt;&gt;"SAMPLE",Config!$B$19="Y")),IFERROR(N(INDEX(Clay_Offices!$A$2:$FZ$601,59,Sync!$C$12)),0),"")</f>
        <v/>
      </c>
      <c r="C2310" s="23" t="str">
        <f aca="false">IF(B2310="","","office")</f>
        <v/>
      </c>
      <c r="D2310" s="23" t="str">
        <f aca="false">IF(B2310="","",IFERROR(INDEX(Office_Log!$ED$2:$ED$201,MATCH(IFERROR(INDEX(Clay_Offices!$A$2:$FZ$601,59,Sync!$C$5)&amp;"",""),Office_Log!$A$2:$A$201,0))&amp;"",IFERROR(INDEX(Clay_Offices!$A$2:$FZ$601,59,Sync!$C$5)&amp;"","")&amp;""))</f>
        <v/>
      </c>
      <c r="E2310" s="23" t="str">
        <f aca="false">IF(B2310="","",IFERROR(INDEX(Clay_Offices!$A$2:$FZ$601,59,Sync!$C$6)&amp;"",""))</f>
        <v/>
      </c>
      <c r="F2310" s="23" t="str">
        <f aca="false">IF(B2310="","","outreach_sent")</f>
        <v/>
      </c>
      <c r="G2310" s="23" t="str">
        <f aca="false">IF(B2310="","","")</f>
        <v/>
      </c>
      <c r="H2310" s="23" t="str">
        <f aca="false">IF(B2310="","","")</f>
        <v/>
      </c>
      <c r="I2310" s="23" t="str">
        <f aca="false">IF(B2310="","","")</f>
        <v/>
      </c>
      <c r="J2310" s="23" t="str">
        <f aca="false">IF(B2310="","","touch_2; "&amp;IFERROR(INDEX(Clay_Offices!$A$2:$FZ$601,59,Sync!$C$10)&amp;"","")&amp;"; "&amp;IFERROR(INDEX(Clay_Offices!$A$2:$FZ$601,59,Sync!$C$9)&amp;"",""))</f>
        <v/>
      </c>
      <c r="K2310" s="32" t="s">
        <v>1364</v>
      </c>
    </row>
    <row r="2311" customFormat="false" ht="15" hidden="false" customHeight="false" outlineLevel="0" collapsed="false">
      <c r="A2311" s="23" t="str">
        <f aca="false">IF(B2311="","",B2311+(13*1000+60)/10000000)</f>
        <v/>
      </c>
      <c r="B2311" s="35" t="str">
        <f aca="false">IF(AND(IFERROR(N(INDEX(Clay_Offices!$A$2:$FZ$601,60,Sync!$C$12)),0)&gt;0,IFERROR(INDEX(Clay_Offices!$A$2:$FZ$601,60,Sync!$C$5)&amp;"","")&lt;&gt;"",OR(LEFT(IFERROR(INDEX(Clay_Offices!$A$2:$FZ$601,60,Sync!$C$5)&amp;"",""),6)&lt;&gt;"SAMPLE",Config!$B$19="Y")),IFERROR(N(INDEX(Clay_Offices!$A$2:$FZ$601,60,Sync!$C$12)),0),"")</f>
        <v/>
      </c>
      <c r="C2311" s="23" t="str">
        <f aca="false">IF(B2311="","","office")</f>
        <v/>
      </c>
      <c r="D2311" s="23" t="str">
        <f aca="false">IF(B2311="","",IFERROR(INDEX(Office_Log!$ED$2:$ED$201,MATCH(IFERROR(INDEX(Clay_Offices!$A$2:$FZ$601,60,Sync!$C$5)&amp;"",""),Office_Log!$A$2:$A$201,0))&amp;"",IFERROR(INDEX(Clay_Offices!$A$2:$FZ$601,60,Sync!$C$5)&amp;"","")&amp;""))</f>
        <v/>
      </c>
      <c r="E2311" s="23" t="str">
        <f aca="false">IF(B2311="","",IFERROR(INDEX(Clay_Offices!$A$2:$FZ$601,60,Sync!$C$6)&amp;"",""))</f>
        <v/>
      </c>
      <c r="F2311" s="23" t="str">
        <f aca="false">IF(B2311="","","outreach_sent")</f>
        <v/>
      </c>
      <c r="G2311" s="23" t="str">
        <f aca="false">IF(B2311="","","")</f>
        <v/>
      </c>
      <c r="H2311" s="23" t="str">
        <f aca="false">IF(B2311="","","")</f>
        <v/>
      </c>
      <c r="I2311" s="23" t="str">
        <f aca="false">IF(B2311="","","")</f>
        <v/>
      </c>
      <c r="J2311" s="23" t="str">
        <f aca="false">IF(B2311="","","touch_2; "&amp;IFERROR(INDEX(Clay_Offices!$A$2:$FZ$601,60,Sync!$C$10)&amp;"","")&amp;"; "&amp;IFERROR(INDEX(Clay_Offices!$A$2:$FZ$601,60,Sync!$C$9)&amp;"",""))</f>
        <v/>
      </c>
      <c r="K2311" s="32" t="s">
        <v>1364</v>
      </c>
    </row>
    <row r="2312" customFormat="false" ht="15" hidden="false" customHeight="false" outlineLevel="0" collapsed="false">
      <c r="A2312" s="23" t="str">
        <f aca="false">IF(B2312="","",B2312+(13*1000+61)/10000000)</f>
        <v/>
      </c>
      <c r="B2312" s="35" t="str">
        <f aca="false">IF(AND(IFERROR(N(INDEX(Clay_Offices!$A$2:$FZ$601,61,Sync!$C$12)),0)&gt;0,IFERROR(INDEX(Clay_Offices!$A$2:$FZ$601,61,Sync!$C$5)&amp;"","")&lt;&gt;"",OR(LEFT(IFERROR(INDEX(Clay_Offices!$A$2:$FZ$601,61,Sync!$C$5)&amp;"",""),6)&lt;&gt;"SAMPLE",Config!$B$19="Y")),IFERROR(N(INDEX(Clay_Offices!$A$2:$FZ$601,61,Sync!$C$12)),0),"")</f>
        <v/>
      </c>
      <c r="C2312" s="23" t="str">
        <f aca="false">IF(B2312="","","office")</f>
        <v/>
      </c>
      <c r="D2312" s="23" t="str">
        <f aca="false">IF(B2312="","",IFERROR(INDEX(Office_Log!$ED$2:$ED$201,MATCH(IFERROR(INDEX(Clay_Offices!$A$2:$FZ$601,61,Sync!$C$5)&amp;"",""),Office_Log!$A$2:$A$201,0))&amp;"",IFERROR(INDEX(Clay_Offices!$A$2:$FZ$601,61,Sync!$C$5)&amp;"","")&amp;""))</f>
        <v/>
      </c>
      <c r="E2312" s="23" t="str">
        <f aca="false">IF(B2312="","",IFERROR(INDEX(Clay_Offices!$A$2:$FZ$601,61,Sync!$C$6)&amp;"",""))</f>
        <v/>
      </c>
      <c r="F2312" s="23" t="str">
        <f aca="false">IF(B2312="","","outreach_sent")</f>
        <v/>
      </c>
      <c r="G2312" s="23" t="str">
        <f aca="false">IF(B2312="","","")</f>
        <v/>
      </c>
      <c r="H2312" s="23" t="str">
        <f aca="false">IF(B2312="","","")</f>
        <v/>
      </c>
      <c r="I2312" s="23" t="str">
        <f aca="false">IF(B2312="","","")</f>
        <v/>
      </c>
      <c r="J2312" s="23" t="str">
        <f aca="false">IF(B2312="","","touch_2; "&amp;IFERROR(INDEX(Clay_Offices!$A$2:$FZ$601,61,Sync!$C$10)&amp;"","")&amp;"; "&amp;IFERROR(INDEX(Clay_Offices!$A$2:$FZ$601,61,Sync!$C$9)&amp;"",""))</f>
        <v/>
      </c>
      <c r="K2312" s="32" t="s">
        <v>1364</v>
      </c>
    </row>
    <row r="2313" customFormat="false" ht="15" hidden="false" customHeight="false" outlineLevel="0" collapsed="false">
      <c r="A2313" s="23" t="str">
        <f aca="false">IF(B2313="","",B2313+(13*1000+62)/10000000)</f>
        <v/>
      </c>
      <c r="B2313" s="35" t="str">
        <f aca="false">IF(AND(IFERROR(N(INDEX(Clay_Offices!$A$2:$FZ$601,62,Sync!$C$12)),0)&gt;0,IFERROR(INDEX(Clay_Offices!$A$2:$FZ$601,62,Sync!$C$5)&amp;"","")&lt;&gt;"",OR(LEFT(IFERROR(INDEX(Clay_Offices!$A$2:$FZ$601,62,Sync!$C$5)&amp;"",""),6)&lt;&gt;"SAMPLE",Config!$B$19="Y")),IFERROR(N(INDEX(Clay_Offices!$A$2:$FZ$601,62,Sync!$C$12)),0),"")</f>
        <v/>
      </c>
      <c r="C2313" s="23" t="str">
        <f aca="false">IF(B2313="","","office")</f>
        <v/>
      </c>
      <c r="D2313" s="23" t="str">
        <f aca="false">IF(B2313="","",IFERROR(INDEX(Office_Log!$ED$2:$ED$201,MATCH(IFERROR(INDEX(Clay_Offices!$A$2:$FZ$601,62,Sync!$C$5)&amp;"",""),Office_Log!$A$2:$A$201,0))&amp;"",IFERROR(INDEX(Clay_Offices!$A$2:$FZ$601,62,Sync!$C$5)&amp;"","")&amp;""))</f>
        <v/>
      </c>
      <c r="E2313" s="23" t="str">
        <f aca="false">IF(B2313="","",IFERROR(INDEX(Clay_Offices!$A$2:$FZ$601,62,Sync!$C$6)&amp;"",""))</f>
        <v/>
      </c>
      <c r="F2313" s="23" t="str">
        <f aca="false">IF(B2313="","","outreach_sent")</f>
        <v/>
      </c>
      <c r="G2313" s="23" t="str">
        <f aca="false">IF(B2313="","","")</f>
        <v/>
      </c>
      <c r="H2313" s="23" t="str">
        <f aca="false">IF(B2313="","","")</f>
        <v/>
      </c>
      <c r="I2313" s="23" t="str">
        <f aca="false">IF(B2313="","","")</f>
        <v/>
      </c>
      <c r="J2313" s="23" t="str">
        <f aca="false">IF(B2313="","","touch_2; "&amp;IFERROR(INDEX(Clay_Offices!$A$2:$FZ$601,62,Sync!$C$10)&amp;"","")&amp;"; "&amp;IFERROR(INDEX(Clay_Offices!$A$2:$FZ$601,62,Sync!$C$9)&amp;"",""))</f>
        <v/>
      </c>
      <c r="K2313" s="32" t="s">
        <v>1364</v>
      </c>
    </row>
    <row r="2314" customFormat="false" ht="15" hidden="false" customHeight="false" outlineLevel="0" collapsed="false">
      <c r="A2314" s="23" t="str">
        <f aca="false">IF(B2314="","",B2314+(13*1000+63)/10000000)</f>
        <v/>
      </c>
      <c r="B2314" s="35" t="str">
        <f aca="false">IF(AND(IFERROR(N(INDEX(Clay_Offices!$A$2:$FZ$601,63,Sync!$C$12)),0)&gt;0,IFERROR(INDEX(Clay_Offices!$A$2:$FZ$601,63,Sync!$C$5)&amp;"","")&lt;&gt;"",OR(LEFT(IFERROR(INDEX(Clay_Offices!$A$2:$FZ$601,63,Sync!$C$5)&amp;"",""),6)&lt;&gt;"SAMPLE",Config!$B$19="Y")),IFERROR(N(INDEX(Clay_Offices!$A$2:$FZ$601,63,Sync!$C$12)),0),"")</f>
        <v/>
      </c>
      <c r="C2314" s="23" t="str">
        <f aca="false">IF(B2314="","","office")</f>
        <v/>
      </c>
      <c r="D2314" s="23" t="str">
        <f aca="false">IF(B2314="","",IFERROR(INDEX(Office_Log!$ED$2:$ED$201,MATCH(IFERROR(INDEX(Clay_Offices!$A$2:$FZ$601,63,Sync!$C$5)&amp;"",""),Office_Log!$A$2:$A$201,0))&amp;"",IFERROR(INDEX(Clay_Offices!$A$2:$FZ$601,63,Sync!$C$5)&amp;"","")&amp;""))</f>
        <v/>
      </c>
      <c r="E2314" s="23" t="str">
        <f aca="false">IF(B2314="","",IFERROR(INDEX(Clay_Offices!$A$2:$FZ$601,63,Sync!$C$6)&amp;"",""))</f>
        <v/>
      </c>
      <c r="F2314" s="23" t="str">
        <f aca="false">IF(B2314="","","outreach_sent")</f>
        <v/>
      </c>
      <c r="G2314" s="23" t="str">
        <f aca="false">IF(B2314="","","")</f>
        <v/>
      </c>
      <c r="H2314" s="23" t="str">
        <f aca="false">IF(B2314="","","")</f>
        <v/>
      </c>
      <c r="I2314" s="23" t="str">
        <f aca="false">IF(B2314="","","")</f>
        <v/>
      </c>
      <c r="J2314" s="23" t="str">
        <f aca="false">IF(B2314="","","touch_2; "&amp;IFERROR(INDEX(Clay_Offices!$A$2:$FZ$601,63,Sync!$C$10)&amp;"","")&amp;"; "&amp;IFERROR(INDEX(Clay_Offices!$A$2:$FZ$601,63,Sync!$C$9)&amp;"",""))</f>
        <v/>
      </c>
      <c r="K2314" s="32" t="s">
        <v>1364</v>
      </c>
    </row>
    <row r="2315" customFormat="false" ht="15" hidden="false" customHeight="false" outlineLevel="0" collapsed="false">
      <c r="A2315" s="23" t="str">
        <f aca="false">IF(B2315="","",B2315+(13*1000+64)/10000000)</f>
        <v/>
      </c>
      <c r="B2315" s="35" t="str">
        <f aca="false">IF(AND(IFERROR(N(INDEX(Clay_Offices!$A$2:$FZ$601,64,Sync!$C$12)),0)&gt;0,IFERROR(INDEX(Clay_Offices!$A$2:$FZ$601,64,Sync!$C$5)&amp;"","")&lt;&gt;"",OR(LEFT(IFERROR(INDEX(Clay_Offices!$A$2:$FZ$601,64,Sync!$C$5)&amp;"",""),6)&lt;&gt;"SAMPLE",Config!$B$19="Y")),IFERROR(N(INDEX(Clay_Offices!$A$2:$FZ$601,64,Sync!$C$12)),0),"")</f>
        <v/>
      </c>
      <c r="C2315" s="23" t="str">
        <f aca="false">IF(B2315="","","office")</f>
        <v/>
      </c>
      <c r="D2315" s="23" t="str">
        <f aca="false">IF(B2315="","",IFERROR(INDEX(Office_Log!$ED$2:$ED$201,MATCH(IFERROR(INDEX(Clay_Offices!$A$2:$FZ$601,64,Sync!$C$5)&amp;"",""),Office_Log!$A$2:$A$201,0))&amp;"",IFERROR(INDEX(Clay_Offices!$A$2:$FZ$601,64,Sync!$C$5)&amp;"","")&amp;""))</f>
        <v/>
      </c>
      <c r="E2315" s="23" t="str">
        <f aca="false">IF(B2315="","",IFERROR(INDEX(Clay_Offices!$A$2:$FZ$601,64,Sync!$C$6)&amp;"",""))</f>
        <v/>
      </c>
      <c r="F2315" s="23" t="str">
        <f aca="false">IF(B2315="","","outreach_sent")</f>
        <v/>
      </c>
      <c r="G2315" s="23" t="str">
        <f aca="false">IF(B2315="","","")</f>
        <v/>
      </c>
      <c r="H2315" s="23" t="str">
        <f aca="false">IF(B2315="","","")</f>
        <v/>
      </c>
      <c r="I2315" s="23" t="str">
        <f aca="false">IF(B2315="","","")</f>
        <v/>
      </c>
      <c r="J2315" s="23" t="str">
        <f aca="false">IF(B2315="","","touch_2; "&amp;IFERROR(INDEX(Clay_Offices!$A$2:$FZ$601,64,Sync!$C$10)&amp;"","")&amp;"; "&amp;IFERROR(INDEX(Clay_Offices!$A$2:$FZ$601,64,Sync!$C$9)&amp;"",""))</f>
        <v/>
      </c>
      <c r="K2315" s="32" t="s">
        <v>1364</v>
      </c>
    </row>
    <row r="2316" customFormat="false" ht="15" hidden="false" customHeight="false" outlineLevel="0" collapsed="false">
      <c r="A2316" s="23" t="str">
        <f aca="false">IF(B2316="","",B2316+(13*1000+65)/10000000)</f>
        <v/>
      </c>
      <c r="B2316" s="35" t="str">
        <f aca="false">IF(AND(IFERROR(N(INDEX(Clay_Offices!$A$2:$FZ$601,65,Sync!$C$12)),0)&gt;0,IFERROR(INDEX(Clay_Offices!$A$2:$FZ$601,65,Sync!$C$5)&amp;"","")&lt;&gt;"",OR(LEFT(IFERROR(INDEX(Clay_Offices!$A$2:$FZ$601,65,Sync!$C$5)&amp;"",""),6)&lt;&gt;"SAMPLE",Config!$B$19="Y")),IFERROR(N(INDEX(Clay_Offices!$A$2:$FZ$601,65,Sync!$C$12)),0),"")</f>
        <v/>
      </c>
      <c r="C2316" s="23" t="str">
        <f aca="false">IF(B2316="","","office")</f>
        <v/>
      </c>
      <c r="D2316" s="23" t="str">
        <f aca="false">IF(B2316="","",IFERROR(INDEX(Office_Log!$ED$2:$ED$201,MATCH(IFERROR(INDEX(Clay_Offices!$A$2:$FZ$601,65,Sync!$C$5)&amp;"",""),Office_Log!$A$2:$A$201,0))&amp;"",IFERROR(INDEX(Clay_Offices!$A$2:$FZ$601,65,Sync!$C$5)&amp;"","")&amp;""))</f>
        <v/>
      </c>
      <c r="E2316" s="23" t="str">
        <f aca="false">IF(B2316="","",IFERROR(INDEX(Clay_Offices!$A$2:$FZ$601,65,Sync!$C$6)&amp;"",""))</f>
        <v/>
      </c>
      <c r="F2316" s="23" t="str">
        <f aca="false">IF(B2316="","","outreach_sent")</f>
        <v/>
      </c>
      <c r="G2316" s="23" t="str">
        <f aca="false">IF(B2316="","","")</f>
        <v/>
      </c>
      <c r="H2316" s="23" t="str">
        <f aca="false">IF(B2316="","","")</f>
        <v/>
      </c>
      <c r="I2316" s="23" t="str">
        <f aca="false">IF(B2316="","","")</f>
        <v/>
      </c>
      <c r="J2316" s="23" t="str">
        <f aca="false">IF(B2316="","","touch_2; "&amp;IFERROR(INDEX(Clay_Offices!$A$2:$FZ$601,65,Sync!$C$10)&amp;"","")&amp;"; "&amp;IFERROR(INDEX(Clay_Offices!$A$2:$FZ$601,65,Sync!$C$9)&amp;"",""))</f>
        <v/>
      </c>
      <c r="K2316" s="32" t="s">
        <v>1364</v>
      </c>
    </row>
    <row r="2317" customFormat="false" ht="15" hidden="false" customHeight="false" outlineLevel="0" collapsed="false">
      <c r="A2317" s="23" t="str">
        <f aca="false">IF(B2317="","",B2317+(13*1000+66)/10000000)</f>
        <v/>
      </c>
      <c r="B2317" s="35" t="str">
        <f aca="false">IF(AND(IFERROR(N(INDEX(Clay_Offices!$A$2:$FZ$601,66,Sync!$C$12)),0)&gt;0,IFERROR(INDEX(Clay_Offices!$A$2:$FZ$601,66,Sync!$C$5)&amp;"","")&lt;&gt;"",OR(LEFT(IFERROR(INDEX(Clay_Offices!$A$2:$FZ$601,66,Sync!$C$5)&amp;"",""),6)&lt;&gt;"SAMPLE",Config!$B$19="Y")),IFERROR(N(INDEX(Clay_Offices!$A$2:$FZ$601,66,Sync!$C$12)),0),"")</f>
        <v/>
      </c>
      <c r="C2317" s="23" t="str">
        <f aca="false">IF(B2317="","","office")</f>
        <v/>
      </c>
      <c r="D2317" s="23" t="str">
        <f aca="false">IF(B2317="","",IFERROR(INDEX(Office_Log!$ED$2:$ED$201,MATCH(IFERROR(INDEX(Clay_Offices!$A$2:$FZ$601,66,Sync!$C$5)&amp;"",""),Office_Log!$A$2:$A$201,0))&amp;"",IFERROR(INDEX(Clay_Offices!$A$2:$FZ$601,66,Sync!$C$5)&amp;"","")&amp;""))</f>
        <v/>
      </c>
      <c r="E2317" s="23" t="str">
        <f aca="false">IF(B2317="","",IFERROR(INDEX(Clay_Offices!$A$2:$FZ$601,66,Sync!$C$6)&amp;"",""))</f>
        <v/>
      </c>
      <c r="F2317" s="23" t="str">
        <f aca="false">IF(B2317="","","outreach_sent")</f>
        <v/>
      </c>
      <c r="G2317" s="23" t="str">
        <f aca="false">IF(B2317="","","")</f>
        <v/>
      </c>
      <c r="H2317" s="23" t="str">
        <f aca="false">IF(B2317="","","")</f>
        <v/>
      </c>
      <c r="I2317" s="23" t="str">
        <f aca="false">IF(B2317="","","")</f>
        <v/>
      </c>
      <c r="J2317" s="23" t="str">
        <f aca="false">IF(B2317="","","touch_2; "&amp;IFERROR(INDEX(Clay_Offices!$A$2:$FZ$601,66,Sync!$C$10)&amp;"","")&amp;"; "&amp;IFERROR(INDEX(Clay_Offices!$A$2:$FZ$601,66,Sync!$C$9)&amp;"",""))</f>
        <v/>
      </c>
      <c r="K2317" s="32" t="s">
        <v>1364</v>
      </c>
    </row>
    <row r="2318" customFormat="false" ht="15" hidden="false" customHeight="false" outlineLevel="0" collapsed="false">
      <c r="A2318" s="23" t="str">
        <f aca="false">IF(B2318="","",B2318+(13*1000+67)/10000000)</f>
        <v/>
      </c>
      <c r="B2318" s="35" t="str">
        <f aca="false">IF(AND(IFERROR(N(INDEX(Clay_Offices!$A$2:$FZ$601,67,Sync!$C$12)),0)&gt;0,IFERROR(INDEX(Clay_Offices!$A$2:$FZ$601,67,Sync!$C$5)&amp;"","")&lt;&gt;"",OR(LEFT(IFERROR(INDEX(Clay_Offices!$A$2:$FZ$601,67,Sync!$C$5)&amp;"",""),6)&lt;&gt;"SAMPLE",Config!$B$19="Y")),IFERROR(N(INDEX(Clay_Offices!$A$2:$FZ$601,67,Sync!$C$12)),0),"")</f>
        <v/>
      </c>
      <c r="C2318" s="23" t="str">
        <f aca="false">IF(B2318="","","office")</f>
        <v/>
      </c>
      <c r="D2318" s="23" t="str">
        <f aca="false">IF(B2318="","",IFERROR(INDEX(Office_Log!$ED$2:$ED$201,MATCH(IFERROR(INDEX(Clay_Offices!$A$2:$FZ$601,67,Sync!$C$5)&amp;"",""),Office_Log!$A$2:$A$201,0))&amp;"",IFERROR(INDEX(Clay_Offices!$A$2:$FZ$601,67,Sync!$C$5)&amp;"","")&amp;""))</f>
        <v/>
      </c>
      <c r="E2318" s="23" t="str">
        <f aca="false">IF(B2318="","",IFERROR(INDEX(Clay_Offices!$A$2:$FZ$601,67,Sync!$C$6)&amp;"",""))</f>
        <v/>
      </c>
      <c r="F2318" s="23" t="str">
        <f aca="false">IF(B2318="","","outreach_sent")</f>
        <v/>
      </c>
      <c r="G2318" s="23" t="str">
        <f aca="false">IF(B2318="","","")</f>
        <v/>
      </c>
      <c r="H2318" s="23" t="str">
        <f aca="false">IF(B2318="","","")</f>
        <v/>
      </c>
      <c r="I2318" s="23" t="str">
        <f aca="false">IF(B2318="","","")</f>
        <v/>
      </c>
      <c r="J2318" s="23" t="str">
        <f aca="false">IF(B2318="","","touch_2; "&amp;IFERROR(INDEX(Clay_Offices!$A$2:$FZ$601,67,Sync!$C$10)&amp;"","")&amp;"; "&amp;IFERROR(INDEX(Clay_Offices!$A$2:$FZ$601,67,Sync!$C$9)&amp;"",""))</f>
        <v/>
      </c>
      <c r="K2318" s="32" t="s">
        <v>1364</v>
      </c>
    </row>
    <row r="2319" customFormat="false" ht="15" hidden="false" customHeight="false" outlineLevel="0" collapsed="false">
      <c r="A2319" s="23" t="str">
        <f aca="false">IF(B2319="","",B2319+(13*1000+68)/10000000)</f>
        <v/>
      </c>
      <c r="B2319" s="35" t="str">
        <f aca="false">IF(AND(IFERROR(N(INDEX(Clay_Offices!$A$2:$FZ$601,68,Sync!$C$12)),0)&gt;0,IFERROR(INDEX(Clay_Offices!$A$2:$FZ$601,68,Sync!$C$5)&amp;"","")&lt;&gt;"",OR(LEFT(IFERROR(INDEX(Clay_Offices!$A$2:$FZ$601,68,Sync!$C$5)&amp;"",""),6)&lt;&gt;"SAMPLE",Config!$B$19="Y")),IFERROR(N(INDEX(Clay_Offices!$A$2:$FZ$601,68,Sync!$C$12)),0),"")</f>
        <v/>
      </c>
      <c r="C2319" s="23" t="str">
        <f aca="false">IF(B2319="","","office")</f>
        <v/>
      </c>
      <c r="D2319" s="23" t="str">
        <f aca="false">IF(B2319="","",IFERROR(INDEX(Office_Log!$ED$2:$ED$201,MATCH(IFERROR(INDEX(Clay_Offices!$A$2:$FZ$601,68,Sync!$C$5)&amp;"",""),Office_Log!$A$2:$A$201,0))&amp;"",IFERROR(INDEX(Clay_Offices!$A$2:$FZ$601,68,Sync!$C$5)&amp;"","")&amp;""))</f>
        <v/>
      </c>
      <c r="E2319" s="23" t="str">
        <f aca="false">IF(B2319="","",IFERROR(INDEX(Clay_Offices!$A$2:$FZ$601,68,Sync!$C$6)&amp;"",""))</f>
        <v/>
      </c>
      <c r="F2319" s="23" t="str">
        <f aca="false">IF(B2319="","","outreach_sent")</f>
        <v/>
      </c>
      <c r="G2319" s="23" t="str">
        <f aca="false">IF(B2319="","","")</f>
        <v/>
      </c>
      <c r="H2319" s="23" t="str">
        <f aca="false">IF(B2319="","","")</f>
        <v/>
      </c>
      <c r="I2319" s="23" t="str">
        <f aca="false">IF(B2319="","","")</f>
        <v/>
      </c>
      <c r="J2319" s="23" t="str">
        <f aca="false">IF(B2319="","","touch_2; "&amp;IFERROR(INDEX(Clay_Offices!$A$2:$FZ$601,68,Sync!$C$10)&amp;"","")&amp;"; "&amp;IFERROR(INDEX(Clay_Offices!$A$2:$FZ$601,68,Sync!$C$9)&amp;"",""))</f>
        <v/>
      </c>
      <c r="K2319" s="32" t="s">
        <v>1364</v>
      </c>
    </row>
    <row r="2320" customFormat="false" ht="15" hidden="false" customHeight="false" outlineLevel="0" collapsed="false">
      <c r="A2320" s="23" t="str">
        <f aca="false">IF(B2320="","",B2320+(13*1000+69)/10000000)</f>
        <v/>
      </c>
      <c r="B2320" s="35" t="str">
        <f aca="false">IF(AND(IFERROR(N(INDEX(Clay_Offices!$A$2:$FZ$601,69,Sync!$C$12)),0)&gt;0,IFERROR(INDEX(Clay_Offices!$A$2:$FZ$601,69,Sync!$C$5)&amp;"","")&lt;&gt;"",OR(LEFT(IFERROR(INDEX(Clay_Offices!$A$2:$FZ$601,69,Sync!$C$5)&amp;"",""),6)&lt;&gt;"SAMPLE",Config!$B$19="Y")),IFERROR(N(INDEX(Clay_Offices!$A$2:$FZ$601,69,Sync!$C$12)),0),"")</f>
        <v/>
      </c>
      <c r="C2320" s="23" t="str">
        <f aca="false">IF(B2320="","","office")</f>
        <v/>
      </c>
      <c r="D2320" s="23" t="str">
        <f aca="false">IF(B2320="","",IFERROR(INDEX(Office_Log!$ED$2:$ED$201,MATCH(IFERROR(INDEX(Clay_Offices!$A$2:$FZ$601,69,Sync!$C$5)&amp;"",""),Office_Log!$A$2:$A$201,0))&amp;"",IFERROR(INDEX(Clay_Offices!$A$2:$FZ$601,69,Sync!$C$5)&amp;"","")&amp;""))</f>
        <v/>
      </c>
      <c r="E2320" s="23" t="str">
        <f aca="false">IF(B2320="","",IFERROR(INDEX(Clay_Offices!$A$2:$FZ$601,69,Sync!$C$6)&amp;"",""))</f>
        <v/>
      </c>
      <c r="F2320" s="23" t="str">
        <f aca="false">IF(B2320="","","outreach_sent")</f>
        <v/>
      </c>
      <c r="G2320" s="23" t="str">
        <f aca="false">IF(B2320="","","")</f>
        <v/>
      </c>
      <c r="H2320" s="23" t="str">
        <f aca="false">IF(B2320="","","")</f>
        <v/>
      </c>
      <c r="I2320" s="23" t="str">
        <f aca="false">IF(B2320="","","")</f>
        <v/>
      </c>
      <c r="J2320" s="23" t="str">
        <f aca="false">IF(B2320="","","touch_2; "&amp;IFERROR(INDEX(Clay_Offices!$A$2:$FZ$601,69,Sync!$C$10)&amp;"","")&amp;"; "&amp;IFERROR(INDEX(Clay_Offices!$A$2:$FZ$601,69,Sync!$C$9)&amp;"",""))</f>
        <v/>
      </c>
      <c r="K2320" s="32" t="s">
        <v>1364</v>
      </c>
    </row>
    <row r="2321" customFormat="false" ht="15" hidden="false" customHeight="false" outlineLevel="0" collapsed="false">
      <c r="A2321" s="23" t="str">
        <f aca="false">IF(B2321="","",B2321+(13*1000+70)/10000000)</f>
        <v/>
      </c>
      <c r="B2321" s="35" t="str">
        <f aca="false">IF(AND(IFERROR(N(INDEX(Clay_Offices!$A$2:$FZ$601,70,Sync!$C$12)),0)&gt;0,IFERROR(INDEX(Clay_Offices!$A$2:$FZ$601,70,Sync!$C$5)&amp;"","")&lt;&gt;"",OR(LEFT(IFERROR(INDEX(Clay_Offices!$A$2:$FZ$601,70,Sync!$C$5)&amp;"",""),6)&lt;&gt;"SAMPLE",Config!$B$19="Y")),IFERROR(N(INDEX(Clay_Offices!$A$2:$FZ$601,70,Sync!$C$12)),0),"")</f>
        <v/>
      </c>
      <c r="C2321" s="23" t="str">
        <f aca="false">IF(B2321="","","office")</f>
        <v/>
      </c>
      <c r="D2321" s="23" t="str">
        <f aca="false">IF(B2321="","",IFERROR(INDEX(Office_Log!$ED$2:$ED$201,MATCH(IFERROR(INDEX(Clay_Offices!$A$2:$FZ$601,70,Sync!$C$5)&amp;"",""),Office_Log!$A$2:$A$201,0))&amp;"",IFERROR(INDEX(Clay_Offices!$A$2:$FZ$601,70,Sync!$C$5)&amp;"","")&amp;""))</f>
        <v/>
      </c>
      <c r="E2321" s="23" t="str">
        <f aca="false">IF(B2321="","",IFERROR(INDEX(Clay_Offices!$A$2:$FZ$601,70,Sync!$C$6)&amp;"",""))</f>
        <v/>
      </c>
      <c r="F2321" s="23" t="str">
        <f aca="false">IF(B2321="","","outreach_sent")</f>
        <v/>
      </c>
      <c r="G2321" s="23" t="str">
        <f aca="false">IF(B2321="","","")</f>
        <v/>
      </c>
      <c r="H2321" s="23" t="str">
        <f aca="false">IF(B2321="","","")</f>
        <v/>
      </c>
      <c r="I2321" s="23" t="str">
        <f aca="false">IF(B2321="","","")</f>
        <v/>
      </c>
      <c r="J2321" s="23" t="str">
        <f aca="false">IF(B2321="","","touch_2; "&amp;IFERROR(INDEX(Clay_Offices!$A$2:$FZ$601,70,Sync!$C$10)&amp;"","")&amp;"; "&amp;IFERROR(INDEX(Clay_Offices!$A$2:$FZ$601,70,Sync!$C$9)&amp;"",""))</f>
        <v/>
      </c>
      <c r="K2321" s="32" t="s">
        <v>1364</v>
      </c>
    </row>
    <row r="2322" customFormat="false" ht="15" hidden="false" customHeight="false" outlineLevel="0" collapsed="false">
      <c r="A2322" s="23" t="str">
        <f aca="false">IF(B2322="","",B2322+(13*1000+71)/10000000)</f>
        <v/>
      </c>
      <c r="B2322" s="35" t="str">
        <f aca="false">IF(AND(IFERROR(N(INDEX(Clay_Offices!$A$2:$FZ$601,71,Sync!$C$12)),0)&gt;0,IFERROR(INDEX(Clay_Offices!$A$2:$FZ$601,71,Sync!$C$5)&amp;"","")&lt;&gt;"",OR(LEFT(IFERROR(INDEX(Clay_Offices!$A$2:$FZ$601,71,Sync!$C$5)&amp;"",""),6)&lt;&gt;"SAMPLE",Config!$B$19="Y")),IFERROR(N(INDEX(Clay_Offices!$A$2:$FZ$601,71,Sync!$C$12)),0),"")</f>
        <v/>
      </c>
      <c r="C2322" s="23" t="str">
        <f aca="false">IF(B2322="","","office")</f>
        <v/>
      </c>
      <c r="D2322" s="23" t="str">
        <f aca="false">IF(B2322="","",IFERROR(INDEX(Office_Log!$ED$2:$ED$201,MATCH(IFERROR(INDEX(Clay_Offices!$A$2:$FZ$601,71,Sync!$C$5)&amp;"",""),Office_Log!$A$2:$A$201,0))&amp;"",IFERROR(INDEX(Clay_Offices!$A$2:$FZ$601,71,Sync!$C$5)&amp;"","")&amp;""))</f>
        <v/>
      </c>
      <c r="E2322" s="23" t="str">
        <f aca="false">IF(B2322="","",IFERROR(INDEX(Clay_Offices!$A$2:$FZ$601,71,Sync!$C$6)&amp;"",""))</f>
        <v/>
      </c>
      <c r="F2322" s="23" t="str">
        <f aca="false">IF(B2322="","","outreach_sent")</f>
        <v/>
      </c>
      <c r="G2322" s="23" t="str">
        <f aca="false">IF(B2322="","","")</f>
        <v/>
      </c>
      <c r="H2322" s="23" t="str">
        <f aca="false">IF(B2322="","","")</f>
        <v/>
      </c>
      <c r="I2322" s="23" t="str">
        <f aca="false">IF(B2322="","","")</f>
        <v/>
      </c>
      <c r="J2322" s="23" t="str">
        <f aca="false">IF(B2322="","","touch_2; "&amp;IFERROR(INDEX(Clay_Offices!$A$2:$FZ$601,71,Sync!$C$10)&amp;"","")&amp;"; "&amp;IFERROR(INDEX(Clay_Offices!$A$2:$FZ$601,71,Sync!$C$9)&amp;"",""))</f>
        <v/>
      </c>
      <c r="K2322" s="32" t="s">
        <v>1364</v>
      </c>
    </row>
    <row r="2323" customFormat="false" ht="15" hidden="false" customHeight="false" outlineLevel="0" collapsed="false">
      <c r="A2323" s="23" t="str">
        <f aca="false">IF(B2323="","",B2323+(13*1000+72)/10000000)</f>
        <v/>
      </c>
      <c r="B2323" s="35" t="str">
        <f aca="false">IF(AND(IFERROR(N(INDEX(Clay_Offices!$A$2:$FZ$601,72,Sync!$C$12)),0)&gt;0,IFERROR(INDEX(Clay_Offices!$A$2:$FZ$601,72,Sync!$C$5)&amp;"","")&lt;&gt;"",OR(LEFT(IFERROR(INDEX(Clay_Offices!$A$2:$FZ$601,72,Sync!$C$5)&amp;"",""),6)&lt;&gt;"SAMPLE",Config!$B$19="Y")),IFERROR(N(INDEX(Clay_Offices!$A$2:$FZ$601,72,Sync!$C$12)),0),"")</f>
        <v/>
      </c>
      <c r="C2323" s="23" t="str">
        <f aca="false">IF(B2323="","","office")</f>
        <v/>
      </c>
      <c r="D2323" s="23" t="str">
        <f aca="false">IF(B2323="","",IFERROR(INDEX(Office_Log!$ED$2:$ED$201,MATCH(IFERROR(INDEX(Clay_Offices!$A$2:$FZ$601,72,Sync!$C$5)&amp;"",""),Office_Log!$A$2:$A$201,0))&amp;"",IFERROR(INDEX(Clay_Offices!$A$2:$FZ$601,72,Sync!$C$5)&amp;"","")&amp;""))</f>
        <v/>
      </c>
      <c r="E2323" s="23" t="str">
        <f aca="false">IF(B2323="","",IFERROR(INDEX(Clay_Offices!$A$2:$FZ$601,72,Sync!$C$6)&amp;"",""))</f>
        <v/>
      </c>
      <c r="F2323" s="23" t="str">
        <f aca="false">IF(B2323="","","outreach_sent")</f>
        <v/>
      </c>
      <c r="G2323" s="23" t="str">
        <f aca="false">IF(B2323="","","")</f>
        <v/>
      </c>
      <c r="H2323" s="23" t="str">
        <f aca="false">IF(B2323="","","")</f>
        <v/>
      </c>
      <c r="I2323" s="23" t="str">
        <f aca="false">IF(B2323="","","")</f>
        <v/>
      </c>
      <c r="J2323" s="23" t="str">
        <f aca="false">IF(B2323="","","touch_2; "&amp;IFERROR(INDEX(Clay_Offices!$A$2:$FZ$601,72,Sync!$C$10)&amp;"","")&amp;"; "&amp;IFERROR(INDEX(Clay_Offices!$A$2:$FZ$601,72,Sync!$C$9)&amp;"",""))</f>
        <v/>
      </c>
      <c r="K2323" s="32" t="s">
        <v>1364</v>
      </c>
    </row>
    <row r="2324" customFormat="false" ht="15" hidden="false" customHeight="false" outlineLevel="0" collapsed="false">
      <c r="A2324" s="23" t="str">
        <f aca="false">IF(B2324="","",B2324+(13*1000+73)/10000000)</f>
        <v/>
      </c>
      <c r="B2324" s="35" t="str">
        <f aca="false">IF(AND(IFERROR(N(INDEX(Clay_Offices!$A$2:$FZ$601,73,Sync!$C$12)),0)&gt;0,IFERROR(INDEX(Clay_Offices!$A$2:$FZ$601,73,Sync!$C$5)&amp;"","")&lt;&gt;"",OR(LEFT(IFERROR(INDEX(Clay_Offices!$A$2:$FZ$601,73,Sync!$C$5)&amp;"",""),6)&lt;&gt;"SAMPLE",Config!$B$19="Y")),IFERROR(N(INDEX(Clay_Offices!$A$2:$FZ$601,73,Sync!$C$12)),0),"")</f>
        <v/>
      </c>
      <c r="C2324" s="23" t="str">
        <f aca="false">IF(B2324="","","office")</f>
        <v/>
      </c>
      <c r="D2324" s="23" t="str">
        <f aca="false">IF(B2324="","",IFERROR(INDEX(Office_Log!$ED$2:$ED$201,MATCH(IFERROR(INDEX(Clay_Offices!$A$2:$FZ$601,73,Sync!$C$5)&amp;"",""),Office_Log!$A$2:$A$201,0))&amp;"",IFERROR(INDEX(Clay_Offices!$A$2:$FZ$601,73,Sync!$C$5)&amp;"","")&amp;""))</f>
        <v/>
      </c>
      <c r="E2324" s="23" t="str">
        <f aca="false">IF(B2324="","",IFERROR(INDEX(Clay_Offices!$A$2:$FZ$601,73,Sync!$C$6)&amp;"",""))</f>
        <v/>
      </c>
      <c r="F2324" s="23" t="str">
        <f aca="false">IF(B2324="","","outreach_sent")</f>
        <v/>
      </c>
      <c r="G2324" s="23" t="str">
        <f aca="false">IF(B2324="","","")</f>
        <v/>
      </c>
      <c r="H2324" s="23" t="str">
        <f aca="false">IF(B2324="","","")</f>
        <v/>
      </c>
      <c r="I2324" s="23" t="str">
        <f aca="false">IF(B2324="","","")</f>
        <v/>
      </c>
      <c r="J2324" s="23" t="str">
        <f aca="false">IF(B2324="","","touch_2; "&amp;IFERROR(INDEX(Clay_Offices!$A$2:$FZ$601,73,Sync!$C$10)&amp;"","")&amp;"; "&amp;IFERROR(INDEX(Clay_Offices!$A$2:$FZ$601,73,Sync!$C$9)&amp;"",""))</f>
        <v/>
      </c>
      <c r="K2324" s="32" t="s">
        <v>1364</v>
      </c>
    </row>
    <row r="2325" customFormat="false" ht="15" hidden="false" customHeight="false" outlineLevel="0" collapsed="false">
      <c r="A2325" s="23" t="str">
        <f aca="false">IF(B2325="","",B2325+(13*1000+74)/10000000)</f>
        <v/>
      </c>
      <c r="B2325" s="35" t="str">
        <f aca="false">IF(AND(IFERROR(N(INDEX(Clay_Offices!$A$2:$FZ$601,74,Sync!$C$12)),0)&gt;0,IFERROR(INDEX(Clay_Offices!$A$2:$FZ$601,74,Sync!$C$5)&amp;"","")&lt;&gt;"",OR(LEFT(IFERROR(INDEX(Clay_Offices!$A$2:$FZ$601,74,Sync!$C$5)&amp;"",""),6)&lt;&gt;"SAMPLE",Config!$B$19="Y")),IFERROR(N(INDEX(Clay_Offices!$A$2:$FZ$601,74,Sync!$C$12)),0),"")</f>
        <v/>
      </c>
      <c r="C2325" s="23" t="str">
        <f aca="false">IF(B2325="","","office")</f>
        <v/>
      </c>
      <c r="D2325" s="23" t="str">
        <f aca="false">IF(B2325="","",IFERROR(INDEX(Office_Log!$ED$2:$ED$201,MATCH(IFERROR(INDEX(Clay_Offices!$A$2:$FZ$601,74,Sync!$C$5)&amp;"",""),Office_Log!$A$2:$A$201,0))&amp;"",IFERROR(INDEX(Clay_Offices!$A$2:$FZ$601,74,Sync!$C$5)&amp;"","")&amp;""))</f>
        <v/>
      </c>
      <c r="E2325" s="23" t="str">
        <f aca="false">IF(B2325="","",IFERROR(INDEX(Clay_Offices!$A$2:$FZ$601,74,Sync!$C$6)&amp;"",""))</f>
        <v/>
      </c>
      <c r="F2325" s="23" t="str">
        <f aca="false">IF(B2325="","","outreach_sent")</f>
        <v/>
      </c>
      <c r="G2325" s="23" t="str">
        <f aca="false">IF(B2325="","","")</f>
        <v/>
      </c>
      <c r="H2325" s="23" t="str">
        <f aca="false">IF(B2325="","","")</f>
        <v/>
      </c>
      <c r="I2325" s="23" t="str">
        <f aca="false">IF(B2325="","","")</f>
        <v/>
      </c>
      <c r="J2325" s="23" t="str">
        <f aca="false">IF(B2325="","","touch_2; "&amp;IFERROR(INDEX(Clay_Offices!$A$2:$FZ$601,74,Sync!$C$10)&amp;"","")&amp;"; "&amp;IFERROR(INDEX(Clay_Offices!$A$2:$FZ$601,74,Sync!$C$9)&amp;"",""))</f>
        <v/>
      </c>
      <c r="K2325" s="32" t="s">
        <v>1364</v>
      </c>
    </row>
    <row r="2326" customFormat="false" ht="15" hidden="false" customHeight="false" outlineLevel="0" collapsed="false">
      <c r="A2326" s="23" t="str">
        <f aca="false">IF(B2326="","",B2326+(13*1000+75)/10000000)</f>
        <v/>
      </c>
      <c r="B2326" s="35" t="str">
        <f aca="false">IF(AND(IFERROR(N(INDEX(Clay_Offices!$A$2:$FZ$601,75,Sync!$C$12)),0)&gt;0,IFERROR(INDEX(Clay_Offices!$A$2:$FZ$601,75,Sync!$C$5)&amp;"","")&lt;&gt;"",OR(LEFT(IFERROR(INDEX(Clay_Offices!$A$2:$FZ$601,75,Sync!$C$5)&amp;"",""),6)&lt;&gt;"SAMPLE",Config!$B$19="Y")),IFERROR(N(INDEX(Clay_Offices!$A$2:$FZ$601,75,Sync!$C$12)),0),"")</f>
        <v/>
      </c>
      <c r="C2326" s="23" t="str">
        <f aca="false">IF(B2326="","","office")</f>
        <v/>
      </c>
      <c r="D2326" s="23" t="str">
        <f aca="false">IF(B2326="","",IFERROR(INDEX(Office_Log!$ED$2:$ED$201,MATCH(IFERROR(INDEX(Clay_Offices!$A$2:$FZ$601,75,Sync!$C$5)&amp;"",""),Office_Log!$A$2:$A$201,0))&amp;"",IFERROR(INDEX(Clay_Offices!$A$2:$FZ$601,75,Sync!$C$5)&amp;"","")&amp;""))</f>
        <v/>
      </c>
      <c r="E2326" s="23" t="str">
        <f aca="false">IF(B2326="","",IFERROR(INDEX(Clay_Offices!$A$2:$FZ$601,75,Sync!$C$6)&amp;"",""))</f>
        <v/>
      </c>
      <c r="F2326" s="23" t="str">
        <f aca="false">IF(B2326="","","outreach_sent")</f>
        <v/>
      </c>
      <c r="G2326" s="23" t="str">
        <f aca="false">IF(B2326="","","")</f>
        <v/>
      </c>
      <c r="H2326" s="23" t="str">
        <f aca="false">IF(B2326="","","")</f>
        <v/>
      </c>
      <c r="I2326" s="23" t="str">
        <f aca="false">IF(B2326="","","")</f>
        <v/>
      </c>
      <c r="J2326" s="23" t="str">
        <f aca="false">IF(B2326="","","touch_2; "&amp;IFERROR(INDEX(Clay_Offices!$A$2:$FZ$601,75,Sync!$C$10)&amp;"","")&amp;"; "&amp;IFERROR(INDEX(Clay_Offices!$A$2:$FZ$601,75,Sync!$C$9)&amp;"",""))</f>
        <v/>
      </c>
      <c r="K2326" s="32" t="s">
        <v>1364</v>
      </c>
    </row>
    <row r="2327" customFormat="false" ht="15" hidden="false" customHeight="false" outlineLevel="0" collapsed="false">
      <c r="A2327" s="23" t="str">
        <f aca="false">IF(B2327="","",B2327+(13*1000+76)/10000000)</f>
        <v/>
      </c>
      <c r="B2327" s="35" t="str">
        <f aca="false">IF(AND(IFERROR(N(INDEX(Clay_Offices!$A$2:$FZ$601,76,Sync!$C$12)),0)&gt;0,IFERROR(INDEX(Clay_Offices!$A$2:$FZ$601,76,Sync!$C$5)&amp;"","")&lt;&gt;"",OR(LEFT(IFERROR(INDEX(Clay_Offices!$A$2:$FZ$601,76,Sync!$C$5)&amp;"",""),6)&lt;&gt;"SAMPLE",Config!$B$19="Y")),IFERROR(N(INDEX(Clay_Offices!$A$2:$FZ$601,76,Sync!$C$12)),0),"")</f>
        <v/>
      </c>
      <c r="C2327" s="23" t="str">
        <f aca="false">IF(B2327="","","office")</f>
        <v/>
      </c>
      <c r="D2327" s="23" t="str">
        <f aca="false">IF(B2327="","",IFERROR(INDEX(Office_Log!$ED$2:$ED$201,MATCH(IFERROR(INDEX(Clay_Offices!$A$2:$FZ$601,76,Sync!$C$5)&amp;"",""),Office_Log!$A$2:$A$201,0))&amp;"",IFERROR(INDEX(Clay_Offices!$A$2:$FZ$601,76,Sync!$C$5)&amp;"","")&amp;""))</f>
        <v/>
      </c>
      <c r="E2327" s="23" t="str">
        <f aca="false">IF(B2327="","",IFERROR(INDEX(Clay_Offices!$A$2:$FZ$601,76,Sync!$C$6)&amp;"",""))</f>
        <v/>
      </c>
      <c r="F2327" s="23" t="str">
        <f aca="false">IF(B2327="","","outreach_sent")</f>
        <v/>
      </c>
      <c r="G2327" s="23" t="str">
        <f aca="false">IF(B2327="","","")</f>
        <v/>
      </c>
      <c r="H2327" s="23" t="str">
        <f aca="false">IF(B2327="","","")</f>
        <v/>
      </c>
      <c r="I2327" s="23" t="str">
        <f aca="false">IF(B2327="","","")</f>
        <v/>
      </c>
      <c r="J2327" s="23" t="str">
        <f aca="false">IF(B2327="","","touch_2; "&amp;IFERROR(INDEX(Clay_Offices!$A$2:$FZ$601,76,Sync!$C$10)&amp;"","")&amp;"; "&amp;IFERROR(INDEX(Clay_Offices!$A$2:$FZ$601,76,Sync!$C$9)&amp;"",""))</f>
        <v/>
      </c>
      <c r="K2327" s="32" t="s">
        <v>1364</v>
      </c>
    </row>
    <row r="2328" customFormat="false" ht="15" hidden="false" customHeight="false" outlineLevel="0" collapsed="false">
      <c r="A2328" s="23" t="str">
        <f aca="false">IF(B2328="","",B2328+(13*1000+77)/10000000)</f>
        <v/>
      </c>
      <c r="B2328" s="35" t="str">
        <f aca="false">IF(AND(IFERROR(N(INDEX(Clay_Offices!$A$2:$FZ$601,77,Sync!$C$12)),0)&gt;0,IFERROR(INDEX(Clay_Offices!$A$2:$FZ$601,77,Sync!$C$5)&amp;"","")&lt;&gt;"",OR(LEFT(IFERROR(INDEX(Clay_Offices!$A$2:$FZ$601,77,Sync!$C$5)&amp;"",""),6)&lt;&gt;"SAMPLE",Config!$B$19="Y")),IFERROR(N(INDEX(Clay_Offices!$A$2:$FZ$601,77,Sync!$C$12)),0),"")</f>
        <v/>
      </c>
      <c r="C2328" s="23" t="str">
        <f aca="false">IF(B2328="","","office")</f>
        <v/>
      </c>
      <c r="D2328" s="23" t="str">
        <f aca="false">IF(B2328="","",IFERROR(INDEX(Office_Log!$ED$2:$ED$201,MATCH(IFERROR(INDEX(Clay_Offices!$A$2:$FZ$601,77,Sync!$C$5)&amp;"",""),Office_Log!$A$2:$A$201,0))&amp;"",IFERROR(INDEX(Clay_Offices!$A$2:$FZ$601,77,Sync!$C$5)&amp;"","")&amp;""))</f>
        <v/>
      </c>
      <c r="E2328" s="23" t="str">
        <f aca="false">IF(B2328="","",IFERROR(INDEX(Clay_Offices!$A$2:$FZ$601,77,Sync!$C$6)&amp;"",""))</f>
        <v/>
      </c>
      <c r="F2328" s="23" t="str">
        <f aca="false">IF(B2328="","","outreach_sent")</f>
        <v/>
      </c>
      <c r="G2328" s="23" t="str">
        <f aca="false">IF(B2328="","","")</f>
        <v/>
      </c>
      <c r="H2328" s="23" t="str">
        <f aca="false">IF(B2328="","","")</f>
        <v/>
      </c>
      <c r="I2328" s="23" t="str">
        <f aca="false">IF(B2328="","","")</f>
        <v/>
      </c>
      <c r="J2328" s="23" t="str">
        <f aca="false">IF(B2328="","","touch_2; "&amp;IFERROR(INDEX(Clay_Offices!$A$2:$FZ$601,77,Sync!$C$10)&amp;"","")&amp;"; "&amp;IFERROR(INDEX(Clay_Offices!$A$2:$FZ$601,77,Sync!$C$9)&amp;"",""))</f>
        <v/>
      </c>
      <c r="K2328" s="32" t="s">
        <v>1364</v>
      </c>
    </row>
    <row r="2329" customFormat="false" ht="15" hidden="false" customHeight="false" outlineLevel="0" collapsed="false">
      <c r="A2329" s="23" t="str">
        <f aca="false">IF(B2329="","",B2329+(13*1000+78)/10000000)</f>
        <v/>
      </c>
      <c r="B2329" s="35" t="str">
        <f aca="false">IF(AND(IFERROR(N(INDEX(Clay_Offices!$A$2:$FZ$601,78,Sync!$C$12)),0)&gt;0,IFERROR(INDEX(Clay_Offices!$A$2:$FZ$601,78,Sync!$C$5)&amp;"","")&lt;&gt;"",OR(LEFT(IFERROR(INDEX(Clay_Offices!$A$2:$FZ$601,78,Sync!$C$5)&amp;"",""),6)&lt;&gt;"SAMPLE",Config!$B$19="Y")),IFERROR(N(INDEX(Clay_Offices!$A$2:$FZ$601,78,Sync!$C$12)),0),"")</f>
        <v/>
      </c>
      <c r="C2329" s="23" t="str">
        <f aca="false">IF(B2329="","","office")</f>
        <v/>
      </c>
      <c r="D2329" s="23" t="str">
        <f aca="false">IF(B2329="","",IFERROR(INDEX(Office_Log!$ED$2:$ED$201,MATCH(IFERROR(INDEX(Clay_Offices!$A$2:$FZ$601,78,Sync!$C$5)&amp;"",""),Office_Log!$A$2:$A$201,0))&amp;"",IFERROR(INDEX(Clay_Offices!$A$2:$FZ$601,78,Sync!$C$5)&amp;"","")&amp;""))</f>
        <v/>
      </c>
      <c r="E2329" s="23" t="str">
        <f aca="false">IF(B2329="","",IFERROR(INDEX(Clay_Offices!$A$2:$FZ$601,78,Sync!$C$6)&amp;"",""))</f>
        <v/>
      </c>
      <c r="F2329" s="23" t="str">
        <f aca="false">IF(B2329="","","outreach_sent")</f>
        <v/>
      </c>
      <c r="G2329" s="23" t="str">
        <f aca="false">IF(B2329="","","")</f>
        <v/>
      </c>
      <c r="H2329" s="23" t="str">
        <f aca="false">IF(B2329="","","")</f>
        <v/>
      </c>
      <c r="I2329" s="23" t="str">
        <f aca="false">IF(B2329="","","")</f>
        <v/>
      </c>
      <c r="J2329" s="23" t="str">
        <f aca="false">IF(B2329="","","touch_2; "&amp;IFERROR(INDEX(Clay_Offices!$A$2:$FZ$601,78,Sync!$C$10)&amp;"","")&amp;"; "&amp;IFERROR(INDEX(Clay_Offices!$A$2:$FZ$601,78,Sync!$C$9)&amp;"",""))</f>
        <v/>
      </c>
      <c r="K2329" s="32" t="s">
        <v>1364</v>
      </c>
    </row>
    <row r="2330" customFormat="false" ht="15" hidden="false" customHeight="false" outlineLevel="0" collapsed="false">
      <c r="A2330" s="23" t="str">
        <f aca="false">IF(B2330="","",B2330+(13*1000+79)/10000000)</f>
        <v/>
      </c>
      <c r="B2330" s="35" t="str">
        <f aca="false">IF(AND(IFERROR(N(INDEX(Clay_Offices!$A$2:$FZ$601,79,Sync!$C$12)),0)&gt;0,IFERROR(INDEX(Clay_Offices!$A$2:$FZ$601,79,Sync!$C$5)&amp;"","")&lt;&gt;"",OR(LEFT(IFERROR(INDEX(Clay_Offices!$A$2:$FZ$601,79,Sync!$C$5)&amp;"",""),6)&lt;&gt;"SAMPLE",Config!$B$19="Y")),IFERROR(N(INDEX(Clay_Offices!$A$2:$FZ$601,79,Sync!$C$12)),0),"")</f>
        <v/>
      </c>
      <c r="C2330" s="23" t="str">
        <f aca="false">IF(B2330="","","office")</f>
        <v/>
      </c>
      <c r="D2330" s="23" t="str">
        <f aca="false">IF(B2330="","",IFERROR(INDEX(Office_Log!$ED$2:$ED$201,MATCH(IFERROR(INDEX(Clay_Offices!$A$2:$FZ$601,79,Sync!$C$5)&amp;"",""),Office_Log!$A$2:$A$201,0))&amp;"",IFERROR(INDEX(Clay_Offices!$A$2:$FZ$601,79,Sync!$C$5)&amp;"","")&amp;""))</f>
        <v/>
      </c>
      <c r="E2330" s="23" t="str">
        <f aca="false">IF(B2330="","",IFERROR(INDEX(Clay_Offices!$A$2:$FZ$601,79,Sync!$C$6)&amp;"",""))</f>
        <v/>
      </c>
      <c r="F2330" s="23" t="str">
        <f aca="false">IF(B2330="","","outreach_sent")</f>
        <v/>
      </c>
      <c r="G2330" s="23" t="str">
        <f aca="false">IF(B2330="","","")</f>
        <v/>
      </c>
      <c r="H2330" s="23" t="str">
        <f aca="false">IF(B2330="","","")</f>
        <v/>
      </c>
      <c r="I2330" s="23" t="str">
        <f aca="false">IF(B2330="","","")</f>
        <v/>
      </c>
      <c r="J2330" s="23" t="str">
        <f aca="false">IF(B2330="","","touch_2; "&amp;IFERROR(INDEX(Clay_Offices!$A$2:$FZ$601,79,Sync!$C$10)&amp;"","")&amp;"; "&amp;IFERROR(INDEX(Clay_Offices!$A$2:$FZ$601,79,Sync!$C$9)&amp;"",""))</f>
        <v/>
      </c>
      <c r="K2330" s="32" t="s">
        <v>1364</v>
      </c>
    </row>
    <row r="2331" customFormat="false" ht="15" hidden="false" customHeight="false" outlineLevel="0" collapsed="false">
      <c r="A2331" s="23" t="str">
        <f aca="false">IF(B2331="","",B2331+(13*1000+80)/10000000)</f>
        <v/>
      </c>
      <c r="B2331" s="35" t="str">
        <f aca="false">IF(AND(IFERROR(N(INDEX(Clay_Offices!$A$2:$FZ$601,80,Sync!$C$12)),0)&gt;0,IFERROR(INDEX(Clay_Offices!$A$2:$FZ$601,80,Sync!$C$5)&amp;"","")&lt;&gt;"",OR(LEFT(IFERROR(INDEX(Clay_Offices!$A$2:$FZ$601,80,Sync!$C$5)&amp;"",""),6)&lt;&gt;"SAMPLE",Config!$B$19="Y")),IFERROR(N(INDEX(Clay_Offices!$A$2:$FZ$601,80,Sync!$C$12)),0),"")</f>
        <v/>
      </c>
      <c r="C2331" s="23" t="str">
        <f aca="false">IF(B2331="","","office")</f>
        <v/>
      </c>
      <c r="D2331" s="23" t="str">
        <f aca="false">IF(B2331="","",IFERROR(INDEX(Office_Log!$ED$2:$ED$201,MATCH(IFERROR(INDEX(Clay_Offices!$A$2:$FZ$601,80,Sync!$C$5)&amp;"",""),Office_Log!$A$2:$A$201,0))&amp;"",IFERROR(INDEX(Clay_Offices!$A$2:$FZ$601,80,Sync!$C$5)&amp;"","")&amp;""))</f>
        <v/>
      </c>
      <c r="E2331" s="23" t="str">
        <f aca="false">IF(B2331="","",IFERROR(INDEX(Clay_Offices!$A$2:$FZ$601,80,Sync!$C$6)&amp;"",""))</f>
        <v/>
      </c>
      <c r="F2331" s="23" t="str">
        <f aca="false">IF(B2331="","","outreach_sent")</f>
        <v/>
      </c>
      <c r="G2331" s="23" t="str">
        <f aca="false">IF(B2331="","","")</f>
        <v/>
      </c>
      <c r="H2331" s="23" t="str">
        <f aca="false">IF(B2331="","","")</f>
        <v/>
      </c>
      <c r="I2331" s="23" t="str">
        <f aca="false">IF(B2331="","","")</f>
        <v/>
      </c>
      <c r="J2331" s="23" t="str">
        <f aca="false">IF(B2331="","","touch_2; "&amp;IFERROR(INDEX(Clay_Offices!$A$2:$FZ$601,80,Sync!$C$10)&amp;"","")&amp;"; "&amp;IFERROR(INDEX(Clay_Offices!$A$2:$FZ$601,80,Sync!$C$9)&amp;"",""))</f>
        <v/>
      </c>
      <c r="K2331" s="32" t="s">
        <v>1364</v>
      </c>
    </row>
    <row r="2332" customFormat="false" ht="15" hidden="false" customHeight="false" outlineLevel="0" collapsed="false">
      <c r="A2332" s="23" t="str">
        <f aca="false">IF(B2332="","",B2332+(13*1000+81)/10000000)</f>
        <v/>
      </c>
      <c r="B2332" s="35" t="str">
        <f aca="false">IF(AND(IFERROR(N(INDEX(Clay_Offices!$A$2:$FZ$601,81,Sync!$C$12)),0)&gt;0,IFERROR(INDEX(Clay_Offices!$A$2:$FZ$601,81,Sync!$C$5)&amp;"","")&lt;&gt;"",OR(LEFT(IFERROR(INDEX(Clay_Offices!$A$2:$FZ$601,81,Sync!$C$5)&amp;"",""),6)&lt;&gt;"SAMPLE",Config!$B$19="Y")),IFERROR(N(INDEX(Clay_Offices!$A$2:$FZ$601,81,Sync!$C$12)),0),"")</f>
        <v/>
      </c>
      <c r="C2332" s="23" t="str">
        <f aca="false">IF(B2332="","","office")</f>
        <v/>
      </c>
      <c r="D2332" s="23" t="str">
        <f aca="false">IF(B2332="","",IFERROR(INDEX(Office_Log!$ED$2:$ED$201,MATCH(IFERROR(INDEX(Clay_Offices!$A$2:$FZ$601,81,Sync!$C$5)&amp;"",""),Office_Log!$A$2:$A$201,0))&amp;"",IFERROR(INDEX(Clay_Offices!$A$2:$FZ$601,81,Sync!$C$5)&amp;"","")&amp;""))</f>
        <v/>
      </c>
      <c r="E2332" s="23" t="str">
        <f aca="false">IF(B2332="","",IFERROR(INDEX(Clay_Offices!$A$2:$FZ$601,81,Sync!$C$6)&amp;"",""))</f>
        <v/>
      </c>
      <c r="F2332" s="23" t="str">
        <f aca="false">IF(B2332="","","outreach_sent")</f>
        <v/>
      </c>
      <c r="G2332" s="23" t="str">
        <f aca="false">IF(B2332="","","")</f>
        <v/>
      </c>
      <c r="H2332" s="23" t="str">
        <f aca="false">IF(B2332="","","")</f>
        <v/>
      </c>
      <c r="I2332" s="23" t="str">
        <f aca="false">IF(B2332="","","")</f>
        <v/>
      </c>
      <c r="J2332" s="23" t="str">
        <f aca="false">IF(B2332="","","touch_2; "&amp;IFERROR(INDEX(Clay_Offices!$A$2:$FZ$601,81,Sync!$C$10)&amp;"","")&amp;"; "&amp;IFERROR(INDEX(Clay_Offices!$A$2:$FZ$601,81,Sync!$C$9)&amp;"",""))</f>
        <v/>
      </c>
      <c r="K2332" s="32" t="s">
        <v>1364</v>
      </c>
    </row>
    <row r="2333" customFormat="false" ht="15" hidden="false" customHeight="false" outlineLevel="0" collapsed="false">
      <c r="A2333" s="23" t="str">
        <f aca="false">IF(B2333="","",B2333+(13*1000+82)/10000000)</f>
        <v/>
      </c>
      <c r="B2333" s="35" t="str">
        <f aca="false">IF(AND(IFERROR(N(INDEX(Clay_Offices!$A$2:$FZ$601,82,Sync!$C$12)),0)&gt;0,IFERROR(INDEX(Clay_Offices!$A$2:$FZ$601,82,Sync!$C$5)&amp;"","")&lt;&gt;"",OR(LEFT(IFERROR(INDEX(Clay_Offices!$A$2:$FZ$601,82,Sync!$C$5)&amp;"",""),6)&lt;&gt;"SAMPLE",Config!$B$19="Y")),IFERROR(N(INDEX(Clay_Offices!$A$2:$FZ$601,82,Sync!$C$12)),0),"")</f>
        <v/>
      </c>
      <c r="C2333" s="23" t="str">
        <f aca="false">IF(B2333="","","office")</f>
        <v/>
      </c>
      <c r="D2333" s="23" t="str">
        <f aca="false">IF(B2333="","",IFERROR(INDEX(Office_Log!$ED$2:$ED$201,MATCH(IFERROR(INDEX(Clay_Offices!$A$2:$FZ$601,82,Sync!$C$5)&amp;"",""),Office_Log!$A$2:$A$201,0))&amp;"",IFERROR(INDEX(Clay_Offices!$A$2:$FZ$601,82,Sync!$C$5)&amp;"","")&amp;""))</f>
        <v/>
      </c>
      <c r="E2333" s="23" t="str">
        <f aca="false">IF(B2333="","",IFERROR(INDEX(Clay_Offices!$A$2:$FZ$601,82,Sync!$C$6)&amp;"",""))</f>
        <v/>
      </c>
      <c r="F2333" s="23" t="str">
        <f aca="false">IF(B2333="","","outreach_sent")</f>
        <v/>
      </c>
      <c r="G2333" s="23" t="str">
        <f aca="false">IF(B2333="","","")</f>
        <v/>
      </c>
      <c r="H2333" s="23" t="str">
        <f aca="false">IF(B2333="","","")</f>
        <v/>
      </c>
      <c r="I2333" s="23" t="str">
        <f aca="false">IF(B2333="","","")</f>
        <v/>
      </c>
      <c r="J2333" s="23" t="str">
        <f aca="false">IF(B2333="","","touch_2; "&amp;IFERROR(INDEX(Clay_Offices!$A$2:$FZ$601,82,Sync!$C$10)&amp;"","")&amp;"; "&amp;IFERROR(INDEX(Clay_Offices!$A$2:$FZ$601,82,Sync!$C$9)&amp;"",""))</f>
        <v/>
      </c>
      <c r="K2333" s="32" t="s">
        <v>1364</v>
      </c>
    </row>
    <row r="2334" customFormat="false" ht="15" hidden="false" customHeight="false" outlineLevel="0" collapsed="false">
      <c r="A2334" s="23" t="str">
        <f aca="false">IF(B2334="","",B2334+(13*1000+83)/10000000)</f>
        <v/>
      </c>
      <c r="B2334" s="35" t="str">
        <f aca="false">IF(AND(IFERROR(N(INDEX(Clay_Offices!$A$2:$FZ$601,83,Sync!$C$12)),0)&gt;0,IFERROR(INDEX(Clay_Offices!$A$2:$FZ$601,83,Sync!$C$5)&amp;"","")&lt;&gt;"",OR(LEFT(IFERROR(INDEX(Clay_Offices!$A$2:$FZ$601,83,Sync!$C$5)&amp;"",""),6)&lt;&gt;"SAMPLE",Config!$B$19="Y")),IFERROR(N(INDEX(Clay_Offices!$A$2:$FZ$601,83,Sync!$C$12)),0),"")</f>
        <v/>
      </c>
      <c r="C2334" s="23" t="str">
        <f aca="false">IF(B2334="","","office")</f>
        <v/>
      </c>
      <c r="D2334" s="23" t="str">
        <f aca="false">IF(B2334="","",IFERROR(INDEX(Office_Log!$ED$2:$ED$201,MATCH(IFERROR(INDEX(Clay_Offices!$A$2:$FZ$601,83,Sync!$C$5)&amp;"",""),Office_Log!$A$2:$A$201,0))&amp;"",IFERROR(INDEX(Clay_Offices!$A$2:$FZ$601,83,Sync!$C$5)&amp;"","")&amp;""))</f>
        <v/>
      </c>
      <c r="E2334" s="23" t="str">
        <f aca="false">IF(B2334="","",IFERROR(INDEX(Clay_Offices!$A$2:$FZ$601,83,Sync!$C$6)&amp;"",""))</f>
        <v/>
      </c>
      <c r="F2334" s="23" t="str">
        <f aca="false">IF(B2334="","","outreach_sent")</f>
        <v/>
      </c>
      <c r="G2334" s="23" t="str">
        <f aca="false">IF(B2334="","","")</f>
        <v/>
      </c>
      <c r="H2334" s="23" t="str">
        <f aca="false">IF(B2334="","","")</f>
        <v/>
      </c>
      <c r="I2334" s="23" t="str">
        <f aca="false">IF(B2334="","","")</f>
        <v/>
      </c>
      <c r="J2334" s="23" t="str">
        <f aca="false">IF(B2334="","","touch_2; "&amp;IFERROR(INDEX(Clay_Offices!$A$2:$FZ$601,83,Sync!$C$10)&amp;"","")&amp;"; "&amp;IFERROR(INDEX(Clay_Offices!$A$2:$FZ$601,83,Sync!$C$9)&amp;"",""))</f>
        <v/>
      </c>
      <c r="K2334" s="32" t="s">
        <v>1364</v>
      </c>
    </row>
    <row r="2335" customFormat="false" ht="15" hidden="false" customHeight="false" outlineLevel="0" collapsed="false">
      <c r="A2335" s="23" t="str">
        <f aca="false">IF(B2335="","",B2335+(13*1000+84)/10000000)</f>
        <v/>
      </c>
      <c r="B2335" s="35" t="str">
        <f aca="false">IF(AND(IFERROR(N(INDEX(Clay_Offices!$A$2:$FZ$601,84,Sync!$C$12)),0)&gt;0,IFERROR(INDEX(Clay_Offices!$A$2:$FZ$601,84,Sync!$C$5)&amp;"","")&lt;&gt;"",OR(LEFT(IFERROR(INDEX(Clay_Offices!$A$2:$FZ$601,84,Sync!$C$5)&amp;"",""),6)&lt;&gt;"SAMPLE",Config!$B$19="Y")),IFERROR(N(INDEX(Clay_Offices!$A$2:$FZ$601,84,Sync!$C$12)),0),"")</f>
        <v/>
      </c>
      <c r="C2335" s="23" t="str">
        <f aca="false">IF(B2335="","","office")</f>
        <v/>
      </c>
      <c r="D2335" s="23" t="str">
        <f aca="false">IF(B2335="","",IFERROR(INDEX(Office_Log!$ED$2:$ED$201,MATCH(IFERROR(INDEX(Clay_Offices!$A$2:$FZ$601,84,Sync!$C$5)&amp;"",""),Office_Log!$A$2:$A$201,0))&amp;"",IFERROR(INDEX(Clay_Offices!$A$2:$FZ$601,84,Sync!$C$5)&amp;"","")&amp;""))</f>
        <v/>
      </c>
      <c r="E2335" s="23" t="str">
        <f aca="false">IF(B2335="","",IFERROR(INDEX(Clay_Offices!$A$2:$FZ$601,84,Sync!$C$6)&amp;"",""))</f>
        <v/>
      </c>
      <c r="F2335" s="23" t="str">
        <f aca="false">IF(B2335="","","outreach_sent")</f>
        <v/>
      </c>
      <c r="G2335" s="23" t="str">
        <f aca="false">IF(B2335="","","")</f>
        <v/>
      </c>
      <c r="H2335" s="23" t="str">
        <f aca="false">IF(B2335="","","")</f>
        <v/>
      </c>
      <c r="I2335" s="23" t="str">
        <f aca="false">IF(B2335="","","")</f>
        <v/>
      </c>
      <c r="J2335" s="23" t="str">
        <f aca="false">IF(B2335="","","touch_2; "&amp;IFERROR(INDEX(Clay_Offices!$A$2:$FZ$601,84,Sync!$C$10)&amp;"","")&amp;"; "&amp;IFERROR(INDEX(Clay_Offices!$A$2:$FZ$601,84,Sync!$C$9)&amp;"",""))</f>
        <v/>
      </c>
      <c r="K2335" s="32" t="s">
        <v>1364</v>
      </c>
    </row>
    <row r="2336" customFormat="false" ht="15" hidden="false" customHeight="false" outlineLevel="0" collapsed="false">
      <c r="A2336" s="23" t="str">
        <f aca="false">IF(B2336="","",B2336+(13*1000+85)/10000000)</f>
        <v/>
      </c>
      <c r="B2336" s="35" t="str">
        <f aca="false">IF(AND(IFERROR(N(INDEX(Clay_Offices!$A$2:$FZ$601,85,Sync!$C$12)),0)&gt;0,IFERROR(INDEX(Clay_Offices!$A$2:$FZ$601,85,Sync!$C$5)&amp;"","")&lt;&gt;"",OR(LEFT(IFERROR(INDEX(Clay_Offices!$A$2:$FZ$601,85,Sync!$C$5)&amp;"",""),6)&lt;&gt;"SAMPLE",Config!$B$19="Y")),IFERROR(N(INDEX(Clay_Offices!$A$2:$FZ$601,85,Sync!$C$12)),0),"")</f>
        <v/>
      </c>
      <c r="C2336" s="23" t="str">
        <f aca="false">IF(B2336="","","office")</f>
        <v/>
      </c>
      <c r="D2336" s="23" t="str">
        <f aca="false">IF(B2336="","",IFERROR(INDEX(Office_Log!$ED$2:$ED$201,MATCH(IFERROR(INDEX(Clay_Offices!$A$2:$FZ$601,85,Sync!$C$5)&amp;"",""),Office_Log!$A$2:$A$201,0))&amp;"",IFERROR(INDEX(Clay_Offices!$A$2:$FZ$601,85,Sync!$C$5)&amp;"","")&amp;""))</f>
        <v/>
      </c>
      <c r="E2336" s="23" t="str">
        <f aca="false">IF(B2336="","",IFERROR(INDEX(Clay_Offices!$A$2:$FZ$601,85,Sync!$C$6)&amp;"",""))</f>
        <v/>
      </c>
      <c r="F2336" s="23" t="str">
        <f aca="false">IF(B2336="","","outreach_sent")</f>
        <v/>
      </c>
      <c r="G2336" s="23" t="str">
        <f aca="false">IF(B2336="","","")</f>
        <v/>
      </c>
      <c r="H2336" s="23" t="str">
        <f aca="false">IF(B2336="","","")</f>
        <v/>
      </c>
      <c r="I2336" s="23" t="str">
        <f aca="false">IF(B2336="","","")</f>
        <v/>
      </c>
      <c r="J2336" s="23" t="str">
        <f aca="false">IF(B2336="","","touch_2; "&amp;IFERROR(INDEX(Clay_Offices!$A$2:$FZ$601,85,Sync!$C$10)&amp;"","")&amp;"; "&amp;IFERROR(INDEX(Clay_Offices!$A$2:$FZ$601,85,Sync!$C$9)&amp;"",""))</f>
        <v/>
      </c>
      <c r="K2336" s="32" t="s">
        <v>1364</v>
      </c>
    </row>
    <row r="2337" customFormat="false" ht="15" hidden="false" customHeight="false" outlineLevel="0" collapsed="false">
      <c r="A2337" s="23" t="str">
        <f aca="false">IF(B2337="","",B2337+(13*1000+86)/10000000)</f>
        <v/>
      </c>
      <c r="B2337" s="35" t="str">
        <f aca="false">IF(AND(IFERROR(N(INDEX(Clay_Offices!$A$2:$FZ$601,86,Sync!$C$12)),0)&gt;0,IFERROR(INDEX(Clay_Offices!$A$2:$FZ$601,86,Sync!$C$5)&amp;"","")&lt;&gt;"",OR(LEFT(IFERROR(INDEX(Clay_Offices!$A$2:$FZ$601,86,Sync!$C$5)&amp;"",""),6)&lt;&gt;"SAMPLE",Config!$B$19="Y")),IFERROR(N(INDEX(Clay_Offices!$A$2:$FZ$601,86,Sync!$C$12)),0),"")</f>
        <v/>
      </c>
      <c r="C2337" s="23" t="str">
        <f aca="false">IF(B2337="","","office")</f>
        <v/>
      </c>
      <c r="D2337" s="23" t="str">
        <f aca="false">IF(B2337="","",IFERROR(INDEX(Office_Log!$ED$2:$ED$201,MATCH(IFERROR(INDEX(Clay_Offices!$A$2:$FZ$601,86,Sync!$C$5)&amp;"",""),Office_Log!$A$2:$A$201,0))&amp;"",IFERROR(INDEX(Clay_Offices!$A$2:$FZ$601,86,Sync!$C$5)&amp;"","")&amp;""))</f>
        <v/>
      </c>
      <c r="E2337" s="23" t="str">
        <f aca="false">IF(B2337="","",IFERROR(INDEX(Clay_Offices!$A$2:$FZ$601,86,Sync!$C$6)&amp;"",""))</f>
        <v/>
      </c>
      <c r="F2337" s="23" t="str">
        <f aca="false">IF(B2337="","","outreach_sent")</f>
        <v/>
      </c>
      <c r="G2337" s="23" t="str">
        <f aca="false">IF(B2337="","","")</f>
        <v/>
      </c>
      <c r="H2337" s="23" t="str">
        <f aca="false">IF(B2337="","","")</f>
        <v/>
      </c>
      <c r="I2337" s="23" t="str">
        <f aca="false">IF(B2337="","","")</f>
        <v/>
      </c>
      <c r="J2337" s="23" t="str">
        <f aca="false">IF(B2337="","","touch_2; "&amp;IFERROR(INDEX(Clay_Offices!$A$2:$FZ$601,86,Sync!$C$10)&amp;"","")&amp;"; "&amp;IFERROR(INDEX(Clay_Offices!$A$2:$FZ$601,86,Sync!$C$9)&amp;"",""))</f>
        <v/>
      </c>
      <c r="K2337" s="32" t="s">
        <v>1364</v>
      </c>
    </row>
    <row r="2338" customFormat="false" ht="15" hidden="false" customHeight="false" outlineLevel="0" collapsed="false">
      <c r="A2338" s="23" t="str">
        <f aca="false">IF(B2338="","",B2338+(13*1000+87)/10000000)</f>
        <v/>
      </c>
      <c r="B2338" s="35" t="str">
        <f aca="false">IF(AND(IFERROR(N(INDEX(Clay_Offices!$A$2:$FZ$601,87,Sync!$C$12)),0)&gt;0,IFERROR(INDEX(Clay_Offices!$A$2:$FZ$601,87,Sync!$C$5)&amp;"","")&lt;&gt;"",OR(LEFT(IFERROR(INDEX(Clay_Offices!$A$2:$FZ$601,87,Sync!$C$5)&amp;"",""),6)&lt;&gt;"SAMPLE",Config!$B$19="Y")),IFERROR(N(INDEX(Clay_Offices!$A$2:$FZ$601,87,Sync!$C$12)),0),"")</f>
        <v/>
      </c>
      <c r="C2338" s="23" t="str">
        <f aca="false">IF(B2338="","","office")</f>
        <v/>
      </c>
      <c r="D2338" s="23" t="str">
        <f aca="false">IF(B2338="","",IFERROR(INDEX(Office_Log!$ED$2:$ED$201,MATCH(IFERROR(INDEX(Clay_Offices!$A$2:$FZ$601,87,Sync!$C$5)&amp;"",""),Office_Log!$A$2:$A$201,0))&amp;"",IFERROR(INDEX(Clay_Offices!$A$2:$FZ$601,87,Sync!$C$5)&amp;"","")&amp;""))</f>
        <v/>
      </c>
      <c r="E2338" s="23" t="str">
        <f aca="false">IF(B2338="","",IFERROR(INDEX(Clay_Offices!$A$2:$FZ$601,87,Sync!$C$6)&amp;"",""))</f>
        <v/>
      </c>
      <c r="F2338" s="23" t="str">
        <f aca="false">IF(B2338="","","outreach_sent")</f>
        <v/>
      </c>
      <c r="G2338" s="23" t="str">
        <f aca="false">IF(B2338="","","")</f>
        <v/>
      </c>
      <c r="H2338" s="23" t="str">
        <f aca="false">IF(B2338="","","")</f>
        <v/>
      </c>
      <c r="I2338" s="23" t="str">
        <f aca="false">IF(B2338="","","")</f>
        <v/>
      </c>
      <c r="J2338" s="23" t="str">
        <f aca="false">IF(B2338="","","touch_2; "&amp;IFERROR(INDEX(Clay_Offices!$A$2:$FZ$601,87,Sync!$C$10)&amp;"","")&amp;"; "&amp;IFERROR(INDEX(Clay_Offices!$A$2:$FZ$601,87,Sync!$C$9)&amp;"",""))</f>
        <v/>
      </c>
      <c r="K2338" s="32" t="s">
        <v>1364</v>
      </c>
    </row>
    <row r="2339" customFormat="false" ht="15" hidden="false" customHeight="false" outlineLevel="0" collapsed="false">
      <c r="A2339" s="23" t="str">
        <f aca="false">IF(B2339="","",B2339+(13*1000+88)/10000000)</f>
        <v/>
      </c>
      <c r="B2339" s="35" t="str">
        <f aca="false">IF(AND(IFERROR(N(INDEX(Clay_Offices!$A$2:$FZ$601,88,Sync!$C$12)),0)&gt;0,IFERROR(INDEX(Clay_Offices!$A$2:$FZ$601,88,Sync!$C$5)&amp;"","")&lt;&gt;"",OR(LEFT(IFERROR(INDEX(Clay_Offices!$A$2:$FZ$601,88,Sync!$C$5)&amp;"",""),6)&lt;&gt;"SAMPLE",Config!$B$19="Y")),IFERROR(N(INDEX(Clay_Offices!$A$2:$FZ$601,88,Sync!$C$12)),0),"")</f>
        <v/>
      </c>
      <c r="C2339" s="23" t="str">
        <f aca="false">IF(B2339="","","office")</f>
        <v/>
      </c>
      <c r="D2339" s="23" t="str">
        <f aca="false">IF(B2339="","",IFERROR(INDEX(Office_Log!$ED$2:$ED$201,MATCH(IFERROR(INDEX(Clay_Offices!$A$2:$FZ$601,88,Sync!$C$5)&amp;"",""),Office_Log!$A$2:$A$201,0))&amp;"",IFERROR(INDEX(Clay_Offices!$A$2:$FZ$601,88,Sync!$C$5)&amp;"","")&amp;""))</f>
        <v/>
      </c>
      <c r="E2339" s="23" t="str">
        <f aca="false">IF(B2339="","",IFERROR(INDEX(Clay_Offices!$A$2:$FZ$601,88,Sync!$C$6)&amp;"",""))</f>
        <v/>
      </c>
      <c r="F2339" s="23" t="str">
        <f aca="false">IF(B2339="","","outreach_sent")</f>
        <v/>
      </c>
      <c r="G2339" s="23" t="str">
        <f aca="false">IF(B2339="","","")</f>
        <v/>
      </c>
      <c r="H2339" s="23" t="str">
        <f aca="false">IF(B2339="","","")</f>
        <v/>
      </c>
      <c r="I2339" s="23" t="str">
        <f aca="false">IF(B2339="","","")</f>
        <v/>
      </c>
      <c r="J2339" s="23" t="str">
        <f aca="false">IF(B2339="","","touch_2; "&amp;IFERROR(INDEX(Clay_Offices!$A$2:$FZ$601,88,Sync!$C$10)&amp;"","")&amp;"; "&amp;IFERROR(INDEX(Clay_Offices!$A$2:$FZ$601,88,Sync!$C$9)&amp;"",""))</f>
        <v/>
      </c>
      <c r="K2339" s="32" t="s">
        <v>1364</v>
      </c>
    </row>
    <row r="2340" customFormat="false" ht="15" hidden="false" customHeight="false" outlineLevel="0" collapsed="false">
      <c r="A2340" s="23" t="str">
        <f aca="false">IF(B2340="","",B2340+(13*1000+89)/10000000)</f>
        <v/>
      </c>
      <c r="B2340" s="35" t="str">
        <f aca="false">IF(AND(IFERROR(N(INDEX(Clay_Offices!$A$2:$FZ$601,89,Sync!$C$12)),0)&gt;0,IFERROR(INDEX(Clay_Offices!$A$2:$FZ$601,89,Sync!$C$5)&amp;"","")&lt;&gt;"",OR(LEFT(IFERROR(INDEX(Clay_Offices!$A$2:$FZ$601,89,Sync!$C$5)&amp;"",""),6)&lt;&gt;"SAMPLE",Config!$B$19="Y")),IFERROR(N(INDEX(Clay_Offices!$A$2:$FZ$601,89,Sync!$C$12)),0),"")</f>
        <v/>
      </c>
      <c r="C2340" s="23" t="str">
        <f aca="false">IF(B2340="","","office")</f>
        <v/>
      </c>
      <c r="D2340" s="23" t="str">
        <f aca="false">IF(B2340="","",IFERROR(INDEX(Office_Log!$ED$2:$ED$201,MATCH(IFERROR(INDEX(Clay_Offices!$A$2:$FZ$601,89,Sync!$C$5)&amp;"",""),Office_Log!$A$2:$A$201,0))&amp;"",IFERROR(INDEX(Clay_Offices!$A$2:$FZ$601,89,Sync!$C$5)&amp;"","")&amp;""))</f>
        <v/>
      </c>
      <c r="E2340" s="23" t="str">
        <f aca="false">IF(B2340="","",IFERROR(INDEX(Clay_Offices!$A$2:$FZ$601,89,Sync!$C$6)&amp;"",""))</f>
        <v/>
      </c>
      <c r="F2340" s="23" t="str">
        <f aca="false">IF(B2340="","","outreach_sent")</f>
        <v/>
      </c>
      <c r="G2340" s="23" t="str">
        <f aca="false">IF(B2340="","","")</f>
        <v/>
      </c>
      <c r="H2340" s="23" t="str">
        <f aca="false">IF(B2340="","","")</f>
        <v/>
      </c>
      <c r="I2340" s="23" t="str">
        <f aca="false">IF(B2340="","","")</f>
        <v/>
      </c>
      <c r="J2340" s="23" t="str">
        <f aca="false">IF(B2340="","","touch_2; "&amp;IFERROR(INDEX(Clay_Offices!$A$2:$FZ$601,89,Sync!$C$10)&amp;"","")&amp;"; "&amp;IFERROR(INDEX(Clay_Offices!$A$2:$FZ$601,89,Sync!$C$9)&amp;"",""))</f>
        <v/>
      </c>
      <c r="K2340" s="32" t="s">
        <v>1364</v>
      </c>
    </row>
    <row r="2341" customFormat="false" ht="15" hidden="false" customHeight="false" outlineLevel="0" collapsed="false">
      <c r="A2341" s="23" t="str">
        <f aca="false">IF(B2341="","",B2341+(13*1000+90)/10000000)</f>
        <v/>
      </c>
      <c r="B2341" s="35" t="str">
        <f aca="false">IF(AND(IFERROR(N(INDEX(Clay_Offices!$A$2:$FZ$601,90,Sync!$C$12)),0)&gt;0,IFERROR(INDEX(Clay_Offices!$A$2:$FZ$601,90,Sync!$C$5)&amp;"","")&lt;&gt;"",OR(LEFT(IFERROR(INDEX(Clay_Offices!$A$2:$FZ$601,90,Sync!$C$5)&amp;"",""),6)&lt;&gt;"SAMPLE",Config!$B$19="Y")),IFERROR(N(INDEX(Clay_Offices!$A$2:$FZ$601,90,Sync!$C$12)),0),"")</f>
        <v/>
      </c>
      <c r="C2341" s="23" t="str">
        <f aca="false">IF(B2341="","","office")</f>
        <v/>
      </c>
      <c r="D2341" s="23" t="str">
        <f aca="false">IF(B2341="","",IFERROR(INDEX(Office_Log!$ED$2:$ED$201,MATCH(IFERROR(INDEX(Clay_Offices!$A$2:$FZ$601,90,Sync!$C$5)&amp;"",""),Office_Log!$A$2:$A$201,0))&amp;"",IFERROR(INDEX(Clay_Offices!$A$2:$FZ$601,90,Sync!$C$5)&amp;"","")&amp;""))</f>
        <v/>
      </c>
      <c r="E2341" s="23" t="str">
        <f aca="false">IF(B2341="","",IFERROR(INDEX(Clay_Offices!$A$2:$FZ$601,90,Sync!$C$6)&amp;"",""))</f>
        <v/>
      </c>
      <c r="F2341" s="23" t="str">
        <f aca="false">IF(B2341="","","outreach_sent")</f>
        <v/>
      </c>
      <c r="G2341" s="23" t="str">
        <f aca="false">IF(B2341="","","")</f>
        <v/>
      </c>
      <c r="H2341" s="23" t="str">
        <f aca="false">IF(B2341="","","")</f>
        <v/>
      </c>
      <c r="I2341" s="23" t="str">
        <f aca="false">IF(B2341="","","")</f>
        <v/>
      </c>
      <c r="J2341" s="23" t="str">
        <f aca="false">IF(B2341="","","touch_2; "&amp;IFERROR(INDEX(Clay_Offices!$A$2:$FZ$601,90,Sync!$C$10)&amp;"","")&amp;"; "&amp;IFERROR(INDEX(Clay_Offices!$A$2:$FZ$601,90,Sync!$C$9)&amp;"",""))</f>
        <v/>
      </c>
      <c r="K2341" s="32" t="s">
        <v>1364</v>
      </c>
    </row>
    <row r="2342" customFormat="false" ht="15" hidden="false" customHeight="false" outlineLevel="0" collapsed="false">
      <c r="A2342" s="23" t="str">
        <f aca="false">IF(B2342="","",B2342+(13*1000+91)/10000000)</f>
        <v/>
      </c>
      <c r="B2342" s="35" t="str">
        <f aca="false">IF(AND(IFERROR(N(INDEX(Clay_Offices!$A$2:$FZ$601,91,Sync!$C$12)),0)&gt;0,IFERROR(INDEX(Clay_Offices!$A$2:$FZ$601,91,Sync!$C$5)&amp;"","")&lt;&gt;"",OR(LEFT(IFERROR(INDEX(Clay_Offices!$A$2:$FZ$601,91,Sync!$C$5)&amp;"",""),6)&lt;&gt;"SAMPLE",Config!$B$19="Y")),IFERROR(N(INDEX(Clay_Offices!$A$2:$FZ$601,91,Sync!$C$12)),0),"")</f>
        <v/>
      </c>
      <c r="C2342" s="23" t="str">
        <f aca="false">IF(B2342="","","office")</f>
        <v/>
      </c>
      <c r="D2342" s="23" t="str">
        <f aca="false">IF(B2342="","",IFERROR(INDEX(Office_Log!$ED$2:$ED$201,MATCH(IFERROR(INDEX(Clay_Offices!$A$2:$FZ$601,91,Sync!$C$5)&amp;"",""),Office_Log!$A$2:$A$201,0))&amp;"",IFERROR(INDEX(Clay_Offices!$A$2:$FZ$601,91,Sync!$C$5)&amp;"","")&amp;""))</f>
        <v/>
      </c>
      <c r="E2342" s="23" t="str">
        <f aca="false">IF(B2342="","",IFERROR(INDEX(Clay_Offices!$A$2:$FZ$601,91,Sync!$C$6)&amp;"",""))</f>
        <v/>
      </c>
      <c r="F2342" s="23" t="str">
        <f aca="false">IF(B2342="","","outreach_sent")</f>
        <v/>
      </c>
      <c r="G2342" s="23" t="str">
        <f aca="false">IF(B2342="","","")</f>
        <v/>
      </c>
      <c r="H2342" s="23" t="str">
        <f aca="false">IF(B2342="","","")</f>
        <v/>
      </c>
      <c r="I2342" s="23" t="str">
        <f aca="false">IF(B2342="","","")</f>
        <v/>
      </c>
      <c r="J2342" s="23" t="str">
        <f aca="false">IF(B2342="","","touch_2; "&amp;IFERROR(INDEX(Clay_Offices!$A$2:$FZ$601,91,Sync!$C$10)&amp;"","")&amp;"; "&amp;IFERROR(INDEX(Clay_Offices!$A$2:$FZ$601,91,Sync!$C$9)&amp;"",""))</f>
        <v/>
      </c>
      <c r="K2342" s="32" t="s">
        <v>1364</v>
      </c>
    </row>
    <row r="2343" customFormat="false" ht="15" hidden="false" customHeight="false" outlineLevel="0" collapsed="false">
      <c r="A2343" s="23" t="str">
        <f aca="false">IF(B2343="","",B2343+(13*1000+92)/10000000)</f>
        <v/>
      </c>
      <c r="B2343" s="35" t="str">
        <f aca="false">IF(AND(IFERROR(N(INDEX(Clay_Offices!$A$2:$FZ$601,92,Sync!$C$12)),0)&gt;0,IFERROR(INDEX(Clay_Offices!$A$2:$FZ$601,92,Sync!$C$5)&amp;"","")&lt;&gt;"",OR(LEFT(IFERROR(INDEX(Clay_Offices!$A$2:$FZ$601,92,Sync!$C$5)&amp;"",""),6)&lt;&gt;"SAMPLE",Config!$B$19="Y")),IFERROR(N(INDEX(Clay_Offices!$A$2:$FZ$601,92,Sync!$C$12)),0),"")</f>
        <v/>
      </c>
      <c r="C2343" s="23" t="str">
        <f aca="false">IF(B2343="","","office")</f>
        <v/>
      </c>
      <c r="D2343" s="23" t="str">
        <f aca="false">IF(B2343="","",IFERROR(INDEX(Office_Log!$ED$2:$ED$201,MATCH(IFERROR(INDEX(Clay_Offices!$A$2:$FZ$601,92,Sync!$C$5)&amp;"",""),Office_Log!$A$2:$A$201,0))&amp;"",IFERROR(INDEX(Clay_Offices!$A$2:$FZ$601,92,Sync!$C$5)&amp;"","")&amp;""))</f>
        <v/>
      </c>
      <c r="E2343" s="23" t="str">
        <f aca="false">IF(B2343="","",IFERROR(INDEX(Clay_Offices!$A$2:$FZ$601,92,Sync!$C$6)&amp;"",""))</f>
        <v/>
      </c>
      <c r="F2343" s="23" t="str">
        <f aca="false">IF(B2343="","","outreach_sent")</f>
        <v/>
      </c>
      <c r="G2343" s="23" t="str">
        <f aca="false">IF(B2343="","","")</f>
        <v/>
      </c>
      <c r="H2343" s="23" t="str">
        <f aca="false">IF(B2343="","","")</f>
        <v/>
      </c>
      <c r="I2343" s="23" t="str">
        <f aca="false">IF(B2343="","","")</f>
        <v/>
      </c>
      <c r="J2343" s="23" t="str">
        <f aca="false">IF(B2343="","","touch_2; "&amp;IFERROR(INDEX(Clay_Offices!$A$2:$FZ$601,92,Sync!$C$10)&amp;"","")&amp;"; "&amp;IFERROR(INDEX(Clay_Offices!$A$2:$FZ$601,92,Sync!$C$9)&amp;"",""))</f>
        <v/>
      </c>
      <c r="K2343" s="32" t="s">
        <v>1364</v>
      </c>
    </row>
    <row r="2344" customFormat="false" ht="15" hidden="false" customHeight="false" outlineLevel="0" collapsed="false">
      <c r="A2344" s="23" t="str">
        <f aca="false">IF(B2344="","",B2344+(13*1000+93)/10000000)</f>
        <v/>
      </c>
      <c r="B2344" s="35" t="str">
        <f aca="false">IF(AND(IFERROR(N(INDEX(Clay_Offices!$A$2:$FZ$601,93,Sync!$C$12)),0)&gt;0,IFERROR(INDEX(Clay_Offices!$A$2:$FZ$601,93,Sync!$C$5)&amp;"","")&lt;&gt;"",OR(LEFT(IFERROR(INDEX(Clay_Offices!$A$2:$FZ$601,93,Sync!$C$5)&amp;"",""),6)&lt;&gt;"SAMPLE",Config!$B$19="Y")),IFERROR(N(INDEX(Clay_Offices!$A$2:$FZ$601,93,Sync!$C$12)),0),"")</f>
        <v/>
      </c>
      <c r="C2344" s="23" t="str">
        <f aca="false">IF(B2344="","","office")</f>
        <v/>
      </c>
      <c r="D2344" s="23" t="str">
        <f aca="false">IF(B2344="","",IFERROR(INDEX(Office_Log!$ED$2:$ED$201,MATCH(IFERROR(INDEX(Clay_Offices!$A$2:$FZ$601,93,Sync!$C$5)&amp;"",""),Office_Log!$A$2:$A$201,0))&amp;"",IFERROR(INDEX(Clay_Offices!$A$2:$FZ$601,93,Sync!$C$5)&amp;"","")&amp;""))</f>
        <v/>
      </c>
      <c r="E2344" s="23" t="str">
        <f aca="false">IF(B2344="","",IFERROR(INDEX(Clay_Offices!$A$2:$FZ$601,93,Sync!$C$6)&amp;"",""))</f>
        <v/>
      </c>
      <c r="F2344" s="23" t="str">
        <f aca="false">IF(B2344="","","outreach_sent")</f>
        <v/>
      </c>
      <c r="G2344" s="23" t="str">
        <f aca="false">IF(B2344="","","")</f>
        <v/>
      </c>
      <c r="H2344" s="23" t="str">
        <f aca="false">IF(B2344="","","")</f>
        <v/>
      </c>
      <c r="I2344" s="23" t="str">
        <f aca="false">IF(B2344="","","")</f>
        <v/>
      </c>
      <c r="J2344" s="23" t="str">
        <f aca="false">IF(B2344="","","touch_2; "&amp;IFERROR(INDEX(Clay_Offices!$A$2:$FZ$601,93,Sync!$C$10)&amp;"","")&amp;"; "&amp;IFERROR(INDEX(Clay_Offices!$A$2:$FZ$601,93,Sync!$C$9)&amp;"",""))</f>
        <v/>
      </c>
      <c r="K2344" s="32" t="s">
        <v>1364</v>
      </c>
    </row>
    <row r="2345" customFormat="false" ht="15" hidden="false" customHeight="false" outlineLevel="0" collapsed="false">
      <c r="A2345" s="23" t="str">
        <f aca="false">IF(B2345="","",B2345+(13*1000+94)/10000000)</f>
        <v/>
      </c>
      <c r="B2345" s="35" t="str">
        <f aca="false">IF(AND(IFERROR(N(INDEX(Clay_Offices!$A$2:$FZ$601,94,Sync!$C$12)),0)&gt;0,IFERROR(INDEX(Clay_Offices!$A$2:$FZ$601,94,Sync!$C$5)&amp;"","")&lt;&gt;"",OR(LEFT(IFERROR(INDEX(Clay_Offices!$A$2:$FZ$601,94,Sync!$C$5)&amp;"",""),6)&lt;&gt;"SAMPLE",Config!$B$19="Y")),IFERROR(N(INDEX(Clay_Offices!$A$2:$FZ$601,94,Sync!$C$12)),0),"")</f>
        <v/>
      </c>
      <c r="C2345" s="23" t="str">
        <f aca="false">IF(B2345="","","office")</f>
        <v/>
      </c>
      <c r="D2345" s="23" t="str">
        <f aca="false">IF(B2345="","",IFERROR(INDEX(Office_Log!$ED$2:$ED$201,MATCH(IFERROR(INDEX(Clay_Offices!$A$2:$FZ$601,94,Sync!$C$5)&amp;"",""),Office_Log!$A$2:$A$201,0))&amp;"",IFERROR(INDEX(Clay_Offices!$A$2:$FZ$601,94,Sync!$C$5)&amp;"","")&amp;""))</f>
        <v/>
      </c>
      <c r="E2345" s="23" t="str">
        <f aca="false">IF(B2345="","",IFERROR(INDEX(Clay_Offices!$A$2:$FZ$601,94,Sync!$C$6)&amp;"",""))</f>
        <v/>
      </c>
      <c r="F2345" s="23" t="str">
        <f aca="false">IF(B2345="","","outreach_sent")</f>
        <v/>
      </c>
      <c r="G2345" s="23" t="str">
        <f aca="false">IF(B2345="","","")</f>
        <v/>
      </c>
      <c r="H2345" s="23" t="str">
        <f aca="false">IF(B2345="","","")</f>
        <v/>
      </c>
      <c r="I2345" s="23" t="str">
        <f aca="false">IF(B2345="","","")</f>
        <v/>
      </c>
      <c r="J2345" s="23" t="str">
        <f aca="false">IF(B2345="","","touch_2; "&amp;IFERROR(INDEX(Clay_Offices!$A$2:$FZ$601,94,Sync!$C$10)&amp;"","")&amp;"; "&amp;IFERROR(INDEX(Clay_Offices!$A$2:$FZ$601,94,Sync!$C$9)&amp;"",""))</f>
        <v/>
      </c>
      <c r="K2345" s="32" t="s">
        <v>1364</v>
      </c>
    </row>
    <row r="2346" customFormat="false" ht="15" hidden="false" customHeight="false" outlineLevel="0" collapsed="false">
      <c r="A2346" s="23" t="str">
        <f aca="false">IF(B2346="","",B2346+(13*1000+95)/10000000)</f>
        <v/>
      </c>
      <c r="B2346" s="35" t="str">
        <f aca="false">IF(AND(IFERROR(N(INDEX(Clay_Offices!$A$2:$FZ$601,95,Sync!$C$12)),0)&gt;0,IFERROR(INDEX(Clay_Offices!$A$2:$FZ$601,95,Sync!$C$5)&amp;"","")&lt;&gt;"",OR(LEFT(IFERROR(INDEX(Clay_Offices!$A$2:$FZ$601,95,Sync!$C$5)&amp;"",""),6)&lt;&gt;"SAMPLE",Config!$B$19="Y")),IFERROR(N(INDEX(Clay_Offices!$A$2:$FZ$601,95,Sync!$C$12)),0),"")</f>
        <v/>
      </c>
      <c r="C2346" s="23" t="str">
        <f aca="false">IF(B2346="","","office")</f>
        <v/>
      </c>
      <c r="D2346" s="23" t="str">
        <f aca="false">IF(B2346="","",IFERROR(INDEX(Office_Log!$ED$2:$ED$201,MATCH(IFERROR(INDEX(Clay_Offices!$A$2:$FZ$601,95,Sync!$C$5)&amp;"",""),Office_Log!$A$2:$A$201,0))&amp;"",IFERROR(INDEX(Clay_Offices!$A$2:$FZ$601,95,Sync!$C$5)&amp;"","")&amp;""))</f>
        <v/>
      </c>
      <c r="E2346" s="23" t="str">
        <f aca="false">IF(B2346="","",IFERROR(INDEX(Clay_Offices!$A$2:$FZ$601,95,Sync!$C$6)&amp;"",""))</f>
        <v/>
      </c>
      <c r="F2346" s="23" t="str">
        <f aca="false">IF(B2346="","","outreach_sent")</f>
        <v/>
      </c>
      <c r="G2346" s="23" t="str">
        <f aca="false">IF(B2346="","","")</f>
        <v/>
      </c>
      <c r="H2346" s="23" t="str">
        <f aca="false">IF(B2346="","","")</f>
        <v/>
      </c>
      <c r="I2346" s="23" t="str">
        <f aca="false">IF(B2346="","","")</f>
        <v/>
      </c>
      <c r="J2346" s="23" t="str">
        <f aca="false">IF(B2346="","","touch_2; "&amp;IFERROR(INDEX(Clay_Offices!$A$2:$FZ$601,95,Sync!$C$10)&amp;"","")&amp;"; "&amp;IFERROR(INDEX(Clay_Offices!$A$2:$FZ$601,95,Sync!$C$9)&amp;"",""))</f>
        <v/>
      </c>
      <c r="K2346" s="32" t="s">
        <v>1364</v>
      </c>
    </row>
    <row r="2347" customFormat="false" ht="15" hidden="false" customHeight="false" outlineLevel="0" collapsed="false">
      <c r="A2347" s="23" t="str">
        <f aca="false">IF(B2347="","",B2347+(13*1000+96)/10000000)</f>
        <v/>
      </c>
      <c r="B2347" s="35" t="str">
        <f aca="false">IF(AND(IFERROR(N(INDEX(Clay_Offices!$A$2:$FZ$601,96,Sync!$C$12)),0)&gt;0,IFERROR(INDEX(Clay_Offices!$A$2:$FZ$601,96,Sync!$C$5)&amp;"","")&lt;&gt;"",OR(LEFT(IFERROR(INDEX(Clay_Offices!$A$2:$FZ$601,96,Sync!$C$5)&amp;"",""),6)&lt;&gt;"SAMPLE",Config!$B$19="Y")),IFERROR(N(INDEX(Clay_Offices!$A$2:$FZ$601,96,Sync!$C$12)),0),"")</f>
        <v/>
      </c>
      <c r="C2347" s="23" t="str">
        <f aca="false">IF(B2347="","","office")</f>
        <v/>
      </c>
      <c r="D2347" s="23" t="str">
        <f aca="false">IF(B2347="","",IFERROR(INDEX(Office_Log!$ED$2:$ED$201,MATCH(IFERROR(INDEX(Clay_Offices!$A$2:$FZ$601,96,Sync!$C$5)&amp;"",""),Office_Log!$A$2:$A$201,0))&amp;"",IFERROR(INDEX(Clay_Offices!$A$2:$FZ$601,96,Sync!$C$5)&amp;"","")&amp;""))</f>
        <v/>
      </c>
      <c r="E2347" s="23" t="str">
        <f aca="false">IF(B2347="","",IFERROR(INDEX(Clay_Offices!$A$2:$FZ$601,96,Sync!$C$6)&amp;"",""))</f>
        <v/>
      </c>
      <c r="F2347" s="23" t="str">
        <f aca="false">IF(B2347="","","outreach_sent")</f>
        <v/>
      </c>
      <c r="G2347" s="23" t="str">
        <f aca="false">IF(B2347="","","")</f>
        <v/>
      </c>
      <c r="H2347" s="23" t="str">
        <f aca="false">IF(B2347="","","")</f>
        <v/>
      </c>
      <c r="I2347" s="23" t="str">
        <f aca="false">IF(B2347="","","")</f>
        <v/>
      </c>
      <c r="J2347" s="23" t="str">
        <f aca="false">IF(B2347="","","touch_2; "&amp;IFERROR(INDEX(Clay_Offices!$A$2:$FZ$601,96,Sync!$C$10)&amp;"","")&amp;"; "&amp;IFERROR(INDEX(Clay_Offices!$A$2:$FZ$601,96,Sync!$C$9)&amp;"",""))</f>
        <v/>
      </c>
      <c r="K2347" s="32" t="s">
        <v>1364</v>
      </c>
    </row>
    <row r="2348" customFormat="false" ht="15" hidden="false" customHeight="false" outlineLevel="0" collapsed="false">
      <c r="A2348" s="23" t="str">
        <f aca="false">IF(B2348="","",B2348+(13*1000+97)/10000000)</f>
        <v/>
      </c>
      <c r="B2348" s="35" t="str">
        <f aca="false">IF(AND(IFERROR(N(INDEX(Clay_Offices!$A$2:$FZ$601,97,Sync!$C$12)),0)&gt;0,IFERROR(INDEX(Clay_Offices!$A$2:$FZ$601,97,Sync!$C$5)&amp;"","")&lt;&gt;"",OR(LEFT(IFERROR(INDEX(Clay_Offices!$A$2:$FZ$601,97,Sync!$C$5)&amp;"",""),6)&lt;&gt;"SAMPLE",Config!$B$19="Y")),IFERROR(N(INDEX(Clay_Offices!$A$2:$FZ$601,97,Sync!$C$12)),0),"")</f>
        <v/>
      </c>
      <c r="C2348" s="23" t="str">
        <f aca="false">IF(B2348="","","office")</f>
        <v/>
      </c>
      <c r="D2348" s="23" t="str">
        <f aca="false">IF(B2348="","",IFERROR(INDEX(Office_Log!$ED$2:$ED$201,MATCH(IFERROR(INDEX(Clay_Offices!$A$2:$FZ$601,97,Sync!$C$5)&amp;"",""),Office_Log!$A$2:$A$201,0))&amp;"",IFERROR(INDEX(Clay_Offices!$A$2:$FZ$601,97,Sync!$C$5)&amp;"","")&amp;""))</f>
        <v/>
      </c>
      <c r="E2348" s="23" t="str">
        <f aca="false">IF(B2348="","",IFERROR(INDEX(Clay_Offices!$A$2:$FZ$601,97,Sync!$C$6)&amp;"",""))</f>
        <v/>
      </c>
      <c r="F2348" s="23" t="str">
        <f aca="false">IF(B2348="","","outreach_sent")</f>
        <v/>
      </c>
      <c r="G2348" s="23" t="str">
        <f aca="false">IF(B2348="","","")</f>
        <v/>
      </c>
      <c r="H2348" s="23" t="str">
        <f aca="false">IF(B2348="","","")</f>
        <v/>
      </c>
      <c r="I2348" s="23" t="str">
        <f aca="false">IF(B2348="","","")</f>
        <v/>
      </c>
      <c r="J2348" s="23" t="str">
        <f aca="false">IF(B2348="","","touch_2; "&amp;IFERROR(INDEX(Clay_Offices!$A$2:$FZ$601,97,Sync!$C$10)&amp;"","")&amp;"; "&amp;IFERROR(INDEX(Clay_Offices!$A$2:$FZ$601,97,Sync!$C$9)&amp;"",""))</f>
        <v/>
      </c>
      <c r="K2348" s="32" t="s">
        <v>1364</v>
      </c>
    </row>
    <row r="2349" customFormat="false" ht="15" hidden="false" customHeight="false" outlineLevel="0" collapsed="false">
      <c r="A2349" s="23" t="str">
        <f aca="false">IF(B2349="","",B2349+(13*1000+98)/10000000)</f>
        <v/>
      </c>
      <c r="B2349" s="35" t="str">
        <f aca="false">IF(AND(IFERROR(N(INDEX(Clay_Offices!$A$2:$FZ$601,98,Sync!$C$12)),0)&gt;0,IFERROR(INDEX(Clay_Offices!$A$2:$FZ$601,98,Sync!$C$5)&amp;"","")&lt;&gt;"",OR(LEFT(IFERROR(INDEX(Clay_Offices!$A$2:$FZ$601,98,Sync!$C$5)&amp;"",""),6)&lt;&gt;"SAMPLE",Config!$B$19="Y")),IFERROR(N(INDEX(Clay_Offices!$A$2:$FZ$601,98,Sync!$C$12)),0),"")</f>
        <v/>
      </c>
      <c r="C2349" s="23" t="str">
        <f aca="false">IF(B2349="","","office")</f>
        <v/>
      </c>
      <c r="D2349" s="23" t="str">
        <f aca="false">IF(B2349="","",IFERROR(INDEX(Office_Log!$ED$2:$ED$201,MATCH(IFERROR(INDEX(Clay_Offices!$A$2:$FZ$601,98,Sync!$C$5)&amp;"",""),Office_Log!$A$2:$A$201,0))&amp;"",IFERROR(INDEX(Clay_Offices!$A$2:$FZ$601,98,Sync!$C$5)&amp;"","")&amp;""))</f>
        <v/>
      </c>
      <c r="E2349" s="23" t="str">
        <f aca="false">IF(B2349="","",IFERROR(INDEX(Clay_Offices!$A$2:$FZ$601,98,Sync!$C$6)&amp;"",""))</f>
        <v/>
      </c>
      <c r="F2349" s="23" t="str">
        <f aca="false">IF(B2349="","","outreach_sent")</f>
        <v/>
      </c>
      <c r="G2349" s="23" t="str">
        <f aca="false">IF(B2349="","","")</f>
        <v/>
      </c>
      <c r="H2349" s="23" t="str">
        <f aca="false">IF(B2349="","","")</f>
        <v/>
      </c>
      <c r="I2349" s="23" t="str">
        <f aca="false">IF(B2349="","","")</f>
        <v/>
      </c>
      <c r="J2349" s="23" t="str">
        <f aca="false">IF(B2349="","","touch_2; "&amp;IFERROR(INDEX(Clay_Offices!$A$2:$FZ$601,98,Sync!$C$10)&amp;"","")&amp;"; "&amp;IFERROR(INDEX(Clay_Offices!$A$2:$FZ$601,98,Sync!$C$9)&amp;"",""))</f>
        <v/>
      </c>
      <c r="K2349" s="32" t="s">
        <v>1364</v>
      </c>
    </row>
    <row r="2350" customFormat="false" ht="15" hidden="false" customHeight="false" outlineLevel="0" collapsed="false">
      <c r="A2350" s="23" t="str">
        <f aca="false">IF(B2350="","",B2350+(13*1000+99)/10000000)</f>
        <v/>
      </c>
      <c r="B2350" s="35" t="str">
        <f aca="false">IF(AND(IFERROR(N(INDEX(Clay_Offices!$A$2:$FZ$601,99,Sync!$C$12)),0)&gt;0,IFERROR(INDEX(Clay_Offices!$A$2:$FZ$601,99,Sync!$C$5)&amp;"","")&lt;&gt;"",OR(LEFT(IFERROR(INDEX(Clay_Offices!$A$2:$FZ$601,99,Sync!$C$5)&amp;"",""),6)&lt;&gt;"SAMPLE",Config!$B$19="Y")),IFERROR(N(INDEX(Clay_Offices!$A$2:$FZ$601,99,Sync!$C$12)),0),"")</f>
        <v/>
      </c>
      <c r="C2350" s="23" t="str">
        <f aca="false">IF(B2350="","","office")</f>
        <v/>
      </c>
      <c r="D2350" s="23" t="str">
        <f aca="false">IF(B2350="","",IFERROR(INDEX(Office_Log!$ED$2:$ED$201,MATCH(IFERROR(INDEX(Clay_Offices!$A$2:$FZ$601,99,Sync!$C$5)&amp;"",""),Office_Log!$A$2:$A$201,0))&amp;"",IFERROR(INDEX(Clay_Offices!$A$2:$FZ$601,99,Sync!$C$5)&amp;"","")&amp;""))</f>
        <v/>
      </c>
      <c r="E2350" s="23" t="str">
        <f aca="false">IF(B2350="","",IFERROR(INDEX(Clay_Offices!$A$2:$FZ$601,99,Sync!$C$6)&amp;"",""))</f>
        <v/>
      </c>
      <c r="F2350" s="23" t="str">
        <f aca="false">IF(B2350="","","outreach_sent")</f>
        <v/>
      </c>
      <c r="G2350" s="23" t="str">
        <f aca="false">IF(B2350="","","")</f>
        <v/>
      </c>
      <c r="H2350" s="23" t="str">
        <f aca="false">IF(B2350="","","")</f>
        <v/>
      </c>
      <c r="I2350" s="23" t="str">
        <f aca="false">IF(B2350="","","")</f>
        <v/>
      </c>
      <c r="J2350" s="23" t="str">
        <f aca="false">IF(B2350="","","touch_2; "&amp;IFERROR(INDEX(Clay_Offices!$A$2:$FZ$601,99,Sync!$C$10)&amp;"","")&amp;"; "&amp;IFERROR(INDEX(Clay_Offices!$A$2:$FZ$601,99,Sync!$C$9)&amp;"",""))</f>
        <v/>
      </c>
      <c r="K2350" s="32" t="s">
        <v>1364</v>
      </c>
    </row>
    <row r="2351" customFormat="false" ht="15" hidden="false" customHeight="false" outlineLevel="0" collapsed="false">
      <c r="A2351" s="23" t="str">
        <f aca="false">IF(B2351="","",B2351+(13*1000+100)/10000000)</f>
        <v/>
      </c>
      <c r="B2351" s="35" t="str">
        <f aca="false">IF(AND(IFERROR(N(INDEX(Clay_Offices!$A$2:$FZ$601,100,Sync!$C$12)),0)&gt;0,IFERROR(INDEX(Clay_Offices!$A$2:$FZ$601,100,Sync!$C$5)&amp;"","")&lt;&gt;"",OR(LEFT(IFERROR(INDEX(Clay_Offices!$A$2:$FZ$601,100,Sync!$C$5)&amp;"",""),6)&lt;&gt;"SAMPLE",Config!$B$19="Y")),IFERROR(N(INDEX(Clay_Offices!$A$2:$FZ$601,100,Sync!$C$12)),0),"")</f>
        <v/>
      </c>
      <c r="C2351" s="23" t="str">
        <f aca="false">IF(B2351="","","office")</f>
        <v/>
      </c>
      <c r="D2351" s="23" t="str">
        <f aca="false">IF(B2351="","",IFERROR(INDEX(Office_Log!$ED$2:$ED$201,MATCH(IFERROR(INDEX(Clay_Offices!$A$2:$FZ$601,100,Sync!$C$5)&amp;"",""),Office_Log!$A$2:$A$201,0))&amp;"",IFERROR(INDEX(Clay_Offices!$A$2:$FZ$601,100,Sync!$C$5)&amp;"","")&amp;""))</f>
        <v/>
      </c>
      <c r="E2351" s="23" t="str">
        <f aca="false">IF(B2351="","",IFERROR(INDEX(Clay_Offices!$A$2:$FZ$601,100,Sync!$C$6)&amp;"",""))</f>
        <v/>
      </c>
      <c r="F2351" s="23" t="str">
        <f aca="false">IF(B2351="","","outreach_sent")</f>
        <v/>
      </c>
      <c r="G2351" s="23" t="str">
        <f aca="false">IF(B2351="","","")</f>
        <v/>
      </c>
      <c r="H2351" s="23" t="str">
        <f aca="false">IF(B2351="","","")</f>
        <v/>
      </c>
      <c r="I2351" s="23" t="str">
        <f aca="false">IF(B2351="","","")</f>
        <v/>
      </c>
      <c r="J2351" s="23" t="str">
        <f aca="false">IF(B2351="","","touch_2; "&amp;IFERROR(INDEX(Clay_Offices!$A$2:$FZ$601,100,Sync!$C$10)&amp;"","")&amp;"; "&amp;IFERROR(INDEX(Clay_Offices!$A$2:$FZ$601,100,Sync!$C$9)&amp;"",""))</f>
        <v/>
      </c>
      <c r="K2351" s="32" t="s">
        <v>1364</v>
      </c>
    </row>
    <row r="2352" customFormat="false" ht="15" hidden="false" customHeight="false" outlineLevel="0" collapsed="false">
      <c r="A2352" s="23" t="str">
        <f aca="false">IF(B2352="","",B2352+(13*1000+101)/10000000)</f>
        <v/>
      </c>
      <c r="B2352" s="35" t="str">
        <f aca="false">IF(AND(IFERROR(N(INDEX(Clay_Offices!$A$2:$FZ$601,101,Sync!$C$12)),0)&gt;0,IFERROR(INDEX(Clay_Offices!$A$2:$FZ$601,101,Sync!$C$5)&amp;"","")&lt;&gt;"",OR(LEFT(IFERROR(INDEX(Clay_Offices!$A$2:$FZ$601,101,Sync!$C$5)&amp;"",""),6)&lt;&gt;"SAMPLE",Config!$B$19="Y")),IFERROR(N(INDEX(Clay_Offices!$A$2:$FZ$601,101,Sync!$C$12)),0),"")</f>
        <v/>
      </c>
      <c r="C2352" s="23" t="str">
        <f aca="false">IF(B2352="","","office")</f>
        <v/>
      </c>
      <c r="D2352" s="23" t="str">
        <f aca="false">IF(B2352="","",IFERROR(INDEX(Office_Log!$ED$2:$ED$201,MATCH(IFERROR(INDEX(Clay_Offices!$A$2:$FZ$601,101,Sync!$C$5)&amp;"",""),Office_Log!$A$2:$A$201,0))&amp;"",IFERROR(INDEX(Clay_Offices!$A$2:$FZ$601,101,Sync!$C$5)&amp;"","")&amp;""))</f>
        <v/>
      </c>
      <c r="E2352" s="23" t="str">
        <f aca="false">IF(B2352="","",IFERROR(INDEX(Clay_Offices!$A$2:$FZ$601,101,Sync!$C$6)&amp;"",""))</f>
        <v/>
      </c>
      <c r="F2352" s="23" t="str">
        <f aca="false">IF(B2352="","","outreach_sent")</f>
        <v/>
      </c>
      <c r="G2352" s="23" t="str">
        <f aca="false">IF(B2352="","","")</f>
        <v/>
      </c>
      <c r="H2352" s="23" t="str">
        <f aca="false">IF(B2352="","","")</f>
        <v/>
      </c>
      <c r="I2352" s="23" t="str">
        <f aca="false">IF(B2352="","","")</f>
        <v/>
      </c>
      <c r="J2352" s="23" t="str">
        <f aca="false">IF(B2352="","","touch_2; "&amp;IFERROR(INDEX(Clay_Offices!$A$2:$FZ$601,101,Sync!$C$10)&amp;"","")&amp;"; "&amp;IFERROR(INDEX(Clay_Offices!$A$2:$FZ$601,101,Sync!$C$9)&amp;"",""))</f>
        <v/>
      </c>
      <c r="K2352" s="32" t="s">
        <v>1364</v>
      </c>
    </row>
    <row r="2353" customFormat="false" ht="15" hidden="false" customHeight="false" outlineLevel="0" collapsed="false">
      <c r="A2353" s="23" t="str">
        <f aca="false">IF(B2353="","",B2353+(13*1000+102)/10000000)</f>
        <v/>
      </c>
      <c r="B2353" s="35" t="str">
        <f aca="false">IF(AND(IFERROR(N(INDEX(Clay_Offices!$A$2:$FZ$601,102,Sync!$C$12)),0)&gt;0,IFERROR(INDEX(Clay_Offices!$A$2:$FZ$601,102,Sync!$C$5)&amp;"","")&lt;&gt;"",OR(LEFT(IFERROR(INDEX(Clay_Offices!$A$2:$FZ$601,102,Sync!$C$5)&amp;"",""),6)&lt;&gt;"SAMPLE",Config!$B$19="Y")),IFERROR(N(INDEX(Clay_Offices!$A$2:$FZ$601,102,Sync!$C$12)),0),"")</f>
        <v/>
      </c>
      <c r="C2353" s="23" t="str">
        <f aca="false">IF(B2353="","","office")</f>
        <v/>
      </c>
      <c r="D2353" s="23" t="str">
        <f aca="false">IF(B2353="","",IFERROR(INDEX(Office_Log!$ED$2:$ED$201,MATCH(IFERROR(INDEX(Clay_Offices!$A$2:$FZ$601,102,Sync!$C$5)&amp;"",""),Office_Log!$A$2:$A$201,0))&amp;"",IFERROR(INDEX(Clay_Offices!$A$2:$FZ$601,102,Sync!$C$5)&amp;"","")&amp;""))</f>
        <v/>
      </c>
      <c r="E2353" s="23" t="str">
        <f aca="false">IF(B2353="","",IFERROR(INDEX(Clay_Offices!$A$2:$FZ$601,102,Sync!$C$6)&amp;"",""))</f>
        <v/>
      </c>
      <c r="F2353" s="23" t="str">
        <f aca="false">IF(B2353="","","outreach_sent")</f>
        <v/>
      </c>
      <c r="G2353" s="23" t="str">
        <f aca="false">IF(B2353="","","")</f>
        <v/>
      </c>
      <c r="H2353" s="23" t="str">
        <f aca="false">IF(B2353="","","")</f>
        <v/>
      </c>
      <c r="I2353" s="23" t="str">
        <f aca="false">IF(B2353="","","")</f>
        <v/>
      </c>
      <c r="J2353" s="23" t="str">
        <f aca="false">IF(B2353="","","touch_2; "&amp;IFERROR(INDEX(Clay_Offices!$A$2:$FZ$601,102,Sync!$C$10)&amp;"","")&amp;"; "&amp;IFERROR(INDEX(Clay_Offices!$A$2:$FZ$601,102,Sync!$C$9)&amp;"",""))</f>
        <v/>
      </c>
      <c r="K2353" s="32" t="s">
        <v>1364</v>
      </c>
    </row>
    <row r="2354" customFormat="false" ht="15" hidden="false" customHeight="false" outlineLevel="0" collapsed="false">
      <c r="A2354" s="23" t="str">
        <f aca="false">IF(B2354="","",B2354+(13*1000+103)/10000000)</f>
        <v/>
      </c>
      <c r="B2354" s="35" t="str">
        <f aca="false">IF(AND(IFERROR(N(INDEX(Clay_Offices!$A$2:$FZ$601,103,Sync!$C$12)),0)&gt;0,IFERROR(INDEX(Clay_Offices!$A$2:$FZ$601,103,Sync!$C$5)&amp;"","")&lt;&gt;"",OR(LEFT(IFERROR(INDEX(Clay_Offices!$A$2:$FZ$601,103,Sync!$C$5)&amp;"",""),6)&lt;&gt;"SAMPLE",Config!$B$19="Y")),IFERROR(N(INDEX(Clay_Offices!$A$2:$FZ$601,103,Sync!$C$12)),0),"")</f>
        <v/>
      </c>
      <c r="C2354" s="23" t="str">
        <f aca="false">IF(B2354="","","office")</f>
        <v/>
      </c>
      <c r="D2354" s="23" t="str">
        <f aca="false">IF(B2354="","",IFERROR(INDEX(Office_Log!$ED$2:$ED$201,MATCH(IFERROR(INDEX(Clay_Offices!$A$2:$FZ$601,103,Sync!$C$5)&amp;"",""),Office_Log!$A$2:$A$201,0))&amp;"",IFERROR(INDEX(Clay_Offices!$A$2:$FZ$601,103,Sync!$C$5)&amp;"","")&amp;""))</f>
        <v/>
      </c>
      <c r="E2354" s="23" t="str">
        <f aca="false">IF(B2354="","",IFERROR(INDEX(Clay_Offices!$A$2:$FZ$601,103,Sync!$C$6)&amp;"",""))</f>
        <v/>
      </c>
      <c r="F2354" s="23" t="str">
        <f aca="false">IF(B2354="","","outreach_sent")</f>
        <v/>
      </c>
      <c r="G2354" s="23" t="str">
        <f aca="false">IF(B2354="","","")</f>
        <v/>
      </c>
      <c r="H2354" s="23" t="str">
        <f aca="false">IF(B2354="","","")</f>
        <v/>
      </c>
      <c r="I2354" s="23" t="str">
        <f aca="false">IF(B2354="","","")</f>
        <v/>
      </c>
      <c r="J2354" s="23" t="str">
        <f aca="false">IF(B2354="","","touch_2; "&amp;IFERROR(INDEX(Clay_Offices!$A$2:$FZ$601,103,Sync!$C$10)&amp;"","")&amp;"; "&amp;IFERROR(INDEX(Clay_Offices!$A$2:$FZ$601,103,Sync!$C$9)&amp;"",""))</f>
        <v/>
      </c>
      <c r="K2354" s="32" t="s">
        <v>1364</v>
      </c>
    </row>
    <row r="2355" customFormat="false" ht="15" hidden="false" customHeight="false" outlineLevel="0" collapsed="false">
      <c r="A2355" s="23" t="str">
        <f aca="false">IF(B2355="","",B2355+(13*1000+104)/10000000)</f>
        <v/>
      </c>
      <c r="B2355" s="35" t="str">
        <f aca="false">IF(AND(IFERROR(N(INDEX(Clay_Offices!$A$2:$FZ$601,104,Sync!$C$12)),0)&gt;0,IFERROR(INDEX(Clay_Offices!$A$2:$FZ$601,104,Sync!$C$5)&amp;"","")&lt;&gt;"",OR(LEFT(IFERROR(INDEX(Clay_Offices!$A$2:$FZ$601,104,Sync!$C$5)&amp;"",""),6)&lt;&gt;"SAMPLE",Config!$B$19="Y")),IFERROR(N(INDEX(Clay_Offices!$A$2:$FZ$601,104,Sync!$C$12)),0),"")</f>
        <v/>
      </c>
      <c r="C2355" s="23" t="str">
        <f aca="false">IF(B2355="","","office")</f>
        <v/>
      </c>
      <c r="D2355" s="23" t="str">
        <f aca="false">IF(B2355="","",IFERROR(INDEX(Office_Log!$ED$2:$ED$201,MATCH(IFERROR(INDEX(Clay_Offices!$A$2:$FZ$601,104,Sync!$C$5)&amp;"",""),Office_Log!$A$2:$A$201,0))&amp;"",IFERROR(INDEX(Clay_Offices!$A$2:$FZ$601,104,Sync!$C$5)&amp;"","")&amp;""))</f>
        <v/>
      </c>
      <c r="E2355" s="23" t="str">
        <f aca="false">IF(B2355="","",IFERROR(INDEX(Clay_Offices!$A$2:$FZ$601,104,Sync!$C$6)&amp;"",""))</f>
        <v/>
      </c>
      <c r="F2355" s="23" t="str">
        <f aca="false">IF(B2355="","","outreach_sent")</f>
        <v/>
      </c>
      <c r="G2355" s="23" t="str">
        <f aca="false">IF(B2355="","","")</f>
        <v/>
      </c>
      <c r="H2355" s="23" t="str">
        <f aca="false">IF(B2355="","","")</f>
        <v/>
      </c>
      <c r="I2355" s="23" t="str">
        <f aca="false">IF(B2355="","","")</f>
        <v/>
      </c>
      <c r="J2355" s="23" t="str">
        <f aca="false">IF(B2355="","","touch_2; "&amp;IFERROR(INDEX(Clay_Offices!$A$2:$FZ$601,104,Sync!$C$10)&amp;"","")&amp;"; "&amp;IFERROR(INDEX(Clay_Offices!$A$2:$FZ$601,104,Sync!$C$9)&amp;"",""))</f>
        <v/>
      </c>
      <c r="K2355" s="32" t="s">
        <v>1364</v>
      </c>
    </row>
    <row r="2356" customFormat="false" ht="15" hidden="false" customHeight="false" outlineLevel="0" collapsed="false">
      <c r="A2356" s="23" t="str">
        <f aca="false">IF(B2356="","",B2356+(13*1000+105)/10000000)</f>
        <v/>
      </c>
      <c r="B2356" s="35" t="str">
        <f aca="false">IF(AND(IFERROR(N(INDEX(Clay_Offices!$A$2:$FZ$601,105,Sync!$C$12)),0)&gt;0,IFERROR(INDEX(Clay_Offices!$A$2:$FZ$601,105,Sync!$C$5)&amp;"","")&lt;&gt;"",OR(LEFT(IFERROR(INDEX(Clay_Offices!$A$2:$FZ$601,105,Sync!$C$5)&amp;"",""),6)&lt;&gt;"SAMPLE",Config!$B$19="Y")),IFERROR(N(INDEX(Clay_Offices!$A$2:$FZ$601,105,Sync!$C$12)),0),"")</f>
        <v/>
      </c>
      <c r="C2356" s="23" t="str">
        <f aca="false">IF(B2356="","","office")</f>
        <v/>
      </c>
      <c r="D2356" s="23" t="str">
        <f aca="false">IF(B2356="","",IFERROR(INDEX(Office_Log!$ED$2:$ED$201,MATCH(IFERROR(INDEX(Clay_Offices!$A$2:$FZ$601,105,Sync!$C$5)&amp;"",""),Office_Log!$A$2:$A$201,0))&amp;"",IFERROR(INDEX(Clay_Offices!$A$2:$FZ$601,105,Sync!$C$5)&amp;"","")&amp;""))</f>
        <v/>
      </c>
      <c r="E2356" s="23" t="str">
        <f aca="false">IF(B2356="","",IFERROR(INDEX(Clay_Offices!$A$2:$FZ$601,105,Sync!$C$6)&amp;"",""))</f>
        <v/>
      </c>
      <c r="F2356" s="23" t="str">
        <f aca="false">IF(B2356="","","outreach_sent")</f>
        <v/>
      </c>
      <c r="G2356" s="23" t="str">
        <f aca="false">IF(B2356="","","")</f>
        <v/>
      </c>
      <c r="H2356" s="23" t="str">
        <f aca="false">IF(B2356="","","")</f>
        <v/>
      </c>
      <c r="I2356" s="23" t="str">
        <f aca="false">IF(B2356="","","")</f>
        <v/>
      </c>
      <c r="J2356" s="23" t="str">
        <f aca="false">IF(B2356="","","touch_2; "&amp;IFERROR(INDEX(Clay_Offices!$A$2:$FZ$601,105,Sync!$C$10)&amp;"","")&amp;"; "&amp;IFERROR(INDEX(Clay_Offices!$A$2:$FZ$601,105,Sync!$C$9)&amp;"",""))</f>
        <v/>
      </c>
      <c r="K2356" s="32" t="s">
        <v>1364</v>
      </c>
    </row>
    <row r="2357" customFormat="false" ht="15" hidden="false" customHeight="false" outlineLevel="0" collapsed="false">
      <c r="A2357" s="23" t="str">
        <f aca="false">IF(B2357="","",B2357+(13*1000+106)/10000000)</f>
        <v/>
      </c>
      <c r="B2357" s="35" t="str">
        <f aca="false">IF(AND(IFERROR(N(INDEX(Clay_Offices!$A$2:$FZ$601,106,Sync!$C$12)),0)&gt;0,IFERROR(INDEX(Clay_Offices!$A$2:$FZ$601,106,Sync!$C$5)&amp;"","")&lt;&gt;"",OR(LEFT(IFERROR(INDEX(Clay_Offices!$A$2:$FZ$601,106,Sync!$C$5)&amp;"",""),6)&lt;&gt;"SAMPLE",Config!$B$19="Y")),IFERROR(N(INDEX(Clay_Offices!$A$2:$FZ$601,106,Sync!$C$12)),0),"")</f>
        <v/>
      </c>
      <c r="C2357" s="23" t="str">
        <f aca="false">IF(B2357="","","office")</f>
        <v/>
      </c>
      <c r="D2357" s="23" t="str">
        <f aca="false">IF(B2357="","",IFERROR(INDEX(Office_Log!$ED$2:$ED$201,MATCH(IFERROR(INDEX(Clay_Offices!$A$2:$FZ$601,106,Sync!$C$5)&amp;"",""),Office_Log!$A$2:$A$201,0))&amp;"",IFERROR(INDEX(Clay_Offices!$A$2:$FZ$601,106,Sync!$C$5)&amp;"","")&amp;""))</f>
        <v/>
      </c>
      <c r="E2357" s="23" t="str">
        <f aca="false">IF(B2357="","",IFERROR(INDEX(Clay_Offices!$A$2:$FZ$601,106,Sync!$C$6)&amp;"",""))</f>
        <v/>
      </c>
      <c r="F2357" s="23" t="str">
        <f aca="false">IF(B2357="","","outreach_sent")</f>
        <v/>
      </c>
      <c r="G2357" s="23" t="str">
        <f aca="false">IF(B2357="","","")</f>
        <v/>
      </c>
      <c r="H2357" s="23" t="str">
        <f aca="false">IF(B2357="","","")</f>
        <v/>
      </c>
      <c r="I2357" s="23" t="str">
        <f aca="false">IF(B2357="","","")</f>
        <v/>
      </c>
      <c r="J2357" s="23" t="str">
        <f aca="false">IF(B2357="","","touch_2; "&amp;IFERROR(INDEX(Clay_Offices!$A$2:$FZ$601,106,Sync!$C$10)&amp;"","")&amp;"; "&amp;IFERROR(INDEX(Clay_Offices!$A$2:$FZ$601,106,Sync!$C$9)&amp;"",""))</f>
        <v/>
      </c>
      <c r="K2357" s="32" t="s">
        <v>1364</v>
      </c>
    </row>
    <row r="2358" customFormat="false" ht="15" hidden="false" customHeight="false" outlineLevel="0" collapsed="false">
      <c r="A2358" s="23" t="str">
        <f aca="false">IF(B2358="","",B2358+(13*1000+107)/10000000)</f>
        <v/>
      </c>
      <c r="B2358" s="35" t="str">
        <f aca="false">IF(AND(IFERROR(N(INDEX(Clay_Offices!$A$2:$FZ$601,107,Sync!$C$12)),0)&gt;0,IFERROR(INDEX(Clay_Offices!$A$2:$FZ$601,107,Sync!$C$5)&amp;"","")&lt;&gt;"",OR(LEFT(IFERROR(INDEX(Clay_Offices!$A$2:$FZ$601,107,Sync!$C$5)&amp;"",""),6)&lt;&gt;"SAMPLE",Config!$B$19="Y")),IFERROR(N(INDEX(Clay_Offices!$A$2:$FZ$601,107,Sync!$C$12)),0),"")</f>
        <v/>
      </c>
      <c r="C2358" s="23" t="str">
        <f aca="false">IF(B2358="","","office")</f>
        <v/>
      </c>
      <c r="D2358" s="23" t="str">
        <f aca="false">IF(B2358="","",IFERROR(INDEX(Office_Log!$ED$2:$ED$201,MATCH(IFERROR(INDEX(Clay_Offices!$A$2:$FZ$601,107,Sync!$C$5)&amp;"",""),Office_Log!$A$2:$A$201,0))&amp;"",IFERROR(INDEX(Clay_Offices!$A$2:$FZ$601,107,Sync!$C$5)&amp;"","")&amp;""))</f>
        <v/>
      </c>
      <c r="E2358" s="23" t="str">
        <f aca="false">IF(B2358="","",IFERROR(INDEX(Clay_Offices!$A$2:$FZ$601,107,Sync!$C$6)&amp;"",""))</f>
        <v/>
      </c>
      <c r="F2358" s="23" t="str">
        <f aca="false">IF(B2358="","","outreach_sent")</f>
        <v/>
      </c>
      <c r="G2358" s="23" t="str">
        <f aca="false">IF(B2358="","","")</f>
        <v/>
      </c>
      <c r="H2358" s="23" t="str">
        <f aca="false">IF(B2358="","","")</f>
        <v/>
      </c>
      <c r="I2358" s="23" t="str">
        <f aca="false">IF(B2358="","","")</f>
        <v/>
      </c>
      <c r="J2358" s="23" t="str">
        <f aca="false">IF(B2358="","","touch_2; "&amp;IFERROR(INDEX(Clay_Offices!$A$2:$FZ$601,107,Sync!$C$10)&amp;"","")&amp;"; "&amp;IFERROR(INDEX(Clay_Offices!$A$2:$FZ$601,107,Sync!$C$9)&amp;"",""))</f>
        <v/>
      </c>
      <c r="K2358" s="32" t="s">
        <v>1364</v>
      </c>
    </row>
    <row r="2359" customFormat="false" ht="15" hidden="false" customHeight="false" outlineLevel="0" collapsed="false">
      <c r="A2359" s="23" t="str">
        <f aca="false">IF(B2359="","",B2359+(13*1000+108)/10000000)</f>
        <v/>
      </c>
      <c r="B2359" s="35" t="str">
        <f aca="false">IF(AND(IFERROR(N(INDEX(Clay_Offices!$A$2:$FZ$601,108,Sync!$C$12)),0)&gt;0,IFERROR(INDEX(Clay_Offices!$A$2:$FZ$601,108,Sync!$C$5)&amp;"","")&lt;&gt;"",OR(LEFT(IFERROR(INDEX(Clay_Offices!$A$2:$FZ$601,108,Sync!$C$5)&amp;"",""),6)&lt;&gt;"SAMPLE",Config!$B$19="Y")),IFERROR(N(INDEX(Clay_Offices!$A$2:$FZ$601,108,Sync!$C$12)),0),"")</f>
        <v/>
      </c>
      <c r="C2359" s="23" t="str">
        <f aca="false">IF(B2359="","","office")</f>
        <v/>
      </c>
      <c r="D2359" s="23" t="str">
        <f aca="false">IF(B2359="","",IFERROR(INDEX(Office_Log!$ED$2:$ED$201,MATCH(IFERROR(INDEX(Clay_Offices!$A$2:$FZ$601,108,Sync!$C$5)&amp;"",""),Office_Log!$A$2:$A$201,0))&amp;"",IFERROR(INDEX(Clay_Offices!$A$2:$FZ$601,108,Sync!$C$5)&amp;"","")&amp;""))</f>
        <v/>
      </c>
      <c r="E2359" s="23" t="str">
        <f aca="false">IF(B2359="","",IFERROR(INDEX(Clay_Offices!$A$2:$FZ$601,108,Sync!$C$6)&amp;"",""))</f>
        <v/>
      </c>
      <c r="F2359" s="23" t="str">
        <f aca="false">IF(B2359="","","outreach_sent")</f>
        <v/>
      </c>
      <c r="G2359" s="23" t="str">
        <f aca="false">IF(B2359="","","")</f>
        <v/>
      </c>
      <c r="H2359" s="23" t="str">
        <f aca="false">IF(B2359="","","")</f>
        <v/>
      </c>
      <c r="I2359" s="23" t="str">
        <f aca="false">IF(B2359="","","")</f>
        <v/>
      </c>
      <c r="J2359" s="23" t="str">
        <f aca="false">IF(B2359="","","touch_2; "&amp;IFERROR(INDEX(Clay_Offices!$A$2:$FZ$601,108,Sync!$C$10)&amp;"","")&amp;"; "&amp;IFERROR(INDEX(Clay_Offices!$A$2:$FZ$601,108,Sync!$C$9)&amp;"",""))</f>
        <v/>
      </c>
      <c r="K2359" s="32" t="s">
        <v>1364</v>
      </c>
    </row>
    <row r="2360" customFormat="false" ht="15" hidden="false" customHeight="false" outlineLevel="0" collapsed="false">
      <c r="A2360" s="23" t="str">
        <f aca="false">IF(B2360="","",B2360+(13*1000+109)/10000000)</f>
        <v/>
      </c>
      <c r="B2360" s="35" t="str">
        <f aca="false">IF(AND(IFERROR(N(INDEX(Clay_Offices!$A$2:$FZ$601,109,Sync!$C$12)),0)&gt;0,IFERROR(INDEX(Clay_Offices!$A$2:$FZ$601,109,Sync!$C$5)&amp;"","")&lt;&gt;"",OR(LEFT(IFERROR(INDEX(Clay_Offices!$A$2:$FZ$601,109,Sync!$C$5)&amp;"",""),6)&lt;&gt;"SAMPLE",Config!$B$19="Y")),IFERROR(N(INDEX(Clay_Offices!$A$2:$FZ$601,109,Sync!$C$12)),0),"")</f>
        <v/>
      </c>
      <c r="C2360" s="23" t="str">
        <f aca="false">IF(B2360="","","office")</f>
        <v/>
      </c>
      <c r="D2360" s="23" t="str">
        <f aca="false">IF(B2360="","",IFERROR(INDEX(Office_Log!$ED$2:$ED$201,MATCH(IFERROR(INDEX(Clay_Offices!$A$2:$FZ$601,109,Sync!$C$5)&amp;"",""),Office_Log!$A$2:$A$201,0))&amp;"",IFERROR(INDEX(Clay_Offices!$A$2:$FZ$601,109,Sync!$C$5)&amp;"","")&amp;""))</f>
        <v/>
      </c>
      <c r="E2360" s="23" t="str">
        <f aca="false">IF(B2360="","",IFERROR(INDEX(Clay_Offices!$A$2:$FZ$601,109,Sync!$C$6)&amp;"",""))</f>
        <v/>
      </c>
      <c r="F2360" s="23" t="str">
        <f aca="false">IF(B2360="","","outreach_sent")</f>
        <v/>
      </c>
      <c r="G2360" s="23" t="str">
        <f aca="false">IF(B2360="","","")</f>
        <v/>
      </c>
      <c r="H2360" s="23" t="str">
        <f aca="false">IF(B2360="","","")</f>
        <v/>
      </c>
      <c r="I2360" s="23" t="str">
        <f aca="false">IF(B2360="","","")</f>
        <v/>
      </c>
      <c r="J2360" s="23" t="str">
        <f aca="false">IF(B2360="","","touch_2; "&amp;IFERROR(INDEX(Clay_Offices!$A$2:$FZ$601,109,Sync!$C$10)&amp;"","")&amp;"; "&amp;IFERROR(INDEX(Clay_Offices!$A$2:$FZ$601,109,Sync!$C$9)&amp;"",""))</f>
        <v/>
      </c>
      <c r="K2360" s="32" t="s">
        <v>1364</v>
      </c>
    </row>
    <row r="2361" customFormat="false" ht="15" hidden="false" customHeight="false" outlineLevel="0" collapsed="false">
      <c r="A2361" s="23" t="str">
        <f aca="false">IF(B2361="","",B2361+(13*1000+110)/10000000)</f>
        <v/>
      </c>
      <c r="B2361" s="35" t="str">
        <f aca="false">IF(AND(IFERROR(N(INDEX(Clay_Offices!$A$2:$FZ$601,110,Sync!$C$12)),0)&gt;0,IFERROR(INDEX(Clay_Offices!$A$2:$FZ$601,110,Sync!$C$5)&amp;"","")&lt;&gt;"",OR(LEFT(IFERROR(INDEX(Clay_Offices!$A$2:$FZ$601,110,Sync!$C$5)&amp;"",""),6)&lt;&gt;"SAMPLE",Config!$B$19="Y")),IFERROR(N(INDEX(Clay_Offices!$A$2:$FZ$601,110,Sync!$C$12)),0),"")</f>
        <v/>
      </c>
      <c r="C2361" s="23" t="str">
        <f aca="false">IF(B2361="","","office")</f>
        <v/>
      </c>
      <c r="D2361" s="23" t="str">
        <f aca="false">IF(B2361="","",IFERROR(INDEX(Office_Log!$ED$2:$ED$201,MATCH(IFERROR(INDEX(Clay_Offices!$A$2:$FZ$601,110,Sync!$C$5)&amp;"",""),Office_Log!$A$2:$A$201,0))&amp;"",IFERROR(INDEX(Clay_Offices!$A$2:$FZ$601,110,Sync!$C$5)&amp;"","")&amp;""))</f>
        <v/>
      </c>
      <c r="E2361" s="23" t="str">
        <f aca="false">IF(B2361="","",IFERROR(INDEX(Clay_Offices!$A$2:$FZ$601,110,Sync!$C$6)&amp;"",""))</f>
        <v/>
      </c>
      <c r="F2361" s="23" t="str">
        <f aca="false">IF(B2361="","","outreach_sent")</f>
        <v/>
      </c>
      <c r="G2361" s="23" t="str">
        <f aca="false">IF(B2361="","","")</f>
        <v/>
      </c>
      <c r="H2361" s="23" t="str">
        <f aca="false">IF(B2361="","","")</f>
        <v/>
      </c>
      <c r="I2361" s="23" t="str">
        <f aca="false">IF(B2361="","","")</f>
        <v/>
      </c>
      <c r="J2361" s="23" t="str">
        <f aca="false">IF(B2361="","","touch_2; "&amp;IFERROR(INDEX(Clay_Offices!$A$2:$FZ$601,110,Sync!$C$10)&amp;"","")&amp;"; "&amp;IFERROR(INDEX(Clay_Offices!$A$2:$FZ$601,110,Sync!$C$9)&amp;"",""))</f>
        <v/>
      </c>
      <c r="K2361" s="32" t="s">
        <v>1364</v>
      </c>
    </row>
    <row r="2362" customFormat="false" ht="15" hidden="false" customHeight="false" outlineLevel="0" collapsed="false">
      <c r="A2362" s="23" t="str">
        <f aca="false">IF(B2362="","",B2362+(13*1000+111)/10000000)</f>
        <v/>
      </c>
      <c r="B2362" s="35" t="str">
        <f aca="false">IF(AND(IFERROR(N(INDEX(Clay_Offices!$A$2:$FZ$601,111,Sync!$C$12)),0)&gt;0,IFERROR(INDEX(Clay_Offices!$A$2:$FZ$601,111,Sync!$C$5)&amp;"","")&lt;&gt;"",OR(LEFT(IFERROR(INDEX(Clay_Offices!$A$2:$FZ$601,111,Sync!$C$5)&amp;"",""),6)&lt;&gt;"SAMPLE",Config!$B$19="Y")),IFERROR(N(INDEX(Clay_Offices!$A$2:$FZ$601,111,Sync!$C$12)),0),"")</f>
        <v/>
      </c>
      <c r="C2362" s="23" t="str">
        <f aca="false">IF(B2362="","","office")</f>
        <v/>
      </c>
      <c r="D2362" s="23" t="str">
        <f aca="false">IF(B2362="","",IFERROR(INDEX(Office_Log!$ED$2:$ED$201,MATCH(IFERROR(INDEX(Clay_Offices!$A$2:$FZ$601,111,Sync!$C$5)&amp;"",""),Office_Log!$A$2:$A$201,0))&amp;"",IFERROR(INDEX(Clay_Offices!$A$2:$FZ$601,111,Sync!$C$5)&amp;"","")&amp;""))</f>
        <v/>
      </c>
      <c r="E2362" s="23" t="str">
        <f aca="false">IF(B2362="","",IFERROR(INDEX(Clay_Offices!$A$2:$FZ$601,111,Sync!$C$6)&amp;"",""))</f>
        <v/>
      </c>
      <c r="F2362" s="23" t="str">
        <f aca="false">IF(B2362="","","outreach_sent")</f>
        <v/>
      </c>
      <c r="G2362" s="23" t="str">
        <f aca="false">IF(B2362="","","")</f>
        <v/>
      </c>
      <c r="H2362" s="23" t="str">
        <f aca="false">IF(B2362="","","")</f>
        <v/>
      </c>
      <c r="I2362" s="23" t="str">
        <f aca="false">IF(B2362="","","")</f>
        <v/>
      </c>
      <c r="J2362" s="23" t="str">
        <f aca="false">IF(B2362="","","touch_2; "&amp;IFERROR(INDEX(Clay_Offices!$A$2:$FZ$601,111,Sync!$C$10)&amp;"","")&amp;"; "&amp;IFERROR(INDEX(Clay_Offices!$A$2:$FZ$601,111,Sync!$C$9)&amp;"",""))</f>
        <v/>
      </c>
      <c r="K2362" s="32" t="s">
        <v>1364</v>
      </c>
    </row>
    <row r="2363" customFormat="false" ht="15" hidden="false" customHeight="false" outlineLevel="0" collapsed="false">
      <c r="A2363" s="23" t="str">
        <f aca="false">IF(B2363="","",B2363+(13*1000+112)/10000000)</f>
        <v/>
      </c>
      <c r="B2363" s="35" t="str">
        <f aca="false">IF(AND(IFERROR(N(INDEX(Clay_Offices!$A$2:$FZ$601,112,Sync!$C$12)),0)&gt;0,IFERROR(INDEX(Clay_Offices!$A$2:$FZ$601,112,Sync!$C$5)&amp;"","")&lt;&gt;"",OR(LEFT(IFERROR(INDEX(Clay_Offices!$A$2:$FZ$601,112,Sync!$C$5)&amp;"",""),6)&lt;&gt;"SAMPLE",Config!$B$19="Y")),IFERROR(N(INDEX(Clay_Offices!$A$2:$FZ$601,112,Sync!$C$12)),0),"")</f>
        <v/>
      </c>
      <c r="C2363" s="23" t="str">
        <f aca="false">IF(B2363="","","office")</f>
        <v/>
      </c>
      <c r="D2363" s="23" t="str">
        <f aca="false">IF(B2363="","",IFERROR(INDEX(Office_Log!$ED$2:$ED$201,MATCH(IFERROR(INDEX(Clay_Offices!$A$2:$FZ$601,112,Sync!$C$5)&amp;"",""),Office_Log!$A$2:$A$201,0))&amp;"",IFERROR(INDEX(Clay_Offices!$A$2:$FZ$601,112,Sync!$C$5)&amp;"","")&amp;""))</f>
        <v/>
      </c>
      <c r="E2363" s="23" t="str">
        <f aca="false">IF(B2363="","",IFERROR(INDEX(Clay_Offices!$A$2:$FZ$601,112,Sync!$C$6)&amp;"",""))</f>
        <v/>
      </c>
      <c r="F2363" s="23" t="str">
        <f aca="false">IF(B2363="","","outreach_sent")</f>
        <v/>
      </c>
      <c r="G2363" s="23" t="str">
        <f aca="false">IF(B2363="","","")</f>
        <v/>
      </c>
      <c r="H2363" s="23" t="str">
        <f aca="false">IF(B2363="","","")</f>
        <v/>
      </c>
      <c r="I2363" s="23" t="str">
        <f aca="false">IF(B2363="","","")</f>
        <v/>
      </c>
      <c r="J2363" s="23" t="str">
        <f aca="false">IF(B2363="","","touch_2; "&amp;IFERROR(INDEX(Clay_Offices!$A$2:$FZ$601,112,Sync!$C$10)&amp;"","")&amp;"; "&amp;IFERROR(INDEX(Clay_Offices!$A$2:$FZ$601,112,Sync!$C$9)&amp;"",""))</f>
        <v/>
      </c>
      <c r="K2363" s="32" t="s">
        <v>1364</v>
      </c>
    </row>
    <row r="2364" customFormat="false" ht="15" hidden="false" customHeight="false" outlineLevel="0" collapsed="false">
      <c r="A2364" s="23" t="str">
        <f aca="false">IF(B2364="","",B2364+(13*1000+113)/10000000)</f>
        <v/>
      </c>
      <c r="B2364" s="35" t="str">
        <f aca="false">IF(AND(IFERROR(N(INDEX(Clay_Offices!$A$2:$FZ$601,113,Sync!$C$12)),0)&gt;0,IFERROR(INDEX(Clay_Offices!$A$2:$FZ$601,113,Sync!$C$5)&amp;"","")&lt;&gt;"",OR(LEFT(IFERROR(INDEX(Clay_Offices!$A$2:$FZ$601,113,Sync!$C$5)&amp;"",""),6)&lt;&gt;"SAMPLE",Config!$B$19="Y")),IFERROR(N(INDEX(Clay_Offices!$A$2:$FZ$601,113,Sync!$C$12)),0),"")</f>
        <v/>
      </c>
      <c r="C2364" s="23" t="str">
        <f aca="false">IF(B2364="","","office")</f>
        <v/>
      </c>
      <c r="D2364" s="23" t="str">
        <f aca="false">IF(B2364="","",IFERROR(INDEX(Office_Log!$ED$2:$ED$201,MATCH(IFERROR(INDEX(Clay_Offices!$A$2:$FZ$601,113,Sync!$C$5)&amp;"",""),Office_Log!$A$2:$A$201,0))&amp;"",IFERROR(INDEX(Clay_Offices!$A$2:$FZ$601,113,Sync!$C$5)&amp;"","")&amp;""))</f>
        <v/>
      </c>
      <c r="E2364" s="23" t="str">
        <f aca="false">IF(B2364="","",IFERROR(INDEX(Clay_Offices!$A$2:$FZ$601,113,Sync!$C$6)&amp;"",""))</f>
        <v/>
      </c>
      <c r="F2364" s="23" t="str">
        <f aca="false">IF(B2364="","","outreach_sent")</f>
        <v/>
      </c>
      <c r="G2364" s="23" t="str">
        <f aca="false">IF(B2364="","","")</f>
        <v/>
      </c>
      <c r="H2364" s="23" t="str">
        <f aca="false">IF(B2364="","","")</f>
        <v/>
      </c>
      <c r="I2364" s="23" t="str">
        <f aca="false">IF(B2364="","","")</f>
        <v/>
      </c>
      <c r="J2364" s="23" t="str">
        <f aca="false">IF(B2364="","","touch_2; "&amp;IFERROR(INDEX(Clay_Offices!$A$2:$FZ$601,113,Sync!$C$10)&amp;"","")&amp;"; "&amp;IFERROR(INDEX(Clay_Offices!$A$2:$FZ$601,113,Sync!$C$9)&amp;"",""))</f>
        <v/>
      </c>
      <c r="K2364" s="32" t="s">
        <v>1364</v>
      </c>
    </row>
    <row r="2365" customFormat="false" ht="15" hidden="false" customHeight="false" outlineLevel="0" collapsed="false">
      <c r="A2365" s="23" t="str">
        <f aca="false">IF(B2365="","",B2365+(13*1000+114)/10000000)</f>
        <v/>
      </c>
      <c r="B2365" s="35" t="str">
        <f aca="false">IF(AND(IFERROR(N(INDEX(Clay_Offices!$A$2:$FZ$601,114,Sync!$C$12)),0)&gt;0,IFERROR(INDEX(Clay_Offices!$A$2:$FZ$601,114,Sync!$C$5)&amp;"","")&lt;&gt;"",OR(LEFT(IFERROR(INDEX(Clay_Offices!$A$2:$FZ$601,114,Sync!$C$5)&amp;"",""),6)&lt;&gt;"SAMPLE",Config!$B$19="Y")),IFERROR(N(INDEX(Clay_Offices!$A$2:$FZ$601,114,Sync!$C$12)),0),"")</f>
        <v/>
      </c>
      <c r="C2365" s="23" t="str">
        <f aca="false">IF(B2365="","","office")</f>
        <v/>
      </c>
      <c r="D2365" s="23" t="str">
        <f aca="false">IF(B2365="","",IFERROR(INDEX(Office_Log!$ED$2:$ED$201,MATCH(IFERROR(INDEX(Clay_Offices!$A$2:$FZ$601,114,Sync!$C$5)&amp;"",""),Office_Log!$A$2:$A$201,0))&amp;"",IFERROR(INDEX(Clay_Offices!$A$2:$FZ$601,114,Sync!$C$5)&amp;"","")&amp;""))</f>
        <v/>
      </c>
      <c r="E2365" s="23" t="str">
        <f aca="false">IF(B2365="","",IFERROR(INDEX(Clay_Offices!$A$2:$FZ$601,114,Sync!$C$6)&amp;"",""))</f>
        <v/>
      </c>
      <c r="F2365" s="23" t="str">
        <f aca="false">IF(B2365="","","outreach_sent")</f>
        <v/>
      </c>
      <c r="G2365" s="23" t="str">
        <f aca="false">IF(B2365="","","")</f>
        <v/>
      </c>
      <c r="H2365" s="23" t="str">
        <f aca="false">IF(B2365="","","")</f>
        <v/>
      </c>
      <c r="I2365" s="23" t="str">
        <f aca="false">IF(B2365="","","")</f>
        <v/>
      </c>
      <c r="J2365" s="23" t="str">
        <f aca="false">IF(B2365="","","touch_2; "&amp;IFERROR(INDEX(Clay_Offices!$A$2:$FZ$601,114,Sync!$C$10)&amp;"","")&amp;"; "&amp;IFERROR(INDEX(Clay_Offices!$A$2:$FZ$601,114,Sync!$C$9)&amp;"",""))</f>
        <v/>
      </c>
      <c r="K2365" s="32" t="s">
        <v>1364</v>
      </c>
    </row>
    <row r="2366" customFormat="false" ht="15" hidden="false" customHeight="false" outlineLevel="0" collapsed="false">
      <c r="A2366" s="23" t="str">
        <f aca="false">IF(B2366="","",B2366+(13*1000+115)/10000000)</f>
        <v/>
      </c>
      <c r="B2366" s="35" t="str">
        <f aca="false">IF(AND(IFERROR(N(INDEX(Clay_Offices!$A$2:$FZ$601,115,Sync!$C$12)),0)&gt;0,IFERROR(INDEX(Clay_Offices!$A$2:$FZ$601,115,Sync!$C$5)&amp;"","")&lt;&gt;"",OR(LEFT(IFERROR(INDEX(Clay_Offices!$A$2:$FZ$601,115,Sync!$C$5)&amp;"",""),6)&lt;&gt;"SAMPLE",Config!$B$19="Y")),IFERROR(N(INDEX(Clay_Offices!$A$2:$FZ$601,115,Sync!$C$12)),0),"")</f>
        <v/>
      </c>
      <c r="C2366" s="23" t="str">
        <f aca="false">IF(B2366="","","office")</f>
        <v/>
      </c>
      <c r="D2366" s="23" t="str">
        <f aca="false">IF(B2366="","",IFERROR(INDEX(Office_Log!$ED$2:$ED$201,MATCH(IFERROR(INDEX(Clay_Offices!$A$2:$FZ$601,115,Sync!$C$5)&amp;"",""),Office_Log!$A$2:$A$201,0))&amp;"",IFERROR(INDEX(Clay_Offices!$A$2:$FZ$601,115,Sync!$C$5)&amp;"","")&amp;""))</f>
        <v/>
      </c>
      <c r="E2366" s="23" t="str">
        <f aca="false">IF(B2366="","",IFERROR(INDEX(Clay_Offices!$A$2:$FZ$601,115,Sync!$C$6)&amp;"",""))</f>
        <v/>
      </c>
      <c r="F2366" s="23" t="str">
        <f aca="false">IF(B2366="","","outreach_sent")</f>
        <v/>
      </c>
      <c r="G2366" s="23" t="str">
        <f aca="false">IF(B2366="","","")</f>
        <v/>
      </c>
      <c r="H2366" s="23" t="str">
        <f aca="false">IF(B2366="","","")</f>
        <v/>
      </c>
      <c r="I2366" s="23" t="str">
        <f aca="false">IF(B2366="","","")</f>
        <v/>
      </c>
      <c r="J2366" s="23" t="str">
        <f aca="false">IF(B2366="","","touch_2; "&amp;IFERROR(INDEX(Clay_Offices!$A$2:$FZ$601,115,Sync!$C$10)&amp;"","")&amp;"; "&amp;IFERROR(INDEX(Clay_Offices!$A$2:$FZ$601,115,Sync!$C$9)&amp;"",""))</f>
        <v/>
      </c>
      <c r="K2366" s="32" t="s">
        <v>1364</v>
      </c>
    </row>
    <row r="2367" customFormat="false" ht="15" hidden="false" customHeight="false" outlineLevel="0" collapsed="false">
      <c r="A2367" s="23" t="str">
        <f aca="false">IF(B2367="","",B2367+(13*1000+116)/10000000)</f>
        <v/>
      </c>
      <c r="B2367" s="35" t="str">
        <f aca="false">IF(AND(IFERROR(N(INDEX(Clay_Offices!$A$2:$FZ$601,116,Sync!$C$12)),0)&gt;0,IFERROR(INDEX(Clay_Offices!$A$2:$FZ$601,116,Sync!$C$5)&amp;"","")&lt;&gt;"",OR(LEFT(IFERROR(INDEX(Clay_Offices!$A$2:$FZ$601,116,Sync!$C$5)&amp;"",""),6)&lt;&gt;"SAMPLE",Config!$B$19="Y")),IFERROR(N(INDEX(Clay_Offices!$A$2:$FZ$601,116,Sync!$C$12)),0),"")</f>
        <v/>
      </c>
      <c r="C2367" s="23" t="str">
        <f aca="false">IF(B2367="","","office")</f>
        <v/>
      </c>
      <c r="D2367" s="23" t="str">
        <f aca="false">IF(B2367="","",IFERROR(INDEX(Office_Log!$ED$2:$ED$201,MATCH(IFERROR(INDEX(Clay_Offices!$A$2:$FZ$601,116,Sync!$C$5)&amp;"",""),Office_Log!$A$2:$A$201,0))&amp;"",IFERROR(INDEX(Clay_Offices!$A$2:$FZ$601,116,Sync!$C$5)&amp;"","")&amp;""))</f>
        <v/>
      </c>
      <c r="E2367" s="23" t="str">
        <f aca="false">IF(B2367="","",IFERROR(INDEX(Clay_Offices!$A$2:$FZ$601,116,Sync!$C$6)&amp;"",""))</f>
        <v/>
      </c>
      <c r="F2367" s="23" t="str">
        <f aca="false">IF(B2367="","","outreach_sent")</f>
        <v/>
      </c>
      <c r="G2367" s="23" t="str">
        <f aca="false">IF(B2367="","","")</f>
        <v/>
      </c>
      <c r="H2367" s="23" t="str">
        <f aca="false">IF(B2367="","","")</f>
        <v/>
      </c>
      <c r="I2367" s="23" t="str">
        <f aca="false">IF(B2367="","","")</f>
        <v/>
      </c>
      <c r="J2367" s="23" t="str">
        <f aca="false">IF(B2367="","","touch_2; "&amp;IFERROR(INDEX(Clay_Offices!$A$2:$FZ$601,116,Sync!$C$10)&amp;"","")&amp;"; "&amp;IFERROR(INDEX(Clay_Offices!$A$2:$FZ$601,116,Sync!$C$9)&amp;"",""))</f>
        <v/>
      </c>
      <c r="K2367" s="32" t="s">
        <v>1364</v>
      </c>
    </row>
    <row r="2368" customFormat="false" ht="15" hidden="false" customHeight="false" outlineLevel="0" collapsed="false">
      <c r="A2368" s="23" t="str">
        <f aca="false">IF(B2368="","",B2368+(13*1000+117)/10000000)</f>
        <v/>
      </c>
      <c r="B2368" s="35" t="str">
        <f aca="false">IF(AND(IFERROR(N(INDEX(Clay_Offices!$A$2:$FZ$601,117,Sync!$C$12)),0)&gt;0,IFERROR(INDEX(Clay_Offices!$A$2:$FZ$601,117,Sync!$C$5)&amp;"","")&lt;&gt;"",OR(LEFT(IFERROR(INDEX(Clay_Offices!$A$2:$FZ$601,117,Sync!$C$5)&amp;"",""),6)&lt;&gt;"SAMPLE",Config!$B$19="Y")),IFERROR(N(INDEX(Clay_Offices!$A$2:$FZ$601,117,Sync!$C$12)),0),"")</f>
        <v/>
      </c>
      <c r="C2368" s="23" t="str">
        <f aca="false">IF(B2368="","","office")</f>
        <v/>
      </c>
      <c r="D2368" s="23" t="str">
        <f aca="false">IF(B2368="","",IFERROR(INDEX(Office_Log!$ED$2:$ED$201,MATCH(IFERROR(INDEX(Clay_Offices!$A$2:$FZ$601,117,Sync!$C$5)&amp;"",""),Office_Log!$A$2:$A$201,0))&amp;"",IFERROR(INDEX(Clay_Offices!$A$2:$FZ$601,117,Sync!$C$5)&amp;"","")&amp;""))</f>
        <v/>
      </c>
      <c r="E2368" s="23" t="str">
        <f aca="false">IF(B2368="","",IFERROR(INDEX(Clay_Offices!$A$2:$FZ$601,117,Sync!$C$6)&amp;"",""))</f>
        <v/>
      </c>
      <c r="F2368" s="23" t="str">
        <f aca="false">IF(B2368="","","outreach_sent")</f>
        <v/>
      </c>
      <c r="G2368" s="23" t="str">
        <f aca="false">IF(B2368="","","")</f>
        <v/>
      </c>
      <c r="H2368" s="23" t="str">
        <f aca="false">IF(B2368="","","")</f>
        <v/>
      </c>
      <c r="I2368" s="23" t="str">
        <f aca="false">IF(B2368="","","")</f>
        <v/>
      </c>
      <c r="J2368" s="23" t="str">
        <f aca="false">IF(B2368="","","touch_2; "&amp;IFERROR(INDEX(Clay_Offices!$A$2:$FZ$601,117,Sync!$C$10)&amp;"","")&amp;"; "&amp;IFERROR(INDEX(Clay_Offices!$A$2:$FZ$601,117,Sync!$C$9)&amp;"",""))</f>
        <v/>
      </c>
      <c r="K2368" s="32" t="s">
        <v>1364</v>
      </c>
    </row>
    <row r="2369" customFormat="false" ht="15" hidden="false" customHeight="false" outlineLevel="0" collapsed="false">
      <c r="A2369" s="23" t="str">
        <f aca="false">IF(B2369="","",B2369+(13*1000+118)/10000000)</f>
        <v/>
      </c>
      <c r="B2369" s="35" t="str">
        <f aca="false">IF(AND(IFERROR(N(INDEX(Clay_Offices!$A$2:$FZ$601,118,Sync!$C$12)),0)&gt;0,IFERROR(INDEX(Clay_Offices!$A$2:$FZ$601,118,Sync!$C$5)&amp;"","")&lt;&gt;"",OR(LEFT(IFERROR(INDEX(Clay_Offices!$A$2:$FZ$601,118,Sync!$C$5)&amp;"",""),6)&lt;&gt;"SAMPLE",Config!$B$19="Y")),IFERROR(N(INDEX(Clay_Offices!$A$2:$FZ$601,118,Sync!$C$12)),0),"")</f>
        <v/>
      </c>
      <c r="C2369" s="23" t="str">
        <f aca="false">IF(B2369="","","office")</f>
        <v/>
      </c>
      <c r="D2369" s="23" t="str">
        <f aca="false">IF(B2369="","",IFERROR(INDEX(Office_Log!$ED$2:$ED$201,MATCH(IFERROR(INDEX(Clay_Offices!$A$2:$FZ$601,118,Sync!$C$5)&amp;"",""),Office_Log!$A$2:$A$201,0))&amp;"",IFERROR(INDEX(Clay_Offices!$A$2:$FZ$601,118,Sync!$C$5)&amp;"","")&amp;""))</f>
        <v/>
      </c>
      <c r="E2369" s="23" t="str">
        <f aca="false">IF(B2369="","",IFERROR(INDEX(Clay_Offices!$A$2:$FZ$601,118,Sync!$C$6)&amp;"",""))</f>
        <v/>
      </c>
      <c r="F2369" s="23" t="str">
        <f aca="false">IF(B2369="","","outreach_sent")</f>
        <v/>
      </c>
      <c r="G2369" s="23" t="str">
        <f aca="false">IF(B2369="","","")</f>
        <v/>
      </c>
      <c r="H2369" s="23" t="str">
        <f aca="false">IF(B2369="","","")</f>
        <v/>
      </c>
      <c r="I2369" s="23" t="str">
        <f aca="false">IF(B2369="","","")</f>
        <v/>
      </c>
      <c r="J2369" s="23" t="str">
        <f aca="false">IF(B2369="","","touch_2; "&amp;IFERROR(INDEX(Clay_Offices!$A$2:$FZ$601,118,Sync!$C$10)&amp;"","")&amp;"; "&amp;IFERROR(INDEX(Clay_Offices!$A$2:$FZ$601,118,Sync!$C$9)&amp;"",""))</f>
        <v/>
      </c>
      <c r="K2369" s="32" t="s">
        <v>1364</v>
      </c>
    </row>
    <row r="2370" customFormat="false" ht="15" hidden="false" customHeight="false" outlineLevel="0" collapsed="false">
      <c r="A2370" s="23" t="str">
        <f aca="false">IF(B2370="","",B2370+(13*1000+119)/10000000)</f>
        <v/>
      </c>
      <c r="B2370" s="35" t="str">
        <f aca="false">IF(AND(IFERROR(N(INDEX(Clay_Offices!$A$2:$FZ$601,119,Sync!$C$12)),0)&gt;0,IFERROR(INDEX(Clay_Offices!$A$2:$FZ$601,119,Sync!$C$5)&amp;"","")&lt;&gt;"",OR(LEFT(IFERROR(INDEX(Clay_Offices!$A$2:$FZ$601,119,Sync!$C$5)&amp;"",""),6)&lt;&gt;"SAMPLE",Config!$B$19="Y")),IFERROR(N(INDEX(Clay_Offices!$A$2:$FZ$601,119,Sync!$C$12)),0),"")</f>
        <v/>
      </c>
      <c r="C2370" s="23" t="str">
        <f aca="false">IF(B2370="","","office")</f>
        <v/>
      </c>
      <c r="D2370" s="23" t="str">
        <f aca="false">IF(B2370="","",IFERROR(INDEX(Office_Log!$ED$2:$ED$201,MATCH(IFERROR(INDEX(Clay_Offices!$A$2:$FZ$601,119,Sync!$C$5)&amp;"",""),Office_Log!$A$2:$A$201,0))&amp;"",IFERROR(INDEX(Clay_Offices!$A$2:$FZ$601,119,Sync!$C$5)&amp;"","")&amp;""))</f>
        <v/>
      </c>
      <c r="E2370" s="23" t="str">
        <f aca="false">IF(B2370="","",IFERROR(INDEX(Clay_Offices!$A$2:$FZ$601,119,Sync!$C$6)&amp;"",""))</f>
        <v/>
      </c>
      <c r="F2370" s="23" t="str">
        <f aca="false">IF(B2370="","","outreach_sent")</f>
        <v/>
      </c>
      <c r="G2370" s="23" t="str">
        <f aca="false">IF(B2370="","","")</f>
        <v/>
      </c>
      <c r="H2370" s="23" t="str">
        <f aca="false">IF(B2370="","","")</f>
        <v/>
      </c>
      <c r="I2370" s="23" t="str">
        <f aca="false">IF(B2370="","","")</f>
        <v/>
      </c>
      <c r="J2370" s="23" t="str">
        <f aca="false">IF(B2370="","","touch_2; "&amp;IFERROR(INDEX(Clay_Offices!$A$2:$FZ$601,119,Sync!$C$10)&amp;"","")&amp;"; "&amp;IFERROR(INDEX(Clay_Offices!$A$2:$FZ$601,119,Sync!$C$9)&amp;"",""))</f>
        <v/>
      </c>
      <c r="K2370" s="32" t="s">
        <v>1364</v>
      </c>
    </row>
    <row r="2371" customFormat="false" ht="15" hidden="false" customHeight="false" outlineLevel="0" collapsed="false">
      <c r="A2371" s="23" t="str">
        <f aca="false">IF(B2371="","",B2371+(13*1000+120)/10000000)</f>
        <v/>
      </c>
      <c r="B2371" s="35" t="str">
        <f aca="false">IF(AND(IFERROR(N(INDEX(Clay_Offices!$A$2:$FZ$601,120,Sync!$C$12)),0)&gt;0,IFERROR(INDEX(Clay_Offices!$A$2:$FZ$601,120,Sync!$C$5)&amp;"","")&lt;&gt;"",OR(LEFT(IFERROR(INDEX(Clay_Offices!$A$2:$FZ$601,120,Sync!$C$5)&amp;"",""),6)&lt;&gt;"SAMPLE",Config!$B$19="Y")),IFERROR(N(INDEX(Clay_Offices!$A$2:$FZ$601,120,Sync!$C$12)),0),"")</f>
        <v/>
      </c>
      <c r="C2371" s="23" t="str">
        <f aca="false">IF(B2371="","","office")</f>
        <v/>
      </c>
      <c r="D2371" s="23" t="str">
        <f aca="false">IF(B2371="","",IFERROR(INDEX(Office_Log!$ED$2:$ED$201,MATCH(IFERROR(INDEX(Clay_Offices!$A$2:$FZ$601,120,Sync!$C$5)&amp;"",""),Office_Log!$A$2:$A$201,0))&amp;"",IFERROR(INDEX(Clay_Offices!$A$2:$FZ$601,120,Sync!$C$5)&amp;"","")&amp;""))</f>
        <v/>
      </c>
      <c r="E2371" s="23" t="str">
        <f aca="false">IF(B2371="","",IFERROR(INDEX(Clay_Offices!$A$2:$FZ$601,120,Sync!$C$6)&amp;"",""))</f>
        <v/>
      </c>
      <c r="F2371" s="23" t="str">
        <f aca="false">IF(B2371="","","outreach_sent")</f>
        <v/>
      </c>
      <c r="G2371" s="23" t="str">
        <f aca="false">IF(B2371="","","")</f>
        <v/>
      </c>
      <c r="H2371" s="23" t="str">
        <f aca="false">IF(B2371="","","")</f>
        <v/>
      </c>
      <c r="I2371" s="23" t="str">
        <f aca="false">IF(B2371="","","")</f>
        <v/>
      </c>
      <c r="J2371" s="23" t="str">
        <f aca="false">IF(B2371="","","touch_2; "&amp;IFERROR(INDEX(Clay_Offices!$A$2:$FZ$601,120,Sync!$C$10)&amp;"","")&amp;"; "&amp;IFERROR(INDEX(Clay_Offices!$A$2:$FZ$601,120,Sync!$C$9)&amp;"",""))</f>
        <v/>
      </c>
      <c r="K2371" s="32" t="s">
        <v>1364</v>
      </c>
    </row>
    <row r="2372" customFormat="false" ht="15" hidden="false" customHeight="false" outlineLevel="0" collapsed="false">
      <c r="A2372" s="23" t="str">
        <f aca="false">IF(B2372="","",B2372+(13*1000+121)/10000000)</f>
        <v/>
      </c>
      <c r="B2372" s="35" t="str">
        <f aca="false">IF(AND(IFERROR(N(INDEX(Clay_Offices!$A$2:$FZ$601,121,Sync!$C$12)),0)&gt;0,IFERROR(INDEX(Clay_Offices!$A$2:$FZ$601,121,Sync!$C$5)&amp;"","")&lt;&gt;"",OR(LEFT(IFERROR(INDEX(Clay_Offices!$A$2:$FZ$601,121,Sync!$C$5)&amp;"",""),6)&lt;&gt;"SAMPLE",Config!$B$19="Y")),IFERROR(N(INDEX(Clay_Offices!$A$2:$FZ$601,121,Sync!$C$12)),0),"")</f>
        <v/>
      </c>
      <c r="C2372" s="23" t="str">
        <f aca="false">IF(B2372="","","office")</f>
        <v/>
      </c>
      <c r="D2372" s="23" t="str">
        <f aca="false">IF(B2372="","",IFERROR(INDEX(Office_Log!$ED$2:$ED$201,MATCH(IFERROR(INDEX(Clay_Offices!$A$2:$FZ$601,121,Sync!$C$5)&amp;"",""),Office_Log!$A$2:$A$201,0))&amp;"",IFERROR(INDEX(Clay_Offices!$A$2:$FZ$601,121,Sync!$C$5)&amp;"","")&amp;""))</f>
        <v/>
      </c>
      <c r="E2372" s="23" t="str">
        <f aca="false">IF(B2372="","",IFERROR(INDEX(Clay_Offices!$A$2:$FZ$601,121,Sync!$C$6)&amp;"",""))</f>
        <v/>
      </c>
      <c r="F2372" s="23" t="str">
        <f aca="false">IF(B2372="","","outreach_sent")</f>
        <v/>
      </c>
      <c r="G2372" s="23" t="str">
        <f aca="false">IF(B2372="","","")</f>
        <v/>
      </c>
      <c r="H2372" s="23" t="str">
        <f aca="false">IF(B2372="","","")</f>
        <v/>
      </c>
      <c r="I2372" s="23" t="str">
        <f aca="false">IF(B2372="","","")</f>
        <v/>
      </c>
      <c r="J2372" s="23" t="str">
        <f aca="false">IF(B2372="","","touch_2; "&amp;IFERROR(INDEX(Clay_Offices!$A$2:$FZ$601,121,Sync!$C$10)&amp;"","")&amp;"; "&amp;IFERROR(INDEX(Clay_Offices!$A$2:$FZ$601,121,Sync!$C$9)&amp;"",""))</f>
        <v/>
      </c>
      <c r="K2372" s="32" t="s">
        <v>1364</v>
      </c>
    </row>
    <row r="2373" customFormat="false" ht="15" hidden="false" customHeight="false" outlineLevel="0" collapsed="false">
      <c r="A2373" s="23" t="str">
        <f aca="false">IF(B2373="","",B2373+(13*1000+122)/10000000)</f>
        <v/>
      </c>
      <c r="B2373" s="35" t="str">
        <f aca="false">IF(AND(IFERROR(N(INDEX(Clay_Offices!$A$2:$FZ$601,122,Sync!$C$12)),0)&gt;0,IFERROR(INDEX(Clay_Offices!$A$2:$FZ$601,122,Sync!$C$5)&amp;"","")&lt;&gt;"",OR(LEFT(IFERROR(INDEX(Clay_Offices!$A$2:$FZ$601,122,Sync!$C$5)&amp;"",""),6)&lt;&gt;"SAMPLE",Config!$B$19="Y")),IFERROR(N(INDEX(Clay_Offices!$A$2:$FZ$601,122,Sync!$C$12)),0),"")</f>
        <v/>
      </c>
      <c r="C2373" s="23" t="str">
        <f aca="false">IF(B2373="","","office")</f>
        <v/>
      </c>
      <c r="D2373" s="23" t="str">
        <f aca="false">IF(B2373="","",IFERROR(INDEX(Office_Log!$ED$2:$ED$201,MATCH(IFERROR(INDEX(Clay_Offices!$A$2:$FZ$601,122,Sync!$C$5)&amp;"",""),Office_Log!$A$2:$A$201,0))&amp;"",IFERROR(INDEX(Clay_Offices!$A$2:$FZ$601,122,Sync!$C$5)&amp;"","")&amp;""))</f>
        <v/>
      </c>
      <c r="E2373" s="23" t="str">
        <f aca="false">IF(B2373="","",IFERROR(INDEX(Clay_Offices!$A$2:$FZ$601,122,Sync!$C$6)&amp;"",""))</f>
        <v/>
      </c>
      <c r="F2373" s="23" t="str">
        <f aca="false">IF(B2373="","","outreach_sent")</f>
        <v/>
      </c>
      <c r="G2373" s="23" t="str">
        <f aca="false">IF(B2373="","","")</f>
        <v/>
      </c>
      <c r="H2373" s="23" t="str">
        <f aca="false">IF(B2373="","","")</f>
        <v/>
      </c>
      <c r="I2373" s="23" t="str">
        <f aca="false">IF(B2373="","","")</f>
        <v/>
      </c>
      <c r="J2373" s="23" t="str">
        <f aca="false">IF(B2373="","","touch_2; "&amp;IFERROR(INDEX(Clay_Offices!$A$2:$FZ$601,122,Sync!$C$10)&amp;"","")&amp;"; "&amp;IFERROR(INDEX(Clay_Offices!$A$2:$FZ$601,122,Sync!$C$9)&amp;"",""))</f>
        <v/>
      </c>
      <c r="K2373" s="32" t="s">
        <v>1364</v>
      </c>
    </row>
    <row r="2374" customFormat="false" ht="15" hidden="false" customHeight="false" outlineLevel="0" collapsed="false">
      <c r="A2374" s="23" t="str">
        <f aca="false">IF(B2374="","",B2374+(13*1000+123)/10000000)</f>
        <v/>
      </c>
      <c r="B2374" s="35" t="str">
        <f aca="false">IF(AND(IFERROR(N(INDEX(Clay_Offices!$A$2:$FZ$601,123,Sync!$C$12)),0)&gt;0,IFERROR(INDEX(Clay_Offices!$A$2:$FZ$601,123,Sync!$C$5)&amp;"","")&lt;&gt;"",OR(LEFT(IFERROR(INDEX(Clay_Offices!$A$2:$FZ$601,123,Sync!$C$5)&amp;"",""),6)&lt;&gt;"SAMPLE",Config!$B$19="Y")),IFERROR(N(INDEX(Clay_Offices!$A$2:$FZ$601,123,Sync!$C$12)),0),"")</f>
        <v/>
      </c>
      <c r="C2374" s="23" t="str">
        <f aca="false">IF(B2374="","","office")</f>
        <v/>
      </c>
      <c r="D2374" s="23" t="str">
        <f aca="false">IF(B2374="","",IFERROR(INDEX(Office_Log!$ED$2:$ED$201,MATCH(IFERROR(INDEX(Clay_Offices!$A$2:$FZ$601,123,Sync!$C$5)&amp;"",""),Office_Log!$A$2:$A$201,0))&amp;"",IFERROR(INDEX(Clay_Offices!$A$2:$FZ$601,123,Sync!$C$5)&amp;"","")&amp;""))</f>
        <v/>
      </c>
      <c r="E2374" s="23" t="str">
        <f aca="false">IF(B2374="","",IFERROR(INDEX(Clay_Offices!$A$2:$FZ$601,123,Sync!$C$6)&amp;"",""))</f>
        <v/>
      </c>
      <c r="F2374" s="23" t="str">
        <f aca="false">IF(B2374="","","outreach_sent")</f>
        <v/>
      </c>
      <c r="G2374" s="23" t="str">
        <f aca="false">IF(B2374="","","")</f>
        <v/>
      </c>
      <c r="H2374" s="23" t="str">
        <f aca="false">IF(B2374="","","")</f>
        <v/>
      </c>
      <c r="I2374" s="23" t="str">
        <f aca="false">IF(B2374="","","")</f>
        <v/>
      </c>
      <c r="J2374" s="23" t="str">
        <f aca="false">IF(B2374="","","touch_2; "&amp;IFERROR(INDEX(Clay_Offices!$A$2:$FZ$601,123,Sync!$C$10)&amp;"","")&amp;"; "&amp;IFERROR(INDEX(Clay_Offices!$A$2:$FZ$601,123,Sync!$C$9)&amp;"",""))</f>
        <v/>
      </c>
      <c r="K2374" s="32" t="s">
        <v>1364</v>
      </c>
    </row>
    <row r="2375" customFormat="false" ht="15" hidden="false" customHeight="false" outlineLevel="0" collapsed="false">
      <c r="A2375" s="23" t="str">
        <f aca="false">IF(B2375="","",B2375+(13*1000+124)/10000000)</f>
        <v/>
      </c>
      <c r="B2375" s="35" t="str">
        <f aca="false">IF(AND(IFERROR(N(INDEX(Clay_Offices!$A$2:$FZ$601,124,Sync!$C$12)),0)&gt;0,IFERROR(INDEX(Clay_Offices!$A$2:$FZ$601,124,Sync!$C$5)&amp;"","")&lt;&gt;"",OR(LEFT(IFERROR(INDEX(Clay_Offices!$A$2:$FZ$601,124,Sync!$C$5)&amp;"",""),6)&lt;&gt;"SAMPLE",Config!$B$19="Y")),IFERROR(N(INDEX(Clay_Offices!$A$2:$FZ$601,124,Sync!$C$12)),0),"")</f>
        <v/>
      </c>
      <c r="C2375" s="23" t="str">
        <f aca="false">IF(B2375="","","office")</f>
        <v/>
      </c>
      <c r="D2375" s="23" t="str">
        <f aca="false">IF(B2375="","",IFERROR(INDEX(Office_Log!$ED$2:$ED$201,MATCH(IFERROR(INDEX(Clay_Offices!$A$2:$FZ$601,124,Sync!$C$5)&amp;"",""),Office_Log!$A$2:$A$201,0))&amp;"",IFERROR(INDEX(Clay_Offices!$A$2:$FZ$601,124,Sync!$C$5)&amp;"","")&amp;""))</f>
        <v/>
      </c>
      <c r="E2375" s="23" t="str">
        <f aca="false">IF(B2375="","",IFERROR(INDEX(Clay_Offices!$A$2:$FZ$601,124,Sync!$C$6)&amp;"",""))</f>
        <v/>
      </c>
      <c r="F2375" s="23" t="str">
        <f aca="false">IF(B2375="","","outreach_sent")</f>
        <v/>
      </c>
      <c r="G2375" s="23" t="str">
        <f aca="false">IF(B2375="","","")</f>
        <v/>
      </c>
      <c r="H2375" s="23" t="str">
        <f aca="false">IF(B2375="","","")</f>
        <v/>
      </c>
      <c r="I2375" s="23" t="str">
        <f aca="false">IF(B2375="","","")</f>
        <v/>
      </c>
      <c r="J2375" s="23" t="str">
        <f aca="false">IF(B2375="","","touch_2; "&amp;IFERROR(INDEX(Clay_Offices!$A$2:$FZ$601,124,Sync!$C$10)&amp;"","")&amp;"; "&amp;IFERROR(INDEX(Clay_Offices!$A$2:$FZ$601,124,Sync!$C$9)&amp;"",""))</f>
        <v/>
      </c>
      <c r="K2375" s="32" t="s">
        <v>1364</v>
      </c>
    </row>
    <row r="2376" customFormat="false" ht="15" hidden="false" customHeight="false" outlineLevel="0" collapsed="false">
      <c r="A2376" s="23" t="str">
        <f aca="false">IF(B2376="","",B2376+(13*1000+125)/10000000)</f>
        <v/>
      </c>
      <c r="B2376" s="35" t="str">
        <f aca="false">IF(AND(IFERROR(N(INDEX(Clay_Offices!$A$2:$FZ$601,125,Sync!$C$12)),0)&gt;0,IFERROR(INDEX(Clay_Offices!$A$2:$FZ$601,125,Sync!$C$5)&amp;"","")&lt;&gt;"",OR(LEFT(IFERROR(INDEX(Clay_Offices!$A$2:$FZ$601,125,Sync!$C$5)&amp;"",""),6)&lt;&gt;"SAMPLE",Config!$B$19="Y")),IFERROR(N(INDEX(Clay_Offices!$A$2:$FZ$601,125,Sync!$C$12)),0),"")</f>
        <v/>
      </c>
      <c r="C2376" s="23" t="str">
        <f aca="false">IF(B2376="","","office")</f>
        <v/>
      </c>
      <c r="D2376" s="23" t="str">
        <f aca="false">IF(B2376="","",IFERROR(INDEX(Office_Log!$ED$2:$ED$201,MATCH(IFERROR(INDEX(Clay_Offices!$A$2:$FZ$601,125,Sync!$C$5)&amp;"",""),Office_Log!$A$2:$A$201,0))&amp;"",IFERROR(INDEX(Clay_Offices!$A$2:$FZ$601,125,Sync!$C$5)&amp;"","")&amp;""))</f>
        <v/>
      </c>
      <c r="E2376" s="23" t="str">
        <f aca="false">IF(B2376="","",IFERROR(INDEX(Clay_Offices!$A$2:$FZ$601,125,Sync!$C$6)&amp;"",""))</f>
        <v/>
      </c>
      <c r="F2376" s="23" t="str">
        <f aca="false">IF(B2376="","","outreach_sent")</f>
        <v/>
      </c>
      <c r="G2376" s="23" t="str">
        <f aca="false">IF(B2376="","","")</f>
        <v/>
      </c>
      <c r="H2376" s="23" t="str">
        <f aca="false">IF(B2376="","","")</f>
        <v/>
      </c>
      <c r="I2376" s="23" t="str">
        <f aca="false">IF(B2376="","","")</f>
        <v/>
      </c>
      <c r="J2376" s="23" t="str">
        <f aca="false">IF(B2376="","","touch_2; "&amp;IFERROR(INDEX(Clay_Offices!$A$2:$FZ$601,125,Sync!$C$10)&amp;"","")&amp;"; "&amp;IFERROR(INDEX(Clay_Offices!$A$2:$FZ$601,125,Sync!$C$9)&amp;"",""))</f>
        <v/>
      </c>
      <c r="K2376" s="32" t="s">
        <v>1364</v>
      </c>
    </row>
    <row r="2377" customFormat="false" ht="15" hidden="false" customHeight="false" outlineLevel="0" collapsed="false">
      <c r="A2377" s="23" t="str">
        <f aca="false">IF(B2377="","",B2377+(13*1000+126)/10000000)</f>
        <v/>
      </c>
      <c r="B2377" s="35" t="str">
        <f aca="false">IF(AND(IFERROR(N(INDEX(Clay_Offices!$A$2:$FZ$601,126,Sync!$C$12)),0)&gt;0,IFERROR(INDEX(Clay_Offices!$A$2:$FZ$601,126,Sync!$C$5)&amp;"","")&lt;&gt;"",OR(LEFT(IFERROR(INDEX(Clay_Offices!$A$2:$FZ$601,126,Sync!$C$5)&amp;"",""),6)&lt;&gt;"SAMPLE",Config!$B$19="Y")),IFERROR(N(INDEX(Clay_Offices!$A$2:$FZ$601,126,Sync!$C$12)),0),"")</f>
        <v/>
      </c>
      <c r="C2377" s="23" t="str">
        <f aca="false">IF(B2377="","","office")</f>
        <v/>
      </c>
      <c r="D2377" s="23" t="str">
        <f aca="false">IF(B2377="","",IFERROR(INDEX(Office_Log!$ED$2:$ED$201,MATCH(IFERROR(INDEX(Clay_Offices!$A$2:$FZ$601,126,Sync!$C$5)&amp;"",""),Office_Log!$A$2:$A$201,0))&amp;"",IFERROR(INDEX(Clay_Offices!$A$2:$FZ$601,126,Sync!$C$5)&amp;"","")&amp;""))</f>
        <v/>
      </c>
      <c r="E2377" s="23" t="str">
        <f aca="false">IF(B2377="","",IFERROR(INDEX(Clay_Offices!$A$2:$FZ$601,126,Sync!$C$6)&amp;"",""))</f>
        <v/>
      </c>
      <c r="F2377" s="23" t="str">
        <f aca="false">IF(B2377="","","outreach_sent")</f>
        <v/>
      </c>
      <c r="G2377" s="23" t="str">
        <f aca="false">IF(B2377="","","")</f>
        <v/>
      </c>
      <c r="H2377" s="23" t="str">
        <f aca="false">IF(B2377="","","")</f>
        <v/>
      </c>
      <c r="I2377" s="23" t="str">
        <f aca="false">IF(B2377="","","")</f>
        <v/>
      </c>
      <c r="J2377" s="23" t="str">
        <f aca="false">IF(B2377="","","touch_2; "&amp;IFERROR(INDEX(Clay_Offices!$A$2:$FZ$601,126,Sync!$C$10)&amp;"","")&amp;"; "&amp;IFERROR(INDEX(Clay_Offices!$A$2:$FZ$601,126,Sync!$C$9)&amp;"",""))</f>
        <v/>
      </c>
      <c r="K2377" s="32" t="s">
        <v>1364</v>
      </c>
    </row>
    <row r="2378" customFormat="false" ht="15" hidden="false" customHeight="false" outlineLevel="0" collapsed="false">
      <c r="A2378" s="23" t="str">
        <f aca="false">IF(B2378="","",B2378+(13*1000+127)/10000000)</f>
        <v/>
      </c>
      <c r="B2378" s="35" t="str">
        <f aca="false">IF(AND(IFERROR(N(INDEX(Clay_Offices!$A$2:$FZ$601,127,Sync!$C$12)),0)&gt;0,IFERROR(INDEX(Clay_Offices!$A$2:$FZ$601,127,Sync!$C$5)&amp;"","")&lt;&gt;"",OR(LEFT(IFERROR(INDEX(Clay_Offices!$A$2:$FZ$601,127,Sync!$C$5)&amp;"",""),6)&lt;&gt;"SAMPLE",Config!$B$19="Y")),IFERROR(N(INDEX(Clay_Offices!$A$2:$FZ$601,127,Sync!$C$12)),0),"")</f>
        <v/>
      </c>
      <c r="C2378" s="23" t="str">
        <f aca="false">IF(B2378="","","office")</f>
        <v/>
      </c>
      <c r="D2378" s="23" t="str">
        <f aca="false">IF(B2378="","",IFERROR(INDEX(Office_Log!$ED$2:$ED$201,MATCH(IFERROR(INDEX(Clay_Offices!$A$2:$FZ$601,127,Sync!$C$5)&amp;"",""),Office_Log!$A$2:$A$201,0))&amp;"",IFERROR(INDEX(Clay_Offices!$A$2:$FZ$601,127,Sync!$C$5)&amp;"","")&amp;""))</f>
        <v/>
      </c>
      <c r="E2378" s="23" t="str">
        <f aca="false">IF(B2378="","",IFERROR(INDEX(Clay_Offices!$A$2:$FZ$601,127,Sync!$C$6)&amp;"",""))</f>
        <v/>
      </c>
      <c r="F2378" s="23" t="str">
        <f aca="false">IF(B2378="","","outreach_sent")</f>
        <v/>
      </c>
      <c r="G2378" s="23" t="str">
        <f aca="false">IF(B2378="","","")</f>
        <v/>
      </c>
      <c r="H2378" s="23" t="str">
        <f aca="false">IF(B2378="","","")</f>
        <v/>
      </c>
      <c r="I2378" s="23" t="str">
        <f aca="false">IF(B2378="","","")</f>
        <v/>
      </c>
      <c r="J2378" s="23" t="str">
        <f aca="false">IF(B2378="","","touch_2; "&amp;IFERROR(INDEX(Clay_Offices!$A$2:$FZ$601,127,Sync!$C$10)&amp;"","")&amp;"; "&amp;IFERROR(INDEX(Clay_Offices!$A$2:$FZ$601,127,Sync!$C$9)&amp;"",""))</f>
        <v/>
      </c>
      <c r="K2378" s="32" t="s">
        <v>1364</v>
      </c>
    </row>
    <row r="2379" customFormat="false" ht="15" hidden="false" customHeight="false" outlineLevel="0" collapsed="false">
      <c r="A2379" s="23" t="str">
        <f aca="false">IF(B2379="","",B2379+(13*1000+128)/10000000)</f>
        <v/>
      </c>
      <c r="B2379" s="35" t="str">
        <f aca="false">IF(AND(IFERROR(N(INDEX(Clay_Offices!$A$2:$FZ$601,128,Sync!$C$12)),0)&gt;0,IFERROR(INDEX(Clay_Offices!$A$2:$FZ$601,128,Sync!$C$5)&amp;"","")&lt;&gt;"",OR(LEFT(IFERROR(INDEX(Clay_Offices!$A$2:$FZ$601,128,Sync!$C$5)&amp;"",""),6)&lt;&gt;"SAMPLE",Config!$B$19="Y")),IFERROR(N(INDEX(Clay_Offices!$A$2:$FZ$601,128,Sync!$C$12)),0),"")</f>
        <v/>
      </c>
      <c r="C2379" s="23" t="str">
        <f aca="false">IF(B2379="","","office")</f>
        <v/>
      </c>
      <c r="D2379" s="23" t="str">
        <f aca="false">IF(B2379="","",IFERROR(INDEX(Office_Log!$ED$2:$ED$201,MATCH(IFERROR(INDEX(Clay_Offices!$A$2:$FZ$601,128,Sync!$C$5)&amp;"",""),Office_Log!$A$2:$A$201,0))&amp;"",IFERROR(INDEX(Clay_Offices!$A$2:$FZ$601,128,Sync!$C$5)&amp;"","")&amp;""))</f>
        <v/>
      </c>
      <c r="E2379" s="23" t="str">
        <f aca="false">IF(B2379="","",IFERROR(INDEX(Clay_Offices!$A$2:$FZ$601,128,Sync!$C$6)&amp;"",""))</f>
        <v/>
      </c>
      <c r="F2379" s="23" t="str">
        <f aca="false">IF(B2379="","","outreach_sent")</f>
        <v/>
      </c>
      <c r="G2379" s="23" t="str">
        <f aca="false">IF(B2379="","","")</f>
        <v/>
      </c>
      <c r="H2379" s="23" t="str">
        <f aca="false">IF(B2379="","","")</f>
        <v/>
      </c>
      <c r="I2379" s="23" t="str">
        <f aca="false">IF(B2379="","","")</f>
        <v/>
      </c>
      <c r="J2379" s="23" t="str">
        <f aca="false">IF(B2379="","","touch_2; "&amp;IFERROR(INDEX(Clay_Offices!$A$2:$FZ$601,128,Sync!$C$10)&amp;"","")&amp;"; "&amp;IFERROR(INDEX(Clay_Offices!$A$2:$FZ$601,128,Sync!$C$9)&amp;"",""))</f>
        <v/>
      </c>
      <c r="K2379" s="32" t="s">
        <v>1364</v>
      </c>
    </row>
    <row r="2380" customFormat="false" ht="15" hidden="false" customHeight="false" outlineLevel="0" collapsed="false">
      <c r="A2380" s="23" t="str">
        <f aca="false">IF(B2380="","",B2380+(13*1000+129)/10000000)</f>
        <v/>
      </c>
      <c r="B2380" s="35" t="str">
        <f aca="false">IF(AND(IFERROR(N(INDEX(Clay_Offices!$A$2:$FZ$601,129,Sync!$C$12)),0)&gt;0,IFERROR(INDEX(Clay_Offices!$A$2:$FZ$601,129,Sync!$C$5)&amp;"","")&lt;&gt;"",OR(LEFT(IFERROR(INDEX(Clay_Offices!$A$2:$FZ$601,129,Sync!$C$5)&amp;"",""),6)&lt;&gt;"SAMPLE",Config!$B$19="Y")),IFERROR(N(INDEX(Clay_Offices!$A$2:$FZ$601,129,Sync!$C$12)),0),"")</f>
        <v/>
      </c>
      <c r="C2380" s="23" t="str">
        <f aca="false">IF(B2380="","","office")</f>
        <v/>
      </c>
      <c r="D2380" s="23" t="str">
        <f aca="false">IF(B2380="","",IFERROR(INDEX(Office_Log!$ED$2:$ED$201,MATCH(IFERROR(INDEX(Clay_Offices!$A$2:$FZ$601,129,Sync!$C$5)&amp;"",""),Office_Log!$A$2:$A$201,0))&amp;"",IFERROR(INDEX(Clay_Offices!$A$2:$FZ$601,129,Sync!$C$5)&amp;"","")&amp;""))</f>
        <v/>
      </c>
      <c r="E2380" s="23" t="str">
        <f aca="false">IF(B2380="","",IFERROR(INDEX(Clay_Offices!$A$2:$FZ$601,129,Sync!$C$6)&amp;"",""))</f>
        <v/>
      </c>
      <c r="F2380" s="23" t="str">
        <f aca="false">IF(B2380="","","outreach_sent")</f>
        <v/>
      </c>
      <c r="G2380" s="23" t="str">
        <f aca="false">IF(B2380="","","")</f>
        <v/>
      </c>
      <c r="H2380" s="23" t="str">
        <f aca="false">IF(B2380="","","")</f>
        <v/>
      </c>
      <c r="I2380" s="23" t="str">
        <f aca="false">IF(B2380="","","")</f>
        <v/>
      </c>
      <c r="J2380" s="23" t="str">
        <f aca="false">IF(B2380="","","touch_2; "&amp;IFERROR(INDEX(Clay_Offices!$A$2:$FZ$601,129,Sync!$C$10)&amp;"","")&amp;"; "&amp;IFERROR(INDEX(Clay_Offices!$A$2:$FZ$601,129,Sync!$C$9)&amp;"",""))</f>
        <v/>
      </c>
      <c r="K2380" s="32" t="s">
        <v>1364</v>
      </c>
    </row>
    <row r="2381" customFormat="false" ht="15" hidden="false" customHeight="false" outlineLevel="0" collapsed="false">
      <c r="A2381" s="23" t="str">
        <f aca="false">IF(B2381="","",B2381+(13*1000+130)/10000000)</f>
        <v/>
      </c>
      <c r="B2381" s="35" t="str">
        <f aca="false">IF(AND(IFERROR(N(INDEX(Clay_Offices!$A$2:$FZ$601,130,Sync!$C$12)),0)&gt;0,IFERROR(INDEX(Clay_Offices!$A$2:$FZ$601,130,Sync!$C$5)&amp;"","")&lt;&gt;"",OR(LEFT(IFERROR(INDEX(Clay_Offices!$A$2:$FZ$601,130,Sync!$C$5)&amp;"",""),6)&lt;&gt;"SAMPLE",Config!$B$19="Y")),IFERROR(N(INDEX(Clay_Offices!$A$2:$FZ$601,130,Sync!$C$12)),0),"")</f>
        <v/>
      </c>
      <c r="C2381" s="23" t="str">
        <f aca="false">IF(B2381="","","office")</f>
        <v/>
      </c>
      <c r="D2381" s="23" t="str">
        <f aca="false">IF(B2381="","",IFERROR(INDEX(Office_Log!$ED$2:$ED$201,MATCH(IFERROR(INDEX(Clay_Offices!$A$2:$FZ$601,130,Sync!$C$5)&amp;"",""),Office_Log!$A$2:$A$201,0))&amp;"",IFERROR(INDEX(Clay_Offices!$A$2:$FZ$601,130,Sync!$C$5)&amp;"","")&amp;""))</f>
        <v/>
      </c>
      <c r="E2381" s="23" t="str">
        <f aca="false">IF(B2381="","",IFERROR(INDEX(Clay_Offices!$A$2:$FZ$601,130,Sync!$C$6)&amp;"",""))</f>
        <v/>
      </c>
      <c r="F2381" s="23" t="str">
        <f aca="false">IF(B2381="","","outreach_sent")</f>
        <v/>
      </c>
      <c r="G2381" s="23" t="str">
        <f aca="false">IF(B2381="","","")</f>
        <v/>
      </c>
      <c r="H2381" s="23" t="str">
        <f aca="false">IF(B2381="","","")</f>
        <v/>
      </c>
      <c r="I2381" s="23" t="str">
        <f aca="false">IF(B2381="","","")</f>
        <v/>
      </c>
      <c r="J2381" s="23" t="str">
        <f aca="false">IF(B2381="","","touch_2; "&amp;IFERROR(INDEX(Clay_Offices!$A$2:$FZ$601,130,Sync!$C$10)&amp;"","")&amp;"; "&amp;IFERROR(INDEX(Clay_Offices!$A$2:$FZ$601,130,Sync!$C$9)&amp;"",""))</f>
        <v/>
      </c>
      <c r="K2381" s="32" t="s">
        <v>1364</v>
      </c>
    </row>
    <row r="2382" customFormat="false" ht="15" hidden="false" customHeight="false" outlineLevel="0" collapsed="false">
      <c r="A2382" s="23" t="str">
        <f aca="false">IF(B2382="","",B2382+(13*1000+131)/10000000)</f>
        <v/>
      </c>
      <c r="B2382" s="35" t="str">
        <f aca="false">IF(AND(IFERROR(N(INDEX(Clay_Offices!$A$2:$FZ$601,131,Sync!$C$12)),0)&gt;0,IFERROR(INDEX(Clay_Offices!$A$2:$FZ$601,131,Sync!$C$5)&amp;"","")&lt;&gt;"",OR(LEFT(IFERROR(INDEX(Clay_Offices!$A$2:$FZ$601,131,Sync!$C$5)&amp;"",""),6)&lt;&gt;"SAMPLE",Config!$B$19="Y")),IFERROR(N(INDEX(Clay_Offices!$A$2:$FZ$601,131,Sync!$C$12)),0),"")</f>
        <v/>
      </c>
      <c r="C2382" s="23" t="str">
        <f aca="false">IF(B2382="","","office")</f>
        <v/>
      </c>
      <c r="D2382" s="23" t="str">
        <f aca="false">IF(B2382="","",IFERROR(INDEX(Office_Log!$ED$2:$ED$201,MATCH(IFERROR(INDEX(Clay_Offices!$A$2:$FZ$601,131,Sync!$C$5)&amp;"",""),Office_Log!$A$2:$A$201,0))&amp;"",IFERROR(INDEX(Clay_Offices!$A$2:$FZ$601,131,Sync!$C$5)&amp;"","")&amp;""))</f>
        <v/>
      </c>
      <c r="E2382" s="23" t="str">
        <f aca="false">IF(B2382="","",IFERROR(INDEX(Clay_Offices!$A$2:$FZ$601,131,Sync!$C$6)&amp;"",""))</f>
        <v/>
      </c>
      <c r="F2382" s="23" t="str">
        <f aca="false">IF(B2382="","","outreach_sent")</f>
        <v/>
      </c>
      <c r="G2382" s="23" t="str">
        <f aca="false">IF(B2382="","","")</f>
        <v/>
      </c>
      <c r="H2382" s="23" t="str">
        <f aca="false">IF(B2382="","","")</f>
        <v/>
      </c>
      <c r="I2382" s="23" t="str">
        <f aca="false">IF(B2382="","","")</f>
        <v/>
      </c>
      <c r="J2382" s="23" t="str">
        <f aca="false">IF(B2382="","","touch_2; "&amp;IFERROR(INDEX(Clay_Offices!$A$2:$FZ$601,131,Sync!$C$10)&amp;"","")&amp;"; "&amp;IFERROR(INDEX(Clay_Offices!$A$2:$FZ$601,131,Sync!$C$9)&amp;"",""))</f>
        <v/>
      </c>
      <c r="K2382" s="32" t="s">
        <v>1364</v>
      </c>
    </row>
    <row r="2383" customFormat="false" ht="15" hidden="false" customHeight="false" outlineLevel="0" collapsed="false">
      <c r="A2383" s="23" t="str">
        <f aca="false">IF(B2383="","",B2383+(13*1000+132)/10000000)</f>
        <v/>
      </c>
      <c r="B2383" s="35" t="str">
        <f aca="false">IF(AND(IFERROR(N(INDEX(Clay_Offices!$A$2:$FZ$601,132,Sync!$C$12)),0)&gt;0,IFERROR(INDEX(Clay_Offices!$A$2:$FZ$601,132,Sync!$C$5)&amp;"","")&lt;&gt;"",OR(LEFT(IFERROR(INDEX(Clay_Offices!$A$2:$FZ$601,132,Sync!$C$5)&amp;"",""),6)&lt;&gt;"SAMPLE",Config!$B$19="Y")),IFERROR(N(INDEX(Clay_Offices!$A$2:$FZ$601,132,Sync!$C$12)),0),"")</f>
        <v/>
      </c>
      <c r="C2383" s="23" t="str">
        <f aca="false">IF(B2383="","","office")</f>
        <v/>
      </c>
      <c r="D2383" s="23" t="str">
        <f aca="false">IF(B2383="","",IFERROR(INDEX(Office_Log!$ED$2:$ED$201,MATCH(IFERROR(INDEX(Clay_Offices!$A$2:$FZ$601,132,Sync!$C$5)&amp;"",""),Office_Log!$A$2:$A$201,0))&amp;"",IFERROR(INDEX(Clay_Offices!$A$2:$FZ$601,132,Sync!$C$5)&amp;"","")&amp;""))</f>
        <v/>
      </c>
      <c r="E2383" s="23" t="str">
        <f aca="false">IF(B2383="","",IFERROR(INDEX(Clay_Offices!$A$2:$FZ$601,132,Sync!$C$6)&amp;"",""))</f>
        <v/>
      </c>
      <c r="F2383" s="23" t="str">
        <f aca="false">IF(B2383="","","outreach_sent")</f>
        <v/>
      </c>
      <c r="G2383" s="23" t="str">
        <f aca="false">IF(B2383="","","")</f>
        <v/>
      </c>
      <c r="H2383" s="23" t="str">
        <f aca="false">IF(B2383="","","")</f>
        <v/>
      </c>
      <c r="I2383" s="23" t="str">
        <f aca="false">IF(B2383="","","")</f>
        <v/>
      </c>
      <c r="J2383" s="23" t="str">
        <f aca="false">IF(B2383="","","touch_2; "&amp;IFERROR(INDEX(Clay_Offices!$A$2:$FZ$601,132,Sync!$C$10)&amp;"","")&amp;"; "&amp;IFERROR(INDEX(Clay_Offices!$A$2:$FZ$601,132,Sync!$C$9)&amp;"",""))</f>
        <v/>
      </c>
      <c r="K2383" s="32" t="s">
        <v>1364</v>
      </c>
    </row>
    <row r="2384" customFormat="false" ht="15" hidden="false" customHeight="false" outlineLevel="0" collapsed="false">
      <c r="A2384" s="23" t="str">
        <f aca="false">IF(B2384="","",B2384+(13*1000+133)/10000000)</f>
        <v/>
      </c>
      <c r="B2384" s="35" t="str">
        <f aca="false">IF(AND(IFERROR(N(INDEX(Clay_Offices!$A$2:$FZ$601,133,Sync!$C$12)),0)&gt;0,IFERROR(INDEX(Clay_Offices!$A$2:$FZ$601,133,Sync!$C$5)&amp;"","")&lt;&gt;"",OR(LEFT(IFERROR(INDEX(Clay_Offices!$A$2:$FZ$601,133,Sync!$C$5)&amp;"",""),6)&lt;&gt;"SAMPLE",Config!$B$19="Y")),IFERROR(N(INDEX(Clay_Offices!$A$2:$FZ$601,133,Sync!$C$12)),0),"")</f>
        <v/>
      </c>
      <c r="C2384" s="23" t="str">
        <f aca="false">IF(B2384="","","office")</f>
        <v/>
      </c>
      <c r="D2384" s="23" t="str">
        <f aca="false">IF(B2384="","",IFERROR(INDEX(Office_Log!$ED$2:$ED$201,MATCH(IFERROR(INDEX(Clay_Offices!$A$2:$FZ$601,133,Sync!$C$5)&amp;"",""),Office_Log!$A$2:$A$201,0))&amp;"",IFERROR(INDEX(Clay_Offices!$A$2:$FZ$601,133,Sync!$C$5)&amp;"","")&amp;""))</f>
        <v/>
      </c>
      <c r="E2384" s="23" t="str">
        <f aca="false">IF(B2384="","",IFERROR(INDEX(Clay_Offices!$A$2:$FZ$601,133,Sync!$C$6)&amp;"",""))</f>
        <v/>
      </c>
      <c r="F2384" s="23" t="str">
        <f aca="false">IF(B2384="","","outreach_sent")</f>
        <v/>
      </c>
      <c r="G2384" s="23" t="str">
        <f aca="false">IF(B2384="","","")</f>
        <v/>
      </c>
      <c r="H2384" s="23" t="str">
        <f aca="false">IF(B2384="","","")</f>
        <v/>
      </c>
      <c r="I2384" s="23" t="str">
        <f aca="false">IF(B2384="","","")</f>
        <v/>
      </c>
      <c r="J2384" s="23" t="str">
        <f aca="false">IF(B2384="","","touch_2; "&amp;IFERROR(INDEX(Clay_Offices!$A$2:$FZ$601,133,Sync!$C$10)&amp;"","")&amp;"; "&amp;IFERROR(INDEX(Clay_Offices!$A$2:$FZ$601,133,Sync!$C$9)&amp;"",""))</f>
        <v/>
      </c>
      <c r="K2384" s="32" t="s">
        <v>1364</v>
      </c>
    </row>
    <row r="2385" customFormat="false" ht="15" hidden="false" customHeight="false" outlineLevel="0" collapsed="false">
      <c r="A2385" s="23" t="str">
        <f aca="false">IF(B2385="","",B2385+(13*1000+134)/10000000)</f>
        <v/>
      </c>
      <c r="B2385" s="35" t="str">
        <f aca="false">IF(AND(IFERROR(N(INDEX(Clay_Offices!$A$2:$FZ$601,134,Sync!$C$12)),0)&gt;0,IFERROR(INDEX(Clay_Offices!$A$2:$FZ$601,134,Sync!$C$5)&amp;"","")&lt;&gt;"",OR(LEFT(IFERROR(INDEX(Clay_Offices!$A$2:$FZ$601,134,Sync!$C$5)&amp;"",""),6)&lt;&gt;"SAMPLE",Config!$B$19="Y")),IFERROR(N(INDEX(Clay_Offices!$A$2:$FZ$601,134,Sync!$C$12)),0),"")</f>
        <v/>
      </c>
      <c r="C2385" s="23" t="str">
        <f aca="false">IF(B2385="","","office")</f>
        <v/>
      </c>
      <c r="D2385" s="23" t="str">
        <f aca="false">IF(B2385="","",IFERROR(INDEX(Office_Log!$ED$2:$ED$201,MATCH(IFERROR(INDEX(Clay_Offices!$A$2:$FZ$601,134,Sync!$C$5)&amp;"",""),Office_Log!$A$2:$A$201,0))&amp;"",IFERROR(INDEX(Clay_Offices!$A$2:$FZ$601,134,Sync!$C$5)&amp;"","")&amp;""))</f>
        <v/>
      </c>
      <c r="E2385" s="23" t="str">
        <f aca="false">IF(B2385="","",IFERROR(INDEX(Clay_Offices!$A$2:$FZ$601,134,Sync!$C$6)&amp;"",""))</f>
        <v/>
      </c>
      <c r="F2385" s="23" t="str">
        <f aca="false">IF(B2385="","","outreach_sent")</f>
        <v/>
      </c>
      <c r="G2385" s="23" t="str">
        <f aca="false">IF(B2385="","","")</f>
        <v/>
      </c>
      <c r="H2385" s="23" t="str">
        <f aca="false">IF(B2385="","","")</f>
        <v/>
      </c>
      <c r="I2385" s="23" t="str">
        <f aca="false">IF(B2385="","","")</f>
        <v/>
      </c>
      <c r="J2385" s="23" t="str">
        <f aca="false">IF(B2385="","","touch_2; "&amp;IFERROR(INDEX(Clay_Offices!$A$2:$FZ$601,134,Sync!$C$10)&amp;"","")&amp;"; "&amp;IFERROR(INDEX(Clay_Offices!$A$2:$FZ$601,134,Sync!$C$9)&amp;"",""))</f>
        <v/>
      </c>
      <c r="K2385" s="32" t="s">
        <v>1364</v>
      </c>
    </row>
    <row r="2386" customFormat="false" ht="15" hidden="false" customHeight="false" outlineLevel="0" collapsed="false">
      <c r="A2386" s="23" t="str">
        <f aca="false">IF(B2386="","",B2386+(13*1000+135)/10000000)</f>
        <v/>
      </c>
      <c r="B2386" s="35" t="str">
        <f aca="false">IF(AND(IFERROR(N(INDEX(Clay_Offices!$A$2:$FZ$601,135,Sync!$C$12)),0)&gt;0,IFERROR(INDEX(Clay_Offices!$A$2:$FZ$601,135,Sync!$C$5)&amp;"","")&lt;&gt;"",OR(LEFT(IFERROR(INDEX(Clay_Offices!$A$2:$FZ$601,135,Sync!$C$5)&amp;"",""),6)&lt;&gt;"SAMPLE",Config!$B$19="Y")),IFERROR(N(INDEX(Clay_Offices!$A$2:$FZ$601,135,Sync!$C$12)),0),"")</f>
        <v/>
      </c>
      <c r="C2386" s="23" t="str">
        <f aca="false">IF(B2386="","","office")</f>
        <v/>
      </c>
      <c r="D2386" s="23" t="str">
        <f aca="false">IF(B2386="","",IFERROR(INDEX(Office_Log!$ED$2:$ED$201,MATCH(IFERROR(INDEX(Clay_Offices!$A$2:$FZ$601,135,Sync!$C$5)&amp;"",""),Office_Log!$A$2:$A$201,0))&amp;"",IFERROR(INDEX(Clay_Offices!$A$2:$FZ$601,135,Sync!$C$5)&amp;"","")&amp;""))</f>
        <v/>
      </c>
      <c r="E2386" s="23" t="str">
        <f aca="false">IF(B2386="","",IFERROR(INDEX(Clay_Offices!$A$2:$FZ$601,135,Sync!$C$6)&amp;"",""))</f>
        <v/>
      </c>
      <c r="F2386" s="23" t="str">
        <f aca="false">IF(B2386="","","outreach_sent")</f>
        <v/>
      </c>
      <c r="G2386" s="23" t="str">
        <f aca="false">IF(B2386="","","")</f>
        <v/>
      </c>
      <c r="H2386" s="23" t="str">
        <f aca="false">IF(B2386="","","")</f>
        <v/>
      </c>
      <c r="I2386" s="23" t="str">
        <f aca="false">IF(B2386="","","")</f>
        <v/>
      </c>
      <c r="J2386" s="23" t="str">
        <f aca="false">IF(B2386="","","touch_2; "&amp;IFERROR(INDEX(Clay_Offices!$A$2:$FZ$601,135,Sync!$C$10)&amp;"","")&amp;"; "&amp;IFERROR(INDEX(Clay_Offices!$A$2:$FZ$601,135,Sync!$C$9)&amp;"",""))</f>
        <v/>
      </c>
      <c r="K2386" s="32" t="s">
        <v>1364</v>
      </c>
    </row>
    <row r="2387" customFormat="false" ht="15" hidden="false" customHeight="false" outlineLevel="0" collapsed="false">
      <c r="A2387" s="23" t="str">
        <f aca="false">IF(B2387="","",B2387+(13*1000+136)/10000000)</f>
        <v/>
      </c>
      <c r="B2387" s="35" t="str">
        <f aca="false">IF(AND(IFERROR(N(INDEX(Clay_Offices!$A$2:$FZ$601,136,Sync!$C$12)),0)&gt;0,IFERROR(INDEX(Clay_Offices!$A$2:$FZ$601,136,Sync!$C$5)&amp;"","")&lt;&gt;"",OR(LEFT(IFERROR(INDEX(Clay_Offices!$A$2:$FZ$601,136,Sync!$C$5)&amp;"",""),6)&lt;&gt;"SAMPLE",Config!$B$19="Y")),IFERROR(N(INDEX(Clay_Offices!$A$2:$FZ$601,136,Sync!$C$12)),0),"")</f>
        <v/>
      </c>
      <c r="C2387" s="23" t="str">
        <f aca="false">IF(B2387="","","office")</f>
        <v/>
      </c>
      <c r="D2387" s="23" t="str">
        <f aca="false">IF(B2387="","",IFERROR(INDEX(Office_Log!$ED$2:$ED$201,MATCH(IFERROR(INDEX(Clay_Offices!$A$2:$FZ$601,136,Sync!$C$5)&amp;"",""),Office_Log!$A$2:$A$201,0))&amp;"",IFERROR(INDEX(Clay_Offices!$A$2:$FZ$601,136,Sync!$C$5)&amp;"","")&amp;""))</f>
        <v/>
      </c>
      <c r="E2387" s="23" t="str">
        <f aca="false">IF(B2387="","",IFERROR(INDEX(Clay_Offices!$A$2:$FZ$601,136,Sync!$C$6)&amp;"",""))</f>
        <v/>
      </c>
      <c r="F2387" s="23" t="str">
        <f aca="false">IF(B2387="","","outreach_sent")</f>
        <v/>
      </c>
      <c r="G2387" s="23" t="str">
        <f aca="false">IF(B2387="","","")</f>
        <v/>
      </c>
      <c r="H2387" s="23" t="str">
        <f aca="false">IF(B2387="","","")</f>
        <v/>
      </c>
      <c r="I2387" s="23" t="str">
        <f aca="false">IF(B2387="","","")</f>
        <v/>
      </c>
      <c r="J2387" s="23" t="str">
        <f aca="false">IF(B2387="","","touch_2; "&amp;IFERROR(INDEX(Clay_Offices!$A$2:$FZ$601,136,Sync!$C$10)&amp;"","")&amp;"; "&amp;IFERROR(INDEX(Clay_Offices!$A$2:$FZ$601,136,Sync!$C$9)&amp;"",""))</f>
        <v/>
      </c>
      <c r="K2387" s="32" t="s">
        <v>1364</v>
      </c>
    </row>
    <row r="2388" customFormat="false" ht="15" hidden="false" customHeight="false" outlineLevel="0" collapsed="false">
      <c r="A2388" s="23" t="str">
        <f aca="false">IF(B2388="","",B2388+(13*1000+137)/10000000)</f>
        <v/>
      </c>
      <c r="B2388" s="35" t="str">
        <f aca="false">IF(AND(IFERROR(N(INDEX(Clay_Offices!$A$2:$FZ$601,137,Sync!$C$12)),0)&gt;0,IFERROR(INDEX(Clay_Offices!$A$2:$FZ$601,137,Sync!$C$5)&amp;"","")&lt;&gt;"",OR(LEFT(IFERROR(INDEX(Clay_Offices!$A$2:$FZ$601,137,Sync!$C$5)&amp;"",""),6)&lt;&gt;"SAMPLE",Config!$B$19="Y")),IFERROR(N(INDEX(Clay_Offices!$A$2:$FZ$601,137,Sync!$C$12)),0),"")</f>
        <v/>
      </c>
      <c r="C2388" s="23" t="str">
        <f aca="false">IF(B2388="","","office")</f>
        <v/>
      </c>
      <c r="D2388" s="23" t="str">
        <f aca="false">IF(B2388="","",IFERROR(INDEX(Office_Log!$ED$2:$ED$201,MATCH(IFERROR(INDEX(Clay_Offices!$A$2:$FZ$601,137,Sync!$C$5)&amp;"",""),Office_Log!$A$2:$A$201,0))&amp;"",IFERROR(INDEX(Clay_Offices!$A$2:$FZ$601,137,Sync!$C$5)&amp;"","")&amp;""))</f>
        <v/>
      </c>
      <c r="E2388" s="23" t="str">
        <f aca="false">IF(B2388="","",IFERROR(INDEX(Clay_Offices!$A$2:$FZ$601,137,Sync!$C$6)&amp;"",""))</f>
        <v/>
      </c>
      <c r="F2388" s="23" t="str">
        <f aca="false">IF(B2388="","","outreach_sent")</f>
        <v/>
      </c>
      <c r="G2388" s="23" t="str">
        <f aca="false">IF(B2388="","","")</f>
        <v/>
      </c>
      <c r="H2388" s="23" t="str">
        <f aca="false">IF(B2388="","","")</f>
        <v/>
      </c>
      <c r="I2388" s="23" t="str">
        <f aca="false">IF(B2388="","","")</f>
        <v/>
      </c>
      <c r="J2388" s="23" t="str">
        <f aca="false">IF(B2388="","","touch_2; "&amp;IFERROR(INDEX(Clay_Offices!$A$2:$FZ$601,137,Sync!$C$10)&amp;"","")&amp;"; "&amp;IFERROR(INDEX(Clay_Offices!$A$2:$FZ$601,137,Sync!$C$9)&amp;"",""))</f>
        <v/>
      </c>
      <c r="K2388" s="32" t="s">
        <v>1364</v>
      </c>
    </row>
    <row r="2389" customFormat="false" ht="15" hidden="false" customHeight="false" outlineLevel="0" collapsed="false">
      <c r="A2389" s="23" t="str">
        <f aca="false">IF(B2389="","",B2389+(13*1000+138)/10000000)</f>
        <v/>
      </c>
      <c r="B2389" s="35" t="str">
        <f aca="false">IF(AND(IFERROR(N(INDEX(Clay_Offices!$A$2:$FZ$601,138,Sync!$C$12)),0)&gt;0,IFERROR(INDEX(Clay_Offices!$A$2:$FZ$601,138,Sync!$C$5)&amp;"","")&lt;&gt;"",OR(LEFT(IFERROR(INDEX(Clay_Offices!$A$2:$FZ$601,138,Sync!$C$5)&amp;"",""),6)&lt;&gt;"SAMPLE",Config!$B$19="Y")),IFERROR(N(INDEX(Clay_Offices!$A$2:$FZ$601,138,Sync!$C$12)),0),"")</f>
        <v/>
      </c>
      <c r="C2389" s="23" t="str">
        <f aca="false">IF(B2389="","","office")</f>
        <v/>
      </c>
      <c r="D2389" s="23" t="str">
        <f aca="false">IF(B2389="","",IFERROR(INDEX(Office_Log!$ED$2:$ED$201,MATCH(IFERROR(INDEX(Clay_Offices!$A$2:$FZ$601,138,Sync!$C$5)&amp;"",""),Office_Log!$A$2:$A$201,0))&amp;"",IFERROR(INDEX(Clay_Offices!$A$2:$FZ$601,138,Sync!$C$5)&amp;"","")&amp;""))</f>
        <v/>
      </c>
      <c r="E2389" s="23" t="str">
        <f aca="false">IF(B2389="","",IFERROR(INDEX(Clay_Offices!$A$2:$FZ$601,138,Sync!$C$6)&amp;"",""))</f>
        <v/>
      </c>
      <c r="F2389" s="23" t="str">
        <f aca="false">IF(B2389="","","outreach_sent")</f>
        <v/>
      </c>
      <c r="G2389" s="23" t="str">
        <f aca="false">IF(B2389="","","")</f>
        <v/>
      </c>
      <c r="H2389" s="23" t="str">
        <f aca="false">IF(B2389="","","")</f>
        <v/>
      </c>
      <c r="I2389" s="23" t="str">
        <f aca="false">IF(B2389="","","")</f>
        <v/>
      </c>
      <c r="J2389" s="23" t="str">
        <f aca="false">IF(B2389="","","touch_2; "&amp;IFERROR(INDEX(Clay_Offices!$A$2:$FZ$601,138,Sync!$C$10)&amp;"","")&amp;"; "&amp;IFERROR(INDEX(Clay_Offices!$A$2:$FZ$601,138,Sync!$C$9)&amp;"",""))</f>
        <v/>
      </c>
      <c r="K2389" s="32" t="s">
        <v>1364</v>
      </c>
    </row>
    <row r="2390" customFormat="false" ht="15" hidden="false" customHeight="false" outlineLevel="0" collapsed="false">
      <c r="A2390" s="23" t="str">
        <f aca="false">IF(B2390="","",B2390+(13*1000+139)/10000000)</f>
        <v/>
      </c>
      <c r="B2390" s="35" t="str">
        <f aca="false">IF(AND(IFERROR(N(INDEX(Clay_Offices!$A$2:$FZ$601,139,Sync!$C$12)),0)&gt;0,IFERROR(INDEX(Clay_Offices!$A$2:$FZ$601,139,Sync!$C$5)&amp;"","")&lt;&gt;"",OR(LEFT(IFERROR(INDEX(Clay_Offices!$A$2:$FZ$601,139,Sync!$C$5)&amp;"",""),6)&lt;&gt;"SAMPLE",Config!$B$19="Y")),IFERROR(N(INDEX(Clay_Offices!$A$2:$FZ$601,139,Sync!$C$12)),0),"")</f>
        <v/>
      </c>
      <c r="C2390" s="23" t="str">
        <f aca="false">IF(B2390="","","office")</f>
        <v/>
      </c>
      <c r="D2390" s="23" t="str">
        <f aca="false">IF(B2390="","",IFERROR(INDEX(Office_Log!$ED$2:$ED$201,MATCH(IFERROR(INDEX(Clay_Offices!$A$2:$FZ$601,139,Sync!$C$5)&amp;"",""),Office_Log!$A$2:$A$201,0))&amp;"",IFERROR(INDEX(Clay_Offices!$A$2:$FZ$601,139,Sync!$C$5)&amp;"","")&amp;""))</f>
        <v/>
      </c>
      <c r="E2390" s="23" t="str">
        <f aca="false">IF(B2390="","",IFERROR(INDEX(Clay_Offices!$A$2:$FZ$601,139,Sync!$C$6)&amp;"",""))</f>
        <v/>
      </c>
      <c r="F2390" s="23" t="str">
        <f aca="false">IF(B2390="","","outreach_sent")</f>
        <v/>
      </c>
      <c r="G2390" s="23" t="str">
        <f aca="false">IF(B2390="","","")</f>
        <v/>
      </c>
      <c r="H2390" s="23" t="str">
        <f aca="false">IF(B2390="","","")</f>
        <v/>
      </c>
      <c r="I2390" s="23" t="str">
        <f aca="false">IF(B2390="","","")</f>
        <v/>
      </c>
      <c r="J2390" s="23" t="str">
        <f aca="false">IF(B2390="","","touch_2; "&amp;IFERROR(INDEX(Clay_Offices!$A$2:$FZ$601,139,Sync!$C$10)&amp;"","")&amp;"; "&amp;IFERROR(INDEX(Clay_Offices!$A$2:$FZ$601,139,Sync!$C$9)&amp;"",""))</f>
        <v/>
      </c>
      <c r="K2390" s="32" t="s">
        <v>1364</v>
      </c>
    </row>
    <row r="2391" customFormat="false" ht="15" hidden="false" customHeight="false" outlineLevel="0" collapsed="false">
      <c r="A2391" s="23" t="str">
        <f aca="false">IF(B2391="","",B2391+(13*1000+140)/10000000)</f>
        <v/>
      </c>
      <c r="B2391" s="35" t="str">
        <f aca="false">IF(AND(IFERROR(N(INDEX(Clay_Offices!$A$2:$FZ$601,140,Sync!$C$12)),0)&gt;0,IFERROR(INDEX(Clay_Offices!$A$2:$FZ$601,140,Sync!$C$5)&amp;"","")&lt;&gt;"",OR(LEFT(IFERROR(INDEX(Clay_Offices!$A$2:$FZ$601,140,Sync!$C$5)&amp;"",""),6)&lt;&gt;"SAMPLE",Config!$B$19="Y")),IFERROR(N(INDEX(Clay_Offices!$A$2:$FZ$601,140,Sync!$C$12)),0),"")</f>
        <v/>
      </c>
      <c r="C2391" s="23" t="str">
        <f aca="false">IF(B2391="","","office")</f>
        <v/>
      </c>
      <c r="D2391" s="23" t="str">
        <f aca="false">IF(B2391="","",IFERROR(INDEX(Office_Log!$ED$2:$ED$201,MATCH(IFERROR(INDEX(Clay_Offices!$A$2:$FZ$601,140,Sync!$C$5)&amp;"",""),Office_Log!$A$2:$A$201,0))&amp;"",IFERROR(INDEX(Clay_Offices!$A$2:$FZ$601,140,Sync!$C$5)&amp;"","")&amp;""))</f>
        <v/>
      </c>
      <c r="E2391" s="23" t="str">
        <f aca="false">IF(B2391="","",IFERROR(INDEX(Clay_Offices!$A$2:$FZ$601,140,Sync!$C$6)&amp;"",""))</f>
        <v/>
      </c>
      <c r="F2391" s="23" t="str">
        <f aca="false">IF(B2391="","","outreach_sent")</f>
        <v/>
      </c>
      <c r="G2391" s="23" t="str">
        <f aca="false">IF(B2391="","","")</f>
        <v/>
      </c>
      <c r="H2391" s="23" t="str">
        <f aca="false">IF(B2391="","","")</f>
        <v/>
      </c>
      <c r="I2391" s="23" t="str">
        <f aca="false">IF(B2391="","","")</f>
        <v/>
      </c>
      <c r="J2391" s="23" t="str">
        <f aca="false">IF(B2391="","","touch_2; "&amp;IFERROR(INDEX(Clay_Offices!$A$2:$FZ$601,140,Sync!$C$10)&amp;"","")&amp;"; "&amp;IFERROR(INDEX(Clay_Offices!$A$2:$FZ$601,140,Sync!$C$9)&amp;"",""))</f>
        <v/>
      </c>
      <c r="K2391" s="32" t="s">
        <v>1364</v>
      </c>
    </row>
    <row r="2392" customFormat="false" ht="15" hidden="false" customHeight="false" outlineLevel="0" collapsed="false">
      <c r="A2392" s="23" t="str">
        <f aca="false">IF(B2392="","",B2392+(13*1000+141)/10000000)</f>
        <v/>
      </c>
      <c r="B2392" s="35" t="str">
        <f aca="false">IF(AND(IFERROR(N(INDEX(Clay_Offices!$A$2:$FZ$601,141,Sync!$C$12)),0)&gt;0,IFERROR(INDEX(Clay_Offices!$A$2:$FZ$601,141,Sync!$C$5)&amp;"","")&lt;&gt;"",OR(LEFT(IFERROR(INDEX(Clay_Offices!$A$2:$FZ$601,141,Sync!$C$5)&amp;"",""),6)&lt;&gt;"SAMPLE",Config!$B$19="Y")),IFERROR(N(INDEX(Clay_Offices!$A$2:$FZ$601,141,Sync!$C$12)),0),"")</f>
        <v/>
      </c>
      <c r="C2392" s="23" t="str">
        <f aca="false">IF(B2392="","","office")</f>
        <v/>
      </c>
      <c r="D2392" s="23" t="str">
        <f aca="false">IF(B2392="","",IFERROR(INDEX(Office_Log!$ED$2:$ED$201,MATCH(IFERROR(INDEX(Clay_Offices!$A$2:$FZ$601,141,Sync!$C$5)&amp;"",""),Office_Log!$A$2:$A$201,0))&amp;"",IFERROR(INDEX(Clay_Offices!$A$2:$FZ$601,141,Sync!$C$5)&amp;"","")&amp;""))</f>
        <v/>
      </c>
      <c r="E2392" s="23" t="str">
        <f aca="false">IF(B2392="","",IFERROR(INDEX(Clay_Offices!$A$2:$FZ$601,141,Sync!$C$6)&amp;"",""))</f>
        <v/>
      </c>
      <c r="F2392" s="23" t="str">
        <f aca="false">IF(B2392="","","outreach_sent")</f>
        <v/>
      </c>
      <c r="G2392" s="23" t="str">
        <f aca="false">IF(B2392="","","")</f>
        <v/>
      </c>
      <c r="H2392" s="23" t="str">
        <f aca="false">IF(B2392="","","")</f>
        <v/>
      </c>
      <c r="I2392" s="23" t="str">
        <f aca="false">IF(B2392="","","")</f>
        <v/>
      </c>
      <c r="J2392" s="23" t="str">
        <f aca="false">IF(B2392="","","touch_2; "&amp;IFERROR(INDEX(Clay_Offices!$A$2:$FZ$601,141,Sync!$C$10)&amp;"","")&amp;"; "&amp;IFERROR(INDEX(Clay_Offices!$A$2:$FZ$601,141,Sync!$C$9)&amp;"",""))</f>
        <v/>
      </c>
      <c r="K2392" s="32" t="s">
        <v>1364</v>
      </c>
    </row>
    <row r="2393" customFormat="false" ht="15" hidden="false" customHeight="false" outlineLevel="0" collapsed="false">
      <c r="A2393" s="23" t="str">
        <f aca="false">IF(B2393="","",B2393+(13*1000+142)/10000000)</f>
        <v/>
      </c>
      <c r="B2393" s="35" t="str">
        <f aca="false">IF(AND(IFERROR(N(INDEX(Clay_Offices!$A$2:$FZ$601,142,Sync!$C$12)),0)&gt;0,IFERROR(INDEX(Clay_Offices!$A$2:$FZ$601,142,Sync!$C$5)&amp;"","")&lt;&gt;"",OR(LEFT(IFERROR(INDEX(Clay_Offices!$A$2:$FZ$601,142,Sync!$C$5)&amp;"",""),6)&lt;&gt;"SAMPLE",Config!$B$19="Y")),IFERROR(N(INDEX(Clay_Offices!$A$2:$FZ$601,142,Sync!$C$12)),0),"")</f>
        <v/>
      </c>
      <c r="C2393" s="23" t="str">
        <f aca="false">IF(B2393="","","office")</f>
        <v/>
      </c>
      <c r="D2393" s="23" t="str">
        <f aca="false">IF(B2393="","",IFERROR(INDEX(Office_Log!$ED$2:$ED$201,MATCH(IFERROR(INDEX(Clay_Offices!$A$2:$FZ$601,142,Sync!$C$5)&amp;"",""),Office_Log!$A$2:$A$201,0))&amp;"",IFERROR(INDEX(Clay_Offices!$A$2:$FZ$601,142,Sync!$C$5)&amp;"","")&amp;""))</f>
        <v/>
      </c>
      <c r="E2393" s="23" t="str">
        <f aca="false">IF(B2393="","",IFERROR(INDEX(Clay_Offices!$A$2:$FZ$601,142,Sync!$C$6)&amp;"",""))</f>
        <v/>
      </c>
      <c r="F2393" s="23" t="str">
        <f aca="false">IF(B2393="","","outreach_sent")</f>
        <v/>
      </c>
      <c r="G2393" s="23" t="str">
        <f aca="false">IF(B2393="","","")</f>
        <v/>
      </c>
      <c r="H2393" s="23" t="str">
        <f aca="false">IF(B2393="","","")</f>
        <v/>
      </c>
      <c r="I2393" s="23" t="str">
        <f aca="false">IF(B2393="","","")</f>
        <v/>
      </c>
      <c r="J2393" s="23" t="str">
        <f aca="false">IF(B2393="","","touch_2; "&amp;IFERROR(INDEX(Clay_Offices!$A$2:$FZ$601,142,Sync!$C$10)&amp;"","")&amp;"; "&amp;IFERROR(INDEX(Clay_Offices!$A$2:$FZ$601,142,Sync!$C$9)&amp;"",""))</f>
        <v/>
      </c>
      <c r="K2393" s="32" t="s">
        <v>1364</v>
      </c>
    </row>
    <row r="2394" customFormat="false" ht="15" hidden="false" customHeight="false" outlineLevel="0" collapsed="false">
      <c r="A2394" s="23" t="str">
        <f aca="false">IF(B2394="","",B2394+(13*1000+143)/10000000)</f>
        <v/>
      </c>
      <c r="B2394" s="35" t="str">
        <f aca="false">IF(AND(IFERROR(N(INDEX(Clay_Offices!$A$2:$FZ$601,143,Sync!$C$12)),0)&gt;0,IFERROR(INDEX(Clay_Offices!$A$2:$FZ$601,143,Sync!$C$5)&amp;"","")&lt;&gt;"",OR(LEFT(IFERROR(INDEX(Clay_Offices!$A$2:$FZ$601,143,Sync!$C$5)&amp;"",""),6)&lt;&gt;"SAMPLE",Config!$B$19="Y")),IFERROR(N(INDEX(Clay_Offices!$A$2:$FZ$601,143,Sync!$C$12)),0),"")</f>
        <v/>
      </c>
      <c r="C2394" s="23" t="str">
        <f aca="false">IF(B2394="","","office")</f>
        <v/>
      </c>
      <c r="D2394" s="23" t="str">
        <f aca="false">IF(B2394="","",IFERROR(INDEX(Office_Log!$ED$2:$ED$201,MATCH(IFERROR(INDEX(Clay_Offices!$A$2:$FZ$601,143,Sync!$C$5)&amp;"",""),Office_Log!$A$2:$A$201,0))&amp;"",IFERROR(INDEX(Clay_Offices!$A$2:$FZ$601,143,Sync!$C$5)&amp;"","")&amp;""))</f>
        <v/>
      </c>
      <c r="E2394" s="23" t="str">
        <f aca="false">IF(B2394="","",IFERROR(INDEX(Clay_Offices!$A$2:$FZ$601,143,Sync!$C$6)&amp;"",""))</f>
        <v/>
      </c>
      <c r="F2394" s="23" t="str">
        <f aca="false">IF(B2394="","","outreach_sent")</f>
        <v/>
      </c>
      <c r="G2394" s="23" t="str">
        <f aca="false">IF(B2394="","","")</f>
        <v/>
      </c>
      <c r="H2394" s="23" t="str">
        <f aca="false">IF(B2394="","","")</f>
        <v/>
      </c>
      <c r="I2394" s="23" t="str">
        <f aca="false">IF(B2394="","","")</f>
        <v/>
      </c>
      <c r="J2394" s="23" t="str">
        <f aca="false">IF(B2394="","","touch_2; "&amp;IFERROR(INDEX(Clay_Offices!$A$2:$FZ$601,143,Sync!$C$10)&amp;"","")&amp;"; "&amp;IFERROR(INDEX(Clay_Offices!$A$2:$FZ$601,143,Sync!$C$9)&amp;"",""))</f>
        <v/>
      </c>
      <c r="K2394" s="32" t="s">
        <v>1364</v>
      </c>
    </row>
    <row r="2395" customFormat="false" ht="15" hidden="false" customHeight="false" outlineLevel="0" collapsed="false">
      <c r="A2395" s="23" t="str">
        <f aca="false">IF(B2395="","",B2395+(13*1000+144)/10000000)</f>
        <v/>
      </c>
      <c r="B2395" s="35" t="str">
        <f aca="false">IF(AND(IFERROR(N(INDEX(Clay_Offices!$A$2:$FZ$601,144,Sync!$C$12)),0)&gt;0,IFERROR(INDEX(Clay_Offices!$A$2:$FZ$601,144,Sync!$C$5)&amp;"","")&lt;&gt;"",OR(LEFT(IFERROR(INDEX(Clay_Offices!$A$2:$FZ$601,144,Sync!$C$5)&amp;"",""),6)&lt;&gt;"SAMPLE",Config!$B$19="Y")),IFERROR(N(INDEX(Clay_Offices!$A$2:$FZ$601,144,Sync!$C$12)),0),"")</f>
        <v/>
      </c>
      <c r="C2395" s="23" t="str">
        <f aca="false">IF(B2395="","","office")</f>
        <v/>
      </c>
      <c r="D2395" s="23" t="str">
        <f aca="false">IF(B2395="","",IFERROR(INDEX(Office_Log!$ED$2:$ED$201,MATCH(IFERROR(INDEX(Clay_Offices!$A$2:$FZ$601,144,Sync!$C$5)&amp;"",""),Office_Log!$A$2:$A$201,0))&amp;"",IFERROR(INDEX(Clay_Offices!$A$2:$FZ$601,144,Sync!$C$5)&amp;"","")&amp;""))</f>
        <v/>
      </c>
      <c r="E2395" s="23" t="str">
        <f aca="false">IF(B2395="","",IFERROR(INDEX(Clay_Offices!$A$2:$FZ$601,144,Sync!$C$6)&amp;"",""))</f>
        <v/>
      </c>
      <c r="F2395" s="23" t="str">
        <f aca="false">IF(B2395="","","outreach_sent")</f>
        <v/>
      </c>
      <c r="G2395" s="23" t="str">
        <f aca="false">IF(B2395="","","")</f>
        <v/>
      </c>
      <c r="H2395" s="23" t="str">
        <f aca="false">IF(B2395="","","")</f>
        <v/>
      </c>
      <c r="I2395" s="23" t="str">
        <f aca="false">IF(B2395="","","")</f>
        <v/>
      </c>
      <c r="J2395" s="23" t="str">
        <f aca="false">IF(B2395="","","touch_2; "&amp;IFERROR(INDEX(Clay_Offices!$A$2:$FZ$601,144,Sync!$C$10)&amp;"","")&amp;"; "&amp;IFERROR(INDEX(Clay_Offices!$A$2:$FZ$601,144,Sync!$C$9)&amp;"",""))</f>
        <v/>
      </c>
      <c r="K2395" s="32" t="s">
        <v>1364</v>
      </c>
    </row>
    <row r="2396" customFormat="false" ht="15" hidden="false" customHeight="false" outlineLevel="0" collapsed="false">
      <c r="A2396" s="23" t="str">
        <f aca="false">IF(B2396="","",B2396+(13*1000+145)/10000000)</f>
        <v/>
      </c>
      <c r="B2396" s="35" t="str">
        <f aca="false">IF(AND(IFERROR(N(INDEX(Clay_Offices!$A$2:$FZ$601,145,Sync!$C$12)),0)&gt;0,IFERROR(INDEX(Clay_Offices!$A$2:$FZ$601,145,Sync!$C$5)&amp;"","")&lt;&gt;"",OR(LEFT(IFERROR(INDEX(Clay_Offices!$A$2:$FZ$601,145,Sync!$C$5)&amp;"",""),6)&lt;&gt;"SAMPLE",Config!$B$19="Y")),IFERROR(N(INDEX(Clay_Offices!$A$2:$FZ$601,145,Sync!$C$12)),0),"")</f>
        <v/>
      </c>
      <c r="C2396" s="23" t="str">
        <f aca="false">IF(B2396="","","office")</f>
        <v/>
      </c>
      <c r="D2396" s="23" t="str">
        <f aca="false">IF(B2396="","",IFERROR(INDEX(Office_Log!$ED$2:$ED$201,MATCH(IFERROR(INDEX(Clay_Offices!$A$2:$FZ$601,145,Sync!$C$5)&amp;"",""),Office_Log!$A$2:$A$201,0))&amp;"",IFERROR(INDEX(Clay_Offices!$A$2:$FZ$601,145,Sync!$C$5)&amp;"","")&amp;""))</f>
        <v/>
      </c>
      <c r="E2396" s="23" t="str">
        <f aca="false">IF(B2396="","",IFERROR(INDEX(Clay_Offices!$A$2:$FZ$601,145,Sync!$C$6)&amp;"",""))</f>
        <v/>
      </c>
      <c r="F2396" s="23" t="str">
        <f aca="false">IF(B2396="","","outreach_sent")</f>
        <v/>
      </c>
      <c r="G2396" s="23" t="str">
        <f aca="false">IF(B2396="","","")</f>
        <v/>
      </c>
      <c r="H2396" s="23" t="str">
        <f aca="false">IF(B2396="","","")</f>
        <v/>
      </c>
      <c r="I2396" s="23" t="str">
        <f aca="false">IF(B2396="","","")</f>
        <v/>
      </c>
      <c r="J2396" s="23" t="str">
        <f aca="false">IF(B2396="","","touch_2; "&amp;IFERROR(INDEX(Clay_Offices!$A$2:$FZ$601,145,Sync!$C$10)&amp;"","")&amp;"; "&amp;IFERROR(INDEX(Clay_Offices!$A$2:$FZ$601,145,Sync!$C$9)&amp;"",""))</f>
        <v/>
      </c>
      <c r="K2396" s="32" t="s">
        <v>1364</v>
      </c>
    </row>
    <row r="2397" customFormat="false" ht="15" hidden="false" customHeight="false" outlineLevel="0" collapsed="false">
      <c r="A2397" s="23" t="str">
        <f aca="false">IF(B2397="","",B2397+(13*1000+146)/10000000)</f>
        <v/>
      </c>
      <c r="B2397" s="35" t="str">
        <f aca="false">IF(AND(IFERROR(N(INDEX(Clay_Offices!$A$2:$FZ$601,146,Sync!$C$12)),0)&gt;0,IFERROR(INDEX(Clay_Offices!$A$2:$FZ$601,146,Sync!$C$5)&amp;"","")&lt;&gt;"",OR(LEFT(IFERROR(INDEX(Clay_Offices!$A$2:$FZ$601,146,Sync!$C$5)&amp;"",""),6)&lt;&gt;"SAMPLE",Config!$B$19="Y")),IFERROR(N(INDEX(Clay_Offices!$A$2:$FZ$601,146,Sync!$C$12)),0),"")</f>
        <v/>
      </c>
      <c r="C2397" s="23" t="str">
        <f aca="false">IF(B2397="","","office")</f>
        <v/>
      </c>
      <c r="D2397" s="23" t="str">
        <f aca="false">IF(B2397="","",IFERROR(INDEX(Office_Log!$ED$2:$ED$201,MATCH(IFERROR(INDEX(Clay_Offices!$A$2:$FZ$601,146,Sync!$C$5)&amp;"",""),Office_Log!$A$2:$A$201,0))&amp;"",IFERROR(INDEX(Clay_Offices!$A$2:$FZ$601,146,Sync!$C$5)&amp;"","")&amp;""))</f>
        <v/>
      </c>
      <c r="E2397" s="23" t="str">
        <f aca="false">IF(B2397="","",IFERROR(INDEX(Clay_Offices!$A$2:$FZ$601,146,Sync!$C$6)&amp;"",""))</f>
        <v/>
      </c>
      <c r="F2397" s="23" t="str">
        <f aca="false">IF(B2397="","","outreach_sent")</f>
        <v/>
      </c>
      <c r="G2397" s="23" t="str">
        <f aca="false">IF(B2397="","","")</f>
        <v/>
      </c>
      <c r="H2397" s="23" t="str">
        <f aca="false">IF(B2397="","","")</f>
        <v/>
      </c>
      <c r="I2397" s="23" t="str">
        <f aca="false">IF(B2397="","","")</f>
        <v/>
      </c>
      <c r="J2397" s="23" t="str">
        <f aca="false">IF(B2397="","","touch_2; "&amp;IFERROR(INDEX(Clay_Offices!$A$2:$FZ$601,146,Sync!$C$10)&amp;"","")&amp;"; "&amp;IFERROR(INDEX(Clay_Offices!$A$2:$FZ$601,146,Sync!$C$9)&amp;"",""))</f>
        <v/>
      </c>
      <c r="K2397" s="32" t="s">
        <v>1364</v>
      </c>
    </row>
    <row r="2398" customFormat="false" ht="15" hidden="false" customHeight="false" outlineLevel="0" collapsed="false">
      <c r="A2398" s="23" t="str">
        <f aca="false">IF(B2398="","",B2398+(13*1000+147)/10000000)</f>
        <v/>
      </c>
      <c r="B2398" s="35" t="str">
        <f aca="false">IF(AND(IFERROR(N(INDEX(Clay_Offices!$A$2:$FZ$601,147,Sync!$C$12)),0)&gt;0,IFERROR(INDEX(Clay_Offices!$A$2:$FZ$601,147,Sync!$C$5)&amp;"","")&lt;&gt;"",OR(LEFT(IFERROR(INDEX(Clay_Offices!$A$2:$FZ$601,147,Sync!$C$5)&amp;"",""),6)&lt;&gt;"SAMPLE",Config!$B$19="Y")),IFERROR(N(INDEX(Clay_Offices!$A$2:$FZ$601,147,Sync!$C$12)),0),"")</f>
        <v/>
      </c>
      <c r="C2398" s="23" t="str">
        <f aca="false">IF(B2398="","","office")</f>
        <v/>
      </c>
      <c r="D2398" s="23" t="str">
        <f aca="false">IF(B2398="","",IFERROR(INDEX(Office_Log!$ED$2:$ED$201,MATCH(IFERROR(INDEX(Clay_Offices!$A$2:$FZ$601,147,Sync!$C$5)&amp;"",""),Office_Log!$A$2:$A$201,0))&amp;"",IFERROR(INDEX(Clay_Offices!$A$2:$FZ$601,147,Sync!$C$5)&amp;"","")&amp;""))</f>
        <v/>
      </c>
      <c r="E2398" s="23" t="str">
        <f aca="false">IF(B2398="","",IFERROR(INDEX(Clay_Offices!$A$2:$FZ$601,147,Sync!$C$6)&amp;"",""))</f>
        <v/>
      </c>
      <c r="F2398" s="23" t="str">
        <f aca="false">IF(B2398="","","outreach_sent")</f>
        <v/>
      </c>
      <c r="G2398" s="23" t="str">
        <f aca="false">IF(B2398="","","")</f>
        <v/>
      </c>
      <c r="H2398" s="23" t="str">
        <f aca="false">IF(B2398="","","")</f>
        <v/>
      </c>
      <c r="I2398" s="23" t="str">
        <f aca="false">IF(B2398="","","")</f>
        <v/>
      </c>
      <c r="J2398" s="23" t="str">
        <f aca="false">IF(B2398="","","touch_2; "&amp;IFERROR(INDEX(Clay_Offices!$A$2:$FZ$601,147,Sync!$C$10)&amp;"","")&amp;"; "&amp;IFERROR(INDEX(Clay_Offices!$A$2:$FZ$601,147,Sync!$C$9)&amp;"",""))</f>
        <v/>
      </c>
      <c r="K2398" s="32" t="s">
        <v>1364</v>
      </c>
    </row>
    <row r="2399" customFormat="false" ht="15" hidden="false" customHeight="false" outlineLevel="0" collapsed="false">
      <c r="A2399" s="23" t="str">
        <f aca="false">IF(B2399="","",B2399+(13*1000+148)/10000000)</f>
        <v/>
      </c>
      <c r="B2399" s="35" t="str">
        <f aca="false">IF(AND(IFERROR(N(INDEX(Clay_Offices!$A$2:$FZ$601,148,Sync!$C$12)),0)&gt;0,IFERROR(INDEX(Clay_Offices!$A$2:$FZ$601,148,Sync!$C$5)&amp;"","")&lt;&gt;"",OR(LEFT(IFERROR(INDEX(Clay_Offices!$A$2:$FZ$601,148,Sync!$C$5)&amp;"",""),6)&lt;&gt;"SAMPLE",Config!$B$19="Y")),IFERROR(N(INDEX(Clay_Offices!$A$2:$FZ$601,148,Sync!$C$12)),0),"")</f>
        <v/>
      </c>
      <c r="C2399" s="23" t="str">
        <f aca="false">IF(B2399="","","office")</f>
        <v/>
      </c>
      <c r="D2399" s="23" t="str">
        <f aca="false">IF(B2399="","",IFERROR(INDEX(Office_Log!$ED$2:$ED$201,MATCH(IFERROR(INDEX(Clay_Offices!$A$2:$FZ$601,148,Sync!$C$5)&amp;"",""),Office_Log!$A$2:$A$201,0))&amp;"",IFERROR(INDEX(Clay_Offices!$A$2:$FZ$601,148,Sync!$C$5)&amp;"","")&amp;""))</f>
        <v/>
      </c>
      <c r="E2399" s="23" t="str">
        <f aca="false">IF(B2399="","",IFERROR(INDEX(Clay_Offices!$A$2:$FZ$601,148,Sync!$C$6)&amp;"",""))</f>
        <v/>
      </c>
      <c r="F2399" s="23" t="str">
        <f aca="false">IF(B2399="","","outreach_sent")</f>
        <v/>
      </c>
      <c r="G2399" s="23" t="str">
        <f aca="false">IF(B2399="","","")</f>
        <v/>
      </c>
      <c r="H2399" s="23" t="str">
        <f aca="false">IF(B2399="","","")</f>
        <v/>
      </c>
      <c r="I2399" s="23" t="str">
        <f aca="false">IF(B2399="","","")</f>
        <v/>
      </c>
      <c r="J2399" s="23" t="str">
        <f aca="false">IF(B2399="","","touch_2; "&amp;IFERROR(INDEX(Clay_Offices!$A$2:$FZ$601,148,Sync!$C$10)&amp;"","")&amp;"; "&amp;IFERROR(INDEX(Clay_Offices!$A$2:$FZ$601,148,Sync!$C$9)&amp;"",""))</f>
        <v/>
      </c>
      <c r="K2399" s="32" t="s">
        <v>1364</v>
      </c>
    </row>
    <row r="2400" customFormat="false" ht="15" hidden="false" customHeight="false" outlineLevel="0" collapsed="false">
      <c r="A2400" s="23" t="str">
        <f aca="false">IF(B2400="","",B2400+(13*1000+149)/10000000)</f>
        <v/>
      </c>
      <c r="B2400" s="35" t="str">
        <f aca="false">IF(AND(IFERROR(N(INDEX(Clay_Offices!$A$2:$FZ$601,149,Sync!$C$12)),0)&gt;0,IFERROR(INDEX(Clay_Offices!$A$2:$FZ$601,149,Sync!$C$5)&amp;"","")&lt;&gt;"",OR(LEFT(IFERROR(INDEX(Clay_Offices!$A$2:$FZ$601,149,Sync!$C$5)&amp;"",""),6)&lt;&gt;"SAMPLE",Config!$B$19="Y")),IFERROR(N(INDEX(Clay_Offices!$A$2:$FZ$601,149,Sync!$C$12)),0),"")</f>
        <v/>
      </c>
      <c r="C2400" s="23" t="str">
        <f aca="false">IF(B2400="","","office")</f>
        <v/>
      </c>
      <c r="D2400" s="23" t="str">
        <f aca="false">IF(B2400="","",IFERROR(INDEX(Office_Log!$ED$2:$ED$201,MATCH(IFERROR(INDEX(Clay_Offices!$A$2:$FZ$601,149,Sync!$C$5)&amp;"",""),Office_Log!$A$2:$A$201,0))&amp;"",IFERROR(INDEX(Clay_Offices!$A$2:$FZ$601,149,Sync!$C$5)&amp;"","")&amp;""))</f>
        <v/>
      </c>
      <c r="E2400" s="23" t="str">
        <f aca="false">IF(B2400="","",IFERROR(INDEX(Clay_Offices!$A$2:$FZ$601,149,Sync!$C$6)&amp;"",""))</f>
        <v/>
      </c>
      <c r="F2400" s="23" t="str">
        <f aca="false">IF(B2400="","","outreach_sent")</f>
        <v/>
      </c>
      <c r="G2400" s="23" t="str">
        <f aca="false">IF(B2400="","","")</f>
        <v/>
      </c>
      <c r="H2400" s="23" t="str">
        <f aca="false">IF(B2400="","","")</f>
        <v/>
      </c>
      <c r="I2400" s="23" t="str">
        <f aca="false">IF(B2400="","","")</f>
        <v/>
      </c>
      <c r="J2400" s="23" t="str">
        <f aca="false">IF(B2400="","","touch_2; "&amp;IFERROR(INDEX(Clay_Offices!$A$2:$FZ$601,149,Sync!$C$10)&amp;"","")&amp;"; "&amp;IFERROR(INDEX(Clay_Offices!$A$2:$FZ$601,149,Sync!$C$9)&amp;"",""))</f>
        <v/>
      </c>
      <c r="K2400" s="32" t="s">
        <v>1364</v>
      </c>
    </row>
    <row r="2401" customFormat="false" ht="15" hidden="false" customHeight="false" outlineLevel="0" collapsed="false">
      <c r="A2401" s="23" t="str">
        <f aca="false">IF(B2401="","",B2401+(13*1000+150)/10000000)</f>
        <v/>
      </c>
      <c r="B2401" s="35" t="str">
        <f aca="false">IF(AND(IFERROR(N(INDEX(Clay_Offices!$A$2:$FZ$601,150,Sync!$C$12)),0)&gt;0,IFERROR(INDEX(Clay_Offices!$A$2:$FZ$601,150,Sync!$C$5)&amp;"","")&lt;&gt;"",OR(LEFT(IFERROR(INDEX(Clay_Offices!$A$2:$FZ$601,150,Sync!$C$5)&amp;"",""),6)&lt;&gt;"SAMPLE",Config!$B$19="Y")),IFERROR(N(INDEX(Clay_Offices!$A$2:$FZ$601,150,Sync!$C$12)),0),"")</f>
        <v/>
      </c>
      <c r="C2401" s="23" t="str">
        <f aca="false">IF(B2401="","","office")</f>
        <v/>
      </c>
      <c r="D2401" s="23" t="str">
        <f aca="false">IF(B2401="","",IFERROR(INDEX(Office_Log!$ED$2:$ED$201,MATCH(IFERROR(INDEX(Clay_Offices!$A$2:$FZ$601,150,Sync!$C$5)&amp;"",""),Office_Log!$A$2:$A$201,0))&amp;"",IFERROR(INDEX(Clay_Offices!$A$2:$FZ$601,150,Sync!$C$5)&amp;"","")&amp;""))</f>
        <v/>
      </c>
      <c r="E2401" s="23" t="str">
        <f aca="false">IF(B2401="","",IFERROR(INDEX(Clay_Offices!$A$2:$FZ$601,150,Sync!$C$6)&amp;"",""))</f>
        <v/>
      </c>
      <c r="F2401" s="23" t="str">
        <f aca="false">IF(B2401="","","outreach_sent")</f>
        <v/>
      </c>
      <c r="G2401" s="23" t="str">
        <f aca="false">IF(B2401="","","")</f>
        <v/>
      </c>
      <c r="H2401" s="23" t="str">
        <f aca="false">IF(B2401="","","")</f>
        <v/>
      </c>
      <c r="I2401" s="23" t="str">
        <f aca="false">IF(B2401="","","")</f>
        <v/>
      </c>
      <c r="J2401" s="23" t="str">
        <f aca="false">IF(B2401="","","touch_2; "&amp;IFERROR(INDEX(Clay_Offices!$A$2:$FZ$601,150,Sync!$C$10)&amp;"","")&amp;"; "&amp;IFERROR(INDEX(Clay_Offices!$A$2:$FZ$601,150,Sync!$C$9)&amp;"",""))</f>
        <v/>
      </c>
      <c r="K2401" s="32" t="s">
        <v>1364</v>
      </c>
    </row>
    <row r="2402" customFormat="false" ht="15" hidden="false" customHeight="false" outlineLevel="0" collapsed="false">
      <c r="A2402" s="23" t="str">
        <f aca="false">IF(B2402="","",B2402+(13*1000+151)/10000000)</f>
        <v/>
      </c>
      <c r="B2402" s="35" t="str">
        <f aca="false">IF(AND(IFERROR(N(INDEX(Clay_Offices!$A$2:$FZ$601,151,Sync!$C$12)),0)&gt;0,IFERROR(INDEX(Clay_Offices!$A$2:$FZ$601,151,Sync!$C$5)&amp;"","")&lt;&gt;"",OR(LEFT(IFERROR(INDEX(Clay_Offices!$A$2:$FZ$601,151,Sync!$C$5)&amp;"",""),6)&lt;&gt;"SAMPLE",Config!$B$19="Y")),IFERROR(N(INDEX(Clay_Offices!$A$2:$FZ$601,151,Sync!$C$12)),0),"")</f>
        <v/>
      </c>
      <c r="C2402" s="23" t="str">
        <f aca="false">IF(B2402="","","office")</f>
        <v/>
      </c>
      <c r="D2402" s="23" t="str">
        <f aca="false">IF(B2402="","",IFERROR(INDEX(Office_Log!$ED$2:$ED$201,MATCH(IFERROR(INDEX(Clay_Offices!$A$2:$FZ$601,151,Sync!$C$5)&amp;"",""),Office_Log!$A$2:$A$201,0))&amp;"",IFERROR(INDEX(Clay_Offices!$A$2:$FZ$601,151,Sync!$C$5)&amp;"","")&amp;""))</f>
        <v/>
      </c>
      <c r="E2402" s="23" t="str">
        <f aca="false">IF(B2402="","",IFERROR(INDEX(Clay_Offices!$A$2:$FZ$601,151,Sync!$C$6)&amp;"",""))</f>
        <v/>
      </c>
      <c r="F2402" s="23" t="str">
        <f aca="false">IF(B2402="","","outreach_sent")</f>
        <v/>
      </c>
      <c r="G2402" s="23" t="str">
        <f aca="false">IF(B2402="","","")</f>
        <v/>
      </c>
      <c r="H2402" s="23" t="str">
        <f aca="false">IF(B2402="","","")</f>
        <v/>
      </c>
      <c r="I2402" s="23" t="str">
        <f aca="false">IF(B2402="","","")</f>
        <v/>
      </c>
      <c r="J2402" s="23" t="str">
        <f aca="false">IF(B2402="","","touch_2; "&amp;IFERROR(INDEX(Clay_Offices!$A$2:$FZ$601,151,Sync!$C$10)&amp;"","")&amp;"; "&amp;IFERROR(INDEX(Clay_Offices!$A$2:$FZ$601,151,Sync!$C$9)&amp;"",""))</f>
        <v/>
      </c>
      <c r="K2402" s="32" t="s">
        <v>1364</v>
      </c>
    </row>
    <row r="2403" customFormat="false" ht="15" hidden="false" customHeight="false" outlineLevel="0" collapsed="false">
      <c r="A2403" s="23" t="str">
        <f aca="false">IF(B2403="","",B2403+(13*1000+152)/10000000)</f>
        <v/>
      </c>
      <c r="B2403" s="35" t="str">
        <f aca="false">IF(AND(IFERROR(N(INDEX(Clay_Offices!$A$2:$FZ$601,152,Sync!$C$12)),0)&gt;0,IFERROR(INDEX(Clay_Offices!$A$2:$FZ$601,152,Sync!$C$5)&amp;"","")&lt;&gt;"",OR(LEFT(IFERROR(INDEX(Clay_Offices!$A$2:$FZ$601,152,Sync!$C$5)&amp;"",""),6)&lt;&gt;"SAMPLE",Config!$B$19="Y")),IFERROR(N(INDEX(Clay_Offices!$A$2:$FZ$601,152,Sync!$C$12)),0),"")</f>
        <v/>
      </c>
      <c r="C2403" s="23" t="str">
        <f aca="false">IF(B2403="","","office")</f>
        <v/>
      </c>
      <c r="D2403" s="23" t="str">
        <f aca="false">IF(B2403="","",IFERROR(INDEX(Office_Log!$ED$2:$ED$201,MATCH(IFERROR(INDEX(Clay_Offices!$A$2:$FZ$601,152,Sync!$C$5)&amp;"",""),Office_Log!$A$2:$A$201,0))&amp;"",IFERROR(INDEX(Clay_Offices!$A$2:$FZ$601,152,Sync!$C$5)&amp;"","")&amp;""))</f>
        <v/>
      </c>
      <c r="E2403" s="23" t="str">
        <f aca="false">IF(B2403="","",IFERROR(INDEX(Clay_Offices!$A$2:$FZ$601,152,Sync!$C$6)&amp;"",""))</f>
        <v/>
      </c>
      <c r="F2403" s="23" t="str">
        <f aca="false">IF(B2403="","","outreach_sent")</f>
        <v/>
      </c>
      <c r="G2403" s="23" t="str">
        <f aca="false">IF(B2403="","","")</f>
        <v/>
      </c>
      <c r="H2403" s="23" t="str">
        <f aca="false">IF(B2403="","","")</f>
        <v/>
      </c>
      <c r="I2403" s="23" t="str">
        <f aca="false">IF(B2403="","","")</f>
        <v/>
      </c>
      <c r="J2403" s="23" t="str">
        <f aca="false">IF(B2403="","","touch_2; "&amp;IFERROR(INDEX(Clay_Offices!$A$2:$FZ$601,152,Sync!$C$10)&amp;"","")&amp;"; "&amp;IFERROR(INDEX(Clay_Offices!$A$2:$FZ$601,152,Sync!$C$9)&amp;"",""))</f>
        <v/>
      </c>
      <c r="K2403" s="32" t="s">
        <v>1364</v>
      </c>
    </row>
    <row r="2404" customFormat="false" ht="15" hidden="false" customHeight="false" outlineLevel="0" collapsed="false">
      <c r="A2404" s="23" t="str">
        <f aca="false">IF(B2404="","",B2404+(13*1000+153)/10000000)</f>
        <v/>
      </c>
      <c r="B2404" s="35" t="str">
        <f aca="false">IF(AND(IFERROR(N(INDEX(Clay_Offices!$A$2:$FZ$601,153,Sync!$C$12)),0)&gt;0,IFERROR(INDEX(Clay_Offices!$A$2:$FZ$601,153,Sync!$C$5)&amp;"","")&lt;&gt;"",OR(LEFT(IFERROR(INDEX(Clay_Offices!$A$2:$FZ$601,153,Sync!$C$5)&amp;"",""),6)&lt;&gt;"SAMPLE",Config!$B$19="Y")),IFERROR(N(INDEX(Clay_Offices!$A$2:$FZ$601,153,Sync!$C$12)),0),"")</f>
        <v/>
      </c>
      <c r="C2404" s="23" t="str">
        <f aca="false">IF(B2404="","","office")</f>
        <v/>
      </c>
      <c r="D2404" s="23" t="str">
        <f aca="false">IF(B2404="","",IFERROR(INDEX(Office_Log!$ED$2:$ED$201,MATCH(IFERROR(INDEX(Clay_Offices!$A$2:$FZ$601,153,Sync!$C$5)&amp;"",""),Office_Log!$A$2:$A$201,0))&amp;"",IFERROR(INDEX(Clay_Offices!$A$2:$FZ$601,153,Sync!$C$5)&amp;"","")&amp;""))</f>
        <v/>
      </c>
      <c r="E2404" s="23" t="str">
        <f aca="false">IF(B2404="","",IFERROR(INDEX(Clay_Offices!$A$2:$FZ$601,153,Sync!$C$6)&amp;"",""))</f>
        <v/>
      </c>
      <c r="F2404" s="23" t="str">
        <f aca="false">IF(B2404="","","outreach_sent")</f>
        <v/>
      </c>
      <c r="G2404" s="23" t="str">
        <f aca="false">IF(B2404="","","")</f>
        <v/>
      </c>
      <c r="H2404" s="23" t="str">
        <f aca="false">IF(B2404="","","")</f>
        <v/>
      </c>
      <c r="I2404" s="23" t="str">
        <f aca="false">IF(B2404="","","")</f>
        <v/>
      </c>
      <c r="J2404" s="23" t="str">
        <f aca="false">IF(B2404="","","touch_2; "&amp;IFERROR(INDEX(Clay_Offices!$A$2:$FZ$601,153,Sync!$C$10)&amp;"","")&amp;"; "&amp;IFERROR(INDEX(Clay_Offices!$A$2:$FZ$601,153,Sync!$C$9)&amp;"",""))</f>
        <v/>
      </c>
      <c r="K2404" s="32" t="s">
        <v>1364</v>
      </c>
    </row>
    <row r="2405" customFormat="false" ht="15" hidden="false" customHeight="false" outlineLevel="0" collapsed="false">
      <c r="A2405" s="23" t="str">
        <f aca="false">IF(B2405="","",B2405+(13*1000+154)/10000000)</f>
        <v/>
      </c>
      <c r="B2405" s="35" t="str">
        <f aca="false">IF(AND(IFERROR(N(INDEX(Clay_Offices!$A$2:$FZ$601,154,Sync!$C$12)),0)&gt;0,IFERROR(INDEX(Clay_Offices!$A$2:$FZ$601,154,Sync!$C$5)&amp;"","")&lt;&gt;"",OR(LEFT(IFERROR(INDEX(Clay_Offices!$A$2:$FZ$601,154,Sync!$C$5)&amp;"",""),6)&lt;&gt;"SAMPLE",Config!$B$19="Y")),IFERROR(N(INDEX(Clay_Offices!$A$2:$FZ$601,154,Sync!$C$12)),0),"")</f>
        <v/>
      </c>
      <c r="C2405" s="23" t="str">
        <f aca="false">IF(B2405="","","office")</f>
        <v/>
      </c>
      <c r="D2405" s="23" t="str">
        <f aca="false">IF(B2405="","",IFERROR(INDEX(Office_Log!$ED$2:$ED$201,MATCH(IFERROR(INDEX(Clay_Offices!$A$2:$FZ$601,154,Sync!$C$5)&amp;"",""),Office_Log!$A$2:$A$201,0))&amp;"",IFERROR(INDEX(Clay_Offices!$A$2:$FZ$601,154,Sync!$C$5)&amp;"","")&amp;""))</f>
        <v/>
      </c>
      <c r="E2405" s="23" t="str">
        <f aca="false">IF(B2405="","",IFERROR(INDEX(Clay_Offices!$A$2:$FZ$601,154,Sync!$C$6)&amp;"",""))</f>
        <v/>
      </c>
      <c r="F2405" s="23" t="str">
        <f aca="false">IF(B2405="","","outreach_sent")</f>
        <v/>
      </c>
      <c r="G2405" s="23" t="str">
        <f aca="false">IF(B2405="","","")</f>
        <v/>
      </c>
      <c r="H2405" s="23" t="str">
        <f aca="false">IF(B2405="","","")</f>
        <v/>
      </c>
      <c r="I2405" s="23" t="str">
        <f aca="false">IF(B2405="","","")</f>
        <v/>
      </c>
      <c r="J2405" s="23" t="str">
        <f aca="false">IF(B2405="","","touch_2; "&amp;IFERROR(INDEX(Clay_Offices!$A$2:$FZ$601,154,Sync!$C$10)&amp;"","")&amp;"; "&amp;IFERROR(INDEX(Clay_Offices!$A$2:$FZ$601,154,Sync!$C$9)&amp;"",""))</f>
        <v/>
      </c>
      <c r="K2405" s="32" t="s">
        <v>1364</v>
      </c>
    </row>
    <row r="2406" customFormat="false" ht="15" hidden="false" customHeight="false" outlineLevel="0" collapsed="false">
      <c r="A2406" s="23" t="str">
        <f aca="false">IF(B2406="","",B2406+(13*1000+155)/10000000)</f>
        <v/>
      </c>
      <c r="B2406" s="35" t="str">
        <f aca="false">IF(AND(IFERROR(N(INDEX(Clay_Offices!$A$2:$FZ$601,155,Sync!$C$12)),0)&gt;0,IFERROR(INDEX(Clay_Offices!$A$2:$FZ$601,155,Sync!$C$5)&amp;"","")&lt;&gt;"",OR(LEFT(IFERROR(INDEX(Clay_Offices!$A$2:$FZ$601,155,Sync!$C$5)&amp;"",""),6)&lt;&gt;"SAMPLE",Config!$B$19="Y")),IFERROR(N(INDEX(Clay_Offices!$A$2:$FZ$601,155,Sync!$C$12)),0),"")</f>
        <v/>
      </c>
      <c r="C2406" s="23" t="str">
        <f aca="false">IF(B2406="","","office")</f>
        <v/>
      </c>
      <c r="D2406" s="23" t="str">
        <f aca="false">IF(B2406="","",IFERROR(INDEX(Office_Log!$ED$2:$ED$201,MATCH(IFERROR(INDEX(Clay_Offices!$A$2:$FZ$601,155,Sync!$C$5)&amp;"",""),Office_Log!$A$2:$A$201,0))&amp;"",IFERROR(INDEX(Clay_Offices!$A$2:$FZ$601,155,Sync!$C$5)&amp;"","")&amp;""))</f>
        <v/>
      </c>
      <c r="E2406" s="23" t="str">
        <f aca="false">IF(B2406="","",IFERROR(INDEX(Clay_Offices!$A$2:$FZ$601,155,Sync!$C$6)&amp;"",""))</f>
        <v/>
      </c>
      <c r="F2406" s="23" t="str">
        <f aca="false">IF(B2406="","","outreach_sent")</f>
        <v/>
      </c>
      <c r="G2406" s="23" t="str">
        <f aca="false">IF(B2406="","","")</f>
        <v/>
      </c>
      <c r="H2406" s="23" t="str">
        <f aca="false">IF(B2406="","","")</f>
        <v/>
      </c>
      <c r="I2406" s="23" t="str">
        <f aca="false">IF(B2406="","","")</f>
        <v/>
      </c>
      <c r="J2406" s="23" t="str">
        <f aca="false">IF(B2406="","","touch_2; "&amp;IFERROR(INDEX(Clay_Offices!$A$2:$FZ$601,155,Sync!$C$10)&amp;"","")&amp;"; "&amp;IFERROR(INDEX(Clay_Offices!$A$2:$FZ$601,155,Sync!$C$9)&amp;"",""))</f>
        <v/>
      </c>
      <c r="K2406" s="32" t="s">
        <v>1364</v>
      </c>
    </row>
    <row r="2407" customFormat="false" ht="15" hidden="false" customHeight="false" outlineLevel="0" collapsed="false">
      <c r="A2407" s="23" t="str">
        <f aca="false">IF(B2407="","",B2407+(13*1000+156)/10000000)</f>
        <v/>
      </c>
      <c r="B2407" s="35" t="str">
        <f aca="false">IF(AND(IFERROR(N(INDEX(Clay_Offices!$A$2:$FZ$601,156,Sync!$C$12)),0)&gt;0,IFERROR(INDEX(Clay_Offices!$A$2:$FZ$601,156,Sync!$C$5)&amp;"","")&lt;&gt;"",OR(LEFT(IFERROR(INDEX(Clay_Offices!$A$2:$FZ$601,156,Sync!$C$5)&amp;"",""),6)&lt;&gt;"SAMPLE",Config!$B$19="Y")),IFERROR(N(INDEX(Clay_Offices!$A$2:$FZ$601,156,Sync!$C$12)),0),"")</f>
        <v/>
      </c>
      <c r="C2407" s="23" t="str">
        <f aca="false">IF(B2407="","","office")</f>
        <v/>
      </c>
      <c r="D2407" s="23" t="str">
        <f aca="false">IF(B2407="","",IFERROR(INDEX(Office_Log!$ED$2:$ED$201,MATCH(IFERROR(INDEX(Clay_Offices!$A$2:$FZ$601,156,Sync!$C$5)&amp;"",""),Office_Log!$A$2:$A$201,0))&amp;"",IFERROR(INDEX(Clay_Offices!$A$2:$FZ$601,156,Sync!$C$5)&amp;"","")&amp;""))</f>
        <v/>
      </c>
      <c r="E2407" s="23" t="str">
        <f aca="false">IF(B2407="","",IFERROR(INDEX(Clay_Offices!$A$2:$FZ$601,156,Sync!$C$6)&amp;"",""))</f>
        <v/>
      </c>
      <c r="F2407" s="23" t="str">
        <f aca="false">IF(B2407="","","outreach_sent")</f>
        <v/>
      </c>
      <c r="G2407" s="23" t="str">
        <f aca="false">IF(B2407="","","")</f>
        <v/>
      </c>
      <c r="H2407" s="23" t="str">
        <f aca="false">IF(B2407="","","")</f>
        <v/>
      </c>
      <c r="I2407" s="23" t="str">
        <f aca="false">IF(B2407="","","")</f>
        <v/>
      </c>
      <c r="J2407" s="23" t="str">
        <f aca="false">IF(B2407="","","touch_2; "&amp;IFERROR(INDEX(Clay_Offices!$A$2:$FZ$601,156,Sync!$C$10)&amp;"","")&amp;"; "&amp;IFERROR(INDEX(Clay_Offices!$A$2:$FZ$601,156,Sync!$C$9)&amp;"",""))</f>
        <v/>
      </c>
      <c r="K2407" s="32" t="s">
        <v>1364</v>
      </c>
    </row>
    <row r="2408" customFormat="false" ht="15" hidden="false" customHeight="false" outlineLevel="0" collapsed="false">
      <c r="A2408" s="23" t="str">
        <f aca="false">IF(B2408="","",B2408+(13*1000+157)/10000000)</f>
        <v/>
      </c>
      <c r="B2408" s="35" t="str">
        <f aca="false">IF(AND(IFERROR(N(INDEX(Clay_Offices!$A$2:$FZ$601,157,Sync!$C$12)),0)&gt;0,IFERROR(INDEX(Clay_Offices!$A$2:$FZ$601,157,Sync!$C$5)&amp;"","")&lt;&gt;"",OR(LEFT(IFERROR(INDEX(Clay_Offices!$A$2:$FZ$601,157,Sync!$C$5)&amp;"",""),6)&lt;&gt;"SAMPLE",Config!$B$19="Y")),IFERROR(N(INDEX(Clay_Offices!$A$2:$FZ$601,157,Sync!$C$12)),0),"")</f>
        <v/>
      </c>
      <c r="C2408" s="23" t="str">
        <f aca="false">IF(B2408="","","office")</f>
        <v/>
      </c>
      <c r="D2408" s="23" t="str">
        <f aca="false">IF(B2408="","",IFERROR(INDEX(Office_Log!$ED$2:$ED$201,MATCH(IFERROR(INDEX(Clay_Offices!$A$2:$FZ$601,157,Sync!$C$5)&amp;"",""),Office_Log!$A$2:$A$201,0))&amp;"",IFERROR(INDEX(Clay_Offices!$A$2:$FZ$601,157,Sync!$C$5)&amp;"","")&amp;""))</f>
        <v/>
      </c>
      <c r="E2408" s="23" t="str">
        <f aca="false">IF(B2408="","",IFERROR(INDEX(Clay_Offices!$A$2:$FZ$601,157,Sync!$C$6)&amp;"",""))</f>
        <v/>
      </c>
      <c r="F2408" s="23" t="str">
        <f aca="false">IF(B2408="","","outreach_sent")</f>
        <v/>
      </c>
      <c r="G2408" s="23" t="str">
        <f aca="false">IF(B2408="","","")</f>
        <v/>
      </c>
      <c r="H2408" s="23" t="str">
        <f aca="false">IF(B2408="","","")</f>
        <v/>
      </c>
      <c r="I2408" s="23" t="str">
        <f aca="false">IF(B2408="","","")</f>
        <v/>
      </c>
      <c r="J2408" s="23" t="str">
        <f aca="false">IF(B2408="","","touch_2; "&amp;IFERROR(INDEX(Clay_Offices!$A$2:$FZ$601,157,Sync!$C$10)&amp;"","")&amp;"; "&amp;IFERROR(INDEX(Clay_Offices!$A$2:$FZ$601,157,Sync!$C$9)&amp;"",""))</f>
        <v/>
      </c>
      <c r="K2408" s="32" t="s">
        <v>1364</v>
      </c>
    </row>
    <row r="2409" customFormat="false" ht="15" hidden="false" customHeight="false" outlineLevel="0" collapsed="false">
      <c r="A2409" s="23" t="str">
        <f aca="false">IF(B2409="","",B2409+(13*1000+158)/10000000)</f>
        <v/>
      </c>
      <c r="B2409" s="35" t="str">
        <f aca="false">IF(AND(IFERROR(N(INDEX(Clay_Offices!$A$2:$FZ$601,158,Sync!$C$12)),0)&gt;0,IFERROR(INDEX(Clay_Offices!$A$2:$FZ$601,158,Sync!$C$5)&amp;"","")&lt;&gt;"",OR(LEFT(IFERROR(INDEX(Clay_Offices!$A$2:$FZ$601,158,Sync!$C$5)&amp;"",""),6)&lt;&gt;"SAMPLE",Config!$B$19="Y")),IFERROR(N(INDEX(Clay_Offices!$A$2:$FZ$601,158,Sync!$C$12)),0),"")</f>
        <v/>
      </c>
      <c r="C2409" s="23" t="str">
        <f aca="false">IF(B2409="","","office")</f>
        <v/>
      </c>
      <c r="D2409" s="23" t="str">
        <f aca="false">IF(B2409="","",IFERROR(INDEX(Office_Log!$ED$2:$ED$201,MATCH(IFERROR(INDEX(Clay_Offices!$A$2:$FZ$601,158,Sync!$C$5)&amp;"",""),Office_Log!$A$2:$A$201,0))&amp;"",IFERROR(INDEX(Clay_Offices!$A$2:$FZ$601,158,Sync!$C$5)&amp;"","")&amp;""))</f>
        <v/>
      </c>
      <c r="E2409" s="23" t="str">
        <f aca="false">IF(B2409="","",IFERROR(INDEX(Clay_Offices!$A$2:$FZ$601,158,Sync!$C$6)&amp;"",""))</f>
        <v/>
      </c>
      <c r="F2409" s="23" t="str">
        <f aca="false">IF(B2409="","","outreach_sent")</f>
        <v/>
      </c>
      <c r="G2409" s="23" t="str">
        <f aca="false">IF(B2409="","","")</f>
        <v/>
      </c>
      <c r="H2409" s="23" t="str">
        <f aca="false">IF(B2409="","","")</f>
        <v/>
      </c>
      <c r="I2409" s="23" t="str">
        <f aca="false">IF(B2409="","","")</f>
        <v/>
      </c>
      <c r="J2409" s="23" t="str">
        <f aca="false">IF(B2409="","","touch_2; "&amp;IFERROR(INDEX(Clay_Offices!$A$2:$FZ$601,158,Sync!$C$10)&amp;"","")&amp;"; "&amp;IFERROR(INDEX(Clay_Offices!$A$2:$FZ$601,158,Sync!$C$9)&amp;"",""))</f>
        <v/>
      </c>
      <c r="K2409" s="32" t="s">
        <v>1364</v>
      </c>
    </row>
    <row r="2410" customFormat="false" ht="15" hidden="false" customHeight="false" outlineLevel="0" collapsed="false">
      <c r="A2410" s="23" t="str">
        <f aca="false">IF(B2410="","",B2410+(13*1000+159)/10000000)</f>
        <v/>
      </c>
      <c r="B2410" s="35" t="str">
        <f aca="false">IF(AND(IFERROR(N(INDEX(Clay_Offices!$A$2:$FZ$601,159,Sync!$C$12)),0)&gt;0,IFERROR(INDEX(Clay_Offices!$A$2:$FZ$601,159,Sync!$C$5)&amp;"","")&lt;&gt;"",OR(LEFT(IFERROR(INDEX(Clay_Offices!$A$2:$FZ$601,159,Sync!$C$5)&amp;"",""),6)&lt;&gt;"SAMPLE",Config!$B$19="Y")),IFERROR(N(INDEX(Clay_Offices!$A$2:$FZ$601,159,Sync!$C$12)),0),"")</f>
        <v/>
      </c>
      <c r="C2410" s="23" t="str">
        <f aca="false">IF(B2410="","","office")</f>
        <v/>
      </c>
      <c r="D2410" s="23" t="str">
        <f aca="false">IF(B2410="","",IFERROR(INDEX(Office_Log!$ED$2:$ED$201,MATCH(IFERROR(INDEX(Clay_Offices!$A$2:$FZ$601,159,Sync!$C$5)&amp;"",""),Office_Log!$A$2:$A$201,0))&amp;"",IFERROR(INDEX(Clay_Offices!$A$2:$FZ$601,159,Sync!$C$5)&amp;"","")&amp;""))</f>
        <v/>
      </c>
      <c r="E2410" s="23" t="str">
        <f aca="false">IF(B2410="","",IFERROR(INDEX(Clay_Offices!$A$2:$FZ$601,159,Sync!$C$6)&amp;"",""))</f>
        <v/>
      </c>
      <c r="F2410" s="23" t="str">
        <f aca="false">IF(B2410="","","outreach_sent")</f>
        <v/>
      </c>
      <c r="G2410" s="23" t="str">
        <f aca="false">IF(B2410="","","")</f>
        <v/>
      </c>
      <c r="H2410" s="23" t="str">
        <f aca="false">IF(B2410="","","")</f>
        <v/>
      </c>
      <c r="I2410" s="23" t="str">
        <f aca="false">IF(B2410="","","")</f>
        <v/>
      </c>
      <c r="J2410" s="23" t="str">
        <f aca="false">IF(B2410="","","touch_2; "&amp;IFERROR(INDEX(Clay_Offices!$A$2:$FZ$601,159,Sync!$C$10)&amp;"","")&amp;"; "&amp;IFERROR(INDEX(Clay_Offices!$A$2:$FZ$601,159,Sync!$C$9)&amp;"",""))</f>
        <v/>
      </c>
      <c r="K2410" s="32" t="s">
        <v>1364</v>
      </c>
    </row>
    <row r="2411" customFormat="false" ht="15" hidden="false" customHeight="false" outlineLevel="0" collapsed="false">
      <c r="A2411" s="23" t="str">
        <f aca="false">IF(B2411="","",B2411+(13*1000+160)/10000000)</f>
        <v/>
      </c>
      <c r="B2411" s="35" t="str">
        <f aca="false">IF(AND(IFERROR(N(INDEX(Clay_Offices!$A$2:$FZ$601,160,Sync!$C$12)),0)&gt;0,IFERROR(INDEX(Clay_Offices!$A$2:$FZ$601,160,Sync!$C$5)&amp;"","")&lt;&gt;"",OR(LEFT(IFERROR(INDEX(Clay_Offices!$A$2:$FZ$601,160,Sync!$C$5)&amp;"",""),6)&lt;&gt;"SAMPLE",Config!$B$19="Y")),IFERROR(N(INDEX(Clay_Offices!$A$2:$FZ$601,160,Sync!$C$12)),0),"")</f>
        <v/>
      </c>
      <c r="C2411" s="23" t="str">
        <f aca="false">IF(B2411="","","office")</f>
        <v/>
      </c>
      <c r="D2411" s="23" t="str">
        <f aca="false">IF(B2411="","",IFERROR(INDEX(Office_Log!$ED$2:$ED$201,MATCH(IFERROR(INDEX(Clay_Offices!$A$2:$FZ$601,160,Sync!$C$5)&amp;"",""),Office_Log!$A$2:$A$201,0))&amp;"",IFERROR(INDEX(Clay_Offices!$A$2:$FZ$601,160,Sync!$C$5)&amp;"","")&amp;""))</f>
        <v/>
      </c>
      <c r="E2411" s="23" t="str">
        <f aca="false">IF(B2411="","",IFERROR(INDEX(Clay_Offices!$A$2:$FZ$601,160,Sync!$C$6)&amp;"",""))</f>
        <v/>
      </c>
      <c r="F2411" s="23" t="str">
        <f aca="false">IF(B2411="","","outreach_sent")</f>
        <v/>
      </c>
      <c r="G2411" s="23" t="str">
        <f aca="false">IF(B2411="","","")</f>
        <v/>
      </c>
      <c r="H2411" s="23" t="str">
        <f aca="false">IF(B2411="","","")</f>
        <v/>
      </c>
      <c r="I2411" s="23" t="str">
        <f aca="false">IF(B2411="","","")</f>
        <v/>
      </c>
      <c r="J2411" s="23" t="str">
        <f aca="false">IF(B2411="","","touch_2; "&amp;IFERROR(INDEX(Clay_Offices!$A$2:$FZ$601,160,Sync!$C$10)&amp;"","")&amp;"; "&amp;IFERROR(INDEX(Clay_Offices!$A$2:$FZ$601,160,Sync!$C$9)&amp;"",""))</f>
        <v/>
      </c>
      <c r="K2411" s="32" t="s">
        <v>1364</v>
      </c>
    </row>
    <row r="2412" customFormat="false" ht="15" hidden="false" customHeight="false" outlineLevel="0" collapsed="false">
      <c r="A2412" s="23" t="str">
        <f aca="false">IF(B2412="","",B2412+(13*1000+161)/10000000)</f>
        <v/>
      </c>
      <c r="B2412" s="35" t="str">
        <f aca="false">IF(AND(IFERROR(N(INDEX(Clay_Offices!$A$2:$FZ$601,161,Sync!$C$12)),0)&gt;0,IFERROR(INDEX(Clay_Offices!$A$2:$FZ$601,161,Sync!$C$5)&amp;"","")&lt;&gt;"",OR(LEFT(IFERROR(INDEX(Clay_Offices!$A$2:$FZ$601,161,Sync!$C$5)&amp;"",""),6)&lt;&gt;"SAMPLE",Config!$B$19="Y")),IFERROR(N(INDEX(Clay_Offices!$A$2:$FZ$601,161,Sync!$C$12)),0),"")</f>
        <v/>
      </c>
      <c r="C2412" s="23" t="str">
        <f aca="false">IF(B2412="","","office")</f>
        <v/>
      </c>
      <c r="D2412" s="23" t="str">
        <f aca="false">IF(B2412="","",IFERROR(INDEX(Office_Log!$ED$2:$ED$201,MATCH(IFERROR(INDEX(Clay_Offices!$A$2:$FZ$601,161,Sync!$C$5)&amp;"",""),Office_Log!$A$2:$A$201,0))&amp;"",IFERROR(INDEX(Clay_Offices!$A$2:$FZ$601,161,Sync!$C$5)&amp;"","")&amp;""))</f>
        <v/>
      </c>
      <c r="E2412" s="23" t="str">
        <f aca="false">IF(B2412="","",IFERROR(INDEX(Clay_Offices!$A$2:$FZ$601,161,Sync!$C$6)&amp;"",""))</f>
        <v/>
      </c>
      <c r="F2412" s="23" t="str">
        <f aca="false">IF(B2412="","","outreach_sent")</f>
        <v/>
      </c>
      <c r="G2412" s="23" t="str">
        <f aca="false">IF(B2412="","","")</f>
        <v/>
      </c>
      <c r="H2412" s="23" t="str">
        <f aca="false">IF(B2412="","","")</f>
        <v/>
      </c>
      <c r="I2412" s="23" t="str">
        <f aca="false">IF(B2412="","","")</f>
        <v/>
      </c>
      <c r="J2412" s="23" t="str">
        <f aca="false">IF(B2412="","","touch_2; "&amp;IFERROR(INDEX(Clay_Offices!$A$2:$FZ$601,161,Sync!$C$10)&amp;"","")&amp;"; "&amp;IFERROR(INDEX(Clay_Offices!$A$2:$FZ$601,161,Sync!$C$9)&amp;"",""))</f>
        <v/>
      </c>
      <c r="K2412" s="32" t="s">
        <v>1364</v>
      </c>
    </row>
    <row r="2413" customFormat="false" ht="15" hidden="false" customHeight="false" outlineLevel="0" collapsed="false">
      <c r="A2413" s="23" t="str">
        <f aca="false">IF(B2413="","",B2413+(13*1000+162)/10000000)</f>
        <v/>
      </c>
      <c r="B2413" s="35" t="str">
        <f aca="false">IF(AND(IFERROR(N(INDEX(Clay_Offices!$A$2:$FZ$601,162,Sync!$C$12)),0)&gt;0,IFERROR(INDEX(Clay_Offices!$A$2:$FZ$601,162,Sync!$C$5)&amp;"","")&lt;&gt;"",OR(LEFT(IFERROR(INDEX(Clay_Offices!$A$2:$FZ$601,162,Sync!$C$5)&amp;"",""),6)&lt;&gt;"SAMPLE",Config!$B$19="Y")),IFERROR(N(INDEX(Clay_Offices!$A$2:$FZ$601,162,Sync!$C$12)),0),"")</f>
        <v/>
      </c>
      <c r="C2413" s="23" t="str">
        <f aca="false">IF(B2413="","","office")</f>
        <v/>
      </c>
      <c r="D2413" s="23" t="str">
        <f aca="false">IF(B2413="","",IFERROR(INDEX(Office_Log!$ED$2:$ED$201,MATCH(IFERROR(INDEX(Clay_Offices!$A$2:$FZ$601,162,Sync!$C$5)&amp;"",""),Office_Log!$A$2:$A$201,0))&amp;"",IFERROR(INDEX(Clay_Offices!$A$2:$FZ$601,162,Sync!$C$5)&amp;"","")&amp;""))</f>
        <v/>
      </c>
      <c r="E2413" s="23" t="str">
        <f aca="false">IF(B2413="","",IFERROR(INDEX(Clay_Offices!$A$2:$FZ$601,162,Sync!$C$6)&amp;"",""))</f>
        <v/>
      </c>
      <c r="F2413" s="23" t="str">
        <f aca="false">IF(B2413="","","outreach_sent")</f>
        <v/>
      </c>
      <c r="G2413" s="23" t="str">
        <f aca="false">IF(B2413="","","")</f>
        <v/>
      </c>
      <c r="H2413" s="23" t="str">
        <f aca="false">IF(B2413="","","")</f>
        <v/>
      </c>
      <c r="I2413" s="23" t="str">
        <f aca="false">IF(B2413="","","")</f>
        <v/>
      </c>
      <c r="J2413" s="23" t="str">
        <f aca="false">IF(B2413="","","touch_2; "&amp;IFERROR(INDEX(Clay_Offices!$A$2:$FZ$601,162,Sync!$C$10)&amp;"","")&amp;"; "&amp;IFERROR(INDEX(Clay_Offices!$A$2:$FZ$601,162,Sync!$C$9)&amp;"",""))</f>
        <v/>
      </c>
      <c r="K2413" s="32" t="s">
        <v>1364</v>
      </c>
    </row>
    <row r="2414" customFormat="false" ht="15" hidden="false" customHeight="false" outlineLevel="0" collapsed="false">
      <c r="A2414" s="23" t="str">
        <f aca="false">IF(B2414="","",B2414+(13*1000+163)/10000000)</f>
        <v/>
      </c>
      <c r="B2414" s="35" t="str">
        <f aca="false">IF(AND(IFERROR(N(INDEX(Clay_Offices!$A$2:$FZ$601,163,Sync!$C$12)),0)&gt;0,IFERROR(INDEX(Clay_Offices!$A$2:$FZ$601,163,Sync!$C$5)&amp;"","")&lt;&gt;"",OR(LEFT(IFERROR(INDEX(Clay_Offices!$A$2:$FZ$601,163,Sync!$C$5)&amp;"",""),6)&lt;&gt;"SAMPLE",Config!$B$19="Y")),IFERROR(N(INDEX(Clay_Offices!$A$2:$FZ$601,163,Sync!$C$12)),0),"")</f>
        <v/>
      </c>
      <c r="C2414" s="23" t="str">
        <f aca="false">IF(B2414="","","office")</f>
        <v/>
      </c>
      <c r="D2414" s="23" t="str">
        <f aca="false">IF(B2414="","",IFERROR(INDEX(Office_Log!$ED$2:$ED$201,MATCH(IFERROR(INDEX(Clay_Offices!$A$2:$FZ$601,163,Sync!$C$5)&amp;"",""),Office_Log!$A$2:$A$201,0))&amp;"",IFERROR(INDEX(Clay_Offices!$A$2:$FZ$601,163,Sync!$C$5)&amp;"","")&amp;""))</f>
        <v/>
      </c>
      <c r="E2414" s="23" t="str">
        <f aca="false">IF(B2414="","",IFERROR(INDEX(Clay_Offices!$A$2:$FZ$601,163,Sync!$C$6)&amp;"",""))</f>
        <v/>
      </c>
      <c r="F2414" s="23" t="str">
        <f aca="false">IF(B2414="","","outreach_sent")</f>
        <v/>
      </c>
      <c r="G2414" s="23" t="str">
        <f aca="false">IF(B2414="","","")</f>
        <v/>
      </c>
      <c r="H2414" s="23" t="str">
        <f aca="false">IF(B2414="","","")</f>
        <v/>
      </c>
      <c r="I2414" s="23" t="str">
        <f aca="false">IF(B2414="","","")</f>
        <v/>
      </c>
      <c r="J2414" s="23" t="str">
        <f aca="false">IF(B2414="","","touch_2; "&amp;IFERROR(INDEX(Clay_Offices!$A$2:$FZ$601,163,Sync!$C$10)&amp;"","")&amp;"; "&amp;IFERROR(INDEX(Clay_Offices!$A$2:$FZ$601,163,Sync!$C$9)&amp;"",""))</f>
        <v/>
      </c>
      <c r="K2414" s="32" t="s">
        <v>1364</v>
      </c>
    </row>
    <row r="2415" customFormat="false" ht="15" hidden="false" customHeight="false" outlineLevel="0" collapsed="false">
      <c r="A2415" s="23" t="str">
        <f aca="false">IF(B2415="","",B2415+(13*1000+164)/10000000)</f>
        <v/>
      </c>
      <c r="B2415" s="35" t="str">
        <f aca="false">IF(AND(IFERROR(N(INDEX(Clay_Offices!$A$2:$FZ$601,164,Sync!$C$12)),0)&gt;0,IFERROR(INDEX(Clay_Offices!$A$2:$FZ$601,164,Sync!$C$5)&amp;"","")&lt;&gt;"",OR(LEFT(IFERROR(INDEX(Clay_Offices!$A$2:$FZ$601,164,Sync!$C$5)&amp;"",""),6)&lt;&gt;"SAMPLE",Config!$B$19="Y")),IFERROR(N(INDEX(Clay_Offices!$A$2:$FZ$601,164,Sync!$C$12)),0),"")</f>
        <v/>
      </c>
      <c r="C2415" s="23" t="str">
        <f aca="false">IF(B2415="","","office")</f>
        <v/>
      </c>
      <c r="D2415" s="23" t="str">
        <f aca="false">IF(B2415="","",IFERROR(INDEX(Office_Log!$ED$2:$ED$201,MATCH(IFERROR(INDEX(Clay_Offices!$A$2:$FZ$601,164,Sync!$C$5)&amp;"",""),Office_Log!$A$2:$A$201,0))&amp;"",IFERROR(INDEX(Clay_Offices!$A$2:$FZ$601,164,Sync!$C$5)&amp;"","")&amp;""))</f>
        <v/>
      </c>
      <c r="E2415" s="23" t="str">
        <f aca="false">IF(B2415="","",IFERROR(INDEX(Clay_Offices!$A$2:$FZ$601,164,Sync!$C$6)&amp;"",""))</f>
        <v/>
      </c>
      <c r="F2415" s="23" t="str">
        <f aca="false">IF(B2415="","","outreach_sent")</f>
        <v/>
      </c>
      <c r="G2415" s="23" t="str">
        <f aca="false">IF(B2415="","","")</f>
        <v/>
      </c>
      <c r="H2415" s="23" t="str">
        <f aca="false">IF(B2415="","","")</f>
        <v/>
      </c>
      <c r="I2415" s="23" t="str">
        <f aca="false">IF(B2415="","","")</f>
        <v/>
      </c>
      <c r="J2415" s="23" t="str">
        <f aca="false">IF(B2415="","","touch_2; "&amp;IFERROR(INDEX(Clay_Offices!$A$2:$FZ$601,164,Sync!$C$10)&amp;"","")&amp;"; "&amp;IFERROR(INDEX(Clay_Offices!$A$2:$FZ$601,164,Sync!$C$9)&amp;"",""))</f>
        <v/>
      </c>
      <c r="K2415" s="32" t="s">
        <v>1364</v>
      </c>
    </row>
    <row r="2416" customFormat="false" ht="15" hidden="false" customHeight="false" outlineLevel="0" collapsed="false">
      <c r="A2416" s="23" t="str">
        <f aca="false">IF(B2416="","",B2416+(13*1000+165)/10000000)</f>
        <v/>
      </c>
      <c r="B2416" s="35" t="str">
        <f aca="false">IF(AND(IFERROR(N(INDEX(Clay_Offices!$A$2:$FZ$601,165,Sync!$C$12)),0)&gt;0,IFERROR(INDEX(Clay_Offices!$A$2:$FZ$601,165,Sync!$C$5)&amp;"","")&lt;&gt;"",OR(LEFT(IFERROR(INDEX(Clay_Offices!$A$2:$FZ$601,165,Sync!$C$5)&amp;"",""),6)&lt;&gt;"SAMPLE",Config!$B$19="Y")),IFERROR(N(INDEX(Clay_Offices!$A$2:$FZ$601,165,Sync!$C$12)),0),"")</f>
        <v/>
      </c>
      <c r="C2416" s="23" t="str">
        <f aca="false">IF(B2416="","","office")</f>
        <v/>
      </c>
      <c r="D2416" s="23" t="str">
        <f aca="false">IF(B2416="","",IFERROR(INDEX(Office_Log!$ED$2:$ED$201,MATCH(IFERROR(INDEX(Clay_Offices!$A$2:$FZ$601,165,Sync!$C$5)&amp;"",""),Office_Log!$A$2:$A$201,0))&amp;"",IFERROR(INDEX(Clay_Offices!$A$2:$FZ$601,165,Sync!$C$5)&amp;"","")&amp;""))</f>
        <v/>
      </c>
      <c r="E2416" s="23" t="str">
        <f aca="false">IF(B2416="","",IFERROR(INDEX(Clay_Offices!$A$2:$FZ$601,165,Sync!$C$6)&amp;"",""))</f>
        <v/>
      </c>
      <c r="F2416" s="23" t="str">
        <f aca="false">IF(B2416="","","outreach_sent")</f>
        <v/>
      </c>
      <c r="G2416" s="23" t="str">
        <f aca="false">IF(B2416="","","")</f>
        <v/>
      </c>
      <c r="H2416" s="23" t="str">
        <f aca="false">IF(B2416="","","")</f>
        <v/>
      </c>
      <c r="I2416" s="23" t="str">
        <f aca="false">IF(B2416="","","")</f>
        <v/>
      </c>
      <c r="J2416" s="23" t="str">
        <f aca="false">IF(B2416="","","touch_2; "&amp;IFERROR(INDEX(Clay_Offices!$A$2:$FZ$601,165,Sync!$C$10)&amp;"","")&amp;"; "&amp;IFERROR(INDEX(Clay_Offices!$A$2:$FZ$601,165,Sync!$C$9)&amp;"",""))</f>
        <v/>
      </c>
      <c r="K2416" s="32" t="s">
        <v>1364</v>
      </c>
    </row>
    <row r="2417" customFormat="false" ht="15" hidden="false" customHeight="false" outlineLevel="0" collapsed="false">
      <c r="A2417" s="23" t="str">
        <f aca="false">IF(B2417="","",B2417+(13*1000+166)/10000000)</f>
        <v/>
      </c>
      <c r="B2417" s="35" t="str">
        <f aca="false">IF(AND(IFERROR(N(INDEX(Clay_Offices!$A$2:$FZ$601,166,Sync!$C$12)),0)&gt;0,IFERROR(INDEX(Clay_Offices!$A$2:$FZ$601,166,Sync!$C$5)&amp;"","")&lt;&gt;"",OR(LEFT(IFERROR(INDEX(Clay_Offices!$A$2:$FZ$601,166,Sync!$C$5)&amp;"",""),6)&lt;&gt;"SAMPLE",Config!$B$19="Y")),IFERROR(N(INDEX(Clay_Offices!$A$2:$FZ$601,166,Sync!$C$12)),0),"")</f>
        <v/>
      </c>
      <c r="C2417" s="23" t="str">
        <f aca="false">IF(B2417="","","office")</f>
        <v/>
      </c>
      <c r="D2417" s="23" t="str">
        <f aca="false">IF(B2417="","",IFERROR(INDEX(Office_Log!$ED$2:$ED$201,MATCH(IFERROR(INDEX(Clay_Offices!$A$2:$FZ$601,166,Sync!$C$5)&amp;"",""),Office_Log!$A$2:$A$201,0))&amp;"",IFERROR(INDEX(Clay_Offices!$A$2:$FZ$601,166,Sync!$C$5)&amp;"","")&amp;""))</f>
        <v/>
      </c>
      <c r="E2417" s="23" t="str">
        <f aca="false">IF(B2417="","",IFERROR(INDEX(Clay_Offices!$A$2:$FZ$601,166,Sync!$C$6)&amp;"",""))</f>
        <v/>
      </c>
      <c r="F2417" s="23" t="str">
        <f aca="false">IF(B2417="","","outreach_sent")</f>
        <v/>
      </c>
      <c r="G2417" s="23" t="str">
        <f aca="false">IF(B2417="","","")</f>
        <v/>
      </c>
      <c r="H2417" s="23" t="str">
        <f aca="false">IF(B2417="","","")</f>
        <v/>
      </c>
      <c r="I2417" s="23" t="str">
        <f aca="false">IF(B2417="","","")</f>
        <v/>
      </c>
      <c r="J2417" s="23" t="str">
        <f aca="false">IF(B2417="","","touch_2; "&amp;IFERROR(INDEX(Clay_Offices!$A$2:$FZ$601,166,Sync!$C$10)&amp;"","")&amp;"; "&amp;IFERROR(INDEX(Clay_Offices!$A$2:$FZ$601,166,Sync!$C$9)&amp;"",""))</f>
        <v/>
      </c>
      <c r="K2417" s="32" t="s">
        <v>1364</v>
      </c>
    </row>
    <row r="2418" customFormat="false" ht="15" hidden="false" customHeight="false" outlineLevel="0" collapsed="false">
      <c r="A2418" s="23" t="str">
        <f aca="false">IF(B2418="","",B2418+(13*1000+167)/10000000)</f>
        <v/>
      </c>
      <c r="B2418" s="35" t="str">
        <f aca="false">IF(AND(IFERROR(N(INDEX(Clay_Offices!$A$2:$FZ$601,167,Sync!$C$12)),0)&gt;0,IFERROR(INDEX(Clay_Offices!$A$2:$FZ$601,167,Sync!$C$5)&amp;"","")&lt;&gt;"",OR(LEFT(IFERROR(INDEX(Clay_Offices!$A$2:$FZ$601,167,Sync!$C$5)&amp;"",""),6)&lt;&gt;"SAMPLE",Config!$B$19="Y")),IFERROR(N(INDEX(Clay_Offices!$A$2:$FZ$601,167,Sync!$C$12)),0),"")</f>
        <v/>
      </c>
      <c r="C2418" s="23" t="str">
        <f aca="false">IF(B2418="","","office")</f>
        <v/>
      </c>
      <c r="D2418" s="23" t="str">
        <f aca="false">IF(B2418="","",IFERROR(INDEX(Office_Log!$ED$2:$ED$201,MATCH(IFERROR(INDEX(Clay_Offices!$A$2:$FZ$601,167,Sync!$C$5)&amp;"",""),Office_Log!$A$2:$A$201,0))&amp;"",IFERROR(INDEX(Clay_Offices!$A$2:$FZ$601,167,Sync!$C$5)&amp;"","")&amp;""))</f>
        <v/>
      </c>
      <c r="E2418" s="23" t="str">
        <f aca="false">IF(B2418="","",IFERROR(INDEX(Clay_Offices!$A$2:$FZ$601,167,Sync!$C$6)&amp;"",""))</f>
        <v/>
      </c>
      <c r="F2418" s="23" t="str">
        <f aca="false">IF(B2418="","","outreach_sent")</f>
        <v/>
      </c>
      <c r="G2418" s="23" t="str">
        <f aca="false">IF(B2418="","","")</f>
        <v/>
      </c>
      <c r="H2418" s="23" t="str">
        <f aca="false">IF(B2418="","","")</f>
        <v/>
      </c>
      <c r="I2418" s="23" t="str">
        <f aca="false">IF(B2418="","","")</f>
        <v/>
      </c>
      <c r="J2418" s="23" t="str">
        <f aca="false">IF(B2418="","","touch_2; "&amp;IFERROR(INDEX(Clay_Offices!$A$2:$FZ$601,167,Sync!$C$10)&amp;"","")&amp;"; "&amp;IFERROR(INDEX(Clay_Offices!$A$2:$FZ$601,167,Sync!$C$9)&amp;"",""))</f>
        <v/>
      </c>
      <c r="K2418" s="32" t="s">
        <v>1364</v>
      </c>
    </row>
    <row r="2419" customFormat="false" ht="15" hidden="false" customHeight="false" outlineLevel="0" collapsed="false">
      <c r="A2419" s="23" t="str">
        <f aca="false">IF(B2419="","",B2419+(13*1000+168)/10000000)</f>
        <v/>
      </c>
      <c r="B2419" s="35" t="str">
        <f aca="false">IF(AND(IFERROR(N(INDEX(Clay_Offices!$A$2:$FZ$601,168,Sync!$C$12)),0)&gt;0,IFERROR(INDEX(Clay_Offices!$A$2:$FZ$601,168,Sync!$C$5)&amp;"","")&lt;&gt;"",OR(LEFT(IFERROR(INDEX(Clay_Offices!$A$2:$FZ$601,168,Sync!$C$5)&amp;"",""),6)&lt;&gt;"SAMPLE",Config!$B$19="Y")),IFERROR(N(INDEX(Clay_Offices!$A$2:$FZ$601,168,Sync!$C$12)),0),"")</f>
        <v/>
      </c>
      <c r="C2419" s="23" t="str">
        <f aca="false">IF(B2419="","","office")</f>
        <v/>
      </c>
      <c r="D2419" s="23" t="str">
        <f aca="false">IF(B2419="","",IFERROR(INDEX(Office_Log!$ED$2:$ED$201,MATCH(IFERROR(INDEX(Clay_Offices!$A$2:$FZ$601,168,Sync!$C$5)&amp;"",""),Office_Log!$A$2:$A$201,0))&amp;"",IFERROR(INDEX(Clay_Offices!$A$2:$FZ$601,168,Sync!$C$5)&amp;"","")&amp;""))</f>
        <v/>
      </c>
      <c r="E2419" s="23" t="str">
        <f aca="false">IF(B2419="","",IFERROR(INDEX(Clay_Offices!$A$2:$FZ$601,168,Sync!$C$6)&amp;"",""))</f>
        <v/>
      </c>
      <c r="F2419" s="23" t="str">
        <f aca="false">IF(B2419="","","outreach_sent")</f>
        <v/>
      </c>
      <c r="G2419" s="23" t="str">
        <f aca="false">IF(B2419="","","")</f>
        <v/>
      </c>
      <c r="H2419" s="23" t="str">
        <f aca="false">IF(B2419="","","")</f>
        <v/>
      </c>
      <c r="I2419" s="23" t="str">
        <f aca="false">IF(B2419="","","")</f>
        <v/>
      </c>
      <c r="J2419" s="23" t="str">
        <f aca="false">IF(B2419="","","touch_2; "&amp;IFERROR(INDEX(Clay_Offices!$A$2:$FZ$601,168,Sync!$C$10)&amp;"","")&amp;"; "&amp;IFERROR(INDEX(Clay_Offices!$A$2:$FZ$601,168,Sync!$C$9)&amp;"",""))</f>
        <v/>
      </c>
      <c r="K2419" s="32" t="s">
        <v>1364</v>
      </c>
    </row>
    <row r="2420" customFormat="false" ht="15" hidden="false" customHeight="false" outlineLevel="0" collapsed="false">
      <c r="A2420" s="23" t="str">
        <f aca="false">IF(B2420="","",B2420+(13*1000+169)/10000000)</f>
        <v/>
      </c>
      <c r="B2420" s="35" t="str">
        <f aca="false">IF(AND(IFERROR(N(INDEX(Clay_Offices!$A$2:$FZ$601,169,Sync!$C$12)),0)&gt;0,IFERROR(INDEX(Clay_Offices!$A$2:$FZ$601,169,Sync!$C$5)&amp;"","")&lt;&gt;"",OR(LEFT(IFERROR(INDEX(Clay_Offices!$A$2:$FZ$601,169,Sync!$C$5)&amp;"",""),6)&lt;&gt;"SAMPLE",Config!$B$19="Y")),IFERROR(N(INDEX(Clay_Offices!$A$2:$FZ$601,169,Sync!$C$12)),0),"")</f>
        <v/>
      </c>
      <c r="C2420" s="23" t="str">
        <f aca="false">IF(B2420="","","office")</f>
        <v/>
      </c>
      <c r="D2420" s="23" t="str">
        <f aca="false">IF(B2420="","",IFERROR(INDEX(Office_Log!$ED$2:$ED$201,MATCH(IFERROR(INDEX(Clay_Offices!$A$2:$FZ$601,169,Sync!$C$5)&amp;"",""),Office_Log!$A$2:$A$201,0))&amp;"",IFERROR(INDEX(Clay_Offices!$A$2:$FZ$601,169,Sync!$C$5)&amp;"","")&amp;""))</f>
        <v/>
      </c>
      <c r="E2420" s="23" t="str">
        <f aca="false">IF(B2420="","",IFERROR(INDEX(Clay_Offices!$A$2:$FZ$601,169,Sync!$C$6)&amp;"",""))</f>
        <v/>
      </c>
      <c r="F2420" s="23" t="str">
        <f aca="false">IF(B2420="","","outreach_sent")</f>
        <v/>
      </c>
      <c r="G2420" s="23" t="str">
        <f aca="false">IF(B2420="","","")</f>
        <v/>
      </c>
      <c r="H2420" s="23" t="str">
        <f aca="false">IF(B2420="","","")</f>
        <v/>
      </c>
      <c r="I2420" s="23" t="str">
        <f aca="false">IF(B2420="","","")</f>
        <v/>
      </c>
      <c r="J2420" s="23" t="str">
        <f aca="false">IF(B2420="","","touch_2; "&amp;IFERROR(INDEX(Clay_Offices!$A$2:$FZ$601,169,Sync!$C$10)&amp;"","")&amp;"; "&amp;IFERROR(INDEX(Clay_Offices!$A$2:$FZ$601,169,Sync!$C$9)&amp;"",""))</f>
        <v/>
      </c>
      <c r="K2420" s="32" t="s">
        <v>1364</v>
      </c>
    </row>
    <row r="2421" customFormat="false" ht="15" hidden="false" customHeight="false" outlineLevel="0" collapsed="false">
      <c r="A2421" s="23" t="str">
        <f aca="false">IF(B2421="","",B2421+(13*1000+170)/10000000)</f>
        <v/>
      </c>
      <c r="B2421" s="35" t="str">
        <f aca="false">IF(AND(IFERROR(N(INDEX(Clay_Offices!$A$2:$FZ$601,170,Sync!$C$12)),0)&gt;0,IFERROR(INDEX(Clay_Offices!$A$2:$FZ$601,170,Sync!$C$5)&amp;"","")&lt;&gt;"",OR(LEFT(IFERROR(INDEX(Clay_Offices!$A$2:$FZ$601,170,Sync!$C$5)&amp;"",""),6)&lt;&gt;"SAMPLE",Config!$B$19="Y")),IFERROR(N(INDEX(Clay_Offices!$A$2:$FZ$601,170,Sync!$C$12)),0),"")</f>
        <v/>
      </c>
      <c r="C2421" s="23" t="str">
        <f aca="false">IF(B2421="","","office")</f>
        <v/>
      </c>
      <c r="D2421" s="23" t="str">
        <f aca="false">IF(B2421="","",IFERROR(INDEX(Office_Log!$ED$2:$ED$201,MATCH(IFERROR(INDEX(Clay_Offices!$A$2:$FZ$601,170,Sync!$C$5)&amp;"",""),Office_Log!$A$2:$A$201,0))&amp;"",IFERROR(INDEX(Clay_Offices!$A$2:$FZ$601,170,Sync!$C$5)&amp;"","")&amp;""))</f>
        <v/>
      </c>
      <c r="E2421" s="23" t="str">
        <f aca="false">IF(B2421="","",IFERROR(INDEX(Clay_Offices!$A$2:$FZ$601,170,Sync!$C$6)&amp;"",""))</f>
        <v/>
      </c>
      <c r="F2421" s="23" t="str">
        <f aca="false">IF(B2421="","","outreach_sent")</f>
        <v/>
      </c>
      <c r="G2421" s="23" t="str">
        <f aca="false">IF(B2421="","","")</f>
        <v/>
      </c>
      <c r="H2421" s="23" t="str">
        <f aca="false">IF(B2421="","","")</f>
        <v/>
      </c>
      <c r="I2421" s="23" t="str">
        <f aca="false">IF(B2421="","","")</f>
        <v/>
      </c>
      <c r="J2421" s="23" t="str">
        <f aca="false">IF(B2421="","","touch_2; "&amp;IFERROR(INDEX(Clay_Offices!$A$2:$FZ$601,170,Sync!$C$10)&amp;"","")&amp;"; "&amp;IFERROR(INDEX(Clay_Offices!$A$2:$FZ$601,170,Sync!$C$9)&amp;"",""))</f>
        <v/>
      </c>
      <c r="K2421" s="32" t="s">
        <v>1364</v>
      </c>
    </row>
    <row r="2422" customFormat="false" ht="15" hidden="false" customHeight="false" outlineLevel="0" collapsed="false">
      <c r="A2422" s="23" t="str">
        <f aca="false">IF(B2422="","",B2422+(13*1000+171)/10000000)</f>
        <v/>
      </c>
      <c r="B2422" s="35" t="str">
        <f aca="false">IF(AND(IFERROR(N(INDEX(Clay_Offices!$A$2:$FZ$601,171,Sync!$C$12)),0)&gt;0,IFERROR(INDEX(Clay_Offices!$A$2:$FZ$601,171,Sync!$C$5)&amp;"","")&lt;&gt;"",OR(LEFT(IFERROR(INDEX(Clay_Offices!$A$2:$FZ$601,171,Sync!$C$5)&amp;"",""),6)&lt;&gt;"SAMPLE",Config!$B$19="Y")),IFERROR(N(INDEX(Clay_Offices!$A$2:$FZ$601,171,Sync!$C$12)),0),"")</f>
        <v/>
      </c>
      <c r="C2422" s="23" t="str">
        <f aca="false">IF(B2422="","","office")</f>
        <v/>
      </c>
      <c r="D2422" s="23" t="str">
        <f aca="false">IF(B2422="","",IFERROR(INDEX(Office_Log!$ED$2:$ED$201,MATCH(IFERROR(INDEX(Clay_Offices!$A$2:$FZ$601,171,Sync!$C$5)&amp;"",""),Office_Log!$A$2:$A$201,0))&amp;"",IFERROR(INDEX(Clay_Offices!$A$2:$FZ$601,171,Sync!$C$5)&amp;"","")&amp;""))</f>
        <v/>
      </c>
      <c r="E2422" s="23" t="str">
        <f aca="false">IF(B2422="","",IFERROR(INDEX(Clay_Offices!$A$2:$FZ$601,171,Sync!$C$6)&amp;"",""))</f>
        <v/>
      </c>
      <c r="F2422" s="23" t="str">
        <f aca="false">IF(B2422="","","outreach_sent")</f>
        <v/>
      </c>
      <c r="G2422" s="23" t="str">
        <f aca="false">IF(B2422="","","")</f>
        <v/>
      </c>
      <c r="H2422" s="23" t="str">
        <f aca="false">IF(B2422="","","")</f>
        <v/>
      </c>
      <c r="I2422" s="23" t="str">
        <f aca="false">IF(B2422="","","")</f>
        <v/>
      </c>
      <c r="J2422" s="23" t="str">
        <f aca="false">IF(B2422="","","touch_2; "&amp;IFERROR(INDEX(Clay_Offices!$A$2:$FZ$601,171,Sync!$C$10)&amp;"","")&amp;"; "&amp;IFERROR(INDEX(Clay_Offices!$A$2:$FZ$601,171,Sync!$C$9)&amp;"",""))</f>
        <v/>
      </c>
      <c r="K2422" s="32" t="s">
        <v>1364</v>
      </c>
    </row>
    <row r="2423" customFormat="false" ht="15" hidden="false" customHeight="false" outlineLevel="0" collapsed="false">
      <c r="A2423" s="23" t="str">
        <f aca="false">IF(B2423="","",B2423+(13*1000+172)/10000000)</f>
        <v/>
      </c>
      <c r="B2423" s="35" t="str">
        <f aca="false">IF(AND(IFERROR(N(INDEX(Clay_Offices!$A$2:$FZ$601,172,Sync!$C$12)),0)&gt;0,IFERROR(INDEX(Clay_Offices!$A$2:$FZ$601,172,Sync!$C$5)&amp;"","")&lt;&gt;"",OR(LEFT(IFERROR(INDEX(Clay_Offices!$A$2:$FZ$601,172,Sync!$C$5)&amp;"",""),6)&lt;&gt;"SAMPLE",Config!$B$19="Y")),IFERROR(N(INDEX(Clay_Offices!$A$2:$FZ$601,172,Sync!$C$12)),0),"")</f>
        <v/>
      </c>
      <c r="C2423" s="23" t="str">
        <f aca="false">IF(B2423="","","office")</f>
        <v/>
      </c>
      <c r="D2423" s="23" t="str">
        <f aca="false">IF(B2423="","",IFERROR(INDEX(Office_Log!$ED$2:$ED$201,MATCH(IFERROR(INDEX(Clay_Offices!$A$2:$FZ$601,172,Sync!$C$5)&amp;"",""),Office_Log!$A$2:$A$201,0))&amp;"",IFERROR(INDEX(Clay_Offices!$A$2:$FZ$601,172,Sync!$C$5)&amp;"","")&amp;""))</f>
        <v/>
      </c>
      <c r="E2423" s="23" t="str">
        <f aca="false">IF(B2423="","",IFERROR(INDEX(Clay_Offices!$A$2:$FZ$601,172,Sync!$C$6)&amp;"",""))</f>
        <v/>
      </c>
      <c r="F2423" s="23" t="str">
        <f aca="false">IF(B2423="","","outreach_sent")</f>
        <v/>
      </c>
      <c r="G2423" s="23" t="str">
        <f aca="false">IF(B2423="","","")</f>
        <v/>
      </c>
      <c r="H2423" s="23" t="str">
        <f aca="false">IF(B2423="","","")</f>
        <v/>
      </c>
      <c r="I2423" s="23" t="str">
        <f aca="false">IF(B2423="","","")</f>
        <v/>
      </c>
      <c r="J2423" s="23" t="str">
        <f aca="false">IF(B2423="","","touch_2; "&amp;IFERROR(INDEX(Clay_Offices!$A$2:$FZ$601,172,Sync!$C$10)&amp;"","")&amp;"; "&amp;IFERROR(INDEX(Clay_Offices!$A$2:$FZ$601,172,Sync!$C$9)&amp;"",""))</f>
        <v/>
      </c>
      <c r="K2423" s="32" t="s">
        <v>1364</v>
      </c>
    </row>
    <row r="2424" customFormat="false" ht="15" hidden="false" customHeight="false" outlineLevel="0" collapsed="false">
      <c r="A2424" s="23" t="str">
        <f aca="false">IF(B2424="","",B2424+(13*1000+173)/10000000)</f>
        <v/>
      </c>
      <c r="B2424" s="35" t="str">
        <f aca="false">IF(AND(IFERROR(N(INDEX(Clay_Offices!$A$2:$FZ$601,173,Sync!$C$12)),0)&gt;0,IFERROR(INDEX(Clay_Offices!$A$2:$FZ$601,173,Sync!$C$5)&amp;"","")&lt;&gt;"",OR(LEFT(IFERROR(INDEX(Clay_Offices!$A$2:$FZ$601,173,Sync!$C$5)&amp;"",""),6)&lt;&gt;"SAMPLE",Config!$B$19="Y")),IFERROR(N(INDEX(Clay_Offices!$A$2:$FZ$601,173,Sync!$C$12)),0),"")</f>
        <v/>
      </c>
      <c r="C2424" s="23" t="str">
        <f aca="false">IF(B2424="","","office")</f>
        <v/>
      </c>
      <c r="D2424" s="23" t="str">
        <f aca="false">IF(B2424="","",IFERROR(INDEX(Office_Log!$ED$2:$ED$201,MATCH(IFERROR(INDEX(Clay_Offices!$A$2:$FZ$601,173,Sync!$C$5)&amp;"",""),Office_Log!$A$2:$A$201,0))&amp;"",IFERROR(INDEX(Clay_Offices!$A$2:$FZ$601,173,Sync!$C$5)&amp;"","")&amp;""))</f>
        <v/>
      </c>
      <c r="E2424" s="23" t="str">
        <f aca="false">IF(B2424="","",IFERROR(INDEX(Clay_Offices!$A$2:$FZ$601,173,Sync!$C$6)&amp;"",""))</f>
        <v/>
      </c>
      <c r="F2424" s="23" t="str">
        <f aca="false">IF(B2424="","","outreach_sent")</f>
        <v/>
      </c>
      <c r="G2424" s="23" t="str">
        <f aca="false">IF(B2424="","","")</f>
        <v/>
      </c>
      <c r="H2424" s="23" t="str">
        <f aca="false">IF(B2424="","","")</f>
        <v/>
      </c>
      <c r="I2424" s="23" t="str">
        <f aca="false">IF(B2424="","","")</f>
        <v/>
      </c>
      <c r="J2424" s="23" t="str">
        <f aca="false">IF(B2424="","","touch_2; "&amp;IFERROR(INDEX(Clay_Offices!$A$2:$FZ$601,173,Sync!$C$10)&amp;"","")&amp;"; "&amp;IFERROR(INDEX(Clay_Offices!$A$2:$FZ$601,173,Sync!$C$9)&amp;"",""))</f>
        <v/>
      </c>
      <c r="K2424" s="32" t="s">
        <v>1364</v>
      </c>
    </row>
    <row r="2425" customFormat="false" ht="15" hidden="false" customHeight="false" outlineLevel="0" collapsed="false">
      <c r="A2425" s="23" t="str">
        <f aca="false">IF(B2425="","",B2425+(13*1000+174)/10000000)</f>
        <v/>
      </c>
      <c r="B2425" s="35" t="str">
        <f aca="false">IF(AND(IFERROR(N(INDEX(Clay_Offices!$A$2:$FZ$601,174,Sync!$C$12)),0)&gt;0,IFERROR(INDEX(Clay_Offices!$A$2:$FZ$601,174,Sync!$C$5)&amp;"","")&lt;&gt;"",OR(LEFT(IFERROR(INDEX(Clay_Offices!$A$2:$FZ$601,174,Sync!$C$5)&amp;"",""),6)&lt;&gt;"SAMPLE",Config!$B$19="Y")),IFERROR(N(INDEX(Clay_Offices!$A$2:$FZ$601,174,Sync!$C$12)),0),"")</f>
        <v/>
      </c>
      <c r="C2425" s="23" t="str">
        <f aca="false">IF(B2425="","","office")</f>
        <v/>
      </c>
      <c r="D2425" s="23" t="str">
        <f aca="false">IF(B2425="","",IFERROR(INDEX(Office_Log!$ED$2:$ED$201,MATCH(IFERROR(INDEX(Clay_Offices!$A$2:$FZ$601,174,Sync!$C$5)&amp;"",""),Office_Log!$A$2:$A$201,0))&amp;"",IFERROR(INDEX(Clay_Offices!$A$2:$FZ$601,174,Sync!$C$5)&amp;"","")&amp;""))</f>
        <v/>
      </c>
      <c r="E2425" s="23" t="str">
        <f aca="false">IF(B2425="","",IFERROR(INDEX(Clay_Offices!$A$2:$FZ$601,174,Sync!$C$6)&amp;"",""))</f>
        <v/>
      </c>
      <c r="F2425" s="23" t="str">
        <f aca="false">IF(B2425="","","outreach_sent")</f>
        <v/>
      </c>
      <c r="G2425" s="23" t="str">
        <f aca="false">IF(B2425="","","")</f>
        <v/>
      </c>
      <c r="H2425" s="23" t="str">
        <f aca="false">IF(B2425="","","")</f>
        <v/>
      </c>
      <c r="I2425" s="23" t="str">
        <f aca="false">IF(B2425="","","")</f>
        <v/>
      </c>
      <c r="J2425" s="23" t="str">
        <f aca="false">IF(B2425="","","touch_2; "&amp;IFERROR(INDEX(Clay_Offices!$A$2:$FZ$601,174,Sync!$C$10)&amp;"","")&amp;"; "&amp;IFERROR(INDEX(Clay_Offices!$A$2:$FZ$601,174,Sync!$C$9)&amp;"",""))</f>
        <v/>
      </c>
      <c r="K2425" s="32" t="s">
        <v>1364</v>
      </c>
    </row>
    <row r="2426" customFormat="false" ht="15" hidden="false" customHeight="false" outlineLevel="0" collapsed="false">
      <c r="A2426" s="23" t="str">
        <f aca="false">IF(B2426="","",B2426+(13*1000+175)/10000000)</f>
        <v/>
      </c>
      <c r="B2426" s="35" t="str">
        <f aca="false">IF(AND(IFERROR(N(INDEX(Clay_Offices!$A$2:$FZ$601,175,Sync!$C$12)),0)&gt;0,IFERROR(INDEX(Clay_Offices!$A$2:$FZ$601,175,Sync!$C$5)&amp;"","")&lt;&gt;"",OR(LEFT(IFERROR(INDEX(Clay_Offices!$A$2:$FZ$601,175,Sync!$C$5)&amp;"",""),6)&lt;&gt;"SAMPLE",Config!$B$19="Y")),IFERROR(N(INDEX(Clay_Offices!$A$2:$FZ$601,175,Sync!$C$12)),0),"")</f>
        <v/>
      </c>
      <c r="C2426" s="23" t="str">
        <f aca="false">IF(B2426="","","office")</f>
        <v/>
      </c>
      <c r="D2426" s="23" t="str">
        <f aca="false">IF(B2426="","",IFERROR(INDEX(Office_Log!$ED$2:$ED$201,MATCH(IFERROR(INDEX(Clay_Offices!$A$2:$FZ$601,175,Sync!$C$5)&amp;"",""),Office_Log!$A$2:$A$201,0))&amp;"",IFERROR(INDEX(Clay_Offices!$A$2:$FZ$601,175,Sync!$C$5)&amp;"","")&amp;""))</f>
        <v/>
      </c>
      <c r="E2426" s="23" t="str">
        <f aca="false">IF(B2426="","",IFERROR(INDEX(Clay_Offices!$A$2:$FZ$601,175,Sync!$C$6)&amp;"",""))</f>
        <v/>
      </c>
      <c r="F2426" s="23" t="str">
        <f aca="false">IF(B2426="","","outreach_sent")</f>
        <v/>
      </c>
      <c r="G2426" s="23" t="str">
        <f aca="false">IF(B2426="","","")</f>
        <v/>
      </c>
      <c r="H2426" s="23" t="str">
        <f aca="false">IF(B2426="","","")</f>
        <v/>
      </c>
      <c r="I2426" s="23" t="str">
        <f aca="false">IF(B2426="","","")</f>
        <v/>
      </c>
      <c r="J2426" s="23" t="str">
        <f aca="false">IF(B2426="","","touch_2; "&amp;IFERROR(INDEX(Clay_Offices!$A$2:$FZ$601,175,Sync!$C$10)&amp;"","")&amp;"; "&amp;IFERROR(INDEX(Clay_Offices!$A$2:$FZ$601,175,Sync!$C$9)&amp;"",""))</f>
        <v/>
      </c>
      <c r="K2426" s="32" t="s">
        <v>1364</v>
      </c>
    </row>
    <row r="2427" customFormat="false" ht="15" hidden="false" customHeight="false" outlineLevel="0" collapsed="false">
      <c r="A2427" s="23" t="str">
        <f aca="false">IF(B2427="","",B2427+(13*1000+176)/10000000)</f>
        <v/>
      </c>
      <c r="B2427" s="35" t="str">
        <f aca="false">IF(AND(IFERROR(N(INDEX(Clay_Offices!$A$2:$FZ$601,176,Sync!$C$12)),0)&gt;0,IFERROR(INDEX(Clay_Offices!$A$2:$FZ$601,176,Sync!$C$5)&amp;"","")&lt;&gt;"",OR(LEFT(IFERROR(INDEX(Clay_Offices!$A$2:$FZ$601,176,Sync!$C$5)&amp;"",""),6)&lt;&gt;"SAMPLE",Config!$B$19="Y")),IFERROR(N(INDEX(Clay_Offices!$A$2:$FZ$601,176,Sync!$C$12)),0),"")</f>
        <v/>
      </c>
      <c r="C2427" s="23" t="str">
        <f aca="false">IF(B2427="","","office")</f>
        <v/>
      </c>
      <c r="D2427" s="23" t="str">
        <f aca="false">IF(B2427="","",IFERROR(INDEX(Office_Log!$ED$2:$ED$201,MATCH(IFERROR(INDEX(Clay_Offices!$A$2:$FZ$601,176,Sync!$C$5)&amp;"",""),Office_Log!$A$2:$A$201,0))&amp;"",IFERROR(INDEX(Clay_Offices!$A$2:$FZ$601,176,Sync!$C$5)&amp;"","")&amp;""))</f>
        <v/>
      </c>
      <c r="E2427" s="23" t="str">
        <f aca="false">IF(B2427="","",IFERROR(INDEX(Clay_Offices!$A$2:$FZ$601,176,Sync!$C$6)&amp;"",""))</f>
        <v/>
      </c>
      <c r="F2427" s="23" t="str">
        <f aca="false">IF(B2427="","","outreach_sent")</f>
        <v/>
      </c>
      <c r="G2427" s="23" t="str">
        <f aca="false">IF(B2427="","","")</f>
        <v/>
      </c>
      <c r="H2427" s="23" t="str">
        <f aca="false">IF(B2427="","","")</f>
        <v/>
      </c>
      <c r="I2427" s="23" t="str">
        <f aca="false">IF(B2427="","","")</f>
        <v/>
      </c>
      <c r="J2427" s="23" t="str">
        <f aca="false">IF(B2427="","","touch_2; "&amp;IFERROR(INDEX(Clay_Offices!$A$2:$FZ$601,176,Sync!$C$10)&amp;"","")&amp;"; "&amp;IFERROR(INDEX(Clay_Offices!$A$2:$FZ$601,176,Sync!$C$9)&amp;"",""))</f>
        <v/>
      </c>
      <c r="K2427" s="32" t="s">
        <v>1364</v>
      </c>
    </row>
    <row r="2428" customFormat="false" ht="15" hidden="false" customHeight="false" outlineLevel="0" collapsed="false">
      <c r="A2428" s="23" t="str">
        <f aca="false">IF(B2428="","",B2428+(13*1000+177)/10000000)</f>
        <v/>
      </c>
      <c r="B2428" s="35" t="str">
        <f aca="false">IF(AND(IFERROR(N(INDEX(Clay_Offices!$A$2:$FZ$601,177,Sync!$C$12)),0)&gt;0,IFERROR(INDEX(Clay_Offices!$A$2:$FZ$601,177,Sync!$C$5)&amp;"","")&lt;&gt;"",OR(LEFT(IFERROR(INDEX(Clay_Offices!$A$2:$FZ$601,177,Sync!$C$5)&amp;"",""),6)&lt;&gt;"SAMPLE",Config!$B$19="Y")),IFERROR(N(INDEX(Clay_Offices!$A$2:$FZ$601,177,Sync!$C$12)),0),"")</f>
        <v/>
      </c>
      <c r="C2428" s="23" t="str">
        <f aca="false">IF(B2428="","","office")</f>
        <v/>
      </c>
      <c r="D2428" s="23" t="str">
        <f aca="false">IF(B2428="","",IFERROR(INDEX(Office_Log!$ED$2:$ED$201,MATCH(IFERROR(INDEX(Clay_Offices!$A$2:$FZ$601,177,Sync!$C$5)&amp;"",""),Office_Log!$A$2:$A$201,0))&amp;"",IFERROR(INDEX(Clay_Offices!$A$2:$FZ$601,177,Sync!$C$5)&amp;"","")&amp;""))</f>
        <v/>
      </c>
      <c r="E2428" s="23" t="str">
        <f aca="false">IF(B2428="","",IFERROR(INDEX(Clay_Offices!$A$2:$FZ$601,177,Sync!$C$6)&amp;"",""))</f>
        <v/>
      </c>
      <c r="F2428" s="23" t="str">
        <f aca="false">IF(B2428="","","outreach_sent")</f>
        <v/>
      </c>
      <c r="G2428" s="23" t="str">
        <f aca="false">IF(B2428="","","")</f>
        <v/>
      </c>
      <c r="H2428" s="23" t="str">
        <f aca="false">IF(B2428="","","")</f>
        <v/>
      </c>
      <c r="I2428" s="23" t="str">
        <f aca="false">IF(B2428="","","")</f>
        <v/>
      </c>
      <c r="J2428" s="23" t="str">
        <f aca="false">IF(B2428="","","touch_2; "&amp;IFERROR(INDEX(Clay_Offices!$A$2:$FZ$601,177,Sync!$C$10)&amp;"","")&amp;"; "&amp;IFERROR(INDEX(Clay_Offices!$A$2:$FZ$601,177,Sync!$C$9)&amp;"",""))</f>
        <v/>
      </c>
      <c r="K2428" s="32" t="s">
        <v>1364</v>
      </c>
    </row>
    <row r="2429" customFormat="false" ht="15" hidden="false" customHeight="false" outlineLevel="0" collapsed="false">
      <c r="A2429" s="23" t="str">
        <f aca="false">IF(B2429="","",B2429+(13*1000+178)/10000000)</f>
        <v/>
      </c>
      <c r="B2429" s="35" t="str">
        <f aca="false">IF(AND(IFERROR(N(INDEX(Clay_Offices!$A$2:$FZ$601,178,Sync!$C$12)),0)&gt;0,IFERROR(INDEX(Clay_Offices!$A$2:$FZ$601,178,Sync!$C$5)&amp;"","")&lt;&gt;"",OR(LEFT(IFERROR(INDEX(Clay_Offices!$A$2:$FZ$601,178,Sync!$C$5)&amp;"",""),6)&lt;&gt;"SAMPLE",Config!$B$19="Y")),IFERROR(N(INDEX(Clay_Offices!$A$2:$FZ$601,178,Sync!$C$12)),0),"")</f>
        <v/>
      </c>
      <c r="C2429" s="23" t="str">
        <f aca="false">IF(B2429="","","office")</f>
        <v/>
      </c>
      <c r="D2429" s="23" t="str">
        <f aca="false">IF(B2429="","",IFERROR(INDEX(Office_Log!$ED$2:$ED$201,MATCH(IFERROR(INDEX(Clay_Offices!$A$2:$FZ$601,178,Sync!$C$5)&amp;"",""),Office_Log!$A$2:$A$201,0))&amp;"",IFERROR(INDEX(Clay_Offices!$A$2:$FZ$601,178,Sync!$C$5)&amp;"","")&amp;""))</f>
        <v/>
      </c>
      <c r="E2429" s="23" t="str">
        <f aca="false">IF(B2429="","",IFERROR(INDEX(Clay_Offices!$A$2:$FZ$601,178,Sync!$C$6)&amp;"",""))</f>
        <v/>
      </c>
      <c r="F2429" s="23" t="str">
        <f aca="false">IF(B2429="","","outreach_sent")</f>
        <v/>
      </c>
      <c r="G2429" s="23" t="str">
        <f aca="false">IF(B2429="","","")</f>
        <v/>
      </c>
      <c r="H2429" s="23" t="str">
        <f aca="false">IF(B2429="","","")</f>
        <v/>
      </c>
      <c r="I2429" s="23" t="str">
        <f aca="false">IF(B2429="","","")</f>
        <v/>
      </c>
      <c r="J2429" s="23" t="str">
        <f aca="false">IF(B2429="","","touch_2; "&amp;IFERROR(INDEX(Clay_Offices!$A$2:$FZ$601,178,Sync!$C$10)&amp;"","")&amp;"; "&amp;IFERROR(INDEX(Clay_Offices!$A$2:$FZ$601,178,Sync!$C$9)&amp;"",""))</f>
        <v/>
      </c>
      <c r="K2429" s="32" t="s">
        <v>1364</v>
      </c>
    </row>
    <row r="2430" customFormat="false" ht="15" hidden="false" customHeight="false" outlineLevel="0" collapsed="false">
      <c r="A2430" s="23" t="str">
        <f aca="false">IF(B2430="","",B2430+(13*1000+179)/10000000)</f>
        <v/>
      </c>
      <c r="B2430" s="35" t="str">
        <f aca="false">IF(AND(IFERROR(N(INDEX(Clay_Offices!$A$2:$FZ$601,179,Sync!$C$12)),0)&gt;0,IFERROR(INDEX(Clay_Offices!$A$2:$FZ$601,179,Sync!$C$5)&amp;"","")&lt;&gt;"",OR(LEFT(IFERROR(INDEX(Clay_Offices!$A$2:$FZ$601,179,Sync!$C$5)&amp;"",""),6)&lt;&gt;"SAMPLE",Config!$B$19="Y")),IFERROR(N(INDEX(Clay_Offices!$A$2:$FZ$601,179,Sync!$C$12)),0),"")</f>
        <v/>
      </c>
      <c r="C2430" s="23" t="str">
        <f aca="false">IF(B2430="","","office")</f>
        <v/>
      </c>
      <c r="D2430" s="23" t="str">
        <f aca="false">IF(B2430="","",IFERROR(INDEX(Office_Log!$ED$2:$ED$201,MATCH(IFERROR(INDEX(Clay_Offices!$A$2:$FZ$601,179,Sync!$C$5)&amp;"",""),Office_Log!$A$2:$A$201,0))&amp;"",IFERROR(INDEX(Clay_Offices!$A$2:$FZ$601,179,Sync!$C$5)&amp;"","")&amp;""))</f>
        <v/>
      </c>
      <c r="E2430" s="23" t="str">
        <f aca="false">IF(B2430="","",IFERROR(INDEX(Clay_Offices!$A$2:$FZ$601,179,Sync!$C$6)&amp;"",""))</f>
        <v/>
      </c>
      <c r="F2430" s="23" t="str">
        <f aca="false">IF(B2430="","","outreach_sent")</f>
        <v/>
      </c>
      <c r="G2430" s="23" t="str">
        <f aca="false">IF(B2430="","","")</f>
        <v/>
      </c>
      <c r="H2430" s="23" t="str">
        <f aca="false">IF(B2430="","","")</f>
        <v/>
      </c>
      <c r="I2430" s="23" t="str">
        <f aca="false">IF(B2430="","","")</f>
        <v/>
      </c>
      <c r="J2430" s="23" t="str">
        <f aca="false">IF(B2430="","","touch_2; "&amp;IFERROR(INDEX(Clay_Offices!$A$2:$FZ$601,179,Sync!$C$10)&amp;"","")&amp;"; "&amp;IFERROR(INDEX(Clay_Offices!$A$2:$FZ$601,179,Sync!$C$9)&amp;"",""))</f>
        <v/>
      </c>
      <c r="K2430" s="32" t="s">
        <v>1364</v>
      </c>
    </row>
    <row r="2431" customFormat="false" ht="15" hidden="false" customHeight="false" outlineLevel="0" collapsed="false">
      <c r="A2431" s="23" t="str">
        <f aca="false">IF(B2431="","",B2431+(13*1000+180)/10000000)</f>
        <v/>
      </c>
      <c r="B2431" s="35" t="str">
        <f aca="false">IF(AND(IFERROR(N(INDEX(Clay_Offices!$A$2:$FZ$601,180,Sync!$C$12)),0)&gt;0,IFERROR(INDEX(Clay_Offices!$A$2:$FZ$601,180,Sync!$C$5)&amp;"","")&lt;&gt;"",OR(LEFT(IFERROR(INDEX(Clay_Offices!$A$2:$FZ$601,180,Sync!$C$5)&amp;"",""),6)&lt;&gt;"SAMPLE",Config!$B$19="Y")),IFERROR(N(INDEX(Clay_Offices!$A$2:$FZ$601,180,Sync!$C$12)),0),"")</f>
        <v/>
      </c>
      <c r="C2431" s="23" t="str">
        <f aca="false">IF(B2431="","","office")</f>
        <v/>
      </c>
      <c r="D2431" s="23" t="str">
        <f aca="false">IF(B2431="","",IFERROR(INDEX(Office_Log!$ED$2:$ED$201,MATCH(IFERROR(INDEX(Clay_Offices!$A$2:$FZ$601,180,Sync!$C$5)&amp;"",""),Office_Log!$A$2:$A$201,0))&amp;"",IFERROR(INDEX(Clay_Offices!$A$2:$FZ$601,180,Sync!$C$5)&amp;"","")&amp;""))</f>
        <v/>
      </c>
      <c r="E2431" s="23" t="str">
        <f aca="false">IF(B2431="","",IFERROR(INDEX(Clay_Offices!$A$2:$FZ$601,180,Sync!$C$6)&amp;"",""))</f>
        <v/>
      </c>
      <c r="F2431" s="23" t="str">
        <f aca="false">IF(B2431="","","outreach_sent")</f>
        <v/>
      </c>
      <c r="G2431" s="23" t="str">
        <f aca="false">IF(B2431="","","")</f>
        <v/>
      </c>
      <c r="H2431" s="23" t="str">
        <f aca="false">IF(B2431="","","")</f>
        <v/>
      </c>
      <c r="I2431" s="23" t="str">
        <f aca="false">IF(B2431="","","")</f>
        <v/>
      </c>
      <c r="J2431" s="23" t="str">
        <f aca="false">IF(B2431="","","touch_2; "&amp;IFERROR(INDEX(Clay_Offices!$A$2:$FZ$601,180,Sync!$C$10)&amp;"","")&amp;"; "&amp;IFERROR(INDEX(Clay_Offices!$A$2:$FZ$601,180,Sync!$C$9)&amp;"",""))</f>
        <v/>
      </c>
      <c r="K2431" s="32" t="s">
        <v>1364</v>
      </c>
    </row>
    <row r="2432" customFormat="false" ht="15" hidden="false" customHeight="false" outlineLevel="0" collapsed="false">
      <c r="A2432" s="23" t="str">
        <f aca="false">IF(B2432="","",B2432+(13*1000+181)/10000000)</f>
        <v/>
      </c>
      <c r="B2432" s="35" t="str">
        <f aca="false">IF(AND(IFERROR(N(INDEX(Clay_Offices!$A$2:$FZ$601,181,Sync!$C$12)),0)&gt;0,IFERROR(INDEX(Clay_Offices!$A$2:$FZ$601,181,Sync!$C$5)&amp;"","")&lt;&gt;"",OR(LEFT(IFERROR(INDEX(Clay_Offices!$A$2:$FZ$601,181,Sync!$C$5)&amp;"",""),6)&lt;&gt;"SAMPLE",Config!$B$19="Y")),IFERROR(N(INDEX(Clay_Offices!$A$2:$FZ$601,181,Sync!$C$12)),0),"")</f>
        <v/>
      </c>
      <c r="C2432" s="23" t="str">
        <f aca="false">IF(B2432="","","office")</f>
        <v/>
      </c>
      <c r="D2432" s="23" t="str">
        <f aca="false">IF(B2432="","",IFERROR(INDEX(Office_Log!$ED$2:$ED$201,MATCH(IFERROR(INDEX(Clay_Offices!$A$2:$FZ$601,181,Sync!$C$5)&amp;"",""),Office_Log!$A$2:$A$201,0))&amp;"",IFERROR(INDEX(Clay_Offices!$A$2:$FZ$601,181,Sync!$C$5)&amp;"","")&amp;""))</f>
        <v/>
      </c>
      <c r="E2432" s="23" t="str">
        <f aca="false">IF(B2432="","",IFERROR(INDEX(Clay_Offices!$A$2:$FZ$601,181,Sync!$C$6)&amp;"",""))</f>
        <v/>
      </c>
      <c r="F2432" s="23" t="str">
        <f aca="false">IF(B2432="","","outreach_sent")</f>
        <v/>
      </c>
      <c r="G2432" s="23" t="str">
        <f aca="false">IF(B2432="","","")</f>
        <v/>
      </c>
      <c r="H2432" s="23" t="str">
        <f aca="false">IF(B2432="","","")</f>
        <v/>
      </c>
      <c r="I2432" s="23" t="str">
        <f aca="false">IF(B2432="","","")</f>
        <v/>
      </c>
      <c r="J2432" s="23" t="str">
        <f aca="false">IF(B2432="","","touch_2; "&amp;IFERROR(INDEX(Clay_Offices!$A$2:$FZ$601,181,Sync!$C$10)&amp;"","")&amp;"; "&amp;IFERROR(INDEX(Clay_Offices!$A$2:$FZ$601,181,Sync!$C$9)&amp;"",""))</f>
        <v/>
      </c>
      <c r="K2432" s="32" t="s">
        <v>1364</v>
      </c>
    </row>
    <row r="2433" customFormat="false" ht="15" hidden="false" customHeight="false" outlineLevel="0" collapsed="false">
      <c r="A2433" s="23" t="str">
        <f aca="false">IF(B2433="","",B2433+(13*1000+182)/10000000)</f>
        <v/>
      </c>
      <c r="B2433" s="35" t="str">
        <f aca="false">IF(AND(IFERROR(N(INDEX(Clay_Offices!$A$2:$FZ$601,182,Sync!$C$12)),0)&gt;0,IFERROR(INDEX(Clay_Offices!$A$2:$FZ$601,182,Sync!$C$5)&amp;"","")&lt;&gt;"",OR(LEFT(IFERROR(INDEX(Clay_Offices!$A$2:$FZ$601,182,Sync!$C$5)&amp;"",""),6)&lt;&gt;"SAMPLE",Config!$B$19="Y")),IFERROR(N(INDEX(Clay_Offices!$A$2:$FZ$601,182,Sync!$C$12)),0),"")</f>
        <v/>
      </c>
      <c r="C2433" s="23" t="str">
        <f aca="false">IF(B2433="","","office")</f>
        <v/>
      </c>
      <c r="D2433" s="23" t="str">
        <f aca="false">IF(B2433="","",IFERROR(INDEX(Office_Log!$ED$2:$ED$201,MATCH(IFERROR(INDEX(Clay_Offices!$A$2:$FZ$601,182,Sync!$C$5)&amp;"",""),Office_Log!$A$2:$A$201,0))&amp;"",IFERROR(INDEX(Clay_Offices!$A$2:$FZ$601,182,Sync!$C$5)&amp;"","")&amp;""))</f>
        <v/>
      </c>
      <c r="E2433" s="23" t="str">
        <f aca="false">IF(B2433="","",IFERROR(INDEX(Clay_Offices!$A$2:$FZ$601,182,Sync!$C$6)&amp;"",""))</f>
        <v/>
      </c>
      <c r="F2433" s="23" t="str">
        <f aca="false">IF(B2433="","","outreach_sent")</f>
        <v/>
      </c>
      <c r="G2433" s="23" t="str">
        <f aca="false">IF(B2433="","","")</f>
        <v/>
      </c>
      <c r="H2433" s="23" t="str">
        <f aca="false">IF(B2433="","","")</f>
        <v/>
      </c>
      <c r="I2433" s="23" t="str">
        <f aca="false">IF(B2433="","","")</f>
        <v/>
      </c>
      <c r="J2433" s="23" t="str">
        <f aca="false">IF(B2433="","","touch_2; "&amp;IFERROR(INDEX(Clay_Offices!$A$2:$FZ$601,182,Sync!$C$10)&amp;"","")&amp;"; "&amp;IFERROR(INDEX(Clay_Offices!$A$2:$FZ$601,182,Sync!$C$9)&amp;"",""))</f>
        <v/>
      </c>
      <c r="K2433" s="32" t="s">
        <v>1364</v>
      </c>
    </row>
    <row r="2434" customFormat="false" ht="15" hidden="false" customHeight="false" outlineLevel="0" collapsed="false">
      <c r="A2434" s="23" t="str">
        <f aca="false">IF(B2434="","",B2434+(13*1000+183)/10000000)</f>
        <v/>
      </c>
      <c r="B2434" s="35" t="str">
        <f aca="false">IF(AND(IFERROR(N(INDEX(Clay_Offices!$A$2:$FZ$601,183,Sync!$C$12)),0)&gt;0,IFERROR(INDEX(Clay_Offices!$A$2:$FZ$601,183,Sync!$C$5)&amp;"","")&lt;&gt;"",OR(LEFT(IFERROR(INDEX(Clay_Offices!$A$2:$FZ$601,183,Sync!$C$5)&amp;"",""),6)&lt;&gt;"SAMPLE",Config!$B$19="Y")),IFERROR(N(INDEX(Clay_Offices!$A$2:$FZ$601,183,Sync!$C$12)),0),"")</f>
        <v/>
      </c>
      <c r="C2434" s="23" t="str">
        <f aca="false">IF(B2434="","","office")</f>
        <v/>
      </c>
      <c r="D2434" s="23" t="str">
        <f aca="false">IF(B2434="","",IFERROR(INDEX(Office_Log!$ED$2:$ED$201,MATCH(IFERROR(INDEX(Clay_Offices!$A$2:$FZ$601,183,Sync!$C$5)&amp;"",""),Office_Log!$A$2:$A$201,0))&amp;"",IFERROR(INDEX(Clay_Offices!$A$2:$FZ$601,183,Sync!$C$5)&amp;"","")&amp;""))</f>
        <v/>
      </c>
      <c r="E2434" s="23" t="str">
        <f aca="false">IF(B2434="","",IFERROR(INDEX(Clay_Offices!$A$2:$FZ$601,183,Sync!$C$6)&amp;"",""))</f>
        <v/>
      </c>
      <c r="F2434" s="23" t="str">
        <f aca="false">IF(B2434="","","outreach_sent")</f>
        <v/>
      </c>
      <c r="G2434" s="23" t="str">
        <f aca="false">IF(B2434="","","")</f>
        <v/>
      </c>
      <c r="H2434" s="23" t="str">
        <f aca="false">IF(B2434="","","")</f>
        <v/>
      </c>
      <c r="I2434" s="23" t="str">
        <f aca="false">IF(B2434="","","")</f>
        <v/>
      </c>
      <c r="J2434" s="23" t="str">
        <f aca="false">IF(B2434="","","touch_2; "&amp;IFERROR(INDEX(Clay_Offices!$A$2:$FZ$601,183,Sync!$C$10)&amp;"","")&amp;"; "&amp;IFERROR(INDEX(Clay_Offices!$A$2:$FZ$601,183,Sync!$C$9)&amp;"",""))</f>
        <v/>
      </c>
      <c r="K2434" s="32" t="s">
        <v>1364</v>
      </c>
    </row>
    <row r="2435" customFormat="false" ht="15" hidden="false" customHeight="false" outlineLevel="0" collapsed="false">
      <c r="A2435" s="23" t="str">
        <f aca="false">IF(B2435="","",B2435+(13*1000+184)/10000000)</f>
        <v/>
      </c>
      <c r="B2435" s="35" t="str">
        <f aca="false">IF(AND(IFERROR(N(INDEX(Clay_Offices!$A$2:$FZ$601,184,Sync!$C$12)),0)&gt;0,IFERROR(INDEX(Clay_Offices!$A$2:$FZ$601,184,Sync!$C$5)&amp;"","")&lt;&gt;"",OR(LEFT(IFERROR(INDEX(Clay_Offices!$A$2:$FZ$601,184,Sync!$C$5)&amp;"",""),6)&lt;&gt;"SAMPLE",Config!$B$19="Y")),IFERROR(N(INDEX(Clay_Offices!$A$2:$FZ$601,184,Sync!$C$12)),0),"")</f>
        <v/>
      </c>
      <c r="C2435" s="23" t="str">
        <f aca="false">IF(B2435="","","office")</f>
        <v/>
      </c>
      <c r="D2435" s="23" t="str">
        <f aca="false">IF(B2435="","",IFERROR(INDEX(Office_Log!$ED$2:$ED$201,MATCH(IFERROR(INDEX(Clay_Offices!$A$2:$FZ$601,184,Sync!$C$5)&amp;"",""),Office_Log!$A$2:$A$201,0))&amp;"",IFERROR(INDEX(Clay_Offices!$A$2:$FZ$601,184,Sync!$C$5)&amp;"","")&amp;""))</f>
        <v/>
      </c>
      <c r="E2435" s="23" t="str">
        <f aca="false">IF(B2435="","",IFERROR(INDEX(Clay_Offices!$A$2:$FZ$601,184,Sync!$C$6)&amp;"",""))</f>
        <v/>
      </c>
      <c r="F2435" s="23" t="str">
        <f aca="false">IF(B2435="","","outreach_sent")</f>
        <v/>
      </c>
      <c r="G2435" s="23" t="str">
        <f aca="false">IF(B2435="","","")</f>
        <v/>
      </c>
      <c r="H2435" s="23" t="str">
        <f aca="false">IF(B2435="","","")</f>
        <v/>
      </c>
      <c r="I2435" s="23" t="str">
        <f aca="false">IF(B2435="","","")</f>
        <v/>
      </c>
      <c r="J2435" s="23" t="str">
        <f aca="false">IF(B2435="","","touch_2; "&amp;IFERROR(INDEX(Clay_Offices!$A$2:$FZ$601,184,Sync!$C$10)&amp;"","")&amp;"; "&amp;IFERROR(INDEX(Clay_Offices!$A$2:$FZ$601,184,Sync!$C$9)&amp;"",""))</f>
        <v/>
      </c>
      <c r="K2435" s="32" t="s">
        <v>1364</v>
      </c>
    </row>
    <row r="2436" customFormat="false" ht="15" hidden="false" customHeight="false" outlineLevel="0" collapsed="false">
      <c r="A2436" s="23" t="str">
        <f aca="false">IF(B2436="","",B2436+(13*1000+185)/10000000)</f>
        <v/>
      </c>
      <c r="B2436" s="35" t="str">
        <f aca="false">IF(AND(IFERROR(N(INDEX(Clay_Offices!$A$2:$FZ$601,185,Sync!$C$12)),0)&gt;0,IFERROR(INDEX(Clay_Offices!$A$2:$FZ$601,185,Sync!$C$5)&amp;"","")&lt;&gt;"",OR(LEFT(IFERROR(INDEX(Clay_Offices!$A$2:$FZ$601,185,Sync!$C$5)&amp;"",""),6)&lt;&gt;"SAMPLE",Config!$B$19="Y")),IFERROR(N(INDEX(Clay_Offices!$A$2:$FZ$601,185,Sync!$C$12)),0),"")</f>
        <v/>
      </c>
      <c r="C2436" s="23" t="str">
        <f aca="false">IF(B2436="","","office")</f>
        <v/>
      </c>
      <c r="D2436" s="23" t="str">
        <f aca="false">IF(B2436="","",IFERROR(INDEX(Office_Log!$ED$2:$ED$201,MATCH(IFERROR(INDEX(Clay_Offices!$A$2:$FZ$601,185,Sync!$C$5)&amp;"",""),Office_Log!$A$2:$A$201,0))&amp;"",IFERROR(INDEX(Clay_Offices!$A$2:$FZ$601,185,Sync!$C$5)&amp;"","")&amp;""))</f>
        <v/>
      </c>
      <c r="E2436" s="23" t="str">
        <f aca="false">IF(B2436="","",IFERROR(INDEX(Clay_Offices!$A$2:$FZ$601,185,Sync!$C$6)&amp;"",""))</f>
        <v/>
      </c>
      <c r="F2436" s="23" t="str">
        <f aca="false">IF(B2436="","","outreach_sent")</f>
        <v/>
      </c>
      <c r="G2436" s="23" t="str">
        <f aca="false">IF(B2436="","","")</f>
        <v/>
      </c>
      <c r="H2436" s="23" t="str">
        <f aca="false">IF(B2436="","","")</f>
        <v/>
      </c>
      <c r="I2436" s="23" t="str">
        <f aca="false">IF(B2436="","","")</f>
        <v/>
      </c>
      <c r="J2436" s="23" t="str">
        <f aca="false">IF(B2436="","","touch_2; "&amp;IFERROR(INDEX(Clay_Offices!$A$2:$FZ$601,185,Sync!$C$10)&amp;"","")&amp;"; "&amp;IFERROR(INDEX(Clay_Offices!$A$2:$FZ$601,185,Sync!$C$9)&amp;"",""))</f>
        <v/>
      </c>
      <c r="K2436" s="32" t="s">
        <v>1364</v>
      </c>
    </row>
    <row r="2437" customFormat="false" ht="15" hidden="false" customHeight="false" outlineLevel="0" collapsed="false">
      <c r="A2437" s="23" t="str">
        <f aca="false">IF(B2437="","",B2437+(13*1000+186)/10000000)</f>
        <v/>
      </c>
      <c r="B2437" s="35" t="str">
        <f aca="false">IF(AND(IFERROR(N(INDEX(Clay_Offices!$A$2:$FZ$601,186,Sync!$C$12)),0)&gt;0,IFERROR(INDEX(Clay_Offices!$A$2:$FZ$601,186,Sync!$C$5)&amp;"","")&lt;&gt;"",OR(LEFT(IFERROR(INDEX(Clay_Offices!$A$2:$FZ$601,186,Sync!$C$5)&amp;"",""),6)&lt;&gt;"SAMPLE",Config!$B$19="Y")),IFERROR(N(INDEX(Clay_Offices!$A$2:$FZ$601,186,Sync!$C$12)),0),"")</f>
        <v/>
      </c>
      <c r="C2437" s="23" t="str">
        <f aca="false">IF(B2437="","","office")</f>
        <v/>
      </c>
      <c r="D2437" s="23" t="str">
        <f aca="false">IF(B2437="","",IFERROR(INDEX(Office_Log!$ED$2:$ED$201,MATCH(IFERROR(INDEX(Clay_Offices!$A$2:$FZ$601,186,Sync!$C$5)&amp;"",""),Office_Log!$A$2:$A$201,0))&amp;"",IFERROR(INDEX(Clay_Offices!$A$2:$FZ$601,186,Sync!$C$5)&amp;"","")&amp;""))</f>
        <v/>
      </c>
      <c r="E2437" s="23" t="str">
        <f aca="false">IF(B2437="","",IFERROR(INDEX(Clay_Offices!$A$2:$FZ$601,186,Sync!$C$6)&amp;"",""))</f>
        <v/>
      </c>
      <c r="F2437" s="23" t="str">
        <f aca="false">IF(B2437="","","outreach_sent")</f>
        <v/>
      </c>
      <c r="G2437" s="23" t="str">
        <f aca="false">IF(B2437="","","")</f>
        <v/>
      </c>
      <c r="H2437" s="23" t="str">
        <f aca="false">IF(B2437="","","")</f>
        <v/>
      </c>
      <c r="I2437" s="23" t="str">
        <f aca="false">IF(B2437="","","")</f>
        <v/>
      </c>
      <c r="J2437" s="23" t="str">
        <f aca="false">IF(B2437="","","touch_2; "&amp;IFERROR(INDEX(Clay_Offices!$A$2:$FZ$601,186,Sync!$C$10)&amp;"","")&amp;"; "&amp;IFERROR(INDEX(Clay_Offices!$A$2:$FZ$601,186,Sync!$C$9)&amp;"",""))</f>
        <v/>
      </c>
      <c r="K2437" s="32" t="s">
        <v>1364</v>
      </c>
    </row>
    <row r="2438" customFormat="false" ht="15" hidden="false" customHeight="false" outlineLevel="0" collapsed="false">
      <c r="A2438" s="23" t="str">
        <f aca="false">IF(B2438="","",B2438+(13*1000+187)/10000000)</f>
        <v/>
      </c>
      <c r="B2438" s="35" t="str">
        <f aca="false">IF(AND(IFERROR(N(INDEX(Clay_Offices!$A$2:$FZ$601,187,Sync!$C$12)),0)&gt;0,IFERROR(INDEX(Clay_Offices!$A$2:$FZ$601,187,Sync!$C$5)&amp;"","")&lt;&gt;"",OR(LEFT(IFERROR(INDEX(Clay_Offices!$A$2:$FZ$601,187,Sync!$C$5)&amp;"",""),6)&lt;&gt;"SAMPLE",Config!$B$19="Y")),IFERROR(N(INDEX(Clay_Offices!$A$2:$FZ$601,187,Sync!$C$12)),0),"")</f>
        <v/>
      </c>
      <c r="C2438" s="23" t="str">
        <f aca="false">IF(B2438="","","office")</f>
        <v/>
      </c>
      <c r="D2438" s="23" t="str">
        <f aca="false">IF(B2438="","",IFERROR(INDEX(Office_Log!$ED$2:$ED$201,MATCH(IFERROR(INDEX(Clay_Offices!$A$2:$FZ$601,187,Sync!$C$5)&amp;"",""),Office_Log!$A$2:$A$201,0))&amp;"",IFERROR(INDEX(Clay_Offices!$A$2:$FZ$601,187,Sync!$C$5)&amp;"","")&amp;""))</f>
        <v/>
      </c>
      <c r="E2438" s="23" t="str">
        <f aca="false">IF(B2438="","",IFERROR(INDEX(Clay_Offices!$A$2:$FZ$601,187,Sync!$C$6)&amp;"",""))</f>
        <v/>
      </c>
      <c r="F2438" s="23" t="str">
        <f aca="false">IF(B2438="","","outreach_sent")</f>
        <v/>
      </c>
      <c r="G2438" s="23" t="str">
        <f aca="false">IF(B2438="","","")</f>
        <v/>
      </c>
      <c r="H2438" s="23" t="str">
        <f aca="false">IF(B2438="","","")</f>
        <v/>
      </c>
      <c r="I2438" s="23" t="str">
        <f aca="false">IF(B2438="","","")</f>
        <v/>
      </c>
      <c r="J2438" s="23" t="str">
        <f aca="false">IF(B2438="","","touch_2; "&amp;IFERROR(INDEX(Clay_Offices!$A$2:$FZ$601,187,Sync!$C$10)&amp;"","")&amp;"; "&amp;IFERROR(INDEX(Clay_Offices!$A$2:$FZ$601,187,Sync!$C$9)&amp;"",""))</f>
        <v/>
      </c>
      <c r="K2438" s="32" t="s">
        <v>1364</v>
      </c>
    </row>
    <row r="2439" customFormat="false" ht="15" hidden="false" customHeight="false" outlineLevel="0" collapsed="false">
      <c r="A2439" s="23" t="str">
        <f aca="false">IF(B2439="","",B2439+(13*1000+188)/10000000)</f>
        <v/>
      </c>
      <c r="B2439" s="35" t="str">
        <f aca="false">IF(AND(IFERROR(N(INDEX(Clay_Offices!$A$2:$FZ$601,188,Sync!$C$12)),0)&gt;0,IFERROR(INDEX(Clay_Offices!$A$2:$FZ$601,188,Sync!$C$5)&amp;"","")&lt;&gt;"",OR(LEFT(IFERROR(INDEX(Clay_Offices!$A$2:$FZ$601,188,Sync!$C$5)&amp;"",""),6)&lt;&gt;"SAMPLE",Config!$B$19="Y")),IFERROR(N(INDEX(Clay_Offices!$A$2:$FZ$601,188,Sync!$C$12)),0),"")</f>
        <v/>
      </c>
      <c r="C2439" s="23" t="str">
        <f aca="false">IF(B2439="","","office")</f>
        <v/>
      </c>
      <c r="D2439" s="23" t="str">
        <f aca="false">IF(B2439="","",IFERROR(INDEX(Office_Log!$ED$2:$ED$201,MATCH(IFERROR(INDEX(Clay_Offices!$A$2:$FZ$601,188,Sync!$C$5)&amp;"",""),Office_Log!$A$2:$A$201,0))&amp;"",IFERROR(INDEX(Clay_Offices!$A$2:$FZ$601,188,Sync!$C$5)&amp;"","")&amp;""))</f>
        <v/>
      </c>
      <c r="E2439" s="23" t="str">
        <f aca="false">IF(B2439="","",IFERROR(INDEX(Clay_Offices!$A$2:$FZ$601,188,Sync!$C$6)&amp;"",""))</f>
        <v/>
      </c>
      <c r="F2439" s="23" t="str">
        <f aca="false">IF(B2439="","","outreach_sent")</f>
        <v/>
      </c>
      <c r="G2439" s="23" t="str">
        <f aca="false">IF(B2439="","","")</f>
        <v/>
      </c>
      <c r="H2439" s="23" t="str">
        <f aca="false">IF(B2439="","","")</f>
        <v/>
      </c>
      <c r="I2439" s="23" t="str">
        <f aca="false">IF(B2439="","","")</f>
        <v/>
      </c>
      <c r="J2439" s="23" t="str">
        <f aca="false">IF(B2439="","","touch_2; "&amp;IFERROR(INDEX(Clay_Offices!$A$2:$FZ$601,188,Sync!$C$10)&amp;"","")&amp;"; "&amp;IFERROR(INDEX(Clay_Offices!$A$2:$FZ$601,188,Sync!$C$9)&amp;"",""))</f>
        <v/>
      </c>
      <c r="K2439" s="32" t="s">
        <v>1364</v>
      </c>
    </row>
    <row r="2440" customFormat="false" ht="15" hidden="false" customHeight="false" outlineLevel="0" collapsed="false">
      <c r="A2440" s="23" t="str">
        <f aca="false">IF(B2440="","",B2440+(13*1000+189)/10000000)</f>
        <v/>
      </c>
      <c r="B2440" s="35" t="str">
        <f aca="false">IF(AND(IFERROR(N(INDEX(Clay_Offices!$A$2:$FZ$601,189,Sync!$C$12)),0)&gt;0,IFERROR(INDEX(Clay_Offices!$A$2:$FZ$601,189,Sync!$C$5)&amp;"","")&lt;&gt;"",OR(LEFT(IFERROR(INDEX(Clay_Offices!$A$2:$FZ$601,189,Sync!$C$5)&amp;"",""),6)&lt;&gt;"SAMPLE",Config!$B$19="Y")),IFERROR(N(INDEX(Clay_Offices!$A$2:$FZ$601,189,Sync!$C$12)),0),"")</f>
        <v/>
      </c>
      <c r="C2440" s="23" t="str">
        <f aca="false">IF(B2440="","","office")</f>
        <v/>
      </c>
      <c r="D2440" s="23" t="str">
        <f aca="false">IF(B2440="","",IFERROR(INDEX(Office_Log!$ED$2:$ED$201,MATCH(IFERROR(INDEX(Clay_Offices!$A$2:$FZ$601,189,Sync!$C$5)&amp;"",""),Office_Log!$A$2:$A$201,0))&amp;"",IFERROR(INDEX(Clay_Offices!$A$2:$FZ$601,189,Sync!$C$5)&amp;"","")&amp;""))</f>
        <v/>
      </c>
      <c r="E2440" s="23" t="str">
        <f aca="false">IF(B2440="","",IFERROR(INDEX(Clay_Offices!$A$2:$FZ$601,189,Sync!$C$6)&amp;"",""))</f>
        <v/>
      </c>
      <c r="F2440" s="23" t="str">
        <f aca="false">IF(B2440="","","outreach_sent")</f>
        <v/>
      </c>
      <c r="G2440" s="23" t="str">
        <f aca="false">IF(B2440="","","")</f>
        <v/>
      </c>
      <c r="H2440" s="23" t="str">
        <f aca="false">IF(B2440="","","")</f>
        <v/>
      </c>
      <c r="I2440" s="23" t="str">
        <f aca="false">IF(B2440="","","")</f>
        <v/>
      </c>
      <c r="J2440" s="23" t="str">
        <f aca="false">IF(B2440="","","touch_2; "&amp;IFERROR(INDEX(Clay_Offices!$A$2:$FZ$601,189,Sync!$C$10)&amp;"","")&amp;"; "&amp;IFERROR(INDEX(Clay_Offices!$A$2:$FZ$601,189,Sync!$C$9)&amp;"",""))</f>
        <v/>
      </c>
      <c r="K2440" s="32" t="s">
        <v>1364</v>
      </c>
    </row>
    <row r="2441" customFormat="false" ht="15" hidden="false" customHeight="false" outlineLevel="0" collapsed="false">
      <c r="A2441" s="23" t="str">
        <f aca="false">IF(B2441="","",B2441+(13*1000+190)/10000000)</f>
        <v/>
      </c>
      <c r="B2441" s="35" t="str">
        <f aca="false">IF(AND(IFERROR(N(INDEX(Clay_Offices!$A$2:$FZ$601,190,Sync!$C$12)),0)&gt;0,IFERROR(INDEX(Clay_Offices!$A$2:$FZ$601,190,Sync!$C$5)&amp;"","")&lt;&gt;"",OR(LEFT(IFERROR(INDEX(Clay_Offices!$A$2:$FZ$601,190,Sync!$C$5)&amp;"",""),6)&lt;&gt;"SAMPLE",Config!$B$19="Y")),IFERROR(N(INDEX(Clay_Offices!$A$2:$FZ$601,190,Sync!$C$12)),0),"")</f>
        <v/>
      </c>
      <c r="C2441" s="23" t="str">
        <f aca="false">IF(B2441="","","office")</f>
        <v/>
      </c>
      <c r="D2441" s="23" t="str">
        <f aca="false">IF(B2441="","",IFERROR(INDEX(Office_Log!$ED$2:$ED$201,MATCH(IFERROR(INDEX(Clay_Offices!$A$2:$FZ$601,190,Sync!$C$5)&amp;"",""),Office_Log!$A$2:$A$201,0))&amp;"",IFERROR(INDEX(Clay_Offices!$A$2:$FZ$601,190,Sync!$C$5)&amp;"","")&amp;""))</f>
        <v/>
      </c>
      <c r="E2441" s="23" t="str">
        <f aca="false">IF(B2441="","",IFERROR(INDEX(Clay_Offices!$A$2:$FZ$601,190,Sync!$C$6)&amp;"",""))</f>
        <v/>
      </c>
      <c r="F2441" s="23" t="str">
        <f aca="false">IF(B2441="","","outreach_sent")</f>
        <v/>
      </c>
      <c r="G2441" s="23" t="str">
        <f aca="false">IF(B2441="","","")</f>
        <v/>
      </c>
      <c r="H2441" s="23" t="str">
        <f aca="false">IF(B2441="","","")</f>
        <v/>
      </c>
      <c r="I2441" s="23" t="str">
        <f aca="false">IF(B2441="","","")</f>
        <v/>
      </c>
      <c r="J2441" s="23" t="str">
        <f aca="false">IF(B2441="","","touch_2; "&amp;IFERROR(INDEX(Clay_Offices!$A$2:$FZ$601,190,Sync!$C$10)&amp;"","")&amp;"; "&amp;IFERROR(INDEX(Clay_Offices!$A$2:$FZ$601,190,Sync!$C$9)&amp;"",""))</f>
        <v/>
      </c>
      <c r="K2441" s="32" t="s">
        <v>1364</v>
      </c>
    </row>
    <row r="2442" customFormat="false" ht="15" hidden="false" customHeight="false" outlineLevel="0" collapsed="false">
      <c r="A2442" s="23" t="str">
        <f aca="false">IF(B2442="","",B2442+(13*1000+191)/10000000)</f>
        <v/>
      </c>
      <c r="B2442" s="35" t="str">
        <f aca="false">IF(AND(IFERROR(N(INDEX(Clay_Offices!$A$2:$FZ$601,191,Sync!$C$12)),0)&gt;0,IFERROR(INDEX(Clay_Offices!$A$2:$FZ$601,191,Sync!$C$5)&amp;"","")&lt;&gt;"",OR(LEFT(IFERROR(INDEX(Clay_Offices!$A$2:$FZ$601,191,Sync!$C$5)&amp;"",""),6)&lt;&gt;"SAMPLE",Config!$B$19="Y")),IFERROR(N(INDEX(Clay_Offices!$A$2:$FZ$601,191,Sync!$C$12)),0),"")</f>
        <v/>
      </c>
      <c r="C2442" s="23" t="str">
        <f aca="false">IF(B2442="","","office")</f>
        <v/>
      </c>
      <c r="D2442" s="23" t="str">
        <f aca="false">IF(B2442="","",IFERROR(INDEX(Office_Log!$ED$2:$ED$201,MATCH(IFERROR(INDEX(Clay_Offices!$A$2:$FZ$601,191,Sync!$C$5)&amp;"",""),Office_Log!$A$2:$A$201,0))&amp;"",IFERROR(INDEX(Clay_Offices!$A$2:$FZ$601,191,Sync!$C$5)&amp;"","")&amp;""))</f>
        <v/>
      </c>
      <c r="E2442" s="23" t="str">
        <f aca="false">IF(B2442="","",IFERROR(INDEX(Clay_Offices!$A$2:$FZ$601,191,Sync!$C$6)&amp;"",""))</f>
        <v/>
      </c>
      <c r="F2442" s="23" t="str">
        <f aca="false">IF(B2442="","","outreach_sent")</f>
        <v/>
      </c>
      <c r="G2442" s="23" t="str">
        <f aca="false">IF(B2442="","","")</f>
        <v/>
      </c>
      <c r="H2442" s="23" t="str">
        <f aca="false">IF(B2442="","","")</f>
        <v/>
      </c>
      <c r="I2442" s="23" t="str">
        <f aca="false">IF(B2442="","","")</f>
        <v/>
      </c>
      <c r="J2442" s="23" t="str">
        <f aca="false">IF(B2442="","","touch_2; "&amp;IFERROR(INDEX(Clay_Offices!$A$2:$FZ$601,191,Sync!$C$10)&amp;"","")&amp;"; "&amp;IFERROR(INDEX(Clay_Offices!$A$2:$FZ$601,191,Sync!$C$9)&amp;"",""))</f>
        <v/>
      </c>
      <c r="K2442" s="32" t="s">
        <v>1364</v>
      </c>
    </row>
    <row r="2443" customFormat="false" ht="15" hidden="false" customHeight="false" outlineLevel="0" collapsed="false">
      <c r="A2443" s="23" t="str">
        <f aca="false">IF(B2443="","",B2443+(13*1000+192)/10000000)</f>
        <v/>
      </c>
      <c r="B2443" s="35" t="str">
        <f aca="false">IF(AND(IFERROR(N(INDEX(Clay_Offices!$A$2:$FZ$601,192,Sync!$C$12)),0)&gt;0,IFERROR(INDEX(Clay_Offices!$A$2:$FZ$601,192,Sync!$C$5)&amp;"","")&lt;&gt;"",OR(LEFT(IFERROR(INDEX(Clay_Offices!$A$2:$FZ$601,192,Sync!$C$5)&amp;"",""),6)&lt;&gt;"SAMPLE",Config!$B$19="Y")),IFERROR(N(INDEX(Clay_Offices!$A$2:$FZ$601,192,Sync!$C$12)),0),"")</f>
        <v/>
      </c>
      <c r="C2443" s="23" t="str">
        <f aca="false">IF(B2443="","","office")</f>
        <v/>
      </c>
      <c r="D2443" s="23" t="str">
        <f aca="false">IF(B2443="","",IFERROR(INDEX(Office_Log!$ED$2:$ED$201,MATCH(IFERROR(INDEX(Clay_Offices!$A$2:$FZ$601,192,Sync!$C$5)&amp;"",""),Office_Log!$A$2:$A$201,0))&amp;"",IFERROR(INDEX(Clay_Offices!$A$2:$FZ$601,192,Sync!$C$5)&amp;"","")&amp;""))</f>
        <v/>
      </c>
      <c r="E2443" s="23" t="str">
        <f aca="false">IF(B2443="","",IFERROR(INDEX(Clay_Offices!$A$2:$FZ$601,192,Sync!$C$6)&amp;"",""))</f>
        <v/>
      </c>
      <c r="F2443" s="23" t="str">
        <f aca="false">IF(B2443="","","outreach_sent")</f>
        <v/>
      </c>
      <c r="G2443" s="23" t="str">
        <f aca="false">IF(B2443="","","")</f>
        <v/>
      </c>
      <c r="H2443" s="23" t="str">
        <f aca="false">IF(B2443="","","")</f>
        <v/>
      </c>
      <c r="I2443" s="23" t="str">
        <f aca="false">IF(B2443="","","")</f>
        <v/>
      </c>
      <c r="J2443" s="23" t="str">
        <f aca="false">IF(B2443="","","touch_2; "&amp;IFERROR(INDEX(Clay_Offices!$A$2:$FZ$601,192,Sync!$C$10)&amp;"","")&amp;"; "&amp;IFERROR(INDEX(Clay_Offices!$A$2:$FZ$601,192,Sync!$C$9)&amp;"",""))</f>
        <v/>
      </c>
      <c r="K2443" s="32" t="s">
        <v>1364</v>
      </c>
    </row>
    <row r="2444" customFormat="false" ht="15" hidden="false" customHeight="false" outlineLevel="0" collapsed="false">
      <c r="A2444" s="23" t="str">
        <f aca="false">IF(B2444="","",B2444+(13*1000+193)/10000000)</f>
        <v/>
      </c>
      <c r="B2444" s="35" t="str">
        <f aca="false">IF(AND(IFERROR(N(INDEX(Clay_Offices!$A$2:$FZ$601,193,Sync!$C$12)),0)&gt;0,IFERROR(INDEX(Clay_Offices!$A$2:$FZ$601,193,Sync!$C$5)&amp;"","")&lt;&gt;"",OR(LEFT(IFERROR(INDEX(Clay_Offices!$A$2:$FZ$601,193,Sync!$C$5)&amp;"",""),6)&lt;&gt;"SAMPLE",Config!$B$19="Y")),IFERROR(N(INDEX(Clay_Offices!$A$2:$FZ$601,193,Sync!$C$12)),0),"")</f>
        <v/>
      </c>
      <c r="C2444" s="23" t="str">
        <f aca="false">IF(B2444="","","office")</f>
        <v/>
      </c>
      <c r="D2444" s="23" t="str">
        <f aca="false">IF(B2444="","",IFERROR(INDEX(Office_Log!$ED$2:$ED$201,MATCH(IFERROR(INDEX(Clay_Offices!$A$2:$FZ$601,193,Sync!$C$5)&amp;"",""),Office_Log!$A$2:$A$201,0))&amp;"",IFERROR(INDEX(Clay_Offices!$A$2:$FZ$601,193,Sync!$C$5)&amp;"","")&amp;""))</f>
        <v/>
      </c>
      <c r="E2444" s="23" t="str">
        <f aca="false">IF(B2444="","",IFERROR(INDEX(Clay_Offices!$A$2:$FZ$601,193,Sync!$C$6)&amp;"",""))</f>
        <v/>
      </c>
      <c r="F2444" s="23" t="str">
        <f aca="false">IF(B2444="","","outreach_sent")</f>
        <v/>
      </c>
      <c r="G2444" s="23" t="str">
        <f aca="false">IF(B2444="","","")</f>
        <v/>
      </c>
      <c r="H2444" s="23" t="str">
        <f aca="false">IF(B2444="","","")</f>
        <v/>
      </c>
      <c r="I2444" s="23" t="str">
        <f aca="false">IF(B2444="","","")</f>
        <v/>
      </c>
      <c r="J2444" s="23" t="str">
        <f aca="false">IF(B2444="","","touch_2; "&amp;IFERROR(INDEX(Clay_Offices!$A$2:$FZ$601,193,Sync!$C$10)&amp;"","")&amp;"; "&amp;IFERROR(INDEX(Clay_Offices!$A$2:$FZ$601,193,Sync!$C$9)&amp;"",""))</f>
        <v/>
      </c>
      <c r="K2444" s="32" t="s">
        <v>1364</v>
      </c>
    </row>
    <row r="2445" customFormat="false" ht="15" hidden="false" customHeight="false" outlineLevel="0" collapsed="false">
      <c r="A2445" s="23" t="str">
        <f aca="false">IF(B2445="","",B2445+(13*1000+194)/10000000)</f>
        <v/>
      </c>
      <c r="B2445" s="35" t="str">
        <f aca="false">IF(AND(IFERROR(N(INDEX(Clay_Offices!$A$2:$FZ$601,194,Sync!$C$12)),0)&gt;0,IFERROR(INDEX(Clay_Offices!$A$2:$FZ$601,194,Sync!$C$5)&amp;"","")&lt;&gt;"",OR(LEFT(IFERROR(INDEX(Clay_Offices!$A$2:$FZ$601,194,Sync!$C$5)&amp;"",""),6)&lt;&gt;"SAMPLE",Config!$B$19="Y")),IFERROR(N(INDEX(Clay_Offices!$A$2:$FZ$601,194,Sync!$C$12)),0),"")</f>
        <v/>
      </c>
      <c r="C2445" s="23" t="str">
        <f aca="false">IF(B2445="","","office")</f>
        <v/>
      </c>
      <c r="D2445" s="23" t="str">
        <f aca="false">IF(B2445="","",IFERROR(INDEX(Office_Log!$ED$2:$ED$201,MATCH(IFERROR(INDEX(Clay_Offices!$A$2:$FZ$601,194,Sync!$C$5)&amp;"",""),Office_Log!$A$2:$A$201,0))&amp;"",IFERROR(INDEX(Clay_Offices!$A$2:$FZ$601,194,Sync!$C$5)&amp;"","")&amp;""))</f>
        <v/>
      </c>
      <c r="E2445" s="23" t="str">
        <f aca="false">IF(B2445="","",IFERROR(INDEX(Clay_Offices!$A$2:$FZ$601,194,Sync!$C$6)&amp;"",""))</f>
        <v/>
      </c>
      <c r="F2445" s="23" t="str">
        <f aca="false">IF(B2445="","","outreach_sent")</f>
        <v/>
      </c>
      <c r="G2445" s="23" t="str">
        <f aca="false">IF(B2445="","","")</f>
        <v/>
      </c>
      <c r="H2445" s="23" t="str">
        <f aca="false">IF(B2445="","","")</f>
        <v/>
      </c>
      <c r="I2445" s="23" t="str">
        <f aca="false">IF(B2445="","","")</f>
        <v/>
      </c>
      <c r="J2445" s="23" t="str">
        <f aca="false">IF(B2445="","","touch_2; "&amp;IFERROR(INDEX(Clay_Offices!$A$2:$FZ$601,194,Sync!$C$10)&amp;"","")&amp;"; "&amp;IFERROR(INDEX(Clay_Offices!$A$2:$FZ$601,194,Sync!$C$9)&amp;"",""))</f>
        <v/>
      </c>
      <c r="K2445" s="32" t="s">
        <v>1364</v>
      </c>
    </row>
    <row r="2446" customFormat="false" ht="15" hidden="false" customHeight="false" outlineLevel="0" collapsed="false">
      <c r="A2446" s="23" t="str">
        <f aca="false">IF(B2446="","",B2446+(13*1000+195)/10000000)</f>
        <v/>
      </c>
      <c r="B2446" s="35" t="str">
        <f aca="false">IF(AND(IFERROR(N(INDEX(Clay_Offices!$A$2:$FZ$601,195,Sync!$C$12)),0)&gt;0,IFERROR(INDEX(Clay_Offices!$A$2:$FZ$601,195,Sync!$C$5)&amp;"","")&lt;&gt;"",OR(LEFT(IFERROR(INDEX(Clay_Offices!$A$2:$FZ$601,195,Sync!$C$5)&amp;"",""),6)&lt;&gt;"SAMPLE",Config!$B$19="Y")),IFERROR(N(INDEX(Clay_Offices!$A$2:$FZ$601,195,Sync!$C$12)),0),"")</f>
        <v/>
      </c>
      <c r="C2446" s="23" t="str">
        <f aca="false">IF(B2446="","","office")</f>
        <v/>
      </c>
      <c r="D2446" s="23" t="str">
        <f aca="false">IF(B2446="","",IFERROR(INDEX(Office_Log!$ED$2:$ED$201,MATCH(IFERROR(INDEX(Clay_Offices!$A$2:$FZ$601,195,Sync!$C$5)&amp;"",""),Office_Log!$A$2:$A$201,0))&amp;"",IFERROR(INDEX(Clay_Offices!$A$2:$FZ$601,195,Sync!$C$5)&amp;"","")&amp;""))</f>
        <v/>
      </c>
      <c r="E2446" s="23" t="str">
        <f aca="false">IF(B2446="","",IFERROR(INDEX(Clay_Offices!$A$2:$FZ$601,195,Sync!$C$6)&amp;"",""))</f>
        <v/>
      </c>
      <c r="F2446" s="23" t="str">
        <f aca="false">IF(B2446="","","outreach_sent")</f>
        <v/>
      </c>
      <c r="G2446" s="23" t="str">
        <f aca="false">IF(B2446="","","")</f>
        <v/>
      </c>
      <c r="H2446" s="23" t="str">
        <f aca="false">IF(B2446="","","")</f>
        <v/>
      </c>
      <c r="I2446" s="23" t="str">
        <f aca="false">IF(B2446="","","")</f>
        <v/>
      </c>
      <c r="J2446" s="23" t="str">
        <f aca="false">IF(B2446="","","touch_2; "&amp;IFERROR(INDEX(Clay_Offices!$A$2:$FZ$601,195,Sync!$C$10)&amp;"","")&amp;"; "&amp;IFERROR(INDEX(Clay_Offices!$A$2:$FZ$601,195,Sync!$C$9)&amp;"",""))</f>
        <v/>
      </c>
      <c r="K2446" s="32" t="s">
        <v>1364</v>
      </c>
    </row>
    <row r="2447" customFormat="false" ht="15" hidden="false" customHeight="false" outlineLevel="0" collapsed="false">
      <c r="A2447" s="23" t="str">
        <f aca="false">IF(B2447="","",B2447+(13*1000+196)/10000000)</f>
        <v/>
      </c>
      <c r="B2447" s="35" t="str">
        <f aca="false">IF(AND(IFERROR(N(INDEX(Clay_Offices!$A$2:$FZ$601,196,Sync!$C$12)),0)&gt;0,IFERROR(INDEX(Clay_Offices!$A$2:$FZ$601,196,Sync!$C$5)&amp;"","")&lt;&gt;"",OR(LEFT(IFERROR(INDEX(Clay_Offices!$A$2:$FZ$601,196,Sync!$C$5)&amp;"",""),6)&lt;&gt;"SAMPLE",Config!$B$19="Y")),IFERROR(N(INDEX(Clay_Offices!$A$2:$FZ$601,196,Sync!$C$12)),0),"")</f>
        <v/>
      </c>
      <c r="C2447" s="23" t="str">
        <f aca="false">IF(B2447="","","office")</f>
        <v/>
      </c>
      <c r="D2447" s="23" t="str">
        <f aca="false">IF(B2447="","",IFERROR(INDEX(Office_Log!$ED$2:$ED$201,MATCH(IFERROR(INDEX(Clay_Offices!$A$2:$FZ$601,196,Sync!$C$5)&amp;"",""),Office_Log!$A$2:$A$201,0))&amp;"",IFERROR(INDEX(Clay_Offices!$A$2:$FZ$601,196,Sync!$C$5)&amp;"","")&amp;""))</f>
        <v/>
      </c>
      <c r="E2447" s="23" t="str">
        <f aca="false">IF(B2447="","",IFERROR(INDEX(Clay_Offices!$A$2:$FZ$601,196,Sync!$C$6)&amp;"",""))</f>
        <v/>
      </c>
      <c r="F2447" s="23" t="str">
        <f aca="false">IF(B2447="","","outreach_sent")</f>
        <v/>
      </c>
      <c r="G2447" s="23" t="str">
        <f aca="false">IF(B2447="","","")</f>
        <v/>
      </c>
      <c r="H2447" s="23" t="str">
        <f aca="false">IF(B2447="","","")</f>
        <v/>
      </c>
      <c r="I2447" s="23" t="str">
        <f aca="false">IF(B2447="","","")</f>
        <v/>
      </c>
      <c r="J2447" s="23" t="str">
        <f aca="false">IF(B2447="","","touch_2; "&amp;IFERROR(INDEX(Clay_Offices!$A$2:$FZ$601,196,Sync!$C$10)&amp;"","")&amp;"; "&amp;IFERROR(INDEX(Clay_Offices!$A$2:$FZ$601,196,Sync!$C$9)&amp;"",""))</f>
        <v/>
      </c>
      <c r="K2447" s="32" t="s">
        <v>1364</v>
      </c>
    </row>
    <row r="2448" customFormat="false" ht="15" hidden="false" customHeight="false" outlineLevel="0" collapsed="false">
      <c r="A2448" s="23" t="str">
        <f aca="false">IF(B2448="","",B2448+(13*1000+197)/10000000)</f>
        <v/>
      </c>
      <c r="B2448" s="35" t="str">
        <f aca="false">IF(AND(IFERROR(N(INDEX(Clay_Offices!$A$2:$FZ$601,197,Sync!$C$12)),0)&gt;0,IFERROR(INDEX(Clay_Offices!$A$2:$FZ$601,197,Sync!$C$5)&amp;"","")&lt;&gt;"",OR(LEFT(IFERROR(INDEX(Clay_Offices!$A$2:$FZ$601,197,Sync!$C$5)&amp;"",""),6)&lt;&gt;"SAMPLE",Config!$B$19="Y")),IFERROR(N(INDEX(Clay_Offices!$A$2:$FZ$601,197,Sync!$C$12)),0),"")</f>
        <v/>
      </c>
      <c r="C2448" s="23" t="str">
        <f aca="false">IF(B2448="","","office")</f>
        <v/>
      </c>
      <c r="D2448" s="23" t="str">
        <f aca="false">IF(B2448="","",IFERROR(INDEX(Office_Log!$ED$2:$ED$201,MATCH(IFERROR(INDEX(Clay_Offices!$A$2:$FZ$601,197,Sync!$C$5)&amp;"",""),Office_Log!$A$2:$A$201,0))&amp;"",IFERROR(INDEX(Clay_Offices!$A$2:$FZ$601,197,Sync!$C$5)&amp;"","")&amp;""))</f>
        <v/>
      </c>
      <c r="E2448" s="23" t="str">
        <f aca="false">IF(B2448="","",IFERROR(INDEX(Clay_Offices!$A$2:$FZ$601,197,Sync!$C$6)&amp;"",""))</f>
        <v/>
      </c>
      <c r="F2448" s="23" t="str">
        <f aca="false">IF(B2448="","","outreach_sent")</f>
        <v/>
      </c>
      <c r="G2448" s="23" t="str">
        <f aca="false">IF(B2448="","","")</f>
        <v/>
      </c>
      <c r="H2448" s="23" t="str">
        <f aca="false">IF(B2448="","","")</f>
        <v/>
      </c>
      <c r="I2448" s="23" t="str">
        <f aca="false">IF(B2448="","","")</f>
        <v/>
      </c>
      <c r="J2448" s="23" t="str">
        <f aca="false">IF(B2448="","","touch_2; "&amp;IFERROR(INDEX(Clay_Offices!$A$2:$FZ$601,197,Sync!$C$10)&amp;"","")&amp;"; "&amp;IFERROR(INDEX(Clay_Offices!$A$2:$FZ$601,197,Sync!$C$9)&amp;"",""))</f>
        <v/>
      </c>
      <c r="K2448" s="32" t="s">
        <v>1364</v>
      </c>
    </row>
    <row r="2449" customFormat="false" ht="15" hidden="false" customHeight="false" outlineLevel="0" collapsed="false">
      <c r="A2449" s="23" t="str">
        <f aca="false">IF(B2449="","",B2449+(13*1000+198)/10000000)</f>
        <v/>
      </c>
      <c r="B2449" s="35" t="str">
        <f aca="false">IF(AND(IFERROR(N(INDEX(Clay_Offices!$A$2:$FZ$601,198,Sync!$C$12)),0)&gt;0,IFERROR(INDEX(Clay_Offices!$A$2:$FZ$601,198,Sync!$C$5)&amp;"","")&lt;&gt;"",OR(LEFT(IFERROR(INDEX(Clay_Offices!$A$2:$FZ$601,198,Sync!$C$5)&amp;"",""),6)&lt;&gt;"SAMPLE",Config!$B$19="Y")),IFERROR(N(INDEX(Clay_Offices!$A$2:$FZ$601,198,Sync!$C$12)),0),"")</f>
        <v/>
      </c>
      <c r="C2449" s="23" t="str">
        <f aca="false">IF(B2449="","","office")</f>
        <v/>
      </c>
      <c r="D2449" s="23" t="str">
        <f aca="false">IF(B2449="","",IFERROR(INDEX(Office_Log!$ED$2:$ED$201,MATCH(IFERROR(INDEX(Clay_Offices!$A$2:$FZ$601,198,Sync!$C$5)&amp;"",""),Office_Log!$A$2:$A$201,0))&amp;"",IFERROR(INDEX(Clay_Offices!$A$2:$FZ$601,198,Sync!$C$5)&amp;"","")&amp;""))</f>
        <v/>
      </c>
      <c r="E2449" s="23" t="str">
        <f aca="false">IF(B2449="","",IFERROR(INDEX(Clay_Offices!$A$2:$FZ$601,198,Sync!$C$6)&amp;"",""))</f>
        <v/>
      </c>
      <c r="F2449" s="23" t="str">
        <f aca="false">IF(B2449="","","outreach_sent")</f>
        <v/>
      </c>
      <c r="G2449" s="23" t="str">
        <f aca="false">IF(B2449="","","")</f>
        <v/>
      </c>
      <c r="H2449" s="23" t="str">
        <f aca="false">IF(B2449="","","")</f>
        <v/>
      </c>
      <c r="I2449" s="23" t="str">
        <f aca="false">IF(B2449="","","")</f>
        <v/>
      </c>
      <c r="J2449" s="23" t="str">
        <f aca="false">IF(B2449="","","touch_2; "&amp;IFERROR(INDEX(Clay_Offices!$A$2:$FZ$601,198,Sync!$C$10)&amp;"","")&amp;"; "&amp;IFERROR(INDEX(Clay_Offices!$A$2:$FZ$601,198,Sync!$C$9)&amp;"",""))</f>
        <v/>
      </c>
      <c r="K2449" s="32" t="s">
        <v>1364</v>
      </c>
    </row>
    <row r="2450" customFormat="false" ht="15" hidden="false" customHeight="false" outlineLevel="0" collapsed="false">
      <c r="A2450" s="23" t="str">
        <f aca="false">IF(B2450="","",B2450+(13*1000+199)/10000000)</f>
        <v/>
      </c>
      <c r="B2450" s="35" t="str">
        <f aca="false">IF(AND(IFERROR(N(INDEX(Clay_Offices!$A$2:$FZ$601,199,Sync!$C$12)),0)&gt;0,IFERROR(INDEX(Clay_Offices!$A$2:$FZ$601,199,Sync!$C$5)&amp;"","")&lt;&gt;"",OR(LEFT(IFERROR(INDEX(Clay_Offices!$A$2:$FZ$601,199,Sync!$C$5)&amp;"",""),6)&lt;&gt;"SAMPLE",Config!$B$19="Y")),IFERROR(N(INDEX(Clay_Offices!$A$2:$FZ$601,199,Sync!$C$12)),0),"")</f>
        <v/>
      </c>
      <c r="C2450" s="23" t="str">
        <f aca="false">IF(B2450="","","office")</f>
        <v/>
      </c>
      <c r="D2450" s="23" t="str">
        <f aca="false">IF(B2450="","",IFERROR(INDEX(Office_Log!$ED$2:$ED$201,MATCH(IFERROR(INDEX(Clay_Offices!$A$2:$FZ$601,199,Sync!$C$5)&amp;"",""),Office_Log!$A$2:$A$201,0))&amp;"",IFERROR(INDEX(Clay_Offices!$A$2:$FZ$601,199,Sync!$C$5)&amp;"","")&amp;""))</f>
        <v/>
      </c>
      <c r="E2450" s="23" t="str">
        <f aca="false">IF(B2450="","",IFERROR(INDEX(Clay_Offices!$A$2:$FZ$601,199,Sync!$C$6)&amp;"",""))</f>
        <v/>
      </c>
      <c r="F2450" s="23" t="str">
        <f aca="false">IF(B2450="","","outreach_sent")</f>
        <v/>
      </c>
      <c r="G2450" s="23" t="str">
        <f aca="false">IF(B2450="","","")</f>
        <v/>
      </c>
      <c r="H2450" s="23" t="str">
        <f aca="false">IF(B2450="","","")</f>
        <v/>
      </c>
      <c r="I2450" s="23" t="str">
        <f aca="false">IF(B2450="","","")</f>
        <v/>
      </c>
      <c r="J2450" s="23" t="str">
        <f aca="false">IF(B2450="","","touch_2; "&amp;IFERROR(INDEX(Clay_Offices!$A$2:$FZ$601,199,Sync!$C$10)&amp;"","")&amp;"; "&amp;IFERROR(INDEX(Clay_Offices!$A$2:$FZ$601,199,Sync!$C$9)&amp;"",""))</f>
        <v/>
      </c>
      <c r="K2450" s="32" t="s">
        <v>1364</v>
      </c>
    </row>
    <row r="2451" customFormat="false" ht="15" hidden="false" customHeight="false" outlineLevel="0" collapsed="false">
      <c r="A2451" s="23" t="str">
        <f aca="false">IF(B2451="","",B2451+(13*1000+200)/10000000)</f>
        <v/>
      </c>
      <c r="B2451" s="35" t="str">
        <f aca="false">IF(AND(IFERROR(N(INDEX(Clay_Offices!$A$2:$FZ$601,200,Sync!$C$12)),0)&gt;0,IFERROR(INDEX(Clay_Offices!$A$2:$FZ$601,200,Sync!$C$5)&amp;"","")&lt;&gt;"",OR(LEFT(IFERROR(INDEX(Clay_Offices!$A$2:$FZ$601,200,Sync!$C$5)&amp;"",""),6)&lt;&gt;"SAMPLE",Config!$B$19="Y")),IFERROR(N(INDEX(Clay_Offices!$A$2:$FZ$601,200,Sync!$C$12)),0),"")</f>
        <v/>
      </c>
      <c r="C2451" s="23" t="str">
        <f aca="false">IF(B2451="","","office")</f>
        <v/>
      </c>
      <c r="D2451" s="23" t="str">
        <f aca="false">IF(B2451="","",IFERROR(INDEX(Office_Log!$ED$2:$ED$201,MATCH(IFERROR(INDEX(Clay_Offices!$A$2:$FZ$601,200,Sync!$C$5)&amp;"",""),Office_Log!$A$2:$A$201,0))&amp;"",IFERROR(INDEX(Clay_Offices!$A$2:$FZ$601,200,Sync!$C$5)&amp;"","")&amp;""))</f>
        <v/>
      </c>
      <c r="E2451" s="23" t="str">
        <f aca="false">IF(B2451="","",IFERROR(INDEX(Clay_Offices!$A$2:$FZ$601,200,Sync!$C$6)&amp;"",""))</f>
        <v/>
      </c>
      <c r="F2451" s="23" t="str">
        <f aca="false">IF(B2451="","","outreach_sent")</f>
        <v/>
      </c>
      <c r="G2451" s="23" t="str">
        <f aca="false">IF(B2451="","","")</f>
        <v/>
      </c>
      <c r="H2451" s="23" t="str">
        <f aca="false">IF(B2451="","","")</f>
        <v/>
      </c>
      <c r="I2451" s="23" t="str">
        <f aca="false">IF(B2451="","","")</f>
        <v/>
      </c>
      <c r="J2451" s="23" t="str">
        <f aca="false">IF(B2451="","","touch_2; "&amp;IFERROR(INDEX(Clay_Offices!$A$2:$FZ$601,200,Sync!$C$10)&amp;"","")&amp;"; "&amp;IFERROR(INDEX(Clay_Offices!$A$2:$FZ$601,200,Sync!$C$9)&amp;"",""))</f>
        <v/>
      </c>
      <c r="K2451" s="32" t="s">
        <v>1364</v>
      </c>
    </row>
    <row r="2452" customFormat="false" ht="15" hidden="false" customHeight="false" outlineLevel="0" collapsed="false">
      <c r="A2452" s="23" t="str">
        <f aca="false">IF(B2452="","",B2452+(13*1000+201)/10000000)</f>
        <v/>
      </c>
      <c r="B2452" s="35" t="str">
        <f aca="false">IF(AND(IFERROR(N(INDEX(Clay_Offices!$A$2:$FZ$601,201,Sync!$C$12)),0)&gt;0,IFERROR(INDEX(Clay_Offices!$A$2:$FZ$601,201,Sync!$C$5)&amp;"","")&lt;&gt;"",OR(LEFT(IFERROR(INDEX(Clay_Offices!$A$2:$FZ$601,201,Sync!$C$5)&amp;"",""),6)&lt;&gt;"SAMPLE",Config!$B$19="Y")),IFERROR(N(INDEX(Clay_Offices!$A$2:$FZ$601,201,Sync!$C$12)),0),"")</f>
        <v/>
      </c>
      <c r="C2452" s="23" t="str">
        <f aca="false">IF(B2452="","","office")</f>
        <v/>
      </c>
      <c r="D2452" s="23" t="str">
        <f aca="false">IF(B2452="","",IFERROR(INDEX(Office_Log!$ED$2:$ED$201,MATCH(IFERROR(INDEX(Clay_Offices!$A$2:$FZ$601,201,Sync!$C$5)&amp;"",""),Office_Log!$A$2:$A$201,0))&amp;"",IFERROR(INDEX(Clay_Offices!$A$2:$FZ$601,201,Sync!$C$5)&amp;"","")&amp;""))</f>
        <v/>
      </c>
      <c r="E2452" s="23" t="str">
        <f aca="false">IF(B2452="","",IFERROR(INDEX(Clay_Offices!$A$2:$FZ$601,201,Sync!$C$6)&amp;"",""))</f>
        <v/>
      </c>
      <c r="F2452" s="23" t="str">
        <f aca="false">IF(B2452="","","outreach_sent")</f>
        <v/>
      </c>
      <c r="G2452" s="23" t="str">
        <f aca="false">IF(B2452="","","")</f>
        <v/>
      </c>
      <c r="H2452" s="23" t="str">
        <f aca="false">IF(B2452="","","")</f>
        <v/>
      </c>
      <c r="I2452" s="23" t="str">
        <f aca="false">IF(B2452="","","")</f>
        <v/>
      </c>
      <c r="J2452" s="23" t="str">
        <f aca="false">IF(B2452="","","touch_2; "&amp;IFERROR(INDEX(Clay_Offices!$A$2:$FZ$601,201,Sync!$C$10)&amp;"","")&amp;"; "&amp;IFERROR(INDEX(Clay_Offices!$A$2:$FZ$601,201,Sync!$C$9)&amp;"",""))</f>
        <v/>
      </c>
      <c r="K2452" s="32" t="s">
        <v>1364</v>
      </c>
    </row>
    <row r="2453" customFormat="false" ht="15" hidden="false" customHeight="false" outlineLevel="0" collapsed="false">
      <c r="A2453" s="23" t="str">
        <f aca="false">IF(B2453="","",B2453+(13*1000+202)/10000000)</f>
        <v/>
      </c>
      <c r="B2453" s="35" t="str">
        <f aca="false">IF(AND(IFERROR(N(INDEX(Clay_Offices!$A$2:$FZ$601,202,Sync!$C$12)),0)&gt;0,IFERROR(INDEX(Clay_Offices!$A$2:$FZ$601,202,Sync!$C$5)&amp;"","")&lt;&gt;"",OR(LEFT(IFERROR(INDEX(Clay_Offices!$A$2:$FZ$601,202,Sync!$C$5)&amp;"",""),6)&lt;&gt;"SAMPLE",Config!$B$19="Y")),IFERROR(N(INDEX(Clay_Offices!$A$2:$FZ$601,202,Sync!$C$12)),0),"")</f>
        <v/>
      </c>
      <c r="C2453" s="23" t="str">
        <f aca="false">IF(B2453="","","office")</f>
        <v/>
      </c>
      <c r="D2453" s="23" t="str">
        <f aca="false">IF(B2453="","",IFERROR(INDEX(Office_Log!$ED$2:$ED$201,MATCH(IFERROR(INDEX(Clay_Offices!$A$2:$FZ$601,202,Sync!$C$5)&amp;"",""),Office_Log!$A$2:$A$201,0))&amp;"",IFERROR(INDEX(Clay_Offices!$A$2:$FZ$601,202,Sync!$C$5)&amp;"","")&amp;""))</f>
        <v/>
      </c>
      <c r="E2453" s="23" t="str">
        <f aca="false">IF(B2453="","",IFERROR(INDEX(Clay_Offices!$A$2:$FZ$601,202,Sync!$C$6)&amp;"",""))</f>
        <v/>
      </c>
      <c r="F2453" s="23" t="str">
        <f aca="false">IF(B2453="","","outreach_sent")</f>
        <v/>
      </c>
      <c r="G2453" s="23" t="str">
        <f aca="false">IF(B2453="","","")</f>
        <v/>
      </c>
      <c r="H2453" s="23" t="str">
        <f aca="false">IF(B2453="","","")</f>
        <v/>
      </c>
      <c r="I2453" s="23" t="str">
        <f aca="false">IF(B2453="","","")</f>
        <v/>
      </c>
      <c r="J2453" s="23" t="str">
        <f aca="false">IF(B2453="","","touch_2; "&amp;IFERROR(INDEX(Clay_Offices!$A$2:$FZ$601,202,Sync!$C$10)&amp;"","")&amp;"; "&amp;IFERROR(INDEX(Clay_Offices!$A$2:$FZ$601,202,Sync!$C$9)&amp;"",""))</f>
        <v/>
      </c>
      <c r="K2453" s="32" t="s">
        <v>1364</v>
      </c>
    </row>
    <row r="2454" customFormat="false" ht="15" hidden="false" customHeight="false" outlineLevel="0" collapsed="false">
      <c r="A2454" s="23" t="str">
        <f aca="false">IF(B2454="","",B2454+(13*1000+203)/10000000)</f>
        <v/>
      </c>
      <c r="B2454" s="35" t="str">
        <f aca="false">IF(AND(IFERROR(N(INDEX(Clay_Offices!$A$2:$FZ$601,203,Sync!$C$12)),0)&gt;0,IFERROR(INDEX(Clay_Offices!$A$2:$FZ$601,203,Sync!$C$5)&amp;"","")&lt;&gt;"",OR(LEFT(IFERROR(INDEX(Clay_Offices!$A$2:$FZ$601,203,Sync!$C$5)&amp;"",""),6)&lt;&gt;"SAMPLE",Config!$B$19="Y")),IFERROR(N(INDEX(Clay_Offices!$A$2:$FZ$601,203,Sync!$C$12)),0),"")</f>
        <v/>
      </c>
      <c r="C2454" s="23" t="str">
        <f aca="false">IF(B2454="","","office")</f>
        <v/>
      </c>
      <c r="D2454" s="23" t="str">
        <f aca="false">IF(B2454="","",IFERROR(INDEX(Office_Log!$ED$2:$ED$201,MATCH(IFERROR(INDEX(Clay_Offices!$A$2:$FZ$601,203,Sync!$C$5)&amp;"",""),Office_Log!$A$2:$A$201,0))&amp;"",IFERROR(INDEX(Clay_Offices!$A$2:$FZ$601,203,Sync!$C$5)&amp;"","")&amp;""))</f>
        <v/>
      </c>
      <c r="E2454" s="23" t="str">
        <f aca="false">IF(B2454="","",IFERROR(INDEX(Clay_Offices!$A$2:$FZ$601,203,Sync!$C$6)&amp;"",""))</f>
        <v/>
      </c>
      <c r="F2454" s="23" t="str">
        <f aca="false">IF(B2454="","","outreach_sent")</f>
        <v/>
      </c>
      <c r="G2454" s="23" t="str">
        <f aca="false">IF(B2454="","","")</f>
        <v/>
      </c>
      <c r="H2454" s="23" t="str">
        <f aca="false">IF(B2454="","","")</f>
        <v/>
      </c>
      <c r="I2454" s="23" t="str">
        <f aca="false">IF(B2454="","","")</f>
        <v/>
      </c>
      <c r="J2454" s="23" t="str">
        <f aca="false">IF(B2454="","","touch_2; "&amp;IFERROR(INDEX(Clay_Offices!$A$2:$FZ$601,203,Sync!$C$10)&amp;"","")&amp;"; "&amp;IFERROR(INDEX(Clay_Offices!$A$2:$FZ$601,203,Sync!$C$9)&amp;"",""))</f>
        <v/>
      </c>
      <c r="K2454" s="32" t="s">
        <v>1364</v>
      </c>
    </row>
    <row r="2455" customFormat="false" ht="15" hidden="false" customHeight="false" outlineLevel="0" collapsed="false">
      <c r="A2455" s="23" t="str">
        <f aca="false">IF(B2455="","",B2455+(13*1000+204)/10000000)</f>
        <v/>
      </c>
      <c r="B2455" s="35" t="str">
        <f aca="false">IF(AND(IFERROR(N(INDEX(Clay_Offices!$A$2:$FZ$601,204,Sync!$C$12)),0)&gt;0,IFERROR(INDEX(Clay_Offices!$A$2:$FZ$601,204,Sync!$C$5)&amp;"","")&lt;&gt;"",OR(LEFT(IFERROR(INDEX(Clay_Offices!$A$2:$FZ$601,204,Sync!$C$5)&amp;"",""),6)&lt;&gt;"SAMPLE",Config!$B$19="Y")),IFERROR(N(INDEX(Clay_Offices!$A$2:$FZ$601,204,Sync!$C$12)),0),"")</f>
        <v/>
      </c>
      <c r="C2455" s="23" t="str">
        <f aca="false">IF(B2455="","","office")</f>
        <v/>
      </c>
      <c r="D2455" s="23" t="str">
        <f aca="false">IF(B2455="","",IFERROR(INDEX(Office_Log!$ED$2:$ED$201,MATCH(IFERROR(INDEX(Clay_Offices!$A$2:$FZ$601,204,Sync!$C$5)&amp;"",""),Office_Log!$A$2:$A$201,0))&amp;"",IFERROR(INDEX(Clay_Offices!$A$2:$FZ$601,204,Sync!$C$5)&amp;"","")&amp;""))</f>
        <v/>
      </c>
      <c r="E2455" s="23" t="str">
        <f aca="false">IF(B2455="","",IFERROR(INDEX(Clay_Offices!$A$2:$FZ$601,204,Sync!$C$6)&amp;"",""))</f>
        <v/>
      </c>
      <c r="F2455" s="23" t="str">
        <f aca="false">IF(B2455="","","outreach_sent")</f>
        <v/>
      </c>
      <c r="G2455" s="23" t="str">
        <f aca="false">IF(B2455="","","")</f>
        <v/>
      </c>
      <c r="H2455" s="23" t="str">
        <f aca="false">IF(B2455="","","")</f>
        <v/>
      </c>
      <c r="I2455" s="23" t="str">
        <f aca="false">IF(B2455="","","")</f>
        <v/>
      </c>
      <c r="J2455" s="23" t="str">
        <f aca="false">IF(B2455="","","touch_2; "&amp;IFERROR(INDEX(Clay_Offices!$A$2:$FZ$601,204,Sync!$C$10)&amp;"","")&amp;"; "&amp;IFERROR(INDEX(Clay_Offices!$A$2:$FZ$601,204,Sync!$C$9)&amp;"",""))</f>
        <v/>
      </c>
      <c r="K2455" s="32" t="s">
        <v>1364</v>
      </c>
    </row>
    <row r="2456" customFormat="false" ht="15" hidden="false" customHeight="false" outlineLevel="0" collapsed="false">
      <c r="A2456" s="23" t="str">
        <f aca="false">IF(B2456="","",B2456+(13*1000+205)/10000000)</f>
        <v/>
      </c>
      <c r="B2456" s="35" t="str">
        <f aca="false">IF(AND(IFERROR(N(INDEX(Clay_Offices!$A$2:$FZ$601,205,Sync!$C$12)),0)&gt;0,IFERROR(INDEX(Clay_Offices!$A$2:$FZ$601,205,Sync!$C$5)&amp;"","")&lt;&gt;"",OR(LEFT(IFERROR(INDEX(Clay_Offices!$A$2:$FZ$601,205,Sync!$C$5)&amp;"",""),6)&lt;&gt;"SAMPLE",Config!$B$19="Y")),IFERROR(N(INDEX(Clay_Offices!$A$2:$FZ$601,205,Sync!$C$12)),0),"")</f>
        <v/>
      </c>
      <c r="C2456" s="23" t="str">
        <f aca="false">IF(B2456="","","office")</f>
        <v/>
      </c>
      <c r="D2456" s="23" t="str">
        <f aca="false">IF(B2456="","",IFERROR(INDEX(Office_Log!$ED$2:$ED$201,MATCH(IFERROR(INDEX(Clay_Offices!$A$2:$FZ$601,205,Sync!$C$5)&amp;"",""),Office_Log!$A$2:$A$201,0))&amp;"",IFERROR(INDEX(Clay_Offices!$A$2:$FZ$601,205,Sync!$C$5)&amp;"","")&amp;""))</f>
        <v/>
      </c>
      <c r="E2456" s="23" t="str">
        <f aca="false">IF(B2456="","",IFERROR(INDEX(Clay_Offices!$A$2:$FZ$601,205,Sync!$C$6)&amp;"",""))</f>
        <v/>
      </c>
      <c r="F2456" s="23" t="str">
        <f aca="false">IF(B2456="","","outreach_sent")</f>
        <v/>
      </c>
      <c r="G2456" s="23" t="str">
        <f aca="false">IF(B2456="","","")</f>
        <v/>
      </c>
      <c r="H2456" s="23" t="str">
        <f aca="false">IF(B2456="","","")</f>
        <v/>
      </c>
      <c r="I2456" s="23" t="str">
        <f aca="false">IF(B2456="","","")</f>
        <v/>
      </c>
      <c r="J2456" s="23" t="str">
        <f aca="false">IF(B2456="","","touch_2; "&amp;IFERROR(INDEX(Clay_Offices!$A$2:$FZ$601,205,Sync!$C$10)&amp;"","")&amp;"; "&amp;IFERROR(INDEX(Clay_Offices!$A$2:$FZ$601,205,Sync!$C$9)&amp;"",""))</f>
        <v/>
      </c>
      <c r="K2456" s="32" t="s">
        <v>1364</v>
      </c>
    </row>
    <row r="2457" customFormat="false" ht="15" hidden="false" customHeight="false" outlineLevel="0" collapsed="false">
      <c r="A2457" s="23" t="str">
        <f aca="false">IF(B2457="","",B2457+(13*1000+206)/10000000)</f>
        <v/>
      </c>
      <c r="B2457" s="35" t="str">
        <f aca="false">IF(AND(IFERROR(N(INDEX(Clay_Offices!$A$2:$FZ$601,206,Sync!$C$12)),0)&gt;0,IFERROR(INDEX(Clay_Offices!$A$2:$FZ$601,206,Sync!$C$5)&amp;"","")&lt;&gt;"",OR(LEFT(IFERROR(INDEX(Clay_Offices!$A$2:$FZ$601,206,Sync!$C$5)&amp;"",""),6)&lt;&gt;"SAMPLE",Config!$B$19="Y")),IFERROR(N(INDEX(Clay_Offices!$A$2:$FZ$601,206,Sync!$C$12)),0),"")</f>
        <v/>
      </c>
      <c r="C2457" s="23" t="str">
        <f aca="false">IF(B2457="","","office")</f>
        <v/>
      </c>
      <c r="D2457" s="23" t="str">
        <f aca="false">IF(B2457="","",IFERROR(INDEX(Office_Log!$ED$2:$ED$201,MATCH(IFERROR(INDEX(Clay_Offices!$A$2:$FZ$601,206,Sync!$C$5)&amp;"",""),Office_Log!$A$2:$A$201,0))&amp;"",IFERROR(INDEX(Clay_Offices!$A$2:$FZ$601,206,Sync!$C$5)&amp;"","")&amp;""))</f>
        <v/>
      </c>
      <c r="E2457" s="23" t="str">
        <f aca="false">IF(B2457="","",IFERROR(INDEX(Clay_Offices!$A$2:$FZ$601,206,Sync!$C$6)&amp;"",""))</f>
        <v/>
      </c>
      <c r="F2457" s="23" t="str">
        <f aca="false">IF(B2457="","","outreach_sent")</f>
        <v/>
      </c>
      <c r="G2457" s="23" t="str">
        <f aca="false">IF(B2457="","","")</f>
        <v/>
      </c>
      <c r="H2457" s="23" t="str">
        <f aca="false">IF(B2457="","","")</f>
        <v/>
      </c>
      <c r="I2457" s="23" t="str">
        <f aca="false">IF(B2457="","","")</f>
        <v/>
      </c>
      <c r="J2457" s="23" t="str">
        <f aca="false">IF(B2457="","","touch_2; "&amp;IFERROR(INDEX(Clay_Offices!$A$2:$FZ$601,206,Sync!$C$10)&amp;"","")&amp;"; "&amp;IFERROR(INDEX(Clay_Offices!$A$2:$FZ$601,206,Sync!$C$9)&amp;"",""))</f>
        <v/>
      </c>
      <c r="K2457" s="32" t="s">
        <v>1364</v>
      </c>
    </row>
    <row r="2458" customFormat="false" ht="15" hidden="false" customHeight="false" outlineLevel="0" collapsed="false">
      <c r="A2458" s="23" t="str">
        <f aca="false">IF(B2458="","",B2458+(13*1000+207)/10000000)</f>
        <v/>
      </c>
      <c r="B2458" s="35" t="str">
        <f aca="false">IF(AND(IFERROR(N(INDEX(Clay_Offices!$A$2:$FZ$601,207,Sync!$C$12)),0)&gt;0,IFERROR(INDEX(Clay_Offices!$A$2:$FZ$601,207,Sync!$C$5)&amp;"","")&lt;&gt;"",OR(LEFT(IFERROR(INDEX(Clay_Offices!$A$2:$FZ$601,207,Sync!$C$5)&amp;"",""),6)&lt;&gt;"SAMPLE",Config!$B$19="Y")),IFERROR(N(INDEX(Clay_Offices!$A$2:$FZ$601,207,Sync!$C$12)),0),"")</f>
        <v/>
      </c>
      <c r="C2458" s="23" t="str">
        <f aca="false">IF(B2458="","","office")</f>
        <v/>
      </c>
      <c r="D2458" s="23" t="str">
        <f aca="false">IF(B2458="","",IFERROR(INDEX(Office_Log!$ED$2:$ED$201,MATCH(IFERROR(INDEX(Clay_Offices!$A$2:$FZ$601,207,Sync!$C$5)&amp;"",""),Office_Log!$A$2:$A$201,0))&amp;"",IFERROR(INDEX(Clay_Offices!$A$2:$FZ$601,207,Sync!$C$5)&amp;"","")&amp;""))</f>
        <v/>
      </c>
      <c r="E2458" s="23" t="str">
        <f aca="false">IF(B2458="","",IFERROR(INDEX(Clay_Offices!$A$2:$FZ$601,207,Sync!$C$6)&amp;"",""))</f>
        <v/>
      </c>
      <c r="F2458" s="23" t="str">
        <f aca="false">IF(B2458="","","outreach_sent")</f>
        <v/>
      </c>
      <c r="G2458" s="23" t="str">
        <f aca="false">IF(B2458="","","")</f>
        <v/>
      </c>
      <c r="H2458" s="23" t="str">
        <f aca="false">IF(B2458="","","")</f>
        <v/>
      </c>
      <c r="I2458" s="23" t="str">
        <f aca="false">IF(B2458="","","")</f>
        <v/>
      </c>
      <c r="J2458" s="23" t="str">
        <f aca="false">IF(B2458="","","touch_2; "&amp;IFERROR(INDEX(Clay_Offices!$A$2:$FZ$601,207,Sync!$C$10)&amp;"","")&amp;"; "&amp;IFERROR(INDEX(Clay_Offices!$A$2:$FZ$601,207,Sync!$C$9)&amp;"",""))</f>
        <v/>
      </c>
      <c r="K2458" s="32" t="s">
        <v>1364</v>
      </c>
    </row>
    <row r="2459" customFormat="false" ht="15" hidden="false" customHeight="false" outlineLevel="0" collapsed="false">
      <c r="A2459" s="23" t="str">
        <f aca="false">IF(B2459="","",B2459+(13*1000+208)/10000000)</f>
        <v/>
      </c>
      <c r="B2459" s="35" t="str">
        <f aca="false">IF(AND(IFERROR(N(INDEX(Clay_Offices!$A$2:$FZ$601,208,Sync!$C$12)),0)&gt;0,IFERROR(INDEX(Clay_Offices!$A$2:$FZ$601,208,Sync!$C$5)&amp;"","")&lt;&gt;"",OR(LEFT(IFERROR(INDEX(Clay_Offices!$A$2:$FZ$601,208,Sync!$C$5)&amp;"",""),6)&lt;&gt;"SAMPLE",Config!$B$19="Y")),IFERROR(N(INDEX(Clay_Offices!$A$2:$FZ$601,208,Sync!$C$12)),0),"")</f>
        <v/>
      </c>
      <c r="C2459" s="23" t="str">
        <f aca="false">IF(B2459="","","office")</f>
        <v/>
      </c>
      <c r="D2459" s="23" t="str">
        <f aca="false">IF(B2459="","",IFERROR(INDEX(Office_Log!$ED$2:$ED$201,MATCH(IFERROR(INDEX(Clay_Offices!$A$2:$FZ$601,208,Sync!$C$5)&amp;"",""),Office_Log!$A$2:$A$201,0))&amp;"",IFERROR(INDEX(Clay_Offices!$A$2:$FZ$601,208,Sync!$C$5)&amp;"","")&amp;""))</f>
        <v/>
      </c>
      <c r="E2459" s="23" t="str">
        <f aca="false">IF(B2459="","",IFERROR(INDEX(Clay_Offices!$A$2:$FZ$601,208,Sync!$C$6)&amp;"",""))</f>
        <v/>
      </c>
      <c r="F2459" s="23" t="str">
        <f aca="false">IF(B2459="","","outreach_sent")</f>
        <v/>
      </c>
      <c r="G2459" s="23" t="str">
        <f aca="false">IF(B2459="","","")</f>
        <v/>
      </c>
      <c r="H2459" s="23" t="str">
        <f aca="false">IF(B2459="","","")</f>
        <v/>
      </c>
      <c r="I2459" s="23" t="str">
        <f aca="false">IF(B2459="","","")</f>
        <v/>
      </c>
      <c r="J2459" s="23" t="str">
        <f aca="false">IF(B2459="","","touch_2; "&amp;IFERROR(INDEX(Clay_Offices!$A$2:$FZ$601,208,Sync!$C$10)&amp;"","")&amp;"; "&amp;IFERROR(INDEX(Clay_Offices!$A$2:$FZ$601,208,Sync!$C$9)&amp;"",""))</f>
        <v/>
      </c>
      <c r="K2459" s="32" t="s">
        <v>1364</v>
      </c>
    </row>
    <row r="2460" customFormat="false" ht="15" hidden="false" customHeight="false" outlineLevel="0" collapsed="false">
      <c r="A2460" s="23" t="str">
        <f aca="false">IF(B2460="","",B2460+(13*1000+209)/10000000)</f>
        <v/>
      </c>
      <c r="B2460" s="35" t="str">
        <f aca="false">IF(AND(IFERROR(N(INDEX(Clay_Offices!$A$2:$FZ$601,209,Sync!$C$12)),0)&gt;0,IFERROR(INDEX(Clay_Offices!$A$2:$FZ$601,209,Sync!$C$5)&amp;"","")&lt;&gt;"",OR(LEFT(IFERROR(INDEX(Clay_Offices!$A$2:$FZ$601,209,Sync!$C$5)&amp;"",""),6)&lt;&gt;"SAMPLE",Config!$B$19="Y")),IFERROR(N(INDEX(Clay_Offices!$A$2:$FZ$601,209,Sync!$C$12)),0),"")</f>
        <v/>
      </c>
      <c r="C2460" s="23" t="str">
        <f aca="false">IF(B2460="","","office")</f>
        <v/>
      </c>
      <c r="D2460" s="23" t="str">
        <f aca="false">IF(B2460="","",IFERROR(INDEX(Office_Log!$ED$2:$ED$201,MATCH(IFERROR(INDEX(Clay_Offices!$A$2:$FZ$601,209,Sync!$C$5)&amp;"",""),Office_Log!$A$2:$A$201,0))&amp;"",IFERROR(INDEX(Clay_Offices!$A$2:$FZ$601,209,Sync!$C$5)&amp;"","")&amp;""))</f>
        <v/>
      </c>
      <c r="E2460" s="23" t="str">
        <f aca="false">IF(B2460="","",IFERROR(INDEX(Clay_Offices!$A$2:$FZ$601,209,Sync!$C$6)&amp;"",""))</f>
        <v/>
      </c>
      <c r="F2460" s="23" t="str">
        <f aca="false">IF(B2460="","","outreach_sent")</f>
        <v/>
      </c>
      <c r="G2460" s="23" t="str">
        <f aca="false">IF(B2460="","","")</f>
        <v/>
      </c>
      <c r="H2460" s="23" t="str">
        <f aca="false">IF(B2460="","","")</f>
        <v/>
      </c>
      <c r="I2460" s="23" t="str">
        <f aca="false">IF(B2460="","","")</f>
        <v/>
      </c>
      <c r="J2460" s="23" t="str">
        <f aca="false">IF(B2460="","","touch_2; "&amp;IFERROR(INDEX(Clay_Offices!$A$2:$FZ$601,209,Sync!$C$10)&amp;"","")&amp;"; "&amp;IFERROR(INDEX(Clay_Offices!$A$2:$FZ$601,209,Sync!$C$9)&amp;"",""))</f>
        <v/>
      </c>
      <c r="K2460" s="32" t="s">
        <v>1364</v>
      </c>
    </row>
    <row r="2461" customFormat="false" ht="15" hidden="false" customHeight="false" outlineLevel="0" collapsed="false">
      <c r="A2461" s="23" t="str">
        <f aca="false">IF(B2461="","",B2461+(13*1000+210)/10000000)</f>
        <v/>
      </c>
      <c r="B2461" s="35" t="str">
        <f aca="false">IF(AND(IFERROR(N(INDEX(Clay_Offices!$A$2:$FZ$601,210,Sync!$C$12)),0)&gt;0,IFERROR(INDEX(Clay_Offices!$A$2:$FZ$601,210,Sync!$C$5)&amp;"","")&lt;&gt;"",OR(LEFT(IFERROR(INDEX(Clay_Offices!$A$2:$FZ$601,210,Sync!$C$5)&amp;"",""),6)&lt;&gt;"SAMPLE",Config!$B$19="Y")),IFERROR(N(INDEX(Clay_Offices!$A$2:$FZ$601,210,Sync!$C$12)),0),"")</f>
        <v/>
      </c>
      <c r="C2461" s="23" t="str">
        <f aca="false">IF(B2461="","","office")</f>
        <v/>
      </c>
      <c r="D2461" s="23" t="str">
        <f aca="false">IF(B2461="","",IFERROR(INDEX(Office_Log!$ED$2:$ED$201,MATCH(IFERROR(INDEX(Clay_Offices!$A$2:$FZ$601,210,Sync!$C$5)&amp;"",""),Office_Log!$A$2:$A$201,0))&amp;"",IFERROR(INDEX(Clay_Offices!$A$2:$FZ$601,210,Sync!$C$5)&amp;"","")&amp;""))</f>
        <v/>
      </c>
      <c r="E2461" s="23" t="str">
        <f aca="false">IF(B2461="","",IFERROR(INDEX(Clay_Offices!$A$2:$FZ$601,210,Sync!$C$6)&amp;"",""))</f>
        <v/>
      </c>
      <c r="F2461" s="23" t="str">
        <f aca="false">IF(B2461="","","outreach_sent")</f>
        <v/>
      </c>
      <c r="G2461" s="23" t="str">
        <f aca="false">IF(B2461="","","")</f>
        <v/>
      </c>
      <c r="H2461" s="23" t="str">
        <f aca="false">IF(B2461="","","")</f>
        <v/>
      </c>
      <c r="I2461" s="23" t="str">
        <f aca="false">IF(B2461="","","")</f>
        <v/>
      </c>
      <c r="J2461" s="23" t="str">
        <f aca="false">IF(B2461="","","touch_2; "&amp;IFERROR(INDEX(Clay_Offices!$A$2:$FZ$601,210,Sync!$C$10)&amp;"","")&amp;"; "&amp;IFERROR(INDEX(Clay_Offices!$A$2:$FZ$601,210,Sync!$C$9)&amp;"",""))</f>
        <v/>
      </c>
      <c r="K2461" s="32" t="s">
        <v>1364</v>
      </c>
    </row>
    <row r="2462" customFormat="false" ht="15" hidden="false" customHeight="false" outlineLevel="0" collapsed="false">
      <c r="A2462" s="23" t="str">
        <f aca="false">IF(B2462="","",B2462+(13*1000+211)/10000000)</f>
        <v/>
      </c>
      <c r="B2462" s="35" t="str">
        <f aca="false">IF(AND(IFERROR(N(INDEX(Clay_Offices!$A$2:$FZ$601,211,Sync!$C$12)),0)&gt;0,IFERROR(INDEX(Clay_Offices!$A$2:$FZ$601,211,Sync!$C$5)&amp;"","")&lt;&gt;"",OR(LEFT(IFERROR(INDEX(Clay_Offices!$A$2:$FZ$601,211,Sync!$C$5)&amp;"",""),6)&lt;&gt;"SAMPLE",Config!$B$19="Y")),IFERROR(N(INDEX(Clay_Offices!$A$2:$FZ$601,211,Sync!$C$12)),0),"")</f>
        <v/>
      </c>
      <c r="C2462" s="23" t="str">
        <f aca="false">IF(B2462="","","office")</f>
        <v/>
      </c>
      <c r="D2462" s="23" t="str">
        <f aca="false">IF(B2462="","",IFERROR(INDEX(Office_Log!$ED$2:$ED$201,MATCH(IFERROR(INDEX(Clay_Offices!$A$2:$FZ$601,211,Sync!$C$5)&amp;"",""),Office_Log!$A$2:$A$201,0))&amp;"",IFERROR(INDEX(Clay_Offices!$A$2:$FZ$601,211,Sync!$C$5)&amp;"","")&amp;""))</f>
        <v/>
      </c>
      <c r="E2462" s="23" t="str">
        <f aca="false">IF(B2462="","",IFERROR(INDEX(Clay_Offices!$A$2:$FZ$601,211,Sync!$C$6)&amp;"",""))</f>
        <v/>
      </c>
      <c r="F2462" s="23" t="str">
        <f aca="false">IF(B2462="","","outreach_sent")</f>
        <v/>
      </c>
      <c r="G2462" s="23" t="str">
        <f aca="false">IF(B2462="","","")</f>
        <v/>
      </c>
      <c r="H2462" s="23" t="str">
        <f aca="false">IF(B2462="","","")</f>
        <v/>
      </c>
      <c r="I2462" s="23" t="str">
        <f aca="false">IF(B2462="","","")</f>
        <v/>
      </c>
      <c r="J2462" s="23" t="str">
        <f aca="false">IF(B2462="","","touch_2; "&amp;IFERROR(INDEX(Clay_Offices!$A$2:$FZ$601,211,Sync!$C$10)&amp;"","")&amp;"; "&amp;IFERROR(INDEX(Clay_Offices!$A$2:$FZ$601,211,Sync!$C$9)&amp;"",""))</f>
        <v/>
      </c>
      <c r="K2462" s="32" t="s">
        <v>1364</v>
      </c>
    </row>
    <row r="2463" customFormat="false" ht="15" hidden="false" customHeight="false" outlineLevel="0" collapsed="false">
      <c r="A2463" s="23" t="str">
        <f aca="false">IF(B2463="","",B2463+(13*1000+212)/10000000)</f>
        <v/>
      </c>
      <c r="B2463" s="35" t="str">
        <f aca="false">IF(AND(IFERROR(N(INDEX(Clay_Offices!$A$2:$FZ$601,212,Sync!$C$12)),0)&gt;0,IFERROR(INDEX(Clay_Offices!$A$2:$FZ$601,212,Sync!$C$5)&amp;"","")&lt;&gt;"",OR(LEFT(IFERROR(INDEX(Clay_Offices!$A$2:$FZ$601,212,Sync!$C$5)&amp;"",""),6)&lt;&gt;"SAMPLE",Config!$B$19="Y")),IFERROR(N(INDEX(Clay_Offices!$A$2:$FZ$601,212,Sync!$C$12)),0),"")</f>
        <v/>
      </c>
      <c r="C2463" s="23" t="str">
        <f aca="false">IF(B2463="","","office")</f>
        <v/>
      </c>
      <c r="D2463" s="23" t="str">
        <f aca="false">IF(B2463="","",IFERROR(INDEX(Office_Log!$ED$2:$ED$201,MATCH(IFERROR(INDEX(Clay_Offices!$A$2:$FZ$601,212,Sync!$C$5)&amp;"",""),Office_Log!$A$2:$A$201,0))&amp;"",IFERROR(INDEX(Clay_Offices!$A$2:$FZ$601,212,Sync!$C$5)&amp;"","")&amp;""))</f>
        <v/>
      </c>
      <c r="E2463" s="23" t="str">
        <f aca="false">IF(B2463="","",IFERROR(INDEX(Clay_Offices!$A$2:$FZ$601,212,Sync!$C$6)&amp;"",""))</f>
        <v/>
      </c>
      <c r="F2463" s="23" t="str">
        <f aca="false">IF(B2463="","","outreach_sent")</f>
        <v/>
      </c>
      <c r="G2463" s="23" t="str">
        <f aca="false">IF(B2463="","","")</f>
        <v/>
      </c>
      <c r="H2463" s="23" t="str">
        <f aca="false">IF(B2463="","","")</f>
        <v/>
      </c>
      <c r="I2463" s="23" t="str">
        <f aca="false">IF(B2463="","","")</f>
        <v/>
      </c>
      <c r="J2463" s="23" t="str">
        <f aca="false">IF(B2463="","","touch_2; "&amp;IFERROR(INDEX(Clay_Offices!$A$2:$FZ$601,212,Sync!$C$10)&amp;"","")&amp;"; "&amp;IFERROR(INDEX(Clay_Offices!$A$2:$FZ$601,212,Sync!$C$9)&amp;"",""))</f>
        <v/>
      </c>
      <c r="K2463" s="32" t="s">
        <v>1364</v>
      </c>
    </row>
    <row r="2464" customFormat="false" ht="15" hidden="false" customHeight="false" outlineLevel="0" collapsed="false">
      <c r="A2464" s="23" t="str">
        <f aca="false">IF(B2464="","",B2464+(13*1000+213)/10000000)</f>
        <v/>
      </c>
      <c r="B2464" s="35" t="str">
        <f aca="false">IF(AND(IFERROR(N(INDEX(Clay_Offices!$A$2:$FZ$601,213,Sync!$C$12)),0)&gt;0,IFERROR(INDEX(Clay_Offices!$A$2:$FZ$601,213,Sync!$C$5)&amp;"","")&lt;&gt;"",OR(LEFT(IFERROR(INDEX(Clay_Offices!$A$2:$FZ$601,213,Sync!$C$5)&amp;"",""),6)&lt;&gt;"SAMPLE",Config!$B$19="Y")),IFERROR(N(INDEX(Clay_Offices!$A$2:$FZ$601,213,Sync!$C$12)),0),"")</f>
        <v/>
      </c>
      <c r="C2464" s="23" t="str">
        <f aca="false">IF(B2464="","","office")</f>
        <v/>
      </c>
      <c r="D2464" s="23" t="str">
        <f aca="false">IF(B2464="","",IFERROR(INDEX(Office_Log!$ED$2:$ED$201,MATCH(IFERROR(INDEX(Clay_Offices!$A$2:$FZ$601,213,Sync!$C$5)&amp;"",""),Office_Log!$A$2:$A$201,0))&amp;"",IFERROR(INDEX(Clay_Offices!$A$2:$FZ$601,213,Sync!$C$5)&amp;"","")&amp;""))</f>
        <v/>
      </c>
      <c r="E2464" s="23" t="str">
        <f aca="false">IF(B2464="","",IFERROR(INDEX(Clay_Offices!$A$2:$FZ$601,213,Sync!$C$6)&amp;"",""))</f>
        <v/>
      </c>
      <c r="F2464" s="23" t="str">
        <f aca="false">IF(B2464="","","outreach_sent")</f>
        <v/>
      </c>
      <c r="G2464" s="23" t="str">
        <f aca="false">IF(B2464="","","")</f>
        <v/>
      </c>
      <c r="H2464" s="23" t="str">
        <f aca="false">IF(B2464="","","")</f>
        <v/>
      </c>
      <c r="I2464" s="23" t="str">
        <f aca="false">IF(B2464="","","")</f>
        <v/>
      </c>
      <c r="J2464" s="23" t="str">
        <f aca="false">IF(B2464="","","touch_2; "&amp;IFERROR(INDEX(Clay_Offices!$A$2:$FZ$601,213,Sync!$C$10)&amp;"","")&amp;"; "&amp;IFERROR(INDEX(Clay_Offices!$A$2:$FZ$601,213,Sync!$C$9)&amp;"",""))</f>
        <v/>
      </c>
      <c r="K2464" s="32" t="s">
        <v>1364</v>
      </c>
    </row>
    <row r="2465" customFormat="false" ht="15" hidden="false" customHeight="false" outlineLevel="0" collapsed="false">
      <c r="A2465" s="23" t="str">
        <f aca="false">IF(B2465="","",B2465+(13*1000+214)/10000000)</f>
        <v/>
      </c>
      <c r="B2465" s="35" t="str">
        <f aca="false">IF(AND(IFERROR(N(INDEX(Clay_Offices!$A$2:$FZ$601,214,Sync!$C$12)),0)&gt;0,IFERROR(INDEX(Clay_Offices!$A$2:$FZ$601,214,Sync!$C$5)&amp;"","")&lt;&gt;"",OR(LEFT(IFERROR(INDEX(Clay_Offices!$A$2:$FZ$601,214,Sync!$C$5)&amp;"",""),6)&lt;&gt;"SAMPLE",Config!$B$19="Y")),IFERROR(N(INDEX(Clay_Offices!$A$2:$FZ$601,214,Sync!$C$12)),0),"")</f>
        <v/>
      </c>
      <c r="C2465" s="23" t="str">
        <f aca="false">IF(B2465="","","office")</f>
        <v/>
      </c>
      <c r="D2465" s="23" t="str">
        <f aca="false">IF(B2465="","",IFERROR(INDEX(Office_Log!$ED$2:$ED$201,MATCH(IFERROR(INDEX(Clay_Offices!$A$2:$FZ$601,214,Sync!$C$5)&amp;"",""),Office_Log!$A$2:$A$201,0))&amp;"",IFERROR(INDEX(Clay_Offices!$A$2:$FZ$601,214,Sync!$C$5)&amp;"","")&amp;""))</f>
        <v/>
      </c>
      <c r="E2465" s="23" t="str">
        <f aca="false">IF(B2465="","",IFERROR(INDEX(Clay_Offices!$A$2:$FZ$601,214,Sync!$C$6)&amp;"",""))</f>
        <v/>
      </c>
      <c r="F2465" s="23" t="str">
        <f aca="false">IF(B2465="","","outreach_sent")</f>
        <v/>
      </c>
      <c r="G2465" s="23" t="str">
        <f aca="false">IF(B2465="","","")</f>
        <v/>
      </c>
      <c r="H2465" s="23" t="str">
        <f aca="false">IF(B2465="","","")</f>
        <v/>
      </c>
      <c r="I2465" s="23" t="str">
        <f aca="false">IF(B2465="","","")</f>
        <v/>
      </c>
      <c r="J2465" s="23" t="str">
        <f aca="false">IF(B2465="","","touch_2; "&amp;IFERROR(INDEX(Clay_Offices!$A$2:$FZ$601,214,Sync!$C$10)&amp;"","")&amp;"; "&amp;IFERROR(INDEX(Clay_Offices!$A$2:$FZ$601,214,Sync!$C$9)&amp;"",""))</f>
        <v/>
      </c>
      <c r="K2465" s="32" t="s">
        <v>1364</v>
      </c>
    </row>
    <row r="2466" customFormat="false" ht="15" hidden="false" customHeight="false" outlineLevel="0" collapsed="false">
      <c r="A2466" s="23" t="str">
        <f aca="false">IF(B2466="","",B2466+(13*1000+215)/10000000)</f>
        <v/>
      </c>
      <c r="B2466" s="35" t="str">
        <f aca="false">IF(AND(IFERROR(N(INDEX(Clay_Offices!$A$2:$FZ$601,215,Sync!$C$12)),0)&gt;0,IFERROR(INDEX(Clay_Offices!$A$2:$FZ$601,215,Sync!$C$5)&amp;"","")&lt;&gt;"",OR(LEFT(IFERROR(INDEX(Clay_Offices!$A$2:$FZ$601,215,Sync!$C$5)&amp;"",""),6)&lt;&gt;"SAMPLE",Config!$B$19="Y")),IFERROR(N(INDEX(Clay_Offices!$A$2:$FZ$601,215,Sync!$C$12)),0),"")</f>
        <v/>
      </c>
      <c r="C2466" s="23" t="str">
        <f aca="false">IF(B2466="","","office")</f>
        <v/>
      </c>
      <c r="D2466" s="23" t="str">
        <f aca="false">IF(B2466="","",IFERROR(INDEX(Office_Log!$ED$2:$ED$201,MATCH(IFERROR(INDEX(Clay_Offices!$A$2:$FZ$601,215,Sync!$C$5)&amp;"",""),Office_Log!$A$2:$A$201,0))&amp;"",IFERROR(INDEX(Clay_Offices!$A$2:$FZ$601,215,Sync!$C$5)&amp;"","")&amp;""))</f>
        <v/>
      </c>
      <c r="E2466" s="23" t="str">
        <f aca="false">IF(B2466="","",IFERROR(INDEX(Clay_Offices!$A$2:$FZ$601,215,Sync!$C$6)&amp;"",""))</f>
        <v/>
      </c>
      <c r="F2466" s="23" t="str">
        <f aca="false">IF(B2466="","","outreach_sent")</f>
        <v/>
      </c>
      <c r="G2466" s="23" t="str">
        <f aca="false">IF(B2466="","","")</f>
        <v/>
      </c>
      <c r="H2466" s="23" t="str">
        <f aca="false">IF(B2466="","","")</f>
        <v/>
      </c>
      <c r="I2466" s="23" t="str">
        <f aca="false">IF(B2466="","","")</f>
        <v/>
      </c>
      <c r="J2466" s="23" t="str">
        <f aca="false">IF(B2466="","","touch_2; "&amp;IFERROR(INDEX(Clay_Offices!$A$2:$FZ$601,215,Sync!$C$10)&amp;"","")&amp;"; "&amp;IFERROR(INDEX(Clay_Offices!$A$2:$FZ$601,215,Sync!$C$9)&amp;"",""))</f>
        <v/>
      </c>
      <c r="K2466" s="32" t="s">
        <v>1364</v>
      </c>
    </row>
    <row r="2467" customFormat="false" ht="15" hidden="false" customHeight="false" outlineLevel="0" collapsed="false">
      <c r="A2467" s="23" t="str">
        <f aca="false">IF(B2467="","",B2467+(13*1000+216)/10000000)</f>
        <v/>
      </c>
      <c r="B2467" s="35" t="str">
        <f aca="false">IF(AND(IFERROR(N(INDEX(Clay_Offices!$A$2:$FZ$601,216,Sync!$C$12)),0)&gt;0,IFERROR(INDEX(Clay_Offices!$A$2:$FZ$601,216,Sync!$C$5)&amp;"","")&lt;&gt;"",OR(LEFT(IFERROR(INDEX(Clay_Offices!$A$2:$FZ$601,216,Sync!$C$5)&amp;"",""),6)&lt;&gt;"SAMPLE",Config!$B$19="Y")),IFERROR(N(INDEX(Clay_Offices!$A$2:$FZ$601,216,Sync!$C$12)),0),"")</f>
        <v/>
      </c>
      <c r="C2467" s="23" t="str">
        <f aca="false">IF(B2467="","","office")</f>
        <v/>
      </c>
      <c r="D2467" s="23" t="str">
        <f aca="false">IF(B2467="","",IFERROR(INDEX(Office_Log!$ED$2:$ED$201,MATCH(IFERROR(INDEX(Clay_Offices!$A$2:$FZ$601,216,Sync!$C$5)&amp;"",""),Office_Log!$A$2:$A$201,0))&amp;"",IFERROR(INDEX(Clay_Offices!$A$2:$FZ$601,216,Sync!$C$5)&amp;"","")&amp;""))</f>
        <v/>
      </c>
      <c r="E2467" s="23" t="str">
        <f aca="false">IF(B2467="","",IFERROR(INDEX(Clay_Offices!$A$2:$FZ$601,216,Sync!$C$6)&amp;"",""))</f>
        <v/>
      </c>
      <c r="F2467" s="23" t="str">
        <f aca="false">IF(B2467="","","outreach_sent")</f>
        <v/>
      </c>
      <c r="G2467" s="23" t="str">
        <f aca="false">IF(B2467="","","")</f>
        <v/>
      </c>
      <c r="H2467" s="23" t="str">
        <f aca="false">IF(B2467="","","")</f>
        <v/>
      </c>
      <c r="I2467" s="23" t="str">
        <f aca="false">IF(B2467="","","")</f>
        <v/>
      </c>
      <c r="J2467" s="23" t="str">
        <f aca="false">IF(B2467="","","touch_2; "&amp;IFERROR(INDEX(Clay_Offices!$A$2:$FZ$601,216,Sync!$C$10)&amp;"","")&amp;"; "&amp;IFERROR(INDEX(Clay_Offices!$A$2:$FZ$601,216,Sync!$C$9)&amp;"",""))</f>
        <v/>
      </c>
      <c r="K2467" s="32" t="s">
        <v>1364</v>
      </c>
    </row>
    <row r="2468" customFormat="false" ht="15" hidden="false" customHeight="false" outlineLevel="0" collapsed="false">
      <c r="A2468" s="23" t="str">
        <f aca="false">IF(B2468="","",B2468+(13*1000+217)/10000000)</f>
        <v/>
      </c>
      <c r="B2468" s="35" t="str">
        <f aca="false">IF(AND(IFERROR(N(INDEX(Clay_Offices!$A$2:$FZ$601,217,Sync!$C$12)),0)&gt;0,IFERROR(INDEX(Clay_Offices!$A$2:$FZ$601,217,Sync!$C$5)&amp;"","")&lt;&gt;"",OR(LEFT(IFERROR(INDEX(Clay_Offices!$A$2:$FZ$601,217,Sync!$C$5)&amp;"",""),6)&lt;&gt;"SAMPLE",Config!$B$19="Y")),IFERROR(N(INDEX(Clay_Offices!$A$2:$FZ$601,217,Sync!$C$12)),0),"")</f>
        <v/>
      </c>
      <c r="C2468" s="23" t="str">
        <f aca="false">IF(B2468="","","office")</f>
        <v/>
      </c>
      <c r="D2468" s="23" t="str">
        <f aca="false">IF(B2468="","",IFERROR(INDEX(Office_Log!$ED$2:$ED$201,MATCH(IFERROR(INDEX(Clay_Offices!$A$2:$FZ$601,217,Sync!$C$5)&amp;"",""),Office_Log!$A$2:$A$201,0))&amp;"",IFERROR(INDEX(Clay_Offices!$A$2:$FZ$601,217,Sync!$C$5)&amp;"","")&amp;""))</f>
        <v/>
      </c>
      <c r="E2468" s="23" t="str">
        <f aca="false">IF(B2468="","",IFERROR(INDEX(Clay_Offices!$A$2:$FZ$601,217,Sync!$C$6)&amp;"",""))</f>
        <v/>
      </c>
      <c r="F2468" s="23" t="str">
        <f aca="false">IF(B2468="","","outreach_sent")</f>
        <v/>
      </c>
      <c r="G2468" s="23" t="str">
        <f aca="false">IF(B2468="","","")</f>
        <v/>
      </c>
      <c r="H2468" s="23" t="str">
        <f aca="false">IF(B2468="","","")</f>
        <v/>
      </c>
      <c r="I2468" s="23" t="str">
        <f aca="false">IF(B2468="","","")</f>
        <v/>
      </c>
      <c r="J2468" s="23" t="str">
        <f aca="false">IF(B2468="","","touch_2; "&amp;IFERROR(INDEX(Clay_Offices!$A$2:$FZ$601,217,Sync!$C$10)&amp;"","")&amp;"; "&amp;IFERROR(INDEX(Clay_Offices!$A$2:$FZ$601,217,Sync!$C$9)&amp;"",""))</f>
        <v/>
      </c>
      <c r="K2468" s="32" t="s">
        <v>1364</v>
      </c>
    </row>
    <row r="2469" customFormat="false" ht="15" hidden="false" customHeight="false" outlineLevel="0" collapsed="false">
      <c r="A2469" s="23" t="str">
        <f aca="false">IF(B2469="","",B2469+(13*1000+218)/10000000)</f>
        <v/>
      </c>
      <c r="B2469" s="35" t="str">
        <f aca="false">IF(AND(IFERROR(N(INDEX(Clay_Offices!$A$2:$FZ$601,218,Sync!$C$12)),0)&gt;0,IFERROR(INDEX(Clay_Offices!$A$2:$FZ$601,218,Sync!$C$5)&amp;"","")&lt;&gt;"",OR(LEFT(IFERROR(INDEX(Clay_Offices!$A$2:$FZ$601,218,Sync!$C$5)&amp;"",""),6)&lt;&gt;"SAMPLE",Config!$B$19="Y")),IFERROR(N(INDEX(Clay_Offices!$A$2:$FZ$601,218,Sync!$C$12)),0),"")</f>
        <v/>
      </c>
      <c r="C2469" s="23" t="str">
        <f aca="false">IF(B2469="","","office")</f>
        <v/>
      </c>
      <c r="D2469" s="23" t="str">
        <f aca="false">IF(B2469="","",IFERROR(INDEX(Office_Log!$ED$2:$ED$201,MATCH(IFERROR(INDEX(Clay_Offices!$A$2:$FZ$601,218,Sync!$C$5)&amp;"",""),Office_Log!$A$2:$A$201,0))&amp;"",IFERROR(INDEX(Clay_Offices!$A$2:$FZ$601,218,Sync!$C$5)&amp;"","")&amp;""))</f>
        <v/>
      </c>
      <c r="E2469" s="23" t="str">
        <f aca="false">IF(B2469="","",IFERROR(INDEX(Clay_Offices!$A$2:$FZ$601,218,Sync!$C$6)&amp;"",""))</f>
        <v/>
      </c>
      <c r="F2469" s="23" t="str">
        <f aca="false">IF(B2469="","","outreach_sent")</f>
        <v/>
      </c>
      <c r="G2469" s="23" t="str">
        <f aca="false">IF(B2469="","","")</f>
        <v/>
      </c>
      <c r="H2469" s="23" t="str">
        <f aca="false">IF(B2469="","","")</f>
        <v/>
      </c>
      <c r="I2469" s="23" t="str">
        <f aca="false">IF(B2469="","","")</f>
        <v/>
      </c>
      <c r="J2469" s="23" t="str">
        <f aca="false">IF(B2469="","","touch_2; "&amp;IFERROR(INDEX(Clay_Offices!$A$2:$FZ$601,218,Sync!$C$10)&amp;"","")&amp;"; "&amp;IFERROR(INDEX(Clay_Offices!$A$2:$FZ$601,218,Sync!$C$9)&amp;"",""))</f>
        <v/>
      </c>
      <c r="K2469" s="32" t="s">
        <v>1364</v>
      </c>
    </row>
    <row r="2470" customFormat="false" ht="15" hidden="false" customHeight="false" outlineLevel="0" collapsed="false">
      <c r="A2470" s="23" t="str">
        <f aca="false">IF(B2470="","",B2470+(13*1000+219)/10000000)</f>
        <v/>
      </c>
      <c r="B2470" s="35" t="str">
        <f aca="false">IF(AND(IFERROR(N(INDEX(Clay_Offices!$A$2:$FZ$601,219,Sync!$C$12)),0)&gt;0,IFERROR(INDEX(Clay_Offices!$A$2:$FZ$601,219,Sync!$C$5)&amp;"","")&lt;&gt;"",OR(LEFT(IFERROR(INDEX(Clay_Offices!$A$2:$FZ$601,219,Sync!$C$5)&amp;"",""),6)&lt;&gt;"SAMPLE",Config!$B$19="Y")),IFERROR(N(INDEX(Clay_Offices!$A$2:$FZ$601,219,Sync!$C$12)),0),"")</f>
        <v/>
      </c>
      <c r="C2470" s="23" t="str">
        <f aca="false">IF(B2470="","","office")</f>
        <v/>
      </c>
      <c r="D2470" s="23" t="str">
        <f aca="false">IF(B2470="","",IFERROR(INDEX(Office_Log!$ED$2:$ED$201,MATCH(IFERROR(INDEX(Clay_Offices!$A$2:$FZ$601,219,Sync!$C$5)&amp;"",""),Office_Log!$A$2:$A$201,0))&amp;"",IFERROR(INDEX(Clay_Offices!$A$2:$FZ$601,219,Sync!$C$5)&amp;"","")&amp;""))</f>
        <v/>
      </c>
      <c r="E2470" s="23" t="str">
        <f aca="false">IF(B2470="","",IFERROR(INDEX(Clay_Offices!$A$2:$FZ$601,219,Sync!$C$6)&amp;"",""))</f>
        <v/>
      </c>
      <c r="F2470" s="23" t="str">
        <f aca="false">IF(B2470="","","outreach_sent")</f>
        <v/>
      </c>
      <c r="G2470" s="23" t="str">
        <f aca="false">IF(B2470="","","")</f>
        <v/>
      </c>
      <c r="H2470" s="23" t="str">
        <f aca="false">IF(B2470="","","")</f>
        <v/>
      </c>
      <c r="I2470" s="23" t="str">
        <f aca="false">IF(B2470="","","")</f>
        <v/>
      </c>
      <c r="J2470" s="23" t="str">
        <f aca="false">IF(B2470="","","touch_2; "&amp;IFERROR(INDEX(Clay_Offices!$A$2:$FZ$601,219,Sync!$C$10)&amp;"","")&amp;"; "&amp;IFERROR(INDEX(Clay_Offices!$A$2:$FZ$601,219,Sync!$C$9)&amp;"",""))</f>
        <v/>
      </c>
      <c r="K2470" s="32" t="s">
        <v>1364</v>
      </c>
    </row>
    <row r="2471" customFormat="false" ht="15" hidden="false" customHeight="false" outlineLevel="0" collapsed="false">
      <c r="A2471" s="23" t="str">
        <f aca="false">IF(B2471="","",B2471+(13*1000+220)/10000000)</f>
        <v/>
      </c>
      <c r="B2471" s="35" t="str">
        <f aca="false">IF(AND(IFERROR(N(INDEX(Clay_Offices!$A$2:$FZ$601,220,Sync!$C$12)),0)&gt;0,IFERROR(INDEX(Clay_Offices!$A$2:$FZ$601,220,Sync!$C$5)&amp;"","")&lt;&gt;"",OR(LEFT(IFERROR(INDEX(Clay_Offices!$A$2:$FZ$601,220,Sync!$C$5)&amp;"",""),6)&lt;&gt;"SAMPLE",Config!$B$19="Y")),IFERROR(N(INDEX(Clay_Offices!$A$2:$FZ$601,220,Sync!$C$12)),0),"")</f>
        <v/>
      </c>
      <c r="C2471" s="23" t="str">
        <f aca="false">IF(B2471="","","office")</f>
        <v/>
      </c>
      <c r="D2471" s="23" t="str">
        <f aca="false">IF(B2471="","",IFERROR(INDEX(Office_Log!$ED$2:$ED$201,MATCH(IFERROR(INDEX(Clay_Offices!$A$2:$FZ$601,220,Sync!$C$5)&amp;"",""),Office_Log!$A$2:$A$201,0))&amp;"",IFERROR(INDEX(Clay_Offices!$A$2:$FZ$601,220,Sync!$C$5)&amp;"","")&amp;""))</f>
        <v/>
      </c>
      <c r="E2471" s="23" t="str">
        <f aca="false">IF(B2471="","",IFERROR(INDEX(Clay_Offices!$A$2:$FZ$601,220,Sync!$C$6)&amp;"",""))</f>
        <v/>
      </c>
      <c r="F2471" s="23" t="str">
        <f aca="false">IF(B2471="","","outreach_sent")</f>
        <v/>
      </c>
      <c r="G2471" s="23" t="str">
        <f aca="false">IF(B2471="","","")</f>
        <v/>
      </c>
      <c r="H2471" s="23" t="str">
        <f aca="false">IF(B2471="","","")</f>
        <v/>
      </c>
      <c r="I2471" s="23" t="str">
        <f aca="false">IF(B2471="","","")</f>
        <v/>
      </c>
      <c r="J2471" s="23" t="str">
        <f aca="false">IF(B2471="","","touch_2; "&amp;IFERROR(INDEX(Clay_Offices!$A$2:$FZ$601,220,Sync!$C$10)&amp;"","")&amp;"; "&amp;IFERROR(INDEX(Clay_Offices!$A$2:$FZ$601,220,Sync!$C$9)&amp;"",""))</f>
        <v/>
      </c>
      <c r="K2471" s="32" t="s">
        <v>1364</v>
      </c>
    </row>
    <row r="2472" customFormat="false" ht="15" hidden="false" customHeight="false" outlineLevel="0" collapsed="false">
      <c r="A2472" s="23" t="str">
        <f aca="false">IF(B2472="","",B2472+(13*1000+221)/10000000)</f>
        <v/>
      </c>
      <c r="B2472" s="35" t="str">
        <f aca="false">IF(AND(IFERROR(N(INDEX(Clay_Offices!$A$2:$FZ$601,221,Sync!$C$12)),0)&gt;0,IFERROR(INDEX(Clay_Offices!$A$2:$FZ$601,221,Sync!$C$5)&amp;"","")&lt;&gt;"",OR(LEFT(IFERROR(INDEX(Clay_Offices!$A$2:$FZ$601,221,Sync!$C$5)&amp;"",""),6)&lt;&gt;"SAMPLE",Config!$B$19="Y")),IFERROR(N(INDEX(Clay_Offices!$A$2:$FZ$601,221,Sync!$C$12)),0),"")</f>
        <v/>
      </c>
      <c r="C2472" s="23" t="str">
        <f aca="false">IF(B2472="","","office")</f>
        <v/>
      </c>
      <c r="D2472" s="23" t="str">
        <f aca="false">IF(B2472="","",IFERROR(INDEX(Office_Log!$ED$2:$ED$201,MATCH(IFERROR(INDEX(Clay_Offices!$A$2:$FZ$601,221,Sync!$C$5)&amp;"",""),Office_Log!$A$2:$A$201,0))&amp;"",IFERROR(INDEX(Clay_Offices!$A$2:$FZ$601,221,Sync!$C$5)&amp;"","")&amp;""))</f>
        <v/>
      </c>
      <c r="E2472" s="23" t="str">
        <f aca="false">IF(B2472="","",IFERROR(INDEX(Clay_Offices!$A$2:$FZ$601,221,Sync!$C$6)&amp;"",""))</f>
        <v/>
      </c>
      <c r="F2472" s="23" t="str">
        <f aca="false">IF(B2472="","","outreach_sent")</f>
        <v/>
      </c>
      <c r="G2472" s="23" t="str">
        <f aca="false">IF(B2472="","","")</f>
        <v/>
      </c>
      <c r="H2472" s="23" t="str">
        <f aca="false">IF(B2472="","","")</f>
        <v/>
      </c>
      <c r="I2472" s="23" t="str">
        <f aca="false">IF(B2472="","","")</f>
        <v/>
      </c>
      <c r="J2472" s="23" t="str">
        <f aca="false">IF(B2472="","","touch_2; "&amp;IFERROR(INDEX(Clay_Offices!$A$2:$FZ$601,221,Sync!$C$10)&amp;"","")&amp;"; "&amp;IFERROR(INDEX(Clay_Offices!$A$2:$FZ$601,221,Sync!$C$9)&amp;"",""))</f>
        <v/>
      </c>
      <c r="K2472" s="32" t="s">
        <v>1364</v>
      </c>
    </row>
    <row r="2473" customFormat="false" ht="15" hidden="false" customHeight="false" outlineLevel="0" collapsed="false">
      <c r="A2473" s="23" t="str">
        <f aca="false">IF(B2473="","",B2473+(13*1000+222)/10000000)</f>
        <v/>
      </c>
      <c r="B2473" s="35" t="str">
        <f aca="false">IF(AND(IFERROR(N(INDEX(Clay_Offices!$A$2:$FZ$601,222,Sync!$C$12)),0)&gt;0,IFERROR(INDEX(Clay_Offices!$A$2:$FZ$601,222,Sync!$C$5)&amp;"","")&lt;&gt;"",OR(LEFT(IFERROR(INDEX(Clay_Offices!$A$2:$FZ$601,222,Sync!$C$5)&amp;"",""),6)&lt;&gt;"SAMPLE",Config!$B$19="Y")),IFERROR(N(INDEX(Clay_Offices!$A$2:$FZ$601,222,Sync!$C$12)),0),"")</f>
        <v/>
      </c>
      <c r="C2473" s="23" t="str">
        <f aca="false">IF(B2473="","","office")</f>
        <v/>
      </c>
      <c r="D2473" s="23" t="str">
        <f aca="false">IF(B2473="","",IFERROR(INDEX(Office_Log!$ED$2:$ED$201,MATCH(IFERROR(INDEX(Clay_Offices!$A$2:$FZ$601,222,Sync!$C$5)&amp;"",""),Office_Log!$A$2:$A$201,0))&amp;"",IFERROR(INDEX(Clay_Offices!$A$2:$FZ$601,222,Sync!$C$5)&amp;"","")&amp;""))</f>
        <v/>
      </c>
      <c r="E2473" s="23" t="str">
        <f aca="false">IF(B2473="","",IFERROR(INDEX(Clay_Offices!$A$2:$FZ$601,222,Sync!$C$6)&amp;"",""))</f>
        <v/>
      </c>
      <c r="F2473" s="23" t="str">
        <f aca="false">IF(B2473="","","outreach_sent")</f>
        <v/>
      </c>
      <c r="G2473" s="23" t="str">
        <f aca="false">IF(B2473="","","")</f>
        <v/>
      </c>
      <c r="H2473" s="23" t="str">
        <f aca="false">IF(B2473="","","")</f>
        <v/>
      </c>
      <c r="I2473" s="23" t="str">
        <f aca="false">IF(B2473="","","")</f>
        <v/>
      </c>
      <c r="J2473" s="23" t="str">
        <f aca="false">IF(B2473="","","touch_2; "&amp;IFERROR(INDEX(Clay_Offices!$A$2:$FZ$601,222,Sync!$C$10)&amp;"","")&amp;"; "&amp;IFERROR(INDEX(Clay_Offices!$A$2:$FZ$601,222,Sync!$C$9)&amp;"",""))</f>
        <v/>
      </c>
      <c r="K2473" s="32" t="s">
        <v>1364</v>
      </c>
    </row>
    <row r="2474" customFormat="false" ht="15" hidden="false" customHeight="false" outlineLevel="0" collapsed="false">
      <c r="A2474" s="23" t="str">
        <f aca="false">IF(B2474="","",B2474+(13*1000+223)/10000000)</f>
        <v/>
      </c>
      <c r="B2474" s="35" t="str">
        <f aca="false">IF(AND(IFERROR(N(INDEX(Clay_Offices!$A$2:$FZ$601,223,Sync!$C$12)),0)&gt;0,IFERROR(INDEX(Clay_Offices!$A$2:$FZ$601,223,Sync!$C$5)&amp;"","")&lt;&gt;"",OR(LEFT(IFERROR(INDEX(Clay_Offices!$A$2:$FZ$601,223,Sync!$C$5)&amp;"",""),6)&lt;&gt;"SAMPLE",Config!$B$19="Y")),IFERROR(N(INDEX(Clay_Offices!$A$2:$FZ$601,223,Sync!$C$12)),0),"")</f>
        <v/>
      </c>
      <c r="C2474" s="23" t="str">
        <f aca="false">IF(B2474="","","office")</f>
        <v/>
      </c>
      <c r="D2474" s="23" t="str">
        <f aca="false">IF(B2474="","",IFERROR(INDEX(Office_Log!$ED$2:$ED$201,MATCH(IFERROR(INDEX(Clay_Offices!$A$2:$FZ$601,223,Sync!$C$5)&amp;"",""),Office_Log!$A$2:$A$201,0))&amp;"",IFERROR(INDEX(Clay_Offices!$A$2:$FZ$601,223,Sync!$C$5)&amp;"","")&amp;""))</f>
        <v/>
      </c>
      <c r="E2474" s="23" t="str">
        <f aca="false">IF(B2474="","",IFERROR(INDEX(Clay_Offices!$A$2:$FZ$601,223,Sync!$C$6)&amp;"",""))</f>
        <v/>
      </c>
      <c r="F2474" s="23" t="str">
        <f aca="false">IF(B2474="","","outreach_sent")</f>
        <v/>
      </c>
      <c r="G2474" s="23" t="str">
        <f aca="false">IF(B2474="","","")</f>
        <v/>
      </c>
      <c r="H2474" s="23" t="str">
        <f aca="false">IF(B2474="","","")</f>
        <v/>
      </c>
      <c r="I2474" s="23" t="str">
        <f aca="false">IF(B2474="","","")</f>
        <v/>
      </c>
      <c r="J2474" s="23" t="str">
        <f aca="false">IF(B2474="","","touch_2; "&amp;IFERROR(INDEX(Clay_Offices!$A$2:$FZ$601,223,Sync!$C$10)&amp;"","")&amp;"; "&amp;IFERROR(INDEX(Clay_Offices!$A$2:$FZ$601,223,Sync!$C$9)&amp;"",""))</f>
        <v/>
      </c>
      <c r="K2474" s="32" t="s">
        <v>1364</v>
      </c>
    </row>
    <row r="2475" customFormat="false" ht="15" hidden="false" customHeight="false" outlineLevel="0" collapsed="false">
      <c r="A2475" s="23" t="str">
        <f aca="false">IF(B2475="","",B2475+(13*1000+224)/10000000)</f>
        <v/>
      </c>
      <c r="B2475" s="35" t="str">
        <f aca="false">IF(AND(IFERROR(N(INDEX(Clay_Offices!$A$2:$FZ$601,224,Sync!$C$12)),0)&gt;0,IFERROR(INDEX(Clay_Offices!$A$2:$FZ$601,224,Sync!$C$5)&amp;"","")&lt;&gt;"",OR(LEFT(IFERROR(INDEX(Clay_Offices!$A$2:$FZ$601,224,Sync!$C$5)&amp;"",""),6)&lt;&gt;"SAMPLE",Config!$B$19="Y")),IFERROR(N(INDEX(Clay_Offices!$A$2:$FZ$601,224,Sync!$C$12)),0),"")</f>
        <v/>
      </c>
      <c r="C2475" s="23" t="str">
        <f aca="false">IF(B2475="","","office")</f>
        <v/>
      </c>
      <c r="D2475" s="23" t="str">
        <f aca="false">IF(B2475="","",IFERROR(INDEX(Office_Log!$ED$2:$ED$201,MATCH(IFERROR(INDEX(Clay_Offices!$A$2:$FZ$601,224,Sync!$C$5)&amp;"",""),Office_Log!$A$2:$A$201,0))&amp;"",IFERROR(INDEX(Clay_Offices!$A$2:$FZ$601,224,Sync!$C$5)&amp;"","")&amp;""))</f>
        <v/>
      </c>
      <c r="E2475" s="23" t="str">
        <f aca="false">IF(B2475="","",IFERROR(INDEX(Clay_Offices!$A$2:$FZ$601,224,Sync!$C$6)&amp;"",""))</f>
        <v/>
      </c>
      <c r="F2475" s="23" t="str">
        <f aca="false">IF(B2475="","","outreach_sent")</f>
        <v/>
      </c>
      <c r="G2475" s="23" t="str">
        <f aca="false">IF(B2475="","","")</f>
        <v/>
      </c>
      <c r="H2475" s="23" t="str">
        <f aca="false">IF(B2475="","","")</f>
        <v/>
      </c>
      <c r="I2475" s="23" t="str">
        <f aca="false">IF(B2475="","","")</f>
        <v/>
      </c>
      <c r="J2475" s="23" t="str">
        <f aca="false">IF(B2475="","","touch_2; "&amp;IFERROR(INDEX(Clay_Offices!$A$2:$FZ$601,224,Sync!$C$10)&amp;"","")&amp;"; "&amp;IFERROR(INDEX(Clay_Offices!$A$2:$FZ$601,224,Sync!$C$9)&amp;"",""))</f>
        <v/>
      </c>
      <c r="K2475" s="32" t="s">
        <v>1364</v>
      </c>
    </row>
    <row r="2476" customFormat="false" ht="15" hidden="false" customHeight="false" outlineLevel="0" collapsed="false">
      <c r="A2476" s="23" t="str">
        <f aca="false">IF(B2476="","",B2476+(13*1000+225)/10000000)</f>
        <v/>
      </c>
      <c r="B2476" s="35" t="str">
        <f aca="false">IF(AND(IFERROR(N(INDEX(Clay_Offices!$A$2:$FZ$601,225,Sync!$C$12)),0)&gt;0,IFERROR(INDEX(Clay_Offices!$A$2:$FZ$601,225,Sync!$C$5)&amp;"","")&lt;&gt;"",OR(LEFT(IFERROR(INDEX(Clay_Offices!$A$2:$FZ$601,225,Sync!$C$5)&amp;"",""),6)&lt;&gt;"SAMPLE",Config!$B$19="Y")),IFERROR(N(INDEX(Clay_Offices!$A$2:$FZ$601,225,Sync!$C$12)),0),"")</f>
        <v/>
      </c>
      <c r="C2476" s="23" t="str">
        <f aca="false">IF(B2476="","","office")</f>
        <v/>
      </c>
      <c r="D2476" s="23" t="str">
        <f aca="false">IF(B2476="","",IFERROR(INDEX(Office_Log!$ED$2:$ED$201,MATCH(IFERROR(INDEX(Clay_Offices!$A$2:$FZ$601,225,Sync!$C$5)&amp;"",""),Office_Log!$A$2:$A$201,0))&amp;"",IFERROR(INDEX(Clay_Offices!$A$2:$FZ$601,225,Sync!$C$5)&amp;"","")&amp;""))</f>
        <v/>
      </c>
      <c r="E2476" s="23" t="str">
        <f aca="false">IF(B2476="","",IFERROR(INDEX(Clay_Offices!$A$2:$FZ$601,225,Sync!$C$6)&amp;"",""))</f>
        <v/>
      </c>
      <c r="F2476" s="23" t="str">
        <f aca="false">IF(B2476="","","outreach_sent")</f>
        <v/>
      </c>
      <c r="G2476" s="23" t="str">
        <f aca="false">IF(B2476="","","")</f>
        <v/>
      </c>
      <c r="H2476" s="23" t="str">
        <f aca="false">IF(B2476="","","")</f>
        <v/>
      </c>
      <c r="I2476" s="23" t="str">
        <f aca="false">IF(B2476="","","")</f>
        <v/>
      </c>
      <c r="J2476" s="23" t="str">
        <f aca="false">IF(B2476="","","touch_2; "&amp;IFERROR(INDEX(Clay_Offices!$A$2:$FZ$601,225,Sync!$C$10)&amp;"","")&amp;"; "&amp;IFERROR(INDEX(Clay_Offices!$A$2:$FZ$601,225,Sync!$C$9)&amp;"",""))</f>
        <v/>
      </c>
      <c r="K2476" s="32" t="s">
        <v>1364</v>
      </c>
    </row>
    <row r="2477" customFormat="false" ht="15" hidden="false" customHeight="false" outlineLevel="0" collapsed="false">
      <c r="A2477" s="23" t="str">
        <f aca="false">IF(B2477="","",B2477+(13*1000+226)/10000000)</f>
        <v/>
      </c>
      <c r="B2477" s="35" t="str">
        <f aca="false">IF(AND(IFERROR(N(INDEX(Clay_Offices!$A$2:$FZ$601,226,Sync!$C$12)),0)&gt;0,IFERROR(INDEX(Clay_Offices!$A$2:$FZ$601,226,Sync!$C$5)&amp;"","")&lt;&gt;"",OR(LEFT(IFERROR(INDEX(Clay_Offices!$A$2:$FZ$601,226,Sync!$C$5)&amp;"",""),6)&lt;&gt;"SAMPLE",Config!$B$19="Y")),IFERROR(N(INDEX(Clay_Offices!$A$2:$FZ$601,226,Sync!$C$12)),0),"")</f>
        <v/>
      </c>
      <c r="C2477" s="23" t="str">
        <f aca="false">IF(B2477="","","office")</f>
        <v/>
      </c>
      <c r="D2477" s="23" t="str">
        <f aca="false">IF(B2477="","",IFERROR(INDEX(Office_Log!$ED$2:$ED$201,MATCH(IFERROR(INDEX(Clay_Offices!$A$2:$FZ$601,226,Sync!$C$5)&amp;"",""),Office_Log!$A$2:$A$201,0))&amp;"",IFERROR(INDEX(Clay_Offices!$A$2:$FZ$601,226,Sync!$C$5)&amp;"","")&amp;""))</f>
        <v/>
      </c>
      <c r="E2477" s="23" t="str">
        <f aca="false">IF(B2477="","",IFERROR(INDEX(Clay_Offices!$A$2:$FZ$601,226,Sync!$C$6)&amp;"",""))</f>
        <v/>
      </c>
      <c r="F2477" s="23" t="str">
        <f aca="false">IF(B2477="","","outreach_sent")</f>
        <v/>
      </c>
      <c r="G2477" s="23" t="str">
        <f aca="false">IF(B2477="","","")</f>
        <v/>
      </c>
      <c r="H2477" s="23" t="str">
        <f aca="false">IF(B2477="","","")</f>
        <v/>
      </c>
      <c r="I2477" s="23" t="str">
        <f aca="false">IF(B2477="","","")</f>
        <v/>
      </c>
      <c r="J2477" s="23" t="str">
        <f aca="false">IF(B2477="","","touch_2; "&amp;IFERROR(INDEX(Clay_Offices!$A$2:$FZ$601,226,Sync!$C$10)&amp;"","")&amp;"; "&amp;IFERROR(INDEX(Clay_Offices!$A$2:$FZ$601,226,Sync!$C$9)&amp;"",""))</f>
        <v/>
      </c>
      <c r="K2477" s="32" t="s">
        <v>1364</v>
      </c>
    </row>
    <row r="2478" customFormat="false" ht="15" hidden="false" customHeight="false" outlineLevel="0" collapsed="false">
      <c r="A2478" s="23" t="str">
        <f aca="false">IF(B2478="","",B2478+(13*1000+227)/10000000)</f>
        <v/>
      </c>
      <c r="B2478" s="35" t="str">
        <f aca="false">IF(AND(IFERROR(N(INDEX(Clay_Offices!$A$2:$FZ$601,227,Sync!$C$12)),0)&gt;0,IFERROR(INDEX(Clay_Offices!$A$2:$FZ$601,227,Sync!$C$5)&amp;"","")&lt;&gt;"",OR(LEFT(IFERROR(INDEX(Clay_Offices!$A$2:$FZ$601,227,Sync!$C$5)&amp;"",""),6)&lt;&gt;"SAMPLE",Config!$B$19="Y")),IFERROR(N(INDEX(Clay_Offices!$A$2:$FZ$601,227,Sync!$C$12)),0),"")</f>
        <v/>
      </c>
      <c r="C2478" s="23" t="str">
        <f aca="false">IF(B2478="","","office")</f>
        <v/>
      </c>
      <c r="D2478" s="23" t="str">
        <f aca="false">IF(B2478="","",IFERROR(INDEX(Office_Log!$ED$2:$ED$201,MATCH(IFERROR(INDEX(Clay_Offices!$A$2:$FZ$601,227,Sync!$C$5)&amp;"",""),Office_Log!$A$2:$A$201,0))&amp;"",IFERROR(INDEX(Clay_Offices!$A$2:$FZ$601,227,Sync!$C$5)&amp;"","")&amp;""))</f>
        <v/>
      </c>
      <c r="E2478" s="23" t="str">
        <f aca="false">IF(B2478="","",IFERROR(INDEX(Clay_Offices!$A$2:$FZ$601,227,Sync!$C$6)&amp;"",""))</f>
        <v/>
      </c>
      <c r="F2478" s="23" t="str">
        <f aca="false">IF(B2478="","","outreach_sent")</f>
        <v/>
      </c>
      <c r="G2478" s="23" t="str">
        <f aca="false">IF(B2478="","","")</f>
        <v/>
      </c>
      <c r="H2478" s="23" t="str">
        <f aca="false">IF(B2478="","","")</f>
        <v/>
      </c>
      <c r="I2478" s="23" t="str">
        <f aca="false">IF(B2478="","","")</f>
        <v/>
      </c>
      <c r="J2478" s="23" t="str">
        <f aca="false">IF(B2478="","","touch_2; "&amp;IFERROR(INDEX(Clay_Offices!$A$2:$FZ$601,227,Sync!$C$10)&amp;"","")&amp;"; "&amp;IFERROR(INDEX(Clay_Offices!$A$2:$FZ$601,227,Sync!$C$9)&amp;"",""))</f>
        <v/>
      </c>
      <c r="K2478" s="32" t="s">
        <v>1364</v>
      </c>
    </row>
    <row r="2479" customFormat="false" ht="15" hidden="false" customHeight="false" outlineLevel="0" collapsed="false">
      <c r="A2479" s="23" t="str">
        <f aca="false">IF(B2479="","",B2479+(13*1000+228)/10000000)</f>
        <v/>
      </c>
      <c r="B2479" s="35" t="str">
        <f aca="false">IF(AND(IFERROR(N(INDEX(Clay_Offices!$A$2:$FZ$601,228,Sync!$C$12)),0)&gt;0,IFERROR(INDEX(Clay_Offices!$A$2:$FZ$601,228,Sync!$C$5)&amp;"","")&lt;&gt;"",OR(LEFT(IFERROR(INDEX(Clay_Offices!$A$2:$FZ$601,228,Sync!$C$5)&amp;"",""),6)&lt;&gt;"SAMPLE",Config!$B$19="Y")),IFERROR(N(INDEX(Clay_Offices!$A$2:$FZ$601,228,Sync!$C$12)),0),"")</f>
        <v/>
      </c>
      <c r="C2479" s="23" t="str">
        <f aca="false">IF(B2479="","","office")</f>
        <v/>
      </c>
      <c r="D2479" s="23" t="str">
        <f aca="false">IF(B2479="","",IFERROR(INDEX(Office_Log!$ED$2:$ED$201,MATCH(IFERROR(INDEX(Clay_Offices!$A$2:$FZ$601,228,Sync!$C$5)&amp;"",""),Office_Log!$A$2:$A$201,0))&amp;"",IFERROR(INDEX(Clay_Offices!$A$2:$FZ$601,228,Sync!$C$5)&amp;"","")&amp;""))</f>
        <v/>
      </c>
      <c r="E2479" s="23" t="str">
        <f aca="false">IF(B2479="","",IFERROR(INDEX(Clay_Offices!$A$2:$FZ$601,228,Sync!$C$6)&amp;"",""))</f>
        <v/>
      </c>
      <c r="F2479" s="23" t="str">
        <f aca="false">IF(B2479="","","outreach_sent")</f>
        <v/>
      </c>
      <c r="G2479" s="23" t="str">
        <f aca="false">IF(B2479="","","")</f>
        <v/>
      </c>
      <c r="H2479" s="23" t="str">
        <f aca="false">IF(B2479="","","")</f>
        <v/>
      </c>
      <c r="I2479" s="23" t="str">
        <f aca="false">IF(B2479="","","")</f>
        <v/>
      </c>
      <c r="J2479" s="23" t="str">
        <f aca="false">IF(B2479="","","touch_2; "&amp;IFERROR(INDEX(Clay_Offices!$A$2:$FZ$601,228,Sync!$C$10)&amp;"","")&amp;"; "&amp;IFERROR(INDEX(Clay_Offices!$A$2:$FZ$601,228,Sync!$C$9)&amp;"",""))</f>
        <v/>
      </c>
      <c r="K2479" s="32" t="s">
        <v>1364</v>
      </c>
    </row>
    <row r="2480" customFormat="false" ht="15" hidden="false" customHeight="false" outlineLevel="0" collapsed="false">
      <c r="A2480" s="23" t="str">
        <f aca="false">IF(B2480="","",B2480+(13*1000+229)/10000000)</f>
        <v/>
      </c>
      <c r="B2480" s="35" t="str">
        <f aca="false">IF(AND(IFERROR(N(INDEX(Clay_Offices!$A$2:$FZ$601,229,Sync!$C$12)),0)&gt;0,IFERROR(INDEX(Clay_Offices!$A$2:$FZ$601,229,Sync!$C$5)&amp;"","")&lt;&gt;"",OR(LEFT(IFERROR(INDEX(Clay_Offices!$A$2:$FZ$601,229,Sync!$C$5)&amp;"",""),6)&lt;&gt;"SAMPLE",Config!$B$19="Y")),IFERROR(N(INDEX(Clay_Offices!$A$2:$FZ$601,229,Sync!$C$12)),0),"")</f>
        <v/>
      </c>
      <c r="C2480" s="23" t="str">
        <f aca="false">IF(B2480="","","office")</f>
        <v/>
      </c>
      <c r="D2480" s="23" t="str">
        <f aca="false">IF(B2480="","",IFERROR(INDEX(Office_Log!$ED$2:$ED$201,MATCH(IFERROR(INDEX(Clay_Offices!$A$2:$FZ$601,229,Sync!$C$5)&amp;"",""),Office_Log!$A$2:$A$201,0))&amp;"",IFERROR(INDEX(Clay_Offices!$A$2:$FZ$601,229,Sync!$C$5)&amp;"","")&amp;""))</f>
        <v/>
      </c>
      <c r="E2480" s="23" t="str">
        <f aca="false">IF(B2480="","",IFERROR(INDEX(Clay_Offices!$A$2:$FZ$601,229,Sync!$C$6)&amp;"",""))</f>
        <v/>
      </c>
      <c r="F2480" s="23" t="str">
        <f aca="false">IF(B2480="","","outreach_sent")</f>
        <v/>
      </c>
      <c r="G2480" s="23" t="str">
        <f aca="false">IF(B2480="","","")</f>
        <v/>
      </c>
      <c r="H2480" s="23" t="str">
        <f aca="false">IF(B2480="","","")</f>
        <v/>
      </c>
      <c r="I2480" s="23" t="str">
        <f aca="false">IF(B2480="","","")</f>
        <v/>
      </c>
      <c r="J2480" s="23" t="str">
        <f aca="false">IF(B2480="","","touch_2; "&amp;IFERROR(INDEX(Clay_Offices!$A$2:$FZ$601,229,Sync!$C$10)&amp;"","")&amp;"; "&amp;IFERROR(INDEX(Clay_Offices!$A$2:$FZ$601,229,Sync!$C$9)&amp;"",""))</f>
        <v/>
      </c>
      <c r="K2480" s="32" t="s">
        <v>1364</v>
      </c>
    </row>
    <row r="2481" customFormat="false" ht="15" hidden="false" customHeight="false" outlineLevel="0" collapsed="false">
      <c r="A2481" s="23" t="str">
        <f aca="false">IF(B2481="","",B2481+(13*1000+230)/10000000)</f>
        <v/>
      </c>
      <c r="B2481" s="35" t="str">
        <f aca="false">IF(AND(IFERROR(N(INDEX(Clay_Offices!$A$2:$FZ$601,230,Sync!$C$12)),0)&gt;0,IFERROR(INDEX(Clay_Offices!$A$2:$FZ$601,230,Sync!$C$5)&amp;"","")&lt;&gt;"",OR(LEFT(IFERROR(INDEX(Clay_Offices!$A$2:$FZ$601,230,Sync!$C$5)&amp;"",""),6)&lt;&gt;"SAMPLE",Config!$B$19="Y")),IFERROR(N(INDEX(Clay_Offices!$A$2:$FZ$601,230,Sync!$C$12)),0),"")</f>
        <v/>
      </c>
      <c r="C2481" s="23" t="str">
        <f aca="false">IF(B2481="","","office")</f>
        <v/>
      </c>
      <c r="D2481" s="23" t="str">
        <f aca="false">IF(B2481="","",IFERROR(INDEX(Office_Log!$ED$2:$ED$201,MATCH(IFERROR(INDEX(Clay_Offices!$A$2:$FZ$601,230,Sync!$C$5)&amp;"",""),Office_Log!$A$2:$A$201,0))&amp;"",IFERROR(INDEX(Clay_Offices!$A$2:$FZ$601,230,Sync!$C$5)&amp;"","")&amp;""))</f>
        <v/>
      </c>
      <c r="E2481" s="23" t="str">
        <f aca="false">IF(B2481="","",IFERROR(INDEX(Clay_Offices!$A$2:$FZ$601,230,Sync!$C$6)&amp;"",""))</f>
        <v/>
      </c>
      <c r="F2481" s="23" t="str">
        <f aca="false">IF(B2481="","","outreach_sent")</f>
        <v/>
      </c>
      <c r="G2481" s="23" t="str">
        <f aca="false">IF(B2481="","","")</f>
        <v/>
      </c>
      <c r="H2481" s="23" t="str">
        <f aca="false">IF(B2481="","","")</f>
        <v/>
      </c>
      <c r="I2481" s="23" t="str">
        <f aca="false">IF(B2481="","","")</f>
        <v/>
      </c>
      <c r="J2481" s="23" t="str">
        <f aca="false">IF(B2481="","","touch_2; "&amp;IFERROR(INDEX(Clay_Offices!$A$2:$FZ$601,230,Sync!$C$10)&amp;"","")&amp;"; "&amp;IFERROR(INDEX(Clay_Offices!$A$2:$FZ$601,230,Sync!$C$9)&amp;"",""))</f>
        <v/>
      </c>
      <c r="K2481" s="32" t="s">
        <v>1364</v>
      </c>
    </row>
    <row r="2482" customFormat="false" ht="15" hidden="false" customHeight="false" outlineLevel="0" collapsed="false">
      <c r="A2482" s="23" t="str">
        <f aca="false">IF(B2482="","",B2482+(13*1000+231)/10000000)</f>
        <v/>
      </c>
      <c r="B2482" s="35" t="str">
        <f aca="false">IF(AND(IFERROR(N(INDEX(Clay_Offices!$A$2:$FZ$601,231,Sync!$C$12)),0)&gt;0,IFERROR(INDEX(Clay_Offices!$A$2:$FZ$601,231,Sync!$C$5)&amp;"","")&lt;&gt;"",OR(LEFT(IFERROR(INDEX(Clay_Offices!$A$2:$FZ$601,231,Sync!$C$5)&amp;"",""),6)&lt;&gt;"SAMPLE",Config!$B$19="Y")),IFERROR(N(INDEX(Clay_Offices!$A$2:$FZ$601,231,Sync!$C$12)),0),"")</f>
        <v/>
      </c>
      <c r="C2482" s="23" t="str">
        <f aca="false">IF(B2482="","","office")</f>
        <v/>
      </c>
      <c r="D2482" s="23" t="str">
        <f aca="false">IF(B2482="","",IFERROR(INDEX(Office_Log!$ED$2:$ED$201,MATCH(IFERROR(INDEX(Clay_Offices!$A$2:$FZ$601,231,Sync!$C$5)&amp;"",""),Office_Log!$A$2:$A$201,0))&amp;"",IFERROR(INDEX(Clay_Offices!$A$2:$FZ$601,231,Sync!$C$5)&amp;"","")&amp;""))</f>
        <v/>
      </c>
      <c r="E2482" s="23" t="str">
        <f aca="false">IF(B2482="","",IFERROR(INDEX(Clay_Offices!$A$2:$FZ$601,231,Sync!$C$6)&amp;"",""))</f>
        <v/>
      </c>
      <c r="F2482" s="23" t="str">
        <f aca="false">IF(B2482="","","outreach_sent")</f>
        <v/>
      </c>
      <c r="G2482" s="23" t="str">
        <f aca="false">IF(B2482="","","")</f>
        <v/>
      </c>
      <c r="H2482" s="23" t="str">
        <f aca="false">IF(B2482="","","")</f>
        <v/>
      </c>
      <c r="I2482" s="23" t="str">
        <f aca="false">IF(B2482="","","")</f>
        <v/>
      </c>
      <c r="J2482" s="23" t="str">
        <f aca="false">IF(B2482="","","touch_2; "&amp;IFERROR(INDEX(Clay_Offices!$A$2:$FZ$601,231,Sync!$C$10)&amp;"","")&amp;"; "&amp;IFERROR(INDEX(Clay_Offices!$A$2:$FZ$601,231,Sync!$C$9)&amp;"",""))</f>
        <v/>
      </c>
      <c r="K2482" s="32" t="s">
        <v>1364</v>
      </c>
    </row>
    <row r="2483" customFormat="false" ht="15" hidden="false" customHeight="false" outlineLevel="0" collapsed="false">
      <c r="A2483" s="23" t="str">
        <f aca="false">IF(B2483="","",B2483+(13*1000+232)/10000000)</f>
        <v/>
      </c>
      <c r="B2483" s="35" t="str">
        <f aca="false">IF(AND(IFERROR(N(INDEX(Clay_Offices!$A$2:$FZ$601,232,Sync!$C$12)),0)&gt;0,IFERROR(INDEX(Clay_Offices!$A$2:$FZ$601,232,Sync!$C$5)&amp;"","")&lt;&gt;"",OR(LEFT(IFERROR(INDEX(Clay_Offices!$A$2:$FZ$601,232,Sync!$C$5)&amp;"",""),6)&lt;&gt;"SAMPLE",Config!$B$19="Y")),IFERROR(N(INDEX(Clay_Offices!$A$2:$FZ$601,232,Sync!$C$12)),0),"")</f>
        <v/>
      </c>
      <c r="C2483" s="23" t="str">
        <f aca="false">IF(B2483="","","office")</f>
        <v/>
      </c>
      <c r="D2483" s="23" t="str">
        <f aca="false">IF(B2483="","",IFERROR(INDEX(Office_Log!$ED$2:$ED$201,MATCH(IFERROR(INDEX(Clay_Offices!$A$2:$FZ$601,232,Sync!$C$5)&amp;"",""),Office_Log!$A$2:$A$201,0))&amp;"",IFERROR(INDEX(Clay_Offices!$A$2:$FZ$601,232,Sync!$C$5)&amp;"","")&amp;""))</f>
        <v/>
      </c>
      <c r="E2483" s="23" t="str">
        <f aca="false">IF(B2483="","",IFERROR(INDEX(Clay_Offices!$A$2:$FZ$601,232,Sync!$C$6)&amp;"",""))</f>
        <v/>
      </c>
      <c r="F2483" s="23" t="str">
        <f aca="false">IF(B2483="","","outreach_sent")</f>
        <v/>
      </c>
      <c r="G2483" s="23" t="str">
        <f aca="false">IF(B2483="","","")</f>
        <v/>
      </c>
      <c r="H2483" s="23" t="str">
        <f aca="false">IF(B2483="","","")</f>
        <v/>
      </c>
      <c r="I2483" s="23" t="str">
        <f aca="false">IF(B2483="","","")</f>
        <v/>
      </c>
      <c r="J2483" s="23" t="str">
        <f aca="false">IF(B2483="","","touch_2; "&amp;IFERROR(INDEX(Clay_Offices!$A$2:$FZ$601,232,Sync!$C$10)&amp;"","")&amp;"; "&amp;IFERROR(INDEX(Clay_Offices!$A$2:$FZ$601,232,Sync!$C$9)&amp;"",""))</f>
        <v/>
      </c>
      <c r="K2483" s="32" t="s">
        <v>1364</v>
      </c>
    </row>
    <row r="2484" customFormat="false" ht="15" hidden="false" customHeight="false" outlineLevel="0" collapsed="false">
      <c r="A2484" s="23" t="str">
        <f aca="false">IF(B2484="","",B2484+(13*1000+233)/10000000)</f>
        <v/>
      </c>
      <c r="B2484" s="35" t="str">
        <f aca="false">IF(AND(IFERROR(N(INDEX(Clay_Offices!$A$2:$FZ$601,233,Sync!$C$12)),0)&gt;0,IFERROR(INDEX(Clay_Offices!$A$2:$FZ$601,233,Sync!$C$5)&amp;"","")&lt;&gt;"",OR(LEFT(IFERROR(INDEX(Clay_Offices!$A$2:$FZ$601,233,Sync!$C$5)&amp;"",""),6)&lt;&gt;"SAMPLE",Config!$B$19="Y")),IFERROR(N(INDEX(Clay_Offices!$A$2:$FZ$601,233,Sync!$C$12)),0),"")</f>
        <v/>
      </c>
      <c r="C2484" s="23" t="str">
        <f aca="false">IF(B2484="","","office")</f>
        <v/>
      </c>
      <c r="D2484" s="23" t="str">
        <f aca="false">IF(B2484="","",IFERROR(INDEX(Office_Log!$ED$2:$ED$201,MATCH(IFERROR(INDEX(Clay_Offices!$A$2:$FZ$601,233,Sync!$C$5)&amp;"",""),Office_Log!$A$2:$A$201,0))&amp;"",IFERROR(INDEX(Clay_Offices!$A$2:$FZ$601,233,Sync!$C$5)&amp;"","")&amp;""))</f>
        <v/>
      </c>
      <c r="E2484" s="23" t="str">
        <f aca="false">IF(B2484="","",IFERROR(INDEX(Clay_Offices!$A$2:$FZ$601,233,Sync!$C$6)&amp;"",""))</f>
        <v/>
      </c>
      <c r="F2484" s="23" t="str">
        <f aca="false">IF(B2484="","","outreach_sent")</f>
        <v/>
      </c>
      <c r="G2484" s="23" t="str">
        <f aca="false">IF(B2484="","","")</f>
        <v/>
      </c>
      <c r="H2484" s="23" t="str">
        <f aca="false">IF(B2484="","","")</f>
        <v/>
      </c>
      <c r="I2484" s="23" t="str">
        <f aca="false">IF(B2484="","","")</f>
        <v/>
      </c>
      <c r="J2484" s="23" t="str">
        <f aca="false">IF(B2484="","","touch_2; "&amp;IFERROR(INDEX(Clay_Offices!$A$2:$FZ$601,233,Sync!$C$10)&amp;"","")&amp;"; "&amp;IFERROR(INDEX(Clay_Offices!$A$2:$FZ$601,233,Sync!$C$9)&amp;"",""))</f>
        <v/>
      </c>
      <c r="K2484" s="32" t="s">
        <v>1364</v>
      </c>
    </row>
    <row r="2485" customFormat="false" ht="15" hidden="false" customHeight="false" outlineLevel="0" collapsed="false">
      <c r="A2485" s="23" t="str">
        <f aca="false">IF(B2485="","",B2485+(13*1000+234)/10000000)</f>
        <v/>
      </c>
      <c r="B2485" s="35" t="str">
        <f aca="false">IF(AND(IFERROR(N(INDEX(Clay_Offices!$A$2:$FZ$601,234,Sync!$C$12)),0)&gt;0,IFERROR(INDEX(Clay_Offices!$A$2:$FZ$601,234,Sync!$C$5)&amp;"","")&lt;&gt;"",OR(LEFT(IFERROR(INDEX(Clay_Offices!$A$2:$FZ$601,234,Sync!$C$5)&amp;"",""),6)&lt;&gt;"SAMPLE",Config!$B$19="Y")),IFERROR(N(INDEX(Clay_Offices!$A$2:$FZ$601,234,Sync!$C$12)),0),"")</f>
        <v/>
      </c>
      <c r="C2485" s="23" t="str">
        <f aca="false">IF(B2485="","","office")</f>
        <v/>
      </c>
      <c r="D2485" s="23" t="str">
        <f aca="false">IF(B2485="","",IFERROR(INDEX(Office_Log!$ED$2:$ED$201,MATCH(IFERROR(INDEX(Clay_Offices!$A$2:$FZ$601,234,Sync!$C$5)&amp;"",""),Office_Log!$A$2:$A$201,0))&amp;"",IFERROR(INDEX(Clay_Offices!$A$2:$FZ$601,234,Sync!$C$5)&amp;"","")&amp;""))</f>
        <v/>
      </c>
      <c r="E2485" s="23" t="str">
        <f aca="false">IF(B2485="","",IFERROR(INDEX(Clay_Offices!$A$2:$FZ$601,234,Sync!$C$6)&amp;"",""))</f>
        <v/>
      </c>
      <c r="F2485" s="23" t="str">
        <f aca="false">IF(B2485="","","outreach_sent")</f>
        <v/>
      </c>
      <c r="G2485" s="23" t="str">
        <f aca="false">IF(B2485="","","")</f>
        <v/>
      </c>
      <c r="H2485" s="23" t="str">
        <f aca="false">IF(B2485="","","")</f>
        <v/>
      </c>
      <c r="I2485" s="23" t="str">
        <f aca="false">IF(B2485="","","")</f>
        <v/>
      </c>
      <c r="J2485" s="23" t="str">
        <f aca="false">IF(B2485="","","touch_2; "&amp;IFERROR(INDEX(Clay_Offices!$A$2:$FZ$601,234,Sync!$C$10)&amp;"","")&amp;"; "&amp;IFERROR(INDEX(Clay_Offices!$A$2:$FZ$601,234,Sync!$C$9)&amp;"",""))</f>
        <v/>
      </c>
      <c r="K2485" s="32" t="s">
        <v>1364</v>
      </c>
    </row>
    <row r="2486" customFormat="false" ht="15" hidden="false" customHeight="false" outlineLevel="0" collapsed="false">
      <c r="A2486" s="23" t="str">
        <f aca="false">IF(B2486="","",B2486+(13*1000+235)/10000000)</f>
        <v/>
      </c>
      <c r="B2486" s="35" t="str">
        <f aca="false">IF(AND(IFERROR(N(INDEX(Clay_Offices!$A$2:$FZ$601,235,Sync!$C$12)),0)&gt;0,IFERROR(INDEX(Clay_Offices!$A$2:$FZ$601,235,Sync!$C$5)&amp;"","")&lt;&gt;"",OR(LEFT(IFERROR(INDEX(Clay_Offices!$A$2:$FZ$601,235,Sync!$C$5)&amp;"",""),6)&lt;&gt;"SAMPLE",Config!$B$19="Y")),IFERROR(N(INDEX(Clay_Offices!$A$2:$FZ$601,235,Sync!$C$12)),0),"")</f>
        <v/>
      </c>
      <c r="C2486" s="23" t="str">
        <f aca="false">IF(B2486="","","office")</f>
        <v/>
      </c>
      <c r="D2486" s="23" t="str">
        <f aca="false">IF(B2486="","",IFERROR(INDEX(Office_Log!$ED$2:$ED$201,MATCH(IFERROR(INDEX(Clay_Offices!$A$2:$FZ$601,235,Sync!$C$5)&amp;"",""),Office_Log!$A$2:$A$201,0))&amp;"",IFERROR(INDEX(Clay_Offices!$A$2:$FZ$601,235,Sync!$C$5)&amp;"","")&amp;""))</f>
        <v/>
      </c>
      <c r="E2486" s="23" t="str">
        <f aca="false">IF(B2486="","",IFERROR(INDEX(Clay_Offices!$A$2:$FZ$601,235,Sync!$C$6)&amp;"",""))</f>
        <v/>
      </c>
      <c r="F2486" s="23" t="str">
        <f aca="false">IF(B2486="","","outreach_sent")</f>
        <v/>
      </c>
      <c r="G2486" s="23" t="str">
        <f aca="false">IF(B2486="","","")</f>
        <v/>
      </c>
      <c r="H2486" s="23" t="str">
        <f aca="false">IF(B2486="","","")</f>
        <v/>
      </c>
      <c r="I2486" s="23" t="str">
        <f aca="false">IF(B2486="","","")</f>
        <v/>
      </c>
      <c r="J2486" s="23" t="str">
        <f aca="false">IF(B2486="","","touch_2; "&amp;IFERROR(INDEX(Clay_Offices!$A$2:$FZ$601,235,Sync!$C$10)&amp;"","")&amp;"; "&amp;IFERROR(INDEX(Clay_Offices!$A$2:$FZ$601,235,Sync!$C$9)&amp;"",""))</f>
        <v/>
      </c>
      <c r="K2486" s="32" t="s">
        <v>1364</v>
      </c>
    </row>
    <row r="2487" customFormat="false" ht="15" hidden="false" customHeight="false" outlineLevel="0" collapsed="false">
      <c r="A2487" s="23" t="str">
        <f aca="false">IF(B2487="","",B2487+(13*1000+236)/10000000)</f>
        <v/>
      </c>
      <c r="B2487" s="35" t="str">
        <f aca="false">IF(AND(IFERROR(N(INDEX(Clay_Offices!$A$2:$FZ$601,236,Sync!$C$12)),0)&gt;0,IFERROR(INDEX(Clay_Offices!$A$2:$FZ$601,236,Sync!$C$5)&amp;"","")&lt;&gt;"",OR(LEFT(IFERROR(INDEX(Clay_Offices!$A$2:$FZ$601,236,Sync!$C$5)&amp;"",""),6)&lt;&gt;"SAMPLE",Config!$B$19="Y")),IFERROR(N(INDEX(Clay_Offices!$A$2:$FZ$601,236,Sync!$C$12)),0),"")</f>
        <v/>
      </c>
      <c r="C2487" s="23" t="str">
        <f aca="false">IF(B2487="","","office")</f>
        <v/>
      </c>
      <c r="D2487" s="23" t="str">
        <f aca="false">IF(B2487="","",IFERROR(INDEX(Office_Log!$ED$2:$ED$201,MATCH(IFERROR(INDEX(Clay_Offices!$A$2:$FZ$601,236,Sync!$C$5)&amp;"",""),Office_Log!$A$2:$A$201,0))&amp;"",IFERROR(INDEX(Clay_Offices!$A$2:$FZ$601,236,Sync!$C$5)&amp;"","")&amp;""))</f>
        <v/>
      </c>
      <c r="E2487" s="23" t="str">
        <f aca="false">IF(B2487="","",IFERROR(INDEX(Clay_Offices!$A$2:$FZ$601,236,Sync!$C$6)&amp;"",""))</f>
        <v/>
      </c>
      <c r="F2487" s="23" t="str">
        <f aca="false">IF(B2487="","","outreach_sent")</f>
        <v/>
      </c>
      <c r="G2487" s="23" t="str">
        <f aca="false">IF(B2487="","","")</f>
        <v/>
      </c>
      <c r="H2487" s="23" t="str">
        <f aca="false">IF(B2487="","","")</f>
        <v/>
      </c>
      <c r="I2487" s="23" t="str">
        <f aca="false">IF(B2487="","","")</f>
        <v/>
      </c>
      <c r="J2487" s="23" t="str">
        <f aca="false">IF(B2487="","","touch_2; "&amp;IFERROR(INDEX(Clay_Offices!$A$2:$FZ$601,236,Sync!$C$10)&amp;"","")&amp;"; "&amp;IFERROR(INDEX(Clay_Offices!$A$2:$FZ$601,236,Sync!$C$9)&amp;"",""))</f>
        <v/>
      </c>
      <c r="K2487" s="32" t="s">
        <v>1364</v>
      </c>
    </row>
    <row r="2488" customFormat="false" ht="15" hidden="false" customHeight="false" outlineLevel="0" collapsed="false">
      <c r="A2488" s="23" t="str">
        <f aca="false">IF(B2488="","",B2488+(13*1000+237)/10000000)</f>
        <v/>
      </c>
      <c r="B2488" s="35" t="str">
        <f aca="false">IF(AND(IFERROR(N(INDEX(Clay_Offices!$A$2:$FZ$601,237,Sync!$C$12)),0)&gt;0,IFERROR(INDEX(Clay_Offices!$A$2:$FZ$601,237,Sync!$C$5)&amp;"","")&lt;&gt;"",OR(LEFT(IFERROR(INDEX(Clay_Offices!$A$2:$FZ$601,237,Sync!$C$5)&amp;"",""),6)&lt;&gt;"SAMPLE",Config!$B$19="Y")),IFERROR(N(INDEX(Clay_Offices!$A$2:$FZ$601,237,Sync!$C$12)),0),"")</f>
        <v/>
      </c>
      <c r="C2488" s="23" t="str">
        <f aca="false">IF(B2488="","","office")</f>
        <v/>
      </c>
      <c r="D2488" s="23" t="str">
        <f aca="false">IF(B2488="","",IFERROR(INDEX(Office_Log!$ED$2:$ED$201,MATCH(IFERROR(INDEX(Clay_Offices!$A$2:$FZ$601,237,Sync!$C$5)&amp;"",""),Office_Log!$A$2:$A$201,0))&amp;"",IFERROR(INDEX(Clay_Offices!$A$2:$FZ$601,237,Sync!$C$5)&amp;"","")&amp;""))</f>
        <v/>
      </c>
      <c r="E2488" s="23" t="str">
        <f aca="false">IF(B2488="","",IFERROR(INDEX(Clay_Offices!$A$2:$FZ$601,237,Sync!$C$6)&amp;"",""))</f>
        <v/>
      </c>
      <c r="F2488" s="23" t="str">
        <f aca="false">IF(B2488="","","outreach_sent")</f>
        <v/>
      </c>
      <c r="G2488" s="23" t="str">
        <f aca="false">IF(B2488="","","")</f>
        <v/>
      </c>
      <c r="H2488" s="23" t="str">
        <f aca="false">IF(B2488="","","")</f>
        <v/>
      </c>
      <c r="I2488" s="23" t="str">
        <f aca="false">IF(B2488="","","")</f>
        <v/>
      </c>
      <c r="J2488" s="23" t="str">
        <f aca="false">IF(B2488="","","touch_2; "&amp;IFERROR(INDEX(Clay_Offices!$A$2:$FZ$601,237,Sync!$C$10)&amp;"","")&amp;"; "&amp;IFERROR(INDEX(Clay_Offices!$A$2:$FZ$601,237,Sync!$C$9)&amp;"",""))</f>
        <v/>
      </c>
      <c r="K2488" s="32" t="s">
        <v>1364</v>
      </c>
    </row>
    <row r="2489" customFormat="false" ht="15" hidden="false" customHeight="false" outlineLevel="0" collapsed="false">
      <c r="A2489" s="23" t="str">
        <f aca="false">IF(B2489="","",B2489+(13*1000+238)/10000000)</f>
        <v/>
      </c>
      <c r="B2489" s="35" t="str">
        <f aca="false">IF(AND(IFERROR(N(INDEX(Clay_Offices!$A$2:$FZ$601,238,Sync!$C$12)),0)&gt;0,IFERROR(INDEX(Clay_Offices!$A$2:$FZ$601,238,Sync!$C$5)&amp;"","")&lt;&gt;"",OR(LEFT(IFERROR(INDEX(Clay_Offices!$A$2:$FZ$601,238,Sync!$C$5)&amp;"",""),6)&lt;&gt;"SAMPLE",Config!$B$19="Y")),IFERROR(N(INDEX(Clay_Offices!$A$2:$FZ$601,238,Sync!$C$12)),0),"")</f>
        <v/>
      </c>
      <c r="C2489" s="23" t="str">
        <f aca="false">IF(B2489="","","office")</f>
        <v/>
      </c>
      <c r="D2489" s="23" t="str">
        <f aca="false">IF(B2489="","",IFERROR(INDEX(Office_Log!$ED$2:$ED$201,MATCH(IFERROR(INDEX(Clay_Offices!$A$2:$FZ$601,238,Sync!$C$5)&amp;"",""),Office_Log!$A$2:$A$201,0))&amp;"",IFERROR(INDEX(Clay_Offices!$A$2:$FZ$601,238,Sync!$C$5)&amp;"","")&amp;""))</f>
        <v/>
      </c>
      <c r="E2489" s="23" t="str">
        <f aca="false">IF(B2489="","",IFERROR(INDEX(Clay_Offices!$A$2:$FZ$601,238,Sync!$C$6)&amp;"",""))</f>
        <v/>
      </c>
      <c r="F2489" s="23" t="str">
        <f aca="false">IF(B2489="","","outreach_sent")</f>
        <v/>
      </c>
      <c r="G2489" s="23" t="str">
        <f aca="false">IF(B2489="","","")</f>
        <v/>
      </c>
      <c r="H2489" s="23" t="str">
        <f aca="false">IF(B2489="","","")</f>
        <v/>
      </c>
      <c r="I2489" s="23" t="str">
        <f aca="false">IF(B2489="","","")</f>
        <v/>
      </c>
      <c r="J2489" s="23" t="str">
        <f aca="false">IF(B2489="","","touch_2; "&amp;IFERROR(INDEX(Clay_Offices!$A$2:$FZ$601,238,Sync!$C$10)&amp;"","")&amp;"; "&amp;IFERROR(INDEX(Clay_Offices!$A$2:$FZ$601,238,Sync!$C$9)&amp;"",""))</f>
        <v/>
      </c>
      <c r="K2489" s="32" t="s">
        <v>1364</v>
      </c>
    </row>
    <row r="2490" customFormat="false" ht="15" hidden="false" customHeight="false" outlineLevel="0" collapsed="false">
      <c r="A2490" s="23" t="str">
        <f aca="false">IF(B2490="","",B2490+(13*1000+239)/10000000)</f>
        <v/>
      </c>
      <c r="B2490" s="35" t="str">
        <f aca="false">IF(AND(IFERROR(N(INDEX(Clay_Offices!$A$2:$FZ$601,239,Sync!$C$12)),0)&gt;0,IFERROR(INDEX(Clay_Offices!$A$2:$FZ$601,239,Sync!$C$5)&amp;"","")&lt;&gt;"",OR(LEFT(IFERROR(INDEX(Clay_Offices!$A$2:$FZ$601,239,Sync!$C$5)&amp;"",""),6)&lt;&gt;"SAMPLE",Config!$B$19="Y")),IFERROR(N(INDEX(Clay_Offices!$A$2:$FZ$601,239,Sync!$C$12)),0),"")</f>
        <v/>
      </c>
      <c r="C2490" s="23" t="str">
        <f aca="false">IF(B2490="","","office")</f>
        <v/>
      </c>
      <c r="D2490" s="23" t="str">
        <f aca="false">IF(B2490="","",IFERROR(INDEX(Office_Log!$ED$2:$ED$201,MATCH(IFERROR(INDEX(Clay_Offices!$A$2:$FZ$601,239,Sync!$C$5)&amp;"",""),Office_Log!$A$2:$A$201,0))&amp;"",IFERROR(INDEX(Clay_Offices!$A$2:$FZ$601,239,Sync!$C$5)&amp;"","")&amp;""))</f>
        <v/>
      </c>
      <c r="E2490" s="23" t="str">
        <f aca="false">IF(B2490="","",IFERROR(INDEX(Clay_Offices!$A$2:$FZ$601,239,Sync!$C$6)&amp;"",""))</f>
        <v/>
      </c>
      <c r="F2490" s="23" t="str">
        <f aca="false">IF(B2490="","","outreach_sent")</f>
        <v/>
      </c>
      <c r="G2490" s="23" t="str">
        <f aca="false">IF(B2490="","","")</f>
        <v/>
      </c>
      <c r="H2490" s="23" t="str">
        <f aca="false">IF(B2490="","","")</f>
        <v/>
      </c>
      <c r="I2490" s="23" t="str">
        <f aca="false">IF(B2490="","","")</f>
        <v/>
      </c>
      <c r="J2490" s="23" t="str">
        <f aca="false">IF(B2490="","","touch_2; "&amp;IFERROR(INDEX(Clay_Offices!$A$2:$FZ$601,239,Sync!$C$10)&amp;"","")&amp;"; "&amp;IFERROR(INDEX(Clay_Offices!$A$2:$FZ$601,239,Sync!$C$9)&amp;"",""))</f>
        <v/>
      </c>
      <c r="K2490" s="32" t="s">
        <v>1364</v>
      </c>
    </row>
    <row r="2491" customFormat="false" ht="15" hidden="false" customHeight="false" outlineLevel="0" collapsed="false">
      <c r="A2491" s="23" t="str">
        <f aca="false">IF(B2491="","",B2491+(13*1000+240)/10000000)</f>
        <v/>
      </c>
      <c r="B2491" s="35" t="str">
        <f aca="false">IF(AND(IFERROR(N(INDEX(Clay_Offices!$A$2:$FZ$601,240,Sync!$C$12)),0)&gt;0,IFERROR(INDEX(Clay_Offices!$A$2:$FZ$601,240,Sync!$C$5)&amp;"","")&lt;&gt;"",OR(LEFT(IFERROR(INDEX(Clay_Offices!$A$2:$FZ$601,240,Sync!$C$5)&amp;"",""),6)&lt;&gt;"SAMPLE",Config!$B$19="Y")),IFERROR(N(INDEX(Clay_Offices!$A$2:$FZ$601,240,Sync!$C$12)),0),"")</f>
        <v/>
      </c>
      <c r="C2491" s="23" t="str">
        <f aca="false">IF(B2491="","","office")</f>
        <v/>
      </c>
      <c r="D2491" s="23" t="str">
        <f aca="false">IF(B2491="","",IFERROR(INDEX(Office_Log!$ED$2:$ED$201,MATCH(IFERROR(INDEX(Clay_Offices!$A$2:$FZ$601,240,Sync!$C$5)&amp;"",""),Office_Log!$A$2:$A$201,0))&amp;"",IFERROR(INDEX(Clay_Offices!$A$2:$FZ$601,240,Sync!$C$5)&amp;"","")&amp;""))</f>
        <v/>
      </c>
      <c r="E2491" s="23" t="str">
        <f aca="false">IF(B2491="","",IFERROR(INDEX(Clay_Offices!$A$2:$FZ$601,240,Sync!$C$6)&amp;"",""))</f>
        <v/>
      </c>
      <c r="F2491" s="23" t="str">
        <f aca="false">IF(B2491="","","outreach_sent")</f>
        <v/>
      </c>
      <c r="G2491" s="23" t="str">
        <f aca="false">IF(B2491="","","")</f>
        <v/>
      </c>
      <c r="H2491" s="23" t="str">
        <f aca="false">IF(B2491="","","")</f>
        <v/>
      </c>
      <c r="I2491" s="23" t="str">
        <f aca="false">IF(B2491="","","")</f>
        <v/>
      </c>
      <c r="J2491" s="23" t="str">
        <f aca="false">IF(B2491="","","touch_2; "&amp;IFERROR(INDEX(Clay_Offices!$A$2:$FZ$601,240,Sync!$C$10)&amp;"","")&amp;"; "&amp;IFERROR(INDEX(Clay_Offices!$A$2:$FZ$601,240,Sync!$C$9)&amp;"",""))</f>
        <v/>
      </c>
      <c r="K2491" s="32" t="s">
        <v>1364</v>
      </c>
    </row>
    <row r="2492" customFormat="false" ht="15" hidden="false" customHeight="false" outlineLevel="0" collapsed="false">
      <c r="A2492" s="23" t="str">
        <f aca="false">IF(B2492="","",B2492+(13*1000+241)/10000000)</f>
        <v/>
      </c>
      <c r="B2492" s="35" t="str">
        <f aca="false">IF(AND(IFERROR(N(INDEX(Clay_Offices!$A$2:$FZ$601,241,Sync!$C$12)),0)&gt;0,IFERROR(INDEX(Clay_Offices!$A$2:$FZ$601,241,Sync!$C$5)&amp;"","")&lt;&gt;"",OR(LEFT(IFERROR(INDEX(Clay_Offices!$A$2:$FZ$601,241,Sync!$C$5)&amp;"",""),6)&lt;&gt;"SAMPLE",Config!$B$19="Y")),IFERROR(N(INDEX(Clay_Offices!$A$2:$FZ$601,241,Sync!$C$12)),0),"")</f>
        <v/>
      </c>
      <c r="C2492" s="23" t="str">
        <f aca="false">IF(B2492="","","office")</f>
        <v/>
      </c>
      <c r="D2492" s="23" t="str">
        <f aca="false">IF(B2492="","",IFERROR(INDEX(Office_Log!$ED$2:$ED$201,MATCH(IFERROR(INDEX(Clay_Offices!$A$2:$FZ$601,241,Sync!$C$5)&amp;"",""),Office_Log!$A$2:$A$201,0))&amp;"",IFERROR(INDEX(Clay_Offices!$A$2:$FZ$601,241,Sync!$C$5)&amp;"","")&amp;""))</f>
        <v/>
      </c>
      <c r="E2492" s="23" t="str">
        <f aca="false">IF(B2492="","",IFERROR(INDEX(Clay_Offices!$A$2:$FZ$601,241,Sync!$C$6)&amp;"",""))</f>
        <v/>
      </c>
      <c r="F2492" s="23" t="str">
        <f aca="false">IF(B2492="","","outreach_sent")</f>
        <v/>
      </c>
      <c r="G2492" s="23" t="str">
        <f aca="false">IF(B2492="","","")</f>
        <v/>
      </c>
      <c r="H2492" s="23" t="str">
        <f aca="false">IF(B2492="","","")</f>
        <v/>
      </c>
      <c r="I2492" s="23" t="str">
        <f aca="false">IF(B2492="","","")</f>
        <v/>
      </c>
      <c r="J2492" s="23" t="str">
        <f aca="false">IF(B2492="","","touch_2; "&amp;IFERROR(INDEX(Clay_Offices!$A$2:$FZ$601,241,Sync!$C$10)&amp;"","")&amp;"; "&amp;IFERROR(INDEX(Clay_Offices!$A$2:$FZ$601,241,Sync!$C$9)&amp;"",""))</f>
        <v/>
      </c>
      <c r="K2492" s="32" t="s">
        <v>1364</v>
      </c>
    </row>
    <row r="2493" customFormat="false" ht="15" hidden="false" customHeight="false" outlineLevel="0" collapsed="false">
      <c r="A2493" s="23" t="str">
        <f aca="false">IF(B2493="","",B2493+(13*1000+242)/10000000)</f>
        <v/>
      </c>
      <c r="B2493" s="35" t="str">
        <f aca="false">IF(AND(IFERROR(N(INDEX(Clay_Offices!$A$2:$FZ$601,242,Sync!$C$12)),0)&gt;0,IFERROR(INDEX(Clay_Offices!$A$2:$FZ$601,242,Sync!$C$5)&amp;"","")&lt;&gt;"",OR(LEFT(IFERROR(INDEX(Clay_Offices!$A$2:$FZ$601,242,Sync!$C$5)&amp;"",""),6)&lt;&gt;"SAMPLE",Config!$B$19="Y")),IFERROR(N(INDEX(Clay_Offices!$A$2:$FZ$601,242,Sync!$C$12)),0),"")</f>
        <v/>
      </c>
      <c r="C2493" s="23" t="str">
        <f aca="false">IF(B2493="","","office")</f>
        <v/>
      </c>
      <c r="D2493" s="23" t="str">
        <f aca="false">IF(B2493="","",IFERROR(INDEX(Office_Log!$ED$2:$ED$201,MATCH(IFERROR(INDEX(Clay_Offices!$A$2:$FZ$601,242,Sync!$C$5)&amp;"",""),Office_Log!$A$2:$A$201,0))&amp;"",IFERROR(INDEX(Clay_Offices!$A$2:$FZ$601,242,Sync!$C$5)&amp;"","")&amp;""))</f>
        <v/>
      </c>
      <c r="E2493" s="23" t="str">
        <f aca="false">IF(B2493="","",IFERROR(INDEX(Clay_Offices!$A$2:$FZ$601,242,Sync!$C$6)&amp;"",""))</f>
        <v/>
      </c>
      <c r="F2493" s="23" t="str">
        <f aca="false">IF(B2493="","","outreach_sent")</f>
        <v/>
      </c>
      <c r="G2493" s="23" t="str">
        <f aca="false">IF(B2493="","","")</f>
        <v/>
      </c>
      <c r="H2493" s="23" t="str">
        <f aca="false">IF(B2493="","","")</f>
        <v/>
      </c>
      <c r="I2493" s="23" t="str">
        <f aca="false">IF(B2493="","","")</f>
        <v/>
      </c>
      <c r="J2493" s="23" t="str">
        <f aca="false">IF(B2493="","","touch_2; "&amp;IFERROR(INDEX(Clay_Offices!$A$2:$FZ$601,242,Sync!$C$10)&amp;"","")&amp;"; "&amp;IFERROR(INDEX(Clay_Offices!$A$2:$FZ$601,242,Sync!$C$9)&amp;"",""))</f>
        <v/>
      </c>
      <c r="K2493" s="32" t="s">
        <v>1364</v>
      </c>
    </row>
    <row r="2494" customFormat="false" ht="15" hidden="false" customHeight="false" outlineLevel="0" collapsed="false">
      <c r="A2494" s="23" t="str">
        <f aca="false">IF(B2494="","",B2494+(13*1000+243)/10000000)</f>
        <v/>
      </c>
      <c r="B2494" s="35" t="str">
        <f aca="false">IF(AND(IFERROR(N(INDEX(Clay_Offices!$A$2:$FZ$601,243,Sync!$C$12)),0)&gt;0,IFERROR(INDEX(Clay_Offices!$A$2:$FZ$601,243,Sync!$C$5)&amp;"","")&lt;&gt;"",OR(LEFT(IFERROR(INDEX(Clay_Offices!$A$2:$FZ$601,243,Sync!$C$5)&amp;"",""),6)&lt;&gt;"SAMPLE",Config!$B$19="Y")),IFERROR(N(INDEX(Clay_Offices!$A$2:$FZ$601,243,Sync!$C$12)),0),"")</f>
        <v/>
      </c>
      <c r="C2494" s="23" t="str">
        <f aca="false">IF(B2494="","","office")</f>
        <v/>
      </c>
      <c r="D2494" s="23" t="str">
        <f aca="false">IF(B2494="","",IFERROR(INDEX(Office_Log!$ED$2:$ED$201,MATCH(IFERROR(INDEX(Clay_Offices!$A$2:$FZ$601,243,Sync!$C$5)&amp;"",""),Office_Log!$A$2:$A$201,0))&amp;"",IFERROR(INDEX(Clay_Offices!$A$2:$FZ$601,243,Sync!$C$5)&amp;"","")&amp;""))</f>
        <v/>
      </c>
      <c r="E2494" s="23" t="str">
        <f aca="false">IF(B2494="","",IFERROR(INDEX(Clay_Offices!$A$2:$FZ$601,243,Sync!$C$6)&amp;"",""))</f>
        <v/>
      </c>
      <c r="F2494" s="23" t="str">
        <f aca="false">IF(B2494="","","outreach_sent")</f>
        <v/>
      </c>
      <c r="G2494" s="23" t="str">
        <f aca="false">IF(B2494="","","")</f>
        <v/>
      </c>
      <c r="H2494" s="23" t="str">
        <f aca="false">IF(B2494="","","")</f>
        <v/>
      </c>
      <c r="I2494" s="23" t="str">
        <f aca="false">IF(B2494="","","")</f>
        <v/>
      </c>
      <c r="J2494" s="23" t="str">
        <f aca="false">IF(B2494="","","touch_2; "&amp;IFERROR(INDEX(Clay_Offices!$A$2:$FZ$601,243,Sync!$C$10)&amp;"","")&amp;"; "&amp;IFERROR(INDEX(Clay_Offices!$A$2:$FZ$601,243,Sync!$C$9)&amp;"",""))</f>
        <v/>
      </c>
      <c r="K2494" s="32" t="s">
        <v>1364</v>
      </c>
    </row>
    <row r="2495" customFormat="false" ht="15" hidden="false" customHeight="false" outlineLevel="0" collapsed="false">
      <c r="A2495" s="23" t="str">
        <f aca="false">IF(B2495="","",B2495+(13*1000+244)/10000000)</f>
        <v/>
      </c>
      <c r="B2495" s="35" t="str">
        <f aca="false">IF(AND(IFERROR(N(INDEX(Clay_Offices!$A$2:$FZ$601,244,Sync!$C$12)),0)&gt;0,IFERROR(INDEX(Clay_Offices!$A$2:$FZ$601,244,Sync!$C$5)&amp;"","")&lt;&gt;"",OR(LEFT(IFERROR(INDEX(Clay_Offices!$A$2:$FZ$601,244,Sync!$C$5)&amp;"",""),6)&lt;&gt;"SAMPLE",Config!$B$19="Y")),IFERROR(N(INDEX(Clay_Offices!$A$2:$FZ$601,244,Sync!$C$12)),0),"")</f>
        <v/>
      </c>
      <c r="C2495" s="23" t="str">
        <f aca="false">IF(B2495="","","office")</f>
        <v/>
      </c>
      <c r="D2495" s="23" t="str">
        <f aca="false">IF(B2495="","",IFERROR(INDEX(Office_Log!$ED$2:$ED$201,MATCH(IFERROR(INDEX(Clay_Offices!$A$2:$FZ$601,244,Sync!$C$5)&amp;"",""),Office_Log!$A$2:$A$201,0))&amp;"",IFERROR(INDEX(Clay_Offices!$A$2:$FZ$601,244,Sync!$C$5)&amp;"","")&amp;""))</f>
        <v/>
      </c>
      <c r="E2495" s="23" t="str">
        <f aca="false">IF(B2495="","",IFERROR(INDEX(Clay_Offices!$A$2:$FZ$601,244,Sync!$C$6)&amp;"",""))</f>
        <v/>
      </c>
      <c r="F2495" s="23" t="str">
        <f aca="false">IF(B2495="","","outreach_sent")</f>
        <v/>
      </c>
      <c r="G2495" s="23" t="str">
        <f aca="false">IF(B2495="","","")</f>
        <v/>
      </c>
      <c r="H2495" s="23" t="str">
        <f aca="false">IF(B2495="","","")</f>
        <v/>
      </c>
      <c r="I2495" s="23" t="str">
        <f aca="false">IF(B2495="","","")</f>
        <v/>
      </c>
      <c r="J2495" s="23" t="str">
        <f aca="false">IF(B2495="","","touch_2; "&amp;IFERROR(INDEX(Clay_Offices!$A$2:$FZ$601,244,Sync!$C$10)&amp;"","")&amp;"; "&amp;IFERROR(INDEX(Clay_Offices!$A$2:$FZ$601,244,Sync!$C$9)&amp;"",""))</f>
        <v/>
      </c>
      <c r="K2495" s="32" t="s">
        <v>1364</v>
      </c>
    </row>
    <row r="2496" customFormat="false" ht="15" hidden="false" customHeight="false" outlineLevel="0" collapsed="false">
      <c r="A2496" s="23" t="str">
        <f aca="false">IF(B2496="","",B2496+(13*1000+245)/10000000)</f>
        <v/>
      </c>
      <c r="B2496" s="35" t="str">
        <f aca="false">IF(AND(IFERROR(N(INDEX(Clay_Offices!$A$2:$FZ$601,245,Sync!$C$12)),0)&gt;0,IFERROR(INDEX(Clay_Offices!$A$2:$FZ$601,245,Sync!$C$5)&amp;"","")&lt;&gt;"",OR(LEFT(IFERROR(INDEX(Clay_Offices!$A$2:$FZ$601,245,Sync!$C$5)&amp;"",""),6)&lt;&gt;"SAMPLE",Config!$B$19="Y")),IFERROR(N(INDEX(Clay_Offices!$A$2:$FZ$601,245,Sync!$C$12)),0),"")</f>
        <v/>
      </c>
      <c r="C2496" s="23" t="str">
        <f aca="false">IF(B2496="","","office")</f>
        <v/>
      </c>
      <c r="D2496" s="23" t="str">
        <f aca="false">IF(B2496="","",IFERROR(INDEX(Office_Log!$ED$2:$ED$201,MATCH(IFERROR(INDEX(Clay_Offices!$A$2:$FZ$601,245,Sync!$C$5)&amp;"",""),Office_Log!$A$2:$A$201,0))&amp;"",IFERROR(INDEX(Clay_Offices!$A$2:$FZ$601,245,Sync!$C$5)&amp;"","")&amp;""))</f>
        <v/>
      </c>
      <c r="E2496" s="23" t="str">
        <f aca="false">IF(B2496="","",IFERROR(INDEX(Clay_Offices!$A$2:$FZ$601,245,Sync!$C$6)&amp;"",""))</f>
        <v/>
      </c>
      <c r="F2496" s="23" t="str">
        <f aca="false">IF(B2496="","","outreach_sent")</f>
        <v/>
      </c>
      <c r="G2496" s="23" t="str">
        <f aca="false">IF(B2496="","","")</f>
        <v/>
      </c>
      <c r="H2496" s="23" t="str">
        <f aca="false">IF(B2496="","","")</f>
        <v/>
      </c>
      <c r="I2496" s="23" t="str">
        <f aca="false">IF(B2496="","","")</f>
        <v/>
      </c>
      <c r="J2496" s="23" t="str">
        <f aca="false">IF(B2496="","","touch_2; "&amp;IFERROR(INDEX(Clay_Offices!$A$2:$FZ$601,245,Sync!$C$10)&amp;"","")&amp;"; "&amp;IFERROR(INDEX(Clay_Offices!$A$2:$FZ$601,245,Sync!$C$9)&amp;"",""))</f>
        <v/>
      </c>
      <c r="K2496" s="32" t="s">
        <v>1364</v>
      </c>
    </row>
    <row r="2497" customFormat="false" ht="15" hidden="false" customHeight="false" outlineLevel="0" collapsed="false">
      <c r="A2497" s="23" t="str">
        <f aca="false">IF(B2497="","",B2497+(13*1000+246)/10000000)</f>
        <v/>
      </c>
      <c r="B2497" s="35" t="str">
        <f aca="false">IF(AND(IFERROR(N(INDEX(Clay_Offices!$A$2:$FZ$601,246,Sync!$C$12)),0)&gt;0,IFERROR(INDEX(Clay_Offices!$A$2:$FZ$601,246,Sync!$C$5)&amp;"","")&lt;&gt;"",OR(LEFT(IFERROR(INDEX(Clay_Offices!$A$2:$FZ$601,246,Sync!$C$5)&amp;"",""),6)&lt;&gt;"SAMPLE",Config!$B$19="Y")),IFERROR(N(INDEX(Clay_Offices!$A$2:$FZ$601,246,Sync!$C$12)),0),"")</f>
        <v/>
      </c>
      <c r="C2497" s="23" t="str">
        <f aca="false">IF(B2497="","","office")</f>
        <v/>
      </c>
      <c r="D2497" s="23" t="str">
        <f aca="false">IF(B2497="","",IFERROR(INDEX(Office_Log!$ED$2:$ED$201,MATCH(IFERROR(INDEX(Clay_Offices!$A$2:$FZ$601,246,Sync!$C$5)&amp;"",""),Office_Log!$A$2:$A$201,0))&amp;"",IFERROR(INDEX(Clay_Offices!$A$2:$FZ$601,246,Sync!$C$5)&amp;"","")&amp;""))</f>
        <v/>
      </c>
      <c r="E2497" s="23" t="str">
        <f aca="false">IF(B2497="","",IFERROR(INDEX(Clay_Offices!$A$2:$FZ$601,246,Sync!$C$6)&amp;"",""))</f>
        <v/>
      </c>
      <c r="F2497" s="23" t="str">
        <f aca="false">IF(B2497="","","outreach_sent")</f>
        <v/>
      </c>
      <c r="G2497" s="23" t="str">
        <f aca="false">IF(B2497="","","")</f>
        <v/>
      </c>
      <c r="H2497" s="23" t="str">
        <f aca="false">IF(B2497="","","")</f>
        <v/>
      </c>
      <c r="I2497" s="23" t="str">
        <f aca="false">IF(B2497="","","")</f>
        <v/>
      </c>
      <c r="J2497" s="23" t="str">
        <f aca="false">IF(B2497="","","touch_2; "&amp;IFERROR(INDEX(Clay_Offices!$A$2:$FZ$601,246,Sync!$C$10)&amp;"","")&amp;"; "&amp;IFERROR(INDEX(Clay_Offices!$A$2:$FZ$601,246,Sync!$C$9)&amp;"",""))</f>
        <v/>
      </c>
      <c r="K2497" s="32" t="s">
        <v>1364</v>
      </c>
    </row>
    <row r="2498" customFormat="false" ht="15" hidden="false" customHeight="false" outlineLevel="0" collapsed="false">
      <c r="A2498" s="23" t="str">
        <f aca="false">IF(B2498="","",B2498+(13*1000+247)/10000000)</f>
        <v/>
      </c>
      <c r="B2498" s="35" t="str">
        <f aca="false">IF(AND(IFERROR(N(INDEX(Clay_Offices!$A$2:$FZ$601,247,Sync!$C$12)),0)&gt;0,IFERROR(INDEX(Clay_Offices!$A$2:$FZ$601,247,Sync!$C$5)&amp;"","")&lt;&gt;"",OR(LEFT(IFERROR(INDEX(Clay_Offices!$A$2:$FZ$601,247,Sync!$C$5)&amp;"",""),6)&lt;&gt;"SAMPLE",Config!$B$19="Y")),IFERROR(N(INDEX(Clay_Offices!$A$2:$FZ$601,247,Sync!$C$12)),0),"")</f>
        <v/>
      </c>
      <c r="C2498" s="23" t="str">
        <f aca="false">IF(B2498="","","office")</f>
        <v/>
      </c>
      <c r="D2498" s="23" t="str">
        <f aca="false">IF(B2498="","",IFERROR(INDEX(Office_Log!$ED$2:$ED$201,MATCH(IFERROR(INDEX(Clay_Offices!$A$2:$FZ$601,247,Sync!$C$5)&amp;"",""),Office_Log!$A$2:$A$201,0))&amp;"",IFERROR(INDEX(Clay_Offices!$A$2:$FZ$601,247,Sync!$C$5)&amp;"","")&amp;""))</f>
        <v/>
      </c>
      <c r="E2498" s="23" t="str">
        <f aca="false">IF(B2498="","",IFERROR(INDEX(Clay_Offices!$A$2:$FZ$601,247,Sync!$C$6)&amp;"",""))</f>
        <v/>
      </c>
      <c r="F2498" s="23" t="str">
        <f aca="false">IF(B2498="","","outreach_sent")</f>
        <v/>
      </c>
      <c r="G2498" s="23" t="str">
        <f aca="false">IF(B2498="","","")</f>
        <v/>
      </c>
      <c r="H2498" s="23" t="str">
        <f aca="false">IF(B2498="","","")</f>
        <v/>
      </c>
      <c r="I2498" s="23" t="str">
        <f aca="false">IF(B2498="","","")</f>
        <v/>
      </c>
      <c r="J2498" s="23" t="str">
        <f aca="false">IF(B2498="","","touch_2; "&amp;IFERROR(INDEX(Clay_Offices!$A$2:$FZ$601,247,Sync!$C$10)&amp;"","")&amp;"; "&amp;IFERROR(INDEX(Clay_Offices!$A$2:$FZ$601,247,Sync!$C$9)&amp;"",""))</f>
        <v/>
      </c>
      <c r="K2498" s="32" t="s">
        <v>1364</v>
      </c>
    </row>
    <row r="2499" customFormat="false" ht="15" hidden="false" customHeight="false" outlineLevel="0" collapsed="false">
      <c r="A2499" s="23" t="str">
        <f aca="false">IF(B2499="","",B2499+(13*1000+248)/10000000)</f>
        <v/>
      </c>
      <c r="B2499" s="35" t="str">
        <f aca="false">IF(AND(IFERROR(N(INDEX(Clay_Offices!$A$2:$FZ$601,248,Sync!$C$12)),0)&gt;0,IFERROR(INDEX(Clay_Offices!$A$2:$FZ$601,248,Sync!$C$5)&amp;"","")&lt;&gt;"",OR(LEFT(IFERROR(INDEX(Clay_Offices!$A$2:$FZ$601,248,Sync!$C$5)&amp;"",""),6)&lt;&gt;"SAMPLE",Config!$B$19="Y")),IFERROR(N(INDEX(Clay_Offices!$A$2:$FZ$601,248,Sync!$C$12)),0),"")</f>
        <v/>
      </c>
      <c r="C2499" s="23" t="str">
        <f aca="false">IF(B2499="","","office")</f>
        <v/>
      </c>
      <c r="D2499" s="23" t="str">
        <f aca="false">IF(B2499="","",IFERROR(INDEX(Office_Log!$ED$2:$ED$201,MATCH(IFERROR(INDEX(Clay_Offices!$A$2:$FZ$601,248,Sync!$C$5)&amp;"",""),Office_Log!$A$2:$A$201,0))&amp;"",IFERROR(INDEX(Clay_Offices!$A$2:$FZ$601,248,Sync!$C$5)&amp;"","")&amp;""))</f>
        <v/>
      </c>
      <c r="E2499" s="23" t="str">
        <f aca="false">IF(B2499="","",IFERROR(INDEX(Clay_Offices!$A$2:$FZ$601,248,Sync!$C$6)&amp;"",""))</f>
        <v/>
      </c>
      <c r="F2499" s="23" t="str">
        <f aca="false">IF(B2499="","","outreach_sent")</f>
        <v/>
      </c>
      <c r="G2499" s="23" t="str">
        <f aca="false">IF(B2499="","","")</f>
        <v/>
      </c>
      <c r="H2499" s="23" t="str">
        <f aca="false">IF(B2499="","","")</f>
        <v/>
      </c>
      <c r="I2499" s="23" t="str">
        <f aca="false">IF(B2499="","","")</f>
        <v/>
      </c>
      <c r="J2499" s="23" t="str">
        <f aca="false">IF(B2499="","","touch_2; "&amp;IFERROR(INDEX(Clay_Offices!$A$2:$FZ$601,248,Sync!$C$10)&amp;"","")&amp;"; "&amp;IFERROR(INDEX(Clay_Offices!$A$2:$FZ$601,248,Sync!$C$9)&amp;"",""))</f>
        <v/>
      </c>
      <c r="K2499" s="32" t="s">
        <v>1364</v>
      </c>
    </row>
    <row r="2500" customFormat="false" ht="15" hidden="false" customHeight="false" outlineLevel="0" collapsed="false">
      <c r="A2500" s="23" t="str">
        <f aca="false">IF(B2500="","",B2500+(13*1000+249)/10000000)</f>
        <v/>
      </c>
      <c r="B2500" s="35" t="str">
        <f aca="false">IF(AND(IFERROR(N(INDEX(Clay_Offices!$A$2:$FZ$601,249,Sync!$C$12)),0)&gt;0,IFERROR(INDEX(Clay_Offices!$A$2:$FZ$601,249,Sync!$C$5)&amp;"","")&lt;&gt;"",OR(LEFT(IFERROR(INDEX(Clay_Offices!$A$2:$FZ$601,249,Sync!$C$5)&amp;"",""),6)&lt;&gt;"SAMPLE",Config!$B$19="Y")),IFERROR(N(INDEX(Clay_Offices!$A$2:$FZ$601,249,Sync!$C$12)),0),"")</f>
        <v/>
      </c>
      <c r="C2500" s="23" t="str">
        <f aca="false">IF(B2500="","","office")</f>
        <v/>
      </c>
      <c r="D2500" s="23" t="str">
        <f aca="false">IF(B2500="","",IFERROR(INDEX(Office_Log!$ED$2:$ED$201,MATCH(IFERROR(INDEX(Clay_Offices!$A$2:$FZ$601,249,Sync!$C$5)&amp;"",""),Office_Log!$A$2:$A$201,0))&amp;"",IFERROR(INDEX(Clay_Offices!$A$2:$FZ$601,249,Sync!$C$5)&amp;"","")&amp;""))</f>
        <v/>
      </c>
      <c r="E2500" s="23" t="str">
        <f aca="false">IF(B2500="","",IFERROR(INDEX(Clay_Offices!$A$2:$FZ$601,249,Sync!$C$6)&amp;"",""))</f>
        <v/>
      </c>
      <c r="F2500" s="23" t="str">
        <f aca="false">IF(B2500="","","outreach_sent")</f>
        <v/>
      </c>
      <c r="G2500" s="23" t="str">
        <f aca="false">IF(B2500="","","")</f>
        <v/>
      </c>
      <c r="H2500" s="23" t="str">
        <f aca="false">IF(B2500="","","")</f>
        <v/>
      </c>
      <c r="I2500" s="23" t="str">
        <f aca="false">IF(B2500="","","")</f>
        <v/>
      </c>
      <c r="J2500" s="23" t="str">
        <f aca="false">IF(B2500="","","touch_2; "&amp;IFERROR(INDEX(Clay_Offices!$A$2:$FZ$601,249,Sync!$C$10)&amp;"","")&amp;"; "&amp;IFERROR(INDEX(Clay_Offices!$A$2:$FZ$601,249,Sync!$C$9)&amp;"",""))</f>
        <v/>
      </c>
      <c r="K2500" s="32" t="s">
        <v>1364</v>
      </c>
    </row>
    <row r="2501" customFormat="false" ht="15" hidden="false" customHeight="false" outlineLevel="0" collapsed="false">
      <c r="A2501" s="23" t="str">
        <f aca="false">IF(B2501="","",B2501+(13*1000+250)/10000000)</f>
        <v/>
      </c>
      <c r="B2501" s="35" t="str">
        <f aca="false">IF(AND(IFERROR(N(INDEX(Clay_Offices!$A$2:$FZ$601,250,Sync!$C$12)),0)&gt;0,IFERROR(INDEX(Clay_Offices!$A$2:$FZ$601,250,Sync!$C$5)&amp;"","")&lt;&gt;"",OR(LEFT(IFERROR(INDEX(Clay_Offices!$A$2:$FZ$601,250,Sync!$C$5)&amp;"",""),6)&lt;&gt;"SAMPLE",Config!$B$19="Y")),IFERROR(N(INDEX(Clay_Offices!$A$2:$FZ$601,250,Sync!$C$12)),0),"")</f>
        <v/>
      </c>
      <c r="C2501" s="23" t="str">
        <f aca="false">IF(B2501="","","office")</f>
        <v/>
      </c>
      <c r="D2501" s="23" t="str">
        <f aca="false">IF(B2501="","",IFERROR(INDEX(Office_Log!$ED$2:$ED$201,MATCH(IFERROR(INDEX(Clay_Offices!$A$2:$FZ$601,250,Sync!$C$5)&amp;"",""),Office_Log!$A$2:$A$201,0))&amp;"",IFERROR(INDEX(Clay_Offices!$A$2:$FZ$601,250,Sync!$C$5)&amp;"","")&amp;""))</f>
        <v/>
      </c>
      <c r="E2501" s="23" t="str">
        <f aca="false">IF(B2501="","",IFERROR(INDEX(Clay_Offices!$A$2:$FZ$601,250,Sync!$C$6)&amp;"",""))</f>
        <v/>
      </c>
      <c r="F2501" s="23" t="str">
        <f aca="false">IF(B2501="","","outreach_sent")</f>
        <v/>
      </c>
      <c r="G2501" s="23" t="str">
        <f aca="false">IF(B2501="","","")</f>
        <v/>
      </c>
      <c r="H2501" s="23" t="str">
        <f aca="false">IF(B2501="","","")</f>
        <v/>
      </c>
      <c r="I2501" s="23" t="str">
        <f aca="false">IF(B2501="","","")</f>
        <v/>
      </c>
      <c r="J2501" s="23" t="str">
        <f aca="false">IF(B2501="","","touch_2; "&amp;IFERROR(INDEX(Clay_Offices!$A$2:$FZ$601,250,Sync!$C$10)&amp;"","")&amp;"; "&amp;IFERROR(INDEX(Clay_Offices!$A$2:$FZ$601,250,Sync!$C$9)&amp;"",""))</f>
        <v/>
      </c>
      <c r="K2501" s="32" t="s">
        <v>1364</v>
      </c>
    </row>
    <row r="2502" customFormat="false" ht="15" hidden="false" customHeight="false" outlineLevel="0" collapsed="false">
      <c r="A2502" s="23" t="str">
        <f aca="false">IF(B2502="","",B2502+(13*1000+251)/10000000)</f>
        <v/>
      </c>
      <c r="B2502" s="35" t="str">
        <f aca="false">IF(AND(IFERROR(N(INDEX(Clay_Offices!$A$2:$FZ$601,251,Sync!$C$12)),0)&gt;0,IFERROR(INDEX(Clay_Offices!$A$2:$FZ$601,251,Sync!$C$5)&amp;"","")&lt;&gt;"",OR(LEFT(IFERROR(INDEX(Clay_Offices!$A$2:$FZ$601,251,Sync!$C$5)&amp;"",""),6)&lt;&gt;"SAMPLE",Config!$B$19="Y")),IFERROR(N(INDEX(Clay_Offices!$A$2:$FZ$601,251,Sync!$C$12)),0),"")</f>
        <v/>
      </c>
      <c r="C2502" s="23" t="str">
        <f aca="false">IF(B2502="","","office")</f>
        <v/>
      </c>
      <c r="D2502" s="23" t="str">
        <f aca="false">IF(B2502="","",IFERROR(INDEX(Office_Log!$ED$2:$ED$201,MATCH(IFERROR(INDEX(Clay_Offices!$A$2:$FZ$601,251,Sync!$C$5)&amp;"",""),Office_Log!$A$2:$A$201,0))&amp;"",IFERROR(INDEX(Clay_Offices!$A$2:$FZ$601,251,Sync!$C$5)&amp;"","")&amp;""))</f>
        <v/>
      </c>
      <c r="E2502" s="23" t="str">
        <f aca="false">IF(B2502="","",IFERROR(INDEX(Clay_Offices!$A$2:$FZ$601,251,Sync!$C$6)&amp;"",""))</f>
        <v/>
      </c>
      <c r="F2502" s="23" t="str">
        <f aca="false">IF(B2502="","","outreach_sent")</f>
        <v/>
      </c>
      <c r="G2502" s="23" t="str">
        <f aca="false">IF(B2502="","","")</f>
        <v/>
      </c>
      <c r="H2502" s="23" t="str">
        <f aca="false">IF(B2502="","","")</f>
        <v/>
      </c>
      <c r="I2502" s="23" t="str">
        <f aca="false">IF(B2502="","","")</f>
        <v/>
      </c>
      <c r="J2502" s="23" t="str">
        <f aca="false">IF(B2502="","","touch_2; "&amp;IFERROR(INDEX(Clay_Offices!$A$2:$FZ$601,251,Sync!$C$10)&amp;"","")&amp;"; "&amp;IFERROR(INDEX(Clay_Offices!$A$2:$FZ$601,251,Sync!$C$9)&amp;"",""))</f>
        <v/>
      </c>
      <c r="K2502" s="32" t="s">
        <v>1364</v>
      </c>
    </row>
    <row r="2503" customFormat="false" ht="15" hidden="false" customHeight="false" outlineLevel="0" collapsed="false">
      <c r="A2503" s="23" t="str">
        <f aca="false">IF(B2503="","",B2503+(13*1000+252)/10000000)</f>
        <v/>
      </c>
      <c r="B2503" s="35" t="str">
        <f aca="false">IF(AND(IFERROR(N(INDEX(Clay_Offices!$A$2:$FZ$601,252,Sync!$C$12)),0)&gt;0,IFERROR(INDEX(Clay_Offices!$A$2:$FZ$601,252,Sync!$C$5)&amp;"","")&lt;&gt;"",OR(LEFT(IFERROR(INDEX(Clay_Offices!$A$2:$FZ$601,252,Sync!$C$5)&amp;"",""),6)&lt;&gt;"SAMPLE",Config!$B$19="Y")),IFERROR(N(INDEX(Clay_Offices!$A$2:$FZ$601,252,Sync!$C$12)),0),"")</f>
        <v/>
      </c>
      <c r="C2503" s="23" t="str">
        <f aca="false">IF(B2503="","","office")</f>
        <v/>
      </c>
      <c r="D2503" s="23" t="str">
        <f aca="false">IF(B2503="","",IFERROR(INDEX(Office_Log!$ED$2:$ED$201,MATCH(IFERROR(INDEX(Clay_Offices!$A$2:$FZ$601,252,Sync!$C$5)&amp;"",""),Office_Log!$A$2:$A$201,0))&amp;"",IFERROR(INDEX(Clay_Offices!$A$2:$FZ$601,252,Sync!$C$5)&amp;"","")&amp;""))</f>
        <v/>
      </c>
      <c r="E2503" s="23" t="str">
        <f aca="false">IF(B2503="","",IFERROR(INDEX(Clay_Offices!$A$2:$FZ$601,252,Sync!$C$6)&amp;"",""))</f>
        <v/>
      </c>
      <c r="F2503" s="23" t="str">
        <f aca="false">IF(B2503="","","outreach_sent")</f>
        <v/>
      </c>
      <c r="G2503" s="23" t="str">
        <f aca="false">IF(B2503="","","")</f>
        <v/>
      </c>
      <c r="H2503" s="23" t="str">
        <f aca="false">IF(B2503="","","")</f>
        <v/>
      </c>
      <c r="I2503" s="23" t="str">
        <f aca="false">IF(B2503="","","")</f>
        <v/>
      </c>
      <c r="J2503" s="23" t="str">
        <f aca="false">IF(B2503="","","touch_2; "&amp;IFERROR(INDEX(Clay_Offices!$A$2:$FZ$601,252,Sync!$C$10)&amp;"","")&amp;"; "&amp;IFERROR(INDEX(Clay_Offices!$A$2:$FZ$601,252,Sync!$C$9)&amp;"",""))</f>
        <v/>
      </c>
      <c r="K2503" s="32" t="s">
        <v>1364</v>
      </c>
    </row>
    <row r="2504" customFormat="false" ht="15" hidden="false" customHeight="false" outlineLevel="0" collapsed="false">
      <c r="A2504" s="23" t="str">
        <f aca="false">IF(B2504="","",B2504+(13*1000+253)/10000000)</f>
        <v/>
      </c>
      <c r="B2504" s="35" t="str">
        <f aca="false">IF(AND(IFERROR(N(INDEX(Clay_Offices!$A$2:$FZ$601,253,Sync!$C$12)),0)&gt;0,IFERROR(INDEX(Clay_Offices!$A$2:$FZ$601,253,Sync!$C$5)&amp;"","")&lt;&gt;"",OR(LEFT(IFERROR(INDEX(Clay_Offices!$A$2:$FZ$601,253,Sync!$C$5)&amp;"",""),6)&lt;&gt;"SAMPLE",Config!$B$19="Y")),IFERROR(N(INDEX(Clay_Offices!$A$2:$FZ$601,253,Sync!$C$12)),0),"")</f>
        <v/>
      </c>
      <c r="C2504" s="23" t="str">
        <f aca="false">IF(B2504="","","office")</f>
        <v/>
      </c>
      <c r="D2504" s="23" t="str">
        <f aca="false">IF(B2504="","",IFERROR(INDEX(Office_Log!$ED$2:$ED$201,MATCH(IFERROR(INDEX(Clay_Offices!$A$2:$FZ$601,253,Sync!$C$5)&amp;"",""),Office_Log!$A$2:$A$201,0))&amp;"",IFERROR(INDEX(Clay_Offices!$A$2:$FZ$601,253,Sync!$C$5)&amp;"","")&amp;""))</f>
        <v/>
      </c>
      <c r="E2504" s="23" t="str">
        <f aca="false">IF(B2504="","",IFERROR(INDEX(Clay_Offices!$A$2:$FZ$601,253,Sync!$C$6)&amp;"",""))</f>
        <v/>
      </c>
      <c r="F2504" s="23" t="str">
        <f aca="false">IF(B2504="","","outreach_sent")</f>
        <v/>
      </c>
      <c r="G2504" s="23" t="str">
        <f aca="false">IF(B2504="","","")</f>
        <v/>
      </c>
      <c r="H2504" s="23" t="str">
        <f aca="false">IF(B2504="","","")</f>
        <v/>
      </c>
      <c r="I2504" s="23" t="str">
        <f aca="false">IF(B2504="","","")</f>
        <v/>
      </c>
      <c r="J2504" s="23" t="str">
        <f aca="false">IF(B2504="","","touch_2; "&amp;IFERROR(INDEX(Clay_Offices!$A$2:$FZ$601,253,Sync!$C$10)&amp;"","")&amp;"; "&amp;IFERROR(INDEX(Clay_Offices!$A$2:$FZ$601,253,Sync!$C$9)&amp;"",""))</f>
        <v/>
      </c>
      <c r="K2504" s="32" t="s">
        <v>1364</v>
      </c>
    </row>
    <row r="2505" customFormat="false" ht="15" hidden="false" customHeight="false" outlineLevel="0" collapsed="false">
      <c r="A2505" s="23" t="str">
        <f aca="false">IF(B2505="","",B2505+(13*1000+254)/10000000)</f>
        <v/>
      </c>
      <c r="B2505" s="35" t="str">
        <f aca="false">IF(AND(IFERROR(N(INDEX(Clay_Offices!$A$2:$FZ$601,254,Sync!$C$12)),0)&gt;0,IFERROR(INDEX(Clay_Offices!$A$2:$FZ$601,254,Sync!$C$5)&amp;"","")&lt;&gt;"",OR(LEFT(IFERROR(INDEX(Clay_Offices!$A$2:$FZ$601,254,Sync!$C$5)&amp;"",""),6)&lt;&gt;"SAMPLE",Config!$B$19="Y")),IFERROR(N(INDEX(Clay_Offices!$A$2:$FZ$601,254,Sync!$C$12)),0),"")</f>
        <v/>
      </c>
      <c r="C2505" s="23" t="str">
        <f aca="false">IF(B2505="","","office")</f>
        <v/>
      </c>
      <c r="D2505" s="23" t="str">
        <f aca="false">IF(B2505="","",IFERROR(INDEX(Office_Log!$ED$2:$ED$201,MATCH(IFERROR(INDEX(Clay_Offices!$A$2:$FZ$601,254,Sync!$C$5)&amp;"",""),Office_Log!$A$2:$A$201,0))&amp;"",IFERROR(INDEX(Clay_Offices!$A$2:$FZ$601,254,Sync!$C$5)&amp;"","")&amp;""))</f>
        <v/>
      </c>
      <c r="E2505" s="23" t="str">
        <f aca="false">IF(B2505="","",IFERROR(INDEX(Clay_Offices!$A$2:$FZ$601,254,Sync!$C$6)&amp;"",""))</f>
        <v/>
      </c>
      <c r="F2505" s="23" t="str">
        <f aca="false">IF(B2505="","","outreach_sent")</f>
        <v/>
      </c>
      <c r="G2505" s="23" t="str">
        <f aca="false">IF(B2505="","","")</f>
        <v/>
      </c>
      <c r="H2505" s="23" t="str">
        <f aca="false">IF(B2505="","","")</f>
        <v/>
      </c>
      <c r="I2505" s="23" t="str">
        <f aca="false">IF(B2505="","","")</f>
        <v/>
      </c>
      <c r="J2505" s="23" t="str">
        <f aca="false">IF(B2505="","","touch_2; "&amp;IFERROR(INDEX(Clay_Offices!$A$2:$FZ$601,254,Sync!$C$10)&amp;"","")&amp;"; "&amp;IFERROR(INDEX(Clay_Offices!$A$2:$FZ$601,254,Sync!$C$9)&amp;"",""))</f>
        <v/>
      </c>
      <c r="K2505" s="32" t="s">
        <v>1364</v>
      </c>
    </row>
    <row r="2506" customFormat="false" ht="15" hidden="false" customHeight="false" outlineLevel="0" collapsed="false">
      <c r="A2506" s="23" t="str">
        <f aca="false">IF(B2506="","",B2506+(13*1000+255)/10000000)</f>
        <v/>
      </c>
      <c r="B2506" s="35" t="str">
        <f aca="false">IF(AND(IFERROR(N(INDEX(Clay_Offices!$A$2:$FZ$601,255,Sync!$C$12)),0)&gt;0,IFERROR(INDEX(Clay_Offices!$A$2:$FZ$601,255,Sync!$C$5)&amp;"","")&lt;&gt;"",OR(LEFT(IFERROR(INDEX(Clay_Offices!$A$2:$FZ$601,255,Sync!$C$5)&amp;"",""),6)&lt;&gt;"SAMPLE",Config!$B$19="Y")),IFERROR(N(INDEX(Clay_Offices!$A$2:$FZ$601,255,Sync!$C$12)),0),"")</f>
        <v/>
      </c>
      <c r="C2506" s="23" t="str">
        <f aca="false">IF(B2506="","","office")</f>
        <v/>
      </c>
      <c r="D2506" s="23" t="str">
        <f aca="false">IF(B2506="","",IFERROR(INDEX(Office_Log!$ED$2:$ED$201,MATCH(IFERROR(INDEX(Clay_Offices!$A$2:$FZ$601,255,Sync!$C$5)&amp;"",""),Office_Log!$A$2:$A$201,0))&amp;"",IFERROR(INDEX(Clay_Offices!$A$2:$FZ$601,255,Sync!$C$5)&amp;"","")&amp;""))</f>
        <v/>
      </c>
      <c r="E2506" s="23" t="str">
        <f aca="false">IF(B2506="","",IFERROR(INDEX(Clay_Offices!$A$2:$FZ$601,255,Sync!$C$6)&amp;"",""))</f>
        <v/>
      </c>
      <c r="F2506" s="23" t="str">
        <f aca="false">IF(B2506="","","outreach_sent")</f>
        <v/>
      </c>
      <c r="G2506" s="23" t="str">
        <f aca="false">IF(B2506="","","")</f>
        <v/>
      </c>
      <c r="H2506" s="23" t="str">
        <f aca="false">IF(B2506="","","")</f>
        <v/>
      </c>
      <c r="I2506" s="23" t="str">
        <f aca="false">IF(B2506="","","")</f>
        <v/>
      </c>
      <c r="J2506" s="23" t="str">
        <f aca="false">IF(B2506="","","touch_2; "&amp;IFERROR(INDEX(Clay_Offices!$A$2:$FZ$601,255,Sync!$C$10)&amp;"","")&amp;"; "&amp;IFERROR(INDEX(Clay_Offices!$A$2:$FZ$601,255,Sync!$C$9)&amp;"",""))</f>
        <v/>
      </c>
      <c r="K2506" s="32" t="s">
        <v>1364</v>
      </c>
    </row>
    <row r="2507" customFormat="false" ht="15" hidden="false" customHeight="false" outlineLevel="0" collapsed="false">
      <c r="A2507" s="23" t="str">
        <f aca="false">IF(B2507="","",B2507+(13*1000+256)/10000000)</f>
        <v/>
      </c>
      <c r="B2507" s="35" t="str">
        <f aca="false">IF(AND(IFERROR(N(INDEX(Clay_Offices!$A$2:$FZ$601,256,Sync!$C$12)),0)&gt;0,IFERROR(INDEX(Clay_Offices!$A$2:$FZ$601,256,Sync!$C$5)&amp;"","")&lt;&gt;"",OR(LEFT(IFERROR(INDEX(Clay_Offices!$A$2:$FZ$601,256,Sync!$C$5)&amp;"",""),6)&lt;&gt;"SAMPLE",Config!$B$19="Y")),IFERROR(N(INDEX(Clay_Offices!$A$2:$FZ$601,256,Sync!$C$12)),0),"")</f>
        <v/>
      </c>
      <c r="C2507" s="23" t="str">
        <f aca="false">IF(B2507="","","office")</f>
        <v/>
      </c>
      <c r="D2507" s="23" t="str">
        <f aca="false">IF(B2507="","",IFERROR(INDEX(Office_Log!$ED$2:$ED$201,MATCH(IFERROR(INDEX(Clay_Offices!$A$2:$FZ$601,256,Sync!$C$5)&amp;"",""),Office_Log!$A$2:$A$201,0))&amp;"",IFERROR(INDEX(Clay_Offices!$A$2:$FZ$601,256,Sync!$C$5)&amp;"","")&amp;""))</f>
        <v/>
      </c>
      <c r="E2507" s="23" t="str">
        <f aca="false">IF(B2507="","",IFERROR(INDEX(Clay_Offices!$A$2:$FZ$601,256,Sync!$C$6)&amp;"",""))</f>
        <v/>
      </c>
      <c r="F2507" s="23" t="str">
        <f aca="false">IF(B2507="","","outreach_sent")</f>
        <v/>
      </c>
      <c r="G2507" s="23" t="str">
        <f aca="false">IF(B2507="","","")</f>
        <v/>
      </c>
      <c r="H2507" s="23" t="str">
        <f aca="false">IF(B2507="","","")</f>
        <v/>
      </c>
      <c r="I2507" s="23" t="str">
        <f aca="false">IF(B2507="","","")</f>
        <v/>
      </c>
      <c r="J2507" s="23" t="str">
        <f aca="false">IF(B2507="","","touch_2; "&amp;IFERROR(INDEX(Clay_Offices!$A$2:$FZ$601,256,Sync!$C$10)&amp;"","")&amp;"; "&amp;IFERROR(INDEX(Clay_Offices!$A$2:$FZ$601,256,Sync!$C$9)&amp;"",""))</f>
        <v/>
      </c>
      <c r="K2507" s="32" t="s">
        <v>1364</v>
      </c>
    </row>
    <row r="2508" customFormat="false" ht="15" hidden="false" customHeight="false" outlineLevel="0" collapsed="false">
      <c r="A2508" s="23" t="str">
        <f aca="false">IF(B2508="","",B2508+(13*1000+257)/10000000)</f>
        <v/>
      </c>
      <c r="B2508" s="35" t="str">
        <f aca="false">IF(AND(IFERROR(N(INDEX(Clay_Offices!$A$2:$FZ$601,257,Sync!$C$12)),0)&gt;0,IFERROR(INDEX(Clay_Offices!$A$2:$FZ$601,257,Sync!$C$5)&amp;"","")&lt;&gt;"",OR(LEFT(IFERROR(INDEX(Clay_Offices!$A$2:$FZ$601,257,Sync!$C$5)&amp;"",""),6)&lt;&gt;"SAMPLE",Config!$B$19="Y")),IFERROR(N(INDEX(Clay_Offices!$A$2:$FZ$601,257,Sync!$C$12)),0),"")</f>
        <v/>
      </c>
      <c r="C2508" s="23" t="str">
        <f aca="false">IF(B2508="","","office")</f>
        <v/>
      </c>
      <c r="D2508" s="23" t="str">
        <f aca="false">IF(B2508="","",IFERROR(INDEX(Office_Log!$ED$2:$ED$201,MATCH(IFERROR(INDEX(Clay_Offices!$A$2:$FZ$601,257,Sync!$C$5)&amp;"",""),Office_Log!$A$2:$A$201,0))&amp;"",IFERROR(INDEX(Clay_Offices!$A$2:$FZ$601,257,Sync!$C$5)&amp;"","")&amp;""))</f>
        <v/>
      </c>
      <c r="E2508" s="23" t="str">
        <f aca="false">IF(B2508="","",IFERROR(INDEX(Clay_Offices!$A$2:$FZ$601,257,Sync!$C$6)&amp;"",""))</f>
        <v/>
      </c>
      <c r="F2508" s="23" t="str">
        <f aca="false">IF(B2508="","","outreach_sent")</f>
        <v/>
      </c>
      <c r="G2508" s="23" t="str">
        <f aca="false">IF(B2508="","","")</f>
        <v/>
      </c>
      <c r="H2508" s="23" t="str">
        <f aca="false">IF(B2508="","","")</f>
        <v/>
      </c>
      <c r="I2508" s="23" t="str">
        <f aca="false">IF(B2508="","","")</f>
        <v/>
      </c>
      <c r="J2508" s="23" t="str">
        <f aca="false">IF(B2508="","","touch_2; "&amp;IFERROR(INDEX(Clay_Offices!$A$2:$FZ$601,257,Sync!$C$10)&amp;"","")&amp;"; "&amp;IFERROR(INDEX(Clay_Offices!$A$2:$FZ$601,257,Sync!$C$9)&amp;"",""))</f>
        <v/>
      </c>
      <c r="K2508" s="32" t="s">
        <v>1364</v>
      </c>
    </row>
    <row r="2509" customFormat="false" ht="15" hidden="false" customHeight="false" outlineLevel="0" collapsed="false">
      <c r="A2509" s="23" t="str">
        <f aca="false">IF(B2509="","",B2509+(13*1000+258)/10000000)</f>
        <v/>
      </c>
      <c r="B2509" s="35" t="str">
        <f aca="false">IF(AND(IFERROR(N(INDEX(Clay_Offices!$A$2:$FZ$601,258,Sync!$C$12)),0)&gt;0,IFERROR(INDEX(Clay_Offices!$A$2:$FZ$601,258,Sync!$C$5)&amp;"","")&lt;&gt;"",OR(LEFT(IFERROR(INDEX(Clay_Offices!$A$2:$FZ$601,258,Sync!$C$5)&amp;"",""),6)&lt;&gt;"SAMPLE",Config!$B$19="Y")),IFERROR(N(INDEX(Clay_Offices!$A$2:$FZ$601,258,Sync!$C$12)),0),"")</f>
        <v/>
      </c>
      <c r="C2509" s="23" t="str">
        <f aca="false">IF(B2509="","","office")</f>
        <v/>
      </c>
      <c r="D2509" s="23" t="str">
        <f aca="false">IF(B2509="","",IFERROR(INDEX(Office_Log!$ED$2:$ED$201,MATCH(IFERROR(INDEX(Clay_Offices!$A$2:$FZ$601,258,Sync!$C$5)&amp;"",""),Office_Log!$A$2:$A$201,0))&amp;"",IFERROR(INDEX(Clay_Offices!$A$2:$FZ$601,258,Sync!$C$5)&amp;"","")&amp;""))</f>
        <v/>
      </c>
      <c r="E2509" s="23" t="str">
        <f aca="false">IF(B2509="","",IFERROR(INDEX(Clay_Offices!$A$2:$FZ$601,258,Sync!$C$6)&amp;"",""))</f>
        <v/>
      </c>
      <c r="F2509" s="23" t="str">
        <f aca="false">IF(B2509="","","outreach_sent")</f>
        <v/>
      </c>
      <c r="G2509" s="23" t="str">
        <f aca="false">IF(B2509="","","")</f>
        <v/>
      </c>
      <c r="H2509" s="23" t="str">
        <f aca="false">IF(B2509="","","")</f>
        <v/>
      </c>
      <c r="I2509" s="23" t="str">
        <f aca="false">IF(B2509="","","")</f>
        <v/>
      </c>
      <c r="J2509" s="23" t="str">
        <f aca="false">IF(B2509="","","touch_2; "&amp;IFERROR(INDEX(Clay_Offices!$A$2:$FZ$601,258,Sync!$C$10)&amp;"","")&amp;"; "&amp;IFERROR(INDEX(Clay_Offices!$A$2:$FZ$601,258,Sync!$C$9)&amp;"",""))</f>
        <v/>
      </c>
      <c r="K2509" s="32" t="s">
        <v>1364</v>
      </c>
    </row>
    <row r="2510" customFormat="false" ht="15" hidden="false" customHeight="false" outlineLevel="0" collapsed="false">
      <c r="A2510" s="23" t="str">
        <f aca="false">IF(B2510="","",B2510+(13*1000+259)/10000000)</f>
        <v/>
      </c>
      <c r="B2510" s="35" t="str">
        <f aca="false">IF(AND(IFERROR(N(INDEX(Clay_Offices!$A$2:$FZ$601,259,Sync!$C$12)),0)&gt;0,IFERROR(INDEX(Clay_Offices!$A$2:$FZ$601,259,Sync!$C$5)&amp;"","")&lt;&gt;"",OR(LEFT(IFERROR(INDEX(Clay_Offices!$A$2:$FZ$601,259,Sync!$C$5)&amp;"",""),6)&lt;&gt;"SAMPLE",Config!$B$19="Y")),IFERROR(N(INDEX(Clay_Offices!$A$2:$FZ$601,259,Sync!$C$12)),0),"")</f>
        <v/>
      </c>
      <c r="C2510" s="23" t="str">
        <f aca="false">IF(B2510="","","office")</f>
        <v/>
      </c>
      <c r="D2510" s="23" t="str">
        <f aca="false">IF(B2510="","",IFERROR(INDEX(Office_Log!$ED$2:$ED$201,MATCH(IFERROR(INDEX(Clay_Offices!$A$2:$FZ$601,259,Sync!$C$5)&amp;"",""),Office_Log!$A$2:$A$201,0))&amp;"",IFERROR(INDEX(Clay_Offices!$A$2:$FZ$601,259,Sync!$C$5)&amp;"","")&amp;""))</f>
        <v/>
      </c>
      <c r="E2510" s="23" t="str">
        <f aca="false">IF(B2510="","",IFERROR(INDEX(Clay_Offices!$A$2:$FZ$601,259,Sync!$C$6)&amp;"",""))</f>
        <v/>
      </c>
      <c r="F2510" s="23" t="str">
        <f aca="false">IF(B2510="","","outreach_sent")</f>
        <v/>
      </c>
      <c r="G2510" s="23" t="str">
        <f aca="false">IF(B2510="","","")</f>
        <v/>
      </c>
      <c r="H2510" s="23" t="str">
        <f aca="false">IF(B2510="","","")</f>
        <v/>
      </c>
      <c r="I2510" s="23" t="str">
        <f aca="false">IF(B2510="","","")</f>
        <v/>
      </c>
      <c r="J2510" s="23" t="str">
        <f aca="false">IF(B2510="","","touch_2; "&amp;IFERROR(INDEX(Clay_Offices!$A$2:$FZ$601,259,Sync!$C$10)&amp;"","")&amp;"; "&amp;IFERROR(INDEX(Clay_Offices!$A$2:$FZ$601,259,Sync!$C$9)&amp;"",""))</f>
        <v/>
      </c>
      <c r="K2510" s="32" t="s">
        <v>1364</v>
      </c>
    </row>
    <row r="2511" customFormat="false" ht="15" hidden="false" customHeight="false" outlineLevel="0" collapsed="false">
      <c r="A2511" s="23" t="str">
        <f aca="false">IF(B2511="","",B2511+(13*1000+260)/10000000)</f>
        <v/>
      </c>
      <c r="B2511" s="35" t="str">
        <f aca="false">IF(AND(IFERROR(N(INDEX(Clay_Offices!$A$2:$FZ$601,260,Sync!$C$12)),0)&gt;0,IFERROR(INDEX(Clay_Offices!$A$2:$FZ$601,260,Sync!$C$5)&amp;"","")&lt;&gt;"",OR(LEFT(IFERROR(INDEX(Clay_Offices!$A$2:$FZ$601,260,Sync!$C$5)&amp;"",""),6)&lt;&gt;"SAMPLE",Config!$B$19="Y")),IFERROR(N(INDEX(Clay_Offices!$A$2:$FZ$601,260,Sync!$C$12)),0),"")</f>
        <v/>
      </c>
      <c r="C2511" s="23" t="str">
        <f aca="false">IF(B2511="","","office")</f>
        <v/>
      </c>
      <c r="D2511" s="23" t="str">
        <f aca="false">IF(B2511="","",IFERROR(INDEX(Office_Log!$ED$2:$ED$201,MATCH(IFERROR(INDEX(Clay_Offices!$A$2:$FZ$601,260,Sync!$C$5)&amp;"",""),Office_Log!$A$2:$A$201,0))&amp;"",IFERROR(INDEX(Clay_Offices!$A$2:$FZ$601,260,Sync!$C$5)&amp;"","")&amp;""))</f>
        <v/>
      </c>
      <c r="E2511" s="23" t="str">
        <f aca="false">IF(B2511="","",IFERROR(INDEX(Clay_Offices!$A$2:$FZ$601,260,Sync!$C$6)&amp;"",""))</f>
        <v/>
      </c>
      <c r="F2511" s="23" t="str">
        <f aca="false">IF(B2511="","","outreach_sent")</f>
        <v/>
      </c>
      <c r="G2511" s="23" t="str">
        <f aca="false">IF(B2511="","","")</f>
        <v/>
      </c>
      <c r="H2511" s="23" t="str">
        <f aca="false">IF(B2511="","","")</f>
        <v/>
      </c>
      <c r="I2511" s="23" t="str">
        <f aca="false">IF(B2511="","","")</f>
        <v/>
      </c>
      <c r="J2511" s="23" t="str">
        <f aca="false">IF(B2511="","","touch_2; "&amp;IFERROR(INDEX(Clay_Offices!$A$2:$FZ$601,260,Sync!$C$10)&amp;"","")&amp;"; "&amp;IFERROR(INDEX(Clay_Offices!$A$2:$FZ$601,260,Sync!$C$9)&amp;"",""))</f>
        <v/>
      </c>
      <c r="K2511" s="32" t="s">
        <v>1364</v>
      </c>
    </row>
    <row r="2512" customFormat="false" ht="15" hidden="false" customHeight="false" outlineLevel="0" collapsed="false">
      <c r="A2512" s="23" t="str">
        <f aca="false">IF(B2512="","",B2512+(13*1000+261)/10000000)</f>
        <v/>
      </c>
      <c r="B2512" s="35" t="str">
        <f aca="false">IF(AND(IFERROR(N(INDEX(Clay_Offices!$A$2:$FZ$601,261,Sync!$C$12)),0)&gt;0,IFERROR(INDEX(Clay_Offices!$A$2:$FZ$601,261,Sync!$C$5)&amp;"","")&lt;&gt;"",OR(LEFT(IFERROR(INDEX(Clay_Offices!$A$2:$FZ$601,261,Sync!$C$5)&amp;"",""),6)&lt;&gt;"SAMPLE",Config!$B$19="Y")),IFERROR(N(INDEX(Clay_Offices!$A$2:$FZ$601,261,Sync!$C$12)),0),"")</f>
        <v/>
      </c>
      <c r="C2512" s="23" t="str">
        <f aca="false">IF(B2512="","","office")</f>
        <v/>
      </c>
      <c r="D2512" s="23" t="str">
        <f aca="false">IF(B2512="","",IFERROR(INDEX(Office_Log!$ED$2:$ED$201,MATCH(IFERROR(INDEX(Clay_Offices!$A$2:$FZ$601,261,Sync!$C$5)&amp;"",""),Office_Log!$A$2:$A$201,0))&amp;"",IFERROR(INDEX(Clay_Offices!$A$2:$FZ$601,261,Sync!$C$5)&amp;"","")&amp;""))</f>
        <v/>
      </c>
      <c r="E2512" s="23" t="str">
        <f aca="false">IF(B2512="","",IFERROR(INDEX(Clay_Offices!$A$2:$FZ$601,261,Sync!$C$6)&amp;"",""))</f>
        <v/>
      </c>
      <c r="F2512" s="23" t="str">
        <f aca="false">IF(B2512="","","outreach_sent")</f>
        <v/>
      </c>
      <c r="G2512" s="23" t="str">
        <f aca="false">IF(B2512="","","")</f>
        <v/>
      </c>
      <c r="H2512" s="23" t="str">
        <f aca="false">IF(B2512="","","")</f>
        <v/>
      </c>
      <c r="I2512" s="23" t="str">
        <f aca="false">IF(B2512="","","")</f>
        <v/>
      </c>
      <c r="J2512" s="23" t="str">
        <f aca="false">IF(B2512="","","touch_2; "&amp;IFERROR(INDEX(Clay_Offices!$A$2:$FZ$601,261,Sync!$C$10)&amp;"","")&amp;"; "&amp;IFERROR(INDEX(Clay_Offices!$A$2:$FZ$601,261,Sync!$C$9)&amp;"",""))</f>
        <v/>
      </c>
      <c r="K2512" s="32" t="s">
        <v>1364</v>
      </c>
    </row>
    <row r="2513" customFormat="false" ht="15" hidden="false" customHeight="false" outlineLevel="0" collapsed="false">
      <c r="A2513" s="23" t="str">
        <f aca="false">IF(B2513="","",B2513+(13*1000+262)/10000000)</f>
        <v/>
      </c>
      <c r="B2513" s="35" t="str">
        <f aca="false">IF(AND(IFERROR(N(INDEX(Clay_Offices!$A$2:$FZ$601,262,Sync!$C$12)),0)&gt;0,IFERROR(INDEX(Clay_Offices!$A$2:$FZ$601,262,Sync!$C$5)&amp;"","")&lt;&gt;"",OR(LEFT(IFERROR(INDEX(Clay_Offices!$A$2:$FZ$601,262,Sync!$C$5)&amp;"",""),6)&lt;&gt;"SAMPLE",Config!$B$19="Y")),IFERROR(N(INDEX(Clay_Offices!$A$2:$FZ$601,262,Sync!$C$12)),0),"")</f>
        <v/>
      </c>
      <c r="C2513" s="23" t="str">
        <f aca="false">IF(B2513="","","office")</f>
        <v/>
      </c>
      <c r="D2513" s="23" t="str">
        <f aca="false">IF(B2513="","",IFERROR(INDEX(Office_Log!$ED$2:$ED$201,MATCH(IFERROR(INDEX(Clay_Offices!$A$2:$FZ$601,262,Sync!$C$5)&amp;"",""),Office_Log!$A$2:$A$201,0))&amp;"",IFERROR(INDEX(Clay_Offices!$A$2:$FZ$601,262,Sync!$C$5)&amp;"","")&amp;""))</f>
        <v/>
      </c>
      <c r="E2513" s="23" t="str">
        <f aca="false">IF(B2513="","",IFERROR(INDEX(Clay_Offices!$A$2:$FZ$601,262,Sync!$C$6)&amp;"",""))</f>
        <v/>
      </c>
      <c r="F2513" s="23" t="str">
        <f aca="false">IF(B2513="","","outreach_sent")</f>
        <v/>
      </c>
      <c r="G2513" s="23" t="str">
        <f aca="false">IF(B2513="","","")</f>
        <v/>
      </c>
      <c r="H2513" s="23" t="str">
        <f aca="false">IF(B2513="","","")</f>
        <v/>
      </c>
      <c r="I2513" s="23" t="str">
        <f aca="false">IF(B2513="","","")</f>
        <v/>
      </c>
      <c r="J2513" s="23" t="str">
        <f aca="false">IF(B2513="","","touch_2; "&amp;IFERROR(INDEX(Clay_Offices!$A$2:$FZ$601,262,Sync!$C$10)&amp;"","")&amp;"; "&amp;IFERROR(INDEX(Clay_Offices!$A$2:$FZ$601,262,Sync!$C$9)&amp;"",""))</f>
        <v/>
      </c>
      <c r="K2513" s="32" t="s">
        <v>1364</v>
      </c>
    </row>
    <row r="2514" customFormat="false" ht="15" hidden="false" customHeight="false" outlineLevel="0" collapsed="false">
      <c r="A2514" s="23" t="str">
        <f aca="false">IF(B2514="","",B2514+(13*1000+263)/10000000)</f>
        <v/>
      </c>
      <c r="B2514" s="35" t="str">
        <f aca="false">IF(AND(IFERROR(N(INDEX(Clay_Offices!$A$2:$FZ$601,263,Sync!$C$12)),0)&gt;0,IFERROR(INDEX(Clay_Offices!$A$2:$FZ$601,263,Sync!$C$5)&amp;"","")&lt;&gt;"",OR(LEFT(IFERROR(INDEX(Clay_Offices!$A$2:$FZ$601,263,Sync!$C$5)&amp;"",""),6)&lt;&gt;"SAMPLE",Config!$B$19="Y")),IFERROR(N(INDEX(Clay_Offices!$A$2:$FZ$601,263,Sync!$C$12)),0),"")</f>
        <v/>
      </c>
      <c r="C2514" s="23" t="str">
        <f aca="false">IF(B2514="","","office")</f>
        <v/>
      </c>
      <c r="D2514" s="23" t="str">
        <f aca="false">IF(B2514="","",IFERROR(INDEX(Office_Log!$ED$2:$ED$201,MATCH(IFERROR(INDEX(Clay_Offices!$A$2:$FZ$601,263,Sync!$C$5)&amp;"",""),Office_Log!$A$2:$A$201,0))&amp;"",IFERROR(INDEX(Clay_Offices!$A$2:$FZ$601,263,Sync!$C$5)&amp;"","")&amp;""))</f>
        <v/>
      </c>
      <c r="E2514" s="23" t="str">
        <f aca="false">IF(B2514="","",IFERROR(INDEX(Clay_Offices!$A$2:$FZ$601,263,Sync!$C$6)&amp;"",""))</f>
        <v/>
      </c>
      <c r="F2514" s="23" t="str">
        <f aca="false">IF(B2514="","","outreach_sent")</f>
        <v/>
      </c>
      <c r="G2514" s="23" t="str">
        <f aca="false">IF(B2514="","","")</f>
        <v/>
      </c>
      <c r="H2514" s="23" t="str">
        <f aca="false">IF(B2514="","","")</f>
        <v/>
      </c>
      <c r="I2514" s="23" t="str">
        <f aca="false">IF(B2514="","","")</f>
        <v/>
      </c>
      <c r="J2514" s="23" t="str">
        <f aca="false">IF(B2514="","","touch_2; "&amp;IFERROR(INDEX(Clay_Offices!$A$2:$FZ$601,263,Sync!$C$10)&amp;"","")&amp;"; "&amp;IFERROR(INDEX(Clay_Offices!$A$2:$FZ$601,263,Sync!$C$9)&amp;"",""))</f>
        <v/>
      </c>
      <c r="K2514" s="32" t="s">
        <v>1364</v>
      </c>
    </row>
    <row r="2515" customFormat="false" ht="15" hidden="false" customHeight="false" outlineLevel="0" collapsed="false">
      <c r="A2515" s="23" t="str">
        <f aca="false">IF(B2515="","",B2515+(13*1000+264)/10000000)</f>
        <v/>
      </c>
      <c r="B2515" s="35" t="str">
        <f aca="false">IF(AND(IFERROR(N(INDEX(Clay_Offices!$A$2:$FZ$601,264,Sync!$C$12)),0)&gt;0,IFERROR(INDEX(Clay_Offices!$A$2:$FZ$601,264,Sync!$C$5)&amp;"","")&lt;&gt;"",OR(LEFT(IFERROR(INDEX(Clay_Offices!$A$2:$FZ$601,264,Sync!$C$5)&amp;"",""),6)&lt;&gt;"SAMPLE",Config!$B$19="Y")),IFERROR(N(INDEX(Clay_Offices!$A$2:$FZ$601,264,Sync!$C$12)),0),"")</f>
        <v/>
      </c>
      <c r="C2515" s="23" t="str">
        <f aca="false">IF(B2515="","","office")</f>
        <v/>
      </c>
      <c r="D2515" s="23" t="str">
        <f aca="false">IF(B2515="","",IFERROR(INDEX(Office_Log!$ED$2:$ED$201,MATCH(IFERROR(INDEX(Clay_Offices!$A$2:$FZ$601,264,Sync!$C$5)&amp;"",""),Office_Log!$A$2:$A$201,0))&amp;"",IFERROR(INDEX(Clay_Offices!$A$2:$FZ$601,264,Sync!$C$5)&amp;"","")&amp;""))</f>
        <v/>
      </c>
      <c r="E2515" s="23" t="str">
        <f aca="false">IF(B2515="","",IFERROR(INDEX(Clay_Offices!$A$2:$FZ$601,264,Sync!$C$6)&amp;"",""))</f>
        <v/>
      </c>
      <c r="F2515" s="23" t="str">
        <f aca="false">IF(B2515="","","outreach_sent")</f>
        <v/>
      </c>
      <c r="G2515" s="23" t="str">
        <f aca="false">IF(B2515="","","")</f>
        <v/>
      </c>
      <c r="H2515" s="23" t="str">
        <f aca="false">IF(B2515="","","")</f>
        <v/>
      </c>
      <c r="I2515" s="23" t="str">
        <f aca="false">IF(B2515="","","")</f>
        <v/>
      </c>
      <c r="J2515" s="23" t="str">
        <f aca="false">IF(B2515="","","touch_2; "&amp;IFERROR(INDEX(Clay_Offices!$A$2:$FZ$601,264,Sync!$C$10)&amp;"","")&amp;"; "&amp;IFERROR(INDEX(Clay_Offices!$A$2:$FZ$601,264,Sync!$C$9)&amp;"",""))</f>
        <v/>
      </c>
      <c r="K2515" s="32" t="s">
        <v>1364</v>
      </c>
    </row>
    <row r="2516" customFormat="false" ht="15" hidden="false" customHeight="false" outlineLevel="0" collapsed="false">
      <c r="A2516" s="23" t="str">
        <f aca="false">IF(B2516="","",B2516+(13*1000+265)/10000000)</f>
        <v/>
      </c>
      <c r="B2516" s="35" t="str">
        <f aca="false">IF(AND(IFERROR(N(INDEX(Clay_Offices!$A$2:$FZ$601,265,Sync!$C$12)),0)&gt;0,IFERROR(INDEX(Clay_Offices!$A$2:$FZ$601,265,Sync!$C$5)&amp;"","")&lt;&gt;"",OR(LEFT(IFERROR(INDEX(Clay_Offices!$A$2:$FZ$601,265,Sync!$C$5)&amp;"",""),6)&lt;&gt;"SAMPLE",Config!$B$19="Y")),IFERROR(N(INDEX(Clay_Offices!$A$2:$FZ$601,265,Sync!$C$12)),0),"")</f>
        <v/>
      </c>
      <c r="C2516" s="23" t="str">
        <f aca="false">IF(B2516="","","office")</f>
        <v/>
      </c>
      <c r="D2516" s="23" t="str">
        <f aca="false">IF(B2516="","",IFERROR(INDEX(Office_Log!$ED$2:$ED$201,MATCH(IFERROR(INDEX(Clay_Offices!$A$2:$FZ$601,265,Sync!$C$5)&amp;"",""),Office_Log!$A$2:$A$201,0))&amp;"",IFERROR(INDEX(Clay_Offices!$A$2:$FZ$601,265,Sync!$C$5)&amp;"","")&amp;""))</f>
        <v/>
      </c>
      <c r="E2516" s="23" t="str">
        <f aca="false">IF(B2516="","",IFERROR(INDEX(Clay_Offices!$A$2:$FZ$601,265,Sync!$C$6)&amp;"",""))</f>
        <v/>
      </c>
      <c r="F2516" s="23" t="str">
        <f aca="false">IF(B2516="","","outreach_sent")</f>
        <v/>
      </c>
      <c r="G2516" s="23" t="str">
        <f aca="false">IF(B2516="","","")</f>
        <v/>
      </c>
      <c r="H2516" s="23" t="str">
        <f aca="false">IF(B2516="","","")</f>
        <v/>
      </c>
      <c r="I2516" s="23" t="str">
        <f aca="false">IF(B2516="","","")</f>
        <v/>
      </c>
      <c r="J2516" s="23" t="str">
        <f aca="false">IF(B2516="","","touch_2; "&amp;IFERROR(INDEX(Clay_Offices!$A$2:$FZ$601,265,Sync!$C$10)&amp;"","")&amp;"; "&amp;IFERROR(INDEX(Clay_Offices!$A$2:$FZ$601,265,Sync!$C$9)&amp;"",""))</f>
        <v/>
      </c>
      <c r="K2516" s="32" t="s">
        <v>1364</v>
      </c>
    </row>
    <row r="2517" customFormat="false" ht="15" hidden="false" customHeight="false" outlineLevel="0" collapsed="false">
      <c r="A2517" s="23" t="str">
        <f aca="false">IF(B2517="","",B2517+(13*1000+266)/10000000)</f>
        <v/>
      </c>
      <c r="B2517" s="35" t="str">
        <f aca="false">IF(AND(IFERROR(N(INDEX(Clay_Offices!$A$2:$FZ$601,266,Sync!$C$12)),0)&gt;0,IFERROR(INDEX(Clay_Offices!$A$2:$FZ$601,266,Sync!$C$5)&amp;"","")&lt;&gt;"",OR(LEFT(IFERROR(INDEX(Clay_Offices!$A$2:$FZ$601,266,Sync!$C$5)&amp;"",""),6)&lt;&gt;"SAMPLE",Config!$B$19="Y")),IFERROR(N(INDEX(Clay_Offices!$A$2:$FZ$601,266,Sync!$C$12)),0),"")</f>
        <v/>
      </c>
      <c r="C2517" s="23" t="str">
        <f aca="false">IF(B2517="","","office")</f>
        <v/>
      </c>
      <c r="D2517" s="23" t="str">
        <f aca="false">IF(B2517="","",IFERROR(INDEX(Office_Log!$ED$2:$ED$201,MATCH(IFERROR(INDEX(Clay_Offices!$A$2:$FZ$601,266,Sync!$C$5)&amp;"",""),Office_Log!$A$2:$A$201,0))&amp;"",IFERROR(INDEX(Clay_Offices!$A$2:$FZ$601,266,Sync!$C$5)&amp;"","")&amp;""))</f>
        <v/>
      </c>
      <c r="E2517" s="23" t="str">
        <f aca="false">IF(B2517="","",IFERROR(INDEX(Clay_Offices!$A$2:$FZ$601,266,Sync!$C$6)&amp;"",""))</f>
        <v/>
      </c>
      <c r="F2517" s="23" t="str">
        <f aca="false">IF(B2517="","","outreach_sent")</f>
        <v/>
      </c>
      <c r="G2517" s="23" t="str">
        <f aca="false">IF(B2517="","","")</f>
        <v/>
      </c>
      <c r="H2517" s="23" t="str">
        <f aca="false">IF(B2517="","","")</f>
        <v/>
      </c>
      <c r="I2517" s="23" t="str">
        <f aca="false">IF(B2517="","","")</f>
        <v/>
      </c>
      <c r="J2517" s="23" t="str">
        <f aca="false">IF(B2517="","","touch_2; "&amp;IFERROR(INDEX(Clay_Offices!$A$2:$FZ$601,266,Sync!$C$10)&amp;"","")&amp;"; "&amp;IFERROR(INDEX(Clay_Offices!$A$2:$FZ$601,266,Sync!$C$9)&amp;"",""))</f>
        <v/>
      </c>
      <c r="K2517" s="32" t="s">
        <v>1364</v>
      </c>
    </row>
    <row r="2518" customFormat="false" ht="15" hidden="false" customHeight="false" outlineLevel="0" collapsed="false">
      <c r="A2518" s="23" t="str">
        <f aca="false">IF(B2518="","",B2518+(13*1000+267)/10000000)</f>
        <v/>
      </c>
      <c r="B2518" s="35" t="str">
        <f aca="false">IF(AND(IFERROR(N(INDEX(Clay_Offices!$A$2:$FZ$601,267,Sync!$C$12)),0)&gt;0,IFERROR(INDEX(Clay_Offices!$A$2:$FZ$601,267,Sync!$C$5)&amp;"","")&lt;&gt;"",OR(LEFT(IFERROR(INDEX(Clay_Offices!$A$2:$FZ$601,267,Sync!$C$5)&amp;"",""),6)&lt;&gt;"SAMPLE",Config!$B$19="Y")),IFERROR(N(INDEX(Clay_Offices!$A$2:$FZ$601,267,Sync!$C$12)),0),"")</f>
        <v/>
      </c>
      <c r="C2518" s="23" t="str">
        <f aca="false">IF(B2518="","","office")</f>
        <v/>
      </c>
      <c r="D2518" s="23" t="str">
        <f aca="false">IF(B2518="","",IFERROR(INDEX(Office_Log!$ED$2:$ED$201,MATCH(IFERROR(INDEX(Clay_Offices!$A$2:$FZ$601,267,Sync!$C$5)&amp;"",""),Office_Log!$A$2:$A$201,0))&amp;"",IFERROR(INDEX(Clay_Offices!$A$2:$FZ$601,267,Sync!$C$5)&amp;"","")&amp;""))</f>
        <v/>
      </c>
      <c r="E2518" s="23" t="str">
        <f aca="false">IF(B2518="","",IFERROR(INDEX(Clay_Offices!$A$2:$FZ$601,267,Sync!$C$6)&amp;"",""))</f>
        <v/>
      </c>
      <c r="F2518" s="23" t="str">
        <f aca="false">IF(B2518="","","outreach_sent")</f>
        <v/>
      </c>
      <c r="G2518" s="23" t="str">
        <f aca="false">IF(B2518="","","")</f>
        <v/>
      </c>
      <c r="H2518" s="23" t="str">
        <f aca="false">IF(B2518="","","")</f>
        <v/>
      </c>
      <c r="I2518" s="23" t="str">
        <f aca="false">IF(B2518="","","")</f>
        <v/>
      </c>
      <c r="J2518" s="23" t="str">
        <f aca="false">IF(B2518="","","touch_2; "&amp;IFERROR(INDEX(Clay_Offices!$A$2:$FZ$601,267,Sync!$C$10)&amp;"","")&amp;"; "&amp;IFERROR(INDEX(Clay_Offices!$A$2:$FZ$601,267,Sync!$C$9)&amp;"",""))</f>
        <v/>
      </c>
      <c r="K2518" s="32" t="s">
        <v>1364</v>
      </c>
    </row>
    <row r="2519" customFormat="false" ht="15" hidden="false" customHeight="false" outlineLevel="0" collapsed="false">
      <c r="A2519" s="23" t="str">
        <f aca="false">IF(B2519="","",B2519+(13*1000+268)/10000000)</f>
        <v/>
      </c>
      <c r="B2519" s="35" t="str">
        <f aca="false">IF(AND(IFERROR(N(INDEX(Clay_Offices!$A$2:$FZ$601,268,Sync!$C$12)),0)&gt;0,IFERROR(INDEX(Clay_Offices!$A$2:$FZ$601,268,Sync!$C$5)&amp;"","")&lt;&gt;"",OR(LEFT(IFERROR(INDEX(Clay_Offices!$A$2:$FZ$601,268,Sync!$C$5)&amp;"",""),6)&lt;&gt;"SAMPLE",Config!$B$19="Y")),IFERROR(N(INDEX(Clay_Offices!$A$2:$FZ$601,268,Sync!$C$12)),0),"")</f>
        <v/>
      </c>
      <c r="C2519" s="23" t="str">
        <f aca="false">IF(B2519="","","office")</f>
        <v/>
      </c>
      <c r="D2519" s="23" t="str">
        <f aca="false">IF(B2519="","",IFERROR(INDEX(Office_Log!$ED$2:$ED$201,MATCH(IFERROR(INDEX(Clay_Offices!$A$2:$FZ$601,268,Sync!$C$5)&amp;"",""),Office_Log!$A$2:$A$201,0))&amp;"",IFERROR(INDEX(Clay_Offices!$A$2:$FZ$601,268,Sync!$C$5)&amp;"","")&amp;""))</f>
        <v/>
      </c>
      <c r="E2519" s="23" t="str">
        <f aca="false">IF(B2519="","",IFERROR(INDEX(Clay_Offices!$A$2:$FZ$601,268,Sync!$C$6)&amp;"",""))</f>
        <v/>
      </c>
      <c r="F2519" s="23" t="str">
        <f aca="false">IF(B2519="","","outreach_sent")</f>
        <v/>
      </c>
      <c r="G2519" s="23" t="str">
        <f aca="false">IF(B2519="","","")</f>
        <v/>
      </c>
      <c r="H2519" s="23" t="str">
        <f aca="false">IF(B2519="","","")</f>
        <v/>
      </c>
      <c r="I2519" s="23" t="str">
        <f aca="false">IF(B2519="","","")</f>
        <v/>
      </c>
      <c r="J2519" s="23" t="str">
        <f aca="false">IF(B2519="","","touch_2; "&amp;IFERROR(INDEX(Clay_Offices!$A$2:$FZ$601,268,Sync!$C$10)&amp;"","")&amp;"; "&amp;IFERROR(INDEX(Clay_Offices!$A$2:$FZ$601,268,Sync!$C$9)&amp;"",""))</f>
        <v/>
      </c>
      <c r="K2519" s="32" t="s">
        <v>1364</v>
      </c>
    </row>
    <row r="2520" customFormat="false" ht="15" hidden="false" customHeight="false" outlineLevel="0" collapsed="false">
      <c r="A2520" s="23" t="str">
        <f aca="false">IF(B2520="","",B2520+(13*1000+269)/10000000)</f>
        <v/>
      </c>
      <c r="B2520" s="35" t="str">
        <f aca="false">IF(AND(IFERROR(N(INDEX(Clay_Offices!$A$2:$FZ$601,269,Sync!$C$12)),0)&gt;0,IFERROR(INDEX(Clay_Offices!$A$2:$FZ$601,269,Sync!$C$5)&amp;"","")&lt;&gt;"",OR(LEFT(IFERROR(INDEX(Clay_Offices!$A$2:$FZ$601,269,Sync!$C$5)&amp;"",""),6)&lt;&gt;"SAMPLE",Config!$B$19="Y")),IFERROR(N(INDEX(Clay_Offices!$A$2:$FZ$601,269,Sync!$C$12)),0),"")</f>
        <v/>
      </c>
      <c r="C2520" s="23" t="str">
        <f aca="false">IF(B2520="","","office")</f>
        <v/>
      </c>
      <c r="D2520" s="23" t="str">
        <f aca="false">IF(B2520="","",IFERROR(INDEX(Office_Log!$ED$2:$ED$201,MATCH(IFERROR(INDEX(Clay_Offices!$A$2:$FZ$601,269,Sync!$C$5)&amp;"",""),Office_Log!$A$2:$A$201,0))&amp;"",IFERROR(INDEX(Clay_Offices!$A$2:$FZ$601,269,Sync!$C$5)&amp;"","")&amp;""))</f>
        <v/>
      </c>
      <c r="E2520" s="23" t="str">
        <f aca="false">IF(B2520="","",IFERROR(INDEX(Clay_Offices!$A$2:$FZ$601,269,Sync!$C$6)&amp;"",""))</f>
        <v/>
      </c>
      <c r="F2520" s="23" t="str">
        <f aca="false">IF(B2520="","","outreach_sent")</f>
        <v/>
      </c>
      <c r="G2520" s="23" t="str">
        <f aca="false">IF(B2520="","","")</f>
        <v/>
      </c>
      <c r="H2520" s="23" t="str">
        <f aca="false">IF(B2520="","","")</f>
        <v/>
      </c>
      <c r="I2520" s="23" t="str">
        <f aca="false">IF(B2520="","","")</f>
        <v/>
      </c>
      <c r="J2520" s="23" t="str">
        <f aca="false">IF(B2520="","","touch_2; "&amp;IFERROR(INDEX(Clay_Offices!$A$2:$FZ$601,269,Sync!$C$10)&amp;"","")&amp;"; "&amp;IFERROR(INDEX(Clay_Offices!$A$2:$FZ$601,269,Sync!$C$9)&amp;"",""))</f>
        <v/>
      </c>
      <c r="K2520" s="32" t="s">
        <v>1364</v>
      </c>
    </row>
    <row r="2521" customFormat="false" ht="15" hidden="false" customHeight="false" outlineLevel="0" collapsed="false">
      <c r="A2521" s="23" t="str">
        <f aca="false">IF(B2521="","",B2521+(13*1000+270)/10000000)</f>
        <v/>
      </c>
      <c r="B2521" s="35" t="str">
        <f aca="false">IF(AND(IFERROR(N(INDEX(Clay_Offices!$A$2:$FZ$601,270,Sync!$C$12)),0)&gt;0,IFERROR(INDEX(Clay_Offices!$A$2:$FZ$601,270,Sync!$C$5)&amp;"","")&lt;&gt;"",OR(LEFT(IFERROR(INDEX(Clay_Offices!$A$2:$FZ$601,270,Sync!$C$5)&amp;"",""),6)&lt;&gt;"SAMPLE",Config!$B$19="Y")),IFERROR(N(INDEX(Clay_Offices!$A$2:$FZ$601,270,Sync!$C$12)),0),"")</f>
        <v/>
      </c>
      <c r="C2521" s="23" t="str">
        <f aca="false">IF(B2521="","","office")</f>
        <v/>
      </c>
      <c r="D2521" s="23" t="str">
        <f aca="false">IF(B2521="","",IFERROR(INDEX(Office_Log!$ED$2:$ED$201,MATCH(IFERROR(INDEX(Clay_Offices!$A$2:$FZ$601,270,Sync!$C$5)&amp;"",""),Office_Log!$A$2:$A$201,0))&amp;"",IFERROR(INDEX(Clay_Offices!$A$2:$FZ$601,270,Sync!$C$5)&amp;"","")&amp;""))</f>
        <v/>
      </c>
      <c r="E2521" s="23" t="str">
        <f aca="false">IF(B2521="","",IFERROR(INDEX(Clay_Offices!$A$2:$FZ$601,270,Sync!$C$6)&amp;"",""))</f>
        <v/>
      </c>
      <c r="F2521" s="23" t="str">
        <f aca="false">IF(B2521="","","outreach_sent")</f>
        <v/>
      </c>
      <c r="G2521" s="23" t="str">
        <f aca="false">IF(B2521="","","")</f>
        <v/>
      </c>
      <c r="H2521" s="23" t="str">
        <f aca="false">IF(B2521="","","")</f>
        <v/>
      </c>
      <c r="I2521" s="23" t="str">
        <f aca="false">IF(B2521="","","")</f>
        <v/>
      </c>
      <c r="J2521" s="23" t="str">
        <f aca="false">IF(B2521="","","touch_2; "&amp;IFERROR(INDEX(Clay_Offices!$A$2:$FZ$601,270,Sync!$C$10)&amp;"","")&amp;"; "&amp;IFERROR(INDEX(Clay_Offices!$A$2:$FZ$601,270,Sync!$C$9)&amp;"",""))</f>
        <v/>
      </c>
      <c r="K2521" s="32" t="s">
        <v>1364</v>
      </c>
    </row>
    <row r="2522" customFormat="false" ht="15" hidden="false" customHeight="false" outlineLevel="0" collapsed="false">
      <c r="A2522" s="23" t="str">
        <f aca="false">IF(B2522="","",B2522+(13*1000+271)/10000000)</f>
        <v/>
      </c>
      <c r="B2522" s="35" t="str">
        <f aca="false">IF(AND(IFERROR(N(INDEX(Clay_Offices!$A$2:$FZ$601,271,Sync!$C$12)),0)&gt;0,IFERROR(INDEX(Clay_Offices!$A$2:$FZ$601,271,Sync!$C$5)&amp;"","")&lt;&gt;"",OR(LEFT(IFERROR(INDEX(Clay_Offices!$A$2:$FZ$601,271,Sync!$C$5)&amp;"",""),6)&lt;&gt;"SAMPLE",Config!$B$19="Y")),IFERROR(N(INDEX(Clay_Offices!$A$2:$FZ$601,271,Sync!$C$12)),0),"")</f>
        <v/>
      </c>
      <c r="C2522" s="23" t="str">
        <f aca="false">IF(B2522="","","office")</f>
        <v/>
      </c>
      <c r="D2522" s="23" t="str">
        <f aca="false">IF(B2522="","",IFERROR(INDEX(Office_Log!$ED$2:$ED$201,MATCH(IFERROR(INDEX(Clay_Offices!$A$2:$FZ$601,271,Sync!$C$5)&amp;"",""),Office_Log!$A$2:$A$201,0))&amp;"",IFERROR(INDEX(Clay_Offices!$A$2:$FZ$601,271,Sync!$C$5)&amp;"","")&amp;""))</f>
        <v/>
      </c>
      <c r="E2522" s="23" t="str">
        <f aca="false">IF(B2522="","",IFERROR(INDEX(Clay_Offices!$A$2:$FZ$601,271,Sync!$C$6)&amp;"",""))</f>
        <v/>
      </c>
      <c r="F2522" s="23" t="str">
        <f aca="false">IF(B2522="","","outreach_sent")</f>
        <v/>
      </c>
      <c r="G2522" s="23" t="str">
        <f aca="false">IF(B2522="","","")</f>
        <v/>
      </c>
      <c r="H2522" s="23" t="str">
        <f aca="false">IF(B2522="","","")</f>
        <v/>
      </c>
      <c r="I2522" s="23" t="str">
        <f aca="false">IF(B2522="","","")</f>
        <v/>
      </c>
      <c r="J2522" s="23" t="str">
        <f aca="false">IF(B2522="","","touch_2; "&amp;IFERROR(INDEX(Clay_Offices!$A$2:$FZ$601,271,Sync!$C$10)&amp;"","")&amp;"; "&amp;IFERROR(INDEX(Clay_Offices!$A$2:$FZ$601,271,Sync!$C$9)&amp;"",""))</f>
        <v/>
      </c>
      <c r="K2522" s="32" t="s">
        <v>1364</v>
      </c>
    </row>
    <row r="2523" customFormat="false" ht="15" hidden="false" customHeight="false" outlineLevel="0" collapsed="false">
      <c r="A2523" s="23" t="str">
        <f aca="false">IF(B2523="","",B2523+(13*1000+272)/10000000)</f>
        <v/>
      </c>
      <c r="B2523" s="35" t="str">
        <f aca="false">IF(AND(IFERROR(N(INDEX(Clay_Offices!$A$2:$FZ$601,272,Sync!$C$12)),0)&gt;0,IFERROR(INDEX(Clay_Offices!$A$2:$FZ$601,272,Sync!$C$5)&amp;"","")&lt;&gt;"",OR(LEFT(IFERROR(INDEX(Clay_Offices!$A$2:$FZ$601,272,Sync!$C$5)&amp;"",""),6)&lt;&gt;"SAMPLE",Config!$B$19="Y")),IFERROR(N(INDEX(Clay_Offices!$A$2:$FZ$601,272,Sync!$C$12)),0),"")</f>
        <v/>
      </c>
      <c r="C2523" s="23" t="str">
        <f aca="false">IF(B2523="","","office")</f>
        <v/>
      </c>
      <c r="D2523" s="23" t="str">
        <f aca="false">IF(B2523="","",IFERROR(INDEX(Office_Log!$ED$2:$ED$201,MATCH(IFERROR(INDEX(Clay_Offices!$A$2:$FZ$601,272,Sync!$C$5)&amp;"",""),Office_Log!$A$2:$A$201,0))&amp;"",IFERROR(INDEX(Clay_Offices!$A$2:$FZ$601,272,Sync!$C$5)&amp;"","")&amp;""))</f>
        <v/>
      </c>
      <c r="E2523" s="23" t="str">
        <f aca="false">IF(B2523="","",IFERROR(INDEX(Clay_Offices!$A$2:$FZ$601,272,Sync!$C$6)&amp;"",""))</f>
        <v/>
      </c>
      <c r="F2523" s="23" t="str">
        <f aca="false">IF(B2523="","","outreach_sent")</f>
        <v/>
      </c>
      <c r="G2523" s="23" t="str">
        <f aca="false">IF(B2523="","","")</f>
        <v/>
      </c>
      <c r="H2523" s="23" t="str">
        <f aca="false">IF(B2523="","","")</f>
        <v/>
      </c>
      <c r="I2523" s="23" t="str">
        <f aca="false">IF(B2523="","","")</f>
        <v/>
      </c>
      <c r="J2523" s="23" t="str">
        <f aca="false">IF(B2523="","","touch_2; "&amp;IFERROR(INDEX(Clay_Offices!$A$2:$FZ$601,272,Sync!$C$10)&amp;"","")&amp;"; "&amp;IFERROR(INDEX(Clay_Offices!$A$2:$FZ$601,272,Sync!$C$9)&amp;"",""))</f>
        <v/>
      </c>
      <c r="K2523" s="32" t="s">
        <v>1364</v>
      </c>
    </row>
    <row r="2524" customFormat="false" ht="15" hidden="false" customHeight="false" outlineLevel="0" collapsed="false">
      <c r="A2524" s="23" t="str">
        <f aca="false">IF(B2524="","",B2524+(13*1000+273)/10000000)</f>
        <v/>
      </c>
      <c r="B2524" s="35" t="str">
        <f aca="false">IF(AND(IFERROR(N(INDEX(Clay_Offices!$A$2:$FZ$601,273,Sync!$C$12)),0)&gt;0,IFERROR(INDEX(Clay_Offices!$A$2:$FZ$601,273,Sync!$C$5)&amp;"","")&lt;&gt;"",OR(LEFT(IFERROR(INDEX(Clay_Offices!$A$2:$FZ$601,273,Sync!$C$5)&amp;"",""),6)&lt;&gt;"SAMPLE",Config!$B$19="Y")),IFERROR(N(INDEX(Clay_Offices!$A$2:$FZ$601,273,Sync!$C$12)),0),"")</f>
        <v/>
      </c>
      <c r="C2524" s="23" t="str">
        <f aca="false">IF(B2524="","","office")</f>
        <v/>
      </c>
      <c r="D2524" s="23" t="str">
        <f aca="false">IF(B2524="","",IFERROR(INDEX(Office_Log!$ED$2:$ED$201,MATCH(IFERROR(INDEX(Clay_Offices!$A$2:$FZ$601,273,Sync!$C$5)&amp;"",""),Office_Log!$A$2:$A$201,0))&amp;"",IFERROR(INDEX(Clay_Offices!$A$2:$FZ$601,273,Sync!$C$5)&amp;"","")&amp;""))</f>
        <v/>
      </c>
      <c r="E2524" s="23" t="str">
        <f aca="false">IF(B2524="","",IFERROR(INDEX(Clay_Offices!$A$2:$FZ$601,273,Sync!$C$6)&amp;"",""))</f>
        <v/>
      </c>
      <c r="F2524" s="23" t="str">
        <f aca="false">IF(B2524="","","outreach_sent")</f>
        <v/>
      </c>
      <c r="G2524" s="23" t="str">
        <f aca="false">IF(B2524="","","")</f>
        <v/>
      </c>
      <c r="H2524" s="23" t="str">
        <f aca="false">IF(B2524="","","")</f>
        <v/>
      </c>
      <c r="I2524" s="23" t="str">
        <f aca="false">IF(B2524="","","")</f>
        <v/>
      </c>
      <c r="J2524" s="23" t="str">
        <f aca="false">IF(B2524="","","touch_2; "&amp;IFERROR(INDEX(Clay_Offices!$A$2:$FZ$601,273,Sync!$C$10)&amp;"","")&amp;"; "&amp;IFERROR(INDEX(Clay_Offices!$A$2:$FZ$601,273,Sync!$C$9)&amp;"",""))</f>
        <v/>
      </c>
      <c r="K2524" s="32" t="s">
        <v>1364</v>
      </c>
    </row>
    <row r="2525" customFormat="false" ht="15" hidden="false" customHeight="false" outlineLevel="0" collapsed="false">
      <c r="A2525" s="23" t="str">
        <f aca="false">IF(B2525="","",B2525+(13*1000+274)/10000000)</f>
        <v/>
      </c>
      <c r="B2525" s="35" t="str">
        <f aca="false">IF(AND(IFERROR(N(INDEX(Clay_Offices!$A$2:$FZ$601,274,Sync!$C$12)),0)&gt;0,IFERROR(INDEX(Clay_Offices!$A$2:$FZ$601,274,Sync!$C$5)&amp;"","")&lt;&gt;"",OR(LEFT(IFERROR(INDEX(Clay_Offices!$A$2:$FZ$601,274,Sync!$C$5)&amp;"",""),6)&lt;&gt;"SAMPLE",Config!$B$19="Y")),IFERROR(N(INDEX(Clay_Offices!$A$2:$FZ$601,274,Sync!$C$12)),0),"")</f>
        <v/>
      </c>
      <c r="C2525" s="23" t="str">
        <f aca="false">IF(B2525="","","office")</f>
        <v/>
      </c>
      <c r="D2525" s="23" t="str">
        <f aca="false">IF(B2525="","",IFERROR(INDEX(Office_Log!$ED$2:$ED$201,MATCH(IFERROR(INDEX(Clay_Offices!$A$2:$FZ$601,274,Sync!$C$5)&amp;"",""),Office_Log!$A$2:$A$201,0))&amp;"",IFERROR(INDEX(Clay_Offices!$A$2:$FZ$601,274,Sync!$C$5)&amp;"","")&amp;""))</f>
        <v/>
      </c>
      <c r="E2525" s="23" t="str">
        <f aca="false">IF(B2525="","",IFERROR(INDEX(Clay_Offices!$A$2:$FZ$601,274,Sync!$C$6)&amp;"",""))</f>
        <v/>
      </c>
      <c r="F2525" s="23" t="str">
        <f aca="false">IF(B2525="","","outreach_sent")</f>
        <v/>
      </c>
      <c r="G2525" s="23" t="str">
        <f aca="false">IF(B2525="","","")</f>
        <v/>
      </c>
      <c r="H2525" s="23" t="str">
        <f aca="false">IF(B2525="","","")</f>
        <v/>
      </c>
      <c r="I2525" s="23" t="str">
        <f aca="false">IF(B2525="","","")</f>
        <v/>
      </c>
      <c r="J2525" s="23" t="str">
        <f aca="false">IF(B2525="","","touch_2; "&amp;IFERROR(INDEX(Clay_Offices!$A$2:$FZ$601,274,Sync!$C$10)&amp;"","")&amp;"; "&amp;IFERROR(INDEX(Clay_Offices!$A$2:$FZ$601,274,Sync!$C$9)&amp;"",""))</f>
        <v/>
      </c>
      <c r="K2525" s="32" t="s">
        <v>1364</v>
      </c>
    </row>
    <row r="2526" customFormat="false" ht="15" hidden="false" customHeight="false" outlineLevel="0" collapsed="false">
      <c r="A2526" s="23" t="str">
        <f aca="false">IF(B2526="","",B2526+(13*1000+275)/10000000)</f>
        <v/>
      </c>
      <c r="B2526" s="35" t="str">
        <f aca="false">IF(AND(IFERROR(N(INDEX(Clay_Offices!$A$2:$FZ$601,275,Sync!$C$12)),0)&gt;0,IFERROR(INDEX(Clay_Offices!$A$2:$FZ$601,275,Sync!$C$5)&amp;"","")&lt;&gt;"",OR(LEFT(IFERROR(INDEX(Clay_Offices!$A$2:$FZ$601,275,Sync!$C$5)&amp;"",""),6)&lt;&gt;"SAMPLE",Config!$B$19="Y")),IFERROR(N(INDEX(Clay_Offices!$A$2:$FZ$601,275,Sync!$C$12)),0),"")</f>
        <v/>
      </c>
      <c r="C2526" s="23" t="str">
        <f aca="false">IF(B2526="","","office")</f>
        <v/>
      </c>
      <c r="D2526" s="23" t="str">
        <f aca="false">IF(B2526="","",IFERROR(INDEX(Office_Log!$ED$2:$ED$201,MATCH(IFERROR(INDEX(Clay_Offices!$A$2:$FZ$601,275,Sync!$C$5)&amp;"",""),Office_Log!$A$2:$A$201,0))&amp;"",IFERROR(INDEX(Clay_Offices!$A$2:$FZ$601,275,Sync!$C$5)&amp;"","")&amp;""))</f>
        <v/>
      </c>
      <c r="E2526" s="23" t="str">
        <f aca="false">IF(B2526="","",IFERROR(INDEX(Clay_Offices!$A$2:$FZ$601,275,Sync!$C$6)&amp;"",""))</f>
        <v/>
      </c>
      <c r="F2526" s="23" t="str">
        <f aca="false">IF(B2526="","","outreach_sent")</f>
        <v/>
      </c>
      <c r="G2526" s="23" t="str">
        <f aca="false">IF(B2526="","","")</f>
        <v/>
      </c>
      <c r="H2526" s="23" t="str">
        <f aca="false">IF(B2526="","","")</f>
        <v/>
      </c>
      <c r="I2526" s="23" t="str">
        <f aca="false">IF(B2526="","","")</f>
        <v/>
      </c>
      <c r="J2526" s="23" t="str">
        <f aca="false">IF(B2526="","","touch_2; "&amp;IFERROR(INDEX(Clay_Offices!$A$2:$FZ$601,275,Sync!$C$10)&amp;"","")&amp;"; "&amp;IFERROR(INDEX(Clay_Offices!$A$2:$FZ$601,275,Sync!$C$9)&amp;"",""))</f>
        <v/>
      </c>
      <c r="K2526" s="32" t="s">
        <v>1364</v>
      </c>
    </row>
    <row r="2527" customFormat="false" ht="15" hidden="false" customHeight="false" outlineLevel="0" collapsed="false">
      <c r="A2527" s="23" t="str">
        <f aca="false">IF(B2527="","",B2527+(13*1000+276)/10000000)</f>
        <v/>
      </c>
      <c r="B2527" s="35" t="str">
        <f aca="false">IF(AND(IFERROR(N(INDEX(Clay_Offices!$A$2:$FZ$601,276,Sync!$C$12)),0)&gt;0,IFERROR(INDEX(Clay_Offices!$A$2:$FZ$601,276,Sync!$C$5)&amp;"","")&lt;&gt;"",OR(LEFT(IFERROR(INDEX(Clay_Offices!$A$2:$FZ$601,276,Sync!$C$5)&amp;"",""),6)&lt;&gt;"SAMPLE",Config!$B$19="Y")),IFERROR(N(INDEX(Clay_Offices!$A$2:$FZ$601,276,Sync!$C$12)),0),"")</f>
        <v/>
      </c>
      <c r="C2527" s="23" t="str">
        <f aca="false">IF(B2527="","","office")</f>
        <v/>
      </c>
      <c r="D2527" s="23" t="str">
        <f aca="false">IF(B2527="","",IFERROR(INDEX(Office_Log!$ED$2:$ED$201,MATCH(IFERROR(INDEX(Clay_Offices!$A$2:$FZ$601,276,Sync!$C$5)&amp;"",""),Office_Log!$A$2:$A$201,0))&amp;"",IFERROR(INDEX(Clay_Offices!$A$2:$FZ$601,276,Sync!$C$5)&amp;"","")&amp;""))</f>
        <v/>
      </c>
      <c r="E2527" s="23" t="str">
        <f aca="false">IF(B2527="","",IFERROR(INDEX(Clay_Offices!$A$2:$FZ$601,276,Sync!$C$6)&amp;"",""))</f>
        <v/>
      </c>
      <c r="F2527" s="23" t="str">
        <f aca="false">IF(B2527="","","outreach_sent")</f>
        <v/>
      </c>
      <c r="G2527" s="23" t="str">
        <f aca="false">IF(B2527="","","")</f>
        <v/>
      </c>
      <c r="H2527" s="23" t="str">
        <f aca="false">IF(B2527="","","")</f>
        <v/>
      </c>
      <c r="I2527" s="23" t="str">
        <f aca="false">IF(B2527="","","")</f>
        <v/>
      </c>
      <c r="J2527" s="23" t="str">
        <f aca="false">IF(B2527="","","touch_2; "&amp;IFERROR(INDEX(Clay_Offices!$A$2:$FZ$601,276,Sync!$C$10)&amp;"","")&amp;"; "&amp;IFERROR(INDEX(Clay_Offices!$A$2:$FZ$601,276,Sync!$C$9)&amp;"",""))</f>
        <v/>
      </c>
      <c r="K2527" s="32" t="s">
        <v>1364</v>
      </c>
    </row>
    <row r="2528" customFormat="false" ht="15" hidden="false" customHeight="false" outlineLevel="0" collapsed="false">
      <c r="A2528" s="23" t="str">
        <f aca="false">IF(B2528="","",B2528+(13*1000+277)/10000000)</f>
        <v/>
      </c>
      <c r="B2528" s="35" t="str">
        <f aca="false">IF(AND(IFERROR(N(INDEX(Clay_Offices!$A$2:$FZ$601,277,Sync!$C$12)),0)&gt;0,IFERROR(INDEX(Clay_Offices!$A$2:$FZ$601,277,Sync!$C$5)&amp;"","")&lt;&gt;"",OR(LEFT(IFERROR(INDEX(Clay_Offices!$A$2:$FZ$601,277,Sync!$C$5)&amp;"",""),6)&lt;&gt;"SAMPLE",Config!$B$19="Y")),IFERROR(N(INDEX(Clay_Offices!$A$2:$FZ$601,277,Sync!$C$12)),0),"")</f>
        <v/>
      </c>
      <c r="C2528" s="23" t="str">
        <f aca="false">IF(B2528="","","office")</f>
        <v/>
      </c>
      <c r="D2528" s="23" t="str">
        <f aca="false">IF(B2528="","",IFERROR(INDEX(Office_Log!$ED$2:$ED$201,MATCH(IFERROR(INDEX(Clay_Offices!$A$2:$FZ$601,277,Sync!$C$5)&amp;"",""),Office_Log!$A$2:$A$201,0))&amp;"",IFERROR(INDEX(Clay_Offices!$A$2:$FZ$601,277,Sync!$C$5)&amp;"","")&amp;""))</f>
        <v/>
      </c>
      <c r="E2528" s="23" t="str">
        <f aca="false">IF(B2528="","",IFERROR(INDEX(Clay_Offices!$A$2:$FZ$601,277,Sync!$C$6)&amp;"",""))</f>
        <v/>
      </c>
      <c r="F2528" s="23" t="str">
        <f aca="false">IF(B2528="","","outreach_sent")</f>
        <v/>
      </c>
      <c r="G2528" s="23" t="str">
        <f aca="false">IF(B2528="","","")</f>
        <v/>
      </c>
      <c r="H2528" s="23" t="str">
        <f aca="false">IF(B2528="","","")</f>
        <v/>
      </c>
      <c r="I2528" s="23" t="str">
        <f aca="false">IF(B2528="","","")</f>
        <v/>
      </c>
      <c r="J2528" s="23" t="str">
        <f aca="false">IF(B2528="","","touch_2; "&amp;IFERROR(INDEX(Clay_Offices!$A$2:$FZ$601,277,Sync!$C$10)&amp;"","")&amp;"; "&amp;IFERROR(INDEX(Clay_Offices!$A$2:$FZ$601,277,Sync!$C$9)&amp;"",""))</f>
        <v/>
      </c>
      <c r="K2528" s="32" t="s">
        <v>1364</v>
      </c>
    </row>
    <row r="2529" customFormat="false" ht="15" hidden="false" customHeight="false" outlineLevel="0" collapsed="false">
      <c r="A2529" s="23" t="str">
        <f aca="false">IF(B2529="","",B2529+(13*1000+278)/10000000)</f>
        <v/>
      </c>
      <c r="B2529" s="35" t="str">
        <f aca="false">IF(AND(IFERROR(N(INDEX(Clay_Offices!$A$2:$FZ$601,278,Sync!$C$12)),0)&gt;0,IFERROR(INDEX(Clay_Offices!$A$2:$FZ$601,278,Sync!$C$5)&amp;"","")&lt;&gt;"",OR(LEFT(IFERROR(INDEX(Clay_Offices!$A$2:$FZ$601,278,Sync!$C$5)&amp;"",""),6)&lt;&gt;"SAMPLE",Config!$B$19="Y")),IFERROR(N(INDEX(Clay_Offices!$A$2:$FZ$601,278,Sync!$C$12)),0),"")</f>
        <v/>
      </c>
      <c r="C2529" s="23" t="str">
        <f aca="false">IF(B2529="","","office")</f>
        <v/>
      </c>
      <c r="D2529" s="23" t="str">
        <f aca="false">IF(B2529="","",IFERROR(INDEX(Office_Log!$ED$2:$ED$201,MATCH(IFERROR(INDEX(Clay_Offices!$A$2:$FZ$601,278,Sync!$C$5)&amp;"",""),Office_Log!$A$2:$A$201,0))&amp;"",IFERROR(INDEX(Clay_Offices!$A$2:$FZ$601,278,Sync!$C$5)&amp;"","")&amp;""))</f>
        <v/>
      </c>
      <c r="E2529" s="23" t="str">
        <f aca="false">IF(B2529="","",IFERROR(INDEX(Clay_Offices!$A$2:$FZ$601,278,Sync!$C$6)&amp;"",""))</f>
        <v/>
      </c>
      <c r="F2529" s="23" t="str">
        <f aca="false">IF(B2529="","","outreach_sent")</f>
        <v/>
      </c>
      <c r="G2529" s="23" t="str">
        <f aca="false">IF(B2529="","","")</f>
        <v/>
      </c>
      <c r="H2529" s="23" t="str">
        <f aca="false">IF(B2529="","","")</f>
        <v/>
      </c>
      <c r="I2529" s="23" t="str">
        <f aca="false">IF(B2529="","","")</f>
        <v/>
      </c>
      <c r="J2529" s="23" t="str">
        <f aca="false">IF(B2529="","","touch_2; "&amp;IFERROR(INDEX(Clay_Offices!$A$2:$FZ$601,278,Sync!$C$10)&amp;"","")&amp;"; "&amp;IFERROR(INDEX(Clay_Offices!$A$2:$FZ$601,278,Sync!$C$9)&amp;"",""))</f>
        <v/>
      </c>
      <c r="K2529" s="32" t="s">
        <v>1364</v>
      </c>
    </row>
    <row r="2530" customFormat="false" ht="15" hidden="false" customHeight="false" outlineLevel="0" collapsed="false">
      <c r="A2530" s="23" t="str">
        <f aca="false">IF(B2530="","",B2530+(13*1000+279)/10000000)</f>
        <v/>
      </c>
      <c r="B2530" s="35" t="str">
        <f aca="false">IF(AND(IFERROR(N(INDEX(Clay_Offices!$A$2:$FZ$601,279,Sync!$C$12)),0)&gt;0,IFERROR(INDEX(Clay_Offices!$A$2:$FZ$601,279,Sync!$C$5)&amp;"","")&lt;&gt;"",OR(LEFT(IFERROR(INDEX(Clay_Offices!$A$2:$FZ$601,279,Sync!$C$5)&amp;"",""),6)&lt;&gt;"SAMPLE",Config!$B$19="Y")),IFERROR(N(INDEX(Clay_Offices!$A$2:$FZ$601,279,Sync!$C$12)),0),"")</f>
        <v/>
      </c>
      <c r="C2530" s="23" t="str">
        <f aca="false">IF(B2530="","","office")</f>
        <v/>
      </c>
      <c r="D2530" s="23" t="str">
        <f aca="false">IF(B2530="","",IFERROR(INDEX(Office_Log!$ED$2:$ED$201,MATCH(IFERROR(INDEX(Clay_Offices!$A$2:$FZ$601,279,Sync!$C$5)&amp;"",""),Office_Log!$A$2:$A$201,0))&amp;"",IFERROR(INDEX(Clay_Offices!$A$2:$FZ$601,279,Sync!$C$5)&amp;"","")&amp;""))</f>
        <v/>
      </c>
      <c r="E2530" s="23" t="str">
        <f aca="false">IF(B2530="","",IFERROR(INDEX(Clay_Offices!$A$2:$FZ$601,279,Sync!$C$6)&amp;"",""))</f>
        <v/>
      </c>
      <c r="F2530" s="23" t="str">
        <f aca="false">IF(B2530="","","outreach_sent")</f>
        <v/>
      </c>
      <c r="G2530" s="23" t="str">
        <f aca="false">IF(B2530="","","")</f>
        <v/>
      </c>
      <c r="H2530" s="23" t="str">
        <f aca="false">IF(B2530="","","")</f>
        <v/>
      </c>
      <c r="I2530" s="23" t="str">
        <f aca="false">IF(B2530="","","")</f>
        <v/>
      </c>
      <c r="J2530" s="23" t="str">
        <f aca="false">IF(B2530="","","touch_2; "&amp;IFERROR(INDEX(Clay_Offices!$A$2:$FZ$601,279,Sync!$C$10)&amp;"","")&amp;"; "&amp;IFERROR(INDEX(Clay_Offices!$A$2:$FZ$601,279,Sync!$C$9)&amp;"",""))</f>
        <v/>
      </c>
      <c r="K2530" s="32" t="s">
        <v>1364</v>
      </c>
    </row>
    <row r="2531" customFormat="false" ht="15" hidden="false" customHeight="false" outlineLevel="0" collapsed="false">
      <c r="A2531" s="23" t="str">
        <f aca="false">IF(B2531="","",B2531+(13*1000+280)/10000000)</f>
        <v/>
      </c>
      <c r="B2531" s="35" t="str">
        <f aca="false">IF(AND(IFERROR(N(INDEX(Clay_Offices!$A$2:$FZ$601,280,Sync!$C$12)),0)&gt;0,IFERROR(INDEX(Clay_Offices!$A$2:$FZ$601,280,Sync!$C$5)&amp;"","")&lt;&gt;"",OR(LEFT(IFERROR(INDEX(Clay_Offices!$A$2:$FZ$601,280,Sync!$C$5)&amp;"",""),6)&lt;&gt;"SAMPLE",Config!$B$19="Y")),IFERROR(N(INDEX(Clay_Offices!$A$2:$FZ$601,280,Sync!$C$12)),0),"")</f>
        <v/>
      </c>
      <c r="C2531" s="23" t="str">
        <f aca="false">IF(B2531="","","office")</f>
        <v/>
      </c>
      <c r="D2531" s="23" t="str">
        <f aca="false">IF(B2531="","",IFERROR(INDEX(Office_Log!$ED$2:$ED$201,MATCH(IFERROR(INDEX(Clay_Offices!$A$2:$FZ$601,280,Sync!$C$5)&amp;"",""),Office_Log!$A$2:$A$201,0))&amp;"",IFERROR(INDEX(Clay_Offices!$A$2:$FZ$601,280,Sync!$C$5)&amp;"","")&amp;""))</f>
        <v/>
      </c>
      <c r="E2531" s="23" t="str">
        <f aca="false">IF(B2531="","",IFERROR(INDEX(Clay_Offices!$A$2:$FZ$601,280,Sync!$C$6)&amp;"",""))</f>
        <v/>
      </c>
      <c r="F2531" s="23" t="str">
        <f aca="false">IF(B2531="","","outreach_sent")</f>
        <v/>
      </c>
      <c r="G2531" s="23" t="str">
        <f aca="false">IF(B2531="","","")</f>
        <v/>
      </c>
      <c r="H2531" s="23" t="str">
        <f aca="false">IF(B2531="","","")</f>
        <v/>
      </c>
      <c r="I2531" s="23" t="str">
        <f aca="false">IF(B2531="","","")</f>
        <v/>
      </c>
      <c r="J2531" s="23" t="str">
        <f aca="false">IF(B2531="","","touch_2; "&amp;IFERROR(INDEX(Clay_Offices!$A$2:$FZ$601,280,Sync!$C$10)&amp;"","")&amp;"; "&amp;IFERROR(INDEX(Clay_Offices!$A$2:$FZ$601,280,Sync!$C$9)&amp;"",""))</f>
        <v/>
      </c>
      <c r="K2531" s="32" t="s">
        <v>1364</v>
      </c>
    </row>
    <row r="2532" customFormat="false" ht="15" hidden="false" customHeight="false" outlineLevel="0" collapsed="false">
      <c r="A2532" s="23" t="str">
        <f aca="false">IF(B2532="","",B2532+(13*1000+281)/10000000)</f>
        <v/>
      </c>
      <c r="B2532" s="35" t="str">
        <f aca="false">IF(AND(IFERROR(N(INDEX(Clay_Offices!$A$2:$FZ$601,281,Sync!$C$12)),0)&gt;0,IFERROR(INDEX(Clay_Offices!$A$2:$FZ$601,281,Sync!$C$5)&amp;"","")&lt;&gt;"",OR(LEFT(IFERROR(INDEX(Clay_Offices!$A$2:$FZ$601,281,Sync!$C$5)&amp;"",""),6)&lt;&gt;"SAMPLE",Config!$B$19="Y")),IFERROR(N(INDEX(Clay_Offices!$A$2:$FZ$601,281,Sync!$C$12)),0),"")</f>
        <v/>
      </c>
      <c r="C2532" s="23" t="str">
        <f aca="false">IF(B2532="","","office")</f>
        <v/>
      </c>
      <c r="D2532" s="23" t="str">
        <f aca="false">IF(B2532="","",IFERROR(INDEX(Office_Log!$ED$2:$ED$201,MATCH(IFERROR(INDEX(Clay_Offices!$A$2:$FZ$601,281,Sync!$C$5)&amp;"",""),Office_Log!$A$2:$A$201,0))&amp;"",IFERROR(INDEX(Clay_Offices!$A$2:$FZ$601,281,Sync!$C$5)&amp;"","")&amp;""))</f>
        <v/>
      </c>
      <c r="E2532" s="23" t="str">
        <f aca="false">IF(B2532="","",IFERROR(INDEX(Clay_Offices!$A$2:$FZ$601,281,Sync!$C$6)&amp;"",""))</f>
        <v/>
      </c>
      <c r="F2532" s="23" t="str">
        <f aca="false">IF(B2532="","","outreach_sent")</f>
        <v/>
      </c>
      <c r="G2532" s="23" t="str">
        <f aca="false">IF(B2532="","","")</f>
        <v/>
      </c>
      <c r="H2532" s="23" t="str">
        <f aca="false">IF(B2532="","","")</f>
        <v/>
      </c>
      <c r="I2532" s="23" t="str">
        <f aca="false">IF(B2532="","","")</f>
        <v/>
      </c>
      <c r="J2532" s="23" t="str">
        <f aca="false">IF(B2532="","","touch_2; "&amp;IFERROR(INDEX(Clay_Offices!$A$2:$FZ$601,281,Sync!$C$10)&amp;"","")&amp;"; "&amp;IFERROR(INDEX(Clay_Offices!$A$2:$FZ$601,281,Sync!$C$9)&amp;"",""))</f>
        <v/>
      </c>
      <c r="K2532" s="32" t="s">
        <v>1364</v>
      </c>
    </row>
    <row r="2533" customFormat="false" ht="15" hidden="false" customHeight="false" outlineLevel="0" collapsed="false">
      <c r="A2533" s="23" t="str">
        <f aca="false">IF(B2533="","",B2533+(13*1000+282)/10000000)</f>
        <v/>
      </c>
      <c r="B2533" s="35" t="str">
        <f aca="false">IF(AND(IFERROR(N(INDEX(Clay_Offices!$A$2:$FZ$601,282,Sync!$C$12)),0)&gt;0,IFERROR(INDEX(Clay_Offices!$A$2:$FZ$601,282,Sync!$C$5)&amp;"","")&lt;&gt;"",OR(LEFT(IFERROR(INDEX(Clay_Offices!$A$2:$FZ$601,282,Sync!$C$5)&amp;"",""),6)&lt;&gt;"SAMPLE",Config!$B$19="Y")),IFERROR(N(INDEX(Clay_Offices!$A$2:$FZ$601,282,Sync!$C$12)),0),"")</f>
        <v/>
      </c>
      <c r="C2533" s="23" t="str">
        <f aca="false">IF(B2533="","","office")</f>
        <v/>
      </c>
      <c r="D2533" s="23" t="str">
        <f aca="false">IF(B2533="","",IFERROR(INDEX(Office_Log!$ED$2:$ED$201,MATCH(IFERROR(INDEX(Clay_Offices!$A$2:$FZ$601,282,Sync!$C$5)&amp;"",""),Office_Log!$A$2:$A$201,0))&amp;"",IFERROR(INDEX(Clay_Offices!$A$2:$FZ$601,282,Sync!$C$5)&amp;"","")&amp;""))</f>
        <v/>
      </c>
      <c r="E2533" s="23" t="str">
        <f aca="false">IF(B2533="","",IFERROR(INDEX(Clay_Offices!$A$2:$FZ$601,282,Sync!$C$6)&amp;"",""))</f>
        <v/>
      </c>
      <c r="F2533" s="23" t="str">
        <f aca="false">IF(B2533="","","outreach_sent")</f>
        <v/>
      </c>
      <c r="G2533" s="23" t="str">
        <f aca="false">IF(B2533="","","")</f>
        <v/>
      </c>
      <c r="H2533" s="23" t="str">
        <f aca="false">IF(B2533="","","")</f>
        <v/>
      </c>
      <c r="I2533" s="23" t="str">
        <f aca="false">IF(B2533="","","")</f>
        <v/>
      </c>
      <c r="J2533" s="23" t="str">
        <f aca="false">IF(B2533="","","touch_2; "&amp;IFERROR(INDEX(Clay_Offices!$A$2:$FZ$601,282,Sync!$C$10)&amp;"","")&amp;"; "&amp;IFERROR(INDEX(Clay_Offices!$A$2:$FZ$601,282,Sync!$C$9)&amp;"",""))</f>
        <v/>
      </c>
      <c r="K2533" s="32" t="s">
        <v>1364</v>
      </c>
    </row>
    <row r="2534" customFormat="false" ht="15" hidden="false" customHeight="false" outlineLevel="0" collapsed="false">
      <c r="A2534" s="23" t="str">
        <f aca="false">IF(B2534="","",B2534+(13*1000+283)/10000000)</f>
        <v/>
      </c>
      <c r="B2534" s="35" t="str">
        <f aca="false">IF(AND(IFERROR(N(INDEX(Clay_Offices!$A$2:$FZ$601,283,Sync!$C$12)),0)&gt;0,IFERROR(INDEX(Clay_Offices!$A$2:$FZ$601,283,Sync!$C$5)&amp;"","")&lt;&gt;"",OR(LEFT(IFERROR(INDEX(Clay_Offices!$A$2:$FZ$601,283,Sync!$C$5)&amp;"",""),6)&lt;&gt;"SAMPLE",Config!$B$19="Y")),IFERROR(N(INDEX(Clay_Offices!$A$2:$FZ$601,283,Sync!$C$12)),0),"")</f>
        <v/>
      </c>
      <c r="C2534" s="23" t="str">
        <f aca="false">IF(B2534="","","office")</f>
        <v/>
      </c>
      <c r="D2534" s="23" t="str">
        <f aca="false">IF(B2534="","",IFERROR(INDEX(Office_Log!$ED$2:$ED$201,MATCH(IFERROR(INDEX(Clay_Offices!$A$2:$FZ$601,283,Sync!$C$5)&amp;"",""),Office_Log!$A$2:$A$201,0))&amp;"",IFERROR(INDEX(Clay_Offices!$A$2:$FZ$601,283,Sync!$C$5)&amp;"","")&amp;""))</f>
        <v/>
      </c>
      <c r="E2534" s="23" t="str">
        <f aca="false">IF(B2534="","",IFERROR(INDEX(Clay_Offices!$A$2:$FZ$601,283,Sync!$C$6)&amp;"",""))</f>
        <v/>
      </c>
      <c r="F2534" s="23" t="str">
        <f aca="false">IF(B2534="","","outreach_sent")</f>
        <v/>
      </c>
      <c r="G2534" s="23" t="str">
        <f aca="false">IF(B2534="","","")</f>
        <v/>
      </c>
      <c r="H2534" s="23" t="str">
        <f aca="false">IF(B2534="","","")</f>
        <v/>
      </c>
      <c r="I2534" s="23" t="str">
        <f aca="false">IF(B2534="","","")</f>
        <v/>
      </c>
      <c r="J2534" s="23" t="str">
        <f aca="false">IF(B2534="","","touch_2; "&amp;IFERROR(INDEX(Clay_Offices!$A$2:$FZ$601,283,Sync!$C$10)&amp;"","")&amp;"; "&amp;IFERROR(INDEX(Clay_Offices!$A$2:$FZ$601,283,Sync!$C$9)&amp;"",""))</f>
        <v/>
      </c>
      <c r="K2534" s="32" t="s">
        <v>1364</v>
      </c>
    </row>
    <row r="2535" customFormat="false" ht="15" hidden="false" customHeight="false" outlineLevel="0" collapsed="false">
      <c r="A2535" s="23" t="str">
        <f aca="false">IF(B2535="","",B2535+(13*1000+284)/10000000)</f>
        <v/>
      </c>
      <c r="B2535" s="35" t="str">
        <f aca="false">IF(AND(IFERROR(N(INDEX(Clay_Offices!$A$2:$FZ$601,284,Sync!$C$12)),0)&gt;0,IFERROR(INDEX(Clay_Offices!$A$2:$FZ$601,284,Sync!$C$5)&amp;"","")&lt;&gt;"",OR(LEFT(IFERROR(INDEX(Clay_Offices!$A$2:$FZ$601,284,Sync!$C$5)&amp;"",""),6)&lt;&gt;"SAMPLE",Config!$B$19="Y")),IFERROR(N(INDEX(Clay_Offices!$A$2:$FZ$601,284,Sync!$C$12)),0),"")</f>
        <v/>
      </c>
      <c r="C2535" s="23" t="str">
        <f aca="false">IF(B2535="","","office")</f>
        <v/>
      </c>
      <c r="D2535" s="23" t="str">
        <f aca="false">IF(B2535="","",IFERROR(INDEX(Office_Log!$ED$2:$ED$201,MATCH(IFERROR(INDEX(Clay_Offices!$A$2:$FZ$601,284,Sync!$C$5)&amp;"",""),Office_Log!$A$2:$A$201,0))&amp;"",IFERROR(INDEX(Clay_Offices!$A$2:$FZ$601,284,Sync!$C$5)&amp;"","")&amp;""))</f>
        <v/>
      </c>
      <c r="E2535" s="23" t="str">
        <f aca="false">IF(B2535="","",IFERROR(INDEX(Clay_Offices!$A$2:$FZ$601,284,Sync!$C$6)&amp;"",""))</f>
        <v/>
      </c>
      <c r="F2535" s="23" t="str">
        <f aca="false">IF(B2535="","","outreach_sent")</f>
        <v/>
      </c>
      <c r="G2535" s="23" t="str">
        <f aca="false">IF(B2535="","","")</f>
        <v/>
      </c>
      <c r="H2535" s="23" t="str">
        <f aca="false">IF(B2535="","","")</f>
        <v/>
      </c>
      <c r="I2535" s="23" t="str">
        <f aca="false">IF(B2535="","","")</f>
        <v/>
      </c>
      <c r="J2535" s="23" t="str">
        <f aca="false">IF(B2535="","","touch_2; "&amp;IFERROR(INDEX(Clay_Offices!$A$2:$FZ$601,284,Sync!$C$10)&amp;"","")&amp;"; "&amp;IFERROR(INDEX(Clay_Offices!$A$2:$FZ$601,284,Sync!$C$9)&amp;"",""))</f>
        <v/>
      </c>
      <c r="K2535" s="32" t="s">
        <v>1364</v>
      </c>
    </row>
    <row r="2536" customFormat="false" ht="15" hidden="false" customHeight="false" outlineLevel="0" collapsed="false">
      <c r="A2536" s="23" t="str">
        <f aca="false">IF(B2536="","",B2536+(13*1000+285)/10000000)</f>
        <v/>
      </c>
      <c r="B2536" s="35" t="str">
        <f aca="false">IF(AND(IFERROR(N(INDEX(Clay_Offices!$A$2:$FZ$601,285,Sync!$C$12)),0)&gt;0,IFERROR(INDEX(Clay_Offices!$A$2:$FZ$601,285,Sync!$C$5)&amp;"","")&lt;&gt;"",OR(LEFT(IFERROR(INDEX(Clay_Offices!$A$2:$FZ$601,285,Sync!$C$5)&amp;"",""),6)&lt;&gt;"SAMPLE",Config!$B$19="Y")),IFERROR(N(INDEX(Clay_Offices!$A$2:$FZ$601,285,Sync!$C$12)),0),"")</f>
        <v/>
      </c>
      <c r="C2536" s="23" t="str">
        <f aca="false">IF(B2536="","","office")</f>
        <v/>
      </c>
      <c r="D2536" s="23" t="str">
        <f aca="false">IF(B2536="","",IFERROR(INDEX(Office_Log!$ED$2:$ED$201,MATCH(IFERROR(INDEX(Clay_Offices!$A$2:$FZ$601,285,Sync!$C$5)&amp;"",""),Office_Log!$A$2:$A$201,0))&amp;"",IFERROR(INDEX(Clay_Offices!$A$2:$FZ$601,285,Sync!$C$5)&amp;"","")&amp;""))</f>
        <v/>
      </c>
      <c r="E2536" s="23" t="str">
        <f aca="false">IF(B2536="","",IFERROR(INDEX(Clay_Offices!$A$2:$FZ$601,285,Sync!$C$6)&amp;"",""))</f>
        <v/>
      </c>
      <c r="F2536" s="23" t="str">
        <f aca="false">IF(B2536="","","outreach_sent")</f>
        <v/>
      </c>
      <c r="G2536" s="23" t="str">
        <f aca="false">IF(B2536="","","")</f>
        <v/>
      </c>
      <c r="H2536" s="23" t="str">
        <f aca="false">IF(B2536="","","")</f>
        <v/>
      </c>
      <c r="I2536" s="23" t="str">
        <f aca="false">IF(B2536="","","")</f>
        <v/>
      </c>
      <c r="J2536" s="23" t="str">
        <f aca="false">IF(B2536="","","touch_2; "&amp;IFERROR(INDEX(Clay_Offices!$A$2:$FZ$601,285,Sync!$C$10)&amp;"","")&amp;"; "&amp;IFERROR(INDEX(Clay_Offices!$A$2:$FZ$601,285,Sync!$C$9)&amp;"",""))</f>
        <v/>
      </c>
      <c r="K2536" s="32" t="s">
        <v>1364</v>
      </c>
    </row>
    <row r="2537" customFormat="false" ht="15" hidden="false" customHeight="false" outlineLevel="0" collapsed="false">
      <c r="A2537" s="23" t="str">
        <f aca="false">IF(B2537="","",B2537+(13*1000+286)/10000000)</f>
        <v/>
      </c>
      <c r="B2537" s="35" t="str">
        <f aca="false">IF(AND(IFERROR(N(INDEX(Clay_Offices!$A$2:$FZ$601,286,Sync!$C$12)),0)&gt;0,IFERROR(INDEX(Clay_Offices!$A$2:$FZ$601,286,Sync!$C$5)&amp;"","")&lt;&gt;"",OR(LEFT(IFERROR(INDEX(Clay_Offices!$A$2:$FZ$601,286,Sync!$C$5)&amp;"",""),6)&lt;&gt;"SAMPLE",Config!$B$19="Y")),IFERROR(N(INDEX(Clay_Offices!$A$2:$FZ$601,286,Sync!$C$12)),0),"")</f>
        <v/>
      </c>
      <c r="C2537" s="23" t="str">
        <f aca="false">IF(B2537="","","office")</f>
        <v/>
      </c>
      <c r="D2537" s="23" t="str">
        <f aca="false">IF(B2537="","",IFERROR(INDEX(Office_Log!$ED$2:$ED$201,MATCH(IFERROR(INDEX(Clay_Offices!$A$2:$FZ$601,286,Sync!$C$5)&amp;"",""),Office_Log!$A$2:$A$201,0))&amp;"",IFERROR(INDEX(Clay_Offices!$A$2:$FZ$601,286,Sync!$C$5)&amp;"","")&amp;""))</f>
        <v/>
      </c>
      <c r="E2537" s="23" t="str">
        <f aca="false">IF(B2537="","",IFERROR(INDEX(Clay_Offices!$A$2:$FZ$601,286,Sync!$C$6)&amp;"",""))</f>
        <v/>
      </c>
      <c r="F2537" s="23" t="str">
        <f aca="false">IF(B2537="","","outreach_sent")</f>
        <v/>
      </c>
      <c r="G2537" s="23" t="str">
        <f aca="false">IF(B2537="","","")</f>
        <v/>
      </c>
      <c r="H2537" s="23" t="str">
        <f aca="false">IF(B2537="","","")</f>
        <v/>
      </c>
      <c r="I2537" s="23" t="str">
        <f aca="false">IF(B2537="","","")</f>
        <v/>
      </c>
      <c r="J2537" s="23" t="str">
        <f aca="false">IF(B2537="","","touch_2; "&amp;IFERROR(INDEX(Clay_Offices!$A$2:$FZ$601,286,Sync!$C$10)&amp;"","")&amp;"; "&amp;IFERROR(INDEX(Clay_Offices!$A$2:$FZ$601,286,Sync!$C$9)&amp;"",""))</f>
        <v/>
      </c>
      <c r="K2537" s="32" t="s">
        <v>1364</v>
      </c>
    </row>
    <row r="2538" customFormat="false" ht="15" hidden="false" customHeight="false" outlineLevel="0" collapsed="false">
      <c r="A2538" s="23" t="str">
        <f aca="false">IF(B2538="","",B2538+(13*1000+287)/10000000)</f>
        <v/>
      </c>
      <c r="B2538" s="35" t="str">
        <f aca="false">IF(AND(IFERROR(N(INDEX(Clay_Offices!$A$2:$FZ$601,287,Sync!$C$12)),0)&gt;0,IFERROR(INDEX(Clay_Offices!$A$2:$FZ$601,287,Sync!$C$5)&amp;"","")&lt;&gt;"",OR(LEFT(IFERROR(INDEX(Clay_Offices!$A$2:$FZ$601,287,Sync!$C$5)&amp;"",""),6)&lt;&gt;"SAMPLE",Config!$B$19="Y")),IFERROR(N(INDEX(Clay_Offices!$A$2:$FZ$601,287,Sync!$C$12)),0),"")</f>
        <v/>
      </c>
      <c r="C2538" s="23" t="str">
        <f aca="false">IF(B2538="","","office")</f>
        <v/>
      </c>
      <c r="D2538" s="23" t="str">
        <f aca="false">IF(B2538="","",IFERROR(INDEX(Office_Log!$ED$2:$ED$201,MATCH(IFERROR(INDEX(Clay_Offices!$A$2:$FZ$601,287,Sync!$C$5)&amp;"",""),Office_Log!$A$2:$A$201,0))&amp;"",IFERROR(INDEX(Clay_Offices!$A$2:$FZ$601,287,Sync!$C$5)&amp;"","")&amp;""))</f>
        <v/>
      </c>
      <c r="E2538" s="23" t="str">
        <f aca="false">IF(B2538="","",IFERROR(INDEX(Clay_Offices!$A$2:$FZ$601,287,Sync!$C$6)&amp;"",""))</f>
        <v/>
      </c>
      <c r="F2538" s="23" t="str">
        <f aca="false">IF(B2538="","","outreach_sent")</f>
        <v/>
      </c>
      <c r="G2538" s="23" t="str">
        <f aca="false">IF(B2538="","","")</f>
        <v/>
      </c>
      <c r="H2538" s="23" t="str">
        <f aca="false">IF(B2538="","","")</f>
        <v/>
      </c>
      <c r="I2538" s="23" t="str">
        <f aca="false">IF(B2538="","","")</f>
        <v/>
      </c>
      <c r="J2538" s="23" t="str">
        <f aca="false">IF(B2538="","","touch_2; "&amp;IFERROR(INDEX(Clay_Offices!$A$2:$FZ$601,287,Sync!$C$10)&amp;"","")&amp;"; "&amp;IFERROR(INDEX(Clay_Offices!$A$2:$FZ$601,287,Sync!$C$9)&amp;"",""))</f>
        <v/>
      </c>
      <c r="K2538" s="32" t="s">
        <v>1364</v>
      </c>
    </row>
    <row r="2539" customFormat="false" ht="15" hidden="false" customHeight="false" outlineLevel="0" collapsed="false">
      <c r="A2539" s="23" t="str">
        <f aca="false">IF(B2539="","",B2539+(13*1000+288)/10000000)</f>
        <v/>
      </c>
      <c r="B2539" s="35" t="str">
        <f aca="false">IF(AND(IFERROR(N(INDEX(Clay_Offices!$A$2:$FZ$601,288,Sync!$C$12)),0)&gt;0,IFERROR(INDEX(Clay_Offices!$A$2:$FZ$601,288,Sync!$C$5)&amp;"","")&lt;&gt;"",OR(LEFT(IFERROR(INDEX(Clay_Offices!$A$2:$FZ$601,288,Sync!$C$5)&amp;"",""),6)&lt;&gt;"SAMPLE",Config!$B$19="Y")),IFERROR(N(INDEX(Clay_Offices!$A$2:$FZ$601,288,Sync!$C$12)),0),"")</f>
        <v/>
      </c>
      <c r="C2539" s="23" t="str">
        <f aca="false">IF(B2539="","","office")</f>
        <v/>
      </c>
      <c r="D2539" s="23" t="str">
        <f aca="false">IF(B2539="","",IFERROR(INDEX(Office_Log!$ED$2:$ED$201,MATCH(IFERROR(INDEX(Clay_Offices!$A$2:$FZ$601,288,Sync!$C$5)&amp;"",""),Office_Log!$A$2:$A$201,0))&amp;"",IFERROR(INDEX(Clay_Offices!$A$2:$FZ$601,288,Sync!$C$5)&amp;"","")&amp;""))</f>
        <v/>
      </c>
      <c r="E2539" s="23" t="str">
        <f aca="false">IF(B2539="","",IFERROR(INDEX(Clay_Offices!$A$2:$FZ$601,288,Sync!$C$6)&amp;"",""))</f>
        <v/>
      </c>
      <c r="F2539" s="23" t="str">
        <f aca="false">IF(B2539="","","outreach_sent")</f>
        <v/>
      </c>
      <c r="G2539" s="23" t="str">
        <f aca="false">IF(B2539="","","")</f>
        <v/>
      </c>
      <c r="H2539" s="23" t="str">
        <f aca="false">IF(B2539="","","")</f>
        <v/>
      </c>
      <c r="I2539" s="23" t="str">
        <f aca="false">IF(B2539="","","")</f>
        <v/>
      </c>
      <c r="J2539" s="23" t="str">
        <f aca="false">IF(B2539="","","touch_2; "&amp;IFERROR(INDEX(Clay_Offices!$A$2:$FZ$601,288,Sync!$C$10)&amp;"","")&amp;"; "&amp;IFERROR(INDEX(Clay_Offices!$A$2:$FZ$601,288,Sync!$C$9)&amp;"",""))</f>
        <v/>
      </c>
      <c r="K2539" s="32" t="s">
        <v>1364</v>
      </c>
    </row>
    <row r="2540" customFormat="false" ht="15" hidden="false" customHeight="false" outlineLevel="0" collapsed="false">
      <c r="A2540" s="23" t="str">
        <f aca="false">IF(B2540="","",B2540+(13*1000+289)/10000000)</f>
        <v/>
      </c>
      <c r="B2540" s="35" t="str">
        <f aca="false">IF(AND(IFERROR(N(INDEX(Clay_Offices!$A$2:$FZ$601,289,Sync!$C$12)),0)&gt;0,IFERROR(INDEX(Clay_Offices!$A$2:$FZ$601,289,Sync!$C$5)&amp;"","")&lt;&gt;"",OR(LEFT(IFERROR(INDEX(Clay_Offices!$A$2:$FZ$601,289,Sync!$C$5)&amp;"",""),6)&lt;&gt;"SAMPLE",Config!$B$19="Y")),IFERROR(N(INDEX(Clay_Offices!$A$2:$FZ$601,289,Sync!$C$12)),0),"")</f>
        <v/>
      </c>
      <c r="C2540" s="23" t="str">
        <f aca="false">IF(B2540="","","office")</f>
        <v/>
      </c>
      <c r="D2540" s="23" t="str">
        <f aca="false">IF(B2540="","",IFERROR(INDEX(Office_Log!$ED$2:$ED$201,MATCH(IFERROR(INDEX(Clay_Offices!$A$2:$FZ$601,289,Sync!$C$5)&amp;"",""),Office_Log!$A$2:$A$201,0))&amp;"",IFERROR(INDEX(Clay_Offices!$A$2:$FZ$601,289,Sync!$C$5)&amp;"","")&amp;""))</f>
        <v/>
      </c>
      <c r="E2540" s="23" t="str">
        <f aca="false">IF(B2540="","",IFERROR(INDEX(Clay_Offices!$A$2:$FZ$601,289,Sync!$C$6)&amp;"",""))</f>
        <v/>
      </c>
      <c r="F2540" s="23" t="str">
        <f aca="false">IF(B2540="","","outreach_sent")</f>
        <v/>
      </c>
      <c r="G2540" s="23" t="str">
        <f aca="false">IF(B2540="","","")</f>
        <v/>
      </c>
      <c r="H2540" s="23" t="str">
        <f aca="false">IF(B2540="","","")</f>
        <v/>
      </c>
      <c r="I2540" s="23" t="str">
        <f aca="false">IF(B2540="","","")</f>
        <v/>
      </c>
      <c r="J2540" s="23" t="str">
        <f aca="false">IF(B2540="","","touch_2; "&amp;IFERROR(INDEX(Clay_Offices!$A$2:$FZ$601,289,Sync!$C$10)&amp;"","")&amp;"; "&amp;IFERROR(INDEX(Clay_Offices!$A$2:$FZ$601,289,Sync!$C$9)&amp;"",""))</f>
        <v/>
      </c>
      <c r="K2540" s="32" t="s">
        <v>1364</v>
      </c>
    </row>
    <row r="2541" customFormat="false" ht="15" hidden="false" customHeight="false" outlineLevel="0" collapsed="false">
      <c r="A2541" s="23" t="str">
        <f aca="false">IF(B2541="","",B2541+(13*1000+290)/10000000)</f>
        <v/>
      </c>
      <c r="B2541" s="35" t="str">
        <f aca="false">IF(AND(IFERROR(N(INDEX(Clay_Offices!$A$2:$FZ$601,290,Sync!$C$12)),0)&gt;0,IFERROR(INDEX(Clay_Offices!$A$2:$FZ$601,290,Sync!$C$5)&amp;"","")&lt;&gt;"",OR(LEFT(IFERROR(INDEX(Clay_Offices!$A$2:$FZ$601,290,Sync!$C$5)&amp;"",""),6)&lt;&gt;"SAMPLE",Config!$B$19="Y")),IFERROR(N(INDEX(Clay_Offices!$A$2:$FZ$601,290,Sync!$C$12)),0),"")</f>
        <v/>
      </c>
      <c r="C2541" s="23" t="str">
        <f aca="false">IF(B2541="","","office")</f>
        <v/>
      </c>
      <c r="D2541" s="23" t="str">
        <f aca="false">IF(B2541="","",IFERROR(INDEX(Office_Log!$ED$2:$ED$201,MATCH(IFERROR(INDEX(Clay_Offices!$A$2:$FZ$601,290,Sync!$C$5)&amp;"",""),Office_Log!$A$2:$A$201,0))&amp;"",IFERROR(INDEX(Clay_Offices!$A$2:$FZ$601,290,Sync!$C$5)&amp;"","")&amp;""))</f>
        <v/>
      </c>
      <c r="E2541" s="23" t="str">
        <f aca="false">IF(B2541="","",IFERROR(INDEX(Clay_Offices!$A$2:$FZ$601,290,Sync!$C$6)&amp;"",""))</f>
        <v/>
      </c>
      <c r="F2541" s="23" t="str">
        <f aca="false">IF(B2541="","","outreach_sent")</f>
        <v/>
      </c>
      <c r="G2541" s="23" t="str">
        <f aca="false">IF(B2541="","","")</f>
        <v/>
      </c>
      <c r="H2541" s="23" t="str">
        <f aca="false">IF(B2541="","","")</f>
        <v/>
      </c>
      <c r="I2541" s="23" t="str">
        <f aca="false">IF(B2541="","","")</f>
        <v/>
      </c>
      <c r="J2541" s="23" t="str">
        <f aca="false">IF(B2541="","","touch_2; "&amp;IFERROR(INDEX(Clay_Offices!$A$2:$FZ$601,290,Sync!$C$10)&amp;"","")&amp;"; "&amp;IFERROR(INDEX(Clay_Offices!$A$2:$FZ$601,290,Sync!$C$9)&amp;"",""))</f>
        <v/>
      </c>
      <c r="K2541" s="32" t="s">
        <v>1364</v>
      </c>
    </row>
    <row r="2542" customFormat="false" ht="15" hidden="false" customHeight="false" outlineLevel="0" collapsed="false">
      <c r="A2542" s="23" t="str">
        <f aca="false">IF(B2542="","",B2542+(13*1000+291)/10000000)</f>
        <v/>
      </c>
      <c r="B2542" s="35" t="str">
        <f aca="false">IF(AND(IFERROR(N(INDEX(Clay_Offices!$A$2:$FZ$601,291,Sync!$C$12)),0)&gt;0,IFERROR(INDEX(Clay_Offices!$A$2:$FZ$601,291,Sync!$C$5)&amp;"","")&lt;&gt;"",OR(LEFT(IFERROR(INDEX(Clay_Offices!$A$2:$FZ$601,291,Sync!$C$5)&amp;"",""),6)&lt;&gt;"SAMPLE",Config!$B$19="Y")),IFERROR(N(INDEX(Clay_Offices!$A$2:$FZ$601,291,Sync!$C$12)),0),"")</f>
        <v/>
      </c>
      <c r="C2542" s="23" t="str">
        <f aca="false">IF(B2542="","","office")</f>
        <v/>
      </c>
      <c r="D2542" s="23" t="str">
        <f aca="false">IF(B2542="","",IFERROR(INDEX(Office_Log!$ED$2:$ED$201,MATCH(IFERROR(INDEX(Clay_Offices!$A$2:$FZ$601,291,Sync!$C$5)&amp;"",""),Office_Log!$A$2:$A$201,0))&amp;"",IFERROR(INDEX(Clay_Offices!$A$2:$FZ$601,291,Sync!$C$5)&amp;"","")&amp;""))</f>
        <v/>
      </c>
      <c r="E2542" s="23" t="str">
        <f aca="false">IF(B2542="","",IFERROR(INDEX(Clay_Offices!$A$2:$FZ$601,291,Sync!$C$6)&amp;"",""))</f>
        <v/>
      </c>
      <c r="F2542" s="23" t="str">
        <f aca="false">IF(B2542="","","outreach_sent")</f>
        <v/>
      </c>
      <c r="G2542" s="23" t="str">
        <f aca="false">IF(B2542="","","")</f>
        <v/>
      </c>
      <c r="H2542" s="23" t="str">
        <f aca="false">IF(B2542="","","")</f>
        <v/>
      </c>
      <c r="I2542" s="23" t="str">
        <f aca="false">IF(B2542="","","")</f>
        <v/>
      </c>
      <c r="J2542" s="23" t="str">
        <f aca="false">IF(B2542="","","touch_2; "&amp;IFERROR(INDEX(Clay_Offices!$A$2:$FZ$601,291,Sync!$C$10)&amp;"","")&amp;"; "&amp;IFERROR(INDEX(Clay_Offices!$A$2:$FZ$601,291,Sync!$C$9)&amp;"",""))</f>
        <v/>
      </c>
      <c r="K2542" s="32" t="s">
        <v>1364</v>
      </c>
    </row>
    <row r="2543" customFormat="false" ht="15" hidden="false" customHeight="false" outlineLevel="0" collapsed="false">
      <c r="A2543" s="23" t="str">
        <f aca="false">IF(B2543="","",B2543+(13*1000+292)/10000000)</f>
        <v/>
      </c>
      <c r="B2543" s="35" t="str">
        <f aca="false">IF(AND(IFERROR(N(INDEX(Clay_Offices!$A$2:$FZ$601,292,Sync!$C$12)),0)&gt;0,IFERROR(INDEX(Clay_Offices!$A$2:$FZ$601,292,Sync!$C$5)&amp;"","")&lt;&gt;"",OR(LEFT(IFERROR(INDEX(Clay_Offices!$A$2:$FZ$601,292,Sync!$C$5)&amp;"",""),6)&lt;&gt;"SAMPLE",Config!$B$19="Y")),IFERROR(N(INDEX(Clay_Offices!$A$2:$FZ$601,292,Sync!$C$12)),0),"")</f>
        <v/>
      </c>
      <c r="C2543" s="23" t="str">
        <f aca="false">IF(B2543="","","office")</f>
        <v/>
      </c>
      <c r="D2543" s="23" t="str">
        <f aca="false">IF(B2543="","",IFERROR(INDEX(Office_Log!$ED$2:$ED$201,MATCH(IFERROR(INDEX(Clay_Offices!$A$2:$FZ$601,292,Sync!$C$5)&amp;"",""),Office_Log!$A$2:$A$201,0))&amp;"",IFERROR(INDEX(Clay_Offices!$A$2:$FZ$601,292,Sync!$C$5)&amp;"","")&amp;""))</f>
        <v/>
      </c>
      <c r="E2543" s="23" t="str">
        <f aca="false">IF(B2543="","",IFERROR(INDEX(Clay_Offices!$A$2:$FZ$601,292,Sync!$C$6)&amp;"",""))</f>
        <v/>
      </c>
      <c r="F2543" s="23" t="str">
        <f aca="false">IF(B2543="","","outreach_sent")</f>
        <v/>
      </c>
      <c r="G2543" s="23" t="str">
        <f aca="false">IF(B2543="","","")</f>
        <v/>
      </c>
      <c r="H2543" s="23" t="str">
        <f aca="false">IF(B2543="","","")</f>
        <v/>
      </c>
      <c r="I2543" s="23" t="str">
        <f aca="false">IF(B2543="","","")</f>
        <v/>
      </c>
      <c r="J2543" s="23" t="str">
        <f aca="false">IF(B2543="","","touch_2; "&amp;IFERROR(INDEX(Clay_Offices!$A$2:$FZ$601,292,Sync!$C$10)&amp;"","")&amp;"; "&amp;IFERROR(INDEX(Clay_Offices!$A$2:$FZ$601,292,Sync!$C$9)&amp;"",""))</f>
        <v/>
      </c>
      <c r="K2543" s="32" t="s">
        <v>1364</v>
      </c>
    </row>
    <row r="2544" customFormat="false" ht="15" hidden="false" customHeight="false" outlineLevel="0" collapsed="false">
      <c r="A2544" s="23" t="str">
        <f aca="false">IF(B2544="","",B2544+(13*1000+293)/10000000)</f>
        <v/>
      </c>
      <c r="B2544" s="35" t="str">
        <f aca="false">IF(AND(IFERROR(N(INDEX(Clay_Offices!$A$2:$FZ$601,293,Sync!$C$12)),0)&gt;0,IFERROR(INDEX(Clay_Offices!$A$2:$FZ$601,293,Sync!$C$5)&amp;"","")&lt;&gt;"",OR(LEFT(IFERROR(INDEX(Clay_Offices!$A$2:$FZ$601,293,Sync!$C$5)&amp;"",""),6)&lt;&gt;"SAMPLE",Config!$B$19="Y")),IFERROR(N(INDEX(Clay_Offices!$A$2:$FZ$601,293,Sync!$C$12)),0),"")</f>
        <v/>
      </c>
      <c r="C2544" s="23" t="str">
        <f aca="false">IF(B2544="","","office")</f>
        <v/>
      </c>
      <c r="D2544" s="23" t="str">
        <f aca="false">IF(B2544="","",IFERROR(INDEX(Office_Log!$ED$2:$ED$201,MATCH(IFERROR(INDEX(Clay_Offices!$A$2:$FZ$601,293,Sync!$C$5)&amp;"",""),Office_Log!$A$2:$A$201,0))&amp;"",IFERROR(INDEX(Clay_Offices!$A$2:$FZ$601,293,Sync!$C$5)&amp;"","")&amp;""))</f>
        <v/>
      </c>
      <c r="E2544" s="23" t="str">
        <f aca="false">IF(B2544="","",IFERROR(INDEX(Clay_Offices!$A$2:$FZ$601,293,Sync!$C$6)&amp;"",""))</f>
        <v/>
      </c>
      <c r="F2544" s="23" t="str">
        <f aca="false">IF(B2544="","","outreach_sent")</f>
        <v/>
      </c>
      <c r="G2544" s="23" t="str">
        <f aca="false">IF(B2544="","","")</f>
        <v/>
      </c>
      <c r="H2544" s="23" t="str">
        <f aca="false">IF(B2544="","","")</f>
        <v/>
      </c>
      <c r="I2544" s="23" t="str">
        <f aca="false">IF(B2544="","","")</f>
        <v/>
      </c>
      <c r="J2544" s="23" t="str">
        <f aca="false">IF(B2544="","","touch_2; "&amp;IFERROR(INDEX(Clay_Offices!$A$2:$FZ$601,293,Sync!$C$10)&amp;"","")&amp;"; "&amp;IFERROR(INDEX(Clay_Offices!$A$2:$FZ$601,293,Sync!$C$9)&amp;"",""))</f>
        <v/>
      </c>
      <c r="K2544" s="32" t="s">
        <v>1364</v>
      </c>
    </row>
    <row r="2545" customFormat="false" ht="15" hidden="false" customHeight="false" outlineLevel="0" collapsed="false">
      <c r="A2545" s="23" t="str">
        <f aca="false">IF(B2545="","",B2545+(13*1000+294)/10000000)</f>
        <v/>
      </c>
      <c r="B2545" s="35" t="str">
        <f aca="false">IF(AND(IFERROR(N(INDEX(Clay_Offices!$A$2:$FZ$601,294,Sync!$C$12)),0)&gt;0,IFERROR(INDEX(Clay_Offices!$A$2:$FZ$601,294,Sync!$C$5)&amp;"","")&lt;&gt;"",OR(LEFT(IFERROR(INDEX(Clay_Offices!$A$2:$FZ$601,294,Sync!$C$5)&amp;"",""),6)&lt;&gt;"SAMPLE",Config!$B$19="Y")),IFERROR(N(INDEX(Clay_Offices!$A$2:$FZ$601,294,Sync!$C$12)),0),"")</f>
        <v/>
      </c>
      <c r="C2545" s="23" t="str">
        <f aca="false">IF(B2545="","","office")</f>
        <v/>
      </c>
      <c r="D2545" s="23" t="str">
        <f aca="false">IF(B2545="","",IFERROR(INDEX(Office_Log!$ED$2:$ED$201,MATCH(IFERROR(INDEX(Clay_Offices!$A$2:$FZ$601,294,Sync!$C$5)&amp;"",""),Office_Log!$A$2:$A$201,0))&amp;"",IFERROR(INDEX(Clay_Offices!$A$2:$FZ$601,294,Sync!$C$5)&amp;"","")&amp;""))</f>
        <v/>
      </c>
      <c r="E2545" s="23" t="str">
        <f aca="false">IF(B2545="","",IFERROR(INDEX(Clay_Offices!$A$2:$FZ$601,294,Sync!$C$6)&amp;"",""))</f>
        <v/>
      </c>
      <c r="F2545" s="23" t="str">
        <f aca="false">IF(B2545="","","outreach_sent")</f>
        <v/>
      </c>
      <c r="G2545" s="23" t="str">
        <f aca="false">IF(B2545="","","")</f>
        <v/>
      </c>
      <c r="H2545" s="23" t="str">
        <f aca="false">IF(B2545="","","")</f>
        <v/>
      </c>
      <c r="I2545" s="23" t="str">
        <f aca="false">IF(B2545="","","")</f>
        <v/>
      </c>
      <c r="J2545" s="23" t="str">
        <f aca="false">IF(B2545="","","touch_2; "&amp;IFERROR(INDEX(Clay_Offices!$A$2:$FZ$601,294,Sync!$C$10)&amp;"","")&amp;"; "&amp;IFERROR(INDEX(Clay_Offices!$A$2:$FZ$601,294,Sync!$C$9)&amp;"",""))</f>
        <v/>
      </c>
      <c r="K2545" s="32" t="s">
        <v>1364</v>
      </c>
    </row>
    <row r="2546" customFormat="false" ht="15" hidden="false" customHeight="false" outlineLevel="0" collapsed="false">
      <c r="A2546" s="23" t="str">
        <f aca="false">IF(B2546="","",B2546+(13*1000+295)/10000000)</f>
        <v/>
      </c>
      <c r="B2546" s="35" t="str">
        <f aca="false">IF(AND(IFERROR(N(INDEX(Clay_Offices!$A$2:$FZ$601,295,Sync!$C$12)),0)&gt;0,IFERROR(INDEX(Clay_Offices!$A$2:$FZ$601,295,Sync!$C$5)&amp;"","")&lt;&gt;"",OR(LEFT(IFERROR(INDEX(Clay_Offices!$A$2:$FZ$601,295,Sync!$C$5)&amp;"",""),6)&lt;&gt;"SAMPLE",Config!$B$19="Y")),IFERROR(N(INDEX(Clay_Offices!$A$2:$FZ$601,295,Sync!$C$12)),0),"")</f>
        <v/>
      </c>
      <c r="C2546" s="23" t="str">
        <f aca="false">IF(B2546="","","office")</f>
        <v/>
      </c>
      <c r="D2546" s="23" t="str">
        <f aca="false">IF(B2546="","",IFERROR(INDEX(Office_Log!$ED$2:$ED$201,MATCH(IFERROR(INDEX(Clay_Offices!$A$2:$FZ$601,295,Sync!$C$5)&amp;"",""),Office_Log!$A$2:$A$201,0))&amp;"",IFERROR(INDEX(Clay_Offices!$A$2:$FZ$601,295,Sync!$C$5)&amp;"","")&amp;""))</f>
        <v/>
      </c>
      <c r="E2546" s="23" t="str">
        <f aca="false">IF(B2546="","",IFERROR(INDEX(Clay_Offices!$A$2:$FZ$601,295,Sync!$C$6)&amp;"",""))</f>
        <v/>
      </c>
      <c r="F2546" s="23" t="str">
        <f aca="false">IF(B2546="","","outreach_sent")</f>
        <v/>
      </c>
      <c r="G2546" s="23" t="str">
        <f aca="false">IF(B2546="","","")</f>
        <v/>
      </c>
      <c r="H2546" s="23" t="str">
        <f aca="false">IF(B2546="","","")</f>
        <v/>
      </c>
      <c r="I2546" s="23" t="str">
        <f aca="false">IF(B2546="","","")</f>
        <v/>
      </c>
      <c r="J2546" s="23" t="str">
        <f aca="false">IF(B2546="","","touch_2; "&amp;IFERROR(INDEX(Clay_Offices!$A$2:$FZ$601,295,Sync!$C$10)&amp;"","")&amp;"; "&amp;IFERROR(INDEX(Clay_Offices!$A$2:$FZ$601,295,Sync!$C$9)&amp;"",""))</f>
        <v/>
      </c>
      <c r="K2546" s="32" t="s">
        <v>1364</v>
      </c>
    </row>
    <row r="2547" customFormat="false" ht="15" hidden="false" customHeight="false" outlineLevel="0" collapsed="false">
      <c r="A2547" s="23" t="str">
        <f aca="false">IF(B2547="","",B2547+(13*1000+296)/10000000)</f>
        <v/>
      </c>
      <c r="B2547" s="35" t="str">
        <f aca="false">IF(AND(IFERROR(N(INDEX(Clay_Offices!$A$2:$FZ$601,296,Sync!$C$12)),0)&gt;0,IFERROR(INDEX(Clay_Offices!$A$2:$FZ$601,296,Sync!$C$5)&amp;"","")&lt;&gt;"",OR(LEFT(IFERROR(INDEX(Clay_Offices!$A$2:$FZ$601,296,Sync!$C$5)&amp;"",""),6)&lt;&gt;"SAMPLE",Config!$B$19="Y")),IFERROR(N(INDEX(Clay_Offices!$A$2:$FZ$601,296,Sync!$C$12)),0),"")</f>
        <v/>
      </c>
      <c r="C2547" s="23" t="str">
        <f aca="false">IF(B2547="","","office")</f>
        <v/>
      </c>
      <c r="D2547" s="23" t="str">
        <f aca="false">IF(B2547="","",IFERROR(INDEX(Office_Log!$ED$2:$ED$201,MATCH(IFERROR(INDEX(Clay_Offices!$A$2:$FZ$601,296,Sync!$C$5)&amp;"",""),Office_Log!$A$2:$A$201,0))&amp;"",IFERROR(INDEX(Clay_Offices!$A$2:$FZ$601,296,Sync!$C$5)&amp;"","")&amp;""))</f>
        <v/>
      </c>
      <c r="E2547" s="23" t="str">
        <f aca="false">IF(B2547="","",IFERROR(INDEX(Clay_Offices!$A$2:$FZ$601,296,Sync!$C$6)&amp;"",""))</f>
        <v/>
      </c>
      <c r="F2547" s="23" t="str">
        <f aca="false">IF(B2547="","","outreach_sent")</f>
        <v/>
      </c>
      <c r="G2547" s="23" t="str">
        <f aca="false">IF(B2547="","","")</f>
        <v/>
      </c>
      <c r="H2547" s="23" t="str">
        <f aca="false">IF(B2547="","","")</f>
        <v/>
      </c>
      <c r="I2547" s="23" t="str">
        <f aca="false">IF(B2547="","","")</f>
        <v/>
      </c>
      <c r="J2547" s="23" t="str">
        <f aca="false">IF(B2547="","","touch_2; "&amp;IFERROR(INDEX(Clay_Offices!$A$2:$FZ$601,296,Sync!$C$10)&amp;"","")&amp;"; "&amp;IFERROR(INDEX(Clay_Offices!$A$2:$FZ$601,296,Sync!$C$9)&amp;"",""))</f>
        <v/>
      </c>
      <c r="K2547" s="32" t="s">
        <v>1364</v>
      </c>
    </row>
    <row r="2548" customFormat="false" ht="15" hidden="false" customHeight="false" outlineLevel="0" collapsed="false">
      <c r="A2548" s="23" t="str">
        <f aca="false">IF(B2548="","",B2548+(13*1000+297)/10000000)</f>
        <v/>
      </c>
      <c r="B2548" s="35" t="str">
        <f aca="false">IF(AND(IFERROR(N(INDEX(Clay_Offices!$A$2:$FZ$601,297,Sync!$C$12)),0)&gt;0,IFERROR(INDEX(Clay_Offices!$A$2:$FZ$601,297,Sync!$C$5)&amp;"","")&lt;&gt;"",OR(LEFT(IFERROR(INDEX(Clay_Offices!$A$2:$FZ$601,297,Sync!$C$5)&amp;"",""),6)&lt;&gt;"SAMPLE",Config!$B$19="Y")),IFERROR(N(INDEX(Clay_Offices!$A$2:$FZ$601,297,Sync!$C$12)),0),"")</f>
        <v/>
      </c>
      <c r="C2548" s="23" t="str">
        <f aca="false">IF(B2548="","","office")</f>
        <v/>
      </c>
      <c r="D2548" s="23" t="str">
        <f aca="false">IF(B2548="","",IFERROR(INDEX(Office_Log!$ED$2:$ED$201,MATCH(IFERROR(INDEX(Clay_Offices!$A$2:$FZ$601,297,Sync!$C$5)&amp;"",""),Office_Log!$A$2:$A$201,0))&amp;"",IFERROR(INDEX(Clay_Offices!$A$2:$FZ$601,297,Sync!$C$5)&amp;"","")&amp;""))</f>
        <v/>
      </c>
      <c r="E2548" s="23" t="str">
        <f aca="false">IF(B2548="","",IFERROR(INDEX(Clay_Offices!$A$2:$FZ$601,297,Sync!$C$6)&amp;"",""))</f>
        <v/>
      </c>
      <c r="F2548" s="23" t="str">
        <f aca="false">IF(B2548="","","outreach_sent")</f>
        <v/>
      </c>
      <c r="G2548" s="23" t="str">
        <f aca="false">IF(B2548="","","")</f>
        <v/>
      </c>
      <c r="H2548" s="23" t="str">
        <f aca="false">IF(B2548="","","")</f>
        <v/>
      </c>
      <c r="I2548" s="23" t="str">
        <f aca="false">IF(B2548="","","")</f>
        <v/>
      </c>
      <c r="J2548" s="23" t="str">
        <f aca="false">IF(B2548="","","touch_2; "&amp;IFERROR(INDEX(Clay_Offices!$A$2:$FZ$601,297,Sync!$C$10)&amp;"","")&amp;"; "&amp;IFERROR(INDEX(Clay_Offices!$A$2:$FZ$601,297,Sync!$C$9)&amp;"",""))</f>
        <v/>
      </c>
      <c r="K2548" s="32" t="s">
        <v>1364</v>
      </c>
    </row>
    <row r="2549" customFormat="false" ht="15" hidden="false" customHeight="false" outlineLevel="0" collapsed="false">
      <c r="A2549" s="23" t="str">
        <f aca="false">IF(B2549="","",B2549+(13*1000+298)/10000000)</f>
        <v/>
      </c>
      <c r="B2549" s="35" t="str">
        <f aca="false">IF(AND(IFERROR(N(INDEX(Clay_Offices!$A$2:$FZ$601,298,Sync!$C$12)),0)&gt;0,IFERROR(INDEX(Clay_Offices!$A$2:$FZ$601,298,Sync!$C$5)&amp;"","")&lt;&gt;"",OR(LEFT(IFERROR(INDEX(Clay_Offices!$A$2:$FZ$601,298,Sync!$C$5)&amp;"",""),6)&lt;&gt;"SAMPLE",Config!$B$19="Y")),IFERROR(N(INDEX(Clay_Offices!$A$2:$FZ$601,298,Sync!$C$12)),0),"")</f>
        <v/>
      </c>
      <c r="C2549" s="23" t="str">
        <f aca="false">IF(B2549="","","office")</f>
        <v/>
      </c>
      <c r="D2549" s="23" t="str">
        <f aca="false">IF(B2549="","",IFERROR(INDEX(Office_Log!$ED$2:$ED$201,MATCH(IFERROR(INDEX(Clay_Offices!$A$2:$FZ$601,298,Sync!$C$5)&amp;"",""),Office_Log!$A$2:$A$201,0))&amp;"",IFERROR(INDEX(Clay_Offices!$A$2:$FZ$601,298,Sync!$C$5)&amp;"","")&amp;""))</f>
        <v/>
      </c>
      <c r="E2549" s="23" t="str">
        <f aca="false">IF(B2549="","",IFERROR(INDEX(Clay_Offices!$A$2:$FZ$601,298,Sync!$C$6)&amp;"",""))</f>
        <v/>
      </c>
      <c r="F2549" s="23" t="str">
        <f aca="false">IF(B2549="","","outreach_sent")</f>
        <v/>
      </c>
      <c r="G2549" s="23" t="str">
        <f aca="false">IF(B2549="","","")</f>
        <v/>
      </c>
      <c r="H2549" s="23" t="str">
        <f aca="false">IF(B2549="","","")</f>
        <v/>
      </c>
      <c r="I2549" s="23" t="str">
        <f aca="false">IF(B2549="","","")</f>
        <v/>
      </c>
      <c r="J2549" s="23" t="str">
        <f aca="false">IF(B2549="","","touch_2; "&amp;IFERROR(INDEX(Clay_Offices!$A$2:$FZ$601,298,Sync!$C$10)&amp;"","")&amp;"; "&amp;IFERROR(INDEX(Clay_Offices!$A$2:$FZ$601,298,Sync!$C$9)&amp;"",""))</f>
        <v/>
      </c>
      <c r="K2549" s="32" t="s">
        <v>1364</v>
      </c>
    </row>
    <row r="2550" customFormat="false" ht="15" hidden="false" customHeight="false" outlineLevel="0" collapsed="false">
      <c r="A2550" s="23" t="str">
        <f aca="false">IF(B2550="","",B2550+(13*1000+299)/10000000)</f>
        <v/>
      </c>
      <c r="B2550" s="35" t="str">
        <f aca="false">IF(AND(IFERROR(N(INDEX(Clay_Offices!$A$2:$FZ$601,299,Sync!$C$12)),0)&gt;0,IFERROR(INDEX(Clay_Offices!$A$2:$FZ$601,299,Sync!$C$5)&amp;"","")&lt;&gt;"",OR(LEFT(IFERROR(INDEX(Clay_Offices!$A$2:$FZ$601,299,Sync!$C$5)&amp;"",""),6)&lt;&gt;"SAMPLE",Config!$B$19="Y")),IFERROR(N(INDEX(Clay_Offices!$A$2:$FZ$601,299,Sync!$C$12)),0),"")</f>
        <v/>
      </c>
      <c r="C2550" s="23" t="str">
        <f aca="false">IF(B2550="","","office")</f>
        <v/>
      </c>
      <c r="D2550" s="23" t="str">
        <f aca="false">IF(B2550="","",IFERROR(INDEX(Office_Log!$ED$2:$ED$201,MATCH(IFERROR(INDEX(Clay_Offices!$A$2:$FZ$601,299,Sync!$C$5)&amp;"",""),Office_Log!$A$2:$A$201,0))&amp;"",IFERROR(INDEX(Clay_Offices!$A$2:$FZ$601,299,Sync!$C$5)&amp;"","")&amp;""))</f>
        <v/>
      </c>
      <c r="E2550" s="23" t="str">
        <f aca="false">IF(B2550="","",IFERROR(INDEX(Clay_Offices!$A$2:$FZ$601,299,Sync!$C$6)&amp;"",""))</f>
        <v/>
      </c>
      <c r="F2550" s="23" t="str">
        <f aca="false">IF(B2550="","","outreach_sent")</f>
        <v/>
      </c>
      <c r="G2550" s="23" t="str">
        <f aca="false">IF(B2550="","","")</f>
        <v/>
      </c>
      <c r="H2550" s="23" t="str">
        <f aca="false">IF(B2550="","","")</f>
        <v/>
      </c>
      <c r="I2550" s="23" t="str">
        <f aca="false">IF(B2550="","","")</f>
        <v/>
      </c>
      <c r="J2550" s="23" t="str">
        <f aca="false">IF(B2550="","","touch_2; "&amp;IFERROR(INDEX(Clay_Offices!$A$2:$FZ$601,299,Sync!$C$10)&amp;"","")&amp;"; "&amp;IFERROR(INDEX(Clay_Offices!$A$2:$FZ$601,299,Sync!$C$9)&amp;"",""))</f>
        <v/>
      </c>
      <c r="K2550" s="32" t="s">
        <v>1364</v>
      </c>
    </row>
    <row r="2551" customFormat="false" ht="15" hidden="false" customHeight="false" outlineLevel="0" collapsed="false">
      <c r="A2551" s="23" t="str">
        <f aca="false">IF(B2551="","",B2551+(13*1000+300)/10000000)</f>
        <v/>
      </c>
      <c r="B2551" s="35" t="str">
        <f aca="false">IF(AND(IFERROR(N(INDEX(Clay_Offices!$A$2:$FZ$601,300,Sync!$C$12)),0)&gt;0,IFERROR(INDEX(Clay_Offices!$A$2:$FZ$601,300,Sync!$C$5)&amp;"","")&lt;&gt;"",OR(LEFT(IFERROR(INDEX(Clay_Offices!$A$2:$FZ$601,300,Sync!$C$5)&amp;"",""),6)&lt;&gt;"SAMPLE",Config!$B$19="Y")),IFERROR(N(INDEX(Clay_Offices!$A$2:$FZ$601,300,Sync!$C$12)),0),"")</f>
        <v/>
      </c>
      <c r="C2551" s="23" t="str">
        <f aca="false">IF(B2551="","","office")</f>
        <v/>
      </c>
      <c r="D2551" s="23" t="str">
        <f aca="false">IF(B2551="","",IFERROR(INDEX(Office_Log!$ED$2:$ED$201,MATCH(IFERROR(INDEX(Clay_Offices!$A$2:$FZ$601,300,Sync!$C$5)&amp;"",""),Office_Log!$A$2:$A$201,0))&amp;"",IFERROR(INDEX(Clay_Offices!$A$2:$FZ$601,300,Sync!$C$5)&amp;"","")&amp;""))</f>
        <v/>
      </c>
      <c r="E2551" s="23" t="str">
        <f aca="false">IF(B2551="","",IFERROR(INDEX(Clay_Offices!$A$2:$FZ$601,300,Sync!$C$6)&amp;"",""))</f>
        <v/>
      </c>
      <c r="F2551" s="23" t="str">
        <f aca="false">IF(B2551="","","outreach_sent")</f>
        <v/>
      </c>
      <c r="G2551" s="23" t="str">
        <f aca="false">IF(B2551="","","")</f>
        <v/>
      </c>
      <c r="H2551" s="23" t="str">
        <f aca="false">IF(B2551="","","")</f>
        <v/>
      </c>
      <c r="I2551" s="23" t="str">
        <f aca="false">IF(B2551="","","")</f>
        <v/>
      </c>
      <c r="J2551" s="23" t="str">
        <f aca="false">IF(B2551="","","touch_2; "&amp;IFERROR(INDEX(Clay_Offices!$A$2:$FZ$601,300,Sync!$C$10)&amp;"","")&amp;"; "&amp;IFERROR(INDEX(Clay_Offices!$A$2:$FZ$601,300,Sync!$C$9)&amp;"",""))</f>
        <v/>
      </c>
      <c r="K2551" s="32" t="s">
        <v>1364</v>
      </c>
    </row>
    <row r="2552" customFormat="false" ht="15" hidden="false" customHeight="false" outlineLevel="0" collapsed="false">
      <c r="A2552" s="23" t="str">
        <f aca="false">IF(B2552="","",B2552+(13*1000+301)/10000000)</f>
        <v/>
      </c>
      <c r="B2552" s="35" t="str">
        <f aca="false">IF(AND(IFERROR(N(INDEX(Clay_Offices!$A$2:$FZ$601,301,Sync!$C$12)),0)&gt;0,IFERROR(INDEX(Clay_Offices!$A$2:$FZ$601,301,Sync!$C$5)&amp;"","")&lt;&gt;"",OR(LEFT(IFERROR(INDEX(Clay_Offices!$A$2:$FZ$601,301,Sync!$C$5)&amp;"",""),6)&lt;&gt;"SAMPLE",Config!$B$19="Y")),IFERROR(N(INDEX(Clay_Offices!$A$2:$FZ$601,301,Sync!$C$12)),0),"")</f>
        <v/>
      </c>
      <c r="C2552" s="23" t="str">
        <f aca="false">IF(B2552="","","office")</f>
        <v/>
      </c>
      <c r="D2552" s="23" t="str">
        <f aca="false">IF(B2552="","",IFERROR(INDEX(Office_Log!$ED$2:$ED$201,MATCH(IFERROR(INDEX(Clay_Offices!$A$2:$FZ$601,301,Sync!$C$5)&amp;"",""),Office_Log!$A$2:$A$201,0))&amp;"",IFERROR(INDEX(Clay_Offices!$A$2:$FZ$601,301,Sync!$C$5)&amp;"","")&amp;""))</f>
        <v/>
      </c>
      <c r="E2552" s="23" t="str">
        <f aca="false">IF(B2552="","",IFERROR(INDEX(Clay_Offices!$A$2:$FZ$601,301,Sync!$C$6)&amp;"",""))</f>
        <v/>
      </c>
      <c r="F2552" s="23" t="str">
        <f aca="false">IF(B2552="","","outreach_sent")</f>
        <v/>
      </c>
      <c r="G2552" s="23" t="str">
        <f aca="false">IF(B2552="","","")</f>
        <v/>
      </c>
      <c r="H2552" s="23" t="str">
        <f aca="false">IF(B2552="","","")</f>
        <v/>
      </c>
      <c r="I2552" s="23" t="str">
        <f aca="false">IF(B2552="","","")</f>
        <v/>
      </c>
      <c r="J2552" s="23" t="str">
        <f aca="false">IF(B2552="","","touch_2; "&amp;IFERROR(INDEX(Clay_Offices!$A$2:$FZ$601,301,Sync!$C$10)&amp;"","")&amp;"; "&amp;IFERROR(INDEX(Clay_Offices!$A$2:$FZ$601,301,Sync!$C$9)&amp;"",""))</f>
        <v/>
      </c>
      <c r="K2552" s="32" t="s">
        <v>1364</v>
      </c>
    </row>
    <row r="2553" customFormat="false" ht="15" hidden="false" customHeight="false" outlineLevel="0" collapsed="false">
      <c r="A2553" s="23" t="str">
        <f aca="false">IF(B2553="","",B2553+(13*1000+302)/10000000)</f>
        <v/>
      </c>
      <c r="B2553" s="35" t="str">
        <f aca="false">IF(AND(IFERROR(N(INDEX(Clay_Offices!$A$2:$FZ$601,302,Sync!$C$12)),0)&gt;0,IFERROR(INDEX(Clay_Offices!$A$2:$FZ$601,302,Sync!$C$5)&amp;"","")&lt;&gt;"",OR(LEFT(IFERROR(INDEX(Clay_Offices!$A$2:$FZ$601,302,Sync!$C$5)&amp;"",""),6)&lt;&gt;"SAMPLE",Config!$B$19="Y")),IFERROR(N(INDEX(Clay_Offices!$A$2:$FZ$601,302,Sync!$C$12)),0),"")</f>
        <v/>
      </c>
      <c r="C2553" s="23" t="str">
        <f aca="false">IF(B2553="","","office")</f>
        <v/>
      </c>
      <c r="D2553" s="23" t="str">
        <f aca="false">IF(B2553="","",IFERROR(INDEX(Office_Log!$ED$2:$ED$201,MATCH(IFERROR(INDEX(Clay_Offices!$A$2:$FZ$601,302,Sync!$C$5)&amp;"",""),Office_Log!$A$2:$A$201,0))&amp;"",IFERROR(INDEX(Clay_Offices!$A$2:$FZ$601,302,Sync!$C$5)&amp;"","")&amp;""))</f>
        <v/>
      </c>
      <c r="E2553" s="23" t="str">
        <f aca="false">IF(B2553="","",IFERROR(INDEX(Clay_Offices!$A$2:$FZ$601,302,Sync!$C$6)&amp;"",""))</f>
        <v/>
      </c>
      <c r="F2553" s="23" t="str">
        <f aca="false">IF(B2553="","","outreach_sent")</f>
        <v/>
      </c>
      <c r="G2553" s="23" t="str">
        <f aca="false">IF(B2553="","","")</f>
        <v/>
      </c>
      <c r="H2553" s="23" t="str">
        <f aca="false">IF(B2553="","","")</f>
        <v/>
      </c>
      <c r="I2553" s="23" t="str">
        <f aca="false">IF(B2553="","","")</f>
        <v/>
      </c>
      <c r="J2553" s="23" t="str">
        <f aca="false">IF(B2553="","","touch_2; "&amp;IFERROR(INDEX(Clay_Offices!$A$2:$FZ$601,302,Sync!$C$10)&amp;"","")&amp;"; "&amp;IFERROR(INDEX(Clay_Offices!$A$2:$FZ$601,302,Sync!$C$9)&amp;"",""))</f>
        <v/>
      </c>
      <c r="K2553" s="32" t="s">
        <v>1364</v>
      </c>
    </row>
    <row r="2554" customFormat="false" ht="15" hidden="false" customHeight="false" outlineLevel="0" collapsed="false">
      <c r="A2554" s="23" t="str">
        <f aca="false">IF(B2554="","",B2554+(13*1000+303)/10000000)</f>
        <v/>
      </c>
      <c r="B2554" s="35" t="str">
        <f aca="false">IF(AND(IFERROR(N(INDEX(Clay_Offices!$A$2:$FZ$601,303,Sync!$C$12)),0)&gt;0,IFERROR(INDEX(Clay_Offices!$A$2:$FZ$601,303,Sync!$C$5)&amp;"","")&lt;&gt;"",OR(LEFT(IFERROR(INDEX(Clay_Offices!$A$2:$FZ$601,303,Sync!$C$5)&amp;"",""),6)&lt;&gt;"SAMPLE",Config!$B$19="Y")),IFERROR(N(INDEX(Clay_Offices!$A$2:$FZ$601,303,Sync!$C$12)),0),"")</f>
        <v/>
      </c>
      <c r="C2554" s="23" t="str">
        <f aca="false">IF(B2554="","","office")</f>
        <v/>
      </c>
      <c r="D2554" s="23" t="str">
        <f aca="false">IF(B2554="","",IFERROR(INDEX(Office_Log!$ED$2:$ED$201,MATCH(IFERROR(INDEX(Clay_Offices!$A$2:$FZ$601,303,Sync!$C$5)&amp;"",""),Office_Log!$A$2:$A$201,0))&amp;"",IFERROR(INDEX(Clay_Offices!$A$2:$FZ$601,303,Sync!$C$5)&amp;"","")&amp;""))</f>
        <v/>
      </c>
      <c r="E2554" s="23" t="str">
        <f aca="false">IF(B2554="","",IFERROR(INDEX(Clay_Offices!$A$2:$FZ$601,303,Sync!$C$6)&amp;"",""))</f>
        <v/>
      </c>
      <c r="F2554" s="23" t="str">
        <f aca="false">IF(B2554="","","outreach_sent")</f>
        <v/>
      </c>
      <c r="G2554" s="23" t="str">
        <f aca="false">IF(B2554="","","")</f>
        <v/>
      </c>
      <c r="H2554" s="23" t="str">
        <f aca="false">IF(B2554="","","")</f>
        <v/>
      </c>
      <c r="I2554" s="23" t="str">
        <f aca="false">IF(B2554="","","")</f>
        <v/>
      </c>
      <c r="J2554" s="23" t="str">
        <f aca="false">IF(B2554="","","touch_2; "&amp;IFERROR(INDEX(Clay_Offices!$A$2:$FZ$601,303,Sync!$C$10)&amp;"","")&amp;"; "&amp;IFERROR(INDEX(Clay_Offices!$A$2:$FZ$601,303,Sync!$C$9)&amp;"",""))</f>
        <v/>
      </c>
      <c r="K2554" s="32" t="s">
        <v>1364</v>
      </c>
    </row>
    <row r="2555" customFormat="false" ht="15" hidden="false" customHeight="false" outlineLevel="0" collapsed="false">
      <c r="A2555" s="23" t="str">
        <f aca="false">IF(B2555="","",B2555+(13*1000+304)/10000000)</f>
        <v/>
      </c>
      <c r="B2555" s="35" t="str">
        <f aca="false">IF(AND(IFERROR(N(INDEX(Clay_Offices!$A$2:$FZ$601,304,Sync!$C$12)),0)&gt;0,IFERROR(INDEX(Clay_Offices!$A$2:$FZ$601,304,Sync!$C$5)&amp;"","")&lt;&gt;"",OR(LEFT(IFERROR(INDEX(Clay_Offices!$A$2:$FZ$601,304,Sync!$C$5)&amp;"",""),6)&lt;&gt;"SAMPLE",Config!$B$19="Y")),IFERROR(N(INDEX(Clay_Offices!$A$2:$FZ$601,304,Sync!$C$12)),0),"")</f>
        <v/>
      </c>
      <c r="C2555" s="23" t="str">
        <f aca="false">IF(B2555="","","office")</f>
        <v/>
      </c>
      <c r="D2555" s="23" t="str">
        <f aca="false">IF(B2555="","",IFERROR(INDEX(Office_Log!$ED$2:$ED$201,MATCH(IFERROR(INDEX(Clay_Offices!$A$2:$FZ$601,304,Sync!$C$5)&amp;"",""),Office_Log!$A$2:$A$201,0))&amp;"",IFERROR(INDEX(Clay_Offices!$A$2:$FZ$601,304,Sync!$C$5)&amp;"","")&amp;""))</f>
        <v/>
      </c>
      <c r="E2555" s="23" t="str">
        <f aca="false">IF(B2555="","",IFERROR(INDEX(Clay_Offices!$A$2:$FZ$601,304,Sync!$C$6)&amp;"",""))</f>
        <v/>
      </c>
      <c r="F2555" s="23" t="str">
        <f aca="false">IF(B2555="","","outreach_sent")</f>
        <v/>
      </c>
      <c r="G2555" s="23" t="str">
        <f aca="false">IF(B2555="","","")</f>
        <v/>
      </c>
      <c r="H2555" s="23" t="str">
        <f aca="false">IF(B2555="","","")</f>
        <v/>
      </c>
      <c r="I2555" s="23" t="str">
        <f aca="false">IF(B2555="","","")</f>
        <v/>
      </c>
      <c r="J2555" s="23" t="str">
        <f aca="false">IF(B2555="","","touch_2; "&amp;IFERROR(INDEX(Clay_Offices!$A$2:$FZ$601,304,Sync!$C$10)&amp;"","")&amp;"; "&amp;IFERROR(INDEX(Clay_Offices!$A$2:$FZ$601,304,Sync!$C$9)&amp;"",""))</f>
        <v/>
      </c>
      <c r="K2555" s="32" t="s">
        <v>1364</v>
      </c>
    </row>
    <row r="2556" customFormat="false" ht="15" hidden="false" customHeight="false" outlineLevel="0" collapsed="false">
      <c r="A2556" s="23" t="str">
        <f aca="false">IF(B2556="","",B2556+(13*1000+305)/10000000)</f>
        <v/>
      </c>
      <c r="B2556" s="35" t="str">
        <f aca="false">IF(AND(IFERROR(N(INDEX(Clay_Offices!$A$2:$FZ$601,305,Sync!$C$12)),0)&gt;0,IFERROR(INDEX(Clay_Offices!$A$2:$FZ$601,305,Sync!$C$5)&amp;"","")&lt;&gt;"",OR(LEFT(IFERROR(INDEX(Clay_Offices!$A$2:$FZ$601,305,Sync!$C$5)&amp;"",""),6)&lt;&gt;"SAMPLE",Config!$B$19="Y")),IFERROR(N(INDEX(Clay_Offices!$A$2:$FZ$601,305,Sync!$C$12)),0),"")</f>
        <v/>
      </c>
      <c r="C2556" s="23" t="str">
        <f aca="false">IF(B2556="","","office")</f>
        <v/>
      </c>
      <c r="D2556" s="23" t="str">
        <f aca="false">IF(B2556="","",IFERROR(INDEX(Office_Log!$ED$2:$ED$201,MATCH(IFERROR(INDEX(Clay_Offices!$A$2:$FZ$601,305,Sync!$C$5)&amp;"",""),Office_Log!$A$2:$A$201,0))&amp;"",IFERROR(INDEX(Clay_Offices!$A$2:$FZ$601,305,Sync!$C$5)&amp;"","")&amp;""))</f>
        <v/>
      </c>
      <c r="E2556" s="23" t="str">
        <f aca="false">IF(B2556="","",IFERROR(INDEX(Clay_Offices!$A$2:$FZ$601,305,Sync!$C$6)&amp;"",""))</f>
        <v/>
      </c>
      <c r="F2556" s="23" t="str">
        <f aca="false">IF(B2556="","","outreach_sent")</f>
        <v/>
      </c>
      <c r="G2556" s="23" t="str">
        <f aca="false">IF(B2556="","","")</f>
        <v/>
      </c>
      <c r="H2556" s="23" t="str">
        <f aca="false">IF(B2556="","","")</f>
        <v/>
      </c>
      <c r="I2556" s="23" t="str">
        <f aca="false">IF(B2556="","","")</f>
        <v/>
      </c>
      <c r="J2556" s="23" t="str">
        <f aca="false">IF(B2556="","","touch_2; "&amp;IFERROR(INDEX(Clay_Offices!$A$2:$FZ$601,305,Sync!$C$10)&amp;"","")&amp;"; "&amp;IFERROR(INDEX(Clay_Offices!$A$2:$FZ$601,305,Sync!$C$9)&amp;"",""))</f>
        <v/>
      </c>
      <c r="K2556" s="32" t="s">
        <v>1364</v>
      </c>
    </row>
    <row r="2557" customFormat="false" ht="15" hidden="false" customHeight="false" outlineLevel="0" collapsed="false">
      <c r="A2557" s="23" t="str">
        <f aca="false">IF(B2557="","",B2557+(13*1000+306)/10000000)</f>
        <v/>
      </c>
      <c r="B2557" s="35" t="str">
        <f aca="false">IF(AND(IFERROR(N(INDEX(Clay_Offices!$A$2:$FZ$601,306,Sync!$C$12)),0)&gt;0,IFERROR(INDEX(Clay_Offices!$A$2:$FZ$601,306,Sync!$C$5)&amp;"","")&lt;&gt;"",OR(LEFT(IFERROR(INDEX(Clay_Offices!$A$2:$FZ$601,306,Sync!$C$5)&amp;"",""),6)&lt;&gt;"SAMPLE",Config!$B$19="Y")),IFERROR(N(INDEX(Clay_Offices!$A$2:$FZ$601,306,Sync!$C$12)),0),"")</f>
        <v/>
      </c>
      <c r="C2557" s="23" t="str">
        <f aca="false">IF(B2557="","","office")</f>
        <v/>
      </c>
      <c r="D2557" s="23" t="str">
        <f aca="false">IF(B2557="","",IFERROR(INDEX(Office_Log!$ED$2:$ED$201,MATCH(IFERROR(INDEX(Clay_Offices!$A$2:$FZ$601,306,Sync!$C$5)&amp;"",""),Office_Log!$A$2:$A$201,0))&amp;"",IFERROR(INDEX(Clay_Offices!$A$2:$FZ$601,306,Sync!$C$5)&amp;"","")&amp;""))</f>
        <v/>
      </c>
      <c r="E2557" s="23" t="str">
        <f aca="false">IF(B2557="","",IFERROR(INDEX(Clay_Offices!$A$2:$FZ$601,306,Sync!$C$6)&amp;"",""))</f>
        <v/>
      </c>
      <c r="F2557" s="23" t="str">
        <f aca="false">IF(B2557="","","outreach_sent")</f>
        <v/>
      </c>
      <c r="G2557" s="23" t="str">
        <f aca="false">IF(B2557="","","")</f>
        <v/>
      </c>
      <c r="H2557" s="23" t="str">
        <f aca="false">IF(B2557="","","")</f>
        <v/>
      </c>
      <c r="I2557" s="23" t="str">
        <f aca="false">IF(B2557="","","")</f>
        <v/>
      </c>
      <c r="J2557" s="23" t="str">
        <f aca="false">IF(B2557="","","touch_2; "&amp;IFERROR(INDEX(Clay_Offices!$A$2:$FZ$601,306,Sync!$C$10)&amp;"","")&amp;"; "&amp;IFERROR(INDEX(Clay_Offices!$A$2:$FZ$601,306,Sync!$C$9)&amp;"",""))</f>
        <v/>
      </c>
      <c r="K2557" s="32" t="s">
        <v>1364</v>
      </c>
    </row>
    <row r="2558" customFormat="false" ht="15" hidden="false" customHeight="false" outlineLevel="0" collapsed="false">
      <c r="A2558" s="23" t="str">
        <f aca="false">IF(B2558="","",B2558+(13*1000+307)/10000000)</f>
        <v/>
      </c>
      <c r="B2558" s="35" t="str">
        <f aca="false">IF(AND(IFERROR(N(INDEX(Clay_Offices!$A$2:$FZ$601,307,Sync!$C$12)),0)&gt;0,IFERROR(INDEX(Clay_Offices!$A$2:$FZ$601,307,Sync!$C$5)&amp;"","")&lt;&gt;"",OR(LEFT(IFERROR(INDEX(Clay_Offices!$A$2:$FZ$601,307,Sync!$C$5)&amp;"",""),6)&lt;&gt;"SAMPLE",Config!$B$19="Y")),IFERROR(N(INDEX(Clay_Offices!$A$2:$FZ$601,307,Sync!$C$12)),0),"")</f>
        <v/>
      </c>
      <c r="C2558" s="23" t="str">
        <f aca="false">IF(B2558="","","office")</f>
        <v/>
      </c>
      <c r="D2558" s="23" t="str">
        <f aca="false">IF(B2558="","",IFERROR(INDEX(Office_Log!$ED$2:$ED$201,MATCH(IFERROR(INDEX(Clay_Offices!$A$2:$FZ$601,307,Sync!$C$5)&amp;"",""),Office_Log!$A$2:$A$201,0))&amp;"",IFERROR(INDEX(Clay_Offices!$A$2:$FZ$601,307,Sync!$C$5)&amp;"","")&amp;""))</f>
        <v/>
      </c>
      <c r="E2558" s="23" t="str">
        <f aca="false">IF(B2558="","",IFERROR(INDEX(Clay_Offices!$A$2:$FZ$601,307,Sync!$C$6)&amp;"",""))</f>
        <v/>
      </c>
      <c r="F2558" s="23" t="str">
        <f aca="false">IF(B2558="","","outreach_sent")</f>
        <v/>
      </c>
      <c r="G2558" s="23" t="str">
        <f aca="false">IF(B2558="","","")</f>
        <v/>
      </c>
      <c r="H2558" s="23" t="str">
        <f aca="false">IF(B2558="","","")</f>
        <v/>
      </c>
      <c r="I2558" s="23" t="str">
        <f aca="false">IF(B2558="","","")</f>
        <v/>
      </c>
      <c r="J2558" s="23" t="str">
        <f aca="false">IF(B2558="","","touch_2; "&amp;IFERROR(INDEX(Clay_Offices!$A$2:$FZ$601,307,Sync!$C$10)&amp;"","")&amp;"; "&amp;IFERROR(INDEX(Clay_Offices!$A$2:$FZ$601,307,Sync!$C$9)&amp;"",""))</f>
        <v/>
      </c>
      <c r="K2558" s="32" t="s">
        <v>1364</v>
      </c>
    </row>
    <row r="2559" customFormat="false" ht="15" hidden="false" customHeight="false" outlineLevel="0" collapsed="false">
      <c r="A2559" s="23" t="str">
        <f aca="false">IF(B2559="","",B2559+(13*1000+308)/10000000)</f>
        <v/>
      </c>
      <c r="B2559" s="35" t="str">
        <f aca="false">IF(AND(IFERROR(N(INDEX(Clay_Offices!$A$2:$FZ$601,308,Sync!$C$12)),0)&gt;0,IFERROR(INDEX(Clay_Offices!$A$2:$FZ$601,308,Sync!$C$5)&amp;"","")&lt;&gt;"",OR(LEFT(IFERROR(INDEX(Clay_Offices!$A$2:$FZ$601,308,Sync!$C$5)&amp;"",""),6)&lt;&gt;"SAMPLE",Config!$B$19="Y")),IFERROR(N(INDEX(Clay_Offices!$A$2:$FZ$601,308,Sync!$C$12)),0),"")</f>
        <v/>
      </c>
      <c r="C2559" s="23" t="str">
        <f aca="false">IF(B2559="","","office")</f>
        <v/>
      </c>
      <c r="D2559" s="23" t="str">
        <f aca="false">IF(B2559="","",IFERROR(INDEX(Office_Log!$ED$2:$ED$201,MATCH(IFERROR(INDEX(Clay_Offices!$A$2:$FZ$601,308,Sync!$C$5)&amp;"",""),Office_Log!$A$2:$A$201,0))&amp;"",IFERROR(INDEX(Clay_Offices!$A$2:$FZ$601,308,Sync!$C$5)&amp;"","")&amp;""))</f>
        <v/>
      </c>
      <c r="E2559" s="23" t="str">
        <f aca="false">IF(B2559="","",IFERROR(INDEX(Clay_Offices!$A$2:$FZ$601,308,Sync!$C$6)&amp;"",""))</f>
        <v/>
      </c>
      <c r="F2559" s="23" t="str">
        <f aca="false">IF(B2559="","","outreach_sent")</f>
        <v/>
      </c>
      <c r="G2559" s="23" t="str">
        <f aca="false">IF(B2559="","","")</f>
        <v/>
      </c>
      <c r="H2559" s="23" t="str">
        <f aca="false">IF(B2559="","","")</f>
        <v/>
      </c>
      <c r="I2559" s="23" t="str">
        <f aca="false">IF(B2559="","","")</f>
        <v/>
      </c>
      <c r="J2559" s="23" t="str">
        <f aca="false">IF(B2559="","","touch_2; "&amp;IFERROR(INDEX(Clay_Offices!$A$2:$FZ$601,308,Sync!$C$10)&amp;"","")&amp;"; "&amp;IFERROR(INDEX(Clay_Offices!$A$2:$FZ$601,308,Sync!$C$9)&amp;"",""))</f>
        <v/>
      </c>
      <c r="K2559" s="32" t="s">
        <v>1364</v>
      </c>
    </row>
    <row r="2560" customFormat="false" ht="15" hidden="false" customHeight="false" outlineLevel="0" collapsed="false">
      <c r="A2560" s="23" t="str">
        <f aca="false">IF(B2560="","",B2560+(13*1000+309)/10000000)</f>
        <v/>
      </c>
      <c r="B2560" s="35" t="str">
        <f aca="false">IF(AND(IFERROR(N(INDEX(Clay_Offices!$A$2:$FZ$601,309,Sync!$C$12)),0)&gt;0,IFERROR(INDEX(Clay_Offices!$A$2:$FZ$601,309,Sync!$C$5)&amp;"","")&lt;&gt;"",OR(LEFT(IFERROR(INDEX(Clay_Offices!$A$2:$FZ$601,309,Sync!$C$5)&amp;"",""),6)&lt;&gt;"SAMPLE",Config!$B$19="Y")),IFERROR(N(INDEX(Clay_Offices!$A$2:$FZ$601,309,Sync!$C$12)),0),"")</f>
        <v/>
      </c>
      <c r="C2560" s="23" t="str">
        <f aca="false">IF(B2560="","","office")</f>
        <v/>
      </c>
      <c r="D2560" s="23" t="str">
        <f aca="false">IF(B2560="","",IFERROR(INDEX(Office_Log!$ED$2:$ED$201,MATCH(IFERROR(INDEX(Clay_Offices!$A$2:$FZ$601,309,Sync!$C$5)&amp;"",""),Office_Log!$A$2:$A$201,0))&amp;"",IFERROR(INDEX(Clay_Offices!$A$2:$FZ$601,309,Sync!$C$5)&amp;"","")&amp;""))</f>
        <v/>
      </c>
      <c r="E2560" s="23" t="str">
        <f aca="false">IF(B2560="","",IFERROR(INDEX(Clay_Offices!$A$2:$FZ$601,309,Sync!$C$6)&amp;"",""))</f>
        <v/>
      </c>
      <c r="F2560" s="23" t="str">
        <f aca="false">IF(B2560="","","outreach_sent")</f>
        <v/>
      </c>
      <c r="G2560" s="23" t="str">
        <f aca="false">IF(B2560="","","")</f>
        <v/>
      </c>
      <c r="H2560" s="23" t="str">
        <f aca="false">IF(B2560="","","")</f>
        <v/>
      </c>
      <c r="I2560" s="23" t="str">
        <f aca="false">IF(B2560="","","")</f>
        <v/>
      </c>
      <c r="J2560" s="23" t="str">
        <f aca="false">IF(B2560="","","touch_2; "&amp;IFERROR(INDEX(Clay_Offices!$A$2:$FZ$601,309,Sync!$C$10)&amp;"","")&amp;"; "&amp;IFERROR(INDEX(Clay_Offices!$A$2:$FZ$601,309,Sync!$C$9)&amp;"",""))</f>
        <v/>
      </c>
      <c r="K2560" s="32" t="s">
        <v>1364</v>
      </c>
    </row>
    <row r="2561" customFormat="false" ht="15" hidden="false" customHeight="false" outlineLevel="0" collapsed="false">
      <c r="A2561" s="23" t="str">
        <f aca="false">IF(B2561="","",B2561+(13*1000+310)/10000000)</f>
        <v/>
      </c>
      <c r="B2561" s="35" t="str">
        <f aca="false">IF(AND(IFERROR(N(INDEX(Clay_Offices!$A$2:$FZ$601,310,Sync!$C$12)),0)&gt;0,IFERROR(INDEX(Clay_Offices!$A$2:$FZ$601,310,Sync!$C$5)&amp;"","")&lt;&gt;"",OR(LEFT(IFERROR(INDEX(Clay_Offices!$A$2:$FZ$601,310,Sync!$C$5)&amp;"",""),6)&lt;&gt;"SAMPLE",Config!$B$19="Y")),IFERROR(N(INDEX(Clay_Offices!$A$2:$FZ$601,310,Sync!$C$12)),0),"")</f>
        <v/>
      </c>
      <c r="C2561" s="23" t="str">
        <f aca="false">IF(B2561="","","office")</f>
        <v/>
      </c>
      <c r="D2561" s="23" t="str">
        <f aca="false">IF(B2561="","",IFERROR(INDEX(Office_Log!$ED$2:$ED$201,MATCH(IFERROR(INDEX(Clay_Offices!$A$2:$FZ$601,310,Sync!$C$5)&amp;"",""),Office_Log!$A$2:$A$201,0))&amp;"",IFERROR(INDEX(Clay_Offices!$A$2:$FZ$601,310,Sync!$C$5)&amp;"","")&amp;""))</f>
        <v/>
      </c>
      <c r="E2561" s="23" t="str">
        <f aca="false">IF(B2561="","",IFERROR(INDEX(Clay_Offices!$A$2:$FZ$601,310,Sync!$C$6)&amp;"",""))</f>
        <v/>
      </c>
      <c r="F2561" s="23" t="str">
        <f aca="false">IF(B2561="","","outreach_sent")</f>
        <v/>
      </c>
      <c r="G2561" s="23" t="str">
        <f aca="false">IF(B2561="","","")</f>
        <v/>
      </c>
      <c r="H2561" s="23" t="str">
        <f aca="false">IF(B2561="","","")</f>
        <v/>
      </c>
      <c r="I2561" s="23" t="str">
        <f aca="false">IF(B2561="","","")</f>
        <v/>
      </c>
      <c r="J2561" s="23" t="str">
        <f aca="false">IF(B2561="","","touch_2; "&amp;IFERROR(INDEX(Clay_Offices!$A$2:$FZ$601,310,Sync!$C$10)&amp;"","")&amp;"; "&amp;IFERROR(INDEX(Clay_Offices!$A$2:$FZ$601,310,Sync!$C$9)&amp;"",""))</f>
        <v/>
      </c>
      <c r="K2561" s="32" t="s">
        <v>1364</v>
      </c>
    </row>
    <row r="2562" customFormat="false" ht="15" hidden="false" customHeight="false" outlineLevel="0" collapsed="false">
      <c r="A2562" s="23" t="str">
        <f aca="false">IF(B2562="","",B2562+(13*1000+311)/10000000)</f>
        <v/>
      </c>
      <c r="B2562" s="35" t="str">
        <f aca="false">IF(AND(IFERROR(N(INDEX(Clay_Offices!$A$2:$FZ$601,311,Sync!$C$12)),0)&gt;0,IFERROR(INDEX(Clay_Offices!$A$2:$FZ$601,311,Sync!$C$5)&amp;"","")&lt;&gt;"",OR(LEFT(IFERROR(INDEX(Clay_Offices!$A$2:$FZ$601,311,Sync!$C$5)&amp;"",""),6)&lt;&gt;"SAMPLE",Config!$B$19="Y")),IFERROR(N(INDEX(Clay_Offices!$A$2:$FZ$601,311,Sync!$C$12)),0),"")</f>
        <v/>
      </c>
      <c r="C2562" s="23" t="str">
        <f aca="false">IF(B2562="","","office")</f>
        <v/>
      </c>
      <c r="D2562" s="23" t="str">
        <f aca="false">IF(B2562="","",IFERROR(INDEX(Office_Log!$ED$2:$ED$201,MATCH(IFERROR(INDEX(Clay_Offices!$A$2:$FZ$601,311,Sync!$C$5)&amp;"",""),Office_Log!$A$2:$A$201,0))&amp;"",IFERROR(INDEX(Clay_Offices!$A$2:$FZ$601,311,Sync!$C$5)&amp;"","")&amp;""))</f>
        <v/>
      </c>
      <c r="E2562" s="23" t="str">
        <f aca="false">IF(B2562="","",IFERROR(INDEX(Clay_Offices!$A$2:$FZ$601,311,Sync!$C$6)&amp;"",""))</f>
        <v/>
      </c>
      <c r="F2562" s="23" t="str">
        <f aca="false">IF(B2562="","","outreach_sent")</f>
        <v/>
      </c>
      <c r="G2562" s="23" t="str">
        <f aca="false">IF(B2562="","","")</f>
        <v/>
      </c>
      <c r="H2562" s="23" t="str">
        <f aca="false">IF(B2562="","","")</f>
        <v/>
      </c>
      <c r="I2562" s="23" t="str">
        <f aca="false">IF(B2562="","","")</f>
        <v/>
      </c>
      <c r="J2562" s="23" t="str">
        <f aca="false">IF(B2562="","","touch_2; "&amp;IFERROR(INDEX(Clay_Offices!$A$2:$FZ$601,311,Sync!$C$10)&amp;"","")&amp;"; "&amp;IFERROR(INDEX(Clay_Offices!$A$2:$FZ$601,311,Sync!$C$9)&amp;"",""))</f>
        <v/>
      </c>
      <c r="K2562" s="32" t="s">
        <v>1364</v>
      </c>
    </row>
    <row r="2563" customFormat="false" ht="15" hidden="false" customHeight="false" outlineLevel="0" collapsed="false">
      <c r="A2563" s="23" t="str">
        <f aca="false">IF(B2563="","",B2563+(13*1000+312)/10000000)</f>
        <v/>
      </c>
      <c r="B2563" s="35" t="str">
        <f aca="false">IF(AND(IFERROR(N(INDEX(Clay_Offices!$A$2:$FZ$601,312,Sync!$C$12)),0)&gt;0,IFERROR(INDEX(Clay_Offices!$A$2:$FZ$601,312,Sync!$C$5)&amp;"","")&lt;&gt;"",OR(LEFT(IFERROR(INDEX(Clay_Offices!$A$2:$FZ$601,312,Sync!$C$5)&amp;"",""),6)&lt;&gt;"SAMPLE",Config!$B$19="Y")),IFERROR(N(INDEX(Clay_Offices!$A$2:$FZ$601,312,Sync!$C$12)),0),"")</f>
        <v/>
      </c>
      <c r="C2563" s="23" t="str">
        <f aca="false">IF(B2563="","","office")</f>
        <v/>
      </c>
      <c r="D2563" s="23" t="str">
        <f aca="false">IF(B2563="","",IFERROR(INDEX(Office_Log!$ED$2:$ED$201,MATCH(IFERROR(INDEX(Clay_Offices!$A$2:$FZ$601,312,Sync!$C$5)&amp;"",""),Office_Log!$A$2:$A$201,0))&amp;"",IFERROR(INDEX(Clay_Offices!$A$2:$FZ$601,312,Sync!$C$5)&amp;"","")&amp;""))</f>
        <v/>
      </c>
      <c r="E2563" s="23" t="str">
        <f aca="false">IF(B2563="","",IFERROR(INDEX(Clay_Offices!$A$2:$FZ$601,312,Sync!$C$6)&amp;"",""))</f>
        <v/>
      </c>
      <c r="F2563" s="23" t="str">
        <f aca="false">IF(B2563="","","outreach_sent")</f>
        <v/>
      </c>
      <c r="G2563" s="23" t="str">
        <f aca="false">IF(B2563="","","")</f>
        <v/>
      </c>
      <c r="H2563" s="23" t="str">
        <f aca="false">IF(B2563="","","")</f>
        <v/>
      </c>
      <c r="I2563" s="23" t="str">
        <f aca="false">IF(B2563="","","")</f>
        <v/>
      </c>
      <c r="J2563" s="23" t="str">
        <f aca="false">IF(B2563="","","touch_2; "&amp;IFERROR(INDEX(Clay_Offices!$A$2:$FZ$601,312,Sync!$C$10)&amp;"","")&amp;"; "&amp;IFERROR(INDEX(Clay_Offices!$A$2:$FZ$601,312,Sync!$C$9)&amp;"",""))</f>
        <v/>
      </c>
      <c r="K2563" s="32" t="s">
        <v>1364</v>
      </c>
    </row>
    <row r="2564" customFormat="false" ht="15" hidden="false" customHeight="false" outlineLevel="0" collapsed="false">
      <c r="A2564" s="23" t="str">
        <f aca="false">IF(B2564="","",B2564+(13*1000+313)/10000000)</f>
        <v/>
      </c>
      <c r="B2564" s="35" t="str">
        <f aca="false">IF(AND(IFERROR(N(INDEX(Clay_Offices!$A$2:$FZ$601,313,Sync!$C$12)),0)&gt;0,IFERROR(INDEX(Clay_Offices!$A$2:$FZ$601,313,Sync!$C$5)&amp;"","")&lt;&gt;"",OR(LEFT(IFERROR(INDEX(Clay_Offices!$A$2:$FZ$601,313,Sync!$C$5)&amp;"",""),6)&lt;&gt;"SAMPLE",Config!$B$19="Y")),IFERROR(N(INDEX(Clay_Offices!$A$2:$FZ$601,313,Sync!$C$12)),0),"")</f>
        <v/>
      </c>
      <c r="C2564" s="23" t="str">
        <f aca="false">IF(B2564="","","office")</f>
        <v/>
      </c>
      <c r="D2564" s="23" t="str">
        <f aca="false">IF(B2564="","",IFERROR(INDEX(Office_Log!$ED$2:$ED$201,MATCH(IFERROR(INDEX(Clay_Offices!$A$2:$FZ$601,313,Sync!$C$5)&amp;"",""),Office_Log!$A$2:$A$201,0))&amp;"",IFERROR(INDEX(Clay_Offices!$A$2:$FZ$601,313,Sync!$C$5)&amp;"","")&amp;""))</f>
        <v/>
      </c>
      <c r="E2564" s="23" t="str">
        <f aca="false">IF(B2564="","",IFERROR(INDEX(Clay_Offices!$A$2:$FZ$601,313,Sync!$C$6)&amp;"",""))</f>
        <v/>
      </c>
      <c r="F2564" s="23" t="str">
        <f aca="false">IF(B2564="","","outreach_sent")</f>
        <v/>
      </c>
      <c r="G2564" s="23" t="str">
        <f aca="false">IF(B2564="","","")</f>
        <v/>
      </c>
      <c r="H2564" s="23" t="str">
        <f aca="false">IF(B2564="","","")</f>
        <v/>
      </c>
      <c r="I2564" s="23" t="str">
        <f aca="false">IF(B2564="","","")</f>
        <v/>
      </c>
      <c r="J2564" s="23" t="str">
        <f aca="false">IF(B2564="","","touch_2; "&amp;IFERROR(INDEX(Clay_Offices!$A$2:$FZ$601,313,Sync!$C$10)&amp;"","")&amp;"; "&amp;IFERROR(INDEX(Clay_Offices!$A$2:$FZ$601,313,Sync!$C$9)&amp;"",""))</f>
        <v/>
      </c>
      <c r="K2564" s="32" t="s">
        <v>1364</v>
      </c>
    </row>
    <row r="2565" customFormat="false" ht="15" hidden="false" customHeight="false" outlineLevel="0" collapsed="false">
      <c r="A2565" s="23" t="str">
        <f aca="false">IF(B2565="","",B2565+(13*1000+314)/10000000)</f>
        <v/>
      </c>
      <c r="B2565" s="35" t="str">
        <f aca="false">IF(AND(IFERROR(N(INDEX(Clay_Offices!$A$2:$FZ$601,314,Sync!$C$12)),0)&gt;0,IFERROR(INDEX(Clay_Offices!$A$2:$FZ$601,314,Sync!$C$5)&amp;"","")&lt;&gt;"",OR(LEFT(IFERROR(INDEX(Clay_Offices!$A$2:$FZ$601,314,Sync!$C$5)&amp;"",""),6)&lt;&gt;"SAMPLE",Config!$B$19="Y")),IFERROR(N(INDEX(Clay_Offices!$A$2:$FZ$601,314,Sync!$C$12)),0),"")</f>
        <v/>
      </c>
      <c r="C2565" s="23" t="str">
        <f aca="false">IF(B2565="","","office")</f>
        <v/>
      </c>
      <c r="D2565" s="23" t="str">
        <f aca="false">IF(B2565="","",IFERROR(INDEX(Office_Log!$ED$2:$ED$201,MATCH(IFERROR(INDEX(Clay_Offices!$A$2:$FZ$601,314,Sync!$C$5)&amp;"",""),Office_Log!$A$2:$A$201,0))&amp;"",IFERROR(INDEX(Clay_Offices!$A$2:$FZ$601,314,Sync!$C$5)&amp;"","")&amp;""))</f>
        <v/>
      </c>
      <c r="E2565" s="23" t="str">
        <f aca="false">IF(B2565="","",IFERROR(INDEX(Clay_Offices!$A$2:$FZ$601,314,Sync!$C$6)&amp;"",""))</f>
        <v/>
      </c>
      <c r="F2565" s="23" t="str">
        <f aca="false">IF(B2565="","","outreach_sent")</f>
        <v/>
      </c>
      <c r="G2565" s="23" t="str">
        <f aca="false">IF(B2565="","","")</f>
        <v/>
      </c>
      <c r="H2565" s="23" t="str">
        <f aca="false">IF(B2565="","","")</f>
        <v/>
      </c>
      <c r="I2565" s="23" t="str">
        <f aca="false">IF(B2565="","","")</f>
        <v/>
      </c>
      <c r="J2565" s="23" t="str">
        <f aca="false">IF(B2565="","","touch_2; "&amp;IFERROR(INDEX(Clay_Offices!$A$2:$FZ$601,314,Sync!$C$10)&amp;"","")&amp;"; "&amp;IFERROR(INDEX(Clay_Offices!$A$2:$FZ$601,314,Sync!$C$9)&amp;"",""))</f>
        <v/>
      </c>
      <c r="K2565" s="32" t="s">
        <v>1364</v>
      </c>
    </row>
    <row r="2566" customFormat="false" ht="15" hidden="false" customHeight="false" outlineLevel="0" collapsed="false">
      <c r="A2566" s="23" t="str">
        <f aca="false">IF(B2566="","",B2566+(13*1000+315)/10000000)</f>
        <v/>
      </c>
      <c r="B2566" s="35" t="str">
        <f aca="false">IF(AND(IFERROR(N(INDEX(Clay_Offices!$A$2:$FZ$601,315,Sync!$C$12)),0)&gt;0,IFERROR(INDEX(Clay_Offices!$A$2:$FZ$601,315,Sync!$C$5)&amp;"","")&lt;&gt;"",OR(LEFT(IFERROR(INDEX(Clay_Offices!$A$2:$FZ$601,315,Sync!$C$5)&amp;"",""),6)&lt;&gt;"SAMPLE",Config!$B$19="Y")),IFERROR(N(INDEX(Clay_Offices!$A$2:$FZ$601,315,Sync!$C$12)),0),"")</f>
        <v/>
      </c>
      <c r="C2566" s="23" t="str">
        <f aca="false">IF(B2566="","","office")</f>
        <v/>
      </c>
      <c r="D2566" s="23" t="str">
        <f aca="false">IF(B2566="","",IFERROR(INDEX(Office_Log!$ED$2:$ED$201,MATCH(IFERROR(INDEX(Clay_Offices!$A$2:$FZ$601,315,Sync!$C$5)&amp;"",""),Office_Log!$A$2:$A$201,0))&amp;"",IFERROR(INDEX(Clay_Offices!$A$2:$FZ$601,315,Sync!$C$5)&amp;"","")&amp;""))</f>
        <v/>
      </c>
      <c r="E2566" s="23" t="str">
        <f aca="false">IF(B2566="","",IFERROR(INDEX(Clay_Offices!$A$2:$FZ$601,315,Sync!$C$6)&amp;"",""))</f>
        <v/>
      </c>
      <c r="F2566" s="23" t="str">
        <f aca="false">IF(B2566="","","outreach_sent")</f>
        <v/>
      </c>
      <c r="G2566" s="23" t="str">
        <f aca="false">IF(B2566="","","")</f>
        <v/>
      </c>
      <c r="H2566" s="23" t="str">
        <f aca="false">IF(B2566="","","")</f>
        <v/>
      </c>
      <c r="I2566" s="23" t="str">
        <f aca="false">IF(B2566="","","")</f>
        <v/>
      </c>
      <c r="J2566" s="23" t="str">
        <f aca="false">IF(B2566="","","touch_2; "&amp;IFERROR(INDEX(Clay_Offices!$A$2:$FZ$601,315,Sync!$C$10)&amp;"","")&amp;"; "&amp;IFERROR(INDEX(Clay_Offices!$A$2:$FZ$601,315,Sync!$C$9)&amp;"",""))</f>
        <v/>
      </c>
      <c r="K2566" s="32" t="s">
        <v>1364</v>
      </c>
    </row>
    <row r="2567" customFormat="false" ht="15" hidden="false" customHeight="false" outlineLevel="0" collapsed="false">
      <c r="A2567" s="23" t="str">
        <f aca="false">IF(B2567="","",B2567+(13*1000+316)/10000000)</f>
        <v/>
      </c>
      <c r="B2567" s="35" t="str">
        <f aca="false">IF(AND(IFERROR(N(INDEX(Clay_Offices!$A$2:$FZ$601,316,Sync!$C$12)),0)&gt;0,IFERROR(INDEX(Clay_Offices!$A$2:$FZ$601,316,Sync!$C$5)&amp;"","")&lt;&gt;"",OR(LEFT(IFERROR(INDEX(Clay_Offices!$A$2:$FZ$601,316,Sync!$C$5)&amp;"",""),6)&lt;&gt;"SAMPLE",Config!$B$19="Y")),IFERROR(N(INDEX(Clay_Offices!$A$2:$FZ$601,316,Sync!$C$12)),0),"")</f>
        <v/>
      </c>
      <c r="C2567" s="23" t="str">
        <f aca="false">IF(B2567="","","office")</f>
        <v/>
      </c>
      <c r="D2567" s="23" t="str">
        <f aca="false">IF(B2567="","",IFERROR(INDEX(Office_Log!$ED$2:$ED$201,MATCH(IFERROR(INDEX(Clay_Offices!$A$2:$FZ$601,316,Sync!$C$5)&amp;"",""),Office_Log!$A$2:$A$201,0))&amp;"",IFERROR(INDEX(Clay_Offices!$A$2:$FZ$601,316,Sync!$C$5)&amp;"","")&amp;""))</f>
        <v/>
      </c>
      <c r="E2567" s="23" t="str">
        <f aca="false">IF(B2567="","",IFERROR(INDEX(Clay_Offices!$A$2:$FZ$601,316,Sync!$C$6)&amp;"",""))</f>
        <v/>
      </c>
      <c r="F2567" s="23" t="str">
        <f aca="false">IF(B2567="","","outreach_sent")</f>
        <v/>
      </c>
      <c r="G2567" s="23" t="str">
        <f aca="false">IF(B2567="","","")</f>
        <v/>
      </c>
      <c r="H2567" s="23" t="str">
        <f aca="false">IF(B2567="","","")</f>
        <v/>
      </c>
      <c r="I2567" s="23" t="str">
        <f aca="false">IF(B2567="","","")</f>
        <v/>
      </c>
      <c r="J2567" s="23" t="str">
        <f aca="false">IF(B2567="","","touch_2; "&amp;IFERROR(INDEX(Clay_Offices!$A$2:$FZ$601,316,Sync!$C$10)&amp;"","")&amp;"; "&amp;IFERROR(INDEX(Clay_Offices!$A$2:$FZ$601,316,Sync!$C$9)&amp;"",""))</f>
        <v/>
      </c>
      <c r="K2567" s="32" t="s">
        <v>1364</v>
      </c>
    </row>
    <row r="2568" customFormat="false" ht="15" hidden="false" customHeight="false" outlineLevel="0" collapsed="false">
      <c r="A2568" s="23" t="str">
        <f aca="false">IF(B2568="","",B2568+(13*1000+317)/10000000)</f>
        <v/>
      </c>
      <c r="B2568" s="35" t="str">
        <f aca="false">IF(AND(IFERROR(N(INDEX(Clay_Offices!$A$2:$FZ$601,317,Sync!$C$12)),0)&gt;0,IFERROR(INDEX(Clay_Offices!$A$2:$FZ$601,317,Sync!$C$5)&amp;"","")&lt;&gt;"",OR(LEFT(IFERROR(INDEX(Clay_Offices!$A$2:$FZ$601,317,Sync!$C$5)&amp;"",""),6)&lt;&gt;"SAMPLE",Config!$B$19="Y")),IFERROR(N(INDEX(Clay_Offices!$A$2:$FZ$601,317,Sync!$C$12)),0),"")</f>
        <v/>
      </c>
      <c r="C2568" s="23" t="str">
        <f aca="false">IF(B2568="","","office")</f>
        <v/>
      </c>
      <c r="D2568" s="23" t="str">
        <f aca="false">IF(B2568="","",IFERROR(INDEX(Office_Log!$ED$2:$ED$201,MATCH(IFERROR(INDEX(Clay_Offices!$A$2:$FZ$601,317,Sync!$C$5)&amp;"",""),Office_Log!$A$2:$A$201,0))&amp;"",IFERROR(INDEX(Clay_Offices!$A$2:$FZ$601,317,Sync!$C$5)&amp;"","")&amp;""))</f>
        <v/>
      </c>
      <c r="E2568" s="23" t="str">
        <f aca="false">IF(B2568="","",IFERROR(INDEX(Clay_Offices!$A$2:$FZ$601,317,Sync!$C$6)&amp;"",""))</f>
        <v/>
      </c>
      <c r="F2568" s="23" t="str">
        <f aca="false">IF(B2568="","","outreach_sent")</f>
        <v/>
      </c>
      <c r="G2568" s="23" t="str">
        <f aca="false">IF(B2568="","","")</f>
        <v/>
      </c>
      <c r="H2568" s="23" t="str">
        <f aca="false">IF(B2568="","","")</f>
        <v/>
      </c>
      <c r="I2568" s="23" t="str">
        <f aca="false">IF(B2568="","","")</f>
        <v/>
      </c>
      <c r="J2568" s="23" t="str">
        <f aca="false">IF(B2568="","","touch_2; "&amp;IFERROR(INDEX(Clay_Offices!$A$2:$FZ$601,317,Sync!$C$10)&amp;"","")&amp;"; "&amp;IFERROR(INDEX(Clay_Offices!$A$2:$FZ$601,317,Sync!$C$9)&amp;"",""))</f>
        <v/>
      </c>
      <c r="K2568" s="32" t="s">
        <v>1364</v>
      </c>
    </row>
    <row r="2569" customFormat="false" ht="15" hidden="false" customHeight="false" outlineLevel="0" collapsed="false">
      <c r="A2569" s="23" t="str">
        <f aca="false">IF(B2569="","",B2569+(13*1000+318)/10000000)</f>
        <v/>
      </c>
      <c r="B2569" s="35" t="str">
        <f aca="false">IF(AND(IFERROR(N(INDEX(Clay_Offices!$A$2:$FZ$601,318,Sync!$C$12)),0)&gt;0,IFERROR(INDEX(Clay_Offices!$A$2:$FZ$601,318,Sync!$C$5)&amp;"","")&lt;&gt;"",OR(LEFT(IFERROR(INDEX(Clay_Offices!$A$2:$FZ$601,318,Sync!$C$5)&amp;"",""),6)&lt;&gt;"SAMPLE",Config!$B$19="Y")),IFERROR(N(INDEX(Clay_Offices!$A$2:$FZ$601,318,Sync!$C$12)),0),"")</f>
        <v/>
      </c>
      <c r="C2569" s="23" t="str">
        <f aca="false">IF(B2569="","","office")</f>
        <v/>
      </c>
      <c r="D2569" s="23" t="str">
        <f aca="false">IF(B2569="","",IFERROR(INDEX(Office_Log!$ED$2:$ED$201,MATCH(IFERROR(INDEX(Clay_Offices!$A$2:$FZ$601,318,Sync!$C$5)&amp;"",""),Office_Log!$A$2:$A$201,0))&amp;"",IFERROR(INDEX(Clay_Offices!$A$2:$FZ$601,318,Sync!$C$5)&amp;"","")&amp;""))</f>
        <v/>
      </c>
      <c r="E2569" s="23" t="str">
        <f aca="false">IF(B2569="","",IFERROR(INDEX(Clay_Offices!$A$2:$FZ$601,318,Sync!$C$6)&amp;"",""))</f>
        <v/>
      </c>
      <c r="F2569" s="23" t="str">
        <f aca="false">IF(B2569="","","outreach_sent")</f>
        <v/>
      </c>
      <c r="G2569" s="23" t="str">
        <f aca="false">IF(B2569="","","")</f>
        <v/>
      </c>
      <c r="H2569" s="23" t="str">
        <f aca="false">IF(B2569="","","")</f>
        <v/>
      </c>
      <c r="I2569" s="23" t="str">
        <f aca="false">IF(B2569="","","")</f>
        <v/>
      </c>
      <c r="J2569" s="23" t="str">
        <f aca="false">IF(B2569="","","touch_2; "&amp;IFERROR(INDEX(Clay_Offices!$A$2:$FZ$601,318,Sync!$C$10)&amp;"","")&amp;"; "&amp;IFERROR(INDEX(Clay_Offices!$A$2:$FZ$601,318,Sync!$C$9)&amp;"",""))</f>
        <v/>
      </c>
      <c r="K2569" s="32" t="s">
        <v>1364</v>
      </c>
    </row>
    <row r="2570" customFormat="false" ht="15" hidden="false" customHeight="false" outlineLevel="0" collapsed="false">
      <c r="A2570" s="23" t="str">
        <f aca="false">IF(B2570="","",B2570+(13*1000+319)/10000000)</f>
        <v/>
      </c>
      <c r="B2570" s="35" t="str">
        <f aca="false">IF(AND(IFERROR(N(INDEX(Clay_Offices!$A$2:$FZ$601,319,Sync!$C$12)),0)&gt;0,IFERROR(INDEX(Clay_Offices!$A$2:$FZ$601,319,Sync!$C$5)&amp;"","")&lt;&gt;"",OR(LEFT(IFERROR(INDEX(Clay_Offices!$A$2:$FZ$601,319,Sync!$C$5)&amp;"",""),6)&lt;&gt;"SAMPLE",Config!$B$19="Y")),IFERROR(N(INDEX(Clay_Offices!$A$2:$FZ$601,319,Sync!$C$12)),0),"")</f>
        <v/>
      </c>
      <c r="C2570" s="23" t="str">
        <f aca="false">IF(B2570="","","office")</f>
        <v/>
      </c>
      <c r="D2570" s="23" t="str">
        <f aca="false">IF(B2570="","",IFERROR(INDEX(Office_Log!$ED$2:$ED$201,MATCH(IFERROR(INDEX(Clay_Offices!$A$2:$FZ$601,319,Sync!$C$5)&amp;"",""),Office_Log!$A$2:$A$201,0))&amp;"",IFERROR(INDEX(Clay_Offices!$A$2:$FZ$601,319,Sync!$C$5)&amp;"","")&amp;""))</f>
        <v/>
      </c>
      <c r="E2570" s="23" t="str">
        <f aca="false">IF(B2570="","",IFERROR(INDEX(Clay_Offices!$A$2:$FZ$601,319,Sync!$C$6)&amp;"",""))</f>
        <v/>
      </c>
      <c r="F2570" s="23" t="str">
        <f aca="false">IF(B2570="","","outreach_sent")</f>
        <v/>
      </c>
      <c r="G2570" s="23" t="str">
        <f aca="false">IF(B2570="","","")</f>
        <v/>
      </c>
      <c r="H2570" s="23" t="str">
        <f aca="false">IF(B2570="","","")</f>
        <v/>
      </c>
      <c r="I2570" s="23" t="str">
        <f aca="false">IF(B2570="","","")</f>
        <v/>
      </c>
      <c r="J2570" s="23" t="str">
        <f aca="false">IF(B2570="","","touch_2; "&amp;IFERROR(INDEX(Clay_Offices!$A$2:$FZ$601,319,Sync!$C$10)&amp;"","")&amp;"; "&amp;IFERROR(INDEX(Clay_Offices!$A$2:$FZ$601,319,Sync!$C$9)&amp;"",""))</f>
        <v/>
      </c>
      <c r="K2570" s="32" t="s">
        <v>1364</v>
      </c>
    </row>
    <row r="2571" customFormat="false" ht="15" hidden="false" customHeight="false" outlineLevel="0" collapsed="false">
      <c r="A2571" s="23" t="str">
        <f aca="false">IF(B2571="","",B2571+(13*1000+320)/10000000)</f>
        <v/>
      </c>
      <c r="B2571" s="35" t="str">
        <f aca="false">IF(AND(IFERROR(N(INDEX(Clay_Offices!$A$2:$FZ$601,320,Sync!$C$12)),0)&gt;0,IFERROR(INDEX(Clay_Offices!$A$2:$FZ$601,320,Sync!$C$5)&amp;"","")&lt;&gt;"",OR(LEFT(IFERROR(INDEX(Clay_Offices!$A$2:$FZ$601,320,Sync!$C$5)&amp;"",""),6)&lt;&gt;"SAMPLE",Config!$B$19="Y")),IFERROR(N(INDEX(Clay_Offices!$A$2:$FZ$601,320,Sync!$C$12)),0),"")</f>
        <v/>
      </c>
      <c r="C2571" s="23" t="str">
        <f aca="false">IF(B2571="","","office")</f>
        <v/>
      </c>
      <c r="D2571" s="23" t="str">
        <f aca="false">IF(B2571="","",IFERROR(INDEX(Office_Log!$ED$2:$ED$201,MATCH(IFERROR(INDEX(Clay_Offices!$A$2:$FZ$601,320,Sync!$C$5)&amp;"",""),Office_Log!$A$2:$A$201,0))&amp;"",IFERROR(INDEX(Clay_Offices!$A$2:$FZ$601,320,Sync!$C$5)&amp;"","")&amp;""))</f>
        <v/>
      </c>
      <c r="E2571" s="23" t="str">
        <f aca="false">IF(B2571="","",IFERROR(INDEX(Clay_Offices!$A$2:$FZ$601,320,Sync!$C$6)&amp;"",""))</f>
        <v/>
      </c>
      <c r="F2571" s="23" t="str">
        <f aca="false">IF(B2571="","","outreach_sent")</f>
        <v/>
      </c>
      <c r="G2571" s="23" t="str">
        <f aca="false">IF(B2571="","","")</f>
        <v/>
      </c>
      <c r="H2571" s="23" t="str">
        <f aca="false">IF(B2571="","","")</f>
        <v/>
      </c>
      <c r="I2571" s="23" t="str">
        <f aca="false">IF(B2571="","","")</f>
        <v/>
      </c>
      <c r="J2571" s="23" t="str">
        <f aca="false">IF(B2571="","","touch_2; "&amp;IFERROR(INDEX(Clay_Offices!$A$2:$FZ$601,320,Sync!$C$10)&amp;"","")&amp;"; "&amp;IFERROR(INDEX(Clay_Offices!$A$2:$FZ$601,320,Sync!$C$9)&amp;"",""))</f>
        <v/>
      </c>
      <c r="K2571" s="32" t="s">
        <v>1364</v>
      </c>
    </row>
    <row r="2572" customFormat="false" ht="15" hidden="false" customHeight="false" outlineLevel="0" collapsed="false">
      <c r="A2572" s="23" t="str">
        <f aca="false">IF(B2572="","",B2572+(13*1000+321)/10000000)</f>
        <v/>
      </c>
      <c r="B2572" s="35" t="str">
        <f aca="false">IF(AND(IFERROR(N(INDEX(Clay_Offices!$A$2:$FZ$601,321,Sync!$C$12)),0)&gt;0,IFERROR(INDEX(Clay_Offices!$A$2:$FZ$601,321,Sync!$C$5)&amp;"","")&lt;&gt;"",OR(LEFT(IFERROR(INDEX(Clay_Offices!$A$2:$FZ$601,321,Sync!$C$5)&amp;"",""),6)&lt;&gt;"SAMPLE",Config!$B$19="Y")),IFERROR(N(INDEX(Clay_Offices!$A$2:$FZ$601,321,Sync!$C$12)),0),"")</f>
        <v/>
      </c>
      <c r="C2572" s="23" t="str">
        <f aca="false">IF(B2572="","","office")</f>
        <v/>
      </c>
      <c r="D2572" s="23" t="str">
        <f aca="false">IF(B2572="","",IFERROR(INDEX(Office_Log!$ED$2:$ED$201,MATCH(IFERROR(INDEX(Clay_Offices!$A$2:$FZ$601,321,Sync!$C$5)&amp;"",""),Office_Log!$A$2:$A$201,0))&amp;"",IFERROR(INDEX(Clay_Offices!$A$2:$FZ$601,321,Sync!$C$5)&amp;"","")&amp;""))</f>
        <v/>
      </c>
      <c r="E2572" s="23" t="str">
        <f aca="false">IF(B2572="","",IFERROR(INDEX(Clay_Offices!$A$2:$FZ$601,321,Sync!$C$6)&amp;"",""))</f>
        <v/>
      </c>
      <c r="F2572" s="23" t="str">
        <f aca="false">IF(B2572="","","outreach_sent")</f>
        <v/>
      </c>
      <c r="G2572" s="23" t="str">
        <f aca="false">IF(B2572="","","")</f>
        <v/>
      </c>
      <c r="H2572" s="23" t="str">
        <f aca="false">IF(B2572="","","")</f>
        <v/>
      </c>
      <c r="I2572" s="23" t="str">
        <f aca="false">IF(B2572="","","")</f>
        <v/>
      </c>
      <c r="J2572" s="23" t="str">
        <f aca="false">IF(B2572="","","touch_2; "&amp;IFERROR(INDEX(Clay_Offices!$A$2:$FZ$601,321,Sync!$C$10)&amp;"","")&amp;"; "&amp;IFERROR(INDEX(Clay_Offices!$A$2:$FZ$601,321,Sync!$C$9)&amp;"",""))</f>
        <v/>
      </c>
      <c r="K2572" s="32" t="s">
        <v>1364</v>
      </c>
    </row>
    <row r="2573" customFormat="false" ht="15" hidden="false" customHeight="false" outlineLevel="0" collapsed="false">
      <c r="A2573" s="23" t="str">
        <f aca="false">IF(B2573="","",B2573+(13*1000+322)/10000000)</f>
        <v/>
      </c>
      <c r="B2573" s="35" t="str">
        <f aca="false">IF(AND(IFERROR(N(INDEX(Clay_Offices!$A$2:$FZ$601,322,Sync!$C$12)),0)&gt;0,IFERROR(INDEX(Clay_Offices!$A$2:$FZ$601,322,Sync!$C$5)&amp;"","")&lt;&gt;"",OR(LEFT(IFERROR(INDEX(Clay_Offices!$A$2:$FZ$601,322,Sync!$C$5)&amp;"",""),6)&lt;&gt;"SAMPLE",Config!$B$19="Y")),IFERROR(N(INDEX(Clay_Offices!$A$2:$FZ$601,322,Sync!$C$12)),0),"")</f>
        <v/>
      </c>
      <c r="C2573" s="23" t="str">
        <f aca="false">IF(B2573="","","office")</f>
        <v/>
      </c>
      <c r="D2573" s="23" t="str">
        <f aca="false">IF(B2573="","",IFERROR(INDEX(Office_Log!$ED$2:$ED$201,MATCH(IFERROR(INDEX(Clay_Offices!$A$2:$FZ$601,322,Sync!$C$5)&amp;"",""),Office_Log!$A$2:$A$201,0))&amp;"",IFERROR(INDEX(Clay_Offices!$A$2:$FZ$601,322,Sync!$C$5)&amp;"","")&amp;""))</f>
        <v/>
      </c>
      <c r="E2573" s="23" t="str">
        <f aca="false">IF(B2573="","",IFERROR(INDEX(Clay_Offices!$A$2:$FZ$601,322,Sync!$C$6)&amp;"",""))</f>
        <v/>
      </c>
      <c r="F2573" s="23" t="str">
        <f aca="false">IF(B2573="","","outreach_sent")</f>
        <v/>
      </c>
      <c r="G2573" s="23" t="str">
        <f aca="false">IF(B2573="","","")</f>
        <v/>
      </c>
      <c r="H2573" s="23" t="str">
        <f aca="false">IF(B2573="","","")</f>
        <v/>
      </c>
      <c r="I2573" s="23" t="str">
        <f aca="false">IF(B2573="","","")</f>
        <v/>
      </c>
      <c r="J2573" s="23" t="str">
        <f aca="false">IF(B2573="","","touch_2; "&amp;IFERROR(INDEX(Clay_Offices!$A$2:$FZ$601,322,Sync!$C$10)&amp;"","")&amp;"; "&amp;IFERROR(INDEX(Clay_Offices!$A$2:$FZ$601,322,Sync!$C$9)&amp;"",""))</f>
        <v/>
      </c>
      <c r="K2573" s="32" t="s">
        <v>1364</v>
      </c>
    </row>
    <row r="2574" customFormat="false" ht="15" hidden="false" customHeight="false" outlineLevel="0" collapsed="false">
      <c r="A2574" s="23" t="str">
        <f aca="false">IF(B2574="","",B2574+(13*1000+323)/10000000)</f>
        <v/>
      </c>
      <c r="B2574" s="35" t="str">
        <f aca="false">IF(AND(IFERROR(N(INDEX(Clay_Offices!$A$2:$FZ$601,323,Sync!$C$12)),0)&gt;0,IFERROR(INDEX(Clay_Offices!$A$2:$FZ$601,323,Sync!$C$5)&amp;"","")&lt;&gt;"",OR(LEFT(IFERROR(INDEX(Clay_Offices!$A$2:$FZ$601,323,Sync!$C$5)&amp;"",""),6)&lt;&gt;"SAMPLE",Config!$B$19="Y")),IFERROR(N(INDEX(Clay_Offices!$A$2:$FZ$601,323,Sync!$C$12)),0),"")</f>
        <v/>
      </c>
      <c r="C2574" s="23" t="str">
        <f aca="false">IF(B2574="","","office")</f>
        <v/>
      </c>
      <c r="D2574" s="23" t="str">
        <f aca="false">IF(B2574="","",IFERROR(INDEX(Office_Log!$ED$2:$ED$201,MATCH(IFERROR(INDEX(Clay_Offices!$A$2:$FZ$601,323,Sync!$C$5)&amp;"",""),Office_Log!$A$2:$A$201,0))&amp;"",IFERROR(INDEX(Clay_Offices!$A$2:$FZ$601,323,Sync!$C$5)&amp;"","")&amp;""))</f>
        <v/>
      </c>
      <c r="E2574" s="23" t="str">
        <f aca="false">IF(B2574="","",IFERROR(INDEX(Clay_Offices!$A$2:$FZ$601,323,Sync!$C$6)&amp;"",""))</f>
        <v/>
      </c>
      <c r="F2574" s="23" t="str">
        <f aca="false">IF(B2574="","","outreach_sent")</f>
        <v/>
      </c>
      <c r="G2574" s="23" t="str">
        <f aca="false">IF(B2574="","","")</f>
        <v/>
      </c>
      <c r="H2574" s="23" t="str">
        <f aca="false">IF(B2574="","","")</f>
        <v/>
      </c>
      <c r="I2574" s="23" t="str">
        <f aca="false">IF(B2574="","","")</f>
        <v/>
      </c>
      <c r="J2574" s="23" t="str">
        <f aca="false">IF(B2574="","","touch_2; "&amp;IFERROR(INDEX(Clay_Offices!$A$2:$FZ$601,323,Sync!$C$10)&amp;"","")&amp;"; "&amp;IFERROR(INDEX(Clay_Offices!$A$2:$FZ$601,323,Sync!$C$9)&amp;"",""))</f>
        <v/>
      </c>
      <c r="K2574" s="32" t="s">
        <v>1364</v>
      </c>
    </row>
    <row r="2575" customFormat="false" ht="15" hidden="false" customHeight="false" outlineLevel="0" collapsed="false">
      <c r="A2575" s="23" t="str">
        <f aca="false">IF(B2575="","",B2575+(13*1000+324)/10000000)</f>
        <v/>
      </c>
      <c r="B2575" s="35" t="str">
        <f aca="false">IF(AND(IFERROR(N(INDEX(Clay_Offices!$A$2:$FZ$601,324,Sync!$C$12)),0)&gt;0,IFERROR(INDEX(Clay_Offices!$A$2:$FZ$601,324,Sync!$C$5)&amp;"","")&lt;&gt;"",OR(LEFT(IFERROR(INDEX(Clay_Offices!$A$2:$FZ$601,324,Sync!$C$5)&amp;"",""),6)&lt;&gt;"SAMPLE",Config!$B$19="Y")),IFERROR(N(INDEX(Clay_Offices!$A$2:$FZ$601,324,Sync!$C$12)),0),"")</f>
        <v/>
      </c>
      <c r="C2575" s="23" t="str">
        <f aca="false">IF(B2575="","","office")</f>
        <v/>
      </c>
      <c r="D2575" s="23" t="str">
        <f aca="false">IF(B2575="","",IFERROR(INDEX(Office_Log!$ED$2:$ED$201,MATCH(IFERROR(INDEX(Clay_Offices!$A$2:$FZ$601,324,Sync!$C$5)&amp;"",""),Office_Log!$A$2:$A$201,0))&amp;"",IFERROR(INDEX(Clay_Offices!$A$2:$FZ$601,324,Sync!$C$5)&amp;"","")&amp;""))</f>
        <v/>
      </c>
      <c r="E2575" s="23" t="str">
        <f aca="false">IF(B2575="","",IFERROR(INDEX(Clay_Offices!$A$2:$FZ$601,324,Sync!$C$6)&amp;"",""))</f>
        <v/>
      </c>
      <c r="F2575" s="23" t="str">
        <f aca="false">IF(B2575="","","outreach_sent")</f>
        <v/>
      </c>
      <c r="G2575" s="23" t="str">
        <f aca="false">IF(B2575="","","")</f>
        <v/>
      </c>
      <c r="H2575" s="23" t="str">
        <f aca="false">IF(B2575="","","")</f>
        <v/>
      </c>
      <c r="I2575" s="23" t="str">
        <f aca="false">IF(B2575="","","")</f>
        <v/>
      </c>
      <c r="J2575" s="23" t="str">
        <f aca="false">IF(B2575="","","touch_2; "&amp;IFERROR(INDEX(Clay_Offices!$A$2:$FZ$601,324,Sync!$C$10)&amp;"","")&amp;"; "&amp;IFERROR(INDEX(Clay_Offices!$A$2:$FZ$601,324,Sync!$C$9)&amp;"",""))</f>
        <v/>
      </c>
      <c r="K2575" s="32" t="s">
        <v>1364</v>
      </c>
    </row>
    <row r="2576" customFormat="false" ht="15" hidden="false" customHeight="false" outlineLevel="0" collapsed="false">
      <c r="A2576" s="23" t="str">
        <f aca="false">IF(B2576="","",B2576+(13*1000+325)/10000000)</f>
        <v/>
      </c>
      <c r="B2576" s="35" t="str">
        <f aca="false">IF(AND(IFERROR(N(INDEX(Clay_Offices!$A$2:$FZ$601,325,Sync!$C$12)),0)&gt;0,IFERROR(INDEX(Clay_Offices!$A$2:$FZ$601,325,Sync!$C$5)&amp;"","")&lt;&gt;"",OR(LEFT(IFERROR(INDEX(Clay_Offices!$A$2:$FZ$601,325,Sync!$C$5)&amp;"",""),6)&lt;&gt;"SAMPLE",Config!$B$19="Y")),IFERROR(N(INDEX(Clay_Offices!$A$2:$FZ$601,325,Sync!$C$12)),0),"")</f>
        <v/>
      </c>
      <c r="C2576" s="23" t="str">
        <f aca="false">IF(B2576="","","office")</f>
        <v/>
      </c>
      <c r="D2576" s="23" t="str">
        <f aca="false">IF(B2576="","",IFERROR(INDEX(Office_Log!$ED$2:$ED$201,MATCH(IFERROR(INDEX(Clay_Offices!$A$2:$FZ$601,325,Sync!$C$5)&amp;"",""),Office_Log!$A$2:$A$201,0))&amp;"",IFERROR(INDEX(Clay_Offices!$A$2:$FZ$601,325,Sync!$C$5)&amp;"","")&amp;""))</f>
        <v/>
      </c>
      <c r="E2576" s="23" t="str">
        <f aca="false">IF(B2576="","",IFERROR(INDEX(Clay_Offices!$A$2:$FZ$601,325,Sync!$C$6)&amp;"",""))</f>
        <v/>
      </c>
      <c r="F2576" s="23" t="str">
        <f aca="false">IF(B2576="","","outreach_sent")</f>
        <v/>
      </c>
      <c r="G2576" s="23" t="str">
        <f aca="false">IF(B2576="","","")</f>
        <v/>
      </c>
      <c r="H2576" s="23" t="str">
        <f aca="false">IF(B2576="","","")</f>
        <v/>
      </c>
      <c r="I2576" s="23" t="str">
        <f aca="false">IF(B2576="","","")</f>
        <v/>
      </c>
      <c r="J2576" s="23" t="str">
        <f aca="false">IF(B2576="","","touch_2; "&amp;IFERROR(INDEX(Clay_Offices!$A$2:$FZ$601,325,Sync!$C$10)&amp;"","")&amp;"; "&amp;IFERROR(INDEX(Clay_Offices!$A$2:$FZ$601,325,Sync!$C$9)&amp;"",""))</f>
        <v/>
      </c>
      <c r="K2576" s="32" t="s">
        <v>1364</v>
      </c>
    </row>
    <row r="2577" customFormat="false" ht="15" hidden="false" customHeight="false" outlineLevel="0" collapsed="false">
      <c r="A2577" s="23" t="str">
        <f aca="false">IF(B2577="","",B2577+(13*1000+326)/10000000)</f>
        <v/>
      </c>
      <c r="B2577" s="35" t="str">
        <f aca="false">IF(AND(IFERROR(N(INDEX(Clay_Offices!$A$2:$FZ$601,326,Sync!$C$12)),0)&gt;0,IFERROR(INDEX(Clay_Offices!$A$2:$FZ$601,326,Sync!$C$5)&amp;"","")&lt;&gt;"",OR(LEFT(IFERROR(INDEX(Clay_Offices!$A$2:$FZ$601,326,Sync!$C$5)&amp;"",""),6)&lt;&gt;"SAMPLE",Config!$B$19="Y")),IFERROR(N(INDEX(Clay_Offices!$A$2:$FZ$601,326,Sync!$C$12)),0),"")</f>
        <v/>
      </c>
      <c r="C2577" s="23" t="str">
        <f aca="false">IF(B2577="","","office")</f>
        <v/>
      </c>
      <c r="D2577" s="23" t="str">
        <f aca="false">IF(B2577="","",IFERROR(INDEX(Office_Log!$ED$2:$ED$201,MATCH(IFERROR(INDEX(Clay_Offices!$A$2:$FZ$601,326,Sync!$C$5)&amp;"",""),Office_Log!$A$2:$A$201,0))&amp;"",IFERROR(INDEX(Clay_Offices!$A$2:$FZ$601,326,Sync!$C$5)&amp;"","")&amp;""))</f>
        <v/>
      </c>
      <c r="E2577" s="23" t="str">
        <f aca="false">IF(B2577="","",IFERROR(INDEX(Clay_Offices!$A$2:$FZ$601,326,Sync!$C$6)&amp;"",""))</f>
        <v/>
      </c>
      <c r="F2577" s="23" t="str">
        <f aca="false">IF(B2577="","","outreach_sent")</f>
        <v/>
      </c>
      <c r="G2577" s="23" t="str">
        <f aca="false">IF(B2577="","","")</f>
        <v/>
      </c>
      <c r="H2577" s="23" t="str">
        <f aca="false">IF(B2577="","","")</f>
        <v/>
      </c>
      <c r="I2577" s="23" t="str">
        <f aca="false">IF(B2577="","","")</f>
        <v/>
      </c>
      <c r="J2577" s="23" t="str">
        <f aca="false">IF(B2577="","","touch_2; "&amp;IFERROR(INDEX(Clay_Offices!$A$2:$FZ$601,326,Sync!$C$10)&amp;"","")&amp;"; "&amp;IFERROR(INDEX(Clay_Offices!$A$2:$FZ$601,326,Sync!$C$9)&amp;"",""))</f>
        <v/>
      </c>
      <c r="K2577" s="32" t="s">
        <v>1364</v>
      </c>
    </row>
    <row r="2578" customFormat="false" ht="15" hidden="false" customHeight="false" outlineLevel="0" collapsed="false">
      <c r="A2578" s="23" t="str">
        <f aca="false">IF(B2578="","",B2578+(13*1000+327)/10000000)</f>
        <v/>
      </c>
      <c r="B2578" s="35" t="str">
        <f aca="false">IF(AND(IFERROR(N(INDEX(Clay_Offices!$A$2:$FZ$601,327,Sync!$C$12)),0)&gt;0,IFERROR(INDEX(Clay_Offices!$A$2:$FZ$601,327,Sync!$C$5)&amp;"","")&lt;&gt;"",OR(LEFT(IFERROR(INDEX(Clay_Offices!$A$2:$FZ$601,327,Sync!$C$5)&amp;"",""),6)&lt;&gt;"SAMPLE",Config!$B$19="Y")),IFERROR(N(INDEX(Clay_Offices!$A$2:$FZ$601,327,Sync!$C$12)),0),"")</f>
        <v/>
      </c>
      <c r="C2578" s="23" t="str">
        <f aca="false">IF(B2578="","","office")</f>
        <v/>
      </c>
      <c r="D2578" s="23" t="str">
        <f aca="false">IF(B2578="","",IFERROR(INDEX(Office_Log!$ED$2:$ED$201,MATCH(IFERROR(INDEX(Clay_Offices!$A$2:$FZ$601,327,Sync!$C$5)&amp;"",""),Office_Log!$A$2:$A$201,0))&amp;"",IFERROR(INDEX(Clay_Offices!$A$2:$FZ$601,327,Sync!$C$5)&amp;"","")&amp;""))</f>
        <v/>
      </c>
      <c r="E2578" s="23" t="str">
        <f aca="false">IF(B2578="","",IFERROR(INDEX(Clay_Offices!$A$2:$FZ$601,327,Sync!$C$6)&amp;"",""))</f>
        <v/>
      </c>
      <c r="F2578" s="23" t="str">
        <f aca="false">IF(B2578="","","outreach_sent")</f>
        <v/>
      </c>
      <c r="G2578" s="23" t="str">
        <f aca="false">IF(B2578="","","")</f>
        <v/>
      </c>
      <c r="H2578" s="23" t="str">
        <f aca="false">IF(B2578="","","")</f>
        <v/>
      </c>
      <c r="I2578" s="23" t="str">
        <f aca="false">IF(B2578="","","")</f>
        <v/>
      </c>
      <c r="J2578" s="23" t="str">
        <f aca="false">IF(B2578="","","touch_2; "&amp;IFERROR(INDEX(Clay_Offices!$A$2:$FZ$601,327,Sync!$C$10)&amp;"","")&amp;"; "&amp;IFERROR(INDEX(Clay_Offices!$A$2:$FZ$601,327,Sync!$C$9)&amp;"",""))</f>
        <v/>
      </c>
      <c r="K2578" s="32" t="s">
        <v>1364</v>
      </c>
    </row>
    <row r="2579" customFormat="false" ht="15" hidden="false" customHeight="false" outlineLevel="0" collapsed="false">
      <c r="A2579" s="23" t="str">
        <f aca="false">IF(B2579="","",B2579+(13*1000+328)/10000000)</f>
        <v/>
      </c>
      <c r="B2579" s="35" t="str">
        <f aca="false">IF(AND(IFERROR(N(INDEX(Clay_Offices!$A$2:$FZ$601,328,Sync!$C$12)),0)&gt;0,IFERROR(INDEX(Clay_Offices!$A$2:$FZ$601,328,Sync!$C$5)&amp;"","")&lt;&gt;"",OR(LEFT(IFERROR(INDEX(Clay_Offices!$A$2:$FZ$601,328,Sync!$C$5)&amp;"",""),6)&lt;&gt;"SAMPLE",Config!$B$19="Y")),IFERROR(N(INDEX(Clay_Offices!$A$2:$FZ$601,328,Sync!$C$12)),0),"")</f>
        <v/>
      </c>
      <c r="C2579" s="23" t="str">
        <f aca="false">IF(B2579="","","office")</f>
        <v/>
      </c>
      <c r="D2579" s="23" t="str">
        <f aca="false">IF(B2579="","",IFERROR(INDEX(Office_Log!$ED$2:$ED$201,MATCH(IFERROR(INDEX(Clay_Offices!$A$2:$FZ$601,328,Sync!$C$5)&amp;"",""),Office_Log!$A$2:$A$201,0))&amp;"",IFERROR(INDEX(Clay_Offices!$A$2:$FZ$601,328,Sync!$C$5)&amp;"","")&amp;""))</f>
        <v/>
      </c>
      <c r="E2579" s="23" t="str">
        <f aca="false">IF(B2579="","",IFERROR(INDEX(Clay_Offices!$A$2:$FZ$601,328,Sync!$C$6)&amp;"",""))</f>
        <v/>
      </c>
      <c r="F2579" s="23" t="str">
        <f aca="false">IF(B2579="","","outreach_sent")</f>
        <v/>
      </c>
      <c r="G2579" s="23" t="str">
        <f aca="false">IF(B2579="","","")</f>
        <v/>
      </c>
      <c r="H2579" s="23" t="str">
        <f aca="false">IF(B2579="","","")</f>
        <v/>
      </c>
      <c r="I2579" s="23" t="str">
        <f aca="false">IF(B2579="","","")</f>
        <v/>
      </c>
      <c r="J2579" s="23" t="str">
        <f aca="false">IF(B2579="","","touch_2; "&amp;IFERROR(INDEX(Clay_Offices!$A$2:$FZ$601,328,Sync!$C$10)&amp;"","")&amp;"; "&amp;IFERROR(INDEX(Clay_Offices!$A$2:$FZ$601,328,Sync!$C$9)&amp;"",""))</f>
        <v/>
      </c>
      <c r="K2579" s="32" t="s">
        <v>1364</v>
      </c>
    </row>
    <row r="2580" customFormat="false" ht="15" hidden="false" customHeight="false" outlineLevel="0" collapsed="false">
      <c r="A2580" s="23" t="str">
        <f aca="false">IF(B2580="","",B2580+(13*1000+329)/10000000)</f>
        <v/>
      </c>
      <c r="B2580" s="35" t="str">
        <f aca="false">IF(AND(IFERROR(N(INDEX(Clay_Offices!$A$2:$FZ$601,329,Sync!$C$12)),0)&gt;0,IFERROR(INDEX(Clay_Offices!$A$2:$FZ$601,329,Sync!$C$5)&amp;"","")&lt;&gt;"",OR(LEFT(IFERROR(INDEX(Clay_Offices!$A$2:$FZ$601,329,Sync!$C$5)&amp;"",""),6)&lt;&gt;"SAMPLE",Config!$B$19="Y")),IFERROR(N(INDEX(Clay_Offices!$A$2:$FZ$601,329,Sync!$C$12)),0),"")</f>
        <v/>
      </c>
      <c r="C2580" s="23" t="str">
        <f aca="false">IF(B2580="","","office")</f>
        <v/>
      </c>
      <c r="D2580" s="23" t="str">
        <f aca="false">IF(B2580="","",IFERROR(INDEX(Office_Log!$ED$2:$ED$201,MATCH(IFERROR(INDEX(Clay_Offices!$A$2:$FZ$601,329,Sync!$C$5)&amp;"",""),Office_Log!$A$2:$A$201,0))&amp;"",IFERROR(INDEX(Clay_Offices!$A$2:$FZ$601,329,Sync!$C$5)&amp;"","")&amp;""))</f>
        <v/>
      </c>
      <c r="E2580" s="23" t="str">
        <f aca="false">IF(B2580="","",IFERROR(INDEX(Clay_Offices!$A$2:$FZ$601,329,Sync!$C$6)&amp;"",""))</f>
        <v/>
      </c>
      <c r="F2580" s="23" t="str">
        <f aca="false">IF(B2580="","","outreach_sent")</f>
        <v/>
      </c>
      <c r="G2580" s="23" t="str">
        <f aca="false">IF(B2580="","","")</f>
        <v/>
      </c>
      <c r="H2580" s="23" t="str">
        <f aca="false">IF(B2580="","","")</f>
        <v/>
      </c>
      <c r="I2580" s="23" t="str">
        <f aca="false">IF(B2580="","","")</f>
        <v/>
      </c>
      <c r="J2580" s="23" t="str">
        <f aca="false">IF(B2580="","","touch_2; "&amp;IFERROR(INDEX(Clay_Offices!$A$2:$FZ$601,329,Sync!$C$10)&amp;"","")&amp;"; "&amp;IFERROR(INDEX(Clay_Offices!$A$2:$FZ$601,329,Sync!$C$9)&amp;"",""))</f>
        <v/>
      </c>
      <c r="K2580" s="32" t="s">
        <v>1364</v>
      </c>
    </row>
    <row r="2581" customFormat="false" ht="15" hidden="false" customHeight="false" outlineLevel="0" collapsed="false">
      <c r="A2581" s="23" t="str">
        <f aca="false">IF(B2581="","",B2581+(13*1000+330)/10000000)</f>
        <v/>
      </c>
      <c r="B2581" s="35" t="str">
        <f aca="false">IF(AND(IFERROR(N(INDEX(Clay_Offices!$A$2:$FZ$601,330,Sync!$C$12)),0)&gt;0,IFERROR(INDEX(Clay_Offices!$A$2:$FZ$601,330,Sync!$C$5)&amp;"","")&lt;&gt;"",OR(LEFT(IFERROR(INDEX(Clay_Offices!$A$2:$FZ$601,330,Sync!$C$5)&amp;"",""),6)&lt;&gt;"SAMPLE",Config!$B$19="Y")),IFERROR(N(INDEX(Clay_Offices!$A$2:$FZ$601,330,Sync!$C$12)),0),"")</f>
        <v/>
      </c>
      <c r="C2581" s="23" t="str">
        <f aca="false">IF(B2581="","","office")</f>
        <v/>
      </c>
      <c r="D2581" s="23" t="str">
        <f aca="false">IF(B2581="","",IFERROR(INDEX(Office_Log!$ED$2:$ED$201,MATCH(IFERROR(INDEX(Clay_Offices!$A$2:$FZ$601,330,Sync!$C$5)&amp;"",""),Office_Log!$A$2:$A$201,0))&amp;"",IFERROR(INDEX(Clay_Offices!$A$2:$FZ$601,330,Sync!$C$5)&amp;"","")&amp;""))</f>
        <v/>
      </c>
      <c r="E2581" s="23" t="str">
        <f aca="false">IF(B2581="","",IFERROR(INDEX(Clay_Offices!$A$2:$FZ$601,330,Sync!$C$6)&amp;"",""))</f>
        <v/>
      </c>
      <c r="F2581" s="23" t="str">
        <f aca="false">IF(B2581="","","outreach_sent")</f>
        <v/>
      </c>
      <c r="G2581" s="23" t="str">
        <f aca="false">IF(B2581="","","")</f>
        <v/>
      </c>
      <c r="H2581" s="23" t="str">
        <f aca="false">IF(B2581="","","")</f>
        <v/>
      </c>
      <c r="I2581" s="23" t="str">
        <f aca="false">IF(B2581="","","")</f>
        <v/>
      </c>
      <c r="J2581" s="23" t="str">
        <f aca="false">IF(B2581="","","touch_2; "&amp;IFERROR(INDEX(Clay_Offices!$A$2:$FZ$601,330,Sync!$C$10)&amp;"","")&amp;"; "&amp;IFERROR(INDEX(Clay_Offices!$A$2:$FZ$601,330,Sync!$C$9)&amp;"",""))</f>
        <v/>
      </c>
      <c r="K2581" s="32" t="s">
        <v>1364</v>
      </c>
    </row>
    <row r="2582" customFormat="false" ht="15" hidden="false" customHeight="false" outlineLevel="0" collapsed="false">
      <c r="A2582" s="23" t="str">
        <f aca="false">IF(B2582="","",B2582+(13*1000+331)/10000000)</f>
        <v/>
      </c>
      <c r="B2582" s="35" t="str">
        <f aca="false">IF(AND(IFERROR(N(INDEX(Clay_Offices!$A$2:$FZ$601,331,Sync!$C$12)),0)&gt;0,IFERROR(INDEX(Clay_Offices!$A$2:$FZ$601,331,Sync!$C$5)&amp;"","")&lt;&gt;"",OR(LEFT(IFERROR(INDEX(Clay_Offices!$A$2:$FZ$601,331,Sync!$C$5)&amp;"",""),6)&lt;&gt;"SAMPLE",Config!$B$19="Y")),IFERROR(N(INDEX(Clay_Offices!$A$2:$FZ$601,331,Sync!$C$12)),0),"")</f>
        <v/>
      </c>
      <c r="C2582" s="23" t="str">
        <f aca="false">IF(B2582="","","office")</f>
        <v/>
      </c>
      <c r="D2582" s="23" t="str">
        <f aca="false">IF(B2582="","",IFERROR(INDEX(Office_Log!$ED$2:$ED$201,MATCH(IFERROR(INDEX(Clay_Offices!$A$2:$FZ$601,331,Sync!$C$5)&amp;"",""),Office_Log!$A$2:$A$201,0))&amp;"",IFERROR(INDEX(Clay_Offices!$A$2:$FZ$601,331,Sync!$C$5)&amp;"","")&amp;""))</f>
        <v/>
      </c>
      <c r="E2582" s="23" t="str">
        <f aca="false">IF(B2582="","",IFERROR(INDEX(Clay_Offices!$A$2:$FZ$601,331,Sync!$C$6)&amp;"",""))</f>
        <v/>
      </c>
      <c r="F2582" s="23" t="str">
        <f aca="false">IF(B2582="","","outreach_sent")</f>
        <v/>
      </c>
      <c r="G2582" s="23" t="str">
        <f aca="false">IF(B2582="","","")</f>
        <v/>
      </c>
      <c r="H2582" s="23" t="str">
        <f aca="false">IF(B2582="","","")</f>
        <v/>
      </c>
      <c r="I2582" s="23" t="str">
        <f aca="false">IF(B2582="","","")</f>
        <v/>
      </c>
      <c r="J2582" s="23" t="str">
        <f aca="false">IF(B2582="","","touch_2; "&amp;IFERROR(INDEX(Clay_Offices!$A$2:$FZ$601,331,Sync!$C$10)&amp;"","")&amp;"; "&amp;IFERROR(INDEX(Clay_Offices!$A$2:$FZ$601,331,Sync!$C$9)&amp;"",""))</f>
        <v/>
      </c>
      <c r="K2582" s="32" t="s">
        <v>1364</v>
      </c>
    </row>
    <row r="2583" customFormat="false" ht="15" hidden="false" customHeight="false" outlineLevel="0" collapsed="false">
      <c r="A2583" s="23" t="str">
        <f aca="false">IF(B2583="","",B2583+(13*1000+332)/10000000)</f>
        <v/>
      </c>
      <c r="B2583" s="35" t="str">
        <f aca="false">IF(AND(IFERROR(N(INDEX(Clay_Offices!$A$2:$FZ$601,332,Sync!$C$12)),0)&gt;0,IFERROR(INDEX(Clay_Offices!$A$2:$FZ$601,332,Sync!$C$5)&amp;"","")&lt;&gt;"",OR(LEFT(IFERROR(INDEX(Clay_Offices!$A$2:$FZ$601,332,Sync!$C$5)&amp;"",""),6)&lt;&gt;"SAMPLE",Config!$B$19="Y")),IFERROR(N(INDEX(Clay_Offices!$A$2:$FZ$601,332,Sync!$C$12)),0),"")</f>
        <v/>
      </c>
      <c r="C2583" s="23" t="str">
        <f aca="false">IF(B2583="","","office")</f>
        <v/>
      </c>
      <c r="D2583" s="23" t="str">
        <f aca="false">IF(B2583="","",IFERROR(INDEX(Office_Log!$ED$2:$ED$201,MATCH(IFERROR(INDEX(Clay_Offices!$A$2:$FZ$601,332,Sync!$C$5)&amp;"",""),Office_Log!$A$2:$A$201,0))&amp;"",IFERROR(INDEX(Clay_Offices!$A$2:$FZ$601,332,Sync!$C$5)&amp;"","")&amp;""))</f>
        <v/>
      </c>
      <c r="E2583" s="23" t="str">
        <f aca="false">IF(B2583="","",IFERROR(INDEX(Clay_Offices!$A$2:$FZ$601,332,Sync!$C$6)&amp;"",""))</f>
        <v/>
      </c>
      <c r="F2583" s="23" t="str">
        <f aca="false">IF(B2583="","","outreach_sent")</f>
        <v/>
      </c>
      <c r="G2583" s="23" t="str">
        <f aca="false">IF(B2583="","","")</f>
        <v/>
      </c>
      <c r="H2583" s="23" t="str">
        <f aca="false">IF(B2583="","","")</f>
        <v/>
      </c>
      <c r="I2583" s="23" t="str">
        <f aca="false">IF(B2583="","","")</f>
        <v/>
      </c>
      <c r="J2583" s="23" t="str">
        <f aca="false">IF(B2583="","","touch_2; "&amp;IFERROR(INDEX(Clay_Offices!$A$2:$FZ$601,332,Sync!$C$10)&amp;"","")&amp;"; "&amp;IFERROR(INDEX(Clay_Offices!$A$2:$FZ$601,332,Sync!$C$9)&amp;"",""))</f>
        <v/>
      </c>
      <c r="K2583" s="32" t="s">
        <v>1364</v>
      </c>
    </row>
    <row r="2584" customFormat="false" ht="15" hidden="false" customHeight="false" outlineLevel="0" collapsed="false">
      <c r="A2584" s="23" t="str">
        <f aca="false">IF(B2584="","",B2584+(13*1000+333)/10000000)</f>
        <v/>
      </c>
      <c r="B2584" s="35" t="str">
        <f aca="false">IF(AND(IFERROR(N(INDEX(Clay_Offices!$A$2:$FZ$601,333,Sync!$C$12)),0)&gt;0,IFERROR(INDEX(Clay_Offices!$A$2:$FZ$601,333,Sync!$C$5)&amp;"","")&lt;&gt;"",OR(LEFT(IFERROR(INDEX(Clay_Offices!$A$2:$FZ$601,333,Sync!$C$5)&amp;"",""),6)&lt;&gt;"SAMPLE",Config!$B$19="Y")),IFERROR(N(INDEX(Clay_Offices!$A$2:$FZ$601,333,Sync!$C$12)),0),"")</f>
        <v/>
      </c>
      <c r="C2584" s="23" t="str">
        <f aca="false">IF(B2584="","","office")</f>
        <v/>
      </c>
      <c r="D2584" s="23" t="str">
        <f aca="false">IF(B2584="","",IFERROR(INDEX(Office_Log!$ED$2:$ED$201,MATCH(IFERROR(INDEX(Clay_Offices!$A$2:$FZ$601,333,Sync!$C$5)&amp;"",""),Office_Log!$A$2:$A$201,0))&amp;"",IFERROR(INDEX(Clay_Offices!$A$2:$FZ$601,333,Sync!$C$5)&amp;"","")&amp;""))</f>
        <v/>
      </c>
      <c r="E2584" s="23" t="str">
        <f aca="false">IF(B2584="","",IFERROR(INDEX(Clay_Offices!$A$2:$FZ$601,333,Sync!$C$6)&amp;"",""))</f>
        <v/>
      </c>
      <c r="F2584" s="23" t="str">
        <f aca="false">IF(B2584="","","outreach_sent")</f>
        <v/>
      </c>
      <c r="G2584" s="23" t="str">
        <f aca="false">IF(B2584="","","")</f>
        <v/>
      </c>
      <c r="H2584" s="23" t="str">
        <f aca="false">IF(B2584="","","")</f>
        <v/>
      </c>
      <c r="I2584" s="23" t="str">
        <f aca="false">IF(B2584="","","")</f>
        <v/>
      </c>
      <c r="J2584" s="23" t="str">
        <f aca="false">IF(B2584="","","touch_2; "&amp;IFERROR(INDEX(Clay_Offices!$A$2:$FZ$601,333,Sync!$C$10)&amp;"","")&amp;"; "&amp;IFERROR(INDEX(Clay_Offices!$A$2:$FZ$601,333,Sync!$C$9)&amp;"",""))</f>
        <v/>
      </c>
      <c r="K2584" s="32" t="s">
        <v>1364</v>
      </c>
    </row>
    <row r="2585" customFormat="false" ht="15" hidden="false" customHeight="false" outlineLevel="0" collapsed="false">
      <c r="A2585" s="23" t="str">
        <f aca="false">IF(B2585="","",B2585+(13*1000+334)/10000000)</f>
        <v/>
      </c>
      <c r="B2585" s="35" t="str">
        <f aca="false">IF(AND(IFERROR(N(INDEX(Clay_Offices!$A$2:$FZ$601,334,Sync!$C$12)),0)&gt;0,IFERROR(INDEX(Clay_Offices!$A$2:$FZ$601,334,Sync!$C$5)&amp;"","")&lt;&gt;"",OR(LEFT(IFERROR(INDEX(Clay_Offices!$A$2:$FZ$601,334,Sync!$C$5)&amp;"",""),6)&lt;&gt;"SAMPLE",Config!$B$19="Y")),IFERROR(N(INDEX(Clay_Offices!$A$2:$FZ$601,334,Sync!$C$12)),0),"")</f>
        <v/>
      </c>
      <c r="C2585" s="23" t="str">
        <f aca="false">IF(B2585="","","office")</f>
        <v/>
      </c>
      <c r="D2585" s="23" t="str">
        <f aca="false">IF(B2585="","",IFERROR(INDEX(Office_Log!$ED$2:$ED$201,MATCH(IFERROR(INDEX(Clay_Offices!$A$2:$FZ$601,334,Sync!$C$5)&amp;"",""),Office_Log!$A$2:$A$201,0))&amp;"",IFERROR(INDEX(Clay_Offices!$A$2:$FZ$601,334,Sync!$C$5)&amp;"","")&amp;""))</f>
        <v/>
      </c>
      <c r="E2585" s="23" t="str">
        <f aca="false">IF(B2585="","",IFERROR(INDEX(Clay_Offices!$A$2:$FZ$601,334,Sync!$C$6)&amp;"",""))</f>
        <v/>
      </c>
      <c r="F2585" s="23" t="str">
        <f aca="false">IF(B2585="","","outreach_sent")</f>
        <v/>
      </c>
      <c r="G2585" s="23" t="str">
        <f aca="false">IF(B2585="","","")</f>
        <v/>
      </c>
      <c r="H2585" s="23" t="str">
        <f aca="false">IF(B2585="","","")</f>
        <v/>
      </c>
      <c r="I2585" s="23" t="str">
        <f aca="false">IF(B2585="","","")</f>
        <v/>
      </c>
      <c r="J2585" s="23" t="str">
        <f aca="false">IF(B2585="","","touch_2; "&amp;IFERROR(INDEX(Clay_Offices!$A$2:$FZ$601,334,Sync!$C$10)&amp;"","")&amp;"; "&amp;IFERROR(INDEX(Clay_Offices!$A$2:$FZ$601,334,Sync!$C$9)&amp;"",""))</f>
        <v/>
      </c>
      <c r="K2585" s="32" t="s">
        <v>1364</v>
      </c>
    </row>
    <row r="2586" customFormat="false" ht="15" hidden="false" customHeight="false" outlineLevel="0" collapsed="false">
      <c r="A2586" s="23" t="str">
        <f aca="false">IF(B2586="","",B2586+(13*1000+335)/10000000)</f>
        <v/>
      </c>
      <c r="B2586" s="35" t="str">
        <f aca="false">IF(AND(IFERROR(N(INDEX(Clay_Offices!$A$2:$FZ$601,335,Sync!$C$12)),0)&gt;0,IFERROR(INDEX(Clay_Offices!$A$2:$FZ$601,335,Sync!$C$5)&amp;"","")&lt;&gt;"",OR(LEFT(IFERROR(INDEX(Clay_Offices!$A$2:$FZ$601,335,Sync!$C$5)&amp;"",""),6)&lt;&gt;"SAMPLE",Config!$B$19="Y")),IFERROR(N(INDEX(Clay_Offices!$A$2:$FZ$601,335,Sync!$C$12)),0),"")</f>
        <v/>
      </c>
      <c r="C2586" s="23" t="str">
        <f aca="false">IF(B2586="","","office")</f>
        <v/>
      </c>
      <c r="D2586" s="23" t="str">
        <f aca="false">IF(B2586="","",IFERROR(INDEX(Office_Log!$ED$2:$ED$201,MATCH(IFERROR(INDEX(Clay_Offices!$A$2:$FZ$601,335,Sync!$C$5)&amp;"",""),Office_Log!$A$2:$A$201,0))&amp;"",IFERROR(INDEX(Clay_Offices!$A$2:$FZ$601,335,Sync!$C$5)&amp;"","")&amp;""))</f>
        <v/>
      </c>
      <c r="E2586" s="23" t="str">
        <f aca="false">IF(B2586="","",IFERROR(INDEX(Clay_Offices!$A$2:$FZ$601,335,Sync!$C$6)&amp;"",""))</f>
        <v/>
      </c>
      <c r="F2586" s="23" t="str">
        <f aca="false">IF(B2586="","","outreach_sent")</f>
        <v/>
      </c>
      <c r="G2586" s="23" t="str">
        <f aca="false">IF(B2586="","","")</f>
        <v/>
      </c>
      <c r="H2586" s="23" t="str">
        <f aca="false">IF(B2586="","","")</f>
        <v/>
      </c>
      <c r="I2586" s="23" t="str">
        <f aca="false">IF(B2586="","","")</f>
        <v/>
      </c>
      <c r="J2586" s="23" t="str">
        <f aca="false">IF(B2586="","","touch_2; "&amp;IFERROR(INDEX(Clay_Offices!$A$2:$FZ$601,335,Sync!$C$10)&amp;"","")&amp;"; "&amp;IFERROR(INDEX(Clay_Offices!$A$2:$FZ$601,335,Sync!$C$9)&amp;"",""))</f>
        <v/>
      </c>
      <c r="K2586" s="32" t="s">
        <v>1364</v>
      </c>
    </row>
    <row r="2587" customFormat="false" ht="15" hidden="false" customHeight="false" outlineLevel="0" collapsed="false">
      <c r="A2587" s="23" t="str">
        <f aca="false">IF(B2587="","",B2587+(13*1000+336)/10000000)</f>
        <v/>
      </c>
      <c r="B2587" s="35" t="str">
        <f aca="false">IF(AND(IFERROR(N(INDEX(Clay_Offices!$A$2:$FZ$601,336,Sync!$C$12)),0)&gt;0,IFERROR(INDEX(Clay_Offices!$A$2:$FZ$601,336,Sync!$C$5)&amp;"","")&lt;&gt;"",OR(LEFT(IFERROR(INDEX(Clay_Offices!$A$2:$FZ$601,336,Sync!$C$5)&amp;"",""),6)&lt;&gt;"SAMPLE",Config!$B$19="Y")),IFERROR(N(INDEX(Clay_Offices!$A$2:$FZ$601,336,Sync!$C$12)),0),"")</f>
        <v/>
      </c>
      <c r="C2587" s="23" t="str">
        <f aca="false">IF(B2587="","","office")</f>
        <v/>
      </c>
      <c r="D2587" s="23" t="str">
        <f aca="false">IF(B2587="","",IFERROR(INDEX(Office_Log!$ED$2:$ED$201,MATCH(IFERROR(INDEX(Clay_Offices!$A$2:$FZ$601,336,Sync!$C$5)&amp;"",""),Office_Log!$A$2:$A$201,0))&amp;"",IFERROR(INDEX(Clay_Offices!$A$2:$FZ$601,336,Sync!$C$5)&amp;"","")&amp;""))</f>
        <v/>
      </c>
      <c r="E2587" s="23" t="str">
        <f aca="false">IF(B2587="","",IFERROR(INDEX(Clay_Offices!$A$2:$FZ$601,336,Sync!$C$6)&amp;"",""))</f>
        <v/>
      </c>
      <c r="F2587" s="23" t="str">
        <f aca="false">IF(B2587="","","outreach_sent")</f>
        <v/>
      </c>
      <c r="G2587" s="23" t="str">
        <f aca="false">IF(B2587="","","")</f>
        <v/>
      </c>
      <c r="H2587" s="23" t="str">
        <f aca="false">IF(B2587="","","")</f>
        <v/>
      </c>
      <c r="I2587" s="23" t="str">
        <f aca="false">IF(B2587="","","")</f>
        <v/>
      </c>
      <c r="J2587" s="23" t="str">
        <f aca="false">IF(B2587="","","touch_2; "&amp;IFERROR(INDEX(Clay_Offices!$A$2:$FZ$601,336,Sync!$C$10)&amp;"","")&amp;"; "&amp;IFERROR(INDEX(Clay_Offices!$A$2:$FZ$601,336,Sync!$C$9)&amp;"",""))</f>
        <v/>
      </c>
      <c r="K2587" s="32" t="s">
        <v>1364</v>
      </c>
    </row>
    <row r="2588" customFormat="false" ht="15" hidden="false" customHeight="false" outlineLevel="0" collapsed="false">
      <c r="A2588" s="23" t="str">
        <f aca="false">IF(B2588="","",B2588+(13*1000+337)/10000000)</f>
        <v/>
      </c>
      <c r="B2588" s="35" t="str">
        <f aca="false">IF(AND(IFERROR(N(INDEX(Clay_Offices!$A$2:$FZ$601,337,Sync!$C$12)),0)&gt;0,IFERROR(INDEX(Clay_Offices!$A$2:$FZ$601,337,Sync!$C$5)&amp;"","")&lt;&gt;"",OR(LEFT(IFERROR(INDEX(Clay_Offices!$A$2:$FZ$601,337,Sync!$C$5)&amp;"",""),6)&lt;&gt;"SAMPLE",Config!$B$19="Y")),IFERROR(N(INDEX(Clay_Offices!$A$2:$FZ$601,337,Sync!$C$12)),0),"")</f>
        <v/>
      </c>
      <c r="C2588" s="23" t="str">
        <f aca="false">IF(B2588="","","office")</f>
        <v/>
      </c>
      <c r="D2588" s="23" t="str">
        <f aca="false">IF(B2588="","",IFERROR(INDEX(Office_Log!$ED$2:$ED$201,MATCH(IFERROR(INDEX(Clay_Offices!$A$2:$FZ$601,337,Sync!$C$5)&amp;"",""),Office_Log!$A$2:$A$201,0))&amp;"",IFERROR(INDEX(Clay_Offices!$A$2:$FZ$601,337,Sync!$C$5)&amp;"","")&amp;""))</f>
        <v/>
      </c>
      <c r="E2588" s="23" t="str">
        <f aca="false">IF(B2588="","",IFERROR(INDEX(Clay_Offices!$A$2:$FZ$601,337,Sync!$C$6)&amp;"",""))</f>
        <v/>
      </c>
      <c r="F2588" s="23" t="str">
        <f aca="false">IF(B2588="","","outreach_sent")</f>
        <v/>
      </c>
      <c r="G2588" s="23" t="str">
        <f aca="false">IF(B2588="","","")</f>
        <v/>
      </c>
      <c r="H2588" s="23" t="str">
        <f aca="false">IF(B2588="","","")</f>
        <v/>
      </c>
      <c r="I2588" s="23" t="str">
        <f aca="false">IF(B2588="","","")</f>
        <v/>
      </c>
      <c r="J2588" s="23" t="str">
        <f aca="false">IF(B2588="","","touch_2; "&amp;IFERROR(INDEX(Clay_Offices!$A$2:$FZ$601,337,Sync!$C$10)&amp;"","")&amp;"; "&amp;IFERROR(INDEX(Clay_Offices!$A$2:$FZ$601,337,Sync!$C$9)&amp;"",""))</f>
        <v/>
      </c>
      <c r="K2588" s="32" t="s">
        <v>1364</v>
      </c>
    </row>
    <row r="2589" customFormat="false" ht="15" hidden="false" customHeight="false" outlineLevel="0" collapsed="false">
      <c r="A2589" s="23" t="str">
        <f aca="false">IF(B2589="","",B2589+(13*1000+338)/10000000)</f>
        <v/>
      </c>
      <c r="B2589" s="35" t="str">
        <f aca="false">IF(AND(IFERROR(N(INDEX(Clay_Offices!$A$2:$FZ$601,338,Sync!$C$12)),0)&gt;0,IFERROR(INDEX(Clay_Offices!$A$2:$FZ$601,338,Sync!$C$5)&amp;"","")&lt;&gt;"",OR(LEFT(IFERROR(INDEX(Clay_Offices!$A$2:$FZ$601,338,Sync!$C$5)&amp;"",""),6)&lt;&gt;"SAMPLE",Config!$B$19="Y")),IFERROR(N(INDEX(Clay_Offices!$A$2:$FZ$601,338,Sync!$C$12)),0),"")</f>
        <v/>
      </c>
      <c r="C2589" s="23" t="str">
        <f aca="false">IF(B2589="","","office")</f>
        <v/>
      </c>
      <c r="D2589" s="23" t="str">
        <f aca="false">IF(B2589="","",IFERROR(INDEX(Office_Log!$ED$2:$ED$201,MATCH(IFERROR(INDEX(Clay_Offices!$A$2:$FZ$601,338,Sync!$C$5)&amp;"",""),Office_Log!$A$2:$A$201,0))&amp;"",IFERROR(INDEX(Clay_Offices!$A$2:$FZ$601,338,Sync!$C$5)&amp;"","")&amp;""))</f>
        <v/>
      </c>
      <c r="E2589" s="23" t="str">
        <f aca="false">IF(B2589="","",IFERROR(INDEX(Clay_Offices!$A$2:$FZ$601,338,Sync!$C$6)&amp;"",""))</f>
        <v/>
      </c>
      <c r="F2589" s="23" t="str">
        <f aca="false">IF(B2589="","","outreach_sent")</f>
        <v/>
      </c>
      <c r="G2589" s="23" t="str">
        <f aca="false">IF(B2589="","","")</f>
        <v/>
      </c>
      <c r="H2589" s="23" t="str">
        <f aca="false">IF(B2589="","","")</f>
        <v/>
      </c>
      <c r="I2589" s="23" t="str">
        <f aca="false">IF(B2589="","","")</f>
        <v/>
      </c>
      <c r="J2589" s="23" t="str">
        <f aca="false">IF(B2589="","","touch_2; "&amp;IFERROR(INDEX(Clay_Offices!$A$2:$FZ$601,338,Sync!$C$10)&amp;"","")&amp;"; "&amp;IFERROR(INDEX(Clay_Offices!$A$2:$FZ$601,338,Sync!$C$9)&amp;"",""))</f>
        <v/>
      </c>
      <c r="K2589" s="32" t="s">
        <v>1364</v>
      </c>
    </row>
    <row r="2590" customFormat="false" ht="15" hidden="false" customHeight="false" outlineLevel="0" collapsed="false">
      <c r="A2590" s="23" t="str">
        <f aca="false">IF(B2590="","",B2590+(13*1000+339)/10000000)</f>
        <v/>
      </c>
      <c r="B2590" s="35" t="str">
        <f aca="false">IF(AND(IFERROR(N(INDEX(Clay_Offices!$A$2:$FZ$601,339,Sync!$C$12)),0)&gt;0,IFERROR(INDEX(Clay_Offices!$A$2:$FZ$601,339,Sync!$C$5)&amp;"","")&lt;&gt;"",OR(LEFT(IFERROR(INDEX(Clay_Offices!$A$2:$FZ$601,339,Sync!$C$5)&amp;"",""),6)&lt;&gt;"SAMPLE",Config!$B$19="Y")),IFERROR(N(INDEX(Clay_Offices!$A$2:$FZ$601,339,Sync!$C$12)),0),"")</f>
        <v/>
      </c>
      <c r="C2590" s="23" t="str">
        <f aca="false">IF(B2590="","","office")</f>
        <v/>
      </c>
      <c r="D2590" s="23" t="str">
        <f aca="false">IF(B2590="","",IFERROR(INDEX(Office_Log!$ED$2:$ED$201,MATCH(IFERROR(INDEX(Clay_Offices!$A$2:$FZ$601,339,Sync!$C$5)&amp;"",""),Office_Log!$A$2:$A$201,0))&amp;"",IFERROR(INDEX(Clay_Offices!$A$2:$FZ$601,339,Sync!$C$5)&amp;"","")&amp;""))</f>
        <v/>
      </c>
      <c r="E2590" s="23" t="str">
        <f aca="false">IF(B2590="","",IFERROR(INDEX(Clay_Offices!$A$2:$FZ$601,339,Sync!$C$6)&amp;"",""))</f>
        <v/>
      </c>
      <c r="F2590" s="23" t="str">
        <f aca="false">IF(B2590="","","outreach_sent")</f>
        <v/>
      </c>
      <c r="G2590" s="23" t="str">
        <f aca="false">IF(B2590="","","")</f>
        <v/>
      </c>
      <c r="H2590" s="23" t="str">
        <f aca="false">IF(B2590="","","")</f>
        <v/>
      </c>
      <c r="I2590" s="23" t="str">
        <f aca="false">IF(B2590="","","")</f>
        <v/>
      </c>
      <c r="J2590" s="23" t="str">
        <f aca="false">IF(B2590="","","touch_2; "&amp;IFERROR(INDEX(Clay_Offices!$A$2:$FZ$601,339,Sync!$C$10)&amp;"","")&amp;"; "&amp;IFERROR(INDEX(Clay_Offices!$A$2:$FZ$601,339,Sync!$C$9)&amp;"",""))</f>
        <v/>
      </c>
      <c r="K2590" s="32" t="s">
        <v>1364</v>
      </c>
    </row>
    <row r="2591" customFormat="false" ht="15" hidden="false" customHeight="false" outlineLevel="0" collapsed="false">
      <c r="A2591" s="23" t="str">
        <f aca="false">IF(B2591="","",B2591+(13*1000+340)/10000000)</f>
        <v/>
      </c>
      <c r="B2591" s="35" t="str">
        <f aca="false">IF(AND(IFERROR(N(INDEX(Clay_Offices!$A$2:$FZ$601,340,Sync!$C$12)),0)&gt;0,IFERROR(INDEX(Clay_Offices!$A$2:$FZ$601,340,Sync!$C$5)&amp;"","")&lt;&gt;"",OR(LEFT(IFERROR(INDEX(Clay_Offices!$A$2:$FZ$601,340,Sync!$C$5)&amp;"",""),6)&lt;&gt;"SAMPLE",Config!$B$19="Y")),IFERROR(N(INDEX(Clay_Offices!$A$2:$FZ$601,340,Sync!$C$12)),0),"")</f>
        <v/>
      </c>
      <c r="C2591" s="23" t="str">
        <f aca="false">IF(B2591="","","office")</f>
        <v/>
      </c>
      <c r="D2591" s="23" t="str">
        <f aca="false">IF(B2591="","",IFERROR(INDEX(Office_Log!$ED$2:$ED$201,MATCH(IFERROR(INDEX(Clay_Offices!$A$2:$FZ$601,340,Sync!$C$5)&amp;"",""),Office_Log!$A$2:$A$201,0))&amp;"",IFERROR(INDEX(Clay_Offices!$A$2:$FZ$601,340,Sync!$C$5)&amp;"","")&amp;""))</f>
        <v/>
      </c>
      <c r="E2591" s="23" t="str">
        <f aca="false">IF(B2591="","",IFERROR(INDEX(Clay_Offices!$A$2:$FZ$601,340,Sync!$C$6)&amp;"",""))</f>
        <v/>
      </c>
      <c r="F2591" s="23" t="str">
        <f aca="false">IF(B2591="","","outreach_sent")</f>
        <v/>
      </c>
      <c r="G2591" s="23" t="str">
        <f aca="false">IF(B2591="","","")</f>
        <v/>
      </c>
      <c r="H2591" s="23" t="str">
        <f aca="false">IF(B2591="","","")</f>
        <v/>
      </c>
      <c r="I2591" s="23" t="str">
        <f aca="false">IF(B2591="","","")</f>
        <v/>
      </c>
      <c r="J2591" s="23" t="str">
        <f aca="false">IF(B2591="","","touch_2; "&amp;IFERROR(INDEX(Clay_Offices!$A$2:$FZ$601,340,Sync!$C$10)&amp;"","")&amp;"; "&amp;IFERROR(INDEX(Clay_Offices!$A$2:$FZ$601,340,Sync!$C$9)&amp;"",""))</f>
        <v/>
      </c>
      <c r="K2591" s="32" t="s">
        <v>1364</v>
      </c>
    </row>
    <row r="2592" customFormat="false" ht="15" hidden="false" customHeight="false" outlineLevel="0" collapsed="false">
      <c r="A2592" s="23" t="str">
        <f aca="false">IF(B2592="","",B2592+(13*1000+341)/10000000)</f>
        <v/>
      </c>
      <c r="B2592" s="35" t="str">
        <f aca="false">IF(AND(IFERROR(N(INDEX(Clay_Offices!$A$2:$FZ$601,341,Sync!$C$12)),0)&gt;0,IFERROR(INDEX(Clay_Offices!$A$2:$FZ$601,341,Sync!$C$5)&amp;"","")&lt;&gt;"",OR(LEFT(IFERROR(INDEX(Clay_Offices!$A$2:$FZ$601,341,Sync!$C$5)&amp;"",""),6)&lt;&gt;"SAMPLE",Config!$B$19="Y")),IFERROR(N(INDEX(Clay_Offices!$A$2:$FZ$601,341,Sync!$C$12)),0),"")</f>
        <v/>
      </c>
      <c r="C2592" s="23" t="str">
        <f aca="false">IF(B2592="","","office")</f>
        <v/>
      </c>
      <c r="D2592" s="23" t="str">
        <f aca="false">IF(B2592="","",IFERROR(INDEX(Office_Log!$ED$2:$ED$201,MATCH(IFERROR(INDEX(Clay_Offices!$A$2:$FZ$601,341,Sync!$C$5)&amp;"",""),Office_Log!$A$2:$A$201,0))&amp;"",IFERROR(INDEX(Clay_Offices!$A$2:$FZ$601,341,Sync!$C$5)&amp;"","")&amp;""))</f>
        <v/>
      </c>
      <c r="E2592" s="23" t="str">
        <f aca="false">IF(B2592="","",IFERROR(INDEX(Clay_Offices!$A$2:$FZ$601,341,Sync!$C$6)&amp;"",""))</f>
        <v/>
      </c>
      <c r="F2592" s="23" t="str">
        <f aca="false">IF(B2592="","","outreach_sent")</f>
        <v/>
      </c>
      <c r="G2592" s="23" t="str">
        <f aca="false">IF(B2592="","","")</f>
        <v/>
      </c>
      <c r="H2592" s="23" t="str">
        <f aca="false">IF(B2592="","","")</f>
        <v/>
      </c>
      <c r="I2592" s="23" t="str">
        <f aca="false">IF(B2592="","","")</f>
        <v/>
      </c>
      <c r="J2592" s="23" t="str">
        <f aca="false">IF(B2592="","","touch_2; "&amp;IFERROR(INDEX(Clay_Offices!$A$2:$FZ$601,341,Sync!$C$10)&amp;"","")&amp;"; "&amp;IFERROR(INDEX(Clay_Offices!$A$2:$FZ$601,341,Sync!$C$9)&amp;"",""))</f>
        <v/>
      </c>
      <c r="K2592" s="32" t="s">
        <v>1364</v>
      </c>
    </row>
    <row r="2593" customFormat="false" ht="15" hidden="false" customHeight="false" outlineLevel="0" collapsed="false">
      <c r="A2593" s="23" t="str">
        <f aca="false">IF(B2593="","",B2593+(13*1000+342)/10000000)</f>
        <v/>
      </c>
      <c r="B2593" s="35" t="str">
        <f aca="false">IF(AND(IFERROR(N(INDEX(Clay_Offices!$A$2:$FZ$601,342,Sync!$C$12)),0)&gt;0,IFERROR(INDEX(Clay_Offices!$A$2:$FZ$601,342,Sync!$C$5)&amp;"","")&lt;&gt;"",OR(LEFT(IFERROR(INDEX(Clay_Offices!$A$2:$FZ$601,342,Sync!$C$5)&amp;"",""),6)&lt;&gt;"SAMPLE",Config!$B$19="Y")),IFERROR(N(INDEX(Clay_Offices!$A$2:$FZ$601,342,Sync!$C$12)),0),"")</f>
        <v/>
      </c>
      <c r="C2593" s="23" t="str">
        <f aca="false">IF(B2593="","","office")</f>
        <v/>
      </c>
      <c r="D2593" s="23" t="str">
        <f aca="false">IF(B2593="","",IFERROR(INDEX(Office_Log!$ED$2:$ED$201,MATCH(IFERROR(INDEX(Clay_Offices!$A$2:$FZ$601,342,Sync!$C$5)&amp;"",""),Office_Log!$A$2:$A$201,0))&amp;"",IFERROR(INDEX(Clay_Offices!$A$2:$FZ$601,342,Sync!$C$5)&amp;"","")&amp;""))</f>
        <v/>
      </c>
      <c r="E2593" s="23" t="str">
        <f aca="false">IF(B2593="","",IFERROR(INDEX(Clay_Offices!$A$2:$FZ$601,342,Sync!$C$6)&amp;"",""))</f>
        <v/>
      </c>
      <c r="F2593" s="23" t="str">
        <f aca="false">IF(B2593="","","outreach_sent")</f>
        <v/>
      </c>
      <c r="G2593" s="23" t="str">
        <f aca="false">IF(B2593="","","")</f>
        <v/>
      </c>
      <c r="H2593" s="23" t="str">
        <f aca="false">IF(B2593="","","")</f>
        <v/>
      </c>
      <c r="I2593" s="23" t="str">
        <f aca="false">IF(B2593="","","")</f>
        <v/>
      </c>
      <c r="J2593" s="23" t="str">
        <f aca="false">IF(B2593="","","touch_2; "&amp;IFERROR(INDEX(Clay_Offices!$A$2:$FZ$601,342,Sync!$C$10)&amp;"","")&amp;"; "&amp;IFERROR(INDEX(Clay_Offices!$A$2:$FZ$601,342,Sync!$C$9)&amp;"",""))</f>
        <v/>
      </c>
      <c r="K2593" s="32" t="s">
        <v>1364</v>
      </c>
    </row>
    <row r="2594" customFormat="false" ht="15" hidden="false" customHeight="false" outlineLevel="0" collapsed="false">
      <c r="A2594" s="23" t="str">
        <f aca="false">IF(B2594="","",B2594+(13*1000+343)/10000000)</f>
        <v/>
      </c>
      <c r="B2594" s="35" t="str">
        <f aca="false">IF(AND(IFERROR(N(INDEX(Clay_Offices!$A$2:$FZ$601,343,Sync!$C$12)),0)&gt;0,IFERROR(INDEX(Clay_Offices!$A$2:$FZ$601,343,Sync!$C$5)&amp;"","")&lt;&gt;"",OR(LEFT(IFERROR(INDEX(Clay_Offices!$A$2:$FZ$601,343,Sync!$C$5)&amp;"",""),6)&lt;&gt;"SAMPLE",Config!$B$19="Y")),IFERROR(N(INDEX(Clay_Offices!$A$2:$FZ$601,343,Sync!$C$12)),0),"")</f>
        <v/>
      </c>
      <c r="C2594" s="23" t="str">
        <f aca="false">IF(B2594="","","office")</f>
        <v/>
      </c>
      <c r="D2594" s="23" t="str">
        <f aca="false">IF(B2594="","",IFERROR(INDEX(Office_Log!$ED$2:$ED$201,MATCH(IFERROR(INDEX(Clay_Offices!$A$2:$FZ$601,343,Sync!$C$5)&amp;"",""),Office_Log!$A$2:$A$201,0))&amp;"",IFERROR(INDEX(Clay_Offices!$A$2:$FZ$601,343,Sync!$C$5)&amp;"","")&amp;""))</f>
        <v/>
      </c>
      <c r="E2594" s="23" t="str">
        <f aca="false">IF(B2594="","",IFERROR(INDEX(Clay_Offices!$A$2:$FZ$601,343,Sync!$C$6)&amp;"",""))</f>
        <v/>
      </c>
      <c r="F2594" s="23" t="str">
        <f aca="false">IF(B2594="","","outreach_sent")</f>
        <v/>
      </c>
      <c r="G2594" s="23" t="str">
        <f aca="false">IF(B2594="","","")</f>
        <v/>
      </c>
      <c r="H2594" s="23" t="str">
        <f aca="false">IF(B2594="","","")</f>
        <v/>
      </c>
      <c r="I2594" s="23" t="str">
        <f aca="false">IF(B2594="","","")</f>
        <v/>
      </c>
      <c r="J2594" s="23" t="str">
        <f aca="false">IF(B2594="","","touch_2; "&amp;IFERROR(INDEX(Clay_Offices!$A$2:$FZ$601,343,Sync!$C$10)&amp;"","")&amp;"; "&amp;IFERROR(INDEX(Clay_Offices!$A$2:$FZ$601,343,Sync!$C$9)&amp;"",""))</f>
        <v/>
      </c>
      <c r="K2594" s="32" t="s">
        <v>1364</v>
      </c>
    </row>
    <row r="2595" customFormat="false" ht="15" hidden="false" customHeight="false" outlineLevel="0" collapsed="false">
      <c r="A2595" s="23" t="str">
        <f aca="false">IF(B2595="","",B2595+(13*1000+344)/10000000)</f>
        <v/>
      </c>
      <c r="B2595" s="35" t="str">
        <f aca="false">IF(AND(IFERROR(N(INDEX(Clay_Offices!$A$2:$FZ$601,344,Sync!$C$12)),0)&gt;0,IFERROR(INDEX(Clay_Offices!$A$2:$FZ$601,344,Sync!$C$5)&amp;"","")&lt;&gt;"",OR(LEFT(IFERROR(INDEX(Clay_Offices!$A$2:$FZ$601,344,Sync!$C$5)&amp;"",""),6)&lt;&gt;"SAMPLE",Config!$B$19="Y")),IFERROR(N(INDEX(Clay_Offices!$A$2:$FZ$601,344,Sync!$C$12)),0),"")</f>
        <v/>
      </c>
      <c r="C2595" s="23" t="str">
        <f aca="false">IF(B2595="","","office")</f>
        <v/>
      </c>
      <c r="D2595" s="23" t="str">
        <f aca="false">IF(B2595="","",IFERROR(INDEX(Office_Log!$ED$2:$ED$201,MATCH(IFERROR(INDEX(Clay_Offices!$A$2:$FZ$601,344,Sync!$C$5)&amp;"",""),Office_Log!$A$2:$A$201,0))&amp;"",IFERROR(INDEX(Clay_Offices!$A$2:$FZ$601,344,Sync!$C$5)&amp;"","")&amp;""))</f>
        <v/>
      </c>
      <c r="E2595" s="23" t="str">
        <f aca="false">IF(B2595="","",IFERROR(INDEX(Clay_Offices!$A$2:$FZ$601,344,Sync!$C$6)&amp;"",""))</f>
        <v/>
      </c>
      <c r="F2595" s="23" t="str">
        <f aca="false">IF(B2595="","","outreach_sent")</f>
        <v/>
      </c>
      <c r="G2595" s="23" t="str">
        <f aca="false">IF(B2595="","","")</f>
        <v/>
      </c>
      <c r="H2595" s="23" t="str">
        <f aca="false">IF(B2595="","","")</f>
        <v/>
      </c>
      <c r="I2595" s="23" t="str">
        <f aca="false">IF(B2595="","","")</f>
        <v/>
      </c>
      <c r="J2595" s="23" t="str">
        <f aca="false">IF(B2595="","","touch_2; "&amp;IFERROR(INDEX(Clay_Offices!$A$2:$FZ$601,344,Sync!$C$10)&amp;"","")&amp;"; "&amp;IFERROR(INDEX(Clay_Offices!$A$2:$FZ$601,344,Sync!$C$9)&amp;"",""))</f>
        <v/>
      </c>
      <c r="K2595" s="32" t="s">
        <v>1364</v>
      </c>
    </row>
    <row r="2596" customFormat="false" ht="15" hidden="false" customHeight="false" outlineLevel="0" collapsed="false">
      <c r="A2596" s="23" t="str">
        <f aca="false">IF(B2596="","",B2596+(13*1000+345)/10000000)</f>
        <v/>
      </c>
      <c r="B2596" s="35" t="str">
        <f aca="false">IF(AND(IFERROR(N(INDEX(Clay_Offices!$A$2:$FZ$601,345,Sync!$C$12)),0)&gt;0,IFERROR(INDEX(Clay_Offices!$A$2:$FZ$601,345,Sync!$C$5)&amp;"","")&lt;&gt;"",OR(LEFT(IFERROR(INDEX(Clay_Offices!$A$2:$FZ$601,345,Sync!$C$5)&amp;"",""),6)&lt;&gt;"SAMPLE",Config!$B$19="Y")),IFERROR(N(INDEX(Clay_Offices!$A$2:$FZ$601,345,Sync!$C$12)),0),"")</f>
        <v/>
      </c>
      <c r="C2596" s="23" t="str">
        <f aca="false">IF(B2596="","","office")</f>
        <v/>
      </c>
      <c r="D2596" s="23" t="str">
        <f aca="false">IF(B2596="","",IFERROR(INDEX(Office_Log!$ED$2:$ED$201,MATCH(IFERROR(INDEX(Clay_Offices!$A$2:$FZ$601,345,Sync!$C$5)&amp;"",""),Office_Log!$A$2:$A$201,0))&amp;"",IFERROR(INDEX(Clay_Offices!$A$2:$FZ$601,345,Sync!$C$5)&amp;"","")&amp;""))</f>
        <v/>
      </c>
      <c r="E2596" s="23" t="str">
        <f aca="false">IF(B2596="","",IFERROR(INDEX(Clay_Offices!$A$2:$FZ$601,345,Sync!$C$6)&amp;"",""))</f>
        <v/>
      </c>
      <c r="F2596" s="23" t="str">
        <f aca="false">IF(B2596="","","outreach_sent")</f>
        <v/>
      </c>
      <c r="G2596" s="23" t="str">
        <f aca="false">IF(B2596="","","")</f>
        <v/>
      </c>
      <c r="H2596" s="23" t="str">
        <f aca="false">IF(B2596="","","")</f>
        <v/>
      </c>
      <c r="I2596" s="23" t="str">
        <f aca="false">IF(B2596="","","")</f>
        <v/>
      </c>
      <c r="J2596" s="23" t="str">
        <f aca="false">IF(B2596="","","touch_2; "&amp;IFERROR(INDEX(Clay_Offices!$A$2:$FZ$601,345,Sync!$C$10)&amp;"","")&amp;"; "&amp;IFERROR(INDEX(Clay_Offices!$A$2:$FZ$601,345,Sync!$C$9)&amp;"",""))</f>
        <v/>
      </c>
      <c r="K2596" s="32" t="s">
        <v>1364</v>
      </c>
    </row>
    <row r="2597" customFormat="false" ht="15" hidden="false" customHeight="false" outlineLevel="0" collapsed="false">
      <c r="A2597" s="23" t="str">
        <f aca="false">IF(B2597="","",B2597+(13*1000+346)/10000000)</f>
        <v/>
      </c>
      <c r="B2597" s="35" t="str">
        <f aca="false">IF(AND(IFERROR(N(INDEX(Clay_Offices!$A$2:$FZ$601,346,Sync!$C$12)),0)&gt;0,IFERROR(INDEX(Clay_Offices!$A$2:$FZ$601,346,Sync!$C$5)&amp;"","")&lt;&gt;"",OR(LEFT(IFERROR(INDEX(Clay_Offices!$A$2:$FZ$601,346,Sync!$C$5)&amp;"",""),6)&lt;&gt;"SAMPLE",Config!$B$19="Y")),IFERROR(N(INDEX(Clay_Offices!$A$2:$FZ$601,346,Sync!$C$12)),0),"")</f>
        <v/>
      </c>
      <c r="C2597" s="23" t="str">
        <f aca="false">IF(B2597="","","office")</f>
        <v/>
      </c>
      <c r="D2597" s="23" t="str">
        <f aca="false">IF(B2597="","",IFERROR(INDEX(Office_Log!$ED$2:$ED$201,MATCH(IFERROR(INDEX(Clay_Offices!$A$2:$FZ$601,346,Sync!$C$5)&amp;"",""),Office_Log!$A$2:$A$201,0))&amp;"",IFERROR(INDEX(Clay_Offices!$A$2:$FZ$601,346,Sync!$C$5)&amp;"","")&amp;""))</f>
        <v/>
      </c>
      <c r="E2597" s="23" t="str">
        <f aca="false">IF(B2597="","",IFERROR(INDEX(Clay_Offices!$A$2:$FZ$601,346,Sync!$C$6)&amp;"",""))</f>
        <v/>
      </c>
      <c r="F2597" s="23" t="str">
        <f aca="false">IF(B2597="","","outreach_sent")</f>
        <v/>
      </c>
      <c r="G2597" s="23" t="str">
        <f aca="false">IF(B2597="","","")</f>
        <v/>
      </c>
      <c r="H2597" s="23" t="str">
        <f aca="false">IF(B2597="","","")</f>
        <v/>
      </c>
      <c r="I2597" s="23" t="str">
        <f aca="false">IF(B2597="","","")</f>
        <v/>
      </c>
      <c r="J2597" s="23" t="str">
        <f aca="false">IF(B2597="","","touch_2; "&amp;IFERROR(INDEX(Clay_Offices!$A$2:$FZ$601,346,Sync!$C$10)&amp;"","")&amp;"; "&amp;IFERROR(INDEX(Clay_Offices!$A$2:$FZ$601,346,Sync!$C$9)&amp;"",""))</f>
        <v/>
      </c>
      <c r="K2597" s="32" t="s">
        <v>1364</v>
      </c>
    </row>
    <row r="2598" customFormat="false" ht="15" hidden="false" customHeight="false" outlineLevel="0" collapsed="false">
      <c r="A2598" s="23" t="str">
        <f aca="false">IF(B2598="","",B2598+(13*1000+347)/10000000)</f>
        <v/>
      </c>
      <c r="B2598" s="35" t="str">
        <f aca="false">IF(AND(IFERROR(N(INDEX(Clay_Offices!$A$2:$FZ$601,347,Sync!$C$12)),0)&gt;0,IFERROR(INDEX(Clay_Offices!$A$2:$FZ$601,347,Sync!$C$5)&amp;"","")&lt;&gt;"",OR(LEFT(IFERROR(INDEX(Clay_Offices!$A$2:$FZ$601,347,Sync!$C$5)&amp;"",""),6)&lt;&gt;"SAMPLE",Config!$B$19="Y")),IFERROR(N(INDEX(Clay_Offices!$A$2:$FZ$601,347,Sync!$C$12)),0),"")</f>
        <v/>
      </c>
      <c r="C2598" s="23" t="str">
        <f aca="false">IF(B2598="","","office")</f>
        <v/>
      </c>
      <c r="D2598" s="23" t="str">
        <f aca="false">IF(B2598="","",IFERROR(INDEX(Office_Log!$ED$2:$ED$201,MATCH(IFERROR(INDEX(Clay_Offices!$A$2:$FZ$601,347,Sync!$C$5)&amp;"",""),Office_Log!$A$2:$A$201,0))&amp;"",IFERROR(INDEX(Clay_Offices!$A$2:$FZ$601,347,Sync!$C$5)&amp;"","")&amp;""))</f>
        <v/>
      </c>
      <c r="E2598" s="23" t="str">
        <f aca="false">IF(B2598="","",IFERROR(INDEX(Clay_Offices!$A$2:$FZ$601,347,Sync!$C$6)&amp;"",""))</f>
        <v/>
      </c>
      <c r="F2598" s="23" t="str">
        <f aca="false">IF(B2598="","","outreach_sent")</f>
        <v/>
      </c>
      <c r="G2598" s="23" t="str">
        <f aca="false">IF(B2598="","","")</f>
        <v/>
      </c>
      <c r="H2598" s="23" t="str">
        <f aca="false">IF(B2598="","","")</f>
        <v/>
      </c>
      <c r="I2598" s="23" t="str">
        <f aca="false">IF(B2598="","","")</f>
        <v/>
      </c>
      <c r="J2598" s="23" t="str">
        <f aca="false">IF(B2598="","","touch_2; "&amp;IFERROR(INDEX(Clay_Offices!$A$2:$FZ$601,347,Sync!$C$10)&amp;"","")&amp;"; "&amp;IFERROR(INDEX(Clay_Offices!$A$2:$FZ$601,347,Sync!$C$9)&amp;"",""))</f>
        <v/>
      </c>
      <c r="K2598" s="32" t="s">
        <v>1364</v>
      </c>
    </row>
    <row r="2599" customFormat="false" ht="15" hidden="false" customHeight="false" outlineLevel="0" collapsed="false">
      <c r="A2599" s="23" t="str">
        <f aca="false">IF(B2599="","",B2599+(13*1000+348)/10000000)</f>
        <v/>
      </c>
      <c r="B2599" s="35" t="str">
        <f aca="false">IF(AND(IFERROR(N(INDEX(Clay_Offices!$A$2:$FZ$601,348,Sync!$C$12)),0)&gt;0,IFERROR(INDEX(Clay_Offices!$A$2:$FZ$601,348,Sync!$C$5)&amp;"","")&lt;&gt;"",OR(LEFT(IFERROR(INDEX(Clay_Offices!$A$2:$FZ$601,348,Sync!$C$5)&amp;"",""),6)&lt;&gt;"SAMPLE",Config!$B$19="Y")),IFERROR(N(INDEX(Clay_Offices!$A$2:$FZ$601,348,Sync!$C$12)),0),"")</f>
        <v/>
      </c>
      <c r="C2599" s="23" t="str">
        <f aca="false">IF(B2599="","","office")</f>
        <v/>
      </c>
      <c r="D2599" s="23" t="str">
        <f aca="false">IF(B2599="","",IFERROR(INDEX(Office_Log!$ED$2:$ED$201,MATCH(IFERROR(INDEX(Clay_Offices!$A$2:$FZ$601,348,Sync!$C$5)&amp;"",""),Office_Log!$A$2:$A$201,0))&amp;"",IFERROR(INDEX(Clay_Offices!$A$2:$FZ$601,348,Sync!$C$5)&amp;"","")&amp;""))</f>
        <v/>
      </c>
      <c r="E2599" s="23" t="str">
        <f aca="false">IF(B2599="","",IFERROR(INDEX(Clay_Offices!$A$2:$FZ$601,348,Sync!$C$6)&amp;"",""))</f>
        <v/>
      </c>
      <c r="F2599" s="23" t="str">
        <f aca="false">IF(B2599="","","outreach_sent")</f>
        <v/>
      </c>
      <c r="G2599" s="23" t="str">
        <f aca="false">IF(B2599="","","")</f>
        <v/>
      </c>
      <c r="H2599" s="23" t="str">
        <f aca="false">IF(B2599="","","")</f>
        <v/>
      </c>
      <c r="I2599" s="23" t="str">
        <f aca="false">IF(B2599="","","")</f>
        <v/>
      </c>
      <c r="J2599" s="23" t="str">
        <f aca="false">IF(B2599="","","touch_2; "&amp;IFERROR(INDEX(Clay_Offices!$A$2:$FZ$601,348,Sync!$C$10)&amp;"","")&amp;"; "&amp;IFERROR(INDEX(Clay_Offices!$A$2:$FZ$601,348,Sync!$C$9)&amp;"",""))</f>
        <v/>
      </c>
      <c r="K2599" s="32" t="s">
        <v>1364</v>
      </c>
    </row>
    <row r="2600" customFormat="false" ht="15" hidden="false" customHeight="false" outlineLevel="0" collapsed="false">
      <c r="A2600" s="23" t="str">
        <f aca="false">IF(B2600="","",B2600+(13*1000+349)/10000000)</f>
        <v/>
      </c>
      <c r="B2600" s="35" t="str">
        <f aca="false">IF(AND(IFERROR(N(INDEX(Clay_Offices!$A$2:$FZ$601,349,Sync!$C$12)),0)&gt;0,IFERROR(INDEX(Clay_Offices!$A$2:$FZ$601,349,Sync!$C$5)&amp;"","")&lt;&gt;"",OR(LEFT(IFERROR(INDEX(Clay_Offices!$A$2:$FZ$601,349,Sync!$C$5)&amp;"",""),6)&lt;&gt;"SAMPLE",Config!$B$19="Y")),IFERROR(N(INDEX(Clay_Offices!$A$2:$FZ$601,349,Sync!$C$12)),0),"")</f>
        <v/>
      </c>
      <c r="C2600" s="23" t="str">
        <f aca="false">IF(B2600="","","office")</f>
        <v/>
      </c>
      <c r="D2600" s="23" t="str">
        <f aca="false">IF(B2600="","",IFERROR(INDEX(Office_Log!$ED$2:$ED$201,MATCH(IFERROR(INDEX(Clay_Offices!$A$2:$FZ$601,349,Sync!$C$5)&amp;"",""),Office_Log!$A$2:$A$201,0))&amp;"",IFERROR(INDEX(Clay_Offices!$A$2:$FZ$601,349,Sync!$C$5)&amp;"","")&amp;""))</f>
        <v/>
      </c>
      <c r="E2600" s="23" t="str">
        <f aca="false">IF(B2600="","",IFERROR(INDEX(Clay_Offices!$A$2:$FZ$601,349,Sync!$C$6)&amp;"",""))</f>
        <v/>
      </c>
      <c r="F2600" s="23" t="str">
        <f aca="false">IF(B2600="","","outreach_sent")</f>
        <v/>
      </c>
      <c r="G2600" s="23" t="str">
        <f aca="false">IF(B2600="","","")</f>
        <v/>
      </c>
      <c r="H2600" s="23" t="str">
        <f aca="false">IF(B2600="","","")</f>
        <v/>
      </c>
      <c r="I2600" s="23" t="str">
        <f aca="false">IF(B2600="","","")</f>
        <v/>
      </c>
      <c r="J2600" s="23" t="str">
        <f aca="false">IF(B2600="","","touch_2; "&amp;IFERROR(INDEX(Clay_Offices!$A$2:$FZ$601,349,Sync!$C$10)&amp;"","")&amp;"; "&amp;IFERROR(INDEX(Clay_Offices!$A$2:$FZ$601,349,Sync!$C$9)&amp;"",""))</f>
        <v/>
      </c>
      <c r="K2600" s="32" t="s">
        <v>1364</v>
      </c>
    </row>
    <row r="2601" customFormat="false" ht="15" hidden="false" customHeight="false" outlineLevel="0" collapsed="false">
      <c r="A2601" s="23" t="str">
        <f aca="false">IF(B2601="","",B2601+(13*1000+350)/10000000)</f>
        <v/>
      </c>
      <c r="B2601" s="35" t="str">
        <f aca="false">IF(AND(IFERROR(N(INDEX(Clay_Offices!$A$2:$FZ$601,350,Sync!$C$12)),0)&gt;0,IFERROR(INDEX(Clay_Offices!$A$2:$FZ$601,350,Sync!$C$5)&amp;"","")&lt;&gt;"",OR(LEFT(IFERROR(INDEX(Clay_Offices!$A$2:$FZ$601,350,Sync!$C$5)&amp;"",""),6)&lt;&gt;"SAMPLE",Config!$B$19="Y")),IFERROR(N(INDEX(Clay_Offices!$A$2:$FZ$601,350,Sync!$C$12)),0),"")</f>
        <v/>
      </c>
      <c r="C2601" s="23" t="str">
        <f aca="false">IF(B2601="","","office")</f>
        <v/>
      </c>
      <c r="D2601" s="23" t="str">
        <f aca="false">IF(B2601="","",IFERROR(INDEX(Office_Log!$ED$2:$ED$201,MATCH(IFERROR(INDEX(Clay_Offices!$A$2:$FZ$601,350,Sync!$C$5)&amp;"",""),Office_Log!$A$2:$A$201,0))&amp;"",IFERROR(INDEX(Clay_Offices!$A$2:$FZ$601,350,Sync!$C$5)&amp;"","")&amp;""))</f>
        <v/>
      </c>
      <c r="E2601" s="23" t="str">
        <f aca="false">IF(B2601="","",IFERROR(INDEX(Clay_Offices!$A$2:$FZ$601,350,Sync!$C$6)&amp;"",""))</f>
        <v/>
      </c>
      <c r="F2601" s="23" t="str">
        <f aca="false">IF(B2601="","","outreach_sent")</f>
        <v/>
      </c>
      <c r="G2601" s="23" t="str">
        <f aca="false">IF(B2601="","","")</f>
        <v/>
      </c>
      <c r="H2601" s="23" t="str">
        <f aca="false">IF(B2601="","","")</f>
        <v/>
      </c>
      <c r="I2601" s="23" t="str">
        <f aca="false">IF(B2601="","","")</f>
        <v/>
      </c>
      <c r="J2601" s="23" t="str">
        <f aca="false">IF(B2601="","","touch_2; "&amp;IFERROR(INDEX(Clay_Offices!$A$2:$FZ$601,350,Sync!$C$10)&amp;"","")&amp;"; "&amp;IFERROR(INDEX(Clay_Offices!$A$2:$FZ$601,350,Sync!$C$9)&amp;"",""))</f>
        <v/>
      </c>
      <c r="K2601" s="32" t="s">
        <v>1364</v>
      </c>
    </row>
    <row r="2602" customFormat="false" ht="15" hidden="false" customHeight="false" outlineLevel="0" collapsed="false">
      <c r="A2602" s="23" t="str">
        <f aca="false">IF(B2602="","",B2602+(13*1000+351)/10000000)</f>
        <v/>
      </c>
      <c r="B2602" s="35" t="str">
        <f aca="false">IF(AND(IFERROR(N(INDEX(Clay_Offices!$A$2:$FZ$601,351,Sync!$C$12)),0)&gt;0,IFERROR(INDEX(Clay_Offices!$A$2:$FZ$601,351,Sync!$C$5)&amp;"","")&lt;&gt;"",OR(LEFT(IFERROR(INDEX(Clay_Offices!$A$2:$FZ$601,351,Sync!$C$5)&amp;"",""),6)&lt;&gt;"SAMPLE",Config!$B$19="Y")),IFERROR(N(INDEX(Clay_Offices!$A$2:$FZ$601,351,Sync!$C$12)),0),"")</f>
        <v/>
      </c>
      <c r="C2602" s="23" t="str">
        <f aca="false">IF(B2602="","","office")</f>
        <v/>
      </c>
      <c r="D2602" s="23" t="str">
        <f aca="false">IF(B2602="","",IFERROR(INDEX(Office_Log!$ED$2:$ED$201,MATCH(IFERROR(INDEX(Clay_Offices!$A$2:$FZ$601,351,Sync!$C$5)&amp;"",""),Office_Log!$A$2:$A$201,0))&amp;"",IFERROR(INDEX(Clay_Offices!$A$2:$FZ$601,351,Sync!$C$5)&amp;"","")&amp;""))</f>
        <v/>
      </c>
      <c r="E2602" s="23" t="str">
        <f aca="false">IF(B2602="","",IFERROR(INDEX(Clay_Offices!$A$2:$FZ$601,351,Sync!$C$6)&amp;"",""))</f>
        <v/>
      </c>
      <c r="F2602" s="23" t="str">
        <f aca="false">IF(B2602="","","outreach_sent")</f>
        <v/>
      </c>
      <c r="G2602" s="23" t="str">
        <f aca="false">IF(B2602="","","")</f>
        <v/>
      </c>
      <c r="H2602" s="23" t="str">
        <f aca="false">IF(B2602="","","")</f>
        <v/>
      </c>
      <c r="I2602" s="23" t="str">
        <f aca="false">IF(B2602="","","")</f>
        <v/>
      </c>
      <c r="J2602" s="23" t="str">
        <f aca="false">IF(B2602="","","touch_2; "&amp;IFERROR(INDEX(Clay_Offices!$A$2:$FZ$601,351,Sync!$C$10)&amp;"","")&amp;"; "&amp;IFERROR(INDEX(Clay_Offices!$A$2:$FZ$601,351,Sync!$C$9)&amp;"",""))</f>
        <v/>
      </c>
      <c r="K2602" s="32" t="s">
        <v>1364</v>
      </c>
    </row>
    <row r="2603" customFormat="false" ht="15" hidden="false" customHeight="false" outlineLevel="0" collapsed="false">
      <c r="A2603" s="23" t="str">
        <f aca="false">IF(B2603="","",B2603+(13*1000+352)/10000000)</f>
        <v/>
      </c>
      <c r="B2603" s="35" t="str">
        <f aca="false">IF(AND(IFERROR(N(INDEX(Clay_Offices!$A$2:$FZ$601,352,Sync!$C$12)),0)&gt;0,IFERROR(INDEX(Clay_Offices!$A$2:$FZ$601,352,Sync!$C$5)&amp;"","")&lt;&gt;"",OR(LEFT(IFERROR(INDEX(Clay_Offices!$A$2:$FZ$601,352,Sync!$C$5)&amp;"",""),6)&lt;&gt;"SAMPLE",Config!$B$19="Y")),IFERROR(N(INDEX(Clay_Offices!$A$2:$FZ$601,352,Sync!$C$12)),0),"")</f>
        <v/>
      </c>
      <c r="C2603" s="23" t="str">
        <f aca="false">IF(B2603="","","office")</f>
        <v/>
      </c>
      <c r="D2603" s="23" t="str">
        <f aca="false">IF(B2603="","",IFERROR(INDEX(Office_Log!$ED$2:$ED$201,MATCH(IFERROR(INDEX(Clay_Offices!$A$2:$FZ$601,352,Sync!$C$5)&amp;"",""),Office_Log!$A$2:$A$201,0))&amp;"",IFERROR(INDEX(Clay_Offices!$A$2:$FZ$601,352,Sync!$C$5)&amp;"","")&amp;""))</f>
        <v/>
      </c>
      <c r="E2603" s="23" t="str">
        <f aca="false">IF(B2603="","",IFERROR(INDEX(Clay_Offices!$A$2:$FZ$601,352,Sync!$C$6)&amp;"",""))</f>
        <v/>
      </c>
      <c r="F2603" s="23" t="str">
        <f aca="false">IF(B2603="","","outreach_sent")</f>
        <v/>
      </c>
      <c r="G2603" s="23" t="str">
        <f aca="false">IF(B2603="","","")</f>
        <v/>
      </c>
      <c r="H2603" s="23" t="str">
        <f aca="false">IF(B2603="","","")</f>
        <v/>
      </c>
      <c r="I2603" s="23" t="str">
        <f aca="false">IF(B2603="","","")</f>
        <v/>
      </c>
      <c r="J2603" s="23" t="str">
        <f aca="false">IF(B2603="","","touch_2; "&amp;IFERROR(INDEX(Clay_Offices!$A$2:$FZ$601,352,Sync!$C$10)&amp;"","")&amp;"; "&amp;IFERROR(INDEX(Clay_Offices!$A$2:$FZ$601,352,Sync!$C$9)&amp;"",""))</f>
        <v/>
      </c>
      <c r="K2603" s="32" t="s">
        <v>1364</v>
      </c>
    </row>
    <row r="2604" customFormat="false" ht="15" hidden="false" customHeight="false" outlineLevel="0" collapsed="false">
      <c r="A2604" s="23" t="str">
        <f aca="false">IF(B2604="","",B2604+(13*1000+353)/10000000)</f>
        <v/>
      </c>
      <c r="B2604" s="35" t="str">
        <f aca="false">IF(AND(IFERROR(N(INDEX(Clay_Offices!$A$2:$FZ$601,353,Sync!$C$12)),0)&gt;0,IFERROR(INDEX(Clay_Offices!$A$2:$FZ$601,353,Sync!$C$5)&amp;"","")&lt;&gt;"",OR(LEFT(IFERROR(INDEX(Clay_Offices!$A$2:$FZ$601,353,Sync!$C$5)&amp;"",""),6)&lt;&gt;"SAMPLE",Config!$B$19="Y")),IFERROR(N(INDEX(Clay_Offices!$A$2:$FZ$601,353,Sync!$C$12)),0),"")</f>
        <v/>
      </c>
      <c r="C2604" s="23" t="str">
        <f aca="false">IF(B2604="","","office")</f>
        <v/>
      </c>
      <c r="D2604" s="23" t="str">
        <f aca="false">IF(B2604="","",IFERROR(INDEX(Office_Log!$ED$2:$ED$201,MATCH(IFERROR(INDEX(Clay_Offices!$A$2:$FZ$601,353,Sync!$C$5)&amp;"",""),Office_Log!$A$2:$A$201,0))&amp;"",IFERROR(INDEX(Clay_Offices!$A$2:$FZ$601,353,Sync!$C$5)&amp;"","")&amp;""))</f>
        <v/>
      </c>
      <c r="E2604" s="23" t="str">
        <f aca="false">IF(B2604="","",IFERROR(INDEX(Clay_Offices!$A$2:$FZ$601,353,Sync!$C$6)&amp;"",""))</f>
        <v/>
      </c>
      <c r="F2604" s="23" t="str">
        <f aca="false">IF(B2604="","","outreach_sent")</f>
        <v/>
      </c>
      <c r="G2604" s="23" t="str">
        <f aca="false">IF(B2604="","","")</f>
        <v/>
      </c>
      <c r="H2604" s="23" t="str">
        <f aca="false">IF(B2604="","","")</f>
        <v/>
      </c>
      <c r="I2604" s="23" t="str">
        <f aca="false">IF(B2604="","","")</f>
        <v/>
      </c>
      <c r="J2604" s="23" t="str">
        <f aca="false">IF(B2604="","","touch_2; "&amp;IFERROR(INDEX(Clay_Offices!$A$2:$FZ$601,353,Sync!$C$10)&amp;"","")&amp;"; "&amp;IFERROR(INDEX(Clay_Offices!$A$2:$FZ$601,353,Sync!$C$9)&amp;"",""))</f>
        <v/>
      </c>
      <c r="K2604" s="32" t="s">
        <v>1364</v>
      </c>
    </row>
    <row r="2605" customFormat="false" ht="15" hidden="false" customHeight="false" outlineLevel="0" collapsed="false">
      <c r="A2605" s="23" t="str">
        <f aca="false">IF(B2605="","",B2605+(13*1000+354)/10000000)</f>
        <v/>
      </c>
      <c r="B2605" s="35" t="str">
        <f aca="false">IF(AND(IFERROR(N(INDEX(Clay_Offices!$A$2:$FZ$601,354,Sync!$C$12)),0)&gt;0,IFERROR(INDEX(Clay_Offices!$A$2:$FZ$601,354,Sync!$C$5)&amp;"","")&lt;&gt;"",OR(LEFT(IFERROR(INDEX(Clay_Offices!$A$2:$FZ$601,354,Sync!$C$5)&amp;"",""),6)&lt;&gt;"SAMPLE",Config!$B$19="Y")),IFERROR(N(INDEX(Clay_Offices!$A$2:$FZ$601,354,Sync!$C$12)),0),"")</f>
        <v/>
      </c>
      <c r="C2605" s="23" t="str">
        <f aca="false">IF(B2605="","","office")</f>
        <v/>
      </c>
      <c r="D2605" s="23" t="str">
        <f aca="false">IF(B2605="","",IFERROR(INDEX(Office_Log!$ED$2:$ED$201,MATCH(IFERROR(INDEX(Clay_Offices!$A$2:$FZ$601,354,Sync!$C$5)&amp;"",""),Office_Log!$A$2:$A$201,0))&amp;"",IFERROR(INDEX(Clay_Offices!$A$2:$FZ$601,354,Sync!$C$5)&amp;"","")&amp;""))</f>
        <v/>
      </c>
      <c r="E2605" s="23" t="str">
        <f aca="false">IF(B2605="","",IFERROR(INDEX(Clay_Offices!$A$2:$FZ$601,354,Sync!$C$6)&amp;"",""))</f>
        <v/>
      </c>
      <c r="F2605" s="23" t="str">
        <f aca="false">IF(B2605="","","outreach_sent")</f>
        <v/>
      </c>
      <c r="G2605" s="23" t="str">
        <f aca="false">IF(B2605="","","")</f>
        <v/>
      </c>
      <c r="H2605" s="23" t="str">
        <f aca="false">IF(B2605="","","")</f>
        <v/>
      </c>
      <c r="I2605" s="23" t="str">
        <f aca="false">IF(B2605="","","")</f>
        <v/>
      </c>
      <c r="J2605" s="23" t="str">
        <f aca="false">IF(B2605="","","touch_2; "&amp;IFERROR(INDEX(Clay_Offices!$A$2:$FZ$601,354,Sync!$C$10)&amp;"","")&amp;"; "&amp;IFERROR(INDEX(Clay_Offices!$A$2:$FZ$601,354,Sync!$C$9)&amp;"",""))</f>
        <v/>
      </c>
      <c r="K2605" s="32" t="s">
        <v>1364</v>
      </c>
    </row>
    <row r="2606" customFormat="false" ht="15" hidden="false" customHeight="false" outlineLevel="0" collapsed="false">
      <c r="A2606" s="23" t="str">
        <f aca="false">IF(B2606="","",B2606+(13*1000+355)/10000000)</f>
        <v/>
      </c>
      <c r="B2606" s="35" t="str">
        <f aca="false">IF(AND(IFERROR(N(INDEX(Clay_Offices!$A$2:$FZ$601,355,Sync!$C$12)),0)&gt;0,IFERROR(INDEX(Clay_Offices!$A$2:$FZ$601,355,Sync!$C$5)&amp;"","")&lt;&gt;"",OR(LEFT(IFERROR(INDEX(Clay_Offices!$A$2:$FZ$601,355,Sync!$C$5)&amp;"",""),6)&lt;&gt;"SAMPLE",Config!$B$19="Y")),IFERROR(N(INDEX(Clay_Offices!$A$2:$FZ$601,355,Sync!$C$12)),0),"")</f>
        <v/>
      </c>
      <c r="C2606" s="23" t="str">
        <f aca="false">IF(B2606="","","office")</f>
        <v/>
      </c>
      <c r="D2606" s="23" t="str">
        <f aca="false">IF(B2606="","",IFERROR(INDEX(Office_Log!$ED$2:$ED$201,MATCH(IFERROR(INDEX(Clay_Offices!$A$2:$FZ$601,355,Sync!$C$5)&amp;"",""),Office_Log!$A$2:$A$201,0))&amp;"",IFERROR(INDEX(Clay_Offices!$A$2:$FZ$601,355,Sync!$C$5)&amp;"","")&amp;""))</f>
        <v/>
      </c>
      <c r="E2606" s="23" t="str">
        <f aca="false">IF(B2606="","",IFERROR(INDEX(Clay_Offices!$A$2:$FZ$601,355,Sync!$C$6)&amp;"",""))</f>
        <v/>
      </c>
      <c r="F2606" s="23" t="str">
        <f aca="false">IF(B2606="","","outreach_sent")</f>
        <v/>
      </c>
      <c r="G2606" s="23" t="str">
        <f aca="false">IF(B2606="","","")</f>
        <v/>
      </c>
      <c r="H2606" s="23" t="str">
        <f aca="false">IF(B2606="","","")</f>
        <v/>
      </c>
      <c r="I2606" s="23" t="str">
        <f aca="false">IF(B2606="","","")</f>
        <v/>
      </c>
      <c r="J2606" s="23" t="str">
        <f aca="false">IF(B2606="","","touch_2; "&amp;IFERROR(INDEX(Clay_Offices!$A$2:$FZ$601,355,Sync!$C$10)&amp;"","")&amp;"; "&amp;IFERROR(INDEX(Clay_Offices!$A$2:$FZ$601,355,Sync!$C$9)&amp;"",""))</f>
        <v/>
      </c>
      <c r="K2606" s="32" t="s">
        <v>1364</v>
      </c>
    </row>
    <row r="2607" customFormat="false" ht="15" hidden="false" customHeight="false" outlineLevel="0" collapsed="false">
      <c r="A2607" s="23" t="str">
        <f aca="false">IF(B2607="","",B2607+(13*1000+356)/10000000)</f>
        <v/>
      </c>
      <c r="B2607" s="35" t="str">
        <f aca="false">IF(AND(IFERROR(N(INDEX(Clay_Offices!$A$2:$FZ$601,356,Sync!$C$12)),0)&gt;0,IFERROR(INDEX(Clay_Offices!$A$2:$FZ$601,356,Sync!$C$5)&amp;"","")&lt;&gt;"",OR(LEFT(IFERROR(INDEX(Clay_Offices!$A$2:$FZ$601,356,Sync!$C$5)&amp;"",""),6)&lt;&gt;"SAMPLE",Config!$B$19="Y")),IFERROR(N(INDEX(Clay_Offices!$A$2:$FZ$601,356,Sync!$C$12)),0),"")</f>
        <v/>
      </c>
      <c r="C2607" s="23" t="str">
        <f aca="false">IF(B2607="","","office")</f>
        <v/>
      </c>
      <c r="D2607" s="23" t="str">
        <f aca="false">IF(B2607="","",IFERROR(INDEX(Office_Log!$ED$2:$ED$201,MATCH(IFERROR(INDEX(Clay_Offices!$A$2:$FZ$601,356,Sync!$C$5)&amp;"",""),Office_Log!$A$2:$A$201,0))&amp;"",IFERROR(INDEX(Clay_Offices!$A$2:$FZ$601,356,Sync!$C$5)&amp;"","")&amp;""))</f>
        <v/>
      </c>
      <c r="E2607" s="23" t="str">
        <f aca="false">IF(B2607="","",IFERROR(INDEX(Clay_Offices!$A$2:$FZ$601,356,Sync!$C$6)&amp;"",""))</f>
        <v/>
      </c>
      <c r="F2607" s="23" t="str">
        <f aca="false">IF(B2607="","","outreach_sent")</f>
        <v/>
      </c>
      <c r="G2607" s="23" t="str">
        <f aca="false">IF(B2607="","","")</f>
        <v/>
      </c>
      <c r="H2607" s="23" t="str">
        <f aca="false">IF(B2607="","","")</f>
        <v/>
      </c>
      <c r="I2607" s="23" t="str">
        <f aca="false">IF(B2607="","","")</f>
        <v/>
      </c>
      <c r="J2607" s="23" t="str">
        <f aca="false">IF(B2607="","","touch_2; "&amp;IFERROR(INDEX(Clay_Offices!$A$2:$FZ$601,356,Sync!$C$10)&amp;"","")&amp;"; "&amp;IFERROR(INDEX(Clay_Offices!$A$2:$FZ$601,356,Sync!$C$9)&amp;"",""))</f>
        <v/>
      </c>
      <c r="K2607" s="32" t="s">
        <v>1364</v>
      </c>
    </row>
    <row r="2608" customFormat="false" ht="15" hidden="false" customHeight="false" outlineLevel="0" collapsed="false">
      <c r="A2608" s="23" t="str">
        <f aca="false">IF(B2608="","",B2608+(13*1000+357)/10000000)</f>
        <v/>
      </c>
      <c r="B2608" s="35" t="str">
        <f aca="false">IF(AND(IFERROR(N(INDEX(Clay_Offices!$A$2:$FZ$601,357,Sync!$C$12)),0)&gt;0,IFERROR(INDEX(Clay_Offices!$A$2:$FZ$601,357,Sync!$C$5)&amp;"","")&lt;&gt;"",OR(LEFT(IFERROR(INDEX(Clay_Offices!$A$2:$FZ$601,357,Sync!$C$5)&amp;"",""),6)&lt;&gt;"SAMPLE",Config!$B$19="Y")),IFERROR(N(INDEX(Clay_Offices!$A$2:$FZ$601,357,Sync!$C$12)),0),"")</f>
        <v/>
      </c>
      <c r="C2608" s="23" t="str">
        <f aca="false">IF(B2608="","","office")</f>
        <v/>
      </c>
      <c r="D2608" s="23" t="str">
        <f aca="false">IF(B2608="","",IFERROR(INDEX(Office_Log!$ED$2:$ED$201,MATCH(IFERROR(INDEX(Clay_Offices!$A$2:$FZ$601,357,Sync!$C$5)&amp;"",""),Office_Log!$A$2:$A$201,0))&amp;"",IFERROR(INDEX(Clay_Offices!$A$2:$FZ$601,357,Sync!$C$5)&amp;"","")&amp;""))</f>
        <v/>
      </c>
      <c r="E2608" s="23" t="str">
        <f aca="false">IF(B2608="","",IFERROR(INDEX(Clay_Offices!$A$2:$FZ$601,357,Sync!$C$6)&amp;"",""))</f>
        <v/>
      </c>
      <c r="F2608" s="23" t="str">
        <f aca="false">IF(B2608="","","outreach_sent")</f>
        <v/>
      </c>
      <c r="G2608" s="23" t="str">
        <f aca="false">IF(B2608="","","")</f>
        <v/>
      </c>
      <c r="H2608" s="23" t="str">
        <f aca="false">IF(B2608="","","")</f>
        <v/>
      </c>
      <c r="I2608" s="23" t="str">
        <f aca="false">IF(B2608="","","")</f>
        <v/>
      </c>
      <c r="J2608" s="23" t="str">
        <f aca="false">IF(B2608="","","touch_2; "&amp;IFERROR(INDEX(Clay_Offices!$A$2:$FZ$601,357,Sync!$C$10)&amp;"","")&amp;"; "&amp;IFERROR(INDEX(Clay_Offices!$A$2:$FZ$601,357,Sync!$C$9)&amp;"",""))</f>
        <v/>
      </c>
      <c r="K2608" s="32" t="s">
        <v>1364</v>
      </c>
    </row>
    <row r="2609" customFormat="false" ht="15" hidden="false" customHeight="false" outlineLevel="0" collapsed="false">
      <c r="A2609" s="23" t="str">
        <f aca="false">IF(B2609="","",B2609+(13*1000+358)/10000000)</f>
        <v/>
      </c>
      <c r="B2609" s="35" t="str">
        <f aca="false">IF(AND(IFERROR(N(INDEX(Clay_Offices!$A$2:$FZ$601,358,Sync!$C$12)),0)&gt;0,IFERROR(INDEX(Clay_Offices!$A$2:$FZ$601,358,Sync!$C$5)&amp;"","")&lt;&gt;"",OR(LEFT(IFERROR(INDEX(Clay_Offices!$A$2:$FZ$601,358,Sync!$C$5)&amp;"",""),6)&lt;&gt;"SAMPLE",Config!$B$19="Y")),IFERROR(N(INDEX(Clay_Offices!$A$2:$FZ$601,358,Sync!$C$12)),0),"")</f>
        <v/>
      </c>
      <c r="C2609" s="23" t="str">
        <f aca="false">IF(B2609="","","office")</f>
        <v/>
      </c>
      <c r="D2609" s="23" t="str">
        <f aca="false">IF(B2609="","",IFERROR(INDEX(Office_Log!$ED$2:$ED$201,MATCH(IFERROR(INDEX(Clay_Offices!$A$2:$FZ$601,358,Sync!$C$5)&amp;"",""),Office_Log!$A$2:$A$201,0))&amp;"",IFERROR(INDEX(Clay_Offices!$A$2:$FZ$601,358,Sync!$C$5)&amp;"","")&amp;""))</f>
        <v/>
      </c>
      <c r="E2609" s="23" t="str">
        <f aca="false">IF(B2609="","",IFERROR(INDEX(Clay_Offices!$A$2:$FZ$601,358,Sync!$C$6)&amp;"",""))</f>
        <v/>
      </c>
      <c r="F2609" s="23" t="str">
        <f aca="false">IF(B2609="","","outreach_sent")</f>
        <v/>
      </c>
      <c r="G2609" s="23" t="str">
        <f aca="false">IF(B2609="","","")</f>
        <v/>
      </c>
      <c r="H2609" s="23" t="str">
        <f aca="false">IF(B2609="","","")</f>
        <v/>
      </c>
      <c r="I2609" s="23" t="str">
        <f aca="false">IF(B2609="","","")</f>
        <v/>
      </c>
      <c r="J2609" s="23" t="str">
        <f aca="false">IF(B2609="","","touch_2; "&amp;IFERROR(INDEX(Clay_Offices!$A$2:$FZ$601,358,Sync!$C$10)&amp;"","")&amp;"; "&amp;IFERROR(INDEX(Clay_Offices!$A$2:$FZ$601,358,Sync!$C$9)&amp;"",""))</f>
        <v/>
      </c>
      <c r="K2609" s="32" t="s">
        <v>1364</v>
      </c>
    </row>
    <row r="2610" customFormat="false" ht="15" hidden="false" customHeight="false" outlineLevel="0" collapsed="false">
      <c r="A2610" s="23" t="str">
        <f aca="false">IF(B2610="","",B2610+(13*1000+359)/10000000)</f>
        <v/>
      </c>
      <c r="B2610" s="35" t="str">
        <f aca="false">IF(AND(IFERROR(N(INDEX(Clay_Offices!$A$2:$FZ$601,359,Sync!$C$12)),0)&gt;0,IFERROR(INDEX(Clay_Offices!$A$2:$FZ$601,359,Sync!$C$5)&amp;"","")&lt;&gt;"",OR(LEFT(IFERROR(INDEX(Clay_Offices!$A$2:$FZ$601,359,Sync!$C$5)&amp;"",""),6)&lt;&gt;"SAMPLE",Config!$B$19="Y")),IFERROR(N(INDEX(Clay_Offices!$A$2:$FZ$601,359,Sync!$C$12)),0),"")</f>
        <v/>
      </c>
      <c r="C2610" s="23" t="str">
        <f aca="false">IF(B2610="","","office")</f>
        <v/>
      </c>
      <c r="D2610" s="23" t="str">
        <f aca="false">IF(B2610="","",IFERROR(INDEX(Office_Log!$ED$2:$ED$201,MATCH(IFERROR(INDEX(Clay_Offices!$A$2:$FZ$601,359,Sync!$C$5)&amp;"",""),Office_Log!$A$2:$A$201,0))&amp;"",IFERROR(INDEX(Clay_Offices!$A$2:$FZ$601,359,Sync!$C$5)&amp;"","")&amp;""))</f>
        <v/>
      </c>
      <c r="E2610" s="23" t="str">
        <f aca="false">IF(B2610="","",IFERROR(INDEX(Clay_Offices!$A$2:$FZ$601,359,Sync!$C$6)&amp;"",""))</f>
        <v/>
      </c>
      <c r="F2610" s="23" t="str">
        <f aca="false">IF(B2610="","","outreach_sent")</f>
        <v/>
      </c>
      <c r="G2610" s="23" t="str">
        <f aca="false">IF(B2610="","","")</f>
        <v/>
      </c>
      <c r="H2610" s="23" t="str">
        <f aca="false">IF(B2610="","","")</f>
        <v/>
      </c>
      <c r="I2610" s="23" t="str">
        <f aca="false">IF(B2610="","","")</f>
        <v/>
      </c>
      <c r="J2610" s="23" t="str">
        <f aca="false">IF(B2610="","","touch_2; "&amp;IFERROR(INDEX(Clay_Offices!$A$2:$FZ$601,359,Sync!$C$10)&amp;"","")&amp;"; "&amp;IFERROR(INDEX(Clay_Offices!$A$2:$FZ$601,359,Sync!$C$9)&amp;"",""))</f>
        <v/>
      </c>
      <c r="K2610" s="32" t="s">
        <v>1364</v>
      </c>
    </row>
    <row r="2611" customFormat="false" ht="15" hidden="false" customHeight="false" outlineLevel="0" collapsed="false">
      <c r="A2611" s="23" t="str">
        <f aca="false">IF(B2611="","",B2611+(13*1000+360)/10000000)</f>
        <v/>
      </c>
      <c r="B2611" s="35" t="str">
        <f aca="false">IF(AND(IFERROR(N(INDEX(Clay_Offices!$A$2:$FZ$601,360,Sync!$C$12)),0)&gt;0,IFERROR(INDEX(Clay_Offices!$A$2:$FZ$601,360,Sync!$C$5)&amp;"","")&lt;&gt;"",OR(LEFT(IFERROR(INDEX(Clay_Offices!$A$2:$FZ$601,360,Sync!$C$5)&amp;"",""),6)&lt;&gt;"SAMPLE",Config!$B$19="Y")),IFERROR(N(INDEX(Clay_Offices!$A$2:$FZ$601,360,Sync!$C$12)),0),"")</f>
        <v/>
      </c>
      <c r="C2611" s="23" t="str">
        <f aca="false">IF(B2611="","","office")</f>
        <v/>
      </c>
      <c r="D2611" s="23" t="str">
        <f aca="false">IF(B2611="","",IFERROR(INDEX(Office_Log!$ED$2:$ED$201,MATCH(IFERROR(INDEX(Clay_Offices!$A$2:$FZ$601,360,Sync!$C$5)&amp;"",""),Office_Log!$A$2:$A$201,0))&amp;"",IFERROR(INDEX(Clay_Offices!$A$2:$FZ$601,360,Sync!$C$5)&amp;"","")&amp;""))</f>
        <v/>
      </c>
      <c r="E2611" s="23" t="str">
        <f aca="false">IF(B2611="","",IFERROR(INDEX(Clay_Offices!$A$2:$FZ$601,360,Sync!$C$6)&amp;"",""))</f>
        <v/>
      </c>
      <c r="F2611" s="23" t="str">
        <f aca="false">IF(B2611="","","outreach_sent")</f>
        <v/>
      </c>
      <c r="G2611" s="23" t="str">
        <f aca="false">IF(B2611="","","")</f>
        <v/>
      </c>
      <c r="H2611" s="23" t="str">
        <f aca="false">IF(B2611="","","")</f>
        <v/>
      </c>
      <c r="I2611" s="23" t="str">
        <f aca="false">IF(B2611="","","")</f>
        <v/>
      </c>
      <c r="J2611" s="23" t="str">
        <f aca="false">IF(B2611="","","touch_2; "&amp;IFERROR(INDEX(Clay_Offices!$A$2:$FZ$601,360,Sync!$C$10)&amp;"","")&amp;"; "&amp;IFERROR(INDEX(Clay_Offices!$A$2:$FZ$601,360,Sync!$C$9)&amp;"",""))</f>
        <v/>
      </c>
      <c r="K2611" s="32" t="s">
        <v>1364</v>
      </c>
    </row>
    <row r="2612" customFormat="false" ht="15" hidden="false" customHeight="false" outlineLevel="0" collapsed="false">
      <c r="A2612" s="23" t="str">
        <f aca="false">IF(B2612="","",B2612+(13*1000+361)/10000000)</f>
        <v/>
      </c>
      <c r="B2612" s="35" t="str">
        <f aca="false">IF(AND(IFERROR(N(INDEX(Clay_Offices!$A$2:$FZ$601,361,Sync!$C$12)),0)&gt;0,IFERROR(INDEX(Clay_Offices!$A$2:$FZ$601,361,Sync!$C$5)&amp;"","")&lt;&gt;"",OR(LEFT(IFERROR(INDEX(Clay_Offices!$A$2:$FZ$601,361,Sync!$C$5)&amp;"",""),6)&lt;&gt;"SAMPLE",Config!$B$19="Y")),IFERROR(N(INDEX(Clay_Offices!$A$2:$FZ$601,361,Sync!$C$12)),0),"")</f>
        <v/>
      </c>
      <c r="C2612" s="23" t="str">
        <f aca="false">IF(B2612="","","office")</f>
        <v/>
      </c>
      <c r="D2612" s="23" t="str">
        <f aca="false">IF(B2612="","",IFERROR(INDEX(Office_Log!$ED$2:$ED$201,MATCH(IFERROR(INDEX(Clay_Offices!$A$2:$FZ$601,361,Sync!$C$5)&amp;"",""),Office_Log!$A$2:$A$201,0))&amp;"",IFERROR(INDEX(Clay_Offices!$A$2:$FZ$601,361,Sync!$C$5)&amp;"","")&amp;""))</f>
        <v/>
      </c>
      <c r="E2612" s="23" t="str">
        <f aca="false">IF(B2612="","",IFERROR(INDEX(Clay_Offices!$A$2:$FZ$601,361,Sync!$C$6)&amp;"",""))</f>
        <v/>
      </c>
      <c r="F2612" s="23" t="str">
        <f aca="false">IF(B2612="","","outreach_sent")</f>
        <v/>
      </c>
      <c r="G2612" s="23" t="str">
        <f aca="false">IF(B2612="","","")</f>
        <v/>
      </c>
      <c r="H2612" s="23" t="str">
        <f aca="false">IF(B2612="","","")</f>
        <v/>
      </c>
      <c r="I2612" s="23" t="str">
        <f aca="false">IF(B2612="","","")</f>
        <v/>
      </c>
      <c r="J2612" s="23" t="str">
        <f aca="false">IF(B2612="","","touch_2; "&amp;IFERROR(INDEX(Clay_Offices!$A$2:$FZ$601,361,Sync!$C$10)&amp;"","")&amp;"; "&amp;IFERROR(INDEX(Clay_Offices!$A$2:$FZ$601,361,Sync!$C$9)&amp;"",""))</f>
        <v/>
      </c>
      <c r="K2612" s="32" t="s">
        <v>1364</v>
      </c>
    </row>
    <row r="2613" customFormat="false" ht="15" hidden="false" customHeight="false" outlineLevel="0" collapsed="false">
      <c r="A2613" s="23" t="str">
        <f aca="false">IF(B2613="","",B2613+(13*1000+362)/10000000)</f>
        <v/>
      </c>
      <c r="B2613" s="35" t="str">
        <f aca="false">IF(AND(IFERROR(N(INDEX(Clay_Offices!$A$2:$FZ$601,362,Sync!$C$12)),0)&gt;0,IFERROR(INDEX(Clay_Offices!$A$2:$FZ$601,362,Sync!$C$5)&amp;"","")&lt;&gt;"",OR(LEFT(IFERROR(INDEX(Clay_Offices!$A$2:$FZ$601,362,Sync!$C$5)&amp;"",""),6)&lt;&gt;"SAMPLE",Config!$B$19="Y")),IFERROR(N(INDEX(Clay_Offices!$A$2:$FZ$601,362,Sync!$C$12)),0),"")</f>
        <v/>
      </c>
      <c r="C2613" s="23" t="str">
        <f aca="false">IF(B2613="","","office")</f>
        <v/>
      </c>
      <c r="D2613" s="23" t="str">
        <f aca="false">IF(B2613="","",IFERROR(INDEX(Office_Log!$ED$2:$ED$201,MATCH(IFERROR(INDEX(Clay_Offices!$A$2:$FZ$601,362,Sync!$C$5)&amp;"",""),Office_Log!$A$2:$A$201,0))&amp;"",IFERROR(INDEX(Clay_Offices!$A$2:$FZ$601,362,Sync!$C$5)&amp;"","")&amp;""))</f>
        <v/>
      </c>
      <c r="E2613" s="23" t="str">
        <f aca="false">IF(B2613="","",IFERROR(INDEX(Clay_Offices!$A$2:$FZ$601,362,Sync!$C$6)&amp;"",""))</f>
        <v/>
      </c>
      <c r="F2613" s="23" t="str">
        <f aca="false">IF(B2613="","","outreach_sent")</f>
        <v/>
      </c>
      <c r="G2613" s="23" t="str">
        <f aca="false">IF(B2613="","","")</f>
        <v/>
      </c>
      <c r="H2613" s="23" t="str">
        <f aca="false">IF(B2613="","","")</f>
        <v/>
      </c>
      <c r="I2613" s="23" t="str">
        <f aca="false">IF(B2613="","","")</f>
        <v/>
      </c>
      <c r="J2613" s="23" t="str">
        <f aca="false">IF(B2613="","","touch_2; "&amp;IFERROR(INDEX(Clay_Offices!$A$2:$FZ$601,362,Sync!$C$10)&amp;"","")&amp;"; "&amp;IFERROR(INDEX(Clay_Offices!$A$2:$FZ$601,362,Sync!$C$9)&amp;"",""))</f>
        <v/>
      </c>
      <c r="K2613" s="32" t="s">
        <v>1364</v>
      </c>
    </row>
    <row r="2614" customFormat="false" ht="15" hidden="false" customHeight="false" outlineLevel="0" collapsed="false">
      <c r="A2614" s="23" t="str">
        <f aca="false">IF(B2614="","",B2614+(13*1000+363)/10000000)</f>
        <v/>
      </c>
      <c r="B2614" s="35" t="str">
        <f aca="false">IF(AND(IFERROR(N(INDEX(Clay_Offices!$A$2:$FZ$601,363,Sync!$C$12)),0)&gt;0,IFERROR(INDEX(Clay_Offices!$A$2:$FZ$601,363,Sync!$C$5)&amp;"","")&lt;&gt;"",OR(LEFT(IFERROR(INDEX(Clay_Offices!$A$2:$FZ$601,363,Sync!$C$5)&amp;"",""),6)&lt;&gt;"SAMPLE",Config!$B$19="Y")),IFERROR(N(INDEX(Clay_Offices!$A$2:$FZ$601,363,Sync!$C$12)),0),"")</f>
        <v/>
      </c>
      <c r="C2614" s="23" t="str">
        <f aca="false">IF(B2614="","","office")</f>
        <v/>
      </c>
      <c r="D2614" s="23" t="str">
        <f aca="false">IF(B2614="","",IFERROR(INDEX(Office_Log!$ED$2:$ED$201,MATCH(IFERROR(INDEX(Clay_Offices!$A$2:$FZ$601,363,Sync!$C$5)&amp;"",""),Office_Log!$A$2:$A$201,0))&amp;"",IFERROR(INDEX(Clay_Offices!$A$2:$FZ$601,363,Sync!$C$5)&amp;"","")&amp;""))</f>
        <v/>
      </c>
      <c r="E2614" s="23" t="str">
        <f aca="false">IF(B2614="","",IFERROR(INDEX(Clay_Offices!$A$2:$FZ$601,363,Sync!$C$6)&amp;"",""))</f>
        <v/>
      </c>
      <c r="F2614" s="23" t="str">
        <f aca="false">IF(B2614="","","outreach_sent")</f>
        <v/>
      </c>
      <c r="G2614" s="23" t="str">
        <f aca="false">IF(B2614="","","")</f>
        <v/>
      </c>
      <c r="H2614" s="23" t="str">
        <f aca="false">IF(B2614="","","")</f>
        <v/>
      </c>
      <c r="I2614" s="23" t="str">
        <f aca="false">IF(B2614="","","")</f>
        <v/>
      </c>
      <c r="J2614" s="23" t="str">
        <f aca="false">IF(B2614="","","touch_2; "&amp;IFERROR(INDEX(Clay_Offices!$A$2:$FZ$601,363,Sync!$C$10)&amp;"","")&amp;"; "&amp;IFERROR(INDEX(Clay_Offices!$A$2:$FZ$601,363,Sync!$C$9)&amp;"",""))</f>
        <v/>
      </c>
      <c r="K2614" s="32" t="s">
        <v>1364</v>
      </c>
    </row>
    <row r="2615" customFormat="false" ht="15" hidden="false" customHeight="false" outlineLevel="0" collapsed="false">
      <c r="A2615" s="23" t="str">
        <f aca="false">IF(B2615="","",B2615+(13*1000+364)/10000000)</f>
        <v/>
      </c>
      <c r="B2615" s="35" t="str">
        <f aca="false">IF(AND(IFERROR(N(INDEX(Clay_Offices!$A$2:$FZ$601,364,Sync!$C$12)),0)&gt;0,IFERROR(INDEX(Clay_Offices!$A$2:$FZ$601,364,Sync!$C$5)&amp;"","")&lt;&gt;"",OR(LEFT(IFERROR(INDEX(Clay_Offices!$A$2:$FZ$601,364,Sync!$C$5)&amp;"",""),6)&lt;&gt;"SAMPLE",Config!$B$19="Y")),IFERROR(N(INDEX(Clay_Offices!$A$2:$FZ$601,364,Sync!$C$12)),0),"")</f>
        <v/>
      </c>
      <c r="C2615" s="23" t="str">
        <f aca="false">IF(B2615="","","office")</f>
        <v/>
      </c>
      <c r="D2615" s="23" t="str">
        <f aca="false">IF(B2615="","",IFERROR(INDEX(Office_Log!$ED$2:$ED$201,MATCH(IFERROR(INDEX(Clay_Offices!$A$2:$FZ$601,364,Sync!$C$5)&amp;"",""),Office_Log!$A$2:$A$201,0))&amp;"",IFERROR(INDEX(Clay_Offices!$A$2:$FZ$601,364,Sync!$C$5)&amp;"","")&amp;""))</f>
        <v/>
      </c>
      <c r="E2615" s="23" t="str">
        <f aca="false">IF(B2615="","",IFERROR(INDEX(Clay_Offices!$A$2:$FZ$601,364,Sync!$C$6)&amp;"",""))</f>
        <v/>
      </c>
      <c r="F2615" s="23" t="str">
        <f aca="false">IF(B2615="","","outreach_sent")</f>
        <v/>
      </c>
      <c r="G2615" s="23" t="str">
        <f aca="false">IF(B2615="","","")</f>
        <v/>
      </c>
      <c r="H2615" s="23" t="str">
        <f aca="false">IF(B2615="","","")</f>
        <v/>
      </c>
      <c r="I2615" s="23" t="str">
        <f aca="false">IF(B2615="","","")</f>
        <v/>
      </c>
      <c r="J2615" s="23" t="str">
        <f aca="false">IF(B2615="","","touch_2; "&amp;IFERROR(INDEX(Clay_Offices!$A$2:$FZ$601,364,Sync!$C$10)&amp;"","")&amp;"; "&amp;IFERROR(INDEX(Clay_Offices!$A$2:$FZ$601,364,Sync!$C$9)&amp;"",""))</f>
        <v/>
      </c>
      <c r="K2615" s="32" t="s">
        <v>1364</v>
      </c>
    </row>
    <row r="2616" customFormat="false" ht="15" hidden="false" customHeight="false" outlineLevel="0" collapsed="false">
      <c r="A2616" s="23" t="str">
        <f aca="false">IF(B2616="","",B2616+(13*1000+365)/10000000)</f>
        <v/>
      </c>
      <c r="B2616" s="35" t="str">
        <f aca="false">IF(AND(IFERROR(N(INDEX(Clay_Offices!$A$2:$FZ$601,365,Sync!$C$12)),0)&gt;0,IFERROR(INDEX(Clay_Offices!$A$2:$FZ$601,365,Sync!$C$5)&amp;"","")&lt;&gt;"",OR(LEFT(IFERROR(INDEX(Clay_Offices!$A$2:$FZ$601,365,Sync!$C$5)&amp;"",""),6)&lt;&gt;"SAMPLE",Config!$B$19="Y")),IFERROR(N(INDEX(Clay_Offices!$A$2:$FZ$601,365,Sync!$C$12)),0),"")</f>
        <v/>
      </c>
      <c r="C2616" s="23" t="str">
        <f aca="false">IF(B2616="","","office")</f>
        <v/>
      </c>
      <c r="D2616" s="23" t="str">
        <f aca="false">IF(B2616="","",IFERROR(INDEX(Office_Log!$ED$2:$ED$201,MATCH(IFERROR(INDEX(Clay_Offices!$A$2:$FZ$601,365,Sync!$C$5)&amp;"",""),Office_Log!$A$2:$A$201,0))&amp;"",IFERROR(INDEX(Clay_Offices!$A$2:$FZ$601,365,Sync!$C$5)&amp;"","")&amp;""))</f>
        <v/>
      </c>
      <c r="E2616" s="23" t="str">
        <f aca="false">IF(B2616="","",IFERROR(INDEX(Clay_Offices!$A$2:$FZ$601,365,Sync!$C$6)&amp;"",""))</f>
        <v/>
      </c>
      <c r="F2616" s="23" t="str">
        <f aca="false">IF(B2616="","","outreach_sent")</f>
        <v/>
      </c>
      <c r="G2616" s="23" t="str">
        <f aca="false">IF(B2616="","","")</f>
        <v/>
      </c>
      <c r="H2616" s="23" t="str">
        <f aca="false">IF(B2616="","","")</f>
        <v/>
      </c>
      <c r="I2616" s="23" t="str">
        <f aca="false">IF(B2616="","","")</f>
        <v/>
      </c>
      <c r="J2616" s="23" t="str">
        <f aca="false">IF(B2616="","","touch_2; "&amp;IFERROR(INDEX(Clay_Offices!$A$2:$FZ$601,365,Sync!$C$10)&amp;"","")&amp;"; "&amp;IFERROR(INDEX(Clay_Offices!$A$2:$FZ$601,365,Sync!$C$9)&amp;"",""))</f>
        <v/>
      </c>
      <c r="K2616" s="32" t="s">
        <v>1364</v>
      </c>
    </row>
    <row r="2617" customFormat="false" ht="15" hidden="false" customHeight="false" outlineLevel="0" collapsed="false">
      <c r="A2617" s="23" t="str">
        <f aca="false">IF(B2617="","",B2617+(13*1000+366)/10000000)</f>
        <v/>
      </c>
      <c r="B2617" s="35" t="str">
        <f aca="false">IF(AND(IFERROR(N(INDEX(Clay_Offices!$A$2:$FZ$601,366,Sync!$C$12)),0)&gt;0,IFERROR(INDEX(Clay_Offices!$A$2:$FZ$601,366,Sync!$C$5)&amp;"","")&lt;&gt;"",OR(LEFT(IFERROR(INDEX(Clay_Offices!$A$2:$FZ$601,366,Sync!$C$5)&amp;"",""),6)&lt;&gt;"SAMPLE",Config!$B$19="Y")),IFERROR(N(INDEX(Clay_Offices!$A$2:$FZ$601,366,Sync!$C$12)),0),"")</f>
        <v/>
      </c>
      <c r="C2617" s="23" t="str">
        <f aca="false">IF(B2617="","","office")</f>
        <v/>
      </c>
      <c r="D2617" s="23" t="str">
        <f aca="false">IF(B2617="","",IFERROR(INDEX(Office_Log!$ED$2:$ED$201,MATCH(IFERROR(INDEX(Clay_Offices!$A$2:$FZ$601,366,Sync!$C$5)&amp;"",""),Office_Log!$A$2:$A$201,0))&amp;"",IFERROR(INDEX(Clay_Offices!$A$2:$FZ$601,366,Sync!$C$5)&amp;"","")&amp;""))</f>
        <v/>
      </c>
      <c r="E2617" s="23" t="str">
        <f aca="false">IF(B2617="","",IFERROR(INDEX(Clay_Offices!$A$2:$FZ$601,366,Sync!$C$6)&amp;"",""))</f>
        <v/>
      </c>
      <c r="F2617" s="23" t="str">
        <f aca="false">IF(B2617="","","outreach_sent")</f>
        <v/>
      </c>
      <c r="G2617" s="23" t="str">
        <f aca="false">IF(B2617="","","")</f>
        <v/>
      </c>
      <c r="H2617" s="23" t="str">
        <f aca="false">IF(B2617="","","")</f>
        <v/>
      </c>
      <c r="I2617" s="23" t="str">
        <f aca="false">IF(B2617="","","")</f>
        <v/>
      </c>
      <c r="J2617" s="23" t="str">
        <f aca="false">IF(B2617="","","touch_2; "&amp;IFERROR(INDEX(Clay_Offices!$A$2:$FZ$601,366,Sync!$C$10)&amp;"","")&amp;"; "&amp;IFERROR(INDEX(Clay_Offices!$A$2:$FZ$601,366,Sync!$C$9)&amp;"",""))</f>
        <v/>
      </c>
      <c r="K2617" s="32" t="s">
        <v>1364</v>
      </c>
    </row>
    <row r="2618" customFormat="false" ht="15" hidden="false" customHeight="false" outlineLevel="0" collapsed="false">
      <c r="A2618" s="23" t="str">
        <f aca="false">IF(B2618="","",B2618+(13*1000+367)/10000000)</f>
        <v/>
      </c>
      <c r="B2618" s="35" t="str">
        <f aca="false">IF(AND(IFERROR(N(INDEX(Clay_Offices!$A$2:$FZ$601,367,Sync!$C$12)),0)&gt;0,IFERROR(INDEX(Clay_Offices!$A$2:$FZ$601,367,Sync!$C$5)&amp;"","")&lt;&gt;"",OR(LEFT(IFERROR(INDEX(Clay_Offices!$A$2:$FZ$601,367,Sync!$C$5)&amp;"",""),6)&lt;&gt;"SAMPLE",Config!$B$19="Y")),IFERROR(N(INDEX(Clay_Offices!$A$2:$FZ$601,367,Sync!$C$12)),0),"")</f>
        <v/>
      </c>
      <c r="C2618" s="23" t="str">
        <f aca="false">IF(B2618="","","office")</f>
        <v/>
      </c>
      <c r="D2618" s="23" t="str">
        <f aca="false">IF(B2618="","",IFERROR(INDEX(Office_Log!$ED$2:$ED$201,MATCH(IFERROR(INDEX(Clay_Offices!$A$2:$FZ$601,367,Sync!$C$5)&amp;"",""),Office_Log!$A$2:$A$201,0))&amp;"",IFERROR(INDEX(Clay_Offices!$A$2:$FZ$601,367,Sync!$C$5)&amp;"","")&amp;""))</f>
        <v/>
      </c>
      <c r="E2618" s="23" t="str">
        <f aca="false">IF(B2618="","",IFERROR(INDEX(Clay_Offices!$A$2:$FZ$601,367,Sync!$C$6)&amp;"",""))</f>
        <v/>
      </c>
      <c r="F2618" s="23" t="str">
        <f aca="false">IF(B2618="","","outreach_sent")</f>
        <v/>
      </c>
      <c r="G2618" s="23" t="str">
        <f aca="false">IF(B2618="","","")</f>
        <v/>
      </c>
      <c r="H2618" s="23" t="str">
        <f aca="false">IF(B2618="","","")</f>
        <v/>
      </c>
      <c r="I2618" s="23" t="str">
        <f aca="false">IF(B2618="","","")</f>
        <v/>
      </c>
      <c r="J2618" s="23" t="str">
        <f aca="false">IF(B2618="","","touch_2; "&amp;IFERROR(INDEX(Clay_Offices!$A$2:$FZ$601,367,Sync!$C$10)&amp;"","")&amp;"; "&amp;IFERROR(INDEX(Clay_Offices!$A$2:$FZ$601,367,Sync!$C$9)&amp;"",""))</f>
        <v/>
      </c>
      <c r="K2618" s="32" t="s">
        <v>1364</v>
      </c>
    </row>
    <row r="2619" customFormat="false" ht="15" hidden="false" customHeight="false" outlineLevel="0" collapsed="false">
      <c r="A2619" s="23" t="str">
        <f aca="false">IF(B2619="","",B2619+(13*1000+368)/10000000)</f>
        <v/>
      </c>
      <c r="B2619" s="35" t="str">
        <f aca="false">IF(AND(IFERROR(N(INDEX(Clay_Offices!$A$2:$FZ$601,368,Sync!$C$12)),0)&gt;0,IFERROR(INDEX(Clay_Offices!$A$2:$FZ$601,368,Sync!$C$5)&amp;"","")&lt;&gt;"",OR(LEFT(IFERROR(INDEX(Clay_Offices!$A$2:$FZ$601,368,Sync!$C$5)&amp;"",""),6)&lt;&gt;"SAMPLE",Config!$B$19="Y")),IFERROR(N(INDEX(Clay_Offices!$A$2:$FZ$601,368,Sync!$C$12)),0),"")</f>
        <v/>
      </c>
      <c r="C2619" s="23" t="str">
        <f aca="false">IF(B2619="","","office")</f>
        <v/>
      </c>
      <c r="D2619" s="23" t="str">
        <f aca="false">IF(B2619="","",IFERROR(INDEX(Office_Log!$ED$2:$ED$201,MATCH(IFERROR(INDEX(Clay_Offices!$A$2:$FZ$601,368,Sync!$C$5)&amp;"",""),Office_Log!$A$2:$A$201,0))&amp;"",IFERROR(INDEX(Clay_Offices!$A$2:$FZ$601,368,Sync!$C$5)&amp;"","")&amp;""))</f>
        <v/>
      </c>
      <c r="E2619" s="23" t="str">
        <f aca="false">IF(B2619="","",IFERROR(INDEX(Clay_Offices!$A$2:$FZ$601,368,Sync!$C$6)&amp;"",""))</f>
        <v/>
      </c>
      <c r="F2619" s="23" t="str">
        <f aca="false">IF(B2619="","","outreach_sent")</f>
        <v/>
      </c>
      <c r="G2619" s="23" t="str">
        <f aca="false">IF(B2619="","","")</f>
        <v/>
      </c>
      <c r="H2619" s="23" t="str">
        <f aca="false">IF(B2619="","","")</f>
        <v/>
      </c>
      <c r="I2619" s="23" t="str">
        <f aca="false">IF(B2619="","","")</f>
        <v/>
      </c>
      <c r="J2619" s="23" t="str">
        <f aca="false">IF(B2619="","","touch_2; "&amp;IFERROR(INDEX(Clay_Offices!$A$2:$FZ$601,368,Sync!$C$10)&amp;"","")&amp;"; "&amp;IFERROR(INDEX(Clay_Offices!$A$2:$FZ$601,368,Sync!$C$9)&amp;"",""))</f>
        <v/>
      </c>
      <c r="K2619" s="32" t="s">
        <v>1364</v>
      </c>
    </row>
    <row r="2620" customFormat="false" ht="15" hidden="false" customHeight="false" outlineLevel="0" collapsed="false">
      <c r="A2620" s="23" t="str">
        <f aca="false">IF(B2620="","",B2620+(13*1000+369)/10000000)</f>
        <v/>
      </c>
      <c r="B2620" s="35" t="str">
        <f aca="false">IF(AND(IFERROR(N(INDEX(Clay_Offices!$A$2:$FZ$601,369,Sync!$C$12)),0)&gt;0,IFERROR(INDEX(Clay_Offices!$A$2:$FZ$601,369,Sync!$C$5)&amp;"","")&lt;&gt;"",OR(LEFT(IFERROR(INDEX(Clay_Offices!$A$2:$FZ$601,369,Sync!$C$5)&amp;"",""),6)&lt;&gt;"SAMPLE",Config!$B$19="Y")),IFERROR(N(INDEX(Clay_Offices!$A$2:$FZ$601,369,Sync!$C$12)),0),"")</f>
        <v/>
      </c>
      <c r="C2620" s="23" t="str">
        <f aca="false">IF(B2620="","","office")</f>
        <v/>
      </c>
      <c r="D2620" s="23" t="str">
        <f aca="false">IF(B2620="","",IFERROR(INDEX(Office_Log!$ED$2:$ED$201,MATCH(IFERROR(INDEX(Clay_Offices!$A$2:$FZ$601,369,Sync!$C$5)&amp;"",""),Office_Log!$A$2:$A$201,0))&amp;"",IFERROR(INDEX(Clay_Offices!$A$2:$FZ$601,369,Sync!$C$5)&amp;"","")&amp;""))</f>
        <v/>
      </c>
      <c r="E2620" s="23" t="str">
        <f aca="false">IF(B2620="","",IFERROR(INDEX(Clay_Offices!$A$2:$FZ$601,369,Sync!$C$6)&amp;"",""))</f>
        <v/>
      </c>
      <c r="F2620" s="23" t="str">
        <f aca="false">IF(B2620="","","outreach_sent")</f>
        <v/>
      </c>
      <c r="G2620" s="23" t="str">
        <f aca="false">IF(B2620="","","")</f>
        <v/>
      </c>
      <c r="H2620" s="23" t="str">
        <f aca="false">IF(B2620="","","")</f>
        <v/>
      </c>
      <c r="I2620" s="23" t="str">
        <f aca="false">IF(B2620="","","")</f>
        <v/>
      </c>
      <c r="J2620" s="23" t="str">
        <f aca="false">IF(B2620="","","touch_2; "&amp;IFERROR(INDEX(Clay_Offices!$A$2:$FZ$601,369,Sync!$C$10)&amp;"","")&amp;"; "&amp;IFERROR(INDEX(Clay_Offices!$A$2:$FZ$601,369,Sync!$C$9)&amp;"",""))</f>
        <v/>
      </c>
      <c r="K2620" s="32" t="s">
        <v>1364</v>
      </c>
    </row>
    <row r="2621" customFormat="false" ht="15" hidden="false" customHeight="false" outlineLevel="0" collapsed="false">
      <c r="A2621" s="23" t="str">
        <f aca="false">IF(B2621="","",B2621+(13*1000+370)/10000000)</f>
        <v/>
      </c>
      <c r="B2621" s="35" t="str">
        <f aca="false">IF(AND(IFERROR(N(INDEX(Clay_Offices!$A$2:$FZ$601,370,Sync!$C$12)),0)&gt;0,IFERROR(INDEX(Clay_Offices!$A$2:$FZ$601,370,Sync!$C$5)&amp;"","")&lt;&gt;"",OR(LEFT(IFERROR(INDEX(Clay_Offices!$A$2:$FZ$601,370,Sync!$C$5)&amp;"",""),6)&lt;&gt;"SAMPLE",Config!$B$19="Y")),IFERROR(N(INDEX(Clay_Offices!$A$2:$FZ$601,370,Sync!$C$12)),0),"")</f>
        <v/>
      </c>
      <c r="C2621" s="23" t="str">
        <f aca="false">IF(B2621="","","office")</f>
        <v/>
      </c>
      <c r="D2621" s="23" t="str">
        <f aca="false">IF(B2621="","",IFERROR(INDEX(Office_Log!$ED$2:$ED$201,MATCH(IFERROR(INDEX(Clay_Offices!$A$2:$FZ$601,370,Sync!$C$5)&amp;"",""),Office_Log!$A$2:$A$201,0))&amp;"",IFERROR(INDEX(Clay_Offices!$A$2:$FZ$601,370,Sync!$C$5)&amp;"","")&amp;""))</f>
        <v/>
      </c>
      <c r="E2621" s="23" t="str">
        <f aca="false">IF(B2621="","",IFERROR(INDEX(Clay_Offices!$A$2:$FZ$601,370,Sync!$C$6)&amp;"",""))</f>
        <v/>
      </c>
      <c r="F2621" s="23" t="str">
        <f aca="false">IF(B2621="","","outreach_sent")</f>
        <v/>
      </c>
      <c r="G2621" s="23" t="str">
        <f aca="false">IF(B2621="","","")</f>
        <v/>
      </c>
      <c r="H2621" s="23" t="str">
        <f aca="false">IF(B2621="","","")</f>
        <v/>
      </c>
      <c r="I2621" s="23" t="str">
        <f aca="false">IF(B2621="","","")</f>
        <v/>
      </c>
      <c r="J2621" s="23" t="str">
        <f aca="false">IF(B2621="","","touch_2; "&amp;IFERROR(INDEX(Clay_Offices!$A$2:$FZ$601,370,Sync!$C$10)&amp;"","")&amp;"; "&amp;IFERROR(INDEX(Clay_Offices!$A$2:$FZ$601,370,Sync!$C$9)&amp;"",""))</f>
        <v/>
      </c>
      <c r="K2621" s="32" t="s">
        <v>1364</v>
      </c>
    </row>
    <row r="2622" customFormat="false" ht="15" hidden="false" customHeight="false" outlineLevel="0" collapsed="false">
      <c r="A2622" s="23" t="str">
        <f aca="false">IF(B2622="","",B2622+(13*1000+371)/10000000)</f>
        <v/>
      </c>
      <c r="B2622" s="35" t="str">
        <f aca="false">IF(AND(IFERROR(N(INDEX(Clay_Offices!$A$2:$FZ$601,371,Sync!$C$12)),0)&gt;0,IFERROR(INDEX(Clay_Offices!$A$2:$FZ$601,371,Sync!$C$5)&amp;"","")&lt;&gt;"",OR(LEFT(IFERROR(INDEX(Clay_Offices!$A$2:$FZ$601,371,Sync!$C$5)&amp;"",""),6)&lt;&gt;"SAMPLE",Config!$B$19="Y")),IFERROR(N(INDEX(Clay_Offices!$A$2:$FZ$601,371,Sync!$C$12)),0),"")</f>
        <v/>
      </c>
      <c r="C2622" s="23" t="str">
        <f aca="false">IF(B2622="","","office")</f>
        <v/>
      </c>
      <c r="D2622" s="23" t="str">
        <f aca="false">IF(B2622="","",IFERROR(INDEX(Office_Log!$ED$2:$ED$201,MATCH(IFERROR(INDEX(Clay_Offices!$A$2:$FZ$601,371,Sync!$C$5)&amp;"",""),Office_Log!$A$2:$A$201,0))&amp;"",IFERROR(INDEX(Clay_Offices!$A$2:$FZ$601,371,Sync!$C$5)&amp;"","")&amp;""))</f>
        <v/>
      </c>
      <c r="E2622" s="23" t="str">
        <f aca="false">IF(B2622="","",IFERROR(INDEX(Clay_Offices!$A$2:$FZ$601,371,Sync!$C$6)&amp;"",""))</f>
        <v/>
      </c>
      <c r="F2622" s="23" t="str">
        <f aca="false">IF(B2622="","","outreach_sent")</f>
        <v/>
      </c>
      <c r="G2622" s="23" t="str">
        <f aca="false">IF(B2622="","","")</f>
        <v/>
      </c>
      <c r="H2622" s="23" t="str">
        <f aca="false">IF(B2622="","","")</f>
        <v/>
      </c>
      <c r="I2622" s="23" t="str">
        <f aca="false">IF(B2622="","","")</f>
        <v/>
      </c>
      <c r="J2622" s="23" t="str">
        <f aca="false">IF(B2622="","","touch_2; "&amp;IFERROR(INDEX(Clay_Offices!$A$2:$FZ$601,371,Sync!$C$10)&amp;"","")&amp;"; "&amp;IFERROR(INDEX(Clay_Offices!$A$2:$FZ$601,371,Sync!$C$9)&amp;"",""))</f>
        <v/>
      </c>
      <c r="K2622" s="32" t="s">
        <v>1364</v>
      </c>
    </row>
    <row r="2623" customFormat="false" ht="15" hidden="false" customHeight="false" outlineLevel="0" collapsed="false">
      <c r="A2623" s="23" t="str">
        <f aca="false">IF(B2623="","",B2623+(13*1000+372)/10000000)</f>
        <v/>
      </c>
      <c r="B2623" s="35" t="str">
        <f aca="false">IF(AND(IFERROR(N(INDEX(Clay_Offices!$A$2:$FZ$601,372,Sync!$C$12)),0)&gt;0,IFERROR(INDEX(Clay_Offices!$A$2:$FZ$601,372,Sync!$C$5)&amp;"","")&lt;&gt;"",OR(LEFT(IFERROR(INDEX(Clay_Offices!$A$2:$FZ$601,372,Sync!$C$5)&amp;"",""),6)&lt;&gt;"SAMPLE",Config!$B$19="Y")),IFERROR(N(INDEX(Clay_Offices!$A$2:$FZ$601,372,Sync!$C$12)),0),"")</f>
        <v/>
      </c>
      <c r="C2623" s="23" t="str">
        <f aca="false">IF(B2623="","","office")</f>
        <v/>
      </c>
      <c r="D2623" s="23" t="str">
        <f aca="false">IF(B2623="","",IFERROR(INDEX(Office_Log!$ED$2:$ED$201,MATCH(IFERROR(INDEX(Clay_Offices!$A$2:$FZ$601,372,Sync!$C$5)&amp;"",""),Office_Log!$A$2:$A$201,0))&amp;"",IFERROR(INDEX(Clay_Offices!$A$2:$FZ$601,372,Sync!$C$5)&amp;"","")&amp;""))</f>
        <v/>
      </c>
      <c r="E2623" s="23" t="str">
        <f aca="false">IF(B2623="","",IFERROR(INDEX(Clay_Offices!$A$2:$FZ$601,372,Sync!$C$6)&amp;"",""))</f>
        <v/>
      </c>
      <c r="F2623" s="23" t="str">
        <f aca="false">IF(B2623="","","outreach_sent")</f>
        <v/>
      </c>
      <c r="G2623" s="23" t="str">
        <f aca="false">IF(B2623="","","")</f>
        <v/>
      </c>
      <c r="H2623" s="23" t="str">
        <f aca="false">IF(B2623="","","")</f>
        <v/>
      </c>
      <c r="I2623" s="23" t="str">
        <f aca="false">IF(B2623="","","")</f>
        <v/>
      </c>
      <c r="J2623" s="23" t="str">
        <f aca="false">IF(B2623="","","touch_2; "&amp;IFERROR(INDEX(Clay_Offices!$A$2:$FZ$601,372,Sync!$C$10)&amp;"","")&amp;"; "&amp;IFERROR(INDEX(Clay_Offices!$A$2:$FZ$601,372,Sync!$C$9)&amp;"",""))</f>
        <v/>
      </c>
      <c r="K2623" s="32" t="s">
        <v>1364</v>
      </c>
    </row>
    <row r="2624" customFormat="false" ht="15" hidden="false" customHeight="false" outlineLevel="0" collapsed="false">
      <c r="A2624" s="23" t="str">
        <f aca="false">IF(B2624="","",B2624+(13*1000+373)/10000000)</f>
        <v/>
      </c>
      <c r="B2624" s="35" t="str">
        <f aca="false">IF(AND(IFERROR(N(INDEX(Clay_Offices!$A$2:$FZ$601,373,Sync!$C$12)),0)&gt;0,IFERROR(INDEX(Clay_Offices!$A$2:$FZ$601,373,Sync!$C$5)&amp;"","")&lt;&gt;"",OR(LEFT(IFERROR(INDEX(Clay_Offices!$A$2:$FZ$601,373,Sync!$C$5)&amp;"",""),6)&lt;&gt;"SAMPLE",Config!$B$19="Y")),IFERROR(N(INDEX(Clay_Offices!$A$2:$FZ$601,373,Sync!$C$12)),0),"")</f>
        <v/>
      </c>
      <c r="C2624" s="23" t="str">
        <f aca="false">IF(B2624="","","office")</f>
        <v/>
      </c>
      <c r="D2624" s="23" t="str">
        <f aca="false">IF(B2624="","",IFERROR(INDEX(Office_Log!$ED$2:$ED$201,MATCH(IFERROR(INDEX(Clay_Offices!$A$2:$FZ$601,373,Sync!$C$5)&amp;"",""),Office_Log!$A$2:$A$201,0))&amp;"",IFERROR(INDEX(Clay_Offices!$A$2:$FZ$601,373,Sync!$C$5)&amp;"","")&amp;""))</f>
        <v/>
      </c>
      <c r="E2624" s="23" t="str">
        <f aca="false">IF(B2624="","",IFERROR(INDEX(Clay_Offices!$A$2:$FZ$601,373,Sync!$C$6)&amp;"",""))</f>
        <v/>
      </c>
      <c r="F2624" s="23" t="str">
        <f aca="false">IF(B2624="","","outreach_sent")</f>
        <v/>
      </c>
      <c r="G2624" s="23" t="str">
        <f aca="false">IF(B2624="","","")</f>
        <v/>
      </c>
      <c r="H2624" s="23" t="str">
        <f aca="false">IF(B2624="","","")</f>
        <v/>
      </c>
      <c r="I2624" s="23" t="str">
        <f aca="false">IF(B2624="","","")</f>
        <v/>
      </c>
      <c r="J2624" s="23" t="str">
        <f aca="false">IF(B2624="","","touch_2; "&amp;IFERROR(INDEX(Clay_Offices!$A$2:$FZ$601,373,Sync!$C$10)&amp;"","")&amp;"; "&amp;IFERROR(INDEX(Clay_Offices!$A$2:$FZ$601,373,Sync!$C$9)&amp;"",""))</f>
        <v/>
      </c>
      <c r="K2624" s="32" t="s">
        <v>1364</v>
      </c>
    </row>
    <row r="2625" customFormat="false" ht="15" hidden="false" customHeight="false" outlineLevel="0" collapsed="false">
      <c r="A2625" s="23" t="str">
        <f aca="false">IF(B2625="","",B2625+(13*1000+374)/10000000)</f>
        <v/>
      </c>
      <c r="B2625" s="35" t="str">
        <f aca="false">IF(AND(IFERROR(N(INDEX(Clay_Offices!$A$2:$FZ$601,374,Sync!$C$12)),0)&gt;0,IFERROR(INDEX(Clay_Offices!$A$2:$FZ$601,374,Sync!$C$5)&amp;"","")&lt;&gt;"",OR(LEFT(IFERROR(INDEX(Clay_Offices!$A$2:$FZ$601,374,Sync!$C$5)&amp;"",""),6)&lt;&gt;"SAMPLE",Config!$B$19="Y")),IFERROR(N(INDEX(Clay_Offices!$A$2:$FZ$601,374,Sync!$C$12)),0),"")</f>
        <v/>
      </c>
      <c r="C2625" s="23" t="str">
        <f aca="false">IF(B2625="","","office")</f>
        <v/>
      </c>
      <c r="D2625" s="23" t="str">
        <f aca="false">IF(B2625="","",IFERROR(INDEX(Office_Log!$ED$2:$ED$201,MATCH(IFERROR(INDEX(Clay_Offices!$A$2:$FZ$601,374,Sync!$C$5)&amp;"",""),Office_Log!$A$2:$A$201,0))&amp;"",IFERROR(INDEX(Clay_Offices!$A$2:$FZ$601,374,Sync!$C$5)&amp;"","")&amp;""))</f>
        <v/>
      </c>
      <c r="E2625" s="23" t="str">
        <f aca="false">IF(B2625="","",IFERROR(INDEX(Clay_Offices!$A$2:$FZ$601,374,Sync!$C$6)&amp;"",""))</f>
        <v/>
      </c>
      <c r="F2625" s="23" t="str">
        <f aca="false">IF(B2625="","","outreach_sent")</f>
        <v/>
      </c>
      <c r="G2625" s="23" t="str">
        <f aca="false">IF(B2625="","","")</f>
        <v/>
      </c>
      <c r="H2625" s="23" t="str">
        <f aca="false">IF(B2625="","","")</f>
        <v/>
      </c>
      <c r="I2625" s="23" t="str">
        <f aca="false">IF(B2625="","","")</f>
        <v/>
      </c>
      <c r="J2625" s="23" t="str">
        <f aca="false">IF(B2625="","","touch_2; "&amp;IFERROR(INDEX(Clay_Offices!$A$2:$FZ$601,374,Sync!$C$10)&amp;"","")&amp;"; "&amp;IFERROR(INDEX(Clay_Offices!$A$2:$FZ$601,374,Sync!$C$9)&amp;"",""))</f>
        <v/>
      </c>
      <c r="K2625" s="32" t="s">
        <v>1364</v>
      </c>
    </row>
    <row r="2626" customFormat="false" ht="15" hidden="false" customHeight="false" outlineLevel="0" collapsed="false">
      <c r="A2626" s="23" t="str">
        <f aca="false">IF(B2626="","",B2626+(13*1000+375)/10000000)</f>
        <v/>
      </c>
      <c r="B2626" s="35" t="str">
        <f aca="false">IF(AND(IFERROR(N(INDEX(Clay_Offices!$A$2:$FZ$601,375,Sync!$C$12)),0)&gt;0,IFERROR(INDEX(Clay_Offices!$A$2:$FZ$601,375,Sync!$C$5)&amp;"","")&lt;&gt;"",OR(LEFT(IFERROR(INDEX(Clay_Offices!$A$2:$FZ$601,375,Sync!$C$5)&amp;"",""),6)&lt;&gt;"SAMPLE",Config!$B$19="Y")),IFERROR(N(INDEX(Clay_Offices!$A$2:$FZ$601,375,Sync!$C$12)),0),"")</f>
        <v/>
      </c>
      <c r="C2626" s="23" t="str">
        <f aca="false">IF(B2626="","","office")</f>
        <v/>
      </c>
      <c r="D2626" s="23" t="str">
        <f aca="false">IF(B2626="","",IFERROR(INDEX(Office_Log!$ED$2:$ED$201,MATCH(IFERROR(INDEX(Clay_Offices!$A$2:$FZ$601,375,Sync!$C$5)&amp;"",""),Office_Log!$A$2:$A$201,0))&amp;"",IFERROR(INDEX(Clay_Offices!$A$2:$FZ$601,375,Sync!$C$5)&amp;"","")&amp;""))</f>
        <v/>
      </c>
      <c r="E2626" s="23" t="str">
        <f aca="false">IF(B2626="","",IFERROR(INDEX(Clay_Offices!$A$2:$FZ$601,375,Sync!$C$6)&amp;"",""))</f>
        <v/>
      </c>
      <c r="F2626" s="23" t="str">
        <f aca="false">IF(B2626="","","outreach_sent")</f>
        <v/>
      </c>
      <c r="G2626" s="23" t="str">
        <f aca="false">IF(B2626="","","")</f>
        <v/>
      </c>
      <c r="H2626" s="23" t="str">
        <f aca="false">IF(B2626="","","")</f>
        <v/>
      </c>
      <c r="I2626" s="23" t="str">
        <f aca="false">IF(B2626="","","")</f>
        <v/>
      </c>
      <c r="J2626" s="23" t="str">
        <f aca="false">IF(B2626="","","touch_2; "&amp;IFERROR(INDEX(Clay_Offices!$A$2:$FZ$601,375,Sync!$C$10)&amp;"","")&amp;"; "&amp;IFERROR(INDEX(Clay_Offices!$A$2:$FZ$601,375,Sync!$C$9)&amp;"",""))</f>
        <v/>
      </c>
      <c r="K2626" s="32" t="s">
        <v>1364</v>
      </c>
    </row>
    <row r="2627" customFormat="false" ht="15" hidden="false" customHeight="false" outlineLevel="0" collapsed="false">
      <c r="A2627" s="23" t="str">
        <f aca="false">IF(B2627="","",B2627+(13*1000+376)/10000000)</f>
        <v/>
      </c>
      <c r="B2627" s="35" t="str">
        <f aca="false">IF(AND(IFERROR(N(INDEX(Clay_Offices!$A$2:$FZ$601,376,Sync!$C$12)),0)&gt;0,IFERROR(INDEX(Clay_Offices!$A$2:$FZ$601,376,Sync!$C$5)&amp;"","")&lt;&gt;"",OR(LEFT(IFERROR(INDEX(Clay_Offices!$A$2:$FZ$601,376,Sync!$C$5)&amp;"",""),6)&lt;&gt;"SAMPLE",Config!$B$19="Y")),IFERROR(N(INDEX(Clay_Offices!$A$2:$FZ$601,376,Sync!$C$12)),0),"")</f>
        <v/>
      </c>
      <c r="C2627" s="23" t="str">
        <f aca="false">IF(B2627="","","office")</f>
        <v/>
      </c>
      <c r="D2627" s="23" t="str">
        <f aca="false">IF(B2627="","",IFERROR(INDEX(Office_Log!$ED$2:$ED$201,MATCH(IFERROR(INDEX(Clay_Offices!$A$2:$FZ$601,376,Sync!$C$5)&amp;"",""),Office_Log!$A$2:$A$201,0))&amp;"",IFERROR(INDEX(Clay_Offices!$A$2:$FZ$601,376,Sync!$C$5)&amp;"","")&amp;""))</f>
        <v/>
      </c>
      <c r="E2627" s="23" t="str">
        <f aca="false">IF(B2627="","",IFERROR(INDEX(Clay_Offices!$A$2:$FZ$601,376,Sync!$C$6)&amp;"",""))</f>
        <v/>
      </c>
      <c r="F2627" s="23" t="str">
        <f aca="false">IF(B2627="","","outreach_sent")</f>
        <v/>
      </c>
      <c r="G2627" s="23" t="str">
        <f aca="false">IF(B2627="","","")</f>
        <v/>
      </c>
      <c r="H2627" s="23" t="str">
        <f aca="false">IF(B2627="","","")</f>
        <v/>
      </c>
      <c r="I2627" s="23" t="str">
        <f aca="false">IF(B2627="","","")</f>
        <v/>
      </c>
      <c r="J2627" s="23" t="str">
        <f aca="false">IF(B2627="","","touch_2; "&amp;IFERROR(INDEX(Clay_Offices!$A$2:$FZ$601,376,Sync!$C$10)&amp;"","")&amp;"; "&amp;IFERROR(INDEX(Clay_Offices!$A$2:$FZ$601,376,Sync!$C$9)&amp;"",""))</f>
        <v/>
      </c>
      <c r="K2627" s="32" t="s">
        <v>1364</v>
      </c>
    </row>
    <row r="2628" customFormat="false" ht="15" hidden="false" customHeight="false" outlineLevel="0" collapsed="false">
      <c r="A2628" s="23" t="str">
        <f aca="false">IF(B2628="","",B2628+(13*1000+377)/10000000)</f>
        <v/>
      </c>
      <c r="B2628" s="35" t="str">
        <f aca="false">IF(AND(IFERROR(N(INDEX(Clay_Offices!$A$2:$FZ$601,377,Sync!$C$12)),0)&gt;0,IFERROR(INDEX(Clay_Offices!$A$2:$FZ$601,377,Sync!$C$5)&amp;"","")&lt;&gt;"",OR(LEFT(IFERROR(INDEX(Clay_Offices!$A$2:$FZ$601,377,Sync!$C$5)&amp;"",""),6)&lt;&gt;"SAMPLE",Config!$B$19="Y")),IFERROR(N(INDEX(Clay_Offices!$A$2:$FZ$601,377,Sync!$C$12)),0),"")</f>
        <v/>
      </c>
      <c r="C2628" s="23" t="str">
        <f aca="false">IF(B2628="","","office")</f>
        <v/>
      </c>
      <c r="D2628" s="23" t="str">
        <f aca="false">IF(B2628="","",IFERROR(INDEX(Office_Log!$ED$2:$ED$201,MATCH(IFERROR(INDEX(Clay_Offices!$A$2:$FZ$601,377,Sync!$C$5)&amp;"",""),Office_Log!$A$2:$A$201,0))&amp;"",IFERROR(INDEX(Clay_Offices!$A$2:$FZ$601,377,Sync!$C$5)&amp;"","")&amp;""))</f>
        <v/>
      </c>
      <c r="E2628" s="23" t="str">
        <f aca="false">IF(B2628="","",IFERROR(INDEX(Clay_Offices!$A$2:$FZ$601,377,Sync!$C$6)&amp;"",""))</f>
        <v/>
      </c>
      <c r="F2628" s="23" t="str">
        <f aca="false">IF(B2628="","","outreach_sent")</f>
        <v/>
      </c>
      <c r="G2628" s="23" t="str">
        <f aca="false">IF(B2628="","","")</f>
        <v/>
      </c>
      <c r="H2628" s="23" t="str">
        <f aca="false">IF(B2628="","","")</f>
        <v/>
      </c>
      <c r="I2628" s="23" t="str">
        <f aca="false">IF(B2628="","","")</f>
        <v/>
      </c>
      <c r="J2628" s="23" t="str">
        <f aca="false">IF(B2628="","","touch_2; "&amp;IFERROR(INDEX(Clay_Offices!$A$2:$FZ$601,377,Sync!$C$10)&amp;"","")&amp;"; "&amp;IFERROR(INDEX(Clay_Offices!$A$2:$FZ$601,377,Sync!$C$9)&amp;"",""))</f>
        <v/>
      </c>
      <c r="K2628" s="32" t="s">
        <v>1364</v>
      </c>
    </row>
    <row r="2629" customFormat="false" ht="15" hidden="false" customHeight="false" outlineLevel="0" collapsed="false">
      <c r="A2629" s="23" t="str">
        <f aca="false">IF(B2629="","",B2629+(13*1000+378)/10000000)</f>
        <v/>
      </c>
      <c r="B2629" s="35" t="str">
        <f aca="false">IF(AND(IFERROR(N(INDEX(Clay_Offices!$A$2:$FZ$601,378,Sync!$C$12)),0)&gt;0,IFERROR(INDEX(Clay_Offices!$A$2:$FZ$601,378,Sync!$C$5)&amp;"","")&lt;&gt;"",OR(LEFT(IFERROR(INDEX(Clay_Offices!$A$2:$FZ$601,378,Sync!$C$5)&amp;"",""),6)&lt;&gt;"SAMPLE",Config!$B$19="Y")),IFERROR(N(INDEX(Clay_Offices!$A$2:$FZ$601,378,Sync!$C$12)),0),"")</f>
        <v/>
      </c>
      <c r="C2629" s="23" t="str">
        <f aca="false">IF(B2629="","","office")</f>
        <v/>
      </c>
      <c r="D2629" s="23" t="str">
        <f aca="false">IF(B2629="","",IFERROR(INDEX(Office_Log!$ED$2:$ED$201,MATCH(IFERROR(INDEX(Clay_Offices!$A$2:$FZ$601,378,Sync!$C$5)&amp;"",""),Office_Log!$A$2:$A$201,0))&amp;"",IFERROR(INDEX(Clay_Offices!$A$2:$FZ$601,378,Sync!$C$5)&amp;"","")&amp;""))</f>
        <v/>
      </c>
      <c r="E2629" s="23" t="str">
        <f aca="false">IF(B2629="","",IFERROR(INDEX(Clay_Offices!$A$2:$FZ$601,378,Sync!$C$6)&amp;"",""))</f>
        <v/>
      </c>
      <c r="F2629" s="23" t="str">
        <f aca="false">IF(B2629="","","outreach_sent")</f>
        <v/>
      </c>
      <c r="G2629" s="23" t="str">
        <f aca="false">IF(B2629="","","")</f>
        <v/>
      </c>
      <c r="H2629" s="23" t="str">
        <f aca="false">IF(B2629="","","")</f>
        <v/>
      </c>
      <c r="I2629" s="23" t="str">
        <f aca="false">IF(B2629="","","")</f>
        <v/>
      </c>
      <c r="J2629" s="23" t="str">
        <f aca="false">IF(B2629="","","touch_2; "&amp;IFERROR(INDEX(Clay_Offices!$A$2:$FZ$601,378,Sync!$C$10)&amp;"","")&amp;"; "&amp;IFERROR(INDEX(Clay_Offices!$A$2:$FZ$601,378,Sync!$C$9)&amp;"",""))</f>
        <v/>
      </c>
      <c r="K2629" s="32" t="s">
        <v>1364</v>
      </c>
    </row>
    <row r="2630" customFormat="false" ht="15" hidden="false" customHeight="false" outlineLevel="0" collapsed="false">
      <c r="A2630" s="23" t="str">
        <f aca="false">IF(B2630="","",B2630+(13*1000+379)/10000000)</f>
        <v/>
      </c>
      <c r="B2630" s="35" t="str">
        <f aca="false">IF(AND(IFERROR(N(INDEX(Clay_Offices!$A$2:$FZ$601,379,Sync!$C$12)),0)&gt;0,IFERROR(INDEX(Clay_Offices!$A$2:$FZ$601,379,Sync!$C$5)&amp;"","")&lt;&gt;"",OR(LEFT(IFERROR(INDEX(Clay_Offices!$A$2:$FZ$601,379,Sync!$C$5)&amp;"",""),6)&lt;&gt;"SAMPLE",Config!$B$19="Y")),IFERROR(N(INDEX(Clay_Offices!$A$2:$FZ$601,379,Sync!$C$12)),0),"")</f>
        <v/>
      </c>
      <c r="C2630" s="23" t="str">
        <f aca="false">IF(B2630="","","office")</f>
        <v/>
      </c>
      <c r="D2630" s="23" t="str">
        <f aca="false">IF(B2630="","",IFERROR(INDEX(Office_Log!$ED$2:$ED$201,MATCH(IFERROR(INDEX(Clay_Offices!$A$2:$FZ$601,379,Sync!$C$5)&amp;"",""),Office_Log!$A$2:$A$201,0))&amp;"",IFERROR(INDEX(Clay_Offices!$A$2:$FZ$601,379,Sync!$C$5)&amp;"","")&amp;""))</f>
        <v/>
      </c>
      <c r="E2630" s="23" t="str">
        <f aca="false">IF(B2630="","",IFERROR(INDEX(Clay_Offices!$A$2:$FZ$601,379,Sync!$C$6)&amp;"",""))</f>
        <v/>
      </c>
      <c r="F2630" s="23" t="str">
        <f aca="false">IF(B2630="","","outreach_sent")</f>
        <v/>
      </c>
      <c r="G2630" s="23" t="str">
        <f aca="false">IF(B2630="","","")</f>
        <v/>
      </c>
      <c r="H2630" s="23" t="str">
        <f aca="false">IF(B2630="","","")</f>
        <v/>
      </c>
      <c r="I2630" s="23" t="str">
        <f aca="false">IF(B2630="","","")</f>
        <v/>
      </c>
      <c r="J2630" s="23" t="str">
        <f aca="false">IF(B2630="","","touch_2; "&amp;IFERROR(INDEX(Clay_Offices!$A$2:$FZ$601,379,Sync!$C$10)&amp;"","")&amp;"; "&amp;IFERROR(INDEX(Clay_Offices!$A$2:$FZ$601,379,Sync!$C$9)&amp;"",""))</f>
        <v/>
      </c>
      <c r="K2630" s="32" t="s">
        <v>1364</v>
      </c>
    </row>
    <row r="2631" customFormat="false" ht="15" hidden="false" customHeight="false" outlineLevel="0" collapsed="false">
      <c r="A2631" s="23" t="str">
        <f aca="false">IF(B2631="","",B2631+(13*1000+380)/10000000)</f>
        <v/>
      </c>
      <c r="B2631" s="35" t="str">
        <f aca="false">IF(AND(IFERROR(N(INDEX(Clay_Offices!$A$2:$FZ$601,380,Sync!$C$12)),0)&gt;0,IFERROR(INDEX(Clay_Offices!$A$2:$FZ$601,380,Sync!$C$5)&amp;"","")&lt;&gt;"",OR(LEFT(IFERROR(INDEX(Clay_Offices!$A$2:$FZ$601,380,Sync!$C$5)&amp;"",""),6)&lt;&gt;"SAMPLE",Config!$B$19="Y")),IFERROR(N(INDEX(Clay_Offices!$A$2:$FZ$601,380,Sync!$C$12)),0),"")</f>
        <v/>
      </c>
      <c r="C2631" s="23" t="str">
        <f aca="false">IF(B2631="","","office")</f>
        <v/>
      </c>
      <c r="D2631" s="23" t="str">
        <f aca="false">IF(B2631="","",IFERROR(INDEX(Office_Log!$ED$2:$ED$201,MATCH(IFERROR(INDEX(Clay_Offices!$A$2:$FZ$601,380,Sync!$C$5)&amp;"",""),Office_Log!$A$2:$A$201,0))&amp;"",IFERROR(INDEX(Clay_Offices!$A$2:$FZ$601,380,Sync!$C$5)&amp;"","")&amp;""))</f>
        <v/>
      </c>
      <c r="E2631" s="23" t="str">
        <f aca="false">IF(B2631="","",IFERROR(INDEX(Clay_Offices!$A$2:$FZ$601,380,Sync!$C$6)&amp;"",""))</f>
        <v/>
      </c>
      <c r="F2631" s="23" t="str">
        <f aca="false">IF(B2631="","","outreach_sent")</f>
        <v/>
      </c>
      <c r="G2631" s="23" t="str">
        <f aca="false">IF(B2631="","","")</f>
        <v/>
      </c>
      <c r="H2631" s="23" t="str">
        <f aca="false">IF(B2631="","","")</f>
        <v/>
      </c>
      <c r="I2631" s="23" t="str">
        <f aca="false">IF(B2631="","","")</f>
        <v/>
      </c>
      <c r="J2631" s="23" t="str">
        <f aca="false">IF(B2631="","","touch_2; "&amp;IFERROR(INDEX(Clay_Offices!$A$2:$FZ$601,380,Sync!$C$10)&amp;"","")&amp;"; "&amp;IFERROR(INDEX(Clay_Offices!$A$2:$FZ$601,380,Sync!$C$9)&amp;"",""))</f>
        <v/>
      </c>
      <c r="K2631" s="32" t="s">
        <v>1364</v>
      </c>
    </row>
    <row r="2632" customFormat="false" ht="15" hidden="false" customHeight="false" outlineLevel="0" collapsed="false">
      <c r="A2632" s="23" t="str">
        <f aca="false">IF(B2632="","",B2632+(13*1000+381)/10000000)</f>
        <v/>
      </c>
      <c r="B2632" s="35" t="str">
        <f aca="false">IF(AND(IFERROR(N(INDEX(Clay_Offices!$A$2:$FZ$601,381,Sync!$C$12)),0)&gt;0,IFERROR(INDEX(Clay_Offices!$A$2:$FZ$601,381,Sync!$C$5)&amp;"","")&lt;&gt;"",OR(LEFT(IFERROR(INDEX(Clay_Offices!$A$2:$FZ$601,381,Sync!$C$5)&amp;"",""),6)&lt;&gt;"SAMPLE",Config!$B$19="Y")),IFERROR(N(INDEX(Clay_Offices!$A$2:$FZ$601,381,Sync!$C$12)),0),"")</f>
        <v/>
      </c>
      <c r="C2632" s="23" t="str">
        <f aca="false">IF(B2632="","","office")</f>
        <v/>
      </c>
      <c r="D2632" s="23" t="str">
        <f aca="false">IF(B2632="","",IFERROR(INDEX(Office_Log!$ED$2:$ED$201,MATCH(IFERROR(INDEX(Clay_Offices!$A$2:$FZ$601,381,Sync!$C$5)&amp;"",""),Office_Log!$A$2:$A$201,0))&amp;"",IFERROR(INDEX(Clay_Offices!$A$2:$FZ$601,381,Sync!$C$5)&amp;"","")&amp;""))</f>
        <v/>
      </c>
      <c r="E2632" s="23" t="str">
        <f aca="false">IF(B2632="","",IFERROR(INDEX(Clay_Offices!$A$2:$FZ$601,381,Sync!$C$6)&amp;"",""))</f>
        <v/>
      </c>
      <c r="F2632" s="23" t="str">
        <f aca="false">IF(B2632="","","outreach_sent")</f>
        <v/>
      </c>
      <c r="G2632" s="23" t="str">
        <f aca="false">IF(B2632="","","")</f>
        <v/>
      </c>
      <c r="H2632" s="23" t="str">
        <f aca="false">IF(B2632="","","")</f>
        <v/>
      </c>
      <c r="I2632" s="23" t="str">
        <f aca="false">IF(B2632="","","")</f>
        <v/>
      </c>
      <c r="J2632" s="23" t="str">
        <f aca="false">IF(B2632="","","touch_2; "&amp;IFERROR(INDEX(Clay_Offices!$A$2:$FZ$601,381,Sync!$C$10)&amp;"","")&amp;"; "&amp;IFERROR(INDEX(Clay_Offices!$A$2:$FZ$601,381,Sync!$C$9)&amp;"",""))</f>
        <v/>
      </c>
      <c r="K2632" s="32" t="s">
        <v>1364</v>
      </c>
    </row>
    <row r="2633" customFormat="false" ht="15" hidden="false" customHeight="false" outlineLevel="0" collapsed="false">
      <c r="A2633" s="23" t="str">
        <f aca="false">IF(B2633="","",B2633+(13*1000+382)/10000000)</f>
        <v/>
      </c>
      <c r="B2633" s="35" t="str">
        <f aca="false">IF(AND(IFERROR(N(INDEX(Clay_Offices!$A$2:$FZ$601,382,Sync!$C$12)),0)&gt;0,IFERROR(INDEX(Clay_Offices!$A$2:$FZ$601,382,Sync!$C$5)&amp;"","")&lt;&gt;"",OR(LEFT(IFERROR(INDEX(Clay_Offices!$A$2:$FZ$601,382,Sync!$C$5)&amp;"",""),6)&lt;&gt;"SAMPLE",Config!$B$19="Y")),IFERROR(N(INDEX(Clay_Offices!$A$2:$FZ$601,382,Sync!$C$12)),0),"")</f>
        <v/>
      </c>
      <c r="C2633" s="23" t="str">
        <f aca="false">IF(B2633="","","office")</f>
        <v/>
      </c>
      <c r="D2633" s="23" t="str">
        <f aca="false">IF(B2633="","",IFERROR(INDEX(Office_Log!$ED$2:$ED$201,MATCH(IFERROR(INDEX(Clay_Offices!$A$2:$FZ$601,382,Sync!$C$5)&amp;"",""),Office_Log!$A$2:$A$201,0))&amp;"",IFERROR(INDEX(Clay_Offices!$A$2:$FZ$601,382,Sync!$C$5)&amp;"","")&amp;""))</f>
        <v/>
      </c>
      <c r="E2633" s="23" t="str">
        <f aca="false">IF(B2633="","",IFERROR(INDEX(Clay_Offices!$A$2:$FZ$601,382,Sync!$C$6)&amp;"",""))</f>
        <v/>
      </c>
      <c r="F2633" s="23" t="str">
        <f aca="false">IF(B2633="","","outreach_sent")</f>
        <v/>
      </c>
      <c r="G2633" s="23" t="str">
        <f aca="false">IF(B2633="","","")</f>
        <v/>
      </c>
      <c r="H2633" s="23" t="str">
        <f aca="false">IF(B2633="","","")</f>
        <v/>
      </c>
      <c r="I2633" s="23" t="str">
        <f aca="false">IF(B2633="","","")</f>
        <v/>
      </c>
      <c r="J2633" s="23" t="str">
        <f aca="false">IF(B2633="","","touch_2; "&amp;IFERROR(INDEX(Clay_Offices!$A$2:$FZ$601,382,Sync!$C$10)&amp;"","")&amp;"; "&amp;IFERROR(INDEX(Clay_Offices!$A$2:$FZ$601,382,Sync!$C$9)&amp;"",""))</f>
        <v/>
      </c>
      <c r="K2633" s="32" t="s">
        <v>1364</v>
      </c>
    </row>
    <row r="2634" customFormat="false" ht="15" hidden="false" customHeight="false" outlineLevel="0" collapsed="false">
      <c r="A2634" s="23" t="str">
        <f aca="false">IF(B2634="","",B2634+(13*1000+383)/10000000)</f>
        <v/>
      </c>
      <c r="B2634" s="35" t="str">
        <f aca="false">IF(AND(IFERROR(N(INDEX(Clay_Offices!$A$2:$FZ$601,383,Sync!$C$12)),0)&gt;0,IFERROR(INDEX(Clay_Offices!$A$2:$FZ$601,383,Sync!$C$5)&amp;"","")&lt;&gt;"",OR(LEFT(IFERROR(INDEX(Clay_Offices!$A$2:$FZ$601,383,Sync!$C$5)&amp;"",""),6)&lt;&gt;"SAMPLE",Config!$B$19="Y")),IFERROR(N(INDEX(Clay_Offices!$A$2:$FZ$601,383,Sync!$C$12)),0),"")</f>
        <v/>
      </c>
      <c r="C2634" s="23" t="str">
        <f aca="false">IF(B2634="","","office")</f>
        <v/>
      </c>
      <c r="D2634" s="23" t="str">
        <f aca="false">IF(B2634="","",IFERROR(INDEX(Office_Log!$ED$2:$ED$201,MATCH(IFERROR(INDEX(Clay_Offices!$A$2:$FZ$601,383,Sync!$C$5)&amp;"",""),Office_Log!$A$2:$A$201,0))&amp;"",IFERROR(INDEX(Clay_Offices!$A$2:$FZ$601,383,Sync!$C$5)&amp;"","")&amp;""))</f>
        <v/>
      </c>
      <c r="E2634" s="23" t="str">
        <f aca="false">IF(B2634="","",IFERROR(INDEX(Clay_Offices!$A$2:$FZ$601,383,Sync!$C$6)&amp;"",""))</f>
        <v/>
      </c>
      <c r="F2634" s="23" t="str">
        <f aca="false">IF(B2634="","","outreach_sent")</f>
        <v/>
      </c>
      <c r="G2634" s="23" t="str">
        <f aca="false">IF(B2634="","","")</f>
        <v/>
      </c>
      <c r="H2634" s="23" t="str">
        <f aca="false">IF(B2634="","","")</f>
        <v/>
      </c>
      <c r="I2634" s="23" t="str">
        <f aca="false">IF(B2634="","","")</f>
        <v/>
      </c>
      <c r="J2634" s="23" t="str">
        <f aca="false">IF(B2634="","","touch_2; "&amp;IFERROR(INDEX(Clay_Offices!$A$2:$FZ$601,383,Sync!$C$10)&amp;"","")&amp;"; "&amp;IFERROR(INDEX(Clay_Offices!$A$2:$FZ$601,383,Sync!$C$9)&amp;"",""))</f>
        <v/>
      </c>
      <c r="K2634" s="32" t="s">
        <v>1364</v>
      </c>
    </row>
    <row r="2635" customFormat="false" ht="15" hidden="false" customHeight="false" outlineLevel="0" collapsed="false">
      <c r="A2635" s="23" t="str">
        <f aca="false">IF(B2635="","",B2635+(13*1000+384)/10000000)</f>
        <v/>
      </c>
      <c r="B2635" s="35" t="str">
        <f aca="false">IF(AND(IFERROR(N(INDEX(Clay_Offices!$A$2:$FZ$601,384,Sync!$C$12)),0)&gt;0,IFERROR(INDEX(Clay_Offices!$A$2:$FZ$601,384,Sync!$C$5)&amp;"","")&lt;&gt;"",OR(LEFT(IFERROR(INDEX(Clay_Offices!$A$2:$FZ$601,384,Sync!$C$5)&amp;"",""),6)&lt;&gt;"SAMPLE",Config!$B$19="Y")),IFERROR(N(INDEX(Clay_Offices!$A$2:$FZ$601,384,Sync!$C$12)),0),"")</f>
        <v/>
      </c>
      <c r="C2635" s="23" t="str">
        <f aca="false">IF(B2635="","","office")</f>
        <v/>
      </c>
      <c r="D2635" s="23" t="str">
        <f aca="false">IF(B2635="","",IFERROR(INDEX(Office_Log!$ED$2:$ED$201,MATCH(IFERROR(INDEX(Clay_Offices!$A$2:$FZ$601,384,Sync!$C$5)&amp;"",""),Office_Log!$A$2:$A$201,0))&amp;"",IFERROR(INDEX(Clay_Offices!$A$2:$FZ$601,384,Sync!$C$5)&amp;"","")&amp;""))</f>
        <v/>
      </c>
      <c r="E2635" s="23" t="str">
        <f aca="false">IF(B2635="","",IFERROR(INDEX(Clay_Offices!$A$2:$FZ$601,384,Sync!$C$6)&amp;"",""))</f>
        <v/>
      </c>
      <c r="F2635" s="23" t="str">
        <f aca="false">IF(B2635="","","outreach_sent")</f>
        <v/>
      </c>
      <c r="G2635" s="23" t="str">
        <f aca="false">IF(B2635="","","")</f>
        <v/>
      </c>
      <c r="H2635" s="23" t="str">
        <f aca="false">IF(B2635="","","")</f>
        <v/>
      </c>
      <c r="I2635" s="23" t="str">
        <f aca="false">IF(B2635="","","")</f>
        <v/>
      </c>
      <c r="J2635" s="23" t="str">
        <f aca="false">IF(B2635="","","touch_2; "&amp;IFERROR(INDEX(Clay_Offices!$A$2:$FZ$601,384,Sync!$C$10)&amp;"","")&amp;"; "&amp;IFERROR(INDEX(Clay_Offices!$A$2:$FZ$601,384,Sync!$C$9)&amp;"",""))</f>
        <v/>
      </c>
      <c r="K2635" s="32" t="s">
        <v>1364</v>
      </c>
    </row>
    <row r="2636" customFormat="false" ht="15" hidden="false" customHeight="false" outlineLevel="0" collapsed="false">
      <c r="A2636" s="23" t="str">
        <f aca="false">IF(B2636="","",B2636+(13*1000+385)/10000000)</f>
        <v/>
      </c>
      <c r="B2636" s="35" t="str">
        <f aca="false">IF(AND(IFERROR(N(INDEX(Clay_Offices!$A$2:$FZ$601,385,Sync!$C$12)),0)&gt;0,IFERROR(INDEX(Clay_Offices!$A$2:$FZ$601,385,Sync!$C$5)&amp;"","")&lt;&gt;"",OR(LEFT(IFERROR(INDEX(Clay_Offices!$A$2:$FZ$601,385,Sync!$C$5)&amp;"",""),6)&lt;&gt;"SAMPLE",Config!$B$19="Y")),IFERROR(N(INDEX(Clay_Offices!$A$2:$FZ$601,385,Sync!$C$12)),0),"")</f>
        <v/>
      </c>
      <c r="C2636" s="23" t="str">
        <f aca="false">IF(B2636="","","office")</f>
        <v/>
      </c>
      <c r="D2636" s="23" t="str">
        <f aca="false">IF(B2636="","",IFERROR(INDEX(Office_Log!$ED$2:$ED$201,MATCH(IFERROR(INDEX(Clay_Offices!$A$2:$FZ$601,385,Sync!$C$5)&amp;"",""),Office_Log!$A$2:$A$201,0))&amp;"",IFERROR(INDEX(Clay_Offices!$A$2:$FZ$601,385,Sync!$C$5)&amp;"","")&amp;""))</f>
        <v/>
      </c>
      <c r="E2636" s="23" t="str">
        <f aca="false">IF(B2636="","",IFERROR(INDEX(Clay_Offices!$A$2:$FZ$601,385,Sync!$C$6)&amp;"",""))</f>
        <v/>
      </c>
      <c r="F2636" s="23" t="str">
        <f aca="false">IF(B2636="","","outreach_sent")</f>
        <v/>
      </c>
      <c r="G2636" s="23" t="str">
        <f aca="false">IF(B2636="","","")</f>
        <v/>
      </c>
      <c r="H2636" s="23" t="str">
        <f aca="false">IF(B2636="","","")</f>
        <v/>
      </c>
      <c r="I2636" s="23" t="str">
        <f aca="false">IF(B2636="","","")</f>
        <v/>
      </c>
      <c r="J2636" s="23" t="str">
        <f aca="false">IF(B2636="","","touch_2; "&amp;IFERROR(INDEX(Clay_Offices!$A$2:$FZ$601,385,Sync!$C$10)&amp;"","")&amp;"; "&amp;IFERROR(INDEX(Clay_Offices!$A$2:$FZ$601,385,Sync!$C$9)&amp;"",""))</f>
        <v/>
      </c>
      <c r="K2636" s="32" t="s">
        <v>1364</v>
      </c>
    </row>
    <row r="2637" customFormat="false" ht="15" hidden="false" customHeight="false" outlineLevel="0" collapsed="false">
      <c r="A2637" s="23" t="str">
        <f aca="false">IF(B2637="","",B2637+(13*1000+386)/10000000)</f>
        <v/>
      </c>
      <c r="B2637" s="35" t="str">
        <f aca="false">IF(AND(IFERROR(N(INDEX(Clay_Offices!$A$2:$FZ$601,386,Sync!$C$12)),0)&gt;0,IFERROR(INDEX(Clay_Offices!$A$2:$FZ$601,386,Sync!$C$5)&amp;"","")&lt;&gt;"",OR(LEFT(IFERROR(INDEX(Clay_Offices!$A$2:$FZ$601,386,Sync!$C$5)&amp;"",""),6)&lt;&gt;"SAMPLE",Config!$B$19="Y")),IFERROR(N(INDEX(Clay_Offices!$A$2:$FZ$601,386,Sync!$C$12)),0),"")</f>
        <v/>
      </c>
      <c r="C2637" s="23" t="str">
        <f aca="false">IF(B2637="","","office")</f>
        <v/>
      </c>
      <c r="D2637" s="23" t="str">
        <f aca="false">IF(B2637="","",IFERROR(INDEX(Office_Log!$ED$2:$ED$201,MATCH(IFERROR(INDEX(Clay_Offices!$A$2:$FZ$601,386,Sync!$C$5)&amp;"",""),Office_Log!$A$2:$A$201,0))&amp;"",IFERROR(INDEX(Clay_Offices!$A$2:$FZ$601,386,Sync!$C$5)&amp;"","")&amp;""))</f>
        <v/>
      </c>
      <c r="E2637" s="23" t="str">
        <f aca="false">IF(B2637="","",IFERROR(INDEX(Clay_Offices!$A$2:$FZ$601,386,Sync!$C$6)&amp;"",""))</f>
        <v/>
      </c>
      <c r="F2637" s="23" t="str">
        <f aca="false">IF(B2637="","","outreach_sent")</f>
        <v/>
      </c>
      <c r="G2637" s="23" t="str">
        <f aca="false">IF(B2637="","","")</f>
        <v/>
      </c>
      <c r="H2637" s="23" t="str">
        <f aca="false">IF(B2637="","","")</f>
        <v/>
      </c>
      <c r="I2637" s="23" t="str">
        <f aca="false">IF(B2637="","","")</f>
        <v/>
      </c>
      <c r="J2637" s="23" t="str">
        <f aca="false">IF(B2637="","","touch_2; "&amp;IFERROR(INDEX(Clay_Offices!$A$2:$FZ$601,386,Sync!$C$10)&amp;"","")&amp;"; "&amp;IFERROR(INDEX(Clay_Offices!$A$2:$FZ$601,386,Sync!$C$9)&amp;"",""))</f>
        <v/>
      </c>
      <c r="K2637" s="32" t="s">
        <v>1364</v>
      </c>
    </row>
    <row r="2638" customFormat="false" ht="15" hidden="false" customHeight="false" outlineLevel="0" collapsed="false">
      <c r="A2638" s="23" t="str">
        <f aca="false">IF(B2638="","",B2638+(13*1000+387)/10000000)</f>
        <v/>
      </c>
      <c r="B2638" s="35" t="str">
        <f aca="false">IF(AND(IFERROR(N(INDEX(Clay_Offices!$A$2:$FZ$601,387,Sync!$C$12)),0)&gt;0,IFERROR(INDEX(Clay_Offices!$A$2:$FZ$601,387,Sync!$C$5)&amp;"","")&lt;&gt;"",OR(LEFT(IFERROR(INDEX(Clay_Offices!$A$2:$FZ$601,387,Sync!$C$5)&amp;"",""),6)&lt;&gt;"SAMPLE",Config!$B$19="Y")),IFERROR(N(INDEX(Clay_Offices!$A$2:$FZ$601,387,Sync!$C$12)),0),"")</f>
        <v/>
      </c>
      <c r="C2638" s="23" t="str">
        <f aca="false">IF(B2638="","","office")</f>
        <v/>
      </c>
      <c r="D2638" s="23" t="str">
        <f aca="false">IF(B2638="","",IFERROR(INDEX(Office_Log!$ED$2:$ED$201,MATCH(IFERROR(INDEX(Clay_Offices!$A$2:$FZ$601,387,Sync!$C$5)&amp;"",""),Office_Log!$A$2:$A$201,0))&amp;"",IFERROR(INDEX(Clay_Offices!$A$2:$FZ$601,387,Sync!$C$5)&amp;"","")&amp;""))</f>
        <v/>
      </c>
      <c r="E2638" s="23" t="str">
        <f aca="false">IF(B2638="","",IFERROR(INDEX(Clay_Offices!$A$2:$FZ$601,387,Sync!$C$6)&amp;"",""))</f>
        <v/>
      </c>
      <c r="F2638" s="23" t="str">
        <f aca="false">IF(B2638="","","outreach_sent")</f>
        <v/>
      </c>
      <c r="G2638" s="23" t="str">
        <f aca="false">IF(B2638="","","")</f>
        <v/>
      </c>
      <c r="H2638" s="23" t="str">
        <f aca="false">IF(B2638="","","")</f>
        <v/>
      </c>
      <c r="I2638" s="23" t="str">
        <f aca="false">IF(B2638="","","")</f>
        <v/>
      </c>
      <c r="J2638" s="23" t="str">
        <f aca="false">IF(B2638="","","touch_2; "&amp;IFERROR(INDEX(Clay_Offices!$A$2:$FZ$601,387,Sync!$C$10)&amp;"","")&amp;"; "&amp;IFERROR(INDEX(Clay_Offices!$A$2:$FZ$601,387,Sync!$C$9)&amp;"",""))</f>
        <v/>
      </c>
      <c r="K2638" s="32" t="s">
        <v>1364</v>
      </c>
    </row>
    <row r="2639" customFormat="false" ht="15" hidden="false" customHeight="false" outlineLevel="0" collapsed="false">
      <c r="A2639" s="23" t="str">
        <f aca="false">IF(B2639="","",B2639+(13*1000+388)/10000000)</f>
        <v/>
      </c>
      <c r="B2639" s="35" t="str">
        <f aca="false">IF(AND(IFERROR(N(INDEX(Clay_Offices!$A$2:$FZ$601,388,Sync!$C$12)),0)&gt;0,IFERROR(INDEX(Clay_Offices!$A$2:$FZ$601,388,Sync!$C$5)&amp;"","")&lt;&gt;"",OR(LEFT(IFERROR(INDEX(Clay_Offices!$A$2:$FZ$601,388,Sync!$C$5)&amp;"",""),6)&lt;&gt;"SAMPLE",Config!$B$19="Y")),IFERROR(N(INDEX(Clay_Offices!$A$2:$FZ$601,388,Sync!$C$12)),0),"")</f>
        <v/>
      </c>
      <c r="C2639" s="23" t="str">
        <f aca="false">IF(B2639="","","office")</f>
        <v/>
      </c>
      <c r="D2639" s="23" t="str">
        <f aca="false">IF(B2639="","",IFERROR(INDEX(Office_Log!$ED$2:$ED$201,MATCH(IFERROR(INDEX(Clay_Offices!$A$2:$FZ$601,388,Sync!$C$5)&amp;"",""),Office_Log!$A$2:$A$201,0))&amp;"",IFERROR(INDEX(Clay_Offices!$A$2:$FZ$601,388,Sync!$C$5)&amp;"","")&amp;""))</f>
        <v/>
      </c>
      <c r="E2639" s="23" t="str">
        <f aca="false">IF(B2639="","",IFERROR(INDEX(Clay_Offices!$A$2:$FZ$601,388,Sync!$C$6)&amp;"",""))</f>
        <v/>
      </c>
      <c r="F2639" s="23" t="str">
        <f aca="false">IF(B2639="","","outreach_sent")</f>
        <v/>
      </c>
      <c r="G2639" s="23" t="str">
        <f aca="false">IF(B2639="","","")</f>
        <v/>
      </c>
      <c r="H2639" s="23" t="str">
        <f aca="false">IF(B2639="","","")</f>
        <v/>
      </c>
      <c r="I2639" s="23" t="str">
        <f aca="false">IF(B2639="","","")</f>
        <v/>
      </c>
      <c r="J2639" s="23" t="str">
        <f aca="false">IF(B2639="","","touch_2; "&amp;IFERROR(INDEX(Clay_Offices!$A$2:$FZ$601,388,Sync!$C$10)&amp;"","")&amp;"; "&amp;IFERROR(INDEX(Clay_Offices!$A$2:$FZ$601,388,Sync!$C$9)&amp;"",""))</f>
        <v/>
      </c>
      <c r="K2639" s="32" t="s">
        <v>1364</v>
      </c>
    </row>
    <row r="2640" customFormat="false" ht="15" hidden="false" customHeight="false" outlineLevel="0" collapsed="false">
      <c r="A2640" s="23" t="str">
        <f aca="false">IF(B2640="","",B2640+(13*1000+389)/10000000)</f>
        <v/>
      </c>
      <c r="B2640" s="35" t="str">
        <f aca="false">IF(AND(IFERROR(N(INDEX(Clay_Offices!$A$2:$FZ$601,389,Sync!$C$12)),0)&gt;0,IFERROR(INDEX(Clay_Offices!$A$2:$FZ$601,389,Sync!$C$5)&amp;"","")&lt;&gt;"",OR(LEFT(IFERROR(INDEX(Clay_Offices!$A$2:$FZ$601,389,Sync!$C$5)&amp;"",""),6)&lt;&gt;"SAMPLE",Config!$B$19="Y")),IFERROR(N(INDEX(Clay_Offices!$A$2:$FZ$601,389,Sync!$C$12)),0),"")</f>
        <v/>
      </c>
      <c r="C2640" s="23" t="str">
        <f aca="false">IF(B2640="","","office")</f>
        <v/>
      </c>
      <c r="D2640" s="23" t="str">
        <f aca="false">IF(B2640="","",IFERROR(INDEX(Office_Log!$ED$2:$ED$201,MATCH(IFERROR(INDEX(Clay_Offices!$A$2:$FZ$601,389,Sync!$C$5)&amp;"",""),Office_Log!$A$2:$A$201,0))&amp;"",IFERROR(INDEX(Clay_Offices!$A$2:$FZ$601,389,Sync!$C$5)&amp;"","")&amp;""))</f>
        <v/>
      </c>
      <c r="E2640" s="23" t="str">
        <f aca="false">IF(B2640="","",IFERROR(INDEX(Clay_Offices!$A$2:$FZ$601,389,Sync!$C$6)&amp;"",""))</f>
        <v/>
      </c>
      <c r="F2640" s="23" t="str">
        <f aca="false">IF(B2640="","","outreach_sent")</f>
        <v/>
      </c>
      <c r="G2640" s="23" t="str">
        <f aca="false">IF(B2640="","","")</f>
        <v/>
      </c>
      <c r="H2640" s="23" t="str">
        <f aca="false">IF(B2640="","","")</f>
        <v/>
      </c>
      <c r="I2640" s="23" t="str">
        <f aca="false">IF(B2640="","","")</f>
        <v/>
      </c>
      <c r="J2640" s="23" t="str">
        <f aca="false">IF(B2640="","","touch_2; "&amp;IFERROR(INDEX(Clay_Offices!$A$2:$FZ$601,389,Sync!$C$10)&amp;"","")&amp;"; "&amp;IFERROR(INDEX(Clay_Offices!$A$2:$FZ$601,389,Sync!$C$9)&amp;"",""))</f>
        <v/>
      </c>
      <c r="K2640" s="32" t="s">
        <v>1364</v>
      </c>
    </row>
    <row r="2641" customFormat="false" ht="15" hidden="false" customHeight="false" outlineLevel="0" collapsed="false">
      <c r="A2641" s="23" t="str">
        <f aca="false">IF(B2641="","",B2641+(13*1000+390)/10000000)</f>
        <v/>
      </c>
      <c r="B2641" s="35" t="str">
        <f aca="false">IF(AND(IFERROR(N(INDEX(Clay_Offices!$A$2:$FZ$601,390,Sync!$C$12)),0)&gt;0,IFERROR(INDEX(Clay_Offices!$A$2:$FZ$601,390,Sync!$C$5)&amp;"","")&lt;&gt;"",OR(LEFT(IFERROR(INDEX(Clay_Offices!$A$2:$FZ$601,390,Sync!$C$5)&amp;"",""),6)&lt;&gt;"SAMPLE",Config!$B$19="Y")),IFERROR(N(INDEX(Clay_Offices!$A$2:$FZ$601,390,Sync!$C$12)),0),"")</f>
        <v/>
      </c>
      <c r="C2641" s="23" t="str">
        <f aca="false">IF(B2641="","","office")</f>
        <v/>
      </c>
      <c r="D2641" s="23" t="str">
        <f aca="false">IF(B2641="","",IFERROR(INDEX(Office_Log!$ED$2:$ED$201,MATCH(IFERROR(INDEX(Clay_Offices!$A$2:$FZ$601,390,Sync!$C$5)&amp;"",""),Office_Log!$A$2:$A$201,0))&amp;"",IFERROR(INDEX(Clay_Offices!$A$2:$FZ$601,390,Sync!$C$5)&amp;"","")&amp;""))</f>
        <v/>
      </c>
      <c r="E2641" s="23" t="str">
        <f aca="false">IF(B2641="","",IFERROR(INDEX(Clay_Offices!$A$2:$FZ$601,390,Sync!$C$6)&amp;"",""))</f>
        <v/>
      </c>
      <c r="F2641" s="23" t="str">
        <f aca="false">IF(B2641="","","outreach_sent")</f>
        <v/>
      </c>
      <c r="G2641" s="23" t="str">
        <f aca="false">IF(B2641="","","")</f>
        <v/>
      </c>
      <c r="H2641" s="23" t="str">
        <f aca="false">IF(B2641="","","")</f>
        <v/>
      </c>
      <c r="I2641" s="23" t="str">
        <f aca="false">IF(B2641="","","")</f>
        <v/>
      </c>
      <c r="J2641" s="23" t="str">
        <f aca="false">IF(B2641="","","touch_2; "&amp;IFERROR(INDEX(Clay_Offices!$A$2:$FZ$601,390,Sync!$C$10)&amp;"","")&amp;"; "&amp;IFERROR(INDEX(Clay_Offices!$A$2:$FZ$601,390,Sync!$C$9)&amp;"",""))</f>
        <v/>
      </c>
      <c r="K2641" s="32" t="s">
        <v>1364</v>
      </c>
    </row>
    <row r="2642" customFormat="false" ht="15" hidden="false" customHeight="false" outlineLevel="0" collapsed="false">
      <c r="A2642" s="23" t="str">
        <f aca="false">IF(B2642="","",B2642+(13*1000+391)/10000000)</f>
        <v/>
      </c>
      <c r="B2642" s="35" t="str">
        <f aca="false">IF(AND(IFERROR(N(INDEX(Clay_Offices!$A$2:$FZ$601,391,Sync!$C$12)),0)&gt;0,IFERROR(INDEX(Clay_Offices!$A$2:$FZ$601,391,Sync!$C$5)&amp;"","")&lt;&gt;"",OR(LEFT(IFERROR(INDEX(Clay_Offices!$A$2:$FZ$601,391,Sync!$C$5)&amp;"",""),6)&lt;&gt;"SAMPLE",Config!$B$19="Y")),IFERROR(N(INDEX(Clay_Offices!$A$2:$FZ$601,391,Sync!$C$12)),0),"")</f>
        <v/>
      </c>
      <c r="C2642" s="23" t="str">
        <f aca="false">IF(B2642="","","office")</f>
        <v/>
      </c>
      <c r="D2642" s="23" t="str">
        <f aca="false">IF(B2642="","",IFERROR(INDEX(Office_Log!$ED$2:$ED$201,MATCH(IFERROR(INDEX(Clay_Offices!$A$2:$FZ$601,391,Sync!$C$5)&amp;"",""),Office_Log!$A$2:$A$201,0))&amp;"",IFERROR(INDEX(Clay_Offices!$A$2:$FZ$601,391,Sync!$C$5)&amp;"","")&amp;""))</f>
        <v/>
      </c>
      <c r="E2642" s="23" t="str">
        <f aca="false">IF(B2642="","",IFERROR(INDEX(Clay_Offices!$A$2:$FZ$601,391,Sync!$C$6)&amp;"",""))</f>
        <v/>
      </c>
      <c r="F2642" s="23" t="str">
        <f aca="false">IF(B2642="","","outreach_sent")</f>
        <v/>
      </c>
      <c r="G2642" s="23" t="str">
        <f aca="false">IF(B2642="","","")</f>
        <v/>
      </c>
      <c r="H2642" s="23" t="str">
        <f aca="false">IF(B2642="","","")</f>
        <v/>
      </c>
      <c r="I2642" s="23" t="str">
        <f aca="false">IF(B2642="","","")</f>
        <v/>
      </c>
      <c r="J2642" s="23" t="str">
        <f aca="false">IF(B2642="","","touch_2; "&amp;IFERROR(INDEX(Clay_Offices!$A$2:$FZ$601,391,Sync!$C$10)&amp;"","")&amp;"; "&amp;IFERROR(INDEX(Clay_Offices!$A$2:$FZ$601,391,Sync!$C$9)&amp;"",""))</f>
        <v/>
      </c>
      <c r="K2642" s="32" t="s">
        <v>1364</v>
      </c>
    </row>
    <row r="2643" customFormat="false" ht="15" hidden="false" customHeight="false" outlineLevel="0" collapsed="false">
      <c r="A2643" s="23" t="str">
        <f aca="false">IF(B2643="","",B2643+(13*1000+392)/10000000)</f>
        <v/>
      </c>
      <c r="B2643" s="35" t="str">
        <f aca="false">IF(AND(IFERROR(N(INDEX(Clay_Offices!$A$2:$FZ$601,392,Sync!$C$12)),0)&gt;0,IFERROR(INDEX(Clay_Offices!$A$2:$FZ$601,392,Sync!$C$5)&amp;"","")&lt;&gt;"",OR(LEFT(IFERROR(INDEX(Clay_Offices!$A$2:$FZ$601,392,Sync!$C$5)&amp;"",""),6)&lt;&gt;"SAMPLE",Config!$B$19="Y")),IFERROR(N(INDEX(Clay_Offices!$A$2:$FZ$601,392,Sync!$C$12)),0),"")</f>
        <v/>
      </c>
      <c r="C2643" s="23" t="str">
        <f aca="false">IF(B2643="","","office")</f>
        <v/>
      </c>
      <c r="D2643" s="23" t="str">
        <f aca="false">IF(B2643="","",IFERROR(INDEX(Office_Log!$ED$2:$ED$201,MATCH(IFERROR(INDEX(Clay_Offices!$A$2:$FZ$601,392,Sync!$C$5)&amp;"",""),Office_Log!$A$2:$A$201,0))&amp;"",IFERROR(INDEX(Clay_Offices!$A$2:$FZ$601,392,Sync!$C$5)&amp;"","")&amp;""))</f>
        <v/>
      </c>
      <c r="E2643" s="23" t="str">
        <f aca="false">IF(B2643="","",IFERROR(INDEX(Clay_Offices!$A$2:$FZ$601,392,Sync!$C$6)&amp;"",""))</f>
        <v/>
      </c>
      <c r="F2643" s="23" t="str">
        <f aca="false">IF(B2643="","","outreach_sent")</f>
        <v/>
      </c>
      <c r="G2643" s="23" t="str">
        <f aca="false">IF(B2643="","","")</f>
        <v/>
      </c>
      <c r="H2643" s="23" t="str">
        <f aca="false">IF(B2643="","","")</f>
        <v/>
      </c>
      <c r="I2643" s="23" t="str">
        <f aca="false">IF(B2643="","","")</f>
        <v/>
      </c>
      <c r="J2643" s="23" t="str">
        <f aca="false">IF(B2643="","","touch_2; "&amp;IFERROR(INDEX(Clay_Offices!$A$2:$FZ$601,392,Sync!$C$10)&amp;"","")&amp;"; "&amp;IFERROR(INDEX(Clay_Offices!$A$2:$FZ$601,392,Sync!$C$9)&amp;"",""))</f>
        <v/>
      </c>
      <c r="K2643" s="32" t="s">
        <v>1364</v>
      </c>
    </row>
    <row r="2644" customFormat="false" ht="15" hidden="false" customHeight="false" outlineLevel="0" collapsed="false">
      <c r="A2644" s="23" t="str">
        <f aca="false">IF(B2644="","",B2644+(13*1000+393)/10000000)</f>
        <v/>
      </c>
      <c r="B2644" s="35" t="str">
        <f aca="false">IF(AND(IFERROR(N(INDEX(Clay_Offices!$A$2:$FZ$601,393,Sync!$C$12)),0)&gt;0,IFERROR(INDEX(Clay_Offices!$A$2:$FZ$601,393,Sync!$C$5)&amp;"","")&lt;&gt;"",OR(LEFT(IFERROR(INDEX(Clay_Offices!$A$2:$FZ$601,393,Sync!$C$5)&amp;"",""),6)&lt;&gt;"SAMPLE",Config!$B$19="Y")),IFERROR(N(INDEX(Clay_Offices!$A$2:$FZ$601,393,Sync!$C$12)),0),"")</f>
        <v/>
      </c>
      <c r="C2644" s="23" t="str">
        <f aca="false">IF(B2644="","","office")</f>
        <v/>
      </c>
      <c r="D2644" s="23" t="str">
        <f aca="false">IF(B2644="","",IFERROR(INDEX(Office_Log!$ED$2:$ED$201,MATCH(IFERROR(INDEX(Clay_Offices!$A$2:$FZ$601,393,Sync!$C$5)&amp;"",""),Office_Log!$A$2:$A$201,0))&amp;"",IFERROR(INDEX(Clay_Offices!$A$2:$FZ$601,393,Sync!$C$5)&amp;"","")&amp;""))</f>
        <v/>
      </c>
      <c r="E2644" s="23" t="str">
        <f aca="false">IF(B2644="","",IFERROR(INDEX(Clay_Offices!$A$2:$FZ$601,393,Sync!$C$6)&amp;"",""))</f>
        <v/>
      </c>
      <c r="F2644" s="23" t="str">
        <f aca="false">IF(B2644="","","outreach_sent")</f>
        <v/>
      </c>
      <c r="G2644" s="23" t="str">
        <f aca="false">IF(B2644="","","")</f>
        <v/>
      </c>
      <c r="H2644" s="23" t="str">
        <f aca="false">IF(B2644="","","")</f>
        <v/>
      </c>
      <c r="I2644" s="23" t="str">
        <f aca="false">IF(B2644="","","")</f>
        <v/>
      </c>
      <c r="J2644" s="23" t="str">
        <f aca="false">IF(B2644="","","touch_2; "&amp;IFERROR(INDEX(Clay_Offices!$A$2:$FZ$601,393,Sync!$C$10)&amp;"","")&amp;"; "&amp;IFERROR(INDEX(Clay_Offices!$A$2:$FZ$601,393,Sync!$C$9)&amp;"",""))</f>
        <v/>
      </c>
      <c r="K2644" s="32" t="s">
        <v>1364</v>
      </c>
    </row>
    <row r="2645" customFormat="false" ht="15" hidden="false" customHeight="false" outlineLevel="0" collapsed="false">
      <c r="A2645" s="23" t="str">
        <f aca="false">IF(B2645="","",B2645+(13*1000+394)/10000000)</f>
        <v/>
      </c>
      <c r="B2645" s="35" t="str">
        <f aca="false">IF(AND(IFERROR(N(INDEX(Clay_Offices!$A$2:$FZ$601,394,Sync!$C$12)),0)&gt;0,IFERROR(INDEX(Clay_Offices!$A$2:$FZ$601,394,Sync!$C$5)&amp;"","")&lt;&gt;"",OR(LEFT(IFERROR(INDEX(Clay_Offices!$A$2:$FZ$601,394,Sync!$C$5)&amp;"",""),6)&lt;&gt;"SAMPLE",Config!$B$19="Y")),IFERROR(N(INDEX(Clay_Offices!$A$2:$FZ$601,394,Sync!$C$12)),0),"")</f>
        <v/>
      </c>
      <c r="C2645" s="23" t="str">
        <f aca="false">IF(B2645="","","office")</f>
        <v/>
      </c>
      <c r="D2645" s="23" t="str">
        <f aca="false">IF(B2645="","",IFERROR(INDEX(Office_Log!$ED$2:$ED$201,MATCH(IFERROR(INDEX(Clay_Offices!$A$2:$FZ$601,394,Sync!$C$5)&amp;"",""),Office_Log!$A$2:$A$201,0))&amp;"",IFERROR(INDEX(Clay_Offices!$A$2:$FZ$601,394,Sync!$C$5)&amp;"","")&amp;""))</f>
        <v/>
      </c>
      <c r="E2645" s="23" t="str">
        <f aca="false">IF(B2645="","",IFERROR(INDEX(Clay_Offices!$A$2:$FZ$601,394,Sync!$C$6)&amp;"",""))</f>
        <v/>
      </c>
      <c r="F2645" s="23" t="str">
        <f aca="false">IF(B2645="","","outreach_sent")</f>
        <v/>
      </c>
      <c r="G2645" s="23" t="str">
        <f aca="false">IF(B2645="","","")</f>
        <v/>
      </c>
      <c r="H2645" s="23" t="str">
        <f aca="false">IF(B2645="","","")</f>
        <v/>
      </c>
      <c r="I2645" s="23" t="str">
        <f aca="false">IF(B2645="","","")</f>
        <v/>
      </c>
      <c r="J2645" s="23" t="str">
        <f aca="false">IF(B2645="","","touch_2; "&amp;IFERROR(INDEX(Clay_Offices!$A$2:$FZ$601,394,Sync!$C$10)&amp;"","")&amp;"; "&amp;IFERROR(INDEX(Clay_Offices!$A$2:$FZ$601,394,Sync!$C$9)&amp;"",""))</f>
        <v/>
      </c>
      <c r="K2645" s="32" t="s">
        <v>1364</v>
      </c>
    </row>
    <row r="2646" customFormat="false" ht="15" hidden="false" customHeight="false" outlineLevel="0" collapsed="false">
      <c r="A2646" s="23" t="str">
        <f aca="false">IF(B2646="","",B2646+(13*1000+395)/10000000)</f>
        <v/>
      </c>
      <c r="B2646" s="35" t="str">
        <f aca="false">IF(AND(IFERROR(N(INDEX(Clay_Offices!$A$2:$FZ$601,395,Sync!$C$12)),0)&gt;0,IFERROR(INDEX(Clay_Offices!$A$2:$FZ$601,395,Sync!$C$5)&amp;"","")&lt;&gt;"",OR(LEFT(IFERROR(INDEX(Clay_Offices!$A$2:$FZ$601,395,Sync!$C$5)&amp;"",""),6)&lt;&gt;"SAMPLE",Config!$B$19="Y")),IFERROR(N(INDEX(Clay_Offices!$A$2:$FZ$601,395,Sync!$C$12)),0),"")</f>
        <v/>
      </c>
      <c r="C2646" s="23" t="str">
        <f aca="false">IF(B2646="","","office")</f>
        <v/>
      </c>
      <c r="D2646" s="23" t="str">
        <f aca="false">IF(B2646="","",IFERROR(INDEX(Office_Log!$ED$2:$ED$201,MATCH(IFERROR(INDEX(Clay_Offices!$A$2:$FZ$601,395,Sync!$C$5)&amp;"",""),Office_Log!$A$2:$A$201,0))&amp;"",IFERROR(INDEX(Clay_Offices!$A$2:$FZ$601,395,Sync!$C$5)&amp;"","")&amp;""))</f>
        <v/>
      </c>
      <c r="E2646" s="23" t="str">
        <f aca="false">IF(B2646="","",IFERROR(INDEX(Clay_Offices!$A$2:$FZ$601,395,Sync!$C$6)&amp;"",""))</f>
        <v/>
      </c>
      <c r="F2646" s="23" t="str">
        <f aca="false">IF(B2646="","","outreach_sent")</f>
        <v/>
      </c>
      <c r="G2646" s="23" t="str">
        <f aca="false">IF(B2646="","","")</f>
        <v/>
      </c>
      <c r="H2646" s="23" t="str">
        <f aca="false">IF(B2646="","","")</f>
        <v/>
      </c>
      <c r="I2646" s="23" t="str">
        <f aca="false">IF(B2646="","","")</f>
        <v/>
      </c>
      <c r="J2646" s="23" t="str">
        <f aca="false">IF(B2646="","","touch_2; "&amp;IFERROR(INDEX(Clay_Offices!$A$2:$FZ$601,395,Sync!$C$10)&amp;"","")&amp;"; "&amp;IFERROR(INDEX(Clay_Offices!$A$2:$FZ$601,395,Sync!$C$9)&amp;"",""))</f>
        <v/>
      </c>
      <c r="K2646" s="32" t="s">
        <v>1364</v>
      </c>
    </row>
    <row r="2647" customFormat="false" ht="15" hidden="false" customHeight="false" outlineLevel="0" collapsed="false">
      <c r="A2647" s="23" t="str">
        <f aca="false">IF(B2647="","",B2647+(13*1000+396)/10000000)</f>
        <v/>
      </c>
      <c r="B2647" s="35" t="str">
        <f aca="false">IF(AND(IFERROR(N(INDEX(Clay_Offices!$A$2:$FZ$601,396,Sync!$C$12)),0)&gt;0,IFERROR(INDEX(Clay_Offices!$A$2:$FZ$601,396,Sync!$C$5)&amp;"","")&lt;&gt;"",OR(LEFT(IFERROR(INDEX(Clay_Offices!$A$2:$FZ$601,396,Sync!$C$5)&amp;"",""),6)&lt;&gt;"SAMPLE",Config!$B$19="Y")),IFERROR(N(INDEX(Clay_Offices!$A$2:$FZ$601,396,Sync!$C$12)),0),"")</f>
        <v/>
      </c>
      <c r="C2647" s="23" t="str">
        <f aca="false">IF(B2647="","","office")</f>
        <v/>
      </c>
      <c r="D2647" s="23" t="str">
        <f aca="false">IF(B2647="","",IFERROR(INDEX(Office_Log!$ED$2:$ED$201,MATCH(IFERROR(INDEX(Clay_Offices!$A$2:$FZ$601,396,Sync!$C$5)&amp;"",""),Office_Log!$A$2:$A$201,0))&amp;"",IFERROR(INDEX(Clay_Offices!$A$2:$FZ$601,396,Sync!$C$5)&amp;"","")&amp;""))</f>
        <v/>
      </c>
      <c r="E2647" s="23" t="str">
        <f aca="false">IF(B2647="","",IFERROR(INDEX(Clay_Offices!$A$2:$FZ$601,396,Sync!$C$6)&amp;"",""))</f>
        <v/>
      </c>
      <c r="F2647" s="23" t="str">
        <f aca="false">IF(B2647="","","outreach_sent")</f>
        <v/>
      </c>
      <c r="G2647" s="23" t="str">
        <f aca="false">IF(B2647="","","")</f>
        <v/>
      </c>
      <c r="H2647" s="23" t="str">
        <f aca="false">IF(B2647="","","")</f>
        <v/>
      </c>
      <c r="I2647" s="23" t="str">
        <f aca="false">IF(B2647="","","")</f>
        <v/>
      </c>
      <c r="J2647" s="23" t="str">
        <f aca="false">IF(B2647="","","touch_2; "&amp;IFERROR(INDEX(Clay_Offices!$A$2:$FZ$601,396,Sync!$C$10)&amp;"","")&amp;"; "&amp;IFERROR(INDEX(Clay_Offices!$A$2:$FZ$601,396,Sync!$C$9)&amp;"",""))</f>
        <v/>
      </c>
      <c r="K2647" s="32" t="s">
        <v>1364</v>
      </c>
    </row>
    <row r="2648" customFormat="false" ht="15" hidden="false" customHeight="false" outlineLevel="0" collapsed="false">
      <c r="A2648" s="23" t="str">
        <f aca="false">IF(B2648="","",B2648+(13*1000+397)/10000000)</f>
        <v/>
      </c>
      <c r="B2648" s="35" t="str">
        <f aca="false">IF(AND(IFERROR(N(INDEX(Clay_Offices!$A$2:$FZ$601,397,Sync!$C$12)),0)&gt;0,IFERROR(INDEX(Clay_Offices!$A$2:$FZ$601,397,Sync!$C$5)&amp;"","")&lt;&gt;"",OR(LEFT(IFERROR(INDEX(Clay_Offices!$A$2:$FZ$601,397,Sync!$C$5)&amp;"",""),6)&lt;&gt;"SAMPLE",Config!$B$19="Y")),IFERROR(N(INDEX(Clay_Offices!$A$2:$FZ$601,397,Sync!$C$12)),0),"")</f>
        <v/>
      </c>
      <c r="C2648" s="23" t="str">
        <f aca="false">IF(B2648="","","office")</f>
        <v/>
      </c>
      <c r="D2648" s="23" t="str">
        <f aca="false">IF(B2648="","",IFERROR(INDEX(Office_Log!$ED$2:$ED$201,MATCH(IFERROR(INDEX(Clay_Offices!$A$2:$FZ$601,397,Sync!$C$5)&amp;"",""),Office_Log!$A$2:$A$201,0))&amp;"",IFERROR(INDEX(Clay_Offices!$A$2:$FZ$601,397,Sync!$C$5)&amp;"","")&amp;""))</f>
        <v/>
      </c>
      <c r="E2648" s="23" t="str">
        <f aca="false">IF(B2648="","",IFERROR(INDEX(Clay_Offices!$A$2:$FZ$601,397,Sync!$C$6)&amp;"",""))</f>
        <v/>
      </c>
      <c r="F2648" s="23" t="str">
        <f aca="false">IF(B2648="","","outreach_sent")</f>
        <v/>
      </c>
      <c r="G2648" s="23" t="str">
        <f aca="false">IF(B2648="","","")</f>
        <v/>
      </c>
      <c r="H2648" s="23" t="str">
        <f aca="false">IF(B2648="","","")</f>
        <v/>
      </c>
      <c r="I2648" s="23" t="str">
        <f aca="false">IF(B2648="","","")</f>
        <v/>
      </c>
      <c r="J2648" s="23" t="str">
        <f aca="false">IF(B2648="","","touch_2; "&amp;IFERROR(INDEX(Clay_Offices!$A$2:$FZ$601,397,Sync!$C$10)&amp;"","")&amp;"; "&amp;IFERROR(INDEX(Clay_Offices!$A$2:$FZ$601,397,Sync!$C$9)&amp;"",""))</f>
        <v/>
      </c>
      <c r="K2648" s="32" t="s">
        <v>1364</v>
      </c>
    </row>
    <row r="2649" customFormat="false" ht="15" hidden="false" customHeight="false" outlineLevel="0" collapsed="false">
      <c r="A2649" s="23" t="str">
        <f aca="false">IF(B2649="","",B2649+(13*1000+398)/10000000)</f>
        <v/>
      </c>
      <c r="B2649" s="35" t="str">
        <f aca="false">IF(AND(IFERROR(N(INDEX(Clay_Offices!$A$2:$FZ$601,398,Sync!$C$12)),0)&gt;0,IFERROR(INDEX(Clay_Offices!$A$2:$FZ$601,398,Sync!$C$5)&amp;"","")&lt;&gt;"",OR(LEFT(IFERROR(INDEX(Clay_Offices!$A$2:$FZ$601,398,Sync!$C$5)&amp;"",""),6)&lt;&gt;"SAMPLE",Config!$B$19="Y")),IFERROR(N(INDEX(Clay_Offices!$A$2:$FZ$601,398,Sync!$C$12)),0),"")</f>
        <v/>
      </c>
      <c r="C2649" s="23" t="str">
        <f aca="false">IF(B2649="","","office")</f>
        <v/>
      </c>
      <c r="D2649" s="23" t="str">
        <f aca="false">IF(B2649="","",IFERROR(INDEX(Office_Log!$ED$2:$ED$201,MATCH(IFERROR(INDEX(Clay_Offices!$A$2:$FZ$601,398,Sync!$C$5)&amp;"",""),Office_Log!$A$2:$A$201,0))&amp;"",IFERROR(INDEX(Clay_Offices!$A$2:$FZ$601,398,Sync!$C$5)&amp;"","")&amp;""))</f>
        <v/>
      </c>
      <c r="E2649" s="23" t="str">
        <f aca="false">IF(B2649="","",IFERROR(INDEX(Clay_Offices!$A$2:$FZ$601,398,Sync!$C$6)&amp;"",""))</f>
        <v/>
      </c>
      <c r="F2649" s="23" t="str">
        <f aca="false">IF(B2649="","","outreach_sent")</f>
        <v/>
      </c>
      <c r="G2649" s="23" t="str">
        <f aca="false">IF(B2649="","","")</f>
        <v/>
      </c>
      <c r="H2649" s="23" t="str">
        <f aca="false">IF(B2649="","","")</f>
        <v/>
      </c>
      <c r="I2649" s="23" t="str">
        <f aca="false">IF(B2649="","","")</f>
        <v/>
      </c>
      <c r="J2649" s="23" t="str">
        <f aca="false">IF(B2649="","","touch_2; "&amp;IFERROR(INDEX(Clay_Offices!$A$2:$FZ$601,398,Sync!$C$10)&amp;"","")&amp;"; "&amp;IFERROR(INDEX(Clay_Offices!$A$2:$FZ$601,398,Sync!$C$9)&amp;"",""))</f>
        <v/>
      </c>
      <c r="K2649" s="32" t="s">
        <v>1364</v>
      </c>
    </row>
    <row r="2650" customFormat="false" ht="15" hidden="false" customHeight="false" outlineLevel="0" collapsed="false">
      <c r="A2650" s="23" t="str">
        <f aca="false">IF(B2650="","",B2650+(13*1000+399)/10000000)</f>
        <v/>
      </c>
      <c r="B2650" s="35" t="str">
        <f aca="false">IF(AND(IFERROR(N(INDEX(Clay_Offices!$A$2:$FZ$601,399,Sync!$C$12)),0)&gt;0,IFERROR(INDEX(Clay_Offices!$A$2:$FZ$601,399,Sync!$C$5)&amp;"","")&lt;&gt;"",OR(LEFT(IFERROR(INDEX(Clay_Offices!$A$2:$FZ$601,399,Sync!$C$5)&amp;"",""),6)&lt;&gt;"SAMPLE",Config!$B$19="Y")),IFERROR(N(INDEX(Clay_Offices!$A$2:$FZ$601,399,Sync!$C$12)),0),"")</f>
        <v/>
      </c>
      <c r="C2650" s="23" t="str">
        <f aca="false">IF(B2650="","","office")</f>
        <v/>
      </c>
      <c r="D2650" s="23" t="str">
        <f aca="false">IF(B2650="","",IFERROR(INDEX(Office_Log!$ED$2:$ED$201,MATCH(IFERROR(INDEX(Clay_Offices!$A$2:$FZ$601,399,Sync!$C$5)&amp;"",""),Office_Log!$A$2:$A$201,0))&amp;"",IFERROR(INDEX(Clay_Offices!$A$2:$FZ$601,399,Sync!$C$5)&amp;"","")&amp;""))</f>
        <v/>
      </c>
      <c r="E2650" s="23" t="str">
        <f aca="false">IF(B2650="","",IFERROR(INDEX(Clay_Offices!$A$2:$FZ$601,399,Sync!$C$6)&amp;"",""))</f>
        <v/>
      </c>
      <c r="F2650" s="23" t="str">
        <f aca="false">IF(B2650="","","outreach_sent")</f>
        <v/>
      </c>
      <c r="G2650" s="23" t="str">
        <f aca="false">IF(B2650="","","")</f>
        <v/>
      </c>
      <c r="H2650" s="23" t="str">
        <f aca="false">IF(B2650="","","")</f>
        <v/>
      </c>
      <c r="I2650" s="23" t="str">
        <f aca="false">IF(B2650="","","")</f>
        <v/>
      </c>
      <c r="J2650" s="23" t="str">
        <f aca="false">IF(B2650="","","touch_2; "&amp;IFERROR(INDEX(Clay_Offices!$A$2:$FZ$601,399,Sync!$C$10)&amp;"","")&amp;"; "&amp;IFERROR(INDEX(Clay_Offices!$A$2:$FZ$601,399,Sync!$C$9)&amp;"",""))</f>
        <v/>
      </c>
      <c r="K2650" s="32" t="s">
        <v>1364</v>
      </c>
    </row>
    <row r="2651" customFormat="false" ht="15" hidden="false" customHeight="false" outlineLevel="0" collapsed="false">
      <c r="A2651" s="23" t="str">
        <f aca="false">IF(B2651="","",B2651+(13*1000+400)/10000000)</f>
        <v/>
      </c>
      <c r="B2651" s="35" t="str">
        <f aca="false">IF(AND(IFERROR(N(INDEX(Clay_Offices!$A$2:$FZ$601,400,Sync!$C$12)),0)&gt;0,IFERROR(INDEX(Clay_Offices!$A$2:$FZ$601,400,Sync!$C$5)&amp;"","")&lt;&gt;"",OR(LEFT(IFERROR(INDEX(Clay_Offices!$A$2:$FZ$601,400,Sync!$C$5)&amp;"",""),6)&lt;&gt;"SAMPLE",Config!$B$19="Y")),IFERROR(N(INDEX(Clay_Offices!$A$2:$FZ$601,400,Sync!$C$12)),0),"")</f>
        <v/>
      </c>
      <c r="C2651" s="23" t="str">
        <f aca="false">IF(B2651="","","office")</f>
        <v/>
      </c>
      <c r="D2651" s="23" t="str">
        <f aca="false">IF(B2651="","",IFERROR(INDEX(Office_Log!$ED$2:$ED$201,MATCH(IFERROR(INDEX(Clay_Offices!$A$2:$FZ$601,400,Sync!$C$5)&amp;"",""),Office_Log!$A$2:$A$201,0))&amp;"",IFERROR(INDEX(Clay_Offices!$A$2:$FZ$601,400,Sync!$C$5)&amp;"","")&amp;""))</f>
        <v/>
      </c>
      <c r="E2651" s="23" t="str">
        <f aca="false">IF(B2651="","",IFERROR(INDEX(Clay_Offices!$A$2:$FZ$601,400,Sync!$C$6)&amp;"",""))</f>
        <v/>
      </c>
      <c r="F2651" s="23" t="str">
        <f aca="false">IF(B2651="","","outreach_sent")</f>
        <v/>
      </c>
      <c r="G2651" s="23" t="str">
        <f aca="false">IF(B2651="","","")</f>
        <v/>
      </c>
      <c r="H2651" s="23" t="str">
        <f aca="false">IF(B2651="","","")</f>
        <v/>
      </c>
      <c r="I2651" s="23" t="str">
        <f aca="false">IF(B2651="","","")</f>
        <v/>
      </c>
      <c r="J2651" s="23" t="str">
        <f aca="false">IF(B2651="","","touch_2; "&amp;IFERROR(INDEX(Clay_Offices!$A$2:$FZ$601,400,Sync!$C$10)&amp;"","")&amp;"; "&amp;IFERROR(INDEX(Clay_Offices!$A$2:$FZ$601,400,Sync!$C$9)&amp;"",""))</f>
        <v/>
      </c>
      <c r="K2651" s="32" t="s">
        <v>1364</v>
      </c>
    </row>
    <row r="2652" customFormat="false" ht="15" hidden="false" customHeight="false" outlineLevel="0" collapsed="false">
      <c r="A2652" s="23" t="str">
        <f aca="false">IF(B2652="","",B2652+(13*1000+401)/10000000)</f>
        <v/>
      </c>
      <c r="B2652" s="35" t="str">
        <f aca="false">IF(AND(IFERROR(N(INDEX(Clay_Offices!$A$2:$FZ$601,401,Sync!$C$12)),0)&gt;0,IFERROR(INDEX(Clay_Offices!$A$2:$FZ$601,401,Sync!$C$5)&amp;"","")&lt;&gt;"",OR(LEFT(IFERROR(INDEX(Clay_Offices!$A$2:$FZ$601,401,Sync!$C$5)&amp;"",""),6)&lt;&gt;"SAMPLE",Config!$B$19="Y")),IFERROR(N(INDEX(Clay_Offices!$A$2:$FZ$601,401,Sync!$C$12)),0),"")</f>
        <v/>
      </c>
      <c r="C2652" s="23" t="str">
        <f aca="false">IF(B2652="","","office")</f>
        <v/>
      </c>
      <c r="D2652" s="23" t="str">
        <f aca="false">IF(B2652="","",IFERROR(INDEX(Office_Log!$ED$2:$ED$201,MATCH(IFERROR(INDEX(Clay_Offices!$A$2:$FZ$601,401,Sync!$C$5)&amp;"",""),Office_Log!$A$2:$A$201,0))&amp;"",IFERROR(INDEX(Clay_Offices!$A$2:$FZ$601,401,Sync!$C$5)&amp;"","")&amp;""))</f>
        <v/>
      </c>
      <c r="E2652" s="23" t="str">
        <f aca="false">IF(B2652="","",IFERROR(INDEX(Clay_Offices!$A$2:$FZ$601,401,Sync!$C$6)&amp;"",""))</f>
        <v/>
      </c>
      <c r="F2652" s="23" t="str">
        <f aca="false">IF(B2652="","","outreach_sent")</f>
        <v/>
      </c>
      <c r="G2652" s="23" t="str">
        <f aca="false">IF(B2652="","","")</f>
        <v/>
      </c>
      <c r="H2652" s="23" t="str">
        <f aca="false">IF(B2652="","","")</f>
        <v/>
      </c>
      <c r="I2652" s="23" t="str">
        <f aca="false">IF(B2652="","","")</f>
        <v/>
      </c>
      <c r="J2652" s="23" t="str">
        <f aca="false">IF(B2652="","","touch_2; "&amp;IFERROR(INDEX(Clay_Offices!$A$2:$FZ$601,401,Sync!$C$10)&amp;"","")&amp;"; "&amp;IFERROR(INDEX(Clay_Offices!$A$2:$FZ$601,401,Sync!$C$9)&amp;"",""))</f>
        <v/>
      </c>
      <c r="K2652" s="32" t="s">
        <v>1364</v>
      </c>
    </row>
    <row r="2653" customFormat="false" ht="15" hidden="false" customHeight="false" outlineLevel="0" collapsed="false">
      <c r="A2653" s="23" t="str">
        <f aca="false">IF(B2653="","",B2653+(13*1000+402)/10000000)</f>
        <v/>
      </c>
      <c r="B2653" s="35" t="str">
        <f aca="false">IF(AND(IFERROR(N(INDEX(Clay_Offices!$A$2:$FZ$601,402,Sync!$C$12)),0)&gt;0,IFERROR(INDEX(Clay_Offices!$A$2:$FZ$601,402,Sync!$C$5)&amp;"","")&lt;&gt;"",OR(LEFT(IFERROR(INDEX(Clay_Offices!$A$2:$FZ$601,402,Sync!$C$5)&amp;"",""),6)&lt;&gt;"SAMPLE",Config!$B$19="Y")),IFERROR(N(INDEX(Clay_Offices!$A$2:$FZ$601,402,Sync!$C$12)),0),"")</f>
        <v/>
      </c>
      <c r="C2653" s="23" t="str">
        <f aca="false">IF(B2653="","","office")</f>
        <v/>
      </c>
      <c r="D2653" s="23" t="str">
        <f aca="false">IF(B2653="","",IFERROR(INDEX(Office_Log!$ED$2:$ED$201,MATCH(IFERROR(INDEX(Clay_Offices!$A$2:$FZ$601,402,Sync!$C$5)&amp;"",""),Office_Log!$A$2:$A$201,0))&amp;"",IFERROR(INDEX(Clay_Offices!$A$2:$FZ$601,402,Sync!$C$5)&amp;"","")&amp;""))</f>
        <v/>
      </c>
      <c r="E2653" s="23" t="str">
        <f aca="false">IF(B2653="","",IFERROR(INDEX(Clay_Offices!$A$2:$FZ$601,402,Sync!$C$6)&amp;"",""))</f>
        <v/>
      </c>
      <c r="F2653" s="23" t="str">
        <f aca="false">IF(B2653="","","outreach_sent")</f>
        <v/>
      </c>
      <c r="G2653" s="23" t="str">
        <f aca="false">IF(B2653="","","")</f>
        <v/>
      </c>
      <c r="H2653" s="23" t="str">
        <f aca="false">IF(B2653="","","")</f>
        <v/>
      </c>
      <c r="I2653" s="23" t="str">
        <f aca="false">IF(B2653="","","")</f>
        <v/>
      </c>
      <c r="J2653" s="23" t="str">
        <f aca="false">IF(B2653="","","touch_2; "&amp;IFERROR(INDEX(Clay_Offices!$A$2:$FZ$601,402,Sync!$C$10)&amp;"","")&amp;"; "&amp;IFERROR(INDEX(Clay_Offices!$A$2:$FZ$601,402,Sync!$C$9)&amp;"",""))</f>
        <v/>
      </c>
      <c r="K2653" s="32" t="s">
        <v>1364</v>
      </c>
    </row>
    <row r="2654" customFormat="false" ht="15" hidden="false" customHeight="false" outlineLevel="0" collapsed="false">
      <c r="A2654" s="23" t="str">
        <f aca="false">IF(B2654="","",B2654+(13*1000+403)/10000000)</f>
        <v/>
      </c>
      <c r="B2654" s="35" t="str">
        <f aca="false">IF(AND(IFERROR(N(INDEX(Clay_Offices!$A$2:$FZ$601,403,Sync!$C$12)),0)&gt;0,IFERROR(INDEX(Clay_Offices!$A$2:$FZ$601,403,Sync!$C$5)&amp;"","")&lt;&gt;"",OR(LEFT(IFERROR(INDEX(Clay_Offices!$A$2:$FZ$601,403,Sync!$C$5)&amp;"",""),6)&lt;&gt;"SAMPLE",Config!$B$19="Y")),IFERROR(N(INDEX(Clay_Offices!$A$2:$FZ$601,403,Sync!$C$12)),0),"")</f>
        <v/>
      </c>
      <c r="C2654" s="23" t="str">
        <f aca="false">IF(B2654="","","office")</f>
        <v/>
      </c>
      <c r="D2654" s="23" t="str">
        <f aca="false">IF(B2654="","",IFERROR(INDEX(Office_Log!$ED$2:$ED$201,MATCH(IFERROR(INDEX(Clay_Offices!$A$2:$FZ$601,403,Sync!$C$5)&amp;"",""),Office_Log!$A$2:$A$201,0))&amp;"",IFERROR(INDEX(Clay_Offices!$A$2:$FZ$601,403,Sync!$C$5)&amp;"","")&amp;""))</f>
        <v/>
      </c>
      <c r="E2654" s="23" t="str">
        <f aca="false">IF(B2654="","",IFERROR(INDEX(Clay_Offices!$A$2:$FZ$601,403,Sync!$C$6)&amp;"",""))</f>
        <v/>
      </c>
      <c r="F2654" s="23" t="str">
        <f aca="false">IF(B2654="","","outreach_sent")</f>
        <v/>
      </c>
      <c r="G2654" s="23" t="str">
        <f aca="false">IF(B2654="","","")</f>
        <v/>
      </c>
      <c r="H2654" s="23" t="str">
        <f aca="false">IF(B2654="","","")</f>
        <v/>
      </c>
      <c r="I2654" s="23" t="str">
        <f aca="false">IF(B2654="","","")</f>
        <v/>
      </c>
      <c r="J2654" s="23" t="str">
        <f aca="false">IF(B2654="","","touch_2; "&amp;IFERROR(INDEX(Clay_Offices!$A$2:$FZ$601,403,Sync!$C$10)&amp;"","")&amp;"; "&amp;IFERROR(INDEX(Clay_Offices!$A$2:$FZ$601,403,Sync!$C$9)&amp;"",""))</f>
        <v/>
      </c>
      <c r="K2654" s="32" t="s">
        <v>1364</v>
      </c>
    </row>
    <row r="2655" customFormat="false" ht="15" hidden="false" customHeight="false" outlineLevel="0" collapsed="false">
      <c r="A2655" s="23" t="str">
        <f aca="false">IF(B2655="","",B2655+(13*1000+404)/10000000)</f>
        <v/>
      </c>
      <c r="B2655" s="35" t="str">
        <f aca="false">IF(AND(IFERROR(N(INDEX(Clay_Offices!$A$2:$FZ$601,404,Sync!$C$12)),0)&gt;0,IFERROR(INDEX(Clay_Offices!$A$2:$FZ$601,404,Sync!$C$5)&amp;"","")&lt;&gt;"",OR(LEFT(IFERROR(INDEX(Clay_Offices!$A$2:$FZ$601,404,Sync!$C$5)&amp;"",""),6)&lt;&gt;"SAMPLE",Config!$B$19="Y")),IFERROR(N(INDEX(Clay_Offices!$A$2:$FZ$601,404,Sync!$C$12)),0),"")</f>
        <v/>
      </c>
      <c r="C2655" s="23" t="str">
        <f aca="false">IF(B2655="","","office")</f>
        <v/>
      </c>
      <c r="D2655" s="23" t="str">
        <f aca="false">IF(B2655="","",IFERROR(INDEX(Office_Log!$ED$2:$ED$201,MATCH(IFERROR(INDEX(Clay_Offices!$A$2:$FZ$601,404,Sync!$C$5)&amp;"",""),Office_Log!$A$2:$A$201,0))&amp;"",IFERROR(INDEX(Clay_Offices!$A$2:$FZ$601,404,Sync!$C$5)&amp;"","")&amp;""))</f>
        <v/>
      </c>
      <c r="E2655" s="23" t="str">
        <f aca="false">IF(B2655="","",IFERROR(INDEX(Clay_Offices!$A$2:$FZ$601,404,Sync!$C$6)&amp;"",""))</f>
        <v/>
      </c>
      <c r="F2655" s="23" t="str">
        <f aca="false">IF(B2655="","","outreach_sent")</f>
        <v/>
      </c>
      <c r="G2655" s="23" t="str">
        <f aca="false">IF(B2655="","","")</f>
        <v/>
      </c>
      <c r="H2655" s="23" t="str">
        <f aca="false">IF(B2655="","","")</f>
        <v/>
      </c>
      <c r="I2655" s="23" t="str">
        <f aca="false">IF(B2655="","","")</f>
        <v/>
      </c>
      <c r="J2655" s="23" t="str">
        <f aca="false">IF(B2655="","","touch_2; "&amp;IFERROR(INDEX(Clay_Offices!$A$2:$FZ$601,404,Sync!$C$10)&amp;"","")&amp;"; "&amp;IFERROR(INDEX(Clay_Offices!$A$2:$FZ$601,404,Sync!$C$9)&amp;"",""))</f>
        <v/>
      </c>
      <c r="K2655" s="32" t="s">
        <v>1364</v>
      </c>
    </row>
    <row r="2656" customFormat="false" ht="15" hidden="false" customHeight="false" outlineLevel="0" collapsed="false">
      <c r="A2656" s="23" t="str">
        <f aca="false">IF(B2656="","",B2656+(13*1000+405)/10000000)</f>
        <v/>
      </c>
      <c r="B2656" s="35" t="str">
        <f aca="false">IF(AND(IFERROR(N(INDEX(Clay_Offices!$A$2:$FZ$601,405,Sync!$C$12)),0)&gt;0,IFERROR(INDEX(Clay_Offices!$A$2:$FZ$601,405,Sync!$C$5)&amp;"","")&lt;&gt;"",OR(LEFT(IFERROR(INDEX(Clay_Offices!$A$2:$FZ$601,405,Sync!$C$5)&amp;"",""),6)&lt;&gt;"SAMPLE",Config!$B$19="Y")),IFERROR(N(INDEX(Clay_Offices!$A$2:$FZ$601,405,Sync!$C$12)),0),"")</f>
        <v/>
      </c>
      <c r="C2656" s="23" t="str">
        <f aca="false">IF(B2656="","","office")</f>
        <v/>
      </c>
      <c r="D2656" s="23" t="str">
        <f aca="false">IF(B2656="","",IFERROR(INDEX(Office_Log!$ED$2:$ED$201,MATCH(IFERROR(INDEX(Clay_Offices!$A$2:$FZ$601,405,Sync!$C$5)&amp;"",""),Office_Log!$A$2:$A$201,0))&amp;"",IFERROR(INDEX(Clay_Offices!$A$2:$FZ$601,405,Sync!$C$5)&amp;"","")&amp;""))</f>
        <v/>
      </c>
      <c r="E2656" s="23" t="str">
        <f aca="false">IF(B2656="","",IFERROR(INDEX(Clay_Offices!$A$2:$FZ$601,405,Sync!$C$6)&amp;"",""))</f>
        <v/>
      </c>
      <c r="F2656" s="23" t="str">
        <f aca="false">IF(B2656="","","outreach_sent")</f>
        <v/>
      </c>
      <c r="G2656" s="23" t="str">
        <f aca="false">IF(B2656="","","")</f>
        <v/>
      </c>
      <c r="H2656" s="23" t="str">
        <f aca="false">IF(B2656="","","")</f>
        <v/>
      </c>
      <c r="I2656" s="23" t="str">
        <f aca="false">IF(B2656="","","")</f>
        <v/>
      </c>
      <c r="J2656" s="23" t="str">
        <f aca="false">IF(B2656="","","touch_2; "&amp;IFERROR(INDEX(Clay_Offices!$A$2:$FZ$601,405,Sync!$C$10)&amp;"","")&amp;"; "&amp;IFERROR(INDEX(Clay_Offices!$A$2:$FZ$601,405,Sync!$C$9)&amp;"",""))</f>
        <v/>
      </c>
      <c r="K2656" s="32" t="s">
        <v>1364</v>
      </c>
    </row>
    <row r="2657" customFormat="false" ht="15" hidden="false" customHeight="false" outlineLevel="0" collapsed="false">
      <c r="A2657" s="23" t="str">
        <f aca="false">IF(B2657="","",B2657+(13*1000+406)/10000000)</f>
        <v/>
      </c>
      <c r="B2657" s="35" t="str">
        <f aca="false">IF(AND(IFERROR(N(INDEX(Clay_Offices!$A$2:$FZ$601,406,Sync!$C$12)),0)&gt;0,IFERROR(INDEX(Clay_Offices!$A$2:$FZ$601,406,Sync!$C$5)&amp;"","")&lt;&gt;"",OR(LEFT(IFERROR(INDEX(Clay_Offices!$A$2:$FZ$601,406,Sync!$C$5)&amp;"",""),6)&lt;&gt;"SAMPLE",Config!$B$19="Y")),IFERROR(N(INDEX(Clay_Offices!$A$2:$FZ$601,406,Sync!$C$12)),0),"")</f>
        <v/>
      </c>
      <c r="C2657" s="23" t="str">
        <f aca="false">IF(B2657="","","office")</f>
        <v/>
      </c>
      <c r="D2657" s="23" t="str">
        <f aca="false">IF(B2657="","",IFERROR(INDEX(Office_Log!$ED$2:$ED$201,MATCH(IFERROR(INDEX(Clay_Offices!$A$2:$FZ$601,406,Sync!$C$5)&amp;"",""),Office_Log!$A$2:$A$201,0))&amp;"",IFERROR(INDEX(Clay_Offices!$A$2:$FZ$601,406,Sync!$C$5)&amp;"","")&amp;""))</f>
        <v/>
      </c>
      <c r="E2657" s="23" t="str">
        <f aca="false">IF(B2657="","",IFERROR(INDEX(Clay_Offices!$A$2:$FZ$601,406,Sync!$C$6)&amp;"",""))</f>
        <v/>
      </c>
      <c r="F2657" s="23" t="str">
        <f aca="false">IF(B2657="","","outreach_sent")</f>
        <v/>
      </c>
      <c r="G2657" s="23" t="str">
        <f aca="false">IF(B2657="","","")</f>
        <v/>
      </c>
      <c r="H2657" s="23" t="str">
        <f aca="false">IF(B2657="","","")</f>
        <v/>
      </c>
      <c r="I2657" s="23" t="str">
        <f aca="false">IF(B2657="","","")</f>
        <v/>
      </c>
      <c r="J2657" s="23" t="str">
        <f aca="false">IF(B2657="","","touch_2; "&amp;IFERROR(INDEX(Clay_Offices!$A$2:$FZ$601,406,Sync!$C$10)&amp;"","")&amp;"; "&amp;IFERROR(INDEX(Clay_Offices!$A$2:$FZ$601,406,Sync!$C$9)&amp;"",""))</f>
        <v/>
      </c>
      <c r="K2657" s="32" t="s">
        <v>1364</v>
      </c>
    </row>
    <row r="2658" customFormat="false" ht="15" hidden="false" customHeight="false" outlineLevel="0" collapsed="false">
      <c r="A2658" s="23" t="str">
        <f aca="false">IF(B2658="","",B2658+(13*1000+407)/10000000)</f>
        <v/>
      </c>
      <c r="B2658" s="35" t="str">
        <f aca="false">IF(AND(IFERROR(N(INDEX(Clay_Offices!$A$2:$FZ$601,407,Sync!$C$12)),0)&gt;0,IFERROR(INDEX(Clay_Offices!$A$2:$FZ$601,407,Sync!$C$5)&amp;"","")&lt;&gt;"",OR(LEFT(IFERROR(INDEX(Clay_Offices!$A$2:$FZ$601,407,Sync!$C$5)&amp;"",""),6)&lt;&gt;"SAMPLE",Config!$B$19="Y")),IFERROR(N(INDEX(Clay_Offices!$A$2:$FZ$601,407,Sync!$C$12)),0),"")</f>
        <v/>
      </c>
      <c r="C2658" s="23" t="str">
        <f aca="false">IF(B2658="","","office")</f>
        <v/>
      </c>
      <c r="D2658" s="23" t="str">
        <f aca="false">IF(B2658="","",IFERROR(INDEX(Office_Log!$ED$2:$ED$201,MATCH(IFERROR(INDEX(Clay_Offices!$A$2:$FZ$601,407,Sync!$C$5)&amp;"",""),Office_Log!$A$2:$A$201,0))&amp;"",IFERROR(INDEX(Clay_Offices!$A$2:$FZ$601,407,Sync!$C$5)&amp;"","")&amp;""))</f>
        <v/>
      </c>
      <c r="E2658" s="23" t="str">
        <f aca="false">IF(B2658="","",IFERROR(INDEX(Clay_Offices!$A$2:$FZ$601,407,Sync!$C$6)&amp;"",""))</f>
        <v/>
      </c>
      <c r="F2658" s="23" t="str">
        <f aca="false">IF(B2658="","","outreach_sent")</f>
        <v/>
      </c>
      <c r="G2658" s="23" t="str">
        <f aca="false">IF(B2658="","","")</f>
        <v/>
      </c>
      <c r="H2658" s="23" t="str">
        <f aca="false">IF(B2658="","","")</f>
        <v/>
      </c>
      <c r="I2658" s="23" t="str">
        <f aca="false">IF(B2658="","","")</f>
        <v/>
      </c>
      <c r="J2658" s="23" t="str">
        <f aca="false">IF(B2658="","","touch_2; "&amp;IFERROR(INDEX(Clay_Offices!$A$2:$FZ$601,407,Sync!$C$10)&amp;"","")&amp;"; "&amp;IFERROR(INDEX(Clay_Offices!$A$2:$FZ$601,407,Sync!$C$9)&amp;"",""))</f>
        <v/>
      </c>
      <c r="K2658" s="32" t="s">
        <v>1364</v>
      </c>
    </row>
    <row r="2659" customFormat="false" ht="15" hidden="false" customHeight="false" outlineLevel="0" collapsed="false">
      <c r="A2659" s="23" t="str">
        <f aca="false">IF(B2659="","",B2659+(13*1000+408)/10000000)</f>
        <v/>
      </c>
      <c r="B2659" s="35" t="str">
        <f aca="false">IF(AND(IFERROR(N(INDEX(Clay_Offices!$A$2:$FZ$601,408,Sync!$C$12)),0)&gt;0,IFERROR(INDEX(Clay_Offices!$A$2:$FZ$601,408,Sync!$C$5)&amp;"","")&lt;&gt;"",OR(LEFT(IFERROR(INDEX(Clay_Offices!$A$2:$FZ$601,408,Sync!$C$5)&amp;"",""),6)&lt;&gt;"SAMPLE",Config!$B$19="Y")),IFERROR(N(INDEX(Clay_Offices!$A$2:$FZ$601,408,Sync!$C$12)),0),"")</f>
        <v/>
      </c>
      <c r="C2659" s="23" t="str">
        <f aca="false">IF(B2659="","","office")</f>
        <v/>
      </c>
      <c r="D2659" s="23" t="str">
        <f aca="false">IF(B2659="","",IFERROR(INDEX(Office_Log!$ED$2:$ED$201,MATCH(IFERROR(INDEX(Clay_Offices!$A$2:$FZ$601,408,Sync!$C$5)&amp;"",""),Office_Log!$A$2:$A$201,0))&amp;"",IFERROR(INDEX(Clay_Offices!$A$2:$FZ$601,408,Sync!$C$5)&amp;"","")&amp;""))</f>
        <v/>
      </c>
      <c r="E2659" s="23" t="str">
        <f aca="false">IF(B2659="","",IFERROR(INDEX(Clay_Offices!$A$2:$FZ$601,408,Sync!$C$6)&amp;"",""))</f>
        <v/>
      </c>
      <c r="F2659" s="23" t="str">
        <f aca="false">IF(B2659="","","outreach_sent")</f>
        <v/>
      </c>
      <c r="G2659" s="23" t="str">
        <f aca="false">IF(B2659="","","")</f>
        <v/>
      </c>
      <c r="H2659" s="23" t="str">
        <f aca="false">IF(B2659="","","")</f>
        <v/>
      </c>
      <c r="I2659" s="23" t="str">
        <f aca="false">IF(B2659="","","")</f>
        <v/>
      </c>
      <c r="J2659" s="23" t="str">
        <f aca="false">IF(B2659="","","touch_2; "&amp;IFERROR(INDEX(Clay_Offices!$A$2:$FZ$601,408,Sync!$C$10)&amp;"","")&amp;"; "&amp;IFERROR(INDEX(Clay_Offices!$A$2:$FZ$601,408,Sync!$C$9)&amp;"",""))</f>
        <v/>
      </c>
      <c r="K2659" s="32" t="s">
        <v>1364</v>
      </c>
    </row>
    <row r="2660" customFormat="false" ht="15" hidden="false" customHeight="false" outlineLevel="0" collapsed="false">
      <c r="A2660" s="23" t="str">
        <f aca="false">IF(B2660="","",B2660+(13*1000+409)/10000000)</f>
        <v/>
      </c>
      <c r="B2660" s="35" t="str">
        <f aca="false">IF(AND(IFERROR(N(INDEX(Clay_Offices!$A$2:$FZ$601,409,Sync!$C$12)),0)&gt;0,IFERROR(INDEX(Clay_Offices!$A$2:$FZ$601,409,Sync!$C$5)&amp;"","")&lt;&gt;"",OR(LEFT(IFERROR(INDEX(Clay_Offices!$A$2:$FZ$601,409,Sync!$C$5)&amp;"",""),6)&lt;&gt;"SAMPLE",Config!$B$19="Y")),IFERROR(N(INDEX(Clay_Offices!$A$2:$FZ$601,409,Sync!$C$12)),0),"")</f>
        <v/>
      </c>
      <c r="C2660" s="23" t="str">
        <f aca="false">IF(B2660="","","office")</f>
        <v/>
      </c>
      <c r="D2660" s="23" t="str">
        <f aca="false">IF(B2660="","",IFERROR(INDEX(Office_Log!$ED$2:$ED$201,MATCH(IFERROR(INDEX(Clay_Offices!$A$2:$FZ$601,409,Sync!$C$5)&amp;"",""),Office_Log!$A$2:$A$201,0))&amp;"",IFERROR(INDEX(Clay_Offices!$A$2:$FZ$601,409,Sync!$C$5)&amp;"","")&amp;""))</f>
        <v/>
      </c>
      <c r="E2660" s="23" t="str">
        <f aca="false">IF(B2660="","",IFERROR(INDEX(Clay_Offices!$A$2:$FZ$601,409,Sync!$C$6)&amp;"",""))</f>
        <v/>
      </c>
      <c r="F2660" s="23" t="str">
        <f aca="false">IF(B2660="","","outreach_sent")</f>
        <v/>
      </c>
      <c r="G2660" s="23" t="str">
        <f aca="false">IF(B2660="","","")</f>
        <v/>
      </c>
      <c r="H2660" s="23" t="str">
        <f aca="false">IF(B2660="","","")</f>
        <v/>
      </c>
      <c r="I2660" s="23" t="str">
        <f aca="false">IF(B2660="","","")</f>
        <v/>
      </c>
      <c r="J2660" s="23" t="str">
        <f aca="false">IF(B2660="","","touch_2; "&amp;IFERROR(INDEX(Clay_Offices!$A$2:$FZ$601,409,Sync!$C$10)&amp;"","")&amp;"; "&amp;IFERROR(INDEX(Clay_Offices!$A$2:$FZ$601,409,Sync!$C$9)&amp;"",""))</f>
        <v/>
      </c>
      <c r="K2660" s="32" t="s">
        <v>1364</v>
      </c>
    </row>
    <row r="2661" customFormat="false" ht="15" hidden="false" customHeight="false" outlineLevel="0" collapsed="false">
      <c r="A2661" s="23" t="str">
        <f aca="false">IF(B2661="","",B2661+(13*1000+410)/10000000)</f>
        <v/>
      </c>
      <c r="B2661" s="35" t="str">
        <f aca="false">IF(AND(IFERROR(N(INDEX(Clay_Offices!$A$2:$FZ$601,410,Sync!$C$12)),0)&gt;0,IFERROR(INDEX(Clay_Offices!$A$2:$FZ$601,410,Sync!$C$5)&amp;"","")&lt;&gt;"",OR(LEFT(IFERROR(INDEX(Clay_Offices!$A$2:$FZ$601,410,Sync!$C$5)&amp;"",""),6)&lt;&gt;"SAMPLE",Config!$B$19="Y")),IFERROR(N(INDEX(Clay_Offices!$A$2:$FZ$601,410,Sync!$C$12)),0),"")</f>
        <v/>
      </c>
      <c r="C2661" s="23" t="str">
        <f aca="false">IF(B2661="","","office")</f>
        <v/>
      </c>
      <c r="D2661" s="23" t="str">
        <f aca="false">IF(B2661="","",IFERROR(INDEX(Office_Log!$ED$2:$ED$201,MATCH(IFERROR(INDEX(Clay_Offices!$A$2:$FZ$601,410,Sync!$C$5)&amp;"",""),Office_Log!$A$2:$A$201,0))&amp;"",IFERROR(INDEX(Clay_Offices!$A$2:$FZ$601,410,Sync!$C$5)&amp;"","")&amp;""))</f>
        <v/>
      </c>
      <c r="E2661" s="23" t="str">
        <f aca="false">IF(B2661="","",IFERROR(INDEX(Clay_Offices!$A$2:$FZ$601,410,Sync!$C$6)&amp;"",""))</f>
        <v/>
      </c>
      <c r="F2661" s="23" t="str">
        <f aca="false">IF(B2661="","","outreach_sent")</f>
        <v/>
      </c>
      <c r="G2661" s="23" t="str">
        <f aca="false">IF(B2661="","","")</f>
        <v/>
      </c>
      <c r="H2661" s="23" t="str">
        <f aca="false">IF(B2661="","","")</f>
        <v/>
      </c>
      <c r="I2661" s="23" t="str">
        <f aca="false">IF(B2661="","","")</f>
        <v/>
      </c>
      <c r="J2661" s="23" t="str">
        <f aca="false">IF(B2661="","","touch_2; "&amp;IFERROR(INDEX(Clay_Offices!$A$2:$FZ$601,410,Sync!$C$10)&amp;"","")&amp;"; "&amp;IFERROR(INDEX(Clay_Offices!$A$2:$FZ$601,410,Sync!$C$9)&amp;"",""))</f>
        <v/>
      </c>
      <c r="K2661" s="32" t="s">
        <v>1364</v>
      </c>
    </row>
    <row r="2662" customFormat="false" ht="15" hidden="false" customHeight="false" outlineLevel="0" collapsed="false">
      <c r="A2662" s="23" t="str">
        <f aca="false">IF(B2662="","",B2662+(13*1000+411)/10000000)</f>
        <v/>
      </c>
      <c r="B2662" s="35" t="str">
        <f aca="false">IF(AND(IFERROR(N(INDEX(Clay_Offices!$A$2:$FZ$601,411,Sync!$C$12)),0)&gt;0,IFERROR(INDEX(Clay_Offices!$A$2:$FZ$601,411,Sync!$C$5)&amp;"","")&lt;&gt;"",OR(LEFT(IFERROR(INDEX(Clay_Offices!$A$2:$FZ$601,411,Sync!$C$5)&amp;"",""),6)&lt;&gt;"SAMPLE",Config!$B$19="Y")),IFERROR(N(INDEX(Clay_Offices!$A$2:$FZ$601,411,Sync!$C$12)),0),"")</f>
        <v/>
      </c>
      <c r="C2662" s="23" t="str">
        <f aca="false">IF(B2662="","","office")</f>
        <v/>
      </c>
      <c r="D2662" s="23" t="str">
        <f aca="false">IF(B2662="","",IFERROR(INDEX(Office_Log!$ED$2:$ED$201,MATCH(IFERROR(INDEX(Clay_Offices!$A$2:$FZ$601,411,Sync!$C$5)&amp;"",""),Office_Log!$A$2:$A$201,0))&amp;"",IFERROR(INDEX(Clay_Offices!$A$2:$FZ$601,411,Sync!$C$5)&amp;"","")&amp;""))</f>
        <v/>
      </c>
      <c r="E2662" s="23" t="str">
        <f aca="false">IF(B2662="","",IFERROR(INDEX(Clay_Offices!$A$2:$FZ$601,411,Sync!$C$6)&amp;"",""))</f>
        <v/>
      </c>
      <c r="F2662" s="23" t="str">
        <f aca="false">IF(B2662="","","outreach_sent")</f>
        <v/>
      </c>
      <c r="G2662" s="23" t="str">
        <f aca="false">IF(B2662="","","")</f>
        <v/>
      </c>
      <c r="H2662" s="23" t="str">
        <f aca="false">IF(B2662="","","")</f>
        <v/>
      </c>
      <c r="I2662" s="23" t="str">
        <f aca="false">IF(B2662="","","")</f>
        <v/>
      </c>
      <c r="J2662" s="23" t="str">
        <f aca="false">IF(B2662="","","touch_2; "&amp;IFERROR(INDEX(Clay_Offices!$A$2:$FZ$601,411,Sync!$C$10)&amp;"","")&amp;"; "&amp;IFERROR(INDEX(Clay_Offices!$A$2:$FZ$601,411,Sync!$C$9)&amp;"",""))</f>
        <v/>
      </c>
      <c r="K2662" s="32" t="s">
        <v>1364</v>
      </c>
    </row>
    <row r="2663" customFormat="false" ht="15" hidden="false" customHeight="false" outlineLevel="0" collapsed="false">
      <c r="A2663" s="23" t="str">
        <f aca="false">IF(B2663="","",B2663+(13*1000+412)/10000000)</f>
        <v/>
      </c>
      <c r="B2663" s="35" t="str">
        <f aca="false">IF(AND(IFERROR(N(INDEX(Clay_Offices!$A$2:$FZ$601,412,Sync!$C$12)),0)&gt;0,IFERROR(INDEX(Clay_Offices!$A$2:$FZ$601,412,Sync!$C$5)&amp;"","")&lt;&gt;"",OR(LEFT(IFERROR(INDEX(Clay_Offices!$A$2:$FZ$601,412,Sync!$C$5)&amp;"",""),6)&lt;&gt;"SAMPLE",Config!$B$19="Y")),IFERROR(N(INDEX(Clay_Offices!$A$2:$FZ$601,412,Sync!$C$12)),0),"")</f>
        <v/>
      </c>
      <c r="C2663" s="23" t="str">
        <f aca="false">IF(B2663="","","office")</f>
        <v/>
      </c>
      <c r="D2663" s="23" t="str">
        <f aca="false">IF(B2663="","",IFERROR(INDEX(Office_Log!$ED$2:$ED$201,MATCH(IFERROR(INDEX(Clay_Offices!$A$2:$FZ$601,412,Sync!$C$5)&amp;"",""),Office_Log!$A$2:$A$201,0))&amp;"",IFERROR(INDEX(Clay_Offices!$A$2:$FZ$601,412,Sync!$C$5)&amp;"","")&amp;""))</f>
        <v/>
      </c>
      <c r="E2663" s="23" t="str">
        <f aca="false">IF(B2663="","",IFERROR(INDEX(Clay_Offices!$A$2:$FZ$601,412,Sync!$C$6)&amp;"",""))</f>
        <v/>
      </c>
      <c r="F2663" s="23" t="str">
        <f aca="false">IF(B2663="","","outreach_sent")</f>
        <v/>
      </c>
      <c r="G2663" s="23" t="str">
        <f aca="false">IF(B2663="","","")</f>
        <v/>
      </c>
      <c r="H2663" s="23" t="str">
        <f aca="false">IF(B2663="","","")</f>
        <v/>
      </c>
      <c r="I2663" s="23" t="str">
        <f aca="false">IF(B2663="","","")</f>
        <v/>
      </c>
      <c r="J2663" s="23" t="str">
        <f aca="false">IF(B2663="","","touch_2; "&amp;IFERROR(INDEX(Clay_Offices!$A$2:$FZ$601,412,Sync!$C$10)&amp;"","")&amp;"; "&amp;IFERROR(INDEX(Clay_Offices!$A$2:$FZ$601,412,Sync!$C$9)&amp;"",""))</f>
        <v/>
      </c>
      <c r="K2663" s="32" t="s">
        <v>1364</v>
      </c>
    </row>
    <row r="2664" customFormat="false" ht="15" hidden="false" customHeight="false" outlineLevel="0" collapsed="false">
      <c r="A2664" s="23" t="str">
        <f aca="false">IF(B2664="","",B2664+(13*1000+413)/10000000)</f>
        <v/>
      </c>
      <c r="B2664" s="35" t="str">
        <f aca="false">IF(AND(IFERROR(N(INDEX(Clay_Offices!$A$2:$FZ$601,413,Sync!$C$12)),0)&gt;0,IFERROR(INDEX(Clay_Offices!$A$2:$FZ$601,413,Sync!$C$5)&amp;"","")&lt;&gt;"",OR(LEFT(IFERROR(INDEX(Clay_Offices!$A$2:$FZ$601,413,Sync!$C$5)&amp;"",""),6)&lt;&gt;"SAMPLE",Config!$B$19="Y")),IFERROR(N(INDEX(Clay_Offices!$A$2:$FZ$601,413,Sync!$C$12)),0),"")</f>
        <v/>
      </c>
      <c r="C2664" s="23" t="str">
        <f aca="false">IF(B2664="","","office")</f>
        <v/>
      </c>
      <c r="D2664" s="23" t="str">
        <f aca="false">IF(B2664="","",IFERROR(INDEX(Office_Log!$ED$2:$ED$201,MATCH(IFERROR(INDEX(Clay_Offices!$A$2:$FZ$601,413,Sync!$C$5)&amp;"",""),Office_Log!$A$2:$A$201,0))&amp;"",IFERROR(INDEX(Clay_Offices!$A$2:$FZ$601,413,Sync!$C$5)&amp;"","")&amp;""))</f>
        <v/>
      </c>
      <c r="E2664" s="23" t="str">
        <f aca="false">IF(B2664="","",IFERROR(INDEX(Clay_Offices!$A$2:$FZ$601,413,Sync!$C$6)&amp;"",""))</f>
        <v/>
      </c>
      <c r="F2664" s="23" t="str">
        <f aca="false">IF(B2664="","","outreach_sent")</f>
        <v/>
      </c>
      <c r="G2664" s="23" t="str">
        <f aca="false">IF(B2664="","","")</f>
        <v/>
      </c>
      <c r="H2664" s="23" t="str">
        <f aca="false">IF(B2664="","","")</f>
        <v/>
      </c>
      <c r="I2664" s="23" t="str">
        <f aca="false">IF(B2664="","","")</f>
        <v/>
      </c>
      <c r="J2664" s="23" t="str">
        <f aca="false">IF(B2664="","","touch_2; "&amp;IFERROR(INDEX(Clay_Offices!$A$2:$FZ$601,413,Sync!$C$10)&amp;"","")&amp;"; "&amp;IFERROR(INDEX(Clay_Offices!$A$2:$FZ$601,413,Sync!$C$9)&amp;"",""))</f>
        <v/>
      </c>
      <c r="K2664" s="32" t="s">
        <v>1364</v>
      </c>
    </row>
    <row r="2665" customFormat="false" ht="15" hidden="false" customHeight="false" outlineLevel="0" collapsed="false">
      <c r="A2665" s="23" t="str">
        <f aca="false">IF(B2665="","",B2665+(13*1000+414)/10000000)</f>
        <v/>
      </c>
      <c r="B2665" s="35" t="str">
        <f aca="false">IF(AND(IFERROR(N(INDEX(Clay_Offices!$A$2:$FZ$601,414,Sync!$C$12)),0)&gt;0,IFERROR(INDEX(Clay_Offices!$A$2:$FZ$601,414,Sync!$C$5)&amp;"","")&lt;&gt;"",OR(LEFT(IFERROR(INDEX(Clay_Offices!$A$2:$FZ$601,414,Sync!$C$5)&amp;"",""),6)&lt;&gt;"SAMPLE",Config!$B$19="Y")),IFERROR(N(INDEX(Clay_Offices!$A$2:$FZ$601,414,Sync!$C$12)),0),"")</f>
        <v/>
      </c>
      <c r="C2665" s="23" t="str">
        <f aca="false">IF(B2665="","","office")</f>
        <v/>
      </c>
      <c r="D2665" s="23" t="str">
        <f aca="false">IF(B2665="","",IFERROR(INDEX(Office_Log!$ED$2:$ED$201,MATCH(IFERROR(INDEX(Clay_Offices!$A$2:$FZ$601,414,Sync!$C$5)&amp;"",""),Office_Log!$A$2:$A$201,0))&amp;"",IFERROR(INDEX(Clay_Offices!$A$2:$FZ$601,414,Sync!$C$5)&amp;"","")&amp;""))</f>
        <v/>
      </c>
      <c r="E2665" s="23" t="str">
        <f aca="false">IF(B2665="","",IFERROR(INDEX(Clay_Offices!$A$2:$FZ$601,414,Sync!$C$6)&amp;"",""))</f>
        <v/>
      </c>
      <c r="F2665" s="23" t="str">
        <f aca="false">IF(B2665="","","outreach_sent")</f>
        <v/>
      </c>
      <c r="G2665" s="23" t="str">
        <f aca="false">IF(B2665="","","")</f>
        <v/>
      </c>
      <c r="H2665" s="23" t="str">
        <f aca="false">IF(B2665="","","")</f>
        <v/>
      </c>
      <c r="I2665" s="23" t="str">
        <f aca="false">IF(B2665="","","")</f>
        <v/>
      </c>
      <c r="J2665" s="23" t="str">
        <f aca="false">IF(B2665="","","touch_2; "&amp;IFERROR(INDEX(Clay_Offices!$A$2:$FZ$601,414,Sync!$C$10)&amp;"","")&amp;"; "&amp;IFERROR(INDEX(Clay_Offices!$A$2:$FZ$601,414,Sync!$C$9)&amp;"",""))</f>
        <v/>
      </c>
      <c r="K2665" s="32" t="s">
        <v>1364</v>
      </c>
    </row>
    <row r="2666" customFormat="false" ht="15" hidden="false" customHeight="false" outlineLevel="0" collapsed="false">
      <c r="A2666" s="23" t="str">
        <f aca="false">IF(B2666="","",B2666+(13*1000+415)/10000000)</f>
        <v/>
      </c>
      <c r="B2666" s="35" t="str">
        <f aca="false">IF(AND(IFERROR(N(INDEX(Clay_Offices!$A$2:$FZ$601,415,Sync!$C$12)),0)&gt;0,IFERROR(INDEX(Clay_Offices!$A$2:$FZ$601,415,Sync!$C$5)&amp;"","")&lt;&gt;"",OR(LEFT(IFERROR(INDEX(Clay_Offices!$A$2:$FZ$601,415,Sync!$C$5)&amp;"",""),6)&lt;&gt;"SAMPLE",Config!$B$19="Y")),IFERROR(N(INDEX(Clay_Offices!$A$2:$FZ$601,415,Sync!$C$12)),0),"")</f>
        <v/>
      </c>
      <c r="C2666" s="23" t="str">
        <f aca="false">IF(B2666="","","office")</f>
        <v/>
      </c>
      <c r="D2666" s="23" t="str">
        <f aca="false">IF(B2666="","",IFERROR(INDEX(Office_Log!$ED$2:$ED$201,MATCH(IFERROR(INDEX(Clay_Offices!$A$2:$FZ$601,415,Sync!$C$5)&amp;"",""),Office_Log!$A$2:$A$201,0))&amp;"",IFERROR(INDEX(Clay_Offices!$A$2:$FZ$601,415,Sync!$C$5)&amp;"","")&amp;""))</f>
        <v/>
      </c>
      <c r="E2666" s="23" t="str">
        <f aca="false">IF(B2666="","",IFERROR(INDEX(Clay_Offices!$A$2:$FZ$601,415,Sync!$C$6)&amp;"",""))</f>
        <v/>
      </c>
      <c r="F2666" s="23" t="str">
        <f aca="false">IF(B2666="","","outreach_sent")</f>
        <v/>
      </c>
      <c r="G2666" s="23" t="str">
        <f aca="false">IF(B2666="","","")</f>
        <v/>
      </c>
      <c r="H2666" s="23" t="str">
        <f aca="false">IF(B2666="","","")</f>
        <v/>
      </c>
      <c r="I2666" s="23" t="str">
        <f aca="false">IF(B2666="","","")</f>
        <v/>
      </c>
      <c r="J2666" s="23" t="str">
        <f aca="false">IF(B2666="","","touch_2; "&amp;IFERROR(INDEX(Clay_Offices!$A$2:$FZ$601,415,Sync!$C$10)&amp;"","")&amp;"; "&amp;IFERROR(INDEX(Clay_Offices!$A$2:$FZ$601,415,Sync!$C$9)&amp;"",""))</f>
        <v/>
      </c>
      <c r="K2666" s="32" t="s">
        <v>1364</v>
      </c>
    </row>
    <row r="2667" customFormat="false" ht="15" hidden="false" customHeight="false" outlineLevel="0" collapsed="false">
      <c r="A2667" s="23" t="str">
        <f aca="false">IF(B2667="","",B2667+(13*1000+416)/10000000)</f>
        <v/>
      </c>
      <c r="B2667" s="35" t="str">
        <f aca="false">IF(AND(IFERROR(N(INDEX(Clay_Offices!$A$2:$FZ$601,416,Sync!$C$12)),0)&gt;0,IFERROR(INDEX(Clay_Offices!$A$2:$FZ$601,416,Sync!$C$5)&amp;"","")&lt;&gt;"",OR(LEFT(IFERROR(INDEX(Clay_Offices!$A$2:$FZ$601,416,Sync!$C$5)&amp;"",""),6)&lt;&gt;"SAMPLE",Config!$B$19="Y")),IFERROR(N(INDEX(Clay_Offices!$A$2:$FZ$601,416,Sync!$C$12)),0),"")</f>
        <v/>
      </c>
      <c r="C2667" s="23" t="str">
        <f aca="false">IF(B2667="","","office")</f>
        <v/>
      </c>
      <c r="D2667" s="23" t="str">
        <f aca="false">IF(B2667="","",IFERROR(INDEX(Office_Log!$ED$2:$ED$201,MATCH(IFERROR(INDEX(Clay_Offices!$A$2:$FZ$601,416,Sync!$C$5)&amp;"",""),Office_Log!$A$2:$A$201,0))&amp;"",IFERROR(INDEX(Clay_Offices!$A$2:$FZ$601,416,Sync!$C$5)&amp;"","")&amp;""))</f>
        <v/>
      </c>
      <c r="E2667" s="23" t="str">
        <f aca="false">IF(B2667="","",IFERROR(INDEX(Clay_Offices!$A$2:$FZ$601,416,Sync!$C$6)&amp;"",""))</f>
        <v/>
      </c>
      <c r="F2667" s="23" t="str">
        <f aca="false">IF(B2667="","","outreach_sent")</f>
        <v/>
      </c>
      <c r="G2667" s="23" t="str">
        <f aca="false">IF(B2667="","","")</f>
        <v/>
      </c>
      <c r="H2667" s="23" t="str">
        <f aca="false">IF(B2667="","","")</f>
        <v/>
      </c>
      <c r="I2667" s="23" t="str">
        <f aca="false">IF(B2667="","","")</f>
        <v/>
      </c>
      <c r="J2667" s="23" t="str">
        <f aca="false">IF(B2667="","","touch_2; "&amp;IFERROR(INDEX(Clay_Offices!$A$2:$FZ$601,416,Sync!$C$10)&amp;"","")&amp;"; "&amp;IFERROR(INDEX(Clay_Offices!$A$2:$FZ$601,416,Sync!$C$9)&amp;"",""))</f>
        <v/>
      </c>
      <c r="K2667" s="32" t="s">
        <v>1364</v>
      </c>
    </row>
    <row r="2668" customFormat="false" ht="15" hidden="false" customHeight="false" outlineLevel="0" collapsed="false">
      <c r="A2668" s="23" t="str">
        <f aca="false">IF(B2668="","",B2668+(13*1000+417)/10000000)</f>
        <v/>
      </c>
      <c r="B2668" s="35" t="str">
        <f aca="false">IF(AND(IFERROR(N(INDEX(Clay_Offices!$A$2:$FZ$601,417,Sync!$C$12)),0)&gt;0,IFERROR(INDEX(Clay_Offices!$A$2:$FZ$601,417,Sync!$C$5)&amp;"","")&lt;&gt;"",OR(LEFT(IFERROR(INDEX(Clay_Offices!$A$2:$FZ$601,417,Sync!$C$5)&amp;"",""),6)&lt;&gt;"SAMPLE",Config!$B$19="Y")),IFERROR(N(INDEX(Clay_Offices!$A$2:$FZ$601,417,Sync!$C$12)),0),"")</f>
        <v/>
      </c>
      <c r="C2668" s="23" t="str">
        <f aca="false">IF(B2668="","","office")</f>
        <v/>
      </c>
      <c r="D2668" s="23" t="str">
        <f aca="false">IF(B2668="","",IFERROR(INDEX(Office_Log!$ED$2:$ED$201,MATCH(IFERROR(INDEX(Clay_Offices!$A$2:$FZ$601,417,Sync!$C$5)&amp;"",""),Office_Log!$A$2:$A$201,0))&amp;"",IFERROR(INDEX(Clay_Offices!$A$2:$FZ$601,417,Sync!$C$5)&amp;"","")&amp;""))</f>
        <v/>
      </c>
      <c r="E2668" s="23" t="str">
        <f aca="false">IF(B2668="","",IFERROR(INDEX(Clay_Offices!$A$2:$FZ$601,417,Sync!$C$6)&amp;"",""))</f>
        <v/>
      </c>
      <c r="F2668" s="23" t="str">
        <f aca="false">IF(B2668="","","outreach_sent")</f>
        <v/>
      </c>
      <c r="G2668" s="23" t="str">
        <f aca="false">IF(B2668="","","")</f>
        <v/>
      </c>
      <c r="H2668" s="23" t="str">
        <f aca="false">IF(B2668="","","")</f>
        <v/>
      </c>
      <c r="I2668" s="23" t="str">
        <f aca="false">IF(B2668="","","")</f>
        <v/>
      </c>
      <c r="J2668" s="23" t="str">
        <f aca="false">IF(B2668="","","touch_2; "&amp;IFERROR(INDEX(Clay_Offices!$A$2:$FZ$601,417,Sync!$C$10)&amp;"","")&amp;"; "&amp;IFERROR(INDEX(Clay_Offices!$A$2:$FZ$601,417,Sync!$C$9)&amp;"",""))</f>
        <v/>
      </c>
      <c r="K2668" s="32" t="s">
        <v>1364</v>
      </c>
    </row>
    <row r="2669" customFormat="false" ht="15" hidden="false" customHeight="false" outlineLevel="0" collapsed="false">
      <c r="A2669" s="23" t="str">
        <f aca="false">IF(B2669="","",B2669+(13*1000+418)/10000000)</f>
        <v/>
      </c>
      <c r="B2669" s="35" t="str">
        <f aca="false">IF(AND(IFERROR(N(INDEX(Clay_Offices!$A$2:$FZ$601,418,Sync!$C$12)),0)&gt;0,IFERROR(INDEX(Clay_Offices!$A$2:$FZ$601,418,Sync!$C$5)&amp;"","")&lt;&gt;"",OR(LEFT(IFERROR(INDEX(Clay_Offices!$A$2:$FZ$601,418,Sync!$C$5)&amp;"",""),6)&lt;&gt;"SAMPLE",Config!$B$19="Y")),IFERROR(N(INDEX(Clay_Offices!$A$2:$FZ$601,418,Sync!$C$12)),0),"")</f>
        <v/>
      </c>
      <c r="C2669" s="23" t="str">
        <f aca="false">IF(B2669="","","office")</f>
        <v/>
      </c>
      <c r="D2669" s="23" t="str">
        <f aca="false">IF(B2669="","",IFERROR(INDEX(Office_Log!$ED$2:$ED$201,MATCH(IFERROR(INDEX(Clay_Offices!$A$2:$FZ$601,418,Sync!$C$5)&amp;"",""),Office_Log!$A$2:$A$201,0))&amp;"",IFERROR(INDEX(Clay_Offices!$A$2:$FZ$601,418,Sync!$C$5)&amp;"","")&amp;""))</f>
        <v/>
      </c>
      <c r="E2669" s="23" t="str">
        <f aca="false">IF(B2669="","",IFERROR(INDEX(Clay_Offices!$A$2:$FZ$601,418,Sync!$C$6)&amp;"",""))</f>
        <v/>
      </c>
      <c r="F2669" s="23" t="str">
        <f aca="false">IF(B2669="","","outreach_sent")</f>
        <v/>
      </c>
      <c r="G2669" s="23" t="str">
        <f aca="false">IF(B2669="","","")</f>
        <v/>
      </c>
      <c r="H2669" s="23" t="str">
        <f aca="false">IF(B2669="","","")</f>
        <v/>
      </c>
      <c r="I2669" s="23" t="str">
        <f aca="false">IF(B2669="","","")</f>
        <v/>
      </c>
      <c r="J2669" s="23" t="str">
        <f aca="false">IF(B2669="","","touch_2; "&amp;IFERROR(INDEX(Clay_Offices!$A$2:$FZ$601,418,Sync!$C$10)&amp;"","")&amp;"; "&amp;IFERROR(INDEX(Clay_Offices!$A$2:$FZ$601,418,Sync!$C$9)&amp;"",""))</f>
        <v/>
      </c>
      <c r="K2669" s="32" t="s">
        <v>1364</v>
      </c>
    </row>
    <row r="2670" customFormat="false" ht="15" hidden="false" customHeight="false" outlineLevel="0" collapsed="false">
      <c r="A2670" s="23" t="str">
        <f aca="false">IF(B2670="","",B2670+(13*1000+419)/10000000)</f>
        <v/>
      </c>
      <c r="B2670" s="35" t="str">
        <f aca="false">IF(AND(IFERROR(N(INDEX(Clay_Offices!$A$2:$FZ$601,419,Sync!$C$12)),0)&gt;0,IFERROR(INDEX(Clay_Offices!$A$2:$FZ$601,419,Sync!$C$5)&amp;"","")&lt;&gt;"",OR(LEFT(IFERROR(INDEX(Clay_Offices!$A$2:$FZ$601,419,Sync!$C$5)&amp;"",""),6)&lt;&gt;"SAMPLE",Config!$B$19="Y")),IFERROR(N(INDEX(Clay_Offices!$A$2:$FZ$601,419,Sync!$C$12)),0),"")</f>
        <v/>
      </c>
      <c r="C2670" s="23" t="str">
        <f aca="false">IF(B2670="","","office")</f>
        <v/>
      </c>
      <c r="D2670" s="23" t="str">
        <f aca="false">IF(B2670="","",IFERROR(INDEX(Office_Log!$ED$2:$ED$201,MATCH(IFERROR(INDEX(Clay_Offices!$A$2:$FZ$601,419,Sync!$C$5)&amp;"",""),Office_Log!$A$2:$A$201,0))&amp;"",IFERROR(INDEX(Clay_Offices!$A$2:$FZ$601,419,Sync!$C$5)&amp;"","")&amp;""))</f>
        <v/>
      </c>
      <c r="E2670" s="23" t="str">
        <f aca="false">IF(B2670="","",IFERROR(INDEX(Clay_Offices!$A$2:$FZ$601,419,Sync!$C$6)&amp;"",""))</f>
        <v/>
      </c>
      <c r="F2670" s="23" t="str">
        <f aca="false">IF(B2670="","","outreach_sent")</f>
        <v/>
      </c>
      <c r="G2670" s="23" t="str">
        <f aca="false">IF(B2670="","","")</f>
        <v/>
      </c>
      <c r="H2670" s="23" t="str">
        <f aca="false">IF(B2670="","","")</f>
        <v/>
      </c>
      <c r="I2670" s="23" t="str">
        <f aca="false">IF(B2670="","","")</f>
        <v/>
      </c>
      <c r="J2670" s="23" t="str">
        <f aca="false">IF(B2670="","","touch_2; "&amp;IFERROR(INDEX(Clay_Offices!$A$2:$FZ$601,419,Sync!$C$10)&amp;"","")&amp;"; "&amp;IFERROR(INDEX(Clay_Offices!$A$2:$FZ$601,419,Sync!$C$9)&amp;"",""))</f>
        <v/>
      </c>
      <c r="K2670" s="32" t="s">
        <v>1364</v>
      </c>
    </row>
    <row r="2671" customFormat="false" ht="15" hidden="false" customHeight="false" outlineLevel="0" collapsed="false">
      <c r="A2671" s="23" t="str">
        <f aca="false">IF(B2671="","",B2671+(13*1000+420)/10000000)</f>
        <v/>
      </c>
      <c r="B2671" s="35" t="str">
        <f aca="false">IF(AND(IFERROR(N(INDEX(Clay_Offices!$A$2:$FZ$601,420,Sync!$C$12)),0)&gt;0,IFERROR(INDEX(Clay_Offices!$A$2:$FZ$601,420,Sync!$C$5)&amp;"","")&lt;&gt;"",OR(LEFT(IFERROR(INDEX(Clay_Offices!$A$2:$FZ$601,420,Sync!$C$5)&amp;"",""),6)&lt;&gt;"SAMPLE",Config!$B$19="Y")),IFERROR(N(INDEX(Clay_Offices!$A$2:$FZ$601,420,Sync!$C$12)),0),"")</f>
        <v/>
      </c>
      <c r="C2671" s="23" t="str">
        <f aca="false">IF(B2671="","","office")</f>
        <v/>
      </c>
      <c r="D2671" s="23" t="str">
        <f aca="false">IF(B2671="","",IFERROR(INDEX(Office_Log!$ED$2:$ED$201,MATCH(IFERROR(INDEX(Clay_Offices!$A$2:$FZ$601,420,Sync!$C$5)&amp;"",""),Office_Log!$A$2:$A$201,0))&amp;"",IFERROR(INDEX(Clay_Offices!$A$2:$FZ$601,420,Sync!$C$5)&amp;"","")&amp;""))</f>
        <v/>
      </c>
      <c r="E2671" s="23" t="str">
        <f aca="false">IF(B2671="","",IFERROR(INDEX(Clay_Offices!$A$2:$FZ$601,420,Sync!$C$6)&amp;"",""))</f>
        <v/>
      </c>
      <c r="F2671" s="23" t="str">
        <f aca="false">IF(B2671="","","outreach_sent")</f>
        <v/>
      </c>
      <c r="G2671" s="23" t="str">
        <f aca="false">IF(B2671="","","")</f>
        <v/>
      </c>
      <c r="H2671" s="23" t="str">
        <f aca="false">IF(B2671="","","")</f>
        <v/>
      </c>
      <c r="I2671" s="23" t="str">
        <f aca="false">IF(B2671="","","")</f>
        <v/>
      </c>
      <c r="J2671" s="23" t="str">
        <f aca="false">IF(B2671="","","touch_2; "&amp;IFERROR(INDEX(Clay_Offices!$A$2:$FZ$601,420,Sync!$C$10)&amp;"","")&amp;"; "&amp;IFERROR(INDEX(Clay_Offices!$A$2:$FZ$601,420,Sync!$C$9)&amp;"",""))</f>
        <v/>
      </c>
      <c r="K2671" s="32" t="s">
        <v>1364</v>
      </c>
    </row>
    <row r="2672" customFormat="false" ht="15" hidden="false" customHeight="false" outlineLevel="0" collapsed="false">
      <c r="A2672" s="23" t="str">
        <f aca="false">IF(B2672="","",B2672+(13*1000+421)/10000000)</f>
        <v/>
      </c>
      <c r="B2672" s="35" t="str">
        <f aca="false">IF(AND(IFERROR(N(INDEX(Clay_Offices!$A$2:$FZ$601,421,Sync!$C$12)),0)&gt;0,IFERROR(INDEX(Clay_Offices!$A$2:$FZ$601,421,Sync!$C$5)&amp;"","")&lt;&gt;"",OR(LEFT(IFERROR(INDEX(Clay_Offices!$A$2:$FZ$601,421,Sync!$C$5)&amp;"",""),6)&lt;&gt;"SAMPLE",Config!$B$19="Y")),IFERROR(N(INDEX(Clay_Offices!$A$2:$FZ$601,421,Sync!$C$12)),0),"")</f>
        <v/>
      </c>
      <c r="C2672" s="23" t="str">
        <f aca="false">IF(B2672="","","office")</f>
        <v/>
      </c>
      <c r="D2672" s="23" t="str">
        <f aca="false">IF(B2672="","",IFERROR(INDEX(Office_Log!$ED$2:$ED$201,MATCH(IFERROR(INDEX(Clay_Offices!$A$2:$FZ$601,421,Sync!$C$5)&amp;"",""),Office_Log!$A$2:$A$201,0))&amp;"",IFERROR(INDEX(Clay_Offices!$A$2:$FZ$601,421,Sync!$C$5)&amp;"","")&amp;""))</f>
        <v/>
      </c>
      <c r="E2672" s="23" t="str">
        <f aca="false">IF(B2672="","",IFERROR(INDEX(Clay_Offices!$A$2:$FZ$601,421,Sync!$C$6)&amp;"",""))</f>
        <v/>
      </c>
      <c r="F2672" s="23" t="str">
        <f aca="false">IF(B2672="","","outreach_sent")</f>
        <v/>
      </c>
      <c r="G2672" s="23" t="str">
        <f aca="false">IF(B2672="","","")</f>
        <v/>
      </c>
      <c r="H2672" s="23" t="str">
        <f aca="false">IF(B2672="","","")</f>
        <v/>
      </c>
      <c r="I2672" s="23" t="str">
        <f aca="false">IF(B2672="","","")</f>
        <v/>
      </c>
      <c r="J2672" s="23" t="str">
        <f aca="false">IF(B2672="","","touch_2; "&amp;IFERROR(INDEX(Clay_Offices!$A$2:$FZ$601,421,Sync!$C$10)&amp;"","")&amp;"; "&amp;IFERROR(INDEX(Clay_Offices!$A$2:$FZ$601,421,Sync!$C$9)&amp;"",""))</f>
        <v/>
      </c>
      <c r="K2672" s="32" t="s">
        <v>1364</v>
      </c>
    </row>
    <row r="2673" customFormat="false" ht="15" hidden="false" customHeight="false" outlineLevel="0" collapsed="false">
      <c r="A2673" s="23" t="str">
        <f aca="false">IF(B2673="","",B2673+(13*1000+422)/10000000)</f>
        <v/>
      </c>
      <c r="B2673" s="35" t="str">
        <f aca="false">IF(AND(IFERROR(N(INDEX(Clay_Offices!$A$2:$FZ$601,422,Sync!$C$12)),0)&gt;0,IFERROR(INDEX(Clay_Offices!$A$2:$FZ$601,422,Sync!$C$5)&amp;"","")&lt;&gt;"",OR(LEFT(IFERROR(INDEX(Clay_Offices!$A$2:$FZ$601,422,Sync!$C$5)&amp;"",""),6)&lt;&gt;"SAMPLE",Config!$B$19="Y")),IFERROR(N(INDEX(Clay_Offices!$A$2:$FZ$601,422,Sync!$C$12)),0),"")</f>
        <v/>
      </c>
      <c r="C2673" s="23" t="str">
        <f aca="false">IF(B2673="","","office")</f>
        <v/>
      </c>
      <c r="D2673" s="23" t="str">
        <f aca="false">IF(B2673="","",IFERROR(INDEX(Office_Log!$ED$2:$ED$201,MATCH(IFERROR(INDEX(Clay_Offices!$A$2:$FZ$601,422,Sync!$C$5)&amp;"",""),Office_Log!$A$2:$A$201,0))&amp;"",IFERROR(INDEX(Clay_Offices!$A$2:$FZ$601,422,Sync!$C$5)&amp;"","")&amp;""))</f>
        <v/>
      </c>
      <c r="E2673" s="23" t="str">
        <f aca="false">IF(B2673="","",IFERROR(INDEX(Clay_Offices!$A$2:$FZ$601,422,Sync!$C$6)&amp;"",""))</f>
        <v/>
      </c>
      <c r="F2673" s="23" t="str">
        <f aca="false">IF(B2673="","","outreach_sent")</f>
        <v/>
      </c>
      <c r="G2673" s="23" t="str">
        <f aca="false">IF(B2673="","","")</f>
        <v/>
      </c>
      <c r="H2673" s="23" t="str">
        <f aca="false">IF(B2673="","","")</f>
        <v/>
      </c>
      <c r="I2673" s="23" t="str">
        <f aca="false">IF(B2673="","","")</f>
        <v/>
      </c>
      <c r="J2673" s="23" t="str">
        <f aca="false">IF(B2673="","","touch_2; "&amp;IFERROR(INDEX(Clay_Offices!$A$2:$FZ$601,422,Sync!$C$10)&amp;"","")&amp;"; "&amp;IFERROR(INDEX(Clay_Offices!$A$2:$FZ$601,422,Sync!$C$9)&amp;"",""))</f>
        <v/>
      </c>
      <c r="K2673" s="32" t="s">
        <v>1364</v>
      </c>
    </row>
    <row r="2674" customFormat="false" ht="15" hidden="false" customHeight="false" outlineLevel="0" collapsed="false">
      <c r="A2674" s="23" t="str">
        <f aca="false">IF(B2674="","",B2674+(13*1000+423)/10000000)</f>
        <v/>
      </c>
      <c r="B2674" s="35" t="str">
        <f aca="false">IF(AND(IFERROR(N(INDEX(Clay_Offices!$A$2:$FZ$601,423,Sync!$C$12)),0)&gt;0,IFERROR(INDEX(Clay_Offices!$A$2:$FZ$601,423,Sync!$C$5)&amp;"","")&lt;&gt;"",OR(LEFT(IFERROR(INDEX(Clay_Offices!$A$2:$FZ$601,423,Sync!$C$5)&amp;"",""),6)&lt;&gt;"SAMPLE",Config!$B$19="Y")),IFERROR(N(INDEX(Clay_Offices!$A$2:$FZ$601,423,Sync!$C$12)),0),"")</f>
        <v/>
      </c>
      <c r="C2674" s="23" t="str">
        <f aca="false">IF(B2674="","","office")</f>
        <v/>
      </c>
      <c r="D2674" s="23" t="str">
        <f aca="false">IF(B2674="","",IFERROR(INDEX(Office_Log!$ED$2:$ED$201,MATCH(IFERROR(INDEX(Clay_Offices!$A$2:$FZ$601,423,Sync!$C$5)&amp;"",""),Office_Log!$A$2:$A$201,0))&amp;"",IFERROR(INDEX(Clay_Offices!$A$2:$FZ$601,423,Sync!$C$5)&amp;"","")&amp;""))</f>
        <v/>
      </c>
      <c r="E2674" s="23" t="str">
        <f aca="false">IF(B2674="","",IFERROR(INDEX(Clay_Offices!$A$2:$FZ$601,423,Sync!$C$6)&amp;"",""))</f>
        <v/>
      </c>
      <c r="F2674" s="23" t="str">
        <f aca="false">IF(B2674="","","outreach_sent")</f>
        <v/>
      </c>
      <c r="G2674" s="23" t="str">
        <f aca="false">IF(B2674="","","")</f>
        <v/>
      </c>
      <c r="H2674" s="23" t="str">
        <f aca="false">IF(B2674="","","")</f>
        <v/>
      </c>
      <c r="I2674" s="23" t="str">
        <f aca="false">IF(B2674="","","")</f>
        <v/>
      </c>
      <c r="J2674" s="23" t="str">
        <f aca="false">IF(B2674="","","touch_2; "&amp;IFERROR(INDEX(Clay_Offices!$A$2:$FZ$601,423,Sync!$C$10)&amp;"","")&amp;"; "&amp;IFERROR(INDEX(Clay_Offices!$A$2:$FZ$601,423,Sync!$C$9)&amp;"",""))</f>
        <v/>
      </c>
      <c r="K2674" s="32" t="s">
        <v>1364</v>
      </c>
    </row>
    <row r="2675" customFormat="false" ht="15" hidden="false" customHeight="false" outlineLevel="0" collapsed="false">
      <c r="A2675" s="23" t="str">
        <f aca="false">IF(B2675="","",B2675+(13*1000+424)/10000000)</f>
        <v/>
      </c>
      <c r="B2675" s="35" t="str">
        <f aca="false">IF(AND(IFERROR(N(INDEX(Clay_Offices!$A$2:$FZ$601,424,Sync!$C$12)),0)&gt;0,IFERROR(INDEX(Clay_Offices!$A$2:$FZ$601,424,Sync!$C$5)&amp;"","")&lt;&gt;"",OR(LEFT(IFERROR(INDEX(Clay_Offices!$A$2:$FZ$601,424,Sync!$C$5)&amp;"",""),6)&lt;&gt;"SAMPLE",Config!$B$19="Y")),IFERROR(N(INDEX(Clay_Offices!$A$2:$FZ$601,424,Sync!$C$12)),0),"")</f>
        <v/>
      </c>
      <c r="C2675" s="23" t="str">
        <f aca="false">IF(B2675="","","office")</f>
        <v/>
      </c>
      <c r="D2675" s="23" t="str">
        <f aca="false">IF(B2675="","",IFERROR(INDEX(Office_Log!$ED$2:$ED$201,MATCH(IFERROR(INDEX(Clay_Offices!$A$2:$FZ$601,424,Sync!$C$5)&amp;"",""),Office_Log!$A$2:$A$201,0))&amp;"",IFERROR(INDEX(Clay_Offices!$A$2:$FZ$601,424,Sync!$C$5)&amp;"","")&amp;""))</f>
        <v/>
      </c>
      <c r="E2675" s="23" t="str">
        <f aca="false">IF(B2675="","",IFERROR(INDEX(Clay_Offices!$A$2:$FZ$601,424,Sync!$C$6)&amp;"",""))</f>
        <v/>
      </c>
      <c r="F2675" s="23" t="str">
        <f aca="false">IF(B2675="","","outreach_sent")</f>
        <v/>
      </c>
      <c r="G2675" s="23" t="str">
        <f aca="false">IF(B2675="","","")</f>
        <v/>
      </c>
      <c r="H2675" s="23" t="str">
        <f aca="false">IF(B2675="","","")</f>
        <v/>
      </c>
      <c r="I2675" s="23" t="str">
        <f aca="false">IF(B2675="","","")</f>
        <v/>
      </c>
      <c r="J2675" s="23" t="str">
        <f aca="false">IF(B2675="","","touch_2; "&amp;IFERROR(INDEX(Clay_Offices!$A$2:$FZ$601,424,Sync!$C$10)&amp;"","")&amp;"; "&amp;IFERROR(INDEX(Clay_Offices!$A$2:$FZ$601,424,Sync!$C$9)&amp;"",""))</f>
        <v/>
      </c>
      <c r="K2675" s="32" t="s">
        <v>1364</v>
      </c>
    </row>
    <row r="2676" customFormat="false" ht="15" hidden="false" customHeight="false" outlineLevel="0" collapsed="false">
      <c r="A2676" s="23" t="str">
        <f aca="false">IF(B2676="","",B2676+(13*1000+425)/10000000)</f>
        <v/>
      </c>
      <c r="B2676" s="35" t="str">
        <f aca="false">IF(AND(IFERROR(N(INDEX(Clay_Offices!$A$2:$FZ$601,425,Sync!$C$12)),0)&gt;0,IFERROR(INDEX(Clay_Offices!$A$2:$FZ$601,425,Sync!$C$5)&amp;"","")&lt;&gt;"",OR(LEFT(IFERROR(INDEX(Clay_Offices!$A$2:$FZ$601,425,Sync!$C$5)&amp;"",""),6)&lt;&gt;"SAMPLE",Config!$B$19="Y")),IFERROR(N(INDEX(Clay_Offices!$A$2:$FZ$601,425,Sync!$C$12)),0),"")</f>
        <v/>
      </c>
      <c r="C2676" s="23" t="str">
        <f aca="false">IF(B2676="","","office")</f>
        <v/>
      </c>
      <c r="D2676" s="23" t="str">
        <f aca="false">IF(B2676="","",IFERROR(INDEX(Office_Log!$ED$2:$ED$201,MATCH(IFERROR(INDEX(Clay_Offices!$A$2:$FZ$601,425,Sync!$C$5)&amp;"",""),Office_Log!$A$2:$A$201,0))&amp;"",IFERROR(INDEX(Clay_Offices!$A$2:$FZ$601,425,Sync!$C$5)&amp;"","")&amp;""))</f>
        <v/>
      </c>
      <c r="E2676" s="23" t="str">
        <f aca="false">IF(B2676="","",IFERROR(INDEX(Clay_Offices!$A$2:$FZ$601,425,Sync!$C$6)&amp;"",""))</f>
        <v/>
      </c>
      <c r="F2676" s="23" t="str">
        <f aca="false">IF(B2676="","","outreach_sent")</f>
        <v/>
      </c>
      <c r="G2676" s="23" t="str">
        <f aca="false">IF(B2676="","","")</f>
        <v/>
      </c>
      <c r="H2676" s="23" t="str">
        <f aca="false">IF(B2676="","","")</f>
        <v/>
      </c>
      <c r="I2676" s="23" t="str">
        <f aca="false">IF(B2676="","","")</f>
        <v/>
      </c>
      <c r="J2676" s="23" t="str">
        <f aca="false">IF(B2676="","","touch_2; "&amp;IFERROR(INDEX(Clay_Offices!$A$2:$FZ$601,425,Sync!$C$10)&amp;"","")&amp;"; "&amp;IFERROR(INDEX(Clay_Offices!$A$2:$FZ$601,425,Sync!$C$9)&amp;"",""))</f>
        <v/>
      </c>
      <c r="K2676" s="32" t="s">
        <v>1364</v>
      </c>
    </row>
    <row r="2677" customFormat="false" ht="15" hidden="false" customHeight="false" outlineLevel="0" collapsed="false">
      <c r="A2677" s="23" t="str">
        <f aca="false">IF(B2677="","",B2677+(13*1000+426)/10000000)</f>
        <v/>
      </c>
      <c r="B2677" s="35" t="str">
        <f aca="false">IF(AND(IFERROR(N(INDEX(Clay_Offices!$A$2:$FZ$601,426,Sync!$C$12)),0)&gt;0,IFERROR(INDEX(Clay_Offices!$A$2:$FZ$601,426,Sync!$C$5)&amp;"","")&lt;&gt;"",OR(LEFT(IFERROR(INDEX(Clay_Offices!$A$2:$FZ$601,426,Sync!$C$5)&amp;"",""),6)&lt;&gt;"SAMPLE",Config!$B$19="Y")),IFERROR(N(INDEX(Clay_Offices!$A$2:$FZ$601,426,Sync!$C$12)),0),"")</f>
        <v/>
      </c>
      <c r="C2677" s="23" t="str">
        <f aca="false">IF(B2677="","","office")</f>
        <v/>
      </c>
      <c r="D2677" s="23" t="str">
        <f aca="false">IF(B2677="","",IFERROR(INDEX(Office_Log!$ED$2:$ED$201,MATCH(IFERROR(INDEX(Clay_Offices!$A$2:$FZ$601,426,Sync!$C$5)&amp;"",""),Office_Log!$A$2:$A$201,0))&amp;"",IFERROR(INDEX(Clay_Offices!$A$2:$FZ$601,426,Sync!$C$5)&amp;"","")&amp;""))</f>
        <v/>
      </c>
      <c r="E2677" s="23" t="str">
        <f aca="false">IF(B2677="","",IFERROR(INDEX(Clay_Offices!$A$2:$FZ$601,426,Sync!$C$6)&amp;"",""))</f>
        <v/>
      </c>
      <c r="F2677" s="23" t="str">
        <f aca="false">IF(B2677="","","outreach_sent")</f>
        <v/>
      </c>
      <c r="G2677" s="23" t="str">
        <f aca="false">IF(B2677="","","")</f>
        <v/>
      </c>
      <c r="H2677" s="23" t="str">
        <f aca="false">IF(B2677="","","")</f>
        <v/>
      </c>
      <c r="I2677" s="23" t="str">
        <f aca="false">IF(B2677="","","")</f>
        <v/>
      </c>
      <c r="J2677" s="23" t="str">
        <f aca="false">IF(B2677="","","touch_2; "&amp;IFERROR(INDEX(Clay_Offices!$A$2:$FZ$601,426,Sync!$C$10)&amp;"","")&amp;"; "&amp;IFERROR(INDEX(Clay_Offices!$A$2:$FZ$601,426,Sync!$C$9)&amp;"",""))</f>
        <v/>
      </c>
      <c r="K2677" s="32" t="s">
        <v>1364</v>
      </c>
    </row>
    <row r="2678" customFormat="false" ht="15" hidden="false" customHeight="false" outlineLevel="0" collapsed="false">
      <c r="A2678" s="23" t="str">
        <f aca="false">IF(B2678="","",B2678+(13*1000+427)/10000000)</f>
        <v/>
      </c>
      <c r="B2678" s="35" t="str">
        <f aca="false">IF(AND(IFERROR(N(INDEX(Clay_Offices!$A$2:$FZ$601,427,Sync!$C$12)),0)&gt;0,IFERROR(INDEX(Clay_Offices!$A$2:$FZ$601,427,Sync!$C$5)&amp;"","")&lt;&gt;"",OR(LEFT(IFERROR(INDEX(Clay_Offices!$A$2:$FZ$601,427,Sync!$C$5)&amp;"",""),6)&lt;&gt;"SAMPLE",Config!$B$19="Y")),IFERROR(N(INDEX(Clay_Offices!$A$2:$FZ$601,427,Sync!$C$12)),0),"")</f>
        <v/>
      </c>
      <c r="C2678" s="23" t="str">
        <f aca="false">IF(B2678="","","office")</f>
        <v/>
      </c>
      <c r="D2678" s="23" t="str">
        <f aca="false">IF(B2678="","",IFERROR(INDEX(Office_Log!$ED$2:$ED$201,MATCH(IFERROR(INDEX(Clay_Offices!$A$2:$FZ$601,427,Sync!$C$5)&amp;"",""),Office_Log!$A$2:$A$201,0))&amp;"",IFERROR(INDEX(Clay_Offices!$A$2:$FZ$601,427,Sync!$C$5)&amp;"","")&amp;""))</f>
        <v/>
      </c>
      <c r="E2678" s="23" t="str">
        <f aca="false">IF(B2678="","",IFERROR(INDEX(Clay_Offices!$A$2:$FZ$601,427,Sync!$C$6)&amp;"",""))</f>
        <v/>
      </c>
      <c r="F2678" s="23" t="str">
        <f aca="false">IF(B2678="","","outreach_sent")</f>
        <v/>
      </c>
      <c r="G2678" s="23" t="str">
        <f aca="false">IF(B2678="","","")</f>
        <v/>
      </c>
      <c r="H2678" s="23" t="str">
        <f aca="false">IF(B2678="","","")</f>
        <v/>
      </c>
      <c r="I2678" s="23" t="str">
        <f aca="false">IF(B2678="","","")</f>
        <v/>
      </c>
      <c r="J2678" s="23" t="str">
        <f aca="false">IF(B2678="","","touch_2; "&amp;IFERROR(INDEX(Clay_Offices!$A$2:$FZ$601,427,Sync!$C$10)&amp;"","")&amp;"; "&amp;IFERROR(INDEX(Clay_Offices!$A$2:$FZ$601,427,Sync!$C$9)&amp;"",""))</f>
        <v/>
      </c>
      <c r="K2678" s="32" t="s">
        <v>1364</v>
      </c>
    </row>
    <row r="2679" customFormat="false" ht="15" hidden="false" customHeight="false" outlineLevel="0" collapsed="false">
      <c r="A2679" s="23" t="str">
        <f aca="false">IF(B2679="","",B2679+(13*1000+428)/10000000)</f>
        <v/>
      </c>
      <c r="B2679" s="35" t="str">
        <f aca="false">IF(AND(IFERROR(N(INDEX(Clay_Offices!$A$2:$FZ$601,428,Sync!$C$12)),0)&gt;0,IFERROR(INDEX(Clay_Offices!$A$2:$FZ$601,428,Sync!$C$5)&amp;"","")&lt;&gt;"",OR(LEFT(IFERROR(INDEX(Clay_Offices!$A$2:$FZ$601,428,Sync!$C$5)&amp;"",""),6)&lt;&gt;"SAMPLE",Config!$B$19="Y")),IFERROR(N(INDEX(Clay_Offices!$A$2:$FZ$601,428,Sync!$C$12)),0),"")</f>
        <v/>
      </c>
      <c r="C2679" s="23" t="str">
        <f aca="false">IF(B2679="","","office")</f>
        <v/>
      </c>
      <c r="D2679" s="23" t="str">
        <f aca="false">IF(B2679="","",IFERROR(INDEX(Office_Log!$ED$2:$ED$201,MATCH(IFERROR(INDEX(Clay_Offices!$A$2:$FZ$601,428,Sync!$C$5)&amp;"",""),Office_Log!$A$2:$A$201,0))&amp;"",IFERROR(INDEX(Clay_Offices!$A$2:$FZ$601,428,Sync!$C$5)&amp;"","")&amp;""))</f>
        <v/>
      </c>
      <c r="E2679" s="23" t="str">
        <f aca="false">IF(B2679="","",IFERROR(INDEX(Clay_Offices!$A$2:$FZ$601,428,Sync!$C$6)&amp;"",""))</f>
        <v/>
      </c>
      <c r="F2679" s="23" t="str">
        <f aca="false">IF(B2679="","","outreach_sent")</f>
        <v/>
      </c>
      <c r="G2679" s="23" t="str">
        <f aca="false">IF(B2679="","","")</f>
        <v/>
      </c>
      <c r="H2679" s="23" t="str">
        <f aca="false">IF(B2679="","","")</f>
        <v/>
      </c>
      <c r="I2679" s="23" t="str">
        <f aca="false">IF(B2679="","","")</f>
        <v/>
      </c>
      <c r="J2679" s="23" t="str">
        <f aca="false">IF(B2679="","","touch_2; "&amp;IFERROR(INDEX(Clay_Offices!$A$2:$FZ$601,428,Sync!$C$10)&amp;"","")&amp;"; "&amp;IFERROR(INDEX(Clay_Offices!$A$2:$FZ$601,428,Sync!$C$9)&amp;"",""))</f>
        <v/>
      </c>
      <c r="K2679" s="32" t="s">
        <v>1364</v>
      </c>
    </row>
    <row r="2680" customFormat="false" ht="15" hidden="false" customHeight="false" outlineLevel="0" collapsed="false">
      <c r="A2680" s="23" t="str">
        <f aca="false">IF(B2680="","",B2680+(13*1000+429)/10000000)</f>
        <v/>
      </c>
      <c r="B2680" s="35" t="str">
        <f aca="false">IF(AND(IFERROR(N(INDEX(Clay_Offices!$A$2:$FZ$601,429,Sync!$C$12)),0)&gt;0,IFERROR(INDEX(Clay_Offices!$A$2:$FZ$601,429,Sync!$C$5)&amp;"","")&lt;&gt;"",OR(LEFT(IFERROR(INDEX(Clay_Offices!$A$2:$FZ$601,429,Sync!$C$5)&amp;"",""),6)&lt;&gt;"SAMPLE",Config!$B$19="Y")),IFERROR(N(INDEX(Clay_Offices!$A$2:$FZ$601,429,Sync!$C$12)),0),"")</f>
        <v/>
      </c>
      <c r="C2680" s="23" t="str">
        <f aca="false">IF(B2680="","","office")</f>
        <v/>
      </c>
      <c r="D2680" s="23" t="str">
        <f aca="false">IF(B2680="","",IFERROR(INDEX(Office_Log!$ED$2:$ED$201,MATCH(IFERROR(INDEX(Clay_Offices!$A$2:$FZ$601,429,Sync!$C$5)&amp;"",""),Office_Log!$A$2:$A$201,0))&amp;"",IFERROR(INDEX(Clay_Offices!$A$2:$FZ$601,429,Sync!$C$5)&amp;"","")&amp;""))</f>
        <v/>
      </c>
      <c r="E2680" s="23" t="str">
        <f aca="false">IF(B2680="","",IFERROR(INDEX(Clay_Offices!$A$2:$FZ$601,429,Sync!$C$6)&amp;"",""))</f>
        <v/>
      </c>
      <c r="F2680" s="23" t="str">
        <f aca="false">IF(B2680="","","outreach_sent")</f>
        <v/>
      </c>
      <c r="G2680" s="23" t="str">
        <f aca="false">IF(B2680="","","")</f>
        <v/>
      </c>
      <c r="H2680" s="23" t="str">
        <f aca="false">IF(B2680="","","")</f>
        <v/>
      </c>
      <c r="I2680" s="23" t="str">
        <f aca="false">IF(B2680="","","")</f>
        <v/>
      </c>
      <c r="J2680" s="23" t="str">
        <f aca="false">IF(B2680="","","touch_2; "&amp;IFERROR(INDEX(Clay_Offices!$A$2:$FZ$601,429,Sync!$C$10)&amp;"","")&amp;"; "&amp;IFERROR(INDEX(Clay_Offices!$A$2:$FZ$601,429,Sync!$C$9)&amp;"",""))</f>
        <v/>
      </c>
      <c r="K2680" s="32" t="s">
        <v>1364</v>
      </c>
    </row>
    <row r="2681" customFormat="false" ht="15" hidden="false" customHeight="false" outlineLevel="0" collapsed="false">
      <c r="A2681" s="23" t="str">
        <f aca="false">IF(B2681="","",B2681+(13*1000+430)/10000000)</f>
        <v/>
      </c>
      <c r="B2681" s="35" t="str">
        <f aca="false">IF(AND(IFERROR(N(INDEX(Clay_Offices!$A$2:$FZ$601,430,Sync!$C$12)),0)&gt;0,IFERROR(INDEX(Clay_Offices!$A$2:$FZ$601,430,Sync!$C$5)&amp;"","")&lt;&gt;"",OR(LEFT(IFERROR(INDEX(Clay_Offices!$A$2:$FZ$601,430,Sync!$C$5)&amp;"",""),6)&lt;&gt;"SAMPLE",Config!$B$19="Y")),IFERROR(N(INDEX(Clay_Offices!$A$2:$FZ$601,430,Sync!$C$12)),0),"")</f>
        <v/>
      </c>
      <c r="C2681" s="23" t="str">
        <f aca="false">IF(B2681="","","office")</f>
        <v/>
      </c>
      <c r="D2681" s="23" t="str">
        <f aca="false">IF(B2681="","",IFERROR(INDEX(Office_Log!$ED$2:$ED$201,MATCH(IFERROR(INDEX(Clay_Offices!$A$2:$FZ$601,430,Sync!$C$5)&amp;"",""),Office_Log!$A$2:$A$201,0))&amp;"",IFERROR(INDEX(Clay_Offices!$A$2:$FZ$601,430,Sync!$C$5)&amp;"","")&amp;""))</f>
        <v/>
      </c>
      <c r="E2681" s="23" t="str">
        <f aca="false">IF(B2681="","",IFERROR(INDEX(Clay_Offices!$A$2:$FZ$601,430,Sync!$C$6)&amp;"",""))</f>
        <v/>
      </c>
      <c r="F2681" s="23" t="str">
        <f aca="false">IF(B2681="","","outreach_sent")</f>
        <v/>
      </c>
      <c r="G2681" s="23" t="str">
        <f aca="false">IF(B2681="","","")</f>
        <v/>
      </c>
      <c r="H2681" s="23" t="str">
        <f aca="false">IF(B2681="","","")</f>
        <v/>
      </c>
      <c r="I2681" s="23" t="str">
        <f aca="false">IF(B2681="","","")</f>
        <v/>
      </c>
      <c r="J2681" s="23" t="str">
        <f aca="false">IF(B2681="","","touch_2; "&amp;IFERROR(INDEX(Clay_Offices!$A$2:$FZ$601,430,Sync!$C$10)&amp;"","")&amp;"; "&amp;IFERROR(INDEX(Clay_Offices!$A$2:$FZ$601,430,Sync!$C$9)&amp;"",""))</f>
        <v/>
      </c>
      <c r="K2681" s="32" t="s">
        <v>1364</v>
      </c>
    </row>
    <row r="2682" customFormat="false" ht="15" hidden="false" customHeight="false" outlineLevel="0" collapsed="false">
      <c r="A2682" s="23" t="str">
        <f aca="false">IF(B2682="","",B2682+(13*1000+431)/10000000)</f>
        <v/>
      </c>
      <c r="B2682" s="35" t="str">
        <f aca="false">IF(AND(IFERROR(N(INDEX(Clay_Offices!$A$2:$FZ$601,431,Sync!$C$12)),0)&gt;0,IFERROR(INDEX(Clay_Offices!$A$2:$FZ$601,431,Sync!$C$5)&amp;"","")&lt;&gt;"",OR(LEFT(IFERROR(INDEX(Clay_Offices!$A$2:$FZ$601,431,Sync!$C$5)&amp;"",""),6)&lt;&gt;"SAMPLE",Config!$B$19="Y")),IFERROR(N(INDEX(Clay_Offices!$A$2:$FZ$601,431,Sync!$C$12)),0),"")</f>
        <v/>
      </c>
      <c r="C2682" s="23" t="str">
        <f aca="false">IF(B2682="","","office")</f>
        <v/>
      </c>
      <c r="D2682" s="23" t="str">
        <f aca="false">IF(B2682="","",IFERROR(INDEX(Office_Log!$ED$2:$ED$201,MATCH(IFERROR(INDEX(Clay_Offices!$A$2:$FZ$601,431,Sync!$C$5)&amp;"",""),Office_Log!$A$2:$A$201,0))&amp;"",IFERROR(INDEX(Clay_Offices!$A$2:$FZ$601,431,Sync!$C$5)&amp;"","")&amp;""))</f>
        <v/>
      </c>
      <c r="E2682" s="23" t="str">
        <f aca="false">IF(B2682="","",IFERROR(INDEX(Clay_Offices!$A$2:$FZ$601,431,Sync!$C$6)&amp;"",""))</f>
        <v/>
      </c>
      <c r="F2682" s="23" t="str">
        <f aca="false">IF(B2682="","","outreach_sent")</f>
        <v/>
      </c>
      <c r="G2682" s="23" t="str">
        <f aca="false">IF(B2682="","","")</f>
        <v/>
      </c>
      <c r="H2682" s="23" t="str">
        <f aca="false">IF(B2682="","","")</f>
        <v/>
      </c>
      <c r="I2682" s="23" t="str">
        <f aca="false">IF(B2682="","","")</f>
        <v/>
      </c>
      <c r="J2682" s="23" t="str">
        <f aca="false">IF(B2682="","","touch_2; "&amp;IFERROR(INDEX(Clay_Offices!$A$2:$FZ$601,431,Sync!$C$10)&amp;"","")&amp;"; "&amp;IFERROR(INDEX(Clay_Offices!$A$2:$FZ$601,431,Sync!$C$9)&amp;"",""))</f>
        <v/>
      </c>
      <c r="K2682" s="32" t="s">
        <v>1364</v>
      </c>
    </row>
    <row r="2683" customFormat="false" ht="15" hidden="false" customHeight="false" outlineLevel="0" collapsed="false">
      <c r="A2683" s="23" t="str">
        <f aca="false">IF(B2683="","",B2683+(13*1000+432)/10000000)</f>
        <v/>
      </c>
      <c r="B2683" s="35" t="str">
        <f aca="false">IF(AND(IFERROR(N(INDEX(Clay_Offices!$A$2:$FZ$601,432,Sync!$C$12)),0)&gt;0,IFERROR(INDEX(Clay_Offices!$A$2:$FZ$601,432,Sync!$C$5)&amp;"","")&lt;&gt;"",OR(LEFT(IFERROR(INDEX(Clay_Offices!$A$2:$FZ$601,432,Sync!$C$5)&amp;"",""),6)&lt;&gt;"SAMPLE",Config!$B$19="Y")),IFERROR(N(INDEX(Clay_Offices!$A$2:$FZ$601,432,Sync!$C$12)),0),"")</f>
        <v/>
      </c>
      <c r="C2683" s="23" t="str">
        <f aca="false">IF(B2683="","","office")</f>
        <v/>
      </c>
      <c r="D2683" s="23" t="str">
        <f aca="false">IF(B2683="","",IFERROR(INDEX(Office_Log!$ED$2:$ED$201,MATCH(IFERROR(INDEX(Clay_Offices!$A$2:$FZ$601,432,Sync!$C$5)&amp;"",""),Office_Log!$A$2:$A$201,0))&amp;"",IFERROR(INDEX(Clay_Offices!$A$2:$FZ$601,432,Sync!$C$5)&amp;"","")&amp;""))</f>
        <v/>
      </c>
      <c r="E2683" s="23" t="str">
        <f aca="false">IF(B2683="","",IFERROR(INDEX(Clay_Offices!$A$2:$FZ$601,432,Sync!$C$6)&amp;"",""))</f>
        <v/>
      </c>
      <c r="F2683" s="23" t="str">
        <f aca="false">IF(B2683="","","outreach_sent")</f>
        <v/>
      </c>
      <c r="G2683" s="23" t="str">
        <f aca="false">IF(B2683="","","")</f>
        <v/>
      </c>
      <c r="H2683" s="23" t="str">
        <f aca="false">IF(B2683="","","")</f>
        <v/>
      </c>
      <c r="I2683" s="23" t="str">
        <f aca="false">IF(B2683="","","")</f>
        <v/>
      </c>
      <c r="J2683" s="23" t="str">
        <f aca="false">IF(B2683="","","touch_2; "&amp;IFERROR(INDEX(Clay_Offices!$A$2:$FZ$601,432,Sync!$C$10)&amp;"","")&amp;"; "&amp;IFERROR(INDEX(Clay_Offices!$A$2:$FZ$601,432,Sync!$C$9)&amp;"",""))</f>
        <v/>
      </c>
      <c r="K2683" s="32" t="s">
        <v>1364</v>
      </c>
    </row>
    <row r="2684" customFormat="false" ht="15" hidden="false" customHeight="false" outlineLevel="0" collapsed="false">
      <c r="A2684" s="23" t="str">
        <f aca="false">IF(B2684="","",B2684+(13*1000+433)/10000000)</f>
        <v/>
      </c>
      <c r="B2684" s="35" t="str">
        <f aca="false">IF(AND(IFERROR(N(INDEX(Clay_Offices!$A$2:$FZ$601,433,Sync!$C$12)),0)&gt;0,IFERROR(INDEX(Clay_Offices!$A$2:$FZ$601,433,Sync!$C$5)&amp;"","")&lt;&gt;"",OR(LEFT(IFERROR(INDEX(Clay_Offices!$A$2:$FZ$601,433,Sync!$C$5)&amp;"",""),6)&lt;&gt;"SAMPLE",Config!$B$19="Y")),IFERROR(N(INDEX(Clay_Offices!$A$2:$FZ$601,433,Sync!$C$12)),0),"")</f>
        <v/>
      </c>
      <c r="C2684" s="23" t="str">
        <f aca="false">IF(B2684="","","office")</f>
        <v/>
      </c>
      <c r="D2684" s="23" t="str">
        <f aca="false">IF(B2684="","",IFERROR(INDEX(Office_Log!$ED$2:$ED$201,MATCH(IFERROR(INDEX(Clay_Offices!$A$2:$FZ$601,433,Sync!$C$5)&amp;"",""),Office_Log!$A$2:$A$201,0))&amp;"",IFERROR(INDEX(Clay_Offices!$A$2:$FZ$601,433,Sync!$C$5)&amp;"","")&amp;""))</f>
        <v/>
      </c>
      <c r="E2684" s="23" t="str">
        <f aca="false">IF(B2684="","",IFERROR(INDEX(Clay_Offices!$A$2:$FZ$601,433,Sync!$C$6)&amp;"",""))</f>
        <v/>
      </c>
      <c r="F2684" s="23" t="str">
        <f aca="false">IF(B2684="","","outreach_sent")</f>
        <v/>
      </c>
      <c r="G2684" s="23" t="str">
        <f aca="false">IF(B2684="","","")</f>
        <v/>
      </c>
      <c r="H2684" s="23" t="str">
        <f aca="false">IF(B2684="","","")</f>
        <v/>
      </c>
      <c r="I2684" s="23" t="str">
        <f aca="false">IF(B2684="","","")</f>
        <v/>
      </c>
      <c r="J2684" s="23" t="str">
        <f aca="false">IF(B2684="","","touch_2; "&amp;IFERROR(INDEX(Clay_Offices!$A$2:$FZ$601,433,Sync!$C$10)&amp;"","")&amp;"; "&amp;IFERROR(INDEX(Clay_Offices!$A$2:$FZ$601,433,Sync!$C$9)&amp;"",""))</f>
        <v/>
      </c>
      <c r="K2684" s="32" t="s">
        <v>1364</v>
      </c>
    </row>
    <row r="2685" customFormat="false" ht="15" hidden="false" customHeight="false" outlineLevel="0" collapsed="false">
      <c r="A2685" s="23" t="str">
        <f aca="false">IF(B2685="","",B2685+(13*1000+434)/10000000)</f>
        <v/>
      </c>
      <c r="B2685" s="35" t="str">
        <f aca="false">IF(AND(IFERROR(N(INDEX(Clay_Offices!$A$2:$FZ$601,434,Sync!$C$12)),0)&gt;0,IFERROR(INDEX(Clay_Offices!$A$2:$FZ$601,434,Sync!$C$5)&amp;"","")&lt;&gt;"",OR(LEFT(IFERROR(INDEX(Clay_Offices!$A$2:$FZ$601,434,Sync!$C$5)&amp;"",""),6)&lt;&gt;"SAMPLE",Config!$B$19="Y")),IFERROR(N(INDEX(Clay_Offices!$A$2:$FZ$601,434,Sync!$C$12)),0),"")</f>
        <v/>
      </c>
      <c r="C2685" s="23" t="str">
        <f aca="false">IF(B2685="","","office")</f>
        <v/>
      </c>
      <c r="D2685" s="23" t="str">
        <f aca="false">IF(B2685="","",IFERROR(INDEX(Office_Log!$ED$2:$ED$201,MATCH(IFERROR(INDEX(Clay_Offices!$A$2:$FZ$601,434,Sync!$C$5)&amp;"",""),Office_Log!$A$2:$A$201,0))&amp;"",IFERROR(INDEX(Clay_Offices!$A$2:$FZ$601,434,Sync!$C$5)&amp;"","")&amp;""))</f>
        <v/>
      </c>
      <c r="E2685" s="23" t="str">
        <f aca="false">IF(B2685="","",IFERROR(INDEX(Clay_Offices!$A$2:$FZ$601,434,Sync!$C$6)&amp;"",""))</f>
        <v/>
      </c>
      <c r="F2685" s="23" t="str">
        <f aca="false">IF(B2685="","","outreach_sent")</f>
        <v/>
      </c>
      <c r="G2685" s="23" t="str">
        <f aca="false">IF(B2685="","","")</f>
        <v/>
      </c>
      <c r="H2685" s="23" t="str">
        <f aca="false">IF(B2685="","","")</f>
        <v/>
      </c>
      <c r="I2685" s="23" t="str">
        <f aca="false">IF(B2685="","","")</f>
        <v/>
      </c>
      <c r="J2685" s="23" t="str">
        <f aca="false">IF(B2685="","","touch_2; "&amp;IFERROR(INDEX(Clay_Offices!$A$2:$FZ$601,434,Sync!$C$10)&amp;"","")&amp;"; "&amp;IFERROR(INDEX(Clay_Offices!$A$2:$FZ$601,434,Sync!$C$9)&amp;"",""))</f>
        <v/>
      </c>
      <c r="K2685" s="32" t="s">
        <v>1364</v>
      </c>
    </row>
    <row r="2686" customFormat="false" ht="15" hidden="false" customHeight="false" outlineLevel="0" collapsed="false">
      <c r="A2686" s="23" t="str">
        <f aca="false">IF(B2686="","",B2686+(13*1000+435)/10000000)</f>
        <v/>
      </c>
      <c r="B2686" s="35" t="str">
        <f aca="false">IF(AND(IFERROR(N(INDEX(Clay_Offices!$A$2:$FZ$601,435,Sync!$C$12)),0)&gt;0,IFERROR(INDEX(Clay_Offices!$A$2:$FZ$601,435,Sync!$C$5)&amp;"","")&lt;&gt;"",OR(LEFT(IFERROR(INDEX(Clay_Offices!$A$2:$FZ$601,435,Sync!$C$5)&amp;"",""),6)&lt;&gt;"SAMPLE",Config!$B$19="Y")),IFERROR(N(INDEX(Clay_Offices!$A$2:$FZ$601,435,Sync!$C$12)),0),"")</f>
        <v/>
      </c>
      <c r="C2686" s="23" t="str">
        <f aca="false">IF(B2686="","","office")</f>
        <v/>
      </c>
      <c r="D2686" s="23" t="str">
        <f aca="false">IF(B2686="","",IFERROR(INDEX(Office_Log!$ED$2:$ED$201,MATCH(IFERROR(INDEX(Clay_Offices!$A$2:$FZ$601,435,Sync!$C$5)&amp;"",""),Office_Log!$A$2:$A$201,0))&amp;"",IFERROR(INDEX(Clay_Offices!$A$2:$FZ$601,435,Sync!$C$5)&amp;"","")&amp;""))</f>
        <v/>
      </c>
      <c r="E2686" s="23" t="str">
        <f aca="false">IF(B2686="","",IFERROR(INDEX(Clay_Offices!$A$2:$FZ$601,435,Sync!$C$6)&amp;"",""))</f>
        <v/>
      </c>
      <c r="F2686" s="23" t="str">
        <f aca="false">IF(B2686="","","outreach_sent")</f>
        <v/>
      </c>
      <c r="G2686" s="23" t="str">
        <f aca="false">IF(B2686="","","")</f>
        <v/>
      </c>
      <c r="H2686" s="23" t="str">
        <f aca="false">IF(B2686="","","")</f>
        <v/>
      </c>
      <c r="I2686" s="23" t="str">
        <f aca="false">IF(B2686="","","")</f>
        <v/>
      </c>
      <c r="J2686" s="23" t="str">
        <f aca="false">IF(B2686="","","touch_2; "&amp;IFERROR(INDEX(Clay_Offices!$A$2:$FZ$601,435,Sync!$C$10)&amp;"","")&amp;"; "&amp;IFERROR(INDEX(Clay_Offices!$A$2:$FZ$601,435,Sync!$C$9)&amp;"",""))</f>
        <v/>
      </c>
      <c r="K2686" s="32" t="s">
        <v>1364</v>
      </c>
    </row>
    <row r="2687" customFormat="false" ht="15" hidden="false" customHeight="false" outlineLevel="0" collapsed="false">
      <c r="A2687" s="23" t="str">
        <f aca="false">IF(B2687="","",B2687+(13*1000+436)/10000000)</f>
        <v/>
      </c>
      <c r="B2687" s="35" t="str">
        <f aca="false">IF(AND(IFERROR(N(INDEX(Clay_Offices!$A$2:$FZ$601,436,Sync!$C$12)),0)&gt;0,IFERROR(INDEX(Clay_Offices!$A$2:$FZ$601,436,Sync!$C$5)&amp;"","")&lt;&gt;"",OR(LEFT(IFERROR(INDEX(Clay_Offices!$A$2:$FZ$601,436,Sync!$C$5)&amp;"",""),6)&lt;&gt;"SAMPLE",Config!$B$19="Y")),IFERROR(N(INDEX(Clay_Offices!$A$2:$FZ$601,436,Sync!$C$12)),0),"")</f>
        <v/>
      </c>
      <c r="C2687" s="23" t="str">
        <f aca="false">IF(B2687="","","office")</f>
        <v/>
      </c>
      <c r="D2687" s="23" t="str">
        <f aca="false">IF(B2687="","",IFERROR(INDEX(Office_Log!$ED$2:$ED$201,MATCH(IFERROR(INDEX(Clay_Offices!$A$2:$FZ$601,436,Sync!$C$5)&amp;"",""),Office_Log!$A$2:$A$201,0))&amp;"",IFERROR(INDEX(Clay_Offices!$A$2:$FZ$601,436,Sync!$C$5)&amp;"","")&amp;""))</f>
        <v/>
      </c>
      <c r="E2687" s="23" t="str">
        <f aca="false">IF(B2687="","",IFERROR(INDEX(Clay_Offices!$A$2:$FZ$601,436,Sync!$C$6)&amp;"",""))</f>
        <v/>
      </c>
      <c r="F2687" s="23" t="str">
        <f aca="false">IF(B2687="","","outreach_sent")</f>
        <v/>
      </c>
      <c r="G2687" s="23" t="str">
        <f aca="false">IF(B2687="","","")</f>
        <v/>
      </c>
      <c r="H2687" s="23" t="str">
        <f aca="false">IF(B2687="","","")</f>
        <v/>
      </c>
      <c r="I2687" s="23" t="str">
        <f aca="false">IF(B2687="","","")</f>
        <v/>
      </c>
      <c r="J2687" s="23" t="str">
        <f aca="false">IF(B2687="","","touch_2; "&amp;IFERROR(INDEX(Clay_Offices!$A$2:$FZ$601,436,Sync!$C$10)&amp;"","")&amp;"; "&amp;IFERROR(INDEX(Clay_Offices!$A$2:$FZ$601,436,Sync!$C$9)&amp;"",""))</f>
        <v/>
      </c>
      <c r="K2687" s="32" t="s">
        <v>1364</v>
      </c>
    </row>
    <row r="2688" customFormat="false" ht="15" hidden="false" customHeight="false" outlineLevel="0" collapsed="false">
      <c r="A2688" s="23" t="str">
        <f aca="false">IF(B2688="","",B2688+(13*1000+437)/10000000)</f>
        <v/>
      </c>
      <c r="B2688" s="35" t="str">
        <f aca="false">IF(AND(IFERROR(N(INDEX(Clay_Offices!$A$2:$FZ$601,437,Sync!$C$12)),0)&gt;0,IFERROR(INDEX(Clay_Offices!$A$2:$FZ$601,437,Sync!$C$5)&amp;"","")&lt;&gt;"",OR(LEFT(IFERROR(INDEX(Clay_Offices!$A$2:$FZ$601,437,Sync!$C$5)&amp;"",""),6)&lt;&gt;"SAMPLE",Config!$B$19="Y")),IFERROR(N(INDEX(Clay_Offices!$A$2:$FZ$601,437,Sync!$C$12)),0),"")</f>
        <v/>
      </c>
      <c r="C2688" s="23" t="str">
        <f aca="false">IF(B2688="","","office")</f>
        <v/>
      </c>
      <c r="D2688" s="23" t="str">
        <f aca="false">IF(B2688="","",IFERROR(INDEX(Office_Log!$ED$2:$ED$201,MATCH(IFERROR(INDEX(Clay_Offices!$A$2:$FZ$601,437,Sync!$C$5)&amp;"",""),Office_Log!$A$2:$A$201,0))&amp;"",IFERROR(INDEX(Clay_Offices!$A$2:$FZ$601,437,Sync!$C$5)&amp;"","")&amp;""))</f>
        <v/>
      </c>
      <c r="E2688" s="23" t="str">
        <f aca="false">IF(B2688="","",IFERROR(INDEX(Clay_Offices!$A$2:$FZ$601,437,Sync!$C$6)&amp;"",""))</f>
        <v/>
      </c>
      <c r="F2688" s="23" t="str">
        <f aca="false">IF(B2688="","","outreach_sent")</f>
        <v/>
      </c>
      <c r="G2688" s="23" t="str">
        <f aca="false">IF(B2688="","","")</f>
        <v/>
      </c>
      <c r="H2688" s="23" t="str">
        <f aca="false">IF(B2688="","","")</f>
        <v/>
      </c>
      <c r="I2688" s="23" t="str">
        <f aca="false">IF(B2688="","","")</f>
        <v/>
      </c>
      <c r="J2688" s="23" t="str">
        <f aca="false">IF(B2688="","","touch_2; "&amp;IFERROR(INDEX(Clay_Offices!$A$2:$FZ$601,437,Sync!$C$10)&amp;"","")&amp;"; "&amp;IFERROR(INDEX(Clay_Offices!$A$2:$FZ$601,437,Sync!$C$9)&amp;"",""))</f>
        <v/>
      </c>
      <c r="K2688" s="32" t="s">
        <v>1364</v>
      </c>
    </row>
    <row r="2689" customFormat="false" ht="15" hidden="false" customHeight="false" outlineLevel="0" collapsed="false">
      <c r="A2689" s="23" t="str">
        <f aca="false">IF(B2689="","",B2689+(13*1000+438)/10000000)</f>
        <v/>
      </c>
      <c r="B2689" s="35" t="str">
        <f aca="false">IF(AND(IFERROR(N(INDEX(Clay_Offices!$A$2:$FZ$601,438,Sync!$C$12)),0)&gt;0,IFERROR(INDEX(Clay_Offices!$A$2:$FZ$601,438,Sync!$C$5)&amp;"","")&lt;&gt;"",OR(LEFT(IFERROR(INDEX(Clay_Offices!$A$2:$FZ$601,438,Sync!$C$5)&amp;"",""),6)&lt;&gt;"SAMPLE",Config!$B$19="Y")),IFERROR(N(INDEX(Clay_Offices!$A$2:$FZ$601,438,Sync!$C$12)),0),"")</f>
        <v/>
      </c>
      <c r="C2689" s="23" t="str">
        <f aca="false">IF(B2689="","","office")</f>
        <v/>
      </c>
      <c r="D2689" s="23" t="str">
        <f aca="false">IF(B2689="","",IFERROR(INDEX(Office_Log!$ED$2:$ED$201,MATCH(IFERROR(INDEX(Clay_Offices!$A$2:$FZ$601,438,Sync!$C$5)&amp;"",""),Office_Log!$A$2:$A$201,0))&amp;"",IFERROR(INDEX(Clay_Offices!$A$2:$FZ$601,438,Sync!$C$5)&amp;"","")&amp;""))</f>
        <v/>
      </c>
      <c r="E2689" s="23" t="str">
        <f aca="false">IF(B2689="","",IFERROR(INDEX(Clay_Offices!$A$2:$FZ$601,438,Sync!$C$6)&amp;"",""))</f>
        <v/>
      </c>
      <c r="F2689" s="23" t="str">
        <f aca="false">IF(B2689="","","outreach_sent")</f>
        <v/>
      </c>
      <c r="G2689" s="23" t="str">
        <f aca="false">IF(B2689="","","")</f>
        <v/>
      </c>
      <c r="H2689" s="23" t="str">
        <f aca="false">IF(B2689="","","")</f>
        <v/>
      </c>
      <c r="I2689" s="23" t="str">
        <f aca="false">IF(B2689="","","")</f>
        <v/>
      </c>
      <c r="J2689" s="23" t="str">
        <f aca="false">IF(B2689="","","touch_2; "&amp;IFERROR(INDEX(Clay_Offices!$A$2:$FZ$601,438,Sync!$C$10)&amp;"","")&amp;"; "&amp;IFERROR(INDEX(Clay_Offices!$A$2:$FZ$601,438,Sync!$C$9)&amp;"",""))</f>
        <v/>
      </c>
      <c r="K2689" s="32" t="s">
        <v>1364</v>
      </c>
    </row>
    <row r="2690" customFormat="false" ht="15" hidden="false" customHeight="false" outlineLevel="0" collapsed="false">
      <c r="A2690" s="23" t="str">
        <f aca="false">IF(B2690="","",B2690+(13*1000+439)/10000000)</f>
        <v/>
      </c>
      <c r="B2690" s="35" t="str">
        <f aca="false">IF(AND(IFERROR(N(INDEX(Clay_Offices!$A$2:$FZ$601,439,Sync!$C$12)),0)&gt;0,IFERROR(INDEX(Clay_Offices!$A$2:$FZ$601,439,Sync!$C$5)&amp;"","")&lt;&gt;"",OR(LEFT(IFERROR(INDEX(Clay_Offices!$A$2:$FZ$601,439,Sync!$C$5)&amp;"",""),6)&lt;&gt;"SAMPLE",Config!$B$19="Y")),IFERROR(N(INDEX(Clay_Offices!$A$2:$FZ$601,439,Sync!$C$12)),0),"")</f>
        <v/>
      </c>
      <c r="C2690" s="23" t="str">
        <f aca="false">IF(B2690="","","office")</f>
        <v/>
      </c>
      <c r="D2690" s="23" t="str">
        <f aca="false">IF(B2690="","",IFERROR(INDEX(Office_Log!$ED$2:$ED$201,MATCH(IFERROR(INDEX(Clay_Offices!$A$2:$FZ$601,439,Sync!$C$5)&amp;"",""),Office_Log!$A$2:$A$201,0))&amp;"",IFERROR(INDEX(Clay_Offices!$A$2:$FZ$601,439,Sync!$C$5)&amp;"","")&amp;""))</f>
        <v/>
      </c>
      <c r="E2690" s="23" t="str">
        <f aca="false">IF(B2690="","",IFERROR(INDEX(Clay_Offices!$A$2:$FZ$601,439,Sync!$C$6)&amp;"",""))</f>
        <v/>
      </c>
      <c r="F2690" s="23" t="str">
        <f aca="false">IF(B2690="","","outreach_sent")</f>
        <v/>
      </c>
      <c r="G2690" s="23" t="str">
        <f aca="false">IF(B2690="","","")</f>
        <v/>
      </c>
      <c r="H2690" s="23" t="str">
        <f aca="false">IF(B2690="","","")</f>
        <v/>
      </c>
      <c r="I2690" s="23" t="str">
        <f aca="false">IF(B2690="","","")</f>
        <v/>
      </c>
      <c r="J2690" s="23" t="str">
        <f aca="false">IF(B2690="","","touch_2; "&amp;IFERROR(INDEX(Clay_Offices!$A$2:$FZ$601,439,Sync!$C$10)&amp;"","")&amp;"; "&amp;IFERROR(INDEX(Clay_Offices!$A$2:$FZ$601,439,Sync!$C$9)&amp;"",""))</f>
        <v/>
      </c>
      <c r="K2690" s="32" t="s">
        <v>1364</v>
      </c>
    </row>
    <row r="2691" customFormat="false" ht="15" hidden="false" customHeight="false" outlineLevel="0" collapsed="false">
      <c r="A2691" s="23" t="str">
        <f aca="false">IF(B2691="","",B2691+(13*1000+440)/10000000)</f>
        <v/>
      </c>
      <c r="B2691" s="35" t="str">
        <f aca="false">IF(AND(IFERROR(N(INDEX(Clay_Offices!$A$2:$FZ$601,440,Sync!$C$12)),0)&gt;0,IFERROR(INDEX(Clay_Offices!$A$2:$FZ$601,440,Sync!$C$5)&amp;"","")&lt;&gt;"",OR(LEFT(IFERROR(INDEX(Clay_Offices!$A$2:$FZ$601,440,Sync!$C$5)&amp;"",""),6)&lt;&gt;"SAMPLE",Config!$B$19="Y")),IFERROR(N(INDEX(Clay_Offices!$A$2:$FZ$601,440,Sync!$C$12)),0),"")</f>
        <v/>
      </c>
      <c r="C2691" s="23" t="str">
        <f aca="false">IF(B2691="","","office")</f>
        <v/>
      </c>
      <c r="D2691" s="23" t="str">
        <f aca="false">IF(B2691="","",IFERROR(INDEX(Office_Log!$ED$2:$ED$201,MATCH(IFERROR(INDEX(Clay_Offices!$A$2:$FZ$601,440,Sync!$C$5)&amp;"",""),Office_Log!$A$2:$A$201,0))&amp;"",IFERROR(INDEX(Clay_Offices!$A$2:$FZ$601,440,Sync!$C$5)&amp;"","")&amp;""))</f>
        <v/>
      </c>
      <c r="E2691" s="23" t="str">
        <f aca="false">IF(B2691="","",IFERROR(INDEX(Clay_Offices!$A$2:$FZ$601,440,Sync!$C$6)&amp;"",""))</f>
        <v/>
      </c>
      <c r="F2691" s="23" t="str">
        <f aca="false">IF(B2691="","","outreach_sent")</f>
        <v/>
      </c>
      <c r="G2691" s="23" t="str">
        <f aca="false">IF(B2691="","","")</f>
        <v/>
      </c>
      <c r="H2691" s="23" t="str">
        <f aca="false">IF(B2691="","","")</f>
        <v/>
      </c>
      <c r="I2691" s="23" t="str">
        <f aca="false">IF(B2691="","","")</f>
        <v/>
      </c>
      <c r="J2691" s="23" t="str">
        <f aca="false">IF(B2691="","","touch_2; "&amp;IFERROR(INDEX(Clay_Offices!$A$2:$FZ$601,440,Sync!$C$10)&amp;"","")&amp;"; "&amp;IFERROR(INDEX(Clay_Offices!$A$2:$FZ$601,440,Sync!$C$9)&amp;"",""))</f>
        <v/>
      </c>
      <c r="K2691" s="32" t="s">
        <v>1364</v>
      </c>
    </row>
    <row r="2692" customFormat="false" ht="15" hidden="false" customHeight="false" outlineLevel="0" collapsed="false">
      <c r="A2692" s="23" t="str">
        <f aca="false">IF(B2692="","",B2692+(13*1000+441)/10000000)</f>
        <v/>
      </c>
      <c r="B2692" s="35" t="str">
        <f aca="false">IF(AND(IFERROR(N(INDEX(Clay_Offices!$A$2:$FZ$601,441,Sync!$C$12)),0)&gt;0,IFERROR(INDEX(Clay_Offices!$A$2:$FZ$601,441,Sync!$C$5)&amp;"","")&lt;&gt;"",OR(LEFT(IFERROR(INDEX(Clay_Offices!$A$2:$FZ$601,441,Sync!$C$5)&amp;"",""),6)&lt;&gt;"SAMPLE",Config!$B$19="Y")),IFERROR(N(INDEX(Clay_Offices!$A$2:$FZ$601,441,Sync!$C$12)),0),"")</f>
        <v/>
      </c>
      <c r="C2692" s="23" t="str">
        <f aca="false">IF(B2692="","","office")</f>
        <v/>
      </c>
      <c r="D2692" s="23" t="str">
        <f aca="false">IF(B2692="","",IFERROR(INDEX(Office_Log!$ED$2:$ED$201,MATCH(IFERROR(INDEX(Clay_Offices!$A$2:$FZ$601,441,Sync!$C$5)&amp;"",""),Office_Log!$A$2:$A$201,0))&amp;"",IFERROR(INDEX(Clay_Offices!$A$2:$FZ$601,441,Sync!$C$5)&amp;"","")&amp;""))</f>
        <v/>
      </c>
      <c r="E2692" s="23" t="str">
        <f aca="false">IF(B2692="","",IFERROR(INDEX(Clay_Offices!$A$2:$FZ$601,441,Sync!$C$6)&amp;"",""))</f>
        <v/>
      </c>
      <c r="F2692" s="23" t="str">
        <f aca="false">IF(B2692="","","outreach_sent")</f>
        <v/>
      </c>
      <c r="G2692" s="23" t="str">
        <f aca="false">IF(B2692="","","")</f>
        <v/>
      </c>
      <c r="H2692" s="23" t="str">
        <f aca="false">IF(B2692="","","")</f>
        <v/>
      </c>
      <c r="I2692" s="23" t="str">
        <f aca="false">IF(B2692="","","")</f>
        <v/>
      </c>
      <c r="J2692" s="23" t="str">
        <f aca="false">IF(B2692="","","touch_2; "&amp;IFERROR(INDEX(Clay_Offices!$A$2:$FZ$601,441,Sync!$C$10)&amp;"","")&amp;"; "&amp;IFERROR(INDEX(Clay_Offices!$A$2:$FZ$601,441,Sync!$C$9)&amp;"",""))</f>
        <v/>
      </c>
      <c r="K2692" s="32" t="s">
        <v>1364</v>
      </c>
    </row>
    <row r="2693" customFormat="false" ht="15" hidden="false" customHeight="false" outlineLevel="0" collapsed="false">
      <c r="A2693" s="23" t="str">
        <f aca="false">IF(B2693="","",B2693+(13*1000+442)/10000000)</f>
        <v/>
      </c>
      <c r="B2693" s="35" t="str">
        <f aca="false">IF(AND(IFERROR(N(INDEX(Clay_Offices!$A$2:$FZ$601,442,Sync!$C$12)),0)&gt;0,IFERROR(INDEX(Clay_Offices!$A$2:$FZ$601,442,Sync!$C$5)&amp;"","")&lt;&gt;"",OR(LEFT(IFERROR(INDEX(Clay_Offices!$A$2:$FZ$601,442,Sync!$C$5)&amp;"",""),6)&lt;&gt;"SAMPLE",Config!$B$19="Y")),IFERROR(N(INDEX(Clay_Offices!$A$2:$FZ$601,442,Sync!$C$12)),0),"")</f>
        <v/>
      </c>
      <c r="C2693" s="23" t="str">
        <f aca="false">IF(B2693="","","office")</f>
        <v/>
      </c>
      <c r="D2693" s="23" t="str">
        <f aca="false">IF(B2693="","",IFERROR(INDEX(Office_Log!$ED$2:$ED$201,MATCH(IFERROR(INDEX(Clay_Offices!$A$2:$FZ$601,442,Sync!$C$5)&amp;"",""),Office_Log!$A$2:$A$201,0))&amp;"",IFERROR(INDEX(Clay_Offices!$A$2:$FZ$601,442,Sync!$C$5)&amp;"","")&amp;""))</f>
        <v/>
      </c>
      <c r="E2693" s="23" t="str">
        <f aca="false">IF(B2693="","",IFERROR(INDEX(Clay_Offices!$A$2:$FZ$601,442,Sync!$C$6)&amp;"",""))</f>
        <v/>
      </c>
      <c r="F2693" s="23" t="str">
        <f aca="false">IF(B2693="","","outreach_sent")</f>
        <v/>
      </c>
      <c r="G2693" s="23" t="str">
        <f aca="false">IF(B2693="","","")</f>
        <v/>
      </c>
      <c r="H2693" s="23" t="str">
        <f aca="false">IF(B2693="","","")</f>
        <v/>
      </c>
      <c r="I2693" s="23" t="str">
        <f aca="false">IF(B2693="","","")</f>
        <v/>
      </c>
      <c r="J2693" s="23" t="str">
        <f aca="false">IF(B2693="","","touch_2; "&amp;IFERROR(INDEX(Clay_Offices!$A$2:$FZ$601,442,Sync!$C$10)&amp;"","")&amp;"; "&amp;IFERROR(INDEX(Clay_Offices!$A$2:$FZ$601,442,Sync!$C$9)&amp;"",""))</f>
        <v/>
      </c>
      <c r="K2693" s="32" t="s">
        <v>1364</v>
      </c>
    </row>
    <row r="2694" customFormat="false" ht="15" hidden="false" customHeight="false" outlineLevel="0" collapsed="false">
      <c r="A2694" s="23" t="str">
        <f aca="false">IF(B2694="","",B2694+(13*1000+443)/10000000)</f>
        <v/>
      </c>
      <c r="B2694" s="35" t="str">
        <f aca="false">IF(AND(IFERROR(N(INDEX(Clay_Offices!$A$2:$FZ$601,443,Sync!$C$12)),0)&gt;0,IFERROR(INDEX(Clay_Offices!$A$2:$FZ$601,443,Sync!$C$5)&amp;"","")&lt;&gt;"",OR(LEFT(IFERROR(INDEX(Clay_Offices!$A$2:$FZ$601,443,Sync!$C$5)&amp;"",""),6)&lt;&gt;"SAMPLE",Config!$B$19="Y")),IFERROR(N(INDEX(Clay_Offices!$A$2:$FZ$601,443,Sync!$C$12)),0),"")</f>
        <v/>
      </c>
      <c r="C2694" s="23" t="str">
        <f aca="false">IF(B2694="","","office")</f>
        <v/>
      </c>
      <c r="D2694" s="23" t="str">
        <f aca="false">IF(B2694="","",IFERROR(INDEX(Office_Log!$ED$2:$ED$201,MATCH(IFERROR(INDEX(Clay_Offices!$A$2:$FZ$601,443,Sync!$C$5)&amp;"",""),Office_Log!$A$2:$A$201,0))&amp;"",IFERROR(INDEX(Clay_Offices!$A$2:$FZ$601,443,Sync!$C$5)&amp;"","")&amp;""))</f>
        <v/>
      </c>
      <c r="E2694" s="23" t="str">
        <f aca="false">IF(B2694="","",IFERROR(INDEX(Clay_Offices!$A$2:$FZ$601,443,Sync!$C$6)&amp;"",""))</f>
        <v/>
      </c>
      <c r="F2694" s="23" t="str">
        <f aca="false">IF(B2694="","","outreach_sent")</f>
        <v/>
      </c>
      <c r="G2694" s="23" t="str">
        <f aca="false">IF(B2694="","","")</f>
        <v/>
      </c>
      <c r="H2694" s="23" t="str">
        <f aca="false">IF(B2694="","","")</f>
        <v/>
      </c>
      <c r="I2694" s="23" t="str">
        <f aca="false">IF(B2694="","","")</f>
        <v/>
      </c>
      <c r="J2694" s="23" t="str">
        <f aca="false">IF(B2694="","","touch_2; "&amp;IFERROR(INDEX(Clay_Offices!$A$2:$FZ$601,443,Sync!$C$10)&amp;"","")&amp;"; "&amp;IFERROR(INDEX(Clay_Offices!$A$2:$FZ$601,443,Sync!$C$9)&amp;"",""))</f>
        <v/>
      </c>
      <c r="K2694" s="32" t="s">
        <v>1364</v>
      </c>
    </row>
    <row r="2695" customFormat="false" ht="15" hidden="false" customHeight="false" outlineLevel="0" collapsed="false">
      <c r="A2695" s="23" t="str">
        <f aca="false">IF(B2695="","",B2695+(13*1000+444)/10000000)</f>
        <v/>
      </c>
      <c r="B2695" s="35" t="str">
        <f aca="false">IF(AND(IFERROR(N(INDEX(Clay_Offices!$A$2:$FZ$601,444,Sync!$C$12)),0)&gt;0,IFERROR(INDEX(Clay_Offices!$A$2:$FZ$601,444,Sync!$C$5)&amp;"","")&lt;&gt;"",OR(LEFT(IFERROR(INDEX(Clay_Offices!$A$2:$FZ$601,444,Sync!$C$5)&amp;"",""),6)&lt;&gt;"SAMPLE",Config!$B$19="Y")),IFERROR(N(INDEX(Clay_Offices!$A$2:$FZ$601,444,Sync!$C$12)),0),"")</f>
        <v/>
      </c>
      <c r="C2695" s="23" t="str">
        <f aca="false">IF(B2695="","","office")</f>
        <v/>
      </c>
      <c r="D2695" s="23" t="str">
        <f aca="false">IF(B2695="","",IFERROR(INDEX(Office_Log!$ED$2:$ED$201,MATCH(IFERROR(INDEX(Clay_Offices!$A$2:$FZ$601,444,Sync!$C$5)&amp;"",""),Office_Log!$A$2:$A$201,0))&amp;"",IFERROR(INDEX(Clay_Offices!$A$2:$FZ$601,444,Sync!$C$5)&amp;"","")&amp;""))</f>
        <v/>
      </c>
      <c r="E2695" s="23" t="str">
        <f aca="false">IF(B2695="","",IFERROR(INDEX(Clay_Offices!$A$2:$FZ$601,444,Sync!$C$6)&amp;"",""))</f>
        <v/>
      </c>
      <c r="F2695" s="23" t="str">
        <f aca="false">IF(B2695="","","outreach_sent")</f>
        <v/>
      </c>
      <c r="G2695" s="23" t="str">
        <f aca="false">IF(B2695="","","")</f>
        <v/>
      </c>
      <c r="H2695" s="23" t="str">
        <f aca="false">IF(B2695="","","")</f>
        <v/>
      </c>
      <c r="I2695" s="23" t="str">
        <f aca="false">IF(B2695="","","")</f>
        <v/>
      </c>
      <c r="J2695" s="23" t="str">
        <f aca="false">IF(B2695="","","touch_2; "&amp;IFERROR(INDEX(Clay_Offices!$A$2:$FZ$601,444,Sync!$C$10)&amp;"","")&amp;"; "&amp;IFERROR(INDEX(Clay_Offices!$A$2:$FZ$601,444,Sync!$C$9)&amp;"",""))</f>
        <v/>
      </c>
      <c r="K2695" s="32" t="s">
        <v>1364</v>
      </c>
    </row>
    <row r="2696" customFormat="false" ht="15" hidden="false" customHeight="false" outlineLevel="0" collapsed="false">
      <c r="A2696" s="23" t="str">
        <f aca="false">IF(B2696="","",B2696+(13*1000+445)/10000000)</f>
        <v/>
      </c>
      <c r="B2696" s="35" t="str">
        <f aca="false">IF(AND(IFERROR(N(INDEX(Clay_Offices!$A$2:$FZ$601,445,Sync!$C$12)),0)&gt;0,IFERROR(INDEX(Clay_Offices!$A$2:$FZ$601,445,Sync!$C$5)&amp;"","")&lt;&gt;"",OR(LEFT(IFERROR(INDEX(Clay_Offices!$A$2:$FZ$601,445,Sync!$C$5)&amp;"",""),6)&lt;&gt;"SAMPLE",Config!$B$19="Y")),IFERROR(N(INDEX(Clay_Offices!$A$2:$FZ$601,445,Sync!$C$12)),0),"")</f>
        <v/>
      </c>
      <c r="C2696" s="23" t="str">
        <f aca="false">IF(B2696="","","office")</f>
        <v/>
      </c>
      <c r="D2696" s="23" t="str">
        <f aca="false">IF(B2696="","",IFERROR(INDEX(Office_Log!$ED$2:$ED$201,MATCH(IFERROR(INDEX(Clay_Offices!$A$2:$FZ$601,445,Sync!$C$5)&amp;"",""),Office_Log!$A$2:$A$201,0))&amp;"",IFERROR(INDEX(Clay_Offices!$A$2:$FZ$601,445,Sync!$C$5)&amp;"","")&amp;""))</f>
        <v/>
      </c>
      <c r="E2696" s="23" t="str">
        <f aca="false">IF(B2696="","",IFERROR(INDEX(Clay_Offices!$A$2:$FZ$601,445,Sync!$C$6)&amp;"",""))</f>
        <v/>
      </c>
      <c r="F2696" s="23" t="str">
        <f aca="false">IF(B2696="","","outreach_sent")</f>
        <v/>
      </c>
      <c r="G2696" s="23" t="str">
        <f aca="false">IF(B2696="","","")</f>
        <v/>
      </c>
      <c r="H2696" s="23" t="str">
        <f aca="false">IF(B2696="","","")</f>
        <v/>
      </c>
      <c r="I2696" s="23" t="str">
        <f aca="false">IF(B2696="","","")</f>
        <v/>
      </c>
      <c r="J2696" s="23" t="str">
        <f aca="false">IF(B2696="","","touch_2; "&amp;IFERROR(INDEX(Clay_Offices!$A$2:$FZ$601,445,Sync!$C$10)&amp;"","")&amp;"; "&amp;IFERROR(INDEX(Clay_Offices!$A$2:$FZ$601,445,Sync!$C$9)&amp;"",""))</f>
        <v/>
      </c>
      <c r="K2696" s="32" t="s">
        <v>1364</v>
      </c>
    </row>
    <row r="2697" customFormat="false" ht="15" hidden="false" customHeight="false" outlineLevel="0" collapsed="false">
      <c r="A2697" s="23" t="str">
        <f aca="false">IF(B2697="","",B2697+(13*1000+446)/10000000)</f>
        <v/>
      </c>
      <c r="B2697" s="35" t="str">
        <f aca="false">IF(AND(IFERROR(N(INDEX(Clay_Offices!$A$2:$FZ$601,446,Sync!$C$12)),0)&gt;0,IFERROR(INDEX(Clay_Offices!$A$2:$FZ$601,446,Sync!$C$5)&amp;"","")&lt;&gt;"",OR(LEFT(IFERROR(INDEX(Clay_Offices!$A$2:$FZ$601,446,Sync!$C$5)&amp;"",""),6)&lt;&gt;"SAMPLE",Config!$B$19="Y")),IFERROR(N(INDEX(Clay_Offices!$A$2:$FZ$601,446,Sync!$C$12)),0),"")</f>
        <v/>
      </c>
      <c r="C2697" s="23" t="str">
        <f aca="false">IF(B2697="","","office")</f>
        <v/>
      </c>
      <c r="D2697" s="23" t="str">
        <f aca="false">IF(B2697="","",IFERROR(INDEX(Office_Log!$ED$2:$ED$201,MATCH(IFERROR(INDEX(Clay_Offices!$A$2:$FZ$601,446,Sync!$C$5)&amp;"",""),Office_Log!$A$2:$A$201,0))&amp;"",IFERROR(INDEX(Clay_Offices!$A$2:$FZ$601,446,Sync!$C$5)&amp;"","")&amp;""))</f>
        <v/>
      </c>
      <c r="E2697" s="23" t="str">
        <f aca="false">IF(B2697="","",IFERROR(INDEX(Clay_Offices!$A$2:$FZ$601,446,Sync!$C$6)&amp;"",""))</f>
        <v/>
      </c>
      <c r="F2697" s="23" t="str">
        <f aca="false">IF(B2697="","","outreach_sent")</f>
        <v/>
      </c>
      <c r="G2697" s="23" t="str">
        <f aca="false">IF(B2697="","","")</f>
        <v/>
      </c>
      <c r="H2697" s="23" t="str">
        <f aca="false">IF(B2697="","","")</f>
        <v/>
      </c>
      <c r="I2697" s="23" t="str">
        <f aca="false">IF(B2697="","","")</f>
        <v/>
      </c>
      <c r="J2697" s="23" t="str">
        <f aca="false">IF(B2697="","","touch_2; "&amp;IFERROR(INDEX(Clay_Offices!$A$2:$FZ$601,446,Sync!$C$10)&amp;"","")&amp;"; "&amp;IFERROR(INDEX(Clay_Offices!$A$2:$FZ$601,446,Sync!$C$9)&amp;"",""))</f>
        <v/>
      </c>
      <c r="K2697" s="32" t="s">
        <v>1364</v>
      </c>
    </row>
    <row r="2698" customFormat="false" ht="15" hidden="false" customHeight="false" outlineLevel="0" collapsed="false">
      <c r="A2698" s="23" t="str">
        <f aca="false">IF(B2698="","",B2698+(13*1000+447)/10000000)</f>
        <v/>
      </c>
      <c r="B2698" s="35" t="str">
        <f aca="false">IF(AND(IFERROR(N(INDEX(Clay_Offices!$A$2:$FZ$601,447,Sync!$C$12)),0)&gt;0,IFERROR(INDEX(Clay_Offices!$A$2:$FZ$601,447,Sync!$C$5)&amp;"","")&lt;&gt;"",OR(LEFT(IFERROR(INDEX(Clay_Offices!$A$2:$FZ$601,447,Sync!$C$5)&amp;"",""),6)&lt;&gt;"SAMPLE",Config!$B$19="Y")),IFERROR(N(INDEX(Clay_Offices!$A$2:$FZ$601,447,Sync!$C$12)),0),"")</f>
        <v/>
      </c>
      <c r="C2698" s="23" t="str">
        <f aca="false">IF(B2698="","","office")</f>
        <v/>
      </c>
      <c r="D2698" s="23" t="str">
        <f aca="false">IF(B2698="","",IFERROR(INDEX(Office_Log!$ED$2:$ED$201,MATCH(IFERROR(INDEX(Clay_Offices!$A$2:$FZ$601,447,Sync!$C$5)&amp;"",""),Office_Log!$A$2:$A$201,0))&amp;"",IFERROR(INDEX(Clay_Offices!$A$2:$FZ$601,447,Sync!$C$5)&amp;"","")&amp;""))</f>
        <v/>
      </c>
      <c r="E2698" s="23" t="str">
        <f aca="false">IF(B2698="","",IFERROR(INDEX(Clay_Offices!$A$2:$FZ$601,447,Sync!$C$6)&amp;"",""))</f>
        <v/>
      </c>
      <c r="F2698" s="23" t="str">
        <f aca="false">IF(B2698="","","outreach_sent")</f>
        <v/>
      </c>
      <c r="G2698" s="23" t="str">
        <f aca="false">IF(B2698="","","")</f>
        <v/>
      </c>
      <c r="H2698" s="23" t="str">
        <f aca="false">IF(B2698="","","")</f>
        <v/>
      </c>
      <c r="I2698" s="23" t="str">
        <f aca="false">IF(B2698="","","")</f>
        <v/>
      </c>
      <c r="J2698" s="23" t="str">
        <f aca="false">IF(B2698="","","touch_2; "&amp;IFERROR(INDEX(Clay_Offices!$A$2:$FZ$601,447,Sync!$C$10)&amp;"","")&amp;"; "&amp;IFERROR(INDEX(Clay_Offices!$A$2:$FZ$601,447,Sync!$C$9)&amp;"",""))</f>
        <v/>
      </c>
      <c r="K2698" s="32" t="s">
        <v>1364</v>
      </c>
    </row>
    <row r="2699" customFormat="false" ht="15" hidden="false" customHeight="false" outlineLevel="0" collapsed="false">
      <c r="A2699" s="23" t="str">
        <f aca="false">IF(B2699="","",B2699+(13*1000+448)/10000000)</f>
        <v/>
      </c>
      <c r="B2699" s="35" t="str">
        <f aca="false">IF(AND(IFERROR(N(INDEX(Clay_Offices!$A$2:$FZ$601,448,Sync!$C$12)),0)&gt;0,IFERROR(INDEX(Clay_Offices!$A$2:$FZ$601,448,Sync!$C$5)&amp;"","")&lt;&gt;"",OR(LEFT(IFERROR(INDEX(Clay_Offices!$A$2:$FZ$601,448,Sync!$C$5)&amp;"",""),6)&lt;&gt;"SAMPLE",Config!$B$19="Y")),IFERROR(N(INDEX(Clay_Offices!$A$2:$FZ$601,448,Sync!$C$12)),0),"")</f>
        <v/>
      </c>
      <c r="C2699" s="23" t="str">
        <f aca="false">IF(B2699="","","office")</f>
        <v/>
      </c>
      <c r="D2699" s="23" t="str">
        <f aca="false">IF(B2699="","",IFERROR(INDEX(Office_Log!$ED$2:$ED$201,MATCH(IFERROR(INDEX(Clay_Offices!$A$2:$FZ$601,448,Sync!$C$5)&amp;"",""),Office_Log!$A$2:$A$201,0))&amp;"",IFERROR(INDEX(Clay_Offices!$A$2:$FZ$601,448,Sync!$C$5)&amp;"","")&amp;""))</f>
        <v/>
      </c>
      <c r="E2699" s="23" t="str">
        <f aca="false">IF(B2699="","",IFERROR(INDEX(Clay_Offices!$A$2:$FZ$601,448,Sync!$C$6)&amp;"",""))</f>
        <v/>
      </c>
      <c r="F2699" s="23" t="str">
        <f aca="false">IF(B2699="","","outreach_sent")</f>
        <v/>
      </c>
      <c r="G2699" s="23" t="str">
        <f aca="false">IF(B2699="","","")</f>
        <v/>
      </c>
      <c r="H2699" s="23" t="str">
        <f aca="false">IF(B2699="","","")</f>
        <v/>
      </c>
      <c r="I2699" s="23" t="str">
        <f aca="false">IF(B2699="","","")</f>
        <v/>
      </c>
      <c r="J2699" s="23" t="str">
        <f aca="false">IF(B2699="","","touch_2; "&amp;IFERROR(INDEX(Clay_Offices!$A$2:$FZ$601,448,Sync!$C$10)&amp;"","")&amp;"; "&amp;IFERROR(INDEX(Clay_Offices!$A$2:$FZ$601,448,Sync!$C$9)&amp;"",""))</f>
        <v/>
      </c>
      <c r="K2699" s="32" t="s">
        <v>1364</v>
      </c>
    </row>
    <row r="2700" customFormat="false" ht="15" hidden="false" customHeight="false" outlineLevel="0" collapsed="false">
      <c r="A2700" s="23" t="str">
        <f aca="false">IF(B2700="","",B2700+(13*1000+449)/10000000)</f>
        <v/>
      </c>
      <c r="B2700" s="35" t="str">
        <f aca="false">IF(AND(IFERROR(N(INDEX(Clay_Offices!$A$2:$FZ$601,449,Sync!$C$12)),0)&gt;0,IFERROR(INDEX(Clay_Offices!$A$2:$FZ$601,449,Sync!$C$5)&amp;"","")&lt;&gt;"",OR(LEFT(IFERROR(INDEX(Clay_Offices!$A$2:$FZ$601,449,Sync!$C$5)&amp;"",""),6)&lt;&gt;"SAMPLE",Config!$B$19="Y")),IFERROR(N(INDEX(Clay_Offices!$A$2:$FZ$601,449,Sync!$C$12)),0),"")</f>
        <v/>
      </c>
      <c r="C2700" s="23" t="str">
        <f aca="false">IF(B2700="","","office")</f>
        <v/>
      </c>
      <c r="D2700" s="23" t="str">
        <f aca="false">IF(B2700="","",IFERROR(INDEX(Office_Log!$ED$2:$ED$201,MATCH(IFERROR(INDEX(Clay_Offices!$A$2:$FZ$601,449,Sync!$C$5)&amp;"",""),Office_Log!$A$2:$A$201,0))&amp;"",IFERROR(INDEX(Clay_Offices!$A$2:$FZ$601,449,Sync!$C$5)&amp;"","")&amp;""))</f>
        <v/>
      </c>
      <c r="E2700" s="23" t="str">
        <f aca="false">IF(B2700="","",IFERROR(INDEX(Clay_Offices!$A$2:$FZ$601,449,Sync!$C$6)&amp;"",""))</f>
        <v/>
      </c>
      <c r="F2700" s="23" t="str">
        <f aca="false">IF(B2700="","","outreach_sent")</f>
        <v/>
      </c>
      <c r="G2700" s="23" t="str">
        <f aca="false">IF(B2700="","","")</f>
        <v/>
      </c>
      <c r="H2700" s="23" t="str">
        <f aca="false">IF(B2700="","","")</f>
        <v/>
      </c>
      <c r="I2700" s="23" t="str">
        <f aca="false">IF(B2700="","","")</f>
        <v/>
      </c>
      <c r="J2700" s="23" t="str">
        <f aca="false">IF(B2700="","","touch_2; "&amp;IFERROR(INDEX(Clay_Offices!$A$2:$FZ$601,449,Sync!$C$10)&amp;"","")&amp;"; "&amp;IFERROR(INDEX(Clay_Offices!$A$2:$FZ$601,449,Sync!$C$9)&amp;"",""))</f>
        <v/>
      </c>
      <c r="K2700" s="32" t="s">
        <v>1364</v>
      </c>
    </row>
    <row r="2701" customFormat="false" ht="15" hidden="false" customHeight="false" outlineLevel="0" collapsed="false">
      <c r="A2701" s="23" t="str">
        <f aca="false">IF(B2701="","",B2701+(13*1000+450)/10000000)</f>
        <v/>
      </c>
      <c r="B2701" s="35" t="str">
        <f aca="false">IF(AND(IFERROR(N(INDEX(Clay_Offices!$A$2:$FZ$601,450,Sync!$C$12)),0)&gt;0,IFERROR(INDEX(Clay_Offices!$A$2:$FZ$601,450,Sync!$C$5)&amp;"","")&lt;&gt;"",OR(LEFT(IFERROR(INDEX(Clay_Offices!$A$2:$FZ$601,450,Sync!$C$5)&amp;"",""),6)&lt;&gt;"SAMPLE",Config!$B$19="Y")),IFERROR(N(INDEX(Clay_Offices!$A$2:$FZ$601,450,Sync!$C$12)),0),"")</f>
        <v/>
      </c>
      <c r="C2701" s="23" t="str">
        <f aca="false">IF(B2701="","","office")</f>
        <v/>
      </c>
      <c r="D2701" s="23" t="str">
        <f aca="false">IF(B2701="","",IFERROR(INDEX(Office_Log!$ED$2:$ED$201,MATCH(IFERROR(INDEX(Clay_Offices!$A$2:$FZ$601,450,Sync!$C$5)&amp;"",""),Office_Log!$A$2:$A$201,0))&amp;"",IFERROR(INDEX(Clay_Offices!$A$2:$FZ$601,450,Sync!$C$5)&amp;"","")&amp;""))</f>
        <v/>
      </c>
      <c r="E2701" s="23" t="str">
        <f aca="false">IF(B2701="","",IFERROR(INDEX(Clay_Offices!$A$2:$FZ$601,450,Sync!$C$6)&amp;"",""))</f>
        <v/>
      </c>
      <c r="F2701" s="23" t="str">
        <f aca="false">IF(B2701="","","outreach_sent")</f>
        <v/>
      </c>
      <c r="G2701" s="23" t="str">
        <f aca="false">IF(B2701="","","")</f>
        <v/>
      </c>
      <c r="H2701" s="23" t="str">
        <f aca="false">IF(B2701="","","")</f>
        <v/>
      </c>
      <c r="I2701" s="23" t="str">
        <f aca="false">IF(B2701="","","")</f>
        <v/>
      </c>
      <c r="J2701" s="23" t="str">
        <f aca="false">IF(B2701="","","touch_2; "&amp;IFERROR(INDEX(Clay_Offices!$A$2:$FZ$601,450,Sync!$C$10)&amp;"","")&amp;"; "&amp;IFERROR(INDEX(Clay_Offices!$A$2:$FZ$601,450,Sync!$C$9)&amp;"",""))</f>
        <v/>
      </c>
      <c r="K2701" s="32" t="s">
        <v>1364</v>
      </c>
    </row>
    <row r="2702" customFormat="false" ht="15" hidden="false" customHeight="false" outlineLevel="0" collapsed="false">
      <c r="A2702" s="23" t="str">
        <f aca="false">IF(B2702="","",B2702+(13*1000+451)/10000000)</f>
        <v/>
      </c>
      <c r="B2702" s="35" t="str">
        <f aca="false">IF(AND(IFERROR(N(INDEX(Clay_Offices!$A$2:$FZ$601,451,Sync!$C$12)),0)&gt;0,IFERROR(INDEX(Clay_Offices!$A$2:$FZ$601,451,Sync!$C$5)&amp;"","")&lt;&gt;"",OR(LEFT(IFERROR(INDEX(Clay_Offices!$A$2:$FZ$601,451,Sync!$C$5)&amp;"",""),6)&lt;&gt;"SAMPLE",Config!$B$19="Y")),IFERROR(N(INDEX(Clay_Offices!$A$2:$FZ$601,451,Sync!$C$12)),0),"")</f>
        <v/>
      </c>
      <c r="C2702" s="23" t="str">
        <f aca="false">IF(B2702="","","office")</f>
        <v/>
      </c>
      <c r="D2702" s="23" t="str">
        <f aca="false">IF(B2702="","",IFERROR(INDEX(Office_Log!$ED$2:$ED$201,MATCH(IFERROR(INDEX(Clay_Offices!$A$2:$FZ$601,451,Sync!$C$5)&amp;"",""),Office_Log!$A$2:$A$201,0))&amp;"",IFERROR(INDEX(Clay_Offices!$A$2:$FZ$601,451,Sync!$C$5)&amp;"","")&amp;""))</f>
        <v/>
      </c>
      <c r="E2702" s="23" t="str">
        <f aca="false">IF(B2702="","",IFERROR(INDEX(Clay_Offices!$A$2:$FZ$601,451,Sync!$C$6)&amp;"",""))</f>
        <v/>
      </c>
      <c r="F2702" s="23" t="str">
        <f aca="false">IF(B2702="","","outreach_sent")</f>
        <v/>
      </c>
      <c r="G2702" s="23" t="str">
        <f aca="false">IF(B2702="","","")</f>
        <v/>
      </c>
      <c r="H2702" s="23" t="str">
        <f aca="false">IF(B2702="","","")</f>
        <v/>
      </c>
      <c r="I2702" s="23" t="str">
        <f aca="false">IF(B2702="","","")</f>
        <v/>
      </c>
      <c r="J2702" s="23" t="str">
        <f aca="false">IF(B2702="","","touch_2; "&amp;IFERROR(INDEX(Clay_Offices!$A$2:$FZ$601,451,Sync!$C$10)&amp;"","")&amp;"; "&amp;IFERROR(INDEX(Clay_Offices!$A$2:$FZ$601,451,Sync!$C$9)&amp;"",""))</f>
        <v/>
      </c>
      <c r="K2702" s="32" t="s">
        <v>1364</v>
      </c>
    </row>
    <row r="2703" customFormat="false" ht="15" hidden="false" customHeight="false" outlineLevel="0" collapsed="false">
      <c r="A2703" s="23" t="str">
        <f aca="false">IF(B2703="","",B2703+(13*1000+452)/10000000)</f>
        <v/>
      </c>
      <c r="B2703" s="35" t="str">
        <f aca="false">IF(AND(IFERROR(N(INDEX(Clay_Offices!$A$2:$FZ$601,452,Sync!$C$12)),0)&gt;0,IFERROR(INDEX(Clay_Offices!$A$2:$FZ$601,452,Sync!$C$5)&amp;"","")&lt;&gt;"",OR(LEFT(IFERROR(INDEX(Clay_Offices!$A$2:$FZ$601,452,Sync!$C$5)&amp;"",""),6)&lt;&gt;"SAMPLE",Config!$B$19="Y")),IFERROR(N(INDEX(Clay_Offices!$A$2:$FZ$601,452,Sync!$C$12)),0),"")</f>
        <v/>
      </c>
      <c r="C2703" s="23" t="str">
        <f aca="false">IF(B2703="","","office")</f>
        <v/>
      </c>
      <c r="D2703" s="23" t="str">
        <f aca="false">IF(B2703="","",IFERROR(INDEX(Office_Log!$ED$2:$ED$201,MATCH(IFERROR(INDEX(Clay_Offices!$A$2:$FZ$601,452,Sync!$C$5)&amp;"",""),Office_Log!$A$2:$A$201,0))&amp;"",IFERROR(INDEX(Clay_Offices!$A$2:$FZ$601,452,Sync!$C$5)&amp;"","")&amp;""))</f>
        <v/>
      </c>
      <c r="E2703" s="23" t="str">
        <f aca="false">IF(B2703="","",IFERROR(INDEX(Clay_Offices!$A$2:$FZ$601,452,Sync!$C$6)&amp;"",""))</f>
        <v/>
      </c>
      <c r="F2703" s="23" t="str">
        <f aca="false">IF(B2703="","","outreach_sent")</f>
        <v/>
      </c>
      <c r="G2703" s="23" t="str">
        <f aca="false">IF(B2703="","","")</f>
        <v/>
      </c>
      <c r="H2703" s="23" t="str">
        <f aca="false">IF(B2703="","","")</f>
        <v/>
      </c>
      <c r="I2703" s="23" t="str">
        <f aca="false">IF(B2703="","","")</f>
        <v/>
      </c>
      <c r="J2703" s="23" t="str">
        <f aca="false">IF(B2703="","","touch_2; "&amp;IFERROR(INDEX(Clay_Offices!$A$2:$FZ$601,452,Sync!$C$10)&amp;"","")&amp;"; "&amp;IFERROR(INDEX(Clay_Offices!$A$2:$FZ$601,452,Sync!$C$9)&amp;"",""))</f>
        <v/>
      </c>
      <c r="K2703" s="32" t="s">
        <v>1364</v>
      </c>
    </row>
    <row r="2704" customFormat="false" ht="15" hidden="false" customHeight="false" outlineLevel="0" collapsed="false">
      <c r="A2704" s="23" t="str">
        <f aca="false">IF(B2704="","",B2704+(13*1000+453)/10000000)</f>
        <v/>
      </c>
      <c r="B2704" s="35" t="str">
        <f aca="false">IF(AND(IFERROR(N(INDEX(Clay_Offices!$A$2:$FZ$601,453,Sync!$C$12)),0)&gt;0,IFERROR(INDEX(Clay_Offices!$A$2:$FZ$601,453,Sync!$C$5)&amp;"","")&lt;&gt;"",OR(LEFT(IFERROR(INDEX(Clay_Offices!$A$2:$FZ$601,453,Sync!$C$5)&amp;"",""),6)&lt;&gt;"SAMPLE",Config!$B$19="Y")),IFERROR(N(INDEX(Clay_Offices!$A$2:$FZ$601,453,Sync!$C$12)),0),"")</f>
        <v/>
      </c>
      <c r="C2704" s="23" t="str">
        <f aca="false">IF(B2704="","","office")</f>
        <v/>
      </c>
      <c r="D2704" s="23" t="str">
        <f aca="false">IF(B2704="","",IFERROR(INDEX(Office_Log!$ED$2:$ED$201,MATCH(IFERROR(INDEX(Clay_Offices!$A$2:$FZ$601,453,Sync!$C$5)&amp;"",""),Office_Log!$A$2:$A$201,0))&amp;"",IFERROR(INDEX(Clay_Offices!$A$2:$FZ$601,453,Sync!$C$5)&amp;"","")&amp;""))</f>
        <v/>
      </c>
      <c r="E2704" s="23" t="str">
        <f aca="false">IF(B2704="","",IFERROR(INDEX(Clay_Offices!$A$2:$FZ$601,453,Sync!$C$6)&amp;"",""))</f>
        <v/>
      </c>
      <c r="F2704" s="23" t="str">
        <f aca="false">IF(B2704="","","outreach_sent")</f>
        <v/>
      </c>
      <c r="G2704" s="23" t="str">
        <f aca="false">IF(B2704="","","")</f>
        <v/>
      </c>
      <c r="H2704" s="23" t="str">
        <f aca="false">IF(B2704="","","")</f>
        <v/>
      </c>
      <c r="I2704" s="23" t="str">
        <f aca="false">IF(B2704="","","")</f>
        <v/>
      </c>
      <c r="J2704" s="23" t="str">
        <f aca="false">IF(B2704="","","touch_2; "&amp;IFERROR(INDEX(Clay_Offices!$A$2:$FZ$601,453,Sync!$C$10)&amp;"","")&amp;"; "&amp;IFERROR(INDEX(Clay_Offices!$A$2:$FZ$601,453,Sync!$C$9)&amp;"",""))</f>
        <v/>
      </c>
      <c r="K2704" s="32" t="s">
        <v>1364</v>
      </c>
    </row>
    <row r="2705" customFormat="false" ht="15" hidden="false" customHeight="false" outlineLevel="0" collapsed="false">
      <c r="A2705" s="23" t="str">
        <f aca="false">IF(B2705="","",B2705+(13*1000+454)/10000000)</f>
        <v/>
      </c>
      <c r="B2705" s="35" t="str">
        <f aca="false">IF(AND(IFERROR(N(INDEX(Clay_Offices!$A$2:$FZ$601,454,Sync!$C$12)),0)&gt;0,IFERROR(INDEX(Clay_Offices!$A$2:$FZ$601,454,Sync!$C$5)&amp;"","")&lt;&gt;"",OR(LEFT(IFERROR(INDEX(Clay_Offices!$A$2:$FZ$601,454,Sync!$C$5)&amp;"",""),6)&lt;&gt;"SAMPLE",Config!$B$19="Y")),IFERROR(N(INDEX(Clay_Offices!$A$2:$FZ$601,454,Sync!$C$12)),0),"")</f>
        <v/>
      </c>
      <c r="C2705" s="23" t="str">
        <f aca="false">IF(B2705="","","office")</f>
        <v/>
      </c>
      <c r="D2705" s="23" t="str">
        <f aca="false">IF(B2705="","",IFERROR(INDEX(Office_Log!$ED$2:$ED$201,MATCH(IFERROR(INDEX(Clay_Offices!$A$2:$FZ$601,454,Sync!$C$5)&amp;"",""),Office_Log!$A$2:$A$201,0))&amp;"",IFERROR(INDEX(Clay_Offices!$A$2:$FZ$601,454,Sync!$C$5)&amp;"","")&amp;""))</f>
        <v/>
      </c>
      <c r="E2705" s="23" t="str">
        <f aca="false">IF(B2705="","",IFERROR(INDEX(Clay_Offices!$A$2:$FZ$601,454,Sync!$C$6)&amp;"",""))</f>
        <v/>
      </c>
      <c r="F2705" s="23" t="str">
        <f aca="false">IF(B2705="","","outreach_sent")</f>
        <v/>
      </c>
      <c r="G2705" s="23" t="str">
        <f aca="false">IF(B2705="","","")</f>
        <v/>
      </c>
      <c r="H2705" s="23" t="str">
        <f aca="false">IF(B2705="","","")</f>
        <v/>
      </c>
      <c r="I2705" s="23" t="str">
        <f aca="false">IF(B2705="","","")</f>
        <v/>
      </c>
      <c r="J2705" s="23" t="str">
        <f aca="false">IF(B2705="","","touch_2; "&amp;IFERROR(INDEX(Clay_Offices!$A$2:$FZ$601,454,Sync!$C$10)&amp;"","")&amp;"; "&amp;IFERROR(INDEX(Clay_Offices!$A$2:$FZ$601,454,Sync!$C$9)&amp;"",""))</f>
        <v/>
      </c>
      <c r="K2705" s="32" t="s">
        <v>1364</v>
      </c>
    </row>
    <row r="2706" customFormat="false" ht="15" hidden="false" customHeight="false" outlineLevel="0" collapsed="false">
      <c r="A2706" s="23" t="str">
        <f aca="false">IF(B2706="","",B2706+(13*1000+455)/10000000)</f>
        <v/>
      </c>
      <c r="B2706" s="35" t="str">
        <f aca="false">IF(AND(IFERROR(N(INDEX(Clay_Offices!$A$2:$FZ$601,455,Sync!$C$12)),0)&gt;0,IFERROR(INDEX(Clay_Offices!$A$2:$FZ$601,455,Sync!$C$5)&amp;"","")&lt;&gt;"",OR(LEFT(IFERROR(INDEX(Clay_Offices!$A$2:$FZ$601,455,Sync!$C$5)&amp;"",""),6)&lt;&gt;"SAMPLE",Config!$B$19="Y")),IFERROR(N(INDEX(Clay_Offices!$A$2:$FZ$601,455,Sync!$C$12)),0),"")</f>
        <v/>
      </c>
      <c r="C2706" s="23" t="str">
        <f aca="false">IF(B2706="","","office")</f>
        <v/>
      </c>
      <c r="D2706" s="23" t="str">
        <f aca="false">IF(B2706="","",IFERROR(INDEX(Office_Log!$ED$2:$ED$201,MATCH(IFERROR(INDEX(Clay_Offices!$A$2:$FZ$601,455,Sync!$C$5)&amp;"",""),Office_Log!$A$2:$A$201,0))&amp;"",IFERROR(INDEX(Clay_Offices!$A$2:$FZ$601,455,Sync!$C$5)&amp;"","")&amp;""))</f>
        <v/>
      </c>
      <c r="E2706" s="23" t="str">
        <f aca="false">IF(B2706="","",IFERROR(INDEX(Clay_Offices!$A$2:$FZ$601,455,Sync!$C$6)&amp;"",""))</f>
        <v/>
      </c>
      <c r="F2706" s="23" t="str">
        <f aca="false">IF(B2706="","","outreach_sent")</f>
        <v/>
      </c>
      <c r="G2706" s="23" t="str">
        <f aca="false">IF(B2706="","","")</f>
        <v/>
      </c>
      <c r="H2706" s="23" t="str">
        <f aca="false">IF(B2706="","","")</f>
        <v/>
      </c>
      <c r="I2706" s="23" t="str">
        <f aca="false">IF(B2706="","","")</f>
        <v/>
      </c>
      <c r="J2706" s="23" t="str">
        <f aca="false">IF(B2706="","","touch_2; "&amp;IFERROR(INDEX(Clay_Offices!$A$2:$FZ$601,455,Sync!$C$10)&amp;"","")&amp;"; "&amp;IFERROR(INDEX(Clay_Offices!$A$2:$FZ$601,455,Sync!$C$9)&amp;"",""))</f>
        <v/>
      </c>
      <c r="K2706" s="32" t="s">
        <v>1364</v>
      </c>
    </row>
    <row r="2707" customFormat="false" ht="15" hidden="false" customHeight="false" outlineLevel="0" collapsed="false">
      <c r="A2707" s="23" t="str">
        <f aca="false">IF(B2707="","",B2707+(13*1000+456)/10000000)</f>
        <v/>
      </c>
      <c r="B2707" s="35" t="str">
        <f aca="false">IF(AND(IFERROR(N(INDEX(Clay_Offices!$A$2:$FZ$601,456,Sync!$C$12)),0)&gt;0,IFERROR(INDEX(Clay_Offices!$A$2:$FZ$601,456,Sync!$C$5)&amp;"","")&lt;&gt;"",OR(LEFT(IFERROR(INDEX(Clay_Offices!$A$2:$FZ$601,456,Sync!$C$5)&amp;"",""),6)&lt;&gt;"SAMPLE",Config!$B$19="Y")),IFERROR(N(INDEX(Clay_Offices!$A$2:$FZ$601,456,Sync!$C$12)),0),"")</f>
        <v/>
      </c>
      <c r="C2707" s="23" t="str">
        <f aca="false">IF(B2707="","","office")</f>
        <v/>
      </c>
      <c r="D2707" s="23" t="str">
        <f aca="false">IF(B2707="","",IFERROR(INDEX(Office_Log!$ED$2:$ED$201,MATCH(IFERROR(INDEX(Clay_Offices!$A$2:$FZ$601,456,Sync!$C$5)&amp;"",""),Office_Log!$A$2:$A$201,0))&amp;"",IFERROR(INDEX(Clay_Offices!$A$2:$FZ$601,456,Sync!$C$5)&amp;"","")&amp;""))</f>
        <v/>
      </c>
      <c r="E2707" s="23" t="str">
        <f aca="false">IF(B2707="","",IFERROR(INDEX(Clay_Offices!$A$2:$FZ$601,456,Sync!$C$6)&amp;"",""))</f>
        <v/>
      </c>
      <c r="F2707" s="23" t="str">
        <f aca="false">IF(B2707="","","outreach_sent")</f>
        <v/>
      </c>
      <c r="G2707" s="23" t="str">
        <f aca="false">IF(B2707="","","")</f>
        <v/>
      </c>
      <c r="H2707" s="23" t="str">
        <f aca="false">IF(B2707="","","")</f>
        <v/>
      </c>
      <c r="I2707" s="23" t="str">
        <f aca="false">IF(B2707="","","")</f>
        <v/>
      </c>
      <c r="J2707" s="23" t="str">
        <f aca="false">IF(B2707="","","touch_2; "&amp;IFERROR(INDEX(Clay_Offices!$A$2:$FZ$601,456,Sync!$C$10)&amp;"","")&amp;"; "&amp;IFERROR(INDEX(Clay_Offices!$A$2:$FZ$601,456,Sync!$C$9)&amp;"",""))</f>
        <v/>
      </c>
      <c r="K2707" s="32" t="s">
        <v>1364</v>
      </c>
    </row>
    <row r="2708" customFormat="false" ht="15" hidden="false" customHeight="false" outlineLevel="0" collapsed="false">
      <c r="A2708" s="23" t="str">
        <f aca="false">IF(B2708="","",B2708+(13*1000+457)/10000000)</f>
        <v/>
      </c>
      <c r="B2708" s="35" t="str">
        <f aca="false">IF(AND(IFERROR(N(INDEX(Clay_Offices!$A$2:$FZ$601,457,Sync!$C$12)),0)&gt;0,IFERROR(INDEX(Clay_Offices!$A$2:$FZ$601,457,Sync!$C$5)&amp;"","")&lt;&gt;"",OR(LEFT(IFERROR(INDEX(Clay_Offices!$A$2:$FZ$601,457,Sync!$C$5)&amp;"",""),6)&lt;&gt;"SAMPLE",Config!$B$19="Y")),IFERROR(N(INDEX(Clay_Offices!$A$2:$FZ$601,457,Sync!$C$12)),0),"")</f>
        <v/>
      </c>
      <c r="C2708" s="23" t="str">
        <f aca="false">IF(B2708="","","office")</f>
        <v/>
      </c>
      <c r="D2708" s="23" t="str">
        <f aca="false">IF(B2708="","",IFERROR(INDEX(Office_Log!$ED$2:$ED$201,MATCH(IFERROR(INDEX(Clay_Offices!$A$2:$FZ$601,457,Sync!$C$5)&amp;"",""),Office_Log!$A$2:$A$201,0))&amp;"",IFERROR(INDEX(Clay_Offices!$A$2:$FZ$601,457,Sync!$C$5)&amp;"","")&amp;""))</f>
        <v/>
      </c>
      <c r="E2708" s="23" t="str">
        <f aca="false">IF(B2708="","",IFERROR(INDEX(Clay_Offices!$A$2:$FZ$601,457,Sync!$C$6)&amp;"",""))</f>
        <v/>
      </c>
      <c r="F2708" s="23" t="str">
        <f aca="false">IF(B2708="","","outreach_sent")</f>
        <v/>
      </c>
      <c r="G2708" s="23" t="str">
        <f aca="false">IF(B2708="","","")</f>
        <v/>
      </c>
      <c r="H2708" s="23" t="str">
        <f aca="false">IF(B2708="","","")</f>
        <v/>
      </c>
      <c r="I2708" s="23" t="str">
        <f aca="false">IF(B2708="","","")</f>
        <v/>
      </c>
      <c r="J2708" s="23" t="str">
        <f aca="false">IF(B2708="","","touch_2; "&amp;IFERROR(INDEX(Clay_Offices!$A$2:$FZ$601,457,Sync!$C$10)&amp;"","")&amp;"; "&amp;IFERROR(INDEX(Clay_Offices!$A$2:$FZ$601,457,Sync!$C$9)&amp;"",""))</f>
        <v/>
      </c>
      <c r="K2708" s="32" t="s">
        <v>1364</v>
      </c>
    </row>
    <row r="2709" customFormat="false" ht="15" hidden="false" customHeight="false" outlineLevel="0" collapsed="false">
      <c r="A2709" s="23" t="str">
        <f aca="false">IF(B2709="","",B2709+(13*1000+458)/10000000)</f>
        <v/>
      </c>
      <c r="B2709" s="35" t="str">
        <f aca="false">IF(AND(IFERROR(N(INDEX(Clay_Offices!$A$2:$FZ$601,458,Sync!$C$12)),0)&gt;0,IFERROR(INDEX(Clay_Offices!$A$2:$FZ$601,458,Sync!$C$5)&amp;"","")&lt;&gt;"",OR(LEFT(IFERROR(INDEX(Clay_Offices!$A$2:$FZ$601,458,Sync!$C$5)&amp;"",""),6)&lt;&gt;"SAMPLE",Config!$B$19="Y")),IFERROR(N(INDEX(Clay_Offices!$A$2:$FZ$601,458,Sync!$C$12)),0),"")</f>
        <v/>
      </c>
      <c r="C2709" s="23" t="str">
        <f aca="false">IF(B2709="","","office")</f>
        <v/>
      </c>
      <c r="D2709" s="23" t="str">
        <f aca="false">IF(B2709="","",IFERROR(INDEX(Office_Log!$ED$2:$ED$201,MATCH(IFERROR(INDEX(Clay_Offices!$A$2:$FZ$601,458,Sync!$C$5)&amp;"",""),Office_Log!$A$2:$A$201,0))&amp;"",IFERROR(INDEX(Clay_Offices!$A$2:$FZ$601,458,Sync!$C$5)&amp;"","")&amp;""))</f>
        <v/>
      </c>
      <c r="E2709" s="23" t="str">
        <f aca="false">IF(B2709="","",IFERROR(INDEX(Clay_Offices!$A$2:$FZ$601,458,Sync!$C$6)&amp;"",""))</f>
        <v/>
      </c>
      <c r="F2709" s="23" t="str">
        <f aca="false">IF(B2709="","","outreach_sent")</f>
        <v/>
      </c>
      <c r="G2709" s="23" t="str">
        <f aca="false">IF(B2709="","","")</f>
        <v/>
      </c>
      <c r="H2709" s="23" t="str">
        <f aca="false">IF(B2709="","","")</f>
        <v/>
      </c>
      <c r="I2709" s="23" t="str">
        <f aca="false">IF(B2709="","","")</f>
        <v/>
      </c>
      <c r="J2709" s="23" t="str">
        <f aca="false">IF(B2709="","","touch_2; "&amp;IFERROR(INDEX(Clay_Offices!$A$2:$FZ$601,458,Sync!$C$10)&amp;"","")&amp;"; "&amp;IFERROR(INDEX(Clay_Offices!$A$2:$FZ$601,458,Sync!$C$9)&amp;"",""))</f>
        <v/>
      </c>
      <c r="K2709" s="32" t="s">
        <v>1364</v>
      </c>
    </row>
    <row r="2710" customFormat="false" ht="15" hidden="false" customHeight="false" outlineLevel="0" collapsed="false">
      <c r="A2710" s="23" t="str">
        <f aca="false">IF(B2710="","",B2710+(13*1000+459)/10000000)</f>
        <v/>
      </c>
      <c r="B2710" s="35" t="str">
        <f aca="false">IF(AND(IFERROR(N(INDEX(Clay_Offices!$A$2:$FZ$601,459,Sync!$C$12)),0)&gt;0,IFERROR(INDEX(Clay_Offices!$A$2:$FZ$601,459,Sync!$C$5)&amp;"","")&lt;&gt;"",OR(LEFT(IFERROR(INDEX(Clay_Offices!$A$2:$FZ$601,459,Sync!$C$5)&amp;"",""),6)&lt;&gt;"SAMPLE",Config!$B$19="Y")),IFERROR(N(INDEX(Clay_Offices!$A$2:$FZ$601,459,Sync!$C$12)),0),"")</f>
        <v/>
      </c>
      <c r="C2710" s="23" t="str">
        <f aca="false">IF(B2710="","","office")</f>
        <v/>
      </c>
      <c r="D2710" s="23" t="str">
        <f aca="false">IF(B2710="","",IFERROR(INDEX(Office_Log!$ED$2:$ED$201,MATCH(IFERROR(INDEX(Clay_Offices!$A$2:$FZ$601,459,Sync!$C$5)&amp;"",""),Office_Log!$A$2:$A$201,0))&amp;"",IFERROR(INDEX(Clay_Offices!$A$2:$FZ$601,459,Sync!$C$5)&amp;"","")&amp;""))</f>
        <v/>
      </c>
      <c r="E2710" s="23" t="str">
        <f aca="false">IF(B2710="","",IFERROR(INDEX(Clay_Offices!$A$2:$FZ$601,459,Sync!$C$6)&amp;"",""))</f>
        <v/>
      </c>
      <c r="F2710" s="23" t="str">
        <f aca="false">IF(B2710="","","outreach_sent")</f>
        <v/>
      </c>
      <c r="G2710" s="23" t="str">
        <f aca="false">IF(B2710="","","")</f>
        <v/>
      </c>
      <c r="H2710" s="23" t="str">
        <f aca="false">IF(B2710="","","")</f>
        <v/>
      </c>
      <c r="I2710" s="23" t="str">
        <f aca="false">IF(B2710="","","")</f>
        <v/>
      </c>
      <c r="J2710" s="23" t="str">
        <f aca="false">IF(B2710="","","touch_2; "&amp;IFERROR(INDEX(Clay_Offices!$A$2:$FZ$601,459,Sync!$C$10)&amp;"","")&amp;"; "&amp;IFERROR(INDEX(Clay_Offices!$A$2:$FZ$601,459,Sync!$C$9)&amp;"",""))</f>
        <v/>
      </c>
      <c r="K2710" s="32" t="s">
        <v>1364</v>
      </c>
    </row>
    <row r="2711" customFormat="false" ht="15" hidden="false" customHeight="false" outlineLevel="0" collapsed="false">
      <c r="A2711" s="23" t="str">
        <f aca="false">IF(B2711="","",B2711+(13*1000+460)/10000000)</f>
        <v/>
      </c>
      <c r="B2711" s="35" t="str">
        <f aca="false">IF(AND(IFERROR(N(INDEX(Clay_Offices!$A$2:$FZ$601,460,Sync!$C$12)),0)&gt;0,IFERROR(INDEX(Clay_Offices!$A$2:$FZ$601,460,Sync!$C$5)&amp;"","")&lt;&gt;"",OR(LEFT(IFERROR(INDEX(Clay_Offices!$A$2:$FZ$601,460,Sync!$C$5)&amp;"",""),6)&lt;&gt;"SAMPLE",Config!$B$19="Y")),IFERROR(N(INDEX(Clay_Offices!$A$2:$FZ$601,460,Sync!$C$12)),0),"")</f>
        <v/>
      </c>
      <c r="C2711" s="23" t="str">
        <f aca="false">IF(B2711="","","office")</f>
        <v/>
      </c>
      <c r="D2711" s="23" t="str">
        <f aca="false">IF(B2711="","",IFERROR(INDEX(Office_Log!$ED$2:$ED$201,MATCH(IFERROR(INDEX(Clay_Offices!$A$2:$FZ$601,460,Sync!$C$5)&amp;"",""),Office_Log!$A$2:$A$201,0))&amp;"",IFERROR(INDEX(Clay_Offices!$A$2:$FZ$601,460,Sync!$C$5)&amp;"","")&amp;""))</f>
        <v/>
      </c>
      <c r="E2711" s="23" t="str">
        <f aca="false">IF(B2711="","",IFERROR(INDEX(Clay_Offices!$A$2:$FZ$601,460,Sync!$C$6)&amp;"",""))</f>
        <v/>
      </c>
      <c r="F2711" s="23" t="str">
        <f aca="false">IF(B2711="","","outreach_sent")</f>
        <v/>
      </c>
      <c r="G2711" s="23" t="str">
        <f aca="false">IF(B2711="","","")</f>
        <v/>
      </c>
      <c r="H2711" s="23" t="str">
        <f aca="false">IF(B2711="","","")</f>
        <v/>
      </c>
      <c r="I2711" s="23" t="str">
        <f aca="false">IF(B2711="","","")</f>
        <v/>
      </c>
      <c r="J2711" s="23" t="str">
        <f aca="false">IF(B2711="","","touch_2; "&amp;IFERROR(INDEX(Clay_Offices!$A$2:$FZ$601,460,Sync!$C$10)&amp;"","")&amp;"; "&amp;IFERROR(INDEX(Clay_Offices!$A$2:$FZ$601,460,Sync!$C$9)&amp;"",""))</f>
        <v/>
      </c>
      <c r="K2711" s="32" t="s">
        <v>1364</v>
      </c>
    </row>
    <row r="2712" customFormat="false" ht="15" hidden="false" customHeight="false" outlineLevel="0" collapsed="false">
      <c r="A2712" s="23" t="str">
        <f aca="false">IF(B2712="","",B2712+(13*1000+461)/10000000)</f>
        <v/>
      </c>
      <c r="B2712" s="35" t="str">
        <f aca="false">IF(AND(IFERROR(N(INDEX(Clay_Offices!$A$2:$FZ$601,461,Sync!$C$12)),0)&gt;0,IFERROR(INDEX(Clay_Offices!$A$2:$FZ$601,461,Sync!$C$5)&amp;"","")&lt;&gt;"",OR(LEFT(IFERROR(INDEX(Clay_Offices!$A$2:$FZ$601,461,Sync!$C$5)&amp;"",""),6)&lt;&gt;"SAMPLE",Config!$B$19="Y")),IFERROR(N(INDEX(Clay_Offices!$A$2:$FZ$601,461,Sync!$C$12)),0),"")</f>
        <v/>
      </c>
      <c r="C2712" s="23" t="str">
        <f aca="false">IF(B2712="","","office")</f>
        <v/>
      </c>
      <c r="D2712" s="23" t="str">
        <f aca="false">IF(B2712="","",IFERROR(INDEX(Office_Log!$ED$2:$ED$201,MATCH(IFERROR(INDEX(Clay_Offices!$A$2:$FZ$601,461,Sync!$C$5)&amp;"",""),Office_Log!$A$2:$A$201,0))&amp;"",IFERROR(INDEX(Clay_Offices!$A$2:$FZ$601,461,Sync!$C$5)&amp;"","")&amp;""))</f>
        <v/>
      </c>
      <c r="E2712" s="23" t="str">
        <f aca="false">IF(B2712="","",IFERROR(INDEX(Clay_Offices!$A$2:$FZ$601,461,Sync!$C$6)&amp;"",""))</f>
        <v/>
      </c>
      <c r="F2712" s="23" t="str">
        <f aca="false">IF(B2712="","","outreach_sent")</f>
        <v/>
      </c>
      <c r="G2712" s="23" t="str">
        <f aca="false">IF(B2712="","","")</f>
        <v/>
      </c>
      <c r="H2712" s="23" t="str">
        <f aca="false">IF(B2712="","","")</f>
        <v/>
      </c>
      <c r="I2712" s="23" t="str">
        <f aca="false">IF(B2712="","","")</f>
        <v/>
      </c>
      <c r="J2712" s="23" t="str">
        <f aca="false">IF(B2712="","","touch_2; "&amp;IFERROR(INDEX(Clay_Offices!$A$2:$FZ$601,461,Sync!$C$10)&amp;"","")&amp;"; "&amp;IFERROR(INDEX(Clay_Offices!$A$2:$FZ$601,461,Sync!$C$9)&amp;"",""))</f>
        <v/>
      </c>
      <c r="K2712" s="32" t="s">
        <v>1364</v>
      </c>
    </row>
    <row r="2713" customFormat="false" ht="15" hidden="false" customHeight="false" outlineLevel="0" collapsed="false">
      <c r="A2713" s="23" t="str">
        <f aca="false">IF(B2713="","",B2713+(13*1000+462)/10000000)</f>
        <v/>
      </c>
      <c r="B2713" s="35" t="str">
        <f aca="false">IF(AND(IFERROR(N(INDEX(Clay_Offices!$A$2:$FZ$601,462,Sync!$C$12)),0)&gt;0,IFERROR(INDEX(Clay_Offices!$A$2:$FZ$601,462,Sync!$C$5)&amp;"","")&lt;&gt;"",OR(LEFT(IFERROR(INDEX(Clay_Offices!$A$2:$FZ$601,462,Sync!$C$5)&amp;"",""),6)&lt;&gt;"SAMPLE",Config!$B$19="Y")),IFERROR(N(INDEX(Clay_Offices!$A$2:$FZ$601,462,Sync!$C$12)),0),"")</f>
        <v/>
      </c>
      <c r="C2713" s="23" t="str">
        <f aca="false">IF(B2713="","","office")</f>
        <v/>
      </c>
      <c r="D2713" s="23" t="str">
        <f aca="false">IF(B2713="","",IFERROR(INDEX(Office_Log!$ED$2:$ED$201,MATCH(IFERROR(INDEX(Clay_Offices!$A$2:$FZ$601,462,Sync!$C$5)&amp;"",""),Office_Log!$A$2:$A$201,0))&amp;"",IFERROR(INDEX(Clay_Offices!$A$2:$FZ$601,462,Sync!$C$5)&amp;"","")&amp;""))</f>
        <v/>
      </c>
      <c r="E2713" s="23" t="str">
        <f aca="false">IF(B2713="","",IFERROR(INDEX(Clay_Offices!$A$2:$FZ$601,462,Sync!$C$6)&amp;"",""))</f>
        <v/>
      </c>
      <c r="F2713" s="23" t="str">
        <f aca="false">IF(B2713="","","outreach_sent")</f>
        <v/>
      </c>
      <c r="G2713" s="23" t="str">
        <f aca="false">IF(B2713="","","")</f>
        <v/>
      </c>
      <c r="H2713" s="23" t="str">
        <f aca="false">IF(B2713="","","")</f>
        <v/>
      </c>
      <c r="I2713" s="23" t="str">
        <f aca="false">IF(B2713="","","")</f>
        <v/>
      </c>
      <c r="J2713" s="23" t="str">
        <f aca="false">IF(B2713="","","touch_2; "&amp;IFERROR(INDEX(Clay_Offices!$A$2:$FZ$601,462,Sync!$C$10)&amp;"","")&amp;"; "&amp;IFERROR(INDEX(Clay_Offices!$A$2:$FZ$601,462,Sync!$C$9)&amp;"",""))</f>
        <v/>
      </c>
      <c r="K2713" s="32" t="s">
        <v>1364</v>
      </c>
    </row>
    <row r="2714" customFormat="false" ht="15" hidden="false" customHeight="false" outlineLevel="0" collapsed="false">
      <c r="A2714" s="23" t="str">
        <f aca="false">IF(B2714="","",B2714+(13*1000+463)/10000000)</f>
        <v/>
      </c>
      <c r="B2714" s="35" t="str">
        <f aca="false">IF(AND(IFERROR(N(INDEX(Clay_Offices!$A$2:$FZ$601,463,Sync!$C$12)),0)&gt;0,IFERROR(INDEX(Clay_Offices!$A$2:$FZ$601,463,Sync!$C$5)&amp;"","")&lt;&gt;"",OR(LEFT(IFERROR(INDEX(Clay_Offices!$A$2:$FZ$601,463,Sync!$C$5)&amp;"",""),6)&lt;&gt;"SAMPLE",Config!$B$19="Y")),IFERROR(N(INDEX(Clay_Offices!$A$2:$FZ$601,463,Sync!$C$12)),0),"")</f>
        <v/>
      </c>
      <c r="C2714" s="23" t="str">
        <f aca="false">IF(B2714="","","office")</f>
        <v/>
      </c>
      <c r="D2714" s="23" t="str">
        <f aca="false">IF(B2714="","",IFERROR(INDEX(Office_Log!$ED$2:$ED$201,MATCH(IFERROR(INDEX(Clay_Offices!$A$2:$FZ$601,463,Sync!$C$5)&amp;"",""),Office_Log!$A$2:$A$201,0))&amp;"",IFERROR(INDEX(Clay_Offices!$A$2:$FZ$601,463,Sync!$C$5)&amp;"","")&amp;""))</f>
        <v/>
      </c>
      <c r="E2714" s="23" t="str">
        <f aca="false">IF(B2714="","",IFERROR(INDEX(Clay_Offices!$A$2:$FZ$601,463,Sync!$C$6)&amp;"",""))</f>
        <v/>
      </c>
      <c r="F2714" s="23" t="str">
        <f aca="false">IF(B2714="","","outreach_sent")</f>
        <v/>
      </c>
      <c r="G2714" s="23" t="str">
        <f aca="false">IF(B2714="","","")</f>
        <v/>
      </c>
      <c r="H2714" s="23" t="str">
        <f aca="false">IF(B2714="","","")</f>
        <v/>
      </c>
      <c r="I2714" s="23" t="str">
        <f aca="false">IF(B2714="","","")</f>
        <v/>
      </c>
      <c r="J2714" s="23" t="str">
        <f aca="false">IF(B2714="","","touch_2; "&amp;IFERROR(INDEX(Clay_Offices!$A$2:$FZ$601,463,Sync!$C$10)&amp;"","")&amp;"; "&amp;IFERROR(INDEX(Clay_Offices!$A$2:$FZ$601,463,Sync!$C$9)&amp;"",""))</f>
        <v/>
      </c>
      <c r="K2714" s="32" t="s">
        <v>1364</v>
      </c>
    </row>
    <row r="2715" customFormat="false" ht="15" hidden="false" customHeight="false" outlineLevel="0" collapsed="false">
      <c r="A2715" s="23" t="str">
        <f aca="false">IF(B2715="","",B2715+(13*1000+464)/10000000)</f>
        <v/>
      </c>
      <c r="B2715" s="35" t="str">
        <f aca="false">IF(AND(IFERROR(N(INDEX(Clay_Offices!$A$2:$FZ$601,464,Sync!$C$12)),0)&gt;0,IFERROR(INDEX(Clay_Offices!$A$2:$FZ$601,464,Sync!$C$5)&amp;"","")&lt;&gt;"",OR(LEFT(IFERROR(INDEX(Clay_Offices!$A$2:$FZ$601,464,Sync!$C$5)&amp;"",""),6)&lt;&gt;"SAMPLE",Config!$B$19="Y")),IFERROR(N(INDEX(Clay_Offices!$A$2:$FZ$601,464,Sync!$C$12)),0),"")</f>
        <v/>
      </c>
      <c r="C2715" s="23" t="str">
        <f aca="false">IF(B2715="","","office")</f>
        <v/>
      </c>
      <c r="D2715" s="23" t="str">
        <f aca="false">IF(B2715="","",IFERROR(INDEX(Office_Log!$ED$2:$ED$201,MATCH(IFERROR(INDEX(Clay_Offices!$A$2:$FZ$601,464,Sync!$C$5)&amp;"",""),Office_Log!$A$2:$A$201,0))&amp;"",IFERROR(INDEX(Clay_Offices!$A$2:$FZ$601,464,Sync!$C$5)&amp;"","")&amp;""))</f>
        <v/>
      </c>
      <c r="E2715" s="23" t="str">
        <f aca="false">IF(B2715="","",IFERROR(INDEX(Clay_Offices!$A$2:$FZ$601,464,Sync!$C$6)&amp;"",""))</f>
        <v/>
      </c>
      <c r="F2715" s="23" t="str">
        <f aca="false">IF(B2715="","","outreach_sent")</f>
        <v/>
      </c>
      <c r="G2715" s="23" t="str">
        <f aca="false">IF(B2715="","","")</f>
        <v/>
      </c>
      <c r="H2715" s="23" t="str">
        <f aca="false">IF(B2715="","","")</f>
        <v/>
      </c>
      <c r="I2715" s="23" t="str">
        <f aca="false">IF(B2715="","","")</f>
        <v/>
      </c>
      <c r="J2715" s="23" t="str">
        <f aca="false">IF(B2715="","","touch_2; "&amp;IFERROR(INDEX(Clay_Offices!$A$2:$FZ$601,464,Sync!$C$10)&amp;"","")&amp;"; "&amp;IFERROR(INDEX(Clay_Offices!$A$2:$FZ$601,464,Sync!$C$9)&amp;"",""))</f>
        <v/>
      </c>
      <c r="K2715" s="32" t="s">
        <v>1364</v>
      </c>
    </row>
    <row r="2716" customFormat="false" ht="15" hidden="false" customHeight="false" outlineLevel="0" collapsed="false">
      <c r="A2716" s="23" t="str">
        <f aca="false">IF(B2716="","",B2716+(13*1000+465)/10000000)</f>
        <v/>
      </c>
      <c r="B2716" s="35" t="str">
        <f aca="false">IF(AND(IFERROR(N(INDEX(Clay_Offices!$A$2:$FZ$601,465,Sync!$C$12)),0)&gt;0,IFERROR(INDEX(Clay_Offices!$A$2:$FZ$601,465,Sync!$C$5)&amp;"","")&lt;&gt;"",OR(LEFT(IFERROR(INDEX(Clay_Offices!$A$2:$FZ$601,465,Sync!$C$5)&amp;"",""),6)&lt;&gt;"SAMPLE",Config!$B$19="Y")),IFERROR(N(INDEX(Clay_Offices!$A$2:$FZ$601,465,Sync!$C$12)),0),"")</f>
        <v/>
      </c>
      <c r="C2716" s="23" t="str">
        <f aca="false">IF(B2716="","","office")</f>
        <v/>
      </c>
      <c r="D2716" s="23" t="str">
        <f aca="false">IF(B2716="","",IFERROR(INDEX(Office_Log!$ED$2:$ED$201,MATCH(IFERROR(INDEX(Clay_Offices!$A$2:$FZ$601,465,Sync!$C$5)&amp;"",""),Office_Log!$A$2:$A$201,0))&amp;"",IFERROR(INDEX(Clay_Offices!$A$2:$FZ$601,465,Sync!$C$5)&amp;"","")&amp;""))</f>
        <v/>
      </c>
      <c r="E2716" s="23" t="str">
        <f aca="false">IF(B2716="","",IFERROR(INDEX(Clay_Offices!$A$2:$FZ$601,465,Sync!$C$6)&amp;"",""))</f>
        <v/>
      </c>
      <c r="F2716" s="23" t="str">
        <f aca="false">IF(B2716="","","outreach_sent")</f>
        <v/>
      </c>
      <c r="G2716" s="23" t="str">
        <f aca="false">IF(B2716="","","")</f>
        <v/>
      </c>
      <c r="H2716" s="23" t="str">
        <f aca="false">IF(B2716="","","")</f>
        <v/>
      </c>
      <c r="I2716" s="23" t="str">
        <f aca="false">IF(B2716="","","")</f>
        <v/>
      </c>
      <c r="J2716" s="23" t="str">
        <f aca="false">IF(B2716="","","touch_2; "&amp;IFERROR(INDEX(Clay_Offices!$A$2:$FZ$601,465,Sync!$C$10)&amp;"","")&amp;"; "&amp;IFERROR(INDEX(Clay_Offices!$A$2:$FZ$601,465,Sync!$C$9)&amp;"",""))</f>
        <v/>
      </c>
      <c r="K2716" s="32" t="s">
        <v>1364</v>
      </c>
    </row>
    <row r="2717" customFormat="false" ht="15" hidden="false" customHeight="false" outlineLevel="0" collapsed="false">
      <c r="A2717" s="23" t="str">
        <f aca="false">IF(B2717="","",B2717+(13*1000+466)/10000000)</f>
        <v/>
      </c>
      <c r="B2717" s="35" t="str">
        <f aca="false">IF(AND(IFERROR(N(INDEX(Clay_Offices!$A$2:$FZ$601,466,Sync!$C$12)),0)&gt;0,IFERROR(INDEX(Clay_Offices!$A$2:$FZ$601,466,Sync!$C$5)&amp;"","")&lt;&gt;"",OR(LEFT(IFERROR(INDEX(Clay_Offices!$A$2:$FZ$601,466,Sync!$C$5)&amp;"",""),6)&lt;&gt;"SAMPLE",Config!$B$19="Y")),IFERROR(N(INDEX(Clay_Offices!$A$2:$FZ$601,466,Sync!$C$12)),0),"")</f>
        <v/>
      </c>
      <c r="C2717" s="23" t="str">
        <f aca="false">IF(B2717="","","office")</f>
        <v/>
      </c>
      <c r="D2717" s="23" t="str">
        <f aca="false">IF(B2717="","",IFERROR(INDEX(Office_Log!$ED$2:$ED$201,MATCH(IFERROR(INDEX(Clay_Offices!$A$2:$FZ$601,466,Sync!$C$5)&amp;"",""),Office_Log!$A$2:$A$201,0))&amp;"",IFERROR(INDEX(Clay_Offices!$A$2:$FZ$601,466,Sync!$C$5)&amp;"","")&amp;""))</f>
        <v/>
      </c>
      <c r="E2717" s="23" t="str">
        <f aca="false">IF(B2717="","",IFERROR(INDEX(Clay_Offices!$A$2:$FZ$601,466,Sync!$C$6)&amp;"",""))</f>
        <v/>
      </c>
      <c r="F2717" s="23" t="str">
        <f aca="false">IF(B2717="","","outreach_sent")</f>
        <v/>
      </c>
      <c r="G2717" s="23" t="str">
        <f aca="false">IF(B2717="","","")</f>
        <v/>
      </c>
      <c r="H2717" s="23" t="str">
        <f aca="false">IF(B2717="","","")</f>
        <v/>
      </c>
      <c r="I2717" s="23" t="str">
        <f aca="false">IF(B2717="","","")</f>
        <v/>
      </c>
      <c r="J2717" s="23" t="str">
        <f aca="false">IF(B2717="","","touch_2; "&amp;IFERROR(INDEX(Clay_Offices!$A$2:$FZ$601,466,Sync!$C$10)&amp;"","")&amp;"; "&amp;IFERROR(INDEX(Clay_Offices!$A$2:$FZ$601,466,Sync!$C$9)&amp;"",""))</f>
        <v/>
      </c>
      <c r="K2717" s="32" t="s">
        <v>1364</v>
      </c>
    </row>
    <row r="2718" customFormat="false" ht="15" hidden="false" customHeight="false" outlineLevel="0" collapsed="false">
      <c r="A2718" s="23" t="str">
        <f aca="false">IF(B2718="","",B2718+(13*1000+467)/10000000)</f>
        <v/>
      </c>
      <c r="B2718" s="35" t="str">
        <f aca="false">IF(AND(IFERROR(N(INDEX(Clay_Offices!$A$2:$FZ$601,467,Sync!$C$12)),0)&gt;0,IFERROR(INDEX(Clay_Offices!$A$2:$FZ$601,467,Sync!$C$5)&amp;"","")&lt;&gt;"",OR(LEFT(IFERROR(INDEX(Clay_Offices!$A$2:$FZ$601,467,Sync!$C$5)&amp;"",""),6)&lt;&gt;"SAMPLE",Config!$B$19="Y")),IFERROR(N(INDEX(Clay_Offices!$A$2:$FZ$601,467,Sync!$C$12)),0),"")</f>
        <v/>
      </c>
      <c r="C2718" s="23" t="str">
        <f aca="false">IF(B2718="","","office")</f>
        <v/>
      </c>
      <c r="D2718" s="23" t="str">
        <f aca="false">IF(B2718="","",IFERROR(INDEX(Office_Log!$ED$2:$ED$201,MATCH(IFERROR(INDEX(Clay_Offices!$A$2:$FZ$601,467,Sync!$C$5)&amp;"",""),Office_Log!$A$2:$A$201,0))&amp;"",IFERROR(INDEX(Clay_Offices!$A$2:$FZ$601,467,Sync!$C$5)&amp;"","")&amp;""))</f>
        <v/>
      </c>
      <c r="E2718" s="23" t="str">
        <f aca="false">IF(B2718="","",IFERROR(INDEX(Clay_Offices!$A$2:$FZ$601,467,Sync!$C$6)&amp;"",""))</f>
        <v/>
      </c>
      <c r="F2718" s="23" t="str">
        <f aca="false">IF(B2718="","","outreach_sent")</f>
        <v/>
      </c>
      <c r="G2718" s="23" t="str">
        <f aca="false">IF(B2718="","","")</f>
        <v/>
      </c>
      <c r="H2718" s="23" t="str">
        <f aca="false">IF(B2718="","","")</f>
        <v/>
      </c>
      <c r="I2718" s="23" t="str">
        <f aca="false">IF(B2718="","","")</f>
        <v/>
      </c>
      <c r="J2718" s="23" t="str">
        <f aca="false">IF(B2718="","","touch_2; "&amp;IFERROR(INDEX(Clay_Offices!$A$2:$FZ$601,467,Sync!$C$10)&amp;"","")&amp;"; "&amp;IFERROR(INDEX(Clay_Offices!$A$2:$FZ$601,467,Sync!$C$9)&amp;"",""))</f>
        <v/>
      </c>
      <c r="K2718" s="32" t="s">
        <v>1364</v>
      </c>
    </row>
    <row r="2719" customFormat="false" ht="15" hidden="false" customHeight="false" outlineLevel="0" collapsed="false">
      <c r="A2719" s="23" t="str">
        <f aca="false">IF(B2719="","",B2719+(13*1000+468)/10000000)</f>
        <v/>
      </c>
      <c r="B2719" s="35" t="str">
        <f aca="false">IF(AND(IFERROR(N(INDEX(Clay_Offices!$A$2:$FZ$601,468,Sync!$C$12)),0)&gt;0,IFERROR(INDEX(Clay_Offices!$A$2:$FZ$601,468,Sync!$C$5)&amp;"","")&lt;&gt;"",OR(LEFT(IFERROR(INDEX(Clay_Offices!$A$2:$FZ$601,468,Sync!$C$5)&amp;"",""),6)&lt;&gt;"SAMPLE",Config!$B$19="Y")),IFERROR(N(INDEX(Clay_Offices!$A$2:$FZ$601,468,Sync!$C$12)),0),"")</f>
        <v/>
      </c>
      <c r="C2719" s="23" t="str">
        <f aca="false">IF(B2719="","","office")</f>
        <v/>
      </c>
      <c r="D2719" s="23" t="str">
        <f aca="false">IF(B2719="","",IFERROR(INDEX(Office_Log!$ED$2:$ED$201,MATCH(IFERROR(INDEX(Clay_Offices!$A$2:$FZ$601,468,Sync!$C$5)&amp;"",""),Office_Log!$A$2:$A$201,0))&amp;"",IFERROR(INDEX(Clay_Offices!$A$2:$FZ$601,468,Sync!$C$5)&amp;"","")&amp;""))</f>
        <v/>
      </c>
      <c r="E2719" s="23" t="str">
        <f aca="false">IF(B2719="","",IFERROR(INDEX(Clay_Offices!$A$2:$FZ$601,468,Sync!$C$6)&amp;"",""))</f>
        <v/>
      </c>
      <c r="F2719" s="23" t="str">
        <f aca="false">IF(B2719="","","outreach_sent")</f>
        <v/>
      </c>
      <c r="G2719" s="23" t="str">
        <f aca="false">IF(B2719="","","")</f>
        <v/>
      </c>
      <c r="H2719" s="23" t="str">
        <f aca="false">IF(B2719="","","")</f>
        <v/>
      </c>
      <c r="I2719" s="23" t="str">
        <f aca="false">IF(B2719="","","")</f>
        <v/>
      </c>
      <c r="J2719" s="23" t="str">
        <f aca="false">IF(B2719="","","touch_2; "&amp;IFERROR(INDEX(Clay_Offices!$A$2:$FZ$601,468,Sync!$C$10)&amp;"","")&amp;"; "&amp;IFERROR(INDEX(Clay_Offices!$A$2:$FZ$601,468,Sync!$C$9)&amp;"",""))</f>
        <v/>
      </c>
      <c r="K2719" s="32" t="s">
        <v>1364</v>
      </c>
    </row>
    <row r="2720" customFormat="false" ht="15" hidden="false" customHeight="false" outlineLevel="0" collapsed="false">
      <c r="A2720" s="23" t="str">
        <f aca="false">IF(B2720="","",B2720+(13*1000+469)/10000000)</f>
        <v/>
      </c>
      <c r="B2720" s="35" t="str">
        <f aca="false">IF(AND(IFERROR(N(INDEX(Clay_Offices!$A$2:$FZ$601,469,Sync!$C$12)),0)&gt;0,IFERROR(INDEX(Clay_Offices!$A$2:$FZ$601,469,Sync!$C$5)&amp;"","")&lt;&gt;"",OR(LEFT(IFERROR(INDEX(Clay_Offices!$A$2:$FZ$601,469,Sync!$C$5)&amp;"",""),6)&lt;&gt;"SAMPLE",Config!$B$19="Y")),IFERROR(N(INDEX(Clay_Offices!$A$2:$FZ$601,469,Sync!$C$12)),0),"")</f>
        <v/>
      </c>
      <c r="C2720" s="23" t="str">
        <f aca="false">IF(B2720="","","office")</f>
        <v/>
      </c>
      <c r="D2720" s="23" t="str">
        <f aca="false">IF(B2720="","",IFERROR(INDEX(Office_Log!$ED$2:$ED$201,MATCH(IFERROR(INDEX(Clay_Offices!$A$2:$FZ$601,469,Sync!$C$5)&amp;"",""),Office_Log!$A$2:$A$201,0))&amp;"",IFERROR(INDEX(Clay_Offices!$A$2:$FZ$601,469,Sync!$C$5)&amp;"","")&amp;""))</f>
        <v/>
      </c>
      <c r="E2720" s="23" t="str">
        <f aca="false">IF(B2720="","",IFERROR(INDEX(Clay_Offices!$A$2:$FZ$601,469,Sync!$C$6)&amp;"",""))</f>
        <v/>
      </c>
      <c r="F2720" s="23" t="str">
        <f aca="false">IF(B2720="","","outreach_sent")</f>
        <v/>
      </c>
      <c r="G2720" s="23" t="str">
        <f aca="false">IF(B2720="","","")</f>
        <v/>
      </c>
      <c r="H2720" s="23" t="str">
        <f aca="false">IF(B2720="","","")</f>
        <v/>
      </c>
      <c r="I2720" s="23" t="str">
        <f aca="false">IF(B2720="","","")</f>
        <v/>
      </c>
      <c r="J2720" s="23" t="str">
        <f aca="false">IF(B2720="","","touch_2; "&amp;IFERROR(INDEX(Clay_Offices!$A$2:$FZ$601,469,Sync!$C$10)&amp;"","")&amp;"; "&amp;IFERROR(INDEX(Clay_Offices!$A$2:$FZ$601,469,Sync!$C$9)&amp;"",""))</f>
        <v/>
      </c>
      <c r="K2720" s="32" t="s">
        <v>1364</v>
      </c>
    </row>
    <row r="2721" customFormat="false" ht="15" hidden="false" customHeight="false" outlineLevel="0" collapsed="false">
      <c r="A2721" s="23" t="str">
        <f aca="false">IF(B2721="","",B2721+(13*1000+470)/10000000)</f>
        <v/>
      </c>
      <c r="B2721" s="35" t="str">
        <f aca="false">IF(AND(IFERROR(N(INDEX(Clay_Offices!$A$2:$FZ$601,470,Sync!$C$12)),0)&gt;0,IFERROR(INDEX(Clay_Offices!$A$2:$FZ$601,470,Sync!$C$5)&amp;"","")&lt;&gt;"",OR(LEFT(IFERROR(INDEX(Clay_Offices!$A$2:$FZ$601,470,Sync!$C$5)&amp;"",""),6)&lt;&gt;"SAMPLE",Config!$B$19="Y")),IFERROR(N(INDEX(Clay_Offices!$A$2:$FZ$601,470,Sync!$C$12)),0),"")</f>
        <v/>
      </c>
      <c r="C2721" s="23" t="str">
        <f aca="false">IF(B2721="","","office")</f>
        <v/>
      </c>
      <c r="D2721" s="23" t="str">
        <f aca="false">IF(B2721="","",IFERROR(INDEX(Office_Log!$ED$2:$ED$201,MATCH(IFERROR(INDEX(Clay_Offices!$A$2:$FZ$601,470,Sync!$C$5)&amp;"",""),Office_Log!$A$2:$A$201,0))&amp;"",IFERROR(INDEX(Clay_Offices!$A$2:$FZ$601,470,Sync!$C$5)&amp;"","")&amp;""))</f>
        <v/>
      </c>
      <c r="E2721" s="23" t="str">
        <f aca="false">IF(B2721="","",IFERROR(INDEX(Clay_Offices!$A$2:$FZ$601,470,Sync!$C$6)&amp;"",""))</f>
        <v/>
      </c>
      <c r="F2721" s="23" t="str">
        <f aca="false">IF(B2721="","","outreach_sent")</f>
        <v/>
      </c>
      <c r="G2721" s="23" t="str">
        <f aca="false">IF(B2721="","","")</f>
        <v/>
      </c>
      <c r="H2721" s="23" t="str">
        <f aca="false">IF(B2721="","","")</f>
        <v/>
      </c>
      <c r="I2721" s="23" t="str">
        <f aca="false">IF(B2721="","","")</f>
        <v/>
      </c>
      <c r="J2721" s="23" t="str">
        <f aca="false">IF(B2721="","","touch_2; "&amp;IFERROR(INDEX(Clay_Offices!$A$2:$FZ$601,470,Sync!$C$10)&amp;"","")&amp;"; "&amp;IFERROR(INDEX(Clay_Offices!$A$2:$FZ$601,470,Sync!$C$9)&amp;"",""))</f>
        <v/>
      </c>
      <c r="K2721" s="32" t="s">
        <v>1364</v>
      </c>
    </row>
    <row r="2722" customFormat="false" ht="15" hidden="false" customHeight="false" outlineLevel="0" collapsed="false">
      <c r="A2722" s="23" t="str">
        <f aca="false">IF(B2722="","",B2722+(13*1000+471)/10000000)</f>
        <v/>
      </c>
      <c r="B2722" s="35" t="str">
        <f aca="false">IF(AND(IFERROR(N(INDEX(Clay_Offices!$A$2:$FZ$601,471,Sync!$C$12)),0)&gt;0,IFERROR(INDEX(Clay_Offices!$A$2:$FZ$601,471,Sync!$C$5)&amp;"","")&lt;&gt;"",OR(LEFT(IFERROR(INDEX(Clay_Offices!$A$2:$FZ$601,471,Sync!$C$5)&amp;"",""),6)&lt;&gt;"SAMPLE",Config!$B$19="Y")),IFERROR(N(INDEX(Clay_Offices!$A$2:$FZ$601,471,Sync!$C$12)),0),"")</f>
        <v/>
      </c>
      <c r="C2722" s="23" t="str">
        <f aca="false">IF(B2722="","","office")</f>
        <v/>
      </c>
      <c r="D2722" s="23" t="str">
        <f aca="false">IF(B2722="","",IFERROR(INDEX(Office_Log!$ED$2:$ED$201,MATCH(IFERROR(INDEX(Clay_Offices!$A$2:$FZ$601,471,Sync!$C$5)&amp;"",""),Office_Log!$A$2:$A$201,0))&amp;"",IFERROR(INDEX(Clay_Offices!$A$2:$FZ$601,471,Sync!$C$5)&amp;"","")&amp;""))</f>
        <v/>
      </c>
      <c r="E2722" s="23" t="str">
        <f aca="false">IF(B2722="","",IFERROR(INDEX(Clay_Offices!$A$2:$FZ$601,471,Sync!$C$6)&amp;"",""))</f>
        <v/>
      </c>
      <c r="F2722" s="23" t="str">
        <f aca="false">IF(B2722="","","outreach_sent")</f>
        <v/>
      </c>
      <c r="G2722" s="23" t="str">
        <f aca="false">IF(B2722="","","")</f>
        <v/>
      </c>
      <c r="H2722" s="23" t="str">
        <f aca="false">IF(B2722="","","")</f>
        <v/>
      </c>
      <c r="I2722" s="23" t="str">
        <f aca="false">IF(B2722="","","")</f>
        <v/>
      </c>
      <c r="J2722" s="23" t="str">
        <f aca="false">IF(B2722="","","touch_2; "&amp;IFERROR(INDEX(Clay_Offices!$A$2:$FZ$601,471,Sync!$C$10)&amp;"","")&amp;"; "&amp;IFERROR(INDEX(Clay_Offices!$A$2:$FZ$601,471,Sync!$C$9)&amp;"",""))</f>
        <v/>
      </c>
      <c r="K2722" s="32" t="s">
        <v>1364</v>
      </c>
    </row>
    <row r="2723" customFormat="false" ht="15" hidden="false" customHeight="false" outlineLevel="0" collapsed="false">
      <c r="A2723" s="23" t="str">
        <f aca="false">IF(B2723="","",B2723+(13*1000+472)/10000000)</f>
        <v/>
      </c>
      <c r="B2723" s="35" t="str">
        <f aca="false">IF(AND(IFERROR(N(INDEX(Clay_Offices!$A$2:$FZ$601,472,Sync!$C$12)),0)&gt;0,IFERROR(INDEX(Clay_Offices!$A$2:$FZ$601,472,Sync!$C$5)&amp;"","")&lt;&gt;"",OR(LEFT(IFERROR(INDEX(Clay_Offices!$A$2:$FZ$601,472,Sync!$C$5)&amp;"",""),6)&lt;&gt;"SAMPLE",Config!$B$19="Y")),IFERROR(N(INDEX(Clay_Offices!$A$2:$FZ$601,472,Sync!$C$12)),0),"")</f>
        <v/>
      </c>
      <c r="C2723" s="23" t="str">
        <f aca="false">IF(B2723="","","office")</f>
        <v/>
      </c>
      <c r="D2723" s="23" t="str">
        <f aca="false">IF(B2723="","",IFERROR(INDEX(Office_Log!$ED$2:$ED$201,MATCH(IFERROR(INDEX(Clay_Offices!$A$2:$FZ$601,472,Sync!$C$5)&amp;"",""),Office_Log!$A$2:$A$201,0))&amp;"",IFERROR(INDEX(Clay_Offices!$A$2:$FZ$601,472,Sync!$C$5)&amp;"","")&amp;""))</f>
        <v/>
      </c>
      <c r="E2723" s="23" t="str">
        <f aca="false">IF(B2723="","",IFERROR(INDEX(Clay_Offices!$A$2:$FZ$601,472,Sync!$C$6)&amp;"",""))</f>
        <v/>
      </c>
      <c r="F2723" s="23" t="str">
        <f aca="false">IF(B2723="","","outreach_sent")</f>
        <v/>
      </c>
      <c r="G2723" s="23" t="str">
        <f aca="false">IF(B2723="","","")</f>
        <v/>
      </c>
      <c r="H2723" s="23" t="str">
        <f aca="false">IF(B2723="","","")</f>
        <v/>
      </c>
      <c r="I2723" s="23" t="str">
        <f aca="false">IF(B2723="","","")</f>
        <v/>
      </c>
      <c r="J2723" s="23" t="str">
        <f aca="false">IF(B2723="","","touch_2; "&amp;IFERROR(INDEX(Clay_Offices!$A$2:$FZ$601,472,Sync!$C$10)&amp;"","")&amp;"; "&amp;IFERROR(INDEX(Clay_Offices!$A$2:$FZ$601,472,Sync!$C$9)&amp;"",""))</f>
        <v/>
      </c>
      <c r="K2723" s="32" t="s">
        <v>1364</v>
      </c>
    </row>
    <row r="2724" customFormat="false" ht="15" hidden="false" customHeight="false" outlineLevel="0" collapsed="false">
      <c r="A2724" s="23" t="str">
        <f aca="false">IF(B2724="","",B2724+(13*1000+473)/10000000)</f>
        <v/>
      </c>
      <c r="B2724" s="35" t="str">
        <f aca="false">IF(AND(IFERROR(N(INDEX(Clay_Offices!$A$2:$FZ$601,473,Sync!$C$12)),0)&gt;0,IFERROR(INDEX(Clay_Offices!$A$2:$FZ$601,473,Sync!$C$5)&amp;"","")&lt;&gt;"",OR(LEFT(IFERROR(INDEX(Clay_Offices!$A$2:$FZ$601,473,Sync!$C$5)&amp;"",""),6)&lt;&gt;"SAMPLE",Config!$B$19="Y")),IFERROR(N(INDEX(Clay_Offices!$A$2:$FZ$601,473,Sync!$C$12)),0),"")</f>
        <v/>
      </c>
      <c r="C2724" s="23" t="str">
        <f aca="false">IF(B2724="","","office")</f>
        <v/>
      </c>
      <c r="D2724" s="23" t="str">
        <f aca="false">IF(B2724="","",IFERROR(INDEX(Office_Log!$ED$2:$ED$201,MATCH(IFERROR(INDEX(Clay_Offices!$A$2:$FZ$601,473,Sync!$C$5)&amp;"",""),Office_Log!$A$2:$A$201,0))&amp;"",IFERROR(INDEX(Clay_Offices!$A$2:$FZ$601,473,Sync!$C$5)&amp;"","")&amp;""))</f>
        <v/>
      </c>
      <c r="E2724" s="23" t="str">
        <f aca="false">IF(B2724="","",IFERROR(INDEX(Clay_Offices!$A$2:$FZ$601,473,Sync!$C$6)&amp;"",""))</f>
        <v/>
      </c>
      <c r="F2724" s="23" t="str">
        <f aca="false">IF(B2724="","","outreach_sent")</f>
        <v/>
      </c>
      <c r="G2724" s="23" t="str">
        <f aca="false">IF(B2724="","","")</f>
        <v/>
      </c>
      <c r="H2724" s="23" t="str">
        <f aca="false">IF(B2724="","","")</f>
        <v/>
      </c>
      <c r="I2724" s="23" t="str">
        <f aca="false">IF(B2724="","","")</f>
        <v/>
      </c>
      <c r="J2724" s="23" t="str">
        <f aca="false">IF(B2724="","","touch_2; "&amp;IFERROR(INDEX(Clay_Offices!$A$2:$FZ$601,473,Sync!$C$10)&amp;"","")&amp;"; "&amp;IFERROR(INDEX(Clay_Offices!$A$2:$FZ$601,473,Sync!$C$9)&amp;"",""))</f>
        <v/>
      </c>
      <c r="K2724" s="32" t="s">
        <v>1364</v>
      </c>
    </row>
    <row r="2725" customFormat="false" ht="15" hidden="false" customHeight="false" outlineLevel="0" collapsed="false">
      <c r="A2725" s="23" t="str">
        <f aca="false">IF(B2725="","",B2725+(13*1000+474)/10000000)</f>
        <v/>
      </c>
      <c r="B2725" s="35" t="str">
        <f aca="false">IF(AND(IFERROR(N(INDEX(Clay_Offices!$A$2:$FZ$601,474,Sync!$C$12)),0)&gt;0,IFERROR(INDEX(Clay_Offices!$A$2:$FZ$601,474,Sync!$C$5)&amp;"","")&lt;&gt;"",OR(LEFT(IFERROR(INDEX(Clay_Offices!$A$2:$FZ$601,474,Sync!$C$5)&amp;"",""),6)&lt;&gt;"SAMPLE",Config!$B$19="Y")),IFERROR(N(INDEX(Clay_Offices!$A$2:$FZ$601,474,Sync!$C$12)),0),"")</f>
        <v/>
      </c>
      <c r="C2725" s="23" t="str">
        <f aca="false">IF(B2725="","","office")</f>
        <v/>
      </c>
      <c r="D2725" s="23" t="str">
        <f aca="false">IF(B2725="","",IFERROR(INDEX(Office_Log!$ED$2:$ED$201,MATCH(IFERROR(INDEX(Clay_Offices!$A$2:$FZ$601,474,Sync!$C$5)&amp;"",""),Office_Log!$A$2:$A$201,0))&amp;"",IFERROR(INDEX(Clay_Offices!$A$2:$FZ$601,474,Sync!$C$5)&amp;"","")&amp;""))</f>
        <v/>
      </c>
      <c r="E2725" s="23" t="str">
        <f aca="false">IF(B2725="","",IFERROR(INDEX(Clay_Offices!$A$2:$FZ$601,474,Sync!$C$6)&amp;"",""))</f>
        <v/>
      </c>
      <c r="F2725" s="23" t="str">
        <f aca="false">IF(B2725="","","outreach_sent")</f>
        <v/>
      </c>
      <c r="G2725" s="23" t="str">
        <f aca="false">IF(B2725="","","")</f>
        <v/>
      </c>
      <c r="H2725" s="23" t="str">
        <f aca="false">IF(B2725="","","")</f>
        <v/>
      </c>
      <c r="I2725" s="23" t="str">
        <f aca="false">IF(B2725="","","")</f>
        <v/>
      </c>
      <c r="J2725" s="23" t="str">
        <f aca="false">IF(B2725="","","touch_2; "&amp;IFERROR(INDEX(Clay_Offices!$A$2:$FZ$601,474,Sync!$C$10)&amp;"","")&amp;"; "&amp;IFERROR(INDEX(Clay_Offices!$A$2:$FZ$601,474,Sync!$C$9)&amp;"",""))</f>
        <v/>
      </c>
      <c r="K2725" s="32" t="s">
        <v>1364</v>
      </c>
    </row>
    <row r="2726" customFormat="false" ht="15" hidden="false" customHeight="false" outlineLevel="0" collapsed="false">
      <c r="A2726" s="23" t="str">
        <f aca="false">IF(B2726="","",B2726+(13*1000+475)/10000000)</f>
        <v/>
      </c>
      <c r="B2726" s="35" t="str">
        <f aca="false">IF(AND(IFERROR(N(INDEX(Clay_Offices!$A$2:$FZ$601,475,Sync!$C$12)),0)&gt;0,IFERROR(INDEX(Clay_Offices!$A$2:$FZ$601,475,Sync!$C$5)&amp;"","")&lt;&gt;"",OR(LEFT(IFERROR(INDEX(Clay_Offices!$A$2:$FZ$601,475,Sync!$C$5)&amp;"",""),6)&lt;&gt;"SAMPLE",Config!$B$19="Y")),IFERROR(N(INDEX(Clay_Offices!$A$2:$FZ$601,475,Sync!$C$12)),0),"")</f>
        <v/>
      </c>
      <c r="C2726" s="23" t="str">
        <f aca="false">IF(B2726="","","office")</f>
        <v/>
      </c>
      <c r="D2726" s="23" t="str">
        <f aca="false">IF(B2726="","",IFERROR(INDEX(Office_Log!$ED$2:$ED$201,MATCH(IFERROR(INDEX(Clay_Offices!$A$2:$FZ$601,475,Sync!$C$5)&amp;"",""),Office_Log!$A$2:$A$201,0))&amp;"",IFERROR(INDEX(Clay_Offices!$A$2:$FZ$601,475,Sync!$C$5)&amp;"","")&amp;""))</f>
        <v/>
      </c>
      <c r="E2726" s="23" t="str">
        <f aca="false">IF(B2726="","",IFERROR(INDEX(Clay_Offices!$A$2:$FZ$601,475,Sync!$C$6)&amp;"",""))</f>
        <v/>
      </c>
      <c r="F2726" s="23" t="str">
        <f aca="false">IF(B2726="","","outreach_sent")</f>
        <v/>
      </c>
      <c r="G2726" s="23" t="str">
        <f aca="false">IF(B2726="","","")</f>
        <v/>
      </c>
      <c r="H2726" s="23" t="str">
        <f aca="false">IF(B2726="","","")</f>
        <v/>
      </c>
      <c r="I2726" s="23" t="str">
        <f aca="false">IF(B2726="","","")</f>
        <v/>
      </c>
      <c r="J2726" s="23" t="str">
        <f aca="false">IF(B2726="","","touch_2; "&amp;IFERROR(INDEX(Clay_Offices!$A$2:$FZ$601,475,Sync!$C$10)&amp;"","")&amp;"; "&amp;IFERROR(INDEX(Clay_Offices!$A$2:$FZ$601,475,Sync!$C$9)&amp;"",""))</f>
        <v/>
      </c>
      <c r="K2726" s="32" t="s">
        <v>1364</v>
      </c>
    </row>
    <row r="2727" customFormat="false" ht="15" hidden="false" customHeight="false" outlineLevel="0" collapsed="false">
      <c r="A2727" s="23" t="str">
        <f aca="false">IF(B2727="","",B2727+(13*1000+476)/10000000)</f>
        <v/>
      </c>
      <c r="B2727" s="35" t="str">
        <f aca="false">IF(AND(IFERROR(N(INDEX(Clay_Offices!$A$2:$FZ$601,476,Sync!$C$12)),0)&gt;0,IFERROR(INDEX(Clay_Offices!$A$2:$FZ$601,476,Sync!$C$5)&amp;"","")&lt;&gt;"",OR(LEFT(IFERROR(INDEX(Clay_Offices!$A$2:$FZ$601,476,Sync!$C$5)&amp;"",""),6)&lt;&gt;"SAMPLE",Config!$B$19="Y")),IFERROR(N(INDEX(Clay_Offices!$A$2:$FZ$601,476,Sync!$C$12)),0),"")</f>
        <v/>
      </c>
      <c r="C2727" s="23" t="str">
        <f aca="false">IF(B2727="","","office")</f>
        <v/>
      </c>
      <c r="D2727" s="23" t="str">
        <f aca="false">IF(B2727="","",IFERROR(INDEX(Office_Log!$ED$2:$ED$201,MATCH(IFERROR(INDEX(Clay_Offices!$A$2:$FZ$601,476,Sync!$C$5)&amp;"",""),Office_Log!$A$2:$A$201,0))&amp;"",IFERROR(INDEX(Clay_Offices!$A$2:$FZ$601,476,Sync!$C$5)&amp;"","")&amp;""))</f>
        <v/>
      </c>
      <c r="E2727" s="23" t="str">
        <f aca="false">IF(B2727="","",IFERROR(INDEX(Clay_Offices!$A$2:$FZ$601,476,Sync!$C$6)&amp;"",""))</f>
        <v/>
      </c>
      <c r="F2727" s="23" t="str">
        <f aca="false">IF(B2727="","","outreach_sent")</f>
        <v/>
      </c>
      <c r="G2727" s="23" t="str">
        <f aca="false">IF(B2727="","","")</f>
        <v/>
      </c>
      <c r="H2727" s="23" t="str">
        <f aca="false">IF(B2727="","","")</f>
        <v/>
      </c>
      <c r="I2727" s="23" t="str">
        <f aca="false">IF(B2727="","","")</f>
        <v/>
      </c>
      <c r="J2727" s="23" t="str">
        <f aca="false">IF(B2727="","","touch_2; "&amp;IFERROR(INDEX(Clay_Offices!$A$2:$FZ$601,476,Sync!$C$10)&amp;"","")&amp;"; "&amp;IFERROR(INDEX(Clay_Offices!$A$2:$FZ$601,476,Sync!$C$9)&amp;"",""))</f>
        <v/>
      </c>
      <c r="K2727" s="32" t="s">
        <v>1364</v>
      </c>
    </row>
    <row r="2728" customFormat="false" ht="15" hidden="false" customHeight="false" outlineLevel="0" collapsed="false">
      <c r="A2728" s="23" t="str">
        <f aca="false">IF(B2728="","",B2728+(13*1000+477)/10000000)</f>
        <v/>
      </c>
      <c r="B2728" s="35" t="str">
        <f aca="false">IF(AND(IFERROR(N(INDEX(Clay_Offices!$A$2:$FZ$601,477,Sync!$C$12)),0)&gt;0,IFERROR(INDEX(Clay_Offices!$A$2:$FZ$601,477,Sync!$C$5)&amp;"","")&lt;&gt;"",OR(LEFT(IFERROR(INDEX(Clay_Offices!$A$2:$FZ$601,477,Sync!$C$5)&amp;"",""),6)&lt;&gt;"SAMPLE",Config!$B$19="Y")),IFERROR(N(INDEX(Clay_Offices!$A$2:$FZ$601,477,Sync!$C$12)),0),"")</f>
        <v/>
      </c>
      <c r="C2728" s="23" t="str">
        <f aca="false">IF(B2728="","","office")</f>
        <v/>
      </c>
      <c r="D2728" s="23" t="str">
        <f aca="false">IF(B2728="","",IFERROR(INDEX(Office_Log!$ED$2:$ED$201,MATCH(IFERROR(INDEX(Clay_Offices!$A$2:$FZ$601,477,Sync!$C$5)&amp;"",""),Office_Log!$A$2:$A$201,0))&amp;"",IFERROR(INDEX(Clay_Offices!$A$2:$FZ$601,477,Sync!$C$5)&amp;"","")&amp;""))</f>
        <v/>
      </c>
      <c r="E2728" s="23" t="str">
        <f aca="false">IF(B2728="","",IFERROR(INDEX(Clay_Offices!$A$2:$FZ$601,477,Sync!$C$6)&amp;"",""))</f>
        <v/>
      </c>
      <c r="F2728" s="23" t="str">
        <f aca="false">IF(B2728="","","outreach_sent")</f>
        <v/>
      </c>
      <c r="G2728" s="23" t="str">
        <f aca="false">IF(B2728="","","")</f>
        <v/>
      </c>
      <c r="H2728" s="23" t="str">
        <f aca="false">IF(B2728="","","")</f>
        <v/>
      </c>
      <c r="I2728" s="23" t="str">
        <f aca="false">IF(B2728="","","")</f>
        <v/>
      </c>
      <c r="J2728" s="23" t="str">
        <f aca="false">IF(B2728="","","touch_2; "&amp;IFERROR(INDEX(Clay_Offices!$A$2:$FZ$601,477,Sync!$C$10)&amp;"","")&amp;"; "&amp;IFERROR(INDEX(Clay_Offices!$A$2:$FZ$601,477,Sync!$C$9)&amp;"",""))</f>
        <v/>
      </c>
      <c r="K2728" s="32" t="s">
        <v>1364</v>
      </c>
    </row>
    <row r="2729" customFormat="false" ht="15" hidden="false" customHeight="false" outlineLevel="0" collapsed="false">
      <c r="A2729" s="23" t="str">
        <f aca="false">IF(B2729="","",B2729+(13*1000+478)/10000000)</f>
        <v/>
      </c>
      <c r="B2729" s="35" t="str">
        <f aca="false">IF(AND(IFERROR(N(INDEX(Clay_Offices!$A$2:$FZ$601,478,Sync!$C$12)),0)&gt;0,IFERROR(INDEX(Clay_Offices!$A$2:$FZ$601,478,Sync!$C$5)&amp;"","")&lt;&gt;"",OR(LEFT(IFERROR(INDEX(Clay_Offices!$A$2:$FZ$601,478,Sync!$C$5)&amp;"",""),6)&lt;&gt;"SAMPLE",Config!$B$19="Y")),IFERROR(N(INDEX(Clay_Offices!$A$2:$FZ$601,478,Sync!$C$12)),0),"")</f>
        <v/>
      </c>
      <c r="C2729" s="23" t="str">
        <f aca="false">IF(B2729="","","office")</f>
        <v/>
      </c>
      <c r="D2729" s="23" t="str">
        <f aca="false">IF(B2729="","",IFERROR(INDEX(Office_Log!$ED$2:$ED$201,MATCH(IFERROR(INDEX(Clay_Offices!$A$2:$FZ$601,478,Sync!$C$5)&amp;"",""),Office_Log!$A$2:$A$201,0))&amp;"",IFERROR(INDEX(Clay_Offices!$A$2:$FZ$601,478,Sync!$C$5)&amp;"","")&amp;""))</f>
        <v/>
      </c>
      <c r="E2729" s="23" t="str">
        <f aca="false">IF(B2729="","",IFERROR(INDEX(Clay_Offices!$A$2:$FZ$601,478,Sync!$C$6)&amp;"",""))</f>
        <v/>
      </c>
      <c r="F2729" s="23" t="str">
        <f aca="false">IF(B2729="","","outreach_sent")</f>
        <v/>
      </c>
      <c r="G2729" s="23" t="str">
        <f aca="false">IF(B2729="","","")</f>
        <v/>
      </c>
      <c r="H2729" s="23" t="str">
        <f aca="false">IF(B2729="","","")</f>
        <v/>
      </c>
      <c r="I2729" s="23" t="str">
        <f aca="false">IF(B2729="","","")</f>
        <v/>
      </c>
      <c r="J2729" s="23" t="str">
        <f aca="false">IF(B2729="","","touch_2; "&amp;IFERROR(INDEX(Clay_Offices!$A$2:$FZ$601,478,Sync!$C$10)&amp;"","")&amp;"; "&amp;IFERROR(INDEX(Clay_Offices!$A$2:$FZ$601,478,Sync!$C$9)&amp;"",""))</f>
        <v/>
      </c>
      <c r="K2729" s="32" t="s">
        <v>1364</v>
      </c>
    </row>
    <row r="2730" customFormat="false" ht="15" hidden="false" customHeight="false" outlineLevel="0" collapsed="false">
      <c r="A2730" s="23" t="str">
        <f aca="false">IF(B2730="","",B2730+(13*1000+479)/10000000)</f>
        <v/>
      </c>
      <c r="B2730" s="35" t="str">
        <f aca="false">IF(AND(IFERROR(N(INDEX(Clay_Offices!$A$2:$FZ$601,479,Sync!$C$12)),0)&gt;0,IFERROR(INDEX(Clay_Offices!$A$2:$FZ$601,479,Sync!$C$5)&amp;"","")&lt;&gt;"",OR(LEFT(IFERROR(INDEX(Clay_Offices!$A$2:$FZ$601,479,Sync!$C$5)&amp;"",""),6)&lt;&gt;"SAMPLE",Config!$B$19="Y")),IFERROR(N(INDEX(Clay_Offices!$A$2:$FZ$601,479,Sync!$C$12)),0),"")</f>
        <v/>
      </c>
      <c r="C2730" s="23" t="str">
        <f aca="false">IF(B2730="","","office")</f>
        <v/>
      </c>
      <c r="D2730" s="23" t="str">
        <f aca="false">IF(B2730="","",IFERROR(INDEX(Office_Log!$ED$2:$ED$201,MATCH(IFERROR(INDEX(Clay_Offices!$A$2:$FZ$601,479,Sync!$C$5)&amp;"",""),Office_Log!$A$2:$A$201,0))&amp;"",IFERROR(INDEX(Clay_Offices!$A$2:$FZ$601,479,Sync!$C$5)&amp;"","")&amp;""))</f>
        <v/>
      </c>
      <c r="E2730" s="23" t="str">
        <f aca="false">IF(B2730="","",IFERROR(INDEX(Clay_Offices!$A$2:$FZ$601,479,Sync!$C$6)&amp;"",""))</f>
        <v/>
      </c>
      <c r="F2730" s="23" t="str">
        <f aca="false">IF(B2730="","","outreach_sent")</f>
        <v/>
      </c>
      <c r="G2730" s="23" t="str">
        <f aca="false">IF(B2730="","","")</f>
        <v/>
      </c>
      <c r="H2730" s="23" t="str">
        <f aca="false">IF(B2730="","","")</f>
        <v/>
      </c>
      <c r="I2730" s="23" t="str">
        <f aca="false">IF(B2730="","","")</f>
        <v/>
      </c>
      <c r="J2730" s="23" t="str">
        <f aca="false">IF(B2730="","","touch_2; "&amp;IFERROR(INDEX(Clay_Offices!$A$2:$FZ$601,479,Sync!$C$10)&amp;"","")&amp;"; "&amp;IFERROR(INDEX(Clay_Offices!$A$2:$FZ$601,479,Sync!$C$9)&amp;"",""))</f>
        <v/>
      </c>
      <c r="K2730" s="32" t="s">
        <v>1364</v>
      </c>
    </row>
    <row r="2731" customFormat="false" ht="15" hidden="false" customHeight="false" outlineLevel="0" collapsed="false">
      <c r="A2731" s="23" t="str">
        <f aca="false">IF(B2731="","",B2731+(13*1000+480)/10000000)</f>
        <v/>
      </c>
      <c r="B2731" s="35" t="str">
        <f aca="false">IF(AND(IFERROR(N(INDEX(Clay_Offices!$A$2:$FZ$601,480,Sync!$C$12)),0)&gt;0,IFERROR(INDEX(Clay_Offices!$A$2:$FZ$601,480,Sync!$C$5)&amp;"","")&lt;&gt;"",OR(LEFT(IFERROR(INDEX(Clay_Offices!$A$2:$FZ$601,480,Sync!$C$5)&amp;"",""),6)&lt;&gt;"SAMPLE",Config!$B$19="Y")),IFERROR(N(INDEX(Clay_Offices!$A$2:$FZ$601,480,Sync!$C$12)),0),"")</f>
        <v/>
      </c>
      <c r="C2731" s="23" t="str">
        <f aca="false">IF(B2731="","","office")</f>
        <v/>
      </c>
      <c r="D2731" s="23" t="str">
        <f aca="false">IF(B2731="","",IFERROR(INDEX(Office_Log!$ED$2:$ED$201,MATCH(IFERROR(INDEX(Clay_Offices!$A$2:$FZ$601,480,Sync!$C$5)&amp;"",""),Office_Log!$A$2:$A$201,0))&amp;"",IFERROR(INDEX(Clay_Offices!$A$2:$FZ$601,480,Sync!$C$5)&amp;"","")&amp;""))</f>
        <v/>
      </c>
      <c r="E2731" s="23" t="str">
        <f aca="false">IF(B2731="","",IFERROR(INDEX(Clay_Offices!$A$2:$FZ$601,480,Sync!$C$6)&amp;"",""))</f>
        <v/>
      </c>
      <c r="F2731" s="23" t="str">
        <f aca="false">IF(B2731="","","outreach_sent")</f>
        <v/>
      </c>
      <c r="G2731" s="23" t="str">
        <f aca="false">IF(B2731="","","")</f>
        <v/>
      </c>
      <c r="H2731" s="23" t="str">
        <f aca="false">IF(B2731="","","")</f>
        <v/>
      </c>
      <c r="I2731" s="23" t="str">
        <f aca="false">IF(B2731="","","")</f>
        <v/>
      </c>
      <c r="J2731" s="23" t="str">
        <f aca="false">IF(B2731="","","touch_2; "&amp;IFERROR(INDEX(Clay_Offices!$A$2:$FZ$601,480,Sync!$C$10)&amp;"","")&amp;"; "&amp;IFERROR(INDEX(Clay_Offices!$A$2:$FZ$601,480,Sync!$C$9)&amp;"",""))</f>
        <v/>
      </c>
      <c r="K2731" s="32" t="s">
        <v>1364</v>
      </c>
    </row>
    <row r="2732" customFormat="false" ht="15" hidden="false" customHeight="false" outlineLevel="0" collapsed="false">
      <c r="A2732" s="23" t="str">
        <f aca="false">IF(B2732="","",B2732+(13*1000+481)/10000000)</f>
        <v/>
      </c>
      <c r="B2732" s="35" t="str">
        <f aca="false">IF(AND(IFERROR(N(INDEX(Clay_Offices!$A$2:$FZ$601,481,Sync!$C$12)),0)&gt;0,IFERROR(INDEX(Clay_Offices!$A$2:$FZ$601,481,Sync!$C$5)&amp;"","")&lt;&gt;"",OR(LEFT(IFERROR(INDEX(Clay_Offices!$A$2:$FZ$601,481,Sync!$C$5)&amp;"",""),6)&lt;&gt;"SAMPLE",Config!$B$19="Y")),IFERROR(N(INDEX(Clay_Offices!$A$2:$FZ$601,481,Sync!$C$12)),0),"")</f>
        <v/>
      </c>
      <c r="C2732" s="23" t="str">
        <f aca="false">IF(B2732="","","office")</f>
        <v/>
      </c>
      <c r="D2732" s="23" t="str">
        <f aca="false">IF(B2732="","",IFERROR(INDEX(Office_Log!$ED$2:$ED$201,MATCH(IFERROR(INDEX(Clay_Offices!$A$2:$FZ$601,481,Sync!$C$5)&amp;"",""),Office_Log!$A$2:$A$201,0))&amp;"",IFERROR(INDEX(Clay_Offices!$A$2:$FZ$601,481,Sync!$C$5)&amp;"","")&amp;""))</f>
        <v/>
      </c>
      <c r="E2732" s="23" t="str">
        <f aca="false">IF(B2732="","",IFERROR(INDEX(Clay_Offices!$A$2:$FZ$601,481,Sync!$C$6)&amp;"",""))</f>
        <v/>
      </c>
      <c r="F2732" s="23" t="str">
        <f aca="false">IF(B2732="","","outreach_sent")</f>
        <v/>
      </c>
      <c r="G2732" s="23" t="str">
        <f aca="false">IF(B2732="","","")</f>
        <v/>
      </c>
      <c r="H2732" s="23" t="str">
        <f aca="false">IF(B2732="","","")</f>
        <v/>
      </c>
      <c r="I2732" s="23" t="str">
        <f aca="false">IF(B2732="","","")</f>
        <v/>
      </c>
      <c r="J2732" s="23" t="str">
        <f aca="false">IF(B2732="","","touch_2; "&amp;IFERROR(INDEX(Clay_Offices!$A$2:$FZ$601,481,Sync!$C$10)&amp;"","")&amp;"; "&amp;IFERROR(INDEX(Clay_Offices!$A$2:$FZ$601,481,Sync!$C$9)&amp;"",""))</f>
        <v/>
      </c>
      <c r="K2732" s="32" t="s">
        <v>1364</v>
      </c>
    </row>
    <row r="2733" customFormat="false" ht="15" hidden="false" customHeight="false" outlineLevel="0" collapsed="false">
      <c r="A2733" s="23" t="str">
        <f aca="false">IF(B2733="","",B2733+(13*1000+482)/10000000)</f>
        <v/>
      </c>
      <c r="B2733" s="35" t="str">
        <f aca="false">IF(AND(IFERROR(N(INDEX(Clay_Offices!$A$2:$FZ$601,482,Sync!$C$12)),0)&gt;0,IFERROR(INDEX(Clay_Offices!$A$2:$FZ$601,482,Sync!$C$5)&amp;"","")&lt;&gt;"",OR(LEFT(IFERROR(INDEX(Clay_Offices!$A$2:$FZ$601,482,Sync!$C$5)&amp;"",""),6)&lt;&gt;"SAMPLE",Config!$B$19="Y")),IFERROR(N(INDEX(Clay_Offices!$A$2:$FZ$601,482,Sync!$C$12)),0),"")</f>
        <v/>
      </c>
      <c r="C2733" s="23" t="str">
        <f aca="false">IF(B2733="","","office")</f>
        <v/>
      </c>
      <c r="D2733" s="23" t="str">
        <f aca="false">IF(B2733="","",IFERROR(INDEX(Office_Log!$ED$2:$ED$201,MATCH(IFERROR(INDEX(Clay_Offices!$A$2:$FZ$601,482,Sync!$C$5)&amp;"",""),Office_Log!$A$2:$A$201,0))&amp;"",IFERROR(INDEX(Clay_Offices!$A$2:$FZ$601,482,Sync!$C$5)&amp;"","")&amp;""))</f>
        <v/>
      </c>
      <c r="E2733" s="23" t="str">
        <f aca="false">IF(B2733="","",IFERROR(INDEX(Clay_Offices!$A$2:$FZ$601,482,Sync!$C$6)&amp;"",""))</f>
        <v/>
      </c>
      <c r="F2733" s="23" t="str">
        <f aca="false">IF(B2733="","","outreach_sent")</f>
        <v/>
      </c>
      <c r="G2733" s="23" t="str">
        <f aca="false">IF(B2733="","","")</f>
        <v/>
      </c>
      <c r="H2733" s="23" t="str">
        <f aca="false">IF(B2733="","","")</f>
        <v/>
      </c>
      <c r="I2733" s="23" t="str">
        <f aca="false">IF(B2733="","","")</f>
        <v/>
      </c>
      <c r="J2733" s="23" t="str">
        <f aca="false">IF(B2733="","","touch_2; "&amp;IFERROR(INDEX(Clay_Offices!$A$2:$FZ$601,482,Sync!$C$10)&amp;"","")&amp;"; "&amp;IFERROR(INDEX(Clay_Offices!$A$2:$FZ$601,482,Sync!$C$9)&amp;"",""))</f>
        <v/>
      </c>
      <c r="K2733" s="32" t="s">
        <v>1364</v>
      </c>
    </row>
    <row r="2734" customFormat="false" ht="15" hidden="false" customHeight="false" outlineLevel="0" collapsed="false">
      <c r="A2734" s="23" t="str">
        <f aca="false">IF(B2734="","",B2734+(13*1000+483)/10000000)</f>
        <v/>
      </c>
      <c r="B2734" s="35" t="str">
        <f aca="false">IF(AND(IFERROR(N(INDEX(Clay_Offices!$A$2:$FZ$601,483,Sync!$C$12)),0)&gt;0,IFERROR(INDEX(Clay_Offices!$A$2:$FZ$601,483,Sync!$C$5)&amp;"","")&lt;&gt;"",OR(LEFT(IFERROR(INDEX(Clay_Offices!$A$2:$FZ$601,483,Sync!$C$5)&amp;"",""),6)&lt;&gt;"SAMPLE",Config!$B$19="Y")),IFERROR(N(INDEX(Clay_Offices!$A$2:$FZ$601,483,Sync!$C$12)),0),"")</f>
        <v/>
      </c>
      <c r="C2734" s="23" t="str">
        <f aca="false">IF(B2734="","","office")</f>
        <v/>
      </c>
      <c r="D2734" s="23" t="str">
        <f aca="false">IF(B2734="","",IFERROR(INDEX(Office_Log!$ED$2:$ED$201,MATCH(IFERROR(INDEX(Clay_Offices!$A$2:$FZ$601,483,Sync!$C$5)&amp;"",""),Office_Log!$A$2:$A$201,0))&amp;"",IFERROR(INDEX(Clay_Offices!$A$2:$FZ$601,483,Sync!$C$5)&amp;"","")&amp;""))</f>
        <v/>
      </c>
      <c r="E2734" s="23" t="str">
        <f aca="false">IF(B2734="","",IFERROR(INDEX(Clay_Offices!$A$2:$FZ$601,483,Sync!$C$6)&amp;"",""))</f>
        <v/>
      </c>
      <c r="F2734" s="23" t="str">
        <f aca="false">IF(B2734="","","outreach_sent")</f>
        <v/>
      </c>
      <c r="G2734" s="23" t="str">
        <f aca="false">IF(B2734="","","")</f>
        <v/>
      </c>
      <c r="H2734" s="23" t="str">
        <f aca="false">IF(B2734="","","")</f>
        <v/>
      </c>
      <c r="I2734" s="23" t="str">
        <f aca="false">IF(B2734="","","")</f>
        <v/>
      </c>
      <c r="J2734" s="23" t="str">
        <f aca="false">IF(B2734="","","touch_2; "&amp;IFERROR(INDEX(Clay_Offices!$A$2:$FZ$601,483,Sync!$C$10)&amp;"","")&amp;"; "&amp;IFERROR(INDEX(Clay_Offices!$A$2:$FZ$601,483,Sync!$C$9)&amp;"",""))</f>
        <v/>
      </c>
      <c r="K2734" s="32" t="s">
        <v>1364</v>
      </c>
    </row>
    <row r="2735" customFormat="false" ht="15" hidden="false" customHeight="false" outlineLevel="0" collapsed="false">
      <c r="A2735" s="23" t="str">
        <f aca="false">IF(B2735="","",B2735+(13*1000+484)/10000000)</f>
        <v/>
      </c>
      <c r="B2735" s="35" t="str">
        <f aca="false">IF(AND(IFERROR(N(INDEX(Clay_Offices!$A$2:$FZ$601,484,Sync!$C$12)),0)&gt;0,IFERROR(INDEX(Clay_Offices!$A$2:$FZ$601,484,Sync!$C$5)&amp;"","")&lt;&gt;"",OR(LEFT(IFERROR(INDEX(Clay_Offices!$A$2:$FZ$601,484,Sync!$C$5)&amp;"",""),6)&lt;&gt;"SAMPLE",Config!$B$19="Y")),IFERROR(N(INDEX(Clay_Offices!$A$2:$FZ$601,484,Sync!$C$12)),0),"")</f>
        <v/>
      </c>
      <c r="C2735" s="23" t="str">
        <f aca="false">IF(B2735="","","office")</f>
        <v/>
      </c>
      <c r="D2735" s="23" t="str">
        <f aca="false">IF(B2735="","",IFERROR(INDEX(Office_Log!$ED$2:$ED$201,MATCH(IFERROR(INDEX(Clay_Offices!$A$2:$FZ$601,484,Sync!$C$5)&amp;"",""),Office_Log!$A$2:$A$201,0))&amp;"",IFERROR(INDEX(Clay_Offices!$A$2:$FZ$601,484,Sync!$C$5)&amp;"","")&amp;""))</f>
        <v/>
      </c>
      <c r="E2735" s="23" t="str">
        <f aca="false">IF(B2735="","",IFERROR(INDEX(Clay_Offices!$A$2:$FZ$601,484,Sync!$C$6)&amp;"",""))</f>
        <v/>
      </c>
      <c r="F2735" s="23" t="str">
        <f aca="false">IF(B2735="","","outreach_sent")</f>
        <v/>
      </c>
      <c r="G2735" s="23" t="str">
        <f aca="false">IF(B2735="","","")</f>
        <v/>
      </c>
      <c r="H2735" s="23" t="str">
        <f aca="false">IF(B2735="","","")</f>
        <v/>
      </c>
      <c r="I2735" s="23" t="str">
        <f aca="false">IF(B2735="","","")</f>
        <v/>
      </c>
      <c r="J2735" s="23" t="str">
        <f aca="false">IF(B2735="","","touch_2; "&amp;IFERROR(INDEX(Clay_Offices!$A$2:$FZ$601,484,Sync!$C$10)&amp;"","")&amp;"; "&amp;IFERROR(INDEX(Clay_Offices!$A$2:$FZ$601,484,Sync!$C$9)&amp;"",""))</f>
        <v/>
      </c>
      <c r="K2735" s="32" t="s">
        <v>1364</v>
      </c>
    </row>
    <row r="2736" customFormat="false" ht="15" hidden="false" customHeight="false" outlineLevel="0" collapsed="false">
      <c r="A2736" s="23" t="str">
        <f aca="false">IF(B2736="","",B2736+(13*1000+485)/10000000)</f>
        <v/>
      </c>
      <c r="B2736" s="35" t="str">
        <f aca="false">IF(AND(IFERROR(N(INDEX(Clay_Offices!$A$2:$FZ$601,485,Sync!$C$12)),0)&gt;0,IFERROR(INDEX(Clay_Offices!$A$2:$FZ$601,485,Sync!$C$5)&amp;"","")&lt;&gt;"",OR(LEFT(IFERROR(INDEX(Clay_Offices!$A$2:$FZ$601,485,Sync!$C$5)&amp;"",""),6)&lt;&gt;"SAMPLE",Config!$B$19="Y")),IFERROR(N(INDEX(Clay_Offices!$A$2:$FZ$601,485,Sync!$C$12)),0),"")</f>
        <v/>
      </c>
      <c r="C2736" s="23" t="str">
        <f aca="false">IF(B2736="","","office")</f>
        <v/>
      </c>
      <c r="D2736" s="23" t="str">
        <f aca="false">IF(B2736="","",IFERROR(INDEX(Office_Log!$ED$2:$ED$201,MATCH(IFERROR(INDEX(Clay_Offices!$A$2:$FZ$601,485,Sync!$C$5)&amp;"",""),Office_Log!$A$2:$A$201,0))&amp;"",IFERROR(INDEX(Clay_Offices!$A$2:$FZ$601,485,Sync!$C$5)&amp;"","")&amp;""))</f>
        <v/>
      </c>
      <c r="E2736" s="23" t="str">
        <f aca="false">IF(B2736="","",IFERROR(INDEX(Clay_Offices!$A$2:$FZ$601,485,Sync!$C$6)&amp;"",""))</f>
        <v/>
      </c>
      <c r="F2736" s="23" t="str">
        <f aca="false">IF(B2736="","","outreach_sent")</f>
        <v/>
      </c>
      <c r="G2736" s="23" t="str">
        <f aca="false">IF(B2736="","","")</f>
        <v/>
      </c>
      <c r="H2736" s="23" t="str">
        <f aca="false">IF(B2736="","","")</f>
        <v/>
      </c>
      <c r="I2736" s="23" t="str">
        <f aca="false">IF(B2736="","","")</f>
        <v/>
      </c>
      <c r="J2736" s="23" t="str">
        <f aca="false">IF(B2736="","","touch_2; "&amp;IFERROR(INDEX(Clay_Offices!$A$2:$FZ$601,485,Sync!$C$10)&amp;"","")&amp;"; "&amp;IFERROR(INDEX(Clay_Offices!$A$2:$FZ$601,485,Sync!$C$9)&amp;"",""))</f>
        <v/>
      </c>
      <c r="K2736" s="32" t="s">
        <v>1364</v>
      </c>
    </row>
    <row r="2737" customFormat="false" ht="15" hidden="false" customHeight="false" outlineLevel="0" collapsed="false">
      <c r="A2737" s="23" t="str">
        <f aca="false">IF(B2737="","",B2737+(13*1000+486)/10000000)</f>
        <v/>
      </c>
      <c r="B2737" s="35" t="str">
        <f aca="false">IF(AND(IFERROR(N(INDEX(Clay_Offices!$A$2:$FZ$601,486,Sync!$C$12)),0)&gt;0,IFERROR(INDEX(Clay_Offices!$A$2:$FZ$601,486,Sync!$C$5)&amp;"","")&lt;&gt;"",OR(LEFT(IFERROR(INDEX(Clay_Offices!$A$2:$FZ$601,486,Sync!$C$5)&amp;"",""),6)&lt;&gt;"SAMPLE",Config!$B$19="Y")),IFERROR(N(INDEX(Clay_Offices!$A$2:$FZ$601,486,Sync!$C$12)),0),"")</f>
        <v/>
      </c>
      <c r="C2737" s="23" t="str">
        <f aca="false">IF(B2737="","","office")</f>
        <v/>
      </c>
      <c r="D2737" s="23" t="str">
        <f aca="false">IF(B2737="","",IFERROR(INDEX(Office_Log!$ED$2:$ED$201,MATCH(IFERROR(INDEX(Clay_Offices!$A$2:$FZ$601,486,Sync!$C$5)&amp;"",""),Office_Log!$A$2:$A$201,0))&amp;"",IFERROR(INDEX(Clay_Offices!$A$2:$FZ$601,486,Sync!$C$5)&amp;"","")&amp;""))</f>
        <v/>
      </c>
      <c r="E2737" s="23" t="str">
        <f aca="false">IF(B2737="","",IFERROR(INDEX(Clay_Offices!$A$2:$FZ$601,486,Sync!$C$6)&amp;"",""))</f>
        <v/>
      </c>
      <c r="F2737" s="23" t="str">
        <f aca="false">IF(B2737="","","outreach_sent")</f>
        <v/>
      </c>
      <c r="G2737" s="23" t="str">
        <f aca="false">IF(B2737="","","")</f>
        <v/>
      </c>
      <c r="H2737" s="23" t="str">
        <f aca="false">IF(B2737="","","")</f>
        <v/>
      </c>
      <c r="I2737" s="23" t="str">
        <f aca="false">IF(B2737="","","")</f>
        <v/>
      </c>
      <c r="J2737" s="23" t="str">
        <f aca="false">IF(B2737="","","touch_2; "&amp;IFERROR(INDEX(Clay_Offices!$A$2:$FZ$601,486,Sync!$C$10)&amp;"","")&amp;"; "&amp;IFERROR(INDEX(Clay_Offices!$A$2:$FZ$601,486,Sync!$C$9)&amp;"",""))</f>
        <v/>
      </c>
      <c r="K2737" s="32" t="s">
        <v>1364</v>
      </c>
    </row>
    <row r="2738" customFormat="false" ht="15" hidden="false" customHeight="false" outlineLevel="0" collapsed="false">
      <c r="A2738" s="23" t="str">
        <f aca="false">IF(B2738="","",B2738+(13*1000+487)/10000000)</f>
        <v/>
      </c>
      <c r="B2738" s="35" t="str">
        <f aca="false">IF(AND(IFERROR(N(INDEX(Clay_Offices!$A$2:$FZ$601,487,Sync!$C$12)),0)&gt;0,IFERROR(INDEX(Clay_Offices!$A$2:$FZ$601,487,Sync!$C$5)&amp;"","")&lt;&gt;"",OR(LEFT(IFERROR(INDEX(Clay_Offices!$A$2:$FZ$601,487,Sync!$C$5)&amp;"",""),6)&lt;&gt;"SAMPLE",Config!$B$19="Y")),IFERROR(N(INDEX(Clay_Offices!$A$2:$FZ$601,487,Sync!$C$12)),0),"")</f>
        <v/>
      </c>
      <c r="C2738" s="23" t="str">
        <f aca="false">IF(B2738="","","office")</f>
        <v/>
      </c>
      <c r="D2738" s="23" t="str">
        <f aca="false">IF(B2738="","",IFERROR(INDEX(Office_Log!$ED$2:$ED$201,MATCH(IFERROR(INDEX(Clay_Offices!$A$2:$FZ$601,487,Sync!$C$5)&amp;"",""),Office_Log!$A$2:$A$201,0))&amp;"",IFERROR(INDEX(Clay_Offices!$A$2:$FZ$601,487,Sync!$C$5)&amp;"","")&amp;""))</f>
        <v/>
      </c>
      <c r="E2738" s="23" t="str">
        <f aca="false">IF(B2738="","",IFERROR(INDEX(Clay_Offices!$A$2:$FZ$601,487,Sync!$C$6)&amp;"",""))</f>
        <v/>
      </c>
      <c r="F2738" s="23" t="str">
        <f aca="false">IF(B2738="","","outreach_sent")</f>
        <v/>
      </c>
      <c r="G2738" s="23" t="str">
        <f aca="false">IF(B2738="","","")</f>
        <v/>
      </c>
      <c r="H2738" s="23" t="str">
        <f aca="false">IF(B2738="","","")</f>
        <v/>
      </c>
      <c r="I2738" s="23" t="str">
        <f aca="false">IF(B2738="","","")</f>
        <v/>
      </c>
      <c r="J2738" s="23" t="str">
        <f aca="false">IF(B2738="","","touch_2; "&amp;IFERROR(INDEX(Clay_Offices!$A$2:$FZ$601,487,Sync!$C$10)&amp;"","")&amp;"; "&amp;IFERROR(INDEX(Clay_Offices!$A$2:$FZ$601,487,Sync!$C$9)&amp;"",""))</f>
        <v/>
      </c>
      <c r="K2738" s="32" t="s">
        <v>1364</v>
      </c>
    </row>
    <row r="2739" customFormat="false" ht="15" hidden="false" customHeight="false" outlineLevel="0" collapsed="false">
      <c r="A2739" s="23" t="str">
        <f aca="false">IF(B2739="","",B2739+(13*1000+488)/10000000)</f>
        <v/>
      </c>
      <c r="B2739" s="35" t="str">
        <f aca="false">IF(AND(IFERROR(N(INDEX(Clay_Offices!$A$2:$FZ$601,488,Sync!$C$12)),0)&gt;0,IFERROR(INDEX(Clay_Offices!$A$2:$FZ$601,488,Sync!$C$5)&amp;"","")&lt;&gt;"",OR(LEFT(IFERROR(INDEX(Clay_Offices!$A$2:$FZ$601,488,Sync!$C$5)&amp;"",""),6)&lt;&gt;"SAMPLE",Config!$B$19="Y")),IFERROR(N(INDEX(Clay_Offices!$A$2:$FZ$601,488,Sync!$C$12)),0),"")</f>
        <v/>
      </c>
      <c r="C2739" s="23" t="str">
        <f aca="false">IF(B2739="","","office")</f>
        <v/>
      </c>
      <c r="D2739" s="23" t="str">
        <f aca="false">IF(B2739="","",IFERROR(INDEX(Office_Log!$ED$2:$ED$201,MATCH(IFERROR(INDEX(Clay_Offices!$A$2:$FZ$601,488,Sync!$C$5)&amp;"",""),Office_Log!$A$2:$A$201,0))&amp;"",IFERROR(INDEX(Clay_Offices!$A$2:$FZ$601,488,Sync!$C$5)&amp;"","")&amp;""))</f>
        <v/>
      </c>
      <c r="E2739" s="23" t="str">
        <f aca="false">IF(B2739="","",IFERROR(INDEX(Clay_Offices!$A$2:$FZ$601,488,Sync!$C$6)&amp;"",""))</f>
        <v/>
      </c>
      <c r="F2739" s="23" t="str">
        <f aca="false">IF(B2739="","","outreach_sent")</f>
        <v/>
      </c>
      <c r="G2739" s="23" t="str">
        <f aca="false">IF(B2739="","","")</f>
        <v/>
      </c>
      <c r="H2739" s="23" t="str">
        <f aca="false">IF(B2739="","","")</f>
        <v/>
      </c>
      <c r="I2739" s="23" t="str">
        <f aca="false">IF(B2739="","","")</f>
        <v/>
      </c>
      <c r="J2739" s="23" t="str">
        <f aca="false">IF(B2739="","","touch_2; "&amp;IFERROR(INDEX(Clay_Offices!$A$2:$FZ$601,488,Sync!$C$10)&amp;"","")&amp;"; "&amp;IFERROR(INDEX(Clay_Offices!$A$2:$FZ$601,488,Sync!$C$9)&amp;"",""))</f>
        <v/>
      </c>
      <c r="K2739" s="32" t="s">
        <v>1364</v>
      </c>
    </row>
    <row r="2740" customFormat="false" ht="15" hidden="false" customHeight="false" outlineLevel="0" collapsed="false">
      <c r="A2740" s="23" t="str">
        <f aca="false">IF(B2740="","",B2740+(13*1000+489)/10000000)</f>
        <v/>
      </c>
      <c r="B2740" s="35" t="str">
        <f aca="false">IF(AND(IFERROR(N(INDEX(Clay_Offices!$A$2:$FZ$601,489,Sync!$C$12)),0)&gt;0,IFERROR(INDEX(Clay_Offices!$A$2:$FZ$601,489,Sync!$C$5)&amp;"","")&lt;&gt;"",OR(LEFT(IFERROR(INDEX(Clay_Offices!$A$2:$FZ$601,489,Sync!$C$5)&amp;"",""),6)&lt;&gt;"SAMPLE",Config!$B$19="Y")),IFERROR(N(INDEX(Clay_Offices!$A$2:$FZ$601,489,Sync!$C$12)),0),"")</f>
        <v/>
      </c>
      <c r="C2740" s="23" t="str">
        <f aca="false">IF(B2740="","","office")</f>
        <v/>
      </c>
      <c r="D2740" s="23" t="str">
        <f aca="false">IF(B2740="","",IFERROR(INDEX(Office_Log!$ED$2:$ED$201,MATCH(IFERROR(INDEX(Clay_Offices!$A$2:$FZ$601,489,Sync!$C$5)&amp;"",""),Office_Log!$A$2:$A$201,0))&amp;"",IFERROR(INDEX(Clay_Offices!$A$2:$FZ$601,489,Sync!$C$5)&amp;"","")&amp;""))</f>
        <v/>
      </c>
      <c r="E2740" s="23" t="str">
        <f aca="false">IF(B2740="","",IFERROR(INDEX(Clay_Offices!$A$2:$FZ$601,489,Sync!$C$6)&amp;"",""))</f>
        <v/>
      </c>
      <c r="F2740" s="23" t="str">
        <f aca="false">IF(B2740="","","outreach_sent")</f>
        <v/>
      </c>
      <c r="G2740" s="23" t="str">
        <f aca="false">IF(B2740="","","")</f>
        <v/>
      </c>
      <c r="H2740" s="23" t="str">
        <f aca="false">IF(B2740="","","")</f>
        <v/>
      </c>
      <c r="I2740" s="23" t="str">
        <f aca="false">IF(B2740="","","")</f>
        <v/>
      </c>
      <c r="J2740" s="23" t="str">
        <f aca="false">IF(B2740="","","touch_2; "&amp;IFERROR(INDEX(Clay_Offices!$A$2:$FZ$601,489,Sync!$C$10)&amp;"","")&amp;"; "&amp;IFERROR(INDEX(Clay_Offices!$A$2:$FZ$601,489,Sync!$C$9)&amp;"",""))</f>
        <v/>
      </c>
      <c r="K2740" s="32" t="s">
        <v>1364</v>
      </c>
    </row>
    <row r="2741" customFormat="false" ht="15" hidden="false" customHeight="false" outlineLevel="0" collapsed="false">
      <c r="A2741" s="23" t="str">
        <f aca="false">IF(B2741="","",B2741+(13*1000+490)/10000000)</f>
        <v/>
      </c>
      <c r="B2741" s="35" t="str">
        <f aca="false">IF(AND(IFERROR(N(INDEX(Clay_Offices!$A$2:$FZ$601,490,Sync!$C$12)),0)&gt;0,IFERROR(INDEX(Clay_Offices!$A$2:$FZ$601,490,Sync!$C$5)&amp;"","")&lt;&gt;"",OR(LEFT(IFERROR(INDEX(Clay_Offices!$A$2:$FZ$601,490,Sync!$C$5)&amp;"",""),6)&lt;&gt;"SAMPLE",Config!$B$19="Y")),IFERROR(N(INDEX(Clay_Offices!$A$2:$FZ$601,490,Sync!$C$12)),0),"")</f>
        <v/>
      </c>
      <c r="C2741" s="23" t="str">
        <f aca="false">IF(B2741="","","office")</f>
        <v/>
      </c>
      <c r="D2741" s="23" t="str">
        <f aca="false">IF(B2741="","",IFERROR(INDEX(Office_Log!$ED$2:$ED$201,MATCH(IFERROR(INDEX(Clay_Offices!$A$2:$FZ$601,490,Sync!$C$5)&amp;"",""),Office_Log!$A$2:$A$201,0))&amp;"",IFERROR(INDEX(Clay_Offices!$A$2:$FZ$601,490,Sync!$C$5)&amp;"","")&amp;""))</f>
        <v/>
      </c>
      <c r="E2741" s="23" t="str">
        <f aca="false">IF(B2741="","",IFERROR(INDEX(Clay_Offices!$A$2:$FZ$601,490,Sync!$C$6)&amp;"",""))</f>
        <v/>
      </c>
      <c r="F2741" s="23" t="str">
        <f aca="false">IF(B2741="","","outreach_sent")</f>
        <v/>
      </c>
      <c r="G2741" s="23" t="str">
        <f aca="false">IF(B2741="","","")</f>
        <v/>
      </c>
      <c r="H2741" s="23" t="str">
        <f aca="false">IF(B2741="","","")</f>
        <v/>
      </c>
      <c r="I2741" s="23" t="str">
        <f aca="false">IF(B2741="","","")</f>
        <v/>
      </c>
      <c r="J2741" s="23" t="str">
        <f aca="false">IF(B2741="","","touch_2; "&amp;IFERROR(INDEX(Clay_Offices!$A$2:$FZ$601,490,Sync!$C$10)&amp;"","")&amp;"; "&amp;IFERROR(INDEX(Clay_Offices!$A$2:$FZ$601,490,Sync!$C$9)&amp;"",""))</f>
        <v/>
      </c>
      <c r="K2741" s="32" t="s">
        <v>1364</v>
      </c>
    </row>
    <row r="2742" customFormat="false" ht="15" hidden="false" customHeight="false" outlineLevel="0" collapsed="false">
      <c r="A2742" s="23" t="str">
        <f aca="false">IF(B2742="","",B2742+(13*1000+491)/10000000)</f>
        <v/>
      </c>
      <c r="B2742" s="35" t="str">
        <f aca="false">IF(AND(IFERROR(N(INDEX(Clay_Offices!$A$2:$FZ$601,491,Sync!$C$12)),0)&gt;0,IFERROR(INDEX(Clay_Offices!$A$2:$FZ$601,491,Sync!$C$5)&amp;"","")&lt;&gt;"",OR(LEFT(IFERROR(INDEX(Clay_Offices!$A$2:$FZ$601,491,Sync!$C$5)&amp;"",""),6)&lt;&gt;"SAMPLE",Config!$B$19="Y")),IFERROR(N(INDEX(Clay_Offices!$A$2:$FZ$601,491,Sync!$C$12)),0),"")</f>
        <v/>
      </c>
      <c r="C2742" s="23" t="str">
        <f aca="false">IF(B2742="","","office")</f>
        <v/>
      </c>
      <c r="D2742" s="23" t="str">
        <f aca="false">IF(B2742="","",IFERROR(INDEX(Office_Log!$ED$2:$ED$201,MATCH(IFERROR(INDEX(Clay_Offices!$A$2:$FZ$601,491,Sync!$C$5)&amp;"",""),Office_Log!$A$2:$A$201,0))&amp;"",IFERROR(INDEX(Clay_Offices!$A$2:$FZ$601,491,Sync!$C$5)&amp;"","")&amp;""))</f>
        <v/>
      </c>
      <c r="E2742" s="23" t="str">
        <f aca="false">IF(B2742="","",IFERROR(INDEX(Clay_Offices!$A$2:$FZ$601,491,Sync!$C$6)&amp;"",""))</f>
        <v/>
      </c>
      <c r="F2742" s="23" t="str">
        <f aca="false">IF(B2742="","","outreach_sent")</f>
        <v/>
      </c>
      <c r="G2742" s="23" t="str">
        <f aca="false">IF(B2742="","","")</f>
        <v/>
      </c>
      <c r="H2742" s="23" t="str">
        <f aca="false">IF(B2742="","","")</f>
        <v/>
      </c>
      <c r="I2742" s="23" t="str">
        <f aca="false">IF(B2742="","","")</f>
        <v/>
      </c>
      <c r="J2742" s="23" t="str">
        <f aca="false">IF(B2742="","","touch_2; "&amp;IFERROR(INDEX(Clay_Offices!$A$2:$FZ$601,491,Sync!$C$10)&amp;"","")&amp;"; "&amp;IFERROR(INDEX(Clay_Offices!$A$2:$FZ$601,491,Sync!$C$9)&amp;"",""))</f>
        <v/>
      </c>
      <c r="K2742" s="32" t="s">
        <v>1364</v>
      </c>
    </row>
    <row r="2743" customFormat="false" ht="15" hidden="false" customHeight="false" outlineLevel="0" collapsed="false">
      <c r="A2743" s="23" t="str">
        <f aca="false">IF(B2743="","",B2743+(13*1000+492)/10000000)</f>
        <v/>
      </c>
      <c r="B2743" s="35" t="str">
        <f aca="false">IF(AND(IFERROR(N(INDEX(Clay_Offices!$A$2:$FZ$601,492,Sync!$C$12)),0)&gt;0,IFERROR(INDEX(Clay_Offices!$A$2:$FZ$601,492,Sync!$C$5)&amp;"","")&lt;&gt;"",OR(LEFT(IFERROR(INDEX(Clay_Offices!$A$2:$FZ$601,492,Sync!$C$5)&amp;"",""),6)&lt;&gt;"SAMPLE",Config!$B$19="Y")),IFERROR(N(INDEX(Clay_Offices!$A$2:$FZ$601,492,Sync!$C$12)),0),"")</f>
        <v/>
      </c>
      <c r="C2743" s="23" t="str">
        <f aca="false">IF(B2743="","","office")</f>
        <v/>
      </c>
      <c r="D2743" s="23" t="str">
        <f aca="false">IF(B2743="","",IFERROR(INDEX(Office_Log!$ED$2:$ED$201,MATCH(IFERROR(INDEX(Clay_Offices!$A$2:$FZ$601,492,Sync!$C$5)&amp;"",""),Office_Log!$A$2:$A$201,0))&amp;"",IFERROR(INDEX(Clay_Offices!$A$2:$FZ$601,492,Sync!$C$5)&amp;"","")&amp;""))</f>
        <v/>
      </c>
      <c r="E2743" s="23" t="str">
        <f aca="false">IF(B2743="","",IFERROR(INDEX(Clay_Offices!$A$2:$FZ$601,492,Sync!$C$6)&amp;"",""))</f>
        <v/>
      </c>
      <c r="F2743" s="23" t="str">
        <f aca="false">IF(B2743="","","outreach_sent")</f>
        <v/>
      </c>
      <c r="G2743" s="23" t="str">
        <f aca="false">IF(B2743="","","")</f>
        <v/>
      </c>
      <c r="H2743" s="23" t="str">
        <f aca="false">IF(B2743="","","")</f>
        <v/>
      </c>
      <c r="I2743" s="23" t="str">
        <f aca="false">IF(B2743="","","")</f>
        <v/>
      </c>
      <c r="J2743" s="23" t="str">
        <f aca="false">IF(B2743="","","touch_2; "&amp;IFERROR(INDEX(Clay_Offices!$A$2:$FZ$601,492,Sync!$C$10)&amp;"","")&amp;"; "&amp;IFERROR(INDEX(Clay_Offices!$A$2:$FZ$601,492,Sync!$C$9)&amp;"",""))</f>
        <v/>
      </c>
      <c r="K2743" s="32" t="s">
        <v>1364</v>
      </c>
    </row>
    <row r="2744" customFormat="false" ht="15" hidden="false" customHeight="false" outlineLevel="0" collapsed="false">
      <c r="A2744" s="23" t="str">
        <f aca="false">IF(B2744="","",B2744+(13*1000+493)/10000000)</f>
        <v/>
      </c>
      <c r="B2744" s="35" t="str">
        <f aca="false">IF(AND(IFERROR(N(INDEX(Clay_Offices!$A$2:$FZ$601,493,Sync!$C$12)),0)&gt;0,IFERROR(INDEX(Clay_Offices!$A$2:$FZ$601,493,Sync!$C$5)&amp;"","")&lt;&gt;"",OR(LEFT(IFERROR(INDEX(Clay_Offices!$A$2:$FZ$601,493,Sync!$C$5)&amp;"",""),6)&lt;&gt;"SAMPLE",Config!$B$19="Y")),IFERROR(N(INDEX(Clay_Offices!$A$2:$FZ$601,493,Sync!$C$12)),0),"")</f>
        <v/>
      </c>
      <c r="C2744" s="23" t="str">
        <f aca="false">IF(B2744="","","office")</f>
        <v/>
      </c>
      <c r="D2744" s="23" t="str">
        <f aca="false">IF(B2744="","",IFERROR(INDEX(Office_Log!$ED$2:$ED$201,MATCH(IFERROR(INDEX(Clay_Offices!$A$2:$FZ$601,493,Sync!$C$5)&amp;"",""),Office_Log!$A$2:$A$201,0))&amp;"",IFERROR(INDEX(Clay_Offices!$A$2:$FZ$601,493,Sync!$C$5)&amp;"","")&amp;""))</f>
        <v/>
      </c>
      <c r="E2744" s="23" t="str">
        <f aca="false">IF(B2744="","",IFERROR(INDEX(Clay_Offices!$A$2:$FZ$601,493,Sync!$C$6)&amp;"",""))</f>
        <v/>
      </c>
      <c r="F2744" s="23" t="str">
        <f aca="false">IF(B2744="","","outreach_sent")</f>
        <v/>
      </c>
      <c r="G2744" s="23" t="str">
        <f aca="false">IF(B2744="","","")</f>
        <v/>
      </c>
      <c r="H2744" s="23" t="str">
        <f aca="false">IF(B2744="","","")</f>
        <v/>
      </c>
      <c r="I2744" s="23" t="str">
        <f aca="false">IF(B2744="","","")</f>
        <v/>
      </c>
      <c r="J2744" s="23" t="str">
        <f aca="false">IF(B2744="","","touch_2; "&amp;IFERROR(INDEX(Clay_Offices!$A$2:$FZ$601,493,Sync!$C$10)&amp;"","")&amp;"; "&amp;IFERROR(INDEX(Clay_Offices!$A$2:$FZ$601,493,Sync!$C$9)&amp;"",""))</f>
        <v/>
      </c>
      <c r="K2744" s="32" t="s">
        <v>1364</v>
      </c>
    </row>
    <row r="2745" customFormat="false" ht="15" hidden="false" customHeight="false" outlineLevel="0" collapsed="false">
      <c r="A2745" s="23" t="str">
        <f aca="false">IF(B2745="","",B2745+(13*1000+494)/10000000)</f>
        <v/>
      </c>
      <c r="B2745" s="35" t="str">
        <f aca="false">IF(AND(IFERROR(N(INDEX(Clay_Offices!$A$2:$FZ$601,494,Sync!$C$12)),0)&gt;0,IFERROR(INDEX(Clay_Offices!$A$2:$FZ$601,494,Sync!$C$5)&amp;"","")&lt;&gt;"",OR(LEFT(IFERROR(INDEX(Clay_Offices!$A$2:$FZ$601,494,Sync!$C$5)&amp;"",""),6)&lt;&gt;"SAMPLE",Config!$B$19="Y")),IFERROR(N(INDEX(Clay_Offices!$A$2:$FZ$601,494,Sync!$C$12)),0),"")</f>
        <v/>
      </c>
      <c r="C2745" s="23" t="str">
        <f aca="false">IF(B2745="","","office")</f>
        <v/>
      </c>
      <c r="D2745" s="23" t="str">
        <f aca="false">IF(B2745="","",IFERROR(INDEX(Office_Log!$ED$2:$ED$201,MATCH(IFERROR(INDEX(Clay_Offices!$A$2:$FZ$601,494,Sync!$C$5)&amp;"",""),Office_Log!$A$2:$A$201,0))&amp;"",IFERROR(INDEX(Clay_Offices!$A$2:$FZ$601,494,Sync!$C$5)&amp;"","")&amp;""))</f>
        <v/>
      </c>
      <c r="E2745" s="23" t="str">
        <f aca="false">IF(B2745="","",IFERROR(INDEX(Clay_Offices!$A$2:$FZ$601,494,Sync!$C$6)&amp;"",""))</f>
        <v/>
      </c>
      <c r="F2745" s="23" t="str">
        <f aca="false">IF(B2745="","","outreach_sent")</f>
        <v/>
      </c>
      <c r="G2745" s="23" t="str">
        <f aca="false">IF(B2745="","","")</f>
        <v/>
      </c>
      <c r="H2745" s="23" t="str">
        <f aca="false">IF(B2745="","","")</f>
        <v/>
      </c>
      <c r="I2745" s="23" t="str">
        <f aca="false">IF(B2745="","","")</f>
        <v/>
      </c>
      <c r="J2745" s="23" t="str">
        <f aca="false">IF(B2745="","","touch_2; "&amp;IFERROR(INDEX(Clay_Offices!$A$2:$FZ$601,494,Sync!$C$10)&amp;"","")&amp;"; "&amp;IFERROR(INDEX(Clay_Offices!$A$2:$FZ$601,494,Sync!$C$9)&amp;"",""))</f>
        <v/>
      </c>
      <c r="K2745" s="32" t="s">
        <v>1364</v>
      </c>
    </row>
    <row r="2746" customFormat="false" ht="15" hidden="false" customHeight="false" outlineLevel="0" collapsed="false">
      <c r="A2746" s="23" t="str">
        <f aca="false">IF(B2746="","",B2746+(13*1000+495)/10000000)</f>
        <v/>
      </c>
      <c r="B2746" s="35" t="str">
        <f aca="false">IF(AND(IFERROR(N(INDEX(Clay_Offices!$A$2:$FZ$601,495,Sync!$C$12)),0)&gt;0,IFERROR(INDEX(Clay_Offices!$A$2:$FZ$601,495,Sync!$C$5)&amp;"","")&lt;&gt;"",OR(LEFT(IFERROR(INDEX(Clay_Offices!$A$2:$FZ$601,495,Sync!$C$5)&amp;"",""),6)&lt;&gt;"SAMPLE",Config!$B$19="Y")),IFERROR(N(INDEX(Clay_Offices!$A$2:$FZ$601,495,Sync!$C$12)),0),"")</f>
        <v/>
      </c>
      <c r="C2746" s="23" t="str">
        <f aca="false">IF(B2746="","","office")</f>
        <v/>
      </c>
      <c r="D2746" s="23" t="str">
        <f aca="false">IF(B2746="","",IFERROR(INDEX(Office_Log!$ED$2:$ED$201,MATCH(IFERROR(INDEX(Clay_Offices!$A$2:$FZ$601,495,Sync!$C$5)&amp;"",""),Office_Log!$A$2:$A$201,0))&amp;"",IFERROR(INDEX(Clay_Offices!$A$2:$FZ$601,495,Sync!$C$5)&amp;"","")&amp;""))</f>
        <v/>
      </c>
      <c r="E2746" s="23" t="str">
        <f aca="false">IF(B2746="","",IFERROR(INDEX(Clay_Offices!$A$2:$FZ$601,495,Sync!$C$6)&amp;"",""))</f>
        <v/>
      </c>
      <c r="F2746" s="23" t="str">
        <f aca="false">IF(B2746="","","outreach_sent")</f>
        <v/>
      </c>
      <c r="G2746" s="23" t="str">
        <f aca="false">IF(B2746="","","")</f>
        <v/>
      </c>
      <c r="H2746" s="23" t="str">
        <f aca="false">IF(B2746="","","")</f>
        <v/>
      </c>
      <c r="I2746" s="23" t="str">
        <f aca="false">IF(B2746="","","")</f>
        <v/>
      </c>
      <c r="J2746" s="23" t="str">
        <f aca="false">IF(B2746="","","touch_2; "&amp;IFERROR(INDEX(Clay_Offices!$A$2:$FZ$601,495,Sync!$C$10)&amp;"","")&amp;"; "&amp;IFERROR(INDEX(Clay_Offices!$A$2:$FZ$601,495,Sync!$C$9)&amp;"",""))</f>
        <v/>
      </c>
      <c r="K2746" s="32" t="s">
        <v>1364</v>
      </c>
    </row>
    <row r="2747" customFormat="false" ht="15" hidden="false" customHeight="false" outlineLevel="0" collapsed="false">
      <c r="A2747" s="23" t="str">
        <f aca="false">IF(B2747="","",B2747+(13*1000+496)/10000000)</f>
        <v/>
      </c>
      <c r="B2747" s="35" t="str">
        <f aca="false">IF(AND(IFERROR(N(INDEX(Clay_Offices!$A$2:$FZ$601,496,Sync!$C$12)),0)&gt;0,IFERROR(INDEX(Clay_Offices!$A$2:$FZ$601,496,Sync!$C$5)&amp;"","")&lt;&gt;"",OR(LEFT(IFERROR(INDEX(Clay_Offices!$A$2:$FZ$601,496,Sync!$C$5)&amp;"",""),6)&lt;&gt;"SAMPLE",Config!$B$19="Y")),IFERROR(N(INDEX(Clay_Offices!$A$2:$FZ$601,496,Sync!$C$12)),0),"")</f>
        <v/>
      </c>
      <c r="C2747" s="23" t="str">
        <f aca="false">IF(B2747="","","office")</f>
        <v/>
      </c>
      <c r="D2747" s="23" t="str">
        <f aca="false">IF(B2747="","",IFERROR(INDEX(Office_Log!$ED$2:$ED$201,MATCH(IFERROR(INDEX(Clay_Offices!$A$2:$FZ$601,496,Sync!$C$5)&amp;"",""),Office_Log!$A$2:$A$201,0))&amp;"",IFERROR(INDEX(Clay_Offices!$A$2:$FZ$601,496,Sync!$C$5)&amp;"","")&amp;""))</f>
        <v/>
      </c>
      <c r="E2747" s="23" t="str">
        <f aca="false">IF(B2747="","",IFERROR(INDEX(Clay_Offices!$A$2:$FZ$601,496,Sync!$C$6)&amp;"",""))</f>
        <v/>
      </c>
      <c r="F2747" s="23" t="str">
        <f aca="false">IF(B2747="","","outreach_sent")</f>
        <v/>
      </c>
      <c r="G2747" s="23" t="str">
        <f aca="false">IF(B2747="","","")</f>
        <v/>
      </c>
      <c r="H2747" s="23" t="str">
        <f aca="false">IF(B2747="","","")</f>
        <v/>
      </c>
      <c r="I2747" s="23" t="str">
        <f aca="false">IF(B2747="","","")</f>
        <v/>
      </c>
      <c r="J2747" s="23" t="str">
        <f aca="false">IF(B2747="","","touch_2; "&amp;IFERROR(INDEX(Clay_Offices!$A$2:$FZ$601,496,Sync!$C$10)&amp;"","")&amp;"; "&amp;IFERROR(INDEX(Clay_Offices!$A$2:$FZ$601,496,Sync!$C$9)&amp;"",""))</f>
        <v/>
      </c>
      <c r="K2747" s="32" t="s">
        <v>1364</v>
      </c>
    </row>
    <row r="2748" customFormat="false" ht="15" hidden="false" customHeight="false" outlineLevel="0" collapsed="false">
      <c r="A2748" s="23" t="str">
        <f aca="false">IF(B2748="","",B2748+(13*1000+497)/10000000)</f>
        <v/>
      </c>
      <c r="B2748" s="35" t="str">
        <f aca="false">IF(AND(IFERROR(N(INDEX(Clay_Offices!$A$2:$FZ$601,497,Sync!$C$12)),0)&gt;0,IFERROR(INDEX(Clay_Offices!$A$2:$FZ$601,497,Sync!$C$5)&amp;"","")&lt;&gt;"",OR(LEFT(IFERROR(INDEX(Clay_Offices!$A$2:$FZ$601,497,Sync!$C$5)&amp;"",""),6)&lt;&gt;"SAMPLE",Config!$B$19="Y")),IFERROR(N(INDEX(Clay_Offices!$A$2:$FZ$601,497,Sync!$C$12)),0),"")</f>
        <v/>
      </c>
      <c r="C2748" s="23" t="str">
        <f aca="false">IF(B2748="","","office")</f>
        <v/>
      </c>
      <c r="D2748" s="23" t="str">
        <f aca="false">IF(B2748="","",IFERROR(INDEX(Office_Log!$ED$2:$ED$201,MATCH(IFERROR(INDEX(Clay_Offices!$A$2:$FZ$601,497,Sync!$C$5)&amp;"",""),Office_Log!$A$2:$A$201,0))&amp;"",IFERROR(INDEX(Clay_Offices!$A$2:$FZ$601,497,Sync!$C$5)&amp;"","")&amp;""))</f>
        <v/>
      </c>
      <c r="E2748" s="23" t="str">
        <f aca="false">IF(B2748="","",IFERROR(INDEX(Clay_Offices!$A$2:$FZ$601,497,Sync!$C$6)&amp;"",""))</f>
        <v/>
      </c>
      <c r="F2748" s="23" t="str">
        <f aca="false">IF(B2748="","","outreach_sent")</f>
        <v/>
      </c>
      <c r="G2748" s="23" t="str">
        <f aca="false">IF(B2748="","","")</f>
        <v/>
      </c>
      <c r="H2748" s="23" t="str">
        <f aca="false">IF(B2748="","","")</f>
        <v/>
      </c>
      <c r="I2748" s="23" t="str">
        <f aca="false">IF(B2748="","","")</f>
        <v/>
      </c>
      <c r="J2748" s="23" t="str">
        <f aca="false">IF(B2748="","","touch_2; "&amp;IFERROR(INDEX(Clay_Offices!$A$2:$FZ$601,497,Sync!$C$10)&amp;"","")&amp;"; "&amp;IFERROR(INDEX(Clay_Offices!$A$2:$FZ$601,497,Sync!$C$9)&amp;"",""))</f>
        <v/>
      </c>
      <c r="K2748" s="32" t="s">
        <v>1364</v>
      </c>
    </row>
    <row r="2749" customFormat="false" ht="15" hidden="false" customHeight="false" outlineLevel="0" collapsed="false">
      <c r="A2749" s="23" t="str">
        <f aca="false">IF(B2749="","",B2749+(13*1000+498)/10000000)</f>
        <v/>
      </c>
      <c r="B2749" s="35" t="str">
        <f aca="false">IF(AND(IFERROR(N(INDEX(Clay_Offices!$A$2:$FZ$601,498,Sync!$C$12)),0)&gt;0,IFERROR(INDEX(Clay_Offices!$A$2:$FZ$601,498,Sync!$C$5)&amp;"","")&lt;&gt;"",OR(LEFT(IFERROR(INDEX(Clay_Offices!$A$2:$FZ$601,498,Sync!$C$5)&amp;"",""),6)&lt;&gt;"SAMPLE",Config!$B$19="Y")),IFERROR(N(INDEX(Clay_Offices!$A$2:$FZ$601,498,Sync!$C$12)),0),"")</f>
        <v/>
      </c>
      <c r="C2749" s="23" t="str">
        <f aca="false">IF(B2749="","","office")</f>
        <v/>
      </c>
      <c r="D2749" s="23" t="str">
        <f aca="false">IF(B2749="","",IFERROR(INDEX(Office_Log!$ED$2:$ED$201,MATCH(IFERROR(INDEX(Clay_Offices!$A$2:$FZ$601,498,Sync!$C$5)&amp;"",""),Office_Log!$A$2:$A$201,0))&amp;"",IFERROR(INDEX(Clay_Offices!$A$2:$FZ$601,498,Sync!$C$5)&amp;"","")&amp;""))</f>
        <v/>
      </c>
      <c r="E2749" s="23" t="str">
        <f aca="false">IF(B2749="","",IFERROR(INDEX(Clay_Offices!$A$2:$FZ$601,498,Sync!$C$6)&amp;"",""))</f>
        <v/>
      </c>
      <c r="F2749" s="23" t="str">
        <f aca="false">IF(B2749="","","outreach_sent")</f>
        <v/>
      </c>
      <c r="G2749" s="23" t="str">
        <f aca="false">IF(B2749="","","")</f>
        <v/>
      </c>
      <c r="H2749" s="23" t="str">
        <f aca="false">IF(B2749="","","")</f>
        <v/>
      </c>
      <c r="I2749" s="23" t="str">
        <f aca="false">IF(B2749="","","")</f>
        <v/>
      </c>
      <c r="J2749" s="23" t="str">
        <f aca="false">IF(B2749="","","touch_2; "&amp;IFERROR(INDEX(Clay_Offices!$A$2:$FZ$601,498,Sync!$C$10)&amp;"","")&amp;"; "&amp;IFERROR(INDEX(Clay_Offices!$A$2:$FZ$601,498,Sync!$C$9)&amp;"",""))</f>
        <v/>
      </c>
      <c r="K2749" s="32" t="s">
        <v>1364</v>
      </c>
    </row>
    <row r="2750" customFormat="false" ht="15" hidden="false" customHeight="false" outlineLevel="0" collapsed="false">
      <c r="A2750" s="23" t="str">
        <f aca="false">IF(B2750="","",B2750+(13*1000+499)/10000000)</f>
        <v/>
      </c>
      <c r="B2750" s="35" t="str">
        <f aca="false">IF(AND(IFERROR(N(INDEX(Clay_Offices!$A$2:$FZ$601,499,Sync!$C$12)),0)&gt;0,IFERROR(INDEX(Clay_Offices!$A$2:$FZ$601,499,Sync!$C$5)&amp;"","")&lt;&gt;"",OR(LEFT(IFERROR(INDEX(Clay_Offices!$A$2:$FZ$601,499,Sync!$C$5)&amp;"",""),6)&lt;&gt;"SAMPLE",Config!$B$19="Y")),IFERROR(N(INDEX(Clay_Offices!$A$2:$FZ$601,499,Sync!$C$12)),0),"")</f>
        <v/>
      </c>
      <c r="C2750" s="23" t="str">
        <f aca="false">IF(B2750="","","office")</f>
        <v/>
      </c>
      <c r="D2750" s="23" t="str">
        <f aca="false">IF(B2750="","",IFERROR(INDEX(Office_Log!$ED$2:$ED$201,MATCH(IFERROR(INDEX(Clay_Offices!$A$2:$FZ$601,499,Sync!$C$5)&amp;"",""),Office_Log!$A$2:$A$201,0))&amp;"",IFERROR(INDEX(Clay_Offices!$A$2:$FZ$601,499,Sync!$C$5)&amp;"","")&amp;""))</f>
        <v/>
      </c>
      <c r="E2750" s="23" t="str">
        <f aca="false">IF(B2750="","",IFERROR(INDEX(Clay_Offices!$A$2:$FZ$601,499,Sync!$C$6)&amp;"",""))</f>
        <v/>
      </c>
      <c r="F2750" s="23" t="str">
        <f aca="false">IF(B2750="","","outreach_sent")</f>
        <v/>
      </c>
      <c r="G2750" s="23" t="str">
        <f aca="false">IF(B2750="","","")</f>
        <v/>
      </c>
      <c r="H2750" s="23" t="str">
        <f aca="false">IF(B2750="","","")</f>
        <v/>
      </c>
      <c r="I2750" s="23" t="str">
        <f aca="false">IF(B2750="","","")</f>
        <v/>
      </c>
      <c r="J2750" s="23" t="str">
        <f aca="false">IF(B2750="","","touch_2; "&amp;IFERROR(INDEX(Clay_Offices!$A$2:$FZ$601,499,Sync!$C$10)&amp;"","")&amp;"; "&amp;IFERROR(INDEX(Clay_Offices!$A$2:$FZ$601,499,Sync!$C$9)&amp;"",""))</f>
        <v/>
      </c>
      <c r="K2750" s="32" t="s">
        <v>1364</v>
      </c>
    </row>
    <row r="2751" customFormat="false" ht="15" hidden="false" customHeight="false" outlineLevel="0" collapsed="false">
      <c r="A2751" s="23" t="str">
        <f aca="false">IF(B2751="","",B2751+(13*1000+500)/10000000)</f>
        <v/>
      </c>
      <c r="B2751" s="35" t="str">
        <f aca="false">IF(AND(IFERROR(N(INDEX(Clay_Offices!$A$2:$FZ$601,500,Sync!$C$12)),0)&gt;0,IFERROR(INDEX(Clay_Offices!$A$2:$FZ$601,500,Sync!$C$5)&amp;"","")&lt;&gt;"",OR(LEFT(IFERROR(INDEX(Clay_Offices!$A$2:$FZ$601,500,Sync!$C$5)&amp;"",""),6)&lt;&gt;"SAMPLE",Config!$B$19="Y")),IFERROR(N(INDEX(Clay_Offices!$A$2:$FZ$601,500,Sync!$C$12)),0),"")</f>
        <v/>
      </c>
      <c r="C2751" s="23" t="str">
        <f aca="false">IF(B2751="","","office")</f>
        <v/>
      </c>
      <c r="D2751" s="23" t="str">
        <f aca="false">IF(B2751="","",IFERROR(INDEX(Office_Log!$ED$2:$ED$201,MATCH(IFERROR(INDEX(Clay_Offices!$A$2:$FZ$601,500,Sync!$C$5)&amp;"",""),Office_Log!$A$2:$A$201,0))&amp;"",IFERROR(INDEX(Clay_Offices!$A$2:$FZ$601,500,Sync!$C$5)&amp;"","")&amp;""))</f>
        <v/>
      </c>
      <c r="E2751" s="23" t="str">
        <f aca="false">IF(B2751="","",IFERROR(INDEX(Clay_Offices!$A$2:$FZ$601,500,Sync!$C$6)&amp;"",""))</f>
        <v/>
      </c>
      <c r="F2751" s="23" t="str">
        <f aca="false">IF(B2751="","","outreach_sent")</f>
        <v/>
      </c>
      <c r="G2751" s="23" t="str">
        <f aca="false">IF(B2751="","","")</f>
        <v/>
      </c>
      <c r="H2751" s="23" t="str">
        <f aca="false">IF(B2751="","","")</f>
        <v/>
      </c>
      <c r="I2751" s="23" t="str">
        <f aca="false">IF(B2751="","","")</f>
        <v/>
      </c>
      <c r="J2751" s="23" t="str">
        <f aca="false">IF(B2751="","","touch_2; "&amp;IFERROR(INDEX(Clay_Offices!$A$2:$FZ$601,500,Sync!$C$10)&amp;"","")&amp;"; "&amp;IFERROR(INDEX(Clay_Offices!$A$2:$FZ$601,500,Sync!$C$9)&amp;"",""))</f>
        <v/>
      </c>
      <c r="K2751" s="32" t="s">
        <v>1364</v>
      </c>
    </row>
    <row r="2752" customFormat="false" ht="15" hidden="false" customHeight="false" outlineLevel="0" collapsed="false">
      <c r="A2752" s="23" t="str">
        <f aca="false">IF(B2752="","",B2752+(13*1000+501)/10000000)</f>
        <v/>
      </c>
      <c r="B2752" s="35" t="str">
        <f aca="false">IF(AND(IFERROR(N(INDEX(Clay_Offices!$A$2:$FZ$601,501,Sync!$C$12)),0)&gt;0,IFERROR(INDEX(Clay_Offices!$A$2:$FZ$601,501,Sync!$C$5)&amp;"","")&lt;&gt;"",OR(LEFT(IFERROR(INDEX(Clay_Offices!$A$2:$FZ$601,501,Sync!$C$5)&amp;"",""),6)&lt;&gt;"SAMPLE",Config!$B$19="Y")),IFERROR(N(INDEX(Clay_Offices!$A$2:$FZ$601,501,Sync!$C$12)),0),"")</f>
        <v/>
      </c>
      <c r="C2752" s="23" t="str">
        <f aca="false">IF(B2752="","","office")</f>
        <v/>
      </c>
      <c r="D2752" s="23" t="str">
        <f aca="false">IF(B2752="","",IFERROR(INDEX(Office_Log!$ED$2:$ED$201,MATCH(IFERROR(INDEX(Clay_Offices!$A$2:$FZ$601,501,Sync!$C$5)&amp;"",""),Office_Log!$A$2:$A$201,0))&amp;"",IFERROR(INDEX(Clay_Offices!$A$2:$FZ$601,501,Sync!$C$5)&amp;"","")&amp;""))</f>
        <v/>
      </c>
      <c r="E2752" s="23" t="str">
        <f aca="false">IF(B2752="","",IFERROR(INDEX(Clay_Offices!$A$2:$FZ$601,501,Sync!$C$6)&amp;"",""))</f>
        <v/>
      </c>
      <c r="F2752" s="23" t="str">
        <f aca="false">IF(B2752="","","outreach_sent")</f>
        <v/>
      </c>
      <c r="G2752" s="23" t="str">
        <f aca="false">IF(B2752="","","")</f>
        <v/>
      </c>
      <c r="H2752" s="23" t="str">
        <f aca="false">IF(B2752="","","")</f>
        <v/>
      </c>
      <c r="I2752" s="23" t="str">
        <f aca="false">IF(B2752="","","")</f>
        <v/>
      </c>
      <c r="J2752" s="23" t="str">
        <f aca="false">IF(B2752="","","touch_2; "&amp;IFERROR(INDEX(Clay_Offices!$A$2:$FZ$601,501,Sync!$C$10)&amp;"","")&amp;"; "&amp;IFERROR(INDEX(Clay_Offices!$A$2:$FZ$601,501,Sync!$C$9)&amp;"",""))</f>
        <v/>
      </c>
      <c r="K2752" s="32" t="s">
        <v>1364</v>
      </c>
    </row>
    <row r="2753" customFormat="false" ht="15" hidden="false" customHeight="false" outlineLevel="0" collapsed="false">
      <c r="A2753" s="23" t="str">
        <f aca="false">IF(B2753="","",B2753+(13*1000+502)/10000000)</f>
        <v/>
      </c>
      <c r="B2753" s="35" t="str">
        <f aca="false">IF(AND(IFERROR(N(INDEX(Clay_Offices!$A$2:$FZ$601,502,Sync!$C$12)),0)&gt;0,IFERROR(INDEX(Clay_Offices!$A$2:$FZ$601,502,Sync!$C$5)&amp;"","")&lt;&gt;"",OR(LEFT(IFERROR(INDEX(Clay_Offices!$A$2:$FZ$601,502,Sync!$C$5)&amp;"",""),6)&lt;&gt;"SAMPLE",Config!$B$19="Y")),IFERROR(N(INDEX(Clay_Offices!$A$2:$FZ$601,502,Sync!$C$12)),0),"")</f>
        <v/>
      </c>
      <c r="C2753" s="23" t="str">
        <f aca="false">IF(B2753="","","office")</f>
        <v/>
      </c>
      <c r="D2753" s="23" t="str">
        <f aca="false">IF(B2753="","",IFERROR(INDEX(Office_Log!$ED$2:$ED$201,MATCH(IFERROR(INDEX(Clay_Offices!$A$2:$FZ$601,502,Sync!$C$5)&amp;"",""),Office_Log!$A$2:$A$201,0))&amp;"",IFERROR(INDEX(Clay_Offices!$A$2:$FZ$601,502,Sync!$C$5)&amp;"","")&amp;""))</f>
        <v/>
      </c>
      <c r="E2753" s="23" t="str">
        <f aca="false">IF(B2753="","",IFERROR(INDEX(Clay_Offices!$A$2:$FZ$601,502,Sync!$C$6)&amp;"",""))</f>
        <v/>
      </c>
      <c r="F2753" s="23" t="str">
        <f aca="false">IF(B2753="","","outreach_sent")</f>
        <v/>
      </c>
      <c r="G2753" s="23" t="str">
        <f aca="false">IF(B2753="","","")</f>
        <v/>
      </c>
      <c r="H2753" s="23" t="str">
        <f aca="false">IF(B2753="","","")</f>
        <v/>
      </c>
      <c r="I2753" s="23" t="str">
        <f aca="false">IF(B2753="","","")</f>
        <v/>
      </c>
      <c r="J2753" s="23" t="str">
        <f aca="false">IF(B2753="","","touch_2; "&amp;IFERROR(INDEX(Clay_Offices!$A$2:$FZ$601,502,Sync!$C$10)&amp;"","")&amp;"; "&amp;IFERROR(INDEX(Clay_Offices!$A$2:$FZ$601,502,Sync!$C$9)&amp;"",""))</f>
        <v/>
      </c>
      <c r="K2753" s="32" t="s">
        <v>1364</v>
      </c>
    </row>
    <row r="2754" customFormat="false" ht="15" hidden="false" customHeight="false" outlineLevel="0" collapsed="false">
      <c r="A2754" s="23" t="str">
        <f aca="false">IF(B2754="","",B2754+(13*1000+503)/10000000)</f>
        <v/>
      </c>
      <c r="B2754" s="35" t="str">
        <f aca="false">IF(AND(IFERROR(N(INDEX(Clay_Offices!$A$2:$FZ$601,503,Sync!$C$12)),0)&gt;0,IFERROR(INDEX(Clay_Offices!$A$2:$FZ$601,503,Sync!$C$5)&amp;"","")&lt;&gt;"",OR(LEFT(IFERROR(INDEX(Clay_Offices!$A$2:$FZ$601,503,Sync!$C$5)&amp;"",""),6)&lt;&gt;"SAMPLE",Config!$B$19="Y")),IFERROR(N(INDEX(Clay_Offices!$A$2:$FZ$601,503,Sync!$C$12)),0),"")</f>
        <v/>
      </c>
      <c r="C2754" s="23" t="str">
        <f aca="false">IF(B2754="","","office")</f>
        <v/>
      </c>
      <c r="D2754" s="23" t="str">
        <f aca="false">IF(B2754="","",IFERROR(INDEX(Office_Log!$ED$2:$ED$201,MATCH(IFERROR(INDEX(Clay_Offices!$A$2:$FZ$601,503,Sync!$C$5)&amp;"",""),Office_Log!$A$2:$A$201,0))&amp;"",IFERROR(INDEX(Clay_Offices!$A$2:$FZ$601,503,Sync!$C$5)&amp;"","")&amp;""))</f>
        <v/>
      </c>
      <c r="E2754" s="23" t="str">
        <f aca="false">IF(B2754="","",IFERROR(INDEX(Clay_Offices!$A$2:$FZ$601,503,Sync!$C$6)&amp;"",""))</f>
        <v/>
      </c>
      <c r="F2754" s="23" t="str">
        <f aca="false">IF(B2754="","","outreach_sent")</f>
        <v/>
      </c>
      <c r="G2754" s="23" t="str">
        <f aca="false">IF(B2754="","","")</f>
        <v/>
      </c>
      <c r="H2754" s="23" t="str">
        <f aca="false">IF(B2754="","","")</f>
        <v/>
      </c>
      <c r="I2754" s="23" t="str">
        <f aca="false">IF(B2754="","","")</f>
        <v/>
      </c>
      <c r="J2754" s="23" t="str">
        <f aca="false">IF(B2754="","","touch_2; "&amp;IFERROR(INDEX(Clay_Offices!$A$2:$FZ$601,503,Sync!$C$10)&amp;"","")&amp;"; "&amp;IFERROR(INDEX(Clay_Offices!$A$2:$FZ$601,503,Sync!$C$9)&amp;"",""))</f>
        <v/>
      </c>
      <c r="K2754" s="32" t="s">
        <v>1364</v>
      </c>
    </row>
    <row r="2755" customFormat="false" ht="15" hidden="false" customHeight="false" outlineLevel="0" collapsed="false">
      <c r="A2755" s="23" t="str">
        <f aca="false">IF(B2755="","",B2755+(13*1000+504)/10000000)</f>
        <v/>
      </c>
      <c r="B2755" s="35" t="str">
        <f aca="false">IF(AND(IFERROR(N(INDEX(Clay_Offices!$A$2:$FZ$601,504,Sync!$C$12)),0)&gt;0,IFERROR(INDEX(Clay_Offices!$A$2:$FZ$601,504,Sync!$C$5)&amp;"","")&lt;&gt;"",OR(LEFT(IFERROR(INDEX(Clay_Offices!$A$2:$FZ$601,504,Sync!$C$5)&amp;"",""),6)&lt;&gt;"SAMPLE",Config!$B$19="Y")),IFERROR(N(INDEX(Clay_Offices!$A$2:$FZ$601,504,Sync!$C$12)),0),"")</f>
        <v/>
      </c>
      <c r="C2755" s="23" t="str">
        <f aca="false">IF(B2755="","","office")</f>
        <v/>
      </c>
      <c r="D2755" s="23" t="str">
        <f aca="false">IF(B2755="","",IFERROR(INDEX(Office_Log!$ED$2:$ED$201,MATCH(IFERROR(INDEX(Clay_Offices!$A$2:$FZ$601,504,Sync!$C$5)&amp;"",""),Office_Log!$A$2:$A$201,0))&amp;"",IFERROR(INDEX(Clay_Offices!$A$2:$FZ$601,504,Sync!$C$5)&amp;"","")&amp;""))</f>
        <v/>
      </c>
      <c r="E2755" s="23" t="str">
        <f aca="false">IF(B2755="","",IFERROR(INDEX(Clay_Offices!$A$2:$FZ$601,504,Sync!$C$6)&amp;"",""))</f>
        <v/>
      </c>
      <c r="F2755" s="23" t="str">
        <f aca="false">IF(B2755="","","outreach_sent")</f>
        <v/>
      </c>
      <c r="G2755" s="23" t="str">
        <f aca="false">IF(B2755="","","")</f>
        <v/>
      </c>
      <c r="H2755" s="23" t="str">
        <f aca="false">IF(B2755="","","")</f>
        <v/>
      </c>
      <c r="I2755" s="23" t="str">
        <f aca="false">IF(B2755="","","")</f>
        <v/>
      </c>
      <c r="J2755" s="23" t="str">
        <f aca="false">IF(B2755="","","touch_2; "&amp;IFERROR(INDEX(Clay_Offices!$A$2:$FZ$601,504,Sync!$C$10)&amp;"","")&amp;"; "&amp;IFERROR(INDEX(Clay_Offices!$A$2:$FZ$601,504,Sync!$C$9)&amp;"",""))</f>
        <v/>
      </c>
      <c r="K2755" s="32" t="s">
        <v>1364</v>
      </c>
    </row>
    <row r="2756" customFormat="false" ht="15" hidden="false" customHeight="false" outlineLevel="0" collapsed="false">
      <c r="A2756" s="23" t="str">
        <f aca="false">IF(B2756="","",B2756+(13*1000+505)/10000000)</f>
        <v/>
      </c>
      <c r="B2756" s="35" t="str">
        <f aca="false">IF(AND(IFERROR(N(INDEX(Clay_Offices!$A$2:$FZ$601,505,Sync!$C$12)),0)&gt;0,IFERROR(INDEX(Clay_Offices!$A$2:$FZ$601,505,Sync!$C$5)&amp;"","")&lt;&gt;"",OR(LEFT(IFERROR(INDEX(Clay_Offices!$A$2:$FZ$601,505,Sync!$C$5)&amp;"",""),6)&lt;&gt;"SAMPLE",Config!$B$19="Y")),IFERROR(N(INDEX(Clay_Offices!$A$2:$FZ$601,505,Sync!$C$12)),0),"")</f>
        <v/>
      </c>
      <c r="C2756" s="23" t="str">
        <f aca="false">IF(B2756="","","office")</f>
        <v/>
      </c>
      <c r="D2756" s="23" t="str">
        <f aca="false">IF(B2756="","",IFERROR(INDEX(Office_Log!$ED$2:$ED$201,MATCH(IFERROR(INDEX(Clay_Offices!$A$2:$FZ$601,505,Sync!$C$5)&amp;"",""),Office_Log!$A$2:$A$201,0))&amp;"",IFERROR(INDEX(Clay_Offices!$A$2:$FZ$601,505,Sync!$C$5)&amp;"","")&amp;""))</f>
        <v/>
      </c>
      <c r="E2756" s="23" t="str">
        <f aca="false">IF(B2756="","",IFERROR(INDEX(Clay_Offices!$A$2:$FZ$601,505,Sync!$C$6)&amp;"",""))</f>
        <v/>
      </c>
      <c r="F2756" s="23" t="str">
        <f aca="false">IF(B2756="","","outreach_sent")</f>
        <v/>
      </c>
      <c r="G2756" s="23" t="str">
        <f aca="false">IF(B2756="","","")</f>
        <v/>
      </c>
      <c r="H2756" s="23" t="str">
        <f aca="false">IF(B2756="","","")</f>
        <v/>
      </c>
      <c r="I2756" s="23" t="str">
        <f aca="false">IF(B2756="","","")</f>
        <v/>
      </c>
      <c r="J2756" s="23" t="str">
        <f aca="false">IF(B2756="","","touch_2; "&amp;IFERROR(INDEX(Clay_Offices!$A$2:$FZ$601,505,Sync!$C$10)&amp;"","")&amp;"; "&amp;IFERROR(INDEX(Clay_Offices!$A$2:$FZ$601,505,Sync!$C$9)&amp;"",""))</f>
        <v/>
      </c>
      <c r="K2756" s="32" t="s">
        <v>1364</v>
      </c>
    </row>
    <row r="2757" customFormat="false" ht="15" hidden="false" customHeight="false" outlineLevel="0" collapsed="false">
      <c r="A2757" s="23" t="str">
        <f aca="false">IF(B2757="","",B2757+(13*1000+506)/10000000)</f>
        <v/>
      </c>
      <c r="B2757" s="35" t="str">
        <f aca="false">IF(AND(IFERROR(N(INDEX(Clay_Offices!$A$2:$FZ$601,506,Sync!$C$12)),0)&gt;0,IFERROR(INDEX(Clay_Offices!$A$2:$FZ$601,506,Sync!$C$5)&amp;"","")&lt;&gt;"",OR(LEFT(IFERROR(INDEX(Clay_Offices!$A$2:$FZ$601,506,Sync!$C$5)&amp;"",""),6)&lt;&gt;"SAMPLE",Config!$B$19="Y")),IFERROR(N(INDEX(Clay_Offices!$A$2:$FZ$601,506,Sync!$C$12)),0),"")</f>
        <v/>
      </c>
      <c r="C2757" s="23" t="str">
        <f aca="false">IF(B2757="","","office")</f>
        <v/>
      </c>
      <c r="D2757" s="23" t="str">
        <f aca="false">IF(B2757="","",IFERROR(INDEX(Office_Log!$ED$2:$ED$201,MATCH(IFERROR(INDEX(Clay_Offices!$A$2:$FZ$601,506,Sync!$C$5)&amp;"",""),Office_Log!$A$2:$A$201,0))&amp;"",IFERROR(INDEX(Clay_Offices!$A$2:$FZ$601,506,Sync!$C$5)&amp;"","")&amp;""))</f>
        <v/>
      </c>
      <c r="E2757" s="23" t="str">
        <f aca="false">IF(B2757="","",IFERROR(INDEX(Clay_Offices!$A$2:$FZ$601,506,Sync!$C$6)&amp;"",""))</f>
        <v/>
      </c>
      <c r="F2757" s="23" t="str">
        <f aca="false">IF(B2757="","","outreach_sent")</f>
        <v/>
      </c>
      <c r="G2757" s="23" t="str">
        <f aca="false">IF(B2757="","","")</f>
        <v/>
      </c>
      <c r="H2757" s="23" t="str">
        <f aca="false">IF(B2757="","","")</f>
        <v/>
      </c>
      <c r="I2757" s="23" t="str">
        <f aca="false">IF(B2757="","","")</f>
        <v/>
      </c>
      <c r="J2757" s="23" t="str">
        <f aca="false">IF(B2757="","","touch_2; "&amp;IFERROR(INDEX(Clay_Offices!$A$2:$FZ$601,506,Sync!$C$10)&amp;"","")&amp;"; "&amp;IFERROR(INDEX(Clay_Offices!$A$2:$FZ$601,506,Sync!$C$9)&amp;"",""))</f>
        <v/>
      </c>
      <c r="K2757" s="32" t="s">
        <v>1364</v>
      </c>
    </row>
    <row r="2758" customFormat="false" ht="15" hidden="false" customHeight="false" outlineLevel="0" collapsed="false">
      <c r="A2758" s="23" t="str">
        <f aca="false">IF(B2758="","",B2758+(13*1000+507)/10000000)</f>
        <v/>
      </c>
      <c r="B2758" s="35" t="str">
        <f aca="false">IF(AND(IFERROR(N(INDEX(Clay_Offices!$A$2:$FZ$601,507,Sync!$C$12)),0)&gt;0,IFERROR(INDEX(Clay_Offices!$A$2:$FZ$601,507,Sync!$C$5)&amp;"","")&lt;&gt;"",OR(LEFT(IFERROR(INDEX(Clay_Offices!$A$2:$FZ$601,507,Sync!$C$5)&amp;"",""),6)&lt;&gt;"SAMPLE",Config!$B$19="Y")),IFERROR(N(INDEX(Clay_Offices!$A$2:$FZ$601,507,Sync!$C$12)),0),"")</f>
        <v/>
      </c>
      <c r="C2758" s="23" t="str">
        <f aca="false">IF(B2758="","","office")</f>
        <v/>
      </c>
      <c r="D2758" s="23" t="str">
        <f aca="false">IF(B2758="","",IFERROR(INDEX(Office_Log!$ED$2:$ED$201,MATCH(IFERROR(INDEX(Clay_Offices!$A$2:$FZ$601,507,Sync!$C$5)&amp;"",""),Office_Log!$A$2:$A$201,0))&amp;"",IFERROR(INDEX(Clay_Offices!$A$2:$FZ$601,507,Sync!$C$5)&amp;"","")&amp;""))</f>
        <v/>
      </c>
      <c r="E2758" s="23" t="str">
        <f aca="false">IF(B2758="","",IFERROR(INDEX(Clay_Offices!$A$2:$FZ$601,507,Sync!$C$6)&amp;"",""))</f>
        <v/>
      </c>
      <c r="F2758" s="23" t="str">
        <f aca="false">IF(B2758="","","outreach_sent")</f>
        <v/>
      </c>
      <c r="G2758" s="23" t="str">
        <f aca="false">IF(B2758="","","")</f>
        <v/>
      </c>
      <c r="H2758" s="23" t="str">
        <f aca="false">IF(B2758="","","")</f>
        <v/>
      </c>
      <c r="I2758" s="23" t="str">
        <f aca="false">IF(B2758="","","")</f>
        <v/>
      </c>
      <c r="J2758" s="23" t="str">
        <f aca="false">IF(B2758="","","touch_2; "&amp;IFERROR(INDEX(Clay_Offices!$A$2:$FZ$601,507,Sync!$C$10)&amp;"","")&amp;"; "&amp;IFERROR(INDEX(Clay_Offices!$A$2:$FZ$601,507,Sync!$C$9)&amp;"",""))</f>
        <v/>
      </c>
      <c r="K2758" s="32" t="s">
        <v>1364</v>
      </c>
    </row>
    <row r="2759" customFormat="false" ht="15" hidden="false" customHeight="false" outlineLevel="0" collapsed="false">
      <c r="A2759" s="23" t="str">
        <f aca="false">IF(B2759="","",B2759+(13*1000+508)/10000000)</f>
        <v/>
      </c>
      <c r="B2759" s="35" t="str">
        <f aca="false">IF(AND(IFERROR(N(INDEX(Clay_Offices!$A$2:$FZ$601,508,Sync!$C$12)),0)&gt;0,IFERROR(INDEX(Clay_Offices!$A$2:$FZ$601,508,Sync!$C$5)&amp;"","")&lt;&gt;"",OR(LEFT(IFERROR(INDEX(Clay_Offices!$A$2:$FZ$601,508,Sync!$C$5)&amp;"",""),6)&lt;&gt;"SAMPLE",Config!$B$19="Y")),IFERROR(N(INDEX(Clay_Offices!$A$2:$FZ$601,508,Sync!$C$12)),0),"")</f>
        <v/>
      </c>
      <c r="C2759" s="23" t="str">
        <f aca="false">IF(B2759="","","office")</f>
        <v/>
      </c>
      <c r="D2759" s="23" t="str">
        <f aca="false">IF(B2759="","",IFERROR(INDEX(Office_Log!$ED$2:$ED$201,MATCH(IFERROR(INDEX(Clay_Offices!$A$2:$FZ$601,508,Sync!$C$5)&amp;"",""),Office_Log!$A$2:$A$201,0))&amp;"",IFERROR(INDEX(Clay_Offices!$A$2:$FZ$601,508,Sync!$C$5)&amp;"","")&amp;""))</f>
        <v/>
      </c>
      <c r="E2759" s="23" t="str">
        <f aca="false">IF(B2759="","",IFERROR(INDEX(Clay_Offices!$A$2:$FZ$601,508,Sync!$C$6)&amp;"",""))</f>
        <v/>
      </c>
      <c r="F2759" s="23" t="str">
        <f aca="false">IF(B2759="","","outreach_sent")</f>
        <v/>
      </c>
      <c r="G2759" s="23" t="str">
        <f aca="false">IF(B2759="","","")</f>
        <v/>
      </c>
      <c r="H2759" s="23" t="str">
        <f aca="false">IF(B2759="","","")</f>
        <v/>
      </c>
      <c r="I2759" s="23" t="str">
        <f aca="false">IF(B2759="","","")</f>
        <v/>
      </c>
      <c r="J2759" s="23" t="str">
        <f aca="false">IF(B2759="","","touch_2; "&amp;IFERROR(INDEX(Clay_Offices!$A$2:$FZ$601,508,Sync!$C$10)&amp;"","")&amp;"; "&amp;IFERROR(INDEX(Clay_Offices!$A$2:$FZ$601,508,Sync!$C$9)&amp;"",""))</f>
        <v/>
      </c>
      <c r="K2759" s="32" t="s">
        <v>1364</v>
      </c>
    </row>
    <row r="2760" customFormat="false" ht="15" hidden="false" customHeight="false" outlineLevel="0" collapsed="false">
      <c r="A2760" s="23" t="str">
        <f aca="false">IF(B2760="","",B2760+(13*1000+509)/10000000)</f>
        <v/>
      </c>
      <c r="B2760" s="35" t="str">
        <f aca="false">IF(AND(IFERROR(N(INDEX(Clay_Offices!$A$2:$FZ$601,509,Sync!$C$12)),0)&gt;0,IFERROR(INDEX(Clay_Offices!$A$2:$FZ$601,509,Sync!$C$5)&amp;"","")&lt;&gt;"",OR(LEFT(IFERROR(INDEX(Clay_Offices!$A$2:$FZ$601,509,Sync!$C$5)&amp;"",""),6)&lt;&gt;"SAMPLE",Config!$B$19="Y")),IFERROR(N(INDEX(Clay_Offices!$A$2:$FZ$601,509,Sync!$C$12)),0),"")</f>
        <v/>
      </c>
      <c r="C2760" s="23" t="str">
        <f aca="false">IF(B2760="","","office")</f>
        <v/>
      </c>
      <c r="D2760" s="23" t="str">
        <f aca="false">IF(B2760="","",IFERROR(INDEX(Office_Log!$ED$2:$ED$201,MATCH(IFERROR(INDEX(Clay_Offices!$A$2:$FZ$601,509,Sync!$C$5)&amp;"",""),Office_Log!$A$2:$A$201,0))&amp;"",IFERROR(INDEX(Clay_Offices!$A$2:$FZ$601,509,Sync!$C$5)&amp;"","")&amp;""))</f>
        <v/>
      </c>
      <c r="E2760" s="23" t="str">
        <f aca="false">IF(B2760="","",IFERROR(INDEX(Clay_Offices!$A$2:$FZ$601,509,Sync!$C$6)&amp;"",""))</f>
        <v/>
      </c>
      <c r="F2760" s="23" t="str">
        <f aca="false">IF(B2760="","","outreach_sent")</f>
        <v/>
      </c>
      <c r="G2760" s="23" t="str">
        <f aca="false">IF(B2760="","","")</f>
        <v/>
      </c>
      <c r="H2760" s="23" t="str">
        <f aca="false">IF(B2760="","","")</f>
        <v/>
      </c>
      <c r="I2760" s="23" t="str">
        <f aca="false">IF(B2760="","","")</f>
        <v/>
      </c>
      <c r="J2760" s="23" t="str">
        <f aca="false">IF(B2760="","","touch_2; "&amp;IFERROR(INDEX(Clay_Offices!$A$2:$FZ$601,509,Sync!$C$10)&amp;"","")&amp;"; "&amp;IFERROR(INDEX(Clay_Offices!$A$2:$FZ$601,509,Sync!$C$9)&amp;"",""))</f>
        <v/>
      </c>
      <c r="K2760" s="32" t="s">
        <v>1364</v>
      </c>
    </row>
    <row r="2761" customFormat="false" ht="15" hidden="false" customHeight="false" outlineLevel="0" collapsed="false">
      <c r="A2761" s="23" t="str">
        <f aca="false">IF(B2761="","",B2761+(13*1000+510)/10000000)</f>
        <v/>
      </c>
      <c r="B2761" s="35" t="str">
        <f aca="false">IF(AND(IFERROR(N(INDEX(Clay_Offices!$A$2:$FZ$601,510,Sync!$C$12)),0)&gt;0,IFERROR(INDEX(Clay_Offices!$A$2:$FZ$601,510,Sync!$C$5)&amp;"","")&lt;&gt;"",OR(LEFT(IFERROR(INDEX(Clay_Offices!$A$2:$FZ$601,510,Sync!$C$5)&amp;"",""),6)&lt;&gt;"SAMPLE",Config!$B$19="Y")),IFERROR(N(INDEX(Clay_Offices!$A$2:$FZ$601,510,Sync!$C$12)),0),"")</f>
        <v/>
      </c>
      <c r="C2761" s="23" t="str">
        <f aca="false">IF(B2761="","","office")</f>
        <v/>
      </c>
      <c r="D2761" s="23" t="str">
        <f aca="false">IF(B2761="","",IFERROR(INDEX(Office_Log!$ED$2:$ED$201,MATCH(IFERROR(INDEX(Clay_Offices!$A$2:$FZ$601,510,Sync!$C$5)&amp;"",""),Office_Log!$A$2:$A$201,0))&amp;"",IFERROR(INDEX(Clay_Offices!$A$2:$FZ$601,510,Sync!$C$5)&amp;"","")&amp;""))</f>
        <v/>
      </c>
      <c r="E2761" s="23" t="str">
        <f aca="false">IF(B2761="","",IFERROR(INDEX(Clay_Offices!$A$2:$FZ$601,510,Sync!$C$6)&amp;"",""))</f>
        <v/>
      </c>
      <c r="F2761" s="23" t="str">
        <f aca="false">IF(B2761="","","outreach_sent")</f>
        <v/>
      </c>
      <c r="G2761" s="23" t="str">
        <f aca="false">IF(B2761="","","")</f>
        <v/>
      </c>
      <c r="H2761" s="23" t="str">
        <f aca="false">IF(B2761="","","")</f>
        <v/>
      </c>
      <c r="I2761" s="23" t="str">
        <f aca="false">IF(B2761="","","")</f>
        <v/>
      </c>
      <c r="J2761" s="23" t="str">
        <f aca="false">IF(B2761="","","touch_2; "&amp;IFERROR(INDEX(Clay_Offices!$A$2:$FZ$601,510,Sync!$C$10)&amp;"","")&amp;"; "&amp;IFERROR(INDEX(Clay_Offices!$A$2:$FZ$601,510,Sync!$C$9)&amp;"",""))</f>
        <v/>
      </c>
      <c r="K2761" s="32" t="s">
        <v>1364</v>
      </c>
    </row>
    <row r="2762" customFormat="false" ht="15" hidden="false" customHeight="false" outlineLevel="0" collapsed="false">
      <c r="A2762" s="23" t="str">
        <f aca="false">IF(B2762="","",B2762+(13*1000+511)/10000000)</f>
        <v/>
      </c>
      <c r="B2762" s="35" t="str">
        <f aca="false">IF(AND(IFERROR(N(INDEX(Clay_Offices!$A$2:$FZ$601,511,Sync!$C$12)),0)&gt;0,IFERROR(INDEX(Clay_Offices!$A$2:$FZ$601,511,Sync!$C$5)&amp;"","")&lt;&gt;"",OR(LEFT(IFERROR(INDEX(Clay_Offices!$A$2:$FZ$601,511,Sync!$C$5)&amp;"",""),6)&lt;&gt;"SAMPLE",Config!$B$19="Y")),IFERROR(N(INDEX(Clay_Offices!$A$2:$FZ$601,511,Sync!$C$12)),0),"")</f>
        <v/>
      </c>
      <c r="C2762" s="23" t="str">
        <f aca="false">IF(B2762="","","office")</f>
        <v/>
      </c>
      <c r="D2762" s="23" t="str">
        <f aca="false">IF(B2762="","",IFERROR(INDEX(Office_Log!$ED$2:$ED$201,MATCH(IFERROR(INDEX(Clay_Offices!$A$2:$FZ$601,511,Sync!$C$5)&amp;"",""),Office_Log!$A$2:$A$201,0))&amp;"",IFERROR(INDEX(Clay_Offices!$A$2:$FZ$601,511,Sync!$C$5)&amp;"","")&amp;""))</f>
        <v/>
      </c>
      <c r="E2762" s="23" t="str">
        <f aca="false">IF(B2762="","",IFERROR(INDEX(Clay_Offices!$A$2:$FZ$601,511,Sync!$C$6)&amp;"",""))</f>
        <v/>
      </c>
      <c r="F2762" s="23" t="str">
        <f aca="false">IF(B2762="","","outreach_sent")</f>
        <v/>
      </c>
      <c r="G2762" s="23" t="str">
        <f aca="false">IF(B2762="","","")</f>
        <v/>
      </c>
      <c r="H2762" s="23" t="str">
        <f aca="false">IF(B2762="","","")</f>
        <v/>
      </c>
      <c r="I2762" s="23" t="str">
        <f aca="false">IF(B2762="","","")</f>
        <v/>
      </c>
      <c r="J2762" s="23" t="str">
        <f aca="false">IF(B2762="","","touch_2; "&amp;IFERROR(INDEX(Clay_Offices!$A$2:$FZ$601,511,Sync!$C$10)&amp;"","")&amp;"; "&amp;IFERROR(INDEX(Clay_Offices!$A$2:$FZ$601,511,Sync!$C$9)&amp;"",""))</f>
        <v/>
      </c>
      <c r="K2762" s="32" t="s">
        <v>1364</v>
      </c>
    </row>
    <row r="2763" customFormat="false" ht="15" hidden="false" customHeight="false" outlineLevel="0" collapsed="false">
      <c r="A2763" s="23" t="str">
        <f aca="false">IF(B2763="","",B2763+(13*1000+512)/10000000)</f>
        <v/>
      </c>
      <c r="B2763" s="35" t="str">
        <f aca="false">IF(AND(IFERROR(N(INDEX(Clay_Offices!$A$2:$FZ$601,512,Sync!$C$12)),0)&gt;0,IFERROR(INDEX(Clay_Offices!$A$2:$FZ$601,512,Sync!$C$5)&amp;"","")&lt;&gt;"",OR(LEFT(IFERROR(INDEX(Clay_Offices!$A$2:$FZ$601,512,Sync!$C$5)&amp;"",""),6)&lt;&gt;"SAMPLE",Config!$B$19="Y")),IFERROR(N(INDEX(Clay_Offices!$A$2:$FZ$601,512,Sync!$C$12)),0),"")</f>
        <v/>
      </c>
      <c r="C2763" s="23" t="str">
        <f aca="false">IF(B2763="","","office")</f>
        <v/>
      </c>
      <c r="D2763" s="23" t="str">
        <f aca="false">IF(B2763="","",IFERROR(INDEX(Office_Log!$ED$2:$ED$201,MATCH(IFERROR(INDEX(Clay_Offices!$A$2:$FZ$601,512,Sync!$C$5)&amp;"",""),Office_Log!$A$2:$A$201,0))&amp;"",IFERROR(INDEX(Clay_Offices!$A$2:$FZ$601,512,Sync!$C$5)&amp;"","")&amp;""))</f>
        <v/>
      </c>
      <c r="E2763" s="23" t="str">
        <f aca="false">IF(B2763="","",IFERROR(INDEX(Clay_Offices!$A$2:$FZ$601,512,Sync!$C$6)&amp;"",""))</f>
        <v/>
      </c>
      <c r="F2763" s="23" t="str">
        <f aca="false">IF(B2763="","","outreach_sent")</f>
        <v/>
      </c>
      <c r="G2763" s="23" t="str">
        <f aca="false">IF(B2763="","","")</f>
        <v/>
      </c>
      <c r="H2763" s="23" t="str">
        <f aca="false">IF(B2763="","","")</f>
        <v/>
      </c>
      <c r="I2763" s="23" t="str">
        <f aca="false">IF(B2763="","","")</f>
        <v/>
      </c>
      <c r="J2763" s="23" t="str">
        <f aca="false">IF(B2763="","","touch_2; "&amp;IFERROR(INDEX(Clay_Offices!$A$2:$FZ$601,512,Sync!$C$10)&amp;"","")&amp;"; "&amp;IFERROR(INDEX(Clay_Offices!$A$2:$FZ$601,512,Sync!$C$9)&amp;"",""))</f>
        <v/>
      </c>
      <c r="K2763" s="32" t="s">
        <v>1364</v>
      </c>
    </row>
    <row r="2764" customFormat="false" ht="15" hidden="false" customHeight="false" outlineLevel="0" collapsed="false">
      <c r="A2764" s="23" t="str">
        <f aca="false">IF(B2764="","",B2764+(13*1000+513)/10000000)</f>
        <v/>
      </c>
      <c r="B2764" s="35" t="str">
        <f aca="false">IF(AND(IFERROR(N(INDEX(Clay_Offices!$A$2:$FZ$601,513,Sync!$C$12)),0)&gt;0,IFERROR(INDEX(Clay_Offices!$A$2:$FZ$601,513,Sync!$C$5)&amp;"","")&lt;&gt;"",OR(LEFT(IFERROR(INDEX(Clay_Offices!$A$2:$FZ$601,513,Sync!$C$5)&amp;"",""),6)&lt;&gt;"SAMPLE",Config!$B$19="Y")),IFERROR(N(INDEX(Clay_Offices!$A$2:$FZ$601,513,Sync!$C$12)),0),"")</f>
        <v/>
      </c>
      <c r="C2764" s="23" t="str">
        <f aca="false">IF(B2764="","","office")</f>
        <v/>
      </c>
      <c r="D2764" s="23" t="str">
        <f aca="false">IF(B2764="","",IFERROR(INDEX(Office_Log!$ED$2:$ED$201,MATCH(IFERROR(INDEX(Clay_Offices!$A$2:$FZ$601,513,Sync!$C$5)&amp;"",""),Office_Log!$A$2:$A$201,0))&amp;"",IFERROR(INDEX(Clay_Offices!$A$2:$FZ$601,513,Sync!$C$5)&amp;"","")&amp;""))</f>
        <v/>
      </c>
      <c r="E2764" s="23" t="str">
        <f aca="false">IF(B2764="","",IFERROR(INDEX(Clay_Offices!$A$2:$FZ$601,513,Sync!$C$6)&amp;"",""))</f>
        <v/>
      </c>
      <c r="F2764" s="23" t="str">
        <f aca="false">IF(B2764="","","outreach_sent")</f>
        <v/>
      </c>
      <c r="G2764" s="23" t="str">
        <f aca="false">IF(B2764="","","")</f>
        <v/>
      </c>
      <c r="H2764" s="23" t="str">
        <f aca="false">IF(B2764="","","")</f>
        <v/>
      </c>
      <c r="I2764" s="23" t="str">
        <f aca="false">IF(B2764="","","")</f>
        <v/>
      </c>
      <c r="J2764" s="23" t="str">
        <f aca="false">IF(B2764="","","touch_2; "&amp;IFERROR(INDEX(Clay_Offices!$A$2:$FZ$601,513,Sync!$C$10)&amp;"","")&amp;"; "&amp;IFERROR(INDEX(Clay_Offices!$A$2:$FZ$601,513,Sync!$C$9)&amp;"",""))</f>
        <v/>
      </c>
      <c r="K2764" s="32" t="s">
        <v>1364</v>
      </c>
    </row>
    <row r="2765" customFormat="false" ht="15" hidden="false" customHeight="false" outlineLevel="0" collapsed="false">
      <c r="A2765" s="23" t="str">
        <f aca="false">IF(B2765="","",B2765+(13*1000+514)/10000000)</f>
        <v/>
      </c>
      <c r="B2765" s="35" t="str">
        <f aca="false">IF(AND(IFERROR(N(INDEX(Clay_Offices!$A$2:$FZ$601,514,Sync!$C$12)),0)&gt;0,IFERROR(INDEX(Clay_Offices!$A$2:$FZ$601,514,Sync!$C$5)&amp;"","")&lt;&gt;"",OR(LEFT(IFERROR(INDEX(Clay_Offices!$A$2:$FZ$601,514,Sync!$C$5)&amp;"",""),6)&lt;&gt;"SAMPLE",Config!$B$19="Y")),IFERROR(N(INDEX(Clay_Offices!$A$2:$FZ$601,514,Sync!$C$12)),0),"")</f>
        <v/>
      </c>
      <c r="C2765" s="23" t="str">
        <f aca="false">IF(B2765="","","office")</f>
        <v/>
      </c>
      <c r="D2765" s="23" t="str">
        <f aca="false">IF(B2765="","",IFERROR(INDEX(Office_Log!$ED$2:$ED$201,MATCH(IFERROR(INDEX(Clay_Offices!$A$2:$FZ$601,514,Sync!$C$5)&amp;"",""),Office_Log!$A$2:$A$201,0))&amp;"",IFERROR(INDEX(Clay_Offices!$A$2:$FZ$601,514,Sync!$C$5)&amp;"","")&amp;""))</f>
        <v/>
      </c>
      <c r="E2765" s="23" t="str">
        <f aca="false">IF(B2765="","",IFERROR(INDEX(Clay_Offices!$A$2:$FZ$601,514,Sync!$C$6)&amp;"",""))</f>
        <v/>
      </c>
      <c r="F2765" s="23" t="str">
        <f aca="false">IF(B2765="","","outreach_sent")</f>
        <v/>
      </c>
      <c r="G2765" s="23" t="str">
        <f aca="false">IF(B2765="","","")</f>
        <v/>
      </c>
      <c r="H2765" s="23" t="str">
        <f aca="false">IF(B2765="","","")</f>
        <v/>
      </c>
      <c r="I2765" s="23" t="str">
        <f aca="false">IF(B2765="","","")</f>
        <v/>
      </c>
      <c r="J2765" s="23" t="str">
        <f aca="false">IF(B2765="","","touch_2; "&amp;IFERROR(INDEX(Clay_Offices!$A$2:$FZ$601,514,Sync!$C$10)&amp;"","")&amp;"; "&amp;IFERROR(INDEX(Clay_Offices!$A$2:$FZ$601,514,Sync!$C$9)&amp;"",""))</f>
        <v/>
      </c>
      <c r="K2765" s="32" t="s">
        <v>1364</v>
      </c>
    </row>
    <row r="2766" customFormat="false" ht="15" hidden="false" customHeight="false" outlineLevel="0" collapsed="false">
      <c r="A2766" s="23" t="str">
        <f aca="false">IF(B2766="","",B2766+(13*1000+515)/10000000)</f>
        <v/>
      </c>
      <c r="B2766" s="35" t="str">
        <f aca="false">IF(AND(IFERROR(N(INDEX(Clay_Offices!$A$2:$FZ$601,515,Sync!$C$12)),0)&gt;0,IFERROR(INDEX(Clay_Offices!$A$2:$FZ$601,515,Sync!$C$5)&amp;"","")&lt;&gt;"",OR(LEFT(IFERROR(INDEX(Clay_Offices!$A$2:$FZ$601,515,Sync!$C$5)&amp;"",""),6)&lt;&gt;"SAMPLE",Config!$B$19="Y")),IFERROR(N(INDEX(Clay_Offices!$A$2:$FZ$601,515,Sync!$C$12)),0),"")</f>
        <v/>
      </c>
      <c r="C2766" s="23" t="str">
        <f aca="false">IF(B2766="","","office")</f>
        <v/>
      </c>
      <c r="D2766" s="23" t="str">
        <f aca="false">IF(B2766="","",IFERROR(INDEX(Office_Log!$ED$2:$ED$201,MATCH(IFERROR(INDEX(Clay_Offices!$A$2:$FZ$601,515,Sync!$C$5)&amp;"",""),Office_Log!$A$2:$A$201,0))&amp;"",IFERROR(INDEX(Clay_Offices!$A$2:$FZ$601,515,Sync!$C$5)&amp;"","")&amp;""))</f>
        <v/>
      </c>
      <c r="E2766" s="23" t="str">
        <f aca="false">IF(B2766="","",IFERROR(INDEX(Clay_Offices!$A$2:$FZ$601,515,Sync!$C$6)&amp;"",""))</f>
        <v/>
      </c>
      <c r="F2766" s="23" t="str">
        <f aca="false">IF(B2766="","","outreach_sent")</f>
        <v/>
      </c>
      <c r="G2766" s="23" t="str">
        <f aca="false">IF(B2766="","","")</f>
        <v/>
      </c>
      <c r="H2766" s="23" t="str">
        <f aca="false">IF(B2766="","","")</f>
        <v/>
      </c>
      <c r="I2766" s="23" t="str">
        <f aca="false">IF(B2766="","","")</f>
        <v/>
      </c>
      <c r="J2766" s="23" t="str">
        <f aca="false">IF(B2766="","","touch_2; "&amp;IFERROR(INDEX(Clay_Offices!$A$2:$FZ$601,515,Sync!$C$10)&amp;"","")&amp;"; "&amp;IFERROR(INDEX(Clay_Offices!$A$2:$FZ$601,515,Sync!$C$9)&amp;"",""))</f>
        <v/>
      </c>
      <c r="K2766" s="32" t="s">
        <v>1364</v>
      </c>
    </row>
    <row r="2767" customFormat="false" ht="15" hidden="false" customHeight="false" outlineLevel="0" collapsed="false">
      <c r="A2767" s="23" t="str">
        <f aca="false">IF(B2767="","",B2767+(13*1000+516)/10000000)</f>
        <v/>
      </c>
      <c r="B2767" s="35" t="str">
        <f aca="false">IF(AND(IFERROR(N(INDEX(Clay_Offices!$A$2:$FZ$601,516,Sync!$C$12)),0)&gt;0,IFERROR(INDEX(Clay_Offices!$A$2:$FZ$601,516,Sync!$C$5)&amp;"","")&lt;&gt;"",OR(LEFT(IFERROR(INDEX(Clay_Offices!$A$2:$FZ$601,516,Sync!$C$5)&amp;"",""),6)&lt;&gt;"SAMPLE",Config!$B$19="Y")),IFERROR(N(INDEX(Clay_Offices!$A$2:$FZ$601,516,Sync!$C$12)),0),"")</f>
        <v/>
      </c>
      <c r="C2767" s="23" t="str">
        <f aca="false">IF(B2767="","","office")</f>
        <v/>
      </c>
      <c r="D2767" s="23" t="str">
        <f aca="false">IF(B2767="","",IFERROR(INDEX(Office_Log!$ED$2:$ED$201,MATCH(IFERROR(INDEX(Clay_Offices!$A$2:$FZ$601,516,Sync!$C$5)&amp;"",""),Office_Log!$A$2:$A$201,0))&amp;"",IFERROR(INDEX(Clay_Offices!$A$2:$FZ$601,516,Sync!$C$5)&amp;"","")&amp;""))</f>
        <v/>
      </c>
      <c r="E2767" s="23" t="str">
        <f aca="false">IF(B2767="","",IFERROR(INDEX(Clay_Offices!$A$2:$FZ$601,516,Sync!$C$6)&amp;"",""))</f>
        <v/>
      </c>
      <c r="F2767" s="23" t="str">
        <f aca="false">IF(B2767="","","outreach_sent")</f>
        <v/>
      </c>
      <c r="G2767" s="23" t="str">
        <f aca="false">IF(B2767="","","")</f>
        <v/>
      </c>
      <c r="H2767" s="23" t="str">
        <f aca="false">IF(B2767="","","")</f>
        <v/>
      </c>
      <c r="I2767" s="23" t="str">
        <f aca="false">IF(B2767="","","")</f>
        <v/>
      </c>
      <c r="J2767" s="23" t="str">
        <f aca="false">IF(B2767="","","touch_2; "&amp;IFERROR(INDEX(Clay_Offices!$A$2:$FZ$601,516,Sync!$C$10)&amp;"","")&amp;"; "&amp;IFERROR(INDEX(Clay_Offices!$A$2:$FZ$601,516,Sync!$C$9)&amp;"",""))</f>
        <v/>
      </c>
      <c r="K2767" s="32" t="s">
        <v>1364</v>
      </c>
    </row>
    <row r="2768" customFormat="false" ht="15" hidden="false" customHeight="false" outlineLevel="0" collapsed="false">
      <c r="A2768" s="23" t="str">
        <f aca="false">IF(B2768="","",B2768+(13*1000+517)/10000000)</f>
        <v/>
      </c>
      <c r="B2768" s="35" t="str">
        <f aca="false">IF(AND(IFERROR(N(INDEX(Clay_Offices!$A$2:$FZ$601,517,Sync!$C$12)),0)&gt;0,IFERROR(INDEX(Clay_Offices!$A$2:$FZ$601,517,Sync!$C$5)&amp;"","")&lt;&gt;"",OR(LEFT(IFERROR(INDEX(Clay_Offices!$A$2:$FZ$601,517,Sync!$C$5)&amp;"",""),6)&lt;&gt;"SAMPLE",Config!$B$19="Y")),IFERROR(N(INDEX(Clay_Offices!$A$2:$FZ$601,517,Sync!$C$12)),0),"")</f>
        <v/>
      </c>
      <c r="C2768" s="23" t="str">
        <f aca="false">IF(B2768="","","office")</f>
        <v/>
      </c>
      <c r="D2768" s="23" t="str">
        <f aca="false">IF(B2768="","",IFERROR(INDEX(Office_Log!$ED$2:$ED$201,MATCH(IFERROR(INDEX(Clay_Offices!$A$2:$FZ$601,517,Sync!$C$5)&amp;"",""),Office_Log!$A$2:$A$201,0))&amp;"",IFERROR(INDEX(Clay_Offices!$A$2:$FZ$601,517,Sync!$C$5)&amp;"","")&amp;""))</f>
        <v/>
      </c>
      <c r="E2768" s="23" t="str">
        <f aca="false">IF(B2768="","",IFERROR(INDEX(Clay_Offices!$A$2:$FZ$601,517,Sync!$C$6)&amp;"",""))</f>
        <v/>
      </c>
      <c r="F2768" s="23" t="str">
        <f aca="false">IF(B2768="","","outreach_sent")</f>
        <v/>
      </c>
      <c r="G2768" s="23" t="str">
        <f aca="false">IF(B2768="","","")</f>
        <v/>
      </c>
      <c r="H2768" s="23" t="str">
        <f aca="false">IF(B2768="","","")</f>
        <v/>
      </c>
      <c r="I2768" s="23" t="str">
        <f aca="false">IF(B2768="","","")</f>
        <v/>
      </c>
      <c r="J2768" s="23" t="str">
        <f aca="false">IF(B2768="","","touch_2; "&amp;IFERROR(INDEX(Clay_Offices!$A$2:$FZ$601,517,Sync!$C$10)&amp;"","")&amp;"; "&amp;IFERROR(INDEX(Clay_Offices!$A$2:$FZ$601,517,Sync!$C$9)&amp;"",""))</f>
        <v/>
      </c>
      <c r="K2768" s="32" t="s">
        <v>1364</v>
      </c>
    </row>
    <row r="2769" customFormat="false" ht="15" hidden="false" customHeight="false" outlineLevel="0" collapsed="false">
      <c r="A2769" s="23" t="str">
        <f aca="false">IF(B2769="","",B2769+(13*1000+518)/10000000)</f>
        <v/>
      </c>
      <c r="B2769" s="35" t="str">
        <f aca="false">IF(AND(IFERROR(N(INDEX(Clay_Offices!$A$2:$FZ$601,518,Sync!$C$12)),0)&gt;0,IFERROR(INDEX(Clay_Offices!$A$2:$FZ$601,518,Sync!$C$5)&amp;"","")&lt;&gt;"",OR(LEFT(IFERROR(INDEX(Clay_Offices!$A$2:$FZ$601,518,Sync!$C$5)&amp;"",""),6)&lt;&gt;"SAMPLE",Config!$B$19="Y")),IFERROR(N(INDEX(Clay_Offices!$A$2:$FZ$601,518,Sync!$C$12)),0),"")</f>
        <v/>
      </c>
      <c r="C2769" s="23" t="str">
        <f aca="false">IF(B2769="","","office")</f>
        <v/>
      </c>
      <c r="D2769" s="23" t="str">
        <f aca="false">IF(B2769="","",IFERROR(INDEX(Office_Log!$ED$2:$ED$201,MATCH(IFERROR(INDEX(Clay_Offices!$A$2:$FZ$601,518,Sync!$C$5)&amp;"",""),Office_Log!$A$2:$A$201,0))&amp;"",IFERROR(INDEX(Clay_Offices!$A$2:$FZ$601,518,Sync!$C$5)&amp;"","")&amp;""))</f>
        <v/>
      </c>
      <c r="E2769" s="23" t="str">
        <f aca="false">IF(B2769="","",IFERROR(INDEX(Clay_Offices!$A$2:$FZ$601,518,Sync!$C$6)&amp;"",""))</f>
        <v/>
      </c>
      <c r="F2769" s="23" t="str">
        <f aca="false">IF(B2769="","","outreach_sent")</f>
        <v/>
      </c>
      <c r="G2769" s="23" t="str">
        <f aca="false">IF(B2769="","","")</f>
        <v/>
      </c>
      <c r="H2769" s="23" t="str">
        <f aca="false">IF(B2769="","","")</f>
        <v/>
      </c>
      <c r="I2769" s="23" t="str">
        <f aca="false">IF(B2769="","","")</f>
        <v/>
      </c>
      <c r="J2769" s="23" t="str">
        <f aca="false">IF(B2769="","","touch_2; "&amp;IFERROR(INDEX(Clay_Offices!$A$2:$FZ$601,518,Sync!$C$10)&amp;"","")&amp;"; "&amp;IFERROR(INDEX(Clay_Offices!$A$2:$FZ$601,518,Sync!$C$9)&amp;"",""))</f>
        <v/>
      </c>
      <c r="K2769" s="32" t="s">
        <v>1364</v>
      </c>
    </row>
    <row r="2770" customFormat="false" ht="15" hidden="false" customHeight="false" outlineLevel="0" collapsed="false">
      <c r="A2770" s="23" t="str">
        <f aca="false">IF(B2770="","",B2770+(13*1000+519)/10000000)</f>
        <v/>
      </c>
      <c r="B2770" s="35" t="str">
        <f aca="false">IF(AND(IFERROR(N(INDEX(Clay_Offices!$A$2:$FZ$601,519,Sync!$C$12)),0)&gt;0,IFERROR(INDEX(Clay_Offices!$A$2:$FZ$601,519,Sync!$C$5)&amp;"","")&lt;&gt;"",OR(LEFT(IFERROR(INDEX(Clay_Offices!$A$2:$FZ$601,519,Sync!$C$5)&amp;"",""),6)&lt;&gt;"SAMPLE",Config!$B$19="Y")),IFERROR(N(INDEX(Clay_Offices!$A$2:$FZ$601,519,Sync!$C$12)),0),"")</f>
        <v/>
      </c>
      <c r="C2770" s="23" t="str">
        <f aca="false">IF(B2770="","","office")</f>
        <v/>
      </c>
      <c r="D2770" s="23" t="str">
        <f aca="false">IF(B2770="","",IFERROR(INDEX(Office_Log!$ED$2:$ED$201,MATCH(IFERROR(INDEX(Clay_Offices!$A$2:$FZ$601,519,Sync!$C$5)&amp;"",""),Office_Log!$A$2:$A$201,0))&amp;"",IFERROR(INDEX(Clay_Offices!$A$2:$FZ$601,519,Sync!$C$5)&amp;"","")&amp;""))</f>
        <v/>
      </c>
      <c r="E2770" s="23" t="str">
        <f aca="false">IF(B2770="","",IFERROR(INDEX(Clay_Offices!$A$2:$FZ$601,519,Sync!$C$6)&amp;"",""))</f>
        <v/>
      </c>
      <c r="F2770" s="23" t="str">
        <f aca="false">IF(B2770="","","outreach_sent")</f>
        <v/>
      </c>
      <c r="G2770" s="23" t="str">
        <f aca="false">IF(B2770="","","")</f>
        <v/>
      </c>
      <c r="H2770" s="23" t="str">
        <f aca="false">IF(B2770="","","")</f>
        <v/>
      </c>
      <c r="I2770" s="23" t="str">
        <f aca="false">IF(B2770="","","")</f>
        <v/>
      </c>
      <c r="J2770" s="23" t="str">
        <f aca="false">IF(B2770="","","touch_2; "&amp;IFERROR(INDEX(Clay_Offices!$A$2:$FZ$601,519,Sync!$C$10)&amp;"","")&amp;"; "&amp;IFERROR(INDEX(Clay_Offices!$A$2:$FZ$601,519,Sync!$C$9)&amp;"",""))</f>
        <v/>
      </c>
      <c r="K2770" s="32" t="s">
        <v>1364</v>
      </c>
    </row>
    <row r="2771" customFormat="false" ht="15" hidden="false" customHeight="false" outlineLevel="0" collapsed="false">
      <c r="A2771" s="23" t="str">
        <f aca="false">IF(B2771="","",B2771+(13*1000+520)/10000000)</f>
        <v/>
      </c>
      <c r="B2771" s="35" t="str">
        <f aca="false">IF(AND(IFERROR(N(INDEX(Clay_Offices!$A$2:$FZ$601,520,Sync!$C$12)),0)&gt;0,IFERROR(INDEX(Clay_Offices!$A$2:$FZ$601,520,Sync!$C$5)&amp;"","")&lt;&gt;"",OR(LEFT(IFERROR(INDEX(Clay_Offices!$A$2:$FZ$601,520,Sync!$C$5)&amp;"",""),6)&lt;&gt;"SAMPLE",Config!$B$19="Y")),IFERROR(N(INDEX(Clay_Offices!$A$2:$FZ$601,520,Sync!$C$12)),0),"")</f>
        <v/>
      </c>
      <c r="C2771" s="23" t="str">
        <f aca="false">IF(B2771="","","office")</f>
        <v/>
      </c>
      <c r="D2771" s="23" t="str">
        <f aca="false">IF(B2771="","",IFERROR(INDEX(Office_Log!$ED$2:$ED$201,MATCH(IFERROR(INDEX(Clay_Offices!$A$2:$FZ$601,520,Sync!$C$5)&amp;"",""),Office_Log!$A$2:$A$201,0))&amp;"",IFERROR(INDEX(Clay_Offices!$A$2:$FZ$601,520,Sync!$C$5)&amp;"","")&amp;""))</f>
        <v/>
      </c>
      <c r="E2771" s="23" t="str">
        <f aca="false">IF(B2771="","",IFERROR(INDEX(Clay_Offices!$A$2:$FZ$601,520,Sync!$C$6)&amp;"",""))</f>
        <v/>
      </c>
      <c r="F2771" s="23" t="str">
        <f aca="false">IF(B2771="","","outreach_sent")</f>
        <v/>
      </c>
      <c r="G2771" s="23" t="str">
        <f aca="false">IF(B2771="","","")</f>
        <v/>
      </c>
      <c r="H2771" s="23" t="str">
        <f aca="false">IF(B2771="","","")</f>
        <v/>
      </c>
      <c r="I2771" s="23" t="str">
        <f aca="false">IF(B2771="","","")</f>
        <v/>
      </c>
      <c r="J2771" s="23" t="str">
        <f aca="false">IF(B2771="","","touch_2; "&amp;IFERROR(INDEX(Clay_Offices!$A$2:$FZ$601,520,Sync!$C$10)&amp;"","")&amp;"; "&amp;IFERROR(INDEX(Clay_Offices!$A$2:$FZ$601,520,Sync!$C$9)&amp;"",""))</f>
        <v/>
      </c>
      <c r="K2771" s="32" t="s">
        <v>1364</v>
      </c>
    </row>
    <row r="2772" customFormat="false" ht="15" hidden="false" customHeight="false" outlineLevel="0" collapsed="false">
      <c r="A2772" s="23" t="str">
        <f aca="false">IF(B2772="","",B2772+(13*1000+521)/10000000)</f>
        <v/>
      </c>
      <c r="B2772" s="35" t="str">
        <f aca="false">IF(AND(IFERROR(N(INDEX(Clay_Offices!$A$2:$FZ$601,521,Sync!$C$12)),0)&gt;0,IFERROR(INDEX(Clay_Offices!$A$2:$FZ$601,521,Sync!$C$5)&amp;"","")&lt;&gt;"",OR(LEFT(IFERROR(INDEX(Clay_Offices!$A$2:$FZ$601,521,Sync!$C$5)&amp;"",""),6)&lt;&gt;"SAMPLE",Config!$B$19="Y")),IFERROR(N(INDEX(Clay_Offices!$A$2:$FZ$601,521,Sync!$C$12)),0),"")</f>
        <v/>
      </c>
      <c r="C2772" s="23" t="str">
        <f aca="false">IF(B2772="","","office")</f>
        <v/>
      </c>
      <c r="D2772" s="23" t="str">
        <f aca="false">IF(B2772="","",IFERROR(INDEX(Office_Log!$ED$2:$ED$201,MATCH(IFERROR(INDEX(Clay_Offices!$A$2:$FZ$601,521,Sync!$C$5)&amp;"",""),Office_Log!$A$2:$A$201,0))&amp;"",IFERROR(INDEX(Clay_Offices!$A$2:$FZ$601,521,Sync!$C$5)&amp;"","")&amp;""))</f>
        <v/>
      </c>
      <c r="E2772" s="23" t="str">
        <f aca="false">IF(B2772="","",IFERROR(INDEX(Clay_Offices!$A$2:$FZ$601,521,Sync!$C$6)&amp;"",""))</f>
        <v/>
      </c>
      <c r="F2772" s="23" t="str">
        <f aca="false">IF(B2772="","","outreach_sent")</f>
        <v/>
      </c>
      <c r="G2772" s="23" t="str">
        <f aca="false">IF(B2772="","","")</f>
        <v/>
      </c>
      <c r="H2772" s="23" t="str">
        <f aca="false">IF(B2772="","","")</f>
        <v/>
      </c>
      <c r="I2772" s="23" t="str">
        <f aca="false">IF(B2772="","","")</f>
        <v/>
      </c>
      <c r="J2772" s="23" t="str">
        <f aca="false">IF(B2772="","","touch_2; "&amp;IFERROR(INDEX(Clay_Offices!$A$2:$FZ$601,521,Sync!$C$10)&amp;"","")&amp;"; "&amp;IFERROR(INDEX(Clay_Offices!$A$2:$FZ$601,521,Sync!$C$9)&amp;"",""))</f>
        <v/>
      </c>
      <c r="K2772" s="32" t="s">
        <v>1364</v>
      </c>
    </row>
    <row r="2773" customFormat="false" ht="15" hidden="false" customHeight="false" outlineLevel="0" collapsed="false">
      <c r="A2773" s="23" t="str">
        <f aca="false">IF(B2773="","",B2773+(13*1000+522)/10000000)</f>
        <v/>
      </c>
      <c r="B2773" s="35" t="str">
        <f aca="false">IF(AND(IFERROR(N(INDEX(Clay_Offices!$A$2:$FZ$601,522,Sync!$C$12)),0)&gt;0,IFERROR(INDEX(Clay_Offices!$A$2:$FZ$601,522,Sync!$C$5)&amp;"","")&lt;&gt;"",OR(LEFT(IFERROR(INDEX(Clay_Offices!$A$2:$FZ$601,522,Sync!$C$5)&amp;"",""),6)&lt;&gt;"SAMPLE",Config!$B$19="Y")),IFERROR(N(INDEX(Clay_Offices!$A$2:$FZ$601,522,Sync!$C$12)),0),"")</f>
        <v/>
      </c>
      <c r="C2773" s="23" t="str">
        <f aca="false">IF(B2773="","","office")</f>
        <v/>
      </c>
      <c r="D2773" s="23" t="str">
        <f aca="false">IF(B2773="","",IFERROR(INDEX(Office_Log!$ED$2:$ED$201,MATCH(IFERROR(INDEX(Clay_Offices!$A$2:$FZ$601,522,Sync!$C$5)&amp;"",""),Office_Log!$A$2:$A$201,0))&amp;"",IFERROR(INDEX(Clay_Offices!$A$2:$FZ$601,522,Sync!$C$5)&amp;"","")&amp;""))</f>
        <v/>
      </c>
      <c r="E2773" s="23" t="str">
        <f aca="false">IF(B2773="","",IFERROR(INDEX(Clay_Offices!$A$2:$FZ$601,522,Sync!$C$6)&amp;"",""))</f>
        <v/>
      </c>
      <c r="F2773" s="23" t="str">
        <f aca="false">IF(B2773="","","outreach_sent")</f>
        <v/>
      </c>
      <c r="G2773" s="23" t="str">
        <f aca="false">IF(B2773="","","")</f>
        <v/>
      </c>
      <c r="H2773" s="23" t="str">
        <f aca="false">IF(B2773="","","")</f>
        <v/>
      </c>
      <c r="I2773" s="23" t="str">
        <f aca="false">IF(B2773="","","")</f>
        <v/>
      </c>
      <c r="J2773" s="23" t="str">
        <f aca="false">IF(B2773="","","touch_2; "&amp;IFERROR(INDEX(Clay_Offices!$A$2:$FZ$601,522,Sync!$C$10)&amp;"","")&amp;"; "&amp;IFERROR(INDEX(Clay_Offices!$A$2:$FZ$601,522,Sync!$C$9)&amp;"",""))</f>
        <v/>
      </c>
      <c r="K2773" s="32" t="s">
        <v>1364</v>
      </c>
    </row>
    <row r="2774" customFormat="false" ht="15" hidden="false" customHeight="false" outlineLevel="0" collapsed="false">
      <c r="A2774" s="23" t="str">
        <f aca="false">IF(B2774="","",B2774+(13*1000+523)/10000000)</f>
        <v/>
      </c>
      <c r="B2774" s="35" t="str">
        <f aca="false">IF(AND(IFERROR(N(INDEX(Clay_Offices!$A$2:$FZ$601,523,Sync!$C$12)),0)&gt;0,IFERROR(INDEX(Clay_Offices!$A$2:$FZ$601,523,Sync!$C$5)&amp;"","")&lt;&gt;"",OR(LEFT(IFERROR(INDEX(Clay_Offices!$A$2:$FZ$601,523,Sync!$C$5)&amp;"",""),6)&lt;&gt;"SAMPLE",Config!$B$19="Y")),IFERROR(N(INDEX(Clay_Offices!$A$2:$FZ$601,523,Sync!$C$12)),0),"")</f>
        <v/>
      </c>
      <c r="C2774" s="23" t="str">
        <f aca="false">IF(B2774="","","office")</f>
        <v/>
      </c>
      <c r="D2774" s="23" t="str">
        <f aca="false">IF(B2774="","",IFERROR(INDEX(Office_Log!$ED$2:$ED$201,MATCH(IFERROR(INDEX(Clay_Offices!$A$2:$FZ$601,523,Sync!$C$5)&amp;"",""),Office_Log!$A$2:$A$201,0))&amp;"",IFERROR(INDEX(Clay_Offices!$A$2:$FZ$601,523,Sync!$C$5)&amp;"","")&amp;""))</f>
        <v/>
      </c>
      <c r="E2774" s="23" t="str">
        <f aca="false">IF(B2774="","",IFERROR(INDEX(Clay_Offices!$A$2:$FZ$601,523,Sync!$C$6)&amp;"",""))</f>
        <v/>
      </c>
      <c r="F2774" s="23" t="str">
        <f aca="false">IF(B2774="","","outreach_sent")</f>
        <v/>
      </c>
      <c r="G2774" s="23" t="str">
        <f aca="false">IF(B2774="","","")</f>
        <v/>
      </c>
      <c r="H2774" s="23" t="str">
        <f aca="false">IF(B2774="","","")</f>
        <v/>
      </c>
      <c r="I2774" s="23" t="str">
        <f aca="false">IF(B2774="","","")</f>
        <v/>
      </c>
      <c r="J2774" s="23" t="str">
        <f aca="false">IF(B2774="","","touch_2; "&amp;IFERROR(INDEX(Clay_Offices!$A$2:$FZ$601,523,Sync!$C$10)&amp;"","")&amp;"; "&amp;IFERROR(INDEX(Clay_Offices!$A$2:$FZ$601,523,Sync!$C$9)&amp;"",""))</f>
        <v/>
      </c>
      <c r="K2774" s="32" t="s">
        <v>1364</v>
      </c>
    </row>
    <row r="2775" customFormat="false" ht="15" hidden="false" customHeight="false" outlineLevel="0" collapsed="false">
      <c r="A2775" s="23" t="str">
        <f aca="false">IF(B2775="","",B2775+(13*1000+524)/10000000)</f>
        <v/>
      </c>
      <c r="B2775" s="35" t="str">
        <f aca="false">IF(AND(IFERROR(N(INDEX(Clay_Offices!$A$2:$FZ$601,524,Sync!$C$12)),0)&gt;0,IFERROR(INDEX(Clay_Offices!$A$2:$FZ$601,524,Sync!$C$5)&amp;"","")&lt;&gt;"",OR(LEFT(IFERROR(INDEX(Clay_Offices!$A$2:$FZ$601,524,Sync!$C$5)&amp;"",""),6)&lt;&gt;"SAMPLE",Config!$B$19="Y")),IFERROR(N(INDEX(Clay_Offices!$A$2:$FZ$601,524,Sync!$C$12)),0),"")</f>
        <v/>
      </c>
      <c r="C2775" s="23" t="str">
        <f aca="false">IF(B2775="","","office")</f>
        <v/>
      </c>
      <c r="D2775" s="23" t="str">
        <f aca="false">IF(B2775="","",IFERROR(INDEX(Office_Log!$ED$2:$ED$201,MATCH(IFERROR(INDEX(Clay_Offices!$A$2:$FZ$601,524,Sync!$C$5)&amp;"",""),Office_Log!$A$2:$A$201,0))&amp;"",IFERROR(INDEX(Clay_Offices!$A$2:$FZ$601,524,Sync!$C$5)&amp;"","")&amp;""))</f>
        <v/>
      </c>
      <c r="E2775" s="23" t="str">
        <f aca="false">IF(B2775="","",IFERROR(INDEX(Clay_Offices!$A$2:$FZ$601,524,Sync!$C$6)&amp;"",""))</f>
        <v/>
      </c>
      <c r="F2775" s="23" t="str">
        <f aca="false">IF(B2775="","","outreach_sent")</f>
        <v/>
      </c>
      <c r="G2775" s="23" t="str">
        <f aca="false">IF(B2775="","","")</f>
        <v/>
      </c>
      <c r="H2775" s="23" t="str">
        <f aca="false">IF(B2775="","","")</f>
        <v/>
      </c>
      <c r="I2775" s="23" t="str">
        <f aca="false">IF(B2775="","","")</f>
        <v/>
      </c>
      <c r="J2775" s="23" t="str">
        <f aca="false">IF(B2775="","","touch_2; "&amp;IFERROR(INDEX(Clay_Offices!$A$2:$FZ$601,524,Sync!$C$10)&amp;"","")&amp;"; "&amp;IFERROR(INDEX(Clay_Offices!$A$2:$FZ$601,524,Sync!$C$9)&amp;"",""))</f>
        <v/>
      </c>
      <c r="K2775" s="32" t="s">
        <v>1364</v>
      </c>
    </row>
    <row r="2776" customFormat="false" ht="15" hidden="false" customHeight="false" outlineLevel="0" collapsed="false">
      <c r="A2776" s="23" t="str">
        <f aca="false">IF(B2776="","",B2776+(13*1000+525)/10000000)</f>
        <v/>
      </c>
      <c r="B2776" s="35" t="str">
        <f aca="false">IF(AND(IFERROR(N(INDEX(Clay_Offices!$A$2:$FZ$601,525,Sync!$C$12)),0)&gt;0,IFERROR(INDEX(Clay_Offices!$A$2:$FZ$601,525,Sync!$C$5)&amp;"","")&lt;&gt;"",OR(LEFT(IFERROR(INDEX(Clay_Offices!$A$2:$FZ$601,525,Sync!$C$5)&amp;"",""),6)&lt;&gt;"SAMPLE",Config!$B$19="Y")),IFERROR(N(INDEX(Clay_Offices!$A$2:$FZ$601,525,Sync!$C$12)),0),"")</f>
        <v/>
      </c>
      <c r="C2776" s="23" t="str">
        <f aca="false">IF(B2776="","","office")</f>
        <v/>
      </c>
      <c r="D2776" s="23" t="str">
        <f aca="false">IF(B2776="","",IFERROR(INDEX(Office_Log!$ED$2:$ED$201,MATCH(IFERROR(INDEX(Clay_Offices!$A$2:$FZ$601,525,Sync!$C$5)&amp;"",""),Office_Log!$A$2:$A$201,0))&amp;"",IFERROR(INDEX(Clay_Offices!$A$2:$FZ$601,525,Sync!$C$5)&amp;"","")&amp;""))</f>
        <v/>
      </c>
      <c r="E2776" s="23" t="str">
        <f aca="false">IF(B2776="","",IFERROR(INDEX(Clay_Offices!$A$2:$FZ$601,525,Sync!$C$6)&amp;"",""))</f>
        <v/>
      </c>
      <c r="F2776" s="23" t="str">
        <f aca="false">IF(B2776="","","outreach_sent")</f>
        <v/>
      </c>
      <c r="G2776" s="23" t="str">
        <f aca="false">IF(B2776="","","")</f>
        <v/>
      </c>
      <c r="H2776" s="23" t="str">
        <f aca="false">IF(B2776="","","")</f>
        <v/>
      </c>
      <c r="I2776" s="23" t="str">
        <f aca="false">IF(B2776="","","")</f>
        <v/>
      </c>
      <c r="J2776" s="23" t="str">
        <f aca="false">IF(B2776="","","touch_2; "&amp;IFERROR(INDEX(Clay_Offices!$A$2:$FZ$601,525,Sync!$C$10)&amp;"","")&amp;"; "&amp;IFERROR(INDEX(Clay_Offices!$A$2:$FZ$601,525,Sync!$C$9)&amp;"",""))</f>
        <v/>
      </c>
      <c r="K2776" s="32" t="s">
        <v>1364</v>
      </c>
    </row>
    <row r="2777" customFormat="false" ht="15" hidden="false" customHeight="false" outlineLevel="0" collapsed="false">
      <c r="A2777" s="23" t="str">
        <f aca="false">IF(B2777="","",B2777+(13*1000+526)/10000000)</f>
        <v/>
      </c>
      <c r="B2777" s="35" t="str">
        <f aca="false">IF(AND(IFERROR(N(INDEX(Clay_Offices!$A$2:$FZ$601,526,Sync!$C$12)),0)&gt;0,IFERROR(INDEX(Clay_Offices!$A$2:$FZ$601,526,Sync!$C$5)&amp;"","")&lt;&gt;"",OR(LEFT(IFERROR(INDEX(Clay_Offices!$A$2:$FZ$601,526,Sync!$C$5)&amp;"",""),6)&lt;&gt;"SAMPLE",Config!$B$19="Y")),IFERROR(N(INDEX(Clay_Offices!$A$2:$FZ$601,526,Sync!$C$12)),0),"")</f>
        <v/>
      </c>
      <c r="C2777" s="23" t="str">
        <f aca="false">IF(B2777="","","office")</f>
        <v/>
      </c>
      <c r="D2777" s="23" t="str">
        <f aca="false">IF(B2777="","",IFERROR(INDEX(Office_Log!$ED$2:$ED$201,MATCH(IFERROR(INDEX(Clay_Offices!$A$2:$FZ$601,526,Sync!$C$5)&amp;"",""),Office_Log!$A$2:$A$201,0))&amp;"",IFERROR(INDEX(Clay_Offices!$A$2:$FZ$601,526,Sync!$C$5)&amp;"","")&amp;""))</f>
        <v/>
      </c>
      <c r="E2777" s="23" t="str">
        <f aca="false">IF(B2777="","",IFERROR(INDEX(Clay_Offices!$A$2:$FZ$601,526,Sync!$C$6)&amp;"",""))</f>
        <v/>
      </c>
      <c r="F2777" s="23" t="str">
        <f aca="false">IF(B2777="","","outreach_sent")</f>
        <v/>
      </c>
      <c r="G2777" s="23" t="str">
        <f aca="false">IF(B2777="","","")</f>
        <v/>
      </c>
      <c r="H2777" s="23" t="str">
        <f aca="false">IF(B2777="","","")</f>
        <v/>
      </c>
      <c r="I2777" s="23" t="str">
        <f aca="false">IF(B2777="","","")</f>
        <v/>
      </c>
      <c r="J2777" s="23" t="str">
        <f aca="false">IF(B2777="","","touch_2; "&amp;IFERROR(INDEX(Clay_Offices!$A$2:$FZ$601,526,Sync!$C$10)&amp;"","")&amp;"; "&amp;IFERROR(INDEX(Clay_Offices!$A$2:$FZ$601,526,Sync!$C$9)&amp;"",""))</f>
        <v/>
      </c>
      <c r="K2777" s="32" t="s">
        <v>1364</v>
      </c>
    </row>
    <row r="2778" customFormat="false" ht="15" hidden="false" customHeight="false" outlineLevel="0" collapsed="false">
      <c r="A2778" s="23" t="str">
        <f aca="false">IF(B2778="","",B2778+(13*1000+527)/10000000)</f>
        <v/>
      </c>
      <c r="B2778" s="35" t="str">
        <f aca="false">IF(AND(IFERROR(N(INDEX(Clay_Offices!$A$2:$FZ$601,527,Sync!$C$12)),0)&gt;0,IFERROR(INDEX(Clay_Offices!$A$2:$FZ$601,527,Sync!$C$5)&amp;"","")&lt;&gt;"",OR(LEFT(IFERROR(INDEX(Clay_Offices!$A$2:$FZ$601,527,Sync!$C$5)&amp;"",""),6)&lt;&gt;"SAMPLE",Config!$B$19="Y")),IFERROR(N(INDEX(Clay_Offices!$A$2:$FZ$601,527,Sync!$C$12)),0),"")</f>
        <v/>
      </c>
      <c r="C2778" s="23" t="str">
        <f aca="false">IF(B2778="","","office")</f>
        <v/>
      </c>
      <c r="D2778" s="23" t="str">
        <f aca="false">IF(B2778="","",IFERROR(INDEX(Office_Log!$ED$2:$ED$201,MATCH(IFERROR(INDEX(Clay_Offices!$A$2:$FZ$601,527,Sync!$C$5)&amp;"",""),Office_Log!$A$2:$A$201,0))&amp;"",IFERROR(INDEX(Clay_Offices!$A$2:$FZ$601,527,Sync!$C$5)&amp;"","")&amp;""))</f>
        <v/>
      </c>
      <c r="E2778" s="23" t="str">
        <f aca="false">IF(B2778="","",IFERROR(INDEX(Clay_Offices!$A$2:$FZ$601,527,Sync!$C$6)&amp;"",""))</f>
        <v/>
      </c>
      <c r="F2778" s="23" t="str">
        <f aca="false">IF(B2778="","","outreach_sent")</f>
        <v/>
      </c>
      <c r="G2778" s="23" t="str">
        <f aca="false">IF(B2778="","","")</f>
        <v/>
      </c>
      <c r="H2778" s="23" t="str">
        <f aca="false">IF(B2778="","","")</f>
        <v/>
      </c>
      <c r="I2778" s="23" t="str">
        <f aca="false">IF(B2778="","","")</f>
        <v/>
      </c>
      <c r="J2778" s="23" t="str">
        <f aca="false">IF(B2778="","","touch_2; "&amp;IFERROR(INDEX(Clay_Offices!$A$2:$FZ$601,527,Sync!$C$10)&amp;"","")&amp;"; "&amp;IFERROR(INDEX(Clay_Offices!$A$2:$FZ$601,527,Sync!$C$9)&amp;"",""))</f>
        <v/>
      </c>
      <c r="K2778" s="32" t="s">
        <v>1364</v>
      </c>
    </row>
    <row r="2779" customFormat="false" ht="15" hidden="false" customHeight="false" outlineLevel="0" collapsed="false">
      <c r="A2779" s="23" t="str">
        <f aca="false">IF(B2779="","",B2779+(13*1000+528)/10000000)</f>
        <v/>
      </c>
      <c r="B2779" s="35" t="str">
        <f aca="false">IF(AND(IFERROR(N(INDEX(Clay_Offices!$A$2:$FZ$601,528,Sync!$C$12)),0)&gt;0,IFERROR(INDEX(Clay_Offices!$A$2:$FZ$601,528,Sync!$C$5)&amp;"","")&lt;&gt;"",OR(LEFT(IFERROR(INDEX(Clay_Offices!$A$2:$FZ$601,528,Sync!$C$5)&amp;"",""),6)&lt;&gt;"SAMPLE",Config!$B$19="Y")),IFERROR(N(INDEX(Clay_Offices!$A$2:$FZ$601,528,Sync!$C$12)),0),"")</f>
        <v/>
      </c>
      <c r="C2779" s="23" t="str">
        <f aca="false">IF(B2779="","","office")</f>
        <v/>
      </c>
      <c r="D2779" s="23" t="str">
        <f aca="false">IF(B2779="","",IFERROR(INDEX(Office_Log!$ED$2:$ED$201,MATCH(IFERROR(INDEX(Clay_Offices!$A$2:$FZ$601,528,Sync!$C$5)&amp;"",""),Office_Log!$A$2:$A$201,0))&amp;"",IFERROR(INDEX(Clay_Offices!$A$2:$FZ$601,528,Sync!$C$5)&amp;"","")&amp;""))</f>
        <v/>
      </c>
      <c r="E2779" s="23" t="str">
        <f aca="false">IF(B2779="","",IFERROR(INDEX(Clay_Offices!$A$2:$FZ$601,528,Sync!$C$6)&amp;"",""))</f>
        <v/>
      </c>
      <c r="F2779" s="23" t="str">
        <f aca="false">IF(B2779="","","outreach_sent")</f>
        <v/>
      </c>
      <c r="G2779" s="23" t="str">
        <f aca="false">IF(B2779="","","")</f>
        <v/>
      </c>
      <c r="H2779" s="23" t="str">
        <f aca="false">IF(B2779="","","")</f>
        <v/>
      </c>
      <c r="I2779" s="23" t="str">
        <f aca="false">IF(B2779="","","")</f>
        <v/>
      </c>
      <c r="J2779" s="23" t="str">
        <f aca="false">IF(B2779="","","touch_2; "&amp;IFERROR(INDEX(Clay_Offices!$A$2:$FZ$601,528,Sync!$C$10)&amp;"","")&amp;"; "&amp;IFERROR(INDEX(Clay_Offices!$A$2:$FZ$601,528,Sync!$C$9)&amp;"",""))</f>
        <v/>
      </c>
      <c r="K2779" s="32" t="s">
        <v>1364</v>
      </c>
    </row>
    <row r="2780" customFormat="false" ht="15" hidden="false" customHeight="false" outlineLevel="0" collapsed="false">
      <c r="A2780" s="23" t="str">
        <f aca="false">IF(B2780="","",B2780+(13*1000+529)/10000000)</f>
        <v/>
      </c>
      <c r="B2780" s="35" t="str">
        <f aca="false">IF(AND(IFERROR(N(INDEX(Clay_Offices!$A$2:$FZ$601,529,Sync!$C$12)),0)&gt;0,IFERROR(INDEX(Clay_Offices!$A$2:$FZ$601,529,Sync!$C$5)&amp;"","")&lt;&gt;"",OR(LEFT(IFERROR(INDEX(Clay_Offices!$A$2:$FZ$601,529,Sync!$C$5)&amp;"",""),6)&lt;&gt;"SAMPLE",Config!$B$19="Y")),IFERROR(N(INDEX(Clay_Offices!$A$2:$FZ$601,529,Sync!$C$12)),0),"")</f>
        <v/>
      </c>
      <c r="C2780" s="23" t="str">
        <f aca="false">IF(B2780="","","office")</f>
        <v/>
      </c>
      <c r="D2780" s="23" t="str">
        <f aca="false">IF(B2780="","",IFERROR(INDEX(Office_Log!$ED$2:$ED$201,MATCH(IFERROR(INDEX(Clay_Offices!$A$2:$FZ$601,529,Sync!$C$5)&amp;"",""),Office_Log!$A$2:$A$201,0))&amp;"",IFERROR(INDEX(Clay_Offices!$A$2:$FZ$601,529,Sync!$C$5)&amp;"","")&amp;""))</f>
        <v/>
      </c>
      <c r="E2780" s="23" t="str">
        <f aca="false">IF(B2780="","",IFERROR(INDEX(Clay_Offices!$A$2:$FZ$601,529,Sync!$C$6)&amp;"",""))</f>
        <v/>
      </c>
      <c r="F2780" s="23" t="str">
        <f aca="false">IF(B2780="","","outreach_sent")</f>
        <v/>
      </c>
      <c r="G2780" s="23" t="str">
        <f aca="false">IF(B2780="","","")</f>
        <v/>
      </c>
      <c r="H2780" s="23" t="str">
        <f aca="false">IF(B2780="","","")</f>
        <v/>
      </c>
      <c r="I2780" s="23" t="str">
        <f aca="false">IF(B2780="","","")</f>
        <v/>
      </c>
      <c r="J2780" s="23" t="str">
        <f aca="false">IF(B2780="","","touch_2; "&amp;IFERROR(INDEX(Clay_Offices!$A$2:$FZ$601,529,Sync!$C$10)&amp;"","")&amp;"; "&amp;IFERROR(INDEX(Clay_Offices!$A$2:$FZ$601,529,Sync!$C$9)&amp;"",""))</f>
        <v/>
      </c>
      <c r="K2780" s="32" t="s">
        <v>1364</v>
      </c>
    </row>
    <row r="2781" customFormat="false" ht="15" hidden="false" customHeight="false" outlineLevel="0" collapsed="false">
      <c r="A2781" s="23" t="str">
        <f aca="false">IF(B2781="","",B2781+(13*1000+530)/10000000)</f>
        <v/>
      </c>
      <c r="B2781" s="35" t="str">
        <f aca="false">IF(AND(IFERROR(N(INDEX(Clay_Offices!$A$2:$FZ$601,530,Sync!$C$12)),0)&gt;0,IFERROR(INDEX(Clay_Offices!$A$2:$FZ$601,530,Sync!$C$5)&amp;"","")&lt;&gt;"",OR(LEFT(IFERROR(INDEX(Clay_Offices!$A$2:$FZ$601,530,Sync!$C$5)&amp;"",""),6)&lt;&gt;"SAMPLE",Config!$B$19="Y")),IFERROR(N(INDEX(Clay_Offices!$A$2:$FZ$601,530,Sync!$C$12)),0),"")</f>
        <v/>
      </c>
      <c r="C2781" s="23" t="str">
        <f aca="false">IF(B2781="","","office")</f>
        <v/>
      </c>
      <c r="D2781" s="23" t="str">
        <f aca="false">IF(B2781="","",IFERROR(INDEX(Office_Log!$ED$2:$ED$201,MATCH(IFERROR(INDEX(Clay_Offices!$A$2:$FZ$601,530,Sync!$C$5)&amp;"",""),Office_Log!$A$2:$A$201,0))&amp;"",IFERROR(INDEX(Clay_Offices!$A$2:$FZ$601,530,Sync!$C$5)&amp;"","")&amp;""))</f>
        <v/>
      </c>
      <c r="E2781" s="23" t="str">
        <f aca="false">IF(B2781="","",IFERROR(INDEX(Clay_Offices!$A$2:$FZ$601,530,Sync!$C$6)&amp;"",""))</f>
        <v/>
      </c>
      <c r="F2781" s="23" t="str">
        <f aca="false">IF(B2781="","","outreach_sent")</f>
        <v/>
      </c>
      <c r="G2781" s="23" t="str">
        <f aca="false">IF(B2781="","","")</f>
        <v/>
      </c>
      <c r="H2781" s="23" t="str">
        <f aca="false">IF(B2781="","","")</f>
        <v/>
      </c>
      <c r="I2781" s="23" t="str">
        <f aca="false">IF(B2781="","","")</f>
        <v/>
      </c>
      <c r="J2781" s="23" t="str">
        <f aca="false">IF(B2781="","","touch_2; "&amp;IFERROR(INDEX(Clay_Offices!$A$2:$FZ$601,530,Sync!$C$10)&amp;"","")&amp;"; "&amp;IFERROR(INDEX(Clay_Offices!$A$2:$FZ$601,530,Sync!$C$9)&amp;"",""))</f>
        <v/>
      </c>
      <c r="K2781" s="32" t="s">
        <v>1364</v>
      </c>
    </row>
    <row r="2782" customFormat="false" ht="15" hidden="false" customHeight="false" outlineLevel="0" collapsed="false">
      <c r="A2782" s="23" t="str">
        <f aca="false">IF(B2782="","",B2782+(13*1000+531)/10000000)</f>
        <v/>
      </c>
      <c r="B2782" s="35" t="str">
        <f aca="false">IF(AND(IFERROR(N(INDEX(Clay_Offices!$A$2:$FZ$601,531,Sync!$C$12)),0)&gt;0,IFERROR(INDEX(Clay_Offices!$A$2:$FZ$601,531,Sync!$C$5)&amp;"","")&lt;&gt;"",OR(LEFT(IFERROR(INDEX(Clay_Offices!$A$2:$FZ$601,531,Sync!$C$5)&amp;"",""),6)&lt;&gt;"SAMPLE",Config!$B$19="Y")),IFERROR(N(INDEX(Clay_Offices!$A$2:$FZ$601,531,Sync!$C$12)),0),"")</f>
        <v/>
      </c>
      <c r="C2782" s="23" t="str">
        <f aca="false">IF(B2782="","","office")</f>
        <v/>
      </c>
      <c r="D2782" s="23" t="str">
        <f aca="false">IF(B2782="","",IFERROR(INDEX(Office_Log!$ED$2:$ED$201,MATCH(IFERROR(INDEX(Clay_Offices!$A$2:$FZ$601,531,Sync!$C$5)&amp;"",""),Office_Log!$A$2:$A$201,0))&amp;"",IFERROR(INDEX(Clay_Offices!$A$2:$FZ$601,531,Sync!$C$5)&amp;"","")&amp;""))</f>
        <v/>
      </c>
      <c r="E2782" s="23" t="str">
        <f aca="false">IF(B2782="","",IFERROR(INDEX(Clay_Offices!$A$2:$FZ$601,531,Sync!$C$6)&amp;"",""))</f>
        <v/>
      </c>
      <c r="F2782" s="23" t="str">
        <f aca="false">IF(B2782="","","outreach_sent")</f>
        <v/>
      </c>
      <c r="G2782" s="23" t="str">
        <f aca="false">IF(B2782="","","")</f>
        <v/>
      </c>
      <c r="H2782" s="23" t="str">
        <f aca="false">IF(B2782="","","")</f>
        <v/>
      </c>
      <c r="I2782" s="23" t="str">
        <f aca="false">IF(B2782="","","")</f>
        <v/>
      </c>
      <c r="J2782" s="23" t="str">
        <f aca="false">IF(B2782="","","touch_2; "&amp;IFERROR(INDEX(Clay_Offices!$A$2:$FZ$601,531,Sync!$C$10)&amp;"","")&amp;"; "&amp;IFERROR(INDEX(Clay_Offices!$A$2:$FZ$601,531,Sync!$C$9)&amp;"",""))</f>
        <v/>
      </c>
      <c r="K2782" s="32" t="s">
        <v>1364</v>
      </c>
    </row>
    <row r="2783" customFormat="false" ht="15" hidden="false" customHeight="false" outlineLevel="0" collapsed="false">
      <c r="A2783" s="23" t="str">
        <f aca="false">IF(B2783="","",B2783+(13*1000+532)/10000000)</f>
        <v/>
      </c>
      <c r="B2783" s="35" t="str">
        <f aca="false">IF(AND(IFERROR(N(INDEX(Clay_Offices!$A$2:$FZ$601,532,Sync!$C$12)),0)&gt;0,IFERROR(INDEX(Clay_Offices!$A$2:$FZ$601,532,Sync!$C$5)&amp;"","")&lt;&gt;"",OR(LEFT(IFERROR(INDEX(Clay_Offices!$A$2:$FZ$601,532,Sync!$C$5)&amp;"",""),6)&lt;&gt;"SAMPLE",Config!$B$19="Y")),IFERROR(N(INDEX(Clay_Offices!$A$2:$FZ$601,532,Sync!$C$12)),0),"")</f>
        <v/>
      </c>
      <c r="C2783" s="23" t="str">
        <f aca="false">IF(B2783="","","office")</f>
        <v/>
      </c>
      <c r="D2783" s="23" t="str">
        <f aca="false">IF(B2783="","",IFERROR(INDEX(Office_Log!$ED$2:$ED$201,MATCH(IFERROR(INDEX(Clay_Offices!$A$2:$FZ$601,532,Sync!$C$5)&amp;"",""),Office_Log!$A$2:$A$201,0))&amp;"",IFERROR(INDEX(Clay_Offices!$A$2:$FZ$601,532,Sync!$C$5)&amp;"","")&amp;""))</f>
        <v/>
      </c>
      <c r="E2783" s="23" t="str">
        <f aca="false">IF(B2783="","",IFERROR(INDEX(Clay_Offices!$A$2:$FZ$601,532,Sync!$C$6)&amp;"",""))</f>
        <v/>
      </c>
      <c r="F2783" s="23" t="str">
        <f aca="false">IF(B2783="","","outreach_sent")</f>
        <v/>
      </c>
      <c r="G2783" s="23" t="str">
        <f aca="false">IF(B2783="","","")</f>
        <v/>
      </c>
      <c r="H2783" s="23" t="str">
        <f aca="false">IF(B2783="","","")</f>
        <v/>
      </c>
      <c r="I2783" s="23" t="str">
        <f aca="false">IF(B2783="","","")</f>
        <v/>
      </c>
      <c r="J2783" s="23" t="str">
        <f aca="false">IF(B2783="","","touch_2; "&amp;IFERROR(INDEX(Clay_Offices!$A$2:$FZ$601,532,Sync!$C$10)&amp;"","")&amp;"; "&amp;IFERROR(INDEX(Clay_Offices!$A$2:$FZ$601,532,Sync!$C$9)&amp;"",""))</f>
        <v/>
      </c>
      <c r="K2783" s="32" t="s">
        <v>1364</v>
      </c>
    </row>
    <row r="2784" customFormat="false" ht="15" hidden="false" customHeight="false" outlineLevel="0" collapsed="false">
      <c r="A2784" s="23" t="str">
        <f aca="false">IF(B2784="","",B2784+(13*1000+533)/10000000)</f>
        <v/>
      </c>
      <c r="B2784" s="35" t="str">
        <f aca="false">IF(AND(IFERROR(N(INDEX(Clay_Offices!$A$2:$FZ$601,533,Sync!$C$12)),0)&gt;0,IFERROR(INDEX(Clay_Offices!$A$2:$FZ$601,533,Sync!$C$5)&amp;"","")&lt;&gt;"",OR(LEFT(IFERROR(INDEX(Clay_Offices!$A$2:$FZ$601,533,Sync!$C$5)&amp;"",""),6)&lt;&gt;"SAMPLE",Config!$B$19="Y")),IFERROR(N(INDEX(Clay_Offices!$A$2:$FZ$601,533,Sync!$C$12)),0),"")</f>
        <v/>
      </c>
      <c r="C2784" s="23" t="str">
        <f aca="false">IF(B2784="","","office")</f>
        <v/>
      </c>
      <c r="D2784" s="23" t="str">
        <f aca="false">IF(B2784="","",IFERROR(INDEX(Office_Log!$ED$2:$ED$201,MATCH(IFERROR(INDEX(Clay_Offices!$A$2:$FZ$601,533,Sync!$C$5)&amp;"",""),Office_Log!$A$2:$A$201,0))&amp;"",IFERROR(INDEX(Clay_Offices!$A$2:$FZ$601,533,Sync!$C$5)&amp;"","")&amp;""))</f>
        <v/>
      </c>
      <c r="E2784" s="23" t="str">
        <f aca="false">IF(B2784="","",IFERROR(INDEX(Clay_Offices!$A$2:$FZ$601,533,Sync!$C$6)&amp;"",""))</f>
        <v/>
      </c>
      <c r="F2784" s="23" t="str">
        <f aca="false">IF(B2784="","","outreach_sent")</f>
        <v/>
      </c>
      <c r="G2784" s="23" t="str">
        <f aca="false">IF(B2784="","","")</f>
        <v/>
      </c>
      <c r="H2784" s="23" t="str">
        <f aca="false">IF(B2784="","","")</f>
        <v/>
      </c>
      <c r="I2784" s="23" t="str">
        <f aca="false">IF(B2784="","","")</f>
        <v/>
      </c>
      <c r="J2784" s="23" t="str">
        <f aca="false">IF(B2784="","","touch_2; "&amp;IFERROR(INDEX(Clay_Offices!$A$2:$FZ$601,533,Sync!$C$10)&amp;"","")&amp;"; "&amp;IFERROR(INDEX(Clay_Offices!$A$2:$FZ$601,533,Sync!$C$9)&amp;"",""))</f>
        <v/>
      </c>
      <c r="K2784" s="32" t="s">
        <v>1364</v>
      </c>
    </row>
    <row r="2785" customFormat="false" ht="15" hidden="false" customHeight="false" outlineLevel="0" collapsed="false">
      <c r="A2785" s="23" t="str">
        <f aca="false">IF(B2785="","",B2785+(13*1000+534)/10000000)</f>
        <v/>
      </c>
      <c r="B2785" s="35" t="str">
        <f aca="false">IF(AND(IFERROR(N(INDEX(Clay_Offices!$A$2:$FZ$601,534,Sync!$C$12)),0)&gt;0,IFERROR(INDEX(Clay_Offices!$A$2:$FZ$601,534,Sync!$C$5)&amp;"","")&lt;&gt;"",OR(LEFT(IFERROR(INDEX(Clay_Offices!$A$2:$FZ$601,534,Sync!$C$5)&amp;"",""),6)&lt;&gt;"SAMPLE",Config!$B$19="Y")),IFERROR(N(INDEX(Clay_Offices!$A$2:$FZ$601,534,Sync!$C$12)),0),"")</f>
        <v/>
      </c>
      <c r="C2785" s="23" t="str">
        <f aca="false">IF(B2785="","","office")</f>
        <v/>
      </c>
      <c r="D2785" s="23" t="str">
        <f aca="false">IF(B2785="","",IFERROR(INDEX(Office_Log!$ED$2:$ED$201,MATCH(IFERROR(INDEX(Clay_Offices!$A$2:$FZ$601,534,Sync!$C$5)&amp;"",""),Office_Log!$A$2:$A$201,0))&amp;"",IFERROR(INDEX(Clay_Offices!$A$2:$FZ$601,534,Sync!$C$5)&amp;"","")&amp;""))</f>
        <v/>
      </c>
      <c r="E2785" s="23" t="str">
        <f aca="false">IF(B2785="","",IFERROR(INDEX(Clay_Offices!$A$2:$FZ$601,534,Sync!$C$6)&amp;"",""))</f>
        <v/>
      </c>
      <c r="F2785" s="23" t="str">
        <f aca="false">IF(B2785="","","outreach_sent")</f>
        <v/>
      </c>
      <c r="G2785" s="23" t="str">
        <f aca="false">IF(B2785="","","")</f>
        <v/>
      </c>
      <c r="H2785" s="23" t="str">
        <f aca="false">IF(B2785="","","")</f>
        <v/>
      </c>
      <c r="I2785" s="23" t="str">
        <f aca="false">IF(B2785="","","")</f>
        <v/>
      </c>
      <c r="J2785" s="23" t="str">
        <f aca="false">IF(B2785="","","touch_2; "&amp;IFERROR(INDEX(Clay_Offices!$A$2:$FZ$601,534,Sync!$C$10)&amp;"","")&amp;"; "&amp;IFERROR(INDEX(Clay_Offices!$A$2:$FZ$601,534,Sync!$C$9)&amp;"",""))</f>
        <v/>
      </c>
      <c r="K2785" s="32" t="s">
        <v>1364</v>
      </c>
    </row>
    <row r="2786" customFormat="false" ht="15" hidden="false" customHeight="false" outlineLevel="0" collapsed="false">
      <c r="A2786" s="23" t="str">
        <f aca="false">IF(B2786="","",B2786+(13*1000+535)/10000000)</f>
        <v/>
      </c>
      <c r="B2786" s="35" t="str">
        <f aca="false">IF(AND(IFERROR(N(INDEX(Clay_Offices!$A$2:$FZ$601,535,Sync!$C$12)),0)&gt;0,IFERROR(INDEX(Clay_Offices!$A$2:$FZ$601,535,Sync!$C$5)&amp;"","")&lt;&gt;"",OR(LEFT(IFERROR(INDEX(Clay_Offices!$A$2:$FZ$601,535,Sync!$C$5)&amp;"",""),6)&lt;&gt;"SAMPLE",Config!$B$19="Y")),IFERROR(N(INDEX(Clay_Offices!$A$2:$FZ$601,535,Sync!$C$12)),0),"")</f>
        <v/>
      </c>
      <c r="C2786" s="23" t="str">
        <f aca="false">IF(B2786="","","office")</f>
        <v/>
      </c>
      <c r="D2786" s="23" t="str">
        <f aca="false">IF(B2786="","",IFERROR(INDEX(Office_Log!$ED$2:$ED$201,MATCH(IFERROR(INDEX(Clay_Offices!$A$2:$FZ$601,535,Sync!$C$5)&amp;"",""),Office_Log!$A$2:$A$201,0))&amp;"",IFERROR(INDEX(Clay_Offices!$A$2:$FZ$601,535,Sync!$C$5)&amp;"","")&amp;""))</f>
        <v/>
      </c>
      <c r="E2786" s="23" t="str">
        <f aca="false">IF(B2786="","",IFERROR(INDEX(Clay_Offices!$A$2:$FZ$601,535,Sync!$C$6)&amp;"",""))</f>
        <v/>
      </c>
      <c r="F2786" s="23" t="str">
        <f aca="false">IF(B2786="","","outreach_sent")</f>
        <v/>
      </c>
      <c r="G2786" s="23" t="str">
        <f aca="false">IF(B2786="","","")</f>
        <v/>
      </c>
      <c r="H2786" s="23" t="str">
        <f aca="false">IF(B2786="","","")</f>
        <v/>
      </c>
      <c r="I2786" s="23" t="str">
        <f aca="false">IF(B2786="","","")</f>
        <v/>
      </c>
      <c r="J2786" s="23" t="str">
        <f aca="false">IF(B2786="","","touch_2; "&amp;IFERROR(INDEX(Clay_Offices!$A$2:$FZ$601,535,Sync!$C$10)&amp;"","")&amp;"; "&amp;IFERROR(INDEX(Clay_Offices!$A$2:$FZ$601,535,Sync!$C$9)&amp;"",""))</f>
        <v/>
      </c>
      <c r="K2786" s="32" t="s">
        <v>1364</v>
      </c>
    </row>
    <row r="2787" customFormat="false" ht="15" hidden="false" customHeight="false" outlineLevel="0" collapsed="false">
      <c r="A2787" s="23" t="str">
        <f aca="false">IF(B2787="","",B2787+(13*1000+536)/10000000)</f>
        <v/>
      </c>
      <c r="B2787" s="35" t="str">
        <f aca="false">IF(AND(IFERROR(N(INDEX(Clay_Offices!$A$2:$FZ$601,536,Sync!$C$12)),0)&gt;0,IFERROR(INDEX(Clay_Offices!$A$2:$FZ$601,536,Sync!$C$5)&amp;"","")&lt;&gt;"",OR(LEFT(IFERROR(INDEX(Clay_Offices!$A$2:$FZ$601,536,Sync!$C$5)&amp;"",""),6)&lt;&gt;"SAMPLE",Config!$B$19="Y")),IFERROR(N(INDEX(Clay_Offices!$A$2:$FZ$601,536,Sync!$C$12)),0),"")</f>
        <v/>
      </c>
      <c r="C2787" s="23" t="str">
        <f aca="false">IF(B2787="","","office")</f>
        <v/>
      </c>
      <c r="D2787" s="23" t="str">
        <f aca="false">IF(B2787="","",IFERROR(INDEX(Office_Log!$ED$2:$ED$201,MATCH(IFERROR(INDEX(Clay_Offices!$A$2:$FZ$601,536,Sync!$C$5)&amp;"",""),Office_Log!$A$2:$A$201,0))&amp;"",IFERROR(INDEX(Clay_Offices!$A$2:$FZ$601,536,Sync!$C$5)&amp;"","")&amp;""))</f>
        <v/>
      </c>
      <c r="E2787" s="23" t="str">
        <f aca="false">IF(B2787="","",IFERROR(INDEX(Clay_Offices!$A$2:$FZ$601,536,Sync!$C$6)&amp;"",""))</f>
        <v/>
      </c>
      <c r="F2787" s="23" t="str">
        <f aca="false">IF(B2787="","","outreach_sent")</f>
        <v/>
      </c>
      <c r="G2787" s="23" t="str">
        <f aca="false">IF(B2787="","","")</f>
        <v/>
      </c>
      <c r="H2787" s="23" t="str">
        <f aca="false">IF(B2787="","","")</f>
        <v/>
      </c>
      <c r="I2787" s="23" t="str">
        <f aca="false">IF(B2787="","","")</f>
        <v/>
      </c>
      <c r="J2787" s="23" t="str">
        <f aca="false">IF(B2787="","","touch_2; "&amp;IFERROR(INDEX(Clay_Offices!$A$2:$FZ$601,536,Sync!$C$10)&amp;"","")&amp;"; "&amp;IFERROR(INDEX(Clay_Offices!$A$2:$FZ$601,536,Sync!$C$9)&amp;"",""))</f>
        <v/>
      </c>
      <c r="K2787" s="32" t="s">
        <v>1364</v>
      </c>
    </row>
    <row r="2788" customFormat="false" ht="15" hidden="false" customHeight="false" outlineLevel="0" collapsed="false">
      <c r="A2788" s="23" t="str">
        <f aca="false">IF(B2788="","",B2788+(13*1000+537)/10000000)</f>
        <v/>
      </c>
      <c r="B2788" s="35" t="str">
        <f aca="false">IF(AND(IFERROR(N(INDEX(Clay_Offices!$A$2:$FZ$601,537,Sync!$C$12)),0)&gt;0,IFERROR(INDEX(Clay_Offices!$A$2:$FZ$601,537,Sync!$C$5)&amp;"","")&lt;&gt;"",OR(LEFT(IFERROR(INDEX(Clay_Offices!$A$2:$FZ$601,537,Sync!$C$5)&amp;"",""),6)&lt;&gt;"SAMPLE",Config!$B$19="Y")),IFERROR(N(INDEX(Clay_Offices!$A$2:$FZ$601,537,Sync!$C$12)),0),"")</f>
        <v/>
      </c>
      <c r="C2788" s="23" t="str">
        <f aca="false">IF(B2788="","","office")</f>
        <v/>
      </c>
      <c r="D2788" s="23" t="str">
        <f aca="false">IF(B2788="","",IFERROR(INDEX(Office_Log!$ED$2:$ED$201,MATCH(IFERROR(INDEX(Clay_Offices!$A$2:$FZ$601,537,Sync!$C$5)&amp;"",""),Office_Log!$A$2:$A$201,0))&amp;"",IFERROR(INDEX(Clay_Offices!$A$2:$FZ$601,537,Sync!$C$5)&amp;"","")&amp;""))</f>
        <v/>
      </c>
      <c r="E2788" s="23" t="str">
        <f aca="false">IF(B2788="","",IFERROR(INDEX(Clay_Offices!$A$2:$FZ$601,537,Sync!$C$6)&amp;"",""))</f>
        <v/>
      </c>
      <c r="F2788" s="23" t="str">
        <f aca="false">IF(B2788="","","outreach_sent")</f>
        <v/>
      </c>
      <c r="G2788" s="23" t="str">
        <f aca="false">IF(B2788="","","")</f>
        <v/>
      </c>
      <c r="H2788" s="23" t="str">
        <f aca="false">IF(B2788="","","")</f>
        <v/>
      </c>
      <c r="I2788" s="23" t="str">
        <f aca="false">IF(B2788="","","")</f>
        <v/>
      </c>
      <c r="J2788" s="23" t="str">
        <f aca="false">IF(B2788="","","touch_2; "&amp;IFERROR(INDEX(Clay_Offices!$A$2:$FZ$601,537,Sync!$C$10)&amp;"","")&amp;"; "&amp;IFERROR(INDEX(Clay_Offices!$A$2:$FZ$601,537,Sync!$C$9)&amp;"",""))</f>
        <v/>
      </c>
      <c r="K2788" s="32" t="s">
        <v>1364</v>
      </c>
    </row>
    <row r="2789" customFormat="false" ht="15" hidden="false" customHeight="false" outlineLevel="0" collapsed="false">
      <c r="A2789" s="23" t="str">
        <f aca="false">IF(B2789="","",B2789+(13*1000+538)/10000000)</f>
        <v/>
      </c>
      <c r="B2789" s="35" t="str">
        <f aca="false">IF(AND(IFERROR(N(INDEX(Clay_Offices!$A$2:$FZ$601,538,Sync!$C$12)),0)&gt;0,IFERROR(INDEX(Clay_Offices!$A$2:$FZ$601,538,Sync!$C$5)&amp;"","")&lt;&gt;"",OR(LEFT(IFERROR(INDEX(Clay_Offices!$A$2:$FZ$601,538,Sync!$C$5)&amp;"",""),6)&lt;&gt;"SAMPLE",Config!$B$19="Y")),IFERROR(N(INDEX(Clay_Offices!$A$2:$FZ$601,538,Sync!$C$12)),0),"")</f>
        <v/>
      </c>
      <c r="C2789" s="23" t="str">
        <f aca="false">IF(B2789="","","office")</f>
        <v/>
      </c>
      <c r="D2789" s="23" t="str">
        <f aca="false">IF(B2789="","",IFERROR(INDEX(Office_Log!$ED$2:$ED$201,MATCH(IFERROR(INDEX(Clay_Offices!$A$2:$FZ$601,538,Sync!$C$5)&amp;"",""),Office_Log!$A$2:$A$201,0))&amp;"",IFERROR(INDEX(Clay_Offices!$A$2:$FZ$601,538,Sync!$C$5)&amp;"","")&amp;""))</f>
        <v/>
      </c>
      <c r="E2789" s="23" t="str">
        <f aca="false">IF(B2789="","",IFERROR(INDEX(Clay_Offices!$A$2:$FZ$601,538,Sync!$C$6)&amp;"",""))</f>
        <v/>
      </c>
      <c r="F2789" s="23" t="str">
        <f aca="false">IF(B2789="","","outreach_sent")</f>
        <v/>
      </c>
      <c r="G2789" s="23" t="str">
        <f aca="false">IF(B2789="","","")</f>
        <v/>
      </c>
      <c r="H2789" s="23" t="str">
        <f aca="false">IF(B2789="","","")</f>
        <v/>
      </c>
      <c r="I2789" s="23" t="str">
        <f aca="false">IF(B2789="","","")</f>
        <v/>
      </c>
      <c r="J2789" s="23" t="str">
        <f aca="false">IF(B2789="","","touch_2; "&amp;IFERROR(INDEX(Clay_Offices!$A$2:$FZ$601,538,Sync!$C$10)&amp;"","")&amp;"; "&amp;IFERROR(INDEX(Clay_Offices!$A$2:$FZ$601,538,Sync!$C$9)&amp;"",""))</f>
        <v/>
      </c>
      <c r="K2789" s="32" t="s">
        <v>1364</v>
      </c>
    </row>
    <row r="2790" customFormat="false" ht="15" hidden="false" customHeight="false" outlineLevel="0" collapsed="false">
      <c r="A2790" s="23" t="str">
        <f aca="false">IF(B2790="","",B2790+(13*1000+539)/10000000)</f>
        <v/>
      </c>
      <c r="B2790" s="35" t="str">
        <f aca="false">IF(AND(IFERROR(N(INDEX(Clay_Offices!$A$2:$FZ$601,539,Sync!$C$12)),0)&gt;0,IFERROR(INDEX(Clay_Offices!$A$2:$FZ$601,539,Sync!$C$5)&amp;"","")&lt;&gt;"",OR(LEFT(IFERROR(INDEX(Clay_Offices!$A$2:$FZ$601,539,Sync!$C$5)&amp;"",""),6)&lt;&gt;"SAMPLE",Config!$B$19="Y")),IFERROR(N(INDEX(Clay_Offices!$A$2:$FZ$601,539,Sync!$C$12)),0),"")</f>
        <v/>
      </c>
      <c r="C2790" s="23" t="str">
        <f aca="false">IF(B2790="","","office")</f>
        <v/>
      </c>
      <c r="D2790" s="23" t="str">
        <f aca="false">IF(B2790="","",IFERROR(INDEX(Office_Log!$ED$2:$ED$201,MATCH(IFERROR(INDEX(Clay_Offices!$A$2:$FZ$601,539,Sync!$C$5)&amp;"",""),Office_Log!$A$2:$A$201,0))&amp;"",IFERROR(INDEX(Clay_Offices!$A$2:$FZ$601,539,Sync!$C$5)&amp;"","")&amp;""))</f>
        <v/>
      </c>
      <c r="E2790" s="23" t="str">
        <f aca="false">IF(B2790="","",IFERROR(INDEX(Clay_Offices!$A$2:$FZ$601,539,Sync!$C$6)&amp;"",""))</f>
        <v/>
      </c>
      <c r="F2790" s="23" t="str">
        <f aca="false">IF(B2790="","","outreach_sent")</f>
        <v/>
      </c>
      <c r="G2790" s="23" t="str">
        <f aca="false">IF(B2790="","","")</f>
        <v/>
      </c>
      <c r="H2790" s="23" t="str">
        <f aca="false">IF(B2790="","","")</f>
        <v/>
      </c>
      <c r="I2790" s="23" t="str">
        <f aca="false">IF(B2790="","","")</f>
        <v/>
      </c>
      <c r="J2790" s="23" t="str">
        <f aca="false">IF(B2790="","","touch_2; "&amp;IFERROR(INDEX(Clay_Offices!$A$2:$FZ$601,539,Sync!$C$10)&amp;"","")&amp;"; "&amp;IFERROR(INDEX(Clay_Offices!$A$2:$FZ$601,539,Sync!$C$9)&amp;"",""))</f>
        <v/>
      </c>
      <c r="K2790" s="32" t="s">
        <v>1364</v>
      </c>
    </row>
    <row r="2791" customFormat="false" ht="15" hidden="false" customHeight="false" outlineLevel="0" collapsed="false">
      <c r="A2791" s="23" t="str">
        <f aca="false">IF(B2791="","",B2791+(13*1000+540)/10000000)</f>
        <v/>
      </c>
      <c r="B2791" s="35" t="str">
        <f aca="false">IF(AND(IFERROR(N(INDEX(Clay_Offices!$A$2:$FZ$601,540,Sync!$C$12)),0)&gt;0,IFERROR(INDEX(Clay_Offices!$A$2:$FZ$601,540,Sync!$C$5)&amp;"","")&lt;&gt;"",OR(LEFT(IFERROR(INDEX(Clay_Offices!$A$2:$FZ$601,540,Sync!$C$5)&amp;"",""),6)&lt;&gt;"SAMPLE",Config!$B$19="Y")),IFERROR(N(INDEX(Clay_Offices!$A$2:$FZ$601,540,Sync!$C$12)),0),"")</f>
        <v/>
      </c>
      <c r="C2791" s="23" t="str">
        <f aca="false">IF(B2791="","","office")</f>
        <v/>
      </c>
      <c r="D2791" s="23" t="str">
        <f aca="false">IF(B2791="","",IFERROR(INDEX(Office_Log!$ED$2:$ED$201,MATCH(IFERROR(INDEX(Clay_Offices!$A$2:$FZ$601,540,Sync!$C$5)&amp;"",""),Office_Log!$A$2:$A$201,0))&amp;"",IFERROR(INDEX(Clay_Offices!$A$2:$FZ$601,540,Sync!$C$5)&amp;"","")&amp;""))</f>
        <v/>
      </c>
      <c r="E2791" s="23" t="str">
        <f aca="false">IF(B2791="","",IFERROR(INDEX(Clay_Offices!$A$2:$FZ$601,540,Sync!$C$6)&amp;"",""))</f>
        <v/>
      </c>
      <c r="F2791" s="23" t="str">
        <f aca="false">IF(B2791="","","outreach_sent")</f>
        <v/>
      </c>
      <c r="G2791" s="23" t="str">
        <f aca="false">IF(B2791="","","")</f>
        <v/>
      </c>
      <c r="H2791" s="23" t="str">
        <f aca="false">IF(B2791="","","")</f>
        <v/>
      </c>
      <c r="I2791" s="23" t="str">
        <f aca="false">IF(B2791="","","")</f>
        <v/>
      </c>
      <c r="J2791" s="23" t="str">
        <f aca="false">IF(B2791="","","touch_2; "&amp;IFERROR(INDEX(Clay_Offices!$A$2:$FZ$601,540,Sync!$C$10)&amp;"","")&amp;"; "&amp;IFERROR(INDEX(Clay_Offices!$A$2:$FZ$601,540,Sync!$C$9)&amp;"",""))</f>
        <v/>
      </c>
      <c r="K2791" s="32" t="s">
        <v>1364</v>
      </c>
    </row>
    <row r="2792" customFormat="false" ht="15" hidden="false" customHeight="false" outlineLevel="0" collapsed="false">
      <c r="A2792" s="23" t="str">
        <f aca="false">IF(B2792="","",B2792+(13*1000+541)/10000000)</f>
        <v/>
      </c>
      <c r="B2792" s="35" t="str">
        <f aca="false">IF(AND(IFERROR(N(INDEX(Clay_Offices!$A$2:$FZ$601,541,Sync!$C$12)),0)&gt;0,IFERROR(INDEX(Clay_Offices!$A$2:$FZ$601,541,Sync!$C$5)&amp;"","")&lt;&gt;"",OR(LEFT(IFERROR(INDEX(Clay_Offices!$A$2:$FZ$601,541,Sync!$C$5)&amp;"",""),6)&lt;&gt;"SAMPLE",Config!$B$19="Y")),IFERROR(N(INDEX(Clay_Offices!$A$2:$FZ$601,541,Sync!$C$12)),0),"")</f>
        <v/>
      </c>
      <c r="C2792" s="23" t="str">
        <f aca="false">IF(B2792="","","office")</f>
        <v/>
      </c>
      <c r="D2792" s="23" t="str">
        <f aca="false">IF(B2792="","",IFERROR(INDEX(Office_Log!$ED$2:$ED$201,MATCH(IFERROR(INDEX(Clay_Offices!$A$2:$FZ$601,541,Sync!$C$5)&amp;"",""),Office_Log!$A$2:$A$201,0))&amp;"",IFERROR(INDEX(Clay_Offices!$A$2:$FZ$601,541,Sync!$C$5)&amp;"","")&amp;""))</f>
        <v/>
      </c>
      <c r="E2792" s="23" t="str">
        <f aca="false">IF(B2792="","",IFERROR(INDEX(Clay_Offices!$A$2:$FZ$601,541,Sync!$C$6)&amp;"",""))</f>
        <v/>
      </c>
      <c r="F2792" s="23" t="str">
        <f aca="false">IF(B2792="","","outreach_sent")</f>
        <v/>
      </c>
      <c r="G2792" s="23" t="str">
        <f aca="false">IF(B2792="","","")</f>
        <v/>
      </c>
      <c r="H2792" s="23" t="str">
        <f aca="false">IF(B2792="","","")</f>
        <v/>
      </c>
      <c r="I2792" s="23" t="str">
        <f aca="false">IF(B2792="","","")</f>
        <v/>
      </c>
      <c r="J2792" s="23" t="str">
        <f aca="false">IF(B2792="","","touch_2; "&amp;IFERROR(INDEX(Clay_Offices!$A$2:$FZ$601,541,Sync!$C$10)&amp;"","")&amp;"; "&amp;IFERROR(INDEX(Clay_Offices!$A$2:$FZ$601,541,Sync!$C$9)&amp;"",""))</f>
        <v/>
      </c>
      <c r="K2792" s="32" t="s">
        <v>1364</v>
      </c>
    </row>
    <row r="2793" customFormat="false" ht="15" hidden="false" customHeight="false" outlineLevel="0" collapsed="false">
      <c r="A2793" s="23" t="str">
        <f aca="false">IF(B2793="","",B2793+(13*1000+542)/10000000)</f>
        <v/>
      </c>
      <c r="B2793" s="35" t="str">
        <f aca="false">IF(AND(IFERROR(N(INDEX(Clay_Offices!$A$2:$FZ$601,542,Sync!$C$12)),0)&gt;0,IFERROR(INDEX(Clay_Offices!$A$2:$FZ$601,542,Sync!$C$5)&amp;"","")&lt;&gt;"",OR(LEFT(IFERROR(INDEX(Clay_Offices!$A$2:$FZ$601,542,Sync!$C$5)&amp;"",""),6)&lt;&gt;"SAMPLE",Config!$B$19="Y")),IFERROR(N(INDEX(Clay_Offices!$A$2:$FZ$601,542,Sync!$C$12)),0),"")</f>
        <v/>
      </c>
      <c r="C2793" s="23" t="str">
        <f aca="false">IF(B2793="","","office")</f>
        <v/>
      </c>
      <c r="D2793" s="23" t="str">
        <f aca="false">IF(B2793="","",IFERROR(INDEX(Office_Log!$ED$2:$ED$201,MATCH(IFERROR(INDEX(Clay_Offices!$A$2:$FZ$601,542,Sync!$C$5)&amp;"",""),Office_Log!$A$2:$A$201,0))&amp;"",IFERROR(INDEX(Clay_Offices!$A$2:$FZ$601,542,Sync!$C$5)&amp;"","")&amp;""))</f>
        <v/>
      </c>
      <c r="E2793" s="23" t="str">
        <f aca="false">IF(B2793="","",IFERROR(INDEX(Clay_Offices!$A$2:$FZ$601,542,Sync!$C$6)&amp;"",""))</f>
        <v/>
      </c>
      <c r="F2793" s="23" t="str">
        <f aca="false">IF(B2793="","","outreach_sent")</f>
        <v/>
      </c>
      <c r="G2793" s="23" t="str">
        <f aca="false">IF(B2793="","","")</f>
        <v/>
      </c>
      <c r="H2793" s="23" t="str">
        <f aca="false">IF(B2793="","","")</f>
        <v/>
      </c>
      <c r="I2793" s="23" t="str">
        <f aca="false">IF(B2793="","","")</f>
        <v/>
      </c>
      <c r="J2793" s="23" t="str">
        <f aca="false">IF(B2793="","","touch_2; "&amp;IFERROR(INDEX(Clay_Offices!$A$2:$FZ$601,542,Sync!$C$10)&amp;"","")&amp;"; "&amp;IFERROR(INDEX(Clay_Offices!$A$2:$FZ$601,542,Sync!$C$9)&amp;"",""))</f>
        <v/>
      </c>
      <c r="K2793" s="32" t="s">
        <v>1364</v>
      </c>
    </row>
    <row r="2794" customFormat="false" ht="15" hidden="false" customHeight="false" outlineLevel="0" collapsed="false">
      <c r="A2794" s="23" t="str">
        <f aca="false">IF(B2794="","",B2794+(13*1000+543)/10000000)</f>
        <v/>
      </c>
      <c r="B2794" s="35" t="str">
        <f aca="false">IF(AND(IFERROR(N(INDEX(Clay_Offices!$A$2:$FZ$601,543,Sync!$C$12)),0)&gt;0,IFERROR(INDEX(Clay_Offices!$A$2:$FZ$601,543,Sync!$C$5)&amp;"","")&lt;&gt;"",OR(LEFT(IFERROR(INDEX(Clay_Offices!$A$2:$FZ$601,543,Sync!$C$5)&amp;"",""),6)&lt;&gt;"SAMPLE",Config!$B$19="Y")),IFERROR(N(INDEX(Clay_Offices!$A$2:$FZ$601,543,Sync!$C$12)),0),"")</f>
        <v/>
      </c>
      <c r="C2794" s="23" t="str">
        <f aca="false">IF(B2794="","","office")</f>
        <v/>
      </c>
      <c r="D2794" s="23" t="str">
        <f aca="false">IF(B2794="","",IFERROR(INDEX(Office_Log!$ED$2:$ED$201,MATCH(IFERROR(INDEX(Clay_Offices!$A$2:$FZ$601,543,Sync!$C$5)&amp;"",""),Office_Log!$A$2:$A$201,0))&amp;"",IFERROR(INDEX(Clay_Offices!$A$2:$FZ$601,543,Sync!$C$5)&amp;"","")&amp;""))</f>
        <v/>
      </c>
      <c r="E2794" s="23" t="str">
        <f aca="false">IF(B2794="","",IFERROR(INDEX(Clay_Offices!$A$2:$FZ$601,543,Sync!$C$6)&amp;"",""))</f>
        <v/>
      </c>
      <c r="F2794" s="23" t="str">
        <f aca="false">IF(B2794="","","outreach_sent")</f>
        <v/>
      </c>
      <c r="G2794" s="23" t="str">
        <f aca="false">IF(B2794="","","")</f>
        <v/>
      </c>
      <c r="H2794" s="23" t="str">
        <f aca="false">IF(B2794="","","")</f>
        <v/>
      </c>
      <c r="I2794" s="23" t="str">
        <f aca="false">IF(B2794="","","")</f>
        <v/>
      </c>
      <c r="J2794" s="23" t="str">
        <f aca="false">IF(B2794="","","touch_2; "&amp;IFERROR(INDEX(Clay_Offices!$A$2:$FZ$601,543,Sync!$C$10)&amp;"","")&amp;"; "&amp;IFERROR(INDEX(Clay_Offices!$A$2:$FZ$601,543,Sync!$C$9)&amp;"",""))</f>
        <v/>
      </c>
      <c r="K2794" s="32" t="s">
        <v>1364</v>
      </c>
    </row>
    <row r="2795" customFormat="false" ht="15" hidden="false" customHeight="false" outlineLevel="0" collapsed="false">
      <c r="A2795" s="23" t="str">
        <f aca="false">IF(B2795="","",B2795+(13*1000+544)/10000000)</f>
        <v/>
      </c>
      <c r="B2795" s="35" t="str">
        <f aca="false">IF(AND(IFERROR(N(INDEX(Clay_Offices!$A$2:$FZ$601,544,Sync!$C$12)),0)&gt;0,IFERROR(INDEX(Clay_Offices!$A$2:$FZ$601,544,Sync!$C$5)&amp;"","")&lt;&gt;"",OR(LEFT(IFERROR(INDEX(Clay_Offices!$A$2:$FZ$601,544,Sync!$C$5)&amp;"",""),6)&lt;&gt;"SAMPLE",Config!$B$19="Y")),IFERROR(N(INDEX(Clay_Offices!$A$2:$FZ$601,544,Sync!$C$12)),0),"")</f>
        <v/>
      </c>
      <c r="C2795" s="23" t="str">
        <f aca="false">IF(B2795="","","office")</f>
        <v/>
      </c>
      <c r="D2795" s="23" t="str">
        <f aca="false">IF(B2795="","",IFERROR(INDEX(Office_Log!$ED$2:$ED$201,MATCH(IFERROR(INDEX(Clay_Offices!$A$2:$FZ$601,544,Sync!$C$5)&amp;"",""),Office_Log!$A$2:$A$201,0))&amp;"",IFERROR(INDEX(Clay_Offices!$A$2:$FZ$601,544,Sync!$C$5)&amp;"","")&amp;""))</f>
        <v/>
      </c>
      <c r="E2795" s="23" t="str">
        <f aca="false">IF(B2795="","",IFERROR(INDEX(Clay_Offices!$A$2:$FZ$601,544,Sync!$C$6)&amp;"",""))</f>
        <v/>
      </c>
      <c r="F2795" s="23" t="str">
        <f aca="false">IF(B2795="","","outreach_sent")</f>
        <v/>
      </c>
      <c r="G2795" s="23" t="str">
        <f aca="false">IF(B2795="","","")</f>
        <v/>
      </c>
      <c r="H2795" s="23" t="str">
        <f aca="false">IF(B2795="","","")</f>
        <v/>
      </c>
      <c r="I2795" s="23" t="str">
        <f aca="false">IF(B2795="","","")</f>
        <v/>
      </c>
      <c r="J2795" s="23" t="str">
        <f aca="false">IF(B2795="","","touch_2; "&amp;IFERROR(INDEX(Clay_Offices!$A$2:$FZ$601,544,Sync!$C$10)&amp;"","")&amp;"; "&amp;IFERROR(INDEX(Clay_Offices!$A$2:$FZ$601,544,Sync!$C$9)&amp;"",""))</f>
        <v/>
      </c>
      <c r="K2795" s="32" t="s">
        <v>1364</v>
      </c>
    </row>
    <row r="2796" customFormat="false" ht="15" hidden="false" customHeight="false" outlineLevel="0" collapsed="false">
      <c r="A2796" s="23" t="str">
        <f aca="false">IF(B2796="","",B2796+(13*1000+545)/10000000)</f>
        <v/>
      </c>
      <c r="B2796" s="35" t="str">
        <f aca="false">IF(AND(IFERROR(N(INDEX(Clay_Offices!$A$2:$FZ$601,545,Sync!$C$12)),0)&gt;0,IFERROR(INDEX(Clay_Offices!$A$2:$FZ$601,545,Sync!$C$5)&amp;"","")&lt;&gt;"",OR(LEFT(IFERROR(INDEX(Clay_Offices!$A$2:$FZ$601,545,Sync!$C$5)&amp;"",""),6)&lt;&gt;"SAMPLE",Config!$B$19="Y")),IFERROR(N(INDEX(Clay_Offices!$A$2:$FZ$601,545,Sync!$C$12)),0),"")</f>
        <v/>
      </c>
      <c r="C2796" s="23" t="str">
        <f aca="false">IF(B2796="","","office")</f>
        <v/>
      </c>
      <c r="D2796" s="23" t="str">
        <f aca="false">IF(B2796="","",IFERROR(INDEX(Office_Log!$ED$2:$ED$201,MATCH(IFERROR(INDEX(Clay_Offices!$A$2:$FZ$601,545,Sync!$C$5)&amp;"",""),Office_Log!$A$2:$A$201,0))&amp;"",IFERROR(INDEX(Clay_Offices!$A$2:$FZ$601,545,Sync!$C$5)&amp;"","")&amp;""))</f>
        <v/>
      </c>
      <c r="E2796" s="23" t="str">
        <f aca="false">IF(B2796="","",IFERROR(INDEX(Clay_Offices!$A$2:$FZ$601,545,Sync!$C$6)&amp;"",""))</f>
        <v/>
      </c>
      <c r="F2796" s="23" t="str">
        <f aca="false">IF(B2796="","","outreach_sent")</f>
        <v/>
      </c>
      <c r="G2796" s="23" t="str">
        <f aca="false">IF(B2796="","","")</f>
        <v/>
      </c>
      <c r="H2796" s="23" t="str">
        <f aca="false">IF(B2796="","","")</f>
        <v/>
      </c>
      <c r="I2796" s="23" t="str">
        <f aca="false">IF(B2796="","","")</f>
        <v/>
      </c>
      <c r="J2796" s="23" t="str">
        <f aca="false">IF(B2796="","","touch_2; "&amp;IFERROR(INDEX(Clay_Offices!$A$2:$FZ$601,545,Sync!$C$10)&amp;"","")&amp;"; "&amp;IFERROR(INDEX(Clay_Offices!$A$2:$FZ$601,545,Sync!$C$9)&amp;"",""))</f>
        <v/>
      </c>
      <c r="K2796" s="32" t="s">
        <v>1364</v>
      </c>
    </row>
    <row r="2797" customFormat="false" ht="15" hidden="false" customHeight="false" outlineLevel="0" collapsed="false">
      <c r="A2797" s="23" t="str">
        <f aca="false">IF(B2797="","",B2797+(13*1000+546)/10000000)</f>
        <v/>
      </c>
      <c r="B2797" s="35" t="str">
        <f aca="false">IF(AND(IFERROR(N(INDEX(Clay_Offices!$A$2:$FZ$601,546,Sync!$C$12)),0)&gt;0,IFERROR(INDEX(Clay_Offices!$A$2:$FZ$601,546,Sync!$C$5)&amp;"","")&lt;&gt;"",OR(LEFT(IFERROR(INDEX(Clay_Offices!$A$2:$FZ$601,546,Sync!$C$5)&amp;"",""),6)&lt;&gt;"SAMPLE",Config!$B$19="Y")),IFERROR(N(INDEX(Clay_Offices!$A$2:$FZ$601,546,Sync!$C$12)),0),"")</f>
        <v/>
      </c>
      <c r="C2797" s="23" t="str">
        <f aca="false">IF(B2797="","","office")</f>
        <v/>
      </c>
      <c r="D2797" s="23" t="str">
        <f aca="false">IF(B2797="","",IFERROR(INDEX(Office_Log!$ED$2:$ED$201,MATCH(IFERROR(INDEX(Clay_Offices!$A$2:$FZ$601,546,Sync!$C$5)&amp;"",""),Office_Log!$A$2:$A$201,0))&amp;"",IFERROR(INDEX(Clay_Offices!$A$2:$FZ$601,546,Sync!$C$5)&amp;"","")&amp;""))</f>
        <v/>
      </c>
      <c r="E2797" s="23" t="str">
        <f aca="false">IF(B2797="","",IFERROR(INDEX(Clay_Offices!$A$2:$FZ$601,546,Sync!$C$6)&amp;"",""))</f>
        <v/>
      </c>
      <c r="F2797" s="23" t="str">
        <f aca="false">IF(B2797="","","outreach_sent")</f>
        <v/>
      </c>
      <c r="G2797" s="23" t="str">
        <f aca="false">IF(B2797="","","")</f>
        <v/>
      </c>
      <c r="H2797" s="23" t="str">
        <f aca="false">IF(B2797="","","")</f>
        <v/>
      </c>
      <c r="I2797" s="23" t="str">
        <f aca="false">IF(B2797="","","")</f>
        <v/>
      </c>
      <c r="J2797" s="23" t="str">
        <f aca="false">IF(B2797="","","touch_2; "&amp;IFERROR(INDEX(Clay_Offices!$A$2:$FZ$601,546,Sync!$C$10)&amp;"","")&amp;"; "&amp;IFERROR(INDEX(Clay_Offices!$A$2:$FZ$601,546,Sync!$C$9)&amp;"",""))</f>
        <v/>
      </c>
      <c r="K2797" s="32" t="s">
        <v>1364</v>
      </c>
    </row>
    <row r="2798" customFormat="false" ht="15" hidden="false" customHeight="false" outlineLevel="0" collapsed="false">
      <c r="A2798" s="23" t="str">
        <f aca="false">IF(B2798="","",B2798+(13*1000+547)/10000000)</f>
        <v/>
      </c>
      <c r="B2798" s="35" t="str">
        <f aca="false">IF(AND(IFERROR(N(INDEX(Clay_Offices!$A$2:$FZ$601,547,Sync!$C$12)),0)&gt;0,IFERROR(INDEX(Clay_Offices!$A$2:$FZ$601,547,Sync!$C$5)&amp;"","")&lt;&gt;"",OR(LEFT(IFERROR(INDEX(Clay_Offices!$A$2:$FZ$601,547,Sync!$C$5)&amp;"",""),6)&lt;&gt;"SAMPLE",Config!$B$19="Y")),IFERROR(N(INDEX(Clay_Offices!$A$2:$FZ$601,547,Sync!$C$12)),0),"")</f>
        <v/>
      </c>
      <c r="C2798" s="23" t="str">
        <f aca="false">IF(B2798="","","office")</f>
        <v/>
      </c>
      <c r="D2798" s="23" t="str">
        <f aca="false">IF(B2798="","",IFERROR(INDEX(Office_Log!$ED$2:$ED$201,MATCH(IFERROR(INDEX(Clay_Offices!$A$2:$FZ$601,547,Sync!$C$5)&amp;"",""),Office_Log!$A$2:$A$201,0))&amp;"",IFERROR(INDEX(Clay_Offices!$A$2:$FZ$601,547,Sync!$C$5)&amp;"","")&amp;""))</f>
        <v/>
      </c>
      <c r="E2798" s="23" t="str">
        <f aca="false">IF(B2798="","",IFERROR(INDEX(Clay_Offices!$A$2:$FZ$601,547,Sync!$C$6)&amp;"",""))</f>
        <v/>
      </c>
      <c r="F2798" s="23" t="str">
        <f aca="false">IF(B2798="","","outreach_sent")</f>
        <v/>
      </c>
      <c r="G2798" s="23" t="str">
        <f aca="false">IF(B2798="","","")</f>
        <v/>
      </c>
      <c r="H2798" s="23" t="str">
        <f aca="false">IF(B2798="","","")</f>
        <v/>
      </c>
      <c r="I2798" s="23" t="str">
        <f aca="false">IF(B2798="","","")</f>
        <v/>
      </c>
      <c r="J2798" s="23" t="str">
        <f aca="false">IF(B2798="","","touch_2; "&amp;IFERROR(INDEX(Clay_Offices!$A$2:$FZ$601,547,Sync!$C$10)&amp;"","")&amp;"; "&amp;IFERROR(INDEX(Clay_Offices!$A$2:$FZ$601,547,Sync!$C$9)&amp;"",""))</f>
        <v/>
      </c>
      <c r="K2798" s="32" t="s">
        <v>1364</v>
      </c>
    </row>
    <row r="2799" customFormat="false" ht="15" hidden="false" customHeight="false" outlineLevel="0" collapsed="false">
      <c r="A2799" s="23" t="str">
        <f aca="false">IF(B2799="","",B2799+(13*1000+548)/10000000)</f>
        <v/>
      </c>
      <c r="B2799" s="35" t="str">
        <f aca="false">IF(AND(IFERROR(N(INDEX(Clay_Offices!$A$2:$FZ$601,548,Sync!$C$12)),0)&gt;0,IFERROR(INDEX(Clay_Offices!$A$2:$FZ$601,548,Sync!$C$5)&amp;"","")&lt;&gt;"",OR(LEFT(IFERROR(INDEX(Clay_Offices!$A$2:$FZ$601,548,Sync!$C$5)&amp;"",""),6)&lt;&gt;"SAMPLE",Config!$B$19="Y")),IFERROR(N(INDEX(Clay_Offices!$A$2:$FZ$601,548,Sync!$C$12)),0),"")</f>
        <v/>
      </c>
      <c r="C2799" s="23" t="str">
        <f aca="false">IF(B2799="","","office")</f>
        <v/>
      </c>
      <c r="D2799" s="23" t="str">
        <f aca="false">IF(B2799="","",IFERROR(INDEX(Office_Log!$ED$2:$ED$201,MATCH(IFERROR(INDEX(Clay_Offices!$A$2:$FZ$601,548,Sync!$C$5)&amp;"",""),Office_Log!$A$2:$A$201,0))&amp;"",IFERROR(INDEX(Clay_Offices!$A$2:$FZ$601,548,Sync!$C$5)&amp;"","")&amp;""))</f>
        <v/>
      </c>
      <c r="E2799" s="23" t="str">
        <f aca="false">IF(B2799="","",IFERROR(INDEX(Clay_Offices!$A$2:$FZ$601,548,Sync!$C$6)&amp;"",""))</f>
        <v/>
      </c>
      <c r="F2799" s="23" t="str">
        <f aca="false">IF(B2799="","","outreach_sent")</f>
        <v/>
      </c>
      <c r="G2799" s="23" t="str">
        <f aca="false">IF(B2799="","","")</f>
        <v/>
      </c>
      <c r="H2799" s="23" t="str">
        <f aca="false">IF(B2799="","","")</f>
        <v/>
      </c>
      <c r="I2799" s="23" t="str">
        <f aca="false">IF(B2799="","","")</f>
        <v/>
      </c>
      <c r="J2799" s="23" t="str">
        <f aca="false">IF(B2799="","","touch_2; "&amp;IFERROR(INDEX(Clay_Offices!$A$2:$FZ$601,548,Sync!$C$10)&amp;"","")&amp;"; "&amp;IFERROR(INDEX(Clay_Offices!$A$2:$FZ$601,548,Sync!$C$9)&amp;"",""))</f>
        <v/>
      </c>
      <c r="K2799" s="32" t="s">
        <v>1364</v>
      </c>
    </row>
    <row r="2800" customFormat="false" ht="15" hidden="false" customHeight="false" outlineLevel="0" collapsed="false">
      <c r="A2800" s="23" t="str">
        <f aca="false">IF(B2800="","",B2800+(13*1000+549)/10000000)</f>
        <v/>
      </c>
      <c r="B2800" s="35" t="str">
        <f aca="false">IF(AND(IFERROR(N(INDEX(Clay_Offices!$A$2:$FZ$601,549,Sync!$C$12)),0)&gt;0,IFERROR(INDEX(Clay_Offices!$A$2:$FZ$601,549,Sync!$C$5)&amp;"","")&lt;&gt;"",OR(LEFT(IFERROR(INDEX(Clay_Offices!$A$2:$FZ$601,549,Sync!$C$5)&amp;"",""),6)&lt;&gt;"SAMPLE",Config!$B$19="Y")),IFERROR(N(INDEX(Clay_Offices!$A$2:$FZ$601,549,Sync!$C$12)),0),"")</f>
        <v/>
      </c>
      <c r="C2800" s="23" t="str">
        <f aca="false">IF(B2800="","","office")</f>
        <v/>
      </c>
      <c r="D2800" s="23" t="str">
        <f aca="false">IF(B2800="","",IFERROR(INDEX(Office_Log!$ED$2:$ED$201,MATCH(IFERROR(INDEX(Clay_Offices!$A$2:$FZ$601,549,Sync!$C$5)&amp;"",""),Office_Log!$A$2:$A$201,0))&amp;"",IFERROR(INDEX(Clay_Offices!$A$2:$FZ$601,549,Sync!$C$5)&amp;"","")&amp;""))</f>
        <v/>
      </c>
      <c r="E2800" s="23" t="str">
        <f aca="false">IF(B2800="","",IFERROR(INDEX(Clay_Offices!$A$2:$FZ$601,549,Sync!$C$6)&amp;"",""))</f>
        <v/>
      </c>
      <c r="F2800" s="23" t="str">
        <f aca="false">IF(B2800="","","outreach_sent")</f>
        <v/>
      </c>
      <c r="G2800" s="23" t="str">
        <f aca="false">IF(B2800="","","")</f>
        <v/>
      </c>
      <c r="H2800" s="23" t="str">
        <f aca="false">IF(B2800="","","")</f>
        <v/>
      </c>
      <c r="I2800" s="23" t="str">
        <f aca="false">IF(B2800="","","")</f>
        <v/>
      </c>
      <c r="J2800" s="23" t="str">
        <f aca="false">IF(B2800="","","touch_2; "&amp;IFERROR(INDEX(Clay_Offices!$A$2:$FZ$601,549,Sync!$C$10)&amp;"","")&amp;"; "&amp;IFERROR(INDEX(Clay_Offices!$A$2:$FZ$601,549,Sync!$C$9)&amp;"",""))</f>
        <v/>
      </c>
      <c r="K2800" s="32" t="s">
        <v>1364</v>
      </c>
    </row>
    <row r="2801" customFormat="false" ht="15" hidden="false" customHeight="false" outlineLevel="0" collapsed="false">
      <c r="A2801" s="23" t="str">
        <f aca="false">IF(B2801="","",B2801+(13*1000+550)/10000000)</f>
        <v/>
      </c>
      <c r="B2801" s="35" t="str">
        <f aca="false">IF(AND(IFERROR(N(INDEX(Clay_Offices!$A$2:$FZ$601,550,Sync!$C$12)),0)&gt;0,IFERROR(INDEX(Clay_Offices!$A$2:$FZ$601,550,Sync!$C$5)&amp;"","")&lt;&gt;"",OR(LEFT(IFERROR(INDEX(Clay_Offices!$A$2:$FZ$601,550,Sync!$C$5)&amp;"",""),6)&lt;&gt;"SAMPLE",Config!$B$19="Y")),IFERROR(N(INDEX(Clay_Offices!$A$2:$FZ$601,550,Sync!$C$12)),0),"")</f>
        <v/>
      </c>
      <c r="C2801" s="23" t="str">
        <f aca="false">IF(B2801="","","office")</f>
        <v/>
      </c>
      <c r="D2801" s="23" t="str">
        <f aca="false">IF(B2801="","",IFERROR(INDEX(Office_Log!$ED$2:$ED$201,MATCH(IFERROR(INDEX(Clay_Offices!$A$2:$FZ$601,550,Sync!$C$5)&amp;"",""),Office_Log!$A$2:$A$201,0))&amp;"",IFERROR(INDEX(Clay_Offices!$A$2:$FZ$601,550,Sync!$C$5)&amp;"","")&amp;""))</f>
        <v/>
      </c>
      <c r="E2801" s="23" t="str">
        <f aca="false">IF(B2801="","",IFERROR(INDEX(Clay_Offices!$A$2:$FZ$601,550,Sync!$C$6)&amp;"",""))</f>
        <v/>
      </c>
      <c r="F2801" s="23" t="str">
        <f aca="false">IF(B2801="","","outreach_sent")</f>
        <v/>
      </c>
      <c r="G2801" s="23" t="str">
        <f aca="false">IF(B2801="","","")</f>
        <v/>
      </c>
      <c r="H2801" s="23" t="str">
        <f aca="false">IF(B2801="","","")</f>
        <v/>
      </c>
      <c r="I2801" s="23" t="str">
        <f aca="false">IF(B2801="","","")</f>
        <v/>
      </c>
      <c r="J2801" s="23" t="str">
        <f aca="false">IF(B2801="","","touch_2; "&amp;IFERROR(INDEX(Clay_Offices!$A$2:$FZ$601,550,Sync!$C$10)&amp;"","")&amp;"; "&amp;IFERROR(INDEX(Clay_Offices!$A$2:$FZ$601,550,Sync!$C$9)&amp;"",""))</f>
        <v/>
      </c>
      <c r="K2801" s="32" t="s">
        <v>1364</v>
      </c>
    </row>
    <row r="2802" customFormat="false" ht="15" hidden="false" customHeight="false" outlineLevel="0" collapsed="false">
      <c r="A2802" s="23" t="str">
        <f aca="false">IF(B2802="","",B2802+(13*1000+551)/10000000)</f>
        <v/>
      </c>
      <c r="B2802" s="35" t="str">
        <f aca="false">IF(AND(IFERROR(N(INDEX(Clay_Offices!$A$2:$FZ$601,551,Sync!$C$12)),0)&gt;0,IFERROR(INDEX(Clay_Offices!$A$2:$FZ$601,551,Sync!$C$5)&amp;"","")&lt;&gt;"",OR(LEFT(IFERROR(INDEX(Clay_Offices!$A$2:$FZ$601,551,Sync!$C$5)&amp;"",""),6)&lt;&gt;"SAMPLE",Config!$B$19="Y")),IFERROR(N(INDEX(Clay_Offices!$A$2:$FZ$601,551,Sync!$C$12)),0),"")</f>
        <v/>
      </c>
      <c r="C2802" s="23" t="str">
        <f aca="false">IF(B2802="","","office")</f>
        <v/>
      </c>
      <c r="D2802" s="23" t="str">
        <f aca="false">IF(B2802="","",IFERROR(INDEX(Office_Log!$ED$2:$ED$201,MATCH(IFERROR(INDEX(Clay_Offices!$A$2:$FZ$601,551,Sync!$C$5)&amp;"",""),Office_Log!$A$2:$A$201,0))&amp;"",IFERROR(INDEX(Clay_Offices!$A$2:$FZ$601,551,Sync!$C$5)&amp;"","")&amp;""))</f>
        <v/>
      </c>
      <c r="E2802" s="23" t="str">
        <f aca="false">IF(B2802="","",IFERROR(INDEX(Clay_Offices!$A$2:$FZ$601,551,Sync!$C$6)&amp;"",""))</f>
        <v/>
      </c>
      <c r="F2802" s="23" t="str">
        <f aca="false">IF(B2802="","","outreach_sent")</f>
        <v/>
      </c>
      <c r="G2802" s="23" t="str">
        <f aca="false">IF(B2802="","","")</f>
        <v/>
      </c>
      <c r="H2802" s="23" t="str">
        <f aca="false">IF(B2802="","","")</f>
        <v/>
      </c>
      <c r="I2802" s="23" t="str">
        <f aca="false">IF(B2802="","","")</f>
        <v/>
      </c>
      <c r="J2802" s="23" t="str">
        <f aca="false">IF(B2802="","","touch_2; "&amp;IFERROR(INDEX(Clay_Offices!$A$2:$FZ$601,551,Sync!$C$10)&amp;"","")&amp;"; "&amp;IFERROR(INDEX(Clay_Offices!$A$2:$FZ$601,551,Sync!$C$9)&amp;"",""))</f>
        <v/>
      </c>
      <c r="K2802" s="32" t="s">
        <v>1364</v>
      </c>
    </row>
    <row r="2803" customFormat="false" ht="15" hidden="false" customHeight="false" outlineLevel="0" collapsed="false">
      <c r="A2803" s="23" t="str">
        <f aca="false">IF(B2803="","",B2803+(13*1000+552)/10000000)</f>
        <v/>
      </c>
      <c r="B2803" s="35" t="str">
        <f aca="false">IF(AND(IFERROR(N(INDEX(Clay_Offices!$A$2:$FZ$601,552,Sync!$C$12)),0)&gt;0,IFERROR(INDEX(Clay_Offices!$A$2:$FZ$601,552,Sync!$C$5)&amp;"","")&lt;&gt;"",OR(LEFT(IFERROR(INDEX(Clay_Offices!$A$2:$FZ$601,552,Sync!$C$5)&amp;"",""),6)&lt;&gt;"SAMPLE",Config!$B$19="Y")),IFERROR(N(INDEX(Clay_Offices!$A$2:$FZ$601,552,Sync!$C$12)),0),"")</f>
        <v/>
      </c>
      <c r="C2803" s="23" t="str">
        <f aca="false">IF(B2803="","","office")</f>
        <v/>
      </c>
      <c r="D2803" s="23" t="str">
        <f aca="false">IF(B2803="","",IFERROR(INDEX(Office_Log!$ED$2:$ED$201,MATCH(IFERROR(INDEX(Clay_Offices!$A$2:$FZ$601,552,Sync!$C$5)&amp;"",""),Office_Log!$A$2:$A$201,0))&amp;"",IFERROR(INDEX(Clay_Offices!$A$2:$FZ$601,552,Sync!$C$5)&amp;"","")&amp;""))</f>
        <v/>
      </c>
      <c r="E2803" s="23" t="str">
        <f aca="false">IF(B2803="","",IFERROR(INDEX(Clay_Offices!$A$2:$FZ$601,552,Sync!$C$6)&amp;"",""))</f>
        <v/>
      </c>
      <c r="F2803" s="23" t="str">
        <f aca="false">IF(B2803="","","outreach_sent")</f>
        <v/>
      </c>
      <c r="G2803" s="23" t="str">
        <f aca="false">IF(B2803="","","")</f>
        <v/>
      </c>
      <c r="H2803" s="23" t="str">
        <f aca="false">IF(B2803="","","")</f>
        <v/>
      </c>
      <c r="I2803" s="23" t="str">
        <f aca="false">IF(B2803="","","")</f>
        <v/>
      </c>
      <c r="J2803" s="23" t="str">
        <f aca="false">IF(B2803="","","touch_2; "&amp;IFERROR(INDEX(Clay_Offices!$A$2:$FZ$601,552,Sync!$C$10)&amp;"","")&amp;"; "&amp;IFERROR(INDEX(Clay_Offices!$A$2:$FZ$601,552,Sync!$C$9)&amp;"",""))</f>
        <v/>
      </c>
      <c r="K2803" s="32" t="s">
        <v>1364</v>
      </c>
    </row>
    <row r="2804" customFormat="false" ht="15" hidden="false" customHeight="false" outlineLevel="0" collapsed="false">
      <c r="A2804" s="23" t="str">
        <f aca="false">IF(B2804="","",B2804+(13*1000+553)/10000000)</f>
        <v/>
      </c>
      <c r="B2804" s="35" t="str">
        <f aca="false">IF(AND(IFERROR(N(INDEX(Clay_Offices!$A$2:$FZ$601,553,Sync!$C$12)),0)&gt;0,IFERROR(INDEX(Clay_Offices!$A$2:$FZ$601,553,Sync!$C$5)&amp;"","")&lt;&gt;"",OR(LEFT(IFERROR(INDEX(Clay_Offices!$A$2:$FZ$601,553,Sync!$C$5)&amp;"",""),6)&lt;&gt;"SAMPLE",Config!$B$19="Y")),IFERROR(N(INDEX(Clay_Offices!$A$2:$FZ$601,553,Sync!$C$12)),0),"")</f>
        <v/>
      </c>
      <c r="C2804" s="23" t="str">
        <f aca="false">IF(B2804="","","office")</f>
        <v/>
      </c>
      <c r="D2804" s="23" t="str">
        <f aca="false">IF(B2804="","",IFERROR(INDEX(Office_Log!$ED$2:$ED$201,MATCH(IFERROR(INDEX(Clay_Offices!$A$2:$FZ$601,553,Sync!$C$5)&amp;"",""),Office_Log!$A$2:$A$201,0))&amp;"",IFERROR(INDEX(Clay_Offices!$A$2:$FZ$601,553,Sync!$C$5)&amp;"","")&amp;""))</f>
        <v/>
      </c>
      <c r="E2804" s="23" t="str">
        <f aca="false">IF(B2804="","",IFERROR(INDEX(Clay_Offices!$A$2:$FZ$601,553,Sync!$C$6)&amp;"",""))</f>
        <v/>
      </c>
      <c r="F2804" s="23" t="str">
        <f aca="false">IF(B2804="","","outreach_sent")</f>
        <v/>
      </c>
      <c r="G2804" s="23" t="str">
        <f aca="false">IF(B2804="","","")</f>
        <v/>
      </c>
      <c r="H2804" s="23" t="str">
        <f aca="false">IF(B2804="","","")</f>
        <v/>
      </c>
      <c r="I2804" s="23" t="str">
        <f aca="false">IF(B2804="","","")</f>
        <v/>
      </c>
      <c r="J2804" s="23" t="str">
        <f aca="false">IF(B2804="","","touch_2; "&amp;IFERROR(INDEX(Clay_Offices!$A$2:$FZ$601,553,Sync!$C$10)&amp;"","")&amp;"; "&amp;IFERROR(INDEX(Clay_Offices!$A$2:$FZ$601,553,Sync!$C$9)&amp;"",""))</f>
        <v/>
      </c>
      <c r="K2804" s="32" t="s">
        <v>1364</v>
      </c>
    </row>
    <row r="2805" customFormat="false" ht="15" hidden="false" customHeight="false" outlineLevel="0" collapsed="false">
      <c r="A2805" s="23" t="str">
        <f aca="false">IF(B2805="","",B2805+(13*1000+554)/10000000)</f>
        <v/>
      </c>
      <c r="B2805" s="35" t="str">
        <f aca="false">IF(AND(IFERROR(N(INDEX(Clay_Offices!$A$2:$FZ$601,554,Sync!$C$12)),0)&gt;0,IFERROR(INDEX(Clay_Offices!$A$2:$FZ$601,554,Sync!$C$5)&amp;"","")&lt;&gt;"",OR(LEFT(IFERROR(INDEX(Clay_Offices!$A$2:$FZ$601,554,Sync!$C$5)&amp;"",""),6)&lt;&gt;"SAMPLE",Config!$B$19="Y")),IFERROR(N(INDEX(Clay_Offices!$A$2:$FZ$601,554,Sync!$C$12)),0),"")</f>
        <v/>
      </c>
      <c r="C2805" s="23" t="str">
        <f aca="false">IF(B2805="","","office")</f>
        <v/>
      </c>
      <c r="D2805" s="23" t="str">
        <f aca="false">IF(B2805="","",IFERROR(INDEX(Office_Log!$ED$2:$ED$201,MATCH(IFERROR(INDEX(Clay_Offices!$A$2:$FZ$601,554,Sync!$C$5)&amp;"",""),Office_Log!$A$2:$A$201,0))&amp;"",IFERROR(INDEX(Clay_Offices!$A$2:$FZ$601,554,Sync!$C$5)&amp;"","")&amp;""))</f>
        <v/>
      </c>
      <c r="E2805" s="23" t="str">
        <f aca="false">IF(B2805="","",IFERROR(INDEX(Clay_Offices!$A$2:$FZ$601,554,Sync!$C$6)&amp;"",""))</f>
        <v/>
      </c>
      <c r="F2805" s="23" t="str">
        <f aca="false">IF(B2805="","","outreach_sent")</f>
        <v/>
      </c>
      <c r="G2805" s="23" t="str">
        <f aca="false">IF(B2805="","","")</f>
        <v/>
      </c>
      <c r="H2805" s="23" t="str">
        <f aca="false">IF(B2805="","","")</f>
        <v/>
      </c>
      <c r="I2805" s="23" t="str">
        <f aca="false">IF(B2805="","","")</f>
        <v/>
      </c>
      <c r="J2805" s="23" t="str">
        <f aca="false">IF(B2805="","","touch_2; "&amp;IFERROR(INDEX(Clay_Offices!$A$2:$FZ$601,554,Sync!$C$10)&amp;"","")&amp;"; "&amp;IFERROR(INDEX(Clay_Offices!$A$2:$FZ$601,554,Sync!$C$9)&amp;"",""))</f>
        <v/>
      </c>
      <c r="K2805" s="32" t="s">
        <v>1364</v>
      </c>
    </row>
    <row r="2806" customFormat="false" ht="15" hidden="false" customHeight="false" outlineLevel="0" collapsed="false">
      <c r="A2806" s="23" t="str">
        <f aca="false">IF(B2806="","",B2806+(13*1000+555)/10000000)</f>
        <v/>
      </c>
      <c r="B2806" s="35" t="str">
        <f aca="false">IF(AND(IFERROR(N(INDEX(Clay_Offices!$A$2:$FZ$601,555,Sync!$C$12)),0)&gt;0,IFERROR(INDEX(Clay_Offices!$A$2:$FZ$601,555,Sync!$C$5)&amp;"","")&lt;&gt;"",OR(LEFT(IFERROR(INDEX(Clay_Offices!$A$2:$FZ$601,555,Sync!$C$5)&amp;"",""),6)&lt;&gt;"SAMPLE",Config!$B$19="Y")),IFERROR(N(INDEX(Clay_Offices!$A$2:$FZ$601,555,Sync!$C$12)),0),"")</f>
        <v/>
      </c>
      <c r="C2806" s="23" t="str">
        <f aca="false">IF(B2806="","","office")</f>
        <v/>
      </c>
      <c r="D2806" s="23" t="str">
        <f aca="false">IF(B2806="","",IFERROR(INDEX(Office_Log!$ED$2:$ED$201,MATCH(IFERROR(INDEX(Clay_Offices!$A$2:$FZ$601,555,Sync!$C$5)&amp;"",""),Office_Log!$A$2:$A$201,0))&amp;"",IFERROR(INDEX(Clay_Offices!$A$2:$FZ$601,555,Sync!$C$5)&amp;"","")&amp;""))</f>
        <v/>
      </c>
      <c r="E2806" s="23" t="str">
        <f aca="false">IF(B2806="","",IFERROR(INDEX(Clay_Offices!$A$2:$FZ$601,555,Sync!$C$6)&amp;"",""))</f>
        <v/>
      </c>
      <c r="F2806" s="23" t="str">
        <f aca="false">IF(B2806="","","outreach_sent")</f>
        <v/>
      </c>
      <c r="G2806" s="23" t="str">
        <f aca="false">IF(B2806="","","")</f>
        <v/>
      </c>
      <c r="H2806" s="23" t="str">
        <f aca="false">IF(B2806="","","")</f>
        <v/>
      </c>
      <c r="I2806" s="23" t="str">
        <f aca="false">IF(B2806="","","")</f>
        <v/>
      </c>
      <c r="J2806" s="23" t="str">
        <f aca="false">IF(B2806="","","touch_2; "&amp;IFERROR(INDEX(Clay_Offices!$A$2:$FZ$601,555,Sync!$C$10)&amp;"","")&amp;"; "&amp;IFERROR(INDEX(Clay_Offices!$A$2:$FZ$601,555,Sync!$C$9)&amp;"",""))</f>
        <v/>
      </c>
      <c r="K2806" s="32" t="s">
        <v>1364</v>
      </c>
    </row>
    <row r="2807" customFormat="false" ht="15" hidden="false" customHeight="false" outlineLevel="0" collapsed="false">
      <c r="A2807" s="23" t="str">
        <f aca="false">IF(B2807="","",B2807+(13*1000+556)/10000000)</f>
        <v/>
      </c>
      <c r="B2807" s="35" t="str">
        <f aca="false">IF(AND(IFERROR(N(INDEX(Clay_Offices!$A$2:$FZ$601,556,Sync!$C$12)),0)&gt;0,IFERROR(INDEX(Clay_Offices!$A$2:$FZ$601,556,Sync!$C$5)&amp;"","")&lt;&gt;"",OR(LEFT(IFERROR(INDEX(Clay_Offices!$A$2:$FZ$601,556,Sync!$C$5)&amp;"",""),6)&lt;&gt;"SAMPLE",Config!$B$19="Y")),IFERROR(N(INDEX(Clay_Offices!$A$2:$FZ$601,556,Sync!$C$12)),0),"")</f>
        <v/>
      </c>
      <c r="C2807" s="23" t="str">
        <f aca="false">IF(B2807="","","office")</f>
        <v/>
      </c>
      <c r="D2807" s="23" t="str">
        <f aca="false">IF(B2807="","",IFERROR(INDEX(Office_Log!$ED$2:$ED$201,MATCH(IFERROR(INDEX(Clay_Offices!$A$2:$FZ$601,556,Sync!$C$5)&amp;"",""),Office_Log!$A$2:$A$201,0))&amp;"",IFERROR(INDEX(Clay_Offices!$A$2:$FZ$601,556,Sync!$C$5)&amp;"","")&amp;""))</f>
        <v/>
      </c>
      <c r="E2807" s="23" t="str">
        <f aca="false">IF(B2807="","",IFERROR(INDEX(Clay_Offices!$A$2:$FZ$601,556,Sync!$C$6)&amp;"",""))</f>
        <v/>
      </c>
      <c r="F2807" s="23" t="str">
        <f aca="false">IF(B2807="","","outreach_sent")</f>
        <v/>
      </c>
      <c r="G2807" s="23" t="str">
        <f aca="false">IF(B2807="","","")</f>
        <v/>
      </c>
      <c r="H2807" s="23" t="str">
        <f aca="false">IF(B2807="","","")</f>
        <v/>
      </c>
      <c r="I2807" s="23" t="str">
        <f aca="false">IF(B2807="","","")</f>
        <v/>
      </c>
      <c r="J2807" s="23" t="str">
        <f aca="false">IF(B2807="","","touch_2; "&amp;IFERROR(INDEX(Clay_Offices!$A$2:$FZ$601,556,Sync!$C$10)&amp;"","")&amp;"; "&amp;IFERROR(INDEX(Clay_Offices!$A$2:$FZ$601,556,Sync!$C$9)&amp;"",""))</f>
        <v/>
      </c>
      <c r="K2807" s="32" t="s">
        <v>1364</v>
      </c>
    </row>
    <row r="2808" customFormat="false" ht="15" hidden="false" customHeight="false" outlineLevel="0" collapsed="false">
      <c r="A2808" s="23" t="str">
        <f aca="false">IF(B2808="","",B2808+(13*1000+557)/10000000)</f>
        <v/>
      </c>
      <c r="B2808" s="35" t="str">
        <f aca="false">IF(AND(IFERROR(N(INDEX(Clay_Offices!$A$2:$FZ$601,557,Sync!$C$12)),0)&gt;0,IFERROR(INDEX(Clay_Offices!$A$2:$FZ$601,557,Sync!$C$5)&amp;"","")&lt;&gt;"",OR(LEFT(IFERROR(INDEX(Clay_Offices!$A$2:$FZ$601,557,Sync!$C$5)&amp;"",""),6)&lt;&gt;"SAMPLE",Config!$B$19="Y")),IFERROR(N(INDEX(Clay_Offices!$A$2:$FZ$601,557,Sync!$C$12)),0),"")</f>
        <v/>
      </c>
      <c r="C2808" s="23" t="str">
        <f aca="false">IF(B2808="","","office")</f>
        <v/>
      </c>
      <c r="D2808" s="23" t="str">
        <f aca="false">IF(B2808="","",IFERROR(INDEX(Office_Log!$ED$2:$ED$201,MATCH(IFERROR(INDEX(Clay_Offices!$A$2:$FZ$601,557,Sync!$C$5)&amp;"",""),Office_Log!$A$2:$A$201,0))&amp;"",IFERROR(INDEX(Clay_Offices!$A$2:$FZ$601,557,Sync!$C$5)&amp;"","")&amp;""))</f>
        <v/>
      </c>
      <c r="E2808" s="23" t="str">
        <f aca="false">IF(B2808="","",IFERROR(INDEX(Clay_Offices!$A$2:$FZ$601,557,Sync!$C$6)&amp;"",""))</f>
        <v/>
      </c>
      <c r="F2808" s="23" t="str">
        <f aca="false">IF(B2808="","","outreach_sent")</f>
        <v/>
      </c>
      <c r="G2808" s="23" t="str">
        <f aca="false">IF(B2808="","","")</f>
        <v/>
      </c>
      <c r="H2808" s="23" t="str">
        <f aca="false">IF(B2808="","","")</f>
        <v/>
      </c>
      <c r="I2808" s="23" t="str">
        <f aca="false">IF(B2808="","","")</f>
        <v/>
      </c>
      <c r="J2808" s="23" t="str">
        <f aca="false">IF(B2808="","","touch_2; "&amp;IFERROR(INDEX(Clay_Offices!$A$2:$FZ$601,557,Sync!$C$10)&amp;"","")&amp;"; "&amp;IFERROR(INDEX(Clay_Offices!$A$2:$FZ$601,557,Sync!$C$9)&amp;"",""))</f>
        <v/>
      </c>
      <c r="K2808" s="32" t="s">
        <v>1364</v>
      </c>
    </row>
    <row r="2809" customFormat="false" ht="15" hidden="false" customHeight="false" outlineLevel="0" collapsed="false">
      <c r="A2809" s="23" t="str">
        <f aca="false">IF(B2809="","",B2809+(13*1000+558)/10000000)</f>
        <v/>
      </c>
      <c r="B2809" s="35" t="str">
        <f aca="false">IF(AND(IFERROR(N(INDEX(Clay_Offices!$A$2:$FZ$601,558,Sync!$C$12)),0)&gt;0,IFERROR(INDEX(Clay_Offices!$A$2:$FZ$601,558,Sync!$C$5)&amp;"","")&lt;&gt;"",OR(LEFT(IFERROR(INDEX(Clay_Offices!$A$2:$FZ$601,558,Sync!$C$5)&amp;"",""),6)&lt;&gt;"SAMPLE",Config!$B$19="Y")),IFERROR(N(INDEX(Clay_Offices!$A$2:$FZ$601,558,Sync!$C$12)),0),"")</f>
        <v/>
      </c>
      <c r="C2809" s="23" t="str">
        <f aca="false">IF(B2809="","","office")</f>
        <v/>
      </c>
      <c r="D2809" s="23" t="str">
        <f aca="false">IF(B2809="","",IFERROR(INDEX(Office_Log!$ED$2:$ED$201,MATCH(IFERROR(INDEX(Clay_Offices!$A$2:$FZ$601,558,Sync!$C$5)&amp;"",""),Office_Log!$A$2:$A$201,0))&amp;"",IFERROR(INDEX(Clay_Offices!$A$2:$FZ$601,558,Sync!$C$5)&amp;"","")&amp;""))</f>
        <v/>
      </c>
      <c r="E2809" s="23" t="str">
        <f aca="false">IF(B2809="","",IFERROR(INDEX(Clay_Offices!$A$2:$FZ$601,558,Sync!$C$6)&amp;"",""))</f>
        <v/>
      </c>
      <c r="F2809" s="23" t="str">
        <f aca="false">IF(B2809="","","outreach_sent")</f>
        <v/>
      </c>
      <c r="G2809" s="23" t="str">
        <f aca="false">IF(B2809="","","")</f>
        <v/>
      </c>
      <c r="H2809" s="23" t="str">
        <f aca="false">IF(B2809="","","")</f>
        <v/>
      </c>
      <c r="I2809" s="23" t="str">
        <f aca="false">IF(B2809="","","")</f>
        <v/>
      </c>
      <c r="J2809" s="23" t="str">
        <f aca="false">IF(B2809="","","touch_2; "&amp;IFERROR(INDEX(Clay_Offices!$A$2:$FZ$601,558,Sync!$C$10)&amp;"","")&amp;"; "&amp;IFERROR(INDEX(Clay_Offices!$A$2:$FZ$601,558,Sync!$C$9)&amp;"",""))</f>
        <v/>
      </c>
      <c r="K2809" s="32" t="s">
        <v>1364</v>
      </c>
    </row>
    <row r="2810" customFormat="false" ht="15" hidden="false" customHeight="false" outlineLevel="0" collapsed="false">
      <c r="A2810" s="23" t="str">
        <f aca="false">IF(B2810="","",B2810+(13*1000+559)/10000000)</f>
        <v/>
      </c>
      <c r="B2810" s="35" t="str">
        <f aca="false">IF(AND(IFERROR(N(INDEX(Clay_Offices!$A$2:$FZ$601,559,Sync!$C$12)),0)&gt;0,IFERROR(INDEX(Clay_Offices!$A$2:$FZ$601,559,Sync!$C$5)&amp;"","")&lt;&gt;"",OR(LEFT(IFERROR(INDEX(Clay_Offices!$A$2:$FZ$601,559,Sync!$C$5)&amp;"",""),6)&lt;&gt;"SAMPLE",Config!$B$19="Y")),IFERROR(N(INDEX(Clay_Offices!$A$2:$FZ$601,559,Sync!$C$12)),0),"")</f>
        <v/>
      </c>
      <c r="C2810" s="23" t="str">
        <f aca="false">IF(B2810="","","office")</f>
        <v/>
      </c>
      <c r="D2810" s="23" t="str">
        <f aca="false">IF(B2810="","",IFERROR(INDEX(Office_Log!$ED$2:$ED$201,MATCH(IFERROR(INDEX(Clay_Offices!$A$2:$FZ$601,559,Sync!$C$5)&amp;"",""),Office_Log!$A$2:$A$201,0))&amp;"",IFERROR(INDEX(Clay_Offices!$A$2:$FZ$601,559,Sync!$C$5)&amp;"","")&amp;""))</f>
        <v/>
      </c>
      <c r="E2810" s="23" t="str">
        <f aca="false">IF(B2810="","",IFERROR(INDEX(Clay_Offices!$A$2:$FZ$601,559,Sync!$C$6)&amp;"",""))</f>
        <v/>
      </c>
      <c r="F2810" s="23" t="str">
        <f aca="false">IF(B2810="","","outreach_sent")</f>
        <v/>
      </c>
      <c r="G2810" s="23" t="str">
        <f aca="false">IF(B2810="","","")</f>
        <v/>
      </c>
      <c r="H2810" s="23" t="str">
        <f aca="false">IF(B2810="","","")</f>
        <v/>
      </c>
      <c r="I2810" s="23" t="str">
        <f aca="false">IF(B2810="","","")</f>
        <v/>
      </c>
      <c r="J2810" s="23" t="str">
        <f aca="false">IF(B2810="","","touch_2; "&amp;IFERROR(INDEX(Clay_Offices!$A$2:$FZ$601,559,Sync!$C$10)&amp;"","")&amp;"; "&amp;IFERROR(INDEX(Clay_Offices!$A$2:$FZ$601,559,Sync!$C$9)&amp;"",""))</f>
        <v/>
      </c>
      <c r="K2810" s="32" t="s">
        <v>1364</v>
      </c>
    </row>
    <row r="2811" customFormat="false" ht="15" hidden="false" customHeight="false" outlineLevel="0" collapsed="false">
      <c r="A2811" s="23" t="str">
        <f aca="false">IF(B2811="","",B2811+(13*1000+560)/10000000)</f>
        <v/>
      </c>
      <c r="B2811" s="35" t="str">
        <f aca="false">IF(AND(IFERROR(N(INDEX(Clay_Offices!$A$2:$FZ$601,560,Sync!$C$12)),0)&gt;0,IFERROR(INDEX(Clay_Offices!$A$2:$FZ$601,560,Sync!$C$5)&amp;"","")&lt;&gt;"",OR(LEFT(IFERROR(INDEX(Clay_Offices!$A$2:$FZ$601,560,Sync!$C$5)&amp;"",""),6)&lt;&gt;"SAMPLE",Config!$B$19="Y")),IFERROR(N(INDEX(Clay_Offices!$A$2:$FZ$601,560,Sync!$C$12)),0),"")</f>
        <v/>
      </c>
      <c r="C2811" s="23" t="str">
        <f aca="false">IF(B2811="","","office")</f>
        <v/>
      </c>
      <c r="D2811" s="23" t="str">
        <f aca="false">IF(B2811="","",IFERROR(INDEX(Office_Log!$ED$2:$ED$201,MATCH(IFERROR(INDEX(Clay_Offices!$A$2:$FZ$601,560,Sync!$C$5)&amp;"",""),Office_Log!$A$2:$A$201,0))&amp;"",IFERROR(INDEX(Clay_Offices!$A$2:$FZ$601,560,Sync!$C$5)&amp;"","")&amp;""))</f>
        <v/>
      </c>
      <c r="E2811" s="23" t="str">
        <f aca="false">IF(B2811="","",IFERROR(INDEX(Clay_Offices!$A$2:$FZ$601,560,Sync!$C$6)&amp;"",""))</f>
        <v/>
      </c>
      <c r="F2811" s="23" t="str">
        <f aca="false">IF(B2811="","","outreach_sent")</f>
        <v/>
      </c>
      <c r="G2811" s="23" t="str">
        <f aca="false">IF(B2811="","","")</f>
        <v/>
      </c>
      <c r="H2811" s="23" t="str">
        <f aca="false">IF(B2811="","","")</f>
        <v/>
      </c>
      <c r="I2811" s="23" t="str">
        <f aca="false">IF(B2811="","","")</f>
        <v/>
      </c>
      <c r="J2811" s="23" t="str">
        <f aca="false">IF(B2811="","","touch_2; "&amp;IFERROR(INDEX(Clay_Offices!$A$2:$FZ$601,560,Sync!$C$10)&amp;"","")&amp;"; "&amp;IFERROR(INDEX(Clay_Offices!$A$2:$FZ$601,560,Sync!$C$9)&amp;"",""))</f>
        <v/>
      </c>
      <c r="K2811" s="32" t="s">
        <v>1364</v>
      </c>
    </row>
    <row r="2812" customFormat="false" ht="15" hidden="false" customHeight="false" outlineLevel="0" collapsed="false">
      <c r="A2812" s="23" t="str">
        <f aca="false">IF(B2812="","",B2812+(13*1000+561)/10000000)</f>
        <v/>
      </c>
      <c r="B2812" s="35" t="str">
        <f aca="false">IF(AND(IFERROR(N(INDEX(Clay_Offices!$A$2:$FZ$601,561,Sync!$C$12)),0)&gt;0,IFERROR(INDEX(Clay_Offices!$A$2:$FZ$601,561,Sync!$C$5)&amp;"","")&lt;&gt;"",OR(LEFT(IFERROR(INDEX(Clay_Offices!$A$2:$FZ$601,561,Sync!$C$5)&amp;"",""),6)&lt;&gt;"SAMPLE",Config!$B$19="Y")),IFERROR(N(INDEX(Clay_Offices!$A$2:$FZ$601,561,Sync!$C$12)),0),"")</f>
        <v/>
      </c>
      <c r="C2812" s="23" t="str">
        <f aca="false">IF(B2812="","","office")</f>
        <v/>
      </c>
      <c r="D2812" s="23" t="str">
        <f aca="false">IF(B2812="","",IFERROR(INDEX(Office_Log!$ED$2:$ED$201,MATCH(IFERROR(INDEX(Clay_Offices!$A$2:$FZ$601,561,Sync!$C$5)&amp;"",""),Office_Log!$A$2:$A$201,0))&amp;"",IFERROR(INDEX(Clay_Offices!$A$2:$FZ$601,561,Sync!$C$5)&amp;"","")&amp;""))</f>
        <v/>
      </c>
      <c r="E2812" s="23" t="str">
        <f aca="false">IF(B2812="","",IFERROR(INDEX(Clay_Offices!$A$2:$FZ$601,561,Sync!$C$6)&amp;"",""))</f>
        <v/>
      </c>
      <c r="F2812" s="23" t="str">
        <f aca="false">IF(B2812="","","outreach_sent")</f>
        <v/>
      </c>
      <c r="G2812" s="23" t="str">
        <f aca="false">IF(B2812="","","")</f>
        <v/>
      </c>
      <c r="H2812" s="23" t="str">
        <f aca="false">IF(B2812="","","")</f>
        <v/>
      </c>
      <c r="I2812" s="23" t="str">
        <f aca="false">IF(B2812="","","")</f>
        <v/>
      </c>
      <c r="J2812" s="23" t="str">
        <f aca="false">IF(B2812="","","touch_2; "&amp;IFERROR(INDEX(Clay_Offices!$A$2:$FZ$601,561,Sync!$C$10)&amp;"","")&amp;"; "&amp;IFERROR(INDEX(Clay_Offices!$A$2:$FZ$601,561,Sync!$C$9)&amp;"",""))</f>
        <v/>
      </c>
      <c r="K2812" s="32" t="s">
        <v>1364</v>
      </c>
    </row>
    <row r="2813" customFormat="false" ht="15" hidden="false" customHeight="false" outlineLevel="0" collapsed="false">
      <c r="A2813" s="23" t="str">
        <f aca="false">IF(B2813="","",B2813+(13*1000+562)/10000000)</f>
        <v/>
      </c>
      <c r="B2813" s="35" t="str">
        <f aca="false">IF(AND(IFERROR(N(INDEX(Clay_Offices!$A$2:$FZ$601,562,Sync!$C$12)),0)&gt;0,IFERROR(INDEX(Clay_Offices!$A$2:$FZ$601,562,Sync!$C$5)&amp;"","")&lt;&gt;"",OR(LEFT(IFERROR(INDEX(Clay_Offices!$A$2:$FZ$601,562,Sync!$C$5)&amp;"",""),6)&lt;&gt;"SAMPLE",Config!$B$19="Y")),IFERROR(N(INDEX(Clay_Offices!$A$2:$FZ$601,562,Sync!$C$12)),0),"")</f>
        <v/>
      </c>
      <c r="C2813" s="23" t="str">
        <f aca="false">IF(B2813="","","office")</f>
        <v/>
      </c>
      <c r="D2813" s="23" t="str">
        <f aca="false">IF(B2813="","",IFERROR(INDEX(Office_Log!$ED$2:$ED$201,MATCH(IFERROR(INDEX(Clay_Offices!$A$2:$FZ$601,562,Sync!$C$5)&amp;"",""),Office_Log!$A$2:$A$201,0))&amp;"",IFERROR(INDEX(Clay_Offices!$A$2:$FZ$601,562,Sync!$C$5)&amp;"","")&amp;""))</f>
        <v/>
      </c>
      <c r="E2813" s="23" t="str">
        <f aca="false">IF(B2813="","",IFERROR(INDEX(Clay_Offices!$A$2:$FZ$601,562,Sync!$C$6)&amp;"",""))</f>
        <v/>
      </c>
      <c r="F2813" s="23" t="str">
        <f aca="false">IF(B2813="","","outreach_sent")</f>
        <v/>
      </c>
      <c r="G2813" s="23" t="str">
        <f aca="false">IF(B2813="","","")</f>
        <v/>
      </c>
      <c r="H2813" s="23" t="str">
        <f aca="false">IF(B2813="","","")</f>
        <v/>
      </c>
      <c r="I2813" s="23" t="str">
        <f aca="false">IF(B2813="","","")</f>
        <v/>
      </c>
      <c r="J2813" s="23" t="str">
        <f aca="false">IF(B2813="","","touch_2; "&amp;IFERROR(INDEX(Clay_Offices!$A$2:$FZ$601,562,Sync!$C$10)&amp;"","")&amp;"; "&amp;IFERROR(INDEX(Clay_Offices!$A$2:$FZ$601,562,Sync!$C$9)&amp;"",""))</f>
        <v/>
      </c>
      <c r="K2813" s="32" t="s">
        <v>1364</v>
      </c>
    </row>
    <row r="2814" customFormat="false" ht="15" hidden="false" customHeight="false" outlineLevel="0" collapsed="false">
      <c r="A2814" s="23" t="str">
        <f aca="false">IF(B2814="","",B2814+(13*1000+563)/10000000)</f>
        <v/>
      </c>
      <c r="B2814" s="35" t="str">
        <f aca="false">IF(AND(IFERROR(N(INDEX(Clay_Offices!$A$2:$FZ$601,563,Sync!$C$12)),0)&gt;0,IFERROR(INDEX(Clay_Offices!$A$2:$FZ$601,563,Sync!$C$5)&amp;"","")&lt;&gt;"",OR(LEFT(IFERROR(INDEX(Clay_Offices!$A$2:$FZ$601,563,Sync!$C$5)&amp;"",""),6)&lt;&gt;"SAMPLE",Config!$B$19="Y")),IFERROR(N(INDEX(Clay_Offices!$A$2:$FZ$601,563,Sync!$C$12)),0),"")</f>
        <v/>
      </c>
      <c r="C2814" s="23" t="str">
        <f aca="false">IF(B2814="","","office")</f>
        <v/>
      </c>
      <c r="D2814" s="23" t="str">
        <f aca="false">IF(B2814="","",IFERROR(INDEX(Office_Log!$ED$2:$ED$201,MATCH(IFERROR(INDEX(Clay_Offices!$A$2:$FZ$601,563,Sync!$C$5)&amp;"",""),Office_Log!$A$2:$A$201,0))&amp;"",IFERROR(INDEX(Clay_Offices!$A$2:$FZ$601,563,Sync!$C$5)&amp;"","")&amp;""))</f>
        <v/>
      </c>
      <c r="E2814" s="23" t="str">
        <f aca="false">IF(B2814="","",IFERROR(INDEX(Clay_Offices!$A$2:$FZ$601,563,Sync!$C$6)&amp;"",""))</f>
        <v/>
      </c>
      <c r="F2814" s="23" t="str">
        <f aca="false">IF(B2814="","","outreach_sent")</f>
        <v/>
      </c>
      <c r="G2814" s="23" t="str">
        <f aca="false">IF(B2814="","","")</f>
        <v/>
      </c>
      <c r="H2814" s="23" t="str">
        <f aca="false">IF(B2814="","","")</f>
        <v/>
      </c>
      <c r="I2814" s="23" t="str">
        <f aca="false">IF(B2814="","","")</f>
        <v/>
      </c>
      <c r="J2814" s="23" t="str">
        <f aca="false">IF(B2814="","","touch_2; "&amp;IFERROR(INDEX(Clay_Offices!$A$2:$FZ$601,563,Sync!$C$10)&amp;"","")&amp;"; "&amp;IFERROR(INDEX(Clay_Offices!$A$2:$FZ$601,563,Sync!$C$9)&amp;"",""))</f>
        <v/>
      </c>
      <c r="K2814" s="32" t="s">
        <v>1364</v>
      </c>
    </row>
    <row r="2815" customFormat="false" ht="15" hidden="false" customHeight="false" outlineLevel="0" collapsed="false">
      <c r="A2815" s="23" t="str">
        <f aca="false">IF(B2815="","",B2815+(13*1000+564)/10000000)</f>
        <v/>
      </c>
      <c r="B2815" s="35" t="str">
        <f aca="false">IF(AND(IFERROR(N(INDEX(Clay_Offices!$A$2:$FZ$601,564,Sync!$C$12)),0)&gt;0,IFERROR(INDEX(Clay_Offices!$A$2:$FZ$601,564,Sync!$C$5)&amp;"","")&lt;&gt;"",OR(LEFT(IFERROR(INDEX(Clay_Offices!$A$2:$FZ$601,564,Sync!$C$5)&amp;"",""),6)&lt;&gt;"SAMPLE",Config!$B$19="Y")),IFERROR(N(INDEX(Clay_Offices!$A$2:$FZ$601,564,Sync!$C$12)),0),"")</f>
        <v/>
      </c>
      <c r="C2815" s="23" t="str">
        <f aca="false">IF(B2815="","","office")</f>
        <v/>
      </c>
      <c r="D2815" s="23" t="str">
        <f aca="false">IF(B2815="","",IFERROR(INDEX(Office_Log!$ED$2:$ED$201,MATCH(IFERROR(INDEX(Clay_Offices!$A$2:$FZ$601,564,Sync!$C$5)&amp;"",""),Office_Log!$A$2:$A$201,0))&amp;"",IFERROR(INDEX(Clay_Offices!$A$2:$FZ$601,564,Sync!$C$5)&amp;"","")&amp;""))</f>
        <v/>
      </c>
      <c r="E2815" s="23" t="str">
        <f aca="false">IF(B2815="","",IFERROR(INDEX(Clay_Offices!$A$2:$FZ$601,564,Sync!$C$6)&amp;"",""))</f>
        <v/>
      </c>
      <c r="F2815" s="23" t="str">
        <f aca="false">IF(B2815="","","outreach_sent")</f>
        <v/>
      </c>
      <c r="G2815" s="23" t="str">
        <f aca="false">IF(B2815="","","")</f>
        <v/>
      </c>
      <c r="H2815" s="23" t="str">
        <f aca="false">IF(B2815="","","")</f>
        <v/>
      </c>
      <c r="I2815" s="23" t="str">
        <f aca="false">IF(B2815="","","")</f>
        <v/>
      </c>
      <c r="J2815" s="23" t="str">
        <f aca="false">IF(B2815="","","touch_2; "&amp;IFERROR(INDEX(Clay_Offices!$A$2:$FZ$601,564,Sync!$C$10)&amp;"","")&amp;"; "&amp;IFERROR(INDEX(Clay_Offices!$A$2:$FZ$601,564,Sync!$C$9)&amp;"",""))</f>
        <v/>
      </c>
      <c r="K2815" s="32" t="s">
        <v>1364</v>
      </c>
    </row>
    <row r="2816" customFormat="false" ht="15" hidden="false" customHeight="false" outlineLevel="0" collapsed="false">
      <c r="A2816" s="23" t="str">
        <f aca="false">IF(B2816="","",B2816+(13*1000+565)/10000000)</f>
        <v/>
      </c>
      <c r="B2816" s="35" t="str">
        <f aca="false">IF(AND(IFERROR(N(INDEX(Clay_Offices!$A$2:$FZ$601,565,Sync!$C$12)),0)&gt;0,IFERROR(INDEX(Clay_Offices!$A$2:$FZ$601,565,Sync!$C$5)&amp;"","")&lt;&gt;"",OR(LEFT(IFERROR(INDEX(Clay_Offices!$A$2:$FZ$601,565,Sync!$C$5)&amp;"",""),6)&lt;&gt;"SAMPLE",Config!$B$19="Y")),IFERROR(N(INDEX(Clay_Offices!$A$2:$FZ$601,565,Sync!$C$12)),0),"")</f>
        <v/>
      </c>
      <c r="C2816" s="23" t="str">
        <f aca="false">IF(B2816="","","office")</f>
        <v/>
      </c>
      <c r="D2816" s="23" t="str">
        <f aca="false">IF(B2816="","",IFERROR(INDEX(Office_Log!$ED$2:$ED$201,MATCH(IFERROR(INDEX(Clay_Offices!$A$2:$FZ$601,565,Sync!$C$5)&amp;"",""),Office_Log!$A$2:$A$201,0))&amp;"",IFERROR(INDEX(Clay_Offices!$A$2:$FZ$601,565,Sync!$C$5)&amp;"","")&amp;""))</f>
        <v/>
      </c>
      <c r="E2816" s="23" t="str">
        <f aca="false">IF(B2816="","",IFERROR(INDEX(Clay_Offices!$A$2:$FZ$601,565,Sync!$C$6)&amp;"",""))</f>
        <v/>
      </c>
      <c r="F2816" s="23" t="str">
        <f aca="false">IF(B2816="","","outreach_sent")</f>
        <v/>
      </c>
      <c r="G2816" s="23" t="str">
        <f aca="false">IF(B2816="","","")</f>
        <v/>
      </c>
      <c r="H2816" s="23" t="str">
        <f aca="false">IF(B2816="","","")</f>
        <v/>
      </c>
      <c r="I2816" s="23" t="str">
        <f aca="false">IF(B2816="","","")</f>
        <v/>
      </c>
      <c r="J2816" s="23" t="str">
        <f aca="false">IF(B2816="","","touch_2; "&amp;IFERROR(INDEX(Clay_Offices!$A$2:$FZ$601,565,Sync!$C$10)&amp;"","")&amp;"; "&amp;IFERROR(INDEX(Clay_Offices!$A$2:$FZ$601,565,Sync!$C$9)&amp;"",""))</f>
        <v/>
      </c>
      <c r="K2816" s="32" t="s">
        <v>1364</v>
      </c>
    </row>
    <row r="2817" customFormat="false" ht="15" hidden="false" customHeight="false" outlineLevel="0" collapsed="false">
      <c r="A2817" s="23" t="str">
        <f aca="false">IF(B2817="","",B2817+(13*1000+566)/10000000)</f>
        <v/>
      </c>
      <c r="B2817" s="35" t="str">
        <f aca="false">IF(AND(IFERROR(N(INDEX(Clay_Offices!$A$2:$FZ$601,566,Sync!$C$12)),0)&gt;0,IFERROR(INDEX(Clay_Offices!$A$2:$FZ$601,566,Sync!$C$5)&amp;"","")&lt;&gt;"",OR(LEFT(IFERROR(INDEX(Clay_Offices!$A$2:$FZ$601,566,Sync!$C$5)&amp;"",""),6)&lt;&gt;"SAMPLE",Config!$B$19="Y")),IFERROR(N(INDEX(Clay_Offices!$A$2:$FZ$601,566,Sync!$C$12)),0),"")</f>
        <v/>
      </c>
      <c r="C2817" s="23" t="str">
        <f aca="false">IF(B2817="","","office")</f>
        <v/>
      </c>
      <c r="D2817" s="23" t="str">
        <f aca="false">IF(B2817="","",IFERROR(INDEX(Office_Log!$ED$2:$ED$201,MATCH(IFERROR(INDEX(Clay_Offices!$A$2:$FZ$601,566,Sync!$C$5)&amp;"",""),Office_Log!$A$2:$A$201,0))&amp;"",IFERROR(INDEX(Clay_Offices!$A$2:$FZ$601,566,Sync!$C$5)&amp;"","")&amp;""))</f>
        <v/>
      </c>
      <c r="E2817" s="23" t="str">
        <f aca="false">IF(B2817="","",IFERROR(INDEX(Clay_Offices!$A$2:$FZ$601,566,Sync!$C$6)&amp;"",""))</f>
        <v/>
      </c>
      <c r="F2817" s="23" t="str">
        <f aca="false">IF(B2817="","","outreach_sent")</f>
        <v/>
      </c>
      <c r="G2817" s="23" t="str">
        <f aca="false">IF(B2817="","","")</f>
        <v/>
      </c>
      <c r="H2817" s="23" t="str">
        <f aca="false">IF(B2817="","","")</f>
        <v/>
      </c>
      <c r="I2817" s="23" t="str">
        <f aca="false">IF(B2817="","","")</f>
        <v/>
      </c>
      <c r="J2817" s="23" t="str">
        <f aca="false">IF(B2817="","","touch_2; "&amp;IFERROR(INDEX(Clay_Offices!$A$2:$FZ$601,566,Sync!$C$10)&amp;"","")&amp;"; "&amp;IFERROR(INDEX(Clay_Offices!$A$2:$FZ$601,566,Sync!$C$9)&amp;"",""))</f>
        <v/>
      </c>
      <c r="K2817" s="32" t="s">
        <v>1364</v>
      </c>
    </row>
    <row r="2818" customFormat="false" ht="15" hidden="false" customHeight="false" outlineLevel="0" collapsed="false">
      <c r="A2818" s="23" t="str">
        <f aca="false">IF(B2818="","",B2818+(13*1000+567)/10000000)</f>
        <v/>
      </c>
      <c r="B2818" s="35" t="str">
        <f aca="false">IF(AND(IFERROR(N(INDEX(Clay_Offices!$A$2:$FZ$601,567,Sync!$C$12)),0)&gt;0,IFERROR(INDEX(Clay_Offices!$A$2:$FZ$601,567,Sync!$C$5)&amp;"","")&lt;&gt;"",OR(LEFT(IFERROR(INDEX(Clay_Offices!$A$2:$FZ$601,567,Sync!$C$5)&amp;"",""),6)&lt;&gt;"SAMPLE",Config!$B$19="Y")),IFERROR(N(INDEX(Clay_Offices!$A$2:$FZ$601,567,Sync!$C$12)),0),"")</f>
        <v/>
      </c>
      <c r="C2818" s="23" t="str">
        <f aca="false">IF(B2818="","","office")</f>
        <v/>
      </c>
      <c r="D2818" s="23" t="str">
        <f aca="false">IF(B2818="","",IFERROR(INDEX(Office_Log!$ED$2:$ED$201,MATCH(IFERROR(INDEX(Clay_Offices!$A$2:$FZ$601,567,Sync!$C$5)&amp;"",""),Office_Log!$A$2:$A$201,0))&amp;"",IFERROR(INDEX(Clay_Offices!$A$2:$FZ$601,567,Sync!$C$5)&amp;"","")&amp;""))</f>
        <v/>
      </c>
      <c r="E2818" s="23" t="str">
        <f aca="false">IF(B2818="","",IFERROR(INDEX(Clay_Offices!$A$2:$FZ$601,567,Sync!$C$6)&amp;"",""))</f>
        <v/>
      </c>
      <c r="F2818" s="23" t="str">
        <f aca="false">IF(B2818="","","outreach_sent")</f>
        <v/>
      </c>
      <c r="G2818" s="23" t="str">
        <f aca="false">IF(B2818="","","")</f>
        <v/>
      </c>
      <c r="H2818" s="23" t="str">
        <f aca="false">IF(B2818="","","")</f>
        <v/>
      </c>
      <c r="I2818" s="23" t="str">
        <f aca="false">IF(B2818="","","")</f>
        <v/>
      </c>
      <c r="J2818" s="23" t="str">
        <f aca="false">IF(B2818="","","touch_2; "&amp;IFERROR(INDEX(Clay_Offices!$A$2:$FZ$601,567,Sync!$C$10)&amp;"","")&amp;"; "&amp;IFERROR(INDEX(Clay_Offices!$A$2:$FZ$601,567,Sync!$C$9)&amp;"",""))</f>
        <v/>
      </c>
      <c r="K2818" s="32" t="s">
        <v>1364</v>
      </c>
    </row>
    <row r="2819" customFormat="false" ht="15" hidden="false" customHeight="false" outlineLevel="0" collapsed="false">
      <c r="A2819" s="23" t="str">
        <f aca="false">IF(B2819="","",B2819+(13*1000+568)/10000000)</f>
        <v/>
      </c>
      <c r="B2819" s="35" t="str">
        <f aca="false">IF(AND(IFERROR(N(INDEX(Clay_Offices!$A$2:$FZ$601,568,Sync!$C$12)),0)&gt;0,IFERROR(INDEX(Clay_Offices!$A$2:$FZ$601,568,Sync!$C$5)&amp;"","")&lt;&gt;"",OR(LEFT(IFERROR(INDEX(Clay_Offices!$A$2:$FZ$601,568,Sync!$C$5)&amp;"",""),6)&lt;&gt;"SAMPLE",Config!$B$19="Y")),IFERROR(N(INDEX(Clay_Offices!$A$2:$FZ$601,568,Sync!$C$12)),0),"")</f>
        <v/>
      </c>
      <c r="C2819" s="23" t="str">
        <f aca="false">IF(B2819="","","office")</f>
        <v/>
      </c>
      <c r="D2819" s="23" t="str">
        <f aca="false">IF(B2819="","",IFERROR(INDEX(Office_Log!$ED$2:$ED$201,MATCH(IFERROR(INDEX(Clay_Offices!$A$2:$FZ$601,568,Sync!$C$5)&amp;"",""),Office_Log!$A$2:$A$201,0))&amp;"",IFERROR(INDEX(Clay_Offices!$A$2:$FZ$601,568,Sync!$C$5)&amp;"","")&amp;""))</f>
        <v/>
      </c>
      <c r="E2819" s="23" t="str">
        <f aca="false">IF(B2819="","",IFERROR(INDEX(Clay_Offices!$A$2:$FZ$601,568,Sync!$C$6)&amp;"",""))</f>
        <v/>
      </c>
      <c r="F2819" s="23" t="str">
        <f aca="false">IF(B2819="","","outreach_sent")</f>
        <v/>
      </c>
      <c r="G2819" s="23" t="str">
        <f aca="false">IF(B2819="","","")</f>
        <v/>
      </c>
      <c r="H2819" s="23" t="str">
        <f aca="false">IF(B2819="","","")</f>
        <v/>
      </c>
      <c r="I2819" s="23" t="str">
        <f aca="false">IF(B2819="","","")</f>
        <v/>
      </c>
      <c r="J2819" s="23" t="str">
        <f aca="false">IF(B2819="","","touch_2; "&amp;IFERROR(INDEX(Clay_Offices!$A$2:$FZ$601,568,Sync!$C$10)&amp;"","")&amp;"; "&amp;IFERROR(INDEX(Clay_Offices!$A$2:$FZ$601,568,Sync!$C$9)&amp;"",""))</f>
        <v/>
      </c>
      <c r="K2819" s="32" t="s">
        <v>1364</v>
      </c>
    </row>
    <row r="2820" customFormat="false" ht="15" hidden="false" customHeight="false" outlineLevel="0" collapsed="false">
      <c r="A2820" s="23" t="str">
        <f aca="false">IF(B2820="","",B2820+(13*1000+569)/10000000)</f>
        <v/>
      </c>
      <c r="B2820" s="35" t="str">
        <f aca="false">IF(AND(IFERROR(N(INDEX(Clay_Offices!$A$2:$FZ$601,569,Sync!$C$12)),0)&gt;0,IFERROR(INDEX(Clay_Offices!$A$2:$FZ$601,569,Sync!$C$5)&amp;"","")&lt;&gt;"",OR(LEFT(IFERROR(INDEX(Clay_Offices!$A$2:$FZ$601,569,Sync!$C$5)&amp;"",""),6)&lt;&gt;"SAMPLE",Config!$B$19="Y")),IFERROR(N(INDEX(Clay_Offices!$A$2:$FZ$601,569,Sync!$C$12)),0),"")</f>
        <v/>
      </c>
      <c r="C2820" s="23" t="str">
        <f aca="false">IF(B2820="","","office")</f>
        <v/>
      </c>
      <c r="D2820" s="23" t="str">
        <f aca="false">IF(B2820="","",IFERROR(INDEX(Office_Log!$ED$2:$ED$201,MATCH(IFERROR(INDEX(Clay_Offices!$A$2:$FZ$601,569,Sync!$C$5)&amp;"",""),Office_Log!$A$2:$A$201,0))&amp;"",IFERROR(INDEX(Clay_Offices!$A$2:$FZ$601,569,Sync!$C$5)&amp;"","")&amp;""))</f>
        <v/>
      </c>
      <c r="E2820" s="23" t="str">
        <f aca="false">IF(B2820="","",IFERROR(INDEX(Clay_Offices!$A$2:$FZ$601,569,Sync!$C$6)&amp;"",""))</f>
        <v/>
      </c>
      <c r="F2820" s="23" t="str">
        <f aca="false">IF(B2820="","","outreach_sent")</f>
        <v/>
      </c>
      <c r="G2820" s="23" t="str">
        <f aca="false">IF(B2820="","","")</f>
        <v/>
      </c>
      <c r="H2820" s="23" t="str">
        <f aca="false">IF(B2820="","","")</f>
        <v/>
      </c>
      <c r="I2820" s="23" t="str">
        <f aca="false">IF(B2820="","","")</f>
        <v/>
      </c>
      <c r="J2820" s="23" t="str">
        <f aca="false">IF(B2820="","","touch_2; "&amp;IFERROR(INDEX(Clay_Offices!$A$2:$FZ$601,569,Sync!$C$10)&amp;"","")&amp;"; "&amp;IFERROR(INDEX(Clay_Offices!$A$2:$FZ$601,569,Sync!$C$9)&amp;"",""))</f>
        <v/>
      </c>
      <c r="K2820" s="32" t="s">
        <v>1364</v>
      </c>
    </row>
    <row r="2821" customFormat="false" ht="15" hidden="false" customHeight="false" outlineLevel="0" collapsed="false">
      <c r="A2821" s="23" t="str">
        <f aca="false">IF(B2821="","",B2821+(13*1000+570)/10000000)</f>
        <v/>
      </c>
      <c r="B2821" s="35" t="str">
        <f aca="false">IF(AND(IFERROR(N(INDEX(Clay_Offices!$A$2:$FZ$601,570,Sync!$C$12)),0)&gt;0,IFERROR(INDEX(Clay_Offices!$A$2:$FZ$601,570,Sync!$C$5)&amp;"","")&lt;&gt;"",OR(LEFT(IFERROR(INDEX(Clay_Offices!$A$2:$FZ$601,570,Sync!$C$5)&amp;"",""),6)&lt;&gt;"SAMPLE",Config!$B$19="Y")),IFERROR(N(INDEX(Clay_Offices!$A$2:$FZ$601,570,Sync!$C$12)),0),"")</f>
        <v/>
      </c>
      <c r="C2821" s="23" t="str">
        <f aca="false">IF(B2821="","","office")</f>
        <v/>
      </c>
      <c r="D2821" s="23" t="str">
        <f aca="false">IF(B2821="","",IFERROR(INDEX(Office_Log!$ED$2:$ED$201,MATCH(IFERROR(INDEX(Clay_Offices!$A$2:$FZ$601,570,Sync!$C$5)&amp;"",""),Office_Log!$A$2:$A$201,0))&amp;"",IFERROR(INDEX(Clay_Offices!$A$2:$FZ$601,570,Sync!$C$5)&amp;"","")&amp;""))</f>
        <v/>
      </c>
      <c r="E2821" s="23" t="str">
        <f aca="false">IF(B2821="","",IFERROR(INDEX(Clay_Offices!$A$2:$FZ$601,570,Sync!$C$6)&amp;"",""))</f>
        <v/>
      </c>
      <c r="F2821" s="23" t="str">
        <f aca="false">IF(B2821="","","outreach_sent")</f>
        <v/>
      </c>
      <c r="G2821" s="23" t="str">
        <f aca="false">IF(B2821="","","")</f>
        <v/>
      </c>
      <c r="H2821" s="23" t="str">
        <f aca="false">IF(B2821="","","")</f>
        <v/>
      </c>
      <c r="I2821" s="23" t="str">
        <f aca="false">IF(B2821="","","")</f>
        <v/>
      </c>
      <c r="J2821" s="23" t="str">
        <f aca="false">IF(B2821="","","touch_2; "&amp;IFERROR(INDEX(Clay_Offices!$A$2:$FZ$601,570,Sync!$C$10)&amp;"","")&amp;"; "&amp;IFERROR(INDEX(Clay_Offices!$A$2:$FZ$601,570,Sync!$C$9)&amp;"",""))</f>
        <v/>
      </c>
      <c r="K2821" s="32" t="s">
        <v>1364</v>
      </c>
    </row>
    <row r="2822" customFormat="false" ht="15" hidden="false" customHeight="false" outlineLevel="0" collapsed="false">
      <c r="A2822" s="23" t="str">
        <f aca="false">IF(B2822="","",B2822+(13*1000+571)/10000000)</f>
        <v/>
      </c>
      <c r="B2822" s="35" t="str">
        <f aca="false">IF(AND(IFERROR(N(INDEX(Clay_Offices!$A$2:$FZ$601,571,Sync!$C$12)),0)&gt;0,IFERROR(INDEX(Clay_Offices!$A$2:$FZ$601,571,Sync!$C$5)&amp;"","")&lt;&gt;"",OR(LEFT(IFERROR(INDEX(Clay_Offices!$A$2:$FZ$601,571,Sync!$C$5)&amp;"",""),6)&lt;&gt;"SAMPLE",Config!$B$19="Y")),IFERROR(N(INDEX(Clay_Offices!$A$2:$FZ$601,571,Sync!$C$12)),0),"")</f>
        <v/>
      </c>
      <c r="C2822" s="23" t="str">
        <f aca="false">IF(B2822="","","office")</f>
        <v/>
      </c>
      <c r="D2822" s="23" t="str">
        <f aca="false">IF(B2822="","",IFERROR(INDEX(Office_Log!$ED$2:$ED$201,MATCH(IFERROR(INDEX(Clay_Offices!$A$2:$FZ$601,571,Sync!$C$5)&amp;"",""),Office_Log!$A$2:$A$201,0))&amp;"",IFERROR(INDEX(Clay_Offices!$A$2:$FZ$601,571,Sync!$C$5)&amp;"","")&amp;""))</f>
        <v/>
      </c>
      <c r="E2822" s="23" t="str">
        <f aca="false">IF(B2822="","",IFERROR(INDEX(Clay_Offices!$A$2:$FZ$601,571,Sync!$C$6)&amp;"",""))</f>
        <v/>
      </c>
      <c r="F2822" s="23" t="str">
        <f aca="false">IF(B2822="","","outreach_sent")</f>
        <v/>
      </c>
      <c r="G2822" s="23" t="str">
        <f aca="false">IF(B2822="","","")</f>
        <v/>
      </c>
      <c r="H2822" s="23" t="str">
        <f aca="false">IF(B2822="","","")</f>
        <v/>
      </c>
      <c r="I2822" s="23" t="str">
        <f aca="false">IF(B2822="","","")</f>
        <v/>
      </c>
      <c r="J2822" s="23" t="str">
        <f aca="false">IF(B2822="","","touch_2; "&amp;IFERROR(INDEX(Clay_Offices!$A$2:$FZ$601,571,Sync!$C$10)&amp;"","")&amp;"; "&amp;IFERROR(INDEX(Clay_Offices!$A$2:$FZ$601,571,Sync!$C$9)&amp;"",""))</f>
        <v/>
      </c>
      <c r="K2822" s="32" t="s">
        <v>1364</v>
      </c>
    </row>
    <row r="2823" customFormat="false" ht="15" hidden="false" customHeight="false" outlineLevel="0" collapsed="false">
      <c r="A2823" s="23" t="str">
        <f aca="false">IF(B2823="","",B2823+(13*1000+572)/10000000)</f>
        <v/>
      </c>
      <c r="B2823" s="35" t="str">
        <f aca="false">IF(AND(IFERROR(N(INDEX(Clay_Offices!$A$2:$FZ$601,572,Sync!$C$12)),0)&gt;0,IFERROR(INDEX(Clay_Offices!$A$2:$FZ$601,572,Sync!$C$5)&amp;"","")&lt;&gt;"",OR(LEFT(IFERROR(INDEX(Clay_Offices!$A$2:$FZ$601,572,Sync!$C$5)&amp;"",""),6)&lt;&gt;"SAMPLE",Config!$B$19="Y")),IFERROR(N(INDEX(Clay_Offices!$A$2:$FZ$601,572,Sync!$C$12)),0),"")</f>
        <v/>
      </c>
      <c r="C2823" s="23" t="str">
        <f aca="false">IF(B2823="","","office")</f>
        <v/>
      </c>
      <c r="D2823" s="23" t="str">
        <f aca="false">IF(B2823="","",IFERROR(INDEX(Office_Log!$ED$2:$ED$201,MATCH(IFERROR(INDEX(Clay_Offices!$A$2:$FZ$601,572,Sync!$C$5)&amp;"",""),Office_Log!$A$2:$A$201,0))&amp;"",IFERROR(INDEX(Clay_Offices!$A$2:$FZ$601,572,Sync!$C$5)&amp;"","")&amp;""))</f>
        <v/>
      </c>
      <c r="E2823" s="23" t="str">
        <f aca="false">IF(B2823="","",IFERROR(INDEX(Clay_Offices!$A$2:$FZ$601,572,Sync!$C$6)&amp;"",""))</f>
        <v/>
      </c>
      <c r="F2823" s="23" t="str">
        <f aca="false">IF(B2823="","","outreach_sent")</f>
        <v/>
      </c>
      <c r="G2823" s="23" t="str">
        <f aca="false">IF(B2823="","","")</f>
        <v/>
      </c>
      <c r="H2823" s="23" t="str">
        <f aca="false">IF(B2823="","","")</f>
        <v/>
      </c>
      <c r="I2823" s="23" t="str">
        <f aca="false">IF(B2823="","","")</f>
        <v/>
      </c>
      <c r="J2823" s="23" t="str">
        <f aca="false">IF(B2823="","","touch_2; "&amp;IFERROR(INDEX(Clay_Offices!$A$2:$FZ$601,572,Sync!$C$10)&amp;"","")&amp;"; "&amp;IFERROR(INDEX(Clay_Offices!$A$2:$FZ$601,572,Sync!$C$9)&amp;"",""))</f>
        <v/>
      </c>
      <c r="K2823" s="32" t="s">
        <v>1364</v>
      </c>
    </row>
    <row r="2824" customFormat="false" ht="15" hidden="false" customHeight="false" outlineLevel="0" collapsed="false">
      <c r="A2824" s="23" t="str">
        <f aca="false">IF(B2824="","",B2824+(13*1000+573)/10000000)</f>
        <v/>
      </c>
      <c r="B2824" s="35" t="str">
        <f aca="false">IF(AND(IFERROR(N(INDEX(Clay_Offices!$A$2:$FZ$601,573,Sync!$C$12)),0)&gt;0,IFERROR(INDEX(Clay_Offices!$A$2:$FZ$601,573,Sync!$C$5)&amp;"","")&lt;&gt;"",OR(LEFT(IFERROR(INDEX(Clay_Offices!$A$2:$FZ$601,573,Sync!$C$5)&amp;"",""),6)&lt;&gt;"SAMPLE",Config!$B$19="Y")),IFERROR(N(INDEX(Clay_Offices!$A$2:$FZ$601,573,Sync!$C$12)),0),"")</f>
        <v/>
      </c>
      <c r="C2824" s="23" t="str">
        <f aca="false">IF(B2824="","","office")</f>
        <v/>
      </c>
      <c r="D2824" s="23" t="str">
        <f aca="false">IF(B2824="","",IFERROR(INDEX(Office_Log!$ED$2:$ED$201,MATCH(IFERROR(INDEX(Clay_Offices!$A$2:$FZ$601,573,Sync!$C$5)&amp;"",""),Office_Log!$A$2:$A$201,0))&amp;"",IFERROR(INDEX(Clay_Offices!$A$2:$FZ$601,573,Sync!$C$5)&amp;"","")&amp;""))</f>
        <v/>
      </c>
      <c r="E2824" s="23" t="str">
        <f aca="false">IF(B2824="","",IFERROR(INDEX(Clay_Offices!$A$2:$FZ$601,573,Sync!$C$6)&amp;"",""))</f>
        <v/>
      </c>
      <c r="F2824" s="23" t="str">
        <f aca="false">IF(B2824="","","outreach_sent")</f>
        <v/>
      </c>
      <c r="G2824" s="23" t="str">
        <f aca="false">IF(B2824="","","")</f>
        <v/>
      </c>
      <c r="H2824" s="23" t="str">
        <f aca="false">IF(B2824="","","")</f>
        <v/>
      </c>
      <c r="I2824" s="23" t="str">
        <f aca="false">IF(B2824="","","")</f>
        <v/>
      </c>
      <c r="J2824" s="23" t="str">
        <f aca="false">IF(B2824="","","touch_2; "&amp;IFERROR(INDEX(Clay_Offices!$A$2:$FZ$601,573,Sync!$C$10)&amp;"","")&amp;"; "&amp;IFERROR(INDEX(Clay_Offices!$A$2:$FZ$601,573,Sync!$C$9)&amp;"",""))</f>
        <v/>
      </c>
      <c r="K2824" s="32" t="s">
        <v>1364</v>
      </c>
    </row>
    <row r="2825" customFormat="false" ht="15" hidden="false" customHeight="false" outlineLevel="0" collapsed="false">
      <c r="A2825" s="23" t="str">
        <f aca="false">IF(B2825="","",B2825+(13*1000+574)/10000000)</f>
        <v/>
      </c>
      <c r="B2825" s="35" t="str">
        <f aca="false">IF(AND(IFERROR(N(INDEX(Clay_Offices!$A$2:$FZ$601,574,Sync!$C$12)),0)&gt;0,IFERROR(INDEX(Clay_Offices!$A$2:$FZ$601,574,Sync!$C$5)&amp;"","")&lt;&gt;"",OR(LEFT(IFERROR(INDEX(Clay_Offices!$A$2:$FZ$601,574,Sync!$C$5)&amp;"",""),6)&lt;&gt;"SAMPLE",Config!$B$19="Y")),IFERROR(N(INDEX(Clay_Offices!$A$2:$FZ$601,574,Sync!$C$12)),0),"")</f>
        <v/>
      </c>
      <c r="C2825" s="23" t="str">
        <f aca="false">IF(B2825="","","office")</f>
        <v/>
      </c>
      <c r="D2825" s="23" t="str">
        <f aca="false">IF(B2825="","",IFERROR(INDEX(Office_Log!$ED$2:$ED$201,MATCH(IFERROR(INDEX(Clay_Offices!$A$2:$FZ$601,574,Sync!$C$5)&amp;"",""),Office_Log!$A$2:$A$201,0))&amp;"",IFERROR(INDEX(Clay_Offices!$A$2:$FZ$601,574,Sync!$C$5)&amp;"","")&amp;""))</f>
        <v/>
      </c>
      <c r="E2825" s="23" t="str">
        <f aca="false">IF(B2825="","",IFERROR(INDEX(Clay_Offices!$A$2:$FZ$601,574,Sync!$C$6)&amp;"",""))</f>
        <v/>
      </c>
      <c r="F2825" s="23" t="str">
        <f aca="false">IF(B2825="","","outreach_sent")</f>
        <v/>
      </c>
      <c r="G2825" s="23" t="str">
        <f aca="false">IF(B2825="","","")</f>
        <v/>
      </c>
      <c r="H2825" s="23" t="str">
        <f aca="false">IF(B2825="","","")</f>
        <v/>
      </c>
      <c r="I2825" s="23" t="str">
        <f aca="false">IF(B2825="","","")</f>
        <v/>
      </c>
      <c r="J2825" s="23" t="str">
        <f aca="false">IF(B2825="","","touch_2; "&amp;IFERROR(INDEX(Clay_Offices!$A$2:$FZ$601,574,Sync!$C$10)&amp;"","")&amp;"; "&amp;IFERROR(INDEX(Clay_Offices!$A$2:$FZ$601,574,Sync!$C$9)&amp;"",""))</f>
        <v/>
      </c>
      <c r="K2825" s="32" t="s">
        <v>1364</v>
      </c>
    </row>
    <row r="2826" customFormat="false" ht="15" hidden="false" customHeight="false" outlineLevel="0" collapsed="false">
      <c r="A2826" s="23" t="str">
        <f aca="false">IF(B2826="","",B2826+(13*1000+575)/10000000)</f>
        <v/>
      </c>
      <c r="B2826" s="35" t="str">
        <f aca="false">IF(AND(IFERROR(N(INDEX(Clay_Offices!$A$2:$FZ$601,575,Sync!$C$12)),0)&gt;0,IFERROR(INDEX(Clay_Offices!$A$2:$FZ$601,575,Sync!$C$5)&amp;"","")&lt;&gt;"",OR(LEFT(IFERROR(INDEX(Clay_Offices!$A$2:$FZ$601,575,Sync!$C$5)&amp;"",""),6)&lt;&gt;"SAMPLE",Config!$B$19="Y")),IFERROR(N(INDEX(Clay_Offices!$A$2:$FZ$601,575,Sync!$C$12)),0),"")</f>
        <v/>
      </c>
      <c r="C2826" s="23" t="str">
        <f aca="false">IF(B2826="","","office")</f>
        <v/>
      </c>
      <c r="D2826" s="23" t="str">
        <f aca="false">IF(B2826="","",IFERROR(INDEX(Office_Log!$ED$2:$ED$201,MATCH(IFERROR(INDEX(Clay_Offices!$A$2:$FZ$601,575,Sync!$C$5)&amp;"",""),Office_Log!$A$2:$A$201,0))&amp;"",IFERROR(INDEX(Clay_Offices!$A$2:$FZ$601,575,Sync!$C$5)&amp;"","")&amp;""))</f>
        <v/>
      </c>
      <c r="E2826" s="23" t="str">
        <f aca="false">IF(B2826="","",IFERROR(INDEX(Clay_Offices!$A$2:$FZ$601,575,Sync!$C$6)&amp;"",""))</f>
        <v/>
      </c>
      <c r="F2826" s="23" t="str">
        <f aca="false">IF(B2826="","","outreach_sent")</f>
        <v/>
      </c>
      <c r="G2826" s="23" t="str">
        <f aca="false">IF(B2826="","","")</f>
        <v/>
      </c>
      <c r="H2826" s="23" t="str">
        <f aca="false">IF(B2826="","","")</f>
        <v/>
      </c>
      <c r="I2826" s="23" t="str">
        <f aca="false">IF(B2826="","","")</f>
        <v/>
      </c>
      <c r="J2826" s="23" t="str">
        <f aca="false">IF(B2826="","","touch_2; "&amp;IFERROR(INDEX(Clay_Offices!$A$2:$FZ$601,575,Sync!$C$10)&amp;"","")&amp;"; "&amp;IFERROR(INDEX(Clay_Offices!$A$2:$FZ$601,575,Sync!$C$9)&amp;"",""))</f>
        <v/>
      </c>
      <c r="K2826" s="32" t="s">
        <v>1364</v>
      </c>
    </row>
    <row r="2827" customFormat="false" ht="15" hidden="false" customHeight="false" outlineLevel="0" collapsed="false">
      <c r="A2827" s="23" t="str">
        <f aca="false">IF(B2827="","",B2827+(13*1000+576)/10000000)</f>
        <v/>
      </c>
      <c r="B2827" s="35" t="str">
        <f aca="false">IF(AND(IFERROR(N(INDEX(Clay_Offices!$A$2:$FZ$601,576,Sync!$C$12)),0)&gt;0,IFERROR(INDEX(Clay_Offices!$A$2:$FZ$601,576,Sync!$C$5)&amp;"","")&lt;&gt;"",OR(LEFT(IFERROR(INDEX(Clay_Offices!$A$2:$FZ$601,576,Sync!$C$5)&amp;"",""),6)&lt;&gt;"SAMPLE",Config!$B$19="Y")),IFERROR(N(INDEX(Clay_Offices!$A$2:$FZ$601,576,Sync!$C$12)),0),"")</f>
        <v/>
      </c>
      <c r="C2827" s="23" t="str">
        <f aca="false">IF(B2827="","","office")</f>
        <v/>
      </c>
      <c r="D2827" s="23" t="str">
        <f aca="false">IF(B2827="","",IFERROR(INDEX(Office_Log!$ED$2:$ED$201,MATCH(IFERROR(INDEX(Clay_Offices!$A$2:$FZ$601,576,Sync!$C$5)&amp;"",""),Office_Log!$A$2:$A$201,0))&amp;"",IFERROR(INDEX(Clay_Offices!$A$2:$FZ$601,576,Sync!$C$5)&amp;"","")&amp;""))</f>
        <v/>
      </c>
      <c r="E2827" s="23" t="str">
        <f aca="false">IF(B2827="","",IFERROR(INDEX(Clay_Offices!$A$2:$FZ$601,576,Sync!$C$6)&amp;"",""))</f>
        <v/>
      </c>
      <c r="F2827" s="23" t="str">
        <f aca="false">IF(B2827="","","outreach_sent")</f>
        <v/>
      </c>
      <c r="G2827" s="23" t="str">
        <f aca="false">IF(B2827="","","")</f>
        <v/>
      </c>
      <c r="H2827" s="23" t="str">
        <f aca="false">IF(B2827="","","")</f>
        <v/>
      </c>
      <c r="I2827" s="23" t="str">
        <f aca="false">IF(B2827="","","")</f>
        <v/>
      </c>
      <c r="J2827" s="23" t="str">
        <f aca="false">IF(B2827="","","touch_2; "&amp;IFERROR(INDEX(Clay_Offices!$A$2:$FZ$601,576,Sync!$C$10)&amp;"","")&amp;"; "&amp;IFERROR(INDEX(Clay_Offices!$A$2:$FZ$601,576,Sync!$C$9)&amp;"",""))</f>
        <v/>
      </c>
      <c r="K2827" s="32" t="s">
        <v>1364</v>
      </c>
    </row>
    <row r="2828" customFormat="false" ht="15" hidden="false" customHeight="false" outlineLevel="0" collapsed="false">
      <c r="A2828" s="23" t="str">
        <f aca="false">IF(B2828="","",B2828+(13*1000+577)/10000000)</f>
        <v/>
      </c>
      <c r="B2828" s="35" t="str">
        <f aca="false">IF(AND(IFERROR(N(INDEX(Clay_Offices!$A$2:$FZ$601,577,Sync!$C$12)),0)&gt;0,IFERROR(INDEX(Clay_Offices!$A$2:$FZ$601,577,Sync!$C$5)&amp;"","")&lt;&gt;"",OR(LEFT(IFERROR(INDEX(Clay_Offices!$A$2:$FZ$601,577,Sync!$C$5)&amp;"",""),6)&lt;&gt;"SAMPLE",Config!$B$19="Y")),IFERROR(N(INDEX(Clay_Offices!$A$2:$FZ$601,577,Sync!$C$12)),0),"")</f>
        <v/>
      </c>
      <c r="C2828" s="23" t="str">
        <f aca="false">IF(B2828="","","office")</f>
        <v/>
      </c>
      <c r="D2828" s="23" t="str">
        <f aca="false">IF(B2828="","",IFERROR(INDEX(Office_Log!$ED$2:$ED$201,MATCH(IFERROR(INDEX(Clay_Offices!$A$2:$FZ$601,577,Sync!$C$5)&amp;"",""),Office_Log!$A$2:$A$201,0))&amp;"",IFERROR(INDEX(Clay_Offices!$A$2:$FZ$601,577,Sync!$C$5)&amp;"","")&amp;""))</f>
        <v/>
      </c>
      <c r="E2828" s="23" t="str">
        <f aca="false">IF(B2828="","",IFERROR(INDEX(Clay_Offices!$A$2:$FZ$601,577,Sync!$C$6)&amp;"",""))</f>
        <v/>
      </c>
      <c r="F2828" s="23" t="str">
        <f aca="false">IF(B2828="","","outreach_sent")</f>
        <v/>
      </c>
      <c r="G2828" s="23" t="str">
        <f aca="false">IF(B2828="","","")</f>
        <v/>
      </c>
      <c r="H2828" s="23" t="str">
        <f aca="false">IF(B2828="","","")</f>
        <v/>
      </c>
      <c r="I2828" s="23" t="str">
        <f aca="false">IF(B2828="","","")</f>
        <v/>
      </c>
      <c r="J2828" s="23" t="str">
        <f aca="false">IF(B2828="","","touch_2; "&amp;IFERROR(INDEX(Clay_Offices!$A$2:$FZ$601,577,Sync!$C$10)&amp;"","")&amp;"; "&amp;IFERROR(INDEX(Clay_Offices!$A$2:$FZ$601,577,Sync!$C$9)&amp;"",""))</f>
        <v/>
      </c>
      <c r="K2828" s="32" t="s">
        <v>1364</v>
      </c>
    </row>
    <row r="2829" customFormat="false" ht="15" hidden="false" customHeight="false" outlineLevel="0" collapsed="false">
      <c r="A2829" s="23" t="str">
        <f aca="false">IF(B2829="","",B2829+(13*1000+578)/10000000)</f>
        <v/>
      </c>
      <c r="B2829" s="35" t="str">
        <f aca="false">IF(AND(IFERROR(N(INDEX(Clay_Offices!$A$2:$FZ$601,578,Sync!$C$12)),0)&gt;0,IFERROR(INDEX(Clay_Offices!$A$2:$FZ$601,578,Sync!$C$5)&amp;"","")&lt;&gt;"",OR(LEFT(IFERROR(INDEX(Clay_Offices!$A$2:$FZ$601,578,Sync!$C$5)&amp;"",""),6)&lt;&gt;"SAMPLE",Config!$B$19="Y")),IFERROR(N(INDEX(Clay_Offices!$A$2:$FZ$601,578,Sync!$C$12)),0),"")</f>
        <v/>
      </c>
      <c r="C2829" s="23" t="str">
        <f aca="false">IF(B2829="","","office")</f>
        <v/>
      </c>
      <c r="D2829" s="23" t="str">
        <f aca="false">IF(B2829="","",IFERROR(INDEX(Office_Log!$ED$2:$ED$201,MATCH(IFERROR(INDEX(Clay_Offices!$A$2:$FZ$601,578,Sync!$C$5)&amp;"",""),Office_Log!$A$2:$A$201,0))&amp;"",IFERROR(INDEX(Clay_Offices!$A$2:$FZ$601,578,Sync!$C$5)&amp;"","")&amp;""))</f>
        <v/>
      </c>
      <c r="E2829" s="23" t="str">
        <f aca="false">IF(B2829="","",IFERROR(INDEX(Clay_Offices!$A$2:$FZ$601,578,Sync!$C$6)&amp;"",""))</f>
        <v/>
      </c>
      <c r="F2829" s="23" t="str">
        <f aca="false">IF(B2829="","","outreach_sent")</f>
        <v/>
      </c>
      <c r="G2829" s="23" t="str">
        <f aca="false">IF(B2829="","","")</f>
        <v/>
      </c>
      <c r="H2829" s="23" t="str">
        <f aca="false">IF(B2829="","","")</f>
        <v/>
      </c>
      <c r="I2829" s="23" t="str">
        <f aca="false">IF(B2829="","","")</f>
        <v/>
      </c>
      <c r="J2829" s="23" t="str">
        <f aca="false">IF(B2829="","","touch_2; "&amp;IFERROR(INDEX(Clay_Offices!$A$2:$FZ$601,578,Sync!$C$10)&amp;"","")&amp;"; "&amp;IFERROR(INDEX(Clay_Offices!$A$2:$FZ$601,578,Sync!$C$9)&amp;"",""))</f>
        <v/>
      </c>
      <c r="K2829" s="32" t="s">
        <v>1364</v>
      </c>
    </row>
    <row r="2830" customFormat="false" ht="15" hidden="false" customHeight="false" outlineLevel="0" collapsed="false">
      <c r="A2830" s="23" t="str">
        <f aca="false">IF(B2830="","",B2830+(13*1000+579)/10000000)</f>
        <v/>
      </c>
      <c r="B2830" s="35" t="str">
        <f aca="false">IF(AND(IFERROR(N(INDEX(Clay_Offices!$A$2:$FZ$601,579,Sync!$C$12)),0)&gt;0,IFERROR(INDEX(Clay_Offices!$A$2:$FZ$601,579,Sync!$C$5)&amp;"","")&lt;&gt;"",OR(LEFT(IFERROR(INDEX(Clay_Offices!$A$2:$FZ$601,579,Sync!$C$5)&amp;"",""),6)&lt;&gt;"SAMPLE",Config!$B$19="Y")),IFERROR(N(INDEX(Clay_Offices!$A$2:$FZ$601,579,Sync!$C$12)),0),"")</f>
        <v/>
      </c>
      <c r="C2830" s="23" t="str">
        <f aca="false">IF(B2830="","","office")</f>
        <v/>
      </c>
      <c r="D2830" s="23" t="str">
        <f aca="false">IF(B2830="","",IFERROR(INDEX(Office_Log!$ED$2:$ED$201,MATCH(IFERROR(INDEX(Clay_Offices!$A$2:$FZ$601,579,Sync!$C$5)&amp;"",""),Office_Log!$A$2:$A$201,0))&amp;"",IFERROR(INDEX(Clay_Offices!$A$2:$FZ$601,579,Sync!$C$5)&amp;"","")&amp;""))</f>
        <v/>
      </c>
      <c r="E2830" s="23" t="str">
        <f aca="false">IF(B2830="","",IFERROR(INDEX(Clay_Offices!$A$2:$FZ$601,579,Sync!$C$6)&amp;"",""))</f>
        <v/>
      </c>
      <c r="F2830" s="23" t="str">
        <f aca="false">IF(B2830="","","outreach_sent")</f>
        <v/>
      </c>
      <c r="G2830" s="23" t="str">
        <f aca="false">IF(B2830="","","")</f>
        <v/>
      </c>
      <c r="H2830" s="23" t="str">
        <f aca="false">IF(B2830="","","")</f>
        <v/>
      </c>
      <c r="I2830" s="23" t="str">
        <f aca="false">IF(B2830="","","")</f>
        <v/>
      </c>
      <c r="J2830" s="23" t="str">
        <f aca="false">IF(B2830="","","touch_2; "&amp;IFERROR(INDEX(Clay_Offices!$A$2:$FZ$601,579,Sync!$C$10)&amp;"","")&amp;"; "&amp;IFERROR(INDEX(Clay_Offices!$A$2:$FZ$601,579,Sync!$C$9)&amp;"",""))</f>
        <v/>
      </c>
      <c r="K2830" s="32" t="s">
        <v>1364</v>
      </c>
    </row>
    <row r="2831" customFormat="false" ht="15" hidden="false" customHeight="false" outlineLevel="0" collapsed="false">
      <c r="A2831" s="23" t="str">
        <f aca="false">IF(B2831="","",B2831+(13*1000+580)/10000000)</f>
        <v/>
      </c>
      <c r="B2831" s="35" t="str">
        <f aca="false">IF(AND(IFERROR(N(INDEX(Clay_Offices!$A$2:$FZ$601,580,Sync!$C$12)),0)&gt;0,IFERROR(INDEX(Clay_Offices!$A$2:$FZ$601,580,Sync!$C$5)&amp;"","")&lt;&gt;"",OR(LEFT(IFERROR(INDEX(Clay_Offices!$A$2:$FZ$601,580,Sync!$C$5)&amp;"",""),6)&lt;&gt;"SAMPLE",Config!$B$19="Y")),IFERROR(N(INDEX(Clay_Offices!$A$2:$FZ$601,580,Sync!$C$12)),0),"")</f>
        <v/>
      </c>
      <c r="C2831" s="23" t="str">
        <f aca="false">IF(B2831="","","office")</f>
        <v/>
      </c>
      <c r="D2831" s="23" t="str">
        <f aca="false">IF(B2831="","",IFERROR(INDEX(Office_Log!$ED$2:$ED$201,MATCH(IFERROR(INDEX(Clay_Offices!$A$2:$FZ$601,580,Sync!$C$5)&amp;"",""),Office_Log!$A$2:$A$201,0))&amp;"",IFERROR(INDEX(Clay_Offices!$A$2:$FZ$601,580,Sync!$C$5)&amp;"","")&amp;""))</f>
        <v/>
      </c>
      <c r="E2831" s="23" t="str">
        <f aca="false">IF(B2831="","",IFERROR(INDEX(Clay_Offices!$A$2:$FZ$601,580,Sync!$C$6)&amp;"",""))</f>
        <v/>
      </c>
      <c r="F2831" s="23" t="str">
        <f aca="false">IF(B2831="","","outreach_sent")</f>
        <v/>
      </c>
      <c r="G2831" s="23" t="str">
        <f aca="false">IF(B2831="","","")</f>
        <v/>
      </c>
      <c r="H2831" s="23" t="str">
        <f aca="false">IF(B2831="","","")</f>
        <v/>
      </c>
      <c r="I2831" s="23" t="str">
        <f aca="false">IF(B2831="","","")</f>
        <v/>
      </c>
      <c r="J2831" s="23" t="str">
        <f aca="false">IF(B2831="","","touch_2; "&amp;IFERROR(INDEX(Clay_Offices!$A$2:$FZ$601,580,Sync!$C$10)&amp;"","")&amp;"; "&amp;IFERROR(INDEX(Clay_Offices!$A$2:$FZ$601,580,Sync!$C$9)&amp;"",""))</f>
        <v/>
      </c>
      <c r="K2831" s="32" t="s">
        <v>1364</v>
      </c>
    </row>
    <row r="2832" customFormat="false" ht="15" hidden="false" customHeight="false" outlineLevel="0" collapsed="false">
      <c r="A2832" s="23" t="str">
        <f aca="false">IF(B2832="","",B2832+(13*1000+581)/10000000)</f>
        <v/>
      </c>
      <c r="B2832" s="35" t="str">
        <f aca="false">IF(AND(IFERROR(N(INDEX(Clay_Offices!$A$2:$FZ$601,581,Sync!$C$12)),0)&gt;0,IFERROR(INDEX(Clay_Offices!$A$2:$FZ$601,581,Sync!$C$5)&amp;"","")&lt;&gt;"",OR(LEFT(IFERROR(INDEX(Clay_Offices!$A$2:$FZ$601,581,Sync!$C$5)&amp;"",""),6)&lt;&gt;"SAMPLE",Config!$B$19="Y")),IFERROR(N(INDEX(Clay_Offices!$A$2:$FZ$601,581,Sync!$C$12)),0),"")</f>
        <v/>
      </c>
      <c r="C2832" s="23" t="str">
        <f aca="false">IF(B2832="","","office")</f>
        <v/>
      </c>
      <c r="D2832" s="23" t="str">
        <f aca="false">IF(B2832="","",IFERROR(INDEX(Office_Log!$ED$2:$ED$201,MATCH(IFERROR(INDEX(Clay_Offices!$A$2:$FZ$601,581,Sync!$C$5)&amp;"",""),Office_Log!$A$2:$A$201,0))&amp;"",IFERROR(INDEX(Clay_Offices!$A$2:$FZ$601,581,Sync!$C$5)&amp;"","")&amp;""))</f>
        <v/>
      </c>
      <c r="E2832" s="23" t="str">
        <f aca="false">IF(B2832="","",IFERROR(INDEX(Clay_Offices!$A$2:$FZ$601,581,Sync!$C$6)&amp;"",""))</f>
        <v/>
      </c>
      <c r="F2832" s="23" t="str">
        <f aca="false">IF(B2832="","","outreach_sent")</f>
        <v/>
      </c>
      <c r="G2832" s="23" t="str">
        <f aca="false">IF(B2832="","","")</f>
        <v/>
      </c>
      <c r="H2832" s="23" t="str">
        <f aca="false">IF(B2832="","","")</f>
        <v/>
      </c>
      <c r="I2832" s="23" t="str">
        <f aca="false">IF(B2832="","","")</f>
        <v/>
      </c>
      <c r="J2832" s="23" t="str">
        <f aca="false">IF(B2832="","","touch_2; "&amp;IFERROR(INDEX(Clay_Offices!$A$2:$FZ$601,581,Sync!$C$10)&amp;"","")&amp;"; "&amp;IFERROR(INDEX(Clay_Offices!$A$2:$FZ$601,581,Sync!$C$9)&amp;"",""))</f>
        <v/>
      </c>
      <c r="K2832" s="32" t="s">
        <v>1364</v>
      </c>
    </row>
    <row r="2833" customFormat="false" ht="15" hidden="false" customHeight="false" outlineLevel="0" collapsed="false">
      <c r="A2833" s="23" t="str">
        <f aca="false">IF(B2833="","",B2833+(13*1000+582)/10000000)</f>
        <v/>
      </c>
      <c r="B2833" s="35" t="str">
        <f aca="false">IF(AND(IFERROR(N(INDEX(Clay_Offices!$A$2:$FZ$601,582,Sync!$C$12)),0)&gt;0,IFERROR(INDEX(Clay_Offices!$A$2:$FZ$601,582,Sync!$C$5)&amp;"","")&lt;&gt;"",OR(LEFT(IFERROR(INDEX(Clay_Offices!$A$2:$FZ$601,582,Sync!$C$5)&amp;"",""),6)&lt;&gt;"SAMPLE",Config!$B$19="Y")),IFERROR(N(INDEX(Clay_Offices!$A$2:$FZ$601,582,Sync!$C$12)),0),"")</f>
        <v/>
      </c>
      <c r="C2833" s="23" t="str">
        <f aca="false">IF(B2833="","","office")</f>
        <v/>
      </c>
      <c r="D2833" s="23" t="str">
        <f aca="false">IF(B2833="","",IFERROR(INDEX(Office_Log!$ED$2:$ED$201,MATCH(IFERROR(INDEX(Clay_Offices!$A$2:$FZ$601,582,Sync!$C$5)&amp;"",""),Office_Log!$A$2:$A$201,0))&amp;"",IFERROR(INDEX(Clay_Offices!$A$2:$FZ$601,582,Sync!$C$5)&amp;"","")&amp;""))</f>
        <v/>
      </c>
      <c r="E2833" s="23" t="str">
        <f aca="false">IF(B2833="","",IFERROR(INDEX(Clay_Offices!$A$2:$FZ$601,582,Sync!$C$6)&amp;"",""))</f>
        <v/>
      </c>
      <c r="F2833" s="23" t="str">
        <f aca="false">IF(B2833="","","outreach_sent")</f>
        <v/>
      </c>
      <c r="G2833" s="23" t="str">
        <f aca="false">IF(B2833="","","")</f>
        <v/>
      </c>
      <c r="H2833" s="23" t="str">
        <f aca="false">IF(B2833="","","")</f>
        <v/>
      </c>
      <c r="I2833" s="23" t="str">
        <f aca="false">IF(B2833="","","")</f>
        <v/>
      </c>
      <c r="J2833" s="23" t="str">
        <f aca="false">IF(B2833="","","touch_2; "&amp;IFERROR(INDEX(Clay_Offices!$A$2:$FZ$601,582,Sync!$C$10)&amp;"","")&amp;"; "&amp;IFERROR(INDEX(Clay_Offices!$A$2:$FZ$601,582,Sync!$C$9)&amp;"",""))</f>
        <v/>
      </c>
      <c r="K2833" s="32" t="s">
        <v>1364</v>
      </c>
    </row>
    <row r="2834" customFormat="false" ht="15" hidden="false" customHeight="false" outlineLevel="0" collapsed="false">
      <c r="A2834" s="23" t="str">
        <f aca="false">IF(B2834="","",B2834+(13*1000+583)/10000000)</f>
        <v/>
      </c>
      <c r="B2834" s="35" t="str">
        <f aca="false">IF(AND(IFERROR(N(INDEX(Clay_Offices!$A$2:$FZ$601,583,Sync!$C$12)),0)&gt;0,IFERROR(INDEX(Clay_Offices!$A$2:$FZ$601,583,Sync!$C$5)&amp;"","")&lt;&gt;"",OR(LEFT(IFERROR(INDEX(Clay_Offices!$A$2:$FZ$601,583,Sync!$C$5)&amp;"",""),6)&lt;&gt;"SAMPLE",Config!$B$19="Y")),IFERROR(N(INDEX(Clay_Offices!$A$2:$FZ$601,583,Sync!$C$12)),0),"")</f>
        <v/>
      </c>
      <c r="C2834" s="23" t="str">
        <f aca="false">IF(B2834="","","office")</f>
        <v/>
      </c>
      <c r="D2834" s="23" t="str">
        <f aca="false">IF(B2834="","",IFERROR(INDEX(Office_Log!$ED$2:$ED$201,MATCH(IFERROR(INDEX(Clay_Offices!$A$2:$FZ$601,583,Sync!$C$5)&amp;"",""),Office_Log!$A$2:$A$201,0))&amp;"",IFERROR(INDEX(Clay_Offices!$A$2:$FZ$601,583,Sync!$C$5)&amp;"","")&amp;""))</f>
        <v/>
      </c>
      <c r="E2834" s="23" t="str">
        <f aca="false">IF(B2834="","",IFERROR(INDEX(Clay_Offices!$A$2:$FZ$601,583,Sync!$C$6)&amp;"",""))</f>
        <v/>
      </c>
      <c r="F2834" s="23" t="str">
        <f aca="false">IF(B2834="","","outreach_sent")</f>
        <v/>
      </c>
      <c r="G2834" s="23" t="str">
        <f aca="false">IF(B2834="","","")</f>
        <v/>
      </c>
      <c r="H2834" s="23" t="str">
        <f aca="false">IF(B2834="","","")</f>
        <v/>
      </c>
      <c r="I2834" s="23" t="str">
        <f aca="false">IF(B2834="","","")</f>
        <v/>
      </c>
      <c r="J2834" s="23" t="str">
        <f aca="false">IF(B2834="","","touch_2; "&amp;IFERROR(INDEX(Clay_Offices!$A$2:$FZ$601,583,Sync!$C$10)&amp;"","")&amp;"; "&amp;IFERROR(INDEX(Clay_Offices!$A$2:$FZ$601,583,Sync!$C$9)&amp;"",""))</f>
        <v/>
      </c>
      <c r="K2834" s="32" t="s">
        <v>1364</v>
      </c>
    </row>
    <row r="2835" customFormat="false" ht="15" hidden="false" customHeight="false" outlineLevel="0" collapsed="false">
      <c r="A2835" s="23" t="str">
        <f aca="false">IF(B2835="","",B2835+(13*1000+584)/10000000)</f>
        <v/>
      </c>
      <c r="B2835" s="35" t="str">
        <f aca="false">IF(AND(IFERROR(N(INDEX(Clay_Offices!$A$2:$FZ$601,584,Sync!$C$12)),0)&gt;0,IFERROR(INDEX(Clay_Offices!$A$2:$FZ$601,584,Sync!$C$5)&amp;"","")&lt;&gt;"",OR(LEFT(IFERROR(INDEX(Clay_Offices!$A$2:$FZ$601,584,Sync!$C$5)&amp;"",""),6)&lt;&gt;"SAMPLE",Config!$B$19="Y")),IFERROR(N(INDEX(Clay_Offices!$A$2:$FZ$601,584,Sync!$C$12)),0),"")</f>
        <v/>
      </c>
      <c r="C2835" s="23" t="str">
        <f aca="false">IF(B2835="","","office")</f>
        <v/>
      </c>
      <c r="D2835" s="23" t="str">
        <f aca="false">IF(B2835="","",IFERROR(INDEX(Office_Log!$ED$2:$ED$201,MATCH(IFERROR(INDEX(Clay_Offices!$A$2:$FZ$601,584,Sync!$C$5)&amp;"",""),Office_Log!$A$2:$A$201,0))&amp;"",IFERROR(INDEX(Clay_Offices!$A$2:$FZ$601,584,Sync!$C$5)&amp;"","")&amp;""))</f>
        <v/>
      </c>
      <c r="E2835" s="23" t="str">
        <f aca="false">IF(B2835="","",IFERROR(INDEX(Clay_Offices!$A$2:$FZ$601,584,Sync!$C$6)&amp;"",""))</f>
        <v/>
      </c>
      <c r="F2835" s="23" t="str">
        <f aca="false">IF(B2835="","","outreach_sent")</f>
        <v/>
      </c>
      <c r="G2835" s="23" t="str">
        <f aca="false">IF(B2835="","","")</f>
        <v/>
      </c>
      <c r="H2835" s="23" t="str">
        <f aca="false">IF(B2835="","","")</f>
        <v/>
      </c>
      <c r="I2835" s="23" t="str">
        <f aca="false">IF(B2835="","","")</f>
        <v/>
      </c>
      <c r="J2835" s="23" t="str">
        <f aca="false">IF(B2835="","","touch_2; "&amp;IFERROR(INDEX(Clay_Offices!$A$2:$FZ$601,584,Sync!$C$10)&amp;"","")&amp;"; "&amp;IFERROR(INDEX(Clay_Offices!$A$2:$FZ$601,584,Sync!$C$9)&amp;"",""))</f>
        <v/>
      </c>
      <c r="K2835" s="32" t="s">
        <v>1364</v>
      </c>
    </row>
    <row r="2836" customFormat="false" ht="15" hidden="false" customHeight="false" outlineLevel="0" collapsed="false">
      <c r="A2836" s="23" t="str">
        <f aca="false">IF(B2836="","",B2836+(13*1000+585)/10000000)</f>
        <v/>
      </c>
      <c r="B2836" s="35" t="str">
        <f aca="false">IF(AND(IFERROR(N(INDEX(Clay_Offices!$A$2:$FZ$601,585,Sync!$C$12)),0)&gt;0,IFERROR(INDEX(Clay_Offices!$A$2:$FZ$601,585,Sync!$C$5)&amp;"","")&lt;&gt;"",OR(LEFT(IFERROR(INDEX(Clay_Offices!$A$2:$FZ$601,585,Sync!$C$5)&amp;"",""),6)&lt;&gt;"SAMPLE",Config!$B$19="Y")),IFERROR(N(INDEX(Clay_Offices!$A$2:$FZ$601,585,Sync!$C$12)),0),"")</f>
        <v/>
      </c>
      <c r="C2836" s="23" t="str">
        <f aca="false">IF(B2836="","","office")</f>
        <v/>
      </c>
      <c r="D2836" s="23" t="str">
        <f aca="false">IF(B2836="","",IFERROR(INDEX(Office_Log!$ED$2:$ED$201,MATCH(IFERROR(INDEX(Clay_Offices!$A$2:$FZ$601,585,Sync!$C$5)&amp;"",""),Office_Log!$A$2:$A$201,0))&amp;"",IFERROR(INDEX(Clay_Offices!$A$2:$FZ$601,585,Sync!$C$5)&amp;"","")&amp;""))</f>
        <v/>
      </c>
      <c r="E2836" s="23" t="str">
        <f aca="false">IF(B2836="","",IFERROR(INDEX(Clay_Offices!$A$2:$FZ$601,585,Sync!$C$6)&amp;"",""))</f>
        <v/>
      </c>
      <c r="F2836" s="23" t="str">
        <f aca="false">IF(B2836="","","outreach_sent")</f>
        <v/>
      </c>
      <c r="G2836" s="23" t="str">
        <f aca="false">IF(B2836="","","")</f>
        <v/>
      </c>
      <c r="H2836" s="23" t="str">
        <f aca="false">IF(B2836="","","")</f>
        <v/>
      </c>
      <c r="I2836" s="23" t="str">
        <f aca="false">IF(B2836="","","")</f>
        <v/>
      </c>
      <c r="J2836" s="23" t="str">
        <f aca="false">IF(B2836="","","touch_2; "&amp;IFERROR(INDEX(Clay_Offices!$A$2:$FZ$601,585,Sync!$C$10)&amp;"","")&amp;"; "&amp;IFERROR(INDEX(Clay_Offices!$A$2:$FZ$601,585,Sync!$C$9)&amp;"",""))</f>
        <v/>
      </c>
      <c r="K2836" s="32" t="s">
        <v>1364</v>
      </c>
    </row>
    <row r="2837" customFormat="false" ht="15" hidden="false" customHeight="false" outlineLevel="0" collapsed="false">
      <c r="A2837" s="23" t="str">
        <f aca="false">IF(B2837="","",B2837+(13*1000+586)/10000000)</f>
        <v/>
      </c>
      <c r="B2837" s="35" t="str">
        <f aca="false">IF(AND(IFERROR(N(INDEX(Clay_Offices!$A$2:$FZ$601,586,Sync!$C$12)),0)&gt;0,IFERROR(INDEX(Clay_Offices!$A$2:$FZ$601,586,Sync!$C$5)&amp;"","")&lt;&gt;"",OR(LEFT(IFERROR(INDEX(Clay_Offices!$A$2:$FZ$601,586,Sync!$C$5)&amp;"",""),6)&lt;&gt;"SAMPLE",Config!$B$19="Y")),IFERROR(N(INDEX(Clay_Offices!$A$2:$FZ$601,586,Sync!$C$12)),0),"")</f>
        <v/>
      </c>
      <c r="C2837" s="23" t="str">
        <f aca="false">IF(B2837="","","office")</f>
        <v/>
      </c>
      <c r="D2837" s="23" t="str">
        <f aca="false">IF(B2837="","",IFERROR(INDEX(Office_Log!$ED$2:$ED$201,MATCH(IFERROR(INDEX(Clay_Offices!$A$2:$FZ$601,586,Sync!$C$5)&amp;"",""),Office_Log!$A$2:$A$201,0))&amp;"",IFERROR(INDEX(Clay_Offices!$A$2:$FZ$601,586,Sync!$C$5)&amp;"","")&amp;""))</f>
        <v/>
      </c>
      <c r="E2837" s="23" t="str">
        <f aca="false">IF(B2837="","",IFERROR(INDEX(Clay_Offices!$A$2:$FZ$601,586,Sync!$C$6)&amp;"",""))</f>
        <v/>
      </c>
      <c r="F2837" s="23" t="str">
        <f aca="false">IF(B2837="","","outreach_sent")</f>
        <v/>
      </c>
      <c r="G2837" s="23" t="str">
        <f aca="false">IF(B2837="","","")</f>
        <v/>
      </c>
      <c r="H2837" s="23" t="str">
        <f aca="false">IF(B2837="","","")</f>
        <v/>
      </c>
      <c r="I2837" s="23" t="str">
        <f aca="false">IF(B2837="","","")</f>
        <v/>
      </c>
      <c r="J2837" s="23" t="str">
        <f aca="false">IF(B2837="","","touch_2; "&amp;IFERROR(INDEX(Clay_Offices!$A$2:$FZ$601,586,Sync!$C$10)&amp;"","")&amp;"; "&amp;IFERROR(INDEX(Clay_Offices!$A$2:$FZ$601,586,Sync!$C$9)&amp;"",""))</f>
        <v/>
      </c>
      <c r="K2837" s="32" t="s">
        <v>1364</v>
      </c>
    </row>
    <row r="2838" customFormat="false" ht="15" hidden="false" customHeight="false" outlineLevel="0" collapsed="false">
      <c r="A2838" s="23" t="str">
        <f aca="false">IF(B2838="","",B2838+(13*1000+587)/10000000)</f>
        <v/>
      </c>
      <c r="B2838" s="35" t="str">
        <f aca="false">IF(AND(IFERROR(N(INDEX(Clay_Offices!$A$2:$FZ$601,587,Sync!$C$12)),0)&gt;0,IFERROR(INDEX(Clay_Offices!$A$2:$FZ$601,587,Sync!$C$5)&amp;"","")&lt;&gt;"",OR(LEFT(IFERROR(INDEX(Clay_Offices!$A$2:$FZ$601,587,Sync!$C$5)&amp;"",""),6)&lt;&gt;"SAMPLE",Config!$B$19="Y")),IFERROR(N(INDEX(Clay_Offices!$A$2:$FZ$601,587,Sync!$C$12)),0),"")</f>
        <v/>
      </c>
      <c r="C2838" s="23" t="str">
        <f aca="false">IF(B2838="","","office")</f>
        <v/>
      </c>
      <c r="D2838" s="23" t="str">
        <f aca="false">IF(B2838="","",IFERROR(INDEX(Office_Log!$ED$2:$ED$201,MATCH(IFERROR(INDEX(Clay_Offices!$A$2:$FZ$601,587,Sync!$C$5)&amp;"",""),Office_Log!$A$2:$A$201,0))&amp;"",IFERROR(INDEX(Clay_Offices!$A$2:$FZ$601,587,Sync!$C$5)&amp;"","")&amp;""))</f>
        <v/>
      </c>
      <c r="E2838" s="23" t="str">
        <f aca="false">IF(B2838="","",IFERROR(INDEX(Clay_Offices!$A$2:$FZ$601,587,Sync!$C$6)&amp;"",""))</f>
        <v/>
      </c>
      <c r="F2838" s="23" t="str">
        <f aca="false">IF(B2838="","","outreach_sent")</f>
        <v/>
      </c>
      <c r="G2838" s="23" t="str">
        <f aca="false">IF(B2838="","","")</f>
        <v/>
      </c>
      <c r="H2838" s="23" t="str">
        <f aca="false">IF(B2838="","","")</f>
        <v/>
      </c>
      <c r="I2838" s="23" t="str">
        <f aca="false">IF(B2838="","","")</f>
        <v/>
      </c>
      <c r="J2838" s="23" t="str">
        <f aca="false">IF(B2838="","","touch_2; "&amp;IFERROR(INDEX(Clay_Offices!$A$2:$FZ$601,587,Sync!$C$10)&amp;"","")&amp;"; "&amp;IFERROR(INDEX(Clay_Offices!$A$2:$FZ$601,587,Sync!$C$9)&amp;"",""))</f>
        <v/>
      </c>
      <c r="K2838" s="32" t="s">
        <v>1364</v>
      </c>
    </row>
    <row r="2839" customFormat="false" ht="15" hidden="false" customHeight="false" outlineLevel="0" collapsed="false">
      <c r="A2839" s="23" t="str">
        <f aca="false">IF(B2839="","",B2839+(13*1000+588)/10000000)</f>
        <v/>
      </c>
      <c r="B2839" s="35" t="str">
        <f aca="false">IF(AND(IFERROR(N(INDEX(Clay_Offices!$A$2:$FZ$601,588,Sync!$C$12)),0)&gt;0,IFERROR(INDEX(Clay_Offices!$A$2:$FZ$601,588,Sync!$C$5)&amp;"","")&lt;&gt;"",OR(LEFT(IFERROR(INDEX(Clay_Offices!$A$2:$FZ$601,588,Sync!$C$5)&amp;"",""),6)&lt;&gt;"SAMPLE",Config!$B$19="Y")),IFERROR(N(INDEX(Clay_Offices!$A$2:$FZ$601,588,Sync!$C$12)),0),"")</f>
        <v/>
      </c>
      <c r="C2839" s="23" t="str">
        <f aca="false">IF(B2839="","","office")</f>
        <v/>
      </c>
      <c r="D2839" s="23" t="str">
        <f aca="false">IF(B2839="","",IFERROR(INDEX(Office_Log!$ED$2:$ED$201,MATCH(IFERROR(INDEX(Clay_Offices!$A$2:$FZ$601,588,Sync!$C$5)&amp;"",""),Office_Log!$A$2:$A$201,0))&amp;"",IFERROR(INDEX(Clay_Offices!$A$2:$FZ$601,588,Sync!$C$5)&amp;"","")&amp;""))</f>
        <v/>
      </c>
      <c r="E2839" s="23" t="str">
        <f aca="false">IF(B2839="","",IFERROR(INDEX(Clay_Offices!$A$2:$FZ$601,588,Sync!$C$6)&amp;"",""))</f>
        <v/>
      </c>
      <c r="F2839" s="23" t="str">
        <f aca="false">IF(B2839="","","outreach_sent")</f>
        <v/>
      </c>
      <c r="G2839" s="23" t="str">
        <f aca="false">IF(B2839="","","")</f>
        <v/>
      </c>
      <c r="H2839" s="23" t="str">
        <f aca="false">IF(B2839="","","")</f>
        <v/>
      </c>
      <c r="I2839" s="23" t="str">
        <f aca="false">IF(B2839="","","")</f>
        <v/>
      </c>
      <c r="J2839" s="23" t="str">
        <f aca="false">IF(B2839="","","touch_2; "&amp;IFERROR(INDEX(Clay_Offices!$A$2:$FZ$601,588,Sync!$C$10)&amp;"","")&amp;"; "&amp;IFERROR(INDEX(Clay_Offices!$A$2:$FZ$601,588,Sync!$C$9)&amp;"",""))</f>
        <v/>
      </c>
      <c r="K2839" s="32" t="s">
        <v>1364</v>
      </c>
    </row>
    <row r="2840" customFormat="false" ht="15" hidden="false" customHeight="false" outlineLevel="0" collapsed="false">
      <c r="A2840" s="23" t="str">
        <f aca="false">IF(B2840="","",B2840+(13*1000+589)/10000000)</f>
        <v/>
      </c>
      <c r="B2840" s="35" t="str">
        <f aca="false">IF(AND(IFERROR(N(INDEX(Clay_Offices!$A$2:$FZ$601,589,Sync!$C$12)),0)&gt;0,IFERROR(INDEX(Clay_Offices!$A$2:$FZ$601,589,Sync!$C$5)&amp;"","")&lt;&gt;"",OR(LEFT(IFERROR(INDEX(Clay_Offices!$A$2:$FZ$601,589,Sync!$C$5)&amp;"",""),6)&lt;&gt;"SAMPLE",Config!$B$19="Y")),IFERROR(N(INDEX(Clay_Offices!$A$2:$FZ$601,589,Sync!$C$12)),0),"")</f>
        <v/>
      </c>
      <c r="C2840" s="23" t="str">
        <f aca="false">IF(B2840="","","office")</f>
        <v/>
      </c>
      <c r="D2840" s="23" t="str">
        <f aca="false">IF(B2840="","",IFERROR(INDEX(Office_Log!$ED$2:$ED$201,MATCH(IFERROR(INDEX(Clay_Offices!$A$2:$FZ$601,589,Sync!$C$5)&amp;"",""),Office_Log!$A$2:$A$201,0))&amp;"",IFERROR(INDEX(Clay_Offices!$A$2:$FZ$601,589,Sync!$C$5)&amp;"","")&amp;""))</f>
        <v/>
      </c>
      <c r="E2840" s="23" t="str">
        <f aca="false">IF(B2840="","",IFERROR(INDEX(Clay_Offices!$A$2:$FZ$601,589,Sync!$C$6)&amp;"",""))</f>
        <v/>
      </c>
      <c r="F2840" s="23" t="str">
        <f aca="false">IF(B2840="","","outreach_sent")</f>
        <v/>
      </c>
      <c r="G2840" s="23" t="str">
        <f aca="false">IF(B2840="","","")</f>
        <v/>
      </c>
      <c r="H2840" s="23" t="str">
        <f aca="false">IF(B2840="","","")</f>
        <v/>
      </c>
      <c r="I2840" s="23" t="str">
        <f aca="false">IF(B2840="","","")</f>
        <v/>
      </c>
      <c r="J2840" s="23" t="str">
        <f aca="false">IF(B2840="","","touch_2; "&amp;IFERROR(INDEX(Clay_Offices!$A$2:$FZ$601,589,Sync!$C$10)&amp;"","")&amp;"; "&amp;IFERROR(INDEX(Clay_Offices!$A$2:$FZ$601,589,Sync!$C$9)&amp;"",""))</f>
        <v/>
      </c>
      <c r="K2840" s="32" t="s">
        <v>1364</v>
      </c>
    </row>
    <row r="2841" customFormat="false" ht="15" hidden="false" customHeight="false" outlineLevel="0" collapsed="false">
      <c r="A2841" s="23" t="str">
        <f aca="false">IF(B2841="","",B2841+(13*1000+590)/10000000)</f>
        <v/>
      </c>
      <c r="B2841" s="35" t="str">
        <f aca="false">IF(AND(IFERROR(N(INDEX(Clay_Offices!$A$2:$FZ$601,590,Sync!$C$12)),0)&gt;0,IFERROR(INDEX(Clay_Offices!$A$2:$FZ$601,590,Sync!$C$5)&amp;"","")&lt;&gt;"",OR(LEFT(IFERROR(INDEX(Clay_Offices!$A$2:$FZ$601,590,Sync!$C$5)&amp;"",""),6)&lt;&gt;"SAMPLE",Config!$B$19="Y")),IFERROR(N(INDEX(Clay_Offices!$A$2:$FZ$601,590,Sync!$C$12)),0),"")</f>
        <v/>
      </c>
      <c r="C2841" s="23" t="str">
        <f aca="false">IF(B2841="","","office")</f>
        <v/>
      </c>
      <c r="D2841" s="23" t="str">
        <f aca="false">IF(B2841="","",IFERROR(INDEX(Office_Log!$ED$2:$ED$201,MATCH(IFERROR(INDEX(Clay_Offices!$A$2:$FZ$601,590,Sync!$C$5)&amp;"",""),Office_Log!$A$2:$A$201,0))&amp;"",IFERROR(INDEX(Clay_Offices!$A$2:$FZ$601,590,Sync!$C$5)&amp;"","")&amp;""))</f>
        <v/>
      </c>
      <c r="E2841" s="23" t="str">
        <f aca="false">IF(B2841="","",IFERROR(INDEX(Clay_Offices!$A$2:$FZ$601,590,Sync!$C$6)&amp;"",""))</f>
        <v/>
      </c>
      <c r="F2841" s="23" t="str">
        <f aca="false">IF(B2841="","","outreach_sent")</f>
        <v/>
      </c>
      <c r="G2841" s="23" t="str">
        <f aca="false">IF(B2841="","","")</f>
        <v/>
      </c>
      <c r="H2841" s="23" t="str">
        <f aca="false">IF(B2841="","","")</f>
        <v/>
      </c>
      <c r="I2841" s="23" t="str">
        <f aca="false">IF(B2841="","","")</f>
        <v/>
      </c>
      <c r="J2841" s="23" t="str">
        <f aca="false">IF(B2841="","","touch_2; "&amp;IFERROR(INDEX(Clay_Offices!$A$2:$FZ$601,590,Sync!$C$10)&amp;"","")&amp;"; "&amp;IFERROR(INDEX(Clay_Offices!$A$2:$FZ$601,590,Sync!$C$9)&amp;"",""))</f>
        <v/>
      </c>
      <c r="K2841" s="32" t="s">
        <v>1364</v>
      </c>
    </row>
    <row r="2842" customFormat="false" ht="15" hidden="false" customHeight="false" outlineLevel="0" collapsed="false">
      <c r="A2842" s="23" t="str">
        <f aca="false">IF(B2842="","",B2842+(13*1000+591)/10000000)</f>
        <v/>
      </c>
      <c r="B2842" s="35" t="str">
        <f aca="false">IF(AND(IFERROR(N(INDEX(Clay_Offices!$A$2:$FZ$601,591,Sync!$C$12)),0)&gt;0,IFERROR(INDEX(Clay_Offices!$A$2:$FZ$601,591,Sync!$C$5)&amp;"","")&lt;&gt;"",OR(LEFT(IFERROR(INDEX(Clay_Offices!$A$2:$FZ$601,591,Sync!$C$5)&amp;"",""),6)&lt;&gt;"SAMPLE",Config!$B$19="Y")),IFERROR(N(INDEX(Clay_Offices!$A$2:$FZ$601,591,Sync!$C$12)),0),"")</f>
        <v/>
      </c>
      <c r="C2842" s="23" t="str">
        <f aca="false">IF(B2842="","","office")</f>
        <v/>
      </c>
      <c r="D2842" s="23" t="str">
        <f aca="false">IF(B2842="","",IFERROR(INDEX(Office_Log!$ED$2:$ED$201,MATCH(IFERROR(INDEX(Clay_Offices!$A$2:$FZ$601,591,Sync!$C$5)&amp;"",""),Office_Log!$A$2:$A$201,0))&amp;"",IFERROR(INDEX(Clay_Offices!$A$2:$FZ$601,591,Sync!$C$5)&amp;"","")&amp;""))</f>
        <v/>
      </c>
      <c r="E2842" s="23" t="str">
        <f aca="false">IF(B2842="","",IFERROR(INDEX(Clay_Offices!$A$2:$FZ$601,591,Sync!$C$6)&amp;"",""))</f>
        <v/>
      </c>
      <c r="F2842" s="23" t="str">
        <f aca="false">IF(B2842="","","outreach_sent")</f>
        <v/>
      </c>
      <c r="G2842" s="23" t="str">
        <f aca="false">IF(B2842="","","")</f>
        <v/>
      </c>
      <c r="H2842" s="23" t="str">
        <f aca="false">IF(B2842="","","")</f>
        <v/>
      </c>
      <c r="I2842" s="23" t="str">
        <f aca="false">IF(B2842="","","")</f>
        <v/>
      </c>
      <c r="J2842" s="23" t="str">
        <f aca="false">IF(B2842="","","touch_2; "&amp;IFERROR(INDEX(Clay_Offices!$A$2:$FZ$601,591,Sync!$C$10)&amp;"","")&amp;"; "&amp;IFERROR(INDEX(Clay_Offices!$A$2:$FZ$601,591,Sync!$C$9)&amp;"",""))</f>
        <v/>
      </c>
      <c r="K2842" s="32" t="s">
        <v>1364</v>
      </c>
    </row>
    <row r="2843" customFormat="false" ht="15" hidden="false" customHeight="false" outlineLevel="0" collapsed="false">
      <c r="A2843" s="23" t="str">
        <f aca="false">IF(B2843="","",B2843+(13*1000+592)/10000000)</f>
        <v/>
      </c>
      <c r="B2843" s="35" t="str">
        <f aca="false">IF(AND(IFERROR(N(INDEX(Clay_Offices!$A$2:$FZ$601,592,Sync!$C$12)),0)&gt;0,IFERROR(INDEX(Clay_Offices!$A$2:$FZ$601,592,Sync!$C$5)&amp;"","")&lt;&gt;"",OR(LEFT(IFERROR(INDEX(Clay_Offices!$A$2:$FZ$601,592,Sync!$C$5)&amp;"",""),6)&lt;&gt;"SAMPLE",Config!$B$19="Y")),IFERROR(N(INDEX(Clay_Offices!$A$2:$FZ$601,592,Sync!$C$12)),0),"")</f>
        <v/>
      </c>
      <c r="C2843" s="23" t="str">
        <f aca="false">IF(B2843="","","office")</f>
        <v/>
      </c>
      <c r="D2843" s="23" t="str">
        <f aca="false">IF(B2843="","",IFERROR(INDEX(Office_Log!$ED$2:$ED$201,MATCH(IFERROR(INDEX(Clay_Offices!$A$2:$FZ$601,592,Sync!$C$5)&amp;"",""),Office_Log!$A$2:$A$201,0))&amp;"",IFERROR(INDEX(Clay_Offices!$A$2:$FZ$601,592,Sync!$C$5)&amp;"","")&amp;""))</f>
        <v/>
      </c>
      <c r="E2843" s="23" t="str">
        <f aca="false">IF(B2843="","",IFERROR(INDEX(Clay_Offices!$A$2:$FZ$601,592,Sync!$C$6)&amp;"",""))</f>
        <v/>
      </c>
      <c r="F2843" s="23" t="str">
        <f aca="false">IF(B2843="","","outreach_sent")</f>
        <v/>
      </c>
      <c r="G2843" s="23" t="str">
        <f aca="false">IF(B2843="","","")</f>
        <v/>
      </c>
      <c r="H2843" s="23" t="str">
        <f aca="false">IF(B2843="","","")</f>
        <v/>
      </c>
      <c r="I2843" s="23" t="str">
        <f aca="false">IF(B2843="","","")</f>
        <v/>
      </c>
      <c r="J2843" s="23" t="str">
        <f aca="false">IF(B2843="","","touch_2; "&amp;IFERROR(INDEX(Clay_Offices!$A$2:$FZ$601,592,Sync!$C$10)&amp;"","")&amp;"; "&amp;IFERROR(INDEX(Clay_Offices!$A$2:$FZ$601,592,Sync!$C$9)&amp;"",""))</f>
        <v/>
      </c>
      <c r="K2843" s="32" t="s">
        <v>1364</v>
      </c>
    </row>
    <row r="2844" customFormat="false" ht="15" hidden="false" customHeight="false" outlineLevel="0" collapsed="false">
      <c r="A2844" s="23" t="str">
        <f aca="false">IF(B2844="","",B2844+(13*1000+593)/10000000)</f>
        <v/>
      </c>
      <c r="B2844" s="35" t="str">
        <f aca="false">IF(AND(IFERROR(N(INDEX(Clay_Offices!$A$2:$FZ$601,593,Sync!$C$12)),0)&gt;0,IFERROR(INDEX(Clay_Offices!$A$2:$FZ$601,593,Sync!$C$5)&amp;"","")&lt;&gt;"",OR(LEFT(IFERROR(INDEX(Clay_Offices!$A$2:$FZ$601,593,Sync!$C$5)&amp;"",""),6)&lt;&gt;"SAMPLE",Config!$B$19="Y")),IFERROR(N(INDEX(Clay_Offices!$A$2:$FZ$601,593,Sync!$C$12)),0),"")</f>
        <v/>
      </c>
      <c r="C2844" s="23" t="str">
        <f aca="false">IF(B2844="","","office")</f>
        <v/>
      </c>
      <c r="D2844" s="23" t="str">
        <f aca="false">IF(B2844="","",IFERROR(INDEX(Office_Log!$ED$2:$ED$201,MATCH(IFERROR(INDEX(Clay_Offices!$A$2:$FZ$601,593,Sync!$C$5)&amp;"",""),Office_Log!$A$2:$A$201,0))&amp;"",IFERROR(INDEX(Clay_Offices!$A$2:$FZ$601,593,Sync!$C$5)&amp;"","")&amp;""))</f>
        <v/>
      </c>
      <c r="E2844" s="23" t="str">
        <f aca="false">IF(B2844="","",IFERROR(INDEX(Clay_Offices!$A$2:$FZ$601,593,Sync!$C$6)&amp;"",""))</f>
        <v/>
      </c>
      <c r="F2844" s="23" t="str">
        <f aca="false">IF(B2844="","","outreach_sent")</f>
        <v/>
      </c>
      <c r="G2844" s="23" t="str">
        <f aca="false">IF(B2844="","","")</f>
        <v/>
      </c>
      <c r="H2844" s="23" t="str">
        <f aca="false">IF(B2844="","","")</f>
        <v/>
      </c>
      <c r="I2844" s="23" t="str">
        <f aca="false">IF(B2844="","","")</f>
        <v/>
      </c>
      <c r="J2844" s="23" t="str">
        <f aca="false">IF(B2844="","","touch_2; "&amp;IFERROR(INDEX(Clay_Offices!$A$2:$FZ$601,593,Sync!$C$10)&amp;"","")&amp;"; "&amp;IFERROR(INDEX(Clay_Offices!$A$2:$FZ$601,593,Sync!$C$9)&amp;"",""))</f>
        <v/>
      </c>
      <c r="K2844" s="32" t="s">
        <v>1364</v>
      </c>
    </row>
    <row r="2845" customFormat="false" ht="15" hidden="false" customHeight="false" outlineLevel="0" collapsed="false">
      <c r="A2845" s="23" t="str">
        <f aca="false">IF(B2845="","",B2845+(13*1000+594)/10000000)</f>
        <v/>
      </c>
      <c r="B2845" s="35" t="str">
        <f aca="false">IF(AND(IFERROR(N(INDEX(Clay_Offices!$A$2:$FZ$601,594,Sync!$C$12)),0)&gt;0,IFERROR(INDEX(Clay_Offices!$A$2:$FZ$601,594,Sync!$C$5)&amp;"","")&lt;&gt;"",OR(LEFT(IFERROR(INDEX(Clay_Offices!$A$2:$FZ$601,594,Sync!$C$5)&amp;"",""),6)&lt;&gt;"SAMPLE",Config!$B$19="Y")),IFERROR(N(INDEX(Clay_Offices!$A$2:$FZ$601,594,Sync!$C$12)),0),"")</f>
        <v/>
      </c>
      <c r="C2845" s="23" t="str">
        <f aca="false">IF(B2845="","","office")</f>
        <v/>
      </c>
      <c r="D2845" s="23" t="str">
        <f aca="false">IF(B2845="","",IFERROR(INDEX(Office_Log!$ED$2:$ED$201,MATCH(IFERROR(INDEX(Clay_Offices!$A$2:$FZ$601,594,Sync!$C$5)&amp;"",""),Office_Log!$A$2:$A$201,0))&amp;"",IFERROR(INDEX(Clay_Offices!$A$2:$FZ$601,594,Sync!$C$5)&amp;"","")&amp;""))</f>
        <v/>
      </c>
      <c r="E2845" s="23" t="str">
        <f aca="false">IF(B2845="","",IFERROR(INDEX(Clay_Offices!$A$2:$FZ$601,594,Sync!$C$6)&amp;"",""))</f>
        <v/>
      </c>
      <c r="F2845" s="23" t="str">
        <f aca="false">IF(B2845="","","outreach_sent")</f>
        <v/>
      </c>
      <c r="G2845" s="23" t="str">
        <f aca="false">IF(B2845="","","")</f>
        <v/>
      </c>
      <c r="H2845" s="23" t="str">
        <f aca="false">IF(B2845="","","")</f>
        <v/>
      </c>
      <c r="I2845" s="23" t="str">
        <f aca="false">IF(B2845="","","")</f>
        <v/>
      </c>
      <c r="J2845" s="23" t="str">
        <f aca="false">IF(B2845="","","touch_2; "&amp;IFERROR(INDEX(Clay_Offices!$A$2:$FZ$601,594,Sync!$C$10)&amp;"","")&amp;"; "&amp;IFERROR(INDEX(Clay_Offices!$A$2:$FZ$601,594,Sync!$C$9)&amp;"",""))</f>
        <v/>
      </c>
      <c r="K2845" s="32" t="s">
        <v>1364</v>
      </c>
    </row>
    <row r="2846" customFormat="false" ht="15" hidden="false" customHeight="false" outlineLevel="0" collapsed="false">
      <c r="A2846" s="23" t="str">
        <f aca="false">IF(B2846="","",B2846+(13*1000+595)/10000000)</f>
        <v/>
      </c>
      <c r="B2846" s="35" t="str">
        <f aca="false">IF(AND(IFERROR(N(INDEX(Clay_Offices!$A$2:$FZ$601,595,Sync!$C$12)),0)&gt;0,IFERROR(INDEX(Clay_Offices!$A$2:$FZ$601,595,Sync!$C$5)&amp;"","")&lt;&gt;"",OR(LEFT(IFERROR(INDEX(Clay_Offices!$A$2:$FZ$601,595,Sync!$C$5)&amp;"",""),6)&lt;&gt;"SAMPLE",Config!$B$19="Y")),IFERROR(N(INDEX(Clay_Offices!$A$2:$FZ$601,595,Sync!$C$12)),0),"")</f>
        <v/>
      </c>
      <c r="C2846" s="23" t="str">
        <f aca="false">IF(B2846="","","office")</f>
        <v/>
      </c>
      <c r="D2846" s="23" t="str">
        <f aca="false">IF(B2846="","",IFERROR(INDEX(Office_Log!$ED$2:$ED$201,MATCH(IFERROR(INDEX(Clay_Offices!$A$2:$FZ$601,595,Sync!$C$5)&amp;"",""),Office_Log!$A$2:$A$201,0))&amp;"",IFERROR(INDEX(Clay_Offices!$A$2:$FZ$601,595,Sync!$C$5)&amp;"","")&amp;""))</f>
        <v/>
      </c>
      <c r="E2846" s="23" t="str">
        <f aca="false">IF(B2846="","",IFERROR(INDEX(Clay_Offices!$A$2:$FZ$601,595,Sync!$C$6)&amp;"",""))</f>
        <v/>
      </c>
      <c r="F2846" s="23" t="str">
        <f aca="false">IF(B2846="","","outreach_sent")</f>
        <v/>
      </c>
      <c r="G2846" s="23" t="str">
        <f aca="false">IF(B2846="","","")</f>
        <v/>
      </c>
      <c r="H2846" s="23" t="str">
        <f aca="false">IF(B2846="","","")</f>
        <v/>
      </c>
      <c r="I2846" s="23" t="str">
        <f aca="false">IF(B2846="","","")</f>
        <v/>
      </c>
      <c r="J2846" s="23" t="str">
        <f aca="false">IF(B2846="","","touch_2; "&amp;IFERROR(INDEX(Clay_Offices!$A$2:$FZ$601,595,Sync!$C$10)&amp;"","")&amp;"; "&amp;IFERROR(INDEX(Clay_Offices!$A$2:$FZ$601,595,Sync!$C$9)&amp;"",""))</f>
        <v/>
      </c>
      <c r="K2846" s="32" t="s">
        <v>1364</v>
      </c>
    </row>
    <row r="2847" customFormat="false" ht="15" hidden="false" customHeight="false" outlineLevel="0" collapsed="false">
      <c r="A2847" s="23" t="str">
        <f aca="false">IF(B2847="","",B2847+(13*1000+596)/10000000)</f>
        <v/>
      </c>
      <c r="B2847" s="35" t="str">
        <f aca="false">IF(AND(IFERROR(N(INDEX(Clay_Offices!$A$2:$FZ$601,596,Sync!$C$12)),0)&gt;0,IFERROR(INDEX(Clay_Offices!$A$2:$FZ$601,596,Sync!$C$5)&amp;"","")&lt;&gt;"",OR(LEFT(IFERROR(INDEX(Clay_Offices!$A$2:$FZ$601,596,Sync!$C$5)&amp;"",""),6)&lt;&gt;"SAMPLE",Config!$B$19="Y")),IFERROR(N(INDEX(Clay_Offices!$A$2:$FZ$601,596,Sync!$C$12)),0),"")</f>
        <v/>
      </c>
      <c r="C2847" s="23" t="str">
        <f aca="false">IF(B2847="","","office")</f>
        <v/>
      </c>
      <c r="D2847" s="23" t="str">
        <f aca="false">IF(B2847="","",IFERROR(INDEX(Office_Log!$ED$2:$ED$201,MATCH(IFERROR(INDEX(Clay_Offices!$A$2:$FZ$601,596,Sync!$C$5)&amp;"",""),Office_Log!$A$2:$A$201,0))&amp;"",IFERROR(INDEX(Clay_Offices!$A$2:$FZ$601,596,Sync!$C$5)&amp;"","")&amp;""))</f>
        <v/>
      </c>
      <c r="E2847" s="23" t="str">
        <f aca="false">IF(B2847="","",IFERROR(INDEX(Clay_Offices!$A$2:$FZ$601,596,Sync!$C$6)&amp;"",""))</f>
        <v/>
      </c>
      <c r="F2847" s="23" t="str">
        <f aca="false">IF(B2847="","","outreach_sent")</f>
        <v/>
      </c>
      <c r="G2847" s="23" t="str">
        <f aca="false">IF(B2847="","","")</f>
        <v/>
      </c>
      <c r="H2847" s="23" t="str">
        <f aca="false">IF(B2847="","","")</f>
        <v/>
      </c>
      <c r="I2847" s="23" t="str">
        <f aca="false">IF(B2847="","","")</f>
        <v/>
      </c>
      <c r="J2847" s="23" t="str">
        <f aca="false">IF(B2847="","","touch_2; "&amp;IFERROR(INDEX(Clay_Offices!$A$2:$FZ$601,596,Sync!$C$10)&amp;"","")&amp;"; "&amp;IFERROR(INDEX(Clay_Offices!$A$2:$FZ$601,596,Sync!$C$9)&amp;"",""))</f>
        <v/>
      </c>
      <c r="K2847" s="32" t="s">
        <v>1364</v>
      </c>
    </row>
    <row r="2848" customFormat="false" ht="15" hidden="false" customHeight="false" outlineLevel="0" collapsed="false">
      <c r="A2848" s="23" t="str">
        <f aca="false">IF(B2848="","",B2848+(13*1000+597)/10000000)</f>
        <v/>
      </c>
      <c r="B2848" s="35" t="str">
        <f aca="false">IF(AND(IFERROR(N(INDEX(Clay_Offices!$A$2:$FZ$601,597,Sync!$C$12)),0)&gt;0,IFERROR(INDEX(Clay_Offices!$A$2:$FZ$601,597,Sync!$C$5)&amp;"","")&lt;&gt;"",OR(LEFT(IFERROR(INDEX(Clay_Offices!$A$2:$FZ$601,597,Sync!$C$5)&amp;"",""),6)&lt;&gt;"SAMPLE",Config!$B$19="Y")),IFERROR(N(INDEX(Clay_Offices!$A$2:$FZ$601,597,Sync!$C$12)),0),"")</f>
        <v/>
      </c>
      <c r="C2848" s="23" t="str">
        <f aca="false">IF(B2848="","","office")</f>
        <v/>
      </c>
      <c r="D2848" s="23" t="str">
        <f aca="false">IF(B2848="","",IFERROR(INDEX(Office_Log!$ED$2:$ED$201,MATCH(IFERROR(INDEX(Clay_Offices!$A$2:$FZ$601,597,Sync!$C$5)&amp;"",""),Office_Log!$A$2:$A$201,0))&amp;"",IFERROR(INDEX(Clay_Offices!$A$2:$FZ$601,597,Sync!$C$5)&amp;"","")&amp;""))</f>
        <v/>
      </c>
      <c r="E2848" s="23" t="str">
        <f aca="false">IF(B2848="","",IFERROR(INDEX(Clay_Offices!$A$2:$FZ$601,597,Sync!$C$6)&amp;"",""))</f>
        <v/>
      </c>
      <c r="F2848" s="23" t="str">
        <f aca="false">IF(B2848="","","outreach_sent")</f>
        <v/>
      </c>
      <c r="G2848" s="23" t="str">
        <f aca="false">IF(B2848="","","")</f>
        <v/>
      </c>
      <c r="H2848" s="23" t="str">
        <f aca="false">IF(B2848="","","")</f>
        <v/>
      </c>
      <c r="I2848" s="23" t="str">
        <f aca="false">IF(B2848="","","")</f>
        <v/>
      </c>
      <c r="J2848" s="23" t="str">
        <f aca="false">IF(B2848="","","touch_2; "&amp;IFERROR(INDEX(Clay_Offices!$A$2:$FZ$601,597,Sync!$C$10)&amp;"","")&amp;"; "&amp;IFERROR(INDEX(Clay_Offices!$A$2:$FZ$601,597,Sync!$C$9)&amp;"",""))</f>
        <v/>
      </c>
      <c r="K2848" s="32" t="s">
        <v>1364</v>
      </c>
    </row>
    <row r="2849" customFormat="false" ht="15" hidden="false" customHeight="false" outlineLevel="0" collapsed="false">
      <c r="A2849" s="23" t="str">
        <f aca="false">IF(B2849="","",B2849+(13*1000+598)/10000000)</f>
        <v/>
      </c>
      <c r="B2849" s="35" t="str">
        <f aca="false">IF(AND(IFERROR(N(INDEX(Clay_Offices!$A$2:$FZ$601,598,Sync!$C$12)),0)&gt;0,IFERROR(INDEX(Clay_Offices!$A$2:$FZ$601,598,Sync!$C$5)&amp;"","")&lt;&gt;"",OR(LEFT(IFERROR(INDEX(Clay_Offices!$A$2:$FZ$601,598,Sync!$C$5)&amp;"",""),6)&lt;&gt;"SAMPLE",Config!$B$19="Y")),IFERROR(N(INDEX(Clay_Offices!$A$2:$FZ$601,598,Sync!$C$12)),0),"")</f>
        <v/>
      </c>
      <c r="C2849" s="23" t="str">
        <f aca="false">IF(B2849="","","office")</f>
        <v/>
      </c>
      <c r="D2849" s="23" t="str">
        <f aca="false">IF(B2849="","",IFERROR(INDEX(Office_Log!$ED$2:$ED$201,MATCH(IFERROR(INDEX(Clay_Offices!$A$2:$FZ$601,598,Sync!$C$5)&amp;"",""),Office_Log!$A$2:$A$201,0))&amp;"",IFERROR(INDEX(Clay_Offices!$A$2:$FZ$601,598,Sync!$C$5)&amp;"","")&amp;""))</f>
        <v/>
      </c>
      <c r="E2849" s="23" t="str">
        <f aca="false">IF(B2849="","",IFERROR(INDEX(Clay_Offices!$A$2:$FZ$601,598,Sync!$C$6)&amp;"",""))</f>
        <v/>
      </c>
      <c r="F2849" s="23" t="str">
        <f aca="false">IF(B2849="","","outreach_sent")</f>
        <v/>
      </c>
      <c r="G2849" s="23" t="str">
        <f aca="false">IF(B2849="","","")</f>
        <v/>
      </c>
      <c r="H2849" s="23" t="str">
        <f aca="false">IF(B2849="","","")</f>
        <v/>
      </c>
      <c r="I2849" s="23" t="str">
        <f aca="false">IF(B2849="","","")</f>
        <v/>
      </c>
      <c r="J2849" s="23" t="str">
        <f aca="false">IF(B2849="","","touch_2; "&amp;IFERROR(INDEX(Clay_Offices!$A$2:$FZ$601,598,Sync!$C$10)&amp;"","")&amp;"; "&amp;IFERROR(INDEX(Clay_Offices!$A$2:$FZ$601,598,Sync!$C$9)&amp;"",""))</f>
        <v/>
      </c>
      <c r="K2849" s="32" t="s">
        <v>1364</v>
      </c>
    </row>
    <row r="2850" customFormat="false" ht="15" hidden="false" customHeight="false" outlineLevel="0" collapsed="false">
      <c r="A2850" s="23" t="str">
        <f aca="false">IF(B2850="","",B2850+(13*1000+599)/10000000)</f>
        <v/>
      </c>
      <c r="B2850" s="35" t="str">
        <f aca="false">IF(AND(IFERROR(N(INDEX(Clay_Offices!$A$2:$FZ$601,599,Sync!$C$12)),0)&gt;0,IFERROR(INDEX(Clay_Offices!$A$2:$FZ$601,599,Sync!$C$5)&amp;"","")&lt;&gt;"",OR(LEFT(IFERROR(INDEX(Clay_Offices!$A$2:$FZ$601,599,Sync!$C$5)&amp;"",""),6)&lt;&gt;"SAMPLE",Config!$B$19="Y")),IFERROR(N(INDEX(Clay_Offices!$A$2:$FZ$601,599,Sync!$C$12)),0),"")</f>
        <v/>
      </c>
      <c r="C2850" s="23" t="str">
        <f aca="false">IF(B2850="","","office")</f>
        <v/>
      </c>
      <c r="D2850" s="23" t="str">
        <f aca="false">IF(B2850="","",IFERROR(INDEX(Office_Log!$ED$2:$ED$201,MATCH(IFERROR(INDEX(Clay_Offices!$A$2:$FZ$601,599,Sync!$C$5)&amp;"",""),Office_Log!$A$2:$A$201,0))&amp;"",IFERROR(INDEX(Clay_Offices!$A$2:$FZ$601,599,Sync!$C$5)&amp;"","")&amp;""))</f>
        <v/>
      </c>
      <c r="E2850" s="23" t="str">
        <f aca="false">IF(B2850="","",IFERROR(INDEX(Clay_Offices!$A$2:$FZ$601,599,Sync!$C$6)&amp;"",""))</f>
        <v/>
      </c>
      <c r="F2850" s="23" t="str">
        <f aca="false">IF(B2850="","","outreach_sent")</f>
        <v/>
      </c>
      <c r="G2850" s="23" t="str">
        <f aca="false">IF(B2850="","","")</f>
        <v/>
      </c>
      <c r="H2850" s="23" t="str">
        <f aca="false">IF(B2850="","","")</f>
        <v/>
      </c>
      <c r="I2850" s="23" t="str">
        <f aca="false">IF(B2850="","","")</f>
        <v/>
      </c>
      <c r="J2850" s="23" t="str">
        <f aca="false">IF(B2850="","","touch_2; "&amp;IFERROR(INDEX(Clay_Offices!$A$2:$FZ$601,599,Sync!$C$10)&amp;"","")&amp;"; "&amp;IFERROR(INDEX(Clay_Offices!$A$2:$FZ$601,599,Sync!$C$9)&amp;"",""))</f>
        <v/>
      </c>
      <c r="K2850" s="32" t="s">
        <v>1364</v>
      </c>
    </row>
    <row r="2851" customFormat="false" ht="15" hidden="false" customHeight="false" outlineLevel="0" collapsed="false">
      <c r="A2851" s="23" t="str">
        <f aca="false">IF(B2851="","",B2851+(13*1000+600)/10000000)</f>
        <v/>
      </c>
      <c r="B2851" s="35" t="str">
        <f aca="false">IF(AND(IFERROR(N(INDEX(Clay_Offices!$A$2:$FZ$601,600,Sync!$C$12)),0)&gt;0,IFERROR(INDEX(Clay_Offices!$A$2:$FZ$601,600,Sync!$C$5)&amp;"","")&lt;&gt;"",OR(LEFT(IFERROR(INDEX(Clay_Offices!$A$2:$FZ$601,600,Sync!$C$5)&amp;"",""),6)&lt;&gt;"SAMPLE",Config!$B$19="Y")),IFERROR(N(INDEX(Clay_Offices!$A$2:$FZ$601,600,Sync!$C$12)),0),"")</f>
        <v/>
      </c>
      <c r="C2851" s="23" t="str">
        <f aca="false">IF(B2851="","","office")</f>
        <v/>
      </c>
      <c r="D2851" s="23" t="str">
        <f aca="false">IF(B2851="","",IFERROR(INDEX(Office_Log!$ED$2:$ED$201,MATCH(IFERROR(INDEX(Clay_Offices!$A$2:$FZ$601,600,Sync!$C$5)&amp;"",""),Office_Log!$A$2:$A$201,0))&amp;"",IFERROR(INDEX(Clay_Offices!$A$2:$FZ$601,600,Sync!$C$5)&amp;"","")&amp;""))</f>
        <v/>
      </c>
      <c r="E2851" s="23" t="str">
        <f aca="false">IF(B2851="","",IFERROR(INDEX(Clay_Offices!$A$2:$FZ$601,600,Sync!$C$6)&amp;"",""))</f>
        <v/>
      </c>
      <c r="F2851" s="23" t="str">
        <f aca="false">IF(B2851="","","outreach_sent")</f>
        <v/>
      </c>
      <c r="G2851" s="23" t="str">
        <f aca="false">IF(B2851="","","")</f>
        <v/>
      </c>
      <c r="H2851" s="23" t="str">
        <f aca="false">IF(B2851="","","")</f>
        <v/>
      </c>
      <c r="I2851" s="23" t="str">
        <f aca="false">IF(B2851="","","")</f>
        <v/>
      </c>
      <c r="J2851" s="23" t="str">
        <f aca="false">IF(B2851="","","touch_2; "&amp;IFERROR(INDEX(Clay_Offices!$A$2:$FZ$601,600,Sync!$C$10)&amp;"","")&amp;"; "&amp;IFERROR(INDEX(Clay_Offices!$A$2:$FZ$601,600,Sync!$C$9)&amp;"",""))</f>
        <v/>
      </c>
      <c r="K2851" s="32" t="s">
        <v>1364</v>
      </c>
    </row>
    <row r="2852" customFormat="false" ht="15" hidden="false" customHeight="false" outlineLevel="0" collapsed="false">
      <c r="A2852" s="23" t="str">
        <f aca="false">IF(B2852="","",B2852+(14*1000+1)/10000000)</f>
        <v/>
      </c>
      <c r="B2852" s="35" t="str">
        <f aca="false">IF(AND(IFERROR(N(INDEX(Clay_Offices!$A$2:$FZ$601,1,Sync!$C$13)),0)&gt;0,IFERROR(INDEX(Clay_Offices!$A$2:$FZ$601,1,Sync!$C$5)&amp;"","")&lt;&gt;"",OR(LEFT(IFERROR(INDEX(Clay_Offices!$A$2:$FZ$601,1,Sync!$C$5)&amp;"",""),6)&lt;&gt;"SAMPLE",Config!$B$19="Y")),IFERROR(N(INDEX(Clay_Offices!$A$2:$FZ$601,1,Sync!$C$13)),0),"")</f>
        <v/>
      </c>
      <c r="C2852" s="23" t="str">
        <f aca="false">IF(B2852="","","office")</f>
        <v/>
      </c>
      <c r="D2852" s="23" t="str">
        <f aca="false">IF(B2852="","",IFERROR(INDEX(Office_Log!$ED$2:$ED$201,MATCH(IFERROR(INDEX(Clay_Offices!$A$2:$FZ$601,1,Sync!$C$5)&amp;"",""),Office_Log!$A$2:$A$201,0))&amp;"",IFERROR(INDEX(Clay_Offices!$A$2:$FZ$601,1,Sync!$C$5)&amp;"","")&amp;""))</f>
        <v/>
      </c>
      <c r="E2852" s="23" t="str">
        <f aca="false">IF(B2852="","",IFERROR(INDEX(Clay_Offices!$A$2:$FZ$601,1,Sync!$C$6)&amp;"",""))</f>
        <v/>
      </c>
      <c r="F2852" s="23" t="str">
        <f aca="false">IF(B2852="","","outreach_sent")</f>
        <v/>
      </c>
      <c r="G2852" s="23" t="str">
        <f aca="false">IF(B2852="","","")</f>
        <v/>
      </c>
      <c r="H2852" s="23" t="str">
        <f aca="false">IF(B2852="","","")</f>
        <v/>
      </c>
      <c r="I2852" s="23" t="str">
        <f aca="false">IF(B2852="","","")</f>
        <v/>
      </c>
      <c r="J2852" s="23" t="str">
        <f aca="false">IF(B2852="","","touch_3; "&amp;IFERROR(INDEX(Clay_Offices!$A$2:$FZ$601,1,Sync!$C$10)&amp;"","")&amp;"; "&amp;IFERROR(INDEX(Clay_Offices!$A$2:$FZ$601,1,Sync!$C$9)&amp;"",""))</f>
        <v/>
      </c>
      <c r="K2852" s="32" t="s">
        <v>1365</v>
      </c>
    </row>
    <row r="2853" customFormat="false" ht="15" hidden="false" customHeight="false" outlineLevel="0" collapsed="false">
      <c r="A2853" s="23" t="str">
        <f aca="false">IF(B2853="","",B2853+(14*1000+2)/10000000)</f>
        <v/>
      </c>
      <c r="B2853" s="35" t="str">
        <f aca="false">IF(AND(IFERROR(N(INDEX(Clay_Offices!$A$2:$FZ$601,2,Sync!$C$13)),0)&gt;0,IFERROR(INDEX(Clay_Offices!$A$2:$FZ$601,2,Sync!$C$5)&amp;"","")&lt;&gt;"",OR(LEFT(IFERROR(INDEX(Clay_Offices!$A$2:$FZ$601,2,Sync!$C$5)&amp;"",""),6)&lt;&gt;"SAMPLE",Config!$B$19="Y")),IFERROR(N(INDEX(Clay_Offices!$A$2:$FZ$601,2,Sync!$C$13)),0),"")</f>
        <v/>
      </c>
      <c r="C2853" s="23" t="str">
        <f aca="false">IF(B2853="","","office")</f>
        <v/>
      </c>
      <c r="D2853" s="23" t="str">
        <f aca="false">IF(B2853="","",IFERROR(INDEX(Office_Log!$ED$2:$ED$201,MATCH(IFERROR(INDEX(Clay_Offices!$A$2:$FZ$601,2,Sync!$C$5)&amp;"",""),Office_Log!$A$2:$A$201,0))&amp;"",IFERROR(INDEX(Clay_Offices!$A$2:$FZ$601,2,Sync!$C$5)&amp;"","")&amp;""))</f>
        <v/>
      </c>
      <c r="E2853" s="23" t="str">
        <f aca="false">IF(B2853="","",IFERROR(INDEX(Clay_Offices!$A$2:$FZ$601,2,Sync!$C$6)&amp;"",""))</f>
        <v/>
      </c>
      <c r="F2853" s="23" t="str">
        <f aca="false">IF(B2853="","","outreach_sent")</f>
        <v/>
      </c>
      <c r="G2853" s="23" t="str">
        <f aca="false">IF(B2853="","","")</f>
        <v/>
      </c>
      <c r="H2853" s="23" t="str">
        <f aca="false">IF(B2853="","","")</f>
        <v/>
      </c>
      <c r="I2853" s="23" t="str">
        <f aca="false">IF(B2853="","","")</f>
        <v/>
      </c>
      <c r="J2853" s="23" t="str">
        <f aca="false">IF(B2853="","","touch_3; "&amp;IFERROR(INDEX(Clay_Offices!$A$2:$FZ$601,2,Sync!$C$10)&amp;"","")&amp;"; "&amp;IFERROR(INDEX(Clay_Offices!$A$2:$FZ$601,2,Sync!$C$9)&amp;"",""))</f>
        <v/>
      </c>
      <c r="K2853" s="32" t="s">
        <v>1365</v>
      </c>
    </row>
    <row r="2854" customFormat="false" ht="15" hidden="false" customHeight="false" outlineLevel="0" collapsed="false">
      <c r="A2854" s="23" t="str">
        <f aca="false">IF(B2854="","",B2854+(14*1000+3)/10000000)</f>
        <v/>
      </c>
      <c r="B2854" s="35" t="str">
        <f aca="false">IF(AND(IFERROR(N(INDEX(Clay_Offices!$A$2:$FZ$601,3,Sync!$C$13)),0)&gt;0,IFERROR(INDEX(Clay_Offices!$A$2:$FZ$601,3,Sync!$C$5)&amp;"","")&lt;&gt;"",OR(LEFT(IFERROR(INDEX(Clay_Offices!$A$2:$FZ$601,3,Sync!$C$5)&amp;"",""),6)&lt;&gt;"SAMPLE",Config!$B$19="Y")),IFERROR(N(INDEX(Clay_Offices!$A$2:$FZ$601,3,Sync!$C$13)),0),"")</f>
        <v/>
      </c>
      <c r="C2854" s="23" t="str">
        <f aca="false">IF(B2854="","","office")</f>
        <v/>
      </c>
      <c r="D2854" s="23" t="str">
        <f aca="false">IF(B2854="","",IFERROR(INDEX(Office_Log!$ED$2:$ED$201,MATCH(IFERROR(INDEX(Clay_Offices!$A$2:$FZ$601,3,Sync!$C$5)&amp;"",""),Office_Log!$A$2:$A$201,0))&amp;"",IFERROR(INDEX(Clay_Offices!$A$2:$FZ$601,3,Sync!$C$5)&amp;"","")&amp;""))</f>
        <v/>
      </c>
      <c r="E2854" s="23" t="str">
        <f aca="false">IF(B2854="","",IFERROR(INDEX(Clay_Offices!$A$2:$FZ$601,3,Sync!$C$6)&amp;"",""))</f>
        <v/>
      </c>
      <c r="F2854" s="23" t="str">
        <f aca="false">IF(B2854="","","outreach_sent")</f>
        <v/>
      </c>
      <c r="G2854" s="23" t="str">
        <f aca="false">IF(B2854="","","")</f>
        <v/>
      </c>
      <c r="H2854" s="23" t="str">
        <f aca="false">IF(B2854="","","")</f>
        <v/>
      </c>
      <c r="I2854" s="23" t="str">
        <f aca="false">IF(B2854="","","")</f>
        <v/>
      </c>
      <c r="J2854" s="23" t="str">
        <f aca="false">IF(B2854="","","touch_3; "&amp;IFERROR(INDEX(Clay_Offices!$A$2:$FZ$601,3,Sync!$C$10)&amp;"","")&amp;"; "&amp;IFERROR(INDEX(Clay_Offices!$A$2:$FZ$601,3,Sync!$C$9)&amp;"",""))</f>
        <v/>
      </c>
      <c r="K2854" s="32" t="s">
        <v>1365</v>
      </c>
    </row>
    <row r="2855" customFormat="false" ht="15" hidden="false" customHeight="false" outlineLevel="0" collapsed="false">
      <c r="A2855" s="23" t="str">
        <f aca="false">IF(B2855="","",B2855+(14*1000+4)/10000000)</f>
        <v/>
      </c>
      <c r="B2855" s="35" t="str">
        <f aca="false">IF(AND(IFERROR(N(INDEX(Clay_Offices!$A$2:$FZ$601,4,Sync!$C$13)),0)&gt;0,IFERROR(INDEX(Clay_Offices!$A$2:$FZ$601,4,Sync!$C$5)&amp;"","")&lt;&gt;"",OR(LEFT(IFERROR(INDEX(Clay_Offices!$A$2:$FZ$601,4,Sync!$C$5)&amp;"",""),6)&lt;&gt;"SAMPLE",Config!$B$19="Y")),IFERROR(N(INDEX(Clay_Offices!$A$2:$FZ$601,4,Sync!$C$13)),0),"")</f>
        <v/>
      </c>
      <c r="C2855" s="23" t="str">
        <f aca="false">IF(B2855="","","office")</f>
        <v/>
      </c>
      <c r="D2855" s="23" t="str">
        <f aca="false">IF(B2855="","",IFERROR(INDEX(Office_Log!$ED$2:$ED$201,MATCH(IFERROR(INDEX(Clay_Offices!$A$2:$FZ$601,4,Sync!$C$5)&amp;"",""),Office_Log!$A$2:$A$201,0))&amp;"",IFERROR(INDEX(Clay_Offices!$A$2:$FZ$601,4,Sync!$C$5)&amp;"","")&amp;""))</f>
        <v/>
      </c>
      <c r="E2855" s="23" t="str">
        <f aca="false">IF(B2855="","",IFERROR(INDEX(Clay_Offices!$A$2:$FZ$601,4,Sync!$C$6)&amp;"",""))</f>
        <v/>
      </c>
      <c r="F2855" s="23" t="str">
        <f aca="false">IF(B2855="","","outreach_sent")</f>
        <v/>
      </c>
      <c r="G2855" s="23" t="str">
        <f aca="false">IF(B2855="","","")</f>
        <v/>
      </c>
      <c r="H2855" s="23" t="str">
        <f aca="false">IF(B2855="","","")</f>
        <v/>
      </c>
      <c r="I2855" s="23" t="str">
        <f aca="false">IF(B2855="","","")</f>
        <v/>
      </c>
      <c r="J2855" s="23" t="str">
        <f aca="false">IF(B2855="","","touch_3; "&amp;IFERROR(INDEX(Clay_Offices!$A$2:$FZ$601,4,Sync!$C$10)&amp;"","")&amp;"; "&amp;IFERROR(INDEX(Clay_Offices!$A$2:$FZ$601,4,Sync!$C$9)&amp;"",""))</f>
        <v/>
      </c>
      <c r="K2855" s="32" t="s">
        <v>1365</v>
      </c>
    </row>
    <row r="2856" customFormat="false" ht="15" hidden="false" customHeight="false" outlineLevel="0" collapsed="false">
      <c r="A2856" s="23" t="str">
        <f aca="false">IF(B2856="","",B2856+(14*1000+5)/10000000)</f>
        <v/>
      </c>
      <c r="B2856" s="35" t="str">
        <f aca="false">IF(AND(IFERROR(N(INDEX(Clay_Offices!$A$2:$FZ$601,5,Sync!$C$13)),0)&gt;0,IFERROR(INDEX(Clay_Offices!$A$2:$FZ$601,5,Sync!$C$5)&amp;"","")&lt;&gt;"",OR(LEFT(IFERROR(INDEX(Clay_Offices!$A$2:$FZ$601,5,Sync!$C$5)&amp;"",""),6)&lt;&gt;"SAMPLE",Config!$B$19="Y")),IFERROR(N(INDEX(Clay_Offices!$A$2:$FZ$601,5,Sync!$C$13)),0),"")</f>
        <v/>
      </c>
      <c r="C2856" s="23" t="str">
        <f aca="false">IF(B2856="","","office")</f>
        <v/>
      </c>
      <c r="D2856" s="23" t="str">
        <f aca="false">IF(B2856="","",IFERROR(INDEX(Office_Log!$ED$2:$ED$201,MATCH(IFERROR(INDEX(Clay_Offices!$A$2:$FZ$601,5,Sync!$C$5)&amp;"",""),Office_Log!$A$2:$A$201,0))&amp;"",IFERROR(INDEX(Clay_Offices!$A$2:$FZ$601,5,Sync!$C$5)&amp;"","")&amp;""))</f>
        <v/>
      </c>
      <c r="E2856" s="23" t="str">
        <f aca="false">IF(B2856="","",IFERROR(INDEX(Clay_Offices!$A$2:$FZ$601,5,Sync!$C$6)&amp;"",""))</f>
        <v/>
      </c>
      <c r="F2856" s="23" t="str">
        <f aca="false">IF(B2856="","","outreach_sent")</f>
        <v/>
      </c>
      <c r="G2856" s="23" t="str">
        <f aca="false">IF(B2856="","","")</f>
        <v/>
      </c>
      <c r="H2856" s="23" t="str">
        <f aca="false">IF(B2856="","","")</f>
        <v/>
      </c>
      <c r="I2856" s="23" t="str">
        <f aca="false">IF(B2856="","","")</f>
        <v/>
      </c>
      <c r="J2856" s="23" t="str">
        <f aca="false">IF(B2856="","","touch_3; "&amp;IFERROR(INDEX(Clay_Offices!$A$2:$FZ$601,5,Sync!$C$10)&amp;"","")&amp;"; "&amp;IFERROR(INDEX(Clay_Offices!$A$2:$FZ$601,5,Sync!$C$9)&amp;"",""))</f>
        <v/>
      </c>
      <c r="K2856" s="32" t="s">
        <v>1365</v>
      </c>
    </row>
    <row r="2857" customFormat="false" ht="15" hidden="false" customHeight="false" outlineLevel="0" collapsed="false">
      <c r="A2857" s="23" t="str">
        <f aca="false">IF(B2857="","",B2857+(14*1000+6)/10000000)</f>
        <v/>
      </c>
      <c r="B2857" s="35" t="str">
        <f aca="false">IF(AND(IFERROR(N(INDEX(Clay_Offices!$A$2:$FZ$601,6,Sync!$C$13)),0)&gt;0,IFERROR(INDEX(Clay_Offices!$A$2:$FZ$601,6,Sync!$C$5)&amp;"","")&lt;&gt;"",OR(LEFT(IFERROR(INDEX(Clay_Offices!$A$2:$FZ$601,6,Sync!$C$5)&amp;"",""),6)&lt;&gt;"SAMPLE",Config!$B$19="Y")),IFERROR(N(INDEX(Clay_Offices!$A$2:$FZ$601,6,Sync!$C$13)),0),"")</f>
        <v/>
      </c>
      <c r="C2857" s="23" t="str">
        <f aca="false">IF(B2857="","","office")</f>
        <v/>
      </c>
      <c r="D2857" s="23" t="str">
        <f aca="false">IF(B2857="","",IFERROR(INDEX(Office_Log!$ED$2:$ED$201,MATCH(IFERROR(INDEX(Clay_Offices!$A$2:$FZ$601,6,Sync!$C$5)&amp;"",""),Office_Log!$A$2:$A$201,0))&amp;"",IFERROR(INDEX(Clay_Offices!$A$2:$FZ$601,6,Sync!$C$5)&amp;"","")&amp;""))</f>
        <v/>
      </c>
      <c r="E2857" s="23" t="str">
        <f aca="false">IF(B2857="","",IFERROR(INDEX(Clay_Offices!$A$2:$FZ$601,6,Sync!$C$6)&amp;"",""))</f>
        <v/>
      </c>
      <c r="F2857" s="23" t="str">
        <f aca="false">IF(B2857="","","outreach_sent")</f>
        <v/>
      </c>
      <c r="G2857" s="23" t="str">
        <f aca="false">IF(B2857="","","")</f>
        <v/>
      </c>
      <c r="H2857" s="23" t="str">
        <f aca="false">IF(B2857="","","")</f>
        <v/>
      </c>
      <c r="I2857" s="23" t="str">
        <f aca="false">IF(B2857="","","")</f>
        <v/>
      </c>
      <c r="J2857" s="23" t="str">
        <f aca="false">IF(B2857="","","touch_3; "&amp;IFERROR(INDEX(Clay_Offices!$A$2:$FZ$601,6,Sync!$C$10)&amp;"","")&amp;"; "&amp;IFERROR(INDEX(Clay_Offices!$A$2:$FZ$601,6,Sync!$C$9)&amp;"",""))</f>
        <v/>
      </c>
      <c r="K2857" s="32" t="s">
        <v>1365</v>
      </c>
    </row>
    <row r="2858" customFormat="false" ht="15" hidden="false" customHeight="false" outlineLevel="0" collapsed="false">
      <c r="A2858" s="23" t="str">
        <f aca="false">IF(B2858="","",B2858+(14*1000+7)/10000000)</f>
        <v/>
      </c>
      <c r="B2858" s="35" t="str">
        <f aca="false">IF(AND(IFERROR(N(INDEX(Clay_Offices!$A$2:$FZ$601,7,Sync!$C$13)),0)&gt;0,IFERROR(INDEX(Clay_Offices!$A$2:$FZ$601,7,Sync!$C$5)&amp;"","")&lt;&gt;"",OR(LEFT(IFERROR(INDEX(Clay_Offices!$A$2:$FZ$601,7,Sync!$C$5)&amp;"",""),6)&lt;&gt;"SAMPLE",Config!$B$19="Y")),IFERROR(N(INDEX(Clay_Offices!$A$2:$FZ$601,7,Sync!$C$13)),0),"")</f>
        <v/>
      </c>
      <c r="C2858" s="23" t="str">
        <f aca="false">IF(B2858="","","office")</f>
        <v/>
      </c>
      <c r="D2858" s="23" t="str">
        <f aca="false">IF(B2858="","",IFERROR(INDEX(Office_Log!$ED$2:$ED$201,MATCH(IFERROR(INDEX(Clay_Offices!$A$2:$FZ$601,7,Sync!$C$5)&amp;"",""),Office_Log!$A$2:$A$201,0))&amp;"",IFERROR(INDEX(Clay_Offices!$A$2:$FZ$601,7,Sync!$C$5)&amp;"","")&amp;""))</f>
        <v/>
      </c>
      <c r="E2858" s="23" t="str">
        <f aca="false">IF(B2858="","",IFERROR(INDEX(Clay_Offices!$A$2:$FZ$601,7,Sync!$C$6)&amp;"",""))</f>
        <v/>
      </c>
      <c r="F2858" s="23" t="str">
        <f aca="false">IF(B2858="","","outreach_sent")</f>
        <v/>
      </c>
      <c r="G2858" s="23" t="str">
        <f aca="false">IF(B2858="","","")</f>
        <v/>
      </c>
      <c r="H2858" s="23" t="str">
        <f aca="false">IF(B2858="","","")</f>
        <v/>
      </c>
      <c r="I2858" s="23" t="str">
        <f aca="false">IF(B2858="","","")</f>
        <v/>
      </c>
      <c r="J2858" s="23" t="str">
        <f aca="false">IF(B2858="","","touch_3; "&amp;IFERROR(INDEX(Clay_Offices!$A$2:$FZ$601,7,Sync!$C$10)&amp;"","")&amp;"; "&amp;IFERROR(INDEX(Clay_Offices!$A$2:$FZ$601,7,Sync!$C$9)&amp;"",""))</f>
        <v/>
      </c>
      <c r="K2858" s="32" t="s">
        <v>1365</v>
      </c>
    </row>
    <row r="2859" customFormat="false" ht="15" hidden="false" customHeight="false" outlineLevel="0" collapsed="false">
      <c r="A2859" s="23" t="str">
        <f aca="false">IF(B2859="","",B2859+(14*1000+8)/10000000)</f>
        <v/>
      </c>
      <c r="B2859" s="35" t="str">
        <f aca="false">IF(AND(IFERROR(N(INDEX(Clay_Offices!$A$2:$FZ$601,8,Sync!$C$13)),0)&gt;0,IFERROR(INDEX(Clay_Offices!$A$2:$FZ$601,8,Sync!$C$5)&amp;"","")&lt;&gt;"",OR(LEFT(IFERROR(INDEX(Clay_Offices!$A$2:$FZ$601,8,Sync!$C$5)&amp;"",""),6)&lt;&gt;"SAMPLE",Config!$B$19="Y")),IFERROR(N(INDEX(Clay_Offices!$A$2:$FZ$601,8,Sync!$C$13)),0),"")</f>
        <v/>
      </c>
      <c r="C2859" s="23" t="str">
        <f aca="false">IF(B2859="","","office")</f>
        <v/>
      </c>
      <c r="D2859" s="23" t="str">
        <f aca="false">IF(B2859="","",IFERROR(INDEX(Office_Log!$ED$2:$ED$201,MATCH(IFERROR(INDEX(Clay_Offices!$A$2:$FZ$601,8,Sync!$C$5)&amp;"",""),Office_Log!$A$2:$A$201,0))&amp;"",IFERROR(INDEX(Clay_Offices!$A$2:$FZ$601,8,Sync!$C$5)&amp;"","")&amp;""))</f>
        <v/>
      </c>
      <c r="E2859" s="23" t="str">
        <f aca="false">IF(B2859="","",IFERROR(INDEX(Clay_Offices!$A$2:$FZ$601,8,Sync!$C$6)&amp;"",""))</f>
        <v/>
      </c>
      <c r="F2859" s="23" t="str">
        <f aca="false">IF(B2859="","","outreach_sent")</f>
        <v/>
      </c>
      <c r="G2859" s="23" t="str">
        <f aca="false">IF(B2859="","","")</f>
        <v/>
      </c>
      <c r="H2859" s="23" t="str">
        <f aca="false">IF(B2859="","","")</f>
        <v/>
      </c>
      <c r="I2859" s="23" t="str">
        <f aca="false">IF(B2859="","","")</f>
        <v/>
      </c>
      <c r="J2859" s="23" t="str">
        <f aca="false">IF(B2859="","","touch_3; "&amp;IFERROR(INDEX(Clay_Offices!$A$2:$FZ$601,8,Sync!$C$10)&amp;"","")&amp;"; "&amp;IFERROR(INDEX(Clay_Offices!$A$2:$FZ$601,8,Sync!$C$9)&amp;"",""))</f>
        <v/>
      </c>
      <c r="K2859" s="32" t="s">
        <v>1365</v>
      </c>
    </row>
    <row r="2860" customFormat="false" ht="15" hidden="false" customHeight="false" outlineLevel="0" collapsed="false">
      <c r="A2860" s="23" t="str">
        <f aca="false">IF(B2860="","",B2860+(14*1000+9)/10000000)</f>
        <v/>
      </c>
      <c r="B2860" s="35" t="str">
        <f aca="false">IF(AND(IFERROR(N(INDEX(Clay_Offices!$A$2:$FZ$601,9,Sync!$C$13)),0)&gt;0,IFERROR(INDEX(Clay_Offices!$A$2:$FZ$601,9,Sync!$C$5)&amp;"","")&lt;&gt;"",OR(LEFT(IFERROR(INDEX(Clay_Offices!$A$2:$FZ$601,9,Sync!$C$5)&amp;"",""),6)&lt;&gt;"SAMPLE",Config!$B$19="Y")),IFERROR(N(INDEX(Clay_Offices!$A$2:$FZ$601,9,Sync!$C$13)),0),"")</f>
        <v/>
      </c>
      <c r="C2860" s="23" t="str">
        <f aca="false">IF(B2860="","","office")</f>
        <v/>
      </c>
      <c r="D2860" s="23" t="str">
        <f aca="false">IF(B2860="","",IFERROR(INDEX(Office_Log!$ED$2:$ED$201,MATCH(IFERROR(INDEX(Clay_Offices!$A$2:$FZ$601,9,Sync!$C$5)&amp;"",""),Office_Log!$A$2:$A$201,0))&amp;"",IFERROR(INDEX(Clay_Offices!$A$2:$FZ$601,9,Sync!$C$5)&amp;"","")&amp;""))</f>
        <v/>
      </c>
      <c r="E2860" s="23" t="str">
        <f aca="false">IF(B2860="","",IFERROR(INDEX(Clay_Offices!$A$2:$FZ$601,9,Sync!$C$6)&amp;"",""))</f>
        <v/>
      </c>
      <c r="F2860" s="23" t="str">
        <f aca="false">IF(B2860="","","outreach_sent")</f>
        <v/>
      </c>
      <c r="G2860" s="23" t="str">
        <f aca="false">IF(B2860="","","")</f>
        <v/>
      </c>
      <c r="H2860" s="23" t="str">
        <f aca="false">IF(B2860="","","")</f>
        <v/>
      </c>
      <c r="I2860" s="23" t="str">
        <f aca="false">IF(B2860="","","")</f>
        <v/>
      </c>
      <c r="J2860" s="23" t="str">
        <f aca="false">IF(B2860="","","touch_3; "&amp;IFERROR(INDEX(Clay_Offices!$A$2:$FZ$601,9,Sync!$C$10)&amp;"","")&amp;"; "&amp;IFERROR(INDEX(Clay_Offices!$A$2:$FZ$601,9,Sync!$C$9)&amp;"",""))</f>
        <v/>
      </c>
      <c r="K2860" s="32" t="s">
        <v>1365</v>
      </c>
    </row>
    <row r="2861" customFormat="false" ht="15" hidden="false" customHeight="false" outlineLevel="0" collapsed="false">
      <c r="A2861" s="23" t="str">
        <f aca="false">IF(B2861="","",B2861+(14*1000+10)/10000000)</f>
        <v/>
      </c>
      <c r="B2861" s="35" t="str">
        <f aca="false">IF(AND(IFERROR(N(INDEX(Clay_Offices!$A$2:$FZ$601,10,Sync!$C$13)),0)&gt;0,IFERROR(INDEX(Clay_Offices!$A$2:$FZ$601,10,Sync!$C$5)&amp;"","")&lt;&gt;"",OR(LEFT(IFERROR(INDEX(Clay_Offices!$A$2:$FZ$601,10,Sync!$C$5)&amp;"",""),6)&lt;&gt;"SAMPLE",Config!$B$19="Y")),IFERROR(N(INDEX(Clay_Offices!$A$2:$FZ$601,10,Sync!$C$13)),0),"")</f>
        <v/>
      </c>
      <c r="C2861" s="23" t="str">
        <f aca="false">IF(B2861="","","office")</f>
        <v/>
      </c>
      <c r="D2861" s="23" t="str">
        <f aca="false">IF(B2861="","",IFERROR(INDEX(Office_Log!$ED$2:$ED$201,MATCH(IFERROR(INDEX(Clay_Offices!$A$2:$FZ$601,10,Sync!$C$5)&amp;"",""),Office_Log!$A$2:$A$201,0))&amp;"",IFERROR(INDEX(Clay_Offices!$A$2:$FZ$601,10,Sync!$C$5)&amp;"","")&amp;""))</f>
        <v/>
      </c>
      <c r="E2861" s="23" t="str">
        <f aca="false">IF(B2861="","",IFERROR(INDEX(Clay_Offices!$A$2:$FZ$601,10,Sync!$C$6)&amp;"",""))</f>
        <v/>
      </c>
      <c r="F2861" s="23" t="str">
        <f aca="false">IF(B2861="","","outreach_sent")</f>
        <v/>
      </c>
      <c r="G2861" s="23" t="str">
        <f aca="false">IF(B2861="","","")</f>
        <v/>
      </c>
      <c r="H2861" s="23" t="str">
        <f aca="false">IF(B2861="","","")</f>
        <v/>
      </c>
      <c r="I2861" s="23" t="str">
        <f aca="false">IF(B2861="","","")</f>
        <v/>
      </c>
      <c r="J2861" s="23" t="str">
        <f aca="false">IF(B2861="","","touch_3; "&amp;IFERROR(INDEX(Clay_Offices!$A$2:$FZ$601,10,Sync!$C$10)&amp;"","")&amp;"; "&amp;IFERROR(INDEX(Clay_Offices!$A$2:$FZ$601,10,Sync!$C$9)&amp;"",""))</f>
        <v/>
      </c>
      <c r="K2861" s="32" t="s">
        <v>1365</v>
      </c>
    </row>
    <row r="2862" customFormat="false" ht="15" hidden="false" customHeight="false" outlineLevel="0" collapsed="false">
      <c r="A2862" s="23" t="str">
        <f aca="false">IF(B2862="","",B2862+(14*1000+11)/10000000)</f>
        <v/>
      </c>
      <c r="B2862" s="35" t="str">
        <f aca="false">IF(AND(IFERROR(N(INDEX(Clay_Offices!$A$2:$FZ$601,11,Sync!$C$13)),0)&gt;0,IFERROR(INDEX(Clay_Offices!$A$2:$FZ$601,11,Sync!$C$5)&amp;"","")&lt;&gt;"",OR(LEFT(IFERROR(INDEX(Clay_Offices!$A$2:$FZ$601,11,Sync!$C$5)&amp;"",""),6)&lt;&gt;"SAMPLE",Config!$B$19="Y")),IFERROR(N(INDEX(Clay_Offices!$A$2:$FZ$601,11,Sync!$C$13)),0),"")</f>
        <v/>
      </c>
      <c r="C2862" s="23" t="str">
        <f aca="false">IF(B2862="","","office")</f>
        <v/>
      </c>
      <c r="D2862" s="23" t="str">
        <f aca="false">IF(B2862="","",IFERROR(INDEX(Office_Log!$ED$2:$ED$201,MATCH(IFERROR(INDEX(Clay_Offices!$A$2:$FZ$601,11,Sync!$C$5)&amp;"",""),Office_Log!$A$2:$A$201,0))&amp;"",IFERROR(INDEX(Clay_Offices!$A$2:$FZ$601,11,Sync!$C$5)&amp;"","")&amp;""))</f>
        <v/>
      </c>
      <c r="E2862" s="23" t="str">
        <f aca="false">IF(B2862="","",IFERROR(INDEX(Clay_Offices!$A$2:$FZ$601,11,Sync!$C$6)&amp;"",""))</f>
        <v/>
      </c>
      <c r="F2862" s="23" t="str">
        <f aca="false">IF(B2862="","","outreach_sent")</f>
        <v/>
      </c>
      <c r="G2862" s="23" t="str">
        <f aca="false">IF(B2862="","","")</f>
        <v/>
      </c>
      <c r="H2862" s="23" t="str">
        <f aca="false">IF(B2862="","","")</f>
        <v/>
      </c>
      <c r="I2862" s="23" t="str">
        <f aca="false">IF(B2862="","","")</f>
        <v/>
      </c>
      <c r="J2862" s="23" t="str">
        <f aca="false">IF(B2862="","","touch_3; "&amp;IFERROR(INDEX(Clay_Offices!$A$2:$FZ$601,11,Sync!$C$10)&amp;"","")&amp;"; "&amp;IFERROR(INDEX(Clay_Offices!$A$2:$FZ$601,11,Sync!$C$9)&amp;"",""))</f>
        <v/>
      </c>
      <c r="K2862" s="32" t="s">
        <v>1365</v>
      </c>
    </row>
    <row r="2863" customFormat="false" ht="15" hidden="false" customHeight="false" outlineLevel="0" collapsed="false">
      <c r="A2863" s="23" t="str">
        <f aca="false">IF(B2863="","",B2863+(14*1000+12)/10000000)</f>
        <v/>
      </c>
      <c r="B2863" s="35" t="str">
        <f aca="false">IF(AND(IFERROR(N(INDEX(Clay_Offices!$A$2:$FZ$601,12,Sync!$C$13)),0)&gt;0,IFERROR(INDEX(Clay_Offices!$A$2:$FZ$601,12,Sync!$C$5)&amp;"","")&lt;&gt;"",OR(LEFT(IFERROR(INDEX(Clay_Offices!$A$2:$FZ$601,12,Sync!$C$5)&amp;"",""),6)&lt;&gt;"SAMPLE",Config!$B$19="Y")),IFERROR(N(INDEX(Clay_Offices!$A$2:$FZ$601,12,Sync!$C$13)),0),"")</f>
        <v/>
      </c>
      <c r="C2863" s="23" t="str">
        <f aca="false">IF(B2863="","","office")</f>
        <v/>
      </c>
      <c r="D2863" s="23" t="str">
        <f aca="false">IF(B2863="","",IFERROR(INDEX(Office_Log!$ED$2:$ED$201,MATCH(IFERROR(INDEX(Clay_Offices!$A$2:$FZ$601,12,Sync!$C$5)&amp;"",""),Office_Log!$A$2:$A$201,0))&amp;"",IFERROR(INDEX(Clay_Offices!$A$2:$FZ$601,12,Sync!$C$5)&amp;"","")&amp;""))</f>
        <v/>
      </c>
      <c r="E2863" s="23" t="str">
        <f aca="false">IF(B2863="","",IFERROR(INDEX(Clay_Offices!$A$2:$FZ$601,12,Sync!$C$6)&amp;"",""))</f>
        <v/>
      </c>
      <c r="F2863" s="23" t="str">
        <f aca="false">IF(B2863="","","outreach_sent")</f>
        <v/>
      </c>
      <c r="G2863" s="23" t="str">
        <f aca="false">IF(B2863="","","")</f>
        <v/>
      </c>
      <c r="H2863" s="23" t="str">
        <f aca="false">IF(B2863="","","")</f>
        <v/>
      </c>
      <c r="I2863" s="23" t="str">
        <f aca="false">IF(B2863="","","")</f>
        <v/>
      </c>
      <c r="J2863" s="23" t="str">
        <f aca="false">IF(B2863="","","touch_3; "&amp;IFERROR(INDEX(Clay_Offices!$A$2:$FZ$601,12,Sync!$C$10)&amp;"","")&amp;"; "&amp;IFERROR(INDEX(Clay_Offices!$A$2:$FZ$601,12,Sync!$C$9)&amp;"",""))</f>
        <v/>
      </c>
      <c r="K2863" s="32" t="s">
        <v>1365</v>
      </c>
    </row>
    <row r="2864" customFormat="false" ht="15" hidden="false" customHeight="false" outlineLevel="0" collapsed="false">
      <c r="A2864" s="23" t="str">
        <f aca="false">IF(B2864="","",B2864+(14*1000+13)/10000000)</f>
        <v/>
      </c>
      <c r="B2864" s="35" t="str">
        <f aca="false">IF(AND(IFERROR(N(INDEX(Clay_Offices!$A$2:$FZ$601,13,Sync!$C$13)),0)&gt;0,IFERROR(INDEX(Clay_Offices!$A$2:$FZ$601,13,Sync!$C$5)&amp;"","")&lt;&gt;"",OR(LEFT(IFERROR(INDEX(Clay_Offices!$A$2:$FZ$601,13,Sync!$C$5)&amp;"",""),6)&lt;&gt;"SAMPLE",Config!$B$19="Y")),IFERROR(N(INDEX(Clay_Offices!$A$2:$FZ$601,13,Sync!$C$13)),0),"")</f>
        <v/>
      </c>
      <c r="C2864" s="23" t="str">
        <f aca="false">IF(B2864="","","office")</f>
        <v/>
      </c>
      <c r="D2864" s="23" t="str">
        <f aca="false">IF(B2864="","",IFERROR(INDEX(Office_Log!$ED$2:$ED$201,MATCH(IFERROR(INDEX(Clay_Offices!$A$2:$FZ$601,13,Sync!$C$5)&amp;"",""),Office_Log!$A$2:$A$201,0))&amp;"",IFERROR(INDEX(Clay_Offices!$A$2:$FZ$601,13,Sync!$C$5)&amp;"","")&amp;""))</f>
        <v/>
      </c>
      <c r="E2864" s="23" t="str">
        <f aca="false">IF(B2864="","",IFERROR(INDEX(Clay_Offices!$A$2:$FZ$601,13,Sync!$C$6)&amp;"",""))</f>
        <v/>
      </c>
      <c r="F2864" s="23" t="str">
        <f aca="false">IF(B2864="","","outreach_sent")</f>
        <v/>
      </c>
      <c r="G2864" s="23" t="str">
        <f aca="false">IF(B2864="","","")</f>
        <v/>
      </c>
      <c r="H2864" s="23" t="str">
        <f aca="false">IF(B2864="","","")</f>
        <v/>
      </c>
      <c r="I2864" s="23" t="str">
        <f aca="false">IF(B2864="","","")</f>
        <v/>
      </c>
      <c r="J2864" s="23" t="str">
        <f aca="false">IF(B2864="","","touch_3; "&amp;IFERROR(INDEX(Clay_Offices!$A$2:$FZ$601,13,Sync!$C$10)&amp;"","")&amp;"; "&amp;IFERROR(INDEX(Clay_Offices!$A$2:$FZ$601,13,Sync!$C$9)&amp;"",""))</f>
        <v/>
      </c>
      <c r="K2864" s="32" t="s">
        <v>1365</v>
      </c>
    </row>
    <row r="2865" customFormat="false" ht="15" hidden="false" customHeight="false" outlineLevel="0" collapsed="false">
      <c r="A2865" s="42" t="n">
        <f aca="false">IF(B2865="","",B2865+(14*1000+14)/10000000)</f>
        <v>46342.0014014</v>
      </c>
      <c r="B2865" s="35" t="n">
        <f aca="false">IF(AND(IFERROR(N(INDEX(Clay_Offices!$A$2:$FZ$601,14,Sync!$C$13)),0)&gt;0,IFERROR(INDEX(Clay_Offices!$A$2:$FZ$601,14,Sync!$C$5)&amp;"","")&lt;&gt;"",OR(LEFT(IFERROR(INDEX(Clay_Offices!$A$2:$FZ$601,14,Sync!$C$5)&amp;"",""),6)&lt;&gt;"SAMPLE",Config!$B$19="Y")),IFERROR(N(INDEX(Clay_Offices!$A$2:$FZ$601,14,Sync!$C$13)),0),"")</f>
        <v>46342</v>
      </c>
      <c r="C2865" s="23" t="str">
        <f aca="false">IF(B2865="","","office")</f>
        <v>office</v>
      </c>
      <c r="D2865" s="23" t="str">
        <f aca="false">IF(B2865="","",IFERROR(INDEX(Office_Log!$ED$2:$ED$201,MATCH(IFERROR(INDEX(Clay_Offices!$A$2:$FZ$601,14,Sync!$C$5)&amp;"",""),Office_Log!$A$2:$A$201,0))&amp;"",IFERROR(INDEX(Clay_Offices!$A$2:$FZ$601,14,Sync!$C$5)&amp;"","")&amp;""))</f>
        <v>SAMPLE-O-015</v>
      </c>
      <c r="E2865" s="23" t="str">
        <f aca="false">IF(B2865="","",IFERROR(INDEX(Clay_Offices!$A$2:$FZ$601,14,Sync!$C$6)&amp;"",""))</f>
        <v>SAMPLE Office 15</v>
      </c>
      <c r="F2865" s="23" t="str">
        <f aca="false">IF(B2865="","","outreach_sent")</f>
        <v>outreach_sent</v>
      </c>
      <c r="G2865" s="23" t="str">
        <f aca="false">IF(B2865="","","")</f>
        <v/>
      </c>
      <c r="H2865" s="23" t="str">
        <f aca="false">IF(B2865="","","")</f>
        <v/>
      </c>
      <c r="I2865" s="23" t="str">
        <f aca="false">IF(B2865="","","")</f>
        <v/>
      </c>
      <c r="J2865" s="23" t="str">
        <f aca="false">IF(B2865="","","touch_3; "&amp;IFERROR(INDEX(Clay_Offices!$A$2:$FZ$601,14,Sync!$C$10)&amp;"","")&amp;"; "&amp;IFERROR(INDEX(Clay_Offices!$A$2:$FZ$601,14,Sync!$C$9)&amp;"",""))</f>
        <v>touch_3; office-discovery-A; linkedin</v>
      </c>
      <c r="K2865" s="32" t="s">
        <v>1365</v>
      </c>
    </row>
    <row r="2866" customFormat="false" ht="15" hidden="false" customHeight="false" outlineLevel="0" collapsed="false">
      <c r="A2866" s="23" t="str">
        <f aca="false">IF(B2866="","",B2866+(14*1000+15)/10000000)</f>
        <v/>
      </c>
      <c r="B2866" s="35" t="str">
        <f aca="false">IF(AND(IFERROR(N(INDEX(Clay_Offices!$A$2:$FZ$601,15,Sync!$C$13)),0)&gt;0,IFERROR(INDEX(Clay_Offices!$A$2:$FZ$601,15,Sync!$C$5)&amp;"","")&lt;&gt;"",OR(LEFT(IFERROR(INDEX(Clay_Offices!$A$2:$FZ$601,15,Sync!$C$5)&amp;"",""),6)&lt;&gt;"SAMPLE",Config!$B$19="Y")),IFERROR(N(INDEX(Clay_Offices!$A$2:$FZ$601,15,Sync!$C$13)),0),"")</f>
        <v/>
      </c>
      <c r="C2866" s="23" t="str">
        <f aca="false">IF(B2866="","","office")</f>
        <v/>
      </c>
      <c r="D2866" s="23" t="str">
        <f aca="false">IF(B2866="","",IFERROR(INDEX(Office_Log!$ED$2:$ED$201,MATCH(IFERROR(INDEX(Clay_Offices!$A$2:$FZ$601,15,Sync!$C$5)&amp;"",""),Office_Log!$A$2:$A$201,0))&amp;"",IFERROR(INDEX(Clay_Offices!$A$2:$FZ$601,15,Sync!$C$5)&amp;"","")&amp;""))</f>
        <v/>
      </c>
      <c r="E2866" s="23" t="str">
        <f aca="false">IF(B2866="","",IFERROR(INDEX(Clay_Offices!$A$2:$FZ$601,15,Sync!$C$6)&amp;"",""))</f>
        <v/>
      </c>
      <c r="F2866" s="23" t="str">
        <f aca="false">IF(B2866="","","outreach_sent")</f>
        <v/>
      </c>
      <c r="G2866" s="23" t="str">
        <f aca="false">IF(B2866="","","")</f>
        <v/>
      </c>
      <c r="H2866" s="23" t="str">
        <f aca="false">IF(B2866="","","")</f>
        <v/>
      </c>
      <c r="I2866" s="23" t="str">
        <f aca="false">IF(B2866="","","")</f>
        <v/>
      </c>
      <c r="J2866" s="23" t="str">
        <f aca="false">IF(B2866="","","touch_3; "&amp;IFERROR(INDEX(Clay_Offices!$A$2:$FZ$601,15,Sync!$C$10)&amp;"","")&amp;"; "&amp;IFERROR(INDEX(Clay_Offices!$A$2:$FZ$601,15,Sync!$C$9)&amp;"",""))</f>
        <v/>
      </c>
      <c r="K2866" s="32" t="s">
        <v>1365</v>
      </c>
    </row>
    <row r="2867" customFormat="false" ht="15" hidden="false" customHeight="false" outlineLevel="0" collapsed="false">
      <c r="A2867" s="23" t="str">
        <f aca="false">IF(B2867="","",B2867+(14*1000+16)/10000000)</f>
        <v/>
      </c>
      <c r="B2867" s="35" t="str">
        <f aca="false">IF(AND(IFERROR(N(INDEX(Clay_Offices!$A$2:$FZ$601,16,Sync!$C$13)),0)&gt;0,IFERROR(INDEX(Clay_Offices!$A$2:$FZ$601,16,Sync!$C$5)&amp;"","")&lt;&gt;"",OR(LEFT(IFERROR(INDEX(Clay_Offices!$A$2:$FZ$601,16,Sync!$C$5)&amp;"",""),6)&lt;&gt;"SAMPLE",Config!$B$19="Y")),IFERROR(N(INDEX(Clay_Offices!$A$2:$FZ$601,16,Sync!$C$13)),0),"")</f>
        <v/>
      </c>
      <c r="C2867" s="23" t="str">
        <f aca="false">IF(B2867="","","office")</f>
        <v/>
      </c>
      <c r="D2867" s="23" t="str">
        <f aca="false">IF(B2867="","",IFERROR(INDEX(Office_Log!$ED$2:$ED$201,MATCH(IFERROR(INDEX(Clay_Offices!$A$2:$FZ$601,16,Sync!$C$5)&amp;"",""),Office_Log!$A$2:$A$201,0))&amp;"",IFERROR(INDEX(Clay_Offices!$A$2:$FZ$601,16,Sync!$C$5)&amp;"","")&amp;""))</f>
        <v/>
      </c>
      <c r="E2867" s="23" t="str">
        <f aca="false">IF(B2867="","",IFERROR(INDEX(Clay_Offices!$A$2:$FZ$601,16,Sync!$C$6)&amp;"",""))</f>
        <v/>
      </c>
      <c r="F2867" s="23" t="str">
        <f aca="false">IF(B2867="","","outreach_sent")</f>
        <v/>
      </c>
      <c r="G2867" s="23" t="str">
        <f aca="false">IF(B2867="","","")</f>
        <v/>
      </c>
      <c r="H2867" s="23" t="str">
        <f aca="false">IF(B2867="","","")</f>
        <v/>
      </c>
      <c r="I2867" s="23" t="str">
        <f aca="false">IF(B2867="","","")</f>
        <v/>
      </c>
      <c r="J2867" s="23" t="str">
        <f aca="false">IF(B2867="","","touch_3; "&amp;IFERROR(INDEX(Clay_Offices!$A$2:$FZ$601,16,Sync!$C$10)&amp;"","")&amp;"; "&amp;IFERROR(INDEX(Clay_Offices!$A$2:$FZ$601,16,Sync!$C$9)&amp;"",""))</f>
        <v/>
      </c>
      <c r="K2867" s="32" t="s">
        <v>1365</v>
      </c>
    </row>
    <row r="2868" customFormat="false" ht="15" hidden="false" customHeight="false" outlineLevel="0" collapsed="false">
      <c r="A2868" s="23" t="str">
        <f aca="false">IF(B2868="","",B2868+(14*1000+17)/10000000)</f>
        <v/>
      </c>
      <c r="B2868" s="35" t="str">
        <f aca="false">IF(AND(IFERROR(N(INDEX(Clay_Offices!$A$2:$FZ$601,17,Sync!$C$13)),0)&gt;0,IFERROR(INDEX(Clay_Offices!$A$2:$FZ$601,17,Sync!$C$5)&amp;"","")&lt;&gt;"",OR(LEFT(IFERROR(INDEX(Clay_Offices!$A$2:$FZ$601,17,Sync!$C$5)&amp;"",""),6)&lt;&gt;"SAMPLE",Config!$B$19="Y")),IFERROR(N(INDEX(Clay_Offices!$A$2:$FZ$601,17,Sync!$C$13)),0),"")</f>
        <v/>
      </c>
      <c r="C2868" s="23" t="str">
        <f aca="false">IF(B2868="","","office")</f>
        <v/>
      </c>
      <c r="D2868" s="23" t="str">
        <f aca="false">IF(B2868="","",IFERROR(INDEX(Office_Log!$ED$2:$ED$201,MATCH(IFERROR(INDEX(Clay_Offices!$A$2:$FZ$601,17,Sync!$C$5)&amp;"",""),Office_Log!$A$2:$A$201,0))&amp;"",IFERROR(INDEX(Clay_Offices!$A$2:$FZ$601,17,Sync!$C$5)&amp;"","")&amp;""))</f>
        <v/>
      </c>
      <c r="E2868" s="23" t="str">
        <f aca="false">IF(B2868="","",IFERROR(INDEX(Clay_Offices!$A$2:$FZ$601,17,Sync!$C$6)&amp;"",""))</f>
        <v/>
      </c>
      <c r="F2868" s="23" t="str">
        <f aca="false">IF(B2868="","","outreach_sent")</f>
        <v/>
      </c>
      <c r="G2868" s="23" t="str">
        <f aca="false">IF(B2868="","","")</f>
        <v/>
      </c>
      <c r="H2868" s="23" t="str">
        <f aca="false">IF(B2868="","","")</f>
        <v/>
      </c>
      <c r="I2868" s="23" t="str">
        <f aca="false">IF(B2868="","","")</f>
        <v/>
      </c>
      <c r="J2868" s="23" t="str">
        <f aca="false">IF(B2868="","","touch_3; "&amp;IFERROR(INDEX(Clay_Offices!$A$2:$FZ$601,17,Sync!$C$10)&amp;"","")&amp;"; "&amp;IFERROR(INDEX(Clay_Offices!$A$2:$FZ$601,17,Sync!$C$9)&amp;"",""))</f>
        <v/>
      </c>
      <c r="K2868" s="32" t="s">
        <v>1365</v>
      </c>
    </row>
    <row r="2869" customFormat="false" ht="15" hidden="false" customHeight="false" outlineLevel="0" collapsed="false">
      <c r="A2869" s="23" t="str">
        <f aca="false">IF(B2869="","",B2869+(14*1000+18)/10000000)</f>
        <v/>
      </c>
      <c r="B2869" s="35" t="str">
        <f aca="false">IF(AND(IFERROR(N(INDEX(Clay_Offices!$A$2:$FZ$601,18,Sync!$C$13)),0)&gt;0,IFERROR(INDEX(Clay_Offices!$A$2:$FZ$601,18,Sync!$C$5)&amp;"","")&lt;&gt;"",OR(LEFT(IFERROR(INDEX(Clay_Offices!$A$2:$FZ$601,18,Sync!$C$5)&amp;"",""),6)&lt;&gt;"SAMPLE",Config!$B$19="Y")),IFERROR(N(INDEX(Clay_Offices!$A$2:$FZ$601,18,Sync!$C$13)),0),"")</f>
        <v/>
      </c>
      <c r="C2869" s="23" t="str">
        <f aca="false">IF(B2869="","","office")</f>
        <v/>
      </c>
      <c r="D2869" s="23" t="str">
        <f aca="false">IF(B2869="","",IFERROR(INDEX(Office_Log!$ED$2:$ED$201,MATCH(IFERROR(INDEX(Clay_Offices!$A$2:$FZ$601,18,Sync!$C$5)&amp;"",""),Office_Log!$A$2:$A$201,0))&amp;"",IFERROR(INDEX(Clay_Offices!$A$2:$FZ$601,18,Sync!$C$5)&amp;"","")&amp;""))</f>
        <v/>
      </c>
      <c r="E2869" s="23" t="str">
        <f aca="false">IF(B2869="","",IFERROR(INDEX(Clay_Offices!$A$2:$FZ$601,18,Sync!$C$6)&amp;"",""))</f>
        <v/>
      </c>
      <c r="F2869" s="23" t="str">
        <f aca="false">IF(B2869="","","outreach_sent")</f>
        <v/>
      </c>
      <c r="G2869" s="23" t="str">
        <f aca="false">IF(B2869="","","")</f>
        <v/>
      </c>
      <c r="H2869" s="23" t="str">
        <f aca="false">IF(B2869="","","")</f>
        <v/>
      </c>
      <c r="I2869" s="23" t="str">
        <f aca="false">IF(B2869="","","")</f>
        <v/>
      </c>
      <c r="J2869" s="23" t="str">
        <f aca="false">IF(B2869="","","touch_3; "&amp;IFERROR(INDEX(Clay_Offices!$A$2:$FZ$601,18,Sync!$C$10)&amp;"","")&amp;"; "&amp;IFERROR(INDEX(Clay_Offices!$A$2:$FZ$601,18,Sync!$C$9)&amp;"",""))</f>
        <v/>
      </c>
      <c r="K2869" s="32" t="s">
        <v>1365</v>
      </c>
    </row>
    <row r="2870" customFormat="false" ht="15" hidden="false" customHeight="false" outlineLevel="0" collapsed="false">
      <c r="A2870" s="23" t="str">
        <f aca="false">IF(B2870="","",B2870+(14*1000+19)/10000000)</f>
        <v/>
      </c>
      <c r="B2870" s="35" t="str">
        <f aca="false">IF(AND(IFERROR(N(INDEX(Clay_Offices!$A$2:$FZ$601,19,Sync!$C$13)),0)&gt;0,IFERROR(INDEX(Clay_Offices!$A$2:$FZ$601,19,Sync!$C$5)&amp;"","")&lt;&gt;"",OR(LEFT(IFERROR(INDEX(Clay_Offices!$A$2:$FZ$601,19,Sync!$C$5)&amp;"",""),6)&lt;&gt;"SAMPLE",Config!$B$19="Y")),IFERROR(N(INDEX(Clay_Offices!$A$2:$FZ$601,19,Sync!$C$13)),0),"")</f>
        <v/>
      </c>
      <c r="C2870" s="23" t="str">
        <f aca="false">IF(B2870="","","office")</f>
        <v/>
      </c>
      <c r="D2870" s="23" t="str">
        <f aca="false">IF(B2870="","",IFERROR(INDEX(Office_Log!$ED$2:$ED$201,MATCH(IFERROR(INDEX(Clay_Offices!$A$2:$FZ$601,19,Sync!$C$5)&amp;"",""),Office_Log!$A$2:$A$201,0))&amp;"",IFERROR(INDEX(Clay_Offices!$A$2:$FZ$601,19,Sync!$C$5)&amp;"","")&amp;""))</f>
        <v/>
      </c>
      <c r="E2870" s="23" t="str">
        <f aca="false">IF(B2870="","",IFERROR(INDEX(Clay_Offices!$A$2:$FZ$601,19,Sync!$C$6)&amp;"",""))</f>
        <v/>
      </c>
      <c r="F2870" s="23" t="str">
        <f aca="false">IF(B2870="","","outreach_sent")</f>
        <v/>
      </c>
      <c r="G2870" s="23" t="str">
        <f aca="false">IF(B2870="","","")</f>
        <v/>
      </c>
      <c r="H2870" s="23" t="str">
        <f aca="false">IF(B2870="","","")</f>
        <v/>
      </c>
      <c r="I2870" s="23" t="str">
        <f aca="false">IF(B2870="","","")</f>
        <v/>
      </c>
      <c r="J2870" s="23" t="str">
        <f aca="false">IF(B2870="","","touch_3; "&amp;IFERROR(INDEX(Clay_Offices!$A$2:$FZ$601,19,Sync!$C$10)&amp;"","")&amp;"; "&amp;IFERROR(INDEX(Clay_Offices!$A$2:$FZ$601,19,Sync!$C$9)&amp;"",""))</f>
        <v/>
      </c>
      <c r="K2870" s="32" t="s">
        <v>1365</v>
      </c>
    </row>
    <row r="2871" customFormat="false" ht="15" hidden="false" customHeight="false" outlineLevel="0" collapsed="false">
      <c r="A2871" s="23" t="str">
        <f aca="false">IF(B2871="","",B2871+(14*1000+20)/10000000)</f>
        <v/>
      </c>
      <c r="B2871" s="35" t="str">
        <f aca="false">IF(AND(IFERROR(N(INDEX(Clay_Offices!$A$2:$FZ$601,20,Sync!$C$13)),0)&gt;0,IFERROR(INDEX(Clay_Offices!$A$2:$FZ$601,20,Sync!$C$5)&amp;"","")&lt;&gt;"",OR(LEFT(IFERROR(INDEX(Clay_Offices!$A$2:$FZ$601,20,Sync!$C$5)&amp;"",""),6)&lt;&gt;"SAMPLE",Config!$B$19="Y")),IFERROR(N(INDEX(Clay_Offices!$A$2:$FZ$601,20,Sync!$C$13)),0),"")</f>
        <v/>
      </c>
      <c r="C2871" s="23" t="str">
        <f aca="false">IF(B2871="","","office")</f>
        <v/>
      </c>
      <c r="D2871" s="23" t="str">
        <f aca="false">IF(B2871="","",IFERROR(INDEX(Office_Log!$ED$2:$ED$201,MATCH(IFERROR(INDEX(Clay_Offices!$A$2:$FZ$601,20,Sync!$C$5)&amp;"",""),Office_Log!$A$2:$A$201,0))&amp;"",IFERROR(INDEX(Clay_Offices!$A$2:$FZ$601,20,Sync!$C$5)&amp;"","")&amp;""))</f>
        <v/>
      </c>
      <c r="E2871" s="23" t="str">
        <f aca="false">IF(B2871="","",IFERROR(INDEX(Clay_Offices!$A$2:$FZ$601,20,Sync!$C$6)&amp;"",""))</f>
        <v/>
      </c>
      <c r="F2871" s="23" t="str">
        <f aca="false">IF(B2871="","","outreach_sent")</f>
        <v/>
      </c>
      <c r="G2871" s="23" t="str">
        <f aca="false">IF(B2871="","","")</f>
        <v/>
      </c>
      <c r="H2871" s="23" t="str">
        <f aca="false">IF(B2871="","","")</f>
        <v/>
      </c>
      <c r="I2871" s="23" t="str">
        <f aca="false">IF(B2871="","","")</f>
        <v/>
      </c>
      <c r="J2871" s="23" t="str">
        <f aca="false">IF(B2871="","","touch_3; "&amp;IFERROR(INDEX(Clay_Offices!$A$2:$FZ$601,20,Sync!$C$10)&amp;"","")&amp;"; "&amp;IFERROR(INDEX(Clay_Offices!$A$2:$FZ$601,20,Sync!$C$9)&amp;"",""))</f>
        <v/>
      </c>
      <c r="K2871" s="32" t="s">
        <v>1365</v>
      </c>
    </row>
    <row r="2872" customFormat="false" ht="15" hidden="false" customHeight="false" outlineLevel="0" collapsed="false">
      <c r="A2872" s="42" t="n">
        <f aca="false">IF(B2872="","",B2872+(14*1000+21)/10000000)</f>
        <v>46344.0014021</v>
      </c>
      <c r="B2872" s="35" t="n">
        <f aca="false">IF(AND(IFERROR(N(INDEX(Clay_Offices!$A$2:$FZ$601,21,Sync!$C$13)),0)&gt;0,IFERROR(INDEX(Clay_Offices!$A$2:$FZ$601,21,Sync!$C$5)&amp;"","")&lt;&gt;"",OR(LEFT(IFERROR(INDEX(Clay_Offices!$A$2:$FZ$601,21,Sync!$C$5)&amp;"",""),6)&lt;&gt;"SAMPLE",Config!$B$19="Y")),IFERROR(N(INDEX(Clay_Offices!$A$2:$FZ$601,21,Sync!$C$13)),0),"")</f>
        <v>46344</v>
      </c>
      <c r="C2872" s="23" t="str">
        <f aca="false">IF(B2872="","","office")</f>
        <v>office</v>
      </c>
      <c r="D2872" s="23" t="str">
        <f aca="false">IF(B2872="","",IFERROR(INDEX(Office_Log!$ED$2:$ED$201,MATCH(IFERROR(INDEX(Clay_Offices!$A$2:$FZ$601,21,Sync!$C$5)&amp;"",""),Office_Log!$A$2:$A$201,0))&amp;"",IFERROR(INDEX(Clay_Offices!$A$2:$FZ$601,21,Sync!$C$5)&amp;"","")&amp;""))</f>
        <v>SAMPLE-O-022</v>
      </c>
      <c r="E2872" s="23" t="str">
        <f aca="false">IF(B2872="","",IFERROR(INDEX(Clay_Offices!$A$2:$FZ$601,21,Sync!$C$6)&amp;"",""))</f>
        <v>SAMPLE Office 22</v>
      </c>
      <c r="F2872" s="23" t="str">
        <f aca="false">IF(B2872="","","outreach_sent")</f>
        <v>outreach_sent</v>
      </c>
      <c r="G2872" s="23" t="str">
        <f aca="false">IF(B2872="","","")</f>
        <v/>
      </c>
      <c r="H2872" s="23" t="str">
        <f aca="false">IF(B2872="","","")</f>
        <v/>
      </c>
      <c r="I2872" s="23" t="str">
        <f aca="false">IF(B2872="","","")</f>
        <v/>
      </c>
      <c r="J2872" s="23" t="str">
        <f aca="false">IF(B2872="","","touch_3; "&amp;IFERROR(INDEX(Clay_Offices!$A$2:$FZ$601,21,Sync!$C$10)&amp;"","")&amp;"; "&amp;IFERROR(INDEX(Clay_Offices!$A$2:$FZ$601,21,Sync!$C$9)&amp;"",""))</f>
        <v>touch_3; office-discovery-B; linkedin</v>
      </c>
      <c r="K2872" s="32" t="s">
        <v>1365</v>
      </c>
    </row>
    <row r="2873" customFormat="false" ht="15" hidden="false" customHeight="false" outlineLevel="0" collapsed="false">
      <c r="A2873" s="23" t="str">
        <f aca="false">IF(B2873="","",B2873+(14*1000+22)/10000000)</f>
        <v/>
      </c>
      <c r="B2873" s="35" t="str">
        <f aca="false">IF(AND(IFERROR(N(INDEX(Clay_Offices!$A$2:$FZ$601,22,Sync!$C$13)),0)&gt;0,IFERROR(INDEX(Clay_Offices!$A$2:$FZ$601,22,Sync!$C$5)&amp;"","")&lt;&gt;"",OR(LEFT(IFERROR(INDEX(Clay_Offices!$A$2:$FZ$601,22,Sync!$C$5)&amp;"",""),6)&lt;&gt;"SAMPLE",Config!$B$19="Y")),IFERROR(N(INDEX(Clay_Offices!$A$2:$FZ$601,22,Sync!$C$13)),0),"")</f>
        <v/>
      </c>
      <c r="C2873" s="23" t="str">
        <f aca="false">IF(B2873="","","office")</f>
        <v/>
      </c>
      <c r="D2873" s="23" t="str">
        <f aca="false">IF(B2873="","",IFERROR(INDEX(Office_Log!$ED$2:$ED$201,MATCH(IFERROR(INDEX(Clay_Offices!$A$2:$FZ$601,22,Sync!$C$5)&amp;"",""),Office_Log!$A$2:$A$201,0))&amp;"",IFERROR(INDEX(Clay_Offices!$A$2:$FZ$601,22,Sync!$C$5)&amp;"","")&amp;""))</f>
        <v/>
      </c>
      <c r="E2873" s="23" t="str">
        <f aca="false">IF(B2873="","",IFERROR(INDEX(Clay_Offices!$A$2:$FZ$601,22,Sync!$C$6)&amp;"",""))</f>
        <v/>
      </c>
      <c r="F2873" s="23" t="str">
        <f aca="false">IF(B2873="","","outreach_sent")</f>
        <v/>
      </c>
      <c r="G2873" s="23" t="str">
        <f aca="false">IF(B2873="","","")</f>
        <v/>
      </c>
      <c r="H2873" s="23" t="str">
        <f aca="false">IF(B2873="","","")</f>
        <v/>
      </c>
      <c r="I2873" s="23" t="str">
        <f aca="false">IF(B2873="","","")</f>
        <v/>
      </c>
      <c r="J2873" s="23" t="str">
        <f aca="false">IF(B2873="","","touch_3; "&amp;IFERROR(INDEX(Clay_Offices!$A$2:$FZ$601,22,Sync!$C$10)&amp;"","")&amp;"; "&amp;IFERROR(INDEX(Clay_Offices!$A$2:$FZ$601,22,Sync!$C$9)&amp;"",""))</f>
        <v/>
      </c>
      <c r="K2873" s="32" t="s">
        <v>1365</v>
      </c>
    </row>
    <row r="2874" customFormat="false" ht="15" hidden="false" customHeight="false" outlineLevel="0" collapsed="false">
      <c r="A2874" s="23" t="str">
        <f aca="false">IF(B2874="","",B2874+(14*1000+23)/10000000)</f>
        <v/>
      </c>
      <c r="B2874" s="35" t="str">
        <f aca="false">IF(AND(IFERROR(N(INDEX(Clay_Offices!$A$2:$FZ$601,23,Sync!$C$13)),0)&gt;0,IFERROR(INDEX(Clay_Offices!$A$2:$FZ$601,23,Sync!$C$5)&amp;"","")&lt;&gt;"",OR(LEFT(IFERROR(INDEX(Clay_Offices!$A$2:$FZ$601,23,Sync!$C$5)&amp;"",""),6)&lt;&gt;"SAMPLE",Config!$B$19="Y")),IFERROR(N(INDEX(Clay_Offices!$A$2:$FZ$601,23,Sync!$C$13)),0),"")</f>
        <v/>
      </c>
      <c r="C2874" s="23" t="str">
        <f aca="false">IF(B2874="","","office")</f>
        <v/>
      </c>
      <c r="D2874" s="23" t="str">
        <f aca="false">IF(B2874="","",IFERROR(INDEX(Office_Log!$ED$2:$ED$201,MATCH(IFERROR(INDEX(Clay_Offices!$A$2:$FZ$601,23,Sync!$C$5)&amp;"",""),Office_Log!$A$2:$A$201,0))&amp;"",IFERROR(INDEX(Clay_Offices!$A$2:$FZ$601,23,Sync!$C$5)&amp;"","")&amp;""))</f>
        <v/>
      </c>
      <c r="E2874" s="23" t="str">
        <f aca="false">IF(B2874="","",IFERROR(INDEX(Clay_Offices!$A$2:$FZ$601,23,Sync!$C$6)&amp;"",""))</f>
        <v/>
      </c>
      <c r="F2874" s="23" t="str">
        <f aca="false">IF(B2874="","","outreach_sent")</f>
        <v/>
      </c>
      <c r="G2874" s="23" t="str">
        <f aca="false">IF(B2874="","","")</f>
        <v/>
      </c>
      <c r="H2874" s="23" t="str">
        <f aca="false">IF(B2874="","","")</f>
        <v/>
      </c>
      <c r="I2874" s="23" t="str">
        <f aca="false">IF(B2874="","","")</f>
        <v/>
      </c>
      <c r="J2874" s="23" t="str">
        <f aca="false">IF(B2874="","","touch_3; "&amp;IFERROR(INDEX(Clay_Offices!$A$2:$FZ$601,23,Sync!$C$10)&amp;"","")&amp;"; "&amp;IFERROR(INDEX(Clay_Offices!$A$2:$FZ$601,23,Sync!$C$9)&amp;"",""))</f>
        <v/>
      </c>
      <c r="K2874" s="32" t="s">
        <v>1365</v>
      </c>
    </row>
    <row r="2875" customFormat="false" ht="15" hidden="false" customHeight="false" outlineLevel="0" collapsed="false">
      <c r="A2875" s="23" t="str">
        <f aca="false">IF(B2875="","",B2875+(14*1000+24)/10000000)</f>
        <v/>
      </c>
      <c r="B2875" s="35" t="str">
        <f aca="false">IF(AND(IFERROR(N(INDEX(Clay_Offices!$A$2:$FZ$601,24,Sync!$C$13)),0)&gt;0,IFERROR(INDEX(Clay_Offices!$A$2:$FZ$601,24,Sync!$C$5)&amp;"","")&lt;&gt;"",OR(LEFT(IFERROR(INDEX(Clay_Offices!$A$2:$FZ$601,24,Sync!$C$5)&amp;"",""),6)&lt;&gt;"SAMPLE",Config!$B$19="Y")),IFERROR(N(INDEX(Clay_Offices!$A$2:$FZ$601,24,Sync!$C$13)),0),"")</f>
        <v/>
      </c>
      <c r="C2875" s="23" t="str">
        <f aca="false">IF(B2875="","","office")</f>
        <v/>
      </c>
      <c r="D2875" s="23" t="str">
        <f aca="false">IF(B2875="","",IFERROR(INDEX(Office_Log!$ED$2:$ED$201,MATCH(IFERROR(INDEX(Clay_Offices!$A$2:$FZ$601,24,Sync!$C$5)&amp;"",""),Office_Log!$A$2:$A$201,0))&amp;"",IFERROR(INDEX(Clay_Offices!$A$2:$FZ$601,24,Sync!$C$5)&amp;"","")&amp;""))</f>
        <v/>
      </c>
      <c r="E2875" s="23" t="str">
        <f aca="false">IF(B2875="","",IFERROR(INDEX(Clay_Offices!$A$2:$FZ$601,24,Sync!$C$6)&amp;"",""))</f>
        <v/>
      </c>
      <c r="F2875" s="23" t="str">
        <f aca="false">IF(B2875="","","outreach_sent")</f>
        <v/>
      </c>
      <c r="G2875" s="23" t="str">
        <f aca="false">IF(B2875="","","")</f>
        <v/>
      </c>
      <c r="H2875" s="23" t="str">
        <f aca="false">IF(B2875="","","")</f>
        <v/>
      </c>
      <c r="I2875" s="23" t="str">
        <f aca="false">IF(B2875="","","")</f>
        <v/>
      </c>
      <c r="J2875" s="23" t="str">
        <f aca="false">IF(B2875="","","touch_3; "&amp;IFERROR(INDEX(Clay_Offices!$A$2:$FZ$601,24,Sync!$C$10)&amp;"","")&amp;"; "&amp;IFERROR(INDEX(Clay_Offices!$A$2:$FZ$601,24,Sync!$C$9)&amp;"",""))</f>
        <v/>
      </c>
      <c r="K2875" s="32" t="s">
        <v>1365</v>
      </c>
    </row>
    <row r="2876" customFormat="false" ht="15" hidden="false" customHeight="false" outlineLevel="0" collapsed="false">
      <c r="A2876" s="23" t="str">
        <f aca="false">IF(B2876="","",B2876+(14*1000+25)/10000000)</f>
        <v/>
      </c>
      <c r="B2876" s="35" t="str">
        <f aca="false">IF(AND(IFERROR(N(INDEX(Clay_Offices!$A$2:$FZ$601,25,Sync!$C$13)),0)&gt;0,IFERROR(INDEX(Clay_Offices!$A$2:$FZ$601,25,Sync!$C$5)&amp;"","")&lt;&gt;"",OR(LEFT(IFERROR(INDEX(Clay_Offices!$A$2:$FZ$601,25,Sync!$C$5)&amp;"",""),6)&lt;&gt;"SAMPLE",Config!$B$19="Y")),IFERROR(N(INDEX(Clay_Offices!$A$2:$FZ$601,25,Sync!$C$13)),0),"")</f>
        <v/>
      </c>
      <c r="C2876" s="23" t="str">
        <f aca="false">IF(B2876="","","office")</f>
        <v/>
      </c>
      <c r="D2876" s="23" t="str">
        <f aca="false">IF(B2876="","",IFERROR(INDEX(Office_Log!$ED$2:$ED$201,MATCH(IFERROR(INDEX(Clay_Offices!$A$2:$FZ$601,25,Sync!$C$5)&amp;"",""),Office_Log!$A$2:$A$201,0))&amp;"",IFERROR(INDEX(Clay_Offices!$A$2:$FZ$601,25,Sync!$C$5)&amp;"","")&amp;""))</f>
        <v/>
      </c>
      <c r="E2876" s="23" t="str">
        <f aca="false">IF(B2876="","",IFERROR(INDEX(Clay_Offices!$A$2:$FZ$601,25,Sync!$C$6)&amp;"",""))</f>
        <v/>
      </c>
      <c r="F2876" s="23" t="str">
        <f aca="false">IF(B2876="","","outreach_sent")</f>
        <v/>
      </c>
      <c r="G2876" s="23" t="str">
        <f aca="false">IF(B2876="","","")</f>
        <v/>
      </c>
      <c r="H2876" s="23" t="str">
        <f aca="false">IF(B2876="","","")</f>
        <v/>
      </c>
      <c r="I2876" s="23" t="str">
        <f aca="false">IF(B2876="","","")</f>
        <v/>
      </c>
      <c r="J2876" s="23" t="str">
        <f aca="false">IF(B2876="","","touch_3; "&amp;IFERROR(INDEX(Clay_Offices!$A$2:$FZ$601,25,Sync!$C$10)&amp;"","")&amp;"; "&amp;IFERROR(INDEX(Clay_Offices!$A$2:$FZ$601,25,Sync!$C$9)&amp;"",""))</f>
        <v/>
      </c>
      <c r="K2876" s="32" t="s">
        <v>1365</v>
      </c>
    </row>
    <row r="2877" customFormat="false" ht="15" hidden="false" customHeight="false" outlineLevel="0" collapsed="false">
      <c r="A2877" s="23" t="str">
        <f aca="false">IF(B2877="","",B2877+(14*1000+26)/10000000)</f>
        <v/>
      </c>
      <c r="B2877" s="35" t="str">
        <f aca="false">IF(AND(IFERROR(N(INDEX(Clay_Offices!$A$2:$FZ$601,26,Sync!$C$13)),0)&gt;0,IFERROR(INDEX(Clay_Offices!$A$2:$FZ$601,26,Sync!$C$5)&amp;"","")&lt;&gt;"",OR(LEFT(IFERROR(INDEX(Clay_Offices!$A$2:$FZ$601,26,Sync!$C$5)&amp;"",""),6)&lt;&gt;"SAMPLE",Config!$B$19="Y")),IFERROR(N(INDEX(Clay_Offices!$A$2:$FZ$601,26,Sync!$C$13)),0),"")</f>
        <v/>
      </c>
      <c r="C2877" s="23" t="str">
        <f aca="false">IF(B2877="","","office")</f>
        <v/>
      </c>
      <c r="D2877" s="23" t="str">
        <f aca="false">IF(B2877="","",IFERROR(INDEX(Office_Log!$ED$2:$ED$201,MATCH(IFERROR(INDEX(Clay_Offices!$A$2:$FZ$601,26,Sync!$C$5)&amp;"",""),Office_Log!$A$2:$A$201,0))&amp;"",IFERROR(INDEX(Clay_Offices!$A$2:$FZ$601,26,Sync!$C$5)&amp;"","")&amp;""))</f>
        <v/>
      </c>
      <c r="E2877" s="23" t="str">
        <f aca="false">IF(B2877="","",IFERROR(INDEX(Clay_Offices!$A$2:$FZ$601,26,Sync!$C$6)&amp;"",""))</f>
        <v/>
      </c>
      <c r="F2877" s="23" t="str">
        <f aca="false">IF(B2877="","","outreach_sent")</f>
        <v/>
      </c>
      <c r="G2877" s="23" t="str">
        <f aca="false">IF(B2877="","","")</f>
        <v/>
      </c>
      <c r="H2877" s="23" t="str">
        <f aca="false">IF(B2877="","","")</f>
        <v/>
      </c>
      <c r="I2877" s="23" t="str">
        <f aca="false">IF(B2877="","","")</f>
        <v/>
      </c>
      <c r="J2877" s="23" t="str">
        <f aca="false">IF(B2877="","","touch_3; "&amp;IFERROR(INDEX(Clay_Offices!$A$2:$FZ$601,26,Sync!$C$10)&amp;"","")&amp;"; "&amp;IFERROR(INDEX(Clay_Offices!$A$2:$FZ$601,26,Sync!$C$9)&amp;"",""))</f>
        <v/>
      </c>
      <c r="K2877" s="32" t="s">
        <v>1365</v>
      </c>
    </row>
    <row r="2878" customFormat="false" ht="15" hidden="false" customHeight="false" outlineLevel="0" collapsed="false">
      <c r="A2878" s="23" t="str">
        <f aca="false">IF(B2878="","",B2878+(14*1000+27)/10000000)</f>
        <v/>
      </c>
      <c r="B2878" s="35" t="str">
        <f aca="false">IF(AND(IFERROR(N(INDEX(Clay_Offices!$A$2:$FZ$601,27,Sync!$C$13)),0)&gt;0,IFERROR(INDEX(Clay_Offices!$A$2:$FZ$601,27,Sync!$C$5)&amp;"","")&lt;&gt;"",OR(LEFT(IFERROR(INDEX(Clay_Offices!$A$2:$FZ$601,27,Sync!$C$5)&amp;"",""),6)&lt;&gt;"SAMPLE",Config!$B$19="Y")),IFERROR(N(INDEX(Clay_Offices!$A$2:$FZ$601,27,Sync!$C$13)),0),"")</f>
        <v/>
      </c>
      <c r="C2878" s="23" t="str">
        <f aca="false">IF(B2878="","","office")</f>
        <v/>
      </c>
      <c r="D2878" s="23" t="str">
        <f aca="false">IF(B2878="","",IFERROR(INDEX(Office_Log!$ED$2:$ED$201,MATCH(IFERROR(INDEX(Clay_Offices!$A$2:$FZ$601,27,Sync!$C$5)&amp;"",""),Office_Log!$A$2:$A$201,0))&amp;"",IFERROR(INDEX(Clay_Offices!$A$2:$FZ$601,27,Sync!$C$5)&amp;"","")&amp;""))</f>
        <v/>
      </c>
      <c r="E2878" s="23" t="str">
        <f aca="false">IF(B2878="","",IFERROR(INDEX(Clay_Offices!$A$2:$FZ$601,27,Sync!$C$6)&amp;"",""))</f>
        <v/>
      </c>
      <c r="F2878" s="23" t="str">
        <f aca="false">IF(B2878="","","outreach_sent")</f>
        <v/>
      </c>
      <c r="G2878" s="23" t="str">
        <f aca="false">IF(B2878="","","")</f>
        <v/>
      </c>
      <c r="H2878" s="23" t="str">
        <f aca="false">IF(B2878="","","")</f>
        <v/>
      </c>
      <c r="I2878" s="23" t="str">
        <f aca="false">IF(B2878="","","")</f>
        <v/>
      </c>
      <c r="J2878" s="23" t="str">
        <f aca="false">IF(B2878="","","touch_3; "&amp;IFERROR(INDEX(Clay_Offices!$A$2:$FZ$601,27,Sync!$C$10)&amp;"","")&amp;"; "&amp;IFERROR(INDEX(Clay_Offices!$A$2:$FZ$601,27,Sync!$C$9)&amp;"",""))</f>
        <v/>
      </c>
      <c r="K2878" s="32" t="s">
        <v>1365</v>
      </c>
    </row>
    <row r="2879" customFormat="false" ht="15" hidden="false" customHeight="false" outlineLevel="0" collapsed="false">
      <c r="A2879" s="42" t="n">
        <f aca="false">IF(B2879="","",B2879+(14*1000+28)/10000000)</f>
        <v>46346.0014028</v>
      </c>
      <c r="B2879" s="35" t="n">
        <f aca="false">IF(AND(IFERROR(N(INDEX(Clay_Offices!$A$2:$FZ$601,28,Sync!$C$13)),0)&gt;0,IFERROR(INDEX(Clay_Offices!$A$2:$FZ$601,28,Sync!$C$5)&amp;"","")&lt;&gt;"",OR(LEFT(IFERROR(INDEX(Clay_Offices!$A$2:$FZ$601,28,Sync!$C$5)&amp;"",""),6)&lt;&gt;"SAMPLE",Config!$B$19="Y")),IFERROR(N(INDEX(Clay_Offices!$A$2:$FZ$601,28,Sync!$C$13)),0),"")</f>
        <v>46346</v>
      </c>
      <c r="C2879" s="23" t="str">
        <f aca="false">IF(B2879="","","office")</f>
        <v>office</v>
      </c>
      <c r="D2879" s="23" t="str">
        <f aca="false">IF(B2879="","",IFERROR(INDEX(Office_Log!$ED$2:$ED$201,MATCH(IFERROR(INDEX(Clay_Offices!$A$2:$FZ$601,28,Sync!$C$5)&amp;"",""),Office_Log!$A$2:$A$201,0))&amp;"",IFERROR(INDEX(Clay_Offices!$A$2:$FZ$601,28,Sync!$C$5)&amp;"","")&amp;""))</f>
        <v>SAMPLE-O-029</v>
      </c>
      <c r="E2879" s="23" t="str">
        <f aca="false">IF(B2879="","",IFERROR(INDEX(Clay_Offices!$A$2:$FZ$601,28,Sync!$C$6)&amp;"",""))</f>
        <v>SAMPLE Office 29</v>
      </c>
      <c r="F2879" s="23" t="str">
        <f aca="false">IF(B2879="","","outreach_sent")</f>
        <v>outreach_sent</v>
      </c>
      <c r="G2879" s="23" t="str">
        <f aca="false">IF(B2879="","","")</f>
        <v/>
      </c>
      <c r="H2879" s="23" t="str">
        <f aca="false">IF(B2879="","","")</f>
        <v/>
      </c>
      <c r="I2879" s="23" t="str">
        <f aca="false">IF(B2879="","","")</f>
        <v/>
      </c>
      <c r="J2879" s="23" t="str">
        <f aca="false">IF(B2879="","","touch_3; "&amp;IFERROR(INDEX(Clay_Offices!$A$2:$FZ$601,28,Sync!$C$10)&amp;"","")&amp;"; "&amp;IFERROR(INDEX(Clay_Offices!$A$2:$FZ$601,28,Sync!$C$9)&amp;"",""))</f>
        <v>touch_3; office-discovery-A; email</v>
      </c>
      <c r="K2879" s="32" t="s">
        <v>1365</v>
      </c>
    </row>
    <row r="2880" customFormat="false" ht="15" hidden="false" customHeight="false" outlineLevel="0" collapsed="false">
      <c r="A2880" s="23" t="str">
        <f aca="false">IF(B2880="","",B2880+(14*1000+29)/10000000)</f>
        <v/>
      </c>
      <c r="B2880" s="35" t="str">
        <f aca="false">IF(AND(IFERROR(N(INDEX(Clay_Offices!$A$2:$FZ$601,29,Sync!$C$13)),0)&gt;0,IFERROR(INDEX(Clay_Offices!$A$2:$FZ$601,29,Sync!$C$5)&amp;"","")&lt;&gt;"",OR(LEFT(IFERROR(INDEX(Clay_Offices!$A$2:$FZ$601,29,Sync!$C$5)&amp;"",""),6)&lt;&gt;"SAMPLE",Config!$B$19="Y")),IFERROR(N(INDEX(Clay_Offices!$A$2:$FZ$601,29,Sync!$C$13)),0),"")</f>
        <v/>
      </c>
      <c r="C2880" s="23" t="str">
        <f aca="false">IF(B2880="","","office")</f>
        <v/>
      </c>
      <c r="D2880" s="23" t="str">
        <f aca="false">IF(B2880="","",IFERROR(INDEX(Office_Log!$ED$2:$ED$201,MATCH(IFERROR(INDEX(Clay_Offices!$A$2:$FZ$601,29,Sync!$C$5)&amp;"",""),Office_Log!$A$2:$A$201,0))&amp;"",IFERROR(INDEX(Clay_Offices!$A$2:$FZ$601,29,Sync!$C$5)&amp;"","")&amp;""))</f>
        <v/>
      </c>
      <c r="E2880" s="23" t="str">
        <f aca="false">IF(B2880="","",IFERROR(INDEX(Clay_Offices!$A$2:$FZ$601,29,Sync!$C$6)&amp;"",""))</f>
        <v/>
      </c>
      <c r="F2880" s="23" t="str">
        <f aca="false">IF(B2880="","","outreach_sent")</f>
        <v/>
      </c>
      <c r="G2880" s="23" t="str">
        <f aca="false">IF(B2880="","","")</f>
        <v/>
      </c>
      <c r="H2880" s="23" t="str">
        <f aca="false">IF(B2880="","","")</f>
        <v/>
      </c>
      <c r="I2880" s="23" t="str">
        <f aca="false">IF(B2880="","","")</f>
        <v/>
      </c>
      <c r="J2880" s="23" t="str">
        <f aca="false">IF(B2880="","","touch_3; "&amp;IFERROR(INDEX(Clay_Offices!$A$2:$FZ$601,29,Sync!$C$10)&amp;"","")&amp;"; "&amp;IFERROR(INDEX(Clay_Offices!$A$2:$FZ$601,29,Sync!$C$9)&amp;"",""))</f>
        <v/>
      </c>
      <c r="K2880" s="32" t="s">
        <v>1365</v>
      </c>
    </row>
    <row r="2881" customFormat="false" ht="15" hidden="false" customHeight="false" outlineLevel="0" collapsed="false">
      <c r="A2881" s="23" t="str">
        <f aca="false">IF(B2881="","",B2881+(14*1000+30)/10000000)</f>
        <v/>
      </c>
      <c r="B2881" s="35" t="str">
        <f aca="false">IF(AND(IFERROR(N(INDEX(Clay_Offices!$A$2:$FZ$601,30,Sync!$C$13)),0)&gt;0,IFERROR(INDEX(Clay_Offices!$A$2:$FZ$601,30,Sync!$C$5)&amp;"","")&lt;&gt;"",OR(LEFT(IFERROR(INDEX(Clay_Offices!$A$2:$FZ$601,30,Sync!$C$5)&amp;"",""),6)&lt;&gt;"SAMPLE",Config!$B$19="Y")),IFERROR(N(INDEX(Clay_Offices!$A$2:$FZ$601,30,Sync!$C$13)),0),"")</f>
        <v/>
      </c>
      <c r="C2881" s="23" t="str">
        <f aca="false">IF(B2881="","","office")</f>
        <v/>
      </c>
      <c r="D2881" s="23" t="str">
        <f aca="false">IF(B2881="","",IFERROR(INDEX(Office_Log!$ED$2:$ED$201,MATCH(IFERROR(INDEX(Clay_Offices!$A$2:$FZ$601,30,Sync!$C$5)&amp;"",""),Office_Log!$A$2:$A$201,0))&amp;"",IFERROR(INDEX(Clay_Offices!$A$2:$FZ$601,30,Sync!$C$5)&amp;"","")&amp;""))</f>
        <v/>
      </c>
      <c r="E2881" s="23" t="str">
        <f aca="false">IF(B2881="","",IFERROR(INDEX(Clay_Offices!$A$2:$FZ$601,30,Sync!$C$6)&amp;"",""))</f>
        <v/>
      </c>
      <c r="F2881" s="23" t="str">
        <f aca="false">IF(B2881="","","outreach_sent")</f>
        <v/>
      </c>
      <c r="G2881" s="23" t="str">
        <f aca="false">IF(B2881="","","")</f>
        <v/>
      </c>
      <c r="H2881" s="23" t="str">
        <f aca="false">IF(B2881="","","")</f>
        <v/>
      </c>
      <c r="I2881" s="23" t="str">
        <f aca="false">IF(B2881="","","")</f>
        <v/>
      </c>
      <c r="J2881" s="23" t="str">
        <f aca="false">IF(B2881="","","touch_3; "&amp;IFERROR(INDEX(Clay_Offices!$A$2:$FZ$601,30,Sync!$C$10)&amp;"","")&amp;"; "&amp;IFERROR(INDEX(Clay_Offices!$A$2:$FZ$601,30,Sync!$C$9)&amp;"",""))</f>
        <v/>
      </c>
      <c r="K2881" s="32" t="s">
        <v>1365</v>
      </c>
    </row>
    <row r="2882" customFormat="false" ht="15" hidden="false" customHeight="false" outlineLevel="0" collapsed="false">
      <c r="A2882" s="23" t="str">
        <f aca="false">IF(B2882="","",B2882+(14*1000+31)/10000000)</f>
        <v/>
      </c>
      <c r="B2882" s="35" t="str">
        <f aca="false">IF(AND(IFERROR(N(INDEX(Clay_Offices!$A$2:$FZ$601,31,Sync!$C$13)),0)&gt;0,IFERROR(INDEX(Clay_Offices!$A$2:$FZ$601,31,Sync!$C$5)&amp;"","")&lt;&gt;"",OR(LEFT(IFERROR(INDEX(Clay_Offices!$A$2:$FZ$601,31,Sync!$C$5)&amp;"",""),6)&lt;&gt;"SAMPLE",Config!$B$19="Y")),IFERROR(N(INDEX(Clay_Offices!$A$2:$FZ$601,31,Sync!$C$13)),0),"")</f>
        <v/>
      </c>
      <c r="C2882" s="23" t="str">
        <f aca="false">IF(B2882="","","office")</f>
        <v/>
      </c>
      <c r="D2882" s="23" t="str">
        <f aca="false">IF(B2882="","",IFERROR(INDEX(Office_Log!$ED$2:$ED$201,MATCH(IFERROR(INDEX(Clay_Offices!$A$2:$FZ$601,31,Sync!$C$5)&amp;"",""),Office_Log!$A$2:$A$201,0))&amp;"",IFERROR(INDEX(Clay_Offices!$A$2:$FZ$601,31,Sync!$C$5)&amp;"","")&amp;""))</f>
        <v/>
      </c>
      <c r="E2882" s="23" t="str">
        <f aca="false">IF(B2882="","",IFERROR(INDEX(Clay_Offices!$A$2:$FZ$601,31,Sync!$C$6)&amp;"",""))</f>
        <v/>
      </c>
      <c r="F2882" s="23" t="str">
        <f aca="false">IF(B2882="","","outreach_sent")</f>
        <v/>
      </c>
      <c r="G2882" s="23" t="str">
        <f aca="false">IF(B2882="","","")</f>
        <v/>
      </c>
      <c r="H2882" s="23" t="str">
        <f aca="false">IF(B2882="","","")</f>
        <v/>
      </c>
      <c r="I2882" s="23" t="str">
        <f aca="false">IF(B2882="","","")</f>
        <v/>
      </c>
      <c r="J2882" s="23" t="str">
        <f aca="false">IF(B2882="","","touch_3; "&amp;IFERROR(INDEX(Clay_Offices!$A$2:$FZ$601,31,Sync!$C$10)&amp;"","")&amp;"; "&amp;IFERROR(INDEX(Clay_Offices!$A$2:$FZ$601,31,Sync!$C$9)&amp;"",""))</f>
        <v/>
      </c>
      <c r="K2882" s="32" t="s">
        <v>1365</v>
      </c>
    </row>
    <row r="2883" customFormat="false" ht="15" hidden="false" customHeight="false" outlineLevel="0" collapsed="false">
      <c r="A2883" s="23" t="str">
        <f aca="false">IF(B2883="","",B2883+(14*1000+32)/10000000)</f>
        <v/>
      </c>
      <c r="B2883" s="35" t="str">
        <f aca="false">IF(AND(IFERROR(N(INDEX(Clay_Offices!$A$2:$FZ$601,32,Sync!$C$13)),0)&gt;0,IFERROR(INDEX(Clay_Offices!$A$2:$FZ$601,32,Sync!$C$5)&amp;"","")&lt;&gt;"",OR(LEFT(IFERROR(INDEX(Clay_Offices!$A$2:$FZ$601,32,Sync!$C$5)&amp;"",""),6)&lt;&gt;"SAMPLE",Config!$B$19="Y")),IFERROR(N(INDEX(Clay_Offices!$A$2:$FZ$601,32,Sync!$C$13)),0),"")</f>
        <v/>
      </c>
      <c r="C2883" s="23" t="str">
        <f aca="false">IF(B2883="","","office")</f>
        <v/>
      </c>
      <c r="D2883" s="23" t="str">
        <f aca="false">IF(B2883="","",IFERROR(INDEX(Office_Log!$ED$2:$ED$201,MATCH(IFERROR(INDEX(Clay_Offices!$A$2:$FZ$601,32,Sync!$C$5)&amp;"",""),Office_Log!$A$2:$A$201,0))&amp;"",IFERROR(INDEX(Clay_Offices!$A$2:$FZ$601,32,Sync!$C$5)&amp;"","")&amp;""))</f>
        <v/>
      </c>
      <c r="E2883" s="23" t="str">
        <f aca="false">IF(B2883="","",IFERROR(INDEX(Clay_Offices!$A$2:$FZ$601,32,Sync!$C$6)&amp;"",""))</f>
        <v/>
      </c>
      <c r="F2883" s="23" t="str">
        <f aca="false">IF(B2883="","","outreach_sent")</f>
        <v/>
      </c>
      <c r="G2883" s="23" t="str">
        <f aca="false">IF(B2883="","","")</f>
        <v/>
      </c>
      <c r="H2883" s="23" t="str">
        <f aca="false">IF(B2883="","","")</f>
        <v/>
      </c>
      <c r="I2883" s="23" t="str">
        <f aca="false">IF(B2883="","","")</f>
        <v/>
      </c>
      <c r="J2883" s="23" t="str">
        <f aca="false">IF(B2883="","","touch_3; "&amp;IFERROR(INDEX(Clay_Offices!$A$2:$FZ$601,32,Sync!$C$10)&amp;"","")&amp;"; "&amp;IFERROR(INDEX(Clay_Offices!$A$2:$FZ$601,32,Sync!$C$9)&amp;"",""))</f>
        <v/>
      </c>
      <c r="K2883" s="32" t="s">
        <v>1365</v>
      </c>
    </row>
    <row r="2884" customFormat="false" ht="15" hidden="false" customHeight="false" outlineLevel="0" collapsed="false">
      <c r="A2884" s="23" t="str">
        <f aca="false">IF(B2884="","",B2884+(14*1000+33)/10000000)</f>
        <v/>
      </c>
      <c r="B2884" s="35" t="str">
        <f aca="false">IF(AND(IFERROR(N(INDEX(Clay_Offices!$A$2:$FZ$601,33,Sync!$C$13)),0)&gt;0,IFERROR(INDEX(Clay_Offices!$A$2:$FZ$601,33,Sync!$C$5)&amp;"","")&lt;&gt;"",OR(LEFT(IFERROR(INDEX(Clay_Offices!$A$2:$FZ$601,33,Sync!$C$5)&amp;"",""),6)&lt;&gt;"SAMPLE",Config!$B$19="Y")),IFERROR(N(INDEX(Clay_Offices!$A$2:$FZ$601,33,Sync!$C$13)),0),"")</f>
        <v/>
      </c>
      <c r="C2884" s="23" t="str">
        <f aca="false">IF(B2884="","","office")</f>
        <v/>
      </c>
      <c r="D2884" s="23" t="str">
        <f aca="false">IF(B2884="","",IFERROR(INDEX(Office_Log!$ED$2:$ED$201,MATCH(IFERROR(INDEX(Clay_Offices!$A$2:$FZ$601,33,Sync!$C$5)&amp;"",""),Office_Log!$A$2:$A$201,0))&amp;"",IFERROR(INDEX(Clay_Offices!$A$2:$FZ$601,33,Sync!$C$5)&amp;"","")&amp;""))</f>
        <v/>
      </c>
      <c r="E2884" s="23" t="str">
        <f aca="false">IF(B2884="","",IFERROR(INDEX(Clay_Offices!$A$2:$FZ$601,33,Sync!$C$6)&amp;"",""))</f>
        <v/>
      </c>
      <c r="F2884" s="23" t="str">
        <f aca="false">IF(B2884="","","outreach_sent")</f>
        <v/>
      </c>
      <c r="G2884" s="23" t="str">
        <f aca="false">IF(B2884="","","")</f>
        <v/>
      </c>
      <c r="H2884" s="23" t="str">
        <f aca="false">IF(B2884="","","")</f>
        <v/>
      </c>
      <c r="I2884" s="23" t="str">
        <f aca="false">IF(B2884="","","")</f>
        <v/>
      </c>
      <c r="J2884" s="23" t="str">
        <f aca="false">IF(B2884="","","touch_3; "&amp;IFERROR(INDEX(Clay_Offices!$A$2:$FZ$601,33,Sync!$C$10)&amp;"","")&amp;"; "&amp;IFERROR(INDEX(Clay_Offices!$A$2:$FZ$601,33,Sync!$C$9)&amp;"",""))</f>
        <v/>
      </c>
      <c r="K2884" s="32" t="s">
        <v>1365</v>
      </c>
    </row>
    <row r="2885" customFormat="false" ht="15" hidden="false" customHeight="false" outlineLevel="0" collapsed="false">
      <c r="A2885" s="23" t="str">
        <f aca="false">IF(B2885="","",B2885+(14*1000+34)/10000000)</f>
        <v/>
      </c>
      <c r="B2885" s="35" t="str">
        <f aca="false">IF(AND(IFERROR(N(INDEX(Clay_Offices!$A$2:$FZ$601,34,Sync!$C$13)),0)&gt;0,IFERROR(INDEX(Clay_Offices!$A$2:$FZ$601,34,Sync!$C$5)&amp;"","")&lt;&gt;"",OR(LEFT(IFERROR(INDEX(Clay_Offices!$A$2:$FZ$601,34,Sync!$C$5)&amp;"",""),6)&lt;&gt;"SAMPLE",Config!$B$19="Y")),IFERROR(N(INDEX(Clay_Offices!$A$2:$FZ$601,34,Sync!$C$13)),0),"")</f>
        <v/>
      </c>
      <c r="C2885" s="23" t="str">
        <f aca="false">IF(B2885="","","office")</f>
        <v/>
      </c>
      <c r="D2885" s="23" t="str">
        <f aca="false">IF(B2885="","",IFERROR(INDEX(Office_Log!$ED$2:$ED$201,MATCH(IFERROR(INDEX(Clay_Offices!$A$2:$FZ$601,34,Sync!$C$5)&amp;"",""),Office_Log!$A$2:$A$201,0))&amp;"",IFERROR(INDEX(Clay_Offices!$A$2:$FZ$601,34,Sync!$C$5)&amp;"","")&amp;""))</f>
        <v/>
      </c>
      <c r="E2885" s="23" t="str">
        <f aca="false">IF(B2885="","",IFERROR(INDEX(Clay_Offices!$A$2:$FZ$601,34,Sync!$C$6)&amp;"",""))</f>
        <v/>
      </c>
      <c r="F2885" s="23" t="str">
        <f aca="false">IF(B2885="","","outreach_sent")</f>
        <v/>
      </c>
      <c r="G2885" s="23" t="str">
        <f aca="false">IF(B2885="","","")</f>
        <v/>
      </c>
      <c r="H2885" s="23" t="str">
        <f aca="false">IF(B2885="","","")</f>
        <v/>
      </c>
      <c r="I2885" s="23" t="str">
        <f aca="false">IF(B2885="","","")</f>
        <v/>
      </c>
      <c r="J2885" s="23" t="str">
        <f aca="false">IF(B2885="","","touch_3; "&amp;IFERROR(INDEX(Clay_Offices!$A$2:$FZ$601,34,Sync!$C$10)&amp;"","")&amp;"; "&amp;IFERROR(INDEX(Clay_Offices!$A$2:$FZ$601,34,Sync!$C$9)&amp;"",""))</f>
        <v/>
      </c>
      <c r="K2885" s="32" t="s">
        <v>1365</v>
      </c>
    </row>
    <row r="2886" customFormat="false" ht="15" hidden="false" customHeight="false" outlineLevel="0" collapsed="false">
      <c r="A2886" s="42" t="n">
        <f aca="false">IF(B2886="","",B2886+(14*1000+35)/10000000)</f>
        <v>46350.0014035</v>
      </c>
      <c r="B2886" s="35" t="n">
        <f aca="false">IF(AND(IFERROR(N(INDEX(Clay_Offices!$A$2:$FZ$601,35,Sync!$C$13)),0)&gt;0,IFERROR(INDEX(Clay_Offices!$A$2:$FZ$601,35,Sync!$C$5)&amp;"","")&lt;&gt;"",OR(LEFT(IFERROR(INDEX(Clay_Offices!$A$2:$FZ$601,35,Sync!$C$5)&amp;"",""),6)&lt;&gt;"SAMPLE",Config!$B$19="Y")),IFERROR(N(INDEX(Clay_Offices!$A$2:$FZ$601,35,Sync!$C$13)),0),"")</f>
        <v>46350</v>
      </c>
      <c r="C2886" s="23" t="str">
        <f aca="false">IF(B2886="","","office")</f>
        <v>office</v>
      </c>
      <c r="D2886" s="23" t="str">
        <f aca="false">IF(B2886="","",IFERROR(INDEX(Office_Log!$ED$2:$ED$201,MATCH(IFERROR(INDEX(Clay_Offices!$A$2:$FZ$601,35,Sync!$C$5)&amp;"",""),Office_Log!$A$2:$A$201,0))&amp;"",IFERROR(INDEX(Clay_Offices!$A$2:$FZ$601,35,Sync!$C$5)&amp;"","")&amp;""))</f>
        <v>SAMPLE-O-036</v>
      </c>
      <c r="E2886" s="23" t="str">
        <f aca="false">IF(B2886="","",IFERROR(INDEX(Clay_Offices!$A$2:$FZ$601,35,Sync!$C$6)&amp;"",""))</f>
        <v>SAMPLE Office 36</v>
      </c>
      <c r="F2886" s="23" t="str">
        <f aca="false">IF(B2886="","","outreach_sent")</f>
        <v>outreach_sent</v>
      </c>
      <c r="G2886" s="23" t="str">
        <f aca="false">IF(B2886="","","")</f>
        <v/>
      </c>
      <c r="H2886" s="23" t="str">
        <f aca="false">IF(B2886="","","")</f>
        <v/>
      </c>
      <c r="I2886" s="23" t="str">
        <f aca="false">IF(B2886="","","")</f>
        <v/>
      </c>
      <c r="J2886" s="23" t="str">
        <f aca="false">IF(B2886="","","touch_3; "&amp;IFERROR(INDEX(Clay_Offices!$A$2:$FZ$601,35,Sync!$C$10)&amp;"","")&amp;"; "&amp;IFERROR(INDEX(Clay_Offices!$A$2:$FZ$601,35,Sync!$C$9)&amp;"",""))</f>
        <v>touch_3; office-discovery-B; linkedin</v>
      </c>
      <c r="K2886" s="32" t="s">
        <v>1365</v>
      </c>
    </row>
    <row r="2887" customFormat="false" ht="15" hidden="false" customHeight="false" outlineLevel="0" collapsed="false">
      <c r="A2887" s="23" t="str">
        <f aca="false">IF(B2887="","",B2887+(14*1000+36)/10000000)</f>
        <v/>
      </c>
      <c r="B2887" s="35" t="str">
        <f aca="false">IF(AND(IFERROR(N(INDEX(Clay_Offices!$A$2:$FZ$601,36,Sync!$C$13)),0)&gt;0,IFERROR(INDEX(Clay_Offices!$A$2:$FZ$601,36,Sync!$C$5)&amp;"","")&lt;&gt;"",OR(LEFT(IFERROR(INDEX(Clay_Offices!$A$2:$FZ$601,36,Sync!$C$5)&amp;"",""),6)&lt;&gt;"SAMPLE",Config!$B$19="Y")),IFERROR(N(INDEX(Clay_Offices!$A$2:$FZ$601,36,Sync!$C$13)),0),"")</f>
        <v/>
      </c>
      <c r="C2887" s="23" t="str">
        <f aca="false">IF(B2887="","","office")</f>
        <v/>
      </c>
      <c r="D2887" s="23" t="str">
        <f aca="false">IF(B2887="","",IFERROR(INDEX(Office_Log!$ED$2:$ED$201,MATCH(IFERROR(INDEX(Clay_Offices!$A$2:$FZ$601,36,Sync!$C$5)&amp;"",""),Office_Log!$A$2:$A$201,0))&amp;"",IFERROR(INDEX(Clay_Offices!$A$2:$FZ$601,36,Sync!$C$5)&amp;"","")&amp;""))</f>
        <v/>
      </c>
      <c r="E2887" s="23" t="str">
        <f aca="false">IF(B2887="","",IFERROR(INDEX(Clay_Offices!$A$2:$FZ$601,36,Sync!$C$6)&amp;"",""))</f>
        <v/>
      </c>
      <c r="F2887" s="23" t="str">
        <f aca="false">IF(B2887="","","outreach_sent")</f>
        <v/>
      </c>
      <c r="G2887" s="23" t="str">
        <f aca="false">IF(B2887="","","")</f>
        <v/>
      </c>
      <c r="H2887" s="23" t="str">
        <f aca="false">IF(B2887="","","")</f>
        <v/>
      </c>
      <c r="I2887" s="23" t="str">
        <f aca="false">IF(B2887="","","")</f>
        <v/>
      </c>
      <c r="J2887" s="23" t="str">
        <f aca="false">IF(B2887="","","touch_3; "&amp;IFERROR(INDEX(Clay_Offices!$A$2:$FZ$601,36,Sync!$C$10)&amp;"","")&amp;"; "&amp;IFERROR(INDEX(Clay_Offices!$A$2:$FZ$601,36,Sync!$C$9)&amp;"",""))</f>
        <v/>
      </c>
      <c r="K2887" s="32" t="s">
        <v>1365</v>
      </c>
    </row>
    <row r="2888" customFormat="false" ht="15" hidden="false" customHeight="false" outlineLevel="0" collapsed="false">
      <c r="A2888" s="23" t="str">
        <f aca="false">IF(B2888="","",B2888+(14*1000+37)/10000000)</f>
        <v/>
      </c>
      <c r="B2888" s="35" t="str">
        <f aca="false">IF(AND(IFERROR(N(INDEX(Clay_Offices!$A$2:$FZ$601,37,Sync!$C$13)),0)&gt;0,IFERROR(INDEX(Clay_Offices!$A$2:$FZ$601,37,Sync!$C$5)&amp;"","")&lt;&gt;"",OR(LEFT(IFERROR(INDEX(Clay_Offices!$A$2:$FZ$601,37,Sync!$C$5)&amp;"",""),6)&lt;&gt;"SAMPLE",Config!$B$19="Y")),IFERROR(N(INDEX(Clay_Offices!$A$2:$FZ$601,37,Sync!$C$13)),0),"")</f>
        <v/>
      </c>
      <c r="C2888" s="23" t="str">
        <f aca="false">IF(B2888="","","office")</f>
        <v/>
      </c>
      <c r="D2888" s="23" t="str">
        <f aca="false">IF(B2888="","",IFERROR(INDEX(Office_Log!$ED$2:$ED$201,MATCH(IFERROR(INDEX(Clay_Offices!$A$2:$FZ$601,37,Sync!$C$5)&amp;"",""),Office_Log!$A$2:$A$201,0))&amp;"",IFERROR(INDEX(Clay_Offices!$A$2:$FZ$601,37,Sync!$C$5)&amp;"","")&amp;""))</f>
        <v/>
      </c>
      <c r="E2888" s="23" t="str">
        <f aca="false">IF(B2888="","",IFERROR(INDEX(Clay_Offices!$A$2:$FZ$601,37,Sync!$C$6)&amp;"",""))</f>
        <v/>
      </c>
      <c r="F2888" s="23" t="str">
        <f aca="false">IF(B2888="","","outreach_sent")</f>
        <v/>
      </c>
      <c r="G2888" s="23" t="str">
        <f aca="false">IF(B2888="","","")</f>
        <v/>
      </c>
      <c r="H2888" s="23" t="str">
        <f aca="false">IF(B2888="","","")</f>
        <v/>
      </c>
      <c r="I2888" s="23" t="str">
        <f aca="false">IF(B2888="","","")</f>
        <v/>
      </c>
      <c r="J2888" s="23" t="str">
        <f aca="false">IF(B2888="","","touch_3; "&amp;IFERROR(INDEX(Clay_Offices!$A$2:$FZ$601,37,Sync!$C$10)&amp;"","")&amp;"; "&amp;IFERROR(INDEX(Clay_Offices!$A$2:$FZ$601,37,Sync!$C$9)&amp;"",""))</f>
        <v/>
      </c>
      <c r="K2888" s="32" t="s">
        <v>1365</v>
      </c>
    </row>
    <row r="2889" customFormat="false" ht="15" hidden="false" customHeight="false" outlineLevel="0" collapsed="false">
      <c r="A2889" s="23" t="str">
        <f aca="false">IF(B2889="","",B2889+(14*1000+38)/10000000)</f>
        <v/>
      </c>
      <c r="B2889" s="35" t="str">
        <f aca="false">IF(AND(IFERROR(N(INDEX(Clay_Offices!$A$2:$FZ$601,38,Sync!$C$13)),0)&gt;0,IFERROR(INDEX(Clay_Offices!$A$2:$FZ$601,38,Sync!$C$5)&amp;"","")&lt;&gt;"",OR(LEFT(IFERROR(INDEX(Clay_Offices!$A$2:$FZ$601,38,Sync!$C$5)&amp;"",""),6)&lt;&gt;"SAMPLE",Config!$B$19="Y")),IFERROR(N(INDEX(Clay_Offices!$A$2:$FZ$601,38,Sync!$C$13)),0),"")</f>
        <v/>
      </c>
      <c r="C2889" s="23" t="str">
        <f aca="false">IF(B2889="","","office")</f>
        <v/>
      </c>
      <c r="D2889" s="23" t="str">
        <f aca="false">IF(B2889="","",IFERROR(INDEX(Office_Log!$ED$2:$ED$201,MATCH(IFERROR(INDEX(Clay_Offices!$A$2:$FZ$601,38,Sync!$C$5)&amp;"",""),Office_Log!$A$2:$A$201,0))&amp;"",IFERROR(INDEX(Clay_Offices!$A$2:$FZ$601,38,Sync!$C$5)&amp;"","")&amp;""))</f>
        <v/>
      </c>
      <c r="E2889" s="23" t="str">
        <f aca="false">IF(B2889="","",IFERROR(INDEX(Clay_Offices!$A$2:$FZ$601,38,Sync!$C$6)&amp;"",""))</f>
        <v/>
      </c>
      <c r="F2889" s="23" t="str">
        <f aca="false">IF(B2889="","","outreach_sent")</f>
        <v/>
      </c>
      <c r="G2889" s="23" t="str">
        <f aca="false">IF(B2889="","","")</f>
        <v/>
      </c>
      <c r="H2889" s="23" t="str">
        <f aca="false">IF(B2889="","","")</f>
        <v/>
      </c>
      <c r="I2889" s="23" t="str">
        <f aca="false">IF(B2889="","","")</f>
        <v/>
      </c>
      <c r="J2889" s="23" t="str">
        <f aca="false">IF(B2889="","","touch_3; "&amp;IFERROR(INDEX(Clay_Offices!$A$2:$FZ$601,38,Sync!$C$10)&amp;"","")&amp;"; "&amp;IFERROR(INDEX(Clay_Offices!$A$2:$FZ$601,38,Sync!$C$9)&amp;"",""))</f>
        <v/>
      </c>
      <c r="K2889" s="32" t="s">
        <v>1365</v>
      </c>
    </row>
    <row r="2890" customFormat="false" ht="15" hidden="false" customHeight="false" outlineLevel="0" collapsed="false">
      <c r="A2890" s="23" t="str">
        <f aca="false">IF(B2890="","",B2890+(14*1000+39)/10000000)</f>
        <v/>
      </c>
      <c r="B2890" s="35" t="str">
        <f aca="false">IF(AND(IFERROR(N(INDEX(Clay_Offices!$A$2:$FZ$601,39,Sync!$C$13)),0)&gt;0,IFERROR(INDEX(Clay_Offices!$A$2:$FZ$601,39,Sync!$C$5)&amp;"","")&lt;&gt;"",OR(LEFT(IFERROR(INDEX(Clay_Offices!$A$2:$FZ$601,39,Sync!$C$5)&amp;"",""),6)&lt;&gt;"SAMPLE",Config!$B$19="Y")),IFERROR(N(INDEX(Clay_Offices!$A$2:$FZ$601,39,Sync!$C$13)),0),"")</f>
        <v/>
      </c>
      <c r="C2890" s="23" t="str">
        <f aca="false">IF(B2890="","","office")</f>
        <v/>
      </c>
      <c r="D2890" s="23" t="str">
        <f aca="false">IF(B2890="","",IFERROR(INDEX(Office_Log!$ED$2:$ED$201,MATCH(IFERROR(INDEX(Clay_Offices!$A$2:$FZ$601,39,Sync!$C$5)&amp;"",""),Office_Log!$A$2:$A$201,0))&amp;"",IFERROR(INDEX(Clay_Offices!$A$2:$FZ$601,39,Sync!$C$5)&amp;"","")&amp;""))</f>
        <v/>
      </c>
      <c r="E2890" s="23" t="str">
        <f aca="false">IF(B2890="","",IFERROR(INDEX(Clay_Offices!$A$2:$FZ$601,39,Sync!$C$6)&amp;"",""))</f>
        <v/>
      </c>
      <c r="F2890" s="23" t="str">
        <f aca="false">IF(B2890="","","outreach_sent")</f>
        <v/>
      </c>
      <c r="G2890" s="23" t="str">
        <f aca="false">IF(B2890="","","")</f>
        <v/>
      </c>
      <c r="H2890" s="23" t="str">
        <f aca="false">IF(B2890="","","")</f>
        <v/>
      </c>
      <c r="I2890" s="23" t="str">
        <f aca="false">IF(B2890="","","")</f>
        <v/>
      </c>
      <c r="J2890" s="23" t="str">
        <f aca="false">IF(B2890="","","touch_3; "&amp;IFERROR(INDEX(Clay_Offices!$A$2:$FZ$601,39,Sync!$C$10)&amp;"","")&amp;"; "&amp;IFERROR(INDEX(Clay_Offices!$A$2:$FZ$601,39,Sync!$C$9)&amp;"",""))</f>
        <v/>
      </c>
      <c r="K2890" s="32" t="s">
        <v>1365</v>
      </c>
    </row>
    <row r="2891" customFormat="false" ht="15" hidden="false" customHeight="false" outlineLevel="0" collapsed="false">
      <c r="A2891" s="23" t="str">
        <f aca="false">IF(B2891="","",B2891+(14*1000+40)/10000000)</f>
        <v/>
      </c>
      <c r="B2891" s="35" t="str">
        <f aca="false">IF(AND(IFERROR(N(INDEX(Clay_Offices!$A$2:$FZ$601,40,Sync!$C$13)),0)&gt;0,IFERROR(INDEX(Clay_Offices!$A$2:$FZ$601,40,Sync!$C$5)&amp;"","")&lt;&gt;"",OR(LEFT(IFERROR(INDEX(Clay_Offices!$A$2:$FZ$601,40,Sync!$C$5)&amp;"",""),6)&lt;&gt;"SAMPLE",Config!$B$19="Y")),IFERROR(N(INDEX(Clay_Offices!$A$2:$FZ$601,40,Sync!$C$13)),0),"")</f>
        <v/>
      </c>
      <c r="C2891" s="23" t="str">
        <f aca="false">IF(B2891="","","office")</f>
        <v/>
      </c>
      <c r="D2891" s="23" t="str">
        <f aca="false">IF(B2891="","",IFERROR(INDEX(Office_Log!$ED$2:$ED$201,MATCH(IFERROR(INDEX(Clay_Offices!$A$2:$FZ$601,40,Sync!$C$5)&amp;"",""),Office_Log!$A$2:$A$201,0))&amp;"",IFERROR(INDEX(Clay_Offices!$A$2:$FZ$601,40,Sync!$C$5)&amp;"","")&amp;""))</f>
        <v/>
      </c>
      <c r="E2891" s="23" t="str">
        <f aca="false">IF(B2891="","",IFERROR(INDEX(Clay_Offices!$A$2:$FZ$601,40,Sync!$C$6)&amp;"",""))</f>
        <v/>
      </c>
      <c r="F2891" s="23" t="str">
        <f aca="false">IF(B2891="","","outreach_sent")</f>
        <v/>
      </c>
      <c r="G2891" s="23" t="str">
        <f aca="false">IF(B2891="","","")</f>
        <v/>
      </c>
      <c r="H2891" s="23" t="str">
        <f aca="false">IF(B2891="","","")</f>
        <v/>
      </c>
      <c r="I2891" s="23" t="str">
        <f aca="false">IF(B2891="","","")</f>
        <v/>
      </c>
      <c r="J2891" s="23" t="str">
        <f aca="false">IF(B2891="","","touch_3; "&amp;IFERROR(INDEX(Clay_Offices!$A$2:$FZ$601,40,Sync!$C$10)&amp;"","")&amp;"; "&amp;IFERROR(INDEX(Clay_Offices!$A$2:$FZ$601,40,Sync!$C$9)&amp;"",""))</f>
        <v/>
      </c>
      <c r="K2891" s="32" t="s">
        <v>1365</v>
      </c>
    </row>
    <row r="2892" customFormat="false" ht="15" hidden="false" customHeight="false" outlineLevel="0" collapsed="false">
      <c r="A2892" s="23" t="str">
        <f aca="false">IF(B2892="","",B2892+(14*1000+41)/10000000)</f>
        <v/>
      </c>
      <c r="B2892" s="35" t="str">
        <f aca="false">IF(AND(IFERROR(N(INDEX(Clay_Offices!$A$2:$FZ$601,41,Sync!$C$13)),0)&gt;0,IFERROR(INDEX(Clay_Offices!$A$2:$FZ$601,41,Sync!$C$5)&amp;"","")&lt;&gt;"",OR(LEFT(IFERROR(INDEX(Clay_Offices!$A$2:$FZ$601,41,Sync!$C$5)&amp;"",""),6)&lt;&gt;"SAMPLE",Config!$B$19="Y")),IFERROR(N(INDEX(Clay_Offices!$A$2:$FZ$601,41,Sync!$C$13)),0),"")</f>
        <v/>
      </c>
      <c r="C2892" s="23" t="str">
        <f aca="false">IF(B2892="","","office")</f>
        <v/>
      </c>
      <c r="D2892" s="23" t="str">
        <f aca="false">IF(B2892="","",IFERROR(INDEX(Office_Log!$ED$2:$ED$201,MATCH(IFERROR(INDEX(Clay_Offices!$A$2:$FZ$601,41,Sync!$C$5)&amp;"",""),Office_Log!$A$2:$A$201,0))&amp;"",IFERROR(INDEX(Clay_Offices!$A$2:$FZ$601,41,Sync!$C$5)&amp;"","")&amp;""))</f>
        <v/>
      </c>
      <c r="E2892" s="23" t="str">
        <f aca="false">IF(B2892="","",IFERROR(INDEX(Clay_Offices!$A$2:$FZ$601,41,Sync!$C$6)&amp;"",""))</f>
        <v/>
      </c>
      <c r="F2892" s="23" t="str">
        <f aca="false">IF(B2892="","","outreach_sent")</f>
        <v/>
      </c>
      <c r="G2892" s="23" t="str">
        <f aca="false">IF(B2892="","","")</f>
        <v/>
      </c>
      <c r="H2892" s="23" t="str">
        <f aca="false">IF(B2892="","","")</f>
        <v/>
      </c>
      <c r="I2892" s="23" t="str">
        <f aca="false">IF(B2892="","","")</f>
        <v/>
      </c>
      <c r="J2892" s="23" t="str">
        <f aca="false">IF(B2892="","","touch_3; "&amp;IFERROR(INDEX(Clay_Offices!$A$2:$FZ$601,41,Sync!$C$10)&amp;"","")&amp;"; "&amp;IFERROR(INDEX(Clay_Offices!$A$2:$FZ$601,41,Sync!$C$9)&amp;"",""))</f>
        <v/>
      </c>
      <c r="K2892" s="32" t="s">
        <v>1365</v>
      </c>
    </row>
    <row r="2893" customFormat="false" ht="15" hidden="false" customHeight="false" outlineLevel="0" collapsed="false">
      <c r="A2893" s="23" t="str">
        <f aca="false">IF(B2893="","",B2893+(14*1000+42)/10000000)</f>
        <v/>
      </c>
      <c r="B2893" s="35" t="str">
        <f aca="false">IF(AND(IFERROR(N(INDEX(Clay_Offices!$A$2:$FZ$601,42,Sync!$C$13)),0)&gt;0,IFERROR(INDEX(Clay_Offices!$A$2:$FZ$601,42,Sync!$C$5)&amp;"","")&lt;&gt;"",OR(LEFT(IFERROR(INDEX(Clay_Offices!$A$2:$FZ$601,42,Sync!$C$5)&amp;"",""),6)&lt;&gt;"SAMPLE",Config!$B$19="Y")),IFERROR(N(INDEX(Clay_Offices!$A$2:$FZ$601,42,Sync!$C$13)),0),"")</f>
        <v/>
      </c>
      <c r="C2893" s="23" t="str">
        <f aca="false">IF(B2893="","","office")</f>
        <v/>
      </c>
      <c r="D2893" s="23" t="str">
        <f aca="false">IF(B2893="","",IFERROR(INDEX(Office_Log!$ED$2:$ED$201,MATCH(IFERROR(INDEX(Clay_Offices!$A$2:$FZ$601,42,Sync!$C$5)&amp;"",""),Office_Log!$A$2:$A$201,0))&amp;"",IFERROR(INDEX(Clay_Offices!$A$2:$FZ$601,42,Sync!$C$5)&amp;"","")&amp;""))</f>
        <v/>
      </c>
      <c r="E2893" s="23" t="str">
        <f aca="false">IF(B2893="","",IFERROR(INDEX(Clay_Offices!$A$2:$FZ$601,42,Sync!$C$6)&amp;"",""))</f>
        <v/>
      </c>
      <c r="F2893" s="23" t="str">
        <f aca="false">IF(B2893="","","outreach_sent")</f>
        <v/>
      </c>
      <c r="G2893" s="23" t="str">
        <f aca="false">IF(B2893="","","")</f>
        <v/>
      </c>
      <c r="H2893" s="23" t="str">
        <f aca="false">IF(B2893="","","")</f>
        <v/>
      </c>
      <c r="I2893" s="23" t="str">
        <f aca="false">IF(B2893="","","")</f>
        <v/>
      </c>
      <c r="J2893" s="23" t="str">
        <f aca="false">IF(B2893="","","touch_3; "&amp;IFERROR(INDEX(Clay_Offices!$A$2:$FZ$601,42,Sync!$C$10)&amp;"","")&amp;"; "&amp;IFERROR(INDEX(Clay_Offices!$A$2:$FZ$601,42,Sync!$C$9)&amp;"",""))</f>
        <v/>
      </c>
      <c r="K2893" s="32" t="s">
        <v>1365</v>
      </c>
    </row>
    <row r="2894" customFormat="false" ht="15" hidden="false" customHeight="false" outlineLevel="0" collapsed="false">
      <c r="A2894" s="23" t="str">
        <f aca="false">IF(B2894="","",B2894+(14*1000+43)/10000000)</f>
        <v/>
      </c>
      <c r="B2894" s="35" t="str">
        <f aca="false">IF(AND(IFERROR(N(INDEX(Clay_Offices!$A$2:$FZ$601,43,Sync!$C$13)),0)&gt;0,IFERROR(INDEX(Clay_Offices!$A$2:$FZ$601,43,Sync!$C$5)&amp;"","")&lt;&gt;"",OR(LEFT(IFERROR(INDEX(Clay_Offices!$A$2:$FZ$601,43,Sync!$C$5)&amp;"",""),6)&lt;&gt;"SAMPLE",Config!$B$19="Y")),IFERROR(N(INDEX(Clay_Offices!$A$2:$FZ$601,43,Sync!$C$13)),0),"")</f>
        <v/>
      </c>
      <c r="C2894" s="23" t="str">
        <f aca="false">IF(B2894="","","office")</f>
        <v/>
      </c>
      <c r="D2894" s="23" t="str">
        <f aca="false">IF(B2894="","",IFERROR(INDEX(Office_Log!$ED$2:$ED$201,MATCH(IFERROR(INDEX(Clay_Offices!$A$2:$FZ$601,43,Sync!$C$5)&amp;"",""),Office_Log!$A$2:$A$201,0))&amp;"",IFERROR(INDEX(Clay_Offices!$A$2:$FZ$601,43,Sync!$C$5)&amp;"","")&amp;""))</f>
        <v/>
      </c>
      <c r="E2894" s="23" t="str">
        <f aca="false">IF(B2894="","",IFERROR(INDEX(Clay_Offices!$A$2:$FZ$601,43,Sync!$C$6)&amp;"",""))</f>
        <v/>
      </c>
      <c r="F2894" s="23" t="str">
        <f aca="false">IF(B2894="","","outreach_sent")</f>
        <v/>
      </c>
      <c r="G2894" s="23" t="str">
        <f aca="false">IF(B2894="","","")</f>
        <v/>
      </c>
      <c r="H2894" s="23" t="str">
        <f aca="false">IF(B2894="","","")</f>
        <v/>
      </c>
      <c r="I2894" s="23" t="str">
        <f aca="false">IF(B2894="","","")</f>
        <v/>
      </c>
      <c r="J2894" s="23" t="str">
        <f aca="false">IF(B2894="","","touch_3; "&amp;IFERROR(INDEX(Clay_Offices!$A$2:$FZ$601,43,Sync!$C$10)&amp;"","")&amp;"; "&amp;IFERROR(INDEX(Clay_Offices!$A$2:$FZ$601,43,Sync!$C$9)&amp;"",""))</f>
        <v/>
      </c>
      <c r="K2894" s="32" t="s">
        <v>1365</v>
      </c>
    </row>
    <row r="2895" customFormat="false" ht="15" hidden="false" customHeight="false" outlineLevel="0" collapsed="false">
      <c r="A2895" s="23" t="str">
        <f aca="false">IF(B2895="","",B2895+(14*1000+44)/10000000)</f>
        <v/>
      </c>
      <c r="B2895" s="35" t="str">
        <f aca="false">IF(AND(IFERROR(N(INDEX(Clay_Offices!$A$2:$FZ$601,44,Sync!$C$13)),0)&gt;0,IFERROR(INDEX(Clay_Offices!$A$2:$FZ$601,44,Sync!$C$5)&amp;"","")&lt;&gt;"",OR(LEFT(IFERROR(INDEX(Clay_Offices!$A$2:$FZ$601,44,Sync!$C$5)&amp;"",""),6)&lt;&gt;"SAMPLE",Config!$B$19="Y")),IFERROR(N(INDEX(Clay_Offices!$A$2:$FZ$601,44,Sync!$C$13)),0),"")</f>
        <v/>
      </c>
      <c r="C2895" s="23" t="str">
        <f aca="false">IF(B2895="","","office")</f>
        <v/>
      </c>
      <c r="D2895" s="23" t="str">
        <f aca="false">IF(B2895="","",IFERROR(INDEX(Office_Log!$ED$2:$ED$201,MATCH(IFERROR(INDEX(Clay_Offices!$A$2:$FZ$601,44,Sync!$C$5)&amp;"",""),Office_Log!$A$2:$A$201,0))&amp;"",IFERROR(INDEX(Clay_Offices!$A$2:$FZ$601,44,Sync!$C$5)&amp;"","")&amp;""))</f>
        <v/>
      </c>
      <c r="E2895" s="23" t="str">
        <f aca="false">IF(B2895="","",IFERROR(INDEX(Clay_Offices!$A$2:$FZ$601,44,Sync!$C$6)&amp;"",""))</f>
        <v/>
      </c>
      <c r="F2895" s="23" t="str">
        <f aca="false">IF(B2895="","","outreach_sent")</f>
        <v/>
      </c>
      <c r="G2895" s="23" t="str">
        <f aca="false">IF(B2895="","","")</f>
        <v/>
      </c>
      <c r="H2895" s="23" t="str">
        <f aca="false">IF(B2895="","","")</f>
        <v/>
      </c>
      <c r="I2895" s="23" t="str">
        <f aca="false">IF(B2895="","","")</f>
        <v/>
      </c>
      <c r="J2895" s="23" t="str">
        <f aca="false">IF(B2895="","","touch_3; "&amp;IFERROR(INDEX(Clay_Offices!$A$2:$FZ$601,44,Sync!$C$10)&amp;"","")&amp;"; "&amp;IFERROR(INDEX(Clay_Offices!$A$2:$FZ$601,44,Sync!$C$9)&amp;"",""))</f>
        <v/>
      </c>
      <c r="K2895" s="32" t="s">
        <v>1365</v>
      </c>
    </row>
    <row r="2896" customFormat="false" ht="15" hidden="false" customHeight="false" outlineLevel="0" collapsed="false">
      <c r="A2896" s="23" t="str">
        <f aca="false">IF(B2896="","",B2896+(14*1000+45)/10000000)</f>
        <v/>
      </c>
      <c r="B2896" s="35" t="str">
        <f aca="false">IF(AND(IFERROR(N(INDEX(Clay_Offices!$A$2:$FZ$601,45,Sync!$C$13)),0)&gt;0,IFERROR(INDEX(Clay_Offices!$A$2:$FZ$601,45,Sync!$C$5)&amp;"","")&lt;&gt;"",OR(LEFT(IFERROR(INDEX(Clay_Offices!$A$2:$FZ$601,45,Sync!$C$5)&amp;"",""),6)&lt;&gt;"SAMPLE",Config!$B$19="Y")),IFERROR(N(INDEX(Clay_Offices!$A$2:$FZ$601,45,Sync!$C$13)),0),"")</f>
        <v/>
      </c>
      <c r="C2896" s="23" t="str">
        <f aca="false">IF(B2896="","","office")</f>
        <v/>
      </c>
      <c r="D2896" s="23" t="str">
        <f aca="false">IF(B2896="","",IFERROR(INDEX(Office_Log!$ED$2:$ED$201,MATCH(IFERROR(INDEX(Clay_Offices!$A$2:$FZ$601,45,Sync!$C$5)&amp;"",""),Office_Log!$A$2:$A$201,0))&amp;"",IFERROR(INDEX(Clay_Offices!$A$2:$FZ$601,45,Sync!$C$5)&amp;"","")&amp;""))</f>
        <v/>
      </c>
      <c r="E2896" s="23" t="str">
        <f aca="false">IF(B2896="","",IFERROR(INDEX(Clay_Offices!$A$2:$FZ$601,45,Sync!$C$6)&amp;"",""))</f>
        <v/>
      </c>
      <c r="F2896" s="23" t="str">
        <f aca="false">IF(B2896="","","outreach_sent")</f>
        <v/>
      </c>
      <c r="G2896" s="23" t="str">
        <f aca="false">IF(B2896="","","")</f>
        <v/>
      </c>
      <c r="H2896" s="23" t="str">
        <f aca="false">IF(B2896="","","")</f>
        <v/>
      </c>
      <c r="I2896" s="23" t="str">
        <f aca="false">IF(B2896="","","")</f>
        <v/>
      </c>
      <c r="J2896" s="23" t="str">
        <f aca="false">IF(B2896="","","touch_3; "&amp;IFERROR(INDEX(Clay_Offices!$A$2:$FZ$601,45,Sync!$C$10)&amp;"","")&amp;"; "&amp;IFERROR(INDEX(Clay_Offices!$A$2:$FZ$601,45,Sync!$C$9)&amp;"",""))</f>
        <v/>
      </c>
      <c r="K2896" s="32" t="s">
        <v>1365</v>
      </c>
    </row>
    <row r="2897" customFormat="false" ht="15" hidden="false" customHeight="false" outlineLevel="0" collapsed="false">
      <c r="A2897" s="23" t="str">
        <f aca="false">IF(B2897="","",B2897+(14*1000+46)/10000000)</f>
        <v/>
      </c>
      <c r="B2897" s="35" t="str">
        <f aca="false">IF(AND(IFERROR(N(INDEX(Clay_Offices!$A$2:$FZ$601,46,Sync!$C$13)),0)&gt;0,IFERROR(INDEX(Clay_Offices!$A$2:$FZ$601,46,Sync!$C$5)&amp;"","")&lt;&gt;"",OR(LEFT(IFERROR(INDEX(Clay_Offices!$A$2:$FZ$601,46,Sync!$C$5)&amp;"",""),6)&lt;&gt;"SAMPLE",Config!$B$19="Y")),IFERROR(N(INDEX(Clay_Offices!$A$2:$FZ$601,46,Sync!$C$13)),0),"")</f>
        <v/>
      </c>
      <c r="C2897" s="23" t="str">
        <f aca="false">IF(B2897="","","office")</f>
        <v/>
      </c>
      <c r="D2897" s="23" t="str">
        <f aca="false">IF(B2897="","",IFERROR(INDEX(Office_Log!$ED$2:$ED$201,MATCH(IFERROR(INDEX(Clay_Offices!$A$2:$FZ$601,46,Sync!$C$5)&amp;"",""),Office_Log!$A$2:$A$201,0))&amp;"",IFERROR(INDEX(Clay_Offices!$A$2:$FZ$601,46,Sync!$C$5)&amp;"","")&amp;""))</f>
        <v/>
      </c>
      <c r="E2897" s="23" t="str">
        <f aca="false">IF(B2897="","",IFERROR(INDEX(Clay_Offices!$A$2:$FZ$601,46,Sync!$C$6)&amp;"",""))</f>
        <v/>
      </c>
      <c r="F2897" s="23" t="str">
        <f aca="false">IF(B2897="","","outreach_sent")</f>
        <v/>
      </c>
      <c r="G2897" s="23" t="str">
        <f aca="false">IF(B2897="","","")</f>
        <v/>
      </c>
      <c r="H2897" s="23" t="str">
        <f aca="false">IF(B2897="","","")</f>
        <v/>
      </c>
      <c r="I2897" s="23" t="str">
        <f aca="false">IF(B2897="","","")</f>
        <v/>
      </c>
      <c r="J2897" s="23" t="str">
        <f aca="false">IF(B2897="","","touch_3; "&amp;IFERROR(INDEX(Clay_Offices!$A$2:$FZ$601,46,Sync!$C$10)&amp;"","")&amp;"; "&amp;IFERROR(INDEX(Clay_Offices!$A$2:$FZ$601,46,Sync!$C$9)&amp;"",""))</f>
        <v/>
      </c>
      <c r="K2897" s="32" t="s">
        <v>1365</v>
      </c>
    </row>
    <row r="2898" customFormat="false" ht="15" hidden="false" customHeight="false" outlineLevel="0" collapsed="false">
      <c r="A2898" s="23" t="str">
        <f aca="false">IF(B2898="","",B2898+(14*1000+47)/10000000)</f>
        <v/>
      </c>
      <c r="B2898" s="35" t="str">
        <f aca="false">IF(AND(IFERROR(N(INDEX(Clay_Offices!$A$2:$FZ$601,47,Sync!$C$13)),0)&gt;0,IFERROR(INDEX(Clay_Offices!$A$2:$FZ$601,47,Sync!$C$5)&amp;"","")&lt;&gt;"",OR(LEFT(IFERROR(INDEX(Clay_Offices!$A$2:$FZ$601,47,Sync!$C$5)&amp;"",""),6)&lt;&gt;"SAMPLE",Config!$B$19="Y")),IFERROR(N(INDEX(Clay_Offices!$A$2:$FZ$601,47,Sync!$C$13)),0),"")</f>
        <v/>
      </c>
      <c r="C2898" s="23" t="str">
        <f aca="false">IF(B2898="","","office")</f>
        <v/>
      </c>
      <c r="D2898" s="23" t="str">
        <f aca="false">IF(B2898="","",IFERROR(INDEX(Office_Log!$ED$2:$ED$201,MATCH(IFERROR(INDEX(Clay_Offices!$A$2:$FZ$601,47,Sync!$C$5)&amp;"",""),Office_Log!$A$2:$A$201,0))&amp;"",IFERROR(INDEX(Clay_Offices!$A$2:$FZ$601,47,Sync!$C$5)&amp;"","")&amp;""))</f>
        <v/>
      </c>
      <c r="E2898" s="23" t="str">
        <f aca="false">IF(B2898="","",IFERROR(INDEX(Clay_Offices!$A$2:$FZ$601,47,Sync!$C$6)&amp;"",""))</f>
        <v/>
      </c>
      <c r="F2898" s="23" t="str">
        <f aca="false">IF(B2898="","","outreach_sent")</f>
        <v/>
      </c>
      <c r="G2898" s="23" t="str">
        <f aca="false">IF(B2898="","","")</f>
        <v/>
      </c>
      <c r="H2898" s="23" t="str">
        <f aca="false">IF(B2898="","","")</f>
        <v/>
      </c>
      <c r="I2898" s="23" t="str">
        <f aca="false">IF(B2898="","","")</f>
        <v/>
      </c>
      <c r="J2898" s="23" t="str">
        <f aca="false">IF(B2898="","","touch_3; "&amp;IFERROR(INDEX(Clay_Offices!$A$2:$FZ$601,47,Sync!$C$10)&amp;"","")&amp;"; "&amp;IFERROR(INDEX(Clay_Offices!$A$2:$FZ$601,47,Sync!$C$9)&amp;"",""))</f>
        <v/>
      </c>
      <c r="K2898" s="32" t="s">
        <v>1365</v>
      </c>
    </row>
    <row r="2899" customFormat="false" ht="15" hidden="false" customHeight="false" outlineLevel="0" collapsed="false">
      <c r="A2899" s="23" t="str">
        <f aca="false">IF(B2899="","",B2899+(14*1000+48)/10000000)</f>
        <v/>
      </c>
      <c r="B2899" s="35" t="str">
        <f aca="false">IF(AND(IFERROR(N(INDEX(Clay_Offices!$A$2:$FZ$601,48,Sync!$C$13)),0)&gt;0,IFERROR(INDEX(Clay_Offices!$A$2:$FZ$601,48,Sync!$C$5)&amp;"","")&lt;&gt;"",OR(LEFT(IFERROR(INDEX(Clay_Offices!$A$2:$FZ$601,48,Sync!$C$5)&amp;"",""),6)&lt;&gt;"SAMPLE",Config!$B$19="Y")),IFERROR(N(INDEX(Clay_Offices!$A$2:$FZ$601,48,Sync!$C$13)),0),"")</f>
        <v/>
      </c>
      <c r="C2899" s="23" t="str">
        <f aca="false">IF(B2899="","","office")</f>
        <v/>
      </c>
      <c r="D2899" s="23" t="str">
        <f aca="false">IF(B2899="","",IFERROR(INDEX(Office_Log!$ED$2:$ED$201,MATCH(IFERROR(INDEX(Clay_Offices!$A$2:$FZ$601,48,Sync!$C$5)&amp;"",""),Office_Log!$A$2:$A$201,0))&amp;"",IFERROR(INDEX(Clay_Offices!$A$2:$FZ$601,48,Sync!$C$5)&amp;"","")&amp;""))</f>
        <v/>
      </c>
      <c r="E2899" s="23" t="str">
        <f aca="false">IF(B2899="","",IFERROR(INDEX(Clay_Offices!$A$2:$FZ$601,48,Sync!$C$6)&amp;"",""))</f>
        <v/>
      </c>
      <c r="F2899" s="23" t="str">
        <f aca="false">IF(B2899="","","outreach_sent")</f>
        <v/>
      </c>
      <c r="G2899" s="23" t="str">
        <f aca="false">IF(B2899="","","")</f>
        <v/>
      </c>
      <c r="H2899" s="23" t="str">
        <f aca="false">IF(B2899="","","")</f>
        <v/>
      </c>
      <c r="I2899" s="23" t="str">
        <f aca="false">IF(B2899="","","")</f>
        <v/>
      </c>
      <c r="J2899" s="23" t="str">
        <f aca="false">IF(B2899="","","touch_3; "&amp;IFERROR(INDEX(Clay_Offices!$A$2:$FZ$601,48,Sync!$C$10)&amp;"","")&amp;"; "&amp;IFERROR(INDEX(Clay_Offices!$A$2:$FZ$601,48,Sync!$C$9)&amp;"",""))</f>
        <v/>
      </c>
      <c r="K2899" s="32" t="s">
        <v>1365</v>
      </c>
    </row>
    <row r="2900" customFormat="false" ht="15" hidden="false" customHeight="false" outlineLevel="0" collapsed="false">
      <c r="A2900" s="23" t="str">
        <f aca="false">IF(B2900="","",B2900+(14*1000+49)/10000000)</f>
        <v/>
      </c>
      <c r="B2900" s="35" t="str">
        <f aca="false">IF(AND(IFERROR(N(INDEX(Clay_Offices!$A$2:$FZ$601,49,Sync!$C$13)),0)&gt;0,IFERROR(INDEX(Clay_Offices!$A$2:$FZ$601,49,Sync!$C$5)&amp;"","")&lt;&gt;"",OR(LEFT(IFERROR(INDEX(Clay_Offices!$A$2:$FZ$601,49,Sync!$C$5)&amp;"",""),6)&lt;&gt;"SAMPLE",Config!$B$19="Y")),IFERROR(N(INDEX(Clay_Offices!$A$2:$FZ$601,49,Sync!$C$13)),0),"")</f>
        <v/>
      </c>
      <c r="C2900" s="23" t="str">
        <f aca="false">IF(B2900="","","office")</f>
        <v/>
      </c>
      <c r="D2900" s="23" t="str">
        <f aca="false">IF(B2900="","",IFERROR(INDEX(Office_Log!$ED$2:$ED$201,MATCH(IFERROR(INDEX(Clay_Offices!$A$2:$FZ$601,49,Sync!$C$5)&amp;"",""),Office_Log!$A$2:$A$201,0))&amp;"",IFERROR(INDEX(Clay_Offices!$A$2:$FZ$601,49,Sync!$C$5)&amp;"","")&amp;""))</f>
        <v/>
      </c>
      <c r="E2900" s="23" t="str">
        <f aca="false">IF(B2900="","",IFERROR(INDEX(Clay_Offices!$A$2:$FZ$601,49,Sync!$C$6)&amp;"",""))</f>
        <v/>
      </c>
      <c r="F2900" s="23" t="str">
        <f aca="false">IF(B2900="","","outreach_sent")</f>
        <v/>
      </c>
      <c r="G2900" s="23" t="str">
        <f aca="false">IF(B2900="","","")</f>
        <v/>
      </c>
      <c r="H2900" s="23" t="str">
        <f aca="false">IF(B2900="","","")</f>
        <v/>
      </c>
      <c r="I2900" s="23" t="str">
        <f aca="false">IF(B2900="","","")</f>
        <v/>
      </c>
      <c r="J2900" s="23" t="str">
        <f aca="false">IF(B2900="","","touch_3; "&amp;IFERROR(INDEX(Clay_Offices!$A$2:$FZ$601,49,Sync!$C$10)&amp;"","")&amp;"; "&amp;IFERROR(INDEX(Clay_Offices!$A$2:$FZ$601,49,Sync!$C$9)&amp;"",""))</f>
        <v/>
      </c>
      <c r="K2900" s="32" t="s">
        <v>1365</v>
      </c>
    </row>
    <row r="2901" customFormat="false" ht="15" hidden="false" customHeight="false" outlineLevel="0" collapsed="false">
      <c r="A2901" s="23" t="str">
        <f aca="false">IF(B2901="","",B2901+(14*1000+50)/10000000)</f>
        <v/>
      </c>
      <c r="B2901" s="35" t="str">
        <f aca="false">IF(AND(IFERROR(N(INDEX(Clay_Offices!$A$2:$FZ$601,50,Sync!$C$13)),0)&gt;0,IFERROR(INDEX(Clay_Offices!$A$2:$FZ$601,50,Sync!$C$5)&amp;"","")&lt;&gt;"",OR(LEFT(IFERROR(INDEX(Clay_Offices!$A$2:$FZ$601,50,Sync!$C$5)&amp;"",""),6)&lt;&gt;"SAMPLE",Config!$B$19="Y")),IFERROR(N(INDEX(Clay_Offices!$A$2:$FZ$601,50,Sync!$C$13)),0),"")</f>
        <v/>
      </c>
      <c r="C2901" s="23" t="str">
        <f aca="false">IF(B2901="","","office")</f>
        <v/>
      </c>
      <c r="D2901" s="23" t="str">
        <f aca="false">IF(B2901="","",IFERROR(INDEX(Office_Log!$ED$2:$ED$201,MATCH(IFERROR(INDEX(Clay_Offices!$A$2:$FZ$601,50,Sync!$C$5)&amp;"",""),Office_Log!$A$2:$A$201,0))&amp;"",IFERROR(INDEX(Clay_Offices!$A$2:$FZ$601,50,Sync!$C$5)&amp;"","")&amp;""))</f>
        <v/>
      </c>
      <c r="E2901" s="23" t="str">
        <f aca="false">IF(B2901="","",IFERROR(INDEX(Clay_Offices!$A$2:$FZ$601,50,Sync!$C$6)&amp;"",""))</f>
        <v/>
      </c>
      <c r="F2901" s="23" t="str">
        <f aca="false">IF(B2901="","","outreach_sent")</f>
        <v/>
      </c>
      <c r="G2901" s="23" t="str">
        <f aca="false">IF(B2901="","","")</f>
        <v/>
      </c>
      <c r="H2901" s="23" t="str">
        <f aca="false">IF(B2901="","","")</f>
        <v/>
      </c>
      <c r="I2901" s="23" t="str">
        <f aca="false">IF(B2901="","","")</f>
        <v/>
      </c>
      <c r="J2901" s="23" t="str">
        <f aca="false">IF(B2901="","","touch_3; "&amp;IFERROR(INDEX(Clay_Offices!$A$2:$FZ$601,50,Sync!$C$10)&amp;"","")&amp;"; "&amp;IFERROR(INDEX(Clay_Offices!$A$2:$FZ$601,50,Sync!$C$9)&amp;"",""))</f>
        <v/>
      </c>
      <c r="K2901" s="32" t="s">
        <v>1365</v>
      </c>
    </row>
    <row r="2902" customFormat="false" ht="15" hidden="false" customHeight="false" outlineLevel="0" collapsed="false">
      <c r="A2902" s="23" t="str">
        <f aca="false">IF(B2902="","",B2902+(14*1000+51)/10000000)</f>
        <v/>
      </c>
      <c r="B2902" s="35" t="str">
        <f aca="false">IF(AND(IFERROR(N(INDEX(Clay_Offices!$A$2:$FZ$601,51,Sync!$C$13)),0)&gt;0,IFERROR(INDEX(Clay_Offices!$A$2:$FZ$601,51,Sync!$C$5)&amp;"","")&lt;&gt;"",OR(LEFT(IFERROR(INDEX(Clay_Offices!$A$2:$FZ$601,51,Sync!$C$5)&amp;"",""),6)&lt;&gt;"SAMPLE",Config!$B$19="Y")),IFERROR(N(INDEX(Clay_Offices!$A$2:$FZ$601,51,Sync!$C$13)),0),"")</f>
        <v/>
      </c>
      <c r="C2902" s="23" t="str">
        <f aca="false">IF(B2902="","","office")</f>
        <v/>
      </c>
      <c r="D2902" s="23" t="str">
        <f aca="false">IF(B2902="","",IFERROR(INDEX(Office_Log!$ED$2:$ED$201,MATCH(IFERROR(INDEX(Clay_Offices!$A$2:$FZ$601,51,Sync!$C$5)&amp;"",""),Office_Log!$A$2:$A$201,0))&amp;"",IFERROR(INDEX(Clay_Offices!$A$2:$FZ$601,51,Sync!$C$5)&amp;"","")&amp;""))</f>
        <v/>
      </c>
      <c r="E2902" s="23" t="str">
        <f aca="false">IF(B2902="","",IFERROR(INDEX(Clay_Offices!$A$2:$FZ$601,51,Sync!$C$6)&amp;"",""))</f>
        <v/>
      </c>
      <c r="F2902" s="23" t="str">
        <f aca="false">IF(B2902="","","outreach_sent")</f>
        <v/>
      </c>
      <c r="G2902" s="23" t="str">
        <f aca="false">IF(B2902="","","")</f>
        <v/>
      </c>
      <c r="H2902" s="23" t="str">
        <f aca="false">IF(B2902="","","")</f>
        <v/>
      </c>
      <c r="I2902" s="23" t="str">
        <f aca="false">IF(B2902="","","")</f>
        <v/>
      </c>
      <c r="J2902" s="23" t="str">
        <f aca="false">IF(B2902="","","touch_3; "&amp;IFERROR(INDEX(Clay_Offices!$A$2:$FZ$601,51,Sync!$C$10)&amp;"","")&amp;"; "&amp;IFERROR(INDEX(Clay_Offices!$A$2:$FZ$601,51,Sync!$C$9)&amp;"",""))</f>
        <v/>
      </c>
      <c r="K2902" s="32" t="s">
        <v>1365</v>
      </c>
    </row>
    <row r="2903" customFormat="false" ht="15" hidden="false" customHeight="false" outlineLevel="0" collapsed="false">
      <c r="A2903" s="23" t="str">
        <f aca="false">IF(B2903="","",B2903+(14*1000+52)/10000000)</f>
        <v/>
      </c>
      <c r="B2903" s="35" t="str">
        <f aca="false">IF(AND(IFERROR(N(INDEX(Clay_Offices!$A$2:$FZ$601,52,Sync!$C$13)),0)&gt;0,IFERROR(INDEX(Clay_Offices!$A$2:$FZ$601,52,Sync!$C$5)&amp;"","")&lt;&gt;"",OR(LEFT(IFERROR(INDEX(Clay_Offices!$A$2:$FZ$601,52,Sync!$C$5)&amp;"",""),6)&lt;&gt;"SAMPLE",Config!$B$19="Y")),IFERROR(N(INDEX(Clay_Offices!$A$2:$FZ$601,52,Sync!$C$13)),0),"")</f>
        <v/>
      </c>
      <c r="C2903" s="23" t="str">
        <f aca="false">IF(B2903="","","office")</f>
        <v/>
      </c>
      <c r="D2903" s="23" t="str">
        <f aca="false">IF(B2903="","",IFERROR(INDEX(Office_Log!$ED$2:$ED$201,MATCH(IFERROR(INDEX(Clay_Offices!$A$2:$FZ$601,52,Sync!$C$5)&amp;"",""),Office_Log!$A$2:$A$201,0))&amp;"",IFERROR(INDEX(Clay_Offices!$A$2:$FZ$601,52,Sync!$C$5)&amp;"","")&amp;""))</f>
        <v/>
      </c>
      <c r="E2903" s="23" t="str">
        <f aca="false">IF(B2903="","",IFERROR(INDEX(Clay_Offices!$A$2:$FZ$601,52,Sync!$C$6)&amp;"",""))</f>
        <v/>
      </c>
      <c r="F2903" s="23" t="str">
        <f aca="false">IF(B2903="","","outreach_sent")</f>
        <v/>
      </c>
      <c r="G2903" s="23" t="str">
        <f aca="false">IF(B2903="","","")</f>
        <v/>
      </c>
      <c r="H2903" s="23" t="str">
        <f aca="false">IF(B2903="","","")</f>
        <v/>
      </c>
      <c r="I2903" s="23" t="str">
        <f aca="false">IF(B2903="","","")</f>
        <v/>
      </c>
      <c r="J2903" s="23" t="str">
        <f aca="false">IF(B2903="","","touch_3; "&amp;IFERROR(INDEX(Clay_Offices!$A$2:$FZ$601,52,Sync!$C$10)&amp;"","")&amp;"; "&amp;IFERROR(INDEX(Clay_Offices!$A$2:$FZ$601,52,Sync!$C$9)&amp;"",""))</f>
        <v/>
      </c>
      <c r="K2903" s="32" t="s">
        <v>1365</v>
      </c>
    </row>
    <row r="2904" customFormat="false" ht="15" hidden="false" customHeight="false" outlineLevel="0" collapsed="false">
      <c r="A2904" s="23" t="str">
        <f aca="false">IF(B2904="","",B2904+(14*1000+53)/10000000)</f>
        <v/>
      </c>
      <c r="B2904" s="35" t="str">
        <f aca="false">IF(AND(IFERROR(N(INDEX(Clay_Offices!$A$2:$FZ$601,53,Sync!$C$13)),0)&gt;0,IFERROR(INDEX(Clay_Offices!$A$2:$FZ$601,53,Sync!$C$5)&amp;"","")&lt;&gt;"",OR(LEFT(IFERROR(INDEX(Clay_Offices!$A$2:$FZ$601,53,Sync!$C$5)&amp;"",""),6)&lt;&gt;"SAMPLE",Config!$B$19="Y")),IFERROR(N(INDEX(Clay_Offices!$A$2:$FZ$601,53,Sync!$C$13)),0),"")</f>
        <v/>
      </c>
      <c r="C2904" s="23" t="str">
        <f aca="false">IF(B2904="","","office")</f>
        <v/>
      </c>
      <c r="D2904" s="23" t="str">
        <f aca="false">IF(B2904="","",IFERROR(INDEX(Office_Log!$ED$2:$ED$201,MATCH(IFERROR(INDEX(Clay_Offices!$A$2:$FZ$601,53,Sync!$C$5)&amp;"",""),Office_Log!$A$2:$A$201,0))&amp;"",IFERROR(INDEX(Clay_Offices!$A$2:$FZ$601,53,Sync!$C$5)&amp;"","")&amp;""))</f>
        <v/>
      </c>
      <c r="E2904" s="23" t="str">
        <f aca="false">IF(B2904="","",IFERROR(INDEX(Clay_Offices!$A$2:$FZ$601,53,Sync!$C$6)&amp;"",""))</f>
        <v/>
      </c>
      <c r="F2904" s="23" t="str">
        <f aca="false">IF(B2904="","","outreach_sent")</f>
        <v/>
      </c>
      <c r="G2904" s="23" t="str">
        <f aca="false">IF(B2904="","","")</f>
        <v/>
      </c>
      <c r="H2904" s="23" t="str">
        <f aca="false">IF(B2904="","","")</f>
        <v/>
      </c>
      <c r="I2904" s="23" t="str">
        <f aca="false">IF(B2904="","","")</f>
        <v/>
      </c>
      <c r="J2904" s="23" t="str">
        <f aca="false">IF(B2904="","","touch_3; "&amp;IFERROR(INDEX(Clay_Offices!$A$2:$FZ$601,53,Sync!$C$10)&amp;"","")&amp;"; "&amp;IFERROR(INDEX(Clay_Offices!$A$2:$FZ$601,53,Sync!$C$9)&amp;"",""))</f>
        <v/>
      </c>
      <c r="K2904" s="32" t="s">
        <v>1365</v>
      </c>
    </row>
    <row r="2905" customFormat="false" ht="15" hidden="false" customHeight="false" outlineLevel="0" collapsed="false">
      <c r="A2905" s="23" t="str">
        <f aca="false">IF(B2905="","",B2905+(14*1000+54)/10000000)</f>
        <v/>
      </c>
      <c r="B2905" s="35" t="str">
        <f aca="false">IF(AND(IFERROR(N(INDEX(Clay_Offices!$A$2:$FZ$601,54,Sync!$C$13)),0)&gt;0,IFERROR(INDEX(Clay_Offices!$A$2:$FZ$601,54,Sync!$C$5)&amp;"","")&lt;&gt;"",OR(LEFT(IFERROR(INDEX(Clay_Offices!$A$2:$FZ$601,54,Sync!$C$5)&amp;"",""),6)&lt;&gt;"SAMPLE",Config!$B$19="Y")),IFERROR(N(INDEX(Clay_Offices!$A$2:$FZ$601,54,Sync!$C$13)),0),"")</f>
        <v/>
      </c>
      <c r="C2905" s="23" t="str">
        <f aca="false">IF(B2905="","","office")</f>
        <v/>
      </c>
      <c r="D2905" s="23" t="str">
        <f aca="false">IF(B2905="","",IFERROR(INDEX(Office_Log!$ED$2:$ED$201,MATCH(IFERROR(INDEX(Clay_Offices!$A$2:$FZ$601,54,Sync!$C$5)&amp;"",""),Office_Log!$A$2:$A$201,0))&amp;"",IFERROR(INDEX(Clay_Offices!$A$2:$FZ$601,54,Sync!$C$5)&amp;"","")&amp;""))</f>
        <v/>
      </c>
      <c r="E2905" s="23" t="str">
        <f aca="false">IF(B2905="","",IFERROR(INDEX(Clay_Offices!$A$2:$FZ$601,54,Sync!$C$6)&amp;"",""))</f>
        <v/>
      </c>
      <c r="F2905" s="23" t="str">
        <f aca="false">IF(B2905="","","outreach_sent")</f>
        <v/>
      </c>
      <c r="G2905" s="23" t="str">
        <f aca="false">IF(B2905="","","")</f>
        <v/>
      </c>
      <c r="H2905" s="23" t="str">
        <f aca="false">IF(B2905="","","")</f>
        <v/>
      </c>
      <c r="I2905" s="23" t="str">
        <f aca="false">IF(B2905="","","")</f>
        <v/>
      </c>
      <c r="J2905" s="23" t="str">
        <f aca="false">IF(B2905="","","touch_3; "&amp;IFERROR(INDEX(Clay_Offices!$A$2:$FZ$601,54,Sync!$C$10)&amp;"","")&amp;"; "&amp;IFERROR(INDEX(Clay_Offices!$A$2:$FZ$601,54,Sync!$C$9)&amp;"",""))</f>
        <v/>
      </c>
      <c r="K2905" s="32" t="s">
        <v>1365</v>
      </c>
    </row>
    <row r="2906" customFormat="false" ht="15" hidden="false" customHeight="false" outlineLevel="0" collapsed="false">
      <c r="A2906" s="23" t="str">
        <f aca="false">IF(B2906="","",B2906+(14*1000+55)/10000000)</f>
        <v/>
      </c>
      <c r="B2906" s="35" t="str">
        <f aca="false">IF(AND(IFERROR(N(INDEX(Clay_Offices!$A$2:$FZ$601,55,Sync!$C$13)),0)&gt;0,IFERROR(INDEX(Clay_Offices!$A$2:$FZ$601,55,Sync!$C$5)&amp;"","")&lt;&gt;"",OR(LEFT(IFERROR(INDEX(Clay_Offices!$A$2:$FZ$601,55,Sync!$C$5)&amp;"",""),6)&lt;&gt;"SAMPLE",Config!$B$19="Y")),IFERROR(N(INDEX(Clay_Offices!$A$2:$FZ$601,55,Sync!$C$13)),0),"")</f>
        <v/>
      </c>
      <c r="C2906" s="23" t="str">
        <f aca="false">IF(B2906="","","office")</f>
        <v/>
      </c>
      <c r="D2906" s="23" t="str">
        <f aca="false">IF(B2906="","",IFERROR(INDEX(Office_Log!$ED$2:$ED$201,MATCH(IFERROR(INDEX(Clay_Offices!$A$2:$FZ$601,55,Sync!$C$5)&amp;"",""),Office_Log!$A$2:$A$201,0))&amp;"",IFERROR(INDEX(Clay_Offices!$A$2:$FZ$601,55,Sync!$C$5)&amp;"","")&amp;""))</f>
        <v/>
      </c>
      <c r="E2906" s="23" t="str">
        <f aca="false">IF(B2906="","",IFERROR(INDEX(Clay_Offices!$A$2:$FZ$601,55,Sync!$C$6)&amp;"",""))</f>
        <v/>
      </c>
      <c r="F2906" s="23" t="str">
        <f aca="false">IF(B2906="","","outreach_sent")</f>
        <v/>
      </c>
      <c r="G2906" s="23" t="str">
        <f aca="false">IF(B2906="","","")</f>
        <v/>
      </c>
      <c r="H2906" s="23" t="str">
        <f aca="false">IF(B2906="","","")</f>
        <v/>
      </c>
      <c r="I2906" s="23" t="str">
        <f aca="false">IF(B2906="","","")</f>
        <v/>
      </c>
      <c r="J2906" s="23" t="str">
        <f aca="false">IF(B2906="","","touch_3; "&amp;IFERROR(INDEX(Clay_Offices!$A$2:$FZ$601,55,Sync!$C$10)&amp;"","")&amp;"; "&amp;IFERROR(INDEX(Clay_Offices!$A$2:$FZ$601,55,Sync!$C$9)&amp;"",""))</f>
        <v/>
      </c>
      <c r="K2906" s="32" t="s">
        <v>1365</v>
      </c>
    </row>
    <row r="2907" customFormat="false" ht="15" hidden="false" customHeight="false" outlineLevel="0" collapsed="false">
      <c r="A2907" s="23" t="str">
        <f aca="false">IF(B2907="","",B2907+(14*1000+56)/10000000)</f>
        <v/>
      </c>
      <c r="B2907" s="35" t="str">
        <f aca="false">IF(AND(IFERROR(N(INDEX(Clay_Offices!$A$2:$FZ$601,56,Sync!$C$13)),0)&gt;0,IFERROR(INDEX(Clay_Offices!$A$2:$FZ$601,56,Sync!$C$5)&amp;"","")&lt;&gt;"",OR(LEFT(IFERROR(INDEX(Clay_Offices!$A$2:$FZ$601,56,Sync!$C$5)&amp;"",""),6)&lt;&gt;"SAMPLE",Config!$B$19="Y")),IFERROR(N(INDEX(Clay_Offices!$A$2:$FZ$601,56,Sync!$C$13)),0),"")</f>
        <v/>
      </c>
      <c r="C2907" s="23" t="str">
        <f aca="false">IF(B2907="","","office")</f>
        <v/>
      </c>
      <c r="D2907" s="23" t="str">
        <f aca="false">IF(B2907="","",IFERROR(INDEX(Office_Log!$ED$2:$ED$201,MATCH(IFERROR(INDEX(Clay_Offices!$A$2:$FZ$601,56,Sync!$C$5)&amp;"",""),Office_Log!$A$2:$A$201,0))&amp;"",IFERROR(INDEX(Clay_Offices!$A$2:$FZ$601,56,Sync!$C$5)&amp;"","")&amp;""))</f>
        <v/>
      </c>
      <c r="E2907" s="23" t="str">
        <f aca="false">IF(B2907="","",IFERROR(INDEX(Clay_Offices!$A$2:$FZ$601,56,Sync!$C$6)&amp;"",""))</f>
        <v/>
      </c>
      <c r="F2907" s="23" t="str">
        <f aca="false">IF(B2907="","","outreach_sent")</f>
        <v/>
      </c>
      <c r="G2907" s="23" t="str">
        <f aca="false">IF(B2907="","","")</f>
        <v/>
      </c>
      <c r="H2907" s="23" t="str">
        <f aca="false">IF(B2907="","","")</f>
        <v/>
      </c>
      <c r="I2907" s="23" t="str">
        <f aca="false">IF(B2907="","","")</f>
        <v/>
      </c>
      <c r="J2907" s="23" t="str">
        <f aca="false">IF(B2907="","","touch_3; "&amp;IFERROR(INDEX(Clay_Offices!$A$2:$FZ$601,56,Sync!$C$10)&amp;"","")&amp;"; "&amp;IFERROR(INDEX(Clay_Offices!$A$2:$FZ$601,56,Sync!$C$9)&amp;"",""))</f>
        <v/>
      </c>
      <c r="K2907" s="32" t="s">
        <v>1365</v>
      </c>
    </row>
    <row r="2908" customFormat="false" ht="15" hidden="false" customHeight="false" outlineLevel="0" collapsed="false">
      <c r="A2908" s="23" t="str">
        <f aca="false">IF(B2908="","",B2908+(14*1000+57)/10000000)</f>
        <v/>
      </c>
      <c r="B2908" s="35" t="str">
        <f aca="false">IF(AND(IFERROR(N(INDEX(Clay_Offices!$A$2:$FZ$601,57,Sync!$C$13)),0)&gt;0,IFERROR(INDEX(Clay_Offices!$A$2:$FZ$601,57,Sync!$C$5)&amp;"","")&lt;&gt;"",OR(LEFT(IFERROR(INDEX(Clay_Offices!$A$2:$FZ$601,57,Sync!$C$5)&amp;"",""),6)&lt;&gt;"SAMPLE",Config!$B$19="Y")),IFERROR(N(INDEX(Clay_Offices!$A$2:$FZ$601,57,Sync!$C$13)),0),"")</f>
        <v/>
      </c>
      <c r="C2908" s="23" t="str">
        <f aca="false">IF(B2908="","","office")</f>
        <v/>
      </c>
      <c r="D2908" s="23" t="str">
        <f aca="false">IF(B2908="","",IFERROR(INDEX(Office_Log!$ED$2:$ED$201,MATCH(IFERROR(INDEX(Clay_Offices!$A$2:$FZ$601,57,Sync!$C$5)&amp;"",""),Office_Log!$A$2:$A$201,0))&amp;"",IFERROR(INDEX(Clay_Offices!$A$2:$FZ$601,57,Sync!$C$5)&amp;"","")&amp;""))</f>
        <v/>
      </c>
      <c r="E2908" s="23" t="str">
        <f aca="false">IF(B2908="","",IFERROR(INDEX(Clay_Offices!$A$2:$FZ$601,57,Sync!$C$6)&amp;"",""))</f>
        <v/>
      </c>
      <c r="F2908" s="23" t="str">
        <f aca="false">IF(B2908="","","outreach_sent")</f>
        <v/>
      </c>
      <c r="G2908" s="23" t="str">
        <f aca="false">IF(B2908="","","")</f>
        <v/>
      </c>
      <c r="H2908" s="23" t="str">
        <f aca="false">IF(B2908="","","")</f>
        <v/>
      </c>
      <c r="I2908" s="23" t="str">
        <f aca="false">IF(B2908="","","")</f>
        <v/>
      </c>
      <c r="J2908" s="23" t="str">
        <f aca="false">IF(B2908="","","touch_3; "&amp;IFERROR(INDEX(Clay_Offices!$A$2:$FZ$601,57,Sync!$C$10)&amp;"","")&amp;"; "&amp;IFERROR(INDEX(Clay_Offices!$A$2:$FZ$601,57,Sync!$C$9)&amp;"",""))</f>
        <v/>
      </c>
      <c r="K2908" s="32" t="s">
        <v>1365</v>
      </c>
    </row>
    <row r="2909" customFormat="false" ht="15" hidden="false" customHeight="false" outlineLevel="0" collapsed="false">
      <c r="A2909" s="23" t="str">
        <f aca="false">IF(B2909="","",B2909+(14*1000+58)/10000000)</f>
        <v/>
      </c>
      <c r="B2909" s="35" t="str">
        <f aca="false">IF(AND(IFERROR(N(INDEX(Clay_Offices!$A$2:$FZ$601,58,Sync!$C$13)),0)&gt;0,IFERROR(INDEX(Clay_Offices!$A$2:$FZ$601,58,Sync!$C$5)&amp;"","")&lt;&gt;"",OR(LEFT(IFERROR(INDEX(Clay_Offices!$A$2:$FZ$601,58,Sync!$C$5)&amp;"",""),6)&lt;&gt;"SAMPLE",Config!$B$19="Y")),IFERROR(N(INDEX(Clay_Offices!$A$2:$FZ$601,58,Sync!$C$13)),0),"")</f>
        <v/>
      </c>
      <c r="C2909" s="23" t="str">
        <f aca="false">IF(B2909="","","office")</f>
        <v/>
      </c>
      <c r="D2909" s="23" t="str">
        <f aca="false">IF(B2909="","",IFERROR(INDEX(Office_Log!$ED$2:$ED$201,MATCH(IFERROR(INDEX(Clay_Offices!$A$2:$FZ$601,58,Sync!$C$5)&amp;"",""),Office_Log!$A$2:$A$201,0))&amp;"",IFERROR(INDEX(Clay_Offices!$A$2:$FZ$601,58,Sync!$C$5)&amp;"","")&amp;""))</f>
        <v/>
      </c>
      <c r="E2909" s="23" t="str">
        <f aca="false">IF(B2909="","",IFERROR(INDEX(Clay_Offices!$A$2:$FZ$601,58,Sync!$C$6)&amp;"",""))</f>
        <v/>
      </c>
      <c r="F2909" s="23" t="str">
        <f aca="false">IF(B2909="","","outreach_sent")</f>
        <v/>
      </c>
      <c r="G2909" s="23" t="str">
        <f aca="false">IF(B2909="","","")</f>
        <v/>
      </c>
      <c r="H2909" s="23" t="str">
        <f aca="false">IF(B2909="","","")</f>
        <v/>
      </c>
      <c r="I2909" s="23" t="str">
        <f aca="false">IF(B2909="","","")</f>
        <v/>
      </c>
      <c r="J2909" s="23" t="str">
        <f aca="false">IF(B2909="","","touch_3; "&amp;IFERROR(INDEX(Clay_Offices!$A$2:$FZ$601,58,Sync!$C$10)&amp;"","")&amp;"; "&amp;IFERROR(INDEX(Clay_Offices!$A$2:$FZ$601,58,Sync!$C$9)&amp;"",""))</f>
        <v/>
      </c>
      <c r="K2909" s="32" t="s">
        <v>1365</v>
      </c>
    </row>
    <row r="2910" customFormat="false" ht="15" hidden="false" customHeight="false" outlineLevel="0" collapsed="false">
      <c r="A2910" s="23" t="str">
        <f aca="false">IF(B2910="","",B2910+(14*1000+59)/10000000)</f>
        <v/>
      </c>
      <c r="B2910" s="35" t="str">
        <f aca="false">IF(AND(IFERROR(N(INDEX(Clay_Offices!$A$2:$FZ$601,59,Sync!$C$13)),0)&gt;0,IFERROR(INDEX(Clay_Offices!$A$2:$FZ$601,59,Sync!$C$5)&amp;"","")&lt;&gt;"",OR(LEFT(IFERROR(INDEX(Clay_Offices!$A$2:$FZ$601,59,Sync!$C$5)&amp;"",""),6)&lt;&gt;"SAMPLE",Config!$B$19="Y")),IFERROR(N(INDEX(Clay_Offices!$A$2:$FZ$601,59,Sync!$C$13)),0),"")</f>
        <v/>
      </c>
      <c r="C2910" s="23" t="str">
        <f aca="false">IF(B2910="","","office")</f>
        <v/>
      </c>
      <c r="D2910" s="23" t="str">
        <f aca="false">IF(B2910="","",IFERROR(INDEX(Office_Log!$ED$2:$ED$201,MATCH(IFERROR(INDEX(Clay_Offices!$A$2:$FZ$601,59,Sync!$C$5)&amp;"",""),Office_Log!$A$2:$A$201,0))&amp;"",IFERROR(INDEX(Clay_Offices!$A$2:$FZ$601,59,Sync!$C$5)&amp;"","")&amp;""))</f>
        <v/>
      </c>
      <c r="E2910" s="23" t="str">
        <f aca="false">IF(B2910="","",IFERROR(INDEX(Clay_Offices!$A$2:$FZ$601,59,Sync!$C$6)&amp;"",""))</f>
        <v/>
      </c>
      <c r="F2910" s="23" t="str">
        <f aca="false">IF(B2910="","","outreach_sent")</f>
        <v/>
      </c>
      <c r="G2910" s="23" t="str">
        <f aca="false">IF(B2910="","","")</f>
        <v/>
      </c>
      <c r="H2910" s="23" t="str">
        <f aca="false">IF(B2910="","","")</f>
        <v/>
      </c>
      <c r="I2910" s="23" t="str">
        <f aca="false">IF(B2910="","","")</f>
        <v/>
      </c>
      <c r="J2910" s="23" t="str">
        <f aca="false">IF(B2910="","","touch_3; "&amp;IFERROR(INDEX(Clay_Offices!$A$2:$FZ$601,59,Sync!$C$10)&amp;"","")&amp;"; "&amp;IFERROR(INDEX(Clay_Offices!$A$2:$FZ$601,59,Sync!$C$9)&amp;"",""))</f>
        <v/>
      </c>
      <c r="K2910" s="32" t="s">
        <v>1365</v>
      </c>
    </row>
    <row r="2911" customFormat="false" ht="15" hidden="false" customHeight="false" outlineLevel="0" collapsed="false">
      <c r="A2911" s="23" t="str">
        <f aca="false">IF(B2911="","",B2911+(14*1000+60)/10000000)</f>
        <v/>
      </c>
      <c r="B2911" s="35" t="str">
        <f aca="false">IF(AND(IFERROR(N(INDEX(Clay_Offices!$A$2:$FZ$601,60,Sync!$C$13)),0)&gt;0,IFERROR(INDEX(Clay_Offices!$A$2:$FZ$601,60,Sync!$C$5)&amp;"","")&lt;&gt;"",OR(LEFT(IFERROR(INDEX(Clay_Offices!$A$2:$FZ$601,60,Sync!$C$5)&amp;"",""),6)&lt;&gt;"SAMPLE",Config!$B$19="Y")),IFERROR(N(INDEX(Clay_Offices!$A$2:$FZ$601,60,Sync!$C$13)),0),"")</f>
        <v/>
      </c>
      <c r="C2911" s="23" t="str">
        <f aca="false">IF(B2911="","","office")</f>
        <v/>
      </c>
      <c r="D2911" s="23" t="str">
        <f aca="false">IF(B2911="","",IFERROR(INDEX(Office_Log!$ED$2:$ED$201,MATCH(IFERROR(INDEX(Clay_Offices!$A$2:$FZ$601,60,Sync!$C$5)&amp;"",""),Office_Log!$A$2:$A$201,0))&amp;"",IFERROR(INDEX(Clay_Offices!$A$2:$FZ$601,60,Sync!$C$5)&amp;"","")&amp;""))</f>
        <v/>
      </c>
      <c r="E2911" s="23" t="str">
        <f aca="false">IF(B2911="","",IFERROR(INDEX(Clay_Offices!$A$2:$FZ$601,60,Sync!$C$6)&amp;"",""))</f>
        <v/>
      </c>
      <c r="F2911" s="23" t="str">
        <f aca="false">IF(B2911="","","outreach_sent")</f>
        <v/>
      </c>
      <c r="G2911" s="23" t="str">
        <f aca="false">IF(B2911="","","")</f>
        <v/>
      </c>
      <c r="H2911" s="23" t="str">
        <f aca="false">IF(B2911="","","")</f>
        <v/>
      </c>
      <c r="I2911" s="23" t="str">
        <f aca="false">IF(B2911="","","")</f>
        <v/>
      </c>
      <c r="J2911" s="23" t="str">
        <f aca="false">IF(B2911="","","touch_3; "&amp;IFERROR(INDEX(Clay_Offices!$A$2:$FZ$601,60,Sync!$C$10)&amp;"","")&amp;"; "&amp;IFERROR(INDEX(Clay_Offices!$A$2:$FZ$601,60,Sync!$C$9)&amp;"",""))</f>
        <v/>
      </c>
      <c r="K2911" s="32" t="s">
        <v>1365</v>
      </c>
    </row>
    <row r="2912" customFormat="false" ht="15" hidden="false" customHeight="false" outlineLevel="0" collapsed="false">
      <c r="A2912" s="23" t="str">
        <f aca="false">IF(B2912="","",B2912+(14*1000+61)/10000000)</f>
        <v/>
      </c>
      <c r="B2912" s="35" t="str">
        <f aca="false">IF(AND(IFERROR(N(INDEX(Clay_Offices!$A$2:$FZ$601,61,Sync!$C$13)),0)&gt;0,IFERROR(INDEX(Clay_Offices!$A$2:$FZ$601,61,Sync!$C$5)&amp;"","")&lt;&gt;"",OR(LEFT(IFERROR(INDEX(Clay_Offices!$A$2:$FZ$601,61,Sync!$C$5)&amp;"",""),6)&lt;&gt;"SAMPLE",Config!$B$19="Y")),IFERROR(N(INDEX(Clay_Offices!$A$2:$FZ$601,61,Sync!$C$13)),0),"")</f>
        <v/>
      </c>
      <c r="C2912" s="23" t="str">
        <f aca="false">IF(B2912="","","office")</f>
        <v/>
      </c>
      <c r="D2912" s="23" t="str">
        <f aca="false">IF(B2912="","",IFERROR(INDEX(Office_Log!$ED$2:$ED$201,MATCH(IFERROR(INDEX(Clay_Offices!$A$2:$FZ$601,61,Sync!$C$5)&amp;"",""),Office_Log!$A$2:$A$201,0))&amp;"",IFERROR(INDEX(Clay_Offices!$A$2:$FZ$601,61,Sync!$C$5)&amp;"","")&amp;""))</f>
        <v/>
      </c>
      <c r="E2912" s="23" t="str">
        <f aca="false">IF(B2912="","",IFERROR(INDEX(Clay_Offices!$A$2:$FZ$601,61,Sync!$C$6)&amp;"",""))</f>
        <v/>
      </c>
      <c r="F2912" s="23" t="str">
        <f aca="false">IF(B2912="","","outreach_sent")</f>
        <v/>
      </c>
      <c r="G2912" s="23" t="str">
        <f aca="false">IF(B2912="","","")</f>
        <v/>
      </c>
      <c r="H2912" s="23" t="str">
        <f aca="false">IF(B2912="","","")</f>
        <v/>
      </c>
      <c r="I2912" s="23" t="str">
        <f aca="false">IF(B2912="","","")</f>
        <v/>
      </c>
      <c r="J2912" s="23" t="str">
        <f aca="false">IF(B2912="","","touch_3; "&amp;IFERROR(INDEX(Clay_Offices!$A$2:$FZ$601,61,Sync!$C$10)&amp;"","")&amp;"; "&amp;IFERROR(INDEX(Clay_Offices!$A$2:$FZ$601,61,Sync!$C$9)&amp;"",""))</f>
        <v/>
      </c>
      <c r="K2912" s="32" t="s">
        <v>1365</v>
      </c>
    </row>
    <row r="2913" customFormat="false" ht="15" hidden="false" customHeight="false" outlineLevel="0" collapsed="false">
      <c r="A2913" s="23" t="str">
        <f aca="false">IF(B2913="","",B2913+(14*1000+62)/10000000)</f>
        <v/>
      </c>
      <c r="B2913" s="35" t="str">
        <f aca="false">IF(AND(IFERROR(N(INDEX(Clay_Offices!$A$2:$FZ$601,62,Sync!$C$13)),0)&gt;0,IFERROR(INDEX(Clay_Offices!$A$2:$FZ$601,62,Sync!$C$5)&amp;"","")&lt;&gt;"",OR(LEFT(IFERROR(INDEX(Clay_Offices!$A$2:$FZ$601,62,Sync!$C$5)&amp;"",""),6)&lt;&gt;"SAMPLE",Config!$B$19="Y")),IFERROR(N(INDEX(Clay_Offices!$A$2:$FZ$601,62,Sync!$C$13)),0),"")</f>
        <v/>
      </c>
      <c r="C2913" s="23" t="str">
        <f aca="false">IF(B2913="","","office")</f>
        <v/>
      </c>
      <c r="D2913" s="23" t="str">
        <f aca="false">IF(B2913="","",IFERROR(INDEX(Office_Log!$ED$2:$ED$201,MATCH(IFERROR(INDEX(Clay_Offices!$A$2:$FZ$601,62,Sync!$C$5)&amp;"",""),Office_Log!$A$2:$A$201,0))&amp;"",IFERROR(INDEX(Clay_Offices!$A$2:$FZ$601,62,Sync!$C$5)&amp;"","")&amp;""))</f>
        <v/>
      </c>
      <c r="E2913" s="23" t="str">
        <f aca="false">IF(B2913="","",IFERROR(INDEX(Clay_Offices!$A$2:$FZ$601,62,Sync!$C$6)&amp;"",""))</f>
        <v/>
      </c>
      <c r="F2913" s="23" t="str">
        <f aca="false">IF(B2913="","","outreach_sent")</f>
        <v/>
      </c>
      <c r="G2913" s="23" t="str">
        <f aca="false">IF(B2913="","","")</f>
        <v/>
      </c>
      <c r="H2913" s="23" t="str">
        <f aca="false">IF(B2913="","","")</f>
        <v/>
      </c>
      <c r="I2913" s="23" t="str">
        <f aca="false">IF(B2913="","","")</f>
        <v/>
      </c>
      <c r="J2913" s="23" t="str">
        <f aca="false">IF(B2913="","","touch_3; "&amp;IFERROR(INDEX(Clay_Offices!$A$2:$FZ$601,62,Sync!$C$10)&amp;"","")&amp;"; "&amp;IFERROR(INDEX(Clay_Offices!$A$2:$FZ$601,62,Sync!$C$9)&amp;"",""))</f>
        <v/>
      </c>
      <c r="K2913" s="32" t="s">
        <v>1365</v>
      </c>
    </row>
    <row r="2914" customFormat="false" ht="15" hidden="false" customHeight="false" outlineLevel="0" collapsed="false">
      <c r="A2914" s="23" t="str">
        <f aca="false">IF(B2914="","",B2914+(14*1000+63)/10000000)</f>
        <v/>
      </c>
      <c r="B2914" s="35" t="str">
        <f aca="false">IF(AND(IFERROR(N(INDEX(Clay_Offices!$A$2:$FZ$601,63,Sync!$C$13)),0)&gt;0,IFERROR(INDEX(Clay_Offices!$A$2:$FZ$601,63,Sync!$C$5)&amp;"","")&lt;&gt;"",OR(LEFT(IFERROR(INDEX(Clay_Offices!$A$2:$FZ$601,63,Sync!$C$5)&amp;"",""),6)&lt;&gt;"SAMPLE",Config!$B$19="Y")),IFERROR(N(INDEX(Clay_Offices!$A$2:$FZ$601,63,Sync!$C$13)),0),"")</f>
        <v/>
      </c>
      <c r="C2914" s="23" t="str">
        <f aca="false">IF(B2914="","","office")</f>
        <v/>
      </c>
      <c r="D2914" s="23" t="str">
        <f aca="false">IF(B2914="","",IFERROR(INDEX(Office_Log!$ED$2:$ED$201,MATCH(IFERROR(INDEX(Clay_Offices!$A$2:$FZ$601,63,Sync!$C$5)&amp;"",""),Office_Log!$A$2:$A$201,0))&amp;"",IFERROR(INDEX(Clay_Offices!$A$2:$FZ$601,63,Sync!$C$5)&amp;"","")&amp;""))</f>
        <v/>
      </c>
      <c r="E2914" s="23" t="str">
        <f aca="false">IF(B2914="","",IFERROR(INDEX(Clay_Offices!$A$2:$FZ$601,63,Sync!$C$6)&amp;"",""))</f>
        <v/>
      </c>
      <c r="F2914" s="23" t="str">
        <f aca="false">IF(B2914="","","outreach_sent")</f>
        <v/>
      </c>
      <c r="G2914" s="23" t="str">
        <f aca="false">IF(B2914="","","")</f>
        <v/>
      </c>
      <c r="H2914" s="23" t="str">
        <f aca="false">IF(B2914="","","")</f>
        <v/>
      </c>
      <c r="I2914" s="23" t="str">
        <f aca="false">IF(B2914="","","")</f>
        <v/>
      </c>
      <c r="J2914" s="23" t="str">
        <f aca="false">IF(B2914="","","touch_3; "&amp;IFERROR(INDEX(Clay_Offices!$A$2:$FZ$601,63,Sync!$C$10)&amp;"","")&amp;"; "&amp;IFERROR(INDEX(Clay_Offices!$A$2:$FZ$601,63,Sync!$C$9)&amp;"",""))</f>
        <v/>
      </c>
      <c r="K2914" s="32" t="s">
        <v>1365</v>
      </c>
    </row>
    <row r="2915" customFormat="false" ht="15" hidden="false" customHeight="false" outlineLevel="0" collapsed="false">
      <c r="A2915" s="23" t="str">
        <f aca="false">IF(B2915="","",B2915+(14*1000+64)/10000000)</f>
        <v/>
      </c>
      <c r="B2915" s="35" t="str">
        <f aca="false">IF(AND(IFERROR(N(INDEX(Clay_Offices!$A$2:$FZ$601,64,Sync!$C$13)),0)&gt;0,IFERROR(INDEX(Clay_Offices!$A$2:$FZ$601,64,Sync!$C$5)&amp;"","")&lt;&gt;"",OR(LEFT(IFERROR(INDEX(Clay_Offices!$A$2:$FZ$601,64,Sync!$C$5)&amp;"",""),6)&lt;&gt;"SAMPLE",Config!$B$19="Y")),IFERROR(N(INDEX(Clay_Offices!$A$2:$FZ$601,64,Sync!$C$13)),0),"")</f>
        <v/>
      </c>
      <c r="C2915" s="23" t="str">
        <f aca="false">IF(B2915="","","office")</f>
        <v/>
      </c>
      <c r="D2915" s="23" t="str">
        <f aca="false">IF(B2915="","",IFERROR(INDEX(Office_Log!$ED$2:$ED$201,MATCH(IFERROR(INDEX(Clay_Offices!$A$2:$FZ$601,64,Sync!$C$5)&amp;"",""),Office_Log!$A$2:$A$201,0))&amp;"",IFERROR(INDEX(Clay_Offices!$A$2:$FZ$601,64,Sync!$C$5)&amp;"","")&amp;""))</f>
        <v/>
      </c>
      <c r="E2915" s="23" t="str">
        <f aca="false">IF(B2915="","",IFERROR(INDEX(Clay_Offices!$A$2:$FZ$601,64,Sync!$C$6)&amp;"",""))</f>
        <v/>
      </c>
      <c r="F2915" s="23" t="str">
        <f aca="false">IF(B2915="","","outreach_sent")</f>
        <v/>
      </c>
      <c r="G2915" s="23" t="str">
        <f aca="false">IF(B2915="","","")</f>
        <v/>
      </c>
      <c r="H2915" s="23" t="str">
        <f aca="false">IF(B2915="","","")</f>
        <v/>
      </c>
      <c r="I2915" s="23" t="str">
        <f aca="false">IF(B2915="","","")</f>
        <v/>
      </c>
      <c r="J2915" s="23" t="str">
        <f aca="false">IF(B2915="","","touch_3; "&amp;IFERROR(INDEX(Clay_Offices!$A$2:$FZ$601,64,Sync!$C$10)&amp;"","")&amp;"; "&amp;IFERROR(INDEX(Clay_Offices!$A$2:$FZ$601,64,Sync!$C$9)&amp;"",""))</f>
        <v/>
      </c>
      <c r="K2915" s="32" t="s">
        <v>1365</v>
      </c>
    </row>
    <row r="2916" customFormat="false" ht="15" hidden="false" customHeight="false" outlineLevel="0" collapsed="false">
      <c r="A2916" s="23" t="str">
        <f aca="false">IF(B2916="","",B2916+(14*1000+65)/10000000)</f>
        <v/>
      </c>
      <c r="B2916" s="35" t="str">
        <f aca="false">IF(AND(IFERROR(N(INDEX(Clay_Offices!$A$2:$FZ$601,65,Sync!$C$13)),0)&gt;0,IFERROR(INDEX(Clay_Offices!$A$2:$FZ$601,65,Sync!$C$5)&amp;"","")&lt;&gt;"",OR(LEFT(IFERROR(INDEX(Clay_Offices!$A$2:$FZ$601,65,Sync!$C$5)&amp;"",""),6)&lt;&gt;"SAMPLE",Config!$B$19="Y")),IFERROR(N(INDEX(Clay_Offices!$A$2:$FZ$601,65,Sync!$C$13)),0),"")</f>
        <v/>
      </c>
      <c r="C2916" s="23" t="str">
        <f aca="false">IF(B2916="","","office")</f>
        <v/>
      </c>
      <c r="D2916" s="23" t="str">
        <f aca="false">IF(B2916="","",IFERROR(INDEX(Office_Log!$ED$2:$ED$201,MATCH(IFERROR(INDEX(Clay_Offices!$A$2:$FZ$601,65,Sync!$C$5)&amp;"",""),Office_Log!$A$2:$A$201,0))&amp;"",IFERROR(INDEX(Clay_Offices!$A$2:$FZ$601,65,Sync!$C$5)&amp;"","")&amp;""))</f>
        <v/>
      </c>
      <c r="E2916" s="23" t="str">
        <f aca="false">IF(B2916="","",IFERROR(INDEX(Clay_Offices!$A$2:$FZ$601,65,Sync!$C$6)&amp;"",""))</f>
        <v/>
      </c>
      <c r="F2916" s="23" t="str">
        <f aca="false">IF(B2916="","","outreach_sent")</f>
        <v/>
      </c>
      <c r="G2916" s="23" t="str">
        <f aca="false">IF(B2916="","","")</f>
        <v/>
      </c>
      <c r="H2916" s="23" t="str">
        <f aca="false">IF(B2916="","","")</f>
        <v/>
      </c>
      <c r="I2916" s="23" t="str">
        <f aca="false">IF(B2916="","","")</f>
        <v/>
      </c>
      <c r="J2916" s="23" t="str">
        <f aca="false">IF(B2916="","","touch_3; "&amp;IFERROR(INDEX(Clay_Offices!$A$2:$FZ$601,65,Sync!$C$10)&amp;"","")&amp;"; "&amp;IFERROR(INDEX(Clay_Offices!$A$2:$FZ$601,65,Sync!$C$9)&amp;"",""))</f>
        <v/>
      </c>
      <c r="K2916" s="32" t="s">
        <v>1365</v>
      </c>
    </row>
    <row r="2917" customFormat="false" ht="15" hidden="false" customHeight="false" outlineLevel="0" collapsed="false">
      <c r="A2917" s="23" t="str">
        <f aca="false">IF(B2917="","",B2917+(14*1000+66)/10000000)</f>
        <v/>
      </c>
      <c r="B2917" s="35" t="str">
        <f aca="false">IF(AND(IFERROR(N(INDEX(Clay_Offices!$A$2:$FZ$601,66,Sync!$C$13)),0)&gt;0,IFERROR(INDEX(Clay_Offices!$A$2:$FZ$601,66,Sync!$C$5)&amp;"","")&lt;&gt;"",OR(LEFT(IFERROR(INDEX(Clay_Offices!$A$2:$FZ$601,66,Sync!$C$5)&amp;"",""),6)&lt;&gt;"SAMPLE",Config!$B$19="Y")),IFERROR(N(INDEX(Clay_Offices!$A$2:$FZ$601,66,Sync!$C$13)),0),"")</f>
        <v/>
      </c>
      <c r="C2917" s="23" t="str">
        <f aca="false">IF(B2917="","","office")</f>
        <v/>
      </c>
      <c r="D2917" s="23" t="str">
        <f aca="false">IF(B2917="","",IFERROR(INDEX(Office_Log!$ED$2:$ED$201,MATCH(IFERROR(INDEX(Clay_Offices!$A$2:$FZ$601,66,Sync!$C$5)&amp;"",""),Office_Log!$A$2:$A$201,0))&amp;"",IFERROR(INDEX(Clay_Offices!$A$2:$FZ$601,66,Sync!$C$5)&amp;"","")&amp;""))</f>
        <v/>
      </c>
      <c r="E2917" s="23" t="str">
        <f aca="false">IF(B2917="","",IFERROR(INDEX(Clay_Offices!$A$2:$FZ$601,66,Sync!$C$6)&amp;"",""))</f>
        <v/>
      </c>
      <c r="F2917" s="23" t="str">
        <f aca="false">IF(B2917="","","outreach_sent")</f>
        <v/>
      </c>
      <c r="G2917" s="23" t="str">
        <f aca="false">IF(B2917="","","")</f>
        <v/>
      </c>
      <c r="H2917" s="23" t="str">
        <f aca="false">IF(B2917="","","")</f>
        <v/>
      </c>
      <c r="I2917" s="23" t="str">
        <f aca="false">IF(B2917="","","")</f>
        <v/>
      </c>
      <c r="J2917" s="23" t="str">
        <f aca="false">IF(B2917="","","touch_3; "&amp;IFERROR(INDEX(Clay_Offices!$A$2:$FZ$601,66,Sync!$C$10)&amp;"","")&amp;"; "&amp;IFERROR(INDEX(Clay_Offices!$A$2:$FZ$601,66,Sync!$C$9)&amp;"",""))</f>
        <v/>
      </c>
      <c r="K2917" s="32" t="s">
        <v>1365</v>
      </c>
    </row>
    <row r="2918" customFormat="false" ht="15" hidden="false" customHeight="false" outlineLevel="0" collapsed="false">
      <c r="A2918" s="23" t="str">
        <f aca="false">IF(B2918="","",B2918+(14*1000+67)/10000000)</f>
        <v/>
      </c>
      <c r="B2918" s="35" t="str">
        <f aca="false">IF(AND(IFERROR(N(INDEX(Clay_Offices!$A$2:$FZ$601,67,Sync!$C$13)),0)&gt;0,IFERROR(INDEX(Clay_Offices!$A$2:$FZ$601,67,Sync!$C$5)&amp;"","")&lt;&gt;"",OR(LEFT(IFERROR(INDEX(Clay_Offices!$A$2:$FZ$601,67,Sync!$C$5)&amp;"",""),6)&lt;&gt;"SAMPLE",Config!$B$19="Y")),IFERROR(N(INDEX(Clay_Offices!$A$2:$FZ$601,67,Sync!$C$13)),0),"")</f>
        <v/>
      </c>
      <c r="C2918" s="23" t="str">
        <f aca="false">IF(B2918="","","office")</f>
        <v/>
      </c>
      <c r="D2918" s="23" t="str">
        <f aca="false">IF(B2918="","",IFERROR(INDEX(Office_Log!$ED$2:$ED$201,MATCH(IFERROR(INDEX(Clay_Offices!$A$2:$FZ$601,67,Sync!$C$5)&amp;"",""),Office_Log!$A$2:$A$201,0))&amp;"",IFERROR(INDEX(Clay_Offices!$A$2:$FZ$601,67,Sync!$C$5)&amp;"","")&amp;""))</f>
        <v/>
      </c>
      <c r="E2918" s="23" t="str">
        <f aca="false">IF(B2918="","",IFERROR(INDEX(Clay_Offices!$A$2:$FZ$601,67,Sync!$C$6)&amp;"",""))</f>
        <v/>
      </c>
      <c r="F2918" s="23" t="str">
        <f aca="false">IF(B2918="","","outreach_sent")</f>
        <v/>
      </c>
      <c r="G2918" s="23" t="str">
        <f aca="false">IF(B2918="","","")</f>
        <v/>
      </c>
      <c r="H2918" s="23" t="str">
        <f aca="false">IF(B2918="","","")</f>
        <v/>
      </c>
      <c r="I2918" s="23" t="str">
        <f aca="false">IF(B2918="","","")</f>
        <v/>
      </c>
      <c r="J2918" s="23" t="str">
        <f aca="false">IF(B2918="","","touch_3; "&amp;IFERROR(INDEX(Clay_Offices!$A$2:$FZ$601,67,Sync!$C$10)&amp;"","")&amp;"; "&amp;IFERROR(INDEX(Clay_Offices!$A$2:$FZ$601,67,Sync!$C$9)&amp;"",""))</f>
        <v/>
      </c>
      <c r="K2918" s="32" t="s">
        <v>1365</v>
      </c>
    </row>
    <row r="2919" customFormat="false" ht="15" hidden="false" customHeight="false" outlineLevel="0" collapsed="false">
      <c r="A2919" s="23" t="str">
        <f aca="false">IF(B2919="","",B2919+(14*1000+68)/10000000)</f>
        <v/>
      </c>
      <c r="B2919" s="35" t="str">
        <f aca="false">IF(AND(IFERROR(N(INDEX(Clay_Offices!$A$2:$FZ$601,68,Sync!$C$13)),0)&gt;0,IFERROR(INDEX(Clay_Offices!$A$2:$FZ$601,68,Sync!$C$5)&amp;"","")&lt;&gt;"",OR(LEFT(IFERROR(INDEX(Clay_Offices!$A$2:$FZ$601,68,Sync!$C$5)&amp;"",""),6)&lt;&gt;"SAMPLE",Config!$B$19="Y")),IFERROR(N(INDEX(Clay_Offices!$A$2:$FZ$601,68,Sync!$C$13)),0),"")</f>
        <v/>
      </c>
      <c r="C2919" s="23" t="str">
        <f aca="false">IF(B2919="","","office")</f>
        <v/>
      </c>
      <c r="D2919" s="23" t="str">
        <f aca="false">IF(B2919="","",IFERROR(INDEX(Office_Log!$ED$2:$ED$201,MATCH(IFERROR(INDEX(Clay_Offices!$A$2:$FZ$601,68,Sync!$C$5)&amp;"",""),Office_Log!$A$2:$A$201,0))&amp;"",IFERROR(INDEX(Clay_Offices!$A$2:$FZ$601,68,Sync!$C$5)&amp;"","")&amp;""))</f>
        <v/>
      </c>
      <c r="E2919" s="23" t="str">
        <f aca="false">IF(B2919="","",IFERROR(INDEX(Clay_Offices!$A$2:$FZ$601,68,Sync!$C$6)&amp;"",""))</f>
        <v/>
      </c>
      <c r="F2919" s="23" t="str">
        <f aca="false">IF(B2919="","","outreach_sent")</f>
        <v/>
      </c>
      <c r="G2919" s="23" t="str">
        <f aca="false">IF(B2919="","","")</f>
        <v/>
      </c>
      <c r="H2919" s="23" t="str">
        <f aca="false">IF(B2919="","","")</f>
        <v/>
      </c>
      <c r="I2919" s="23" t="str">
        <f aca="false">IF(B2919="","","")</f>
        <v/>
      </c>
      <c r="J2919" s="23" t="str">
        <f aca="false">IF(B2919="","","touch_3; "&amp;IFERROR(INDEX(Clay_Offices!$A$2:$FZ$601,68,Sync!$C$10)&amp;"","")&amp;"; "&amp;IFERROR(INDEX(Clay_Offices!$A$2:$FZ$601,68,Sync!$C$9)&amp;"",""))</f>
        <v/>
      </c>
      <c r="K2919" s="32" t="s">
        <v>1365</v>
      </c>
    </row>
    <row r="2920" customFormat="false" ht="15" hidden="false" customHeight="false" outlineLevel="0" collapsed="false">
      <c r="A2920" s="23" t="str">
        <f aca="false">IF(B2920="","",B2920+(14*1000+69)/10000000)</f>
        <v/>
      </c>
      <c r="B2920" s="35" t="str">
        <f aca="false">IF(AND(IFERROR(N(INDEX(Clay_Offices!$A$2:$FZ$601,69,Sync!$C$13)),0)&gt;0,IFERROR(INDEX(Clay_Offices!$A$2:$FZ$601,69,Sync!$C$5)&amp;"","")&lt;&gt;"",OR(LEFT(IFERROR(INDEX(Clay_Offices!$A$2:$FZ$601,69,Sync!$C$5)&amp;"",""),6)&lt;&gt;"SAMPLE",Config!$B$19="Y")),IFERROR(N(INDEX(Clay_Offices!$A$2:$FZ$601,69,Sync!$C$13)),0),"")</f>
        <v/>
      </c>
      <c r="C2920" s="23" t="str">
        <f aca="false">IF(B2920="","","office")</f>
        <v/>
      </c>
      <c r="D2920" s="23" t="str">
        <f aca="false">IF(B2920="","",IFERROR(INDEX(Office_Log!$ED$2:$ED$201,MATCH(IFERROR(INDEX(Clay_Offices!$A$2:$FZ$601,69,Sync!$C$5)&amp;"",""),Office_Log!$A$2:$A$201,0))&amp;"",IFERROR(INDEX(Clay_Offices!$A$2:$FZ$601,69,Sync!$C$5)&amp;"","")&amp;""))</f>
        <v/>
      </c>
      <c r="E2920" s="23" t="str">
        <f aca="false">IF(B2920="","",IFERROR(INDEX(Clay_Offices!$A$2:$FZ$601,69,Sync!$C$6)&amp;"",""))</f>
        <v/>
      </c>
      <c r="F2920" s="23" t="str">
        <f aca="false">IF(B2920="","","outreach_sent")</f>
        <v/>
      </c>
      <c r="G2920" s="23" t="str">
        <f aca="false">IF(B2920="","","")</f>
        <v/>
      </c>
      <c r="H2920" s="23" t="str">
        <f aca="false">IF(B2920="","","")</f>
        <v/>
      </c>
      <c r="I2920" s="23" t="str">
        <f aca="false">IF(B2920="","","")</f>
        <v/>
      </c>
      <c r="J2920" s="23" t="str">
        <f aca="false">IF(B2920="","","touch_3; "&amp;IFERROR(INDEX(Clay_Offices!$A$2:$FZ$601,69,Sync!$C$10)&amp;"","")&amp;"; "&amp;IFERROR(INDEX(Clay_Offices!$A$2:$FZ$601,69,Sync!$C$9)&amp;"",""))</f>
        <v/>
      </c>
      <c r="K2920" s="32" t="s">
        <v>1365</v>
      </c>
    </row>
    <row r="2921" customFormat="false" ht="15" hidden="false" customHeight="false" outlineLevel="0" collapsed="false">
      <c r="A2921" s="23" t="str">
        <f aca="false">IF(B2921="","",B2921+(14*1000+70)/10000000)</f>
        <v/>
      </c>
      <c r="B2921" s="35" t="str">
        <f aca="false">IF(AND(IFERROR(N(INDEX(Clay_Offices!$A$2:$FZ$601,70,Sync!$C$13)),0)&gt;0,IFERROR(INDEX(Clay_Offices!$A$2:$FZ$601,70,Sync!$C$5)&amp;"","")&lt;&gt;"",OR(LEFT(IFERROR(INDEX(Clay_Offices!$A$2:$FZ$601,70,Sync!$C$5)&amp;"",""),6)&lt;&gt;"SAMPLE",Config!$B$19="Y")),IFERROR(N(INDEX(Clay_Offices!$A$2:$FZ$601,70,Sync!$C$13)),0),"")</f>
        <v/>
      </c>
      <c r="C2921" s="23" t="str">
        <f aca="false">IF(B2921="","","office")</f>
        <v/>
      </c>
      <c r="D2921" s="23" t="str">
        <f aca="false">IF(B2921="","",IFERROR(INDEX(Office_Log!$ED$2:$ED$201,MATCH(IFERROR(INDEX(Clay_Offices!$A$2:$FZ$601,70,Sync!$C$5)&amp;"",""),Office_Log!$A$2:$A$201,0))&amp;"",IFERROR(INDEX(Clay_Offices!$A$2:$FZ$601,70,Sync!$C$5)&amp;"","")&amp;""))</f>
        <v/>
      </c>
      <c r="E2921" s="23" t="str">
        <f aca="false">IF(B2921="","",IFERROR(INDEX(Clay_Offices!$A$2:$FZ$601,70,Sync!$C$6)&amp;"",""))</f>
        <v/>
      </c>
      <c r="F2921" s="23" t="str">
        <f aca="false">IF(B2921="","","outreach_sent")</f>
        <v/>
      </c>
      <c r="G2921" s="23" t="str">
        <f aca="false">IF(B2921="","","")</f>
        <v/>
      </c>
      <c r="H2921" s="23" t="str">
        <f aca="false">IF(B2921="","","")</f>
        <v/>
      </c>
      <c r="I2921" s="23" t="str">
        <f aca="false">IF(B2921="","","")</f>
        <v/>
      </c>
      <c r="J2921" s="23" t="str">
        <f aca="false">IF(B2921="","","touch_3; "&amp;IFERROR(INDEX(Clay_Offices!$A$2:$FZ$601,70,Sync!$C$10)&amp;"","")&amp;"; "&amp;IFERROR(INDEX(Clay_Offices!$A$2:$FZ$601,70,Sync!$C$9)&amp;"",""))</f>
        <v/>
      </c>
      <c r="K2921" s="32" t="s">
        <v>1365</v>
      </c>
    </row>
    <row r="2922" customFormat="false" ht="15" hidden="false" customHeight="false" outlineLevel="0" collapsed="false">
      <c r="A2922" s="23" t="str">
        <f aca="false">IF(B2922="","",B2922+(14*1000+71)/10000000)</f>
        <v/>
      </c>
      <c r="B2922" s="35" t="str">
        <f aca="false">IF(AND(IFERROR(N(INDEX(Clay_Offices!$A$2:$FZ$601,71,Sync!$C$13)),0)&gt;0,IFERROR(INDEX(Clay_Offices!$A$2:$FZ$601,71,Sync!$C$5)&amp;"","")&lt;&gt;"",OR(LEFT(IFERROR(INDEX(Clay_Offices!$A$2:$FZ$601,71,Sync!$C$5)&amp;"",""),6)&lt;&gt;"SAMPLE",Config!$B$19="Y")),IFERROR(N(INDEX(Clay_Offices!$A$2:$FZ$601,71,Sync!$C$13)),0),"")</f>
        <v/>
      </c>
      <c r="C2922" s="23" t="str">
        <f aca="false">IF(B2922="","","office")</f>
        <v/>
      </c>
      <c r="D2922" s="23" t="str">
        <f aca="false">IF(B2922="","",IFERROR(INDEX(Office_Log!$ED$2:$ED$201,MATCH(IFERROR(INDEX(Clay_Offices!$A$2:$FZ$601,71,Sync!$C$5)&amp;"",""),Office_Log!$A$2:$A$201,0))&amp;"",IFERROR(INDEX(Clay_Offices!$A$2:$FZ$601,71,Sync!$C$5)&amp;"","")&amp;""))</f>
        <v/>
      </c>
      <c r="E2922" s="23" t="str">
        <f aca="false">IF(B2922="","",IFERROR(INDEX(Clay_Offices!$A$2:$FZ$601,71,Sync!$C$6)&amp;"",""))</f>
        <v/>
      </c>
      <c r="F2922" s="23" t="str">
        <f aca="false">IF(B2922="","","outreach_sent")</f>
        <v/>
      </c>
      <c r="G2922" s="23" t="str">
        <f aca="false">IF(B2922="","","")</f>
        <v/>
      </c>
      <c r="H2922" s="23" t="str">
        <f aca="false">IF(B2922="","","")</f>
        <v/>
      </c>
      <c r="I2922" s="23" t="str">
        <f aca="false">IF(B2922="","","")</f>
        <v/>
      </c>
      <c r="J2922" s="23" t="str">
        <f aca="false">IF(B2922="","","touch_3; "&amp;IFERROR(INDEX(Clay_Offices!$A$2:$FZ$601,71,Sync!$C$10)&amp;"","")&amp;"; "&amp;IFERROR(INDEX(Clay_Offices!$A$2:$FZ$601,71,Sync!$C$9)&amp;"",""))</f>
        <v/>
      </c>
      <c r="K2922" s="32" t="s">
        <v>1365</v>
      </c>
    </row>
    <row r="2923" customFormat="false" ht="15" hidden="false" customHeight="false" outlineLevel="0" collapsed="false">
      <c r="A2923" s="23" t="str">
        <f aca="false">IF(B2923="","",B2923+(14*1000+72)/10000000)</f>
        <v/>
      </c>
      <c r="B2923" s="35" t="str">
        <f aca="false">IF(AND(IFERROR(N(INDEX(Clay_Offices!$A$2:$FZ$601,72,Sync!$C$13)),0)&gt;0,IFERROR(INDEX(Clay_Offices!$A$2:$FZ$601,72,Sync!$C$5)&amp;"","")&lt;&gt;"",OR(LEFT(IFERROR(INDEX(Clay_Offices!$A$2:$FZ$601,72,Sync!$C$5)&amp;"",""),6)&lt;&gt;"SAMPLE",Config!$B$19="Y")),IFERROR(N(INDEX(Clay_Offices!$A$2:$FZ$601,72,Sync!$C$13)),0),"")</f>
        <v/>
      </c>
      <c r="C2923" s="23" t="str">
        <f aca="false">IF(B2923="","","office")</f>
        <v/>
      </c>
      <c r="D2923" s="23" t="str">
        <f aca="false">IF(B2923="","",IFERROR(INDEX(Office_Log!$ED$2:$ED$201,MATCH(IFERROR(INDEX(Clay_Offices!$A$2:$FZ$601,72,Sync!$C$5)&amp;"",""),Office_Log!$A$2:$A$201,0))&amp;"",IFERROR(INDEX(Clay_Offices!$A$2:$FZ$601,72,Sync!$C$5)&amp;"","")&amp;""))</f>
        <v/>
      </c>
      <c r="E2923" s="23" t="str">
        <f aca="false">IF(B2923="","",IFERROR(INDEX(Clay_Offices!$A$2:$FZ$601,72,Sync!$C$6)&amp;"",""))</f>
        <v/>
      </c>
      <c r="F2923" s="23" t="str">
        <f aca="false">IF(B2923="","","outreach_sent")</f>
        <v/>
      </c>
      <c r="G2923" s="23" t="str">
        <f aca="false">IF(B2923="","","")</f>
        <v/>
      </c>
      <c r="H2923" s="23" t="str">
        <f aca="false">IF(B2923="","","")</f>
        <v/>
      </c>
      <c r="I2923" s="23" t="str">
        <f aca="false">IF(B2923="","","")</f>
        <v/>
      </c>
      <c r="J2923" s="23" t="str">
        <f aca="false">IF(B2923="","","touch_3; "&amp;IFERROR(INDEX(Clay_Offices!$A$2:$FZ$601,72,Sync!$C$10)&amp;"","")&amp;"; "&amp;IFERROR(INDEX(Clay_Offices!$A$2:$FZ$601,72,Sync!$C$9)&amp;"",""))</f>
        <v/>
      </c>
      <c r="K2923" s="32" t="s">
        <v>1365</v>
      </c>
    </row>
    <row r="2924" customFormat="false" ht="15" hidden="false" customHeight="false" outlineLevel="0" collapsed="false">
      <c r="A2924" s="23" t="str">
        <f aca="false">IF(B2924="","",B2924+(14*1000+73)/10000000)</f>
        <v/>
      </c>
      <c r="B2924" s="35" t="str">
        <f aca="false">IF(AND(IFERROR(N(INDEX(Clay_Offices!$A$2:$FZ$601,73,Sync!$C$13)),0)&gt;0,IFERROR(INDEX(Clay_Offices!$A$2:$FZ$601,73,Sync!$C$5)&amp;"","")&lt;&gt;"",OR(LEFT(IFERROR(INDEX(Clay_Offices!$A$2:$FZ$601,73,Sync!$C$5)&amp;"",""),6)&lt;&gt;"SAMPLE",Config!$B$19="Y")),IFERROR(N(INDEX(Clay_Offices!$A$2:$FZ$601,73,Sync!$C$13)),0),"")</f>
        <v/>
      </c>
      <c r="C2924" s="23" t="str">
        <f aca="false">IF(B2924="","","office")</f>
        <v/>
      </c>
      <c r="D2924" s="23" t="str">
        <f aca="false">IF(B2924="","",IFERROR(INDEX(Office_Log!$ED$2:$ED$201,MATCH(IFERROR(INDEX(Clay_Offices!$A$2:$FZ$601,73,Sync!$C$5)&amp;"",""),Office_Log!$A$2:$A$201,0))&amp;"",IFERROR(INDEX(Clay_Offices!$A$2:$FZ$601,73,Sync!$C$5)&amp;"","")&amp;""))</f>
        <v/>
      </c>
      <c r="E2924" s="23" t="str">
        <f aca="false">IF(B2924="","",IFERROR(INDEX(Clay_Offices!$A$2:$FZ$601,73,Sync!$C$6)&amp;"",""))</f>
        <v/>
      </c>
      <c r="F2924" s="23" t="str">
        <f aca="false">IF(B2924="","","outreach_sent")</f>
        <v/>
      </c>
      <c r="G2924" s="23" t="str">
        <f aca="false">IF(B2924="","","")</f>
        <v/>
      </c>
      <c r="H2924" s="23" t="str">
        <f aca="false">IF(B2924="","","")</f>
        <v/>
      </c>
      <c r="I2924" s="23" t="str">
        <f aca="false">IF(B2924="","","")</f>
        <v/>
      </c>
      <c r="J2924" s="23" t="str">
        <f aca="false">IF(B2924="","","touch_3; "&amp;IFERROR(INDEX(Clay_Offices!$A$2:$FZ$601,73,Sync!$C$10)&amp;"","")&amp;"; "&amp;IFERROR(INDEX(Clay_Offices!$A$2:$FZ$601,73,Sync!$C$9)&amp;"",""))</f>
        <v/>
      </c>
      <c r="K2924" s="32" t="s">
        <v>1365</v>
      </c>
    </row>
    <row r="2925" customFormat="false" ht="15" hidden="false" customHeight="false" outlineLevel="0" collapsed="false">
      <c r="A2925" s="23" t="str">
        <f aca="false">IF(B2925="","",B2925+(14*1000+74)/10000000)</f>
        <v/>
      </c>
      <c r="B2925" s="35" t="str">
        <f aca="false">IF(AND(IFERROR(N(INDEX(Clay_Offices!$A$2:$FZ$601,74,Sync!$C$13)),0)&gt;0,IFERROR(INDEX(Clay_Offices!$A$2:$FZ$601,74,Sync!$C$5)&amp;"","")&lt;&gt;"",OR(LEFT(IFERROR(INDEX(Clay_Offices!$A$2:$FZ$601,74,Sync!$C$5)&amp;"",""),6)&lt;&gt;"SAMPLE",Config!$B$19="Y")),IFERROR(N(INDEX(Clay_Offices!$A$2:$FZ$601,74,Sync!$C$13)),0),"")</f>
        <v/>
      </c>
      <c r="C2925" s="23" t="str">
        <f aca="false">IF(B2925="","","office")</f>
        <v/>
      </c>
      <c r="D2925" s="23" t="str">
        <f aca="false">IF(B2925="","",IFERROR(INDEX(Office_Log!$ED$2:$ED$201,MATCH(IFERROR(INDEX(Clay_Offices!$A$2:$FZ$601,74,Sync!$C$5)&amp;"",""),Office_Log!$A$2:$A$201,0))&amp;"",IFERROR(INDEX(Clay_Offices!$A$2:$FZ$601,74,Sync!$C$5)&amp;"","")&amp;""))</f>
        <v/>
      </c>
      <c r="E2925" s="23" t="str">
        <f aca="false">IF(B2925="","",IFERROR(INDEX(Clay_Offices!$A$2:$FZ$601,74,Sync!$C$6)&amp;"",""))</f>
        <v/>
      </c>
      <c r="F2925" s="23" t="str">
        <f aca="false">IF(B2925="","","outreach_sent")</f>
        <v/>
      </c>
      <c r="G2925" s="23" t="str">
        <f aca="false">IF(B2925="","","")</f>
        <v/>
      </c>
      <c r="H2925" s="23" t="str">
        <f aca="false">IF(B2925="","","")</f>
        <v/>
      </c>
      <c r="I2925" s="23" t="str">
        <f aca="false">IF(B2925="","","")</f>
        <v/>
      </c>
      <c r="J2925" s="23" t="str">
        <f aca="false">IF(B2925="","","touch_3; "&amp;IFERROR(INDEX(Clay_Offices!$A$2:$FZ$601,74,Sync!$C$10)&amp;"","")&amp;"; "&amp;IFERROR(INDEX(Clay_Offices!$A$2:$FZ$601,74,Sync!$C$9)&amp;"",""))</f>
        <v/>
      </c>
      <c r="K2925" s="32" t="s">
        <v>1365</v>
      </c>
    </row>
    <row r="2926" customFormat="false" ht="15" hidden="false" customHeight="false" outlineLevel="0" collapsed="false">
      <c r="A2926" s="23" t="str">
        <f aca="false">IF(B2926="","",B2926+(14*1000+75)/10000000)</f>
        <v/>
      </c>
      <c r="B2926" s="35" t="str">
        <f aca="false">IF(AND(IFERROR(N(INDEX(Clay_Offices!$A$2:$FZ$601,75,Sync!$C$13)),0)&gt;0,IFERROR(INDEX(Clay_Offices!$A$2:$FZ$601,75,Sync!$C$5)&amp;"","")&lt;&gt;"",OR(LEFT(IFERROR(INDEX(Clay_Offices!$A$2:$FZ$601,75,Sync!$C$5)&amp;"",""),6)&lt;&gt;"SAMPLE",Config!$B$19="Y")),IFERROR(N(INDEX(Clay_Offices!$A$2:$FZ$601,75,Sync!$C$13)),0),"")</f>
        <v/>
      </c>
      <c r="C2926" s="23" t="str">
        <f aca="false">IF(B2926="","","office")</f>
        <v/>
      </c>
      <c r="D2926" s="23" t="str">
        <f aca="false">IF(B2926="","",IFERROR(INDEX(Office_Log!$ED$2:$ED$201,MATCH(IFERROR(INDEX(Clay_Offices!$A$2:$FZ$601,75,Sync!$C$5)&amp;"",""),Office_Log!$A$2:$A$201,0))&amp;"",IFERROR(INDEX(Clay_Offices!$A$2:$FZ$601,75,Sync!$C$5)&amp;"","")&amp;""))</f>
        <v/>
      </c>
      <c r="E2926" s="23" t="str">
        <f aca="false">IF(B2926="","",IFERROR(INDEX(Clay_Offices!$A$2:$FZ$601,75,Sync!$C$6)&amp;"",""))</f>
        <v/>
      </c>
      <c r="F2926" s="23" t="str">
        <f aca="false">IF(B2926="","","outreach_sent")</f>
        <v/>
      </c>
      <c r="G2926" s="23" t="str">
        <f aca="false">IF(B2926="","","")</f>
        <v/>
      </c>
      <c r="H2926" s="23" t="str">
        <f aca="false">IF(B2926="","","")</f>
        <v/>
      </c>
      <c r="I2926" s="23" t="str">
        <f aca="false">IF(B2926="","","")</f>
        <v/>
      </c>
      <c r="J2926" s="23" t="str">
        <f aca="false">IF(B2926="","","touch_3; "&amp;IFERROR(INDEX(Clay_Offices!$A$2:$FZ$601,75,Sync!$C$10)&amp;"","")&amp;"; "&amp;IFERROR(INDEX(Clay_Offices!$A$2:$FZ$601,75,Sync!$C$9)&amp;"",""))</f>
        <v/>
      </c>
      <c r="K2926" s="32" t="s">
        <v>1365</v>
      </c>
    </row>
    <row r="2927" customFormat="false" ht="15" hidden="false" customHeight="false" outlineLevel="0" collapsed="false">
      <c r="A2927" s="23" t="str">
        <f aca="false">IF(B2927="","",B2927+(14*1000+76)/10000000)</f>
        <v/>
      </c>
      <c r="B2927" s="35" t="str">
        <f aca="false">IF(AND(IFERROR(N(INDEX(Clay_Offices!$A$2:$FZ$601,76,Sync!$C$13)),0)&gt;0,IFERROR(INDEX(Clay_Offices!$A$2:$FZ$601,76,Sync!$C$5)&amp;"","")&lt;&gt;"",OR(LEFT(IFERROR(INDEX(Clay_Offices!$A$2:$FZ$601,76,Sync!$C$5)&amp;"",""),6)&lt;&gt;"SAMPLE",Config!$B$19="Y")),IFERROR(N(INDEX(Clay_Offices!$A$2:$FZ$601,76,Sync!$C$13)),0),"")</f>
        <v/>
      </c>
      <c r="C2927" s="23" t="str">
        <f aca="false">IF(B2927="","","office")</f>
        <v/>
      </c>
      <c r="D2927" s="23" t="str">
        <f aca="false">IF(B2927="","",IFERROR(INDEX(Office_Log!$ED$2:$ED$201,MATCH(IFERROR(INDEX(Clay_Offices!$A$2:$FZ$601,76,Sync!$C$5)&amp;"",""),Office_Log!$A$2:$A$201,0))&amp;"",IFERROR(INDEX(Clay_Offices!$A$2:$FZ$601,76,Sync!$C$5)&amp;"","")&amp;""))</f>
        <v/>
      </c>
      <c r="E2927" s="23" t="str">
        <f aca="false">IF(B2927="","",IFERROR(INDEX(Clay_Offices!$A$2:$FZ$601,76,Sync!$C$6)&amp;"",""))</f>
        <v/>
      </c>
      <c r="F2927" s="23" t="str">
        <f aca="false">IF(B2927="","","outreach_sent")</f>
        <v/>
      </c>
      <c r="G2927" s="23" t="str">
        <f aca="false">IF(B2927="","","")</f>
        <v/>
      </c>
      <c r="H2927" s="23" t="str">
        <f aca="false">IF(B2927="","","")</f>
        <v/>
      </c>
      <c r="I2927" s="23" t="str">
        <f aca="false">IF(B2927="","","")</f>
        <v/>
      </c>
      <c r="J2927" s="23" t="str">
        <f aca="false">IF(B2927="","","touch_3; "&amp;IFERROR(INDEX(Clay_Offices!$A$2:$FZ$601,76,Sync!$C$10)&amp;"","")&amp;"; "&amp;IFERROR(INDEX(Clay_Offices!$A$2:$FZ$601,76,Sync!$C$9)&amp;"",""))</f>
        <v/>
      </c>
      <c r="K2927" s="32" t="s">
        <v>1365</v>
      </c>
    </row>
    <row r="2928" customFormat="false" ht="15" hidden="false" customHeight="false" outlineLevel="0" collapsed="false">
      <c r="A2928" s="23" t="str">
        <f aca="false">IF(B2928="","",B2928+(14*1000+77)/10000000)</f>
        <v/>
      </c>
      <c r="B2928" s="35" t="str">
        <f aca="false">IF(AND(IFERROR(N(INDEX(Clay_Offices!$A$2:$FZ$601,77,Sync!$C$13)),0)&gt;0,IFERROR(INDEX(Clay_Offices!$A$2:$FZ$601,77,Sync!$C$5)&amp;"","")&lt;&gt;"",OR(LEFT(IFERROR(INDEX(Clay_Offices!$A$2:$FZ$601,77,Sync!$C$5)&amp;"",""),6)&lt;&gt;"SAMPLE",Config!$B$19="Y")),IFERROR(N(INDEX(Clay_Offices!$A$2:$FZ$601,77,Sync!$C$13)),0),"")</f>
        <v/>
      </c>
      <c r="C2928" s="23" t="str">
        <f aca="false">IF(B2928="","","office")</f>
        <v/>
      </c>
      <c r="D2928" s="23" t="str">
        <f aca="false">IF(B2928="","",IFERROR(INDEX(Office_Log!$ED$2:$ED$201,MATCH(IFERROR(INDEX(Clay_Offices!$A$2:$FZ$601,77,Sync!$C$5)&amp;"",""),Office_Log!$A$2:$A$201,0))&amp;"",IFERROR(INDEX(Clay_Offices!$A$2:$FZ$601,77,Sync!$C$5)&amp;"","")&amp;""))</f>
        <v/>
      </c>
      <c r="E2928" s="23" t="str">
        <f aca="false">IF(B2928="","",IFERROR(INDEX(Clay_Offices!$A$2:$FZ$601,77,Sync!$C$6)&amp;"",""))</f>
        <v/>
      </c>
      <c r="F2928" s="23" t="str">
        <f aca="false">IF(B2928="","","outreach_sent")</f>
        <v/>
      </c>
      <c r="G2928" s="23" t="str">
        <f aca="false">IF(B2928="","","")</f>
        <v/>
      </c>
      <c r="H2928" s="23" t="str">
        <f aca="false">IF(B2928="","","")</f>
        <v/>
      </c>
      <c r="I2928" s="23" t="str">
        <f aca="false">IF(B2928="","","")</f>
        <v/>
      </c>
      <c r="J2928" s="23" t="str">
        <f aca="false">IF(B2928="","","touch_3; "&amp;IFERROR(INDEX(Clay_Offices!$A$2:$FZ$601,77,Sync!$C$10)&amp;"","")&amp;"; "&amp;IFERROR(INDEX(Clay_Offices!$A$2:$FZ$601,77,Sync!$C$9)&amp;"",""))</f>
        <v/>
      </c>
      <c r="K2928" s="32" t="s">
        <v>1365</v>
      </c>
    </row>
    <row r="2929" customFormat="false" ht="15" hidden="false" customHeight="false" outlineLevel="0" collapsed="false">
      <c r="A2929" s="23" t="str">
        <f aca="false">IF(B2929="","",B2929+(14*1000+78)/10000000)</f>
        <v/>
      </c>
      <c r="B2929" s="35" t="str">
        <f aca="false">IF(AND(IFERROR(N(INDEX(Clay_Offices!$A$2:$FZ$601,78,Sync!$C$13)),0)&gt;0,IFERROR(INDEX(Clay_Offices!$A$2:$FZ$601,78,Sync!$C$5)&amp;"","")&lt;&gt;"",OR(LEFT(IFERROR(INDEX(Clay_Offices!$A$2:$FZ$601,78,Sync!$C$5)&amp;"",""),6)&lt;&gt;"SAMPLE",Config!$B$19="Y")),IFERROR(N(INDEX(Clay_Offices!$A$2:$FZ$601,78,Sync!$C$13)),0),"")</f>
        <v/>
      </c>
      <c r="C2929" s="23" t="str">
        <f aca="false">IF(B2929="","","office")</f>
        <v/>
      </c>
      <c r="D2929" s="23" t="str">
        <f aca="false">IF(B2929="","",IFERROR(INDEX(Office_Log!$ED$2:$ED$201,MATCH(IFERROR(INDEX(Clay_Offices!$A$2:$FZ$601,78,Sync!$C$5)&amp;"",""),Office_Log!$A$2:$A$201,0))&amp;"",IFERROR(INDEX(Clay_Offices!$A$2:$FZ$601,78,Sync!$C$5)&amp;"","")&amp;""))</f>
        <v/>
      </c>
      <c r="E2929" s="23" t="str">
        <f aca="false">IF(B2929="","",IFERROR(INDEX(Clay_Offices!$A$2:$FZ$601,78,Sync!$C$6)&amp;"",""))</f>
        <v/>
      </c>
      <c r="F2929" s="23" t="str">
        <f aca="false">IF(B2929="","","outreach_sent")</f>
        <v/>
      </c>
      <c r="G2929" s="23" t="str">
        <f aca="false">IF(B2929="","","")</f>
        <v/>
      </c>
      <c r="H2929" s="23" t="str">
        <f aca="false">IF(B2929="","","")</f>
        <v/>
      </c>
      <c r="I2929" s="23" t="str">
        <f aca="false">IF(B2929="","","")</f>
        <v/>
      </c>
      <c r="J2929" s="23" t="str">
        <f aca="false">IF(B2929="","","touch_3; "&amp;IFERROR(INDEX(Clay_Offices!$A$2:$FZ$601,78,Sync!$C$10)&amp;"","")&amp;"; "&amp;IFERROR(INDEX(Clay_Offices!$A$2:$FZ$601,78,Sync!$C$9)&amp;"",""))</f>
        <v/>
      </c>
      <c r="K2929" s="32" t="s">
        <v>1365</v>
      </c>
    </row>
    <row r="2930" customFormat="false" ht="15" hidden="false" customHeight="false" outlineLevel="0" collapsed="false">
      <c r="A2930" s="23" t="str">
        <f aca="false">IF(B2930="","",B2930+(14*1000+79)/10000000)</f>
        <v/>
      </c>
      <c r="B2930" s="35" t="str">
        <f aca="false">IF(AND(IFERROR(N(INDEX(Clay_Offices!$A$2:$FZ$601,79,Sync!$C$13)),0)&gt;0,IFERROR(INDEX(Clay_Offices!$A$2:$FZ$601,79,Sync!$C$5)&amp;"","")&lt;&gt;"",OR(LEFT(IFERROR(INDEX(Clay_Offices!$A$2:$FZ$601,79,Sync!$C$5)&amp;"",""),6)&lt;&gt;"SAMPLE",Config!$B$19="Y")),IFERROR(N(INDEX(Clay_Offices!$A$2:$FZ$601,79,Sync!$C$13)),0),"")</f>
        <v/>
      </c>
      <c r="C2930" s="23" t="str">
        <f aca="false">IF(B2930="","","office")</f>
        <v/>
      </c>
      <c r="D2930" s="23" t="str">
        <f aca="false">IF(B2930="","",IFERROR(INDEX(Office_Log!$ED$2:$ED$201,MATCH(IFERROR(INDEX(Clay_Offices!$A$2:$FZ$601,79,Sync!$C$5)&amp;"",""),Office_Log!$A$2:$A$201,0))&amp;"",IFERROR(INDEX(Clay_Offices!$A$2:$FZ$601,79,Sync!$C$5)&amp;"","")&amp;""))</f>
        <v/>
      </c>
      <c r="E2930" s="23" t="str">
        <f aca="false">IF(B2930="","",IFERROR(INDEX(Clay_Offices!$A$2:$FZ$601,79,Sync!$C$6)&amp;"",""))</f>
        <v/>
      </c>
      <c r="F2930" s="23" t="str">
        <f aca="false">IF(B2930="","","outreach_sent")</f>
        <v/>
      </c>
      <c r="G2930" s="23" t="str">
        <f aca="false">IF(B2930="","","")</f>
        <v/>
      </c>
      <c r="H2930" s="23" t="str">
        <f aca="false">IF(B2930="","","")</f>
        <v/>
      </c>
      <c r="I2930" s="23" t="str">
        <f aca="false">IF(B2930="","","")</f>
        <v/>
      </c>
      <c r="J2930" s="23" t="str">
        <f aca="false">IF(B2930="","","touch_3; "&amp;IFERROR(INDEX(Clay_Offices!$A$2:$FZ$601,79,Sync!$C$10)&amp;"","")&amp;"; "&amp;IFERROR(INDEX(Clay_Offices!$A$2:$FZ$601,79,Sync!$C$9)&amp;"",""))</f>
        <v/>
      </c>
      <c r="K2930" s="32" t="s">
        <v>1365</v>
      </c>
    </row>
    <row r="2931" customFormat="false" ht="15" hidden="false" customHeight="false" outlineLevel="0" collapsed="false">
      <c r="A2931" s="23" t="str">
        <f aca="false">IF(B2931="","",B2931+(14*1000+80)/10000000)</f>
        <v/>
      </c>
      <c r="B2931" s="35" t="str">
        <f aca="false">IF(AND(IFERROR(N(INDEX(Clay_Offices!$A$2:$FZ$601,80,Sync!$C$13)),0)&gt;0,IFERROR(INDEX(Clay_Offices!$A$2:$FZ$601,80,Sync!$C$5)&amp;"","")&lt;&gt;"",OR(LEFT(IFERROR(INDEX(Clay_Offices!$A$2:$FZ$601,80,Sync!$C$5)&amp;"",""),6)&lt;&gt;"SAMPLE",Config!$B$19="Y")),IFERROR(N(INDEX(Clay_Offices!$A$2:$FZ$601,80,Sync!$C$13)),0),"")</f>
        <v/>
      </c>
      <c r="C2931" s="23" t="str">
        <f aca="false">IF(B2931="","","office")</f>
        <v/>
      </c>
      <c r="D2931" s="23" t="str">
        <f aca="false">IF(B2931="","",IFERROR(INDEX(Office_Log!$ED$2:$ED$201,MATCH(IFERROR(INDEX(Clay_Offices!$A$2:$FZ$601,80,Sync!$C$5)&amp;"",""),Office_Log!$A$2:$A$201,0))&amp;"",IFERROR(INDEX(Clay_Offices!$A$2:$FZ$601,80,Sync!$C$5)&amp;"","")&amp;""))</f>
        <v/>
      </c>
      <c r="E2931" s="23" t="str">
        <f aca="false">IF(B2931="","",IFERROR(INDEX(Clay_Offices!$A$2:$FZ$601,80,Sync!$C$6)&amp;"",""))</f>
        <v/>
      </c>
      <c r="F2931" s="23" t="str">
        <f aca="false">IF(B2931="","","outreach_sent")</f>
        <v/>
      </c>
      <c r="G2931" s="23" t="str">
        <f aca="false">IF(B2931="","","")</f>
        <v/>
      </c>
      <c r="H2931" s="23" t="str">
        <f aca="false">IF(B2931="","","")</f>
        <v/>
      </c>
      <c r="I2931" s="23" t="str">
        <f aca="false">IF(B2931="","","")</f>
        <v/>
      </c>
      <c r="J2931" s="23" t="str">
        <f aca="false">IF(B2931="","","touch_3; "&amp;IFERROR(INDEX(Clay_Offices!$A$2:$FZ$601,80,Sync!$C$10)&amp;"","")&amp;"; "&amp;IFERROR(INDEX(Clay_Offices!$A$2:$FZ$601,80,Sync!$C$9)&amp;"",""))</f>
        <v/>
      </c>
      <c r="K2931" s="32" t="s">
        <v>1365</v>
      </c>
    </row>
    <row r="2932" customFormat="false" ht="15" hidden="false" customHeight="false" outlineLevel="0" collapsed="false">
      <c r="A2932" s="23" t="str">
        <f aca="false">IF(B2932="","",B2932+(14*1000+81)/10000000)</f>
        <v/>
      </c>
      <c r="B2932" s="35" t="str">
        <f aca="false">IF(AND(IFERROR(N(INDEX(Clay_Offices!$A$2:$FZ$601,81,Sync!$C$13)),0)&gt;0,IFERROR(INDEX(Clay_Offices!$A$2:$FZ$601,81,Sync!$C$5)&amp;"","")&lt;&gt;"",OR(LEFT(IFERROR(INDEX(Clay_Offices!$A$2:$FZ$601,81,Sync!$C$5)&amp;"",""),6)&lt;&gt;"SAMPLE",Config!$B$19="Y")),IFERROR(N(INDEX(Clay_Offices!$A$2:$FZ$601,81,Sync!$C$13)),0),"")</f>
        <v/>
      </c>
      <c r="C2932" s="23" t="str">
        <f aca="false">IF(B2932="","","office")</f>
        <v/>
      </c>
      <c r="D2932" s="23" t="str">
        <f aca="false">IF(B2932="","",IFERROR(INDEX(Office_Log!$ED$2:$ED$201,MATCH(IFERROR(INDEX(Clay_Offices!$A$2:$FZ$601,81,Sync!$C$5)&amp;"",""),Office_Log!$A$2:$A$201,0))&amp;"",IFERROR(INDEX(Clay_Offices!$A$2:$FZ$601,81,Sync!$C$5)&amp;"","")&amp;""))</f>
        <v/>
      </c>
      <c r="E2932" s="23" t="str">
        <f aca="false">IF(B2932="","",IFERROR(INDEX(Clay_Offices!$A$2:$FZ$601,81,Sync!$C$6)&amp;"",""))</f>
        <v/>
      </c>
      <c r="F2932" s="23" t="str">
        <f aca="false">IF(B2932="","","outreach_sent")</f>
        <v/>
      </c>
      <c r="G2932" s="23" t="str">
        <f aca="false">IF(B2932="","","")</f>
        <v/>
      </c>
      <c r="H2932" s="23" t="str">
        <f aca="false">IF(B2932="","","")</f>
        <v/>
      </c>
      <c r="I2932" s="23" t="str">
        <f aca="false">IF(B2932="","","")</f>
        <v/>
      </c>
      <c r="J2932" s="23" t="str">
        <f aca="false">IF(B2932="","","touch_3; "&amp;IFERROR(INDEX(Clay_Offices!$A$2:$FZ$601,81,Sync!$C$10)&amp;"","")&amp;"; "&amp;IFERROR(INDEX(Clay_Offices!$A$2:$FZ$601,81,Sync!$C$9)&amp;"",""))</f>
        <v/>
      </c>
      <c r="K2932" s="32" t="s">
        <v>1365</v>
      </c>
    </row>
    <row r="2933" customFormat="false" ht="15" hidden="false" customHeight="false" outlineLevel="0" collapsed="false">
      <c r="A2933" s="23" t="str">
        <f aca="false">IF(B2933="","",B2933+(14*1000+82)/10000000)</f>
        <v/>
      </c>
      <c r="B2933" s="35" t="str">
        <f aca="false">IF(AND(IFERROR(N(INDEX(Clay_Offices!$A$2:$FZ$601,82,Sync!$C$13)),0)&gt;0,IFERROR(INDEX(Clay_Offices!$A$2:$FZ$601,82,Sync!$C$5)&amp;"","")&lt;&gt;"",OR(LEFT(IFERROR(INDEX(Clay_Offices!$A$2:$FZ$601,82,Sync!$C$5)&amp;"",""),6)&lt;&gt;"SAMPLE",Config!$B$19="Y")),IFERROR(N(INDEX(Clay_Offices!$A$2:$FZ$601,82,Sync!$C$13)),0),"")</f>
        <v/>
      </c>
      <c r="C2933" s="23" t="str">
        <f aca="false">IF(B2933="","","office")</f>
        <v/>
      </c>
      <c r="D2933" s="23" t="str">
        <f aca="false">IF(B2933="","",IFERROR(INDEX(Office_Log!$ED$2:$ED$201,MATCH(IFERROR(INDEX(Clay_Offices!$A$2:$FZ$601,82,Sync!$C$5)&amp;"",""),Office_Log!$A$2:$A$201,0))&amp;"",IFERROR(INDEX(Clay_Offices!$A$2:$FZ$601,82,Sync!$C$5)&amp;"","")&amp;""))</f>
        <v/>
      </c>
      <c r="E2933" s="23" t="str">
        <f aca="false">IF(B2933="","",IFERROR(INDEX(Clay_Offices!$A$2:$FZ$601,82,Sync!$C$6)&amp;"",""))</f>
        <v/>
      </c>
      <c r="F2933" s="23" t="str">
        <f aca="false">IF(B2933="","","outreach_sent")</f>
        <v/>
      </c>
      <c r="G2933" s="23" t="str">
        <f aca="false">IF(B2933="","","")</f>
        <v/>
      </c>
      <c r="H2933" s="23" t="str">
        <f aca="false">IF(B2933="","","")</f>
        <v/>
      </c>
      <c r="I2933" s="23" t="str">
        <f aca="false">IF(B2933="","","")</f>
        <v/>
      </c>
      <c r="J2933" s="23" t="str">
        <f aca="false">IF(B2933="","","touch_3; "&amp;IFERROR(INDEX(Clay_Offices!$A$2:$FZ$601,82,Sync!$C$10)&amp;"","")&amp;"; "&amp;IFERROR(INDEX(Clay_Offices!$A$2:$FZ$601,82,Sync!$C$9)&amp;"",""))</f>
        <v/>
      </c>
      <c r="K2933" s="32" t="s">
        <v>1365</v>
      </c>
    </row>
    <row r="2934" customFormat="false" ht="15" hidden="false" customHeight="false" outlineLevel="0" collapsed="false">
      <c r="A2934" s="23" t="str">
        <f aca="false">IF(B2934="","",B2934+(14*1000+83)/10000000)</f>
        <v/>
      </c>
      <c r="B2934" s="35" t="str">
        <f aca="false">IF(AND(IFERROR(N(INDEX(Clay_Offices!$A$2:$FZ$601,83,Sync!$C$13)),0)&gt;0,IFERROR(INDEX(Clay_Offices!$A$2:$FZ$601,83,Sync!$C$5)&amp;"","")&lt;&gt;"",OR(LEFT(IFERROR(INDEX(Clay_Offices!$A$2:$FZ$601,83,Sync!$C$5)&amp;"",""),6)&lt;&gt;"SAMPLE",Config!$B$19="Y")),IFERROR(N(INDEX(Clay_Offices!$A$2:$FZ$601,83,Sync!$C$13)),0),"")</f>
        <v/>
      </c>
      <c r="C2934" s="23" t="str">
        <f aca="false">IF(B2934="","","office")</f>
        <v/>
      </c>
      <c r="D2934" s="23" t="str">
        <f aca="false">IF(B2934="","",IFERROR(INDEX(Office_Log!$ED$2:$ED$201,MATCH(IFERROR(INDEX(Clay_Offices!$A$2:$FZ$601,83,Sync!$C$5)&amp;"",""),Office_Log!$A$2:$A$201,0))&amp;"",IFERROR(INDEX(Clay_Offices!$A$2:$FZ$601,83,Sync!$C$5)&amp;"","")&amp;""))</f>
        <v/>
      </c>
      <c r="E2934" s="23" t="str">
        <f aca="false">IF(B2934="","",IFERROR(INDEX(Clay_Offices!$A$2:$FZ$601,83,Sync!$C$6)&amp;"",""))</f>
        <v/>
      </c>
      <c r="F2934" s="23" t="str">
        <f aca="false">IF(B2934="","","outreach_sent")</f>
        <v/>
      </c>
      <c r="G2934" s="23" t="str">
        <f aca="false">IF(B2934="","","")</f>
        <v/>
      </c>
      <c r="H2934" s="23" t="str">
        <f aca="false">IF(B2934="","","")</f>
        <v/>
      </c>
      <c r="I2934" s="23" t="str">
        <f aca="false">IF(B2934="","","")</f>
        <v/>
      </c>
      <c r="J2934" s="23" t="str">
        <f aca="false">IF(B2934="","","touch_3; "&amp;IFERROR(INDEX(Clay_Offices!$A$2:$FZ$601,83,Sync!$C$10)&amp;"","")&amp;"; "&amp;IFERROR(INDEX(Clay_Offices!$A$2:$FZ$601,83,Sync!$C$9)&amp;"",""))</f>
        <v/>
      </c>
      <c r="K2934" s="32" t="s">
        <v>1365</v>
      </c>
    </row>
    <row r="2935" customFormat="false" ht="15" hidden="false" customHeight="false" outlineLevel="0" collapsed="false">
      <c r="A2935" s="23" t="str">
        <f aca="false">IF(B2935="","",B2935+(14*1000+84)/10000000)</f>
        <v/>
      </c>
      <c r="B2935" s="35" t="str">
        <f aca="false">IF(AND(IFERROR(N(INDEX(Clay_Offices!$A$2:$FZ$601,84,Sync!$C$13)),0)&gt;0,IFERROR(INDEX(Clay_Offices!$A$2:$FZ$601,84,Sync!$C$5)&amp;"","")&lt;&gt;"",OR(LEFT(IFERROR(INDEX(Clay_Offices!$A$2:$FZ$601,84,Sync!$C$5)&amp;"",""),6)&lt;&gt;"SAMPLE",Config!$B$19="Y")),IFERROR(N(INDEX(Clay_Offices!$A$2:$FZ$601,84,Sync!$C$13)),0),"")</f>
        <v/>
      </c>
      <c r="C2935" s="23" t="str">
        <f aca="false">IF(B2935="","","office")</f>
        <v/>
      </c>
      <c r="D2935" s="23" t="str">
        <f aca="false">IF(B2935="","",IFERROR(INDEX(Office_Log!$ED$2:$ED$201,MATCH(IFERROR(INDEX(Clay_Offices!$A$2:$FZ$601,84,Sync!$C$5)&amp;"",""),Office_Log!$A$2:$A$201,0))&amp;"",IFERROR(INDEX(Clay_Offices!$A$2:$FZ$601,84,Sync!$C$5)&amp;"","")&amp;""))</f>
        <v/>
      </c>
      <c r="E2935" s="23" t="str">
        <f aca="false">IF(B2935="","",IFERROR(INDEX(Clay_Offices!$A$2:$FZ$601,84,Sync!$C$6)&amp;"",""))</f>
        <v/>
      </c>
      <c r="F2935" s="23" t="str">
        <f aca="false">IF(B2935="","","outreach_sent")</f>
        <v/>
      </c>
      <c r="G2935" s="23" t="str">
        <f aca="false">IF(B2935="","","")</f>
        <v/>
      </c>
      <c r="H2935" s="23" t="str">
        <f aca="false">IF(B2935="","","")</f>
        <v/>
      </c>
      <c r="I2935" s="23" t="str">
        <f aca="false">IF(B2935="","","")</f>
        <v/>
      </c>
      <c r="J2935" s="23" t="str">
        <f aca="false">IF(B2935="","","touch_3; "&amp;IFERROR(INDEX(Clay_Offices!$A$2:$FZ$601,84,Sync!$C$10)&amp;"","")&amp;"; "&amp;IFERROR(INDEX(Clay_Offices!$A$2:$FZ$601,84,Sync!$C$9)&amp;"",""))</f>
        <v/>
      </c>
      <c r="K2935" s="32" t="s">
        <v>1365</v>
      </c>
    </row>
    <row r="2936" customFormat="false" ht="15" hidden="false" customHeight="false" outlineLevel="0" collapsed="false">
      <c r="A2936" s="23" t="str">
        <f aca="false">IF(B2936="","",B2936+(14*1000+85)/10000000)</f>
        <v/>
      </c>
      <c r="B2936" s="35" t="str">
        <f aca="false">IF(AND(IFERROR(N(INDEX(Clay_Offices!$A$2:$FZ$601,85,Sync!$C$13)),0)&gt;0,IFERROR(INDEX(Clay_Offices!$A$2:$FZ$601,85,Sync!$C$5)&amp;"","")&lt;&gt;"",OR(LEFT(IFERROR(INDEX(Clay_Offices!$A$2:$FZ$601,85,Sync!$C$5)&amp;"",""),6)&lt;&gt;"SAMPLE",Config!$B$19="Y")),IFERROR(N(INDEX(Clay_Offices!$A$2:$FZ$601,85,Sync!$C$13)),0),"")</f>
        <v/>
      </c>
      <c r="C2936" s="23" t="str">
        <f aca="false">IF(B2936="","","office")</f>
        <v/>
      </c>
      <c r="D2936" s="23" t="str">
        <f aca="false">IF(B2936="","",IFERROR(INDEX(Office_Log!$ED$2:$ED$201,MATCH(IFERROR(INDEX(Clay_Offices!$A$2:$FZ$601,85,Sync!$C$5)&amp;"",""),Office_Log!$A$2:$A$201,0))&amp;"",IFERROR(INDEX(Clay_Offices!$A$2:$FZ$601,85,Sync!$C$5)&amp;"","")&amp;""))</f>
        <v/>
      </c>
      <c r="E2936" s="23" t="str">
        <f aca="false">IF(B2936="","",IFERROR(INDEX(Clay_Offices!$A$2:$FZ$601,85,Sync!$C$6)&amp;"",""))</f>
        <v/>
      </c>
      <c r="F2936" s="23" t="str">
        <f aca="false">IF(B2936="","","outreach_sent")</f>
        <v/>
      </c>
      <c r="G2936" s="23" t="str">
        <f aca="false">IF(B2936="","","")</f>
        <v/>
      </c>
      <c r="H2936" s="23" t="str">
        <f aca="false">IF(B2936="","","")</f>
        <v/>
      </c>
      <c r="I2936" s="23" t="str">
        <f aca="false">IF(B2936="","","")</f>
        <v/>
      </c>
      <c r="J2936" s="23" t="str">
        <f aca="false">IF(B2936="","","touch_3; "&amp;IFERROR(INDEX(Clay_Offices!$A$2:$FZ$601,85,Sync!$C$10)&amp;"","")&amp;"; "&amp;IFERROR(INDEX(Clay_Offices!$A$2:$FZ$601,85,Sync!$C$9)&amp;"",""))</f>
        <v/>
      </c>
      <c r="K2936" s="32" t="s">
        <v>1365</v>
      </c>
    </row>
    <row r="2937" customFormat="false" ht="15" hidden="false" customHeight="false" outlineLevel="0" collapsed="false">
      <c r="A2937" s="23" t="str">
        <f aca="false">IF(B2937="","",B2937+(14*1000+86)/10000000)</f>
        <v/>
      </c>
      <c r="B2937" s="35" t="str">
        <f aca="false">IF(AND(IFERROR(N(INDEX(Clay_Offices!$A$2:$FZ$601,86,Sync!$C$13)),0)&gt;0,IFERROR(INDEX(Clay_Offices!$A$2:$FZ$601,86,Sync!$C$5)&amp;"","")&lt;&gt;"",OR(LEFT(IFERROR(INDEX(Clay_Offices!$A$2:$FZ$601,86,Sync!$C$5)&amp;"",""),6)&lt;&gt;"SAMPLE",Config!$B$19="Y")),IFERROR(N(INDEX(Clay_Offices!$A$2:$FZ$601,86,Sync!$C$13)),0),"")</f>
        <v/>
      </c>
      <c r="C2937" s="23" t="str">
        <f aca="false">IF(B2937="","","office")</f>
        <v/>
      </c>
      <c r="D2937" s="23" t="str">
        <f aca="false">IF(B2937="","",IFERROR(INDEX(Office_Log!$ED$2:$ED$201,MATCH(IFERROR(INDEX(Clay_Offices!$A$2:$FZ$601,86,Sync!$C$5)&amp;"",""),Office_Log!$A$2:$A$201,0))&amp;"",IFERROR(INDEX(Clay_Offices!$A$2:$FZ$601,86,Sync!$C$5)&amp;"","")&amp;""))</f>
        <v/>
      </c>
      <c r="E2937" s="23" t="str">
        <f aca="false">IF(B2937="","",IFERROR(INDEX(Clay_Offices!$A$2:$FZ$601,86,Sync!$C$6)&amp;"",""))</f>
        <v/>
      </c>
      <c r="F2937" s="23" t="str">
        <f aca="false">IF(B2937="","","outreach_sent")</f>
        <v/>
      </c>
      <c r="G2937" s="23" t="str">
        <f aca="false">IF(B2937="","","")</f>
        <v/>
      </c>
      <c r="H2937" s="23" t="str">
        <f aca="false">IF(B2937="","","")</f>
        <v/>
      </c>
      <c r="I2937" s="23" t="str">
        <f aca="false">IF(B2937="","","")</f>
        <v/>
      </c>
      <c r="J2937" s="23" t="str">
        <f aca="false">IF(B2937="","","touch_3; "&amp;IFERROR(INDEX(Clay_Offices!$A$2:$FZ$601,86,Sync!$C$10)&amp;"","")&amp;"; "&amp;IFERROR(INDEX(Clay_Offices!$A$2:$FZ$601,86,Sync!$C$9)&amp;"",""))</f>
        <v/>
      </c>
      <c r="K2937" s="32" t="s">
        <v>1365</v>
      </c>
    </row>
    <row r="2938" customFormat="false" ht="15" hidden="false" customHeight="false" outlineLevel="0" collapsed="false">
      <c r="A2938" s="23" t="str">
        <f aca="false">IF(B2938="","",B2938+(14*1000+87)/10000000)</f>
        <v/>
      </c>
      <c r="B2938" s="35" t="str">
        <f aca="false">IF(AND(IFERROR(N(INDEX(Clay_Offices!$A$2:$FZ$601,87,Sync!$C$13)),0)&gt;0,IFERROR(INDEX(Clay_Offices!$A$2:$FZ$601,87,Sync!$C$5)&amp;"","")&lt;&gt;"",OR(LEFT(IFERROR(INDEX(Clay_Offices!$A$2:$FZ$601,87,Sync!$C$5)&amp;"",""),6)&lt;&gt;"SAMPLE",Config!$B$19="Y")),IFERROR(N(INDEX(Clay_Offices!$A$2:$FZ$601,87,Sync!$C$13)),0),"")</f>
        <v/>
      </c>
      <c r="C2938" s="23" t="str">
        <f aca="false">IF(B2938="","","office")</f>
        <v/>
      </c>
      <c r="D2938" s="23" t="str">
        <f aca="false">IF(B2938="","",IFERROR(INDEX(Office_Log!$ED$2:$ED$201,MATCH(IFERROR(INDEX(Clay_Offices!$A$2:$FZ$601,87,Sync!$C$5)&amp;"",""),Office_Log!$A$2:$A$201,0))&amp;"",IFERROR(INDEX(Clay_Offices!$A$2:$FZ$601,87,Sync!$C$5)&amp;"","")&amp;""))</f>
        <v/>
      </c>
      <c r="E2938" s="23" t="str">
        <f aca="false">IF(B2938="","",IFERROR(INDEX(Clay_Offices!$A$2:$FZ$601,87,Sync!$C$6)&amp;"",""))</f>
        <v/>
      </c>
      <c r="F2938" s="23" t="str">
        <f aca="false">IF(B2938="","","outreach_sent")</f>
        <v/>
      </c>
      <c r="G2938" s="23" t="str">
        <f aca="false">IF(B2938="","","")</f>
        <v/>
      </c>
      <c r="H2938" s="23" t="str">
        <f aca="false">IF(B2938="","","")</f>
        <v/>
      </c>
      <c r="I2938" s="23" t="str">
        <f aca="false">IF(B2938="","","")</f>
        <v/>
      </c>
      <c r="J2938" s="23" t="str">
        <f aca="false">IF(B2938="","","touch_3; "&amp;IFERROR(INDEX(Clay_Offices!$A$2:$FZ$601,87,Sync!$C$10)&amp;"","")&amp;"; "&amp;IFERROR(INDEX(Clay_Offices!$A$2:$FZ$601,87,Sync!$C$9)&amp;"",""))</f>
        <v/>
      </c>
      <c r="K2938" s="32" t="s">
        <v>1365</v>
      </c>
    </row>
    <row r="2939" customFormat="false" ht="15" hidden="false" customHeight="false" outlineLevel="0" collapsed="false">
      <c r="A2939" s="23" t="str">
        <f aca="false">IF(B2939="","",B2939+(14*1000+88)/10000000)</f>
        <v/>
      </c>
      <c r="B2939" s="35" t="str">
        <f aca="false">IF(AND(IFERROR(N(INDEX(Clay_Offices!$A$2:$FZ$601,88,Sync!$C$13)),0)&gt;0,IFERROR(INDEX(Clay_Offices!$A$2:$FZ$601,88,Sync!$C$5)&amp;"","")&lt;&gt;"",OR(LEFT(IFERROR(INDEX(Clay_Offices!$A$2:$FZ$601,88,Sync!$C$5)&amp;"",""),6)&lt;&gt;"SAMPLE",Config!$B$19="Y")),IFERROR(N(INDEX(Clay_Offices!$A$2:$FZ$601,88,Sync!$C$13)),0),"")</f>
        <v/>
      </c>
      <c r="C2939" s="23" t="str">
        <f aca="false">IF(B2939="","","office")</f>
        <v/>
      </c>
      <c r="D2939" s="23" t="str">
        <f aca="false">IF(B2939="","",IFERROR(INDEX(Office_Log!$ED$2:$ED$201,MATCH(IFERROR(INDEX(Clay_Offices!$A$2:$FZ$601,88,Sync!$C$5)&amp;"",""),Office_Log!$A$2:$A$201,0))&amp;"",IFERROR(INDEX(Clay_Offices!$A$2:$FZ$601,88,Sync!$C$5)&amp;"","")&amp;""))</f>
        <v/>
      </c>
      <c r="E2939" s="23" t="str">
        <f aca="false">IF(B2939="","",IFERROR(INDEX(Clay_Offices!$A$2:$FZ$601,88,Sync!$C$6)&amp;"",""))</f>
        <v/>
      </c>
      <c r="F2939" s="23" t="str">
        <f aca="false">IF(B2939="","","outreach_sent")</f>
        <v/>
      </c>
      <c r="G2939" s="23" t="str">
        <f aca="false">IF(B2939="","","")</f>
        <v/>
      </c>
      <c r="H2939" s="23" t="str">
        <f aca="false">IF(B2939="","","")</f>
        <v/>
      </c>
      <c r="I2939" s="23" t="str">
        <f aca="false">IF(B2939="","","")</f>
        <v/>
      </c>
      <c r="J2939" s="23" t="str">
        <f aca="false">IF(B2939="","","touch_3; "&amp;IFERROR(INDEX(Clay_Offices!$A$2:$FZ$601,88,Sync!$C$10)&amp;"","")&amp;"; "&amp;IFERROR(INDEX(Clay_Offices!$A$2:$FZ$601,88,Sync!$C$9)&amp;"",""))</f>
        <v/>
      </c>
      <c r="K2939" s="32" t="s">
        <v>1365</v>
      </c>
    </row>
    <row r="2940" customFormat="false" ht="15" hidden="false" customHeight="false" outlineLevel="0" collapsed="false">
      <c r="A2940" s="23" t="str">
        <f aca="false">IF(B2940="","",B2940+(14*1000+89)/10000000)</f>
        <v/>
      </c>
      <c r="B2940" s="35" t="str">
        <f aca="false">IF(AND(IFERROR(N(INDEX(Clay_Offices!$A$2:$FZ$601,89,Sync!$C$13)),0)&gt;0,IFERROR(INDEX(Clay_Offices!$A$2:$FZ$601,89,Sync!$C$5)&amp;"","")&lt;&gt;"",OR(LEFT(IFERROR(INDEX(Clay_Offices!$A$2:$FZ$601,89,Sync!$C$5)&amp;"",""),6)&lt;&gt;"SAMPLE",Config!$B$19="Y")),IFERROR(N(INDEX(Clay_Offices!$A$2:$FZ$601,89,Sync!$C$13)),0),"")</f>
        <v/>
      </c>
      <c r="C2940" s="23" t="str">
        <f aca="false">IF(B2940="","","office")</f>
        <v/>
      </c>
      <c r="D2940" s="23" t="str">
        <f aca="false">IF(B2940="","",IFERROR(INDEX(Office_Log!$ED$2:$ED$201,MATCH(IFERROR(INDEX(Clay_Offices!$A$2:$FZ$601,89,Sync!$C$5)&amp;"",""),Office_Log!$A$2:$A$201,0))&amp;"",IFERROR(INDEX(Clay_Offices!$A$2:$FZ$601,89,Sync!$C$5)&amp;"","")&amp;""))</f>
        <v/>
      </c>
      <c r="E2940" s="23" t="str">
        <f aca="false">IF(B2940="","",IFERROR(INDEX(Clay_Offices!$A$2:$FZ$601,89,Sync!$C$6)&amp;"",""))</f>
        <v/>
      </c>
      <c r="F2940" s="23" t="str">
        <f aca="false">IF(B2940="","","outreach_sent")</f>
        <v/>
      </c>
      <c r="G2940" s="23" t="str">
        <f aca="false">IF(B2940="","","")</f>
        <v/>
      </c>
      <c r="H2940" s="23" t="str">
        <f aca="false">IF(B2940="","","")</f>
        <v/>
      </c>
      <c r="I2940" s="23" t="str">
        <f aca="false">IF(B2940="","","")</f>
        <v/>
      </c>
      <c r="J2940" s="23" t="str">
        <f aca="false">IF(B2940="","","touch_3; "&amp;IFERROR(INDEX(Clay_Offices!$A$2:$FZ$601,89,Sync!$C$10)&amp;"","")&amp;"; "&amp;IFERROR(INDEX(Clay_Offices!$A$2:$FZ$601,89,Sync!$C$9)&amp;"",""))</f>
        <v/>
      </c>
      <c r="K2940" s="32" t="s">
        <v>1365</v>
      </c>
    </row>
    <row r="2941" customFormat="false" ht="15" hidden="false" customHeight="false" outlineLevel="0" collapsed="false">
      <c r="A2941" s="23" t="str">
        <f aca="false">IF(B2941="","",B2941+(14*1000+90)/10000000)</f>
        <v/>
      </c>
      <c r="B2941" s="35" t="str">
        <f aca="false">IF(AND(IFERROR(N(INDEX(Clay_Offices!$A$2:$FZ$601,90,Sync!$C$13)),0)&gt;0,IFERROR(INDEX(Clay_Offices!$A$2:$FZ$601,90,Sync!$C$5)&amp;"","")&lt;&gt;"",OR(LEFT(IFERROR(INDEX(Clay_Offices!$A$2:$FZ$601,90,Sync!$C$5)&amp;"",""),6)&lt;&gt;"SAMPLE",Config!$B$19="Y")),IFERROR(N(INDEX(Clay_Offices!$A$2:$FZ$601,90,Sync!$C$13)),0),"")</f>
        <v/>
      </c>
      <c r="C2941" s="23" t="str">
        <f aca="false">IF(B2941="","","office")</f>
        <v/>
      </c>
      <c r="D2941" s="23" t="str">
        <f aca="false">IF(B2941="","",IFERROR(INDEX(Office_Log!$ED$2:$ED$201,MATCH(IFERROR(INDEX(Clay_Offices!$A$2:$FZ$601,90,Sync!$C$5)&amp;"",""),Office_Log!$A$2:$A$201,0))&amp;"",IFERROR(INDEX(Clay_Offices!$A$2:$FZ$601,90,Sync!$C$5)&amp;"","")&amp;""))</f>
        <v/>
      </c>
      <c r="E2941" s="23" t="str">
        <f aca="false">IF(B2941="","",IFERROR(INDEX(Clay_Offices!$A$2:$FZ$601,90,Sync!$C$6)&amp;"",""))</f>
        <v/>
      </c>
      <c r="F2941" s="23" t="str">
        <f aca="false">IF(B2941="","","outreach_sent")</f>
        <v/>
      </c>
      <c r="G2941" s="23" t="str">
        <f aca="false">IF(B2941="","","")</f>
        <v/>
      </c>
      <c r="H2941" s="23" t="str">
        <f aca="false">IF(B2941="","","")</f>
        <v/>
      </c>
      <c r="I2941" s="23" t="str">
        <f aca="false">IF(B2941="","","")</f>
        <v/>
      </c>
      <c r="J2941" s="23" t="str">
        <f aca="false">IF(B2941="","","touch_3; "&amp;IFERROR(INDEX(Clay_Offices!$A$2:$FZ$601,90,Sync!$C$10)&amp;"","")&amp;"; "&amp;IFERROR(INDEX(Clay_Offices!$A$2:$FZ$601,90,Sync!$C$9)&amp;"",""))</f>
        <v/>
      </c>
      <c r="K2941" s="32" t="s">
        <v>1365</v>
      </c>
    </row>
    <row r="2942" customFormat="false" ht="15" hidden="false" customHeight="false" outlineLevel="0" collapsed="false">
      <c r="A2942" s="23" t="str">
        <f aca="false">IF(B2942="","",B2942+(14*1000+91)/10000000)</f>
        <v/>
      </c>
      <c r="B2942" s="35" t="str">
        <f aca="false">IF(AND(IFERROR(N(INDEX(Clay_Offices!$A$2:$FZ$601,91,Sync!$C$13)),0)&gt;0,IFERROR(INDEX(Clay_Offices!$A$2:$FZ$601,91,Sync!$C$5)&amp;"","")&lt;&gt;"",OR(LEFT(IFERROR(INDEX(Clay_Offices!$A$2:$FZ$601,91,Sync!$C$5)&amp;"",""),6)&lt;&gt;"SAMPLE",Config!$B$19="Y")),IFERROR(N(INDEX(Clay_Offices!$A$2:$FZ$601,91,Sync!$C$13)),0),"")</f>
        <v/>
      </c>
      <c r="C2942" s="23" t="str">
        <f aca="false">IF(B2942="","","office")</f>
        <v/>
      </c>
      <c r="D2942" s="23" t="str">
        <f aca="false">IF(B2942="","",IFERROR(INDEX(Office_Log!$ED$2:$ED$201,MATCH(IFERROR(INDEX(Clay_Offices!$A$2:$FZ$601,91,Sync!$C$5)&amp;"",""),Office_Log!$A$2:$A$201,0))&amp;"",IFERROR(INDEX(Clay_Offices!$A$2:$FZ$601,91,Sync!$C$5)&amp;"","")&amp;""))</f>
        <v/>
      </c>
      <c r="E2942" s="23" t="str">
        <f aca="false">IF(B2942="","",IFERROR(INDEX(Clay_Offices!$A$2:$FZ$601,91,Sync!$C$6)&amp;"",""))</f>
        <v/>
      </c>
      <c r="F2942" s="23" t="str">
        <f aca="false">IF(B2942="","","outreach_sent")</f>
        <v/>
      </c>
      <c r="G2942" s="23" t="str">
        <f aca="false">IF(B2942="","","")</f>
        <v/>
      </c>
      <c r="H2942" s="23" t="str">
        <f aca="false">IF(B2942="","","")</f>
        <v/>
      </c>
      <c r="I2942" s="23" t="str">
        <f aca="false">IF(B2942="","","")</f>
        <v/>
      </c>
      <c r="J2942" s="23" t="str">
        <f aca="false">IF(B2942="","","touch_3; "&amp;IFERROR(INDEX(Clay_Offices!$A$2:$FZ$601,91,Sync!$C$10)&amp;"","")&amp;"; "&amp;IFERROR(INDEX(Clay_Offices!$A$2:$FZ$601,91,Sync!$C$9)&amp;"",""))</f>
        <v/>
      </c>
      <c r="K2942" s="32" t="s">
        <v>1365</v>
      </c>
    </row>
    <row r="2943" customFormat="false" ht="15" hidden="false" customHeight="false" outlineLevel="0" collapsed="false">
      <c r="A2943" s="23" t="str">
        <f aca="false">IF(B2943="","",B2943+(14*1000+92)/10000000)</f>
        <v/>
      </c>
      <c r="B2943" s="35" t="str">
        <f aca="false">IF(AND(IFERROR(N(INDEX(Clay_Offices!$A$2:$FZ$601,92,Sync!$C$13)),0)&gt;0,IFERROR(INDEX(Clay_Offices!$A$2:$FZ$601,92,Sync!$C$5)&amp;"","")&lt;&gt;"",OR(LEFT(IFERROR(INDEX(Clay_Offices!$A$2:$FZ$601,92,Sync!$C$5)&amp;"",""),6)&lt;&gt;"SAMPLE",Config!$B$19="Y")),IFERROR(N(INDEX(Clay_Offices!$A$2:$FZ$601,92,Sync!$C$13)),0),"")</f>
        <v/>
      </c>
      <c r="C2943" s="23" t="str">
        <f aca="false">IF(B2943="","","office")</f>
        <v/>
      </c>
      <c r="D2943" s="23" t="str">
        <f aca="false">IF(B2943="","",IFERROR(INDEX(Office_Log!$ED$2:$ED$201,MATCH(IFERROR(INDEX(Clay_Offices!$A$2:$FZ$601,92,Sync!$C$5)&amp;"",""),Office_Log!$A$2:$A$201,0))&amp;"",IFERROR(INDEX(Clay_Offices!$A$2:$FZ$601,92,Sync!$C$5)&amp;"","")&amp;""))</f>
        <v/>
      </c>
      <c r="E2943" s="23" t="str">
        <f aca="false">IF(B2943="","",IFERROR(INDEX(Clay_Offices!$A$2:$FZ$601,92,Sync!$C$6)&amp;"",""))</f>
        <v/>
      </c>
      <c r="F2943" s="23" t="str">
        <f aca="false">IF(B2943="","","outreach_sent")</f>
        <v/>
      </c>
      <c r="G2943" s="23" t="str">
        <f aca="false">IF(B2943="","","")</f>
        <v/>
      </c>
      <c r="H2943" s="23" t="str">
        <f aca="false">IF(B2943="","","")</f>
        <v/>
      </c>
      <c r="I2943" s="23" t="str">
        <f aca="false">IF(B2943="","","")</f>
        <v/>
      </c>
      <c r="J2943" s="23" t="str">
        <f aca="false">IF(B2943="","","touch_3; "&amp;IFERROR(INDEX(Clay_Offices!$A$2:$FZ$601,92,Sync!$C$10)&amp;"","")&amp;"; "&amp;IFERROR(INDEX(Clay_Offices!$A$2:$FZ$601,92,Sync!$C$9)&amp;"",""))</f>
        <v/>
      </c>
      <c r="K2943" s="32" t="s">
        <v>1365</v>
      </c>
    </row>
    <row r="2944" customFormat="false" ht="15" hidden="false" customHeight="false" outlineLevel="0" collapsed="false">
      <c r="A2944" s="23" t="str">
        <f aca="false">IF(B2944="","",B2944+(14*1000+93)/10000000)</f>
        <v/>
      </c>
      <c r="B2944" s="35" t="str">
        <f aca="false">IF(AND(IFERROR(N(INDEX(Clay_Offices!$A$2:$FZ$601,93,Sync!$C$13)),0)&gt;0,IFERROR(INDEX(Clay_Offices!$A$2:$FZ$601,93,Sync!$C$5)&amp;"","")&lt;&gt;"",OR(LEFT(IFERROR(INDEX(Clay_Offices!$A$2:$FZ$601,93,Sync!$C$5)&amp;"",""),6)&lt;&gt;"SAMPLE",Config!$B$19="Y")),IFERROR(N(INDEX(Clay_Offices!$A$2:$FZ$601,93,Sync!$C$13)),0),"")</f>
        <v/>
      </c>
      <c r="C2944" s="23" t="str">
        <f aca="false">IF(B2944="","","office")</f>
        <v/>
      </c>
      <c r="D2944" s="23" t="str">
        <f aca="false">IF(B2944="","",IFERROR(INDEX(Office_Log!$ED$2:$ED$201,MATCH(IFERROR(INDEX(Clay_Offices!$A$2:$FZ$601,93,Sync!$C$5)&amp;"",""),Office_Log!$A$2:$A$201,0))&amp;"",IFERROR(INDEX(Clay_Offices!$A$2:$FZ$601,93,Sync!$C$5)&amp;"","")&amp;""))</f>
        <v/>
      </c>
      <c r="E2944" s="23" t="str">
        <f aca="false">IF(B2944="","",IFERROR(INDEX(Clay_Offices!$A$2:$FZ$601,93,Sync!$C$6)&amp;"",""))</f>
        <v/>
      </c>
      <c r="F2944" s="23" t="str">
        <f aca="false">IF(B2944="","","outreach_sent")</f>
        <v/>
      </c>
      <c r="G2944" s="23" t="str">
        <f aca="false">IF(B2944="","","")</f>
        <v/>
      </c>
      <c r="H2944" s="23" t="str">
        <f aca="false">IF(B2944="","","")</f>
        <v/>
      </c>
      <c r="I2944" s="23" t="str">
        <f aca="false">IF(B2944="","","")</f>
        <v/>
      </c>
      <c r="J2944" s="23" t="str">
        <f aca="false">IF(B2944="","","touch_3; "&amp;IFERROR(INDEX(Clay_Offices!$A$2:$FZ$601,93,Sync!$C$10)&amp;"","")&amp;"; "&amp;IFERROR(INDEX(Clay_Offices!$A$2:$FZ$601,93,Sync!$C$9)&amp;"",""))</f>
        <v/>
      </c>
      <c r="K2944" s="32" t="s">
        <v>1365</v>
      </c>
    </row>
    <row r="2945" customFormat="false" ht="15" hidden="false" customHeight="false" outlineLevel="0" collapsed="false">
      <c r="A2945" s="23" t="str">
        <f aca="false">IF(B2945="","",B2945+(14*1000+94)/10000000)</f>
        <v/>
      </c>
      <c r="B2945" s="35" t="str">
        <f aca="false">IF(AND(IFERROR(N(INDEX(Clay_Offices!$A$2:$FZ$601,94,Sync!$C$13)),0)&gt;0,IFERROR(INDEX(Clay_Offices!$A$2:$FZ$601,94,Sync!$C$5)&amp;"","")&lt;&gt;"",OR(LEFT(IFERROR(INDEX(Clay_Offices!$A$2:$FZ$601,94,Sync!$C$5)&amp;"",""),6)&lt;&gt;"SAMPLE",Config!$B$19="Y")),IFERROR(N(INDEX(Clay_Offices!$A$2:$FZ$601,94,Sync!$C$13)),0),"")</f>
        <v/>
      </c>
      <c r="C2945" s="23" t="str">
        <f aca="false">IF(B2945="","","office")</f>
        <v/>
      </c>
      <c r="D2945" s="23" t="str">
        <f aca="false">IF(B2945="","",IFERROR(INDEX(Office_Log!$ED$2:$ED$201,MATCH(IFERROR(INDEX(Clay_Offices!$A$2:$FZ$601,94,Sync!$C$5)&amp;"",""),Office_Log!$A$2:$A$201,0))&amp;"",IFERROR(INDEX(Clay_Offices!$A$2:$FZ$601,94,Sync!$C$5)&amp;"","")&amp;""))</f>
        <v/>
      </c>
      <c r="E2945" s="23" t="str">
        <f aca="false">IF(B2945="","",IFERROR(INDEX(Clay_Offices!$A$2:$FZ$601,94,Sync!$C$6)&amp;"",""))</f>
        <v/>
      </c>
      <c r="F2945" s="23" t="str">
        <f aca="false">IF(B2945="","","outreach_sent")</f>
        <v/>
      </c>
      <c r="G2945" s="23" t="str">
        <f aca="false">IF(B2945="","","")</f>
        <v/>
      </c>
      <c r="H2945" s="23" t="str">
        <f aca="false">IF(B2945="","","")</f>
        <v/>
      </c>
      <c r="I2945" s="23" t="str">
        <f aca="false">IF(B2945="","","")</f>
        <v/>
      </c>
      <c r="J2945" s="23" t="str">
        <f aca="false">IF(B2945="","","touch_3; "&amp;IFERROR(INDEX(Clay_Offices!$A$2:$FZ$601,94,Sync!$C$10)&amp;"","")&amp;"; "&amp;IFERROR(INDEX(Clay_Offices!$A$2:$FZ$601,94,Sync!$C$9)&amp;"",""))</f>
        <v/>
      </c>
      <c r="K2945" s="32" t="s">
        <v>1365</v>
      </c>
    </row>
    <row r="2946" customFormat="false" ht="15" hidden="false" customHeight="false" outlineLevel="0" collapsed="false">
      <c r="A2946" s="23" t="str">
        <f aca="false">IF(B2946="","",B2946+(14*1000+95)/10000000)</f>
        <v/>
      </c>
      <c r="B2946" s="35" t="str">
        <f aca="false">IF(AND(IFERROR(N(INDEX(Clay_Offices!$A$2:$FZ$601,95,Sync!$C$13)),0)&gt;0,IFERROR(INDEX(Clay_Offices!$A$2:$FZ$601,95,Sync!$C$5)&amp;"","")&lt;&gt;"",OR(LEFT(IFERROR(INDEX(Clay_Offices!$A$2:$FZ$601,95,Sync!$C$5)&amp;"",""),6)&lt;&gt;"SAMPLE",Config!$B$19="Y")),IFERROR(N(INDEX(Clay_Offices!$A$2:$FZ$601,95,Sync!$C$13)),0),"")</f>
        <v/>
      </c>
      <c r="C2946" s="23" t="str">
        <f aca="false">IF(B2946="","","office")</f>
        <v/>
      </c>
      <c r="D2946" s="23" t="str">
        <f aca="false">IF(B2946="","",IFERROR(INDEX(Office_Log!$ED$2:$ED$201,MATCH(IFERROR(INDEX(Clay_Offices!$A$2:$FZ$601,95,Sync!$C$5)&amp;"",""),Office_Log!$A$2:$A$201,0))&amp;"",IFERROR(INDEX(Clay_Offices!$A$2:$FZ$601,95,Sync!$C$5)&amp;"","")&amp;""))</f>
        <v/>
      </c>
      <c r="E2946" s="23" t="str">
        <f aca="false">IF(B2946="","",IFERROR(INDEX(Clay_Offices!$A$2:$FZ$601,95,Sync!$C$6)&amp;"",""))</f>
        <v/>
      </c>
      <c r="F2946" s="23" t="str">
        <f aca="false">IF(B2946="","","outreach_sent")</f>
        <v/>
      </c>
      <c r="G2946" s="23" t="str">
        <f aca="false">IF(B2946="","","")</f>
        <v/>
      </c>
      <c r="H2946" s="23" t="str">
        <f aca="false">IF(B2946="","","")</f>
        <v/>
      </c>
      <c r="I2946" s="23" t="str">
        <f aca="false">IF(B2946="","","")</f>
        <v/>
      </c>
      <c r="J2946" s="23" t="str">
        <f aca="false">IF(B2946="","","touch_3; "&amp;IFERROR(INDEX(Clay_Offices!$A$2:$FZ$601,95,Sync!$C$10)&amp;"","")&amp;"; "&amp;IFERROR(INDEX(Clay_Offices!$A$2:$FZ$601,95,Sync!$C$9)&amp;"",""))</f>
        <v/>
      </c>
      <c r="K2946" s="32" t="s">
        <v>1365</v>
      </c>
    </row>
    <row r="2947" customFormat="false" ht="15" hidden="false" customHeight="false" outlineLevel="0" collapsed="false">
      <c r="A2947" s="23" t="str">
        <f aca="false">IF(B2947="","",B2947+(14*1000+96)/10000000)</f>
        <v/>
      </c>
      <c r="B2947" s="35" t="str">
        <f aca="false">IF(AND(IFERROR(N(INDEX(Clay_Offices!$A$2:$FZ$601,96,Sync!$C$13)),0)&gt;0,IFERROR(INDEX(Clay_Offices!$A$2:$FZ$601,96,Sync!$C$5)&amp;"","")&lt;&gt;"",OR(LEFT(IFERROR(INDEX(Clay_Offices!$A$2:$FZ$601,96,Sync!$C$5)&amp;"",""),6)&lt;&gt;"SAMPLE",Config!$B$19="Y")),IFERROR(N(INDEX(Clay_Offices!$A$2:$FZ$601,96,Sync!$C$13)),0),"")</f>
        <v/>
      </c>
      <c r="C2947" s="23" t="str">
        <f aca="false">IF(B2947="","","office")</f>
        <v/>
      </c>
      <c r="D2947" s="23" t="str">
        <f aca="false">IF(B2947="","",IFERROR(INDEX(Office_Log!$ED$2:$ED$201,MATCH(IFERROR(INDEX(Clay_Offices!$A$2:$FZ$601,96,Sync!$C$5)&amp;"",""),Office_Log!$A$2:$A$201,0))&amp;"",IFERROR(INDEX(Clay_Offices!$A$2:$FZ$601,96,Sync!$C$5)&amp;"","")&amp;""))</f>
        <v/>
      </c>
      <c r="E2947" s="23" t="str">
        <f aca="false">IF(B2947="","",IFERROR(INDEX(Clay_Offices!$A$2:$FZ$601,96,Sync!$C$6)&amp;"",""))</f>
        <v/>
      </c>
      <c r="F2947" s="23" t="str">
        <f aca="false">IF(B2947="","","outreach_sent")</f>
        <v/>
      </c>
      <c r="G2947" s="23" t="str">
        <f aca="false">IF(B2947="","","")</f>
        <v/>
      </c>
      <c r="H2947" s="23" t="str">
        <f aca="false">IF(B2947="","","")</f>
        <v/>
      </c>
      <c r="I2947" s="23" t="str">
        <f aca="false">IF(B2947="","","")</f>
        <v/>
      </c>
      <c r="J2947" s="23" t="str">
        <f aca="false">IF(B2947="","","touch_3; "&amp;IFERROR(INDEX(Clay_Offices!$A$2:$FZ$601,96,Sync!$C$10)&amp;"","")&amp;"; "&amp;IFERROR(INDEX(Clay_Offices!$A$2:$FZ$601,96,Sync!$C$9)&amp;"",""))</f>
        <v/>
      </c>
      <c r="K2947" s="32" t="s">
        <v>1365</v>
      </c>
    </row>
    <row r="2948" customFormat="false" ht="15" hidden="false" customHeight="false" outlineLevel="0" collapsed="false">
      <c r="A2948" s="23" t="str">
        <f aca="false">IF(B2948="","",B2948+(14*1000+97)/10000000)</f>
        <v/>
      </c>
      <c r="B2948" s="35" t="str">
        <f aca="false">IF(AND(IFERROR(N(INDEX(Clay_Offices!$A$2:$FZ$601,97,Sync!$C$13)),0)&gt;0,IFERROR(INDEX(Clay_Offices!$A$2:$FZ$601,97,Sync!$C$5)&amp;"","")&lt;&gt;"",OR(LEFT(IFERROR(INDEX(Clay_Offices!$A$2:$FZ$601,97,Sync!$C$5)&amp;"",""),6)&lt;&gt;"SAMPLE",Config!$B$19="Y")),IFERROR(N(INDEX(Clay_Offices!$A$2:$FZ$601,97,Sync!$C$13)),0),"")</f>
        <v/>
      </c>
      <c r="C2948" s="23" t="str">
        <f aca="false">IF(B2948="","","office")</f>
        <v/>
      </c>
      <c r="D2948" s="23" t="str">
        <f aca="false">IF(B2948="","",IFERROR(INDEX(Office_Log!$ED$2:$ED$201,MATCH(IFERROR(INDEX(Clay_Offices!$A$2:$FZ$601,97,Sync!$C$5)&amp;"",""),Office_Log!$A$2:$A$201,0))&amp;"",IFERROR(INDEX(Clay_Offices!$A$2:$FZ$601,97,Sync!$C$5)&amp;"","")&amp;""))</f>
        <v/>
      </c>
      <c r="E2948" s="23" t="str">
        <f aca="false">IF(B2948="","",IFERROR(INDEX(Clay_Offices!$A$2:$FZ$601,97,Sync!$C$6)&amp;"",""))</f>
        <v/>
      </c>
      <c r="F2948" s="23" t="str">
        <f aca="false">IF(B2948="","","outreach_sent")</f>
        <v/>
      </c>
      <c r="G2948" s="23" t="str">
        <f aca="false">IF(B2948="","","")</f>
        <v/>
      </c>
      <c r="H2948" s="23" t="str">
        <f aca="false">IF(B2948="","","")</f>
        <v/>
      </c>
      <c r="I2948" s="23" t="str">
        <f aca="false">IF(B2948="","","")</f>
        <v/>
      </c>
      <c r="J2948" s="23" t="str">
        <f aca="false">IF(B2948="","","touch_3; "&amp;IFERROR(INDEX(Clay_Offices!$A$2:$FZ$601,97,Sync!$C$10)&amp;"","")&amp;"; "&amp;IFERROR(INDEX(Clay_Offices!$A$2:$FZ$601,97,Sync!$C$9)&amp;"",""))</f>
        <v/>
      </c>
      <c r="K2948" s="32" t="s">
        <v>1365</v>
      </c>
    </row>
    <row r="2949" customFormat="false" ht="15" hidden="false" customHeight="false" outlineLevel="0" collapsed="false">
      <c r="A2949" s="23" t="str">
        <f aca="false">IF(B2949="","",B2949+(14*1000+98)/10000000)</f>
        <v/>
      </c>
      <c r="B2949" s="35" t="str">
        <f aca="false">IF(AND(IFERROR(N(INDEX(Clay_Offices!$A$2:$FZ$601,98,Sync!$C$13)),0)&gt;0,IFERROR(INDEX(Clay_Offices!$A$2:$FZ$601,98,Sync!$C$5)&amp;"","")&lt;&gt;"",OR(LEFT(IFERROR(INDEX(Clay_Offices!$A$2:$FZ$601,98,Sync!$C$5)&amp;"",""),6)&lt;&gt;"SAMPLE",Config!$B$19="Y")),IFERROR(N(INDEX(Clay_Offices!$A$2:$FZ$601,98,Sync!$C$13)),0),"")</f>
        <v/>
      </c>
      <c r="C2949" s="23" t="str">
        <f aca="false">IF(B2949="","","office")</f>
        <v/>
      </c>
      <c r="D2949" s="23" t="str">
        <f aca="false">IF(B2949="","",IFERROR(INDEX(Office_Log!$ED$2:$ED$201,MATCH(IFERROR(INDEX(Clay_Offices!$A$2:$FZ$601,98,Sync!$C$5)&amp;"",""),Office_Log!$A$2:$A$201,0))&amp;"",IFERROR(INDEX(Clay_Offices!$A$2:$FZ$601,98,Sync!$C$5)&amp;"","")&amp;""))</f>
        <v/>
      </c>
      <c r="E2949" s="23" t="str">
        <f aca="false">IF(B2949="","",IFERROR(INDEX(Clay_Offices!$A$2:$FZ$601,98,Sync!$C$6)&amp;"",""))</f>
        <v/>
      </c>
      <c r="F2949" s="23" t="str">
        <f aca="false">IF(B2949="","","outreach_sent")</f>
        <v/>
      </c>
      <c r="G2949" s="23" t="str">
        <f aca="false">IF(B2949="","","")</f>
        <v/>
      </c>
      <c r="H2949" s="23" t="str">
        <f aca="false">IF(B2949="","","")</f>
        <v/>
      </c>
      <c r="I2949" s="23" t="str">
        <f aca="false">IF(B2949="","","")</f>
        <v/>
      </c>
      <c r="J2949" s="23" t="str">
        <f aca="false">IF(B2949="","","touch_3; "&amp;IFERROR(INDEX(Clay_Offices!$A$2:$FZ$601,98,Sync!$C$10)&amp;"","")&amp;"; "&amp;IFERROR(INDEX(Clay_Offices!$A$2:$FZ$601,98,Sync!$C$9)&amp;"",""))</f>
        <v/>
      </c>
      <c r="K2949" s="32" t="s">
        <v>1365</v>
      </c>
    </row>
    <row r="2950" customFormat="false" ht="15" hidden="false" customHeight="false" outlineLevel="0" collapsed="false">
      <c r="A2950" s="23" t="str">
        <f aca="false">IF(B2950="","",B2950+(14*1000+99)/10000000)</f>
        <v/>
      </c>
      <c r="B2950" s="35" t="str">
        <f aca="false">IF(AND(IFERROR(N(INDEX(Clay_Offices!$A$2:$FZ$601,99,Sync!$C$13)),0)&gt;0,IFERROR(INDEX(Clay_Offices!$A$2:$FZ$601,99,Sync!$C$5)&amp;"","")&lt;&gt;"",OR(LEFT(IFERROR(INDEX(Clay_Offices!$A$2:$FZ$601,99,Sync!$C$5)&amp;"",""),6)&lt;&gt;"SAMPLE",Config!$B$19="Y")),IFERROR(N(INDEX(Clay_Offices!$A$2:$FZ$601,99,Sync!$C$13)),0),"")</f>
        <v/>
      </c>
      <c r="C2950" s="23" t="str">
        <f aca="false">IF(B2950="","","office")</f>
        <v/>
      </c>
      <c r="D2950" s="23" t="str">
        <f aca="false">IF(B2950="","",IFERROR(INDEX(Office_Log!$ED$2:$ED$201,MATCH(IFERROR(INDEX(Clay_Offices!$A$2:$FZ$601,99,Sync!$C$5)&amp;"",""),Office_Log!$A$2:$A$201,0))&amp;"",IFERROR(INDEX(Clay_Offices!$A$2:$FZ$601,99,Sync!$C$5)&amp;"","")&amp;""))</f>
        <v/>
      </c>
      <c r="E2950" s="23" t="str">
        <f aca="false">IF(B2950="","",IFERROR(INDEX(Clay_Offices!$A$2:$FZ$601,99,Sync!$C$6)&amp;"",""))</f>
        <v/>
      </c>
      <c r="F2950" s="23" t="str">
        <f aca="false">IF(B2950="","","outreach_sent")</f>
        <v/>
      </c>
      <c r="G2950" s="23" t="str">
        <f aca="false">IF(B2950="","","")</f>
        <v/>
      </c>
      <c r="H2950" s="23" t="str">
        <f aca="false">IF(B2950="","","")</f>
        <v/>
      </c>
      <c r="I2950" s="23" t="str">
        <f aca="false">IF(B2950="","","")</f>
        <v/>
      </c>
      <c r="J2950" s="23" t="str">
        <f aca="false">IF(B2950="","","touch_3; "&amp;IFERROR(INDEX(Clay_Offices!$A$2:$FZ$601,99,Sync!$C$10)&amp;"","")&amp;"; "&amp;IFERROR(INDEX(Clay_Offices!$A$2:$FZ$601,99,Sync!$C$9)&amp;"",""))</f>
        <v/>
      </c>
      <c r="K2950" s="32" t="s">
        <v>1365</v>
      </c>
    </row>
    <row r="2951" customFormat="false" ht="15" hidden="false" customHeight="false" outlineLevel="0" collapsed="false">
      <c r="A2951" s="23" t="str">
        <f aca="false">IF(B2951="","",B2951+(14*1000+100)/10000000)</f>
        <v/>
      </c>
      <c r="B2951" s="35" t="str">
        <f aca="false">IF(AND(IFERROR(N(INDEX(Clay_Offices!$A$2:$FZ$601,100,Sync!$C$13)),0)&gt;0,IFERROR(INDEX(Clay_Offices!$A$2:$FZ$601,100,Sync!$C$5)&amp;"","")&lt;&gt;"",OR(LEFT(IFERROR(INDEX(Clay_Offices!$A$2:$FZ$601,100,Sync!$C$5)&amp;"",""),6)&lt;&gt;"SAMPLE",Config!$B$19="Y")),IFERROR(N(INDEX(Clay_Offices!$A$2:$FZ$601,100,Sync!$C$13)),0),"")</f>
        <v/>
      </c>
      <c r="C2951" s="23" t="str">
        <f aca="false">IF(B2951="","","office")</f>
        <v/>
      </c>
      <c r="D2951" s="23" t="str">
        <f aca="false">IF(B2951="","",IFERROR(INDEX(Office_Log!$ED$2:$ED$201,MATCH(IFERROR(INDEX(Clay_Offices!$A$2:$FZ$601,100,Sync!$C$5)&amp;"",""),Office_Log!$A$2:$A$201,0))&amp;"",IFERROR(INDEX(Clay_Offices!$A$2:$FZ$601,100,Sync!$C$5)&amp;"","")&amp;""))</f>
        <v/>
      </c>
      <c r="E2951" s="23" t="str">
        <f aca="false">IF(B2951="","",IFERROR(INDEX(Clay_Offices!$A$2:$FZ$601,100,Sync!$C$6)&amp;"",""))</f>
        <v/>
      </c>
      <c r="F2951" s="23" t="str">
        <f aca="false">IF(B2951="","","outreach_sent")</f>
        <v/>
      </c>
      <c r="G2951" s="23" t="str">
        <f aca="false">IF(B2951="","","")</f>
        <v/>
      </c>
      <c r="H2951" s="23" t="str">
        <f aca="false">IF(B2951="","","")</f>
        <v/>
      </c>
      <c r="I2951" s="23" t="str">
        <f aca="false">IF(B2951="","","")</f>
        <v/>
      </c>
      <c r="J2951" s="23" t="str">
        <f aca="false">IF(B2951="","","touch_3; "&amp;IFERROR(INDEX(Clay_Offices!$A$2:$FZ$601,100,Sync!$C$10)&amp;"","")&amp;"; "&amp;IFERROR(INDEX(Clay_Offices!$A$2:$FZ$601,100,Sync!$C$9)&amp;"",""))</f>
        <v/>
      </c>
      <c r="K2951" s="32" t="s">
        <v>1365</v>
      </c>
    </row>
    <row r="2952" customFormat="false" ht="15" hidden="false" customHeight="false" outlineLevel="0" collapsed="false">
      <c r="A2952" s="23" t="str">
        <f aca="false">IF(B2952="","",B2952+(14*1000+101)/10000000)</f>
        <v/>
      </c>
      <c r="B2952" s="35" t="str">
        <f aca="false">IF(AND(IFERROR(N(INDEX(Clay_Offices!$A$2:$FZ$601,101,Sync!$C$13)),0)&gt;0,IFERROR(INDEX(Clay_Offices!$A$2:$FZ$601,101,Sync!$C$5)&amp;"","")&lt;&gt;"",OR(LEFT(IFERROR(INDEX(Clay_Offices!$A$2:$FZ$601,101,Sync!$C$5)&amp;"",""),6)&lt;&gt;"SAMPLE",Config!$B$19="Y")),IFERROR(N(INDEX(Clay_Offices!$A$2:$FZ$601,101,Sync!$C$13)),0),"")</f>
        <v/>
      </c>
      <c r="C2952" s="23" t="str">
        <f aca="false">IF(B2952="","","office")</f>
        <v/>
      </c>
      <c r="D2952" s="23" t="str">
        <f aca="false">IF(B2952="","",IFERROR(INDEX(Office_Log!$ED$2:$ED$201,MATCH(IFERROR(INDEX(Clay_Offices!$A$2:$FZ$601,101,Sync!$C$5)&amp;"",""),Office_Log!$A$2:$A$201,0))&amp;"",IFERROR(INDEX(Clay_Offices!$A$2:$FZ$601,101,Sync!$C$5)&amp;"","")&amp;""))</f>
        <v/>
      </c>
      <c r="E2952" s="23" t="str">
        <f aca="false">IF(B2952="","",IFERROR(INDEX(Clay_Offices!$A$2:$FZ$601,101,Sync!$C$6)&amp;"",""))</f>
        <v/>
      </c>
      <c r="F2952" s="23" t="str">
        <f aca="false">IF(B2952="","","outreach_sent")</f>
        <v/>
      </c>
      <c r="G2952" s="23" t="str">
        <f aca="false">IF(B2952="","","")</f>
        <v/>
      </c>
      <c r="H2952" s="23" t="str">
        <f aca="false">IF(B2952="","","")</f>
        <v/>
      </c>
      <c r="I2952" s="23" t="str">
        <f aca="false">IF(B2952="","","")</f>
        <v/>
      </c>
      <c r="J2952" s="23" t="str">
        <f aca="false">IF(B2952="","","touch_3; "&amp;IFERROR(INDEX(Clay_Offices!$A$2:$FZ$601,101,Sync!$C$10)&amp;"","")&amp;"; "&amp;IFERROR(INDEX(Clay_Offices!$A$2:$FZ$601,101,Sync!$C$9)&amp;"",""))</f>
        <v/>
      </c>
      <c r="K2952" s="32" t="s">
        <v>1365</v>
      </c>
    </row>
    <row r="2953" customFormat="false" ht="15" hidden="false" customHeight="false" outlineLevel="0" collapsed="false">
      <c r="A2953" s="23" t="str">
        <f aca="false">IF(B2953="","",B2953+(14*1000+102)/10000000)</f>
        <v/>
      </c>
      <c r="B2953" s="35" t="str">
        <f aca="false">IF(AND(IFERROR(N(INDEX(Clay_Offices!$A$2:$FZ$601,102,Sync!$C$13)),0)&gt;0,IFERROR(INDEX(Clay_Offices!$A$2:$FZ$601,102,Sync!$C$5)&amp;"","")&lt;&gt;"",OR(LEFT(IFERROR(INDEX(Clay_Offices!$A$2:$FZ$601,102,Sync!$C$5)&amp;"",""),6)&lt;&gt;"SAMPLE",Config!$B$19="Y")),IFERROR(N(INDEX(Clay_Offices!$A$2:$FZ$601,102,Sync!$C$13)),0),"")</f>
        <v/>
      </c>
      <c r="C2953" s="23" t="str">
        <f aca="false">IF(B2953="","","office")</f>
        <v/>
      </c>
      <c r="D2953" s="23" t="str">
        <f aca="false">IF(B2953="","",IFERROR(INDEX(Office_Log!$ED$2:$ED$201,MATCH(IFERROR(INDEX(Clay_Offices!$A$2:$FZ$601,102,Sync!$C$5)&amp;"",""),Office_Log!$A$2:$A$201,0))&amp;"",IFERROR(INDEX(Clay_Offices!$A$2:$FZ$601,102,Sync!$C$5)&amp;"","")&amp;""))</f>
        <v/>
      </c>
      <c r="E2953" s="23" t="str">
        <f aca="false">IF(B2953="","",IFERROR(INDEX(Clay_Offices!$A$2:$FZ$601,102,Sync!$C$6)&amp;"",""))</f>
        <v/>
      </c>
      <c r="F2953" s="23" t="str">
        <f aca="false">IF(B2953="","","outreach_sent")</f>
        <v/>
      </c>
      <c r="G2953" s="23" t="str">
        <f aca="false">IF(B2953="","","")</f>
        <v/>
      </c>
      <c r="H2953" s="23" t="str">
        <f aca="false">IF(B2953="","","")</f>
        <v/>
      </c>
      <c r="I2953" s="23" t="str">
        <f aca="false">IF(B2953="","","")</f>
        <v/>
      </c>
      <c r="J2953" s="23" t="str">
        <f aca="false">IF(B2953="","","touch_3; "&amp;IFERROR(INDEX(Clay_Offices!$A$2:$FZ$601,102,Sync!$C$10)&amp;"","")&amp;"; "&amp;IFERROR(INDEX(Clay_Offices!$A$2:$FZ$601,102,Sync!$C$9)&amp;"",""))</f>
        <v/>
      </c>
      <c r="K2953" s="32" t="s">
        <v>1365</v>
      </c>
    </row>
    <row r="2954" customFormat="false" ht="15" hidden="false" customHeight="false" outlineLevel="0" collapsed="false">
      <c r="A2954" s="23" t="str">
        <f aca="false">IF(B2954="","",B2954+(14*1000+103)/10000000)</f>
        <v/>
      </c>
      <c r="B2954" s="35" t="str">
        <f aca="false">IF(AND(IFERROR(N(INDEX(Clay_Offices!$A$2:$FZ$601,103,Sync!$C$13)),0)&gt;0,IFERROR(INDEX(Clay_Offices!$A$2:$FZ$601,103,Sync!$C$5)&amp;"","")&lt;&gt;"",OR(LEFT(IFERROR(INDEX(Clay_Offices!$A$2:$FZ$601,103,Sync!$C$5)&amp;"",""),6)&lt;&gt;"SAMPLE",Config!$B$19="Y")),IFERROR(N(INDEX(Clay_Offices!$A$2:$FZ$601,103,Sync!$C$13)),0),"")</f>
        <v/>
      </c>
      <c r="C2954" s="23" t="str">
        <f aca="false">IF(B2954="","","office")</f>
        <v/>
      </c>
      <c r="D2954" s="23" t="str">
        <f aca="false">IF(B2954="","",IFERROR(INDEX(Office_Log!$ED$2:$ED$201,MATCH(IFERROR(INDEX(Clay_Offices!$A$2:$FZ$601,103,Sync!$C$5)&amp;"",""),Office_Log!$A$2:$A$201,0))&amp;"",IFERROR(INDEX(Clay_Offices!$A$2:$FZ$601,103,Sync!$C$5)&amp;"","")&amp;""))</f>
        <v/>
      </c>
      <c r="E2954" s="23" t="str">
        <f aca="false">IF(B2954="","",IFERROR(INDEX(Clay_Offices!$A$2:$FZ$601,103,Sync!$C$6)&amp;"",""))</f>
        <v/>
      </c>
      <c r="F2954" s="23" t="str">
        <f aca="false">IF(B2954="","","outreach_sent")</f>
        <v/>
      </c>
      <c r="G2954" s="23" t="str">
        <f aca="false">IF(B2954="","","")</f>
        <v/>
      </c>
      <c r="H2954" s="23" t="str">
        <f aca="false">IF(B2954="","","")</f>
        <v/>
      </c>
      <c r="I2954" s="23" t="str">
        <f aca="false">IF(B2954="","","")</f>
        <v/>
      </c>
      <c r="J2954" s="23" t="str">
        <f aca="false">IF(B2954="","","touch_3; "&amp;IFERROR(INDEX(Clay_Offices!$A$2:$FZ$601,103,Sync!$C$10)&amp;"","")&amp;"; "&amp;IFERROR(INDEX(Clay_Offices!$A$2:$FZ$601,103,Sync!$C$9)&amp;"",""))</f>
        <v/>
      </c>
      <c r="K2954" s="32" t="s">
        <v>1365</v>
      </c>
    </row>
    <row r="2955" customFormat="false" ht="15" hidden="false" customHeight="false" outlineLevel="0" collapsed="false">
      <c r="A2955" s="23" t="str">
        <f aca="false">IF(B2955="","",B2955+(14*1000+104)/10000000)</f>
        <v/>
      </c>
      <c r="B2955" s="35" t="str">
        <f aca="false">IF(AND(IFERROR(N(INDEX(Clay_Offices!$A$2:$FZ$601,104,Sync!$C$13)),0)&gt;0,IFERROR(INDEX(Clay_Offices!$A$2:$FZ$601,104,Sync!$C$5)&amp;"","")&lt;&gt;"",OR(LEFT(IFERROR(INDEX(Clay_Offices!$A$2:$FZ$601,104,Sync!$C$5)&amp;"",""),6)&lt;&gt;"SAMPLE",Config!$B$19="Y")),IFERROR(N(INDEX(Clay_Offices!$A$2:$FZ$601,104,Sync!$C$13)),0),"")</f>
        <v/>
      </c>
      <c r="C2955" s="23" t="str">
        <f aca="false">IF(B2955="","","office")</f>
        <v/>
      </c>
      <c r="D2955" s="23" t="str">
        <f aca="false">IF(B2955="","",IFERROR(INDEX(Office_Log!$ED$2:$ED$201,MATCH(IFERROR(INDEX(Clay_Offices!$A$2:$FZ$601,104,Sync!$C$5)&amp;"",""),Office_Log!$A$2:$A$201,0))&amp;"",IFERROR(INDEX(Clay_Offices!$A$2:$FZ$601,104,Sync!$C$5)&amp;"","")&amp;""))</f>
        <v/>
      </c>
      <c r="E2955" s="23" t="str">
        <f aca="false">IF(B2955="","",IFERROR(INDEX(Clay_Offices!$A$2:$FZ$601,104,Sync!$C$6)&amp;"",""))</f>
        <v/>
      </c>
      <c r="F2955" s="23" t="str">
        <f aca="false">IF(B2955="","","outreach_sent")</f>
        <v/>
      </c>
      <c r="G2955" s="23" t="str">
        <f aca="false">IF(B2955="","","")</f>
        <v/>
      </c>
      <c r="H2955" s="23" t="str">
        <f aca="false">IF(B2955="","","")</f>
        <v/>
      </c>
      <c r="I2955" s="23" t="str">
        <f aca="false">IF(B2955="","","")</f>
        <v/>
      </c>
      <c r="J2955" s="23" t="str">
        <f aca="false">IF(B2955="","","touch_3; "&amp;IFERROR(INDEX(Clay_Offices!$A$2:$FZ$601,104,Sync!$C$10)&amp;"","")&amp;"; "&amp;IFERROR(INDEX(Clay_Offices!$A$2:$FZ$601,104,Sync!$C$9)&amp;"",""))</f>
        <v/>
      </c>
      <c r="K2955" s="32" t="s">
        <v>1365</v>
      </c>
    </row>
    <row r="2956" customFormat="false" ht="15" hidden="false" customHeight="false" outlineLevel="0" collapsed="false">
      <c r="A2956" s="23" t="str">
        <f aca="false">IF(B2956="","",B2956+(14*1000+105)/10000000)</f>
        <v/>
      </c>
      <c r="B2956" s="35" t="str">
        <f aca="false">IF(AND(IFERROR(N(INDEX(Clay_Offices!$A$2:$FZ$601,105,Sync!$C$13)),0)&gt;0,IFERROR(INDEX(Clay_Offices!$A$2:$FZ$601,105,Sync!$C$5)&amp;"","")&lt;&gt;"",OR(LEFT(IFERROR(INDEX(Clay_Offices!$A$2:$FZ$601,105,Sync!$C$5)&amp;"",""),6)&lt;&gt;"SAMPLE",Config!$B$19="Y")),IFERROR(N(INDEX(Clay_Offices!$A$2:$FZ$601,105,Sync!$C$13)),0),"")</f>
        <v/>
      </c>
      <c r="C2956" s="23" t="str">
        <f aca="false">IF(B2956="","","office")</f>
        <v/>
      </c>
      <c r="D2956" s="23" t="str">
        <f aca="false">IF(B2956="","",IFERROR(INDEX(Office_Log!$ED$2:$ED$201,MATCH(IFERROR(INDEX(Clay_Offices!$A$2:$FZ$601,105,Sync!$C$5)&amp;"",""),Office_Log!$A$2:$A$201,0))&amp;"",IFERROR(INDEX(Clay_Offices!$A$2:$FZ$601,105,Sync!$C$5)&amp;"","")&amp;""))</f>
        <v/>
      </c>
      <c r="E2956" s="23" t="str">
        <f aca="false">IF(B2956="","",IFERROR(INDEX(Clay_Offices!$A$2:$FZ$601,105,Sync!$C$6)&amp;"",""))</f>
        <v/>
      </c>
      <c r="F2956" s="23" t="str">
        <f aca="false">IF(B2956="","","outreach_sent")</f>
        <v/>
      </c>
      <c r="G2956" s="23" t="str">
        <f aca="false">IF(B2956="","","")</f>
        <v/>
      </c>
      <c r="H2956" s="23" t="str">
        <f aca="false">IF(B2956="","","")</f>
        <v/>
      </c>
      <c r="I2956" s="23" t="str">
        <f aca="false">IF(B2956="","","")</f>
        <v/>
      </c>
      <c r="J2956" s="23" t="str">
        <f aca="false">IF(B2956="","","touch_3; "&amp;IFERROR(INDEX(Clay_Offices!$A$2:$FZ$601,105,Sync!$C$10)&amp;"","")&amp;"; "&amp;IFERROR(INDEX(Clay_Offices!$A$2:$FZ$601,105,Sync!$C$9)&amp;"",""))</f>
        <v/>
      </c>
      <c r="K2956" s="32" t="s">
        <v>1365</v>
      </c>
    </row>
    <row r="2957" customFormat="false" ht="15" hidden="false" customHeight="false" outlineLevel="0" collapsed="false">
      <c r="A2957" s="23" t="str">
        <f aca="false">IF(B2957="","",B2957+(14*1000+106)/10000000)</f>
        <v/>
      </c>
      <c r="B2957" s="35" t="str">
        <f aca="false">IF(AND(IFERROR(N(INDEX(Clay_Offices!$A$2:$FZ$601,106,Sync!$C$13)),0)&gt;0,IFERROR(INDEX(Clay_Offices!$A$2:$FZ$601,106,Sync!$C$5)&amp;"","")&lt;&gt;"",OR(LEFT(IFERROR(INDEX(Clay_Offices!$A$2:$FZ$601,106,Sync!$C$5)&amp;"",""),6)&lt;&gt;"SAMPLE",Config!$B$19="Y")),IFERROR(N(INDEX(Clay_Offices!$A$2:$FZ$601,106,Sync!$C$13)),0),"")</f>
        <v/>
      </c>
      <c r="C2957" s="23" t="str">
        <f aca="false">IF(B2957="","","office")</f>
        <v/>
      </c>
      <c r="D2957" s="23" t="str">
        <f aca="false">IF(B2957="","",IFERROR(INDEX(Office_Log!$ED$2:$ED$201,MATCH(IFERROR(INDEX(Clay_Offices!$A$2:$FZ$601,106,Sync!$C$5)&amp;"",""),Office_Log!$A$2:$A$201,0))&amp;"",IFERROR(INDEX(Clay_Offices!$A$2:$FZ$601,106,Sync!$C$5)&amp;"","")&amp;""))</f>
        <v/>
      </c>
      <c r="E2957" s="23" t="str">
        <f aca="false">IF(B2957="","",IFERROR(INDEX(Clay_Offices!$A$2:$FZ$601,106,Sync!$C$6)&amp;"",""))</f>
        <v/>
      </c>
      <c r="F2957" s="23" t="str">
        <f aca="false">IF(B2957="","","outreach_sent")</f>
        <v/>
      </c>
      <c r="G2957" s="23" t="str">
        <f aca="false">IF(B2957="","","")</f>
        <v/>
      </c>
      <c r="H2957" s="23" t="str">
        <f aca="false">IF(B2957="","","")</f>
        <v/>
      </c>
      <c r="I2957" s="23" t="str">
        <f aca="false">IF(B2957="","","")</f>
        <v/>
      </c>
      <c r="J2957" s="23" t="str">
        <f aca="false">IF(B2957="","","touch_3; "&amp;IFERROR(INDEX(Clay_Offices!$A$2:$FZ$601,106,Sync!$C$10)&amp;"","")&amp;"; "&amp;IFERROR(INDEX(Clay_Offices!$A$2:$FZ$601,106,Sync!$C$9)&amp;"",""))</f>
        <v/>
      </c>
      <c r="K2957" s="32" t="s">
        <v>1365</v>
      </c>
    </row>
    <row r="2958" customFormat="false" ht="15" hidden="false" customHeight="false" outlineLevel="0" collapsed="false">
      <c r="A2958" s="23" t="str">
        <f aca="false">IF(B2958="","",B2958+(14*1000+107)/10000000)</f>
        <v/>
      </c>
      <c r="B2958" s="35" t="str">
        <f aca="false">IF(AND(IFERROR(N(INDEX(Clay_Offices!$A$2:$FZ$601,107,Sync!$C$13)),0)&gt;0,IFERROR(INDEX(Clay_Offices!$A$2:$FZ$601,107,Sync!$C$5)&amp;"","")&lt;&gt;"",OR(LEFT(IFERROR(INDEX(Clay_Offices!$A$2:$FZ$601,107,Sync!$C$5)&amp;"",""),6)&lt;&gt;"SAMPLE",Config!$B$19="Y")),IFERROR(N(INDEX(Clay_Offices!$A$2:$FZ$601,107,Sync!$C$13)),0),"")</f>
        <v/>
      </c>
      <c r="C2958" s="23" t="str">
        <f aca="false">IF(B2958="","","office")</f>
        <v/>
      </c>
      <c r="D2958" s="23" t="str">
        <f aca="false">IF(B2958="","",IFERROR(INDEX(Office_Log!$ED$2:$ED$201,MATCH(IFERROR(INDEX(Clay_Offices!$A$2:$FZ$601,107,Sync!$C$5)&amp;"",""),Office_Log!$A$2:$A$201,0))&amp;"",IFERROR(INDEX(Clay_Offices!$A$2:$FZ$601,107,Sync!$C$5)&amp;"","")&amp;""))</f>
        <v/>
      </c>
      <c r="E2958" s="23" t="str">
        <f aca="false">IF(B2958="","",IFERROR(INDEX(Clay_Offices!$A$2:$FZ$601,107,Sync!$C$6)&amp;"",""))</f>
        <v/>
      </c>
      <c r="F2958" s="23" t="str">
        <f aca="false">IF(B2958="","","outreach_sent")</f>
        <v/>
      </c>
      <c r="G2958" s="23" t="str">
        <f aca="false">IF(B2958="","","")</f>
        <v/>
      </c>
      <c r="H2958" s="23" t="str">
        <f aca="false">IF(B2958="","","")</f>
        <v/>
      </c>
      <c r="I2958" s="23" t="str">
        <f aca="false">IF(B2958="","","")</f>
        <v/>
      </c>
      <c r="J2958" s="23" t="str">
        <f aca="false">IF(B2958="","","touch_3; "&amp;IFERROR(INDEX(Clay_Offices!$A$2:$FZ$601,107,Sync!$C$10)&amp;"","")&amp;"; "&amp;IFERROR(INDEX(Clay_Offices!$A$2:$FZ$601,107,Sync!$C$9)&amp;"",""))</f>
        <v/>
      </c>
      <c r="K2958" s="32" t="s">
        <v>1365</v>
      </c>
    </row>
    <row r="2959" customFormat="false" ht="15" hidden="false" customHeight="false" outlineLevel="0" collapsed="false">
      <c r="A2959" s="23" t="str">
        <f aca="false">IF(B2959="","",B2959+(14*1000+108)/10000000)</f>
        <v/>
      </c>
      <c r="B2959" s="35" t="str">
        <f aca="false">IF(AND(IFERROR(N(INDEX(Clay_Offices!$A$2:$FZ$601,108,Sync!$C$13)),0)&gt;0,IFERROR(INDEX(Clay_Offices!$A$2:$FZ$601,108,Sync!$C$5)&amp;"","")&lt;&gt;"",OR(LEFT(IFERROR(INDEX(Clay_Offices!$A$2:$FZ$601,108,Sync!$C$5)&amp;"",""),6)&lt;&gt;"SAMPLE",Config!$B$19="Y")),IFERROR(N(INDEX(Clay_Offices!$A$2:$FZ$601,108,Sync!$C$13)),0),"")</f>
        <v/>
      </c>
      <c r="C2959" s="23" t="str">
        <f aca="false">IF(B2959="","","office")</f>
        <v/>
      </c>
      <c r="D2959" s="23" t="str">
        <f aca="false">IF(B2959="","",IFERROR(INDEX(Office_Log!$ED$2:$ED$201,MATCH(IFERROR(INDEX(Clay_Offices!$A$2:$FZ$601,108,Sync!$C$5)&amp;"",""),Office_Log!$A$2:$A$201,0))&amp;"",IFERROR(INDEX(Clay_Offices!$A$2:$FZ$601,108,Sync!$C$5)&amp;"","")&amp;""))</f>
        <v/>
      </c>
      <c r="E2959" s="23" t="str">
        <f aca="false">IF(B2959="","",IFERROR(INDEX(Clay_Offices!$A$2:$FZ$601,108,Sync!$C$6)&amp;"",""))</f>
        <v/>
      </c>
      <c r="F2959" s="23" t="str">
        <f aca="false">IF(B2959="","","outreach_sent")</f>
        <v/>
      </c>
      <c r="G2959" s="23" t="str">
        <f aca="false">IF(B2959="","","")</f>
        <v/>
      </c>
      <c r="H2959" s="23" t="str">
        <f aca="false">IF(B2959="","","")</f>
        <v/>
      </c>
      <c r="I2959" s="23" t="str">
        <f aca="false">IF(B2959="","","")</f>
        <v/>
      </c>
      <c r="J2959" s="23" t="str">
        <f aca="false">IF(B2959="","","touch_3; "&amp;IFERROR(INDEX(Clay_Offices!$A$2:$FZ$601,108,Sync!$C$10)&amp;"","")&amp;"; "&amp;IFERROR(INDEX(Clay_Offices!$A$2:$FZ$601,108,Sync!$C$9)&amp;"",""))</f>
        <v/>
      </c>
      <c r="K2959" s="32" t="s">
        <v>1365</v>
      </c>
    </row>
    <row r="2960" customFormat="false" ht="15" hidden="false" customHeight="false" outlineLevel="0" collapsed="false">
      <c r="A2960" s="23" t="str">
        <f aca="false">IF(B2960="","",B2960+(14*1000+109)/10000000)</f>
        <v/>
      </c>
      <c r="B2960" s="35" t="str">
        <f aca="false">IF(AND(IFERROR(N(INDEX(Clay_Offices!$A$2:$FZ$601,109,Sync!$C$13)),0)&gt;0,IFERROR(INDEX(Clay_Offices!$A$2:$FZ$601,109,Sync!$C$5)&amp;"","")&lt;&gt;"",OR(LEFT(IFERROR(INDEX(Clay_Offices!$A$2:$FZ$601,109,Sync!$C$5)&amp;"",""),6)&lt;&gt;"SAMPLE",Config!$B$19="Y")),IFERROR(N(INDEX(Clay_Offices!$A$2:$FZ$601,109,Sync!$C$13)),0),"")</f>
        <v/>
      </c>
      <c r="C2960" s="23" t="str">
        <f aca="false">IF(B2960="","","office")</f>
        <v/>
      </c>
      <c r="D2960" s="23" t="str">
        <f aca="false">IF(B2960="","",IFERROR(INDEX(Office_Log!$ED$2:$ED$201,MATCH(IFERROR(INDEX(Clay_Offices!$A$2:$FZ$601,109,Sync!$C$5)&amp;"",""),Office_Log!$A$2:$A$201,0))&amp;"",IFERROR(INDEX(Clay_Offices!$A$2:$FZ$601,109,Sync!$C$5)&amp;"","")&amp;""))</f>
        <v/>
      </c>
      <c r="E2960" s="23" t="str">
        <f aca="false">IF(B2960="","",IFERROR(INDEX(Clay_Offices!$A$2:$FZ$601,109,Sync!$C$6)&amp;"",""))</f>
        <v/>
      </c>
      <c r="F2960" s="23" t="str">
        <f aca="false">IF(B2960="","","outreach_sent")</f>
        <v/>
      </c>
      <c r="G2960" s="23" t="str">
        <f aca="false">IF(B2960="","","")</f>
        <v/>
      </c>
      <c r="H2960" s="23" t="str">
        <f aca="false">IF(B2960="","","")</f>
        <v/>
      </c>
      <c r="I2960" s="23" t="str">
        <f aca="false">IF(B2960="","","")</f>
        <v/>
      </c>
      <c r="J2960" s="23" t="str">
        <f aca="false">IF(B2960="","","touch_3; "&amp;IFERROR(INDEX(Clay_Offices!$A$2:$FZ$601,109,Sync!$C$10)&amp;"","")&amp;"; "&amp;IFERROR(INDEX(Clay_Offices!$A$2:$FZ$601,109,Sync!$C$9)&amp;"",""))</f>
        <v/>
      </c>
      <c r="K2960" s="32" t="s">
        <v>1365</v>
      </c>
    </row>
    <row r="2961" customFormat="false" ht="15" hidden="false" customHeight="false" outlineLevel="0" collapsed="false">
      <c r="A2961" s="23" t="str">
        <f aca="false">IF(B2961="","",B2961+(14*1000+110)/10000000)</f>
        <v/>
      </c>
      <c r="B2961" s="35" t="str">
        <f aca="false">IF(AND(IFERROR(N(INDEX(Clay_Offices!$A$2:$FZ$601,110,Sync!$C$13)),0)&gt;0,IFERROR(INDEX(Clay_Offices!$A$2:$FZ$601,110,Sync!$C$5)&amp;"","")&lt;&gt;"",OR(LEFT(IFERROR(INDEX(Clay_Offices!$A$2:$FZ$601,110,Sync!$C$5)&amp;"",""),6)&lt;&gt;"SAMPLE",Config!$B$19="Y")),IFERROR(N(INDEX(Clay_Offices!$A$2:$FZ$601,110,Sync!$C$13)),0),"")</f>
        <v/>
      </c>
      <c r="C2961" s="23" t="str">
        <f aca="false">IF(B2961="","","office")</f>
        <v/>
      </c>
      <c r="D2961" s="23" t="str">
        <f aca="false">IF(B2961="","",IFERROR(INDEX(Office_Log!$ED$2:$ED$201,MATCH(IFERROR(INDEX(Clay_Offices!$A$2:$FZ$601,110,Sync!$C$5)&amp;"",""),Office_Log!$A$2:$A$201,0))&amp;"",IFERROR(INDEX(Clay_Offices!$A$2:$FZ$601,110,Sync!$C$5)&amp;"","")&amp;""))</f>
        <v/>
      </c>
      <c r="E2961" s="23" t="str">
        <f aca="false">IF(B2961="","",IFERROR(INDEX(Clay_Offices!$A$2:$FZ$601,110,Sync!$C$6)&amp;"",""))</f>
        <v/>
      </c>
      <c r="F2961" s="23" t="str">
        <f aca="false">IF(B2961="","","outreach_sent")</f>
        <v/>
      </c>
      <c r="G2961" s="23" t="str">
        <f aca="false">IF(B2961="","","")</f>
        <v/>
      </c>
      <c r="H2961" s="23" t="str">
        <f aca="false">IF(B2961="","","")</f>
        <v/>
      </c>
      <c r="I2961" s="23" t="str">
        <f aca="false">IF(B2961="","","")</f>
        <v/>
      </c>
      <c r="J2961" s="23" t="str">
        <f aca="false">IF(B2961="","","touch_3; "&amp;IFERROR(INDEX(Clay_Offices!$A$2:$FZ$601,110,Sync!$C$10)&amp;"","")&amp;"; "&amp;IFERROR(INDEX(Clay_Offices!$A$2:$FZ$601,110,Sync!$C$9)&amp;"",""))</f>
        <v/>
      </c>
      <c r="K2961" s="32" t="s">
        <v>1365</v>
      </c>
    </row>
    <row r="2962" customFormat="false" ht="15" hidden="false" customHeight="false" outlineLevel="0" collapsed="false">
      <c r="A2962" s="23" t="str">
        <f aca="false">IF(B2962="","",B2962+(14*1000+111)/10000000)</f>
        <v/>
      </c>
      <c r="B2962" s="35" t="str">
        <f aca="false">IF(AND(IFERROR(N(INDEX(Clay_Offices!$A$2:$FZ$601,111,Sync!$C$13)),0)&gt;0,IFERROR(INDEX(Clay_Offices!$A$2:$FZ$601,111,Sync!$C$5)&amp;"","")&lt;&gt;"",OR(LEFT(IFERROR(INDEX(Clay_Offices!$A$2:$FZ$601,111,Sync!$C$5)&amp;"",""),6)&lt;&gt;"SAMPLE",Config!$B$19="Y")),IFERROR(N(INDEX(Clay_Offices!$A$2:$FZ$601,111,Sync!$C$13)),0),"")</f>
        <v/>
      </c>
      <c r="C2962" s="23" t="str">
        <f aca="false">IF(B2962="","","office")</f>
        <v/>
      </c>
      <c r="D2962" s="23" t="str">
        <f aca="false">IF(B2962="","",IFERROR(INDEX(Office_Log!$ED$2:$ED$201,MATCH(IFERROR(INDEX(Clay_Offices!$A$2:$FZ$601,111,Sync!$C$5)&amp;"",""),Office_Log!$A$2:$A$201,0))&amp;"",IFERROR(INDEX(Clay_Offices!$A$2:$FZ$601,111,Sync!$C$5)&amp;"","")&amp;""))</f>
        <v/>
      </c>
      <c r="E2962" s="23" t="str">
        <f aca="false">IF(B2962="","",IFERROR(INDEX(Clay_Offices!$A$2:$FZ$601,111,Sync!$C$6)&amp;"",""))</f>
        <v/>
      </c>
      <c r="F2962" s="23" t="str">
        <f aca="false">IF(B2962="","","outreach_sent")</f>
        <v/>
      </c>
      <c r="G2962" s="23" t="str">
        <f aca="false">IF(B2962="","","")</f>
        <v/>
      </c>
      <c r="H2962" s="23" t="str">
        <f aca="false">IF(B2962="","","")</f>
        <v/>
      </c>
      <c r="I2962" s="23" t="str">
        <f aca="false">IF(B2962="","","")</f>
        <v/>
      </c>
      <c r="J2962" s="23" t="str">
        <f aca="false">IF(B2962="","","touch_3; "&amp;IFERROR(INDEX(Clay_Offices!$A$2:$FZ$601,111,Sync!$C$10)&amp;"","")&amp;"; "&amp;IFERROR(INDEX(Clay_Offices!$A$2:$FZ$601,111,Sync!$C$9)&amp;"",""))</f>
        <v/>
      </c>
      <c r="K2962" s="32" t="s">
        <v>1365</v>
      </c>
    </row>
    <row r="2963" customFormat="false" ht="15" hidden="false" customHeight="false" outlineLevel="0" collapsed="false">
      <c r="A2963" s="23" t="str">
        <f aca="false">IF(B2963="","",B2963+(14*1000+112)/10000000)</f>
        <v/>
      </c>
      <c r="B2963" s="35" t="str">
        <f aca="false">IF(AND(IFERROR(N(INDEX(Clay_Offices!$A$2:$FZ$601,112,Sync!$C$13)),0)&gt;0,IFERROR(INDEX(Clay_Offices!$A$2:$FZ$601,112,Sync!$C$5)&amp;"","")&lt;&gt;"",OR(LEFT(IFERROR(INDEX(Clay_Offices!$A$2:$FZ$601,112,Sync!$C$5)&amp;"",""),6)&lt;&gt;"SAMPLE",Config!$B$19="Y")),IFERROR(N(INDEX(Clay_Offices!$A$2:$FZ$601,112,Sync!$C$13)),0),"")</f>
        <v/>
      </c>
      <c r="C2963" s="23" t="str">
        <f aca="false">IF(B2963="","","office")</f>
        <v/>
      </c>
      <c r="D2963" s="23" t="str">
        <f aca="false">IF(B2963="","",IFERROR(INDEX(Office_Log!$ED$2:$ED$201,MATCH(IFERROR(INDEX(Clay_Offices!$A$2:$FZ$601,112,Sync!$C$5)&amp;"",""),Office_Log!$A$2:$A$201,0))&amp;"",IFERROR(INDEX(Clay_Offices!$A$2:$FZ$601,112,Sync!$C$5)&amp;"","")&amp;""))</f>
        <v/>
      </c>
      <c r="E2963" s="23" t="str">
        <f aca="false">IF(B2963="","",IFERROR(INDEX(Clay_Offices!$A$2:$FZ$601,112,Sync!$C$6)&amp;"",""))</f>
        <v/>
      </c>
      <c r="F2963" s="23" t="str">
        <f aca="false">IF(B2963="","","outreach_sent")</f>
        <v/>
      </c>
      <c r="G2963" s="23" t="str">
        <f aca="false">IF(B2963="","","")</f>
        <v/>
      </c>
      <c r="H2963" s="23" t="str">
        <f aca="false">IF(B2963="","","")</f>
        <v/>
      </c>
      <c r="I2963" s="23" t="str">
        <f aca="false">IF(B2963="","","")</f>
        <v/>
      </c>
      <c r="J2963" s="23" t="str">
        <f aca="false">IF(B2963="","","touch_3; "&amp;IFERROR(INDEX(Clay_Offices!$A$2:$FZ$601,112,Sync!$C$10)&amp;"","")&amp;"; "&amp;IFERROR(INDEX(Clay_Offices!$A$2:$FZ$601,112,Sync!$C$9)&amp;"",""))</f>
        <v/>
      </c>
      <c r="K2963" s="32" t="s">
        <v>1365</v>
      </c>
    </row>
    <row r="2964" customFormat="false" ht="15" hidden="false" customHeight="false" outlineLevel="0" collapsed="false">
      <c r="A2964" s="23" t="str">
        <f aca="false">IF(B2964="","",B2964+(14*1000+113)/10000000)</f>
        <v/>
      </c>
      <c r="B2964" s="35" t="str">
        <f aca="false">IF(AND(IFERROR(N(INDEX(Clay_Offices!$A$2:$FZ$601,113,Sync!$C$13)),0)&gt;0,IFERROR(INDEX(Clay_Offices!$A$2:$FZ$601,113,Sync!$C$5)&amp;"","")&lt;&gt;"",OR(LEFT(IFERROR(INDEX(Clay_Offices!$A$2:$FZ$601,113,Sync!$C$5)&amp;"",""),6)&lt;&gt;"SAMPLE",Config!$B$19="Y")),IFERROR(N(INDEX(Clay_Offices!$A$2:$FZ$601,113,Sync!$C$13)),0),"")</f>
        <v/>
      </c>
      <c r="C2964" s="23" t="str">
        <f aca="false">IF(B2964="","","office")</f>
        <v/>
      </c>
      <c r="D2964" s="23" t="str">
        <f aca="false">IF(B2964="","",IFERROR(INDEX(Office_Log!$ED$2:$ED$201,MATCH(IFERROR(INDEX(Clay_Offices!$A$2:$FZ$601,113,Sync!$C$5)&amp;"",""),Office_Log!$A$2:$A$201,0))&amp;"",IFERROR(INDEX(Clay_Offices!$A$2:$FZ$601,113,Sync!$C$5)&amp;"","")&amp;""))</f>
        <v/>
      </c>
      <c r="E2964" s="23" t="str">
        <f aca="false">IF(B2964="","",IFERROR(INDEX(Clay_Offices!$A$2:$FZ$601,113,Sync!$C$6)&amp;"",""))</f>
        <v/>
      </c>
      <c r="F2964" s="23" t="str">
        <f aca="false">IF(B2964="","","outreach_sent")</f>
        <v/>
      </c>
      <c r="G2964" s="23" t="str">
        <f aca="false">IF(B2964="","","")</f>
        <v/>
      </c>
      <c r="H2964" s="23" t="str">
        <f aca="false">IF(B2964="","","")</f>
        <v/>
      </c>
      <c r="I2964" s="23" t="str">
        <f aca="false">IF(B2964="","","")</f>
        <v/>
      </c>
      <c r="J2964" s="23" t="str">
        <f aca="false">IF(B2964="","","touch_3; "&amp;IFERROR(INDEX(Clay_Offices!$A$2:$FZ$601,113,Sync!$C$10)&amp;"","")&amp;"; "&amp;IFERROR(INDEX(Clay_Offices!$A$2:$FZ$601,113,Sync!$C$9)&amp;"",""))</f>
        <v/>
      </c>
      <c r="K2964" s="32" t="s">
        <v>1365</v>
      </c>
    </row>
    <row r="2965" customFormat="false" ht="15" hidden="false" customHeight="false" outlineLevel="0" collapsed="false">
      <c r="A2965" s="23" t="str">
        <f aca="false">IF(B2965="","",B2965+(14*1000+114)/10000000)</f>
        <v/>
      </c>
      <c r="B2965" s="35" t="str">
        <f aca="false">IF(AND(IFERROR(N(INDEX(Clay_Offices!$A$2:$FZ$601,114,Sync!$C$13)),0)&gt;0,IFERROR(INDEX(Clay_Offices!$A$2:$FZ$601,114,Sync!$C$5)&amp;"","")&lt;&gt;"",OR(LEFT(IFERROR(INDEX(Clay_Offices!$A$2:$FZ$601,114,Sync!$C$5)&amp;"",""),6)&lt;&gt;"SAMPLE",Config!$B$19="Y")),IFERROR(N(INDEX(Clay_Offices!$A$2:$FZ$601,114,Sync!$C$13)),0),"")</f>
        <v/>
      </c>
      <c r="C2965" s="23" t="str">
        <f aca="false">IF(B2965="","","office")</f>
        <v/>
      </c>
      <c r="D2965" s="23" t="str">
        <f aca="false">IF(B2965="","",IFERROR(INDEX(Office_Log!$ED$2:$ED$201,MATCH(IFERROR(INDEX(Clay_Offices!$A$2:$FZ$601,114,Sync!$C$5)&amp;"",""),Office_Log!$A$2:$A$201,0))&amp;"",IFERROR(INDEX(Clay_Offices!$A$2:$FZ$601,114,Sync!$C$5)&amp;"","")&amp;""))</f>
        <v/>
      </c>
      <c r="E2965" s="23" t="str">
        <f aca="false">IF(B2965="","",IFERROR(INDEX(Clay_Offices!$A$2:$FZ$601,114,Sync!$C$6)&amp;"",""))</f>
        <v/>
      </c>
      <c r="F2965" s="23" t="str">
        <f aca="false">IF(B2965="","","outreach_sent")</f>
        <v/>
      </c>
      <c r="G2965" s="23" t="str">
        <f aca="false">IF(B2965="","","")</f>
        <v/>
      </c>
      <c r="H2965" s="23" t="str">
        <f aca="false">IF(B2965="","","")</f>
        <v/>
      </c>
      <c r="I2965" s="23" t="str">
        <f aca="false">IF(B2965="","","")</f>
        <v/>
      </c>
      <c r="J2965" s="23" t="str">
        <f aca="false">IF(B2965="","","touch_3; "&amp;IFERROR(INDEX(Clay_Offices!$A$2:$FZ$601,114,Sync!$C$10)&amp;"","")&amp;"; "&amp;IFERROR(INDEX(Clay_Offices!$A$2:$FZ$601,114,Sync!$C$9)&amp;"",""))</f>
        <v/>
      </c>
      <c r="K2965" s="32" t="s">
        <v>1365</v>
      </c>
    </row>
    <row r="2966" customFormat="false" ht="15" hidden="false" customHeight="false" outlineLevel="0" collapsed="false">
      <c r="A2966" s="23" t="str">
        <f aca="false">IF(B2966="","",B2966+(14*1000+115)/10000000)</f>
        <v/>
      </c>
      <c r="B2966" s="35" t="str">
        <f aca="false">IF(AND(IFERROR(N(INDEX(Clay_Offices!$A$2:$FZ$601,115,Sync!$C$13)),0)&gt;0,IFERROR(INDEX(Clay_Offices!$A$2:$FZ$601,115,Sync!$C$5)&amp;"","")&lt;&gt;"",OR(LEFT(IFERROR(INDEX(Clay_Offices!$A$2:$FZ$601,115,Sync!$C$5)&amp;"",""),6)&lt;&gt;"SAMPLE",Config!$B$19="Y")),IFERROR(N(INDEX(Clay_Offices!$A$2:$FZ$601,115,Sync!$C$13)),0),"")</f>
        <v/>
      </c>
      <c r="C2966" s="23" t="str">
        <f aca="false">IF(B2966="","","office")</f>
        <v/>
      </c>
      <c r="D2966" s="23" t="str">
        <f aca="false">IF(B2966="","",IFERROR(INDEX(Office_Log!$ED$2:$ED$201,MATCH(IFERROR(INDEX(Clay_Offices!$A$2:$FZ$601,115,Sync!$C$5)&amp;"",""),Office_Log!$A$2:$A$201,0))&amp;"",IFERROR(INDEX(Clay_Offices!$A$2:$FZ$601,115,Sync!$C$5)&amp;"","")&amp;""))</f>
        <v/>
      </c>
      <c r="E2966" s="23" t="str">
        <f aca="false">IF(B2966="","",IFERROR(INDEX(Clay_Offices!$A$2:$FZ$601,115,Sync!$C$6)&amp;"",""))</f>
        <v/>
      </c>
      <c r="F2966" s="23" t="str">
        <f aca="false">IF(B2966="","","outreach_sent")</f>
        <v/>
      </c>
      <c r="G2966" s="23" t="str">
        <f aca="false">IF(B2966="","","")</f>
        <v/>
      </c>
      <c r="H2966" s="23" t="str">
        <f aca="false">IF(B2966="","","")</f>
        <v/>
      </c>
      <c r="I2966" s="23" t="str">
        <f aca="false">IF(B2966="","","")</f>
        <v/>
      </c>
      <c r="J2966" s="23" t="str">
        <f aca="false">IF(B2966="","","touch_3; "&amp;IFERROR(INDEX(Clay_Offices!$A$2:$FZ$601,115,Sync!$C$10)&amp;"","")&amp;"; "&amp;IFERROR(INDEX(Clay_Offices!$A$2:$FZ$601,115,Sync!$C$9)&amp;"",""))</f>
        <v/>
      </c>
      <c r="K2966" s="32" t="s">
        <v>1365</v>
      </c>
    </row>
    <row r="2967" customFormat="false" ht="15" hidden="false" customHeight="false" outlineLevel="0" collapsed="false">
      <c r="A2967" s="23" t="str">
        <f aca="false">IF(B2967="","",B2967+(14*1000+116)/10000000)</f>
        <v/>
      </c>
      <c r="B2967" s="35" t="str">
        <f aca="false">IF(AND(IFERROR(N(INDEX(Clay_Offices!$A$2:$FZ$601,116,Sync!$C$13)),0)&gt;0,IFERROR(INDEX(Clay_Offices!$A$2:$FZ$601,116,Sync!$C$5)&amp;"","")&lt;&gt;"",OR(LEFT(IFERROR(INDEX(Clay_Offices!$A$2:$FZ$601,116,Sync!$C$5)&amp;"",""),6)&lt;&gt;"SAMPLE",Config!$B$19="Y")),IFERROR(N(INDEX(Clay_Offices!$A$2:$FZ$601,116,Sync!$C$13)),0),"")</f>
        <v/>
      </c>
      <c r="C2967" s="23" t="str">
        <f aca="false">IF(B2967="","","office")</f>
        <v/>
      </c>
      <c r="D2967" s="23" t="str">
        <f aca="false">IF(B2967="","",IFERROR(INDEX(Office_Log!$ED$2:$ED$201,MATCH(IFERROR(INDEX(Clay_Offices!$A$2:$FZ$601,116,Sync!$C$5)&amp;"",""),Office_Log!$A$2:$A$201,0))&amp;"",IFERROR(INDEX(Clay_Offices!$A$2:$FZ$601,116,Sync!$C$5)&amp;"","")&amp;""))</f>
        <v/>
      </c>
      <c r="E2967" s="23" t="str">
        <f aca="false">IF(B2967="","",IFERROR(INDEX(Clay_Offices!$A$2:$FZ$601,116,Sync!$C$6)&amp;"",""))</f>
        <v/>
      </c>
      <c r="F2967" s="23" t="str">
        <f aca="false">IF(B2967="","","outreach_sent")</f>
        <v/>
      </c>
      <c r="G2967" s="23" t="str">
        <f aca="false">IF(B2967="","","")</f>
        <v/>
      </c>
      <c r="H2967" s="23" t="str">
        <f aca="false">IF(B2967="","","")</f>
        <v/>
      </c>
      <c r="I2967" s="23" t="str">
        <f aca="false">IF(B2967="","","")</f>
        <v/>
      </c>
      <c r="J2967" s="23" t="str">
        <f aca="false">IF(B2967="","","touch_3; "&amp;IFERROR(INDEX(Clay_Offices!$A$2:$FZ$601,116,Sync!$C$10)&amp;"","")&amp;"; "&amp;IFERROR(INDEX(Clay_Offices!$A$2:$FZ$601,116,Sync!$C$9)&amp;"",""))</f>
        <v/>
      </c>
      <c r="K2967" s="32" t="s">
        <v>1365</v>
      </c>
    </row>
    <row r="2968" customFormat="false" ht="15" hidden="false" customHeight="false" outlineLevel="0" collapsed="false">
      <c r="A2968" s="23" t="str">
        <f aca="false">IF(B2968="","",B2968+(14*1000+117)/10000000)</f>
        <v/>
      </c>
      <c r="B2968" s="35" t="str">
        <f aca="false">IF(AND(IFERROR(N(INDEX(Clay_Offices!$A$2:$FZ$601,117,Sync!$C$13)),0)&gt;0,IFERROR(INDEX(Clay_Offices!$A$2:$FZ$601,117,Sync!$C$5)&amp;"","")&lt;&gt;"",OR(LEFT(IFERROR(INDEX(Clay_Offices!$A$2:$FZ$601,117,Sync!$C$5)&amp;"",""),6)&lt;&gt;"SAMPLE",Config!$B$19="Y")),IFERROR(N(INDEX(Clay_Offices!$A$2:$FZ$601,117,Sync!$C$13)),0),"")</f>
        <v/>
      </c>
      <c r="C2968" s="23" t="str">
        <f aca="false">IF(B2968="","","office")</f>
        <v/>
      </c>
      <c r="D2968" s="23" t="str">
        <f aca="false">IF(B2968="","",IFERROR(INDEX(Office_Log!$ED$2:$ED$201,MATCH(IFERROR(INDEX(Clay_Offices!$A$2:$FZ$601,117,Sync!$C$5)&amp;"",""),Office_Log!$A$2:$A$201,0))&amp;"",IFERROR(INDEX(Clay_Offices!$A$2:$FZ$601,117,Sync!$C$5)&amp;"","")&amp;""))</f>
        <v/>
      </c>
      <c r="E2968" s="23" t="str">
        <f aca="false">IF(B2968="","",IFERROR(INDEX(Clay_Offices!$A$2:$FZ$601,117,Sync!$C$6)&amp;"",""))</f>
        <v/>
      </c>
      <c r="F2968" s="23" t="str">
        <f aca="false">IF(B2968="","","outreach_sent")</f>
        <v/>
      </c>
      <c r="G2968" s="23" t="str">
        <f aca="false">IF(B2968="","","")</f>
        <v/>
      </c>
      <c r="H2968" s="23" t="str">
        <f aca="false">IF(B2968="","","")</f>
        <v/>
      </c>
      <c r="I2968" s="23" t="str">
        <f aca="false">IF(B2968="","","")</f>
        <v/>
      </c>
      <c r="J2968" s="23" t="str">
        <f aca="false">IF(B2968="","","touch_3; "&amp;IFERROR(INDEX(Clay_Offices!$A$2:$FZ$601,117,Sync!$C$10)&amp;"","")&amp;"; "&amp;IFERROR(INDEX(Clay_Offices!$A$2:$FZ$601,117,Sync!$C$9)&amp;"",""))</f>
        <v/>
      </c>
      <c r="K2968" s="32" t="s">
        <v>1365</v>
      </c>
    </row>
    <row r="2969" customFormat="false" ht="15" hidden="false" customHeight="false" outlineLevel="0" collapsed="false">
      <c r="A2969" s="23" t="str">
        <f aca="false">IF(B2969="","",B2969+(14*1000+118)/10000000)</f>
        <v/>
      </c>
      <c r="B2969" s="35" t="str">
        <f aca="false">IF(AND(IFERROR(N(INDEX(Clay_Offices!$A$2:$FZ$601,118,Sync!$C$13)),0)&gt;0,IFERROR(INDEX(Clay_Offices!$A$2:$FZ$601,118,Sync!$C$5)&amp;"","")&lt;&gt;"",OR(LEFT(IFERROR(INDEX(Clay_Offices!$A$2:$FZ$601,118,Sync!$C$5)&amp;"",""),6)&lt;&gt;"SAMPLE",Config!$B$19="Y")),IFERROR(N(INDEX(Clay_Offices!$A$2:$FZ$601,118,Sync!$C$13)),0),"")</f>
        <v/>
      </c>
      <c r="C2969" s="23" t="str">
        <f aca="false">IF(B2969="","","office")</f>
        <v/>
      </c>
      <c r="D2969" s="23" t="str">
        <f aca="false">IF(B2969="","",IFERROR(INDEX(Office_Log!$ED$2:$ED$201,MATCH(IFERROR(INDEX(Clay_Offices!$A$2:$FZ$601,118,Sync!$C$5)&amp;"",""),Office_Log!$A$2:$A$201,0))&amp;"",IFERROR(INDEX(Clay_Offices!$A$2:$FZ$601,118,Sync!$C$5)&amp;"","")&amp;""))</f>
        <v/>
      </c>
      <c r="E2969" s="23" t="str">
        <f aca="false">IF(B2969="","",IFERROR(INDEX(Clay_Offices!$A$2:$FZ$601,118,Sync!$C$6)&amp;"",""))</f>
        <v/>
      </c>
      <c r="F2969" s="23" t="str">
        <f aca="false">IF(B2969="","","outreach_sent")</f>
        <v/>
      </c>
      <c r="G2969" s="23" t="str">
        <f aca="false">IF(B2969="","","")</f>
        <v/>
      </c>
      <c r="H2969" s="23" t="str">
        <f aca="false">IF(B2969="","","")</f>
        <v/>
      </c>
      <c r="I2969" s="23" t="str">
        <f aca="false">IF(B2969="","","")</f>
        <v/>
      </c>
      <c r="J2969" s="23" t="str">
        <f aca="false">IF(B2969="","","touch_3; "&amp;IFERROR(INDEX(Clay_Offices!$A$2:$FZ$601,118,Sync!$C$10)&amp;"","")&amp;"; "&amp;IFERROR(INDEX(Clay_Offices!$A$2:$FZ$601,118,Sync!$C$9)&amp;"",""))</f>
        <v/>
      </c>
      <c r="K2969" s="32" t="s">
        <v>1365</v>
      </c>
    </row>
    <row r="2970" customFormat="false" ht="15" hidden="false" customHeight="false" outlineLevel="0" collapsed="false">
      <c r="A2970" s="23" t="str">
        <f aca="false">IF(B2970="","",B2970+(14*1000+119)/10000000)</f>
        <v/>
      </c>
      <c r="B2970" s="35" t="str">
        <f aca="false">IF(AND(IFERROR(N(INDEX(Clay_Offices!$A$2:$FZ$601,119,Sync!$C$13)),0)&gt;0,IFERROR(INDEX(Clay_Offices!$A$2:$FZ$601,119,Sync!$C$5)&amp;"","")&lt;&gt;"",OR(LEFT(IFERROR(INDEX(Clay_Offices!$A$2:$FZ$601,119,Sync!$C$5)&amp;"",""),6)&lt;&gt;"SAMPLE",Config!$B$19="Y")),IFERROR(N(INDEX(Clay_Offices!$A$2:$FZ$601,119,Sync!$C$13)),0),"")</f>
        <v/>
      </c>
      <c r="C2970" s="23" t="str">
        <f aca="false">IF(B2970="","","office")</f>
        <v/>
      </c>
      <c r="D2970" s="23" t="str">
        <f aca="false">IF(B2970="","",IFERROR(INDEX(Office_Log!$ED$2:$ED$201,MATCH(IFERROR(INDEX(Clay_Offices!$A$2:$FZ$601,119,Sync!$C$5)&amp;"",""),Office_Log!$A$2:$A$201,0))&amp;"",IFERROR(INDEX(Clay_Offices!$A$2:$FZ$601,119,Sync!$C$5)&amp;"","")&amp;""))</f>
        <v/>
      </c>
      <c r="E2970" s="23" t="str">
        <f aca="false">IF(B2970="","",IFERROR(INDEX(Clay_Offices!$A$2:$FZ$601,119,Sync!$C$6)&amp;"",""))</f>
        <v/>
      </c>
      <c r="F2970" s="23" t="str">
        <f aca="false">IF(B2970="","","outreach_sent")</f>
        <v/>
      </c>
      <c r="G2970" s="23" t="str">
        <f aca="false">IF(B2970="","","")</f>
        <v/>
      </c>
      <c r="H2970" s="23" t="str">
        <f aca="false">IF(B2970="","","")</f>
        <v/>
      </c>
      <c r="I2970" s="23" t="str">
        <f aca="false">IF(B2970="","","")</f>
        <v/>
      </c>
      <c r="J2970" s="23" t="str">
        <f aca="false">IF(B2970="","","touch_3; "&amp;IFERROR(INDEX(Clay_Offices!$A$2:$FZ$601,119,Sync!$C$10)&amp;"","")&amp;"; "&amp;IFERROR(INDEX(Clay_Offices!$A$2:$FZ$601,119,Sync!$C$9)&amp;"",""))</f>
        <v/>
      </c>
      <c r="K2970" s="32" t="s">
        <v>1365</v>
      </c>
    </row>
    <row r="2971" customFormat="false" ht="15" hidden="false" customHeight="false" outlineLevel="0" collapsed="false">
      <c r="A2971" s="23" t="str">
        <f aca="false">IF(B2971="","",B2971+(14*1000+120)/10000000)</f>
        <v/>
      </c>
      <c r="B2971" s="35" t="str">
        <f aca="false">IF(AND(IFERROR(N(INDEX(Clay_Offices!$A$2:$FZ$601,120,Sync!$C$13)),0)&gt;0,IFERROR(INDEX(Clay_Offices!$A$2:$FZ$601,120,Sync!$C$5)&amp;"","")&lt;&gt;"",OR(LEFT(IFERROR(INDEX(Clay_Offices!$A$2:$FZ$601,120,Sync!$C$5)&amp;"",""),6)&lt;&gt;"SAMPLE",Config!$B$19="Y")),IFERROR(N(INDEX(Clay_Offices!$A$2:$FZ$601,120,Sync!$C$13)),0),"")</f>
        <v/>
      </c>
      <c r="C2971" s="23" t="str">
        <f aca="false">IF(B2971="","","office")</f>
        <v/>
      </c>
      <c r="D2971" s="23" t="str">
        <f aca="false">IF(B2971="","",IFERROR(INDEX(Office_Log!$ED$2:$ED$201,MATCH(IFERROR(INDEX(Clay_Offices!$A$2:$FZ$601,120,Sync!$C$5)&amp;"",""),Office_Log!$A$2:$A$201,0))&amp;"",IFERROR(INDEX(Clay_Offices!$A$2:$FZ$601,120,Sync!$C$5)&amp;"","")&amp;""))</f>
        <v/>
      </c>
      <c r="E2971" s="23" t="str">
        <f aca="false">IF(B2971="","",IFERROR(INDEX(Clay_Offices!$A$2:$FZ$601,120,Sync!$C$6)&amp;"",""))</f>
        <v/>
      </c>
      <c r="F2971" s="23" t="str">
        <f aca="false">IF(B2971="","","outreach_sent")</f>
        <v/>
      </c>
      <c r="G2971" s="23" t="str">
        <f aca="false">IF(B2971="","","")</f>
        <v/>
      </c>
      <c r="H2971" s="23" t="str">
        <f aca="false">IF(B2971="","","")</f>
        <v/>
      </c>
      <c r="I2971" s="23" t="str">
        <f aca="false">IF(B2971="","","")</f>
        <v/>
      </c>
      <c r="J2971" s="23" t="str">
        <f aca="false">IF(B2971="","","touch_3; "&amp;IFERROR(INDEX(Clay_Offices!$A$2:$FZ$601,120,Sync!$C$10)&amp;"","")&amp;"; "&amp;IFERROR(INDEX(Clay_Offices!$A$2:$FZ$601,120,Sync!$C$9)&amp;"",""))</f>
        <v/>
      </c>
      <c r="K2971" s="32" t="s">
        <v>1365</v>
      </c>
    </row>
    <row r="2972" customFormat="false" ht="15" hidden="false" customHeight="false" outlineLevel="0" collapsed="false">
      <c r="A2972" s="23" t="str">
        <f aca="false">IF(B2972="","",B2972+(14*1000+121)/10000000)</f>
        <v/>
      </c>
      <c r="B2972" s="35" t="str">
        <f aca="false">IF(AND(IFERROR(N(INDEX(Clay_Offices!$A$2:$FZ$601,121,Sync!$C$13)),0)&gt;0,IFERROR(INDEX(Clay_Offices!$A$2:$FZ$601,121,Sync!$C$5)&amp;"","")&lt;&gt;"",OR(LEFT(IFERROR(INDEX(Clay_Offices!$A$2:$FZ$601,121,Sync!$C$5)&amp;"",""),6)&lt;&gt;"SAMPLE",Config!$B$19="Y")),IFERROR(N(INDEX(Clay_Offices!$A$2:$FZ$601,121,Sync!$C$13)),0),"")</f>
        <v/>
      </c>
      <c r="C2972" s="23" t="str">
        <f aca="false">IF(B2972="","","office")</f>
        <v/>
      </c>
      <c r="D2972" s="23" t="str">
        <f aca="false">IF(B2972="","",IFERROR(INDEX(Office_Log!$ED$2:$ED$201,MATCH(IFERROR(INDEX(Clay_Offices!$A$2:$FZ$601,121,Sync!$C$5)&amp;"",""),Office_Log!$A$2:$A$201,0))&amp;"",IFERROR(INDEX(Clay_Offices!$A$2:$FZ$601,121,Sync!$C$5)&amp;"","")&amp;""))</f>
        <v/>
      </c>
      <c r="E2972" s="23" t="str">
        <f aca="false">IF(B2972="","",IFERROR(INDEX(Clay_Offices!$A$2:$FZ$601,121,Sync!$C$6)&amp;"",""))</f>
        <v/>
      </c>
      <c r="F2972" s="23" t="str">
        <f aca="false">IF(B2972="","","outreach_sent")</f>
        <v/>
      </c>
      <c r="G2972" s="23" t="str">
        <f aca="false">IF(B2972="","","")</f>
        <v/>
      </c>
      <c r="H2972" s="23" t="str">
        <f aca="false">IF(B2972="","","")</f>
        <v/>
      </c>
      <c r="I2972" s="23" t="str">
        <f aca="false">IF(B2972="","","")</f>
        <v/>
      </c>
      <c r="J2972" s="23" t="str">
        <f aca="false">IF(B2972="","","touch_3; "&amp;IFERROR(INDEX(Clay_Offices!$A$2:$FZ$601,121,Sync!$C$10)&amp;"","")&amp;"; "&amp;IFERROR(INDEX(Clay_Offices!$A$2:$FZ$601,121,Sync!$C$9)&amp;"",""))</f>
        <v/>
      </c>
      <c r="K2972" s="32" t="s">
        <v>1365</v>
      </c>
    </row>
    <row r="2973" customFormat="false" ht="15" hidden="false" customHeight="false" outlineLevel="0" collapsed="false">
      <c r="A2973" s="23" t="str">
        <f aca="false">IF(B2973="","",B2973+(14*1000+122)/10000000)</f>
        <v/>
      </c>
      <c r="B2973" s="35" t="str">
        <f aca="false">IF(AND(IFERROR(N(INDEX(Clay_Offices!$A$2:$FZ$601,122,Sync!$C$13)),0)&gt;0,IFERROR(INDEX(Clay_Offices!$A$2:$FZ$601,122,Sync!$C$5)&amp;"","")&lt;&gt;"",OR(LEFT(IFERROR(INDEX(Clay_Offices!$A$2:$FZ$601,122,Sync!$C$5)&amp;"",""),6)&lt;&gt;"SAMPLE",Config!$B$19="Y")),IFERROR(N(INDEX(Clay_Offices!$A$2:$FZ$601,122,Sync!$C$13)),0),"")</f>
        <v/>
      </c>
      <c r="C2973" s="23" t="str">
        <f aca="false">IF(B2973="","","office")</f>
        <v/>
      </c>
      <c r="D2973" s="23" t="str">
        <f aca="false">IF(B2973="","",IFERROR(INDEX(Office_Log!$ED$2:$ED$201,MATCH(IFERROR(INDEX(Clay_Offices!$A$2:$FZ$601,122,Sync!$C$5)&amp;"",""),Office_Log!$A$2:$A$201,0))&amp;"",IFERROR(INDEX(Clay_Offices!$A$2:$FZ$601,122,Sync!$C$5)&amp;"","")&amp;""))</f>
        <v/>
      </c>
      <c r="E2973" s="23" t="str">
        <f aca="false">IF(B2973="","",IFERROR(INDEX(Clay_Offices!$A$2:$FZ$601,122,Sync!$C$6)&amp;"",""))</f>
        <v/>
      </c>
      <c r="F2973" s="23" t="str">
        <f aca="false">IF(B2973="","","outreach_sent")</f>
        <v/>
      </c>
      <c r="G2973" s="23" t="str">
        <f aca="false">IF(B2973="","","")</f>
        <v/>
      </c>
      <c r="H2973" s="23" t="str">
        <f aca="false">IF(B2973="","","")</f>
        <v/>
      </c>
      <c r="I2973" s="23" t="str">
        <f aca="false">IF(B2973="","","")</f>
        <v/>
      </c>
      <c r="J2973" s="23" t="str">
        <f aca="false">IF(B2973="","","touch_3; "&amp;IFERROR(INDEX(Clay_Offices!$A$2:$FZ$601,122,Sync!$C$10)&amp;"","")&amp;"; "&amp;IFERROR(INDEX(Clay_Offices!$A$2:$FZ$601,122,Sync!$C$9)&amp;"",""))</f>
        <v/>
      </c>
      <c r="K2973" s="32" t="s">
        <v>1365</v>
      </c>
    </row>
    <row r="2974" customFormat="false" ht="15" hidden="false" customHeight="false" outlineLevel="0" collapsed="false">
      <c r="A2974" s="23" t="str">
        <f aca="false">IF(B2974="","",B2974+(14*1000+123)/10000000)</f>
        <v/>
      </c>
      <c r="B2974" s="35" t="str">
        <f aca="false">IF(AND(IFERROR(N(INDEX(Clay_Offices!$A$2:$FZ$601,123,Sync!$C$13)),0)&gt;0,IFERROR(INDEX(Clay_Offices!$A$2:$FZ$601,123,Sync!$C$5)&amp;"","")&lt;&gt;"",OR(LEFT(IFERROR(INDEX(Clay_Offices!$A$2:$FZ$601,123,Sync!$C$5)&amp;"",""),6)&lt;&gt;"SAMPLE",Config!$B$19="Y")),IFERROR(N(INDEX(Clay_Offices!$A$2:$FZ$601,123,Sync!$C$13)),0),"")</f>
        <v/>
      </c>
      <c r="C2974" s="23" t="str">
        <f aca="false">IF(B2974="","","office")</f>
        <v/>
      </c>
      <c r="D2974" s="23" t="str">
        <f aca="false">IF(B2974="","",IFERROR(INDEX(Office_Log!$ED$2:$ED$201,MATCH(IFERROR(INDEX(Clay_Offices!$A$2:$FZ$601,123,Sync!$C$5)&amp;"",""),Office_Log!$A$2:$A$201,0))&amp;"",IFERROR(INDEX(Clay_Offices!$A$2:$FZ$601,123,Sync!$C$5)&amp;"","")&amp;""))</f>
        <v/>
      </c>
      <c r="E2974" s="23" t="str">
        <f aca="false">IF(B2974="","",IFERROR(INDEX(Clay_Offices!$A$2:$FZ$601,123,Sync!$C$6)&amp;"",""))</f>
        <v/>
      </c>
      <c r="F2974" s="23" t="str">
        <f aca="false">IF(B2974="","","outreach_sent")</f>
        <v/>
      </c>
      <c r="G2974" s="23" t="str">
        <f aca="false">IF(B2974="","","")</f>
        <v/>
      </c>
      <c r="H2974" s="23" t="str">
        <f aca="false">IF(B2974="","","")</f>
        <v/>
      </c>
      <c r="I2974" s="23" t="str">
        <f aca="false">IF(B2974="","","")</f>
        <v/>
      </c>
      <c r="J2974" s="23" t="str">
        <f aca="false">IF(B2974="","","touch_3; "&amp;IFERROR(INDEX(Clay_Offices!$A$2:$FZ$601,123,Sync!$C$10)&amp;"","")&amp;"; "&amp;IFERROR(INDEX(Clay_Offices!$A$2:$FZ$601,123,Sync!$C$9)&amp;"",""))</f>
        <v/>
      </c>
      <c r="K2974" s="32" t="s">
        <v>1365</v>
      </c>
    </row>
    <row r="2975" customFormat="false" ht="15" hidden="false" customHeight="false" outlineLevel="0" collapsed="false">
      <c r="A2975" s="23" t="str">
        <f aca="false">IF(B2975="","",B2975+(14*1000+124)/10000000)</f>
        <v/>
      </c>
      <c r="B2975" s="35" t="str">
        <f aca="false">IF(AND(IFERROR(N(INDEX(Clay_Offices!$A$2:$FZ$601,124,Sync!$C$13)),0)&gt;0,IFERROR(INDEX(Clay_Offices!$A$2:$FZ$601,124,Sync!$C$5)&amp;"","")&lt;&gt;"",OR(LEFT(IFERROR(INDEX(Clay_Offices!$A$2:$FZ$601,124,Sync!$C$5)&amp;"",""),6)&lt;&gt;"SAMPLE",Config!$B$19="Y")),IFERROR(N(INDEX(Clay_Offices!$A$2:$FZ$601,124,Sync!$C$13)),0),"")</f>
        <v/>
      </c>
      <c r="C2975" s="23" t="str">
        <f aca="false">IF(B2975="","","office")</f>
        <v/>
      </c>
      <c r="D2975" s="23" t="str">
        <f aca="false">IF(B2975="","",IFERROR(INDEX(Office_Log!$ED$2:$ED$201,MATCH(IFERROR(INDEX(Clay_Offices!$A$2:$FZ$601,124,Sync!$C$5)&amp;"",""),Office_Log!$A$2:$A$201,0))&amp;"",IFERROR(INDEX(Clay_Offices!$A$2:$FZ$601,124,Sync!$C$5)&amp;"","")&amp;""))</f>
        <v/>
      </c>
      <c r="E2975" s="23" t="str">
        <f aca="false">IF(B2975="","",IFERROR(INDEX(Clay_Offices!$A$2:$FZ$601,124,Sync!$C$6)&amp;"",""))</f>
        <v/>
      </c>
      <c r="F2975" s="23" t="str">
        <f aca="false">IF(B2975="","","outreach_sent")</f>
        <v/>
      </c>
      <c r="G2975" s="23" t="str">
        <f aca="false">IF(B2975="","","")</f>
        <v/>
      </c>
      <c r="H2975" s="23" t="str">
        <f aca="false">IF(B2975="","","")</f>
        <v/>
      </c>
      <c r="I2975" s="23" t="str">
        <f aca="false">IF(B2975="","","")</f>
        <v/>
      </c>
      <c r="J2975" s="23" t="str">
        <f aca="false">IF(B2975="","","touch_3; "&amp;IFERROR(INDEX(Clay_Offices!$A$2:$FZ$601,124,Sync!$C$10)&amp;"","")&amp;"; "&amp;IFERROR(INDEX(Clay_Offices!$A$2:$FZ$601,124,Sync!$C$9)&amp;"",""))</f>
        <v/>
      </c>
      <c r="K2975" s="32" t="s">
        <v>1365</v>
      </c>
    </row>
    <row r="2976" customFormat="false" ht="15" hidden="false" customHeight="false" outlineLevel="0" collapsed="false">
      <c r="A2976" s="23" t="str">
        <f aca="false">IF(B2976="","",B2976+(14*1000+125)/10000000)</f>
        <v/>
      </c>
      <c r="B2976" s="35" t="str">
        <f aca="false">IF(AND(IFERROR(N(INDEX(Clay_Offices!$A$2:$FZ$601,125,Sync!$C$13)),0)&gt;0,IFERROR(INDEX(Clay_Offices!$A$2:$FZ$601,125,Sync!$C$5)&amp;"","")&lt;&gt;"",OR(LEFT(IFERROR(INDEX(Clay_Offices!$A$2:$FZ$601,125,Sync!$C$5)&amp;"",""),6)&lt;&gt;"SAMPLE",Config!$B$19="Y")),IFERROR(N(INDEX(Clay_Offices!$A$2:$FZ$601,125,Sync!$C$13)),0),"")</f>
        <v/>
      </c>
      <c r="C2976" s="23" t="str">
        <f aca="false">IF(B2976="","","office")</f>
        <v/>
      </c>
      <c r="D2976" s="23" t="str">
        <f aca="false">IF(B2976="","",IFERROR(INDEX(Office_Log!$ED$2:$ED$201,MATCH(IFERROR(INDEX(Clay_Offices!$A$2:$FZ$601,125,Sync!$C$5)&amp;"",""),Office_Log!$A$2:$A$201,0))&amp;"",IFERROR(INDEX(Clay_Offices!$A$2:$FZ$601,125,Sync!$C$5)&amp;"","")&amp;""))</f>
        <v/>
      </c>
      <c r="E2976" s="23" t="str">
        <f aca="false">IF(B2976="","",IFERROR(INDEX(Clay_Offices!$A$2:$FZ$601,125,Sync!$C$6)&amp;"",""))</f>
        <v/>
      </c>
      <c r="F2976" s="23" t="str">
        <f aca="false">IF(B2976="","","outreach_sent")</f>
        <v/>
      </c>
      <c r="G2976" s="23" t="str">
        <f aca="false">IF(B2976="","","")</f>
        <v/>
      </c>
      <c r="H2976" s="23" t="str">
        <f aca="false">IF(B2976="","","")</f>
        <v/>
      </c>
      <c r="I2976" s="23" t="str">
        <f aca="false">IF(B2976="","","")</f>
        <v/>
      </c>
      <c r="J2976" s="23" t="str">
        <f aca="false">IF(B2976="","","touch_3; "&amp;IFERROR(INDEX(Clay_Offices!$A$2:$FZ$601,125,Sync!$C$10)&amp;"","")&amp;"; "&amp;IFERROR(INDEX(Clay_Offices!$A$2:$FZ$601,125,Sync!$C$9)&amp;"",""))</f>
        <v/>
      </c>
      <c r="K2976" s="32" t="s">
        <v>1365</v>
      </c>
    </row>
    <row r="2977" customFormat="false" ht="15" hidden="false" customHeight="false" outlineLevel="0" collapsed="false">
      <c r="A2977" s="23" t="str">
        <f aca="false">IF(B2977="","",B2977+(14*1000+126)/10000000)</f>
        <v/>
      </c>
      <c r="B2977" s="35" t="str">
        <f aca="false">IF(AND(IFERROR(N(INDEX(Clay_Offices!$A$2:$FZ$601,126,Sync!$C$13)),0)&gt;0,IFERROR(INDEX(Clay_Offices!$A$2:$FZ$601,126,Sync!$C$5)&amp;"","")&lt;&gt;"",OR(LEFT(IFERROR(INDEX(Clay_Offices!$A$2:$FZ$601,126,Sync!$C$5)&amp;"",""),6)&lt;&gt;"SAMPLE",Config!$B$19="Y")),IFERROR(N(INDEX(Clay_Offices!$A$2:$FZ$601,126,Sync!$C$13)),0),"")</f>
        <v/>
      </c>
      <c r="C2977" s="23" t="str">
        <f aca="false">IF(B2977="","","office")</f>
        <v/>
      </c>
      <c r="D2977" s="23" t="str">
        <f aca="false">IF(B2977="","",IFERROR(INDEX(Office_Log!$ED$2:$ED$201,MATCH(IFERROR(INDEX(Clay_Offices!$A$2:$FZ$601,126,Sync!$C$5)&amp;"",""),Office_Log!$A$2:$A$201,0))&amp;"",IFERROR(INDEX(Clay_Offices!$A$2:$FZ$601,126,Sync!$C$5)&amp;"","")&amp;""))</f>
        <v/>
      </c>
      <c r="E2977" s="23" t="str">
        <f aca="false">IF(B2977="","",IFERROR(INDEX(Clay_Offices!$A$2:$FZ$601,126,Sync!$C$6)&amp;"",""))</f>
        <v/>
      </c>
      <c r="F2977" s="23" t="str">
        <f aca="false">IF(B2977="","","outreach_sent")</f>
        <v/>
      </c>
      <c r="G2977" s="23" t="str">
        <f aca="false">IF(B2977="","","")</f>
        <v/>
      </c>
      <c r="H2977" s="23" t="str">
        <f aca="false">IF(B2977="","","")</f>
        <v/>
      </c>
      <c r="I2977" s="23" t="str">
        <f aca="false">IF(B2977="","","")</f>
        <v/>
      </c>
      <c r="J2977" s="23" t="str">
        <f aca="false">IF(B2977="","","touch_3; "&amp;IFERROR(INDEX(Clay_Offices!$A$2:$FZ$601,126,Sync!$C$10)&amp;"","")&amp;"; "&amp;IFERROR(INDEX(Clay_Offices!$A$2:$FZ$601,126,Sync!$C$9)&amp;"",""))</f>
        <v/>
      </c>
      <c r="K2977" s="32" t="s">
        <v>1365</v>
      </c>
    </row>
    <row r="2978" customFormat="false" ht="15" hidden="false" customHeight="false" outlineLevel="0" collapsed="false">
      <c r="A2978" s="23" t="str">
        <f aca="false">IF(B2978="","",B2978+(14*1000+127)/10000000)</f>
        <v/>
      </c>
      <c r="B2978" s="35" t="str">
        <f aca="false">IF(AND(IFERROR(N(INDEX(Clay_Offices!$A$2:$FZ$601,127,Sync!$C$13)),0)&gt;0,IFERROR(INDEX(Clay_Offices!$A$2:$FZ$601,127,Sync!$C$5)&amp;"","")&lt;&gt;"",OR(LEFT(IFERROR(INDEX(Clay_Offices!$A$2:$FZ$601,127,Sync!$C$5)&amp;"",""),6)&lt;&gt;"SAMPLE",Config!$B$19="Y")),IFERROR(N(INDEX(Clay_Offices!$A$2:$FZ$601,127,Sync!$C$13)),0),"")</f>
        <v/>
      </c>
      <c r="C2978" s="23" t="str">
        <f aca="false">IF(B2978="","","office")</f>
        <v/>
      </c>
      <c r="D2978" s="23" t="str">
        <f aca="false">IF(B2978="","",IFERROR(INDEX(Office_Log!$ED$2:$ED$201,MATCH(IFERROR(INDEX(Clay_Offices!$A$2:$FZ$601,127,Sync!$C$5)&amp;"",""),Office_Log!$A$2:$A$201,0))&amp;"",IFERROR(INDEX(Clay_Offices!$A$2:$FZ$601,127,Sync!$C$5)&amp;"","")&amp;""))</f>
        <v/>
      </c>
      <c r="E2978" s="23" t="str">
        <f aca="false">IF(B2978="","",IFERROR(INDEX(Clay_Offices!$A$2:$FZ$601,127,Sync!$C$6)&amp;"",""))</f>
        <v/>
      </c>
      <c r="F2978" s="23" t="str">
        <f aca="false">IF(B2978="","","outreach_sent")</f>
        <v/>
      </c>
      <c r="G2978" s="23" t="str">
        <f aca="false">IF(B2978="","","")</f>
        <v/>
      </c>
      <c r="H2978" s="23" t="str">
        <f aca="false">IF(B2978="","","")</f>
        <v/>
      </c>
      <c r="I2978" s="23" t="str">
        <f aca="false">IF(B2978="","","")</f>
        <v/>
      </c>
      <c r="J2978" s="23" t="str">
        <f aca="false">IF(B2978="","","touch_3; "&amp;IFERROR(INDEX(Clay_Offices!$A$2:$FZ$601,127,Sync!$C$10)&amp;"","")&amp;"; "&amp;IFERROR(INDEX(Clay_Offices!$A$2:$FZ$601,127,Sync!$C$9)&amp;"",""))</f>
        <v/>
      </c>
      <c r="K2978" s="32" t="s">
        <v>1365</v>
      </c>
    </row>
    <row r="2979" customFormat="false" ht="15" hidden="false" customHeight="false" outlineLevel="0" collapsed="false">
      <c r="A2979" s="23" t="str">
        <f aca="false">IF(B2979="","",B2979+(14*1000+128)/10000000)</f>
        <v/>
      </c>
      <c r="B2979" s="35" t="str">
        <f aca="false">IF(AND(IFERROR(N(INDEX(Clay_Offices!$A$2:$FZ$601,128,Sync!$C$13)),0)&gt;0,IFERROR(INDEX(Clay_Offices!$A$2:$FZ$601,128,Sync!$C$5)&amp;"","")&lt;&gt;"",OR(LEFT(IFERROR(INDEX(Clay_Offices!$A$2:$FZ$601,128,Sync!$C$5)&amp;"",""),6)&lt;&gt;"SAMPLE",Config!$B$19="Y")),IFERROR(N(INDEX(Clay_Offices!$A$2:$FZ$601,128,Sync!$C$13)),0),"")</f>
        <v/>
      </c>
      <c r="C2979" s="23" t="str">
        <f aca="false">IF(B2979="","","office")</f>
        <v/>
      </c>
      <c r="D2979" s="23" t="str">
        <f aca="false">IF(B2979="","",IFERROR(INDEX(Office_Log!$ED$2:$ED$201,MATCH(IFERROR(INDEX(Clay_Offices!$A$2:$FZ$601,128,Sync!$C$5)&amp;"",""),Office_Log!$A$2:$A$201,0))&amp;"",IFERROR(INDEX(Clay_Offices!$A$2:$FZ$601,128,Sync!$C$5)&amp;"","")&amp;""))</f>
        <v/>
      </c>
      <c r="E2979" s="23" t="str">
        <f aca="false">IF(B2979="","",IFERROR(INDEX(Clay_Offices!$A$2:$FZ$601,128,Sync!$C$6)&amp;"",""))</f>
        <v/>
      </c>
      <c r="F2979" s="23" t="str">
        <f aca="false">IF(B2979="","","outreach_sent")</f>
        <v/>
      </c>
      <c r="G2979" s="23" t="str">
        <f aca="false">IF(B2979="","","")</f>
        <v/>
      </c>
      <c r="H2979" s="23" t="str">
        <f aca="false">IF(B2979="","","")</f>
        <v/>
      </c>
      <c r="I2979" s="23" t="str">
        <f aca="false">IF(B2979="","","")</f>
        <v/>
      </c>
      <c r="J2979" s="23" t="str">
        <f aca="false">IF(B2979="","","touch_3; "&amp;IFERROR(INDEX(Clay_Offices!$A$2:$FZ$601,128,Sync!$C$10)&amp;"","")&amp;"; "&amp;IFERROR(INDEX(Clay_Offices!$A$2:$FZ$601,128,Sync!$C$9)&amp;"",""))</f>
        <v/>
      </c>
      <c r="K2979" s="32" t="s">
        <v>1365</v>
      </c>
    </row>
    <row r="2980" customFormat="false" ht="15" hidden="false" customHeight="false" outlineLevel="0" collapsed="false">
      <c r="A2980" s="23" t="str">
        <f aca="false">IF(B2980="","",B2980+(14*1000+129)/10000000)</f>
        <v/>
      </c>
      <c r="B2980" s="35" t="str">
        <f aca="false">IF(AND(IFERROR(N(INDEX(Clay_Offices!$A$2:$FZ$601,129,Sync!$C$13)),0)&gt;0,IFERROR(INDEX(Clay_Offices!$A$2:$FZ$601,129,Sync!$C$5)&amp;"","")&lt;&gt;"",OR(LEFT(IFERROR(INDEX(Clay_Offices!$A$2:$FZ$601,129,Sync!$C$5)&amp;"",""),6)&lt;&gt;"SAMPLE",Config!$B$19="Y")),IFERROR(N(INDEX(Clay_Offices!$A$2:$FZ$601,129,Sync!$C$13)),0),"")</f>
        <v/>
      </c>
      <c r="C2980" s="23" t="str">
        <f aca="false">IF(B2980="","","office")</f>
        <v/>
      </c>
      <c r="D2980" s="23" t="str">
        <f aca="false">IF(B2980="","",IFERROR(INDEX(Office_Log!$ED$2:$ED$201,MATCH(IFERROR(INDEX(Clay_Offices!$A$2:$FZ$601,129,Sync!$C$5)&amp;"",""),Office_Log!$A$2:$A$201,0))&amp;"",IFERROR(INDEX(Clay_Offices!$A$2:$FZ$601,129,Sync!$C$5)&amp;"","")&amp;""))</f>
        <v/>
      </c>
      <c r="E2980" s="23" t="str">
        <f aca="false">IF(B2980="","",IFERROR(INDEX(Clay_Offices!$A$2:$FZ$601,129,Sync!$C$6)&amp;"",""))</f>
        <v/>
      </c>
      <c r="F2980" s="23" t="str">
        <f aca="false">IF(B2980="","","outreach_sent")</f>
        <v/>
      </c>
      <c r="G2980" s="23" t="str">
        <f aca="false">IF(B2980="","","")</f>
        <v/>
      </c>
      <c r="H2980" s="23" t="str">
        <f aca="false">IF(B2980="","","")</f>
        <v/>
      </c>
      <c r="I2980" s="23" t="str">
        <f aca="false">IF(B2980="","","")</f>
        <v/>
      </c>
      <c r="J2980" s="23" t="str">
        <f aca="false">IF(B2980="","","touch_3; "&amp;IFERROR(INDEX(Clay_Offices!$A$2:$FZ$601,129,Sync!$C$10)&amp;"","")&amp;"; "&amp;IFERROR(INDEX(Clay_Offices!$A$2:$FZ$601,129,Sync!$C$9)&amp;"",""))</f>
        <v/>
      </c>
      <c r="K2980" s="32" t="s">
        <v>1365</v>
      </c>
    </row>
    <row r="2981" customFormat="false" ht="15" hidden="false" customHeight="false" outlineLevel="0" collapsed="false">
      <c r="A2981" s="23" t="str">
        <f aca="false">IF(B2981="","",B2981+(14*1000+130)/10000000)</f>
        <v/>
      </c>
      <c r="B2981" s="35" t="str">
        <f aca="false">IF(AND(IFERROR(N(INDEX(Clay_Offices!$A$2:$FZ$601,130,Sync!$C$13)),0)&gt;0,IFERROR(INDEX(Clay_Offices!$A$2:$FZ$601,130,Sync!$C$5)&amp;"","")&lt;&gt;"",OR(LEFT(IFERROR(INDEX(Clay_Offices!$A$2:$FZ$601,130,Sync!$C$5)&amp;"",""),6)&lt;&gt;"SAMPLE",Config!$B$19="Y")),IFERROR(N(INDEX(Clay_Offices!$A$2:$FZ$601,130,Sync!$C$13)),0),"")</f>
        <v/>
      </c>
      <c r="C2981" s="23" t="str">
        <f aca="false">IF(B2981="","","office")</f>
        <v/>
      </c>
      <c r="D2981" s="23" t="str">
        <f aca="false">IF(B2981="","",IFERROR(INDEX(Office_Log!$ED$2:$ED$201,MATCH(IFERROR(INDEX(Clay_Offices!$A$2:$FZ$601,130,Sync!$C$5)&amp;"",""),Office_Log!$A$2:$A$201,0))&amp;"",IFERROR(INDEX(Clay_Offices!$A$2:$FZ$601,130,Sync!$C$5)&amp;"","")&amp;""))</f>
        <v/>
      </c>
      <c r="E2981" s="23" t="str">
        <f aca="false">IF(B2981="","",IFERROR(INDEX(Clay_Offices!$A$2:$FZ$601,130,Sync!$C$6)&amp;"",""))</f>
        <v/>
      </c>
      <c r="F2981" s="23" t="str">
        <f aca="false">IF(B2981="","","outreach_sent")</f>
        <v/>
      </c>
      <c r="G2981" s="23" t="str">
        <f aca="false">IF(B2981="","","")</f>
        <v/>
      </c>
      <c r="H2981" s="23" t="str">
        <f aca="false">IF(B2981="","","")</f>
        <v/>
      </c>
      <c r="I2981" s="23" t="str">
        <f aca="false">IF(B2981="","","")</f>
        <v/>
      </c>
      <c r="J2981" s="23" t="str">
        <f aca="false">IF(B2981="","","touch_3; "&amp;IFERROR(INDEX(Clay_Offices!$A$2:$FZ$601,130,Sync!$C$10)&amp;"","")&amp;"; "&amp;IFERROR(INDEX(Clay_Offices!$A$2:$FZ$601,130,Sync!$C$9)&amp;"",""))</f>
        <v/>
      </c>
      <c r="K2981" s="32" t="s">
        <v>1365</v>
      </c>
    </row>
    <row r="2982" customFormat="false" ht="15" hidden="false" customHeight="false" outlineLevel="0" collapsed="false">
      <c r="A2982" s="23" t="str">
        <f aca="false">IF(B2982="","",B2982+(14*1000+131)/10000000)</f>
        <v/>
      </c>
      <c r="B2982" s="35" t="str">
        <f aca="false">IF(AND(IFERROR(N(INDEX(Clay_Offices!$A$2:$FZ$601,131,Sync!$C$13)),0)&gt;0,IFERROR(INDEX(Clay_Offices!$A$2:$FZ$601,131,Sync!$C$5)&amp;"","")&lt;&gt;"",OR(LEFT(IFERROR(INDEX(Clay_Offices!$A$2:$FZ$601,131,Sync!$C$5)&amp;"",""),6)&lt;&gt;"SAMPLE",Config!$B$19="Y")),IFERROR(N(INDEX(Clay_Offices!$A$2:$FZ$601,131,Sync!$C$13)),0),"")</f>
        <v/>
      </c>
      <c r="C2982" s="23" t="str">
        <f aca="false">IF(B2982="","","office")</f>
        <v/>
      </c>
      <c r="D2982" s="23" t="str">
        <f aca="false">IF(B2982="","",IFERROR(INDEX(Office_Log!$ED$2:$ED$201,MATCH(IFERROR(INDEX(Clay_Offices!$A$2:$FZ$601,131,Sync!$C$5)&amp;"",""),Office_Log!$A$2:$A$201,0))&amp;"",IFERROR(INDEX(Clay_Offices!$A$2:$FZ$601,131,Sync!$C$5)&amp;"","")&amp;""))</f>
        <v/>
      </c>
      <c r="E2982" s="23" t="str">
        <f aca="false">IF(B2982="","",IFERROR(INDEX(Clay_Offices!$A$2:$FZ$601,131,Sync!$C$6)&amp;"",""))</f>
        <v/>
      </c>
      <c r="F2982" s="23" t="str">
        <f aca="false">IF(B2982="","","outreach_sent")</f>
        <v/>
      </c>
      <c r="G2982" s="23" t="str">
        <f aca="false">IF(B2982="","","")</f>
        <v/>
      </c>
      <c r="H2982" s="23" t="str">
        <f aca="false">IF(B2982="","","")</f>
        <v/>
      </c>
      <c r="I2982" s="23" t="str">
        <f aca="false">IF(B2982="","","")</f>
        <v/>
      </c>
      <c r="J2982" s="23" t="str">
        <f aca="false">IF(B2982="","","touch_3; "&amp;IFERROR(INDEX(Clay_Offices!$A$2:$FZ$601,131,Sync!$C$10)&amp;"","")&amp;"; "&amp;IFERROR(INDEX(Clay_Offices!$A$2:$FZ$601,131,Sync!$C$9)&amp;"",""))</f>
        <v/>
      </c>
      <c r="K2982" s="32" t="s">
        <v>1365</v>
      </c>
    </row>
    <row r="2983" customFormat="false" ht="15" hidden="false" customHeight="false" outlineLevel="0" collapsed="false">
      <c r="A2983" s="23" t="str">
        <f aca="false">IF(B2983="","",B2983+(14*1000+132)/10000000)</f>
        <v/>
      </c>
      <c r="B2983" s="35" t="str">
        <f aca="false">IF(AND(IFERROR(N(INDEX(Clay_Offices!$A$2:$FZ$601,132,Sync!$C$13)),0)&gt;0,IFERROR(INDEX(Clay_Offices!$A$2:$FZ$601,132,Sync!$C$5)&amp;"","")&lt;&gt;"",OR(LEFT(IFERROR(INDEX(Clay_Offices!$A$2:$FZ$601,132,Sync!$C$5)&amp;"",""),6)&lt;&gt;"SAMPLE",Config!$B$19="Y")),IFERROR(N(INDEX(Clay_Offices!$A$2:$FZ$601,132,Sync!$C$13)),0),"")</f>
        <v/>
      </c>
      <c r="C2983" s="23" t="str">
        <f aca="false">IF(B2983="","","office")</f>
        <v/>
      </c>
      <c r="D2983" s="23" t="str">
        <f aca="false">IF(B2983="","",IFERROR(INDEX(Office_Log!$ED$2:$ED$201,MATCH(IFERROR(INDEX(Clay_Offices!$A$2:$FZ$601,132,Sync!$C$5)&amp;"",""),Office_Log!$A$2:$A$201,0))&amp;"",IFERROR(INDEX(Clay_Offices!$A$2:$FZ$601,132,Sync!$C$5)&amp;"","")&amp;""))</f>
        <v/>
      </c>
      <c r="E2983" s="23" t="str">
        <f aca="false">IF(B2983="","",IFERROR(INDEX(Clay_Offices!$A$2:$FZ$601,132,Sync!$C$6)&amp;"",""))</f>
        <v/>
      </c>
      <c r="F2983" s="23" t="str">
        <f aca="false">IF(B2983="","","outreach_sent")</f>
        <v/>
      </c>
      <c r="G2983" s="23" t="str">
        <f aca="false">IF(B2983="","","")</f>
        <v/>
      </c>
      <c r="H2983" s="23" t="str">
        <f aca="false">IF(B2983="","","")</f>
        <v/>
      </c>
      <c r="I2983" s="23" t="str">
        <f aca="false">IF(B2983="","","")</f>
        <v/>
      </c>
      <c r="J2983" s="23" t="str">
        <f aca="false">IF(B2983="","","touch_3; "&amp;IFERROR(INDEX(Clay_Offices!$A$2:$FZ$601,132,Sync!$C$10)&amp;"","")&amp;"; "&amp;IFERROR(INDEX(Clay_Offices!$A$2:$FZ$601,132,Sync!$C$9)&amp;"",""))</f>
        <v/>
      </c>
      <c r="K2983" s="32" t="s">
        <v>1365</v>
      </c>
    </row>
    <row r="2984" customFormat="false" ht="15" hidden="false" customHeight="false" outlineLevel="0" collapsed="false">
      <c r="A2984" s="23" t="str">
        <f aca="false">IF(B2984="","",B2984+(14*1000+133)/10000000)</f>
        <v/>
      </c>
      <c r="B2984" s="35" t="str">
        <f aca="false">IF(AND(IFERROR(N(INDEX(Clay_Offices!$A$2:$FZ$601,133,Sync!$C$13)),0)&gt;0,IFERROR(INDEX(Clay_Offices!$A$2:$FZ$601,133,Sync!$C$5)&amp;"","")&lt;&gt;"",OR(LEFT(IFERROR(INDEX(Clay_Offices!$A$2:$FZ$601,133,Sync!$C$5)&amp;"",""),6)&lt;&gt;"SAMPLE",Config!$B$19="Y")),IFERROR(N(INDEX(Clay_Offices!$A$2:$FZ$601,133,Sync!$C$13)),0),"")</f>
        <v/>
      </c>
      <c r="C2984" s="23" t="str">
        <f aca="false">IF(B2984="","","office")</f>
        <v/>
      </c>
      <c r="D2984" s="23" t="str">
        <f aca="false">IF(B2984="","",IFERROR(INDEX(Office_Log!$ED$2:$ED$201,MATCH(IFERROR(INDEX(Clay_Offices!$A$2:$FZ$601,133,Sync!$C$5)&amp;"",""),Office_Log!$A$2:$A$201,0))&amp;"",IFERROR(INDEX(Clay_Offices!$A$2:$FZ$601,133,Sync!$C$5)&amp;"","")&amp;""))</f>
        <v/>
      </c>
      <c r="E2984" s="23" t="str">
        <f aca="false">IF(B2984="","",IFERROR(INDEX(Clay_Offices!$A$2:$FZ$601,133,Sync!$C$6)&amp;"",""))</f>
        <v/>
      </c>
      <c r="F2984" s="23" t="str">
        <f aca="false">IF(B2984="","","outreach_sent")</f>
        <v/>
      </c>
      <c r="G2984" s="23" t="str">
        <f aca="false">IF(B2984="","","")</f>
        <v/>
      </c>
      <c r="H2984" s="23" t="str">
        <f aca="false">IF(B2984="","","")</f>
        <v/>
      </c>
      <c r="I2984" s="23" t="str">
        <f aca="false">IF(B2984="","","")</f>
        <v/>
      </c>
      <c r="J2984" s="23" t="str">
        <f aca="false">IF(B2984="","","touch_3; "&amp;IFERROR(INDEX(Clay_Offices!$A$2:$FZ$601,133,Sync!$C$10)&amp;"","")&amp;"; "&amp;IFERROR(INDEX(Clay_Offices!$A$2:$FZ$601,133,Sync!$C$9)&amp;"",""))</f>
        <v/>
      </c>
      <c r="K2984" s="32" t="s">
        <v>1365</v>
      </c>
    </row>
    <row r="2985" customFormat="false" ht="15" hidden="false" customHeight="false" outlineLevel="0" collapsed="false">
      <c r="A2985" s="23" t="str">
        <f aca="false">IF(B2985="","",B2985+(14*1000+134)/10000000)</f>
        <v/>
      </c>
      <c r="B2985" s="35" t="str">
        <f aca="false">IF(AND(IFERROR(N(INDEX(Clay_Offices!$A$2:$FZ$601,134,Sync!$C$13)),0)&gt;0,IFERROR(INDEX(Clay_Offices!$A$2:$FZ$601,134,Sync!$C$5)&amp;"","")&lt;&gt;"",OR(LEFT(IFERROR(INDEX(Clay_Offices!$A$2:$FZ$601,134,Sync!$C$5)&amp;"",""),6)&lt;&gt;"SAMPLE",Config!$B$19="Y")),IFERROR(N(INDEX(Clay_Offices!$A$2:$FZ$601,134,Sync!$C$13)),0),"")</f>
        <v/>
      </c>
      <c r="C2985" s="23" t="str">
        <f aca="false">IF(B2985="","","office")</f>
        <v/>
      </c>
      <c r="D2985" s="23" t="str">
        <f aca="false">IF(B2985="","",IFERROR(INDEX(Office_Log!$ED$2:$ED$201,MATCH(IFERROR(INDEX(Clay_Offices!$A$2:$FZ$601,134,Sync!$C$5)&amp;"",""),Office_Log!$A$2:$A$201,0))&amp;"",IFERROR(INDEX(Clay_Offices!$A$2:$FZ$601,134,Sync!$C$5)&amp;"","")&amp;""))</f>
        <v/>
      </c>
      <c r="E2985" s="23" t="str">
        <f aca="false">IF(B2985="","",IFERROR(INDEX(Clay_Offices!$A$2:$FZ$601,134,Sync!$C$6)&amp;"",""))</f>
        <v/>
      </c>
      <c r="F2985" s="23" t="str">
        <f aca="false">IF(B2985="","","outreach_sent")</f>
        <v/>
      </c>
      <c r="G2985" s="23" t="str">
        <f aca="false">IF(B2985="","","")</f>
        <v/>
      </c>
      <c r="H2985" s="23" t="str">
        <f aca="false">IF(B2985="","","")</f>
        <v/>
      </c>
      <c r="I2985" s="23" t="str">
        <f aca="false">IF(B2985="","","")</f>
        <v/>
      </c>
      <c r="J2985" s="23" t="str">
        <f aca="false">IF(B2985="","","touch_3; "&amp;IFERROR(INDEX(Clay_Offices!$A$2:$FZ$601,134,Sync!$C$10)&amp;"","")&amp;"; "&amp;IFERROR(INDEX(Clay_Offices!$A$2:$FZ$601,134,Sync!$C$9)&amp;"",""))</f>
        <v/>
      </c>
      <c r="K2985" s="32" t="s">
        <v>1365</v>
      </c>
    </row>
    <row r="2986" customFormat="false" ht="15" hidden="false" customHeight="false" outlineLevel="0" collapsed="false">
      <c r="A2986" s="23" t="str">
        <f aca="false">IF(B2986="","",B2986+(14*1000+135)/10000000)</f>
        <v/>
      </c>
      <c r="B2986" s="35" t="str">
        <f aca="false">IF(AND(IFERROR(N(INDEX(Clay_Offices!$A$2:$FZ$601,135,Sync!$C$13)),0)&gt;0,IFERROR(INDEX(Clay_Offices!$A$2:$FZ$601,135,Sync!$C$5)&amp;"","")&lt;&gt;"",OR(LEFT(IFERROR(INDEX(Clay_Offices!$A$2:$FZ$601,135,Sync!$C$5)&amp;"",""),6)&lt;&gt;"SAMPLE",Config!$B$19="Y")),IFERROR(N(INDEX(Clay_Offices!$A$2:$FZ$601,135,Sync!$C$13)),0),"")</f>
        <v/>
      </c>
      <c r="C2986" s="23" t="str">
        <f aca="false">IF(B2986="","","office")</f>
        <v/>
      </c>
      <c r="D2986" s="23" t="str">
        <f aca="false">IF(B2986="","",IFERROR(INDEX(Office_Log!$ED$2:$ED$201,MATCH(IFERROR(INDEX(Clay_Offices!$A$2:$FZ$601,135,Sync!$C$5)&amp;"",""),Office_Log!$A$2:$A$201,0))&amp;"",IFERROR(INDEX(Clay_Offices!$A$2:$FZ$601,135,Sync!$C$5)&amp;"","")&amp;""))</f>
        <v/>
      </c>
      <c r="E2986" s="23" t="str">
        <f aca="false">IF(B2986="","",IFERROR(INDEX(Clay_Offices!$A$2:$FZ$601,135,Sync!$C$6)&amp;"",""))</f>
        <v/>
      </c>
      <c r="F2986" s="23" t="str">
        <f aca="false">IF(B2986="","","outreach_sent")</f>
        <v/>
      </c>
      <c r="G2986" s="23" t="str">
        <f aca="false">IF(B2986="","","")</f>
        <v/>
      </c>
      <c r="H2986" s="23" t="str">
        <f aca="false">IF(B2986="","","")</f>
        <v/>
      </c>
      <c r="I2986" s="23" t="str">
        <f aca="false">IF(B2986="","","")</f>
        <v/>
      </c>
      <c r="J2986" s="23" t="str">
        <f aca="false">IF(B2986="","","touch_3; "&amp;IFERROR(INDEX(Clay_Offices!$A$2:$FZ$601,135,Sync!$C$10)&amp;"","")&amp;"; "&amp;IFERROR(INDEX(Clay_Offices!$A$2:$FZ$601,135,Sync!$C$9)&amp;"",""))</f>
        <v/>
      </c>
      <c r="K2986" s="32" t="s">
        <v>1365</v>
      </c>
    </row>
    <row r="2987" customFormat="false" ht="15" hidden="false" customHeight="false" outlineLevel="0" collapsed="false">
      <c r="A2987" s="23" t="str">
        <f aca="false">IF(B2987="","",B2987+(14*1000+136)/10000000)</f>
        <v/>
      </c>
      <c r="B2987" s="35" t="str">
        <f aca="false">IF(AND(IFERROR(N(INDEX(Clay_Offices!$A$2:$FZ$601,136,Sync!$C$13)),0)&gt;0,IFERROR(INDEX(Clay_Offices!$A$2:$FZ$601,136,Sync!$C$5)&amp;"","")&lt;&gt;"",OR(LEFT(IFERROR(INDEX(Clay_Offices!$A$2:$FZ$601,136,Sync!$C$5)&amp;"",""),6)&lt;&gt;"SAMPLE",Config!$B$19="Y")),IFERROR(N(INDEX(Clay_Offices!$A$2:$FZ$601,136,Sync!$C$13)),0),"")</f>
        <v/>
      </c>
      <c r="C2987" s="23" t="str">
        <f aca="false">IF(B2987="","","office")</f>
        <v/>
      </c>
      <c r="D2987" s="23" t="str">
        <f aca="false">IF(B2987="","",IFERROR(INDEX(Office_Log!$ED$2:$ED$201,MATCH(IFERROR(INDEX(Clay_Offices!$A$2:$FZ$601,136,Sync!$C$5)&amp;"",""),Office_Log!$A$2:$A$201,0))&amp;"",IFERROR(INDEX(Clay_Offices!$A$2:$FZ$601,136,Sync!$C$5)&amp;"","")&amp;""))</f>
        <v/>
      </c>
      <c r="E2987" s="23" t="str">
        <f aca="false">IF(B2987="","",IFERROR(INDEX(Clay_Offices!$A$2:$FZ$601,136,Sync!$C$6)&amp;"",""))</f>
        <v/>
      </c>
      <c r="F2987" s="23" t="str">
        <f aca="false">IF(B2987="","","outreach_sent")</f>
        <v/>
      </c>
      <c r="G2987" s="23" t="str">
        <f aca="false">IF(B2987="","","")</f>
        <v/>
      </c>
      <c r="H2987" s="23" t="str">
        <f aca="false">IF(B2987="","","")</f>
        <v/>
      </c>
      <c r="I2987" s="23" t="str">
        <f aca="false">IF(B2987="","","")</f>
        <v/>
      </c>
      <c r="J2987" s="23" t="str">
        <f aca="false">IF(B2987="","","touch_3; "&amp;IFERROR(INDEX(Clay_Offices!$A$2:$FZ$601,136,Sync!$C$10)&amp;"","")&amp;"; "&amp;IFERROR(INDEX(Clay_Offices!$A$2:$FZ$601,136,Sync!$C$9)&amp;"",""))</f>
        <v/>
      </c>
      <c r="K2987" s="32" t="s">
        <v>1365</v>
      </c>
    </row>
    <row r="2988" customFormat="false" ht="15" hidden="false" customHeight="false" outlineLevel="0" collapsed="false">
      <c r="A2988" s="23" t="str">
        <f aca="false">IF(B2988="","",B2988+(14*1000+137)/10000000)</f>
        <v/>
      </c>
      <c r="B2988" s="35" t="str">
        <f aca="false">IF(AND(IFERROR(N(INDEX(Clay_Offices!$A$2:$FZ$601,137,Sync!$C$13)),0)&gt;0,IFERROR(INDEX(Clay_Offices!$A$2:$FZ$601,137,Sync!$C$5)&amp;"","")&lt;&gt;"",OR(LEFT(IFERROR(INDEX(Clay_Offices!$A$2:$FZ$601,137,Sync!$C$5)&amp;"",""),6)&lt;&gt;"SAMPLE",Config!$B$19="Y")),IFERROR(N(INDEX(Clay_Offices!$A$2:$FZ$601,137,Sync!$C$13)),0),"")</f>
        <v/>
      </c>
      <c r="C2988" s="23" t="str">
        <f aca="false">IF(B2988="","","office")</f>
        <v/>
      </c>
      <c r="D2988" s="23" t="str">
        <f aca="false">IF(B2988="","",IFERROR(INDEX(Office_Log!$ED$2:$ED$201,MATCH(IFERROR(INDEX(Clay_Offices!$A$2:$FZ$601,137,Sync!$C$5)&amp;"",""),Office_Log!$A$2:$A$201,0))&amp;"",IFERROR(INDEX(Clay_Offices!$A$2:$FZ$601,137,Sync!$C$5)&amp;"","")&amp;""))</f>
        <v/>
      </c>
      <c r="E2988" s="23" t="str">
        <f aca="false">IF(B2988="","",IFERROR(INDEX(Clay_Offices!$A$2:$FZ$601,137,Sync!$C$6)&amp;"",""))</f>
        <v/>
      </c>
      <c r="F2988" s="23" t="str">
        <f aca="false">IF(B2988="","","outreach_sent")</f>
        <v/>
      </c>
      <c r="G2988" s="23" t="str">
        <f aca="false">IF(B2988="","","")</f>
        <v/>
      </c>
      <c r="H2988" s="23" t="str">
        <f aca="false">IF(B2988="","","")</f>
        <v/>
      </c>
      <c r="I2988" s="23" t="str">
        <f aca="false">IF(B2988="","","")</f>
        <v/>
      </c>
      <c r="J2988" s="23" t="str">
        <f aca="false">IF(B2988="","","touch_3; "&amp;IFERROR(INDEX(Clay_Offices!$A$2:$FZ$601,137,Sync!$C$10)&amp;"","")&amp;"; "&amp;IFERROR(INDEX(Clay_Offices!$A$2:$FZ$601,137,Sync!$C$9)&amp;"",""))</f>
        <v/>
      </c>
      <c r="K2988" s="32" t="s">
        <v>1365</v>
      </c>
    </row>
    <row r="2989" customFormat="false" ht="15" hidden="false" customHeight="false" outlineLevel="0" collapsed="false">
      <c r="A2989" s="23" t="str">
        <f aca="false">IF(B2989="","",B2989+(14*1000+138)/10000000)</f>
        <v/>
      </c>
      <c r="B2989" s="35" t="str">
        <f aca="false">IF(AND(IFERROR(N(INDEX(Clay_Offices!$A$2:$FZ$601,138,Sync!$C$13)),0)&gt;0,IFERROR(INDEX(Clay_Offices!$A$2:$FZ$601,138,Sync!$C$5)&amp;"","")&lt;&gt;"",OR(LEFT(IFERROR(INDEX(Clay_Offices!$A$2:$FZ$601,138,Sync!$C$5)&amp;"",""),6)&lt;&gt;"SAMPLE",Config!$B$19="Y")),IFERROR(N(INDEX(Clay_Offices!$A$2:$FZ$601,138,Sync!$C$13)),0),"")</f>
        <v/>
      </c>
      <c r="C2989" s="23" t="str">
        <f aca="false">IF(B2989="","","office")</f>
        <v/>
      </c>
      <c r="D2989" s="23" t="str">
        <f aca="false">IF(B2989="","",IFERROR(INDEX(Office_Log!$ED$2:$ED$201,MATCH(IFERROR(INDEX(Clay_Offices!$A$2:$FZ$601,138,Sync!$C$5)&amp;"",""),Office_Log!$A$2:$A$201,0))&amp;"",IFERROR(INDEX(Clay_Offices!$A$2:$FZ$601,138,Sync!$C$5)&amp;"","")&amp;""))</f>
        <v/>
      </c>
      <c r="E2989" s="23" t="str">
        <f aca="false">IF(B2989="","",IFERROR(INDEX(Clay_Offices!$A$2:$FZ$601,138,Sync!$C$6)&amp;"",""))</f>
        <v/>
      </c>
      <c r="F2989" s="23" t="str">
        <f aca="false">IF(B2989="","","outreach_sent")</f>
        <v/>
      </c>
      <c r="G2989" s="23" t="str">
        <f aca="false">IF(B2989="","","")</f>
        <v/>
      </c>
      <c r="H2989" s="23" t="str">
        <f aca="false">IF(B2989="","","")</f>
        <v/>
      </c>
      <c r="I2989" s="23" t="str">
        <f aca="false">IF(B2989="","","")</f>
        <v/>
      </c>
      <c r="J2989" s="23" t="str">
        <f aca="false">IF(B2989="","","touch_3; "&amp;IFERROR(INDEX(Clay_Offices!$A$2:$FZ$601,138,Sync!$C$10)&amp;"","")&amp;"; "&amp;IFERROR(INDEX(Clay_Offices!$A$2:$FZ$601,138,Sync!$C$9)&amp;"",""))</f>
        <v/>
      </c>
      <c r="K2989" s="32" t="s">
        <v>1365</v>
      </c>
    </row>
    <row r="2990" customFormat="false" ht="15" hidden="false" customHeight="false" outlineLevel="0" collapsed="false">
      <c r="A2990" s="23" t="str">
        <f aca="false">IF(B2990="","",B2990+(14*1000+139)/10000000)</f>
        <v/>
      </c>
      <c r="B2990" s="35" t="str">
        <f aca="false">IF(AND(IFERROR(N(INDEX(Clay_Offices!$A$2:$FZ$601,139,Sync!$C$13)),0)&gt;0,IFERROR(INDEX(Clay_Offices!$A$2:$FZ$601,139,Sync!$C$5)&amp;"","")&lt;&gt;"",OR(LEFT(IFERROR(INDEX(Clay_Offices!$A$2:$FZ$601,139,Sync!$C$5)&amp;"",""),6)&lt;&gt;"SAMPLE",Config!$B$19="Y")),IFERROR(N(INDEX(Clay_Offices!$A$2:$FZ$601,139,Sync!$C$13)),0),"")</f>
        <v/>
      </c>
      <c r="C2990" s="23" t="str">
        <f aca="false">IF(B2990="","","office")</f>
        <v/>
      </c>
      <c r="D2990" s="23" t="str">
        <f aca="false">IF(B2990="","",IFERROR(INDEX(Office_Log!$ED$2:$ED$201,MATCH(IFERROR(INDEX(Clay_Offices!$A$2:$FZ$601,139,Sync!$C$5)&amp;"",""),Office_Log!$A$2:$A$201,0))&amp;"",IFERROR(INDEX(Clay_Offices!$A$2:$FZ$601,139,Sync!$C$5)&amp;"","")&amp;""))</f>
        <v/>
      </c>
      <c r="E2990" s="23" t="str">
        <f aca="false">IF(B2990="","",IFERROR(INDEX(Clay_Offices!$A$2:$FZ$601,139,Sync!$C$6)&amp;"",""))</f>
        <v/>
      </c>
      <c r="F2990" s="23" t="str">
        <f aca="false">IF(B2990="","","outreach_sent")</f>
        <v/>
      </c>
      <c r="G2990" s="23" t="str">
        <f aca="false">IF(B2990="","","")</f>
        <v/>
      </c>
      <c r="H2990" s="23" t="str">
        <f aca="false">IF(B2990="","","")</f>
        <v/>
      </c>
      <c r="I2990" s="23" t="str">
        <f aca="false">IF(B2990="","","")</f>
        <v/>
      </c>
      <c r="J2990" s="23" t="str">
        <f aca="false">IF(B2990="","","touch_3; "&amp;IFERROR(INDEX(Clay_Offices!$A$2:$FZ$601,139,Sync!$C$10)&amp;"","")&amp;"; "&amp;IFERROR(INDEX(Clay_Offices!$A$2:$FZ$601,139,Sync!$C$9)&amp;"",""))</f>
        <v/>
      </c>
      <c r="K2990" s="32" t="s">
        <v>1365</v>
      </c>
    </row>
    <row r="2991" customFormat="false" ht="15" hidden="false" customHeight="false" outlineLevel="0" collapsed="false">
      <c r="A2991" s="23" t="str">
        <f aca="false">IF(B2991="","",B2991+(14*1000+140)/10000000)</f>
        <v/>
      </c>
      <c r="B2991" s="35" t="str">
        <f aca="false">IF(AND(IFERROR(N(INDEX(Clay_Offices!$A$2:$FZ$601,140,Sync!$C$13)),0)&gt;0,IFERROR(INDEX(Clay_Offices!$A$2:$FZ$601,140,Sync!$C$5)&amp;"","")&lt;&gt;"",OR(LEFT(IFERROR(INDEX(Clay_Offices!$A$2:$FZ$601,140,Sync!$C$5)&amp;"",""),6)&lt;&gt;"SAMPLE",Config!$B$19="Y")),IFERROR(N(INDEX(Clay_Offices!$A$2:$FZ$601,140,Sync!$C$13)),0),"")</f>
        <v/>
      </c>
      <c r="C2991" s="23" t="str">
        <f aca="false">IF(B2991="","","office")</f>
        <v/>
      </c>
      <c r="D2991" s="23" t="str">
        <f aca="false">IF(B2991="","",IFERROR(INDEX(Office_Log!$ED$2:$ED$201,MATCH(IFERROR(INDEX(Clay_Offices!$A$2:$FZ$601,140,Sync!$C$5)&amp;"",""),Office_Log!$A$2:$A$201,0))&amp;"",IFERROR(INDEX(Clay_Offices!$A$2:$FZ$601,140,Sync!$C$5)&amp;"","")&amp;""))</f>
        <v/>
      </c>
      <c r="E2991" s="23" t="str">
        <f aca="false">IF(B2991="","",IFERROR(INDEX(Clay_Offices!$A$2:$FZ$601,140,Sync!$C$6)&amp;"",""))</f>
        <v/>
      </c>
      <c r="F2991" s="23" t="str">
        <f aca="false">IF(B2991="","","outreach_sent")</f>
        <v/>
      </c>
      <c r="G2991" s="23" t="str">
        <f aca="false">IF(B2991="","","")</f>
        <v/>
      </c>
      <c r="H2991" s="23" t="str">
        <f aca="false">IF(B2991="","","")</f>
        <v/>
      </c>
      <c r="I2991" s="23" t="str">
        <f aca="false">IF(B2991="","","")</f>
        <v/>
      </c>
      <c r="J2991" s="23" t="str">
        <f aca="false">IF(B2991="","","touch_3; "&amp;IFERROR(INDEX(Clay_Offices!$A$2:$FZ$601,140,Sync!$C$10)&amp;"","")&amp;"; "&amp;IFERROR(INDEX(Clay_Offices!$A$2:$FZ$601,140,Sync!$C$9)&amp;"",""))</f>
        <v/>
      </c>
      <c r="K2991" s="32" t="s">
        <v>1365</v>
      </c>
    </row>
    <row r="2992" customFormat="false" ht="15" hidden="false" customHeight="false" outlineLevel="0" collapsed="false">
      <c r="A2992" s="23" t="str">
        <f aca="false">IF(B2992="","",B2992+(14*1000+141)/10000000)</f>
        <v/>
      </c>
      <c r="B2992" s="35" t="str">
        <f aca="false">IF(AND(IFERROR(N(INDEX(Clay_Offices!$A$2:$FZ$601,141,Sync!$C$13)),0)&gt;0,IFERROR(INDEX(Clay_Offices!$A$2:$FZ$601,141,Sync!$C$5)&amp;"","")&lt;&gt;"",OR(LEFT(IFERROR(INDEX(Clay_Offices!$A$2:$FZ$601,141,Sync!$C$5)&amp;"",""),6)&lt;&gt;"SAMPLE",Config!$B$19="Y")),IFERROR(N(INDEX(Clay_Offices!$A$2:$FZ$601,141,Sync!$C$13)),0),"")</f>
        <v/>
      </c>
      <c r="C2992" s="23" t="str">
        <f aca="false">IF(B2992="","","office")</f>
        <v/>
      </c>
      <c r="D2992" s="23" t="str">
        <f aca="false">IF(B2992="","",IFERROR(INDEX(Office_Log!$ED$2:$ED$201,MATCH(IFERROR(INDEX(Clay_Offices!$A$2:$FZ$601,141,Sync!$C$5)&amp;"",""),Office_Log!$A$2:$A$201,0))&amp;"",IFERROR(INDEX(Clay_Offices!$A$2:$FZ$601,141,Sync!$C$5)&amp;"","")&amp;""))</f>
        <v/>
      </c>
      <c r="E2992" s="23" t="str">
        <f aca="false">IF(B2992="","",IFERROR(INDEX(Clay_Offices!$A$2:$FZ$601,141,Sync!$C$6)&amp;"",""))</f>
        <v/>
      </c>
      <c r="F2992" s="23" t="str">
        <f aca="false">IF(B2992="","","outreach_sent")</f>
        <v/>
      </c>
      <c r="G2992" s="23" t="str">
        <f aca="false">IF(B2992="","","")</f>
        <v/>
      </c>
      <c r="H2992" s="23" t="str">
        <f aca="false">IF(B2992="","","")</f>
        <v/>
      </c>
      <c r="I2992" s="23" t="str">
        <f aca="false">IF(B2992="","","")</f>
        <v/>
      </c>
      <c r="J2992" s="23" t="str">
        <f aca="false">IF(B2992="","","touch_3; "&amp;IFERROR(INDEX(Clay_Offices!$A$2:$FZ$601,141,Sync!$C$10)&amp;"","")&amp;"; "&amp;IFERROR(INDEX(Clay_Offices!$A$2:$FZ$601,141,Sync!$C$9)&amp;"",""))</f>
        <v/>
      </c>
      <c r="K2992" s="32" t="s">
        <v>1365</v>
      </c>
    </row>
    <row r="2993" customFormat="false" ht="15" hidden="false" customHeight="false" outlineLevel="0" collapsed="false">
      <c r="A2993" s="23" t="str">
        <f aca="false">IF(B2993="","",B2993+(14*1000+142)/10000000)</f>
        <v/>
      </c>
      <c r="B2993" s="35" t="str">
        <f aca="false">IF(AND(IFERROR(N(INDEX(Clay_Offices!$A$2:$FZ$601,142,Sync!$C$13)),0)&gt;0,IFERROR(INDEX(Clay_Offices!$A$2:$FZ$601,142,Sync!$C$5)&amp;"","")&lt;&gt;"",OR(LEFT(IFERROR(INDEX(Clay_Offices!$A$2:$FZ$601,142,Sync!$C$5)&amp;"",""),6)&lt;&gt;"SAMPLE",Config!$B$19="Y")),IFERROR(N(INDEX(Clay_Offices!$A$2:$FZ$601,142,Sync!$C$13)),0),"")</f>
        <v/>
      </c>
      <c r="C2993" s="23" t="str">
        <f aca="false">IF(B2993="","","office")</f>
        <v/>
      </c>
      <c r="D2993" s="23" t="str">
        <f aca="false">IF(B2993="","",IFERROR(INDEX(Office_Log!$ED$2:$ED$201,MATCH(IFERROR(INDEX(Clay_Offices!$A$2:$FZ$601,142,Sync!$C$5)&amp;"",""),Office_Log!$A$2:$A$201,0))&amp;"",IFERROR(INDEX(Clay_Offices!$A$2:$FZ$601,142,Sync!$C$5)&amp;"","")&amp;""))</f>
        <v/>
      </c>
      <c r="E2993" s="23" t="str">
        <f aca="false">IF(B2993="","",IFERROR(INDEX(Clay_Offices!$A$2:$FZ$601,142,Sync!$C$6)&amp;"",""))</f>
        <v/>
      </c>
      <c r="F2993" s="23" t="str">
        <f aca="false">IF(B2993="","","outreach_sent")</f>
        <v/>
      </c>
      <c r="G2993" s="23" t="str">
        <f aca="false">IF(B2993="","","")</f>
        <v/>
      </c>
      <c r="H2993" s="23" t="str">
        <f aca="false">IF(B2993="","","")</f>
        <v/>
      </c>
      <c r="I2993" s="23" t="str">
        <f aca="false">IF(B2993="","","")</f>
        <v/>
      </c>
      <c r="J2993" s="23" t="str">
        <f aca="false">IF(B2993="","","touch_3; "&amp;IFERROR(INDEX(Clay_Offices!$A$2:$FZ$601,142,Sync!$C$10)&amp;"","")&amp;"; "&amp;IFERROR(INDEX(Clay_Offices!$A$2:$FZ$601,142,Sync!$C$9)&amp;"",""))</f>
        <v/>
      </c>
      <c r="K2993" s="32" t="s">
        <v>1365</v>
      </c>
    </row>
    <row r="2994" customFormat="false" ht="15" hidden="false" customHeight="false" outlineLevel="0" collapsed="false">
      <c r="A2994" s="23" t="str">
        <f aca="false">IF(B2994="","",B2994+(14*1000+143)/10000000)</f>
        <v/>
      </c>
      <c r="B2994" s="35" t="str">
        <f aca="false">IF(AND(IFERROR(N(INDEX(Clay_Offices!$A$2:$FZ$601,143,Sync!$C$13)),0)&gt;0,IFERROR(INDEX(Clay_Offices!$A$2:$FZ$601,143,Sync!$C$5)&amp;"","")&lt;&gt;"",OR(LEFT(IFERROR(INDEX(Clay_Offices!$A$2:$FZ$601,143,Sync!$C$5)&amp;"",""),6)&lt;&gt;"SAMPLE",Config!$B$19="Y")),IFERROR(N(INDEX(Clay_Offices!$A$2:$FZ$601,143,Sync!$C$13)),0),"")</f>
        <v/>
      </c>
      <c r="C2994" s="23" t="str">
        <f aca="false">IF(B2994="","","office")</f>
        <v/>
      </c>
      <c r="D2994" s="23" t="str">
        <f aca="false">IF(B2994="","",IFERROR(INDEX(Office_Log!$ED$2:$ED$201,MATCH(IFERROR(INDEX(Clay_Offices!$A$2:$FZ$601,143,Sync!$C$5)&amp;"",""),Office_Log!$A$2:$A$201,0))&amp;"",IFERROR(INDEX(Clay_Offices!$A$2:$FZ$601,143,Sync!$C$5)&amp;"","")&amp;""))</f>
        <v/>
      </c>
      <c r="E2994" s="23" t="str">
        <f aca="false">IF(B2994="","",IFERROR(INDEX(Clay_Offices!$A$2:$FZ$601,143,Sync!$C$6)&amp;"",""))</f>
        <v/>
      </c>
      <c r="F2994" s="23" t="str">
        <f aca="false">IF(B2994="","","outreach_sent")</f>
        <v/>
      </c>
      <c r="G2994" s="23" t="str">
        <f aca="false">IF(B2994="","","")</f>
        <v/>
      </c>
      <c r="H2994" s="23" t="str">
        <f aca="false">IF(B2994="","","")</f>
        <v/>
      </c>
      <c r="I2994" s="23" t="str">
        <f aca="false">IF(B2994="","","")</f>
        <v/>
      </c>
      <c r="J2994" s="23" t="str">
        <f aca="false">IF(B2994="","","touch_3; "&amp;IFERROR(INDEX(Clay_Offices!$A$2:$FZ$601,143,Sync!$C$10)&amp;"","")&amp;"; "&amp;IFERROR(INDEX(Clay_Offices!$A$2:$FZ$601,143,Sync!$C$9)&amp;"",""))</f>
        <v/>
      </c>
      <c r="K2994" s="32" t="s">
        <v>1365</v>
      </c>
    </row>
    <row r="2995" customFormat="false" ht="15" hidden="false" customHeight="false" outlineLevel="0" collapsed="false">
      <c r="A2995" s="23" t="str">
        <f aca="false">IF(B2995="","",B2995+(14*1000+144)/10000000)</f>
        <v/>
      </c>
      <c r="B2995" s="35" t="str">
        <f aca="false">IF(AND(IFERROR(N(INDEX(Clay_Offices!$A$2:$FZ$601,144,Sync!$C$13)),0)&gt;0,IFERROR(INDEX(Clay_Offices!$A$2:$FZ$601,144,Sync!$C$5)&amp;"","")&lt;&gt;"",OR(LEFT(IFERROR(INDEX(Clay_Offices!$A$2:$FZ$601,144,Sync!$C$5)&amp;"",""),6)&lt;&gt;"SAMPLE",Config!$B$19="Y")),IFERROR(N(INDEX(Clay_Offices!$A$2:$FZ$601,144,Sync!$C$13)),0),"")</f>
        <v/>
      </c>
      <c r="C2995" s="23" t="str">
        <f aca="false">IF(B2995="","","office")</f>
        <v/>
      </c>
      <c r="D2995" s="23" t="str">
        <f aca="false">IF(B2995="","",IFERROR(INDEX(Office_Log!$ED$2:$ED$201,MATCH(IFERROR(INDEX(Clay_Offices!$A$2:$FZ$601,144,Sync!$C$5)&amp;"",""),Office_Log!$A$2:$A$201,0))&amp;"",IFERROR(INDEX(Clay_Offices!$A$2:$FZ$601,144,Sync!$C$5)&amp;"","")&amp;""))</f>
        <v/>
      </c>
      <c r="E2995" s="23" t="str">
        <f aca="false">IF(B2995="","",IFERROR(INDEX(Clay_Offices!$A$2:$FZ$601,144,Sync!$C$6)&amp;"",""))</f>
        <v/>
      </c>
      <c r="F2995" s="23" t="str">
        <f aca="false">IF(B2995="","","outreach_sent")</f>
        <v/>
      </c>
      <c r="G2995" s="23" t="str">
        <f aca="false">IF(B2995="","","")</f>
        <v/>
      </c>
      <c r="H2995" s="23" t="str">
        <f aca="false">IF(B2995="","","")</f>
        <v/>
      </c>
      <c r="I2995" s="23" t="str">
        <f aca="false">IF(B2995="","","")</f>
        <v/>
      </c>
      <c r="J2995" s="23" t="str">
        <f aca="false">IF(B2995="","","touch_3; "&amp;IFERROR(INDEX(Clay_Offices!$A$2:$FZ$601,144,Sync!$C$10)&amp;"","")&amp;"; "&amp;IFERROR(INDEX(Clay_Offices!$A$2:$FZ$601,144,Sync!$C$9)&amp;"",""))</f>
        <v/>
      </c>
      <c r="K2995" s="32" t="s">
        <v>1365</v>
      </c>
    </row>
    <row r="2996" customFormat="false" ht="15" hidden="false" customHeight="false" outlineLevel="0" collapsed="false">
      <c r="A2996" s="23" t="str">
        <f aca="false">IF(B2996="","",B2996+(14*1000+145)/10000000)</f>
        <v/>
      </c>
      <c r="B2996" s="35" t="str">
        <f aca="false">IF(AND(IFERROR(N(INDEX(Clay_Offices!$A$2:$FZ$601,145,Sync!$C$13)),0)&gt;0,IFERROR(INDEX(Clay_Offices!$A$2:$FZ$601,145,Sync!$C$5)&amp;"","")&lt;&gt;"",OR(LEFT(IFERROR(INDEX(Clay_Offices!$A$2:$FZ$601,145,Sync!$C$5)&amp;"",""),6)&lt;&gt;"SAMPLE",Config!$B$19="Y")),IFERROR(N(INDEX(Clay_Offices!$A$2:$FZ$601,145,Sync!$C$13)),0),"")</f>
        <v/>
      </c>
      <c r="C2996" s="23" t="str">
        <f aca="false">IF(B2996="","","office")</f>
        <v/>
      </c>
      <c r="D2996" s="23" t="str">
        <f aca="false">IF(B2996="","",IFERROR(INDEX(Office_Log!$ED$2:$ED$201,MATCH(IFERROR(INDEX(Clay_Offices!$A$2:$FZ$601,145,Sync!$C$5)&amp;"",""),Office_Log!$A$2:$A$201,0))&amp;"",IFERROR(INDEX(Clay_Offices!$A$2:$FZ$601,145,Sync!$C$5)&amp;"","")&amp;""))</f>
        <v/>
      </c>
      <c r="E2996" s="23" t="str">
        <f aca="false">IF(B2996="","",IFERROR(INDEX(Clay_Offices!$A$2:$FZ$601,145,Sync!$C$6)&amp;"",""))</f>
        <v/>
      </c>
      <c r="F2996" s="23" t="str">
        <f aca="false">IF(B2996="","","outreach_sent")</f>
        <v/>
      </c>
      <c r="G2996" s="23" t="str">
        <f aca="false">IF(B2996="","","")</f>
        <v/>
      </c>
      <c r="H2996" s="23" t="str">
        <f aca="false">IF(B2996="","","")</f>
        <v/>
      </c>
      <c r="I2996" s="23" t="str">
        <f aca="false">IF(B2996="","","")</f>
        <v/>
      </c>
      <c r="J2996" s="23" t="str">
        <f aca="false">IF(B2996="","","touch_3; "&amp;IFERROR(INDEX(Clay_Offices!$A$2:$FZ$601,145,Sync!$C$10)&amp;"","")&amp;"; "&amp;IFERROR(INDEX(Clay_Offices!$A$2:$FZ$601,145,Sync!$C$9)&amp;"",""))</f>
        <v/>
      </c>
      <c r="K2996" s="32" t="s">
        <v>1365</v>
      </c>
    </row>
    <row r="2997" customFormat="false" ht="15" hidden="false" customHeight="false" outlineLevel="0" collapsed="false">
      <c r="A2997" s="23" t="str">
        <f aca="false">IF(B2997="","",B2997+(14*1000+146)/10000000)</f>
        <v/>
      </c>
      <c r="B2997" s="35" t="str">
        <f aca="false">IF(AND(IFERROR(N(INDEX(Clay_Offices!$A$2:$FZ$601,146,Sync!$C$13)),0)&gt;0,IFERROR(INDEX(Clay_Offices!$A$2:$FZ$601,146,Sync!$C$5)&amp;"","")&lt;&gt;"",OR(LEFT(IFERROR(INDEX(Clay_Offices!$A$2:$FZ$601,146,Sync!$C$5)&amp;"",""),6)&lt;&gt;"SAMPLE",Config!$B$19="Y")),IFERROR(N(INDEX(Clay_Offices!$A$2:$FZ$601,146,Sync!$C$13)),0),"")</f>
        <v/>
      </c>
      <c r="C2997" s="23" t="str">
        <f aca="false">IF(B2997="","","office")</f>
        <v/>
      </c>
      <c r="D2997" s="23" t="str">
        <f aca="false">IF(B2997="","",IFERROR(INDEX(Office_Log!$ED$2:$ED$201,MATCH(IFERROR(INDEX(Clay_Offices!$A$2:$FZ$601,146,Sync!$C$5)&amp;"",""),Office_Log!$A$2:$A$201,0))&amp;"",IFERROR(INDEX(Clay_Offices!$A$2:$FZ$601,146,Sync!$C$5)&amp;"","")&amp;""))</f>
        <v/>
      </c>
      <c r="E2997" s="23" t="str">
        <f aca="false">IF(B2997="","",IFERROR(INDEX(Clay_Offices!$A$2:$FZ$601,146,Sync!$C$6)&amp;"",""))</f>
        <v/>
      </c>
      <c r="F2997" s="23" t="str">
        <f aca="false">IF(B2997="","","outreach_sent")</f>
        <v/>
      </c>
      <c r="G2997" s="23" t="str">
        <f aca="false">IF(B2997="","","")</f>
        <v/>
      </c>
      <c r="H2997" s="23" t="str">
        <f aca="false">IF(B2997="","","")</f>
        <v/>
      </c>
      <c r="I2997" s="23" t="str">
        <f aca="false">IF(B2997="","","")</f>
        <v/>
      </c>
      <c r="J2997" s="23" t="str">
        <f aca="false">IF(B2997="","","touch_3; "&amp;IFERROR(INDEX(Clay_Offices!$A$2:$FZ$601,146,Sync!$C$10)&amp;"","")&amp;"; "&amp;IFERROR(INDEX(Clay_Offices!$A$2:$FZ$601,146,Sync!$C$9)&amp;"",""))</f>
        <v/>
      </c>
      <c r="K2997" s="32" t="s">
        <v>1365</v>
      </c>
    </row>
    <row r="2998" customFormat="false" ht="15" hidden="false" customHeight="false" outlineLevel="0" collapsed="false">
      <c r="A2998" s="23" t="str">
        <f aca="false">IF(B2998="","",B2998+(14*1000+147)/10000000)</f>
        <v/>
      </c>
      <c r="B2998" s="35" t="str">
        <f aca="false">IF(AND(IFERROR(N(INDEX(Clay_Offices!$A$2:$FZ$601,147,Sync!$C$13)),0)&gt;0,IFERROR(INDEX(Clay_Offices!$A$2:$FZ$601,147,Sync!$C$5)&amp;"","")&lt;&gt;"",OR(LEFT(IFERROR(INDEX(Clay_Offices!$A$2:$FZ$601,147,Sync!$C$5)&amp;"",""),6)&lt;&gt;"SAMPLE",Config!$B$19="Y")),IFERROR(N(INDEX(Clay_Offices!$A$2:$FZ$601,147,Sync!$C$13)),0),"")</f>
        <v/>
      </c>
      <c r="C2998" s="23" t="str">
        <f aca="false">IF(B2998="","","office")</f>
        <v/>
      </c>
      <c r="D2998" s="23" t="str">
        <f aca="false">IF(B2998="","",IFERROR(INDEX(Office_Log!$ED$2:$ED$201,MATCH(IFERROR(INDEX(Clay_Offices!$A$2:$FZ$601,147,Sync!$C$5)&amp;"",""),Office_Log!$A$2:$A$201,0))&amp;"",IFERROR(INDEX(Clay_Offices!$A$2:$FZ$601,147,Sync!$C$5)&amp;"","")&amp;""))</f>
        <v/>
      </c>
      <c r="E2998" s="23" t="str">
        <f aca="false">IF(B2998="","",IFERROR(INDEX(Clay_Offices!$A$2:$FZ$601,147,Sync!$C$6)&amp;"",""))</f>
        <v/>
      </c>
      <c r="F2998" s="23" t="str">
        <f aca="false">IF(B2998="","","outreach_sent")</f>
        <v/>
      </c>
      <c r="G2998" s="23" t="str">
        <f aca="false">IF(B2998="","","")</f>
        <v/>
      </c>
      <c r="H2998" s="23" t="str">
        <f aca="false">IF(B2998="","","")</f>
        <v/>
      </c>
      <c r="I2998" s="23" t="str">
        <f aca="false">IF(B2998="","","")</f>
        <v/>
      </c>
      <c r="J2998" s="23" t="str">
        <f aca="false">IF(B2998="","","touch_3; "&amp;IFERROR(INDEX(Clay_Offices!$A$2:$FZ$601,147,Sync!$C$10)&amp;"","")&amp;"; "&amp;IFERROR(INDEX(Clay_Offices!$A$2:$FZ$601,147,Sync!$C$9)&amp;"",""))</f>
        <v/>
      </c>
      <c r="K2998" s="32" t="s">
        <v>1365</v>
      </c>
    </row>
    <row r="2999" customFormat="false" ht="15" hidden="false" customHeight="false" outlineLevel="0" collapsed="false">
      <c r="A2999" s="23" t="str">
        <f aca="false">IF(B2999="","",B2999+(14*1000+148)/10000000)</f>
        <v/>
      </c>
      <c r="B2999" s="35" t="str">
        <f aca="false">IF(AND(IFERROR(N(INDEX(Clay_Offices!$A$2:$FZ$601,148,Sync!$C$13)),0)&gt;0,IFERROR(INDEX(Clay_Offices!$A$2:$FZ$601,148,Sync!$C$5)&amp;"","")&lt;&gt;"",OR(LEFT(IFERROR(INDEX(Clay_Offices!$A$2:$FZ$601,148,Sync!$C$5)&amp;"",""),6)&lt;&gt;"SAMPLE",Config!$B$19="Y")),IFERROR(N(INDEX(Clay_Offices!$A$2:$FZ$601,148,Sync!$C$13)),0),"")</f>
        <v/>
      </c>
      <c r="C2999" s="23" t="str">
        <f aca="false">IF(B2999="","","office")</f>
        <v/>
      </c>
      <c r="D2999" s="23" t="str">
        <f aca="false">IF(B2999="","",IFERROR(INDEX(Office_Log!$ED$2:$ED$201,MATCH(IFERROR(INDEX(Clay_Offices!$A$2:$FZ$601,148,Sync!$C$5)&amp;"",""),Office_Log!$A$2:$A$201,0))&amp;"",IFERROR(INDEX(Clay_Offices!$A$2:$FZ$601,148,Sync!$C$5)&amp;"","")&amp;""))</f>
        <v/>
      </c>
      <c r="E2999" s="23" t="str">
        <f aca="false">IF(B2999="","",IFERROR(INDEX(Clay_Offices!$A$2:$FZ$601,148,Sync!$C$6)&amp;"",""))</f>
        <v/>
      </c>
      <c r="F2999" s="23" t="str">
        <f aca="false">IF(B2999="","","outreach_sent")</f>
        <v/>
      </c>
      <c r="G2999" s="23" t="str">
        <f aca="false">IF(B2999="","","")</f>
        <v/>
      </c>
      <c r="H2999" s="23" t="str">
        <f aca="false">IF(B2999="","","")</f>
        <v/>
      </c>
      <c r="I2999" s="23" t="str">
        <f aca="false">IF(B2999="","","")</f>
        <v/>
      </c>
      <c r="J2999" s="23" t="str">
        <f aca="false">IF(B2999="","","touch_3; "&amp;IFERROR(INDEX(Clay_Offices!$A$2:$FZ$601,148,Sync!$C$10)&amp;"","")&amp;"; "&amp;IFERROR(INDEX(Clay_Offices!$A$2:$FZ$601,148,Sync!$C$9)&amp;"",""))</f>
        <v/>
      </c>
      <c r="K2999" s="32" t="s">
        <v>1365</v>
      </c>
    </row>
    <row r="3000" customFormat="false" ht="15" hidden="false" customHeight="false" outlineLevel="0" collapsed="false">
      <c r="A3000" s="23" t="str">
        <f aca="false">IF(B3000="","",B3000+(14*1000+149)/10000000)</f>
        <v/>
      </c>
      <c r="B3000" s="35" t="str">
        <f aca="false">IF(AND(IFERROR(N(INDEX(Clay_Offices!$A$2:$FZ$601,149,Sync!$C$13)),0)&gt;0,IFERROR(INDEX(Clay_Offices!$A$2:$FZ$601,149,Sync!$C$5)&amp;"","")&lt;&gt;"",OR(LEFT(IFERROR(INDEX(Clay_Offices!$A$2:$FZ$601,149,Sync!$C$5)&amp;"",""),6)&lt;&gt;"SAMPLE",Config!$B$19="Y")),IFERROR(N(INDEX(Clay_Offices!$A$2:$FZ$601,149,Sync!$C$13)),0),"")</f>
        <v/>
      </c>
      <c r="C3000" s="23" t="str">
        <f aca="false">IF(B3000="","","office")</f>
        <v/>
      </c>
      <c r="D3000" s="23" t="str">
        <f aca="false">IF(B3000="","",IFERROR(INDEX(Office_Log!$ED$2:$ED$201,MATCH(IFERROR(INDEX(Clay_Offices!$A$2:$FZ$601,149,Sync!$C$5)&amp;"",""),Office_Log!$A$2:$A$201,0))&amp;"",IFERROR(INDEX(Clay_Offices!$A$2:$FZ$601,149,Sync!$C$5)&amp;"","")&amp;""))</f>
        <v/>
      </c>
      <c r="E3000" s="23" t="str">
        <f aca="false">IF(B3000="","",IFERROR(INDEX(Clay_Offices!$A$2:$FZ$601,149,Sync!$C$6)&amp;"",""))</f>
        <v/>
      </c>
      <c r="F3000" s="23" t="str">
        <f aca="false">IF(B3000="","","outreach_sent")</f>
        <v/>
      </c>
      <c r="G3000" s="23" t="str">
        <f aca="false">IF(B3000="","","")</f>
        <v/>
      </c>
      <c r="H3000" s="23" t="str">
        <f aca="false">IF(B3000="","","")</f>
        <v/>
      </c>
      <c r="I3000" s="23" t="str">
        <f aca="false">IF(B3000="","","")</f>
        <v/>
      </c>
      <c r="J3000" s="23" t="str">
        <f aca="false">IF(B3000="","","touch_3; "&amp;IFERROR(INDEX(Clay_Offices!$A$2:$FZ$601,149,Sync!$C$10)&amp;"","")&amp;"; "&amp;IFERROR(INDEX(Clay_Offices!$A$2:$FZ$601,149,Sync!$C$9)&amp;"",""))</f>
        <v/>
      </c>
      <c r="K3000" s="32" t="s">
        <v>1365</v>
      </c>
    </row>
    <row r="3001" customFormat="false" ht="15" hidden="false" customHeight="false" outlineLevel="0" collapsed="false">
      <c r="A3001" s="23" t="str">
        <f aca="false">IF(B3001="","",B3001+(14*1000+150)/10000000)</f>
        <v/>
      </c>
      <c r="B3001" s="35" t="str">
        <f aca="false">IF(AND(IFERROR(N(INDEX(Clay_Offices!$A$2:$FZ$601,150,Sync!$C$13)),0)&gt;0,IFERROR(INDEX(Clay_Offices!$A$2:$FZ$601,150,Sync!$C$5)&amp;"","")&lt;&gt;"",OR(LEFT(IFERROR(INDEX(Clay_Offices!$A$2:$FZ$601,150,Sync!$C$5)&amp;"",""),6)&lt;&gt;"SAMPLE",Config!$B$19="Y")),IFERROR(N(INDEX(Clay_Offices!$A$2:$FZ$601,150,Sync!$C$13)),0),"")</f>
        <v/>
      </c>
      <c r="C3001" s="23" t="str">
        <f aca="false">IF(B3001="","","office")</f>
        <v/>
      </c>
      <c r="D3001" s="23" t="str">
        <f aca="false">IF(B3001="","",IFERROR(INDEX(Office_Log!$ED$2:$ED$201,MATCH(IFERROR(INDEX(Clay_Offices!$A$2:$FZ$601,150,Sync!$C$5)&amp;"",""),Office_Log!$A$2:$A$201,0))&amp;"",IFERROR(INDEX(Clay_Offices!$A$2:$FZ$601,150,Sync!$C$5)&amp;"","")&amp;""))</f>
        <v/>
      </c>
      <c r="E3001" s="23" t="str">
        <f aca="false">IF(B3001="","",IFERROR(INDEX(Clay_Offices!$A$2:$FZ$601,150,Sync!$C$6)&amp;"",""))</f>
        <v/>
      </c>
      <c r="F3001" s="23" t="str">
        <f aca="false">IF(B3001="","","outreach_sent")</f>
        <v/>
      </c>
      <c r="G3001" s="23" t="str">
        <f aca="false">IF(B3001="","","")</f>
        <v/>
      </c>
      <c r="H3001" s="23" t="str">
        <f aca="false">IF(B3001="","","")</f>
        <v/>
      </c>
      <c r="I3001" s="23" t="str">
        <f aca="false">IF(B3001="","","")</f>
        <v/>
      </c>
      <c r="J3001" s="23" t="str">
        <f aca="false">IF(B3001="","","touch_3; "&amp;IFERROR(INDEX(Clay_Offices!$A$2:$FZ$601,150,Sync!$C$10)&amp;"","")&amp;"; "&amp;IFERROR(INDEX(Clay_Offices!$A$2:$FZ$601,150,Sync!$C$9)&amp;"",""))</f>
        <v/>
      </c>
      <c r="K3001" s="32" t="s">
        <v>1365</v>
      </c>
    </row>
    <row r="3002" customFormat="false" ht="15" hidden="false" customHeight="false" outlineLevel="0" collapsed="false">
      <c r="A3002" s="23" t="str">
        <f aca="false">IF(B3002="","",B3002+(14*1000+151)/10000000)</f>
        <v/>
      </c>
      <c r="B3002" s="35" t="str">
        <f aca="false">IF(AND(IFERROR(N(INDEX(Clay_Offices!$A$2:$FZ$601,151,Sync!$C$13)),0)&gt;0,IFERROR(INDEX(Clay_Offices!$A$2:$FZ$601,151,Sync!$C$5)&amp;"","")&lt;&gt;"",OR(LEFT(IFERROR(INDEX(Clay_Offices!$A$2:$FZ$601,151,Sync!$C$5)&amp;"",""),6)&lt;&gt;"SAMPLE",Config!$B$19="Y")),IFERROR(N(INDEX(Clay_Offices!$A$2:$FZ$601,151,Sync!$C$13)),0),"")</f>
        <v/>
      </c>
      <c r="C3002" s="23" t="str">
        <f aca="false">IF(B3002="","","office")</f>
        <v/>
      </c>
      <c r="D3002" s="23" t="str">
        <f aca="false">IF(B3002="","",IFERROR(INDEX(Office_Log!$ED$2:$ED$201,MATCH(IFERROR(INDEX(Clay_Offices!$A$2:$FZ$601,151,Sync!$C$5)&amp;"",""),Office_Log!$A$2:$A$201,0))&amp;"",IFERROR(INDEX(Clay_Offices!$A$2:$FZ$601,151,Sync!$C$5)&amp;"","")&amp;""))</f>
        <v/>
      </c>
      <c r="E3002" s="23" t="str">
        <f aca="false">IF(B3002="","",IFERROR(INDEX(Clay_Offices!$A$2:$FZ$601,151,Sync!$C$6)&amp;"",""))</f>
        <v/>
      </c>
      <c r="F3002" s="23" t="str">
        <f aca="false">IF(B3002="","","outreach_sent")</f>
        <v/>
      </c>
      <c r="G3002" s="23" t="str">
        <f aca="false">IF(B3002="","","")</f>
        <v/>
      </c>
      <c r="H3002" s="23" t="str">
        <f aca="false">IF(B3002="","","")</f>
        <v/>
      </c>
      <c r="I3002" s="23" t="str">
        <f aca="false">IF(B3002="","","")</f>
        <v/>
      </c>
      <c r="J3002" s="23" t="str">
        <f aca="false">IF(B3002="","","touch_3; "&amp;IFERROR(INDEX(Clay_Offices!$A$2:$FZ$601,151,Sync!$C$10)&amp;"","")&amp;"; "&amp;IFERROR(INDEX(Clay_Offices!$A$2:$FZ$601,151,Sync!$C$9)&amp;"",""))</f>
        <v/>
      </c>
      <c r="K3002" s="32" t="s">
        <v>1365</v>
      </c>
    </row>
    <row r="3003" customFormat="false" ht="15" hidden="false" customHeight="false" outlineLevel="0" collapsed="false">
      <c r="A3003" s="23" t="str">
        <f aca="false">IF(B3003="","",B3003+(14*1000+152)/10000000)</f>
        <v/>
      </c>
      <c r="B3003" s="35" t="str">
        <f aca="false">IF(AND(IFERROR(N(INDEX(Clay_Offices!$A$2:$FZ$601,152,Sync!$C$13)),0)&gt;0,IFERROR(INDEX(Clay_Offices!$A$2:$FZ$601,152,Sync!$C$5)&amp;"","")&lt;&gt;"",OR(LEFT(IFERROR(INDEX(Clay_Offices!$A$2:$FZ$601,152,Sync!$C$5)&amp;"",""),6)&lt;&gt;"SAMPLE",Config!$B$19="Y")),IFERROR(N(INDEX(Clay_Offices!$A$2:$FZ$601,152,Sync!$C$13)),0),"")</f>
        <v/>
      </c>
      <c r="C3003" s="23" t="str">
        <f aca="false">IF(B3003="","","office")</f>
        <v/>
      </c>
      <c r="D3003" s="23" t="str">
        <f aca="false">IF(B3003="","",IFERROR(INDEX(Office_Log!$ED$2:$ED$201,MATCH(IFERROR(INDEX(Clay_Offices!$A$2:$FZ$601,152,Sync!$C$5)&amp;"",""),Office_Log!$A$2:$A$201,0))&amp;"",IFERROR(INDEX(Clay_Offices!$A$2:$FZ$601,152,Sync!$C$5)&amp;"","")&amp;""))</f>
        <v/>
      </c>
      <c r="E3003" s="23" t="str">
        <f aca="false">IF(B3003="","",IFERROR(INDEX(Clay_Offices!$A$2:$FZ$601,152,Sync!$C$6)&amp;"",""))</f>
        <v/>
      </c>
      <c r="F3003" s="23" t="str">
        <f aca="false">IF(B3003="","","outreach_sent")</f>
        <v/>
      </c>
      <c r="G3003" s="23" t="str">
        <f aca="false">IF(B3003="","","")</f>
        <v/>
      </c>
      <c r="H3003" s="23" t="str">
        <f aca="false">IF(B3003="","","")</f>
        <v/>
      </c>
      <c r="I3003" s="23" t="str">
        <f aca="false">IF(B3003="","","")</f>
        <v/>
      </c>
      <c r="J3003" s="23" t="str">
        <f aca="false">IF(B3003="","","touch_3; "&amp;IFERROR(INDEX(Clay_Offices!$A$2:$FZ$601,152,Sync!$C$10)&amp;"","")&amp;"; "&amp;IFERROR(INDEX(Clay_Offices!$A$2:$FZ$601,152,Sync!$C$9)&amp;"",""))</f>
        <v/>
      </c>
      <c r="K3003" s="32" t="s">
        <v>1365</v>
      </c>
    </row>
    <row r="3004" customFormat="false" ht="15" hidden="false" customHeight="false" outlineLevel="0" collapsed="false">
      <c r="A3004" s="23" t="str">
        <f aca="false">IF(B3004="","",B3004+(14*1000+153)/10000000)</f>
        <v/>
      </c>
      <c r="B3004" s="35" t="str">
        <f aca="false">IF(AND(IFERROR(N(INDEX(Clay_Offices!$A$2:$FZ$601,153,Sync!$C$13)),0)&gt;0,IFERROR(INDEX(Clay_Offices!$A$2:$FZ$601,153,Sync!$C$5)&amp;"","")&lt;&gt;"",OR(LEFT(IFERROR(INDEX(Clay_Offices!$A$2:$FZ$601,153,Sync!$C$5)&amp;"",""),6)&lt;&gt;"SAMPLE",Config!$B$19="Y")),IFERROR(N(INDEX(Clay_Offices!$A$2:$FZ$601,153,Sync!$C$13)),0),"")</f>
        <v/>
      </c>
      <c r="C3004" s="23" t="str">
        <f aca="false">IF(B3004="","","office")</f>
        <v/>
      </c>
      <c r="D3004" s="23" t="str">
        <f aca="false">IF(B3004="","",IFERROR(INDEX(Office_Log!$ED$2:$ED$201,MATCH(IFERROR(INDEX(Clay_Offices!$A$2:$FZ$601,153,Sync!$C$5)&amp;"",""),Office_Log!$A$2:$A$201,0))&amp;"",IFERROR(INDEX(Clay_Offices!$A$2:$FZ$601,153,Sync!$C$5)&amp;"","")&amp;""))</f>
        <v/>
      </c>
      <c r="E3004" s="23" t="str">
        <f aca="false">IF(B3004="","",IFERROR(INDEX(Clay_Offices!$A$2:$FZ$601,153,Sync!$C$6)&amp;"",""))</f>
        <v/>
      </c>
      <c r="F3004" s="23" t="str">
        <f aca="false">IF(B3004="","","outreach_sent")</f>
        <v/>
      </c>
      <c r="G3004" s="23" t="str">
        <f aca="false">IF(B3004="","","")</f>
        <v/>
      </c>
      <c r="H3004" s="23" t="str">
        <f aca="false">IF(B3004="","","")</f>
        <v/>
      </c>
      <c r="I3004" s="23" t="str">
        <f aca="false">IF(B3004="","","")</f>
        <v/>
      </c>
      <c r="J3004" s="23" t="str">
        <f aca="false">IF(B3004="","","touch_3; "&amp;IFERROR(INDEX(Clay_Offices!$A$2:$FZ$601,153,Sync!$C$10)&amp;"","")&amp;"; "&amp;IFERROR(INDEX(Clay_Offices!$A$2:$FZ$601,153,Sync!$C$9)&amp;"",""))</f>
        <v/>
      </c>
      <c r="K3004" s="32" t="s">
        <v>1365</v>
      </c>
    </row>
    <row r="3005" customFormat="false" ht="15" hidden="false" customHeight="false" outlineLevel="0" collapsed="false">
      <c r="A3005" s="23" t="str">
        <f aca="false">IF(B3005="","",B3005+(14*1000+154)/10000000)</f>
        <v/>
      </c>
      <c r="B3005" s="35" t="str">
        <f aca="false">IF(AND(IFERROR(N(INDEX(Clay_Offices!$A$2:$FZ$601,154,Sync!$C$13)),0)&gt;0,IFERROR(INDEX(Clay_Offices!$A$2:$FZ$601,154,Sync!$C$5)&amp;"","")&lt;&gt;"",OR(LEFT(IFERROR(INDEX(Clay_Offices!$A$2:$FZ$601,154,Sync!$C$5)&amp;"",""),6)&lt;&gt;"SAMPLE",Config!$B$19="Y")),IFERROR(N(INDEX(Clay_Offices!$A$2:$FZ$601,154,Sync!$C$13)),0),"")</f>
        <v/>
      </c>
      <c r="C3005" s="23" t="str">
        <f aca="false">IF(B3005="","","office")</f>
        <v/>
      </c>
      <c r="D3005" s="23" t="str">
        <f aca="false">IF(B3005="","",IFERROR(INDEX(Office_Log!$ED$2:$ED$201,MATCH(IFERROR(INDEX(Clay_Offices!$A$2:$FZ$601,154,Sync!$C$5)&amp;"",""),Office_Log!$A$2:$A$201,0))&amp;"",IFERROR(INDEX(Clay_Offices!$A$2:$FZ$601,154,Sync!$C$5)&amp;"","")&amp;""))</f>
        <v/>
      </c>
      <c r="E3005" s="23" t="str">
        <f aca="false">IF(B3005="","",IFERROR(INDEX(Clay_Offices!$A$2:$FZ$601,154,Sync!$C$6)&amp;"",""))</f>
        <v/>
      </c>
      <c r="F3005" s="23" t="str">
        <f aca="false">IF(B3005="","","outreach_sent")</f>
        <v/>
      </c>
      <c r="G3005" s="23" t="str">
        <f aca="false">IF(B3005="","","")</f>
        <v/>
      </c>
      <c r="H3005" s="23" t="str">
        <f aca="false">IF(B3005="","","")</f>
        <v/>
      </c>
      <c r="I3005" s="23" t="str">
        <f aca="false">IF(B3005="","","")</f>
        <v/>
      </c>
      <c r="J3005" s="23" t="str">
        <f aca="false">IF(B3005="","","touch_3; "&amp;IFERROR(INDEX(Clay_Offices!$A$2:$FZ$601,154,Sync!$C$10)&amp;"","")&amp;"; "&amp;IFERROR(INDEX(Clay_Offices!$A$2:$FZ$601,154,Sync!$C$9)&amp;"",""))</f>
        <v/>
      </c>
      <c r="K3005" s="32" t="s">
        <v>1365</v>
      </c>
    </row>
    <row r="3006" customFormat="false" ht="15" hidden="false" customHeight="false" outlineLevel="0" collapsed="false">
      <c r="A3006" s="23" t="str">
        <f aca="false">IF(B3006="","",B3006+(14*1000+155)/10000000)</f>
        <v/>
      </c>
      <c r="B3006" s="35" t="str">
        <f aca="false">IF(AND(IFERROR(N(INDEX(Clay_Offices!$A$2:$FZ$601,155,Sync!$C$13)),0)&gt;0,IFERROR(INDEX(Clay_Offices!$A$2:$FZ$601,155,Sync!$C$5)&amp;"","")&lt;&gt;"",OR(LEFT(IFERROR(INDEX(Clay_Offices!$A$2:$FZ$601,155,Sync!$C$5)&amp;"",""),6)&lt;&gt;"SAMPLE",Config!$B$19="Y")),IFERROR(N(INDEX(Clay_Offices!$A$2:$FZ$601,155,Sync!$C$13)),0),"")</f>
        <v/>
      </c>
      <c r="C3006" s="23" t="str">
        <f aca="false">IF(B3006="","","office")</f>
        <v/>
      </c>
      <c r="D3006" s="23" t="str">
        <f aca="false">IF(B3006="","",IFERROR(INDEX(Office_Log!$ED$2:$ED$201,MATCH(IFERROR(INDEX(Clay_Offices!$A$2:$FZ$601,155,Sync!$C$5)&amp;"",""),Office_Log!$A$2:$A$201,0))&amp;"",IFERROR(INDEX(Clay_Offices!$A$2:$FZ$601,155,Sync!$C$5)&amp;"","")&amp;""))</f>
        <v/>
      </c>
      <c r="E3006" s="23" t="str">
        <f aca="false">IF(B3006="","",IFERROR(INDEX(Clay_Offices!$A$2:$FZ$601,155,Sync!$C$6)&amp;"",""))</f>
        <v/>
      </c>
      <c r="F3006" s="23" t="str">
        <f aca="false">IF(B3006="","","outreach_sent")</f>
        <v/>
      </c>
      <c r="G3006" s="23" t="str">
        <f aca="false">IF(B3006="","","")</f>
        <v/>
      </c>
      <c r="H3006" s="23" t="str">
        <f aca="false">IF(B3006="","","")</f>
        <v/>
      </c>
      <c r="I3006" s="23" t="str">
        <f aca="false">IF(B3006="","","")</f>
        <v/>
      </c>
      <c r="J3006" s="23" t="str">
        <f aca="false">IF(B3006="","","touch_3; "&amp;IFERROR(INDEX(Clay_Offices!$A$2:$FZ$601,155,Sync!$C$10)&amp;"","")&amp;"; "&amp;IFERROR(INDEX(Clay_Offices!$A$2:$FZ$601,155,Sync!$C$9)&amp;"",""))</f>
        <v/>
      </c>
      <c r="K3006" s="32" t="s">
        <v>1365</v>
      </c>
    </row>
    <row r="3007" customFormat="false" ht="15" hidden="false" customHeight="false" outlineLevel="0" collapsed="false">
      <c r="A3007" s="23" t="str">
        <f aca="false">IF(B3007="","",B3007+(14*1000+156)/10000000)</f>
        <v/>
      </c>
      <c r="B3007" s="35" t="str">
        <f aca="false">IF(AND(IFERROR(N(INDEX(Clay_Offices!$A$2:$FZ$601,156,Sync!$C$13)),0)&gt;0,IFERROR(INDEX(Clay_Offices!$A$2:$FZ$601,156,Sync!$C$5)&amp;"","")&lt;&gt;"",OR(LEFT(IFERROR(INDEX(Clay_Offices!$A$2:$FZ$601,156,Sync!$C$5)&amp;"",""),6)&lt;&gt;"SAMPLE",Config!$B$19="Y")),IFERROR(N(INDEX(Clay_Offices!$A$2:$FZ$601,156,Sync!$C$13)),0),"")</f>
        <v/>
      </c>
      <c r="C3007" s="23" t="str">
        <f aca="false">IF(B3007="","","office")</f>
        <v/>
      </c>
      <c r="D3007" s="23" t="str">
        <f aca="false">IF(B3007="","",IFERROR(INDEX(Office_Log!$ED$2:$ED$201,MATCH(IFERROR(INDEX(Clay_Offices!$A$2:$FZ$601,156,Sync!$C$5)&amp;"",""),Office_Log!$A$2:$A$201,0))&amp;"",IFERROR(INDEX(Clay_Offices!$A$2:$FZ$601,156,Sync!$C$5)&amp;"","")&amp;""))</f>
        <v/>
      </c>
      <c r="E3007" s="23" t="str">
        <f aca="false">IF(B3007="","",IFERROR(INDEX(Clay_Offices!$A$2:$FZ$601,156,Sync!$C$6)&amp;"",""))</f>
        <v/>
      </c>
      <c r="F3007" s="23" t="str">
        <f aca="false">IF(B3007="","","outreach_sent")</f>
        <v/>
      </c>
      <c r="G3007" s="23" t="str">
        <f aca="false">IF(B3007="","","")</f>
        <v/>
      </c>
      <c r="H3007" s="23" t="str">
        <f aca="false">IF(B3007="","","")</f>
        <v/>
      </c>
      <c r="I3007" s="23" t="str">
        <f aca="false">IF(B3007="","","")</f>
        <v/>
      </c>
      <c r="J3007" s="23" t="str">
        <f aca="false">IF(B3007="","","touch_3; "&amp;IFERROR(INDEX(Clay_Offices!$A$2:$FZ$601,156,Sync!$C$10)&amp;"","")&amp;"; "&amp;IFERROR(INDEX(Clay_Offices!$A$2:$FZ$601,156,Sync!$C$9)&amp;"",""))</f>
        <v/>
      </c>
      <c r="K3007" s="32" t="s">
        <v>1365</v>
      </c>
    </row>
    <row r="3008" customFormat="false" ht="15" hidden="false" customHeight="false" outlineLevel="0" collapsed="false">
      <c r="A3008" s="23" t="str">
        <f aca="false">IF(B3008="","",B3008+(14*1000+157)/10000000)</f>
        <v/>
      </c>
      <c r="B3008" s="35" t="str">
        <f aca="false">IF(AND(IFERROR(N(INDEX(Clay_Offices!$A$2:$FZ$601,157,Sync!$C$13)),0)&gt;0,IFERROR(INDEX(Clay_Offices!$A$2:$FZ$601,157,Sync!$C$5)&amp;"","")&lt;&gt;"",OR(LEFT(IFERROR(INDEX(Clay_Offices!$A$2:$FZ$601,157,Sync!$C$5)&amp;"",""),6)&lt;&gt;"SAMPLE",Config!$B$19="Y")),IFERROR(N(INDEX(Clay_Offices!$A$2:$FZ$601,157,Sync!$C$13)),0),"")</f>
        <v/>
      </c>
      <c r="C3008" s="23" t="str">
        <f aca="false">IF(B3008="","","office")</f>
        <v/>
      </c>
      <c r="D3008" s="23" t="str">
        <f aca="false">IF(B3008="","",IFERROR(INDEX(Office_Log!$ED$2:$ED$201,MATCH(IFERROR(INDEX(Clay_Offices!$A$2:$FZ$601,157,Sync!$C$5)&amp;"",""),Office_Log!$A$2:$A$201,0))&amp;"",IFERROR(INDEX(Clay_Offices!$A$2:$FZ$601,157,Sync!$C$5)&amp;"","")&amp;""))</f>
        <v/>
      </c>
      <c r="E3008" s="23" t="str">
        <f aca="false">IF(B3008="","",IFERROR(INDEX(Clay_Offices!$A$2:$FZ$601,157,Sync!$C$6)&amp;"",""))</f>
        <v/>
      </c>
      <c r="F3008" s="23" t="str">
        <f aca="false">IF(B3008="","","outreach_sent")</f>
        <v/>
      </c>
      <c r="G3008" s="23" t="str">
        <f aca="false">IF(B3008="","","")</f>
        <v/>
      </c>
      <c r="H3008" s="23" t="str">
        <f aca="false">IF(B3008="","","")</f>
        <v/>
      </c>
      <c r="I3008" s="23" t="str">
        <f aca="false">IF(B3008="","","")</f>
        <v/>
      </c>
      <c r="J3008" s="23" t="str">
        <f aca="false">IF(B3008="","","touch_3; "&amp;IFERROR(INDEX(Clay_Offices!$A$2:$FZ$601,157,Sync!$C$10)&amp;"","")&amp;"; "&amp;IFERROR(INDEX(Clay_Offices!$A$2:$FZ$601,157,Sync!$C$9)&amp;"",""))</f>
        <v/>
      </c>
      <c r="K3008" s="32" t="s">
        <v>1365</v>
      </c>
    </row>
    <row r="3009" customFormat="false" ht="15" hidden="false" customHeight="false" outlineLevel="0" collapsed="false">
      <c r="A3009" s="23" t="str">
        <f aca="false">IF(B3009="","",B3009+(14*1000+158)/10000000)</f>
        <v/>
      </c>
      <c r="B3009" s="35" t="str">
        <f aca="false">IF(AND(IFERROR(N(INDEX(Clay_Offices!$A$2:$FZ$601,158,Sync!$C$13)),0)&gt;0,IFERROR(INDEX(Clay_Offices!$A$2:$FZ$601,158,Sync!$C$5)&amp;"","")&lt;&gt;"",OR(LEFT(IFERROR(INDEX(Clay_Offices!$A$2:$FZ$601,158,Sync!$C$5)&amp;"",""),6)&lt;&gt;"SAMPLE",Config!$B$19="Y")),IFERROR(N(INDEX(Clay_Offices!$A$2:$FZ$601,158,Sync!$C$13)),0),"")</f>
        <v/>
      </c>
      <c r="C3009" s="23" t="str">
        <f aca="false">IF(B3009="","","office")</f>
        <v/>
      </c>
      <c r="D3009" s="23" t="str">
        <f aca="false">IF(B3009="","",IFERROR(INDEX(Office_Log!$ED$2:$ED$201,MATCH(IFERROR(INDEX(Clay_Offices!$A$2:$FZ$601,158,Sync!$C$5)&amp;"",""),Office_Log!$A$2:$A$201,0))&amp;"",IFERROR(INDEX(Clay_Offices!$A$2:$FZ$601,158,Sync!$C$5)&amp;"","")&amp;""))</f>
        <v/>
      </c>
      <c r="E3009" s="23" t="str">
        <f aca="false">IF(B3009="","",IFERROR(INDEX(Clay_Offices!$A$2:$FZ$601,158,Sync!$C$6)&amp;"",""))</f>
        <v/>
      </c>
      <c r="F3009" s="23" t="str">
        <f aca="false">IF(B3009="","","outreach_sent")</f>
        <v/>
      </c>
      <c r="G3009" s="23" t="str">
        <f aca="false">IF(B3009="","","")</f>
        <v/>
      </c>
      <c r="H3009" s="23" t="str">
        <f aca="false">IF(B3009="","","")</f>
        <v/>
      </c>
      <c r="I3009" s="23" t="str">
        <f aca="false">IF(B3009="","","")</f>
        <v/>
      </c>
      <c r="J3009" s="23" t="str">
        <f aca="false">IF(B3009="","","touch_3; "&amp;IFERROR(INDEX(Clay_Offices!$A$2:$FZ$601,158,Sync!$C$10)&amp;"","")&amp;"; "&amp;IFERROR(INDEX(Clay_Offices!$A$2:$FZ$601,158,Sync!$C$9)&amp;"",""))</f>
        <v/>
      </c>
      <c r="K3009" s="32" t="s">
        <v>1365</v>
      </c>
    </row>
    <row r="3010" customFormat="false" ht="15" hidden="false" customHeight="false" outlineLevel="0" collapsed="false">
      <c r="A3010" s="23" t="str">
        <f aca="false">IF(B3010="","",B3010+(14*1000+159)/10000000)</f>
        <v/>
      </c>
      <c r="B3010" s="35" t="str">
        <f aca="false">IF(AND(IFERROR(N(INDEX(Clay_Offices!$A$2:$FZ$601,159,Sync!$C$13)),0)&gt;0,IFERROR(INDEX(Clay_Offices!$A$2:$FZ$601,159,Sync!$C$5)&amp;"","")&lt;&gt;"",OR(LEFT(IFERROR(INDEX(Clay_Offices!$A$2:$FZ$601,159,Sync!$C$5)&amp;"",""),6)&lt;&gt;"SAMPLE",Config!$B$19="Y")),IFERROR(N(INDEX(Clay_Offices!$A$2:$FZ$601,159,Sync!$C$13)),0),"")</f>
        <v/>
      </c>
      <c r="C3010" s="23" t="str">
        <f aca="false">IF(B3010="","","office")</f>
        <v/>
      </c>
      <c r="D3010" s="23" t="str">
        <f aca="false">IF(B3010="","",IFERROR(INDEX(Office_Log!$ED$2:$ED$201,MATCH(IFERROR(INDEX(Clay_Offices!$A$2:$FZ$601,159,Sync!$C$5)&amp;"",""),Office_Log!$A$2:$A$201,0))&amp;"",IFERROR(INDEX(Clay_Offices!$A$2:$FZ$601,159,Sync!$C$5)&amp;"","")&amp;""))</f>
        <v/>
      </c>
      <c r="E3010" s="23" t="str">
        <f aca="false">IF(B3010="","",IFERROR(INDEX(Clay_Offices!$A$2:$FZ$601,159,Sync!$C$6)&amp;"",""))</f>
        <v/>
      </c>
      <c r="F3010" s="23" t="str">
        <f aca="false">IF(B3010="","","outreach_sent")</f>
        <v/>
      </c>
      <c r="G3010" s="23" t="str">
        <f aca="false">IF(B3010="","","")</f>
        <v/>
      </c>
      <c r="H3010" s="23" t="str">
        <f aca="false">IF(B3010="","","")</f>
        <v/>
      </c>
      <c r="I3010" s="23" t="str">
        <f aca="false">IF(B3010="","","")</f>
        <v/>
      </c>
      <c r="J3010" s="23" t="str">
        <f aca="false">IF(B3010="","","touch_3; "&amp;IFERROR(INDEX(Clay_Offices!$A$2:$FZ$601,159,Sync!$C$10)&amp;"","")&amp;"; "&amp;IFERROR(INDEX(Clay_Offices!$A$2:$FZ$601,159,Sync!$C$9)&amp;"",""))</f>
        <v/>
      </c>
      <c r="K3010" s="32" t="s">
        <v>1365</v>
      </c>
    </row>
    <row r="3011" customFormat="false" ht="15" hidden="false" customHeight="false" outlineLevel="0" collapsed="false">
      <c r="A3011" s="23" t="str">
        <f aca="false">IF(B3011="","",B3011+(14*1000+160)/10000000)</f>
        <v/>
      </c>
      <c r="B3011" s="35" t="str">
        <f aca="false">IF(AND(IFERROR(N(INDEX(Clay_Offices!$A$2:$FZ$601,160,Sync!$C$13)),0)&gt;0,IFERROR(INDEX(Clay_Offices!$A$2:$FZ$601,160,Sync!$C$5)&amp;"","")&lt;&gt;"",OR(LEFT(IFERROR(INDEX(Clay_Offices!$A$2:$FZ$601,160,Sync!$C$5)&amp;"",""),6)&lt;&gt;"SAMPLE",Config!$B$19="Y")),IFERROR(N(INDEX(Clay_Offices!$A$2:$FZ$601,160,Sync!$C$13)),0),"")</f>
        <v/>
      </c>
      <c r="C3011" s="23" t="str">
        <f aca="false">IF(B3011="","","office")</f>
        <v/>
      </c>
      <c r="D3011" s="23" t="str">
        <f aca="false">IF(B3011="","",IFERROR(INDEX(Office_Log!$ED$2:$ED$201,MATCH(IFERROR(INDEX(Clay_Offices!$A$2:$FZ$601,160,Sync!$C$5)&amp;"",""),Office_Log!$A$2:$A$201,0))&amp;"",IFERROR(INDEX(Clay_Offices!$A$2:$FZ$601,160,Sync!$C$5)&amp;"","")&amp;""))</f>
        <v/>
      </c>
      <c r="E3011" s="23" t="str">
        <f aca="false">IF(B3011="","",IFERROR(INDEX(Clay_Offices!$A$2:$FZ$601,160,Sync!$C$6)&amp;"",""))</f>
        <v/>
      </c>
      <c r="F3011" s="23" t="str">
        <f aca="false">IF(B3011="","","outreach_sent")</f>
        <v/>
      </c>
      <c r="G3011" s="23" t="str">
        <f aca="false">IF(B3011="","","")</f>
        <v/>
      </c>
      <c r="H3011" s="23" t="str">
        <f aca="false">IF(B3011="","","")</f>
        <v/>
      </c>
      <c r="I3011" s="23" t="str">
        <f aca="false">IF(B3011="","","")</f>
        <v/>
      </c>
      <c r="J3011" s="23" t="str">
        <f aca="false">IF(B3011="","","touch_3; "&amp;IFERROR(INDEX(Clay_Offices!$A$2:$FZ$601,160,Sync!$C$10)&amp;"","")&amp;"; "&amp;IFERROR(INDEX(Clay_Offices!$A$2:$FZ$601,160,Sync!$C$9)&amp;"",""))</f>
        <v/>
      </c>
      <c r="K3011" s="32" t="s">
        <v>1365</v>
      </c>
    </row>
    <row r="3012" customFormat="false" ht="15" hidden="false" customHeight="false" outlineLevel="0" collapsed="false">
      <c r="A3012" s="23" t="str">
        <f aca="false">IF(B3012="","",B3012+(14*1000+161)/10000000)</f>
        <v/>
      </c>
      <c r="B3012" s="35" t="str">
        <f aca="false">IF(AND(IFERROR(N(INDEX(Clay_Offices!$A$2:$FZ$601,161,Sync!$C$13)),0)&gt;0,IFERROR(INDEX(Clay_Offices!$A$2:$FZ$601,161,Sync!$C$5)&amp;"","")&lt;&gt;"",OR(LEFT(IFERROR(INDEX(Clay_Offices!$A$2:$FZ$601,161,Sync!$C$5)&amp;"",""),6)&lt;&gt;"SAMPLE",Config!$B$19="Y")),IFERROR(N(INDEX(Clay_Offices!$A$2:$FZ$601,161,Sync!$C$13)),0),"")</f>
        <v/>
      </c>
      <c r="C3012" s="23" t="str">
        <f aca="false">IF(B3012="","","office")</f>
        <v/>
      </c>
      <c r="D3012" s="23" t="str">
        <f aca="false">IF(B3012="","",IFERROR(INDEX(Office_Log!$ED$2:$ED$201,MATCH(IFERROR(INDEX(Clay_Offices!$A$2:$FZ$601,161,Sync!$C$5)&amp;"",""),Office_Log!$A$2:$A$201,0))&amp;"",IFERROR(INDEX(Clay_Offices!$A$2:$FZ$601,161,Sync!$C$5)&amp;"","")&amp;""))</f>
        <v/>
      </c>
      <c r="E3012" s="23" t="str">
        <f aca="false">IF(B3012="","",IFERROR(INDEX(Clay_Offices!$A$2:$FZ$601,161,Sync!$C$6)&amp;"",""))</f>
        <v/>
      </c>
      <c r="F3012" s="23" t="str">
        <f aca="false">IF(B3012="","","outreach_sent")</f>
        <v/>
      </c>
      <c r="G3012" s="23" t="str">
        <f aca="false">IF(B3012="","","")</f>
        <v/>
      </c>
      <c r="H3012" s="23" t="str">
        <f aca="false">IF(B3012="","","")</f>
        <v/>
      </c>
      <c r="I3012" s="23" t="str">
        <f aca="false">IF(B3012="","","")</f>
        <v/>
      </c>
      <c r="J3012" s="23" t="str">
        <f aca="false">IF(B3012="","","touch_3; "&amp;IFERROR(INDEX(Clay_Offices!$A$2:$FZ$601,161,Sync!$C$10)&amp;"","")&amp;"; "&amp;IFERROR(INDEX(Clay_Offices!$A$2:$FZ$601,161,Sync!$C$9)&amp;"",""))</f>
        <v/>
      </c>
      <c r="K3012" s="32" t="s">
        <v>1365</v>
      </c>
    </row>
    <row r="3013" customFormat="false" ht="15" hidden="false" customHeight="false" outlineLevel="0" collapsed="false">
      <c r="A3013" s="23" t="str">
        <f aca="false">IF(B3013="","",B3013+(14*1000+162)/10000000)</f>
        <v/>
      </c>
      <c r="B3013" s="35" t="str">
        <f aca="false">IF(AND(IFERROR(N(INDEX(Clay_Offices!$A$2:$FZ$601,162,Sync!$C$13)),0)&gt;0,IFERROR(INDEX(Clay_Offices!$A$2:$FZ$601,162,Sync!$C$5)&amp;"","")&lt;&gt;"",OR(LEFT(IFERROR(INDEX(Clay_Offices!$A$2:$FZ$601,162,Sync!$C$5)&amp;"",""),6)&lt;&gt;"SAMPLE",Config!$B$19="Y")),IFERROR(N(INDEX(Clay_Offices!$A$2:$FZ$601,162,Sync!$C$13)),0),"")</f>
        <v/>
      </c>
      <c r="C3013" s="23" t="str">
        <f aca="false">IF(B3013="","","office")</f>
        <v/>
      </c>
      <c r="D3013" s="23" t="str">
        <f aca="false">IF(B3013="","",IFERROR(INDEX(Office_Log!$ED$2:$ED$201,MATCH(IFERROR(INDEX(Clay_Offices!$A$2:$FZ$601,162,Sync!$C$5)&amp;"",""),Office_Log!$A$2:$A$201,0))&amp;"",IFERROR(INDEX(Clay_Offices!$A$2:$FZ$601,162,Sync!$C$5)&amp;"","")&amp;""))</f>
        <v/>
      </c>
      <c r="E3013" s="23" t="str">
        <f aca="false">IF(B3013="","",IFERROR(INDEX(Clay_Offices!$A$2:$FZ$601,162,Sync!$C$6)&amp;"",""))</f>
        <v/>
      </c>
      <c r="F3013" s="23" t="str">
        <f aca="false">IF(B3013="","","outreach_sent")</f>
        <v/>
      </c>
      <c r="G3013" s="23" t="str">
        <f aca="false">IF(B3013="","","")</f>
        <v/>
      </c>
      <c r="H3013" s="23" t="str">
        <f aca="false">IF(B3013="","","")</f>
        <v/>
      </c>
      <c r="I3013" s="23" t="str">
        <f aca="false">IF(B3013="","","")</f>
        <v/>
      </c>
      <c r="J3013" s="23" t="str">
        <f aca="false">IF(B3013="","","touch_3; "&amp;IFERROR(INDEX(Clay_Offices!$A$2:$FZ$601,162,Sync!$C$10)&amp;"","")&amp;"; "&amp;IFERROR(INDEX(Clay_Offices!$A$2:$FZ$601,162,Sync!$C$9)&amp;"",""))</f>
        <v/>
      </c>
      <c r="K3013" s="32" t="s">
        <v>1365</v>
      </c>
    </row>
    <row r="3014" customFormat="false" ht="15" hidden="false" customHeight="false" outlineLevel="0" collapsed="false">
      <c r="A3014" s="23" t="str">
        <f aca="false">IF(B3014="","",B3014+(14*1000+163)/10000000)</f>
        <v/>
      </c>
      <c r="B3014" s="35" t="str">
        <f aca="false">IF(AND(IFERROR(N(INDEX(Clay_Offices!$A$2:$FZ$601,163,Sync!$C$13)),0)&gt;0,IFERROR(INDEX(Clay_Offices!$A$2:$FZ$601,163,Sync!$C$5)&amp;"","")&lt;&gt;"",OR(LEFT(IFERROR(INDEX(Clay_Offices!$A$2:$FZ$601,163,Sync!$C$5)&amp;"",""),6)&lt;&gt;"SAMPLE",Config!$B$19="Y")),IFERROR(N(INDEX(Clay_Offices!$A$2:$FZ$601,163,Sync!$C$13)),0),"")</f>
        <v/>
      </c>
      <c r="C3014" s="23" t="str">
        <f aca="false">IF(B3014="","","office")</f>
        <v/>
      </c>
      <c r="D3014" s="23" t="str">
        <f aca="false">IF(B3014="","",IFERROR(INDEX(Office_Log!$ED$2:$ED$201,MATCH(IFERROR(INDEX(Clay_Offices!$A$2:$FZ$601,163,Sync!$C$5)&amp;"",""),Office_Log!$A$2:$A$201,0))&amp;"",IFERROR(INDEX(Clay_Offices!$A$2:$FZ$601,163,Sync!$C$5)&amp;"","")&amp;""))</f>
        <v/>
      </c>
      <c r="E3014" s="23" t="str">
        <f aca="false">IF(B3014="","",IFERROR(INDEX(Clay_Offices!$A$2:$FZ$601,163,Sync!$C$6)&amp;"",""))</f>
        <v/>
      </c>
      <c r="F3014" s="23" t="str">
        <f aca="false">IF(B3014="","","outreach_sent")</f>
        <v/>
      </c>
      <c r="G3014" s="23" t="str">
        <f aca="false">IF(B3014="","","")</f>
        <v/>
      </c>
      <c r="H3014" s="23" t="str">
        <f aca="false">IF(B3014="","","")</f>
        <v/>
      </c>
      <c r="I3014" s="23" t="str">
        <f aca="false">IF(B3014="","","")</f>
        <v/>
      </c>
      <c r="J3014" s="23" t="str">
        <f aca="false">IF(B3014="","","touch_3; "&amp;IFERROR(INDEX(Clay_Offices!$A$2:$FZ$601,163,Sync!$C$10)&amp;"","")&amp;"; "&amp;IFERROR(INDEX(Clay_Offices!$A$2:$FZ$601,163,Sync!$C$9)&amp;"",""))</f>
        <v/>
      </c>
      <c r="K3014" s="32" t="s">
        <v>1365</v>
      </c>
    </row>
    <row r="3015" customFormat="false" ht="15" hidden="false" customHeight="false" outlineLevel="0" collapsed="false">
      <c r="A3015" s="23" t="str">
        <f aca="false">IF(B3015="","",B3015+(14*1000+164)/10000000)</f>
        <v/>
      </c>
      <c r="B3015" s="35" t="str">
        <f aca="false">IF(AND(IFERROR(N(INDEX(Clay_Offices!$A$2:$FZ$601,164,Sync!$C$13)),0)&gt;0,IFERROR(INDEX(Clay_Offices!$A$2:$FZ$601,164,Sync!$C$5)&amp;"","")&lt;&gt;"",OR(LEFT(IFERROR(INDEX(Clay_Offices!$A$2:$FZ$601,164,Sync!$C$5)&amp;"",""),6)&lt;&gt;"SAMPLE",Config!$B$19="Y")),IFERROR(N(INDEX(Clay_Offices!$A$2:$FZ$601,164,Sync!$C$13)),0),"")</f>
        <v/>
      </c>
      <c r="C3015" s="23" t="str">
        <f aca="false">IF(B3015="","","office")</f>
        <v/>
      </c>
      <c r="D3015" s="23" t="str">
        <f aca="false">IF(B3015="","",IFERROR(INDEX(Office_Log!$ED$2:$ED$201,MATCH(IFERROR(INDEX(Clay_Offices!$A$2:$FZ$601,164,Sync!$C$5)&amp;"",""),Office_Log!$A$2:$A$201,0))&amp;"",IFERROR(INDEX(Clay_Offices!$A$2:$FZ$601,164,Sync!$C$5)&amp;"","")&amp;""))</f>
        <v/>
      </c>
      <c r="E3015" s="23" t="str">
        <f aca="false">IF(B3015="","",IFERROR(INDEX(Clay_Offices!$A$2:$FZ$601,164,Sync!$C$6)&amp;"",""))</f>
        <v/>
      </c>
      <c r="F3015" s="23" t="str">
        <f aca="false">IF(B3015="","","outreach_sent")</f>
        <v/>
      </c>
      <c r="G3015" s="23" t="str">
        <f aca="false">IF(B3015="","","")</f>
        <v/>
      </c>
      <c r="H3015" s="23" t="str">
        <f aca="false">IF(B3015="","","")</f>
        <v/>
      </c>
      <c r="I3015" s="23" t="str">
        <f aca="false">IF(B3015="","","")</f>
        <v/>
      </c>
      <c r="J3015" s="23" t="str">
        <f aca="false">IF(B3015="","","touch_3; "&amp;IFERROR(INDEX(Clay_Offices!$A$2:$FZ$601,164,Sync!$C$10)&amp;"","")&amp;"; "&amp;IFERROR(INDEX(Clay_Offices!$A$2:$FZ$601,164,Sync!$C$9)&amp;"",""))</f>
        <v/>
      </c>
      <c r="K3015" s="32" t="s">
        <v>1365</v>
      </c>
    </row>
    <row r="3016" customFormat="false" ht="15" hidden="false" customHeight="false" outlineLevel="0" collapsed="false">
      <c r="A3016" s="23" t="str">
        <f aca="false">IF(B3016="","",B3016+(14*1000+165)/10000000)</f>
        <v/>
      </c>
      <c r="B3016" s="35" t="str">
        <f aca="false">IF(AND(IFERROR(N(INDEX(Clay_Offices!$A$2:$FZ$601,165,Sync!$C$13)),0)&gt;0,IFERROR(INDEX(Clay_Offices!$A$2:$FZ$601,165,Sync!$C$5)&amp;"","")&lt;&gt;"",OR(LEFT(IFERROR(INDEX(Clay_Offices!$A$2:$FZ$601,165,Sync!$C$5)&amp;"",""),6)&lt;&gt;"SAMPLE",Config!$B$19="Y")),IFERROR(N(INDEX(Clay_Offices!$A$2:$FZ$601,165,Sync!$C$13)),0),"")</f>
        <v/>
      </c>
      <c r="C3016" s="23" t="str">
        <f aca="false">IF(B3016="","","office")</f>
        <v/>
      </c>
      <c r="D3016" s="23" t="str">
        <f aca="false">IF(B3016="","",IFERROR(INDEX(Office_Log!$ED$2:$ED$201,MATCH(IFERROR(INDEX(Clay_Offices!$A$2:$FZ$601,165,Sync!$C$5)&amp;"",""),Office_Log!$A$2:$A$201,0))&amp;"",IFERROR(INDEX(Clay_Offices!$A$2:$FZ$601,165,Sync!$C$5)&amp;"","")&amp;""))</f>
        <v/>
      </c>
      <c r="E3016" s="23" t="str">
        <f aca="false">IF(B3016="","",IFERROR(INDEX(Clay_Offices!$A$2:$FZ$601,165,Sync!$C$6)&amp;"",""))</f>
        <v/>
      </c>
      <c r="F3016" s="23" t="str">
        <f aca="false">IF(B3016="","","outreach_sent")</f>
        <v/>
      </c>
      <c r="G3016" s="23" t="str">
        <f aca="false">IF(B3016="","","")</f>
        <v/>
      </c>
      <c r="H3016" s="23" t="str">
        <f aca="false">IF(B3016="","","")</f>
        <v/>
      </c>
      <c r="I3016" s="23" t="str">
        <f aca="false">IF(B3016="","","")</f>
        <v/>
      </c>
      <c r="J3016" s="23" t="str">
        <f aca="false">IF(B3016="","","touch_3; "&amp;IFERROR(INDEX(Clay_Offices!$A$2:$FZ$601,165,Sync!$C$10)&amp;"","")&amp;"; "&amp;IFERROR(INDEX(Clay_Offices!$A$2:$FZ$601,165,Sync!$C$9)&amp;"",""))</f>
        <v/>
      </c>
      <c r="K3016" s="32" t="s">
        <v>1365</v>
      </c>
    </row>
    <row r="3017" customFormat="false" ht="15" hidden="false" customHeight="false" outlineLevel="0" collapsed="false">
      <c r="A3017" s="23" t="str">
        <f aca="false">IF(B3017="","",B3017+(14*1000+166)/10000000)</f>
        <v/>
      </c>
      <c r="B3017" s="35" t="str">
        <f aca="false">IF(AND(IFERROR(N(INDEX(Clay_Offices!$A$2:$FZ$601,166,Sync!$C$13)),0)&gt;0,IFERROR(INDEX(Clay_Offices!$A$2:$FZ$601,166,Sync!$C$5)&amp;"","")&lt;&gt;"",OR(LEFT(IFERROR(INDEX(Clay_Offices!$A$2:$FZ$601,166,Sync!$C$5)&amp;"",""),6)&lt;&gt;"SAMPLE",Config!$B$19="Y")),IFERROR(N(INDEX(Clay_Offices!$A$2:$FZ$601,166,Sync!$C$13)),0),"")</f>
        <v/>
      </c>
      <c r="C3017" s="23" t="str">
        <f aca="false">IF(B3017="","","office")</f>
        <v/>
      </c>
      <c r="D3017" s="23" t="str">
        <f aca="false">IF(B3017="","",IFERROR(INDEX(Office_Log!$ED$2:$ED$201,MATCH(IFERROR(INDEX(Clay_Offices!$A$2:$FZ$601,166,Sync!$C$5)&amp;"",""),Office_Log!$A$2:$A$201,0))&amp;"",IFERROR(INDEX(Clay_Offices!$A$2:$FZ$601,166,Sync!$C$5)&amp;"","")&amp;""))</f>
        <v/>
      </c>
      <c r="E3017" s="23" t="str">
        <f aca="false">IF(B3017="","",IFERROR(INDEX(Clay_Offices!$A$2:$FZ$601,166,Sync!$C$6)&amp;"",""))</f>
        <v/>
      </c>
      <c r="F3017" s="23" t="str">
        <f aca="false">IF(B3017="","","outreach_sent")</f>
        <v/>
      </c>
      <c r="G3017" s="23" t="str">
        <f aca="false">IF(B3017="","","")</f>
        <v/>
      </c>
      <c r="H3017" s="23" t="str">
        <f aca="false">IF(B3017="","","")</f>
        <v/>
      </c>
      <c r="I3017" s="23" t="str">
        <f aca="false">IF(B3017="","","")</f>
        <v/>
      </c>
      <c r="J3017" s="23" t="str">
        <f aca="false">IF(B3017="","","touch_3; "&amp;IFERROR(INDEX(Clay_Offices!$A$2:$FZ$601,166,Sync!$C$10)&amp;"","")&amp;"; "&amp;IFERROR(INDEX(Clay_Offices!$A$2:$FZ$601,166,Sync!$C$9)&amp;"",""))</f>
        <v/>
      </c>
      <c r="K3017" s="32" t="s">
        <v>1365</v>
      </c>
    </row>
    <row r="3018" customFormat="false" ht="15" hidden="false" customHeight="false" outlineLevel="0" collapsed="false">
      <c r="A3018" s="23" t="str">
        <f aca="false">IF(B3018="","",B3018+(14*1000+167)/10000000)</f>
        <v/>
      </c>
      <c r="B3018" s="35" t="str">
        <f aca="false">IF(AND(IFERROR(N(INDEX(Clay_Offices!$A$2:$FZ$601,167,Sync!$C$13)),0)&gt;0,IFERROR(INDEX(Clay_Offices!$A$2:$FZ$601,167,Sync!$C$5)&amp;"","")&lt;&gt;"",OR(LEFT(IFERROR(INDEX(Clay_Offices!$A$2:$FZ$601,167,Sync!$C$5)&amp;"",""),6)&lt;&gt;"SAMPLE",Config!$B$19="Y")),IFERROR(N(INDEX(Clay_Offices!$A$2:$FZ$601,167,Sync!$C$13)),0),"")</f>
        <v/>
      </c>
      <c r="C3018" s="23" t="str">
        <f aca="false">IF(B3018="","","office")</f>
        <v/>
      </c>
      <c r="D3018" s="23" t="str">
        <f aca="false">IF(B3018="","",IFERROR(INDEX(Office_Log!$ED$2:$ED$201,MATCH(IFERROR(INDEX(Clay_Offices!$A$2:$FZ$601,167,Sync!$C$5)&amp;"",""),Office_Log!$A$2:$A$201,0))&amp;"",IFERROR(INDEX(Clay_Offices!$A$2:$FZ$601,167,Sync!$C$5)&amp;"","")&amp;""))</f>
        <v/>
      </c>
      <c r="E3018" s="23" t="str">
        <f aca="false">IF(B3018="","",IFERROR(INDEX(Clay_Offices!$A$2:$FZ$601,167,Sync!$C$6)&amp;"",""))</f>
        <v/>
      </c>
      <c r="F3018" s="23" t="str">
        <f aca="false">IF(B3018="","","outreach_sent")</f>
        <v/>
      </c>
      <c r="G3018" s="23" t="str">
        <f aca="false">IF(B3018="","","")</f>
        <v/>
      </c>
      <c r="H3018" s="23" t="str">
        <f aca="false">IF(B3018="","","")</f>
        <v/>
      </c>
      <c r="I3018" s="23" t="str">
        <f aca="false">IF(B3018="","","")</f>
        <v/>
      </c>
      <c r="J3018" s="23" t="str">
        <f aca="false">IF(B3018="","","touch_3; "&amp;IFERROR(INDEX(Clay_Offices!$A$2:$FZ$601,167,Sync!$C$10)&amp;"","")&amp;"; "&amp;IFERROR(INDEX(Clay_Offices!$A$2:$FZ$601,167,Sync!$C$9)&amp;"",""))</f>
        <v/>
      </c>
      <c r="K3018" s="32" t="s">
        <v>1365</v>
      </c>
    </row>
    <row r="3019" customFormat="false" ht="15" hidden="false" customHeight="false" outlineLevel="0" collapsed="false">
      <c r="A3019" s="23" t="str">
        <f aca="false">IF(B3019="","",B3019+(14*1000+168)/10000000)</f>
        <v/>
      </c>
      <c r="B3019" s="35" t="str">
        <f aca="false">IF(AND(IFERROR(N(INDEX(Clay_Offices!$A$2:$FZ$601,168,Sync!$C$13)),0)&gt;0,IFERROR(INDEX(Clay_Offices!$A$2:$FZ$601,168,Sync!$C$5)&amp;"","")&lt;&gt;"",OR(LEFT(IFERROR(INDEX(Clay_Offices!$A$2:$FZ$601,168,Sync!$C$5)&amp;"",""),6)&lt;&gt;"SAMPLE",Config!$B$19="Y")),IFERROR(N(INDEX(Clay_Offices!$A$2:$FZ$601,168,Sync!$C$13)),0),"")</f>
        <v/>
      </c>
      <c r="C3019" s="23" t="str">
        <f aca="false">IF(B3019="","","office")</f>
        <v/>
      </c>
      <c r="D3019" s="23" t="str">
        <f aca="false">IF(B3019="","",IFERROR(INDEX(Office_Log!$ED$2:$ED$201,MATCH(IFERROR(INDEX(Clay_Offices!$A$2:$FZ$601,168,Sync!$C$5)&amp;"",""),Office_Log!$A$2:$A$201,0))&amp;"",IFERROR(INDEX(Clay_Offices!$A$2:$FZ$601,168,Sync!$C$5)&amp;"","")&amp;""))</f>
        <v/>
      </c>
      <c r="E3019" s="23" t="str">
        <f aca="false">IF(B3019="","",IFERROR(INDEX(Clay_Offices!$A$2:$FZ$601,168,Sync!$C$6)&amp;"",""))</f>
        <v/>
      </c>
      <c r="F3019" s="23" t="str">
        <f aca="false">IF(B3019="","","outreach_sent")</f>
        <v/>
      </c>
      <c r="G3019" s="23" t="str">
        <f aca="false">IF(B3019="","","")</f>
        <v/>
      </c>
      <c r="H3019" s="23" t="str">
        <f aca="false">IF(B3019="","","")</f>
        <v/>
      </c>
      <c r="I3019" s="23" t="str">
        <f aca="false">IF(B3019="","","")</f>
        <v/>
      </c>
      <c r="J3019" s="23" t="str">
        <f aca="false">IF(B3019="","","touch_3; "&amp;IFERROR(INDEX(Clay_Offices!$A$2:$FZ$601,168,Sync!$C$10)&amp;"","")&amp;"; "&amp;IFERROR(INDEX(Clay_Offices!$A$2:$FZ$601,168,Sync!$C$9)&amp;"",""))</f>
        <v/>
      </c>
      <c r="K3019" s="32" t="s">
        <v>1365</v>
      </c>
    </row>
    <row r="3020" customFormat="false" ht="15" hidden="false" customHeight="false" outlineLevel="0" collapsed="false">
      <c r="A3020" s="23" t="str">
        <f aca="false">IF(B3020="","",B3020+(14*1000+169)/10000000)</f>
        <v/>
      </c>
      <c r="B3020" s="35" t="str">
        <f aca="false">IF(AND(IFERROR(N(INDEX(Clay_Offices!$A$2:$FZ$601,169,Sync!$C$13)),0)&gt;0,IFERROR(INDEX(Clay_Offices!$A$2:$FZ$601,169,Sync!$C$5)&amp;"","")&lt;&gt;"",OR(LEFT(IFERROR(INDEX(Clay_Offices!$A$2:$FZ$601,169,Sync!$C$5)&amp;"",""),6)&lt;&gt;"SAMPLE",Config!$B$19="Y")),IFERROR(N(INDEX(Clay_Offices!$A$2:$FZ$601,169,Sync!$C$13)),0),"")</f>
        <v/>
      </c>
      <c r="C3020" s="23" t="str">
        <f aca="false">IF(B3020="","","office")</f>
        <v/>
      </c>
      <c r="D3020" s="23" t="str">
        <f aca="false">IF(B3020="","",IFERROR(INDEX(Office_Log!$ED$2:$ED$201,MATCH(IFERROR(INDEX(Clay_Offices!$A$2:$FZ$601,169,Sync!$C$5)&amp;"",""),Office_Log!$A$2:$A$201,0))&amp;"",IFERROR(INDEX(Clay_Offices!$A$2:$FZ$601,169,Sync!$C$5)&amp;"","")&amp;""))</f>
        <v/>
      </c>
      <c r="E3020" s="23" t="str">
        <f aca="false">IF(B3020="","",IFERROR(INDEX(Clay_Offices!$A$2:$FZ$601,169,Sync!$C$6)&amp;"",""))</f>
        <v/>
      </c>
      <c r="F3020" s="23" t="str">
        <f aca="false">IF(B3020="","","outreach_sent")</f>
        <v/>
      </c>
      <c r="G3020" s="23" t="str">
        <f aca="false">IF(B3020="","","")</f>
        <v/>
      </c>
      <c r="H3020" s="23" t="str">
        <f aca="false">IF(B3020="","","")</f>
        <v/>
      </c>
      <c r="I3020" s="23" t="str">
        <f aca="false">IF(B3020="","","")</f>
        <v/>
      </c>
      <c r="J3020" s="23" t="str">
        <f aca="false">IF(B3020="","","touch_3; "&amp;IFERROR(INDEX(Clay_Offices!$A$2:$FZ$601,169,Sync!$C$10)&amp;"","")&amp;"; "&amp;IFERROR(INDEX(Clay_Offices!$A$2:$FZ$601,169,Sync!$C$9)&amp;"",""))</f>
        <v/>
      </c>
      <c r="K3020" s="32" t="s">
        <v>1365</v>
      </c>
    </row>
    <row r="3021" customFormat="false" ht="15" hidden="false" customHeight="false" outlineLevel="0" collapsed="false">
      <c r="A3021" s="23" t="str">
        <f aca="false">IF(B3021="","",B3021+(14*1000+170)/10000000)</f>
        <v/>
      </c>
      <c r="B3021" s="35" t="str">
        <f aca="false">IF(AND(IFERROR(N(INDEX(Clay_Offices!$A$2:$FZ$601,170,Sync!$C$13)),0)&gt;0,IFERROR(INDEX(Clay_Offices!$A$2:$FZ$601,170,Sync!$C$5)&amp;"","")&lt;&gt;"",OR(LEFT(IFERROR(INDEX(Clay_Offices!$A$2:$FZ$601,170,Sync!$C$5)&amp;"",""),6)&lt;&gt;"SAMPLE",Config!$B$19="Y")),IFERROR(N(INDEX(Clay_Offices!$A$2:$FZ$601,170,Sync!$C$13)),0),"")</f>
        <v/>
      </c>
      <c r="C3021" s="23" t="str">
        <f aca="false">IF(B3021="","","office")</f>
        <v/>
      </c>
      <c r="D3021" s="23" t="str">
        <f aca="false">IF(B3021="","",IFERROR(INDEX(Office_Log!$ED$2:$ED$201,MATCH(IFERROR(INDEX(Clay_Offices!$A$2:$FZ$601,170,Sync!$C$5)&amp;"",""),Office_Log!$A$2:$A$201,0))&amp;"",IFERROR(INDEX(Clay_Offices!$A$2:$FZ$601,170,Sync!$C$5)&amp;"","")&amp;""))</f>
        <v/>
      </c>
      <c r="E3021" s="23" t="str">
        <f aca="false">IF(B3021="","",IFERROR(INDEX(Clay_Offices!$A$2:$FZ$601,170,Sync!$C$6)&amp;"",""))</f>
        <v/>
      </c>
      <c r="F3021" s="23" t="str">
        <f aca="false">IF(B3021="","","outreach_sent")</f>
        <v/>
      </c>
      <c r="G3021" s="23" t="str">
        <f aca="false">IF(B3021="","","")</f>
        <v/>
      </c>
      <c r="H3021" s="23" t="str">
        <f aca="false">IF(B3021="","","")</f>
        <v/>
      </c>
      <c r="I3021" s="23" t="str">
        <f aca="false">IF(B3021="","","")</f>
        <v/>
      </c>
      <c r="J3021" s="23" t="str">
        <f aca="false">IF(B3021="","","touch_3; "&amp;IFERROR(INDEX(Clay_Offices!$A$2:$FZ$601,170,Sync!$C$10)&amp;"","")&amp;"; "&amp;IFERROR(INDEX(Clay_Offices!$A$2:$FZ$601,170,Sync!$C$9)&amp;"",""))</f>
        <v/>
      </c>
      <c r="K3021" s="32" t="s">
        <v>1365</v>
      </c>
    </row>
    <row r="3022" customFormat="false" ht="15" hidden="false" customHeight="false" outlineLevel="0" collapsed="false">
      <c r="A3022" s="23" t="str">
        <f aca="false">IF(B3022="","",B3022+(14*1000+171)/10000000)</f>
        <v/>
      </c>
      <c r="B3022" s="35" t="str">
        <f aca="false">IF(AND(IFERROR(N(INDEX(Clay_Offices!$A$2:$FZ$601,171,Sync!$C$13)),0)&gt;0,IFERROR(INDEX(Clay_Offices!$A$2:$FZ$601,171,Sync!$C$5)&amp;"","")&lt;&gt;"",OR(LEFT(IFERROR(INDEX(Clay_Offices!$A$2:$FZ$601,171,Sync!$C$5)&amp;"",""),6)&lt;&gt;"SAMPLE",Config!$B$19="Y")),IFERROR(N(INDEX(Clay_Offices!$A$2:$FZ$601,171,Sync!$C$13)),0),"")</f>
        <v/>
      </c>
      <c r="C3022" s="23" t="str">
        <f aca="false">IF(B3022="","","office")</f>
        <v/>
      </c>
      <c r="D3022" s="23" t="str">
        <f aca="false">IF(B3022="","",IFERROR(INDEX(Office_Log!$ED$2:$ED$201,MATCH(IFERROR(INDEX(Clay_Offices!$A$2:$FZ$601,171,Sync!$C$5)&amp;"",""),Office_Log!$A$2:$A$201,0))&amp;"",IFERROR(INDEX(Clay_Offices!$A$2:$FZ$601,171,Sync!$C$5)&amp;"","")&amp;""))</f>
        <v/>
      </c>
      <c r="E3022" s="23" t="str">
        <f aca="false">IF(B3022="","",IFERROR(INDEX(Clay_Offices!$A$2:$FZ$601,171,Sync!$C$6)&amp;"",""))</f>
        <v/>
      </c>
      <c r="F3022" s="23" t="str">
        <f aca="false">IF(B3022="","","outreach_sent")</f>
        <v/>
      </c>
      <c r="G3022" s="23" t="str">
        <f aca="false">IF(B3022="","","")</f>
        <v/>
      </c>
      <c r="H3022" s="23" t="str">
        <f aca="false">IF(B3022="","","")</f>
        <v/>
      </c>
      <c r="I3022" s="23" t="str">
        <f aca="false">IF(B3022="","","")</f>
        <v/>
      </c>
      <c r="J3022" s="23" t="str">
        <f aca="false">IF(B3022="","","touch_3; "&amp;IFERROR(INDEX(Clay_Offices!$A$2:$FZ$601,171,Sync!$C$10)&amp;"","")&amp;"; "&amp;IFERROR(INDEX(Clay_Offices!$A$2:$FZ$601,171,Sync!$C$9)&amp;"",""))</f>
        <v/>
      </c>
      <c r="K3022" s="32" t="s">
        <v>1365</v>
      </c>
    </row>
    <row r="3023" customFormat="false" ht="15" hidden="false" customHeight="false" outlineLevel="0" collapsed="false">
      <c r="A3023" s="23" t="str">
        <f aca="false">IF(B3023="","",B3023+(14*1000+172)/10000000)</f>
        <v/>
      </c>
      <c r="B3023" s="35" t="str">
        <f aca="false">IF(AND(IFERROR(N(INDEX(Clay_Offices!$A$2:$FZ$601,172,Sync!$C$13)),0)&gt;0,IFERROR(INDEX(Clay_Offices!$A$2:$FZ$601,172,Sync!$C$5)&amp;"","")&lt;&gt;"",OR(LEFT(IFERROR(INDEX(Clay_Offices!$A$2:$FZ$601,172,Sync!$C$5)&amp;"",""),6)&lt;&gt;"SAMPLE",Config!$B$19="Y")),IFERROR(N(INDEX(Clay_Offices!$A$2:$FZ$601,172,Sync!$C$13)),0),"")</f>
        <v/>
      </c>
      <c r="C3023" s="23" t="str">
        <f aca="false">IF(B3023="","","office")</f>
        <v/>
      </c>
      <c r="D3023" s="23" t="str">
        <f aca="false">IF(B3023="","",IFERROR(INDEX(Office_Log!$ED$2:$ED$201,MATCH(IFERROR(INDEX(Clay_Offices!$A$2:$FZ$601,172,Sync!$C$5)&amp;"",""),Office_Log!$A$2:$A$201,0))&amp;"",IFERROR(INDEX(Clay_Offices!$A$2:$FZ$601,172,Sync!$C$5)&amp;"","")&amp;""))</f>
        <v/>
      </c>
      <c r="E3023" s="23" t="str">
        <f aca="false">IF(B3023="","",IFERROR(INDEX(Clay_Offices!$A$2:$FZ$601,172,Sync!$C$6)&amp;"",""))</f>
        <v/>
      </c>
      <c r="F3023" s="23" t="str">
        <f aca="false">IF(B3023="","","outreach_sent")</f>
        <v/>
      </c>
      <c r="G3023" s="23" t="str">
        <f aca="false">IF(B3023="","","")</f>
        <v/>
      </c>
      <c r="H3023" s="23" t="str">
        <f aca="false">IF(B3023="","","")</f>
        <v/>
      </c>
      <c r="I3023" s="23" t="str">
        <f aca="false">IF(B3023="","","")</f>
        <v/>
      </c>
      <c r="J3023" s="23" t="str">
        <f aca="false">IF(B3023="","","touch_3; "&amp;IFERROR(INDEX(Clay_Offices!$A$2:$FZ$601,172,Sync!$C$10)&amp;"","")&amp;"; "&amp;IFERROR(INDEX(Clay_Offices!$A$2:$FZ$601,172,Sync!$C$9)&amp;"",""))</f>
        <v/>
      </c>
      <c r="K3023" s="32" t="s">
        <v>1365</v>
      </c>
    </row>
    <row r="3024" customFormat="false" ht="15" hidden="false" customHeight="false" outlineLevel="0" collapsed="false">
      <c r="A3024" s="23" t="str">
        <f aca="false">IF(B3024="","",B3024+(14*1000+173)/10000000)</f>
        <v/>
      </c>
      <c r="B3024" s="35" t="str">
        <f aca="false">IF(AND(IFERROR(N(INDEX(Clay_Offices!$A$2:$FZ$601,173,Sync!$C$13)),0)&gt;0,IFERROR(INDEX(Clay_Offices!$A$2:$FZ$601,173,Sync!$C$5)&amp;"","")&lt;&gt;"",OR(LEFT(IFERROR(INDEX(Clay_Offices!$A$2:$FZ$601,173,Sync!$C$5)&amp;"",""),6)&lt;&gt;"SAMPLE",Config!$B$19="Y")),IFERROR(N(INDEX(Clay_Offices!$A$2:$FZ$601,173,Sync!$C$13)),0),"")</f>
        <v/>
      </c>
      <c r="C3024" s="23" t="str">
        <f aca="false">IF(B3024="","","office")</f>
        <v/>
      </c>
      <c r="D3024" s="23" t="str">
        <f aca="false">IF(B3024="","",IFERROR(INDEX(Office_Log!$ED$2:$ED$201,MATCH(IFERROR(INDEX(Clay_Offices!$A$2:$FZ$601,173,Sync!$C$5)&amp;"",""),Office_Log!$A$2:$A$201,0))&amp;"",IFERROR(INDEX(Clay_Offices!$A$2:$FZ$601,173,Sync!$C$5)&amp;"","")&amp;""))</f>
        <v/>
      </c>
      <c r="E3024" s="23" t="str">
        <f aca="false">IF(B3024="","",IFERROR(INDEX(Clay_Offices!$A$2:$FZ$601,173,Sync!$C$6)&amp;"",""))</f>
        <v/>
      </c>
      <c r="F3024" s="23" t="str">
        <f aca="false">IF(B3024="","","outreach_sent")</f>
        <v/>
      </c>
      <c r="G3024" s="23" t="str">
        <f aca="false">IF(B3024="","","")</f>
        <v/>
      </c>
      <c r="H3024" s="23" t="str">
        <f aca="false">IF(B3024="","","")</f>
        <v/>
      </c>
      <c r="I3024" s="23" t="str">
        <f aca="false">IF(B3024="","","")</f>
        <v/>
      </c>
      <c r="J3024" s="23" t="str">
        <f aca="false">IF(B3024="","","touch_3; "&amp;IFERROR(INDEX(Clay_Offices!$A$2:$FZ$601,173,Sync!$C$10)&amp;"","")&amp;"; "&amp;IFERROR(INDEX(Clay_Offices!$A$2:$FZ$601,173,Sync!$C$9)&amp;"",""))</f>
        <v/>
      </c>
      <c r="K3024" s="32" t="s">
        <v>1365</v>
      </c>
    </row>
    <row r="3025" customFormat="false" ht="15" hidden="false" customHeight="false" outlineLevel="0" collapsed="false">
      <c r="A3025" s="23" t="str">
        <f aca="false">IF(B3025="","",B3025+(14*1000+174)/10000000)</f>
        <v/>
      </c>
      <c r="B3025" s="35" t="str">
        <f aca="false">IF(AND(IFERROR(N(INDEX(Clay_Offices!$A$2:$FZ$601,174,Sync!$C$13)),0)&gt;0,IFERROR(INDEX(Clay_Offices!$A$2:$FZ$601,174,Sync!$C$5)&amp;"","")&lt;&gt;"",OR(LEFT(IFERROR(INDEX(Clay_Offices!$A$2:$FZ$601,174,Sync!$C$5)&amp;"",""),6)&lt;&gt;"SAMPLE",Config!$B$19="Y")),IFERROR(N(INDEX(Clay_Offices!$A$2:$FZ$601,174,Sync!$C$13)),0),"")</f>
        <v/>
      </c>
      <c r="C3025" s="23" t="str">
        <f aca="false">IF(B3025="","","office")</f>
        <v/>
      </c>
      <c r="D3025" s="23" t="str">
        <f aca="false">IF(B3025="","",IFERROR(INDEX(Office_Log!$ED$2:$ED$201,MATCH(IFERROR(INDEX(Clay_Offices!$A$2:$FZ$601,174,Sync!$C$5)&amp;"",""),Office_Log!$A$2:$A$201,0))&amp;"",IFERROR(INDEX(Clay_Offices!$A$2:$FZ$601,174,Sync!$C$5)&amp;"","")&amp;""))</f>
        <v/>
      </c>
      <c r="E3025" s="23" t="str">
        <f aca="false">IF(B3025="","",IFERROR(INDEX(Clay_Offices!$A$2:$FZ$601,174,Sync!$C$6)&amp;"",""))</f>
        <v/>
      </c>
      <c r="F3025" s="23" t="str">
        <f aca="false">IF(B3025="","","outreach_sent")</f>
        <v/>
      </c>
      <c r="G3025" s="23" t="str">
        <f aca="false">IF(B3025="","","")</f>
        <v/>
      </c>
      <c r="H3025" s="23" t="str">
        <f aca="false">IF(B3025="","","")</f>
        <v/>
      </c>
      <c r="I3025" s="23" t="str">
        <f aca="false">IF(B3025="","","")</f>
        <v/>
      </c>
      <c r="J3025" s="23" t="str">
        <f aca="false">IF(B3025="","","touch_3; "&amp;IFERROR(INDEX(Clay_Offices!$A$2:$FZ$601,174,Sync!$C$10)&amp;"","")&amp;"; "&amp;IFERROR(INDEX(Clay_Offices!$A$2:$FZ$601,174,Sync!$C$9)&amp;"",""))</f>
        <v/>
      </c>
      <c r="K3025" s="32" t="s">
        <v>1365</v>
      </c>
    </row>
    <row r="3026" customFormat="false" ht="15" hidden="false" customHeight="false" outlineLevel="0" collapsed="false">
      <c r="A3026" s="23" t="str">
        <f aca="false">IF(B3026="","",B3026+(14*1000+175)/10000000)</f>
        <v/>
      </c>
      <c r="B3026" s="35" t="str">
        <f aca="false">IF(AND(IFERROR(N(INDEX(Clay_Offices!$A$2:$FZ$601,175,Sync!$C$13)),0)&gt;0,IFERROR(INDEX(Clay_Offices!$A$2:$FZ$601,175,Sync!$C$5)&amp;"","")&lt;&gt;"",OR(LEFT(IFERROR(INDEX(Clay_Offices!$A$2:$FZ$601,175,Sync!$C$5)&amp;"",""),6)&lt;&gt;"SAMPLE",Config!$B$19="Y")),IFERROR(N(INDEX(Clay_Offices!$A$2:$FZ$601,175,Sync!$C$13)),0),"")</f>
        <v/>
      </c>
      <c r="C3026" s="23" t="str">
        <f aca="false">IF(B3026="","","office")</f>
        <v/>
      </c>
      <c r="D3026" s="23" t="str">
        <f aca="false">IF(B3026="","",IFERROR(INDEX(Office_Log!$ED$2:$ED$201,MATCH(IFERROR(INDEX(Clay_Offices!$A$2:$FZ$601,175,Sync!$C$5)&amp;"",""),Office_Log!$A$2:$A$201,0))&amp;"",IFERROR(INDEX(Clay_Offices!$A$2:$FZ$601,175,Sync!$C$5)&amp;"","")&amp;""))</f>
        <v/>
      </c>
      <c r="E3026" s="23" t="str">
        <f aca="false">IF(B3026="","",IFERROR(INDEX(Clay_Offices!$A$2:$FZ$601,175,Sync!$C$6)&amp;"",""))</f>
        <v/>
      </c>
      <c r="F3026" s="23" t="str">
        <f aca="false">IF(B3026="","","outreach_sent")</f>
        <v/>
      </c>
      <c r="G3026" s="23" t="str">
        <f aca="false">IF(B3026="","","")</f>
        <v/>
      </c>
      <c r="H3026" s="23" t="str">
        <f aca="false">IF(B3026="","","")</f>
        <v/>
      </c>
      <c r="I3026" s="23" t="str">
        <f aca="false">IF(B3026="","","")</f>
        <v/>
      </c>
      <c r="J3026" s="23" t="str">
        <f aca="false">IF(B3026="","","touch_3; "&amp;IFERROR(INDEX(Clay_Offices!$A$2:$FZ$601,175,Sync!$C$10)&amp;"","")&amp;"; "&amp;IFERROR(INDEX(Clay_Offices!$A$2:$FZ$601,175,Sync!$C$9)&amp;"",""))</f>
        <v/>
      </c>
      <c r="K3026" s="32" t="s">
        <v>1365</v>
      </c>
    </row>
    <row r="3027" customFormat="false" ht="15" hidden="false" customHeight="false" outlineLevel="0" collapsed="false">
      <c r="A3027" s="23" t="str">
        <f aca="false">IF(B3027="","",B3027+(14*1000+176)/10000000)</f>
        <v/>
      </c>
      <c r="B3027" s="35" t="str">
        <f aca="false">IF(AND(IFERROR(N(INDEX(Clay_Offices!$A$2:$FZ$601,176,Sync!$C$13)),0)&gt;0,IFERROR(INDEX(Clay_Offices!$A$2:$FZ$601,176,Sync!$C$5)&amp;"","")&lt;&gt;"",OR(LEFT(IFERROR(INDEX(Clay_Offices!$A$2:$FZ$601,176,Sync!$C$5)&amp;"",""),6)&lt;&gt;"SAMPLE",Config!$B$19="Y")),IFERROR(N(INDEX(Clay_Offices!$A$2:$FZ$601,176,Sync!$C$13)),0),"")</f>
        <v/>
      </c>
      <c r="C3027" s="23" t="str">
        <f aca="false">IF(B3027="","","office")</f>
        <v/>
      </c>
      <c r="D3027" s="23" t="str">
        <f aca="false">IF(B3027="","",IFERROR(INDEX(Office_Log!$ED$2:$ED$201,MATCH(IFERROR(INDEX(Clay_Offices!$A$2:$FZ$601,176,Sync!$C$5)&amp;"",""),Office_Log!$A$2:$A$201,0))&amp;"",IFERROR(INDEX(Clay_Offices!$A$2:$FZ$601,176,Sync!$C$5)&amp;"","")&amp;""))</f>
        <v/>
      </c>
      <c r="E3027" s="23" t="str">
        <f aca="false">IF(B3027="","",IFERROR(INDEX(Clay_Offices!$A$2:$FZ$601,176,Sync!$C$6)&amp;"",""))</f>
        <v/>
      </c>
      <c r="F3027" s="23" t="str">
        <f aca="false">IF(B3027="","","outreach_sent")</f>
        <v/>
      </c>
      <c r="G3027" s="23" t="str">
        <f aca="false">IF(B3027="","","")</f>
        <v/>
      </c>
      <c r="H3027" s="23" t="str">
        <f aca="false">IF(B3027="","","")</f>
        <v/>
      </c>
      <c r="I3027" s="23" t="str">
        <f aca="false">IF(B3027="","","")</f>
        <v/>
      </c>
      <c r="J3027" s="23" t="str">
        <f aca="false">IF(B3027="","","touch_3; "&amp;IFERROR(INDEX(Clay_Offices!$A$2:$FZ$601,176,Sync!$C$10)&amp;"","")&amp;"; "&amp;IFERROR(INDEX(Clay_Offices!$A$2:$FZ$601,176,Sync!$C$9)&amp;"",""))</f>
        <v/>
      </c>
      <c r="K3027" s="32" t="s">
        <v>1365</v>
      </c>
    </row>
    <row r="3028" customFormat="false" ht="15" hidden="false" customHeight="false" outlineLevel="0" collapsed="false">
      <c r="A3028" s="23" t="str">
        <f aca="false">IF(B3028="","",B3028+(14*1000+177)/10000000)</f>
        <v/>
      </c>
      <c r="B3028" s="35" t="str">
        <f aca="false">IF(AND(IFERROR(N(INDEX(Clay_Offices!$A$2:$FZ$601,177,Sync!$C$13)),0)&gt;0,IFERROR(INDEX(Clay_Offices!$A$2:$FZ$601,177,Sync!$C$5)&amp;"","")&lt;&gt;"",OR(LEFT(IFERROR(INDEX(Clay_Offices!$A$2:$FZ$601,177,Sync!$C$5)&amp;"",""),6)&lt;&gt;"SAMPLE",Config!$B$19="Y")),IFERROR(N(INDEX(Clay_Offices!$A$2:$FZ$601,177,Sync!$C$13)),0),"")</f>
        <v/>
      </c>
      <c r="C3028" s="23" t="str">
        <f aca="false">IF(B3028="","","office")</f>
        <v/>
      </c>
      <c r="D3028" s="23" t="str">
        <f aca="false">IF(B3028="","",IFERROR(INDEX(Office_Log!$ED$2:$ED$201,MATCH(IFERROR(INDEX(Clay_Offices!$A$2:$FZ$601,177,Sync!$C$5)&amp;"",""),Office_Log!$A$2:$A$201,0))&amp;"",IFERROR(INDEX(Clay_Offices!$A$2:$FZ$601,177,Sync!$C$5)&amp;"","")&amp;""))</f>
        <v/>
      </c>
      <c r="E3028" s="23" t="str">
        <f aca="false">IF(B3028="","",IFERROR(INDEX(Clay_Offices!$A$2:$FZ$601,177,Sync!$C$6)&amp;"",""))</f>
        <v/>
      </c>
      <c r="F3028" s="23" t="str">
        <f aca="false">IF(B3028="","","outreach_sent")</f>
        <v/>
      </c>
      <c r="G3028" s="23" t="str">
        <f aca="false">IF(B3028="","","")</f>
        <v/>
      </c>
      <c r="H3028" s="23" t="str">
        <f aca="false">IF(B3028="","","")</f>
        <v/>
      </c>
      <c r="I3028" s="23" t="str">
        <f aca="false">IF(B3028="","","")</f>
        <v/>
      </c>
      <c r="J3028" s="23" t="str">
        <f aca="false">IF(B3028="","","touch_3; "&amp;IFERROR(INDEX(Clay_Offices!$A$2:$FZ$601,177,Sync!$C$10)&amp;"","")&amp;"; "&amp;IFERROR(INDEX(Clay_Offices!$A$2:$FZ$601,177,Sync!$C$9)&amp;"",""))</f>
        <v/>
      </c>
      <c r="K3028" s="32" t="s">
        <v>1365</v>
      </c>
    </row>
    <row r="3029" customFormat="false" ht="15" hidden="false" customHeight="false" outlineLevel="0" collapsed="false">
      <c r="A3029" s="23" t="str">
        <f aca="false">IF(B3029="","",B3029+(14*1000+178)/10000000)</f>
        <v/>
      </c>
      <c r="B3029" s="35" t="str">
        <f aca="false">IF(AND(IFERROR(N(INDEX(Clay_Offices!$A$2:$FZ$601,178,Sync!$C$13)),0)&gt;0,IFERROR(INDEX(Clay_Offices!$A$2:$FZ$601,178,Sync!$C$5)&amp;"","")&lt;&gt;"",OR(LEFT(IFERROR(INDEX(Clay_Offices!$A$2:$FZ$601,178,Sync!$C$5)&amp;"",""),6)&lt;&gt;"SAMPLE",Config!$B$19="Y")),IFERROR(N(INDEX(Clay_Offices!$A$2:$FZ$601,178,Sync!$C$13)),0),"")</f>
        <v/>
      </c>
      <c r="C3029" s="23" t="str">
        <f aca="false">IF(B3029="","","office")</f>
        <v/>
      </c>
      <c r="D3029" s="23" t="str">
        <f aca="false">IF(B3029="","",IFERROR(INDEX(Office_Log!$ED$2:$ED$201,MATCH(IFERROR(INDEX(Clay_Offices!$A$2:$FZ$601,178,Sync!$C$5)&amp;"",""),Office_Log!$A$2:$A$201,0))&amp;"",IFERROR(INDEX(Clay_Offices!$A$2:$FZ$601,178,Sync!$C$5)&amp;"","")&amp;""))</f>
        <v/>
      </c>
      <c r="E3029" s="23" t="str">
        <f aca="false">IF(B3029="","",IFERROR(INDEX(Clay_Offices!$A$2:$FZ$601,178,Sync!$C$6)&amp;"",""))</f>
        <v/>
      </c>
      <c r="F3029" s="23" t="str">
        <f aca="false">IF(B3029="","","outreach_sent")</f>
        <v/>
      </c>
      <c r="G3029" s="23" t="str">
        <f aca="false">IF(B3029="","","")</f>
        <v/>
      </c>
      <c r="H3029" s="23" t="str">
        <f aca="false">IF(B3029="","","")</f>
        <v/>
      </c>
      <c r="I3029" s="23" t="str">
        <f aca="false">IF(B3029="","","")</f>
        <v/>
      </c>
      <c r="J3029" s="23" t="str">
        <f aca="false">IF(B3029="","","touch_3; "&amp;IFERROR(INDEX(Clay_Offices!$A$2:$FZ$601,178,Sync!$C$10)&amp;"","")&amp;"; "&amp;IFERROR(INDEX(Clay_Offices!$A$2:$FZ$601,178,Sync!$C$9)&amp;"",""))</f>
        <v/>
      </c>
      <c r="K3029" s="32" t="s">
        <v>1365</v>
      </c>
    </row>
    <row r="3030" customFormat="false" ht="15" hidden="false" customHeight="false" outlineLevel="0" collapsed="false">
      <c r="A3030" s="23" t="str">
        <f aca="false">IF(B3030="","",B3030+(14*1000+179)/10000000)</f>
        <v/>
      </c>
      <c r="B3030" s="35" t="str">
        <f aca="false">IF(AND(IFERROR(N(INDEX(Clay_Offices!$A$2:$FZ$601,179,Sync!$C$13)),0)&gt;0,IFERROR(INDEX(Clay_Offices!$A$2:$FZ$601,179,Sync!$C$5)&amp;"","")&lt;&gt;"",OR(LEFT(IFERROR(INDEX(Clay_Offices!$A$2:$FZ$601,179,Sync!$C$5)&amp;"",""),6)&lt;&gt;"SAMPLE",Config!$B$19="Y")),IFERROR(N(INDEX(Clay_Offices!$A$2:$FZ$601,179,Sync!$C$13)),0),"")</f>
        <v/>
      </c>
      <c r="C3030" s="23" t="str">
        <f aca="false">IF(B3030="","","office")</f>
        <v/>
      </c>
      <c r="D3030" s="23" t="str">
        <f aca="false">IF(B3030="","",IFERROR(INDEX(Office_Log!$ED$2:$ED$201,MATCH(IFERROR(INDEX(Clay_Offices!$A$2:$FZ$601,179,Sync!$C$5)&amp;"",""),Office_Log!$A$2:$A$201,0))&amp;"",IFERROR(INDEX(Clay_Offices!$A$2:$FZ$601,179,Sync!$C$5)&amp;"","")&amp;""))</f>
        <v/>
      </c>
      <c r="E3030" s="23" t="str">
        <f aca="false">IF(B3030="","",IFERROR(INDEX(Clay_Offices!$A$2:$FZ$601,179,Sync!$C$6)&amp;"",""))</f>
        <v/>
      </c>
      <c r="F3030" s="23" t="str">
        <f aca="false">IF(B3030="","","outreach_sent")</f>
        <v/>
      </c>
      <c r="G3030" s="23" t="str">
        <f aca="false">IF(B3030="","","")</f>
        <v/>
      </c>
      <c r="H3030" s="23" t="str">
        <f aca="false">IF(B3030="","","")</f>
        <v/>
      </c>
      <c r="I3030" s="23" t="str">
        <f aca="false">IF(B3030="","","")</f>
        <v/>
      </c>
      <c r="J3030" s="23" t="str">
        <f aca="false">IF(B3030="","","touch_3; "&amp;IFERROR(INDEX(Clay_Offices!$A$2:$FZ$601,179,Sync!$C$10)&amp;"","")&amp;"; "&amp;IFERROR(INDEX(Clay_Offices!$A$2:$FZ$601,179,Sync!$C$9)&amp;"",""))</f>
        <v/>
      </c>
      <c r="K3030" s="32" t="s">
        <v>1365</v>
      </c>
    </row>
    <row r="3031" customFormat="false" ht="15" hidden="false" customHeight="false" outlineLevel="0" collapsed="false">
      <c r="A3031" s="23" t="str">
        <f aca="false">IF(B3031="","",B3031+(14*1000+180)/10000000)</f>
        <v/>
      </c>
      <c r="B3031" s="35" t="str">
        <f aca="false">IF(AND(IFERROR(N(INDEX(Clay_Offices!$A$2:$FZ$601,180,Sync!$C$13)),0)&gt;0,IFERROR(INDEX(Clay_Offices!$A$2:$FZ$601,180,Sync!$C$5)&amp;"","")&lt;&gt;"",OR(LEFT(IFERROR(INDEX(Clay_Offices!$A$2:$FZ$601,180,Sync!$C$5)&amp;"",""),6)&lt;&gt;"SAMPLE",Config!$B$19="Y")),IFERROR(N(INDEX(Clay_Offices!$A$2:$FZ$601,180,Sync!$C$13)),0),"")</f>
        <v/>
      </c>
      <c r="C3031" s="23" t="str">
        <f aca="false">IF(B3031="","","office")</f>
        <v/>
      </c>
      <c r="D3031" s="23" t="str">
        <f aca="false">IF(B3031="","",IFERROR(INDEX(Office_Log!$ED$2:$ED$201,MATCH(IFERROR(INDEX(Clay_Offices!$A$2:$FZ$601,180,Sync!$C$5)&amp;"",""),Office_Log!$A$2:$A$201,0))&amp;"",IFERROR(INDEX(Clay_Offices!$A$2:$FZ$601,180,Sync!$C$5)&amp;"","")&amp;""))</f>
        <v/>
      </c>
      <c r="E3031" s="23" t="str">
        <f aca="false">IF(B3031="","",IFERROR(INDEX(Clay_Offices!$A$2:$FZ$601,180,Sync!$C$6)&amp;"",""))</f>
        <v/>
      </c>
      <c r="F3031" s="23" t="str">
        <f aca="false">IF(B3031="","","outreach_sent")</f>
        <v/>
      </c>
      <c r="G3031" s="23" t="str">
        <f aca="false">IF(B3031="","","")</f>
        <v/>
      </c>
      <c r="H3031" s="23" t="str">
        <f aca="false">IF(B3031="","","")</f>
        <v/>
      </c>
      <c r="I3031" s="23" t="str">
        <f aca="false">IF(B3031="","","")</f>
        <v/>
      </c>
      <c r="J3031" s="23" t="str">
        <f aca="false">IF(B3031="","","touch_3; "&amp;IFERROR(INDEX(Clay_Offices!$A$2:$FZ$601,180,Sync!$C$10)&amp;"","")&amp;"; "&amp;IFERROR(INDEX(Clay_Offices!$A$2:$FZ$601,180,Sync!$C$9)&amp;"",""))</f>
        <v/>
      </c>
      <c r="K3031" s="32" t="s">
        <v>1365</v>
      </c>
    </row>
    <row r="3032" customFormat="false" ht="15" hidden="false" customHeight="false" outlineLevel="0" collapsed="false">
      <c r="A3032" s="23" t="str">
        <f aca="false">IF(B3032="","",B3032+(14*1000+181)/10000000)</f>
        <v/>
      </c>
      <c r="B3032" s="35" t="str">
        <f aca="false">IF(AND(IFERROR(N(INDEX(Clay_Offices!$A$2:$FZ$601,181,Sync!$C$13)),0)&gt;0,IFERROR(INDEX(Clay_Offices!$A$2:$FZ$601,181,Sync!$C$5)&amp;"","")&lt;&gt;"",OR(LEFT(IFERROR(INDEX(Clay_Offices!$A$2:$FZ$601,181,Sync!$C$5)&amp;"",""),6)&lt;&gt;"SAMPLE",Config!$B$19="Y")),IFERROR(N(INDEX(Clay_Offices!$A$2:$FZ$601,181,Sync!$C$13)),0),"")</f>
        <v/>
      </c>
      <c r="C3032" s="23" t="str">
        <f aca="false">IF(B3032="","","office")</f>
        <v/>
      </c>
      <c r="D3032" s="23" t="str">
        <f aca="false">IF(B3032="","",IFERROR(INDEX(Office_Log!$ED$2:$ED$201,MATCH(IFERROR(INDEX(Clay_Offices!$A$2:$FZ$601,181,Sync!$C$5)&amp;"",""),Office_Log!$A$2:$A$201,0))&amp;"",IFERROR(INDEX(Clay_Offices!$A$2:$FZ$601,181,Sync!$C$5)&amp;"","")&amp;""))</f>
        <v/>
      </c>
      <c r="E3032" s="23" t="str">
        <f aca="false">IF(B3032="","",IFERROR(INDEX(Clay_Offices!$A$2:$FZ$601,181,Sync!$C$6)&amp;"",""))</f>
        <v/>
      </c>
      <c r="F3032" s="23" t="str">
        <f aca="false">IF(B3032="","","outreach_sent")</f>
        <v/>
      </c>
      <c r="G3032" s="23" t="str">
        <f aca="false">IF(B3032="","","")</f>
        <v/>
      </c>
      <c r="H3032" s="23" t="str">
        <f aca="false">IF(B3032="","","")</f>
        <v/>
      </c>
      <c r="I3032" s="23" t="str">
        <f aca="false">IF(B3032="","","")</f>
        <v/>
      </c>
      <c r="J3032" s="23" t="str">
        <f aca="false">IF(B3032="","","touch_3; "&amp;IFERROR(INDEX(Clay_Offices!$A$2:$FZ$601,181,Sync!$C$10)&amp;"","")&amp;"; "&amp;IFERROR(INDEX(Clay_Offices!$A$2:$FZ$601,181,Sync!$C$9)&amp;"",""))</f>
        <v/>
      </c>
      <c r="K3032" s="32" t="s">
        <v>1365</v>
      </c>
    </row>
    <row r="3033" customFormat="false" ht="15" hidden="false" customHeight="false" outlineLevel="0" collapsed="false">
      <c r="A3033" s="23" t="str">
        <f aca="false">IF(B3033="","",B3033+(14*1000+182)/10000000)</f>
        <v/>
      </c>
      <c r="B3033" s="35" t="str">
        <f aca="false">IF(AND(IFERROR(N(INDEX(Clay_Offices!$A$2:$FZ$601,182,Sync!$C$13)),0)&gt;0,IFERROR(INDEX(Clay_Offices!$A$2:$FZ$601,182,Sync!$C$5)&amp;"","")&lt;&gt;"",OR(LEFT(IFERROR(INDEX(Clay_Offices!$A$2:$FZ$601,182,Sync!$C$5)&amp;"",""),6)&lt;&gt;"SAMPLE",Config!$B$19="Y")),IFERROR(N(INDEX(Clay_Offices!$A$2:$FZ$601,182,Sync!$C$13)),0),"")</f>
        <v/>
      </c>
      <c r="C3033" s="23" t="str">
        <f aca="false">IF(B3033="","","office")</f>
        <v/>
      </c>
      <c r="D3033" s="23" t="str">
        <f aca="false">IF(B3033="","",IFERROR(INDEX(Office_Log!$ED$2:$ED$201,MATCH(IFERROR(INDEX(Clay_Offices!$A$2:$FZ$601,182,Sync!$C$5)&amp;"",""),Office_Log!$A$2:$A$201,0))&amp;"",IFERROR(INDEX(Clay_Offices!$A$2:$FZ$601,182,Sync!$C$5)&amp;"","")&amp;""))</f>
        <v/>
      </c>
      <c r="E3033" s="23" t="str">
        <f aca="false">IF(B3033="","",IFERROR(INDEX(Clay_Offices!$A$2:$FZ$601,182,Sync!$C$6)&amp;"",""))</f>
        <v/>
      </c>
      <c r="F3033" s="23" t="str">
        <f aca="false">IF(B3033="","","outreach_sent")</f>
        <v/>
      </c>
      <c r="G3033" s="23" t="str">
        <f aca="false">IF(B3033="","","")</f>
        <v/>
      </c>
      <c r="H3033" s="23" t="str">
        <f aca="false">IF(B3033="","","")</f>
        <v/>
      </c>
      <c r="I3033" s="23" t="str">
        <f aca="false">IF(B3033="","","")</f>
        <v/>
      </c>
      <c r="J3033" s="23" t="str">
        <f aca="false">IF(B3033="","","touch_3; "&amp;IFERROR(INDEX(Clay_Offices!$A$2:$FZ$601,182,Sync!$C$10)&amp;"","")&amp;"; "&amp;IFERROR(INDEX(Clay_Offices!$A$2:$FZ$601,182,Sync!$C$9)&amp;"",""))</f>
        <v/>
      </c>
      <c r="K3033" s="32" t="s">
        <v>1365</v>
      </c>
    </row>
    <row r="3034" customFormat="false" ht="15" hidden="false" customHeight="false" outlineLevel="0" collapsed="false">
      <c r="A3034" s="23" t="str">
        <f aca="false">IF(B3034="","",B3034+(14*1000+183)/10000000)</f>
        <v/>
      </c>
      <c r="B3034" s="35" t="str">
        <f aca="false">IF(AND(IFERROR(N(INDEX(Clay_Offices!$A$2:$FZ$601,183,Sync!$C$13)),0)&gt;0,IFERROR(INDEX(Clay_Offices!$A$2:$FZ$601,183,Sync!$C$5)&amp;"","")&lt;&gt;"",OR(LEFT(IFERROR(INDEX(Clay_Offices!$A$2:$FZ$601,183,Sync!$C$5)&amp;"",""),6)&lt;&gt;"SAMPLE",Config!$B$19="Y")),IFERROR(N(INDEX(Clay_Offices!$A$2:$FZ$601,183,Sync!$C$13)),0),"")</f>
        <v/>
      </c>
      <c r="C3034" s="23" t="str">
        <f aca="false">IF(B3034="","","office")</f>
        <v/>
      </c>
      <c r="D3034" s="23" t="str">
        <f aca="false">IF(B3034="","",IFERROR(INDEX(Office_Log!$ED$2:$ED$201,MATCH(IFERROR(INDEX(Clay_Offices!$A$2:$FZ$601,183,Sync!$C$5)&amp;"",""),Office_Log!$A$2:$A$201,0))&amp;"",IFERROR(INDEX(Clay_Offices!$A$2:$FZ$601,183,Sync!$C$5)&amp;"","")&amp;""))</f>
        <v/>
      </c>
      <c r="E3034" s="23" t="str">
        <f aca="false">IF(B3034="","",IFERROR(INDEX(Clay_Offices!$A$2:$FZ$601,183,Sync!$C$6)&amp;"",""))</f>
        <v/>
      </c>
      <c r="F3034" s="23" t="str">
        <f aca="false">IF(B3034="","","outreach_sent")</f>
        <v/>
      </c>
      <c r="G3034" s="23" t="str">
        <f aca="false">IF(B3034="","","")</f>
        <v/>
      </c>
      <c r="H3034" s="23" t="str">
        <f aca="false">IF(B3034="","","")</f>
        <v/>
      </c>
      <c r="I3034" s="23" t="str">
        <f aca="false">IF(B3034="","","")</f>
        <v/>
      </c>
      <c r="J3034" s="23" t="str">
        <f aca="false">IF(B3034="","","touch_3; "&amp;IFERROR(INDEX(Clay_Offices!$A$2:$FZ$601,183,Sync!$C$10)&amp;"","")&amp;"; "&amp;IFERROR(INDEX(Clay_Offices!$A$2:$FZ$601,183,Sync!$C$9)&amp;"",""))</f>
        <v/>
      </c>
      <c r="K3034" s="32" t="s">
        <v>1365</v>
      </c>
    </row>
    <row r="3035" customFormat="false" ht="15" hidden="false" customHeight="false" outlineLevel="0" collapsed="false">
      <c r="A3035" s="23" t="str">
        <f aca="false">IF(B3035="","",B3035+(14*1000+184)/10000000)</f>
        <v/>
      </c>
      <c r="B3035" s="35" t="str">
        <f aca="false">IF(AND(IFERROR(N(INDEX(Clay_Offices!$A$2:$FZ$601,184,Sync!$C$13)),0)&gt;0,IFERROR(INDEX(Clay_Offices!$A$2:$FZ$601,184,Sync!$C$5)&amp;"","")&lt;&gt;"",OR(LEFT(IFERROR(INDEX(Clay_Offices!$A$2:$FZ$601,184,Sync!$C$5)&amp;"",""),6)&lt;&gt;"SAMPLE",Config!$B$19="Y")),IFERROR(N(INDEX(Clay_Offices!$A$2:$FZ$601,184,Sync!$C$13)),0),"")</f>
        <v/>
      </c>
      <c r="C3035" s="23" t="str">
        <f aca="false">IF(B3035="","","office")</f>
        <v/>
      </c>
      <c r="D3035" s="23" t="str">
        <f aca="false">IF(B3035="","",IFERROR(INDEX(Office_Log!$ED$2:$ED$201,MATCH(IFERROR(INDEX(Clay_Offices!$A$2:$FZ$601,184,Sync!$C$5)&amp;"",""),Office_Log!$A$2:$A$201,0))&amp;"",IFERROR(INDEX(Clay_Offices!$A$2:$FZ$601,184,Sync!$C$5)&amp;"","")&amp;""))</f>
        <v/>
      </c>
      <c r="E3035" s="23" t="str">
        <f aca="false">IF(B3035="","",IFERROR(INDEX(Clay_Offices!$A$2:$FZ$601,184,Sync!$C$6)&amp;"",""))</f>
        <v/>
      </c>
      <c r="F3035" s="23" t="str">
        <f aca="false">IF(B3035="","","outreach_sent")</f>
        <v/>
      </c>
      <c r="G3035" s="23" t="str">
        <f aca="false">IF(B3035="","","")</f>
        <v/>
      </c>
      <c r="H3035" s="23" t="str">
        <f aca="false">IF(B3035="","","")</f>
        <v/>
      </c>
      <c r="I3035" s="23" t="str">
        <f aca="false">IF(B3035="","","")</f>
        <v/>
      </c>
      <c r="J3035" s="23" t="str">
        <f aca="false">IF(B3035="","","touch_3; "&amp;IFERROR(INDEX(Clay_Offices!$A$2:$FZ$601,184,Sync!$C$10)&amp;"","")&amp;"; "&amp;IFERROR(INDEX(Clay_Offices!$A$2:$FZ$601,184,Sync!$C$9)&amp;"",""))</f>
        <v/>
      </c>
      <c r="K3035" s="32" t="s">
        <v>1365</v>
      </c>
    </row>
    <row r="3036" customFormat="false" ht="15" hidden="false" customHeight="false" outlineLevel="0" collapsed="false">
      <c r="A3036" s="23" t="str">
        <f aca="false">IF(B3036="","",B3036+(14*1000+185)/10000000)</f>
        <v/>
      </c>
      <c r="B3036" s="35" t="str">
        <f aca="false">IF(AND(IFERROR(N(INDEX(Clay_Offices!$A$2:$FZ$601,185,Sync!$C$13)),0)&gt;0,IFERROR(INDEX(Clay_Offices!$A$2:$FZ$601,185,Sync!$C$5)&amp;"","")&lt;&gt;"",OR(LEFT(IFERROR(INDEX(Clay_Offices!$A$2:$FZ$601,185,Sync!$C$5)&amp;"",""),6)&lt;&gt;"SAMPLE",Config!$B$19="Y")),IFERROR(N(INDEX(Clay_Offices!$A$2:$FZ$601,185,Sync!$C$13)),0),"")</f>
        <v/>
      </c>
      <c r="C3036" s="23" t="str">
        <f aca="false">IF(B3036="","","office")</f>
        <v/>
      </c>
      <c r="D3036" s="23" t="str">
        <f aca="false">IF(B3036="","",IFERROR(INDEX(Office_Log!$ED$2:$ED$201,MATCH(IFERROR(INDEX(Clay_Offices!$A$2:$FZ$601,185,Sync!$C$5)&amp;"",""),Office_Log!$A$2:$A$201,0))&amp;"",IFERROR(INDEX(Clay_Offices!$A$2:$FZ$601,185,Sync!$C$5)&amp;"","")&amp;""))</f>
        <v/>
      </c>
      <c r="E3036" s="23" t="str">
        <f aca="false">IF(B3036="","",IFERROR(INDEX(Clay_Offices!$A$2:$FZ$601,185,Sync!$C$6)&amp;"",""))</f>
        <v/>
      </c>
      <c r="F3036" s="23" t="str">
        <f aca="false">IF(B3036="","","outreach_sent")</f>
        <v/>
      </c>
      <c r="G3036" s="23" t="str">
        <f aca="false">IF(B3036="","","")</f>
        <v/>
      </c>
      <c r="H3036" s="23" t="str">
        <f aca="false">IF(B3036="","","")</f>
        <v/>
      </c>
      <c r="I3036" s="23" t="str">
        <f aca="false">IF(B3036="","","")</f>
        <v/>
      </c>
      <c r="J3036" s="23" t="str">
        <f aca="false">IF(B3036="","","touch_3; "&amp;IFERROR(INDEX(Clay_Offices!$A$2:$FZ$601,185,Sync!$C$10)&amp;"","")&amp;"; "&amp;IFERROR(INDEX(Clay_Offices!$A$2:$FZ$601,185,Sync!$C$9)&amp;"",""))</f>
        <v/>
      </c>
      <c r="K3036" s="32" t="s">
        <v>1365</v>
      </c>
    </row>
    <row r="3037" customFormat="false" ht="15" hidden="false" customHeight="false" outlineLevel="0" collapsed="false">
      <c r="A3037" s="23" t="str">
        <f aca="false">IF(B3037="","",B3037+(14*1000+186)/10000000)</f>
        <v/>
      </c>
      <c r="B3037" s="35" t="str">
        <f aca="false">IF(AND(IFERROR(N(INDEX(Clay_Offices!$A$2:$FZ$601,186,Sync!$C$13)),0)&gt;0,IFERROR(INDEX(Clay_Offices!$A$2:$FZ$601,186,Sync!$C$5)&amp;"","")&lt;&gt;"",OR(LEFT(IFERROR(INDEX(Clay_Offices!$A$2:$FZ$601,186,Sync!$C$5)&amp;"",""),6)&lt;&gt;"SAMPLE",Config!$B$19="Y")),IFERROR(N(INDEX(Clay_Offices!$A$2:$FZ$601,186,Sync!$C$13)),0),"")</f>
        <v/>
      </c>
      <c r="C3037" s="23" t="str">
        <f aca="false">IF(B3037="","","office")</f>
        <v/>
      </c>
      <c r="D3037" s="23" t="str">
        <f aca="false">IF(B3037="","",IFERROR(INDEX(Office_Log!$ED$2:$ED$201,MATCH(IFERROR(INDEX(Clay_Offices!$A$2:$FZ$601,186,Sync!$C$5)&amp;"",""),Office_Log!$A$2:$A$201,0))&amp;"",IFERROR(INDEX(Clay_Offices!$A$2:$FZ$601,186,Sync!$C$5)&amp;"","")&amp;""))</f>
        <v/>
      </c>
      <c r="E3037" s="23" t="str">
        <f aca="false">IF(B3037="","",IFERROR(INDEX(Clay_Offices!$A$2:$FZ$601,186,Sync!$C$6)&amp;"",""))</f>
        <v/>
      </c>
      <c r="F3037" s="23" t="str">
        <f aca="false">IF(B3037="","","outreach_sent")</f>
        <v/>
      </c>
      <c r="G3037" s="23" t="str">
        <f aca="false">IF(B3037="","","")</f>
        <v/>
      </c>
      <c r="H3037" s="23" t="str">
        <f aca="false">IF(B3037="","","")</f>
        <v/>
      </c>
      <c r="I3037" s="23" t="str">
        <f aca="false">IF(B3037="","","")</f>
        <v/>
      </c>
      <c r="J3037" s="23" t="str">
        <f aca="false">IF(B3037="","","touch_3; "&amp;IFERROR(INDEX(Clay_Offices!$A$2:$FZ$601,186,Sync!$C$10)&amp;"","")&amp;"; "&amp;IFERROR(INDEX(Clay_Offices!$A$2:$FZ$601,186,Sync!$C$9)&amp;"",""))</f>
        <v/>
      </c>
      <c r="K3037" s="32" t="s">
        <v>1365</v>
      </c>
    </row>
    <row r="3038" customFormat="false" ht="15" hidden="false" customHeight="false" outlineLevel="0" collapsed="false">
      <c r="A3038" s="23" t="str">
        <f aca="false">IF(B3038="","",B3038+(14*1000+187)/10000000)</f>
        <v/>
      </c>
      <c r="B3038" s="35" t="str">
        <f aca="false">IF(AND(IFERROR(N(INDEX(Clay_Offices!$A$2:$FZ$601,187,Sync!$C$13)),0)&gt;0,IFERROR(INDEX(Clay_Offices!$A$2:$FZ$601,187,Sync!$C$5)&amp;"","")&lt;&gt;"",OR(LEFT(IFERROR(INDEX(Clay_Offices!$A$2:$FZ$601,187,Sync!$C$5)&amp;"",""),6)&lt;&gt;"SAMPLE",Config!$B$19="Y")),IFERROR(N(INDEX(Clay_Offices!$A$2:$FZ$601,187,Sync!$C$13)),0),"")</f>
        <v/>
      </c>
      <c r="C3038" s="23" t="str">
        <f aca="false">IF(B3038="","","office")</f>
        <v/>
      </c>
      <c r="D3038" s="23" t="str">
        <f aca="false">IF(B3038="","",IFERROR(INDEX(Office_Log!$ED$2:$ED$201,MATCH(IFERROR(INDEX(Clay_Offices!$A$2:$FZ$601,187,Sync!$C$5)&amp;"",""),Office_Log!$A$2:$A$201,0))&amp;"",IFERROR(INDEX(Clay_Offices!$A$2:$FZ$601,187,Sync!$C$5)&amp;"","")&amp;""))</f>
        <v/>
      </c>
      <c r="E3038" s="23" t="str">
        <f aca="false">IF(B3038="","",IFERROR(INDEX(Clay_Offices!$A$2:$FZ$601,187,Sync!$C$6)&amp;"",""))</f>
        <v/>
      </c>
      <c r="F3038" s="23" t="str">
        <f aca="false">IF(B3038="","","outreach_sent")</f>
        <v/>
      </c>
      <c r="G3038" s="23" t="str">
        <f aca="false">IF(B3038="","","")</f>
        <v/>
      </c>
      <c r="H3038" s="23" t="str">
        <f aca="false">IF(B3038="","","")</f>
        <v/>
      </c>
      <c r="I3038" s="23" t="str">
        <f aca="false">IF(B3038="","","")</f>
        <v/>
      </c>
      <c r="J3038" s="23" t="str">
        <f aca="false">IF(B3038="","","touch_3; "&amp;IFERROR(INDEX(Clay_Offices!$A$2:$FZ$601,187,Sync!$C$10)&amp;"","")&amp;"; "&amp;IFERROR(INDEX(Clay_Offices!$A$2:$FZ$601,187,Sync!$C$9)&amp;"",""))</f>
        <v/>
      </c>
      <c r="K3038" s="32" t="s">
        <v>1365</v>
      </c>
    </row>
    <row r="3039" customFormat="false" ht="15" hidden="false" customHeight="false" outlineLevel="0" collapsed="false">
      <c r="A3039" s="23" t="str">
        <f aca="false">IF(B3039="","",B3039+(14*1000+188)/10000000)</f>
        <v/>
      </c>
      <c r="B3039" s="35" t="str">
        <f aca="false">IF(AND(IFERROR(N(INDEX(Clay_Offices!$A$2:$FZ$601,188,Sync!$C$13)),0)&gt;0,IFERROR(INDEX(Clay_Offices!$A$2:$FZ$601,188,Sync!$C$5)&amp;"","")&lt;&gt;"",OR(LEFT(IFERROR(INDEX(Clay_Offices!$A$2:$FZ$601,188,Sync!$C$5)&amp;"",""),6)&lt;&gt;"SAMPLE",Config!$B$19="Y")),IFERROR(N(INDEX(Clay_Offices!$A$2:$FZ$601,188,Sync!$C$13)),0),"")</f>
        <v/>
      </c>
      <c r="C3039" s="23" t="str">
        <f aca="false">IF(B3039="","","office")</f>
        <v/>
      </c>
      <c r="D3039" s="23" t="str">
        <f aca="false">IF(B3039="","",IFERROR(INDEX(Office_Log!$ED$2:$ED$201,MATCH(IFERROR(INDEX(Clay_Offices!$A$2:$FZ$601,188,Sync!$C$5)&amp;"",""),Office_Log!$A$2:$A$201,0))&amp;"",IFERROR(INDEX(Clay_Offices!$A$2:$FZ$601,188,Sync!$C$5)&amp;"","")&amp;""))</f>
        <v/>
      </c>
      <c r="E3039" s="23" t="str">
        <f aca="false">IF(B3039="","",IFERROR(INDEX(Clay_Offices!$A$2:$FZ$601,188,Sync!$C$6)&amp;"",""))</f>
        <v/>
      </c>
      <c r="F3039" s="23" t="str">
        <f aca="false">IF(B3039="","","outreach_sent")</f>
        <v/>
      </c>
      <c r="G3039" s="23" t="str">
        <f aca="false">IF(B3039="","","")</f>
        <v/>
      </c>
      <c r="H3039" s="23" t="str">
        <f aca="false">IF(B3039="","","")</f>
        <v/>
      </c>
      <c r="I3039" s="23" t="str">
        <f aca="false">IF(B3039="","","")</f>
        <v/>
      </c>
      <c r="J3039" s="23" t="str">
        <f aca="false">IF(B3039="","","touch_3; "&amp;IFERROR(INDEX(Clay_Offices!$A$2:$FZ$601,188,Sync!$C$10)&amp;"","")&amp;"; "&amp;IFERROR(INDEX(Clay_Offices!$A$2:$FZ$601,188,Sync!$C$9)&amp;"",""))</f>
        <v/>
      </c>
      <c r="K3039" s="32" t="s">
        <v>1365</v>
      </c>
    </row>
    <row r="3040" customFormat="false" ht="15" hidden="false" customHeight="false" outlineLevel="0" collapsed="false">
      <c r="A3040" s="23" t="str">
        <f aca="false">IF(B3040="","",B3040+(14*1000+189)/10000000)</f>
        <v/>
      </c>
      <c r="B3040" s="35" t="str">
        <f aca="false">IF(AND(IFERROR(N(INDEX(Clay_Offices!$A$2:$FZ$601,189,Sync!$C$13)),0)&gt;0,IFERROR(INDEX(Clay_Offices!$A$2:$FZ$601,189,Sync!$C$5)&amp;"","")&lt;&gt;"",OR(LEFT(IFERROR(INDEX(Clay_Offices!$A$2:$FZ$601,189,Sync!$C$5)&amp;"",""),6)&lt;&gt;"SAMPLE",Config!$B$19="Y")),IFERROR(N(INDEX(Clay_Offices!$A$2:$FZ$601,189,Sync!$C$13)),0),"")</f>
        <v/>
      </c>
      <c r="C3040" s="23" t="str">
        <f aca="false">IF(B3040="","","office")</f>
        <v/>
      </c>
      <c r="D3040" s="23" t="str">
        <f aca="false">IF(B3040="","",IFERROR(INDEX(Office_Log!$ED$2:$ED$201,MATCH(IFERROR(INDEX(Clay_Offices!$A$2:$FZ$601,189,Sync!$C$5)&amp;"",""),Office_Log!$A$2:$A$201,0))&amp;"",IFERROR(INDEX(Clay_Offices!$A$2:$FZ$601,189,Sync!$C$5)&amp;"","")&amp;""))</f>
        <v/>
      </c>
      <c r="E3040" s="23" t="str">
        <f aca="false">IF(B3040="","",IFERROR(INDEX(Clay_Offices!$A$2:$FZ$601,189,Sync!$C$6)&amp;"",""))</f>
        <v/>
      </c>
      <c r="F3040" s="23" t="str">
        <f aca="false">IF(B3040="","","outreach_sent")</f>
        <v/>
      </c>
      <c r="G3040" s="23" t="str">
        <f aca="false">IF(B3040="","","")</f>
        <v/>
      </c>
      <c r="H3040" s="23" t="str">
        <f aca="false">IF(B3040="","","")</f>
        <v/>
      </c>
      <c r="I3040" s="23" t="str">
        <f aca="false">IF(B3040="","","")</f>
        <v/>
      </c>
      <c r="J3040" s="23" t="str">
        <f aca="false">IF(B3040="","","touch_3; "&amp;IFERROR(INDEX(Clay_Offices!$A$2:$FZ$601,189,Sync!$C$10)&amp;"","")&amp;"; "&amp;IFERROR(INDEX(Clay_Offices!$A$2:$FZ$601,189,Sync!$C$9)&amp;"",""))</f>
        <v/>
      </c>
      <c r="K3040" s="32" t="s">
        <v>1365</v>
      </c>
    </row>
    <row r="3041" customFormat="false" ht="15" hidden="false" customHeight="false" outlineLevel="0" collapsed="false">
      <c r="A3041" s="23" t="str">
        <f aca="false">IF(B3041="","",B3041+(14*1000+190)/10000000)</f>
        <v/>
      </c>
      <c r="B3041" s="35" t="str">
        <f aca="false">IF(AND(IFERROR(N(INDEX(Clay_Offices!$A$2:$FZ$601,190,Sync!$C$13)),0)&gt;0,IFERROR(INDEX(Clay_Offices!$A$2:$FZ$601,190,Sync!$C$5)&amp;"","")&lt;&gt;"",OR(LEFT(IFERROR(INDEX(Clay_Offices!$A$2:$FZ$601,190,Sync!$C$5)&amp;"",""),6)&lt;&gt;"SAMPLE",Config!$B$19="Y")),IFERROR(N(INDEX(Clay_Offices!$A$2:$FZ$601,190,Sync!$C$13)),0),"")</f>
        <v/>
      </c>
      <c r="C3041" s="23" t="str">
        <f aca="false">IF(B3041="","","office")</f>
        <v/>
      </c>
      <c r="D3041" s="23" t="str">
        <f aca="false">IF(B3041="","",IFERROR(INDEX(Office_Log!$ED$2:$ED$201,MATCH(IFERROR(INDEX(Clay_Offices!$A$2:$FZ$601,190,Sync!$C$5)&amp;"",""),Office_Log!$A$2:$A$201,0))&amp;"",IFERROR(INDEX(Clay_Offices!$A$2:$FZ$601,190,Sync!$C$5)&amp;"","")&amp;""))</f>
        <v/>
      </c>
      <c r="E3041" s="23" t="str">
        <f aca="false">IF(B3041="","",IFERROR(INDEX(Clay_Offices!$A$2:$FZ$601,190,Sync!$C$6)&amp;"",""))</f>
        <v/>
      </c>
      <c r="F3041" s="23" t="str">
        <f aca="false">IF(B3041="","","outreach_sent")</f>
        <v/>
      </c>
      <c r="G3041" s="23" t="str">
        <f aca="false">IF(B3041="","","")</f>
        <v/>
      </c>
      <c r="H3041" s="23" t="str">
        <f aca="false">IF(B3041="","","")</f>
        <v/>
      </c>
      <c r="I3041" s="23" t="str">
        <f aca="false">IF(B3041="","","")</f>
        <v/>
      </c>
      <c r="J3041" s="23" t="str">
        <f aca="false">IF(B3041="","","touch_3; "&amp;IFERROR(INDEX(Clay_Offices!$A$2:$FZ$601,190,Sync!$C$10)&amp;"","")&amp;"; "&amp;IFERROR(INDEX(Clay_Offices!$A$2:$FZ$601,190,Sync!$C$9)&amp;"",""))</f>
        <v/>
      </c>
      <c r="K3041" s="32" t="s">
        <v>1365</v>
      </c>
    </row>
    <row r="3042" customFormat="false" ht="15" hidden="false" customHeight="false" outlineLevel="0" collapsed="false">
      <c r="A3042" s="23" t="str">
        <f aca="false">IF(B3042="","",B3042+(14*1000+191)/10000000)</f>
        <v/>
      </c>
      <c r="B3042" s="35" t="str">
        <f aca="false">IF(AND(IFERROR(N(INDEX(Clay_Offices!$A$2:$FZ$601,191,Sync!$C$13)),0)&gt;0,IFERROR(INDEX(Clay_Offices!$A$2:$FZ$601,191,Sync!$C$5)&amp;"","")&lt;&gt;"",OR(LEFT(IFERROR(INDEX(Clay_Offices!$A$2:$FZ$601,191,Sync!$C$5)&amp;"",""),6)&lt;&gt;"SAMPLE",Config!$B$19="Y")),IFERROR(N(INDEX(Clay_Offices!$A$2:$FZ$601,191,Sync!$C$13)),0),"")</f>
        <v/>
      </c>
      <c r="C3042" s="23" t="str">
        <f aca="false">IF(B3042="","","office")</f>
        <v/>
      </c>
      <c r="D3042" s="23" t="str">
        <f aca="false">IF(B3042="","",IFERROR(INDEX(Office_Log!$ED$2:$ED$201,MATCH(IFERROR(INDEX(Clay_Offices!$A$2:$FZ$601,191,Sync!$C$5)&amp;"",""),Office_Log!$A$2:$A$201,0))&amp;"",IFERROR(INDEX(Clay_Offices!$A$2:$FZ$601,191,Sync!$C$5)&amp;"","")&amp;""))</f>
        <v/>
      </c>
      <c r="E3042" s="23" t="str">
        <f aca="false">IF(B3042="","",IFERROR(INDEX(Clay_Offices!$A$2:$FZ$601,191,Sync!$C$6)&amp;"",""))</f>
        <v/>
      </c>
      <c r="F3042" s="23" t="str">
        <f aca="false">IF(B3042="","","outreach_sent")</f>
        <v/>
      </c>
      <c r="G3042" s="23" t="str">
        <f aca="false">IF(B3042="","","")</f>
        <v/>
      </c>
      <c r="H3042" s="23" t="str">
        <f aca="false">IF(B3042="","","")</f>
        <v/>
      </c>
      <c r="I3042" s="23" t="str">
        <f aca="false">IF(B3042="","","")</f>
        <v/>
      </c>
      <c r="J3042" s="23" t="str">
        <f aca="false">IF(B3042="","","touch_3; "&amp;IFERROR(INDEX(Clay_Offices!$A$2:$FZ$601,191,Sync!$C$10)&amp;"","")&amp;"; "&amp;IFERROR(INDEX(Clay_Offices!$A$2:$FZ$601,191,Sync!$C$9)&amp;"",""))</f>
        <v/>
      </c>
      <c r="K3042" s="32" t="s">
        <v>1365</v>
      </c>
    </row>
    <row r="3043" customFormat="false" ht="15" hidden="false" customHeight="false" outlineLevel="0" collapsed="false">
      <c r="A3043" s="23" t="str">
        <f aca="false">IF(B3043="","",B3043+(14*1000+192)/10000000)</f>
        <v/>
      </c>
      <c r="B3043" s="35" t="str">
        <f aca="false">IF(AND(IFERROR(N(INDEX(Clay_Offices!$A$2:$FZ$601,192,Sync!$C$13)),0)&gt;0,IFERROR(INDEX(Clay_Offices!$A$2:$FZ$601,192,Sync!$C$5)&amp;"","")&lt;&gt;"",OR(LEFT(IFERROR(INDEX(Clay_Offices!$A$2:$FZ$601,192,Sync!$C$5)&amp;"",""),6)&lt;&gt;"SAMPLE",Config!$B$19="Y")),IFERROR(N(INDEX(Clay_Offices!$A$2:$FZ$601,192,Sync!$C$13)),0),"")</f>
        <v/>
      </c>
      <c r="C3043" s="23" t="str">
        <f aca="false">IF(B3043="","","office")</f>
        <v/>
      </c>
      <c r="D3043" s="23" t="str">
        <f aca="false">IF(B3043="","",IFERROR(INDEX(Office_Log!$ED$2:$ED$201,MATCH(IFERROR(INDEX(Clay_Offices!$A$2:$FZ$601,192,Sync!$C$5)&amp;"",""),Office_Log!$A$2:$A$201,0))&amp;"",IFERROR(INDEX(Clay_Offices!$A$2:$FZ$601,192,Sync!$C$5)&amp;"","")&amp;""))</f>
        <v/>
      </c>
      <c r="E3043" s="23" t="str">
        <f aca="false">IF(B3043="","",IFERROR(INDEX(Clay_Offices!$A$2:$FZ$601,192,Sync!$C$6)&amp;"",""))</f>
        <v/>
      </c>
      <c r="F3043" s="23" t="str">
        <f aca="false">IF(B3043="","","outreach_sent")</f>
        <v/>
      </c>
      <c r="G3043" s="23" t="str">
        <f aca="false">IF(B3043="","","")</f>
        <v/>
      </c>
      <c r="H3043" s="23" t="str">
        <f aca="false">IF(B3043="","","")</f>
        <v/>
      </c>
      <c r="I3043" s="23" t="str">
        <f aca="false">IF(B3043="","","")</f>
        <v/>
      </c>
      <c r="J3043" s="23" t="str">
        <f aca="false">IF(B3043="","","touch_3; "&amp;IFERROR(INDEX(Clay_Offices!$A$2:$FZ$601,192,Sync!$C$10)&amp;"","")&amp;"; "&amp;IFERROR(INDEX(Clay_Offices!$A$2:$FZ$601,192,Sync!$C$9)&amp;"",""))</f>
        <v/>
      </c>
      <c r="K3043" s="32" t="s">
        <v>1365</v>
      </c>
    </row>
    <row r="3044" customFormat="false" ht="15" hidden="false" customHeight="false" outlineLevel="0" collapsed="false">
      <c r="A3044" s="23" t="str">
        <f aca="false">IF(B3044="","",B3044+(14*1000+193)/10000000)</f>
        <v/>
      </c>
      <c r="B3044" s="35" t="str">
        <f aca="false">IF(AND(IFERROR(N(INDEX(Clay_Offices!$A$2:$FZ$601,193,Sync!$C$13)),0)&gt;0,IFERROR(INDEX(Clay_Offices!$A$2:$FZ$601,193,Sync!$C$5)&amp;"","")&lt;&gt;"",OR(LEFT(IFERROR(INDEX(Clay_Offices!$A$2:$FZ$601,193,Sync!$C$5)&amp;"",""),6)&lt;&gt;"SAMPLE",Config!$B$19="Y")),IFERROR(N(INDEX(Clay_Offices!$A$2:$FZ$601,193,Sync!$C$13)),0),"")</f>
        <v/>
      </c>
      <c r="C3044" s="23" t="str">
        <f aca="false">IF(B3044="","","office")</f>
        <v/>
      </c>
      <c r="D3044" s="23" t="str">
        <f aca="false">IF(B3044="","",IFERROR(INDEX(Office_Log!$ED$2:$ED$201,MATCH(IFERROR(INDEX(Clay_Offices!$A$2:$FZ$601,193,Sync!$C$5)&amp;"",""),Office_Log!$A$2:$A$201,0))&amp;"",IFERROR(INDEX(Clay_Offices!$A$2:$FZ$601,193,Sync!$C$5)&amp;"","")&amp;""))</f>
        <v/>
      </c>
      <c r="E3044" s="23" t="str">
        <f aca="false">IF(B3044="","",IFERROR(INDEX(Clay_Offices!$A$2:$FZ$601,193,Sync!$C$6)&amp;"",""))</f>
        <v/>
      </c>
      <c r="F3044" s="23" t="str">
        <f aca="false">IF(B3044="","","outreach_sent")</f>
        <v/>
      </c>
      <c r="G3044" s="23" t="str">
        <f aca="false">IF(B3044="","","")</f>
        <v/>
      </c>
      <c r="H3044" s="23" t="str">
        <f aca="false">IF(B3044="","","")</f>
        <v/>
      </c>
      <c r="I3044" s="23" t="str">
        <f aca="false">IF(B3044="","","")</f>
        <v/>
      </c>
      <c r="J3044" s="23" t="str">
        <f aca="false">IF(B3044="","","touch_3; "&amp;IFERROR(INDEX(Clay_Offices!$A$2:$FZ$601,193,Sync!$C$10)&amp;"","")&amp;"; "&amp;IFERROR(INDEX(Clay_Offices!$A$2:$FZ$601,193,Sync!$C$9)&amp;"",""))</f>
        <v/>
      </c>
      <c r="K3044" s="32" t="s">
        <v>1365</v>
      </c>
    </row>
    <row r="3045" customFormat="false" ht="15" hidden="false" customHeight="false" outlineLevel="0" collapsed="false">
      <c r="A3045" s="23" t="str">
        <f aca="false">IF(B3045="","",B3045+(14*1000+194)/10000000)</f>
        <v/>
      </c>
      <c r="B3045" s="35" t="str">
        <f aca="false">IF(AND(IFERROR(N(INDEX(Clay_Offices!$A$2:$FZ$601,194,Sync!$C$13)),0)&gt;0,IFERROR(INDEX(Clay_Offices!$A$2:$FZ$601,194,Sync!$C$5)&amp;"","")&lt;&gt;"",OR(LEFT(IFERROR(INDEX(Clay_Offices!$A$2:$FZ$601,194,Sync!$C$5)&amp;"",""),6)&lt;&gt;"SAMPLE",Config!$B$19="Y")),IFERROR(N(INDEX(Clay_Offices!$A$2:$FZ$601,194,Sync!$C$13)),0),"")</f>
        <v/>
      </c>
      <c r="C3045" s="23" t="str">
        <f aca="false">IF(B3045="","","office")</f>
        <v/>
      </c>
      <c r="D3045" s="23" t="str">
        <f aca="false">IF(B3045="","",IFERROR(INDEX(Office_Log!$ED$2:$ED$201,MATCH(IFERROR(INDEX(Clay_Offices!$A$2:$FZ$601,194,Sync!$C$5)&amp;"",""),Office_Log!$A$2:$A$201,0))&amp;"",IFERROR(INDEX(Clay_Offices!$A$2:$FZ$601,194,Sync!$C$5)&amp;"","")&amp;""))</f>
        <v/>
      </c>
      <c r="E3045" s="23" t="str">
        <f aca="false">IF(B3045="","",IFERROR(INDEX(Clay_Offices!$A$2:$FZ$601,194,Sync!$C$6)&amp;"",""))</f>
        <v/>
      </c>
      <c r="F3045" s="23" t="str">
        <f aca="false">IF(B3045="","","outreach_sent")</f>
        <v/>
      </c>
      <c r="G3045" s="23" t="str">
        <f aca="false">IF(B3045="","","")</f>
        <v/>
      </c>
      <c r="H3045" s="23" t="str">
        <f aca="false">IF(B3045="","","")</f>
        <v/>
      </c>
      <c r="I3045" s="23" t="str">
        <f aca="false">IF(B3045="","","")</f>
        <v/>
      </c>
      <c r="J3045" s="23" t="str">
        <f aca="false">IF(B3045="","","touch_3; "&amp;IFERROR(INDEX(Clay_Offices!$A$2:$FZ$601,194,Sync!$C$10)&amp;"","")&amp;"; "&amp;IFERROR(INDEX(Clay_Offices!$A$2:$FZ$601,194,Sync!$C$9)&amp;"",""))</f>
        <v/>
      </c>
      <c r="K3045" s="32" t="s">
        <v>1365</v>
      </c>
    </row>
    <row r="3046" customFormat="false" ht="15" hidden="false" customHeight="false" outlineLevel="0" collapsed="false">
      <c r="A3046" s="23" t="str">
        <f aca="false">IF(B3046="","",B3046+(14*1000+195)/10000000)</f>
        <v/>
      </c>
      <c r="B3046" s="35" t="str">
        <f aca="false">IF(AND(IFERROR(N(INDEX(Clay_Offices!$A$2:$FZ$601,195,Sync!$C$13)),0)&gt;0,IFERROR(INDEX(Clay_Offices!$A$2:$FZ$601,195,Sync!$C$5)&amp;"","")&lt;&gt;"",OR(LEFT(IFERROR(INDEX(Clay_Offices!$A$2:$FZ$601,195,Sync!$C$5)&amp;"",""),6)&lt;&gt;"SAMPLE",Config!$B$19="Y")),IFERROR(N(INDEX(Clay_Offices!$A$2:$FZ$601,195,Sync!$C$13)),0),"")</f>
        <v/>
      </c>
      <c r="C3046" s="23" t="str">
        <f aca="false">IF(B3046="","","office")</f>
        <v/>
      </c>
      <c r="D3046" s="23" t="str">
        <f aca="false">IF(B3046="","",IFERROR(INDEX(Office_Log!$ED$2:$ED$201,MATCH(IFERROR(INDEX(Clay_Offices!$A$2:$FZ$601,195,Sync!$C$5)&amp;"",""),Office_Log!$A$2:$A$201,0))&amp;"",IFERROR(INDEX(Clay_Offices!$A$2:$FZ$601,195,Sync!$C$5)&amp;"","")&amp;""))</f>
        <v/>
      </c>
      <c r="E3046" s="23" t="str">
        <f aca="false">IF(B3046="","",IFERROR(INDEX(Clay_Offices!$A$2:$FZ$601,195,Sync!$C$6)&amp;"",""))</f>
        <v/>
      </c>
      <c r="F3046" s="23" t="str">
        <f aca="false">IF(B3046="","","outreach_sent")</f>
        <v/>
      </c>
      <c r="G3046" s="23" t="str">
        <f aca="false">IF(B3046="","","")</f>
        <v/>
      </c>
      <c r="H3046" s="23" t="str">
        <f aca="false">IF(B3046="","","")</f>
        <v/>
      </c>
      <c r="I3046" s="23" t="str">
        <f aca="false">IF(B3046="","","")</f>
        <v/>
      </c>
      <c r="J3046" s="23" t="str">
        <f aca="false">IF(B3046="","","touch_3; "&amp;IFERROR(INDEX(Clay_Offices!$A$2:$FZ$601,195,Sync!$C$10)&amp;"","")&amp;"; "&amp;IFERROR(INDEX(Clay_Offices!$A$2:$FZ$601,195,Sync!$C$9)&amp;"",""))</f>
        <v/>
      </c>
      <c r="K3046" s="32" t="s">
        <v>1365</v>
      </c>
    </row>
    <row r="3047" customFormat="false" ht="15" hidden="false" customHeight="false" outlineLevel="0" collapsed="false">
      <c r="A3047" s="23" t="str">
        <f aca="false">IF(B3047="","",B3047+(14*1000+196)/10000000)</f>
        <v/>
      </c>
      <c r="B3047" s="35" t="str">
        <f aca="false">IF(AND(IFERROR(N(INDEX(Clay_Offices!$A$2:$FZ$601,196,Sync!$C$13)),0)&gt;0,IFERROR(INDEX(Clay_Offices!$A$2:$FZ$601,196,Sync!$C$5)&amp;"","")&lt;&gt;"",OR(LEFT(IFERROR(INDEX(Clay_Offices!$A$2:$FZ$601,196,Sync!$C$5)&amp;"",""),6)&lt;&gt;"SAMPLE",Config!$B$19="Y")),IFERROR(N(INDEX(Clay_Offices!$A$2:$FZ$601,196,Sync!$C$13)),0),"")</f>
        <v/>
      </c>
      <c r="C3047" s="23" t="str">
        <f aca="false">IF(B3047="","","office")</f>
        <v/>
      </c>
      <c r="D3047" s="23" t="str">
        <f aca="false">IF(B3047="","",IFERROR(INDEX(Office_Log!$ED$2:$ED$201,MATCH(IFERROR(INDEX(Clay_Offices!$A$2:$FZ$601,196,Sync!$C$5)&amp;"",""),Office_Log!$A$2:$A$201,0))&amp;"",IFERROR(INDEX(Clay_Offices!$A$2:$FZ$601,196,Sync!$C$5)&amp;"","")&amp;""))</f>
        <v/>
      </c>
      <c r="E3047" s="23" t="str">
        <f aca="false">IF(B3047="","",IFERROR(INDEX(Clay_Offices!$A$2:$FZ$601,196,Sync!$C$6)&amp;"",""))</f>
        <v/>
      </c>
      <c r="F3047" s="23" t="str">
        <f aca="false">IF(B3047="","","outreach_sent")</f>
        <v/>
      </c>
      <c r="G3047" s="23" t="str">
        <f aca="false">IF(B3047="","","")</f>
        <v/>
      </c>
      <c r="H3047" s="23" t="str">
        <f aca="false">IF(B3047="","","")</f>
        <v/>
      </c>
      <c r="I3047" s="23" t="str">
        <f aca="false">IF(B3047="","","")</f>
        <v/>
      </c>
      <c r="J3047" s="23" t="str">
        <f aca="false">IF(B3047="","","touch_3; "&amp;IFERROR(INDEX(Clay_Offices!$A$2:$FZ$601,196,Sync!$C$10)&amp;"","")&amp;"; "&amp;IFERROR(INDEX(Clay_Offices!$A$2:$FZ$601,196,Sync!$C$9)&amp;"",""))</f>
        <v/>
      </c>
      <c r="K3047" s="32" t="s">
        <v>1365</v>
      </c>
    </row>
    <row r="3048" customFormat="false" ht="15" hidden="false" customHeight="false" outlineLevel="0" collapsed="false">
      <c r="A3048" s="23" t="str">
        <f aca="false">IF(B3048="","",B3048+(14*1000+197)/10000000)</f>
        <v/>
      </c>
      <c r="B3048" s="35" t="str">
        <f aca="false">IF(AND(IFERROR(N(INDEX(Clay_Offices!$A$2:$FZ$601,197,Sync!$C$13)),0)&gt;0,IFERROR(INDEX(Clay_Offices!$A$2:$FZ$601,197,Sync!$C$5)&amp;"","")&lt;&gt;"",OR(LEFT(IFERROR(INDEX(Clay_Offices!$A$2:$FZ$601,197,Sync!$C$5)&amp;"",""),6)&lt;&gt;"SAMPLE",Config!$B$19="Y")),IFERROR(N(INDEX(Clay_Offices!$A$2:$FZ$601,197,Sync!$C$13)),0),"")</f>
        <v/>
      </c>
      <c r="C3048" s="23" t="str">
        <f aca="false">IF(B3048="","","office")</f>
        <v/>
      </c>
      <c r="D3048" s="23" t="str">
        <f aca="false">IF(B3048="","",IFERROR(INDEX(Office_Log!$ED$2:$ED$201,MATCH(IFERROR(INDEX(Clay_Offices!$A$2:$FZ$601,197,Sync!$C$5)&amp;"",""),Office_Log!$A$2:$A$201,0))&amp;"",IFERROR(INDEX(Clay_Offices!$A$2:$FZ$601,197,Sync!$C$5)&amp;"","")&amp;""))</f>
        <v/>
      </c>
      <c r="E3048" s="23" t="str">
        <f aca="false">IF(B3048="","",IFERROR(INDEX(Clay_Offices!$A$2:$FZ$601,197,Sync!$C$6)&amp;"",""))</f>
        <v/>
      </c>
      <c r="F3048" s="23" t="str">
        <f aca="false">IF(B3048="","","outreach_sent")</f>
        <v/>
      </c>
      <c r="G3048" s="23" t="str">
        <f aca="false">IF(B3048="","","")</f>
        <v/>
      </c>
      <c r="H3048" s="23" t="str">
        <f aca="false">IF(B3048="","","")</f>
        <v/>
      </c>
      <c r="I3048" s="23" t="str">
        <f aca="false">IF(B3048="","","")</f>
        <v/>
      </c>
      <c r="J3048" s="23" t="str">
        <f aca="false">IF(B3048="","","touch_3; "&amp;IFERROR(INDEX(Clay_Offices!$A$2:$FZ$601,197,Sync!$C$10)&amp;"","")&amp;"; "&amp;IFERROR(INDEX(Clay_Offices!$A$2:$FZ$601,197,Sync!$C$9)&amp;"",""))</f>
        <v/>
      </c>
      <c r="K3048" s="32" t="s">
        <v>1365</v>
      </c>
    </row>
    <row r="3049" customFormat="false" ht="15" hidden="false" customHeight="false" outlineLevel="0" collapsed="false">
      <c r="A3049" s="23" t="str">
        <f aca="false">IF(B3049="","",B3049+(14*1000+198)/10000000)</f>
        <v/>
      </c>
      <c r="B3049" s="35" t="str">
        <f aca="false">IF(AND(IFERROR(N(INDEX(Clay_Offices!$A$2:$FZ$601,198,Sync!$C$13)),0)&gt;0,IFERROR(INDEX(Clay_Offices!$A$2:$FZ$601,198,Sync!$C$5)&amp;"","")&lt;&gt;"",OR(LEFT(IFERROR(INDEX(Clay_Offices!$A$2:$FZ$601,198,Sync!$C$5)&amp;"",""),6)&lt;&gt;"SAMPLE",Config!$B$19="Y")),IFERROR(N(INDEX(Clay_Offices!$A$2:$FZ$601,198,Sync!$C$13)),0),"")</f>
        <v/>
      </c>
      <c r="C3049" s="23" t="str">
        <f aca="false">IF(B3049="","","office")</f>
        <v/>
      </c>
      <c r="D3049" s="23" t="str">
        <f aca="false">IF(B3049="","",IFERROR(INDEX(Office_Log!$ED$2:$ED$201,MATCH(IFERROR(INDEX(Clay_Offices!$A$2:$FZ$601,198,Sync!$C$5)&amp;"",""),Office_Log!$A$2:$A$201,0))&amp;"",IFERROR(INDEX(Clay_Offices!$A$2:$FZ$601,198,Sync!$C$5)&amp;"","")&amp;""))</f>
        <v/>
      </c>
      <c r="E3049" s="23" t="str">
        <f aca="false">IF(B3049="","",IFERROR(INDEX(Clay_Offices!$A$2:$FZ$601,198,Sync!$C$6)&amp;"",""))</f>
        <v/>
      </c>
      <c r="F3049" s="23" t="str">
        <f aca="false">IF(B3049="","","outreach_sent")</f>
        <v/>
      </c>
      <c r="G3049" s="23" t="str">
        <f aca="false">IF(B3049="","","")</f>
        <v/>
      </c>
      <c r="H3049" s="23" t="str">
        <f aca="false">IF(B3049="","","")</f>
        <v/>
      </c>
      <c r="I3049" s="23" t="str">
        <f aca="false">IF(B3049="","","")</f>
        <v/>
      </c>
      <c r="J3049" s="23" t="str">
        <f aca="false">IF(B3049="","","touch_3; "&amp;IFERROR(INDEX(Clay_Offices!$A$2:$FZ$601,198,Sync!$C$10)&amp;"","")&amp;"; "&amp;IFERROR(INDEX(Clay_Offices!$A$2:$FZ$601,198,Sync!$C$9)&amp;"",""))</f>
        <v/>
      </c>
      <c r="K3049" s="32" t="s">
        <v>1365</v>
      </c>
    </row>
    <row r="3050" customFormat="false" ht="15" hidden="false" customHeight="false" outlineLevel="0" collapsed="false">
      <c r="A3050" s="23" t="str">
        <f aca="false">IF(B3050="","",B3050+(14*1000+199)/10000000)</f>
        <v/>
      </c>
      <c r="B3050" s="35" t="str">
        <f aca="false">IF(AND(IFERROR(N(INDEX(Clay_Offices!$A$2:$FZ$601,199,Sync!$C$13)),0)&gt;0,IFERROR(INDEX(Clay_Offices!$A$2:$FZ$601,199,Sync!$C$5)&amp;"","")&lt;&gt;"",OR(LEFT(IFERROR(INDEX(Clay_Offices!$A$2:$FZ$601,199,Sync!$C$5)&amp;"",""),6)&lt;&gt;"SAMPLE",Config!$B$19="Y")),IFERROR(N(INDEX(Clay_Offices!$A$2:$FZ$601,199,Sync!$C$13)),0),"")</f>
        <v/>
      </c>
      <c r="C3050" s="23" t="str">
        <f aca="false">IF(B3050="","","office")</f>
        <v/>
      </c>
      <c r="D3050" s="23" t="str">
        <f aca="false">IF(B3050="","",IFERROR(INDEX(Office_Log!$ED$2:$ED$201,MATCH(IFERROR(INDEX(Clay_Offices!$A$2:$FZ$601,199,Sync!$C$5)&amp;"",""),Office_Log!$A$2:$A$201,0))&amp;"",IFERROR(INDEX(Clay_Offices!$A$2:$FZ$601,199,Sync!$C$5)&amp;"","")&amp;""))</f>
        <v/>
      </c>
      <c r="E3050" s="23" t="str">
        <f aca="false">IF(B3050="","",IFERROR(INDEX(Clay_Offices!$A$2:$FZ$601,199,Sync!$C$6)&amp;"",""))</f>
        <v/>
      </c>
      <c r="F3050" s="23" t="str">
        <f aca="false">IF(B3050="","","outreach_sent")</f>
        <v/>
      </c>
      <c r="G3050" s="23" t="str">
        <f aca="false">IF(B3050="","","")</f>
        <v/>
      </c>
      <c r="H3050" s="23" t="str">
        <f aca="false">IF(B3050="","","")</f>
        <v/>
      </c>
      <c r="I3050" s="23" t="str">
        <f aca="false">IF(B3050="","","")</f>
        <v/>
      </c>
      <c r="J3050" s="23" t="str">
        <f aca="false">IF(B3050="","","touch_3; "&amp;IFERROR(INDEX(Clay_Offices!$A$2:$FZ$601,199,Sync!$C$10)&amp;"","")&amp;"; "&amp;IFERROR(INDEX(Clay_Offices!$A$2:$FZ$601,199,Sync!$C$9)&amp;"",""))</f>
        <v/>
      </c>
      <c r="K3050" s="32" t="s">
        <v>1365</v>
      </c>
    </row>
    <row r="3051" customFormat="false" ht="15" hidden="false" customHeight="false" outlineLevel="0" collapsed="false">
      <c r="A3051" s="23" t="str">
        <f aca="false">IF(B3051="","",B3051+(14*1000+200)/10000000)</f>
        <v/>
      </c>
      <c r="B3051" s="35" t="str">
        <f aca="false">IF(AND(IFERROR(N(INDEX(Clay_Offices!$A$2:$FZ$601,200,Sync!$C$13)),0)&gt;0,IFERROR(INDEX(Clay_Offices!$A$2:$FZ$601,200,Sync!$C$5)&amp;"","")&lt;&gt;"",OR(LEFT(IFERROR(INDEX(Clay_Offices!$A$2:$FZ$601,200,Sync!$C$5)&amp;"",""),6)&lt;&gt;"SAMPLE",Config!$B$19="Y")),IFERROR(N(INDEX(Clay_Offices!$A$2:$FZ$601,200,Sync!$C$13)),0),"")</f>
        <v/>
      </c>
      <c r="C3051" s="23" t="str">
        <f aca="false">IF(B3051="","","office")</f>
        <v/>
      </c>
      <c r="D3051" s="23" t="str">
        <f aca="false">IF(B3051="","",IFERROR(INDEX(Office_Log!$ED$2:$ED$201,MATCH(IFERROR(INDEX(Clay_Offices!$A$2:$FZ$601,200,Sync!$C$5)&amp;"",""),Office_Log!$A$2:$A$201,0))&amp;"",IFERROR(INDEX(Clay_Offices!$A$2:$FZ$601,200,Sync!$C$5)&amp;"","")&amp;""))</f>
        <v/>
      </c>
      <c r="E3051" s="23" t="str">
        <f aca="false">IF(B3051="","",IFERROR(INDEX(Clay_Offices!$A$2:$FZ$601,200,Sync!$C$6)&amp;"",""))</f>
        <v/>
      </c>
      <c r="F3051" s="23" t="str">
        <f aca="false">IF(B3051="","","outreach_sent")</f>
        <v/>
      </c>
      <c r="G3051" s="23" t="str">
        <f aca="false">IF(B3051="","","")</f>
        <v/>
      </c>
      <c r="H3051" s="23" t="str">
        <f aca="false">IF(B3051="","","")</f>
        <v/>
      </c>
      <c r="I3051" s="23" t="str">
        <f aca="false">IF(B3051="","","")</f>
        <v/>
      </c>
      <c r="J3051" s="23" t="str">
        <f aca="false">IF(B3051="","","touch_3; "&amp;IFERROR(INDEX(Clay_Offices!$A$2:$FZ$601,200,Sync!$C$10)&amp;"","")&amp;"; "&amp;IFERROR(INDEX(Clay_Offices!$A$2:$FZ$601,200,Sync!$C$9)&amp;"",""))</f>
        <v/>
      </c>
      <c r="K3051" s="32" t="s">
        <v>1365</v>
      </c>
    </row>
    <row r="3052" customFormat="false" ht="15" hidden="false" customHeight="false" outlineLevel="0" collapsed="false">
      <c r="A3052" s="23" t="str">
        <f aca="false">IF(B3052="","",B3052+(14*1000+201)/10000000)</f>
        <v/>
      </c>
      <c r="B3052" s="35" t="str">
        <f aca="false">IF(AND(IFERROR(N(INDEX(Clay_Offices!$A$2:$FZ$601,201,Sync!$C$13)),0)&gt;0,IFERROR(INDEX(Clay_Offices!$A$2:$FZ$601,201,Sync!$C$5)&amp;"","")&lt;&gt;"",OR(LEFT(IFERROR(INDEX(Clay_Offices!$A$2:$FZ$601,201,Sync!$C$5)&amp;"",""),6)&lt;&gt;"SAMPLE",Config!$B$19="Y")),IFERROR(N(INDEX(Clay_Offices!$A$2:$FZ$601,201,Sync!$C$13)),0),"")</f>
        <v/>
      </c>
      <c r="C3052" s="23" t="str">
        <f aca="false">IF(B3052="","","office")</f>
        <v/>
      </c>
      <c r="D3052" s="23" t="str">
        <f aca="false">IF(B3052="","",IFERROR(INDEX(Office_Log!$ED$2:$ED$201,MATCH(IFERROR(INDEX(Clay_Offices!$A$2:$FZ$601,201,Sync!$C$5)&amp;"",""),Office_Log!$A$2:$A$201,0))&amp;"",IFERROR(INDEX(Clay_Offices!$A$2:$FZ$601,201,Sync!$C$5)&amp;"","")&amp;""))</f>
        <v/>
      </c>
      <c r="E3052" s="23" t="str">
        <f aca="false">IF(B3052="","",IFERROR(INDEX(Clay_Offices!$A$2:$FZ$601,201,Sync!$C$6)&amp;"",""))</f>
        <v/>
      </c>
      <c r="F3052" s="23" t="str">
        <f aca="false">IF(B3052="","","outreach_sent")</f>
        <v/>
      </c>
      <c r="G3052" s="23" t="str">
        <f aca="false">IF(B3052="","","")</f>
        <v/>
      </c>
      <c r="H3052" s="23" t="str">
        <f aca="false">IF(B3052="","","")</f>
        <v/>
      </c>
      <c r="I3052" s="23" t="str">
        <f aca="false">IF(B3052="","","")</f>
        <v/>
      </c>
      <c r="J3052" s="23" t="str">
        <f aca="false">IF(B3052="","","touch_3; "&amp;IFERROR(INDEX(Clay_Offices!$A$2:$FZ$601,201,Sync!$C$10)&amp;"","")&amp;"; "&amp;IFERROR(INDEX(Clay_Offices!$A$2:$FZ$601,201,Sync!$C$9)&amp;"",""))</f>
        <v/>
      </c>
      <c r="K3052" s="32" t="s">
        <v>1365</v>
      </c>
    </row>
    <row r="3053" customFormat="false" ht="15" hidden="false" customHeight="false" outlineLevel="0" collapsed="false">
      <c r="A3053" s="23" t="str">
        <f aca="false">IF(B3053="","",B3053+(14*1000+202)/10000000)</f>
        <v/>
      </c>
      <c r="B3053" s="35" t="str">
        <f aca="false">IF(AND(IFERROR(N(INDEX(Clay_Offices!$A$2:$FZ$601,202,Sync!$C$13)),0)&gt;0,IFERROR(INDEX(Clay_Offices!$A$2:$FZ$601,202,Sync!$C$5)&amp;"","")&lt;&gt;"",OR(LEFT(IFERROR(INDEX(Clay_Offices!$A$2:$FZ$601,202,Sync!$C$5)&amp;"",""),6)&lt;&gt;"SAMPLE",Config!$B$19="Y")),IFERROR(N(INDEX(Clay_Offices!$A$2:$FZ$601,202,Sync!$C$13)),0),"")</f>
        <v/>
      </c>
      <c r="C3053" s="23" t="str">
        <f aca="false">IF(B3053="","","office")</f>
        <v/>
      </c>
      <c r="D3053" s="23" t="str">
        <f aca="false">IF(B3053="","",IFERROR(INDEX(Office_Log!$ED$2:$ED$201,MATCH(IFERROR(INDEX(Clay_Offices!$A$2:$FZ$601,202,Sync!$C$5)&amp;"",""),Office_Log!$A$2:$A$201,0))&amp;"",IFERROR(INDEX(Clay_Offices!$A$2:$FZ$601,202,Sync!$C$5)&amp;"","")&amp;""))</f>
        <v/>
      </c>
      <c r="E3053" s="23" t="str">
        <f aca="false">IF(B3053="","",IFERROR(INDEX(Clay_Offices!$A$2:$FZ$601,202,Sync!$C$6)&amp;"",""))</f>
        <v/>
      </c>
      <c r="F3053" s="23" t="str">
        <f aca="false">IF(B3053="","","outreach_sent")</f>
        <v/>
      </c>
      <c r="G3053" s="23" t="str">
        <f aca="false">IF(B3053="","","")</f>
        <v/>
      </c>
      <c r="H3053" s="23" t="str">
        <f aca="false">IF(B3053="","","")</f>
        <v/>
      </c>
      <c r="I3053" s="23" t="str">
        <f aca="false">IF(B3053="","","")</f>
        <v/>
      </c>
      <c r="J3053" s="23" t="str">
        <f aca="false">IF(B3053="","","touch_3; "&amp;IFERROR(INDEX(Clay_Offices!$A$2:$FZ$601,202,Sync!$C$10)&amp;"","")&amp;"; "&amp;IFERROR(INDEX(Clay_Offices!$A$2:$FZ$601,202,Sync!$C$9)&amp;"",""))</f>
        <v/>
      </c>
      <c r="K3053" s="32" t="s">
        <v>1365</v>
      </c>
    </row>
    <row r="3054" customFormat="false" ht="15" hidden="false" customHeight="false" outlineLevel="0" collapsed="false">
      <c r="A3054" s="23" t="str">
        <f aca="false">IF(B3054="","",B3054+(14*1000+203)/10000000)</f>
        <v/>
      </c>
      <c r="B3054" s="35" t="str">
        <f aca="false">IF(AND(IFERROR(N(INDEX(Clay_Offices!$A$2:$FZ$601,203,Sync!$C$13)),0)&gt;0,IFERROR(INDEX(Clay_Offices!$A$2:$FZ$601,203,Sync!$C$5)&amp;"","")&lt;&gt;"",OR(LEFT(IFERROR(INDEX(Clay_Offices!$A$2:$FZ$601,203,Sync!$C$5)&amp;"",""),6)&lt;&gt;"SAMPLE",Config!$B$19="Y")),IFERROR(N(INDEX(Clay_Offices!$A$2:$FZ$601,203,Sync!$C$13)),0),"")</f>
        <v/>
      </c>
      <c r="C3054" s="23" t="str">
        <f aca="false">IF(B3054="","","office")</f>
        <v/>
      </c>
      <c r="D3054" s="23" t="str">
        <f aca="false">IF(B3054="","",IFERROR(INDEX(Office_Log!$ED$2:$ED$201,MATCH(IFERROR(INDEX(Clay_Offices!$A$2:$FZ$601,203,Sync!$C$5)&amp;"",""),Office_Log!$A$2:$A$201,0))&amp;"",IFERROR(INDEX(Clay_Offices!$A$2:$FZ$601,203,Sync!$C$5)&amp;"","")&amp;""))</f>
        <v/>
      </c>
      <c r="E3054" s="23" t="str">
        <f aca="false">IF(B3054="","",IFERROR(INDEX(Clay_Offices!$A$2:$FZ$601,203,Sync!$C$6)&amp;"",""))</f>
        <v/>
      </c>
      <c r="F3054" s="23" t="str">
        <f aca="false">IF(B3054="","","outreach_sent")</f>
        <v/>
      </c>
      <c r="G3054" s="23" t="str">
        <f aca="false">IF(B3054="","","")</f>
        <v/>
      </c>
      <c r="H3054" s="23" t="str">
        <f aca="false">IF(B3054="","","")</f>
        <v/>
      </c>
      <c r="I3054" s="23" t="str">
        <f aca="false">IF(B3054="","","")</f>
        <v/>
      </c>
      <c r="J3054" s="23" t="str">
        <f aca="false">IF(B3054="","","touch_3; "&amp;IFERROR(INDEX(Clay_Offices!$A$2:$FZ$601,203,Sync!$C$10)&amp;"","")&amp;"; "&amp;IFERROR(INDEX(Clay_Offices!$A$2:$FZ$601,203,Sync!$C$9)&amp;"",""))</f>
        <v/>
      </c>
      <c r="K3054" s="32" t="s">
        <v>1365</v>
      </c>
    </row>
    <row r="3055" customFormat="false" ht="15" hidden="false" customHeight="false" outlineLevel="0" collapsed="false">
      <c r="A3055" s="23" t="str">
        <f aca="false">IF(B3055="","",B3055+(14*1000+204)/10000000)</f>
        <v/>
      </c>
      <c r="B3055" s="35" t="str">
        <f aca="false">IF(AND(IFERROR(N(INDEX(Clay_Offices!$A$2:$FZ$601,204,Sync!$C$13)),0)&gt;0,IFERROR(INDEX(Clay_Offices!$A$2:$FZ$601,204,Sync!$C$5)&amp;"","")&lt;&gt;"",OR(LEFT(IFERROR(INDEX(Clay_Offices!$A$2:$FZ$601,204,Sync!$C$5)&amp;"",""),6)&lt;&gt;"SAMPLE",Config!$B$19="Y")),IFERROR(N(INDEX(Clay_Offices!$A$2:$FZ$601,204,Sync!$C$13)),0),"")</f>
        <v/>
      </c>
      <c r="C3055" s="23" t="str">
        <f aca="false">IF(B3055="","","office")</f>
        <v/>
      </c>
      <c r="D3055" s="23" t="str">
        <f aca="false">IF(B3055="","",IFERROR(INDEX(Office_Log!$ED$2:$ED$201,MATCH(IFERROR(INDEX(Clay_Offices!$A$2:$FZ$601,204,Sync!$C$5)&amp;"",""),Office_Log!$A$2:$A$201,0))&amp;"",IFERROR(INDEX(Clay_Offices!$A$2:$FZ$601,204,Sync!$C$5)&amp;"","")&amp;""))</f>
        <v/>
      </c>
      <c r="E3055" s="23" t="str">
        <f aca="false">IF(B3055="","",IFERROR(INDEX(Clay_Offices!$A$2:$FZ$601,204,Sync!$C$6)&amp;"",""))</f>
        <v/>
      </c>
      <c r="F3055" s="23" t="str">
        <f aca="false">IF(B3055="","","outreach_sent")</f>
        <v/>
      </c>
      <c r="G3055" s="23" t="str">
        <f aca="false">IF(B3055="","","")</f>
        <v/>
      </c>
      <c r="H3055" s="23" t="str">
        <f aca="false">IF(B3055="","","")</f>
        <v/>
      </c>
      <c r="I3055" s="23" t="str">
        <f aca="false">IF(B3055="","","")</f>
        <v/>
      </c>
      <c r="J3055" s="23" t="str">
        <f aca="false">IF(B3055="","","touch_3; "&amp;IFERROR(INDEX(Clay_Offices!$A$2:$FZ$601,204,Sync!$C$10)&amp;"","")&amp;"; "&amp;IFERROR(INDEX(Clay_Offices!$A$2:$FZ$601,204,Sync!$C$9)&amp;"",""))</f>
        <v/>
      </c>
      <c r="K3055" s="32" t="s">
        <v>1365</v>
      </c>
    </row>
    <row r="3056" customFormat="false" ht="15" hidden="false" customHeight="false" outlineLevel="0" collapsed="false">
      <c r="A3056" s="23" t="str">
        <f aca="false">IF(B3056="","",B3056+(14*1000+205)/10000000)</f>
        <v/>
      </c>
      <c r="B3056" s="35" t="str">
        <f aca="false">IF(AND(IFERROR(N(INDEX(Clay_Offices!$A$2:$FZ$601,205,Sync!$C$13)),0)&gt;0,IFERROR(INDEX(Clay_Offices!$A$2:$FZ$601,205,Sync!$C$5)&amp;"","")&lt;&gt;"",OR(LEFT(IFERROR(INDEX(Clay_Offices!$A$2:$FZ$601,205,Sync!$C$5)&amp;"",""),6)&lt;&gt;"SAMPLE",Config!$B$19="Y")),IFERROR(N(INDEX(Clay_Offices!$A$2:$FZ$601,205,Sync!$C$13)),0),"")</f>
        <v/>
      </c>
      <c r="C3056" s="23" t="str">
        <f aca="false">IF(B3056="","","office")</f>
        <v/>
      </c>
      <c r="D3056" s="23" t="str">
        <f aca="false">IF(B3056="","",IFERROR(INDEX(Office_Log!$ED$2:$ED$201,MATCH(IFERROR(INDEX(Clay_Offices!$A$2:$FZ$601,205,Sync!$C$5)&amp;"",""),Office_Log!$A$2:$A$201,0))&amp;"",IFERROR(INDEX(Clay_Offices!$A$2:$FZ$601,205,Sync!$C$5)&amp;"","")&amp;""))</f>
        <v/>
      </c>
      <c r="E3056" s="23" t="str">
        <f aca="false">IF(B3056="","",IFERROR(INDEX(Clay_Offices!$A$2:$FZ$601,205,Sync!$C$6)&amp;"",""))</f>
        <v/>
      </c>
      <c r="F3056" s="23" t="str">
        <f aca="false">IF(B3056="","","outreach_sent")</f>
        <v/>
      </c>
      <c r="G3056" s="23" t="str">
        <f aca="false">IF(B3056="","","")</f>
        <v/>
      </c>
      <c r="H3056" s="23" t="str">
        <f aca="false">IF(B3056="","","")</f>
        <v/>
      </c>
      <c r="I3056" s="23" t="str">
        <f aca="false">IF(B3056="","","")</f>
        <v/>
      </c>
      <c r="J3056" s="23" t="str">
        <f aca="false">IF(B3056="","","touch_3; "&amp;IFERROR(INDEX(Clay_Offices!$A$2:$FZ$601,205,Sync!$C$10)&amp;"","")&amp;"; "&amp;IFERROR(INDEX(Clay_Offices!$A$2:$FZ$601,205,Sync!$C$9)&amp;"",""))</f>
        <v/>
      </c>
      <c r="K3056" s="32" t="s">
        <v>1365</v>
      </c>
    </row>
    <row r="3057" customFormat="false" ht="15" hidden="false" customHeight="false" outlineLevel="0" collapsed="false">
      <c r="A3057" s="23" t="str">
        <f aca="false">IF(B3057="","",B3057+(14*1000+206)/10000000)</f>
        <v/>
      </c>
      <c r="B3057" s="35" t="str">
        <f aca="false">IF(AND(IFERROR(N(INDEX(Clay_Offices!$A$2:$FZ$601,206,Sync!$C$13)),0)&gt;0,IFERROR(INDEX(Clay_Offices!$A$2:$FZ$601,206,Sync!$C$5)&amp;"","")&lt;&gt;"",OR(LEFT(IFERROR(INDEX(Clay_Offices!$A$2:$FZ$601,206,Sync!$C$5)&amp;"",""),6)&lt;&gt;"SAMPLE",Config!$B$19="Y")),IFERROR(N(INDEX(Clay_Offices!$A$2:$FZ$601,206,Sync!$C$13)),0),"")</f>
        <v/>
      </c>
      <c r="C3057" s="23" t="str">
        <f aca="false">IF(B3057="","","office")</f>
        <v/>
      </c>
      <c r="D3057" s="23" t="str">
        <f aca="false">IF(B3057="","",IFERROR(INDEX(Office_Log!$ED$2:$ED$201,MATCH(IFERROR(INDEX(Clay_Offices!$A$2:$FZ$601,206,Sync!$C$5)&amp;"",""),Office_Log!$A$2:$A$201,0))&amp;"",IFERROR(INDEX(Clay_Offices!$A$2:$FZ$601,206,Sync!$C$5)&amp;"","")&amp;""))</f>
        <v/>
      </c>
      <c r="E3057" s="23" t="str">
        <f aca="false">IF(B3057="","",IFERROR(INDEX(Clay_Offices!$A$2:$FZ$601,206,Sync!$C$6)&amp;"",""))</f>
        <v/>
      </c>
      <c r="F3057" s="23" t="str">
        <f aca="false">IF(B3057="","","outreach_sent")</f>
        <v/>
      </c>
      <c r="G3057" s="23" t="str">
        <f aca="false">IF(B3057="","","")</f>
        <v/>
      </c>
      <c r="H3057" s="23" t="str">
        <f aca="false">IF(B3057="","","")</f>
        <v/>
      </c>
      <c r="I3057" s="23" t="str">
        <f aca="false">IF(B3057="","","")</f>
        <v/>
      </c>
      <c r="J3057" s="23" t="str">
        <f aca="false">IF(B3057="","","touch_3; "&amp;IFERROR(INDEX(Clay_Offices!$A$2:$FZ$601,206,Sync!$C$10)&amp;"","")&amp;"; "&amp;IFERROR(INDEX(Clay_Offices!$A$2:$FZ$601,206,Sync!$C$9)&amp;"",""))</f>
        <v/>
      </c>
      <c r="K3057" s="32" t="s">
        <v>1365</v>
      </c>
    </row>
    <row r="3058" customFormat="false" ht="15" hidden="false" customHeight="false" outlineLevel="0" collapsed="false">
      <c r="A3058" s="23" t="str">
        <f aca="false">IF(B3058="","",B3058+(14*1000+207)/10000000)</f>
        <v/>
      </c>
      <c r="B3058" s="35" t="str">
        <f aca="false">IF(AND(IFERROR(N(INDEX(Clay_Offices!$A$2:$FZ$601,207,Sync!$C$13)),0)&gt;0,IFERROR(INDEX(Clay_Offices!$A$2:$FZ$601,207,Sync!$C$5)&amp;"","")&lt;&gt;"",OR(LEFT(IFERROR(INDEX(Clay_Offices!$A$2:$FZ$601,207,Sync!$C$5)&amp;"",""),6)&lt;&gt;"SAMPLE",Config!$B$19="Y")),IFERROR(N(INDEX(Clay_Offices!$A$2:$FZ$601,207,Sync!$C$13)),0),"")</f>
        <v/>
      </c>
      <c r="C3058" s="23" t="str">
        <f aca="false">IF(B3058="","","office")</f>
        <v/>
      </c>
      <c r="D3058" s="23" t="str">
        <f aca="false">IF(B3058="","",IFERROR(INDEX(Office_Log!$ED$2:$ED$201,MATCH(IFERROR(INDEX(Clay_Offices!$A$2:$FZ$601,207,Sync!$C$5)&amp;"",""),Office_Log!$A$2:$A$201,0))&amp;"",IFERROR(INDEX(Clay_Offices!$A$2:$FZ$601,207,Sync!$C$5)&amp;"","")&amp;""))</f>
        <v/>
      </c>
      <c r="E3058" s="23" t="str">
        <f aca="false">IF(B3058="","",IFERROR(INDEX(Clay_Offices!$A$2:$FZ$601,207,Sync!$C$6)&amp;"",""))</f>
        <v/>
      </c>
      <c r="F3058" s="23" t="str">
        <f aca="false">IF(B3058="","","outreach_sent")</f>
        <v/>
      </c>
      <c r="G3058" s="23" t="str">
        <f aca="false">IF(B3058="","","")</f>
        <v/>
      </c>
      <c r="H3058" s="23" t="str">
        <f aca="false">IF(B3058="","","")</f>
        <v/>
      </c>
      <c r="I3058" s="23" t="str">
        <f aca="false">IF(B3058="","","")</f>
        <v/>
      </c>
      <c r="J3058" s="23" t="str">
        <f aca="false">IF(B3058="","","touch_3; "&amp;IFERROR(INDEX(Clay_Offices!$A$2:$FZ$601,207,Sync!$C$10)&amp;"","")&amp;"; "&amp;IFERROR(INDEX(Clay_Offices!$A$2:$FZ$601,207,Sync!$C$9)&amp;"",""))</f>
        <v/>
      </c>
      <c r="K3058" s="32" t="s">
        <v>1365</v>
      </c>
    </row>
    <row r="3059" customFormat="false" ht="15" hidden="false" customHeight="false" outlineLevel="0" collapsed="false">
      <c r="A3059" s="23" t="str">
        <f aca="false">IF(B3059="","",B3059+(14*1000+208)/10000000)</f>
        <v/>
      </c>
      <c r="B3059" s="35" t="str">
        <f aca="false">IF(AND(IFERROR(N(INDEX(Clay_Offices!$A$2:$FZ$601,208,Sync!$C$13)),0)&gt;0,IFERROR(INDEX(Clay_Offices!$A$2:$FZ$601,208,Sync!$C$5)&amp;"","")&lt;&gt;"",OR(LEFT(IFERROR(INDEX(Clay_Offices!$A$2:$FZ$601,208,Sync!$C$5)&amp;"",""),6)&lt;&gt;"SAMPLE",Config!$B$19="Y")),IFERROR(N(INDEX(Clay_Offices!$A$2:$FZ$601,208,Sync!$C$13)),0),"")</f>
        <v/>
      </c>
      <c r="C3059" s="23" t="str">
        <f aca="false">IF(B3059="","","office")</f>
        <v/>
      </c>
      <c r="D3059" s="23" t="str">
        <f aca="false">IF(B3059="","",IFERROR(INDEX(Office_Log!$ED$2:$ED$201,MATCH(IFERROR(INDEX(Clay_Offices!$A$2:$FZ$601,208,Sync!$C$5)&amp;"",""),Office_Log!$A$2:$A$201,0))&amp;"",IFERROR(INDEX(Clay_Offices!$A$2:$FZ$601,208,Sync!$C$5)&amp;"","")&amp;""))</f>
        <v/>
      </c>
      <c r="E3059" s="23" t="str">
        <f aca="false">IF(B3059="","",IFERROR(INDEX(Clay_Offices!$A$2:$FZ$601,208,Sync!$C$6)&amp;"",""))</f>
        <v/>
      </c>
      <c r="F3059" s="23" t="str">
        <f aca="false">IF(B3059="","","outreach_sent")</f>
        <v/>
      </c>
      <c r="G3059" s="23" t="str">
        <f aca="false">IF(B3059="","","")</f>
        <v/>
      </c>
      <c r="H3059" s="23" t="str">
        <f aca="false">IF(B3059="","","")</f>
        <v/>
      </c>
      <c r="I3059" s="23" t="str">
        <f aca="false">IF(B3059="","","")</f>
        <v/>
      </c>
      <c r="J3059" s="23" t="str">
        <f aca="false">IF(B3059="","","touch_3; "&amp;IFERROR(INDEX(Clay_Offices!$A$2:$FZ$601,208,Sync!$C$10)&amp;"","")&amp;"; "&amp;IFERROR(INDEX(Clay_Offices!$A$2:$FZ$601,208,Sync!$C$9)&amp;"",""))</f>
        <v/>
      </c>
      <c r="K3059" s="32" t="s">
        <v>1365</v>
      </c>
    </row>
    <row r="3060" customFormat="false" ht="15" hidden="false" customHeight="false" outlineLevel="0" collapsed="false">
      <c r="A3060" s="23" t="str">
        <f aca="false">IF(B3060="","",B3060+(14*1000+209)/10000000)</f>
        <v/>
      </c>
      <c r="B3060" s="35" t="str">
        <f aca="false">IF(AND(IFERROR(N(INDEX(Clay_Offices!$A$2:$FZ$601,209,Sync!$C$13)),0)&gt;0,IFERROR(INDEX(Clay_Offices!$A$2:$FZ$601,209,Sync!$C$5)&amp;"","")&lt;&gt;"",OR(LEFT(IFERROR(INDEX(Clay_Offices!$A$2:$FZ$601,209,Sync!$C$5)&amp;"",""),6)&lt;&gt;"SAMPLE",Config!$B$19="Y")),IFERROR(N(INDEX(Clay_Offices!$A$2:$FZ$601,209,Sync!$C$13)),0),"")</f>
        <v/>
      </c>
      <c r="C3060" s="23" t="str">
        <f aca="false">IF(B3060="","","office")</f>
        <v/>
      </c>
      <c r="D3060" s="23" t="str">
        <f aca="false">IF(B3060="","",IFERROR(INDEX(Office_Log!$ED$2:$ED$201,MATCH(IFERROR(INDEX(Clay_Offices!$A$2:$FZ$601,209,Sync!$C$5)&amp;"",""),Office_Log!$A$2:$A$201,0))&amp;"",IFERROR(INDEX(Clay_Offices!$A$2:$FZ$601,209,Sync!$C$5)&amp;"","")&amp;""))</f>
        <v/>
      </c>
      <c r="E3060" s="23" t="str">
        <f aca="false">IF(B3060="","",IFERROR(INDEX(Clay_Offices!$A$2:$FZ$601,209,Sync!$C$6)&amp;"",""))</f>
        <v/>
      </c>
      <c r="F3060" s="23" t="str">
        <f aca="false">IF(B3060="","","outreach_sent")</f>
        <v/>
      </c>
      <c r="G3060" s="23" t="str">
        <f aca="false">IF(B3060="","","")</f>
        <v/>
      </c>
      <c r="H3060" s="23" t="str">
        <f aca="false">IF(B3060="","","")</f>
        <v/>
      </c>
      <c r="I3060" s="23" t="str">
        <f aca="false">IF(B3060="","","")</f>
        <v/>
      </c>
      <c r="J3060" s="23" t="str">
        <f aca="false">IF(B3060="","","touch_3; "&amp;IFERROR(INDEX(Clay_Offices!$A$2:$FZ$601,209,Sync!$C$10)&amp;"","")&amp;"; "&amp;IFERROR(INDEX(Clay_Offices!$A$2:$FZ$601,209,Sync!$C$9)&amp;"",""))</f>
        <v/>
      </c>
      <c r="K3060" s="32" t="s">
        <v>1365</v>
      </c>
    </row>
    <row r="3061" customFormat="false" ht="15" hidden="false" customHeight="false" outlineLevel="0" collapsed="false">
      <c r="A3061" s="23" t="str">
        <f aca="false">IF(B3061="","",B3061+(14*1000+210)/10000000)</f>
        <v/>
      </c>
      <c r="B3061" s="35" t="str">
        <f aca="false">IF(AND(IFERROR(N(INDEX(Clay_Offices!$A$2:$FZ$601,210,Sync!$C$13)),0)&gt;0,IFERROR(INDEX(Clay_Offices!$A$2:$FZ$601,210,Sync!$C$5)&amp;"","")&lt;&gt;"",OR(LEFT(IFERROR(INDEX(Clay_Offices!$A$2:$FZ$601,210,Sync!$C$5)&amp;"",""),6)&lt;&gt;"SAMPLE",Config!$B$19="Y")),IFERROR(N(INDEX(Clay_Offices!$A$2:$FZ$601,210,Sync!$C$13)),0),"")</f>
        <v/>
      </c>
      <c r="C3061" s="23" t="str">
        <f aca="false">IF(B3061="","","office")</f>
        <v/>
      </c>
      <c r="D3061" s="23" t="str">
        <f aca="false">IF(B3061="","",IFERROR(INDEX(Office_Log!$ED$2:$ED$201,MATCH(IFERROR(INDEX(Clay_Offices!$A$2:$FZ$601,210,Sync!$C$5)&amp;"",""),Office_Log!$A$2:$A$201,0))&amp;"",IFERROR(INDEX(Clay_Offices!$A$2:$FZ$601,210,Sync!$C$5)&amp;"","")&amp;""))</f>
        <v/>
      </c>
      <c r="E3061" s="23" t="str">
        <f aca="false">IF(B3061="","",IFERROR(INDEX(Clay_Offices!$A$2:$FZ$601,210,Sync!$C$6)&amp;"",""))</f>
        <v/>
      </c>
      <c r="F3061" s="23" t="str">
        <f aca="false">IF(B3061="","","outreach_sent")</f>
        <v/>
      </c>
      <c r="G3061" s="23" t="str">
        <f aca="false">IF(B3061="","","")</f>
        <v/>
      </c>
      <c r="H3061" s="23" t="str">
        <f aca="false">IF(B3061="","","")</f>
        <v/>
      </c>
      <c r="I3061" s="23" t="str">
        <f aca="false">IF(B3061="","","")</f>
        <v/>
      </c>
      <c r="J3061" s="23" t="str">
        <f aca="false">IF(B3061="","","touch_3; "&amp;IFERROR(INDEX(Clay_Offices!$A$2:$FZ$601,210,Sync!$C$10)&amp;"","")&amp;"; "&amp;IFERROR(INDEX(Clay_Offices!$A$2:$FZ$601,210,Sync!$C$9)&amp;"",""))</f>
        <v/>
      </c>
      <c r="K3061" s="32" t="s">
        <v>1365</v>
      </c>
    </row>
    <row r="3062" customFormat="false" ht="15" hidden="false" customHeight="false" outlineLevel="0" collapsed="false">
      <c r="A3062" s="23" t="str">
        <f aca="false">IF(B3062="","",B3062+(14*1000+211)/10000000)</f>
        <v/>
      </c>
      <c r="B3062" s="35" t="str">
        <f aca="false">IF(AND(IFERROR(N(INDEX(Clay_Offices!$A$2:$FZ$601,211,Sync!$C$13)),0)&gt;0,IFERROR(INDEX(Clay_Offices!$A$2:$FZ$601,211,Sync!$C$5)&amp;"","")&lt;&gt;"",OR(LEFT(IFERROR(INDEX(Clay_Offices!$A$2:$FZ$601,211,Sync!$C$5)&amp;"",""),6)&lt;&gt;"SAMPLE",Config!$B$19="Y")),IFERROR(N(INDEX(Clay_Offices!$A$2:$FZ$601,211,Sync!$C$13)),0),"")</f>
        <v/>
      </c>
      <c r="C3062" s="23" t="str">
        <f aca="false">IF(B3062="","","office")</f>
        <v/>
      </c>
      <c r="D3062" s="23" t="str">
        <f aca="false">IF(B3062="","",IFERROR(INDEX(Office_Log!$ED$2:$ED$201,MATCH(IFERROR(INDEX(Clay_Offices!$A$2:$FZ$601,211,Sync!$C$5)&amp;"",""),Office_Log!$A$2:$A$201,0))&amp;"",IFERROR(INDEX(Clay_Offices!$A$2:$FZ$601,211,Sync!$C$5)&amp;"","")&amp;""))</f>
        <v/>
      </c>
      <c r="E3062" s="23" t="str">
        <f aca="false">IF(B3062="","",IFERROR(INDEX(Clay_Offices!$A$2:$FZ$601,211,Sync!$C$6)&amp;"",""))</f>
        <v/>
      </c>
      <c r="F3062" s="23" t="str">
        <f aca="false">IF(B3062="","","outreach_sent")</f>
        <v/>
      </c>
      <c r="G3062" s="23" t="str">
        <f aca="false">IF(B3062="","","")</f>
        <v/>
      </c>
      <c r="H3062" s="23" t="str">
        <f aca="false">IF(B3062="","","")</f>
        <v/>
      </c>
      <c r="I3062" s="23" t="str">
        <f aca="false">IF(B3062="","","")</f>
        <v/>
      </c>
      <c r="J3062" s="23" t="str">
        <f aca="false">IF(B3062="","","touch_3; "&amp;IFERROR(INDEX(Clay_Offices!$A$2:$FZ$601,211,Sync!$C$10)&amp;"","")&amp;"; "&amp;IFERROR(INDEX(Clay_Offices!$A$2:$FZ$601,211,Sync!$C$9)&amp;"",""))</f>
        <v/>
      </c>
      <c r="K3062" s="32" t="s">
        <v>1365</v>
      </c>
    </row>
    <row r="3063" customFormat="false" ht="15" hidden="false" customHeight="false" outlineLevel="0" collapsed="false">
      <c r="A3063" s="23" t="str">
        <f aca="false">IF(B3063="","",B3063+(14*1000+212)/10000000)</f>
        <v/>
      </c>
      <c r="B3063" s="35" t="str">
        <f aca="false">IF(AND(IFERROR(N(INDEX(Clay_Offices!$A$2:$FZ$601,212,Sync!$C$13)),0)&gt;0,IFERROR(INDEX(Clay_Offices!$A$2:$FZ$601,212,Sync!$C$5)&amp;"","")&lt;&gt;"",OR(LEFT(IFERROR(INDEX(Clay_Offices!$A$2:$FZ$601,212,Sync!$C$5)&amp;"",""),6)&lt;&gt;"SAMPLE",Config!$B$19="Y")),IFERROR(N(INDEX(Clay_Offices!$A$2:$FZ$601,212,Sync!$C$13)),0),"")</f>
        <v/>
      </c>
      <c r="C3063" s="23" t="str">
        <f aca="false">IF(B3063="","","office")</f>
        <v/>
      </c>
      <c r="D3063" s="23" t="str">
        <f aca="false">IF(B3063="","",IFERROR(INDEX(Office_Log!$ED$2:$ED$201,MATCH(IFERROR(INDEX(Clay_Offices!$A$2:$FZ$601,212,Sync!$C$5)&amp;"",""),Office_Log!$A$2:$A$201,0))&amp;"",IFERROR(INDEX(Clay_Offices!$A$2:$FZ$601,212,Sync!$C$5)&amp;"","")&amp;""))</f>
        <v/>
      </c>
      <c r="E3063" s="23" t="str">
        <f aca="false">IF(B3063="","",IFERROR(INDEX(Clay_Offices!$A$2:$FZ$601,212,Sync!$C$6)&amp;"",""))</f>
        <v/>
      </c>
      <c r="F3063" s="23" t="str">
        <f aca="false">IF(B3063="","","outreach_sent")</f>
        <v/>
      </c>
      <c r="G3063" s="23" t="str">
        <f aca="false">IF(B3063="","","")</f>
        <v/>
      </c>
      <c r="H3063" s="23" t="str">
        <f aca="false">IF(B3063="","","")</f>
        <v/>
      </c>
      <c r="I3063" s="23" t="str">
        <f aca="false">IF(B3063="","","")</f>
        <v/>
      </c>
      <c r="J3063" s="23" t="str">
        <f aca="false">IF(B3063="","","touch_3; "&amp;IFERROR(INDEX(Clay_Offices!$A$2:$FZ$601,212,Sync!$C$10)&amp;"","")&amp;"; "&amp;IFERROR(INDEX(Clay_Offices!$A$2:$FZ$601,212,Sync!$C$9)&amp;"",""))</f>
        <v/>
      </c>
      <c r="K3063" s="32" t="s">
        <v>1365</v>
      </c>
    </row>
    <row r="3064" customFormat="false" ht="15" hidden="false" customHeight="false" outlineLevel="0" collapsed="false">
      <c r="A3064" s="23" t="str">
        <f aca="false">IF(B3064="","",B3064+(14*1000+213)/10000000)</f>
        <v/>
      </c>
      <c r="B3064" s="35" t="str">
        <f aca="false">IF(AND(IFERROR(N(INDEX(Clay_Offices!$A$2:$FZ$601,213,Sync!$C$13)),0)&gt;0,IFERROR(INDEX(Clay_Offices!$A$2:$FZ$601,213,Sync!$C$5)&amp;"","")&lt;&gt;"",OR(LEFT(IFERROR(INDEX(Clay_Offices!$A$2:$FZ$601,213,Sync!$C$5)&amp;"",""),6)&lt;&gt;"SAMPLE",Config!$B$19="Y")),IFERROR(N(INDEX(Clay_Offices!$A$2:$FZ$601,213,Sync!$C$13)),0),"")</f>
        <v/>
      </c>
      <c r="C3064" s="23" t="str">
        <f aca="false">IF(B3064="","","office")</f>
        <v/>
      </c>
      <c r="D3064" s="23" t="str">
        <f aca="false">IF(B3064="","",IFERROR(INDEX(Office_Log!$ED$2:$ED$201,MATCH(IFERROR(INDEX(Clay_Offices!$A$2:$FZ$601,213,Sync!$C$5)&amp;"",""),Office_Log!$A$2:$A$201,0))&amp;"",IFERROR(INDEX(Clay_Offices!$A$2:$FZ$601,213,Sync!$C$5)&amp;"","")&amp;""))</f>
        <v/>
      </c>
      <c r="E3064" s="23" t="str">
        <f aca="false">IF(B3064="","",IFERROR(INDEX(Clay_Offices!$A$2:$FZ$601,213,Sync!$C$6)&amp;"",""))</f>
        <v/>
      </c>
      <c r="F3064" s="23" t="str">
        <f aca="false">IF(B3064="","","outreach_sent")</f>
        <v/>
      </c>
      <c r="G3064" s="23" t="str">
        <f aca="false">IF(B3064="","","")</f>
        <v/>
      </c>
      <c r="H3064" s="23" t="str">
        <f aca="false">IF(B3064="","","")</f>
        <v/>
      </c>
      <c r="I3064" s="23" t="str">
        <f aca="false">IF(B3064="","","")</f>
        <v/>
      </c>
      <c r="J3064" s="23" t="str">
        <f aca="false">IF(B3064="","","touch_3; "&amp;IFERROR(INDEX(Clay_Offices!$A$2:$FZ$601,213,Sync!$C$10)&amp;"","")&amp;"; "&amp;IFERROR(INDEX(Clay_Offices!$A$2:$FZ$601,213,Sync!$C$9)&amp;"",""))</f>
        <v/>
      </c>
      <c r="K3064" s="32" t="s">
        <v>1365</v>
      </c>
    </row>
    <row r="3065" customFormat="false" ht="15" hidden="false" customHeight="false" outlineLevel="0" collapsed="false">
      <c r="A3065" s="23" t="str">
        <f aca="false">IF(B3065="","",B3065+(14*1000+214)/10000000)</f>
        <v/>
      </c>
      <c r="B3065" s="35" t="str">
        <f aca="false">IF(AND(IFERROR(N(INDEX(Clay_Offices!$A$2:$FZ$601,214,Sync!$C$13)),0)&gt;0,IFERROR(INDEX(Clay_Offices!$A$2:$FZ$601,214,Sync!$C$5)&amp;"","")&lt;&gt;"",OR(LEFT(IFERROR(INDEX(Clay_Offices!$A$2:$FZ$601,214,Sync!$C$5)&amp;"",""),6)&lt;&gt;"SAMPLE",Config!$B$19="Y")),IFERROR(N(INDEX(Clay_Offices!$A$2:$FZ$601,214,Sync!$C$13)),0),"")</f>
        <v/>
      </c>
      <c r="C3065" s="23" t="str">
        <f aca="false">IF(B3065="","","office")</f>
        <v/>
      </c>
      <c r="D3065" s="23" t="str">
        <f aca="false">IF(B3065="","",IFERROR(INDEX(Office_Log!$ED$2:$ED$201,MATCH(IFERROR(INDEX(Clay_Offices!$A$2:$FZ$601,214,Sync!$C$5)&amp;"",""),Office_Log!$A$2:$A$201,0))&amp;"",IFERROR(INDEX(Clay_Offices!$A$2:$FZ$601,214,Sync!$C$5)&amp;"","")&amp;""))</f>
        <v/>
      </c>
      <c r="E3065" s="23" t="str">
        <f aca="false">IF(B3065="","",IFERROR(INDEX(Clay_Offices!$A$2:$FZ$601,214,Sync!$C$6)&amp;"",""))</f>
        <v/>
      </c>
      <c r="F3065" s="23" t="str">
        <f aca="false">IF(B3065="","","outreach_sent")</f>
        <v/>
      </c>
      <c r="G3065" s="23" t="str">
        <f aca="false">IF(B3065="","","")</f>
        <v/>
      </c>
      <c r="H3065" s="23" t="str">
        <f aca="false">IF(B3065="","","")</f>
        <v/>
      </c>
      <c r="I3065" s="23" t="str">
        <f aca="false">IF(B3065="","","")</f>
        <v/>
      </c>
      <c r="J3065" s="23" t="str">
        <f aca="false">IF(B3065="","","touch_3; "&amp;IFERROR(INDEX(Clay_Offices!$A$2:$FZ$601,214,Sync!$C$10)&amp;"","")&amp;"; "&amp;IFERROR(INDEX(Clay_Offices!$A$2:$FZ$601,214,Sync!$C$9)&amp;"",""))</f>
        <v/>
      </c>
      <c r="K3065" s="32" t="s">
        <v>1365</v>
      </c>
    </row>
    <row r="3066" customFormat="false" ht="15" hidden="false" customHeight="false" outlineLevel="0" collapsed="false">
      <c r="A3066" s="23" t="str">
        <f aca="false">IF(B3066="","",B3066+(14*1000+215)/10000000)</f>
        <v/>
      </c>
      <c r="B3066" s="35" t="str">
        <f aca="false">IF(AND(IFERROR(N(INDEX(Clay_Offices!$A$2:$FZ$601,215,Sync!$C$13)),0)&gt;0,IFERROR(INDEX(Clay_Offices!$A$2:$FZ$601,215,Sync!$C$5)&amp;"","")&lt;&gt;"",OR(LEFT(IFERROR(INDEX(Clay_Offices!$A$2:$FZ$601,215,Sync!$C$5)&amp;"",""),6)&lt;&gt;"SAMPLE",Config!$B$19="Y")),IFERROR(N(INDEX(Clay_Offices!$A$2:$FZ$601,215,Sync!$C$13)),0),"")</f>
        <v/>
      </c>
      <c r="C3066" s="23" t="str">
        <f aca="false">IF(B3066="","","office")</f>
        <v/>
      </c>
      <c r="D3066" s="23" t="str">
        <f aca="false">IF(B3066="","",IFERROR(INDEX(Office_Log!$ED$2:$ED$201,MATCH(IFERROR(INDEX(Clay_Offices!$A$2:$FZ$601,215,Sync!$C$5)&amp;"",""),Office_Log!$A$2:$A$201,0))&amp;"",IFERROR(INDEX(Clay_Offices!$A$2:$FZ$601,215,Sync!$C$5)&amp;"","")&amp;""))</f>
        <v/>
      </c>
      <c r="E3066" s="23" t="str">
        <f aca="false">IF(B3066="","",IFERROR(INDEX(Clay_Offices!$A$2:$FZ$601,215,Sync!$C$6)&amp;"",""))</f>
        <v/>
      </c>
      <c r="F3066" s="23" t="str">
        <f aca="false">IF(B3066="","","outreach_sent")</f>
        <v/>
      </c>
      <c r="G3066" s="23" t="str">
        <f aca="false">IF(B3066="","","")</f>
        <v/>
      </c>
      <c r="H3066" s="23" t="str">
        <f aca="false">IF(B3066="","","")</f>
        <v/>
      </c>
      <c r="I3066" s="23" t="str">
        <f aca="false">IF(B3066="","","")</f>
        <v/>
      </c>
      <c r="J3066" s="23" t="str">
        <f aca="false">IF(B3066="","","touch_3; "&amp;IFERROR(INDEX(Clay_Offices!$A$2:$FZ$601,215,Sync!$C$10)&amp;"","")&amp;"; "&amp;IFERROR(INDEX(Clay_Offices!$A$2:$FZ$601,215,Sync!$C$9)&amp;"",""))</f>
        <v/>
      </c>
      <c r="K3066" s="32" t="s">
        <v>1365</v>
      </c>
    </row>
    <row r="3067" customFormat="false" ht="15" hidden="false" customHeight="false" outlineLevel="0" collapsed="false">
      <c r="A3067" s="23" t="str">
        <f aca="false">IF(B3067="","",B3067+(14*1000+216)/10000000)</f>
        <v/>
      </c>
      <c r="B3067" s="35" t="str">
        <f aca="false">IF(AND(IFERROR(N(INDEX(Clay_Offices!$A$2:$FZ$601,216,Sync!$C$13)),0)&gt;0,IFERROR(INDEX(Clay_Offices!$A$2:$FZ$601,216,Sync!$C$5)&amp;"","")&lt;&gt;"",OR(LEFT(IFERROR(INDEX(Clay_Offices!$A$2:$FZ$601,216,Sync!$C$5)&amp;"",""),6)&lt;&gt;"SAMPLE",Config!$B$19="Y")),IFERROR(N(INDEX(Clay_Offices!$A$2:$FZ$601,216,Sync!$C$13)),0),"")</f>
        <v/>
      </c>
      <c r="C3067" s="23" t="str">
        <f aca="false">IF(B3067="","","office")</f>
        <v/>
      </c>
      <c r="D3067" s="23" t="str">
        <f aca="false">IF(B3067="","",IFERROR(INDEX(Office_Log!$ED$2:$ED$201,MATCH(IFERROR(INDEX(Clay_Offices!$A$2:$FZ$601,216,Sync!$C$5)&amp;"",""),Office_Log!$A$2:$A$201,0))&amp;"",IFERROR(INDEX(Clay_Offices!$A$2:$FZ$601,216,Sync!$C$5)&amp;"","")&amp;""))</f>
        <v/>
      </c>
      <c r="E3067" s="23" t="str">
        <f aca="false">IF(B3067="","",IFERROR(INDEX(Clay_Offices!$A$2:$FZ$601,216,Sync!$C$6)&amp;"",""))</f>
        <v/>
      </c>
      <c r="F3067" s="23" t="str">
        <f aca="false">IF(B3067="","","outreach_sent")</f>
        <v/>
      </c>
      <c r="G3067" s="23" t="str">
        <f aca="false">IF(B3067="","","")</f>
        <v/>
      </c>
      <c r="H3067" s="23" t="str">
        <f aca="false">IF(B3067="","","")</f>
        <v/>
      </c>
      <c r="I3067" s="23" t="str">
        <f aca="false">IF(B3067="","","")</f>
        <v/>
      </c>
      <c r="J3067" s="23" t="str">
        <f aca="false">IF(B3067="","","touch_3; "&amp;IFERROR(INDEX(Clay_Offices!$A$2:$FZ$601,216,Sync!$C$10)&amp;"","")&amp;"; "&amp;IFERROR(INDEX(Clay_Offices!$A$2:$FZ$601,216,Sync!$C$9)&amp;"",""))</f>
        <v/>
      </c>
      <c r="K3067" s="32" t="s">
        <v>1365</v>
      </c>
    </row>
    <row r="3068" customFormat="false" ht="15" hidden="false" customHeight="false" outlineLevel="0" collapsed="false">
      <c r="A3068" s="23" t="str">
        <f aca="false">IF(B3068="","",B3068+(14*1000+217)/10000000)</f>
        <v/>
      </c>
      <c r="B3068" s="35" t="str">
        <f aca="false">IF(AND(IFERROR(N(INDEX(Clay_Offices!$A$2:$FZ$601,217,Sync!$C$13)),0)&gt;0,IFERROR(INDEX(Clay_Offices!$A$2:$FZ$601,217,Sync!$C$5)&amp;"","")&lt;&gt;"",OR(LEFT(IFERROR(INDEX(Clay_Offices!$A$2:$FZ$601,217,Sync!$C$5)&amp;"",""),6)&lt;&gt;"SAMPLE",Config!$B$19="Y")),IFERROR(N(INDEX(Clay_Offices!$A$2:$FZ$601,217,Sync!$C$13)),0),"")</f>
        <v/>
      </c>
      <c r="C3068" s="23" t="str">
        <f aca="false">IF(B3068="","","office")</f>
        <v/>
      </c>
      <c r="D3068" s="23" t="str">
        <f aca="false">IF(B3068="","",IFERROR(INDEX(Office_Log!$ED$2:$ED$201,MATCH(IFERROR(INDEX(Clay_Offices!$A$2:$FZ$601,217,Sync!$C$5)&amp;"",""),Office_Log!$A$2:$A$201,0))&amp;"",IFERROR(INDEX(Clay_Offices!$A$2:$FZ$601,217,Sync!$C$5)&amp;"","")&amp;""))</f>
        <v/>
      </c>
      <c r="E3068" s="23" t="str">
        <f aca="false">IF(B3068="","",IFERROR(INDEX(Clay_Offices!$A$2:$FZ$601,217,Sync!$C$6)&amp;"",""))</f>
        <v/>
      </c>
      <c r="F3068" s="23" t="str">
        <f aca="false">IF(B3068="","","outreach_sent")</f>
        <v/>
      </c>
      <c r="G3068" s="23" t="str">
        <f aca="false">IF(B3068="","","")</f>
        <v/>
      </c>
      <c r="H3068" s="23" t="str">
        <f aca="false">IF(B3068="","","")</f>
        <v/>
      </c>
      <c r="I3068" s="23" t="str">
        <f aca="false">IF(B3068="","","")</f>
        <v/>
      </c>
      <c r="J3068" s="23" t="str">
        <f aca="false">IF(B3068="","","touch_3; "&amp;IFERROR(INDEX(Clay_Offices!$A$2:$FZ$601,217,Sync!$C$10)&amp;"","")&amp;"; "&amp;IFERROR(INDEX(Clay_Offices!$A$2:$FZ$601,217,Sync!$C$9)&amp;"",""))</f>
        <v/>
      </c>
      <c r="K3068" s="32" t="s">
        <v>1365</v>
      </c>
    </row>
    <row r="3069" customFormat="false" ht="15" hidden="false" customHeight="false" outlineLevel="0" collapsed="false">
      <c r="A3069" s="23" t="str">
        <f aca="false">IF(B3069="","",B3069+(14*1000+218)/10000000)</f>
        <v/>
      </c>
      <c r="B3069" s="35" t="str">
        <f aca="false">IF(AND(IFERROR(N(INDEX(Clay_Offices!$A$2:$FZ$601,218,Sync!$C$13)),0)&gt;0,IFERROR(INDEX(Clay_Offices!$A$2:$FZ$601,218,Sync!$C$5)&amp;"","")&lt;&gt;"",OR(LEFT(IFERROR(INDEX(Clay_Offices!$A$2:$FZ$601,218,Sync!$C$5)&amp;"",""),6)&lt;&gt;"SAMPLE",Config!$B$19="Y")),IFERROR(N(INDEX(Clay_Offices!$A$2:$FZ$601,218,Sync!$C$13)),0),"")</f>
        <v/>
      </c>
      <c r="C3069" s="23" t="str">
        <f aca="false">IF(B3069="","","office")</f>
        <v/>
      </c>
      <c r="D3069" s="23" t="str">
        <f aca="false">IF(B3069="","",IFERROR(INDEX(Office_Log!$ED$2:$ED$201,MATCH(IFERROR(INDEX(Clay_Offices!$A$2:$FZ$601,218,Sync!$C$5)&amp;"",""),Office_Log!$A$2:$A$201,0))&amp;"",IFERROR(INDEX(Clay_Offices!$A$2:$FZ$601,218,Sync!$C$5)&amp;"","")&amp;""))</f>
        <v/>
      </c>
      <c r="E3069" s="23" t="str">
        <f aca="false">IF(B3069="","",IFERROR(INDEX(Clay_Offices!$A$2:$FZ$601,218,Sync!$C$6)&amp;"",""))</f>
        <v/>
      </c>
      <c r="F3069" s="23" t="str">
        <f aca="false">IF(B3069="","","outreach_sent")</f>
        <v/>
      </c>
      <c r="G3069" s="23" t="str">
        <f aca="false">IF(B3069="","","")</f>
        <v/>
      </c>
      <c r="H3069" s="23" t="str">
        <f aca="false">IF(B3069="","","")</f>
        <v/>
      </c>
      <c r="I3069" s="23" t="str">
        <f aca="false">IF(B3069="","","")</f>
        <v/>
      </c>
      <c r="J3069" s="23" t="str">
        <f aca="false">IF(B3069="","","touch_3; "&amp;IFERROR(INDEX(Clay_Offices!$A$2:$FZ$601,218,Sync!$C$10)&amp;"","")&amp;"; "&amp;IFERROR(INDEX(Clay_Offices!$A$2:$FZ$601,218,Sync!$C$9)&amp;"",""))</f>
        <v/>
      </c>
      <c r="K3069" s="32" t="s">
        <v>1365</v>
      </c>
    </row>
    <row r="3070" customFormat="false" ht="15" hidden="false" customHeight="false" outlineLevel="0" collapsed="false">
      <c r="A3070" s="23" t="str">
        <f aca="false">IF(B3070="","",B3070+(14*1000+219)/10000000)</f>
        <v/>
      </c>
      <c r="B3070" s="35" t="str">
        <f aca="false">IF(AND(IFERROR(N(INDEX(Clay_Offices!$A$2:$FZ$601,219,Sync!$C$13)),0)&gt;0,IFERROR(INDEX(Clay_Offices!$A$2:$FZ$601,219,Sync!$C$5)&amp;"","")&lt;&gt;"",OR(LEFT(IFERROR(INDEX(Clay_Offices!$A$2:$FZ$601,219,Sync!$C$5)&amp;"",""),6)&lt;&gt;"SAMPLE",Config!$B$19="Y")),IFERROR(N(INDEX(Clay_Offices!$A$2:$FZ$601,219,Sync!$C$13)),0),"")</f>
        <v/>
      </c>
      <c r="C3070" s="23" t="str">
        <f aca="false">IF(B3070="","","office")</f>
        <v/>
      </c>
      <c r="D3070" s="23" t="str">
        <f aca="false">IF(B3070="","",IFERROR(INDEX(Office_Log!$ED$2:$ED$201,MATCH(IFERROR(INDEX(Clay_Offices!$A$2:$FZ$601,219,Sync!$C$5)&amp;"",""),Office_Log!$A$2:$A$201,0))&amp;"",IFERROR(INDEX(Clay_Offices!$A$2:$FZ$601,219,Sync!$C$5)&amp;"","")&amp;""))</f>
        <v/>
      </c>
      <c r="E3070" s="23" t="str">
        <f aca="false">IF(B3070="","",IFERROR(INDEX(Clay_Offices!$A$2:$FZ$601,219,Sync!$C$6)&amp;"",""))</f>
        <v/>
      </c>
      <c r="F3070" s="23" t="str">
        <f aca="false">IF(B3070="","","outreach_sent")</f>
        <v/>
      </c>
      <c r="G3070" s="23" t="str">
        <f aca="false">IF(B3070="","","")</f>
        <v/>
      </c>
      <c r="H3070" s="23" t="str">
        <f aca="false">IF(B3070="","","")</f>
        <v/>
      </c>
      <c r="I3070" s="23" t="str">
        <f aca="false">IF(B3070="","","")</f>
        <v/>
      </c>
      <c r="J3070" s="23" t="str">
        <f aca="false">IF(B3070="","","touch_3; "&amp;IFERROR(INDEX(Clay_Offices!$A$2:$FZ$601,219,Sync!$C$10)&amp;"","")&amp;"; "&amp;IFERROR(INDEX(Clay_Offices!$A$2:$FZ$601,219,Sync!$C$9)&amp;"",""))</f>
        <v/>
      </c>
      <c r="K3070" s="32" t="s">
        <v>1365</v>
      </c>
    </row>
    <row r="3071" customFormat="false" ht="15" hidden="false" customHeight="false" outlineLevel="0" collapsed="false">
      <c r="A3071" s="23" t="str">
        <f aca="false">IF(B3071="","",B3071+(14*1000+220)/10000000)</f>
        <v/>
      </c>
      <c r="B3071" s="35" t="str">
        <f aca="false">IF(AND(IFERROR(N(INDEX(Clay_Offices!$A$2:$FZ$601,220,Sync!$C$13)),0)&gt;0,IFERROR(INDEX(Clay_Offices!$A$2:$FZ$601,220,Sync!$C$5)&amp;"","")&lt;&gt;"",OR(LEFT(IFERROR(INDEX(Clay_Offices!$A$2:$FZ$601,220,Sync!$C$5)&amp;"",""),6)&lt;&gt;"SAMPLE",Config!$B$19="Y")),IFERROR(N(INDEX(Clay_Offices!$A$2:$FZ$601,220,Sync!$C$13)),0),"")</f>
        <v/>
      </c>
      <c r="C3071" s="23" t="str">
        <f aca="false">IF(B3071="","","office")</f>
        <v/>
      </c>
      <c r="D3071" s="23" t="str">
        <f aca="false">IF(B3071="","",IFERROR(INDEX(Office_Log!$ED$2:$ED$201,MATCH(IFERROR(INDEX(Clay_Offices!$A$2:$FZ$601,220,Sync!$C$5)&amp;"",""),Office_Log!$A$2:$A$201,0))&amp;"",IFERROR(INDEX(Clay_Offices!$A$2:$FZ$601,220,Sync!$C$5)&amp;"","")&amp;""))</f>
        <v/>
      </c>
      <c r="E3071" s="23" t="str">
        <f aca="false">IF(B3071="","",IFERROR(INDEX(Clay_Offices!$A$2:$FZ$601,220,Sync!$C$6)&amp;"",""))</f>
        <v/>
      </c>
      <c r="F3071" s="23" t="str">
        <f aca="false">IF(B3071="","","outreach_sent")</f>
        <v/>
      </c>
      <c r="G3071" s="23" t="str">
        <f aca="false">IF(B3071="","","")</f>
        <v/>
      </c>
      <c r="H3071" s="23" t="str">
        <f aca="false">IF(B3071="","","")</f>
        <v/>
      </c>
      <c r="I3071" s="23" t="str">
        <f aca="false">IF(B3071="","","")</f>
        <v/>
      </c>
      <c r="J3071" s="23" t="str">
        <f aca="false">IF(B3071="","","touch_3; "&amp;IFERROR(INDEX(Clay_Offices!$A$2:$FZ$601,220,Sync!$C$10)&amp;"","")&amp;"; "&amp;IFERROR(INDEX(Clay_Offices!$A$2:$FZ$601,220,Sync!$C$9)&amp;"",""))</f>
        <v/>
      </c>
      <c r="K3071" s="32" t="s">
        <v>1365</v>
      </c>
    </row>
    <row r="3072" customFormat="false" ht="15" hidden="false" customHeight="false" outlineLevel="0" collapsed="false">
      <c r="A3072" s="23" t="str">
        <f aca="false">IF(B3072="","",B3072+(14*1000+221)/10000000)</f>
        <v/>
      </c>
      <c r="B3072" s="35" t="str">
        <f aca="false">IF(AND(IFERROR(N(INDEX(Clay_Offices!$A$2:$FZ$601,221,Sync!$C$13)),0)&gt;0,IFERROR(INDEX(Clay_Offices!$A$2:$FZ$601,221,Sync!$C$5)&amp;"","")&lt;&gt;"",OR(LEFT(IFERROR(INDEX(Clay_Offices!$A$2:$FZ$601,221,Sync!$C$5)&amp;"",""),6)&lt;&gt;"SAMPLE",Config!$B$19="Y")),IFERROR(N(INDEX(Clay_Offices!$A$2:$FZ$601,221,Sync!$C$13)),0),"")</f>
        <v/>
      </c>
      <c r="C3072" s="23" t="str">
        <f aca="false">IF(B3072="","","office")</f>
        <v/>
      </c>
      <c r="D3072" s="23" t="str">
        <f aca="false">IF(B3072="","",IFERROR(INDEX(Office_Log!$ED$2:$ED$201,MATCH(IFERROR(INDEX(Clay_Offices!$A$2:$FZ$601,221,Sync!$C$5)&amp;"",""),Office_Log!$A$2:$A$201,0))&amp;"",IFERROR(INDEX(Clay_Offices!$A$2:$FZ$601,221,Sync!$C$5)&amp;"","")&amp;""))</f>
        <v/>
      </c>
      <c r="E3072" s="23" t="str">
        <f aca="false">IF(B3072="","",IFERROR(INDEX(Clay_Offices!$A$2:$FZ$601,221,Sync!$C$6)&amp;"",""))</f>
        <v/>
      </c>
      <c r="F3072" s="23" t="str">
        <f aca="false">IF(B3072="","","outreach_sent")</f>
        <v/>
      </c>
      <c r="G3072" s="23" t="str">
        <f aca="false">IF(B3072="","","")</f>
        <v/>
      </c>
      <c r="H3072" s="23" t="str">
        <f aca="false">IF(B3072="","","")</f>
        <v/>
      </c>
      <c r="I3072" s="23" t="str">
        <f aca="false">IF(B3072="","","")</f>
        <v/>
      </c>
      <c r="J3072" s="23" t="str">
        <f aca="false">IF(B3072="","","touch_3; "&amp;IFERROR(INDEX(Clay_Offices!$A$2:$FZ$601,221,Sync!$C$10)&amp;"","")&amp;"; "&amp;IFERROR(INDEX(Clay_Offices!$A$2:$FZ$601,221,Sync!$C$9)&amp;"",""))</f>
        <v/>
      </c>
      <c r="K3072" s="32" t="s">
        <v>1365</v>
      </c>
    </row>
    <row r="3073" customFormat="false" ht="15" hidden="false" customHeight="false" outlineLevel="0" collapsed="false">
      <c r="A3073" s="23" t="str">
        <f aca="false">IF(B3073="","",B3073+(14*1000+222)/10000000)</f>
        <v/>
      </c>
      <c r="B3073" s="35" t="str">
        <f aca="false">IF(AND(IFERROR(N(INDEX(Clay_Offices!$A$2:$FZ$601,222,Sync!$C$13)),0)&gt;0,IFERROR(INDEX(Clay_Offices!$A$2:$FZ$601,222,Sync!$C$5)&amp;"","")&lt;&gt;"",OR(LEFT(IFERROR(INDEX(Clay_Offices!$A$2:$FZ$601,222,Sync!$C$5)&amp;"",""),6)&lt;&gt;"SAMPLE",Config!$B$19="Y")),IFERROR(N(INDEX(Clay_Offices!$A$2:$FZ$601,222,Sync!$C$13)),0),"")</f>
        <v/>
      </c>
      <c r="C3073" s="23" t="str">
        <f aca="false">IF(B3073="","","office")</f>
        <v/>
      </c>
      <c r="D3073" s="23" t="str">
        <f aca="false">IF(B3073="","",IFERROR(INDEX(Office_Log!$ED$2:$ED$201,MATCH(IFERROR(INDEX(Clay_Offices!$A$2:$FZ$601,222,Sync!$C$5)&amp;"",""),Office_Log!$A$2:$A$201,0))&amp;"",IFERROR(INDEX(Clay_Offices!$A$2:$FZ$601,222,Sync!$C$5)&amp;"","")&amp;""))</f>
        <v/>
      </c>
      <c r="E3073" s="23" t="str">
        <f aca="false">IF(B3073="","",IFERROR(INDEX(Clay_Offices!$A$2:$FZ$601,222,Sync!$C$6)&amp;"",""))</f>
        <v/>
      </c>
      <c r="F3073" s="23" t="str">
        <f aca="false">IF(B3073="","","outreach_sent")</f>
        <v/>
      </c>
      <c r="G3073" s="23" t="str">
        <f aca="false">IF(B3073="","","")</f>
        <v/>
      </c>
      <c r="H3073" s="23" t="str">
        <f aca="false">IF(B3073="","","")</f>
        <v/>
      </c>
      <c r="I3073" s="23" t="str">
        <f aca="false">IF(B3073="","","")</f>
        <v/>
      </c>
      <c r="J3073" s="23" t="str">
        <f aca="false">IF(B3073="","","touch_3; "&amp;IFERROR(INDEX(Clay_Offices!$A$2:$FZ$601,222,Sync!$C$10)&amp;"","")&amp;"; "&amp;IFERROR(INDEX(Clay_Offices!$A$2:$FZ$601,222,Sync!$C$9)&amp;"",""))</f>
        <v/>
      </c>
      <c r="K3073" s="32" t="s">
        <v>1365</v>
      </c>
    </row>
    <row r="3074" customFormat="false" ht="15" hidden="false" customHeight="false" outlineLevel="0" collapsed="false">
      <c r="A3074" s="23" t="str">
        <f aca="false">IF(B3074="","",B3074+(14*1000+223)/10000000)</f>
        <v/>
      </c>
      <c r="B3074" s="35" t="str">
        <f aca="false">IF(AND(IFERROR(N(INDEX(Clay_Offices!$A$2:$FZ$601,223,Sync!$C$13)),0)&gt;0,IFERROR(INDEX(Clay_Offices!$A$2:$FZ$601,223,Sync!$C$5)&amp;"","")&lt;&gt;"",OR(LEFT(IFERROR(INDEX(Clay_Offices!$A$2:$FZ$601,223,Sync!$C$5)&amp;"",""),6)&lt;&gt;"SAMPLE",Config!$B$19="Y")),IFERROR(N(INDEX(Clay_Offices!$A$2:$FZ$601,223,Sync!$C$13)),0),"")</f>
        <v/>
      </c>
      <c r="C3074" s="23" t="str">
        <f aca="false">IF(B3074="","","office")</f>
        <v/>
      </c>
      <c r="D3074" s="23" t="str">
        <f aca="false">IF(B3074="","",IFERROR(INDEX(Office_Log!$ED$2:$ED$201,MATCH(IFERROR(INDEX(Clay_Offices!$A$2:$FZ$601,223,Sync!$C$5)&amp;"",""),Office_Log!$A$2:$A$201,0))&amp;"",IFERROR(INDEX(Clay_Offices!$A$2:$FZ$601,223,Sync!$C$5)&amp;"","")&amp;""))</f>
        <v/>
      </c>
      <c r="E3074" s="23" t="str">
        <f aca="false">IF(B3074="","",IFERROR(INDEX(Clay_Offices!$A$2:$FZ$601,223,Sync!$C$6)&amp;"",""))</f>
        <v/>
      </c>
      <c r="F3074" s="23" t="str">
        <f aca="false">IF(B3074="","","outreach_sent")</f>
        <v/>
      </c>
      <c r="G3074" s="23" t="str">
        <f aca="false">IF(B3074="","","")</f>
        <v/>
      </c>
      <c r="H3074" s="23" t="str">
        <f aca="false">IF(B3074="","","")</f>
        <v/>
      </c>
      <c r="I3074" s="23" t="str">
        <f aca="false">IF(B3074="","","")</f>
        <v/>
      </c>
      <c r="J3074" s="23" t="str">
        <f aca="false">IF(B3074="","","touch_3; "&amp;IFERROR(INDEX(Clay_Offices!$A$2:$FZ$601,223,Sync!$C$10)&amp;"","")&amp;"; "&amp;IFERROR(INDEX(Clay_Offices!$A$2:$FZ$601,223,Sync!$C$9)&amp;"",""))</f>
        <v/>
      </c>
      <c r="K3074" s="32" t="s">
        <v>1365</v>
      </c>
    </row>
    <row r="3075" customFormat="false" ht="15" hidden="false" customHeight="false" outlineLevel="0" collapsed="false">
      <c r="A3075" s="23" t="str">
        <f aca="false">IF(B3075="","",B3075+(14*1000+224)/10000000)</f>
        <v/>
      </c>
      <c r="B3075" s="35" t="str">
        <f aca="false">IF(AND(IFERROR(N(INDEX(Clay_Offices!$A$2:$FZ$601,224,Sync!$C$13)),0)&gt;0,IFERROR(INDEX(Clay_Offices!$A$2:$FZ$601,224,Sync!$C$5)&amp;"","")&lt;&gt;"",OR(LEFT(IFERROR(INDEX(Clay_Offices!$A$2:$FZ$601,224,Sync!$C$5)&amp;"",""),6)&lt;&gt;"SAMPLE",Config!$B$19="Y")),IFERROR(N(INDEX(Clay_Offices!$A$2:$FZ$601,224,Sync!$C$13)),0),"")</f>
        <v/>
      </c>
      <c r="C3075" s="23" t="str">
        <f aca="false">IF(B3075="","","office")</f>
        <v/>
      </c>
      <c r="D3075" s="23" t="str">
        <f aca="false">IF(B3075="","",IFERROR(INDEX(Office_Log!$ED$2:$ED$201,MATCH(IFERROR(INDEX(Clay_Offices!$A$2:$FZ$601,224,Sync!$C$5)&amp;"",""),Office_Log!$A$2:$A$201,0))&amp;"",IFERROR(INDEX(Clay_Offices!$A$2:$FZ$601,224,Sync!$C$5)&amp;"","")&amp;""))</f>
        <v/>
      </c>
      <c r="E3075" s="23" t="str">
        <f aca="false">IF(B3075="","",IFERROR(INDEX(Clay_Offices!$A$2:$FZ$601,224,Sync!$C$6)&amp;"",""))</f>
        <v/>
      </c>
      <c r="F3075" s="23" t="str">
        <f aca="false">IF(B3075="","","outreach_sent")</f>
        <v/>
      </c>
      <c r="G3075" s="23" t="str">
        <f aca="false">IF(B3075="","","")</f>
        <v/>
      </c>
      <c r="H3075" s="23" t="str">
        <f aca="false">IF(B3075="","","")</f>
        <v/>
      </c>
      <c r="I3075" s="23" t="str">
        <f aca="false">IF(B3075="","","")</f>
        <v/>
      </c>
      <c r="J3075" s="23" t="str">
        <f aca="false">IF(B3075="","","touch_3; "&amp;IFERROR(INDEX(Clay_Offices!$A$2:$FZ$601,224,Sync!$C$10)&amp;"","")&amp;"; "&amp;IFERROR(INDEX(Clay_Offices!$A$2:$FZ$601,224,Sync!$C$9)&amp;"",""))</f>
        <v/>
      </c>
      <c r="K3075" s="32" t="s">
        <v>1365</v>
      </c>
    </row>
    <row r="3076" customFormat="false" ht="15" hidden="false" customHeight="false" outlineLevel="0" collapsed="false">
      <c r="A3076" s="23" t="str">
        <f aca="false">IF(B3076="","",B3076+(14*1000+225)/10000000)</f>
        <v/>
      </c>
      <c r="B3076" s="35" t="str">
        <f aca="false">IF(AND(IFERROR(N(INDEX(Clay_Offices!$A$2:$FZ$601,225,Sync!$C$13)),0)&gt;0,IFERROR(INDEX(Clay_Offices!$A$2:$FZ$601,225,Sync!$C$5)&amp;"","")&lt;&gt;"",OR(LEFT(IFERROR(INDEX(Clay_Offices!$A$2:$FZ$601,225,Sync!$C$5)&amp;"",""),6)&lt;&gt;"SAMPLE",Config!$B$19="Y")),IFERROR(N(INDEX(Clay_Offices!$A$2:$FZ$601,225,Sync!$C$13)),0),"")</f>
        <v/>
      </c>
      <c r="C3076" s="23" t="str">
        <f aca="false">IF(B3076="","","office")</f>
        <v/>
      </c>
      <c r="D3076" s="23" t="str">
        <f aca="false">IF(B3076="","",IFERROR(INDEX(Office_Log!$ED$2:$ED$201,MATCH(IFERROR(INDEX(Clay_Offices!$A$2:$FZ$601,225,Sync!$C$5)&amp;"",""),Office_Log!$A$2:$A$201,0))&amp;"",IFERROR(INDEX(Clay_Offices!$A$2:$FZ$601,225,Sync!$C$5)&amp;"","")&amp;""))</f>
        <v/>
      </c>
      <c r="E3076" s="23" t="str">
        <f aca="false">IF(B3076="","",IFERROR(INDEX(Clay_Offices!$A$2:$FZ$601,225,Sync!$C$6)&amp;"",""))</f>
        <v/>
      </c>
      <c r="F3076" s="23" t="str">
        <f aca="false">IF(B3076="","","outreach_sent")</f>
        <v/>
      </c>
      <c r="G3076" s="23" t="str">
        <f aca="false">IF(B3076="","","")</f>
        <v/>
      </c>
      <c r="H3076" s="23" t="str">
        <f aca="false">IF(B3076="","","")</f>
        <v/>
      </c>
      <c r="I3076" s="23" t="str">
        <f aca="false">IF(B3076="","","")</f>
        <v/>
      </c>
      <c r="J3076" s="23" t="str">
        <f aca="false">IF(B3076="","","touch_3; "&amp;IFERROR(INDEX(Clay_Offices!$A$2:$FZ$601,225,Sync!$C$10)&amp;"","")&amp;"; "&amp;IFERROR(INDEX(Clay_Offices!$A$2:$FZ$601,225,Sync!$C$9)&amp;"",""))</f>
        <v/>
      </c>
      <c r="K3076" s="32" t="s">
        <v>1365</v>
      </c>
    </row>
    <row r="3077" customFormat="false" ht="15" hidden="false" customHeight="false" outlineLevel="0" collapsed="false">
      <c r="A3077" s="23" t="str">
        <f aca="false">IF(B3077="","",B3077+(14*1000+226)/10000000)</f>
        <v/>
      </c>
      <c r="B3077" s="35" t="str">
        <f aca="false">IF(AND(IFERROR(N(INDEX(Clay_Offices!$A$2:$FZ$601,226,Sync!$C$13)),0)&gt;0,IFERROR(INDEX(Clay_Offices!$A$2:$FZ$601,226,Sync!$C$5)&amp;"","")&lt;&gt;"",OR(LEFT(IFERROR(INDEX(Clay_Offices!$A$2:$FZ$601,226,Sync!$C$5)&amp;"",""),6)&lt;&gt;"SAMPLE",Config!$B$19="Y")),IFERROR(N(INDEX(Clay_Offices!$A$2:$FZ$601,226,Sync!$C$13)),0),"")</f>
        <v/>
      </c>
      <c r="C3077" s="23" t="str">
        <f aca="false">IF(B3077="","","office")</f>
        <v/>
      </c>
      <c r="D3077" s="23" t="str">
        <f aca="false">IF(B3077="","",IFERROR(INDEX(Office_Log!$ED$2:$ED$201,MATCH(IFERROR(INDEX(Clay_Offices!$A$2:$FZ$601,226,Sync!$C$5)&amp;"",""),Office_Log!$A$2:$A$201,0))&amp;"",IFERROR(INDEX(Clay_Offices!$A$2:$FZ$601,226,Sync!$C$5)&amp;"","")&amp;""))</f>
        <v/>
      </c>
      <c r="E3077" s="23" t="str">
        <f aca="false">IF(B3077="","",IFERROR(INDEX(Clay_Offices!$A$2:$FZ$601,226,Sync!$C$6)&amp;"",""))</f>
        <v/>
      </c>
      <c r="F3077" s="23" t="str">
        <f aca="false">IF(B3077="","","outreach_sent")</f>
        <v/>
      </c>
      <c r="G3077" s="23" t="str">
        <f aca="false">IF(B3077="","","")</f>
        <v/>
      </c>
      <c r="H3077" s="23" t="str">
        <f aca="false">IF(B3077="","","")</f>
        <v/>
      </c>
      <c r="I3077" s="23" t="str">
        <f aca="false">IF(B3077="","","")</f>
        <v/>
      </c>
      <c r="J3077" s="23" t="str">
        <f aca="false">IF(B3077="","","touch_3; "&amp;IFERROR(INDEX(Clay_Offices!$A$2:$FZ$601,226,Sync!$C$10)&amp;"","")&amp;"; "&amp;IFERROR(INDEX(Clay_Offices!$A$2:$FZ$601,226,Sync!$C$9)&amp;"",""))</f>
        <v/>
      </c>
      <c r="K3077" s="32" t="s">
        <v>1365</v>
      </c>
    </row>
    <row r="3078" customFormat="false" ht="15" hidden="false" customHeight="false" outlineLevel="0" collapsed="false">
      <c r="A3078" s="23" t="str">
        <f aca="false">IF(B3078="","",B3078+(14*1000+227)/10000000)</f>
        <v/>
      </c>
      <c r="B3078" s="35" t="str">
        <f aca="false">IF(AND(IFERROR(N(INDEX(Clay_Offices!$A$2:$FZ$601,227,Sync!$C$13)),0)&gt;0,IFERROR(INDEX(Clay_Offices!$A$2:$FZ$601,227,Sync!$C$5)&amp;"","")&lt;&gt;"",OR(LEFT(IFERROR(INDEX(Clay_Offices!$A$2:$FZ$601,227,Sync!$C$5)&amp;"",""),6)&lt;&gt;"SAMPLE",Config!$B$19="Y")),IFERROR(N(INDEX(Clay_Offices!$A$2:$FZ$601,227,Sync!$C$13)),0),"")</f>
        <v/>
      </c>
      <c r="C3078" s="23" t="str">
        <f aca="false">IF(B3078="","","office")</f>
        <v/>
      </c>
      <c r="D3078" s="23" t="str">
        <f aca="false">IF(B3078="","",IFERROR(INDEX(Office_Log!$ED$2:$ED$201,MATCH(IFERROR(INDEX(Clay_Offices!$A$2:$FZ$601,227,Sync!$C$5)&amp;"",""),Office_Log!$A$2:$A$201,0))&amp;"",IFERROR(INDEX(Clay_Offices!$A$2:$FZ$601,227,Sync!$C$5)&amp;"","")&amp;""))</f>
        <v/>
      </c>
      <c r="E3078" s="23" t="str">
        <f aca="false">IF(B3078="","",IFERROR(INDEX(Clay_Offices!$A$2:$FZ$601,227,Sync!$C$6)&amp;"",""))</f>
        <v/>
      </c>
      <c r="F3078" s="23" t="str">
        <f aca="false">IF(B3078="","","outreach_sent")</f>
        <v/>
      </c>
      <c r="G3078" s="23" t="str">
        <f aca="false">IF(B3078="","","")</f>
        <v/>
      </c>
      <c r="H3078" s="23" t="str">
        <f aca="false">IF(B3078="","","")</f>
        <v/>
      </c>
      <c r="I3078" s="23" t="str">
        <f aca="false">IF(B3078="","","")</f>
        <v/>
      </c>
      <c r="J3078" s="23" t="str">
        <f aca="false">IF(B3078="","","touch_3; "&amp;IFERROR(INDEX(Clay_Offices!$A$2:$FZ$601,227,Sync!$C$10)&amp;"","")&amp;"; "&amp;IFERROR(INDEX(Clay_Offices!$A$2:$FZ$601,227,Sync!$C$9)&amp;"",""))</f>
        <v/>
      </c>
      <c r="K3078" s="32" t="s">
        <v>1365</v>
      </c>
    </row>
    <row r="3079" customFormat="false" ht="15" hidden="false" customHeight="false" outlineLevel="0" collapsed="false">
      <c r="A3079" s="23" t="str">
        <f aca="false">IF(B3079="","",B3079+(14*1000+228)/10000000)</f>
        <v/>
      </c>
      <c r="B3079" s="35" t="str">
        <f aca="false">IF(AND(IFERROR(N(INDEX(Clay_Offices!$A$2:$FZ$601,228,Sync!$C$13)),0)&gt;0,IFERROR(INDEX(Clay_Offices!$A$2:$FZ$601,228,Sync!$C$5)&amp;"","")&lt;&gt;"",OR(LEFT(IFERROR(INDEX(Clay_Offices!$A$2:$FZ$601,228,Sync!$C$5)&amp;"",""),6)&lt;&gt;"SAMPLE",Config!$B$19="Y")),IFERROR(N(INDEX(Clay_Offices!$A$2:$FZ$601,228,Sync!$C$13)),0),"")</f>
        <v/>
      </c>
      <c r="C3079" s="23" t="str">
        <f aca="false">IF(B3079="","","office")</f>
        <v/>
      </c>
      <c r="D3079" s="23" t="str">
        <f aca="false">IF(B3079="","",IFERROR(INDEX(Office_Log!$ED$2:$ED$201,MATCH(IFERROR(INDEX(Clay_Offices!$A$2:$FZ$601,228,Sync!$C$5)&amp;"",""),Office_Log!$A$2:$A$201,0))&amp;"",IFERROR(INDEX(Clay_Offices!$A$2:$FZ$601,228,Sync!$C$5)&amp;"","")&amp;""))</f>
        <v/>
      </c>
      <c r="E3079" s="23" t="str">
        <f aca="false">IF(B3079="","",IFERROR(INDEX(Clay_Offices!$A$2:$FZ$601,228,Sync!$C$6)&amp;"",""))</f>
        <v/>
      </c>
      <c r="F3079" s="23" t="str">
        <f aca="false">IF(B3079="","","outreach_sent")</f>
        <v/>
      </c>
      <c r="G3079" s="23" t="str">
        <f aca="false">IF(B3079="","","")</f>
        <v/>
      </c>
      <c r="H3079" s="23" t="str">
        <f aca="false">IF(B3079="","","")</f>
        <v/>
      </c>
      <c r="I3079" s="23" t="str">
        <f aca="false">IF(B3079="","","")</f>
        <v/>
      </c>
      <c r="J3079" s="23" t="str">
        <f aca="false">IF(B3079="","","touch_3; "&amp;IFERROR(INDEX(Clay_Offices!$A$2:$FZ$601,228,Sync!$C$10)&amp;"","")&amp;"; "&amp;IFERROR(INDEX(Clay_Offices!$A$2:$FZ$601,228,Sync!$C$9)&amp;"",""))</f>
        <v/>
      </c>
      <c r="K3079" s="32" t="s">
        <v>1365</v>
      </c>
    </row>
    <row r="3080" customFormat="false" ht="15" hidden="false" customHeight="false" outlineLevel="0" collapsed="false">
      <c r="A3080" s="23" t="str">
        <f aca="false">IF(B3080="","",B3080+(14*1000+229)/10000000)</f>
        <v/>
      </c>
      <c r="B3080" s="35" t="str">
        <f aca="false">IF(AND(IFERROR(N(INDEX(Clay_Offices!$A$2:$FZ$601,229,Sync!$C$13)),0)&gt;0,IFERROR(INDEX(Clay_Offices!$A$2:$FZ$601,229,Sync!$C$5)&amp;"","")&lt;&gt;"",OR(LEFT(IFERROR(INDEX(Clay_Offices!$A$2:$FZ$601,229,Sync!$C$5)&amp;"",""),6)&lt;&gt;"SAMPLE",Config!$B$19="Y")),IFERROR(N(INDEX(Clay_Offices!$A$2:$FZ$601,229,Sync!$C$13)),0),"")</f>
        <v/>
      </c>
      <c r="C3080" s="23" t="str">
        <f aca="false">IF(B3080="","","office")</f>
        <v/>
      </c>
      <c r="D3080" s="23" t="str">
        <f aca="false">IF(B3080="","",IFERROR(INDEX(Office_Log!$ED$2:$ED$201,MATCH(IFERROR(INDEX(Clay_Offices!$A$2:$FZ$601,229,Sync!$C$5)&amp;"",""),Office_Log!$A$2:$A$201,0))&amp;"",IFERROR(INDEX(Clay_Offices!$A$2:$FZ$601,229,Sync!$C$5)&amp;"","")&amp;""))</f>
        <v/>
      </c>
      <c r="E3080" s="23" t="str">
        <f aca="false">IF(B3080="","",IFERROR(INDEX(Clay_Offices!$A$2:$FZ$601,229,Sync!$C$6)&amp;"",""))</f>
        <v/>
      </c>
      <c r="F3080" s="23" t="str">
        <f aca="false">IF(B3080="","","outreach_sent")</f>
        <v/>
      </c>
      <c r="G3080" s="23" t="str">
        <f aca="false">IF(B3080="","","")</f>
        <v/>
      </c>
      <c r="H3080" s="23" t="str">
        <f aca="false">IF(B3080="","","")</f>
        <v/>
      </c>
      <c r="I3080" s="23" t="str">
        <f aca="false">IF(B3080="","","")</f>
        <v/>
      </c>
      <c r="J3080" s="23" t="str">
        <f aca="false">IF(B3080="","","touch_3; "&amp;IFERROR(INDEX(Clay_Offices!$A$2:$FZ$601,229,Sync!$C$10)&amp;"","")&amp;"; "&amp;IFERROR(INDEX(Clay_Offices!$A$2:$FZ$601,229,Sync!$C$9)&amp;"",""))</f>
        <v/>
      </c>
      <c r="K3080" s="32" t="s">
        <v>1365</v>
      </c>
    </row>
    <row r="3081" customFormat="false" ht="15" hidden="false" customHeight="false" outlineLevel="0" collapsed="false">
      <c r="A3081" s="23" t="str">
        <f aca="false">IF(B3081="","",B3081+(14*1000+230)/10000000)</f>
        <v/>
      </c>
      <c r="B3081" s="35" t="str">
        <f aca="false">IF(AND(IFERROR(N(INDEX(Clay_Offices!$A$2:$FZ$601,230,Sync!$C$13)),0)&gt;0,IFERROR(INDEX(Clay_Offices!$A$2:$FZ$601,230,Sync!$C$5)&amp;"","")&lt;&gt;"",OR(LEFT(IFERROR(INDEX(Clay_Offices!$A$2:$FZ$601,230,Sync!$C$5)&amp;"",""),6)&lt;&gt;"SAMPLE",Config!$B$19="Y")),IFERROR(N(INDEX(Clay_Offices!$A$2:$FZ$601,230,Sync!$C$13)),0),"")</f>
        <v/>
      </c>
      <c r="C3081" s="23" t="str">
        <f aca="false">IF(B3081="","","office")</f>
        <v/>
      </c>
      <c r="D3081" s="23" t="str">
        <f aca="false">IF(B3081="","",IFERROR(INDEX(Office_Log!$ED$2:$ED$201,MATCH(IFERROR(INDEX(Clay_Offices!$A$2:$FZ$601,230,Sync!$C$5)&amp;"",""),Office_Log!$A$2:$A$201,0))&amp;"",IFERROR(INDEX(Clay_Offices!$A$2:$FZ$601,230,Sync!$C$5)&amp;"","")&amp;""))</f>
        <v/>
      </c>
      <c r="E3081" s="23" t="str">
        <f aca="false">IF(B3081="","",IFERROR(INDEX(Clay_Offices!$A$2:$FZ$601,230,Sync!$C$6)&amp;"",""))</f>
        <v/>
      </c>
      <c r="F3081" s="23" t="str">
        <f aca="false">IF(B3081="","","outreach_sent")</f>
        <v/>
      </c>
      <c r="G3081" s="23" t="str">
        <f aca="false">IF(B3081="","","")</f>
        <v/>
      </c>
      <c r="H3081" s="23" t="str">
        <f aca="false">IF(B3081="","","")</f>
        <v/>
      </c>
      <c r="I3081" s="23" t="str">
        <f aca="false">IF(B3081="","","")</f>
        <v/>
      </c>
      <c r="J3081" s="23" t="str">
        <f aca="false">IF(B3081="","","touch_3; "&amp;IFERROR(INDEX(Clay_Offices!$A$2:$FZ$601,230,Sync!$C$10)&amp;"","")&amp;"; "&amp;IFERROR(INDEX(Clay_Offices!$A$2:$FZ$601,230,Sync!$C$9)&amp;"",""))</f>
        <v/>
      </c>
      <c r="K3081" s="32" t="s">
        <v>1365</v>
      </c>
    </row>
    <row r="3082" customFormat="false" ht="15" hidden="false" customHeight="false" outlineLevel="0" collapsed="false">
      <c r="A3082" s="23" t="str">
        <f aca="false">IF(B3082="","",B3082+(14*1000+231)/10000000)</f>
        <v/>
      </c>
      <c r="B3082" s="35" t="str">
        <f aca="false">IF(AND(IFERROR(N(INDEX(Clay_Offices!$A$2:$FZ$601,231,Sync!$C$13)),0)&gt;0,IFERROR(INDEX(Clay_Offices!$A$2:$FZ$601,231,Sync!$C$5)&amp;"","")&lt;&gt;"",OR(LEFT(IFERROR(INDEX(Clay_Offices!$A$2:$FZ$601,231,Sync!$C$5)&amp;"",""),6)&lt;&gt;"SAMPLE",Config!$B$19="Y")),IFERROR(N(INDEX(Clay_Offices!$A$2:$FZ$601,231,Sync!$C$13)),0),"")</f>
        <v/>
      </c>
      <c r="C3082" s="23" t="str">
        <f aca="false">IF(B3082="","","office")</f>
        <v/>
      </c>
      <c r="D3082" s="23" t="str">
        <f aca="false">IF(B3082="","",IFERROR(INDEX(Office_Log!$ED$2:$ED$201,MATCH(IFERROR(INDEX(Clay_Offices!$A$2:$FZ$601,231,Sync!$C$5)&amp;"",""),Office_Log!$A$2:$A$201,0))&amp;"",IFERROR(INDEX(Clay_Offices!$A$2:$FZ$601,231,Sync!$C$5)&amp;"","")&amp;""))</f>
        <v/>
      </c>
      <c r="E3082" s="23" t="str">
        <f aca="false">IF(B3082="","",IFERROR(INDEX(Clay_Offices!$A$2:$FZ$601,231,Sync!$C$6)&amp;"",""))</f>
        <v/>
      </c>
      <c r="F3082" s="23" t="str">
        <f aca="false">IF(B3082="","","outreach_sent")</f>
        <v/>
      </c>
      <c r="G3082" s="23" t="str">
        <f aca="false">IF(B3082="","","")</f>
        <v/>
      </c>
      <c r="H3082" s="23" t="str">
        <f aca="false">IF(B3082="","","")</f>
        <v/>
      </c>
      <c r="I3082" s="23" t="str">
        <f aca="false">IF(B3082="","","")</f>
        <v/>
      </c>
      <c r="J3082" s="23" t="str">
        <f aca="false">IF(B3082="","","touch_3; "&amp;IFERROR(INDEX(Clay_Offices!$A$2:$FZ$601,231,Sync!$C$10)&amp;"","")&amp;"; "&amp;IFERROR(INDEX(Clay_Offices!$A$2:$FZ$601,231,Sync!$C$9)&amp;"",""))</f>
        <v/>
      </c>
      <c r="K3082" s="32" t="s">
        <v>1365</v>
      </c>
    </row>
    <row r="3083" customFormat="false" ht="15" hidden="false" customHeight="false" outlineLevel="0" collapsed="false">
      <c r="A3083" s="23" t="str">
        <f aca="false">IF(B3083="","",B3083+(14*1000+232)/10000000)</f>
        <v/>
      </c>
      <c r="B3083" s="35" t="str">
        <f aca="false">IF(AND(IFERROR(N(INDEX(Clay_Offices!$A$2:$FZ$601,232,Sync!$C$13)),0)&gt;0,IFERROR(INDEX(Clay_Offices!$A$2:$FZ$601,232,Sync!$C$5)&amp;"","")&lt;&gt;"",OR(LEFT(IFERROR(INDEX(Clay_Offices!$A$2:$FZ$601,232,Sync!$C$5)&amp;"",""),6)&lt;&gt;"SAMPLE",Config!$B$19="Y")),IFERROR(N(INDEX(Clay_Offices!$A$2:$FZ$601,232,Sync!$C$13)),0),"")</f>
        <v/>
      </c>
      <c r="C3083" s="23" t="str">
        <f aca="false">IF(B3083="","","office")</f>
        <v/>
      </c>
      <c r="D3083" s="23" t="str">
        <f aca="false">IF(B3083="","",IFERROR(INDEX(Office_Log!$ED$2:$ED$201,MATCH(IFERROR(INDEX(Clay_Offices!$A$2:$FZ$601,232,Sync!$C$5)&amp;"",""),Office_Log!$A$2:$A$201,0))&amp;"",IFERROR(INDEX(Clay_Offices!$A$2:$FZ$601,232,Sync!$C$5)&amp;"","")&amp;""))</f>
        <v/>
      </c>
      <c r="E3083" s="23" t="str">
        <f aca="false">IF(B3083="","",IFERROR(INDEX(Clay_Offices!$A$2:$FZ$601,232,Sync!$C$6)&amp;"",""))</f>
        <v/>
      </c>
      <c r="F3083" s="23" t="str">
        <f aca="false">IF(B3083="","","outreach_sent")</f>
        <v/>
      </c>
      <c r="G3083" s="23" t="str">
        <f aca="false">IF(B3083="","","")</f>
        <v/>
      </c>
      <c r="H3083" s="23" t="str">
        <f aca="false">IF(B3083="","","")</f>
        <v/>
      </c>
      <c r="I3083" s="23" t="str">
        <f aca="false">IF(B3083="","","")</f>
        <v/>
      </c>
      <c r="J3083" s="23" t="str">
        <f aca="false">IF(B3083="","","touch_3; "&amp;IFERROR(INDEX(Clay_Offices!$A$2:$FZ$601,232,Sync!$C$10)&amp;"","")&amp;"; "&amp;IFERROR(INDEX(Clay_Offices!$A$2:$FZ$601,232,Sync!$C$9)&amp;"",""))</f>
        <v/>
      </c>
      <c r="K3083" s="32" t="s">
        <v>1365</v>
      </c>
    </row>
    <row r="3084" customFormat="false" ht="15" hidden="false" customHeight="false" outlineLevel="0" collapsed="false">
      <c r="A3084" s="23" t="str">
        <f aca="false">IF(B3084="","",B3084+(14*1000+233)/10000000)</f>
        <v/>
      </c>
      <c r="B3084" s="35" t="str">
        <f aca="false">IF(AND(IFERROR(N(INDEX(Clay_Offices!$A$2:$FZ$601,233,Sync!$C$13)),0)&gt;0,IFERROR(INDEX(Clay_Offices!$A$2:$FZ$601,233,Sync!$C$5)&amp;"","")&lt;&gt;"",OR(LEFT(IFERROR(INDEX(Clay_Offices!$A$2:$FZ$601,233,Sync!$C$5)&amp;"",""),6)&lt;&gt;"SAMPLE",Config!$B$19="Y")),IFERROR(N(INDEX(Clay_Offices!$A$2:$FZ$601,233,Sync!$C$13)),0),"")</f>
        <v/>
      </c>
      <c r="C3084" s="23" t="str">
        <f aca="false">IF(B3084="","","office")</f>
        <v/>
      </c>
      <c r="D3084" s="23" t="str">
        <f aca="false">IF(B3084="","",IFERROR(INDEX(Office_Log!$ED$2:$ED$201,MATCH(IFERROR(INDEX(Clay_Offices!$A$2:$FZ$601,233,Sync!$C$5)&amp;"",""),Office_Log!$A$2:$A$201,0))&amp;"",IFERROR(INDEX(Clay_Offices!$A$2:$FZ$601,233,Sync!$C$5)&amp;"","")&amp;""))</f>
        <v/>
      </c>
      <c r="E3084" s="23" t="str">
        <f aca="false">IF(B3084="","",IFERROR(INDEX(Clay_Offices!$A$2:$FZ$601,233,Sync!$C$6)&amp;"",""))</f>
        <v/>
      </c>
      <c r="F3084" s="23" t="str">
        <f aca="false">IF(B3084="","","outreach_sent")</f>
        <v/>
      </c>
      <c r="G3084" s="23" t="str">
        <f aca="false">IF(B3084="","","")</f>
        <v/>
      </c>
      <c r="H3084" s="23" t="str">
        <f aca="false">IF(B3084="","","")</f>
        <v/>
      </c>
      <c r="I3084" s="23" t="str">
        <f aca="false">IF(B3084="","","")</f>
        <v/>
      </c>
      <c r="J3084" s="23" t="str">
        <f aca="false">IF(B3084="","","touch_3; "&amp;IFERROR(INDEX(Clay_Offices!$A$2:$FZ$601,233,Sync!$C$10)&amp;"","")&amp;"; "&amp;IFERROR(INDEX(Clay_Offices!$A$2:$FZ$601,233,Sync!$C$9)&amp;"",""))</f>
        <v/>
      </c>
      <c r="K3084" s="32" t="s">
        <v>1365</v>
      </c>
    </row>
    <row r="3085" customFormat="false" ht="15" hidden="false" customHeight="false" outlineLevel="0" collapsed="false">
      <c r="A3085" s="23" t="str">
        <f aca="false">IF(B3085="","",B3085+(14*1000+234)/10000000)</f>
        <v/>
      </c>
      <c r="B3085" s="35" t="str">
        <f aca="false">IF(AND(IFERROR(N(INDEX(Clay_Offices!$A$2:$FZ$601,234,Sync!$C$13)),0)&gt;0,IFERROR(INDEX(Clay_Offices!$A$2:$FZ$601,234,Sync!$C$5)&amp;"","")&lt;&gt;"",OR(LEFT(IFERROR(INDEX(Clay_Offices!$A$2:$FZ$601,234,Sync!$C$5)&amp;"",""),6)&lt;&gt;"SAMPLE",Config!$B$19="Y")),IFERROR(N(INDEX(Clay_Offices!$A$2:$FZ$601,234,Sync!$C$13)),0),"")</f>
        <v/>
      </c>
      <c r="C3085" s="23" t="str">
        <f aca="false">IF(B3085="","","office")</f>
        <v/>
      </c>
      <c r="D3085" s="23" t="str">
        <f aca="false">IF(B3085="","",IFERROR(INDEX(Office_Log!$ED$2:$ED$201,MATCH(IFERROR(INDEX(Clay_Offices!$A$2:$FZ$601,234,Sync!$C$5)&amp;"",""),Office_Log!$A$2:$A$201,0))&amp;"",IFERROR(INDEX(Clay_Offices!$A$2:$FZ$601,234,Sync!$C$5)&amp;"","")&amp;""))</f>
        <v/>
      </c>
      <c r="E3085" s="23" t="str">
        <f aca="false">IF(B3085="","",IFERROR(INDEX(Clay_Offices!$A$2:$FZ$601,234,Sync!$C$6)&amp;"",""))</f>
        <v/>
      </c>
      <c r="F3085" s="23" t="str">
        <f aca="false">IF(B3085="","","outreach_sent")</f>
        <v/>
      </c>
      <c r="G3085" s="23" t="str">
        <f aca="false">IF(B3085="","","")</f>
        <v/>
      </c>
      <c r="H3085" s="23" t="str">
        <f aca="false">IF(B3085="","","")</f>
        <v/>
      </c>
      <c r="I3085" s="23" t="str">
        <f aca="false">IF(B3085="","","")</f>
        <v/>
      </c>
      <c r="J3085" s="23" t="str">
        <f aca="false">IF(B3085="","","touch_3; "&amp;IFERROR(INDEX(Clay_Offices!$A$2:$FZ$601,234,Sync!$C$10)&amp;"","")&amp;"; "&amp;IFERROR(INDEX(Clay_Offices!$A$2:$FZ$601,234,Sync!$C$9)&amp;"",""))</f>
        <v/>
      </c>
      <c r="K3085" s="32" t="s">
        <v>1365</v>
      </c>
    </row>
    <row r="3086" customFormat="false" ht="15" hidden="false" customHeight="false" outlineLevel="0" collapsed="false">
      <c r="A3086" s="23" t="str">
        <f aca="false">IF(B3086="","",B3086+(14*1000+235)/10000000)</f>
        <v/>
      </c>
      <c r="B3086" s="35" t="str">
        <f aca="false">IF(AND(IFERROR(N(INDEX(Clay_Offices!$A$2:$FZ$601,235,Sync!$C$13)),0)&gt;0,IFERROR(INDEX(Clay_Offices!$A$2:$FZ$601,235,Sync!$C$5)&amp;"","")&lt;&gt;"",OR(LEFT(IFERROR(INDEX(Clay_Offices!$A$2:$FZ$601,235,Sync!$C$5)&amp;"",""),6)&lt;&gt;"SAMPLE",Config!$B$19="Y")),IFERROR(N(INDEX(Clay_Offices!$A$2:$FZ$601,235,Sync!$C$13)),0),"")</f>
        <v/>
      </c>
      <c r="C3086" s="23" t="str">
        <f aca="false">IF(B3086="","","office")</f>
        <v/>
      </c>
      <c r="D3086" s="23" t="str">
        <f aca="false">IF(B3086="","",IFERROR(INDEX(Office_Log!$ED$2:$ED$201,MATCH(IFERROR(INDEX(Clay_Offices!$A$2:$FZ$601,235,Sync!$C$5)&amp;"",""),Office_Log!$A$2:$A$201,0))&amp;"",IFERROR(INDEX(Clay_Offices!$A$2:$FZ$601,235,Sync!$C$5)&amp;"","")&amp;""))</f>
        <v/>
      </c>
      <c r="E3086" s="23" t="str">
        <f aca="false">IF(B3086="","",IFERROR(INDEX(Clay_Offices!$A$2:$FZ$601,235,Sync!$C$6)&amp;"",""))</f>
        <v/>
      </c>
      <c r="F3086" s="23" t="str">
        <f aca="false">IF(B3086="","","outreach_sent")</f>
        <v/>
      </c>
      <c r="G3086" s="23" t="str">
        <f aca="false">IF(B3086="","","")</f>
        <v/>
      </c>
      <c r="H3086" s="23" t="str">
        <f aca="false">IF(B3086="","","")</f>
        <v/>
      </c>
      <c r="I3086" s="23" t="str">
        <f aca="false">IF(B3086="","","")</f>
        <v/>
      </c>
      <c r="J3086" s="23" t="str">
        <f aca="false">IF(B3086="","","touch_3; "&amp;IFERROR(INDEX(Clay_Offices!$A$2:$FZ$601,235,Sync!$C$10)&amp;"","")&amp;"; "&amp;IFERROR(INDEX(Clay_Offices!$A$2:$FZ$601,235,Sync!$C$9)&amp;"",""))</f>
        <v/>
      </c>
      <c r="K3086" s="32" t="s">
        <v>1365</v>
      </c>
    </row>
    <row r="3087" customFormat="false" ht="15" hidden="false" customHeight="false" outlineLevel="0" collapsed="false">
      <c r="A3087" s="23" t="str">
        <f aca="false">IF(B3087="","",B3087+(14*1000+236)/10000000)</f>
        <v/>
      </c>
      <c r="B3087" s="35" t="str">
        <f aca="false">IF(AND(IFERROR(N(INDEX(Clay_Offices!$A$2:$FZ$601,236,Sync!$C$13)),0)&gt;0,IFERROR(INDEX(Clay_Offices!$A$2:$FZ$601,236,Sync!$C$5)&amp;"","")&lt;&gt;"",OR(LEFT(IFERROR(INDEX(Clay_Offices!$A$2:$FZ$601,236,Sync!$C$5)&amp;"",""),6)&lt;&gt;"SAMPLE",Config!$B$19="Y")),IFERROR(N(INDEX(Clay_Offices!$A$2:$FZ$601,236,Sync!$C$13)),0),"")</f>
        <v/>
      </c>
      <c r="C3087" s="23" t="str">
        <f aca="false">IF(B3087="","","office")</f>
        <v/>
      </c>
      <c r="D3087" s="23" t="str">
        <f aca="false">IF(B3087="","",IFERROR(INDEX(Office_Log!$ED$2:$ED$201,MATCH(IFERROR(INDEX(Clay_Offices!$A$2:$FZ$601,236,Sync!$C$5)&amp;"",""),Office_Log!$A$2:$A$201,0))&amp;"",IFERROR(INDEX(Clay_Offices!$A$2:$FZ$601,236,Sync!$C$5)&amp;"","")&amp;""))</f>
        <v/>
      </c>
      <c r="E3087" s="23" t="str">
        <f aca="false">IF(B3087="","",IFERROR(INDEX(Clay_Offices!$A$2:$FZ$601,236,Sync!$C$6)&amp;"",""))</f>
        <v/>
      </c>
      <c r="F3087" s="23" t="str">
        <f aca="false">IF(B3087="","","outreach_sent")</f>
        <v/>
      </c>
      <c r="G3087" s="23" t="str">
        <f aca="false">IF(B3087="","","")</f>
        <v/>
      </c>
      <c r="H3087" s="23" t="str">
        <f aca="false">IF(B3087="","","")</f>
        <v/>
      </c>
      <c r="I3087" s="23" t="str">
        <f aca="false">IF(B3087="","","")</f>
        <v/>
      </c>
      <c r="J3087" s="23" t="str">
        <f aca="false">IF(B3087="","","touch_3; "&amp;IFERROR(INDEX(Clay_Offices!$A$2:$FZ$601,236,Sync!$C$10)&amp;"","")&amp;"; "&amp;IFERROR(INDEX(Clay_Offices!$A$2:$FZ$601,236,Sync!$C$9)&amp;"",""))</f>
        <v/>
      </c>
      <c r="K3087" s="32" t="s">
        <v>1365</v>
      </c>
    </row>
    <row r="3088" customFormat="false" ht="15" hidden="false" customHeight="false" outlineLevel="0" collapsed="false">
      <c r="A3088" s="23" t="str">
        <f aca="false">IF(B3088="","",B3088+(14*1000+237)/10000000)</f>
        <v/>
      </c>
      <c r="B3088" s="35" t="str">
        <f aca="false">IF(AND(IFERROR(N(INDEX(Clay_Offices!$A$2:$FZ$601,237,Sync!$C$13)),0)&gt;0,IFERROR(INDEX(Clay_Offices!$A$2:$FZ$601,237,Sync!$C$5)&amp;"","")&lt;&gt;"",OR(LEFT(IFERROR(INDEX(Clay_Offices!$A$2:$FZ$601,237,Sync!$C$5)&amp;"",""),6)&lt;&gt;"SAMPLE",Config!$B$19="Y")),IFERROR(N(INDEX(Clay_Offices!$A$2:$FZ$601,237,Sync!$C$13)),0),"")</f>
        <v/>
      </c>
      <c r="C3088" s="23" t="str">
        <f aca="false">IF(B3088="","","office")</f>
        <v/>
      </c>
      <c r="D3088" s="23" t="str">
        <f aca="false">IF(B3088="","",IFERROR(INDEX(Office_Log!$ED$2:$ED$201,MATCH(IFERROR(INDEX(Clay_Offices!$A$2:$FZ$601,237,Sync!$C$5)&amp;"",""),Office_Log!$A$2:$A$201,0))&amp;"",IFERROR(INDEX(Clay_Offices!$A$2:$FZ$601,237,Sync!$C$5)&amp;"","")&amp;""))</f>
        <v/>
      </c>
      <c r="E3088" s="23" t="str">
        <f aca="false">IF(B3088="","",IFERROR(INDEX(Clay_Offices!$A$2:$FZ$601,237,Sync!$C$6)&amp;"",""))</f>
        <v/>
      </c>
      <c r="F3088" s="23" t="str">
        <f aca="false">IF(B3088="","","outreach_sent")</f>
        <v/>
      </c>
      <c r="G3088" s="23" t="str">
        <f aca="false">IF(B3088="","","")</f>
        <v/>
      </c>
      <c r="H3088" s="23" t="str">
        <f aca="false">IF(B3088="","","")</f>
        <v/>
      </c>
      <c r="I3088" s="23" t="str">
        <f aca="false">IF(B3088="","","")</f>
        <v/>
      </c>
      <c r="J3088" s="23" t="str">
        <f aca="false">IF(B3088="","","touch_3; "&amp;IFERROR(INDEX(Clay_Offices!$A$2:$FZ$601,237,Sync!$C$10)&amp;"","")&amp;"; "&amp;IFERROR(INDEX(Clay_Offices!$A$2:$FZ$601,237,Sync!$C$9)&amp;"",""))</f>
        <v/>
      </c>
      <c r="K3088" s="32" t="s">
        <v>1365</v>
      </c>
    </row>
    <row r="3089" customFormat="false" ht="15" hidden="false" customHeight="false" outlineLevel="0" collapsed="false">
      <c r="A3089" s="23" t="str">
        <f aca="false">IF(B3089="","",B3089+(14*1000+238)/10000000)</f>
        <v/>
      </c>
      <c r="B3089" s="35" t="str">
        <f aca="false">IF(AND(IFERROR(N(INDEX(Clay_Offices!$A$2:$FZ$601,238,Sync!$C$13)),0)&gt;0,IFERROR(INDEX(Clay_Offices!$A$2:$FZ$601,238,Sync!$C$5)&amp;"","")&lt;&gt;"",OR(LEFT(IFERROR(INDEX(Clay_Offices!$A$2:$FZ$601,238,Sync!$C$5)&amp;"",""),6)&lt;&gt;"SAMPLE",Config!$B$19="Y")),IFERROR(N(INDEX(Clay_Offices!$A$2:$FZ$601,238,Sync!$C$13)),0),"")</f>
        <v/>
      </c>
      <c r="C3089" s="23" t="str">
        <f aca="false">IF(B3089="","","office")</f>
        <v/>
      </c>
      <c r="D3089" s="23" t="str">
        <f aca="false">IF(B3089="","",IFERROR(INDEX(Office_Log!$ED$2:$ED$201,MATCH(IFERROR(INDEX(Clay_Offices!$A$2:$FZ$601,238,Sync!$C$5)&amp;"",""),Office_Log!$A$2:$A$201,0))&amp;"",IFERROR(INDEX(Clay_Offices!$A$2:$FZ$601,238,Sync!$C$5)&amp;"","")&amp;""))</f>
        <v/>
      </c>
      <c r="E3089" s="23" t="str">
        <f aca="false">IF(B3089="","",IFERROR(INDEX(Clay_Offices!$A$2:$FZ$601,238,Sync!$C$6)&amp;"",""))</f>
        <v/>
      </c>
      <c r="F3089" s="23" t="str">
        <f aca="false">IF(B3089="","","outreach_sent")</f>
        <v/>
      </c>
      <c r="G3089" s="23" t="str">
        <f aca="false">IF(B3089="","","")</f>
        <v/>
      </c>
      <c r="H3089" s="23" t="str">
        <f aca="false">IF(B3089="","","")</f>
        <v/>
      </c>
      <c r="I3089" s="23" t="str">
        <f aca="false">IF(B3089="","","")</f>
        <v/>
      </c>
      <c r="J3089" s="23" t="str">
        <f aca="false">IF(B3089="","","touch_3; "&amp;IFERROR(INDEX(Clay_Offices!$A$2:$FZ$601,238,Sync!$C$10)&amp;"","")&amp;"; "&amp;IFERROR(INDEX(Clay_Offices!$A$2:$FZ$601,238,Sync!$C$9)&amp;"",""))</f>
        <v/>
      </c>
      <c r="K3089" s="32" t="s">
        <v>1365</v>
      </c>
    </row>
    <row r="3090" customFormat="false" ht="15" hidden="false" customHeight="false" outlineLevel="0" collapsed="false">
      <c r="A3090" s="23" t="str">
        <f aca="false">IF(B3090="","",B3090+(14*1000+239)/10000000)</f>
        <v/>
      </c>
      <c r="B3090" s="35" t="str">
        <f aca="false">IF(AND(IFERROR(N(INDEX(Clay_Offices!$A$2:$FZ$601,239,Sync!$C$13)),0)&gt;0,IFERROR(INDEX(Clay_Offices!$A$2:$FZ$601,239,Sync!$C$5)&amp;"","")&lt;&gt;"",OR(LEFT(IFERROR(INDEX(Clay_Offices!$A$2:$FZ$601,239,Sync!$C$5)&amp;"",""),6)&lt;&gt;"SAMPLE",Config!$B$19="Y")),IFERROR(N(INDEX(Clay_Offices!$A$2:$FZ$601,239,Sync!$C$13)),0),"")</f>
        <v/>
      </c>
      <c r="C3090" s="23" t="str">
        <f aca="false">IF(B3090="","","office")</f>
        <v/>
      </c>
      <c r="D3090" s="23" t="str">
        <f aca="false">IF(B3090="","",IFERROR(INDEX(Office_Log!$ED$2:$ED$201,MATCH(IFERROR(INDEX(Clay_Offices!$A$2:$FZ$601,239,Sync!$C$5)&amp;"",""),Office_Log!$A$2:$A$201,0))&amp;"",IFERROR(INDEX(Clay_Offices!$A$2:$FZ$601,239,Sync!$C$5)&amp;"","")&amp;""))</f>
        <v/>
      </c>
      <c r="E3090" s="23" t="str">
        <f aca="false">IF(B3090="","",IFERROR(INDEX(Clay_Offices!$A$2:$FZ$601,239,Sync!$C$6)&amp;"",""))</f>
        <v/>
      </c>
      <c r="F3090" s="23" t="str">
        <f aca="false">IF(B3090="","","outreach_sent")</f>
        <v/>
      </c>
      <c r="G3090" s="23" t="str">
        <f aca="false">IF(B3090="","","")</f>
        <v/>
      </c>
      <c r="H3090" s="23" t="str">
        <f aca="false">IF(B3090="","","")</f>
        <v/>
      </c>
      <c r="I3090" s="23" t="str">
        <f aca="false">IF(B3090="","","")</f>
        <v/>
      </c>
      <c r="J3090" s="23" t="str">
        <f aca="false">IF(B3090="","","touch_3; "&amp;IFERROR(INDEX(Clay_Offices!$A$2:$FZ$601,239,Sync!$C$10)&amp;"","")&amp;"; "&amp;IFERROR(INDEX(Clay_Offices!$A$2:$FZ$601,239,Sync!$C$9)&amp;"",""))</f>
        <v/>
      </c>
      <c r="K3090" s="32" t="s">
        <v>1365</v>
      </c>
    </row>
    <row r="3091" customFormat="false" ht="15" hidden="false" customHeight="false" outlineLevel="0" collapsed="false">
      <c r="A3091" s="23" t="str">
        <f aca="false">IF(B3091="","",B3091+(14*1000+240)/10000000)</f>
        <v/>
      </c>
      <c r="B3091" s="35" t="str">
        <f aca="false">IF(AND(IFERROR(N(INDEX(Clay_Offices!$A$2:$FZ$601,240,Sync!$C$13)),0)&gt;0,IFERROR(INDEX(Clay_Offices!$A$2:$FZ$601,240,Sync!$C$5)&amp;"","")&lt;&gt;"",OR(LEFT(IFERROR(INDEX(Clay_Offices!$A$2:$FZ$601,240,Sync!$C$5)&amp;"",""),6)&lt;&gt;"SAMPLE",Config!$B$19="Y")),IFERROR(N(INDEX(Clay_Offices!$A$2:$FZ$601,240,Sync!$C$13)),0),"")</f>
        <v/>
      </c>
      <c r="C3091" s="23" t="str">
        <f aca="false">IF(B3091="","","office")</f>
        <v/>
      </c>
      <c r="D3091" s="23" t="str">
        <f aca="false">IF(B3091="","",IFERROR(INDEX(Office_Log!$ED$2:$ED$201,MATCH(IFERROR(INDEX(Clay_Offices!$A$2:$FZ$601,240,Sync!$C$5)&amp;"",""),Office_Log!$A$2:$A$201,0))&amp;"",IFERROR(INDEX(Clay_Offices!$A$2:$FZ$601,240,Sync!$C$5)&amp;"","")&amp;""))</f>
        <v/>
      </c>
      <c r="E3091" s="23" t="str">
        <f aca="false">IF(B3091="","",IFERROR(INDEX(Clay_Offices!$A$2:$FZ$601,240,Sync!$C$6)&amp;"",""))</f>
        <v/>
      </c>
      <c r="F3091" s="23" t="str">
        <f aca="false">IF(B3091="","","outreach_sent")</f>
        <v/>
      </c>
      <c r="G3091" s="23" t="str">
        <f aca="false">IF(B3091="","","")</f>
        <v/>
      </c>
      <c r="H3091" s="23" t="str">
        <f aca="false">IF(B3091="","","")</f>
        <v/>
      </c>
      <c r="I3091" s="23" t="str">
        <f aca="false">IF(B3091="","","")</f>
        <v/>
      </c>
      <c r="J3091" s="23" t="str">
        <f aca="false">IF(B3091="","","touch_3; "&amp;IFERROR(INDEX(Clay_Offices!$A$2:$FZ$601,240,Sync!$C$10)&amp;"","")&amp;"; "&amp;IFERROR(INDEX(Clay_Offices!$A$2:$FZ$601,240,Sync!$C$9)&amp;"",""))</f>
        <v/>
      </c>
      <c r="K3091" s="32" t="s">
        <v>1365</v>
      </c>
    </row>
    <row r="3092" customFormat="false" ht="15" hidden="false" customHeight="false" outlineLevel="0" collapsed="false">
      <c r="A3092" s="23" t="str">
        <f aca="false">IF(B3092="","",B3092+(14*1000+241)/10000000)</f>
        <v/>
      </c>
      <c r="B3092" s="35" t="str">
        <f aca="false">IF(AND(IFERROR(N(INDEX(Clay_Offices!$A$2:$FZ$601,241,Sync!$C$13)),0)&gt;0,IFERROR(INDEX(Clay_Offices!$A$2:$FZ$601,241,Sync!$C$5)&amp;"","")&lt;&gt;"",OR(LEFT(IFERROR(INDEX(Clay_Offices!$A$2:$FZ$601,241,Sync!$C$5)&amp;"",""),6)&lt;&gt;"SAMPLE",Config!$B$19="Y")),IFERROR(N(INDEX(Clay_Offices!$A$2:$FZ$601,241,Sync!$C$13)),0),"")</f>
        <v/>
      </c>
      <c r="C3092" s="23" t="str">
        <f aca="false">IF(B3092="","","office")</f>
        <v/>
      </c>
      <c r="D3092" s="23" t="str">
        <f aca="false">IF(B3092="","",IFERROR(INDEX(Office_Log!$ED$2:$ED$201,MATCH(IFERROR(INDEX(Clay_Offices!$A$2:$FZ$601,241,Sync!$C$5)&amp;"",""),Office_Log!$A$2:$A$201,0))&amp;"",IFERROR(INDEX(Clay_Offices!$A$2:$FZ$601,241,Sync!$C$5)&amp;"","")&amp;""))</f>
        <v/>
      </c>
      <c r="E3092" s="23" t="str">
        <f aca="false">IF(B3092="","",IFERROR(INDEX(Clay_Offices!$A$2:$FZ$601,241,Sync!$C$6)&amp;"",""))</f>
        <v/>
      </c>
      <c r="F3092" s="23" t="str">
        <f aca="false">IF(B3092="","","outreach_sent")</f>
        <v/>
      </c>
      <c r="G3092" s="23" t="str">
        <f aca="false">IF(B3092="","","")</f>
        <v/>
      </c>
      <c r="H3092" s="23" t="str">
        <f aca="false">IF(B3092="","","")</f>
        <v/>
      </c>
      <c r="I3092" s="23" t="str">
        <f aca="false">IF(B3092="","","")</f>
        <v/>
      </c>
      <c r="J3092" s="23" t="str">
        <f aca="false">IF(B3092="","","touch_3; "&amp;IFERROR(INDEX(Clay_Offices!$A$2:$FZ$601,241,Sync!$C$10)&amp;"","")&amp;"; "&amp;IFERROR(INDEX(Clay_Offices!$A$2:$FZ$601,241,Sync!$C$9)&amp;"",""))</f>
        <v/>
      </c>
      <c r="K3092" s="32" t="s">
        <v>1365</v>
      </c>
    </row>
    <row r="3093" customFormat="false" ht="15" hidden="false" customHeight="false" outlineLevel="0" collapsed="false">
      <c r="A3093" s="23" t="str">
        <f aca="false">IF(B3093="","",B3093+(14*1000+242)/10000000)</f>
        <v/>
      </c>
      <c r="B3093" s="35" t="str">
        <f aca="false">IF(AND(IFERROR(N(INDEX(Clay_Offices!$A$2:$FZ$601,242,Sync!$C$13)),0)&gt;0,IFERROR(INDEX(Clay_Offices!$A$2:$FZ$601,242,Sync!$C$5)&amp;"","")&lt;&gt;"",OR(LEFT(IFERROR(INDEX(Clay_Offices!$A$2:$FZ$601,242,Sync!$C$5)&amp;"",""),6)&lt;&gt;"SAMPLE",Config!$B$19="Y")),IFERROR(N(INDEX(Clay_Offices!$A$2:$FZ$601,242,Sync!$C$13)),0),"")</f>
        <v/>
      </c>
      <c r="C3093" s="23" t="str">
        <f aca="false">IF(B3093="","","office")</f>
        <v/>
      </c>
      <c r="D3093" s="23" t="str">
        <f aca="false">IF(B3093="","",IFERROR(INDEX(Office_Log!$ED$2:$ED$201,MATCH(IFERROR(INDEX(Clay_Offices!$A$2:$FZ$601,242,Sync!$C$5)&amp;"",""),Office_Log!$A$2:$A$201,0))&amp;"",IFERROR(INDEX(Clay_Offices!$A$2:$FZ$601,242,Sync!$C$5)&amp;"","")&amp;""))</f>
        <v/>
      </c>
      <c r="E3093" s="23" t="str">
        <f aca="false">IF(B3093="","",IFERROR(INDEX(Clay_Offices!$A$2:$FZ$601,242,Sync!$C$6)&amp;"",""))</f>
        <v/>
      </c>
      <c r="F3093" s="23" t="str">
        <f aca="false">IF(B3093="","","outreach_sent")</f>
        <v/>
      </c>
      <c r="G3093" s="23" t="str">
        <f aca="false">IF(B3093="","","")</f>
        <v/>
      </c>
      <c r="H3093" s="23" t="str">
        <f aca="false">IF(B3093="","","")</f>
        <v/>
      </c>
      <c r="I3093" s="23" t="str">
        <f aca="false">IF(B3093="","","")</f>
        <v/>
      </c>
      <c r="J3093" s="23" t="str">
        <f aca="false">IF(B3093="","","touch_3; "&amp;IFERROR(INDEX(Clay_Offices!$A$2:$FZ$601,242,Sync!$C$10)&amp;"","")&amp;"; "&amp;IFERROR(INDEX(Clay_Offices!$A$2:$FZ$601,242,Sync!$C$9)&amp;"",""))</f>
        <v/>
      </c>
      <c r="K3093" s="32" t="s">
        <v>1365</v>
      </c>
    </row>
    <row r="3094" customFormat="false" ht="15" hidden="false" customHeight="false" outlineLevel="0" collapsed="false">
      <c r="A3094" s="23" t="str">
        <f aca="false">IF(B3094="","",B3094+(14*1000+243)/10000000)</f>
        <v/>
      </c>
      <c r="B3094" s="35" t="str">
        <f aca="false">IF(AND(IFERROR(N(INDEX(Clay_Offices!$A$2:$FZ$601,243,Sync!$C$13)),0)&gt;0,IFERROR(INDEX(Clay_Offices!$A$2:$FZ$601,243,Sync!$C$5)&amp;"","")&lt;&gt;"",OR(LEFT(IFERROR(INDEX(Clay_Offices!$A$2:$FZ$601,243,Sync!$C$5)&amp;"",""),6)&lt;&gt;"SAMPLE",Config!$B$19="Y")),IFERROR(N(INDEX(Clay_Offices!$A$2:$FZ$601,243,Sync!$C$13)),0),"")</f>
        <v/>
      </c>
      <c r="C3094" s="23" t="str">
        <f aca="false">IF(B3094="","","office")</f>
        <v/>
      </c>
      <c r="D3094" s="23" t="str">
        <f aca="false">IF(B3094="","",IFERROR(INDEX(Office_Log!$ED$2:$ED$201,MATCH(IFERROR(INDEX(Clay_Offices!$A$2:$FZ$601,243,Sync!$C$5)&amp;"",""),Office_Log!$A$2:$A$201,0))&amp;"",IFERROR(INDEX(Clay_Offices!$A$2:$FZ$601,243,Sync!$C$5)&amp;"","")&amp;""))</f>
        <v/>
      </c>
      <c r="E3094" s="23" t="str">
        <f aca="false">IF(B3094="","",IFERROR(INDEX(Clay_Offices!$A$2:$FZ$601,243,Sync!$C$6)&amp;"",""))</f>
        <v/>
      </c>
      <c r="F3094" s="23" t="str">
        <f aca="false">IF(B3094="","","outreach_sent")</f>
        <v/>
      </c>
      <c r="G3094" s="23" t="str">
        <f aca="false">IF(B3094="","","")</f>
        <v/>
      </c>
      <c r="H3094" s="23" t="str">
        <f aca="false">IF(B3094="","","")</f>
        <v/>
      </c>
      <c r="I3094" s="23" t="str">
        <f aca="false">IF(B3094="","","")</f>
        <v/>
      </c>
      <c r="J3094" s="23" t="str">
        <f aca="false">IF(B3094="","","touch_3; "&amp;IFERROR(INDEX(Clay_Offices!$A$2:$FZ$601,243,Sync!$C$10)&amp;"","")&amp;"; "&amp;IFERROR(INDEX(Clay_Offices!$A$2:$FZ$601,243,Sync!$C$9)&amp;"",""))</f>
        <v/>
      </c>
      <c r="K3094" s="32" t="s">
        <v>1365</v>
      </c>
    </row>
    <row r="3095" customFormat="false" ht="15" hidden="false" customHeight="false" outlineLevel="0" collapsed="false">
      <c r="A3095" s="23" t="str">
        <f aca="false">IF(B3095="","",B3095+(14*1000+244)/10000000)</f>
        <v/>
      </c>
      <c r="B3095" s="35" t="str">
        <f aca="false">IF(AND(IFERROR(N(INDEX(Clay_Offices!$A$2:$FZ$601,244,Sync!$C$13)),0)&gt;0,IFERROR(INDEX(Clay_Offices!$A$2:$FZ$601,244,Sync!$C$5)&amp;"","")&lt;&gt;"",OR(LEFT(IFERROR(INDEX(Clay_Offices!$A$2:$FZ$601,244,Sync!$C$5)&amp;"",""),6)&lt;&gt;"SAMPLE",Config!$B$19="Y")),IFERROR(N(INDEX(Clay_Offices!$A$2:$FZ$601,244,Sync!$C$13)),0),"")</f>
        <v/>
      </c>
      <c r="C3095" s="23" t="str">
        <f aca="false">IF(B3095="","","office")</f>
        <v/>
      </c>
      <c r="D3095" s="23" t="str">
        <f aca="false">IF(B3095="","",IFERROR(INDEX(Office_Log!$ED$2:$ED$201,MATCH(IFERROR(INDEX(Clay_Offices!$A$2:$FZ$601,244,Sync!$C$5)&amp;"",""),Office_Log!$A$2:$A$201,0))&amp;"",IFERROR(INDEX(Clay_Offices!$A$2:$FZ$601,244,Sync!$C$5)&amp;"","")&amp;""))</f>
        <v/>
      </c>
      <c r="E3095" s="23" t="str">
        <f aca="false">IF(B3095="","",IFERROR(INDEX(Clay_Offices!$A$2:$FZ$601,244,Sync!$C$6)&amp;"",""))</f>
        <v/>
      </c>
      <c r="F3095" s="23" t="str">
        <f aca="false">IF(B3095="","","outreach_sent")</f>
        <v/>
      </c>
      <c r="G3095" s="23" t="str">
        <f aca="false">IF(B3095="","","")</f>
        <v/>
      </c>
      <c r="H3095" s="23" t="str">
        <f aca="false">IF(B3095="","","")</f>
        <v/>
      </c>
      <c r="I3095" s="23" t="str">
        <f aca="false">IF(B3095="","","")</f>
        <v/>
      </c>
      <c r="J3095" s="23" t="str">
        <f aca="false">IF(B3095="","","touch_3; "&amp;IFERROR(INDEX(Clay_Offices!$A$2:$FZ$601,244,Sync!$C$10)&amp;"","")&amp;"; "&amp;IFERROR(INDEX(Clay_Offices!$A$2:$FZ$601,244,Sync!$C$9)&amp;"",""))</f>
        <v/>
      </c>
      <c r="K3095" s="32" t="s">
        <v>1365</v>
      </c>
    </row>
    <row r="3096" customFormat="false" ht="15" hidden="false" customHeight="false" outlineLevel="0" collapsed="false">
      <c r="A3096" s="23" t="str">
        <f aca="false">IF(B3096="","",B3096+(14*1000+245)/10000000)</f>
        <v/>
      </c>
      <c r="B3096" s="35" t="str">
        <f aca="false">IF(AND(IFERROR(N(INDEX(Clay_Offices!$A$2:$FZ$601,245,Sync!$C$13)),0)&gt;0,IFERROR(INDEX(Clay_Offices!$A$2:$FZ$601,245,Sync!$C$5)&amp;"","")&lt;&gt;"",OR(LEFT(IFERROR(INDEX(Clay_Offices!$A$2:$FZ$601,245,Sync!$C$5)&amp;"",""),6)&lt;&gt;"SAMPLE",Config!$B$19="Y")),IFERROR(N(INDEX(Clay_Offices!$A$2:$FZ$601,245,Sync!$C$13)),0),"")</f>
        <v/>
      </c>
      <c r="C3096" s="23" t="str">
        <f aca="false">IF(B3096="","","office")</f>
        <v/>
      </c>
      <c r="D3096" s="23" t="str">
        <f aca="false">IF(B3096="","",IFERROR(INDEX(Office_Log!$ED$2:$ED$201,MATCH(IFERROR(INDEX(Clay_Offices!$A$2:$FZ$601,245,Sync!$C$5)&amp;"",""),Office_Log!$A$2:$A$201,0))&amp;"",IFERROR(INDEX(Clay_Offices!$A$2:$FZ$601,245,Sync!$C$5)&amp;"","")&amp;""))</f>
        <v/>
      </c>
      <c r="E3096" s="23" t="str">
        <f aca="false">IF(B3096="","",IFERROR(INDEX(Clay_Offices!$A$2:$FZ$601,245,Sync!$C$6)&amp;"",""))</f>
        <v/>
      </c>
      <c r="F3096" s="23" t="str">
        <f aca="false">IF(B3096="","","outreach_sent")</f>
        <v/>
      </c>
      <c r="G3096" s="23" t="str">
        <f aca="false">IF(B3096="","","")</f>
        <v/>
      </c>
      <c r="H3096" s="23" t="str">
        <f aca="false">IF(B3096="","","")</f>
        <v/>
      </c>
      <c r="I3096" s="23" t="str">
        <f aca="false">IF(B3096="","","")</f>
        <v/>
      </c>
      <c r="J3096" s="23" t="str">
        <f aca="false">IF(B3096="","","touch_3; "&amp;IFERROR(INDEX(Clay_Offices!$A$2:$FZ$601,245,Sync!$C$10)&amp;"","")&amp;"; "&amp;IFERROR(INDEX(Clay_Offices!$A$2:$FZ$601,245,Sync!$C$9)&amp;"",""))</f>
        <v/>
      </c>
      <c r="K3096" s="32" t="s">
        <v>1365</v>
      </c>
    </row>
    <row r="3097" customFormat="false" ht="15" hidden="false" customHeight="false" outlineLevel="0" collapsed="false">
      <c r="A3097" s="23" t="str">
        <f aca="false">IF(B3097="","",B3097+(14*1000+246)/10000000)</f>
        <v/>
      </c>
      <c r="B3097" s="35" t="str">
        <f aca="false">IF(AND(IFERROR(N(INDEX(Clay_Offices!$A$2:$FZ$601,246,Sync!$C$13)),0)&gt;0,IFERROR(INDEX(Clay_Offices!$A$2:$FZ$601,246,Sync!$C$5)&amp;"","")&lt;&gt;"",OR(LEFT(IFERROR(INDEX(Clay_Offices!$A$2:$FZ$601,246,Sync!$C$5)&amp;"",""),6)&lt;&gt;"SAMPLE",Config!$B$19="Y")),IFERROR(N(INDEX(Clay_Offices!$A$2:$FZ$601,246,Sync!$C$13)),0),"")</f>
        <v/>
      </c>
      <c r="C3097" s="23" t="str">
        <f aca="false">IF(B3097="","","office")</f>
        <v/>
      </c>
      <c r="D3097" s="23" t="str">
        <f aca="false">IF(B3097="","",IFERROR(INDEX(Office_Log!$ED$2:$ED$201,MATCH(IFERROR(INDEX(Clay_Offices!$A$2:$FZ$601,246,Sync!$C$5)&amp;"",""),Office_Log!$A$2:$A$201,0))&amp;"",IFERROR(INDEX(Clay_Offices!$A$2:$FZ$601,246,Sync!$C$5)&amp;"","")&amp;""))</f>
        <v/>
      </c>
      <c r="E3097" s="23" t="str">
        <f aca="false">IF(B3097="","",IFERROR(INDEX(Clay_Offices!$A$2:$FZ$601,246,Sync!$C$6)&amp;"",""))</f>
        <v/>
      </c>
      <c r="F3097" s="23" t="str">
        <f aca="false">IF(B3097="","","outreach_sent")</f>
        <v/>
      </c>
      <c r="G3097" s="23" t="str">
        <f aca="false">IF(B3097="","","")</f>
        <v/>
      </c>
      <c r="H3097" s="23" t="str">
        <f aca="false">IF(B3097="","","")</f>
        <v/>
      </c>
      <c r="I3097" s="23" t="str">
        <f aca="false">IF(B3097="","","")</f>
        <v/>
      </c>
      <c r="J3097" s="23" t="str">
        <f aca="false">IF(B3097="","","touch_3; "&amp;IFERROR(INDEX(Clay_Offices!$A$2:$FZ$601,246,Sync!$C$10)&amp;"","")&amp;"; "&amp;IFERROR(INDEX(Clay_Offices!$A$2:$FZ$601,246,Sync!$C$9)&amp;"",""))</f>
        <v/>
      </c>
      <c r="K3097" s="32" t="s">
        <v>1365</v>
      </c>
    </row>
    <row r="3098" customFormat="false" ht="15" hidden="false" customHeight="false" outlineLevel="0" collapsed="false">
      <c r="A3098" s="23" t="str">
        <f aca="false">IF(B3098="","",B3098+(14*1000+247)/10000000)</f>
        <v/>
      </c>
      <c r="B3098" s="35" t="str">
        <f aca="false">IF(AND(IFERROR(N(INDEX(Clay_Offices!$A$2:$FZ$601,247,Sync!$C$13)),0)&gt;0,IFERROR(INDEX(Clay_Offices!$A$2:$FZ$601,247,Sync!$C$5)&amp;"","")&lt;&gt;"",OR(LEFT(IFERROR(INDEX(Clay_Offices!$A$2:$FZ$601,247,Sync!$C$5)&amp;"",""),6)&lt;&gt;"SAMPLE",Config!$B$19="Y")),IFERROR(N(INDEX(Clay_Offices!$A$2:$FZ$601,247,Sync!$C$13)),0),"")</f>
        <v/>
      </c>
      <c r="C3098" s="23" t="str">
        <f aca="false">IF(B3098="","","office")</f>
        <v/>
      </c>
      <c r="D3098" s="23" t="str">
        <f aca="false">IF(B3098="","",IFERROR(INDEX(Office_Log!$ED$2:$ED$201,MATCH(IFERROR(INDEX(Clay_Offices!$A$2:$FZ$601,247,Sync!$C$5)&amp;"",""),Office_Log!$A$2:$A$201,0))&amp;"",IFERROR(INDEX(Clay_Offices!$A$2:$FZ$601,247,Sync!$C$5)&amp;"","")&amp;""))</f>
        <v/>
      </c>
      <c r="E3098" s="23" t="str">
        <f aca="false">IF(B3098="","",IFERROR(INDEX(Clay_Offices!$A$2:$FZ$601,247,Sync!$C$6)&amp;"",""))</f>
        <v/>
      </c>
      <c r="F3098" s="23" t="str">
        <f aca="false">IF(B3098="","","outreach_sent")</f>
        <v/>
      </c>
      <c r="G3098" s="23" t="str">
        <f aca="false">IF(B3098="","","")</f>
        <v/>
      </c>
      <c r="H3098" s="23" t="str">
        <f aca="false">IF(B3098="","","")</f>
        <v/>
      </c>
      <c r="I3098" s="23" t="str">
        <f aca="false">IF(B3098="","","")</f>
        <v/>
      </c>
      <c r="J3098" s="23" t="str">
        <f aca="false">IF(B3098="","","touch_3; "&amp;IFERROR(INDEX(Clay_Offices!$A$2:$FZ$601,247,Sync!$C$10)&amp;"","")&amp;"; "&amp;IFERROR(INDEX(Clay_Offices!$A$2:$FZ$601,247,Sync!$C$9)&amp;"",""))</f>
        <v/>
      </c>
      <c r="K3098" s="32" t="s">
        <v>1365</v>
      </c>
    </row>
    <row r="3099" customFormat="false" ht="15" hidden="false" customHeight="false" outlineLevel="0" collapsed="false">
      <c r="A3099" s="23" t="str">
        <f aca="false">IF(B3099="","",B3099+(14*1000+248)/10000000)</f>
        <v/>
      </c>
      <c r="B3099" s="35" t="str">
        <f aca="false">IF(AND(IFERROR(N(INDEX(Clay_Offices!$A$2:$FZ$601,248,Sync!$C$13)),0)&gt;0,IFERROR(INDEX(Clay_Offices!$A$2:$FZ$601,248,Sync!$C$5)&amp;"","")&lt;&gt;"",OR(LEFT(IFERROR(INDEX(Clay_Offices!$A$2:$FZ$601,248,Sync!$C$5)&amp;"",""),6)&lt;&gt;"SAMPLE",Config!$B$19="Y")),IFERROR(N(INDEX(Clay_Offices!$A$2:$FZ$601,248,Sync!$C$13)),0),"")</f>
        <v/>
      </c>
      <c r="C3099" s="23" t="str">
        <f aca="false">IF(B3099="","","office")</f>
        <v/>
      </c>
      <c r="D3099" s="23" t="str">
        <f aca="false">IF(B3099="","",IFERROR(INDEX(Office_Log!$ED$2:$ED$201,MATCH(IFERROR(INDEX(Clay_Offices!$A$2:$FZ$601,248,Sync!$C$5)&amp;"",""),Office_Log!$A$2:$A$201,0))&amp;"",IFERROR(INDEX(Clay_Offices!$A$2:$FZ$601,248,Sync!$C$5)&amp;"","")&amp;""))</f>
        <v/>
      </c>
      <c r="E3099" s="23" t="str">
        <f aca="false">IF(B3099="","",IFERROR(INDEX(Clay_Offices!$A$2:$FZ$601,248,Sync!$C$6)&amp;"",""))</f>
        <v/>
      </c>
      <c r="F3099" s="23" t="str">
        <f aca="false">IF(B3099="","","outreach_sent")</f>
        <v/>
      </c>
      <c r="G3099" s="23" t="str">
        <f aca="false">IF(B3099="","","")</f>
        <v/>
      </c>
      <c r="H3099" s="23" t="str">
        <f aca="false">IF(B3099="","","")</f>
        <v/>
      </c>
      <c r="I3099" s="23" t="str">
        <f aca="false">IF(B3099="","","")</f>
        <v/>
      </c>
      <c r="J3099" s="23" t="str">
        <f aca="false">IF(B3099="","","touch_3; "&amp;IFERROR(INDEX(Clay_Offices!$A$2:$FZ$601,248,Sync!$C$10)&amp;"","")&amp;"; "&amp;IFERROR(INDEX(Clay_Offices!$A$2:$FZ$601,248,Sync!$C$9)&amp;"",""))</f>
        <v/>
      </c>
      <c r="K3099" s="32" t="s">
        <v>1365</v>
      </c>
    </row>
    <row r="3100" customFormat="false" ht="15" hidden="false" customHeight="false" outlineLevel="0" collapsed="false">
      <c r="A3100" s="23" t="str">
        <f aca="false">IF(B3100="","",B3100+(14*1000+249)/10000000)</f>
        <v/>
      </c>
      <c r="B3100" s="35" t="str">
        <f aca="false">IF(AND(IFERROR(N(INDEX(Clay_Offices!$A$2:$FZ$601,249,Sync!$C$13)),0)&gt;0,IFERROR(INDEX(Clay_Offices!$A$2:$FZ$601,249,Sync!$C$5)&amp;"","")&lt;&gt;"",OR(LEFT(IFERROR(INDEX(Clay_Offices!$A$2:$FZ$601,249,Sync!$C$5)&amp;"",""),6)&lt;&gt;"SAMPLE",Config!$B$19="Y")),IFERROR(N(INDEX(Clay_Offices!$A$2:$FZ$601,249,Sync!$C$13)),0),"")</f>
        <v/>
      </c>
      <c r="C3100" s="23" t="str">
        <f aca="false">IF(B3100="","","office")</f>
        <v/>
      </c>
      <c r="D3100" s="23" t="str">
        <f aca="false">IF(B3100="","",IFERROR(INDEX(Office_Log!$ED$2:$ED$201,MATCH(IFERROR(INDEX(Clay_Offices!$A$2:$FZ$601,249,Sync!$C$5)&amp;"",""),Office_Log!$A$2:$A$201,0))&amp;"",IFERROR(INDEX(Clay_Offices!$A$2:$FZ$601,249,Sync!$C$5)&amp;"","")&amp;""))</f>
        <v/>
      </c>
      <c r="E3100" s="23" t="str">
        <f aca="false">IF(B3100="","",IFERROR(INDEX(Clay_Offices!$A$2:$FZ$601,249,Sync!$C$6)&amp;"",""))</f>
        <v/>
      </c>
      <c r="F3100" s="23" t="str">
        <f aca="false">IF(B3100="","","outreach_sent")</f>
        <v/>
      </c>
      <c r="G3100" s="23" t="str">
        <f aca="false">IF(B3100="","","")</f>
        <v/>
      </c>
      <c r="H3100" s="23" t="str">
        <f aca="false">IF(B3100="","","")</f>
        <v/>
      </c>
      <c r="I3100" s="23" t="str">
        <f aca="false">IF(B3100="","","")</f>
        <v/>
      </c>
      <c r="J3100" s="23" t="str">
        <f aca="false">IF(B3100="","","touch_3; "&amp;IFERROR(INDEX(Clay_Offices!$A$2:$FZ$601,249,Sync!$C$10)&amp;"","")&amp;"; "&amp;IFERROR(INDEX(Clay_Offices!$A$2:$FZ$601,249,Sync!$C$9)&amp;"",""))</f>
        <v/>
      </c>
      <c r="K3100" s="32" t="s">
        <v>1365</v>
      </c>
    </row>
    <row r="3101" customFormat="false" ht="15" hidden="false" customHeight="false" outlineLevel="0" collapsed="false">
      <c r="A3101" s="23" t="str">
        <f aca="false">IF(B3101="","",B3101+(14*1000+250)/10000000)</f>
        <v/>
      </c>
      <c r="B3101" s="35" t="str">
        <f aca="false">IF(AND(IFERROR(N(INDEX(Clay_Offices!$A$2:$FZ$601,250,Sync!$C$13)),0)&gt;0,IFERROR(INDEX(Clay_Offices!$A$2:$FZ$601,250,Sync!$C$5)&amp;"","")&lt;&gt;"",OR(LEFT(IFERROR(INDEX(Clay_Offices!$A$2:$FZ$601,250,Sync!$C$5)&amp;"",""),6)&lt;&gt;"SAMPLE",Config!$B$19="Y")),IFERROR(N(INDEX(Clay_Offices!$A$2:$FZ$601,250,Sync!$C$13)),0),"")</f>
        <v/>
      </c>
      <c r="C3101" s="23" t="str">
        <f aca="false">IF(B3101="","","office")</f>
        <v/>
      </c>
      <c r="D3101" s="23" t="str">
        <f aca="false">IF(B3101="","",IFERROR(INDEX(Office_Log!$ED$2:$ED$201,MATCH(IFERROR(INDEX(Clay_Offices!$A$2:$FZ$601,250,Sync!$C$5)&amp;"",""),Office_Log!$A$2:$A$201,0))&amp;"",IFERROR(INDEX(Clay_Offices!$A$2:$FZ$601,250,Sync!$C$5)&amp;"","")&amp;""))</f>
        <v/>
      </c>
      <c r="E3101" s="23" t="str">
        <f aca="false">IF(B3101="","",IFERROR(INDEX(Clay_Offices!$A$2:$FZ$601,250,Sync!$C$6)&amp;"",""))</f>
        <v/>
      </c>
      <c r="F3101" s="23" t="str">
        <f aca="false">IF(B3101="","","outreach_sent")</f>
        <v/>
      </c>
      <c r="G3101" s="23" t="str">
        <f aca="false">IF(B3101="","","")</f>
        <v/>
      </c>
      <c r="H3101" s="23" t="str">
        <f aca="false">IF(B3101="","","")</f>
        <v/>
      </c>
      <c r="I3101" s="23" t="str">
        <f aca="false">IF(B3101="","","")</f>
        <v/>
      </c>
      <c r="J3101" s="23" t="str">
        <f aca="false">IF(B3101="","","touch_3; "&amp;IFERROR(INDEX(Clay_Offices!$A$2:$FZ$601,250,Sync!$C$10)&amp;"","")&amp;"; "&amp;IFERROR(INDEX(Clay_Offices!$A$2:$FZ$601,250,Sync!$C$9)&amp;"",""))</f>
        <v/>
      </c>
      <c r="K3101" s="32" t="s">
        <v>1365</v>
      </c>
    </row>
    <row r="3102" customFormat="false" ht="15" hidden="false" customHeight="false" outlineLevel="0" collapsed="false">
      <c r="A3102" s="23" t="str">
        <f aca="false">IF(B3102="","",B3102+(14*1000+251)/10000000)</f>
        <v/>
      </c>
      <c r="B3102" s="35" t="str">
        <f aca="false">IF(AND(IFERROR(N(INDEX(Clay_Offices!$A$2:$FZ$601,251,Sync!$C$13)),0)&gt;0,IFERROR(INDEX(Clay_Offices!$A$2:$FZ$601,251,Sync!$C$5)&amp;"","")&lt;&gt;"",OR(LEFT(IFERROR(INDEX(Clay_Offices!$A$2:$FZ$601,251,Sync!$C$5)&amp;"",""),6)&lt;&gt;"SAMPLE",Config!$B$19="Y")),IFERROR(N(INDEX(Clay_Offices!$A$2:$FZ$601,251,Sync!$C$13)),0),"")</f>
        <v/>
      </c>
      <c r="C3102" s="23" t="str">
        <f aca="false">IF(B3102="","","office")</f>
        <v/>
      </c>
      <c r="D3102" s="23" t="str">
        <f aca="false">IF(B3102="","",IFERROR(INDEX(Office_Log!$ED$2:$ED$201,MATCH(IFERROR(INDEX(Clay_Offices!$A$2:$FZ$601,251,Sync!$C$5)&amp;"",""),Office_Log!$A$2:$A$201,0))&amp;"",IFERROR(INDEX(Clay_Offices!$A$2:$FZ$601,251,Sync!$C$5)&amp;"","")&amp;""))</f>
        <v/>
      </c>
      <c r="E3102" s="23" t="str">
        <f aca="false">IF(B3102="","",IFERROR(INDEX(Clay_Offices!$A$2:$FZ$601,251,Sync!$C$6)&amp;"",""))</f>
        <v/>
      </c>
      <c r="F3102" s="23" t="str">
        <f aca="false">IF(B3102="","","outreach_sent")</f>
        <v/>
      </c>
      <c r="G3102" s="23" t="str">
        <f aca="false">IF(B3102="","","")</f>
        <v/>
      </c>
      <c r="H3102" s="23" t="str">
        <f aca="false">IF(B3102="","","")</f>
        <v/>
      </c>
      <c r="I3102" s="23" t="str">
        <f aca="false">IF(B3102="","","")</f>
        <v/>
      </c>
      <c r="J3102" s="23" t="str">
        <f aca="false">IF(B3102="","","touch_3; "&amp;IFERROR(INDEX(Clay_Offices!$A$2:$FZ$601,251,Sync!$C$10)&amp;"","")&amp;"; "&amp;IFERROR(INDEX(Clay_Offices!$A$2:$FZ$601,251,Sync!$C$9)&amp;"",""))</f>
        <v/>
      </c>
      <c r="K3102" s="32" t="s">
        <v>1365</v>
      </c>
    </row>
    <row r="3103" customFormat="false" ht="15" hidden="false" customHeight="false" outlineLevel="0" collapsed="false">
      <c r="A3103" s="23" t="str">
        <f aca="false">IF(B3103="","",B3103+(14*1000+252)/10000000)</f>
        <v/>
      </c>
      <c r="B3103" s="35" t="str">
        <f aca="false">IF(AND(IFERROR(N(INDEX(Clay_Offices!$A$2:$FZ$601,252,Sync!$C$13)),0)&gt;0,IFERROR(INDEX(Clay_Offices!$A$2:$FZ$601,252,Sync!$C$5)&amp;"","")&lt;&gt;"",OR(LEFT(IFERROR(INDEX(Clay_Offices!$A$2:$FZ$601,252,Sync!$C$5)&amp;"",""),6)&lt;&gt;"SAMPLE",Config!$B$19="Y")),IFERROR(N(INDEX(Clay_Offices!$A$2:$FZ$601,252,Sync!$C$13)),0),"")</f>
        <v/>
      </c>
      <c r="C3103" s="23" t="str">
        <f aca="false">IF(B3103="","","office")</f>
        <v/>
      </c>
      <c r="D3103" s="23" t="str">
        <f aca="false">IF(B3103="","",IFERROR(INDEX(Office_Log!$ED$2:$ED$201,MATCH(IFERROR(INDEX(Clay_Offices!$A$2:$FZ$601,252,Sync!$C$5)&amp;"",""),Office_Log!$A$2:$A$201,0))&amp;"",IFERROR(INDEX(Clay_Offices!$A$2:$FZ$601,252,Sync!$C$5)&amp;"","")&amp;""))</f>
        <v/>
      </c>
      <c r="E3103" s="23" t="str">
        <f aca="false">IF(B3103="","",IFERROR(INDEX(Clay_Offices!$A$2:$FZ$601,252,Sync!$C$6)&amp;"",""))</f>
        <v/>
      </c>
      <c r="F3103" s="23" t="str">
        <f aca="false">IF(B3103="","","outreach_sent")</f>
        <v/>
      </c>
      <c r="G3103" s="23" t="str">
        <f aca="false">IF(B3103="","","")</f>
        <v/>
      </c>
      <c r="H3103" s="23" t="str">
        <f aca="false">IF(B3103="","","")</f>
        <v/>
      </c>
      <c r="I3103" s="23" t="str">
        <f aca="false">IF(B3103="","","")</f>
        <v/>
      </c>
      <c r="J3103" s="23" t="str">
        <f aca="false">IF(B3103="","","touch_3; "&amp;IFERROR(INDEX(Clay_Offices!$A$2:$FZ$601,252,Sync!$C$10)&amp;"","")&amp;"; "&amp;IFERROR(INDEX(Clay_Offices!$A$2:$FZ$601,252,Sync!$C$9)&amp;"",""))</f>
        <v/>
      </c>
      <c r="K3103" s="32" t="s">
        <v>1365</v>
      </c>
    </row>
    <row r="3104" customFormat="false" ht="15" hidden="false" customHeight="false" outlineLevel="0" collapsed="false">
      <c r="A3104" s="23" t="str">
        <f aca="false">IF(B3104="","",B3104+(14*1000+253)/10000000)</f>
        <v/>
      </c>
      <c r="B3104" s="35" t="str">
        <f aca="false">IF(AND(IFERROR(N(INDEX(Clay_Offices!$A$2:$FZ$601,253,Sync!$C$13)),0)&gt;0,IFERROR(INDEX(Clay_Offices!$A$2:$FZ$601,253,Sync!$C$5)&amp;"","")&lt;&gt;"",OR(LEFT(IFERROR(INDEX(Clay_Offices!$A$2:$FZ$601,253,Sync!$C$5)&amp;"",""),6)&lt;&gt;"SAMPLE",Config!$B$19="Y")),IFERROR(N(INDEX(Clay_Offices!$A$2:$FZ$601,253,Sync!$C$13)),0),"")</f>
        <v/>
      </c>
      <c r="C3104" s="23" t="str">
        <f aca="false">IF(B3104="","","office")</f>
        <v/>
      </c>
      <c r="D3104" s="23" t="str">
        <f aca="false">IF(B3104="","",IFERROR(INDEX(Office_Log!$ED$2:$ED$201,MATCH(IFERROR(INDEX(Clay_Offices!$A$2:$FZ$601,253,Sync!$C$5)&amp;"",""),Office_Log!$A$2:$A$201,0))&amp;"",IFERROR(INDEX(Clay_Offices!$A$2:$FZ$601,253,Sync!$C$5)&amp;"","")&amp;""))</f>
        <v/>
      </c>
      <c r="E3104" s="23" t="str">
        <f aca="false">IF(B3104="","",IFERROR(INDEX(Clay_Offices!$A$2:$FZ$601,253,Sync!$C$6)&amp;"",""))</f>
        <v/>
      </c>
      <c r="F3104" s="23" t="str">
        <f aca="false">IF(B3104="","","outreach_sent")</f>
        <v/>
      </c>
      <c r="G3104" s="23" t="str">
        <f aca="false">IF(B3104="","","")</f>
        <v/>
      </c>
      <c r="H3104" s="23" t="str">
        <f aca="false">IF(B3104="","","")</f>
        <v/>
      </c>
      <c r="I3104" s="23" t="str">
        <f aca="false">IF(B3104="","","")</f>
        <v/>
      </c>
      <c r="J3104" s="23" t="str">
        <f aca="false">IF(B3104="","","touch_3; "&amp;IFERROR(INDEX(Clay_Offices!$A$2:$FZ$601,253,Sync!$C$10)&amp;"","")&amp;"; "&amp;IFERROR(INDEX(Clay_Offices!$A$2:$FZ$601,253,Sync!$C$9)&amp;"",""))</f>
        <v/>
      </c>
      <c r="K3104" s="32" t="s">
        <v>1365</v>
      </c>
    </row>
    <row r="3105" customFormat="false" ht="15" hidden="false" customHeight="false" outlineLevel="0" collapsed="false">
      <c r="A3105" s="23" t="str">
        <f aca="false">IF(B3105="","",B3105+(14*1000+254)/10000000)</f>
        <v/>
      </c>
      <c r="B3105" s="35" t="str">
        <f aca="false">IF(AND(IFERROR(N(INDEX(Clay_Offices!$A$2:$FZ$601,254,Sync!$C$13)),0)&gt;0,IFERROR(INDEX(Clay_Offices!$A$2:$FZ$601,254,Sync!$C$5)&amp;"","")&lt;&gt;"",OR(LEFT(IFERROR(INDEX(Clay_Offices!$A$2:$FZ$601,254,Sync!$C$5)&amp;"",""),6)&lt;&gt;"SAMPLE",Config!$B$19="Y")),IFERROR(N(INDEX(Clay_Offices!$A$2:$FZ$601,254,Sync!$C$13)),0),"")</f>
        <v/>
      </c>
      <c r="C3105" s="23" t="str">
        <f aca="false">IF(B3105="","","office")</f>
        <v/>
      </c>
      <c r="D3105" s="23" t="str">
        <f aca="false">IF(B3105="","",IFERROR(INDEX(Office_Log!$ED$2:$ED$201,MATCH(IFERROR(INDEX(Clay_Offices!$A$2:$FZ$601,254,Sync!$C$5)&amp;"",""),Office_Log!$A$2:$A$201,0))&amp;"",IFERROR(INDEX(Clay_Offices!$A$2:$FZ$601,254,Sync!$C$5)&amp;"","")&amp;""))</f>
        <v/>
      </c>
      <c r="E3105" s="23" t="str">
        <f aca="false">IF(B3105="","",IFERROR(INDEX(Clay_Offices!$A$2:$FZ$601,254,Sync!$C$6)&amp;"",""))</f>
        <v/>
      </c>
      <c r="F3105" s="23" t="str">
        <f aca="false">IF(B3105="","","outreach_sent")</f>
        <v/>
      </c>
      <c r="G3105" s="23" t="str">
        <f aca="false">IF(B3105="","","")</f>
        <v/>
      </c>
      <c r="H3105" s="23" t="str">
        <f aca="false">IF(B3105="","","")</f>
        <v/>
      </c>
      <c r="I3105" s="23" t="str">
        <f aca="false">IF(B3105="","","")</f>
        <v/>
      </c>
      <c r="J3105" s="23" t="str">
        <f aca="false">IF(B3105="","","touch_3; "&amp;IFERROR(INDEX(Clay_Offices!$A$2:$FZ$601,254,Sync!$C$10)&amp;"","")&amp;"; "&amp;IFERROR(INDEX(Clay_Offices!$A$2:$FZ$601,254,Sync!$C$9)&amp;"",""))</f>
        <v/>
      </c>
      <c r="K3105" s="32" t="s">
        <v>1365</v>
      </c>
    </row>
    <row r="3106" customFormat="false" ht="15" hidden="false" customHeight="false" outlineLevel="0" collapsed="false">
      <c r="A3106" s="23" t="str">
        <f aca="false">IF(B3106="","",B3106+(14*1000+255)/10000000)</f>
        <v/>
      </c>
      <c r="B3106" s="35" t="str">
        <f aca="false">IF(AND(IFERROR(N(INDEX(Clay_Offices!$A$2:$FZ$601,255,Sync!$C$13)),0)&gt;0,IFERROR(INDEX(Clay_Offices!$A$2:$FZ$601,255,Sync!$C$5)&amp;"","")&lt;&gt;"",OR(LEFT(IFERROR(INDEX(Clay_Offices!$A$2:$FZ$601,255,Sync!$C$5)&amp;"",""),6)&lt;&gt;"SAMPLE",Config!$B$19="Y")),IFERROR(N(INDEX(Clay_Offices!$A$2:$FZ$601,255,Sync!$C$13)),0),"")</f>
        <v/>
      </c>
      <c r="C3106" s="23" t="str">
        <f aca="false">IF(B3106="","","office")</f>
        <v/>
      </c>
      <c r="D3106" s="23" t="str">
        <f aca="false">IF(B3106="","",IFERROR(INDEX(Office_Log!$ED$2:$ED$201,MATCH(IFERROR(INDEX(Clay_Offices!$A$2:$FZ$601,255,Sync!$C$5)&amp;"",""),Office_Log!$A$2:$A$201,0))&amp;"",IFERROR(INDEX(Clay_Offices!$A$2:$FZ$601,255,Sync!$C$5)&amp;"","")&amp;""))</f>
        <v/>
      </c>
      <c r="E3106" s="23" t="str">
        <f aca="false">IF(B3106="","",IFERROR(INDEX(Clay_Offices!$A$2:$FZ$601,255,Sync!$C$6)&amp;"",""))</f>
        <v/>
      </c>
      <c r="F3106" s="23" t="str">
        <f aca="false">IF(B3106="","","outreach_sent")</f>
        <v/>
      </c>
      <c r="G3106" s="23" t="str">
        <f aca="false">IF(B3106="","","")</f>
        <v/>
      </c>
      <c r="H3106" s="23" t="str">
        <f aca="false">IF(B3106="","","")</f>
        <v/>
      </c>
      <c r="I3106" s="23" t="str">
        <f aca="false">IF(B3106="","","")</f>
        <v/>
      </c>
      <c r="J3106" s="23" t="str">
        <f aca="false">IF(B3106="","","touch_3; "&amp;IFERROR(INDEX(Clay_Offices!$A$2:$FZ$601,255,Sync!$C$10)&amp;"","")&amp;"; "&amp;IFERROR(INDEX(Clay_Offices!$A$2:$FZ$601,255,Sync!$C$9)&amp;"",""))</f>
        <v/>
      </c>
      <c r="K3106" s="32" t="s">
        <v>1365</v>
      </c>
    </row>
    <row r="3107" customFormat="false" ht="15" hidden="false" customHeight="false" outlineLevel="0" collapsed="false">
      <c r="A3107" s="23" t="str">
        <f aca="false">IF(B3107="","",B3107+(14*1000+256)/10000000)</f>
        <v/>
      </c>
      <c r="B3107" s="35" t="str">
        <f aca="false">IF(AND(IFERROR(N(INDEX(Clay_Offices!$A$2:$FZ$601,256,Sync!$C$13)),0)&gt;0,IFERROR(INDEX(Clay_Offices!$A$2:$FZ$601,256,Sync!$C$5)&amp;"","")&lt;&gt;"",OR(LEFT(IFERROR(INDEX(Clay_Offices!$A$2:$FZ$601,256,Sync!$C$5)&amp;"",""),6)&lt;&gt;"SAMPLE",Config!$B$19="Y")),IFERROR(N(INDEX(Clay_Offices!$A$2:$FZ$601,256,Sync!$C$13)),0),"")</f>
        <v/>
      </c>
      <c r="C3107" s="23" t="str">
        <f aca="false">IF(B3107="","","office")</f>
        <v/>
      </c>
      <c r="D3107" s="23" t="str">
        <f aca="false">IF(B3107="","",IFERROR(INDEX(Office_Log!$ED$2:$ED$201,MATCH(IFERROR(INDEX(Clay_Offices!$A$2:$FZ$601,256,Sync!$C$5)&amp;"",""),Office_Log!$A$2:$A$201,0))&amp;"",IFERROR(INDEX(Clay_Offices!$A$2:$FZ$601,256,Sync!$C$5)&amp;"","")&amp;""))</f>
        <v/>
      </c>
      <c r="E3107" s="23" t="str">
        <f aca="false">IF(B3107="","",IFERROR(INDEX(Clay_Offices!$A$2:$FZ$601,256,Sync!$C$6)&amp;"",""))</f>
        <v/>
      </c>
      <c r="F3107" s="23" t="str">
        <f aca="false">IF(B3107="","","outreach_sent")</f>
        <v/>
      </c>
      <c r="G3107" s="23" t="str">
        <f aca="false">IF(B3107="","","")</f>
        <v/>
      </c>
      <c r="H3107" s="23" t="str">
        <f aca="false">IF(B3107="","","")</f>
        <v/>
      </c>
      <c r="I3107" s="23" t="str">
        <f aca="false">IF(B3107="","","")</f>
        <v/>
      </c>
      <c r="J3107" s="23" t="str">
        <f aca="false">IF(B3107="","","touch_3; "&amp;IFERROR(INDEX(Clay_Offices!$A$2:$FZ$601,256,Sync!$C$10)&amp;"","")&amp;"; "&amp;IFERROR(INDEX(Clay_Offices!$A$2:$FZ$601,256,Sync!$C$9)&amp;"",""))</f>
        <v/>
      </c>
      <c r="K3107" s="32" t="s">
        <v>1365</v>
      </c>
    </row>
    <row r="3108" customFormat="false" ht="15" hidden="false" customHeight="false" outlineLevel="0" collapsed="false">
      <c r="A3108" s="23" t="str">
        <f aca="false">IF(B3108="","",B3108+(14*1000+257)/10000000)</f>
        <v/>
      </c>
      <c r="B3108" s="35" t="str">
        <f aca="false">IF(AND(IFERROR(N(INDEX(Clay_Offices!$A$2:$FZ$601,257,Sync!$C$13)),0)&gt;0,IFERROR(INDEX(Clay_Offices!$A$2:$FZ$601,257,Sync!$C$5)&amp;"","")&lt;&gt;"",OR(LEFT(IFERROR(INDEX(Clay_Offices!$A$2:$FZ$601,257,Sync!$C$5)&amp;"",""),6)&lt;&gt;"SAMPLE",Config!$B$19="Y")),IFERROR(N(INDEX(Clay_Offices!$A$2:$FZ$601,257,Sync!$C$13)),0),"")</f>
        <v/>
      </c>
      <c r="C3108" s="23" t="str">
        <f aca="false">IF(B3108="","","office")</f>
        <v/>
      </c>
      <c r="D3108" s="23" t="str">
        <f aca="false">IF(B3108="","",IFERROR(INDEX(Office_Log!$ED$2:$ED$201,MATCH(IFERROR(INDEX(Clay_Offices!$A$2:$FZ$601,257,Sync!$C$5)&amp;"",""),Office_Log!$A$2:$A$201,0))&amp;"",IFERROR(INDEX(Clay_Offices!$A$2:$FZ$601,257,Sync!$C$5)&amp;"","")&amp;""))</f>
        <v/>
      </c>
      <c r="E3108" s="23" t="str">
        <f aca="false">IF(B3108="","",IFERROR(INDEX(Clay_Offices!$A$2:$FZ$601,257,Sync!$C$6)&amp;"",""))</f>
        <v/>
      </c>
      <c r="F3108" s="23" t="str">
        <f aca="false">IF(B3108="","","outreach_sent")</f>
        <v/>
      </c>
      <c r="G3108" s="23" t="str">
        <f aca="false">IF(B3108="","","")</f>
        <v/>
      </c>
      <c r="H3108" s="23" t="str">
        <f aca="false">IF(B3108="","","")</f>
        <v/>
      </c>
      <c r="I3108" s="23" t="str">
        <f aca="false">IF(B3108="","","")</f>
        <v/>
      </c>
      <c r="J3108" s="23" t="str">
        <f aca="false">IF(B3108="","","touch_3; "&amp;IFERROR(INDEX(Clay_Offices!$A$2:$FZ$601,257,Sync!$C$10)&amp;"","")&amp;"; "&amp;IFERROR(INDEX(Clay_Offices!$A$2:$FZ$601,257,Sync!$C$9)&amp;"",""))</f>
        <v/>
      </c>
      <c r="K3108" s="32" t="s">
        <v>1365</v>
      </c>
    </row>
    <row r="3109" customFormat="false" ht="15" hidden="false" customHeight="false" outlineLevel="0" collapsed="false">
      <c r="A3109" s="23" t="str">
        <f aca="false">IF(B3109="","",B3109+(14*1000+258)/10000000)</f>
        <v/>
      </c>
      <c r="B3109" s="35" t="str">
        <f aca="false">IF(AND(IFERROR(N(INDEX(Clay_Offices!$A$2:$FZ$601,258,Sync!$C$13)),0)&gt;0,IFERROR(INDEX(Clay_Offices!$A$2:$FZ$601,258,Sync!$C$5)&amp;"","")&lt;&gt;"",OR(LEFT(IFERROR(INDEX(Clay_Offices!$A$2:$FZ$601,258,Sync!$C$5)&amp;"",""),6)&lt;&gt;"SAMPLE",Config!$B$19="Y")),IFERROR(N(INDEX(Clay_Offices!$A$2:$FZ$601,258,Sync!$C$13)),0),"")</f>
        <v/>
      </c>
      <c r="C3109" s="23" t="str">
        <f aca="false">IF(B3109="","","office")</f>
        <v/>
      </c>
      <c r="D3109" s="23" t="str">
        <f aca="false">IF(B3109="","",IFERROR(INDEX(Office_Log!$ED$2:$ED$201,MATCH(IFERROR(INDEX(Clay_Offices!$A$2:$FZ$601,258,Sync!$C$5)&amp;"",""),Office_Log!$A$2:$A$201,0))&amp;"",IFERROR(INDEX(Clay_Offices!$A$2:$FZ$601,258,Sync!$C$5)&amp;"","")&amp;""))</f>
        <v/>
      </c>
      <c r="E3109" s="23" t="str">
        <f aca="false">IF(B3109="","",IFERROR(INDEX(Clay_Offices!$A$2:$FZ$601,258,Sync!$C$6)&amp;"",""))</f>
        <v/>
      </c>
      <c r="F3109" s="23" t="str">
        <f aca="false">IF(B3109="","","outreach_sent")</f>
        <v/>
      </c>
      <c r="G3109" s="23" t="str">
        <f aca="false">IF(B3109="","","")</f>
        <v/>
      </c>
      <c r="H3109" s="23" t="str">
        <f aca="false">IF(B3109="","","")</f>
        <v/>
      </c>
      <c r="I3109" s="23" t="str">
        <f aca="false">IF(B3109="","","")</f>
        <v/>
      </c>
      <c r="J3109" s="23" t="str">
        <f aca="false">IF(B3109="","","touch_3; "&amp;IFERROR(INDEX(Clay_Offices!$A$2:$FZ$601,258,Sync!$C$10)&amp;"","")&amp;"; "&amp;IFERROR(INDEX(Clay_Offices!$A$2:$FZ$601,258,Sync!$C$9)&amp;"",""))</f>
        <v/>
      </c>
      <c r="K3109" s="32" t="s">
        <v>1365</v>
      </c>
    </row>
    <row r="3110" customFormat="false" ht="15" hidden="false" customHeight="false" outlineLevel="0" collapsed="false">
      <c r="A3110" s="23" t="str">
        <f aca="false">IF(B3110="","",B3110+(14*1000+259)/10000000)</f>
        <v/>
      </c>
      <c r="B3110" s="35" t="str">
        <f aca="false">IF(AND(IFERROR(N(INDEX(Clay_Offices!$A$2:$FZ$601,259,Sync!$C$13)),0)&gt;0,IFERROR(INDEX(Clay_Offices!$A$2:$FZ$601,259,Sync!$C$5)&amp;"","")&lt;&gt;"",OR(LEFT(IFERROR(INDEX(Clay_Offices!$A$2:$FZ$601,259,Sync!$C$5)&amp;"",""),6)&lt;&gt;"SAMPLE",Config!$B$19="Y")),IFERROR(N(INDEX(Clay_Offices!$A$2:$FZ$601,259,Sync!$C$13)),0),"")</f>
        <v/>
      </c>
      <c r="C3110" s="23" t="str">
        <f aca="false">IF(B3110="","","office")</f>
        <v/>
      </c>
      <c r="D3110" s="23" t="str">
        <f aca="false">IF(B3110="","",IFERROR(INDEX(Office_Log!$ED$2:$ED$201,MATCH(IFERROR(INDEX(Clay_Offices!$A$2:$FZ$601,259,Sync!$C$5)&amp;"",""),Office_Log!$A$2:$A$201,0))&amp;"",IFERROR(INDEX(Clay_Offices!$A$2:$FZ$601,259,Sync!$C$5)&amp;"","")&amp;""))</f>
        <v/>
      </c>
      <c r="E3110" s="23" t="str">
        <f aca="false">IF(B3110="","",IFERROR(INDEX(Clay_Offices!$A$2:$FZ$601,259,Sync!$C$6)&amp;"",""))</f>
        <v/>
      </c>
      <c r="F3110" s="23" t="str">
        <f aca="false">IF(B3110="","","outreach_sent")</f>
        <v/>
      </c>
      <c r="G3110" s="23" t="str">
        <f aca="false">IF(B3110="","","")</f>
        <v/>
      </c>
      <c r="H3110" s="23" t="str">
        <f aca="false">IF(B3110="","","")</f>
        <v/>
      </c>
      <c r="I3110" s="23" t="str">
        <f aca="false">IF(B3110="","","")</f>
        <v/>
      </c>
      <c r="J3110" s="23" t="str">
        <f aca="false">IF(B3110="","","touch_3; "&amp;IFERROR(INDEX(Clay_Offices!$A$2:$FZ$601,259,Sync!$C$10)&amp;"","")&amp;"; "&amp;IFERROR(INDEX(Clay_Offices!$A$2:$FZ$601,259,Sync!$C$9)&amp;"",""))</f>
        <v/>
      </c>
      <c r="K3110" s="32" t="s">
        <v>1365</v>
      </c>
    </row>
    <row r="3111" customFormat="false" ht="15" hidden="false" customHeight="false" outlineLevel="0" collapsed="false">
      <c r="A3111" s="23" t="str">
        <f aca="false">IF(B3111="","",B3111+(14*1000+260)/10000000)</f>
        <v/>
      </c>
      <c r="B3111" s="35" t="str">
        <f aca="false">IF(AND(IFERROR(N(INDEX(Clay_Offices!$A$2:$FZ$601,260,Sync!$C$13)),0)&gt;0,IFERROR(INDEX(Clay_Offices!$A$2:$FZ$601,260,Sync!$C$5)&amp;"","")&lt;&gt;"",OR(LEFT(IFERROR(INDEX(Clay_Offices!$A$2:$FZ$601,260,Sync!$C$5)&amp;"",""),6)&lt;&gt;"SAMPLE",Config!$B$19="Y")),IFERROR(N(INDEX(Clay_Offices!$A$2:$FZ$601,260,Sync!$C$13)),0),"")</f>
        <v/>
      </c>
      <c r="C3111" s="23" t="str">
        <f aca="false">IF(B3111="","","office")</f>
        <v/>
      </c>
      <c r="D3111" s="23" t="str">
        <f aca="false">IF(B3111="","",IFERROR(INDEX(Office_Log!$ED$2:$ED$201,MATCH(IFERROR(INDEX(Clay_Offices!$A$2:$FZ$601,260,Sync!$C$5)&amp;"",""),Office_Log!$A$2:$A$201,0))&amp;"",IFERROR(INDEX(Clay_Offices!$A$2:$FZ$601,260,Sync!$C$5)&amp;"","")&amp;""))</f>
        <v/>
      </c>
      <c r="E3111" s="23" t="str">
        <f aca="false">IF(B3111="","",IFERROR(INDEX(Clay_Offices!$A$2:$FZ$601,260,Sync!$C$6)&amp;"",""))</f>
        <v/>
      </c>
      <c r="F3111" s="23" t="str">
        <f aca="false">IF(B3111="","","outreach_sent")</f>
        <v/>
      </c>
      <c r="G3111" s="23" t="str">
        <f aca="false">IF(B3111="","","")</f>
        <v/>
      </c>
      <c r="H3111" s="23" t="str">
        <f aca="false">IF(B3111="","","")</f>
        <v/>
      </c>
      <c r="I3111" s="23" t="str">
        <f aca="false">IF(B3111="","","")</f>
        <v/>
      </c>
      <c r="J3111" s="23" t="str">
        <f aca="false">IF(B3111="","","touch_3; "&amp;IFERROR(INDEX(Clay_Offices!$A$2:$FZ$601,260,Sync!$C$10)&amp;"","")&amp;"; "&amp;IFERROR(INDEX(Clay_Offices!$A$2:$FZ$601,260,Sync!$C$9)&amp;"",""))</f>
        <v/>
      </c>
      <c r="K3111" s="32" t="s">
        <v>1365</v>
      </c>
    </row>
    <row r="3112" customFormat="false" ht="15" hidden="false" customHeight="false" outlineLevel="0" collapsed="false">
      <c r="A3112" s="23" t="str">
        <f aca="false">IF(B3112="","",B3112+(14*1000+261)/10000000)</f>
        <v/>
      </c>
      <c r="B3112" s="35" t="str">
        <f aca="false">IF(AND(IFERROR(N(INDEX(Clay_Offices!$A$2:$FZ$601,261,Sync!$C$13)),0)&gt;0,IFERROR(INDEX(Clay_Offices!$A$2:$FZ$601,261,Sync!$C$5)&amp;"","")&lt;&gt;"",OR(LEFT(IFERROR(INDEX(Clay_Offices!$A$2:$FZ$601,261,Sync!$C$5)&amp;"",""),6)&lt;&gt;"SAMPLE",Config!$B$19="Y")),IFERROR(N(INDEX(Clay_Offices!$A$2:$FZ$601,261,Sync!$C$13)),0),"")</f>
        <v/>
      </c>
      <c r="C3112" s="23" t="str">
        <f aca="false">IF(B3112="","","office")</f>
        <v/>
      </c>
      <c r="D3112" s="23" t="str">
        <f aca="false">IF(B3112="","",IFERROR(INDEX(Office_Log!$ED$2:$ED$201,MATCH(IFERROR(INDEX(Clay_Offices!$A$2:$FZ$601,261,Sync!$C$5)&amp;"",""),Office_Log!$A$2:$A$201,0))&amp;"",IFERROR(INDEX(Clay_Offices!$A$2:$FZ$601,261,Sync!$C$5)&amp;"","")&amp;""))</f>
        <v/>
      </c>
      <c r="E3112" s="23" t="str">
        <f aca="false">IF(B3112="","",IFERROR(INDEX(Clay_Offices!$A$2:$FZ$601,261,Sync!$C$6)&amp;"",""))</f>
        <v/>
      </c>
      <c r="F3112" s="23" t="str">
        <f aca="false">IF(B3112="","","outreach_sent")</f>
        <v/>
      </c>
      <c r="G3112" s="23" t="str">
        <f aca="false">IF(B3112="","","")</f>
        <v/>
      </c>
      <c r="H3112" s="23" t="str">
        <f aca="false">IF(B3112="","","")</f>
        <v/>
      </c>
      <c r="I3112" s="23" t="str">
        <f aca="false">IF(B3112="","","")</f>
        <v/>
      </c>
      <c r="J3112" s="23" t="str">
        <f aca="false">IF(B3112="","","touch_3; "&amp;IFERROR(INDEX(Clay_Offices!$A$2:$FZ$601,261,Sync!$C$10)&amp;"","")&amp;"; "&amp;IFERROR(INDEX(Clay_Offices!$A$2:$FZ$601,261,Sync!$C$9)&amp;"",""))</f>
        <v/>
      </c>
      <c r="K3112" s="32" t="s">
        <v>1365</v>
      </c>
    </row>
    <row r="3113" customFormat="false" ht="15" hidden="false" customHeight="false" outlineLevel="0" collapsed="false">
      <c r="A3113" s="23" t="str">
        <f aca="false">IF(B3113="","",B3113+(14*1000+262)/10000000)</f>
        <v/>
      </c>
      <c r="B3113" s="35" t="str">
        <f aca="false">IF(AND(IFERROR(N(INDEX(Clay_Offices!$A$2:$FZ$601,262,Sync!$C$13)),0)&gt;0,IFERROR(INDEX(Clay_Offices!$A$2:$FZ$601,262,Sync!$C$5)&amp;"","")&lt;&gt;"",OR(LEFT(IFERROR(INDEX(Clay_Offices!$A$2:$FZ$601,262,Sync!$C$5)&amp;"",""),6)&lt;&gt;"SAMPLE",Config!$B$19="Y")),IFERROR(N(INDEX(Clay_Offices!$A$2:$FZ$601,262,Sync!$C$13)),0),"")</f>
        <v/>
      </c>
      <c r="C3113" s="23" t="str">
        <f aca="false">IF(B3113="","","office")</f>
        <v/>
      </c>
      <c r="D3113" s="23" t="str">
        <f aca="false">IF(B3113="","",IFERROR(INDEX(Office_Log!$ED$2:$ED$201,MATCH(IFERROR(INDEX(Clay_Offices!$A$2:$FZ$601,262,Sync!$C$5)&amp;"",""),Office_Log!$A$2:$A$201,0))&amp;"",IFERROR(INDEX(Clay_Offices!$A$2:$FZ$601,262,Sync!$C$5)&amp;"","")&amp;""))</f>
        <v/>
      </c>
      <c r="E3113" s="23" t="str">
        <f aca="false">IF(B3113="","",IFERROR(INDEX(Clay_Offices!$A$2:$FZ$601,262,Sync!$C$6)&amp;"",""))</f>
        <v/>
      </c>
      <c r="F3113" s="23" t="str">
        <f aca="false">IF(B3113="","","outreach_sent")</f>
        <v/>
      </c>
      <c r="G3113" s="23" t="str">
        <f aca="false">IF(B3113="","","")</f>
        <v/>
      </c>
      <c r="H3113" s="23" t="str">
        <f aca="false">IF(B3113="","","")</f>
        <v/>
      </c>
      <c r="I3113" s="23" t="str">
        <f aca="false">IF(B3113="","","")</f>
        <v/>
      </c>
      <c r="J3113" s="23" t="str">
        <f aca="false">IF(B3113="","","touch_3; "&amp;IFERROR(INDEX(Clay_Offices!$A$2:$FZ$601,262,Sync!$C$10)&amp;"","")&amp;"; "&amp;IFERROR(INDEX(Clay_Offices!$A$2:$FZ$601,262,Sync!$C$9)&amp;"",""))</f>
        <v/>
      </c>
      <c r="K3113" s="32" t="s">
        <v>1365</v>
      </c>
    </row>
    <row r="3114" customFormat="false" ht="15" hidden="false" customHeight="false" outlineLevel="0" collapsed="false">
      <c r="A3114" s="23" t="str">
        <f aca="false">IF(B3114="","",B3114+(14*1000+263)/10000000)</f>
        <v/>
      </c>
      <c r="B3114" s="35" t="str">
        <f aca="false">IF(AND(IFERROR(N(INDEX(Clay_Offices!$A$2:$FZ$601,263,Sync!$C$13)),0)&gt;0,IFERROR(INDEX(Clay_Offices!$A$2:$FZ$601,263,Sync!$C$5)&amp;"","")&lt;&gt;"",OR(LEFT(IFERROR(INDEX(Clay_Offices!$A$2:$FZ$601,263,Sync!$C$5)&amp;"",""),6)&lt;&gt;"SAMPLE",Config!$B$19="Y")),IFERROR(N(INDEX(Clay_Offices!$A$2:$FZ$601,263,Sync!$C$13)),0),"")</f>
        <v/>
      </c>
      <c r="C3114" s="23" t="str">
        <f aca="false">IF(B3114="","","office")</f>
        <v/>
      </c>
      <c r="D3114" s="23" t="str">
        <f aca="false">IF(B3114="","",IFERROR(INDEX(Office_Log!$ED$2:$ED$201,MATCH(IFERROR(INDEX(Clay_Offices!$A$2:$FZ$601,263,Sync!$C$5)&amp;"",""),Office_Log!$A$2:$A$201,0))&amp;"",IFERROR(INDEX(Clay_Offices!$A$2:$FZ$601,263,Sync!$C$5)&amp;"","")&amp;""))</f>
        <v/>
      </c>
      <c r="E3114" s="23" t="str">
        <f aca="false">IF(B3114="","",IFERROR(INDEX(Clay_Offices!$A$2:$FZ$601,263,Sync!$C$6)&amp;"",""))</f>
        <v/>
      </c>
      <c r="F3114" s="23" t="str">
        <f aca="false">IF(B3114="","","outreach_sent")</f>
        <v/>
      </c>
      <c r="G3114" s="23" t="str">
        <f aca="false">IF(B3114="","","")</f>
        <v/>
      </c>
      <c r="H3114" s="23" t="str">
        <f aca="false">IF(B3114="","","")</f>
        <v/>
      </c>
      <c r="I3114" s="23" t="str">
        <f aca="false">IF(B3114="","","")</f>
        <v/>
      </c>
      <c r="J3114" s="23" t="str">
        <f aca="false">IF(B3114="","","touch_3; "&amp;IFERROR(INDEX(Clay_Offices!$A$2:$FZ$601,263,Sync!$C$10)&amp;"","")&amp;"; "&amp;IFERROR(INDEX(Clay_Offices!$A$2:$FZ$601,263,Sync!$C$9)&amp;"",""))</f>
        <v/>
      </c>
      <c r="K3114" s="32" t="s">
        <v>1365</v>
      </c>
    </row>
    <row r="3115" customFormat="false" ht="15" hidden="false" customHeight="false" outlineLevel="0" collapsed="false">
      <c r="A3115" s="23" t="str">
        <f aca="false">IF(B3115="","",B3115+(14*1000+264)/10000000)</f>
        <v/>
      </c>
      <c r="B3115" s="35" t="str">
        <f aca="false">IF(AND(IFERROR(N(INDEX(Clay_Offices!$A$2:$FZ$601,264,Sync!$C$13)),0)&gt;0,IFERROR(INDEX(Clay_Offices!$A$2:$FZ$601,264,Sync!$C$5)&amp;"","")&lt;&gt;"",OR(LEFT(IFERROR(INDEX(Clay_Offices!$A$2:$FZ$601,264,Sync!$C$5)&amp;"",""),6)&lt;&gt;"SAMPLE",Config!$B$19="Y")),IFERROR(N(INDEX(Clay_Offices!$A$2:$FZ$601,264,Sync!$C$13)),0),"")</f>
        <v/>
      </c>
      <c r="C3115" s="23" t="str">
        <f aca="false">IF(B3115="","","office")</f>
        <v/>
      </c>
      <c r="D3115" s="23" t="str">
        <f aca="false">IF(B3115="","",IFERROR(INDEX(Office_Log!$ED$2:$ED$201,MATCH(IFERROR(INDEX(Clay_Offices!$A$2:$FZ$601,264,Sync!$C$5)&amp;"",""),Office_Log!$A$2:$A$201,0))&amp;"",IFERROR(INDEX(Clay_Offices!$A$2:$FZ$601,264,Sync!$C$5)&amp;"","")&amp;""))</f>
        <v/>
      </c>
      <c r="E3115" s="23" t="str">
        <f aca="false">IF(B3115="","",IFERROR(INDEX(Clay_Offices!$A$2:$FZ$601,264,Sync!$C$6)&amp;"",""))</f>
        <v/>
      </c>
      <c r="F3115" s="23" t="str">
        <f aca="false">IF(B3115="","","outreach_sent")</f>
        <v/>
      </c>
      <c r="G3115" s="23" t="str">
        <f aca="false">IF(B3115="","","")</f>
        <v/>
      </c>
      <c r="H3115" s="23" t="str">
        <f aca="false">IF(B3115="","","")</f>
        <v/>
      </c>
      <c r="I3115" s="23" t="str">
        <f aca="false">IF(B3115="","","")</f>
        <v/>
      </c>
      <c r="J3115" s="23" t="str">
        <f aca="false">IF(B3115="","","touch_3; "&amp;IFERROR(INDEX(Clay_Offices!$A$2:$FZ$601,264,Sync!$C$10)&amp;"","")&amp;"; "&amp;IFERROR(INDEX(Clay_Offices!$A$2:$FZ$601,264,Sync!$C$9)&amp;"",""))</f>
        <v/>
      </c>
      <c r="K3115" s="32" t="s">
        <v>1365</v>
      </c>
    </row>
    <row r="3116" customFormat="false" ht="15" hidden="false" customHeight="false" outlineLevel="0" collapsed="false">
      <c r="A3116" s="23" t="str">
        <f aca="false">IF(B3116="","",B3116+(14*1000+265)/10000000)</f>
        <v/>
      </c>
      <c r="B3116" s="35" t="str">
        <f aca="false">IF(AND(IFERROR(N(INDEX(Clay_Offices!$A$2:$FZ$601,265,Sync!$C$13)),0)&gt;0,IFERROR(INDEX(Clay_Offices!$A$2:$FZ$601,265,Sync!$C$5)&amp;"","")&lt;&gt;"",OR(LEFT(IFERROR(INDEX(Clay_Offices!$A$2:$FZ$601,265,Sync!$C$5)&amp;"",""),6)&lt;&gt;"SAMPLE",Config!$B$19="Y")),IFERROR(N(INDEX(Clay_Offices!$A$2:$FZ$601,265,Sync!$C$13)),0),"")</f>
        <v/>
      </c>
      <c r="C3116" s="23" t="str">
        <f aca="false">IF(B3116="","","office")</f>
        <v/>
      </c>
      <c r="D3116" s="23" t="str">
        <f aca="false">IF(B3116="","",IFERROR(INDEX(Office_Log!$ED$2:$ED$201,MATCH(IFERROR(INDEX(Clay_Offices!$A$2:$FZ$601,265,Sync!$C$5)&amp;"",""),Office_Log!$A$2:$A$201,0))&amp;"",IFERROR(INDEX(Clay_Offices!$A$2:$FZ$601,265,Sync!$C$5)&amp;"","")&amp;""))</f>
        <v/>
      </c>
      <c r="E3116" s="23" t="str">
        <f aca="false">IF(B3116="","",IFERROR(INDEX(Clay_Offices!$A$2:$FZ$601,265,Sync!$C$6)&amp;"",""))</f>
        <v/>
      </c>
      <c r="F3116" s="23" t="str">
        <f aca="false">IF(B3116="","","outreach_sent")</f>
        <v/>
      </c>
      <c r="G3116" s="23" t="str">
        <f aca="false">IF(B3116="","","")</f>
        <v/>
      </c>
      <c r="H3116" s="23" t="str">
        <f aca="false">IF(B3116="","","")</f>
        <v/>
      </c>
      <c r="I3116" s="23" t="str">
        <f aca="false">IF(B3116="","","")</f>
        <v/>
      </c>
      <c r="J3116" s="23" t="str">
        <f aca="false">IF(B3116="","","touch_3; "&amp;IFERROR(INDEX(Clay_Offices!$A$2:$FZ$601,265,Sync!$C$10)&amp;"","")&amp;"; "&amp;IFERROR(INDEX(Clay_Offices!$A$2:$FZ$601,265,Sync!$C$9)&amp;"",""))</f>
        <v/>
      </c>
      <c r="K3116" s="32" t="s">
        <v>1365</v>
      </c>
    </row>
    <row r="3117" customFormat="false" ht="15" hidden="false" customHeight="false" outlineLevel="0" collapsed="false">
      <c r="A3117" s="23" t="str">
        <f aca="false">IF(B3117="","",B3117+(14*1000+266)/10000000)</f>
        <v/>
      </c>
      <c r="B3117" s="35" t="str">
        <f aca="false">IF(AND(IFERROR(N(INDEX(Clay_Offices!$A$2:$FZ$601,266,Sync!$C$13)),0)&gt;0,IFERROR(INDEX(Clay_Offices!$A$2:$FZ$601,266,Sync!$C$5)&amp;"","")&lt;&gt;"",OR(LEFT(IFERROR(INDEX(Clay_Offices!$A$2:$FZ$601,266,Sync!$C$5)&amp;"",""),6)&lt;&gt;"SAMPLE",Config!$B$19="Y")),IFERROR(N(INDEX(Clay_Offices!$A$2:$FZ$601,266,Sync!$C$13)),0),"")</f>
        <v/>
      </c>
      <c r="C3117" s="23" t="str">
        <f aca="false">IF(B3117="","","office")</f>
        <v/>
      </c>
      <c r="D3117" s="23" t="str">
        <f aca="false">IF(B3117="","",IFERROR(INDEX(Office_Log!$ED$2:$ED$201,MATCH(IFERROR(INDEX(Clay_Offices!$A$2:$FZ$601,266,Sync!$C$5)&amp;"",""),Office_Log!$A$2:$A$201,0))&amp;"",IFERROR(INDEX(Clay_Offices!$A$2:$FZ$601,266,Sync!$C$5)&amp;"","")&amp;""))</f>
        <v/>
      </c>
      <c r="E3117" s="23" t="str">
        <f aca="false">IF(B3117="","",IFERROR(INDEX(Clay_Offices!$A$2:$FZ$601,266,Sync!$C$6)&amp;"",""))</f>
        <v/>
      </c>
      <c r="F3117" s="23" t="str">
        <f aca="false">IF(B3117="","","outreach_sent")</f>
        <v/>
      </c>
      <c r="G3117" s="23" t="str">
        <f aca="false">IF(B3117="","","")</f>
        <v/>
      </c>
      <c r="H3117" s="23" t="str">
        <f aca="false">IF(B3117="","","")</f>
        <v/>
      </c>
      <c r="I3117" s="23" t="str">
        <f aca="false">IF(B3117="","","")</f>
        <v/>
      </c>
      <c r="J3117" s="23" t="str">
        <f aca="false">IF(B3117="","","touch_3; "&amp;IFERROR(INDEX(Clay_Offices!$A$2:$FZ$601,266,Sync!$C$10)&amp;"","")&amp;"; "&amp;IFERROR(INDEX(Clay_Offices!$A$2:$FZ$601,266,Sync!$C$9)&amp;"",""))</f>
        <v/>
      </c>
      <c r="K3117" s="32" t="s">
        <v>1365</v>
      </c>
    </row>
    <row r="3118" customFormat="false" ht="15" hidden="false" customHeight="false" outlineLevel="0" collapsed="false">
      <c r="A3118" s="23" t="str">
        <f aca="false">IF(B3118="","",B3118+(14*1000+267)/10000000)</f>
        <v/>
      </c>
      <c r="B3118" s="35" t="str">
        <f aca="false">IF(AND(IFERROR(N(INDEX(Clay_Offices!$A$2:$FZ$601,267,Sync!$C$13)),0)&gt;0,IFERROR(INDEX(Clay_Offices!$A$2:$FZ$601,267,Sync!$C$5)&amp;"","")&lt;&gt;"",OR(LEFT(IFERROR(INDEX(Clay_Offices!$A$2:$FZ$601,267,Sync!$C$5)&amp;"",""),6)&lt;&gt;"SAMPLE",Config!$B$19="Y")),IFERROR(N(INDEX(Clay_Offices!$A$2:$FZ$601,267,Sync!$C$13)),0),"")</f>
        <v/>
      </c>
      <c r="C3118" s="23" t="str">
        <f aca="false">IF(B3118="","","office")</f>
        <v/>
      </c>
      <c r="D3118" s="23" t="str">
        <f aca="false">IF(B3118="","",IFERROR(INDEX(Office_Log!$ED$2:$ED$201,MATCH(IFERROR(INDEX(Clay_Offices!$A$2:$FZ$601,267,Sync!$C$5)&amp;"",""),Office_Log!$A$2:$A$201,0))&amp;"",IFERROR(INDEX(Clay_Offices!$A$2:$FZ$601,267,Sync!$C$5)&amp;"","")&amp;""))</f>
        <v/>
      </c>
      <c r="E3118" s="23" t="str">
        <f aca="false">IF(B3118="","",IFERROR(INDEX(Clay_Offices!$A$2:$FZ$601,267,Sync!$C$6)&amp;"",""))</f>
        <v/>
      </c>
      <c r="F3118" s="23" t="str">
        <f aca="false">IF(B3118="","","outreach_sent")</f>
        <v/>
      </c>
      <c r="G3118" s="23" t="str">
        <f aca="false">IF(B3118="","","")</f>
        <v/>
      </c>
      <c r="H3118" s="23" t="str">
        <f aca="false">IF(B3118="","","")</f>
        <v/>
      </c>
      <c r="I3118" s="23" t="str">
        <f aca="false">IF(B3118="","","")</f>
        <v/>
      </c>
      <c r="J3118" s="23" t="str">
        <f aca="false">IF(B3118="","","touch_3; "&amp;IFERROR(INDEX(Clay_Offices!$A$2:$FZ$601,267,Sync!$C$10)&amp;"","")&amp;"; "&amp;IFERROR(INDEX(Clay_Offices!$A$2:$FZ$601,267,Sync!$C$9)&amp;"",""))</f>
        <v/>
      </c>
      <c r="K3118" s="32" t="s">
        <v>1365</v>
      </c>
    </row>
    <row r="3119" customFormat="false" ht="15" hidden="false" customHeight="false" outlineLevel="0" collapsed="false">
      <c r="A3119" s="23" t="str">
        <f aca="false">IF(B3119="","",B3119+(14*1000+268)/10000000)</f>
        <v/>
      </c>
      <c r="B3119" s="35" t="str">
        <f aca="false">IF(AND(IFERROR(N(INDEX(Clay_Offices!$A$2:$FZ$601,268,Sync!$C$13)),0)&gt;0,IFERROR(INDEX(Clay_Offices!$A$2:$FZ$601,268,Sync!$C$5)&amp;"","")&lt;&gt;"",OR(LEFT(IFERROR(INDEX(Clay_Offices!$A$2:$FZ$601,268,Sync!$C$5)&amp;"",""),6)&lt;&gt;"SAMPLE",Config!$B$19="Y")),IFERROR(N(INDEX(Clay_Offices!$A$2:$FZ$601,268,Sync!$C$13)),0),"")</f>
        <v/>
      </c>
      <c r="C3119" s="23" t="str">
        <f aca="false">IF(B3119="","","office")</f>
        <v/>
      </c>
      <c r="D3119" s="23" t="str">
        <f aca="false">IF(B3119="","",IFERROR(INDEX(Office_Log!$ED$2:$ED$201,MATCH(IFERROR(INDEX(Clay_Offices!$A$2:$FZ$601,268,Sync!$C$5)&amp;"",""),Office_Log!$A$2:$A$201,0))&amp;"",IFERROR(INDEX(Clay_Offices!$A$2:$FZ$601,268,Sync!$C$5)&amp;"","")&amp;""))</f>
        <v/>
      </c>
      <c r="E3119" s="23" t="str">
        <f aca="false">IF(B3119="","",IFERROR(INDEX(Clay_Offices!$A$2:$FZ$601,268,Sync!$C$6)&amp;"",""))</f>
        <v/>
      </c>
      <c r="F3119" s="23" t="str">
        <f aca="false">IF(B3119="","","outreach_sent")</f>
        <v/>
      </c>
      <c r="G3119" s="23" t="str">
        <f aca="false">IF(B3119="","","")</f>
        <v/>
      </c>
      <c r="H3119" s="23" t="str">
        <f aca="false">IF(B3119="","","")</f>
        <v/>
      </c>
      <c r="I3119" s="23" t="str">
        <f aca="false">IF(B3119="","","")</f>
        <v/>
      </c>
      <c r="J3119" s="23" t="str">
        <f aca="false">IF(B3119="","","touch_3; "&amp;IFERROR(INDEX(Clay_Offices!$A$2:$FZ$601,268,Sync!$C$10)&amp;"","")&amp;"; "&amp;IFERROR(INDEX(Clay_Offices!$A$2:$FZ$601,268,Sync!$C$9)&amp;"",""))</f>
        <v/>
      </c>
      <c r="K3119" s="32" t="s">
        <v>1365</v>
      </c>
    </row>
    <row r="3120" customFormat="false" ht="15" hidden="false" customHeight="false" outlineLevel="0" collapsed="false">
      <c r="A3120" s="23" t="str">
        <f aca="false">IF(B3120="","",B3120+(14*1000+269)/10000000)</f>
        <v/>
      </c>
      <c r="B3120" s="35" t="str">
        <f aca="false">IF(AND(IFERROR(N(INDEX(Clay_Offices!$A$2:$FZ$601,269,Sync!$C$13)),0)&gt;0,IFERROR(INDEX(Clay_Offices!$A$2:$FZ$601,269,Sync!$C$5)&amp;"","")&lt;&gt;"",OR(LEFT(IFERROR(INDEX(Clay_Offices!$A$2:$FZ$601,269,Sync!$C$5)&amp;"",""),6)&lt;&gt;"SAMPLE",Config!$B$19="Y")),IFERROR(N(INDEX(Clay_Offices!$A$2:$FZ$601,269,Sync!$C$13)),0),"")</f>
        <v/>
      </c>
      <c r="C3120" s="23" t="str">
        <f aca="false">IF(B3120="","","office")</f>
        <v/>
      </c>
      <c r="D3120" s="23" t="str">
        <f aca="false">IF(B3120="","",IFERROR(INDEX(Office_Log!$ED$2:$ED$201,MATCH(IFERROR(INDEX(Clay_Offices!$A$2:$FZ$601,269,Sync!$C$5)&amp;"",""),Office_Log!$A$2:$A$201,0))&amp;"",IFERROR(INDEX(Clay_Offices!$A$2:$FZ$601,269,Sync!$C$5)&amp;"","")&amp;""))</f>
        <v/>
      </c>
      <c r="E3120" s="23" t="str">
        <f aca="false">IF(B3120="","",IFERROR(INDEX(Clay_Offices!$A$2:$FZ$601,269,Sync!$C$6)&amp;"",""))</f>
        <v/>
      </c>
      <c r="F3120" s="23" t="str">
        <f aca="false">IF(B3120="","","outreach_sent")</f>
        <v/>
      </c>
      <c r="G3120" s="23" t="str">
        <f aca="false">IF(B3120="","","")</f>
        <v/>
      </c>
      <c r="H3120" s="23" t="str">
        <f aca="false">IF(B3120="","","")</f>
        <v/>
      </c>
      <c r="I3120" s="23" t="str">
        <f aca="false">IF(B3120="","","")</f>
        <v/>
      </c>
      <c r="J3120" s="23" t="str">
        <f aca="false">IF(B3120="","","touch_3; "&amp;IFERROR(INDEX(Clay_Offices!$A$2:$FZ$601,269,Sync!$C$10)&amp;"","")&amp;"; "&amp;IFERROR(INDEX(Clay_Offices!$A$2:$FZ$601,269,Sync!$C$9)&amp;"",""))</f>
        <v/>
      </c>
      <c r="K3120" s="32" t="s">
        <v>1365</v>
      </c>
    </row>
    <row r="3121" customFormat="false" ht="15" hidden="false" customHeight="false" outlineLevel="0" collapsed="false">
      <c r="A3121" s="23" t="str">
        <f aca="false">IF(B3121="","",B3121+(14*1000+270)/10000000)</f>
        <v/>
      </c>
      <c r="B3121" s="35" t="str">
        <f aca="false">IF(AND(IFERROR(N(INDEX(Clay_Offices!$A$2:$FZ$601,270,Sync!$C$13)),0)&gt;0,IFERROR(INDEX(Clay_Offices!$A$2:$FZ$601,270,Sync!$C$5)&amp;"","")&lt;&gt;"",OR(LEFT(IFERROR(INDEX(Clay_Offices!$A$2:$FZ$601,270,Sync!$C$5)&amp;"",""),6)&lt;&gt;"SAMPLE",Config!$B$19="Y")),IFERROR(N(INDEX(Clay_Offices!$A$2:$FZ$601,270,Sync!$C$13)),0),"")</f>
        <v/>
      </c>
      <c r="C3121" s="23" t="str">
        <f aca="false">IF(B3121="","","office")</f>
        <v/>
      </c>
      <c r="D3121" s="23" t="str">
        <f aca="false">IF(B3121="","",IFERROR(INDEX(Office_Log!$ED$2:$ED$201,MATCH(IFERROR(INDEX(Clay_Offices!$A$2:$FZ$601,270,Sync!$C$5)&amp;"",""),Office_Log!$A$2:$A$201,0))&amp;"",IFERROR(INDEX(Clay_Offices!$A$2:$FZ$601,270,Sync!$C$5)&amp;"","")&amp;""))</f>
        <v/>
      </c>
      <c r="E3121" s="23" t="str">
        <f aca="false">IF(B3121="","",IFERROR(INDEX(Clay_Offices!$A$2:$FZ$601,270,Sync!$C$6)&amp;"",""))</f>
        <v/>
      </c>
      <c r="F3121" s="23" t="str">
        <f aca="false">IF(B3121="","","outreach_sent")</f>
        <v/>
      </c>
      <c r="G3121" s="23" t="str">
        <f aca="false">IF(B3121="","","")</f>
        <v/>
      </c>
      <c r="H3121" s="23" t="str">
        <f aca="false">IF(B3121="","","")</f>
        <v/>
      </c>
      <c r="I3121" s="23" t="str">
        <f aca="false">IF(B3121="","","")</f>
        <v/>
      </c>
      <c r="J3121" s="23" t="str">
        <f aca="false">IF(B3121="","","touch_3; "&amp;IFERROR(INDEX(Clay_Offices!$A$2:$FZ$601,270,Sync!$C$10)&amp;"","")&amp;"; "&amp;IFERROR(INDEX(Clay_Offices!$A$2:$FZ$601,270,Sync!$C$9)&amp;"",""))</f>
        <v/>
      </c>
      <c r="K3121" s="32" t="s">
        <v>1365</v>
      </c>
    </row>
    <row r="3122" customFormat="false" ht="15" hidden="false" customHeight="false" outlineLevel="0" collapsed="false">
      <c r="A3122" s="23" t="str">
        <f aca="false">IF(B3122="","",B3122+(14*1000+271)/10000000)</f>
        <v/>
      </c>
      <c r="B3122" s="35" t="str">
        <f aca="false">IF(AND(IFERROR(N(INDEX(Clay_Offices!$A$2:$FZ$601,271,Sync!$C$13)),0)&gt;0,IFERROR(INDEX(Clay_Offices!$A$2:$FZ$601,271,Sync!$C$5)&amp;"","")&lt;&gt;"",OR(LEFT(IFERROR(INDEX(Clay_Offices!$A$2:$FZ$601,271,Sync!$C$5)&amp;"",""),6)&lt;&gt;"SAMPLE",Config!$B$19="Y")),IFERROR(N(INDEX(Clay_Offices!$A$2:$FZ$601,271,Sync!$C$13)),0),"")</f>
        <v/>
      </c>
      <c r="C3122" s="23" t="str">
        <f aca="false">IF(B3122="","","office")</f>
        <v/>
      </c>
      <c r="D3122" s="23" t="str">
        <f aca="false">IF(B3122="","",IFERROR(INDEX(Office_Log!$ED$2:$ED$201,MATCH(IFERROR(INDEX(Clay_Offices!$A$2:$FZ$601,271,Sync!$C$5)&amp;"",""),Office_Log!$A$2:$A$201,0))&amp;"",IFERROR(INDEX(Clay_Offices!$A$2:$FZ$601,271,Sync!$C$5)&amp;"","")&amp;""))</f>
        <v/>
      </c>
      <c r="E3122" s="23" t="str">
        <f aca="false">IF(B3122="","",IFERROR(INDEX(Clay_Offices!$A$2:$FZ$601,271,Sync!$C$6)&amp;"",""))</f>
        <v/>
      </c>
      <c r="F3122" s="23" t="str">
        <f aca="false">IF(B3122="","","outreach_sent")</f>
        <v/>
      </c>
      <c r="G3122" s="23" t="str">
        <f aca="false">IF(B3122="","","")</f>
        <v/>
      </c>
      <c r="H3122" s="23" t="str">
        <f aca="false">IF(B3122="","","")</f>
        <v/>
      </c>
      <c r="I3122" s="23" t="str">
        <f aca="false">IF(B3122="","","")</f>
        <v/>
      </c>
      <c r="J3122" s="23" t="str">
        <f aca="false">IF(B3122="","","touch_3; "&amp;IFERROR(INDEX(Clay_Offices!$A$2:$FZ$601,271,Sync!$C$10)&amp;"","")&amp;"; "&amp;IFERROR(INDEX(Clay_Offices!$A$2:$FZ$601,271,Sync!$C$9)&amp;"",""))</f>
        <v/>
      </c>
      <c r="K3122" s="32" t="s">
        <v>1365</v>
      </c>
    </row>
    <row r="3123" customFormat="false" ht="15" hidden="false" customHeight="false" outlineLevel="0" collapsed="false">
      <c r="A3123" s="23" t="str">
        <f aca="false">IF(B3123="","",B3123+(14*1000+272)/10000000)</f>
        <v/>
      </c>
      <c r="B3123" s="35" t="str">
        <f aca="false">IF(AND(IFERROR(N(INDEX(Clay_Offices!$A$2:$FZ$601,272,Sync!$C$13)),0)&gt;0,IFERROR(INDEX(Clay_Offices!$A$2:$FZ$601,272,Sync!$C$5)&amp;"","")&lt;&gt;"",OR(LEFT(IFERROR(INDEX(Clay_Offices!$A$2:$FZ$601,272,Sync!$C$5)&amp;"",""),6)&lt;&gt;"SAMPLE",Config!$B$19="Y")),IFERROR(N(INDEX(Clay_Offices!$A$2:$FZ$601,272,Sync!$C$13)),0),"")</f>
        <v/>
      </c>
      <c r="C3123" s="23" t="str">
        <f aca="false">IF(B3123="","","office")</f>
        <v/>
      </c>
      <c r="D3123" s="23" t="str">
        <f aca="false">IF(B3123="","",IFERROR(INDEX(Office_Log!$ED$2:$ED$201,MATCH(IFERROR(INDEX(Clay_Offices!$A$2:$FZ$601,272,Sync!$C$5)&amp;"",""),Office_Log!$A$2:$A$201,0))&amp;"",IFERROR(INDEX(Clay_Offices!$A$2:$FZ$601,272,Sync!$C$5)&amp;"","")&amp;""))</f>
        <v/>
      </c>
      <c r="E3123" s="23" t="str">
        <f aca="false">IF(B3123="","",IFERROR(INDEX(Clay_Offices!$A$2:$FZ$601,272,Sync!$C$6)&amp;"",""))</f>
        <v/>
      </c>
      <c r="F3123" s="23" t="str">
        <f aca="false">IF(B3123="","","outreach_sent")</f>
        <v/>
      </c>
      <c r="G3123" s="23" t="str">
        <f aca="false">IF(B3123="","","")</f>
        <v/>
      </c>
      <c r="H3123" s="23" t="str">
        <f aca="false">IF(B3123="","","")</f>
        <v/>
      </c>
      <c r="I3123" s="23" t="str">
        <f aca="false">IF(B3123="","","")</f>
        <v/>
      </c>
      <c r="J3123" s="23" t="str">
        <f aca="false">IF(B3123="","","touch_3; "&amp;IFERROR(INDEX(Clay_Offices!$A$2:$FZ$601,272,Sync!$C$10)&amp;"","")&amp;"; "&amp;IFERROR(INDEX(Clay_Offices!$A$2:$FZ$601,272,Sync!$C$9)&amp;"",""))</f>
        <v/>
      </c>
      <c r="K3123" s="32" t="s">
        <v>1365</v>
      </c>
    </row>
    <row r="3124" customFormat="false" ht="15" hidden="false" customHeight="false" outlineLevel="0" collapsed="false">
      <c r="A3124" s="23" t="str">
        <f aca="false">IF(B3124="","",B3124+(14*1000+273)/10000000)</f>
        <v/>
      </c>
      <c r="B3124" s="35" t="str">
        <f aca="false">IF(AND(IFERROR(N(INDEX(Clay_Offices!$A$2:$FZ$601,273,Sync!$C$13)),0)&gt;0,IFERROR(INDEX(Clay_Offices!$A$2:$FZ$601,273,Sync!$C$5)&amp;"","")&lt;&gt;"",OR(LEFT(IFERROR(INDEX(Clay_Offices!$A$2:$FZ$601,273,Sync!$C$5)&amp;"",""),6)&lt;&gt;"SAMPLE",Config!$B$19="Y")),IFERROR(N(INDEX(Clay_Offices!$A$2:$FZ$601,273,Sync!$C$13)),0),"")</f>
        <v/>
      </c>
      <c r="C3124" s="23" t="str">
        <f aca="false">IF(B3124="","","office")</f>
        <v/>
      </c>
      <c r="D3124" s="23" t="str">
        <f aca="false">IF(B3124="","",IFERROR(INDEX(Office_Log!$ED$2:$ED$201,MATCH(IFERROR(INDEX(Clay_Offices!$A$2:$FZ$601,273,Sync!$C$5)&amp;"",""),Office_Log!$A$2:$A$201,0))&amp;"",IFERROR(INDEX(Clay_Offices!$A$2:$FZ$601,273,Sync!$C$5)&amp;"","")&amp;""))</f>
        <v/>
      </c>
      <c r="E3124" s="23" t="str">
        <f aca="false">IF(B3124="","",IFERROR(INDEX(Clay_Offices!$A$2:$FZ$601,273,Sync!$C$6)&amp;"",""))</f>
        <v/>
      </c>
      <c r="F3124" s="23" t="str">
        <f aca="false">IF(B3124="","","outreach_sent")</f>
        <v/>
      </c>
      <c r="G3124" s="23" t="str">
        <f aca="false">IF(B3124="","","")</f>
        <v/>
      </c>
      <c r="H3124" s="23" t="str">
        <f aca="false">IF(B3124="","","")</f>
        <v/>
      </c>
      <c r="I3124" s="23" t="str">
        <f aca="false">IF(B3124="","","")</f>
        <v/>
      </c>
      <c r="J3124" s="23" t="str">
        <f aca="false">IF(B3124="","","touch_3; "&amp;IFERROR(INDEX(Clay_Offices!$A$2:$FZ$601,273,Sync!$C$10)&amp;"","")&amp;"; "&amp;IFERROR(INDEX(Clay_Offices!$A$2:$FZ$601,273,Sync!$C$9)&amp;"",""))</f>
        <v/>
      </c>
      <c r="K3124" s="32" t="s">
        <v>1365</v>
      </c>
    </row>
    <row r="3125" customFormat="false" ht="15" hidden="false" customHeight="false" outlineLevel="0" collapsed="false">
      <c r="A3125" s="23" t="str">
        <f aca="false">IF(B3125="","",B3125+(14*1000+274)/10000000)</f>
        <v/>
      </c>
      <c r="B3125" s="35" t="str">
        <f aca="false">IF(AND(IFERROR(N(INDEX(Clay_Offices!$A$2:$FZ$601,274,Sync!$C$13)),0)&gt;0,IFERROR(INDEX(Clay_Offices!$A$2:$FZ$601,274,Sync!$C$5)&amp;"","")&lt;&gt;"",OR(LEFT(IFERROR(INDEX(Clay_Offices!$A$2:$FZ$601,274,Sync!$C$5)&amp;"",""),6)&lt;&gt;"SAMPLE",Config!$B$19="Y")),IFERROR(N(INDEX(Clay_Offices!$A$2:$FZ$601,274,Sync!$C$13)),0),"")</f>
        <v/>
      </c>
      <c r="C3125" s="23" t="str">
        <f aca="false">IF(B3125="","","office")</f>
        <v/>
      </c>
      <c r="D3125" s="23" t="str">
        <f aca="false">IF(B3125="","",IFERROR(INDEX(Office_Log!$ED$2:$ED$201,MATCH(IFERROR(INDEX(Clay_Offices!$A$2:$FZ$601,274,Sync!$C$5)&amp;"",""),Office_Log!$A$2:$A$201,0))&amp;"",IFERROR(INDEX(Clay_Offices!$A$2:$FZ$601,274,Sync!$C$5)&amp;"","")&amp;""))</f>
        <v/>
      </c>
      <c r="E3125" s="23" t="str">
        <f aca="false">IF(B3125="","",IFERROR(INDEX(Clay_Offices!$A$2:$FZ$601,274,Sync!$C$6)&amp;"",""))</f>
        <v/>
      </c>
      <c r="F3125" s="23" t="str">
        <f aca="false">IF(B3125="","","outreach_sent")</f>
        <v/>
      </c>
      <c r="G3125" s="23" t="str">
        <f aca="false">IF(B3125="","","")</f>
        <v/>
      </c>
      <c r="H3125" s="23" t="str">
        <f aca="false">IF(B3125="","","")</f>
        <v/>
      </c>
      <c r="I3125" s="23" t="str">
        <f aca="false">IF(B3125="","","")</f>
        <v/>
      </c>
      <c r="J3125" s="23" t="str">
        <f aca="false">IF(B3125="","","touch_3; "&amp;IFERROR(INDEX(Clay_Offices!$A$2:$FZ$601,274,Sync!$C$10)&amp;"","")&amp;"; "&amp;IFERROR(INDEX(Clay_Offices!$A$2:$FZ$601,274,Sync!$C$9)&amp;"",""))</f>
        <v/>
      </c>
      <c r="K3125" s="32" t="s">
        <v>1365</v>
      </c>
    </row>
    <row r="3126" customFormat="false" ht="15" hidden="false" customHeight="false" outlineLevel="0" collapsed="false">
      <c r="A3126" s="23" t="str">
        <f aca="false">IF(B3126="","",B3126+(14*1000+275)/10000000)</f>
        <v/>
      </c>
      <c r="B3126" s="35" t="str">
        <f aca="false">IF(AND(IFERROR(N(INDEX(Clay_Offices!$A$2:$FZ$601,275,Sync!$C$13)),0)&gt;0,IFERROR(INDEX(Clay_Offices!$A$2:$FZ$601,275,Sync!$C$5)&amp;"","")&lt;&gt;"",OR(LEFT(IFERROR(INDEX(Clay_Offices!$A$2:$FZ$601,275,Sync!$C$5)&amp;"",""),6)&lt;&gt;"SAMPLE",Config!$B$19="Y")),IFERROR(N(INDEX(Clay_Offices!$A$2:$FZ$601,275,Sync!$C$13)),0),"")</f>
        <v/>
      </c>
      <c r="C3126" s="23" t="str">
        <f aca="false">IF(B3126="","","office")</f>
        <v/>
      </c>
      <c r="D3126" s="23" t="str">
        <f aca="false">IF(B3126="","",IFERROR(INDEX(Office_Log!$ED$2:$ED$201,MATCH(IFERROR(INDEX(Clay_Offices!$A$2:$FZ$601,275,Sync!$C$5)&amp;"",""),Office_Log!$A$2:$A$201,0))&amp;"",IFERROR(INDEX(Clay_Offices!$A$2:$FZ$601,275,Sync!$C$5)&amp;"","")&amp;""))</f>
        <v/>
      </c>
      <c r="E3126" s="23" t="str">
        <f aca="false">IF(B3126="","",IFERROR(INDEX(Clay_Offices!$A$2:$FZ$601,275,Sync!$C$6)&amp;"",""))</f>
        <v/>
      </c>
      <c r="F3126" s="23" t="str">
        <f aca="false">IF(B3126="","","outreach_sent")</f>
        <v/>
      </c>
      <c r="G3126" s="23" t="str">
        <f aca="false">IF(B3126="","","")</f>
        <v/>
      </c>
      <c r="H3126" s="23" t="str">
        <f aca="false">IF(B3126="","","")</f>
        <v/>
      </c>
      <c r="I3126" s="23" t="str">
        <f aca="false">IF(B3126="","","")</f>
        <v/>
      </c>
      <c r="J3126" s="23" t="str">
        <f aca="false">IF(B3126="","","touch_3; "&amp;IFERROR(INDEX(Clay_Offices!$A$2:$FZ$601,275,Sync!$C$10)&amp;"","")&amp;"; "&amp;IFERROR(INDEX(Clay_Offices!$A$2:$FZ$601,275,Sync!$C$9)&amp;"",""))</f>
        <v/>
      </c>
      <c r="K3126" s="32" t="s">
        <v>1365</v>
      </c>
    </row>
    <row r="3127" customFormat="false" ht="15" hidden="false" customHeight="false" outlineLevel="0" collapsed="false">
      <c r="A3127" s="23" t="str">
        <f aca="false">IF(B3127="","",B3127+(14*1000+276)/10000000)</f>
        <v/>
      </c>
      <c r="B3127" s="35" t="str">
        <f aca="false">IF(AND(IFERROR(N(INDEX(Clay_Offices!$A$2:$FZ$601,276,Sync!$C$13)),0)&gt;0,IFERROR(INDEX(Clay_Offices!$A$2:$FZ$601,276,Sync!$C$5)&amp;"","")&lt;&gt;"",OR(LEFT(IFERROR(INDEX(Clay_Offices!$A$2:$FZ$601,276,Sync!$C$5)&amp;"",""),6)&lt;&gt;"SAMPLE",Config!$B$19="Y")),IFERROR(N(INDEX(Clay_Offices!$A$2:$FZ$601,276,Sync!$C$13)),0),"")</f>
        <v/>
      </c>
      <c r="C3127" s="23" t="str">
        <f aca="false">IF(B3127="","","office")</f>
        <v/>
      </c>
      <c r="D3127" s="23" t="str">
        <f aca="false">IF(B3127="","",IFERROR(INDEX(Office_Log!$ED$2:$ED$201,MATCH(IFERROR(INDEX(Clay_Offices!$A$2:$FZ$601,276,Sync!$C$5)&amp;"",""),Office_Log!$A$2:$A$201,0))&amp;"",IFERROR(INDEX(Clay_Offices!$A$2:$FZ$601,276,Sync!$C$5)&amp;"","")&amp;""))</f>
        <v/>
      </c>
      <c r="E3127" s="23" t="str">
        <f aca="false">IF(B3127="","",IFERROR(INDEX(Clay_Offices!$A$2:$FZ$601,276,Sync!$C$6)&amp;"",""))</f>
        <v/>
      </c>
      <c r="F3127" s="23" t="str">
        <f aca="false">IF(B3127="","","outreach_sent")</f>
        <v/>
      </c>
      <c r="G3127" s="23" t="str">
        <f aca="false">IF(B3127="","","")</f>
        <v/>
      </c>
      <c r="H3127" s="23" t="str">
        <f aca="false">IF(B3127="","","")</f>
        <v/>
      </c>
      <c r="I3127" s="23" t="str">
        <f aca="false">IF(B3127="","","")</f>
        <v/>
      </c>
      <c r="J3127" s="23" t="str">
        <f aca="false">IF(B3127="","","touch_3; "&amp;IFERROR(INDEX(Clay_Offices!$A$2:$FZ$601,276,Sync!$C$10)&amp;"","")&amp;"; "&amp;IFERROR(INDEX(Clay_Offices!$A$2:$FZ$601,276,Sync!$C$9)&amp;"",""))</f>
        <v/>
      </c>
      <c r="K3127" s="32" t="s">
        <v>1365</v>
      </c>
    </row>
    <row r="3128" customFormat="false" ht="15" hidden="false" customHeight="false" outlineLevel="0" collapsed="false">
      <c r="A3128" s="23" t="str">
        <f aca="false">IF(B3128="","",B3128+(14*1000+277)/10000000)</f>
        <v/>
      </c>
      <c r="B3128" s="35" t="str">
        <f aca="false">IF(AND(IFERROR(N(INDEX(Clay_Offices!$A$2:$FZ$601,277,Sync!$C$13)),0)&gt;0,IFERROR(INDEX(Clay_Offices!$A$2:$FZ$601,277,Sync!$C$5)&amp;"","")&lt;&gt;"",OR(LEFT(IFERROR(INDEX(Clay_Offices!$A$2:$FZ$601,277,Sync!$C$5)&amp;"",""),6)&lt;&gt;"SAMPLE",Config!$B$19="Y")),IFERROR(N(INDEX(Clay_Offices!$A$2:$FZ$601,277,Sync!$C$13)),0),"")</f>
        <v/>
      </c>
      <c r="C3128" s="23" t="str">
        <f aca="false">IF(B3128="","","office")</f>
        <v/>
      </c>
      <c r="D3128" s="23" t="str">
        <f aca="false">IF(B3128="","",IFERROR(INDEX(Office_Log!$ED$2:$ED$201,MATCH(IFERROR(INDEX(Clay_Offices!$A$2:$FZ$601,277,Sync!$C$5)&amp;"",""),Office_Log!$A$2:$A$201,0))&amp;"",IFERROR(INDEX(Clay_Offices!$A$2:$FZ$601,277,Sync!$C$5)&amp;"","")&amp;""))</f>
        <v/>
      </c>
      <c r="E3128" s="23" t="str">
        <f aca="false">IF(B3128="","",IFERROR(INDEX(Clay_Offices!$A$2:$FZ$601,277,Sync!$C$6)&amp;"",""))</f>
        <v/>
      </c>
      <c r="F3128" s="23" t="str">
        <f aca="false">IF(B3128="","","outreach_sent")</f>
        <v/>
      </c>
      <c r="G3128" s="23" t="str">
        <f aca="false">IF(B3128="","","")</f>
        <v/>
      </c>
      <c r="H3128" s="23" t="str">
        <f aca="false">IF(B3128="","","")</f>
        <v/>
      </c>
      <c r="I3128" s="23" t="str">
        <f aca="false">IF(B3128="","","")</f>
        <v/>
      </c>
      <c r="J3128" s="23" t="str">
        <f aca="false">IF(B3128="","","touch_3; "&amp;IFERROR(INDEX(Clay_Offices!$A$2:$FZ$601,277,Sync!$C$10)&amp;"","")&amp;"; "&amp;IFERROR(INDEX(Clay_Offices!$A$2:$FZ$601,277,Sync!$C$9)&amp;"",""))</f>
        <v/>
      </c>
      <c r="K3128" s="32" t="s">
        <v>1365</v>
      </c>
    </row>
    <row r="3129" customFormat="false" ht="15" hidden="false" customHeight="false" outlineLevel="0" collapsed="false">
      <c r="A3129" s="23" t="str">
        <f aca="false">IF(B3129="","",B3129+(14*1000+278)/10000000)</f>
        <v/>
      </c>
      <c r="B3129" s="35" t="str">
        <f aca="false">IF(AND(IFERROR(N(INDEX(Clay_Offices!$A$2:$FZ$601,278,Sync!$C$13)),0)&gt;0,IFERROR(INDEX(Clay_Offices!$A$2:$FZ$601,278,Sync!$C$5)&amp;"","")&lt;&gt;"",OR(LEFT(IFERROR(INDEX(Clay_Offices!$A$2:$FZ$601,278,Sync!$C$5)&amp;"",""),6)&lt;&gt;"SAMPLE",Config!$B$19="Y")),IFERROR(N(INDEX(Clay_Offices!$A$2:$FZ$601,278,Sync!$C$13)),0),"")</f>
        <v/>
      </c>
      <c r="C3129" s="23" t="str">
        <f aca="false">IF(B3129="","","office")</f>
        <v/>
      </c>
      <c r="D3129" s="23" t="str">
        <f aca="false">IF(B3129="","",IFERROR(INDEX(Office_Log!$ED$2:$ED$201,MATCH(IFERROR(INDEX(Clay_Offices!$A$2:$FZ$601,278,Sync!$C$5)&amp;"",""),Office_Log!$A$2:$A$201,0))&amp;"",IFERROR(INDEX(Clay_Offices!$A$2:$FZ$601,278,Sync!$C$5)&amp;"","")&amp;""))</f>
        <v/>
      </c>
      <c r="E3129" s="23" t="str">
        <f aca="false">IF(B3129="","",IFERROR(INDEX(Clay_Offices!$A$2:$FZ$601,278,Sync!$C$6)&amp;"",""))</f>
        <v/>
      </c>
      <c r="F3129" s="23" t="str">
        <f aca="false">IF(B3129="","","outreach_sent")</f>
        <v/>
      </c>
      <c r="G3129" s="23" t="str">
        <f aca="false">IF(B3129="","","")</f>
        <v/>
      </c>
      <c r="H3129" s="23" t="str">
        <f aca="false">IF(B3129="","","")</f>
        <v/>
      </c>
      <c r="I3129" s="23" t="str">
        <f aca="false">IF(B3129="","","")</f>
        <v/>
      </c>
      <c r="J3129" s="23" t="str">
        <f aca="false">IF(B3129="","","touch_3; "&amp;IFERROR(INDEX(Clay_Offices!$A$2:$FZ$601,278,Sync!$C$10)&amp;"","")&amp;"; "&amp;IFERROR(INDEX(Clay_Offices!$A$2:$FZ$601,278,Sync!$C$9)&amp;"",""))</f>
        <v/>
      </c>
      <c r="K3129" s="32" t="s">
        <v>1365</v>
      </c>
    </row>
    <row r="3130" customFormat="false" ht="15" hidden="false" customHeight="false" outlineLevel="0" collapsed="false">
      <c r="A3130" s="23" t="str">
        <f aca="false">IF(B3130="","",B3130+(14*1000+279)/10000000)</f>
        <v/>
      </c>
      <c r="B3130" s="35" t="str">
        <f aca="false">IF(AND(IFERROR(N(INDEX(Clay_Offices!$A$2:$FZ$601,279,Sync!$C$13)),0)&gt;0,IFERROR(INDEX(Clay_Offices!$A$2:$FZ$601,279,Sync!$C$5)&amp;"","")&lt;&gt;"",OR(LEFT(IFERROR(INDEX(Clay_Offices!$A$2:$FZ$601,279,Sync!$C$5)&amp;"",""),6)&lt;&gt;"SAMPLE",Config!$B$19="Y")),IFERROR(N(INDEX(Clay_Offices!$A$2:$FZ$601,279,Sync!$C$13)),0),"")</f>
        <v/>
      </c>
      <c r="C3130" s="23" t="str">
        <f aca="false">IF(B3130="","","office")</f>
        <v/>
      </c>
      <c r="D3130" s="23" t="str">
        <f aca="false">IF(B3130="","",IFERROR(INDEX(Office_Log!$ED$2:$ED$201,MATCH(IFERROR(INDEX(Clay_Offices!$A$2:$FZ$601,279,Sync!$C$5)&amp;"",""),Office_Log!$A$2:$A$201,0))&amp;"",IFERROR(INDEX(Clay_Offices!$A$2:$FZ$601,279,Sync!$C$5)&amp;"","")&amp;""))</f>
        <v/>
      </c>
      <c r="E3130" s="23" t="str">
        <f aca="false">IF(B3130="","",IFERROR(INDEX(Clay_Offices!$A$2:$FZ$601,279,Sync!$C$6)&amp;"",""))</f>
        <v/>
      </c>
      <c r="F3130" s="23" t="str">
        <f aca="false">IF(B3130="","","outreach_sent")</f>
        <v/>
      </c>
      <c r="G3130" s="23" t="str">
        <f aca="false">IF(B3130="","","")</f>
        <v/>
      </c>
      <c r="H3130" s="23" t="str">
        <f aca="false">IF(B3130="","","")</f>
        <v/>
      </c>
      <c r="I3130" s="23" t="str">
        <f aca="false">IF(B3130="","","")</f>
        <v/>
      </c>
      <c r="J3130" s="23" t="str">
        <f aca="false">IF(B3130="","","touch_3; "&amp;IFERROR(INDEX(Clay_Offices!$A$2:$FZ$601,279,Sync!$C$10)&amp;"","")&amp;"; "&amp;IFERROR(INDEX(Clay_Offices!$A$2:$FZ$601,279,Sync!$C$9)&amp;"",""))</f>
        <v/>
      </c>
      <c r="K3130" s="32" t="s">
        <v>1365</v>
      </c>
    </row>
    <row r="3131" customFormat="false" ht="15" hidden="false" customHeight="false" outlineLevel="0" collapsed="false">
      <c r="A3131" s="23" t="str">
        <f aca="false">IF(B3131="","",B3131+(14*1000+280)/10000000)</f>
        <v/>
      </c>
      <c r="B3131" s="35" t="str">
        <f aca="false">IF(AND(IFERROR(N(INDEX(Clay_Offices!$A$2:$FZ$601,280,Sync!$C$13)),0)&gt;0,IFERROR(INDEX(Clay_Offices!$A$2:$FZ$601,280,Sync!$C$5)&amp;"","")&lt;&gt;"",OR(LEFT(IFERROR(INDEX(Clay_Offices!$A$2:$FZ$601,280,Sync!$C$5)&amp;"",""),6)&lt;&gt;"SAMPLE",Config!$B$19="Y")),IFERROR(N(INDEX(Clay_Offices!$A$2:$FZ$601,280,Sync!$C$13)),0),"")</f>
        <v/>
      </c>
      <c r="C3131" s="23" t="str">
        <f aca="false">IF(B3131="","","office")</f>
        <v/>
      </c>
      <c r="D3131" s="23" t="str">
        <f aca="false">IF(B3131="","",IFERROR(INDEX(Office_Log!$ED$2:$ED$201,MATCH(IFERROR(INDEX(Clay_Offices!$A$2:$FZ$601,280,Sync!$C$5)&amp;"",""),Office_Log!$A$2:$A$201,0))&amp;"",IFERROR(INDEX(Clay_Offices!$A$2:$FZ$601,280,Sync!$C$5)&amp;"","")&amp;""))</f>
        <v/>
      </c>
      <c r="E3131" s="23" t="str">
        <f aca="false">IF(B3131="","",IFERROR(INDEX(Clay_Offices!$A$2:$FZ$601,280,Sync!$C$6)&amp;"",""))</f>
        <v/>
      </c>
      <c r="F3131" s="23" t="str">
        <f aca="false">IF(B3131="","","outreach_sent")</f>
        <v/>
      </c>
      <c r="G3131" s="23" t="str">
        <f aca="false">IF(B3131="","","")</f>
        <v/>
      </c>
      <c r="H3131" s="23" t="str">
        <f aca="false">IF(B3131="","","")</f>
        <v/>
      </c>
      <c r="I3131" s="23" t="str">
        <f aca="false">IF(B3131="","","")</f>
        <v/>
      </c>
      <c r="J3131" s="23" t="str">
        <f aca="false">IF(B3131="","","touch_3; "&amp;IFERROR(INDEX(Clay_Offices!$A$2:$FZ$601,280,Sync!$C$10)&amp;"","")&amp;"; "&amp;IFERROR(INDEX(Clay_Offices!$A$2:$FZ$601,280,Sync!$C$9)&amp;"",""))</f>
        <v/>
      </c>
      <c r="K3131" s="32" t="s">
        <v>1365</v>
      </c>
    </row>
    <row r="3132" customFormat="false" ht="15" hidden="false" customHeight="false" outlineLevel="0" collapsed="false">
      <c r="A3132" s="23" t="str">
        <f aca="false">IF(B3132="","",B3132+(14*1000+281)/10000000)</f>
        <v/>
      </c>
      <c r="B3132" s="35" t="str">
        <f aca="false">IF(AND(IFERROR(N(INDEX(Clay_Offices!$A$2:$FZ$601,281,Sync!$C$13)),0)&gt;0,IFERROR(INDEX(Clay_Offices!$A$2:$FZ$601,281,Sync!$C$5)&amp;"","")&lt;&gt;"",OR(LEFT(IFERROR(INDEX(Clay_Offices!$A$2:$FZ$601,281,Sync!$C$5)&amp;"",""),6)&lt;&gt;"SAMPLE",Config!$B$19="Y")),IFERROR(N(INDEX(Clay_Offices!$A$2:$FZ$601,281,Sync!$C$13)),0),"")</f>
        <v/>
      </c>
      <c r="C3132" s="23" t="str">
        <f aca="false">IF(B3132="","","office")</f>
        <v/>
      </c>
      <c r="D3132" s="23" t="str">
        <f aca="false">IF(B3132="","",IFERROR(INDEX(Office_Log!$ED$2:$ED$201,MATCH(IFERROR(INDEX(Clay_Offices!$A$2:$FZ$601,281,Sync!$C$5)&amp;"",""),Office_Log!$A$2:$A$201,0))&amp;"",IFERROR(INDEX(Clay_Offices!$A$2:$FZ$601,281,Sync!$C$5)&amp;"","")&amp;""))</f>
        <v/>
      </c>
      <c r="E3132" s="23" t="str">
        <f aca="false">IF(B3132="","",IFERROR(INDEX(Clay_Offices!$A$2:$FZ$601,281,Sync!$C$6)&amp;"",""))</f>
        <v/>
      </c>
      <c r="F3132" s="23" t="str">
        <f aca="false">IF(B3132="","","outreach_sent")</f>
        <v/>
      </c>
      <c r="G3132" s="23" t="str">
        <f aca="false">IF(B3132="","","")</f>
        <v/>
      </c>
      <c r="H3132" s="23" t="str">
        <f aca="false">IF(B3132="","","")</f>
        <v/>
      </c>
      <c r="I3132" s="23" t="str">
        <f aca="false">IF(B3132="","","")</f>
        <v/>
      </c>
      <c r="J3132" s="23" t="str">
        <f aca="false">IF(B3132="","","touch_3; "&amp;IFERROR(INDEX(Clay_Offices!$A$2:$FZ$601,281,Sync!$C$10)&amp;"","")&amp;"; "&amp;IFERROR(INDEX(Clay_Offices!$A$2:$FZ$601,281,Sync!$C$9)&amp;"",""))</f>
        <v/>
      </c>
      <c r="K3132" s="32" t="s">
        <v>1365</v>
      </c>
    </row>
    <row r="3133" customFormat="false" ht="15" hidden="false" customHeight="false" outlineLevel="0" collapsed="false">
      <c r="A3133" s="23" t="str">
        <f aca="false">IF(B3133="","",B3133+(14*1000+282)/10000000)</f>
        <v/>
      </c>
      <c r="B3133" s="35" t="str">
        <f aca="false">IF(AND(IFERROR(N(INDEX(Clay_Offices!$A$2:$FZ$601,282,Sync!$C$13)),0)&gt;0,IFERROR(INDEX(Clay_Offices!$A$2:$FZ$601,282,Sync!$C$5)&amp;"","")&lt;&gt;"",OR(LEFT(IFERROR(INDEX(Clay_Offices!$A$2:$FZ$601,282,Sync!$C$5)&amp;"",""),6)&lt;&gt;"SAMPLE",Config!$B$19="Y")),IFERROR(N(INDEX(Clay_Offices!$A$2:$FZ$601,282,Sync!$C$13)),0),"")</f>
        <v/>
      </c>
      <c r="C3133" s="23" t="str">
        <f aca="false">IF(B3133="","","office")</f>
        <v/>
      </c>
      <c r="D3133" s="23" t="str">
        <f aca="false">IF(B3133="","",IFERROR(INDEX(Office_Log!$ED$2:$ED$201,MATCH(IFERROR(INDEX(Clay_Offices!$A$2:$FZ$601,282,Sync!$C$5)&amp;"",""),Office_Log!$A$2:$A$201,0))&amp;"",IFERROR(INDEX(Clay_Offices!$A$2:$FZ$601,282,Sync!$C$5)&amp;"","")&amp;""))</f>
        <v/>
      </c>
      <c r="E3133" s="23" t="str">
        <f aca="false">IF(B3133="","",IFERROR(INDEX(Clay_Offices!$A$2:$FZ$601,282,Sync!$C$6)&amp;"",""))</f>
        <v/>
      </c>
      <c r="F3133" s="23" t="str">
        <f aca="false">IF(B3133="","","outreach_sent")</f>
        <v/>
      </c>
      <c r="G3133" s="23" t="str">
        <f aca="false">IF(B3133="","","")</f>
        <v/>
      </c>
      <c r="H3133" s="23" t="str">
        <f aca="false">IF(B3133="","","")</f>
        <v/>
      </c>
      <c r="I3133" s="23" t="str">
        <f aca="false">IF(B3133="","","")</f>
        <v/>
      </c>
      <c r="J3133" s="23" t="str">
        <f aca="false">IF(B3133="","","touch_3; "&amp;IFERROR(INDEX(Clay_Offices!$A$2:$FZ$601,282,Sync!$C$10)&amp;"","")&amp;"; "&amp;IFERROR(INDEX(Clay_Offices!$A$2:$FZ$601,282,Sync!$C$9)&amp;"",""))</f>
        <v/>
      </c>
      <c r="K3133" s="32" t="s">
        <v>1365</v>
      </c>
    </row>
    <row r="3134" customFormat="false" ht="15" hidden="false" customHeight="false" outlineLevel="0" collapsed="false">
      <c r="A3134" s="23" t="str">
        <f aca="false">IF(B3134="","",B3134+(14*1000+283)/10000000)</f>
        <v/>
      </c>
      <c r="B3134" s="35" t="str">
        <f aca="false">IF(AND(IFERROR(N(INDEX(Clay_Offices!$A$2:$FZ$601,283,Sync!$C$13)),0)&gt;0,IFERROR(INDEX(Clay_Offices!$A$2:$FZ$601,283,Sync!$C$5)&amp;"","")&lt;&gt;"",OR(LEFT(IFERROR(INDEX(Clay_Offices!$A$2:$FZ$601,283,Sync!$C$5)&amp;"",""),6)&lt;&gt;"SAMPLE",Config!$B$19="Y")),IFERROR(N(INDEX(Clay_Offices!$A$2:$FZ$601,283,Sync!$C$13)),0),"")</f>
        <v/>
      </c>
      <c r="C3134" s="23" t="str">
        <f aca="false">IF(B3134="","","office")</f>
        <v/>
      </c>
      <c r="D3134" s="23" t="str">
        <f aca="false">IF(B3134="","",IFERROR(INDEX(Office_Log!$ED$2:$ED$201,MATCH(IFERROR(INDEX(Clay_Offices!$A$2:$FZ$601,283,Sync!$C$5)&amp;"",""),Office_Log!$A$2:$A$201,0))&amp;"",IFERROR(INDEX(Clay_Offices!$A$2:$FZ$601,283,Sync!$C$5)&amp;"","")&amp;""))</f>
        <v/>
      </c>
      <c r="E3134" s="23" t="str">
        <f aca="false">IF(B3134="","",IFERROR(INDEX(Clay_Offices!$A$2:$FZ$601,283,Sync!$C$6)&amp;"",""))</f>
        <v/>
      </c>
      <c r="F3134" s="23" t="str">
        <f aca="false">IF(B3134="","","outreach_sent")</f>
        <v/>
      </c>
      <c r="G3134" s="23" t="str">
        <f aca="false">IF(B3134="","","")</f>
        <v/>
      </c>
      <c r="H3134" s="23" t="str">
        <f aca="false">IF(B3134="","","")</f>
        <v/>
      </c>
      <c r="I3134" s="23" t="str">
        <f aca="false">IF(B3134="","","")</f>
        <v/>
      </c>
      <c r="J3134" s="23" t="str">
        <f aca="false">IF(B3134="","","touch_3; "&amp;IFERROR(INDEX(Clay_Offices!$A$2:$FZ$601,283,Sync!$C$10)&amp;"","")&amp;"; "&amp;IFERROR(INDEX(Clay_Offices!$A$2:$FZ$601,283,Sync!$C$9)&amp;"",""))</f>
        <v/>
      </c>
      <c r="K3134" s="32" t="s">
        <v>1365</v>
      </c>
    </row>
    <row r="3135" customFormat="false" ht="15" hidden="false" customHeight="false" outlineLevel="0" collapsed="false">
      <c r="A3135" s="23" t="str">
        <f aca="false">IF(B3135="","",B3135+(14*1000+284)/10000000)</f>
        <v/>
      </c>
      <c r="B3135" s="35" t="str">
        <f aca="false">IF(AND(IFERROR(N(INDEX(Clay_Offices!$A$2:$FZ$601,284,Sync!$C$13)),0)&gt;0,IFERROR(INDEX(Clay_Offices!$A$2:$FZ$601,284,Sync!$C$5)&amp;"","")&lt;&gt;"",OR(LEFT(IFERROR(INDEX(Clay_Offices!$A$2:$FZ$601,284,Sync!$C$5)&amp;"",""),6)&lt;&gt;"SAMPLE",Config!$B$19="Y")),IFERROR(N(INDEX(Clay_Offices!$A$2:$FZ$601,284,Sync!$C$13)),0),"")</f>
        <v/>
      </c>
      <c r="C3135" s="23" t="str">
        <f aca="false">IF(B3135="","","office")</f>
        <v/>
      </c>
      <c r="D3135" s="23" t="str">
        <f aca="false">IF(B3135="","",IFERROR(INDEX(Office_Log!$ED$2:$ED$201,MATCH(IFERROR(INDEX(Clay_Offices!$A$2:$FZ$601,284,Sync!$C$5)&amp;"",""),Office_Log!$A$2:$A$201,0))&amp;"",IFERROR(INDEX(Clay_Offices!$A$2:$FZ$601,284,Sync!$C$5)&amp;"","")&amp;""))</f>
        <v/>
      </c>
      <c r="E3135" s="23" t="str">
        <f aca="false">IF(B3135="","",IFERROR(INDEX(Clay_Offices!$A$2:$FZ$601,284,Sync!$C$6)&amp;"",""))</f>
        <v/>
      </c>
      <c r="F3135" s="23" t="str">
        <f aca="false">IF(B3135="","","outreach_sent")</f>
        <v/>
      </c>
      <c r="G3135" s="23" t="str">
        <f aca="false">IF(B3135="","","")</f>
        <v/>
      </c>
      <c r="H3135" s="23" t="str">
        <f aca="false">IF(B3135="","","")</f>
        <v/>
      </c>
      <c r="I3135" s="23" t="str">
        <f aca="false">IF(B3135="","","")</f>
        <v/>
      </c>
      <c r="J3135" s="23" t="str">
        <f aca="false">IF(B3135="","","touch_3; "&amp;IFERROR(INDEX(Clay_Offices!$A$2:$FZ$601,284,Sync!$C$10)&amp;"","")&amp;"; "&amp;IFERROR(INDEX(Clay_Offices!$A$2:$FZ$601,284,Sync!$C$9)&amp;"",""))</f>
        <v/>
      </c>
      <c r="K3135" s="32" t="s">
        <v>1365</v>
      </c>
    </row>
    <row r="3136" customFormat="false" ht="15" hidden="false" customHeight="false" outlineLevel="0" collapsed="false">
      <c r="A3136" s="23" t="str">
        <f aca="false">IF(B3136="","",B3136+(14*1000+285)/10000000)</f>
        <v/>
      </c>
      <c r="B3136" s="35" t="str">
        <f aca="false">IF(AND(IFERROR(N(INDEX(Clay_Offices!$A$2:$FZ$601,285,Sync!$C$13)),0)&gt;0,IFERROR(INDEX(Clay_Offices!$A$2:$FZ$601,285,Sync!$C$5)&amp;"","")&lt;&gt;"",OR(LEFT(IFERROR(INDEX(Clay_Offices!$A$2:$FZ$601,285,Sync!$C$5)&amp;"",""),6)&lt;&gt;"SAMPLE",Config!$B$19="Y")),IFERROR(N(INDEX(Clay_Offices!$A$2:$FZ$601,285,Sync!$C$13)),0),"")</f>
        <v/>
      </c>
      <c r="C3136" s="23" t="str">
        <f aca="false">IF(B3136="","","office")</f>
        <v/>
      </c>
      <c r="D3136" s="23" t="str">
        <f aca="false">IF(B3136="","",IFERROR(INDEX(Office_Log!$ED$2:$ED$201,MATCH(IFERROR(INDEX(Clay_Offices!$A$2:$FZ$601,285,Sync!$C$5)&amp;"",""),Office_Log!$A$2:$A$201,0))&amp;"",IFERROR(INDEX(Clay_Offices!$A$2:$FZ$601,285,Sync!$C$5)&amp;"","")&amp;""))</f>
        <v/>
      </c>
      <c r="E3136" s="23" t="str">
        <f aca="false">IF(B3136="","",IFERROR(INDEX(Clay_Offices!$A$2:$FZ$601,285,Sync!$C$6)&amp;"",""))</f>
        <v/>
      </c>
      <c r="F3136" s="23" t="str">
        <f aca="false">IF(B3136="","","outreach_sent")</f>
        <v/>
      </c>
      <c r="G3136" s="23" t="str">
        <f aca="false">IF(B3136="","","")</f>
        <v/>
      </c>
      <c r="H3136" s="23" t="str">
        <f aca="false">IF(B3136="","","")</f>
        <v/>
      </c>
      <c r="I3136" s="23" t="str">
        <f aca="false">IF(B3136="","","")</f>
        <v/>
      </c>
      <c r="J3136" s="23" t="str">
        <f aca="false">IF(B3136="","","touch_3; "&amp;IFERROR(INDEX(Clay_Offices!$A$2:$FZ$601,285,Sync!$C$10)&amp;"","")&amp;"; "&amp;IFERROR(INDEX(Clay_Offices!$A$2:$FZ$601,285,Sync!$C$9)&amp;"",""))</f>
        <v/>
      </c>
      <c r="K3136" s="32" t="s">
        <v>1365</v>
      </c>
    </row>
    <row r="3137" customFormat="false" ht="15" hidden="false" customHeight="false" outlineLevel="0" collapsed="false">
      <c r="A3137" s="23" t="str">
        <f aca="false">IF(B3137="","",B3137+(14*1000+286)/10000000)</f>
        <v/>
      </c>
      <c r="B3137" s="35" t="str">
        <f aca="false">IF(AND(IFERROR(N(INDEX(Clay_Offices!$A$2:$FZ$601,286,Sync!$C$13)),0)&gt;0,IFERROR(INDEX(Clay_Offices!$A$2:$FZ$601,286,Sync!$C$5)&amp;"","")&lt;&gt;"",OR(LEFT(IFERROR(INDEX(Clay_Offices!$A$2:$FZ$601,286,Sync!$C$5)&amp;"",""),6)&lt;&gt;"SAMPLE",Config!$B$19="Y")),IFERROR(N(INDEX(Clay_Offices!$A$2:$FZ$601,286,Sync!$C$13)),0),"")</f>
        <v/>
      </c>
      <c r="C3137" s="23" t="str">
        <f aca="false">IF(B3137="","","office")</f>
        <v/>
      </c>
      <c r="D3137" s="23" t="str">
        <f aca="false">IF(B3137="","",IFERROR(INDEX(Office_Log!$ED$2:$ED$201,MATCH(IFERROR(INDEX(Clay_Offices!$A$2:$FZ$601,286,Sync!$C$5)&amp;"",""),Office_Log!$A$2:$A$201,0))&amp;"",IFERROR(INDEX(Clay_Offices!$A$2:$FZ$601,286,Sync!$C$5)&amp;"","")&amp;""))</f>
        <v/>
      </c>
      <c r="E3137" s="23" t="str">
        <f aca="false">IF(B3137="","",IFERROR(INDEX(Clay_Offices!$A$2:$FZ$601,286,Sync!$C$6)&amp;"",""))</f>
        <v/>
      </c>
      <c r="F3137" s="23" t="str">
        <f aca="false">IF(B3137="","","outreach_sent")</f>
        <v/>
      </c>
      <c r="G3137" s="23" t="str">
        <f aca="false">IF(B3137="","","")</f>
        <v/>
      </c>
      <c r="H3137" s="23" t="str">
        <f aca="false">IF(B3137="","","")</f>
        <v/>
      </c>
      <c r="I3137" s="23" t="str">
        <f aca="false">IF(B3137="","","")</f>
        <v/>
      </c>
      <c r="J3137" s="23" t="str">
        <f aca="false">IF(B3137="","","touch_3; "&amp;IFERROR(INDEX(Clay_Offices!$A$2:$FZ$601,286,Sync!$C$10)&amp;"","")&amp;"; "&amp;IFERROR(INDEX(Clay_Offices!$A$2:$FZ$601,286,Sync!$C$9)&amp;"",""))</f>
        <v/>
      </c>
      <c r="K3137" s="32" t="s">
        <v>1365</v>
      </c>
    </row>
    <row r="3138" customFormat="false" ht="15" hidden="false" customHeight="false" outlineLevel="0" collapsed="false">
      <c r="A3138" s="23" t="str">
        <f aca="false">IF(B3138="","",B3138+(14*1000+287)/10000000)</f>
        <v/>
      </c>
      <c r="B3138" s="35" t="str">
        <f aca="false">IF(AND(IFERROR(N(INDEX(Clay_Offices!$A$2:$FZ$601,287,Sync!$C$13)),0)&gt;0,IFERROR(INDEX(Clay_Offices!$A$2:$FZ$601,287,Sync!$C$5)&amp;"","")&lt;&gt;"",OR(LEFT(IFERROR(INDEX(Clay_Offices!$A$2:$FZ$601,287,Sync!$C$5)&amp;"",""),6)&lt;&gt;"SAMPLE",Config!$B$19="Y")),IFERROR(N(INDEX(Clay_Offices!$A$2:$FZ$601,287,Sync!$C$13)),0),"")</f>
        <v/>
      </c>
      <c r="C3138" s="23" t="str">
        <f aca="false">IF(B3138="","","office")</f>
        <v/>
      </c>
      <c r="D3138" s="23" t="str">
        <f aca="false">IF(B3138="","",IFERROR(INDEX(Office_Log!$ED$2:$ED$201,MATCH(IFERROR(INDEX(Clay_Offices!$A$2:$FZ$601,287,Sync!$C$5)&amp;"",""),Office_Log!$A$2:$A$201,0))&amp;"",IFERROR(INDEX(Clay_Offices!$A$2:$FZ$601,287,Sync!$C$5)&amp;"","")&amp;""))</f>
        <v/>
      </c>
      <c r="E3138" s="23" t="str">
        <f aca="false">IF(B3138="","",IFERROR(INDEX(Clay_Offices!$A$2:$FZ$601,287,Sync!$C$6)&amp;"",""))</f>
        <v/>
      </c>
      <c r="F3138" s="23" t="str">
        <f aca="false">IF(B3138="","","outreach_sent")</f>
        <v/>
      </c>
      <c r="G3138" s="23" t="str">
        <f aca="false">IF(B3138="","","")</f>
        <v/>
      </c>
      <c r="H3138" s="23" t="str">
        <f aca="false">IF(B3138="","","")</f>
        <v/>
      </c>
      <c r="I3138" s="23" t="str">
        <f aca="false">IF(B3138="","","")</f>
        <v/>
      </c>
      <c r="J3138" s="23" t="str">
        <f aca="false">IF(B3138="","","touch_3; "&amp;IFERROR(INDEX(Clay_Offices!$A$2:$FZ$601,287,Sync!$C$10)&amp;"","")&amp;"; "&amp;IFERROR(INDEX(Clay_Offices!$A$2:$FZ$601,287,Sync!$C$9)&amp;"",""))</f>
        <v/>
      </c>
      <c r="K3138" s="32" t="s">
        <v>1365</v>
      </c>
    </row>
    <row r="3139" customFormat="false" ht="15" hidden="false" customHeight="false" outlineLevel="0" collapsed="false">
      <c r="A3139" s="23" t="str">
        <f aca="false">IF(B3139="","",B3139+(14*1000+288)/10000000)</f>
        <v/>
      </c>
      <c r="B3139" s="35" t="str">
        <f aca="false">IF(AND(IFERROR(N(INDEX(Clay_Offices!$A$2:$FZ$601,288,Sync!$C$13)),0)&gt;0,IFERROR(INDEX(Clay_Offices!$A$2:$FZ$601,288,Sync!$C$5)&amp;"","")&lt;&gt;"",OR(LEFT(IFERROR(INDEX(Clay_Offices!$A$2:$FZ$601,288,Sync!$C$5)&amp;"",""),6)&lt;&gt;"SAMPLE",Config!$B$19="Y")),IFERROR(N(INDEX(Clay_Offices!$A$2:$FZ$601,288,Sync!$C$13)),0),"")</f>
        <v/>
      </c>
      <c r="C3139" s="23" t="str">
        <f aca="false">IF(B3139="","","office")</f>
        <v/>
      </c>
      <c r="D3139" s="23" t="str">
        <f aca="false">IF(B3139="","",IFERROR(INDEX(Office_Log!$ED$2:$ED$201,MATCH(IFERROR(INDEX(Clay_Offices!$A$2:$FZ$601,288,Sync!$C$5)&amp;"",""),Office_Log!$A$2:$A$201,0))&amp;"",IFERROR(INDEX(Clay_Offices!$A$2:$FZ$601,288,Sync!$C$5)&amp;"","")&amp;""))</f>
        <v/>
      </c>
      <c r="E3139" s="23" t="str">
        <f aca="false">IF(B3139="","",IFERROR(INDEX(Clay_Offices!$A$2:$FZ$601,288,Sync!$C$6)&amp;"",""))</f>
        <v/>
      </c>
      <c r="F3139" s="23" t="str">
        <f aca="false">IF(B3139="","","outreach_sent")</f>
        <v/>
      </c>
      <c r="G3139" s="23" t="str">
        <f aca="false">IF(B3139="","","")</f>
        <v/>
      </c>
      <c r="H3139" s="23" t="str">
        <f aca="false">IF(B3139="","","")</f>
        <v/>
      </c>
      <c r="I3139" s="23" t="str">
        <f aca="false">IF(B3139="","","")</f>
        <v/>
      </c>
      <c r="J3139" s="23" t="str">
        <f aca="false">IF(B3139="","","touch_3; "&amp;IFERROR(INDEX(Clay_Offices!$A$2:$FZ$601,288,Sync!$C$10)&amp;"","")&amp;"; "&amp;IFERROR(INDEX(Clay_Offices!$A$2:$FZ$601,288,Sync!$C$9)&amp;"",""))</f>
        <v/>
      </c>
      <c r="K3139" s="32" t="s">
        <v>1365</v>
      </c>
    </row>
    <row r="3140" customFormat="false" ht="15" hidden="false" customHeight="false" outlineLevel="0" collapsed="false">
      <c r="A3140" s="23" t="str">
        <f aca="false">IF(B3140="","",B3140+(14*1000+289)/10000000)</f>
        <v/>
      </c>
      <c r="B3140" s="35" t="str">
        <f aca="false">IF(AND(IFERROR(N(INDEX(Clay_Offices!$A$2:$FZ$601,289,Sync!$C$13)),0)&gt;0,IFERROR(INDEX(Clay_Offices!$A$2:$FZ$601,289,Sync!$C$5)&amp;"","")&lt;&gt;"",OR(LEFT(IFERROR(INDEX(Clay_Offices!$A$2:$FZ$601,289,Sync!$C$5)&amp;"",""),6)&lt;&gt;"SAMPLE",Config!$B$19="Y")),IFERROR(N(INDEX(Clay_Offices!$A$2:$FZ$601,289,Sync!$C$13)),0),"")</f>
        <v/>
      </c>
      <c r="C3140" s="23" t="str">
        <f aca="false">IF(B3140="","","office")</f>
        <v/>
      </c>
      <c r="D3140" s="23" t="str">
        <f aca="false">IF(B3140="","",IFERROR(INDEX(Office_Log!$ED$2:$ED$201,MATCH(IFERROR(INDEX(Clay_Offices!$A$2:$FZ$601,289,Sync!$C$5)&amp;"",""),Office_Log!$A$2:$A$201,0))&amp;"",IFERROR(INDEX(Clay_Offices!$A$2:$FZ$601,289,Sync!$C$5)&amp;"","")&amp;""))</f>
        <v/>
      </c>
      <c r="E3140" s="23" t="str">
        <f aca="false">IF(B3140="","",IFERROR(INDEX(Clay_Offices!$A$2:$FZ$601,289,Sync!$C$6)&amp;"",""))</f>
        <v/>
      </c>
      <c r="F3140" s="23" t="str">
        <f aca="false">IF(B3140="","","outreach_sent")</f>
        <v/>
      </c>
      <c r="G3140" s="23" t="str">
        <f aca="false">IF(B3140="","","")</f>
        <v/>
      </c>
      <c r="H3140" s="23" t="str">
        <f aca="false">IF(B3140="","","")</f>
        <v/>
      </c>
      <c r="I3140" s="23" t="str">
        <f aca="false">IF(B3140="","","")</f>
        <v/>
      </c>
      <c r="J3140" s="23" t="str">
        <f aca="false">IF(B3140="","","touch_3; "&amp;IFERROR(INDEX(Clay_Offices!$A$2:$FZ$601,289,Sync!$C$10)&amp;"","")&amp;"; "&amp;IFERROR(INDEX(Clay_Offices!$A$2:$FZ$601,289,Sync!$C$9)&amp;"",""))</f>
        <v/>
      </c>
      <c r="K3140" s="32" t="s">
        <v>1365</v>
      </c>
    </row>
    <row r="3141" customFormat="false" ht="15" hidden="false" customHeight="false" outlineLevel="0" collapsed="false">
      <c r="A3141" s="23" t="str">
        <f aca="false">IF(B3141="","",B3141+(14*1000+290)/10000000)</f>
        <v/>
      </c>
      <c r="B3141" s="35" t="str">
        <f aca="false">IF(AND(IFERROR(N(INDEX(Clay_Offices!$A$2:$FZ$601,290,Sync!$C$13)),0)&gt;0,IFERROR(INDEX(Clay_Offices!$A$2:$FZ$601,290,Sync!$C$5)&amp;"","")&lt;&gt;"",OR(LEFT(IFERROR(INDEX(Clay_Offices!$A$2:$FZ$601,290,Sync!$C$5)&amp;"",""),6)&lt;&gt;"SAMPLE",Config!$B$19="Y")),IFERROR(N(INDEX(Clay_Offices!$A$2:$FZ$601,290,Sync!$C$13)),0),"")</f>
        <v/>
      </c>
      <c r="C3141" s="23" t="str">
        <f aca="false">IF(B3141="","","office")</f>
        <v/>
      </c>
      <c r="D3141" s="23" t="str">
        <f aca="false">IF(B3141="","",IFERROR(INDEX(Office_Log!$ED$2:$ED$201,MATCH(IFERROR(INDEX(Clay_Offices!$A$2:$FZ$601,290,Sync!$C$5)&amp;"",""),Office_Log!$A$2:$A$201,0))&amp;"",IFERROR(INDEX(Clay_Offices!$A$2:$FZ$601,290,Sync!$C$5)&amp;"","")&amp;""))</f>
        <v/>
      </c>
      <c r="E3141" s="23" t="str">
        <f aca="false">IF(B3141="","",IFERROR(INDEX(Clay_Offices!$A$2:$FZ$601,290,Sync!$C$6)&amp;"",""))</f>
        <v/>
      </c>
      <c r="F3141" s="23" t="str">
        <f aca="false">IF(B3141="","","outreach_sent")</f>
        <v/>
      </c>
      <c r="G3141" s="23" t="str">
        <f aca="false">IF(B3141="","","")</f>
        <v/>
      </c>
      <c r="H3141" s="23" t="str">
        <f aca="false">IF(B3141="","","")</f>
        <v/>
      </c>
      <c r="I3141" s="23" t="str">
        <f aca="false">IF(B3141="","","")</f>
        <v/>
      </c>
      <c r="J3141" s="23" t="str">
        <f aca="false">IF(B3141="","","touch_3; "&amp;IFERROR(INDEX(Clay_Offices!$A$2:$FZ$601,290,Sync!$C$10)&amp;"","")&amp;"; "&amp;IFERROR(INDEX(Clay_Offices!$A$2:$FZ$601,290,Sync!$C$9)&amp;"",""))</f>
        <v/>
      </c>
      <c r="K3141" s="32" t="s">
        <v>1365</v>
      </c>
    </row>
    <row r="3142" customFormat="false" ht="15" hidden="false" customHeight="false" outlineLevel="0" collapsed="false">
      <c r="A3142" s="23" t="str">
        <f aca="false">IF(B3142="","",B3142+(14*1000+291)/10000000)</f>
        <v/>
      </c>
      <c r="B3142" s="35" t="str">
        <f aca="false">IF(AND(IFERROR(N(INDEX(Clay_Offices!$A$2:$FZ$601,291,Sync!$C$13)),0)&gt;0,IFERROR(INDEX(Clay_Offices!$A$2:$FZ$601,291,Sync!$C$5)&amp;"","")&lt;&gt;"",OR(LEFT(IFERROR(INDEX(Clay_Offices!$A$2:$FZ$601,291,Sync!$C$5)&amp;"",""),6)&lt;&gt;"SAMPLE",Config!$B$19="Y")),IFERROR(N(INDEX(Clay_Offices!$A$2:$FZ$601,291,Sync!$C$13)),0),"")</f>
        <v/>
      </c>
      <c r="C3142" s="23" t="str">
        <f aca="false">IF(B3142="","","office")</f>
        <v/>
      </c>
      <c r="D3142" s="23" t="str">
        <f aca="false">IF(B3142="","",IFERROR(INDEX(Office_Log!$ED$2:$ED$201,MATCH(IFERROR(INDEX(Clay_Offices!$A$2:$FZ$601,291,Sync!$C$5)&amp;"",""),Office_Log!$A$2:$A$201,0))&amp;"",IFERROR(INDEX(Clay_Offices!$A$2:$FZ$601,291,Sync!$C$5)&amp;"","")&amp;""))</f>
        <v/>
      </c>
      <c r="E3142" s="23" t="str">
        <f aca="false">IF(B3142="","",IFERROR(INDEX(Clay_Offices!$A$2:$FZ$601,291,Sync!$C$6)&amp;"",""))</f>
        <v/>
      </c>
      <c r="F3142" s="23" t="str">
        <f aca="false">IF(B3142="","","outreach_sent")</f>
        <v/>
      </c>
      <c r="G3142" s="23" t="str">
        <f aca="false">IF(B3142="","","")</f>
        <v/>
      </c>
      <c r="H3142" s="23" t="str">
        <f aca="false">IF(B3142="","","")</f>
        <v/>
      </c>
      <c r="I3142" s="23" t="str">
        <f aca="false">IF(B3142="","","")</f>
        <v/>
      </c>
      <c r="J3142" s="23" t="str">
        <f aca="false">IF(B3142="","","touch_3; "&amp;IFERROR(INDEX(Clay_Offices!$A$2:$FZ$601,291,Sync!$C$10)&amp;"","")&amp;"; "&amp;IFERROR(INDEX(Clay_Offices!$A$2:$FZ$601,291,Sync!$C$9)&amp;"",""))</f>
        <v/>
      </c>
      <c r="K3142" s="32" t="s">
        <v>1365</v>
      </c>
    </row>
    <row r="3143" customFormat="false" ht="15" hidden="false" customHeight="false" outlineLevel="0" collapsed="false">
      <c r="A3143" s="23" t="str">
        <f aca="false">IF(B3143="","",B3143+(14*1000+292)/10000000)</f>
        <v/>
      </c>
      <c r="B3143" s="35" t="str">
        <f aca="false">IF(AND(IFERROR(N(INDEX(Clay_Offices!$A$2:$FZ$601,292,Sync!$C$13)),0)&gt;0,IFERROR(INDEX(Clay_Offices!$A$2:$FZ$601,292,Sync!$C$5)&amp;"","")&lt;&gt;"",OR(LEFT(IFERROR(INDEX(Clay_Offices!$A$2:$FZ$601,292,Sync!$C$5)&amp;"",""),6)&lt;&gt;"SAMPLE",Config!$B$19="Y")),IFERROR(N(INDEX(Clay_Offices!$A$2:$FZ$601,292,Sync!$C$13)),0),"")</f>
        <v/>
      </c>
      <c r="C3143" s="23" t="str">
        <f aca="false">IF(B3143="","","office")</f>
        <v/>
      </c>
      <c r="D3143" s="23" t="str">
        <f aca="false">IF(B3143="","",IFERROR(INDEX(Office_Log!$ED$2:$ED$201,MATCH(IFERROR(INDEX(Clay_Offices!$A$2:$FZ$601,292,Sync!$C$5)&amp;"",""),Office_Log!$A$2:$A$201,0))&amp;"",IFERROR(INDEX(Clay_Offices!$A$2:$FZ$601,292,Sync!$C$5)&amp;"","")&amp;""))</f>
        <v/>
      </c>
      <c r="E3143" s="23" t="str">
        <f aca="false">IF(B3143="","",IFERROR(INDEX(Clay_Offices!$A$2:$FZ$601,292,Sync!$C$6)&amp;"",""))</f>
        <v/>
      </c>
      <c r="F3143" s="23" t="str">
        <f aca="false">IF(B3143="","","outreach_sent")</f>
        <v/>
      </c>
      <c r="G3143" s="23" t="str">
        <f aca="false">IF(B3143="","","")</f>
        <v/>
      </c>
      <c r="H3143" s="23" t="str">
        <f aca="false">IF(B3143="","","")</f>
        <v/>
      </c>
      <c r="I3143" s="23" t="str">
        <f aca="false">IF(B3143="","","")</f>
        <v/>
      </c>
      <c r="J3143" s="23" t="str">
        <f aca="false">IF(B3143="","","touch_3; "&amp;IFERROR(INDEX(Clay_Offices!$A$2:$FZ$601,292,Sync!$C$10)&amp;"","")&amp;"; "&amp;IFERROR(INDEX(Clay_Offices!$A$2:$FZ$601,292,Sync!$C$9)&amp;"",""))</f>
        <v/>
      </c>
      <c r="K3143" s="32" t="s">
        <v>1365</v>
      </c>
    </row>
    <row r="3144" customFormat="false" ht="15" hidden="false" customHeight="false" outlineLevel="0" collapsed="false">
      <c r="A3144" s="23" t="str">
        <f aca="false">IF(B3144="","",B3144+(14*1000+293)/10000000)</f>
        <v/>
      </c>
      <c r="B3144" s="35" t="str">
        <f aca="false">IF(AND(IFERROR(N(INDEX(Clay_Offices!$A$2:$FZ$601,293,Sync!$C$13)),0)&gt;0,IFERROR(INDEX(Clay_Offices!$A$2:$FZ$601,293,Sync!$C$5)&amp;"","")&lt;&gt;"",OR(LEFT(IFERROR(INDEX(Clay_Offices!$A$2:$FZ$601,293,Sync!$C$5)&amp;"",""),6)&lt;&gt;"SAMPLE",Config!$B$19="Y")),IFERROR(N(INDEX(Clay_Offices!$A$2:$FZ$601,293,Sync!$C$13)),0),"")</f>
        <v/>
      </c>
      <c r="C3144" s="23" t="str">
        <f aca="false">IF(B3144="","","office")</f>
        <v/>
      </c>
      <c r="D3144" s="23" t="str">
        <f aca="false">IF(B3144="","",IFERROR(INDEX(Office_Log!$ED$2:$ED$201,MATCH(IFERROR(INDEX(Clay_Offices!$A$2:$FZ$601,293,Sync!$C$5)&amp;"",""),Office_Log!$A$2:$A$201,0))&amp;"",IFERROR(INDEX(Clay_Offices!$A$2:$FZ$601,293,Sync!$C$5)&amp;"","")&amp;""))</f>
        <v/>
      </c>
      <c r="E3144" s="23" t="str">
        <f aca="false">IF(B3144="","",IFERROR(INDEX(Clay_Offices!$A$2:$FZ$601,293,Sync!$C$6)&amp;"",""))</f>
        <v/>
      </c>
      <c r="F3144" s="23" t="str">
        <f aca="false">IF(B3144="","","outreach_sent")</f>
        <v/>
      </c>
      <c r="G3144" s="23" t="str">
        <f aca="false">IF(B3144="","","")</f>
        <v/>
      </c>
      <c r="H3144" s="23" t="str">
        <f aca="false">IF(B3144="","","")</f>
        <v/>
      </c>
      <c r="I3144" s="23" t="str">
        <f aca="false">IF(B3144="","","")</f>
        <v/>
      </c>
      <c r="J3144" s="23" t="str">
        <f aca="false">IF(B3144="","","touch_3; "&amp;IFERROR(INDEX(Clay_Offices!$A$2:$FZ$601,293,Sync!$C$10)&amp;"","")&amp;"; "&amp;IFERROR(INDEX(Clay_Offices!$A$2:$FZ$601,293,Sync!$C$9)&amp;"",""))</f>
        <v/>
      </c>
      <c r="K3144" s="32" t="s">
        <v>1365</v>
      </c>
    </row>
    <row r="3145" customFormat="false" ht="15" hidden="false" customHeight="false" outlineLevel="0" collapsed="false">
      <c r="A3145" s="23" t="str">
        <f aca="false">IF(B3145="","",B3145+(14*1000+294)/10000000)</f>
        <v/>
      </c>
      <c r="B3145" s="35" t="str">
        <f aca="false">IF(AND(IFERROR(N(INDEX(Clay_Offices!$A$2:$FZ$601,294,Sync!$C$13)),0)&gt;0,IFERROR(INDEX(Clay_Offices!$A$2:$FZ$601,294,Sync!$C$5)&amp;"","")&lt;&gt;"",OR(LEFT(IFERROR(INDEX(Clay_Offices!$A$2:$FZ$601,294,Sync!$C$5)&amp;"",""),6)&lt;&gt;"SAMPLE",Config!$B$19="Y")),IFERROR(N(INDEX(Clay_Offices!$A$2:$FZ$601,294,Sync!$C$13)),0),"")</f>
        <v/>
      </c>
      <c r="C3145" s="23" t="str">
        <f aca="false">IF(B3145="","","office")</f>
        <v/>
      </c>
      <c r="D3145" s="23" t="str">
        <f aca="false">IF(B3145="","",IFERROR(INDEX(Office_Log!$ED$2:$ED$201,MATCH(IFERROR(INDEX(Clay_Offices!$A$2:$FZ$601,294,Sync!$C$5)&amp;"",""),Office_Log!$A$2:$A$201,0))&amp;"",IFERROR(INDEX(Clay_Offices!$A$2:$FZ$601,294,Sync!$C$5)&amp;"","")&amp;""))</f>
        <v/>
      </c>
      <c r="E3145" s="23" t="str">
        <f aca="false">IF(B3145="","",IFERROR(INDEX(Clay_Offices!$A$2:$FZ$601,294,Sync!$C$6)&amp;"",""))</f>
        <v/>
      </c>
      <c r="F3145" s="23" t="str">
        <f aca="false">IF(B3145="","","outreach_sent")</f>
        <v/>
      </c>
      <c r="G3145" s="23" t="str">
        <f aca="false">IF(B3145="","","")</f>
        <v/>
      </c>
      <c r="H3145" s="23" t="str">
        <f aca="false">IF(B3145="","","")</f>
        <v/>
      </c>
      <c r="I3145" s="23" t="str">
        <f aca="false">IF(B3145="","","")</f>
        <v/>
      </c>
      <c r="J3145" s="23" t="str">
        <f aca="false">IF(B3145="","","touch_3; "&amp;IFERROR(INDEX(Clay_Offices!$A$2:$FZ$601,294,Sync!$C$10)&amp;"","")&amp;"; "&amp;IFERROR(INDEX(Clay_Offices!$A$2:$FZ$601,294,Sync!$C$9)&amp;"",""))</f>
        <v/>
      </c>
      <c r="K3145" s="32" t="s">
        <v>1365</v>
      </c>
    </row>
    <row r="3146" customFormat="false" ht="15" hidden="false" customHeight="false" outlineLevel="0" collapsed="false">
      <c r="A3146" s="23" t="str">
        <f aca="false">IF(B3146="","",B3146+(14*1000+295)/10000000)</f>
        <v/>
      </c>
      <c r="B3146" s="35" t="str">
        <f aca="false">IF(AND(IFERROR(N(INDEX(Clay_Offices!$A$2:$FZ$601,295,Sync!$C$13)),0)&gt;0,IFERROR(INDEX(Clay_Offices!$A$2:$FZ$601,295,Sync!$C$5)&amp;"","")&lt;&gt;"",OR(LEFT(IFERROR(INDEX(Clay_Offices!$A$2:$FZ$601,295,Sync!$C$5)&amp;"",""),6)&lt;&gt;"SAMPLE",Config!$B$19="Y")),IFERROR(N(INDEX(Clay_Offices!$A$2:$FZ$601,295,Sync!$C$13)),0),"")</f>
        <v/>
      </c>
      <c r="C3146" s="23" t="str">
        <f aca="false">IF(B3146="","","office")</f>
        <v/>
      </c>
      <c r="D3146" s="23" t="str">
        <f aca="false">IF(B3146="","",IFERROR(INDEX(Office_Log!$ED$2:$ED$201,MATCH(IFERROR(INDEX(Clay_Offices!$A$2:$FZ$601,295,Sync!$C$5)&amp;"",""),Office_Log!$A$2:$A$201,0))&amp;"",IFERROR(INDEX(Clay_Offices!$A$2:$FZ$601,295,Sync!$C$5)&amp;"","")&amp;""))</f>
        <v/>
      </c>
      <c r="E3146" s="23" t="str">
        <f aca="false">IF(B3146="","",IFERROR(INDEX(Clay_Offices!$A$2:$FZ$601,295,Sync!$C$6)&amp;"",""))</f>
        <v/>
      </c>
      <c r="F3146" s="23" t="str">
        <f aca="false">IF(B3146="","","outreach_sent")</f>
        <v/>
      </c>
      <c r="G3146" s="23" t="str">
        <f aca="false">IF(B3146="","","")</f>
        <v/>
      </c>
      <c r="H3146" s="23" t="str">
        <f aca="false">IF(B3146="","","")</f>
        <v/>
      </c>
      <c r="I3146" s="23" t="str">
        <f aca="false">IF(B3146="","","")</f>
        <v/>
      </c>
      <c r="J3146" s="23" t="str">
        <f aca="false">IF(B3146="","","touch_3; "&amp;IFERROR(INDEX(Clay_Offices!$A$2:$FZ$601,295,Sync!$C$10)&amp;"","")&amp;"; "&amp;IFERROR(INDEX(Clay_Offices!$A$2:$FZ$601,295,Sync!$C$9)&amp;"",""))</f>
        <v/>
      </c>
      <c r="K3146" s="32" t="s">
        <v>1365</v>
      </c>
    </row>
    <row r="3147" customFormat="false" ht="15" hidden="false" customHeight="false" outlineLevel="0" collapsed="false">
      <c r="A3147" s="23" t="str">
        <f aca="false">IF(B3147="","",B3147+(14*1000+296)/10000000)</f>
        <v/>
      </c>
      <c r="B3147" s="35" t="str">
        <f aca="false">IF(AND(IFERROR(N(INDEX(Clay_Offices!$A$2:$FZ$601,296,Sync!$C$13)),0)&gt;0,IFERROR(INDEX(Clay_Offices!$A$2:$FZ$601,296,Sync!$C$5)&amp;"","")&lt;&gt;"",OR(LEFT(IFERROR(INDEX(Clay_Offices!$A$2:$FZ$601,296,Sync!$C$5)&amp;"",""),6)&lt;&gt;"SAMPLE",Config!$B$19="Y")),IFERROR(N(INDEX(Clay_Offices!$A$2:$FZ$601,296,Sync!$C$13)),0),"")</f>
        <v/>
      </c>
      <c r="C3147" s="23" t="str">
        <f aca="false">IF(B3147="","","office")</f>
        <v/>
      </c>
      <c r="D3147" s="23" t="str">
        <f aca="false">IF(B3147="","",IFERROR(INDEX(Office_Log!$ED$2:$ED$201,MATCH(IFERROR(INDEX(Clay_Offices!$A$2:$FZ$601,296,Sync!$C$5)&amp;"",""),Office_Log!$A$2:$A$201,0))&amp;"",IFERROR(INDEX(Clay_Offices!$A$2:$FZ$601,296,Sync!$C$5)&amp;"","")&amp;""))</f>
        <v/>
      </c>
      <c r="E3147" s="23" t="str">
        <f aca="false">IF(B3147="","",IFERROR(INDEX(Clay_Offices!$A$2:$FZ$601,296,Sync!$C$6)&amp;"",""))</f>
        <v/>
      </c>
      <c r="F3147" s="23" t="str">
        <f aca="false">IF(B3147="","","outreach_sent")</f>
        <v/>
      </c>
      <c r="G3147" s="23" t="str">
        <f aca="false">IF(B3147="","","")</f>
        <v/>
      </c>
      <c r="H3147" s="23" t="str">
        <f aca="false">IF(B3147="","","")</f>
        <v/>
      </c>
      <c r="I3147" s="23" t="str">
        <f aca="false">IF(B3147="","","")</f>
        <v/>
      </c>
      <c r="J3147" s="23" t="str">
        <f aca="false">IF(B3147="","","touch_3; "&amp;IFERROR(INDEX(Clay_Offices!$A$2:$FZ$601,296,Sync!$C$10)&amp;"","")&amp;"; "&amp;IFERROR(INDEX(Clay_Offices!$A$2:$FZ$601,296,Sync!$C$9)&amp;"",""))</f>
        <v/>
      </c>
      <c r="K3147" s="32" t="s">
        <v>1365</v>
      </c>
    </row>
    <row r="3148" customFormat="false" ht="15" hidden="false" customHeight="false" outlineLevel="0" collapsed="false">
      <c r="A3148" s="23" t="str">
        <f aca="false">IF(B3148="","",B3148+(14*1000+297)/10000000)</f>
        <v/>
      </c>
      <c r="B3148" s="35" t="str">
        <f aca="false">IF(AND(IFERROR(N(INDEX(Clay_Offices!$A$2:$FZ$601,297,Sync!$C$13)),0)&gt;0,IFERROR(INDEX(Clay_Offices!$A$2:$FZ$601,297,Sync!$C$5)&amp;"","")&lt;&gt;"",OR(LEFT(IFERROR(INDEX(Clay_Offices!$A$2:$FZ$601,297,Sync!$C$5)&amp;"",""),6)&lt;&gt;"SAMPLE",Config!$B$19="Y")),IFERROR(N(INDEX(Clay_Offices!$A$2:$FZ$601,297,Sync!$C$13)),0),"")</f>
        <v/>
      </c>
      <c r="C3148" s="23" t="str">
        <f aca="false">IF(B3148="","","office")</f>
        <v/>
      </c>
      <c r="D3148" s="23" t="str">
        <f aca="false">IF(B3148="","",IFERROR(INDEX(Office_Log!$ED$2:$ED$201,MATCH(IFERROR(INDEX(Clay_Offices!$A$2:$FZ$601,297,Sync!$C$5)&amp;"",""),Office_Log!$A$2:$A$201,0))&amp;"",IFERROR(INDEX(Clay_Offices!$A$2:$FZ$601,297,Sync!$C$5)&amp;"","")&amp;""))</f>
        <v/>
      </c>
      <c r="E3148" s="23" t="str">
        <f aca="false">IF(B3148="","",IFERROR(INDEX(Clay_Offices!$A$2:$FZ$601,297,Sync!$C$6)&amp;"",""))</f>
        <v/>
      </c>
      <c r="F3148" s="23" t="str">
        <f aca="false">IF(B3148="","","outreach_sent")</f>
        <v/>
      </c>
      <c r="G3148" s="23" t="str">
        <f aca="false">IF(B3148="","","")</f>
        <v/>
      </c>
      <c r="H3148" s="23" t="str">
        <f aca="false">IF(B3148="","","")</f>
        <v/>
      </c>
      <c r="I3148" s="23" t="str">
        <f aca="false">IF(B3148="","","")</f>
        <v/>
      </c>
      <c r="J3148" s="23" t="str">
        <f aca="false">IF(B3148="","","touch_3; "&amp;IFERROR(INDEX(Clay_Offices!$A$2:$FZ$601,297,Sync!$C$10)&amp;"","")&amp;"; "&amp;IFERROR(INDEX(Clay_Offices!$A$2:$FZ$601,297,Sync!$C$9)&amp;"",""))</f>
        <v/>
      </c>
      <c r="K3148" s="32" t="s">
        <v>1365</v>
      </c>
    </row>
    <row r="3149" customFormat="false" ht="15" hidden="false" customHeight="false" outlineLevel="0" collapsed="false">
      <c r="A3149" s="23" t="str">
        <f aca="false">IF(B3149="","",B3149+(14*1000+298)/10000000)</f>
        <v/>
      </c>
      <c r="B3149" s="35" t="str">
        <f aca="false">IF(AND(IFERROR(N(INDEX(Clay_Offices!$A$2:$FZ$601,298,Sync!$C$13)),0)&gt;0,IFERROR(INDEX(Clay_Offices!$A$2:$FZ$601,298,Sync!$C$5)&amp;"","")&lt;&gt;"",OR(LEFT(IFERROR(INDEX(Clay_Offices!$A$2:$FZ$601,298,Sync!$C$5)&amp;"",""),6)&lt;&gt;"SAMPLE",Config!$B$19="Y")),IFERROR(N(INDEX(Clay_Offices!$A$2:$FZ$601,298,Sync!$C$13)),0),"")</f>
        <v/>
      </c>
      <c r="C3149" s="23" t="str">
        <f aca="false">IF(B3149="","","office")</f>
        <v/>
      </c>
      <c r="D3149" s="23" t="str">
        <f aca="false">IF(B3149="","",IFERROR(INDEX(Office_Log!$ED$2:$ED$201,MATCH(IFERROR(INDEX(Clay_Offices!$A$2:$FZ$601,298,Sync!$C$5)&amp;"",""),Office_Log!$A$2:$A$201,0))&amp;"",IFERROR(INDEX(Clay_Offices!$A$2:$FZ$601,298,Sync!$C$5)&amp;"","")&amp;""))</f>
        <v/>
      </c>
      <c r="E3149" s="23" t="str">
        <f aca="false">IF(B3149="","",IFERROR(INDEX(Clay_Offices!$A$2:$FZ$601,298,Sync!$C$6)&amp;"",""))</f>
        <v/>
      </c>
      <c r="F3149" s="23" t="str">
        <f aca="false">IF(B3149="","","outreach_sent")</f>
        <v/>
      </c>
      <c r="G3149" s="23" t="str">
        <f aca="false">IF(B3149="","","")</f>
        <v/>
      </c>
      <c r="H3149" s="23" t="str">
        <f aca="false">IF(B3149="","","")</f>
        <v/>
      </c>
      <c r="I3149" s="23" t="str">
        <f aca="false">IF(B3149="","","")</f>
        <v/>
      </c>
      <c r="J3149" s="23" t="str">
        <f aca="false">IF(B3149="","","touch_3; "&amp;IFERROR(INDEX(Clay_Offices!$A$2:$FZ$601,298,Sync!$C$10)&amp;"","")&amp;"; "&amp;IFERROR(INDEX(Clay_Offices!$A$2:$FZ$601,298,Sync!$C$9)&amp;"",""))</f>
        <v/>
      </c>
      <c r="K3149" s="32" t="s">
        <v>1365</v>
      </c>
    </row>
    <row r="3150" customFormat="false" ht="15" hidden="false" customHeight="false" outlineLevel="0" collapsed="false">
      <c r="A3150" s="23" t="str">
        <f aca="false">IF(B3150="","",B3150+(14*1000+299)/10000000)</f>
        <v/>
      </c>
      <c r="B3150" s="35" t="str">
        <f aca="false">IF(AND(IFERROR(N(INDEX(Clay_Offices!$A$2:$FZ$601,299,Sync!$C$13)),0)&gt;0,IFERROR(INDEX(Clay_Offices!$A$2:$FZ$601,299,Sync!$C$5)&amp;"","")&lt;&gt;"",OR(LEFT(IFERROR(INDEX(Clay_Offices!$A$2:$FZ$601,299,Sync!$C$5)&amp;"",""),6)&lt;&gt;"SAMPLE",Config!$B$19="Y")),IFERROR(N(INDEX(Clay_Offices!$A$2:$FZ$601,299,Sync!$C$13)),0),"")</f>
        <v/>
      </c>
      <c r="C3150" s="23" t="str">
        <f aca="false">IF(B3150="","","office")</f>
        <v/>
      </c>
      <c r="D3150" s="23" t="str">
        <f aca="false">IF(B3150="","",IFERROR(INDEX(Office_Log!$ED$2:$ED$201,MATCH(IFERROR(INDEX(Clay_Offices!$A$2:$FZ$601,299,Sync!$C$5)&amp;"",""),Office_Log!$A$2:$A$201,0))&amp;"",IFERROR(INDEX(Clay_Offices!$A$2:$FZ$601,299,Sync!$C$5)&amp;"","")&amp;""))</f>
        <v/>
      </c>
      <c r="E3150" s="23" t="str">
        <f aca="false">IF(B3150="","",IFERROR(INDEX(Clay_Offices!$A$2:$FZ$601,299,Sync!$C$6)&amp;"",""))</f>
        <v/>
      </c>
      <c r="F3150" s="23" t="str">
        <f aca="false">IF(B3150="","","outreach_sent")</f>
        <v/>
      </c>
      <c r="G3150" s="23" t="str">
        <f aca="false">IF(B3150="","","")</f>
        <v/>
      </c>
      <c r="H3150" s="23" t="str">
        <f aca="false">IF(B3150="","","")</f>
        <v/>
      </c>
      <c r="I3150" s="23" t="str">
        <f aca="false">IF(B3150="","","")</f>
        <v/>
      </c>
      <c r="J3150" s="23" t="str">
        <f aca="false">IF(B3150="","","touch_3; "&amp;IFERROR(INDEX(Clay_Offices!$A$2:$FZ$601,299,Sync!$C$10)&amp;"","")&amp;"; "&amp;IFERROR(INDEX(Clay_Offices!$A$2:$FZ$601,299,Sync!$C$9)&amp;"",""))</f>
        <v/>
      </c>
      <c r="K3150" s="32" t="s">
        <v>1365</v>
      </c>
    </row>
    <row r="3151" customFormat="false" ht="15" hidden="false" customHeight="false" outlineLevel="0" collapsed="false">
      <c r="A3151" s="23" t="str">
        <f aca="false">IF(B3151="","",B3151+(14*1000+300)/10000000)</f>
        <v/>
      </c>
      <c r="B3151" s="35" t="str">
        <f aca="false">IF(AND(IFERROR(N(INDEX(Clay_Offices!$A$2:$FZ$601,300,Sync!$C$13)),0)&gt;0,IFERROR(INDEX(Clay_Offices!$A$2:$FZ$601,300,Sync!$C$5)&amp;"","")&lt;&gt;"",OR(LEFT(IFERROR(INDEX(Clay_Offices!$A$2:$FZ$601,300,Sync!$C$5)&amp;"",""),6)&lt;&gt;"SAMPLE",Config!$B$19="Y")),IFERROR(N(INDEX(Clay_Offices!$A$2:$FZ$601,300,Sync!$C$13)),0),"")</f>
        <v/>
      </c>
      <c r="C3151" s="23" t="str">
        <f aca="false">IF(B3151="","","office")</f>
        <v/>
      </c>
      <c r="D3151" s="23" t="str">
        <f aca="false">IF(B3151="","",IFERROR(INDEX(Office_Log!$ED$2:$ED$201,MATCH(IFERROR(INDEX(Clay_Offices!$A$2:$FZ$601,300,Sync!$C$5)&amp;"",""),Office_Log!$A$2:$A$201,0))&amp;"",IFERROR(INDEX(Clay_Offices!$A$2:$FZ$601,300,Sync!$C$5)&amp;"","")&amp;""))</f>
        <v/>
      </c>
      <c r="E3151" s="23" t="str">
        <f aca="false">IF(B3151="","",IFERROR(INDEX(Clay_Offices!$A$2:$FZ$601,300,Sync!$C$6)&amp;"",""))</f>
        <v/>
      </c>
      <c r="F3151" s="23" t="str">
        <f aca="false">IF(B3151="","","outreach_sent")</f>
        <v/>
      </c>
      <c r="G3151" s="23" t="str">
        <f aca="false">IF(B3151="","","")</f>
        <v/>
      </c>
      <c r="H3151" s="23" t="str">
        <f aca="false">IF(B3151="","","")</f>
        <v/>
      </c>
      <c r="I3151" s="23" t="str">
        <f aca="false">IF(B3151="","","")</f>
        <v/>
      </c>
      <c r="J3151" s="23" t="str">
        <f aca="false">IF(B3151="","","touch_3; "&amp;IFERROR(INDEX(Clay_Offices!$A$2:$FZ$601,300,Sync!$C$10)&amp;"","")&amp;"; "&amp;IFERROR(INDEX(Clay_Offices!$A$2:$FZ$601,300,Sync!$C$9)&amp;"",""))</f>
        <v/>
      </c>
      <c r="K3151" s="32" t="s">
        <v>1365</v>
      </c>
    </row>
    <row r="3152" customFormat="false" ht="15" hidden="false" customHeight="false" outlineLevel="0" collapsed="false">
      <c r="A3152" s="23" t="str">
        <f aca="false">IF(B3152="","",B3152+(14*1000+301)/10000000)</f>
        <v/>
      </c>
      <c r="B3152" s="35" t="str">
        <f aca="false">IF(AND(IFERROR(N(INDEX(Clay_Offices!$A$2:$FZ$601,301,Sync!$C$13)),0)&gt;0,IFERROR(INDEX(Clay_Offices!$A$2:$FZ$601,301,Sync!$C$5)&amp;"","")&lt;&gt;"",OR(LEFT(IFERROR(INDEX(Clay_Offices!$A$2:$FZ$601,301,Sync!$C$5)&amp;"",""),6)&lt;&gt;"SAMPLE",Config!$B$19="Y")),IFERROR(N(INDEX(Clay_Offices!$A$2:$FZ$601,301,Sync!$C$13)),0),"")</f>
        <v/>
      </c>
      <c r="C3152" s="23" t="str">
        <f aca="false">IF(B3152="","","office")</f>
        <v/>
      </c>
      <c r="D3152" s="23" t="str">
        <f aca="false">IF(B3152="","",IFERROR(INDEX(Office_Log!$ED$2:$ED$201,MATCH(IFERROR(INDEX(Clay_Offices!$A$2:$FZ$601,301,Sync!$C$5)&amp;"",""),Office_Log!$A$2:$A$201,0))&amp;"",IFERROR(INDEX(Clay_Offices!$A$2:$FZ$601,301,Sync!$C$5)&amp;"","")&amp;""))</f>
        <v/>
      </c>
      <c r="E3152" s="23" t="str">
        <f aca="false">IF(B3152="","",IFERROR(INDEX(Clay_Offices!$A$2:$FZ$601,301,Sync!$C$6)&amp;"",""))</f>
        <v/>
      </c>
      <c r="F3152" s="23" t="str">
        <f aca="false">IF(B3152="","","outreach_sent")</f>
        <v/>
      </c>
      <c r="G3152" s="23" t="str">
        <f aca="false">IF(B3152="","","")</f>
        <v/>
      </c>
      <c r="H3152" s="23" t="str">
        <f aca="false">IF(B3152="","","")</f>
        <v/>
      </c>
      <c r="I3152" s="23" t="str">
        <f aca="false">IF(B3152="","","")</f>
        <v/>
      </c>
      <c r="J3152" s="23" t="str">
        <f aca="false">IF(B3152="","","touch_3; "&amp;IFERROR(INDEX(Clay_Offices!$A$2:$FZ$601,301,Sync!$C$10)&amp;"","")&amp;"; "&amp;IFERROR(INDEX(Clay_Offices!$A$2:$FZ$601,301,Sync!$C$9)&amp;"",""))</f>
        <v/>
      </c>
      <c r="K3152" s="32" t="s">
        <v>1365</v>
      </c>
    </row>
    <row r="3153" customFormat="false" ht="15" hidden="false" customHeight="false" outlineLevel="0" collapsed="false">
      <c r="A3153" s="23" t="str">
        <f aca="false">IF(B3153="","",B3153+(14*1000+302)/10000000)</f>
        <v/>
      </c>
      <c r="B3153" s="35" t="str">
        <f aca="false">IF(AND(IFERROR(N(INDEX(Clay_Offices!$A$2:$FZ$601,302,Sync!$C$13)),0)&gt;0,IFERROR(INDEX(Clay_Offices!$A$2:$FZ$601,302,Sync!$C$5)&amp;"","")&lt;&gt;"",OR(LEFT(IFERROR(INDEX(Clay_Offices!$A$2:$FZ$601,302,Sync!$C$5)&amp;"",""),6)&lt;&gt;"SAMPLE",Config!$B$19="Y")),IFERROR(N(INDEX(Clay_Offices!$A$2:$FZ$601,302,Sync!$C$13)),0),"")</f>
        <v/>
      </c>
      <c r="C3153" s="23" t="str">
        <f aca="false">IF(B3153="","","office")</f>
        <v/>
      </c>
      <c r="D3153" s="23" t="str">
        <f aca="false">IF(B3153="","",IFERROR(INDEX(Office_Log!$ED$2:$ED$201,MATCH(IFERROR(INDEX(Clay_Offices!$A$2:$FZ$601,302,Sync!$C$5)&amp;"",""),Office_Log!$A$2:$A$201,0))&amp;"",IFERROR(INDEX(Clay_Offices!$A$2:$FZ$601,302,Sync!$C$5)&amp;"","")&amp;""))</f>
        <v/>
      </c>
      <c r="E3153" s="23" t="str">
        <f aca="false">IF(B3153="","",IFERROR(INDEX(Clay_Offices!$A$2:$FZ$601,302,Sync!$C$6)&amp;"",""))</f>
        <v/>
      </c>
      <c r="F3153" s="23" t="str">
        <f aca="false">IF(B3153="","","outreach_sent")</f>
        <v/>
      </c>
      <c r="G3153" s="23" t="str">
        <f aca="false">IF(B3153="","","")</f>
        <v/>
      </c>
      <c r="H3153" s="23" t="str">
        <f aca="false">IF(B3153="","","")</f>
        <v/>
      </c>
      <c r="I3153" s="23" t="str">
        <f aca="false">IF(B3153="","","")</f>
        <v/>
      </c>
      <c r="J3153" s="23" t="str">
        <f aca="false">IF(B3153="","","touch_3; "&amp;IFERROR(INDEX(Clay_Offices!$A$2:$FZ$601,302,Sync!$C$10)&amp;"","")&amp;"; "&amp;IFERROR(INDEX(Clay_Offices!$A$2:$FZ$601,302,Sync!$C$9)&amp;"",""))</f>
        <v/>
      </c>
      <c r="K3153" s="32" t="s">
        <v>1365</v>
      </c>
    </row>
    <row r="3154" customFormat="false" ht="15" hidden="false" customHeight="false" outlineLevel="0" collapsed="false">
      <c r="A3154" s="23" t="str">
        <f aca="false">IF(B3154="","",B3154+(14*1000+303)/10000000)</f>
        <v/>
      </c>
      <c r="B3154" s="35" t="str">
        <f aca="false">IF(AND(IFERROR(N(INDEX(Clay_Offices!$A$2:$FZ$601,303,Sync!$C$13)),0)&gt;0,IFERROR(INDEX(Clay_Offices!$A$2:$FZ$601,303,Sync!$C$5)&amp;"","")&lt;&gt;"",OR(LEFT(IFERROR(INDEX(Clay_Offices!$A$2:$FZ$601,303,Sync!$C$5)&amp;"",""),6)&lt;&gt;"SAMPLE",Config!$B$19="Y")),IFERROR(N(INDEX(Clay_Offices!$A$2:$FZ$601,303,Sync!$C$13)),0),"")</f>
        <v/>
      </c>
      <c r="C3154" s="23" t="str">
        <f aca="false">IF(B3154="","","office")</f>
        <v/>
      </c>
      <c r="D3154" s="23" t="str">
        <f aca="false">IF(B3154="","",IFERROR(INDEX(Office_Log!$ED$2:$ED$201,MATCH(IFERROR(INDEX(Clay_Offices!$A$2:$FZ$601,303,Sync!$C$5)&amp;"",""),Office_Log!$A$2:$A$201,0))&amp;"",IFERROR(INDEX(Clay_Offices!$A$2:$FZ$601,303,Sync!$C$5)&amp;"","")&amp;""))</f>
        <v/>
      </c>
      <c r="E3154" s="23" t="str">
        <f aca="false">IF(B3154="","",IFERROR(INDEX(Clay_Offices!$A$2:$FZ$601,303,Sync!$C$6)&amp;"",""))</f>
        <v/>
      </c>
      <c r="F3154" s="23" t="str">
        <f aca="false">IF(B3154="","","outreach_sent")</f>
        <v/>
      </c>
      <c r="G3154" s="23" t="str">
        <f aca="false">IF(B3154="","","")</f>
        <v/>
      </c>
      <c r="H3154" s="23" t="str">
        <f aca="false">IF(B3154="","","")</f>
        <v/>
      </c>
      <c r="I3154" s="23" t="str">
        <f aca="false">IF(B3154="","","")</f>
        <v/>
      </c>
      <c r="J3154" s="23" t="str">
        <f aca="false">IF(B3154="","","touch_3; "&amp;IFERROR(INDEX(Clay_Offices!$A$2:$FZ$601,303,Sync!$C$10)&amp;"","")&amp;"; "&amp;IFERROR(INDEX(Clay_Offices!$A$2:$FZ$601,303,Sync!$C$9)&amp;"",""))</f>
        <v/>
      </c>
      <c r="K3154" s="32" t="s">
        <v>1365</v>
      </c>
    </row>
    <row r="3155" customFormat="false" ht="15" hidden="false" customHeight="false" outlineLevel="0" collapsed="false">
      <c r="A3155" s="23" t="str">
        <f aca="false">IF(B3155="","",B3155+(14*1000+304)/10000000)</f>
        <v/>
      </c>
      <c r="B3155" s="35" t="str">
        <f aca="false">IF(AND(IFERROR(N(INDEX(Clay_Offices!$A$2:$FZ$601,304,Sync!$C$13)),0)&gt;0,IFERROR(INDEX(Clay_Offices!$A$2:$FZ$601,304,Sync!$C$5)&amp;"","")&lt;&gt;"",OR(LEFT(IFERROR(INDEX(Clay_Offices!$A$2:$FZ$601,304,Sync!$C$5)&amp;"",""),6)&lt;&gt;"SAMPLE",Config!$B$19="Y")),IFERROR(N(INDEX(Clay_Offices!$A$2:$FZ$601,304,Sync!$C$13)),0),"")</f>
        <v/>
      </c>
      <c r="C3155" s="23" t="str">
        <f aca="false">IF(B3155="","","office")</f>
        <v/>
      </c>
      <c r="D3155" s="23" t="str">
        <f aca="false">IF(B3155="","",IFERROR(INDEX(Office_Log!$ED$2:$ED$201,MATCH(IFERROR(INDEX(Clay_Offices!$A$2:$FZ$601,304,Sync!$C$5)&amp;"",""),Office_Log!$A$2:$A$201,0))&amp;"",IFERROR(INDEX(Clay_Offices!$A$2:$FZ$601,304,Sync!$C$5)&amp;"","")&amp;""))</f>
        <v/>
      </c>
      <c r="E3155" s="23" t="str">
        <f aca="false">IF(B3155="","",IFERROR(INDEX(Clay_Offices!$A$2:$FZ$601,304,Sync!$C$6)&amp;"",""))</f>
        <v/>
      </c>
      <c r="F3155" s="23" t="str">
        <f aca="false">IF(B3155="","","outreach_sent")</f>
        <v/>
      </c>
      <c r="G3155" s="23" t="str">
        <f aca="false">IF(B3155="","","")</f>
        <v/>
      </c>
      <c r="H3155" s="23" t="str">
        <f aca="false">IF(B3155="","","")</f>
        <v/>
      </c>
      <c r="I3155" s="23" t="str">
        <f aca="false">IF(B3155="","","")</f>
        <v/>
      </c>
      <c r="J3155" s="23" t="str">
        <f aca="false">IF(B3155="","","touch_3; "&amp;IFERROR(INDEX(Clay_Offices!$A$2:$FZ$601,304,Sync!$C$10)&amp;"","")&amp;"; "&amp;IFERROR(INDEX(Clay_Offices!$A$2:$FZ$601,304,Sync!$C$9)&amp;"",""))</f>
        <v/>
      </c>
      <c r="K3155" s="32" t="s">
        <v>1365</v>
      </c>
    </row>
    <row r="3156" customFormat="false" ht="15" hidden="false" customHeight="false" outlineLevel="0" collapsed="false">
      <c r="A3156" s="23" t="str">
        <f aca="false">IF(B3156="","",B3156+(14*1000+305)/10000000)</f>
        <v/>
      </c>
      <c r="B3156" s="35" t="str">
        <f aca="false">IF(AND(IFERROR(N(INDEX(Clay_Offices!$A$2:$FZ$601,305,Sync!$C$13)),0)&gt;0,IFERROR(INDEX(Clay_Offices!$A$2:$FZ$601,305,Sync!$C$5)&amp;"","")&lt;&gt;"",OR(LEFT(IFERROR(INDEX(Clay_Offices!$A$2:$FZ$601,305,Sync!$C$5)&amp;"",""),6)&lt;&gt;"SAMPLE",Config!$B$19="Y")),IFERROR(N(INDEX(Clay_Offices!$A$2:$FZ$601,305,Sync!$C$13)),0),"")</f>
        <v/>
      </c>
      <c r="C3156" s="23" t="str">
        <f aca="false">IF(B3156="","","office")</f>
        <v/>
      </c>
      <c r="D3156" s="23" t="str">
        <f aca="false">IF(B3156="","",IFERROR(INDEX(Office_Log!$ED$2:$ED$201,MATCH(IFERROR(INDEX(Clay_Offices!$A$2:$FZ$601,305,Sync!$C$5)&amp;"",""),Office_Log!$A$2:$A$201,0))&amp;"",IFERROR(INDEX(Clay_Offices!$A$2:$FZ$601,305,Sync!$C$5)&amp;"","")&amp;""))</f>
        <v/>
      </c>
      <c r="E3156" s="23" t="str">
        <f aca="false">IF(B3156="","",IFERROR(INDEX(Clay_Offices!$A$2:$FZ$601,305,Sync!$C$6)&amp;"",""))</f>
        <v/>
      </c>
      <c r="F3156" s="23" t="str">
        <f aca="false">IF(B3156="","","outreach_sent")</f>
        <v/>
      </c>
      <c r="G3156" s="23" t="str">
        <f aca="false">IF(B3156="","","")</f>
        <v/>
      </c>
      <c r="H3156" s="23" t="str">
        <f aca="false">IF(B3156="","","")</f>
        <v/>
      </c>
      <c r="I3156" s="23" t="str">
        <f aca="false">IF(B3156="","","")</f>
        <v/>
      </c>
      <c r="J3156" s="23" t="str">
        <f aca="false">IF(B3156="","","touch_3; "&amp;IFERROR(INDEX(Clay_Offices!$A$2:$FZ$601,305,Sync!$C$10)&amp;"","")&amp;"; "&amp;IFERROR(INDEX(Clay_Offices!$A$2:$FZ$601,305,Sync!$C$9)&amp;"",""))</f>
        <v/>
      </c>
      <c r="K3156" s="32" t="s">
        <v>1365</v>
      </c>
    </row>
    <row r="3157" customFormat="false" ht="15" hidden="false" customHeight="false" outlineLevel="0" collapsed="false">
      <c r="A3157" s="23" t="str">
        <f aca="false">IF(B3157="","",B3157+(14*1000+306)/10000000)</f>
        <v/>
      </c>
      <c r="B3157" s="35" t="str">
        <f aca="false">IF(AND(IFERROR(N(INDEX(Clay_Offices!$A$2:$FZ$601,306,Sync!$C$13)),0)&gt;0,IFERROR(INDEX(Clay_Offices!$A$2:$FZ$601,306,Sync!$C$5)&amp;"","")&lt;&gt;"",OR(LEFT(IFERROR(INDEX(Clay_Offices!$A$2:$FZ$601,306,Sync!$C$5)&amp;"",""),6)&lt;&gt;"SAMPLE",Config!$B$19="Y")),IFERROR(N(INDEX(Clay_Offices!$A$2:$FZ$601,306,Sync!$C$13)),0),"")</f>
        <v/>
      </c>
      <c r="C3157" s="23" t="str">
        <f aca="false">IF(B3157="","","office")</f>
        <v/>
      </c>
      <c r="D3157" s="23" t="str">
        <f aca="false">IF(B3157="","",IFERROR(INDEX(Office_Log!$ED$2:$ED$201,MATCH(IFERROR(INDEX(Clay_Offices!$A$2:$FZ$601,306,Sync!$C$5)&amp;"",""),Office_Log!$A$2:$A$201,0))&amp;"",IFERROR(INDEX(Clay_Offices!$A$2:$FZ$601,306,Sync!$C$5)&amp;"","")&amp;""))</f>
        <v/>
      </c>
      <c r="E3157" s="23" t="str">
        <f aca="false">IF(B3157="","",IFERROR(INDEX(Clay_Offices!$A$2:$FZ$601,306,Sync!$C$6)&amp;"",""))</f>
        <v/>
      </c>
      <c r="F3157" s="23" t="str">
        <f aca="false">IF(B3157="","","outreach_sent")</f>
        <v/>
      </c>
      <c r="G3157" s="23" t="str">
        <f aca="false">IF(B3157="","","")</f>
        <v/>
      </c>
      <c r="H3157" s="23" t="str">
        <f aca="false">IF(B3157="","","")</f>
        <v/>
      </c>
      <c r="I3157" s="23" t="str">
        <f aca="false">IF(B3157="","","")</f>
        <v/>
      </c>
      <c r="J3157" s="23" t="str">
        <f aca="false">IF(B3157="","","touch_3; "&amp;IFERROR(INDEX(Clay_Offices!$A$2:$FZ$601,306,Sync!$C$10)&amp;"","")&amp;"; "&amp;IFERROR(INDEX(Clay_Offices!$A$2:$FZ$601,306,Sync!$C$9)&amp;"",""))</f>
        <v/>
      </c>
      <c r="K3157" s="32" t="s">
        <v>1365</v>
      </c>
    </row>
    <row r="3158" customFormat="false" ht="15" hidden="false" customHeight="false" outlineLevel="0" collapsed="false">
      <c r="A3158" s="23" t="str">
        <f aca="false">IF(B3158="","",B3158+(14*1000+307)/10000000)</f>
        <v/>
      </c>
      <c r="B3158" s="35" t="str">
        <f aca="false">IF(AND(IFERROR(N(INDEX(Clay_Offices!$A$2:$FZ$601,307,Sync!$C$13)),0)&gt;0,IFERROR(INDEX(Clay_Offices!$A$2:$FZ$601,307,Sync!$C$5)&amp;"","")&lt;&gt;"",OR(LEFT(IFERROR(INDEX(Clay_Offices!$A$2:$FZ$601,307,Sync!$C$5)&amp;"",""),6)&lt;&gt;"SAMPLE",Config!$B$19="Y")),IFERROR(N(INDEX(Clay_Offices!$A$2:$FZ$601,307,Sync!$C$13)),0),"")</f>
        <v/>
      </c>
      <c r="C3158" s="23" t="str">
        <f aca="false">IF(B3158="","","office")</f>
        <v/>
      </c>
      <c r="D3158" s="23" t="str">
        <f aca="false">IF(B3158="","",IFERROR(INDEX(Office_Log!$ED$2:$ED$201,MATCH(IFERROR(INDEX(Clay_Offices!$A$2:$FZ$601,307,Sync!$C$5)&amp;"",""),Office_Log!$A$2:$A$201,0))&amp;"",IFERROR(INDEX(Clay_Offices!$A$2:$FZ$601,307,Sync!$C$5)&amp;"","")&amp;""))</f>
        <v/>
      </c>
      <c r="E3158" s="23" t="str">
        <f aca="false">IF(B3158="","",IFERROR(INDEX(Clay_Offices!$A$2:$FZ$601,307,Sync!$C$6)&amp;"",""))</f>
        <v/>
      </c>
      <c r="F3158" s="23" t="str">
        <f aca="false">IF(B3158="","","outreach_sent")</f>
        <v/>
      </c>
      <c r="G3158" s="23" t="str">
        <f aca="false">IF(B3158="","","")</f>
        <v/>
      </c>
      <c r="H3158" s="23" t="str">
        <f aca="false">IF(B3158="","","")</f>
        <v/>
      </c>
      <c r="I3158" s="23" t="str">
        <f aca="false">IF(B3158="","","")</f>
        <v/>
      </c>
      <c r="J3158" s="23" t="str">
        <f aca="false">IF(B3158="","","touch_3; "&amp;IFERROR(INDEX(Clay_Offices!$A$2:$FZ$601,307,Sync!$C$10)&amp;"","")&amp;"; "&amp;IFERROR(INDEX(Clay_Offices!$A$2:$FZ$601,307,Sync!$C$9)&amp;"",""))</f>
        <v/>
      </c>
      <c r="K3158" s="32" t="s">
        <v>1365</v>
      </c>
    </row>
    <row r="3159" customFormat="false" ht="15" hidden="false" customHeight="false" outlineLevel="0" collapsed="false">
      <c r="A3159" s="23" t="str">
        <f aca="false">IF(B3159="","",B3159+(14*1000+308)/10000000)</f>
        <v/>
      </c>
      <c r="B3159" s="35" t="str">
        <f aca="false">IF(AND(IFERROR(N(INDEX(Clay_Offices!$A$2:$FZ$601,308,Sync!$C$13)),0)&gt;0,IFERROR(INDEX(Clay_Offices!$A$2:$FZ$601,308,Sync!$C$5)&amp;"","")&lt;&gt;"",OR(LEFT(IFERROR(INDEX(Clay_Offices!$A$2:$FZ$601,308,Sync!$C$5)&amp;"",""),6)&lt;&gt;"SAMPLE",Config!$B$19="Y")),IFERROR(N(INDEX(Clay_Offices!$A$2:$FZ$601,308,Sync!$C$13)),0),"")</f>
        <v/>
      </c>
      <c r="C3159" s="23" t="str">
        <f aca="false">IF(B3159="","","office")</f>
        <v/>
      </c>
      <c r="D3159" s="23" t="str">
        <f aca="false">IF(B3159="","",IFERROR(INDEX(Office_Log!$ED$2:$ED$201,MATCH(IFERROR(INDEX(Clay_Offices!$A$2:$FZ$601,308,Sync!$C$5)&amp;"",""),Office_Log!$A$2:$A$201,0))&amp;"",IFERROR(INDEX(Clay_Offices!$A$2:$FZ$601,308,Sync!$C$5)&amp;"","")&amp;""))</f>
        <v/>
      </c>
      <c r="E3159" s="23" t="str">
        <f aca="false">IF(B3159="","",IFERROR(INDEX(Clay_Offices!$A$2:$FZ$601,308,Sync!$C$6)&amp;"",""))</f>
        <v/>
      </c>
      <c r="F3159" s="23" t="str">
        <f aca="false">IF(B3159="","","outreach_sent")</f>
        <v/>
      </c>
      <c r="G3159" s="23" t="str">
        <f aca="false">IF(B3159="","","")</f>
        <v/>
      </c>
      <c r="H3159" s="23" t="str">
        <f aca="false">IF(B3159="","","")</f>
        <v/>
      </c>
      <c r="I3159" s="23" t="str">
        <f aca="false">IF(B3159="","","")</f>
        <v/>
      </c>
      <c r="J3159" s="23" t="str">
        <f aca="false">IF(B3159="","","touch_3; "&amp;IFERROR(INDEX(Clay_Offices!$A$2:$FZ$601,308,Sync!$C$10)&amp;"","")&amp;"; "&amp;IFERROR(INDEX(Clay_Offices!$A$2:$FZ$601,308,Sync!$C$9)&amp;"",""))</f>
        <v/>
      </c>
      <c r="K3159" s="32" t="s">
        <v>1365</v>
      </c>
    </row>
    <row r="3160" customFormat="false" ht="15" hidden="false" customHeight="false" outlineLevel="0" collapsed="false">
      <c r="A3160" s="23" t="str">
        <f aca="false">IF(B3160="","",B3160+(14*1000+309)/10000000)</f>
        <v/>
      </c>
      <c r="B3160" s="35" t="str">
        <f aca="false">IF(AND(IFERROR(N(INDEX(Clay_Offices!$A$2:$FZ$601,309,Sync!$C$13)),0)&gt;0,IFERROR(INDEX(Clay_Offices!$A$2:$FZ$601,309,Sync!$C$5)&amp;"","")&lt;&gt;"",OR(LEFT(IFERROR(INDEX(Clay_Offices!$A$2:$FZ$601,309,Sync!$C$5)&amp;"",""),6)&lt;&gt;"SAMPLE",Config!$B$19="Y")),IFERROR(N(INDEX(Clay_Offices!$A$2:$FZ$601,309,Sync!$C$13)),0),"")</f>
        <v/>
      </c>
      <c r="C3160" s="23" t="str">
        <f aca="false">IF(B3160="","","office")</f>
        <v/>
      </c>
      <c r="D3160" s="23" t="str">
        <f aca="false">IF(B3160="","",IFERROR(INDEX(Office_Log!$ED$2:$ED$201,MATCH(IFERROR(INDEX(Clay_Offices!$A$2:$FZ$601,309,Sync!$C$5)&amp;"",""),Office_Log!$A$2:$A$201,0))&amp;"",IFERROR(INDEX(Clay_Offices!$A$2:$FZ$601,309,Sync!$C$5)&amp;"","")&amp;""))</f>
        <v/>
      </c>
      <c r="E3160" s="23" t="str">
        <f aca="false">IF(B3160="","",IFERROR(INDEX(Clay_Offices!$A$2:$FZ$601,309,Sync!$C$6)&amp;"",""))</f>
        <v/>
      </c>
      <c r="F3160" s="23" t="str">
        <f aca="false">IF(B3160="","","outreach_sent")</f>
        <v/>
      </c>
      <c r="G3160" s="23" t="str">
        <f aca="false">IF(B3160="","","")</f>
        <v/>
      </c>
      <c r="H3160" s="23" t="str">
        <f aca="false">IF(B3160="","","")</f>
        <v/>
      </c>
      <c r="I3160" s="23" t="str">
        <f aca="false">IF(B3160="","","")</f>
        <v/>
      </c>
      <c r="J3160" s="23" t="str">
        <f aca="false">IF(B3160="","","touch_3; "&amp;IFERROR(INDEX(Clay_Offices!$A$2:$FZ$601,309,Sync!$C$10)&amp;"","")&amp;"; "&amp;IFERROR(INDEX(Clay_Offices!$A$2:$FZ$601,309,Sync!$C$9)&amp;"",""))</f>
        <v/>
      </c>
      <c r="K3160" s="32" t="s">
        <v>1365</v>
      </c>
    </row>
    <row r="3161" customFormat="false" ht="15" hidden="false" customHeight="false" outlineLevel="0" collapsed="false">
      <c r="A3161" s="23" t="str">
        <f aca="false">IF(B3161="","",B3161+(14*1000+310)/10000000)</f>
        <v/>
      </c>
      <c r="B3161" s="35" t="str">
        <f aca="false">IF(AND(IFERROR(N(INDEX(Clay_Offices!$A$2:$FZ$601,310,Sync!$C$13)),0)&gt;0,IFERROR(INDEX(Clay_Offices!$A$2:$FZ$601,310,Sync!$C$5)&amp;"","")&lt;&gt;"",OR(LEFT(IFERROR(INDEX(Clay_Offices!$A$2:$FZ$601,310,Sync!$C$5)&amp;"",""),6)&lt;&gt;"SAMPLE",Config!$B$19="Y")),IFERROR(N(INDEX(Clay_Offices!$A$2:$FZ$601,310,Sync!$C$13)),0),"")</f>
        <v/>
      </c>
      <c r="C3161" s="23" t="str">
        <f aca="false">IF(B3161="","","office")</f>
        <v/>
      </c>
      <c r="D3161" s="23" t="str">
        <f aca="false">IF(B3161="","",IFERROR(INDEX(Office_Log!$ED$2:$ED$201,MATCH(IFERROR(INDEX(Clay_Offices!$A$2:$FZ$601,310,Sync!$C$5)&amp;"",""),Office_Log!$A$2:$A$201,0))&amp;"",IFERROR(INDEX(Clay_Offices!$A$2:$FZ$601,310,Sync!$C$5)&amp;"","")&amp;""))</f>
        <v/>
      </c>
      <c r="E3161" s="23" t="str">
        <f aca="false">IF(B3161="","",IFERROR(INDEX(Clay_Offices!$A$2:$FZ$601,310,Sync!$C$6)&amp;"",""))</f>
        <v/>
      </c>
      <c r="F3161" s="23" t="str">
        <f aca="false">IF(B3161="","","outreach_sent")</f>
        <v/>
      </c>
      <c r="G3161" s="23" t="str">
        <f aca="false">IF(B3161="","","")</f>
        <v/>
      </c>
      <c r="H3161" s="23" t="str">
        <f aca="false">IF(B3161="","","")</f>
        <v/>
      </c>
      <c r="I3161" s="23" t="str">
        <f aca="false">IF(B3161="","","")</f>
        <v/>
      </c>
      <c r="J3161" s="23" t="str">
        <f aca="false">IF(B3161="","","touch_3; "&amp;IFERROR(INDEX(Clay_Offices!$A$2:$FZ$601,310,Sync!$C$10)&amp;"","")&amp;"; "&amp;IFERROR(INDEX(Clay_Offices!$A$2:$FZ$601,310,Sync!$C$9)&amp;"",""))</f>
        <v/>
      </c>
      <c r="K3161" s="32" t="s">
        <v>1365</v>
      </c>
    </row>
    <row r="3162" customFormat="false" ht="15" hidden="false" customHeight="false" outlineLevel="0" collapsed="false">
      <c r="A3162" s="23" t="str">
        <f aca="false">IF(B3162="","",B3162+(14*1000+311)/10000000)</f>
        <v/>
      </c>
      <c r="B3162" s="35" t="str">
        <f aca="false">IF(AND(IFERROR(N(INDEX(Clay_Offices!$A$2:$FZ$601,311,Sync!$C$13)),0)&gt;0,IFERROR(INDEX(Clay_Offices!$A$2:$FZ$601,311,Sync!$C$5)&amp;"","")&lt;&gt;"",OR(LEFT(IFERROR(INDEX(Clay_Offices!$A$2:$FZ$601,311,Sync!$C$5)&amp;"",""),6)&lt;&gt;"SAMPLE",Config!$B$19="Y")),IFERROR(N(INDEX(Clay_Offices!$A$2:$FZ$601,311,Sync!$C$13)),0),"")</f>
        <v/>
      </c>
      <c r="C3162" s="23" t="str">
        <f aca="false">IF(B3162="","","office")</f>
        <v/>
      </c>
      <c r="D3162" s="23" t="str">
        <f aca="false">IF(B3162="","",IFERROR(INDEX(Office_Log!$ED$2:$ED$201,MATCH(IFERROR(INDEX(Clay_Offices!$A$2:$FZ$601,311,Sync!$C$5)&amp;"",""),Office_Log!$A$2:$A$201,0))&amp;"",IFERROR(INDEX(Clay_Offices!$A$2:$FZ$601,311,Sync!$C$5)&amp;"","")&amp;""))</f>
        <v/>
      </c>
      <c r="E3162" s="23" t="str">
        <f aca="false">IF(B3162="","",IFERROR(INDEX(Clay_Offices!$A$2:$FZ$601,311,Sync!$C$6)&amp;"",""))</f>
        <v/>
      </c>
      <c r="F3162" s="23" t="str">
        <f aca="false">IF(B3162="","","outreach_sent")</f>
        <v/>
      </c>
      <c r="G3162" s="23" t="str">
        <f aca="false">IF(B3162="","","")</f>
        <v/>
      </c>
      <c r="H3162" s="23" t="str">
        <f aca="false">IF(B3162="","","")</f>
        <v/>
      </c>
      <c r="I3162" s="23" t="str">
        <f aca="false">IF(B3162="","","")</f>
        <v/>
      </c>
      <c r="J3162" s="23" t="str">
        <f aca="false">IF(B3162="","","touch_3; "&amp;IFERROR(INDEX(Clay_Offices!$A$2:$FZ$601,311,Sync!$C$10)&amp;"","")&amp;"; "&amp;IFERROR(INDEX(Clay_Offices!$A$2:$FZ$601,311,Sync!$C$9)&amp;"",""))</f>
        <v/>
      </c>
      <c r="K3162" s="32" t="s">
        <v>1365</v>
      </c>
    </row>
    <row r="3163" customFormat="false" ht="15" hidden="false" customHeight="false" outlineLevel="0" collapsed="false">
      <c r="A3163" s="23" t="str">
        <f aca="false">IF(B3163="","",B3163+(14*1000+312)/10000000)</f>
        <v/>
      </c>
      <c r="B3163" s="35" t="str">
        <f aca="false">IF(AND(IFERROR(N(INDEX(Clay_Offices!$A$2:$FZ$601,312,Sync!$C$13)),0)&gt;0,IFERROR(INDEX(Clay_Offices!$A$2:$FZ$601,312,Sync!$C$5)&amp;"","")&lt;&gt;"",OR(LEFT(IFERROR(INDEX(Clay_Offices!$A$2:$FZ$601,312,Sync!$C$5)&amp;"",""),6)&lt;&gt;"SAMPLE",Config!$B$19="Y")),IFERROR(N(INDEX(Clay_Offices!$A$2:$FZ$601,312,Sync!$C$13)),0),"")</f>
        <v/>
      </c>
      <c r="C3163" s="23" t="str">
        <f aca="false">IF(B3163="","","office")</f>
        <v/>
      </c>
      <c r="D3163" s="23" t="str">
        <f aca="false">IF(B3163="","",IFERROR(INDEX(Office_Log!$ED$2:$ED$201,MATCH(IFERROR(INDEX(Clay_Offices!$A$2:$FZ$601,312,Sync!$C$5)&amp;"",""),Office_Log!$A$2:$A$201,0))&amp;"",IFERROR(INDEX(Clay_Offices!$A$2:$FZ$601,312,Sync!$C$5)&amp;"","")&amp;""))</f>
        <v/>
      </c>
      <c r="E3163" s="23" t="str">
        <f aca="false">IF(B3163="","",IFERROR(INDEX(Clay_Offices!$A$2:$FZ$601,312,Sync!$C$6)&amp;"",""))</f>
        <v/>
      </c>
      <c r="F3163" s="23" t="str">
        <f aca="false">IF(B3163="","","outreach_sent")</f>
        <v/>
      </c>
      <c r="G3163" s="23" t="str">
        <f aca="false">IF(B3163="","","")</f>
        <v/>
      </c>
      <c r="H3163" s="23" t="str">
        <f aca="false">IF(B3163="","","")</f>
        <v/>
      </c>
      <c r="I3163" s="23" t="str">
        <f aca="false">IF(B3163="","","")</f>
        <v/>
      </c>
      <c r="J3163" s="23" t="str">
        <f aca="false">IF(B3163="","","touch_3; "&amp;IFERROR(INDEX(Clay_Offices!$A$2:$FZ$601,312,Sync!$C$10)&amp;"","")&amp;"; "&amp;IFERROR(INDEX(Clay_Offices!$A$2:$FZ$601,312,Sync!$C$9)&amp;"",""))</f>
        <v/>
      </c>
      <c r="K3163" s="32" t="s">
        <v>1365</v>
      </c>
    </row>
    <row r="3164" customFormat="false" ht="15" hidden="false" customHeight="false" outlineLevel="0" collapsed="false">
      <c r="A3164" s="23" t="str">
        <f aca="false">IF(B3164="","",B3164+(14*1000+313)/10000000)</f>
        <v/>
      </c>
      <c r="B3164" s="35" t="str">
        <f aca="false">IF(AND(IFERROR(N(INDEX(Clay_Offices!$A$2:$FZ$601,313,Sync!$C$13)),0)&gt;0,IFERROR(INDEX(Clay_Offices!$A$2:$FZ$601,313,Sync!$C$5)&amp;"","")&lt;&gt;"",OR(LEFT(IFERROR(INDEX(Clay_Offices!$A$2:$FZ$601,313,Sync!$C$5)&amp;"",""),6)&lt;&gt;"SAMPLE",Config!$B$19="Y")),IFERROR(N(INDEX(Clay_Offices!$A$2:$FZ$601,313,Sync!$C$13)),0),"")</f>
        <v/>
      </c>
      <c r="C3164" s="23" t="str">
        <f aca="false">IF(B3164="","","office")</f>
        <v/>
      </c>
      <c r="D3164" s="23" t="str">
        <f aca="false">IF(B3164="","",IFERROR(INDEX(Office_Log!$ED$2:$ED$201,MATCH(IFERROR(INDEX(Clay_Offices!$A$2:$FZ$601,313,Sync!$C$5)&amp;"",""),Office_Log!$A$2:$A$201,0))&amp;"",IFERROR(INDEX(Clay_Offices!$A$2:$FZ$601,313,Sync!$C$5)&amp;"","")&amp;""))</f>
        <v/>
      </c>
      <c r="E3164" s="23" t="str">
        <f aca="false">IF(B3164="","",IFERROR(INDEX(Clay_Offices!$A$2:$FZ$601,313,Sync!$C$6)&amp;"",""))</f>
        <v/>
      </c>
      <c r="F3164" s="23" t="str">
        <f aca="false">IF(B3164="","","outreach_sent")</f>
        <v/>
      </c>
      <c r="G3164" s="23" t="str">
        <f aca="false">IF(B3164="","","")</f>
        <v/>
      </c>
      <c r="H3164" s="23" t="str">
        <f aca="false">IF(B3164="","","")</f>
        <v/>
      </c>
      <c r="I3164" s="23" t="str">
        <f aca="false">IF(B3164="","","")</f>
        <v/>
      </c>
      <c r="J3164" s="23" t="str">
        <f aca="false">IF(B3164="","","touch_3; "&amp;IFERROR(INDEX(Clay_Offices!$A$2:$FZ$601,313,Sync!$C$10)&amp;"","")&amp;"; "&amp;IFERROR(INDEX(Clay_Offices!$A$2:$FZ$601,313,Sync!$C$9)&amp;"",""))</f>
        <v/>
      </c>
      <c r="K3164" s="32" t="s">
        <v>1365</v>
      </c>
    </row>
    <row r="3165" customFormat="false" ht="15" hidden="false" customHeight="false" outlineLevel="0" collapsed="false">
      <c r="A3165" s="23" t="str">
        <f aca="false">IF(B3165="","",B3165+(14*1000+314)/10000000)</f>
        <v/>
      </c>
      <c r="B3165" s="35" t="str">
        <f aca="false">IF(AND(IFERROR(N(INDEX(Clay_Offices!$A$2:$FZ$601,314,Sync!$C$13)),0)&gt;0,IFERROR(INDEX(Clay_Offices!$A$2:$FZ$601,314,Sync!$C$5)&amp;"","")&lt;&gt;"",OR(LEFT(IFERROR(INDEX(Clay_Offices!$A$2:$FZ$601,314,Sync!$C$5)&amp;"",""),6)&lt;&gt;"SAMPLE",Config!$B$19="Y")),IFERROR(N(INDEX(Clay_Offices!$A$2:$FZ$601,314,Sync!$C$13)),0),"")</f>
        <v/>
      </c>
      <c r="C3165" s="23" t="str">
        <f aca="false">IF(B3165="","","office")</f>
        <v/>
      </c>
      <c r="D3165" s="23" t="str">
        <f aca="false">IF(B3165="","",IFERROR(INDEX(Office_Log!$ED$2:$ED$201,MATCH(IFERROR(INDEX(Clay_Offices!$A$2:$FZ$601,314,Sync!$C$5)&amp;"",""),Office_Log!$A$2:$A$201,0))&amp;"",IFERROR(INDEX(Clay_Offices!$A$2:$FZ$601,314,Sync!$C$5)&amp;"","")&amp;""))</f>
        <v/>
      </c>
      <c r="E3165" s="23" t="str">
        <f aca="false">IF(B3165="","",IFERROR(INDEX(Clay_Offices!$A$2:$FZ$601,314,Sync!$C$6)&amp;"",""))</f>
        <v/>
      </c>
      <c r="F3165" s="23" t="str">
        <f aca="false">IF(B3165="","","outreach_sent")</f>
        <v/>
      </c>
      <c r="G3165" s="23" t="str">
        <f aca="false">IF(B3165="","","")</f>
        <v/>
      </c>
      <c r="H3165" s="23" t="str">
        <f aca="false">IF(B3165="","","")</f>
        <v/>
      </c>
      <c r="I3165" s="23" t="str">
        <f aca="false">IF(B3165="","","")</f>
        <v/>
      </c>
      <c r="J3165" s="23" t="str">
        <f aca="false">IF(B3165="","","touch_3; "&amp;IFERROR(INDEX(Clay_Offices!$A$2:$FZ$601,314,Sync!$C$10)&amp;"","")&amp;"; "&amp;IFERROR(INDEX(Clay_Offices!$A$2:$FZ$601,314,Sync!$C$9)&amp;"",""))</f>
        <v/>
      </c>
      <c r="K3165" s="32" t="s">
        <v>1365</v>
      </c>
    </row>
    <row r="3166" customFormat="false" ht="15" hidden="false" customHeight="false" outlineLevel="0" collapsed="false">
      <c r="A3166" s="23" t="str">
        <f aca="false">IF(B3166="","",B3166+(14*1000+315)/10000000)</f>
        <v/>
      </c>
      <c r="B3166" s="35" t="str">
        <f aca="false">IF(AND(IFERROR(N(INDEX(Clay_Offices!$A$2:$FZ$601,315,Sync!$C$13)),0)&gt;0,IFERROR(INDEX(Clay_Offices!$A$2:$FZ$601,315,Sync!$C$5)&amp;"","")&lt;&gt;"",OR(LEFT(IFERROR(INDEX(Clay_Offices!$A$2:$FZ$601,315,Sync!$C$5)&amp;"",""),6)&lt;&gt;"SAMPLE",Config!$B$19="Y")),IFERROR(N(INDEX(Clay_Offices!$A$2:$FZ$601,315,Sync!$C$13)),0),"")</f>
        <v/>
      </c>
      <c r="C3166" s="23" t="str">
        <f aca="false">IF(B3166="","","office")</f>
        <v/>
      </c>
      <c r="D3166" s="23" t="str">
        <f aca="false">IF(B3166="","",IFERROR(INDEX(Office_Log!$ED$2:$ED$201,MATCH(IFERROR(INDEX(Clay_Offices!$A$2:$FZ$601,315,Sync!$C$5)&amp;"",""),Office_Log!$A$2:$A$201,0))&amp;"",IFERROR(INDEX(Clay_Offices!$A$2:$FZ$601,315,Sync!$C$5)&amp;"","")&amp;""))</f>
        <v/>
      </c>
      <c r="E3166" s="23" t="str">
        <f aca="false">IF(B3166="","",IFERROR(INDEX(Clay_Offices!$A$2:$FZ$601,315,Sync!$C$6)&amp;"",""))</f>
        <v/>
      </c>
      <c r="F3166" s="23" t="str">
        <f aca="false">IF(B3166="","","outreach_sent")</f>
        <v/>
      </c>
      <c r="G3166" s="23" t="str">
        <f aca="false">IF(B3166="","","")</f>
        <v/>
      </c>
      <c r="H3166" s="23" t="str">
        <f aca="false">IF(B3166="","","")</f>
        <v/>
      </c>
      <c r="I3166" s="23" t="str">
        <f aca="false">IF(B3166="","","")</f>
        <v/>
      </c>
      <c r="J3166" s="23" t="str">
        <f aca="false">IF(B3166="","","touch_3; "&amp;IFERROR(INDEX(Clay_Offices!$A$2:$FZ$601,315,Sync!$C$10)&amp;"","")&amp;"; "&amp;IFERROR(INDEX(Clay_Offices!$A$2:$FZ$601,315,Sync!$C$9)&amp;"",""))</f>
        <v/>
      </c>
      <c r="K3166" s="32" t="s">
        <v>1365</v>
      </c>
    </row>
    <row r="3167" customFormat="false" ht="15" hidden="false" customHeight="false" outlineLevel="0" collapsed="false">
      <c r="A3167" s="23" t="str">
        <f aca="false">IF(B3167="","",B3167+(14*1000+316)/10000000)</f>
        <v/>
      </c>
      <c r="B3167" s="35" t="str">
        <f aca="false">IF(AND(IFERROR(N(INDEX(Clay_Offices!$A$2:$FZ$601,316,Sync!$C$13)),0)&gt;0,IFERROR(INDEX(Clay_Offices!$A$2:$FZ$601,316,Sync!$C$5)&amp;"","")&lt;&gt;"",OR(LEFT(IFERROR(INDEX(Clay_Offices!$A$2:$FZ$601,316,Sync!$C$5)&amp;"",""),6)&lt;&gt;"SAMPLE",Config!$B$19="Y")),IFERROR(N(INDEX(Clay_Offices!$A$2:$FZ$601,316,Sync!$C$13)),0),"")</f>
        <v/>
      </c>
      <c r="C3167" s="23" t="str">
        <f aca="false">IF(B3167="","","office")</f>
        <v/>
      </c>
      <c r="D3167" s="23" t="str">
        <f aca="false">IF(B3167="","",IFERROR(INDEX(Office_Log!$ED$2:$ED$201,MATCH(IFERROR(INDEX(Clay_Offices!$A$2:$FZ$601,316,Sync!$C$5)&amp;"",""),Office_Log!$A$2:$A$201,0))&amp;"",IFERROR(INDEX(Clay_Offices!$A$2:$FZ$601,316,Sync!$C$5)&amp;"","")&amp;""))</f>
        <v/>
      </c>
      <c r="E3167" s="23" t="str">
        <f aca="false">IF(B3167="","",IFERROR(INDEX(Clay_Offices!$A$2:$FZ$601,316,Sync!$C$6)&amp;"",""))</f>
        <v/>
      </c>
      <c r="F3167" s="23" t="str">
        <f aca="false">IF(B3167="","","outreach_sent")</f>
        <v/>
      </c>
      <c r="G3167" s="23" t="str">
        <f aca="false">IF(B3167="","","")</f>
        <v/>
      </c>
      <c r="H3167" s="23" t="str">
        <f aca="false">IF(B3167="","","")</f>
        <v/>
      </c>
      <c r="I3167" s="23" t="str">
        <f aca="false">IF(B3167="","","")</f>
        <v/>
      </c>
      <c r="J3167" s="23" t="str">
        <f aca="false">IF(B3167="","","touch_3; "&amp;IFERROR(INDEX(Clay_Offices!$A$2:$FZ$601,316,Sync!$C$10)&amp;"","")&amp;"; "&amp;IFERROR(INDEX(Clay_Offices!$A$2:$FZ$601,316,Sync!$C$9)&amp;"",""))</f>
        <v/>
      </c>
      <c r="K3167" s="32" t="s">
        <v>1365</v>
      </c>
    </row>
    <row r="3168" customFormat="false" ht="15" hidden="false" customHeight="false" outlineLevel="0" collapsed="false">
      <c r="A3168" s="23" t="str">
        <f aca="false">IF(B3168="","",B3168+(14*1000+317)/10000000)</f>
        <v/>
      </c>
      <c r="B3168" s="35" t="str">
        <f aca="false">IF(AND(IFERROR(N(INDEX(Clay_Offices!$A$2:$FZ$601,317,Sync!$C$13)),0)&gt;0,IFERROR(INDEX(Clay_Offices!$A$2:$FZ$601,317,Sync!$C$5)&amp;"","")&lt;&gt;"",OR(LEFT(IFERROR(INDEX(Clay_Offices!$A$2:$FZ$601,317,Sync!$C$5)&amp;"",""),6)&lt;&gt;"SAMPLE",Config!$B$19="Y")),IFERROR(N(INDEX(Clay_Offices!$A$2:$FZ$601,317,Sync!$C$13)),0),"")</f>
        <v/>
      </c>
      <c r="C3168" s="23" t="str">
        <f aca="false">IF(B3168="","","office")</f>
        <v/>
      </c>
      <c r="D3168" s="23" t="str">
        <f aca="false">IF(B3168="","",IFERROR(INDEX(Office_Log!$ED$2:$ED$201,MATCH(IFERROR(INDEX(Clay_Offices!$A$2:$FZ$601,317,Sync!$C$5)&amp;"",""),Office_Log!$A$2:$A$201,0))&amp;"",IFERROR(INDEX(Clay_Offices!$A$2:$FZ$601,317,Sync!$C$5)&amp;"","")&amp;""))</f>
        <v/>
      </c>
      <c r="E3168" s="23" t="str">
        <f aca="false">IF(B3168="","",IFERROR(INDEX(Clay_Offices!$A$2:$FZ$601,317,Sync!$C$6)&amp;"",""))</f>
        <v/>
      </c>
      <c r="F3168" s="23" t="str">
        <f aca="false">IF(B3168="","","outreach_sent")</f>
        <v/>
      </c>
      <c r="G3168" s="23" t="str">
        <f aca="false">IF(B3168="","","")</f>
        <v/>
      </c>
      <c r="H3168" s="23" t="str">
        <f aca="false">IF(B3168="","","")</f>
        <v/>
      </c>
      <c r="I3168" s="23" t="str">
        <f aca="false">IF(B3168="","","")</f>
        <v/>
      </c>
      <c r="J3168" s="23" t="str">
        <f aca="false">IF(B3168="","","touch_3; "&amp;IFERROR(INDEX(Clay_Offices!$A$2:$FZ$601,317,Sync!$C$10)&amp;"","")&amp;"; "&amp;IFERROR(INDEX(Clay_Offices!$A$2:$FZ$601,317,Sync!$C$9)&amp;"",""))</f>
        <v/>
      </c>
      <c r="K3168" s="32" t="s">
        <v>1365</v>
      </c>
    </row>
    <row r="3169" customFormat="false" ht="15" hidden="false" customHeight="false" outlineLevel="0" collapsed="false">
      <c r="A3169" s="23" t="str">
        <f aca="false">IF(B3169="","",B3169+(14*1000+318)/10000000)</f>
        <v/>
      </c>
      <c r="B3169" s="35" t="str">
        <f aca="false">IF(AND(IFERROR(N(INDEX(Clay_Offices!$A$2:$FZ$601,318,Sync!$C$13)),0)&gt;0,IFERROR(INDEX(Clay_Offices!$A$2:$FZ$601,318,Sync!$C$5)&amp;"","")&lt;&gt;"",OR(LEFT(IFERROR(INDEX(Clay_Offices!$A$2:$FZ$601,318,Sync!$C$5)&amp;"",""),6)&lt;&gt;"SAMPLE",Config!$B$19="Y")),IFERROR(N(INDEX(Clay_Offices!$A$2:$FZ$601,318,Sync!$C$13)),0),"")</f>
        <v/>
      </c>
      <c r="C3169" s="23" t="str">
        <f aca="false">IF(B3169="","","office")</f>
        <v/>
      </c>
      <c r="D3169" s="23" t="str">
        <f aca="false">IF(B3169="","",IFERROR(INDEX(Office_Log!$ED$2:$ED$201,MATCH(IFERROR(INDEX(Clay_Offices!$A$2:$FZ$601,318,Sync!$C$5)&amp;"",""),Office_Log!$A$2:$A$201,0))&amp;"",IFERROR(INDEX(Clay_Offices!$A$2:$FZ$601,318,Sync!$C$5)&amp;"","")&amp;""))</f>
        <v/>
      </c>
      <c r="E3169" s="23" t="str">
        <f aca="false">IF(B3169="","",IFERROR(INDEX(Clay_Offices!$A$2:$FZ$601,318,Sync!$C$6)&amp;"",""))</f>
        <v/>
      </c>
      <c r="F3169" s="23" t="str">
        <f aca="false">IF(B3169="","","outreach_sent")</f>
        <v/>
      </c>
      <c r="G3169" s="23" t="str">
        <f aca="false">IF(B3169="","","")</f>
        <v/>
      </c>
      <c r="H3169" s="23" t="str">
        <f aca="false">IF(B3169="","","")</f>
        <v/>
      </c>
      <c r="I3169" s="23" t="str">
        <f aca="false">IF(B3169="","","")</f>
        <v/>
      </c>
      <c r="J3169" s="23" t="str">
        <f aca="false">IF(B3169="","","touch_3; "&amp;IFERROR(INDEX(Clay_Offices!$A$2:$FZ$601,318,Sync!$C$10)&amp;"","")&amp;"; "&amp;IFERROR(INDEX(Clay_Offices!$A$2:$FZ$601,318,Sync!$C$9)&amp;"",""))</f>
        <v/>
      </c>
      <c r="K3169" s="32" t="s">
        <v>1365</v>
      </c>
    </row>
    <row r="3170" customFormat="false" ht="15" hidden="false" customHeight="false" outlineLevel="0" collapsed="false">
      <c r="A3170" s="23" t="str">
        <f aca="false">IF(B3170="","",B3170+(14*1000+319)/10000000)</f>
        <v/>
      </c>
      <c r="B3170" s="35" t="str">
        <f aca="false">IF(AND(IFERROR(N(INDEX(Clay_Offices!$A$2:$FZ$601,319,Sync!$C$13)),0)&gt;0,IFERROR(INDEX(Clay_Offices!$A$2:$FZ$601,319,Sync!$C$5)&amp;"","")&lt;&gt;"",OR(LEFT(IFERROR(INDEX(Clay_Offices!$A$2:$FZ$601,319,Sync!$C$5)&amp;"",""),6)&lt;&gt;"SAMPLE",Config!$B$19="Y")),IFERROR(N(INDEX(Clay_Offices!$A$2:$FZ$601,319,Sync!$C$13)),0),"")</f>
        <v/>
      </c>
      <c r="C3170" s="23" t="str">
        <f aca="false">IF(B3170="","","office")</f>
        <v/>
      </c>
      <c r="D3170" s="23" t="str">
        <f aca="false">IF(B3170="","",IFERROR(INDEX(Office_Log!$ED$2:$ED$201,MATCH(IFERROR(INDEX(Clay_Offices!$A$2:$FZ$601,319,Sync!$C$5)&amp;"",""),Office_Log!$A$2:$A$201,0))&amp;"",IFERROR(INDEX(Clay_Offices!$A$2:$FZ$601,319,Sync!$C$5)&amp;"","")&amp;""))</f>
        <v/>
      </c>
      <c r="E3170" s="23" t="str">
        <f aca="false">IF(B3170="","",IFERROR(INDEX(Clay_Offices!$A$2:$FZ$601,319,Sync!$C$6)&amp;"",""))</f>
        <v/>
      </c>
      <c r="F3170" s="23" t="str">
        <f aca="false">IF(B3170="","","outreach_sent")</f>
        <v/>
      </c>
      <c r="G3170" s="23" t="str">
        <f aca="false">IF(B3170="","","")</f>
        <v/>
      </c>
      <c r="H3170" s="23" t="str">
        <f aca="false">IF(B3170="","","")</f>
        <v/>
      </c>
      <c r="I3170" s="23" t="str">
        <f aca="false">IF(B3170="","","")</f>
        <v/>
      </c>
      <c r="J3170" s="23" t="str">
        <f aca="false">IF(B3170="","","touch_3; "&amp;IFERROR(INDEX(Clay_Offices!$A$2:$FZ$601,319,Sync!$C$10)&amp;"","")&amp;"; "&amp;IFERROR(INDEX(Clay_Offices!$A$2:$FZ$601,319,Sync!$C$9)&amp;"",""))</f>
        <v/>
      </c>
      <c r="K3170" s="32" t="s">
        <v>1365</v>
      </c>
    </row>
    <row r="3171" customFormat="false" ht="15" hidden="false" customHeight="false" outlineLevel="0" collapsed="false">
      <c r="A3171" s="23" t="str">
        <f aca="false">IF(B3171="","",B3171+(14*1000+320)/10000000)</f>
        <v/>
      </c>
      <c r="B3171" s="35" t="str">
        <f aca="false">IF(AND(IFERROR(N(INDEX(Clay_Offices!$A$2:$FZ$601,320,Sync!$C$13)),0)&gt;0,IFERROR(INDEX(Clay_Offices!$A$2:$FZ$601,320,Sync!$C$5)&amp;"","")&lt;&gt;"",OR(LEFT(IFERROR(INDEX(Clay_Offices!$A$2:$FZ$601,320,Sync!$C$5)&amp;"",""),6)&lt;&gt;"SAMPLE",Config!$B$19="Y")),IFERROR(N(INDEX(Clay_Offices!$A$2:$FZ$601,320,Sync!$C$13)),0),"")</f>
        <v/>
      </c>
      <c r="C3171" s="23" t="str">
        <f aca="false">IF(B3171="","","office")</f>
        <v/>
      </c>
      <c r="D3171" s="23" t="str">
        <f aca="false">IF(B3171="","",IFERROR(INDEX(Office_Log!$ED$2:$ED$201,MATCH(IFERROR(INDEX(Clay_Offices!$A$2:$FZ$601,320,Sync!$C$5)&amp;"",""),Office_Log!$A$2:$A$201,0))&amp;"",IFERROR(INDEX(Clay_Offices!$A$2:$FZ$601,320,Sync!$C$5)&amp;"","")&amp;""))</f>
        <v/>
      </c>
      <c r="E3171" s="23" t="str">
        <f aca="false">IF(B3171="","",IFERROR(INDEX(Clay_Offices!$A$2:$FZ$601,320,Sync!$C$6)&amp;"",""))</f>
        <v/>
      </c>
      <c r="F3171" s="23" t="str">
        <f aca="false">IF(B3171="","","outreach_sent")</f>
        <v/>
      </c>
      <c r="G3171" s="23" t="str">
        <f aca="false">IF(B3171="","","")</f>
        <v/>
      </c>
      <c r="H3171" s="23" t="str">
        <f aca="false">IF(B3171="","","")</f>
        <v/>
      </c>
      <c r="I3171" s="23" t="str">
        <f aca="false">IF(B3171="","","")</f>
        <v/>
      </c>
      <c r="J3171" s="23" t="str">
        <f aca="false">IF(B3171="","","touch_3; "&amp;IFERROR(INDEX(Clay_Offices!$A$2:$FZ$601,320,Sync!$C$10)&amp;"","")&amp;"; "&amp;IFERROR(INDEX(Clay_Offices!$A$2:$FZ$601,320,Sync!$C$9)&amp;"",""))</f>
        <v/>
      </c>
      <c r="K3171" s="32" t="s">
        <v>1365</v>
      </c>
    </row>
    <row r="3172" customFormat="false" ht="15" hidden="false" customHeight="false" outlineLevel="0" collapsed="false">
      <c r="A3172" s="23" t="str">
        <f aca="false">IF(B3172="","",B3172+(14*1000+321)/10000000)</f>
        <v/>
      </c>
      <c r="B3172" s="35" t="str">
        <f aca="false">IF(AND(IFERROR(N(INDEX(Clay_Offices!$A$2:$FZ$601,321,Sync!$C$13)),0)&gt;0,IFERROR(INDEX(Clay_Offices!$A$2:$FZ$601,321,Sync!$C$5)&amp;"","")&lt;&gt;"",OR(LEFT(IFERROR(INDEX(Clay_Offices!$A$2:$FZ$601,321,Sync!$C$5)&amp;"",""),6)&lt;&gt;"SAMPLE",Config!$B$19="Y")),IFERROR(N(INDEX(Clay_Offices!$A$2:$FZ$601,321,Sync!$C$13)),0),"")</f>
        <v/>
      </c>
      <c r="C3172" s="23" t="str">
        <f aca="false">IF(B3172="","","office")</f>
        <v/>
      </c>
      <c r="D3172" s="23" t="str">
        <f aca="false">IF(B3172="","",IFERROR(INDEX(Office_Log!$ED$2:$ED$201,MATCH(IFERROR(INDEX(Clay_Offices!$A$2:$FZ$601,321,Sync!$C$5)&amp;"",""),Office_Log!$A$2:$A$201,0))&amp;"",IFERROR(INDEX(Clay_Offices!$A$2:$FZ$601,321,Sync!$C$5)&amp;"","")&amp;""))</f>
        <v/>
      </c>
      <c r="E3172" s="23" t="str">
        <f aca="false">IF(B3172="","",IFERROR(INDEX(Clay_Offices!$A$2:$FZ$601,321,Sync!$C$6)&amp;"",""))</f>
        <v/>
      </c>
      <c r="F3172" s="23" t="str">
        <f aca="false">IF(B3172="","","outreach_sent")</f>
        <v/>
      </c>
      <c r="G3172" s="23" t="str">
        <f aca="false">IF(B3172="","","")</f>
        <v/>
      </c>
      <c r="H3172" s="23" t="str">
        <f aca="false">IF(B3172="","","")</f>
        <v/>
      </c>
      <c r="I3172" s="23" t="str">
        <f aca="false">IF(B3172="","","")</f>
        <v/>
      </c>
      <c r="J3172" s="23" t="str">
        <f aca="false">IF(B3172="","","touch_3; "&amp;IFERROR(INDEX(Clay_Offices!$A$2:$FZ$601,321,Sync!$C$10)&amp;"","")&amp;"; "&amp;IFERROR(INDEX(Clay_Offices!$A$2:$FZ$601,321,Sync!$C$9)&amp;"",""))</f>
        <v/>
      </c>
      <c r="K3172" s="32" t="s">
        <v>1365</v>
      </c>
    </row>
    <row r="3173" customFormat="false" ht="15" hidden="false" customHeight="false" outlineLevel="0" collapsed="false">
      <c r="A3173" s="23" t="str">
        <f aca="false">IF(B3173="","",B3173+(14*1000+322)/10000000)</f>
        <v/>
      </c>
      <c r="B3173" s="35" t="str">
        <f aca="false">IF(AND(IFERROR(N(INDEX(Clay_Offices!$A$2:$FZ$601,322,Sync!$C$13)),0)&gt;0,IFERROR(INDEX(Clay_Offices!$A$2:$FZ$601,322,Sync!$C$5)&amp;"","")&lt;&gt;"",OR(LEFT(IFERROR(INDEX(Clay_Offices!$A$2:$FZ$601,322,Sync!$C$5)&amp;"",""),6)&lt;&gt;"SAMPLE",Config!$B$19="Y")),IFERROR(N(INDEX(Clay_Offices!$A$2:$FZ$601,322,Sync!$C$13)),0),"")</f>
        <v/>
      </c>
      <c r="C3173" s="23" t="str">
        <f aca="false">IF(B3173="","","office")</f>
        <v/>
      </c>
      <c r="D3173" s="23" t="str">
        <f aca="false">IF(B3173="","",IFERROR(INDEX(Office_Log!$ED$2:$ED$201,MATCH(IFERROR(INDEX(Clay_Offices!$A$2:$FZ$601,322,Sync!$C$5)&amp;"",""),Office_Log!$A$2:$A$201,0))&amp;"",IFERROR(INDEX(Clay_Offices!$A$2:$FZ$601,322,Sync!$C$5)&amp;"","")&amp;""))</f>
        <v/>
      </c>
      <c r="E3173" s="23" t="str">
        <f aca="false">IF(B3173="","",IFERROR(INDEX(Clay_Offices!$A$2:$FZ$601,322,Sync!$C$6)&amp;"",""))</f>
        <v/>
      </c>
      <c r="F3173" s="23" t="str">
        <f aca="false">IF(B3173="","","outreach_sent")</f>
        <v/>
      </c>
      <c r="G3173" s="23" t="str">
        <f aca="false">IF(B3173="","","")</f>
        <v/>
      </c>
      <c r="H3173" s="23" t="str">
        <f aca="false">IF(B3173="","","")</f>
        <v/>
      </c>
      <c r="I3173" s="23" t="str">
        <f aca="false">IF(B3173="","","")</f>
        <v/>
      </c>
      <c r="J3173" s="23" t="str">
        <f aca="false">IF(B3173="","","touch_3; "&amp;IFERROR(INDEX(Clay_Offices!$A$2:$FZ$601,322,Sync!$C$10)&amp;"","")&amp;"; "&amp;IFERROR(INDEX(Clay_Offices!$A$2:$FZ$601,322,Sync!$C$9)&amp;"",""))</f>
        <v/>
      </c>
      <c r="K3173" s="32" t="s">
        <v>1365</v>
      </c>
    </row>
    <row r="3174" customFormat="false" ht="15" hidden="false" customHeight="false" outlineLevel="0" collapsed="false">
      <c r="A3174" s="23" t="str">
        <f aca="false">IF(B3174="","",B3174+(14*1000+323)/10000000)</f>
        <v/>
      </c>
      <c r="B3174" s="35" t="str">
        <f aca="false">IF(AND(IFERROR(N(INDEX(Clay_Offices!$A$2:$FZ$601,323,Sync!$C$13)),0)&gt;0,IFERROR(INDEX(Clay_Offices!$A$2:$FZ$601,323,Sync!$C$5)&amp;"","")&lt;&gt;"",OR(LEFT(IFERROR(INDEX(Clay_Offices!$A$2:$FZ$601,323,Sync!$C$5)&amp;"",""),6)&lt;&gt;"SAMPLE",Config!$B$19="Y")),IFERROR(N(INDEX(Clay_Offices!$A$2:$FZ$601,323,Sync!$C$13)),0),"")</f>
        <v/>
      </c>
      <c r="C3174" s="23" t="str">
        <f aca="false">IF(B3174="","","office")</f>
        <v/>
      </c>
      <c r="D3174" s="23" t="str">
        <f aca="false">IF(B3174="","",IFERROR(INDEX(Office_Log!$ED$2:$ED$201,MATCH(IFERROR(INDEX(Clay_Offices!$A$2:$FZ$601,323,Sync!$C$5)&amp;"",""),Office_Log!$A$2:$A$201,0))&amp;"",IFERROR(INDEX(Clay_Offices!$A$2:$FZ$601,323,Sync!$C$5)&amp;"","")&amp;""))</f>
        <v/>
      </c>
      <c r="E3174" s="23" t="str">
        <f aca="false">IF(B3174="","",IFERROR(INDEX(Clay_Offices!$A$2:$FZ$601,323,Sync!$C$6)&amp;"",""))</f>
        <v/>
      </c>
      <c r="F3174" s="23" t="str">
        <f aca="false">IF(B3174="","","outreach_sent")</f>
        <v/>
      </c>
      <c r="G3174" s="23" t="str">
        <f aca="false">IF(B3174="","","")</f>
        <v/>
      </c>
      <c r="H3174" s="23" t="str">
        <f aca="false">IF(B3174="","","")</f>
        <v/>
      </c>
      <c r="I3174" s="23" t="str">
        <f aca="false">IF(B3174="","","")</f>
        <v/>
      </c>
      <c r="J3174" s="23" t="str">
        <f aca="false">IF(B3174="","","touch_3; "&amp;IFERROR(INDEX(Clay_Offices!$A$2:$FZ$601,323,Sync!$C$10)&amp;"","")&amp;"; "&amp;IFERROR(INDEX(Clay_Offices!$A$2:$FZ$601,323,Sync!$C$9)&amp;"",""))</f>
        <v/>
      </c>
      <c r="K3174" s="32" t="s">
        <v>1365</v>
      </c>
    </row>
    <row r="3175" customFormat="false" ht="15" hidden="false" customHeight="false" outlineLevel="0" collapsed="false">
      <c r="A3175" s="23" t="str">
        <f aca="false">IF(B3175="","",B3175+(14*1000+324)/10000000)</f>
        <v/>
      </c>
      <c r="B3175" s="35" t="str">
        <f aca="false">IF(AND(IFERROR(N(INDEX(Clay_Offices!$A$2:$FZ$601,324,Sync!$C$13)),0)&gt;0,IFERROR(INDEX(Clay_Offices!$A$2:$FZ$601,324,Sync!$C$5)&amp;"","")&lt;&gt;"",OR(LEFT(IFERROR(INDEX(Clay_Offices!$A$2:$FZ$601,324,Sync!$C$5)&amp;"",""),6)&lt;&gt;"SAMPLE",Config!$B$19="Y")),IFERROR(N(INDEX(Clay_Offices!$A$2:$FZ$601,324,Sync!$C$13)),0),"")</f>
        <v/>
      </c>
      <c r="C3175" s="23" t="str">
        <f aca="false">IF(B3175="","","office")</f>
        <v/>
      </c>
      <c r="D3175" s="23" t="str">
        <f aca="false">IF(B3175="","",IFERROR(INDEX(Office_Log!$ED$2:$ED$201,MATCH(IFERROR(INDEX(Clay_Offices!$A$2:$FZ$601,324,Sync!$C$5)&amp;"",""),Office_Log!$A$2:$A$201,0))&amp;"",IFERROR(INDEX(Clay_Offices!$A$2:$FZ$601,324,Sync!$C$5)&amp;"","")&amp;""))</f>
        <v/>
      </c>
      <c r="E3175" s="23" t="str">
        <f aca="false">IF(B3175="","",IFERROR(INDEX(Clay_Offices!$A$2:$FZ$601,324,Sync!$C$6)&amp;"",""))</f>
        <v/>
      </c>
      <c r="F3175" s="23" t="str">
        <f aca="false">IF(B3175="","","outreach_sent")</f>
        <v/>
      </c>
      <c r="G3175" s="23" t="str">
        <f aca="false">IF(B3175="","","")</f>
        <v/>
      </c>
      <c r="H3175" s="23" t="str">
        <f aca="false">IF(B3175="","","")</f>
        <v/>
      </c>
      <c r="I3175" s="23" t="str">
        <f aca="false">IF(B3175="","","")</f>
        <v/>
      </c>
      <c r="J3175" s="23" t="str">
        <f aca="false">IF(B3175="","","touch_3; "&amp;IFERROR(INDEX(Clay_Offices!$A$2:$FZ$601,324,Sync!$C$10)&amp;"","")&amp;"; "&amp;IFERROR(INDEX(Clay_Offices!$A$2:$FZ$601,324,Sync!$C$9)&amp;"",""))</f>
        <v/>
      </c>
      <c r="K3175" s="32" t="s">
        <v>1365</v>
      </c>
    </row>
    <row r="3176" customFormat="false" ht="15" hidden="false" customHeight="false" outlineLevel="0" collapsed="false">
      <c r="A3176" s="23" t="str">
        <f aca="false">IF(B3176="","",B3176+(14*1000+325)/10000000)</f>
        <v/>
      </c>
      <c r="B3176" s="35" t="str">
        <f aca="false">IF(AND(IFERROR(N(INDEX(Clay_Offices!$A$2:$FZ$601,325,Sync!$C$13)),0)&gt;0,IFERROR(INDEX(Clay_Offices!$A$2:$FZ$601,325,Sync!$C$5)&amp;"","")&lt;&gt;"",OR(LEFT(IFERROR(INDEX(Clay_Offices!$A$2:$FZ$601,325,Sync!$C$5)&amp;"",""),6)&lt;&gt;"SAMPLE",Config!$B$19="Y")),IFERROR(N(INDEX(Clay_Offices!$A$2:$FZ$601,325,Sync!$C$13)),0),"")</f>
        <v/>
      </c>
      <c r="C3176" s="23" t="str">
        <f aca="false">IF(B3176="","","office")</f>
        <v/>
      </c>
      <c r="D3176" s="23" t="str">
        <f aca="false">IF(B3176="","",IFERROR(INDEX(Office_Log!$ED$2:$ED$201,MATCH(IFERROR(INDEX(Clay_Offices!$A$2:$FZ$601,325,Sync!$C$5)&amp;"",""),Office_Log!$A$2:$A$201,0))&amp;"",IFERROR(INDEX(Clay_Offices!$A$2:$FZ$601,325,Sync!$C$5)&amp;"","")&amp;""))</f>
        <v/>
      </c>
      <c r="E3176" s="23" t="str">
        <f aca="false">IF(B3176="","",IFERROR(INDEX(Clay_Offices!$A$2:$FZ$601,325,Sync!$C$6)&amp;"",""))</f>
        <v/>
      </c>
      <c r="F3176" s="23" t="str">
        <f aca="false">IF(B3176="","","outreach_sent")</f>
        <v/>
      </c>
      <c r="G3176" s="23" t="str">
        <f aca="false">IF(B3176="","","")</f>
        <v/>
      </c>
      <c r="H3176" s="23" t="str">
        <f aca="false">IF(B3176="","","")</f>
        <v/>
      </c>
      <c r="I3176" s="23" t="str">
        <f aca="false">IF(B3176="","","")</f>
        <v/>
      </c>
      <c r="J3176" s="23" t="str">
        <f aca="false">IF(B3176="","","touch_3; "&amp;IFERROR(INDEX(Clay_Offices!$A$2:$FZ$601,325,Sync!$C$10)&amp;"","")&amp;"; "&amp;IFERROR(INDEX(Clay_Offices!$A$2:$FZ$601,325,Sync!$C$9)&amp;"",""))</f>
        <v/>
      </c>
      <c r="K3176" s="32" t="s">
        <v>1365</v>
      </c>
    </row>
    <row r="3177" customFormat="false" ht="15" hidden="false" customHeight="false" outlineLevel="0" collapsed="false">
      <c r="A3177" s="23" t="str">
        <f aca="false">IF(B3177="","",B3177+(14*1000+326)/10000000)</f>
        <v/>
      </c>
      <c r="B3177" s="35" t="str">
        <f aca="false">IF(AND(IFERROR(N(INDEX(Clay_Offices!$A$2:$FZ$601,326,Sync!$C$13)),0)&gt;0,IFERROR(INDEX(Clay_Offices!$A$2:$FZ$601,326,Sync!$C$5)&amp;"","")&lt;&gt;"",OR(LEFT(IFERROR(INDEX(Clay_Offices!$A$2:$FZ$601,326,Sync!$C$5)&amp;"",""),6)&lt;&gt;"SAMPLE",Config!$B$19="Y")),IFERROR(N(INDEX(Clay_Offices!$A$2:$FZ$601,326,Sync!$C$13)),0),"")</f>
        <v/>
      </c>
      <c r="C3177" s="23" t="str">
        <f aca="false">IF(B3177="","","office")</f>
        <v/>
      </c>
      <c r="D3177" s="23" t="str">
        <f aca="false">IF(B3177="","",IFERROR(INDEX(Office_Log!$ED$2:$ED$201,MATCH(IFERROR(INDEX(Clay_Offices!$A$2:$FZ$601,326,Sync!$C$5)&amp;"",""),Office_Log!$A$2:$A$201,0))&amp;"",IFERROR(INDEX(Clay_Offices!$A$2:$FZ$601,326,Sync!$C$5)&amp;"","")&amp;""))</f>
        <v/>
      </c>
      <c r="E3177" s="23" t="str">
        <f aca="false">IF(B3177="","",IFERROR(INDEX(Clay_Offices!$A$2:$FZ$601,326,Sync!$C$6)&amp;"",""))</f>
        <v/>
      </c>
      <c r="F3177" s="23" t="str">
        <f aca="false">IF(B3177="","","outreach_sent")</f>
        <v/>
      </c>
      <c r="G3177" s="23" t="str">
        <f aca="false">IF(B3177="","","")</f>
        <v/>
      </c>
      <c r="H3177" s="23" t="str">
        <f aca="false">IF(B3177="","","")</f>
        <v/>
      </c>
      <c r="I3177" s="23" t="str">
        <f aca="false">IF(B3177="","","")</f>
        <v/>
      </c>
      <c r="J3177" s="23" t="str">
        <f aca="false">IF(B3177="","","touch_3; "&amp;IFERROR(INDEX(Clay_Offices!$A$2:$FZ$601,326,Sync!$C$10)&amp;"","")&amp;"; "&amp;IFERROR(INDEX(Clay_Offices!$A$2:$FZ$601,326,Sync!$C$9)&amp;"",""))</f>
        <v/>
      </c>
      <c r="K3177" s="32" t="s">
        <v>1365</v>
      </c>
    </row>
    <row r="3178" customFormat="false" ht="15" hidden="false" customHeight="false" outlineLevel="0" collapsed="false">
      <c r="A3178" s="23" t="str">
        <f aca="false">IF(B3178="","",B3178+(14*1000+327)/10000000)</f>
        <v/>
      </c>
      <c r="B3178" s="35" t="str">
        <f aca="false">IF(AND(IFERROR(N(INDEX(Clay_Offices!$A$2:$FZ$601,327,Sync!$C$13)),0)&gt;0,IFERROR(INDEX(Clay_Offices!$A$2:$FZ$601,327,Sync!$C$5)&amp;"","")&lt;&gt;"",OR(LEFT(IFERROR(INDEX(Clay_Offices!$A$2:$FZ$601,327,Sync!$C$5)&amp;"",""),6)&lt;&gt;"SAMPLE",Config!$B$19="Y")),IFERROR(N(INDEX(Clay_Offices!$A$2:$FZ$601,327,Sync!$C$13)),0),"")</f>
        <v/>
      </c>
      <c r="C3178" s="23" t="str">
        <f aca="false">IF(B3178="","","office")</f>
        <v/>
      </c>
      <c r="D3178" s="23" t="str">
        <f aca="false">IF(B3178="","",IFERROR(INDEX(Office_Log!$ED$2:$ED$201,MATCH(IFERROR(INDEX(Clay_Offices!$A$2:$FZ$601,327,Sync!$C$5)&amp;"",""),Office_Log!$A$2:$A$201,0))&amp;"",IFERROR(INDEX(Clay_Offices!$A$2:$FZ$601,327,Sync!$C$5)&amp;"","")&amp;""))</f>
        <v/>
      </c>
      <c r="E3178" s="23" t="str">
        <f aca="false">IF(B3178="","",IFERROR(INDEX(Clay_Offices!$A$2:$FZ$601,327,Sync!$C$6)&amp;"",""))</f>
        <v/>
      </c>
      <c r="F3178" s="23" t="str">
        <f aca="false">IF(B3178="","","outreach_sent")</f>
        <v/>
      </c>
      <c r="G3178" s="23" t="str">
        <f aca="false">IF(B3178="","","")</f>
        <v/>
      </c>
      <c r="H3178" s="23" t="str">
        <f aca="false">IF(B3178="","","")</f>
        <v/>
      </c>
      <c r="I3178" s="23" t="str">
        <f aca="false">IF(B3178="","","")</f>
        <v/>
      </c>
      <c r="J3178" s="23" t="str">
        <f aca="false">IF(B3178="","","touch_3; "&amp;IFERROR(INDEX(Clay_Offices!$A$2:$FZ$601,327,Sync!$C$10)&amp;"","")&amp;"; "&amp;IFERROR(INDEX(Clay_Offices!$A$2:$FZ$601,327,Sync!$C$9)&amp;"",""))</f>
        <v/>
      </c>
      <c r="K3178" s="32" t="s">
        <v>1365</v>
      </c>
    </row>
    <row r="3179" customFormat="false" ht="15" hidden="false" customHeight="false" outlineLevel="0" collapsed="false">
      <c r="A3179" s="23" t="str">
        <f aca="false">IF(B3179="","",B3179+(14*1000+328)/10000000)</f>
        <v/>
      </c>
      <c r="B3179" s="35" t="str">
        <f aca="false">IF(AND(IFERROR(N(INDEX(Clay_Offices!$A$2:$FZ$601,328,Sync!$C$13)),0)&gt;0,IFERROR(INDEX(Clay_Offices!$A$2:$FZ$601,328,Sync!$C$5)&amp;"","")&lt;&gt;"",OR(LEFT(IFERROR(INDEX(Clay_Offices!$A$2:$FZ$601,328,Sync!$C$5)&amp;"",""),6)&lt;&gt;"SAMPLE",Config!$B$19="Y")),IFERROR(N(INDEX(Clay_Offices!$A$2:$FZ$601,328,Sync!$C$13)),0),"")</f>
        <v/>
      </c>
      <c r="C3179" s="23" t="str">
        <f aca="false">IF(B3179="","","office")</f>
        <v/>
      </c>
      <c r="D3179" s="23" t="str">
        <f aca="false">IF(B3179="","",IFERROR(INDEX(Office_Log!$ED$2:$ED$201,MATCH(IFERROR(INDEX(Clay_Offices!$A$2:$FZ$601,328,Sync!$C$5)&amp;"",""),Office_Log!$A$2:$A$201,0))&amp;"",IFERROR(INDEX(Clay_Offices!$A$2:$FZ$601,328,Sync!$C$5)&amp;"","")&amp;""))</f>
        <v/>
      </c>
      <c r="E3179" s="23" t="str">
        <f aca="false">IF(B3179="","",IFERROR(INDEX(Clay_Offices!$A$2:$FZ$601,328,Sync!$C$6)&amp;"",""))</f>
        <v/>
      </c>
      <c r="F3179" s="23" t="str">
        <f aca="false">IF(B3179="","","outreach_sent")</f>
        <v/>
      </c>
      <c r="G3179" s="23" t="str">
        <f aca="false">IF(B3179="","","")</f>
        <v/>
      </c>
      <c r="H3179" s="23" t="str">
        <f aca="false">IF(B3179="","","")</f>
        <v/>
      </c>
      <c r="I3179" s="23" t="str">
        <f aca="false">IF(B3179="","","")</f>
        <v/>
      </c>
      <c r="J3179" s="23" t="str">
        <f aca="false">IF(B3179="","","touch_3; "&amp;IFERROR(INDEX(Clay_Offices!$A$2:$FZ$601,328,Sync!$C$10)&amp;"","")&amp;"; "&amp;IFERROR(INDEX(Clay_Offices!$A$2:$FZ$601,328,Sync!$C$9)&amp;"",""))</f>
        <v/>
      </c>
      <c r="K3179" s="32" t="s">
        <v>1365</v>
      </c>
    </row>
    <row r="3180" customFormat="false" ht="15" hidden="false" customHeight="false" outlineLevel="0" collapsed="false">
      <c r="A3180" s="23" t="str">
        <f aca="false">IF(B3180="","",B3180+(14*1000+329)/10000000)</f>
        <v/>
      </c>
      <c r="B3180" s="35" t="str">
        <f aca="false">IF(AND(IFERROR(N(INDEX(Clay_Offices!$A$2:$FZ$601,329,Sync!$C$13)),0)&gt;0,IFERROR(INDEX(Clay_Offices!$A$2:$FZ$601,329,Sync!$C$5)&amp;"","")&lt;&gt;"",OR(LEFT(IFERROR(INDEX(Clay_Offices!$A$2:$FZ$601,329,Sync!$C$5)&amp;"",""),6)&lt;&gt;"SAMPLE",Config!$B$19="Y")),IFERROR(N(INDEX(Clay_Offices!$A$2:$FZ$601,329,Sync!$C$13)),0),"")</f>
        <v/>
      </c>
      <c r="C3180" s="23" t="str">
        <f aca="false">IF(B3180="","","office")</f>
        <v/>
      </c>
      <c r="D3180" s="23" t="str">
        <f aca="false">IF(B3180="","",IFERROR(INDEX(Office_Log!$ED$2:$ED$201,MATCH(IFERROR(INDEX(Clay_Offices!$A$2:$FZ$601,329,Sync!$C$5)&amp;"",""),Office_Log!$A$2:$A$201,0))&amp;"",IFERROR(INDEX(Clay_Offices!$A$2:$FZ$601,329,Sync!$C$5)&amp;"","")&amp;""))</f>
        <v/>
      </c>
      <c r="E3180" s="23" t="str">
        <f aca="false">IF(B3180="","",IFERROR(INDEX(Clay_Offices!$A$2:$FZ$601,329,Sync!$C$6)&amp;"",""))</f>
        <v/>
      </c>
      <c r="F3180" s="23" t="str">
        <f aca="false">IF(B3180="","","outreach_sent")</f>
        <v/>
      </c>
      <c r="G3180" s="23" t="str">
        <f aca="false">IF(B3180="","","")</f>
        <v/>
      </c>
      <c r="H3180" s="23" t="str">
        <f aca="false">IF(B3180="","","")</f>
        <v/>
      </c>
      <c r="I3180" s="23" t="str">
        <f aca="false">IF(B3180="","","")</f>
        <v/>
      </c>
      <c r="J3180" s="23" t="str">
        <f aca="false">IF(B3180="","","touch_3; "&amp;IFERROR(INDEX(Clay_Offices!$A$2:$FZ$601,329,Sync!$C$10)&amp;"","")&amp;"; "&amp;IFERROR(INDEX(Clay_Offices!$A$2:$FZ$601,329,Sync!$C$9)&amp;"",""))</f>
        <v/>
      </c>
      <c r="K3180" s="32" t="s">
        <v>1365</v>
      </c>
    </row>
    <row r="3181" customFormat="false" ht="15" hidden="false" customHeight="false" outlineLevel="0" collapsed="false">
      <c r="A3181" s="23" t="str">
        <f aca="false">IF(B3181="","",B3181+(14*1000+330)/10000000)</f>
        <v/>
      </c>
      <c r="B3181" s="35" t="str">
        <f aca="false">IF(AND(IFERROR(N(INDEX(Clay_Offices!$A$2:$FZ$601,330,Sync!$C$13)),0)&gt;0,IFERROR(INDEX(Clay_Offices!$A$2:$FZ$601,330,Sync!$C$5)&amp;"","")&lt;&gt;"",OR(LEFT(IFERROR(INDEX(Clay_Offices!$A$2:$FZ$601,330,Sync!$C$5)&amp;"",""),6)&lt;&gt;"SAMPLE",Config!$B$19="Y")),IFERROR(N(INDEX(Clay_Offices!$A$2:$FZ$601,330,Sync!$C$13)),0),"")</f>
        <v/>
      </c>
      <c r="C3181" s="23" t="str">
        <f aca="false">IF(B3181="","","office")</f>
        <v/>
      </c>
      <c r="D3181" s="23" t="str">
        <f aca="false">IF(B3181="","",IFERROR(INDEX(Office_Log!$ED$2:$ED$201,MATCH(IFERROR(INDEX(Clay_Offices!$A$2:$FZ$601,330,Sync!$C$5)&amp;"",""),Office_Log!$A$2:$A$201,0))&amp;"",IFERROR(INDEX(Clay_Offices!$A$2:$FZ$601,330,Sync!$C$5)&amp;"","")&amp;""))</f>
        <v/>
      </c>
      <c r="E3181" s="23" t="str">
        <f aca="false">IF(B3181="","",IFERROR(INDEX(Clay_Offices!$A$2:$FZ$601,330,Sync!$C$6)&amp;"",""))</f>
        <v/>
      </c>
      <c r="F3181" s="23" t="str">
        <f aca="false">IF(B3181="","","outreach_sent")</f>
        <v/>
      </c>
      <c r="G3181" s="23" t="str">
        <f aca="false">IF(B3181="","","")</f>
        <v/>
      </c>
      <c r="H3181" s="23" t="str">
        <f aca="false">IF(B3181="","","")</f>
        <v/>
      </c>
      <c r="I3181" s="23" t="str">
        <f aca="false">IF(B3181="","","")</f>
        <v/>
      </c>
      <c r="J3181" s="23" t="str">
        <f aca="false">IF(B3181="","","touch_3; "&amp;IFERROR(INDEX(Clay_Offices!$A$2:$FZ$601,330,Sync!$C$10)&amp;"","")&amp;"; "&amp;IFERROR(INDEX(Clay_Offices!$A$2:$FZ$601,330,Sync!$C$9)&amp;"",""))</f>
        <v/>
      </c>
      <c r="K3181" s="32" t="s">
        <v>1365</v>
      </c>
    </row>
    <row r="3182" customFormat="false" ht="15" hidden="false" customHeight="false" outlineLevel="0" collapsed="false">
      <c r="A3182" s="23" t="str">
        <f aca="false">IF(B3182="","",B3182+(14*1000+331)/10000000)</f>
        <v/>
      </c>
      <c r="B3182" s="35" t="str">
        <f aca="false">IF(AND(IFERROR(N(INDEX(Clay_Offices!$A$2:$FZ$601,331,Sync!$C$13)),0)&gt;0,IFERROR(INDEX(Clay_Offices!$A$2:$FZ$601,331,Sync!$C$5)&amp;"","")&lt;&gt;"",OR(LEFT(IFERROR(INDEX(Clay_Offices!$A$2:$FZ$601,331,Sync!$C$5)&amp;"",""),6)&lt;&gt;"SAMPLE",Config!$B$19="Y")),IFERROR(N(INDEX(Clay_Offices!$A$2:$FZ$601,331,Sync!$C$13)),0),"")</f>
        <v/>
      </c>
      <c r="C3182" s="23" t="str">
        <f aca="false">IF(B3182="","","office")</f>
        <v/>
      </c>
      <c r="D3182" s="23" t="str">
        <f aca="false">IF(B3182="","",IFERROR(INDEX(Office_Log!$ED$2:$ED$201,MATCH(IFERROR(INDEX(Clay_Offices!$A$2:$FZ$601,331,Sync!$C$5)&amp;"",""),Office_Log!$A$2:$A$201,0))&amp;"",IFERROR(INDEX(Clay_Offices!$A$2:$FZ$601,331,Sync!$C$5)&amp;"","")&amp;""))</f>
        <v/>
      </c>
      <c r="E3182" s="23" t="str">
        <f aca="false">IF(B3182="","",IFERROR(INDEX(Clay_Offices!$A$2:$FZ$601,331,Sync!$C$6)&amp;"",""))</f>
        <v/>
      </c>
      <c r="F3182" s="23" t="str">
        <f aca="false">IF(B3182="","","outreach_sent")</f>
        <v/>
      </c>
      <c r="G3182" s="23" t="str">
        <f aca="false">IF(B3182="","","")</f>
        <v/>
      </c>
      <c r="H3182" s="23" t="str">
        <f aca="false">IF(B3182="","","")</f>
        <v/>
      </c>
      <c r="I3182" s="23" t="str">
        <f aca="false">IF(B3182="","","")</f>
        <v/>
      </c>
      <c r="J3182" s="23" t="str">
        <f aca="false">IF(B3182="","","touch_3; "&amp;IFERROR(INDEX(Clay_Offices!$A$2:$FZ$601,331,Sync!$C$10)&amp;"","")&amp;"; "&amp;IFERROR(INDEX(Clay_Offices!$A$2:$FZ$601,331,Sync!$C$9)&amp;"",""))</f>
        <v/>
      </c>
      <c r="K3182" s="32" t="s">
        <v>1365</v>
      </c>
    </row>
    <row r="3183" customFormat="false" ht="15" hidden="false" customHeight="false" outlineLevel="0" collapsed="false">
      <c r="A3183" s="23" t="str">
        <f aca="false">IF(B3183="","",B3183+(14*1000+332)/10000000)</f>
        <v/>
      </c>
      <c r="B3183" s="35" t="str">
        <f aca="false">IF(AND(IFERROR(N(INDEX(Clay_Offices!$A$2:$FZ$601,332,Sync!$C$13)),0)&gt;0,IFERROR(INDEX(Clay_Offices!$A$2:$FZ$601,332,Sync!$C$5)&amp;"","")&lt;&gt;"",OR(LEFT(IFERROR(INDEX(Clay_Offices!$A$2:$FZ$601,332,Sync!$C$5)&amp;"",""),6)&lt;&gt;"SAMPLE",Config!$B$19="Y")),IFERROR(N(INDEX(Clay_Offices!$A$2:$FZ$601,332,Sync!$C$13)),0),"")</f>
        <v/>
      </c>
      <c r="C3183" s="23" t="str">
        <f aca="false">IF(B3183="","","office")</f>
        <v/>
      </c>
      <c r="D3183" s="23" t="str">
        <f aca="false">IF(B3183="","",IFERROR(INDEX(Office_Log!$ED$2:$ED$201,MATCH(IFERROR(INDEX(Clay_Offices!$A$2:$FZ$601,332,Sync!$C$5)&amp;"",""),Office_Log!$A$2:$A$201,0))&amp;"",IFERROR(INDEX(Clay_Offices!$A$2:$FZ$601,332,Sync!$C$5)&amp;"","")&amp;""))</f>
        <v/>
      </c>
      <c r="E3183" s="23" t="str">
        <f aca="false">IF(B3183="","",IFERROR(INDEX(Clay_Offices!$A$2:$FZ$601,332,Sync!$C$6)&amp;"",""))</f>
        <v/>
      </c>
      <c r="F3183" s="23" t="str">
        <f aca="false">IF(B3183="","","outreach_sent")</f>
        <v/>
      </c>
      <c r="G3183" s="23" t="str">
        <f aca="false">IF(B3183="","","")</f>
        <v/>
      </c>
      <c r="H3183" s="23" t="str">
        <f aca="false">IF(B3183="","","")</f>
        <v/>
      </c>
      <c r="I3183" s="23" t="str">
        <f aca="false">IF(B3183="","","")</f>
        <v/>
      </c>
      <c r="J3183" s="23" t="str">
        <f aca="false">IF(B3183="","","touch_3; "&amp;IFERROR(INDEX(Clay_Offices!$A$2:$FZ$601,332,Sync!$C$10)&amp;"","")&amp;"; "&amp;IFERROR(INDEX(Clay_Offices!$A$2:$FZ$601,332,Sync!$C$9)&amp;"",""))</f>
        <v/>
      </c>
      <c r="K3183" s="32" t="s">
        <v>1365</v>
      </c>
    </row>
    <row r="3184" customFormat="false" ht="15" hidden="false" customHeight="false" outlineLevel="0" collapsed="false">
      <c r="A3184" s="23" t="str">
        <f aca="false">IF(B3184="","",B3184+(14*1000+333)/10000000)</f>
        <v/>
      </c>
      <c r="B3184" s="35" t="str">
        <f aca="false">IF(AND(IFERROR(N(INDEX(Clay_Offices!$A$2:$FZ$601,333,Sync!$C$13)),0)&gt;0,IFERROR(INDEX(Clay_Offices!$A$2:$FZ$601,333,Sync!$C$5)&amp;"","")&lt;&gt;"",OR(LEFT(IFERROR(INDEX(Clay_Offices!$A$2:$FZ$601,333,Sync!$C$5)&amp;"",""),6)&lt;&gt;"SAMPLE",Config!$B$19="Y")),IFERROR(N(INDEX(Clay_Offices!$A$2:$FZ$601,333,Sync!$C$13)),0),"")</f>
        <v/>
      </c>
      <c r="C3184" s="23" t="str">
        <f aca="false">IF(B3184="","","office")</f>
        <v/>
      </c>
      <c r="D3184" s="23" t="str">
        <f aca="false">IF(B3184="","",IFERROR(INDEX(Office_Log!$ED$2:$ED$201,MATCH(IFERROR(INDEX(Clay_Offices!$A$2:$FZ$601,333,Sync!$C$5)&amp;"",""),Office_Log!$A$2:$A$201,0))&amp;"",IFERROR(INDEX(Clay_Offices!$A$2:$FZ$601,333,Sync!$C$5)&amp;"","")&amp;""))</f>
        <v/>
      </c>
      <c r="E3184" s="23" t="str">
        <f aca="false">IF(B3184="","",IFERROR(INDEX(Clay_Offices!$A$2:$FZ$601,333,Sync!$C$6)&amp;"",""))</f>
        <v/>
      </c>
      <c r="F3184" s="23" t="str">
        <f aca="false">IF(B3184="","","outreach_sent")</f>
        <v/>
      </c>
      <c r="G3184" s="23" t="str">
        <f aca="false">IF(B3184="","","")</f>
        <v/>
      </c>
      <c r="H3184" s="23" t="str">
        <f aca="false">IF(B3184="","","")</f>
        <v/>
      </c>
      <c r="I3184" s="23" t="str">
        <f aca="false">IF(B3184="","","")</f>
        <v/>
      </c>
      <c r="J3184" s="23" t="str">
        <f aca="false">IF(B3184="","","touch_3; "&amp;IFERROR(INDEX(Clay_Offices!$A$2:$FZ$601,333,Sync!$C$10)&amp;"","")&amp;"; "&amp;IFERROR(INDEX(Clay_Offices!$A$2:$FZ$601,333,Sync!$C$9)&amp;"",""))</f>
        <v/>
      </c>
      <c r="K3184" s="32" t="s">
        <v>1365</v>
      </c>
    </row>
    <row r="3185" customFormat="false" ht="15" hidden="false" customHeight="false" outlineLevel="0" collapsed="false">
      <c r="A3185" s="23" t="str">
        <f aca="false">IF(B3185="","",B3185+(14*1000+334)/10000000)</f>
        <v/>
      </c>
      <c r="B3185" s="35" t="str">
        <f aca="false">IF(AND(IFERROR(N(INDEX(Clay_Offices!$A$2:$FZ$601,334,Sync!$C$13)),0)&gt;0,IFERROR(INDEX(Clay_Offices!$A$2:$FZ$601,334,Sync!$C$5)&amp;"","")&lt;&gt;"",OR(LEFT(IFERROR(INDEX(Clay_Offices!$A$2:$FZ$601,334,Sync!$C$5)&amp;"",""),6)&lt;&gt;"SAMPLE",Config!$B$19="Y")),IFERROR(N(INDEX(Clay_Offices!$A$2:$FZ$601,334,Sync!$C$13)),0),"")</f>
        <v/>
      </c>
      <c r="C3185" s="23" t="str">
        <f aca="false">IF(B3185="","","office")</f>
        <v/>
      </c>
      <c r="D3185" s="23" t="str">
        <f aca="false">IF(B3185="","",IFERROR(INDEX(Office_Log!$ED$2:$ED$201,MATCH(IFERROR(INDEX(Clay_Offices!$A$2:$FZ$601,334,Sync!$C$5)&amp;"",""),Office_Log!$A$2:$A$201,0))&amp;"",IFERROR(INDEX(Clay_Offices!$A$2:$FZ$601,334,Sync!$C$5)&amp;"","")&amp;""))</f>
        <v/>
      </c>
      <c r="E3185" s="23" t="str">
        <f aca="false">IF(B3185="","",IFERROR(INDEX(Clay_Offices!$A$2:$FZ$601,334,Sync!$C$6)&amp;"",""))</f>
        <v/>
      </c>
      <c r="F3185" s="23" t="str">
        <f aca="false">IF(B3185="","","outreach_sent")</f>
        <v/>
      </c>
      <c r="G3185" s="23" t="str">
        <f aca="false">IF(B3185="","","")</f>
        <v/>
      </c>
      <c r="H3185" s="23" t="str">
        <f aca="false">IF(B3185="","","")</f>
        <v/>
      </c>
      <c r="I3185" s="23" t="str">
        <f aca="false">IF(B3185="","","")</f>
        <v/>
      </c>
      <c r="J3185" s="23" t="str">
        <f aca="false">IF(B3185="","","touch_3; "&amp;IFERROR(INDEX(Clay_Offices!$A$2:$FZ$601,334,Sync!$C$10)&amp;"","")&amp;"; "&amp;IFERROR(INDEX(Clay_Offices!$A$2:$FZ$601,334,Sync!$C$9)&amp;"",""))</f>
        <v/>
      </c>
      <c r="K3185" s="32" t="s">
        <v>1365</v>
      </c>
    </row>
    <row r="3186" customFormat="false" ht="15" hidden="false" customHeight="false" outlineLevel="0" collapsed="false">
      <c r="A3186" s="23" t="str">
        <f aca="false">IF(B3186="","",B3186+(14*1000+335)/10000000)</f>
        <v/>
      </c>
      <c r="B3186" s="35" t="str">
        <f aca="false">IF(AND(IFERROR(N(INDEX(Clay_Offices!$A$2:$FZ$601,335,Sync!$C$13)),0)&gt;0,IFERROR(INDEX(Clay_Offices!$A$2:$FZ$601,335,Sync!$C$5)&amp;"","")&lt;&gt;"",OR(LEFT(IFERROR(INDEX(Clay_Offices!$A$2:$FZ$601,335,Sync!$C$5)&amp;"",""),6)&lt;&gt;"SAMPLE",Config!$B$19="Y")),IFERROR(N(INDEX(Clay_Offices!$A$2:$FZ$601,335,Sync!$C$13)),0),"")</f>
        <v/>
      </c>
      <c r="C3186" s="23" t="str">
        <f aca="false">IF(B3186="","","office")</f>
        <v/>
      </c>
      <c r="D3186" s="23" t="str">
        <f aca="false">IF(B3186="","",IFERROR(INDEX(Office_Log!$ED$2:$ED$201,MATCH(IFERROR(INDEX(Clay_Offices!$A$2:$FZ$601,335,Sync!$C$5)&amp;"",""),Office_Log!$A$2:$A$201,0))&amp;"",IFERROR(INDEX(Clay_Offices!$A$2:$FZ$601,335,Sync!$C$5)&amp;"","")&amp;""))</f>
        <v/>
      </c>
      <c r="E3186" s="23" t="str">
        <f aca="false">IF(B3186="","",IFERROR(INDEX(Clay_Offices!$A$2:$FZ$601,335,Sync!$C$6)&amp;"",""))</f>
        <v/>
      </c>
      <c r="F3186" s="23" t="str">
        <f aca="false">IF(B3186="","","outreach_sent")</f>
        <v/>
      </c>
      <c r="G3186" s="23" t="str">
        <f aca="false">IF(B3186="","","")</f>
        <v/>
      </c>
      <c r="H3186" s="23" t="str">
        <f aca="false">IF(B3186="","","")</f>
        <v/>
      </c>
      <c r="I3186" s="23" t="str">
        <f aca="false">IF(B3186="","","")</f>
        <v/>
      </c>
      <c r="J3186" s="23" t="str">
        <f aca="false">IF(B3186="","","touch_3; "&amp;IFERROR(INDEX(Clay_Offices!$A$2:$FZ$601,335,Sync!$C$10)&amp;"","")&amp;"; "&amp;IFERROR(INDEX(Clay_Offices!$A$2:$FZ$601,335,Sync!$C$9)&amp;"",""))</f>
        <v/>
      </c>
      <c r="K3186" s="32" t="s">
        <v>1365</v>
      </c>
    </row>
    <row r="3187" customFormat="false" ht="15" hidden="false" customHeight="false" outlineLevel="0" collapsed="false">
      <c r="A3187" s="23" t="str">
        <f aca="false">IF(B3187="","",B3187+(14*1000+336)/10000000)</f>
        <v/>
      </c>
      <c r="B3187" s="35" t="str">
        <f aca="false">IF(AND(IFERROR(N(INDEX(Clay_Offices!$A$2:$FZ$601,336,Sync!$C$13)),0)&gt;0,IFERROR(INDEX(Clay_Offices!$A$2:$FZ$601,336,Sync!$C$5)&amp;"","")&lt;&gt;"",OR(LEFT(IFERROR(INDEX(Clay_Offices!$A$2:$FZ$601,336,Sync!$C$5)&amp;"",""),6)&lt;&gt;"SAMPLE",Config!$B$19="Y")),IFERROR(N(INDEX(Clay_Offices!$A$2:$FZ$601,336,Sync!$C$13)),0),"")</f>
        <v/>
      </c>
      <c r="C3187" s="23" t="str">
        <f aca="false">IF(B3187="","","office")</f>
        <v/>
      </c>
      <c r="D3187" s="23" t="str">
        <f aca="false">IF(B3187="","",IFERROR(INDEX(Office_Log!$ED$2:$ED$201,MATCH(IFERROR(INDEX(Clay_Offices!$A$2:$FZ$601,336,Sync!$C$5)&amp;"",""),Office_Log!$A$2:$A$201,0))&amp;"",IFERROR(INDEX(Clay_Offices!$A$2:$FZ$601,336,Sync!$C$5)&amp;"","")&amp;""))</f>
        <v/>
      </c>
      <c r="E3187" s="23" t="str">
        <f aca="false">IF(B3187="","",IFERROR(INDEX(Clay_Offices!$A$2:$FZ$601,336,Sync!$C$6)&amp;"",""))</f>
        <v/>
      </c>
      <c r="F3187" s="23" t="str">
        <f aca="false">IF(B3187="","","outreach_sent")</f>
        <v/>
      </c>
      <c r="G3187" s="23" t="str">
        <f aca="false">IF(B3187="","","")</f>
        <v/>
      </c>
      <c r="H3187" s="23" t="str">
        <f aca="false">IF(B3187="","","")</f>
        <v/>
      </c>
      <c r="I3187" s="23" t="str">
        <f aca="false">IF(B3187="","","")</f>
        <v/>
      </c>
      <c r="J3187" s="23" t="str">
        <f aca="false">IF(B3187="","","touch_3; "&amp;IFERROR(INDEX(Clay_Offices!$A$2:$FZ$601,336,Sync!$C$10)&amp;"","")&amp;"; "&amp;IFERROR(INDEX(Clay_Offices!$A$2:$FZ$601,336,Sync!$C$9)&amp;"",""))</f>
        <v/>
      </c>
      <c r="K3187" s="32" t="s">
        <v>1365</v>
      </c>
    </row>
    <row r="3188" customFormat="false" ht="15" hidden="false" customHeight="false" outlineLevel="0" collapsed="false">
      <c r="A3188" s="23" t="str">
        <f aca="false">IF(B3188="","",B3188+(14*1000+337)/10000000)</f>
        <v/>
      </c>
      <c r="B3188" s="35" t="str">
        <f aca="false">IF(AND(IFERROR(N(INDEX(Clay_Offices!$A$2:$FZ$601,337,Sync!$C$13)),0)&gt;0,IFERROR(INDEX(Clay_Offices!$A$2:$FZ$601,337,Sync!$C$5)&amp;"","")&lt;&gt;"",OR(LEFT(IFERROR(INDEX(Clay_Offices!$A$2:$FZ$601,337,Sync!$C$5)&amp;"",""),6)&lt;&gt;"SAMPLE",Config!$B$19="Y")),IFERROR(N(INDEX(Clay_Offices!$A$2:$FZ$601,337,Sync!$C$13)),0),"")</f>
        <v/>
      </c>
      <c r="C3188" s="23" t="str">
        <f aca="false">IF(B3188="","","office")</f>
        <v/>
      </c>
      <c r="D3188" s="23" t="str">
        <f aca="false">IF(B3188="","",IFERROR(INDEX(Office_Log!$ED$2:$ED$201,MATCH(IFERROR(INDEX(Clay_Offices!$A$2:$FZ$601,337,Sync!$C$5)&amp;"",""),Office_Log!$A$2:$A$201,0))&amp;"",IFERROR(INDEX(Clay_Offices!$A$2:$FZ$601,337,Sync!$C$5)&amp;"","")&amp;""))</f>
        <v/>
      </c>
      <c r="E3188" s="23" t="str">
        <f aca="false">IF(B3188="","",IFERROR(INDEX(Clay_Offices!$A$2:$FZ$601,337,Sync!$C$6)&amp;"",""))</f>
        <v/>
      </c>
      <c r="F3188" s="23" t="str">
        <f aca="false">IF(B3188="","","outreach_sent")</f>
        <v/>
      </c>
      <c r="G3188" s="23" t="str">
        <f aca="false">IF(B3188="","","")</f>
        <v/>
      </c>
      <c r="H3188" s="23" t="str">
        <f aca="false">IF(B3188="","","")</f>
        <v/>
      </c>
      <c r="I3188" s="23" t="str">
        <f aca="false">IF(B3188="","","")</f>
        <v/>
      </c>
      <c r="J3188" s="23" t="str">
        <f aca="false">IF(B3188="","","touch_3; "&amp;IFERROR(INDEX(Clay_Offices!$A$2:$FZ$601,337,Sync!$C$10)&amp;"","")&amp;"; "&amp;IFERROR(INDEX(Clay_Offices!$A$2:$FZ$601,337,Sync!$C$9)&amp;"",""))</f>
        <v/>
      </c>
      <c r="K3188" s="32" t="s">
        <v>1365</v>
      </c>
    </row>
    <row r="3189" customFormat="false" ht="15" hidden="false" customHeight="false" outlineLevel="0" collapsed="false">
      <c r="A3189" s="23" t="str">
        <f aca="false">IF(B3189="","",B3189+(14*1000+338)/10000000)</f>
        <v/>
      </c>
      <c r="B3189" s="35" t="str">
        <f aca="false">IF(AND(IFERROR(N(INDEX(Clay_Offices!$A$2:$FZ$601,338,Sync!$C$13)),0)&gt;0,IFERROR(INDEX(Clay_Offices!$A$2:$FZ$601,338,Sync!$C$5)&amp;"","")&lt;&gt;"",OR(LEFT(IFERROR(INDEX(Clay_Offices!$A$2:$FZ$601,338,Sync!$C$5)&amp;"",""),6)&lt;&gt;"SAMPLE",Config!$B$19="Y")),IFERROR(N(INDEX(Clay_Offices!$A$2:$FZ$601,338,Sync!$C$13)),0),"")</f>
        <v/>
      </c>
      <c r="C3189" s="23" t="str">
        <f aca="false">IF(B3189="","","office")</f>
        <v/>
      </c>
      <c r="D3189" s="23" t="str">
        <f aca="false">IF(B3189="","",IFERROR(INDEX(Office_Log!$ED$2:$ED$201,MATCH(IFERROR(INDEX(Clay_Offices!$A$2:$FZ$601,338,Sync!$C$5)&amp;"",""),Office_Log!$A$2:$A$201,0))&amp;"",IFERROR(INDEX(Clay_Offices!$A$2:$FZ$601,338,Sync!$C$5)&amp;"","")&amp;""))</f>
        <v/>
      </c>
      <c r="E3189" s="23" t="str">
        <f aca="false">IF(B3189="","",IFERROR(INDEX(Clay_Offices!$A$2:$FZ$601,338,Sync!$C$6)&amp;"",""))</f>
        <v/>
      </c>
      <c r="F3189" s="23" t="str">
        <f aca="false">IF(B3189="","","outreach_sent")</f>
        <v/>
      </c>
      <c r="G3189" s="23" t="str">
        <f aca="false">IF(B3189="","","")</f>
        <v/>
      </c>
      <c r="H3189" s="23" t="str">
        <f aca="false">IF(B3189="","","")</f>
        <v/>
      </c>
      <c r="I3189" s="23" t="str">
        <f aca="false">IF(B3189="","","")</f>
        <v/>
      </c>
      <c r="J3189" s="23" t="str">
        <f aca="false">IF(B3189="","","touch_3; "&amp;IFERROR(INDEX(Clay_Offices!$A$2:$FZ$601,338,Sync!$C$10)&amp;"","")&amp;"; "&amp;IFERROR(INDEX(Clay_Offices!$A$2:$FZ$601,338,Sync!$C$9)&amp;"",""))</f>
        <v/>
      </c>
      <c r="K3189" s="32" t="s">
        <v>1365</v>
      </c>
    </row>
    <row r="3190" customFormat="false" ht="15" hidden="false" customHeight="false" outlineLevel="0" collapsed="false">
      <c r="A3190" s="23" t="str">
        <f aca="false">IF(B3190="","",B3190+(14*1000+339)/10000000)</f>
        <v/>
      </c>
      <c r="B3190" s="35" t="str">
        <f aca="false">IF(AND(IFERROR(N(INDEX(Clay_Offices!$A$2:$FZ$601,339,Sync!$C$13)),0)&gt;0,IFERROR(INDEX(Clay_Offices!$A$2:$FZ$601,339,Sync!$C$5)&amp;"","")&lt;&gt;"",OR(LEFT(IFERROR(INDEX(Clay_Offices!$A$2:$FZ$601,339,Sync!$C$5)&amp;"",""),6)&lt;&gt;"SAMPLE",Config!$B$19="Y")),IFERROR(N(INDEX(Clay_Offices!$A$2:$FZ$601,339,Sync!$C$13)),0),"")</f>
        <v/>
      </c>
      <c r="C3190" s="23" t="str">
        <f aca="false">IF(B3190="","","office")</f>
        <v/>
      </c>
      <c r="D3190" s="23" t="str">
        <f aca="false">IF(B3190="","",IFERROR(INDEX(Office_Log!$ED$2:$ED$201,MATCH(IFERROR(INDEX(Clay_Offices!$A$2:$FZ$601,339,Sync!$C$5)&amp;"",""),Office_Log!$A$2:$A$201,0))&amp;"",IFERROR(INDEX(Clay_Offices!$A$2:$FZ$601,339,Sync!$C$5)&amp;"","")&amp;""))</f>
        <v/>
      </c>
      <c r="E3190" s="23" t="str">
        <f aca="false">IF(B3190="","",IFERROR(INDEX(Clay_Offices!$A$2:$FZ$601,339,Sync!$C$6)&amp;"",""))</f>
        <v/>
      </c>
      <c r="F3190" s="23" t="str">
        <f aca="false">IF(B3190="","","outreach_sent")</f>
        <v/>
      </c>
      <c r="G3190" s="23" t="str">
        <f aca="false">IF(B3190="","","")</f>
        <v/>
      </c>
      <c r="H3190" s="23" t="str">
        <f aca="false">IF(B3190="","","")</f>
        <v/>
      </c>
      <c r="I3190" s="23" t="str">
        <f aca="false">IF(B3190="","","")</f>
        <v/>
      </c>
      <c r="J3190" s="23" t="str">
        <f aca="false">IF(B3190="","","touch_3; "&amp;IFERROR(INDEX(Clay_Offices!$A$2:$FZ$601,339,Sync!$C$10)&amp;"","")&amp;"; "&amp;IFERROR(INDEX(Clay_Offices!$A$2:$FZ$601,339,Sync!$C$9)&amp;"",""))</f>
        <v/>
      </c>
      <c r="K3190" s="32" t="s">
        <v>1365</v>
      </c>
    </row>
    <row r="3191" customFormat="false" ht="15" hidden="false" customHeight="false" outlineLevel="0" collapsed="false">
      <c r="A3191" s="23" t="str">
        <f aca="false">IF(B3191="","",B3191+(14*1000+340)/10000000)</f>
        <v/>
      </c>
      <c r="B3191" s="35" t="str">
        <f aca="false">IF(AND(IFERROR(N(INDEX(Clay_Offices!$A$2:$FZ$601,340,Sync!$C$13)),0)&gt;0,IFERROR(INDEX(Clay_Offices!$A$2:$FZ$601,340,Sync!$C$5)&amp;"","")&lt;&gt;"",OR(LEFT(IFERROR(INDEX(Clay_Offices!$A$2:$FZ$601,340,Sync!$C$5)&amp;"",""),6)&lt;&gt;"SAMPLE",Config!$B$19="Y")),IFERROR(N(INDEX(Clay_Offices!$A$2:$FZ$601,340,Sync!$C$13)),0),"")</f>
        <v/>
      </c>
      <c r="C3191" s="23" t="str">
        <f aca="false">IF(B3191="","","office")</f>
        <v/>
      </c>
      <c r="D3191" s="23" t="str">
        <f aca="false">IF(B3191="","",IFERROR(INDEX(Office_Log!$ED$2:$ED$201,MATCH(IFERROR(INDEX(Clay_Offices!$A$2:$FZ$601,340,Sync!$C$5)&amp;"",""),Office_Log!$A$2:$A$201,0))&amp;"",IFERROR(INDEX(Clay_Offices!$A$2:$FZ$601,340,Sync!$C$5)&amp;"","")&amp;""))</f>
        <v/>
      </c>
      <c r="E3191" s="23" t="str">
        <f aca="false">IF(B3191="","",IFERROR(INDEX(Clay_Offices!$A$2:$FZ$601,340,Sync!$C$6)&amp;"",""))</f>
        <v/>
      </c>
      <c r="F3191" s="23" t="str">
        <f aca="false">IF(B3191="","","outreach_sent")</f>
        <v/>
      </c>
      <c r="G3191" s="23" t="str">
        <f aca="false">IF(B3191="","","")</f>
        <v/>
      </c>
      <c r="H3191" s="23" t="str">
        <f aca="false">IF(B3191="","","")</f>
        <v/>
      </c>
      <c r="I3191" s="23" t="str">
        <f aca="false">IF(B3191="","","")</f>
        <v/>
      </c>
      <c r="J3191" s="23" t="str">
        <f aca="false">IF(B3191="","","touch_3; "&amp;IFERROR(INDEX(Clay_Offices!$A$2:$FZ$601,340,Sync!$C$10)&amp;"","")&amp;"; "&amp;IFERROR(INDEX(Clay_Offices!$A$2:$FZ$601,340,Sync!$C$9)&amp;"",""))</f>
        <v/>
      </c>
      <c r="K3191" s="32" t="s">
        <v>1365</v>
      </c>
    </row>
    <row r="3192" customFormat="false" ht="15" hidden="false" customHeight="false" outlineLevel="0" collapsed="false">
      <c r="A3192" s="23" t="str">
        <f aca="false">IF(B3192="","",B3192+(14*1000+341)/10000000)</f>
        <v/>
      </c>
      <c r="B3192" s="35" t="str">
        <f aca="false">IF(AND(IFERROR(N(INDEX(Clay_Offices!$A$2:$FZ$601,341,Sync!$C$13)),0)&gt;0,IFERROR(INDEX(Clay_Offices!$A$2:$FZ$601,341,Sync!$C$5)&amp;"","")&lt;&gt;"",OR(LEFT(IFERROR(INDEX(Clay_Offices!$A$2:$FZ$601,341,Sync!$C$5)&amp;"",""),6)&lt;&gt;"SAMPLE",Config!$B$19="Y")),IFERROR(N(INDEX(Clay_Offices!$A$2:$FZ$601,341,Sync!$C$13)),0),"")</f>
        <v/>
      </c>
      <c r="C3192" s="23" t="str">
        <f aca="false">IF(B3192="","","office")</f>
        <v/>
      </c>
      <c r="D3192" s="23" t="str">
        <f aca="false">IF(B3192="","",IFERROR(INDEX(Office_Log!$ED$2:$ED$201,MATCH(IFERROR(INDEX(Clay_Offices!$A$2:$FZ$601,341,Sync!$C$5)&amp;"",""),Office_Log!$A$2:$A$201,0))&amp;"",IFERROR(INDEX(Clay_Offices!$A$2:$FZ$601,341,Sync!$C$5)&amp;"","")&amp;""))</f>
        <v/>
      </c>
      <c r="E3192" s="23" t="str">
        <f aca="false">IF(B3192="","",IFERROR(INDEX(Clay_Offices!$A$2:$FZ$601,341,Sync!$C$6)&amp;"",""))</f>
        <v/>
      </c>
      <c r="F3192" s="23" t="str">
        <f aca="false">IF(B3192="","","outreach_sent")</f>
        <v/>
      </c>
      <c r="G3192" s="23" t="str">
        <f aca="false">IF(B3192="","","")</f>
        <v/>
      </c>
      <c r="H3192" s="23" t="str">
        <f aca="false">IF(B3192="","","")</f>
        <v/>
      </c>
      <c r="I3192" s="23" t="str">
        <f aca="false">IF(B3192="","","")</f>
        <v/>
      </c>
      <c r="J3192" s="23" t="str">
        <f aca="false">IF(B3192="","","touch_3; "&amp;IFERROR(INDEX(Clay_Offices!$A$2:$FZ$601,341,Sync!$C$10)&amp;"","")&amp;"; "&amp;IFERROR(INDEX(Clay_Offices!$A$2:$FZ$601,341,Sync!$C$9)&amp;"",""))</f>
        <v/>
      </c>
      <c r="K3192" s="32" t="s">
        <v>1365</v>
      </c>
    </row>
    <row r="3193" customFormat="false" ht="15" hidden="false" customHeight="false" outlineLevel="0" collapsed="false">
      <c r="A3193" s="23" t="str">
        <f aca="false">IF(B3193="","",B3193+(14*1000+342)/10000000)</f>
        <v/>
      </c>
      <c r="B3193" s="35" t="str">
        <f aca="false">IF(AND(IFERROR(N(INDEX(Clay_Offices!$A$2:$FZ$601,342,Sync!$C$13)),0)&gt;0,IFERROR(INDEX(Clay_Offices!$A$2:$FZ$601,342,Sync!$C$5)&amp;"","")&lt;&gt;"",OR(LEFT(IFERROR(INDEX(Clay_Offices!$A$2:$FZ$601,342,Sync!$C$5)&amp;"",""),6)&lt;&gt;"SAMPLE",Config!$B$19="Y")),IFERROR(N(INDEX(Clay_Offices!$A$2:$FZ$601,342,Sync!$C$13)),0),"")</f>
        <v/>
      </c>
      <c r="C3193" s="23" t="str">
        <f aca="false">IF(B3193="","","office")</f>
        <v/>
      </c>
      <c r="D3193" s="23" t="str">
        <f aca="false">IF(B3193="","",IFERROR(INDEX(Office_Log!$ED$2:$ED$201,MATCH(IFERROR(INDEX(Clay_Offices!$A$2:$FZ$601,342,Sync!$C$5)&amp;"",""),Office_Log!$A$2:$A$201,0))&amp;"",IFERROR(INDEX(Clay_Offices!$A$2:$FZ$601,342,Sync!$C$5)&amp;"","")&amp;""))</f>
        <v/>
      </c>
      <c r="E3193" s="23" t="str">
        <f aca="false">IF(B3193="","",IFERROR(INDEX(Clay_Offices!$A$2:$FZ$601,342,Sync!$C$6)&amp;"",""))</f>
        <v/>
      </c>
      <c r="F3193" s="23" t="str">
        <f aca="false">IF(B3193="","","outreach_sent")</f>
        <v/>
      </c>
      <c r="G3193" s="23" t="str">
        <f aca="false">IF(B3193="","","")</f>
        <v/>
      </c>
      <c r="H3193" s="23" t="str">
        <f aca="false">IF(B3193="","","")</f>
        <v/>
      </c>
      <c r="I3193" s="23" t="str">
        <f aca="false">IF(B3193="","","")</f>
        <v/>
      </c>
      <c r="J3193" s="23" t="str">
        <f aca="false">IF(B3193="","","touch_3; "&amp;IFERROR(INDEX(Clay_Offices!$A$2:$FZ$601,342,Sync!$C$10)&amp;"","")&amp;"; "&amp;IFERROR(INDEX(Clay_Offices!$A$2:$FZ$601,342,Sync!$C$9)&amp;"",""))</f>
        <v/>
      </c>
      <c r="K3193" s="32" t="s">
        <v>1365</v>
      </c>
    </row>
    <row r="3194" customFormat="false" ht="15" hidden="false" customHeight="false" outlineLevel="0" collapsed="false">
      <c r="A3194" s="23" t="str">
        <f aca="false">IF(B3194="","",B3194+(14*1000+343)/10000000)</f>
        <v/>
      </c>
      <c r="B3194" s="35" t="str">
        <f aca="false">IF(AND(IFERROR(N(INDEX(Clay_Offices!$A$2:$FZ$601,343,Sync!$C$13)),0)&gt;0,IFERROR(INDEX(Clay_Offices!$A$2:$FZ$601,343,Sync!$C$5)&amp;"","")&lt;&gt;"",OR(LEFT(IFERROR(INDEX(Clay_Offices!$A$2:$FZ$601,343,Sync!$C$5)&amp;"",""),6)&lt;&gt;"SAMPLE",Config!$B$19="Y")),IFERROR(N(INDEX(Clay_Offices!$A$2:$FZ$601,343,Sync!$C$13)),0),"")</f>
        <v/>
      </c>
      <c r="C3194" s="23" t="str">
        <f aca="false">IF(B3194="","","office")</f>
        <v/>
      </c>
      <c r="D3194" s="23" t="str">
        <f aca="false">IF(B3194="","",IFERROR(INDEX(Office_Log!$ED$2:$ED$201,MATCH(IFERROR(INDEX(Clay_Offices!$A$2:$FZ$601,343,Sync!$C$5)&amp;"",""),Office_Log!$A$2:$A$201,0))&amp;"",IFERROR(INDEX(Clay_Offices!$A$2:$FZ$601,343,Sync!$C$5)&amp;"","")&amp;""))</f>
        <v/>
      </c>
      <c r="E3194" s="23" t="str">
        <f aca="false">IF(B3194="","",IFERROR(INDEX(Clay_Offices!$A$2:$FZ$601,343,Sync!$C$6)&amp;"",""))</f>
        <v/>
      </c>
      <c r="F3194" s="23" t="str">
        <f aca="false">IF(B3194="","","outreach_sent")</f>
        <v/>
      </c>
      <c r="G3194" s="23" t="str">
        <f aca="false">IF(B3194="","","")</f>
        <v/>
      </c>
      <c r="H3194" s="23" t="str">
        <f aca="false">IF(B3194="","","")</f>
        <v/>
      </c>
      <c r="I3194" s="23" t="str">
        <f aca="false">IF(B3194="","","")</f>
        <v/>
      </c>
      <c r="J3194" s="23" t="str">
        <f aca="false">IF(B3194="","","touch_3; "&amp;IFERROR(INDEX(Clay_Offices!$A$2:$FZ$601,343,Sync!$C$10)&amp;"","")&amp;"; "&amp;IFERROR(INDEX(Clay_Offices!$A$2:$FZ$601,343,Sync!$C$9)&amp;"",""))</f>
        <v/>
      </c>
      <c r="K3194" s="32" t="s">
        <v>1365</v>
      </c>
    </row>
    <row r="3195" customFormat="false" ht="15" hidden="false" customHeight="false" outlineLevel="0" collapsed="false">
      <c r="A3195" s="23" t="str">
        <f aca="false">IF(B3195="","",B3195+(14*1000+344)/10000000)</f>
        <v/>
      </c>
      <c r="B3195" s="35" t="str">
        <f aca="false">IF(AND(IFERROR(N(INDEX(Clay_Offices!$A$2:$FZ$601,344,Sync!$C$13)),0)&gt;0,IFERROR(INDEX(Clay_Offices!$A$2:$FZ$601,344,Sync!$C$5)&amp;"","")&lt;&gt;"",OR(LEFT(IFERROR(INDEX(Clay_Offices!$A$2:$FZ$601,344,Sync!$C$5)&amp;"",""),6)&lt;&gt;"SAMPLE",Config!$B$19="Y")),IFERROR(N(INDEX(Clay_Offices!$A$2:$FZ$601,344,Sync!$C$13)),0),"")</f>
        <v/>
      </c>
      <c r="C3195" s="23" t="str">
        <f aca="false">IF(B3195="","","office")</f>
        <v/>
      </c>
      <c r="D3195" s="23" t="str">
        <f aca="false">IF(B3195="","",IFERROR(INDEX(Office_Log!$ED$2:$ED$201,MATCH(IFERROR(INDEX(Clay_Offices!$A$2:$FZ$601,344,Sync!$C$5)&amp;"",""),Office_Log!$A$2:$A$201,0))&amp;"",IFERROR(INDEX(Clay_Offices!$A$2:$FZ$601,344,Sync!$C$5)&amp;"","")&amp;""))</f>
        <v/>
      </c>
      <c r="E3195" s="23" t="str">
        <f aca="false">IF(B3195="","",IFERROR(INDEX(Clay_Offices!$A$2:$FZ$601,344,Sync!$C$6)&amp;"",""))</f>
        <v/>
      </c>
      <c r="F3195" s="23" t="str">
        <f aca="false">IF(B3195="","","outreach_sent")</f>
        <v/>
      </c>
      <c r="G3195" s="23" t="str">
        <f aca="false">IF(B3195="","","")</f>
        <v/>
      </c>
      <c r="H3195" s="23" t="str">
        <f aca="false">IF(B3195="","","")</f>
        <v/>
      </c>
      <c r="I3195" s="23" t="str">
        <f aca="false">IF(B3195="","","")</f>
        <v/>
      </c>
      <c r="J3195" s="23" t="str">
        <f aca="false">IF(B3195="","","touch_3; "&amp;IFERROR(INDEX(Clay_Offices!$A$2:$FZ$601,344,Sync!$C$10)&amp;"","")&amp;"; "&amp;IFERROR(INDEX(Clay_Offices!$A$2:$FZ$601,344,Sync!$C$9)&amp;"",""))</f>
        <v/>
      </c>
      <c r="K3195" s="32" t="s">
        <v>1365</v>
      </c>
    </row>
    <row r="3196" customFormat="false" ht="15" hidden="false" customHeight="false" outlineLevel="0" collapsed="false">
      <c r="A3196" s="23" t="str">
        <f aca="false">IF(B3196="","",B3196+(14*1000+345)/10000000)</f>
        <v/>
      </c>
      <c r="B3196" s="35" t="str">
        <f aca="false">IF(AND(IFERROR(N(INDEX(Clay_Offices!$A$2:$FZ$601,345,Sync!$C$13)),0)&gt;0,IFERROR(INDEX(Clay_Offices!$A$2:$FZ$601,345,Sync!$C$5)&amp;"","")&lt;&gt;"",OR(LEFT(IFERROR(INDEX(Clay_Offices!$A$2:$FZ$601,345,Sync!$C$5)&amp;"",""),6)&lt;&gt;"SAMPLE",Config!$B$19="Y")),IFERROR(N(INDEX(Clay_Offices!$A$2:$FZ$601,345,Sync!$C$13)),0),"")</f>
        <v/>
      </c>
      <c r="C3196" s="23" t="str">
        <f aca="false">IF(B3196="","","office")</f>
        <v/>
      </c>
      <c r="D3196" s="23" t="str">
        <f aca="false">IF(B3196="","",IFERROR(INDEX(Office_Log!$ED$2:$ED$201,MATCH(IFERROR(INDEX(Clay_Offices!$A$2:$FZ$601,345,Sync!$C$5)&amp;"",""),Office_Log!$A$2:$A$201,0))&amp;"",IFERROR(INDEX(Clay_Offices!$A$2:$FZ$601,345,Sync!$C$5)&amp;"","")&amp;""))</f>
        <v/>
      </c>
      <c r="E3196" s="23" t="str">
        <f aca="false">IF(B3196="","",IFERROR(INDEX(Clay_Offices!$A$2:$FZ$601,345,Sync!$C$6)&amp;"",""))</f>
        <v/>
      </c>
      <c r="F3196" s="23" t="str">
        <f aca="false">IF(B3196="","","outreach_sent")</f>
        <v/>
      </c>
      <c r="G3196" s="23" t="str">
        <f aca="false">IF(B3196="","","")</f>
        <v/>
      </c>
      <c r="H3196" s="23" t="str">
        <f aca="false">IF(B3196="","","")</f>
        <v/>
      </c>
      <c r="I3196" s="23" t="str">
        <f aca="false">IF(B3196="","","")</f>
        <v/>
      </c>
      <c r="J3196" s="23" t="str">
        <f aca="false">IF(B3196="","","touch_3; "&amp;IFERROR(INDEX(Clay_Offices!$A$2:$FZ$601,345,Sync!$C$10)&amp;"","")&amp;"; "&amp;IFERROR(INDEX(Clay_Offices!$A$2:$FZ$601,345,Sync!$C$9)&amp;"",""))</f>
        <v/>
      </c>
      <c r="K3196" s="32" t="s">
        <v>1365</v>
      </c>
    </row>
    <row r="3197" customFormat="false" ht="15" hidden="false" customHeight="false" outlineLevel="0" collapsed="false">
      <c r="A3197" s="23" t="str">
        <f aca="false">IF(B3197="","",B3197+(14*1000+346)/10000000)</f>
        <v/>
      </c>
      <c r="B3197" s="35" t="str">
        <f aca="false">IF(AND(IFERROR(N(INDEX(Clay_Offices!$A$2:$FZ$601,346,Sync!$C$13)),0)&gt;0,IFERROR(INDEX(Clay_Offices!$A$2:$FZ$601,346,Sync!$C$5)&amp;"","")&lt;&gt;"",OR(LEFT(IFERROR(INDEX(Clay_Offices!$A$2:$FZ$601,346,Sync!$C$5)&amp;"",""),6)&lt;&gt;"SAMPLE",Config!$B$19="Y")),IFERROR(N(INDEX(Clay_Offices!$A$2:$FZ$601,346,Sync!$C$13)),0),"")</f>
        <v/>
      </c>
      <c r="C3197" s="23" t="str">
        <f aca="false">IF(B3197="","","office")</f>
        <v/>
      </c>
      <c r="D3197" s="23" t="str">
        <f aca="false">IF(B3197="","",IFERROR(INDEX(Office_Log!$ED$2:$ED$201,MATCH(IFERROR(INDEX(Clay_Offices!$A$2:$FZ$601,346,Sync!$C$5)&amp;"",""),Office_Log!$A$2:$A$201,0))&amp;"",IFERROR(INDEX(Clay_Offices!$A$2:$FZ$601,346,Sync!$C$5)&amp;"","")&amp;""))</f>
        <v/>
      </c>
      <c r="E3197" s="23" t="str">
        <f aca="false">IF(B3197="","",IFERROR(INDEX(Clay_Offices!$A$2:$FZ$601,346,Sync!$C$6)&amp;"",""))</f>
        <v/>
      </c>
      <c r="F3197" s="23" t="str">
        <f aca="false">IF(B3197="","","outreach_sent")</f>
        <v/>
      </c>
      <c r="G3197" s="23" t="str">
        <f aca="false">IF(B3197="","","")</f>
        <v/>
      </c>
      <c r="H3197" s="23" t="str">
        <f aca="false">IF(B3197="","","")</f>
        <v/>
      </c>
      <c r="I3197" s="23" t="str">
        <f aca="false">IF(B3197="","","")</f>
        <v/>
      </c>
      <c r="J3197" s="23" t="str">
        <f aca="false">IF(B3197="","","touch_3; "&amp;IFERROR(INDEX(Clay_Offices!$A$2:$FZ$601,346,Sync!$C$10)&amp;"","")&amp;"; "&amp;IFERROR(INDEX(Clay_Offices!$A$2:$FZ$601,346,Sync!$C$9)&amp;"",""))</f>
        <v/>
      </c>
      <c r="K3197" s="32" t="s">
        <v>1365</v>
      </c>
    </row>
    <row r="3198" customFormat="false" ht="15" hidden="false" customHeight="false" outlineLevel="0" collapsed="false">
      <c r="A3198" s="23" t="str">
        <f aca="false">IF(B3198="","",B3198+(14*1000+347)/10000000)</f>
        <v/>
      </c>
      <c r="B3198" s="35" t="str">
        <f aca="false">IF(AND(IFERROR(N(INDEX(Clay_Offices!$A$2:$FZ$601,347,Sync!$C$13)),0)&gt;0,IFERROR(INDEX(Clay_Offices!$A$2:$FZ$601,347,Sync!$C$5)&amp;"","")&lt;&gt;"",OR(LEFT(IFERROR(INDEX(Clay_Offices!$A$2:$FZ$601,347,Sync!$C$5)&amp;"",""),6)&lt;&gt;"SAMPLE",Config!$B$19="Y")),IFERROR(N(INDEX(Clay_Offices!$A$2:$FZ$601,347,Sync!$C$13)),0),"")</f>
        <v/>
      </c>
      <c r="C3198" s="23" t="str">
        <f aca="false">IF(B3198="","","office")</f>
        <v/>
      </c>
      <c r="D3198" s="23" t="str">
        <f aca="false">IF(B3198="","",IFERROR(INDEX(Office_Log!$ED$2:$ED$201,MATCH(IFERROR(INDEX(Clay_Offices!$A$2:$FZ$601,347,Sync!$C$5)&amp;"",""),Office_Log!$A$2:$A$201,0))&amp;"",IFERROR(INDEX(Clay_Offices!$A$2:$FZ$601,347,Sync!$C$5)&amp;"","")&amp;""))</f>
        <v/>
      </c>
      <c r="E3198" s="23" t="str">
        <f aca="false">IF(B3198="","",IFERROR(INDEX(Clay_Offices!$A$2:$FZ$601,347,Sync!$C$6)&amp;"",""))</f>
        <v/>
      </c>
      <c r="F3198" s="23" t="str">
        <f aca="false">IF(B3198="","","outreach_sent")</f>
        <v/>
      </c>
      <c r="G3198" s="23" t="str">
        <f aca="false">IF(B3198="","","")</f>
        <v/>
      </c>
      <c r="H3198" s="23" t="str">
        <f aca="false">IF(B3198="","","")</f>
        <v/>
      </c>
      <c r="I3198" s="23" t="str">
        <f aca="false">IF(B3198="","","")</f>
        <v/>
      </c>
      <c r="J3198" s="23" t="str">
        <f aca="false">IF(B3198="","","touch_3; "&amp;IFERROR(INDEX(Clay_Offices!$A$2:$FZ$601,347,Sync!$C$10)&amp;"","")&amp;"; "&amp;IFERROR(INDEX(Clay_Offices!$A$2:$FZ$601,347,Sync!$C$9)&amp;"",""))</f>
        <v/>
      </c>
      <c r="K3198" s="32" t="s">
        <v>1365</v>
      </c>
    </row>
    <row r="3199" customFormat="false" ht="15" hidden="false" customHeight="false" outlineLevel="0" collapsed="false">
      <c r="A3199" s="23" t="str">
        <f aca="false">IF(B3199="","",B3199+(14*1000+348)/10000000)</f>
        <v/>
      </c>
      <c r="B3199" s="35" t="str">
        <f aca="false">IF(AND(IFERROR(N(INDEX(Clay_Offices!$A$2:$FZ$601,348,Sync!$C$13)),0)&gt;0,IFERROR(INDEX(Clay_Offices!$A$2:$FZ$601,348,Sync!$C$5)&amp;"","")&lt;&gt;"",OR(LEFT(IFERROR(INDEX(Clay_Offices!$A$2:$FZ$601,348,Sync!$C$5)&amp;"",""),6)&lt;&gt;"SAMPLE",Config!$B$19="Y")),IFERROR(N(INDEX(Clay_Offices!$A$2:$FZ$601,348,Sync!$C$13)),0),"")</f>
        <v/>
      </c>
      <c r="C3199" s="23" t="str">
        <f aca="false">IF(B3199="","","office")</f>
        <v/>
      </c>
      <c r="D3199" s="23" t="str">
        <f aca="false">IF(B3199="","",IFERROR(INDEX(Office_Log!$ED$2:$ED$201,MATCH(IFERROR(INDEX(Clay_Offices!$A$2:$FZ$601,348,Sync!$C$5)&amp;"",""),Office_Log!$A$2:$A$201,0))&amp;"",IFERROR(INDEX(Clay_Offices!$A$2:$FZ$601,348,Sync!$C$5)&amp;"","")&amp;""))</f>
        <v/>
      </c>
      <c r="E3199" s="23" t="str">
        <f aca="false">IF(B3199="","",IFERROR(INDEX(Clay_Offices!$A$2:$FZ$601,348,Sync!$C$6)&amp;"",""))</f>
        <v/>
      </c>
      <c r="F3199" s="23" t="str">
        <f aca="false">IF(B3199="","","outreach_sent")</f>
        <v/>
      </c>
      <c r="G3199" s="23" t="str">
        <f aca="false">IF(B3199="","","")</f>
        <v/>
      </c>
      <c r="H3199" s="23" t="str">
        <f aca="false">IF(B3199="","","")</f>
        <v/>
      </c>
      <c r="I3199" s="23" t="str">
        <f aca="false">IF(B3199="","","")</f>
        <v/>
      </c>
      <c r="J3199" s="23" t="str">
        <f aca="false">IF(B3199="","","touch_3; "&amp;IFERROR(INDEX(Clay_Offices!$A$2:$FZ$601,348,Sync!$C$10)&amp;"","")&amp;"; "&amp;IFERROR(INDEX(Clay_Offices!$A$2:$FZ$601,348,Sync!$C$9)&amp;"",""))</f>
        <v/>
      </c>
      <c r="K3199" s="32" t="s">
        <v>1365</v>
      </c>
    </row>
    <row r="3200" customFormat="false" ht="15" hidden="false" customHeight="false" outlineLevel="0" collapsed="false">
      <c r="A3200" s="23" t="str">
        <f aca="false">IF(B3200="","",B3200+(14*1000+349)/10000000)</f>
        <v/>
      </c>
      <c r="B3200" s="35" t="str">
        <f aca="false">IF(AND(IFERROR(N(INDEX(Clay_Offices!$A$2:$FZ$601,349,Sync!$C$13)),0)&gt;0,IFERROR(INDEX(Clay_Offices!$A$2:$FZ$601,349,Sync!$C$5)&amp;"","")&lt;&gt;"",OR(LEFT(IFERROR(INDEX(Clay_Offices!$A$2:$FZ$601,349,Sync!$C$5)&amp;"",""),6)&lt;&gt;"SAMPLE",Config!$B$19="Y")),IFERROR(N(INDEX(Clay_Offices!$A$2:$FZ$601,349,Sync!$C$13)),0),"")</f>
        <v/>
      </c>
      <c r="C3200" s="23" t="str">
        <f aca="false">IF(B3200="","","office")</f>
        <v/>
      </c>
      <c r="D3200" s="23" t="str">
        <f aca="false">IF(B3200="","",IFERROR(INDEX(Office_Log!$ED$2:$ED$201,MATCH(IFERROR(INDEX(Clay_Offices!$A$2:$FZ$601,349,Sync!$C$5)&amp;"",""),Office_Log!$A$2:$A$201,0))&amp;"",IFERROR(INDEX(Clay_Offices!$A$2:$FZ$601,349,Sync!$C$5)&amp;"","")&amp;""))</f>
        <v/>
      </c>
      <c r="E3200" s="23" t="str">
        <f aca="false">IF(B3200="","",IFERROR(INDEX(Clay_Offices!$A$2:$FZ$601,349,Sync!$C$6)&amp;"",""))</f>
        <v/>
      </c>
      <c r="F3200" s="23" t="str">
        <f aca="false">IF(B3200="","","outreach_sent")</f>
        <v/>
      </c>
      <c r="G3200" s="23" t="str">
        <f aca="false">IF(B3200="","","")</f>
        <v/>
      </c>
      <c r="H3200" s="23" t="str">
        <f aca="false">IF(B3200="","","")</f>
        <v/>
      </c>
      <c r="I3200" s="23" t="str">
        <f aca="false">IF(B3200="","","")</f>
        <v/>
      </c>
      <c r="J3200" s="23" t="str">
        <f aca="false">IF(B3200="","","touch_3; "&amp;IFERROR(INDEX(Clay_Offices!$A$2:$FZ$601,349,Sync!$C$10)&amp;"","")&amp;"; "&amp;IFERROR(INDEX(Clay_Offices!$A$2:$FZ$601,349,Sync!$C$9)&amp;"",""))</f>
        <v/>
      </c>
      <c r="K3200" s="32" t="s">
        <v>1365</v>
      </c>
    </row>
    <row r="3201" customFormat="false" ht="15" hidden="false" customHeight="false" outlineLevel="0" collapsed="false">
      <c r="A3201" s="23" t="str">
        <f aca="false">IF(B3201="","",B3201+(14*1000+350)/10000000)</f>
        <v/>
      </c>
      <c r="B3201" s="35" t="str">
        <f aca="false">IF(AND(IFERROR(N(INDEX(Clay_Offices!$A$2:$FZ$601,350,Sync!$C$13)),0)&gt;0,IFERROR(INDEX(Clay_Offices!$A$2:$FZ$601,350,Sync!$C$5)&amp;"","")&lt;&gt;"",OR(LEFT(IFERROR(INDEX(Clay_Offices!$A$2:$FZ$601,350,Sync!$C$5)&amp;"",""),6)&lt;&gt;"SAMPLE",Config!$B$19="Y")),IFERROR(N(INDEX(Clay_Offices!$A$2:$FZ$601,350,Sync!$C$13)),0),"")</f>
        <v/>
      </c>
      <c r="C3201" s="23" t="str">
        <f aca="false">IF(B3201="","","office")</f>
        <v/>
      </c>
      <c r="D3201" s="23" t="str">
        <f aca="false">IF(B3201="","",IFERROR(INDEX(Office_Log!$ED$2:$ED$201,MATCH(IFERROR(INDEX(Clay_Offices!$A$2:$FZ$601,350,Sync!$C$5)&amp;"",""),Office_Log!$A$2:$A$201,0))&amp;"",IFERROR(INDEX(Clay_Offices!$A$2:$FZ$601,350,Sync!$C$5)&amp;"","")&amp;""))</f>
        <v/>
      </c>
      <c r="E3201" s="23" t="str">
        <f aca="false">IF(B3201="","",IFERROR(INDEX(Clay_Offices!$A$2:$FZ$601,350,Sync!$C$6)&amp;"",""))</f>
        <v/>
      </c>
      <c r="F3201" s="23" t="str">
        <f aca="false">IF(B3201="","","outreach_sent")</f>
        <v/>
      </c>
      <c r="G3201" s="23" t="str">
        <f aca="false">IF(B3201="","","")</f>
        <v/>
      </c>
      <c r="H3201" s="23" t="str">
        <f aca="false">IF(B3201="","","")</f>
        <v/>
      </c>
      <c r="I3201" s="23" t="str">
        <f aca="false">IF(B3201="","","")</f>
        <v/>
      </c>
      <c r="J3201" s="23" t="str">
        <f aca="false">IF(B3201="","","touch_3; "&amp;IFERROR(INDEX(Clay_Offices!$A$2:$FZ$601,350,Sync!$C$10)&amp;"","")&amp;"; "&amp;IFERROR(INDEX(Clay_Offices!$A$2:$FZ$601,350,Sync!$C$9)&amp;"",""))</f>
        <v/>
      </c>
      <c r="K3201" s="32" t="s">
        <v>1365</v>
      </c>
    </row>
    <row r="3202" customFormat="false" ht="15" hidden="false" customHeight="false" outlineLevel="0" collapsed="false">
      <c r="A3202" s="23" t="str">
        <f aca="false">IF(B3202="","",B3202+(14*1000+351)/10000000)</f>
        <v/>
      </c>
      <c r="B3202" s="35" t="str">
        <f aca="false">IF(AND(IFERROR(N(INDEX(Clay_Offices!$A$2:$FZ$601,351,Sync!$C$13)),0)&gt;0,IFERROR(INDEX(Clay_Offices!$A$2:$FZ$601,351,Sync!$C$5)&amp;"","")&lt;&gt;"",OR(LEFT(IFERROR(INDEX(Clay_Offices!$A$2:$FZ$601,351,Sync!$C$5)&amp;"",""),6)&lt;&gt;"SAMPLE",Config!$B$19="Y")),IFERROR(N(INDEX(Clay_Offices!$A$2:$FZ$601,351,Sync!$C$13)),0),"")</f>
        <v/>
      </c>
      <c r="C3202" s="23" t="str">
        <f aca="false">IF(B3202="","","office")</f>
        <v/>
      </c>
      <c r="D3202" s="23" t="str">
        <f aca="false">IF(B3202="","",IFERROR(INDEX(Office_Log!$ED$2:$ED$201,MATCH(IFERROR(INDEX(Clay_Offices!$A$2:$FZ$601,351,Sync!$C$5)&amp;"",""),Office_Log!$A$2:$A$201,0))&amp;"",IFERROR(INDEX(Clay_Offices!$A$2:$FZ$601,351,Sync!$C$5)&amp;"","")&amp;""))</f>
        <v/>
      </c>
      <c r="E3202" s="23" t="str">
        <f aca="false">IF(B3202="","",IFERROR(INDEX(Clay_Offices!$A$2:$FZ$601,351,Sync!$C$6)&amp;"",""))</f>
        <v/>
      </c>
      <c r="F3202" s="23" t="str">
        <f aca="false">IF(B3202="","","outreach_sent")</f>
        <v/>
      </c>
      <c r="G3202" s="23" t="str">
        <f aca="false">IF(B3202="","","")</f>
        <v/>
      </c>
      <c r="H3202" s="23" t="str">
        <f aca="false">IF(B3202="","","")</f>
        <v/>
      </c>
      <c r="I3202" s="23" t="str">
        <f aca="false">IF(B3202="","","")</f>
        <v/>
      </c>
      <c r="J3202" s="23" t="str">
        <f aca="false">IF(B3202="","","touch_3; "&amp;IFERROR(INDEX(Clay_Offices!$A$2:$FZ$601,351,Sync!$C$10)&amp;"","")&amp;"; "&amp;IFERROR(INDEX(Clay_Offices!$A$2:$FZ$601,351,Sync!$C$9)&amp;"",""))</f>
        <v/>
      </c>
      <c r="K3202" s="32" t="s">
        <v>1365</v>
      </c>
    </row>
    <row r="3203" customFormat="false" ht="15" hidden="false" customHeight="false" outlineLevel="0" collapsed="false">
      <c r="A3203" s="23" t="str">
        <f aca="false">IF(B3203="","",B3203+(14*1000+352)/10000000)</f>
        <v/>
      </c>
      <c r="B3203" s="35" t="str">
        <f aca="false">IF(AND(IFERROR(N(INDEX(Clay_Offices!$A$2:$FZ$601,352,Sync!$C$13)),0)&gt;0,IFERROR(INDEX(Clay_Offices!$A$2:$FZ$601,352,Sync!$C$5)&amp;"","")&lt;&gt;"",OR(LEFT(IFERROR(INDEX(Clay_Offices!$A$2:$FZ$601,352,Sync!$C$5)&amp;"",""),6)&lt;&gt;"SAMPLE",Config!$B$19="Y")),IFERROR(N(INDEX(Clay_Offices!$A$2:$FZ$601,352,Sync!$C$13)),0),"")</f>
        <v/>
      </c>
      <c r="C3203" s="23" t="str">
        <f aca="false">IF(B3203="","","office")</f>
        <v/>
      </c>
      <c r="D3203" s="23" t="str">
        <f aca="false">IF(B3203="","",IFERROR(INDEX(Office_Log!$ED$2:$ED$201,MATCH(IFERROR(INDEX(Clay_Offices!$A$2:$FZ$601,352,Sync!$C$5)&amp;"",""),Office_Log!$A$2:$A$201,0))&amp;"",IFERROR(INDEX(Clay_Offices!$A$2:$FZ$601,352,Sync!$C$5)&amp;"","")&amp;""))</f>
        <v/>
      </c>
      <c r="E3203" s="23" t="str">
        <f aca="false">IF(B3203="","",IFERROR(INDEX(Clay_Offices!$A$2:$FZ$601,352,Sync!$C$6)&amp;"",""))</f>
        <v/>
      </c>
      <c r="F3203" s="23" t="str">
        <f aca="false">IF(B3203="","","outreach_sent")</f>
        <v/>
      </c>
      <c r="G3203" s="23" t="str">
        <f aca="false">IF(B3203="","","")</f>
        <v/>
      </c>
      <c r="H3203" s="23" t="str">
        <f aca="false">IF(B3203="","","")</f>
        <v/>
      </c>
      <c r="I3203" s="23" t="str">
        <f aca="false">IF(B3203="","","")</f>
        <v/>
      </c>
      <c r="J3203" s="23" t="str">
        <f aca="false">IF(B3203="","","touch_3; "&amp;IFERROR(INDEX(Clay_Offices!$A$2:$FZ$601,352,Sync!$C$10)&amp;"","")&amp;"; "&amp;IFERROR(INDEX(Clay_Offices!$A$2:$FZ$601,352,Sync!$C$9)&amp;"",""))</f>
        <v/>
      </c>
      <c r="K3203" s="32" t="s">
        <v>1365</v>
      </c>
    </row>
    <row r="3204" customFormat="false" ht="15" hidden="false" customHeight="false" outlineLevel="0" collapsed="false">
      <c r="A3204" s="23" t="str">
        <f aca="false">IF(B3204="","",B3204+(14*1000+353)/10000000)</f>
        <v/>
      </c>
      <c r="B3204" s="35" t="str">
        <f aca="false">IF(AND(IFERROR(N(INDEX(Clay_Offices!$A$2:$FZ$601,353,Sync!$C$13)),0)&gt;0,IFERROR(INDEX(Clay_Offices!$A$2:$FZ$601,353,Sync!$C$5)&amp;"","")&lt;&gt;"",OR(LEFT(IFERROR(INDEX(Clay_Offices!$A$2:$FZ$601,353,Sync!$C$5)&amp;"",""),6)&lt;&gt;"SAMPLE",Config!$B$19="Y")),IFERROR(N(INDEX(Clay_Offices!$A$2:$FZ$601,353,Sync!$C$13)),0),"")</f>
        <v/>
      </c>
      <c r="C3204" s="23" t="str">
        <f aca="false">IF(B3204="","","office")</f>
        <v/>
      </c>
      <c r="D3204" s="23" t="str">
        <f aca="false">IF(B3204="","",IFERROR(INDEX(Office_Log!$ED$2:$ED$201,MATCH(IFERROR(INDEX(Clay_Offices!$A$2:$FZ$601,353,Sync!$C$5)&amp;"",""),Office_Log!$A$2:$A$201,0))&amp;"",IFERROR(INDEX(Clay_Offices!$A$2:$FZ$601,353,Sync!$C$5)&amp;"","")&amp;""))</f>
        <v/>
      </c>
      <c r="E3204" s="23" t="str">
        <f aca="false">IF(B3204="","",IFERROR(INDEX(Clay_Offices!$A$2:$FZ$601,353,Sync!$C$6)&amp;"",""))</f>
        <v/>
      </c>
      <c r="F3204" s="23" t="str">
        <f aca="false">IF(B3204="","","outreach_sent")</f>
        <v/>
      </c>
      <c r="G3204" s="23" t="str">
        <f aca="false">IF(B3204="","","")</f>
        <v/>
      </c>
      <c r="H3204" s="23" t="str">
        <f aca="false">IF(B3204="","","")</f>
        <v/>
      </c>
      <c r="I3204" s="23" t="str">
        <f aca="false">IF(B3204="","","")</f>
        <v/>
      </c>
      <c r="J3204" s="23" t="str">
        <f aca="false">IF(B3204="","","touch_3; "&amp;IFERROR(INDEX(Clay_Offices!$A$2:$FZ$601,353,Sync!$C$10)&amp;"","")&amp;"; "&amp;IFERROR(INDEX(Clay_Offices!$A$2:$FZ$601,353,Sync!$C$9)&amp;"",""))</f>
        <v/>
      </c>
      <c r="K3204" s="32" t="s">
        <v>1365</v>
      </c>
    </row>
    <row r="3205" customFormat="false" ht="15" hidden="false" customHeight="false" outlineLevel="0" collapsed="false">
      <c r="A3205" s="23" t="str">
        <f aca="false">IF(B3205="","",B3205+(14*1000+354)/10000000)</f>
        <v/>
      </c>
      <c r="B3205" s="35" t="str">
        <f aca="false">IF(AND(IFERROR(N(INDEX(Clay_Offices!$A$2:$FZ$601,354,Sync!$C$13)),0)&gt;0,IFERROR(INDEX(Clay_Offices!$A$2:$FZ$601,354,Sync!$C$5)&amp;"","")&lt;&gt;"",OR(LEFT(IFERROR(INDEX(Clay_Offices!$A$2:$FZ$601,354,Sync!$C$5)&amp;"",""),6)&lt;&gt;"SAMPLE",Config!$B$19="Y")),IFERROR(N(INDEX(Clay_Offices!$A$2:$FZ$601,354,Sync!$C$13)),0),"")</f>
        <v/>
      </c>
      <c r="C3205" s="23" t="str">
        <f aca="false">IF(B3205="","","office")</f>
        <v/>
      </c>
      <c r="D3205" s="23" t="str">
        <f aca="false">IF(B3205="","",IFERROR(INDEX(Office_Log!$ED$2:$ED$201,MATCH(IFERROR(INDEX(Clay_Offices!$A$2:$FZ$601,354,Sync!$C$5)&amp;"",""),Office_Log!$A$2:$A$201,0))&amp;"",IFERROR(INDEX(Clay_Offices!$A$2:$FZ$601,354,Sync!$C$5)&amp;"","")&amp;""))</f>
        <v/>
      </c>
      <c r="E3205" s="23" t="str">
        <f aca="false">IF(B3205="","",IFERROR(INDEX(Clay_Offices!$A$2:$FZ$601,354,Sync!$C$6)&amp;"",""))</f>
        <v/>
      </c>
      <c r="F3205" s="23" t="str">
        <f aca="false">IF(B3205="","","outreach_sent")</f>
        <v/>
      </c>
      <c r="G3205" s="23" t="str">
        <f aca="false">IF(B3205="","","")</f>
        <v/>
      </c>
      <c r="H3205" s="23" t="str">
        <f aca="false">IF(B3205="","","")</f>
        <v/>
      </c>
      <c r="I3205" s="23" t="str">
        <f aca="false">IF(B3205="","","")</f>
        <v/>
      </c>
      <c r="J3205" s="23" t="str">
        <f aca="false">IF(B3205="","","touch_3; "&amp;IFERROR(INDEX(Clay_Offices!$A$2:$FZ$601,354,Sync!$C$10)&amp;"","")&amp;"; "&amp;IFERROR(INDEX(Clay_Offices!$A$2:$FZ$601,354,Sync!$C$9)&amp;"",""))</f>
        <v/>
      </c>
      <c r="K3205" s="32" t="s">
        <v>1365</v>
      </c>
    </row>
    <row r="3206" customFormat="false" ht="15" hidden="false" customHeight="false" outlineLevel="0" collapsed="false">
      <c r="A3206" s="23" t="str">
        <f aca="false">IF(B3206="","",B3206+(14*1000+355)/10000000)</f>
        <v/>
      </c>
      <c r="B3206" s="35" t="str">
        <f aca="false">IF(AND(IFERROR(N(INDEX(Clay_Offices!$A$2:$FZ$601,355,Sync!$C$13)),0)&gt;0,IFERROR(INDEX(Clay_Offices!$A$2:$FZ$601,355,Sync!$C$5)&amp;"","")&lt;&gt;"",OR(LEFT(IFERROR(INDEX(Clay_Offices!$A$2:$FZ$601,355,Sync!$C$5)&amp;"",""),6)&lt;&gt;"SAMPLE",Config!$B$19="Y")),IFERROR(N(INDEX(Clay_Offices!$A$2:$FZ$601,355,Sync!$C$13)),0),"")</f>
        <v/>
      </c>
      <c r="C3206" s="23" t="str">
        <f aca="false">IF(B3206="","","office")</f>
        <v/>
      </c>
      <c r="D3206" s="23" t="str">
        <f aca="false">IF(B3206="","",IFERROR(INDEX(Office_Log!$ED$2:$ED$201,MATCH(IFERROR(INDEX(Clay_Offices!$A$2:$FZ$601,355,Sync!$C$5)&amp;"",""),Office_Log!$A$2:$A$201,0))&amp;"",IFERROR(INDEX(Clay_Offices!$A$2:$FZ$601,355,Sync!$C$5)&amp;"","")&amp;""))</f>
        <v/>
      </c>
      <c r="E3206" s="23" t="str">
        <f aca="false">IF(B3206="","",IFERROR(INDEX(Clay_Offices!$A$2:$FZ$601,355,Sync!$C$6)&amp;"",""))</f>
        <v/>
      </c>
      <c r="F3206" s="23" t="str">
        <f aca="false">IF(B3206="","","outreach_sent")</f>
        <v/>
      </c>
      <c r="G3206" s="23" t="str">
        <f aca="false">IF(B3206="","","")</f>
        <v/>
      </c>
      <c r="H3206" s="23" t="str">
        <f aca="false">IF(B3206="","","")</f>
        <v/>
      </c>
      <c r="I3206" s="23" t="str">
        <f aca="false">IF(B3206="","","")</f>
        <v/>
      </c>
      <c r="J3206" s="23" t="str">
        <f aca="false">IF(B3206="","","touch_3; "&amp;IFERROR(INDEX(Clay_Offices!$A$2:$FZ$601,355,Sync!$C$10)&amp;"","")&amp;"; "&amp;IFERROR(INDEX(Clay_Offices!$A$2:$FZ$601,355,Sync!$C$9)&amp;"",""))</f>
        <v/>
      </c>
      <c r="K3206" s="32" t="s">
        <v>1365</v>
      </c>
    </row>
    <row r="3207" customFormat="false" ht="15" hidden="false" customHeight="false" outlineLevel="0" collapsed="false">
      <c r="A3207" s="23" t="str">
        <f aca="false">IF(B3207="","",B3207+(14*1000+356)/10000000)</f>
        <v/>
      </c>
      <c r="B3207" s="35" t="str">
        <f aca="false">IF(AND(IFERROR(N(INDEX(Clay_Offices!$A$2:$FZ$601,356,Sync!$C$13)),0)&gt;0,IFERROR(INDEX(Clay_Offices!$A$2:$FZ$601,356,Sync!$C$5)&amp;"","")&lt;&gt;"",OR(LEFT(IFERROR(INDEX(Clay_Offices!$A$2:$FZ$601,356,Sync!$C$5)&amp;"",""),6)&lt;&gt;"SAMPLE",Config!$B$19="Y")),IFERROR(N(INDEX(Clay_Offices!$A$2:$FZ$601,356,Sync!$C$13)),0),"")</f>
        <v/>
      </c>
      <c r="C3207" s="23" t="str">
        <f aca="false">IF(B3207="","","office")</f>
        <v/>
      </c>
      <c r="D3207" s="23" t="str">
        <f aca="false">IF(B3207="","",IFERROR(INDEX(Office_Log!$ED$2:$ED$201,MATCH(IFERROR(INDEX(Clay_Offices!$A$2:$FZ$601,356,Sync!$C$5)&amp;"",""),Office_Log!$A$2:$A$201,0))&amp;"",IFERROR(INDEX(Clay_Offices!$A$2:$FZ$601,356,Sync!$C$5)&amp;"","")&amp;""))</f>
        <v/>
      </c>
      <c r="E3207" s="23" t="str">
        <f aca="false">IF(B3207="","",IFERROR(INDEX(Clay_Offices!$A$2:$FZ$601,356,Sync!$C$6)&amp;"",""))</f>
        <v/>
      </c>
      <c r="F3207" s="23" t="str">
        <f aca="false">IF(B3207="","","outreach_sent")</f>
        <v/>
      </c>
      <c r="G3207" s="23" t="str">
        <f aca="false">IF(B3207="","","")</f>
        <v/>
      </c>
      <c r="H3207" s="23" t="str">
        <f aca="false">IF(B3207="","","")</f>
        <v/>
      </c>
      <c r="I3207" s="23" t="str">
        <f aca="false">IF(B3207="","","")</f>
        <v/>
      </c>
      <c r="J3207" s="23" t="str">
        <f aca="false">IF(B3207="","","touch_3; "&amp;IFERROR(INDEX(Clay_Offices!$A$2:$FZ$601,356,Sync!$C$10)&amp;"","")&amp;"; "&amp;IFERROR(INDEX(Clay_Offices!$A$2:$FZ$601,356,Sync!$C$9)&amp;"",""))</f>
        <v/>
      </c>
      <c r="K3207" s="32" t="s">
        <v>1365</v>
      </c>
    </row>
    <row r="3208" customFormat="false" ht="15" hidden="false" customHeight="false" outlineLevel="0" collapsed="false">
      <c r="A3208" s="23" t="str">
        <f aca="false">IF(B3208="","",B3208+(14*1000+357)/10000000)</f>
        <v/>
      </c>
      <c r="B3208" s="35" t="str">
        <f aca="false">IF(AND(IFERROR(N(INDEX(Clay_Offices!$A$2:$FZ$601,357,Sync!$C$13)),0)&gt;0,IFERROR(INDEX(Clay_Offices!$A$2:$FZ$601,357,Sync!$C$5)&amp;"","")&lt;&gt;"",OR(LEFT(IFERROR(INDEX(Clay_Offices!$A$2:$FZ$601,357,Sync!$C$5)&amp;"",""),6)&lt;&gt;"SAMPLE",Config!$B$19="Y")),IFERROR(N(INDEX(Clay_Offices!$A$2:$FZ$601,357,Sync!$C$13)),0),"")</f>
        <v/>
      </c>
      <c r="C3208" s="23" t="str">
        <f aca="false">IF(B3208="","","office")</f>
        <v/>
      </c>
      <c r="D3208" s="23" t="str">
        <f aca="false">IF(B3208="","",IFERROR(INDEX(Office_Log!$ED$2:$ED$201,MATCH(IFERROR(INDEX(Clay_Offices!$A$2:$FZ$601,357,Sync!$C$5)&amp;"",""),Office_Log!$A$2:$A$201,0))&amp;"",IFERROR(INDEX(Clay_Offices!$A$2:$FZ$601,357,Sync!$C$5)&amp;"","")&amp;""))</f>
        <v/>
      </c>
      <c r="E3208" s="23" t="str">
        <f aca="false">IF(B3208="","",IFERROR(INDEX(Clay_Offices!$A$2:$FZ$601,357,Sync!$C$6)&amp;"",""))</f>
        <v/>
      </c>
      <c r="F3208" s="23" t="str">
        <f aca="false">IF(B3208="","","outreach_sent")</f>
        <v/>
      </c>
      <c r="G3208" s="23" t="str">
        <f aca="false">IF(B3208="","","")</f>
        <v/>
      </c>
      <c r="H3208" s="23" t="str">
        <f aca="false">IF(B3208="","","")</f>
        <v/>
      </c>
      <c r="I3208" s="23" t="str">
        <f aca="false">IF(B3208="","","")</f>
        <v/>
      </c>
      <c r="J3208" s="23" t="str">
        <f aca="false">IF(B3208="","","touch_3; "&amp;IFERROR(INDEX(Clay_Offices!$A$2:$FZ$601,357,Sync!$C$10)&amp;"","")&amp;"; "&amp;IFERROR(INDEX(Clay_Offices!$A$2:$FZ$601,357,Sync!$C$9)&amp;"",""))</f>
        <v/>
      </c>
      <c r="K3208" s="32" t="s">
        <v>1365</v>
      </c>
    </row>
    <row r="3209" customFormat="false" ht="15" hidden="false" customHeight="false" outlineLevel="0" collapsed="false">
      <c r="A3209" s="23" t="str">
        <f aca="false">IF(B3209="","",B3209+(14*1000+358)/10000000)</f>
        <v/>
      </c>
      <c r="B3209" s="35" t="str">
        <f aca="false">IF(AND(IFERROR(N(INDEX(Clay_Offices!$A$2:$FZ$601,358,Sync!$C$13)),0)&gt;0,IFERROR(INDEX(Clay_Offices!$A$2:$FZ$601,358,Sync!$C$5)&amp;"","")&lt;&gt;"",OR(LEFT(IFERROR(INDEX(Clay_Offices!$A$2:$FZ$601,358,Sync!$C$5)&amp;"",""),6)&lt;&gt;"SAMPLE",Config!$B$19="Y")),IFERROR(N(INDEX(Clay_Offices!$A$2:$FZ$601,358,Sync!$C$13)),0),"")</f>
        <v/>
      </c>
      <c r="C3209" s="23" t="str">
        <f aca="false">IF(B3209="","","office")</f>
        <v/>
      </c>
      <c r="D3209" s="23" t="str">
        <f aca="false">IF(B3209="","",IFERROR(INDEX(Office_Log!$ED$2:$ED$201,MATCH(IFERROR(INDEX(Clay_Offices!$A$2:$FZ$601,358,Sync!$C$5)&amp;"",""),Office_Log!$A$2:$A$201,0))&amp;"",IFERROR(INDEX(Clay_Offices!$A$2:$FZ$601,358,Sync!$C$5)&amp;"","")&amp;""))</f>
        <v/>
      </c>
      <c r="E3209" s="23" t="str">
        <f aca="false">IF(B3209="","",IFERROR(INDEX(Clay_Offices!$A$2:$FZ$601,358,Sync!$C$6)&amp;"",""))</f>
        <v/>
      </c>
      <c r="F3209" s="23" t="str">
        <f aca="false">IF(B3209="","","outreach_sent")</f>
        <v/>
      </c>
      <c r="G3209" s="23" t="str">
        <f aca="false">IF(B3209="","","")</f>
        <v/>
      </c>
      <c r="H3209" s="23" t="str">
        <f aca="false">IF(B3209="","","")</f>
        <v/>
      </c>
      <c r="I3209" s="23" t="str">
        <f aca="false">IF(B3209="","","")</f>
        <v/>
      </c>
      <c r="J3209" s="23" t="str">
        <f aca="false">IF(B3209="","","touch_3; "&amp;IFERROR(INDEX(Clay_Offices!$A$2:$FZ$601,358,Sync!$C$10)&amp;"","")&amp;"; "&amp;IFERROR(INDEX(Clay_Offices!$A$2:$FZ$601,358,Sync!$C$9)&amp;"",""))</f>
        <v/>
      </c>
      <c r="K3209" s="32" t="s">
        <v>1365</v>
      </c>
    </row>
    <row r="3210" customFormat="false" ht="15" hidden="false" customHeight="false" outlineLevel="0" collapsed="false">
      <c r="A3210" s="23" t="str">
        <f aca="false">IF(B3210="","",B3210+(14*1000+359)/10000000)</f>
        <v/>
      </c>
      <c r="B3210" s="35" t="str">
        <f aca="false">IF(AND(IFERROR(N(INDEX(Clay_Offices!$A$2:$FZ$601,359,Sync!$C$13)),0)&gt;0,IFERROR(INDEX(Clay_Offices!$A$2:$FZ$601,359,Sync!$C$5)&amp;"","")&lt;&gt;"",OR(LEFT(IFERROR(INDEX(Clay_Offices!$A$2:$FZ$601,359,Sync!$C$5)&amp;"",""),6)&lt;&gt;"SAMPLE",Config!$B$19="Y")),IFERROR(N(INDEX(Clay_Offices!$A$2:$FZ$601,359,Sync!$C$13)),0),"")</f>
        <v/>
      </c>
      <c r="C3210" s="23" t="str">
        <f aca="false">IF(B3210="","","office")</f>
        <v/>
      </c>
      <c r="D3210" s="23" t="str">
        <f aca="false">IF(B3210="","",IFERROR(INDEX(Office_Log!$ED$2:$ED$201,MATCH(IFERROR(INDEX(Clay_Offices!$A$2:$FZ$601,359,Sync!$C$5)&amp;"",""),Office_Log!$A$2:$A$201,0))&amp;"",IFERROR(INDEX(Clay_Offices!$A$2:$FZ$601,359,Sync!$C$5)&amp;"","")&amp;""))</f>
        <v/>
      </c>
      <c r="E3210" s="23" t="str">
        <f aca="false">IF(B3210="","",IFERROR(INDEX(Clay_Offices!$A$2:$FZ$601,359,Sync!$C$6)&amp;"",""))</f>
        <v/>
      </c>
      <c r="F3210" s="23" t="str">
        <f aca="false">IF(B3210="","","outreach_sent")</f>
        <v/>
      </c>
      <c r="G3210" s="23" t="str">
        <f aca="false">IF(B3210="","","")</f>
        <v/>
      </c>
      <c r="H3210" s="23" t="str">
        <f aca="false">IF(B3210="","","")</f>
        <v/>
      </c>
      <c r="I3210" s="23" t="str">
        <f aca="false">IF(B3210="","","")</f>
        <v/>
      </c>
      <c r="J3210" s="23" t="str">
        <f aca="false">IF(B3210="","","touch_3; "&amp;IFERROR(INDEX(Clay_Offices!$A$2:$FZ$601,359,Sync!$C$10)&amp;"","")&amp;"; "&amp;IFERROR(INDEX(Clay_Offices!$A$2:$FZ$601,359,Sync!$C$9)&amp;"",""))</f>
        <v/>
      </c>
      <c r="K3210" s="32" t="s">
        <v>1365</v>
      </c>
    </row>
    <row r="3211" customFormat="false" ht="15" hidden="false" customHeight="false" outlineLevel="0" collapsed="false">
      <c r="A3211" s="23" t="str">
        <f aca="false">IF(B3211="","",B3211+(14*1000+360)/10000000)</f>
        <v/>
      </c>
      <c r="B3211" s="35" t="str">
        <f aca="false">IF(AND(IFERROR(N(INDEX(Clay_Offices!$A$2:$FZ$601,360,Sync!$C$13)),0)&gt;0,IFERROR(INDEX(Clay_Offices!$A$2:$FZ$601,360,Sync!$C$5)&amp;"","")&lt;&gt;"",OR(LEFT(IFERROR(INDEX(Clay_Offices!$A$2:$FZ$601,360,Sync!$C$5)&amp;"",""),6)&lt;&gt;"SAMPLE",Config!$B$19="Y")),IFERROR(N(INDEX(Clay_Offices!$A$2:$FZ$601,360,Sync!$C$13)),0),"")</f>
        <v/>
      </c>
      <c r="C3211" s="23" t="str">
        <f aca="false">IF(B3211="","","office")</f>
        <v/>
      </c>
      <c r="D3211" s="23" t="str">
        <f aca="false">IF(B3211="","",IFERROR(INDEX(Office_Log!$ED$2:$ED$201,MATCH(IFERROR(INDEX(Clay_Offices!$A$2:$FZ$601,360,Sync!$C$5)&amp;"",""),Office_Log!$A$2:$A$201,0))&amp;"",IFERROR(INDEX(Clay_Offices!$A$2:$FZ$601,360,Sync!$C$5)&amp;"","")&amp;""))</f>
        <v/>
      </c>
      <c r="E3211" s="23" t="str">
        <f aca="false">IF(B3211="","",IFERROR(INDEX(Clay_Offices!$A$2:$FZ$601,360,Sync!$C$6)&amp;"",""))</f>
        <v/>
      </c>
      <c r="F3211" s="23" t="str">
        <f aca="false">IF(B3211="","","outreach_sent")</f>
        <v/>
      </c>
      <c r="G3211" s="23" t="str">
        <f aca="false">IF(B3211="","","")</f>
        <v/>
      </c>
      <c r="H3211" s="23" t="str">
        <f aca="false">IF(B3211="","","")</f>
        <v/>
      </c>
      <c r="I3211" s="23" t="str">
        <f aca="false">IF(B3211="","","")</f>
        <v/>
      </c>
      <c r="J3211" s="23" t="str">
        <f aca="false">IF(B3211="","","touch_3; "&amp;IFERROR(INDEX(Clay_Offices!$A$2:$FZ$601,360,Sync!$C$10)&amp;"","")&amp;"; "&amp;IFERROR(INDEX(Clay_Offices!$A$2:$FZ$601,360,Sync!$C$9)&amp;"",""))</f>
        <v/>
      </c>
      <c r="K3211" s="32" t="s">
        <v>1365</v>
      </c>
    </row>
    <row r="3212" customFormat="false" ht="15" hidden="false" customHeight="false" outlineLevel="0" collapsed="false">
      <c r="A3212" s="23" t="str">
        <f aca="false">IF(B3212="","",B3212+(14*1000+361)/10000000)</f>
        <v/>
      </c>
      <c r="B3212" s="35" t="str">
        <f aca="false">IF(AND(IFERROR(N(INDEX(Clay_Offices!$A$2:$FZ$601,361,Sync!$C$13)),0)&gt;0,IFERROR(INDEX(Clay_Offices!$A$2:$FZ$601,361,Sync!$C$5)&amp;"","")&lt;&gt;"",OR(LEFT(IFERROR(INDEX(Clay_Offices!$A$2:$FZ$601,361,Sync!$C$5)&amp;"",""),6)&lt;&gt;"SAMPLE",Config!$B$19="Y")),IFERROR(N(INDEX(Clay_Offices!$A$2:$FZ$601,361,Sync!$C$13)),0),"")</f>
        <v/>
      </c>
      <c r="C3212" s="23" t="str">
        <f aca="false">IF(B3212="","","office")</f>
        <v/>
      </c>
      <c r="D3212" s="23" t="str">
        <f aca="false">IF(B3212="","",IFERROR(INDEX(Office_Log!$ED$2:$ED$201,MATCH(IFERROR(INDEX(Clay_Offices!$A$2:$FZ$601,361,Sync!$C$5)&amp;"",""),Office_Log!$A$2:$A$201,0))&amp;"",IFERROR(INDEX(Clay_Offices!$A$2:$FZ$601,361,Sync!$C$5)&amp;"","")&amp;""))</f>
        <v/>
      </c>
      <c r="E3212" s="23" t="str">
        <f aca="false">IF(B3212="","",IFERROR(INDEX(Clay_Offices!$A$2:$FZ$601,361,Sync!$C$6)&amp;"",""))</f>
        <v/>
      </c>
      <c r="F3212" s="23" t="str">
        <f aca="false">IF(B3212="","","outreach_sent")</f>
        <v/>
      </c>
      <c r="G3212" s="23" t="str">
        <f aca="false">IF(B3212="","","")</f>
        <v/>
      </c>
      <c r="H3212" s="23" t="str">
        <f aca="false">IF(B3212="","","")</f>
        <v/>
      </c>
      <c r="I3212" s="23" t="str">
        <f aca="false">IF(B3212="","","")</f>
        <v/>
      </c>
      <c r="J3212" s="23" t="str">
        <f aca="false">IF(B3212="","","touch_3; "&amp;IFERROR(INDEX(Clay_Offices!$A$2:$FZ$601,361,Sync!$C$10)&amp;"","")&amp;"; "&amp;IFERROR(INDEX(Clay_Offices!$A$2:$FZ$601,361,Sync!$C$9)&amp;"",""))</f>
        <v/>
      </c>
      <c r="K3212" s="32" t="s">
        <v>1365</v>
      </c>
    </row>
    <row r="3213" customFormat="false" ht="15" hidden="false" customHeight="false" outlineLevel="0" collapsed="false">
      <c r="A3213" s="23" t="str">
        <f aca="false">IF(B3213="","",B3213+(14*1000+362)/10000000)</f>
        <v/>
      </c>
      <c r="B3213" s="35" t="str">
        <f aca="false">IF(AND(IFERROR(N(INDEX(Clay_Offices!$A$2:$FZ$601,362,Sync!$C$13)),0)&gt;0,IFERROR(INDEX(Clay_Offices!$A$2:$FZ$601,362,Sync!$C$5)&amp;"","")&lt;&gt;"",OR(LEFT(IFERROR(INDEX(Clay_Offices!$A$2:$FZ$601,362,Sync!$C$5)&amp;"",""),6)&lt;&gt;"SAMPLE",Config!$B$19="Y")),IFERROR(N(INDEX(Clay_Offices!$A$2:$FZ$601,362,Sync!$C$13)),0),"")</f>
        <v/>
      </c>
      <c r="C3213" s="23" t="str">
        <f aca="false">IF(B3213="","","office")</f>
        <v/>
      </c>
      <c r="D3213" s="23" t="str">
        <f aca="false">IF(B3213="","",IFERROR(INDEX(Office_Log!$ED$2:$ED$201,MATCH(IFERROR(INDEX(Clay_Offices!$A$2:$FZ$601,362,Sync!$C$5)&amp;"",""),Office_Log!$A$2:$A$201,0))&amp;"",IFERROR(INDEX(Clay_Offices!$A$2:$FZ$601,362,Sync!$C$5)&amp;"","")&amp;""))</f>
        <v/>
      </c>
      <c r="E3213" s="23" t="str">
        <f aca="false">IF(B3213="","",IFERROR(INDEX(Clay_Offices!$A$2:$FZ$601,362,Sync!$C$6)&amp;"",""))</f>
        <v/>
      </c>
      <c r="F3213" s="23" t="str">
        <f aca="false">IF(B3213="","","outreach_sent")</f>
        <v/>
      </c>
      <c r="G3213" s="23" t="str">
        <f aca="false">IF(B3213="","","")</f>
        <v/>
      </c>
      <c r="H3213" s="23" t="str">
        <f aca="false">IF(B3213="","","")</f>
        <v/>
      </c>
      <c r="I3213" s="23" t="str">
        <f aca="false">IF(B3213="","","")</f>
        <v/>
      </c>
      <c r="J3213" s="23" t="str">
        <f aca="false">IF(B3213="","","touch_3; "&amp;IFERROR(INDEX(Clay_Offices!$A$2:$FZ$601,362,Sync!$C$10)&amp;"","")&amp;"; "&amp;IFERROR(INDEX(Clay_Offices!$A$2:$FZ$601,362,Sync!$C$9)&amp;"",""))</f>
        <v/>
      </c>
      <c r="K3213" s="32" t="s">
        <v>1365</v>
      </c>
    </row>
    <row r="3214" customFormat="false" ht="15" hidden="false" customHeight="false" outlineLevel="0" collapsed="false">
      <c r="A3214" s="23" t="str">
        <f aca="false">IF(B3214="","",B3214+(14*1000+363)/10000000)</f>
        <v/>
      </c>
      <c r="B3214" s="35" t="str">
        <f aca="false">IF(AND(IFERROR(N(INDEX(Clay_Offices!$A$2:$FZ$601,363,Sync!$C$13)),0)&gt;0,IFERROR(INDEX(Clay_Offices!$A$2:$FZ$601,363,Sync!$C$5)&amp;"","")&lt;&gt;"",OR(LEFT(IFERROR(INDEX(Clay_Offices!$A$2:$FZ$601,363,Sync!$C$5)&amp;"",""),6)&lt;&gt;"SAMPLE",Config!$B$19="Y")),IFERROR(N(INDEX(Clay_Offices!$A$2:$FZ$601,363,Sync!$C$13)),0),"")</f>
        <v/>
      </c>
      <c r="C3214" s="23" t="str">
        <f aca="false">IF(B3214="","","office")</f>
        <v/>
      </c>
      <c r="D3214" s="23" t="str">
        <f aca="false">IF(B3214="","",IFERROR(INDEX(Office_Log!$ED$2:$ED$201,MATCH(IFERROR(INDEX(Clay_Offices!$A$2:$FZ$601,363,Sync!$C$5)&amp;"",""),Office_Log!$A$2:$A$201,0))&amp;"",IFERROR(INDEX(Clay_Offices!$A$2:$FZ$601,363,Sync!$C$5)&amp;"","")&amp;""))</f>
        <v/>
      </c>
      <c r="E3214" s="23" t="str">
        <f aca="false">IF(B3214="","",IFERROR(INDEX(Clay_Offices!$A$2:$FZ$601,363,Sync!$C$6)&amp;"",""))</f>
        <v/>
      </c>
      <c r="F3214" s="23" t="str">
        <f aca="false">IF(B3214="","","outreach_sent")</f>
        <v/>
      </c>
      <c r="G3214" s="23" t="str">
        <f aca="false">IF(B3214="","","")</f>
        <v/>
      </c>
      <c r="H3214" s="23" t="str">
        <f aca="false">IF(B3214="","","")</f>
        <v/>
      </c>
      <c r="I3214" s="23" t="str">
        <f aca="false">IF(B3214="","","")</f>
        <v/>
      </c>
      <c r="J3214" s="23" t="str">
        <f aca="false">IF(B3214="","","touch_3; "&amp;IFERROR(INDEX(Clay_Offices!$A$2:$FZ$601,363,Sync!$C$10)&amp;"","")&amp;"; "&amp;IFERROR(INDEX(Clay_Offices!$A$2:$FZ$601,363,Sync!$C$9)&amp;"",""))</f>
        <v/>
      </c>
      <c r="K3214" s="32" t="s">
        <v>1365</v>
      </c>
    </row>
    <row r="3215" customFormat="false" ht="15" hidden="false" customHeight="false" outlineLevel="0" collapsed="false">
      <c r="A3215" s="23" t="str">
        <f aca="false">IF(B3215="","",B3215+(14*1000+364)/10000000)</f>
        <v/>
      </c>
      <c r="B3215" s="35" t="str">
        <f aca="false">IF(AND(IFERROR(N(INDEX(Clay_Offices!$A$2:$FZ$601,364,Sync!$C$13)),0)&gt;0,IFERROR(INDEX(Clay_Offices!$A$2:$FZ$601,364,Sync!$C$5)&amp;"","")&lt;&gt;"",OR(LEFT(IFERROR(INDEX(Clay_Offices!$A$2:$FZ$601,364,Sync!$C$5)&amp;"",""),6)&lt;&gt;"SAMPLE",Config!$B$19="Y")),IFERROR(N(INDEX(Clay_Offices!$A$2:$FZ$601,364,Sync!$C$13)),0),"")</f>
        <v/>
      </c>
      <c r="C3215" s="23" t="str">
        <f aca="false">IF(B3215="","","office")</f>
        <v/>
      </c>
      <c r="D3215" s="23" t="str">
        <f aca="false">IF(B3215="","",IFERROR(INDEX(Office_Log!$ED$2:$ED$201,MATCH(IFERROR(INDEX(Clay_Offices!$A$2:$FZ$601,364,Sync!$C$5)&amp;"",""),Office_Log!$A$2:$A$201,0))&amp;"",IFERROR(INDEX(Clay_Offices!$A$2:$FZ$601,364,Sync!$C$5)&amp;"","")&amp;""))</f>
        <v/>
      </c>
      <c r="E3215" s="23" t="str">
        <f aca="false">IF(B3215="","",IFERROR(INDEX(Clay_Offices!$A$2:$FZ$601,364,Sync!$C$6)&amp;"",""))</f>
        <v/>
      </c>
      <c r="F3215" s="23" t="str">
        <f aca="false">IF(B3215="","","outreach_sent")</f>
        <v/>
      </c>
      <c r="G3215" s="23" t="str">
        <f aca="false">IF(B3215="","","")</f>
        <v/>
      </c>
      <c r="H3215" s="23" t="str">
        <f aca="false">IF(B3215="","","")</f>
        <v/>
      </c>
      <c r="I3215" s="23" t="str">
        <f aca="false">IF(B3215="","","")</f>
        <v/>
      </c>
      <c r="J3215" s="23" t="str">
        <f aca="false">IF(B3215="","","touch_3; "&amp;IFERROR(INDEX(Clay_Offices!$A$2:$FZ$601,364,Sync!$C$10)&amp;"","")&amp;"; "&amp;IFERROR(INDEX(Clay_Offices!$A$2:$FZ$601,364,Sync!$C$9)&amp;"",""))</f>
        <v/>
      </c>
      <c r="K3215" s="32" t="s">
        <v>1365</v>
      </c>
    </row>
    <row r="3216" customFormat="false" ht="15" hidden="false" customHeight="false" outlineLevel="0" collapsed="false">
      <c r="A3216" s="23" t="str">
        <f aca="false">IF(B3216="","",B3216+(14*1000+365)/10000000)</f>
        <v/>
      </c>
      <c r="B3216" s="35" t="str">
        <f aca="false">IF(AND(IFERROR(N(INDEX(Clay_Offices!$A$2:$FZ$601,365,Sync!$C$13)),0)&gt;0,IFERROR(INDEX(Clay_Offices!$A$2:$FZ$601,365,Sync!$C$5)&amp;"","")&lt;&gt;"",OR(LEFT(IFERROR(INDEX(Clay_Offices!$A$2:$FZ$601,365,Sync!$C$5)&amp;"",""),6)&lt;&gt;"SAMPLE",Config!$B$19="Y")),IFERROR(N(INDEX(Clay_Offices!$A$2:$FZ$601,365,Sync!$C$13)),0),"")</f>
        <v/>
      </c>
      <c r="C3216" s="23" t="str">
        <f aca="false">IF(B3216="","","office")</f>
        <v/>
      </c>
      <c r="D3216" s="23" t="str">
        <f aca="false">IF(B3216="","",IFERROR(INDEX(Office_Log!$ED$2:$ED$201,MATCH(IFERROR(INDEX(Clay_Offices!$A$2:$FZ$601,365,Sync!$C$5)&amp;"",""),Office_Log!$A$2:$A$201,0))&amp;"",IFERROR(INDEX(Clay_Offices!$A$2:$FZ$601,365,Sync!$C$5)&amp;"","")&amp;""))</f>
        <v/>
      </c>
      <c r="E3216" s="23" t="str">
        <f aca="false">IF(B3216="","",IFERROR(INDEX(Clay_Offices!$A$2:$FZ$601,365,Sync!$C$6)&amp;"",""))</f>
        <v/>
      </c>
      <c r="F3216" s="23" t="str">
        <f aca="false">IF(B3216="","","outreach_sent")</f>
        <v/>
      </c>
      <c r="G3216" s="23" t="str">
        <f aca="false">IF(B3216="","","")</f>
        <v/>
      </c>
      <c r="H3216" s="23" t="str">
        <f aca="false">IF(B3216="","","")</f>
        <v/>
      </c>
      <c r="I3216" s="23" t="str">
        <f aca="false">IF(B3216="","","")</f>
        <v/>
      </c>
      <c r="J3216" s="23" t="str">
        <f aca="false">IF(B3216="","","touch_3; "&amp;IFERROR(INDEX(Clay_Offices!$A$2:$FZ$601,365,Sync!$C$10)&amp;"","")&amp;"; "&amp;IFERROR(INDEX(Clay_Offices!$A$2:$FZ$601,365,Sync!$C$9)&amp;"",""))</f>
        <v/>
      </c>
      <c r="K3216" s="32" t="s">
        <v>1365</v>
      </c>
    </row>
    <row r="3217" customFormat="false" ht="15" hidden="false" customHeight="false" outlineLevel="0" collapsed="false">
      <c r="A3217" s="23" t="str">
        <f aca="false">IF(B3217="","",B3217+(14*1000+366)/10000000)</f>
        <v/>
      </c>
      <c r="B3217" s="35" t="str">
        <f aca="false">IF(AND(IFERROR(N(INDEX(Clay_Offices!$A$2:$FZ$601,366,Sync!$C$13)),0)&gt;0,IFERROR(INDEX(Clay_Offices!$A$2:$FZ$601,366,Sync!$C$5)&amp;"","")&lt;&gt;"",OR(LEFT(IFERROR(INDEX(Clay_Offices!$A$2:$FZ$601,366,Sync!$C$5)&amp;"",""),6)&lt;&gt;"SAMPLE",Config!$B$19="Y")),IFERROR(N(INDEX(Clay_Offices!$A$2:$FZ$601,366,Sync!$C$13)),0),"")</f>
        <v/>
      </c>
      <c r="C3217" s="23" t="str">
        <f aca="false">IF(B3217="","","office")</f>
        <v/>
      </c>
      <c r="D3217" s="23" t="str">
        <f aca="false">IF(B3217="","",IFERROR(INDEX(Office_Log!$ED$2:$ED$201,MATCH(IFERROR(INDEX(Clay_Offices!$A$2:$FZ$601,366,Sync!$C$5)&amp;"",""),Office_Log!$A$2:$A$201,0))&amp;"",IFERROR(INDEX(Clay_Offices!$A$2:$FZ$601,366,Sync!$C$5)&amp;"","")&amp;""))</f>
        <v/>
      </c>
      <c r="E3217" s="23" t="str">
        <f aca="false">IF(B3217="","",IFERROR(INDEX(Clay_Offices!$A$2:$FZ$601,366,Sync!$C$6)&amp;"",""))</f>
        <v/>
      </c>
      <c r="F3217" s="23" t="str">
        <f aca="false">IF(B3217="","","outreach_sent")</f>
        <v/>
      </c>
      <c r="G3217" s="23" t="str">
        <f aca="false">IF(B3217="","","")</f>
        <v/>
      </c>
      <c r="H3217" s="23" t="str">
        <f aca="false">IF(B3217="","","")</f>
        <v/>
      </c>
      <c r="I3217" s="23" t="str">
        <f aca="false">IF(B3217="","","")</f>
        <v/>
      </c>
      <c r="J3217" s="23" t="str">
        <f aca="false">IF(B3217="","","touch_3; "&amp;IFERROR(INDEX(Clay_Offices!$A$2:$FZ$601,366,Sync!$C$10)&amp;"","")&amp;"; "&amp;IFERROR(INDEX(Clay_Offices!$A$2:$FZ$601,366,Sync!$C$9)&amp;"",""))</f>
        <v/>
      </c>
      <c r="K3217" s="32" t="s">
        <v>1365</v>
      </c>
    </row>
    <row r="3218" customFormat="false" ht="15" hidden="false" customHeight="false" outlineLevel="0" collapsed="false">
      <c r="A3218" s="23" t="str">
        <f aca="false">IF(B3218="","",B3218+(14*1000+367)/10000000)</f>
        <v/>
      </c>
      <c r="B3218" s="35" t="str">
        <f aca="false">IF(AND(IFERROR(N(INDEX(Clay_Offices!$A$2:$FZ$601,367,Sync!$C$13)),0)&gt;0,IFERROR(INDEX(Clay_Offices!$A$2:$FZ$601,367,Sync!$C$5)&amp;"","")&lt;&gt;"",OR(LEFT(IFERROR(INDEX(Clay_Offices!$A$2:$FZ$601,367,Sync!$C$5)&amp;"",""),6)&lt;&gt;"SAMPLE",Config!$B$19="Y")),IFERROR(N(INDEX(Clay_Offices!$A$2:$FZ$601,367,Sync!$C$13)),0),"")</f>
        <v/>
      </c>
      <c r="C3218" s="23" t="str">
        <f aca="false">IF(B3218="","","office")</f>
        <v/>
      </c>
      <c r="D3218" s="23" t="str">
        <f aca="false">IF(B3218="","",IFERROR(INDEX(Office_Log!$ED$2:$ED$201,MATCH(IFERROR(INDEX(Clay_Offices!$A$2:$FZ$601,367,Sync!$C$5)&amp;"",""),Office_Log!$A$2:$A$201,0))&amp;"",IFERROR(INDEX(Clay_Offices!$A$2:$FZ$601,367,Sync!$C$5)&amp;"","")&amp;""))</f>
        <v/>
      </c>
      <c r="E3218" s="23" t="str">
        <f aca="false">IF(B3218="","",IFERROR(INDEX(Clay_Offices!$A$2:$FZ$601,367,Sync!$C$6)&amp;"",""))</f>
        <v/>
      </c>
      <c r="F3218" s="23" t="str">
        <f aca="false">IF(B3218="","","outreach_sent")</f>
        <v/>
      </c>
      <c r="G3218" s="23" t="str">
        <f aca="false">IF(B3218="","","")</f>
        <v/>
      </c>
      <c r="H3218" s="23" t="str">
        <f aca="false">IF(B3218="","","")</f>
        <v/>
      </c>
      <c r="I3218" s="23" t="str">
        <f aca="false">IF(B3218="","","")</f>
        <v/>
      </c>
      <c r="J3218" s="23" t="str">
        <f aca="false">IF(B3218="","","touch_3; "&amp;IFERROR(INDEX(Clay_Offices!$A$2:$FZ$601,367,Sync!$C$10)&amp;"","")&amp;"; "&amp;IFERROR(INDEX(Clay_Offices!$A$2:$FZ$601,367,Sync!$C$9)&amp;"",""))</f>
        <v/>
      </c>
      <c r="K3218" s="32" t="s">
        <v>1365</v>
      </c>
    </row>
    <row r="3219" customFormat="false" ht="15" hidden="false" customHeight="false" outlineLevel="0" collapsed="false">
      <c r="A3219" s="23" t="str">
        <f aca="false">IF(B3219="","",B3219+(14*1000+368)/10000000)</f>
        <v/>
      </c>
      <c r="B3219" s="35" t="str">
        <f aca="false">IF(AND(IFERROR(N(INDEX(Clay_Offices!$A$2:$FZ$601,368,Sync!$C$13)),0)&gt;0,IFERROR(INDEX(Clay_Offices!$A$2:$FZ$601,368,Sync!$C$5)&amp;"","")&lt;&gt;"",OR(LEFT(IFERROR(INDEX(Clay_Offices!$A$2:$FZ$601,368,Sync!$C$5)&amp;"",""),6)&lt;&gt;"SAMPLE",Config!$B$19="Y")),IFERROR(N(INDEX(Clay_Offices!$A$2:$FZ$601,368,Sync!$C$13)),0),"")</f>
        <v/>
      </c>
      <c r="C3219" s="23" t="str">
        <f aca="false">IF(B3219="","","office")</f>
        <v/>
      </c>
      <c r="D3219" s="23" t="str">
        <f aca="false">IF(B3219="","",IFERROR(INDEX(Office_Log!$ED$2:$ED$201,MATCH(IFERROR(INDEX(Clay_Offices!$A$2:$FZ$601,368,Sync!$C$5)&amp;"",""),Office_Log!$A$2:$A$201,0))&amp;"",IFERROR(INDEX(Clay_Offices!$A$2:$FZ$601,368,Sync!$C$5)&amp;"","")&amp;""))</f>
        <v/>
      </c>
      <c r="E3219" s="23" t="str">
        <f aca="false">IF(B3219="","",IFERROR(INDEX(Clay_Offices!$A$2:$FZ$601,368,Sync!$C$6)&amp;"",""))</f>
        <v/>
      </c>
      <c r="F3219" s="23" t="str">
        <f aca="false">IF(B3219="","","outreach_sent")</f>
        <v/>
      </c>
      <c r="G3219" s="23" t="str">
        <f aca="false">IF(B3219="","","")</f>
        <v/>
      </c>
      <c r="H3219" s="23" t="str">
        <f aca="false">IF(B3219="","","")</f>
        <v/>
      </c>
      <c r="I3219" s="23" t="str">
        <f aca="false">IF(B3219="","","")</f>
        <v/>
      </c>
      <c r="J3219" s="23" t="str">
        <f aca="false">IF(B3219="","","touch_3; "&amp;IFERROR(INDEX(Clay_Offices!$A$2:$FZ$601,368,Sync!$C$10)&amp;"","")&amp;"; "&amp;IFERROR(INDEX(Clay_Offices!$A$2:$FZ$601,368,Sync!$C$9)&amp;"",""))</f>
        <v/>
      </c>
      <c r="K3219" s="32" t="s">
        <v>1365</v>
      </c>
    </row>
    <row r="3220" customFormat="false" ht="15" hidden="false" customHeight="false" outlineLevel="0" collapsed="false">
      <c r="A3220" s="23" t="str">
        <f aca="false">IF(B3220="","",B3220+(14*1000+369)/10000000)</f>
        <v/>
      </c>
      <c r="B3220" s="35" t="str">
        <f aca="false">IF(AND(IFERROR(N(INDEX(Clay_Offices!$A$2:$FZ$601,369,Sync!$C$13)),0)&gt;0,IFERROR(INDEX(Clay_Offices!$A$2:$FZ$601,369,Sync!$C$5)&amp;"","")&lt;&gt;"",OR(LEFT(IFERROR(INDEX(Clay_Offices!$A$2:$FZ$601,369,Sync!$C$5)&amp;"",""),6)&lt;&gt;"SAMPLE",Config!$B$19="Y")),IFERROR(N(INDEX(Clay_Offices!$A$2:$FZ$601,369,Sync!$C$13)),0),"")</f>
        <v/>
      </c>
      <c r="C3220" s="23" t="str">
        <f aca="false">IF(B3220="","","office")</f>
        <v/>
      </c>
      <c r="D3220" s="23" t="str">
        <f aca="false">IF(B3220="","",IFERROR(INDEX(Office_Log!$ED$2:$ED$201,MATCH(IFERROR(INDEX(Clay_Offices!$A$2:$FZ$601,369,Sync!$C$5)&amp;"",""),Office_Log!$A$2:$A$201,0))&amp;"",IFERROR(INDEX(Clay_Offices!$A$2:$FZ$601,369,Sync!$C$5)&amp;"","")&amp;""))</f>
        <v/>
      </c>
      <c r="E3220" s="23" t="str">
        <f aca="false">IF(B3220="","",IFERROR(INDEX(Clay_Offices!$A$2:$FZ$601,369,Sync!$C$6)&amp;"",""))</f>
        <v/>
      </c>
      <c r="F3220" s="23" t="str">
        <f aca="false">IF(B3220="","","outreach_sent")</f>
        <v/>
      </c>
      <c r="G3220" s="23" t="str">
        <f aca="false">IF(B3220="","","")</f>
        <v/>
      </c>
      <c r="H3220" s="23" t="str">
        <f aca="false">IF(B3220="","","")</f>
        <v/>
      </c>
      <c r="I3220" s="23" t="str">
        <f aca="false">IF(B3220="","","")</f>
        <v/>
      </c>
      <c r="J3220" s="23" t="str">
        <f aca="false">IF(B3220="","","touch_3; "&amp;IFERROR(INDEX(Clay_Offices!$A$2:$FZ$601,369,Sync!$C$10)&amp;"","")&amp;"; "&amp;IFERROR(INDEX(Clay_Offices!$A$2:$FZ$601,369,Sync!$C$9)&amp;"",""))</f>
        <v/>
      </c>
      <c r="K3220" s="32" t="s">
        <v>1365</v>
      </c>
    </row>
    <row r="3221" customFormat="false" ht="15" hidden="false" customHeight="false" outlineLevel="0" collapsed="false">
      <c r="A3221" s="23" t="str">
        <f aca="false">IF(B3221="","",B3221+(14*1000+370)/10000000)</f>
        <v/>
      </c>
      <c r="B3221" s="35" t="str">
        <f aca="false">IF(AND(IFERROR(N(INDEX(Clay_Offices!$A$2:$FZ$601,370,Sync!$C$13)),0)&gt;0,IFERROR(INDEX(Clay_Offices!$A$2:$FZ$601,370,Sync!$C$5)&amp;"","")&lt;&gt;"",OR(LEFT(IFERROR(INDEX(Clay_Offices!$A$2:$FZ$601,370,Sync!$C$5)&amp;"",""),6)&lt;&gt;"SAMPLE",Config!$B$19="Y")),IFERROR(N(INDEX(Clay_Offices!$A$2:$FZ$601,370,Sync!$C$13)),0),"")</f>
        <v/>
      </c>
      <c r="C3221" s="23" t="str">
        <f aca="false">IF(B3221="","","office")</f>
        <v/>
      </c>
      <c r="D3221" s="23" t="str">
        <f aca="false">IF(B3221="","",IFERROR(INDEX(Office_Log!$ED$2:$ED$201,MATCH(IFERROR(INDEX(Clay_Offices!$A$2:$FZ$601,370,Sync!$C$5)&amp;"",""),Office_Log!$A$2:$A$201,0))&amp;"",IFERROR(INDEX(Clay_Offices!$A$2:$FZ$601,370,Sync!$C$5)&amp;"","")&amp;""))</f>
        <v/>
      </c>
      <c r="E3221" s="23" t="str">
        <f aca="false">IF(B3221="","",IFERROR(INDEX(Clay_Offices!$A$2:$FZ$601,370,Sync!$C$6)&amp;"",""))</f>
        <v/>
      </c>
      <c r="F3221" s="23" t="str">
        <f aca="false">IF(B3221="","","outreach_sent")</f>
        <v/>
      </c>
      <c r="G3221" s="23" t="str">
        <f aca="false">IF(B3221="","","")</f>
        <v/>
      </c>
      <c r="H3221" s="23" t="str">
        <f aca="false">IF(B3221="","","")</f>
        <v/>
      </c>
      <c r="I3221" s="23" t="str">
        <f aca="false">IF(B3221="","","")</f>
        <v/>
      </c>
      <c r="J3221" s="23" t="str">
        <f aca="false">IF(B3221="","","touch_3; "&amp;IFERROR(INDEX(Clay_Offices!$A$2:$FZ$601,370,Sync!$C$10)&amp;"","")&amp;"; "&amp;IFERROR(INDEX(Clay_Offices!$A$2:$FZ$601,370,Sync!$C$9)&amp;"",""))</f>
        <v/>
      </c>
      <c r="K3221" s="32" t="s">
        <v>1365</v>
      </c>
    </row>
    <row r="3222" customFormat="false" ht="15" hidden="false" customHeight="false" outlineLevel="0" collapsed="false">
      <c r="A3222" s="23" t="str">
        <f aca="false">IF(B3222="","",B3222+(14*1000+371)/10000000)</f>
        <v/>
      </c>
      <c r="B3222" s="35" t="str">
        <f aca="false">IF(AND(IFERROR(N(INDEX(Clay_Offices!$A$2:$FZ$601,371,Sync!$C$13)),0)&gt;0,IFERROR(INDEX(Clay_Offices!$A$2:$FZ$601,371,Sync!$C$5)&amp;"","")&lt;&gt;"",OR(LEFT(IFERROR(INDEX(Clay_Offices!$A$2:$FZ$601,371,Sync!$C$5)&amp;"",""),6)&lt;&gt;"SAMPLE",Config!$B$19="Y")),IFERROR(N(INDEX(Clay_Offices!$A$2:$FZ$601,371,Sync!$C$13)),0),"")</f>
        <v/>
      </c>
      <c r="C3222" s="23" t="str">
        <f aca="false">IF(B3222="","","office")</f>
        <v/>
      </c>
      <c r="D3222" s="23" t="str">
        <f aca="false">IF(B3222="","",IFERROR(INDEX(Office_Log!$ED$2:$ED$201,MATCH(IFERROR(INDEX(Clay_Offices!$A$2:$FZ$601,371,Sync!$C$5)&amp;"",""),Office_Log!$A$2:$A$201,0))&amp;"",IFERROR(INDEX(Clay_Offices!$A$2:$FZ$601,371,Sync!$C$5)&amp;"","")&amp;""))</f>
        <v/>
      </c>
      <c r="E3222" s="23" t="str">
        <f aca="false">IF(B3222="","",IFERROR(INDEX(Clay_Offices!$A$2:$FZ$601,371,Sync!$C$6)&amp;"",""))</f>
        <v/>
      </c>
      <c r="F3222" s="23" t="str">
        <f aca="false">IF(B3222="","","outreach_sent")</f>
        <v/>
      </c>
      <c r="G3222" s="23" t="str">
        <f aca="false">IF(B3222="","","")</f>
        <v/>
      </c>
      <c r="H3222" s="23" t="str">
        <f aca="false">IF(B3222="","","")</f>
        <v/>
      </c>
      <c r="I3222" s="23" t="str">
        <f aca="false">IF(B3222="","","")</f>
        <v/>
      </c>
      <c r="J3222" s="23" t="str">
        <f aca="false">IF(B3222="","","touch_3; "&amp;IFERROR(INDEX(Clay_Offices!$A$2:$FZ$601,371,Sync!$C$10)&amp;"","")&amp;"; "&amp;IFERROR(INDEX(Clay_Offices!$A$2:$FZ$601,371,Sync!$C$9)&amp;"",""))</f>
        <v/>
      </c>
      <c r="K3222" s="32" t="s">
        <v>1365</v>
      </c>
    </row>
    <row r="3223" customFormat="false" ht="15" hidden="false" customHeight="false" outlineLevel="0" collapsed="false">
      <c r="A3223" s="23" t="str">
        <f aca="false">IF(B3223="","",B3223+(14*1000+372)/10000000)</f>
        <v/>
      </c>
      <c r="B3223" s="35" t="str">
        <f aca="false">IF(AND(IFERROR(N(INDEX(Clay_Offices!$A$2:$FZ$601,372,Sync!$C$13)),0)&gt;0,IFERROR(INDEX(Clay_Offices!$A$2:$FZ$601,372,Sync!$C$5)&amp;"","")&lt;&gt;"",OR(LEFT(IFERROR(INDEX(Clay_Offices!$A$2:$FZ$601,372,Sync!$C$5)&amp;"",""),6)&lt;&gt;"SAMPLE",Config!$B$19="Y")),IFERROR(N(INDEX(Clay_Offices!$A$2:$FZ$601,372,Sync!$C$13)),0),"")</f>
        <v/>
      </c>
      <c r="C3223" s="23" t="str">
        <f aca="false">IF(B3223="","","office")</f>
        <v/>
      </c>
      <c r="D3223" s="23" t="str">
        <f aca="false">IF(B3223="","",IFERROR(INDEX(Office_Log!$ED$2:$ED$201,MATCH(IFERROR(INDEX(Clay_Offices!$A$2:$FZ$601,372,Sync!$C$5)&amp;"",""),Office_Log!$A$2:$A$201,0))&amp;"",IFERROR(INDEX(Clay_Offices!$A$2:$FZ$601,372,Sync!$C$5)&amp;"","")&amp;""))</f>
        <v/>
      </c>
      <c r="E3223" s="23" t="str">
        <f aca="false">IF(B3223="","",IFERROR(INDEX(Clay_Offices!$A$2:$FZ$601,372,Sync!$C$6)&amp;"",""))</f>
        <v/>
      </c>
      <c r="F3223" s="23" t="str">
        <f aca="false">IF(B3223="","","outreach_sent")</f>
        <v/>
      </c>
      <c r="G3223" s="23" t="str">
        <f aca="false">IF(B3223="","","")</f>
        <v/>
      </c>
      <c r="H3223" s="23" t="str">
        <f aca="false">IF(B3223="","","")</f>
        <v/>
      </c>
      <c r="I3223" s="23" t="str">
        <f aca="false">IF(B3223="","","")</f>
        <v/>
      </c>
      <c r="J3223" s="23" t="str">
        <f aca="false">IF(B3223="","","touch_3; "&amp;IFERROR(INDEX(Clay_Offices!$A$2:$FZ$601,372,Sync!$C$10)&amp;"","")&amp;"; "&amp;IFERROR(INDEX(Clay_Offices!$A$2:$FZ$601,372,Sync!$C$9)&amp;"",""))</f>
        <v/>
      </c>
      <c r="K3223" s="32" t="s">
        <v>1365</v>
      </c>
    </row>
    <row r="3224" customFormat="false" ht="15" hidden="false" customHeight="false" outlineLevel="0" collapsed="false">
      <c r="A3224" s="23" t="str">
        <f aca="false">IF(B3224="","",B3224+(14*1000+373)/10000000)</f>
        <v/>
      </c>
      <c r="B3224" s="35" t="str">
        <f aca="false">IF(AND(IFERROR(N(INDEX(Clay_Offices!$A$2:$FZ$601,373,Sync!$C$13)),0)&gt;0,IFERROR(INDEX(Clay_Offices!$A$2:$FZ$601,373,Sync!$C$5)&amp;"","")&lt;&gt;"",OR(LEFT(IFERROR(INDEX(Clay_Offices!$A$2:$FZ$601,373,Sync!$C$5)&amp;"",""),6)&lt;&gt;"SAMPLE",Config!$B$19="Y")),IFERROR(N(INDEX(Clay_Offices!$A$2:$FZ$601,373,Sync!$C$13)),0),"")</f>
        <v/>
      </c>
      <c r="C3224" s="23" t="str">
        <f aca="false">IF(B3224="","","office")</f>
        <v/>
      </c>
      <c r="D3224" s="23" t="str">
        <f aca="false">IF(B3224="","",IFERROR(INDEX(Office_Log!$ED$2:$ED$201,MATCH(IFERROR(INDEX(Clay_Offices!$A$2:$FZ$601,373,Sync!$C$5)&amp;"",""),Office_Log!$A$2:$A$201,0))&amp;"",IFERROR(INDEX(Clay_Offices!$A$2:$FZ$601,373,Sync!$C$5)&amp;"","")&amp;""))</f>
        <v/>
      </c>
      <c r="E3224" s="23" t="str">
        <f aca="false">IF(B3224="","",IFERROR(INDEX(Clay_Offices!$A$2:$FZ$601,373,Sync!$C$6)&amp;"",""))</f>
        <v/>
      </c>
      <c r="F3224" s="23" t="str">
        <f aca="false">IF(B3224="","","outreach_sent")</f>
        <v/>
      </c>
      <c r="G3224" s="23" t="str">
        <f aca="false">IF(B3224="","","")</f>
        <v/>
      </c>
      <c r="H3224" s="23" t="str">
        <f aca="false">IF(B3224="","","")</f>
        <v/>
      </c>
      <c r="I3224" s="23" t="str">
        <f aca="false">IF(B3224="","","")</f>
        <v/>
      </c>
      <c r="J3224" s="23" t="str">
        <f aca="false">IF(B3224="","","touch_3; "&amp;IFERROR(INDEX(Clay_Offices!$A$2:$FZ$601,373,Sync!$C$10)&amp;"","")&amp;"; "&amp;IFERROR(INDEX(Clay_Offices!$A$2:$FZ$601,373,Sync!$C$9)&amp;"",""))</f>
        <v/>
      </c>
      <c r="K3224" s="32" t="s">
        <v>1365</v>
      </c>
    </row>
    <row r="3225" customFormat="false" ht="15" hidden="false" customHeight="false" outlineLevel="0" collapsed="false">
      <c r="A3225" s="23" t="str">
        <f aca="false">IF(B3225="","",B3225+(14*1000+374)/10000000)</f>
        <v/>
      </c>
      <c r="B3225" s="35" t="str">
        <f aca="false">IF(AND(IFERROR(N(INDEX(Clay_Offices!$A$2:$FZ$601,374,Sync!$C$13)),0)&gt;0,IFERROR(INDEX(Clay_Offices!$A$2:$FZ$601,374,Sync!$C$5)&amp;"","")&lt;&gt;"",OR(LEFT(IFERROR(INDEX(Clay_Offices!$A$2:$FZ$601,374,Sync!$C$5)&amp;"",""),6)&lt;&gt;"SAMPLE",Config!$B$19="Y")),IFERROR(N(INDEX(Clay_Offices!$A$2:$FZ$601,374,Sync!$C$13)),0),"")</f>
        <v/>
      </c>
      <c r="C3225" s="23" t="str">
        <f aca="false">IF(B3225="","","office")</f>
        <v/>
      </c>
      <c r="D3225" s="23" t="str">
        <f aca="false">IF(B3225="","",IFERROR(INDEX(Office_Log!$ED$2:$ED$201,MATCH(IFERROR(INDEX(Clay_Offices!$A$2:$FZ$601,374,Sync!$C$5)&amp;"",""),Office_Log!$A$2:$A$201,0))&amp;"",IFERROR(INDEX(Clay_Offices!$A$2:$FZ$601,374,Sync!$C$5)&amp;"","")&amp;""))</f>
        <v/>
      </c>
      <c r="E3225" s="23" t="str">
        <f aca="false">IF(B3225="","",IFERROR(INDEX(Clay_Offices!$A$2:$FZ$601,374,Sync!$C$6)&amp;"",""))</f>
        <v/>
      </c>
      <c r="F3225" s="23" t="str">
        <f aca="false">IF(B3225="","","outreach_sent")</f>
        <v/>
      </c>
      <c r="G3225" s="23" t="str">
        <f aca="false">IF(B3225="","","")</f>
        <v/>
      </c>
      <c r="H3225" s="23" t="str">
        <f aca="false">IF(B3225="","","")</f>
        <v/>
      </c>
      <c r="I3225" s="23" t="str">
        <f aca="false">IF(B3225="","","")</f>
        <v/>
      </c>
      <c r="J3225" s="23" t="str">
        <f aca="false">IF(B3225="","","touch_3; "&amp;IFERROR(INDEX(Clay_Offices!$A$2:$FZ$601,374,Sync!$C$10)&amp;"","")&amp;"; "&amp;IFERROR(INDEX(Clay_Offices!$A$2:$FZ$601,374,Sync!$C$9)&amp;"",""))</f>
        <v/>
      </c>
      <c r="K3225" s="32" t="s">
        <v>1365</v>
      </c>
    </row>
    <row r="3226" customFormat="false" ht="15" hidden="false" customHeight="false" outlineLevel="0" collapsed="false">
      <c r="A3226" s="23" t="str">
        <f aca="false">IF(B3226="","",B3226+(14*1000+375)/10000000)</f>
        <v/>
      </c>
      <c r="B3226" s="35" t="str">
        <f aca="false">IF(AND(IFERROR(N(INDEX(Clay_Offices!$A$2:$FZ$601,375,Sync!$C$13)),0)&gt;0,IFERROR(INDEX(Clay_Offices!$A$2:$FZ$601,375,Sync!$C$5)&amp;"","")&lt;&gt;"",OR(LEFT(IFERROR(INDEX(Clay_Offices!$A$2:$FZ$601,375,Sync!$C$5)&amp;"",""),6)&lt;&gt;"SAMPLE",Config!$B$19="Y")),IFERROR(N(INDEX(Clay_Offices!$A$2:$FZ$601,375,Sync!$C$13)),0),"")</f>
        <v/>
      </c>
      <c r="C3226" s="23" t="str">
        <f aca="false">IF(B3226="","","office")</f>
        <v/>
      </c>
      <c r="D3226" s="23" t="str">
        <f aca="false">IF(B3226="","",IFERROR(INDEX(Office_Log!$ED$2:$ED$201,MATCH(IFERROR(INDEX(Clay_Offices!$A$2:$FZ$601,375,Sync!$C$5)&amp;"",""),Office_Log!$A$2:$A$201,0))&amp;"",IFERROR(INDEX(Clay_Offices!$A$2:$FZ$601,375,Sync!$C$5)&amp;"","")&amp;""))</f>
        <v/>
      </c>
      <c r="E3226" s="23" t="str">
        <f aca="false">IF(B3226="","",IFERROR(INDEX(Clay_Offices!$A$2:$FZ$601,375,Sync!$C$6)&amp;"",""))</f>
        <v/>
      </c>
      <c r="F3226" s="23" t="str">
        <f aca="false">IF(B3226="","","outreach_sent")</f>
        <v/>
      </c>
      <c r="G3226" s="23" t="str">
        <f aca="false">IF(B3226="","","")</f>
        <v/>
      </c>
      <c r="H3226" s="23" t="str">
        <f aca="false">IF(B3226="","","")</f>
        <v/>
      </c>
      <c r="I3226" s="23" t="str">
        <f aca="false">IF(B3226="","","")</f>
        <v/>
      </c>
      <c r="J3226" s="23" t="str">
        <f aca="false">IF(B3226="","","touch_3; "&amp;IFERROR(INDEX(Clay_Offices!$A$2:$FZ$601,375,Sync!$C$10)&amp;"","")&amp;"; "&amp;IFERROR(INDEX(Clay_Offices!$A$2:$FZ$601,375,Sync!$C$9)&amp;"",""))</f>
        <v/>
      </c>
      <c r="K3226" s="32" t="s">
        <v>1365</v>
      </c>
    </row>
    <row r="3227" customFormat="false" ht="15" hidden="false" customHeight="false" outlineLevel="0" collapsed="false">
      <c r="A3227" s="23" t="str">
        <f aca="false">IF(B3227="","",B3227+(14*1000+376)/10000000)</f>
        <v/>
      </c>
      <c r="B3227" s="35" t="str">
        <f aca="false">IF(AND(IFERROR(N(INDEX(Clay_Offices!$A$2:$FZ$601,376,Sync!$C$13)),0)&gt;0,IFERROR(INDEX(Clay_Offices!$A$2:$FZ$601,376,Sync!$C$5)&amp;"","")&lt;&gt;"",OR(LEFT(IFERROR(INDEX(Clay_Offices!$A$2:$FZ$601,376,Sync!$C$5)&amp;"",""),6)&lt;&gt;"SAMPLE",Config!$B$19="Y")),IFERROR(N(INDEX(Clay_Offices!$A$2:$FZ$601,376,Sync!$C$13)),0),"")</f>
        <v/>
      </c>
      <c r="C3227" s="23" t="str">
        <f aca="false">IF(B3227="","","office")</f>
        <v/>
      </c>
      <c r="D3227" s="23" t="str">
        <f aca="false">IF(B3227="","",IFERROR(INDEX(Office_Log!$ED$2:$ED$201,MATCH(IFERROR(INDEX(Clay_Offices!$A$2:$FZ$601,376,Sync!$C$5)&amp;"",""),Office_Log!$A$2:$A$201,0))&amp;"",IFERROR(INDEX(Clay_Offices!$A$2:$FZ$601,376,Sync!$C$5)&amp;"","")&amp;""))</f>
        <v/>
      </c>
      <c r="E3227" s="23" t="str">
        <f aca="false">IF(B3227="","",IFERROR(INDEX(Clay_Offices!$A$2:$FZ$601,376,Sync!$C$6)&amp;"",""))</f>
        <v/>
      </c>
      <c r="F3227" s="23" t="str">
        <f aca="false">IF(B3227="","","outreach_sent")</f>
        <v/>
      </c>
      <c r="G3227" s="23" t="str">
        <f aca="false">IF(B3227="","","")</f>
        <v/>
      </c>
      <c r="H3227" s="23" t="str">
        <f aca="false">IF(B3227="","","")</f>
        <v/>
      </c>
      <c r="I3227" s="23" t="str">
        <f aca="false">IF(B3227="","","")</f>
        <v/>
      </c>
      <c r="J3227" s="23" t="str">
        <f aca="false">IF(B3227="","","touch_3; "&amp;IFERROR(INDEX(Clay_Offices!$A$2:$FZ$601,376,Sync!$C$10)&amp;"","")&amp;"; "&amp;IFERROR(INDEX(Clay_Offices!$A$2:$FZ$601,376,Sync!$C$9)&amp;"",""))</f>
        <v/>
      </c>
      <c r="K3227" s="32" t="s">
        <v>1365</v>
      </c>
    </row>
    <row r="3228" customFormat="false" ht="15" hidden="false" customHeight="false" outlineLevel="0" collapsed="false">
      <c r="A3228" s="23" t="str">
        <f aca="false">IF(B3228="","",B3228+(14*1000+377)/10000000)</f>
        <v/>
      </c>
      <c r="B3228" s="35" t="str">
        <f aca="false">IF(AND(IFERROR(N(INDEX(Clay_Offices!$A$2:$FZ$601,377,Sync!$C$13)),0)&gt;0,IFERROR(INDEX(Clay_Offices!$A$2:$FZ$601,377,Sync!$C$5)&amp;"","")&lt;&gt;"",OR(LEFT(IFERROR(INDEX(Clay_Offices!$A$2:$FZ$601,377,Sync!$C$5)&amp;"",""),6)&lt;&gt;"SAMPLE",Config!$B$19="Y")),IFERROR(N(INDEX(Clay_Offices!$A$2:$FZ$601,377,Sync!$C$13)),0),"")</f>
        <v/>
      </c>
      <c r="C3228" s="23" t="str">
        <f aca="false">IF(B3228="","","office")</f>
        <v/>
      </c>
      <c r="D3228" s="23" t="str">
        <f aca="false">IF(B3228="","",IFERROR(INDEX(Office_Log!$ED$2:$ED$201,MATCH(IFERROR(INDEX(Clay_Offices!$A$2:$FZ$601,377,Sync!$C$5)&amp;"",""),Office_Log!$A$2:$A$201,0))&amp;"",IFERROR(INDEX(Clay_Offices!$A$2:$FZ$601,377,Sync!$C$5)&amp;"","")&amp;""))</f>
        <v/>
      </c>
      <c r="E3228" s="23" t="str">
        <f aca="false">IF(B3228="","",IFERROR(INDEX(Clay_Offices!$A$2:$FZ$601,377,Sync!$C$6)&amp;"",""))</f>
        <v/>
      </c>
      <c r="F3228" s="23" t="str">
        <f aca="false">IF(B3228="","","outreach_sent")</f>
        <v/>
      </c>
      <c r="G3228" s="23" t="str">
        <f aca="false">IF(B3228="","","")</f>
        <v/>
      </c>
      <c r="H3228" s="23" t="str">
        <f aca="false">IF(B3228="","","")</f>
        <v/>
      </c>
      <c r="I3228" s="23" t="str">
        <f aca="false">IF(B3228="","","")</f>
        <v/>
      </c>
      <c r="J3228" s="23" t="str">
        <f aca="false">IF(B3228="","","touch_3; "&amp;IFERROR(INDEX(Clay_Offices!$A$2:$FZ$601,377,Sync!$C$10)&amp;"","")&amp;"; "&amp;IFERROR(INDEX(Clay_Offices!$A$2:$FZ$601,377,Sync!$C$9)&amp;"",""))</f>
        <v/>
      </c>
      <c r="K3228" s="32" t="s">
        <v>1365</v>
      </c>
    </row>
    <row r="3229" customFormat="false" ht="15" hidden="false" customHeight="false" outlineLevel="0" collapsed="false">
      <c r="A3229" s="23" t="str">
        <f aca="false">IF(B3229="","",B3229+(14*1000+378)/10000000)</f>
        <v/>
      </c>
      <c r="B3229" s="35" t="str">
        <f aca="false">IF(AND(IFERROR(N(INDEX(Clay_Offices!$A$2:$FZ$601,378,Sync!$C$13)),0)&gt;0,IFERROR(INDEX(Clay_Offices!$A$2:$FZ$601,378,Sync!$C$5)&amp;"","")&lt;&gt;"",OR(LEFT(IFERROR(INDEX(Clay_Offices!$A$2:$FZ$601,378,Sync!$C$5)&amp;"",""),6)&lt;&gt;"SAMPLE",Config!$B$19="Y")),IFERROR(N(INDEX(Clay_Offices!$A$2:$FZ$601,378,Sync!$C$13)),0),"")</f>
        <v/>
      </c>
      <c r="C3229" s="23" t="str">
        <f aca="false">IF(B3229="","","office")</f>
        <v/>
      </c>
      <c r="D3229" s="23" t="str">
        <f aca="false">IF(B3229="","",IFERROR(INDEX(Office_Log!$ED$2:$ED$201,MATCH(IFERROR(INDEX(Clay_Offices!$A$2:$FZ$601,378,Sync!$C$5)&amp;"",""),Office_Log!$A$2:$A$201,0))&amp;"",IFERROR(INDEX(Clay_Offices!$A$2:$FZ$601,378,Sync!$C$5)&amp;"","")&amp;""))</f>
        <v/>
      </c>
      <c r="E3229" s="23" t="str">
        <f aca="false">IF(B3229="","",IFERROR(INDEX(Clay_Offices!$A$2:$FZ$601,378,Sync!$C$6)&amp;"",""))</f>
        <v/>
      </c>
      <c r="F3229" s="23" t="str">
        <f aca="false">IF(B3229="","","outreach_sent")</f>
        <v/>
      </c>
      <c r="G3229" s="23" t="str">
        <f aca="false">IF(B3229="","","")</f>
        <v/>
      </c>
      <c r="H3229" s="23" t="str">
        <f aca="false">IF(B3229="","","")</f>
        <v/>
      </c>
      <c r="I3229" s="23" t="str">
        <f aca="false">IF(B3229="","","")</f>
        <v/>
      </c>
      <c r="J3229" s="23" t="str">
        <f aca="false">IF(B3229="","","touch_3; "&amp;IFERROR(INDEX(Clay_Offices!$A$2:$FZ$601,378,Sync!$C$10)&amp;"","")&amp;"; "&amp;IFERROR(INDEX(Clay_Offices!$A$2:$FZ$601,378,Sync!$C$9)&amp;"",""))</f>
        <v/>
      </c>
      <c r="K3229" s="32" t="s">
        <v>1365</v>
      </c>
    </row>
    <row r="3230" customFormat="false" ht="15" hidden="false" customHeight="false" outlineLevel="0" collapsed="false">
      <c r="A3230" s="23" t="str">
        <f aca="false">IF(B3230="","",B3230+(14*1000+379)/10000000)</f>
        <v/>
      </c>
      <c r="B3230" s="35" t="str">
        <f aca="false">IF(AND(IFERROR(N(INDEX(Clay_Offices!$A$2:$FZ$601,379,Sync!$C$13)),0)&gt;0,IFERROR(INDEX(Clay_Offices!$A$2:$FZ$601,379,Sync!$C$5)&amp;"","")&lt;&gt;"",OR(LEFT(IFERROR(INDEX(Clay_Offices!$A$2:$FZ$601,379,Sync!$C$5)&amp;"",""),6)&lt;&gt;"SAMPLE",Config!$B$19="Y")),IFERROR(N(INDEX(Clay_Offices!$A$2:$FZ$601,379,Sync!$C$13)),0),"")</f>
        <v/>
      </c>
      <c r="C3230" s="23" t="str">
        <f aca="false">IF(B3230="","","office")</f>
        <v/>
      </c>
      <c r="D3230" s="23" t="str">
        <f aca="false">IF(B3230="","",IFERROR(INDEX(Office_Log!$ED$2:$ED$201,MATCH(IFERROR(INDEX(Clay_Offices!$A$2:$FZ$601,379,Sync!$C$5)&amp;"",""),Office_Log!$A$2:$A$201,0))&amp;"",IFERROR(INDEX(Clay_Offices!$A$2:$FZ$601,379,Sync!$C$5)&amp;"","")&amp;""))</f>
        <v/>
      </c>
      <c r="E3230" s="23" t="str">
        <f aca="false">IF(B3230="","",IFERROR(INDEX(Clay_Offices!$A$2:$FZ$601,379,Sync!$C$6)&amp;"",""))</f>
        <v/>
      </c>
      <c r="F3230" s="23" t="str">
        <f aca="false">IF(B3230="","","outreach_sent")</f>
        <v/>
      </c>
      <c r="G3230" s="23" t="str">
        <f aca="false">IF(B3230="","","")</f>
        <v/>
      </c>
      <c r="H3230" s="23" t="str">
        <f aca="false">IF(B3230="","","")</f>
        <v/>
      </c>
      <c r="I3230" s="23" t="str">
        <f aca="false">IF(B3230="","","")</f>
        <v/>
      </c>
      <c r="J3230" s="23" t="str">
        <f aca="false">IF(B3230="","","touch_3; "&amp;IFERROR(INDEX(Clay_Offices!$A$2:$FZ$601,379,Sync!$C$10)&amp;"","")&amp;"; "&amp;IFERROR(INDEX(Clay_Offices!$A$2:$FZ$601,379,Sync!$C$9)&amp;"",""))</f>
        <v/>
      </c>
      <c r="K3230" s="32" t="s">
        <v>1365</v>
      </c>
    </row>
    <row r="3231" customFormat="false" ht="15" hidden="false" customHeight="false" outlineLevel="0" collapsed="false">
      <c r="A3231" s="23" t="str">
        <f aca="false">IF(B3231="","",B3231+(14*1000+380)/10000000)</f>
        <v/>
      </c>
      <c r="B3231" s="35" t="str">
        <f aca="false">IF(AND(IFERROR(N(INDEX(Clay_Offices!$A$2:$FZ$601,380,Sync!$C$13)),0)&gt;0,IFERROR(INDEX(Clay_Offices!$A$2:$FZ$601,380,Sync!$C$5)&amp;"","")&lt;&gt;"",OR(LEFT(IFERROR(INDEX(Clay_Offices!$A$2:$FZ$601,380,Sync!$C$5)&amp;"",""),6)&lt;&gt;"SAMPLE",Config!$B$19="Y")),IFERROR(N(INDEX(Clay_Offices!$A$2:$FZ$601,380,Sync!$C$13)),0),"")</f>
        <v/>
      </c>
      <c r="C3231" s="23" t="str">
        <f aca="false">IF(B3231="","","office")</f>
        <v/>
      </c>
      <c r="D3231" s="23" t="str">
        <f aca="false">IF(B3231="","",IFERROR(INDEX(Office_Log!$ED$2:$ED$201,MATCH(IFERROR(INDEX(Clay_Offices!$A$2:$FZ$601,380,Sync!$C$5)&amp;"",""),Office_Log!$A$2:$A$201,0))&amp;"",IFERROR(INDEX(Clay_Offices!$A$2:$FZ$601,380,Sync!$C$5)&amp;"","")&amp;""))</f>
        <v/>
      </c>
      <c r="E3231" s="23" t="str">
        <f aca="false">IF(B3231="","",IFERROR(INDEX(Clay_Offices!$A$2:$FZ$601,380,Sync!$C$6)&amp;"",""))</f>
        <v/>
      </c>
      <c r="F3231" s="23" t="str">
        <f aca="false">IF(B3231="","","outreach_sent")</f>
        <v/>
      </c>
      <c r="G3231" s="23" t="str">
        <f aca="false">IF(B3231="","","")</f>
        <v/>
      </c>
      <c r="H3231" s="23" t="str">
        <f aca="false">IF(B3231="","","")</f>
        <v/>
      </c>
      <c r="I3231" s="23" t="str">
        <f aca="false">IF(B3231="","","")</f>
        <v/>
      </c>
      <c r="J3231" s="23" t="str">
        <f aca="false">IF(B3231="","","touch_3; "&amp;IFERROR(INDEX(Clay_Offices!$A$2:$FZ$601,380,Sync!$C$10)&amp;"","")&amp;"; "&amp;IFERROR(INDEX(Clay_Offices!$A$2:$FZ$601,380,Sync!$C$9)&amp;"",""))</f>
        <v/>
      </c>
      <c r="K3231" s="32" t="s">
        <v>1365</v>
      </c>
    </row>
    <row r="3232" customFormat="false" ht="15" hidden="false" customHeight="false" outlineLevel="0" collapsed="false">
      <c r="A3232" s="23" t="str">
        <f aca="false">IF(B3232="","",B3232+(14*1000+381)/10000000)</f>
        <v/>
      </c>
      <c r="B3232" s="35" t="str">
        <f aca="false">IF(AND(IFERROR(N(INDEX(Clay_Offices!$A$2:$FZ$601,381,Sync!$C$13)),0)&gt;0,IFERROR(INDEX(Clay_Offices!$A$2:$FZ$601,381,Sync!$C$5)&amp;"","")&lt;&gt;"",OR(LEFT(IFERROR(INDEX(Clay_Offices!$A$2:$FZ$601,381,Sync!$C$5)&amp;"",""),6)&lt;&gt;"SAMPLE",Config!$B$19="Y")),IFERROR(N(INDEX(Clay_Offices!$A$2:$FZ$601,381,Sync!$C$13)),0),"")</f>
        <v/>
      </c>
      <c r="C3232" s="23" t="str">
        <f aca="false">IF(B3232="","","office")</f>
        <v/>
      </c>
      <c r="D3232" s="23" t="str">
        <f aca="false">IF(B3232="","",IFERROR(INDEX(Office_Log!$ED$2:$ED$201,MATCH(IFERROR(INDEX(Clay_Offices!$A$2:$FZ$601,381,Sync!$C$5)&amp;"",""),Office_Log!$A$2:$A$201,0))&amp;"",IFERROR(INDEX(Clay_Offices!$A$2:$FZ$601,381,Sync!$C$5)&amp;"","")&amp;""))</f>
        <v/>
      </c>
      <c r="E3232" s="23" t="str">
        <f aca="false">IF(B3232="","",IFERROR(INDEX(Clay_Offices!$A$2:$FZ$601,381,Sync!$C$6)&amp;"",""))</f>
        <v/>
      </c>
      <c r="F3232" s="23" t="str">
        <f aca="false">IF(B3232="","","outreach_sent")</f>
        <v/>
      </c>
      <c r="G3232" s="23" t="str">
        <f aca="false">IF(B3232="","","")</f>
        <v/>
      </c>
      <c r="H3232" s="23" t="str">
        <f aca="false">IF(B3232="","","")</f>
        <v/>
      </c>
      <c r="I3232" s="23" t="str">
        <f aca="false">IF(B3232="","","")</f>
        <v/>
      </c>
      <c r="J3232" s="23" t="str">
        <f aca="false">IF(B3232="","","touch_3; "&amp;IFERROR(INDEX(Clay_Offices!$A$2:$FZ$601,381,Sync!$C$10)&amp;"","")&amp;"; "&amp;IFERROR(INDEX(Clay_Offices!$A$2:$FZ$601,381,Sync!$C$9)&amp;"",""))</f>
        <v/>
      </c>
      <c r="K3232" s="32" t="s">
        <v>1365</v>
      </c>
    </row>
    <row r="3233" customFormat="false" ht="15" hidden="false" customHeight="false" outlineLevel="0" collapsed="false">
      <c r="A3233" s="23" t="str">
        <f aca="false">IF(B3233="","",B3233+(14*1000+382)/10000000)</f>
        <v/>
      </c>
      <c r="B3233" s="35" t="str">
        <f aca="false">IF(AND(IFERROR(N(INDEX(Clay_Offices!$A$2:$FZ$601,382,Sync!$C$13)),0)&gt;0,IFERROR(INDEX(Clay_Offices!$A$2:$FZ$601,382,Sync!$C$5)&amp;"","")&lt;&gt;"",OR(LEFT(IFERROR(INDEX(Clay_Offices!$A$2:$FZ$601,382,Sync!$C$5)&amp;"",""),6)&lt;&gt;"SAMPLE",Config!$B$19="Y")),IFERROR(N(INDEX(Clay_Offices!$A$2:$FZ$601,382,Sync!$C$13)),0),"")</f>
        <v/>
      </c>
      <c r="C3233" s="23" t="str">
        <f aca="false">IF(B3233="","","office")</f>
        <v/>
      </c>
      <c r="D3233" s="23" t="str">
        <f aca="false">IF(B3233="","",IFERROR(INDEX(Office_Log!$ED$2:$ED$201,MATCH(IFERROR(INDEX(Clay_Offices!$A$2:$FZ$601,382,Sync!$C$5)&amp;"",""),Office_Log!$A$2:$A$201,0))&amp;"",IFERROR(INDEX(Clay_Offices!$A$2:$FZ$601,382,Sync!$C$5)&amp;"","")&amp;""))</f>
        <v/>
      </c>
      <c r="E3233" s="23" t="str">
        <f aca="false">IF(B3233="","",IFERROR(INDEX(Clay_Offices!$A$2:$FZ$601,382,Sync!$C$6)&amp;"",""))</f>
        <v/>
      </c>
      <c r="F3233" s="23" t="str">
        <f aca="false">IF(B3233="","","outreach_sent")</f>
        <v/>
      </c>
      <c r="G3233" s="23" t="str">
        <f aca="false">IF(B3233="","","")</f>
        <v/>
      </c>
      <c r="H3233" s="23" t="str">
        <f aca="false">IF(B3233="","","")</f>
        <v/>
      </c>
      <c r="I3233" s="23" t="str">
        <f aca="false">IF(B3233="","","")</f>
        <v/>
      </c>
      <c r="J3233" s="23" t="str">
        <f aca="false">IF(B3233="","","touch_3; "&amp;IFERROR(INDEX(Clay_Offices!$A$2:$FZ$601,382,Sync!$C$10)&amp;"","")&amp;"; "&amp;IFERROR(INDEX(Clay_Offices!$A$2:$FZ$601,382,Sync!$C$9)&amp;"",""))</f>
        <v/>
      </c>
      <c r="K3233" s="32" t="s">
        <v>1365</v>
      </c>
    </row>
    <row r="3234" customFormat="false" ht="15" hidden="false" customHeight="false" outlineLevel="0" collapsed="false">
      <c r="A3234" s="23" t="str">
        <f aca="false">IF(B3234="","",B3234+(14*1000+383)/10000000)</f>
        <v/>
      </c>
      <c r="B3234" s="35" t="str">
        <f aca="false">IF(AND(IFERROR(N(INDEX(Clay_Offices!$A$2:$FZ$601,383,Sync!$C$13)),0)&gt;0,IFERROR(INDEX(Clay_Offices!$A$2:$FZ$601,383,Sync!$C$5)&amp;"","")&lt;&gt;"",OR(LEFT(IFERROR(INDEX(Clay_Offices!$A$2:$FZ$601,383,Sync!$C$5)&amp;"",""),6)&lt;&gt;"SAMPLE",Config!$B$19="Y")),IFERROR(N(INDEX(Clay_Offices!$A$2:$FZ$601,383,Sync!$C$13)),0),"")</f>
        <v/>
      </c>
      <c r="C3234" s="23" t="str">
        <f aca="false">IF(B3234="","","office")</f>
        <v/>
      </c>
      <c r="D3234" s="23" t="str">
        <f aca="false">IF(B3234="","",IFERROR(INDEX(Office_Log!$ED$2:$ED$201,MATCH(IFERROR(INDEX(Clay_Offices!$A$2:$FZ$601,383,Sync!$C$5)&amp;"",""),Office_Log!$A$2:$A$201,0))&amp;"",IFERROR(INDEX(Clay_Offices!$A$2:$FZ$601,383,Sync!$C$5)&amp;"","")&amp;""))</f>
        <v/>
      </c>
      <c r="E3234" s="23" t="str">
        <f aca="false">IF(B3234="","",IFERROR(INDEX(Clay_Offices!$A$2:$FZ$601,383,Sync!$C$6)&amp;"",""))</f>
        <v/>
      </c>
      <c r="F3234" s="23" t="str">
        <f aca="false">IF(B3234="","","outreach_sent")</f>
        <v/>
      </c>
      <c r="G3234" s="23" t="str">
        <f aca="false">IF(B3234="","","")</f>
        <v/>
      </c>
      <c r="H3234" s="23" t="str">
        <f aca="false">IF(B3234="","","")</f>
        <v/>
      </c>
      <c r="I3234" s="23" t="str">
        <f aca="false">IF(B3234="","","")</f>
        <v/>
      </c>
      <c r="J3234" s="23" t="str">
        <f aca="false">IF(B3234="","","touch_3; "&amp;IFERROR(INDEX(Clay_Offices!$A$2:$FZ$601,383,Sync!$C$10)&amp;"","")&amp;"; "&amp;IFERROR(INDEX(Clay_Offices!$A$2:$FZ$601,383,Sync!$C$9)&amp;"",""))</f>
        <v/>
      </c>
      <c r="K3234" s="32" t="s">
        <v>1365</v>
      </c>
    </row>
    <row r="3235" customFormat="false" ht="15" hidden="false" customHeight="false" outlineLevel="0" collapsed="false">
      <c r="A3235" s="23" t="str">
        <f aca="false">IF(B3235="","",B3235+(14*1000+384)/10000000)</f>
        <v/>
      </c>
      <c r="B3235" s="35" t="str">
        <f aca="false">IF(AND(IFERROR(N(INDEX(Clay_Offices!$A$2:$FZ$601,384,Sync!$C$13)),0)&gt;0,IFERROR(INDEX(Clay_Offices!$A$2:$FZ$601,384,Sync!$C$5)&amp;"","")&lt;&gt;"",OR(LEFT(IFERROR(INDEX(Clay_Offices!$A$2:$FZ$601,384,Sync!$C$5)&amp;"",""),6)&lt;&gt;"SAMPLE",Config!$B$19="Y")),IFERROR(N(INDEX(Clay_Offices!$A$2:$FZ$601,384,Sync!$C$13)),0),"")</f>
        <v/>
      </c>
      <c r="C3235" s="23" t="str">
        <f aca="false">IF(B3235="","","office")</f>
        <v/>
      </c>
      <c r="D3235" s="23" t="str">
        <f aca="false">IF(B3235="","",IFERROR(INDEX(Office_Log!$ED$2:$ED$201,MATCH(IFERROR(INDEX(Clay_Offices!$A$2:$FZ$601,384,Sync!$C$5)&amp;"",""),Office_Log!$A$2:$A$201,0))&amp;"",IFERROR(INDEX(Clay_Offices!$A$2:$FZ$601,384,Sync!$C$5)&amp;"","")&amp;""))</f>
        <v/>
      </c>
      <c r="E3235" s="23" t="str">
        <f aca="false">IF(B3235="","",IFERROR(INDEX(Clay_Offices!$A$2:$FZ$601,384,Sync!$C$6)&amp;"",""))</f>
        <v/>
      </c>
      <c r="F3235" s="23" t="str">
        <f aca="false">IF(B3235="","","outreach_sent")</f>
        <v/>
      </c>
      <c r="G3235" s="23" t="str">
        <f aca="false">IF(B3235="","","")</f>
        <v/>
      </c>
      <c r="H3235" s="23" t="str">
        <f aca="false">IF(B3235="","","")</f>
        <v/>
      </c>
      <c r="I3235" s="23" t="str">
        <f aca="false">IF(B3235="","","")</f>
        <v/>
      </c>
      <c r="J3235" s="23" t="str">
        <f aca="false">IF(B3235="","","touch_3; "&amp;IFERROR(INDEX(Clay_Offices!$A$2:$FZ$601,384,Sync!$C$10)&amp;"","")&amp;"; "&amp;IFERROR(INDEX(Clay_Offices!$A$2:$FZ$601,384,Sync!$C$9)&amp;"",""))</f>
        <v/>
      </c>
      <c r="K3235" s="32" t="s">
        <v>1365</v>
      </c>
    </row>
    <row r="3236" customFormat="false" ht="15" hidden="false" customHeight="false" outlineLevel="0" collapsed="false">
      <c r="A3236" s="23" t="str">
        <f aca="false">IF(B3236="","",B3236+(14*1000+385)/10000000)</f>
        <v/>
      </c>
      <c r="B3236" s="35" t="str">
        <f aca="false">IF(AND(IFERROR(N(INDEX(Clay_Offices!$A$2:$FZ$601,385,Sync!$C$13)),0)&gt;0,IFERROR(INDEX(Clay_Offices!$A$2:$FZ$601,385,Sync!$C$5)&amp;"","")&lt;&gt;"",OR(LEFT(IFERROR(INDEX(Clay_Offices!$A$2:$FZ$601,385,Sync!$C$5)&amp;"",""),6)&lt;&gt;"SAMPLE",Config!$B$19="Y")),IFERROR(N(INDEX(Clay_Offices!$A$2:$FZ$601,385,Sync!$C$13)),0),"")</f>
        <v/>
      </c>
      <c r="C3236" s="23" t="str">
        <f aca="false">IF(B3236="","","office")</f>
        <v/>
      </c>
      <c r="D3236" s="23" t="str">
        <f aca="false">IF(B3236="","",IFERROR(INDEX(Office_Log!$ED$2:$ED$201,MATCH(IFERROR(INDEX(Clay_Offices!$A$2:$FZ$601,385,Sync!$C$5)&amp;"",""),Office_Log!$A$2:$A$201,0))&amp;"",IFERROR(INDEX(Clay_Offices!$A$2:$FZ$601,385,Sync!$C$5)&amp;"","")&amp;""))</f>
        <v/>
      </c>
      <c r="E3236" s="23" t="str">
        <f aca="false">IF(B3236="","",IFERROR(INDEX(Clay_Offices!$A$2:$FZ$601,385,Sync!$C$6)&amp;"",""))</f>
        <v/>
      </c>
      <c r="F3236" s="23" t="str">
        <f aca="false">IF(B3236="","","outreach_sent")</f>
        <v/>
      </c>
      <c r="G3236" s="23" t="str">
        <f aca="false">IF(B3236="","","")</f>
        <v/>
      </c>
      <c r="H3236" s="23" t="str">
        <f aca="false">IF(B3236="","","")</f>
        <v/>
      </c>
      <c r="I3236" s="23" t="str">
        <f aca="false">IF(B3236="","","")</f>
        <v/>
      </c>
      <c r="J3236" s="23" t="str">
        <f aca="false">IF(B3236="","","touch_3; "&amp;IFERROR(INDEX(Clay_Offices!$A$2:$FZ$601,385,Sync!$C$10)&amp;"","")&amp;"; "&amp;IFERROR(INDEX(Clay_Offices!$A$2:$FZ$601,385,Sync!$C$9)&amp;"",""))</f>
        <v/>
      </c>
      <c r="K3236" s="32" t="s">
        <v>1365</v>
      </c>
    </row>
    <row r="3237" customFormat="false" ht="15" hidden="false" customHeight="false" outlineLevel="0" collapsed="false">
      <c r="A3237" s="23" t="str">
        <f aca="false">IF(B3237="","",B3237+(14*1000+386)/10000000)</f>
        <v/>
      </c>
      <c r="B3237" s="35" t="str">
        <f aca="false">IF(AND(IFERROR(N(INDEX(Clay_Offices!$A$2:$FZ$601,386,Sync!$C$13)),0)&gt;0,IFERROR(INDEX(Clay_Offices!$A$2:$FZ$601,386,Sync!$C$5)&amp;"","")&lt;&gt;"",OR(LEFT(IFERROR(INDEX(Clay_Offices!$A$2:$FZ$601,386,Sync!$C$5)&amp;"",""),6)&lt;&gt;"SAMPLE",Config!$B$19="Y")),IFERROR(N(INDEX(Clay_Offices!$A$2:$FZ$601,386,Sync!$C$13)),0),"")</f>
        <v/>
      </c>
      <c r="C3237" s="23" t="str">
        <f aca="false">IF(B3237="","","office")</f>
        <v/>
      </c>
      <c r="D3237" s="23" t="str">
        <f aca="false">IF(B3237="","",IFERROR(INDEX(Office_Log!$ED$2:$ED$201,MATCH(IFERROR(INDEX(Clay_Offices!$A$2:$FZ$601,386,Sync!$C$5)&amp;"",""),Office_Log!$A$2:$A$201,0))&amp;"",IFERROR(INDEX(Clay_Offices!$A$2:$FZ$601,386,Sync!$C$5)&amp;"","")&amp;""))</f>
        <v/>
      </c>
      <c r="E3237" s="23" t="str">
        <f aca="false">IF(B3237="","",IFERROR(INDEX(Clay_Offices!$A$2:$FZ$601,386,Sync!$C$6)&amp;"",""))</f>
        <v/>
      </c>
      <c r="F3237" s="23" t="str">
        <f aca="false">IF(B3237="","","outreach_sent")</f>
        <v/>
      </c>
      <c r="G3237" s="23" t="str">
        <f aca="false">IF(B3237="","","")</f>
        <v/>
      </c>
      <c r="H3237" s="23" t="str">
        <f aca="false">IF(B3237="","","")</f>
        <v/>
      </c>
      <c r="I3237" s="23" t="str">
        <f aca="false">IF(B3237="","","")</f>
        <v/>
      </c>
      <c r="J3237" s="23" t="str">
        <f aca="false">IF(B3237="","","touch_3; "&amp;IFERROR(INDEX(Clay_Offices!$A$2:$FZ$601,386,Sync!$C$10)&amp;"","")&amp;"; "&amp;IFERROR(INDEX(Clay_Offices!$A$2:$FZ$601,386,Sync!$C$9)&amp;"",""))</f>
        <v/>
      </c>
      <c r="K3237" s="32" t="s">
        <v>1365</v>
      </c>
    </row>
    <row r="3238" customFormat="false" ht="15" hidden="false" customHeight="false" outlineLevel="0" collapsed="false">
      <c r="A3238" s="23" t="str">
        <f aca="false">IF(B3238="","",B3238+(14*1000+387)/10000000)</f>
        <v/>
      </c>
      <c r="B3238" s="35" t="str">
        <f aca="false">IF(AND(IFERROR(N(INDEX(Clay_Offices!$A$2:$FZ$601,387,Sync!$C$13)),0)&gt;0,IFERROR(INDEX(Clay_Offices!$A$2:$FZ$601,387,Sync!$C$5)&amp;"","")&lt;&gt;"",OR(LEFT(IFERROR(INDEX(Clay_Offices!$A$2:$FZ$601,387,Sync!$C$5)&amp;"",""),6)&lt;&gt;"SAMPLE",Config!$B$19="Y")),IFERROR(N(INDEX(Clay_Offices!$A$2:$FZ$601,387,Sync!$C$13)),0),"")</f>
        <v/>
      </c>
      <c r="C3238" s="23" t="str">
        <f aca="false">IF(B3238="","","office")</f>
        <v/>
      </c>
      <c r="D3238" s="23" t="str">
        <f aca="false">IF(B3238="","",IFERROR(INDEX(Office_Log!$ED$2:$ED$201,MATCH(IFERROR(INDEX(Clay_Offices!$A$2:$FZ$601,387,Sync!$C$5)&amp;"",""),Office_Log!$A$2:$A$201,0))&amp;"",IFERROR(INDEX(Clay_Offices!$A$2:$FZ$601,387,Sync!$C$5)&amp;"","")&amp;""))</f>
        <v/>
      </c>
      <c r="E3238" s="23" t="str">
        <f aca="false">IF(B3238="","",IFERROR(INDEX(Clay_Offices!$A$2:$FZ$601,387,Sync!$C$6)&amp;"",""))</f>
        <v/>
      </c>
      <c r="F3238" s="23" t="str">
        <f aca="false">IF(B3238="","","outreach_sent")</f>
        <v/>
      </c>
      <c r="G3238" s="23" t="str">
        <f aca="false">IF(B3238="","","")</f>
        <v/>
      </c>
      <c r="H3238" s="23" t="str">
        <f aca="false">IF(B3238="","","")</f>
        <v/>
      </c>
      <c r="I3238" s="23" t="str">
        <f aca="false">IF(B3238="","","")</f>
        <v/>
      </c>
      <c r="J3238" s="23" t="str">
        <f aca="false">IF(B3238="","","touch_3; "&amp;IFERROR(INDEX(Clay_Offices!$A$2:$FZ$601,387,Sync!$C$10)&amp;"","")&amp;"; "&amp;IFERROR(INDEX(Clay_Offices!$A$2:$FZ$601,387,Sync!$C$9)&amp;"",""))</f>
        <v/>
      </c>
      <c r="K3238" s="32" t="s">
        <v>1365</v>
      </c>
    </row>
    <row r="3239" customFormat="false" ht="15" hidden="false" customHeight="false" outlineLevel="0" collapsed="false">
      <c r="A3239" s="23" t="str">
        <f aca="false">IF(B3239="","",B3239+(14*1000+388)/10000000)</f>
        <v/>
      </c>
      <c r="B3239" s="35" t="str">
        <f aca="false">IF(AND(IFERROR(N(INDEX(Clay_Offices!$A$2:$FZ$601,388,Sync!$C$13)),0)&gt;0,IFERROR(INDEX(Clay_Offices!$A$2:$FZ$601,388,Sync!$C$5)&amp;"","")&lt;&gt;"",OR(LEFT(IFERROR(INDEX(Clay_Offices!$A$2:$FZ$601,388,Sync!$C$5)&amp;"",""),6)&lt;&gt;"SAMPLE",Config!$B$19="Y")),IFERROR(N(INDEX(Clay_Offices!$A$2:$FZ$601,388,Sync!$C$13)),0),"")</f>
        <v/>
      </c>
      <c r="C3239" s="23" t="str">
        <f aca="false">IF(B3239="","","office")</f>
        <v/>
      </c>
      <c r="D3239" s="23" t="str">
        <f aca="false">IF(B3239="","",IFERROR(INDEX(Office_Log!$ED$2:$ED$201,MATCH(IFERROR(INDEX(Clay_Offices!$A$2:$FZ$601,388,Sync!$C$5)&amp;"",""),Office_Log!$A$2:$A$201,0))&amp;"",IFERROR(INDEX(Clay_Offices!$A$2:$FZ$601,388,Sync!$C$5)&amp;"","")&amp;""))</f>
        <v/>
      </c>
      <c r="E3239" s="23" t="str">
        <f aca="false">IF(B3239="","",IFERROR(INDEX(Clay_Offices!$A$2:$FZ$601,388,Sync!$C$6)&amp;"",""))</f>
        <v/>
      </c>
      <c r="F3239" s="23" t="str">
        <f aca="false">IF(B3239="","","outreach_sent")</f>
        <v/>
      </c>
      <c r="G3239" s="23" t="str">
        <f aca="false">IF(B3239="","","")</f>
        <v/>
      </c>
      <c r="H3239" s="23" t="str">
        <f aca="false">IF(B3239="","","")</f>
        <v/>
      </c>
      <c r="I3239" s="23" t="str">
        <f aca="false">IF(B3239="","","")</f>
        <v/>
      </c>
      <c r="J3239" s="23" t="str">
        <f aca="false">IF(B3239="","","touch_3; "&amp;IFERROR(INDEX(Clay_Offices!$A$2:$FZ$601,388,Sync!$C$10)&amp;"","")&amp;"; "&amp;IFERROR(INDEX(Clay_Offices!$A$2:$FZ$601,388,Sync!$C$9)&amp;"",""))</f>
        <v/>
      </c>
      <c r="K3239" s="32" t="s">
        <v>1365</v>
      </c>
    </row>
    <row r="3240" customFormat="false" ht="15" hidden="false" customHeight="false" outlineLevel="0" collapsed="false">
      <c r="A3240" s="23" t="str">
        <f aca="false">IF(B3240="","",B3240+(14*1000+389)/10000000)</f>
        <v/>
      </c>
      <c r="B3240" s="35" t="str">
        <f aca="false">IF(AND(IFERROR(N(INDEX(Clay_Offices!$A$2:$FZ$601,389,Sync!$C$13)),0)&gt;0,IFERROR(INDEX(Clay_Offices!$A$2:$FZ$601,389,Sync!$C$5)&amp;"","")&lt;&gt;"",OR(LEFT(IFERROR(INDEX(Clay_Offices!$A$2:$FZ$601,389,Sync!$C$5)&amp;"",""),6)&lt;&gt;"SAMPLE",Config!$B$19="Y")),IFERROR(N(INDEX(Clay_Offices!$A$2:$FZ$601,389,Sync!$C$13)),0),"")</f>
        <v/>
      </c>
      <c r="C3240" s="23" t="str">
        <f aca="false">IF(B3240="","","office")</f>
        <v/>
      </c>
      <c r="D3240" s="23" t="str">
        <f aca="false">IF(B3240="","",IFERROR(INDEX(Office_Log!$ED$2:$ED$201,MATCH(IFERROR(INDEX(Clay_Offices!$A$2:$FZ$601,389,Sync!$C$5)&amp;"",""),Office_Log!$A$2:$A$201,0))&amp;"",IFERROR(INDEX(Clay_Offices!$A$2:$FZ$601,389,Sync!$C$5)&amp;"","")&amp;""))</f>
        <v/>
      </c>
      <c r="E3240" s="23" t="str">
        <f aca="false">IF(B3240="","",IFERROR(INDEX(Clay_Offices!$A$2:$FZ$601,389,Sync!$C$6)&amp;"",""))</f>
        <v/>
      </c>
      <c r="F3240" s="23" t="str">
        <f aca="false">IF(B3240="","","outreach_sent")</f>
        <v/>
      </c>
      <c r="G3240" s="23" t="str">
        <f aca="false">IF(B3240="","","")</f>
        <v/>
      </c>
      <c r="H3240" s="23" t="str">
        <f aca="false">IF(B3240="","","")</f>
        <v/>
      </c>
      <c r="I3240" s="23" t="str">
        <f aca="false">IF(B3240="","","")</f>
        <v/>
      </c>
      <c r="J3240" s="23" t="str">
        <f aca="false">IF(B3240="","","touch_3; "&amp;IFERROR(INDEX(Clay_Offices!$A$2:$FZ$601,389,Sync!$C$10)&amp;"","")&amp;"; "&amp;IFERROR(INDEX(Clay_Offices!$A$2:$FZ$601,389,Sync!$C$9)&amp;"",""))</f>
        <v/>
      </c>
      <c r="K3240" s="32" t="s">
        <v>1365</v>
      </c>
    </row>
    <row r="3241" customFormat="false" ht="15" hidden="false" customHeight="false" outlineLevel="0" collapsed="false">
      <c r="A3241" s="23" t="str">
        <f aca="false">IF(B3241="","",B3241+(14*1000+390)/10000000)</f>
        <v/>
      </c>
      <c r="B3241" s="35" t="str">
        <f aca="false">IF(AND(IFERROR(N(INDEX(Clay_Offices!$A$2:$FZ$601,390,Sync!$C$13)),0)&gt;0,IFERROR(INDEX(Clay_Offices!$A$2:$FZ$601,390,Sync!$C$5)&amp;"","")&lt;&gt;"",OR(LEFT(IFERROR(INDEX(Clay_Offices!$A$2:$FZ$601,390,Sync!$C$5)&amp;"",""),6)&lt;&gt;"SAMPLE",Config!$B$19="Y")),IFERROR(N(INDEX(Clay_Offices!$A$2:$FZ$601,390,Sync!$C$13)),0),"")</f>
        <v/>
      </c>
      <c r="C3241" s="23" t="str">
        <f aca="false">IF(B3241="","","office")</f>
        <v/>
      </c>
      <c r="D3241" s="23" t="str">
        <f aca="false">IF(B3241="","",IFERROR(INDEX(Office_Log!$ED$2:$ED$201,MATCH(IFERROR(INDEX(Clay_Offices!$A$2:$FZ$601,390,Sync!$C$5)&amp;"",""),Office_Log!$A$2:$A$201,0))&amp;"",IFERROR(INDEX(Clay_Offices!$A$2:$FZ$601,390,Sync!$C$5)&amp;"","")&amp;""))</f>
        <v/>
      </c>
      <c r="E3241" s="23" t="str">
        <f aca="false">IF(B3241="","",IFERROR(INDEX(Clay_Offices!$A$2:$FZ$601,390,Sync!$C$6)&amp;"",""))</f>
        <v/>
      </c>
      <c r="F3241" s="23" t="str">
        <f aca="false">IF(B3241="","","outreach_sent")</f>
        <v/>
      </c>
      <c r="G3241" s="23" t="str">
        <f aca="false">IF(B3241="","","")</f>
        <v/>
      </c>
      <c r="H3241" s="23" t="str">
        <f aca="false">IF(B3241="","","")</f>
        <v/>
      </c>
      <c r="I3241" s="23" t="str">
        <f aca="false">IF(B3241="","","")</f>
        <v/>
      </c>
      <c r="J3241" s="23" t="str">
        <f aca="false">IF(B3241="","","touch_3; "&amp;IFERROR(INDEX(Clay_Offices!$A$2:$FZ$601,390,Sync!$C$10)&amp;"","")&amp;"; "&amp;IFERROR(INDEX(Clay_Offices!$A$2:$FZ$601,390,Sync!$C$9)&amp;"",""))</f>
        <v/>
      </c>
      <c r="K3241" s="32" t="s">
        <v>1365</v>
      </c>
    </row>
    <row r="3242" customFormat="false" ht="15" hidden="false" customHeight="false" outlineLevel="0" collapsed="false">
      <c r="A3242" s="23" t="str">
        <f aca="false">IF(B3242="","",B3242+(14*1000+391)/10000000)</f>
        <v/>
      </c>
      <c r="B3242" s="35" t="str">
        <f aca="false">IF(AND(IFERROR(N(INDEX(Clay_Offices!$A$2:$FZ$601,391,Sync!$C$13)),0)&gt;0,IFERROR(INDEX(Clay_Offices!$A$2:$FZ$601,391,Sync!$C$5)&amp;"","")&lt;&gt;"",OR(LEFT(IFERROR(INDEX(Clay_Offices!$A$2:$FZ$601,391,Sync!$C$5)&amp;"",""),6)&lt;&gt;"SAMPLE",Config!$B$19="Y")),IFERROR(N(INDEX(Clay_Offices!$A$2:$FZ$601,391,Sync!$C$13)),0),"")</f>
        <v/>
      </c>
      <c r="C3242" s="23" t="str">
        <f aca="false">IF(B3242="","","office")</f>
        <v/>
      </c>
      <c r="D3242" s="23" t="str">
        <f aca="false">IF(B3242="","",IFERROR(INDEX(Office_Log!$ED$2:$ED$201,MATCH(IFERROR(INDEX(Clay_Offices!$A$2:$FZ$601,391,Sync!$C$5)&amp;"",""),Office_Log!$A$2:$A$201,0))&amp;"",IFERROR(INDEX(Clay_Offices!$A$2:$FZ$601,391,Sync!$C$5)&amp;"","")&amp;""))</f>
        <v/>
      </c>
      <c r="E3242" s="23" t="str">
        <f aca="false">IF(B3242="","",IFERROR(INDEX(Clay_Offices!$A$2:$FZ$601,391,Sync!$C$6)&amp;"",""))</f>
        <v/>
      </c>
      <c r="F3242" s="23" t="str">
        <f aca="false">IF(B3242="","","outreach_sent")</f>
        <v/>
      </c>
      <c r="G3242" s="23" t="str">
        <f aca="false">IF(B3242="","","")</f>
        <v/>
      </c>
      <c r="H3242" s="23" t="str">
        <f aca="false">IF(B3242="","","")</f>
        <v/>
      </c>
      <c r="I3242" s="23" t="str">
        <f aca="false">IF(B3242="","","")</f>
        <v/>
      </c>
      <c r="J3242" s="23" t="str">
        <f aca="false">IF(B3242="","","touch_3; "&amp;IFERROR(INDEX(Clay_Offices!$A$2:$FZ$601,391,Sync!$C$10)&amp;"","")&amp;"; "&amp;IFERROR(INDEX(Clay_Offices!$A$2:$FZ$601,391,Sync!$C$9)&amp;"",""))</f>
        <v/>
      </c>
      <c r="K3242" s="32" t="s">
        <v>1365</v>
      </c>
    </row>
    <row r="3243" customFormat="false" ht="15" hidden="false" customHeight="false" outlineLevel="0" collapsed="false">
      <c r="A3243" s="23" t="str">
        <f aca="false">IF(B3243="","",B3243+(14*1000+392)/10000000)</f>
        <v/>
      </c>
      <c r="B3243" s="35" t="str">
        <f aca="false">IF(AND(IFERROR(N(INDEX(Clay_Offices!$A$2:$FZ$601,392,Sync!$C$13)),0)&gt;0,IFERROR(INDEX(Clay_Offices!$A$2:$FZ$601,392,Sync!$C$5)&amp;"","")&lt;&gt;"",OR(LEFT(IFERROR(INDEX(Clay_Offices!$A$2:$FZ$601,392,Sync!$C$5)&amp;"",""),6)&lt;&gt;"SAMPLE",Config!$B$19="Y")),IFERROR(N(INDEX(Clay_Offices!$A$2:$FZ$601,392,Sync!$C$13)),0),"")</f>
        <v/>
      </c>
      <c r="C3243" s="23" t="str">
        <f aca="false">IF(B3243="","","office")</f>
        <v/>
      </c>
      <c r="D3243" s="23" t="str">
        <f aca="false">IF(B3243="","",IFERROR(INDEX(Office_Log!$ED$2:$ED$201,MATCH(IFERROR(INDEX(Clay_Offices!$A$2:$FZ$601,392,Sync!$C$5)&amp;"",""),Office_Log!$A$2:$A$201,0))&amp;"",IFERROR(INDEX(Clay_Offices!$A$2:$FZ$601,392,Sync!$C$5)&amp;"","")&amp;""))</f>
        <v/>
      </c>
      <c r="E3243" s="23" t="str">
        <f aca="false">IF(B3243="","",IFERROR(INDEX(Clay_Offices!$A$2:$FZ$601,392,Sync!$C$6)&amp;"",""))</f>
        <v/>
      </c>
      <c r="F3243" s="23" t="str">
        <f aca="false">IF(B3243="","","outreach_sent")</f>
        <v/>
      </c>
      <c r="G3243" s="23" t="str">
        <f aca="false">IF(B3243="","","")</f>
        <v/>
      </c>
      <c r="H3243" s="23" t="str">
        <f aca="false">IF(B3243="","","")</f>
        <v/>
      </c>
      <c r="I3243" s="23" t="str">
        <f aca="false">IF(B3243="","","")</f>
        <v/>
      </c>
      <c r="J3243" s="23" t="str">
        <f aca="false">IF(B3243="","","touch_3; "&amp;IFERROR(INDEX(Clay_Offices!$A$2:$FZ$601,392,Sync!$C$10)&amp;"","")&amp;"; "&amp;IFERROR(INDEX(Clay_Offices!$A$2:$FZ$601,392,Sync!$C$9)&amp;"",""))</f>
        <v/>
      </c>
      <c r="K3243" s="32" t="s">
        <v>1365</v>
      </c>
    </row>
    <row r="3244" customFormat="false" ht="15" hidden="false" customHeight="false" outlineLevel="0" collapsed="false">
      <c r="A3244" s="23" t="str">
        <f aca="false">IF(B3244="","",B3244+(14*1000+393)/10000000)</f>
        <v/>
      </c>
      <c r="B3244" s="35" t="str">
        <f aca="false">IF(AND(IFERROR(N(INDEX(Clay_Offices!$A$2:$FZ$601,393,Sync!$C$13)),0)&gt;0,IFERROR(INDEX(Clay_Offices!$A$2:$FZ$601,393,Sync!$C$5)&amp;"","")&lt;&gt;"",OR(LEFT(IFERROR(INDEX(Clay_Offices!$A$2:$FZ$601,393,Sync!$C$5)&amp;"",""),6)&lt;&gt;"SAMPLE",Config!$B$19="Y")),IFERROR(N(INDEX(Clay_Offices!$A$2:$FZ$601,393,Sync!$C$13)),0),"")</f>
        <v/>
      </c>
      <c r="C3244" s="23" t="str">
        <f aca="false">IF(B3244="","","office")</f>
        <v/>
      </c>
      <c r="D3244" s="23" t="str">
        <f aca="false">IF(B3244="","",IFERROR(INDEX(Office_Log!$ED$2:$ED$201,MATCH(IFERROR(INDEX(Clay_Offices!$A$2:$FZ$601,393,Sync!$C$5)&amp;"",""),Office_Log!$A$2:$A$201,0))&amp;"",IFERROR(INDEX(Clay_Offices!$A$2:$FZ$601,393,Sync!$C$5)&amp;"","")&amp;""))</f>
        <v/>
      </c>
      <c r="E3244" s="23" t="str">
        <f aca="false">IF(B3244="","",IFERROR(INDEX(Clay_Offices!$A$2:$FZ$601,393,Sync!$C$6)&amp;"",""))</f>
        <v/>
      </c>
      <c r="F3244" s="23" t="str">
        <f aca="false">IF(B3244="","","outreach_sent")</f>
        <v/>
      </c>
      <c r="G3244" s="23" t="str">
        <f aca="false">IF(B3244="","","")</f>
        <v/>
      </c>
      <c r="H3244" s="23" t="str">
        <f aca="false">IF(B3244="","","")</f>
        <v/>
      </c>
      <c r="I3244" s="23" t="str">
        <f aca="false">IF(B3244="","","")</f>
        <v/>
      </c>
      <c r="J3244" s="23" t="str">
        <f aca="false">IF(B3244="","","touch_3; "&amp;IFERROR(INDEX(Clay_Offices!$A$2:$FZ$601,393,Sync!$C$10)&amp;"","")&amp;"; "&amp;IFERROR(INDEX(Clay_Offices!$A$2:$FZ$601,393,Sync!$C$9)&amp;"",""))</f>
        <v/>
      </c>
      <c r="K3244" s="32" t="s">
        <v>1365</v>
      </c>
    </row>
    <row r="3245" customFormat="false" ht="15" hidden="false" customHeight="false" outlineLevel="0" collapsed="false">
      <c r="A3245" s="23" t="str">
        <f aca="false">IF(B3245="","",B3245+(14*1000+394)/10000000)</f>
        <v/>
      </c>
      <c r="B3245" s="35" t="str">
        <f aca="false">IF(AND(IFERROR(N(INDEX(Clay_Offices!$A$2:$FZ$601,394,Sync!$C$13)),0)&gt;0,IFERROR(INDEX(Clay_Offices!$A$2:$FZ$601,394,Sync!$C$5)&amp;"","")&lt;&gt;"",OR(LEFT(IFERROR(INDEX(Clay_Offices!$A$2:$FZ$601,394,Sync!$C$5)&amp;"",""),6)&lt;&gt;"SAMPLE",Config!$B$19="Y")),IFERROR(N(INDEX(Clay_Offices!$A$2:$FZ$601,394,Sync!$C$13)),0),"")</f>
        <v/>
      </c>
      <c r="C3245" s="23" t="str">
        <f aca="false">IF(B3245="","","office")</f>
        <v/>
      </c>
      <c r="D3245" s="23" t="str">
        <f aca="false">IF(B3245="","",IFERROR(INDEX(Office_Log!$ED$2:$ED$201,MATCH(IFERROR(INDEX(Clay_Offices!$A$2:$FZ$601,394,Sync!$C$5)&amp;"",""),Office_Log!$A$2:$A$201,0))&amp;"",IFERROR(INDEX(Clay_Offices!$A$2:$FZ$601,394,Sync!$C$5)&amp;"","")&amp;""))</f>
        <v/>
      </c>
      <c r="E3245" s="23" t="str">
        <f aca="false">IF(B3245="","",IFERROR(INDEX(Clay_Offices!$A$2:$FZ$601,394,Sync!$C$6)&amp;"",""))</f>
        <v/>
      </c>
      <c r="F3245" s="23" t="str">
        <f aca="false">IF(B3245="","","outreach_sent")</f>
        <v/>
      </c>
      <c r="G3245" s="23" t="str">
        <f aca="false">IF(B3245="","","")</f>
        <v/>
      </c>
      <c r="H3245" s="23" t="str">
        <f aca="false">IF(B3245="","","")</f>
        <v/>
      </c>
      <c r="I3245" s="23" t="str">
        <f aca="false">IF(B3245="","","")</f>
        <v/>
      </c>
      <c r="J3245" s="23" t="str">
        <f aca="false">IF(B3245="","","touch_3; "&amp;IFERROR(INDEX(Clay_Offices!$A$2:$FZ$601,394,Sync!$C$10)&amp;"","")&amp;"; "&amp;IFERROR(INDEX(Clay_Offices!$A$2:$FZ$601,394,Sync!$C$9)&amp;"",""))</f>
        <v/>
      </c>
      <c r="K3245" s="32" t="s">
        <v>1365</v>
      </c>
    </row>
    <row r="3246" customFormat="false" ht="15" hidden="false" customHeight="false" outlineLevel="0" collapsed="false">
      <c r="A3246" s="23" t="str">
        <f aca="false">IF(B3246="","",B3246+(14*1000+395)/10000000)</f>
        <v/>
      </c>
      <c r="B3246" s="35" t="str">
        <f aca="false">IF(AND(IFERROR(N(INDEX(Clay_Offices!$A$2:$FZ$601,395,Sync!$C$13)),0)&gt;0,IFERROR(INDEX(Clay_Offices!$A$2:$FZ$601,395,Sync!$C$5)&amp;"","")&lt;&gt;"",OR(LEFT(IFERROR(INDEX(Clay_Offices!$A$2:$FZ$601,395,Sync!$C$5)&amp;"",""),6)&lt;&gt;"SAMPLE",Config!$B$19="Y")),IFERROR(N(INDEX(Clay_Offices!$A$2:$FZ$601,395,Sync!$C$13)),0),"")</f>
        <v/>
      </c>
      <c r="C3246" s="23" t="str">
        <f aca="false">IF(B3246="","","office")</f>
        <v/>
      </c>
      <c r="D3246" s="23" t="str">
        <f aca="false">IF(B3246="","",IFERROR(INDEX(Office_Log!$ED$2:$ED$201,MATCH(IFERROR(INDEX(Clay_Offices!$A$2:$FZ$601,395,Sync!$C$5)&amp;"",""),Office_Log!$A$2:$A$201,0))&amp;"",IFERROR(INDEX(Clay_Offices!$A$2:$FZ$601,395,Sync!$C$5)&amp;"","")&amp;""))</f>
        <v/>
      </c>
      <c r="E3246" s="23" t="str">
        <f aca="false">IF(B3246="","",IFERROR(INDEX(Clay_Offices!$A$2:$FZ$601,395,Sync!$C$6)&amp;"",""))</f>
        <v/>
      </c>
      <c r="F3246" s="23" t="str">
        <f aca="false">IF(B3246="","","outreach_sent")</f>
        <v/>
      </c>
      <c r="G3246" s="23" t="str">
        <f aca="false">IF(B3246="","","")</f>
        <v/>
      </c>
      <c r="H3246" s="23" t="str">
        <f aca="false">IF(B3246="","","")</f>
        <v/>
      </c>
      <c r="I3246" s="23" t="str">
        <f aca="false">IF(B3246="","","")</f>
        <v/>
      </c>
      <c r="J3246" s="23" t="str">
        <f aca="false">IF(B3246="","","touch_3; "&amp;IFERROR(INDEX(Clay_Offices!$A$2:$FZ$601,395,Sync!$C$10)&amp;"","")&amp;"; "&amp;IFERROR(INDEX(Clay_Offices!$A$2:$FZ$601,395,Sync!$C$9)&amp;"",""))</f>
        <v/>
      </c>
      <c r="K3246" s="32" t="s">
        <v>1365</v>
      </c>
    </row>
    <row r="3247" customFormat="false" ht="15" hidden="false" customHeight="false" outlineLevel="0" collapsed="false">
      <c r="A3247" s="23" t="str">
        <f aca="false">IF(B3247="","",B3247+(14*1000+396)/10000000)</f>
        <v/>
      </c>
      <c r="B3247" s="35" t="str">
        <f aca="false">IF(AND(IFERROR(N(INDEX(Clay_Offices!$A$2:$FZ$601,396,Sync!$C$13)),0)&gt;0,IFERROR(INDEX(Clay_Offices!$A$2:$FZ$601,396,Sync!$C$5)&amp;"","")&lt;&gt;"",OR(LEFT(IFERROR(INDEX(Clay_Offices!$A$2:$FZ$601,396,Sync!$C$5)&amp;"",""),6)&lt;&gt;"SAMPLE",Config!$B$19="Y")),IFERROR(N(INDEX(Clay_Offices!$A$2:$FZ$601,396,Sync!$C$13)),0),"")</f>
        <v/>
      </c>
      <c r="C3247" s="23" t="str">
        <f aca="false">IF(B3247="","","office")</f>
        <v/>
      </c>
      <c r="D3247" s="23" t="str">
        <f aca="false">IF(B3247="","",IFERROR(INDEX(Office_Log!$ED$2:$ED$201,MATCH(IFERROR(INDEX(Clay_Offices!$A$2:$FZ$601,396,Sync!$C$5)&amp;"",""),Office_Log!$A$2:$A$201,0))&amp;"",IFERROR(INDEX(Clay_Offices!$A$2:$FZ$601,396,Sync!$C$5)&amp;"","")&amp;""))</f>
        <v/>
      </c>
      <c r="E3247" s="23" t="str">
        <f aca="false">IF(B3247="","",IFERROR(INDEX(Clay_Offices!$A$2:$FZ$601,396,Sync!$C$6)&amp;"",""))</f>
        <v/>
      </c>
      <c r="F3247" s="23" t="str">
        <f aca="false">IF(B3247="","","outreach_sent")</f>
        <v/>
      </c>
      <c r="G3247" s="23" t="str">
        <f aca="false">IF(B3247="","","")</f>
        <v/>
      </c>
      <c r="H3247" s="23" t="str">
        <f aca="false">IF(B3247="","","")</f>
        <v/>
      </c>
      <c r="I3247" s="23" t="str">
        <f aca="false">IF(B3247="","","")</f>
        <v/>
      </c>
      <c r="J3247" s="23" t="str">
        <f aca="false">IF(B3247="","","touch_3; "&amp;IFERROR(INDEX(Clay_Offices!$A$2:$FZ$601,396,Sync!$C$10)&amp;"","")&amp;"; "&amp;IFERROR(INDEX(Clay_Offices!$A$2:$FZ$601,396,Sync!$C$9)&amp;"",""))</f>
        <v/>
      </c>
      <c r="K3247" s="32" t="s">
        <v>1365</v>
      </c>
    </row>
    <row r="3248" customFormat="false" ht="15" hidden="false" customHeight="false" outlineLevel="0" collapsed="false">
      <c r="A3248" s="23" t="str">
        <f aca="false">IF(B3248="","",B3248+(14*1000+397)/10000000)</f>
        <v/>
      </c>
      <c r="B3248" s="35" t="str">
        <f aca="false">IF(AND(IFERROR(N(INDEX(Clay_Offices!$A$2:$FZ$601,397,Sync!$C$13)),0)&gt;0,IFERROR(INDEX(Clay_Offices!$A$2:$FZ$601,397,Sync!$C$5)&amp;"","")&lt;&gt;"",OR(LEFT(IFERROR(INDEX(Clay_Offices!$A$2:$FZ$601,397,Sync!$C$5)&amp;"",""),6)&lt;&gt;"SAMPLE",Config!$B$19="Y")),IFERROR(N(INDEX(Clay_Offices!$A$2:$FZ$601,397,Sync!$C$13)),0),"")</f>
        <v/>
      </c>
      <c r="C3248" s="23" t="str">
        <f aca="false">IF(B3248="","","office")</f>
        <v/>
      </c>
      <c r="D3248" s="23" t="str">
        <f aca="false">IF(B3248="","",IFERROR(INDEX(Office_Log!$ED$2:$ED$201,MATCH(IFERROR(INDEX(Clay_Offices!$A$2:$FZ$601,397,Sync!$C$5)&amp;"",""),Office_Log!$A$2:$A$201,0))&amp;"",IFERROR(INDEX(Clay_Offices!$A$2:$FZ$601,397,Sync!$C$5)&amp;"","")&amp;""))</f>
        <v/>
      </c>
      <c r="E3248" s="23" t="str">
        <f aca="false">IF(B3248="","",IFERROR(INDEX(Clay_Offices!$A$2:$FZ$601,397,Sync!$C$6)&amp;"",""))</f>
        <v/>
      </c>
      <c r="F3248" s="23" t="str">
        <f aca="false">IF(B3248="","","outreach_sent")</f>
        <v/>
      </c>
      <c r="G3248" s="23" t="str">
        <f aca="false">IF(B3248="","","")</f>
        <v/>
      </c>
      <c r="H3248" s="23" t="str">
        <f aca="false">IF(B3248="","","")</f>
        <v/>
      </c>
      <c r="I3248" s="23" t="str">
        <f aca="false">IF(B3248="","","")</f>
        <v/>
      </c>
      <c r="J3248" s="23" t="str">
        <f aca="false">IF(B3248="","","touch_3; "&amp;IFERROR(INDEX(Clay_Offices!$A$2:$FZ$601,397,Sync!$C$10)&amp;"","")&amp;"; "&amp;IFERROR(INDEX(Clay_Offices!$A$2:$FZ$601,397,Sync!$C$9)&amp;"",""))</f>
        <v/>
      </c>
      <c r="K3248" s="32" t="s">
        <v>1365</v>
      </c>
    </row>
    <row r="3249" customFormat="false" ht="15" hidden="false" customHeight="false" outlineLevel="0" collapsed="false">
      <c r="A3249" s="23" t="str">
        <f aca="false">IF(B3249="","",B3249+(14*1000+398)/10000000)</f>
        <v/>
      </c>
      <c r="B3249" s="35" t="str">
        <f aca="false">IF(AND(IFERROR(N(INDEX(Clay_Offices!$A$2:$FZ$601,398,Sync!$C$13)),0)&gt;0,IFERROR(INDEX(Clay_Offices!$A$2:$FZ$601,398,Sync!$C$5)&amp;"","")&lt;&gt;"",OR(LEFT(IFERROR(INDEX(Clay_Offices!$A$2:$FZ$601,398,Sync!$C$5)&amp;"",""),6)&lt;&gt;"SAMPLE",Config!$B$19="Y")),IFERROR(N(INDEX(Clay_Offices!$A$2:$FZ$601,398,Sync!$C$13)),0),"")</f>
        <v/>
      </c>
      <c r="C3249" s="23" t="str">
        <f aca="false">IF(B3249="","","office")</f>
        <v/>
      </c>
      <c r="D3249" s="23" t="str">
        <f aca="false">IF(B3249="","",IFERROR(INDEX(Office_Log!$ED$2:$ED$201,MATCH(IFERROR(INDEX(Clay_Offices!$A$2:$FZ$601,398,Sync!$C$5)&amp;"",""),Office_Log!$A$2:$A$201,0))&amp;"",IFERROR(INDEX(Clay_Offices!$A$2:$FZ$601,398,Sync!$C$5)&amp;"","")&amp;""))</f>
        <v/>
      </c>
      <c r="E3249" s="23" t="str">
        <f aca="false">IF(B3249="","",IFERROR(INDEX(Clay_Offices!$A$2:$FZ$601,398,Sync!$C$6)&amp;"",""))</f>
        <v/>
      </c>
      <c r="F3249" s="23" t="str">
        <f aca="false">IF(B3249="","","outreach_sent")</f>
        <v/>
      </c>
      <c r="G3249" s="23" t="str">
        <f aca="false">IF(B3249="","","")</f>
        <v/>
      </c>
      <c r="H3249" s="23" t="str">
        <f aca="false">IF(B3249="","","")</f>
        <v/>
      </c>
      <c r="I3249" s="23" t="str">
        <f aca="false">IF(B3249="","","")</f>
        <v/>
      </c>
      <c r="J3249" s="23" t="str">
        <f aca="false">IF(B3249="","","touch_3; "&amp;IFERROR(INDEX(Clay_Offices!$A$2:$FZ$601,398,Sync!$C$10)&amp;"","")&amp;"; "&amp;IFERROR(INDEX(Clay_Offices!$A$2:$FZ$601,398,Sync!$C$9)&amp;"",""))</f>
        <v/>
      </c>
      <c r="K3249" s="32" t="s">
        <v>1365</v>
      </c>
    </row>
    <row r="3250" customFormat="false" ht="15" hidden="false" customHeight="false" outlineLevel="0" collapsed="false">
      <c r="A3250" s="23" t="str">
        <f aca="false">IF(B3250="","",B3250+(14*1000+399)/10000000)</f>
        <v/>
      </c>
      <c r="B3250" s="35" t="str">
        <f aca="false">IF(AND(IFERROR(N(INDEX(Clay_Offices!$A$2:$FZ$601,399,Sync!$C$13)),0)&gt;0,IFERROR(INDEX(Clay_Offices!$A$2:$FZ$601,399,Sync!$C$5)&amp;"","")&lt;&gt;"",OR(LEFT(IFERROR(INDEX(Clay_Offices!$A$2:$FZ$601,399,Sync!$C$5)&amp;"",""),6)&lt;&gt;"SAMPLE",Config!$B$19="Y")),IFERROR(N(INDEX(Clay_Offices!$A$2:$FZ$601,399,Sync!$C$13)),0),"")</f>
        <v/>
      </c>
      <c r="C3250" s="23" t="str">
        <f aca="false">IF(B3250="","","office")</f>
        <v/>
      </c>
      <c r="D3250" s="23" t="str">
        <f aca="false">IF(B3250="","",IFERROR(INDEX(Office_Log!$ED$2:$ED$201,MATCH(IFERROR(INDEX(Clay_Offices!$A$2:$FZ$601,399,Sync!$C$5)&amp;"",""),Office_Log!$A$2:$A$201,0))&amp;"",IFERROR(INDEX(Clay_Offices!$A$2:$FZ$601,399,Sync!$C$5)&amp;"","")&amp;""))</f>
        <v/>
      </c>
      <c r="E3250" s="23" t="str">
        <f aca="false">IF(B3250="","",IFERROR(INDEX(Clay_Offices!$A$2:$FZ$601,399,Sync!$C$6)&amp;"",""))</f>
        <v/>
      </c>
      <c r="F3250" s="23" t="str">
        <f aca="false">IF(B3250="","","outreach_sent")</f>
        <v/>
      </c>
      <c r="G3250" s="23" t="str">
        <f aca="false">IF(B3250="","","")</f>
        <v/>
      </c>
      <c r="H3250" s="23" t="str">
        <f aca="false">IF(B3250="","","")</f>
        <v/>
      </c>
      <c r="I3250" s="23" t="str">
        <f aca="false">IF(B3250="","","")</f>
        <v/>
      </c>
      <c r="J3250" s="23" t="str">
        <f aca="false">IF(B3250="","","touch_3; "&amp;IFERROR(INDEX(Clay_Offices!$A$2:$FZ$601,399,Sync!$C$10)&amp;"","")&amp;"; "&amp;IFERROR(INDEX(Clay_Offices!$A$2:$FZ$601,399,Sync!$C$9)&amp;"",""))</f>
        <v/>
      </c>
      <c r="K3250" s="32" t="s">
        <v>1365</v>
      </c>
    </row>
    <row r="3251" customFormat="false" ht="15" hidden="false" customHeight="false" outlineLevel="0" collapsed="false">
      <c r="A3251" s="23" t="str">
        <f aca="false">IF(B3251="","",B3251+(14*1000+400)/10000000)</f>
        <v/>
      </c>
      <c r="B3251" s="35" t="str">
        <f aca="false">IF(AND(IFERROR(N(INDEX(Clay_Offices!$A$2:$FZ$601,400,Sync!$C$13)),0)&gt;0,IFERROR(INDEX(Clay_Offices!$A$2:$FZ$601,400,Sync!$C$5)&amp;"","")&lt;&gt;"",OR(LEFT(IFERROR(INDEX(Clay_Offices!$A$2:$FZ$601,400,Sync!$C$5)&amp;"",""),6)&lt;&gt;"SAMPLE",Config!$B$19="Y")),IFERROR(N(INDEX(Clay_Offices!$A$2:$FZ$601,400,Sync!$C$13)),0),"")</f>
        <v/>
      </c>
      <c r="C3251" s="23" t="str">
        <f aca="false">IF(B3251="","","office")</f>
        <v/>
      </c>
      <c r="D3251" s="23" t="str">
        <f aca="false">IF(B3251="","",IFERROR(INDEX(Office_Log!$ED$2:$ED$201,MATCH(IFERROR(INDEX(Clay_Offices!$A$2:$FZ$601,400,Sync!$C$5)&amp;"",""),Office_Log!$A$2:$A$201,0))&amp;"",IFERROR(INDEX(Clay_Offices!$A$2:$FZ$601,400,Sync!$C$5)&amp;"","")&amp;""))</f>
        <v/>
      </c>
      <c r="E3251" s="23" t="str">
        <f aca="false">IF(B3251="","",IFERROR(INDEX(Clay_Offices!$A$2:$FZ$601,400,Sync!$C$6)&amp;"",""))</f>
        <v/>
      </c>
      <c r="F3251" s="23" t="str">
        <f aca="false">IF(B3251="","","outreach_sent")</f>
        <v/>
      </c>
      <c r="G3251" s="23" t="str">
        <f aca="false">IF(B3251="","","")</f>
        <v/>
      </c>
      <c r="H3251" s="23" t="str">
        <f aca="false">IF(B3251="","","")</f>
        <v/>
      </c>
      <c r="I3251" s="23" t="str">
        <f aca="false">IF(B3251="","","")</f>
        <v/>
      </c>
      <c r="J3251" s="23" t="str">
        <f aca="false">IF(B3251="","","touch_3; "&amp;IFERROR(INDEX(Clay_Offices!$A$2:$FZ$601,400,Sync!$C$10)&amp;"","")&amp;"; "&amp;IFERROR(INDEX(Clay_Offices!$A$2:$FZ$601,400,Sync!$C$9)&amp;"",""))</f>
        <v/>
      </c>
      <c r="K3251" s="32" t="s">
        <v>1365</v>
      </c>
    </row>
    <row r="3252" customFormat="false" ht="15" hidden="false" customHeight="false" outlineLevel="0" collapsed="false">
      <c r="A3252" s="23" t="str">
        <f aca="false">IF(B3252="","",B3252+(14*1000+401)/10000000)</f>
        <v/>
      </c>
      <c r="B3252" s="35" t="str">
        <f aca="false">IF(AND(IFERROR(N(INDEX(Clay_Offices!$A$2:$FZ$601,401,Sync!$C$13)),0)&gt;0,IFERROR(INDEX(Clay_Offices!$A$2:$FZ$601,401,Sync!$C$5)&amp;"","")&lt;&gt;"",OR(LEFT(IFERROR(INDEX(Clay_Offices!$A$2:$FZ$601,401,Sync!$C$5)&amp;"",""),6)&lt;&gt;"SAMPLE",Config!$B$19="Y")),IFERROR(N(INDEX(Clay_Offices!$A$2:$FZ$601,401,Sync!$C$13)),0),"")</f>
        <v/>
      </c>
      <c r="C3252" s="23" t="str">
        <f aca="false">IF(B3252="","","office")</f>
        <v/>
      </c>
      <c r="D3252" s="23" t="str">
        <f aca="false">IF(B3252="","",IFERROR(INDEX(Office_Log!$ED$2:$ED$201,MATCH(IFERROR(INDEX(Clay_Offices!$A$2:$FZ$601,401,Sync!$C$5)&amp;"",""),Office_Log!$A$2:$A$201,0))&amp;"",IFERROR(INDEX(Clay_Offices!$A$2:$FZ$601,401,Sync!$C$5)&amp;"","")&amp;""))</f>
        <v/>
      </c>
      <c r="E3252" s="23" t="str">
        <f aca="false">IF(B3252="","",IFERROR(INDEX(Clay_Offices!$A$2:$FZ$601,401,Sync!$C$6)&amp;"",""))</f>
        <v/>
      </c>
      <c r="F3252" s="23" t="str">
        <f aca="false">IF(B3252="","","outreach_sent")</f>
        <v/>
      </c>
      <c r="G3252" s="23" t="str">
        <f aca="false">IF(B3252="","","")</f>
        <v/>
      </c>
      <c r="H3252" s="23" t="str">
        <f aca="false">IF(B3252="","","")</f>
        <v/>
      </c>
      <c r="I3252" s="23" t="str">
        <f aca="false">IF(B3252="","","")</f>
        <v/>
      </c>
      <c r="J3252" s="23" t="str">
        <f aca="false">IF(B3252="","","touch_3; "&amp;IFERROR(INDEX(Clay_Offices!$A$2:$FZ$601,401,Sync!$C$10)&amp;"","")&amp;"; "&amp;IFERROR(INDEX(Clay_Offices!$A$2:$FZ$601,401,Sync!$C$9)&amp;"",""))</f>
        <v/>
      </c>
      <c r="K3252" s="32" t="s">
        <v>1365</v>
      </c>
    </row>
    <row r="3253" customFormat="false" ht="15" hidden="false" customHeight="false" outlineLevel="0" collapsed="false">
      <c r="A3253" s="23" t="str">
        <f aca="false">IF(B3253="","",B3253+(14*1000+402)/10000000)</f>
        <v/>
      </c>
      <c r="B3253" s="35" t="str">
        <f aca="false">IF(AND(IFERROR(N(INDEX(Clay_Offices!$A$2:$FZ$601,402,Sync!$C$13)),0)&gt;0,IFERROR(INDEX(Clay_Offices!$A$2:$FZ$601,402,Sync!$C$5)&amp;"","")&lt;&gt;"",OR(LEFT(IFERROR(INDEX(Clay_Offices!$A$2:$FZ$601,402,Sync!$C$5)&amp;"",""),6)&lt;&gt;"SAMPLE",Config!$B$19="Y")),IFERROR(N(INDEX(Clay_Offices!$A$2:$FZ$601,402,Sync!$C$13)),0),"")</f>
        <v/>
      </c>
      <c r="C3253" s="23" t="str">
        <f aca="false">IF(B3253="","","office")</f>
        <v/>
      </c>
      <c r="D3253" s="23" t="str">
        <f aca="false">IF(B3253="","",IFERROR(INDEX(Office_Log!$ED$2:$ED$201,MATCH(IFERROR(INDEX(Clay_Offices!$A$2:$FZ$601,402,Sync!$C$5)&amp;"",""),Office_Log!$A$2:$A$201,0))&amp;"",IFERROR(INDEX(Clay_Offices!$A$2:$FZ$601,402,Sync!$C$5)&amp;"","")&amp;""))</f>
        <v/>
      </c>
      <c r="E3253" s="23" t="str">
        <f aca="false">IF(B3253="","",IFERROR(INDEX(Clay_Offices!$A$2:$FZ$601,402,Sync!$C$6)&amp;"",""))</f>
        <v/>
      </c>
      <c r="F3253" s="23" t="str">
        <f aca="false">IF(B3253="","","outreach_sent")</f>
        <v/>
      </c>
      <c r="G3253" s="23" t="str">
        <f aca="false">IF(B3253="","","")</f>
        <v/>
      </c>
      <c r="H3253" s="23" t="str">
        <f aca="false">IF(B3253="","","")</f>
        <v/>
      </c>
      <c r="I3253" s="23" t="str">
        <f aca="false">IF(B3253="","","")</f>
        <v/>
      </c>
      <c r="J3253" s="23" t="str">
        <f aca="false">IF(B3253="","","touch_3; "&amp;IFERROR(INDEX(Clay_Offices!$A$2:$FZ$601,402,Sync!$C$10)&amp;"","")&amp;"; "&amp;IFERROR(INDEX(Clay_Offices!$A$2:$FZ$601,402,Sync!$C$9)&amp;"",""))</f>
        <v/>
      </c>
      <c r="K3253" s="32" t="s">
        <v>1365</v>
      </c>
    </row>
    <row r="3254" customFormat="false" ht="15" hidden="false" customHeight="false" outlineLevel="0" collapsed="false">
      <c r="A3254" s="23" t="str">
        <f aca="false">IF(B3254="","",B3254+(14*1000+403)/10000000)</f>
        <v/>
      </c>
      <c r="B3254" s="35" t="str">
        <f aca="false">IF(AND(IFERROR(N(INDEX(Clay_Offices!$A$2:$FZ$601,403,Sync!$C$13)),0)&gt;0,IFERROR(INDEX(Clay_Offices!$A$2:$FZ$601,403,Sync!$C$5)&amp;"","")&lt;&gt;"",OR(LEFT(IFERROR(INDEX(Clay_Offices!$A$2:$FZ$601,403,Sync!$C$5)&amp;"",""),6)&lt;&gt;"SAMPLE",Config!$B$19="Y")),IFERROR(N(INDEX(Clay_Offices!$A$2:$FZ$601,403,Sync!$C$13)),0),"")</f>
        <v/>
      </c>
      <c r="C3254" s="23" t="str">
        <f aca="false">IF(B3254="","","office")</f>
        <v/>
      </c>
      <c r="D3254" s="23" t="str">
        <f aca="false">IF(B3254="","",IFERROR(INDEX(Office_Log!$ED$2:$ED$201,MATCH(IFERROR(INDEX(Clay_Offices!$A$2:$FZ$601,403,Sync!$C$5)&amp;"",""),Office_Log!$A$2:$A$201,0))&amp;"",IFERROR(INDEX(Clay_Offices!$A$2:$FZ$601,403,Sync!$C$5)&amp;"","")&amp;""))</f>
        <v/>
      </c>
      <c r="E3254" s="23" t="str">
        <f aca="false">IF(B3254="","",IFERROR(INDEX(Clay_Offices!$A$2:$FZ$601,403,Sync!$C$6)&amp;"",""))</f>
        <v/>
      </c>
      <c r="F3254" s="23" t="str">
        <f aca="false">IF(B3254="","","outreach_sent")</f>
        <v/>
      </c>
      <c r="G3254" s="23" t="str">
        <f aca="false">IF(B3254="","","")</f>
        <v/>
      </c>
      <c r="H3254" s="23" t="str">
        <f aca="false">IF(B3254="","","")</f>
        <v/>
      </c>
      <c r="I3254" s="23" t="str">
        <f aca="false">IF(B3254="","","")</f>
        <v/>
      </c>
      <c r="J3254" s="23" t="str">
        <f aca="false">IF(B3254="","","touch_3; "&amp;IFERROR(INDEX(Clay_Offices!$A$2:$FZ$601,403,Sync!$C$10)&amp;"","")&amp;"; "&amp;IFERROR(INDEX(Clay_Offices!$A$2:$FZ$601,403,Sync!$C$9)&amp;"",""))</f>
        <v/>
      </c>
      <c r="K3254" s="32" t="s">
        <v>1365</v>
      </c>
    </row>
    <row r="3255" customFormat="false" ht="15" hidden="false" customHeight="false" outlineLevel="0" collapsed="false">
      <c r="A3255" s="23" t="str">
        <f aca="false">IF(B3255="","",B3255+(14*1000+404)/10000000)</f>
        <v/>
      </c>
      <c r="B3255" s="35" t="str">
        <f aca="false">IF(AND(IFERROR(N(INDEX(Clay_Offices!$A$2:$FZ$601,404,Sync!$C$13)),0)&gt;0,IFERROR(INDEX(Clay_Offices!$A$2:$FZ$601,404,Sync!$C$5)&amp;"","")&lt;&gt;"",OR(LEFT(IFERROR(INDEX(Clay_Offices!$A$2:$FZ$601,404,Sync!$C$5)&amp;"",""),6)&lt;&gt;"SAMPLE",Config!$B$19="Y")),IFERROR(N(INDEX(Clay_Offices!$A$2:$FZ$601,404,Sync!$C$13)),0),"")</f>
        <v/>
      </c>
      <c r="C3255" s="23" t="str">
        <f aca="false">IF(B3255="","","office")</f>
        <v/>
      </c>
      <c r="D3255" s="23" t="str">
        <f aca="false">IF(B3255="","",IFERROR(INDEX(Office_Log!$ED$2:$ED$201,MATCH(IFERROR(INDEX(Clay_Offices!$A$2:$FZ$601,404,Sync!$C$5)&amp;"",""),Office_Log!$A$2:$A$201,0))&amp;"",IFERROR(INDEX(Clay_Offices!$A$2:$FZ$601,404,Sync!$C$5)&amp;"","")&amp;""))</f>
        <v/>
      </c>
      <c r="E3255" s="23" t="str">
        <f aca="false">IF(B3255="","",IFERROR(INDEX(Clay_Offices!$A$2:$FZ$601,404,Sync!$C$6)&amp;"",""))</f>
        <v/>
      </c>
      <c r="F3255" s="23" t="str">
        <f aca="false">IF(B3255="","","outreach_sent")</f>
        <v/>
      </c>
      <c r="G3255" s="23" t="str">
        <f aca="false">IF(B3255="","","")</f>
        <v/>
      </c>
      <c r="H3255" s="23" t="str">
        <f aca="false">IF(B3255="","","")</f>
        <v/>
      </c>
      <c r="I3255" s="23" t="str">
        <f aca="false">IF(B3255="","","")</f>
        <v/>
      </c>
      <c r="J3255" s="23" t="str">
        <f aca="false">IF(B3255="","","touch_3; "&amp;IFERROR(INDEX(Clay_Offices!$A$2:$FZ$601,404,Sync!$C$10)&amp;"","")&amp;"; "&amp;IFERROR(INDEX(Clay_Offices!$A$2:$FZ$601,404,Sync!$C$9)&amp;"",""))</f>
        <v/>
      </c>
      <c r="K3255" s="32" t="s">
        <v>1365</v>
      </c>
    </row>
    <row r="3256" customFormat="false" ht="15" hidden="false" customHeight="false" outlineLevel="0" collapsed="false">
      <c r="A3256" s="23" t="str">
        <f aca="false">IF(B3256="","",B3256+(14*1000+405)/10000000)</f>
        <v/>
      </c>
      <c r="B3256" s="35" t="str">
        <f aca="false">IF(AND(IFERROR(N(INDEX(Clay_Offices!$A$2:$FZ$601,405,Sync!$C$13)),0)&gt;0,IFERROR(INDEX(Clay_Offices!$A$2:$FZ$601,405,Sync!$C$5)&amp;"","")&lt;&gt;"",OR(LEFT(IFERROR(INDEX(Clay_Offices!$A$2:$FZ$601,405,Sync!$C$5)&amp;"",""),6)&lt;&gt;"SAMPLE",Config!$B$19="Y")),IFERROR(N(INDEX(Clay_Offices!$A$2:$FZ$601,405,Sync!$C$13)),0),"")</f>
        <v/>
      </c>
      <c r="C3256" s="23" t="str">
        <f aca="false">IF(B3256="","","office")</f>
        <v/>
      </c>
      <c r="D3256" s="23" t="str">
        <f aca="false">IF(B3256="","",IFERROR(INDEX(Office_Log!$ED$2:$ED$201,MATCH(IFERROR(INDEX(Clay_Offices!$A$2:$FZ$601,405,Sync!$C$5)&amp;"",""),Office_Log!$A$2:$A$201,0))&amp;"",IFERROR(INDEX(Clay_Offices!$A$2:$FZ$601,405,Sync!$C$5)&amp;"","")&amp;""))</f>
        <v/>
      </c>
      <c r="E3256" s="23" t="str">
        <f aca="false">IF(B3256="","",IFERROR(INDEX(Clay_Offices!$A$2:$FZ$601,405,Sync!$C$6)&amp;"",""))</f>
        <v/>
      </c>
      <c r="F3256" s="23" t="str">
        <f aca="false">IF(B3256="","","outreach_sent")</f>
        <v/>
      </c>
      <c r="G3256" s="23" t="str">
        <f aca="false">IF(B3256="","","")</f>
        <v/>
      </c>
      <c r="H3256" s="23" t="str">
        <f aca="false">IF(B3256="","","")</f>
        <v/>
      </c>
      <c r="I3256" s="23" t="str">
        <f aca="false">IF(B3256="","","")</f>
        <v/>
      </c>
      <c r="J3256" s="23" t="str">
        <f aca="false">IF(B3256="","","touch_3; "&amp;IFERROR(INDEX(Clay_Offices!$A$2:$FZ$601,405,Sync!$C$10)&amp;"","")&amp;"; "&amp;IFERROR(INDEX(Clay_Offices!$A$2:$FZ$601,405,Sync!$C$9)&amp;"",""))</f>
        <v/>
      </c>
      <c r="K3256" s="32" t="s">
        <v>1365</v>
      </c>
    </row>
    <row r="3257" customFormat="false" ht="15" hidden="false" customHeight="false" outlineLevel="0" collapsed="false">
      <c r="A3257" s="23" t="str">
        <f aca="false">IF(B3257="","",B3257+(14*1000+406)/10000000)</f>
        <v/>
      </c>
      <c r="B3257" s="35" t="str">
        <f aca="false">IF(AND(IFERROR(N(INDEX(Clay_Offices!$A$2:$FZ$601,406,Sync!$C$13)),0)&gt;0,IFERROR(INDEX(Clay_Offices!$A$2:$FZ$601,406,Sync!$C$5)&amp;"","")&lt;&gt;"",OR(LEFT(IFERROR(INDEX(Clay_Offices!$A$2:$FZ$601,406,Sync!$C$5)&amp;"",""),6)&lt;&gt;"SAMPLE",Config!$B$19="Y")),IFERROR(N(INDEX(Clay_Offices!$A$2:$FZ$601,406,Sync!$C$13)),0),"")</f>
        <v/>
      </c>
      <c r="C3257" s="23" t="str">
        <f aca="false">IF(B3257="","","office")</f>
        <v/>
      </c>
      <c r="D3257" s="23" t="str">
        <f aca="false">IF(B3257="","",IFERROR(INDEX(Office_Log!$ED$2:$ED$201,MATCH(IFERROR(INDEX(Clay_Offices!$A$2:$FZ$601,406,Sync!$C$5)&amp;"",""),Office_Log!$A$2:$A$201,0))&amp;"",IFERROR(INDEX(Clay_Offices!$A$2:$FZ$601,406,Sync!$C$5)&amp;"","")&amp;""))</f>
        <v/>
      </c>
      <c r="E3257" s="23" t="str">
        <f aca="false">IF(B3257="","",IFERROR(INDEX(Clay_Offices!$A$2:$FZ$601,406,Sync!$C$6)&amp;"",""))</f>
        <v/>
      </c>
      <c r="F3257" s="23" t="str">
        <f aca="false">IF(B3257="","","outreach_sent")</f>
        <v/>
      </c>
      <c r="G3257" s="23" t="str">
        <f aca="false">IF(B3257="","","")</f>
        <v/>
      </c>
      <c r="H3257" s="23" t="str">
        <f aca="false">IF(B3257="","","")</f>
        <v/>
      </c>
      <c r="I3257" s="23" t="str">
        <f aca="false">IF(B3257="","","")</f>
        <v/>
      </c>
      <c r="J3257" s="23" t="str">
        <f aca="false">IF(B3257="","","touch_3; "&amp;IFERROR(INDEX(Clay_Offices!$A$2:$FZ$601,406,Sync!$C$10)&amp;"","")&amp;"; "&amp;IFERROR(INDEX(Clay_Offices!$A$2:$FZ$601,406,Sync!$C$9)&amp;"",""))</f>
        <v/>
      </c>
      <c r="K3257" s="32" t="s">
        <v>1365</v>
      </c>
    </row>
    <row r="3258" customFormat="false" ht="15" hidden="false" customHeight="false" outlineLevel="0" collapsed="false">
      <c r="A3258" s="23" t="str">
        <f aca="false">IF(B3258="","",B3258+(14*1000+407)/10000000)</f>
        <v/>
      </c>
      <c r="B3258" s="35" t="str">
        <f aca="false">IF(AND(IFERROR(N(INDEX(Clay_Offices!$A$2:$FZ$601,407,Sync!$C$13)),0)&gt;0,IFERROR(INDEX(Clay_Offices!$A$2:$FZ$601,407,Sync!$C$5)&amp;"","")&lt;&gt;"",OR(LEFT(IFERROR(INDEX(Clay_Offices!$A$2:$FZ$601,407,Sync!$C$5)&amp;"",""),6)&lt;&gt;"SAMPLE",Config!$B$19="Y")),IFERROR(N(INDEX(Clay_Offices!$A$2:$FZ$601,407,Sync!$C$13)),0),"")</f>
        <v/>
      </c>
      <c r="C3258" s="23" t="str">
        <f aca="false">IF(B3258="","","office")</f>
        <v/>
      </c>
      <c r="D3258" s="23" t="str">
        <f aca="false">IF(B3258="","",IFERROR(INDEX(Office_Log!$ED$2:$ED$201,MATCH(IFERROR(INDEX(Clay_Offices!$A$2:$FZ$601,407,Sync!$C$5)&amp;"",""),Office_Log!$A$2:$A$201,0))&amp;"",IFERROR(INDEX(Clay_Offices!$A$2:$FZ$601,407,Sync!$C$5)&amp;"","")&amp;""))</f>
        <v/>
      </c>
      <c r="E3258" s="23" t="str">
        <f aca="false">IF(B3258="","",IFERROR(INDEX(Clay_Offices!$A$2:$FZ$601,407,Sync!$C$6)&amp;"",""))</f>
        <v/>
      </c>
      <c r="F3258" s="23" t="str">
        <f aca="false">IF(B3258="","","outreach_sent")</f>
        <v/>
      </c>
      <c r="G3258" s="23" t="str">
        <f aca="false">IF(B3258="","","")</f>
        <v/>
      </c>
      <c r="H3258" s="23" t="str">
        <f aca="false">IF(B3258="","","")</f>
        <v/>
      </c>
      <c r="I3258" s="23" t="str">
        <f aca="false">IF(B3258="","","")</f>
        <v/>
      </c>
      <c r="J3258" s="23" t="str">
        <f aca="false">IF(B3258="","","touch_3; "&amp;IFERROR(INDEX(Clay_Offices!$A$2:$FZ$601,407,Sync!$C$10)&amp;"","")&amp;"; "&amp;IFERROR(INDEX(Clay_Offices!$A$2:$FZ$601,407,Sync!$C$9)&amp;"",""))</f>
        <v/>
      </c>
      <c r="K3258" s="32" t="s">
        <v>1365</v>
      </c>
    </row>
    <row r="3259" customFormat="false" ht="15" hidden="false" customHeight="false" outlineLevel="0" collapsed="false">
      <c r="A3259" s="23" t="str">
        <f aca="false">IF(B3259="","",B3259+(14*1000+408)/10000000)</f>
        <v/>
      </c>
      <c r="B3259" s="35" t="str">
        <f aca="false">IF(AND(IFERROR(N(INDEX(Clay_Offices!$A$2:$FZ$601,408,Sync!$C$13)),0)&gt;0,IFERROR(INDEX(Clay_Offices!$A$2:$FZ$601,408,Sync!$C$5)&amp;"","")&lt;&gt;"",OR(LEFT(IFERROR(INDEX(Clay_Offices!$A$2:$FZ$601,408,Sync!$C$5)&amp;"",""),6)&lt;&gt;"SAMPLE",Config!$B$19="Y")),IFERROR(N(INDEX(Clay_Offices!$A$2:$FZ$601,408,Sync!$C$13)),0),"")</f>
        <v/>
      </c>
      <c r="C3259" s="23" t="str">
        <f aca="false">IF(B3259="","","office")</f>
        <v/>
      </c>
      <c r="D3259" s="23" t="str">
        <f aca="false">IF(B3259="","",IFERROR(INDEX(Office_Log!$ED$2:$ED$201,MATCH(IFERROR(INDEX(Clay_Offices!$A$2:$FZ$601,408,Sync!$C$5)&amp;"",""),Office_Log!$A$2:$A$201,0))&amp;"",IFERROR(INDEX(Clay_Offices!$A$2:$FZ$601,408,Sync!$C$5)&amp;"","")&amp;""))</f>
        <v/>
      </c>
      <c r="E3259" s="23" t="str">
        <f aca="false">IF(B3259="","",IFERROR(INDEX(Clay_Offices!$A$2:$FZ$601,408,Sync!$C$6)&amp;"",""))</f>
        <v/>
      </c>
      <c r="F3259" s="23" t="str">
        <f aca="false">IF(B3259="","","outreach_sent")</f>
        <v/>
      </c>
      <c r="G3259" s="23" t="str">
        <f aca="false">IF(B3259="","","")</f>
        <v/>
      </c>
      <c r="H3259" s="23" t="str">
        <f aca="false">IF(B3259="","","")</f>
        <v/>
      </c>
      <c r="I3259" s="23" t="str">
        <f aca="false">IF(B3259="","","")</f>
        <v/>
      </c>
      <c r="J3259" s="23" t="str">
        <f aca="false">IF(B3259="","","touch_3; "&amp;IFERROR(INDEX(Clay_Offices!$A$2:$FZ$601,408,Sync!$C$10)&amp;"","")&amp;"; "&amp;IFERROR(INDEX(Clay_Offices!$A$2:$FZ$601,408,Sync!$C$9)&amp;"",""))</f>
        <v/>
      </c>
      <c r="K3259" s="32" t="s">
        <v>1365</v>
      </c>
    </row>
    <row r="3260" customFormat="false" ht="15" hidden="false" customHeight="false" outlineLevel="0" collapsed="false">
      <c r="A3260" s="23" t="str">
        <f aca="false">IF(B3260="","",B3260+(14*1000+409)/10000000)</f>
        <v/>
      </c>
      <c r="B3260" s="35" t="str">
        <f aca="false">IF(AND(IFERROR(N(INDEX(Clay_Offices!$A$2:$FZ$601,409,Sync!$C$13)),0)&gt;0,IFERROR(INDEX(Clay_Offices!$A$2:$FZ$601,409,Sync!$C$5)&amp;"","")&lt;&gt;"",OR(LEFT(IFERROR(INDEX(Clay_Offices!$A$2:$FZ$601,409,Sync!$C$5)&amp;"",""),6)&lt;&gt;"SAMPLE",Config!$B$19="Y")),IFERROR(N(INDEX(Clay_Offices!$A$2:$FZ$601,409,Sync!$C$13)),0),"")</f>
        <v/>
      </c>
      <c r="C3260" s="23" t="str">
        <f aca="false">IF(B3260="","","office")</f>
        <v/>
      </c>
      <c r="D3260" s="23" t="str">
        <f aca="false">IF(B3260="","",IFERROR(INDEX(Office_Log!$ED$2:$ED$201,MATCH(IFERROR(INDEX(Clay_Offices!$A$2:$FZ$601,409,Sync!$C$5)&amp;"",""),Office_Log!$A$2:$A$201,0))&amp;"",IFERROR(INDEX(Clay_Offices!$A$2:$FZ$601,409,Sync!$C$5)&amp;"","")&amp;""))</f>
        <v/>
      </c>
      <c r="E3260" s="23" t="str">
        <f aca="false">IF(B3260="","",IFERROR(INDEX(Clay_Offices!$A$2:$FZ$601,409,Sync!$C$6)&amp;"",""))</f>
        <v/>
      </c>
      <c r="F3260" s="23" t="str">
        <f aca="false">IF(B3260="","","outreach_sent")</f>
        <v/>
      </c>
      <c r="G3260" s="23" t="str">
        <f aca="false">IF(B3260="","","")</f>
        <v/>
      </c>
      <c r="H3260" s="23" t="str">
        <f aca="false">IF(B3260="","","")</f>
        <v/>
      </c>
      <c r="I3260" s="23" t="str">
        <f aca="false">IF(B3260="","","")</f>
        <v/>
      </c>
      <c r="J3260" s="23" t="str">
        <f aca="false">IF(B3260="","","touch_3; "&amp;IFERROR(INDEX(Clay_Offices!$A$2:$FZ$601,409,Sync!$C$10)&amp;"","")&amp;"; "&amp;IFERROR(INDEX(Clay_Offices!$A$2:$FZ$601,409,Sync!$C$9)&amp;"",""))</f>
        <v/>
      </c>
      <c r="K3260" s="32" t="s">
        <v>1365</v>
      </c>
    </row>
    <row r="3261" customFormat="false" ht="15" hidden="false" customHeight="false" outlineLevel="0" collapsed="false">
      <c r="A3261" s="23" t="str">
        <f aca="false">IF(B3261="","",B3261+(14*1000+410)/10000000)</f>
        <v/>
      </c>
      <c r="B3261" s="35" t="str">
        <f aca="false">IF(AND(IFERROR(N(INDEX(Clay_Offices!$A$2:$FZ$601,410,Sync!$C$13)),0)&gt;0,IFERROR(INDEX(Clay_Offices!$A$2:$FZ$601,410,Sync!$C$5)&amp;"","")&lt;&gt;"",OR(LEFT(IFERROR(INDEX(Clay_Offices!$A$2:$FZ$601,410,Sync!$C$5)&amp;"",""),6)&lt;&gt;"SAMPLE",Config!$B$19="Y")),IFERROR(N(INDEX(Clay_Offices!$A$2:$FZ$601,410,Sync!$C$13)),0),"")</f>
        <v/>
      </c>
      <c r="C3261" s="23" t="str">
        <f aca="false">IF(B3261="","","office")</f>
        <v/>
      </c>
      <c r="D3261" s="23" t="str">
        <f aca="false">IF(B3261="","",IFERROR(INDEX(Office_Log!$ED$2:$ED$201,MATCH(IFERROR(INDEX(Clay_Offices!$A$2:$FZ$601,410,Sync!$C$5)&amp;"",""),Office_Log!$A$2:$A$201,0))&amp;"",IFERROR(INDEX(Clay_Offices!$A$2:$FZ$601,410,Sync!$C$5)&amp;"","")&amp;""))</f>
        <v/>
      </c>
      <c r="E3261" s="23" t="str">
        <f aca="false">IF(B3261="","",IFERROR(INDEX(Clay_Offices!$A$2:$FZ$601,410,Sync!$C$6)&amp;"",""))</f>
        <v/>
      </c>
      <c r="F3261" s="23" t="str">
        <f aca="false">IF(B3261="","","outreach_sent")</f>
        <v/>
      </c>
      <c r="G3261" s="23" t="str">
        <f aca="false">IF(B3261="","","")</f>
        <v/>
      </c>
      <c r="H3261" s="23" t="str">
        <f aca="false">IF(B3261="","","")</f>
        <v/>
      </c>
      <c r="I3261" s="23" t="str">
        <f aca="false">IF(B3261="","","")</f>
        <v/>
      </c>
      <c r="J3261" s="23" t="str">
        <f aca="false">IF(B3261="","","touch_3; "&amp;IFERROR(INDEX(Clay_Offices!$A$2:$FZ$601,410,Sync!$C$10)&amp;"","")&amp;"; "&amp;IFERROR(INDEX(Clay_Offices!$A$2:$FZ$601,410,Sync!$C$9)&amp;"",""))</f>
        <v/>
      </c>
      <c r="K3261" s="32" t="s">
        <v>1365</v>
      </c>
    </row>
    <row r="3262" customFormat="false" ht="15" hidden="false" customHeight="false" outlineLevel="0" collapsed="false">
      <c r="A3262" s="23" t="str">
        <f aca="false">IF(B3262="","",B3262+(14*1000+411)/10000000)</f>
        <v/>
      </c>
      <c r="B3262" s="35" t="str">
        <f aca="false">IF(AND(IFERROR(N(INDEX(Clay_Offices!$A$2:$FZ$601,411,Sync!$C$13)),0)&gt;0,IFERROR(INDEX(Clay_Offices!$A$2:$FZ$601,411,Sync!$C$5)&amp;"","")&lt;&gt;"",OR(LEFT(IFERROR(INDEX(Clay_Offices!$A$2:$FZ$601,411,Sync!$C$5)&amp;"",""),6)&lt;&gt;"SAMPLE",Config!$B$19="Y")),IFERROR(N(INDEX(Clay_Offices!$A$2:$FZ$601,411,Sync!$C$13)),0),"")</f>
        <v/>
      </c>
      <c r="C3262" s="23" t="str">
        <f aca="false">IF(B3262="","","office")</f>
        <v/>
      </c>
      <c r="D3262" s="23" t="str">
        <f aca="false">IF(B3262="","",IFERROR(INDEX(Office_Log!$ED$2:$ED$201,MATCH(IFERROR(INDEX(Clay_Offices!$A$2:$FZ$601,411,Sync!$C$5)&amp;"",""),Office_Log!$A$2:$A$201,0))&amp;"",IFERROR(INDEX(Clay_Offices!$A$2:$FZ$601,411,Sync!$C$5)&amp;"","")&amp;""))</f>
        <v/>
      </c>
      <c r="E3262" s="23" t="str">
        <f aca="false">IF(B3262="","",IFERROR(INDEX(Clay_Offices!$A$2:$FZ$601,411,Sync!$C$6)&amp;"",""))</f>
        <v/>
      </c>
      <c r="F3262" s="23" t="str">
        <f aca="false">IF(B3262="","","outreach_sent")</f>
        <v/>
      </c>
      <c r="G3262" s="23" t="str">
        <f aca="false">IF(B3262="","","")</f>
        <v/>
      </c>
      <c r="H3262" s="23" t="str">
        <f aca="false">IF(B3262="","","")</f>
        <v/>
      </c>
      <c r="I3262" s="23" t="str">
        <f aca="false">IF(B3262="","","")</f>
        <v/>
      </c>
      <c r="J3262" s="23" t="str">
        <f aca="false">IF(B3262="","","touch_3; "&amp;IFERROR(INDEX(Clay_Offices!$A$2:$FZ$601,411,Sync!$C$10)&amp;"","")&amp;"; "&amp;IFERROR(INDEX(Clay_Offices!$A$2:$FZ$601,411,Sync!$C$9)&amp;"",""))</f>
        <v/>
      </c>
      <c r="K3262" s="32" t="s">
        <v>1365</v>
      </c>
    </row>
    <row r="3263" customFormat="false" ht="15" hidden="false" customHeight="false" outlineLevel="0" collapsed="false">
      <c r="A3263" s="23" t="str">
        <f aca="false">IF(B3263="","",B3263+(14*1000+412)/10000000)</f>
        <v/>
      </c>
      <c r="B3263" s="35" t="str">
        <f aca="false">IF(AND(IFERROR(N(INDEX(Clay_Offices!$A$2:$FZ$601,412,Sync!$C$13)),0)&gt;0,IFERROR(INDEX(Clay_Offices!$A$2:$FZ$601,412,Sync!$C$5)&amp;"","")&lt;&gt;"",OR(LEFT(IFERROR(INDEX(Clay_Offices!$A$2:$FZ$601,412,Sync!$C$5)&amp;"",""),6)&lt;&gt;"SAMPLE",Config!$B$19="Y")),IFERROR(N(INDEX(Clay_Offices!$A$2:$FZ$601,412,Sync!$C$13)),0),"")</f>
        <v/>
      </c>
      <c r="C3263" s="23" t="str">
        <f aca="false">IF(B3263="","","office")</f>
        <v/>
      </c>
      <c r="D3263" s="23" t="str">
        <f aca="false">IF(B3263="","",IFERROR(INDEX(Office_Log!$ED$2:$ED$201,MATCH(IFERROR(INDEX(Clay_Offices!$A$2:$FZ$601,412,Sync!$C$5)&amp;"",""),Office_Log!$A$2:$A$201,0))&amp;"",IFERROR(INDEX(Clay_Offices!$A$2:$FZ$601,412,Sync!$C$5)&amp;"","")&amp;""))</f>
        <v/>
      </c>
      <c r="E3263" s="23" t="str">
        <f aca="false">IF(B3263="","",IFERROR(INDEX(Clay_Offices!$A$2:$FZ$601,412,Sync!$C$6)&amp;"",""))</f>
        <v/>
      </c>
      <c r="F3263" s="23" t="str">
        <f aca="false">IF(B3263="","","outreach_sent")</f>
        <v/>
      </c>
      <c r="G3263" s="23" t="str">
        <f aca="false">IF(B3263="","","")</f>
        <v/>
      </c>
      <c r="H3263" s="23" t="str">
        <f aca="false">IF(B3263="","","")</f>
        <v/>
      </c>
      <c r="I3263" s="23" t="str">
        <f aca="false">IF(B3263="","","")</f>
        <v/>
      </c>
      <c r="J3263" s="23" t="str">
        <f aca="false">IF(B3263="","","touch_3; "&amp;IFERROR(INDEX(Clay_Offices!$A$2:$FZ$601,412,Sync!$C$10)&amp;"","")&amp;"; "&amp;IFERROR(INDEX(Clay_Offices!$A$2:$FZ$601,412,Sync!$C$9)&amp;"",""))</f>
        <v/>
      </c>
      <c r="K3263" s="32" t="s">
        <v>1365</v>
      </c>
    </row>
    <row r="3264" customFormat="false" ht="15" hidden="false" customHeight="false" outlineLevel="0" collapsed="false">
      <c r="A3264" s="23" t="str">
        <f aca="false">IF(B3264="","",B3264+(14*1000+413)/10000000)</f>
        <v/>
      </c>
      <c r="B3264" s="35" t="str">
        <f aca="false">IF(AND(IFERROR(N(INDEX(Clay_Offices!$A$2:$FZ$601,413,Sync!$C$13)),0)&gt;0,IFERROR(INDEX(Clay_Offices!$A$2:$FZ$601,413,Sync!$C$5)&amp;"","")&lt;&gt;"",OR(LEFT(IFERROR(INDEX(Clay_Offices!$A$2:$FZ$601,413,Sync!$C$5)&amp;"",""),6)&lt;&gt;"SAMPLE",Config!$B$19="Y")),IFERROR(N(INDEX(Clay_Offices!$A$2:$FZ$601,413,Sync!$C$13)),0),"")</f>
        <v/>
      </c>
      <c r="C3264" s="23" t="str">
        <f aca="false">IF(B3264="","","office")</f>
        <v/>
      </c>
      <c r="D3264" s="23" t="str">
        <f aca="false">IF(B3264="","",IFERROR(INDEX(Office_Log!$ED$2:$ED$201,MATCH(IFERROR(INDEX(Clay_Offices!$A$2:$FZ$601,413,Sync!$C$5)&amp;"",""),Office_Log!$A$2:$A$201,0))&amp;"",IFERROR(INDEX(Clay_Offices!$A$2:$FZ$601,413,Sync!$C$5)&amp;"","")&amp;""))</f>
        <v/>
      </c>
      <c r="E3264" s="23" t="str">
        <f aca="false">IF(B3264="","",IFERROR(INDEX(Clay_Offices!$A$2:$FZ$601,413,Sync!$C$6)&amp;"",""))</f>
        <v/>
      </c>
      <c r="F3264" s="23" t="str">
        <f aca="false">IF(B3264="","","outreach_sent")</f>
        <v/>
      </c>
      <c r="G3264" s="23" t="str">
        <f aca="false">IF(B3264="","","")</f>
        <v/>
      </c>
      <c r="H3264" s="23" t="str">
        <f aca="false">IF(B3264="","","")</f>
        <v/>
      </c>
      <c r="I3264" s="23" t="str">
        <f aca="false">IF(B3264="","","")</f>
        <v/>
      </c>
      <c r="J3264" s="23" t="str">
        <f aca="false">IF(B3264="","","touch_3; "&amp;IFERROR(INDEX(Clay_Offices!$A$2:$FZ$601,413,Sync!$C$10)&amp;"","")&amp;"; "&amp;IFERROR(INDEX(Clay_Offices!$A$2:$FZ$601,413,Sync!$C$9)&amp;"",""))</f>
        <v/>
      </c>
      <c r="K3264" s="32" t="s">
        <v>1365</v>
      </c>
    </row>
    <row r="3265" customFormat="false" ht="15" hidden="false" customHeight="false" outlineLevel="0" collapsed="false">
      <c r="A3265" s="23" t="str">
        <f aca="false">IF(B3265="","",B3265+(14*1000+414)/10000000)</f>
        <v/>
      </c>
      <c r="B3265" s="35" t="str">
        <f aca="false">IF(AND(IFERROR(N(INDEX(Clay_Offices!$A$2:$FZ$601,414,Sync!$C$13)),0)&gt;0,IFERROR(INDEX(Clay_Offices!$A$2:$FZ$601,414,Sync!$C$5)&amp;"","")&lt;&gt;"",OR(LEFT(IFERROR(INDEX(Clay_Offices!$A$2:$FZ$601,414,Sync!$C$5)&amp;"",""),6)&lt;&gt;"SAMPLE",Config!$B$19="Y")),IFERROR(N(INDEX(Clay_Offices!$A$2:$FZ$601,414,Sync!$C$13)),0),"")</f>
        <v/>
      </c>
      <c r="C3265" s="23" t="str">
        <f aca="false">IF(B3265="","","office")</f>
        <v/>
      </c>
      <c r="D3265" s="23" t="str">
        <f aca="false">IF(B3265="","",IFERROR(INDEX(Office_Log!$ED$2:$ED$201,MATCH(IFERROR(INDEX(Clay_Offices!$A$2:$FZ$601,414,Sync!$C$5)&amp;"",""),Office_Log!$A$2:$A$201,0))&amp;"",IFERROR(INDEX(Clay_Offices!$A$2:$FZ$601,414,Sync!$C$5)&amp;"","")&amp;""))</f>
        <v/>
      </c>
      <c r="E3265" s="23" t="str">
        <f aca="false">IF(B3265="","",IFERROR(INDEX(Clay_Offices!$A$2:$FZ$601,414,Sync!$C$6)&amp;"",""))</f>
        <v/>
      </c>
      <c r="F3265" s="23" t="str">
        <f aca="false">IF(B3265="","","outreach_sent")</f>
        <v/>
      </c>
      <c r="G3265" s="23" t="str">
        <f aca="false">IF(B3265="","","")</f>
        <v/>
      </c>
      <c r="H3265" s="23" t="str">
        <f aca="false">IF(B3265="","","")</f>
        <v/>
      </c>
      <c r="I3265" s="23" t="str">
        <f aca="false">IF(B3265="","","")</f>
        <v/>
      </c>
      <c r="J3265" s="23" t="str">
        <f aca="false">IF(B3265="","","touch_3; "&amp;IFERROR(INDEX(Clay_Offices!$A$2:$FZ$601,414,Sync!$C$10)&amp;"","")&amp;"; "&amp;IFERROR(INDEX(Clay_Offices!$A$2:$FZ$601,414,Sync!$C$9)&amp;"",""))</f>
        <v/>
      </c>
      <c r="K3265" s="32" t="s">
        <v>1365</v>
      </c>
    </row>
    <row r="3266" customFormat="false" ht="15" hidden="false" customHeight="false" outlineLevel="0" collapsed="false">
      <c r="A3266" s="23" t="str">
        <f aca="false">IF(B3266="","",B3266+(14*1000+415)/10000000)</f>
        <v/>
      </c>
      <c r="B3266" s="35" t="str">
        <f aca="false">IF(AND(IFERROR(N(INDEX(Clay_Offices!$A$2:$FZ$601,415,Sync!$C$13)),0)&gt;0,IFERROR(INDEX(Clay_Offices!$A$2:$FZ$601,415,Sync!$C$5)&amp;"","")&lt;&gt;"",OR(LEFT(IFERROR(INDEX(Clay_Offices!$A$2:$FZ$601,415,Sync!$C$5)&amp;"",""),6)&lt;&gt;"SAMPLE",Config!$B$19="Y")),IFERROR(N(INDEX(Clay_Offices!$A$2:$FZ$601,415,Sync!$C$13)),0),"")</f>
        <v/>
      </c>
      <c r="C3266" s="23" t="str">
        <f aca="false">IF(B3266="","","office")</f>
        <v/>
      </c>
      <c r="D3266" s="23" t="str">
        <f aca="false">IF(B3266="","",IFERROR(INDEX(Office_Log!$ED$2:$ED$201,MATCH(IFERROR(INDEX(Clay_Offices!$A$2:$FZ$601,415,Sync!$C$5)&amp;"",""),Office_Log!$A$2:$A$201,0))&amp;"",IFERROR(INDEX(Clay_Offices!$A$2:$FZ$601,415,Sync!$C$5)&amp;"","")&amp;""))</f>
        <v/>
      </c>
      <c r="E3266" s="23" t="str">
        <f aca="false">IF(B3266="","",IFERROR(INDEX(Clay_Offices!$A$2:$FZ$601,415,Sync!$C$6)&amp;"",""))</f>
        <v/>
      </c>
      <c r="F3266" s="23" t="str">
        <f aca="false">IF(B3266="","","outreach_sent")</f>
        <v/>
      </c>
      <c r="G3266" s="23" t="str">
        <f aca="false">IF(B3266="","","")</f>
        <v/>
      </c>
      <c r="H3266" s="23" t="str">
        <f aca="false">IF(B3266="","","")</f>
        <v/>
      </c>
      <c r="I3266" s="23" t="str">
        <f aca="false">IF(B3266="","","")</f>
        <v/>
      </c>
      <c r="J3266" s="23" t="str">
        <f aca="false">IF(B3266="","","touch_3; "&amp;IFERROR(INDEX(Clay_Offices!$A$2:$FZ$601,415,Sync!$C$10)&amp;"","")&amp;"; "&amp;IFERROR(INDEX(Clay_Offices!$A$2:$FZ$601,415,Sync!$C$9)&amp;"",""))</f>
        <v/>
      </c>
      <c r="K3266" s="32" t="s">
        <v>1365</v>
      </c>
    </row>
    <row r="3267" customFormat="false" ht="15" hidden="false" customHeight="false" outlineLevel="0" collapsed="false">
      <c r="A3267" s="23" t="str">
        <f aca="false">IF(B3267="","",B3267+(14*1000+416)/10000000)</f>
        <v/>
      </c>
      <c r="B3267" s="35" t="str">
        <f aca="false">IF(AND(IFERROR(N(INDEX(Clay_Offices!$A$2:$FZ$601,416,Sync!$C$13)),0)&gt;0,IFERROR(INDEX(Clay_Offices!$A$2:$FZ$601,416,Sync!$C$5)&amp;"","")&lt;&gt;"",OR(LEFT(IFERROR(INDEX(Clay_Offices!$A$2:$FZ$601,416,Sync!$C$5)&amp;"",""),6)&lt;&gt;"SAMPLE",Config!$B$19="Y")),IFERROR(N(INDEX(Clay_Offices!$A$2:$FZ$601,416,Sync!$C$13)),0),"")</f>
        <v/>
      </c>
      <c r="C3267" s="23" t="str">
        <f aca="false">IF(B3267="","","office")</f>
        <v/>
      </c>
      <c r="D3267" s="23" t="str">
        <f aca="false">IF(B3267="","",IFERROR(INDEX(Office_Log!$ED$2:$ED$201,MATCH(IFERROR(INDEX(Clay_Offices!$A$2:$FZ$601,416,Sync!$C$5)&amp;"",""),Office_Log!$A$2:$A$201,0))&amp;"",IFERROR(INDEX(Clay_Offices!$A$2:$FZ$601,416,Sync!$C$5)&amp;"","")&amp;""))</f>
        <v/>
      </c>
      <c r="E3267" s="23" t="str">
        <f aca="false">IF(B3267="","",IFERROR(INDEX(Clay_Offices!$A$2:$FZ$601,416,Sync!$C$6)&amp;"",""))</f>
        <v/>
      </c>
      <c r="F3267" s="23" t="str">
        <f aca="false">IF(B3267="","","outreach_sent")</f>
        <v/>
      </c>
      <c r="G3267" s="23" t="str">
        <f aca="false">IF(B3267="","","")</f>
        <v/>
      </c>
      <c r="H3267" s="23" t="str">
        <f aca="false">IF(B3267="","","")</f>
        <v/>
      </c>
      <c r="I3267" s="23" t="str">
        <f aca="false">IF(B3267="","","")</f>
        <v/>
      </c>
      <c r="J3267" s="23" t="str">
        <f aca="false">IF(B3267="","","touch_3; "&amp;IFERROR(INDEX(Clay_Offices!$A$2:$FZ$601,416,Sync!$C$10)&amp;"","")&amp;"; "&amp;IFERROR(INDEX(Clay_Offices!$A$2:$FZ$601,416,Sync!$C$9)&amp;"",""))</f>
        <v/>
      </c>
      <c r="K3267" s="32" t="s">
        <v>1365</v>
      </c>
    </row>
    <row r="3268" customFormat="false" ht="15" hidden="false" customHeight="false" outlineLevel="0" collapsed="false">
      <c r="A3268" s="23" t="str">
        <f aca="false">IF(B3268="","",B3268+(14*1000+417)/10000000)</f>
        <v/>
      </c>
      <c r="B3268" s="35" t="str">
        <f aca="false">IF(AND(IFERROR(N(INDEX(Clay_Offices!$A$2:$FZ$601,417,Sync!$C$13)),0)&gt;0,IFERROR(INDEX(Clay_Offices!$A$2:$FZ$601,417,Sync!$C$5)&amp;"","")&lt;&gt;"",OR(LEFT(IFERROR(INDEX(Clay_Offices!$A$2:$FZ$601,417,Sync!$C$5)&amp;"",""),6)&lt;&gt;"SAMPLE",Config!$B$19="Y")),IFERROR(N(INDEX(Clay_Offices!$A$2:$FZ$601,417,Sync!$C$13)),0),"")</f>
        <v/>
      </c>
      <c r="C3268" s="23" t="str">
        <f aca="false">IF(B3268="","","office")</f>
        <v/>
      </c>
      <c r="D3268" s="23" t="str">
        <f aca="false">IF(B3268="","",IFERROR(INDEX(Office_Log!$ED$2:$ED$201,MATCH(IFERROR(INDEX(Clay_Offices!$A$2:$FZ$601,417,Sync!$C$5)&amp;"",""),Office_Log!$A$2:$A$201,0))&amp;"",IFERROR(INDEX(Clay_Offices!$A$2:$FZ$601,417,Sync!$C$5)&amp;"","")&amp;""))</f>
        <v/>
      </c>
      <c r="E3268" s="23" t="str">
        <f aca="false">IF(B3268="","",IFERROR(INDEX(Clay_Offices!$A$2:$FZ$601,417,Sync!$C$6)&amp;"",""))</f>
        <v/>
      </c>
      <c r="F3268" s="23" t="str">
        <f aca="false">IF(B3268="","","outreach_sent")</f>
        <v/>
      </c>
      <c r="G3268" s="23" t="str">
        <f aca="false">IF(B3268="","","")</f>
        <v/>
      </c>
      <c r="H3268" s="23" t="str">
        <f aca="false">IF(B3268="","","")</f>
        <v/>
      </c>
      <c r="I3268" s="23" t="str">
        <f aca="false">IF(B3268="","","")</f>
        <v/>
      </c>
      <c r="J3268" s="23" t="str">
        <f aca="false">IF(B3268="","","touch_3; "&amp;IFERROR(INDEX(Clay_Offices!$A$2:$FZ$601,417,Sync!$C$10)&amp;"","")&amp;"; "&amp;IFERROR(INDEX(Clay_Offices!$A$2:$FZ$601,417,Sync!$C$9)&amp;"",""))</f>
        <v/>
      </c>
      <c r="K3268" s="32" t="s">
        <v>1365</v>
      </c>
    </row>
    <row r="3269" customFormat="false" ht="15" hidden="false" customHeight="false" outlineLevel="0" collapsed="false">
      <c r="A3269" s="23" t="str">
        <f aca="false">IF(B3269="","",B3269+(14*1000+418)/10000000)</f>
        <v/>
      </c>
      <c r="B3269" s="35" t="str">
        <f aca="false">IF(AND(IFERROR(N(INDEX(Clay_Offices!$A$2:$FZ$601,418,Sync!$C$13)),0)&gt;0,IFERROR(INDEX(Clay_Offices!$A$2:$FZ$601,418,Sync!$C$5)&amp;"","")&lt;&gt;"",OR(LEFT(IFERROR(INDEX(Clay_Offices!$A$2:$FZ$601,418,Sync!$C$5)&amp;"",""),6)&lt;&gt;"SAMPLE",Config!$B$19="Y")),IFERROR(N(INDEX(Clay_Offices!$A$2:$FZ$601,418,Sync!$C$13)),0),"")</f>
        <v/>
      </c>
      <c r="C3269" s="23" t="str">
        <f aca="false">IF(B3269="","","office")</f>
        <v/>
      </c>
      <c r="D3269" s="23" t="str">
        <f aca="false">IF(B3269="","",IFERROR(INDEX(Office_Log!$ED$2:$ED$201,MATCH(IFERROR(INDEX(Clay_Offices!$A$2:$FZ$601,418,Sync!$C$5)&amp;"",""),Office_Log!$A$2:$A$201,0))&amp;"",IFERROR(INDEX(Clay_Offices!$A$2:$FZ$601,418,Sync!$C$5)&amp;"","")&amp;""))</f>
        <v/>
      </c>
      <c r="E3269" s="23" t="str">
        <f aca="false">IF(B3269="","",IFERROR(INDEX(Clay_Offices!$A$2:$FZ$601,418,Sync!$C$6)&amp;"",""))</f>
        <v/>
      </c>
      <c r="F3269" s="23" t="str">
        <f aca="false">IF(B3269="","","outreach_sent")</f>
        <v/>
      </c>
      <c r="G3269" s="23" t="str">
        <f aca="false">IF(B3269="","","")</f>
        <v/>
      </c>
      <c r="H3269" s="23" t="str">
        <f aca="false">IF(B3269="","","")</f>
        <v/>
      </c>
      <c r="I3269" s="23" t="str">
        <f aca="false">IF(B3269="","","")</f>
        <v/>
      </c>
      <c r="J3269" s="23" t="str">
        <f aca="false">IF(B3269="","","touch_3; "&amp;IFERROR(INDEX(Clay_Offices!$A$2:$FZ$601,418,Sync!$C$10)&amp;"","")&amp;"; "&amp;IFERROR(INDEX(Clay_Offices!$A$2:$FZ$601,418,Sync!$C$9)&amp;"",""))</f>
        <v/>
      </c>
      <c r="K3269" s="32" t="s">
        <v>1365</v>
      </c>
    </row>
    <row r="3270" customFormat="false" ht="15" hidden="false" customHeight="false" outlineLevel="0" collapsed="false">
      <c r="A3270" s="23" t="str">
        <f aca="false">IF(B3270="","",B3270+(14*1000+419)/10000000)</f>
        <v/>
      </c>
      <c r="B3270" s="35" t="str">
        <f aca="false">IF(AND(IFERROR(N(INDEX(Clay_Offices!$A$2:$FZ$601,419,Sync!$C$13)),0)&gt;0,IFERROR(INDEX(Clay_Offices!$A$2:$FZ$601,419,Sync!$C$5)&amp;"","")&lt;&gt;"",OR(LEFT(IFERROR(INDEX(Clay_Offices!$A$2:$FZ$601,419,Sync!$C$5)&amp;"",""),6)&lt;&gt;"SAMPLE",Config!$B$19="Y")),IFERROR(N(INDEX(Clay_Offices!$A$2:$FZ$601,419,Sync!$C$13)),0),"")</f>
        <v/>
      </c>
      <c r="C3270" s="23" t="str">
        <f aca="false">IF(B3270="","","office")</f>
        <v/>
      </c>
      <c r="D3270" s="23" t="str">
        <f aca="false">IF(B3270="","",IFERROR(INDEX(Office_Log!$ED$2:$ED$201,MATCH(IFERROR(INDEX(Clay_Offices!$A$2:$FZ$601,419,Sync!$C$5)&amp;"",""),Office_Log!$A$2:$A$201,0))&amp;"",IFERROR(INDEX(Clay_Offices!$A$2:$FZ$601,419,Sync!$C$5)&amp;"","")&amp;""))</f>
        <v/>
      </c>
      <c r="E3270" s="23" t="str">
        <f aca="false">IF(B3270="","",IFERROR(INDEX(Clay_Offices!$A$2:$FZ$601,419,Sync!$C$6)&amp;"",""))</f>
        <v/>
      </c>
      <c r="F3270" s="23" t="str">
        <f aca="false">IF(B3270="","","outreach_sent")</f>
        <v/>
      </c>
      <c r="G3270" s="23" t="str">
        <f aca="false">IF(B3270="","","")</f>
        <v/>
      </c>
      <c r="H3270" s="23" t="str">
        <f aca="false">IF(B3270="","","")</f>
        <v/>
      </c>
      <c r="I3270" s="23" t="str">
        <f aca="false">IF(B3270="","","")</f>
        <v/>
      </c>
      <c r="J3270" s="23" t="str">
        <f aca="false">IF(B3270="","","touch_3; "&amp;IFERROR(INDEX(Clay_Offices!$A$2:$FZ$601,419,Sync!$C$10)&amp;"","")&amp;"; "&amp;IFERROR(INDEX(Clay_Offices!$A$2:$FZ$601,419,Sync!$C$9)&amp;"",""))</f>
        <v/>
      </c>
      <c r="K3270" s="32" t="s">
        <v>1365</v>
      </c>
    </row>
    <row r="3271" customFormat="false" ht="15" hidden="false" customHeight="false" outlineLevel="0" collapsed="false">
      <c r="A3271" s="23" t="str">
        <f aca="false">IF(B3271="","",B3271+(14*1000+420)/10000000)</f>
        <v/>
      </c>
      <c r="B3271" s="35" t="str">
        <f aca="false">IF(AND(IFERROR(N(INDEX(Clay_Offices!$A$2:$FZ$601,420,Sync!$C$13)),0)&gt;0,IFERROR(INDEX(Clay_Offices!$A$2:$FZ$601,420,Sync!$C$5)&amp;"","")&lt;&gt;"",OR(LEFT(IFERROR(INDEX(Clay_Offices!$A$2:$FZ$601,420,Sync!$C$5)&amp;"",""),6)&lt;&gt;"SAMPLE",Config!$B$19="Y")),IFERROR(N(INDEX(Clay_Offices!$A$2:$FZ$601,420,Sync!$C$13)),0),"")</f>
        <v/>
      </c>
      <c r="C3271" s="23" t="str">
        <f aca="false">IF(B3271="","","office")</f>
        <v/>
      </c>
      <c r="D3271" s="23" t="str">
        <f aca="false">IF(B3271="","",IFERROR(INDEX(Office_Log!$ED$2:$ED$201,MATCH(IFERROR(INDEX(Clay_Offices!$A$2:$FZ$601,420,Sync!$C$5)&amp;"",""),Office_Log!$A$2:$A$201,0))&amp;"",IFERROR(INDEX(Clay_Offices!$A$2:$FZ$601,420,Sync!$C$5)&amp;"","")&amp;""))</f>
        <v/>
      </c>
      <c r="E3271" s="23" t="str">
        <f aca="false">IF(B3271="","",IFERROR(INDEX(Clay_Offices!$A$2:$FZ$601,420,Sync!$C$6)&amp;"",""))</f>
        <v/>
      </c>
      <c r="F3271" s="23" t="str">
        <f aca="false">IF(B3271="","","outreach_sent")</f>
        <v/>
      </c>
      <c r="G3271" s="23" t="str">
        <f aca="false">IF(B3271="","","")</f>
        <v/>
      </c>
      <c r="H3271" s="23" t="str">
        <f aca="false">IF(B3271="","","")</f>
        <v/>
      </c>
      <c r="I3271" s="23" t="str">
        <f aca="false">IF(B3271="","","")</f>
        <v/>
      </c>
      <c r="J3271" s="23" t="str">
        <f aca="false">IF(B3271="","","touch_3; "&amp;IFERROR(INDEX(Clay_Offices!$A$2:$FZ$601,420,Sync!$C$10)&amp;"","")&amp;"; "&amp;IFERROR(INDEX(Clay_Offices!$A$2:$FZ$601,420,Sync!$C$9)&amp;"",""))</f>
        <v/>
      </c>
      <c r="K3271" s="32" t="s">
        <v>1365</v>
      </c>
    </row>
    <row r="3272" customFormat="false" ht="15" hidden="false" customHeight="false" outlineLevel="0" collapsed="false">
      <c r="A3272" s="23" t="str">
        <f aca="false">IF(B3272="","",B3272+(14*1000+421)/10000000)</f>
        <v/>
      </c>
      <c r="B3272" s="35" t="str">
        <f aca="false">IF(AND(IFERROR(N(INDEX(Clay_Offices!$A$2:$FZ$601,421,Sync!$C$13)),0)&gt;0,IFERROR(INDEX(Clay_Offices!$A$2:$FZ$601,421,Sync!$C$5)&amp;"","")&lt;&gt;"",OR(LEFT(IFERROR(INDEX(Clay_Offices!$A$2:$FZ$601,421,Sync!$C$5)&amp;"",""),6)&lt;&gt;"SAMPLE",Config!$B$19="Y")),IFERROR(N(INDEX(Clay_Offices!$A$2:$FZ$601,421,Sync!$C$13)),0),"")</f>
        <v/>
      </c>
      <c r="C3272" s="23" t="str">
        <f aca="false">IF(B3272="","","office")</f>
        <v/>
      </c>
      <c r="D3272" s="23" t="str">
        <f aca="false">IF(B3272="","",IFERROR(INDEX(Office_Log!$ED$2:$ED$201,MATCH(IFERROR(INDEX(Clay_Offices!$A$2:$FZ$601,421,Sync!$C$5)&amp;"",""),Office_Log!$A$2:$A$201,0))&amp;"",IFERROR(INDEX(Clay_Offices!$A$2:$FZ$601,421,Sync!$C$5)&amp;"","")&amp;""))</f>
        <v/>
      </c>
      <c r="E3272" s="23" t="str">
        <f aca="false">IF(B3272="","",IFERROR(INDEX(Clay_Offices!$A$2:$FZ$601,421,Sync!$C$6)&amp;"",""))</f>
        <v/>
      </c>
      <c r="F3272" s="23" t="str">
        <f aca="false">IF(B3272="","","outreach_sent")</f>
        <v/>
      </c>
      <c r="G3272" s="23" t="str">
        <f aca="false">IF(B3272="","","")</f>
        <v/>
      </c>
      <c r="H3272" s="23" t="str">
        <f aca="false">IF(B3272="","","")</f>
        <v/>
      </c>
      <c r="I3272" s="23" t="str">
        <f aca="false">IF(B3272="","","")</f>
        <v/>
      </c>
      <c r="J3272" s="23" t="str">
        <f aca="false">IF(B3272="","","touch_3; "&amp;IFERROR(INDEX(Clay_Offices!$A$2:$FZ$601,421,Sync!$C$10)&amp;"","")&amp;"; "&amp;IFERROR(INDEX(Clay_Offices!$A$2:$FZ$601,421,Sync!$C$9)&amp;"",""))</f>
        <v/>
      </c>
      <c r="K3272" s="32" t="s">
        <v>1365</v>
      </c>
    </row>
    <row r="3273" customFormat="false" ht="15" hidden="false" customHeight="false" outlineLevel="0" collapsed="false">
      <c r="A3273" s="23" t="str">
        <f aca="false">IF(B3273="","",B3273+(14*1000+422)/10000000)</f>
        <v/>
      </c>
      <c r="B3273" s="35" t="str">
        <f aca="false">IF(AND(IFERROR(N(INDEX(Clay_Offices!$A$2:$FZ$601,422,Sync!$C$13)),0)&gt;0,IFERROR(INDEX(Clay_Offices!$A$2:$FZ$601,422,Sync!$C$5)&amp;"","")&lt;&gt;"",OR(LEFT(IFERROR(INDEX(Clay_Offices!$A$2:$FZ$601,422,Sync!$C$5)&amp;"",""),6)&lt;&gt;"SAMPLE",Config!$B$19="Y")),IFERROR(N(INDEX(Clay_Offices!$A$2:$FZ$601,422,Sync!$C$13)),0),"")</f>
        <v/>
      </c>
      <c r="C3273" s="23" t="str">
        <f aca="false">IF(B3273="","","office")</f>
        <v/>
      </c>
      <c r="D3273" s="23" t="str">
        <f aca="false">IF(B3273="","",IFERROR(INDEX(Office_Log!$ED$2:$ED$201,MATCH(IFERROR(INDEX(Clay_Offices!$A$2:$FZ$601,422,Sync!$C$5)&amp;"",""),Office_Log!$A$2:$A$201,0))&amp;"",IFERROR(INDEX(Clay_Offices!$A$2:$FZ$601,422,Sync!$C$5)&amp;"","")&amp;""))</f>
        <v/>
      </c>
      <c r="E3273" s="23" t="str">
        <f aca="false">IF(B3273="","",IFERROR(INDEX(Clay_Offices!$A$2:$FZ$601,422,Sync!$C$6)&amp;"",""))</f>
        <v/>
      </c>
      <c r="F3273" s="23" t="str">
        <f aca="false">IF(B3273="","","outreach_sent")</f>
        <v/>
      </c>
      <c r="G3273" s="23" t="str">
        <f aca="false">IF(B3273="","","")</f>
        <v/>
      </c>
      <c r="H3273" s="23" t="str">
        <f aca="false">IF(B3273="","","")</f>
        <v/>
      </c>
      <c r="I3273" s="23" t="str">
        <f aca="false">IF(B3273="","","")</f>
        <v/>
      </c>
      <c r="J3273" s="23" t="str">
        <f aca="false">IF(B3273="","","touch_3; "&amp;IFERROR(INDEX(Clay_Offices!$A$2:$FZ$601,422,Sync!$C$10)&amp;"","")&amp;"; "&amp;IFERROR(INDEX(Clay_Offices!$A$2:$FZ$601,422,Sync!$C$9)&amp;"",""))</f>
        <v/>
      </c>
      <c r="K3273" s="32" t="s">
        <v>1365</v>
      </c>
    </row>
    <row r="3274" customFormat="false" ht="15" hidden="false" customHeight="false" outlineLevel="0" collapsed="false">
      <c r="A3274" s="23" t="str">
        <f aca="false">IF(B3274="","",B3274+(14*1000+423)/10000000)</f>
        <v/>
      </c>
      <c r="B3274" s="35" t="str">
        <f aca="false">IF(AND(IFERROR(N(INDEX(Clay_Offices!$A$2:$FZ$601,423,Sync!$C$13)),0)&gt;0,IFERROR(INDEX(Clay_Offices!$A$2:$FZ$601,423,Sync!$C$5)&amp;"","")&lt;&gt;"",OR(LEFT(IFERROR(INDEX(Clay_Offices!$A$2:$FZ$601,423,Sync!$C$5)&amp;"",""),6)&lt;&gt;"SAMPLE",Config!$B$19="Y")),IFERROR(N(INDEX(Clay_Offices!$A$2:$FZ$601,423,Sync!$C$13)),0),"")</f>
        <v/>
      </c>
      <c r="C3274" s="23" t="str">
        <f aca="false">IF(B3274="","","office")</f>
        <v/>
      </c>
      <c r="D3274" s="23" t="str">
        <f aca="false">IF(B3274="","",IFERROR(INDEX(Office_Log!$ED$2:$ED$201,MATCH(IFERROR(INDEX(Clay_Offices!$A$2:$FZ$601,423,Sync!$C$5)&amp;"",""),Office_Log!$A$2:$A$201,0))&amp;"",IFERROR(INDEX(Clay_Offices!$A$2:$FZ$601,423,Sync!$C$5)&amp;"","")&amp;""))</f>
        <v/>
      </c>
      <c r="E3274" s="23" t="str">
        <f aca="false">IF(B3274="","",IFERROR(INDEX(Clay_Offices!$A$2:$FZ$601,423,Sync!$C$6)&amp;"",""))</f>
        <v/>
      </c>
      <c r="F3274" s="23" t="str">
        <f aca="false">IF(B3274="","","outreach_sent")</f>
        <v/>
      </c>
      <c r="G3274" s="23" t="str">
        <f aca="false">IF(B3274="","","")</f>
        <v/>
      </c>
      <c r="H3274" s="23" t="str">
        <f aca="false">IF(B3274="","","")</f>
        <v/>
      </c>
      <c r="I3274" s="23" t="str">
        <f aca="false">IF(B3274="","","")</f>
        <v/>
      </c>
      <c r="J3274" s="23" t="str">
        <f aca="false">IF(B3274="","","touch_3; "&amp;IFERROR(INDEX(Clay_Offices!$A$2:$FZ$601,423,Sync!$C$10)&amp;"","")&amp;"; "&amp;IFERROR(INDEX(Clay_Offices!$A$2:$FZ$601,423,Sync!$C$9)&amp;"",""))</f>
        <v/>
      </c>
      <c r="K3274" s="32" t="s">
        <v>1365</v>
      </c>
    </row>
    <row r="3275" customFormat="false" ht="15" hidden="false" customHeight="false" outlineLevel="0" collapsed="false">
      <c r="A3275" s="23" t="str">
        <f aca="false">IF(B3275="","",B3275+(14*1000+424)/10000000)</f>
        <v/>
      </c>
      <c r="B3275" s="35" t="str">
        <f aca="false">IF(AND(IFERROR(N(INDEX(Clay_Offices!$A$2:$FZ$601,424,Sync!$C$13)),0)&gt;0,IFERROR(INDEX(Clay_Offices!$A$2:$FZ$601,424,Sync!$C$5)&amp;"","")&lt;&gt;"",OR(LEFT(IFERROR(INDEX(Clay_Offices!$A$2:$FZ$601,424,Sync!$C$5)&amp;"",""),6)&lt;&gt;"SAMPLE",Config!$B$19="Y")),IFERROR(N(INDEX(Clay_Offices!$A$2:$FZ$601,424,Sync!$C$13)),0),"")</f>
        <v/>
      </c>
      <c r="C3275" s="23" t="str">
        <f aca="false">IF(B3275="","","office")</f>
        <v/>
      </c>
      <c r="D3275" s="23" t="str">
        <f aca="false">IF(B3275="","",IFERROR(INDEX(Office_Log!$ED$2:$ED$201,MATCH(IFERROR(INDEX(Clay_Offices!$A$2:$FZ$601,424,Sync!$C$5)&amp;"",""),Office_Log!$A$2:$A$201,0))&amp;"",IFERROR(INDEX(Clay_Offices!$A$2:$FZ$601,424,Sync!$C$5)&amp;"","")&amp;""))</f>
        <v/>
      </c>
      <c r="E3275" s="23" t="str">
        <f aca="false">IF(B3275="","",IFERROR(INDEX(Clay_Offices!$A$2:$FZ$601,424,Sync!$C$6)&amp;"",""))</f>
        <v/>
      </c>
      <c r="F3275" s="23" t="str">
        <f aca="false">IF(B3275="","","outreach_sent")</f>
        <v/>
      </c>
      <c r="G3275" s="23" t="str">
        <f aca="false">IF(B3275="","","")</f>
        <v/>
      </c>
      <c r="H3275" s="23" t="str">
        <f aca="false">IF(B3275="","","")</f>
        <v/>
      </c>
      <c r="I3275" s="23" t="str">
        <f aca="false">IF(B3275="","","")</f>
        <v/>
      </c>
      <c r="J3275" s="23" t="str">
        <f aca="false">IF(B3275="","","touch_3; "&amp;IFERROR(INDEX(Clay_Offices!$A$2:$FZ$601,424,Sync!$C$10)&amp;"","")&amp;"; "&amp;IFERROR(INDEX(Clay_Offices!$A$2:$FZ$601,424,Sync!$C$9)&amp;"",""))</f>
        <v/>
      </c>
      <c r="K3275" s="32" t="s">
        <v>1365</v>
      </c>
    </row>
    <row r="3276" customFormat="false" ht="15" hidden="false" customHeight="false" outlineLevel="0" collapsed="false">
      <c r="A3276" s="23" t="str">
        <f aca="false">IF(B3276="","",B3276+(14*1000+425)/10000000)</f>
        <v/>
      </c>
      <c r="B3276" s="35" t="str">
        <f aca="false">IF(AND(IFERROR(N(INDEX(Clay_Offices!$A$2:$FZ$601,425,Sync!$C$13)),0)&gt;0,IFERROR(INDEX(Clay_Offices!$A$2:$FZ$601,425,Sync!$C$5)&amp;"","")&lt;&gt;"",OR(LEFT(IFERROR(INDEX(Clay_Offices!$A$2:$FZ$601,425,Sync!$C$5)&amp;"",""),6)&lt;&gt;"SAMPLE",Config!$B$19="Y")),IFERROR(N(INDEX(Clay_Offices!$A$2:$FZ$601,425,Sync!$C$13)),0),"")</f>
        <v/>
      </c>
      <c r="C3276" s="23" t="str">
        <f aca="false">IF(B3276="","","office")</f>
        <v/>
      </c>
      <c r="D3276" s="23" t="str">
        <f aca="false">IF(B3276="","",IFERROR(INDEX(Office_Log!$ED$2:$ED$201,MATCH(IFERROR(INDEX(Clay_Offices!$A$2:$FZ$601,425,Sync!$C$5)&amp;"",""),Office_Log!$A$2:$A$201,0))&amp;"",IFERROR(INDEX(Clay_Offices!$A$2:$FZ$601,425,Sync!$C$5)&amp;"","")&amp;""))</f>
        <v/>
      </c>
      <c r="E3276" s="23" t="str">
        <f aca="false">IF(B3276="","",IFERROR(INDEX(Clay_Offices!$A$2:$FZ$601,425,Sync!$C$6)&amp;"",""))</f>
        <v/>
      </c>
      <c r="F3276" s="23" t="str">
        <f aca="false">IF(B3276="","","outreach_sent")</f>
        <v/>
      </c>
      <c r="G3276" s="23" t="str">
        <f aca="false">IF(B3276="","","")</f>
        <v/>
      </c>
      <c r="H3276" s="23" t="str">
        <f aca="false">IF(B3276="","","")</f>
        <v/>
      </c>
      <c r="I3276" s="23" t="str">
        <f aca="false">IF(B3276="","","")</f>
        <v/>
      </c>
      <c r="J3276" s="23" t="str">
        <f aca="false">IF(B3276="","","touch_3; "&amp;IFERROR(INDEX(Clay_Offices!$A$2:$FZ$601,425,Sync!$C$10)&amp;"","")&amp;"; "&amp;IFERROR(INDEX(Clay_Offices!$A$2:$FZ$601,425,Sync!$C$9)&amp;"",""))</f>
        <v/>
      </c>
      <c r="K3276" s="32" t="s">
        <v>1365</v>
      </c>
    </row>
    <row r="3277" customFormat="false" ht="15" hidden="false" customHeight="false" outlineLevel="0" collapsed="false">
      <c r="A3277" s="23" t="str">
        <f aca="false">IF(B3277="","",B3277+(14*1000+426)/10000000)</f>
        <v/>
      </c>
      <c r="B3277" s="35" t="str">
        <f aca="false">IF(AND(IFERROR(N(INDEX(Clay_Offices!$A$2:$FZ$601,426,Sync!$C$13)),0)&gt;0,IFERROR(INDEX(Clay_Offices!$A$2:$FZ$601,426,Sync!$C$5)&amp;"","")&lt;&gt;"",OR(LEFT(IFERROR(INDEX(Clay_Offices!$A$2:$FZ$601,426,Sync!$C$5)&amp;"",""),6)&lt;&gt;"SAMPLE",Config!$B$19="Y")),IFERROR(N(INDEX(Clay_Offices!$A$2:$FZ$601,426,Sync!$C$13)),0),"")</f>
        <v/>
      </c>
      <c r="C3277" s="23" t="str">
        <f aca="false">IF(B3277="","","office")</f>
        <v/>
      </c>
      <c r="D3277" s="23" t="str">
        <f aca="false">IF(B3277="","",IFERROR(INDEX(Office_Log!$ED$2:$ED$201,MATCH(IFERROR(INDEX(Clay_Offices!$A$2:$FZ$601,426,Sync!$C$5)&amp;"",""),Office_Log!$A$2:$A$201,0))&amp;"",IFERROR(INDEX(Clay_Offices!$A$2:$FZ$601,426,Sync!$C$5)&amp;"","")&amp;""))</f>
        <v/>
      </c>
      <c r="E3277" s="23" t="str">
        <f aca="false">IF(B3277="","",IFERROR(INDEX(Clay_Offices!$A$2:$FZ$601,426,Sync!$C$6)&amp;"",""))</f>
        <v/>
      </c>
      <c r="F3277" s="23" t="str">
        <f aca="false">IF(B3277="","","outreach_sent")</f>
        <v/>
      </c>
      <c r="G3277" s="23" t="str">
        <f aca="false">IF(B3277="","","")</f>
        <v/>
      </c>
      <c r="H3277" s="23" t="str">
        <f aca="false">IF(B3277="","","")</f>
        <v/>
      </c>
      <c r="I3277" s="23" t="str">
        <f aca="false">IF(B3277="","","")</f>
        <v/>
      </c>
      <c r="J3277" s="23" t="str">
        <f aca="false">IF(B3277="","","touch_3; "&amp;IFERROR(INDEX(Clay_Offices!$A$2:$FZ$601,426,Sync!$C$10)&amp;"","")&amp;"; "&amp;IFERROR(INDEX(Clay_Offices!$A$2:$FZ$601,426,Sync!$C$9)&amp;"",""))</f>
        <v/>
      </c>
      <c r="K3277" s="32" t="s">
        <v>1365</v>
      </c>
    </row>
    <row r="3278" customFormat="false" ht="15" hidden="false" customHeight="false" outlineLevel="0" collapsed="false">
      <c r="A3278" s="23" t="str">
        <f aca="false">IF(B3278="","",B3278+(14*1000+427)/10000000)</f>
        <v/>
      </c>
      <c r="B3278" s="35" t="str">
        <f aca="false">IF(AND(IFERROR(N(INDEX(Clay_Offices!$A$2:$FZ$601,427,Sync!$C$13)),0)&gt;0,IFERROR(INDEX(Clay_Offices!$A$2:$FZ$601,427,Sync!$C$5)&amp;"","")&lt;&gt;"",OR(LEFT(IFERROR(INDEX(Clay_Offices!$A$2:$FZ$601,427,Sync!$C$5)&amp;"",""),6)&lt;&gt;"SAMPLE",Config!$B$19="Y")),IFERROR(N(INDEX(Clay_Offices!$A$2:$FZ$601,427,Sync!$C$13)),0),"")</f>
        <v/>
      </c>
      <c r="C3278" s="23" t="str">
        <f aca="false">IF(B3278="","","office")</f>
        <v/>
      </c>
      <c r="D3278" s="23" t="str">
        <f aca="false">IF(B3278="","",IFERROR(INDEX(Office_Log!$ED$2:$ED$201,MATCH(IFERROR(INDEX(Clay_Offices!$A$2:$FZ$601,427,Sync!$C$5)&amp;"",""),Office_Log!$A$2:$A$201,0))&amp;"",IFERROR(INDEX(Clay_Offices!$A$2:$FZ$601,427,Sync!$C$5)&amp;"","")&amp;""))</f>
        <v/>
      </c>
      <c r="E3278" s="23" t="str">
        <f aca="false">IF(B3278="","",IFERROR(INDEX(Clay_Offices!$A$2:$FZ$601,427,Sync!$C$6)&amp;"",""))</f>
        <v/>
      </c>
      <c r="F3278" s="23" t="str">
        <f aca="false">IF(B3278="","","outreach_sent")</f>
        <v/>
      </c>
      <c r="G3278" s="23" t="str">
        <f aca="false">IF(B3278="","","")</f>
        <v/>
      </c>
      <c r="H3278" s="23" t="str">
        <f aca="false">IF(B3278="","","")</f>
        <v/>
      </c>
      <c r="I3278" s="23" t="str">
        <f aca="false">IF(B3278="","","")</f>
        <v/>
      </c>
      <c r="J3278" s="23" t="str">
        <f aca="false">IF(B3278="","","touch_3; "&amp;IFERROR(INDEX(Clay_Offices!$A$2:$FZ$601,427,Sync!$C$10)&amp;"","")&amp;"; "&amp;IFERROR(INDEX(Clay_Offices!$A$2:$FZ$601,427,Sync!$C$9)&amp;"",""))</f>
        <v/>
      </c>
      <c r="K3278" s="32" t="s">
        <v>1365</v>
      </c>
    </row>
    <row r="3279" customFormat="false" ht="15" hidden="false" customHeight="false" outlineLevel="0" collapsed="false">
      <c r="A3279" s="23" t="str">
        <f aca="false">IF(B3279="","",B3279+(14*1000+428)/10000000)</f>
        <v/>
      </c>
      <c r="B3279" s="35" t="str">
        <f aca="false">IF(AND(IFERROR(N(INDEX(Clay_Offices!$A$2:$FZ$601,428,Sync!$C$13)),0)&gt;0,IFERROR(INDEX(Clay_Offices!$A$2:$FZ$601,428,Sync!$C$5)&amp;"","")&lt;&gt;"",OR(LEFT(IFERROR(INDEX(Clay_Offices!$A$2:$FZ$601,428,Sync!$C$5)&amp;"",""),6)&lt;&gt;"SAMPLE",Config!$B$19="Y")),IFERROR(N(INDEX(Clay_Offices!$A$2:$FZ$601,428,Sync!$C$13)),0),"")</f>
        <v/>
      </c>
      <c r="C3279" s="23" t="str">
        <f aca="false">IF(B3279="","","office")</f>
        <v/>
      </c>
      <c r="D3279" s="23" t="str">
        <f aca="false">IF(B3279="","",IFERROR(INDEX(Office_Log!$ED$2:$ED$201,MATCH(IFERROR(INDEX(Clay_Offices!$A$2:$FZ$601,428,Sync!$C$5)&amp;"",""),Office_Log!$A$2:$A$201,0))&amp;"",IFERROR(INDEX(Clay_Offices!$A$2:$FZ$601,428,Sync!$C$5)&amp;"","")&amp;""))</f>
        <v/>
      </c>
      <c r="E3279" s="23" t="str">
        <f aca="false">IF(B3279="","",IFERROR(INDEX(Clay_Offices!$A$2:$FZ$601,428,Sync!$C$6)&amp;"",""))</f>
        <v/>
      </c>
      <c r="F3279" s="23" t="str">
        <f aca="false">IF(B3279="","","outreach_sent")</f>
        <v/>
      </c>
      <c r="G3279" s="23" t="str">
        <f aca="false">IF(B3279="","","")</f>
        <v/>
      </c>
      <c r="H3279" s="23" t="str">
        <f aca="false">IF(B3279="","","")</f>
        <v/>
      </c>
      <c r="I3279" s="23" t="str">
        <f aca="false">IF(B3279="","","")</f>
        <v/>
      </c>
      <c r="J3279" s="23" t="str">
        <f aca="false">IF(B3279="","","touch_3; "&amp;IFERROR(INDEX(Clay_Offices!$A$2:$FZ$601,428,Sync!$C$10)&amp;"","")&amp;"; "&amp;IFERROR(INDEX(Clay_Offices!$A$2:$FZ$601,428,Sync!$C$9)&amp;"",""))</f>
        <v/>
      </c>
      <c r="K3279" s="32" t="s">
        <v>1365</v>
      </c>
    </row>
    <row r="3280" customFormat="false" ht="15" hidden="false" customHeight="false" outlineLevel="0" collapsed="false">
      <c r="A3280" s="23" t="str">
        <f aca="false">IF(B3280="","",B3280+(14*1000+429)/10000000)</f>
        <v/>
      </c>
      <c r="B3280" s="35" t="str">
        <f aca="false">IF(AND(IFERROR(N(INDEX(Clay_Offices!$A$2:$FZ$601,429,Sync!$C$13)),0)&gt;0,IFERROR(INDEX(Clay_Offices!$A$2:$FZ$601,429,Sync!$C$5)&amp;"","")&lt;&gt;"",OR(LEFT(IFERROR(INDEX(Clay_Offices!$A$2:$FZ$601,429,Sync!$C$5)&amp;"",""),6)&lt;&gt;"SAMPLE",Config!$B$19="Y")),IFERROR(N(INDEX(Clay_Offices!$A$2:$FZ$601,429,Sync!$C$13)),0),"")</f>
        <v/>
      </c>
      <c r="C3280" s="23" t="str">
        <f aca="false">IF(B3280="","","office")</f>
        <v/>
      </c>
      <c r="D3280" s="23" t="str">
        <f aca="false">IF(B3280="","",IFERROR(INDEX(Office_Log!$ED$2:$ED$201,MATCH(IFERROR(INDEX(Clay_Offices!$A$2:$FZ$601,429,Sync!$C$5)&amp;"",""),Office_Log!$A$2:$A$201,0))&amp;"",IFERROR(INDEX(Clay_Offices!$A$2:$FZ$601,429,Sync!$C$5)&amp;"","")&amp;""))</f>
        <v/>
      </c>
      <c r="E3280" s="23" t="str">
        <f aca="false">IF(B3280="","",IFERROR(INDEX(Clay_Offices!$A$2:$FZ$601,429,Sync!$C$6)&amp;"",""))</f>
        <v/>
      </c>
      <c r="F3280" s="23" t="str">
        <f aca="false">IF(B3280="","","outreach_sent")</f>
        <v/>
      </c>
      <c r="G3280" s="23" t="str">
        <f aca="false">IF(B3280="","","")</f>
        <v/>
      </c>
      <c r="H3280" s="23" t="str">
        <f aca="false">IF(B3280="","","")</f>
        <v/>
      </c>
      <c r="I3280" s="23" t="str">
        <f aca="false">IF(B3280="","","")</f>
        <v/>
      </c>
      <c r="J3280" s="23" t="str">
        <f aca="false">IF(B3280="","","touch_3; "&amp;IFERROR(INDEX(Clay_Offices!$A$2:$FZ$601,429,Sync!$C$10)&amp;"","")&amp;"; "&amp;IFERROR(INDEX(Clay_Offices!$A$2:$FZ$601,429,Sync!$C$9)&amp;"",""))</f>
        <v/>
      </c>
      <c r="K3280" s="32" t="s">
        <v>1365</v>
      </c>
    </row>
    <row r="3281" customFormat="false" ht="15" hidden="false" customHeight="false" outlineLevel="0" collapsed="false">
      <c r="A3281" s="23" t="str">
        <f aca="false">IF(B3281="","",B3281+(14*1000+430)/10000000)</f>
        <v/>
      </c>
      <c r="B3281" s="35" t="str">
        <f aca="false">IF(AND(IFERROR(N(INDEX(Clay_Offices!$A$2:$FZ$601,430,Sync!$C$13)),0)&gt;0,IFERROR(INDEX(Clay_Offices!$A$2:$FZ$601,430,Sync!$C$5)&amp;"","")&lt;&gt;"",OR(LEFT(IFERROR(INDEX(Clay_Offices!$A$2:$FZ$601,430,Sync!$C$5)&amp;"",""),6)&lt;&gt;"SAMPLE",Config!$B$19="Y")),IFERROR(N(INDEX(Clay_Offices!$A$2:$FZ$601,430,Sync!$C$13)),0),"")</f>
        <v/>
      </c>
      <c r="C3281" s="23" t="str">
        <f aca="false">IF(B3281="","","office")</f>
        <v/>
      </c>
      <c r="D3281" s="23" t="str">
        <f aca="false">IF(B3281="","",IFERROR(INDEX(Office_Log!$ED$2:$ED$201,MATCH(IFERROR(INDEX(Clay_Offices!$A$2:$FZ$601,430,Sync!$C$5)&amp;"",""),Office_Log!$A$2:$A$201,0))&amp;"",IFERROR(INDEX(Clay_Offices!$A$2:$FZ$601,430,Sync!$C$5)&amp;"","")&amp;""))</f>
        <v/>
      </c>
      <c r="E3281" s="23" t="str">
        <f aca="false">IF(B3281="","",IFERROR(INDEX(Clay_Offices!$A$2:$FZ$601,430,Sync!$C$6)&amp;"",""))</f>
        <v/>
      </c>
      <c r="F3281" s="23" t="str">
        <f aca="false">IF(B3281="","","outreach_sent")</f>
        <v/>
      </c>
      <c r="G3281" s="23" t="str">
        <f aca="false">IF(B3281="","","")</f>
        <v/>
      </c>
      <c r="H3281" s="23" t="str">
        <f aca="false">IF(B3281="","","")</f>
        <v/>
      </c>
      <c r="I3281" s="23" t="str">
        <f aca="false">IF(B3281="","","")</f>
        <v/>
      </c>
      <c r="J3281" s="23" t="str">
        <f aca="false">IF(B3281="","","touch_3; "&amp;IFERROR(INDEX(Clay_Offices!$A$2:$FZ$601,430,Sync!$C$10)&amp;"","")&amp;"; "&amp;IFERROR(INDEX(Clay_Offices!$A$2:$FZ$601,430,Sync!$C$9)&amp;"",""))</f>
        <v/>
      </c>
      <c r="K3281" s="32" t="s">
        <v>1365</v>
      </c>
    </row>
    <row r="3282" customFormat="false" ht="15" hidden="false" customHeight="false" outlineLevel="0" collapsed="false">
      <c r="A3282" s="23" t="str">
        <f aca="false">IF(B3282="","",B3282+(14*1000+431)/10000000)</f>
        <v/>
      </c>
      <c r="B3282" s="35" t="str">
        <f aca="false">IF(AND(IFERROR(N(INDEX(Clay_Offices!$A$2:$FZ$601,431,Sync!$C$13)),0)&gt;0,IFERROR(INDEX(Clay_Offices!$A$2:$FZ$601,431,Sync!$C$5)&amp;"","")&lt;&gt;"",OR(LEFT(IFERROR(INDEX(Clay_Offices!$A$2:$FZ$601,431,Sync!$C$5)&amp;"",""),6)&lt;&gt;"SAMPLE",Config!$B$19="Y")),IFERROR(N(INDEX(Clay_Offices!$A$2:$FZ$601,431,Sync!$C$13)),0),"")</f>
        <v/>
      </c>
      <c r="C3282" s="23" t="str">
        <f aca="false">IF(B3282="","","office")</f>
        <v/>
      </c>
      <c r="D3282" s="23" t="str">
        <f aca="false">IF(B3282="","",IFERROR(INDEX(Office_Log!$ED$2:$ED$201,MATCH(IFERROR(INDEX(Clay_Offices!$A$2:$FZ$601,431,Sync!$C$5)&amp;"",""),Office_Log!$A$2:$A$201,0))&amp;"",IFERROR(INDEX(Clay_Offices!$A$2:$FZ$601,431,Sync!$C$5)&amp;"","")&amp;""))</f>
        <v/>
      </c>
      <c r="E3282" s="23" t="str">
        <f aca="false">IF(B3282="","",IFERROR(INDEX(Clay_Offices!$A$2:$FZ$601,431,Sync!$C$6)&amp;"",""))</f>
        <v/>
      </c>
      <c r="F3282" s="23" t="str">
        <f aca="false">IF(B3282="","","outreach_sent")</f>
        <v/>
      </c>
      <c r="G3282" s="23" t="str">
        <f aca="false">IF(B3282="","","")</f>
        <v/>
      </c>
      <c r="H3282" s="23" t="str">
        <f aca="false">IF(B3282="","","")</f>
        <v/>
      </c>
      <c r="I3282" s="23" t="str">
        <f aca="false">IF(B3282="","","")</f>
        <v/>
      </c>
      <c r="J3282" s="23" t="str">
        <f aca="false">IF(B3282="","","touch_3; "&amp;IFERROR(INDEX(Clay_Offices!$A$2:$FZ$601,431,Sync!$C$10)&amp;"","")&amp;"; "&amp;IFERROR(INDEX(Clay_Offices!$A$2:$FZ$601,431,Sync!$C$9)&amp;"",""))</f>
        <v/>
      </c>
      <c r="K3282" s="32" t="s">
        <v>1365</v>
      </c>
    </row>
    <row r="3283" customFormat="false" ht="15" hidden="false" customHeight="false" outlineLevel="0" collapsed="false">
      <c r="A3283" s="23" t="str">
        <f aca="false">IF(B3283="","",B3283+(14*1000+432)/10000000)</f>
        <v/>
      </c>
      <c r="B3283" s="35" t="str">
        <f aca="false">IF(AND(IFERROR(N(INDEX(Clay_Offices!$A$2:$FZ$601,432,Sync!$C$13)),0)&gt;0,IFERROR(INDEX(Clay_Offices!$A$2:$FZ$601,432,Sync!$C$5)&amp;"","")&lt;&gt;"",OR(LEFT(IFERROR(INDEX(Clay_Offices!$A$2:$FZ$601,432,Sync!$C$5)&amp;"",""),6)&lt;&gt;"SAMPLE",Config!$B$19="Y")),IFERROR(N(INDEX(Clay_Offices!$A$2:$FZ$601,432,Sync!$C$13)),0),"")</f>
        <v/>
      </c>
      <c r="C3283" s="23" t="str">
        <f aca="false">IF(B3283="","","office")</f>
        <v/>
      </c>
      <c r="D3283" s="23" t="str">
        <f aca="false">IF(B3283="","",IFERROR(INDEX(Office_Log!$ED$2:$ED$201,MATCH(IFERROR(INDEX(Clay_Offices!$A$2:$FZ$601,432,Sync!$C$5)&amp;"",""),Office_Log!$A$2:$A$201,0))&amp;"",IFERROR(INDEX(Clay_Offices!$A$2:$FZ$601,432,Sync!$C$5)&amp;"","")&amp;""))</f>
        <v/>
      </c>
      <c r="E3283" s="23" t="str">
        <f aca="false">IF(B3283="","",IFERROR(INDEX(Clay_Offices!$A$2:$FZ$601,432,Sync!$C$6)&amp;"",""))</f>
        <v/>
      </c>
      <c r="F3283" s="23" t="str">
        <f aca="false">IF(B3283="","","outreach_sent")</f>
        <v/>
      </c>
      <c r="G3283" s="23" t="str">
        <f aca="false">IF(B3283="","","")</f>
        <v/>
      </c>
      <c r="H3283" s="23" t="str">
        <f aca="false">IF(B3283="","","")</f>
        <v/>
      </c>
      <c r="I3283" s="23" t="str">
        <f aca="false">IF(B3283="","","")</f>
        <v/>
      </c>
      <c r="J3283" s="23" t="str">
        <f aca="false">IF(B3283="","","touch_3; "&amp;IFERROR(INDEX(Clay_Offices!$A$2:$FZ$601,432,Sync!$C$10)&amp;"","")&amp;"; "&amp;IFERROR(INDEX(Clay_Offices!$A$2:$FZ$601,432,Sync!$C$9)&amp;"",""))</f>
        <v/>
      </c>
      <c r="K3283" s="32" t="s">
        <v>1365</v>
      </c>
    </row>
    <row r="3284" customFormat="false" ht="15" hidden="false" customHeight="false" outlineLevel="0" collapsed="false">
      <c r="A3284" s="23" t="str">
        <f aca="false">IF(B3284="","",B3284+(14*1000+433)/10000000)</f>
        <v/>
      </c>
      <c r="B3284" s="35" t="str">
        <f aca="false">IF(AND(IFERROR(N(INDEX(Clay_Offices!$A$2:$FZ$601,433,Sync!$C$13)),0)&gt;0,IFERROR(INDEX(Clay_Offices!$A$2:$FZ$601,433,Sync!$C$5)&amp;"","")&lt;&gt;"",OR(LEFT(IFERROR(INDEX(Clay_Offices!$A$2:$FZ$601,433,Sync!$C$5)&amp;"",""),6)&lt;&gt;"SAMPLE",Config!$B$19="Y")),IFERROR(N(INDEX(Clay_Offices!$A$2:$FZ$601,433,Sync!$C$13)),0),"")</f>
        <v/>
      </c>
      <c r="C3284" s="23" t="str">
        <f aca="false">IF(B3284="","","office")</f>
        <v/>
      </c>
      <c r="D3284" s="23" t="str">
        <f aca="false">IF(B3284="","",IFERROR(INDEX(Office_Log!$ED$2:$ED$201,MATCH(IFERROR(INDEX(Clay_Offices!$A$2:$FZ$601,433,Sync!$C$5)&amp;"",""),Office_Log!$A$2:$A$201,0))&amp;"",IFERROR(INDEX(Clay_Offices!$A$2:$FZ$601,433,Sync!$C$5)&amp;"","")&amp;""))</f>
        <v/>
      </c>
      <c r="E3284" s="23" t="str">
        <f aca="false">IF(B3284="","",IFERROR(INDEX(Clay_Offices!$A$2:$FZ$601,433,Sync!$C$6)&amp;"",""))</f>
        <v/>
      </c>
      <c r="F3284" s="23" t="str">
        <f aca="false">IF(B3284="","","outreach_sent")</f>
        <v/>
      </c>
      <c r="G3284" s="23" t="str">
        <f aca="false">IF(B3284="","","")</f>
        <v/>
      </c>
      <c r="H3284" s="23" t="str">
        <f aca="false">IF(B3284="","","")</f>
        <v/>
      </c>
      <c r="I3284" s="23" t="str">
        <f aca="false">IF(B3284="","","")</f>
        <v/>
      </c>
      <c r="J3284" s="23" t="str">
        <f aca="false">IF(B3284="","","touch_3; "&amp;IFERROR(INDEX(Clay_Offices!$A$2:$FZ$601,433,Sync!$C$10)&amp;"","")&amp;"; "&amp;IFERROR(INDEX(Clay_Offices!$A$2:$FZ$601,433,Sync!$C$9)&amp;"",""))</f>
        <v/>
      </c>
      <c r="K3284" s="32" t="s">
        <v>1365</v>
      </c>
    </row>
    <row r="3285" customFormat="false" ht="15" hidden="false" customHeight="false" outlineLevel="0" collapsed="false">
      <c r="A3285" s="23" t="str">
        <f aca="false">IF(B3285="","",B3285+(14*1000+434)/10000000)</f>
        <v/>
      </c>
      <c r="B3285" s="35" t="str">
        <f aca="false">IF(AND(IFERROR(N(INDEX(Clay_Offices!$A$2:$FZ$601,434,Sync!$C$13)),0)&gt;0,IFERROR(INDEX(Clay_Offices!$A$2:$FZ$601,434,Sync!$C$5)&amp;"","")&lt;&gt;"",OR(LEFT(IFERROR(INDEX(Clay_Offices!$A$2:$FZ$601,434,Sync!$C$5)&amp;"",""),6)&lt;&gt;"SAMPLE",Config!$B$19="Y")),IFERROR(N(INDEX(Clay_Offices!$A$2:$FZ$601,434,Sync!$C$13)),0),"")</f>
        <v/>
      </c>
      <c r="C3285" s="23" t="str">
        <f aca="false">IF(B3285="","","office")</f>
        <v/>
      </c>
      <c r="D3285" s="23" t="str">
        <f aca="false">IF(B3285="","",IFERROR(INDEX(Office_Log!$ED$2:$ED$201,MATCH(IFERROR(INDEX(Clay_Offices!$A$2:$FZ$601,434,Sync!$C$5)&amp;"",""),Office_Log!$A$2:$A$201,0))&amp;"",IFERROR(INDEX(Clay_Offices!$A$2:$FZ$601,434,Sync!$C$5)&amp;"","")&amp;""))</f>
        <v/>
      </c>
      <c r="E3285" s="23" t="str">
        <f aca="false">IF(B3285="","",IFERROR(INDEX(Clay_Offices!$A$2:$FZ$601,434,Sync!$C$6)&amp;"",""))</f>
        <v/>
      </c>
      <c r="F3285" s="23" t="str">
        <f aca="false">IF(B3285="","","outreach_sent")</f>
        <v/>
      </c>
      <c r="G3285" s="23" t="str">
        <f aca="false">IF(B3285="","","")</f>
        <v/>
      </c>
      <c r="H3285" s="23" t="str">
        <f aca="false">IF(B3285="","","")</f>
        <v/>
      </c>
      <c r="I3285" s="23" t="str">
        <f aca="false">IF(B3285="","","")</f>
        <v/>
      </c>
      <c r="J3285" s="23" t="str">
        <f aca="false">IF(B3285="","","touch_3; "&amp;IFERROR(INDEX(Clay_Offices!$A$2:$FZ$601,434,Sync!$C$10)&amp;"","")&amp;"; "&amp;IFERROR(INDEX(Clay_Offices!$A$2:$FZ$601,434,Sync!$C$9)&amp;"",""))</f>
        <v/>
      </c>
      <c r="K3285" s="32" t="s">
        <v>1365</v>
      </c>
    </row>
    <row r="3286" customFormat="false" ht="15" hidden="false" customHeight="false" outlineLevel="0" collapsed="false">
      <c r="A3286" s="23" t="str">
        <f aca="false">IF(B3286="","",B3286+(14*1000+435)/10000000)</f>
        <v/>
      </c>
      <c r="B3286" s="35" t="str">
        <f aca="false">IF(AND(IFERROR(N(INDEX(Clay_Offices!$A$2:$FZ$601,435,Sync!$C$13)),0)&gt;0,IFERROR(INDEX(Clay_Offices!$A$2:$FZ$601,435,Sync!$C$5)&amp;"","")&lt;&gt;"",OR(LEFT(IFERROR(INDEX(Clay_Offices!$A$2:$FZ$601,435,Sync!$C$5)&amp;"",""),6)&lt;&gt;"SAMPLE",Config!$B$19="Y")),IFERROR(N(INDEX(Clay_Offices!$A$2:$FZ$601,435,Sync!$C$13)),0),"")</f>
        <v/>
      </c>
      <c r="C3286" s="23" t="str">
        <f aca="false">IF(B3286="","","office")</f>
        <v/>
      </c>
      <c r="D3286" s="23" t="str">
        <f aca="false">IF(B3286="","",IFERROR(INDEX(Office_Log!$ED$2:$ED$201,MATCH(IFERROR(INDEX(Clay_Offices!$A$2:$FZ$601,435,Sync!$C$5)&amp;"",""),Office_Log!$A$2:$A$201,0))&amp;"",IFERROR(INDEX(Clay_Offices!$A$2:$FZ$601,435,Sync!$C$5)&amp;"","")&amp;""))</f>
        <v/>
      </c>
      <c r="E3286" s="23" t="str">
        <f aca="false">IF(B3286="","",IFERROR(INDEX(Clay_Offices!$A$2:$FZ$601,435,Sync!$C$6)&amp;"",""))</f>
        <v/>
      </c>
      <c r="F3286" s="23" t="str">
        <f aca="false">IF(B3286="","","outreach_sent")</f>
        <v/>
      </c>
      <c r="G3286" s="23" t="str">
        <f aca="false">IF(B3286="","","")</f>
        <v/>
      </c>
      <c r="H3286" s="23" t="str">
        <f aca="false">IF(B3286="","","")</f>
        <v/>
      </c>
      <c r="I3286" s="23" t="str">
        <f aca="false">IF(B3286="","","")</f>
        <v/>
      </c>
      <c r="J3286" s="23" t="str">
        <f aca="false">IF(B3286="","","touch_3; "&amp;IFERROR(INDEX(Clay_Offices!$A$2:$FZ$601,435,Sync!$C$10)&amp;"","")&amp;"; "&amp;IFERROR(INDEX(Clay_Offices!$A$2:$FZ$601,435,Sync!$C$9)&amp;"",""))</f>
        <v/>
      </c>
      <c r="K3286" s="32" t="s">
        <v>1365</v>
      </c>
    </row>
    <row r="3287" customFormat="false" ht="15" hidden="false" customHeight="false" outlineLevel="0" collapsed="false">
      <c r="A3287" s="23" t="str">
        <f aca="false">IF(B3287="","",B3287+(14*1000+436)/10000000)</f>
        <v/>
      </c>
      <c r="B3287" s="35" t="str">
        <f aca="false">IF(AND(IFERROR(N(INDEX(Clay_Offices!$A$2:$FZ$601,436,Sync!$C$13)),0)&gt;0,IFERROR(INDEX(Clay_Offices!$A$2:$FZ$601,436,Sync!$C$5)&amp;"","")&lt;&gt;"",OR(LEFT(IFERROR(INDEX(Clay_Offices!$A$2:$FZ$601,436,Sync!$C$5)&amp;"",""),6)&lt;&gt;"SAMPLE",Config!$B$19="Y")),IFERROR(N(INDEX(Clay_Offices!$A$2:$FZ$601,436,Sync!$C$13)),0),"")</f>
        <v/>
      </c>
      <c r="C3287" s="23" t="str">
        <f aca="false">IF(B3287="","","office")</f>
        <v/>
      </c>
      <c r="D3287" s="23" t="str">
        <f aca="false">IF(B3287="","",IFERROR(INDEX(Office_Log!$ED$2:$ED$201,MATCH(IFERROR(INDEX(Clay_Offices!$A$2:$FZ$601,436,Sync!$C$5)&amp;"",""),Office_Log!$A$2:$A$201,0))&amp;"",IFERROR(INDEX(Clay_Offices!$A$2:$FZ$601,436,Sync!$C$5)&amp;"","")&amp;""))</f>
        <v/>
      </c>
      <c r="E3287" s="23" t="str">
        <f aca="false">IF(B3287="","",IFERROR(INDEX(Clay_Offices!$A$2:$FZ$601,436,Sync!$C$6)&amp;"",""))</f>
        <v/>
      </c>
      <c r="F3287" s="23" t="str">
        <f aca="false">IF(B3287="","","outreach_sent")</f>
        <v/>
      </c>
      <c r="G3287" s="23" t="str">
        <f aca="false">IF(B3287="","","")</f>
        <v/>
      </c>
      <c r="H3287" s="23" t="str">
        <f aca="false">IF(B3287="","","")</f>
        <v/>
      </c>
      <c r="I3287" s="23" t="str">
        <f aca="false">IF(B3287="","","")</f>
        <v/>
      </c>
      <c r="J3287" s="23" t="str">
        <f aca="false">IF(B3287="","","touch_3; "&amp;IFERROR(INDEX(Clay_Offices!$A$2:$FZ$601,436,Sync!$C$10)&amp;"","")&amp;"; "&amp;IFERROR(INDEX(Clay_Offices!$A$2:$FZ$601,436,Sync!$C$9)&amp;"",""))</f>
        <v/>
      </c>
      <c r="K3287" s="32" t="s">
        <v>1365</v>
      </c>
    </row>
    <row r="3288" customFormat="false" ht="15" hidden="false" customHeight="false" outlineLevel="0" collapsed="false">
      <c r="A3288" s="23" t="str">
        <f aca="false">IF(B3288="","",B3288+(14*1000+437)/10000000)</f>
        <v/>
      </c>
      <c r="B3288" s="35" t="str">
        <f aca="false">IF(AND(IFERROR(N(INDEX(Clay_Offices!$A$2:$FZ$601,437,Sync!$C$13)),0)&gt;0,IFERROR(INDEX(Clay_Offices!$A$2:$FZ$601,437,Sync!$C$5)&amp;"","")&lt;&gt;"",OR(LEFT(IFERROR(INDEX(Clay_Offices!$A$2:$FZ$601,437,Sync!$C$5)&amp;"",""),6)&lt;&gt;"SAMPLE",Config!$B$19="Y")),IFERROR(N(INDEX(Clay_Offices!$A$2:$FZ$601,437,Sync!$C$13)),0),"")</f>
        <v/>
      </c>
      <c r="C3288" s="23" t="str">
        <f aca="false">IF(B3288="","","office")</f>
        <v/>
      </c>
      <c r="D3288" s="23" t="str">
        <f aca="false">IF(B3288="","",IFERROR(INDEX(Office_Log!$ED$2:$ED$201,MATCH(IFERROR(INDEX(Clay_Offices!$A$2:$FZ$601,437,Sync!$C$5)&amp;"",""),Office_Log!$A$2:$A$201,0))&amp;"",IFERROR(INDEX(Clay_Offices!$A$2:$FZ$601,437,Sync!$C$5)&amp;"","")&amp;""))</f>
        <v/>
      </c>
      <c r="E3288" s="23" t="str">
        <f aca="false">IF(B3288="","",IFERROR(INDEX(Clay_Offices!$A$2:$FZ$601,437,Sync!$C$6)&amp;"",""))</f>
        <v/>
      </c>
      <c r="F3288" s="23" t="str">
        <f aca="false">IF(B3288="","","outreach_sent")</f>
        <v/>
      </c>
      <c r="G3288" s="23" t="str">
        <f aca="false">IF(B3288="","","")</f>
        <v/>
      </c>
      <c r="H3288" s="23" t="str">
        <f aca="false">IF(B3288="","","")</f>
        <v/>
      </c>
      <c r="I3288" s="23" t="str">
        <f aca="false">IF(B3288="","","")</f>
        <v/>
      </c>
      <c r="J3288" s="23" t="str">
        <f aca="false">IF(B3288="","","touch_3; "&amp;IFERROR(INDEX(Clay_Offices!$A$2:$FZ$601,437,Sync!$C$10)&amp;"","")&amp;"; "&amp;IFERROR(INDEX(Clay_Offices!$A$2:$FZ$601,437,Sync!$C$9)&amp;"",""))</f>
        <v/>
      </c>
      <c r="K3288" s="32" t="s">
        <v>1365</v>
      </c>
    </row>
    <row r="3289" customFormat="false" ht="15" hidden="false" customHeight="false" outlineLevel="0" collapsed="false">
      <c r="A3289" s="23" t="str">
        <f aca="false">IF(B3289="","",B3289+(14*1000+438)/10000000)</f>
        <v/>
      </c>
      <c r="B3289" s="35" t="str">
        <f aca="false">IF(AND(IFERROR(N(INDEX(Clay_Offices!$A$2:$FZ$601,438,Sync!$C$13)),0)&gt;0,IFERROR(INDEX(Clay_Offices!$A$2:$FZ$601,438,Sync!$C$5)&amp;"","")&lt;&gt;"",OR(LEFT(IFERROR(INDEX(Clay_Offices!$A$2:$FZ$601,438,Sync!$C$5)&amp;"",""),6)&lt;&gt;"SAMPLE",Config!$B$19="Y")),IFERROR(N(INDEX(Clay_Offices!$A$2:$FZ$601,438,Sync!$C$13)),0),"")</f>
        <v/>
      </c>
      <c r="C3289" s="23" t="str">
        <f aca="false">IF(B3289="","","office")</f>
        <v/>
      </c>
      <c r="D3289" s="23" t="str">
        <f aca="false">IF(B3289="","",IFERROR(INDEX(Office_Log!$ED$2:$ED$201,MATCH(IFERROR(INDEX(Clay_Offices!$A$2:$FZ$601,438,Sync!$C$5)&amp;"",""),Office_Log!$A$2:$A$201,0))&amp;"",IFERROR(INDEX(Clay_Offices!$A$2:$FZ$601,438,Sync!$C$5)&amp;"","")&amp;""))</f>
        <v/>
      </c>
      <c r="E3289" s="23" t="str">
        <f aca="false">IF(B3289="","",IFERROR(INDEX(Clay_Offices!$A$2:$FZ$601,438,Sync!$C$6)&amp;"",""))</f>
        <v/>
      </c>
      <c r="F3289" s="23" t="str">
        <f aca="false">IF(B3289="","","outreach_sent")</f>
        <v/>
      </c>
      <c r="G3289" s="23" t="str">
        <f aca="false">IF(B3289="","","")</f>
        <v/>
      </c>
      <c r="H3289" s="23" t="str">
        <f aca="false">IF(B3289="","","")</f>
        <v/>
      </c>
      <c r="I3289" s="23" t="str">
        <f aca="false">IF(B3289="","","")</f>
        <v/>
      </c>
      <c r="J3289" s="23" t="str">
        <f aca="false">IF(B3289="","","touch_3; "&amp;IFERROR(INDEX(Clay_Offices!$A$2:$FZ$601,438,Sync!$C$10)&amp;"","")&amp;"; "&amp;IFERROR(INDEX(Clay_Offices!$A$2:$FZ$601,438,Sync!$C$9)&amp;"",""))</f>
        <v/>
      </c>
      <c r="K3289" s="32" t="s">
        <v>1365</v>
      </c>
    </row>
    <row r="3290" customFormat="false" ht="15" hidden="false" customHeight="false" outlineLevel="0" collapsed="false">
      <c r="A3290" s="23" t="str">
        <f aca="false">IF(B3290="","",B3290+(14*1000+439)/10000000)</f>
        <v/>
      </c>
      <c r="B3290" s="35" t="str">
        <f aca="false">IF(AND(IFERROR(N(INDEX(Clay_Offices!$A$2:$FZ$601,439,Sync!$C$13)),0)&gt;0,IFERROR(INDEX(Clay_Offices!$A$2:$FZ$601,439,Sync!$C$5)&amp;"","")&lt;&gt;"",OR(LEFT(IFERROR(INDEX(Clay_Offices!$A$2:$FZ$601,439,Sync!$C$5)&amp;"",""),6)&lt;&gt;"SAMPLE",Config!$B$19="Y")),IFERROR(N(INDEX(Clay_Offices!$A$2:$FZ$601,439,Sync!$C$13)),0),"")</f>
        <v/>
      </c>
      <c r="C3290" s="23" t="str">
        <f aca="false">IF(B3290="","","office")</f>
        <v/>
      </c>
      <c r="D3290" s="23" t="str">
        <f aca="false">IF(B3290="","",IFERROR(INDEX(Office_Log!$ED$2:$ED$201,MATCH(IFERROR(INDEX(Clay_Offices!$A$2:$FZ$601,439,Sync!$C$5)&amp;"",""),Office_Log!$A$2:$A$201,0))&amp;"",IFERROR(INDEX(Clay_Offices!$A$2:$FZ$601,439,Sync!$C$5)&amp;"","")&amp;""))</f>
        <v/>
      </c>
      <c r="E3290" s="23" t="str">
        <f aca="false">IF(B3290="","",IFERROR(INDEX(Clay_Offices!$A$2:$FZ$601,439,Sync!$C$6)&amp;"",""))</f>
        <v/>
      </c>
      <c r="F3290" s="23" t="str">
        <f aca="false">IF(B3290="","","outreach_sent")</f>
        <v/>
      </c>
      <c r="G3290" s="23" t="str">
        <f aca="false">IF(B3290="","","")</f>
        <v/>
      </c>
      <c r="H3290" s="23" t="str">
        <f aca="false">IF(B3290="","","")</f>
        <v/>
      </c>
      <c r="I3290" s="23" t="str">
        <f aca="false">IF(B3290="","","")</f>
        <v/>
      </c>
      <c r="J3290" s="23" t="str">
        <f aca="false">IF(B3290="","","touch_3; "&amp;IFERROR(INDEX(Clay_Offices!$A$2:$FZ$601,439,Sync!$C$10)&amp;"","")&amp;"; "&amp;IFERROR(INDEX(Clay_Offices!$A$2:$FZ$601,439,Sync!$C$9)&amp;"",""))</f>
        <v/>
      </c>
      <c r="K3290" s="32" t="s">
        <v>1365</v>
      </c>
    </row>
    <row r="3291" customFormat="false" ht="15" hidden="false" customHeight="false" outlineLevel="0" collapsed="false">
      <c r="A3291" s="23" t="str">
        <f aca="false">IF(B3291="","",B3291+(14*1000+440)/10000000)</f>
        <v/>
      </c>
      <c r="B3291" s="35" t="str">
        <f aca="false">IF(AND(IFERROR(N(INDEX(Clay_Offices!$A$2:$FZ$601,440,Sync!$C$13)),0)&gt;0,IFERROR(INDEX(Clay_Offices!$A$2:$FZ$601,440,Sync!$C$5)&amp;"","")&lt;&gt;"",OR(LEFT(IFERROR(INDEX(Clay_Offices!$A$2:$FZ$601,440,Sync!$C$5)&amp;"",""),6)&lt;&gt;"SAMPLE",Config!$B$19="Y")),IFERROR(N(INDEX(Clay_Offices!$A$2:$FZ$601,440,Sync!$C$13)),0),"")</f>
        <v/>
      </c>
      <c r="C3291" s="23" t="str">
        <f aca="false">IF(B3291="","","office")</f>
        <v/>
      </c>
      <c r="D3291" s="23" t="str">
        <f aca="false">IF(B3291="","",IFERROR(INDEX(Office_Log!$ED$2:$ED$201,MATCH(IFERROR(INDEX(Clay_Offices!$A$2:$FZ$601,440,Sync!$C$5)&amp;"",""),Office_Log!$A$2:$A$201,0))&amp;"",IFERROR(INDEX(Clay_Offices!$A$2:$FZ$601,440,Sync!$C$5)&amp;"","")&amp;""))</f>
        <v/>
      </c>
      <c r="E3291" s="23" t="str">
        <f aca="false">IF(B3291="","",IFERROR(INDEX(Clay_Offices!$A$2:$FZ$601,440,Sync!$C$6)&amp;"",""))</f>
        <v/>
      </c>
      <c r="F3291" s="23" t="str">
        <f aca="false">IF(B3291="","","outreach_sent")</f>
        <v/>
      </c>
      <c r="G3291" s="23" t="str">
        <f aca="false">IF(B3291="","","")</f>
        <v/>
      </c>
      <c r="H3291" s="23" t="str">
        <f aca="false">IF(B3291="","","")</f>
        <v/>
      </c>
      <c r="I3291" s="23" t="str">
        <f aca="false">IF(B3291="","","")</f>
        <v/>
      </c>
      <c r="J3291" s="23" t="str">
        <f aca="false">IF(B3291="","","touch_3; "&amp;IFERROR(INDEX(Clay_Offices!$A$2:$FZ$601,440,Sync!$C$10)&amp;"","")&amp;"; "&amp;IFERROR(INDEX(Clay_Offices!$A$2:$FZ$601,440,Sync!$C$9)&amp;"",""))</f>
        <v/>
      </c>
      <c r="K3291" s="32" t="s">
        <v>1365</v>
      </c>
    </row>
    <row r="3292" customFormat="false" ht="15" hidden="false" customHeight="false" outlineLevel="0" collapsed="false">
      <c r="A3292" s="23" t="str">
        <f aca="false">IF(B3292="","",B3292+(14*1000+441)/10000000)</f>
        <v/>
      </c>
      <c r="B3292" s="35" t="str">
        <f aca="false">IF(AND(IFERROR(N(INDEX(Clay_Offices!$A$2:$FZ$601,441,Sync!$C$13)),0)&gt;0,IFERROR(INDEX(Clay_Offices!$A$2:$FZ$601,441,Sync!$C$5)&amp;"","")&lt;&gt;"",OR(LEFT(IFERROR(INDEX(Clay_Offices!$A$2:$FZ$601,441,Sync!$C$5)&amp;"",""),6)&lt;&gt;"SAMPLE",Config!$B$19="Y")),IFERROR(N(INDEX(Clay_Offices!$A$2:$FZ$601,441,Sync!$C$13)),0),"")</f>
        <v/>
      </c>
      <c r="C3292" s="23" t="str">
        <f aca="false">IF(B3292="","","office")</f>
        <v/>
      </c>
      <c r="D3292" s="23" t="str">
        <f aca="false">IF(B3292="","",IFERROR(INDEX(Office_Log!$ED$2:$ED$201,MATCH(IFERROR(INDEX(Clay_Offices!$A$2:$FZ$601,441,Sync!$C$5)&amp;"",""),Office_Log!$A$2:$A$201,0))&amp;"",IFERROR(INDEX(Clay_Offices!$A$2:$FZ$601,441,Sync!$C$5)&amp;"","")&amp;""))</f>
        <v/>
      </c>
      <c r="E3292" s="23" t="str">
        <f aca="false">IF(B3292="","",IFERROR(INDEX(Clay_Offices!$A$2:$FZ$601,441,Sync!$C$6)&amp;"",""))</f>
        <v/>
      </c>
      <c r="F3292" s="23" t="str">
        <f aca="false">IF(B3292="","","outreach_sent")</f>
        <v/>
      </c>
      <c r="G3292" s="23" t="str">
        <f aca="false">IF(B3292="","","")</f>
        <v/>
      </c>
      <c r="H3292" s="23" t="str">
        <f aca="false">IF(B3292="","","")</f>
        <v/>
      </c>
      <c r="I3292" s="23" t="str">
        <f aca="false">IF(B3292="","","")</f>
        <v/>
      </c>
      <c r="J3292" s="23" t="str">
        <f aca="false">IF(B3292="","","touch_3; "&amp;IFERROR(INDEX(Clay_Offices!$A$2:$FZ$601,441,Sync!$C$10)&amp;"","")&amp;"; "&amp;IFERROR(INDEX(Clay_Offices!$A$2:$FZ$601,441,Sync!$C$9)&amp;"",""))</f>
        <v/>
      </c>
      <c r="K3292" s="32" t="s">
        <v>1365</v>
      </c>
    </row>
    <row r="3293" customFormat="false" ht="15" hidden="false" customHeight="false" outlineLevel="0" collapsed="false">
      <c r="A3293" s="23" t="str">
        <f aca="false">IF(B3293="","",B3293+(14*1000+442)/10000000)</f>
        <v/>
      </c>
      <c r="B3293" s="35" t="str">
        <f aca="false">IF(AND(IFERROR(N(INDEX(Clay_Offices!$A$2:$FZ$601,442,Sync!$C$13)),0)&gt;0,IFERROR(INDEX(Clay_Offices!$A$2:$FZ$601,442,Sync!$C$5)&amp;"","")&lt;&gt;"",OR(LEFT(IFERROR(INDEX(Clay_Offices!$A$2:$FZ$601,442,Sync!$C$5)&amp;"",""),6)&lt;&gt;"SAMPLE",Config!$B$19="Y")),IFERROR(N(INDEX(Clay_Offices!$A$2:$FZ$601,442,Sync!$C$13)),0),"")</f>
        <v/>
      </c>
      <c r="C3293" s="23" t="str">
        <f aca="false">IF(B3293="","","office")</f>
        <v/>
      </c>
      <c r="D3293" s="23" t="str">
        <f aca="false">IF(B3293="","",IFERROR(INDEX(Office_Log!$ED$2:$ED$201,MATCH(IFERROR(INDEX(Clay_Offices!$A$2:$FZ$601,442,Sync!$C$5)&amp;"",""),Office_Log!$A$2:$A$201,0))&amp;"",IFERROR(INDEX(Clay_Offices!$A$2:$FZ$601,442,Sync!$C$5)&amp;"","")&amp;""))</f>
        <v/>
      </c>
      <c r="E3293" s="23" t="str">
        <f aca="false">IF(B3293="","",IFERROR(INDEX(Clay_Offices!$A$2:$FZ$601,442,Sync!$C$6)&amp;"",""))</f>
        <v/>
      </c>
      <c r="F3293" s="23" t="str">
        <f aca="false">IF(B3293="","","outreach_sent")</f>
        <v/>
      </c>
      <c r="G3293" s="23" t="str">
        <f aca="false">IF(B3293="","","")</f>
        <v/>
      </c>
      <c r="H3293" s="23" t="str">
        <f aca="false">IF(B3293="","","")</f>
        <v/>
      </c>
      <c r="I3293" s="23" t="str">
        <f aca="false">IF(B3293="","","")</f>
        <v/>
      </c>
      <c r="J3293" s="23" t="str">
        <f aca="false">IF(B3293="","","touch_3; "&amp;IFERROR(INDEX(Clay_Offices!$A$2:$FZ$601,442,Sync!$C$10)&amp;"","")&amp;"; "&amp;IFERROR(INDEX(Clay_Offices!$A$2:$FZ$601,442,Sync!$C$9)&amp;"",""))</f>
        <v/>
      </c>
      <c r="K3293" s="32" t="s">
        <v>1365</v>
      </c>
    </row>
    <row r="3294" customFormat="false" ht="15" hidden="false" customHeight="false" outlineLevel="0" collapsed="false">
      <c r="A3294" s="23" t="str">
        <f aca="false">IF(B3294="","",B3294+(14*1000+443)/10000000)</f>
        <v/>
      </c>
      <c r="B3294" s="35" t="str">
        <f aca="false">IF(AND(IFERROR(N(INDEX(Clay_Offices!$A$2:$FZ$601,443,Sync!$C$13)),0)&gt;0,IFERROR(INDEX(Clay_Offices!$A$2:$FZ$601,443,Sync!$C$5)&amp;"","")&lt;&gt;"",OR(LEFT(IFERROR(INDEX(Clay_Offices!$A$2:$FZ$601,443,Sync!$C$5)&amp;"",""),6)&lt;&gt;"SAMPLE",Config!$B$19="Y")),IFERROR(N(INDEX(Clay_Offices!$A$2:$FZ$601,443,Sync!$C$13)),0),"")</f>
        <v/>
      </c>
      <c r="C3294" s="23" t="str">
        <f aca="false">IF(B3294="","","office")</f>
        <v/>
      </c>
      <c r="D3294" s="23" t="str">
        <f aca="false">IF(B3294="","",IFERROR(INDEX(Office_Log!$ED$2:$ED$201,MATCH(IFERROR(INDEX(Clay_Offices!$A$2:$FZ$601,443,Sync!$C$5)&amp;"",""),Office_Log!$A$2:$A$201,0))&amp;"",IFERROR(INDEX(Clay_Offices!$A$2:$FZ$601,443,Sync!$C$5)&amp;"","")&amp;""))</f>
        <v/>
      </c>
      <c r="E3294" s="23" t="str">
        <f aca="false">IF(B3294="","",IFERROR(INDEX(Clay_Offices!$A$2:$FZ$601,443,Sync!$C$6)&amp;"",""))</f>
        <v/>
      </c>
      <c r="F3294" s="23" t="str">
        <f aca="false">IF(B3294="","","outreach_sent")</f>
        <v/>
      </c>
      <c r="G3294" s="23" t="str">
        <f aca="false">IF(B3294="","","")</f>
        <v/>
      </c>
      <c r="H3294" s="23" t="str">
        <f aca="false">IF(B3294="","","")</f>
        <v/>
      </c>
      <c r="I3294" s="23" t="str">
        <f aca="false">IF(B3294="","","")</f>
        <v/>
      </c>
      <c r="J3294" s="23" t="str">
        <f aca="false">IF(B3294="","","touch_3; "&amp;IFERROR(INDEX(Clay_Offices!$A$2:$FZ$601,443,Sync!$C$10)&amp;"","")&amp;"; "&amp;IFERROR(INDEX(Clay_Offices!$A$2:$FZ$601,443,Sync!$C$9)&amp;"",""))</f>
        <v/>
      </c>
      <c r="K3294" s="32" t="s">
        <v>1365</v>
      </c>
    </row>
    <row r="3295" customFormat="false" ht="15" hidden="false" customHeight="false" outlineLevel="0" collapsed="false">
      <c r="A3295" s="23" t="str">
        <f aca="false">IF(B3295="","",B3295+(14*1000+444)/10000000)</f>
        <v/>
      </c>
      <c r="B3295" s="35" t="str">
        <f aca="false">IF(AND(IFERROR(N(INDEX(Clay_Offices!$A$2:$FZ$601,444,Sync!$C$13)),0)&gt;0,IFERROR(INDEX(Clay_Offices!$A$2:$FZ$601,444,Sync!$C$5)&amp;"","")&lt;&gt;"",OR(LEFT(IFERROR(INDEX(Clay_Offices!$A$2:$FZ$601,444,Sync!$C$5)&amp;"",""),6)&lt;&gt;"SAMPLE",Config!$B$19="Y")),IFERROR(N(INDEX(Clay_Offices!$A$2:$FZ$601,444,Sync!$C$13)),0),"")</f>
        <v/>
      </c>
      <c r="C3295" s="23" t="str">
        <f aca="false">IF(B3295="","","office")</f>
        <v/>
      </c>
      <c r="D3295" s="23" t="str">
        <f aca="false">IF(B3295="","",IFERROR(INDEX(Office_Log!$ED$2:$ED$201,MATCH(IFERROR(INDEX(Clay_Offices!$A$2:$FZ$601,444,Sync!$C$5)&amp;"",""),Office_Log!$A$2:$A$201,0))&amp;"",IFERROR(INDEX(Clay_Offices!$A$2:$FZ$601,444,Sync!$C$5)&amp;"","")&amp;""))</f>
        <v/>
      </c>
      <c r="E3295" s="23" t="str">
        <f aca="false">IF(B3295="","",IFERROR(INDEX(Clay_Offices!$A$2:$FZ$601,444,Sync!$C$6)&amp;"",""))</f>
        <v/>
      </c>
      <c r="F3295" s="23" t="str">
        <f aca="false">IF(B3295="","","outreach_sent")</f>
        <v/>
      </c>
      <c r="G3295" s="23" t="str">
        <f aca="false">IF(B3295="","","")</f>
        <v/>
      </c>
      <c r="H3295" s="23" t="str">
        <f aca="false">IF(B3295="","","")</f>
        <v/>
      </c>
      <c r="I3295" s="23" t="str">
        <f aca="false">IF(B3295="","","")</f>
        <v/>
      </c>
      <c r="J3295" s="23" t="str">
        <f aca="false">IF(B3295="","","touch_3; "&amp;IFERROR(INDEX(Clay_Offices!$A$2:$FZ$601,444,Sync!$C$10)&amp;"","")&amp;"; "&amp;IFERROR(INDEX(Clay_Offices!$A$2:$FZ$601,444,Sync!$C$9)&amp;"",""))</f>
        <v/>
      </c>
      <c r="K3295" s="32" t="s">
        <v>1365</v>
      </c>
    </row>
    <row r="3296" customFormat="false" ht="15" hidden="false" customHeight="false" outlineLevel="0" collapsed="false">
      <c r="A3296" s="23" t="str">
        <f aca="false">IF(B3296="","",B3296+(14*1000+445)/10000000)</f>
        <v/>
      </c>
      <c r="B3296" s="35" t="str">
        <f aca="false">IF(AND(IFERROR(N(INDEX(Clay_Offices!$A$2:$FZ$601,445,Sync!$C$13)),0)&gt;0,IFERROR(INDEX(Clay_Offices!$A$2:$FZ$601,445,Sync!$C$5)&amp;"","")&lt;&gt;"",OR(LEFT(IFERROR(INDEX(Clay_Offices!$A$2:$FZ$601,445,Sync!$C$5)&amp;"",""),6)&lt;&gt;"SAMPLE",Config!$B$19="Y")),IFERROR(N(INDEX(Clay_Offices!$A$2:$FZ$601,445,Sync!$C$13)),0),"")</f>
        <v/>
      </c>
      <c r="C3296" s="23" t="str">
        <f aca="false">IF(B3296="","","office")</f>
        <v/>
      </c>
      <c r="D3296" s="23" t="str">
        <f aca="false">IF(B3296="","",IFERROR(INDEX(Office_Log!$ED$2:$ED$201,MATCH(IFERROR(INDEX(Clay_Offices!$A$2:$FZ$601,445,Sync!$C$5)&amp;"",""),Office_Log!$A$2:$A$201,0))&amp;"",IFERROR(INDEX(Clay_Offices!$A$2:$FZ$601,445,Sync!$C$5)&amp;"","")&amp;""))</f>
        <v/>
      </c>
      <c r="E3296" s="23" t="str">
        <f aca="false">IF(B3296="","",IFERROR(INDEX(Clay_Offices!$A$2:$FZ$601,445,Sync!$C$6)&amp;"",""))</f>
        <v/>
      </c>
      <c r="F3296" s="23" t="str">
        <f aca="false">IF(B3296="","","outreach_sent")</f>
        <v/>
      </c>
      <c r="G3296" s="23" t="str">
        <f aca="false">IF(B3296="","","")</f>
        <v/>
      </c>
      <c r="H3296" s="23" t="str">
        <f aca="false">IF(B3296="","","")</f>
        <v/>
      </c>
      <c r="I3296" s="23" t="str">
        <f aca="false">IF(B3296="","","")</f>
        <v/>
      </c>
      <c r="J3296" s="23" t="str">
        <f aca="false">IF(B3296="","","touch_3; "&amp;IFERROR(INDEX(Clay_Offices!$A$2:$FZ$601,445,Sync!$C$10)&amp;"","")&amp;"; "&amp;IFERROR(INDEX(Clay_Offices!$A$2:$FZ$601,445,Sync!$C$9)&amp;"",""))</f>
        <v/>
      </c>
      <c r="K3296" s="32" t="s">
        <v>1365</v>
      </c>
    </row>
    <row r="3297" customFormat="false" ht="15" hidden="false" customHeight="false" outlineLevel="0" collapsed="false">
      <c r="A3297" s="23" t="str">
        <f aca="false">IF(B3297="","",B3297+(14*1000+446)/10000000)</f>
        <v/>
      </c>
      <c r="B3297" s="35" t="str">
        <f aca="false">IF(AND(IFERROR(N(INDEX(Clay_Offices!$A$2:$FZ$601,446,Sync!$C$13)),0)&gt;0,IFERROR(INDEX(Clay_Offices!$A$2:$FZ$601,446,Sync!$C$5)&amp;"","")&lt;&gt;"",OR(LEFT(IFERROR(INDEX(Clay_Offices!$A$2:$FZ$601,446,Sync!$C$5)&amp;"",""),6)&lt;&gt;"SAMPLE",Config!$B$19="Y")),IFERROR(N(INDEX(Clay_Offices!$A$2:$FZ$601,446,Sync!$C$13)),0),"")</f>
        <v/>
      </c>
      <c r="C3297" s="23" t="str">
        <f aca="false">IF(B3297="","","office")</f>
        <v/>
      </c>
      <c r="D3297" s="23" t="str">
        <f aca="false">IF(B3297="","",IFERROR(INDEX(Office_Log!$ED$2:$ED$201,MATCH(IFERROR(INDEX(Clay_Offices!$A$2:$FZ$601,446,Sync!$C$5)&amp;"",""),Office_Log!$A$2:$A$201,0))&amp;"",IFERROR(INDEX(Clay_Offices!$A$2:$FZ$601,446,Sync!$C$5)&amp;"","")&amp;""))</f>
        <v/>
      </c>
      <c r="E3297" s="23" t="str">
        <f aca="false">IF(B3297="","",IFERROR(INDEX(Clay_Offices!$A$2:$FZ$601,446,Sync!$C$6)&amp;"",""))</f>
        <v/>
      </c>
      <c r="F3297" s="23" t="str">
        <f aca="false">IF(B3297="","","outreach_sent")</f>
        <v/>
      </c>
      <c r="G3297" s="23" t="str">
        <f aca="false">IF(B3297="","","")</f>
        <v/>
      </c>
      <c r="H3297" s="23" t="str">
        <f aca="false">IF(B3297="","","")</f>
        <v/>
      </c>
      <c r="I3297" s="23" t="str">
        <f aca="false">IF(B3297="","","")</f>
        <v/>
      </c>
      <c r="J3297" s="23" t="str">
        <f aca="false">IF(B3297="","","touch_3; "&amp;IFERROR(INDEX(Clay_Offices!$A$2:$FZ$601,446,Sync!$C$10)&amp;"","")&amp;"; "&amp;IFERROR(INDEX(Clay_Offices!$A$2:$FZ$601,446,Sync!$C$9)&amp;"",""))</f>
        <v/>
      </c>
      <c r="K3297" s="32" t="s">
        <v>1365</v>
      </c>
    </row>
    <row r="3298" customFormat="false" ht="15" hidden="false" customHeight="false" outlineLevel="0" collapsed="false">
      <c r="A3298" s="23" t="str">
        <f aca="false">IF(B3298="","",B3298+(14*1000+447)/10000000)</f>
        <v/>
      </c>
      <c r="B3298" s="35" t="str">
        <f aca="false">IF(AND(IFERROR(N(INDEX(Clay_Offices!$A$2:$FZ$601,447,Sync!$C$13)),0)&gt;0,IFERROR(INDEX(Clay_Offices!$A$2:$FZ$601,447,Sync!$C$5)&amp;"","")&lt;&gt;"",OR(LEFT(IFERROR(INDEX(Clay_Offices!$A$2:$FZ$601,447,Sync!$C$5)&amp;"",""),6)&lt;&gt;"SAMPLE",Config!$B$19="Y")),IFERROR(N(INDEX(Clay_Offices!$A$2:$FZ$601,447,Sync!$C$13)),0),"")</f>
        <v/>
      </c>
      <c r="C3298" s="23" t="str">
        <f aca="false">IF(B3298="","","office")</f>
        <v/>
      </c>
      <c r="D3298" s="23" t="str">
        <f aca="false">IF(B3298="","",IFERROR(INDEX(Office_Log!$ED$2:$ED$201,MATCH(IFERROR(INDEX(Clay_Offices!$A$2:$FZ$601,447,Sync!$C$5)&amp;"",""),Office_Log!$A$2:$A$201,0))&amp;"",IFERROR(INDEX(Clay_Offices!$A$2:$FZ$601,447,Sync!$C$5)&amp;"","")&amp;""))</f>
        <v/>
      </c>
      <c r="E3298" s="23" t="str">
        <f aca="false">IF(B3298="","",IFERROR(INDEX(Clay_Offices!$A$2:$FZ$601,447,Sync!$C$6)&amp;"",""))</f>
        <v/>
      </c>
      <c r="F3298" s="23" t="str">
        <f aca="false">IF(B3298="","","outreach_sent")</f>
        <v/>
      </c>
      <c r="G3298" s="23" t="str">
        <f aca="false">IF(B3298="","","")</f>
        <v/>
      </c>
      <c r="H3298" s="23" t="str">
        <f aca="false">IF(B3298="","","")</f>
        <v/>
      </c>
      <c r="I3298" s="23" t="str">
        <f aca="false">IF(B3298="","","")</f>
        <v/>
      </c>
      <c r="J3298" s="23" t="str">
        <f aca="false">IF(B3298="","","touch_3; "&amp;IFERROR(INDEX(Clay_Offices!$A$2:$FZ$601,447,Sync!$C$10)&amp;"","")&amp;"; "&amp;IFERROR(INDEX(Clay_Offices!$A$2:$FZ$601,447,Sync!$C$9)&amp;"",""))</f>
        <v/>
      </c>
      <c r="K3298" s="32" t="s">
        <v>1365</v>
      </c>
    </row>
    <row r="3299" customFormat="false" ht="15" hidden="false" customHeight="false" outlineLevel="0" collapsed="false">
      <c r="A3299" s="23" t="str">
        <f aca="false">IF(B3299="","",B3299+(14*1000+448)/10000000)</f>
        <v/>
      </c>
      <c r="B3299" s="35" t="str">
        <f aca="false">IF(AND(IFERROR(N(INDEX(Clay_Offices!$A$2:$FZ$601,448,Sync!$C$13)),0)&gt;0,IFERROR(INDEX(Clay_Offices!$A$2:$FZ$601,448,Sync!$C$5)&amp;"","")&lt;&gt;"",OR(LEFT(IFERROR(INDEX(Clay_Offices!$A$2:$FZ$601,448,Sync!$C$5)&amp;"",""),6)&lt;&gt;"SAMPLE",Config!$B$19="Y")),IFERROR(N(INDEX(Clay_Offices!$A$2:$FZ$601,448,Sync!$C$13)),0),"")</f>
        <v/>
      </c>
      <c r="C3299" s="23" t="str">
        <f aca="false">IF(B3299="","","office")</f>
        <v/>
      </c>
      <c r="D3299" s="23" t="str">
        <f aca="false">IF(B3299="","",IFERROR(INDEX(Office_Log!$ED$2:$ED$201,MATCH(IFERROR(INDEX(Clay_Offices!$A$2:$FZ$601,448,Sync!$C$5)&amp;"",""),Office_Log!$A$2:$A$201,0))&amp;"",IFERROR(INDEX(Clay_Offices!$A$2:$FZ$601,448,Sync!$C$5)&amp;"","")&amp;""))</f>
        <v/>
      </c>
      <c r="E3299" s="23" t="str">
        <f aca="false">IF(B3299="","",IFERROR(INDEX(Clay_Offices!$A$2:$FZ$601,448,Sync!$C$6)&amp;"",""))</f>
        <v/>
      </c>
      <c r="F3299" s="23" t="str">
        <f aca="false">IF(B3299="","","outreach_sent")</f>
        <v/>
      </c>
      <c r="G3299" s="23" t="str">
        <f aca="false">IF(B3299="","","")</f>
        <v/>
      </c>
      <c r="H3299" s="23" t="str">
        <f aca="false">IF(B3299="","","")</f>
        <v/>
      </c>
      <c r="I3299" s="23" t="str">
        <f aca="false">IF(B3299="","","")</f>
        <v/>
      </c>
      <c r="J3299" s="23" t="str">
        <f aca="false">IF(B3299="","","touch_3; "&amp;IFERROR(INDEX(Clay_Offices!$A$2:$FZ$601,448,Sync!$C$10)&amp;"","")&amp;"; "&amp;IFERROR(INDEX(Clay_Offices!$A$2:$FZ$601,448,Sync!$C$9)&amp;"",""))</f>
        <v/>
      </c>
      <c r="K3299" s="32" t="s">
        <v>1365</v>
      </c>
    </row>
    <row r="3300" customFormat="false" ht="15" hidden="false" customHeight="false" outlineLevel="0" collapsed="false">
      <c r="A3300" s="23" t="str">
        <f aca="false">IF(B3300="","",B3300+(14*1000+449)/10000000)</f>
        <v/>
      </c>
      <c r="B3300" s="35" t="str">
        <f aca="false">IF(AND(IFERROR(N(INDEX(Clay_Offices!$A$2:$FZ$601,449,Sync!$C$13)),0)&gt;0,IFERROR(INDEX(Clay_Offices!$A$2:$FZ$601,449,Sync!$C$5)&amp;"","")&lt;&gt;"",OR(LEFT(IFERROR(INDEX(Clay_Offices!$A$2:$FZ$601,449,Sync!$C$5)&amp;"",""),6)&lt;&gt;"SAMPLE",Config!$B$19="Y")),IFERROR(N(INDEX(Clay_Offices!$A$2:$FZ$601,449,Sync!$C$13)),0),"")</f>
        <v/>
      </c>
      <c r="C3300" s="23" t="str">
        <f aca="false">IF(B3300="","","office")</f>
        <v/>
      </c>
      <c r="D3300" s="23" t="str">
        <f aca="false">IF(B3300="","",IFERROR(INDEX(Office_Log!$ED$2:$ED$201,MATCH(IFERROR(INDEX(Clay_Offices!$A$2:$FZ$601,449,Sync!$C$5)&amp;"",""),Office_Log!$A$2:$A$201,0))&amp;"",IFERROR(INDEX(Clay_Offices!$A$2:$FZ$601,449,Sync!$C$5)&amp;"","")&amp;""))</f>
        <v/>
      </c>
      <c r="E3300" s="23" t="str">
        <f aca="false">IF(B3300="","",IFERROR(INDEX(Clay_Offices!$A$2:$FZ$601,449,Sync!$C$6)&amp;"",""))</f>
        <v/>
      </c>
      <c r="F3300" s="23" t="str">
        <f aca="false">IF(B3300="","","outreach_sent")</f>
        <v/>
      </c>
      <c r="G3300" s="23" t="str">
        <f aca="false">IF(B3300="","","")</f>
        <v/>
      </c>
      <c r="H3300" s="23" t="str">
        <f aca="false">IF(B3300="","","")</f>
        <v/>
      </c>
      <c r="I3300" s="23" t="str">
        <f aca="false">IF(B3300="","","")</f>
        <v/>
      </c>
      <c r="J3300" s="23" t="str">
        <f aca="false">IF(B3300="","","touch_3; "&amp;IFERROR(INDEX(Clay_Offices!$A$2:$FZ$601,449,Sync!$C$10)&amp;"","")&amp;"; "&amp;IFERROR(INDEX(Clay_Offices!$A$2:$FZ$601,449,Sync!$C$9)&amp;"",""))</f>
        <v/>
      </c>
      <c r="K3300" s="32" t="s">
        <v>1365</v>
      </c>
    </row>
    <row r="3301" customFormat="false" ht="15" hidden="false" customHeight="false" outlineLevel="0" collapsed="false">
      <c r="A3301" s="23" t="str">
        <f aca="false">IF(B3301="","",B3301+(14*1000+450)/10000000)</f>
        <v/>
      </c>
      <c r="B3301" s="35" t="str">
        <f aca="false">IF(AND(IFERROR(N(INDEX(Clay_Offices!$A$2:$FZ$601,450,Sync!$C$13)),0)&gt;0,IFERROR(INDEX(Clay_Offices!$A$2:$FZ$601,450,Sync!$C$5)&amp;"","")&lt;&gt;"",OR(LEFT(IFERROR(INDEX(Clay_Offices!$A$2:$FZ$601,450,Sync!$C$5)&amp;"",""),6)&lt;&gt;"SAMPLE",Config!$B$19="Y")),IFERROR(N(INDEX(Clay_Offices!$A$2:$FZ$601,450,Sync!$C$13)),0),"")</f>
        <v/>
      </c>
      <c r="C3301" s="23" t="str">
        <f aca="false">IF(B3301="","","office")</f>
        <v/>
      </c>
      <c r="D3301" s="23" t="str">
        <f aca="false">IF(B3301="","",IFERROR(INDEX(Office_Log!$ED$2:$ED$201,MATCH(IFERROR(INDEX(Clay_Offices!$A$2:$FZ$601,450,Sync!$C$5)&amp;"",""),Office_Log!$A$2:$A$201,0))&amp;"",IFERROR(INDEX(Clay_Offices!$A$2:$FZ$601,450,Sync!$C$5)&amp;"","")&amp;""))</f>
        <v/>
      </c>
      <c r="E3301" s="23" t="str">
        <f aca="false">IF(B3301="","",IFERROR(INDEX(Clay_Offices!$A$2:$FZ$601,450,Sync!$C$6)&amp;"",""))</f>
        <v/>
      </c>
      <c r="F3301" s="23" t="str">
        <f aca="false">IF(B3301="","","outreach_sent")</f>
        <v/>
      </c>
      <c r="G3301" s="23" t="str">
        <f aca="false">IF(B3301="","","")</f>
        <v/>
      </c>
      <c r="H3301" s="23" t="str">
        <f aca="false">IF(B3301="","","")</f>
        <v/>
      </c>
      <c r="I3301" s="23" t="str">
        <f aca="false">IF(B3301="","","")</f>
        <v/>
      </c>
      <c r="J3301" s="23" t="str">
        <f aca="false">IF(B3301="","","touch_3; "&amp;IFERROR(INDEX(Clay_Offices!$A$2:$FZ$601,450,Sync!$C$10)&amp;"","")&amp;"; "&amp;IFERROR(INDEX(Clay_Offices!$A$2:$FZ$601,450,Sync!$C$9)&amp;"",""))</f>
        <v/>
      </c>
      <c r="K3301" s="32" t="s">
        <v>1365</v>
      </c>
    </row>
    <row r="3302" customFormat="false" ht="15" hidden="false" customHeight="false" outlineLevel="0" collapsed="false">
      <c r="A3302" s="23" t="str">
        <f aca="false">IF(B3302="","",B3302+(14*1000+451)/10000000)</f>
        <v/>
      </c>
      <c r="B3302" s="35" t="str">
        <f aca="false">IF(AND(IFERROR(N(INDEX(Clay_Offices!$A$2:$FZ$601,451,Sync!$C$13)),0)&gt;0,IFERROR(INDEX(Clay_Offices!$A$2:$FZ$601,451,Sync!$C$5)&amp;"","")&lt;&gt;"",OR(LEFT(IFERROR(INDEX(Clay_Offices!$A$2:$FZ$601,451,Sync!$C$5)&amp;"",""),6)&lt;&gt;"SAMPLE",Config!$B$19="Y")),IFERROR(N(INDEX(Clay_Offices!$A$2:$FZ$601,451,Sync!$C$13)),0),"")</f>
        <v/>
      </c>
      <c r="C3302" s="23" t="str">
        <f aca="false">IF(B3302="","","office")</f>
        <v/>
      </c>
      <c r="D3302" s="23" t="str">
        <f aca="false">IF(B3302="","",IFERROR(INDEX(Office_Log!$ED$2:$ED$201,MATCH(IFERROR(INDEX(Clay_Offices!$A$2:$FZ$601,451,Sync!$C$5)&amp;"",""),Office_Log!$A$2:$A$201,0))&amp;"",IFERROR(INDEX(Clay_Offices!$A$2:$FZ$601,451,Sync!$C$5)&amp;"","")&amp;""))</f>
        <v/>
      </c>
      <c r="E3302" s="23" t="str">
        <f aca="false">IF(B3302="","",IFERROR(INDEX(Clay_Offices!$A$2:$FZ$601,451,Sync!$C$6)&amp;"",""))</f>
        <v/>
      </c>
      <c r="F3302" s="23" t="str">
        <f aca="false">IF(B3302="","","outreach_sent")</f>
        <v/>
      </c>
      <c r="G3302" s="23" t="str">
        <f aca="false">IF(B3302="","","")</f>
        <v/>
      </c>
      <c r="H3302" s="23" t="str">
        <f aca="false">IF(B3302="","","")</f>
        <v/>
      </c>
      <c r="I3302" s="23" t="str">
        <f aca="false">IF(B3302="","","")</f>
        <v/>
      </c>
      <c r="J3302" s="23" t="str">
        <f aca="false">IF(B3302="","","touch_3; "&amp;IFERROR(INDEX(Clay_Offices!$A$2:$FZ$601,451,Sync!$C$10)&amp;"","")&amp;"; "&amp;IFERROR(INDEX(Clay_Offices!$A$2:$FZ$601,451,Sync!$C$9)&amp;"",""))</f>
        <v/>
      </c>
      <c r="K3302" s="32" t="s">
        <v>1365</v>
      </c>
    </row>
    <row r="3303" customFormat="false" ht="15" hidden="false" customHeight="false" outlineLevel="0" collapsed="false">
      <c r="A3303" s="23" t="str">
        <f aca="false">IF(B3303="","",B3303+(14*1000+452)/10000000)</f>
        <v/>
      </c>
      <c r="B3303" s="35" t="str">
        <f aca="false">IF(AND(IFERROR(N(INDEX(Clay_Offices!$A$2:$FZ$601,452,Sync!$C$13)),0)&gt;0,IFERROR(INDEX(Clay_Offices!$A$2:$FZ$601,452,Sync!$C$5)&amp;"","")&lt;&gt;"",OR(LEFT(IFERROR(INDEX(Clay_Offices!$A$2:$FZ$601,452,Sync!$C$5)&amp;"",""),6)&lt;&gt;"SAMPLE",Config!$B$19="Y")),IFERROR(N(INDEX(Clay_Offices!$A$2:$FZ$601,452,Sync!$C$13)),0),"")</f>
        <v/>
      </c>
      <c r="C3303" s="23" t="str">
        <f aca="false">IF(B3303="","","office")</f>
        <v/>
      </c>
      <c r="D3303" s="23" t="str">
        <f aca="false">IF(B3303="","",IFERROR(INDEX(Office_Log!$ED$2:$ED$201,MATCH(IFERROR(INDEX(Clay_Offices!$A$2:$FZ$601,452,Sync!$C$5)&amp;"",""),Office_Log!$A$2:$A$201,0))&amp;"",IFERROR(INDEX(Clay_Offices!$A$2:$FZ$601,452,Sync!$C$5)&amp;"","")&amp;""))</f>
        <v/>
      </c>
      <c r="E3303" s="23" t="str">
        <f aca="false">IF(B3303="","",IFERROR(INDEX(Clay_Offices!$A$2:$FZ$601,452,Sync!$C$6)&amp;"",""))</f>
        <v/>
      </c>
      <c r="F3303" s="23" t="str">
        <f aca="false">IF(B3303="","","outreach_sent")</f>
        <v/>
      </c>
      <c r="G3303" s="23" t="str">
        <f aca="false">IF(B3303="","","")</f>
        <v/>
      </c>
      <c r="H3303" s="23" t="str">
        <f aca="false">IF(B3303="","","")</f>
        <v/>
      </c>
      <c r="I3303" s="23" t="str">
        <f aca="false">IF(B3303="","","")</f>
        <v/>
      </c>
      <c r="J3303" s="23" t="str">
        <f aca="false">IF(B3303="","","touch_3; "&amp;IFERROR(INDEX(Clay_Offices!$A$2:$FZ$601,452,Sync!$C$10)&amp;"","")&amp;"; "&amp;IFERROR(INDEX(Clay_Offices!$A$2:$FZ$601,452,Sync!$C$9)&amp;"",""))</f>
        <v/>
      </c>
      <c r="K3303" s="32" t="s">
        <v>1365</v>
      </c>
    </row>
    <row r="3304" customFormat="false" ht="15" hidden="false" customHeight="false" outlineLevel="0" collapsed="false">
      <c r="A3304" s="23" t="str">
        <f aca="false">IF(B3304="","",B3304+(14*1000+453)/10000000)</f>
        <v/>
      </c>
      <c r="B3304" s="35" t="str">
        <f aca="false">IF(AND(IFERROR(N(INDEX(Clay_Offices!$A$2:$FZ$601,453,Sync!$C$13)),0)&gt;0,IFERROR(INDEX(Clay_Offices!$A$2:$FZ$601,453,Sync!$C$5)&amp;"","")&lt;&gt;"",OR(LEFT(IFERROR(INDEX(Clay_Offices!$A$2:$FZ$601,453,Sync!$C$5)&amp;"",""),6)&lt;&gt;"SAMPLE",Config!$B$19="Y")),IFERROR(N(INDEX(Clay_Offices!$A$2:$FZ$601,453,Sync!$C$13)),0),"")</f>
        <v/>
      </c>
      <c r="C3304" s="23" t="str">
        <f aca="false">IF(B3304="","","office")</f>
        <v/>
      </c>
      <c r="D3304" s="23" t="str">
        <f aca="false">IF(B3304="","",IFERROR(INDEX(Office_Log!$ED$2:$ED$201,MATCH(IFERROR(INDEX(Clay_Offices!$A$2:$FZ$601,453,Sync!$C$5)&amp;"",""),Office_Log!$A$2:$A$201,0))&amp;"",IFERROR(INDEX(Clay_Offices!$A$2:$FZ$601,453,Sync!$C$5)&amp;"","")&amp;""))</f>
        <v/>
      </c>
      <c r="E3304" s="23" t="str">
        <f aca="false">IF(B3304="","",IFERROR(INDEX(Clay_Offices!$A$2:$FZ$601,453,Sync!$C$6)&amp;"",""))</f>
        <v/>
      </c>
      <c r="F3304" s="23" t="str">
        <f aca="false">IF(B3304="","","outreach_sent")</f>
        <v/>
      </c>
      <c r="G3304" s="23" t="str">
        <f aca="false">IF(B3304="","","")</f>
        <v/>
      </c>
      <c r="H3304" s="23" t="str">
        <f aca="false">IF(B3304="","","")</f>
        <v/>
      </c>
      <c r="I3304" s="23" t="str">
        <f aca="false">IF(B3304="","","")</f>
        <v/>
      </c>
      <c r="J3304" s="23" t="str">
        <f aca="false">IF(B3304="","","touch_3; "&amp;IFERROR(INDEX(Clay_Offices!$A$2:$FZ$601,453,Sync!$C$10)&amp;"","")&amp;"; "&amp;IFERROR(INDEX(Clay_Offices!$A$2:$FZ$601,453,Sync!$C$9)&amp;"",""))</f>
        <v/>
      </c>
      <c r="K3304" s="32" t="s">
        <v>1365</v>
      </c>
    </row>
    <row r="3305" customFormat="false" ht="15" hidden="false" customHeight="false" outlineLevel="0" collapsed="false">
      <c r="A3305" s="23" t="str">
        <f aca="false">IF(B3305="","",B3305+(14*1000+454)/10000000)</f>
        <v/>
      </c>
      <c r="B3305" s="35" t="str">
        <f aca="false">IF(AND(IFERROR(N(INDEX(Clay_Offices!$A$2:$FZ$601,454,Sync!$C$13)),0)&gt;0,IFERROR(INDEX(Clay_Offices!$A$2:$FZ$601,454,Sync!$C$5)&amp;"","")&lt;&gt;"",OR(LEFT(IFERROR(INDEX(Clay_Offices!$A$2:$FZ$601,454,Sync!$C$5)&amp;"",""),6)&lt;&gt;"SAMPLE",Config!$B$19="Y")),IFERROR(N(INDEX(Clay_Offices!$A$2:$FZ$601,454,Sync!$C$13)),0),"")</f>
        <v/>
      </c>
      <c r="C3305" s="23" t="str">
        <f aca="false">IF(B3305="","","office")</f>
        <v/>
      </c>
      <c r="D3305" s="23" t="str">
        <f aca="false">IF(B3305="","",IFERROR(INDEX(Office_Log!$ED$2:$ED$201,MATCH(IFERROR(INDEX(Clay_Offices!$A$2:$FZ$601,454,Sync!$C$5)&amp;"",""),Office_Log!$A$2:$A$201,0))&amp;"",IFERROR(INDEX(Clay_Offices!$A$2:$FZ$601,454,Sync!$C$5)&amp;"","")&amp;""))</f>
        <v/>
      </c>
      <c r="E3305" s="23" t="str">
        <f aca="false">IF(B3305="","",IFERROR(INDEX(Clay_Offices!$A$2:$FZ$601,454,Sync!$C$6)&amp;"",""))</f>
        <v/>
      </c>
      <c r="F3305" s="23" t="str">
        <f aca="false">IF(B3305="","","outreach_sent")</f>
        <v/>
      </c>
      <c r="G3305" s="23" t="str">
        <f aca="false">IF(B3305="","","")</f>
        <v/>
      </c>
      <c r="H3305" s="23" t="str">
        <f aca="false">IF(B3305="","","")</f>
        <v/>
      </c>
      <c r="I3305" s="23" t="str">
        <f aca="false">IF(B3305="","","")</f>
        <v/>
      </c>
      <c r="J3305" s="23" t="str">
        <f aca="false">IF(B3305="","","touch_3; "&amp;IFERROR(INDEX(Clay_Offices!$A$2:$FZ$601,454,Sync!$C$10)&amp;"","")&amp;"; "&amp;IFERROR(INDEX(Clay_Offices!$A$2:$FZ$601,454,Sync!$C$9)&amp;"",""))</f>
        <v/>
      </c>
      <c r="K3305" s="32" t="s">
        <v>1365</v>
      </c>
    </row>
    <row r="3306" customFormat="false" ht="15" hidden="false" customHeight="false" outlineLevel="0" collapsed="false">
      <c r="A3306" s="23" t="str">
        <f aca="false">IF(B3306="","",B3306+(14*1000+455)/10000000)</f>
        <v/>
      </c>
      <c r="B3306" s="35" t="str">
        <f aca="false">IF(AND(IFERROR(N(INDEX(Clay_Offices!$A$2:$FZ$601,455,Sync!$C$13)),0)&gt;0,IFERROR(INDEX(Clay_Offices!$A$2:$FZ$601,455,Sync!$C$5)&amp;"","")&lt;&gt;"",OR(LEFT(IFERROR(INDEX(Clay_Offices!$A$2:$FZ$601,455,Sync!$C$5)&amp;"",""),6)&lt;&gt;"SAMPLE",Config!$B$19="Y")),IFERROR(N(INDEX(Clay_Offices!$A$2:$FZ$601,455,Sync!$C$13)),0),"")</f>
        <v/>
      </c>
      <c r="C3306" s="23" t="str">
        <f aca="false">IF(B3306="","","office")</f>
        <v/>
      </c>
      <c r="D3306" s="23" t="str">
        <f aca="false">IF(B3306="","",IFERROR(INDEX(Office_Log!$ED$2:$ED$201,MATCH(IFERROR(INDEX(Clay_Offices!$A$2:$FZ$601,455,Sync!$C$5)&amp;"",""),Office_Log!$A$2:$A$201,0))&amp;"",IFERROR(INDEX(Clay_Offices!$A$2:$FZ$601,455,Sync!$C$5)&amp;"","")&amp;""))</f>
        <v/>
      </c>
      <c r="E3306" s="23" t="str">
        <f aca="false">IF(B3306="","",IFERROR(INDEX(Clay_Offices!$A$2:$FZ$601,455,Sync!$C$6)&amp;"",""))</f>
        <v/>
      </c>
      <c r="F3306" s="23" t="str">
        <f aca="false">IF(B3306="","","outreach_sent")</f>
        <v/>
      </c>
      <c r="G3306" s="23" t="str">
        <f aca="false">IF(B3306="","","")</f>
        <v/>
      </c>
      <c r="H3306" s="23" t="str">
        <f aca="false">IF(B3306="","","")</f>
        <v/>
      </c>
      <c r="I3306" s="23" t="str">
        <f aca="false">IF(B3306="","","")</f>
        <v/>
      </c>
      <c r="J3306" s="23" t="str">
        <f aca="false">IF(B3306="","","touch_3; "&amp;IFERROR(INDEX(Clay_Offices!$A$2:$FZ$601,455,Sync!$C$10)&amp;"","")&amp;"; "&amp;IFERROR(INDEX(Clay_Offices!$A$2:$FZ$601,455,Sync!$C$9)&amp;"",""))</f>
        <v/>
      </c>
      <c r="K3306" s="32" t="s">
        <v>1365</v>
      </c>
    </row>
    <row r="3307" customFormat="false" ht="15" hidden="false" customHeight="false" outlineLevel="0" collapsed="false">
      <c r="A3307" s="23" t="str">
        <f aca="false">IF(B3307="","",B3307+(14*1000+456)/10000000)</f>
        <v/>
      </c>
      <c r="B3307" s="35" t="str">
        <f aca="false">IF(AND(IFERROR(N(INDEX(Clay_Offices!$A$2:$FZ$601,456,Sync!$C$13)),0)&gt;0,IFERROR(INDEX(Clay_Offices!$A$2:$FZ$601,456,Sync!$C$5)&amp;"","")&lt;&gt;"",OR(LEFT(IFERROR(INDEX(Clay_Offices!$A$2:$FZ$601,456,Sync!$C$5)&amp;"",""),6)&lt;&gt;"SAMPLE",Config!$B$19="Y")),IFERROR(N(INDEX(Clay_Offices!$A$2:$FZ$601,456,Sync!$C$13)),0),"")</f>
        <v/>
      </c>
      <c r="C3307" s="23" t="str">
        <f aca="false">IF(B3307="","","office")</f>
        <v/>
      </c>
      <c r="D3307" s="23" t="str">
        <f aca="false">IF(B3307="","",IFERROR(INDEX(Office_Log!$ED$2:$ED$201,MATCH(IFERROR(INDEX(Clay_Offices!$A$2:$FZ$601,456,Sync!$C$5)&amp;"",""),Office_Log!$A$2:$A$201,0))&amp;"",IFERROR(INDEX(Clay_Offices!$A$2:$FZ$601,456,Sync!$C$5)&amp;"","")&amp;""))</f>
        <v/>
      </c>
      <c r="E3307" s="23" t="str">
        <f aca="false">IF(B3307="","",IFERROR(INDEX(Clay_Offices!$A$2:$FZ$601,456,Sync!$C$6)&amp;"",""))</f>
        <v/>
      </c>
      <c r="F3307" s="23" t="str">
        <f aca="false">IF(B3307="","","outreach_sent")</f>
        <v/>
      </c>
      <c r="G3307" s="23" t="str">
        <f aca="false">IF(B3307="","","")</f>
        <v/>
      </c>
      <c r="H3307" s="23" t="str">
        <f aca="false">IF(B3307="","","")</f>
        <v/>
      </c>
      <c r="I3307" s="23" t="str">
        <f aca="false">IF(B3307="","","")</f>
        <v/>
      </c>
      <c r="J3307" s="23" t="str">
        <f aca="false">IF(B3307="","","touch_3; "&amp;IFERROR(INDEX(Clay_Offices!$A$2:$FZ$601,456,Sync!$C$10)&amp;"","")&amp;"; "&amp;IFERROR(INDEX(Clay_Offices!$A$2:$FZ$601,456,Sync!$C$9)&amp;"",""))</f>
        <v/>
      </c>
      <c r="K3307" s="32" t="s">
        <v>1365</v>
      </c>
    </row>
    <row r="3308" customFormat="false" ht="15" hidden="false" customHeight="false" outlineLevel="0" collapsed="false">
      <c r="A3308" s="23" t="str">
        <f aca="false">IF(B3308="","",B3308+(14*1000+457)/10000000)</f>
        <v/>
      </c>
      <c r="B3308" s="35" t="str">
        <f aca="false">IF(AND(IFERROR(N(INDEX(Clay_Offices!$A$2:$FZ$601,457,Sync!$C$13)),0)&gt;0,IFERROR(INDEX(Clay_Offices!$A$2:$FZ$601,457,Sync!$C$5)&amp;"","")&lt;&gt;"",OR(LEFT(IFERROR(INDEX(Clay_Offices!$A$2:$FZ$601,457,Sync!$C$5)&amp;"",""),6)&lt;&gt;"SAMPLE",Config!$B$19="Y")),IFERROR(N(INDEX(Clay_Offices!$A$2:$FZ$601,457,Sync!$C$13)),0),"")</f>
        <v/>
      </c>
      <c r="C3308" s="23" t="str">
        <f aca="false">IF(B3308="","","office")</f>
        <v/>
      </c>
      <c r="D3308" s="23" t="str">
        <f aca="false">IF(B3308="","",IFERROR(INDEX(Office_Log!$ED$2:$ED$201,MATCH(IFERROR(INDEX(Clay_Offices!$A$2:$FZ$601,457,Sync!$C$5)&amp;"",""),Office_Log!$A$2:$A$201,0))&amp;"",IFERROR(INDEX(Clay_Offices!$A$2:$FZ$601,457,Sync!$C$5)&amp;"","")&amp;""))</f>
        <v/>
      </c>
      <c r="E3308" s="23" t="str">
        <f aca="false">IF(B3308="","",IFERROR(INDEX(Clay_Offices!$A$2:$FZ$601,457,Sync!$C$6)&amp;"",""))</f>
        <v/>
      </c>
      <c r="F3308" s="23" t="str">
        <f aca="false">IF(B3308="","","outreach_sent")</f>
        <v/>
      </c>
      <c r="G3308" s="23" t="str">
        <f aca="false">IF(B3308="","","")</f>
        <v/>
      </c>
      <c r="H3308" s="23" t="str">
        <f aca="false">IF(B3308="","","")</f>
        <v/>
      </c>
      <c r="I3308" s="23" t="str">
        <f aca="false">IF(B3308="","","")</f>
        <v/>
      </c>
      <c r="J3308" s="23" t="str">
        <f aca="false">IF(B3308="","","touch_3; "&amp;IFERROR(INDEX(Clay_Offices!$A$2:$FZ$601,457,Sync!$C$10)&amp;"","")&amp;"; "&amp;IFERROR(INDEX(Clay_Offices!$A$2:$FZ$601,457,Sync!$C$9)&amp;"",""))</f>
        <v/>
      </c>
      <c r="K3308" s="32" t="s">
        <v>1365</v>
      </c>
    </row>
    <row r="3309" customFormat="false" ht="15" hidden="false" customHeight="false" outlineLevel="0" collapsed="false">
      <c r="A3309" s="23" t="str">
        <f aca="false">IF(B3309="","",B3309+(14*1000+458)/10000000)</f>
        <v/>
      </c>
      <c r="B3309" s="35" t="str">
        <f aca="false">IF(AND(IFERROR(N(INDEX(Clay_Offices!$A$2:$FZ$601,458,Sync!$C$13)),0)&gt;0,IFERROR(INDEX(Clay_Offices!$A$2:$FZ$601,458,Sync!$C$5)&amp;"","")&lt;&gt;"",OR(LEFT(IFERROR(INDEX(Clay_Offices!$A$2:$FZ$601,458,Sync!$C$5)&amp;"",""),6)&lt;&gt;"SAMPLE",Config!$B$19="Y")),IFERROR(N(INDEX(Clay_Offices!$A$2:$FZ$601,458,Sync!$C$13)),0),"")</f>
        <v/>
      </c>
      <c r="C3309" s="23" t="str">
        <f aca="false">IF(B3309="","","office")</f>
        <v/>
      </c>
      <c r="D3309" s="23" t="str">
        <f aca="false">IF(B3309="","",IFERROR(INDEX(Office_Log!$ED$2:$ED$201,MATCH(IFERROR(INDEX(Clay_Offices!$A$2:$FZ$601,458,Sync!$C$5)&amp;"",""),Office_Log!$A$2:$A$201,0))&amp;"",IFERROR(INDEX(Clay_Offices!$A$2:$FZ$601,458,Sync!$C$5)&amp;"","")&amp;""))</f>
        <v/>
      </c>
      <c r="E3309" s="23" t="str">
        <f aca="false">IF(B3309="","",IFERROR(INDEX(Clay_Offices!$A$2:$FZ$601,458,Sync!$C$6)&amp;"",""))</f>
        <v/>
      </c>
      <c r="F3309" s="23" t="str">
        <f aca="false">IF(B3309="","","outreach_sent")</f>
        <v/>
      </c>
      <c r="G3309" s="23" t="str">
        <f aca="false">IF(B3309="","","")</f>
        <v/>
      </c>
      <c r="H3309" s="23" t="str">
        <f aca="false">IF(B3309="","","")</f>
        <v/>
      </c>
      <c r="I3309" s="23" t="str">
        <f aca="false">IF(B3309="","","")</f>
        <v/>
      </c>
      <c r="J3309" s="23" t="str">
        <f aca="false">IF(B3309="","","touch_3; "&amp;IFERROR(INDEX(Clay_Offices!$A$2:$FZ$601,458,Sync!$C$10)&amp;"","")&amp;"; "&amp;IFERROR(INDEX(Clay_Offices!$A$2:$FZ$601,458,Sync!$C$9)&amp;"",""))</f>
        <v/>
      </c>
      <c r="K3309" s="32" t="s">
        <v>1365</v>
      </c>
    </row>
    <row r="3310" customFormat="false" ht="15" hidden="false" customHeight="false" outlineLevel="0" collapsed="false">
      <c r="A3310" s="23" t="str">
        <f aca="false">IF(B3310="","",B3310+(14*1000+459)/10000000)</f>
        <v/>
      </c>
      <c r="B3310" s="35" t="str">
        <f aca="false">IF(AND(IFERROR(N(INDEX(Clay_Offices!$A$2:$FZ$601,459,Sync!$C$13)),0)&gt;0,IFERROR(INDEX(Clay_Offices!$A$2:$FZ$601,459,Sync!$C$5)&amp;"","")&lt;&gt;"",OR(LEFT(IFERROR(INDEX(Clay_Offices!$A$2:$FZ$601,459,Sync!$C$5)&amp;"",""),6)&lt;&gt;"SAMPLE",Config!$B$19="Y")),IFERROR(N(INDEX(Clay_Offices!$A$2:$FZ$601,459,Sync!$C$13)),0),"")</f>
        <v/>
      </c>
      <c r="C3310" s="23" t="str">
        <f aca="false">IF(B3310="","","office")</f>
        <v/>
      </c>
      <c r="D3310" s="23" t="str">
        <f aca="false">IF(B3310="","",IFERROR(INDEX(Office_Log!$ED$2:$ED$201,MATCH(IFERROR(INDEX(Clay_Offices!$A$2:$FZ$601,459,Sync!$C$5)&amp;"",""),Office_Log!$A$2:$A$201,0))&amp;"",IFERROR(INDEX(Clay_Offices!$A$2:$FZ$601,459,Sync!$C$5)&amp;"","")&amp;""))</f>
        <v/>
      </c>
      <c r="E3310" s="23" t="str">
        <f aca="false">IF(B3310="","",IFERROR(INDEX(Clay_Offices!$A$2:$FZ$601,459,Sync!$C$6)&amp;"",""))</f>
        <v/>
      </c>
      <c r="F3310" s="23" t="str">
        <f aca="false">IF(B3310="","","outreach_sent")</f>
        <v/>
      </c>
      <c r="G3310" s="23" t="str">
        <f aca="false">IF(B3310="","","")</f>
        <v/>
      </c>
      <c r="H3310" s="23" t="str">
        <f aca="false">IF(B3310="","","")</f>
        <v/>
      </c>
      <c r="I3310" s="23" t="str">
        <f aca="false">IF(B3310="","","")</f>
        <v/>
      </c>
      <c r="J3310" s="23" t="str">
        <f aca="false">IF(B3310="","","touch_3; "&amp;IFERROR(INDEX(Clay_Offices!$A$2:$FZ$601,459,Sync!$C$10)&amp;"","")&amp;"; "&amp;IFERROR(INDEX(Clay_Offices!$A$2:$FZ$601,459,Sync!$C$9)&amp;"",""))</f>
        <v/>
      </c>
      <c r="K3310" s="32" t="s">
        <v>1365</v>
      </c>
    </row>
    <row r="3311" customFormat="false" ht="15" hidden="false" customHeight="false" outlineLevel="0" collapsed="false">
      <c r="A3311" s="23" t="str">
        <f aca="false">IF(B3311="","",B3311+(14*1000+460)/10000000)</f>
        <v/>
      </c>
      <c r="B3311" s="35" t="str">
        <f aca="false">IF(AND(IFERROR(N(INDEX(Clay_Offices!$A$2:$FZ$601,460,Sync!$C$13)),0)&gt;0,IFERROR(INDEX(Clay_Offices!$A$2:$FZ$601,460,Sync!$C$5)&amp;"","")&lt;&gt;"",OR(LEFT(IFERROR(INDEX(Clay_Offices!$A$2:$FZ$601,460,Sync!$C$5)&amp;"",""),6)&lt;&gt;"SAMPLE",Config!$B$19="Y")),IFERROR(N(INDEX(Clay_Offices!$A$2:$FZ$601,460,Sync!$C$13)),0),"")</f>
        <v/>
      </c>
      <c r="C3311" s="23" t="str">
        <f aca="false">IF(B3311="","","office")</f>
        <v/>
      </c>
      <c r="D3311" s="23" t="str">
        <f aca="false">IF(B3311="","",IFERROR(INDEX(Office_Log!$ED$2:$ED$201,MATCH(IFERROR(INDEX(Clay_Offices!$A$2:$FZ$601,460,Sync!$C$5)&amp;"",""),Office_Log!$A$2:$A$201,0))&amp;"",IFERROR(INDEX(Clay_Offices!$A$2:$FZ$601,460,Sync!$C$5)&amp;"","")&amp;""))</f>
        <v/>
      </c>
      <c r="E3311" s="23" t="str">
        <f aca="false">IF(B3311="","",IFERROR(INDEX(Clay_Offices!$A$2:$FZ$601,460,Sync!$C$6)&amp;"",""))</f>
        <v/>
      </c>
      <c r="F3311" s="23" t="str">
        <f aca="false">IF(B3311="","","outreach_sent")</f>
        <v/>
      </c>
      <c r="G3311" s="23" t="str">
        <f aca="false">IF(B3311="","","")</f>
        <v/>
      </c>
      <c r="H3311" s="23" t="str">
        <f aca="false">IF(B3311="","","")</f>
        <v/>
      </c>
      <c r="I3311" s="23" t="str">
        <f aca="false">IF(B3311="","","")</f>
        <v/>
      </c>
      <c r="J3311" s="23" t="str">
        <f aca="false">IF(B3311="","","touch_3; "&amp;IFERROR(INDEX(Clay_Offices!$A$2:$FZ$601,460,Sync!$C$10)&amp;"","")&amp;"; "&amp;IFERROR(INDEX(Clay_Offices!$A$2:$FZ$601,460,Sync!$C$9)&amp;"",""))</f>
        <v/>
      </c>
      <c r="K3311" s="32" t="s">
        <v>1365</v>
      </c>
    </row>
    <row r="3312" customFormat="false" ht="15" hidden="false" customHeight="false" outlineLevel="0" collapsed="false">
      <c r="A3312" s="23" t="str">
        <f aca="false">IF(B3312="","",B3312+(14*1000+461)/10000000)</f>
        <v/>
      </c>
      <c r="B3312" s="35" t="str">
        <f aca="false">IF(AND(IFERROR(N(INDEX(Clay_Offices!$A$2:$FZ$601,461,Sync!$C$13)),0)&gt;0,IFERROR(INDEX(Clay_Offices!$A$2:$FZ$601,461,Sync!$C$5)&amp;"","")&lt;&gt;"",OR(LEFT(IFERROR(INDEX(Clay_Offices!$A$2:$FZ$601,461,Sync!$C$5)&amp;"",""),6)&lt;&gt;"SAMPLE",Config!$B$19="Y")),IFERROR(N(INDEX(Clay_Offices!$A$2:$FZ$601,461,Sync!$C$13)),0),"")</f>
        <v/>
      </c>
      <c r="C3312" s="23" t="str">
        <f aca="false">IF(B3312="","","office")</f>
        <v/>
      </c>
      <c r="D3312" s="23" t="str">
        <f aca="false">IF(B3312="","",IFERROR(INDEX(Office_Log!$ED$2:$ED$201,MATCH(IFERROR(INDEX(Clay_Offices!$A$2:$FZ$601,461,Sync!$C$5)&amp;"",""),Office_Log!$A$2:$A$201,0))&amp;"",IFERROR(INDEX(Clay_Offices!$A$2:$FZ$601,461,Sync!$C$5)&amp;"","")&amp;""))</f>
        <v/>
      </c>
      <c r="E3312" s="23" t="str">
        <f aca="false">IF(B3312="","",IFERROR(INDEX(Clay_Offices!$A$2:$FZ$601,461,Sync!$C$6)&amp;"",""))</f>
        <v/>
      </c>
      <c r="F3312" s="23" t="str">
        <f aca="false">IF(B3312="","","outreach_sent")</f>
        <v/>
      </c>
      <c r="G3312" s="23" t="str">
        <f aca="false">IF(B3312="","","")</f>
        <v/>
      </c>
      <c r="H3312" s="23" t="str">
        <f aca="false">IF(B3312="","","")</f>
        <v/>
      </c>
      <c r="I3312" s="23" t="str">
        <f aca="false">IF(B3312="","","")</f>
        <v/>
      </c>
      <c r="J3312" s="23" t="str">
        <f aca="false">IF(B3312="","","touch_3; "&amp;IFERROR(INDEX(Clay_Offices!$A$2:$FZ$601,461,Sync!$C$10)&amp;"","")&amp;"; "&amp;IFERROR(INDEX(Clay_Offices!$A$2:$FZ$601,461,Sync!$C$9)&amp;"",""))</f>
        <v/>
      </c>
      <c r="K3312" s="32" t="s">
        <v>1365</v>
      </c>
    </row>
    <row r="3313" customFormat="false" ht="15" hidden="false" customHeight="false" outlineLevel="0" collapsed="false">
      <c r="A3313" s="23" t="str">
        <f aca="false">IF(B3313="","",B3313+(14*1000+462)/10000000)</f>
        <v/>
      </c>
      <c r="B3313" s="35" t="str">
        <f aca="false">IF(AND(IFERROR(N(INDEX(Clay_Offices!$A$2:$FZ$601,462,Sync!$C$13)),0)&gt;0,IFERROR(INDEX(Clay_Offices!$A$2:$FZ$601,462,Sync!$C$5)&amp;"","")&lt;&gt;"",OR(LEFT(IFERROR(INDEX(Clay_Offices!$A$2:$FZ$601,462,Sync!$C$5)&amp;"",""),6)&lt;&gt;"SAMPLE",Config!$B$19="Y")),IFERROR(N(INDEX(Clay_Offices!$A$2:$FZ$601,462,Sync!$C$13)),0),"")</f>
        <v/>
      </c>
      <c r="C3313" s="23" t="str">
        <f aca="false">IF(B3313="","","office")</f>
        <v/>
      </c>
      <c r="D3313" s="23" t="str">
        <f aca="false">IF(B3313="","",IFERROR(INDEX(Office_Log!$ED$2:$ED$201,MATCH(IFERROR(INDEX(Clay_Offices!$A$2:$FZ$601,462,Sync!$C$5)&amp;"",""),Office_Log!$A$2:$A$201,0))&amp;"",IFERROR(INDEX(Clay_Offices!$A$2:$FZ$601,462,Sync!$C$5)&amp;"","")&amp;""))</f>
        <v/>
      </c>
      <c r="E3313" s="23" t="str">
        <f aca="false">IF(B3313="","",IFERROR(INDEX(Clay_Offices!$A$2:$FZ$601,462,Sync!$C$6)&amp;"",""))</f>
        <v/>
      </c>
      <c r="F3313" s="23" t="str">
        <f aca="false">IF(B3313="","","outreach_sent")</f>
        <v/>
      </c>
      <c r="G3313" s="23" t="str">
        <f aca="false">IF(B3313="","","")</f>
        <v/>
      </c>
      <c r="H3313" s="23" t="str">
        <f aca="false">IF(B3313="","","")</f>
        <v/>
      </c>
      <c r="I3313" s="23" t="str">
        <f aca="false">IF(B3313="","","")</f>
        <v/>
      </c>
      <c r="J3313" s="23" t="str">
        <f aca="false">IF(B3313="","","touch_3; "&amp;IFERROR(INDEX(Clay_Offices!$A$2:$FZ$601,462,Sync!$C$10)&amp;"","")&amp;"; "&amp;IFERROR(INDEX(Clay_Offices!$A$2:$FZ$601,462,Sync!$C$9)&amp;"",""))</f>
        <v/>
      </c>
      <c r="K3313" s="32" t="s">
        <v>1365</v>
      </c>
    </row>
    <row r="3314" customFormat="false" ht="15" hidden="false" customHeight="false" outlineLevel="0" collapsed="false">
      <c r="A3314" s="23" t="str">
        <f aca="false">IF(B3314="","",B3314+(14*1000+463)/10000000)</f>
        <v/>
      </c>
      <c r="B3314" s="35" t="str">
        <f aca="false">IF(AND(IFERROR(N(INDEX(Clay_Offices!$A$2:$FZ$601,463,Sync!$C$13)),0)&gt;0,IFERROR(INDEX(Clay_Offices!$A$2:$FZ$601,463,Sync!$C$5)&amp;"","")&lt;&gt;"",OR(LEFT(IFERROR(INDEX(Clay_Offices!$A$2:$FZ$601,463,Sync!$C$5)&amp;"",""),6)&lt;&gt;"SAMPLE",Config!$B$19="Y")),IFERROR(N(INDEX(Clay_Offices!$A$2:$FZ$601,463,Sync!$C$13)),0),"")</f>
        <v/>
      </c>
      <c r="C3314" s="23" t="str">
        <f aca="false">IF(B3314="","","office")</f>
        <v/>
      </c>
      <c r="D3314" s="23" t="str">
        <f aca="false">IF(B3314="","",IFERROR(INDEX(Office_Log!$ED$2:$ED$201,MATCH(IFERROR(INDEX(Clay_Offices!$A$2:$FZ$601,463,Sync!$C$5)&amp;"",""),Office_Log!$A$2:$A$201,0))&amp;"",IFERROR(INDEX(Clay_Offices!$A$2:$FZ$601,463,Sync!$C$5)&amp;"","")&amp;""))</f>
        <v/>
      </c>
      <c r="E3314" s="23" t="str">
        <f aca="false">IF(B3314="","",IFERROR(INDEX(Clay_Offices!$A$2:$FZ$601,463,Sync!$C$6)&amp;"",""))</f>
        <v/>
      </c>
      <c r="F3314" s="23" t="str">
        <f aca="false">IF(B3314="","","outreach_sent")</f>
        <v/>
      </c>
      <c r="G3314" s="23" t="str">
        <f aca="false">IF(B3314="","","")</f>
        <v/>
      </c>
      <c r="H3314" s="23" t="str">
        <f aca="false">IF(B3314="","","")</f>
        <v/>
      </c>
      <c r="I3314" s="23" t="str">
        <f aca="false">IF(B3314="","","")</f>
        <v/>
      </c>
      <c r="J3314" s="23" t="str">
        <f aca="false">IF(B3314="","","touch_3; "&amp;IFERROR(INDEX(Clay_Offices!$A$2:$FZ$601,463,Sync!$C$10)&amp;"","")&amp;"; "&amp;IFERROR(INDEX(Clay_Offices!$A$2:$FZ$601,463,Sync!$C$9)&amp;"",""))</f>
        <v/>
      </c>
      <c r="K3314" s="32" t="s">
        <v>1365</v>
      </c>
    </row>
    <row r="3315" customFormat="false" ht="15" hidden="false" customHeight="false" outlineLevel="0" collapsed="false">
      <c r="A3315" s="23" t="str">
        <f aca="false">IF(B3315="","",B3315+(14*1000+464)/10000000)</f>
        <v/>
      </c>
      <c r="B3315" s="35" t="str">
        <f aca="false">IF(AND(IFERROR(N(INDEX(Clay_Offices!$A$2:$FZ$601,464,Sync!$C$13)),0)&gt;0,IFERROR(INDEX(Clay_Offices!$A$2:$FZ$601,464,Sync!$C$5)&amp;"","")&lt;&gt;"",OR(LEFT(IFERROR(INDEX(Clay_Offices!$A$2:$FZ$601,464,Sync!$C$5)&amp;"",""),6)&lt;&gt;"SAMPLE",Config!$B$19="Y")),IFERROR(N(INDEX(Clay_Offices!$A$2:$FZ$601,464,Sync!$C$13)),0),"")</f>
        <v/>
      </c>
      <c r="C3315" s="23" t="str">
        <f aca="false">IF(B3315="","","office")</f>
        <v/>
      </c>
      <c r="D3315" s="23" t="str">
        <f aca="false">IF(B3315="","",IFERROR(INDEX(Office_Log!$ED$2:$ED$201,MATCH(IFERROR(INDEX(Clay_Offices!$A$2:$FZ$601,464,Sync!$C$5)&amp;"",""),Office_Log!$A$2:$A$201,0))&amp;"",IFERROR(INDEX(Clay_Offices!$A$2:$FZ$601,464,Sync!$C$5)&amp;"","")&amp;""))</f>
        <v/>
      </c>
      <c r="E3315" s="23" t="str">
        <f aca="false">IF(B3315="","",IFERROR(INDEX(Clay_Offices!$A$2:$FZ$601,464,Sync!$C$6)&amp;"",""))</f>
        <v/>
      </c>
      <c r="F3315" s="23" t="str">
        <f aca="false">IF(B3315="","","outreach_sent")</f>
        <v/>
      </c>
      <c r="G3315" s="23" t="str">
        <f aca="false">IF(B3315="","","")</f>
        <v/>
      </c>
      <c r="H3315" s="23" t="str">
        <f aca="false">IF(B3315="","","")</f>
        <v/>
      </c>
      <c r="I3315" s="23" t="str">
        <f aca="false">IF(B3315="","","")</f>
        <v/>
      </c>
      <c r="J3315" s="23" t="str">
        <f aca="false">IF(B3315="","","touch_3; "&amp;IFERROR(INDEX(Clay_Offices!$A$2:$FZ$601,464,Sync!$C$10)&amp;"","")&amp;"; "&amp;IFERROR(INDEX(Clay_Offices!$A$2:$FZ$601,464,Sync!$C$9)&amp;"",""))</f>
        <v/>
      </c>
      <c r="K3315" s="32" t="s">
        <v>1365</v>
      </c>
    </row>
    <row r="3316" customFormat="false" ht="15" hidden="false" customHeight="false" outlineLevel="0" collapsed="false">
      <c r="A3316" s="23" t="str">
        <f aca="false">IF(B3316="","",B3316+(14*1000+465)/10000000)</f>
        <v/>
      </c>
      <c r="B3316" s="35" t="str">
        <f aca="false">IF(AND(IFERROR(N(INDEX(Clay_Offices!$A$2:$FZ$601,465,Sync!$C$13)),0)&gt;0,IFERROR(INDEX(Clay_Offices!$A$2:$FZ$601,465,Sync!$C$5)&amp;"","")&lt;&gt;"",OR(LEFT(IFERROR(INDEX(Clay_Offices!$A$2:$FZ$601,465,Sync!$C$5)&amp;"",""),6)&lt;&gt;"SAMPLE",Config!$B$19="Y")),IFERROR(N(INDEX(Clay_Offices!$A$2:$FZ$601,465,Sync!$C$13)),0),"")</f>
        <v/>
      </c>
      <c r="C3316" s="23" t="str">
        <f aca="false">IF(B3316="","","office")</f>
        <v/>
      </c>
      <c r="D3316" s="23" t="str">
        <f aca="false">IF(B3316="","",IFERROR(INDEX(Office_Log!$ED$2:$ED$201,MATCH(IFERROR(INDEX(Clay_Offices!$A$2:$FZ$601,465,Sync!$C$5)&amp;"",""),Office_Log!$A$2:$A$201,0))&amp;"",IFERROR(INDEX(Clay_Offices!$A$2:$FZ$601,465,Sync!$C$5)&amp;"","")&amp;""))</f>
        <v/>
      </c>
      <c r="E3316" s="23" t="str">
        <f aca="false">IF(B3316="","",IFERROR(INDEX(Clay_Offices!$A$2:$FZ$601,465,Sync!$C$6)&amp;"",""))</f>
        <v/>
      </c>
      <c r="F3316" s="23" t="str">
        <f aca="false">IF(B3316="","","outreach_sent")</f>
        <v/>
      </c>
      <c r="G3316" s="23" t="str">
        <f aca="false">IF(B3316="","","")</f>
        <v/>
      </c>
      <c r="H3316" s="23" t="str">
        <f aca="false">IF(B3316="","","")</f>
        <v/>
      </c>
      <c r="I3316" s="23" t="str">
        <f aca="false">IF(B3316="","","")</f>
        <v/>
      </c>
      <c r="J3316" s="23" t="str">
        <f aca="false">IF(B3316="","","touch_3; "&amp;IFERROR(INDEX(Clay_Offices!$A$2:$FZ$601,465,Sync!$C$10)&amp;"","")&amp;"; "&amp;IFERROR(INDEX(Clay_Offices!$A$2:$FZ$601,465,Sync!$C$9)&amp;"",""))</f>
        <v/>
      </c>
      <c r="K3316" s="32" t="s">
        <v>1365</v>
      </c>
    </row>
    <row r="3317" customFormat="false" ht="15" hidden="false" customHeight="false" outlineLevel="0" collapsed="false">
      <c r="A3317" s="23" t="str">
        <f aca="false">IF(B3317="","",B3317+(14*1000+466)/10000000)</f>
        <v/>
      </c>
      <c r="B3317" s="35" t="str">
        <f aca="false">IF(AND(IFERROR(N(INDEX(Clay_Offices!$A$2:$FZ$601,466,Sync!$C$13)),0)&gt;0,IFERROR(INDEX(Clay_Offices!$A$2:$FZ$601,466,Sync!$C$5)&amp;"","")&lt;&gt;"",OR(LEFT(IFERROR(INDEX(Clay_Offices!$A$2:$FZ$601,466,Sync!$C$5)&amp;"",""),6)&lt;&gt;"SAMPLE",Config!$B$19="Y")),IFERROR(N(INDEX(Clay_Offices!$A$2:$FZ$601,466,Sync!$C$13)),0),"")</f>
        <v/>
      </c>
      <c r="C3317" s="23" t="str">
        <f aca="false">IF(B3317="","","office")</f>
        <v/>
      </c>
      <c r="D3317" s="23" t="str">
        <f aca="false">IF(B3317="","",IFERROR(INDEX(Office_Log!$ED$2:$ED$201,MATCH(IFERROR(INDEX(Clay_Offices!$A$2:$FZ$601,466,Sync!$C$5)&amp;"",""),Office_Log!$A$2:$A$201,0))&amp;"",IFERROR(INDEX(Clay_Offices!$A$2:$FZ$601,466,Sync!$C$5)&amp;"","")&amp;""))</f>
        <v/>
      </c>
      <c r="E3317" s="23" t="str">
        <f aca="false">IF(B3317="","",IFERROR(INDEX(Clay_Offices!$A$2:$FZ$601,466,Sync!$C$6)&amp;"",""))</f>
        <v/>
      </c>
      <c r="F3317" s="23" t="str">
        <f aca="false">IF(B3317="","","outreach_sent")</f>
        <v/>
      </c>
      <c r="G3317" s="23" t="str">
        <f aca="false">IF(B3317="","","")</f>
        <v/>
      </c>
      <c r="H3317" s="23" t="str">
        <f aca="false">IF(B3317="","","")</f>
        <v/>
      </c>
      <c r="I3317" s="23" t="str">
        <f aca="false">IF(B3317="","","")</f>
        <v/>
      </c>
      <c r="J3317" s="23" t="str">
        <f aca="false">IF(B3317="","","touch_3; "&amp;IFERROR(INDEX(Clay_Offices!$A$2:$FZ$601,466,Sync!$C$10)&amp;"","")&amp;"; "&amp;IFERROR(INDEX(Clay_Offices!$A$2:$FZ$601,466,Sync!$C$9)&amp;"",""))</f>
        <v/>
      </c>
      <c r="K3317" s="32" t="s">
        <v>1365</v>
      </c>
    </row>
    <row r="3318" customFormat="false" ht="15" hidden="false" customHeight="false" outlineLevel="0" collapsed="false">
      <c r="A3318" s="23" t="str">
        <f aca="false">IF(B3318="","",B3318+(14*1000+467)/10000000)</f>
        <v/>
      </c>
      <c r="B3318" s="35" t="str">
        <f aca="false">IF(AND(IFERROR(N(INDEX(Clay_Offices!$A$2:$FZ$601,467,Sync!$C$13)),0)&gt;0,IFERROR(INDEX(Clay_Offices!$A$2:$FZ$601,467,Sync!$C$5)&amp;"","")&lt;&gt;"",OR(LEFT(IFERROR(INDEX(Clay_Offices!$A$2:$FZ$601,467,Sync!$C$5)&amp;"",""),6)&lt;&gt;"SAMPLE",Config!$B$19="Y")),IFERROR(N(INDEX(Clay_Offices!$A$2:$FZ$601,467,Sync!$C$13)),0),"")</f>
        <v/>
      </c>
      <c r="C3318" s="23" t="str">
        <f aca="false">IF(B3318="","","office")</f>
        <v/>
      </c>
      <c r="D3318" s="23" t="str">
        <f aca="false">IF(B3318="","",IFERROR(INDEX(Office_Log!$ED$2:$ED$201,MATCH(IFERROR(INDEX(Clay_Offices!$A$2:$FZ$601,467,Sync!$C$5)&amp;"",""),Office_Log!$A$2:$A$201,0))&amp;"",IFERROR(INDEX(Clay_Offices!$A$2:$FZ$601,467,Sync!$C$5)&amp;"","")&amp;""))</f>
        <v/>
      </c>
      <c r="E3318" s="23" t="str">
        <f aca="false">IF(B3318="","",IFERROR(INDEX(Clay_Offices!$A$2:$FZ$601,467,Sync!$C$6)&amp;"",""))</f>
        <v/>
      </c>
      <c r="F3318" s="23" t="str">
        <f aca="false">IF(B3318="","","outreach_sent")</f>
        <v/>
      </c>
      <c r="G3318" s="23" t="str">
        <f aca="false">IF(B3318="","","")</f>
        <v/>
      </c>
      <c r="H3318" s="23" t="str">
        <f aca="false">IF(B3318="","","")</f>
        <v/>
      </c>
      <c r="I3318" s="23" t="str">
        <f aca="false">IF(B3318="","","")</f>
        <v/>
      </c>
      <c r="J3318" s="23" t="str">
        <f aca="false">IF(B3318="","","touch_3; "&amp;IFERROR(INDEX(Clay_Offices!$A$2:$FZ$601,467,Sync!$C$10)&amp;"","")&amp;"; "&amp;IFERROR(INDEX(Clay_Offices!$A$2:$FZ$601,467,Sync!$C$9)&amp;"",""))</f>
        <v/>
      </c>
      <c r="K3318" s="32" t="s">
        <v>1365</v>
      </c>
    </row>
    <row r="3319" customFormat="false" ht="15" hidden="false" customHeight="false" outlineLevel="0" collapsed="false">
      <c r="A3319" s="23" t="str">
        <f aca="false">IF(B3319="","",B3319+(14*1000+468)/10000000)</f>
        <v/>
      </c>
      <c r="B3319" s="35" t="str">
        <f aca="false">IF(AND(IFERROR(N(INDEX(Clay_Offices!$A$2:$FZ$601,468,Sync!$C$13)),0)&gt;0,IFERROR(INDEX(Clay_Offices!$A$2:$FZ$601,468,Sync!$C$5)&amp;"","")&lt;&gt;"",OR(LEFT(IFERROR(INDEX(Clay_Offices!$A$2:$FZ$601,468,Sync!$C$5)&amp;"",""),6)&lt;&gt;"SAMPLE",Config!$B$19="Y")),IFERROR(N(INDEX(Clay_Offices!$A$2:$FZ$601,468,Sync!$C$13)),0),"")</f>
        <v/>
      </c>
      <c r="C3319" s="23" t="str">
        <f aca="false">IF(B3319="","","office")</f>
        <v/>
      </c>
      <c r="D3319" s="23" t="str">
        <f aca="false">IF(B3319="","",IFERROR(INDEX(Office_Log!$ED$2:$ED$201,MATCH(IFERROR(INDEX(Clay_Offices!$A$2:$FZ$601,468,Sync!$C$5)&amp;"",""),Office_Log!$A$2:$A$201,0))&amp;"",IFERROR(INDEX(Clay_Offices!$A$2:$FZ$601,468,Sync!$C$5)&amp;"","")&amp;""))</f>
        <v/>
      </c>
      <c r="E3319" s="23" t="str">
        <f aca="false">IF(B3319="","",IFERROR(INDEX(Clay_Offices!$A$2:$FZ$601,468,Sync!$C$6)&amp;"",""))</f>
        <v/>
      </c>
      <c r="F3319" s="23" t="str">
        <f aca="false">IF(B3319="","","outreach_sent")</f>
        <v/>
      </c>
      <c r="G3319" s="23" t="str">
        <f aca="false">IF(B3319="","","")</f>
        <v/>
      </c>
      <c r="H3319" s="23" t="str">
        <f aca="false">IF(B3319="","","")</f>
        <v/>
      </c>
      <c r="I3319" s="23" t="str">
        <f aca="false">IF(B3319="","","")</f>
        <v/>
      </c>
      <c r="J3319" s="23" t="str">
        <f aca="false">IF(B3319="","","touch_3; "&amp;IFERROR(INDEX(Clay_Offices!$A$2:$FZ$601,468,Sync!$C$10)&amp;"","")&amp;"; "&amp;IFERROR(INDEX(Clay_Offices!$A$2:$FZ$601,468,Sync!$C$9)&amp;"",""))</f>
        <v/>
      </c>
      <c r="K3319" s="32" t="s">
        <v>1365</v>
      </c>
    </row>
    <row r="3320" customFormat="false" ht="15" hidden="false" customHeight="false" outlineLevel="0" collapsed="false">
      <c r="A3320" s="23" t="str">
        <f aca="false">IF(B3320="","",B3320+(14*1000+469)/10000000)</f>
        <v/>
      </c>
      <c r="B3320" s="35" t="str">
        <f aca="false">IF(AND(IFERROR(N(INDEX(Clay_Offices!$A$2:$FZ$601,469,Sync!$C$13)),0)&gt;0,IFERROR(INDEX(Clay_Offices!$A$2:$FZ$601,469,Sync!$C$5)&amp;"","")&lt;&gt;"",OR(LEFT(IFERROR(INDEX(Clay_Offices!$A$2:$FZ$601,469,Sync!$C$5)&amp;"",""),6)&lt;&gt;"SAMPLE",Config!$B$19="Y")),IFERROR(N(INDEX(Clay_Offices!$A$2:$FZ$601,469,Sync!$C$13)),0),"")</f>
        <v/>
      </c>
      <c r="C3320" s="23" t="str">
        <f aca="false">IF(B3320="","","office")</f>
        <v/>
      </c>
      <c r="D3320" s="23" t="str">
        <f aca="false">IF(B3320="","",IFERROR(INDEX(Office_Log!$ED$2:$ED$201,MATCH(IFERROR(INDEX(Clay_Offices!$A$2:$FZ$601,469,Sync!$C$5)&amp;"",""),Office_Log!$A$2:$A$201,0))&amp;"",IFERROR(INDEX(Clay_Offices!$A$2:$FZ$601,469,Sync!$C$5)&amp;"","")&amp;""))</f>
        <v/>
      </c>
      <c r="E3320" s="23" t="str">
        <f aca="false">IF(B3320="","",IFERROR(INDEX(Clay_Offices!$A$2:$FZ$601,469,Sync!$C$6)&amp;"",""))</f>
        <v/>
      </c>
      <c r="F3320" s="23" t="str">
        <f aca="false">IF(B3320="","","outreach_sent")</f>
        <v/>
      </c>
      <c r="G3320" s="23" t="str">
        <f aca="false">IF(B3320="","","")</f>
        <v/>
      </c>
      <c r="H3320" s="23" t="str">
        <f aca="false">IF(B3320="","","")</f>
        <v/>
      </c>
      <c r="I3320" s="23" t="str">
        <f aca="false">IF(B3320="","","")</f>
        <v/>
      </c>
      <c r="J3320" s="23" t="str">
        <f aca="false">IF(B3320="","","touch_3; "&amp;IFERROR(INDEX(Clay_Offices!$A$2:$FZ$601,469,Sync!$C$10)&amp;"","")&amp;"; "&amp;IFERROR(INDEX(Clay_Offices!$A$2:$FZ$601,469,Sync!$C$9)&amp;"",""))</f>
        <v/>
      </c>
      <c r="K3320" s="32" t="s">
        <v>1365</v>
      </c>
    </row>
    <row r="3321" customFormat="false" ht="15" hidden="false" customHeight="false" outlineLevel="0" collapsed="false">
      <c r="A3321" s="23" t="str">
        <f aca="false">IF(B3321="","",B3321+(14*1000+470)/10000000)</f>
        <v/>
      </c>
      <c r="B3321" s="35" t="str">
        <f aca="false">IF(AND(IFERROR(N(INDEX(Clay_Offices!$A$2:$FZ$601,470,Sync!$C$13)),0)&gt;0,IFERROR(INDEX(Clay_Offices!$A$2:$FZ$601,470,Sync!$C$5)&amp;"","")&lt;&gt;"",OR(LEFT(IFERROR(INDEX(Clay_Offices!$A$2:$FZ$601,470,Sync!$C$5)&amp;"",""),6)&lt;&gt;"SAMPLE",Config!$B$19="Y")),IFERROR(N(INDEX(Clay_Offices!$A$2:$FZ$601,470,Sync!$C$13)),0),"")</f>
        <v/>
      </c>
      <c r="C3321" s="23" t="str">
        <f aca="false">IF(B3321="","","office")</f>
        <v/>
      </c>
      <c r="D3321" s="23" t="str">
        <f aca="false">IF(B3321="","",IFERROR(INDEX(Office_Log!$ED$2:$ED$201,MATCH(IFERROR(INDEX(Clay_Offices!$A$2:$FZ$601,470,Sync!$C$5)&amp;"",""),Office_Log!$A$2:$A$201,0))&amp;"",IFERROR(INDEX(Clay_Offices!$A$2:$FZ$601,470,Sync!$C$5)&amp;"","")&amp;""))</f>
        <v/>
      </c>
      <c r="E3321" s="23" t="str">
        <f aca="false">IF(B3321="","",IFERROR(INDEX(Clay_Offices!$A$2:$FZ$601,470,Sync!$C$6)&amp;"",""))</f>
        <v/>
      </c>
      <c r="F3321" s="23" t="str">
        <f aca="false">IF(B3321="","","outreach_sent")</f>
        <v/>
      </c>
      <c r="G3321" s="23" t="str">
        <f aca="false">IF(B3321="","","")</f>
        <v/>
      </c>
      <c r="H3321" s="23" t="str">
        <f aca="false">IF(B3321="","","")</f>
        <v/>
      </c>
      <c r="I3321" s="23" t="str">
        <f aca="false">IF(B3321="","","")</f>
        <v/>
      </c>
      <c r="J3321" s="23" t="str">
        <f aca="false">IF(B3321="","","touch_3; "&amp;IFERROR(INDEX(Clay_Offices!$A$2:$FZ$601,470,Sync!$C$10)&amp;"","")&amp;"; "&amp;IFERROR(INDEX(Clay_Offices!$A$2:$FZ$601,470,Sync!$C$9)&amp;"",""))</f>
        <v/>
      </c>
      <c r="K3321" s="32" t="s">
        <v>1365</v>
      </c>
    </row>
    <row r="3322" customFormat="false" ht="15" hidden="false" customHeight="false" outlineLevel="0" collapsed="false">
      <c r="A3322" s="23" t="str">
        <f aca="false">IF(B3322="","",B3322+(14*1000+471)/10000000)</f>
        <v/>
      </c>
      <c r="B3322" s="35" t="str">
        <f aca="false">IF(AND(IFERROR(N(INDEX(Clay_Offices!$A$2:$FZ$601,471,Sync!$C$13)),0)&gt;0,IFERROR(INDEX(Clay_Offices!$A$2:$FZ$601,471,Sync!$C$5)&amp;"","")&lt;&gt;"",OR(LEFT(IFERROR(INDEX(Clay_Offices!$A$2:$FZ$601,471,Sync!$C$5)&amp;"",""),6)&lt;&gt;"SAMPLE",Config!$B$19="Y")),IFERROR(N(INDEX(Clay_Offices!$A$2:$FZ$601,471,Sync!$C$13)),0),"")</f>
        <v/>
      </c>
      <c r="C3322" s="23" t="str">
        <f aca="false">IF(B3322="","","office")</f>
        <v/>
      </c>
      <c r="D3322" s="23" t="str">
        <f aca="false">IF(B3322="","",IFERROR(INDEX(Office_Log!$ED$2:$ED$201,MATCH(IFERROR(INDEX(Clay_Offices!$A$2:$FZ$601,471,Sync!$C$5)&amp;"",""),Office_Log!$A$2:$A$201,0))&amp;"",IFERROR(INDEX(Clay_Offices!$A$2:$FZ$601,471,Sync!$C$5)&amp;"","")&amp;""))</f>
        <v/>
      </c>
      <c r="E3322" s="23" t="str">
        <f aca="false">IF(B3322="","",IFERROR(INDEX(Clay_Offices!$A$2:$FZ$601,471,Sync!$C$6)&amp;"",""))</f>
        <v/>
      </c>
      <c r="F3322" s="23" t="str">
        <f aca="false">IF(B3322="","","outreach_sent")</f>
        <v/>
      </c>
      <c r="G3322" s="23" t="str">
        <f aca="false">IF(B3322="","","")</f>
        <v/>
      </c>
      <c r="H3322" s="23" t="str">
        <f aca="false">IF(B3322="","","")</f>
        <v/>
      </c>
      <c r="I3322" s="23" t="str">
        <f aca="false">IF(B3322="","","")</f>
        <v/>
      </c>
      <c r="J3322" s="23" t="str">
        <f aca="false">IF(B3322="","","touch_3; "&amp;IFERROR(INDEX(Clay_Offices!$A$2:$FZ$601,471,Sync!$C$10)&amp;"","")&amp;"; "&amp;IFERROR(INDEX(Clay_Offices!$A$2:$FZ$601,471,Sync!$C$9)&amp;"",""))</f>
        <v/>
      </c>
      <c r="K3322" s="32" t="s">
        <v>1365</v>
      </c>
    </row>
    <row r="3323" customFormat="false" ht="15" hidden="false" customHeight="false" outlineLevel="0" collapsed="false">
      <c r="A3323" s="23" t="str">
        <f aca="false">IF(B3323="","",B3323+(14*1000+472)/10000000)</f>
        <v/>
      </c>
      <c r="B3323" s="35" t="str">
        <f aca="false">IF(AND(IFERROR(N(INDEX(Clay_Offices!$A$2:$FZ$601,472,Sync!$C$13)),0)&gt;0,IFERROR(INDEX(Clay_Offices!$A$2:$FZ$601,472,Sync!$C$5)&amp;"","")&lt;&gt;"",OR(LEFT(IFERROR(INDEX(Clay_Offices!$A$2:$FZ$601,472,Sync!$C$5)&amp;"",""),6)&lt;&gt;"SAMPLE",Config!$B$19="Y")),IFERROR(N(INDEX(Clay_Offices!$A$2:$FZ$601,472,Sync!$C$13)),0),"")</f>
        <v/>
      </c>
      <c r="C3323" s="23" t="str">
        <f aca="false">IF(B3323="","","office")</f>
        <v/>
      </c>
      <c r="D3323" s="23" t="str">
        <f aca="false">IF(B3323="","",IFERROR(INDEX(Office_Log!$ED$2:$ED$201,MATCH(IFERROR(INDEX(Clay_Offices!$A$2:$FZ$601,472,Sync!$C$5)&amp;"",""),Office_Log!$A$2:$A$201,0))&amp;"",IFERROR(INDEX(Clay_Offices!$A$2:$FZ$601,472,Sync!$C$5)&amp;"","")&amp;""))</f>
        <v/>
      </c>
      <c r="E3323" s="23" t="str">
        <f aca="false">IF(B3323="","",IFERROR(INDEX(Clay_Offices!$A$2:$FZ$601,472,Sync!$C$6)&amp;"",""))</f>
        <v/>
      </c>
      <c r="F3323" s="23" t="str">
        <f aca="false">IF(B3323="","","outreach_sent")</f>
        <v/>
      </c>
      <c r="G3323" s="23" t="str">
        <f aca="false">IF(B3323="","","")</f>
        <v/>
      </c>
      <c r="H3323" s="23" t="str">
        <f aca="false">IF(B3323="","","")</f>
        <v/>
      </c>
      <c r="I3323" s="23" t="str">
        <f aca="false">IF(B3323="","","")</f>
        <v/>
      </c>
      <c r="J3323" s="23" t="str">
        <f aca="false">IF(B3323="","","touch_3; "&amp;IFERROR(INDEX(Clay_Offices!$A$2:$FZ$601,472,Sync!$C$10)&amp;"","")&amp;"; "&amp;IFERROR(INDEX(Clay_Offices!$A$2:$FZ$601,472,Sync!$C$9)&amp;"",""))</f>
        <v/>
      </c>
      <c r="K3323" s="32" t="s">
        <v>1365</v>
      </c>
    </row>
    <row r="3324" customFormat="false" ht="15" hidden="false" customHeight="false" outlineLevel="0" collapsed="false">
      <c r="A3324" s="23" t="str">
        <f aca="false">IF(B3324="","",B3324+(14*1000+473)/10000000)</f>
        <v/>
      </c>
      <c r="B3324" s="35" t="str">
        <f aca="false">IF(AND(IFERROR(N(INDEX(Clay_Offices!$A$2:$FZ$601,473,Sync!$C$13)),0)&gt;0,IFERROR(INDEX(Clay_Offices!$A$2:$FZ$601,473,Sync!$C$5)&amp;"","")&lt;&gt;"",OR(LEFT(IFERROR(INDEX(Clay_Offices!$A$2:$FZ$601,473,Sync!$C$5)&amp;"",""),6)&lt;&gt;"SAMPLE",Config!$B$19="Y")),IFERROR(N(INDEX(Clay_Offices!$A$2:$FZ$601,473,Sync!$C$13)),0),"")</f>
        <v/>
      </c>
      <c r="C3324" s="23" t="str">
        <f aca="false">IF(B3324="","","office")</f>
        <v/>
      </c>
      <c r="D3324" s="23" t="str">
        <f aca="false">IF(B3324="","",IFERROR(INDEX(Office_Log!$ED$2:$ED$201,MATCH(IFERROR(INDEX(Clay_Offices!$A$2:$FZ$601,473,Sync!$C$5)&amp;"",""),Office_Log!$A$2:$A$201,0))&amp;"",IFERROR(INDEX(Clay_Offices!$A$2:$FZ$601,473,Sync!$C$5)&amp;"","")&amp;""))</f>
        <v/>
      </c>
      <c r="E3324" s="23" t="str">
        <f aca="false">IF(B3324="","",IFERROR(INDEX(Clay_Offices!$A$2:$FZ$601,473,Sync!$C$6)&amp;"",""))</f>
        <v/>
      </c>
      <c r="F3324" s="23" t="str">
        <f aca="false">IF(B3324="","","outreach_sent")</f>
        <v/>
      </c>
      <c r="G3324" s="23" t="str">
        <f aca="false">IF(B3324="","","")</f>
        <v/>
      </c>
      <c r="H3324" s="23" t="str">
        <f aca="false">IF(B3324="","","")</f>
        <v/>
      </c>
      <c r="I3324" s="23" t="str">
        <f aca="false">IF(B3324="","","")</f>
        <v/>
      </c>
      <c r="J3324" s="23" t="str">
        <f aca="false">IF(B3324="","","touch_3; "&amp;IFERROR(INDEX(Clay_Offices!$A$2:$FZ$601,473,Sync!$C$10)&amp;"","")&amp;"; "&amp;IFERROR(INDEX(Clay_Offices!$A$2:$FZ$601,473,Sync!$C$9)&amp;"",""))</f>
        <v/>
      </c>
      <c r="K3324" s="32" t="s">
        <v>1365</v>
      </c>
    </row>
    <row r="3325" customFormat="false" ht="15" hidden="false" customHeight="false" outlineLevel="0" collapsed="false">
      <c r="A3325" s="23" t="str">
        <f aca="false">IF(B3325="","",B3325+(14*1000+474)/10000000)</f>
        <v/>
      </c>
      <c r="B3325" s="35" t="str">
        <f aca="false">IF(AND(IFERROR(N(INDEX(Clay_Offices!$A$2:$FZ$601,474,Sync!$C$13)),0)&gt;0,IFERROR(INDEX(Clay_Offices!$A$2:$FZ$601,474,Sync!$C$5)&amp;"","")&lt;&gt;"",OR(LEFT(IFERROR(INDEX(Clay_Offices!$A$2:$FZ$601,474,Sync!$C$5)&amp;"",""),6)&lt;&gt;"SAMPLE",Config!$B$19="Y")),IFERROR(N(INDEX(Clay_Offices!$A$2:$FZ$601,474,Sync!$C$13)),0),"")</f>
        <v/>
      </c>
      <c r="C3325" s="23" t="str">
        <f aca="false">IF(B3325="","","office")</f>
        <v/>
      </c>
      <c r="D3325" s="23" t="str">
        <f aca="false">IF(B3325="","",IFERROR(INDEX(Office_Log!$ED$2:$ED$201,MATCH(IFERROR(INDEX(Clay_Offices!$A$2:$FZ$601,474,Sync!$C$5)&amp;"",""),Office_Log!$A$2:$A$201,0))&amp;"",IFERROR(INDEX(Clay_Offices!$A$2:$FZ$601,474,Sync!$C$5)&amp;"","")&amp;""))</f>
        <v/>
      </c>
      <c r="E3325" s="23" t="str">
        <f aca="false">IF(B3325="","",IFERROR(INDEX(Clay_Offices!$A$2:$FZ$601,474,Sync!$C$6)&amp;"",""))</f>
        <v/>
      </c>
      <c r="F3325" s="23" t="str">
        <f aca="false">IF(B3325="","","outreach_sent")</f>
        <v/>
      </c>
      <c r="G3325" s="23" t="str">
        <f aca="false">IF(B3325="","","")</f>
        <v/>
      </c>
      <c r="H3325" s="23" t="str">
        <f aca="false">IF(B3325="","","")</f>
        <v/>
      </c>
      <c r="I3325" s="23" t="str">
        <f aca="false">IF(B3325="","","")</f>
        <v/>
      </c>
      <c r="J3325" s="23" t="str">
        <f aca="false">IF(B3325="","","touch_3; "&amp;IFERROR(INDEX(Clay_Offices!$A$2:$FZ$601,474,Sync!$C$10)&amp;"","")&amp;"; "&amp;IFERROR(INDEX(Clay_Offices!$A$2:$FZ$601,474,Sync!$C$9)&amp;"",""))</f>
        <v/>
      </c>
      <c r="K3325" s="32" t="s">
        <v>1365</v>
      </c>
    </row>
    <row r="3326" customFormat="false" ht="15" hidden="false" customHeight="false" outlineLevel="0" collapsed="false">
      <c r="A3326" s="23" t="str">
        <f aca="false">IF(B3326="","",B3326+(14*1000+475)/10000000)</f>
        <v/>
      </c>
      <c r="B3326" s="35" t="str">
        <f aca="false">IF(AND(IFERROR(N(INDEX(Clay_Offices!$A$2:$FZ$601,475,Sync!$C$13)),0)&gt;0,IFERROR(INDEX(Clay_Offices!$A$2:$FZ$601,475,Sync!$C$5)&amp;"","")&lt;&gt;"",OR(LEFT(IFERROR(INDEX(Clay_Offices!$A$2:$FZ$601,475,Sync!$C$5)&amp;"",""),6)&lt;&gt;"SAMPLE",Config!$B$19="Y")),IFERROR(N(INDEX(Clay_Offices!$A$2:$FZ$601,475,Sync!$C$13)),0),"")</f>
        <v/>
      </c>
      <c r="C3326" s="23" t="str">
        <f aca="false">IF(B3326="","","office")</f>
        <v/>
      </c>
      <c r="D3326" s="23" t="str">
        <f aca="false">IF(B3326="","",IFERROR(INDEX(Office_Log!$ED$2:$ED$201,MATCH(IFERROR(INDEX(Clay_Offices!$A$2:$FZ$601,475,Sync!$C$5)&amp;"",""),Office_Log!$A$2:$A$201,0))&amp;"",IFERROR(INDEX(Clay_Offices!$A$2:$FZ$601,475,Sync!$C$5)&amp;"","")&amp;""))</f>
        <v/>
      </c>
      <c r="E3326" s="23" t="str">
        <f aca="false">IF(B3326="","",IFERROR(INDEX(Clay_Offices!$A$2:$FZ$601,475,Sync!$C$6)&amp;"",""))</f>
        <v/>
      </c>
      <c r="F3326" s="23" t="str">
        <f aca="false">IF(B3326="","","outreach_sent")</f>
        <v/>
      </c>
      <c r="G3326" s="23" t="str">
        <f aca="false">IF(B3326="","","")</f>
        <v/>
      </c>
      <c r="H3326" s="23" t="str">
        <f aca="false">IF(B3326="","","")</f>
        <v/>
      </c>
      <c r="I3326" s="23" t="str">
        <f aca="false">IF(B3326="","","")</f>
        <v/>
      </c>
      <c r="J3326" s="23" t="str">
        <f aca="false">IF(B3326="","","touch_3; "&amp;IFERROR(INDEX(Clay_Offices!$A$2:$FZ$601,475,Sync!$C$10)&amp;"","")&amp;"; "&amp;IFERROR(INDEX(Clay_Offices!$A$2:$FZ$601,475,Sync!$C$9)&amp;"",""))</f>
        <v/>
      </c>
      <c r="K3326" s="32" t="s">
        <v>1365</v>
      </c>
    </row>
    <row r="3327" customFormat="false" ht="15" hidden="false" customHeight="false" outlineLevel="0" collapsed="false">
      <c r="A3327" s="23" t="str">
        <f aca="false">IF(B3327="","",B3327+(14*1000+476)/10000000)</f>
        <v/>
      </c>
      <c r="B3327" s="35" t="str">
        <f aca="false">IF(AND(IFERROR(N(INDEX(Clay_Offices!$A$2:$FZ$601,476,Sync!$C$13)),0)&gt;0,IFERROR(INDEX(Clay_Offices!$A$2:$FZ$601,476,Sync!$C$5)&amp;"","")&lt;&gt;"",OR(LEFT(IFERROR(INDEX(Clay_Offices!$A$2:$FZ$601,476,Sync!$C$5)&amp;"",""),6)&lt;&gt;"SAMPLE",Config!$B$19="Y")),IFERROR(N(INDEX(Clay_Offices!$A$2:$FZ$601,476,Sync!$C$13)),0),"")</f>
        <v/>
      </c>
      <c r="C3327" s="23" t="str">
        <f aca="false">IF(B3327="","","office")</f>
        <v/>
      </c>
      <c r="D3327" s="23" t="str">
        <f aca="false">IF(B3327="","",IFERROR(INDEX(Office_Log!$ED$2:$ED$201,MATCH(IFERROR(INDEX(Clay_Offices!$A$2:$FZ$601,476,Sync!$C$5)&amp;"",""),Office_Log!$A$2:$A$201,0))&amp;"",IFERROR(INDEX(Clay_Offices!$A$2:$FZ$601,476,Sync!$C$5)&amp;"","")&amp;""))</f>
        <v/>
      </c>
      <c r="E3327" s="23" t="str">
        <f aca="false">IF(B3327="","",IFERROR(INDEX(Clay_Offices!$A$2:$FZ$601,476,Sync!$C$6)&amp;"",""))</f>
        <v/>
      </c>
      <c r="F3327" s="23" t="str">
        <f aca="false">IF(B3327="","","outreach_sent")</f>
        <v/>
      </c>
      <c r="G3327" s="23" t="str">
        <f aca="false">IF(B3327="","","")</f>
        <v/>
      </c>
      <c r="H3327" s="23" t="str">
        <f aca="false">IF(B3327="","","")</f>
        <v/>
      </c>
      <c r="I3327" s="23" t="str">
        <f aca="false">IF(B3327="","","")</f>
        <v/>
      </c>
      <c r="J3327" s="23" t="str">
        <f aca="false">IF(B3327="","","touch_3; "&amp;IFERROR(INDEX(Clay_Offices!$A$2:$FZ$601,476,Sync!$C$10)&amp;"","")&amp;"; "&amp;IFERROR(INDEX(Clay_Offices!$A$2:$FZ$601,476,Sync!$C$9)&amp;"",""))</f>
        <v/>
      </c>
      <c r="K3327" s="32" t="s">
        <v>1365</v>
      </c>
    </row>
    <row r="3328" customFormat="false" ht="15" hidden="false" customHeight="false" outlineLevel="0" collapsed="false">
      <c r="A3328" s="23" t="str">
        <f aca="false">IF(B3328="","",B3328+(14*1000+477)/10000000)</f>
        <v/>
      </c>
      <c r="B3328" s="35" t="str">
        <f aca="false">IF(AND(IFERROR(N(INDEX(Clay_Offices!$A$2:$FZ$601,477,Sync!$C$13)),0)&gt;0,IFERROR(INDEX(Clay_Offices!$A$2:$FZ$601,477,Sync!$C$5)&amp;"","")&lt;&gt;"",OR(LEFT(IFERROR(INDEX(Clay_Offices!$A$2:$FZ$601,477,Sync!$C$5)&amp;"",""),6)&lt;&gt;"SAMPLE",Config!$B$19="Y")),IFERROR(N(INDEX(Clay_Offices!$A$2:$FZ$601,477,Sync!$C$13)),0),"")</f>
        <v/>
      </c>
      <c r="C3328" s="23" t="str">
        <f aca="false">IF(B3328="","","office")</f>
        <v/>
      </c>
      <c r="D3328" s="23" t="str">
        <f aca="false">IF(B3328="","",IFERROR(INDEX(Office_Log!$ED$2:$ED$201,MATCH(IFERROR(INDEX(Clay_Offices!$A$2:$FZ$601,477,Sync!$C$5)&amp;"",""),Office_Log!$A$2:$A$201,0))&amp;"",IFERROR(INDEX(Clay_Offices!$A$2:$FZ$601,477,Sync!$C$5)&amp;"","")&amp;""))</f>
        <v/>
      </c>
      <c r="E3328" s="23" t="str">
        <f aca="false">IF(B3328="","",IFERROR(INDEX(Clay_Offices!$A$2:$FZ$601,477,Sync!$C$6)&amp;"",""))</f>
        <v/>
      </c>
      <c r="F3328" s="23" t="str">
        <f aca="false">IF(B3328="","","outreach_sent")</f>
        <v/>
      </c>
      <c r="G3328" s="23" t="str">
        <f aca="false">IF(B3328="","","")</f>
        <v/>
      </c>
      <c r="H3328" s="23" t="str">
        <f aca="false">IF(B3328="","","")</f>
        <v/>
      </c>
      <c r="I3328" s="23" t="str">
        <f aca="false">IF(B3328="","","")</f>
        <v/>
      </c>
      <c r="J3328" s="23" t="str">
        <f aca="false">IF(B3328="","","touch_3; "&amp;IFERROR(INDEX(Clay_Offices!$A$2:$FZ$601,477,Sync!$C$10)&amp;"","")&amp;"; "&amp;IFERROR(INDEX(Clay_Offices!$A$2:$FZ$601,477,Sync!$C$9)&amp;"",""))</f>
        <v/>
      </c>
      <c r="K3328" s="32" t="s">
        <v>1365</v>
      </c>
    </row>
    <row r="3329" customFormat="false" ht="15" hidden="false" customHeight="false" outlineLevel="0" collapsed="false">
      <c r="A3329" s="23" t="str">
        <f aca="false">IF(B3329="","",B3329+(14*1000+478)/10000000)</f>
        <v/>
      </c>
      <c r="B3329" s="35" t="str">
        <f aca="false">IF(AND(IFERROR(N(INDEX(Clay_Offices!$A$2:$FZ$601,478,Sync!$C$13)),0)&gt;0,IFERROR(INDEX(Clay_Offices!$A$2:$FZ$601,478,Sync!$C$5)&amp;"","")&lt;&gt;"",OR(LEFT(IFERROR(INDEX(Clay_Offices!$A$2:$FZ$601,478,Sync!$C$5)&amp;"",""),6)&lt;&gt;"SAMPLE",Config!$B$19="Y")),IFERROR(N(INDEX(Clay_Offices!$A$2:$FZ$601,478,Sync!$C$13)),0),"")</f>
        <v/>
      </c>
      <c r="C3329" s="23" t="str">
        <f aca="false">IF(B3329="","","office")</f>
        <v/>
      </c>
      <c r="D3329" s="23" t="str">
        <f aca="false">IF(B3329="","",IFERROR(INDEX(Office_Log!$ED$2:$ED$201,MATCH(IFERROR(INDEX(Clay_Offices!$A$2:$FZ$601,478,Sync!$C$5)&amp;"",""),Office_Log!$A$2:$A$201,0))&amp;"",IFERROR(INDEX(Clay_Offices!$A$2:$FZ$601,478,Sync!$C$5)&amp;"","")&amp;""))</f>
        <v/>
      </c>
      <c r="E3329" s="23" t="str">
        <f aca="false">IF(B3329="","",IFERROR(INDEX(Clay_Offices!$A$2:$FZ$601,478,Sync!$C$6)&amp;"",""))</f>
        <v/>
      </c>
      <c r="F3329" s="23" t="str">
        <f aca="false">IF(B3329="","","outreach_sent")</f>
        <v/>
      </c>
      <c r="G3329" s="23" t="str">
        <f aca="false">IF(B3329="","","")</f>
        <v/>
      </c>
      <c r="H3329" s="23" t="str">
        <f aca="false">IF(B3329="","","")</f>
        <v/>
      </c>
      <c r="I3329" s="23" t="str">
        <f aca="false">IF(B3329="","","")</f>
        <v/>
      </c>
      <c r="J3329" s="23" t="str">
        <f aca="false">IF(B3329="","","touch_3; "&amp;IFERROR(INDEX(Clay_Offices!$A$2:$FZ$601,478,Sync!$C$10)&amp;"","")&amp;"; "&amp;IFERROR(INDEX(Clay_Offices!$A$2:$FZ$601,478,Sync!$C$9)&amp;"",""))</f>
        <v/>
      </c>
      <c r="K3329" s="32" t="s">
        <v>1365</v>
      </c>
    </row>
    <row r="3330" customFormat="false" ht="15" hidden="false" customHeight="false" outlineLevel="0" collapsed="false">
      <c r="A3330" s="23" t="str">
        <f aca="false">IF(B3330="","",B3330+(14*1000+479)/10000000)</f>
        <v/>
      </c>
      <c r="B3330" s="35" t="str">
        <f aca="false">IF(AND(IFERROR(N(INDEX(Clay_Offices!$A$2:$FZ$601,479,Sync!$C$13)),0)&gt;0,IFERROR(INDEX(Clay_Offices!$A$2:$FZ$601,479,Sync!$C$5)&amp;"","")&lt;&gt;"",OR(LEFT(IFERROR(INDEX(Clay_Offices!$A$2:$FZ$601,479,Sync!$C$5)&amp;"",""),6)&lt;&gt;"SAMPLE",Config!$B$19="Y")),IFERROR(N(INDEX(Clay_Offices!$A$2:$FZ$601,479,Sync!$C$13)),0),"")</f>
        <v/>
      </c>
      <c r="C3330" s="23" t="str">
        <f aca="false">IF(B3330="","","office")</f>
        <v/>
      </c>
      <c r="D3330" s="23" t="str">
        <f aca="false">IF(B3330="","",IFERROR(INDEX(Office_Log!$ED$2:$ED$201,MATCH(IFERROR(INDEX(Clay_Offices!$A$2:$FZ$601,479,Sync!$C$5)&amp;"",""),Office_Log!$A$2:$A$201,0))&amp;"",IFERROR(INDEX(Clay_Offices!$A$2:$FZ$601,479,Sync!$C$5)&amp;"","")&amp;""))</f>
        <v/>
      </c>
      <c r="E3330" s="23" t="str">
        <f aca="false">IF(B3330="","",IFERROR(INDEX(Clay_Offices!$A$2:$FZ$601,479,Sync!$C$6)&amp;"",""))</f>
        <v/>
      </c>
      <c r="F3330" s="23" t="str">
        <f aca="false">IF(B3330="","","outreach_sent")</f>
        <v/>
      </c>
      <c r="G3330" s="23" t="str">
        <f aca="false">IF(B3330="","","")</f>
        <v/>
      </c>
      <c r="H3330" s="23" t="str">
        <f aca="false">IF(B3330="","","")</f>
        <v/>
      </c>
      <c r="I3330" s="23" t="str">
        <f aca="false">IF(B3330="","","")</f>
        <v/>
      </c>
      <c r="J3330" s="23" t="str">
        <f aca="false">IF(B3330="","","touch_3; "&amp;IFERROR(INDEX(Clay_Offices!$A$2:$FZ$601,479,Sync!$C$10)&amp;"","")&amp;"; "&amp;IFERROR(INDEX(Clay_Offices!$A$2:$FZ$601,479,Sync!$C$9)&amp;"",""))</f>
        <v/>
      </c>
      <c r="K3330" s="32" t="s">
        <v>1365</v>
      </c>
    </row>
    <row r="3331" customFormat="false" ht="15" hidden="false" customHeight="false" outlineLevel="0" collapsed="false">
      <c r="A3331" s="23" t="str">
        <f aca="false">IF(B3331="","",B3331+(14*1000+480)/10000000)</f>
        <v/>
      </c>
      <c r="B3331" s="35" t="str">
        <f aca="false">IF(AND(IFERROR(N(INDEX(Clay_Offices!$A$2:$FZ$601,480,Sync!$C$13)),0)&gt;0,IFERROR(INDEX(Clay_Offices!$A$2:$FZ$601,480,Sync!$C$5)&amp;"","")&lt;&gt;"",OR(LEFT(IFERROR(INDEX(Clay_Offices!$A$2:$FZ$601,480,Sync!$C$5)&amp;"",""),6)&lt;&gt;"SAMPLE",Config!$B$19="Y")),IFERROR(N(INDEX(Clay_Offices!$A$2:$FZ$601,480,Sync!$C$13)),0),"")</f>
        <v/>
      </c>
      <c r="C3331" s="23" t="str">
        <f aca="false">IF(B3331="","","office")</f>
        <v/>
      </c>
      <c r="D3331" s="23" t="str">
        <f aca="false">IF(B3331="","",IFERROR(INDEX(Office_Log!$ED$2:$ED$201,MATCH(IFERROR(INDEX(Clay_Offices!$A$2:$FZ$601,480,Sync!$C$5)&amp;"",""),Office_Log!$A$2:$A$201,0))&amp;"",IFERROR(INDEX(Clay_Offices!$A$2:$FZ$601,480,Sync!$C$5)&amp;"","")&amp;""))</f>
        <v/>
      </c>
      <c r="E3331" s="23" t="str">
        <f aca="false">IF(B3331="","",IFERROR(INDEX(Clay_Offices!$A$2:$FZ$601,480,Sync!$C$6)&amp;"",""))</f>
        <v/>
      </c>
      <c r="F3331" s="23" t="str">
        <f aca="false">IF(B3331="","","outreach_sent")</f>
        <v/>
      </c>
      <c r="G3331" s="23" t="str">
        <f aca="false">IF(B3331="","","")</f>
        <v/>
      </c>
      <c r="H3331" s="23" t="str">
        <f aca="false">IF(B3331="","","")</f>
        <v/>
      </c>
      <c r="I3331" s="23" t="str">
        <f aca="false">IF(B3331="","","")</f>
        <v/>
      </c>
      <c r="J3331" s="23" t="str">
        <f aca="false">IF(B3331="","","touch_3; "&amp;IFERROR(INDEX(Clay_Offices!$A$2:$FZ$601,480,Sync!$C$10)&amp;"","")&amp;"; "&amp;IFERROR(INDEX(Clay_Offices!$A$2:$FZ$601,480,Sync!$C$9)&amp;"",""))</f>
        <v/>
      </c>
      <c r="K3331" s="32" t="s">
        <v>1365</v>
      </c>
    </row>
    <row r="3332" customFormat="false" ht="15" hidden="false" customHeight="false" outlineLevel="0" collapsed="false">
      <c r="A3332" s="23" t="str">
        <f aca="false">IF(B3332="","",B3332+(14*1000+481)/10000000)</f>
        <v/>
      </c>
      <c r="B3332" s="35" t="str">
        <f aca="false">IF(AND(IFERROR(N(INDEX(Clay_Offices!$A$2:$FZ$601,481,Sync!$C$13)),0)&gt;0,IFERROR(INDEX(Clay_Offices!$A$2:$FZ$601,481,Sync!$C$5)&amp;"","")&lt;&gt;"",OR(LEFT(IFERROR(INDEX(Clay_Offices!$A$2:$FZ$601,481,Sync!$C$5)&amp;"",""),6)&lt;&gt;"SAMPLE",Config!$B$19="Y")),IFERROR(N(INDEX(Clay_Offices!$A$2:$FZ$601,481,Sync!$C$13)),0),"")</f>
        <v/>
      </c>
      <c r="C3332" s="23" t="str">
        <f aca="false">IF(B3332="","","office")</f>
        <v/>
      </c>
      <c r="D3332" s="23" t="str">
        <f aca="false">IF(B3332="","",IFERROR(INDEX(Office_Log!$ED$2:$ED$201,MATCH(IFERROR(INDEX(Clay_Offices!$A$2:$FZ$601,481,Sync!$C$5)&amp;"",""),Office_Log!$A$2:$A$201,0))&amp;"",IFERROR(INDEX(Clay_Offices!$A$2:$FZ$601,481,Sync!$C$5)&amp;"","")&amp;""))</f>
        <v/>
      </c>
      <c r="E3332" s="23" t="str">
        <f aca="false">IF(B3332="","",IFERROR(INDEX(Clay_Offices!$A$2:$FZ$601,481,Sync!$C$6)&amp;"",""))</f>
        <v/>
      </c>
      <c r="F3332" s="23" t="str">
        <f aca="false">IF(B3332="","","outreach_sent")</f>
        <v/>
      </c>
      <c r="G3332" s="23" t="str">
        <f aca="false">IF(B3332="","","")</f>
        <v/>
      </c>
      <c r="H3332" s="23" t="str">
        <f aca="false">IF(B3332="","","")</f>
        <v/>
      </c>
      <c r="I3332" s="23" t="str">
        <f aca="false">IF(B3332="","","")</f>
        <v/>
      </c>
      <c r="J3332" s="23" t="str">
        <f aca="false">IF(B3332="","","touch_3; "&amp;IFERROR(INDEX(Clay_Offices!$A$2:$FZ$601,481,Sync!$C$10)&amp;"","")&amp;"; "&amp;IFERROR(INDEX(Clay_Offices!$A$2:$FZ$601,481,Sync!$C$9)&amp;"",""))</f>
        <v/>
      </c>
      <c r="K3332" s="32" t="s">
        <v>1365</v>
      </c>
    </row>
    <row r="3333" customFormat="false" ht="15" hidden="false" customHeight="false" outlineLevel="0" collapsed="false">
      <c r="A3333" s="23" t="str">
        <f aca="false">IF(B3333="","",B3333+(14*1000+482)/10000000)</f>
        <v/>
      </c>
      <c r="B3333" s="35" t="str">
        <f aca="false">IF(AND(IFERROR(N(INDEX(Clay_Offices!$A$2:$FZ$601,482,Sync!$C$13)),0)&gt;0,IFERROR(INDEX(Clay_Offices!$A$2:$FZ$601,482,Sync!$C$5)&amp;"","")&lt;&gt;"",OR(LEFT(IFERROR(INDEX(Clay_Offices!$A$2:$FZ$601,482,Sync!$C$5)&amp;"",""),6)&lt;&gt;"SAMPLE",Config!$B$19="Y")),IFERROR(N(INDEX(Clay_Offices!$A$2:$FZ$601,482,Sync!$C$13)),0),"")</f>
        <v/>
      </c>
      <c r="C3333" s="23" t="str">
        <f aca="false">IF(B3333="","","office")</f>
        <v/>
      </c>
      <c r="D3333" s="23" t="str">
        <f aca="false">IF(B3333="","",IFERROR(INDEX(Office_Log!$ED$2:$ED$201,MATCH(IFERROR(INDEX(Clay_Offices!$A$2:$FZ$601,482,Sync!$C$5)&amp;"",""),Office_Log!$A$2:$A$201,0))&amp;"",IFERROR(INDEX(Clay_Offices!$A$2:$FZ$601,482,Sync!$C$5)&amp;"","")&amp;""))</f>
        <v/>
      </c>
      <c r="E3333" s="23" t="str">
        <f aca="false">IF(B3333="","",IFERROR(INDEX(Clay_Offices!$A$2:$FZ$601,482,Sync!$C$6)&amp;"",""))</f>
        <v/>
      </c>
      <c r="F3333" s="23" t="str">
        <f aca="false">IF(B3333="","","outreach_sent")</f>
        <v/>
      </c>
      <c r="G3333" s="23" t="str">
        <f aca="false">IF(B3333="","","")</f>
        <v/>
      </c>
      <c r="H3333" s="23" t="str">
        <f aca="false">IF(B3333="","","")</f>
        <v/>
      </c>
      <c r="I3333" s="23" t="str">
        <f aca="false">IF(B3333="","","")</f>
        <v/>
      </c>
      <c r="J3333" s="23" t="str">
        <f aca="false">IF(B3333="","","touch_3; "&amp;IFERROR(INDEX(Clay_Offices!$A$2:$FZ$601,482,Sync!$C$10)&amp;"","")&amp;"; "&amp;IFERROR(INDEX(Clay_Offices!$A$2:$FZ$601,482,Sync!$C$9)&amp;"",""))</f>
        <v/>
      </c>
      <c r="K3333" s="32" t="s">
        <v>1365</v>
      </c>
    </row>
    <row r="3334" customFormat="false" ht="15" hidden="false" customHeight="false" outlineLevel="0" collapsed="false">
      <c r="A3334" s="23" t="str">
        <f aca="false">IF(B3334="","",B3334+(14*1000+483)/10000000)</f>
        <v/>
      </c>
      <c r="B3334" s="35" t="str">
        <f aca="false">IF(AND(IFERROR(N(INDEX(Clay_Offices!$A$2:$FZ$601,483,Sync!$C$13)),0)&gt;0,IFERROR(INDEX(Clay_Offices!$A$2:$FZ$601,483,Sync!$C$5)&amp;"","")&lt;&gt;"",OR(LEFT(IFERROR(INDEX(Clay_Offices!$A$2:$FZ$601,483,Sync!$C$5)&amp;"",""),6)&lt;&gt;"SAMPLE",Config!$B$19="Y")),IFERROR(N(INDEX(Clay_Offices!$A$2:$FZ$601,483,Sync!$C$13)),0),"")</f>
        <v/>
      </c>
      <c r="C3334" s="23" t="str">
        <f aca="false">IF(B3334="","","office")</f>
        <v/>
      </c>
      <c r="D3334" s="23" t="str">
        <f aca="false">IF(B3334="","",IFERROR(INDEX(Office_Log!$ED$2:$ED$201,MATCH(IFERROR(INDEX(Clay_Offices!$A$2:$FZ$601,483,Sync!$C$5)&amp;"",""),Office_Log!$A$2:$A$201,0))&amp;"",IFERROR(INDEX(Clay_Offices!$A$2:$FZ$601,483,Sync!$C$5)&amp;"","")&amp;""))</f>
        <v/>
      </c>
      <c r="E3334" s="23" t="str">
        <f aca="false">IF(B3334="","",IFERROR(INDEX(Clay_Offices!$A$2:$FZ$601,483,Sync!$C$6)&amp;"",""))</f>
        <v/>
      </c>
      <c r="F3334" s="23" t="str">
        <f aca="false">IF(B3334="","","outreach_sent")</f>
        <v/>
      </c>
      <c r="G3334" s="23" t="str">
        <f aca="false">IF(B3334="","","")</f>
        <v/>
      </c>
      <c r="H3334" s="23" t="str">
        <f aca="false">IF(B3334="","","")</f>
        <v/>
      </c>
      <c r="I3334" s="23" t="str">
        <f aca="false">IF(B3334="","","")</f>
        <v/>
      </c>
      <c r="J3334" s="23" t="str">
        <f aca="false">IF(B3334="","","touch_3; "&amp;IFERROR(INDEX(Clay_Offices!$A$2:$FZ$601,483,Sync!$C$10)&amp;"","")&amp;"; "&amp;IFERROR(INDEX(Clay_Offices!$A$2:$FZ$601,483,Sync!$C$9)&amp;"",""))</f>
        <v/>
      </c>
      <c r="K3334" s="32" t="s">
        <v>1365</v>
      </c>
    </row>
    <row r="3335" customFormat="false" ht="15" hidden="false" customHeight="false" outlineLevel="0" collapsed="false">
      <c r="A3335" s="23" t="str">
        <f aca="false">IF(B3335="","",B3335+(14*1000+484)/10000000)</f>
        <v/>
      </c>
      <c r="B3335" s="35" t="str">
        <f aca="false">IF(AND(IFERROR(N(INDEX(Clay_Offices!$A$2:$FZ$601,484,Sync!$C$13)),0)&gt;0,IFERROR(INDEX(Clay_Offices!$A$2:$FZ$601,484,Sync!$C$5)&amp;"","")&lt;&gt;"",OR(LEFT(IFERROR(INDEX(Clay_Offices!$A$2:$FZ$601,484,Sync!$C$5)&amp;"",""),6)&lt;&gt;"SAMPLE",Config!$B$19="Y")),IFERROR(N(INDEX(Clay_Offices!$A$2:$FZ$601,484,Sync!$C$13)),0),"")</f>
        <v/>
      </c>
      <c r="C3335" s="23" t="str">
        <f aca="false">IF(B3335="","","office")</f>
        <v/>
      </c>
      <c r="D3335" s="23" t="str">
        <f aca="false">IF(B3335="","",IFERROR(INDEX(Office_Log!$ED$2:$ED$201,MATCH(IFERROR(INDEX(Clay_Offices!$A$2:$FZ$601,484,Sync!$C$5)&amp;"",""),Office_Log!$A$2:$A$201,0))&amp;"",IFERROR(INDEX(Clay_Offices!$A$2:$FZ$601,484,Sync!$C$5)&amp;"","")&amp;""))</f>
        <v/>
      </c>
      <c r="E3335" s="23" t="str">
        <f aca="false">IF(B3335="","",IFERROR(INDEX(Clay_Offices!$A$2:$FZ$601,484,Sync!$C$6)&amp;"",""))</f>
        <v/>
      </c>
      <c r="F3335" s="23" t="str">
        <f aca="false">IF(B3335="","","outreach_sent")</f>
        <v/>
      </c>
      <c r="G3335" s="23" t="str">
        <f aca="false">IF(B3335="","","")</f>
        <v/>
      </c>
      <c r="H3335" s="23" t="str">
        <f aca="false">IF(B3335="","","")</f>
        <v/>
      </c>
      <c r="I3335" s="23" t="str">
        <f aca="false">IF(B3335="","","")</f>
        <v/>
      </c>
      <c r="J3335" s="23" t="str">
        <f aca="false">IF(B3335="","","touch_3; "&amp;IFERROR(INDEX(Clay_Offices!$A$2:$FZ$601,484,Sync!$C$10)&amp;"","")&amp;"; "&amp;IFERROR(INDEX(Clay_Offices!$A$2:$FZ$601,484,Sync!$C$9)&amp;"",""))</f>
        <v/>
      </c>
      <c r="K3335" s="32" t="s">
        <v>1365</v>
      </c>
    </row>
    <row r="3336" customFormat="false" ht="15" hidden="false" customHeight="false" outlineLevel="0" collapsed="false">
      <c r="A3336" s="23" t="str">
        <f aca="false">IF(B3336="","",B3336+(14*1000+485)/10000000)</f>
        <v/>
      </c>
      <c r="B3336" s="35" t="str">
        <f aca="false">IF(AND(IFERROR(N(INDEX(Clay_Offices!$A$2:$FZ$601,485,Sync!$C$13)),0)&gt;0,IFERROR(INDEX(Clay_Offices!$A$2:$FZ$601,485,Sync!$C$5)&amp;"","")&lt;&gt;"",OR(LEFT(IFERROR(INDEX(Clay_Offices!$A$2:$FZ$601,485,Sync!$C$5)&amp;"",""),6)&lt;&gt;"SAMPLE",Config!$B$19="Y")),IFERROR(N(INDEX(Clay_Offices!$A$2:$FZ$601,485,Sync!$C$13)),0),"")</f>
        <v/>
      </c>
      <c r="C3336" s="23" t="str">
        <f aca="false">IF(B3336="","","office")</f>
        <v/>
      </c>
      <c r="D3336" s="23" t="str">
        <f aca="false">IF(B3336="","",IFERROR(INDEX(Office_Log!$ED$2:$ED$201,MATCH(IFERROR(INDEX(Clay_Offices!$A$2:$FZ$601,485,Sync!$C$5)&amp;"",""),Office_Log!$A$2:$A$201,0))&amp;"",IFERROR(INDEX(Clay_Offices!$A$2:$FZ$601,485,Sync!$C$5)&amp;"","")&amp;""))</f>
        <v/>
      </c>
      <c r="E3336" s="23" t="str">
        <f aca="false">IF(B3336="","",IFERROR(INDEX(Clay_Offices!$A$2:$FZ$601,485,Sync!$C$6)&amp;"",""))</f>
        <v/>
      </c>
      <c r="F3336" s="23" t="str">
        <f aca="false">IF(B3336="","","outreach_sent")</f>
        <v/>
      </c>
      <c r="G3336" s="23" t="str">
        <f aca="false">IF(B3336="","","")</f>
        <v/>
      </c>
      <c r="H3336" s="23" t="str">
        <f aca="false">IF(B3336="","","")</f>
        <v/>
      </c>
      <c r="I3336" s="23" t="str">
        <f aca="false">IF(B3336="","","")</f>
        <v/>
      </c>
      <c r="J3336" s="23" t="str">
        <f aca="false">IF(B3336="","","touch_3; "&amp;IFERROR(INDEX(Clay_Offices!$A$2:$FZ$601,485,Sync!$C$10)&amp;"","")&amp;"; "&amp;IFERROR(INDEX(Clay_Offices!$A$2:$FZ$601,485,Sync!$C$9)&amp;"",""))</f>
        <v/>
      </c>
      <c r="K3336" s="32" t="s">
        <v>1365</v>
      </c>
    </row>
    <row r="3337" customFormat="false" ht="15" hidden="false" customHeight="false" outlineLevel="0" collapsed="false">
      <c r="A3337" s="23" t="str">
        <f aca="false">IF(B3337="","",B3337+(14*1000+486)/10000000)</f>
        <v/>
      </c>
      <c r="B3337" s="35" t="str">
        <f aca="false">IF(AND(IFERROR(N(INDEX(Clay_Offices!$A$2:$FZ$601,486,Sync!$C$13)),0)&gt;0,IFERROR(INDEX(Clay_Offices!$A$2:$FZ$601,486,Sync!$C$5)&amp;"","")&lt;&gt;"",OR(LEFT(IFERROR(INDEX(Clay_Offices!$A$2:$FZ$601,486,Sync!$C$5)&amp;"",""),6)&lt;&gt;"SAMPLE",Config!$B$19="Y")),IFERROR(N(INDEX(Clay_Offices!$A$2:$FZ$601,486,Sync!$C$13)),0),"")</f>
        <v/>
      </c>
      <c r="C3337" s="23" t="str">
        <f aca="false">IF(B3337="","","office")</f>
        <v/>
      </c>
      <c r="D3337" s="23" t="str">
        <f aca="false">IF(B3337="","",IFERROR(INDEX(Office_Log!$ED$2:$ED$201,MATCH(IFERROR(INDEX(Clay_Offices!$A$2:$FZ$601,486,Sync!$C$5)&amp;"",""),Office_Log!$A$2:$A$201,0))&amp;"",IFERROR(INDEX(Clay_Offices!$A$2:$FZ$601,486,Sync!$C$5)&amp;"","")&amp;""))</f>
        <v/>
      </c>
      <c r="E3337" s="23" t="str">
        <f aca="false">IF(B3337="","",IFERROR(INDEX(Clay_Offices!$A$2:$FZ$601,486,Sync!$C$6)&amp;"",""))</f>
        <v/>
      </c>
      <c r="F3337" s="23" t="str">
        <f aca="false">IF(B3337="","","outreach_sent")</f>
        <v/>
      </c>
      <c r="G3337" s="23" t="str">
        <f aca="false">IF(B3337="","","")</f>
        <v/>
      </c>
      <c r="H3337" s="23" t="str">
        <f aca="false">IF(B3337="","","")</f>
        <v/>
      </c>
      <c r="I3337" s="23" t="str">
        <f aca="false">IF(B3337="","","")</f>
        <v/>
      </c>
      <c r="J3337" s="23" t="str">
        <f aca="false">IF(B3337="","","touch_3; "&amp;IFERROR(INDEX(Clay_Offices!$A$2:$FZ$601,486,Sync!$C$10)&amp;"","")&amp;"; "&amp;IFERROR(INDEX(Clay_Offices!$A$2:$FZ$601,486,Sync!$C$9)&amp;"",""))</f>
        <v/>
      </c>
      <c r="K3337" s="32" t="s">
        <v>1365</v>
      </c>
    </row>
    <row r="3338" customFormat="false" ht="15" hidden="false" customHeight="false" outlineLevel="0" collapsed="false">
      <c r="A3338" s="23" t="str">
        <f aca="false">IF(B3338="","",B3338+(14*1000+487)/10000000)</f>
        <v/>
      </c>
      <c r="B3338" s="35" t="str">
        <f aca="false">IF(AND(IFERROR(N(INDEX(Clay_Offices!$A$2:$FZ$601,487,Sync!$C$13)),0)&gt;0,IFERROR(INDEX(Clay_Offices!$A$2:$FZ$601,487,Sync!$C$5)&amp;"","")&lt;&gt;"",OR(LEFT(IFERROR(INDEX(Clay_Offices!$A$2:$FZ$601,487,Sync!$C$5)&amp;"",""),6)&lt;&gt;"SAMPLE",Config!$B$19="Y")),IFERROR(N(INDEX(Clay_Offices!$A$2:$FZ$601,487,Sync!$C$13)),0),"")</f>
        <v/>
      </c>
      <c r="C3338" s="23" t="str">
        <f aca="false">IF(B3338="","","office")</f>
        <v/>
      </c>
      <c r="D3338" s="23" t="str">
        <f aca="false">IF(B3338="","",IFERROR(INDEX(Office_Log!$ED$2:$ED$201,MATCH(IFERROR(INDEX(Clay_Offices!$A$2:$FZ$601,487,Sync!$C$5)&amp;"",""),Office_Log!$A$2:$A$201,0))&amp;"",IFERROR(INDEX(Clay_Offices!$A$2:$FZ$601,487,Sync!$C$5)&amp;"","")&amp;""))</f>
        <v/>
      </c>
      <c r="E3338" s="23" t="str">
        <f aca="false">IF(B3338="","",IFERROR(INDEX(Clay_Offices!$A$2:$FZ$601,487,Sync!$C$6)&amp;"",""))</f>
        <v/>
      </c>
      <c r="F3338" s="23" t="str">
        <f aca="false">IF(B3338="","","outreach_sent")</f>
        <v/>
      </c>
      <c r="G3338" s="23" t="str">
        <f aca="false">IF(B3338="","","")</f>
        <v/>
      </c>
      <c r="H3338" s="23" t="str">
        <f aca="false">IF(B3338="","","")</f>
        <v/>
      </c>
      <c r="I3338" s="23" t="str">
        <f aca="false">IF(B3338="","","")</f>
        <v/>
      </c>
      <c r="J3338" s="23" t="str">
        <f aca="false">IF(B3338="","","touch_3; "&amp;IFERROR(INDEX(Clay_Offices!$A$2:$FZ$601,487,Sync!$C$10)&amp;"","")&amp;"; "&amp;IFERROR(INDEX(Clay_Offices!$A$2:$FZ$601,487,Sync!$C$9)&amp;"",""))</f>
        <v/>
      </c>
      <c r="K3338" s="32" t="s">
        <v>1365</v>
      </c>
    </row>
    <row r="3339" customFormat="false" ht="15" hidden="false" customHeight="false" outlineLevel="0" collapsed="false">
      <c r="A3339" s="23" t="str">
        <f aca="false">IF(B3339="","",B3339+(14*1000+488)/10000000)</f>
        <v/>
      </c>
      <c r="B3339" s="35" t="str">
        <f aca="false">IF(AND(IFERROR(N(INDEX(Clay_Offices!$A$2:$FZ$601,488,Sync!$C$13)),0)&gt;0,IFERROR(INDEX(Clay_Offices!$A$2:$FZ$601,488,Sync!$C$5)&amp;"","")&lt;&gt;"",OR(LEFT(IFERROR(INDEX(Clay_Offices!$A$2:$FZ$601,488,Sync!$C$5)&amp;"",""),6)&lt;&gt;"SAMPLE",Config!$B$19="Y")),IFERROR(N(INDEX(Clay_Offices!$A$2:$FZ$601,488,Sync!$C$13)),0),"")</f>
        <v/>
      </c>
      <c r="C3339" s="23" t="str">
        <f aca="false">IF(B3339="","","office")</f>
        <v/>
      </c>
      <c r="D3339" s="23" t="str">
        <f aca="false">IF(B3339="","",IFERROR(INDEX(Office_Log!$ED$2:$ED$201,MATCH(IFERROR(INDEX(Clay_Offices!$A$2:$FZ$601,488,Sync!$C$5)&amp;"",""),Office_Log!$A$2:$A$201,0))&amp;"",IFERROR(INDEX(Clay_Offices!$A$2:$FZ$601,488,Sync!$C$5)&amp;"","")&amp;""))</f>
        <v/>
      </c>
      <c r="E3339" s="23" t="str">
        <f aca="false">IF(B3339="","",IFERROR(INDEX(Clay_Offices!$A$2:$FZ$601,488,Sync!$C$6)&amp;"",""))</f>
        <v/>
      </c>
      <c r="F3339" s="23" t="str">
        <f aca="false">IF(B3339="","","outreach_sent")</f>
        <v/>
      </c>
      <c r="G3339" s="23" t="str">
        <f aca="false">IF(B3339="","","")</f>
        <v/>
      </c>
      <c r="H3339" s="23" t="str">
        <f aca="false">IF(B3339="","","")</f>
        <v/>
      </c>
      <c r="I3339" s="23" t="str">
        <f aca="false">IF(B3339="","","")</f>
        <v/>
      </c>
      <c r="J3339" s="23" t="str">
        <f aca="false">IF(B3339="","","touch_3; "&amp;IFERROR(INDEX(Clay_Offices!$A$2:$FZ$601,488,Sync!$C$10)&amp;"","")&amp;"; "&amp;IFERROR(INDEX(Clay_Offices!$A$2:$FZ$601,488,Sync!$C$9)&amp;"",""))</f>
        <v/>
      </c>
      <c r="K3339" s="32" t="s">
        <v>1365</v>
      </c>
    </row>
    <row r="3340" customFormat="false" ht="15" hidden="false" customHeight="false" outlineLevel="0" collapsed="false">
      <c r="A3340" s="23" t="str">
        <f aca="false">IF(B3340="","",B3340+(14*1000+489)/10000000)</f>
        <v/>
      </c>
      <c r="B3340" s="35" t="str">
        <f aca="false">IF(AND(IFERROR(N(INDEX(Clay_Offices!$A$2:$FZ$601,489,Sync!$C$13)),0)&gt;0,IFERROR(INDEX(Clay_Offices!$A$2:$FZ$601,489,Sync!$C$5)&amp;"","")&lt;&gt;"",OR(LEFT(IFERROR(INDEX(Clay_Offices!$A$2:$FZ$601,489,Sync!$C$5)&amp;"",""),6)&lt;&gt;"SAMPLE",Config!$B$19="Y")),IFERROR(N(INDEX(Clay_Offices!$A$2:$FZ$601,489,Sync!$C$13)),0),"")</f>
        <v/>
      </c>
      <c r="C3340" s="23" t="str">
        <f aca="false">IF(B3340="","","office")</f>
        <v/>
      </c>
      <c r="D3340" s="23" t="str">
        <f aca="false">IF(B3340="","",IFERROR(INDEX(Office_Log!$ED$2:$ED$201,MATCH(IFERROR(INDEX(Clay_Offices!$A$2:$FZ$601,489,Sync!$C$5)&amp;"",""),Office_Log!$A$2:$A$201,0))&amp;"",IFERROR(INDEX(Clay_Offices!$A$2:$FZ$601,489,Sync!$C$5)&amp;"","")&amp;""))</f>
        <v/>
      </c>
      <c r="E3340" s="23" t="str">
        <f aca="false">IF(B3340="","",IFERROR(INDEX(Clay_Offices!$A$2:$FZ$601,489,Sync!$C$6)&amp;"",""))</f>
        <v/>
      </c>
      <c r="F3340" s="23" t="str">
        <f aca="false">IF(B3340="","","outreach_sent")</f>
        <v/>
      </c>
      <c r="G3340" s="23" t="str">
        <f aca="false">IF(B3340="","","")</f>
        <v/>
      </c>
      <c r="H3340" s="23" t="str">
        <f aca="false">IF(B3340="","","")</f>
        <v/>
      </c>
      <c r="I3340" s="23" t="str">
        <f aca="false">IF(B3340="","","")</f>
        <v/>
      </c>
      <c r="J3340" s="23" t="str">
        <f aca="false">IF(B3340="","","touch_3; "&amp;IFERROR(INDEX(Clay_Offices!$A$2:$FZ$601,489,Sync!$C$10)&amp;"","")&amp;"; "&amp;IFERROR(INDEX(Clay_Offices!$A$2:$FZ$601,489,Sync!$C$9)&amp;"",""))</f>
        <v/>
      </c>
      <c r="K3340" s="32" t="s">
        <v>1365</v>
      </c>
    </row>
    <row r="3341" customFormat="false" ht="15" hidden="false" customHeight="false" outlineLevel="0" collapsed="false">
      <c r="A3341" s="23" t="str">
        <f aca="false">IF(B3341="","",B3341+(14*1000+490)/10000000)</f>
        <v/>
      </c>
      <c r="B3341" s="35" t="str">
        <f aca="false">IF(AND(IFERROR(N(INDEX(Clay_Offices!$A$2:$FZ$601,490,Sync!$C$13)),0)&gt;0,IFERROR(INDEX(Clay_Offices!$A$2:$FZ$601,490,Sync!$C$5)&amp;"","")&lt;&gt;"",OR(LEFT(IFERROR(INDEX(Clay_Offices!$A$2:$FZ$601,490,Sync!$C$5)&amp;"",""),6)&lt;&gt;"SAMPLE",Config!$B$19="Y")),IFERROR(N(INDEX(Clay_Offices!$A$2:$FZ$601,490,Sync!$C$13)),0),"")</f>
        <v/>
      </c>
      <c r="C3341" s="23" t="str">
        <f aca="false">IF(B3341="","","office")</f>
        <v/>
      </c>
      <c r="D3341" s="23" t="str">
        <f aca="false">IF(B3341="","",IFERROR(INDEX(Office_Log!$ED$2:$ED$201,MATCH(IFERROR(INDEX(Clay_Offices!$A$2:$FZ$601,490,Sync!$C$5)&amp;"",""),Office_Log!$A$2:$A$201,0))&amp;"",IFERROR(INDEX(Clay_Offices!$A$2:$FZ$601,490,Sync!$C$5)&amp;"","")&amp;""))</f>
        <v/>
      </c>
      <c r="E3341" s="23" t="str">
        <f aca="false">IF(B3341="","",IFERROR(INDEX(Clay_Offices!$A$2:$FZ$601,490,Sync!$C$6)&amp;"",""))</f>
        <v/>
      </c>
      <c r="F3341" s="23" t="str">
        <f aca="false">IF(B3341="","","outreach_sent")</f>
        <v/>
      </c>
      <c r="G3341" s="23" t="str">
        <f aca="false">IF(B3341="","","")</f>
        <v/>
      </c>
      <c r="H3341" s="23" t="str">
        <f aca="false">IF(B3341="","","")</f>
        <v/>
      </c>
      <c r="I3341" s="23" t="str">
        <f aca="false">IF(B3341="","","")</f>
        <v/>
      </c>
      <c r="J3341" s="23" t="str">
        <f aca="false">IF(B3341="","","touch_3; "&amp;IFERROR(INDEX(Clay_Offices!$A$2:$FZ$601,490,Sync!$C$10)&amp;"","")&amp;"; "&amp;IFERROR(INDEX(Clay_Offices!$A$2:$FZ$601,490,Sync!$C$9)&amp;"",""))</f>
        <v/>
      </c>
      <c r="K3341" s="32" t="s">
        <v>1365</v>
      </c>
    </row>
    <row r="3342" customFormat="false" ht="15" hidden="false" customHeight="false" outlineLevel="0" collapsed="false">
      <c r="A3342" s="23" t="str">
        <f aca="false">IF(B3342="","",B3342+(14*1000+491)/10000000)</f>
        <v/>
      </c>
      <c r="B3342" s="35" t="str">
        <f aca="false">IF(AND(IFERROR(N(INDEX(Clay_Offices!$A$2:$FZ$601,491,Sync!$C$13)),0)&gt;0,IFERROR(INDEX(Clay_Offices!$A$2:$FZ$601,491,Sync!$C$5)&amp;"","")&lt;&gt;"",OR(LEFT(IFERROR(INDEX(Clay_Offices!$A$2:$FZ$601,491,Sync!$C$5)&amp;"",""),6)&lt;&gt;"SAMPLE",Config!$B$19="Y")),IFERROR(N(INDEX(Clay_Offices!$A$2:$FZ$601,491,Sync!$C$13)),0),"")</f>
        <v/>
      </c>
      <c r="C3342" s="23" t="str">
        <f aca="false">IF(B3342="","","office")</f>
        <v/>
      </c>
      <c r="D3342" s="23" t="str">
        <f aca="false">IF(B3342="","",IFERROR(INDEX(Office_Log!$ED$2:$ED$201,MATCH(IFERROR(INDEX(Clay_Offices!$A$2:$FZ$601,491,Sync!$C$5)&amp;"",""),Office_Log!$A$2:$A$201,0))&amp;"",IFERROR(INDEX(Clay_Offices!$A$2:$FZ$601,491,Sync!$C$5)&amp;"","")&amp;""))</f>
        <v/>
      </c>
      <c r="E3342" s="23" t="str">
        <f aca="false">IF(B3342="","",IFERROR(INDEX(Clay_Offices!$A$2:$FZ$601,491,Sync!$C$6)&amp;"",""))</f>
        <v/>
      </c>
      <c r="F3342" s="23" t="str">
        <f aca="false">IF(B3342="","","outreach_sent")</f>
        <v/>
      </c>
      <c r="G3342" s="23" t="str">
        <f aca="false">IF(B3342="","","")</f>
        <v/>
      </c>
      <c r="H3342" s="23" t="str">
        <f aca="false">IF(B3342="","","")</f>
        <v/>
      </c>
      <c r="I3342" s="23" t="str">
        <f aca="false">IF(B3342="","","")</f>
        <v/>
      </c>
      <c r="J3342" s="23" t="str">
        <f aca="false">IF(B3342="","","touch_3; "&amp;IFERROR(INDEX(Clay_Offices!$A$2:$FZ$601,491,Sync!$C$10)&amp;"","")&amp;"; "&amp;IFERROR(INDEX(Clay_Offices!$A$2:$FZ$601,491,Sync!$C$9)&amp;"",""))</f>
        <v/>
      </c>
      <c r="K3342" s="32" t="s">
        <v>1365</v>
      </c>
    </row>
    <row r="3343" customFormat="false" ht="15" hidden="false" customHeight="false" outlineLevel="0" collapsed="false">
      <c r="A3343" s="23" t="str">
        <f aca="false">IF(B3343="","",B3343+(14*1000+492)/10000000)</f>
        <v/>
      </c>
      <c r="B3343" s="35" t="str">
        <f aca="false">IF(AND(IFERROR(N(INDEX(Clay_Offices!$A$2:$FZ$601,492,Sync!$C$13)),0)&gt;0,IFERROR(INDEX(Clay_Offices!$A$2:$FZ$601,492,Sync!$C$5)&amp;"","")&lt;&gt;"",OR(LEFT(IFERROR(INDEX(Clay_Offices!$A$2:$FZ$601,492,Sync!$C$5)&amp;"",""),6)&lt;&gt;"SAMPLE",Config!$B$19="Y")),IFERROR(N(INDEX(Clay_Offices!$A$2:$FZ$601,492,Sync!$C$13)),0),"")</f>
        <v/>
      </c>
      <c r="C3343" s="23" t="str">
        <f aca="false">IF(B3343="","","office")</f>
        <v/>
      </c>
      <c r="D3343" s="23" t="str">
        <f aca="false">IF(B3343="","",IFERROR(INDEX(Office_Log!$ED$2:$ED$201,MATCH(IFERROR(INDEX(Clay_Offices!$A$2:$FZ$601,492,Sync!$C$5)&amp;"",""),Office_Log!$A$2:$A$201,0))&amp;"",IFERROR(INDEX(Clay_Offices!$A$2:$FZ$601,492,Sync!$C$5)&amp;"","")&amp;""))</f>
        <v/>
      </c>
      <c r="E3343" s="23" t="str">
        <f aca="false">IF(B3343="","",IFERROR(INDEX(Clay_Offices!$A$2:$FZ$601,492,Sync!$C$6)&amp;"",""))</f>
        <v/>
      </c>
      <c r="F3343" s="23" t="str">
        <f aca="false">IF(B3343="","","outreach_sent")</f>
        <v/>
      </c>
      <c r="G3343" s="23" t="str">
        <f aca="false">IF(B3343="","","")</f>
        <v/>
      </c>
      <c r="H3343" s="23" t="str">
        <f aca="false">IF(B3343="","","")</f>
        <v/>
      </c>
      <c r="I3343" s="23" t="str">
        <f aca="false">IF(B3343="","","")</f>
        <v/>
      </c>
      <c r="J3343" s="23" t="str">
        <f aca="false">IF(B3343="","","touch_3; "&amp;IFERROR(INDEX(Clay_Offices!$A$2:$FZ$601,492,Sync!$C$10)&amp;"","")&amp;"; "&amp;IFERROR(INDEX(Clay_Offices!$A$2:$FZ$601,492,Sync!$C$9)&amp;"",""))</f>
        <v/>
      </c>
      <c r="K3343" s="32" t="s">
        <v>1365</v>
      </c>
    </row>
    <row r="3344" customFormat="false" ht="15" hidden="false" customHeight="false" outlineLevel="0" collapsed="false">
      <c r="A3344" s="23" t="str">
        <f aca="false">IF(B3344="","",B3344+(14*1000+493)/10000000)</f>
        <v/>
      </c>
      <c r="B3344" s="35" t="str">
        <f aca="false">IF(AND(IFERROR(N(INDEX(Clay_Offices!$A$2:$FZ$601,493,Sync!$C$13)),0)&gt;0,IFERROR(INDEX(Clay_Offices!$A$2:$FZ$601,493,Sync!$C$5)&amp;"","")&lt;&gt;"",OR(LEFT(IFERROR(INDEX(Clay_Offices!$A$2:$FZ$601,493,Sync!$C$5)&amp;"",""),6)&lt;&gt;"SAMPLE",Config!$B$19="Y")),IFERROR(N(INDEX(Clay_Offices!$A$2:$FZ$601,493,Sync!$C$13)),0),"")</f>
        <v/>
      </c>
      <c r="C3344" s="23" t="str">
        <f aca="false">IF(B3344="","","office")</f>
        <v/>
      </c>
      <c r="D3344" s="23" t="str">
        <f aca="false">IF(B3344="","",IFERROR(INDEX(Office_Log!$ED$2:$ED$201,MATCH(IFERROR(INDEX(Clay_Offices!$A$2:$FZ$601,493,Sync!$C$5)&amp;"",""),Office_Log!$A$2:$A$201,0))&amp;"",IFERROR(INDEX(Clay_Offices!$A$2:$FZ$601,493,Sync!$C$5)&amp;"","")&amp;""))</f>
        <v/>
      </c>
      <c r="E3344" s="23" t="str">
        <f aca="false">IF(B3344="","",IFERROR(INDEX(Clay_Offices!$A$2:$FZ$601,493,Sync!$C$6)&amp;"",""))</f>
        <v/>
      </c>
      <c r="F3344" s="23" t="str">
        <f aca="false">IF(B3344="","","outreach_sent")</f>
        <v/>
      </c>
      <c r="G3344" s="23" t="str">
        <f aca="false">IF(B3344="","","")</f>
        <v/>
      </c>
      <c r="H3344" s="23" t="str">
        <f aca="false">IF(B3344="","","")</f>
        <v/>
      </c>
      <c r="I3344" s="23" t="str">
        <f aca="false">IF(B3344="","","")</f>
        <v/>
      </c>
      <c r="J3344" s="23" t="str">
        <f aca="false">IF(B3344="","","touch_3; "&amp;IFERROR(INDEX(Clay_Offices!$A$2:$FZ$601,493,Sync!$C$10)&amp;"","")&amp;"; "&amp;IFERROR(INDEX(Clay_Offices!$A$2:$FZ$601,493,Sync!$C$9)&amp;"",""))</f>
        <v/>
      </c>
      <c r="K3344" s="32" t="s">
        <v>1365</v>
      </c>
    </row>
    <row r="3345" customFormat="false" ht="15" hidden="false" customHeight="false" outlineLevel="0" collapsed="false">
      <c r="A3345" s="23" t="str">
        <f aca="false">IF(B3345="","",B3345+(14*1000+494)/10000000)</f>
        <v/>
      </c>
      <c r="B3345" s="35" t="str">
        <f aca="false">IF(AND(IFERROR(N(INDEX(Clay_Offices!$A$2:$FZ$601,494,Sync!$C$13)),0)&gt;0,IFERROR(INDEX(Clay_Offices!$A$2:$FZ$601,494,Sync!$C$5)&amp;"","")&lt;&gt;"",OR(LEFT(IFERROR(INDEX(Clay_Offices!$A$2:$FZ$601,494,Sync!$C$5)&amp;"",""),6)&lt;&gt;"SAMPLE",Config!$B$19="Y")),IFERROR(N(INDEX(Clay_Offices!$A$2:$FZ$601,494,Sync!$C$13)),0),"")</f>
        <v/>
      </c>
      <c r="C3345" s="23" t="str">
        <f aca="false">IF(B3345="","","office")</f>
        <v/>
      </c>
      <c r="D3345" s="23" t="str">
        <f aca="false">IF(B3345="","",IFERROR(INDEX(Office_Log!$ED$2:$ED$201,MATCH(IFERROR(INDEX(Clay_Offices!$A$2:$FZ$601,494,Sync!$C$5)&amp;"",""),Office_Log!$A$2:$A$201,0))&amp;"",IFERROR(INDEX(Clay_Offices!$A$2:$FZ$601,494,Sync!$C$5)&amp;"","")&amp;""))</f>
        <v/>
      </c>
      <c r="E3345" s="23" t="str">
        <f aca="false">IF(B3345="","",IFERROR(INDEX(Clay_Offices!$A$2:$FZ$601,494,Sync!$C$6)&amp;"",""))</f>
        <v/>
      </c>
      <c r="F3345" s="23" t="str">
        <f aca="false">IF(B3345="","","outreach_sent")</f>
        <v/>
      </c>
      <c r="G3345" s="23" t="str">
        <f aca="false">IF(B3345="","","")</f>
        <v/>
      </c>
      <c r="H3345" s="23" t="str">
        <f aca="false">IF(B3345="","","")</f>
        <v/>
      </c>
      <c r="I3345" s="23" t="str">
        <f aca="false">IF(B3345="","","")</f>
        <v/>
      </c>
      <c r="J3345" s="23" t="str">
        <f aca="false">IF(B3345="","","touch_3; "&amp;IFERROR(INDEX(Clay_Offices!$A$2:$FZ$601,494,Sync!$C$10)&amp;"","")&amp;"; "&amp;IFERROR(INDEX(Clay_Offices!$A$2:$FZ$601,494,Sync!$C$9)&amp;"",""))</f>
        <v/>
      </c>
      <c r="K3345" s="32" t="s">
        <v>1365</v>
      </c>
    </row>
    <row r="3346" customFormat="false" ht="15" hidden="false" customHeight="false" outlineLevel="0" collapsed="false">
      <c r="A3346" s="23" t="str">
        <f aca="false">IF(B3346="","",B3346+(14*1000+495)/10000000)</f>
        <v/>
      </c>
      <c r="B3346" s="35" t="str">
        <f aca="false">IF(AND(IFERROR(N(INDEX(Clay_Offices!$A$2:$FZ$601,495,Sync!$C$13)),0)&gt;0,IFERROR(INDEX(Clay_Offices!$A$2:$FZ$601,495,Sync!$C$5)&amp;"","")&lt;&gt;"",OR(LEFT(IFERROR(INDEX(Clay_Offices!$A$2:$FZ$601,495,Sync!$C$5)&amp;"",""),6)&lt;&gt;"SAMPLE",Config!$B$19="Y")),IFERROR(N(INDEX(Clay_Offices!$A$2:$FZ$601,495,Sync!$C$13)),0),"")</f>
        <v/>
      </c>
      <c r="C3346" s="23" t="str">
        <f aca="false">IF(B3346="","","office")</f>
        <v/>
      </c>
      <c r="D3346" s="23" t="str">
        <f aca="false">IF(B3346="","",IFERROR(INDEX(Office_Log!$ED$2:$ED$201,MATCH(IFERROR(INDEX(Clay_Offices!$A$2:$FZ$601,495,Sync!$C$5)&amp;"",""),Office_Log!$A$2:$A$201,0))&amp;"",IFERROR(INDEX(Clay_Offices!$A$2:$FZ$601,495,Sync!$C$5)&amp;"","")&amp;""))</f>
        <v/>
      </c>
      <c r="E3346" s="23" t="str">
        <f aca="false">IF(B3346="","",IFERROR(INDEX(Clay_Offices!$A$2:$FZ$601,495,Sync!$C$6)&amp;"",""))</f>
        <v/>
      </c>
      <c r="F3346" s="23" t="str">
        <f aca="false">IF(B3346="","","outreach_sent")</f>
        <v/>
      </c>
      <c r="G3346" s="23" t="str">
        <f aca="false">IF(B3346="","","")</f>
        <v/>
      </c>
      <c r="H3346" s="23" t="str">
        <f aca="false">IF(B3346="","","")</f>
        <v/>
      </c>
      <c r="I3346" s="23" t="str">
        <f aca="false">IF(B3346="","","")</f>
        <v/>
      </c>
      <c r="J3346" s="23" t="str">
        <f aca="false">IF(B3346="","","touch_3; "&amp;IFERROR(INDEX(Clay_Offices!$A$2:$FZ$601,495,Sync!$C$10)&amp;"","")&amp;"; "&amp;IFERROR(INDEX(Clay_Offices!$A$2:$FZ$601,495,Sync!$C$9)&amp;"",""))</f>
        <v/>
      </c>
      <c r="K3346" s="32" t="s">
        <v>1365</v>
      </c>
    </row>
    <row r="3347" customFormat="false" ht="15" hidden="false" customHeight="false" outlineLevel="0" collapsed="false">
      <c r="A3347" s="23" t="str">
        <f aca="false">IF(B3347="","",B3347+(14*1000+496)/10000000)</f>
        <v/>
      </c>
      <c r="B3347" s="35" t="str">
        <f aca="false">IF(AND(IFERROR(N(INDEX(Clay_Offices!$A$2:$FZ$601,496,Sync!$C$13)),0)&gt;0,IFERROR(INDEX(Clay_Offices!$A$2:$FZ$601,496,Sync!$C$5)&amp;"","")&lt;&gt;"",OR(LEFT(IFERROR(INDEX(Clay_Offices!$A$2:$FZ$601,496,Sync!$C$5)&amp;"",""),6)&lt;&gt;"SAMPLE",Config!$B$19="Y")),IFERROR(N(INDEX(Clay_Offices!$A$2:$FZ$601,496,Sync!$C$13)),0),"")</f>
        <v/>
      </c>
      <c r="C3347" s="23" t="str">
        <f aca="false">IF(B3347="","","office")</f>
        <v/>
      </c>
      <c r="D3347" s="23" t="str">
        <f aca="false">IF(B3347="","",IFERROR(INDEX(Office_Log!$ED$2:$ED$201,MATCH(IFERROR(INDEX(Clay_Offices!$A$2:$FZ$601,496,Sync!$C$5)&amp;"",""),Office_Log!$A$2:$A$201,0))&amp;"",IFERROR(INDEX(Clay_Offices!$A$2:$FZ$601,496,Sync!$C$5)&amp;"","")&amp;""))</f>
        <v/>
      </c>
      <c r="E3347" s="23" t="str">
        <f aca="false">IF(B3347="","",IFERROR(INDEX(Clay_Offices!$A$2:$FZ$601,496,Sync!$C$6)&amp;"",""))</f>
        <v/>
      </c>
      <c r="F3347" s="23" t="str">
        <f aca="false">IF(B3347="","","outreach_sent")</f>
        <v/>
      </c>
      <c r="G3347" s="23" t="str">
        <f aca="false">IF(B3347="","","")</f>
        <v/>
      </c>
      <c r="H3347" s="23" t="str">
        <f aca="false">IF(B3347="","","")</f>
        <v/>
      </c>
      <c r="I3347" s="23" t="str">
        <f aca="false">IF(B3347="","","")</f>
        <v/>
      </c>
      <c r="J3347" s="23" t="str">
        <f aca="false">IF(B3347="","","touch_3; "&amp;IFERROR(INDEX(Clay_Offices!$A$2:$FZ$601,496,Sync!$C$10)&amp;"","")&amp;"; "&amp;IFERROR(INDEX(Clay_Offices!$A$2:$FZ$601,496,Sync!$C$9)&amp;"",""))</f>
        <v/>
      </c>
      <c r="K3347" s="32" t="s">
        <v>1365</v>
      </c>
    </row>
    <row r="3348" customFormat="false" ht="15" hidden="false" customHeight="false" outlineLevel="0" collapsed="false">
      <c r="A3348" s="23" t="str">
        <f aca="false">IF(B3348="","",B3348+(14*1000+497)/10000000)</f>
        <v/>
      </c>
      <c r="B3348" s="35" t="str">
        <f aca="false">IF(AND(IFERROR(N(INDEX(Clay_Offices!$A$2:$FZ$601,497,Sync!$C$13)),0)&gt;0,IFERROR(INDEX(Clay_Offices!$A$2:$FZ$601,497,Sync!$C$5)&amp;"","")&lt;&gt;"",OR(LEFT(IFERROR(INDEX(Clay_Offices!$A$2:$FZ$601,497,Sync!$C$5)&amp;"",""),6)&lt;&gt;"SAMPLE",Config!$B$19="Y")),IFERROR(N(INDEX(Clay_Offices!$A$2:$FZ$601,497,Sync!$C$13)),0),"")</f>
        <v/>
      </c>
      <c r="C3348" s="23" t="str">
        <f aca="false">IF(B3348="","","office")</f>
        <v/>
      </c>
      <c r="D3348" s="23" t="str">
        <f aca="false">IF(B3348="","",IFERROR(INDEX(Office_Log!$ED$2:$ED$201,MATCH(IFERROR(INDEX(Clay_Offices!$A$2:$FZ$601,497,Sync!$C$5)&amp;"",""),Office_Log!$A$2:$A$201,0))&amp;"",IFERROR(INDEX(Clay_Offices!$A$2:$FZ$601,497,Sync!$C$5)&amp;"","")&amp;""))</f>
        <v/>
      </c>
      <c r="E3348" s="23" t="str">
        <f aca="false">IF(B3348="","",IFERROR(INDEX(Clay_Offices!$A$2:$FZ$601,497,Sync!$C$6)&amp;"",""))</f>
        <v/>
      </c>
      <c r="F3348" s="23" t="str">
        <f aca="false">IF(B3348="","","outreach_sent")</f>
        <v/>
      </c>
      <c r="G3348" s="23" t="str">
        <f aca="false">IF(B3348="","","")</f>
        <v/>
      </c>
      <c r="H3348" s="23" t="str">
        <f aca="false">IF(B3348="","","")</f>
        <v/>
      </c>
      <c r="I3348" s="23" t="str">
        <f aca="false">IF(B3348="","","")</f>
        <v/>
      </c>
      <c r="J3348" s="23" t="str">
        <f aca="false">IF(B3348="","","touch_3; "&amp;IFERROR(INDEX(Clay_Offices!$A$2:$FZ$601,497,Sync!$C$10)&amp;"","")&amp;"; "&amp;IFERROR(INDEX(Clay_Offices!$A$2:$FZ$601,497,Sync!$C$9)&amp;"",""))</f>
        <v/>
      </c>
      <c r="K3348" s="32" t="s">
        <v>1365</v>
      </c>
    </row>
    <row r="3349" customFormat="false" ht="15" hidden="false" customHeight="false" outlineLevel="0" collapsed="false">
      <c r="A3349" s="23" t="str">
        <f aca="false">IF(B3349="","",B3349+(14*1000+498)/10000000)</f>
        <v/>
      </c>
      <c r="B3349" s="35" t="str">
        <f aca="false">IF(AND(IFERROR(N(INDEX(Clay_Offices!$A$2:$FZ$601,498,Sync!$C$13)),0)&gt;0,IFERROR(INDEX(Clay_Offices!$A$2:$FZ$601,498,Sync!$C$5)&amp;"","")&lt;&gt;"",OR(LEFT(IFERROR(INDEX(Clay_Offices!$A$2:$FZ$601,498,Sync!$C$5)&amp;"",""),6)&lt;&gt;"SAMPLE",Config!$B$19="Y")),IFERROR(N(INDEX(Clay_Offices!$A$2:$FZ$601,498,Sync!$C$13)),0),"")</f>
        <v/>
      </c>
      <c r="C3349" s="23" t="str">
        <f aca="false">IF(B3349="","","office")</f>
        <v/>
      </c>
      <c r="D3349" s="23" t="str">
        <f aca="false">IF(B3349="","",IFERROR(INDEX(Office_Log!$ED$2:$ED$201,MATCH(IFERROR(INDEX(Clay_Offices!$A$2:$FZ$601,498,Sync!$C$5)&amp;"",""),Office_Log!$A$2:$A$201,0))&amp;"",IFERROR(INDEX(Clay_Offices!$A$2:$FZ$601,498,Sync!$C$5)&amp;"","")&amp;""))</f>
        <v/>
      </c>
      <c r="E3349" s="23" t="str">
        <f aca="false">IF(B3349="","",IFERROR(INDEX(Clay_Offices!$A$2:$FZ$601,498,Sync!$C$6)&amp;"",""))</f>
        <v/>
      </c>
      <c r="F3349" s="23" t="str">
        <f aca="false">IF(B3349="","","outreach_sent")</f>
        <v/>
      </c>
      <c r="G3349" s="23" t="str">
        <f aca="false">IF(B3349="","","")</f>
        <v/>
      </c>
      <c r="H3349" s="23" t="str">
        <f aca="false">IF(B3349="","","")</f>
        <v/>
      </c>
      <c r="I3349" s="23" t="str">
        <f aca="false">IF(B3349="","","")</f>
        <v/>
      </c>
      <c r="J3349" s="23" t="str">
        <f aca="false">IF(B3349="","","touch_3; "&amp;IFERROR(INDEX(Clay_Offices!$A$2:$FZ$601,498,Sync!$C$10)&amp;"","")&amp;"; "&amp;IFERROR(INDEX(Clay_Offices!$A$2:$FZ$601,498,Sync!$C$9)&amp;"",""))</f>
        <v/>
      </c>
      <c r="K3349" s="32" t="s">
        <v>1365</v>
      </c>
    </row>
    <row r="3350" customFormat="false" ht="15" hidden="false" customHeight="false" outlineLevel="0" collapsed="false">
      <c r="A3350" s="23" t="str">
        <f aca="false">IF(B3350="","",B3350+(14*1000+499)/10000000)</f>
        <v/>
      </c>
      <c r="B3350" s="35" t="str">
        <f aca="false">IF(AND(IFERROR(N(INDEX(Clay_Offices!$A$2:$FZ$601,499,Sync!$C$13)),0)&gt;0,IFERROR(INDEX(Clay_Offices!$A$2:$FZ$601,499,Sync!$C$5)&amp;"","")&lt;&gt;"",OR(LEFT(IFERROR(INDEX(Clay_Offices!$A$2:$FZ$601,499,Sync!$C$5)&amp;"",""),6)&lt;&gt;"SAMPLE",Config!$B$19="Y")),IFERROR(N(INDEX(Clay_Offices!$A$2:$FZ$601,499,Sync!$C$13)),0),"")</f>
        <v/>
      </c>
      <c r="C3350" s="23" t="str">
        <f aca="false">IF(B3350="","","office")</f>
        <v/>
      </c>
      <c r="D3350" s="23" t="str">
        <f aca="false">IF(B3350="","",IFERROR(INDEX(Office_Log!$ED$2:$ED$201,MATCH(IFERROR(INDEX(Clay_Offices!$A$2:$FZ$601,499,Sync!$C$5)&amp;"",""),Office_Log!$A$2:$A$201,0))&amp;"",IFERROR(INDEX(Clay_Offices!$A$2:$FZ$601,499,Sync!$C$5)&amp;"","")&amp;""))</f>
        <v/>
      </c>
      <c r="E3350" s="23" t="str">
        <f aca="false">IF(B3350="","",IFERROR(INDEX(Clay_Offices!$A$2:$FZ$601,499,Sync!$C$6)&amp;"",""))</f>
        <v/>
      </c>
      <c r="F3350" s="23" t="str">
        <f aca="false">IF(B3350="","","outreach_sent")</f>
        <v/>
      </c>
      <c r="G3350" s="23" t="str">
        <f aca="false">IF(B3350="","","")</f>
        <v/>
      </c>
      <c r="H3350" s="23" t="str">
        <f aca="false">IF(B3350="","","")</f>
        <v/>
      </c>
      <c r="I3350" s="23" t="str">
        <f aca="false">IF(B3350="","","")</f>
        <v/>
      </c>
      <c r="J3350" s="23" t="str">
        <f aca="false">IF(B3350="","","touch_3; "&amp;IFERROR(INDEX(Clay_Offices!$A$2:$FZ$601,499,Sync!$C$10)&amp;"","")&amp;"; "&amp;IFERROR(INDEX(Clay_Offices!$A$2:$FZ$601,499,Sync!$C$9)&amp;"",""))</f>
        <v/>
      </c>
      <c r="K3350" s="32" t="s">
        <v>1365</v>
      </c>
    </row>
    <row r="3351" customFormat="false" ht="15" hidden="false" customHeight="false" outlineLevel="0" collapsed="false">
      <c r="A3351" s="23" t="str">
        <f aca="false">IF(B3351="","",B3351+(14*1000+500)/10000000)</f>
        <v/>
      </c>
      <c r="B3351" s="35" t="str">
        <f aca="false">IF(AND(IFERROR(N(INDEX(Clay_Offices!$A$2:$FZ$601,500,Sync!$C$13)),0)&gt;0,IFERROR(INDEX(Clay_Offices!$A$2:$FZ$601,500,Sync!$C$5)&amp;"","")&lt;&gt;"",OR(LEFT(IFERROR(INDEX(Clay_Offices!$A$2:$FZ$601,500,Sync!$C$5)&amp;"",""),6)&lt;&gt;"SAMPLE",Config!$B$19="Y")),IFERROR(N(INDEX(Clay_Offices!$A$2:$FZ$601,500,Sync!$C$13)),0),"")</f>
        <v/>
      </c>
      <c r="C3351" s="23" t="str">
        <f aca="false">IF(B3351="","","office")</f>
        <v/>
      </c>
      <c r="D3351" s="23" t="str">
        <f aca="false">IF(B3351="","",IFERROR(INDEX(Office_Log!$ED$2:$ED$201,MATCH(IFERROR(INDEX(Clay_Offices!$A$2:$FZ$601,500,Sync!$C$5)&amp;"",""),Office_Log!$A$2:$A$201,0))&amp;"",IFERROR(INDEX(Clay_Offices!$A$2:$FZ$601,500,Sync!$C$5)&amp;"","")&amp;""))</f>
        <v/>
      </c>
      <c r="E3351" s="23" t="str">
        <f aca="false">IF(B3351="","",IFERROR(INDEX(Clay_Offices!$A$2:$FZ$601,500,Sync!$C$6)&amp;"",""))</f>
        <v/>
      </c>
      <c r="F3351" s="23" t="str">
        <f aca="false">IF(B3351="","","outreach_sent")</f>
        <v/>
      </c>
      <c r="G3351" s="23" t="str">
        <f aca="false">IF(B3351="","","")</f>
        <v/>
      </c>
      <c r="H3351" s="23" t="str">
        <f aca="false">IF(B3351="","","")</f>
        <v/>
      </c>
      <c r="I3351" s="23" t="str">
        <f aca="false">IF(B3351="","","")</f>
        <v/>
      </c>
      <c r="J3351" s="23" t="str">
        <f aca="false">IF(B3351="","","touch_3; "&amp;IFERROR(INDEX(Clay_Offices!$A$2:$FZ$601,500,Sync!$C$10)&amp;"","")&amp;"; "&amp;IFERROR(INDEX(Clay_Offices!$A$2:$FZ$601,500,Sync!$C$9)&amp;"",""))</f>
        <v/>
      </c>
      <c r="K3351" s="32" t="s">
        <v>1365</v>
      </c>
    </row>
    <row r="3352" customFormat="false" ht="15" hidden="false" customHeight="false" outlineLevel="0" collapsed="false">
      <c r="A3352" s="23" t="str">
        <f aca="false">IF(B3352="","",B3352+(14*1000+501)/10000000)</f>
        <v/>
      </c>
      <c r="B3352" s="35" t="str">
        <f aca="false">IF(AND(IFERROR(N(INDEX(Clay_Offices!$A$2:$FZ$601,501,Sync!$C$13)),0)&gt;0,IFERROR(INDEX(Clay_Offices!$A$2:$FZ$601,501,Sync!$C$5)&amp;"","")&lt;&gt;"",OR(LEFT(IFERROR(INDEX(Clay_Offices!$A$2:$FZ$601,501,Sync!$C$5)&amp;"",""),6)&lt;&gt;"SAMPLE",Config!$B$19="Y")),IFERROR(N(INDEX(Clay_Offices!$A$2:$FZ$601,501,Sync!$C$13)),0),"")</f>
        <v/>
      </c>
      <c r="C3352" s="23" t="str">
        <f aca="false">IF(B3352="","","office")</f>
        <v/>
      </c>
      <c r="D3352" s="23" t="str">
        <f aca="false">IF(B3352="","",IFERROR(INDEX(Office_Log!$ED$2:$ED$201,MATCH(IFERROR(INDEX(Clay_Offices!$A$2:$FZ$601,501,Sync!$C$5)&amp;"",""),Office_Log!$A$2:$A$201,0))&amp;"",IFERROR(INDEX(Clay_Offices!$A$2:$FZ$601,501,Sync!$C$5)&amp;"","")&amp;""))</f>
        <v/>
      </c>
      <c r="E3352" s="23" t="str">
        <f aca="false">IF(B3352="","",IFERROR(INDEX(Clay_Offices!$A$2:$FZ$601,501,Sync!$C$6)&amp;"",""))</f>
        <v/>
      </c>
      <c r="F3352" s="23" t="str">
        <f aca="false">IF(B3352="","","outreach_sent")</f>
        <v/>
      </c>
      <c r="G3352" s="23" t="str">
        <f aca="false">IF(B3352="","","")</f>
        <v/>
      </c>
      <c r="H3352" s="23" t="str">
        <f aca="false">IF(B3352="","","")</f>
        <v/>
      </c>
      <c r="I3352" s="23" t="str">
        <f aca="false">IF(B3352="","","")</f>
        <v/>
      </c>
      <c r="J3352" s="23" t="str">
        <f aca="false">IF(B3352="","","touch_3; "&amp;IFERROR(INDEX(Clay_Offices!$A$2:$FZ$601,501,Sync!$C$10)&amp;"","")&amp;"; "&amp;IFERROR(INDEX(Clay_Offices!$A$2:$FZ$601,501,Sync!$C$9)&amp;"",""))</f>
        <v/>
      </c>
      <c r="K3352" s="32" t="s">
        <v>1365</v>
      </c>
    </row>
    <row r="3353" customFormat="false" ht="15" hidden="false" customHeight="false" outlineLevel="0" collapsed="false">
      <c r="A3353" s="23" t="str">
        <f aca="false">IF(B3353="","",B3353+(14*1000+502)/10000000)</f>
        <v/>
      </c>
      <c r="B3353" s="35" t="str">
        <f aca="false">IF(AND(IFERROR(N(INDEX(Clay_Offices!$A$2:$FZ$601,502,Sync!$C$13)),0)&gt;0,IFERROR(INDEX(Clay_Offices!$A$2:$FZ$601,502,Sync!$C$5)&amp;"","")&lt;&gt;"",OR(LEFT(IFERROR(INDEX(Clay_Offices!$A$2:$FZ$601,502,Sync!$C$5)&amp;"",""),6)&lt;&gt;"SAMPLE",Config!$B$19="Y")),IFERROR(N(INDEX(Clay_Offices!$A$2:$FZ$601,502,Sync!$C$13)),0),"")</f>
        <v/>
      </c>
      <c r="C3353" s="23" t="str">
        <f aca="false">IF(B3353="","","office")</f>
        <v/>
      </c>
      <c r="D3353" s="23" t="str">
        <f aca="false">IF(B3353="","",IFERROR(INDEX(Office_Log!$ED$2:$ED$201,MATCH(IFERROR(INDEX(Clay_Offices!$A$2:$FZ$601,502,Sync!$C$5)&amp;"",""),Office_Log!$A$2:$A$201,0))&amp;"",IFERROR(INDEX(Clay_Offices!$A$2:$FZ$601,502,Sync!$C$5)&amp;"","")&amp;""))</f>
        <v/>
      </c>
      <c r="E3353" s="23" t="str">
        <f aca="false">IF(B3353="","",IFERROR(INDEX(Clay_Offices!$A$2:$FZ$601,502,Sync!$C$6)&amp;"",""))</f>
        <v/>
      </c>
      <c r="F3353" s="23" t="str">
        <f aca="false">IF(B3353="","","outreach_sent")</f>
        <v/>
      </c>
      <c r="G3353" s="23" t="str">
        <f aca="false">IF(B3353="","","")</f>
        <v/>
      </c>
      <c r="H3353" s="23" t="str">
        <f aca="false">IF(B3353="","","")</f>
        <v/>
      </c>
      <c r="I3353" s="23" t="str">
        <f aca="false">IF(B3353="","","")</f>
        <v/>
      </c>
      <c r="J3353" s="23" t="str">
        <f aca="false">IF(B3353="","","touch_3; "&amp;IFERROR(INDEX(Clay_Offices!$A$2:$FZ$601,502,Sync!$C$10)&amp;"","")&amp;"; "&amp;IFERROR(INDEX(Clay_Offices!$A$2:$FZ$601,502,Sync!$C$9)&amp;"",""))</f>
        <v/>
      </c>
      <c r="K3353" s="32" t="s">
        <v>1365</v>
      </c>
    </row>
    <row r="3354" customFormat="false" ht="15" hidden="false" customHeight="false" outlineLevel="0" collapsed="false">
      <c r="A3354" s="23" t="str">
        <f aca="false">IF(B3354="","",B3354+(14*1000+503)/10000000)</f>
        <v/>
      </c>
      <c r="B3354" s="35" t="str">
        <f aca="false">IF(AND(IFERROR(N(INDEX(Clay_Offices!$A$2:$FZ$601,503,Sync!$C$13)),0)&gt;0,IFERROR(INDEX(Clay_Offices!$A$2:$FZ$601,503,Sync!$C$5)&amp;"","")&lt;&gt;"",OR(LEFT(IFERROR(INDEX(Clay_Offices!$A$2:$FZ$601,503,Sync!$C$5)&amp;"",""),6)&lt;&gt;"SAMPLE",Config!$B$19="Y")),IFERROR(N(INDEX(Clay_Offices!$A$2:$FZ$601,503,Sync!$C$13)),0),"")</f>
        <v/>
      </c>
      <c r="C3354" s="23" t="str">
        <f aca="false">IF(B3354="","","office")</f>
        <v/>
      </c>
      <c r="D3354" s="23" t="str">
        <f aca="false">IF(B3354="","",IFERROR(INDEX(Office_Log!$ED$2:$ED$201,MATCH(IFERROR(INDEX(Clay_Offices!$A$2:$FZ$601,503,Sync!$C$5)&amp;"",""),Office_Log!$A$2:$A$201,0))&amp;"",IFERROR(INDEX(Clay_Offices!$A$2:$FZ$601,503,Sync!$C$5)&amp;"","")&amp;""))</f>
        <v/>
      </c>
      <c r="E3354" s="23" t="str">
        <f aca="false">IF(B3354="","",IFERROR(INDEX(Clay_Offices!$A$2:$FZ$601,503,Sync!$C$6)&amp;"",""))</f>
        <v/>
      </c>
      <c r="F3354" s="23" t="str">
        <f aca="false">IF(B3354="","","outreach_sent")</f>
        <v/>
      </c>
      <c r="G3354" s="23" t="str">
        <f aca="false">IF(B3354="","","")</f>
        <v/>
      </c>
      <c r="H3354" s="23" t="str">
        <f aca="false">IF(B3354="","","")</f>
        <v/>
      </c>
      <c r="I3354" s="23" t="str">
        <f aca="false">IF(B3354="","","")</f>
        <v/>
      </c>
      <c r="J3354" s="23" t="str">
        <f aca="false">IF(B3354="","","touch_3; "&amp;IFERROR(INDEX(Clay_Offices!$A$2:$FZ$601,503,Sync!$C$10)&amp;"","")&amp;"; "&amp;IFERROR(INDEX(Clay_Offices!$A$2:$FZ$601,503,Sync!$C$9)&amp;"",""))</f>
        <v/>
      </c>
      <c r="K3354" s="32" t="s">
        <v>1365</v>
      </c>
    </row>
    <row r="3355" customFormat="false" ht="15" hidden="false" customHeight="false" outlineLevel="0" collapsed="false">
      <c r="A3355" s="23" t="str">
        <f aca="false">IF(B3355="","",B3355+(14*1000+504)/10000000)</f>
        <v/>
      </c>
      <c r="B3355" s="35" t="str">
        <f aca="false">IF(AND(IFERROR(N(INDEX(Clay_Offices!$A$2:$FZ$601,504,Sync!$C$13)),0)&gt;0,IFERROR(INDEX(Clay_Offices!$A$2:$FZ$601,504,Sync!$C$5)&amp;"","")&lt;&gt;"",OR(LEFT(IFERROR(INDEX(Clay_Offices!$A$2:$FZ$601,504,Sync!$C$5)&amp;"",""),6)&lt;&gt;"SAMPLE",Config!$B$19="Y")),IFERROR(N(INDEX(Clay_Offices!$A$2:$FZ$601,504,Sync!$C$13)),0),"")</f>
        <v/>
      </c>
      <c r="C3355" s="23" t="str">
        <f aca="false">IF(B3355="","","office")</f>
        <v/>
      </c>
      <c r="D3355" s="23" t="str">
        <f aca="false">IF(B3355="","",IFERROR(INDEX(Office_Log!$ED$2:$ED$201,MATCH(IFERROR(INDEX(Clay_Offices!$A$2:$FZ$601,504,Sync!$C$5)&amp;"",""),Office_Log!$A$2:$A$201,0))&amp;"",IFERROR(INDEX(Clay_Offices!$A$2:$FZ$601,504,Sync!$C$5)&amp;"","")&amp;""))</f>
        <v/>
      </c>
      <c r="E3355" s="23" t="str">
        <f aca="false">IF(B3355="","",IFERROR(INDEX(Clay_Offices!$A$2:$FZ$601,504,Sync!$C$6)&amp;"",""))</f>
        <v/>
      </c>
      <c r="F3355" s="23" t="str">
        <f aca="false">IF(B3355="","","outreach_sent")</f>
        <v/>
      </c>
      <c r="G3355" s="23" t="str">
        <f aca="false">IF(B3355="","","")</f>
        <v/>
      </c>
      <c r="H3355" s="23" t="str">
        <f aca="false">IF(B3355="","","")</f>
        <v/>
      </c>
      <c r="I3355" s="23" t="str">
        <f aca="false">IF(B3355="","","")</f>
        <v/>
      </c>
      <c r="J3355" s="23" t="str">
        <f aca="false">IF(B3355="","","touch_3; "&amp;IFERROR(INDEX(Clay_Offices!$A$2:$FZ$601,504,Sync!$C$10)&amp;"","")&amp;"; "&amp;IFERROR(INDEX(Clay_Offices!$A$2:$FZ$601,504,Sync!$C$9)&amp;"",""))</f>
        <v/>
      </c>
      <c r="K3355" s="32" t="s">
        <v>1365</v>
      </c>
    </row>
    <row r="3356" customFormat="false" ht="15" hidden="false" customHeight="false" outlineLevel="0" collapsed="false">
      <c r="A3356" s="23" t="str">
        <f aca="false">IF(B3356="","",B3356+(14*1000+505)/10000000)</f>
        <v/>
      </c>
      <c r="B3356" s="35" t="str">
        <f aca="false">IF(AND(IFERROR(N(INDEX(Clay_Offices!$A$2:$FZ$601,505,Sync!$C$13)),0)&gt;0,IFERROR(INDEX(Clay_Offices!$A$2:$FZ$601,505,Sync!$C$5)&amp;"","")&lt;&gt;"",OR(LEFT(IFERROR(INDEX(Clay_Offices!$A$2:$FZ$601,505,Sync!$C$5)&amp;"",""),6)&lt;&gt;"SAMPLE",Config!$B$19="Y")),IFERROR(N(INDEX(Clay_Offices!$A$2:$FZ$601,505,Sync!$C$13)),0),"")</f>
        <v/>
      </c>
      <c r="C3356" s="23" t="str">
        <f aca="false">IF(B3356="","","office")</f>
        <v/>
      </c>
      <c r="D3356" s="23" t="str">
        <f aca="false">IF(B3356="","",IFERROR(INDEX(Office_Log!$ED$2:$ED$201,MATCH(IFERROR(INDEX(Clay_Offices!$A$2:$FZ$601,505,Sync!$C$5)&amp;"",""),Office_Log!$A$2:$A$201,0))&amp;"",IFERROR(INDEX(Clay_Offices!$A$2:$FZ$601,505,Sync!$C$5)&amp;"","")&amp;""))</f>
        <v/>
      </c>
      <c r="E3356" s="23" t="str">
        <f aca="false">IF(B3356="","",IFERROR(INDEX(Clay_Offices!$A$2:$FZ$601,505,Sync!$C$6)&amp;"",""))</f>
        <v/>
      </c>
      <c r="F3356" s="23" t="str">
        <f aca="false">IF(B3356="","","outreach_sent")</f>
        <v/>
      </c>
      <c r="G3356" s="23" t="str">
        <f aca="false">IF(B3356="","","")</f>
        <v/>
      </c>
      <c r="H3356" s="23" t="str">
        <f aca="false">IF(B3356="","","")</f>
        <v/>
      </c>
      <c r="I3356" s="23" t="str">
        <f aca="false">IF(B3356="","","")</f>
        <v/>
      </c>
      <c r="J3356" s="23" t="str">
        <f aca="false">IF(B3356="","","touch_3; "&amp;IFERROR(INDEX(Clay_Offices!$A$2:$FZ$601,505,Sync!$C$10)&amp;"","")&amp;"; "&amp;IFERROR(INDEX(Clay_Offices!$A$2:$FZ$601,505,Sync!$C$9)&amp;"",""))</f>
        <v/>
      </c>
      <c r="K3356" s="32" t="s">
        <v>1365</v>
      </c>
    </row>
    <row r="3357" customFormat="false" ht="15" hidden="false" customHeight="false" outlineLevel="0" collapsed="false">
      <c r="A3357" s="23" t="str">
        <f aca="false">IF(B3357="","",B3357+(14*1000+506)/10000000)</f>
        <v/>
      </c>
      <c r="B3357" s="35" t="str">
        <f aca="false">IF(AND(IFERROR(N(INDEX(Clay_Offices!$A$2:$FZ$601,506,Sync!$C$13)),0)&gt;0,IFERROR(INDEX(Clay_Offices!$A$2:$FZ$601,506,Sync!$C$5)&amp;"","")&lt;&gt;"",OR(LEFT(IFERROR(INDEX(Clay_Offices!$A$2:$FZ$601,506,Sync!$C$5)&amp;"",""),6)&lt;&gt;"SAMPLE",Config!$B$19="Y")),IFERROR(N(INDEX(Clay_Offices!$A$2:$FZ$601,506,Sync!$C$13)),0),"")</f>
        <v/>
      </c>
      <c r="C3357" s="23" t="str">
        <f aca="false">IF(B3357="","","office")</f>
        <v/>
      </c>
      <c r="D3357" s="23" t="str">
        <f aca="false">IF(B3357="","",IFERROR(INDEX(Office_Log!$ED$2:$ED$201,MATCH(IFERROR(INDEX(Clay_Offices!$A$2:$FZ$601,506,Sync!$C$5)&amp;"",""),Office_Log!$A$2:$A$201,0))&amp;"",IFERROR(INDEX(Clay_Offices!$A$2:$FZ$601,506,Sync!$C$5)&amp;"","")&amp;""))</f>
        <v/>
      </c>
      <c r="E3357" s="23" t="str">
        <f aca="false">IF(B3357="","",IFERROR(INDEX(Clay_Offices!$A$2:$FZ$601,506,Sync!$C$6)&amp;"",""))</f>
        <v/>
      </c>
      <c r="F3357" s="23" t="str">
        <f aca="false">IF(B3357="","","outreach_sent")</f>
        <v/>
      </c>
      <c r="G3357" s="23" t="str">
        <f aca="false">IF(B3357="","","")</f>
        <v/>
      </c>
      <c r="H3357" s="23" t="str">
        <f aca="false">IF(B3357="","","")</f>
        <v/>
      </c>
      <c r="I3357" s="23" t="str">
        <f aca="false">IF(B3357="","","")</f>
        <v/>
      </c>
      <c r="J3357" s="23" t="str">
        <f aca="false">IF(B3357="","","touch_3; "&amp;IFERROR(INDEX(Clay_Offices!$A$2:$FZ$601,506,Sync!$C$10)&amp;"","")&amp;"; "&amp;IFERROR(INDEX(Clay_Offices!$A$2:$FZ$601,506,Sync!$C$9)&amp;"",""))</f>
        <v/>
      </c>
      <c r="K3357" s="32" t="s">
        <v>1365</v>
      </c>
    </row>
    <row r="3358" customFormat="false" ht="15" hidden="false" customHeight="false" outlineLevel="0" collapsed="false">
      <c r="A3358" s="23" t="str">
        <f aca="false">IF(B3358="","",B3358+(14*1000+507)/10000000)</f>
        <v/>
      </c>
      <c r="B3358" s="35" t="str">
        <f aca="false">IF(AND(IFERROR(N(INDEX(Clay_Offices!$A$2:$FZ$601,507,Sync!$C$13)),0)&gt;0,IFERROR(INDEX(Clay_Offices!$A$2:$FZ$601,507,Sync!$C$5)&amp;"","")&lt;&gt;"",OR(LEFT(IFERROR(INDEX(Clay_Offices!$A$2:$FZ$601,507,Sync!$C$5)&amp;"",""),6)&lt;&gt;"SAMPLE",Config!$B$19="Y")),IFERROR(N(INDEX(Clay_Offices!$A$2:$FZ$601,507,Sync!$C$13)),0),"")</f>
        <v/>
      </c>
      <c r="C3358" s="23" t="str">
        <f aca="false">IF(B3358="","","office")</f>
        <v/>
      </c>
      <c r="D3358" s="23" t="str">
        <f aca="false">IF(B3358="","",IFERROR(INDEX(Office_Log!$ED$2:$ED$201,MATCH(IFERROR(INDEX(Clay_Offices!$A$2:$FZ$601,507,Sync!$C$5)&amp;"",""),Office_Log!$A$2:$A$201,0))&amp;"",IFERROR(INDEX(Clay_Offices!$A$2:$FZ$601,507,Sync!$C$5)&amp;"","")&amp;""))</f>
        <v/>
      </c>
      <c r="E3358" s="23" t="str">
        <f aca="false">IF(B3358="","",IFERROR(INDEX(Clay_Offices!$A$2:$FZ$601,507,Sync!$C$6)&amp;"",""))</f>
        <v/>
      </c>
      <c r="F3358" s="23" t="str">
        <f aca="false">IF(B3358="","","outreach_sent")</f>
        <v/>
      </c>
      <c r="G3358" s="23" t="str">
        <f aca="false">IF(B3358="","","")</f>
        <v/>
      </c>
      <c r="H3358" s="23" t="str">
        <f aca="false">IF(B3358="","","")</f>
        <v/>
      </c>
      <c r="I3358" s="23" t="str">
        <f aca="false">IF(B3358="","","")</f>
        <v/>
      </c>
      <c r="J3358" s="23" t="str">
        <f aca="false">IF(B3358="","","touch_3; "&amp;IFERROR(INDEX(Clay_Offices!$A$2:$FZ$601,507,Sync!$C$10)&amp;"","")&amp;"; "&amp;IFERROR(INDEX(Clay_Offices!$A$2:$FZ$601,507,Sync!$C$9)&amp;"",""))</f>
        <v/>
      </c>
      <c r="K3358" s="32" t="s">
        <v>1365</v>
      </c>
    </row>
    <row r="3359" customFormat="false" ht="15" hidden="false" customHeight="false" outlineLevel="0" collapsed="false">
      <c r="A3359" s="23" t="str">
        <f aca="false">IF(B3359="","",B3359+(14*1000+508)/10000000)</f>
        <v/>
      </c>
      <c r="B3359" s="35" t="str">
        <f aca="false">IF(AND(IFERROR(N(INDEX(Clay_Offices!$A$2:$FZ$601,508,Sync!$C$13)),0)&gt;0,IFERROR(INDEX(Clay_Offices!$A$2:$FZ$601,508,Sync!$C$5)&amp;"","")&lt;&gt;"",OR(LEFT(IFERROR(INDEX(Clay_Offices!$A$2:$FZ$601,508,Sync!$C$5)&amp;"",""),6)&lt;&gt;"SAMPLE",Config!$B$19="Y")),IFERROR(N(INDEX(Clay_Offices!$A$2:$FZ$601,508,Sync!$C$13)),0),"")</f>
        <v/>
      </c>
      <c r="C3359" s="23" t="str">
        <f aca="false">IF(B3359="","","office")</f>
        <v/>
      </c>
      <c r="D3359" s="23" t="str">
        <f aca="false">IF(B3359="","",IFERROR(INDEX(Office_Log!$ED$2:$ED$201,MATCH(IFERROR(INDEX(Clay_Offices!$A$2:$FZ$601,508,Sync!$C$5)&amp;"",""),Office_Log!$A$2:$A$201,0))&amp;"",IFERROR(INDEX(Clay_Offices!$A$2:$FZ$601,508,Sync!$C$5)&amp;"","")&amp;""))</f>
        <v/>
      </c>
      <c r="E3359" s="23" t="str">
        <f aca="false">IF(B3359="","",IFERROR(INDEX(Clay_Offices!$A$2:$FZ$601,508,Sync!$C$6)&amp;"",""))</f>
        <v/>
      </c>
      <c r="F3359" s="23" t="str">
        <f aca="false">IF(B3359="","","outreach_sent")</f>
        <v/>
      </c>
      <c r="G3359" s="23" t="str">
        <f aca="false">IF(B3359="","","")</f>
        <v/>
      </c>
      <c r="H3359" s="23" t="str">
        <f aca="false">IF(B3359="","","")</f>
        <v/>
      </c>
      <c r="I3359" s="23" t="str">
        <f aca="false">IF(B3359="","","")</f>
        <v/>
      </c>
      <c r="J3359" s="23" t="str">
        <f aca="false">IF(B3359="","","touch_3; "&amp;IFERROR(INDEX(Clay_Offices!$A$2:$FZ$601,508,Sync!$C$10)&amp;"","")&amp;"; "&amp;IFERROR(INDEX(Clay_Offices!$A$2:$FZ$601,508,Sync!$C$9)&amp;"",""))</f>
        <v/>
      </c>
      <c r="K3359" s="32" t="s">
        <v>1365</v>
      </c>
    </row>
    <row r="3360" customFormat="false" ht="15" hidden="false" customHeight="false" outlineLevel="0" collapsed="false">
      <c r="A3360" s="23" t="str">
        <f aca="false">IF(B3360="","",B3360+(14*1000+509)/10000000)</f>
        <v/>
      </c>
      <c r="B3360" s="35" t="str">
        <f aca="false">IF(AND(IFERROR(N(INDEX(Clay_Offices!$A$2:$FZ$601,509,Sync!$C$13)),0)&gt;0,IFERROR(INDEX(Clay_Offices!$A$2:$FZ$601,509,Sync!$C$5)&amp;"","")&lt;&gt;"",OR(LEFT(IFERROR(INDEX(Clay_Offices!$A$2:$FZ$601,509,Sync!$C$5)&amp;"",""),6)&lt;&gt;"SAMPLE",Config!$B$19="Y")),IFERROR(N(INDEX(Clay_Offices!$A$2:$FZ$601,509,Sync!$C$13)),0),"")</f>
        <v/>
      </c>
      <c r="C3360" s="23" t="str">
        <f aca="false">IF(B3360="","","office")</f>
        <v/>
      </c>
      <c r="D3360" s="23" t="str">
        <f aca="false">IF(B3360="","",IFERROR(INDEX(Office_Log!$ED$2:$ED$201,MATCH(IFERROR(INDEX(Clay_Offices!$A$2:$FZ$601,509,Sync!$C$5)&amp;"",""),Office_Log!$A$2:$A$201,0))&amp;"",IFERROR(INDEX(Clay_Offices!$A$2:$FZ$601,509,Sync!$C$5)&amp;"","")&amp;""))</f>
        <v/>
      </c>
      <c r="E3360" s="23" t="str">
        <f aca="false">IF(B3360="","",IFERROR(INDEX(Clay_Offices!$A$2:$FZ$601,509,Sync!$C$6)&amp;"",""))</f>
        <v/>
      </c>
      <c r="F3360" s="23" t="str">
        <f aca="false">IF(B3360="","","outreach_sent")</f>
        <v/>
      </c>
      <c r="G3360" s="23" t="str">
        <f aca="false">IF(B3360="","","")</f>
        <v/>
      </c>
      <c r="H3360" s="23" t="str">
        <f aca="false">IF(B3360="","","")</f>
        <v/>
      </c>
      <c r="I3360" s="23" t="str">
        <f aca="false">IF(B3360="","","")</f>
        <v/>
      </c>
      <c r="J3360" s="23" t="str">
        <f aca="false">IF(B3360="","","touch_3; "&amp;IFERROR(INDEX(Clay_Offices!$A$2:$FZ$601,509,Sync!$C$10)&amp;"","")&amp;"; "&amp;IFERROR(INDEX(Clay_Offices!$A$2:$FZ$601,509,Sync!$C$9)&amp;"",""))</f>
        <v/>
      </c>
      <c r="K3360" s="32" t="s">
        <v>1365</v>
      </c>
    </row>
    <row r="3361" customFormat="false" ht="15" hidden="false" customHeight="false" outlineLevel="0" collapsed="false">
      <c r="A3361" s="23" t="str">
        <f aca="false">IF(B3361="","",B3361+(14*1000+510)/10000000)</f>
        <v/>
      </c>
      <c r="B3361" s="35" t="str">
        <f aca="false">IF(AND(IFERROR(N(INDEX(Clay_Offices!$A$2:$FZ$601,510,Sync!$C$13)),0)&gt;0,IFERROR(INDEX(Clay_Offices!$A$2:$FZ$601,510,Sync!$C$5)&amp;"","")&lt;&gt;"",OR(LEFT(IFERROR(INDEX(Clay_Offices!$A$2:$FZ$601,510,Sync!$C$5)&amp;"",""),6)&lt;&gt;"SAMPLE",Config!$B$19="Y")),IFERROR(N(INDEX(Clay_Offices!$A$2:$FZ$601,510,Sync!$C$13)),0),"")</f>
        <v/>
      </c>
      <c r="C3361" s="23" t="str">
        <f aca="false">IF(B3361="","","office")</f>
        <v/>
      </c>
      <c r="D3361" s="23" t="str">
        <f aca="false">IF(B3361="","",IFERROR(INDEX(Office_Log!$ED$2:$ED$201,MATCH(IFERROR(INDEX(Clay_Offices!$A$2:$FZ$601,510,Sync!$C$5)&amp;"",""),Office_Log!$A$2:$A$201,0))&amp;"",IFERROR(INDEX(Clay_Offices!$A$2:$FZ$601,510,Sync!$C$5)&amp;"","")&amp;""))</f>
        <v/>
      </c>
      <c r="E3361" s="23" t="str">
        <f aca="false">IF(B3361="","",IFERROR(INDEX(Clay_Offices!$A$2:$FZ$601,510,Sync!$C$6)&amp;"",""))</f>
        <v/>
      </c>
      <c r="F3361" s="23" t="str">
        <f aca="false">IF(B3361="","","outreach_sent")</f>
        <v/>
      </c>
      <c r="G3361" s="23" t="str">
        <f aca="false">IF(B3361="","","")</f>
        <v/>
      </c>
      <c r="H3361" s="23" t="str">
        <f aca="false">IF(B3361="","","")</f>
        <v/>
      </c>
      <c r="I3361" s="23" t="str">
        <f aca="false">IF(B3361="","","")</f>
        <v/>
      </c>
      <c r="J3361" s="23" t="str">
        <f aca="false">IF(B3361="","","touch_3; "&amp;IFERROR(INDEX(Clay_Offices!$A$2:$FZ$601,510,Sync!$C$10)&amp;"","")&amp;"; "&amp;IFERROR(INDEX(Clay_Offices!$A$2:$FZ$601,510,Sync!$C$9)&amp;"",""))</f>
        <v/>
      </c>
      <c r="K3361" s="32" t="s">
        <v>1365</v>
      </c>
    </row>
    <row r="3362" customFormat="false" ht="15" hidden="false" customHeight="false" outlineLevel="0" collapsed="false">
      <c r="A3362" s="23" t="str">
        <f aca="false">IF(B3362="","",B3362+(14*1000+511)/10000000)</f>
        <v/>
      </c>
      <c r="B3362" s="35" t="str">
        <f aca="false">IF(AND(IFERROR(N(INDEX(Clay_Offices!$A$2:$FZ$601,511,Sync!$C$13)),0)&gt;0,IFERROR(INDEX(Clay_Offices!$A$2:$FZ$601,511,Sync!$C$5)&amp;"","")&lt;&gt;"",OR(LEFT(IFERROR(INDEX(Clay_Offices!$A$2:$FZ$601,511,Sync!$C$5)&amp;"",""),6)&lt;&gt;"SAMPLE",Config!$B$19="Y")),IFERROR(N(INDEX(Clay_Offices!$A$2:$FZ$601,511,Sync!$C$13)),0),"")</f>
        <v/>
      </c>
      <c r="C3362" s="23" t="str">
        <f aca="false">IF(B3362="","","office")</f>
        <v/>
      </c>
      <c r="D3362" s="23" t="str">
        <f aca="false">IF(B3362="","",IFERROR(INDEX(Office_Log!$ED$2:$ED$201,MATCH(IFERROR(INDEX(Clay_Offices!$A$2:$FZ$601,511,Sync!$C$5)&amp;"",""),Office_Log!$A$2:$A$201,0))&amp;"",IFERROR(INDEX(Clay_Offices!$A$2:$FZ$601,511,Sync!$C$5)&amp;"","")&amp;""))</f>
        <v/>
      </c>
      <c r="E3362" s="23" t="str">
        <f aca="false">IF(B3362="","",IFERROR(INDEX(Clay_Offices!$A$2:$FZ$601,511,Sync!$C$6)&amp;"",""))</f>
        <v/>
      </c>
      <c r="F3362" s="23" t="str">
        <f aca="false">IF(B3362="","","outreach_sent")</f>
        <v/>
      </c>
      <c r="G3362" s="23" t="str">
        <f aca="false">IF(B3362="","","")</f>
        <v/>
      </c>
      <c r="H3362" s="23" t="str">
        <f aca="false">IF(B3362="","","")</f>
        <v/>
      </c>
      <c r="I3362" s="23" t="str">
        <f aca="false">IF(B3362="","","")</f>
        <v/>
      </c>
      <c r="J3362" s="23" t="str">
        <f aca="false">IF(B3362="","","touch_3; "&amp;IFERROR(INDEX(Clay_Offices!$A$2:$FZ$601,511,Sync!$C$10)&amp;"","")&amp;"; "&amp;IFERROR(INDEX(Clay_Offices!$A$2:$FZ$601,511,Sync!$C$9)&amp;"",""))</f>
        <v/>
      </c>
      <c r="K3362" s="32" t="s">
        <v>1365</v>
      </c>
    </row>
    <row r="3363" customFormat="false" ht="15" hidden="false" customHeight="false" outlineLevel="0" collapsed="false">
      <c r="A3363" s="23" t="str">
        <f aca="false">IF(B3363="","",B3363+(14*1000+512)/10000000)</f>
        <v/>
      </c>
      <c r="B3363" s="35" t="str">
        <f aca="false">IF(AND(IFERROR(N(INDEX(Clay_Offices!$A$2:$FZ$601,512,Sync!$C$13)),0)&gt;0,IFERROR(INDEX(Clay_Offices!$A$2:$FZ$601,512,Sync!$C$5)&amp;"","")&lt;&gt;"",OR(LEFT(IFERROR(INDEX(Clay_Offices!$A$2:$FZ$601,512,Sync!$C$5)&amp;"",""),6)&lt;&gt;"SAMPLE",Config!$B$19="Y")),IFERROR(N(INDEX(Clay_Offices!$A$2:$FZ$601,512,Sync!$C$13)),0),"")</f>
        <v/>
      </c>
      <c r="C3363" s="23" t="str">
        <f aca="false">IF(B3363="","","office")</f>
        <v/>
      </c>
      <c r="D3363" s="23" t="str">
        <f aca="false">IF(B3363="","",IFERROR(INDEX(Office_Log!$ED$2:$ED$201,MATCH(IFERROR(INDEX(Clay_Offices!$A$2:$FZ$601,512,Sync!$C$5)&amp;"",""),Office_Log!$A$2:$A$201,0))&amp;"",IFERROR(INDEX(Clay_Offices!$A$2:$FZ$601,512,Sync!$C$5)&amp;"","")&amp;""))</f>
        <v/>
      </c>
      <c r="E3363" s="23" t="str">
        <f aca="false">IF(B3363="","",IFERROR(INDEX(Clay_Offices!$A$2:$FZ$601,512,Sync!$C$6)&amp;"",""))</f>
        <v/>
      </c>
      <c r="F3363" s="23" t="str">
        <f aca="false">IF(B3363="","","outreach_sent")</f>
        <v/>
      </c>
      <c r="G3363" s="23" t="str">
        <f aca="false">IF(B3363="","","")</f>
        <v/>
      </c>
      <c r="H3363" s="23" t="str">
        <f aca="false">IF(B3363="","","")</f>
        <v/>
      </c>
      <c r="I3363" s="23" t="str">
        <f aca="false">IF(B3363="","","")</f>
        <v/>
      </c>
      <c r="J3363" s="23" t="str">
        <f aca="false">IF(B3363="","","touch_3; "&amp;IFERROR(INDEX(Clay_Offices!$A$2:$FZ$601,512,Sync!$C$10)&amp;"","")&amp;"; "&amp;IFERROR(INDEX(Clay_Offices!$A$2:$FZ$601,512,Sync!$C$9)&amp;"",""))</f>
        <v/>
      </c>
      <c r="K3363" s="32" t="s">
        <v>1365</v>
      </c>
    </row>
    <row r="3364" customFormat="false" ht="15" hidden="false" customHeight="false" outlineLevel="0" collapsed="false">
      <c r="A3364" s="23" t="str">
        <f aca="false">IF(B3364="","",B3364+(14*1000+513)/10000000)</f>
        <v/>
      </c>
      <c r="B3364" s="35" t="str">
        <f aca="false">IF(AND(IFERROR(N(INDEX(Clay_Offices!$A$2:$FZ$601,513,Sync!$C$13)),0)&gt;0,IFERROR(INDEX(Clay_Offices!$A$2:$FZ$601,513,Sync!$C$5)&amp;"","")&lt;&gt;"",OR(LEFT(IFERROR(INDEX(Clay_Offices!$A$2:$FZ$601,513,Sync!$C$5)&amp;"",""),6)&lt;&gt;"SAMPLE",Config!$B$19="Y")),IFERROR(N(INDEX(Clay_Offices!$A$2:$FZ$601,513,Sync!$C$13)),0),"")</f>
        <v/>
      </c>
      <c r="C3364" s="23" t="str">
        <f aca="false">IF(B3364="","","office")</f>
        <v/>
      </c>
      <c r="D3364" s="23" t="str">
        <f aca="false">IF(B3364="","",IFERROR(INDEX(Office_Log!$ED$2:$ED$201,MATCH(IFERROR(INDEX(Clay_Offices!$A$2:$FZ$601,513,Sync!$C$5)&amp;"",""),Office_Log!$A$2:$A$201,0))&amp;"",IFERROR(INDEX(Clay_Offices!$A$2:$FZ$601,513,Sync!$C$5)&amp;"","")&amp;""))</f>
        <v/>
      </c>
      <c r="E3364" s="23" t="str">
        <f aca="false">IF(B3364="","",IFERROR(INDEX(Clay_Offices!$A$2:$FZ$601,513,Sync!$C$6)&amp;"",""))</f>
        <v/>
      </c>
      <c r="F3364" s="23" t="str">
        <f aca="false">IF(B3364="","","outreach_sent")</f>
        <v/>
      </c>
      <c r="G3364" s="23" t="str">
        <f aca="false">IF(B3364="","","")</f>
        <v/>
      </c>
      <c r="H3364" s="23" t="str">
        <f aca="false">IF(B3364="","","")</f>
        <v/>
      </c>
      <c r="I3364" s="23" t="str">
        <f aca="false">IF(B3364="","","")</f>
        <v/>
      </c>
      <c r="J3364" s="23" t="str">
        <f aca="false">IF(B3364="","","touch_3; "&amp;IFERROR(INDEX(Clay_Offices!$A$2:$FZ$601,513,Sync!$C$10)&amp;"","")&amp;"; "&amp;IFERROR(INDEX(Clay_Offices!$A$2:$FZ$601,513,Sync!$C$9)&amp;"",""))</f>
        <v/>
      </c>
      <c r="K3364" s="32" t="s">
        <v>1365</v>
      </c>
    </row>
    <row r="3365" customFormat="false" ht="15" hidden="false" customHeight="false" outlineLevel="0" collapsed="false">
      <c r="A3365" s="23" t="str">
        <f aca="false">IF(B3365="","",B3365+(14*1000+514)/10000000)</f>
        <v/>
      </c>
      <c r="B3365" s="35" t="str">
        <f aca="false">IF(AND(IFERROR(N(INDEX(Clay_Offices!$A$2:$FZ$601,514,Sync!$C$13)),0)&gt;0,IFERROR(INDEX(Clay_Offices!$A$2:$FZ$601,514,Sync!$C$5)&amp;"","")&lt;&gt;"",OR(LEFT(IFERROR(INDEX(Clay_Offices!$A$2:$FZ$601,514,Sync!$C$5)&amp;"",""),6)&lt;&gt;"SAMPLE",Config!$B$19="Y")),IFERROR(N(INDEX(Clay_Offices!$A$2:$FZ$601,514,Sync!$C$13)),0),"")</f>
        <v/>
      </c>
      <c r="C3365" s="23" t="str">
        <f aca="false">IF(B3365="","","office")</f>
        <v/>
      </c>
      <c r="D3365" s="23" t="str">
        <f aca="false">IF(B3365="","",IFERROR(INDEX(Office_Log!$ED$2:$ED$201,MATCH(IFERROR(INDEX(Clay_Offices!$A$2:$FZ$601,514,Sync!$C$5)&amp;"",""),Office_Log!$A$2:$A$201,0))&amp;"",IFERROR(INDEX(Clay_Offices!$A$2:$FZ$601,514,Sync!$C$5)&amp;"","")&amp;""))</f>
        <v/>
      </c>
      <c r="E3365" s="23" t="str">
        <f aca="false">IF(B3365="","",IFERROR(INDEX(Clay_Offices!$A$2:$FZ$601,514,Sync!$C$6)&amp;"",""))</f>
        <v/>
      </c>
      <c r="F3365" s="23" t="str">
        <f aca="false">IF(B3365="","","outreach_sent")</f>
        <v/>
      </c>
      <c r="G3365" s="23" t="str">
        <f aca="false">IF(B3365="","","")</f>
        <v/>
      </c>
      <c r="H3365" s="23" t="str">
        <f aca="false">IF(B3365="","","")</f>
        <v/>
      </c>
      <c r="I3365" s="23" t="str">
        <f aca="false">IF(B3365="","","")</f>
        <v/>
      </c>
      <c r="J3365" s="23" t="str">
        <f aca="false">IF(B3365="","","touch_3; "&amp;IFERROR(INDEX(Clay_Offices!$A$2:$FZ$601,514,Sync!$C$10)&amp;"","")&amp;"; "&amp;IFERROR(INDEX(Clay_Offices!$A$2:$FZ$601,514,Sync!$C$9)&amp;"",""))</f>
        <v/>
      </c>
      <c r="K3365" s="32" t="s">
        <v>1365</v>
      </c>
    </row>
    <row r="3366" customFormat="false" ht="15" hidden="false" customHeight="false" outlineLevel="0" collapsed="false">
      <c r="A3366" s="23" t="str">
        <f aca="false">IF(B3366="","",B3366+(14*1000+515)/10000000)</f>
        <v/>
      </c>
      <c r="B3366" s="35" t="str">
        <f aca="false">IF(AND(IFERROR(N(INDEX(Clay_Offices!$A$2:$FZ$601,515,Sync!$C$13)),0)&gt;0,IFERROR(INDEX(Clay_Offices!$A$2:$FZ$601,515,Sync!$C$5)&amp;"","")&lt;&gt;"",OR(LEFT(IFERROR(INDEX(Clay_Offices!$A$2:$FZ$601,515,Sync!$C$5)&amp;"",""),6)&lt;&gt;"SAMPLE",Config!$B$19="Y")),IFERROR(N(INDEX(Clay_Offices!$A$2:$FZ$601,515,Sync!$C$13)),0),"")</f>
        <v/>
      </c>
      <c r="C3366" s="23" t="str">
        <f aca="false">IF(B3366="","","office")</f>
        <v/>
      </c>
      <c r="D3366" s="23" t="str">
        <f aca="false">IF(B3366="","",IFERROR(INDEX(Office_Log!$ED$2:$ED$201,MATCH(IFERROR(INDEX(Clay_Offices!$A$2:$FZ$601,515,Sync!$C$5)&amp;"",""),Office_Log!$A$2:$A$201,0))&amp;"",IFERROR(INDEX(Clay_Offices!$A$2:$FZ$601,515,Sync!$C$5)&amp;"","")&amp;""))</f>
        <v/>
      </c>
      <c r="E3366" s="23" t="str">
        <f aca="false">IF(B3366="","",IFERROR(INDEX(Clay_Offices!$A$2:$FZ$601,515,Sync!$C$6)&amp;"",""))</f>
        <v/>
      </c>
      <c r="F3366" s="23" t="str">
        <f aca="false">IF(B3366="","","outreach_sent")</f>
        <v/>
      </c>
      <c r="G3366" s="23" t="str">
        <f aca="false">IF(B3366="","","")</f>
        <v/>
      </c>
      <c r="H3366" s="23" t="str">
        <f aca="false">IF(B3366="","","")</f>
        <v/>
      </c>
      <c r="I3366" s="23" t="str">
        <f aca="false">IF(B3366="","","")</f>
        <v/>
      </c>
      <c r="J3366" s="23" t="str">
        <f aca="false">IF(B3366="","","touch_3; "&amp;IFERROR(INDEX(Clay_Offices!$A$2:$FZ$601,515,Sync!$C$10)&amp;"","")&amp;"; "&amp;IFERROR(INDEX(Clay_Offices!$A$2:$FZ$601,515,Sync!$C$9)&amp;"",""))</f>
        <v/>
      </c>
      <c r="K3366" s="32" t="s">
        <v>1365</v>
      </c>
    </row>
    <row r="3367" customFormat="false" ht="15" hidden="false" customHeight="false" outlineLevel="0" collapsed="false">
      <c r="A3367" s="23" t="str">
        <f aca="false">IF(B3367="","",B3367+(14*1000+516)/10000000)</f>
        <v/>
      </c>
      <c r="B3367" s="35" t="str">
        <f aca="false">IF(AND(IFERROR(N(INDEX(Clay_Offices!$A$2:$FZ$601,516,Sync!$C$13)),0)&gt;0,IFERROR(INDEX(Clay_Offices!$A$2:$FZ$601,516,Sync!$C$5)&amp;"","")&lt;&gt;"",OR(LEFT(IFERROR(INDEX(Clay_Offices!$A$2:$FZ$601,516,Sync!$C$5)&amp;"",""),6)&lt;&gt;"SAMPLE",Config!$B$19="Y")),IFERROR(N(INDEX(Clay_Offices!$A$2:$FZ$601,516,Sync!$C$13)),0),"")</f>
        <v/>
      </c>
      <c r="C3367" s="23" t="str">
        <f aca="false">IF(B3367="","","office")</f>
        <v/>
      </c>
      <c r="D3367" s="23" t="str">
        <f aca="false">IF(B3367="","",IFERROR(INDEX(Office_Log!$ED$2:$ED$201,MATCH(IFERROR(INDEX(Clay_Offices!$A$2:$FZ$601,516,Sync!$C$5)&amp;"",""),Office_Log!$A$2:$A$201,0))&amp;"",IFERROR(INDEX(Clay_Offices!$A$2:$FZ$601,516,Sync!$C$5)&amp;"","")&amp;""))</f>
        <v/>
      </c>
      <c r="E3367" s="23" t="str">
        <f aca="false">IF(B3367="","",IFERROR(INDEX(Clay_Offices!$A$2:$FZ$601,516,Sync!$C$6)&amp;"",""))</f>
        <v/>
      </c>
      <c r="F3367" s="23" t="str">
        <f aca="false">IF(B3367="","","outreach_sent")</f>
        <v/>
      </c>
      <c r="G3367" s="23" t="str">
        <f aca="false">IF(B3367="","","")</f>
        <v/>
      </c>
      <c r="H3367" s="23" t="str">
        <f aca="false">IF(B3367="","","")</f>
        <v/>
      </c>
      <c r="I3367" s="23" t="str">
        <f aca="false">IF(B3367="","","")</f>
        <v/>
      </c>
      <c r="J3367" s="23" t="str">
        <f aca="false">IF(B3367="","","touch_3; "&amp;IFERROR(INDEX(Clay_Offices!$A$2:$FZ$601,516,Sync!$C$10)&amp;"","")&amp;"; "&amp;IFERROR(INDEX(Clay_Offices!$A$2:$FZ$601,516,Sync!$C$9)&amp;"",""))</f>
        <v/>
      </c>
      <c r="K3367" s="32" t="s">
        <v>1365</v>
      </c>
    </row>
    <row r="3368" customFormat="false" ht="15" hidden="false" customHeight="false" outlineLevel="0" collapsed="false">
      <c r="A3368" s="23" t="str">
        <f aca="false">IF(B3368="","",B3368+(14*1000+517)/10000000)</f>
        <v/>
      </c>
      <c r="B3368" s="35" t="str">
        <f aca="false">IF(AND(IFERROR(N(INDEX(Clay_Offices!$A$2:$FZ$601,517,Sync!$C$13)),0)&gt;0,IFERROR(INDEX(Clay_Offices!$A$2:$FZ$601,517,Sync!$C$5)&amp;"","")&lt;&gt;"",OR(LEFT(IFERROR(INDEX(Clay_Offices!$A$2:$FZ$601,517,Sync!$C$5)&amp;"",""),6)&lt;&gt;"SAMPLE",Config!$B$19="Y")),IFERROR(N(INDEX(Clay_Offices!$A$2:$FZ$601,517,Sync!$C$13)),0),"")</f>
        <v/>
      </c>
      <c r="C3368" s="23" t="str">
        <f aca="false">IF(B3368="","","office")</f>
        <v/>
      </c>
      <c r="D3368" s="23" t="str">
        <f aca="false">IF(B3368="","",IFERROR(INDEX(Office_Log!$ED$2:$ED$201,MATCH(IFERROR(INDEX(Clay_Offices!$A$2:$FZ$601,517,Sync!$C$5)&amp;"",""),Office_Log!$A$2:$A$201,0))&amp;"",IFERROR(INDEX(Clay_Offices!$A$2:$FZ$601,517,Sync!$C$5)&amp;"","")&amp;""))</f>
        <v/>
      </c>
      <c r="E3368" s="23" t="str">
        <f aca="false">IF(B3368="","",IFERROR(INDEX(Clay_Offices!$A$2:$FZ$601,517,Sync!$C$6)&amp;"",""))</f>
        <v/>
      </c>
      <c r="F3368" s="23" t="str">
        <f aca="false">IF(B3368="","","outreach_sent")</f>
        <v/>
      </c>
      <c r="G3368" s="23" t="str">
        <f aca="false">IF(B3368="","","")</f>
        <v/>
      </c>
      <c r="H3368" s="23" t="str">
        <f aca="false">IF(B3368="","","")</f>
        <v/>
      </c>
      <c r="I3368" s="23" t="str">
        <f aca="false">IF(B3368="","","")</f>
        <v/>
      </c>
      <c r="J3368" s="23" t="str">
        <f aca="false">IF(B3368="","","touch_3; "&amp;IFERROR(INDEX(Clay_Offices!$A$2:$FZ$601,517,Sync!$C$10)&amp;"","")&amp;"; "&amp;IFERROR(INDEX(Clay_Offices!$A$2:$FZ$601,517,Sync!$C$9)&amp;"",""))</f>
        <v/>
      </c>
      <c r="K3368" s="32" t="s">
        <v>1365</v>
      </c>
    </row>
    <row r="3369" customFormat="false" ht="15" hidden="false" customHeight="false" outlineLevel="0" collapsed="false">
      <c r="A3369" s="23" t="str">
        <f aca="false">IF(B3369="","",B3369+(14*1000+518)/10000000)</f>
        <v/>
      </c>
      <c r="B3369" s="35" t="str">
        <f aca="false">IF(AND(IFERROR(N(INDEX(Clay_Offices!$A$2:$FZ$601,518,Sync!$C$13)),0)&gt;0,IFERROR(INDEX(Clay_Offices!$A$2:$FZ$601,518,Sync!$C$5)&amp;"","")&lt;&gt;"",OR(LEFT(IFERROR(INDEX(Clay_Offices!$A$2:$FZ$601,518,Sync!$C$5)&amp;"",""),6)&lt;&gt;"SAMPLE",Config!$B$19="Y")),IFERROR(N(INDEX(Clay_Offices!$A$2:$FZ$601,518,Sync!$C$13)),0),"")</f>
        <v/>
      </c>
      <c r="C3369" s="23" t="str">
        <f aca="false">IF(B3369="","","office")</f>
        <v/>
      </c>
      <c r="D3369" s="23" t="str">
        <f aca="false">IF(B3369="","",IFERROR(INDEX(Office_Log!$ED$2:$ED$201,MATCH(IFERROR(INDEX(Clay_Offices!$A$2:$FZ$601,518,Sync!$C$5)&amp;"",""),Office_Log!$A$2:$A$201,0))&amp;"",IFERROR(INDEX(Clay_Offices!$A$2:$FZ$601,518,Sync!$C$5)&amp;"","")&amp;""))</f>
        <v/>
      </c>
      <c r="E3369" s="23" t="str">
        <f aca="false">IF(B3369="","",IFERROR(INDEX(Clay_Offices!$A$2:$FZ$601,518,Sync!$C$6)&amp;"",""))</f>
        <v/>
      </c>
      <c r="F3369" s="23" t="str">
        <f aca="false">IF(B3369="","","outreach_sent")</f>
        <v/>
      </c>
      <c r="G3369" s="23" t="str">
        <f aca="false">IF(B3369="","","")</f>
        <v/>
      </c>
      <c r="H3369" s="23" t="str">
        <f aca="false">IF(B3369="","","")</f>
        <v/>
      </c>
      <c r="I3369" s="23" t="str">
        <f aca="false">IF(B3369="","","")</f>
        <v/>
      </c>
      <c r="J3369" s="23" t="str">
        <f aca="false">IF(B3369="","","touch_3; "&amp;IFERROR(INDEX(Clay_Offices!$A$2:$FZ$601,518,Sync!$C$10)&amp;"","")&amp;"; "&amp;IFERROR(INDEX(Clay_Offices!$A$2:$FZ$601,518,Sync!$C$9)&amp;"",""))</f>
        <v/>
      </c>
      <c r="K3369" s="32" t="s">
        <v>1365</v>
      </c>
    </row>
    <row r="3370" customFormat="false" ht="15" hidden="false" customHeight="false" outlineLevel="0" collapsed="false">
      <c r="A3370" s="23" t="str">
        <f aca="false">IF(B3370="","",B3370+(14*1000+519)/10000000)</f>
        <v/>
      </c>
      <c r="B3370" s="35" t="str">
        <f aca="false">IF(AND(IFERROR(N(INDEX(Clay_Offices!$A$2:$FZ$601,519,Sync!$C$13)),0)&gt;0,IFERROR(INDEX(Clay_Offices!$A$2:$FZ$601,519,Sync!$C$5)&amp;"","")&lt;&gt;"",OR(LEFT(IFERROR(INDEX(Clay_Offices!$A$2:$FZ$601,519,Sync!$C$5)&amp;"",""),6)&lt;&gt;"SAMPLE",Config!$B$19="Y")),IFERROR(N(INDEX(Clay_Offices!$A$2:$FZ$601,519,Sync!$C$13)),0),"")</f>
        <v/>
      </c>
      <c r="C3370" s="23" t="str">
        <f aca="false">IF(B3370="","","office")</f>
        <v/>
      </c>
      <c r="D3370" s="23" t="str">
        <f aca="false">IF(B3370="","",IFERROR(INDEX(Office_Log!$ED$2:$ED$201,MATCH(IFERROR(INDEX(Clay_Offices!$A$2:$FZ$601,519,Sync!$C$5)&amp;"",""),Office_Log!$A$2:$A$201,0))&amp;"",IFERROR(INDEX(Clay_Offices!$A$2:$FZ$601,519,Sync!$C$5)&amp;"","")&amp;""))</f>
        <v/>
      </c>
      <c r="E3370" s="23" t="str">
        <f aca="false">IF(B3370="","",IFERROR(INDEX(Clay_Offices!$A$2:$FZ$601,519,Sync!$C$6)&amp;"",""))</f>
        <v/>
      </c>
      <c r="F3370" s="23" t="str">
        <f aca="false">IF(B3370="","","outreach_sent")</f>
        <v/>
      </c>
      <c r="G3370" s="23" t="str">
        <f aca="false">IF(B3370="","","")</f>
        <v/>
      </c>
      <c r="H3370" s="23" t="str">
        <f aca="false">IF(B3370="","","")</f>
        <v/>
      </c>
      <c r="I3370" s="23" t="str">
        <f aca="false">IF(B3370="","","")</f>
        <v/>
      </c>
      <c r="J3370" s="23" t="str">
        <f aca="false">IF(B3370="","","touch_3; "&amp;IFERROR(INDEX(Clay_Offices!$A$2:$FZ$601,519,Sync!$C$10)&amp;"","")&amp;"; "&amp;IFERROR(INDEX(Clay_Offices!$A$2:$FZ$601,519,Sync!$C$9)&amp;"",""))</f>
        <v/>
      </c>
      <c r="K3370" s="32" t="s">
        <v>1365</v>
      </c>
    </row>
    <row r="3371" customFormat="false" ht="15" hidden="false" customHeight="false" outlineLevel="0" collapsed="false">
      <c r="A3371" s="23" t="str">
        <f aca="false">IF(B3371="","",B3371+(14*1000+520)/10000000)</f>
        <v/>
      </c>
      <c r="B3371" s="35" t="str">
        <f aca="false">IF(AND(IFERROR(N(INDEX(Clay_Offices!$A$2:$FZ$601,520,Sync!$C$13)),0)&gt;0,IFERROR(INDEX(Clay_Offices!$A$2:$FZ$601,520,Sync!$C$5)&amp;"","")&lt;&gt;"",OR(LEFT(IFERROR(INDEX(Clay_Offices!$A$2:$FZ$601,520,Sync!$C$5)&amp;"",""),6)&lt;&gt;"SAMPLE",Config!$B$19="Y")),IFERROR(N(INDEX(Clay_Offices!$A$2:$FZ$601,520,Sync!$C$13)),0),"")</f>
        <v/>
      </c>
      <c r="C3371" s="23" t="str">
        <f aca="false">IF(B3371="","","office")</f>
        <v/>
      </c>
      <c r="D3371" s="23" t="str">
        <f aca="false">IF(B3371="","",IFERROR(INDEX(Office_Log!$ED$2:$ED$201,MATCH(IFERROR(INDEX(Clay_Offices!$A$2:$FZ$601,520,Sync!$C$5)&amp;"",""),Office_Log!$A$2:$A$201,0))&amp;"",IFERROR(INDEX(Clay_Offices!$A$2:$FZ$601,520,Sync!$C$5)&amp;"","")&amp;""))</f>
        <v/>
      </c>
      <c r="E3371" s="23" t="str">
        <f aca="false">IF(B3371="","",IFERROR(INDEX(Clay_Offices!$A$2:$FZ$601,520,Sync!$C$6)&amp;"",""))</f>
        <v/>
      </c>
      <c r="F3371" s="23" t="str">
        <f aca="false">IF(B3371="","","outreach_sent")</f>
        <v/>
      </c>
      <c r="G3371" s="23" t="str">
        <f aca="false">IF(B3371="","","")</f>
        <v/>
      </c>
      <c r="H3371" s="23" t="str">
        <f aca="false">IF(B3371="","","")</f>
        <v/>
      </c>
      <c r="I3371" s="23" t="str">
        <f aca="false">IF(B3371="","","")</f>
        <v/>
      </c>
      <c r="J3371" s="23" t="str">
        <f aca="false">IF(B3371="","","touch_3; "&amp;IFERROR(INDEX(Clay_Offices!$A$2:$FZ$601,520,Sync!$C$10)&amp;"","")&amp;"; "&amp;IFERROR(INDEX(Clay_Offices!$A$2:$FZ$601,520,Sync!$C$9)&amp;"",""))</f>
        <v/>
      </c>
      <c r="K3371" s="32" t="s">
        <v>1365</v>
      </c>
    </row>
    <row r="3372" customFormat="false" ht="15" hidden="false" customHeight="false" outlineLevel="0" collapsed="false">
      <c r="A3372" s="23" t="str">
        <f aca="false">IF(B3372="","",B3372+(14*1000+521)/10000000)</f>
        <v/>
      </c>
      <c r="B3372" s="35" t="str">
        <f aca="false">IF(AND(IFERROR(N(INDEX(Clay_Offices!$A$2:$FZ$601,521,Sync!$C$13)),0)&gt;0,IFERROR(INDEX(Clay_Offices!$A$2:$FZ$601,521,Sync!$C$5)&amp;"","")&lt;&gt;"",OR(LEFT(IFERROR(INDEX(Clay_Offices!$A$2:$FZ$601,521,Sync!$C$5)&amp;"",""),6)&lt;&gt;"SAMPLE",Config!$B$19="Y")),IFERROR(N(INDEX(Clay_Offices!$A$2:$FZ$601,521,Sync!$C$13)),0),"")</f>
        <v/>
      </c>
      <c r="C3372" s="23" t="str">
        <f aca="false">IF(B3372="","","office")</f>
        <v/>
      </c>
      <c r="D3372" s="23" t="str">
        <f aca="false">IF(B3372="","",IFERROR(INDEX(Office_Log!$ED$2:$ED$201,MATCH(IFERROR(INDEX(Clay_Offices!$A$2:$FZ$601,521,Sync!$C$5)&amp;"",""),Office_Log!$A$2:$A$201,0))&amp;"",IFERROR(INDEX(Clay_Offices!$A$2:$FZ$601,521,Sync!$C$5)&amp;"","")&amp;""))</f>
        <v/>
      </c>
      <c r="E3372" s="23" t="str">
        <f aca="false">IF(B3372="","",IFERROR(INDEX(Clay_Offices!$A$2:$FZ$601,521,Sync!$C$6)&amp;"",""))</f>
        <v/>
      </c>
      <c r="F3372" s="23" t="str">
        <f aca="false">IF(B3372="","","outreach_sent")</f>
        <v/>
      </c>
      <c r="G3372" s="23" t="str">
        <f aca="false">IF(B3372="","","")</f>
        <v/>
      </c>
      <c r="H3372" s="23" t="str">
        <f aca="false">IF(B3372="","","")</f>
        <v/>
      </c>
      <c r="I3372" s="23" t="str">
        <f aca="false">IF(B3372="","","")</f>
        <v/>
      </c>
      <c r="J3372" s="23" t="str">
        <f aca="false">IF(B3372="","","touch_3; "&amp;IFERROR(INDEX(Clay_Offices!$A$2:$FZ$601,521,Sync!$C$10)&amp;"","")&amp;"; "&amp;IFERROR(INDEX(Clay_Offices!$A$2:$FZ$601,521,Sync!$C$9)&amp;"",""))</f>
        <v/>
      </c>
      <c r="K3372" s="32" t="s">
        <v>1365</v>
      </c>
    </row>
    <row r="3373" customFormat="false" ht="15" hidden="false" customHeight="false" outlineLevel="0" collapsed="false">
      <c r="A3373" s="23" t="str">
        <f aca="false">IF(B3373="","",B3373+(14*1000+522)/10000000)</f>
        <v/>
      </c>
      <c r="B3373" s="35" t="str">
        <f aca="false">IF(AND(IFERROR(N(INDEX(Clay_Offices!$A$2:$FZ$601,522,Sync!$C$13)),0)&gt;0,IFERROR(INDEX(Clay_Offices!$A$2:$FZ$601,522,Sync!$C$5)&amp;"","")&lt;&gt;"",OR(LEFT(IFERROR(INDEX(Clay_Offices!$A$2:$FZ$601,522,Sync!$C$5)&amp;"",""),6)&lt;&gt;"SAMPLE",Config!$B$19="Y")),IFERROR(N(INDEX(Clay_Offices!$A$2:$FZ$601,522,Sync!$C$13)),0),"")</f>
        <v/>
      </c>
      <c r="C3373" s="23" t="str">
        <f aca="false">IF(B3373="","","office")</f>
        <v/>
      </c>
      <c r="D3373" s="23" t="str">
        <f aca="false">IF(B3373="","",IFERROR(INDEX(Office_Log!$ED$2:$ED$201,MATCH(IFERROR(INDEX(Clay_Offices!$A$2:$FZ$601,522,Sync!$C$5)&amp;"",""),Office_Log!$A$2:$A$201,0))&amp;"",IFERROR(INDEX(Clay_Offices!$A$2:$FZ$601,522,Sync!$C$5)&amp;"","")&amp;""))</f>
        <v/>
      </c>
      <c r="E3373" s="23" t="str">
        <f aca="false">IF(B3373="","",IFERROR(INDEX(Clay_Offices!$A$2:$FZ$601,522,Sync!$C$6)&amp;"",""))</f>
        <v/>
      </c>
      <c r="F3373" s="23" t="str">
        <f aca="false">IF(B3373="","","outreach_sent")</f>
        <v/>
      </c>
      <c r="G3373" s="23" t="str">
        <f aca="false">IF(B3373="","","")</f>
        <v/>
      </c>
      <c r="H3373" s="23" t="str">
        <f aca="false">IF(B3373="","","")</f>
        <v/>
      </c>
      <c r="I3373" s="23" t="str">
        <f aca="false">IF(B3373="","","")</f>
        <v/>
      </c>
      <c r="J3373" s="23" t="str">
        <f aca="false">IF(B3373="","","touch_3; "&amp;IFERROR(INDEX(Clay_Offices!$A$2:$FZ$601,522,Sync!$C$10)&amp;"","")&amp;"; "&amp;IFERROR(INDEX(Clay_Offices!$A$2:$FZ$601,522,Sync!$C$9)&amp;"",""))</f>
        <v/>
      </c>
      <c r="K3373" s="32" t="s">
        <v>1365</v>
      </c>
    </row>
    <row r="3374" customFormat="false" ht="15" hidden="false" customHeight="false" outlineLevel="0" collapsed="false">
      <c r="A3374" s="23" t="str">
        <f aca="false">IF(B3374="","",B3374+(14*1000+523)/10000000)</f>
        <v/>
      </c>
      <c r="B3374" s="35" t="str">
        <f aca="false">IF(AND(IFERROR(N(INDEX(Clay_Offices!$A$2:$FZ$601,523,Sync!$C$13)),0)&gt;0,IFERROR(INDEX(Clay_Offices!$A$2:$FZ$601,523,Sync!$C$5)&amp;"","")&lt;&gt;"",OR(LEFT(IFERROR(INDEX(Clay_Offices!$A$2:$FZ$601,523,Sync!$C$5)&amp;"",""),6)&lt;&gt;"SAMPLE",Config!$B$19="Y")),IFERROR(N(INDEX(Clay_Offices!$A$2:$FZ$601,523,Sync!$C$13)),0),"")</f>
        <v/>
      </c>
      <c r="C3374" s="23" t="str">
        <f aca="false">IF(B3374="","","office")</f>
        <v/>
      </c>
      <c r="D3374" s="23" t="str">
        <f aca="false">IF(B3374="","",IFERROR(INDEX(Office_Log!$ED$2:$ED$201,MATCH(IFERROR(INDEX(Clay_Offices!$A$2:$FZ$601,523,Sync!$C$5)&amp;"",""),Office_Log!$A$2:$A$201,0))&amp;"",IFERROR(INDEX(Clay_Offices!$A$2:$FZ$601,523,Sync!$C$5)&amp;"","")&amp;""))</f>
        <v/>
      </c>
      <c r="E3374" s="23" t="str">
        <f aca="false">IF(B3374="","",IFERROR(INDEX(Clay_Offices!$A$2:$FZ$601,523,Sync!$C$6)&amp;"",""))</f>
        <v/>
      </c>
      <c r="F3374" s="23" t="str">
        <f aca="false">IF(B3374="","","outreach_sent")</f>
        <v/>
      </c>
      <c r="G3374" s="23" t="str">
        <f aca="false">IF(B3374="","","")</f>
        <v/>
      </c>
      <c r="H3374" s="23" t="str">
        <f aca="false">IF(B3374="","","")</f>
        <v/>
      </c>
      <c r="I3374" s="23" t="str">
        <f aca="false">IF(B3374="","","")</f>
        <v/>
      </c>
      <c r="J3374" s="23" t="str">
        <f aca="false">IF(B3374="","","touch_3; "&amp;IFERROR(INDEX(Clay_Offices!$A$2:$FZ$601,523,Sync!$C$10)&amp;"","")&amp;"; "&amp;IFERROR(INDEX(Clay_Offices!$A$2:$FZ$601,523,Sync!$C$9)&amp;"",""))</f>
        <v/>
      </c>
      <c r="K3374" s="32" t="s">
        <v>1365</v>
      </c>
    </row>
    <row r="3375" customFormat="false" ht="15" hidden="false" customHeight="false" outlineLevel="0" collapsed="false">
      <c r="A3375" s="23" t="str">
        <f aca="false">IF(B3375="","",B3375+(14*1000+524)/10000000)</f>
        <v/>
      </c>
      <c r="B3375" s="35" t="str">
        <f aca="false">IF(AND(IFERROR(N(INDEX(Clay_Offices!$A$2:$FZ$601,524,Sync!$C$13)),0)&gt;0,IFERROR(INDEX(Clay_Offices!$A$2:$FZ$601,524,Sync!$C$5)&amp;"","")&lt;&gt;"",OR(LEFT(IFERROR(INDEX(Clay_Offices!$A$2:$FZ$601,524,Sync!$C$5)&amp;"",""),6)&lt;&gt;"SAMPLE",Config!$B$19="Y")),IFERROR(N(INDEX(Clay_Offices!$A$2:$FZ$601,524,Sync!$C$13)),0),"")</f>
        <v/>
      </c>
      <c r="C3375" s="23" t="str">
        <f aca="false">IF(B3375="","","office")</f>
        <v/>
      </c>
      <c r="D3375" s="23" t="str">
        <f aca="false">IF(B3375="","",IFERROR(INDEX(Office_Log!$ED$2:$ED$201,MATCH(IFERROR(INDEX(Clay_Offices!$A$2:$FZ$601,524,Sync!$C$5)&amp;"",""),Office_Log!$A$2:$A$201,0))&amp;"",IFERROR(INDEX(Clay_Offices!$A$2:$FZ$601,524,Sync!$C$5)&amp;"","")&amp;""))</f>
        <v/>
      </c>
      <c r="E3375" s="23" t="str">
        <f aca="false">IF(B3375="","",IFERROR(INDEX(Clay_Offices!$A$2:$FZ$601,524,Sync!$C$6)&amp;"",""))</f>
        <v/>
      </c>
      <c r="F3375" s="23" t="str">
        <f aca="false">IF(B3375="","","outreach_sent")</f>
        <v/>
      </c>
      <c r="G3375" s="23" t="str">
        <f aca="false">IF(B3375="","","")</f>
        <v/>
      </c>
      <c r="H3375" s="23" t="str">
        <f aca="false">IF(B3375="","","")</f>
        <v/>
      </c>
      <c r="I3375" s="23" t="str">
        <f aca="false">IF(B3375="","","")</f>
        <v/>
      </c>
      <c r="J3375" s="23" t="str">
        <f aca="false">IF(B3375="","","touch_3; "&amp;IFERROR(INDEX(Clay_Offices!$A$2:$FZ$601,524,Sync!$C$10)&amp;"","")&amp;"; "&amp;IFERROR(INDEX(Clay_Offices!$A$2:$FZ$601,524,Sync!$C$9)&amp;"",""))</f>
        <v/>
      </c>
      <c r="K3375" s="32" t="s">
        <v>1365</v>
      </c>
    </row>
    <row r="3376" customFormat="false" ht="15" hidden="false" customHeight="false" outlineLevel="0" collapsed="false">
      <c r="A3376" s="23" t="str">
        <f aca="false">IF(B3376="","",B3376+(14*1000+525)/10000000)</f>
        <v/>
      </c>
      <c r="B3376" s="35" t="str">
        <f aca="false">IF(AND(IFERROR(N(INDEX(Clay_Offices!$A$2:$FZ$601,525,Sync!$C$13)),0)&gt;0,IFERROR(INDEX(Clay_Offices!$A$2:$FZ$601,525,Sync!$C$5)&amp;"","")&lt;&gt;"",OR(LEFT(IFERROR(INDEX(Clay_Offices!$A$2:$FZ$601,525,Sync!$C$5)&amp;"",""),6)&lt;&gt;"SAMPLE",Config!$B$19="Y")),IFERROR(N(INDEX(Clay_Offices!$A$2:$FZ$601,525,Sync!$C$13)),0),"")</f>
        <v/>
      </c>
      <c r="C3376" s="23" t="str">
        <f aca="false">IF(B3376="","","office")</f>
        <v/>
      </c>
      <c r="D3376" s="23" t="str">
        <f aca="false">IF(B3376="","",IFERROR(INDEX(Office_Log!$ED$2:$ED$201,MATCH(IFERROR(INDEX(Clay_Offices!$A$2:$FZ$601,525,Sync!$C$5)&amp;"",""),Office_Log!$A$2:$A$201,0))&amp;"",IFERROR(INDEX(Clay_Offices!$A$2:$FZ$601,525,Sync!$C$5)&amp;"","")&amp;""))</f>
        <v/>
      </c>
      <c r="E3376" s="23" t="str">
        <f aca="false">IF(B3376="","",IFERROR(INDEX(Clay_Offices!$A$2:$FZ$601,525,Sync!$C$6)&amp;"",""))</f>
        <v/>
      </c>
      <c r="F3376" s="23" t="str">
        <f aca="false">IF(B3376="","","outreach_sent")</f>
        <v/>
      </c>
      <c r="G3376" s="23" t="str">
        <f aca="false">IF(B3376="","","")</f>
        <v/>
      </c>
      <c r="H3376" s="23" t="str">
        <f aca="false">IF(B3376="","","")</f>
        <v/>
      </c>
      <c r="I3376" s="23" t="str">
        <f aca="false">IF(B3376="","","")</f>
        <v/>
      </c>
      <c r="J3376" s="23" t="str">
        <f aca="false">IF(B3376="","","touch_3; "&amp;IFERROR(INDEX(Clay_Offices!$A$2:$FZ$601,525,Sync!$C$10)&amp;"","")&amp;"; "&amp;IFERROR(INDEX(Clay_Offices!$A$2:$FZ$601,525,Sync!$C$9)&amp;"",""))</f>
        <v/>
      </c>
      <c r="K3376" s="32" t="s">
        <v>1365</v>
      </c>
    </row>
    <row r="3377" customFormat="false" ht="15" hidden="false" customHeight="false" outlineLevel="0" collapsed="false">
      <c r="A3377" s="23" t="str">
        <f aca="false">IF(B3377="","",B3377+(14*1000+526)/10000000)</f>
        <v/>
      </c>
      <c r="B3377" s="35" t="str">
        <f aca="false">IF(AND(IFERROR(N(INDEX(Clay_Offices!$A$2:$FZ$601,526,Sync!$C$13)),0)&gt;0,IFERROR(INDEX(Clay_Offices!$A$2:$FZ$601,526,Sync!$C$5)&amp;"","")&lt;&gt;"",OR(LEFT(IFERROR(INDEX(Clay_Offices!$A$2:$FZ$601,526,Sync!$C$5)&amp;"",""),6)&lt;&gt;"SAMPLE",Config!$B$19="Y")),IFERROR(N(INDEX(Clay_Offices!$A$2:$FZ$601,526,Sync!$C$13)),0),"")</f>
        <v/>
      </c>
      <c r="C3377" s="23" t="str">
        <f aca="false">IF(B3377="","","office")</f>
        <v/>
      </c>
      <c r="D3377" s="23" t="str">
        <f aca="false">IF(B3377="","",IFERROR(INDEX(Office_Log!$ED$2:$ED$201,MATCH(IFERROR(INDEX(Clay_Offices!$A$2:$FZ$601,526,Sync!$C$5)&amp;"",""),Office_Log!$A$2:$A$201,0))&amp;"",IFERROR(INDEX(Clay_Offices!$A$2:$FZ$601,526,Sync!$C$5)&amp;"","")&amp;""))</f>
        <v/>
      </c>
      <c r="E3377" s="23" t="str">
        <f aca="false">IF(B3377="","",IFERROR(INDEX(Clay_Offices!$A$2:$FZ$601,526,Sync!$C$6)&amp;"",""))</f>
        <v/>
      </c>
      <c r="F3377" s="23" t="str">
        <f aca="false">IF(B3377="","","outreach_sent")</f>
        <v/>
      </c>
      <c r="G3377" s="23" t="str">
        <f aca="false">IF(B3377="","","")</f>
        <v/>
      </c>
      <c r="H3377" s="23" t="str">
        <f aca="false">IF(B3377="","","")</f>
        <v/>
      </c>
      <c r="I3377" s="23" t="str">
        <f aca="false">IF(B3377="","","")</f>
        <v/>
      </c>
      <c r="J3377" s="23" t="str">
        <f aca="false">IF(B3377="","","touch_3; "&amp;IFERROR(INDEX(Clay_Offices!$A$2:$FZ$601,526,Sync!$C$10)&amp;"","")&amp;"; "&amp;IFERROR(INDEX(Clay_Offices!$A$2:$FZ$601,526,Sync!$C$9)&amp;"",""))</f>
        <v/>
      </c>
      <c r="K3377" s="32" t="s">
        <v>1365</v>
      </c>
    </row>
    <row r="3378" customFormat="false" ht="15" hidden="false" customHeight="false" outlineLevel="0" collapsed="false">
      <c r="A3378" s="23" t="str">
        <f aca="false">IF(B3378="","",B3378+(14*1000+527)/10000000)</f>
        <v/>
      </c>
      <c r="B3378" s="35" t="str">
        <f aca="false">IF(AND(IFERROR(N(INDEX(Clay_Offices!$A$2:$FZ$601,527,Sync!$C$13)),0)&gt;0,IFERROR(INDEX(Clay_Offices!$A$2:$FZ$601,527,Sync!$C$5)&amp;"","")&lt;&gt;"",OR(LEFT(IFERROR(INDEX(Clay_Offices!$A$2:$FZ$601,527,Sync!$C$5)&amp;"",""),6)&lt;&gt;"SAMPLE",Config!$B$19="Y")),IFERROR(N(INDEX(Clay_Offices!$A$2:$FZ$601,527,Sync!$C$13)),0),"")</f>
        <v/>
      </c>
      <c r="C3378" s="23" t="str">
        <f aca="false">IF(B3378="","","office")</f>
        <v/>
      </c>
      <c r="D3378" s="23" t="str">
        <f aca="false">IF(B3378="","",IFERROR(INDEX(Office_Log!$ED$2:$ED$201,MATCH(IFERROR(INDEX(Clay_Offices!$A$2:$FZ$601,527,Sync!$C$5)&amp;"",""),Office_Log!$A$2:$A$201,0))&amp;"",IFERROR(INDEX(Clay_Offices!$A$2:$FZ$601,527,Sync!$C$5)&amp;"","")&amp;""))</f>
        <v/>
      </c>
      <c r="E3378" s="23" t="str">
        <f aca="false">IF(B3378="","",IFERROR(INDEX(Clay_Offices!$A$2:$FZ$601,527,Sync!$C$6)&amp;"",""))</f>
        <v/>
      </c>
      <c r="F3378" s="23" t="str">
        <f aca="false">IF(B3378="","","outreach_sent")</f>
        <v/>
      </c>
      <c r="G3378" s="23" t="str">
        <f aca="false">IF(B3378="","","")</f>
        <v/>
      </c>
      <c r="H3378" s="23" t="str">
        <f aca="false">IF(B3378="","","")</f>
        <v/>
      </c>
      <c r="I3378" s="23" t="str">
        <f aca="false">IF(B3378="","","")</f>
        <v/>
      </c>
      <c r="J3378" s="23" t="str">
        <f aca="false">IF(B3378="","","touch_3; "&amp;IFERROR(INDEX(Clay_Offices!$A$2:$FZ$601,527,Sync!$C$10)&amp;"","")&amp;"; "&amp;IFERROR(INDEX(Clay_Offices!$A$2:$FZ$601,527,Sync!$C$9)&amp;"",""))</f>
        <v/>
      </c>
      <c r="K3378" s="32" t="s">
        <v>1365</v>
      </c>
    </row>
    <row r="3379" customFormat="false" ht="15" hidden="false" customHeight="false" outlineLevel="0" collapsed="false">
      <c r="A3379" s="23" t="str">
        <f aca="false">IF(B3379="","",B3379+(14*1000+528)/10000000)</f>
        <v/>
      </c>
      <c r="B3379" s="35" t="str">
        <f aca="false">IF(AND(IFERROR(N(INDEX(Clay_Offices!$A$2:$FZ$601,528,Sync!$C$13)),0)&gt;0,IFERROR(INDEX(Clay_Offices!$A$2:$FZ$601,528,Sync!$C$5)&amp;"","")&lt;&gt;"",OR(LEFT(IFERROR(INDEX(Clay_Offices!$A$2:$FZ$601,528,Sync!$C$5)&amp;"",""),6)&lt;&gt;"SAMPLE",Config!$B$19="Y")),IFERROR(N(INDEX(Clay_Offices!$A$2:$FZ$601,528,Sync!$C$13)),0),"")</f>
        <v/>
      </c>
      <c r="C3379" s="23" t="str">
        <f aca="false">IF(B3379="","","office")</f>
        <v/>
      </c>
      <c r="D3379" s="23" t="str">
        <f aca="false">IF(B3379="","",IFERROR(INDEX(Office_Log!$ED$2:$ED$201,MATCH(IFERROR(INDEX(Clay_Offices!$A$2:$FZ$601,528,Sync!$C$5)&amp;"",""),Office_Log!$A$2:$A$201,0))&amp;"",IFERROR(INDEX(Clay_Offices!$A$2:$FZ$601,528,Sync!$C$5)&amp;"","")&amp;""))</f>
        <v/>
      </c>
      <c r="E3379" s="23" t="str">
        <f aca="false">IF(B3379="","",IFERROR(INDEX(Clay_Offices!$A$2:$FZ$601,528,Sync!$C$6)&amp;"",""))</f>
        <v/>
      </c>
      <c r="F3379" s="23" t="str">
        <f aca="false">IF(B3379="","","outreach_sent")</f>
        <v/>
      </c>
      <c r="G3379" s="23" t="str">
        <f aca="false">IF(B3379="","","")</f>
        <v/>
      </c>
      <c r="H3379" s="23" t="str">
        <f aca="false">IF(B3379="","","")</f>
        <v/>
      </c>
      <c r="I3379" s="23" t="str">
        <f aca="false">IF(B3379="","","")</f>
        <v/>
      </c>
      <c r="J3379" s="23" t="str">
        <f aca="false">IF(B3379="","","touch_3; "&amp;IFERROR(INDEX(Clay_Offices!$A$2:$FZ$601,528,Sync!$C$10)&amp;"","")&amp;"; "&amp;IFERROR(INDEX(Clay_Offices!$A$2:$FZ$601,528,Sync!$C$9)&amp;"",""))</f>
        <v/>
      </c>
      <c r="K3379" s="32" t="s">
        <v>1365</v>
      </c>
    </row>
    <row r="3380" customFormat="false" ht="15" hidden="false" customHeight="false" outlineLevel="0" collapsed="false">
      <c r="A3380" s="23" t="str">
        <f aca="false">IF(B3380="","",B3380+(14*1000+529)/10000000)</f>
        <v/>
      </c>
      <c r="B3380" s="35" t="str">
        <f aca="false">IF(AND(IFERROR(N(INDEX(Clay_Offices!$A$2:$FZ$601,529,Sync!$C$13)),0)&gt;0,IFERROR(INDEX(Clay_Offices!$A$2:$FZ$601,529,Sync!$C$5)&amp;"","")&lt;&gt;"",OR(LEFT(IFERROR(INDEX(Clay_Offices!$A$2:$FZ$601,529,Sync!$C$5)&amp;"",""),6)&lt;&gt;"SAMPLE",Config!$B$19="Y")),IFERROR(N(INDEX(Clay_Offices!$A$2:$FZ$601,529,Sync!$C$13)),0),"")</f>
        <v/>
      </c>
      <c r="C3380" s="23" t="str">
        <f aca="false">IF(B3380="","","office")</f>
        <v/>
      </c>
      <c r="D3380" s="23" t="str">
        <f aca="false">IF(B3380="","",IFERROR(INDEX(Office_Log!$ED$2:$ED$201,MATCH(IFERROR(INDEX(Clay_Offices!$A$2:$FZ$601,529,Sync!$C$5)&amp;"",""),Office_Log!$A$2:$A$201,0))&amp;"",IFERROR(INDEX(Clay_Offices!$A$2:$FZ$601,529,Sync!$C$5)&amp;"","")&amp;""))</f>
        <v/>
      </c>
      <c r="E3380" s="23" t="str">
        <f aca="false">IF(B3380="","",IFERROR(INDEX(Clay_Offices!$A$2:$FZ$601,529,Sync!$C$6)&amp;"",""))</f>
        <v/>
      </c>
      <c r="F3380" s="23" t="str">
        <f aca="false">IF(B3380="","","outreach_sent")</f>
        <v/>
      </c>
      <c r="G3380" s="23" t="str">
        <f aca="false">IF(B3380="","","")</f>
        <v/>
      </c>
      <c r="H3380" s="23" t="str">
        <f aca="false">IF(B3380="","","")</f>
        <v/>
      </c>
      <c r="I3380" s="23" t="str">
        <f aca="false">IF(B3380="","","")</f>
        <v/>
      </c>
      <c r="J3380" s="23" t="str">
        <f aca="false">IF(B3380="","","touch_3; "&amp;IFERROR(INDEX(Clay_Offices!$A$2:$FZ$601,529,Sync!$C$10)&amp;"","")&amp;"; "&amp;IFERROR(INDEX(Clay_Offices!$A$2:$FZ$601,529,Sync!$C$9)&amp;"",""))</f>
        <v/>
      </c>
      <c r="K3380" s="32" t="s">
        <v>1365</v>
      </c>
    </row>
    <row r="3381" customFormat="false" ht="15" hidden="false" customHeight="false" outlineLevel="0" collapsed="false">
      <c r="A3381" s="23" t="str">
        <f aca="false">IF(B3381="","",B3381+(14*1000+530)/10000000)</f>
        <v/>
      </c>
      <c r="B3381" s="35" t="str">
        <f aca="false">IF(AND(IFERROR(N(INDEX(Clay_Offices!$A$2:$FZ$601,530,Sync!$C$13)),0)&gt;0,IFERROR(INDEX(Clay_Offices!$A$2:$FZ$601,530,Sync!$C$5)&amp;"","")&lt;&gt;"",OR(LEFT(IFERROR(INDEX(Clay_Offices!$A$2:$FZ$601,530,Sync!$C$5)&amp;"",""),6)&lt;&gt;"SAMPLE",Config!$B$19="Y")),IFERROR(N(INDEX(Clay_Offices!$A$2:$FZ$601,530,Sync!$C$13)),0),"")</f>
        <v/>
      </c>
      <c r="C3381" s="23" t="str">
        <f aca="false">IF(B3381="","","office")</f>
        <v/>
      </c>
      <c r="D3381" s="23" t="str">
        <f aca="false">IF(B3381="","",IFERROR(INDEX(Office_Log!$ED$2:$ED$201,MATCH(IFERROR(INDEX(Clay_Offices!$A$2:$FZ$601,530,Sync!$C$5)&amp;"",""),Office_Log!$A$2:$A$201,0))&amp;"",IFERROR(INDEX(Clay_Offices!$A$2:$FZ$601,530,Sync!$C$5)&amp;"","")&amp;""))</f>
        <v/>
      </c>
      <c r="E3381" s="23" t="str">
        <f aca="false">IF(B3381="","",IFERROR(INDEX(Clay_Offices!$A$2:$FZ$601,530,Sync!$C$6)&amp;"",""))</f>
        <v/>
      </c>
      <c r="F3381" s="23" t="str">
        <f aca="false">IF(B3381="","","outreach_sent")</f>
        <v/>
      </c>
      <c r="G3381" s="23" t="str">
        <f aca="false">IF(B3381="","","")</f>
        <v/>
      </c>
      <c r="H3381" s="23" t="str">
        <f aca="false">IF(B3381="","","")</f>
        <v/>
      </c>
      <c r="I3381" s="23" t="str">
        <f aca="false">IF(B3381="","","")</f>
        <v/>
      </c>
      <c r="J3381" s="23" t="str">
        <f aca="false">IF(B3381="","","touch_3; "&amp;IFERROR(INDEX(Clay_Offices!$A$2:$FZ$601,530,Sync!$C$10)&amp;"","")&amp;"; "&amp;IFERROR(INDEX(Clay_Offices!$A$2:$FZ$601,530,Sync!$C$9)&amp;"",""))</f>
        <v/>
      </c>
      <c r="K3381" s="32" t="s">
        <v>1365</v>
      </c>
    </row>
    <row r="3382" customFormat="false" ht="15" hidden="false" customHeight="false" outlineLevel="0" collapsed="false">
      <c r="A3382" s="23" t="str">
        <f aca="false">IF(B3382="","",B3382+(14*1000+531)/10000000)</f>
        <v/>
      </c>
      <c r="B3382" s="35" t="str">
        <f aca="false">IF(AND(IFERROR(N(INDEX(Clay_Offices!$A$2:$FZ$601,531,Sync!$C$13)),0)&gt;0,IFERROR(INDEX(Clay_Offices!$A$2:$FZ$601,531,Sync!$C$5)&amp;"","")&lt;&gt;"",OR(LEFT(IFERROR(INDEX(Clay_Offices!$A$2:$FZ$601,531,Sync!$C$5)&amp;"",""),6)&lt;&gt;"SAMPLE",Config!$B$19="Y")),IFERROR(N(INDEX(Clay_Offices!$A$2:$FZ$601,531,Sync!$C$13)),0),"")</f>
        <v/>
      </c>
      <c r="C3382" s="23" t="str">
        <f aca="false">IF(B3382="","","office")</f>
        <v/>
      </c>
      <c r="D3382" s="23" t="str">
        <f aca="false">IF(B3382="","",IFERROR(INDEX(Office_Log!$ED$2:$ED$201,MATCH(IFERROR(INDEX(Clay_Offices!$A$2:$FZ$601,531,Sync!$C$5)&amp;"",""),Office_Log!$A$2:$A$201,0))&amp;"",IFERROR(INDEX(Clay_Offices!$A$2:$FZ$601,531,Sync!$C$5)&amp;"","")&amp;""))</f>
        <v/>
      </c>
      <c r="E3382" s="23" t="str">
        <f aca="false">IF(B3382="","",IFERROR(INDEX(Clay_Offices!$A$2:$FZ$601,531,Sync!$C$6)&amp;"",""))</f>
        <v/>
      </c>
      <c r="F3382" s="23" t="str">
        <f aca="false">IF(B3382="","","outreach_sent")</f>
        <v/>
      </c>
      <c r="G3382" s="23" t="str">
        <f aca="false">IF(B3382="","","")</f>
        <v/>
      </c>
      <c r="H3382" s="23" t="str">
        <f aca="false">IF(B3382="","","")</f>
        <v/>
      </c>
      <c r="I3382" s="23" t="str">
        <f aca="false">IF(B3382="","","")</f>
        <v/>
      </c>
      <c r="J3382" s="23" t="str">
        <f aca="false">IF(B3382="","","touch_3; "&amp;IFERROR(INDEX(Clay_Offices!$A$2:$FZ$601,531,Sync!$C$10)&amp;"","")&amp;"; "&amp;IFERROR(INDEX(Clay_Offices!$A$2:$FZ$601,531,Sync!$C$9)&amp;"",""))</f>
        <v/>
      </c>
      <c r="K3382" s="32" t="s">
        <v>1365</v>
      </c>
    </row>
    <row r="3383" customFormat="false" ht="15" hidden="false" customHeight="false" outlineLevel="0" collapsed="false">
      <c r="A3383" s="23" t="str">
        <f aca="false">IF(B3383="","",B3383+(14*1000+532)/10000000)</f>
        <v/>
      </c>
      <c r="B3383" s="35" t="str">
        <f aca="false">IF(AND(IFERROR(N(INDEX(Clay_Offices!$A$2:$FZ$601,532,Sync!$C$13)),0)&gt;0,IFERROR(INDEX(Clay_Offices!$A$2:$FZ$601,532,Sync!$C$5)&amp;"","")&lt;&gt;"",OR(LEFT(IFERROR(INDEX(Clay_Offices!$A$2:$FZ$601,532,Sync!$C$5)&amp;"",""),6)&lt;&gt;"SAMPLE",Config!$B$19="Y")),IFERROR(N(INDEX(Clay_Offices!$A$2:$FZ$601,532,Sync!$C$13)),0),"")</f>
        <v/>
      </c>
      <c r="C3383" s="23" t="str">
        <f aca="false">IF(B3383="","","office")</f>
        <v/>
      </c>
      <c r="D3383" s="23" t="str">
        <f aca="false">IF(B3383="","",IFERROR(INDEX(Office_Log!$ED$2:$ED$201,MATCH(IFERROR(INDEX(Clay_Offices!$A$2:$FZ$601,532,Sync!$C$5)&amp;"",""),Office_Log!$A$2:$A$201,0))&amp;"",IFERROR(INDEX(Clay_Offices!$A$2:$FZ$601,532,Sync!$C$5)&amp;"","")&amp;""))</f>
        <v/>
      </c>
      <c r="E3383" s="23" t="str">
        <f aca="false">IF(B3383="","",IFERROR(INDEX(Clay_Offices!$A$2:$FZ$601,532,Sync!$C$6)&amp;"",""))</f>
        <v/>
      </c>
      <c r="F3383" s="23" t="str">
        <f aca="false">IF(B3383="","","outreach_sent")</f>
        <v/>
      </c>
      <c r="G3383" s="23" t="str">
        <f aca="false">IF(B3383="","","")</f>
        <v/>
      </c>
      <c r="H3383" s="23" t="str">
        <f aca="false">IF(B3383="","","")</f>
        <v/>
      </c>
      <c r="I3383" s="23" t="str">
        <f aca="false">IF(B3383="","","")</f>
        <v/>
      </c>
      <c r="J3383" s="23" t="str">
        <f aca="false">IF(B3383="","","touch_3; "&amp;IFERROR(INDEX(Clay_Offices!$A$2:$FZ$601,532,Sync!$C$10)&amp;"","")&amp;"; "&amp;IFERROR(INDEX(Clay_Offices!$A$2:$FZ$601,532,Sync!$C$9)&amp;"",""))</f>
        <v/>
      </c>
      <c r="K3383" s="32" t="s">
        <v>1365</v>
      </c>
    </row>
    <row r="3384" customFormat="false" ht="15" hidden="false" customHeight="false" outlineLevel="0" collapsed="false">
      <c r="A3384" s="23" t="str">
        <f aca="false">IF(B3384="","",B3384+(14*1000+533)/10000000)</f>
        <v/>
      </c>
      <c r="B3384" s="35" t="str">
        <f aca="false">IF(AND(IFERROR(N(INDEX(Clay_Offices!$A$2:$FZ$601,533,Sync!$C$13)),0)&gt;0,IFERROR(INDEX(Clay_Offices!$A$2:$FZ$601,533,Sync!$C$5)&amp;"","")&lt;&gt;"",OR(LEFT(IFERROR(INDEX(Clay_Offices!$A$2:$FZ$601,533,Sync!$C$5)&amp;"",""),6)&lt;&gt;"SAMPLE",Config!$B$19="Y")),IFERROR(N(INDEX(Clay_Offices!$A$2:$FZ$601,533,Sync!$C$13)),0),"")</f>
        <v/>
      </c>
      <c r="C3384" s="23" t="str">
        <f aca="false">IF(B3384="","","office")</f>
        <v/>
      </c>
      <c r="D3384" s="23" t="str">
        <f aca="false">IF(B3384="","",IFERROR(INDEX(Office_Log!$ED$2:$ED$201,MATCH(IFERROR(INDEX(Clay_Offices!$A$2:$FZ$601,533,Sync!$C$5)&amp;"",""),Office_Log!$A$2:$A$201,0))&amp;"",IFERROR(INDEX(Clay_Offices!$A$2:$FZ$601,533,Sync!$C$5)&amp;"","")&amp;""))</f>
        <v/>
      </c>
      <c r="E3384" s="23" t="str">
        <f aca="false">IF(B3384="","",IFERROR(INDEX(Clay_Offices!$A$2:$FZ$601,533,Sync!$C$6)&amp;"",""))</f>
        <v/>
      </c>
      <c r="F3384" s="23" t="str">
        <f aca="false">IF(B3384="","","outreach_sent")</f>
        <v/>
      </c>
      <c r="G3384" s="23" t="str">
        <f aca="false">IF(B3384="","","")</f>
        <v/>
      </c>
      <c r="H3384" s="23" t="str">
        <f aca="false">IF(B3384="","","")</f>
        <v/>
      </c>
      <c r="I3384" s="23" t="str">
        <f aca="false">IF(B3384="","","")</f>
        <v/>
      </c>
      <c r="J3384" s="23" t="str">
        <f aca="false">IF(B3384="","","touch_3; "&amp;IFERROR(INDEX(Clay_Offices!$A$2:$FZ$601,533,Sync!$C$10)&amp;"","")&amp;"; "&amp;IFERROR(INDEX(Clay_Offices!$A$2:$FZ$601,533,Sync!$C$9)&amp;"",""))</f>
        <v/>
      </c>
      <c r="K3384" s="32" t="s">
        <v>1365</v>
      </c>
    </row>
    <row r="3385" customFormat="false" ht="15" hidden="false" customHeight="false" outlineLevel="0" collapsed="false">
      <c r="A3385" s="23" t="str">
        <f aca="false">IF(B3385="","",B3385+(14*1000+534)/10000000)</f>
        <v/>
      </c>
      <c r="B3385" s="35" t="str">
        <f aca="false">IF(AND(IFERROR(N(INDEX(Clay_Offices!$A$2:$FZ$601,534,Sync!$C$13)),0)&gt;0,IFERROR(INDEX(Clay_Offices!$A$2:$FZ$601,534,Sync!$C$5)&amp;"","")&lt;&gt;"",OR(LEFT(IFERROR(INDEX(Clay_Offices!$A$2:$FZ$601,534,Sync!$C$5)&amp;"",""),6)&lt;&gt;"SAMPLE",Config!$B$19="Y")),IFERROR(N(INDEX(Clay_Offices!$A$2:$FZ$601,534,Sync!$C$13)),0),"")</f>
        <v/>
      </c>
      <c r="C3385" s="23" t="str">
        <f aca="false">IF(B3385="","","office")</f>
        <v/>
      </c>
      <c r="D3385" s="23" t="str">
        <f aca="false">IF(B3385="","",IFERROR(INDEX(Office_Log!$ED$2:$ED$201,MATCH(IFERROR(INDEX(Clay_Offices!$A$2:$FZ$601,534,Sync!$C$5)&amp;"",""),Office_Log!$A$2:$A$201,0))&amp;"",IFERROR(INDEX(Clay_Offices!$A$2:$FZ$601,534,Sync!$C$5)&amp;"","")&amp;""))</f>
        <v/>
      </c>
      <c r="E3385" s="23" t="str">
        <f aca="false">IF(B3385="","",IFERROR(INDEX(Clay_Offices!$A$2:$FZ$601,534,Sync!$C$6)&amp;"",""))</f>
        <v/>
      </c>
      <c r="F3385" s="23" t="str">
        <f aca="false">IF(B3385="","","outreach_sent")</f>
        <v/>
      </c>
      <c r="G3385" s="23" t="str">
        <f aca="false">IF(B3385="","","")</f>
        <v/>
      </c>
      <c r="H3385" s="23" t="str">
        <f aca="false">IF(B3385="","","")</f>
        <v/>
      </c>
      <c r="I3385" s="23" t="str">
        <f aca="false">IF(B3385="","","")</f>
        <v/>
      </c>
      <c r="J3385" s="23" t="str">
        <f aca="false">IF(B3385="","","touch_3; "&amp;IFERROR(INDEX(Clay_Offices!$A$2:$FZ$601,534,Sync!$C$10)&amp;"","")&amp;"; "&amp;IFERROR(INDEX(Clay_Offices!$A$2:$FZ$601,534,Sync!$C$9)&amp;"",""))</f>
        <v/>
      </c>
      <c r="K3385" s="32" t="s">
        <v>1365</v>
      </c>
    </row>
    <row r="3386" customFormat="false" ht="15" hidden="false" customHeight="false" outlineLevel="0" collapsed="false">
      <c r="A3386" s="23" t="str">
        <f aca="false">IF(B3386="","",B3386+(14*1000+535)/10000000)</f>
        <v/>
      </c>
      <c r="B3386" s="35" t="str">
        <f aca="false">IF(AND(IFERROR(N(INDEX(Clay_Offices!$A$2:$FZ$601,535,Sync!$C$13)),0)&gt;0,IFERROR(INDEX(Clay_Offices!$A$2:$FZ$601,535,Sync!$C$5)&amp;"","")&lt;&gt;"",OR(LEFT(IFERROR(INDEX(Clay_Offices!$A$2:$FZ$601,535,Sync!$C$5)&amp;"",""),6)&lt;&gt;"SAMPLE",Config!$B$19="Y")),IFERROR(N(INDEX(Clay_Offices!$A$2:$FZ$601,535,Sync!$C$13)),0),"")</f>
        <v/>
      </c>
      <c r="C3386" s="23" t="str">
        <f aca="false">IF(B3386="","","office")</f>
        <v/>
      </c>
      <c r="D3386" s="23" t="str">
        <f aca="false">IF(B3386="","",IFERROR(INDEX(Office_Log!$ED$2:$ED$201,MATCH(IFERROR(INDEX(Clay_Offices!$A$2:$FZ$601,535,Sync!$C$5)&amp;"",""),Office_Log!$A$2:$A$201,0))&amp;"",IFERROR(INDEX(Clay_Offices!$A$2:$FZ$601,535,Sync!$C$5)&amp;"","")&amp;""))</f>
        <v/>
      </c>
      <c r="E3386" s="23" t="str">
        <f aca="false">IF(B3386="","",IFERROR(INDEX(Clay_Offices!$A$2:$FZ$601,535,Sync!$C$6)&amp;"",""))</f>
        <v/>
      </c>
      <c r="F3386" s="23" t="str">
        <f aca="false">IF(B3386="","","outreach_sent")</f>
        <v/>
      </c>
      <c r="G3386" s="23" t="str">
        <f aca="false">IF(B3386="","","")</f>
        <v/>
      </c>
      <c r="H3386" s="23" t="str">
        <f aca="false">IF(B3386="","","")</f>
        <v/>
      </c>
      <c r="I3386" s="23" t="str">
        <f aca="false">IF(B3386="","","")</f>
        <v/>
      </c>
      <c r="J3386" s="23" t="str">
        <f aca="false">IF(B3386="","","touch_3; "&amp;IFERROR(INDEX(Clay_Offices!$A$2:$FZ$601,535,Sync!$C$10)&amp;"","")&amp;"; "&amp;IFERROR(INDEX(Clay_Offices!$A$2:$FZ$601,535,Sync!$C$9)&amp;"",""))</f>
        <v/>
      </c>
      <c r="K3386" s="32" t="s">
        <v>1365</v>
      </c>
    </row>
    <row r="3387" customFormat="false" ht="15" hidden="false" customHeight="false" outlineLevel="0" collapsed="false">
      <c r="A3387" s="23" t="str">
        <f aca="false">IF(B3387="","",B3387+(14*1000+536)/10000000)</f>
        <v/>
      </c>
      <c r="B3387" s="35" t="str">
        <f aca="false">IF(AND(IFERROR(N(INDEX(Clay_Offices!$A$2:$FZ$601,536,Sync!$C$13)),0)&gt;0,IFERROR(INDEX(Clay_Offices!$A$2:$FZ$601,536,Sync!$C$5)&amp;"","")&lt;&gt;"",OR(LEFT(IFERROR(INDEX(Clay_Offices!$A$2:$FZ$601,536,Sync!$C$5)&amp;"",""),6)&lt;&gt;"SAMPLE",Config!$B$19="Y")),IFERROR(N(INDEX(Clay_Offices!$A$2:$FZ$601,536,Sync!$C$13)),0),"")</f>
        <v/>
      </c>
      <c r="C3387" s="23" t="str">
        <f aca="false">IF(B3387="","","office")</f>
        <v/>
      </c>
      <c r="D3387" s="23" t="str">
        <f aca="false">IF(B3387="","",IFERROR(INDEX(Office_Log!$ED$2:$ED$201,MATCH(IFERROR(INDEX(Clay_Offices!$A$2:$FZ$601,536,Sync!$C$5)&amp;"",""),Office_Log!$A$2:$A$201,0))&amp;"",IFERROR(INDEX(Clay_Offices!$A$2:$FZ$601,536,Sync!$C$5)&amp;"","")&amp;""))</f>
        <v/>
      </c>
      <c r="E3387" s="23" t="str">
        <f aca="false">IF(B3387="","",IFERROR(INDEX(Clay_Offices!$A$2:$FZ$601,536,Sync!$C$6)&amp;"",""))</f>
        <v/>
      </c>
      <c r="F3387" s="23" t="str">
        <f aca="false">IF(B3387="","","outreach_sent")</f>
        <v/>
      </c>
      <c r="G3387" s="23" t="str">
        <f aca="false">IF(B3387="","","")</f>
        <v/>
      </c>
      <c r="H3387" s="23" t="str">
        <f aca="false">IF(B3387="","","")</f>
        <v/>
      </c>
      <c r="I3387" s="23" t="str">
        <f aca="false">IF(B3387="","","")</f>
        <v/>
      </c>
      <c r="J3387" s="23" t="str">
        <f aca="false">IF(B3387="","","touch_3; "&amp;IFERROR(INDEX(Clay_Offices!$A$2:$FZ$601,536,Sync!$C$10)&amp;"","")&amp;"; "&amp;IFERROR(INDEX(Clay_Offices!$A$2:$FZ$601,536,Sync!$C$9)&amp;"",""))</f>
        <v/>
      </c>
      <c r="K3387" s="32" t="s">
        <v>1365</v>
      </c>
    </row>
    <row r="3388" customFormat="false" ht="15" hidden="false" customHeight="false" outlineLevel="0" collapsed="false">
      <c r="A3388" s="23" t="str">
        <f aca="false">IF(B3388="","",B3388+(14*1000+537)/10000000)</f>
        <v/>
      </c>
      <c r="B3388" s="35" t="str">
        <f aca="false">IF(AND(IFERROR(N(INDEX(Clay_Offices!$A$2:$FZ$601,537,Sync!$C$13)),0)&gt;0,IFERROR(INDEX(Clay_Offices!$A$2:$FZ$601,537,Sync!$C$5)&amp;"","")&lt;&gt;"",OR(LEFT(IFERROR(INDEX(Clay_Offices!$A$2:$FZ$601,537,Sync!$C$5)&amp;"",""),6)&lt;&gt;"SAMPLE",Config!$B$19="Y")),IFERROR(N(INDEX(Clay_Offices!$A$2:$FZ$601,537,Sync!$C$13)),0),"")</f>
        <v/>
      </c>
      <c r="C3388" s="23" t="str">
        <f aca="false">IF(B3388="","","office")</f>
        <v/>
      </c>
      <c r="D3388" s="23" t="str">
        <f aca="false">IF(B3388="","",IFERROR(INDEX(Office_Log!$ED$2:$ED$201,MATCH(IFERROR(INDEX(Clay_Offices!$A$2:$FZ$601,537,Sync!$C$5)&amp;"",""),Office_Log!$A$2:$A$201,0))&amp;"",IFERROR(INDEX(Clay_Offices!$A$2:$FZ$601,537,Sync!$C$5)&amp;"","")&amp;""))</f>
        <v/>
      </c>
      <c r="E3388" s="23" t="str">
        <f aca="false">IF(B3388="","",IFERROR(INDEX(Clay_Offices!$A$2:$FZ$601,537,Sync!$C$6)&amp;"",""))</f>
        <v/>
      </c>
      <c r="F3388" s="23" t="str">
        <f aca="false">IF(B3388="","","outreach_sent")</f>
        <v/>
      </c>
      <c r="G3388" s="23" t="str">
        <f aca="false">IF(B3388="","","")</f>
        <v/>
      </c>
      <c r="H3388" s="23" t="str">
        <f aca="false">IF(B3388="","","")</f>
        <v/>
      </c>
      <c r="I3388" s="23" t="str">
        <f aca="false">IF(B3388="","","")</f>
        <v/>
      </c>
      <c r="J3388" s="23" t="str">
        <f aca="false">IF(B3388="","","touch_3; "&amp;IFERROR(INDEX(Clay_Offices!$A$2:$FZ$601,537,Sync!$C$10)&amp;"","")&amp;"; "&amp;IFERROR(INDEX(Clay_Offices!$A$2:$FZ$601,537,Sync!$C$9)&amp;"",""))</f>
        <v/>
      </c>
      <c r="K3388" s="32" t="s">
        <v>1365</v>
      </c>
    </row>
    <row r="3389" customFormat="false" ht="15" hidden="false" customHeight="false" outlineLevel="0" collapsed="false">
      <c r="A3389" s="23" t="str">
        <f aca="false">IF(B3389="","",B3389+(14*1000+538)/10000000)</f>
        <v/>
      </c>
      <c r="B3389" s="35" t="str">
        <f aca="false">IF(AND(IFERROR(N(INDEX(Clay_Offices!$A$2:$FZ$601,538,Sync!$C$13)),0)&gt;0,IFERROR(INDEX(Clay_Offices!$A$2:$FZ$601,538,Sync!$C$5)&amp;"","")&lt;&gt;"",OR(LEFT(IFERROR(INDEX(Clay_Offices!$A$2:$FZ$601,538,Sync!$C$5)&amp;"",""),6)&lt;&gt;"SAMPLE",Config!$B$19="Y")),IFERROR(N(INDEX(Clay_Offices!$A$2:$FZ$601,538,Sync!$C$13)),0),"")</f>
        <v/>
      </c>
      <c r="C3389" s="23" t="str">
        <f aca="false">IF(B3389="","","office")</f>
        <v/>
      </c>
      <c r="D3389" s="23" t="str">
        <f aca="false">IF(B3389="","",IFERROR(INDEX(Office_Log!$ED$2:$ED$201,MATCH(IFERROR(INDEX(Clay_Offices!$A$2:$FZ$601,538,Sync!$C$5)&amp;"",""),Office_Log!$A$2:$A$201,0))&amp;"",IFERROR(INDEX(Clay_Offices!$A$2:$FZ$601,538,Sync!$C$5)&amp;"","")&amp;""))</f>
        <v/>
      </c>
      <c r="E3389" s="23" t="str">
        <f aca="false">IF(B3389="","",IFERROR(INDEX(Clay_Offices!$A$2:$FZ$601,538,Sync!$C$6)&amp;"",""))</f>
        <v/>
      </c>
      <c r="F3389" s="23" t="str">
        <f aca="false">IF(B3389="","","outreach_sent")</f>
        <v/>
      </c>
      <c r="G3389" s="23" t="str">
        <f aca="false">IF(B3389="","","")</f>
        <v/>
      </c>
      <c r="H3389" s="23" t="str">
        <f aca="false">IF(B3389="","","")</f>
        <v/>
      </c>
      <c r="I3389" s="23" t="str">
        <f aca="false">IF(B3389="","","")</f>
        <v/>
      </c>
      <c r="J3389" s="23" t="str">
        <f aca="false">IF(B3389="","","touch_3; "&amp;IFERROR(INDEX(Clay_Offices!$A$2:$FZ$601,538,Sync!$C$10)&amp;"","")&amp;"; "&amp;IFERROR(INDEX(Clay_Offices!$A$2:$FZ$601,538,Sync!$C$9)&amp;"",""))</f>
        <v/>
      </c>
      <c r="K3389" s="32" t="s">
        <v>1365</v>
      </c>
    </row>
    <row r="3390" customFormat="false" ht="15" hidden="false" customHeight="false" outlineLevel="0" collapsed="false">
      <c r="A3390" s="23" t="str">
        <f aca="false">IF(B3390="","",B3390+(14*1000+539)/10000000)</f>
        <v/>
      </c>
      <c r="B3390" s="35" t="str">
        <f aca="false">IF(AND(IFERROR(N(INDEX(Clay_Offices!$A$2:$FZ$601,539,Sync!$C$13)),0)&gt;0,IFERROR(INDEX(Clay_Offices!$A$2:$FZ$601,539,Sync!$C$5)&amp;"","")&lt;&gt;"",OR(LEFT(IFERROR(INDEX(Clay_Offices!$A$2:$FZ$601,539,Sync!$C$5)&amp;"",""),6)&lt;&gt;"SAMPLE",Config!$B$19="Y")),IFERROR(N(INDEX(Clay_Offices!$A$2:$FZ$601,539,Sync!$C$13)),0),"")</f>
        <v/>
      </c>
      <c r="C3390" s="23" t="str">
        <f aca="false">IF(B3390="","","office")</f>
        <v/>
      </c>
      <c r="D3390" s="23" t="str">
        <f aca="false">IF(B3390="","",IFERROR(INDEX(Office_Log!$ED$2:$ED$201,MATCH(IFERROR(INDEX(Clay_Offices!$A$2:$FZ$601,539,Sync!$C$5)&amp;"",""),Office_Log!$A$2:$A$201,0))&amp;"",IFERROR(INDEX(Clay_Offices!$A$2:$FZ$601,539,Sync!$C$5)&amp;"","")&amp;""))</f>
        <v/>
      </c>
      <c r="E3390" s="23" t="str">
        <f aca="false">IF(B3390="","",IFERROR(INDEX(Clay_Offices!$A$2:$FZ$601,539,Sync!$C$6)&amp;"",""))</f>
        <v/>
      </c>
      <c r="F3390" s="23" t="str">
        <f aca="false">IF(B3390="","","outreach_sent")</f>
        <v/>
      </c>
      <c r="G3390" s="23" t="str">
        <f aca="false">IF(B3390="","","")</f>
        <v/>
      </c>
      <c r="H3390" s="23" t="str">
        <f aca="false">IF(B3390="","","")</f>
        <v/>
      </c>
      <c r="I3390" s="23" t="str">
        <f aca="false">IF(B3390="","","")</f>
        <v/>
      </c>
      <c r="J3390" s="23" t="str">
        <f aca="false">IF(B3390="","","touch_3; "&amp;IFERROR(INDEX(Clay_Offices!$A$2:$FZ$601,539,Sync!$C$10)&amp;"","")&amp;"; "&amp;IFERROR(INDEX(Clay_Offices!$A$2:$FZ$601,539,Sync!$C$9)&amp;"",""))</f>
        <v/>
      </c>
      <c r="K3390" s="32" t="s">
        <v>1365</v>
      </c>
    </row>
    <row r="3391" customFormat="false" ht="15" hidden="false" customHeight="false" outlineLevel="0" collapsed="false">
      <c r="A3391" s="23" t="str">
        <f aca="false">IF(B3391="","",B3391+(14*1000+540)/10000000)</f>
        <v/>
      </c>
      <c r="B3391" s="35" t="str">
        <f aca="false">IF(AND(IFERROR(N(INDEX(Clay_Offices!$A$2:$FZ$601,540,Sync!$C$13)),0)&gt;0,IFERROR(INDEX(Clay_Offices!$A$2:$FZ$601,540,Sync!$C$5)&amp;"","")&lt;&gt;"",OR(LEFT(IFERROR(INDEX(Clay_Offices!$A$2:$FZ$601,540,Sync!$C$5)&amp;"",""),6)&lt;&gt;"SAMPLE",Config!$B$19="Y")),IFERROR(N(INDEX(Clay_Offices!$A$2:$FZ$601,540,Sync!$C$13)),0),"")</f>
        <v/>
      </c>
      <c r="C3391" s="23" t="str">
        <f aca="false">IF(B3391="","","office")</f>
        <v/>
      </c>
      <c r="D3391" s="23" t="str">
        <f aca="false">IF(B3391="","",IFERROR(INDEX(Office_Log!$ED$2:$ED$201,MATCH(IFERROR(INDEX(Clay_Offices!$A$2:$FZ$601,540,Sync!$C$5)&amp;"",""),Office_Log!$A$2:$A$201,0))&amp;"",IFERROR(INDEX(Clay_Offices!$A$2:$FZ$601,540,Sync!$C$5)&amp;"","")&amp;""))</f>
        <v/>
      </c>
      <c r="E3391" s="23" t="str">
        <f aca="false">IF(B3391="","",IFERROR(INDEX(Clay_Offices!$A$2:$FZ$601,540,Sync!$C$6)&amp;"",""))</f>
        <v/>
      </c>
      <c r="F3391" s="23" t="str">
        <f aca="false">IF(B3391="","","outreach_sent")</f>
        <v/>
      </c>
      <c r="G3391" s="23" t="str">
        <f aca="false">IF(B3391="","","")</f>
        <v/>
      </c>
      <c r="H3391" s="23" t="str">
        <f aca="false">IF(B3391="","","")</f>
        <v/>
      </c>
      <c r="I3391" s="23" t="str">
        <f aca="false">IF(B3391="","","")</f>
        <v/>
      </c>
      <c r="J3391" s="23" t="str">
        <f aca="false">IF(B3391="","","touch_3; "&amp;IFERROR(INDEX(Clay_Offices!$A$2:$FZ$601,540,Sync!$C$10)&amp;"","")&amp;"; "&amp;IFERROR(INDEX(Clay_Offices!$A$2:$FZ$601,540,Sync!$C$9)&amp;"",""))</f>
        <v/>
      </c>
      <c r="K3391" s="32" t="s">
        <v>1365</v>
      </c>
    </row>
    <row r="3392" customFormat="false" ht="15" hidden="false" customHeight="false" outlineLevel="0" collapsed="false">
      <c r="A3392" s="23" t="str">
        <f aca="false">IF(B3392="","",B3392+(14*1000+541)/10000000)</f>
        <v/>
      </c>
      <c r="B3392" s="35" t="str">
        <f aca="false">IF(AND(IFERROR(N(INDEX(Clay_Offices!$A$2:$FZ$601,541,Sync!$C$13)),0)&gt;0,IFERROR(INDEX(Clay_Offices!$A$2:$FZ$601,541,Sync!$C$5)&amp;"","")&lt;&gt;"",OR(LEFT(IFERROR(INDEX(Clay_Offices!$A$2:$FZ$601,541,Sync!$C$5)&amp;"",""),6)&lt;&gt;"SAMPLE",Config!$B$19="Y")),IFERROR(N(INDEX(Clay_Offices!$A$2:$FZ$601,541,Sync!$C$13)),0),"")</f>
        <v/>
      </c>
      <c r="C3392" s="23" t="str">
        <f aca="false">IF(B3392="","","office")</f>
        <v/>
      </c>
      <c r="D3392" s="23" t="str">
        <f aca="false">IF(B3392="","",IFERROR(INDEX(Office_Log!$ED$2:$ED$201,MATCH(IFERROR(INDEX(Clay_Offices!$A$2:$FZ$601,541,Sync!$C$5)&amp;"",""),Office_Log!$A$2:$A$201,0))&amp;"",IFERROR(INDEX(Clay_Offices!$A$2:$FZ$601,541,Sync!$C$5)&amp;"","")&amp;""))</f>
        <v/>
      </c>
      <c r="E3392" s="23" t="str">
        <f aca="false">IF(B3392="","",IFERROR(INDEX(Clay_Offices!$A$2:$FZ$601,541,Sync!$C$6)&amp;"",""))</f>
        <v/>
      </c>
      <c r="F3392" s="23" t="str">
        <f aca="false">IF(B3392="","","outreach_sent")</f>
        <v/>
      </c>
      <c r="G3392" s="23" t="str">
        <f aca="false">IF(B3392="","","")</f>
        <v/>
      </c>
      <c r="H3392" s="23" t="str">
        <f aca="false">IF(B3392="","","")</f>
        <v/>
      </c>
      <c r="I3392" s="23" t="str">
        <f aca="false">IF(B3392="","","")</f>
        <v/>
      </c>
      <c r="J3392" s="23" t="str">
        <f aca="false">IF(B3392="","","touch_3; "&amp;IFERROR(INDEX(Clay_Offices!$A$2:$FZ$601,541,Sync!$C$10)&amp;"","")&amp;"; "&amp;IFERROR(INDEX(Clay_Offices!$A$2:$FZ$601,541,Sync!$C$9)&amp;"",""))</f>
        <v/>
      </c>
      <c r="K3392" s="32" t="s">
        <v>1365</v>
      </c>
    </row>
    <row r="3393" customFormat="false" ht="15" hidden="false" customHeight="false" outlineLevel="0" collapsed="false">
      <c r="A3393" s="23" t="str">
        <f aca="false">IF(B3393="","",B3393+(14*1000+542)/10000000)</f>
        <v/>
      </c>
      <c r="B3393" s="35" t="str">
        <f aca="false">IF(AND(IFERROR(N(INDEX(Clay_Offices!$A$2:$FZ$601,542,Sync!$C$13)),0)&gt;0,IFERROR(INDEX(Clay_Offices!$A$2:$FZ$601,542,Sync!$C$5)&amp;"","")&lt;&gt;"",OR(LEFT(IFERROR(INDEX(Clay_Offices!$A$2:$FZ$601,542,Sync!$C$5)&amp;"",""),6)&lt;&gt;"SAMPLE",Config!$B$19="Y")),IFERROR(N(INDEX(Clay_Offices!$A$2:$FZ$601,542,Sync!$C$13)),0),"")</f>
        <v/>
      </c>
      <c r="C3393" s="23" t="str">
        <f aca="false">IF(B3393="","","office")</f>
        <v/>
      </c>
      <c r="D3393" s="23" t="str">
        <f aca="false">IF(B3393="","",IFERROR(INDEX(Office_Log!$ED$2:$ED$201,MATCH(IFERROR(INDEX(Clay_Offices!$A$2:$FZ$601,542,Sync!$C$5)&amp;"",""),Office_Log!$A$2:$A$201,0))&amp;"",IFERROR(INDEX(Clay_Offices!$A$2:$FZ$601,542,Sync!$C$5)&amp;"","")&amp;""))</f>
        <v/>
      </c>
      <c r="E3393" s="23" t="str">
        <f aca="false">IF(B3393="","",IFERROR(INDEX(Clay_Offices!$A$2:$FZ$601,542,Sync!$C$6)&amp;"",""))</f>
        <v/>
      </c>
      <c r="F3393" s="23" t="str">
        <f aca="false">IF(B3393="","","outreach_sent")</f>
        <v/>
      </c>
      <c r="G3393" s="23" t="str">
        <f aca="false">IF(B3393="","","")</f>
        <v/>
      </c>
      <c r="H3393" s="23" t="str">
        <f aca="false">IF(B3393="","","")</f>
        <v/>
      </c>
      <c r="I3393" s="23" t="str">
        <f aca="false">IF(B3393="","","")</f>
        <v/>
      </c>
      <c r="J3393" s="23" t="str">
        <f aca="false">IF(B3393="","","touch_3; "&amp;IFERROR(INDEX(Clay_Offices!$A$2:$FZ$601,542,Sync!$C$10)&amp;"","")&amp;"; "&amp;IFERROR(INDEX(Clay_Offices!$A$2:$FZ$601,542,Sync!$C$9)&amp;"",""))</f>
        <v/>
      </c>
      <c r="K3393" s="32" t="s">
        <v>1365</v>
      </c>
    </row>
    <row r="3394" customFormat="false" ht="15" hidden="false" customHeight="false" outlineLevel="0" collapsed="false">
      <c r="A3394" s="23" t="str">
        <f aca="false">IF(B3394="","",B3394+(14*1000+543)/10000000)</f>
        <v/>
      </c>
      <c r="B3394" s="35" t="str">
        <f aca="false">IF(AND(IFERROR(N(INDEX(Clay_Offices!$A$2:$FZ$601,543,Sync!$C$13)),0)&gt;0,IFERROR(INDEX(Clay_Offices!$A$2:$FZ$601,543,Sync!$C$5)&amp;"","")&lt;&gt;"",OR(LEFT(IFERROR(INDEX(Clay_Offices!$A$2:$FZ$601,543,Sync!$C$5)&amp;"",""),6)&lt;&gt;"SAMPLE",Config!$B$19="Y")),IFERROR(N(INDEX(Clay_Offices!$A$2:$FZ$601,543,Sync!$C$13)),0),"")</f>
        <v/>
      </c>
      <c r="C3394" s="23" t="str">
        <f aca="false">IF(B3394="","","office")</f>
        <v/>
      </c>
      <c r="D3394" s="23" t="str">
        <f aca="false">IF(B3394="","",IFERROR(INDEX(Office_Log!$ED$2:$ED$201,MATCH(IFERROR(INDEX(Clay_Offices!$A$2:$FZ$601,543,Sync!$C$5)&amp;"",""),Office_Log!$A$2:$A$201,0))&amp;"",IFERROR(INDEX(Clay_Offices!$A$2:$FZ$601,543,Sync!$C$5)&amp;"","")&amp;""))</f>
        <v/>
      </c>
      <c r="E3394" s="23" t="str">
        <f aca="false">IF(B3394="","",IFERROR(INDEX(Clay_Offices!$A$2:$FZ$601,543,Sync!$C$6)&amp;"",""))</f>
        <v/>
      </c>
      <c r="F3394" s="23" t="str">
        <f aca="false">IF(B3394="","","outreach_sent")</f>
        <v/>
      </c>
      <c r="G3394" s="23" t="str">
        <f aca="false">IF(B3394="","","")</f>
        <v/>
      </c>
      <c r="H3394" s="23" t="str">
        <f aca="false">IF(B3394="","","")</f>
        <v/>
      </c>
      <c r="I3394" s="23" t="str">
        <f aca="false">IF(B3394="","","")</f>
        <v/>
      </c>
      <c r="J3394" s="23" t="str">
        <f aca="false">IF(B3394="","","touch_3; "&amp;IFERROR(INDEX(Clay_Offices!$A$2:$FZ$601,543,Sync!$C$10)&amp;"","")&amp;"; "&amp;IFERROR(INDEX(Clay_Offices!$A$2:$FZ$601,543,Sync!$C$9)&amp;"",""))</f>
        <v/>
      </c>
      <c r="K3394" s="32" t="s">
        <v>1365</v>
      </c>
    </row>
    <row r="3395" customFormat="false" ht="15" hidden="false" customHeight="false" outlineLevel="0" collapsed="false">
      <c r="A3395" s="23" t="str">
        <f aca="false">IF(B3395="","",B3395+(14*1000+544)/10000000)</f>
        <v/>
      </c>
      <c r="B3395" s="35" t="str">
        <f aca="false">IF(AND(IFERROR(N(INDEX(Clay_Offices!$A$2:$FZ$601,544,Sync!$C$13)),0)&gt;0,IFERROR(INDEX(Clay_Offices!$A$2:$FZ$601,544,Sync!$C$5)&amp;"","")&lt;&gt;"",OR(LEFT(IFERROR(INDEX(Clay_Offices!$A$2:$FZ$601,544,Sync!$C$5)&amp;"",""),6)&lt;&gt;"SAMPLE",Config!$B$19="Y")),IFERROR(N(INDEX(Clay_Offices!$A$2:$FZ$601,544,Sync!$C$13)),0),"")</f>
        <v/>
      </c>
      <c r="C3395" s="23" t="str">
        <f aca="false">IF(B3395="","","office")</f>
        <v/>
      </c>
      <c r="D3395" s="23" t="str">
        <f aca="false">IF(B3395="","",IFERROR(INDEX(Office_Log!$ED$2:$ED$201,MATCH(IFERROR(INDEX(Clay_Offices!$A$2:$FZ$601,544,Sync!$C$5)&amp;"",""),Office_Log!$A$2:$A$201,0))&amp;"",IFERROR(INDEX(Clay_Offices!$A$2:$FZ$601,544,Sync!$C$5)&amp;"","")&amp;""))</f>
        <v/>
      </c>
      <c r="E3395" s="23" t="str">
        <f aca="false">IF(B3395="","",IFERROR(INDEX(Clay_Offices!$A$2:$FZ$601,544,Sync!$C$6)&amp;"",""))</f>
        <v/>
      </c>
      <c r="F3395" s="23" t="str">
        <f aca="false">IF(B3395="","","outreach_sent")</f>
        <v/>
      </c>
      <c r="G3395" s="23" t="str">
        <f aca="false">IF(B3395="","","")</f>
        <v/>
      </c>
      <c r="H3395" s="23" t="str">
        <f aca="false">IF(B3395="","","")</f>
        <v/>
      </c>
      <c r="I3395" s="23" t="str">
        <f aca="false">IF(B3395="","","")</f>
        <v/>
      </c>
      <c r="J3395" s="23" t="str">
        <f aca="false">IF(B3395="","","touch_3; "&amp;IFERROR(INDEX(Clay_Offices!$A$2:$FZ$601,544,Sync!$C$10)&amp;"","")&amp;"; "&amp;IFERROR(INDEX(Clay_Offices!$A$2:$FZ$601,544,Sync!$C$9)&amp;"",""))</f>
        <v/>
      </c>
      <c r="K3395" s="32" t="s">
        <v>1365</v>
      </c>
    </row>
    <row r="3396" customFormat="false" ht="15" hidden="false" customHeight="false" outlineLevel="0" collapsed="false">
      <c r="A3396" s="23" t="str">
        <f aca="false">IF(B3396="","",B3396+(14*1000+545)/10000000)</f>
        <v/>
      </c>
      <c r="B3396" s="35" t="str">
        <f aca="false">IF(AND(IFERROR(N(INDEX(Clay_Offices!$A$2:$FZ$601,545,Sync!$C$13)),0)&gt;0,IFERROR(INDEX(Clay_Offices!$A$2:$FZ$601,545,Sync!$C$5)&amp;"","")&lt;&gt;"",OR(LEFT(IFERROR(INDEX(Clay_Offices!$A$2:$FZ$601,545,Sync!$C$5)&amp;"",""),6)&lt;&gt;"SAMPLE",Config!$B$19="Y")),IFERROR(N(INDEX(Clay_Offices!$A$2:$FZ$601,545,Sync!$C$13)),0),"")</f>
        <v/>
      </c>
      <c r="C3396" s="23" t="str">
        <f aca="false">IF(B3396="","","office")</f>
        <v/>
      </c>
      <c r="D3396" s="23" t="str">
        <f aca="false">IF(B3396="","",IFERROR(INDEX(Office_Log!$ED$2:$ED$201,MATCH(IFERROR(INDEX(Clay_Offices!$A$2:$FZ$601,545,Sync!$C$5)&amp;"",""),Office_Log!$A$2:$A$201,0))&amp;"",IFERROR(INDEX(Clay_Offices!$A$2:$FZ$601,545,Sync!$C$5)&amp;"","")&amp;""))</f>
        <v/>
      </c>
      <c r="E3396" s="23" t="str">
        <f aca="false">IF(B3396="","",IFERROR(INDEX(Clay_Offices!$A$2:$FZ$601,545,Sync!$C$6)&amp;"",""))</f>
        <v/>
      </c>
      <c r="F3396" s="23" t="str">
        <f aca="false">IF(B3396="","","outreach_sent")</f>
        <v/>
      </c>
      <c r="G3396" s="23" t="str">
        <f aca="false">IF(B3396="","","")</f>
        <v/>
      </c>
      <c r="H3396" s="23" t="str">
        <f aca="false">IF(B3396="","","")</f>
        <v/>
      </c>
      <c r="I3396" s="23" t="str">
        <f aca="false">IF(B3396="","","")</f>
        <v/>
      </c>
      <c r="J3396" s="23" t="str">
        <f aca="false">IF(B3396="","","touch_3; "&amp;IFERROR(INDEX(Clay_Offices!$A$2:$FZ$601,545,Sync!$C$10)&amp;"","")&amp;"; "&amp;IFERROR(INDEX(Clay_Offices!$A$2:$FZ$601,545,Sync!$C$9)&amp;"",""))</f>
        <v/>
      </c>
      <c r="K3396" s="32" t="s">
        <v>1365</v>
      </c>
    </row>
    <row r="3397" customFormat="false" ht="15" hidden="false" customHeight="false" outlineLevel="0" collapsed="false">
      <c r="A3397" s="23" t="str">
        <f aca="false">IF(B3397="","",B3397+(14*1000+546)/10000000)</f>
        <v/>
      </c>
      <c r="B3397" s="35" t="str">
        <f aca="false">IF(AND(IFERROR(N(INDEX(Clay_Offices!$A$2:$FZ$601,546,Sync!$C$13)),0)&gt;0,IFERROR(INDEX(Clay_Offices!$A$2:$FZ$601,546,Sync!$C$5)&amp;"","")&lt;&gt;"",OR(LEFT(IFERROR(INDEX(Clay_Offices!$A$2:$FZ$601,546,Sync!$C$5)&amp;"",""),6)&lt;&gt;"SAMPLE",Config!$B$19="Y")),IFERROR(N(INDEX(Clay_Offices!$A$2:$FZ$601,546,Sync!$C$13)),0),"")</f>
        <v/>
      </c>
      <c r="C3397" s="23" t="str">
        <f aca="false">IF(B3397="","","office")</f>
        <v/>
      </c>
      <c r="D3397" s="23" t="str">
        <f aca="false">IF(B3397="","",IFERROR(INDEX(Office_Log!$ED$2:$ED$201,MATCH(IFERROR(INDEX(Clay_Offices!$A$2:$FZ$601,546,Sync!$C$5)&amp;"",""),Office_Log!$A$2:$A$201,0))&amp;"",IFERROR(INDEX(Clay_Offices!$A$2:$FZ$601,546,Sync!$C$5)&amp;"","")&amp;""))</f>
        <v/>
      </c>
      <c r="E3397" s="23" t="str">
        <f aca="false">IF(B3397="","",IFERROR(INDEX(Clay_Offices!$A$2:$FZ$601,546,Sync!$C$6)&amp;"",""))</f>
        <v/>
      </c>
      <c r="F3397" s="23" t="str">
        <f aca="false">IF(B3397="","","outreach_sent")</f>
        <v/>
      </c>
      <c r="G3397" s="23" t="str">
        <f aca="false">IF(B3397="","","")</f>
        <v/>
      </c>
      <c r="H3397" s="23" t="str">
        <f aca="false">IF(B3397="","","")</f>
        <v/>
      </c>
      <c r="I3397" s="23" t="str">
        <f aca="false">IF(B3397="","","")</f>
        <v/>
      </c>
      <c r="J3397" s="23" t="str">
        <f aca="false">IF(B3397="","","touch_3; "&amp;IFERROR(INDEX(Clay_Offices!$A$2:$FZ$601,546,Sync!$C$10)&amp;"","")&amp;"; "&amp;IFERROR(INDEX(Clay_Offices!$A$2:$FZ$601,546,Sync!$C$9)&amp;"",""))</f>
        <v/>
      </c>
      <c r="K3397" s="32" t="s">
        <v>1365</v>
      </c>
    </row>
    <row r="3398" customFormat="false" ht="15" hidden="false" customHeight="false" outlineLevel="0" collapsed="false">
      <c r="A3398" s="23" t="str">
        <f aca="false">IF(B3398="","",B3398+(14*1000+547)/10000000)</f>
        <v/>
      </c>
      <c r="B3398" s="35" t="str">
        <f aca="false">IF(AND(IFERROR(N(INDEX(Clay_Offices!$A$2:$FZ$601,547,Sync!$C$13)),0)&gt;0,IFERROR(INDEX(Clay_Offices!$A$2:$FZ$601,547,Sync!$C$5)&amp;"","")&lt;&gt;"",OR(LEFT(IFERROR(INDEX(Clay_Offices!$A$2:$FZ$601,547,Sync!$C$5)&amp;"",""),6)&lt;&gt;"SAMPLE",Config!$B$19="Y")),IFERROR(N(INDEX(Clay_Offices!$A$2:$FZ$601,547,Sync!$C$13)),0),"")</f>
        <v/>
      </c>
      <c r="C3398" s="23" t="str">
        <f aca="false">IF(B3398="","","office")</f>
        <v/>
      </c>
      <c r="D3398" s="23" t="str">
        <f aca="false">IF(B3398="","",IFERROR(INDEX(Office_Log!$ED$2:$ED$201,MATCH(IFERROR(INDEX(Clay_Offices!$A$2:$FZ$601,547,Sync!$C$5)&amp;"",""),Office_Log!$A$2:$A$201,0))&amp;"",IFERROR(INDEX(Clay_Offices!$A$2:$FZ$601,547,Sync!$C$5)&amp;"","")&amp;""))</f>
        <v/>
      </c>
      <c r="E3398" s="23" t="str">
        <f aca="false">IF(B3398="","",IFERROR(INDEX(Clay_Offices!$A$2:$FZ$601,547,Sync!$C$6)&amp;"",""))</f>
        <v/>
      </c>
      <c r="F3398" s="23" t="str">
        <f aca="false">IF(B3398="","","outreach_sent")</f>
        <v/>
      </c>
      <c r="G3398" s="23" t="str">
        <f aca="false">IF(B3398="","","")</f>
        <v/>
      </c>
      <c r="H3398" s="23" t="str">
        <f aca="false">IF(B3398="","","")</f>
        <v/>
      </c>
      <c r="I3398" s="23" t="str">
        <f aca="false">IF(B3398="","","")</f>
        <v/>
      </c>
      <c r="J3398" s="23" t="str">
        <f aca="false">IF(B3398="","","touch_3; "&amp;IFERROR(INDEX(Clay_Offices!$A$2:$FZ$601,547,Sync!$C$10)&amp;"","")&amp;"; "&amp;IFERROR(INDEX(Clay_Offices!$A$2:$FZ$601,547,Sync!$C$9)&amp;"",""))</f>
        <v/>
      </c>
      <c r="K3398" s="32" t="s">
        <v>1365</v>
      </c>
    </row>
    <row r="3399" customFormat="false" ht="15" hidden="false" customHeight="false" outlineLevel="0" collapsed="false">
      <c r="A3399" s="23" t="str">
        <f aca="false">IF(B3399="","",B3399+(14*1000+548)/10000000)</f>
        <v/>
      </c>
      <c r="B3399" s="35" t="str">
        <f aca="false">IF(AND(IFERROR(N(INDEX(Clay_Offices!$A$2:$FZ$601,548,Sync!$C$13)),0)&gt;0,IFERROR(INDEX(Clay_Offices!$A$2:$FZ$601,548,Sync!$C$5)&amp;"","")&lt;&gt;"",OR(LEFT(IFERROR(INDEX(Clay_Offices!$A$2:$FZ$601,548,Sync!$C$5)&amp;"",""),6)&lt;&gt;"SAMPLE",Config!$B$19="Y")),IFERROR(N(INDEX(Clay_Offices!$A$2:$FZ$601,548,Sync!$C$13)),0),"")</f>
        <v/>
      </c>
      <c r="C3399" s="23" t="str">
        <f aca="false">IF(B3399="","","office")</f>
        <v/>
      </c>
      <c r="D3399" s="23" t="str">
        <f aca="false">IF(B3399="","",IFERROR(INDEX(Office_Log!$ED$2:$ED$201,MATCH(IFERROR(INDEX(Clay_Offices!$A$2:$FZ$601,548,Sync!$C$5)&amp;"",""),Office_Log!$A$2:$A$201,0))&amp;"",IFERROR(INDEX(Clay_Offices!$A$2:$FZ$601,548,Sync!$C$5)&amp;"","")&amp;""))</f>
        <v/>
      </c>
      <c r="E3399" s="23" t="str">
        <f aca="false">IF(B3399="","",IFERROR(INDEX(Clay_Offices!$A$2:$FZ$601,548,Sync!$C$6)&amp;"",""))</f>
        <v/>
      </c>
      <c r="F3399" s="23" t="str">
        <f aca="false">IF(B3399="","","outreach_sent")</f>
        <v/>
      </c>
      <c r="G3399" s="23" t="str">
        <f aca="false">IF(B3399="","","")</f>
        <v/>
      </c>
      <c r="H3399" s="23" t="str">
        <f aca="false">IF(B3399="","","")</f>
        <v/>
      </c>
      <c r="I3399" s="23" t="str">
        <f aca="false">IF(B3399="","","")</f>
        <v/>
      </c>
      <c r="J3399" s="23" t="str">
        <f aca="false">IF(B3399="","","touch_3; "&amp;IFERROR(INDEX(Clay_Offices!$A$2:$FZ$601,548,Sync!$C$10)&amp;"","")&amp;"; "&amp;IFERROR(INDEX(Clay_Offices!$A$2:$FZ$601,548,Sync!$C$9)&amp;"",""))</f>
        <v/>
      </c>
      <c r="K3399" s="32" t="s">
        <v>1365</v>
      </c>
    </row>
    <row r="3400" customFormat="false" ht="15" hidden="false" customHeight="false" outlineLevel="0" collapsed="false">
      <c r="A3400" s="23" t="str">
        <f aca="false">IF(B3400="","",B3400+(14*1000+549)/10000000)</f>
        <v/>
      </c>
      <c r="B3400" s="35" t="str">
        <f aca="false">IF(AND(IFERROR(N(INDEX(Clay_Offices!$A$2:$FZ$601,549,Sync!$C$13)),0)&gt;0,IFERROR(INDEX(Clay_Offices!$A$2:$FZ$601,549,Sync!$C$5)&amp;"","")&lt;&gt;"",OR(LEFT(IFERROR(INDEX(Clay_Offices!$A$2:$FZ$601,549,Sync!$C$5)&amp;"",""),6)&lt;&gt;"SAMPLE",Config!$B$19="Y")),IFERROR(N(INDEX(Clay_Offices!$A$2:$FZ$601,549,Sync!$C$13)),0),"")</f>
        <v/>
      </c>
      <c r="C3400" s="23" t="str">
        <f aca="false">IF(B3400="","","office")</f>
        <v/>
      </c>
      <c r="D3400" s="23" t="str">
        <f aca="false">IF(B3400="","",IFERROR(INDEX(Office_Log!$ED$2:$ED$201,MATCH(IFERROR(INDEX(Clay_Offices!$A$2:$FZ$601,549,Sync!$C$5)&amp;"",""),Office_Log!$A$2:$A$201,0))&amp;"",IFERROR(INDEX(Clay_Offices!$A$2:$FZ$601,549,Sync!$C$5)&amp;"","")&amp;""))</f>
        <v/>
      </c>
      <c r="E3400" s="23" t="str">
        <f aca="false">IF(B3400="","",IFERROR(INDEX(Clay_Offices!$A$2:$FZ$601,549,Sync!$C$6)&amp;"",""))</f>
        <v/>
      </c>
      <c r="F3400" s="23" t="str">
        <f aca="false">IF(B3400="","","outreach_sent")</f>
        <v/>
      </c>
      <c r="G3400" s="23" t="str">
        <f aca="false">IF(B3400="","","")</f>
        <v/>
      </c>
      <c r="H3400" s="23" t="str">
        <f aca="false">IF(B3400="","","")</f>
        <v/>
      </c>
      <c r="I3400" s="23" t="str">
        <f aca="false">IF(B3400="","","")</f>
        <v/>
      </c>
      <c r="J3400" s="23" t="str">
        <f aca="false">IF(B3400="","","touch_3; "&amp;IFERROR(INDEX(Clay_Offices!$A$2:$FZ$601,549,Sync!$C$10)&amp;"","")&amp;"; "&amp;IFERROR(INDEX(Clay_Offices!$A$2:$FZ$601,549,Sync!$C$9)&amp;"",""))</f>
        <v/>
      </c>
      <c r="K3400" s="32" t="s">
        <v>1365</v>
      </c>
    </row>
    <row r="3401" customFormat="false" ht="15" hidden="false" customHeight="false" outlineLevel="0" collapsed="false">
      <c r="A3401" s="23" t="str">
        <f aca="false">IF(B3401="","",B3401+(14*1000+550)/10000000)</f>
        <v/>
      </c>
      <c r="B3401" s="35" t="str">
        <f aca="false">IF(AND(IFERROR(N(INDEX(Clay_Offices!$A$2:$FZ$601,550,Sync!$C$13)),0)&gt;0,IFERROR(INDEX(Clay_Offices!$A$2:$FZ$601,550,Sync!$C$5)&amp;"","")&lt;&gt;"",OR(LEFT(IFERROR(INDEX(Clay_Offices!$A$2:$FZ$601,550,Sync!$C$5)&amp;"",""),6)&lt;&gt;"SAMPLE",Config!$B$19="Y")),IFERROR(N(INDEX(Clay_Offices!$A$2:$FZ$601,550,Sync!$C$13)),0),"")</f>
        <v/>
      </c>
      <c r="C3401" s="23" t="str">
        <f aca="false">IF(B3401="","","office")</f>
        <v/>
      </c>
      <c r="D3401" s="23" t="str">
        <f aca="false">IF(B3401="","",IFERROR(INDEX(Office_Log!$ED$2:$ED$201,MATCH(IFERROR(INDEX(Clay_Offices!$A$2:$FZ$601,550,Sync!$C$5)&amp;"",""),Office_Log!$A$2:$A$201,0))&amp;"",IFERROR(INDEX(Clay_Offices!$A$2:$FZ$601,550,Sync!$C$5)&amp;"","")&amp;""))</f>
        <v/>
      </c>
      <c r="E3401" s="23" t="str">
        <f aca="false">IF(B3401="","",IFERROR(INDEX(Clay_Offices!$A$2:$FZ$601,550,Sync!$C$6)&amp;"",""))</f>
        <v/>
      </c>
      <c r="F3401" s="23" t="str">
        <f aca="false">IF(B3401="","","outreach_sent")</f>
        <v/>
      </c>
      <c r="G3401" s="23" t="str">
        <f aca="false">IF(B3401="","","")</f>
        <v/>
      </c>
      <c r="H3401" s="23" t="str">
        <f aca="false">IF(B3401="","","")</f>
        <v/>
      </c>
      <c r="I3401" s="23" t="str">
        <f aca="false">IF(B3401="","","")</f>
        <v/>
      </c>
      <c r="J3401" s="23" t="str">
        <f aca="false">IF(B3401="","","touch_3; "&amp;IFERROR(INDEX(Clay_Offices!$A$2:$FZ$601,550,Sync!$C$10)&amp;"","")&amp;"; "&amp;IFERROR(INDEX(Clay_Offices!$A$2:$FZ$601,550,Sync!$C$9)&amp;"",""))</f>
        <v/>
      </c>
      <c r="K3401" s="32" t="s">
        <v>1365</v>
      </c>
    </row>
    <row r="3402" customFormat="false" ht="15" hidden="false" customHeight="false" outlineLevel="0" collapsed="false">
      <c r="A3402" s="23" t="str">
        <f aca="false">IF(B3402="","",B3402+(14*1000+551)/10000000)</f>
        <v/>
      </c>
      <c r="B3402" s="35" t="str">
        <f aca="false">IF(AND(IFERROR(N(INDEX(Clay_Offices!$A$2:$FZ$601,551,Sync!$C$13)),0)&gt;0,IFERROR(INDEX(Clay_Offices!$A$2:$FZ$601,551,Sync!$C$5)&amp;"","")&lt;&gt;"",OR(LEFT(IFERROR(INDEX(Clay_Offices!$A$2:$FZ$601,551,Sync!$C$5)&amp;"",""),6)&lt;&gt;"SAMPLE",Config!$B$19="Y")),IFERROR(N(INDEX(Clay_Offices!$A$2:$FZ$601,551,Sync!$C$13)),0),"")</f>
        <v/>
      </c>
      <c r="C3402" s="23" t="str">
        <f aca="false">IF(B3402="","","office")</f>
        <v/>
      </c>
      <c r="D3402" s="23" t="str">
        <f aca="false">IF(B3402="","",IFERROR(INDEX(Office_Log!$ED$2:$ED$201,MATCH(IFERROR(INDEX(Clay_Offices!$A$2:$FZ$601,551,Sync!$C$5)&amp;"",""),Office_Log!$A$2:$A$201,0))&amp;"",IFERROR(INDEX(Clay_Offices!$A$2:$FZ$601,551,Sync!$C$5)&amp;"","")&amp;""))</f>
        <v/>
      </c>
      <c r="E3402" s="23" t="str">
        <f aca="false">IF(B3402="","",IFERROR(INDEX(Clay_Offices!$A$2:$FZ$601,551,Sync!$C$6)&amp;"",""))</f>
        <v/>
      </c>
      <c r="F3402" s="23" t="str">
        <f aca="false">IF(B3402="","","outreach_sent")</f>
        <v/>
      </c>
      <c r="G3402" s="23" t="str">
        <f aca="false">IF(B3402="","","")</f>
        <v/>
      </c>
      <c r="H3402" s="23" t="str">
        <f aca="false">IF(B3402="","","")</f>
        <v/>
      </c>
      <c r="I3402" s="23" t="str">
        <f aca="false">IF(B3402="","","")</f>
        <v/>
      </c>
      <c r="J3402" s="23" t="str">
        <f aca="false">IF(B3402="","","touch_3; "&amp;IFERROR(INDEX(Clay_Offices!$A$2:$FZ$601,551,Sync!$C$10)&amp;"","")&amp;"; "&amp;IFERROR(INDEX(Clay_Offices!$A$2:$FZ$601,551,Sync!$C$9)&amp;"",""))</f>
        <v/>
      </c>
      <c r="K3402" s="32" t="s">
        <v>1365</v>
      </c>
    </row>
    <row r="3403" customFormat="false" ht="15" hidden="false" customHeight="false" outlineLevel="0" collapsed="false">
      <c r="A3403" s="23" t="str">
        <f aca="false">IF(B3403="","",B3403+(14*1000+552)/10000000)</f>
        <v/>
      </c>
      <c r="B3403" s="35" t="str">
        <f aca="false">IF(AND(IFERROR(N(INDEX(Clay_Offices!$A$2:$FZ$601,552,Sync!$C$13)),0)&gt;0,IFERROR(INDEX(Clay_Offices!$A$2:$FZ$601,552,Sync!$C$5)&amp;"","")&lt;&gt;"",OR(LEFT(IFERROR(INDEX(Clay_Offices!$A$2:$FZ$601,552,Sync!$C$5)&amp;"",""),6)&lt;&gt;"SAMPLE",Config!$B$19="Y")),IFERROR(N(INDEX(Clay_Offices!$A$2:$FZ$601,552,Sync!$C$13)),0),"")</f>
        <v/>
      </c>
      <c r="C3403" s="23" t="str">
        <f aca="false">IF(B3403="","","office")</f>
        <v/>
      </c>
      <c r="D3403" s="23" t="str">
        <f aca="false">IF(B3403="","",IFERROR(INDEX(Office_Log!$ED$2:$ED$201,MATCH(IFERROR(INDEX(Clay_Offices!$A$2:$FZ$601,552,Sync!$C$5)&amp;"",""),Office_Log!$A$2:$A$201,0))&amp;"",IFERROR(INDEX(Clay_Offices!$A$2:$FZ$601,552,Sync!$C$5)&amp;"","")&amp;""))</f>
        <v/>
      </c>
      <c r="E3403" s="23" t="str">
        <f aca="false">IF(B3403="","",IFERROR(INDEX(Clay_Offices!$A$2:$FZ$601,552,Sync!$C$6)&amp;"",""))</f>
        <v/>
      </c>
      <c r="F3403" s="23" t="str">
        <f aca="false">IF(B3403="","","outreach_sent")</f>
        <v/>
      </c>
      <c r="G3403" s="23" t="str">
        <f aca="false">IF(B3403="","","")</f>
        <v/>
      </c>
      <c r="H3403" s="23" t="str">
        <f aca="false">IF(B3403="","","")</f>
        <v/>
      </c>
      <c r="I3403" s="23" t="str">
        <f aca="false">IF(B3403="","","")</f>
        <v/>
      </c>
      <c r="J3403" s="23" t="str">
        <f aca="false">IF(B3403="","","touch_3; "&amp;IFERROR(INDEX(Clay_Offices!$A$2:$FZ$601,552,Sync!$C$10)&amp;"","")&amp;"; "&amp;IFERROR(INDEX(Clay_Offices!$A$2:$FZ$601,552,Sync!$C$9)&amp;"",""))</f>
        <v/>
      </c>
      <c r="K3403" s="32" t="s">
        <v>1365</v>
      </c>
    </row>
    <row r="3404" customFormat="false" ht="15" hidden="false" customHeight="false" outlineLevel="0" collapsed="false">
      <c r="A3404" s="23" t="str">
        <f aca="false">IF(B3404="","",B3404+(14*1000+553)/10000000)</f>
        <v/>
      </c>
      <c r="B3404" s="35" t="str">
        <f aca="false">IF(AND(IFERROR(N(INDEX(Clay_Offices!$A$2:$FZ$601,553,Sync!$C$13)),0)&gt;0,IFERROR(INDEX(Clay_Offices!$A$2:$FZ$601,553,Sync!$C$5)&amp;"","")&lt;&gt;"",OR(LEFT(IFERROR(INDEX(Clay_Offices!$A$2:$FZ$601,553,Sync!$C$5)&amp;"",""),6)&lt;&gt;"SAMPLE",Config!$B$19="Y")),IFERROR(N(INDEX(Clay_Offices!$A$2:$FZ$601,553,Sync!$C$13)),0),"")</f>
        <v/>
      </c>
      <c r="C3404" s="23" t="str">
        <f aca="false">IF(B3404="","","office")</f>
        <v/>
      </c>
      <c r="D3404" s="23" t="str">
        <f aca="false">IF(B3404="","",IFERROR(INDEX(Office_Log!$ED$2:$ED$201,MATCH(IFERROR(INDEX(Clay_Offices!$A$2:$FZ$601,553,Sync!$C$5)&amp;"",""),Office_Log!$A$2:$A$201,0))&amp;"",IFERROR(INDEX(Clay_Offices!$A$2:$FZ$601,553,Sync!$C$5)&amp;"","")&amp;""))</f>
        <v/>
      </c>
      <c r="E3404" s="23" t="str">
        <f aca="false">IF(B3404="","",IFERROR(INDEX(Clay_Offices!$A$2:$FZ$601,553,Sync!$C$6)&amp;"",""))</f>
        <v/>
      </c>
      <c r="F3404" s="23" t="str">
        <f aca="false">IF(B3404="","","outreach_sent")</f>
        <v/>
      </c>
      <c r="G3404" s="23" t="str">
        <f aca="false">IF(B3404="","","")</f>
        <v/>
      </c>
      <c r="H3404" s="23" t="str">
        <f aca="false">IF(B3404="","","")</f>
        <v/>
      </c>
      <c r="I3404" s="23" t="str">
        <f aca="false">IF(B3404="","","")</f>
        <v/>
      </c>
      <c r="J3404" s="23" t="str">
        <f aca="false">IF(B3404="","","touch_3; "&amp;IFERROR(INDEX(Clay_Offices!$A$2:$FZ$601,553,Sync!$C$10)&amp;"","")&amp;"; "&amp;IFERROR(INDEX(Clay_Offices!$A$2:$FZ$601,553,Sync!$C$9)&amp;"",""))</f>
        <v/>
      </c>
      <c r="K3404" s="32" t="s">
        <v>1365</v>
      </c>
    </row>
    <row r="3405" customFormat="false" ht="15" hidden="false" customHeight="false" outlineLevel="0" collapsed="false">
      <c r="A3405" s="23" t="str">
        <f aca="false">IF(B3405="","",B3405+(14*1000+554)/10000000)</f>
        <v/>
      </c>
      <c r="B3405" s="35" t="str">
        <f aca="false">IF(AND(IFERROR(N(INDEX(Clay_Offices!$A$2:$FZ$601,554,Sync!$C$13)),0)&gt;0,IFERROR(INDEX(Clay_Offices!$A$2:$FZ$601,554,Sync!$C$5)&amp;"","")&lt;&gt;"",OR(LEFT(IFERROR(INDEX(Clay_Offices!$A$2:$FZ$601,554,Sync!$C$5)&amp;"",""),6)&lt;&gt;"SAMPLE",Config!$B$19="Y")),IFERROR(N(INDEX(Clay_Offices!$A$2:$FZ$601,554,Sync!$C$13)),0),"")</f>
        <v/>
      </c>
      <c r="C3405" s="23" t="str">
        <f aca="false">IF(B3405="","","office")</f>
        <v/>
      </c>
      <c r="D3405" s="23" t="str">
        <f aca="false">IF(B3405="","",IFERROR(INDEX(Office_Log!$ED$2:$ED$201,MATCH(IFERROR(INDEX(Clay_Offices!$A$2:$FZ$601,554,Sync!$C$5)&amp;"",""),Office_Log!$A$2:$A$201,0))&amp;"",IFERROR(INDEX(Clay_Offices!$A$2:$FZ$601,554,Sync!$C$5)&amp;"","")&amp;""))</f>
        <v/>
      </c>
      <c r="E3405" s="23" t="str">
        <f aca="false">IF(B3405="","",IFERROR(INDEX(Clay_Offices!$A$2:$FZ$601,554,Sync!$C$6)&amp;"",""))</f>
        <v/>
      </c>
      <c r="F3405" s="23" t="str">
        <f aca="false">IF(B3405="","","outreach_sent")</f>
        <v/>
      </c>
      <c r="G3405" s="23" t="str">
        <f aca="false">IF(B3405="","","")</f>
        <v/>
      </c>
      <c r="H3405" s="23" t="str">
        <f aca="false">IF(B3405="","","")</f>
        <v/>
      </c>
      <c r="I3405" s="23" t="str">
        <f aca="false">IF(B3405="","","")</f>
        <v/>
      </c>
      <c r="J3405" s="23" t="str">
        <f aca="false">IF(B3405="","","touch_3; "&amp;IFERROR(INDEX(Clay_Offices!$A$2:$FZ$601,554,Sync!$C$10)&amp;"","")&amp;"; "&amp;IFERROR(INDEX(Clay_Offices!$A$2:$FZ$601,554,Sync!$C$9)&amp;"",""))</f>
        <v/>
      </c>
      <c r="K3405" s="32" t="s">
        <v>1365</v>
      </c>
    </row>
    <row r="3406" customFormat="false" ht="15" hidden="false" customHeight="false" outlineLevel="0" collapsed="false">
      <c r="A3406" s="23" t="str">
        <f aca="false">IF(B3406="","",B3406+(14*1000+555)/10000000)</f>
        <v/>
      </c>
      <c r="B3406" s="35" t="str">
        <f aca="false">IF(AND(IFERROR(N(INDEX(Clay_Offices!$A$2:$FZ$601,555,Sync!$C$13)),0)&gt;0,IFERROR(INDEX(Clay_Offices!$A$2:$FZ$601,555,Sync!$C$5)&amp;"","")&lt;&gt;"",OR(LEFT(IFERROR(INDEX(Clay_Offices!$A$2:$FZ$601,555,Sync!$C$5)&amp;"",""),6)&lt;&gt;"SAMPLE",Config!$B$19="Y")),IFERROR(N(INDEX(Clay_Offices!$A$2:$FZ$601,555,Sync!$C$13)),0),"")</f>
        <v/>
      </c>
      <c r="C3406" s="23" t="str">
        <f aca="false">IF(B3406="","","office")</f>
        <v/>
      </c>
      <c r="D3406" s="23" t="str">
        <f aca="false">IF(B3406="","",IFERROR(INDEX(Office_Log!$ED$2:$ED$201,MATCH(IFERROR(INDEX(Clay_Offices!$A$2:$FZ$601,555,Sync!$C$5)&amp;"",""),Office_Log!$A$2:$A$201,0))&amp;"",IFERROR(INDEX(Clay_Offices!$A$2:$FZ$601,555,Sync!$C$5)&amp;"","")&amp;""))</f>
        <v/>
      </c>
      <c r="E3406" s="23" t="str">
        <f aca="false">IF(B3406="","",IFERROR(INDEX(Clay_Offices!$A$2:$FZ$601,555,Sync!$C$6)&amp;"",""))</f>
        <v/>
      </c>
      <c r="F3406" s="23" t="str">
        <f aca="false">IF(B3406="","","outreach_sent")</f>
        <v/>
      </c>
      <c r="G3406" s="23" t="str">
        <f aca="false">IF(B3406="","","")</f>
        <v/>
      </c>
      <c r="H3406" s="23" t="str">
        <f aca="false">IF(B3406="","","")</f>
        <v/>
      </c>
      <c r="I3406" s="23" t="str">
        <f aca="false">IF(B3406="","","")</f>
        <v/>
      </c>
      <c r="J3406" s="23" t="str">
        <f aca="false">IF(B3406="","","touch_3; "&amp;IFERROR(INDEX(Clay_Offices!$A$2:$FZ$601,555,Sync!$C$10)&amp;"","")&amp;"; "&amp;IFERROR(INDEX(Clay_Offices!$A$2:$FZ$601,555,Sync!$C$9)&amp;"",""))</f>
        <v/>
      </c>
      <c r="K3406" s="32" t="s">
        <v>1365</v>
      </c>
    </row>
    <row r="3407" customFormat="false" ht="15" hidden="false" customHeight="false" outlineLevel="0" collapsed="false">
      <c r="A3407" s="23" t="str">
        <f aca="false">IF(B3407="","",B3407+(14*1000+556)/10000000)</f>
        <v/>
      </c>
      <c r="B3407" s="35" t="str">
        <f aca="false">IF(AND(IFERROR(N(INDEX(Clay_Offices!$A$2:$FZ$601,556,Sync!$C$13)),0)&gt;0,IFERROR(INDEX(Clay_Offices!$A$2:$FZ$601,556,Sync!$C$5)&amp;"","")&lt;&gt;"",OR(LEFT(IFERROR(INDEX(Clay_Offices!$A$2:$FZ$601,556,Sync!$C$5)&amp;"",""),6)&lt;&gt;"SAMPLE",Config!$B$19="Y")),IFERROR(N(INDEX(Clay_Offices!$A$2:$FZ$601,556,Sync!$C$13)),0),"")</f>
        <v/>
      </c>
      <c r="C3407" s="23" t="str">
        <f aca="false">IF(B3407="","","office")</f>
        <v/>
      </c>
      <c r="D3407" s="23" t="str">
        <f aca="false">IF(B3407="","",IFERROR(INDEX(Office_Log!$ED$2:$ED$201,MATCH(IFERROR(INDEX(Clay_Offices!$A$2:$FZ$601,556,Sync!$C$5)&amp;"",""),Office_Log!$A$2:$A$201,0))&amp;"",IFERROR(INDEX(Clay_Offices!$A$2:$FZ$601,556,Sync!$C$5)&amp;"","")&amp;""))</f>
        <v/>
      </c>
      <c r="E3407" s="23" t="str">
        <f aca="false">IF(B3407="","",IFERROR(INDEX(Clay_Offices!$A$2:$FZ$601,556,Sync!$C$6)&amp;"",""))</f>
        <v/>
      </c>
      <c r="F3407" s="23" t="str">
        <f aca="false">IF(B3407="","","outreach_sent")</f>
        <v/>
      </c>
      <c r="G3407" s="23" t="str">
        <f aca="false">IF(B3407="","","")</f>
        <v/>
      </c>
      <c r="H3407" s="23" t="str">
        <f aca="false">IF(B3407="","","")</f>
        <v/>
      </c>
      <c r="I3407" s="23" t="str">
        <f aca="false">IF(B3407="","","")</f>
        <v/>
      </c>
      <c r="J3407" s="23" t="str">
        <f aca="false">IF(B3407="","","touch_3; "&amp;IFERROR(INDEX(Clay_Offices!$A$2:$FZ$601,556,Sync!$C$10)&amp;"","")&amp;"; "&amp;IFERROR(INDEX(Clay_Offices!$A$2:$FZ$601,556,Sync!$C$9)&amp;"",""))</f>
        <v/>
      </c>
      <c r="K3407" s="32" t="s">
        <v>1365</v>
      </c>
    </row>
    <row r="3408" customFormat="false" ht="15" hidden="false" customHeight="false" outlineLevel="0" collapsed="false">
      <c r="A3408" s="23" t="str">
        <f aca="false">IF(B3408="","",B3408+(14*1000+557)/10000000)</f>
        <v/>
      </c>
      <c r="B3408" s="35" t="str">
        <f aca="false">IF(AND(IFERROR(N(INDEX(Clay_Offices!$A$2:$FZ$601,557,Sync!$C$13)),0)&gt;0,IFERROR(INDEX(Clay_Offices!$A$2:$FZ$601,557,Sync!$C$5)&amp;"","")&lt;&gt;"",OR(LEFT(IFERROR(INDEX(Clay_Offices!$A$2:$FZ$601,557,Sync!$C$5)&amp;"",""),6)&lt;&gt;"SAMPLE",Config!$B$19="Y")),IFERROR(N(INDEX(Clay_Offices!$A$2:$FZ$601,557,Sync!$C$13)),0),"")</f>
        <v/>
      </c>
      <c r="C3408" s="23" t="str">
        <f aca="false">IF(B3408="","","office")</f>
        <v/>
      </c>
      <c r="D3408" s="23" t="str">
        <f aca="false">IF(B3408="","",IFERROR(INDEX(Office_Log!$ED$2:$ED$201,MATCH(IFERROR(INDEX(Clay_Offices!$A$2:$FZ$601,557,Sync!$C$5)&amp;"",""),Office_Log!$A$2:$A$201,0))&amp;"",IFERROR(INDEX(Clay_Offices!$A$2:$FZ$601,557,Sync!$C$5)&amp;"","")&amp;""))</f>
        <v/>
      </c>
      <c r="E3408" s="23" t="str">
        <f aca="false">IF(B3408="","",IFERROR(INDEX(Clay_Offices!$A$2:$FZ$601,557,Sync!$C$6)&amp;"",""))</f>
        <v/>
      </c>
      <c r="F3408" s="23" t="str">
        <f aca="false">IF(B3408="","","outreach_sent")</f>
        <v/>
      </c>
      <c r="G3408" s="23" t="str">
        <f aca="false">IF(B3408="","","")</f>
        <v/>
      </c>
      <c r="H3408" s="23" t="str">
        <f aca="false">IF(B3408="","","")</f>
        <v/>
      </c>
      <c r="I3408" s="23" t="str">
        <f aca="false">IF(B3408="","","")</f>
        <v/>
      </c>
      <c r="J3408" s="23" t="str">
        <f aca="false">IF(B3408="","","touch_3; "&amp;IFERROR(INDEX(Clay_Offices!$A$2:$FZ$601,557,Sync!$C$10)&amp;"","")&amp;"; "&amp;IFERROR(INDEX(Clay_Offices!$A$2:$FZ$601,557,Sync!$C$9)&amp;"",""))</f>
        <v/>
      </c>
      <c r="K3408" s="32" t="s">
        <v>1365</v>
      </c>
    </row>
    <row r="3409" customFormat="false" ht="15" hidden="false" customHeight="false" outlineLevel="0" collapsed="false">
      <c r="A3409" s="23" t="str">
        <f aca="false">IF(B3409="","",B3409+(14*1000+558)/10000000)</f>
        <v/>
      </c>
      <c r="B3409" s="35" t="str">
        <f aca="false">IF(AND(IFERROR(N(INDEX(Clay_Offices!$A$2:$FZ$601,558,Sync!$C$13)),0)&gt;0,IFERROR(INDEX(Clay_Offices!$A$2:$FZ$601,558,Sync!$C$5)&amp;"","")&lt;&gt;"",OR(LEFT(IFERROR(INDEX(Clay_Offices!$A$2:$FZ$601,558,Sync!$C$5)&amp;"",""),6)&lt;&gt;"SAMPLE",Config!$B$19="Y")),IFERROR(N(INDEX(Clay_Offices!$A$2:$FZ$601,558,Sync!$C$13)),0),"")</f>
        <v/>
      </c>
      <c r="C3409" s="23" t="str">
        <f aca="false">IF(B3409="","","office")</f>
        <v/>
      </c>
      <c r="D3409" s="23" t="str">
        <f aca="false">IF(B3409="","",IFERROR(INDEX(Office_Log!$ED$2:$ED$201,MATCH(IFERROR(INDEX(Clay_Offices!$A$2:$FZ$601,558,Sync!$C$5)&amp;"",""),Office_Log!$A$2:$A$201,0))&amp;"",IFERROR(INDEX(Clay_Offices!$A$2:$FZ$601,558,Sync!$C$5)&amp;"","")&amp;""))</f>
        <v/>
      </c>
      <c r="E3409" s="23" t="str">
        <f aca="false">IF(B3409="","",IFERROR(INDEX(Clay_Offices!$A$2:$FZ$601,558,Sync!$C$6)&amp;"",""))</f>
        <v/>
      </c>
      <c r="F3409" s="23" t="str">
        <f aca="false">IF(B3409="","","outreach_sent")</f>
        <v/>
      </c>
      <c r="G3409" s="23" t="str">
        <f aca="false">IF(B3409="","","")</f>
        <v/>
      </c>
      <c r="H3409" s="23" t="str">
        <f aca="false">IF(B3409="","","")</f>
        <v/>
      </c>
      <c r="I3409" s="23" t="str">
        <f aca="false">IF(B3409="","","")</f>
        <v/>
      </c>
      <c r="J3409" s="23" t="str">
        <f aca="false">IF(B3409="","","touch_3; "&amp;IFERROR(INDEX(Clay_Offices!$A$2:$FZ$601,558,Sync!$C$10)&amp;"","")&amp;"; "&amp;IFERROR(INDEX(Clay_Offices!$A$2:$FZ$601,558,Sync!$C$9)&amp;"",""))</f>
        <v/>
      </c>
      <c r="K3409" s="32" t="s">
        <v>1365</v>
      </c>
    </row>
    <row r="3410" customFormat="false" ht="15" hidden="false" customHeight="false" outlineLevel="0" collapsed="false">
      <c r="A3410" s="23" t="str">
        <f aca="false">IF(B3410="","",B3410+(14*1000+559)/10000000)</f>
        <v/>
      </c>
      <c r="B3410" s="35" t="str">
        <f aca="false">IF(AND(IFERROR(N(INDEX(Clay_Offices!$A$2:$FZ$601,559,Sync!$C$13)),0)&gt;0,IFERROR(INDEX(Clay_Offices!$A$2:$FZ$601,559,Sync!$C$5)&amp;"","")&lt;&gt;"",OR(LEFT(IFERROR(INDEX(Clay_Offices!$A$2:$FZ$601,559,Sync!$C$5)&amp;"",""),6)&lt;&gt;"SAMPLE",Config!$B$19="Y")),IFERROR(N(INDEX(Clay_Offices!$A$2:$FZ$601,559,Sync!$C$13)),0),"")</f>
        <v/>
      </c>
      <c r="C3410" s="23" t="str">
        <f aca="false">IF(B3410="","","office")</f>
        <v/>
      </c>
      <c r="D3410" s="23" t="str">
        <f aca="false">IF(B3410="","",IFERROR(INDEX(Office_Log!$ED$2:$ED$201,MATCH(IFERROR(INDEX(Clay_Offices!$A$2:$FZ$601,559,Sync!$C$5)&amp;"",""),Office_Log!$A$2:$A$201,0))&amp;"",IFERROR(INDEX(Clay_Offices!$A$2:$FZ$601,559,Sync!$C$5)&amp;"","")&amp;""))</f>
        <v/>
      </c>
      <c r="E3410" s="23" t="str">
        <f aca="false">IF(B3410="","",IFERROR(INDEX(Clay_Offices!$A$2:$FZ$601,559,Sync!$C$6)&amp;"",""))</f>
        <v/>
      </c>
      <c r="F3410" s="23" t="str">
        <f aca="false">IF(B3410="","","outreach_sent")</f>
        <v/>
      </c>
      <c r="G3410" s="23" t="str">
        <f aca="false">IF(B3410="","","")</f>
        <v/>
      </c>
      <c r="H3410" s="23" t="str">
        <f aca="false">IF(B3410="","","")</f>
        <v/>
      </c>
      <c r="I3410" s="23" t="str">
        <f aca="false">IF(B3410="","","")</f>
        <v/>
      </c>
      <c r="J3410" s="23" t="str">
        <f aca="false">IF(B3410="","","touch_3; "&amp;IFERROR(INDEX(Clay_Offices!$A$2:$FZ$601,559,Sync!$C$10)&amp;"","")&amp;"; "&amp;IFERROR(INDEX(Clay_Offices!$A$2:$FZ$601,559,Sync!$C$9)&amp;"",""))</f>
        <v/>
      </c>
      <c r="K3410" s="32" t="s">
        <v>1365</v>
      </c>
    </row>
    <row r="3411" customFormat="false" ht="15" hidden="false" customHeight="false" outlineLevel="0" collapsed="false">
      <c r="A3411" s="23" t="str">
        <f aca="false">IF(B3411="","",B3411+(14*1000+560)/10000000)</f>
        <v/>
      </c>
      <c r="B3411" s="35" t="str">
        <f aca="false">IF(AND(IFERROR(N(INDEX(Clay_Offices!$A$2:$FZ$601,560,Sync!$C$13)),0)&gt;0,IFERROR(INDEX(Clay_Offices!$A$2:$FZ$601,560,Sync!$C$5)&amp;"","")&lt;&gt;"",OR(LEFT(IFERROR(INDEX(Clay_Offices!$A$2:$FZ$601,560,Sync!$C$5)&amp;"",""),6)&lt;&gt;"SAMPLE",Config!$B$19="Y")),IFERROR(N(INDEX(Clay_Offices!$A$2:$FZ$601,560,Sync!$C$13)),0),"")</f>
        <v/>
      </c>
      <c r="C3411" s="23" t="str">
        <f aca="false">IF(B3411="","","office")</f>
        <v/>
      </c>
      <c r="D3411" s="23" t="str">
        <f aca="false">IF(B3411="","",IFERROR(INDEX(Office_Log!$ED$2:$ED$201,MATCH(IFERROR(INDEX(Clay_Offices!$A$2:$FZ$601,560,Sync!$C$5)&amp;"",""),Office_Log!$A$2:$A$201,0))&amp;"",IFERROR(INDEX(Clay_Offices!$A$2:$FZ$601,560,Sync!$C$5)&amp;"","")&amp;""))</f>
        <v/>
      </c>
      <c r="E3411" s="23" t="str">
        <f aca="false">IF(B3411="","",IFERROR(INDEX(Clay_Offices!$A$2:$FZ$601,560,Sync!$C$6)&amp;"",""))</f>
        <v/>
      </c>
      <c r="F3411" s="23" t="str">
        <f aca="false">IF(B3411="","","outreach_sent")</f>
        <v/>
      </c>
      <c r="G3411" s="23" t="str">
        <f aca="false">IF(B3411="","","")</f>
        <v/>
      </c>
      <c r="H3411" s="23" t="str">
        <f aca="false">IF(B3411="","","")</f>
        <v/>
      </c>
      <c r="I3411" s="23" t="str">
        <f aca="false">IF(B3411="","","")</f>
        <v/>
      </c>
      <c r="J3411" s="23" t="str">
        <f aca="false">IF(B3411="","","touch_3; "&amp;IFERROR(INDEX(Clay_Offices!$A$2:$FZ$601,560,Sync!$C$10)&amp;"","")&amp;"; "&amp;IFERROR(INDEX(Clay_Offices!$A$2:$FZ$601,560,Sync!$C$9)&amp;"",""))</f>
        <v/>
      </c>
      <c r="K3411" s="32" t="s">
        <v>1365</v>
      </c>
    </row>
    <row r="3412" customFormat="false" ht="15" hidden="false" customHeight="false" outlineLevel="0" collapsed="false">
      <c r="A3412" s="23" t="str">
        <f aca="false">IF(B3412="","",B3412+(14*1000+561)/10000000)</f>
        <v/>
      </c>
      <c r="B3412" s="35" t="str">
        <f aca="false">IF(AND(IFERROR(N(INDEX(Clay_Offices!$A$2:$FZ$601,561,Sync!$C$13)),0)&gt;0,IFERROR(INDEX(Clay_Offices!$A$2:$FZ$601,561,Sync!$C$5)&amp;"","")&lt;&gt;"",OR(LEFT(IFERROR(INDEX(Clay_Offices!$A$2:$FZ$601,561,Sync!$C$5)&amp;"",""),6)&lt;&gt;"SAMPLE",Config!$B$19="Y")),IFERROR(N(INDEX(Clay_Offices!$A$2:$FZ$601,561,Sync!$C$13)),0),"")</f>
        <v/>
      </c>
      <c r="C3412" s="23" t="str">
        <f aca="false">IF(B3412="","","office")</f>
        <v/>
      </c>
      <c r="D3412" s="23" t="str">
        <f aca="false">IF(B3412="","",IFERROR(INDEX(Office_Log!$ED$2:$ED$201,MATCH(IFERROR(INDEX(Clay_Offices!$A$2:$FZ$601,561,Sync!$C$5)&amp;"",""),Office_Log!$A$2:$A$201,0))&amp;"",IFERROR(INDEX(Clay_Offices!$A$2:$FZ$601,561,Sync!$C$5)&amp;"","")&amp;""))</f>
        <v/>
      </c>
      <c r="E3412" s="23" t="str">
        <f aca="false">IF(B3412="","",IFERROR(INDEX(Clay_Offices!$A$2:$FZ$601,561,Sync!$C$6)&amp;"",""))</f>
        <v/>
      </c>
      <c r="F3412" s="23" t="str">
        <f aca="false">IF(B3412="","","outreach_sent")</f>
        <v/>
      </c>
      <c r="G3412" s="23" t="str">
        <f aca="false">IF(B3412="","","")</f>
        <v/>
      </c>
      <c r="H3412" s="23" t="str">
        <f aca="false">IF(B3412="","","")</f>
        <v/>
      </c>
      <c r="I3412" s="23" t="str">
        <f aca="false">IF(B3412="","","")</f>
        <v/>
      </c>
      <c r="J3412" s="23" t="str">
        <f aca="false">IF(B3412="","","touch_3; "&amp;IFERROR(INDEX(Clay_Offices!$A$2:$FZ$601,561,Sync!$C$10)&amp;"","")&amp;"; "&amp;IFERROR(INDEX(Clay_Offices!$A$2:$FZ$601,561,Sync!$C$9)&amp;"",""))</f>
        <v/>
      </c>
      <c r="K3412" s="32" t="s">
        <v>1365</v>
      </c>
    </row>
    <row r="3413" customFormat="false" ht="15" hidden="false" customHeight="false" outlineLevel="0" collapsed="false">
      <c r="A3413" s="23" t="str">
        <f aca="false">IF(B3413="","",B3413+(14*1000+562)/10000000)</f>
        <v/>
      </c>
      <c r="B3413" s="35" t="str">
        <f aca="false">IF(AND(IFERROR(N(INDEX(Clay_Offices!$A$2:$FZ$601,562,Sync!$C$13)),0)&gt;0,IFERROR(INDEX(Clay_Offices!$A$2:$FZ$601,562,Sync!$C$5)&amp;"","")&lt;&gt;"",OR(LEFT(IFERROR(INDEX(Clay_Offices!$A$2:$FZ$601,562,Sync!$C$5)&amp;"",""),6)&lt;&gt;"SAMPLE",Config!$B$19="Y")),IFERROR(N(INDEX(Clay_Offices!$A$2:$FZ$601,562,Sync!$C$13)),0),"")</f>
        <v/>
      </c>
      <c r="C3413" s="23" t="str">
        <f aca="false">IF(B3413="","","office")</f>
        <v/>
      </c>
      <c r="D3413" s="23" t="str">
        <f aca="false">IF(B3413="","",IFERROR(INDEX(Office_Log!$ED$2:$ED$201,MATCH(IFERROR(INDEX(Clay_Offices!$A$2:$FZ$601,562,Sync!$C$5)&amp;"",""),Office_Log!$A$2:$A$201,0))&amp;"",IFERROR(INDEX(Clay_Offices!$A$2:$FZ$601,562,Sync!$C$5)&amp;"","")&amp;""))</f>
        <v/>
      </c>
      <c r="E3413" s="23" t="str">
        <f aca="false">IF(B3413="","",IFERROR(INDEX(Clay_Offices!$A$2:$FZ$601,562,Sync!$C$6)&amp;"",""))</f>
        <v/>
      </c>
      <c r="F3413" s="23" t="str">
        <f aca="false">IF(B3413="","","outreach_sent")</f>
        <v/>
      </c>
      <c r="G3413" s="23" t="str">
        <f aca="false">IF(B3413="","","")</f>
        <v/>
      </c>
      <c r="H3413" s="23" t="str">
        <f aca="false">IF(B3413="","","")</f>
        <v/>
      </c>
      <c r="I3413" s="23" t="str">
        <f aca="false">IF(B3413="","","")</f>
        <v/>
      </c>
      <c r="J3413" s="23" t="str">
        <f aca="false">IF(B3413="","","touch_3; "&amp;IFERROR(INDEX(Clay_Offices!$A$2:$FZ$601,562,Sync!$C$10)&amp;"","")&amp;"; "&amp;IFERROR(INDEX(Clay_Offices!$A$2:$FZ$601,562,Sync!$C$9)&amp;"",""))</f>
        <v/>
      </c>
      <c r="K3413" s="32" t="s">
        <v>1365</v>
      </c>
    </row>
    <row r="3414" customFormat="false" ht="15" hidden="false" customHeight="false" outlineLevel="0" collapsed="false">
      <c r="A3414" s="23" t="str">
        <f aca="false">IF(B3414="","",B3414+(14*1000+563)/10000000)</f>
        <v/>
      </c>
      <c r="B3414" s="35" t="str">
        <f aca="false">IF(AND(IFERROR(N(INDEX(Clay_Offices!$A$2:$FZ$601,563,Sync!$C$13)),0)&gt;0,IFERROR(INDEX(Clay_Offices!$A$2:$FZ$601,563,Sync!$C$5)&amp;"","")&lt;&gt;"",OR(LEFT(IFERROR(INDEX(Clay_Offices!$A$2:$FZ$601,563,Sync!$C$5)&amp;"",""),6)&lt;&gt;"SAMPLE",Config!$B$19="Y")),IFERROR(N(INDEX(Clay_Offices!$A$2:$FZ$601,563,Sync!$C$13)),0),"")</f>
        <v/>
      </c>
      <c r="C3414" s="23" t="str">
        <f aca="false">IF(B3414="","","office")</f>
        <v/>
      </c>
      <c r="D3414" s="23" t="str">
        <f aca="false">IF(B3414="","",IFERROR(INDEX(Office_Log!$ED$2:$ED$201,MATCH(IFERROR(INDEX(Clay_Offices!$A$2:$FZ$601,563,Sync!$C$5)&amp;"",""),Office_Log!$A$2:$A$201,0))&amp;"",IFERROR(INDEX(Clay_Offices!$A$2:$FZ$601,563,Sync!$C$5)&amp;"","")&amp;""))</f>
        <v/>
      </c>
      <c r="E3414" s="23" t="str">
        <f aca="false">IF(B3414="","",IFERROR(INDEX(Clay_Offices!$A$2:$FZ$601,563,Sync!$C$6)&amp;"",""))</f>
        <v/>
      </c>
      <c r="F3414" s="23" t="str">
        <f aca="false">IF(B3414="","","outreach_sent")</f>
        <v/>
      </c>
      <c r="G3414" s="23" t="str">
        <f aca="false">IF(B3414="","","")</f>
        <v/>
      </c>
      <c r="H3414" s="23" t="str">
        <f aca="false">IF(B3414="","","")</f>
        <v/>
      </c>
      <c r="I3414" s="23" t="str">
        <f aca="false">IF(B3414="","","")</f>
        <v/>
      </c>
      <c r="J3414" s="23" t="str">
        <f aca="false">IF(B3414="","","touch_3; "&amp;IFERROR(INDEX(Clay_Offices!$A$2:$FZ$601,563,Sync!$C$10)&amp;"","")&amp;"; "&amp;IFERROR(INDEX(Clay_Offices!$A$2:$FZ$601,563,Sync!$C$9)&amp;"",""))</f>
        <v/>
      </c>
      <c r="K3414" s="32" t="s">
        <v>1365</v>
      </c>
    </row>
    <row r="3415" customFormat="false" ht="15" hidden="false" customHeight="false" outlineLevel="0" collapsed="false">
      <c r="A3415" s="23" t="str">
        <f aca="false">IF(B3415="","",B3415+(14*1000+564)/10000000)</f>
        <v/>
      </c>
      <c r="B3415" s="35" t="str">
        <f aca="false">IF(AND(IFERROR(N(INDEX(Clay_Offices!$A$2:$FZ$601,564,Sync!$C$13)),0)&gt;0,IFERROR(INDEX(Clay_Offices!$A$2:$FZ$601,564,Sync!$C$5)&amp;"","")&lt;&gt;"",OR(LEFT(IFERROR(INDEX(Clay_Offices!$A$2:$FZ$601,564,Sync!$C$5)&amp;"",""),6)&lt;&gt;"SAMPLE",Config!$B$19="Y")),IFERROR(N(INDEX(Clay_Offices!$A$2:$FZ$601,564,Sync!$C$13)),0),"")</f>
        <v/>
      </c>
      <c r="C3415" s="23" t="str">
        <f aca="false">IF(B3415="","","office")</f>
        <v/>
      </c>
      <c r="D3415" s="23" t="str">
        <f aca="false">IF(B3415="","",IFERROR(INDEX(Office_Log!$ED$2:$ED$201,MATCH(IFERROR(INDEX(Clay_Offices!$A$2:$FZ$601,564,Sync!$C$5)&amp;"",""),Office_Log!$A$2:$A$201,0))&amp;"",IFERROR(INDEX(Clay_Offices!$A$2:$FZ$601,564,Sync!$C$5)&amp;"","")&amp;""))</f>
        <v/>
      </c>
      <c r="E3415" s="23" t="str">
        <f aca="false">IF(B3415="","",IFERROR(INDEX(Clay_Offices!$A$2:$FZ$601,564,Sync!$C$6)&amp;"",""))</f>
        <v/>
      </c>
      <c r="F3415" s="23" t="str">
        <f aca="false">IF(B3415="","","outreach_sent")</f>
        <v/>
      </c>
      <c r="G3415" s="23" t="str">
        <f aca="false">IF(B3415="","","")</f>
        <v/>
      </c>
      <c r="H3415" s="23" t="str">
        <f aca="false">IF(B3415="","","")</f>
        <v/>
      </c>
      <c r="I3415" s="23" t="str">
        <f aca="false">IF(B3415="","","")</f>
        <v/>
      </c>
      <c r="J3415" s="23" t="str">
        <f aca="false">IF(B3415="","","touch_3; "&amp;IFERROR(INDEX(Clay_Offices!$A$2:$FZ$601,564,Sync!$C$10)&amp;"","")&amp;"; "&amp;IFERROR(INDEX(Clay_Offices!$A$2:$FZ$601,564,Sync!$C$9)&amp;"",""))</f>
        <v/>
      </c>
      <c r="K3415" s="32" t="s">
        <v>1365</v>
      </c>
    </row>
    <row r="3416" customFormat="false" ht="15" hidden="false" customHeight="false" outlineLevel="0" collapsed="false">
      <c r="A3416" s="23" t="str">
        <f aca="false">IF(B3416="","",B3416+(14*1000+565)/10000000)</f>
        <v/>
      </c>
      <c r="B3416" s="35" t="str">
        <f aca="false">IF(AND(IFERROR(N(INDEX(Clay_Offices!$A$2:$FZ$601,565,Sync!$C$13)),0)&gt;0,IFERROR(INDEX(Clay_Offices!$A$2:$FZ$601,565,Sync!$C$5)&amp;"","")&lt;&gt;"",OR(LEFT(IFERROR(INDEX(Clay_Offices!$A$2:$FZ$601,565,Sync!$C$5)&amp;"",""),6)&lt;&gt;"SAMPLE",Config!$B$19="Y")),IFERROR(N(INDEX(Clay_Offices!$A$2:$FZ$601,565,Sync!$C$13)),0),"")</f>
        <v/>
      </c>
      <c r="C3416" s="23" t="str">
        <f aca="false">IF(B3416="","","office")</f>
        <v/>
      </c>
      <c r="D3416" s="23" t="str">
        <f aca="false">IF(B3416="","",IFERROR(INDEX(Office_Log!$ED$2:$ED$201,MATCH(IFERROR(INDEX(Clay_Offices!$A$2:$FZ$601,565,Sync!$C$5)&amp;"",""),Office_Log!$A$2:$A$201,0))&amp;"",IFERROR(INDEX(Clay_Offices!$A$2:$FZ$601,565,Sync!$C$5)&amp;"","")&amp;""))</f>
        <v/>
      </c>
      <c r="E3416" s="23" t="str">
        <f aca="false">IF(B3416="","",IFERROR(INDEX(Clay_Offices!$A$2:$FZ$601,565,Sync!$C$6)&amp;"",""))</f>
        <v/>
      </c>
      <c r="F3416" s="23" t="str">
        <f aca="false">IF(B3416="","","outreach_sent")</f>
        <v/>
      </c>
      <c r="G3416" s="23" t="str">
        <f aca="false">IF(B3416="","","")</f>
        <v/>
      </c>
      <c r="H3416" s="23" t="str">
        <f aca="false">IF(B3416="","","")</f>
        <v/>
      </c>
      <c r="I3416" s="23" t="str">
        <f aca="false">IF(B3416="","","")</f>
        <v/>
      </c>
      <c r="J3416" s="23" t="str">
        <f aca="false">IF(B3416="","","touch_3; "&amp;IFERROR(INDEX(Clay_Offices!$A$2:$FZ$601,565,Sync!$C$10)&amp;"","")&amp;"; "&amp;IFERROR(INDEX(Clay_Offices!$A$2:$FZ$601,565,Sync!$C$9)&amp;"",""))</f>
        <v/>
      </c>
      <c r="K3416" s="32" t="s">
        <v>1365</v>
      </c>
    </row>
    <row r="3417" customFormat="false" ht="15" hidden="false" customHeight="false" outlineLevel="0" collapsed="false">
      <c r="A3417" s="23" t="str">
        <f aca="false">IF(B3417="","",B3417+(14*1000+566)/10000000)</f>
        <v/>
      </c>
      <c r="B3417" s="35" t="str">
        <f aca="false">IF(AND(IFERROR(N(INDEX(Clay_Offices!$A$2:$FZ$601,566,Sync!$C$13)),0)&gt;0,IFERROR(INDEX(Clay_Offices!$A$2:$FZ$601,566,Sync!$C$5)&amp;"","")&lt;&gt;"",OR(LEFT(IFERROR(INDEX(Clay_Offices!$A$2:$FZ$601,566,Sync!$C$5)&amp;"",""),6)&lt;&gt;"SAMPLE",Config!$B$19="Y")),IFERROR(N(INDEX(Clay_Offices!$A$2:$FZ$601,566,Sync!$C$13)),0),"")</f>
        <v/>
      </c>
      <c r="C3417" s="23" t="str">
        <f aca="false">IF(B3417="","","office")</f>
        <v/>
      </c>
      <c r="D3417" s="23" t="str">
        <f aca="false">IF(B3417="","",IFERROR(INDEX(Office_Log!$ED$2:$ED$201,MATCH(IFERROR(INDEX(Clay_Offices!$A$2:$FZ$601,566,Sync!$C$5)&amp;"",""),Office_Log!$A$2:$A$201,0))&amp;"",IFERROR(INDEX(Clay_Offices!$A$2:$FZ$601,566,Sync!$C$5)&amp;"","")&amp;""))</f>
        <v/>
      </c>
      <c r="E3417" s="23" t="str">
        <f aca="false">IF(B3417="","",IFERROR(INDEX(Clay_Offices!$A$2:$FZ$601,566,Sync!$C$6)&amp;"",""))</f>
        <v/>
      </c>
      <c r="F3417" s="23" t="str">
        <f aca="false">IF(B3417="","","outreach_sent")</f>
        <v/>
      </c>
      <c r="G3417" s="23" t="str">
        <f aca="false">IF(B3417="","","")</f>
        <v/>
      </c>
      <c r="H3417" s="23" t="str">
        <f aca="false">IF(B3417="","","")</f>
        <v/>
      </c>
      <c r="I3417" s="23" t="str">
        <f aca="false">IF(B3417="","","")</f>
        <v/>
      </c>
      <c r="J3417" s="23" t="str">
        <f aca="false">IF(B3417="","","touch_3; "&amp;IFERROR(INDEX(Clay_Offices!$A$2:$FZ$601,566,Sync!$C$10)&amp;"","")&amp;"; "&amp;IFERROR(INDEX(Clay_Offices!$A$2:$FZ$601,566,Sync!$C$9)&amp;"",""))</f>
        <v/>
      </c>
      <c r="K3417" s="32" t="s">
        <v>1365</v>
      </c>
    </row>
    <row r="3418" customFormat="false" ht="15" hidden="false" customHeight="false" outlineLevel="0" collapsed="false">
      <c r="A3418" s="23" t="str">
        <f aca="false">IF(B3418="","",B3418+(14*1000+567)/10000000)</f>
        <v/>
      </c>
      <c r="B3418" s="35" t="str">
        <f aca="false">IF(AND(IFERROR(N(INDEX(Clay_Offices!$A$2:$FZ$601,567,Sync!$C$13)),0)&gt;0,IFERROR(INDEX(Clay_Offices!$A$2:$FZ$601,567,Sync!$C$5)&amp;"","")&lt;&gt;"",OR(LEFT(IFERROR(INDEX(Clay_Offices!$A$2:$FZ$601,567,Sync!$C$5)&amp;"",""),6)&lt;&gt;"SAMPLE",Config!$B$19="Y")),IFERROR(N(INDEX(Clay_Offices!$A$2:$FZ$601,567,Sync!$C$13)),0),"")</f>
        <v/>
      </c>
      <c r="C3418" s="23" t="str">
        <f aca="false">IF(B3418="","","office")</f>
        <v/>
      </c>
      <c r="D3418" s="23" t="str">
        <f aca="false">IF(B3418="","",IFERROR(INDEX(Office_Log!$ED$2:$ED$201,MATCH(IFERROR(INDEX(Clay_Offices!$A$2:$FZ$601,567,Sync!$C$5)&amp;"",""),Office_Log!$A$2:$A$201,0))&amp;"",IFERROR(INDEX(Clay_Offices!$A$2:$FZ$601,567,Sync!$C$5)&amp;"","")&amp;""))</f>
        <v/>
      </c>
      <c r="E3418" s="23" t="str">
        <f aca="false">IF(B3418="","",IFERROR(INDEX(Clay_Offices!$A$2:$FZ$601,567,Sync!$C$6)&amp;"",""))</f>
        <v/>
      </c>
      <c r="F3418" s="23" t="str">
        <f aca="false">IF(B3418="","","outreach_sent")</f>
        <v/>
      </c>
      <c r="G3418" s="23" t="str">
        <f aca="false">IF(B3418="","","")</f>
        <v/>
      </c>
      <c r="H3418" s="23" t="str">
        <f aca="false">IF(B3418="","","")</f>
        <v/>
      </c>
      <c r="I3418" s="23" t="str">
        <f aca="false">IF(B3418="","","")</f>
        <v/>
      </c>
      <c r="J3418" s="23" t="str">
        <f aca="false">IF(B3418="","","touch_3; "&amp;IFERROR(INDEX(Clay_Offices!$A$2:$FZ$601,567,Sync!$C$10)&amp;"","")&amp;"; "&amp;IFERROR(INDEX(Clay_Offices!$A$2:$FZ$601,567,Sync!$C$9)&amp;"",""))</f>
        <v/>
      </c>
      <c r="K3418" s="32" t="s">
        <v>1365</v>
      </c>
    </row>
    <row r="3419" customFormat="false" ht="15" hidden="false" customHeight="false" outlineLevel="0" collapsed="false">
      <c r="A3419" s="23" t="str">
        <f aca="false">IF(B3419="","",B3419+(14*1000+568)/10000000)</f>
        <v/>
      </c>
      <c r="B3419" s="35" t="str">
        <f aca="false">IF(AND(IFERROR(N(INDEX(Clay_Offices!$A$2:$FZ$601,568,Sync!$C$13)),0)&gt;0,IFERROR(INDEX(Clay_Offices!$A$2:$FZ$601,568,Sync!$C$5)&amp;"","")&lt;&gt;"",OR(LEFT(IFERROR(INDEX(Clay_Offices!$A$2:$FZ$601,568,Sync!$C$5)&amp;"",""),6)&lt;&gt;"SAMPLE",Config!$B$19="Y")),IFERROR(N(INDEX(Clay_Offices!$A$2:$FZ$601,568,Sync!$C$13)),0),"")</f>
        <v/>
      </c>
      <c r="C3419" s="23" t="str">
        <f aca="false">IF(B3419="","","office")</f>
        <v/>
      </c>
      <c r="D3419" s="23" t="str">
        <f aca="false">IF(B3419="","",IFERROR(INDEX(Office_Log!$ED$2:$ED$201,MATCH(IFERROR(INDEX(Clay_Offices!$A$2:$FZ$601,568,Sync!$C$5)&amp;"",""),Office_Log!$A$2:$A$201,0))&amp;"",IFERROR(INDEX(Clay_Offices!$A$2:$FZ$601,568,Sync!$C$5)&amp;"","")&amp;""))</f>
        <v/>
      </c>
      <c r="E3419" s="23" t="str">
        <f aca="false">IF(B3419="","",IFERROR(INDEX(Clay_Offices!$A$2:$FZ$601,568,Sync!$C$6)&amp;"",""))</f>
        <v/>
      </c>
      <c r="F3419" s="23" t="str">
        <f aca="false">IF(B3419="","","outreach_sent")</f>
        <v/>
      </c>
      <c r="G3419" s="23" t="str">
        <f aca="false">IF(B3419="","","")</f>
        <v/>
      </c>
      <c r="H3419" s="23" t="str">
        <f aca="false">IF(B3419="","","")</f>
        <v/>
      </c>
      <c r="I3419" s="23" t="str">
        <f aca="false">IF(B3419="","","")</f>
        <v/>
      </c>
      <c r="J3419" s="23" t="str">
        <f aca="false">IF(B3419="","","touch_3; "&amp;IFERROR(INDEX(Clay_Offices!$A$2:$FZ$601,568,Sync!$C$10)&amp;"","")&amp;"; "&amp;IFERROR(INDEX(Clay_Offices!$A$2:$FZ$601,568,Sync!$C$9)&amp;"",""))</f>
        <v/>
      </c>
      <c r="K3419" s="32" t="s">
        <v>1365</v>
      </c>
    </row>
    <row r="3420" customFormat="false" ht="15" hidden="false" customHeight="false" outlineLevel="0" collapsed="false">
      <c r="A3420" s="23" t="str">
        <f aca="false">IF(B3420="","",B3420+(14*1000+569)/10000000)</f>
        <v/>
      </c>
      <c r="B3420" s="35" t="str">
        <f aca="false">IF(AND(IFERROR(N(INDEX(Clay_Offices!$A$2:$FZ$601,569,Sync!$C$13)),0)&gt;0,IFERROR(INDEX(Clay_Offices!$A$2:$FZ$601,569,Sync!$C$5)&amp;"","")&lt;&gt;"",OR(LEFT(IFERROR(INDEX(Clay_Offices!$A$2:$FZ$601,569,Sync!$C$5)&amp;"",""),6)&lt;&gt;"SAMPLE",Config!$B$19="Y")),IFERROR(N(INDEX(Clay_Offices!$A$2:$FZ$601,569,Sync!$C$13)),0),"")</f>
        <v/>
      </c>
      <c r="C3420" s="23" t="str">
        <f aca="false">IF(B3420="","","office")</f>
        <v/>
      </c>
      <c r="D3420" s="23" t="str">
        <f aca="false">IF(B3420="","",IFERROR(INDEX(Office_Log!$ED$2:$ED$201,MATCH(IFERROR(INDEX(Clay_Offices!$A$2:$FZ$601,569,Sync!$C$5)&amp;"",""),Office_Log!$A$2:$A$201,0))&amp;"",IFERROR(INDEX(Clay_Offices!$A$2:$FZ$601,569,Sync!$C$5)&amp;"","")&amp;""))</f>
        <v/>
      </c>
      <c r="E3420" s="23" t="str">
        <f aca="false">IF(B3420="","",IFERROR(INDEX(Clay_Offices!$A$2:$FZ$601,569,Sync!$C$6)&amp;"",""))</f>
        <v/>
      </c>
      <c r="F3420" s="23" t="str">
        <f aca="false">IF(B3420="","","outreach_sent")</f>
        <v/>
      </c>
      <c r="G3420" s="23" t="str">
        <f aca="false">IF(B3420="","","")</f>
        <v/>
      </c>
      <c r="H3420" s="23" t="str">
        <f aca="false">IF(B3420="","","")</f>
        <v/>
      </c>
      <c r="I3420" s="23" t="str">
        <f aca="false">IF(B3420="","","")</f>
        <v/>
      </c>
      <c r="J3420" s="23" t="str">
        <f aca="false">IF(B3420="","","touch_3; "&amp;IFERROR(INDEX(Clay_Offices!$A$2:$FZ$601,569,Sync!$C$10)&amp;"","")&amp;"; "&amp;IFERROR(INDEX(Clay_Offices!$A$2:$FZ$601,569,Sync!$C$9)&amp;"",""))</f>
        <v/>
      </c>
      <c r="K3420" s="32" t="s">
        <v>1365</v>
      </c>
    </row>
    <row r="3421" customFormat="false" ht="15" hidden="false" customHeight="false" outlineLevel="0" collapsed="false">
      <c r="A3421" s="23" t="str">
        <f aca="false">IF(B3421="","",B3421+(14*1000+570)/10000000)</f>
        <v/>
      </c>
      <c r="B3421" s="35" t="str">
        <f aca="false">IF(AND(IFERROR(N(INDEX(Clay_Offices!$A$2:$FZ$601,570,Sync!$C$13)),0)&gt;0,IFERROR(INDEX(Clay_Offices!$A$2:$FZ$601,570,Sync!$C$5)&amp;"","")&lt;&gt;"",OR(LEFT(IFERROR(INDEX(Clay_Offices!$A$2:$FZ$601,570,Sync!$C$5)&amp;"",""),6)&lt;&gt;"SAMPLE",Config!$B$19="Y")),IFERROR(N(INDEX(Clay_Offices!$A$2:$FZ$601,570,Sync!$C$13)),0),"")</f>
        <v/>
      </c>
      <c r="C3421" s="23" t="str">
        <f aca="false">IF(B3421="","","office")</f>
        <v/>
      </c>
      <c r="D3421" s="23" t="str">
        <f aca="false">IF(B3421="","",IFERROR(INDEX(Office_Log!$ED$2:$ED$201,MATCH(IFERROR(INDEX(Clay_Offices!$A$2:$FZ$601,570,Sync!$C$5)&amp;"",""),Office_Log!$A$2:$A$201,0))&amp;"",IFERROR(INDEX(Clay_Offices!$A$2:$FZ$601,570,Sync!$C$5)&amp;"","")&amp;""))</f>
        <v/>
      </c>
      <c r="E3421" s="23" t="str">
        <f aca="false">IF(B3421="","",IFERROR(INDEX(Clay_Offices!$A$2:$FZ$601,570,Sync!$C$6)&amp;"",""))</f>
        <v/>
      </c>
      <c r="F3421" s="23" t="str">
        <f aca="false">IF(B3421="","","outreach_sent")</f>
        <v/>
      </c>
      <c r="G3421" s="23" t="str">
        <f aca="false">IF(B3421="","","")</f>
        <v/>
      </c>
      <c r="H3421" s="23" t="str">
        <f aca="false">IF(B3421="","","")</f>
        <v/>
      </c>
      <c r="I3421" s="23" t="str">
        <f aca="false">IF(B3421="","","")</f>
        <v/>
      </c>
      <c r="J3421" s="23" t="str">
        <f aca="false">IF(B3421="","","touch_3; "&amp;IFERROR(INDEX(Clay_Offices!$A$2:$FZ$601,570,Sync!$C$10)&amp;"","")&amp;"; "&amp;IFERROR(INDEX(Clay_Offices!$A$2:$FZ$601,570,Sync!$C$9)&amp;"",""))</f>
        <v/>
      </c>
      <c r="K3421" s="32" t="s">
        <v>1365</v>
      </c>
    </row>
    <row r="3422" customFormat="false" ht="15" hidden="false" customHeight="false" outlineLevel="0" collapsed="false">
      <c r="A3422" s="23" t="str">
        <f aca="false">IF(B3422="","",B3422+(14*1000+571)/10000000)</f>
        <v/>
      </c>
      <c r="B3422" s="35" t="str">
        <f aca="false">IF(AND(IFERROR(N(INDEX(Clay_Offices!$A$2:$FZ$601,571,Sync!$C$13)),0)&gt;0,IFERROR(INDEX(Clay_Offices!$A$2:$FZ$601,571,Sync!$C$5)&amp;"","")&lt;&gt;"",OR(LEFT(IFERROR(INDEX(Clay_Offices!$A$2:$FZ$601,571,Sync!$C$5)&amp;"",""),6)&lt;&gt;"SAMPLE",Config!$B$19="Y")),IFERROR(N(INDEX(Clay_Offices!$A$2:$FZ$601,571,Sync!$C$13)),0),"")</f>
        <v/>
      </c>
      <c r="C3422" s="23" t="str">
        <f aca="false">IF(B3422="","","office")</f>
        <v/>
      </c>
      <c r="D3422" s="23" t="str">
        <f aca="false">IF(B3422="","",IFERROR(INDEX(Office_Log!$ED$2:$ED$201,MATCH(IFERROR(INDEX(Clay_Offices!$A$2:$FZ$601,571,Sync!$C$5)&amp;"",""),Office_Log!$A$2:$A$201,0))&amp;"",IFERROR(INDEX(Clay_Offices!$A$2:$FZ$601,571,Sync!$C$5)&amp;"","")&amp;""))</f>
        <v/>
      </c>
      <c r="E3422" s="23" t="str">
        <f aca="false">IF(B3422="","",IFERROR(INDEX(Clay_Offices!$A$2:$FZ$601,571,Sync!$C$6)&amp;"",""))</f>
        <v/>
      </c>
      <c r="F3422" s="23" t="str">
        <f aca="false">IF(B3422="","","outreach_sent")</f>
        <v/>
      </c>
      <c r="G3422" s="23" t="str">
        <f aca="false">IF(B3422="","","")</f>
        <v/>
      </c>
      <c r="H3422" s="23" t="str">
        <f aca="false">IF(B3422="","","")</f>
        <v/>
      </c>
      <c r="I3422" s="23" t="str">
        <f aca="false">IF(B3422="","","")</f>
        <v/>
      </c>
      <c r="J3422" s="23" t="str">
        <f aca="false">IF(B3422="","","touch_3; "&amp;IFERROR(INDEX(Clay_Offices!$A$2:$FZ$601,571,Sync!$C$10)&amp;"","")&amp;"; "&amp;IFERROR(INDEX(Clay_Offices!$A$2:$FZ$601,571,Sync!$C$9)&amp;"",""))</f>
        <v/>
      </c>
      <c r="K3422" s="32" t="s">
        <v>1365</v>
      </c>
    </row>
    <row r="3423" customFormat="false" ht="15" hidden="false" customHeight="false" outlineLevel="0" collapsed="false">
      <c r="A3423" s="23" t="str">
        <f aca="false">IF(B3423="","",B3423+(14*1000+572)/10000000)</f>
        <v/>
      </c>
      <c r="B3423" s="35" t="str">
        <f aca="false">IF(AND(IFERROR(N(INDEX(Clay_Offices!$A$2:$FZ$601,572,Sync!$C$13)),0)&gt;0,IFERROR(INDEX(Clay_Offices!$A$2:$FZ$601,572,Sync!$C$5)&amp;"","")&lt;&gt;"",OR(LEFT(IFERROR(INDEX(Clay_Offices!$A$2:$FZ$601,572,Sync!$C$5)&amp;"",""),6)&lt;&gt;"SAMPLE",Config!$B$19="Y")),IFERROR(N(INDEX(Clay_Offices!$A$2:$FZ$601,572,Sync!$C$13)),0),"")</f>
        <v/>
      </c>
      <c r="C3423" s="23" t="str">
        <f aca="false">IF(B3423="","","office")</f>
        <v/>
      </c>
      <c r="D3423" s="23" t="str">
        <f aca="false">IF(B3423="","",IFERROR(INDEX(Office_Log!$ED$2:$ED$201,MATCH(IFERROR(INDEX(Clay_Offices!$A$2:$FZ$601,572,Sync!$C$5)&amp;"",""),Office_Log!$A$2:$A$201,0))&amp;"",IFERROR(INDEX(Clay_Offices!$A$2:$FZ$601,572,Sync!$C$5)&amp;"","")&amp;""))</f>
        <v/>
      </c>
      <c r="E3423" s="23" t="str">
        <f aca="false">IF(B3423="","",IFERROR(INDEX(Clay_Offices!$A$2:$FZ$601,572,Sync!$C$6)&amp;"",""))</f>
        <v/>
      </c>
      <c r="F3423" s="23" t="str">
        <f aca="false">IF(B3423="","","outreach_sent")</f>
        <v/>
      </c>
      <c r="G3423" s="23" t="str">
        <f aca="false">IF(B3423="","","")</f>
        <v/>
      </c>
      <c r="H3423" s="23" t="str">
        <f aca="false">IF(B3423="","","")</f>
        <v/>
      </c>
      <c r="I3423" s="23" t="str">
        <f aca="false">IF(B3423="","","")</f>
        <v/>
      </c>
      <c r="J3423" s="23" t="str">
        <f aca="false">IF(B3423="","","touch_3; "&amp;IFERROR(INDEX(Clay_Offices!$A$2:$FZ$601,572,Sync!$C$10)&amp;"","")&amp;"; "&amp;IFERROR(INDEX(Clay_Offices!$A$2:$FZ$601,572,Sync!$C$9)&amp;"",""))</f>
        <v/>
      </c>
      <c r="K3423" s="32" t="s">
        <v>1365</v>
      </c>
    </row>
    <row r="3424" customFormat="false" ht="15" hidden="false" customHeight="false" outlineLevel="0" collapsed="false">
      <c r="A3424" s="23" t="str">
        <f aca="false">IF(B3424="","",B3424+(14*1000+573)/10000000)</f>
        <v/>
      </c>
      <c r="B3424" s="35" t="str">
        <f aca="false">IF(AND(IFERROR(N(INDEX(Clay_Offices!$A$2:$FZ$601,573,Sync!$C$13)),0)&gt;0,IFERROR(INDEX(Clay_Offices!$A$2:$FZ$601,573,Sync!$C$5)&amp;"","")&lt;&gt;"",OR(LEFT(IFERROR(INDEX(Clay_Offices!$A$2:$FZ$601,573,Sync!$C$5)&amp;"",""),6)&lt;&gt;"SAMPLE",Config!$B$19="Y")),IFERROR(N(INDEX(Clay_Offices!$A$2:$FZ$601,573,Sync!$C$13)),0),"")</f>
        <v/>
      </c>
      <c r="C3424" s="23" t="str">
        <f aca="false">IF(B3424="","","office")</f>
        <v/>
      </c>
      <c r="D3424" s="23" t="str">
        <f aca="false">IF(B3424="","",IFERROR(INDEX(Office_Log!$ED$2:$ED$201,MATCH(IFERROR(INDEX(Clay_Offices!$A$2:$FZ$601,573,Sync!$C$5)&amp;"",""),Office_Log!$A$2:$A$201,0))&amp;"",IFERROR(INDEX(Clay_Offices!$A$2:$FZ$601,573,Sync!$C$5)&amp;"","")&amp;""))</f>
        <v/>
      </c>
      <c r="E3424" s="23" t="str">
        <f aca="false">IF(B3424="","",IFERROR(INDEX(Clay_Offices!$A$2:$FZ$601,573,Sync!$C$6)&amp;"",""))</f>
        <v/>
      </c>
      <c r="F3424" s="23" t="str">
        <f aca="false">IF(B3424="","","outreach_sent")</f>
        <v/>
      </c>
      <c r="G3424" s="23" t="str">
        <f aca="false">IF(B3424="","","")</f>
        <v/>
      </c>
      <c r="H3424" s="23" t="str">
        <f aca="false">IF(B3424="","","")</f>
        <v/>
      </c>
      <c r="I3424" s="23" t="str">
        <f aca="false">IF(B3424="","","")</f>
        <v/>
      </c>
      <c r="J3424" s="23" t="str">
        <f aca="false">IF(B3424="","","touch_3; "&amp;IFERROR(INDEX(Clay_Offices!$A$2:$FZ$601,573,Sync!$C$10)&amp;"","")&amp;"; "&amp;IFERROR(INDEX(Clay_Offices!$A$2:$FZ$601,573,Sync!$C$9)&amp;"",""))</f>
        <v/>
      </c>
      <c r="K3424" s="32" t="s">
        <v>1365</v>
      </c>
    </row>
    <row r="3425" customFormat="false" ht="15" hidden="false" customHeight="false" outlineLevel="0" collapsed="false">
      <c r="A3425" s="23" t="str">
        <f aca="false">IF(B3425="","",B3425+(14*1000+574)/10000000)</f>
        <v/>
      </c>
      <c r="B3425" s="35" t="str">
        <f aca="false">IF(AND(IFERROR(N(INDEX(Clay_Offices!$A$2:$FZ$601,574,Sync!$C$13)),0)&gt;0,IFERROR(INDEX(Clay_Offices!$A$2:$FZ$601,574,Sync!$C$5)&amp;"","")&lt;&gt;"",OR(LEFT(IFERROR(INDEX(Clay_Offices!$A$2:$FZ$601,574,Sync!$C$5)&amp;"",""),6)&lt;&gt;"SAMPLE",Config!$B$19="Y")),IFERROR(N(INDEX(Clay_Offices!$A$2:$FZ$601,574,Sync!$C$13)),0),"")</f>
        <v/>
      </c>
      <c r="C3425" s="23" t="str">
        <f aca="false">IF(B3425="","","office")</f>
        <v/>
      </c>
      <c r="D3425" s="23" t="str">
        <f aca="false">IF(B3425="","",IFERROR(INDEX(Office_Log!$ED$2:$ED$201,MATCH(IFERROR(INDEX(Clay_Offices!$A$2:$FZ$601,574,Sync!$C$5)&amp;"",""),Office_Log!$A$2:$A$201,0))&amp;"",IFERROR(INDEX(Clay_Offices!$A$2:$FZ$601,574,Sync!$C$5)&amp;"","")&amp;""))</f>
        <v/>
      </c>
      <c r="E3425" s="23" t="str">
        <f aca="false">IF(B3425="","",IFERROR(INDEX(Clay_Offices!$A$2:$FZ$601,574,Sync!$C$6)&amp;"",""))</f>
        <v/>
      </c>
      <c r="F3425" s="23" t="str">
        <f aca="false">IF(B3425="","","outreach_sent")</f>
        <v/>
      </c>
      <c r="G3425" s="23" t="str">
        <f aca="false">IF(B3425="","","")</f>
        <v/>
      </c>
      <c r="H3425" s="23" t="str">
        <f aca="false">IF(B3425="","","")</f>
        <v/>
      </c>
      <c r="I3425" s="23" t="str">
        <f aca="false">IF(B3425="","","")</f>
        <v/>
      </c>
      <c r="J3425" s="23" t="str">
        <f aca="false">IF(B3425="","","touch_3; "&amp;IFERROR(INDEX(Clay_Offices!$A$2:$FZ$601,574,Sync!$C$10)&amp;"","")&amp;"; "&amp;IFERROR(INDEX(Clay_Offices!$A$2:$FZ$601,574,Sync!$C$9)&amp;"",""))</f>
        <v/>
      </c>
      <c r="K3425" s="32" t="s">
        <v>1365</v>
      </c>
    </row>
    <row r="3426" customFormat="false" ht="15" hidden="false" customHeight="false" outlineLevel="0" collapsed="false">
      <c r="A3426" s="23" t="str">
        <f aca="false">IF(B3426="","",B3426+(14*1000+575)/10000000)</f>
        <v/>
      </c>
      <c r="B3426" s="35" t="str">
        <f aca="false">IF(AND(IFERROR(N(INDEX(Clay_Offices!$A$2:$FZ$601,575,Sync!$C$13)),0)&gt;0,IFERROR(INDEX(Clay_Offices!$A$2:$FZ$601,575,Sync!$C$5)&amp;"","")&lt;&gt;"",OR(LEFT(IFERROR(INDEX(Clay_Offices!$A$2:$FZ$601,575,Sync!$C$5)&amp;"",""),6)&lt;&gt;"SAMPLE",Config!$B$19="Y")),IFERROR(N(INDEX(Clay_Offices!$A$2:$FZ$601,575,Sync!$C$13)),0),"")</f>
        <v/>
      </c>
      <c r="C3426" s="23" t="str">
        <f aca="false">IF(B3426="","","office")</f>
        <v/>
      </c>
      <c r="D3426" s="23" t="str">
        <f aca="false">IF(B3426="","",IFERROR(INDEX(Office_Log!$ED$2:$ED$201,MATCH(IFERROR(INDEX(Clay_Offices!$A$2:$FZ$601,575,Sync!$C$5)&amp;"",""),Office_Log!$A$2:$A$201,0))&amp;"",IFERROR(INDEX(Clay_Offices!$A$2:$FZ$601,575,Sync!$C$5)&amp;"","")&amp;""))</f>
        <v/>
      </c>
      <c r="E3426" s="23" t="str">
        <f aca="false">IF(B3426="","",IFERROR(INDEX(Clay_Offices!$A$2:$FZ$601,575,Sync!$C$6)&amp;"",""))</f>
        <v/>
      </c>
      <c r="F3426" s="23" t="str">
        <f aca="false">IF(B3426="","","outreach_sent")</f>
        <v/>
      </c>
      <c r="G3426" s="23" t="str">
        <f aca="false">IF(B3426="","","")</f>
        <v/>
      </c>
      <c r="H3426" s="23" t="str">
        <f aca="false">IF(B3426="","","")</f>
        <v/>
      </c>
      <c r="I3426" s="23" t="str">
        <f aca="false">IF(B3426="","","")</f>
        <v/>
      </c>
      <c r="J3426" s="23" t="str">
        <f aca="false">IF(B3426="","","touch_3; "&amp;IFERROR(INDEX(Clay_Offices!$A$2:$FZ$601,575,Sync!$C$10)&amp;"","")&amp;"; "&amp;IFERROR(INDEX(Clay_Offices!$A$2:$FZ$601,575,Sync!$C$9)&amp;"",""))</f>
        <v/>
      </c>
      <c r="K3426" s="32" t="s">
        <v>1365</v>
      </c>
    </row>
    <row r="3427" customFormat="false" ht="15" hidden="false" customHeight="false" outlineLevel="0" collapsed="false">
      <c r="A3427" s="23" t="str">
        <f aca="false">IF(B3427="","",B3427+(14*1000+576)/10000000)</f>
        <v/>
      </c>
      <c r="B3427" s="35" t="str">
        <f aca="false">IF(AND(IFERROR(N(INDEX(Clay_Offices!$A$2:$FZ$601,576,Sync!$C$13)),0)&gt;0,IFERROR(INDEX(Clay_Offices!$A$2:$FZ$601,576,Sync!$C$5)&amp;"","")&lt;&gt;"",OR(LEFT(IFERROR(INDEX(Clay_Offices!$A$2:$FZ$601,576,Sync!$C$5)&amp;"",""),6)&lt;&gt;"SAMPLE",Config!$B$19="Y")),IFERROR(N(INDEX(Clay_Offices!$A$2:$FZ$601,576,Sync!$C$13)),0),"")</f>
        <v/>
      </c>
      <c r="C3427" s="23" t="str">
        <f aca="false">IF(B3427="","","office")</f>
        <v/>
      </c>
      <c r="D3427" s="23" t="str">
        <f aca="false">IF(B3427="","",IFERROR(INDEX(Office_Log!$ED$2:$ED$201,MATCH(IFERROR(INDEX(Clay_Offices!$A$2:$FZ$601,576,Sync!$C$5)&amp;"",""),Office_Log!$A$2:$A$201,0))&amp;"",IFERROR(INDEX(Clay_Offices!$A$2:$FZ$601,576,Sync!$C$5)&amp;"","")&amp;""))</f>
        <v/>
      </c>
      <c r="E3427" s="23" t="str">
        <f aca="false">IF(B3427="","",IFERROR(INDEX(Clay_Offices!$A$2:$FZ$601,576,Sync!$C$6)&amp;"",""))</f>
        <v/>
      </c>
      <c r="F3427" s="23" t="str">
        <f aca="false">IF(B3427="","","outreach_sent")</f>
        <v/>
      </c>
      <c r="G3427" s="23" t="str">
        <f aca="false">IF(B3427="","","")</f>
        <v/>
      </c>
      <c r="H3427" s="23" t="str">
        <f aca="false">IF(B3427="","","")</f>
        <v/>
      </c>
      <c r="I3427" s="23" t="str">
        <f aca="false">IF(B3427="","","")</f>
        <v/>
      </c>
      <c r="J3427" s="23" t="str">
        <f aca="false">IF(B3427="","","touch_3; "&amp;IFERROR(INDEX(Clay_Offices!$A$2:$FZ$601,576,Sync!$C$10)&amp;"","")&amp;"; "&amp;IFERROR(INDEX(Clay_Offices!$A$2:$FZ$601,576,Sync!$C$9)&amp;"",""))</f>
        <v/>
      </c>
      <c r="K3427" s="32" t="s">
        <v>1365</v>
      </c>
    </row>
    <row r="3428" customFormat="false" ht="15" hidden="false" customHeight="false" outlineLevel="0" collapsed="false">
      <c r="A3428" s="23" t="str">
        <f aca="false">IF(B3428="","",B3428+(14*1000+577)/10000000)</f>
        <v/>
      </c>
      <c r="B3428" s="35" t="str">
        <f aca="false">IF(AND(IFERROR(N(INDEX(Clay_Offices!$A$2:$FZ$601,577,Sync!$C$13)),0)&gt;0,IFERROR(INDEX(Clay_Offices!$A$2:$FZ$601,577,Sync!$C$5)&amp;"","")&lt;&gt;"",OR(LEFT(IFERROR(INDEX(Clay_Offices!$A$2:$FZ$601,577,Sync!$C$5)&amp;"",""),6)&lt;&gt;"SAMPLE",Config!$B$19="Y")),IFERROR(N(INDEX(Clay_Offices!$A$2:$FZ$601,577,Sync!$C$13)),0),"")</f>
        <v/>
      </c>
      <c r="C3428" s="23" t="str">
        <f aca="false">IF(B3428="","","office")</f>
        <v/>
      </c>
      <c r="D3428" s="23" t="str">
        <f aca="false">IF(B3428="","",IFERROR(INDEX(Office_Log!$ED$2:$ED$201,MATCH(IFERROR(INDEX(Clay_Offices!$A$2:$FZ$601,577,Sync!$C$5)&amp;"",""),Office_Log!$A$2:$A$201,0))&amp;"",IFERROR(INDEX(Clay_Offices!$A$2:$FZ$601,577,Sync!$C$5)&amp;"","")&amp;""))</f>
        <v/>
      </c>
      <c r="E3428" s="23" t="str">
        <f aca="false">IF(B3428="","",IFERROR(INDEX(Clay_Offices!$A$2:$FZ$601,577,Sync!$C$6)&amp;"",""))</f>
        <v/>
      </c>
      <c r="F3428" s="23" t="str">
        <f aca="false">IF(B3428="","","outreach_sent")</f>
        <v/>
      </c>
      <c r="G3428" s="23" t="str">
        <f aca="false">IF(B3428="","","")</f>
        <v/>
      </c>
      <c r="H3428" s="23" t="str">
        <f aca="false">IF(B3428="","","")</f>
        <v/>
      </c>
      <c r="I3428" s="23" t="str">
        <f aca="false">IF(B3428="","","")</f>
        <v/>
      </c>
      <c r="J3428" s="23" t="str">
        <f aca="false">IF(B3428="","","touch_3; "&amp;IFERROR(INDEX(Clay_Offices!$A$2:$FZ$601,577,Sync!$C$10)&amp;"","")&amp;"; "&amp;IFERROR(INDEX(Clay_Offices!$A$2:$FZ$601,577,Sync!$C$9)&amp;"",""))</f>
        <v/>
      </c>
      <c r="K3428" s="32" t="s">
        <v>1365</v>
      </c>
    </row>
    <row r="3429" customFormat="false" ht="15" hidden="false" customHeight="false" outlineLevel="0" collapsed="false">
      <c r="A3429" s="23" t="str">
        <f aca="false">IF(B3429="","",B3429+(14*1000+578)/10000000)</f>
        <v/>
      </c>
      <c r="B3429" s="35" t="str">
        <f aca="false">IF(AND(IFERROR(N(INDEX(Clay_Offices!$A$2:$FZ$601,578,Sync!$C$13)),0)&gt;0,IFERROR(INDEX(Clay_Offices!$A$2:$FZ$601,578,Sync!$C$5)&amp;"","")&lt;&gt;"",OR(LEFT(IFERROR(INDEX(Clay_Offices!$A$2:$FZ$601,578,Sync!$C$5)&amp;"",""),6)&lt;&gt;"SAMPLE",Config!$B$19="Y")),IFERROR(N(INDEX(Clay_Offices!$A$2:$FZ$601,578,Sync!$C$13)),0),"")</f>
        <v/>
      </c>
      <c r="C3429" s="23" t="str">
        <f aca="false">IF(B3429="","","office")</f>
        <v/>
      </c>
      <c r="D3429" s="23" t="str">
        <f aca="false">IF(B3429="","",IFERROR(INDEX(Office_Log!$ED$2:$ED$201,MATCH(IFERROR(INDEX(Clay_Offices!$A$2:$FZ$601,578,Sync!$C$5)&amp;"",""),Office_Log!$A$2:$A$201,0))&amp;"",IFERROR(INDEX(Clay_Offices!$A$2:$FZ$601,578,Sync!$C$5)&amp;"","")&amp;""))</f>
        <v/>
      </c>
      <c r="E3429" s="23" t="str">
        <f aca="false">IF(B3429="","",IFERROR(INDEX(Clay_Offices!$A$2:$FZ$601,578,Sync!$C$6)&amp;"",""))</f>
        <v/>
      </c>
      <c r="F3429" s="23" t="str">
        <f aca="false">IF(B3429="","","outreach_sent")</f>
        <v/>
      </c>
      <c r="G3429" s="23" t="str">
        <f aca="false">IF(B3429="","","")</f>
        <v/>
      </c>
      <c r="H3429" s="23" t="str">
        <f aca="false">IF(B3429="","","")</f>
        <v/>
      </c>
      <c r="I3429" s="23" t="str">
        <f aca="false">IF(B3429="","","")</f>
        <v/>
      </c>
      <c r="J3429" s="23" t="str">
        <f aca="false">IF(B3429="","","touch_3; "&amp;IFERROR(INDEX(Clay_Offices!$A$2:$FZ$601,578,Sync!$C$10)&amp;"","")&amp;"; "&amp;IFERROR(INDEX(Clay_Offices!$A$2:$FZ$601,578,Sync!$C$9)&amp;"",""))</f>
        <v/>
      </c>
      <c r="K3429" s="32" t="s">
        <v>1365</v>
      </c>
    </row>
    <row r="3430" customFormat="false" ht="15" hidden="false" customHeight="false" outlineLevel="0" collapsed="false">
      <c r="A3430" s="23" t="str">
        <f aca="false">IF(B3430="","",B3430+(14*1000+579)/10000000)</f>
        <v/>
      </c>
      <c r="B3430" s="35" t="str">
        <f aca="false">IF(AND(IFERROR(N(INDEX(Clay_Offices!$A$2:$FZ$601,579,Sync!$C$13)),0)&gt;0,IFERROR(INDEX(Clay_Offices!$A$2:$FZ$601,579,Sync!$C$5)&amp;"","")&lt;&gt;"",OR(LEFT(IFERROR(INDEX(Clay_Offices!$A$2:$FZ$601,579,Sync!$C$5)&amp;"",""),6)&lt;&gt;"SAMPLE",Config!$B$19="Y")),IFERROR(N(INDEX(Clay_Offices!$A$2:$FZ$601,579,Sync!$C$13)),0),"")</f>
        <v/>
      </c>
      <c r="C3430" s="23" t="str">
        <f aca="false">IF(B3430="","","office")</f>
        <v/>
      </c>
      <c r="D3430" s="23" t="str">
        <f aca="false">IF(B3430="","",IFERROR(INDEX(Office_Log!$ED$2:$ED$201,MATCH(IFERROR(INDEX(Clay_Offices!$A$2:$FZ$601,579,Sync!$C$5)&amp;"",""),Office_Log!$A$2:$A$201,0))&amp;"",IFERROR(INDEX(Clay_Offices!$A$2:$FZ$601,579,Sync!$C$5)&amp;"","")&amp;""))</f>
        <v/>
      </c>
      <c r="E3430" s="23" t="str">
        <f aca="false">IF(B3430="","",IFERROR(INDEX(Clay_Offices!$A$2:$FZ$601,579,Sync!$C$6)&amp;"",""))</f>
        <v/>
      </c>
      <c r="F3430" s="23" t="str">
        <f aca="false">IF(B3430="","","outreach_sent")</f>
        <v/>
      </c>
      <c r="G3430" s="23" t="str">
        <f aca="false">IF(B3430="","","")</f>
        <v/>
      </c>
      <c r="H3430" s="23" t="str">
        <f aca="false">IF(B3430="","","")</f>
        <v/>
      </c>
      <c r="I3430" s="23" t="str">
        <f aca="false">IF(B3430="","","")</f>
        <v/>
      </c>
      <c r="J3430" s="23" t="str">
        <f aca="false">IF(B3430="","","touch_3; "&amp;IFERROR(INDEX(Clay_Offices!$A$2:$FZ$601,579,Sync!$C$10)&amp;"","")&amp;"; "&amp;IFERROR(INDEX(Clay_Offices!$A$2:$FZ$601,579,Sync!$C$9)&amp;"",""))</f>
        <v/>
      </c>
      <c r="K3430" s="32" t="s">
        <v>1365</v>
      </c>
    </row>
    <row r="3431" customFormat="false" ht="15" hidden="false" customHeight="false" outlineLevel="0" collapsed="false">
      <c r="A3431" s="23" t="str">
        <f aca="false">IF(B3431="","",B3431+(14*1000+580)/10000000)</f>
        <v/>
      </c>
      <c r="B3431" s="35" t="str">
        <f aca="false">IF(AND(IFERROR(N(INDEX(Clay_Offices!$A$2:$FZ$601,580,Sync!$C$13)),0)&gt;0,IFERROR(INDEX(Clay_Offices!$A$2:$FZ$601,580,Sync!$C$5)&amp;"","")&lt;&gt;"",OR(LEFT(IFERROR(INDEX(Clay_Offices!$A$2:$FZ$601,580,Sync!$C$5)&amp;"",""),6)&lt;&gt;"SAMPLE",Config!$B$19="Y")),IFERROR(N(INDEX(Clay_Offices!$A$2:$FZ$601,580,Sync!$C$13)),0),"")</f>
        <v/>
      </c>
      <c r="C3431" s="23" t="str">
        <f aca="false">IF(B3431="","","office")</f>
        <v/>
      </c>
      <c r="D3431" s="23" t="str">
        <f aca="false">IF(B3431="","",IFERROR(INDEX(Office_Log!$ED$2:$ED$201,MATCH(IFERROR(INDEX(Clay_Offices!$A$2:$FZ$601,580,Sync!$C$5)&amp;"",""),Office_Log!$A$2:$A$201,0))&amp;"",IFERROR(INDEX(Clay_Offices!$A$2:$FZ$601,580,Sync!$C$5)&amp;"","")&amp;""))</f>
        <v/>
      </c>
      <c r="E3431" s="23" t="str">
        <f aca="false">IF(B3431="","",IFERROR(INDEX(Clay_Offices!$A$2:$FZ$601,580,Sync!$C$6)&amp;"",""))</f>
        <v/>
      </c>
      <c r="F3431" s="23" t="str">
        <f aca="false">IF(B3431="","","outreach_sent")</f>
        <v/>
      </c>
      <c r="G3431" s="23" t="str">
        <f aca="false">IF(B3431="","","")</f>
        <v/>
      </c>
      <c r="H3431" s="23" t="str">
        <f aca="false">IF(B3431="","","")</f>
        <v/>
      </c>
      <c r="I3431" s="23" t="str">
        <f aca="false">IF(B3431="","","")</f>
        <v/>
      </c>
      <c r="J3431" s="23" t="str">
        <f aca="false">IF(B3431="","","touch_3; "&amp;IFERROR(INDEX(Clay_Offices!$A$2:$FZ$601,580,Sync!$C$10)&amp;"","")&amp;"; "&amp;IFERROR(INDEX(Clay_Offices!$A$2:$FZ$601,580,Sync!$C$9)&amp;"",""))</f>
        <v/>
      </c>
      <c r="K3431" s="32" t="s">
        <v>1365</v>
      </c>
    </row>
    <row r="3432" customFormat="false" ht="15" hidden="false" customHeight="false" outlineLevel="0" collapsed="false">
      <c r="A3432" s="23" t="str">
        <f aca="false">IF(B3432="","",B3432+(14*1000+581)/10000000)</f>
        <v/>
      </c>
      <c r="B3432" s="35" t="str">
        <f aca="false">IF(AND(IFERROR(N(INDEX(Clay_Offices!$A$2:$FZ$601,581,Sync!$C$13)),0)&gt;0,IFERROR(INDEX(Clay_Offices!$A$2:$FZ$601,581,Sync!$C$5)&amp;"","")&lt;&gt;"",OR(LEFT(IFERROR(INDEX(Clay_Offices!$A$2:$FZ$601,581,Sync!$C$5)&amp;"",""),6)&lt;&gt;"SAMPLE",Config!$B$19="Y")),IFERROR(N(INDEX(Clay_Offices!$A$2:$FZ$601,581,Sync!$C$13)),0),"")</f>
        <v/>
      </c>
      <c r="C3432" s="23" t="str">
        <f aca="false">IF(B3432="","","office")</f>
        <v/>
      </c>
      <c r="D3432" s="23" t="str">
        <f aca="false">IF(B3432="","",IFERROR(INDEX(Office_Log!$ED$2:$ED$201,MATCH(IFERROR(INDEX(Clay_Offices!$A$2:$FZ$601,581,Sync!$C$5)&amp;"",""),Office_Log!$A$2:$A$201,0))&amp;"",IFERROR(INDEX(Clay_Offices!$A$2:$FZ$601,581,Sync!$C$5)&amp;"","")&amp;""))</f>
        <v/>
      </c>
      <c r="E3432" s="23" t="str">
        <f aca="false">IF(B3432="","",IFERROR(INDEX(Clay_Offices!$A$2:$FZ$601,581,Sync!$C$6)&amp;"",""))</f>
        <v/>
      </c>
      <c r="F3432" s="23" t="str">
        <f aca="false">IF(B3432="","","outreach_sent")</f>
        <v/>
      </c>
      <c r="G3432" s="23" t="str">
        <f aca="false">IF(B3432="","","")</f>
        <v/>
      </c>
      <c r="H3432" s="23" t="str">
        <f aca="false">IF(B3432="","","")</f>
        <v/>
      </c>
      <c r="I3432" s="23" t="str">
        <f aca="false">IF(B3432="","","")</f>
        <v/>
      </c>
      <c r="J3432" s="23" t="str">
        <f aca="false">IF(B3432="","","touch_3; "&amp;IFERROR(INDEX(Clay_Offices!$A$2:$FZ$601,581,Sync!$C$10)&amp;"","")&amp;"; "&amp;IFERROR(INDEX(Clay_Offices!$A$2:$FZ$601,581,Sync!$C$9)&amp;"",""))</f>
        <v/>
      </c>
      <c r="K3432" s="32" t="s">
        <v>1365</v>
      </c>
    </row>
    <row r="3433" customFormat="false" ht="15" hidden="false" customHeight="false" outlineLevel="0" collapsed="false">
      <c r="A3433" s="23" t="str">
        <f aca="false">IF(B3433="","",B3433+(14*1000+582)/10000000)</f>
        <v/>
      </c>
      <c r="B3433" s="35" t="str">
        <f aca="false">IF(AND(IFERROR(N(INDEX(Clay_Offices!$A$2:$FZ$601,582,Sync!$C$13)),0)&gt;0,IFERROR(INDEX(Clay_Offices!$A$2:$FZ$601,582,Sync!$C$5)&amp;"","")&lt;&gt;"",OR(LEFT(IFERROR(INDEX(Clay_Offices!$A$2:$FZ$601,582,Sync!$C$5)&amp;"",""),6)&lt;&gt;"SAMPLE",Config!$B$19="Y")),IFERROR(N(INDEX(Clay_Offices!$A$2:$FZ$601,582,Sync!$C$13)),0),"")</f>
        <v/>
      </c>
      <c r="C3433" s="23" t="str">
        <f aca="false">IF(B3433="","","office")</f>
        <v/>
      </c>
      <c r="D3433" s="23" t="str">
        <f aca="false">IF(B3433="","",IFERROR(INDEX(Office_Log!$ED$2:$ED$201,MATCH(IFERROR(INDEX(Clay_Offices!$A$2:$FZ$601,582,Sync!$C$5)&amp;"",""),Office_Log!$A$2:$A$201,0))&amp;"",IFERROR(INDEX(Clay_Offices!$A$2:$FZ$601,582,Sync!$C$5)&amp;"","")&amp;""))</f>
        <v/>
      </c>
      <c r="E3433" s="23" t="str">
        <f aca="false">IF(B3433="","",IFERROR(INDEX(Clay_Offices!$A$2:$FZ$601,582,Sync!$C$6)&amp;"",""))</f>
        <v/>
      </c>
      <c r="F3433" s="23" t="str">
        <f aca="false">IF(B3433="","","outreach_sent")</f>
        <v/>
      </c>
      <c r="G3433" s="23" t="str">
        <f aca="false">IF(B3433="","","")</f>
        <v/>
      </c>
      <c r="H3433" s="23" t="str">
        <f aca="false">IF(B3433="","","")</f>
        <v/>
      </c>
      <c r="I3433" s="23" t="str">
        <f aca="false">IF(B3433="","","")</f>
        <v/>
      </c>
      <c r="J3433" s="23" t="str">
        <f aca="false">IF(B3433="","","touch_3; "&amp;IFERROR(INDEX(Clay_Offices!$A$2:$FZ$601,582,Sync!$C$10)&amp;"","")&amp;"; "&amp;IFERROR(INDEX(Clay_Offices!$A$2:$FZ$601,582,Sync!$C$9)&amp;"",""))</f>
        <v/>
      </c>
      <c r="K3433" s="32" t="s">
        <v>1365</v>
      </c>
    </row>
    <row r="3434" customFormat="false" ht="15" hidden="false" customHeight="false" outlineLevel="0" collapsed="false">
      <c r="A3434" s="23" t="str">
        <f aca="false">IF(B3434="","",B3434+(14*1000+583)/10000000)</f>
        <v/>
      </c>
      <c r="B3434" s="35" t="str">
        <f aca="false">IF(AND(IFERROR(N(INDEX(Clay_Offices!$A$2:$FZ$601,583,Sync!$C$13)),0)&gt;0,IFERROR(INDEX(Clay_Offices!$A$2:$FZ$601,583,Sync!$C$5)&amp;"","")&lt;&gt;"",OR(LEFT(IFERROR(INDEX(Clay_Offices!$A$2:$FZ$601,583,Sync!$C$5)&amp;"",""),6)&lt;&gt;"SAMPLE",Config!$B$19="Y")),IFERROR(N(INDEX(Clay_Offices!$A$2:$FZ$601,583,Sync!$C$13)),0),"")</f>
        <v/>
      </c>
      <c r="C3434" s="23" t="str">
        <f aca="false">IF(B3434="","","office")</f>
        <v/>
      </c>
      <c r="D3434" s="23" t="str">
        <f aca="false">IF(B3434="","",IFERROR(INDEX(Office_Log!$ED$2:$ED$201,MATCH(IFERROR(INDEX(Clay_Offices!$A$2:$FZ$601,583,Sync!$C$5)&amp;"",""),Office_Log!$A$2:$A$201,0))&amp;"",IFERROR(INDEX(Clay_Offices!$A$2:$FZ$601,583,Sync!$C$5)&amp;"","")&amp;""))</f>
        <v/>
      </c>
      <c r="E3434" s="23" t="str">
        <f aca="false">IF(B3434="","",IFERROR(INDEX(Clay_Offices!$A$2:$FZ$601,583,Sync!$C$6)&amp;"",""))</f>
        <v/>
      </c>
      <c r="F3434" s="23" t="str">
        <f aca="false">IF(B3434="","","outreach_sent")</f>
        <v/>
      </c>
      <c r="G3434" s="23" t="str">
        <f aca="false">IF(B3434="","","")</f>
        <v/>
      </c>
      <c r="H3434" s="23" t="str">
        <f aca="false">IF(B3434="","","")</f>
        <v/>
      </c>
      <c r="I3434" s="23" t="str">
        <f aca="false">IF(B3434="","","")</f>
        <v/>
      </c>
      <c r="J3434" s="23" t="str">
        <f aca="false">IF(B3434="","","touch_3; "&amp;IFERROR(INDEX(Clay_Offices!$A$2:$FZ$601,583,Sync!$C$10)&amp;"","")&amp;"; "&amp;IFERROR(INDEX(Clay_Offices!$A$2:$FZ$601,583,Sync!$C$9)&amp;"",""))</f>
        <v/>
      </c>
      <c r="K3434" s="32" t="s">
        <v>1365</v>
      </c>
    </row>
    <row r="3435" customFormat="false" ht="15" hidden="false" customHeight="false" outlineLevel="0" collapsed="false">
      <c r="A3435" s="23" t="str">
        <f aca="false">IF(B3435="","",B3435+(14*1000+584)/10000000)</f>
        <v/>
      </c>
      <c r="B3435" s="35" t="str">
        <f aca="false">IF(AND(IFERROR(N(INDEX(Clay_Offices!$A$2:$FZ$601,584,Sync!$C$13)),0)&gt;0,IFERROR(INDEX(Clay_Offices!$A$2:$FZ$601,584,Sync!$C$5)&amp;"","")&lt;&gt;"",OR(LEFT(IFERROR(INDEX(Clay_Offices!$A$2:$FZ$601,584,Sync!$C$5)&amp;"",""),6)&lt;&gt;"SAMPLE",Config!$B$19="Y")),IFERROR(N(INDEX(Clay_Offices!$A$2:$FZ$601,584,Sync!$C$13)),0),"")</f>
        <v/>
      </c>
      <c r="C3435" s="23" t="str">
        <f aca="false">IF(B3435="","","office")</f>
        <v/>
      </c>
      <c r="D3435" s="23" t="str">
        <f aca="false">IF(B3435="","",IFERROR(INDEX(Office_Log!$ED$2:$ED$201,MATCH(IFERROR(INDEX(Clay_Offices!$A$2:$FZ$601,584,Sync!$C$5)&amp;"",""),Office_Log!$A$2:$A$201,0))&amp;"",IFERROR(INDEX(Clay_Offices!$A$2:$FZ$601,584,Sync!$C$5)&amp;"","")&amp;""))</f>
        <v/>
      </c>
      <c r="E3435" s="23" t="str">
        <f aca="false">IF(B3435="","",IFERROR(INDEX(Clay_Offices!$A$2:$FZ$601,584,Sync!$C$6)&amp;"",""))</f>
        <v/>
      </c>
      <c r="F3435" s="23" t="str">
        <f aca="false">IF(B3435="","","outreach_sent")</f>
        <v/>
      </c>
      <c r="G3435" s="23" t="str">
        <f aca="false">IF(B3435="","","")</f>
        <v/>
      </c>
      <c r="H3435" s="23" t="str">
        <f aca="false">IF(B3435="","","")</f>
        <v/>
      </c>
      <c r="I3435" s="23" t="str">
        <f aca="false">IF(B3435="","","")</f>
        <v/>
      </c>
      <c r="J3435" s="23" t="str">
        <f aca="false">IF(B3435="","","touch_3; "&amp;IFERROR(INDEX(Clay_Offices!$A$2:$FZ$601,584,Sync!$C$10)&amp;"","")&amp;"; "&amp;IFERROR(INDEX(Clay_Offices!$A$2:$FZ$601,584,Sync!$C$9)&amp;"",""))</f>
        <v/>
      </c>
      <c r="K3435" s="32" t="s">
        <v>1365</v>
      </c>
    </row>
    <row r="3436" customFormat="false" ht="15" hidden="false" customHeight="false" outlineLevel="0" collapsed="false">
      <c r="A3436" s="23" t="str">
        <f aca="false">IF(B3436="","",B3436+(14*1000+585)/10000000)</f>
        <v/>
      </c>
      <c r="B3436" s="35" t="str">
        <f aca="false">IF(AND(IFERROR(N(INDEX(Clay_Offices!$A$2:$FZ$601,585,Sync!$C$13)),0)&gt;0,IFERROR(INDEX(Clay_Offices!$A$2:$FZ$601,585,Sync!$C$5)&amp;"","")&lt;&gt;"",OR(LEFT(IFERROR(INDEX(Clay_Offices!$A$2:$FZ$601,585,Sync!$C$5)&amp;"",""),6)&lt;&gt;"SAMPLE",Config!$B$19="Y")),IFERROR(N(INDEX(Clay_Offices!$A$2:$FZ$601,585,Sync!$C$13)),0),"")</f>
        <v/>
      </c>
      <c r="C3436" s="23" t="str">
        <f aca="false">IF(B3436="","","office")</f>
        <v/>
      </c>
      <c r="D3436" s="23" t="str">
        <f aca="false">IF(B3436="","",IFERROR(INDEX(Office_Log!$ED$2:$ED$201,MATCH(IFERROR(INDEX(Clay_Offices!$A$2:$FZ$601,585,Sync!$C$5)&amp;"",""),Office_Log!$A$2:$A$201,0))&amp;"",IFERROR(INDEX(Clay_Offices!$A$2:$FZ$601,585,Sync!$C$5)&amp;"","")&amp;""))</f>
        <v/>
      </c>
      <c r="E3436" s="23" t="str">
        <f aca="false">IF(B3436="","",IFERROR(INDEX(Clay_Offices!$A$2:$FZ$601,585,Sync!$C$6)&amp;"",""))</f>
        <v/>
      </c>
      <c r="F3436" s="23" t="str">
        <f aca="false">IF(B3436="","","outreach_sent")</f>
        <v/>
      </c>
      <c r="G3436" s="23" t="str">
        <f aca="false">IF(B3436="","","")</f>
        <v/>
      </c>
      <c r="H3436" s="23" t="str">
        <f aca="false">IF(B3436="","","")</f>
        <v/>
      </c>
      <c r="I3436" s="23" t="str">
        <f aca="false">IF(B3436="","","")</f>
        <v/>
      </c>
      <c r="J3436" s="23" t="str">
        <f aca="false">IF(B3436="","","touch_3; "&amp;IFERROR(INDEX(Clay_Offices!$A$2:$FZ$601,585,Sync!$C$10)&amp;"","")&amp;"; "&amp;IFERROR(INDEX(Clay_Offices!$A$2:$FZ$601,585,Sync!$C$9)&amp;"",""))</f>
        <v/>
      </c>
      <c r="K3436" s="32" t="s">
        <v>1365</v>
      </c>
    </row>
    <row r="3437" customFormat="false" ht="15" hidden="false" customHeight="false" outlineLevel="0" collapsed="false">
      <c r="A3437" s="23" t="str">
        <f aca="false">IF(B3437="","",B3437+(14*1000+586)/10000000)</f>
        <v/>
      </c>
      <c r="B3437" s="35" t="str">
        <f aca="false">IF(AND(IFERROR(N(INDEX(Clay_Offices!$A$2:$FZ$601,586,Sync!$C$13)),0)&gt;0,IFERROR(INDEX(Clay_Offices!$A$2:$FZ$601,586,Sync!$C$5)&amp;"","")&lt;&gt;"",OR(LEFT(IFERROR(INDEX(Clay_Offices!$A$2:$FZ$601,586,Sync!$C$5)&amp;"",""),6)&lt;&gt;"SAMPLE",Config!$B$19="Y")),IFERROR(N(INDEX(Clay_Offices!$A$2:$FZ$601,586,Sync!$C$13)),0),"")</f>
        <v/>
      </c>
      <c r="C3437" s="23" t="str">
        <f aca="false">IF(B3437="","","office")</f>
        <v/>
      </c>
      <c r="D3437" s="23" t="str">
        <f aca="false">IF(B3437="","",IFERROR(INDEX(Office_Log!$ED$2:$ED$201,MATCH(IFERROR(INDEX(Clay_Offices!$A$2:$FZ$601,586,Sync!$C$5)&amp;"",""),Office_Log!$A$2:$A$201,0))&amp;"",IFERROR(INDEX(Clay_Offices!$A$2:$FZ$601,586,Sync!$C$5)&amp;"","")&amp;""))</f>
        <v/>
      </c>
      <c r="E3437" s="23" t="str">
        <f aca="false">IF(B3437="","",IFERROR(INDEX(Clay_Offices!$A$2:$FZ$601,586,Sync!$C$6)&amp;"",""))</f>
        <v/>
      </c>
      <c r="F3437" s="23" t="str">
        <f aca="false">IF(B3437="","","outreach_sent")</f>
        <v/>
      </c>
      <c r="G3437" s="23" t="str">
        <f aca="false">IF(B3437="","","")</f>
        <v/>
      </c>
      <c r="H3437" s="23" t="str">
        <f aca="false">IF(B3437="","","")</f>
        <v/>
      </c>
      <c r="I3437" s="23" t="str">
        <f aca="false">IF(B3437="","","")</f>
        <v/>
      </c>
      <c r="J3437" s="23" t="str">
        <f aca="false">IF(B3437="","","touch_3; "&amp;IFERROR(INDEX(Clay_Offices!$A$2:$FZ$601,586,Sync!$C$10)&amp;"","")&amp;"; "&amp;IFERROR(INDEX(Clay_Offices!$A$2:$FZ$601,586,Sync!$C$9)&amp;"",""))</f>
        <v/>
      </c>
      <c r="K3437" s="32" t="s">
        <v>1365</v>
      </c>
    </row>
    <row r="3438" customFormat="false" ht="15" hidden="false" customHeight="false" outlineLevel="0" collapsed="false">
      <c r="A3438" s="23" t="str">
        <f aca="false">IF(B3438="","",B3438+(14*1000+587)/10000000)</f>
        <v/>
      </c>
      <c r="B3438" s="35" t="str">
        <f aca="false">IF(AND(IFERROR(N(INDEX(Clay_Offices!$A$2:$FZ$601,587,Sync!$C$13)),0)&gt;0,IFERROR(INDEX(Clay_Offices!$A$2:$FZ$601,587,Sync!$C$5)&amp;"","")&lt;&gt;"",OR(LEFT(IFERROR(INDEX(Clay_Offices!$A$2:$FZ$601,587,Sync!$C$5)&amp;"",""),6)&lt;&gt;"SAMPLE",Config!$B$19="Y")),IFERROR(N(INDEX(Clay_Offices!$A$2:$FZ$601,587,Sync!$C$13)),0),"")</f>
        <v/>
      </c>
      <c r="C3438" s="23" t="str">
        <f aca="false">IF(B3438="","","office")</f>
        <v/>
      </c>
      <c r="D3438" s="23" t="str">
        <f aca="false">IF(B3438="","",IFERROR(INDEX(Office_Log!$ED$2:$ED$201,MATCH(IFERROR(INDEX(Clay_Offices!$A$2:$FZ$601,587,Sync!$C$5)&amp;"",""),Office_Log!$A$2:$A$201,0))&amp;"",IFERROR(INDEX(Clay_Offices!$A$2:$FZ$601,587,Sync!$C$5)&amp;"","")&amp;""))</f>
        <v/>
      </c>
      <c r="E3438" s="23" t="str">
        <f aca="false">IF(B3438="","",IFERROR(INDEX(Clay_Offices!$A$2:$FZ$601,587,Sync!$C$6)&amp;"",""))</f>
        <v/>
      </c>
      <c r="F3438" s="23" t="str">
        <f aca="false">IF(B3438="","","outreach_sent")</f>
        <v/>
      </c>
      <c r="G3438" s="23" t="str">
        <f aca="false">IF(B3438="","","")</f>
        <v/>
      </c>
      <c r="H3438" s="23" t="str">
        <f aca="false">IF(B3438="","","")</f>
        <v/>
      </c>
      <c r="I3438" s="23" t="str">
        <f aca="false">IF(B3438="","","")</f>
        <v/>
      </c>
      <c r="J3438" s="23" t="str">
        <f aca="false">IF(B3438="","","touch_3; "&amp;IFERROR(INDEX(Clay_Offices!$A$2:$FZ$601,587,Sync!$C$10)&amp;"","")&amp;"; "&amp;IFERROR(INDEX(Clay_Offices!$A$2:$FZ$601,587,Sync!$C$9)&amp;"",""))</f>
        <v/>
      </c>
      <c r="K3438" s="32" t="s">
        <v>1365</v>
      </c>
    </row>
    <row r="3439" customFormat="false" ht="15" hidden="false" customHeight="false" outlineLevel="0" collapsed="false">
      <c r="A3439" s="23" t="str">
        <f aca="false">IF(B3439="","",B3439+(14*1000+588)/10000000)</f>
        <v/>
      </c>
      <c r="B3439" s="35" t="str">
        <f aca="false">IF(AND(IFERROR(N(INDEX(Clay_Offices!$A$2:$FZ$601,588,Sync!$C$13)),0)&gt;0,IFERROR(INDEX(Clay_Offices!$A$2:$FZ$601,588,Sync!$C$5)&amp;"","")&lt;&gt;"",OR(LEFT(IFERROR(INDEX(Clay_Offices!$A$2:$FZ$601,588,Sync!$C$5)&amp;"",""),6)&lt;&gt;"SAMPLE",Config!$B$19="Y")),IFERROR(N(INDEX(Clay_Offices!$A$2:$FZ$601,588,Sync!$C$13)),0),"")</f>
        <v/>
      </c>
      <c r="C3439" s="23" t="str">
        <f aca="false">IF(B3439="","","office")</f>
        <v/>
      </c>
      <c r="D3439" s="23" t="str">
        <f aca="false">IF(B3439="","",IFERROR(INDEX(Office_Log!$ED$2:$ED$201,MATCH(IFERROR(INDEX(Clay_Offices!$A$2:$FZ$601,588,Sync!$C$5)&amp;"",""),Office_Log!$A$2:$A$201,0))&amp;"",IFERROR(INDEX(Clay_Offices!$A$2:$FZ$601,588,Sync!$C$5)&amp;"","")&amp;""))</f>
        <v/>
      </c>
      <c r="E3439" s="23" t="str">
        <f aca="false">IF(B3439="","",IFERROR(INDEX(Clay_Offices!$A$2:$FZ$601,588,Sync!$C$6)&amp;"",""))</f>
        <v/>
      </c>
      <c r="F3439" s="23" t="str">
        <f aca="false">IF(B3439="","","outreach_sent")</f>
        <v/>
      </c>
      <c r="G3439" s="23" t="str">
        <f aca="false">IF(B3439="","","")</f>
        <v/>
      </c>
      <c r="H3439" s="23" t="str">
        <f aca="false">IF(B3439="","","")</f>
        <v/>
      </c>
      <c r="I3439" s="23" t="str">
        <f aca="false">IF(B3439="","","")</f>
        <v/>
      </c>
      <c r="J3439" s="23" t="str">
        <f aca="false">IF(B3439="","","touch_3; "&amp;IFERROR(INDEX(Clay_Offices!$A$2:$FZ$601,588,Sync!$C$10)&amp;"","")&amp;"; "&amp;IFERROR(INDEX(Clay_Offices!$A$2:$FZ$601,588,Sync!$C$9)&amp;"",""))</f>
        <v/>
      </c>
      <c r="K3439" s="32" t="s">
        <v>1365</v>
      </c>
    </row>
    <row r="3440" customFormat="false" ht="15" hidden="false" customHeight="false" outlineLevel="0" collapsed="false">
      <c r="A3440" s="23" t="str">
        <f aca="false">IF(B3440="","",B3440+(14*1000+589)/10000000)</f>
        <v/>
      </c>
      <c r="B3440" s="35" t="str">
        <f aca="false">IF(AND(IFERROR(N(INDEX(Clay_Offices!$A$2:$FZ$601,589,Sync!$C$13)),0)&gt;0,IFERROR(INDEX(Clay_Offices!$A$2:$FZ$601,589,Sync!$C$5)&amp;"","")&lt;&gt;"",OR(LEFT(IFERROR(INDEX(Clay_Offices!$A$2:$FZ$601,589,Sync!$C$5)&amp;"",""),6)&lt;&gt;"SAMPLE",Config!$B$19="Y")),IFERROR(N(INDEX(Clay_Offices!$A$2:$FZ$601,589,Sync!$C$13)),0),"")</f>
        <v/>
      </c>
      <c r="C3440" s="23" t="str">
        <f aca="false">IF(B3440="","","office")</f>
        <v/>
      </c>
      <c r="D3440" s="23" t="str">
        <f aca="false">IF(B3440="","",IFERROR(INDEX(Office_Log!$ED$2:$ED$201,MATCH(IFERROR(INDEX(Clay_Offices!$A$2:$FZ$601,589,Sync!$C$5)&amp;"",""),Office_Log!$A$2:$A$201,0))&amp;"",IFERROR(INDEX(Clay_Offices!$A$2:$FZ$601,589,Sync!$C$5)&amp;"","")&amp;""))</f>
        <v/>
      </c>
      <c r="E3440" s="23" t="str">
        <f aca="false">IF(B3440="","",IFERROR(INDEX(Clay_Offices!$A$2:$FZ$601,589,Sync!$C$6)&amp;"",""))</f>
        <v/>
      </c>
      <c r="F3440" s="23" t="str">
        <f aca="false">IF(B3440="","","outreach_sent")</f>
        <v/>
      </c>
      <c r="G3440" s="23" t="str">
        <f aca="false">IF(B3440="","","")</f>
        <v/>
      </c>
      <c r="H3440" s="23" t="str">
        <f aca="false">IF(B3440="","","")</f>
        <v/>
      </c>
      <c r="I3440" s="23" t="str">
        <f aca="false">IF(B3440="","","")</f>
        <v/>
      </c>
      <c r="J3440" s="23" t="str">
        <f aca="false">IF(B3440="","","touch_3; "&amp;IFERROR(INDEX(Clay_Offices!$A$2:$FZ$601,589,Sync!$C$10)&amp;"","")&amp;"; "&amp;IFERROR(INDEX(Clay_Offices!$A$2:$FZ$601,589,Sync!$C$9)&amp;"",""))</f>
        <v/>
      </c>
      <c r="K3440" s="32" t="s">
        <v>1365</v>
      </c>
    </row>
    <row r="3441" customFormat="false" ht="15" hidden="false" customHeight="false" outlineLevel="0" collapsed="false">
      <c r="A3441" s="23" t="str">
        <f aca="false">IF(B3441="","",B3441+(14*1000+590)/10000000)</f>
        <v/>
      </c>
      <c r="B3441" s="35" t="str">
        <f aca="false">IF(AND(IFERROR(N(INDEX(Clay_Offices!$A$2:$FZ$601,590,Sync!$C$13)),0)&gt;0,IFERROR(INDEX(Clay_Offices!$A$2:$FZ$601,590,Sync!$C$5)&amp;"","")&lt;&gt;"",OR(LEFT(IFERROR(INDEX(Clay_Offices!$A$2:$FZ$601,590,Sync!$C$5)&amp;"",""),6)&lt;&gt;"SAMPLE",Config!$B$19="Y")),IFERROR(N(INDEX(Clay_Offices!$A$2:$FZ$601,590,Sync!$C$13)),0),"")</f>
        <v/>
      </c>
      <c r="C3441" s="23" t="str">
        <f aca="false">IF(B3441="","","office")</f>
        <v/>
      </c>
      <c r="D3441" s="23" t="str">
        <f aca="false">IF(B3441="","",IFERROR(INDEX(Office_Log!$ED$2:$ED$201,MATCH(IFERROR(INDEX(Clay_Offices!$A$2:$FZ$601,590,Sync!$C$5)&amp;"",""),Office_Log!$A$2:$A$201,0))&amp;"",IFERROR(INDEX(Clay_Offices!$A$2:$FZ$601,590,Sync!$C$5)&amp;"","")&amp;""))</f>
        <v/>
      </c>
      <c r="E3441" s="23" t="str">
        <f aca="false">IF(B3441="","",IFERROR(INDEX(Clay_Offices!$A$2:$FZ$601,590,Sync!$C$6)&amp;"",""))</f>
        <v/>
      </c>
      <c r="F3441" s="23" t="str">
        <f aca="false">IF(B3441="","","outreach_sent")</f>
        <v/>
      </c>
      <c r="G3441" s="23" t="str">
        <f aca="false">IF(B3441="","","")</f>
        <v/>
      </c>
      <c r="H3441" s="23" t="str">
        <f aca="false">IF(B3441="","","")</f>
        <v/>
      </c>
      <c r="I3441" s="23" t="str">
        <f aca="false">IF(B3441="","","")</f>
        <v/>
      </c>
      <c r="J3441" s="23" t="str">
        <f aca="false">IF(B3441="","","touch_3; "&amp;IFERROR(INDEX(Clay_Offices!$A$2:$FZ$601,590,Sync!$C$10)&amp;"","")&amp;"; "&amp;IFERROR(INDEX(Clay_Offices!$A$2:$FZ$601,590,Sync!$C$9)&amp;"",""))</f>
        <v/>
      </c>
      <c r="K3441" s="32" t="s">
        <v>1365</v>
      </c>
    </row>
    <row r="3442" customFormat="false" ht="15" hidden="false" customHeight="false" outlineLevel="0" collapsed="false">
      <c r="A3442" s="23" t="str">
        <f aca="false">IF(B3442="","",B3442+(14*1000+591)/10000000)</f>
        <v/>
      </c>
      <c r="B3442" s="35" t="str">
        <f aca="false">IF(AND(IFERROR(N(INDEX(Clay_Offices!$A$2:$FZ$601,591,Sync!$C$13)),0)&gt;0,IFERROR(INDEX(Clay_Offices!$A$2:$FZ$601,591,Sync!$C$5)&amp;"","")&lt;&gt;"",OR(LEFT(IFERROR(INDEX(Clay_Offices!$A$2:$FZ$601,591,Sync!$C$5)&amp;"",""),6)&lt;&gt;"SAMPLE",Config!$B$19="Y")),IFERROR(N(INDEX(Clay_Offices!$A$2:$FZ$601,591,Sync!$C$13)),0),"")</f>
        <v/>
      </c>
      <c r="C3442" s="23" t="str">
        <f aca="false">IF(B3442="","","office")</f>
        <v/>
      </c>
      <c r="D3442" s="23" t="str">
        <f aca="false">IF(B3442="","",IFERROR(INDEX(Office_Log!$ED$2:$ED$201,MATCH(IFERROR(INDEX(Clay_Offices!$A$2:$FZ$601,591,Sync!$C$5)&amp;"",""),Office_Log!$A$2:$A$201,0))&amp;"",IFERROR(INDEX(Clay_Offices!$A$2:$FZ$601,591,Sync!$C$5)&amp;"","")&amp;""))</f>
        <v/>
      </c>
      <c r="E3442" s="23" t="str">
        <f aca="false">IF(B3442="","",IFERROR(INDEX(Clay_Offices!$A$2:$FZ$601,591,Sync!$C$6)&amp;"",""))</f>
        <v/>
      </c>
      <c r="F3442" s="23" t="str">
        <f aca="false">IF(B3442="","","outreach_sent")</f>
        <v/>
      </c>
      <c r="G3442" s="23" t="str">
        <f aca="false">IF(B3442="","","")</f>
        <v/>
      </c>
      <c r="H3442" s="23" t="str">
        <f aca="false">IF(B3442="","","")</f>
        <v/>
      </c>
      <c r="I3442" s="23" t="str">
        <f aca="false">IF(B3442="","","")</f>
        <v/>
      </c>
      <c r="J3442" s="23" t="str">
        <f aca="false">IF(B3442="","","touch_3; "&amp;IFERROR(INDEX(Clay_Offices!$A$2:$FZ$601,591,Sync!$C$10)&amp;"","")&amp;"; "&amp;IFERROR(INDEX(Clay_Offices!$A$2:$FZ$601,591,Sync!$C$9)&amp;"",""))</f>
        <v/>
      </c>
      <c r="K3442" s="32" t="s">
        <v>1365</v>
      </c>
    </row>
    <row r="3443" customFormat="false" ht="15" hidden="false" customHeight="false" outlineLevel="0" collapsed="false">
      <c r="A3443" s="23" t="str">
        <f aca="false">IF(B3443="","",B3443+(14*1000+592)/10000000)</f>
        <v/>
      </c>
      <c r="B3443" s="35" t="str">
        <f aca="false">IF(AND(IFERROR(N(INDEX(Clay_Offices!$A$2:$FZ$601,592,Sync!$C$13)),0)&gt;0,IFERROR(INDEX(Clay_Offices!$A$2:$FZ$601,592,Sync!$C$5)&amp;"","")&lt;&gt;"",OR(LEFT(IFERROR(INDEX(Clay_Offices!$A$2:$FZ$601,592,Sync!$C$5)&amp;"",""),6)&lt;&gt;"SAMPLE",Config!$B$19="Y")),IFERROR(N(INDEX(Clay_Offices!$A$2:$FZ$601,592,Sync!$C$13)),0),"")</f>
        <v/>
      </c>
      <c r="C3443" s="23" t="str">
        <f aca="false">IF(B3443="","","office")</f>
        <v/>
      </c>
      <c r="D3443" s="23" t="str">
        <f aca="false">IF(B3443="","",IFERROR(INDEX(Office_Log!$ED$2:$ED$201,MATCH(IFERROR(INDEX(Clay_Offices!$A$2:$FZ$601,592,Sync!$C$5)&amp;"",""),Office_Log!$A$2:$A$201,0))&amp;"",IFERROR(INDEX(Clay_Offices!$A$2:$FZ$601,592,Sync!$C$5)&amp;"","")&amp;""))</f>
        <v/>
      </c>
      <c r="E3443" s="23" t="str">
        <f aca="false">IF(B3443="","",IFERROR(INDEX(Clay_Offices!$A$2:$FZ$601,592,Sync!$C$6)&amp;"",""))</f>
        <v/>
      </c>
      <c r="F3443" s="23" t="str">
        <f aca="false">IF(B3443="","","outreach_sent")</f>
        <v/>
      </c>
      <c r="G3443" s="23" t="str">
        <f aca="false">IF(B3443="","","")</f>
        <v/>
      </c>
      <c r="H3443" s="23" t="str">
        <f aca="false">IF(B3443="","","")</f>
        <v/>
      </c>
      <c r="I3443" s="23" t="str">
        <f aca="false">IF(B3443="","","")</f>
        <v/>
      </c>
      <c r="J3443" s="23" t="str">
        <f aca="false">IF(B3443="","","touch_3; "&amp;IFERROR(INDEX(Clay_Offices!$A$2:$FZ$601,592,Sync!$C$10)&amp;"","")&amp;"; "&amp;IFERROR(INDEX(Clay_Offices!$A$2:$FZ$601,592,Sync!$C$9)&amp;"",""))</f>
        <v/>
      </c>
      <c r="K3443" s="32" t="s">
        <v>1365</v>
      </c>
    </row>
    <row r="3444" customFormat="false" ht="15" hidden="false" customHeight="false" outlineLevel="0" collapsed="false">
      <c r="A3444" s="23" t="str">
        <f aca="false">IF(B3444="","",B3444+(14*1000+593)/10000000)</f>
        <v/>
      </c>
      <c r="B3444" s="35" t="str">
        <f aca="false">IF(AND(IFERROR(N(INDEX(Clay_Offices!$A$2:$FZ$601,593,Sync!$C$13)),0)&gt;0,IFERROR(INDEX(Clay_Offices!$A$2:$FZ$601,593,Sync!$C$5)&amp;"","")&lt;&gt;"",OR(LEFT(IFERROR(INDEX(Clay_Offices!$A$2:$FZ$601,593,Sync!$C$5)&amp;"",""),6)&lt;&gt;"SAMPLE",Config!$B$19="Y")),IFERROR(N(INDEX(Clay_Offices!$A$2:$FZ$601,593,Sync!$C$13)),0),"")</f>
        <v/>
      </c>
      <c r="C3444" s="23" t="str">
        <f aca="false">IF(B3444="","","office")</f>
        <v/>
      </c>
      <c r="D3444" s="23" t="str">
        <f aca="false">IF(B3444="","",IFERROR(INDEX(Office_Log!$ED$2:$ED$201,MATCH(IFERROR(INDEX(Clay_Offices!$A$2:$FZ$601,593,Sync!$C$5)&amp;"",""),Office_Log!$A$2:$A$201,0))&amp;"",IFERROR(INDEX(Clay_Offices!$A$2:$FZ$601,593,Sync!$C$5)&amp;"","")&amp;""))</f>
        <v/>
      </c>
      <c r="E3444" s="23" t="str">
        <f aca="false">IF(B3444="","",IFERROR(INDEX(Clay_Offices!$A$2:$FZ$601,593,Sync!$C$6)&amp;"",""))</f>
        <v/>
      </c>
      <c r="F3444" s="23" t="str">
        <f aca="false">IF(B3444="","","outreach_sent")</f>
        <v/>
      </c>
      <c r="G3444" s="23" t="str">
        <f aca="false">IF(B3444="","","")</f>
        <v/>
      </c>
      <c r="H3444" s="23" t="str">
        <f aca="false">IF(B3444="","","")</f>
        <v/>
      </c>
      <c r="I3444" s="23" t="str">
        <f aca="false">IF(B3444="","","")</f>
        <v/>
      </c>
      <c r="J3444" s="23" t="str">
        <f aca="false">IF(B3444="","","touch_3; "&amp;IFERROR(INDEX(Clay_Offices!$A$2:$FZ$601,593,Sync!$C$10)&amp;"","")&amp;"; "&amp;IFERROR(INDEX(Clay_Offices!$A$2:$FZ$601,593,Sync!$C$9)&amp;"",""))</f>
        <v/>
      </c>
      <c r="K3444" s="32" t="s">
        <v>1365</v>
      </c>
    </row>
    <row r="3445" customFormat="false" ht="15" hidden="false" customHeight="false" outlineLevel="0" collapsed="false">
      <c r="A3445" s="23" t="str">
        <f aca="false">IF(B3445="","",B3445+(14*1000+594)/10000000)</f>
        <v/>
      </c>
      <c r="B3445" s="35" t="str">
        <f aca="false">IF(AND(IFERROR(N(INDEX(Clay_Offices!$A$2:$FZ$601,594,Sync!$C$13)),0)&gt;0,IFERROR(INDEX(Clay_Offices!$A$2:$FZ$601,594,Sync!$C$5)&amp;"","")&lt;&gt;"",OR(LEFT(IFERROR(INDEX(Clay_Offices!$A$2:$FZ$601,594,Sync!$C$5)&amp;"",""),6)&lt;&gt;"SAMPLE",Config!$B$19="Y")),IFERROR(N(INDEX(Clay_Offices!$A$2:$FZ$601,594,Sync!$C$13)),0),"")</f>
        <v/>
      </c>
      <c r="C3445" s="23" t="str">
        <f aca="false">IF(B3445="","","office")</f>
        <v/>
      </c>
      <c r="D3445" s="23" t="str">
        <f aca="false">IF(B3445="","",IFERROR(INDEX(Office_Log!$ED$2:$ED$201,MATCH(IFERROR(INDEX(Clay_Offices!$A$2:$FZ$601,594,Sync!$C$5)&amp;"",""),Office_Log!$A$2:$A$201,0))&amp;"",IFERROR(INDEX(Clay_Offices!$A$2:$FZ$601,594,Sync!$C$5)&amp;"","")&amp;""))</f>
        <v/>
      </c>
      <c r="E3445" s="23" t="str">
        <f aca="false">IF(B3445="","",IFERROR(INDEX(Clay_Offices!$A$2:$FZ$601,594,Sync!$C$6)&amp;"",""))</f>
        <v/>
      </c>
      <c r="F3445" s="23" t="str">
        <f aca="false">IF(B3445="","","outreach_sent")</f>
        <v/>
      </c>
      <c r="G3445" s="23" t="str">
        <f aca="false">IF(B3445="","","")</f>
        <v/>
      </c>
      <c r="H3445" s="23" t="str">
        <f aca="false">IF(B3445="","","")</f>
        <v/>
      </c>
      <c r="I3445" s="23" t="str">
        <f aca="false">IF(B3445="","","")</f>
        <v/>
      </c>
      <c r="J3445" s="23" t="str">
        <f aca="false">IF(B3445="","","touch_3; "&amp;IFERROR(INDEX(Clay_Offices!$A$2:$FZ$601,594,Sync!$C$10)&amp;"","")&amp;"; "&amp;IFERROR(INDEX(Clay_Offices!$A$2:$FZ$601,594,Sync!$C$9)&amp;"",""))</f>
        <v/>
      </c>
      <c r="K3445" s="32" t="s">
        <v>1365</v>
      </c>
    </row>
    <row r="3446" customFormat="false" ht="15" hidden="false" customHeight="false" outlineLevel="0" collapsed="false">
      <c r="A3446" s="23" t="str">
        <f aca="false">IF(B3446="","",B3446+(14*1000+595)/10000000)</f>
        <v/>
      </c>
      <c r="B3446" s="35" t="str">
        <f aca="false">IF(AND(IFERROR(N(INDEX(Clay_Offices!$A$2:$FZ$601,595,Sync!$C$13)),0)&gt;0,IFERROR(INDEX(Clay_Offices!$A$2:$FZ$601,595,Sync!$C$5)&amp;"","")&lt;&gt;"",OR(LEFT(IFERROR(INDEX(Clay_Offices!$A$2:$FZ$601,595,Sync!$C$5)&amp;"",""),6)&lt;&gt;"SAMPLE",Config!$B$19="Y")),IFERROR(N(INDEX(Clay_Offices!$A$2:$FZ$601,595,Sync!$C$13)),0),"")</f>
        <v/>
      </c>
      <c r="C3446" s="23" t="str">
        <f aca="false">IF(B3446="","","office")</f>
        <v/>
      </c>
      <c r="D3446" s="23" t="str">
        <f aca="false">IF(B3446="","",IFERROR(INDEX(Office_Log!$ED$2:$ED$201,MATCH(IFERROR(INDEX(Clay_Offices!$A$2:$FZ$601,595,Sync!$C$5)&amp;"",""),Office_Log!$A$2:$A$201,0))&amp;"",IFERROR(INDEX(Clay_Offices!$A$2:$FZ$601,595,Sync!$C$5)&amp;"","")&amp;""))</f>
        <v/>
      </c>
      <c r="E3446" s="23" t="str">
        <f aca="false">IF(B3446="","",IFERROR(INDEX(Clay_Offices!$A$2:$FZ$601,595,Sync!$C$6)&amp;"",""))</f>
        <v/>
      </c>
      <c r="F3446" s="23" t="str">
        <f aca="false">IF(B3446="","","outreach_sent")</f>
        <v/>
      </c>
      <c r="G3446" s="23" t="str">
        <f aca="false">IF(B3446="","","")</f>
        <v/>
      </c>
      <c r="H3446" s="23" t="str">
        <f aca="false">IF(B3446="","","")</f>
        <v/>
      </c>
      <c r="I3446" s="23" t="str">
        <f aca="false">IF(B3446="","","")</f>
        <v/>
      </c>
      <c r="J3446" s="23" t="str">
        <f aca="false">IF(B3446="","","touch_3; "&amp;IFERROR(INDEX(Clay_Offices!$A$2:$FZ$601,595,Sync!$C$10)&amp;"","")&amp;"; "&amp;IFERROR(INDEX(Clay_Offices!$A$2:$FZ$601,595,Sync!$C$9)&amp;"",""))</f>
        <v/>
      </c>
      <c r="K3446" s="32" t="s">
        <v>1365</v>
      </c>
    </row>
    <row r="3447" customFormat="false" ht="15" hidden="false" customHeight="false" outlineLevel="0" collapsed="false">
      <c r="A3447" s="23" t="str">
        <f aca="false">IF(B3447="","",B3447+(14*1000+596)/10000000)</f>
        <v/>
      </c>
      <c r="B3447" s="35" t="str">
        <f aca="false">IF(AND(IFERROR(N(INDEX(Clay_Offices!$A$2:$FZ$601,596,Sync!$C$13)),0)&gt;0,IFERROR(INDEX(Clay_Offices!$A$2:$FZ$601,596,Sync!$C$5)&amp;"","")&lt;&gt;"",OR(LEFT(IFERROR(INDEX(Clay_Offices!$A$2:$FZ$601,596,Sync!$C$5)&amp;"",""),6)&lt;&gt;"SAMPLE",Config!$B$19="Y")),IFERROR(N(INDEX(Clay_Offices!$A$2:$FZ$601,596,Sync!$C$13)),0),"")</f>
        <v/>
      </c>
      <c r="C3447" s="23" t="str">
        <f aca="false">IF(B3447="","","office")</f>
        <v/>
      </c>
      <c r="D3447" s="23" t="str">
        <f aca="false">IF(B3447="","",IFERROR(INDEX(Office_Log!$ED$2:$ED$201,MATCH(IFERROR(INDEX(Clay_Offices!$A$2:$FZ$601,596,Sync!$C$5)&amp;"",""),Office_Log!$A$2:$A$201,0))&amp;"",IFERROR(INDEX(Clay_Offices!$A$2:$FZ$601,596,Sync!$C$5)&amp;"","")&amp;""))</f>
        <v/>
      </c>
      <c r="E3447" s="23" t="str">
        <f aca="false">IF(B3447="","",IFERROR(INDEX(Clay_Offices!$A$2:$FZ$601,596,Sync!$C$6)&amp;"",""))</f>
        <v/>
      </c>
      <c r="F3447" s="23" t="str">
        <f aca="false">IF(B3447="","","outreach_sent")</f>
        <v/>
      </c>
      <c r="G3447" s="23" t="str">
        <f aca="false">IF(B3447="","","")</f>
        <v/>
      </c>
      <c r="H3447" s="23" t="str">
        <f aca="false">IF(B3447="","","")</f>
        <v/>
      </c>
      <c r="I3447" s="23" t="str">
        <f aca="false">IF(B3447="","","")</f>
        <v/>
      </c>
      <c r="J3447" s="23" t="str">
        <f aca="false">IF(B3447="","","touch_3; "&amp;IFERROR(INDEX(Clay_Offices!$A$2:$FZ$601,596,Sync!$C$10)&amp;"","")&amp;"; "&amp;IFERROR(INDEX(Clay_Offices!$A$2:$FZ$601,596,Sync!$C$9)&amp;"",""))</f>
        <v/>
      </c>
      <c r="K3447" s="32" t="s">
        <v>1365</v>
      </c>
    </row>
    <row r="3448" customFormat="false" ht="15" hidden="false" customHeight="false" outlineLevel="0" collapsed="false">
      <c r="A3448" s="23" t="str">
        <f aca="false">IF(B3448="","",B3448+(14*1000+597)/10000000)</f>
        <v/>
      </c>
      <c r="B3448" s="35" t="str">
        <f aca="false">IF(AND(IFERROR(N(INDEX(Clay_Offices!$A$2:$FZ$601,597,Sync!$C$13)),0)&gt;0,IFERROR(INDEX(Clay_Offices!$A$2:$FZ$601,597,Sync!$C$5)&amp;"","")&lt;&gt;"",OR(LEFT(IFERROR(INDEX(Clay_Offices!$A$2:$FZ$601,597,Sync!$C$5)&amp;"",""),6)&lt;&gt;"SAMPLE",Config!$B$19="Y")),IFERROR(N(INDEX(Clay_Offices!$A$2:$FZ$601,597,Sync!$C$13)),0),"")</f>
        <v/>
      </c>
      <c r="C3448" s="23" t="str">
        <f aca="false">IF(B3448="","","office")</f>
        <v/>
      </c>
      <c r="D3448" s="23" t="str">
        <f aca="false">IF(B3448="","",IFERROR(INDEX(Office_Log!$ED$2:$ED$201,MATCH(IFERROR(INDEX(Clay_Offices!$A$2:$FZ$601,597,Sync!$C$5)&amp;"",""),Office_Log!$A$2:$A$201,0))&amp;"",IFERROR(INDEX(Clay_Offices!$A$2:$FZ$601,597,Sync!$C$5)&amp;"","")&amp;""))</f>
        <v/>
      </c>
      <c r="E3448" s="23" t="str">
        <f aca="false">IF(B3448="","",IFERROR(INDEX(Clay_Offices!$A$2:$FZ$601,597,Sync!$C$6)&amp;"",""))</f>
        <v/>
      </c>
      <c r="F3448" s="23" t="str">
        <f aca="false">IF(B3448="","","outreach_sent")</f>
        <v/>
      </c>
      <c r="G3448" s="23" t="str">
        <f aca="false">IF(B3448="","","")</f>
        <v/>
      </c>
      <c r="H3448" s="23" t="str">
        <f aca="false">IF(B3448="","","")</f>
        <v/>
      </c>
      <c r="I3448" s="23" t="str">
        <f aca="false">IF(B3448="","","")</f>
        <v/>
      </c>
      <c r="J3448" s="23" t="str">
        <f aca="false">IF(B3448="","","touch_3; "&amp;IFERROR(INDEX(Clay_Offices!$A$2:$FZ$601,597,Sync!$C$10)&amp;"","")&amp;"; "&amp;IFERROR(INDEX(Clay_Offices!$A$2:$FZ$601,597,Sync!$C$9)&amp;"",""))</f>
        <v/>
      </c>
      <c r="K3448" s="32" t="s">
        <v>1365</v>
      </c>
    </row>
    <row r="3449" customFormat="false" ht="15" hidden="false" customHeight="false" outlineLevel="0" collapsed="false">
      <c r="A3449" s="23" t="str">
        <f aca="false">IF(B3449="","",B3449+(14*1000+598)/10000000)</f>
        <v/>
      </c>
      <c r="B3449" s="35" t="str">
        <f aca="false">IF(AND(IFERROR(N(INDEX(Clay_Offices!$A$2:$FZ$601,598,Sync!$C$13)),0)&gt;0,IFERROR(INDEX(Clay_Offices!$A$2:$FZ$601,598,Sync!$C$5)&amp;"","")&lt;&gt;"",OR(LEFT(IFERROR(INDEX(Clay_Offices!$A$2:$FZ$601,598,Sync!$C$5)&amp;"",""),6)&lt;&gt;"SAMPLE",Config!$B$19="Y")),IFERROR(N(INDEX(Clay_Offices!$A$2:$FZ$601,598,Sync!$C$13)),0),"")</f>
        <v/>
      </c>
      <c r="C3449" s="23" t="str">
        <f aca="false">IF(B3449="","","office")</f>
        <v/>
      </c>
      <c r="D3449" s="23" t="str">
        <f aca="false">IF(B3449="","",IFERROR(INDEX(Office_Log!$ED$2:$ED$201,MATCH(IFERROR(INDEX(Clay_Offices!$A$2:$FZ$601,598,Sync!$C$5)&amp;"",""),Office_Log!$A$2:$A$201,0))&amp;"",IFERROR(INDEX(Clay_Offices!$A$2:$FZ$601,598,Sync!$C$5)&amp;"","")&amp;""))</f>
        <v/>
      </c>
      <c r="E3449" s="23" t="str">
        <f aca="false">IF(B3449="","",IFERROR(INDEX(Clay_Offices!$A$2:$FZ$601,598,Sync!$C$6)&amp;"",""))</f>
        <v/>
      </c>
      <c r="F3449" s="23" t="str">
        <f aca="false">IF(B3449="","","outreach_sent")</f>
        <v/>
      </c>
      <c r="G3449" s="23" t="str">
        <f aca="false">IF(B3449="","","")</f>
        <v/>
      </c>
      <c r="H3449" s="23" t="str">
        <f aca="false">IF(B3449="","","")</f>
        <v/>
      </c>
      <c r="I3449" s="23" t="str">
        <f aca="false">IF(B3449="","","")</f>
        <v/>
      </c>
      <c r="J3449" s="23" t="str">
        <f aca="false">IF(B3449="","","touch_3; "&amp;IFERROR(INDEX(Clay_Offices!$A$2:$FZ$601,598,Sync!$C$10)&amp;"","")&amp;"; "&amp;IFERROR(INDEX(Clay_Offices!$A$2:$FZ$601,598,Sync!$C$9)&amp;"",""))</f>
        <v/>
      </c>
      <c r="K3449" s="32" t="s">
        <v>1365</v>
      </c>
    </row>
    <row r="3450" customFormat="false" ht="15" hidden="false" customHeight="false" outlineLevel="0" collapsed="false">
      <c r="A3450" s="23" t="str">
        <f aca="false">IF(B3450="","",B3450+(14*1000+599)/10000000)</f>
        <v/>
      </c>
      <c r="B3450" s="35" t="str">
        <f aca="false">IF(AND(IFERROR(N(INDEX(Clay_Offices!$A$2:$FZ$601,599,Sync!$C$13)),0)&gt;0,IFERROR(INDEX(Clay_Offices!$A$2:$FZ$601,599,Sync!$C$5)&amp;"","")&lt;&gt;"",OR(LEFT(IFERROR(INDEX(Clay_Offices!$A$2:$FZ$601,599,Sync!$C$5)&amp;"",""),6)&lt;&gt;"SAMPLE",Config!$B$19="Y")),IFERROR(N(INDEX(Clay_Offices!$A$2:$FZ$601,599,Sync!$C$13)),0),"")</f>
        <v/>
      </c>
      <c r="C3450" s="23" t="str">
        <f aca="false">IF(B3450="","","office")</f>
        <v/>
      </c>
      <c r="D3450" s="23" t="str">
        <f aca="false">IF(B3450="","",IFERROR(INDEX(Office_Log!$ED$2:$ED$201,MATCH(IFERROR(INDEX(Clay_Offices!$A$2:$FZ$601,599,Sync!$C$5)&amp;"",""),Office_Log!$A$2:$A$201,0))&amp;"",IFERROR(INDEX(Clay_Offices!$A$2:$FZ$601,599,Sync!$C$5)&amp;"","")&amp;""))</f>
        <v/>
      </c>
      <c r="E3450" s="23" t="str">
        <f aca="false">IF(B3450="","",IFERROR(INDEX(Clay_Offices!$A$2:$FZ$601,599,Sync!$C$6)&amp;"",""))</f>
        <v/>
      </c>
      <c r="F3450" s="23" t="str">
        <f aca="false">IF(B3450="","","outreach_sent")</f>
        <v/>
      </c>
      <c r="G3450" s="23" t="str">
        <f aca="false">IF(B3450="","","")</f>
        <v/>
      </c>
      <c r="H3450" s="23" t="str">
        <f aca="false">IF(B3450="","","")</f>
        <v/>
      </c>
      <c r="I3450" s="23" t="str">
        <f aca="false">IF(B3450="","","")</f>
        <v/>
      </c>
      <c r="J3450" s="23" t="str">
        <f aca="false">IF(B3450="","","touch_3; "&amp;IFERROR(INDEX(Clay_Offices!$A$2:$FZ$601,599,Sync!$C$10)&amp;"","")&amp;"; "&amp;IFERROR(INDEX(Clay_Offices!$A$2:$FZ$601,599,Sync!$C$9)&amp;"",""))</f>
        <v/>
      </c>
      <c r="K3450" s="32" t="s">
        <v>1365</v>
      </c>
    </row>
    <row r="3451" customFormat="false" ht="15" hidden="false" customHeight="false" outlineLevel="0" collapsed="false">
      <c r="A3451" s="23" t="str">
        <f aca="false">IF(B3451="","",B3451+(14*1000+600)/10000000)</f>
        <v/>
      </c>
      <c r="B3451" s="35" t="str">
        <f aca="false">IF(AND(IFERROR(N(INDEX(Clay_Offices!$A$2:$FZ$601,600,Sync!$C$13)),0)&gt;0,IFERROR(INDEX(Clay_Offices!$A$2:$FZ$601,600,Sync!$C$5)&amp;"","")&lt;&gt;"",OR(LEFT(IFERROR(INDEX(Clay_Offices!$A$2:$FZ$601,600,Sync!$C$5)&amp;"",""),6)&lt;&gt;"SAMPLE",Config!$B$19="Y")),IFERROR(N(INDEX(Clay_Offices!$A$2:$FZ$601,600,Sync!$C$13)),0),"")</f>
        <v/>
      </c>
      <c r="C3451" s="23" t="str">
        <f aca="false">IF(B3451="","","office")</f>
        <v/>
      </c>
      <c r="D3451" s="23" t="str">
        <f aca="false">IF(B3451="","",IFERROR(INDEX(Office_Log!$ED$2:$ED$201,MATCH(IFERROR(INDEX(Clay_Offices!$A$2:$FZ$601,600,Sync!$C$5)&amp;"",""),Office_Log!$A$2:$A$201,0))&amp;"",IFERROR(INDEX(Clay_Offices!$A$2:$FZ$601,600,Sync!$C$5)&amp;"","")&amp;""))</f>
        <v/>
      </c>
      <c r="E3451" s="23" t="str">
        <f aca="false">IF(B3451="","",IFERROR(INDEX(Clay_Offices!$A$2:$FZ$601,600,Sync!$C$6)&amp;"",""))</f>
        <v/>
      </c>
      <c r="F3451" s="23" t="str">
        <f aca="false">IF(B3451="","","outreach_sent")</f>
        <v/>
      </c>
      <c r="G3451" s="23" t="str">
        <f aca="false">IF(B3451="","","")</f>
        <v/>
      </c>
      <c r="H3451" s="23" t="str">
        <f aca="false">IF(B3451="","","")</f>
        <v/>
      </c>
      <c r="I3451" s="23" t="str">
        <f aca="false">IF(B3451="","","")</f>
        <v/>
      </c>
      <c r="J3451" s="23" t="str">
        <f aca="false">IF(B3451="","","touch_3; "&amp;IFERROR(INDEX(Clay_Offices!$A$2:$FZ$601,600,Sync!$C$10)&amp;"","")&amp;"; "&amp;IFERROR(INDEX(Clay_Offices!$A$2:$FZ$601,600,Sync!$C$9)&amp;"",""))</f>
        <v/>
      </c>
      <c r="K3451" s="32" t="s">
        <v>1365</v>
      </c>
    </row>
    <row r="3452" customFormat="false" ht="15" hidden="false" customHeight="false" outlineLevel="0" collapsed="false">
      <c r="A3452" s="42" t="n">
        <f aca="false">IF(B3452="","",B3452+(15*1000+1)/10000000)</f>
        <v>46321.0015001</v>
      </c>
      <c r="B3452" s="35" t="n">
        <f aca="false">IF(AND(IFERROR(N(INDEX(Clay_Brands!$A$2:$FZ$601,1,Sync!$D$11)),0)&gt;0,IFERROR(INDEX(Clay_Brands!$A$2:$FZ$601,1,Sync!$D$5)&amp;"","")&lt;&gt;"",OR(LEFT(IFERROR(INDEX(Clay_Brands!$A$2:$FZ$601,1,Sync!$D$5)&amp;"",""),6)&lt;&gt;"SAMPLE",Config!$B$19="Y")),IFERROR(N(INDEX(Clay_Brands!$A$2:$FZ$601,1,Sync!$D$11)),0),"")</f>
        <v>46321</v>
      </c>
      <c r="C3452" s="23" t="str">
        <f aca="false">IF(B3452="","","brand")</f>
        <v>brand</v>
      </c>
      <c r="D3452" s="23" t="str">
        <f aca="false">IF(B3452="","",IFERROR(INDEX(Brand_Log!$DV$2:$DV$201,MATCH(IFERROR(INDEX(Clay_Brands!$A$2:$FZ$601,1,Sync!$D$5)&amp;"",""),Brand_Log!$A$2:$A$201,0))&amp;"",IFERROR(INDEX(Clay_Brands!$A$2:$FZ$601,1,Sync!$D$5)&amp;"","")&amp;""))</f>
        <v>SAMPLE-B-001</v>
      </c>
      <c r="E3452" s="23" t="str">
        <f aca="false">IF(B3452="","",IFERROR(INDEX(Clay_Brands!$A$2:$FZ$601,1,Sync!$D$6)&amp;"",""))</f>
        <v>SAMPLE Brand 01</v>
      </c>
      <c r="F3452" s="23" t="str">
        <f aca="false">IF(B3452="","","outreach_sent")</f>
        <v>outreach_sent</v>
      </c>
      <c r="G3452" s="23" t="str">
        <f aca="false">IF(B3452="","","")</f>
        <v/>
      </c>
      <c r="H3452" s="23" t="str">
        <f aca="false">IF(B3452="","","")</f>
        <v/>
      </c>
      <c r="I3452" s="23" t="str">
        <f aca="false">IF(B3452="","","")</f>
        <v/>
      </c>
      <c r="J3452" s="23" t="str">
        <f aca="false">IF(B3452="","","touch_1; "&amp;IFERROR(INDEX(Clay_Brands!$A$2:$FZ$601,1,Sync!$D$10)&amp;"","")&amp;"; "&amp;IFERROR(INDEX(Clay_Brands!$A$2:$FZ$601,1,Sync!$D$9)&amp;"",""))</f>
        <v>touch_1; brand-discovery-A; warm-intro</v>
      </c>
      <c r="K3452" s="32" t="s">
        <v>1366</v>
      </c>
    </row>
    <row r="3453" customFormat="false" ht="15" hidden="false" customHeight="false" outlineLevel="0" collapsed="false">
      <c r="A3453" s="42" t="n">
        <f aca="false">IF(B3453="","",B3453+(15*1000+2)/10000000)</f>
        <v>46321.0015002</v>
      </c>
      <c r="B3453" s="35" t="n">
        <f aca="false">IF(AND(IFERROR(N(INDEX(Clay_Brands!$A$2:$FZ$601,2,Sync!$D$11)),0)&gt;0,IFERROR(INDEX(Clay_Brands!$A$2:$FZ$601,2,Sync!$D$5)&amp;"","")&lt;&gt;"",OR(LEFT(IFERROR(INDEX(Clay_Brands!$A$2:$FZ$601,2,Sync!$D$5)&amp;"",""),6)&lt;&gt;"SAMPLE",Config!$B$19="Y")),IFERROR(N(INDEX(Clay_Brands!$A$2:$FZ$601,2,Sync!$D$11)),0),"")</f>
        <v>46321</v>
      </c>
      <c r="C3453" s="23" t="str">
        <f aca="false">IF(B3453="","","brand")</f>
        <v>brand</v>
      </c>
      <c r="D3453" s="23" t="str">
        <f aca="false">IF(B3453="","",IFERROR(INDEX(Brand_Log!$DV$2:$DV$201,MATCH(IFERROR(INDEX(Clay_Brands!$A$2:$FZ$601,2,Sync!$D$5)&amp;"",""),Brand_Log!$A$2:$A$201,0))&amp;"",IFERROR(INDEX(Clay_Brands!$A$2:$FZ$601,2,Sync!$D$5)&amp;"","")&amp;""))</f>
        <v>SAMPLE-B-002</v>
      </c>
      <c r="E3453" s="23" t="str">
        <f aca="false">IF(B3453="","",IFERROR(INDEX(Clay_Brands!$A$2:$FZ$601,2,Sync!$D$6)&amp;"",""))</f>
        <v>SAMPLE Brand 02</v>
      </c>
      <c r="F3453" s="23" t="str">
        <f aca="false">IF(B3453="","","outreach_sent")</f>
        <v>outreach_sent</v>
      </c>
      <c r="G3453" s="23" t="str">
        <f aca="false">IF(B3453="","","")</f>
        <v/>
      </c>
      <c r="H3453" s="23" t="str">
        <f aca="false">IF(B3453="","","")</f>
        <v/>
      </c>
      <c r="I3453" s="23" t="str">
        <f aca="false">IF(B3453="","","")</f>
        <v/>
      </c>
      <c r="J3453" s="23" t="str">
        <f aca="false">IF(B3453="","","touch_1; "&amp;IFERROR(INDEX(Clay_Brands!$A$2:$FZ$601,2,Sync!$D$10)&amp;"","")&amp;"; "&amp;IFERROR(INDEX(Clay_Brands!$A$2:$FZ$601,2,Sync!$D$9)&amp;"",""))</f>
        <v>touch_1; brand-discovery-B; warm-intro</v>
      </c>
      <c r="K3453" s="32" t="s">
        <v>1366</v>
      </c>
    </row>
    <row r="3454" customFormat="false" ht="15" hidden="false" customHeight="false" outlineLevel="0" collapsed="false">
      <c r="A3454" s="42" t="n">
        <f aca="false">IF(B3454="","",B3454+(15*1000+3)/10000000)</f>
        <v>46321.0015003</v>
      </c>
      <c r="B3454" s="35" t="n">
        <f aca="false">IF(AND(IFERROR(N(INDEX(Clay_Brands!$A$2:$FZ$601,3,Sync!$D$11)),0)&gt;0,IFERROR(INDEX(Clay_Brands!$A$2:$FZ$601,3,Sync!$D$5)&amp;"","")&lt;&gt;"",OR(LEFT(IFERROR(INDEX(Clay_Brands!$A$2:$FZ$601,3,Sync!$D$5)&amp;"",""),6)&lt;&gt;"SAMPLE",Config!$B$19="Y")),IFERROR(N(INDEX(Clay_Brands!$A$2:$FZ$601,3,Sync!$D$11)),0),"")</f>
        <v>46321</v>
      </c>
      <c r="C3454" s="23" t="str">
        <f aca="false">IF(B3454="","","brand")</f>
        <v>brand</v>
      </c>
      <c r="D3454" s="23" t="str">
        <f aca="false">IF(B3454="","",IFERROR(INDEX(Brand_Log!$DV$2:$DV$201,MATCH(IFERROR(INDEX(Clay_Brands!$A$2:$FZ$601,3,Sync!$D$5)&amp;"",""),Brand_Log!$A$2:$A$201,0))&amp;"",IFERROR(INDEX(Clay_Brands!$A$2:$FZ$601,3,Sync!$D$5)&amp;"","")&amp;""))</f>
        <v>SAMPLE-B-003</v>
      </c>
      <c r="E3454" s="23" t="str">
        <f aca="false">IF(B3454="","",IFERROR(INDEX(Clay_Brands!$A$2:$FZ$601,3,Sync!$D$6)&amp;"",""))</f>
        <v>SAMPLE Brand 03</v>
      </c>
      <c r="F3454" s="23" t="str">
        <f aca="false">IF(B3454="","","outreach_sent")</f>
        <v>outreach_sent</v>
      </c>
      <c r="G3454" s="23" t="str">
        <f aca="false">IF(B3454="","","")</f>
        <v/>
      </c>
      <c r="H3454" s="23" t="str">
        <f aca="false">IF(B3454="","","")</f>
        <v/>
      </c>
      <c r="I3454" s="23" t="str">
        <f aca="false">IF(B3454="","","")</f>
        <v/>
      </c>
      <c r="J3454" s="23" t="str">
        <f aca="false">IF(B3454="","","touch_1; "&amp;IFERROR(INDEX(Clay_Brands!$A$2:$FZ$601,3,Sync!$D$10)&amp;"","")&amp;"; "&amp;IFERROR(INDEX(Clay_Brands!$A$2:$FZ$601,3,Sync!$D$9)&amp;"",""))</f>
        <v>touch_1; brand-discovery-A; linkedin</v>
      </c>
      <c r="K3454" s="32" t="s">
        <v>1366</v>
      </c>
    </row>
    <row r="3455" customFormat="false" ht="15" hidden="false" customHeight="false" outlineLevel="0" collapsed="false">
      <c r="A3455" s="42" t="n">
        <f aca="false">IF(B3455="","",B3455+(15*1000+4)/10000000)</f>
        <v>46322.0015004</v>
      </c>
      <c r="B3455" s="35" t="n">
        <f aca="false">IF(AND(IFERROR(N(INDEX(Clay_Brands!$A$2:$FZ$601,4,Sync!$D$11)),0)&gt;0,IFERROR(INDEX(Clay_Brands!$A$2:$FZ$601,4,Sync!$D$5)&amp;"","")&lt;&gt;"",OR(LEFT(IFERROR(INDEX(Clay_Brands!$A$2:$FZ$601,4,Sync!$D$5)&amp;"",""),6)&lt;&gt;"SAMPLE",Config!$B$19="Y")),IFERROR(N(INDEX(Clay_Brands!$A$2:$FZ$601,4,Sync!$D$11)),0),"")</f>
        <v>46322</v>
      </c>
      <c r="C3455" s="23" t="str">
        <f aca="false">IF(B3455="","","brand")</f>
        <v>brand</v>
      </c>
      <c r="D3455" s="23" t="str">
        <f aca="false">IF(B3455="","",IFERROR(INDEX(Brand_Log!$DV$2:$DV$201,MATCH(IFERROR(INDEX(Clay_Brands!$A$2:$FZ$601,4,Sync!$D$5)&amp;"",""),Brand_Log!$A$2:$A$201,0))&amp;"",IFERROR(INDEX(Clay_Brands!$A$2:$FZ$601,4,Sync!$D$5)&amp;"","")&amp;""))</f>
        <v>SAMPLE-B-004</v>
      </c>
      <c r="E3455" s="23" t="str">
        <f aca="false">IF(B3455="","",IFERROR(INDEX(Clay_Brands!$A$2:$FZ$601,4,Sync!$D$6)&amp;"",""))</f>
        <v>SAMPLE Brand 04</v>
      </c>
      <c r="F3455" s="23" t="str">
        <f aca="false">IF(B3455="","","outreach_sent")</f>
        <v>outreach_sent</v>
      </c>
      <c r="G3455" s="23" t="str">
        <f aca="false">IF(B3455="","","")</f>
        <v/>
      </c>
      <c r="H3455" s="23" t="str">
        <f aca="false">IF(B3455="","","")</f>
        <v/>
      </c>
      <c r="I3455" s="23" t="str">
        <f aca="false">IF(B3455="","","")</f>
        <v/>
      </c>
      <c r="J3455" s="23" t="str">
        <f aca="false">IF(B3455="","","touch_1; "&amp;IFERROR(INDEX(Clay_Brands!$A$2:$FZ$601,4,Sync!$D$10)&amp;"","")&amp;"; "&amp;IFERROR(INDEX(Clay_Brands!$A$2:$FZ$601,4,Sync!$D$9)&amp;"",""))</f>
        <v>touch_1; brand-discovery-B; warm-intro</v>
      </c>
      <c r="K3455" s="32" t="s">
        <v>1366</v>
      </c>
    </row>
    <row r="3456" customFormat="false" ht="15" hidden="false" customHeight="false" outlineLevel="0" collapsed="false">
      <c r="A3456" s="42" t="n">
        <f aca="false">IF(B3456="","",B3456+(15*1000+5)/10000000)</f>
        <v>46323.0015005</v>
      </c>
      <c r="B3456" s="35" t="n">
        <f aca="false">IF(AND(IFERROR(N(INDEX(Clay_Brands!$A$2:$FZ$601,5,Sync!$D$11)),0)&gt;0,IFERROR(INDEX(Clay_Brands!$A$2:$FZ$601,5,Sync!$D$5)&amp;"","")&lt;&gt;"",OR(LEFT(IFERROR(INDEX(Clay_Brands!$A$2:$FZ$601,5,Sync!$D$5)&amp;"",""),6)&lt;&gt;"SAMPLE",Config!$B$19="Y")),IFERROR(N(INDEX(Clay_Brands!$A$2:$FZ$601,5,Sync!$D$11)),0),"")</f>
        <v>46323</v>
      </c>
      <c r="C3456" s="23" t="str">
        <f aca="false">IF(B3456="","","brand")</f>
        <v>brand</v>
      </c>
      <c r="D3456" s="23" t="str">
        <f aca="false">IF(B3456="","",IFERROR(INDEX(Brand_Log!$DV$2:$DV$201,MATCH(IFERROR(INDEX(Clay_Brands!$A$2:$FZ$601,5,Sync!$D$5)&amp;"",""),Brand_Log!$A$2:$A$201,0))&amp;"",IFERROR(INDEX(Clay_Brands!$A$2:$FZ$601,5,Sync!$D$5)&amp;"","")&amp;""))</f>
        <v>SAMPLE-B-005</v>
      </c>
      <c r="E3456" s="23" t="str">
        <f aca="false">IF(B3456="","",IFERROR(INDEX(Clay_Brands!$A$2:$FZ$601,5,Sync!$D$6)&amp;"",""))</f>
        <v>SAMPLE Brand 05</v>
      </c>
      <c r="F3456" s="23" t="str">
        <f aca="false">IF(B3456="","","outreach_sent")</f>
        <v>outreach_sent</v>
      </c>
      <c r="G3456" s="23" t="str">
        <f aca="false">IF(B3456="","","")</f>
        <v/>
      </c>
      <c r="H3456" s="23" t="str">
        <f aca="false">IF(B3456="","","")</f>
        <v/>
      </c>
      <c r="I3456" s="23" t="str">
        <f aca="false">IF(B3456="","","")</f>
        <v/>
      </c>
      <c r="J3456" s="23" t="str">
        <f aca="false">IF(B3456="","","touch_1; "&amp;IFERROR(INDEX(Clay_Brands!$A$2:$FZ$601,5,Sync!$D$10)&amp;"","")&amp;"; "&amp;IFERROR(INDEX(Clay_Brands!$A$2:$FZ$601,5,Sync!$D$9)&amp;"",""))</f>
        <v>touch_1; brand-discovery-A; warm-intro</v>
      </c>
      <c r="K3456" s="32" t="s">
        <v>1366</v>
      </c>
    </row>
    <row r="3457" customFormat="false" ht="15" hidden="false" customHeight="false" outlineLevel="0" collapsed="false">
      <c r="A3457" s="42" t="n">
        <f aca="false">IF(B3457="","",B3457+(15*1000+6)/10000000)</f>
        <v>46324.0015006</v>
      </c>
      <c r="B3457" s="35" t="n">
        <f aca="false">IF(AND(IFERROR(N(INDEX(Clay_Brands!$A$2:$FZ$601,6,Sync!$D$11)),0)&gt;0,IFERROR(INDEX(Clay_Brands!$A$2:$FZ$601,6,Sync!$D$5)&amp;"","")&lt;&gt;"",OR(LEFT(IFERROR(INDEX(Clay_Brands!$A$2:$FZ$601,6,Sync!$D$5)&amp;"",""),6)&lt;&gt;"SAMPLE",Config!$B$19="Y")),IFERROR(N(INDEX(Clay_Brands!$A$2:$FZ$601,6,Sync!$D$11)),0),"")</f>
        <v>46324</v>
      </c>
      <c r="C3457" s="23" t="str">
        <f aca="false">IF(B3457="","","brand")</f>
        <v>brand</v>
      </c>
      <c r="D3457" s="23" t="str">
        <f aca="false">IF(B3457="","",IFERROR(INDEX(Brand_Log!$DV$2:$DV$201,MATCH(IFERROR(INDEX(Clay_Brands!$A$2:$FZ$601,6,Sync!$D$5)&amp;"",""),Brand_Log!$A$2:$A$201,0))&amp;"",IFERROR(INDEX(Clay_Brands!$A$2:$FZ$601,6,Sync!$D$5)&amp;"","")&amp;""))</f>
        <v>SAMPLE-B-006</v>
      </c>
      <c r="E3457" s="23" t="str">
        <f aca="false">IF(B3457="","",IFERROR(INDEX(Clay_Brands!$A$2:$FZ$601,6,Sync!$D$6)&amp;"",""))</f>
        <v>SAMPLE Brand 06</v>
      </c>
      <c r="F3457" s="23" t="str">
        <f aca="false">IF(B3457="","","outreach_sent")</f>
        <v>outreach_sent</v>
      </c>
      <c r="G3457" s="23" t="str">
        <f aca="false">IF(B3457="","","")</f>
        <v/>
      </c>
      <c r="H3457" s="23" t="str">
        <f aca="false">IF(B3457="","","")</f>
        <v/>
      </c>
      <c r="I3457" s="23" t="str">
        <f aca="false">IF(B3457="","","")</f>
        <v/>
      </c>
      <c r="J3457" s="23" t="str">
        <f aca="false">IF(B3457="","","touch_1; "&amp;IFERROR(INDEX(Clay_Brands!$A$2:$FZ$601,6,Sync!$D$10)&amp;"","")&amp;"; "&amp;IFERROR(INDEX(Clay_Brands!$A$2:$FZ$601,6,Sync!$D$9)&amp;"",""))</f>
        <v>touch_1; brand-discovery-B; linkedin</v>
      </c>
      <c r="K3457" s="32" t="s">
        <v>1366</v>
      </c>
    </row>
    <row r="3458" customFormat="false" ht="15" hidden="false" customHeight="false" outlineLevel="0" collapsed="false">
      <c r="A3458" s="42" t="n">
        <f aca="false">IF(B3458="","",B3458+(15*1000+7)/10000000)</f>
        <v>46325.0015007</v>
      </c>
      <c r="B3458" s="35" t="n">
        <f aca="false">IF(AND(IFERROR(N(INDEX(Clay_Brands!$A$2:$FZ$601,7,Sync!$D$11)),0)&gt;0,IFERROR(INDEX(Clay_Brands!$A$2:$FZ$601,7,Sync!$D$5)&amp;"","")&lt;&gt;"",OR(LEFT(IFERROR(INDEX(Clay_Brands!$A$2:$FZ$601,7,Sync!$D$5)&amp;"",""),6)&lt;&gt;"SAMPLE",Config!$B$19="Y")),IFERROR(N(INDEX(Clay_Brands!$A$2:$FZ$601,7,Sync!$D$11)),0),"")</f>
        <v>46325</v>
      </c>
      <c r="C3458" s="23" t="str">
        <f aca="false">IF(B3458="","","brand")</f>
        <v>brand</v>
      </c>
      <c r="D3458" s="23" t="str">
        <f aca="false">IF(B3458="","",IFERROR(INDEX(Brand_Log!$DV$2:$DV$201,MATCH(IFERROR(INDEX(Clay_Brands!$A$2:$FZ$601,7,Sync!$D$5)&amp;"",""),Brand_Log!$A$2:$A$201,0))&amp;"",IFERROR(INDEX(Clay_Brands!$A$2:$FZ$601,7,Sync!$D$5)&amp;"","")&amp;""))</f>
        <v>SAMPLE-B-007</v>
      </c>
      <c r="E3458" s="23" t="str">
        <f aca="false">IF(B3458="","",IFERROR(INDEX(Clay_Brands!$A$2:$FZ$601,7,Sync!$D$6)&amp;"",""))</f>
        <v>SAMPLE Brand 07</v>
      </c>
      <c r="F3458" s="23" t="str">
        <f aca="false">IF(B3458="","","outreach_sent")</f>
        <v>outreach_sent</v>
      </c>
      <c r="G3458" s="23" t="str">
        <f aca="false">IF(B3458="","","")</f>
        <v/>
      </c>
      <c r="H3458" s="23" t="str">
        <f aca="false">IF(B3458="","","")</f>
        <v/>
      </c>
      <c r="I3458" s="23" t="str">
        <f aca="false">IF(B3458="","","")</f>
        <v/>
      </c>
      <c r="J3458" s="23" t="str">
        <f aca="false">IF(B3458="","","touch_1; "&amp;IFERROR(INDEX(Clay_Brands!$A$2:$FZ$601,7,Sync!$D$10)&amp;"","")&amp;"; "&amp;IFERROR(INDEX(Clay_Brands!$A$2:$FZ$601,7,Sync!$D$9)&amp;"",""))</f>
        <v>touch_1; brand-discovery-A; warm-intro</v>
      </c>
      <c r="K3458" s="32" t="s">
        <v>1366</v>
      </c>
    </row>
    <row r="3459" customFormat="false" ht="15" hidden="false" customHeight="false" outlineLevel="0" collapsed="false">
      <c r="A3459" s="42" t="n">
        <f aca="false">IF(B3459="","",B3459+(15*1000+8)/10000000)</f>
        <v>46329.0015008</v>
      </c>
      <c r="B3459" s="35" t="n">
        <f aca="false">IF(AND(IFERROR(N(INDEX(Clay_Brands!$A$2:$FZ$601,8,Sync!$D$11)),0)&gt;0,IFERROR(INDEX(Clay_Brands!$A$2:$FZ$601,8,Sync!$D$5)&amp;"","")&lt;&gt;"",OR(LEFT(IFERROR(INDEX(Clay_Brands!$A$2:$FZ$601,8,Sync!$D$5)&amp;"",""),6)&lt;&gt;"SAMPLE",Config!$B$19="Y")),IFERROR(N(INDEX(Clay_Brands!$A$2:$FZ$601,8,Sync!$D$11)),0),"")</f>
        <v>46329</v>
      </c>
      <c r="C3459" s="23" t="str">
        <f aca="false">IF(B3459="","","brand")</f>
        <v>brand</v>
      </c>
      <c r="D3459" s="23" t="str">
        <f aca="false">IF(B3459="","",IFERROR(INDEX(Brand_Log!$DV$2:$DV$201,MATCH(IFERROR(INDEX(Clay_Brands!$A$2:$FZ$601,8,Sync!$D$5)&amp;"",""),Brand_Log!$A$2:$A$201,0))&amp;"",IFERROR(INDEX(Clay_Brands!$A$2:$FZ$601,8,Sync!$D$5)&amp;"","")&amp;""))</f>
        <v>SAMPLE-B-008</v>
      </c>
      <c r="E3459" s="23" t="str">
        <f aca="false">IF(B3459="","",IFERROR(INDEX(Clay_Brands!$A$2:$FZ$601,8,Sync!$D$6)&amp;"",""))</f>
        <v>SAMPLE Brand 08</v>
      </c>
      <c r="F3459" s="23" t="str">
        <f aca="false">IF(B3459="","","outreach_sent")</f>
        <v>outreach_sent</v>
      </c>
      <c r="G3459" s="23" t="str">
        <f aca="false">IF(B3459="","","")</f>
        <v/>
      </c>
      <c r="H3459" s="23" t="str">
        <f aca="false">IF(B3459="","","")</f>
        <v/>
      </c>
      <c r="I3459" s="23" t="str">
        <f aca="false">IF(B3459="","","")</f>
        <v/>
      </c>
      <c r="J3459" s="23" t="str">
        <f aca="false">IF(B3459="","","touch_1; "&amp;IFERROR(INDEX(Clay_Brands!$A$2:$FZ$601,8,Sync!$D$10)&amp;"","")&amp;"; "&amp;IFERROR(INDEX(Clay_Brands!$A$2:$FZ$601,8,Sync!$D$9)&amp;"",""))</f>
        <v>touch_1; brand-discovery-B; warm-intro</v>
      </c>
      <c r="K3459" s="32" t="s">
        <v>1366</v>
      </c>
    </row>
    <row r="3460" customFormat="false" ht="15" hidden="false" customHeight="false" outlineLevel="0" collapsed="false">
      <c r="A3460" s="42" t="n">
        <f aca="false">IF(B3460="","",B3460+(15*1000+9)/10000000)</f>
        <v>46330.0015009</v>
      </c>
      <c r="B3460" s="35" t="n">
        <f aca="false">IF(AND(IFERROR(N(INDEX(Clay_Brands!$A$2:$FZ$601,9,Sync!$D$11)),0)&gt;0,IFERROR(INDEX(Clay_Brands!$A$2:$FZ$601,9,Sync!$D$5)&amp;"","")&lt;&gt;"",OR(LEFT(IFERROR(INDEX(Clay_Brands!$A$2:$FZ$601,9,Sync!$D$5)&amp;"",""),6)&lt;&gt;"SAMPLE",Config!$B$19="Y")),IFERROR(N(INDEX(Clay_Brands!$A$2:$FZ$601,9,Sync!$D$11)),0),"")</f>
        <v>46330</v>
      </c>
      <c r="C3460" s="23" t="str">
        <f aca="false">IF(B3460="","","brand")</f>
        <v>brand</v>
      </c>
      <c r="D3460" s="23" t="str">
        <f aca="false">IF(B3460="","",IFERROR(INDEX(Brand_Log!$DV$2:$DV$201,MATCH(IFERROR(INDEX(Clay_Brands!$A$2:$FZ$601,9,Sync!$D$5)&amp;"",""),Brand_Log!$A$2:$A$201,0))&amp;"",IFERROR(INDEX(Clay_Brands!$A$2:$FZ$601,9,Sync!$D$5)&amp;"","")&amp;""))</f>
        <v>SAMPLE-B-009</v>
      </c>
      <c r="E3460" s="23" t="str">
        <f aca="false">IF(B3460="","",IFERROR(INDEX(Clay_Brands!$A$2:$FZ$601,9,Sync!$D$6)&amp;"",""))</f>
        <v>SAMPLE Brand 09</v>
      </c>
      <c r="F3460" s="23" t="str">
        <f aca="false">IF(B3460="","","outreach_sent")</f>
        <v>outreach_sent</v>
      </c>
      <c r="G3460" s="23" t="str">
        <f aca="false">IF(B3460="","","")</f>
        <v/>
      </c>
      <c r="H3460" s="23" t="str">
        <f aca="false">IF(B3460="","","")</f>
        <v/>
      </c>
      <c r="I3460" s="23" t="str">
        <f aca="false">IF(B3460="","","")</f>
        <v/>
      </c>
      <c r="J3460" s="23" t="str">
        <f aca="false">IF(B3460="","","touch_1; "&amp;IFERROR(INDEX(Clay_Brands!$A$2:$FZ$601,9,Sync!$D$10)&amp;"","")&amp;"; "&amp;IFERROR(INDEX(Clay_Brands!$A$2:$FZ$601,9,Sync!$D$9)&amp;"",""))</f>
        <v>touch_1; brand-discovery-A; linkedin</v>
      </c>
      <c r="K3460" s="32" t="s">
        <v>1366</v>
      </c>
    </row>
    <row r="3461" customFormat="false" ht="15" hidden="false" customHeight="false" outlineLevel="0" collapsed="false">
      <c r="A3461" s="42" t="n">
        <f aca="false">IF(B3461="","",B3461+(15*1000+10)/10000000)</f>
        <v>46331.001501</v>
      </c>
      <c r="B3461" s="35" t="n">
        <f aca="false">IF(AND(IFERROR(N(INDEX(Clay_Brands!$A$2:$FZ$601,10,Sync!$D$11)),0)&gt;0,IFERROR(INDEX(Clay_Brands!$A$2:$FZ$601,10,Sync!$D$5)&amp;"","")&lt;&gt;"",OR(LEFT(IFERROR(INDEX(Clay_Brands!$A$2:$FZ$601,10,Sync!$D$5)&amp;"",""),6)&lt;&gt;"SAMPLE",Config!$B$19="Y")),IFERROR(N(INDEX(Clay_Brands!$A$2:$FZ$601,10,Sync!$D$11)),0),"")</f>
        <v>46331</v>
      </c>
      <c r="C3461" s="23" t="str">
        <f aca="false">IF(B3461="","","brand")</f>
        <v>brand</v>
      </c>
      <c r="D3461" s="23" t="str">
        <f aca="false">IF(B3461="","",IFERROR(INDEX(Brand_Log!$DV$2:$DV$201,MATCH(IFERROR(INDEX(Clay_Brands!$A$2:$FZ$601,10,Sync!$D$5)&amp;"",""),Brand_Log!$A$2:$A$201,0))&amp;"",IFERROR(INDEX(Clay_Brands!$A$2:$FZ$601,10,Sync!$D$5)&amp;"","")&amp;""))</f>
        <v>SAMPLE-B-010</v>
      </c>
      <c r="E3461" s="23" t="str">
        <f aca="false">IF(B3461="","",IFERROR(INDEX(Clay_Brands!$A$2:$FZ$601,10,Sync!$D$6)&amp;"",""))</f>
        <v>SAMPLE Brand 10</v>
      </c>
      <c r="F3461" s="23" t="str">
        <f aca="false">IF(B3461="","","outreach_sent")</f>
        <v>outreach_sent</v>
      </c>
      <c r="G3461" s="23" t="str">
        <f aca="false">IF(B3461="","","")</f>
        <v/>
      </c>
      <c r="H3461" s="23" t="str">
        <f aca="false">IF(B3461="","","")</f>
        <v/>
      </c>
      <c r="I3461" s="23" t="str">
        <f aca="false">IF(B3461="","","")</f>
        <v/>
      </c>
      <c r="J3461" s="23" t="str">
        <f aca="false">IF(B3461="","","touch_1; "&amp;IFERROR(INDEX(Clay_Brands!$A$2:$FZ$601,10,Sync!$D$10)&amp;"","")&amp;"; "&amp;IFERROR(INDEX(Clay_Brands!$A$2:$FZ$601,10,Sync!$D$9)&amp;"",""))</f>
        <v>touch_1; brand-discovery-B; warm-intro</v>
      </c>
      <c r="K3461" s="32" t="s">
        <v>1366</v>
      </c>
    </row>
    <row r="3462" customFormat="false" ht="15" hidden="false" customHeight="false" outlineLevel="0" collapsed="false">
      <c r="A3462" s="42" t="n">
        <f aca="false">IF(B3462="","",B3462+(15*1000+11)/10000000)</f>
        <v>46331.0015011</v>
      </c>
      <c r="B3462" s="35" t="n">
        <f aca="false">IF(AND(IFERROR(N(INDEX(Clay_Brands!$A$2:$FZ$601,11,Sync!$D$11)),0)&gt;0,IFERROR(INDEX(Clay_Brands!$A$2:$FZ$601,11,Sync!$D$5)&amp;"","")&lt;&gt;"",OR(LEFT(IFERROR(INDEX(Clay_Brands!$A$2:$FZ$601,11,Sync!$D$5)&amp;"",""),6)&lt;&gt;"SAMPLE",Config!$B$19="Y")),IFERROR(N(INDEX(Clay_Brands!$A$2:$FZ$601,11,Sync!$D$11)),0),"")</f>
        <v>46331</v>
      </c>
      <c r="C3462" s="23" t="str">
        <f aca="false">IF(B3462="","","brand")</f>
        <v>brand</v>
      </c>
      <c r="D3462" s="23" t="str">
        <f aca="false">IF(B3462="","",IFERROR(INDEX(Brand_Log!$DV$2:$DV$201,MATCH(IFERROR(INDEX(Clay_Brands!$A$2:$FZ$601,11,Sync!$D$5)&amp;"",""),Brand_Log!$A$2:$A$201,0))&amp;"",IFERROR(INDEX(Clay_Brands!$A$2:$FZ$601,11,Sync!$D$5)&amp;"","")&amp;""))</f>
        <v>SAMPLE-B-011</v>
      </c>
      <c r="E3462" s="23" t="str">
        <f aca="false">IF(B3462="","",IFERROR(INDEX(Clay_Brands!$A$2:$FZ$601,11,Sync!$D$6)&amp;"",""))</f>
        <v>SAMPLE Brand 11</v>
      </c>
      <c r="F3462" s="23" t="str">
        <f aca="false">IF(B3462="","","outreach_sent")</f>
        <v>outreach_sent</v>
      </c>
      <c r="G3462" s="23" t="str">
        <f aca="false">IF(B3462="","","")</f>
        <v/>
      </c>
      <c r="H3462" s="23" t="str">
        <f aca="false">IF(B3462="","","")</f>
        <v/>
      </c>
      <c r="I3462" s="23" t="str">
        <f aca="false">IF(B3462="","","")</f>
        <v/>
      </c>
      <c r="J3462" s="23" t="str">
        <f aca="false">IF(B3462="","","touch_1; "&amp;IFERROR(INDEX(Clay_Brands!$A$2:$FZ$601,11,Sync!$D$10)&amp;"","")&amp;"; "&amp;IFERROR(INDEX(Clay_Brands!$A$2:$FZ$601,11,Sync!$D$9)&amp;"",""))</f>
        <v>touch_1; brand-discovery-A; warm-intro</v>
      </c>
      <c r="K3462" s="32" t="s">
        <v>1366</v>
      </c>
    </row>
    <row r="3463" customFormat="false" ht="15" hidden="false" customHeight="false" outlineLevel="0" collapsed="false">
      <c r="A3463" s="42" t="n">
        <f aca="false">IF(B3463="","",B3463+(15*1000+12)/10000000)</f>
        <v>46332.0015012</v>
      </c>
      <c r="B3463" s="35" t="n">
        <f aca="false">IF(AND(IFERROR(N(INDEX(Clay_Brands!$A$2:$FZ$601,12,Sync!$D$11)),0)&gt;0,IFERROR(INDEX(Clay_Brands!$A$2:$FZ$601,12,Sync!$D$5)&amp;"","")&lt;&gt;"",OR(LEFT(IFERROR(INDEX(Clay_Brands!$A$2:$FZ$601,12,Sync!$D$5)&amp;"",""),6)&lt;&gt;"SAMPLE",Config!$B$19="Y")),IFERROR(N(INDEX(Clay_Brands!$A$2:$FZ$601,12,Sync!$D$11)),0),"")</f>
        <v>46332</v>
      </c>
      <c r="C3463" s="23" t="str">
        <f aca="false">IF(B3463="","","brand")</f>
        <v>brand</v>
      </c>
      <c r="D3463" s="23" t="str">
        <f aca="false">IF(B3463="","",IFERROR(INDEX(Brand_Log!$DV$2:$DV$201,MATCH(IFERROR(INDEX(Clay_Brands!$A$2:$FZ$601,12,Sync!$D$5)&amp;"",""),Brand_Log!$A$2:$A$201,0))&amp;"",IFERROR(INDEX(Clay_Brands!$A$2:$FZ$601,12,Sync!$D$5)&amp;"","")&amp;""))</f>
        <v>SAMPLE-B-012</v>
      </c>
      <c r="E3463" s="23" t="str">
        <f aca="false">IF(B3463="","",IFERROR(INDEX(Clay_Brands!$A$2:$FZ$601,12,Sync!$D$6)&amp;"",""))</f>
        <v>SAMPLE Brand 12</v>
      </c>
      <c r="F3463" s="23" t="str">
        <f aca="false">IF(B3463="","","outreach_sent")</f>
        <v>outreach_sent</v>
      </c>
      <c r="G3463" s="23" t="str">
        <f aca="false">IF(B3463="","","")</f>
        <v/>
      </c>
      <c r="H3463" s="23" t="str">
        <f aca="false">IF(B3463="","","")</f>
        <v/>
      </c>
      <c r="I3463" s="23" t="str">
        <f aca="false">IF(B3463="","","")</f>
        <v/>
      </c>
      <c r="J3463" s="23" t="str">
        <f aca="false">IF(B3463="","","touch_1; "&amp;IFERROR(INDEX(Clay_Brands!$A$2:$FZ$601,12,Sync!$D$10)&amp;"","")&amp;"; "&amp;IFERROR(INDEX(Clay_Brands!$A$2:$FZ$601,12,Sync!$D$9)&amp;"",""))</f>
        <v>touch_1; brand-discovery-B; linkedin</v>
      </c>
      <c r="K3463" s="32" t="s">
        <v>1366</v>
      </c>
    </row>
    <row r="3464" customFormat="false" ht="15" hidden="false" customHeight="false" outlineLevel="0" collapsed="false">
      <c r="A3464" s="42" t="n">
        <f aca="false">IF(B3464="","",B3464+(15*1000+13)/10000000)</f>
        <v>46332.0015013</v>
      </c>
      <c r="B3464" s="35" t="n">
        <f aca="false">IF(AND(IFERROR(N(INDEX(Clay_Brands!$A$2:$FZ$601,13,Sync!$D$11)),0)&gt;0,IFERROR(INDEX(Clay_Brands!$A$2:$FZ$601,13,Sync!$D$5)&amp;"","")&lt;&gt;"",OR(LEFT(IFERROR(INDEX(Clay_Brands!$A$2:$FZ$601,13,Sync!$D$5)&amp;"",""),6)&lt;&gt;"SAMPLE",Config!$B$19="Y")),IFERROR(N(INDEX(Clay_Brands!$A$2:$FZ$601,13,Sync!$D$11)),0),"")</f>
        <v>46332</v>
      </c>
      <c r="C3464" s="23" t="str">
        <f aca="false">IF(B3464="","","brand")</f>
        <v>brand</v>
      </c>
      <c r="D3464" s="23" t="str">
        <f aca="false">IF(B3464="","",IFERROR(INDEX(Brand_Log!$DV$2:$DV$201,MATCH(IFERROR(INDEX(Clay_Brands!$A$2:$FZ$601,13,Sync!$D$5)&amp;"",""),Brand_Log!$A$2:$A$201,0))&amp;"",IFERROR(INDEX(Clay_Brands!$A$2:$FZ$601,13,Sync!$D$5)&amp;"","")&amp;""))</f>
        <v>SAMPLE-B-013</v>
      </c>
      <c r="E3464" s="23" t="str">
        <f aca="false">IF(B3464="","",IFERROR(INDEX(Clay_Brands!$A$2:$FZ$601,13,Sync!$D$6)&amp;"",""))</f>
        <v>SAMPLE Brand 13</v>
      </c>
      <c r="F3464" s="23" t="str">
        <f aca="false">IF(B3464="","","outreach_sent")</f>
        <v>outreach_sent</v>
      </c>
      <c r="G3464" s="23" t="str">
        <f aca="false">IF(B3464="","","")</f>
        <v/>
      </c>
      <c r="H3464" s="23" t="str">
        <f aca="false">IF(B3464="","","")</f>
        <v/>
      </c>
      <c r="I3464" s="23" t="str">
        <f aca="false">IF(B3464="","","")</f>
        <v/>
      </c>
      <c r="J3464" s="23" t="str">
        <f aca="false">IF(B3464="","","touch_1; "&amp;IFERROR(INDEX(Clay_Brands!$A$2:$FZ$601,13,Sync!$D$10)&amp;"","")&amp;"; "&amp;IFERROR(INDEX(Clay_Brands!$A$2:$FZ$601,13,Sync!$D$9)&amp;"",""))</f>
        <v>touch_1; brand-discovery-A; warm-intro</v>
      </c>
      <c r="K3464" s="32" t="s">
        <v>1366</v>
      </c>
    </row>
    <row r="3465" customFormat="false" ht="15" hidden="false" customHeight="false" outlineLevel="0" collapsed="false">
      <c r="A3465" s="42" t="n">
        <f aca="false">IF(B3465="","",B3465+(15*1000+14)/10000000)</f>
        <v>46336.0015014</v>
      </c>
      <c r="B3465" s="35" t="n">
        <f aca="false">IF(AND(IFERROR(N(INDEX(Clay_Brands!$A$2:$FZ$601,14,Sync!$D$11)),0)&gt;0,IFERROR(INDEX(Clay_Brands!$A$2:$FZ$601,14,Sync!$D$5)&amp;"","")&lt;&gt;"",OR(LEFT(IFERROR(INDEX(Clay_Brands!$A$2:$FZ$601,14,Sync!$D$5)&amp;"",""),6)&lt;&gt;"SAMPLE",Config!$B$19="Y")),IFERROR(N(INDEX(Clay_Brands!$A$2:$FZ$601,14,Sync!$D$11)),0),"")</f>
        <v>46336</v>
      </c>
      <c r="C3465" s="23" t="str">
        <f aca="false">IF(B3465="","","brand")</f>
        <v>brand</v>
      </c>
      <c r="D3465" s="23" t="str">
        <f aca="false">IF(B3465="","",IFERROR(INDEX(Brand_Log!$DV$2:$DV$201,MATCH(IFERROR(INDEX(Clay_Brands!$A$2:$FZ$601,14,Sync!$D$5)&amp;"",""),Brand_Log!$A$2:$A$201,0))&amp;"",IFERROR(INDEX(Clay_Brands!$A$2:$FZ$601,14,Sync!$D$5)&amp;"","")&amp;""))</f>
        <v>SAMPLE-B-014</v>
      </c>
      <c r="E3465" s="23" t="str">
        <f aca="false">IF(B3465="","",IFERROR(INDEX(Clay_Brands!$A$2:$FZ$601,14,Sync!$D$6)&amp;"",""))</f>
        <v>SAMPLE Brand 14</v>
      </c>
      <c r="F3465" s="23" t="str">
        <f aca="false">IF(B3465="","","outreach_sent")</f>
        <v>outreach_sent</v>
      </c>
      <c r="G3465" s="23" t="str">
        <f aca="false">IF(B3465="","","")</f>
        <v/>
      </c>
      <c r="H3465" s="23" t="str">
        <f aca="false">IF(B3465="","","")</f>
        <v/>
      </c>
      <c r="I3465" s="23" t="str">
        <f aca="false">IF(B3465="","","")</f>
        <v/>
      </c>
      <c r="J3465" s="23" t="str">
        <f aca="false">IF(B3465="","","touch_1; "&amp;IFERROR(INDEX(Clay_Brands!$A$2:$FZ$601,14,Sync!$D$10)&amp;"","")&amp;"; "&amp;IFERROR(INDEX(Clay_Brands!$A$2:$FZ$601,14,Sync!$D$9)&amp;"",""))</f>
        <v>touch_1; brand-discovery-B; email</v>
      </c>
      <c r="K3465" s="32" t="s">
        <v>1366</v>
      </c>
    </row>
    <row r="3466" customFormat="false" ht="15" hidden="false" customHeight="false" outlineLevel="0" collapsed="false">
      <c r="A3466" s="42" t="n">
        <f aca="false">IF(B3466="","",B3466+(15*1000+15)/10000000)</f>
        <v>46338.0015015</v>
      </c>
      <c r="B3466" s="35" t="n">
        <f aca="false">IF(AND(IFERROR(N(INDEX(Clay_Brands!$A$2:$FZ$601,15,Sync!$D$11)),0)&gt;0,IFERROR(INDEX(Clay_Brands!$A$2:$FZ$601,15,Sync!$D$5)&amp;"","")&lt;&gt;"",OR(LEFT(IFERROR(INDEX(Clay_Brands!$A$2:$FZ$601,15,Sync!$D$5)&amp;"",""),6)&lt;&gt;"SAMPLE",Config!$B$19="Y")),IFERROR(N(INDEX(Clay_Brands!$A$2:$FZ$601,15,Sync!$D$11)),0),"")</f>
        <v>46338</v>
      </c>
      <c r="C3466" s="23" t="str">
        <f aca="false">IF(B3466="","","brand")</f>
        <v>brand</v>
      </c>
      <c r="D3466" s="23" t="str">
        <f aca="false">IF(B3466="","",IFERROR(INDEX(Brand_Log!$DV$2:$DV$201,MATCH(IFERROR(INDEX(Clay_Brands!$A$2:$FZ$601,15,Sync!$D$5)&amp;"",""),Brand_Log!$A$2:$A$201,0))&amp;"",IFERROR(INDEX(Clay_Brands!$A$2:$FZ$601,15,Sync!$D$5)&amp;"","")&amp;""))</f>
        <v>SAMPLE-B-015</v>
      </c>
      <c r="E3466" s="23" t="str">
        <f aca="false">IF(B3466="","",IFERROR(INDEX(Clay_Brands!$A$2:$FZ$601,15,Sync!$D$6)&amp;"",""))</f>
        <v>SAMPLE Brand 15</v>
      </c>
      <c r="F3466" s="23" t="str">
        <f aca="false">IF(B3466="","","outreach_sent")</f>
        <v>outreach_sent</v>
      </c>
      <c r="G3466" s="23" t="str">
        <f aca="false">IF(B3466="","","")</f>
        <v/>
      </c>
      <c r="H3466" s="23" t="str">
        <f aca="false">IF(B3466="","","")</f>
        <v/>
      </c>
      <c r="I3466" s="23" t="str">
        <f aca="false">IF(B3466="","","")</f>
        <v/>
      </c>
      <c r="J3466" s="23" t="str">
        <f aca="false">IF(B3466="","","touch_1; "&amp;IFERROR(INDEX(Clay_Brands!$A$2:$FZ$601,15,Sync!$D$10)&amp;"","")&amp;"; "&amp;IFERROR(INDEX(Clay_Brands!$A$2:$FZ$601,15,Sync!$D$9)&amp;"",""))</f>
        <v>touch_1; brand-discovery-A; linkedin</v>
      </c>
      <c r="K3466" s="32" t="s">
        <v>1366</v>
      </c>
    </row>
    <row r="3467" customFormat="false" ht="15" hidden="false" customHeight="false" outlineLevel="0" collapsed="false">
      <c r="A3467" s="42" t="n">
        <f aca="false">IF(B3467="","",B3467+(15*1000+16)/10000000)</f>
        <v>46335.0015016</v>
      </c>
      <c r="B3467" s="35" t="n">
        <f aca="false">IF(AND(IFERROR(N(INDEX(Clay_Brands!$A$2:$FZ$601,16,Sync!$D$11)),0)&gt;0,IFERROR(INDEX(Clay_Brands!$A$2:$FZ$601,16,Sync!$D$5)&amp;"","")&lt;&gt;"",OR(LEFT(IFERROR(INDEX(Clay_Brands!$A$2:$FZ$601,16,Sync!$D$5)&amp;"",""),6)&lt;&gt;"SAMPLE",Config!$B$19="Y")),IFERROR(N(INDEX(Clay_Brands!$A$2:$FZ$601,16,Sync!$D$11)),0),"")</f>
        <v>46335</v>
      </c>
      <c r="C3467" s="23" t="str">
        <f aca="false">IF(B3467="","","brand")</f>
        <v>brand</v>
      </c>
      <c r="D3467" s="23" t="str">
        <f aca="false">IF(B3467="","",IFERROR(INDEX(Brand_Log!$DV$2:$DV$201,MATCH(IFERROR(INDEX(Clay_Brands!$A$2:$FZ$601,16,Sync!$D$5)&amp;"",""),Brand_Log!$A$2:$A$201,0))&amp;"",IFERROR(INDEX(Clay_Brands!$A$2:$FZ$601,16,Sync!$D$5)&amp;"","")&amp;""))</f>
        <v>SAMPLE-B-016</v>
      </c>
      <c r="E3467" s="23" t="str">
        <f aca="false">IF(B3467="","",IFERROR(INDEX(Clay_Brands!$A$2:$FZ$601,16,Sync!$D$6)&amp;"",""))</f>
        <v>SAMPLE Brand 16</v>
      </c>
      <c r="F3467" s="23" t="str">
        <f aca="false">IF(B3467="","","outreach_sent")</f>
        <v>outreach_sent</v>
      </c>
      <c r="G3467" s="23" t="str">
        <f aca="false">IF(B3467="","","")</f>
        <v/>
      </c>
      <c r="H3467" s="23" t="str">
        <f aca="false">IF(B3467="","","")</f>
        <v/>
      </c>
      <c r="I3467" s="23" t="str">
        <f aca="false">IF(B3467="","","")</f>
        <v/>
      </c>
      <c r="J3467" s="23" t="str">
        <f aca="false">IF(B3467="","","touch_1; "&amp;IFERROR(INDEX(Clay_Brands!$A$2:$FZ$601,16,Sync!$D$10)&amp;"","")&amp;"; "&amp;IFERROR(INDEX(Clay_Brands!$A$2:$FZ$601,16,Sync!$D$9)&amp;"",""))</f>
        <v>touch_1; brand-discovery-B; linkedin</v>
      </c>
      <c r="K3467" s="32" t="s">
        <v>1366</v>
      </c>
    </row>
    <row r="3468" customFormat="false" ht="15" hidden="false" customHeight="false" outlineLevel="0" collapsed="false">
      <c r="A3468" s="42" t="n">
        <f aca="false">IF(B3468="","",B3468+(15*1000+17)/10000000)</f>
        <v>46339.0015017</v>
      </c>
      <c r="B3468" s="35" t="n">
        <f aca="false">IF(AND(IFERROR(N(INDEX(Clay_Brands!$A$2:$FZ$601,17,Sync!$D$11)),0)&gt;0,IFERROR(INDEX(Clay_Brands!$A$2:$FZ$601,17,Sync!$D$5)&amp;"","")&lt;&gt;"",OR(LEFT(IFERROR(INDEX(Clay_Brands!$A$2:$FZ$601,17,Sync!$D$5)&amp;"",""),6)&lt;&gt;"SAMPLE",Config!$B$19="Y")),IFERROR(N(INDEX(Clay_Brands!$A$2:$FZ$601,17,Sync!$D$11)),0),"")</f>
        <v>46339</v>
      </c>
      <c r="C3468" s="23" t="str">
        <f aca="false">IF(B3468="","","brand")</f>
        <v>brand</v>
      </c>
      <c r="D3468" s="23" t="str">
        <f aca="false">IF(B3468="","",IFERROR(INDEX(Brand_Log!$DV$2:$DV$201,MATCH(IFERROR(INDEX(Clay_Brands!$A$2:$FZ$601,17,Sync!$D$5)&amp;"",""),Brand_Log!$A$2:$A$201,0))&amp;"",IFERROR(INDEX(Clay_Brands!$A$2:$FZ$601,17,Sync!$D$5)&amp;"","")&amp;""))</f>
        <v>SAMPLE-B-017</v>
      </c>
      <c r="E3468" s="23" t="str">
        <f aca="false">IF(B3468="","",IFERROR(INDEX(Clay_Brands!$A$2:$FZ$601,17,Sync!$D$6)&amp;"",""))</f>
        <v>SAMPLE Brand 17</v>
      </c>
      <c r="F3468" s="23" t="str">
        <f aca="false">IF(B3468="","","outreach_sent")</f>
        <v>outreach_sent</v>
      </c>
      <c r="G3468" s="23" t="str">
        <f aca="false">IF(B3468="","","")</f>
        <v/>
      </c>
      <c r="H3468" s="23" t="str">
        <f aca="false">IF(B3468="","","")</f>
        <v/>
      </c>
      <c r="I3468" s="23" t="str">
        <f aca="false">IF(B3468="","","")</f>
        <v/>
      </c>
      <c r="J3468" s="23" t="str">
        <f aca="false">IF(B3468="","","touch_1; "&amp;IFERROR(INDEX(Clay_Brands!$A$2:$FZ$601,17,Sync!$D$10)&amp;"","")&amp;"; "&amp;IFERROR(INDEX(Clay_Brands!$A$2:$FZ$601,17,Sync!$D$9)&amp;"",""))</f>
        <v>touch_1; brand-discovery-A; email</v>
      </c>
      <c r="K3468" s="32" t="s">
        <v>1366</v>
      </c>
    </row>
    <row r="3469" customFormat="false" ht="15" hidden="false" customHeight="false" outlineLevel="0" collapsed="false">
      <c r="A3469" s="42" t="n">
        <f aca="false">IF(B3469="","",B3469+(15*1000+18)/10000000)</f>
        <v>46344.0015018</v>
      </c>
      <c r="B3469" s="35" t="n">
        <f aca="false">IF(AND(IFERROR(N(INDEX(Clay_Brands!$A$2:$FZ$601,18,Sync!$D$11)),0)&gt;0,IFERROR(INDEX(Clay_Brands!$A$2:$FZ$601,18,Sync!$D$5)&amp;"","")&lt;&gt;"",OR(LEFT(IFERROR(INDEX(Clay_Brands!$A$2:$FZ$601,18,Sync!$D$5)&amp;"",""),6)&lt;&gt;"SAMPLE",Config!$B$19="Y")),IFERROR(N(INDEX(Clay_Brands!$A$2:$FZ$601,18,Sync!$D$11)),0),"")</f>
        <v>46344</v>
      </c>
      <c r="C3469" s="23" t="str">
        <f aca="false">IF(B3469="","","brand")</f>
        <v>brand</v>
      </c>
      <c r="D3469" s="23" t="str">
        <f aca="false">IF(B3469="","",IFERROR(INDEX(Brand_Log!$DV$2:$DV$201,MATCH(IFERROR(INDEX(Clay_Brands!$A$2:$FZ$601,18,Sync!$D$5)&amp;"",""),Brand_Log!$A$2:$A$201,0))&amp;"",IFERROR(INDEX(Clay_Brands!$A$2:$FZ$601,18,Sync!$D$5)&amp;"","")&amp;""))</f>
        <v>SAMPLE-B-018</v>
      </c>
      <c r="E3469" s="23" t="str">
        <f aca="false">IF(B3469="","",IFERROR(INDEX(Clay_Brands!$A$2:$FZ$601,18,Sync!$D$6)&amp;"",""))</f>
        <v>SAMPLE Brand 18</v>
      </c>
      <c r="F3469" s="23" t="str">
        <f aca="false">IF(B3469="","","outreach_sent")</f>
        <v>outreach_sent</v>
      </c>
      <c r="G3469" s="23" t="str">
        <f aca="false">IF(B3469="","","")</f>
        <v/>
      </c>
      <c r="H3469" s="23" t="str">
        <f aca="false">IF(B3469="","","")</f>
        <v/>
      </c>
      <c r="I3469" s="23" t="str">
        <f aca="false">IF(B3469="","","")</f>
        <v/>
      </c>
      <c r="J3469" s="23" t="str">
        <f aca="false">IF(B3469="","","touch_1; "&amp;IFERROR(INDEX(Clay_Brands!$A$2:$FZ$601,18,Sync!$D$10)&amp;"","")&amp;"; "&amp;IFERROR(INDEX(Clay_Brands!$A$2:$FZ$601,18,Sync!$D$9)&amp;"",""))</f>
        <v>touch_1; brand-discovery-B; email</v>
      </c>
      <c r="K3469" s="32" t="s">
        <v>1366</v>
      </c>
    </row>
    <row r="3470" customFormat="false" ht="15" hidden="false" customHeight="false" outlineLevel="0" collapsed="false">
      <c r="A3470" s="42" t="n">
        <f aca="false">IF(B3470="","",B3470+(15*1000+19)/10000000)</f>
        <v>46321.0015019</v>
      </c>
      <c r="B3470" s="35" t="n">
        <f aca="false">IF(AND(IFERROR(N(INDEX(Clay_Brands!$A$2:$FZ$601,19,Sync!$D$11)),0)&gt;0,IFERROR(INDEX(Clay_Brands!$A$2:$FZ$601,19,Sync!$D$5)&amp;"","")&lt;&gt;"",OR(LEFT(IFERROR(INDEX(Clay_Brands!$A$2:$FZ$601,19,Sync!$D$5)&amp;"",""),6)&lt;&gt;"SAMPLE",Config!$B$19="Y")),IFERROR(N(INDEX(Clay_Brands!$A$2:$FZ$601,19,Sync!$D$11)),0),"")</f>
        <v>46321</v>
      </c>
      <c r="C3470" s="23" t="str">
        <f aca="false">IF(B3470="","","brand")</f>
        <v>brand</v>
      </c>
      <c r="D3470" s="23" t="str">
        <f aca="false">IF(B3470="","",IFERROR(INDEX(Brand_Log!$DV$2:$DV$201,MATCH(IFERROR(INDEX(Clay_Brands!$A$2:$FZ$601,19,Sync!$D$5)&amp;"",""),Brand_Log!$A$2:$A$201,0))&amp;"",IFERROR(INDEX(Clay_Brands!$A$2:$FZ$601,19,Sync!$D$5)&amp;"","")&amp;""))</f>
        <v>SAMPLE-B-019</v>
      </c>
      <c r="E3470" s="23" t="str">
        <f aca="false">IF(B3470="","",IFERROR(INDEX(Clay_Brands!$A$2:$FZ$601,19,Sync!$D$6)&amp;"",""))</f>
        <v>SAMPLE Brand 19</v>
      </c>
      <c r="F3470" s="23" t="str">
        <f aca="false">IF(B3470="","","outreach_sent")</f>
        <v>outreach_sent</v>
      </c>
      <c r="G3470" s="23" t="str">
        <f aca="false">IF(B3470="","","")</f>
        <v/>
      </c>
      <c r="H3470" s="23" t="str">
        <f aca="false">IF(B3470="","","")</f>
        <v/>
      </c>
      <c r="I3470" s="23" t="str">
        <f aca="false">IF(B3470="","","")</f>
        <v/>
      </c>
      <c r="J3470" s="23" t="str">
        <f aca="false">IF(B3470="","","touch_1; "&amp;IFERROR(INDEX(Clay_Brands!$A$2:$FZ$601,19,Sync!$D$10)&amp;"","")&amp;"; "&amp;IFERROR(INDEX(Clay_Brands!$A$2:$FZ$601,19,Sync!$D$9)&amp;"",""))</f>
        <v>touch_1; brand-discovery-A; linkedin</v>
      </c>
      <c r="K3470" s="32" t="s">
        <v>1366</v>
      </c>
    </row>
    <row r="3471" customFormat="false" ht="15" hidden="false" customHeight="false" outlineLevel="0" collapsed="false">
      <c r="A3471" s="42" t="n">
        <f aca="false">IF(B3471="","",B3471+(15*1000+20)/10000000)</f>
        <v>46324.001502</v>
      </c>
      <c r="B3471" s="35" t="n">
        <f aca="false">IF(AND(IFERROR(N(INDEX(Clay_Brands!$A$2:$FZ$601,20,Sync!$D$11)),0)&gt;0,IFERROR(INDEX(Clay_Brands!$A$2:$FZ$601,20,Sync!$D$5)&amp;"","")&lt;&gt;"",OR(LEFT(IFERROR(INDEX(Clay_Brands!$A$2:$FZ$601,20,Sync!$D$5)&amp;"",""),6)&lt;&gt;"SAMPLE",Config!$B$19="Y")),IFERROR(N(INDEX(Clay_Brands!$A$2:$FZ$601,20,Sync!$D$11)),0),"")</f>
        <v>46324</v>
      </c>
      <c r="C3471" s="23" t="str">
        <f aca="false">IF(B3471="","","brand")</f>
        <v>brand</v>
      </c>
      <c r="D3471" s="23" t="str">
        <f aca="false">IF(B3471="","",IFERROR(INDEX(Brand_Log!$DV$2:$DV$201,MATCH(IFERROR(INDEX(Clay_Brands!$A$2:$FZ$601,20,Sync!$D$5)&amp;"",""),Brand_Log!$A$2:$A$201,0))&amp;"",IFERROR(INDEX(Clay_Brands!$A$2:$FZ$601,20,Sync!$D$5)&amp;"","")&amp;""))</f>
        <v>SAMPLE-B-020</v>
      </c>
      <c r="E3471" s="23" t="str">
        <f aca="false">IF(B3471="","",IFERROR(INDEX(Clay_Brands!$A$2:$FZ$601,20,Sync!$D$6)&amp;"",""))</f>
        <v>SAMPLE Brand 20</v>
      </c>
      <c r="F3471" s="23" t="str">
        <f aca="false">IF(B3471="","","outreach_sent")</f>
        <v>outreach_sent</v>
      </c>
      <c r="G3471" s="23" t="str">
        <f aca="false">IF(B3471="","","")</f>
        <v/>
      </c>
      <c r="H3471" s="23" t="str">
        <f aca="false">IF(B3471="","","")</f>
        <v/>
      </c>
      <c r="I3471" s="23" t="str">
        <f aca="false">IF(B3471="","","")</f>
        <v/>
      </c>
      <c r="J3471" s="23" t="str">
        <f aca="false">IF(B3471="","","touch_1; "&amp;IFERROR(INDEX(Clay_Brands!$A$2:$FZ$601,20,Sync!$D$10)&amp;"","")&amp;"; "&amp;IFERROR(INDEX(Clay_Brands!$A$2:$FZ$601,20,Sync!$D$9)&amp;"",""))</f>
        <v>touch_1; brand-discovery-B; linkedin</v>
      </c>
      <c r="K3471" s="32" t="s">
        <v>1366</v>
      </c>
    </row>
    <row r="3472" customFormat="false" ht="15" hidden="false" customHeight="false" outlineLevel="0" collapsed="false">
      <c r="A3472" s="42" t="n">
        <f aca="false">IF(B3472="","",B3472+(15*1000+21)/10000000)</f>
        <v>46329.0015021</v>
      </c>
      <c r="B3472" s="35" t="n">
        <f aca="false">IF(AND(IFERROR(N(INDEX(Clay_Brands!$A$2:$FZ$601,21,Sync!$D$11)),0)&gt;0,IFERROR(INDEX(Clay_Brands!$A$2:$FZ$601,21,Sync!$D$5)&amp;"","")&lt;&gt;"",OR(LEFT(IFERROR(INDEX(Clay_Brands!$A$2:$FZ$601,21,Sync!$D$5)&amp;"",""),6)&lt;&gt;"SAMPLE",Config!$B$19="Y")),IFERROR(N(INDEX(Clay_Brands!$A$2:$FZ$601,21,Sync!$D$11)),0),"")</f>
        <v>46329</v>
      </c>
      <c r="C3472" s="23" t="str">
        <f aca="false">IF(B3472="","","brand")</f>
        <v>brand</v>
      </c>
      <c r="D3472" s="23" t="str">
        <f aca="false">IF(B3472="","",IFERROR(INDEX(Brand_Log!$DV$2:$DV$201,MATCH(IFERROR(INDEX(Clay_Brands!$A$2:$FZ$601,21,Sync!$D$5)&amp;"",""),Brand_Log!$A$2:$A$201,0))&amp;"",IFERROR(INDEX(Clay_Brands!$A$2:$FZ$601,21,Sync!$D$5)&amp;"","")&amp;""))</f>
        <v>SAMPLE-B-021</v>
      </c>
      <c r="E3472" s="23" t="str">
        <f aca="false">IF(B3472="","",IFERROR(INDEX(Clay_Brands!$A$2:$FZ$601,21,Sync!$D$6)&amp;"",""))</f>
        <v>SAMPLE Brand 21</v>
      </c>
      <c r="F3472" s="23" t="str">
        <f aca="false">IF(B3472="","","outreach_sent")</f>
        <v>outreach_sent</v>
      </c>
      <c r="G3472" s="23" t="str">
        <f aca="false">IF(B3472="","","")</f>
        <v/>
      </c>
      <c r="H3472" s="23" t="str">
        <f aca="false">IF(B3472="","","")</f>
        <v/>
      </c>
      <c r="I3472" s="23" t="str">
        <f aca="false">IF(B3472="","","")</f>
        <v/>
      </c>
      <c r="J3472" s="23" t="str">
        <f aca="false">IF(B3472="","","touch_1; "&amp;IFERROR(INDEX(Clay_Brands!$A$2:$FZ$601,21,Sync!$D$10)&amp;"","")&amp;"; "&amp;IFERROR(INDEX(Clay_Brands!$A$2:$FZ$601,21,Sync!$D$9)&amp;"",""))</f>
        <v>touch_1; brand-discovery-A; linkedin</v>
      </c>
      <c r="K3472" s="32" t="s">
        <v>1366</v>
      </c>
    </row>
    <row r="3473" customFormat="false" ht="15" hidden="false" customHeight="false" outlineLevel="0" collapsed="false">
      <c r="A3473" s="42" t="n">
        <f aca="false">IF(B3473="","",B3473+(15*1000+22)/10000000)</f>
        <v>46332.0015022</v>
      </c>
      <c r="B3473" s="35" t="n">
        <f aca="false">IF(AND(IFERROR(N(INDEX(Clay_Brands!$A$2:$FZ$601,22,Sync!$D$11)),0)&gt;0,IFERROR(INDEX(Clay_Brands!$A$2:$FZ$601,22,Sync!$D$5)&amp;"","")&lt;&gt;"",OR(LEFT(IFERROR(INDEX(Clay_Brands!$A$2:$FZ$601,22,Sync!$D$5)&amp;"",""),6)&lt;&gt;"SAMPLE",Config!$B$19="Y")),IFERROR(N(INDEX(Clay_Brands!$A$2:$FZ$601,22,Sync!$D$11)),0),"")</f>
        <v>46332</v>
      </c>
      <c r="C3473" s="23" t="str">
        <f aca="false">IF(B3473="","","brand")</f>
        <v>brand</v>
      </c>
      <c r="D3473" s="23" t="str">
        <f aca="false">IF(B3473="","",IFERROR(INDEX(Brand_Log!$DV$2:$DV$201,MATCH(IFERROR(INDEX(Clay_Brands!$A$2:$FZ$601,22,Sync!$D$5)&amp;"",""),Brand_Log!$A$2:$A$201,0))&amp;"",IFERROR(INDEX(Clay_Brands!$A$2:$FZ$601,22,Sync!$D$5)&amp;"","")&amp;""))</f>
        <v>SAMPLE-B-022</v>
      </c>
      <c r="E3473" s="23" t="str">
        <f aca="false">IF(B3473="","",IFERROR(INDEX(Clay_Brands!$A$2:$FZ$601,22,Sync!$D$6)&amp;"",""))</f>
        <v>SAMPLE Brand 22</v>
      </c>
      <c r="F3473" s="23" t="str">
        <f aca="false">IF(B3473="","","outreach_sent")</f>
        <v>outreach_sent</v>
      </c>
      <c r="G3473" s="23" t="str">
        <f aca="false">IF(B3473="","","")</f>
        <v/>
      </c>
      <c r="H3473" s="23" t="str">
        <f aca="false">IF(B3473="","","")</f>
        <v/>
      </c>
      <c r="I3473" s="23" t="str">
        <f aca="false">IF(B3473="","","")</f>
        <v/>
      </c>
      <c r="J3473" s="23" t="str">
        <f aca="false">IF(B3473="","","touch_1; "&amp;IFERROR(INDEX(Clay_Brands!$A$2:$FZ$601,22,Sync!$D$10)&amp;"","")&amp;"; "&amp;IFERROR(INDEX(Clay_Brands!$A$2:$FZ$601,22,Sync!$D$9)&amp;"",""))</f>
        <v>touch_1; brand-discovery-B; linkedin</v>
      </c>
      <c r="K3473" s="32" t="s">
        <v>1366</v>
      </c>
    </row>
    <row r="3474" customFormat="false" ht="15" hidden="false" customHeight="false" outlineLevel="0" collapsed="false">
      <c r="A3474" s="42" t="n">
        <f aca="false">IF(B3474="","",B3474+(15*1000+23)/10000000)</f>
        <v>46338.0015023</v>
      </c>
      <c r="B3474" s="35" t="n">
        <f aca="false">IF(AND(IFERROR(N(INDEX(Clay_Brands!$A$2:$FZ$601,23,Sync!$D$11)),0)&gt;0,IFERROR(INDEX(Clay_Brands!$A$2:$FZ$601,23,Sync!$D$5)&amp;"","")&lt;&gt;"",OR(LEFT(IFERROR(INDEX(Clay_Brands!$A$2:$FZ$601,23,Sync!$D$5)&amp;"",""),6)&lt;&gt;"SAMPLE",Config!$B$19="Y")),IFERROR(N(INDEX(Clay_Brands!$A$2:$FZ$601,23,Sync!$D$11)),0),"")</f>
        <v>46338</v>
      </c>
      <c r="C3474" s="23" t="str">
        <f aca="false">IF(B3474="","","brand")</f>
        <v>brand</v>
      </c>
      <c r="D3474" s="23" t="str">
        <f aca="false">IF(B3474="","",IFERROR(INDEX(Brand_Log!$DV$2:$DV$201,MATCH(IFERROR(INDEX(Clay_Brands!$A$2:$FZ$601,23,Sync!$D$5)&amp;"",""),Brand_Log!$A$2:$A$201,0))&amp;"",IFERROR(INDEX(Clay_Brands!$A$2:$FZ$601,23,Sync!$D$5)&amp;"","")&amp;""))</f>
        <v>SAMPLE-B-023</v>
      </c>
      <c r="E3474" s="23" t="str">
        <f aca="false">IF(B3474="","",IFERROR(INDEX(Clay_Brands!$A$2:$FZ$601,23,Sync!$D$6)&amp;"",""))</f>
        <v>SAMPLE Brand 23</v>
      </c>
      <c r="F3474" s="23" t="str">
        <f aca="false">IF(B3474="","","outreach_sent")</f>
        <v>outreach_sent</v>
      </c>
      <c r="G3474" s="23" t="str">
        <f aca="false">IF(B3474="","","")</f>
        <v/>
      </c>
      <c r="H3474" s="23" t="str">
        <f aca="false">IF(B3474="","","")</f>
        <v/>
      </c>
      <c r="I3474" s="23" t="str">
        <f aca="false">IF(B3474="","","")</f>
        <v/>
      </c>
      <c r="J3474" s="23" t="str">
        <f aca="false">IF(B3474="","","touch_1; "&amp;IFERROR(INDEX(Clay_Brands!$A$2:$FZ$601,23,Sync!$D$10)&amp;"","")&amp;"; "&amp;IFERROR(INDEX(Clay_Brands!$A$2:$FZ$601,23,Sync!$D$9)&amp;"",""))</f>
        <v>touch_1; brand-discovery-A; email</v>
      </c>
      <c r="K3474" s="32" t="s">
        <v>1366</v>
      </c>
    </row>
    <row r="3475" customFormat="false" ht="15" hidden="false" customHeight="false" outlineLevel="0" collapsed="false">
      <c r="A3475" s="42" t="n">
        <f aca="false">IF(B3475="","",B3475+(15*1000+24)/10000000)</f>
        <v>46343.0015024</v>
      </c>
      <c r="B3475" s="35" t="n">
        <f aca="false">IF(AND(IFERROR(N(INDEX(Clay_Brands!$A$2:$FZ$601,24,Sync!$D$11)),0)&gt;0,IFERROR(INDEX(Clay_Brands!$A$2:$FZ$601,24,Sync!$D$5)&amp;"","")&lt;&gt;"",OR(LEFT(IFERROR(INDEX(Clay_Brands!$A$2:$FZ$601,24,Sync!$D$5)&amp;"",""),6)&lt;&gt;"SAMPLE",Config!$B$19="Y")),IFERROR(N(INDEX(Clay_Brands!$A$2:$FZ$601,24,Sync!$D$11)),0),"")</f>
        <v>46343</v>
      </c>
      <c r="C3475" s="23" t="str">
        <f aca="false">IF(B3475="","","brand")</f>
        <v>brand</v>
      </c>
      <c r="D3475" s="23" t="str">
        <f aca="false">IF(B3475="","",IFERROR(INDEX(Brand_Log!$DV$2:$DV$201,MATCH(IFERROR(INDEX(Clay_Brands!$A$2:$FZ$601,24,Sync!$D$5)&amp;"",""),Brand_Log!$A$2:$A$201,0))&amp;"",IFERROR(INDEX(Clay_Brands!$A$2:$FZ$601,24,Sync!$D$5)&amp;"","")&amp;""))</f>
        <v>SAMPLE-B-024</v>
      </c>
      <c r="E3475" s="23" t="str">
        <f aca="false">IF(B3475="","",IFERROR(INDEX(Clay_Brands!$A$2:$FZ$601,24,Sync!$D$6)&amp;"",""))</f>
        <v>SAMPLE Brand 24</v>
      </c>
      <c r="F3475" s="23" t="str">
        <f aca="false">IF(B3475="","","outreach_sent")</f>
        <v>outreach_sent</v>
      </c>
      <c r="G3475" s="23" t="str">
        <f aca="false">IF(B3475="","","")</f>
        <v/>
      </c>
      <c r="H3475" s="23" t="str">
        <f aca="false">IF(B3475="","","")</f>
        <v/>
      </c>
      <c r="I3475" s="23" t="str">
        <f aca="false">IF(B3475="","","")</f>
        <v/>
      </c>
      <c r="J3475" s="23" t="str">
        <f aca="false">IF(B3475="","","touch_1; "&amp;IFERROR(INDEX(Clay_Brands!$A$2:$FZ$601,24,Sync!$D$10)&amp;"","")&amp;"; "&amp;IFERROR(INDEX(Clay_Brands!$A$2:$FZ$601,24,Sync!$D$9)&amp;"",""))</f>
        <v>touch_1; brand-discovery-B; linkedin</v>
      </c>
      <c r="K3475" s="32" t="s">
        <v>1366</v>
      </c>
    </row>
    <row r="3476" customFormat="false" ht="15" hidden="false" customHeight="false" outlineLevel="0" collapsed="false">
      <c r="A3476" s="42" t="n">
        <f aca="false">IF(B3476="","",B3476+(15*1000+25)/10000000)</f>
        <v>46346.0015025</v>
      </c>
      <c r="B3476" s="35" t="n">
        <f aca="false">IF(AND(IFERROR(N(INDEX(Clay_Brands!$A$2:$FZ$601,25,Sync!$D$11)),0)&gt;0,IFERROR(INDEX(Clay_Brands!$A$2:$FZ$601,25,Sync!$D$5)&amp;"","")&lt;&gt;"",OR(LEFT(IFERROR(INDEX(Clay_Brands!$A$2:$FZ$601,25,Sync!$D$5)&amp;"",""),6)&lt;&gt;"SAMPLE",Config!$B$19="Y")),IFERROR(N(INDEX(Clay_Brands!$A$2:$FZ$601,25,Sync!$D$11)),0),"")</f>
        <v>46346</v>
      </c>
      <c r="C3476" s="23" t="str">
        <f aca="false">IF(B3476="","","brand")</f>
        <v>brand</v>
      </c>
      <c r="D3476" s="23" t="str">
        <f aca="false">IF(B3476="","",IFERROR(INDEX(Brand_Log!$DV$2:$DV$201,MATCH(IFERROR(INDEX(Clay_Brands!$A$2:$FZ$601,25,Sync!$D$5)&amp;"",""),Brand_Log!$A$2:$A$201,0))&amp;"",IFERROR(INDEX(Clay_Brands!$A$2:$FZ$601,25,Sync!$D$5)&amp;"","")&amp;""))</f>
        <v>SAMPLE-B-025</v>
      </c>
      <c r="E3476" s="23" t="str">
        <f aca="false">IF(B3476="","",IFERROR(INDEX(Clay_Brands!$A$2:$FZ$601,25,Sync!$D$6)&amp;"",""))</f>
        <v>SAMPLE Brand 25</v>
      </c>
      <c r="F3476" s="23" t="str">
        <f aca="false">IF(B3476="","","outreach_sent")</f>
        <v>outreach_sent</v>
      </c>
      <c r="G3476" s="23" t="str">
        <f aca="false">IF(B3476="","","")</f>
        <v/>
      </c>
      <c r="H3476" s="23" t="str">
        <f aca="false">IF(B3476="","","")</f>
        <v/>
      </c>
      <c r="I3476" s="23" t="str">
        <f aca="false">IF(B3476="","","")</f>
        <v/>
      </c>
      <c r="J3476" s="23" t="str">
        <f aca="false">IF(B3476="","","touch_1; "&amp;IFERROR(INDEX(Clay_Brands!$A$2:$FZ$601,25,Sync!$D$10)&amp;"","")&amp;"; "&amp;IFERROR(INDEX(Clay_Brands!$A$2:$FZ$601,25,Sync!$D$9)&amp;"",""))</f>
        <v>touch_1; brand-discovery-A; email</v>
      </c>
      <c r="K3476" s="32" t="s">
        <v>1366</v>
      </c>
    </row>
    <row r="3477" customFormat="false" ht="15" hidden="false" customHeight="false" outlineLevel="0" collapsed="false">
      <c r="A3477" s="42" t="n">
        <f aca="false">IF(B3477="","",B3477+(15*1000+26)/10000000)</f>
        <v>46323.0015026</v>
      </c>
      <c r="B3477" s="35" t="n">
        <f aca="false">IF(AND(IFERROR(N(INDEX(Clay_Brands!$A$2:$FZ$601,26,Sync!$D$11)),0)&gt;0,IFERROR(INDEX(Clay_Brands!$A$2:$FZ$601,26,Sync!$D$5)&amp;"","")&lt;&gt;"",OR(LEFT(IFERROR(INDEX(Clay_Brands!$A$2:$FZ$601,26,Sync!$D$5)&amp;"",""),6)&lt;&gt;"SAMPLE",Config!$B$19="Y")),IFERROR(N(INDEX(Clay_Brands!$A$2:$FZ$601,26,Sync!$D$11)),0),"")</f>
        <v>46323</v>
      </c>
      <c r="C3477" s="23" t="str">
        <f aca="false">IF(B3477="","","brand")</f>
        <v>brand</v>
      </c>
      <c r="D3477" s="23" t="str">
        <f aca="false">IF(B3477="","",IFERROR(INDEX(Brand_Log!$DV$2:$DV$201,MATCH(IFERROR(INDEX(Clay_Brands!$A$2:$FZ$601,26,Sync!$D$5)&amp;"",""),Brand_Log!$A$2:$A$201,0))&amp;"",IFERROR(INDEX(Clay_Brands!$A$2:$FZ$601,26,Sync!$D$5)&amp;"","")&amp;""))</f>
        <v>SAMPLE-B-026</v>
      </c>
      <c r="E3477" s="23" t="str">
        <f aca="false">IF(B3477="","",IFERROR(INDEX(Clay_Brands!$A$2:$FZ$601,26,Sync!$D$6)&amp;"",""))</f>
        <v>SAMPLE Brand 26</v>
      </c>
      <c r="F3477" s="23" t="str">
        <f aca="false">IF(B3477="","","outreach_sent")</f>
        <v>outreach_sent</v>
      </c>
      <c r="G3477" s="23" t="str">
        <f aca="false">IF(B3477="","","")</f>
        <v/>
      </c>
      <c r="H3477" s="23" t="str">
        <f aca="false">IF(B3477="","","")</f>
        <v/>
      </c>
      <c r="I3477" s="23" t="str">
        <f aca="false">IF(B3477="","","")</f>
        <v/>
      </c>
      <c r="J3477" s="23" t="str">
        <f aca="false">IF(B3477="","","touch_1; "&amp;IFERROR(INDEX(Clay_Brands!$A$2:$FZ$601,26,Sync!$D$10)&amp;"","")&amp;"; "&amp;IFERROR(INDEX(Clay_Brands!$A$2:$FZ$601,26,Sync!$D$9)&amp;"",""))</f>
        <v>touch_1; brand-discovery-B; linkedin</v>
      </c>
      <c r="K3477" s="32" t="s">
        <v>1366</v>
      </c>
    </row>
    <row r="3478" customFormat="false" ht="15" hidden="false" customHeight="false" outlineLevel="0" collapsed="false">
      <c r="A3478" s="42" t="n">
        <f aca="false">IF(B3478="","",B3478+(15*1000+27)/10000000)</f>
        <v>46328.0015027</v>
      </c>
      <c r="B3478" s="35" t="n">
        <f aca="false">IF(AND(IFERROR(N(INDEX(Clay_Brands!$A$2:$FZ$601,27,Sync!$D$11)),0)&gt;0,IFERROR(INDEX(Clay_Brands!$A$2:$FZ$601,27,Sync!$D$5)&amp;"","")&lt;&gt;"",OR(LEFT(IFERROR(INDEX(Clay_Brands!$A$2:$FZ$601,27,Sync!$D$5)&amp;"",""),6)&lt;&gt;"SAMPLE",Config!$B$19="Y")),IFERROR(N(INDEX(Clay_Brands!$A$2:$FZ$601,27,Sync!$D$11)),0),"")</f>
        <v>46328</v>
      </c>
      <c r="C3478" s="23" t="str">
        <f aca="false">IF(B3478="","","brand")</f>
        <v>brand</v>
      </c>
      <c r="D3478" s="23" t="str">
        <f aca="false">IF(B3478="","",IFERROR(INDEX(Brand_Log!$DV$2:$DV$201,MATCH(IFERROR(INDEX(Clay_Brands!$A$2:$FZ$601,27,Sync!$D$5)&amp;"",""),Brand_Log!$A$2:$A$201,0))&amp;"",IFERROR(INDEX(Clay_Brands!$A$2:$FZ$601,27,Sync!$D$5)&amp;"","")&amp;""))</f>
        <v>SAMPLE-B-027</v>
      </c>
      <c r="E3478" s="23" t="str">
        <f aca="false">IF(B3478="","",IFERROR(INDEX(Clay_Brands!$A$2:$FZ$601,27,Sync!$D$6)&amp;"",""))</f>
        <v>SAMPLE Brand 27</v>
      </c>
      <c r="F3478" s="23" t="str">
        <f aca="false">IF(B3478="","","outreach_sent")</f>
        <v>outreach_sent</v>
      </c>
      <c r="G3478" s="23" t="str">
        <f aca="false">IF(B3478="","","")</f>
        <v/>
      </c>
      <c r="H3478" s="23" t="str">
        <f aca="false">IF(B3478="","","")</f>
        <v/>
      </c>
      <c r="I3478" s="23" t="str">
        <f aca="false">IF(B3478="","","")</f>
        <v/>
      </c>
      <c r="J3478" s="23" t="str">
        <f aca="false">IF(B3478="","","touch_1; "&amp;IFERROR(INDEX(Clay_Brands!$A$2:$FZ$601,27,Sync!$D$10)&amp;"","")&amp;"; "&amp;IFERROR(INDEX(Clay_Brands!$A$2:$FZ$601,27,Sync!$D$9)&amp;"",""))</f>
        <v>touch_1; brand-discovery-A; linkedin</v>
      </c>
      <c r="K3478" s="32" t="s">
        <v>1366</v>
      </c>
    </row>
    <row r="3479" customFormat="false" ht="15" hidden="false" customHeight="false" outlineLevel="0" collapsed="false">
      <c r="A3479" s="42" t="n">
        <f aca="false">IF(B3479="","",B3479+(15*1000+28)/10000000)</f>
        <v>46331.0015028</v>
      </c>
      <c r="B3479" s="35" t="n">
        <f aca="false">IF(AND(IFERROR(N(INDEX(Clay_Brands!$A$2:$FZ$601,28,Sync!$D$11)),0)&gt;0,IFERROR(INDEX(Clay_Brands!$A$2:$FZ$601,28,Sync!$D$5)&amp;"","")&lt;&gt;"",OR(LEFT(IFERROR(INDEX(Clay_Brands!$A$2:$FZ$601,28,Sync!$D$5)&amp;"",""),6)&lt;&gt;"SAMPLE",Config!$B$19="Y")),IFERROR(N(INDEX(Clay_Brands!$A$2:$FZ$601,28,Sync!$D$11)),0),"")</f>
        <v>46331</v>
      </c>
      <c r="C3479" s="23" t="str">
        <f aca="false">IF(B3479="","","brand")</f>
        <v>brand</v>
      </c>
      <c r="D3479" s="23" t="str">
        <f aca="false">IF(B3479="","",IFERROR(INDEX(Brand_Log!$DV$2:$DV$201,MATCH(IFERROR(INDEX(Clay_Brands!$A$2:$FZ$601,28,Sync!$D$5)&amp;"",""),Brand_Log!$A$2:$A$201,0))&amp;"",IFERROR(INDEX(Clay_Brands!$A$2:$FZ$601,28,Sync!$D$5)&amp;"","")&amp;""))</f>
        <v>SAMPLE-B-028</v>
      </c>
      <c r="E3479" s="23" t="str">
        <f aca="false">IF(B3479="","",IFERROR(INDEX(Clay_Brands!$A$2:$FZ$601,28,Sync!$D$6)&amp;"",""))</f>
        <v>SAMPLE Brand 28</v>
      </c>
      <c r="F3479" s="23" t="str">
        <f aca="false">IF(B3479="","","outreach_sent")</f>
        <v>outreach_sent</v>
      </c>
      <c r="G3479" s="23" t="str">
        <f aca="false">IF(B3479="","","")</f>
        <v/>
      </c>
      <c r="H3479" s="23" t="str">
        <f aca="false">IF(B3479="","","")</f>
        <v/>
      </c>
      <c r="I3479" s="23" t="str">
        <f aca="false">IF(B3479="","","")</f>
        <v/>
      </c>
      <c r="J3479" s="23" t="str">
        <f aca="false">IF(B3479="","","touch_1; "&amp;IFERROR(INDEX(Clay_Brands!$A$2:$FZ$601,28,Sync!$D$10)&amp;"","")&amp;"; "&amp;IFERROR(INDEX(Clay_Brands!$A$2:$FZ$601,28,Sync!$D$9)&amp;"",""))</f>
        <v>touch_1; brand-discovery-B; linkedin</v>
      </c>
      <c r="K3479" s="32" t="s">
        <v>1366</v>
      </c>
    </row>
    <row r="3480" customFormat="false" ht="15" hidden="false" customHeight="false" outlineLevel="0" collapsed="false">
      <c r="A3480" s="42" t="n">
        <f aca="false">IF(B3480="","",B3480+(15*1000+29)/10000000)</f>
        <v>46336.0015029</v>
      </c>
      <c r="B3480" s="35" t="n">
        <f aca="false">IF(AND(IFERROR(N(INDEX(Clay_Brands!$A$2:$FZ$601,29,Sync!$D$11)),0)&gt;0,IFERROR(INDEX(Clay_Brands!$A$2:$FZ$601,29,Sync!$D$5)&amp;"","")&lt;&gt;"",OR(LEFT(IFERROR(INDEX(Clay_Brands!$A$2:$FZ$601,29,Sync!$D$5)&amp;"",""),6)&lt;&gt;"SAMPLE",Config!$B$19="Y")),IFERROR(N(INDEX(Clay_Brands!$A$2:$FZ$601,29,Sync!$D$11)),0),"")</f>
        <v>46336</v>
      </c>
      <c r="C3480" s="23" t="str">
        <f aca="false">IF(B3480="","","brand")</f>
        <v>brand</v>
      </c>
      <c r="D3480" s="23" t="str">
        <f aca="false">IF(B3480="","",IFERROR(INDEX(Brand_Log!$DV$2:$DV$201,MATCH(IFERROR(INDEX(Clay_Brands!$A$2:$FZ$601,29,Sync!$D$5)&amp;"",""),Brand_Log!$A$2:$A$201,0))&amp;"",IFERROR(INDEX(Clay_Brands!$A$2:$FZ$601,29,Sync!$D$5)&amp;"","")&amp;""))</f>
        <v>SAMPLE-B-029</v>
      </c>
      <c r="E3480" s="23" t="str">
        <f aca="false">IF(B3480="","",IFERROR(INDEX(Clay_Brands!$A$2:$FZ$601,29,Sync!$D$6)&amp;"",""))</f>
        <v>SAMPLE Brand 29</v>
      </c>
      <c r="F3480" s="23" t="str">
        <f aca="false">IF(B3480="","","outreach_sent")</f>
        <v>outreach_sent</v>
      </c>
      <c r="G3480" s="23" t="str">
        <f aca="false">IF(B3480="","","")</f>
        <v/>
      </c>
      <c r="H3480" s="23" t="str">
        <f aca="false">IF(B3480="","","")</f>
        <v/>
      </c>
      <c r="I3480" s="23" t="str">
        <f aca="false">IF(B3480="","","")</f>
        <v/>
      </c>
      <c r="J3480" s="23" t="str">
        <f aca="false">IF(B3480="","","touch_1; "&amp;IFERROR(INDEX(Clay_Brands!$A$2:$FZ$601,29,Sync!$D$10)&amp;"","")&amp;"; "&amp;IFERROR(INDEX(Clay_Brands!$A$2:$FZ$601,29,Sync!$D$9)&amp;"",""))</f>
        <v>touch_1; brand-discovery-A; email</v>
      </c>
      <c r="K3480" s="32" t="s">
        <v>1366</v>
      </c>
    </row>
    <row r="3481" customFormat="false" ht="15" hidden="false" customHeight="false" outlineLevel="0" collapsed="false">
      <c r="A3481" s="42" t="n">
        <f aca="false">IF(B3481="","",B3481+(15*1000+30)/10000000)</f>
        <v>46342.001503</v>
      </c>
      <c r="B3481" s="35" t="n">
        <f aca="false">IF(AND(IFERROR(N(INDEX(Clay_Brands!$A$2:$FZ$601,30,Sync!$D$11)),0)&gt;0,IFERROR(INDEX(Clay_Brands!$A$2:$FZ$601,30,Sync!$D$5)&amp;"","")&lt;&gt;"",OR(LEFT(IFERROR(INDEX(Clay_Brands!$A$2:$FZ$601,30,Sync!$D$5)&amp;"",""),6)&lt;&gt;"SAMPLE",Config!$B$19="Y")),IFERROR(N(INDEX(Clay_Brands!$A$2:$FZ$601,30,Sync!$D$11)),0),"")</f>
        <v>46342</v>
      </c>
      <c r="C3481" s="23" t="str">
        <f aca="false">IF(B3481="","","brand")</f>
        <v>brand</v>
      </c>
      <c r="D3481" s="23" t="str">
        <f aca="false">IF(B3481="","",IFERROR(INDEX(Brand_Log!$DV$2:$DV$201,MATCH(IFERROR(INDEX(Clay_Brands!$A$2:$FZ$601,30,Sync!$D$5)&amp;"",""),Brand_Log!$A$2:$A$201,0))&amp;"",IFERROR(INDEX(Clay_Brands!$A$2:$FZ$601,30,Sync!$D$5)&amp;"","")&amp;""))</f>
        <v>SAMPLE-B-030</v>
      </c>
      <c r="E3481" s="23" t="str">
        <f aca="false">IF(B3481="","",IFERROR(INDEX(Clay_Brands!$A$2:$FZ$601,30,Sync!$D$6)&amp;"",""))</f>
        <v>SAMPLE Brand 30</v>
      </c>
      <c r="F3481" s="23" t="str">
        <f aca="false">IF(B3481="","","outreach_sent")</f>
        <v>outreach_sent</v>
      </c>
      <c r="G3481" s="23" t="str">
        <f aca="false">IF(B3481="","","")</f>
        <v/>
      </c>
      <c r="H3481" s="23" t="str">
        <f aca="false">IF(B3481="","","")</f>
        <v/>
      </c>
      <c r="I3481" s="23" t="str">
        <f aca="false">IF(B3481="","","")</f>
        <v/>
      </c>
      <c r="J3481" s="23" t="str">
        <f aca="false">IF(B3481="","","touch_1; "&amp;IFERROR(INDEX(Clay_Brands!$A$2:$FZ$601,30,Sync!$D$10)&amp;"","")&amp;"; "&amp;IFERROR(INDEX(Clay_Brands!$A$2:$FZ$601,30,Sync!$D$9)&amp;"",""))</f>
        <v>touch_1; brand-discovery-B; email</v>
      </c>
      <c r="K3481" s="32" t="s">
        <v>1366</v>
      </c>
    </row>
    <row r="3482" customFormat="false" ht="15" hidden="false" customHeight="false" outlineLevel="0" collapsed="false">
      <c r="A3482" s="42" t="n">
        <f aca="false">IF(B3482="","",B3482+(15*1000+31)/10000000)</f>
        <v>46345.0015031</v>
      </c>
      <c r="B3482" s="35" t="n">
        <f aca="false">IF(AND(IFERROR(N(INDEX(Clay_Brands!$A$2:$FZ$601,31,Sync!$D$11)),0)&gt;0,IFERROR(INDEX(Clay_Brands!$A$2:$FZ$601,31,Sync!$D$5)&amp;"","")&lt;&gt;"",OR(LEFT(IFERROR(INDEX(Clay_Brands!$A$2:$FZ$601,31,Sync!$D$5)&amp;"",""),6)&lt;&gt;"SAMPLE",Config!$B$19="Y")),IFERROR(N(INDEX(Clay_Brands!$A$2:$FZ$601,31,Sync!$D$11)),0),"")</f>
        <v>46345</v>
      </c>
      <c r="C3482" s="23" t="str">
        <f aca="false">IF(B3482="","","brand")</f>
        <v>brand</v>
      </c>
      <c r="D3482" s="23" t="str">
        <f aca="false">IF(B3482="","",IFERROR(INDEX(Brand_Log!$DV$2:$DV$201,MATCH(IFERROR(INDEX(Clay_Brands!$A$2:$FZ$601,31,Sync!$D$5)&amp;"",""),Brand_Log!$A$2:$A$201,0))&amp;"",IFERROR(INDEX(Clay_Brands!$A$2:$FZ$601,31,Sync!$D$5)&amp;"","")&amp;""))</f>
        <v>SAMPLE-B-031</v>
      </c>
      <c r="E3482" s="23" t="str">
        <f aca="false">IF(B3482="","",IFERROR(INDEX(Clay_Brands!$A$2:$FZ$601,31,Sync!$D$6)&amp;"",""))</f>
        <v>SAMPLE Brand 31</v>
      </c>
      <c r="F3482" s="23" t="str">
        <f aca="false">IF(B3482="","","outreach_sent")</f>
        <v>outreach_sent</v>
      </c>
      <c r="G3482" s="23" t="str">
        <f aca="false">IF(B3482="","","")</f>
        <v/>
      </c>
      <c r="H3482" s="23" t="str">
        <f aca="false">IF(B3482="","","")</f>
        <v/>
      </c>
      <c r="I3482" s="23" t="str">
        <f aca="false">IF(B3482="","","")</f>
        <v/>
      </c>
      <c r="J3482" s="23" t="str">
        <f aca="false">IF(B3482="","","touch_1; "&amp;IFERROR(INDEX(Clay_Brands!$A$2:$FZ$601,31,Sync!$D$10)&amp;"","")&amp;"; "&amp;IFERROR(INDEX(Clay_Brands!$A$2:$FZ$601,31,Sync!$D$9)&amp;"",""))</f>
        <v>touch_1; brand-discovery-A; email</v>
      </c>
      <c r="K3482" s="32" t="s">
        <v>1366</v>
      </c>
    </row>
    <row r="3483" customFormat="false" ht="15" hidden="false" customHeight="false" outlineLevel="0" collapsed="false">
      <c r="A3483" s="42" t="n">
        <f aca="false">IF(B3483="","",B3483+(15*1000+32)/10000000)</f>
        <v>46322.0015032</v>
      </c>
      <c r="B3483" s="35" t="n">
        <f aca="false">IF(AND(IFERROR(N(INDEX(Clay_Brands!$A$2:$FZ$601,32,Sync!$D$11)),0)&gt;0,IFERROR(INDEX(Clay_Brands!$A$2:$FZ$601,32,Sync!$D$5)&amp;"","")&lt;&gt;"",OR(LEFT(IFERROR(INDEX(Clay_Brands!$A$2:$FZ$601,32,Sync!$D$5)&amp;"",""),6)&lt;&gt;"SAMPLE",Config!$B$19="Y")),IFERROR(N(INDEX(Clay_Brands!$A$2:$FZ$601,32,Sync!$D$11)),0),"")</f>
        <v>46322</v>
      </c>
      <c r="C3483" s="23" t="str">
        <f aca="false">IF(B3483="","","brand")</f>
        <v>brand</v>
      </c>
      <c r="D3483" s="23" t="str">
        <f aca="false">IF(B3483="","",IFERROR(INDEX(Brand_Log!$DV$2:$DV$201,MATCH(IFERROR(INDEX(Clay_Brands!$A$2:$FZ$601,32,Sync!$D$5)&amp;"",""),Brand_Log!$A$2:$A$201,0))&amp;"",IFERROR(INDEX(Clay_Brands!$A$2:$FZ$601,32,Sync!$D$5)&amp;"","")&amp;""))</f>
        <v>SAMPLE-B-032</v>
      </c>
      <c r="E3483" s="23" t="str">
        <f aca="false">IF(B3483="","",IFERROR(INDEX(Clay_Brands!$A$2:$FZ$601,32,Sync!$D$6)&amp;"",""))</f>
        <v>SAMPLE Brand 32</v>
      </c>
      <c r="F3483" s="23" t="str">
        <f aca="false">IF(B3483="","","outreach_sent")</f>
        <v>outreach_sent</v>
      </c>
      <c r="G3483" s="23" t="str">
        <f aca="false">IF(B3483="","","")</f>
        <v/>
      </c>
      <c r="H3483" s="23" t="str">
        <f aca="false">IF(B3483="","","")</f>
        <v/>
      </c>
      <c r="I3483" s="23" t="str">
        <f aca="false">IF(B3483="","","")</f>
        <v/>
      </c>
      <c r="J3483" s="23" t="str">
        <f aca="false">IF(B3483="","","touch_1; "&amp;IFERROR(INDEX(Clay_Brands!$A$2:$FZ$601,32,Sync!$D$10)&amp;"","")&amp;"; "&amp;IFERROR(INDEX(Clay_Brands!$A$2:$FZ$601,32,Sync!$D$9)&amp;"",""))</f>
        <v>touch_1; brand-discovery-B; linkedin</v>
      </c>
      <c r="K3483" s="32" t="s">
        <v>1366</v>
      </c>
    </row>
    <row r="3484" customFormat="false" ht="15" hidden="false" customHeight="false" outlineLevel="0" collapsed="false">
      <c r="A3484" s="42" t="n">
        <f aca="false">IF(B3484="","",B3484+(15*1000+33)/10000000)</f>
        <v>46325.0015033</v>
      </c>
      <c r="B3484" s="35" t="n">
        <f aca="false">IF(AND(IFERROR(N(INDEX(Clay_Brands!$A$2:$FZ$601,33,Sync!$D$11)),0)&gt;0,IFERROR(INDEX(Clay_Brands!$A$2:$FZ$601,33,Sync!$D$5)&amp;"","")&lt;&gt;"",OR(LEFT(IFERROR(INDEX(Clay_Brands!$A$2:$FZ$601,33,Sync!$D$5)&amp;"",""),6)&lt;&gt;"SAMPLE",Config!$B$19="Y")),IFERROR(N(INDEX(Clay_Brands!$A$2:$FZ$601,33,Sync!$D$11)),0),"")</f>
        <v>46325</v>
      </c>
      <c r="C3484" s="23" t="str">
        <f aca="false">IF(B3484="","","brand")</f>
        <v>brand</v>
      </c>
      <c r="D3484" s="23" t="str">
        <f aca="false">IF(B3484="","",IFERROR(INDEX(Brand_Log!$DV$2:$DV$201,MATCH(IFERROR(INDEX(Clay_Brands!$A$2:$FZ$601,33,Sync!$D$5)&amp;"",""),Brand_Log!$A$2:$A$201,0))&amp;"",IFERROR(INDEX(Clay_Brands!$A$2:$FZ$601,33,Sync!$D$5)&amp;"","")&amp;""))</f>
        <v>SAMPLE-B-033</v>
      </c>
      <c r="E3484" s="23" t="str">
        <f aca="false">IF(B3484="","",IFERROR(INDEX(Clay_Brands!$A$2:$FZ$601,33,Sync!$D$6)&amp;"",""))</f>
        <v>SAMPLE Brand 33</v>
      </c>
      <c r="F3484" s="23" t="str">
        <f aca="false">IF(B3484="","","outreach_sent")</f>
        <v>outreach_sent</v>
      </c>
      <c r="G3484" s="23" t="str">
        <f aca="false">IF(B3484="","","")</f>
        <v/>
      </c>
      <c r="H3484" s="23" t="str">
        <f aca="false">IF(B3484="","","")</f>
        <v/>
      </c>
      <c r="I3484" s="23" t="str">
        <f aca="false">IF(B3484="","","")</f>
        <v/>
      </c>
      <c r="J3484" s="23" t="str">
        <f aca="false">IF(B3484="","","touch_1; "&amp;IFERROR(INDEX(Clay_Brands!$A$2:$FZ$601,33,Sync!$D$10)&amp;"","")&amp;"; "&amp;IFERROR(INDEX(Clay_Brands!$A$2:$FZ$601,33,Sync!$D$9)&amp;"",""))</f>
        <v>touch_1; brand-discovery-A; linkedin</v>
      </c>
      <c r="K3484" s="32" t="s">
        <v>1366</v>
      </c>
    </row>
    <row r="3485" customFormat="false" ht="15" hidden="false" customHeight="false" outlineLevel="0" collapsed="false">
      <c r="A3485" s="42" t="n">
        <f aca="false">IF(B3485="","",B3485+(15*1000+34)/10000000)</f>
        <v>46330.0015034</v>
      </c>
      <c r="B3485" s="35" t="n">
        <f aca="false">IF(AND(IFERROR(N(INDEX(Clay_Brands!$A$2:$FZ$601,34,Sync!$D$11)),0)&gt;0,IFERROR(INDEX(Clay_Brands!$A$2:$FZ$601,34,Sync!$D$5)&amp;"","")&lt;&gt;"",OR(LEFT(IFERROR(INDEX(Clay_Brands!$A$2:$FZ$601,34,Sync!$D$5)&amp;"",""),6)&lt;&gt;"SAMPLE",Config!$B$19="Y")),IFERROR(N(INDEX(Clay_Brands!$A$2:$FZ$601,34,Sync!$D$11)),0),"")</f>
        <v>46330</v>
      </c>
      <c r="C3485" s="23" t="str">
        <f aca="false">IF(B3485="","","brand")</f>
        <v>brand</v>
      </c>
      <c r="D3485" s="23" t="str">
        <f aca="false">IF(B3485="","",IFERROR(INDEX(Brand_Log!$DV$2:$DV$201,MATCH(IFERROR(INDEX(Clay_Brands!$A$2:$FZ$601,34,Sync!$D$5)&amp;"",""),Brand_Log!$A$2:$A$201,0))&amp;"",IFERROR(INDEX(Clay_Brands!$A$2:$FZ$601,34,Sync!$D$5)&amp;"","")&amp;""))</f>
        <v>SAMPLE-B-034</v>
      </c>
      <c r="E3485" s="23" t="str">
        <f aca="false">IF(B3485="","",IFERROR(INDEX(Clay_Brands!$A$2:$FZ$601,34,Sync!$D$6)&amp;"",""))</f>
        <v>SAMPLE Brand 34</v>
      </c>
      <c r="F3485" s="23" t="str">
        <f aca="false">IF(B3485="","","outreach_sent")</f>
        <v>outreach_sent</v>
      </c>
      <c r="G3485" s="23" t="str">
        <f aca="false">IF(B3485="","","")</f>
        <v/>
      </c>
      <c r="H3485" s="23" t="str">
        <f aca="false">IF(B3485="","","")</f>
        <v/>
      </c>
      <c r="I3485" s="23" t="str">
        <f aca="false">IF(B3485="","","")</f>
        <v/>
      </c>
      <c r="J3485" s="23" t="str">
        <f aca="false">IF(B3485="","","touch_1; "&amp;IFERROR(INDEX(Clay_Brands!$A$2:$FZ$601,34,Sync!$D$10)&amp;"","")&amp;"; "&amp;IFERROR(INDEX(Clay_Brands!$A$2:$FZ$601,34,Sync!$D$9)&amp;"",""))</f>
        <v>touch_1; brand-discovery-B; linkedin</v>
      </c>
      <c r="K3485" s="32" t="s">
        <v>1366</v>
      </c>
    </row>
    <row r="3486" customFormat="false" ht="15" hidden="false" customHeight="false" outlineLevel="0" collapsed="false">
      <c r="A3486" s="42" t="n">
        <f aca="false">IF(B3486="","",B3486+(15*1000+35)/10000000)</f>
        <v>46335.0015035</v>
      </c>
      <c r="B3486" s="35" t="n">
        <f aca="false">IF(AND(IFERROR(N(INDEX(Clay_Brands!$A$2:$FZ$601,35,Sync!$D$11)),0)&gt;0,IFERROR(INDEX(Clay_Brands!$A$2:$FZ$601,35,Sync!$D$5)&amp;"","")&lt;&gt;"",OR(LEFT(IFERROR(INDEX(Clay_Brands!$A$2:$FZ$601,35,Sync!$D$5)&amp;"",""),6)&lt;&gt;"SAMPLE",Config!$B$19="Y")),IFERROR(N(INDEX(Clay_Brands!$A$2:$FZ$601,35,Sync!$D$11)),0),"")</f>
        <v>46335</v>
      </c>
      <c r="C3486" s="23" t="str">
        <f aca="false">IF(B3486="","","brand")</f>
        <v>brand</v>
      </c>
      <c r="D3486" s="23" t="str">
        <f aca="false">IF(B3486="","",IFERROR(INDEX(Brand_Log!$DV$2:$DV$201,MATCH(IFERROR(INDEX(Clay_Brands!$A$2:$FZ$601,35,Sync!$D$5)&amp;"",""),Brand_Log!$A$2:$A$201,0))&amp;"",IFERROR(INDEX(Clay_Brands!$A$2:$FZ$601,35,Sync!$D$5)&amp;"","")&amp;""))</f>
        <v>SAMPLE-B-035</v>
      </c>
      <c r="E3486" s="23" t="str">
        <f aca="false">IF(B3486="","",IFERROR(INDEX(Clay_Brands!$A$2:$FZ$601,35,Sync!$D$6)&amp;"",""))</f>
        <v>SAMPLE Brand 35</v>
      </c>
      <c r="F3486" s="23" t="str">
        <f aca="false">IF(B3486="","","outreach_sent")</f>
        <v>outreach_sent</v>
      </c>
      <c r="G3486" s="23" t="str">
        <f aca="false">IF(B3486="","","")</f>
        <v/>
      </c>
      <c r="H3486" s="23" t="str">
        <f aca="false">IF(B3486="","","")</f>
        <v/>
      </c>
      <c r="I3486" s="23" t="str">
        <f aca="false">IF(B3486="","","")</f>
        <v/>
      </c>
      <c r="J3486" s="23" t="str">
        <f aca="false">IF(B3486="","","touch_1; "&amp;IFERROR(INDEX(Clay_Brands!$A$2:$FZ$601,35,Sync!$D$10)&amp;"","")&amp;"; "&amp;IFERROR(INDEX(Clay_Brands!$A$2:$FZ$601,35,Sync!$D$9)&amp;"",""))</f>
        <v>touch_1; brand-discovery-A; email</v>
      </c>
      <c r="K3486" s="32" t="s">
        <v>1366</v>
      </c>
    </row>
    <row r="3487" customFormat="false" ht="15" hidden="false" customHeight="false" outlineLevel="0" collapsed="false">
      <c r="A3487" s="42" t="n">
        <f aca="false">IF(B3487="","",B3487+(15*1000+36)/10000000)</f>
        <v>46339.0015036</v>
      </c>
      <c r="B3487" s="35" t="n">
        <f aca="false">IF(AND(IFERROR(N(INDEX(Clay_Brands!$A$2:$FZ$601,36,Sync!$D$11)),0)&gt;0,IFERROR(INDEX(Clay_Brands!$A$2:$FZ$601,36,Sync!$D$5)&amp;"","")&lt;&gt;"",OR(LEFT(IFERROR(INDEX(Clay_Brands!$A$2:$FZ$601,36,Sync!$D$5)&amp;"",""),6)&lt;&gt;"SAMPLE",Config!$B$19="Y")),IFERROR(N(INDEX(Clay_Brands!$A$2:$FZ$601,36,Sync!$D$11)),0),"")</f>
        <v>46339</v>
      </c>
      <c r="C3487" s="23" t="str">
        <f aca="false">IF(B3487="","","brand")</f>
        <v>brand</v>
      </c>
      <c r="D3487" s="23" t="str">
        <f aca="false">IF(B3487="","",IFERROR(INDEX(Brand_Log!$DV$2:$DV$201,MATCH(IFERROR(INDEX(Clay_Brands!$A$2:$FZ$601,36,Sync!$D$5)&amp;"",""),Brand_Log!$A$2:$A$201,0))&amp;"",IFERROR(INDEX(Clay_Brands!$A$2:$FZ$601,36,Sync!$D$5)&amp;"","")&amp;""))</f>
        <v>SAMPLE-B-036</v>
      </c>
      <c r="E3487" s="23" t="str">
        <f aca="false">IF(B3487="","",IFERROR(INDEX(Clay_Brands!$A$2:$FZ$601,36,Sync!$D$6)&amp;"",""))</f>
        <v>SAMPLE Brand 36</v>
      </c>
      <c r="F3487" s="23" t="str">
        <f aca="false">IF(B3487="","","outreach_sent")</f>
        <v>outreach_sent</v>
      </c>
      <c r="G3487" s="23" t="str">
        <f aca="false">IF(B3487="","","")</f>
        <v/>
      </c>
      <c r="H3487" s="23" t="str">
        <f aca="false">IF(B3487="","","")</f>
        <v/>
      </c>
      <c r="I3487" s="23" t="str">
        <f aca="false">IF(B3487="","","")</f>
        <v/>
      </c>
      <c r="J3487" s="23" t="str">
        <f aca="false">IF(B3487="","","touch_1; "&amp;IFERROR(INDEX(Clay_Brands!$A$2:$FZ$601,36,Sync!$D$10)&amp;"","")&amp;"; "&amp;IFERROR(INDEX(Clay_Brands!$A$2:$FZ$601,36,Sync!$D$9)&amp;"",""))</f>
        <v>touch_1; brand-discovery-B; linkedin</v>
      </c>
      <c r="K3487" s="32" t="s">
        <v>1366</v>
      </c>
    </row>
    <row r="3488" customFormat="false" ht="15" hidden="false" customHeight="false" outlineLevel="0" collapsed="false">
      <c r="A3488" s="42" t="n">
        <f aca="false">IF(B3488="","",B3488+(15*1000+37)/10000000)</f>
        <v>46344.0015037</v>
      </c>
      <c r="B3488" s="35" t="n">
        <f aca="false">IF(AND(IFERROR(N(INDEX(Clay_Brands!$A$2:$FZ$601,37,Sync!$D$11)),0)&gt;0,IFERROR(INDEX(Clay_Brands!$A$2:$FZ$601,37,Sync!$D$5)&amp;"","")&lt;&gt;"",OR(LEFT(IFERROR(INDEX(Clay_Brands!$A$2:$FZ$601,37,Sync!$D$5)&amp;"",""),6)&lt;&gt;"SAMPLE",Config!$B$19="Y")),IFERROR(N(INDEX(Clay_Brands!$A$2:$FZ$601,37,Sync!$D$11)),0),"")</f>
        <v>46344</v>
      </c>
      <c r="C3488" s="23" t="str">
        <f aca="false">IF(B3488="","","brand")</f>
        <v>brand</v>
      </c>
      <c r="D3488" s="23" t="str">
        <f aca="false">IF(B3488="","",IFERROR(INDEX(Brand_Log!$DV$2:$DV$201,MATCH(IFERROR(INDEX(Clay_Brands!$A$2:$FZ$601,37,Sync!$D$5)&amp;"",""),Brand_Log!$A$2:$A$201,0))&amp;"",IFERROR(INDEX(Clay_Brands!$A$2:$FZ$601,37,Sync!$D$5)&amp;"","")&amp;""))</f>
        <v>SAMPLE-B-037</v>
      </c>
      <c r="E3488" s="23" t="str">
        <f aca="false">IF(B3488="","",IFERROR(INDEX(Clay_Brands!$A$2:$FZ$601,37,Sync!$D$6)&amp;"",""))</f>
        <v>SAMPLE Brand 37</v>
      </c>
      <c r="F3488" s="23" t="str">
        <f aca="false">IF(B3488="","","outreach_sent")</f>
        <v>outreach_sent</v>
      </c>
      <c r="G3488" s="23" t="str">
        <f aca="false">IF(B3488="","","")</f>
        <v/>
      </c>
      <c r="H3488" s="23" t="str">
        <f aca="false">IF(B3488="","","")</f>
        <v/>
      </c>
      <c r="I3488" s="23" t="str">
        <f aca="false">IF(B3488="","","")</f>
        <v/>
      </c>
      <c r="J3488" s="23" t="str">
        <f aca="false">IF(B3488="","","touch_1; "&amp;IFERROR(INDEX(Clay_Brands!$A$2:$FZ$601,37,Sync!$D$10)&amp;"","")&amp;"; "&amp;IFERROR(INDEX(Clay_Brands!$A$2:$FZ$601,37,Sync!$D$9)&amp;"",""))</f>
        <v>touch_1; brand-discovery-A; email</v>
      </c>
      <c r="K3488" s="32" t="s">
        <v>1366</v>
      </c>
    </row>
    <row r="3489" customFormat="false" ht="15" hidden="false" customHeight="false" outlineLevel="0" collapsed="false">
      <c r="A3489" s="42" t="n">
        <f aca="false">IF(B3489="","",B3489+(15*1000+38)/10000000)</f>
        <v>46321.0015038</v>
      </c>
      <c r="B3489" s="35" t="n">
        <f aca="false">IF(AND(IFERROR(N(INDEX(Clay_Brands!$A$2:$FZ$601,38,Sync!$D$11)),0)&gt;0,IFERROR(INDEX(Clay_Brands!$A$2:$FZ$601,38,Sync!$D$5)&amp;"","")&lt;&gt;"",OR(LEFT(IFERROR(INDEX(Clay_Brands!$A$2:$FZ$601,38,Sync!$D$5)&amp;"",""),6)&lt;&gt;"SAMPLE",Config!$B$19="Y")),IFERROR(N(INDEX(Clay_Brands!$A$2:$FZ$601,38,Sync!$D$11)),0),"")</f>
        <v>46321</v>
      </c>
      <c r="C3489" s="23" t="str">
        <f aca="false">IF(B3489="","","brand")</f>
        <v>brand</v>
      </c>
      <c r="D3489" s="23" t="str">
        <f aca="false">IF(B3489="","",IFERROR(INDEX(Brand_Log!$DV$2:$DV$201,MATCH(IFERROR(INDEX(Clay_Brands!$A$2:$FZ$601,38,Sync!$D$5)&amp;"",""),Brand_Log!$A$2:$A$201,0))&amp;"",IFERROR(INDEX(Clay_Brands!$A$2:$FZ$601,38,Sync!$D$5)&amp;"","")&amp;""))</f>
        <v>SAMPLE-B-038</v>
      </c>
      <c r="E3489" s="23" t="str">
        <f aca="false">IF(B3489="","",IFERROR(INDEX(Clay_Brands!$A$2:$FZ$601,38,Sync!$D$6)&amp;"",""))</f>
        <v>SAMPLE Brand 38</v>
      </c>
      <c r="F3489" s="23" t="str">
        <f aca="false">IF(B3489="","","outreach_sent")</f>
        <v>outreach_sent</v>
      </c>
      <c r="G3489" s="23" t="str">
        <f aca="false">IF(B3489="","","")</f>
        <v/>
      </c>
      <c r="H3489" s="23" t="str">
        <f aca="false">IF(B3489="","","")</f>
        <v/>
      </c>
      <c r="I3489" s="23" t="str">
        <f aca="false">IF(B3489="","","")</f>
        <v/>
      </c>
      <c r="J3489" s="23" t="str">
        <f aca="false">IF(B3489="","","touch_1; "&amp;IFERROR(INDEX(Clay_Brands!$A$2:$FZ$601,38,Sync!$D$10)&amp;"","")&amp;"; "&amp;IFERROR(INDEX(Clay_Brands!$A$2:$FZ$601,38,Sync!$D$9)&amp;"",""))</f>
        <v>touch_1; brand-discovery-B; linkedin</v>
      </c>
      <c r="K3489" s="32" t="s">
        <v>1366</v>
      </c>
    </row>
    <row r="3490" customFormat="false" ht="15" hidden="false" customHeight="false" outlineLevel="0" collapsed="false">
      <c r="A3490" s="42" t="n">
        <f aca="false">IF(B3490="","",B3490+(15*1000+39)/10000000)</f>
        <v>46324.0015039</v>
      </c>
      <c r="B3490" s="35" t="n">
        <f aca="false">IF(AND(IFERROR(N(INDEX(Clay_Brands!$A$2:$FZ$601,39,Sync!$D$11)),0)&gt;0,IFERROR(INDEX(Clay_Brands!$A$2:$FZ$601,39,Sync!$D$5)&amp;"","")&lt;&gt;"",OR(LEFT(IFERROR(INDEX(Clay_Brands!$A$2:$FZ$601,39,Sync!$D$5)&amp;"",""),6)&lt;&gt;"SAMPLE",Config!$B$19="Y")),IFERROR(N(INDEX(Clay_Brands!$A$2:$FZ$601,39,Sync!$D$11)),0),"")</f>
        <v>46324</v>
      </c>
      <c r="C3490" s="23" t="str">
        <f aca="false">IF(B3490="","","brand")</f>
        <v>brand</v>
      </c>
      <c r="D3490" s="23" t="str">
        <f aca="false">IF(B3490="","",IFERROR(INDEX(Brand_Log!$DV$2:$DV$201,MATCH(IFERROR(INDEX(Clay_Brands!$A$2:$FZ$601,39,Sync!$D$5)&amp;"",""),Brand_Log!$A$2:$A$201,0))&amp;"",IFERROR(INDEX(Clay_Brands!$A$2:$FZ$601,39,Sync!$D$5)&amp;"","")&amp;""))</f>
        <v>SAMPLE-B-039</v>
      </c>
      <c r="E3490" s="23" t="str">
        <f aca="false">IF(B3490="","",IFERROR(INDEX(Clay_Brands!$A$2:$FZ$601,39,Sync!$D$6)&amp;"",""))</f>
        <v>SAMPLE Brand 39</v>
      </c>
      <c r="F3490" s="23" t="str">
        <f aca="false">IF(B3490="","","outreach_sent")</f>
        <v>outreach_sent</v>
      </c>
      <c r="G3490" s="23" t="str">
        <f aca="false">IF(B3490="","","")</f>
        <v/>
      </c>
      <c r="H3490" s="23" t="str">
        <f aca="false">IF(B3490="","","")</f>
        <v/>
      </c>
      <c r="I3490" s="23" t="str">
        <f aca="false">IF(B3490="","","")</f>
        <v/>
      </c>
      <c r="J3490" s="23" t="str">
        <f aca="false">IF(B3490="","","touch_1; "&amp;IFERROR(INDEX(Clay_Brands!$A$2:$FZ$601,39,Sync!$D$10)&amp;"","")&amp;"; "&amp;IFERROR(INDEX(Clay_Brands!$A$2:$FZ$601,39,Sync!$D$9)&amp;"",""))</f>
        <v>touch_1; brand-discovery-A; linkedin</v>
      </c>
      <c r="K3490" s="32" t="s">
        <v>1366</v>
      </c>
    </row>
    <row r="3491" customFormat="false" ht="15" hidden="false" customHeight="false" outlineLevel="0" collapsed="false">
      <c r="A3491" s="42" t="n">
        <f aca="false">IF(B3491="","",B3491+(15*1000+40)/10000000)</f>
        <v>46329.001504</v>
      </c>
      <c r="B3491" s="35" t="n">
        <f aca="false">IF(AND(IFERROR(N(INDEX(Clay_Brands!$A$2:$FZ$601,40,Sync!$D$11)),0)&gt;0,IFERROR(INDEX(Clay_Brands!$A$2:$FZ$601,40,Sync!$D$5)&amp;"","")&lt;&gt;"",OR(LEFT(IFERROR(INDEX(Clay_Brands!$A$2:$FZ$601,40,Sync!$D$5)&amp;"",""),6)&lt;&gt;"SAMPLE",Config!$B$19="Y")),IFERROR(N(INDEX(Clay_Brands!$A$2:$FZ$601,40,Sync!$D$11)),0),"")</f>
        <v>46329</v>
      </c>
      <c r="C3491" s="23" t="str">
        <f aca="false">IF(B3491="","","brand")</f>
        <v>brand</v>
      </c>
      <c r="D3491" s="23" t="str">
        <f aca="false">IF(B3491="","",IFERROR(INDEX(Brand_Log!$DV$2:$DV$201,MATCH(IFERROR(INDEX(Clay_Brands!$A$2:$FZ$601,40,Sync!$D$5)&amp;"",""),Brand_Log!$A$2:$A$201,0))&amp;"",IFERROR(INDEX(Clay_Brands!$A$2:$FZ$601,40,Sync!$D$5)&amp;"","")&amp;""))</f>
        <v>SAMPLE-B-040</v>
      </c>
      <c r="E3491" s="23" t="str">
        <f aca="false">IF(B3491="","",IFERROR(INDEX(Clay_Brands!$A$2:$FZ$601,40,Sync!$D$6)&amp;"",""))</f>
        <v>SAMPLE Brand 40</v>
      </c>
      <c r="F3491" s="23" t="str">
        <f aca="false">IF(B3491="","","outreach_sent")</f>
        <v>outreach_sent</v>
      </c>
      <c r="G3491" s="23" t="str">
        <f aca="false">IF(B3491="","","")</f>
        <v/>
      </c>
      <c r="H3491" s="23" t="str">
        <f aca="false">IF(B3491="","","")</f>
        <v/>
      </c>
      <c r="I3491" s="23" t="str">
        <f aca="false">IF(B3491="","","")</f>
        <v/>
      </c>
      <c r="J3491" s="23" t="str">
        <f aca="false">IF(B3491="","","touch_1; "&amp;IFERROR(INDEX(Clay_Brands!$A$2:$FZ$601,40,Sync!$D$10)&amp;"","")&amp;"; "&amp;IFERROR(INDEX(Clay_Brands!$A$2:$FZ$601,40,Sync!$D$9)&amp;"",""))</f>
        <v>touch_1; brand-discovery-B; linkedin</v>
      </c>
      <c r="K3491" s="32" t="s">
        <v>1366</v>
      </c>
    </row>
    <row r="3492" customFormat="false" ht="15" hidden="false" customHeight="false" outlineLevel="0" collapsed="false">
      <c r="A3492" s="23" t="str">
        <f aca="false">IF(B3492="","",B3492+(15*1000+41)/10000000)</f>
        <v/>
      </c>
      <c r="B3492" s="35" t="str">
        <f aca="false">IF(AND(IFERROR(N(INDEX(Clay_Brands!$A$2:$FZ$601,41,Sync!$D$11)),0)&gt;0,IFERROR(INDEX(Clay_Brands!$A$2:$FZ$601,41,Sync!$D$5)&amp;"","")&lt;&gt;"",OR(LEFT(IFERROR(INDEX(Clay_Brands!$A$2:$FZ$601,41,Sync!$D$5)&amp;"",""),6)&lt;&gt;"SAMPLE",Config!$B$19="Y")),IFERROR(N(INDEX(Clay_Brands!$A$2:$FZ$601,41,Sync!$D$11)),0),"")</f>
        <v/>
      </c>
      <c r="C3492" s="23" t="str">
        <f aca="false">IF(B3492="","","brand")</f>
        <v/>
      </c>
      <c r="D3492" s="23" t="str">
        <f aca="false">IF(B3492="","",IFERROR(INDEX(Brand_Log!$DV$2:$DV$201,MATCH(IFERROR(INDEX(Clay_Brands!$A$2:$FZ$601,41,Sync!$D$5)&amp;"",""),Brand_Log!$A$2:$A$201,0))&amp;"",IFERROR(INDEX(Clay_Brands!$A$2:$FZ$601,41,Sync!$D$5)&amp;"","")&amp;""))</f>
        <v/>
      </c>
      <c r="E3492" s="23" t="str">
        <f aca="false">IF(B3492="","",IFERROR(INDEX(Clay_Brands!$A$2:$FZ$601,41,Sync!$D$6)&amp;"",""))</f>
        <v/>
      </c>
      <c r="F3492" s="23" t="str">
        <f aca="false">IF(B3492="","","outreach_sent")</f>
        <v/>
      </c>
      <c r="G3492" s="23" t="str">
        <f aca="false">IF(B3492="","","")</f>
        <v/>
      </c>
      <c r="H3492" s="23" t="str">
        <f aca="false">IF(B3492="","","")</f>
        <v/>
      </c>
      <c r="I3492" s="23" t="str">
        <f aca="false">IF(B3492="","","")</f>
        <v/>
      </c>
      <c r="J3492" s="23" t="str">
        <f aca="false">IF(B3492="","","touch_1; "&amp;IFERROR(INDEX(Clay_Brands!$A$2:$FZ$601,41,Sync!$D$10)&amp;"","")&amp;"; "&amp;IFERROR(INDEX(Clay_Brands!$A$2:$FZ$601,41,Sync!$D$9)&amp;"",""))</f>
        <v/>
      </c>
      <c r="K3492" s="32" t="s">
        <v>1366</v>
      </c>
    </row>
    <row r="3493" customFormat="false" ht="15" hidden="false" customHeight="false" outlineLevel="0" collapsed="false">
      <c r="A3493" s="23" t="str">
        <f aca="false">IF(B3493="","",B3493+(15*1000+42)/10000000)</f>
        <v/>
      </c>
      <c r="B3493" s="35" t="str">
        <f aca="false">IF(AND(IFERROR(N(INDEX(Clay_Brands!$A$2:$FZ$601,42,Sync!$D$11)),0)&gt;0,IFERROR(INDEX(Clay_Brands!$A$2:$FZ$601,42,Sync!$D$5)&amp;"","")&lt;&gt;"",OR(LEFT(IFERROR(INDEX(Clay_Brands!$A$2:$FZ$601,42,Sync!$D$5)&amp;"",""),6)&lt;&gt;"SAMPLE",Config!$B$19="Y")),IFERROR(N(INDEX(Clay_Brands!$A$2:$FZ$601,42,Sync!$D$11)),0),"")</f>
        <v/>
      </c>
      <c r="C3493" s="23" t="str">
        <f aca="false">IF(B3493="","","brand")</f>
        <v/>
      </c>
      <c r="D3493" s="23" t="str">
        <f aca="false">IF(B3493="","",IFERROR(INDEX(Brand_Log!$DV$2:$DV$201,MATCH(IFERROR(INDEX(Clay_Brands!$A$2:$FZ$601,42,Sync!$D$5)&amp;"",""),Brand_Log!$A$2:$A$201,0))&amp;"",IFERROR(INDEX(Clay_Brands!$A$2:$FZ$601,42,Sync!$D$5)&amp;"","")&amp;""))</f>
        <v/>
      </c>
      <c r="E3493" s="23" t="str">
        <f aca="false">IF(B3493="","",IFERROR(INDEX(Clay_Brands!$A$2:$FZ$601,42,Sync!$D$6)&amp;"",""))</f>
        <v/>
      </c>
      <c r="F3493" s="23" t="str">
        <f aca="false">IF(B3493="","","outreach_sent")</f>
        <v/>
      </c>
      <c r="G3493" s="23" t="str">
        <f aca="false">IF(B3493="","","")</f>
        <v/>
      </c>
      <c r="H3493" s="23" t="str">
        <f aca="false">IF(B3493="","","")</f>
        <v/>
      </c>
      <c r="I3493" s="23" t="str">
        <f aca="false">IF(B3493="","","")</f>
        <v/>
      </c>
      <c r="J3493" s="23" t="str">
        <f aca="false">IF(B3493="","","touch_1; "&amp;IFERROR(INDEX(Clay_Brands!$A$2:$FZ$601,42,Sync!$D$10)&amp;"","")&amp;"; "&amp;IFERROR(INDEX(Clay_Brands!$A$2:$FZ$601,42,Sync!$D$9)&amp;"",""))</f>
        <v/>
      </c>
      <c r="K3493" s="32" t="s">
        <v>1366</v>
      </c>
    </row>
    <row r="3494" customFormat="false" ht="15" hidden="false" customHeight="false" outlineLevel="0" collapsed="false">
      <c r="A3494" s="23" t="str">
        <f aca="false">IF(B3494="","",B3494+(15*1000+43)/10000000)</f>
        <v/>
      </c>
      <c r="B3494" s="35" t="str">
        <f aca="false">IF(AND(IFERROR(N(INDEX(Clay_Brands!$A$2:$FZ$601,43,Sync!$D$11)),0)&gt;0,IFERROR(INDEX(Clay_Brands!$A$2:$FZ$601,43,Sync!$D$5)&amp;"","")&lt;&gt;"",OR(LEFT(IFERROR(INDEX(Clay_Brands!$A$2:$FZ$601,43,Sync!$D$5)&amp;"",""),6)&lt;&gt;"SAMPLE",Config!$B$19="Y")),IFERROR(N(INDEX(Clay_Brands!$A$2:$FZ$601,43,Sync!$D$11)),0),"")</f>
        <v/>
      </c>
      <c r="C3494" s="23" t="str">
        <f aca="false">IF(B3494="","","brand")</f>
        <v/>
      </c>
      <c r="D3494" s="23" t="str">
        <f aca="false">IF(B3494="","",IFERROR(INDEX(Brand_Log!$DV$2:$DV$201,MATCH(IFERROR(INDEX(Clay_Brands!$A$2:$FZ$601,43,Sync!$D$5)&amp;"",""),Brand_Log!$A$2:$A$201,0))&amp;"",IFERROR(INDEX(Clay_Brands!$A$2:$FZ$601,43,Sync!$D$5)&amp;"","")&amp;""))</f>
        <v/>
      </c>
      <c r="E3494" s="23" t="str">
        <f aca="false">IF(B3494="","",IFERROR(INDEX(Clay_Brands!$A$2:$FZ$601,43,Sync!$D$6)&amp;"",""))</f>
        <v/>
      </c>
      <c r="F3494" s="23" t="str">
        <f aca="false">IF(B3494="","","outreach_sent")</f>
        <v/>
      </c>
      <c r="G3494" s="23" t="str">
        <f aca="false">IF(B3494="","","")</f>
        <v/>
      </c>
      <c r="H3494" s="23" t="str">
        <f aca="false">IF(B3494="","","")</f>
        <v/>
      </c>
      <c r="I3494" s="23" t="str">
        <f aca="false">IF(B3494="","","")</f>
        <v/>
      </c>
      <c r="J3494" s="23" t="str">
        <f aca="false">IF(B3494="","","touch_1; "&amp;IFERROR(INDEX(Clay_Brands!$A$2:$FZ$601,43,Sync!$D$10)&amp;"","")&amp;"; "&amp;IFERROR(INDEX(Clay_Brands!$A$2:$FZ$601,43,Sync!$D$9)&amp;"",""))</f>
        <v/>
      </c>
      <c r="K3494" s="32" t="s">
        <v>1366</v>
      </c>
    </row>
    <row r="3495" customFormat="false" ht="15" hidden="false" customHeight="false" outlineLevel="0" collapsed="false">
      <c r="A3495" s="23" t="str">
        <f aca="false">IF(B3495="","",B3495+(15*1000+44)/10000000)</f>
        <v/>
      </c>
      <c r="B3495" s="35" t="str">
        <f aca="false">IF(AND(IFERROR(N(INDEX(Clay_Brands!$A$2:$FZ$601,44,Sync!$D$11)),0)&gt;0,IFERROR(INDEX(Clay_Brands!$A$2:$FZ$601,44,Sync!$D$5)&amp;"","")&lt;&gt;"",OR(LEFT(IFERROR(INDEX(Clay_Brands!$A$2:$FZ$601,44,Sync!$D$5)&amp;"",""),6)&lt;&gt;"SAMPLE",Config!$B$19="Y")),IFERROR(N(INDEX(Clay_Brands!$A$2:$FZ$601,44,Sync!$D$11)),0),"")</f>
        <v/>
      </c>
      <c r="C3495" s="23" t="str">
        <f aca="false">IF(B3495="","","brand")</f>
        <v/>
      </c>
      <c r="D3495" s="23" t="str">
        <f aca="false">IF(B3495="","",IFERROR(INDEX(Brand_Log!$DV$2:$DV$201,MATCH(IFERROR(INDEX(Clay_Brands!$A$2:$FZ$601,44,Sync!$D$5)&amp;"",""),Brand_Log!$A$2:$A$201,0))&amp;"",IFERROR(INDEX(Clay_Brands!$A$2:$FZ$601,44,Sync!$D$5)&amp;"","")&amp;""))</f>
        <v/>
      </c>
      <c r="E3495" s="23" t="str">
        <f aca="false">IF(B3495="","",IFERROR(INDEX(Clay_Brands!$A$2:$FZ$601,44,Sync!$D$6)&amp;"",""))</f>
        <v/>
      </c>
      <c r="F3495" s="23" t="str">
        <f aca="false">IF(B3495="","","outreach_sent")</f>
        <v/>
      </c>
      <c r="G3495" s="23" t="str">
        <f aca="false">IF(B3495="","","")</f>
        <v/>
      </c>
      <c r="H3495" s="23" t="str">
        <f aca="false">IF(B3495="","","")</f>
        <v/>
      </c>
      <c r="I3495" s="23" t="str">
        <f aca="false">IF(B3495="","","")</f>
        <v/>
      </c>
      <c r="J3495" s="23" t="str">
        <f aca="false">IF(B3495="","","touch_1; "&amp;IFERROR(INDEX(Clay_Brands!$A$2:$FZ$601,44,Sync!$D$10)&amp;"","")&amp;"; "&amp;IFERROR(INDEX(Clay_Brands!$A$2:$FZ$601,44,Sync!$D$9)&amp;"",""))</f>
        <v/>
      </c>
      <c r="K3495" s="32" t="s">
        <v>1366</v>
      </c>
    </row>
    <row r="3496" customFormat="false" ht="15" hidden="false" customHeight="false" outlineLevel="0" collapsed="false">
      <c r="A3496" s="23" t="str">
        <f aca="false">IF(B3496="","",B3496+(15*1000+45)/10000000)</f>
        <v/>
      </c>
      <c r="B3496" s="35" t="str">
        <f aca="false">IF(AND(IFERROR(N(INDEX(Clay_Brands!$A$2:$FZ$601,45,Sync!$D$11)),0)&gt;0,IFERROR(INDEX(Clay_Brands!$A$2:$FZ$601,45,Sync!$D$5)&amp;"","")&lt;&gt;"",OR(LEFT(IFERROR(INDEX(Clay_Brands!$A$2:$FZ$601,45,Sync!$D$5)&amp;"",""),6)&lt;&gt;"SAMPLE",Config!$B$19="Y")),IFERROR(N(INDEX(Clay_Brands!$A$2:$FZ$601,45,Sync!$D$11)),0),"")</f>
        <v/>
      </c>
      <c r="C3496" s="23" t="str">
        <f aca="false">IF(B3496="","","brand")</f>
        <v/>
      </c>
      <c r="D3496" s="23" t="str">
        <f aca="false">IF(B3496="","",IFERROR(INDEX(Brand_Log!$DV$2:$DV$201,MATCH(IFERROR(INDEX(Clay_Brands!$A$2:$FZ$601,45,Sync!$D$5)&amp;"",""),Brand_Log!$A$2:$A$201,0))&amp;"",IFERROR(INDEX(Clay_Brands!$A$2:$FZ$601,45,Sync!$D$5)&amp;"","")&amp;""))</f>
        <v/>
      </c>
      <c r="E3496" s="23" t="str">
        <f aca="false">IF(B3496="","",IFERROR(INDEX(Clay_Brands!$A$2:$FZ$601,45,Sync!$D$6)&amp;"",""))</f>
        <v/>
      </c>
      <c r="F3496" s="23" t="str">
        <f aca="false">IF(B3496="","","outreach_sent")</f>
        <v/>
      </c>
      <c r="G3496" s="23" t="str">
        <f aca="false">IF(B3496="","","")</f>
        <v/>
      </c>
      <c r="H3496" s="23" t="str">
        <f aca="false">IF(B3496="","","")</f>
        <v/>
      </c>
      <c r="I3496" s="23" t="str">
        <f aca="false">IF(B3496="","","")</f>
        <v/>
      </c>
      <c r="J3496" s="23" t="str">
        <f aca="false">IF(B3496="","","touch_1; "&amp;IFERROR(INDEX(Clay_Brands!$A$2:$FZ$601,45,Sync!$D$10)&amp;"","")&amp;"; "&amp;IFERROR(INDEX(Clay_Brands!$A$2:$FZ$601,45,Sync!$D$9)&amp;"",""))</f>
        <v/>
      </c>
      <c r="K3496" s="32" t="s">
        <v>1366</v>
      </c>
    </row>
    <row r="3497" customFormat="false" ht="15" hidden="false" customHeight="false" outlineLevel="0" collapsed="false">
      <c r="A3497" s="23" t="str">
        <f aca="false">IF(B3497="","",B3497+(15*1000+46)/10000000)</f>
        <v/>
      </c>
      <c r="B3497" s="35" t="str">
        <f aca="false">IF(AND(IFERROR(N(INDEX(Clay_Brands!$A$2:$FZ$601,46,Sync!$D$11)),0)&gt;0,IFERROR(INDEX(Clay_Brands!$A$2:$FZ$601,46,Sync!$D$5)&amp;"","")&lt;&gt;"",OR(LEFT(IFERROR(INDEX(Clay_Brands!$A$2:$FZ$601,46,Sync!$D$5)&amp;"",""),6)&lt;&gt;"SAMPLE",Config!$B$19="Y")),IFERROR(N(INDEX(Clay_Brands!$A$2:$FZ$601,46,Sync!$D$11)),0),"")</f>
        <v/>
      </c>
      <c r="C3497" s="23" t="str">
        <f aca="false">IF(B3497="","","brand")</f>
        <v/>
      </c>
      <c r="D3497" s="23" t="str">
        <f aca="false">IF(B3497="","",IFERROR(INDEX(Brand_Log!$DV$2:$DV$201,MATCH(IFERROR(INDEX(Clay_Brands!$A$2:$FZ$601,46,Sync!$D$5)&amp;"",""),Brand_Log!$A$2:$A$201,0))&amp;"",IFERROR(INDEX(Clay_Brands!$A$2:$FZ$601,46,Sync!$D$5)&amp;"","")&amp;""))</f>
        <v/>
      </c>
      <c r="E3497" s="23" t="str">
        <f aca="false">IF(B3497="","",IFERROR(INDEX(Clay_Brands!$A$2:$FZ$601,46,Sync!$D$6)&amp;"",""))</f>
        <v/>
      </c>
      <c r="F3497" s="23" t="str">
        <f aca="false">IF(B3497="","","outreach_sent")</f>
        <v/>
      </c>
      <c r="G3497" s="23" t="str">
        <f aca="false">IF(B3497="","","")</f>
        <v/>
      </c>
      <c r="H3497" s="23" t="str">
        <f aca="false">IF(B3497="","","")</f>
        <v/>
      </c>
      <c r="I3497" s="23" t="str">
        <f aca="false">IF(B3497="","","")</f>
        <v/>
      </c>
      <c r="J3497" s="23" t="str">
        <f aca="false">IF(B3497="","","touch_1; "&amp;IFERROR(INDEX(Clay_Brands!$A$2:$FZ$601,46,Sync!$D$10)&amp;"","")&amp;"; "&amp;IFERROR(INDEX(Clay_Brands!$A$2:$FZ$601,46,Sync!$D$9)&amp;"",""))</f>
        <v/>
      </c>
      <c r="K3497" s="32" t="s">
        <v>1366</v>
      </c>
    </row>
    <row r="3498" customFormat="false" ht="15" hidden="false" customHeight="false" outlineLevel="0" collapsed="false">
      <c r="A3498" s="23" t="str">
        <f aca="false">IF(B3498="","",B3498+(15*1000+47)/10000000)</f>
        <v/>
      </c>
      <c r="B3498" s="35" t="str">
        <f aca="false">IF(AND(IFERROR(N(INDEX(Clay_Brands!$A$2:$FZ$601,47,Sync!$D$11)),0)&gt;0,IFERROR(INDEX(Clay_Brands!$A$2:$FZ$601,47,Sync!$D$5)&amp;"","")&lt;&gt;"",OR(LEFT(IFERROR(INDEX(Clay_Brands!$A$2:$FZ$601,47,Sync!$D$5)&amp;"",""),6)&lt;&gt;"SAMPLE",Config!$B$19="Y")),IFERROR(N(INDEX(Clay_Brands!$A$2:$FZ$601,47,Sync!$D$11)),0),"")</f>
        <v/>
      </c>
      <c r="C3498" s="23" t="str">
        <f aca="false">IF(B3498="","","brand")</f>
        <v/>
      </c>
      <c r="D3498" s="23" t="str">
        <f aca="false">IF(B3498="","",IFERROR(INDEX(Brand_Log!$DV$2:$DV$201,MATCH(IFERROR(INDEX(Clay_Brands!$A$2:$FZ$601,47,Sync!$D$5)&amp;"",""),Brand_Log!$A$2:$A$201,0))&amp;"",IFERROR(INDEX(Clay_Brands!$A$2:$FZ$601,47,Sync!$D$5)&amp;"","")&amp;""))</f>
        <v/>
      </c>
      <c r="E3498" s="23" t="str">
        <f aca="false">IF(B3498="","",IFERROR(INDEX(Clay_Brands!$A$2:$FZ$601,47,Sync!$D$6)&amp;"",""))</f>
        <v/>
      </c>
      <c r="F3498" s="23" t="str">
        <f aca="false">IF(B3498="","","outreach_sent")</f>
        <v/>
      </c>
      <c r="G3498" s="23" t="str">
        <f aca="false">IF(B3498="","","")</f>
        <v/>
      </c>
      <c r="H3498" s="23" t="str">
        <f aca="false">IF(B3498="","","")</f>
        <v/>
      </c>
      <c r="I3498" s="23" t="str">
        <f aca="false">IF(B3498="","","")</f>
        <v/>
      </c>
      <c r="J3498" s="23" t="str">
        <f aca="false">IF(B3498="","","touch_1; "&amp;IFERROR(INDEX(Clay_Brands!$A$2:$FZ$601,47,Sync!$D$10)&amp;"","")&amp;"; "&amp;IFERROR(INDEX(Clay_Brands!$A$2:$FZ$601,47,Sync!$D$9)&amp;"",""))</f>
        <v/>
      </c>
      <c r="K3498" s="32" t="s">
        <v>1366</v>
      </c>
    </row>
    <row r="3499" customFormat="false" ht="15" hidden="false" customHeight="false" outlineLevel="0" collapsed="false">
      <c r="A3499" s="23" t="str">
        <f aca="false">IF(B3499="","",B3499+(15*1000+48)/10000000)</f>
        <v/>
      </c>
      <c r="B3499" s="35" t="str">
        <f aca="false">IF(AND(IFERROR(N(INDEX(Clay_Brands!$A$2:$FZ$601,48,Sync!$D$11)),0)&gt;0,IFERROR(INDEX(Clay_Brands!$A$2:$FZ$601,48,Sync!$D$5)&amp;"","")&lt;&gt;"",OR(LEFT(IFERROR(INDEX(Clay_Brands!$A$2:$FZ$601,48,Sync!$D$5)&amp;"",""),6)&lt;&gt;"SAMPLE",Config!$B$19="Y")),IFERROR(N(INDEX(Clay_Brands!$A$2:$FZ$601,48,Sync!$D$11)),0),"")</f>
        <v/>
      </c>
      <c r="C3499" s="23" t="str">
        <f aca="false">IF(B3499="","","brand")</f>
        <v/>
      </c>
      <c r="D3499" s="23" t="str">
        <f aca="false">IF(B3499="","",IFERROR(INDEX(Brand_Log!$DV$2:$DV$201,MATCH(IFERROR(INDEX(Clay_Brands!$A$2:$FZ$601,48,Sync!$D$5)&amp;"",""),Brand_Log!$A$2:$A$201,0))&amp;"",IFERROR(INDEX(Clay_Brands!$A$2:$FZ$601,48,Sync!$D$5)&amp;"","")&amp;""))</f>
        <v/>
      </c>
      <c r="E3499" s="23" t="str">
        <f aca="false">IF(B3499="","",IFERROR(INDEX(Clay_Brands!$A$2:$FZ$601,48,Sync!$D$6)&amp;"",""))</f>
        <v/>
      </c>
      <c r="F3499" s="23" t="str">
        <f aca="false">IF(B3499="","","outreach_sent")</f>
        <v/>
      </c>
      <c r="G3499" s="23" t="str">
        <f aca="false">IF(B3499="","","")</f>
        <v/>
      </c>
      <c r="H3499" s="23" t="str">
        <f aca="false">IF(B3499="","","")</f>
        <v/>
      </c>
      <c r="I3499" s="23" t="str">
        <f aca="false">IF(B3499="","","")</f>
        <v/>
      </c>
      <c r="J3499" s="23" t="str">
        <f aca="false">IF(B3499="","","touch_1; "&amp;IFERROR(INDEX(Clay_Brands!$A$2:$FZ$601,48,Sync!$D$10)&amp;"","")&amp;"; "&amp;IFERROR(INDEX(Clay_Brands!$A$2:$FZ$601,48,Sync!$D$9)&amp;"",""))</f>
        <v/>
      </c>
      <c r="K3499" s="32" t="s">
        <v>1366</v>
      </c>
    </row>
    <row r="3500" customFormat="false" ht="15" hidden="false" customHeight="false" outlineLevel="0" collapsed="false">
      <c r="A3500" s="23" t="str">
        <f aca="false">IF(B3500="","",B3500+(15*1000+49)/10000000)</f>
        <v/>
      </c>
      <c r="B3500" s="35" t="str">
        <f aca="false">IF(AND(IFERROR(N(INDEX(Clay_Brands!$A$2:$FZ$601,49,Sync!$D$11)),0)&gt;0,IFERROR(INDEX(Clay_Brands!$A$2:$FZ$601,49,Sync!$D$5)&amp;"","")&lt;&gt;"",OR(LEFT(IFERROR(INDEX(Clay_Brands!$A$2:$FZ$601,49,Sync!$D$5)&amp;"",""),6)&lt;&gt;"SAMPLE",Config!$B$19="Y")),IFERROR(N(INDEX(Clay_Brands!$A$2:$FZ$601,49,Sync!$D$11)),0),"")</f>
        <v/>
      </c>
      <c r="C3500" s="23" t="str">
        <f aca="false">IF(B3500="","","brand")</f>
        <v/>
      </c>
      <c r="D3500" s="23" t="str">
        <f aca="false">IF(B3500="","",IFERROR(INDEX(Brand_Log!$DV$2:$DV$201,MATCH(IFERROR(INDEX(Clay_Brands!$A$2:$FZ$601,49,Sync!$D$5)&amp;"",""),Brand_Log!$A$2:$A$201,0))&amp;"",IFERROR(INDEX(Clay_Brands!$A$2:$FZ$601,49,Sync!$D$5)&amp;"","")&amp;""))</f>
        <v/>
      </c>
      <c r="E3500" s="23" t="str">
        <f aca="false">IF(B3500="","",IFERROR(INDEX(Clay_Brands!$A$2:$FZ$601,49,Sync!$D$6)&amp;"",""))</f>
        <v/>
      </c>
      <c r="F3500" s="23" t="str">
        <f aca="false">IF(B3500="","","outreach_sent")</f>
        <v/>
      </c>
      <c r="G3500" s="23" t="str">
        <f aca="false">IF(B3500="","","")</f>
        <v/>
      </c>
      <c r="H3500" s="23" t="str">
        <f aca="false">IF(B3500="","","")</f>
        <v/>
      </c>
      <c r="I3500" s="23" t="str">
        <f aca="false">IF(B3500="","","")</f>
        <v/>
      </c>
      <c r="J3500" s="23" t="str">
        <f aca="false">IF(B3500="","","touch_1; "&amp;IFERROR(INDEX(Clay_Brands!$A$2:$FZ$601,49,Sync!$D$10)&amp;"","")&amp;"; "&amp;IFERROR(INDEX(Clay_Brands!$A$2:$FZ$601,49,Sync!$D$9)&amp;"",""))</f>
        <v/>
      </c>
      <c r="K3500" s="32" t="s">
        <v>1366</v>
      </c>
    </row>
    <row r="3501" customFormat="false" ht="15" hidden="false" customHeight="false" outlineLevel="0" collapsed="false">
      <c r="A3501" s="23" t="str">
        <f aca="false">IF(B3501="","",B3501+(15*1000+50)/10000000)</f>
        <v/>
      </c>
      <c r="B3501" s="35" t="str">
        <f aca="false">IF(AND(IFERROR(N(INDEX(Clay_Brands!$A$2:$FZ$601,50,Sync!$D$11)),0)&gt;0,IFERROR(INDEX(Clay_Brands!$A$2:$FZ$601,50,Sync!$D$5)&amp;"","")&lt;&gt;"",OR(LEFT(IFERROR(INDEX(Clay_Brands!$A$2:$FZ$601,50,Sync!$D$5)&amp;"",""),6)&lt;&gt;"SAMPLE",Config!$B$19="Y")),IFERROR(N(INDEX(Clay_Brands!$A$2:$FZ$601,50,Sync!$D$11)),0),"")</f>
        <v/>
      </c>
      <c r="C3501" s="23" t="str">
        <f aca="false">IF(B3501="","","brand")</f>
        <v/>
      </c>
      <c r="D3501" s="23" t="str">
        <f aca="false">IF(B3501="","",IFERROR(INDEX(Brand_Log!$DV$2:$DV$201,MATCH(IFERROR(INDEX(Clay_Brands!$A$2:$FZ$601,50,Sync!$D$5)&amp;"",""),Brand_Log!$A$2:$A$201,0))&amp;"",IFERROR(INDEX(Clay_Brands!$A$2:$FZ$601,50,Sync!$D$5)&amp;"","")&amp;""))</f>
        <v/>
      </c>
      <c r="E3501" s="23" t="str">
        <f aca="false">IF(B3501="","",IFERROR(INDEX(Clay_Brands!$A$2:$FZ$601,50,Sync!$D$6)&amp;"",""))</f>
        <v/>
      </c>
      <c r="F3501" s="23" t="str">
        <f aca="false">IF(B3501="","","outreach_sent")</f>
        <v/>
      </c>
      <c r="G3501" s="23" t="str">
        <f aca="false">IF(B3501="","","")</f>
        <v/>
      </c>
      <c r="H3501" s="23" t="str">
        <f aca="false">IF(B3501="","","")</f>
        <v/>
      </c>
      <c r="I3501" s="23" t="str">
        <f aca="false">IF(B3501="","","")</f>
        <v/>
      </c>
      <c r="J3501" s="23" t="str">
        <f aca="false">IF(B3501="","","touch_1; "&amp;IFERROR(INDEX(Clay_Brands!$A$2:$FZ$601,50,Sync!$D$10)&amp;"","")&amp;"; "&amp;IFERROR(INDEX(Clay_Brands!$A$2:$FZ$601,50,Sync!$D$9)&amp;"",""))</f>
        <v/>
      </c>
      <c r="K3501" s="32" t="s">
        <v>1366</v>
      </c>
    </row>
    <row r="3502" customFormat="false" ht="15" hidden="false" customHeight="false" outlineLevel="0" collapsed="false">
      <c r="A3502" s="23" t="str">
        <f aca="false">IF(B3502="","",B3502+(15*1000+51)/10000000)</f>
        <v/>
      </c>
      <c r="B3502" s="35" t="str">
        <f aca="false">IF(AND(IFERROR(N(INDEX(Clay_Brands!$A$2:$FZ$601,51,Sync!$D$11)),0)&gt;0,IFERROR(INDEX(Clay_Brands!$A$2:$FZ$601,51,Sync!$D$5)&amp;"","")&lt;&gt;"",OR(LEFT(IFERROR(INDEX(Clay_Brands!$A$2:$FZ$601,51,Sync!$D$5)&amp;"",""),6)&lt;&gt;"SAMPLE",Config!$B$19="Y")),IFERROR(N(INDEX(Clay_Brands!$A$2:$FZ$601,51,Sync!$D$11)),0),"")</f>
        <v/>
      </c>
      <c r="C3502" s="23" t="str">
        <f aca="false">IF(B3502="","","brand")</f>
        <v/>
      </c>
      <c r="D3502" s="23" t="str">
        <f aca="false">IF(B3502="","",IFERROR(INDEX(Brand_Log!$DV$2:$DV$201,MATCH(IFERROR(INDEX(Clay_Brands!$A$2:$FZ$601,51,Sync!$D$5)&amp;"",""),Brand_Log!$A$2:$A$201,0))&amp;"",IFERROR(INDEX(Clay_Brands!$A$2:$FZ$601,51,Sync!$D$5)&amp;"","")&amp;""))</f>
        <v/>
      </c>
      <c r="E3502" s="23" t="str">
        <f aca="false">IF(B3502="","",IFERROR(INDEX(Clay_Brands!$A$2:$FZ$601,51,Sync!$D$6)&amp;"",""))</f>
        <v/>
      </c>
      <c r="F3502" s="23" t="str">
        <f aca="false">IF(B3502="","","outreach_sent")</f>
        <v/>
      </c>
      <c r="G3502" s="23" t="str">
        <f aca="false">IF(B3502="","","")</f>
        <v/>
      </c>
      <c r="H3502" s="23" t="str">
        <f aca="false">IF(B3502="","","")</f>
        <v/>
      </c>
      <c r="I3502" s="23" t="str">
        <f aca="false">IF(B3502="","","")</f>
        <v/>
      </c>
      <c r="J3502" s="23" t="str">
        <f aca="false">IF(B3502="","","touch_1; "&amp;IFERROR(INDEX(Clay_Brands!$A$2:$FZ$601,51,Sync!$D$10)&amp;"","")&amp;"; "&amp;IFERROR(INDEX(Clay_Brands!$A$2:$FZ$601,51,Sync!$D$9)&amp;"",""))</f>
        <v/>
      </c>
      <c r="K3502" s="32" t="s">
        <v>1366</v>
      </c>
    </row>
    <row r="3503" customFormat="false" ht="15" hidden="false" customHeight="false" outlineLevel="0" collapsed="false">
      <c r="A3503" s="23" t="str">
        <f aca="false">IF(B3503="","",B3503+(15*1000+52)/10000000)</f>
        <v/>
      </c>
      <c r="B3503" s="35" t="str">
        <f aca="false">IF(AND(IFERROR(N(INDEX(Clay_Brands!$A$2:$FZ$601,52,Sync!$D$11)),0)&gt;0,IFERROR(INDEX(Clay_Brands!$A$2:$FZ$601,52,Sync!$D$5)&amp;"","")&lt;&gt;"",OR(LEFT(IFERROR(INDEX(Clay_Brands!$A$2:$FZ$601,52,Sync!$D$5)&amp;"",""),6)&lt;&gt;"SAMPLE",Config!$B$19="Y")),IFERROR(N(INDEX(Clay_Brands!$A$2:$FZ$601,52,Sync!$D$11)),0),"")</f>
        <v/>
      </c>
      <c r="C3503" s="23" t="str">
        <f aca="false">IF(B3503="","","brand")</f>
        <v/>
      </c>
      <c r="D3503" s="23" t="str">
        <f aca="false">IF(B3503="","",IFERROR(INDEX(Brand_Log!$DV$2:$DV$201,MATCH(IFERROR(INDEX(Clay_Brands!$A$2:$FZ$601,52,Sync!$D$5)&amp;"",""),Brand_Log!$A$2:$A$201,0))&amp;"",IFERROR(INDEX(Clay_Brands!$A$2:$FZ$601,52,Sync!$D$5)&amp;"","")&amp;""))</f>
        <v/>
      </c>
      <c r="E3503" s="23" t="str">
        <f aca="false">IF(B3503="","",IFERROR(INDEX(Clay_Brands!$A$2:$FZ$601,52,Sync!$D$6)&amp;"",""))</f>
        <v/>
      </c>
      <c r="F3503" s="23" t="str">
        <f aca="false">IF(B3503="","","outreach_sent")</f>
        <v/>
      </c>
      <c r="G3503" s="23" t="str">
        <f aca="false">IF(B3503="","","")</f>
        <v/>
      </c>
      <c r="H3503" s="23" t="str">
        <f aca="false">IF(B3503="","","")</f>
        <v/>
      </c>
      <c r="I3503" s="23" t="str">
        <f aca="false">IF(B3503="","","")</f>
        <v/>
      </c>
      <c r="J3503" s="23" t="str">
        <f aca="false">IF(B3503="","","touch_1; "&amp;IFERROR(INDEX(Clay_Brands!$A$2:$FZ$601,52,Sync!$D$10)&amp;"","")&amp;"; "&amp;IFERROR(INDEX(Clay_Brands!$A$2:$FZ$601,52,Sync!$D$9)&amp;"",""))</f>
        <v/>
      </c>
      <c r="K3503" s="32" t="s">
        <v>1366</v>
      </c>
    </row>
    <row r="3504" customFormat="false" ht="15" hidden="false" customHeight="false" outlineLevel="0" collapsed="false">
      <c r="A3504" s="23" t="str">
        <f aca="false">IF(B3504="","",B3504+(15*1000+53)/10000000)</f>
        <v/>
      </c>
      <c r="B3504" s="35" t="str">
        <f aca="false">IF(AND(IFERROR(N(INDEX(Clay_Brands!$A$2:$FZ$601,53,Sync!$D$11)),0)&gt;0,IFERROR(INDEX(Clay_Brands!$A$2:$FZ$601,53,Sync!$D$5)&amp;"","")&lt;&gt;"",OR(LEFT(IFERROR(INDEX(Clay_Brands!$A$2:$FZ$601,53,Sync!$D$5)&amp;"",""),6)&lt;&gt;"SAMPLE",Config!$B$19="Y")),IFERROR(N(INDEX(Clay_Brands!$A$2:$FZ$601,53,Sync!$D$11)),0),"")</f>
        <v/>
      </c>
      <c r="C3504" s="23" t="str">
        <f aca="false">IF(B3504="","","brand")</f>
        <v/>
      </c>
      <c r="D3504" s="23" t="str">
        <f aca="false">IF(B3504="","",IFERROR(INDEX(Brand_Log!$DV$2:$DV$201,MATCH(IFERROR(INDEX(Clay_Brands!$A$2:$FZ$601,53,Sync!$D$5)&amp;"",""),Brand_Log!$A$2:$A$201,0))&amp;"",IFERROR(INDEX(Clay_Brands!$A$2:$FZ$601,53,Sync!$D$5)&amp;"","")&amp;""))</f>
        <v/>
      </c>
      <c r="E3504" s="23" t="str">
        <f aca="false">IF(B3504="","",IFERROR(INDEX(Clay_Brands!$A$2:$FZ$601,53,Sync!$D$6)&amp;"",""))</f>
        <v/>
      </c>
      <c r="F3504" s="23" t="str">
        <f aca="false">IF(B3504="","","outreach_sent")</f>
        <v/>
      </c>
      <c r="G3504" s="23" t="str">
        <f aca="false">IF(B3504="","","")</f>
        <v/>
      </c>
      <c r="H3504" s="23" t="str">
        <f aca="false">IF(B3504="","","")</f>
        <v/>
      </c>
      <c r="I3504" s="23" t="str">
        <f aca="false">IF(B3504="","","")</f>
        <v/>
      </c>
      <c r="J3504" s="23" t="str">
        <f aca="false">IF(B3504="","","touch_1; "&amp;IFERROR(INDEX(Clay_Brands!$A$2:$FZ$601,53,Sync!$D$10)&amp;"","")&amp;"; "&amp;IFERROR(INDEX(Clay_Brands!$A$2:$FZ$601,53,Sync!$D$9)&amp;"",""))</f>
        <v/>
      </c>
      <c r="K3504" s="32" t="s">
        <v>1366</v>
      </c>
    </row>
    <row r="3505" customFormat="false" ht="15" hidden="false" customHeight="false" outlineLevel="0" collapsed="false">
      <c r="A3505" s="23" t="str">
        <f aca="false">IF(B3505="","",B3505+(15*1000+54)/10000000)</f>
        <v/>
      </c>
      <c r="B3505" s="35" t="str">
        <f aca="false">IF(AND(IFERROR(N(INDEX(Clay_Brands!$A$2:$FZ$601,54,Sync!$D$11)),0)&gt;0,IFERROR(INDEX(Clay_Brands!$A$2:$FZ$601,54,Sync!$D$5)&amp;"","")&lt;&gt;"",OR(LEFT(IFERROR(INDEX(Clay_Brands!$A$2:$FZ$601,54,Sync!$D$5)&amp;"",""),6)&lt;&gt;"SAMPLE",Config!$B$19="Y")),IFERROR(N(INDEX(Clay_Brands!$A$2:$FZ$601,54,Sync!$D$11)),0),"")</f>
        <v/>
      </c>
      <c r="C3505" s="23" t="str">
        <f aca="false">IF(B3505="","","brand")</f>
        <v/>
      </c>
      <c r="D3505" s="23" t="str">
        <f aca="false">IF(B3505="","",IFERROR(INDEX(Brand_Log!$DV$2:$DV$201,MATCH(IFERROR(INDEX(Clay_Brands!$A$2:$FZ$601,54,Sync!$D$5)&amp;"",""),Brand_Log!$A$2:$A$201,0))&amp;"",IFERROR(INDEX(Clay_Brands!$A$2:$FZ$601,54,Sync!$D$5)&amp;"","")&amp;""))</f>
        <v/>
      </c>
      <c r="E3505" s="23" t="str">
        <f aca="false">IF(B3505="","",IFERROR(INDEX(Clay_Brands!$A$2:$FZ$601,54,Sync!$D$6)&amp;"",""))</f>
        <v/>
      </c>
      <c r="F3505" s="23" t="str">
        <f aca="false">IF(B3505="","","outreach_sent")</f>
        <v/>
      </c>
      <c r="G3505" s="23" t="str">
        <f aca="false">IF(B3505="","","")</f>
        <v/>
      </c>
      <c r="H3505" s="23" t="str">
        <f aca="false">IF(B3505="","","")</f>
        <v/>
      </c>
      <c r="I3505" s="23" t="str">
        <f aca="false">IF(B3505="","","")</f>
        <v/>
      </c>
      <c r="J3505" s="23" t="str">
        <f aca="false">IF(B3505="","","touch_1; "&amp;IFERROR(INDEX(Clay_Brands!$A$2:$FZ$601,54,Sync!$D$10)&amp;"","")&amp;"; "&amp;IFERROR(INDEX(Clay_Brands!$A$2:$FZ$601,54,Sync!$D$9)&amp;"",""))</f>
        <v/>
      </c>
      <c r="K3505" s="32" t="s">
        <v>1366</v>
      </c>
    </row>
    <row r="3506" customFormat="false" ht="15" hidden="false" customHeight="false" outlineLevel="0" collapsed="false">
      <c r="A3506" s="23" t="str">
        <f aca="false">IF(B3506="","",B3506+(15*1000+55)/10000000)</f>
        <v/>
      </c>
      <c r="B3506" s="35" t="str">
        <f aca="false">IF(AND(IFERROR(N(INDEX(Clay_Brands!$A$2:$FZ$601,55,Sync!$D$11)),0)&gt;0,IFERROR(INDEX(Clay_Brands!$A$2:$FZ$601,55,Sync!$D$5)&amp;"","")&lt;&gt;"",OR(LEFT(IFERROR(INDEX(Clay_Brands!$A$2:$FZ$601,55,Sync!$D$5)&amp;"",""),6)&lt;&gt;"SAMPLE",Config!$B$19="Y")),IFERROR(N(INDEX(Clay_Brands!$A$2:$FZ$601,55,Sync!$D$11)),0),"")</f>
        <v/>
      </c>
      <c r="C3506" s="23" t="str">
        <f aca="false">IF(B3506="","","brand")</f>
        <v/>
      </c>
      <c r="D3506" s="23" t="str">
        <f aca="false">IF(B3506="","",IFERROR(INDEX(Brand_Log!$DV$2:$DV$201,MATCH(IFERROR(INDEX(Clay_Brands!$A$2:$FZ$601,55,Sync!$D$5)&amp;"",""),Brand_Log!$A$2:$A$201,0))&amp;"",IFERROR(INDEX(Clay_Brands!$A$2:$FZ$601,55,Sync!$D$5)&amp;"","")&amp;""))</f>
        <v/>
      </c>
      <c r="E3506" s="23" t="str">
        <f aca="false">IF(B3506="","",IFERROR(INDEX(Clay_Brands!$A$2:$FZ$601,55,Sync!$D$6)&amp;"",""))</f>
        <v/>
      </c>
      <c r="F3506" s="23" t="str">
        <f aca="false">IF(B3506="","","outreach_sent")</f>
        <v/>
      </c>
      <c r="G3506" s="23" t="str">
        <f aca="false">IF(B3506="","","")</f>
        <v/>
      </c>
      <c r="H3506" s="23" t="str">
        <f aca="false">IF(B3506="","","")</f>
        <v/>
      </c>
      <c r="I3506" s="23" t="str">
        <f aca="false">IF(B3506="","","")</f>
        <v/>
      </c>
      <c r="J3506" s="23" t="str">
        <f aca="false">IF(B3506="","","touch_1; "&amp;IFERROR(INDEX(Clay_Brands!$A$2:$FZ$601,55,Sync!$D$10)&amp;"","")&amp;"; "&amp;IFERROR(INDEX(Clay_Brands!$A$2:$FZ$601,55,Sync!$D$9)&amp;"",""))</f>
        <v/>
      </c>
      <c r="K3506" s="32" t="s">
        <v>1366</v>
      </c>
    </row>
    <row r="3507" customFormat="false" ht="15" hidden="false" customHeight="false" outlineLevel="0" collapsed="false">
      <c r="A3507" s="23" t="str">
        <f aca="false">IF(B3507="","",B3507+(15*1000+56)/10000000)</f>
        <v/>
      </c>
      <c r="B3507" s="35" t="str">
        <f aca="false">IF(AND(IFERROR(N(INDEX(Clay_Brands!$A$2:$FZ$601,56,Sync!$D$11)),0)&gt;0,IFERROR(INDEX(Clay_Brands!$A$2:$FZ$601,56,Sync!$D$5)&amp;"","")&lt;&gt;"",OR(LEFT(IFERROR(INDEX(Clay_Brands!$A$2:$FZ$601,56,Sync!$D$5)&amp;"",""),6)&lt;&gt;"SAMPLE",Config!$B$19="Y")),IFERROR(N(INDEX(Clay_Brands!$A$2:$FZ$601,56,Sync!$D$11)),0),"")</f>
        <v/>
      </c>
      <c r="C3507" s="23" t="str">
        <f aca="false">IF(B3507="","","brand")</f>
        <v/>
      </c>
      <c r="D3507" s="23" t="str">
        <f aca="false">IF(B3507="","",IFERROR(INDEX(Brand_Log!$DV$2:$DV$201,MATCH(IFERROR(INDEX(Clay_Brands!$A$2:$FZ$601,56,Sync!$D$5)&amp;"",""),Brand_Log!$A$2:$A$201,0))&amp;"",IFERROR(INDEX(Clay_Brands!$A$2:$FZ$601,56,Sync!$D$5)&amp;"","")&amp;""))</f>
        <v/>
      </c>
      <c r="E3507" s="23" t="str">
        <f aca="false">IF(B3507="","",IFERROR(INDEX(Clay_Brands!$A$2:$FZ$601,56,Sync!$D$6)&amp;"",""))</f>
        <v/>
      </c>
      <c r="F3507" s="23" t="str">
        <f aca="false">IF(B3507="","","outreach_sent")</f>
        <v/>
      </c>
      <c r="G3507" s="23" t="str">
        <f aca="false">IF(B3507="","","")</f>
        <v/>
      </c>
      <c r="H3507" s="23" t="str">
        <f aca="false">IF(B3507="","","")</f>
        <v/>
      </c>
      <c r="I3507" s="23" t="str">
        <f aca="false">IF(B3507="","","")</f>
        <v/>
      </c>
      <c r="J3507" s="23" t="str">
        <f aca="false">IF(B3507="","","touch_1; "&amp;IFERROR(INDEX(Clay_Brands!$A$2:$FZ$601,56,Sync!$D$10)&amp;"","")&amp;"; "&amp;IFERROR(INDEX(Clay_Brands!$A$2:$FZ$601,56,Sync!$D$9)&amp;"",""))</f>
        <v/>
      </c>
      <c r="K3507" s="32" t="s">
        <v>1366</v>
      </c>
    </row>
    <row r="3508" customFormat="false" ht="15" hidden="false" customHeight="false" outlineLevel="0" collapsed="false">
      <c r="A3508" s="23" t="str">
        <f aca="false">IF(B3508="","",B3508+(15*1000+57)/10000000)</f>
        <v/>
      </c>
      <c r="B3508" s="35" t="str">
        <f aca="false">IF(AND(IFERROR(N(INDEX(Clay_Brands!$A$2:$FZ$601,57,Sync!$D$11)),0)&gt;0,IFERROR(INDEX(Clay_Brands!$A$2:$FZ$601,57,Sync!$D$5)&amp;"","")&lt;&gt;"",OR(LEFT(IFERROR(INDEX(Clay_Brands!$A$2:$FZ$601,57,Sync!$D$5)&amp;"",""),6)&lt;&gt;"SAMPLE",Config!$B$19="Y")),IFERROR(N(INDEX(Clay_Brands!$A$2:$FZ$601,57,Sync!$D$11)),0),"")</f>
        <v/>
      </c>
      <c r="C3508" s="23" t="str">
        <f aca="false">IF(B3508="","","brand")</f>
        <v/>
      </c>
      <c r="D3508" s="23" t="str">
        <f aca="false">IF(B3508="","",IFERROR(INDEX(Brand_Log!$DV$2:$DV$201,MATCH(IFERROR(INDEX(Clay_Brands!$A$2:$FZ$601,57,Sync!$D$5)&amp;"",""),Brand_Log!$A$2:$A$201,0))&amp;"",IFERROR(INDEX(Clay_Brands!$A$2:$FZ$601,57,Sync!$D$5)&amp;"","")&amp;""))</f>
        <v/>
      </c>
      <c r="E3508" s="23" t="str">
        <f aca="false">IF(B3508="","",IFERROR(INDEX(Clay_Brands!$A$2:$FZ$601,57,Sync!$D$6)&amp;"",""))</f>
        <v/>
      </c>
      <c r="F3508" s="23" t="str">
        <f aca="false">IF(B3508="","","outreach_sent")</f>
        <v/>
      </c>
      <c r="G3508" s="23" t="str">
        <f aca="false">IF(B3508="","","")</f>
        <v/>
      </c>
      <c r="H3508" s="23" t="str">
        <f aca="false">IF(B3508="","","")</f>
        <v/>
      </c>
      <c r="I3508" s="23" t="str">
        <f aca="false">IF(B3508="","","")</f>
        <v/>
      </c>
      <c r="J3508" s="23" t="str">
        <f aca="false">IF(B3508="","","touch_1; "&amp;IFERROR(INDEX(Clay_Brands!$A$2:$FZ$601,57,Sync!$D$10)&amp;"","")&amp;"; "&amp;IFERROR(INDEX(Clay_Brands!$A$2:$FZ$601,57,Sync!$D$9)&amp;"",""))</f>
        <v/>
      </c>
      <c r="K3508" s="32" t="s">
        <v>1366</v>
      </c>
    </row>
    <row r="3509" customFormat="false" ht="15" hidden="false" customHeight="false" outlineLevel="0" collapsed="false">
      <c r="A3509" s="23" t="str">
        <f aca="false">IF(B3509="","",B3509+(15*1000+58)/10000000)</f>
        <v/>
      </c>
      <c r="B3509" s="35" t="str">
        <f aca="false">IF(AND(IFERROR(N(INDEX(Clay_Brands!$A$2:$FZ$601,58,Sync!$D$11)),0)&gt;0,IFERROR(INDEX(Clay_Brands!$A$2:$FZ$601,58,Sync!$D$5)&amp;"","")&lt;&gt;"",OR(LEFT(IFERROR(INDEX(Clay_Brands!$A$2:$FZ$601,58,Sync!$D$5)&amp;"",""),6)&lt;&gt;"SAMPLE",Config!$B$19="Y")),IFERROR(N(INDEX(Clay_Brands!$A$2:$FZ$601,58,Sync!$D$11)),0),"")</f>
        <v/>
      </c>
      <c r="C3509" s="23" t="str">
        <f aca="false">IF(B3509="","","brand")</f>
        <v/>
      </c>
      <c r="D3509" s="23" t="str">
        <f aca="false">IF(B3509="","",IFERROR(INDEX(Brand_Log!$DV$2:$DV$201,MATCH(IFERROR(INDEX(Clay_Brands!$A$2:$FZ$601,58,Sync!$D$5)&amp;"",""),Brand_Log!$A$2:$A$201,0))&amp;"",IFERROR(INDEX(Clay_Brands!$A$2:$FZ$601,58,Sync!$D$5)&amp;"","")&amp;""))</f>
        <v/>
      </c>
      <c r="E3509" s="23" t="str">
        <f aca="false">IF(B3509="","",IFERROR(INDEX(Clay_Brands!$A$2:$FZ$601,58,Sync!$D$6)&amp;"",""))</f>
        <v/>
      </c>
      <c r="F3509" s="23" t="str">
        <f aca="false">IF(B3509="","","outreach_sent")</f>
        <v/>
      </c>
      <c r="G3509" s="23" t="str">
        <f aca="false">IF(B3509="","","")</f>
        <v/>
      </c>
      <c r="H3509" s="23" t="str">
        <f aca="false">IF(B3509="","","")</f>
        <v/>
      </c>
      <c r="I3509" s="23" t="str">
        <f aca="false">IF(B3509="","","")</f>
        <v/>
      </c>
      <c r="J3509" s="23" t="str">
        <f aca="false">IF(B3509="","","touch_1; "&amp;IFERROR(INDEX(Clay_Brands!$A$2:$FZ$601,58,Sync!$D$10)&amp;"","")&amp;"; "&amp;IFERROR(INDEX(Clay_Brands!$A$2:$FZ$601,58,Sync!$D$9)&amp;"",""))</f>
        <v/>
      </c>
      <c r="K3509" s="32" t="s">
        <v>1366</v>
      </c>
    </row>
    <row r="3510" customFormat="false" ht="15" hidden="false" customHeight="false" outlineLevel="0" collapsed="false">
      <c r="A3510" s="23" t="str">
        <f aca="false">IF(B3510="","",B3510+(15*1000+59)/10000000)</f>
        <v/>
      </c>
      <c r="B3510" s="35" t="str">
        <f aca="false">IF(AND(IFERROR(N(INDEX(Clay_Brands!$A$2:$FZ$601,59,Sync!$D$11)),0)&gt;0,IFERROR(INDEX(Clay_Brands!$A$2:$FZ$601,59,Sync!$D$5)&amp;"","")&lt;&gt;"",OR(LEFT(IFERROR(INDEX(Clay_Brands!$A$2:$FZ$601,59,Sync!$D$5)&amp;"",""),6)&lt;&gt;"SAMPLE",Config!$B$19="Y")),IFERROR(N(INDEX(Clay_Brands!$A$2:$FZ$601,59,Sync!$D$11)),0),"")</f>
        <v/>
      </c>
      <c r="C3510" s="23" t="str">
        <f aca="false">IF(B3510="","","brand")</f>
        <v/>
      </c>
      <c r="D3510" s="23" t="str">
        <f aca="false">IF(B3510="","",IFERROR(INDEX(Brand_Log!$DV$2:$DV$201,MATCH(IFERROR(INDEX(Clay_Brands!$A$2:$FZ$601,59,Sync!$D$5)&amp;"",""),Brand_Log!$A$2:$A$201,0))&amp;"",IFERROR(INDEX(Clay_Brands!$A$2:$FZ$601,59,Sync!$D$5)&amp;"","")&amp;""))</f>
        <v/>
      </c>
      <c r="E3510" s="23" t="str">
        <f aca="false">IF(B3510="","",IFERROR(INDEX(Clay_Brands!$A$2:$FZ$601,59,Sync!$D$6)&amp;"",""))</f>
        <v/>
      </c>
      <c r="F3510" s="23" t="str">
        <f aca="false">IF(B3510="","","outreach_sent")</f>
        <v/>
      </c>
      <c r="G3510" s="23" t="str">
        <f aca="false">IF(B3510="","","")</f>
        <v/>
      </c>
      <c r="H3510" s="23" t="str">
        <f aca="false">IF(B3510="","","")</f>
        <v/>
      </c>
      <c r="I3510" s="23" t="str">
        <f aca="false">IF(B3510="","","")</f>
        <v/>
      </c>
      <c r="J3510" s="23" t="str">
        <f aca="false">IF(B3510="","","touch_1; "&amp;IFERROR(INDEX(Clay_Brands!$A$2:$FZ$601,59,Sync!$D$10)&amp;"","")&amp;"; "&amp;IFERROR(INDEX(Clay_Brands!$A$2:$FZ$601,59,Sync!$D$9)&amp;"",""))</f>
        <v/>
      </c>
      <c r="K3510" s="32" t="s">
        <v>1366</v>
      </c>
    </row>
    <row r="3511" customFormat="false" ht="15" hidden="false" customHeight="false" outlineLevel="0" collapsed="false">
      <c r="A3511" s="23" t="str">
        <f aca="false">IF(B3511="","",B3511+(15*1000+60)/10000000)</f>
        <v/>
      </c>
      <c r="B3511" s="35" t="str">
        <f aca="false">IF(AND(IFERROR(N(INDEX(Clay_Brands!$A$2:$FZ$601,60,Sync!$D$11)),0)&gt;0,IFERROR(INDEX(Clay_Brands!$A$2:$FZ$601,60,Sync!$D$5)&amp;"","")&lt;&gt;"",OR(LEFT(IFERROR(INDEX(Clay_Brands!$A$2:$FZ$601,60,Sync!$D$5)&amp;"",""),6)&lt;&gt;"SAMPLE",Config!$B$19="Y")),IFERROR(N(INDEX(Clay_Brands!$A$2:$FZ$601,60,Sync!$D$11)),0),"")</f>
        <v/>
      </c>
      <c r="C3511" s="23" t="str">
        <f aca="false">IF(B3511="","","brand")</f>
        <v/>
      </c>
      <c r="D3511" s="23" t="str">
        <f aca="false">IF(B3511="","",IFERROR(INDEX(Brand_Log!$DV$2:$DV$201,MATCH(IFERROR(INDEX(Clay_Brands!$A$2:$FZ$601,60,Sync!$D$5)&amp;"",""),Brand_Log!$A$2:$A$201,0))&amp;"",IFERROR(INDEX(Clay_Brands!$A$2:$FZ$601,60,Sync!$D$5)&amp;"","")&amp;""))</f>
        <v/>
      </c>
      <c r="E3511" s="23" t="str">
        <f aca="false">IF(B3511="","",IFERROR(INDEX(Clay_Brands!$A$2:$FZ$601,60,Sync!$D$6)&amp;"",""))</f>
        <v/>
      </c>
      <c r="F3511" s="23" t="str">
        <f aca="false">IF(B3511="","","outreach_sent")</f>
        <v/>
      </c>
      <c r="G3511" s="23" t="str">
        <f aca="false">IF(B3511="","","")</f>
        <v/>
      </c>
      <c r="H3511" s="23" t="str">
        <f aca="false">IF(B3511="","","")</f>
        <v/>
      </c>
      <c r="I3511" s="23" t="str">
        <f aca="false">IF(B3511="","","")</f>
        <v/>
      </c>
      <c r="J3511" s="23" t="str">
        <f aca="false">IF(B3511="","","touch_1; "&amp;IFERROR(INDEX(Clay_Brands!$A$2:$FZ$601,60,Sync!$D$10)&amp;"","")&amp;"; "&amp;IFERROR(INDEX(Clay_Brands!$A$2:$FZ$601,60,Sync!$D$9)&amp;"",""))</f>
        <v/>
      </c>
      <c r="K3511" s="32" t="s">
        <v>1366</v>
      </c>
    </row>
    <row r="3512" customFormat="false" ht="15" hidden="false" customHeight="false" outlineLevel="0" collapsed="false">
      <c r="A3512" s="23" t="str">
        <f aca="false">IF(B3512="","",B3512+(15*1000+61)/10000000)</f>
        <v/>
      </c>
      <c r="B3512" s="35" t="str">
        <f aca="false">IF(AND(IFERROR(N(INDEX(Clay_Brands!$A$2:$FZ$601,61,Sync!$D$11)),0)&gt;0,IFERROR(INDEX(Clay_Brands!$A$2:$FZ$601,61,Sync!$D$5)&amp;"","")&lt;&gt;"",OR(LEFT(IFERROR(INDEX(Clay_Brands!$A$2:$FZ$601,61,Sync!$D$5)&amp;"",""),6)&lt;&gt;"SAMPLE",Config!$B$19="Y")),IFERROR(N(INDEX(Clay_Brands!$A$2:$FZ$601,61,Sync!$D$11)),0),"")</f>
        <v/>
      </c>
      <c r="C3512" s="23" t="str">
        <f aca="false">IF(B3512="","","brand")</f>
        <v/>
      </c>
      <c r="D3512" s="23" t="str">
        <f aca="false">IF(B3512="","",IFERROR(INDEX(Brand_Log!$DV$2:$DV$201,MATCH(IFERROR(INDEX(Clay_Brands!$A$2:$FZ$601,61,Sync!$D$5)&amp;"",""),Brand_Log!$A$2:$A$201,0))&amp;"",IFERROR(INDEX(Clay_Brands!$A$2:$FZ$601,61,Sync!$D$5)&amp;"","")&amp;""))</f>
        <v/>
      </c>
      <c r="E3512" s="23" t="str">
        <f aca="false">IF(B3512="","",IFERROR(INDEX(Clay_Brands!$A$2:$FZ$601,61,Sync!$D$6)&amp;"",""))</f>
        <v/>
      </c>
      <c r="F3512" s="23" t="str">
        <f aca="false">IF(B3512="","","outreach_sent")</f>
        <v/>
      </c>
      <c r="G3512" s="23" t="str">
        <f aca="false">IF(B3512="","","")</f>
        <v/>
      </c>
      <c r="H3512" s="23" t="str">
        <f aca="false">IF(B3512="","","")</f>
        <v/>
      </c>
      <c r="I3512" s="23" t="str">
        <f aca="false">IF(B3512="","","")</f>
        <v/>
      </c>
      <c r="J3512" s="23" t="str">
        <f aca="false">IF(B3512="","","touch_1; "&amp;IFERROR(INDEX(Clay_Brands!$A$2:$FZ$601,61,Sync!$D$10)&amp;"","")&amp;"; "&amp;IFERROR(INDEX(Clay_Brands!$A$2:$FZ$601,61,Sync!$D$9)&amp;"",""))</f>
        <v/>
      </c>
      <c r="K3512" s="32" t="s">
        <v>1366</v>
      </c>
    </row>
    <row r="3513" customFormat="false" ht="15" hidden="false" customHeight="false" outlineLevel="0" collapsed="false">
      <c r="A3513" s="23" t="str">
        <f aca="false">IF(B3513="","",B3513+(15*1000+62)/10000000)</f>
        <v/>
      </c>
      <c r="B3513" s="35" t="str">
        <f aca="false">IF(AND(IFERROR(N(INDEX(Clay_Brands!$A$2:$FZ$601,62,Sync!$D$11)),0)&gt;0,IFERROR(INDEX(Clay_Brands!$A$2:$FZ$601,62,Sync!$D$5)&amp;"","")&lt;&gt;"",OR(LEFT(IFERROR(INDEX(Clay_Brands!$A$2:$FZ$601,62,Sync!$D$5)&amp;"",""),6)&lt;&gt;"SAMPLE",Config!$B$19="Y")),IFERROR(N(INDEX(Clay_Brands!$A$2:$FZ$601,62,Sync!$D$11)),0),"")</f>
        <v/>
      </c>
      <c r="C3513" s="23" t="str">
        <f aca="false">IF(B3513="","","brand")</f>
        <v/>
      </c>
      <c r="D3513" s="23" t="str">
        <f aca="false">IF(B3513="","",IFERROR(INDEX(Brand_Log!$DV$2:$DV$201,MATCH(IFERROR(INDEX(Clay_Brands!$A$2:$FZ$601,62,Sync!$D$5)&amp;"",""),Brand_Log!$A$2:$A$201,0))&amp;"",IFERROR(INDEX(Clay_Brands!$A$2:$FZ$601,62,Sync!$D$5)&amp;"","")&amp;""))</f>
        <v/>
      </c>
      <c r="E3513" s="23" t="str">
        <f aca="false">IF(B3513="","",IFERROR(INDEX(Clay_Brands!$A$2:$FZ$601,62,Sync!$D$6)&amp;"",""))</f>
        <v/>
      </c>
      <c r="F3513" s="23" t="str">
        <f aca="false">IF(B3513="","","outreach_sent")</f>
        <v/>
      </c>
      <c r="G3513" s="23" t="str">
        <f aca="false">IF(B3513="","","")</f>
        <v/>
      </c>
      <c r="H3513" s="23" t="str">
        <f aca="false">IF(B3513="","","")</f>
        <v/>
      </c>
      <c r="I3513" s="23" t="str">
        <f aca="false">IF(B3513="","","")</f>
        <v/>
      </c>
      <c r="J3513" s="23" t="str">
        <f aca="false">IF(B3513="","","touch_1; "&amp;IFERROR(INDEX(Clay_Brands!$A$2:$FZ$601,62,Sync!$D$10)&amp;"","")&amp;"; "&amp;IFERROR(INDEX(Clay_Brands!$A$2:$FZ$601,62,Sync!$D$9)&amp;"",""))</f>
        <v/>
      </c>
      <c r="K3513" s="32" t="s">
        <v>1366</v>
      </c>
    </row>
    <row r="3514" customFormat="false" ht="15" hidden="false" customHeight="false" outlineLevel="0" collapsed="false">
      <c r="A3514" s="23" t="str">
        <f aca="false">IF(B3514="","",B3514+(15*1000+63)/10000000)</f>
        <v/>
      </c>
      <c r="B3514" s="35" t="str">
        <f aca="false">IF(AND(IFERROR(N(INDEX(Clay_Brands!$A$2:$FZ$601,63,Sync!$D$11)),0)&gt;0,IFERROR(INDEX(Clay_Brands!$A$2:$FZ$601,63,Sync!$D$5)&amp;"","")&lt;&gt;"",OR(LEFT(IFERROR(INDEX(Clay_Brands!$A$2:$FZ$601,63,Sync!$D$5)&amp;"",""),6)&lt;&gt;"SAMPLE",Config!$B$19="Y")),IFERROR(N(INDEX(Clay_Brands!$A$2:$FZ$601,63,Sync!$D$11)),0),"")</f>
        <v/>
      </c>
      <c r="C3514" s="23" t="str">
        <f aca="false">IF(B3514="","","brand")</f>
        <v/>
      </c>
      <c r="D3514" s="23" t="str">
        <f aca="false">IF(B3514="","",IFERROR(INDEX(Brand_Log!$DV$2:$DV$201,MATCH(IFERROR(INDEX(Clay_Brands!$A$2:$FZ$601,63,Sync!$D$5)&amp;"",""),Brand_Log!$A$2:$A$201,0))&amp;"",IFERROR(INDEX(Clay_Brands!$A$2:$FZ$601,63,Sync!$D$5)&amp;"","")&amp;""))</f>
        <v/>
      </c>
      <c r="E3514" s="23" t="str">
        <f aca="false">IF(B3514="","",IFERROR(INDEX(Clay_Brands!$A$2:$FZ$601,63,Sync!$D$6)&amp;"",""))</f>
        <v/>
      </c>
      <c r="F3514" s="23" t="str">
        <f aca="false">IF(B3514="","","outreach_sent")</f>
        <v/>
      </c>
      <c r="G3514" s="23" t="str">
        <f aca="false">IF(B3514="","","")</f>
        <v/>
      </c>
      <c r="H3514" s="23" t="str">
        <f aca="false">IF(B3514="","","")</f>
        <v/>
      </c>
      <c r="I3514" s="23" t="str">
        <f aca="false">IF(B3514="","","")</f>
        <v/>
      </c>
      <c r="J3514" s="23" t="str">
        <f aca="false">IF(B3514="","","touch_1; "&amp;IFERROR(INDEX(Clay_Brands!$A$2:$FZ$601,63,Sync!$D$10)&amp;"","")&amp;"; "&amp;IFERROR(INDEX(Clay_Brands!$A$2:$FZ$601,63,Sync!$D$9)&amp;"",""))</f>
        <v/>
      </c>
      <c r="K3514" s="32" t="s">
        <v>1366</v>
      </c>
    </row>
    <row r="3515" customFormat="false" ht="15" hidden="false" customHeight="false" outlineLevel="0" collapsed="false">
      <c r="A3515" s="23" t="str">
        <f aca="false">IF(B3515="","",B3515+(15*1000+64)/10000000)</f>
        <v/>
      </c>
      <c r="B3515" s="35" t="str">
        <f aca="false">IF(AND(IFERROR(N(INDEX(Clay_Brands!$A$2:$FZ$601,64,Sync!$D$11)),0)&gt;0,IFERROR(INDEX(Clay_Brands!$A$2:$FZ$601,64,Sync!$D$5)&amp;"","")&lt;&gt;"",OR(LEFT(IFERROR(INDEX(Clay_Brands!$A$2:$FZ$601,64,Sync!$D$5)&amp;"",""),6)&lt;&gt;"SAMPLE",Config!$B$19="Y")),IFERROR(N(INDEX(Clay_Brands!$A$2:$FZ$601,64,Sync!$D$11)),0),"")</f>
        <v/>
      </c>
      <c r="C3515" s="23" t="str">
        <f aca="false">IF(B3515="","","brand")</f>
        <v/>
      </c>
      <c r="D3515" s="23" t="str">
        <f aca="false">IF(B3515="","",IFERROR(INDEX(Brand_Log!$DV$2:$DV$201,MATCH(IFERROR(INDEX(Clay_Brands!$A$2:$FZ$601,64,Sync!$D$5)&amp;"",""),Brand_Log!$A$2:$A$201,0))&amp;"",IFERROR(INDEX(Clay_Brands!$A$2:$FZ$601,64,Sync!$D$5)&amp;"","")&amp;""))</f>
        <v/>
      </c>
      <c r="E3515" s="23" t="str">
        <f aca="false">IF(B3515="","",IFERROR(INDEX(Clay_Brands!$A$2:$FZ$601,64,Sync!$D$6)&amp;"",""))</f>
        <v/>
      </c>
      <c r="F3515" s="23" t="str">
        <f aca="false">IF(B3515="","","outreach_sent")</f>
        <v/>
      </c>
      <c r="G3515" s="23" t="str">
        <f aca="false">IF(B3515="","","")</f>
        <v/>
      </c>
      <c r="H3515" s="23" t="str">
        <f aca="false">IF(B3515="","","")</f>
        <v/>
      </c>
      <c r="I3515" s="23" t="str">
        <f aca="false">IF(B3515="","","")</f>
        <v/>
      </c>
      <c r="J3515" s="23" t="str">
        <f aca="false">IF(B3515="","","touch_1; "&amp;IFERROR(INDEX(Clay_Brands!$A$2:$FZ$601,64,Sync!$D$10)&amp;"","")&amp;"; "&amp;IFERROR(INDEX(Clay_Brands!$A$2:$FZ$601,64,Sync!$D$9)&amp;"",""))</f>
        <v/>
      </c>
      <c r="K3515" s="32" t="s">
        <v>1366</v>
      </c>
    </row>
    <row r="3516" customFormat="false" ht="15" hidden="false" customHeight="false" outlineLevel="0" collapsed="false">
      <c r="A3516" s="23" t="str">
        <f aca="false">IF(B3516="","",B3516+(15*1000+65)/10000000)</f>
        <v/>
      </c>
      <c r="B3516" s="35" t="str">
        <f aca="false">IF(AND(IFERROR(N(INDEX(Clay_Brands!$A$2:$FZ$601,65,Sync!$D$11)),0)&gt;0,IFERROR(INDEX(Clay_Brands!$A$2:$FZ$601,65,Sync!$D$5)&amp;"","")&lt;&gt;"",OR(LEFT(IFERROR(INDEX(Clay_Brands!$A$2:$FZ$601,65,Sync!$D$5)&amp;"",""),6)&lt;&gt;"SAMPLE",Config!$B$19="Y")),IFERROR(N(INDEX(Clay_Brands!$A$2:$FZ$601,65,Sync!$D$11)),0),"")</f>
        <v/>
      </c>
      <c r="C3516" s="23" t="str">
        <f aca="false">IF(B3516="","","brand")</f>
        <v/>
      </c>
      <c r="D3516" s="23" t="str">
        <f aca="false">IF(B3516="","",IFERROR(INDEX(Brand_Log!$DV$2:$DV$201,MATCH(IFERROR(INDEX(Clay_Brands!$A$2:$FZ$601,65,Sync!$D$5)&amp;"",""),Brand_Log!$A$2:$A$201,0))&amp;"",IFERROR(INDEX(Clay_Brands!$A$2:$FZ$601,65,Sync!$D$5)&amp;"","")&amp;""))</f>
        <v/>
      </c>
      <c r="E3516" s="23" t="str">
        <f aca="false">IF(B3516="","",IFERROR(INDEX(Clay_Brands!$A$2:$FZ$601,65,Sync!$D$6)&amp;"",""))</f>
        <v/>
      </c>
      <c r="F3516" s="23" t="str">
        <f aca="false">IF(B3516="","","outreach_sent")</f>
        <v/>
      </c>
      <c r="G3516" s="23" t="str">
        <f aca="false">IF(B3516="","","")</f>
        <v/>
      </c>
      <c r="H3516" s="23" t="str">
        <f aca="false">IF(B3516="","","")</f>
        <v/>
      </c>
      <c r="I3516" s="23" t="str">
        <f aca="false">IF(B3516="","","")</f>
        <v/>
      </c>
      <c r="J3516" s="23" t="str">
        <f aca="false">IF(B3516="","","touch_1; "&amp;IFERROR(INDEX(Clay_Brands!$A$2:$FZ$601,65,Sync!$D$10)&amp;"","")&amp;"; "&amp;IFERROR(INDEX(Clay_Brands!$A$2:$FZ$601,65,Sync!$D$9)&amp;"",""))</f>
        <v/>
      </c>
      <c r="K3516" s="32" t="s">
        <v>1366</v>
      </c>
    </row>
    <row r="3517" customFormat="false" ht="15" hidden="false" customHeight="false" outlineLevel="0" collapsed="false">
      <c r="A3517" s="23" t="str">
        <f aca="false">IF(B3517="","",B3517+(15*1000+66)/10000000)</f>
        <v/>
      </c>
      <c r="B3517" s="35" t="str">
        <f aca="false">IF(AND(IFERROR(N(INDEX(Clay_Brands!$A$2:$FZ$601,66,Sync!$D$11)),0)&gt;0,IFERROR(INDEX(Clay_Brands!$A$2:$FZ$601,66,Sync!$D$5)&amp;"","")&lt;&gt;"",OR(LEFT(IFERROR(INDEX(Clay_Brands!$A$2:$FZ$601,66,Sync!$D$5)&amp;"",""),6)&lt;&gt;"SAMPLE",Config!$B$19="Y")),IFERROR(N(INDEX(Clay_Brands!$A$2:$FZ$601,66,Sync!$D$11)),0),"")</f>
        <v/>
      </c>
      <c r="C3517" s="23" t="str">
        <f aca="false">IF(B3517="","","brand")</f>
        <v/>
      </c>
      <c r="D3517" s="23" t="str">
        <f aca="false">IF(B3517="","",IFERROR(INDEX(Brand_Log!$DV$2:$DV$201,MATCH(IFERROR(INDEX(Clay_Brands!$A$2:$FZ$601,66,Sync!$D$5)&amp;"",""),Brand_Log!$A$2:$A$201,0))&amp;"",IFERROR(INDEX(Clay_Brands!$A$2:$FZ$601,66,Sync!$D$5)&amp;"","")&amp;""))</f>
        <v/>
      </c>
      <c r="E3517" s="23" t="str">
        <f aca="false">IF(B3517="","",IFERROR(INDEX(Clay_Brands!$A$2:$FZ$601,66,Sync!$D$6)&amp;"",""))</f>
        <v/>
      </c>
      <c r="F3517" s="23" t="str">
        <f aca="false">IF(B3517="","","outreach_sent")</f>
        <v/>
      </c>
      <c r="G3517" s="23" t="str">
        <f aca="false">IF(B3517="","","")</f>
        <v/>
      </c>
      <c r="H3517" s="23" t="str">
        <f aca="false">IF(B3517="","","")</f>
        <v/>
      </c>
      <c r="I3517" s="23" t="str">
        <f aca="false">IF(B3517="","","")</f>
        <v/>
      </c>
      <c r="J3517" s="23" t="str">
        <f aca="false">IF(B3517="","","touch_1; "&amp;IFERROR(INDEX(Clay_Brands!$A$2:$FZ$601,66,Sync!$D$10)&amp;"","")&amp;"; "&amp;IFERROR(INDEX(Clay_Brands!$A$2:$FZ$601,66,Sync!$D$9)&amp;"",""))</f>
        <v/>
      </c>
      <c r="K3517" s="32" t="s">
        <v>1366</v>
      </c>
    </row>
    <row r="3518" customFormat="false" ht="15" hidden="false" customHeight="false" outlineLevel="0" collapsed="false">
      <c r="A3518" s="23" t="str">
        <f aca="false">IF(B3518="","",B3518+(15*1000+67)/10000000)</f>
        <v/>
      </c>
      <c r="B3518" s="35" t="str">
        <f aca="false">IF(AND(IFERROR(N(INDEX(Clay_Brands!$A$2:$FZ$601,67,Sync!$D$11)),0)&gt;0,IFERROR(INDEX(Clay_Brands!$A$2:$FZ$601,67,Sync!$D$5)&amp;"","")&lt;&gt;"",OR(LEFT(IFERROR(INDEX(Clay_Brands!$A$2:$FZ$601,67,Sync!$D$5)&amp;"",""),6)&lt;&gt;"SAMPLE",Config!$B$19="Y")),IFERROR(N(INDEX(Clay_Brands!$A$2:$FZ$601,67,Sync!$D$11)),0),"")</f>
        <v/>
      </c>
      <c r="C3518" s="23" t="str">
        <f aca="false">IF(B3518="","","brand")</f>
        <v/>
      </c>
      <c r="D3518" s="23" t="str">
        <f aca="false">IF(B3518="","",IFERROR(INDEX(Brand_Log!$DV$2:$DV$201,MATCH(IFERROR(INDEX(Clay_Brands!$A$2:$FZ$601,67,Sync!$D$5)&amp;"",""),Brand_Log!$A$2:$A$201,0))&amp;"",IFERROR(INDEX(Clay_Brands!$A$2:$FZ$601,67,Sync!$D$5)&amp;"","")&amp;""))</f>
        <v/>
      </c>
      <c r="E3518" s="23" t="str">
        <f aca="false">IF(B3518="","",IFERROR(INDEX(Clay_Brands!$A$2:$FZ$601,67,Sync!$D$6)&amp;"",""))</f>
        <v/>
      </c>
      <c r="F3518" s="23" t="str">
        <f aca="false">IF(B3518="","","outreach_sent")</f>
        <v/>
      </c>
      <c r="G3518" s="23" t="str">
        <f aca="false">IF(B3518="","","")</f>
        <v/>
      </c>
      <c r="H3518" s="23" t="str">
        <f aca="false">IF(B3518="","","")</f>
        <v/>
      </c>
      <c r="I3518" s="23" t="str">
        <f aca="false">IF(B3518="","","")</f>
        <v/>
      </c>
      <c r="J3518" s="23" t="str">
        <f aca="false">IF(B3518="","","touch_1; "&amp;IFERROR(INDEX(Clay_Brands!$A$2:$FZ$601,67,Sync!$D$10)&amp;"","")&amp;"; "&amp;IFERROR(INDEX(Clay_Brands!$A$2:$FZ$601,67,Sync!$D$9)&amp;"",""))</f>
        <v/>
      </c>
      <c r="K3518" s="32" t="s">
        <v>1366</v>
      </c>
    </row>
    <row r="3519" customFormat="false" ht="15" hidden="false" customHeight="false" outlineLevel="0" collapsed="false">
      <c r="A3519" s="23" t="str">
        <f aca="false">IF(B3519="","",B3519+(15*1000+68)/10000000)</f>
        <v/>
      </c>
      <c r="B3519" s="35" t="str">
        <f aca="false">IF(AND(IFERROR(N(INDEX(Clay_Brands!$A$2:$FZ$601,68,Sync!$D$11)),0)&gt;0,IFERROR(INDEX(Clay_Brands!$A$2:$FZ$601,68,Sync!$D$5)&amp;"","")&lt;&gt;"",OR(LEFT(IFERROR(INDEX(Clay_Brands!$A$2:$FZ$601,68,Sync!$D$5)&amp;"",""),6)&lt;&gt;"SAMPLE",Config!$B$19="Y")),IFERROR(N(INDEX(Clay_Brands!$A$2:$FZ$601,68,Sync!$D$11)),0),"")</f>
        <v/>
      </c>
      <c r="C3519" s="23" t="str">
        <f aca="false">IF(B3519="","","brand")</f>
        <v/>
      </c>
      <c r="D3519" s="23" t="str">
        <f aca="false">IF(B3519="","",IFERROR(INDEX(Brand_Log!$DV$2:$DV$201,MATCH(IFERROR(INDEX(Clay_Brands!$A$2:$FZ$601,68,Sync!$D$5)&amp;"",""),Brand_Log!$A$2:$A$201,0))&amp;"",IFERROR(INDEX(Clay_Brands!$A$2:$FZ$601,68,Sync!$D$5)&amp;"","")&amp;""))</f>
        <v/>
      </c>
      <c r="E3519" s="23" t="str">
        <f aca="false">IF(B3519="","",IFERROR(INDEX(Clay_Brands!$A$2:$FZ$601,68,Sync!$D$6)&amp;"",""))</f>
        <v/>
      </c>
      <c r="F3519" s="23" t="str">
        <f aca="false">IF(B3519="","","outreach_sent")</f>
        <v/>
      </c>
      <c r="G3519" s="23" t="str">
        <f aca="false">IF(B3519="","","")</f>
        <v/>
      </c>
      <c r="H3519" s="23" t="str">
        <f aca="false">IF(B3519="","","")</f>
        <v/>
      </c>
      <c r="I3519" s="23" t="str">
        <f aca="false">IF(B3519="","","")</f>
        <v/>
      </c>
      <c r="J3519" s="23" t="str">
        <f aca="false">IF(B3519="","","touch_1; "&amp;IFERROR(INDEX(Clay_Brands!$A$2:$FZ$601,68,Sync!$D$10)&amp;"","")&amp;"; "&amp;IFERROR(INDEX(Clay_Brands!$A$2:$FZ$601,68,Sync!$D$9)&amp;"",""))</f>
        <v/>
      </c>
      <c r="K3519" s="32" t="s">
        <v>1366</v>
      </c>
    </row>
    <row r="3520" customFormat="false" ht="15" hidden="false" customHeight="false" outlineLevel="0" collapsed="false">
      <c r="A3520" s="23" t="str">
        <f aca="false">IF(B3520="","",B3520+(15*1000+69)/10000000)</f>
        <v/>
      </c>
      <c r="B3520" s="35" t="str">
        <f aca="false">IF(AND(IFERROR(N(INDEX(Clay_Brands!$A$2:$FZ$601,69,Sync!$D$11)),0)&gt;0,IFERROR(INDEX(Clay_Brands!$A$2:$FZ$601,69,Sync!$D$5)&amp;"","")&lt;&gt;"",OR(LEFT(IFERROR(INDEX(Clay_Brands!$A$2:$FZ$601,69,Sync!$D$5)&amp;"",""),6)&lt;&gt;"SAMPLE",Config!$B$19="Y")),IFERROR(N(INDEX(Clay_Brands!$A$2:$FZ$601,69,Sync!$D$11)),0),"")</f>
        <v/>
      </c>
      <c r="C3520" s="23" t="str">
        <f aca="false">IF(B3520="","","brand")</f>
        <v/>
      </c>
      <c r="D3520" s="23" t="str">
        <f aca="false">IF(B3520="","",IFERROR(INDEX(Brand_Log!$DV$2:$DV$201,MATCH(IFERROR(INDEX(Clay_Brands!$A$2:$FZ$601,69,Sync!$D$5)&amp;"",""),Brand_Log!$A$2:$A$201,0))&amp;"",IFERROR(INDEX(Clay_Brands!$A$2:$FZ$601,69,Sync!$D$5)&amp;"","")&amp;""))</f>
        <v/>
      </c>
      <c r="E3520" s="23" t="str">
        <f aca="false">IF(B3520="","",IFERROR(INDEX(Clay_Brands!$A$2:$FZ$601,69,Sync!$D$6)&amp;"",""))</f>
        <v/>
      </c>
      <c r="F3520" s="23" t="str">
        <f aca="false">IF(B3520="","","outreach_sent")</f>
        <v/>
      </c>
      <c r="G3520" s="23" t="str">
        <f aca="false">IF(B3520="","","")</f>
        <v/>
      </c>
      <c r="H3520" s="23" t="str">
        <f aca="false">IF(B3520="","","")</f>
        <v/>
      </c>
      <c r="I3520" s="23" t="str">
        <f aca="false">IF(B3520="","","")</f>
        <v/>
      </c>
      <c r="J3520" s="23" t="str">
        <f aca="false">IF(B3520="","","touch_1; "&amp;IFERROR(INDEX(Clay_Brands!$A$2:$FZ$601,69,Sync!$D$10)&amp;"","")&amp;"; "&amp;IFERROR(INDEX(Clay_Brands!$A$2:$FZ$601,69,Sync!$D$9)&amp;"",""))</f>
        <v/>
      </c>
      <c r="K3520" s="32" t="s">
        <v>1366</v>
      </c>
    </row>
    <row r="3521" customFormat="false" ht="15" hidden="false" customHeight="false" outlineLevel="0" collapsed="false">
      <c r="A3521" s="23" t="str">
        <f aca="false">IF(B3521="","",B3521+(15*1000+70)/10000000)</f>
        <v/>
      </c>
      <c r="B3521" s="35" t="str">
        <f aca="false">IF(AND(IFERROR(N(INDEX(Clay_Brands!$A$2:$FZ$601,70,Sync!$D$11)),0)&gt;0,IFERROR(INDEX(Clay_Brands!$A$2:$FZ$601,70,Sync!$D$5)&amp;"","")&lt;&gt;"",OR(LEFT(IFERROR(INDEX(Clay_Brands!$A$2:$FZ$601,70,Sync!$D$5)&amp;"",""),6)&lt;&gt;"SAMPLE",Config!$B$19="Y")),IFERROR(N(INDEX(Clay_Brands!$A$2:$FZ$601,70,Sync!$D$11)),0),"")</f>
        <v/>
      </c>
      <c r="C3521" s="23" t="str">
        <f aca="false">IF(B3521="","","brand")</f>
        <v/>
      </c>
      <c r="D3521" s="23" t="str">
        <f aca="false">IF(B3521="","",IFERROR(INDEX(Brand_Log!$DV$2:$DV$201,MATCH(IFERROR(INDEX(Clay_Brands!$A$2:$FZ$601,70,Sync!$D$5)&amp;"",""),Brand_Log!$A$2:$A$201,0))&amp;"",IFERROR(INDEX(Clay_Brands!$A$2:$FZ$601,70,Sync!$D$5)&amp;"","")&amp;""))</f>
        <v/>
      </c>
      <c r="E3521" s="23" t="str">
        <f aca="false">IF(B3521="","",IFERROR(INDEX(Clay_Brands!$A$2:$FZ$601,70,Sync!$D$6)&amp;"",""))</f>
        <v/>
      </c>
      <c r="F3521" s="23" t="str">
        <f aca="false">IF(B3521="","","outreach_sent")</f>
        <v/>
      </c>
      <c r="G3521" s="23" t="str">
        <f aca="false">IF(B3521="","","")</f>
        <v/>
      </c>
      <c r="H3521" s="23" t="str">
        <f aca="false">IF(B3521="","","")</f>
        <v/>
      </c>
      <c r="I3521" s="23" t="str">
        <f aca="false">IF(B3521="","","")</f>
        <v/>
      </c>
      <c r="J3521" s="23" t="str">
        <f aca="false">IF(B3521="","","touch_1; "&amp;IFERROR(INDEX(Clay_Brands!$A$2:$FZ$601,70,Sync!$D$10)&amp;"","")&amp;"; "&amp;IFERROR(INDEX(Clay_Brands!$A$2:$FZ$601,70,Sync!$D$9)&amp;"",""))</f>
        <v/>
      </c>
      <c r="K3521" s="32" t="s">
        <v>1366</v>
      </c>
    </row>
    <row r="3522" customFormat="false" ht="15" hidden="false" customHeight="false" outlineLevel="0" collapsed="false">
      <c r="A3522" s="23" t="str">
        <f aca="false">IF(B3522="","",B3522+(15*1000+71)/10000000)</f>
        <v/>
      </c>
      <c r="B3522" s="35" t="str">
        <f aca="false">IF(AND(IFERROR(N(INDEX(Clay_Brands!$A$2:$FZ$601,71,Sync!$D$11)),0)&gt;0,IFERROR(INDEX(Clay_Brands!$A$2:$FZ$601,71,Sync!$D$5)&amp;"","")&lt;&gt;"",OR(LEFT(IFERROR(INDEX(Clay_Brands!$A$2:$FZ$601,71,Sync!$D$5)&amp;"",""),6)&lt;&gt;"SAMPLE",Config!$B$19="Y")),IFERROR(N(INDEX(Clay_Brands!$A$2:$FZ$601,71,Sync!$D$11)),0),"")</f>
        <v/>
      </c>
      <c r="C3522" s="23" t="str">
        <f aca="false">IF(B3522="","","brand")</f>
        <v/>
      </c>
      <c r="D3522" s="23" t="str">
        <f aca="false">IF(B3522="","",IFERROR(INDEX(Brand_Log!$DV$2:$DV$201,MATCH(IFERROR(INDEX(Clay_Brands!$A$2:$FZ$601,71,Sync!$D$5)&amp;"",""),Brand_Log!$A$2:$A$201,0))&amp;"",IFERROR(INDEX(Clay_Brands!$A$2:$FZ$601,71,Sync!$D$5)&amp;"","")&amp;""))</f>
        <v/>
      </c>
      <c r="E3522" s="23" t="str">
        <f aca="false">IF(B3522="","",IFERROR(INDEX(Clay_Brands!$A$2:$FZ$601,71,Sync!$D$6)&amp;"",""))</f>
        <v/>
      </c>
      <c r="F3522" s="23" t="str">
        <f aca="false">IF(B3522="","","outreach_sent")</f>
        <v/>
      </c>
      <c r="G3522" s="23" t="str">
        <f aca="false">IF(B3522="","","")</f>
        <v/>
      </c>
      <c r="H3522" s="23" t="str">
        <f aca="false">IF(B3522="","","")</f>
        <v/>
      </c>
      <c r="I3522" s="23" t="str">
        <f aca="false">IF(B3522="","","")</f>
        <v/>
      </c>
      <c r="J3522" s="23" t="str">
        <f aca="false">IF(B3522="","","touch_1; "&amp;IFERROR(INDEX(Clay_Brands!$A$2:$FZ$601,71,Sync!$D$10)&amp;"","")&amp;"; "&amp;IFERROR(INDEX(Clay_Brands!$A$2:$FZ$601,71,Sync!$D$9)&amp;"",""))</f>
        <v/>
      </c>
      <c r="K3522" s="32" t="s">
        <v>1366</v>
      </c>
    </row>
    <row r="3523" customFormat="false" ht="15" hidden="false" customHeight="false" outlineLevel="0" collapsed="false">
      <c r="A3523" s="23" t="str">
        <f aca="false">IF(B3523="","",B3523+(15*1000+72)/10000000)</f>
        <v/>
      </c>
      <c r="B3523" s="35" t="str">
        <f aca="false">IF(AND(IFERROR(N(INDEX(Clay_Brands!$A$2:$FZ$601,72,Sync!$D$11)),0)&gt;0,IFERROR(INDEX(Clay_Brands!$A$2:$FZ$601,72,Sync!$D$5)&amp;"","")&lt;&gt;"",OR(LEFT(IFERROR(INDEX(Clay_Brands!$A$2:$FZ$601,72,Sync!$D$5)&amp;"",""),6)&lt;&gt;"SAMPLE",Config!$B$19="Y")),IFERROR(N(INDEX(Clay_Brands!$A$2:$FZ$601,72,Sync!$D$11)),0),"")</f>
        <v/>
      </c>
      <c r="C3523" s="23" t="str">
        <f aca="false">IF(B3523="","","brand")</f>
        <v/>
      </c>
      <c r="D3523" s="23" t="str">
        <f aca="false">IF(B3523="","",IFERROR(INDEX(Brand_Log!$DV$2:$DV$201,MATCH(IFERROR(INDEX(Clay_Brands!$A$2:$FZ$601,72,Sync!$D$5)&amp;"",""),Brand_Log!$A$2:$A$201,0))&amp;"",IFERROR(INDEX(Clay_Brands!$A$2:$FZ$601,72,Sync!$D$5)&amp;"","")&amp;""))</f>
        <v/>
      </c>
      <c r="E3523" s="23" t="str">
        <f aca="false">IF(B3523="","",IFERROR(INDEX(Clay_Brands!$A$2:$FZ$601,72,Sync!$D$6)&amp;"",""))</f>
        <v/>
      </c>
      <c r="F3523" s="23" t="str">
        <f aca="false">IF(B3523="","","outreach_sent")</f>
        <v/>
      </c>
      <c r="G3523" s="23" t="str">
        <f aca="false">IF(B3523="","","")</f>
        <v/>
      </c>
      <c r="H3523" s="23" t="str">
        <f aca="false">IF(B3523="","","")</f>
        <v/>
      </c>
      <c r="I3523" s="23" t="str">
        <f aca="false">IF(B3523="","","")</f>
        <v/>
      </c>
      <c r="J3523" s="23" t="str">
        <f aca="false">IF(B3523="","","touch_1; "&amp;IFERROR(INDEX(Clay_Brands!$A$2:$FZ$601,72,Sync!$D$10)&amp;"","")&amp;"; "&amp;IFERROR(INDEX(Clay_Brands!$A$2:$FZ$601,72,Sync!$D$9)&amp;"",""))</f>
        <v/>
      </c>
      <c r="K3523" s="32" t="s">
        <v>1366</v>
      </c>
    </row>
    <row r="3524" customFormat="false" ht="15" hidden="false" customHeight="false" outlineLevel="0" collapsed="false">
      <c r="A3524" s="23" t="str">
        <f aca="false">IF(B3524="","",B3524+(15*1000+73)/10000000)</f>
        <v/>
      </c>
      <c r="B3524" s="35" t="str">
        <f aca="false">IF(AND(IFERROR(N(INDEX(Clay_Brands!$A$2:$FZ$601,73,Sync!$D$11)),0)&gt;0,IFERROR(INDEX(Clay_Brands!$A$2:$FZ$601,73,Sync!$D$5)&amp;"","")&lt;&gt;"",OR(LEFT(IFERROR(INDEX(Clay_Brands!$A$2:$FZ$601,73,Sync!$D$5)&amp;"",""),6)&lt;&gt;"SAMPLE",Config!$B$19="Y")),IFERROR(N(INDEX(Clay_Brands!$A$2:$FZ$601,73,Sync!$D$11)),0),"")</f>
        <v/>
      </c>
      <c r="C3524" s="23" t="str">
        <f aca="false">IF(B3524="","","brand")</f>
        <v/>
      </c>
      <c r="D3524" s="23" t="str">
        <f aca="false">IF(B3524="","",IFERROR(INDEX(Brand_Log!$DV$2:$DV$201,MATCH(IFERROR(INDEX(Clay_Brands!$A$2:$FZ$601,73,Sync!$D$5)&amp;"",""),Brand_Log!$A$2:$A$201,0))&amp;"",IFERROR(INDEX(Clay_Brands!$A$2:$FZ$601,73,Sync!$D$5)&amp;"","")&amp;""))</f>
        <v/>
      </c>
      <c r="E3524" s="23" t="str">
        <f aca="false">IF(B3524="","",IFERROR(INDEX(Clay_Brands!$A$2:$FZ$601,73,Sync!$D$6)&amp;"",""))</f>
        <v/>
      </c>
      <c r="F3524" s="23" t="str">
        <f aca="false">IF(B3524="","","outreach_sent")</f>
        <v/>
      </c>
      <c r="G3524" s="23" t="str">
        <f aca="false">IF(B3524="","","")</f>
        <v/>
      </c>
      <c r="H3524" s="23" t="str">
        <f aca="false">IF(B3524="","","")</f>
        <v/>
      </c>
      <c r="I3524" s="23" t="str">
        <f aca="false">IF(B3524="","","")</f>
        <v/>
      </c>
      <c r="J3524" s="23" t="str">
        <f aca="false">IF(B3524="","","touch_1; "&amp;IFERROR(INDEX(Clay_Brands!$A$2:$FZ$601,73,Sync!$D$10)&amp;"","")&amp;"; "&amp;IFERROR(INDEX(Clay_Brands!$A$2:$FZ$601,73,Sync!$D$9)&amp;"",""))</f>
        <v/>
      </c>
      <c r="K3524" s="32" t="s">
        <v>1366</v>
      </c>
    </row>
    <row r="3525" customFormat="false" ht="15" hidden="false" customHeight="false" outlineLevel="0" collapsed="false">
      <c r="A3525" s="23" t="str">
        <f aca="false">IF(B3525="","",B3525+(15*1000+74)/10000000)</f>
        <v/>
      </c>
      <c r="B3525" s="35" t="str">
        <f aca="false">IF(AND(IFERROR(N(INDEX(Clay_Brands!$A$2:$FZ$601,74,Sync!$D$11)),0)&gt;0,IFERROR(INDEX(Clay_Brands!$A$2:$FZ$601,74,Sync!$D$5)&amp;"","")&lt;&gt;"",OR(LEFT(IFERROR(INDEX(Clay_Brands!$A$2:$FZ$601,74,Sync!$D$5)&amp;"",""),6)&lt;&gt;"SAMPLE",Config!$B$19="Y")),IFERROR(N(INDEX(Clay_Brands!$A$2:$FZ$601,74,Sync!$D$11)),0),"")</f>
        <v/>
      </c>
      <c r="C3525" s="23" t="str">
        <f aca="false">IF(B3525="","","brand")</f>
        <v/>
      </c>
      <c r="D3525" s="23" t="str">
        <f aca="false">IF(B3525="","",IFERROR(INDEX(Brand_Log!$DV$2:$DV$201,MATCH(IFERROR(INDEX(Clay_Brands!$A$2:$FZ$601,74,Sync!$D$5)&amp;"",""),Brand_Log!$A$2:$A$201,0))&amp;"",IFERROR(INDEX(Clay_Brands!$A$2:$FZ$601,74,Sync!$D$5)&amp;"","")&amp;""))</f>
        <v/>
      </c>
      <c r="E3525" s="23" t="str">
        <f aca="false">IF(B3525="","",IFERROR(INDEX(Clay_Brands!$A$2:$FZ$601,74,Sync!$D$6)&amp;"",""))</f>
        <v/>
      </c>
      <c r="F3525" s="23" t="str">
        <f aca="false">IF(B3525="","","outreach_sent")</f>
        <v/>
      </c>
      <c r="G3525" s="23" t="str">
        <f aca="false">IF(B3525="","","")</f>
        <v/>
      </c>
      <c r="H3525" s="23" t="str">
        <f aca="false">IF(B3525="","","")</f>
        <v/>
      </c>
      <c r="I3525" s="23" t="str">
        <f aca="false">IF(B3525="","","")</f>
        <v/>
      </c>
      <c r="J3525" s="23" t="str">
        <f aca="false">IF(B3525="","","touch_1; "&amp;IFERROR(INDEX(Clay_Brands!$A$2:$FZ$601,74,Sync!$D$10)&amp;"","")&amp;"; "&amp;IFERROR(INDEX(Clay_Brands!$A$2:$FZ$601,74,Sync!$D$9)&amp;"",""))</f>
        <v/>
      </c>
      <c r="K3525" s="32" t="s">
        <v>1366</v>
      </c>
    </row>
    <row r="3526" customFormat="false" ht="15" hidden="false" customHeight="false" outlineLevel="0" collapsed="false">
      <c r="A3526" s="23" t="str">
        <f aca="false">IF(B3526="","",B3526+(15*1000+75)/10000000)</f>
        <v/>
      </c>
      <c r="B3526" s="35" t="str">
        <f aca="false">IF(AND(IFERROR(N(INDEX(Clay_Brands!$A$2:$FZ$601,75,Sync!$D$11)),0)&gt;0,IFERROR(INDEX(Clay_Brands!$A$2:$FZ$601,75,Sync!$D$5)&amp;"","")&lt;&gt;"",OR(LEFT(IFERROR(INDEX(Clay_Brands!$A$2:$FZ$601,75,Sync!$D$5)&amp;"",""),6)&lt;&gt;"SAMPLE",Config!$B$19="Y")),IFERROR(N(INDEX(Clay_Brands!$A$2:$FZ$601,75,Sync!$D$11)),0),"")</f>
        <v/>
      </c>
      <c r="C3526" s="23" t="str">
        <f aca="false">IF(B3526="","","brand")</f>
        <v/>
      </c>
      <c r="D3526" s="23" t="str">
        <f aca="false">IF(B3526="","",IFERROR(INDEX(Brand_Log!$DV$2:$DV$201,MATCH(IFERROR(INDEX(Clay_Brands!$A$2:$FZ$601,75,Sync!$D$5)&amp;"",""),Brand_Log!$A$2:$A$201,0))&amp;"",IFERROR(INDEX(Clay_Brands!$A$2:$FZ$601,75,Sync!$D$5)&amp;"","")&amp;""))</f>
        <v/>
      </c>
      <c r="E3526" s="23" t="str">
        <f aca="false">IF(B3526="","",IFERROR(INDEX(Clay_Brands!$A$2:$FZ$601,75,Sync!$D$6)&amp;"",""))</f>
        <v/>
      </c>
      <c r="F3526" s="23" t="str">
        <f aca="false">IF(B3526="","","outreach_sent")</f>
        <v/>
      </c>
      <c r="G3526" s="23" t="str">
        <f aca="false">IF(B3526="","","")</f>
        <v/>
      </c>
      <c r="H3526" s="23" t="str">
        <f aca="false">IF(B3526="","","")</f>
        <v/>
      </c>
      <c r="I3526" s="23" t="str">
        <f aca="false">IF(B3526="","","")</f>
        <v/>
      </c>
      <c r="J3526" s="23" t="str">
        <f aca="false">IF(B3526="","","touch_1; "&amp;IFERROR(INDEX(Clay_Brands!$A$2:$FZ$601,75,Sync!$D$10)&amp;"","")&amp;"; "&amp;IFERROR(INDEX(Clay_Brands!$A$2:$FZ$601,75,Sync!$D$9)&amp;"",""))</f>
        <v/>
      </c>
      <c r="K3526" s="32" t="s">
        <v>1366</v>
      </c>
    </row>
    <row r="3527" customFormat="false" ht="15" hidden="false" customHeight="false" outlineLevel="0" collapsed="false">
      <c r="A3527" s="23" t="str">
        <f aca="false">IF(B3527="","",B3527+(15*1000+76)/10000000)</f>
        <v/>
      </c>
      <c r="B3527" s="35" t="str">
        <f aca="false">IF(AND(IFERROR(N(INDEX(Clay_Brands!$A$2:$FZ$601,76,Sync!$D$11)),0)&gt;0,IFERROR(INDEX(Clay_Brands!$A$2:$FZ$601,76,Sync!$D$5)&amp;"","")&lt;&gt;"",OR(LEFT(IFERROR(INDEX(Clay_Brands!$A$2:$FZ$601,76,Sync!$D$5)&amp;"",""),6)&lt;&gt;"SAMPLE",Config!$B$19="Y")),IFERROR(N(INDEX(Clay_Brands!$A$2:$FZ$601,76,Sync!$D$11)),0),"")</f>
        <v/>
      </c>
      <c r="C3527" s="23" t="str">
        <f aca="false">IF(B3527="","","brand")</f>
        <v/>
      </c>
      <c r="D3527" s="23" t="str">
        <f aca="false">IF(B3527="","",IFERROR(INDEX(Brand_Log!$DV$2:$DV$201,MATCH(IFERROR(INDEX(Clay_Brands!$A$2:$FZ$601,76,Sync!$D$5)&amp;"",""),Brand_Log!$A$2:$A$201,0))&amp;"",IFERROR(INDEX(Clay_Brands!$A$2:$FZ$601,76,Sync!$D$5)&amp;"","")&amp;""))</f>
        <v/>
      </c>
      <c r="E3527" s="23" t="str">
        <f aca="false">IF(B3527="","",IFERROR(INDEX(Clay_Brands!$A$2:$FZ$601,76,Sync!$D$6)&amp;"",""))</f>
        <v/>
      </c>
      <c r="F3527" s="23" t="str">
        <f aca="false">IF(B3527="","","outreach_sent")</f>
        <v/>
      </c>
      <c r="G3527" s="23" t="str">
        <f aca="false">IF(B3527="","","")</f>
        <v/>
      </c>
      <c r="H3527" s="23" t="str">
        <f aca="false">IF(B3527="","","")</f>
        <v/>
      </c>
      <c r="I3527" s="23" t="str">
        <f aca="false">IF(B3527="","","")</f>
        <v/>
      </c>
      <c r="J3527" s="23" t="str">
        <f aca="false">IF(B3527="","","touch_1; "&amp;IFERROR(INDEX(Clay_Brands!$A$2:$FZ$601,76,Sync!$D$10)&amp;"","")&amp;"; "&amp;IFERROR(INDEX(Clay_Brands!$A$2:$FZ$601,76,Sync!$D$9)&amp;"",""))</f>
        <v/>
      </c>
      <c r="K3527" s="32" t="s">
        <v>1366</v>
      </c>
    </row>
    <row r="3528" customFormat="false" ht="15" hidden="false" customHeight="false" outlineLevel="0" collapsed="false">
      <c r="A3528" s="23" t="str">
        <f aca="false">IF(B3528="","",B3528+(15*1000+77)/10000000)</f>
        <v/>
      </c>
      <c r="B3528" s="35" t="str">
        <f aca="false">IF(AND(IFERROR(N(INDEX(Clay_Brands!$A$2:$FZ$601,77,Sync!$D$11)),0)&gt;0,IFERROR(INDEX(Clay_Brands!$A$2:$FZ$601,77,Sync!$D$5)&amp;"","")&lt;&gt;"",OR(LEFT(IFERROR(INDEX(Clay_Brands!$A$2:$FZ$601,77,Sync!$D$5)&amp;"",""),6)&lt;&gt;"SAMPLE",Config!$B$19="Y")),IFERROR(N(INDEX(Clay_Brands!$A$2:$FZ$601,77,Sync!$D$11)),0),"")</f>
        <v/>
      </c>
      <c r="C3528" s="23" t="str">
        <f aca="false">IF(B3528="","","brand")</f>
        <v/>
      </c>
      <c r="D3528" s="23" t="str">
        <f aca="false">IF(B3528="","",IFERROR(INDEX(Brand_Log!$DV$2:$DV$201,MATCH(IFERROR(INDEX(Clay_Brands!$A$2:$FZ$601,77,Sync!$D$5)&amp;"",""),Brand_Log!$A$2:$A$201,0))&amp;"",IFERROR(INDEX(Clay_Brands!$A$2:$FZ$601,77,Sync!$D$5)&amp;"","")&amp;""))</f>
        <v/>
      </c>
      <c r="E3528" s="23" t="str">
        <f aca="false">IF(B3528="","",IFERROR(INDEX(Clay_Brands!$A$2:$FZ$601,77,Sync!$D$6)&amp;"",""))</f>
        <v/>
      </c>
      <c r="F3528" s="23" t="str">
        <f aca="false">IF(B3528="","","outreach_sent")</f>
        <v/>
      </c>
      <c r="G3528" s="23" t="str">
        <f aca="false">IF(B3528="","","")</f>
        <v/>
      </c>
      <c r="H3528" s="23" t="str">
        <f aca="false">IF(B3528="","","")</f>
        <v/>
      </c>
      <c r="I3528" s="23" t="str">
        <f aca="false">IF(B3528="","","")</f>
        <v/>
      </c>
      <c r="J3528" s="23" t="str">
        <f aca="false">IF(B3528="","","touch_1; "&amp;IFERROR(INDEX(Clay_Brands!$A$2:$FZ$601,77,Sync!$D$10)&amp;"","")&amp;"; "&amp;IFERROR(INDEX(Clay_Brands!$A$2:$FZ$601,77,Sync!$D$9)&amp;"",""))</f>
        <v/>
      </c>
      <c r="K3528" s="32" t="s">
        <v>1366</v>
      </c>
    </row>
    <row r="3529" customFormat="false" ht="15" hidden="false" customHeight="false" outlineLevel="0" collapsed="false">
      <c r="A3529" s="23" t="str">
        <f aca="false">IF(B3529="","",B3529+(15*1000+78)/10000000)</f>
        <v/>
      </c>
      <c r="B3529" s="35" t="str">
        <f aca="false">IF(AND(IFERROR(N(INDEX(Clay_Brands!$A$2:$FZ$601,78,Sync!$D$11)),0)&gt;0,IFERROR(INDEX(Clay_Brands!$A$2:$FZ$601,78,Sync!$D$5)&amp;"","")&lt;&gt;"",OR(LEFT(IFERROR(INDEX(Clay_Brands!$A$2:$FZ$601,78,Sync!$D$5)&amp;"",""),6)&lt;&gt;"SAMPLE",Config!$B$19="Y")),IFERROR(N(INDEX(Clay_Brands!$A$2:$FZ$601,78,Sync!$D$11)),0),"")</f>
        <v/>
      </c>
      <c r="C3529" s="23" t="str">
        <f aca="false">IF(B3529="","","brand")</f>
        <v/>
      </c>
      <c r="D3529" s="23" t="str">
        <f aca="false">IF(B3529="","",IFERROR(INDEX(Brand_Log!$DV$2:$DV$201,MATCH(IFERROR(INDEX(Clay_Brands!$A$2:$FZ$601,78,Sync!$D$5)&amp;"",""),Brand_Log!$A$2:$A$201,0))&amp;"",IFERROR(INDEX(Clay_Brands!$A$2:$FZ$601,78,Sync!$D$5)&amp;"","")&amp;""))</f>
        <v/>
      </c>
      <c r="E3529" s="23" t="str">
        <f aca="false">IF(B3529="","",IFERROR(INDEX(Clay_Brands!$A$2:$FZ$601,78,Sync!$D$6)&amp;"",""))</f>
        <v/>
      </c>
      <c r="F3529" s="23" t="str">
        <f aca="false">IF(B3529="","","outreach_sent")</f>
        <v/>
      </c>
      <c r="G3529" s="23" t="str">
        <f aca="false">IF(B3529="","","")</f>
        <v/>
      </c>
      <c r="H3529" s="23" t="str">
        <f aca="false">IF(B3529="","","")</f>
        <v/>
      </c>
      <c r="I3529" s="23" t="str">
        <f aca="false">IF(B3529="","","")</f>
        <v/>
      </c>
      <c r="J3529" s="23" t="str">
        <f aca="false">IF(B3529="","","touch_1; "&amp;IFERROR(INDEX(Clay_Brands!$A$2:$FZ$601,78,Sync!$D$10)&amp;"","")&amp;"; "&amp;IFERROR(INDEX(Clay_Brands!$A$2:$FZ$601,78,Sync!$D$9)&amp;"",""))</f>
        <v/>
      </c>
      <c r="K3529" s="32" t="s">
        <v>1366</v>
      </c>
    </row>
    <row r="3530" customFormat="false" ht="15" hidden="false" customHeight="false" outlineLevel="0" collapsed="false">
      <c r="A3530" s="23" t="str">
        <f aca="false">IF(B3530="","",B3530+(15*1000+79)/10000000)</f>
        <v/>
      </c>
      <c r="B3530" s="35" t="str">
        <f aca="false">IF(AND(IFERROR(N(INDEX(Clay_Brands!$A$2:$FZ$601,79,Sync!$D$11)),0)&gt;0,IFERROR(INDEX(Clay_Brands!$A$2:$FZ$601,79,Sync!$D$5)&amp;"","")&lt;&gt;"",OR(LEFT(IFERROR(INDEX(Clay_Brands!$A$2:$FZ$601,79,Sync!$D$5)&amp;"",""),6)&lt;&gt;"SAMPLE",Config!$B$19="Y")),IFERROR(N(INDEX(Clay_Brands!$A$2:$FZ$601,79,Sync!$D$11)),0),"")</f>
        <v/>
      </c>
      <c r="C3530" s="23" t="str">
        <f aca="false">IF(B3530="","","brand")</f>
        <v/>
      </c>
      <c r="D3530" s="23" t="str">
        <f aca="false">IF(B3530="","",IFERROR(INDEX(Brand_Log!$DV$2:$DV$201,MATCH(IFERROR(INDEX(Clay_Brands!$A$2:$FZ$601,79,Sync!$D$5)&amp;"",""),Brand_Log!$A$2:$A$201,0))&amp;"",IFERROR(INDEX(Clay_Brands!$A$2:$FZ$601,79,Sync!$D$5)&amp;"","")&amp;""))</f>
        <v/>
      </c>
      <c r="E3530" s="23" t="str">
        <f aca="false">IF(B3530="","",IFERROR(INDEX(Clay_Brands!$A$2:$FZ$601,79,Sync!$D$6)&amp;"",""))</f>
        <v/>
      </c>
      <c r="F3530" s="23" t="str">
        <f aca="false">IF(B3530="","","outreach_sent")</f>
        <v/>
      </c>
      <c r="G3530" s="23" t="str">
        <f aca="false">IF(B3530="","","")</f>
        <v/>
      </c>
      <c r="H3530" s="23" t="str">
        <f aca="false">IF(B3530="","","")</f>
        <v/>
      </c>
      <c r="I3530" s="23" t="str">
        <f aca="false">IF(B3530="","","")</f>
        <v/>
      </c>
      <c r="J3530" s="23" t="str">
        <f aca="false">IF(B3530="","","touch_1; "&amp;IFERROR(INDEX(Clay_Brands!$A$2:$FZ$601,79,Sync!$D$10)&amp;"","")&amp;"; "&amp;IFERROR(INDEX(Clay_Brands!$A$2:$FZ$601,79,Sync!$D$9)&amp;"",""))</f>
        <v/>
      </c>
      <c r="K3530" s="32" t="s">
        <v>1366</v>
      </c>
    </row>
    <row r="3531" customFormat="false" ht="15" hidden="false" customHeight="false" outlineLevel="0" collapsed="false">
      <c r="A3531" s="23" t="str">
        <f aca="false">IF(B3531="","",B3531+(15*1000+80)/10000000)</f>
        <v/>
      </c>
      <c r="B3531" s="35" t="str">
        <f aca="false">IF(AND(IFERROR(N(INDEX(Clay_Brands!$A$2:$FZ$601,80,Sync!$D$11)),0)&gt;0,IFERROR(INDEX(Clay_Brands!$A$2:$FZ$601,80,Sync!$D$5)&amp;"","")&lt;&gt;"",OR(LEFT(IFERROR(INDEX(Clay_Brands!$A$2:$FZ$601,80,Sync!$D$5)&amp;"",""),6)&lt;&gt;"SAMPLE",Config!$B$19="Y")),IFERROR(N(INDEX(Clay_Brands!$A$2:$FZ$601,80,Sync!$D$11)),0),"")</f>
        <v/>
      </c>
      <c r="C3531" s="23" t="str">
        <f aca="false">IF(B3531="","","brand")</f>
        <v/>
      </c>
      <c r="D3531" s="23" t="str">
        <f aca="false">IF(B3531="","",IFERROR(INDEX(Brand_Log!$DV$2:$DV$201,MATCH(IFERROR(INDEX(Clay_Brands!$A$2:$FZ$601,80,Sync!$D$5)&amp;"",""),Brand_Log!$A$2:$A$201,0))&amp;"",IFERROR(INDEX(Clay_Brands!$A$2:$FZ$601,80,Sync!$D$5)&amp;"","")&amp;""))</f>
        <v/>
      </c>
      <c r="E3531" s="23" t="str">
        <f aca="false">IF(B3531="","",IFERROR(INDEX(Clay_Brands!$A$2:$FZ$601,80,Sync!$D$6)&amp;"",""))</f>
        <v/>
      </c>
      <c r="F3531" s="23" t="str">
        <f aca="false">IF(B3531="","","outreach_sent")</f>
        <v/>
      </c>
      <c r="G3531" s="23" t="str">
        <f aca="false">IF(B3531="","","")</f>
        <v/>
      </c>
      <c r="H3531" s="23" t="str">
        <f aca="false">IF(B3531="","","")</f>
        <v/>
      </c>
      <c r="I3531" s="23" t="str">
        <f aca="false">IF(B3531="","","")</f>
        <v/>
      </c>
      <c r="J3531" s="23" t="str">
        <f aca="false">IF(B3531="","","touch_1; "&amp;IFERROR(INDEX(Clay_Brands!$A$2:$FZ$601,80,Sync!$D$10)&amp;"","")&amp;"; "&amp;IFERROR(INDEX(Clay_Brands!$A$2:$FZ$601,80,Sync!$D$9)&amp;"",""))</f>
        <v/>
      </c>
      <c r="K3531" s="32" t="s">
        <v>1366</v>
      </c>
    </row>
    <row r="3532" customFormat="false" ht="15" hidden="false" customHeight="false" outlineLevel="0" collapsed="false">
      <c r="A3532" s="23" t="str">
        <f aca="false">IF(B3532="","",B3532+(15*1000+81)/10000000)</f>
        <v/>
      </c>
      <c r="B3532" s="35" t="str">
        <f aca="false">IF(AND(IFERROR(N(INDEX(Clay_Brands!$A$2:$FZ$601,81,Sync!$D$11)),0)&gt;0,IFERROR(INDEX(Clay_Brands!$A$2:$FZ$601,81,Sync!$D$5)&amp;"","")&lt;&gt;"",OR(LEFT(IFERROR(INDEX(Clay_Brands!$A$2:$FZ$601,81,Sync!$D$5)&amp;"",""),6)&lt;&gt;"SAMPLE",Config!$B$19="Y")),IFERROR(N(INDEX(Clay_Brands!$A$2:$FZ$601,81,Sync!$D$11)),0),"")</f>
        <v/>
      </c>
      <c r="C3532" s="23" t="str">
        <f aca="false">IF(B3532="","","brand")</f>
        <v/>
      </c>
      <c r="D3532" s="23" t="str">
        <f aca="false">IF(B3532="","",IFERROR(INDEX(Brand_Log!$DV$2:$DV$201,MATCH(IFERROR(INDEX(Clay_Brands!$A$2:$FZ$601,81,Sync!$D$5)&amp;"",""),Brand_Log!$A$2:$A$201,0))&amp;"",IFERROR(INDEX(Clay_Brands!$A$2:$FZ$601,81,Sync!$D$5)&amp;"","")&amp;""))</f>
        <v/>
      </c>
      <c r="E3532" s="23" t="str">
        <f aca="false">IF(B3532="","",IFERROR(INDEX(Clay_Brands!$A$2:$FZ$601,81,Sync!$D$6)&amp;"",""))</f>
        <v/>
      </c>
      <c r="F3532" s="23" t="str">
        <f aca="false">IF(B3532="","","outreach_sent")</f>
        <v/>
      </c>
      <c r="G3532" s="23" t="str">
        <f aca="false">IF(B3532="","","")</f>
        <v/>
      </c>
      <c r="H3532" s="23" t="str">
        <f aca="false">IF(B3532="","","")</f>
        <v/>
      </c>
      <c r="I3532" s="23" t="str">
        <f aca="false">IF(B3532="","","")</f>
        <v/>
      </c>
      <c r="J3532" s="23" t="str">
        <f aca="false">IF(B3532="","","touch_1; "&amp;IFERROR(INDEX(Clay_Brands!$A$2:$FZ$601,81,Sync!$D$10)&amp;"","")&amp;"; "&amp;IFERROR(INDEX(Clay_Brands!$A$2:$FZ$601,81,Sync!$D$9)&amp;"",""))</f>
        <v/>
      </c>
      <c r="K3532" s="32" t="s">
        <v>1366</v>
      </c>
    </row>
    <row r="3533" customFormat="false" ht="15" hidden="false" customHeight="false" outlineLevel="0" collapsed="false">
      <c r="A3533" s="23" t="str">
        <f aca="false">IF(B3533="","",B3533+(15*1000+82)/10000000)</f>
        <v/>
      </c>
      <c r="B3533" s="35" t="str">
        <f aca="false">IF(AND(IFERROR(N(INDEX(Clay_Brands!$A$2:$FZ$601,82,Sync!$D$11)),0)&gt;0,IFERROR(INDEX(Clay_Brands!$A$2:$FZ$601,82,Sync!$D$5)&amp;"","")&lt;&gt;"",OR(LEFT(IFERROR(INDEX(Clay_Brands!$A$2:$FZ$601,82,Sync!$D$5)&amp;"",""),6)&lt;&gt;"SAMPLE",Config!$B$19="Y")),IFERROR(N(INDEX(Clay_Brands!$A$2:$FZ$601,82,Sync!$D$11)),0),"")</f>
        <v/>
      </c>
      <c r="C3533" s="23" t="str">
        <f aca="false">IF(B3533="","","brand")</f>
        <v/>
      </c>
      <c r="D3533" s="23" t="str">
        <f aca="false">IF(B3533="","",IFERROR(INDEX(Brand_Log!$DV$2:$DV$201,MATCH(IFERROR(INDEX(Clay_Brands!$A$2:$FZ$601,82,Sync!$D$5)&amp;"",""),Brand_Log!$A$2:$A$201,0))&amp;"",IFERROR(INDEX(Clay_Brands!$A$2:$FZ$601,82,Sync!$D$5)&amp;"","")&amp;""))</f>
        <v/>
      </c>
      <c r="E3533" s="23" t="str">
        <f aca="false">IF(B3533="","",IFERROR(INDEX(Clay_Brands!$A$2:$FZ$601,82,Sync!$D$6)&amp;"",""))</f>
        <v/>
      </c>
      <c r="F3533" s="23" t="str">
        <f aca="false">IF(B3533="","","outreach_sent")</f>
        <v/>
      </c>
      <c r="G3533" s="23" t="str">
        <f aca="false">IF(B3533="","","")</f>
        <v/>
      </c>
      <c r="H3533" s="23" t="str">
        <f aca="false">IF(B3533="","","")</f>
        <v/>
      </c>
      <c r="I3533" s="23" t="str">
        <f aca="false">IF(B3533="","","")</f>
        <v/>
      </c>
      <c r="J3533" s="23" t="str">
        <f aca="false">IF(B3533="","","touch_1; "&amp;IFERROR(INDEX(Clay_Brands!$A$2:$FZ$601,82,Sync!$D$10)&amp;"","")&amp;"; "&amp;IFERROR(INDEX(Clay_Brands!$A$2:$FZ$601,82,Sync!$D$9)&amp;"",""))</f>
        <v/>
      </c>
      <c r="K3533" s="32" t="s">
        <v>1366</v>
      </c>
    </row>
    <row r="3534" customFormat="false" ht="15" hidden="false" customHeight="false" outlineLevel="0" collapsed="false">
      <c r="A3534" s="23" t="str">
        <f aca="false">IF(B3534="","",B3534+(15*1000+83)/10000000)</f>
        <v/>
      </c>
      <c r="B3534" s="35" t="str">
        <f aca="false">IF(AND(IFERROR(N(INDEX(Clay_Brands!$A$2:$FZ$601,83,Sync!$D$11)),0)&gt;0,IFERROR(INDEX(Clay_Brands!$A$2:$FZ$601,83,Sync!$D$5)&amp;"","")&lt;&gt;"",OR(LEFT(IFERROR(INDEX(Clay_Brands!$A$2:$FZ$601,83,Sync!$D$5)&amp;"",""),6)&lt;&gt;"SAMPLE",Config!$B$19="Y")),IFERROR(N(INDEX(Clay_Brands!$A$2:$FZ$601,83,Sync!$D$11)),0),"")</f>
        <v/>
      </c>
      <c r="C3534" s="23" t="str">
        <f aca="false">IF(B3534="","","brand")</f>
        <v/>
      </c>
      <c r="D3534" s="23" t="str">
        <f aca="false">IF(B3534="","",IFERROR(INDEX(Brand_Log!$DV$2:$DV$201,MATCH(IFERROR(INDEX(Clay_Brands!$A$2:$FZ$601,83,Sync!$D$5)&amp;"",""),Brand_Log!$A$2:$A$201,0))&amp;"",IFERROR(INDEX(Clay_Brands!$A$2:$FZ$601,83,Sync!$D$5)&amp;"","")&amp;""))</f>
        <v/>
      </c>
      <c r="E3534" s="23" t="str">
        <f aca="false">IF(B3534="","",IFERROR(INDEX(Clay_Brands!$A$2:$FZ$601,83,Sync!$D$6)&amp;"",""))</f>
        <v/>
      </c>
      <c r="F3534" s="23" t="str">
        <f aca="false">IF(B3534="","","outreach_sent")</f>
        <v/>
      </c>
      <c r="G3534" s="23" t="str">
        <f aca="false">IF(B3534="","","")</f>
        <v/>
      </c>
      <c r="H3534" s="23" t="str">
        <f aca="false">IF(B3534="","","")</f>
        <v/>
      </c>
      <c r="I3534" s="23" t="str">
        <f aca="false">IF(B3534="","","")</f>
        <v/>
      </c>
      <c r="J3534" s="23" t="str">
        <f aca="false">IF(B3534="","","touch_1; "&amp;IFERROR(INDEX(Clay_Brands!$A$2:$FZ$601,83,Sync!$D$10)&amp;"","")&amp;"; "&amp;IFERROR(INDEX(Clay_Brands!$A$2:$FZ$601,83,Sync!$D$9)&amp;"",""))</f>
        <v/>
      </c>
      <c r="K3534" s="32" t="s">
        <v>1366</v>
      </c>
    </row>
    <row r="3535" customFormat="false" ht="15" hidden="false" customHeight="false" outlineLevel="0" collapsed="false">
      <c r="A3535" s="23" t="str">
        <f aca="false">IF(B3535="","",B3535+(15*1000+84)/10000000)</f>
        <v/>
      </c>
      <c r="B3535" s="35" t="str">
        <f aca="false">IF(AND(IFERROR(N(INDEX(Clay_Brands!$A$2:$FZ$601,84,Sync!$D$11)),0)&gt;0,IFERROR(INDEX(Clay_Brands!$A$2:$FZ$601,84,Sync!$D$5)&amp;"","")&lt;&gt;"",OR(LEFT(IFERROR(INDEX(Clay_Brands!$A$2:$FZ$601,84,Sync!$D$5)&amp;"",""),6)&lt;&gt;"SAMPLE",Config!$B$19="Y")),IFERROR(N(INDEX(Clay_Brands!$A$2:$FZ$601,84,Sync!$D$11)),0),"")</f>
        <v/>
      </c>
      <c r="C3535" s="23" t="str">
        <f aca="false">IF(B3535="","","brand")</f>
        <v/>
      </c>
      <c r="D3535" s="23" t="str">
        <f aca="false">IF(B3535="","",IFERROR(INDEX(Brand_Log!$DV$2:$DV$201,MATCH(IFERROR(INDEX(Clay_Brands!$A$2:$FZ$601,84,Sync!$D$5)&amp;"",""),Brand_Log!$A$2:$A$201,0))&amp;"",IFERROR(INDEX(Clay_Brands!$A$2:$FZ$601,84,Sync!$D$5)&amp;"","")&amp;""))</f>
        <v/>
      </c>
      <c r="E3535" s="23" t="str">
        <f aca="false">IF(B3535="","",IFERROR(INDEX(Clay_Brands!$A$2:$FZ$601,84,Sync!$D$6)&amp;"",""))</f>
        <v/>
      </c>
      <c r="F3535" s="23" t="str">
        <f aca="false">IF(B3535="","","outreach_sent")</f>
        <v/>
      </c>
      <c r="G3535" s="23" t="str">
        <f aca="false">IF(B3535="","","")</f>
        <v/>
      </c>
      <c r="H3535" s="23" t="str">
        <f aca="false">IF(B3535="","","")</f>
        <v/>
      </c>
      <c r="I3535" s="23" t="str">
        <f aca="false">IF(B3535="","","")</f>
        <v/>
      </c>
      <c r="J3535" s="23" t="str">
        <f aca="false">IF(B3535="","","touch_1; "&amp;IFERROR(INDEX(Clay_Brands!$A$2:$FZ$601,84,Sync!$D$10)&amp;"","")&amp;"; "&amp;IFERROR(INDEX(Clay_Brands!$A$2:$FZ$601,84,Sync!$D$9)&amp;"",""))</f>
        <v/>
      </c>
      <c r="K3535" s="32" t="s">
        <v>1366</v>
      </c>
    </row>
    <row r="3536" customFormat="false" ht="15" hidden="false" customHeight="false" outlineLevel="0" collapsed="false">
      <c r="A3536" s="23" t="str">
        <f aca="false">IF(B3536="","",B3536+(15*1000+85)/10000000)</f>
        <v/>
      </c>
      <c r="B3536" s="35" t="str">
        <f aca="false">IF(AND(IFERROR(N(INDEX(Clay_Brands!$A$2:$FZ$601,85,Sync!$D$11)),0)&gt;0,IFERROR(INDEX(Clay_Brands!$A$2:$FZ$601,85,Sync!$D$5)&amp;"","")&lt;&gt;"",OR(LEFT(IFERROR(INDEX(Clay_Brands!$A$2:$FZ$601,85,Sync!$D$5)&amp;"",""),6)&lt;&gt;"SAMPLE",Config!$B$19="Y")),IFERROR(N(INDEX(Clay_Brands!$A$2:$FZ$601,85,Sync!$D$11)),0),"")</f>
        <v/>
      </c>
      <c r="C3536" s="23" t="str">
        <f aca="false">IF(B3536="","","brand")</f>
        <v/>
      </c>
      <c r="D3536" s="23" t="str">
        <f aca="false">IF(B3536="","",IFERROR(INDEX(Brand_Log!$DV$2:$DV$201,MATCH(IFERROR(INDEX(Clay_Brands!$A$2:$FZ$601,85,Sync!$D$5)&amp;"",""),Brand_Log!$A$2:$A$201,0))&amp;"",IFERROR(INDEX(Clay_Brands!$A$2:$FZ$601,85,Sync!$D$5)&amp;"","")&amp;""))</f>
        <v/>
      </c>
      <c r="E3536" s="23" t="str">
        <f aca="false">IF(B3536="","",IFERROR(INDEX(Clay_Brands!$A$2:$FZ$601,85,Sync!$D$6)&amp;"",""))</f>
        <v/>
      </c>
      <c r="F3536" s="23" t="str">
        <f aca="false">IF(B3536="","","outreach_sent")</f>
        <v/>
      </c>
      <c r="G3536" s="23" t="str">
        <f aca="false">IF(B3536="","","")</f>
        <v/>
      </c>
      <c r="H3536" s="23" t="str">
        <f aca="false">IF(B3536="","","")</f>
        <v/>
      </c>
      <c r="I3536" s="23" t="str">
        <f aca="false">IF(B3536="","","")</f>
        <v/>
      </c>
      <c r="J3536" s="23" t="str">
        <f aca="false">IF(B3536="","","touch_1; "&amp;IFERROR(INDEX(Clay_Brands!$A$2:$FZ$601,85,Sync!$D$10)&amp;"","")&amp;"; "&amp;IFERROR(INDEX(Clay_Brands!$A$2:$FZ$601,85,Sync!$D$9)&amp;"",""))</f>
        <v/>
      </c>
      <c r="K3536" s="32" t="s">
        <v>1366</v>
      </c>
    </row>
    <row r="3537" customFormat="false" ht="15" hidden="false" customHeight="false" outlineLevel="0" collapsed="false">
      <c r="A3537" s="23" t="str">
        <f aca="false">IF(B3537="","",B3537+(15*1000+86)/10000000)</f>
        <v/>
      </c>
      <c r="B3537" s="35" t="str">
        <f aca="false">IF(AND(IFERROR(N(INDEX(Clay_Brands!$A$2:$FZ$601,86,Sync!$D$11)),0)&gt;0,IFERROR(INDEX(Clay_Brands!$A$2:$FZ$601,86,Sync!$D$5)&amp;"","")&lt;&gt;"",OR(LEFT(IFERROR(INDEX(Clay_Brands!$A$2:$FZ$601,86,Sync!$D$5)&amp;"",""),6)&lt;&gt;"SAMPLE",Config!$B$19="Y")),IFERROR(N(INDEX(Clay_Brands!$A$2:$FZ$601,86,Sync!$D$11)),0),"")</f>
        <v/>
      </c>
      <c r="C3537" s="23" t="str">
        <f aca="false">IF(B3537="","","brand")</f>
        <v/>
      </c>
      <c r="D3537" s="23" t="str">
        <f aca="false">IF(B3537="","",IFERROR(INDEX(Brand_Log!$DV$2:$DV$201,MATCH(IFERROR(INDEX(Clay_Brands!$A$2:$FZ$601,86,Sync!$D$5)&amp;"",""),Brand_Log!$A$2:$A$201,0))&amp;"",IFERROR(INDEX(Clay_Brands!$A$2:$FZ$601,86,Sync!$D$5)&amp;"","")&amp;""))</f>
        <v/>
      </c>
      <c r="E3537" s="23" t="str">
        <f aca="false">IF(B3537="","",IFERROR(INDEX(Clay_Brands!$A$2:$FZ$601,86,Sync!$D$6)&amp;"",""))</f>
        <v/>
      </c>
      <c r="F3537" s="23" t="str">
        <f aca="false">IF(B3537="","","outreach_sent")</f>
        <v/>
      </c>
      <c r="G3537" s="23" t="str">
        <f aca="false">IF(B3537="","","")</f>
        <v/>
      </c>
      <c r="H3537" s="23" t="str">
        <f aca="false">IF(B3537="","","")</f>
        <v/>
      </c>
      <c r="I3537" s="23" t="str">
        <f aca="false">IF(B3537="","","")</f>
        <v/>
      </c>
      <c r="J3537" s="23" t="str">
        <f aca="false">IF(B3537="","","touch_1; "&amp;IFERROR(INDEX(Clay_Brands!$A$2:$FZ$601,86,Sync!$D$10)&amp;"","")&amp;"; "&amp;IFERROR(INDEX(Clay_Brands!$A$2:$FZ$601,86,Sync!$D$9)&amp;"",""))</f>
        <v/>
      </c>
      <c r="K3537" s="32" t="s">
        <v>1366</v>
      </c>
    </row>
    <row r="3538" customFormat="false" ht="15" hidden="false" customHeight="false" outlineLevel="0" collapsed="false">
      <c r="A3538" s="23" t="str">
        <f aca="false">IF(B3538="","",B3538+(15*1000+87)/10000000)</f>
        <v/>
      </c>
      <c r="B3538" s="35" t="str">
        <f aca="false">IF(AND(IFERROR(N(INDEX(Clay_Brands!$A$2:$FZ$601,87,Sync!$D$11)),0)&gt;0,IFERROR(INDEX(Clay_Brands!$A$2:$FZ$601,87,Sync!$D$5)&amp;"","")&lt;&gt;"",OR(LEFT(IFERROR(INDEX(Clay_Brands!$A$2:$FZ$601,87,Sync!$D$5)&amp;"",""),6)&lt;&gt;"SAMPLE",Config!$B$19="Y")),IFERROR(N(INDEX(Clay_Brands!$A$2:$FZ$601,87,Sync!$D$11)),0),"")</f>
        <v/>
      </c>
      <c r="C3538" s="23" t="str">
        <f aca="false">IF(B3538="","","brand")</f>
        <v/>
      </c>
      <c r="D3538" s="23" t="str">
        <f aca="false">IF(B3538="","",IFERROR(INDEX(Brand_Log!$DV$2:$DV$201,MATCH(IFERROR(INDEX(Clay_Brands!$A$2:$FZ$601,87,Sync!$D$5)&amp;"",""),Brand_Log!$A$2:$A$201,0))&amp;"",IFERROR(INDEX(Clay_Brands!$A$2:$FZ$601,87,Sync!$D$5)&amp;"","")&amp;""))</f>
        <v/>
      </c>
      <c r="E3538" s="23" t="str">
        <f aca="false">IF(B3538="","",IFERROR(INDEX(Clay_Brands!$A$2:$FZ$601,87,Sync!$D$6)&amp;"",""))</f>
        <v/>
      </c>
      <c r="F3538" s="23" t="str">
        <f aca="false">IF(B3538="","","outreach_sent")</f>
        <v/>
      </c>
      <c r="G3538" s="23" t="str">
        <f aca="false">IF(B3538="","","")</f>
        <v/>
      </c>
      <c r="H3538" s="23" t="str">
        <f aca="false">IF(B3538="","","")</f>
        <v/>
      </c>
      <c r="I3538" s="23" t="str">
        <f aca="false">IF(B3538="","","")</f>
        <v/>
      </c>
      <c r="J3538" s="23" t="str">
        <f aca="false">IF(B3538="","","touch_1; "&amp;IFERROR(INDEX(Clay_Brands!$A$2:$FZ$601,87,Sync!$D$10)&amp;"","")&amp;"; "&amp;IFERROR(INDEX(Clay_Brands!$A$2:$FZ$601,87,Sync!$D$9)&amp;"",""))</f>
        <v/>
      </c>
      <c r="K3538" s="32" t="s">
        <v>1366</v>
      </c>
    </row>
    <row r="3539" customFormat="false" ht="15" hidden="false" customHeight="false" outlineLevel="0" collapsed="false">
      <c r="A3539" s="23" t="str">
        <f aca="false">IF(B3539="","",B3539+(15*1000+88)/10000000)</f>
        <v/>
      </c>
      <c r="B3539" s="35" t="str">
        <f aca="false">IF(AND(IFERROR(N(INDEX(Clay_Brands!$A$2:$FZ$601,88,Sync!$D$11)),0)&gt;0,IFERROR(INDEX(Clay_Brands!$A$2:$FZ$601,88,Sync!$D$5)&amp;"","")&lt;&gt;"",OR(LEFT(IFERROR(INDEX(Clay_Brands!$A$2:$FZ$601,88,Sync!$D$5)&amp;"",""),6)&lt;&gt;"SAMPLE",Config!$B$19="Y")),IFERROR(N(INDEX(Clay_Brands!$A$2:$FZ$601,88,Sync!$D$11)),0),"")</f>
        <v/>
      </c>
      <c r="C3539" s="23" t="str">
        <f aca="false">IF(B3539="","","brand")</f>
        <v/>
      </c>
      <c r="D3539" s="23" t="str">
        <f aca="false">IF(B3539="","",IFERROR(INDEX(Brand_Log!$DV$2:$DV$201,MATCH(IFERROR(INDEX(Clay_Brands!$A$2:$FZ$601,88,Sync!$D$5)&amp;"",""),Brand_Log!$A$2:$A$201,0))&amp;"",IFERROR(INDEX(Clay_Brands!$A$2:$FZ$601,88,Sync!$D$5)&amp;"","")&amp;""))</f>
        <v/>
      </c>
      <c r="E3539" s="23" t="str">
        <f aca="false">IF(B3539="","",IFERROR(INDEX(Clay_Brands!$A$2:$FZ$601,88,Sync!$D$6)&amp;"",""))</f>
        <v/>
      </c>
      <c r="F3539" s="23" t="str">
        <f aca="false">IF(B3539="","","outreach_sent")</f>
        <v/>
      </c>
      <c r="G3539" s="23" t="str">
        <f aca="false">IF(B3539="","","")</f>
        <v/>
      </c>
      <c r="H3539" s="23" t="str">
        <f aca="false">IF(B3539="","","")</f>
        <v/>
      </c>
      <c r="I3539" s="23" t="str">
        <f aca="false">IF(B3539="","","")</f>
        <v/>
      </c>
      <c r="J3539" s="23" t="str">
        <f aca="false">IF(B3539="","","touch_1; "&amp;IFERROR(INDEX(Clay_Brands!$A$2:$FZ$601,88,Sync!$D$10)&amp;"","")&amp;"; "&amp;IFERROR(INDEX(Clay_Brands!$A$2:$FZ$601,88,Sync!$D$9)&amp;"",""))</f>
        <v/>
      </c>
      <c r="K3539" s="32" t="s">
        <v>1366</v>
      </c>
    </row>
    <row r="3540" customFormat="false" ht="15" hidden="false" customHeight="false" outlineLevel="0" collapsed="false">
      <c r="A3540" s="23" t="str">
        <f aca="false">IF(B3540="","",B3540+(15*1000+89)/10000000)</f>
        <v/>
      </c>
      <c r="B3540" s="35" t="str">
        <f aca="false">IF(AND(IFERROR(N(INDEX(Clay_Brands!$A$2:$FZ$601,89,Sync!$D$11)),0)&gt;0,IFERROR(INDEX(Clay_Brands!$A$2:$FZ$601,89,Sync!$D$5)&amp;"","")&lt;&gt;"",OR(LEFT(IFERROR(INDEX(Clay_Brands!$A$2:$FZ$601,89,Sync!$D$5)&amp;"",""),6)&lt;&gt;"SAMPLE",Config!$B$19="Y")),IFERROR(N(INDEX(Clay_Brands!$A$2:$FZ$601,89,Sync!$D$11)),0),"")</f>
        <v/>
      </c>
      <c r="C3540" s="23" t="str">
        <f aca="false">IF(B3540="","","brand")</f>
        <v/>
      </c>
      <c r="D3540" s="23" t="str">
        <f aca="false">IF(B3540="","",IFERROR(INDEX(Brand_Log!$DV$2:$DV$201,MATCH(IFERROR(INDEX(Clay_Brands!$A$2:$FZ$601,89,Sync!$D$5)&amp;"",""),Brand_Log!$A$2:$A$201,0))&amp;"",IFERROR(INDEX(Clay_Brands!$A$2:$FZ$601,89,Sync!$D$5)&amp;"","")&amp;""))</f>
        <v/>
      </c>
      <c r="E3540" s="23" t="str">
        <f aca="false">IF(B3540="","",IFERROR(INDEX(Clay_Brands!$A$2:$FZ$601,89,Sync!$D$6)&amp;"",""))</f>
        <v/>
      </c>
      <c r="F3540" s="23" t="str">
        <f aca="false">IF(B3540="","","outreach_sent")</f>
        <v/>
      </c>
      <c r="G3540" s="23" t="str">
        <f aca="false">IF(B3540="","","")</f>
        <v/>
      </c>
      <c r="H3540" s="23" t="str">
        <f aca="false">IF(B3540="","","")</f>
        <v/>
      </c>
      <c r="I3540" s="23" t="str">
        <f aca="false">IF(B3540="","","")</f>
        <v/>
      </c>
      <c r="J3540" s="23" t="str">
        <f aca="false">IF(B3540="","","touch_1; "&amp;IFERROR(INDEX(Clay_Brands!$A$2:$FZ$601,89,Sync!$D$10)&amp;"","")&amp;"; "&amp;IFERROR(INDEX(Clay_Brands!$A$2:$FZ$601,89,Sync!$D$9)&amp;"",""))</f>
        <v/>
      </c>
      <c r="K3540" s="32" t="s">
        <v>1366</v>
      </c>
    </row>
    <row r="3541" customFormat="false" ht="15" hidden="false" customHeight="false" outlineLevel="0" collapsed="false">
      <c r="A3541" s="23" t="str">
        <f aca="false">IF(B3541="","",B3541+(15*1000+90)/10000000)</f>
        <v/>
      </c>
      <c r="B3541" s="35" t="str">
        <f aca="false">IF(AND(IFERROR(N(INDEX(Clay_Brands!$A$2:$FZ$601,90,Sync!$D$11)),0)&gt;0,IFERROR(INDEX(Clay_Brands!$A$2:$FZ$601,90,Sync!$D$5)&amp;"","")&lt;&gt;"",OR(LEFT(IFERROR(INDEX(Clay_Brands!$A$2:$FZ$601,90,Sync!$D$5)&amp;"",""),6)&lt;&gt;"SAMPLE",Config!$B$19="Y")),IFERROR(N(INDEX(Clay_Brands!$A$2:$FZ$601,90,Sync!$D$11)),0),"")</f>
        <v/>
      </c>
      <c r="C3541" s="23" t="str">
        <f aca="false">IF(B3541="","","brand")</f>
        <v/>
      </c>
      <c r="D3541" s="23" t="str">
        <f aca="false">IF(B3541="","",IFERROR(INDEX(Brand_Log!$DV$2:$DV$201,MATCH(IFERROR(INDEX(Clay_Brands!$A$2:$FZ$601,90,Sync!$D$5)&amp;"",""),Brand_Log!$A$2:$A$201,0))&amp;"",IFERROR(INDEX(Clay_Brands!$A$2:$FZ$601,90,Sync!$D$5)&amp;"","")&amp;""))</f>
        <v/>
      </c>
      <c r="E3541" s="23" t="str">
        <f aca="false">IF(B3541="","",IFERROR(INDEX(Clay_Brands!$A$2:$FZ$601,90,Sync!$D$6)&amp;"",""))</f>
        <v/>
      </c>
      <c r="F3541" s="23" t="str">
        <f aca="false">IF(B3541="","","outreach_sent")</f>
        <v/>
      </c>
      <c r="G3541" s="23" t="str">
        <f aca="false">IF(B3541="","","")</f>
        <v/>
      </c>
      <c r="H3541" s="23" t="str">
        <f aca="false">IF(B3541="","","")</f>
        <v/>
      </c>
      <c r="I3541" s="23" t="str">
        <f aca="false">IF(B3541="","","")</f>
        <v/>
      </c>
      <c r="J3541" s="23" t="str">
        <f aca="false">IF(B3541="","","touch_1; "&amp;IFERROR(INDEX(Clay_Brands!$A$2:$FZ$601,90,Sync!$D$10)&amp;"","")&amp;"; "&amp;IFERROR(INDEX(Clay_Brands!$A$2:$FZ$601,90,Sync!$D$9)&amp;"",""))</f>
        <v/>
      </c>
      <c r="K3541" s="32" t="s">
        <v>1366</v>
      </c>
    </row>
    <row r="3542" customFormat="false" ht="15" hidden="false" customHeight="false" outlineLevel="0" collapsed="false">
      <c r="A3542" s="23" t="str">
        <f aca="false">IF(B3542="","",B3542+(15*1000+91)/10000000)</f>
        <v/>
      </c>
      <c r="B3542" s="35" t="str">
        <f aca="false">IF(AND(IFERROR(N(INDEX(Clay_Brands!$A$2:$FZ$601,91,Sync!$D$11)),0)&gt;0,IFERROR(INDEX(Clay_Brands!$A$2:$FZ$601,91,Sync!$D$5)&amp;"","")&lt;&gt;"",OR(LEFT(IFERROR(INDEX(Clay_Brands!$A$2:$FZ$601,91,Sync!$D$5)&amp;"",""),6)&lt;&gt;"SAMPLE",Config!$B$19="Y")),IFERROR(N(INDEX(Clay_Brands!$A$2:$FZ$601,91,Sync!$D$11)),0),"")</f>
        <v/>
      </c>
      <c r="C3542" s="23" t="str">
        <f aca="false">IF(B3542="","","brand")</f>
        <v/>
      </c>
      <c r="D3542" s="23" t="str">
        <f aca="false">IF(B3542="","",IFERROR(INDEX(Brand_Log!$DV$2:$DV$201,MATCH(IFERROR(INDEX(Clay_Brands!$A$2:$FZ$601,91,Sync!$D$5)&amp;"",""),Brand_Log!$A$2:$A$201,0))&amp;"",IFERROR(INDEX(Clay_Brands!$A$2:$FZ$601,91,Sync!$D$5)&amp;"","")&amp;""))</f>
        <v/>
      </c>
      <c r="E3542" s="23" t="str">
        <f aca="false">IF(B3542="","",IFERROR(INDEX(Clay_Brands!$A$2:$FZ$601,91,Sync!$D$6)&amp;"",""))</f>
        <v/>
      </c>
      <c r="F3542" s="23" t="str">
        <f aca="false">IF(B3542="","","outreach_sent")</f>
        <v/>
      </c>
      <c r="G3542" s="23" t="str">
        <f aca="false">IF(B3542="","","")</f>
        <v/>
      </c>
      <c r="H3542" s="23" t="str">
        <f aca="false">IF(B3542="","","")</f>
        <v/>
      </c>
      <c r="I3542" s="23" t="str">
        <f aca="false">IF(B3542="","","")</f>
        <v/>
      </c>
      <c r="J3542" s="23" t="str">
        <f aca="false">IF(B3542="","","touch_1; "&amp;IFERROR(INDEX(Clay_Brands!$A$2:$FZ$601,91,Sync!$D$10)&amp;"","")&amp;"; "&amp;IFERROR(INDEX(Clay_Brands!$A$2:$FZ$601,91,Sync!$D$9)&amp;"",""))</f>
        <v/>
      </c>
      <c r="K3542" s="32" t="s">
        <v>1366</v>
      </c>
    </row>
    <row r="3543" customFormat="false" ht="15" hidden="false" customHeight="false" outlineLevel="0" collapsed="false">
      <c r="A3543" s="23" t="str">
        <f aca="false">IF(B3543="","",B3543+(15*1000+92)/10000000)</f>
        <v/>
      </c>
      <c r="B3543" s="35" t="str">
        <f aca="false">IF(AND(IFERROR(N(INDEX(Clay_Brands!$A$2:$FZ$601,92,Sync!$D$11)),0)&gt;0,IFERROR(INDEX(Clay_Brands!$A$2:$FZ$601,92,Sync!$D$5)&amp;"","")&lt;&gt;"",OR(LEFT(IFERROR(INDEX(Clay_Brands!$A$2:$FZ$601,92,Sync!$D$5)&amp;"",""),6)&lt;&gt;"SAMPLE",Config!$B$19="Y")),IFERROR(N(INDEX(Clay_Brands!$A$2:$FZ$601,92,Sync!$D$11)),0),"")</f>
        <v/>
      </c>
      <c r="C3543" s="23" t="str">
        <f aca="false">IF(B3543="","","brand")</f>
        <v/>
      </c>
      <c r="D3543" s="23" t="str">
        <f aca="false">IF(B3543="","",IFERROR(INDEX(Brand_Log!$DV$2:$DV$201,MATCH(IFERROR(INDEX(Clay_Brands!$A$2:$FZ$601,92,Sync!$D$5)&amp;"",""),Brand_Log!$A$2:$A$201,0))&amp;"",IFERROR(INDEX(Clay_Brands!$A$2:$FZ$601,92,Sync!$D$5)&amp;"","")&amp;""))</f>
        <v/>
      </c>
      <c r="E3543" s="23" t="str">
        <f aca="false">IF(B3543="","",IFERROR(INDEX(Clay_Brands!$A$2:$FZ$601,92,Sync!$D$6)&amp;"",""))</f>
        <v/>
      </c>
      <c r="F3543" s="23" t="str">
        <f aca="false">IF(B3543="","","outreach_sent")</f>
        <v/>
      </c>
      <c r="G3543" s="23" t="str">
        <f aca="false">IF(B3543="","","")</f>
        <v/>
      </c>
      <c r="H3543" s="23" t="str">
        <f aca="false">IF(B3543="","","")</f>
        <v/>
      </c>
      <c r="I3543" s="23" t="str">
        <f aca="false">IF(B3543="","","")</f>
        <v/>
      </c>
      <c r="J3543" s="23" t="str">
        <f aca="false">IF(B3543="","","touch_1; "&amp;IFERROR(INDEX(Clay_Brands!$A$2:$FZ$601,92,Sync!$D$10)&amp;"","")&amp;"; "&amp;IFERROR(INDEX(Clay_Brands!$A$2:$FZ$601,92,Sync!$D$9)&amp;"",""))</f>
        <v/>
      </c>
      <c r="K3543" s="32" t="s">
        <v>1366</v>
      </c>
    </row>
    <row r="3544" customFormat="false" ht="15" hidden="false" customHeight="false" outlineLevel="0" collapsed="false">
      <c r="A3544" s="23" t="str">
        <f aca="false">IF(B3544="","",B3544+(15*1000+93)/10000000)</f>
        <v/>
      </c>
      <c r="B3544" s="35" t="str">
        <f aca="false">IF(AND(IFERROR(N(INDEX(Clay_Brands!$A$2:$FZ$601,93,Sync!$D$11)),0)&gt;0,IFERROR(INDEX(Clay_Brands!$A$2:$FZ$601,93,Sync!$D$5)&amp;"","")&lt;&gt;"",OR(LEFT(IFERROR(INDEX(Clay_Brands!$A$2:$FZ$601,93,Sync!$D$5)&amp;"",""),6)&lt;&gt;"SAMPLE",Config!$B$19="Y")),IFERROR(N(INDEX(Clay_Brands!$A$2:$FZ$601,93,Sync!$D$11)),0),"")</f>
        <v/>
      </c>
      <c r="C3544" s="23" t="str">
        <f aca="false">IF(B3544="","","brand")</f>
        <v/>
      </c>
      <c r="D3544" s="23" t="str">
        <f aca="false">IF(B3544="","",IFERROR(INDEX(Brand_Log!$DV$2:$DV$201,MATCH(IFERROR(INDEX(Clay_Brands!$A$2:$FZ$601,93,Sync!$D$5)&amp;"",""),Brand_Log!$A$2:$A$201,0))&amp;"",IFERROR(INDEX(Clay_Brands!$A$2:$FZ$601,93,Sync!$D$5)&amp;"","")&amp;""))</f>
        <v/>
      </c>
      <c r="E3544" s="23" t="str">
        <f aca="false">IF(B3544="","",IFERROR(INDEX(Clay_Brands!$A$2:$FZ$601,93,Sync!$D$6)&amp;"",""))</f>
        <v/>
      </c>
      <c r="F3544" s="23" t="str">
        <f aca="false">IF(B3544="","","outreach_sent")</f>
        <v/>
      </c>
      <c r="G3544" s="23" t="str">
        <f aca="false">IF(B3544="","","")</f>
        <v/>
      </c>
      <c r="H3544" s="23" t="str">
        <f aca="false">IF(B3544="","","")</f>
        <v/>
      </c>
      <c r="I3544" s="23" t="str">
        <f aca="false">IF(B3544="","","")</f>
        <v/>
      </c>
      <c r="J3544" s="23" t="str">
        <f aca="false">IF(B3544="","","touch_1; "&amp;IFERROR(INDEX(Clay_Brands!$A$2:$FZ$601,93,Sync!$D$10)&amp;"","")&amp;"; "&amp;IFERROR(INDEX(Clay_Brands!$A$2:$FZ$601,93,Sync!$D$9)&amp;"",""))</f>
        <v/>
      </c>
      <c r="K3544" s="32" t="s">
        <v>1366</v>
      </c>
    </row>
    <row r="3545" customFormat="false" ht="15" hidden="false" customHeight="false" outlineLevel="0" collapsed="false">
      <c r="A3545" s="23" t="str">
        <f aca="false">IF(B3545="","",B3545+(15*1000+94)/10000000)</f>
        <v/>
      </c>
      <c r="B3545" s="35" t="str">
        <f aca="false">IF(AND(IFERROR(N(INDEX(Clay_Brands!$A$2:$FZ$601,94,Sync!$D$11)),0)&gt;0,IFERROR(INDEX(Clay_Brands!$A$2:$FZ$601,94,Sync!$D$5)&amp;"","")&lt;&gt;"",OR(LEFT(IFERROR(INDEX(Clay_Brands!$A$2:$FZ$601,94,Sync!$D$5)&amp;"",""),6)&lt;&gt;"SAMPLE",Config!$B$19="Y")),IFERROR(N(INDEX(Clay_Brands!$A$2:$FZ$601,94,Sync!$D$11)),0),"")</f>
        <v/>
      </c>
      <c r="C3545" s="23" t="str">
        <f aca="false">IF(B3545="","","brand")</f>
        <v/>
      </c>
      <c r="D3545" s="23" t="str">
        <f aca="false">IF(B3545="","",IFERROR(INDEX(Brand_Log!$DV$2:$DV$201,MATCH(IFERROR(INDEX(Clay_Brands!$A$2:$FZ$601,94,Sync!$D$5)&amp;"",""),Brand_Log!$A$2:$A$201,0))&amp;"",IFERROR(INDEX(Clay_Brands!$A$2:$FZ$601,94,Sync!$D$5)&amp;"","")&amp;""))</f>
        <v/>
      </c>
      <c r="E3545" s="23" t="str">
        <f aca="false">IF(B3545="","",IFERROR(INDEX(Clay_Brands!$A$2:$FZ$601,94,Sync!$D$6)&amp;"",""))</f>
        <v/>
      </c>
      <c r="F3545" s="23" t="str">
        <f aca="false">IF(B3545="","","outreach_sent")</f>
        <v/>
      </c>
      <c r="G3545" s="23" t="str">
        <f aca="false">IF(B3545="","","")</f>
        <v/>
      </c>
      <c r="H3545" s="23" t="str">
        <f aca="false">IF(B3545="","","")</f>
        <v/>
      </c>
      <c r="I3545" s="23" t="str">
        <f aca="false">IF(B3545="","","")</f>
        <v/>
      </c>
      <c r="J3545" s="23" t="str">
        <f aca="false">IF(B3545="","","touch_1; "&amp;IFERROR(INDEX(Clay_Brands!$A$2:$FZ$601,94,Sync!$D$10)&amp;"","")&amp;"; "&amp;IFERROR(INDEX(Clay_Brands!$A$2:$FZ$601,94,Sync!$D$9)&amp;"",""))</f>
        <v/>
      </c>
      <c r="K3545" s="32" t="s">
        <v>1366</v>
      </c>
    </row>
    <row r="3546" customFormat="false" ht="15" hidden="false" customHeight="false" outlineLevel="0" collapsed="false">
      <c r="A3546" s="23" t="str">
        <f aca="false">IF(B3546="","",B3546+(15*1000+95)/10000000)</f>
        <v/>
      </c>
      <c r="B3546" s="35" t="str">
        <f aca="false">IF(AND(IFERROR(N(INDEX(Clay_Brands!$A$2:$FZ$601,95,Sync!$D$11)),0)&gt;0,IFERROR(INDEX(Clay_Brands!$A$2:$FZ$601,95,Sync!$D$5)&amp;"","")&lt;&gt;"",OR(LEFT(IFERROR(INDEX(Clay_Brands!$A$2:$FZ$601,95,Sync!$D$5)&amp;"",""),6)&lt;&gt;"SAMPLE",Config!$B$19="Y")),IFERROR(N(INDEX(Clay_Brands!$A$2:$FZ$601,95,Sync!$D$11)),0),"")</f>
        <v/>
      </c>
      <c r="C3546" s="23" t="str">
        <f aca="false">IF(B3546="","","brand")</f>
        <v/>
      </c>
      <c r="D3546" s="23" t="str">
        <f aca="false">IF(B3546="","",IFERROR(INDEX(Brand_Log!$DV$2:$DV$201,MATCH(IFERROR(INDEX(Clay_Brands!$A$2:$FZ$601,95,Sync!$D$5)&amp;"",""),Brand_Log!$A$2:$A$201,0))&amp;"",IFERROR(INDEX(Clay_Brands!$A$2:$FZ$601,95,Sync!$D$5)&amp;"","")&amp;""))</f>
        <v/>
      </c>
      <c r="E3546" s="23" t="str">
        <f aca="false">IF(B3546="","",IFERROR(INDEX(Clay_Brands!$A$2:$FZ$601,95,Sync!$D$6)&amp;"",""))</f>
        <v/>
      </c>
      <c r="F3546" s="23" t="str">
        <f aca="false">IF(B3546="","","outreach_sent")</f>
        <v/>
      </c>
      <c r="G3546" s="23" t="str">
        <f aca="false">IF(B3546="","","")</f>
        <v/>
      </c>
      <c r="H3546" s="23" t="str">
        <f aca="false">IF(B3546="","","")</f>
        <v/>
      </c>
      <c r="I3546" s="23" t="str">
        <f aca="false">IF(B3546="","","")</f>
        <v/>
      </c>
      <c r="J3546" s="23" t="str">
        <f aca="false">IF(B3546="","","touch_1; "&amp;IFERROR(INDEX(Clay_Brands!$A$2:$FZ$601,95,Sync!$D$10)&amp;"","")&amp;"; "&amp;IFERROR(INDEX(Clay_Brands!$A$2:$FZ$601,95,Sync!$D$9)&amp;"",""))</f>
        <v/>
      </c>
      <c r="K3546" s="32" t="s">
        <v>1366</v>
      </c>
    </row>
    <row r="3547" customFormat="false" ht="15" hidden="false" customHeight="false" outlineLevel="0" collapsed="false">
      <c r="A3547" s="23" t="str">
        <f aca="false">IF(B3547="","",B3547+(15*1000+96)/10000000)</f>
        <v/>
      </c>
      <c r="B3547" s="35" t="str">
        <f aca="false">IF(AND(IFERROR(N(INDEX(Clay_Brands!$A$2:$FZ$601,96,Sync!$D$11)),0)&gt;0,IFERROR(INDEX(Clay_Brands!$A$2:$FZ$601,96,Sync!$D$5)&amp;"","")&lt;&gt;"",OR(LEFT(IFERROR(INDEX(Clay_Brands!$A$2:$FZ$601,96,Sync!$D$5)&amp;"",""),6)&lt;&gt;"SAMPLE",Config!$B$19="Y")),IFERROR(N(INDEX(Clay_Brands!$A$2:$FZ$601,96,Sync!$D$11)),0),"")</f>
        <v/>
      </c>
      <c r="C3547" s="23" t="str">
        <f aca="false">IF(B3547="","","brand")</f>
        <v/>
      </c>
      <c r="D3547" s="23" t="str">
        <f aca="false">IF(B3547="","",IFERROR(INDEX(Brand_Log!$DV$2:$DV$201,MATCH(IFERROR(INDEX(Clay_Brands!$A$2:$FZ$601,96,Sync!$D$5)&amp;"",""),Brand_Log!$A$2:$A$201,0))&amp;"",IFERROR(INDEX(Clay_Brands!$A$2:$FZ$601,96,Sync!$D$5)&amp;"","")&amp;""))</f>
        <v/>
      </c>
      <c r="E3547" s="23" t="str">
        <f aca="false">IF(B3547="","",IFERROR(INDEX(Clay_Brands!$A$2:$FZ$601,96,Sync!$D$6)&amp;"",""))</f>
        <v/>
      </c>
      <c r="F3547" s="23" t="str">
        <f aca="false">IF(B3547="","","outreach_sent")</f>
        <v/>
      </c>
      <c r="G3547" s="23" t="str">
        <f aca="false">IF(B3547="","","")</f>
        <v/>
      </c>
      <c r="H3547" s="23" t="str">
        <f aca="false">IF(B3547="","","")</f>
        <v/>
      </c>
      <c r="I3547" s="23" t="str">
        <f aca="false">IF(B3547="","","")</f>
        <v/>
      </c>
      <c r="J3547" s="23" t="str">
        <f aca="false">IF(B3547="","","touch_1; "&amp;IFERROR(INDEX(Clay_Brands!$A$2:$FZ$601,96,Sync!$D$10)&amp;"","")&amp;"; "&amp;IFERROR(INDEX(Clay_Brands!$A$2:$FZ$601,96,Sync!$D$9)&amp;"",""))</f>
        <v/>
      </c>
      <c r="K3547" s="32" t="s">
        <v>1366</v>
      </c>
    </row>
    <row r="3548" customFormat="false" ht="15" hidden="false" customHeight="false" outlineLevel="0" collapsed="false">
      <c r="A3548" s="23" t="str">
        <f aca="false">IF(B3548="","",B3548+(15*1000+97)/10000000)</f>
        <v/>
      </c>
      <c r="B3548" s="35" t="str">
        <f aca="false">IF(AND(IFERROR(N(INDEX(Clay_Brands!$A$2:$FZ$601,97,Sync!$D$11)),0)&gt;0,IFERROR(INDEX(Clay_Brands!$A$2:$FZ$601,97,Sync!$D$5)&amp;"","")&lt;&gt;"",OR(LEFT(IFERROR(INDEX(Clay_Brands!$A$2:$FZ$601,97,Sync!$D$5)&amp;"",""),6)&lt;&gt;"SAMPLE",Config!$B$19="Y")),IFERROR(N(INDEX(Clay_Brands!$A$2:$FZ$601,97,Sync!$D$11)),0),"")</f>
        <v/>
      </c>
      <c r="C3548" s="23" t="str">
        <f aca="false">IF(B3548="","","brand")</f>
        <v/>
      </c>
      <c r="D3548" s="23" t="str">
        <f aca="false">IF(B3548="","",IFERROR(INDEX(Brand_Log!$DV$2:$DV$201,MATCH(IFERROR(INDEX(Clay_Brands!$A$2:$FZ$601,97,Sync!$D$5)&amp;"",""),Brand_Log!$A$2:$A$201,0))&amp;"",IFERROR(INDEX(Clay_Brands!$A$2:$FZ$601,97,Sync!$D$5)&amp;"","")&amp;""))</f>
        <v/>
      </c>
      <c r="E3548" s="23" t="str">
        <f aca="false">IF(B3548="","",IFERROR(INDEX(Clay_Brands!$A$2:$FZ$601,97,Sync!$D$6)&amp;"",""))</f>
        <v/>
      </c>
      <c r="F3548" s="23" t="str">
        <f aca="false">IF(B3548="","","outreach_sent")</f>
        <v/>
      </c>
      <c r="G3548" s="23" t="str">
        <f aca="false">IF(B3548="","","")</f>
        <v/>
      </c>
      <c r="H3548" s="23" t="str">
        <f aca="false">IF(B3548="","","")</f>
        <v/>
      </c>
      <c r="I3548" s="23" t="str">
        <f aca="false">IF(B3548="","","")</f>
        <v/>
      </c>
      <c r="J3548" s="23" t="str">
        <f aca="false">IF(B3548="","","touch_1; "&amp;IFERROR(INDEX(Clay_Brands!$A$2:$FZ$601,97,Sync!$D$10)&amp;"","")&amp;"; "&amp;IFERROR(INDEX(Clay_Brands!$A$2:$FZ$601,97,Sync!$D$9)&amp;"",""))</f>
        <v/>
      </c>
      <c r="K3548" s="32" t="s">
        <v>1366</v>
      </c>
    </row>
    <row r="3549" customFormat="false" ht="15" hidden="false" customHeight="false" outlineLevel="0" collapsed="false">
      <c r="A3549" s="23" t="str">
        <f aca="false">IF(B3549="","",B3549+(15*1000+98)/10000000)</f>
        <v/>
      </c>
      <c r="B3549" s="35" t="str">
        <f aca="false">IF(AND(IFERROR(N(INDEX(Clay_Brands!$A$2:$FZ$601,98,Sync!$D$11)),0)&gt;0,IFERROR(INDEX(Clay_Brands!$A$2:$FZ$601,98,Sync!$D$5)&amp;"","")&lt;&gt;"",OR(LEFT(IFERROR(INDEX(Clay_Brands!$A$2:$FZ$601,98,Sync!$D$5)&amp;"",""),6)&lt;&gt;"SAMPLE",Config!$B$19="Y")),IFERROR(N(INDEX(Clay_Brands!$A$2:$FZ$601,98,Sync!$D$11)),0),"")</f>
        <v/>
      </c>
      <c r="C3549" s="23" t="str">
        <f aca="false">IF(B3549="","","brand")</f>
        <v/>
      </c>
      <c r="D3549" s="23" t="str">
        <f aca="false">IF(B3549="","",IFERROR(INDEX(Brand_Log!$DV$2:$DV$201,MATCH(IFERROR(INDEX(Clay_Brands!$A$2:$FZ$601,98,Sync!$D$5)&amp;"",""),Brand_Log!$A$2:$A$201,0))&amp;"",IFERROR(INDEX(Clay_Brands!$A$2:$FZ$601,98,Sync!$D$5)&amp;"","")&amp;""))</f>
        <v/>
      </c>
      <c r="E3549" s="23" t="str">
        <f aca="false">IF(B3549="","",IFERROR(INDEX(Clay_Brands!$A$2:$FZ$601,98,Sync!$D$6)&amp;"",""))</f>
        <v/>
      </c>
      <c r="F3549" s="23" t="str">
        <f aca="false">IF(B3549="","","outreach_sent")</f>
        <v/>
      </c>
      <c r="G3549" s="23" t="str">
        <f aca="false">IF(B3549="","","")</f>
        <v/>
      </c>
      <c r="H3549" s="23" t="str">
        <f aca="false">IF(B3549="","","")</f>
        <v/>
      </c>
      <c r="I3549" s="23" t="str">
        <f aca="false">IF(B3549="","","")</f>
        <v/>
      </c>
      <c r="J3549" s="23" t="str">
        <f aca="false">IF(B3549="","","touch_1; "&amp;IFERROR(INDEX(Clay_Brands!$A$2:$FZ$601,98,Sync!$D$10)&amp;"","")&amp;"; "&amp;IFERROR(INDEX(Clay_Brands!$A$2:$FZ$601,98,Sync!$D$9)&amp;"",""))</f>
        <v/>
      </c>
      <c r="K3549" s="32" t="s">
        <v>1366</v>
      </c>
    </row>
    <row r="3550" customFormat="false" ht="15" hidden="false" customHeight="false" outlineLevel="0" collapsed="false">
      <c r="A3550" s="23" t="str">
        <f aca="false">IF(B3550="","",B3550+(15*1000+99)/10000000)</f>
        <v/>
      </c>
      <c r="B3550" s="35" t="str">
        <f aca="false">IF(AND(IFERROR(N(INDEX(Clay_Brands!$A$2:$FZ$601,99,Sync!$D$11)),0)&gt;0,IFERROR(INDEX(Clay_Brands!$A$2:$FZ$601,99,Sync!$D$5)&amp;"","")&lt;&gt;"",OR(LEFT(IFERROR(INDEX(Clay_Brands!$A$2:$FZ$601,99,Sync!$D$5)&amp;"",""),6)&lt;&gt;"SAMPLE",Config!$B$19="Y")),IFERROR(N(INDEX(Clay_Brands!$A$2:$FZ$601,99,Sync!$D$11)),0),"")</f>
        <v/>
      </c>
      <c r="C3550" s="23" t="str">
        <f aca="false">IF(B3550="","","brand")</f>
        <v/>
      </c>
      <c r="D3550" s="23" t="str">
        <f aca="false">IF(B3550="","",IFERROR(INDEX(Brand_Log!$DV$2:$DV$201,MATCH(IFERROR(INDEX(Clay_Brands!$A$2:$FZ$601,99,Sync!$D$5)&amp;"",""),Brand_Log!$A$2:$A$201,0))&amp;"",IFERROR(INDEX(Clay_Brands!$A$2:$FZ$601,99,Sync!$D$5)&amp;"","")&amp;""))</f>
        <v/>
      </c>
      <c r="E3550" s="23" t="str">
        <f aca="false">IF(B3550="","",IFERROR(INDEX(Clay_Brands!$A$2:$FZ$601,99,Sync!$D$6)&amp;"",""))</f>
        <v/>
      </c>
      <c r="F3550" s="23" t="str">
        <f aca="false">IF(B3550="","","outreach_sent")</f>
        <v/>
      </c>
      <c r="G3550" s="23" t="str">
        <f aca="false">IF(B3550="","","")</f>
        <v/>
      </c>
      <c r="H3550" s="23" t="str">
        <f aca="false">IF(B3550="","","")</f>
        <v/>
      </c>
      <c r="I3550" s="23" t="str">
        <f aca="false">IF(B3550="","","")</f>
        <v/>
      </c>
      <c r="J3550" s="23" t="str">
        <f aca="false">IF(B3550="","","touch_1; "&amp;IFERROR(INDEX(Clay_Brands!$A$2:$FZ$601,99,Sync!$D$10)&amp;"","")&amp;"; "&amp;IFERROR(INDEX(Clay_Brands!$A$2:$FZ$601,99,Sync!$D$9)&amp;"",""))</f>
        <v/>
      </c>
      <c r="K3550" s="32" t="s">
        <v>1366</v>
      </c>
    </row>
    <row r="3551" customFormat="false" ht="15" hidden="false" customHeight="false" outlineLevel="0" collapsed="false">
      <c r="A3551" s="23" t="str">
        <f aca="false">IF(B3551="","",B3551+(15*1000+100)/10000000)</f>
        <v/>
      </c>
      <c r="B3551" s="35" t="str">
        <f aca="false">IF(AND(IFERROR(N(INDEX(Clay_Brands!$A$2:$FZ$601,100,Sync!$D$11)),0)&gt;0,IFERROR(INDEX(Clay_Brands!$A$2:$FZ$601,100,Sync!$D$5)&amp;"","")&lt;&gt;"",OR(LEFT(IFERROR(INDEX(Clay_Brands!$A$2:$FZ$601,100,Sync!$D$5)&amp;"",""),6)&lt;&gt;"SAMPLE",Config!$B$19="Y")),IFERROR(N(INDEX(Clay_Brands!$A$2:$FZ$601,100,Sync!$D$11)),0),"")</f>
        <v/>
      </c>
      <c r="C3551" s="23" t="str">
        <f aca="false">IF(B3551="","","brand")</f>
        <v/>
      </c>
      <c r="D3551" s="23" t="str">
        <f aca="false">IF(B3551="","",IFERROR(INDEX(Brand_Log!$DV$2:$DV$201,MATCH(IFERROR(INDEX(Clay_Brands!$A$2:$FZ$601,100,Sync!$D$5)&amp;"",""),Brand_Log!$A$2:$A$201,0))&amp;"",IFERROR(INDEX(Clay_Brands!$A$2:$FZ$601,100,Sync!$D$5)&amp;"","")&amp;""))</f>
        <v/>
      </c>
      <c r="E3551" s="23" t="str">
        <f aca="false">IF(B3551="","",IFERROR(INDEX(Clay_Brands!$A$2:$FZ$601,100,Sync!$D$6)&amp;"",""))</f>
        <v/>
      </c>
      <c r="F3551" s="23" t="str">
        <f aca="false">IF(B3551="","","outreach_sent")</f>
        <v/>
      </c>
      <c r="G3551" s="23" t="str">
        <f aca="false">IF(B3551="","","")</f>
        <v/>
      </c>
      <c r="H3551" s="23" t="str">
        <f aca="false">IF(B3551="","","")</f>
        <v/>
      </c>
      <c r="I3551" s="23" t="str">
        <f aca="false">IF(B3551="","","")</f>
        <v/>
      </c>
      <c r="J3551" s="23" t="str">
        <f aca="false">IF(B3551="","","touch_1; "&amp;IFERROR(INDEX(Clay_Brands!$A$2:$FZ$601,100,Sync!$D$10)&amp;"","")&amp;"; "&amp;IFERROR(INDEX(Clay_Brands!$A$2:$FZ$601,100,Sync!$D$9)&amp;"",""))</f>
        <v/>
      </c>
      <c r="K3551" s="32" t="s">
        <v>1366</v>
      </c>
    </row>
    <row r="3552" customFormat="false" ht="15" hidden="false" customHeight="false" outlineLevel="0" collapsed="false">
      <c r="A3552" s="23" t="str">
        <f aca="false">IF(B3552="","",B3552+(15*1000+101)/10000000)</f>
        <v/>
      </c>
      <c r="B3552" s="35" t="str">
        <f aca="false">IF(AND(IFERROR(N(INDEX(Clay_Brands!$A$2:$FZ$601,101,Sync!$D$11)),0)&gt;0,IFERROR(INDEX(Clay_Brands!$A$2:$FZ$601,101,Sync!$D$5)&amp;"","")&lt;&gt;"",OR(LEFT(IFERROR(INDEX(Clay_Brands!$A$2:$FZ$601,101,Sync!$D$5)&amp;"",""),6)&lt;&gt;"SAMPLE",Config!$B$19="Y")),IFERROR(N(INDEX(Clay_Brands!$A$2:$FZ$601,101,Sync!$D$11)),0),"")</f>
        <v/>
      </c>
      <c r="C3552" s="23" t="str">
        <f aca="false">IF(B3552="","","brand")</f>
        <v/>
      </c>
      <c r="D3552" s="23" t="str">
        <f aca="false">IF(B3552="","",IFERROR(INDEX(Brand_Log!$DV$2:$DV$201,MATCH(IFERROR(INDEX(Clay_Brands!$A$2:$FZ$601,101,Sync!$D$5)&amp;"",""),Brand_Log!$A$2:$A$201,0))&amp;"",IFERROR(INDEX(Clay_Brands!$A$2:$FZ$601,101,Sync!$D$5)&amp;"","")&amp;""))</f>
        <v/>
      </c>
      <c r="E3552" s="23" t="str">
        <f aca="false">IF(B3552="","",IFERROR(INDEX(Clay_Brands!$A$2:$FZ$601,101,Sync!$D$6)&amp;"",""))</f>
        <v/>
      </c>
      <c r="F3552" s="23" t="str">
        <f aca="false">IF(B3552="","","outreach_sent")</f>
        <v/>
      </c>
      <c r="G3552" s="23" t="str">
        <f aca="false">IF(B3552="","","")</f>
        <v/>
      </c>
      <c r="H3552" s="23" t="str">
        <f aca="false">IF(B3552="","","")</f>
        <v/>
      </c>
      <c r="I3552" s="23" t="str">
        <f aca="false">IF(B3552="","","")</f>
        <v/>
      </c>
      <c r="J3552" s="23" t="str">
        <f aca="false">IF(B3552="","","touch_1; "&amp;IFERROR(INDEX(Clay_Brands!$A$2:$FZ$601,101,Sync!$D$10)&amp;"","")&amp;"; "&amp;IFERROR(INDEX(Clay_Brands!$A$2:$FZ$601,101,Sync!$D$9)&amp;"",""))</f>
        <v/>
      </c>
      <c r="K3552" s="32" t="s">
        <v>1366</v>
      </c>
    </row>
    <row r="3553" customFormat="false" ht="15" hidden="false" customHeight="false" outlineLevel="0" collapsed="false">
      <c r="A3553" s="23" t="str">
        <f aca="false">IF(B3553="","",B3553+(15*1000+102)/10000000)</f>
        <v/>
      </c>
      <c r="B3553" s="35" t="str">
        <f aca="false">IF(AND(IFERROR(N(INDEX(Clay_Brands!$A$2:$FZ$601,102,Sync!$D$11)),0)&gt;0,IFERROR(INDEX(Clay_Brands!$A$2:$FZ$601,102,Sync!$D$5)&amp;"","")&lt;&gt;"",OR(LEFT(IFERROR(INDEX(Clay_Brands!$A$2:$FZ$601,102,Sync!$D$5)&amp;"",""),6)&lt;&gt;"SAMPLE",Config!$B$19="Y")),IFERROR(N(INDEX(Clay_Brands!$A$2:$FZ$601,102,Sync!$D$11)),0),"")</f>
        <v/>
      </c>
      <c r="C3553" s="23" t="str">
        <f aca="false">IF(B3553="","","brand")</f>
        <v/>
      </c>
      <c r="D3553" s="23" t="str">
        <f aca="false">IF(B3553="","",IFERROR(INDEX(Brand_Log!$DV$2:$DV$201,MATCH(IFERROR(INDEX(Clay_Brands!$A$2:$FZ$601,102,Sync!$D$5)&amp;"",""),Brand_Log!$A$2:$A$201,0))&amp;"",IFERROR(INDEX(Clay_Brands!$A$2:$FZ$601,102,Sync!$D$5)&amp;"","")&amp;""))</f>
        <v/>
      </c>
      <c r="E3553" s="23" t="str">
        <f aca="false">IF(B3553="","",IFERROR(INDEX(Clay_Brands!$A$2:$FZ$601,102,Sync!$D$6)&amp;"",""))</f>
        <v/>
      </c>
      <c r="F3553" s="23" t="str">
        <f aca="false">IF(B3553="","","outreach_sent")</f>
        <v/>
      </c>
      <c r="G3553" s="23" t="str">
        <f aca="false">IF(B3553="","","")</f>
        <v/>
      </c>
      <c r="H3553" s="23" t="str">
        <f aca="false">IF(B3553="","","")</f>
        <v/>
      </c>
      <c r="I3553" s="23" t="str">
        <f aca="false">IF(B3553="","","")</f>
        <v/>
      </c>
      <c r="J3553" s="23" t="str">
        <f aca="false">IF(B3553="","","touch_1; "&amp;IFERROR(INDEX(Clay_Brands!$A$2:$FZ$601,102,Sync!$D$10)&amp;"","")&amp;"; "&amp;IFERROR(INDEX(Clay_Brands!$A$2:$FZ$601,102,Sync!$D$9)&amp;"",""))</f>
        <v/>
      </c>
      <c r="K3553" s="32" t="s">
        <v>1366</v>
      </c>
    </row>
    <row r="3554" customFormat="false" ht="15" hidden="false" customHeight="false" outlineLevel="0" collapsed="false">
      <c r="A3554" s="23" t="str">
        <f aca="false">IF(B3554="","",B3554+(15*1000+103)/10000000)</f>
        <v/>
      </c>
      <c r="B3554" s="35" t="str">
        <f aca="false">IF(AND(IFERROR(N(INDEX(Clay_Brands!$A$2:$FZ$601,103,Sync!$D$11)),0)&gt;0,IFERROR(INDEX(Clay_Brands!$A$2:$FZ$601,103,Sync!$D$5)&amp;"","")&lt;&gt;"",OR(LEFT(IFERROR(INDEX(Clay_Brands!$A$2:$FZ$601,103,Sync!$D$5)&amp;"",""),6)&lt;&gt;"SAMPLE",Config!$B$19="Y")),IFERROR(N(INDEX(Clay_Brands!$A$2:$FZ$601,103,Sync!$D$11)),0),"")</f>
        <v/>
      </c>
      <c r="C3554" s="23" t="str">
        <f aca="false">IF(B3554="","","brand")</f>
        <v/>
      </c>
      <c r="D3554" s="23" t="str">
        <f aca="false">IF(B3554="","",IFERROR(INDEX(Brand_Log!$DV$2:$DV$201,MATCH(IFERROR(INDEX(Clay_Brands!$A$2:$FZ$601,103,Sync!$D$5)&amp;"",""),Brand_Log!$A$2:$A$201,0))&amp;"",IFERROR(INDEX(Clay_Brands!$A$2:$FZ$601,103,Sync!$D$5)&amp;"","")&amp;""))</f>
        <v/>
      </c>
      <c r="E3554" s="23" t="str">
        <f aca="false">IF(B3554="","",IFERROR(INDEX(Clay_Brands!$A$2:$FZ$601,103,Sync!$D$6)&amp;"",""))</f>
        <v/>
      </c>
      <c r="F3554" s="23" t="str">
        <f aca="false">IF(B3554="","","outreach_sent")</f>
        <v/>
      </c>
      <c r="G3554" s="23" t="str">
        <f aca="false">IF(B3554="","","")</f>
        <v/>
      </c>
      <c r="H3554" s="23" t="str">
        <f aca="false">IF(B3554="","","")</f>
        <v/>
      </c>
      <c r="I3554" s="23" t="str">
        <f aca="false">IF(B3554="","","")</f>
        <v/>
      </c>
      <c r="J3554" s="23" t="str">
        <f aca="false">IF(B3554="","","touch_1; "&amp;IFERROR(INDEX(Clay_Brands!$A$2:$FZ$601,103,Sync!$D$10)&amp;"","")&amp;"; "&amp;IFERROR(INDEX(Clay_Brands!$A$2:$FZ$601,103,Sync!$D$9)&amp;"",""))</f>
        <v/>
      </c>
      <c r="K3554" s="32" t="s">
        <v>1366</v>
      </c>
    </row>
    <row r="3555" customFormat="false" ht="15" hidden="false" customHeight="false" outlineLevel="0" collapsed="false">
      <c r="A3555" s="23" t="str">
        <f aca="false">IF(B3555="","",B3555+(15*1000+104)/10000000)</f>
        <v/>
      </c>
      <c r="B3555" s="35" t="str">
        <f aca="false">IF(AND(IFERROR(N(INDEX(Clay_Brands!$A$2:$FZ$601,104,Sync!$D$11)),0)&gt;0,IFERROR(INDEX(Clay_Brands!$A$2:$FZ$601,104,Sync!$D$5)&amp;"","")&lt;&gt;"",OR(LEFT(IFERROR(INDEX(Clay_Brands!$A$2:$FZ$601,104,Sync!$D$5)&amp;"",""),6)&lt;&gt;"SAMPLE",Config!$B$19="Y")),IFERROR(N(INDEX(Clay_Brands!$A$2:$FZ$601,104,Sync!$D$11)),0),"")</f>
        <v/>
      </c>
      <c r="C3555" s="23" t="str">
        <f aca="false">IF(B3555="","","brand")</f>
        <v/>
      </c>
      <c r="D3555" s="23" t="str">
        <f aca="false">IF(B3555="","",IFERROR(INDEX(Brand_Log!$DV$2:$DV$201,MATCH(IFERROR(INDEX(Clay_Brands!$A$2:$FZ$601,104,Sync!$D$5)&amp;"",""),Brand_Log!$A$2:$A$201,0))&amp;"",IFERROR(INDEX(Clay_Brands!$A$2:$FZ$601,104,Sync!$D$5)&amp;"","")&amp;""))</f>
        <v/>
      </c>
      <c r="E3555" s="23" t="str">
        <f aca="false">IF(B3555="","",IFERROR(INDEX(Clay_Brands!$A$2:$FZ$601,104,Sync!$D$6)&amp;"",""))</f>
        <v/>
      </c>
      <c r="F3555" s="23" t="str">
        <f aca="false">IF(B3555="","","outreach_sent")</f>
        <v/>
      </c>
      <c r="G3555" s="23" t="str">
        <f aca="false">IF(B3555="","","")</f>
        <v/>
      </c>
      <c r="H3555" s="23" t="str">
        <f aca="false">IF(B3555="","","")</f>
        <v/>
      </c>
      <c r="I3555" s="23" t="str">
        <f aca="false">IF(B3555="","","")</f>
        <v/>
      </c>
      <c r="J3555" s="23" t="str">
        <f aca="false">IF(B3555="","","touch_1; "&amp;IFERROR(INDEX(Clay_Brands!$A$2:$FZ$601,104,Sync!$D$10)&amp;"","")&amp;"; "&amp;IFERROR(INDEX(Clay_Brands!$A$2:$FZ$601,104,Sync!$D$9)&amp;"",""))</f>
        <v/>
      </c>
      <c r="K3555" s="32" t="s">
        <v>1366</v>
      </c>
    </row>
    <row r="3556" customFormat="false" ht="15" hidden="false" customHeight="false" outlineLevel="0" collapsed="false">
      <c r="A3556" s="23" t="str">
        <f aca="false">IF(B3556="","",B3556+(15*1000+105)/10000000)</f>
        <v/>
      </c>
      <c r="B3556" s="35" t="str">
        <f aca="false">IF(AND(IFERROR(N(INDEX(Clay_Brands!$A$2:$FZ$601,105,Sync!$D$11)),0)&gt;0,IFERROR(INDEX(Clay_Brands!$A$2:$FZ$601,105,Sync!$D$5)&amp;"","")&lt;&gt;"",OR(LEFT(IFERROR(INDEX(Clay_Brands!$A$2:$FZ$601,105,Sync!$D$5)&amp;"",""),6)&lt;&gt;"SAMPLE",Config!$B$19="Y")),IFERROR(N(INDEX(Clay_Brands!$A$2:$FZ$601,105,Sync!$D$11)),0),"")</f>
        <v/>
      </c>
      <c r="C3556" s="23" t="str">
        <f aca="false">IF(B3556="","","brand")</f>
        <v/>
      </c>
      <c r="D3556" s="23" t="str">
        <f aca="false">IF(B3556="","",IFERROR(INDEX(Brand_Log!$DV$2:$DV$201,MATCH(IFERROR(INDEX(Clay_Brands!$A$2:$FZ$601,105,Sync!$D$5)&amp;"",""),Brand_Log!$A$2:$A$201,0))&amp;"",IFERROR(INDEX(Clay_Brands!$A$2:$FZ$601,105,Sync!$D$5)&amp;"","")&amp;""))</f>
        <v/>
      </c>
      <c r="E3556" s="23" t="str">
        <f aca="false">IF(B3556="","",IFERROR(INDEX(Clay_Brands!$A$2:$FZ$601,105,Sync!$D$6)&amp;"",""))</f>
        <v/>
      </c>
      <c r="F3556" s="23" t="str">
        <f aca="false">IF(B3556="","","outreach_sent")</f>
        <v/>
      </c>
      <c r="G3556" s="23" t="str">
        <f aca="false">IF(B3556="","","")</f>
        <v/>
      </c>
      <c r="H3556" s="23" t="str">
        <f aca="false">IF(B3556="","","")</f>
        <v/>
      </c>
      <c r="I3556" s="23" t="str">
        <f aca="false">IF(B3556="","","")</f>
        <v/>
      </c>
      <c r="J3556" s="23" t="str">
        <f aca="false">IF(B3556="","","touch_1; "&amp;IFERROR(INDEX(Clay_Brands!$A$2:$FZ$601,105,Sync!$D$10)&amp;"","")&amp;"; "&amp;IFERROR(INDEX(Clay_Brands!$A$2:$FZ$601,105,Sync!$D$9)&amp;"",""))</f>
        <v/>
      </c>
      <c r="K3556" s="32" t="s">
        <v>1366</v>
      </c>
    </row>
    <row r="3557" customFormat="false" ht="15" hidden="false" customHeight="false" outlineLevel="0" collapsed="false">
      <c r="A3557" s="23" t="str">
        <f aca="false">IF(B3557="","",B3557+(15*1000+106)/10000000)</f>
        <v/>
      </c>
      <c r="B3557" s="35" t="str">
        <f aca="false">IF(AND(IFERROR(N(INDEX(Clay_Brands!$A$2:$FZ$601,106,Sync!$D$11)),0)&gt;0,IFERROR(INDEX(Clay_Brands!$A$2:$FZ$601,106,Sync!$D$5)&amp;"","")&lt;&gt;"",OR(LEFT(IFERROR(INDEX(Clay_Brands!$A$2:$FZ$601,106,Sync!$D$5)&amp;"",""),6)&lt;&gt;"SAMPLE",Config!$B$19="Y")),IFERROR(N(INDEX(Clay_Brands!$A$2:$FZ$601,106,Sync!$D$11)),0),"")</f>
        <v/>
      </c>
      <c r="C3557" s="23" t="str">
        <f aca="false">IF(B3557="","","brand")</f>
        <v/>
      </c>
      <c r="D3557" s="23" t="str">
        <f aca="false">IF(B3557="","",IFERROR(INDEX(Brand_Log!$DV$2:$DV$201,MATCH(IFERROR(INDEX(Clay_Brands!$A$2:$FZ$601,106,Sync!$D$5)&amp;"",""),Brand_Log!$A$2:$A$201,0))&amp;"",IFERROR(INDEX(Clay_Brands!$A$2:$FZ$601,106,Sync!$D$5)&amp;"","")&amp;""))</f>
        <v/>
      </c>
      <c r="E3557" s="23" t="str">
        <f aca="false">IF(B3557="","",IFERROR(INDEX(Clay_Brands!$A$2:$FZ$601,106,Sync!$D$6)&amp;"",""))</f>
        <v/>
      </c>
      <c r="F3557" s="23" t="str">
        <f aca="false">IF(B3557="","","outreach_sent")</f>
        <v/>
      </c>
      <c r="G3557" s="23" t="str">
        <f aca="false">IF(B3557="","","")</f>
        <v/>
      </c>
      <c r="H3557" s="23" t="str">
        <f aca="false">IF(B3557="","","")</f>
        <v/>
      </c>
      <c r="I3557" s="23" t="str">
        <f aca="false">IF(B3557="","","")</f>
        <v/>
      </c>
      <c r="J3557" s="23" t="str">
        <f aca="false">IF(B3557="","","touch_1; "&amp;IFERROR(INDEX(Clay_Brands!$A$2:$FZ$601,106,Sync!$D$10)&amp;"","")&amp;"; "&amp;IFERROR(INDEX(Clay_Brands!$A$2:$FZ$601,106,Sync!$D$9)&amp;"",""))</f>
        <v/>
      </c>
      <c r="K3557" s="32" t="s">
        <v>1366</v>
      </c>
    </row>
    <row r="3558" customFormat="false" ht="15" hidden="false" customHeight="false" outlineLevel="0" collapsed="false">
      <c r="A3558" s="23" t="str">
        <f aca="false">IF(B3558="","",B3558+(15*1000+107)/10000000)</f>
        <v/>
      </c>
      <c r="B3558" s="35" t="str">
        <f aca="false">IF(AND(IFERROR(N(INDEX(Clay_Brands!$A$2:$FZ$601,107,Sync!$D$11)),0)&gt;0,IFERROR(INDEX(Clay_Brands!$A$2:$FZ$601,107,Sync!$D$5)&amp;"","")&lt;&gt;"",OR(LEFT(IFERROR(INDEX(Clay_Brands!$A$2:$FZ$601,107,Sync!$D$5)&amp;"",""),6)&lt;&gt;"SAMPLE",Config!$B$19="Y")),IFERROR(N(INDEX(Clay_Brands!$A$2:$FZ$601,107,Sync!$D$11)),0),"")</f>
        <v/>
      </c>
      <c r="C3558" s="23" t="str">
        <f aca="false">IF(B3558="","","brand")</f>
        <v/>
      </c>
      <c r="D3558" s="23" t="str">
        <f aca="false">IF(B3558="","",IFERROR(INDEX(Brand_Log!$DV$2:$DV$201,MATCH(IFERROR(INDEX(Clay_Brands!$A$2:$FZ$601,107,Sync!$D$5)&amp;"",""),Brand_Log!$A$2:$A$201,0))&amp;"",IFERROR(INDEX(Clay_Brands!$A$2:$FZ$601,107,Sync!$D$5)&amp;"","")&amp;""))</f>
        <v/>
      </c>
      <c r="E3558" s="23" t="str">
        <f aca="false">IF(B3558="","",IFERROR(INDEX(Clay_Brands!$A$2:$FZ$601,107,Sync!$D$6)&amp;"",""))</f>
        <v/>
      </c>
      <c r="F3558" s="23" t="str">
        <f aca="false">IF(B3558="","","outreach_sent")</f>
        <v/>
      </c>
      <c r="G3558" s="23" t="str">
        <f aca="false">IF(B3558="","","")</f>
        <v/>
      </c>
      <c r="H3558" s="23" t="str">
        <f aca="false">IF(B3558="","","")</f>
        <v/>
      </c>
      <c r="I3558" s="23" t="str">
        <f aca="false">IF(B3558="","","")</f>
        <v/>
      </c>
      <c r="J3558" s="23" t="str">
        <f aca="false">IF(B3558="","","touch_1; "&amp;IFERROR(INDEX(Clay_Brands!$A$2:$FZ$601,107,Sync!$D$10)&amp;"","")&amp;"; "&amp;IFERROR(INDEX(Clay_Brands!$A$2:$FZ$601,107,Sync!$D$9)&amp;"",""))</f>
        <v/>
      </c>
      <c r="K3558" s="32" t="s">
        <v>1366</v>
      </c>
    </row>
    <row r="3559" customFormat="false" ht="15" hidden="false" customHeight="false" outlineLevel="0" collapsed="false">
      <c r="A3559" s="23" t="str">
        <f aca="false">IF(B3559="","",B3559+(15*1000+108)/10000000)</f>
        <v/>
      </c>
      <c r="B3559" s="35" t="str">
        <f aca="false">IF(AND(IFERROR(N(INDEX(Clay_Brands!$A$2:$FZ$601,108,Sync!$D$11)),0)&gt;0,IFERROR(INDEX(Clay_Brands!$A$2:$FZ$601,108,Sync!$D$5)&amp;"","")&lt;&gt;"",OR(LEFT(IFERROR(INDEX(Clay_Brands!$A$2:$FZ$601,108,Sync!$D$5)&amp;"",""),6)&lt;&gt;"SAMPLE",Config!$B$19="Y")),IFERROR(N(INDEX(Clay_Brands!$A$2:$FZ$601,108,Sync!$D$11)),0),"")</f>
        <v/>
      </c>
      <c r="C3559" s="23" t="str">
        <f aca="false">IF(B3559="","","brand")</f>
        <v/>
      </c>
      <c r="D3559" s="23" t="str">
        <f aca="false">IF(B3559="","",IFERROR(INDEX(Brand_Log!$DV$2:$DV$201,MATCH(IFERROR(INDEX(Clay_Brands!$A$2:$FZ$601,108,Sync!$D$5)&amp;"",""),Brand_Log!$A$2:$A$201,0))&amp;"",IFERROR(INDEX(Clay_Brands!$A$2:$FZ$601,108,Sync!$D$5)&amp;"","")&amp;""))</f>
        <v/>
      </c>
      <c r="E3559" s="23" t="str">
        <f aca="false">IF(B3559="","",IFERROR(INDEX(Clay_Brands!$A$2:$FZ$601,108,Sync!$D$6)&amp;"",""))</f>
        <v/>
      </c>
      <c r="F3559" s="23" t="str">
        <f aca="false">IF(B3559="","","outreach_sent")</f>
        <v/>
      </c>
      <c r="G3559" s="23" t="str">
        <f aca="false">IF(B3559="","","")</f>
        <v/>
      </c>
      <c r="H3559" s="23" t="str">
        <f aca="false">IF(B3559="","","")</f>
        <v/>
      </c>
      <c r="I3559" s="23" t="str">
        <f aca="false">IF(B3559="","","")</f>
        <v/>
      </c>
      <c r="J3559" s="23" t="str">
        <f aca="false">IF(B3559="","","touch_1; "&amp;IFERROR(INDEX(Clay_Brands!$A$2:$FZ$601,108,Sync!$D$10)&amp;"","")&amp;"; "&amp;IFERROR(INDEX(Clay_Brands!$A$2:$FZ$601,108,Sync!$D$9)&amp;"",""))</f>
        <v/>
      </c>
      <c r="K3559" s="32" t="s">
        <v>1366</v>
      </c>
    </row>
    <row r="3560" customFormat="false" ht="15" hidden="false" customHeight="false" outlineLevel="0" collapsed="false">
      <c r="A3560" s="23" t="str">
        <f aca="false">IF(B3560="","",B3560+(15*1000+109)/10000000)</f>
        <v/>
      </c>
      <c r="B3560" s="35" t="str">
        <f aca="false">IF(AND(IFERROR(N(INDEX(Clay_Brands!$A$2:$FZ$601,109,Sync!$D$11)),0)&gt;0,IFERROR(INDEX(Clay_Brands!$A$2:$FZ$601,109,Sync!$D$5)&amp;"","")&lt;&gt;"",OR(LEFT(IFERROR(INDEX(Clay_Brands!$A$2:$FZ$601,109,Sync!$D$5)&amp;"",""),6)&lt;&gt;"SAMPLE",Config!$B$19="Y")),IFERROR(N(INDEX(Clay_Brands!$A$2:$FZ$601,109,Sync!$D$11)),0),"")</f>
        <v/>
      </c>
      <c r="C3560" s="23" t="str">
        <f aca="false">IF(B3560="","","brand")</f>
        <v/>
      </c>
      <c r="D3560" s="23" t="str">
        <f aca="false">IF(B3560="","",IFERROR(INDEX(Brand_Log!$DV$2:$DV$201,MATCH(IFERROR(INDEX(Clay_Brands!$A$2:$FZ$601,109,Sync!$D$5)&amp;"",""),Brand_Log!$A$2:$A$201,0))&amp;"",IFERROR(INDEX(Clay_Brands!$A$2:$FZ$601,109,Sync!$D$5)&amp;"","")&amp;""))</f>
        <v/>
      </c>
      <c r="E3560" s="23" t="str">
        <f aca="false">IF(B3560="","",IFERROR(INDEX(Clay_Brands!$A$2:$FZ$601,109,Sync!$D$6)&amp;"",""))</f>
        <v/>
      </c>
      <c r="F3560" s="23" t="str">
        <f aca="false">IF(B3560="","","outreach_sent")</f>
        <v/>
      </c>
      <c r="G3560" s="23" t="str">
        <f aca="false">IF(B3560="","","")</f>
        <v/>
      </c>
      <c r="H3560" s="23" t="str">
        <f aca="false">IF(B3560="","","")</f>
        <v/>
      </c>
      <c r="I3560" s="23" t="str">
        <f aca="false">IF(B3560="","","")</f>
        <v/>
      </c>
      <c r="J3560" s="23" t="str">
        <f aca="false">IF(B3560="","","touch_1; "&amp;IFERROR(INDEX(Clay_Brands!$A$2:$FZ$601,109,Sync!$D$10)&amp;"","")&amp;"; "&amp;IFERROR(INDEX(Clay_Brands!$A$2:$FZ$601,109,Sync!$D$9)&amp;"",""))</f>
        <v/>
      </c>
      <c r="K3560" s="32" t="s">
        <v>1366</v>
      </c>
    </row>
    <row r="3561" customFormat="false" ht="15" hidden="false" customHeight="false" outlineLevel="0" collapsed="false">
      <c r="A3561" s="23" t="str">
        <f aca="false">IF(B3561="","",B3561+(15*1000+110)/10000000)</f>
        <v/>
      </c>
      <c r="B3561" s="35" t="str">
        <f aca="false">IF(AND(IFERROR(N(INDEX(Clay_Brands!$A$2:$FZ$601,110,Sync!$D$11)),0)&gt;0,IFERROR(INDEX(Clay_Brands!$A$2:$FZ$601,110,Sync!$D$5)&amp;"","")&lt;&gt;"",OR(LEFT(IFERROR(INDEX(Clay_Brands!$A$2:$FZ$601,110,Sync!$D$5)&amp;"",""),6)&lt;&gt;"SAMPLE",Config!$B$19="Y")),IFERROR(N(INDEX(Clay_Brands!$A$2:$FZ$601,110,Sync!$D$11)),0),"")</f>
        <v/>
      </c>
      <c r="C3561" s="23" t="str">
        <f aca="false">IF(B3561="","","brand")</f>
        <v/>
      </c>
      <c r="D3561" s="23" t="str">
        <f aca="false">IF(B3561="","",IFERROR(INDEX(Brand_Log!$DV$2:$DV$201,MATCH(IFERROR(INDEX(Clay_Brands!$A$2:$FZ$601,110,Sync!$D$5)&amp;"",""),Brand_Log!$A$2:$A$201,0))&amp;"",IFERROR(INDEX(Clay_Brands!$A$2:$FZ$601,110,Sync!$D$5)&amp;"","")&amp;""))</f>
        <v/>
      </c>
      <c r="E3561" s="23" t="str">
        <f aca="false">IF(B3561="","",IFERROR(INDEX(Clay_Brands!$A$2:$FZ$601,110,Sync!$D$6)&amp;"",""))</f>
        <v/>
      </c>
      <c r="F3561" s="23" t="str">
        <f aca="false">IF(B3561="","","outreach_sent")</f>
        <v/>
      </c>
      <c r="G3561" s="23" t="str">
        <f aca="false">IF(B3561="","","")</f>
        <v/>
      </c>
      <c r="H3561" s="23" t="str">
        <f aca="false">IF(B3561="","","")</f>
        <v/>
      </c>
      <c r="I3561" s="23" t="str">
        <f aca="false">IF(B3561="","","")</f>
        <v/>
      </c>
      <c r="J3561" s="23" t="str">
        <f aca="false">IF(B3561="","","touch_1; "&amp;IFERROR(INDEX(Clay_Brands!$A$2:$FZ$601,110,Sync!$D$10)&amp;"","")&amp;"; "&amp;IFERROR(INDEX(Clay_Brands!$A$2:$FZ$601,110,Sync!$D$9)&amp;"",""))</f>
        <v/>
      </c>
      <c r="K3561" s="32" t="s">
        <v>1366</v>
      </c>
    </row>
    <row r="3562" customFormat="false" ht="15" hidden="false" customHeight="false" outlineLevel="0" collapsed="false">
      <c r="A3562" s="23" t="str">
        <f aca="false">IF(B3562="","",B3562+(15*1000+111)/10000000)</f>
        <v/>
      </c>
      <c r="B3562" s="35" t="str">
        <f aca="false">IF(AND(IFERROR(N(INDEX(Clay_Brands!$A$2:$FZ$601,111,Sync!$D$11)),0)&gt;0,IFERROR(INDEX(Clay_Brands!$A$2:$FZ$601,111,Sync!$D$5)&amp;"","")&lt;&gt;"",OR(LEFT(IFERROR(INDEX(Clay_Brands!$A$2:$FZ$601,111,Sync!$D$5)&amp;"",""),6)&lt;&gt;"SAMPLE",Config!$B$19="Y")),IFERROR(N(INDEX(Clay_Brands!$A$2:$FZ$601,111,Sync!$D$11)),0),"")</f>
        <v/>
      </c>
      <c r="C3562" s="23" t="str">
        <f aca="false">IF(B3562="","","brand")</f>
        <v/>
      </c>
      <c r="D3562" s="23" t="str">
        <f aca="false">IF(B3562="","",IFERROR(INDEX(Brand_Log!$DV$2:$DV$201,MATCH(IFERROR(INDEX(Clay_Brands!$A$2:$FZ$601,111,Sync!$D$5)&amp;"",""),Brand_Log!$A$2:$A$201,0))&amp;"",IFERROR(INDEX(Clay_Brands!$A$2:$FZ$601,111,Sync!$D$5)&amp;"","")&amp;""))</f>
        <v/>
      </c>
      <c r="E3562" s="23" t="str">
        <f aca="false">IF(B3562="","",IFERROR(INDEX(Clay_Brands!$A$2:$FZ$601,111,Sync!$D$6)&amp;"",""))</f>
        <v/>
      </c>
      <c r="F3562" s="23" t="str">
        <f aca="false">IF(B3562="","","outreach_sent")</f>
        <v/>
      </c>
      <c r="G3562" s="23" t="str">
        <f aca="false">IF(B3562="","","")</f>
        <v/>
      </c>
      <c r="H3562" s="23" t="str">
        <f aca="false">IF(B3562="","","")</f>
        <v/>
      </c>
      <c r="I3562" s="23" t="str">
        <f aca="false">IF(B3562="","","")</f>
        <v/>
      </c>
      <c r="J3562" s="23" t="str">
        <f aca="false">IF(B3562="","","touch_1; "&amp;IFERROR(INDEX(Clay_Brands!$A$2:$FZ$601,111,Sync!$D$10)&amp;"","")&amp;"; "&amp;IFERROR(INDEX(Clay_Brands!$A$2:$FZ$601,111,Sync!$D$9)&amp;"",""))</f>
        <v/>
      </c>
      <c r="K3562" s="32" t="s">
        <v>1366</v>
      </c>
    </row>
    <row r="3563" customFormat="false" ht="15" hidden="false" customHeight="false" outlineLevel="0" collapsed="false">
      <c r="A3563" s="23" t="str">
        <f aca="false">IF(B3563="","",B3563+(15*1000+112)/10000000)</f>
        <v/>
      </c>
      <c r="B3563" s="35" t="str">
        <f aca="false">IF(AND(IFERROR(N(INDEX(Clay_Brands!$A$2:$FZ$601,112,Sync!$D$11)),0)&gt;0,IFERROR(INDEX(Clay_Brands!$A$2:$FZ$601,112,Sync!$D$5)&amp;"","")&lt;&gt;"",OR(LEFT(IFERROR(INDEX(Clay_Brands!$A$2:$FZ$601,112,Sync!$D$5)&amp;"",""),6)&lt;&gt;"SAMPLE",Config!$B$19="Y")),IFERROR(N(INDEX(Clay_Brands!$A$2:$FZ$601,112,Sync!$D$11)),0),"")</f>
        <v/>
      </c>
      <c r="C3563" s="23" t="str">
        <f aca="false">IF(B3563="","","brand")</f>
        <v/>
      </c>
      <c r="D3563" s="23" t="str">
        <f aca="false">IF(B3563="","",IFERROR(INDEX(Brand_Log!$DV$2:$DV$201,MATCH(IFERROR(INDEX(Clay_Brands!$A$2:$FZ$601,112,Sync!$D$5)&amp;"",""),Brand_Log!$A$2:$A$201,0))&amp;"",IFERROR(INDEX(Clay_Brands!$A$2:$FZ$601,112,Sync!$D$5)&amp;"","")&amp;""))</f>
        <v/>
      </c>
      <c r="E3563" s="23" t="str">
        <f aca="false">IF(B3563="","",IFERROR(INDEX(Clay_Brands!$A$2:$FZ$601,112,Sync!$D$6)&amp;"",""))</f>
        <v/>
      </c>
      <c r="F3563" s="23" t="str">
        <f aca="false">IF(B3563="","","outreach_sent")</f>
        <v/>
      </c>
      <c r="G3563" s="23" t="str">
        <f aca="false">IF(B3563="","","")</f>
        <v/>
      </c>
      <c r="H3563" s="23" t="str">
        <f aca="false">IF(B3563="","","")</f>
        <v/>
      </c>
      <c r="I3563" s="23" t="str">
        <f aca="false">IF(B3563="","","")</f>
        <v/>
      </c>
      <c r="J3563" s="23" t="str">
        <f aca="false">IF(B3563="","","touch_1; "&amp;IFERROR(INDEX(Clay_Brands!$A$2:$FZ$601,112,Sync!$D$10)&amp;"","")&amp;"; "&amp;IFERROR(INDEX(Clay_Brands!$A$2:$FZ$601,112,Sync!$D$9)&amp;"",""))</f>
        <v/>
      </c>
      <c r="K3563" s="32" t="s">
        <v>1366</v>
      </c>
    </row>
    <row r="3564" customFormat="false" ht="15" hidden="false" customHeight="false" outlineLevel="0" collapsed="false">
      <c r="A3564" s="23" t="str">
        <f aca="false">IF(B3564="","",B3564+(15*1000+113)/10000000)</f>
        <v/>
      </c>
      <c r="B3564" s="35" t="str">
        <f aca="false">IF(AND(IFERROR(N(INDEX(Clay_Brands!$A$2:$FZ$601,113,Sync!$D$11)),0)&gt;0,IFERROR(INDEX(Clay_Brands!$A$2:$FZ$601,113,Sync!$D$5)&amp;"","")&lt;&gt;"",OR(LEFT(IFERROR(INDEX(Clay_Brands!$A$2:$FZ$601,113,Sync!$D$5)&amp;"",""),6)&lt;&gt;"SAMPLE",Config!$B$19="Y")),IFERROR(N(INDEX(Clay_Brands!$A$2:$FZ$601,113,Sync!$D$11)),0),"")</f>
        <v/>
      </c>
      <c r="C3564" s="23" t="str">
        <f aca="false">IF(B3564="","","brand")</f>
        <v/>
      </c>
      <c r="D3564" s="23" t="str">
        <f aca="false">IF(B3564="","",IFERROR(INDEX(Brand_Log!$DV$2:$DV$201,MATCH(IFERROR(INDEX(Clay_Brands!$A$2:$FZ$601,113,Sync!$D$5)&amp;"",""),Brand_Log!$A$2:$A$201,0))&amp;"",IFERROR(INDEX(Clay_Brands!$A$2:$FZ$601,113,Sync!$D$5)&amp;"","")&amp;""))</f>
        <v/>
      </c>
      <c r="E3564" s="23" t="str">
        <f aca="false">IF(B3564="","",IFERROR(INDEX(Clay_Brands!$A$2:$FZ$601,113,Sync!$D$6)&amp;"",""))</f>
        <v/>
      </c>
      <c r="F3564" s="23" t="str">
        <f aca="false">IF(B3564="","","outreach_sent")</f>
        <v/>
      </c>
      <c r="G3564" s="23" t="str">
        <f aca="false">IF(B3564="","","")</f>
        <v/>
      </c>
      <c r="H3564" s="23" t="str">
        <f aca="false">IF(B3564="","","")</f>
        <v/>
      </c>
      <c r="I3564" s="23" t="str">
        <f aca="false">IF(B3564="","","")</f>
        <v/>
      </c>
      <c r="J3564" s="23" t="str">
        <f aca="false">IF(B3564="","","touch_1; "&amp;IFERROR(INDEX(Clay_Brands!$A$2:$FZ$601,113,Sync!$D$10)&amp;"","")&amp;"; "&amp;IFERROR(INDEX(Clay_Brands!$A$2:$FZ$601,113,Sync!$D$9)&amp;"",""))</f>
        <v/>
      </c>
      <c r="K3564" s="32" t="s">
        <v>1366</v>
      </c>
    </row>
    <row r="3565" customFormat="false" ht="15" hidden="false" customHeight="false" outlineLevel="0" collapsed="false">
      <c r="A3565" s="23" t="str">
        <f aca="false">IF(B3565="","",B3565+(15*1000+114)/10000000)</f>
        <v/>
      </c>
      <c r="B3565" s="35" t="str">
        <f aca="false">IF(AND(IFERROR(N(INDEX(Clay_Brands!$A$2:$FZ$601,114,Sync!$D$11)),0)&gt;0,IFERROR(INDEX(Clay_Brands!$A$2:$FZ$601,114,Sync!$D$5)&amp;"","")&lt;&gt;"",OR(LEFT(IFERROR(INDEX(Clay_Brands!$A$2:$FZ$601,114,Sync!$D$5)&amp;"",""),6)&lt;&gt;"SAMPLE",Config!$B$19="Y")),IFERROR(N(INDEX(Clay_Brands!$A$2:$FZ$601,114,Sync!$D$11)),0),"")</f>
        <v/>
      </c>
      <c r="C3565" s="23" t="str">
        <f aca="false">IF(B3565="","","brand")</f>
        <v/>
      </c>
      <c r="D3565" s="23" t="str">
        <f aca="false">IF(B3565="","",IFERROR(INDEX(Brand_Log!$DV$2:$DV$201,MATCH(IFERROR(INDEX(Clay_Brands!$A$2:$FZ$601,114,Sync!$D$5)&amp;"",""),Brand_Log!$A$2:$A$201,0))&amp;"",IFERROR(INDEX(Clay_Brands!$A$2:$FZ$601,114,Sync!$D$5)&amp;"","")&amp;""))</f>
        <v/>
      </c>
      <c r="E3565" s="23" t="str">
        <f aca="false">IF(B3565="","",IFERROR(INDEX(Clay_Brands!$A$2:$FZ$601,114,Sync!$D$6)&amp;"",""))</f>
        <v/>
      </c>
      <c r="F3565" s="23" t="str">
        <f aca="false">IF(B3565="","","outreach_sent")</f>
        <v/>
      </c>
      <c r="G3565" s="23" t="str">
        <f aca="false">IF(B3565="","","")</f>
        <v/>
      </c>
      <c r="H3565" s="23" t="str">
        <f aca="false">IF(B3565="","","")</f>
        <v/>
      </c>
      <c r="I3565" s="23" t="str">
        <f aca="false">IF(B3565="","","")</f>
        <v/>
      </c>
      <c r="J3565" s="23" t="str">
        <f aca="false">IF(B3565="","","touch_1; "&amp;IFERROR(INDEX(Clay_Brands!$A$2:$FZ$601,114,Sync!$D$10)&amp;"","")&amp;"; "&amp;IFERROR(INDEX(Clay_Brands!$A$2:$FZ$601,114,Sync!$D$9)&amp;"",""))</f>
        <v/>
      </c>
      <c r="K3565" s="32" t="s">
        <v>1366</v>
      </c>
    </row>
    <row r="3566" customFormat="false" ht="15" hidden="false" customHeight="false" outlineLevel="0" collapsed="false">
      <c r="A3566" s="23" t="str">
        <f aca="false">IF(B3566="","",B3566+(15*1000+115)/10000000)</f>
        <v/>
      </c>
      <c r="B3566" s="35" t="str">
        <f aca="false">IF(AND(IFERROR(N(INDEX(Clay_Brands!$A$2:$FZ$601,115,Sync!$D$11)),0)&gt;0,IFERROR(INDEX(Clay_Brands!$A$2:$FZ$601,115,Sync!$D$5)&amp;"","")&lt;&gt;"",OR(LEFT(IFERROR(INDEX(Clay_Brands!$A$2:$FZ$601,115,Sync!$D$5)&amp;"",""),6)&lt;&gt;"SAMPLE",Config!$B$19="Y")),IFERROR(N(INDEX(Clay_Brands!$A$2:$FZ$601,115,Sync!$D$11)),0),"")</f>
        <v/>
      </c>
      <c r="C3566" s="23" t="str">
        <f aca="false">IF(B3566="","","brand")</f>
        <v/>
      </c>
      <c r="D3566" s="23" t="str">
        <f aca="false">IF(B3566="","",IFERROR(INDEX(Brand_Log!$DV$2:$DV$201,MATCH(IFERROR(INDEX(Clay_Brands!$A$2:$FZ$601,115,Sync!$D$5)&amp;"",""),Brand_Log!$A$2:$A$201,0))&amp;"",IFERROR(INDEX(Clay_Brands!$A$2:$FZ$601,115,Sync!$D$5)&amp;"","")&amp;""))</f>
        <v/>
      </c>
      <c r="E3566" s="23" t="str">
        <f aca="false">IF(B3566="","",IFERROR(INDEX(Clay_Brands!$A$2:$FZ$601,115,Sync!$D$6)&amp;"",""))</f>
        <v/>
      </c>
      <c r="F3566" s="23" t="str">
        <f aca="false">IF(B3566="","","outreach_sent")</f>
        <v/>
      </c>
      <c r="G3566" s="23" t="str">
        <f aca="false">IF(B3566="","","")</f>
        <v/>
      </c>
      <c r="H3566" s="23" t="str">
        <f aca="false">IF(B3566="","","")</f>
        <v/>
      </c>
      <c r="I3566" s="23" t="str">
        <f aca="false">IF(B3566="","","")</f>
        <v/>
      </c>
      <c r="J3566" s="23" t="str">
        <f aca="false">IF(B3566="","","touch_1; "&amp;IFERROR(INDEX(Clay_Brands!$A$2:$FZ$601,115,Sync!$D$10)&amp;"","")&amp;"; "&amp;IFERROR(INDEX(Clay_Brands!$A$2:$FZ$601,115,Sync!$D$9)&amp;"",""))</f>
        <v/>
      </c>
      <c r="K3566" s="32" t="s">
        <v>1366</v>
      </c>
    </row>
    <row r="3567" customFormat="false" ht="15" hidden="false" customHeight="false" outlineLevel="0" collapsed="false">
      <c r="A3567" s="23" t="str">
        <f aca="false">IF(B3567="","",B3567+(15*1000+116)/10000000)</f>
        <v/>
      </c>
      <c r="B3567" s="35" t="str">
        <f aca="false">IF(AND(IFERROR(N(INDEX(Clay_Brands!$A$2:$FZ$601,116,Sync!$D$11)),0)&gt;0,IFERROR(INDEX(Clay_Brands!$A$2:$FZ$601,116,Sync!$D$5)&amp;"","")&lt;&gt;"",OR(LEFT(IFERROR(INDEX(Clay_Brands!$A$2:$FZ$601,116,Sync!$D$5)&amp;"",""),6)&lt;&gt;"SAMPLE",Config!$B$19="Y")),IFERROR(N(INDEX(Clay_Brands!$A$2:$FZ$601,116,Sync!$D$11)),0),"")</f>
        <v/>
      </c>
      <c r="C3567" s="23" t="str">
        <f aca="false">IF(B3567="","","brand")</f>
        <v/>
      </c>
      <c r="D3567" s="23" t="str">
        <f aca="false">IF(B3567="","",IFERROR(INDEX(Brand_Log!$DV$2:$DV$201,MATCH(IFERROR(INDEX(Clay_Brands!$A$2:$FZ$601,116,Sync!$D$5)&amp;"",""),Brand_Log!$A$2:$A$201,0))&amp;"",IFERROR(INDEX(Clay_Brands!$A$2:$FZ$601,116,Sync!$D$5)&amp;"","")&amp;""))</f>
        <v/>
      </c>
      <c r="E3567" s="23" t="str">
        <f aca="false">IF(B3567="","",IFERROR(INDEX(Clay_Brands!$A$2:$FZ$601,116,Sync!$D$6)&amp;"",""))</f>
        <v/>
      </c>
      <c r="F3567" s="23" t="str">
        <f aca="false">IF(B3567="","","outreach_sent")</f>
        <v/>
      </c>
      <c r="G3567" s="23" t="str">
        <f aca="false">IF(B3567="","","")</f>
        <v/>
      </c>
      <c r="H3567" s="23" t="str">
        <f aca="false">IF(B3567="","","")</f>
        <v/>
      </c>
      <c r="I3567" s="23" t="str">
        <f aca="false">IF(B3567="","","")</f>
        <v/>
      </c>
      <c r="J3567" s="23" t="str">
        <f aca="false">IF(B3567="","","touch_1; "&amp;IFERROR(INDEX(Clay_Brands!$A$2:$FZ$601,116,Sync!$D$10)&amp;"","")&amp;"; "&amp;IFERROR(INDEX(Clay_Brands!$A$2:$FZ$601,116,Sync!$D$9)&amp;"",""))</f>
        <v/>
      </c>
      <c r="K3567" s="32" t="s">
        <v>1366</v>
      </c>
    </row>
    <row r="3568" customFormat="false" ht="15" hidden="false" customHeight="false" outlineLevel="0" collapsed="false">
      <c r="A3568" s="23" t="str">
        <f aca="false">IF(B3568="","",B3568+(15*1000+117)/10000000)</f>
        <v/>
      </c>
      <c r="B3568" s="35" t="str">
        <f aca="false">IF(AND(IFERROR(N(INDEX(Clay_Brands!$A$2:$FZ$601,117,Sync!$D$11)),0)&gt;0,IFERROR(INDEX(Clay_Brands!$A$2:$FZ$601,117,Sync!$D$5)&amp;"","")&lt;&gt;"",OR(LEFT(IFERROR(INDEX(Clay_Brands!$A$2:$FZ$601,117,Sync!$D$5)&amp;"",""),6)&lt;&gt;"SAMPLE",Config!$B$19="Y")),IFERROR(N(INDEX(Clay_Brands!$A$2:$FZ$601,117,Sync!$D$11)),0),"")</f>
        <v/>
      </c>
      <c r="C3568" s="23" t="str">
        <f aca="false">IF(B3568="","","brand")</f>
        <v/>
      </c>
      <c r="D3568" s="23" t="str">
        <f aca="false">IF(B3568="","",IFERROR(INDEX(Brand_Log!$DV$2:$DV$201,MATCH(IFERROR(INDEX(Clay_Brands!$A$2:$FZ$601,117,Sync!$D$5)&amp;"",""),Brand_Log!$A$2:$A$201,0))&amp;"",IFERROR(INDEX(Clay_Brands!$A$2:$FZ$601,117,Sync!$D$5)&amp;"","")&amp;""))</f>
        <v/>
      </c>
      <c r="E3568" s="23" t="str">
        <f aca="false">IF(B3568="","",IFERROR(INDEX(Clay_Brands!$A$2:$FZ$601,117,Sync!$D$6)&amp;"",""))</f>
        <v/>
      </c>
      <c r="F3568" s="23" t="str">
        <f aca="false">IF(B3568="","","outreach_sent")</f>
        <v/>
      </c>
      <c r="G3568" s="23" t="str">
        <f aca="false">IF(B3568="","","")</f>
        <v/>
      </c>
      <c r="H3568" s="23" t="str">
        <f aca="false">IF(B3568="","","")</f>
        <v/>
      </c>
      <c r="I3568" s="23" t="str">
        <f aca="false">IF(B3568="","","")</f>
        <v/>
      </c>
      <c r="J3568" s="23" t="str">
        <f aca="false">IF(B3568="","","touch_1; "&amp;IFERROR(INDEX(Clay_Brands!$A$2:$FZ$601,117,Sync!$D$10)&amp;"","")&amp;"; "&amp;IFERROR(INDEX(Clay_Brands!$A$2:$FZ$601,117,Sync!$D$9)&amp;"",""))</f>
        <v/>
      </c>
      <c r="K3568" s="32" t="s">
        <v>1366</v>
      </c>
    </row>
    <row r="3569" customFormat="false" ht="15" hidden="false" customHeight="false" outlineLevel="0" collapsed="false">
      <c r="A3569" s="23" t="str">
        <f aca="false">IF(B3569="","",B3569+(15*1000+118)/10000000)</f>
        <v/>
      </c>
      <c r="B3569" s="35" t="str">
        <f aca="false">IF(AND(IFERROR(N(INDEX(Clay_Brands!$A$2:$FZ$601,118,Sync!$D$11)),0)&gt;0,IFERROR(INDEX(Clay_Brands!$A$2:$FZ$601,118,Sync!$D$5)&amp;"","")&lt;&gt;"",OR(LEFT(IFERROR(INDEX(Clay_Brands!$A$2:$FZ$601,118,Sync!$D$5)&amp;"",""),6)&lt;&gt;"SAMPLE",Config!$B$19="Y")),IFERROR(N(INDEX(Clay_Brands!$A$2:$FZ$601,118,Sync!$D$11)),0),"")</f>
        <v/>
      </c>
      <c r="C3569" s="23" t="str">
        <f aca="false">IF(B3569="","","brand")</f>
        <v/>
      </c>
      <c r="D3569" s="23" t="str">
        <f aca="false">IF(B3569="","",IFERROR(INDEX(Brand_Log!$DV$2:$DV$201,MATCH(IFERROR(INDEX(Clay_Brands!$A$2:$FZ$601,118,Sync!$D$5)&amp;"",""),Brand_Log!$A$2:$A$201,0))&amp;"",IFERROR(INDEX(Clay_Brands!$A$2:$FZ$601,118,Sync!$D$5)&amp;"","")&amp;""))</f>
        <v/>
      </c>
      <c r="E3569" s="23" t="str">
        <f aca="false">IF(B3569="","",IFERROR(INDEX(Clay_Brands!$A$2:$FZ$601,118,Sync!$D$6)&amp;"",""))</f>
        <v/>
      </c>
      <c r="F3569" s="23" t="str">
        <f aca="false">IF(B3569="","","outreach_sent")</f>
        <v/>
      </c>
      <c r="G3569" s="23" t="str">
        <f aca="false">IF(B3569="","","")</f>
        <v/>
      </c>
      <c r="H3569" s="23" t="str">
        <f aca="false">IF(B3569="","","")</f>
        <v/>
      </c>
      <c r="I3569" s="23" t="str">
        <f aca="false">IF(B3569="","","")</f>
        <v/>
      </c>
      <c r="J3569" s="23" t="str">
        <f aca="false">IF(B3569="","","touch_1; "&amp;IFERROR(INDEX(Clay_Brands!$A$2:$FZ$601,118,Sync!$D$10)&amp;"","")&amp;"; "&amp;IFERROR(INDEX(Clay_Brands!$A$2:$FZ$601,118,Sync!$D$9)&amp;"",""))</f>
        <v/>
      </c>
      <c r="K3569" s="32" t="s">
        <v>1366</v>
      </c>
    </row>
    <row r="3570" customFormat="false" ht="15" hidden="false" customHeight="false" outlineLevel="0" collapsed="false">
      <c r="A3570" s="23" t="str">
        <f aca="false">IF(B3570="","",B3570+(15*1000+119)/10000000)</f>
        <v/>
      </c>
      <c r="B3570" s="35" t="str">
        <f aca="false">IF(AND(IFERROR(N(INDEX(Clay_Brands!$A$2:$FZ$601,119,Sync!$D$11)),0)&gt;0,IFERROR(INDEX(Clay_Brands!$A$2:$FZ$601,119,Sync!$D$5)&amp;"","")&lt;&gt;"",OR(LEFT(IFERROR(INDEX(Clay_Brands!$A$2:$FZ$601,119,Sync!$D$5)&amp;"",""),6)&lt;&gt;"SAMPLE",Config!$B$19="Y")),IFERROR(N(INDEX(Clay_Brands!$A$2:$FZ$601,119,Sync!$D$11)),0),"")</f>
        <v/>
      </c>
      <c r="C3570" s="23" t="str">
        <f aca="false">IF(B3570="","","brand")</f>
        <v/>
      </c>
      <c r="D3570" s="23" t="str">
        <f aca="false">IF(B3570="","",IFERROR(INDEX(Brand_Log!$DV$2:$DV$201,MATCH(IFERROR(INDEX(Clay_Brands!$A$2:$FZ$601,119,Sync!$D$5)&amp;"",""),Brand_Log!$A$2:$A$201,0))&amp;"",IFERROR(INDEX(Clay_Brands!$A$2:$FZ$601,119,Sync!$D$5)&amp;"","")&amp;""))</f>
        <v/>
      </c>
      <c r="E3570" s="23" t="str">
        <f aca="false">IF(B3570="","",IFERROR(INDEX(Clay_Brands!$A$2:$FZ$601,119,Sync!$D$6)&amp;"",""))</f>
        <v/>
      </c>
      <c r="F3570" s="23" t="str">
        <f aca="false">IF(B3570="","","outreach_sent")</f>
        <v/>
      </c>
      <c r="G3570" s="23" t="str">
        <f aca="false">IF(B3570="","","")</f>
        <v/>
      </c>
      <c r="H3570" s="23" t="str">
        <f aca="false">IF(B3570="","","")</f>
        <v/>
      </c>
      <c r="I3570" s="23" t="str">
        <f aca="false">IF(B3570="","","")</f>
        <v/>
      </c>
      <c r="J3570" s="23" t="str">
        <f aca="false">IF(B3570="","","touch_1; "&amp;IFERROR(INDEX(Clay_Brands!$A$2:$FZ$601,119,Sync!$D$10)&amp;"","")&amp;"; "&amp;IFERROR(INDEX(Clay_Brands!$A$2:$FZ$601,119,Sync!$D$9)&amp;"",""))</f>
        <v/>
      </c>
      <c r="K3570" s="32" t="s">
        <v>1366</v>
      </c>
    </row>
    <row r="3571" customFormat="false" ht="15" hidden="false" customHeight="false" outlineLevel="0" collapsed="false">
      <c r="A3571" s="23" t="str">
        <f aca="false">IF(B3571="","",B3571+(15*1000+120)/10000000)</f>
        <v/>
      </c>
      <c r="B3571" s="35" t="str">
        <f aca="false">IF(AND(IFERROR(N(INDEX(Clay_Brands!$A$2:$FZ$601,120,Sync!$D$11)),0)&gt;0,IFERROR(INDEX(Clay_Brands!$A$2:$FZ$601,120,Sync!$D$5)&amp;"","")&lt;&gt;"",OR(LEFT(IFERROR(INDEX(Clay_Brands!$A$2:$FZ$601,120,Sync!$D$5)&amp;"",""),6)&lt;&gt;"SAMPLE",Config!$B$19="Y")),IFERROR(N(INDEX(Clay_Brands!$A$2:$FZ$601,120,Sync!$D$11)),0),"")</f>
        <v/>
      </c>
      <c r="C3571" s="23" t="str">
        <f aca="false">IF(B3571="","","brand")</f>
        <v/>
      </c>
      <c r="D3571" s="23" t="str">
        <f aca="false">IF(B3571="","",IFERROR(INDEX(Brand_Log!$DV$2:$DV$201,MATCH(IFERROR(INDEX(Clay_Brands!$A$2:$FZ$601,120,Sync!$D$5)&amp;"",""),Brand_Log!$A$2:$A$201,0))&amp;"",IFERROR(INDEX(Clay_Brands!$A$2:$FZ$601,120,Sync!$D$5)&amp;"","")&amp;""))</f>
        <v/>
      </c>
      <c r="E3571" s="23" t="str">
        <f aca="false">IF(B3571="","",IFERROR(INDEX(Clay_Brands!$A$2:$FZ$601,120,Sync!$D$6)&amp;"",""))</f>
        <v/>
      </c>
      <c r="F3571" s="23" t="str">
        <f aca="false">IF(B3571="","","outreach_sent")</f>
        <v/>
      </c>
      <c r="G3571" s="23" t="str">
        <f aca="false">IF(B3571="","","")</f>
        <v/>
      </c>
      <c r="H3571" s="23" t="str">
        <f aca="false">IF(B3571="","","")</f>
        <v/>
      </c>
      <c r="I3571" s="23" t="str">
        <f aca="false">IF(B3571="","","")</f>
        <v/>
      </c>
      <c r="J3571" s="23" t="str">
        <f aca="false">IF(B3571="","","touch_1; "&amp;IFERROR(INDEX(Clay_Brands!$A$2:$FZ$601,120,Sync!$D$10)&amp;"","")&amp;"; "&amp;IFERROR(INDEX(Clay_Brands!$A$2:$FZ$601,120,Sync!$D$9)&amp;"",""))</f>
        <v/>
      </c>
      <c r="K3571" s="32" t="s">
        <v>1366</v>
      </c>
    </row>
    <row r="3572" customFormat="false" ht="15" hidden="false" customHeight="false" outlineLevel="0" collapsed="false">
      <c r="A3572" s="23" t="str">
        <f aca="false">IF(B3572="","",B3572+(15*1000+121)/10000000)</f>
        <v/>
      </c>
      <c r="B3572" s="35" t="str">
        <f aca="false">IF(AND(IFERROR(N(INDEX(Clay_Brands!$A$2:$FZ$601,121,Sync!$D$11)),0)&gt;0,IFERROR(INDEX(Clay_Brands!$A$2:$FZ$601,121,Sync!$D$5)&amp;"","")&lt;&gt;"",OR(LEFT(IFERROR(INDEX(Clay_Brands!$A$2:$FZ$601,121,Sync!$D$5)&amp;"",""),6)&lt;&gt;"SAMPLE",Config!$B$19="Y")),IFERROR(N(INDEX(Clay_Brands!$A$2:$FZ$601,121,Sync!$D$11)),0),"")</f>
        <v/>
      </c>
      <c r="C3572" s="23" t="str">
        <f aca="false">IF(B3572="","","brand")</f>
        <v/>
      </c>
      <c r="D3572" s="23" t="str">
        <f aca="false">IF(B3572="","",IFERROR(INDEX(Brand_Log!$DV$2:$DV$201,MATCH(IFERROR(INDEX(Clay_Brands!$A$2:$FZ$601,121,Sync!$D$5)&amp;"",""),Brand_Log!$A$2:$A$201,0))&amp;"",IFERROR(INDEX(Clay_Brands!$A$2:$FZ$601,121,Sync!$D$5)&amp;"","")&amp;""))</f>
        <v/>
      </c>
      <c r="E3572" s="23" t="str">
        <f aca="false">IF(B3572="","",IFERROR(INDEX(Clay_Brands!$A$2:$FZ$601,121,Sync!$D$6)&amp;"",""))</f>
        <v/>
      </c>
      <c r="F3572" s="23" t="str">
        <f aca="false">IF(B3572="","","outreach_sent")</f>
        <v/>
      </c>
      <c r="G3572" s="23" t="str">
        <f aca="false">IF(B3572="","","")</f>
        <v/>
      </c>
      <c r="H3572" s="23" t="str">
        <f aca="false">IF(B3572="","","")</f>
        <v/>
      </c>
      <c r="I3572" s="23" t="str">
        <f aca="false">IF(B3572="","","")</f>
        <v/>
      </c>
      <c r="J3572" s="23" t="str">
        <f aca="false">IF(B3572="","","touch_1; "&amp;IFERROR(INDEX(Clay_Brands!$A$2:$FZ$601,121,Sync!$D$10)&amp;"","")&amp;"; "&amp;IFERROR(INDEX(Clay_Brands!$A$2:$FZ$601,121,Sync!$D$9)&amp;"",""))</f>
        <v/>
      </c>
      <c r="K3572" s="32" t="s">
        <v>1366</v>
      </c>
    </row>
    <row r="3573" customFormat="false" ht="15" hidden="false" customHeight="false" outlineLevel="0" collapsed="false">
      <c r="A3573" s="23" t="str">
        <f aca="false">IF(B3573="","",B3573+(15*1000+122)/10000000)</f>
        <v/>
      </c>
      <c r="B3573" s="35" t="str">
        <f aca="false">IF(AND(IFERROR(N(INDEX(Clay_Brands!$A$2:$FZ$601,122,Sync!$D$11)),0)&gt;0,IFERROR(INDEX(Clay_Brands!$A$2:$FZ$601,122,Sync!$D$5)&amp;"","")&lt;&gt;"",OR(LEFT(IFERROR(INDEX(Clay_Brands!$A$2:$FZ$601,122,Sync!$D$5)&amp;"",""),6)&lt;&gt;"SAMPLE",Config!$B$19="Y")),IFERROR(N(INDEX(Clay_Brands!$A$2:$FZ$601,122,Sync!$D$11)),0),"")</f>
        <v/>
      </c>
      <c r="C3573" s="23" t="str">
        <f aca="false">IF(B3573="","","brand")</f>
        <v/>
      </c>
      <c r="D3573" s="23" t="str">
        <f aca="false">IF(B3573="","",IFERROR(INDEX(Brand_Log!$DV$2:$DV$201,MATCH(IFERROR(INDEX(Clay_Brands!$A$2:$FZ$601,122,Sync!$D$5)&amp;"",""),Brand_Log!$A$2:$A$201,0))&amp;"",IFERROR(INDEX(Clay_Brands!$A$2:$FZ$601,122,Sync!$D$5)&amp;"","")&amp;""))</f>
        <v/>
      </c>
      <c r="E3573" s="23" t="str">
        <f aca="false">IF(B3573="","",IFERROR(INDEX(Clay_Brands!$A$2:$FZ$601,122,Sync!$D$6)&amp;"",""))</f>
        <v/>
      </c>
      <c r="F3573" s="23" t="str">
        <f aca="false">IF(B3573="","","outreach_sent")</f>
        <v/>
      </c>
      <c r="G3573" s="23" t="str">
        <f aca="false">IF(B3573="","","")</f>
        <v/>
      </c>
      <c r="H3573" s="23" t="str">
        <f aca="false">IF(B3573="","","")</f>
        <v/>
      </c>
      <c r="I3573" s="23" t="str">
        <f aca="false">IF(B3573="","","")</f>
        <v/>
      </c>
      <c r="J3573" s="23" t="str">
        <f aca="false">IF(B3573="","","touch_1; "&amp;IFERROR(INDEX(Clay_Brands!$A$2:$FZ$601,122,Sync!$D$10)&amp;"","")&amp;"; "&amp;IFERROR(INDEX(Clay_Brands!$A$2:$FZ$601,122,Sync!$D$9)&amp;"",""))</f>
        <v/>
      </c>
      <c r="K3573" s="32" t="s">
        <v>1366</v>
      </c>
    </row>
    <row r="3574" customFormat="false" ht="15" hidden="false" customHeight="false" outlineLevel="0" collapsed="false">
      <c r="A3574" s="23" t="str">
        <f aca="false">IF(B3574="","",B3574+(15*1000+123)/10000000)</f>
        <v/>
      </c>
      <c r="B3574" s="35" t="str">
        <f aca="false">IF(AND(IFERROR(N(INDEX(Clay_Brands!$A$2:$FZ$601,123,Sync!$D$11)),0)&gt;0,IFERROR(INDEX(Clay_Brands!$A$2:$FZ$601,123,Sync!$D$5)&amp;"","")&lt;&gt;"",OR(LEFT(IFERROR(INDEX(Clay_Brands!$A$2:$FZ$601,123,Sync!$D$5)&amp;"",""),6)&lt;&gt;"SAMPLE",Config!$B$19="Y")),IFERROR(N(INDEX(Clay_Brands!$A$2:$FZ$601,123,Sync!$D$11)),0),"")</f>
        <v/>
      </c>
      <c r="C3574" s="23" t="str">
        <f aca="false">IF(B3574="","","brand")</f>
        <v/>
      </c>
      <c r="D3574" s="23" t="str">
        <f aca="false">IF(B3574="","",IFERROR(INDEX(Brand_Log!$DV$2:$DV$201,MATCH(IFERROR(INDEX(Clay_Brands!$A$2:$FZ$601,123,Sync!$D$5)&amp;"",""),Brand_Log!$A$2:$A$201,0))&amp;"",IFERROR(INDEX(Clay_Brands!$A$2:$FZ$601,123,Sync!$D$5)&amp;"","")&amp;""))</f>
        <v/>
      </c>
      <c r="E3574" s="23" t="str">
        <f aca="false">IF(B3574="","",IFERROR(INDEX(Clay_Brands!$A$2:$FZ$601,123,Sync!$D$6)&amp;"",""))</f>
        <v/>
      </c>
      <c r="F3574" s="23" t="str">
        <f aca="false">IF(B3574="","","outreach_sent")</f>
        <v/>
      </c>
      <c r="G3574" s="23" t="str">
        <f aca="false">IF(B3574="","","")</f>
        <v/>
      </c>
      <c r="H3574" s="23" t="str">
        <f aca="false">IF(B3574="","","")</f>
        <v/>
      </c>
      <c r="I3574" s="23" t="str">
        <f aca="false">IF(B3574="","","")</f>
        <v/>
      </c>
      <c r="J3574" s="23" t="str">
        <f aca="false">IF(B3574="","","touch_1; "&amp;IFERROR(INDEX(Clay_Brands!$A$2:$FZ$601,123,Sync!$D$10)&amp;"","")&amp;"; "&amp;IFERROR(INDEX(Clay_Brands!$A$2:$FZ$601,123,Sync!$D$9)&amp;"",""))</f>
        <v/>
      </c>
      <c r="K3574" s="32" t="s">
        <v>1366</v>
      </c>
    </row>
    <row r="3575" customFormat="false" ht="15" hidden="false" customHeight="false" outlineLevel="0" collapsed="false">
      <c r="A3575" s="23" t="str">
        <f aca="false">IF(B3575="","",B3575+(15*1000+124)/10000000)</f>
        <v/>
      </c>
      <c r="B3575" s="35" t="str">
        <f aca="false">IF(AND(IFERROR(N(INDEX(Clay_Brands!$A$2:$FZ$601,124,Sync!$D$11)),0)&gt;0,IFERROR(INDEX(Clay_Brands!$A$2:$FZ$601,124,Sync!$D$5)&amp;"","")&lt;&gt;"",OR(LEFT(IFERROR(INDEX(Clay_Brands!$A$2:$FZ$601,124,Sync!$D$5)&amp;"",""),6)&lt;&gt;"SAMPLE",Config!$B$19="Y")),IFERROR(N(INDEX(Clay_Brands!$A$2:$FZ$601,124,Sync!$D$11)),0),"")</f>
        <v/>
      </c>
      <c r="C3575" s="23" t="str">
        <f aca="false">IF(B3575="","","brand")</f>
        <v/>
      </c>
      <c r="D3575" s="23" t="str">
        <f aca="false">IF(B3575="","",IFERROR(INDEX(Brand_Log!$DV$2:$DV$201,MATCH(IFERROR(INDEX(Clay_Brands!$A$2:$FZ$601,124,Sync!$D$5)&amp;"",""),Brand_Log!$A$2:$A$201,0))&amp;"",IFERROR(INDEX(Clay_Brands!$A$2:$FZ$601,124,Sync!$D$5)&amp;"","")&amp;""))</f>
        <v/>
      </c>
      <c r="E3575" s="23" t="str">
        <f aca="false">IF(B3575="","",IFERROR(INDEX(Clay_Brands!$A$2:$FZ$601,124,Sync!$D$6)&amp;"",""))</f>
        <v/>
      </c>
      <c r="F3575" s="23" t="str">
        <f aca="false">IF(B3575="","","outreach_sent")</f>
        <v/>
      </c>
      <c r="G3575" s="23" t="str">
        <f aca="false">IF(B3575="","","")</f>
        <v/>
      </c>
      <c r="H3575" s="23" t="str">
        <f aca="false">IF(B3575="","","")</f>
        <v/>
      </c>
      <c r="I3575" s="23" t="str">
        <f aca="false">IF(B3575="","","")</f>
        <v/>
      </c>
      <c r="J3575" s="23" t="str">
        <f aca="false">IF(B3575="","","touch_1; "&amp;IFERROR(INDEX(Clay_Brands!$A$2:$FZ$601,124,Sync!$D$10)&amp;"","")&amp;"; "&amp;IFERROR(INDEX(Clay_Brands!$A$2:$FZ$601,124,Sync!$D$9)&amp;"",""))</f>
        <v/>
      </c>
      <c r="K3575" s="32" t="s">
        <v>1366</v>
      </c>
    </row>
    <row r="3576" customFormat="false" ht="15" hidden="false" customHeight="false" outlineLevel="0" collapsed="false">
      <c r="A3576" s="23" t="str">
        <f aca="false">IF(B3576="","",B3576+(15*1000+125)/10000000)</f>
        <v/>
      </c>
      <c r="B3576" s="35" t="str">
        <f aca="false">IF(AND(IFERROR(N(INDEX(Clay_Brands!$A$2:$FZ$601,125,Sync!$D$11)),0)&gt;0,IFERROR(INDEX(Clay_Brands!$A$2:$FZ$601,125,Sync!$D$5)&amp;"","")&lt;&gt;"",OR(LEFT(IFERROR(INDEX(Clay_Brands!$A$2:$FZ$601,125,Sync!$D$5)&amp;"",""),6)&lt;&gt;"SAMPLE",Config!$B$19="Y")),IFERROR(N(INDEX(Clay_Brands!$A$2:$FZ$601,125,Sync!$D$11)),0),"")</f>
        <v/>
      </c>
      <c r="C3576" s="23" t="str">
        <f aca="false">IF(B3576="","","brand")</f>
        <v/>
      </c>
      <c r="D3576" s="23" t="str">
        <f aca="false">IF(B3576="","",IFERROR(INDEX(Brand_Log!$DV$2:$DV$201,MATCH(IFERROR(INDEX(Clay_Brands!$A$2:$FZ$601,125,Sync!$D$5)&amp;"",""),Brand_Log!$A$2:$A$201,0))&amp;"",IFERROR(INDEX(Clay_Brands!$A$2:$FZ$601,125,Sync!$D$5)&amp;"","")&amp;""))</f>
        <v/>
      </c>
      <c r="E3576" s="23" t="str">
        <f aca="false">IF(B3576="","",IFERROR(INDEX(Clay_Brands!$A$2:$FZ$601,125,Sync!$D$6)&amp;"",""))</f>
        <v/>
      </c>
      <c r="F3576" s="23" t="str">
        <f aca="false">IF(B3576="","","outreach_sent")</f>
        <v/>
      </c>
      <c r="G3576" s="23" t="str">
        <f aca="false">IF(B3576="","","")</f>
        <v/>
      </c>
      <c r="H3576" s="23" t="str">
        <f aca="false">IF(B3576="","","")</f>
        <v/>
      </c>
      <c r="I3576" s="23" t="str">
        <f aca="false">IF(B3576="","","")</f>
        <v/>
      </c>
      <c r="J3576" s="23" t="str">
        <f aca="false">IF(B3576="","","touch_1; "&amp;IFERROR(INDEX(Clay_Brands!$A$2:$FZ$601,125,Sync!$D$10)&amp;"","")&amp;"; "&amp;IFERROR(INDEX(Clay_Brands!$A$2:$FZ$601,125,Sync!$D$9)&amp;"",""))</f>
        <v/>
      </c>
      <c r="K3576" s="32" t="s">
        <v>1366</v>
      </c>
    </row>
    <row r="3577" customFormat="false" ht="15" hidden="false" customHeight="false" outlineLevel="0" collapsed="false">
      <c r="A3577" s="23" t="str">
        <f aca="false">IF(B3577="","",B3577+(15*1000+126)/10000000)</f>
        <v/>
      </c>
      <c r="B3577" s="35" t="str">
        <f aca="false">IF(AND(IFERROR(N(INDEX(Clay_Brands!$A$2:$FZ$601,126,Sync!$D$11)),0)&gt;0,IFERROR(INDEX(Clay_Brands!$A$2:$FZ$601,126,Sync!$D$5)&amp;"","")&lt;&gt;"",OR(LEFT(IFERROR(INDEX(Clay_Brands!$A$2:$FZ$601,126,Sync!$D$5)&amp;"",""),6)&lt;&gt;"SAMPLE",Config!$B$19="Y")),IFERROR(N(INDEX(Clay_Brands!$A$2:$FZ$601,126,Sync!$D$11)),0),"")</f>
        <v/>
      </c>
      <c r="C3577" s="23" t="str">
        <f aca="false">IF(B3577="","","brand")</f>
        <v/>
      </c>
      <c r="D3577" s="23" t="str">
        <f aca="false">IF(B3577="","",IFERROR(INDEX(Brand_Log!$DV$2:$DV$201,MATCH(IFERROR(INDEX(Clay_Brands!$A$2:$FZ$601,126,Sync!$D$5)&amp;"",""),Brand_Log!$A$2:$A$201,0))&amp;"",IFERROR(INDEX(Clay_Brands!$A$2:$FZ$601,126,Sync!$D$5)&amp;"","")&amp;""))</f>
        <v/>
      </c>
      <c r="E3577" s="23" t="str">
        <f aca="false">IF(B3577="","",IFERROR(INDEX(Clay_Brands!$A$2:$FZ$601,126,Sync!$D$6)&amp;"",""))</f>
        <v/>
      </c>
      <c r="F3577" s="23" t="str">
        <f aca="false">IF(B3577="","","outreach_sent")</f>
        <v/>
      </c>
      <c r="G3577" s="23" t="str">
        <f aca="false">IF(B3577="","","")</f>
        <v/>
      </c>
      <c r="H3577" s="23" t="str">
        <f aca="false">IF(B3577="","","")</f>
        <v/>
      </c>
      <c r="I3577" s="23" t="str">
        <f aca="false">IF(B3577="","","")</f>
        <v/>
      </c>
      <c r="J3577" s="23" t="str">
        <f aca="false">IF(B3577="","","touch_1; "&amp;IFERROR(INDEX(Clay_Brands!$A$2:$FZ$601,126,Sync!$D$10)&amp;"","")&amp;"; "&amp;IFERROR(INDEX(Clay_Brands!$A$2:$FZ$601,126,Sync!$D$9)&amp;"",""))</f>
        <v/>
      </c>
      <c r="K3577" s="32" t="s">
        <v>1366</v>
      </c>
    </row>
    <row r="3578" customFormat="false" ht="15" hidden="false" customHeight="false" outlineLevel="0" collapsed="false">
      <c r="A3578" s="23" t="str">
        <f aca="false">IF(B3578="","",B3578+(15*1000+127)/10000000)</f>
        <v/>
      </c>
      <c r="B3578" s="35" t="str">
        <f aca="false">IF(AND(IFERROR(N(INDEX(Clay_Brands!$A$2:$FZ$601,127,Sync!$D$11)),0)&gt;0,IFERROR(INDEX(Clay_Brands!$A$2:$FZ$601,127,Sync!$D$5)&amp;"","")&lt;&gt;"",OR(LEFT(IFERROR(INDEX(Clay_Brands!$A$2:$FZ$601,127,Sync!$D$5)&amp;"",""),6)&lt;&gt;"SAMPLE",Config!$B$19="Y")),IFERROR(N(INDEX(Clay_Brands!$A$2:$FZ$601,127,Sync!$D$11)),0),"")</f>
        <v/>
      </c>
      <c r="C3578" s="23" t="str">
        <f aca="false">IF(B3578="","","brand")</f>
        <v/>
      </c>
      <c r="D3578" s="23" t="str">
        <f aca="false">IF(B3578="","",IFERROR(INDEX(Brand_Log!$DV$2:$DV$201,MATCH(IFERROR(INDEX(Clay_Brands!$A$2:$FZ$601,127,Sync!$D$5)&amp;"",""),Brand_Log!$A$2:$A$201,0))&amp;"",IFERROR(INDEX(Clay_Brands!$A$2:$FZ$601,127,Sync!$D$5)&amp;"","")&amp;""))</f>
        <v/>
      </c>
      <c r="E3578" s="23" t="str">
        <f aca="false">IF(B3578="","",IFERROR(INDEX(Clay_Brands!$A$2:$FZ$601,127,Sync!$D$6)&amp;"",""))</f>
        <v/>
      </c>
      <c r="F3578" s="23" t="str">
        <f aca="false">IF(B3578="","","outreach_sent")</f>
        <v/>
      </c>
      <c r="G3578" s="23" t="str">
        <f aca="false">IF(B3578="","","")</f>
        <v/>
      </c>
      <c r="H3578" s="23" t="str">
        <f aca="false">IF(B3578="","","")</f>
        <v/>
      </c>
      <c r="I3578" s="23" t="str">
        <f aca="false">IF(B3578="","","")</f>
        <v/>
      </c>
      <c r="J3578" s="23" t="str">
        <f aca="false">IF(B3578="","","touch_1; "&amp;IFERROR(INDEX(Clay_Brands!$A$2:$FZ$601,127,Sync!$D$10)&amp;"","")&amp;"; "&amp;IFERROR(INDEX(Clay_Brands!$A$2:$FZ$601,127,Sync!$D$9)&amp;"",""))</f>
        <v/>
      </c>
      <c r="K3578" s="32" t="s">
        <v>1366</v>
      </c>
    </row>
    <row r="3579" customFormat="false" ht="15" hidden="false" customHeight="false" outlineLevel="0" collapsed="false">
      <c r="A3579" s="23" t="str">
        <f aca="false">IF(B3579="","",B3579+(15*1000+128)/10000000)</f>
        <v/>
      </c>
      <c r="B3579" s="35" t="str">
        <f aca="false">IF(AND(IFERROR(N(INDEX(Clay_Brands!$A$2:$FZ$601,128,Sync!$D$11)),0)&gt;0,IFERROR(INDEX(Clay_Brands!$A$2:$FZ$601,128,Sync!$D$5)&amp;"","")&lt;&gt;"",OR(LEFT(IFERROR(INDEX(Clay_Brands!$A$2:$FZ$601,128,Sync!$D$5)&amp;"",""),6)&lt;&gt;"SAMPLE",Config!$B$19="Y")),IFERROR(N(INDEX(Clay_Brands!$A$2:$FZ$601,128,Sync!$D$11)),0),"")</f>
        <v/>
      </c>
      <c r="C3579" s="23" t="str">
        <f aca="false">IF(B3579="","","brand")</f>
        <v/>
      </c>
      <c r="D3579" s="23" t="str">
        <f aca="false">IF(B3579="","",IFERROR(INDEX(Brand_Log!$DV$2:$DV$201,MATCH(IFERROR(INDEX(Clay_Brands!$A$2:$FZ$601,128,Sync!$D$5)&amp;"",""),Brand_Log!$A$2:$A$201,0))&amp;"",IFERROR(INDEX(Clay_Brands!$A$2:$FZ$601,128,Sync!$D$5)&amp;"","")&amp;""))</f>
        <v/>
      </c>
      <c r="E3579" s="23" t="str">
        <f aca="false">IF(B3579="","",IFERROR(INDEX(Clay_Brands!$A$2:$FZ$601,128,Sync!$D$6)&amp;"",""))</f>
        <v/>
      </c>
      <c r="F3579" s="23" t="str">
        <f aca="false">IF(B3579="","","outreach_sent")</f>
        <v/>
      </c>
      <c r="G3579" s="23" t="str">
        <f aca="false">IF(B3579="","","")</f>
        <v/>
      </c>
      <c r="H3579" s="23" t="str">
        <f aca="false">IF(B3579="","","")</f>
        <v/>
      </c>
      <c r="I3579" s="23" t="str">
        <f aca="false">IF(B3579="","","")</f>
        <v/>
      </c>
      <c r="J3579" s="23" t="str">
        <f aca="false">IF(B3579="","","touch_1; "&amp;IFERROR(INDEX(Clay_Brands!$A$2:$FZ$601,128,Sync!$D$10)&amp;"","")&amp;"; "&amp;IFERROR(INDEX(Clay_Brands!$A$2:$FZ$601,128,Sync!$D$9)&amp;"",""))</f>
        <v/>
      </c>
      <c r="K3579" s="32" t="s">
        <v>1366</v>
      </c>
    </row>
    <row r="3580" customFormat="false" ht="15" hidden="false" customHeight="false" outlineLevel="0" collapsed="false">
      <c r="A3580" s="23" t="str">
        <f aca="false">IF(B3580="","",B3580+(15*1000+129)/10000000)</f>
        <v/>
      </c>
      <c r="B3580" s="35" t="str">
        <f aca="false">IF(AND(IFERROR(N(INDEX(Clay_Brands!$A$2:$FZ$601,129,Sync!$D$11)),0)&gt;0,IFERROR(INDEX(Clay_Brands!$A$2:$FZ$601,129,Sync!$D$5)&amp;"","")&lt;&gt;"",OR(LEFT(IFERROR(INDEX(Clay_Brands!$A$2:$FZ$601,129,Sync!$D$5)&amp;"",""),6)&lt;&gt;"SAMPLE",Config!$B$19="Y")),IFERROR(N(INDEX(Clay_Brands!$A$2:$FZ$601,129,Sync!$D$11)),0),"")</f>
        <v/>
      </c>
      <c r="C3580" s="23" t="str">
        <f aca="false">IF(B3580="","","brand")</f>
        <v/>
      </c>
      <c r="D3580" s="23" t="str">
        <f aca="false">IF(B3580="","",IFERROR(INDEX(Brand_Log!$DV$2:$DV$201,MATCH(IFERROR(INDEX(Clay_Brands!$A$2:$FZ$601,129,Sync!$D$5)&amp;"",""),Brand_Log!$A$2:$A$201,0))&amp;"",IFERROR(INDEX(Clay_Brands!$A$2:$FZ$601,129,Sync!$D$5)&amp;"","")&amp;""))</f>
        <v/>
      </c>
      <c r="E3580" s="23" t="str">
        <f aca="false">IF(B3580="","",IFERROR(INDEX(Clay_Brands!$A$2:$FZ$601,129,Sync!$D$6)&amp;"",""))</f>
        <v/>
      </c>
      <c r="F3580" s="23" t="str">
        <f aca="false">IF(B3580="","","outreach_sent")</f>
        <v/>
      </c>
      <c r="G3580" s="23" t="str">
        <f aca="false">IF(B3580="","","")</f>
        <v/>
      </c>
      <c r="H3580" s="23" t="str">
        <f aca="false">IF(B3580="","","")</f>
        <v/>
      </c>
      <c r="I3580" s="23" t="str">
        <f aca="false">IF(B3580="","","")</f>
        <v/>
      </c>
      <c r="J3580" s="23" t="str">
        <f aca="false">IF(B3580="","","touch_1; "&amp;IFERROR(INDEX(Clay_Brands!$A$2:$FZ$601,129,Sync!$D$10)&amp;"","")&amp;"; "&amp;IFERROR(INDEX(Clay_Brands!$A$2:$FZ$601,129,Sync!$D$9)&amp;"",""))</f>
        <v/>
      </c>
      <c r="K3580" s="32" t="s">
        <v>1366</v>
      </c>
    </row>
    <row r="3581" customFormat="false" ht="15" hidden="false" customHeight="false" outlineLevel="0" collapsed="false">
      <c r="A3581" s="23" t="str">
        <f aca="false">IF(B3581="","",B3581+(15*1000+130)/10000000)</f>
        <v/>
      </c>
      <c r="B3581" s="35" t="str">
        <f aca="false">IF(AND(IFERROR(N(INDEX(Clay_Brands!$A$2:$FZ$601,130,Sync!$D$11)),0)&gt;0,IFERROR(INDEX(Clay_Brands!$A$2:$FZ$601,130,Sync!$D$5)&amp;"","")&lt;&gt;"",OR(LEFT(IFERROR(INDEX(Clay_Brands!$A$2:$FZ$601,130,Sync!$D$5)&amp;"",""),6)&lt;&gt;"SAMPLE",Config!$B$19="Y")),IFERROR(N(INDEX(Clay_Brands!$A$2:$FZ$601,130,Sync!$D$11)),0),"")</f>
        <v/>
      </c>
      <c r="C3581" s="23" t="str">
        <f aca="false">IF(B3581="","","brand")</f>
        <v/>
      </c>
      <c r="D3581" s="23" t="str">
        <f aca="false">IF(B3581="","",IFERROR(INDEX(Brand_Log!$DV$2:$DV$201,MATCH(IFERROR(INDEX(Clay_Brands!$A$2:$FZ$601,130,Sync!$D$5)&amp;"",""),Brand_Log!$A$2:$A$201,0))&amp;"",IFERROR(INDEX(Clay_Brands!$A$2:$FZ$601,130,Sync!$D$5)&amp;"","")&amp;""))</f>
        <v/>
      </c>
      <c r="E3581" s="23" t="str">
        <f aca="false">IF(B3581="","",IFERROR(INDEX(Clay_Brands!$A$2:$FZ$601,130,Sync!$D$6)&amp;"",""))</f>
        <v/>
      </c>
      <c r="F3581" s="23" t="str">
        <f aca="false">IF(B3581="","","outreach_sent")</f>
        <v/>
      </c>
      <c r="G3581" s="23" t="str">
        <f aca="false">IF(B3581="","","")</f>
        <v/>
      </c>
      <c r="H3581" s="23" t="str">
        <f aca="false">IF(B3581="","","")</f>
        <v/>
      </c>
      <c r="I3581" s="23" t="str">
        <f aca="false">IF(B3581="","","")</f>
        <v/>
      </c>
      <c r="J3581" s="23" t="str">
        <f aca="false">IF(B3581="","","touch_1; "&amp;IFERROR(INDEX(Clay_Brands!$A$2:$FZ$601,130,Sync!$D$10)&amp;"","")&amp;"; "&amp;IFERROR(INDEX(Clay_Brands!$A$2:$FZ$601,130,Sync!$D$9)&amp;"",""))</f>
        <v/>
      </c>
      <c r="K3581" s="32" t="s">
        <v>1366</v>
      </c>
    </row>
    <row r="3582" customFormat="false" ht="15" hidden="false" customHeight="false" outlineLevel="0" collapsed="false">
      <c r="A3582" s="23" t="str">
        <f aca="false">IF(B3582="","",B3582+(15*1000+131)/10000000)</f>
        <v/>
      </c>
      <c r="B3582" s="35" t="str">
        <f aca="false">IF(AND(IFERROR(N(INDEX(Clay_Brands!$A$2:$FZ$601,131,Sync!$D$11)),0)&gt;0,IFERROR(INDEX(Clay_Brands!$A$2:$FZ$601,131,Sync!$D$5)&amp;"","")&lt;&gt;"",OR(LEFT(IFERROR(INDEX(Clay_Brands!$A$2:$FZ$601,131,Sync!$D$5)&amp;"",""),6)&lt;&gt;"SAMPLE",Config!$B$19="Y")),IFERROR(N(INDEX(Clay_Brands!$A$2:$FZ$601,131,Sync!$D$11)),0),"")</f>
        <v/>
      </c>
      <c r="C3582" s="23" t="str">
        <f aca="false">IF(B3582="","","brand")</f>
        <v/>
      </c>
      <c r="D3582" s="23" t="str">
        <f aca="false">IF(B3582="","",IFERROR(INDEX(Brand_Log!$DV$2:$DV$201,MATCH(IFERROR(INDEX(Clay_Brands!$A$2:$FZ$601,131,Sync!$D$5)&amp;"",""),Brand_Log!$A$2:$A$201,0))&amp;"",IFERROR(INDEX(Clay_Brands!$A$2:$FZ$601,131,Sync!$D$5)&amp;"","")&amp;""))</f>
        <v/>
      </c>
      <c r="E3582" s="23" t="str">
        <f aca="false">IF(B3582="","",IFERROR(INDEX(Clay_Brands!$A$2:$FZ$601,131,Sync!$D$6)&amp;"",""))</f>
        <v/>
      </c>
      <c r="F3582" s="23" t="str">
        <f aca="false">IF(B3582="","","outreach_sent")</f>
        <v/>
      </c>
      <c r="G3582" s="23" t="str">
        <f aca="false">IF(B3582="","","")</f>
        <v/>
      </c>
      <c r="H3582" s="23" t="str">
        <f aca="false">IF(B3582="","","")</f>
        <v/>
      </c>
      <c r="I3582" s="23" t="str">
        <f aca="false">IF(B3582="","","")</f>
        <v/>
      </c>
      <c r="J3582" s="23" t="str">
        <f aca="false">IF(B3582="","","touch_1; "&amp;IFERROR(INDEX(Clay_Brands!$A$2:$FZ$601,131,Sync!$D$10)&amp;"","")&amp;"; "&amp;IFERROR(INDEX(Clay_Brands!$A$2:$FZ$601,131,Sync!$D$9)&amp;"",""))</f>
        <v/>
      </c>
      <c r="K3582" s="32" t="s">
        <v>1366</v>
      </c>
    </row>
    <row r="3583" customFormat="false" ht="15" hidden="false" customHeight="false" outlineLevel="0" collapsed="false">
      <c r="A3583" s="23" t="str">
        <f aca="false">IF(B3583="","",B3583+(15*1000+132)/10000000)</f>
        <v/>
      </c>
      <c r="B3583" s="35" t="str">
        <f aca="false">IF(AND(IFERROR(N(INDEX(Clay_Brands!$A$2:$FZ$601,132,Sync!$D$11)),0)&gt;0,IFERROR(INDEX(Clay_Brands!$A$2:$FZ$601,132,Sync!$D$5)&amp;"","")&lt;&gt;"",OR(LEFT(IFERROR(INDEX(Clay_Brands!$A$2:$FZ$601,132,Sync!$D$5)&amp;"",""),6)&lt;&gt;"SAMPLE",Config!$B$19="Y")),IFERROR(N(INDEX(Clay_Brands!$A$2:$FZ$601,132,Sync!$D$11)),0),"")</f>
        <v/>
      </c>
      <c r="C3583" s="23" t="str">
        <f aca="false">IF(B3583="","","brand")</f>
        <v/>
      </c>
      <c r="D3583" s="23" t="str">
        <f aca="false">IF(B3583="","",IFERROR(INDEX(Brand_Log!$DV$2:$DV$201,MATCH(IFERROR(INDEX(Clay_Brands!$A$2:$FZ$601,132,Sync!$D$5)&amp;"",""),Brand_Log!$A$2:$A$201,0))&amp;"",IFERROR(INDEX(Clay_Brands!$A$2:$FZ$601,132,Sync!$D$5)&amp;"","")&amp;""))</f>
        <v/>
      </c>
      <c r="E3583" s="23" t="str">
        <f aca="false">IF(B3583="","",IFERROR(INDEX(Clay_Brands!$A$2:$FZ$601,132,Sync!$D$6)&amp;"",""))</f>
        <v/>
      </c>
      <c r="F3583" s="23" t="str">
        <f aca="false">IF(B3583="","","outreach_sent")</f>
        <v/>
      </c>
      <c r="G3583" s="23" t="str">
        <f aca="false">IF(B3583="","","")</f>
        <v/>
      </c>
      <c r="H3583" s="23" t="str">
        <f aca="false">IF(B3583="","","")</f>
        <v/>
      </c>
      <c r="I3583" s="23" t="str">
        <f aca="false">IF(B3583="","","")</f>
        <v/>
      </c>
      <c r="J3583" s="23" t="str">
        <f aca="false">IF(B3583="","","touch_1; "&amp;IFERROR(INDEX(Clay_Brands!$A$2:$FZ$601,132,Sync!$D$10)&amp;"","")&amp;"; "&amp;IFERROR(INDEX(Clay_Brands!$A$2:$FZ$601,132,Sync!$D$9)&amp;"",""))</f>
        <v/>
      </c>
      <c r="K3583" s="32" t="s">
        <v>1366</v>
      </c>
    </row>
    <row r="3584" customFormat="false" ht="15" hidden="false" customHeight="false" outlineLevel="0" collapsed="false">
      <c r="A3584" s="23" t="str">
        <f aca="false">IF(B3584="","",B3584+(15*1000+133)/10000000)</f>
        <v/>
      </c>
      <c r="B3584" s="35" t="str">
        <f aca="false">IF(AND(IFERROR(N(INDEX(Clay_Brands!$A$2:$FZ$601,133,Sync!$D$11)),0)&gt;0,IFERROR(INDEX(Clay_Brands!$A$2:$FZ$601,133,Sync!$D$5)&amp;"","")&lt;&gt;"",OR(LEFT(IFERROR(INDEX(Clay_Brands!$A$2:$FZ$601,133,Sync!$D$5)&amp;"",""),6)&lt;&gt;"SAMPLE",Config!$B$19="Y")),IFERROR(N(INDEX(Clay_Brands!$A$2:$FZ$601,133,Sync!$D$11)),0),"")</f>
        <v/>
      </c>
      <c r="C3584" s="23" t="str">
        <f aca="false">IF(B3584="","","brand")</f>
        <v/>
      </c>
      <c r="D3584" s="23" t="str">
        <f aca="false">IF(B3584="","",IFERROR(INDEX(Brand_Log!$DV$2:$DV$201,MATCH(IFERROR(INDEX(Clay_Brands!$A$2:$FZ$601,133,Sync!$D$5)&amp;"",""),Brand_Log!$A$2:$A$201,0))&amp;"",IFERROR(INDEX(Clay_Brands!$A$2:$FZ$601,133,Sync!$D$5)&amp;"","")&amp;""))</f>
        <v/>
      </c>
      <c r="E3584" s="23" t="str">
        <f aca="false">IF(B3584="","",IFERROR(INDEX(Clay_Brands!$A$2:$FZ$601,133,Sync!$D$6)&amp;"",""))</f>
        <v/>
      </c>
      <c r="F3584" s="23" t="str">
        <f aca="false">IF(B3584="","","outreach_sent")</f>
        <v/>
      </c>
      <c r="G3584" s="23" t="str">
        <f aca="false">IF(B3584="","","")</f>
        <v/>
      </c>
      <c r="H3584" s="23" t="str">
        <f aca="false">IF(B3584="","","")</f>
        <v/>
      </c>
      <c r="I3584" s="23" t="str">
        <f aca="false">IF(B3584="","","")</f>
        <v/>
      </c>
      <c r="J3584" s="23" t="str">
        <f aca="false">IF(B3584="","","touch_1; "&amp;IFERROR(INDEX(Clay_Brands!$A$2:$FZ$601,133,Sync!$D$10)&amp;"","")&amp;"; "&amp;IFERROR(INDEX(Clay_Brands!$A$2:$FZ$601,133,Sync!$D$9)&amp;"",""))</f>
        <v/>
      </c>
      <c r="K3584" s="32" t="s">
        <v>1366</v>
      </c>
    </row>
    <row r="3585" customFormat="false" ht="15" hidden="false" customHeight="false" outlineLevel="0" collapsed="false">
      <c r="A3585" s="23" t="str">
        <f aca="false">IF(B3585="","",B3585+(15*1000+134)/10000000)</f>
        <v/>
      </c>
      <c r="B3585" s="35" t="str">
        <f aca="false">IF(AND(IFERROR(N(INDEX(Clay_Brands!$A$2:$FZ$601,134,Sync!$D$11)),0)&gt;0,IFERROR(INDEX(Clay_Brands!$A$2:$FZ$601,134,Sync!$D$5)&amp;"","")&lt;&gt;"",OR(LEFT(IFERROR(INDEX(Clay_Brands!$A$2:$FZ$601,134,Sync!$D$5)&amp;"",""),6)&lt;&gt;"SAMPLE",Config!$B$19="Y")),IFERROR(N(INDEX(Clay_Brands!$A$2:$FZ$601,134,Sync!$D$11)),0),"")</f>
        <v/>
      </c>
      <c r="C3585" s="23" t="str">
        <f aca="false">IF(B3585="","","brand")</f>
        <v/>
      </c>
      <c r="D3585" s="23" t="str">
        <f aca="false">IF(B3585="","",IFERROR(INDEX(Brand_Log!$DV$2:$DV$201,MATCH(IFERROR(INDEX(Clay_Brands!$A$2:$FZ$601,134,Sync!$D$5)&amp;"",""),Brand_Log!$A$2:$A$201,0))&amp;"",IFERROR(INDEX(Clay_Brands!$A$2:$FZ$601,134,Sync!$D$5)&amp;"","")&amp;""))</f>
        <v/>
      </c>
      <c r="E3585" s="23" t="str">
        <f aca="false">IF(B3585="","",IFERROR(INDEX(Clay_Brands!$A$2:$FZ$601,134,Sync!$D$6)&amp;"",""))</f>
        <v/>
      </c>
      <c r="F3585" s="23" t="str">
        <f aca="false">IF(B3585="","","outreach_sent")</f>
        <v/>
      </c>
      <c r="G3585" s="23" t="str">
        <f aca="false">IF(B3585="","","")</f>
        <v/>
      </c>
      <c r="H3585" s="23" t="str">
        <f aca="false">IF(B3585="","","")</f>
        <v/>
      </c>
      <c r="I3585" s="23" t="str">
        <f aca="false">IF(B3585="","","")</f>
        <v/>
      </c>
      <c r="J3585" s="23" t="str">
        <f aca="false">IF(B3585="","","touch_1; "&amp;IFERROR(INDEX(Clay_Brands!$A$2:$FZ$601,134,Sync!$D$10)&amp;"","")&amp;"; "&amp;IFERROR(INDEX(Clay_Brands!$A$2:$FZ$601,134,Sync!$D$9)&amp;"",""))</f>
        <v/>
      </c>
      <c r="K3585" s="32" t="s">
        <v>1366</v>
      </c>
    </row>
    <row r="3586" customFormat="false" ht="15" hidden="false" customHeight="false" outlineLevel="0" collapsed="false">
      <c r="A3586" s="23" t="str">
        <f aca="false">IF(B3586="","",B3586+(15*1000+135)/10000000)</f>
        <v/>
      </c>
      <c r="B3586" s="35" t="str">
        <f aca="false">IF(AND(IFERROR(N(INDEX(Clay_Brands!$A$2:$FZ$601,135,Sync!$D$11)),0)&gt;0,IFERROR(INDEX(Clay_Brands!$A$2:$FZ$601,135,Sync!$D$5)&amp;"","")&lt;&gt;"",OR(LEFT(IFERROR(INDEX(Clay_Brands!$A$2:$FZ$601,135,Sync!$D$5)&amp;"",""),6)&lt;&gt;"SAMPLE",Config!$B$19="Y")),IFERROR(N(INDEX(Clay_Brands!$A$2:$FZ$601,135,Sync!$D$11)),0),"")</f>
        <v/>
      </c>
      <c r="C3586" s="23" t="str">
        <f aca="false">IF(B3586="","","brand")</f>
        <v/>
      </c>
      <c r="D3586" s="23" t="str">
        <f aca="false">IF(B3586="","",IFERROR(INDEX(Brand_Log!$DV$2:$DV$201,MATCH(IFERROR(INDEX(Clay_Brands!$A$2:$FZ$601,135,Sync!$D$5)&amp;"",""),Brand_Log!$A$2:$A$201,0))&amp;"",IFERROR(INDEX(Clay_Brands!$A$2:$FZ$601,135,Sync!$D$5)&amp;"","")&amp;""))</f>
        <v/>
      </c>
      <c r="E3586" s="23" t="str">
        <f aca="false">IF(B3586="","",IFERROR(INDEX(Clay_Brands!$A$2:$FZ$601,135,Sync!$D$6)&amp;"",""))</f>
        <v/>
      </c>
      <c r="F3586" s="23" t="str">
        <f aca="false">IF(B3586="","","outreach_sent")</f>
        <v/>
      </c>
      <c r="G3586" s="23" t="str">
        <f aca="false">IF(B3586="","","")</f>
        <v/>
      </c>
      <c r="H3586" s="23" t="str">
        <f aca="false">IF(B3586="","","")</f>
        <v/>
      </c>
      <c r="I3586" s="23" t="str">
        <f aca="false">IF(B3586="","","")</f>
        <v/>
      </c>
      <c r="J3586" s="23" t="str">
        <f aca="false">IF(B3586="","","touch_1; "&amp;IFERROR(INDEX(Clay_Brands!$A$2:$FZ$601,135,Sync!$D$10)&amp;"","")&amp;"; "&amp;IFERROR(INDEX(Clay_Brands!$A$2:$FZ$601,135,Sync!$D$9)&amp;"",""))</f>
        <v/>
      </c>
      <c r="K3586" s="32" t="s">
        <v>1366</v>
      </c>
    </row>
    <row r="3587" customFormat="false" ht="15" hidden="false" customHeight="false" outlineLevel="0" collapsed="false">
      <c r="A3587" s="23" t="str">
        <f aca="false">IF(B3587="","",B3587+(15*1000+136)/10000000)</f>
        <v/>
      </c>
      <c r="B3587" s="35" t="str">
        <f aca="false">IF(AND(IFERROR(N(INDEX(Clay_Brands!$A$2:$FZ$601,136,Sync!$D$11)),0)&gt;0,IFERROR(INDEX(Clay_Brands!$A$2:$FZ$601,136,Sync!$D$5)&amp;"","")&lt;&gt;"",OR(LEFT(IFERROR(INDEX(Clay_Brands!$A$2:$FZ$601,136,Sync!$D$5)&amp;"",""),6)&lt;&gt;"SAMPLE",Config!$B$19="Y")),IFERROR(N(INDEX(Clay_Brands!$A$2:$FZ$601,136,Sync!$D$11)),0),"")</f>
        <v/>
      </c>
      <c r="C3587" s="23" t="str">
        <f aca="false">IF(B3587="","","brand")</f>
        <v/>
      </c>
      <c r="D3587" s="23" t="str">
        <f aca="false">IF(B3587="","",IFERROR(INDEX(Brand_Log!$DV$2:$DV$201,MATCH(IFERROR(INDEX(Clay_Brands!$A$2:$FZ$601,136,Sync!$D$5)&amp;"",""),Brand_Log!$A$2:$A$201,0))&amp;"",IFERROR(INDEX(Clay_Brands!$A$2:$FZ$601,136,Sync!$D$5)&amp;"","")&amp;""))</f>
        <v/>
      </c>
      <c r="E3587" s="23" t="str">
        <f aca="false">IF(B3587="","",IFERROR(INDEX(Clay_Brands!$A$2:$FZ$601,136,Sync!$D$6)&amp;"",""))</f>
        <v/>
      </c>
      <c r="F3587" s="23" t="str">
        <f aca="false">IF(B3587="","","outreach_sent")</f>
        <v/>
      </c>
      <c r="G3587" s="23" t="str">
        <f aca="false">IF(B3587="","","")</f>
        <v/>
      </c>
      <c r="H3587" s="23" t="str">
        <f aca="false">IF(B3587="","","")</f>
        <v/>
      </c>
      <c r="I3587" s="23" t="str">
        <f aca="false">IF(B3587="","","")</f>
        <v/>
      </c>
      <c r="J3587" s="23" t="str">
        <f aca="false">IF(B3587="","","touch_1; "&amp;IFERROR(INDEX(Clay_Brands!$A$2:$FZ$601,136,Sync!$D$10)&amp;"","")&amp;"; "&amp;IFERROR(INDEX(Clay_Brands!$A$2:$FZ$601,136,Sync!$D$9)&amp;"",""))</f>
        <v/>
      </c>
      <c r="K3587" s="32" t="s">
        <v>1366</v>
      </c>
    </row>
    <row r="3588" customFormat="false" ht="15" hidden="false" customHeight="false" outlineLevel="0" collapsed="false">
      <c r="A3588" s="23" t="str">
        <f aca="false">IF(B3588="","",B3588+(15*1000+137)/10000000)</f>
        <v/>
      </c>
      <c r="B3588" s="35" t="str">
        <f aca="false">IF(AND(IFERROR(N(INDEX(Clay_Brands!$A$2:$FZ$601,137,Sync!$D$11)),0)&gt;0,IFERROR(INDEX(Clay_Brands!$A$2:$FZ$601,137,Sync!$D$5)&amp;"","")&lt;&gt;"",OR(LEFT(IFERROR(INDEX(Clay_Brands!$A$2:$FZ$601,137,Sync!$D$5)&amp;"",""),6)&lt;&gt;"SAMPLE",Config!$B$19="Y")),IFERROR(N(INDEX(Clay_Brands!$A$2:$FZ$601,137,Sync!$D$11)),0),"")</f>
        <v/>
      </c>
      <c r="C3588" s="23" t="str">
        <f aca="false">IF(B3588="","","brand")</f>
        <v/>
      </c>
      <c r="D3588" s="23" t="str">
        <f aca="false">IF(B3588="","",IFERROR(INDEX(Brand_Log!$DV$2:$DV$201,MATCH(IFERROR(INDEX(Clay_Brands!$A$2:$FZ$601,137,Sync!$D$5)&amp;"",""),Brand_Log!$A$2:$A$201,0))&amp;"",IFERROR(INDEX(Clay_Brands!$A$2:$FZ$601,137,Sync!$D$5)&amp;"","")&amp;""))</f>
        <v/>
      </c>
      <c r="E3588" s="23" t="str">
        <f aca="false">IF(B3588="","",IFERROR(INDEX(Clay_Brands!$A$2:$FZ$601,137,Sync!$D$6)&amp;"",""))</f>
        <v/>
      </c>
      <c r="F3588" s="23" t="str">
        <f aca="false">IF(B3588="","","outreach_sent")</f>
        <v/>
      </c>
      <c r="G3588" s="23" t="str">
        <f aca="false">IF(B3588="","","")</f>
        <v/>
      </c>
      <c r="H3588" s="23" t="str">
        <f aca="false">IF(B3588="","","")</f>
        <v/>
      </c>
      <c r="I3588" s="23" t="str">
        <f aca="false">IF(B3588="","","")</f>
        <v/>
      </c>
      <c r="J3588" s="23" t="str">
        <f aca="false">IF(B3588="","","touch_1; "&amp;IFERROR(INDEX(Clay_Brands!$A$2:$FZ$601,137,Sync!$D$10)&amp;"","")&amp;"; "&amp;IFERROR(INDEX(Clay_Brands!$A$2:$FZ$601,137,Sync!$D$9)&amp;"",""))</f>
        <v/>
      </c>
      <c r="K3588" s="32" t="s">
        <v>1366</v>
      </c>
    </row>
    <row r="3589" customFormat="false" ht="15" hidden="false" customHeight="false" outlineLevel="0" collapsed="false">
      <c r="A3589" s="23" t="str">
        <f aca="false">IF(B3589="","",B3589+(15*1000+138)/10000000)</f>
        <v/>
      </c>
      <c r="B3589" s="35" t="str">
        <f aca="false">IF(AND(IFERROR(N(INDEX(Clay_Brands!$A$2:$FZ$601,138,Sync!$D$11)),0)&gt;0,IFERROR(INDEX(Clay_Brands!$A$2:$FZ$601,138,Sync!$D$5)&amp;"","")&lt;&gt;"",OR(LEFT(IFERROR(INDEX(Clay_Brands!$A$2:$FZ$601,138,Sync!$D$5)&amp;"",""),6)&lt;&gt;"SAMPLE",Config!$B$19="Y")),IFERROR(N(INDEX(Clay_Brands!$A$2:$FZ$601,138,Sync!$D$11)),0),"")</f>
        <v/>
      </c>
      <c r="C3589" s="23" t="str">
        <f aca="false">IF(B3589="","","brand")</f>
        <v/>
      </c>
      <c r="D3589" s="23" t="str">
        <f aca="false">IF(B3589="","",IFERROR(INDEX(Brand_Log!$DV$2:$DV$201,MATCH(IFERROR(INDEX(Clay_Brands!$A$2:$FZ$601,138,Sync!$D$5)&amp;"",""),Brand_Log!$A$2:$A$201,0))&amp;"",IFERROR(INDEX(Clay_Brands!$A$2:$FZ$601,138,Sync!$D$5)&amp;"","")&amp;""))</f>
        <v/>
      </c>
      <c r="E3589" s="23" t="str">
        <f aca="false">IF(B3589="","",IFERROR(INDEX(Clay_Brands!$A$2:$FZ$601,138,Sync!$D$6)&amp;"",""))</f>
        <v/>
      </c>
      <c r="F3589" s="23" t="str">
        <f aca="false">IF(B3589="","","outreach_sent")</f>
        <v/>
      </c>
      <c r="G3589" s="23" t="str">
        <f aca="false">IF(B3589="","","")</f>
        <v/>
      </c>
      <c r="H3589" s="23" t="str">
        <f aca="false">IF(B3589="","","")</f>
        <v/>
      </c>
      <c r="I3589" s="23" t="str">
        <f aca="false">IF(B3589="","","")</f>
        <v/>
      </c>
      <c r="J3589" s="23" t="str">
        <f aca="false">IF(B3589="","","touch_1; "&amp;IFERROR(INDEX(Clay_Brands!$A$2:$FZ$601,138,Sync!$D$10)&amp;"","")&amp;"; "&amp;IFERROR(INDEX(Clay_Brands!$A$2:$FZ$601,138,Sync!$D$9)&amp;"",""))</f>
        <v/>
      </c>
      <c r="K3589" s="32" t="s">
        <v>1366</v>
      </c>
    </row>
    <row r="3590" customFormat="false" ht="15" hidden="false" customHeight="false" outlineLevel="0" collapsed="false">
      <c r="A3590" s="23" t="str">
        <f aca="false">IF(B3590="","",B3590+(15*1000+139)/10000000)</f>
        <v/>
      </c>
      <c r="B3590" s="35" t="str">
        <f aca="false">IF(AND(IFERROR(N(INDEX(Clay_Brands!$A$2:$FZ$601,139,Sync!$D$11)),0)&gt;0,IFERROR(INDEX(Clay_Brands!$A$2:$FZ$601,139,Sync!$D$5)&amp;"","")&lt;&gt;"",OR(LEFT(IFERROR(INDEX(Clay_Brands!$A$2:$FZ$601,139,Sync!$D$5)&amp;"",""),6)&lt;&gt;"SAMPLE",Config!$B$19="Y")),IFERROR(N(INDEX(Clay_Brands!$A$2:$FZ$601,139,Sync!$D$11)),0),"")</f>
        <v/>
      </c>
      <c r="C3590" s="23" t="str">
        <f aca="false">IF(B3590="","","brand")</f>
        <v/>
      </c>
      <c r="D3590" s="23" t="str">
        <f aca="false">IF(B3590="","",IFERROR(INDEX(Brand_Log!$DV$2:$DV$201,MATCH(IFERROR(INDEX(Clay_Brands!$A$2:$FZ$601,139,Sync!$D$5)&amp;"",""),Brand_Log!$A$2:$A$201,0))&amp;"",IFERROR(INDEX(Clay_Brands!$A$2:$FZ$601,139,Sync!$D$5)&amp;"","")&amp;""))</f>
        <v/>
      </c>
      <c r="E3590" s="23" t="str">
        <f aca="false">IF(B3590="","",IFERROR(INDEX(Clay_Brands!$A$2:$FZ$601,139,Sync!$D$6)&amp;"",""))</f>
        <v/>
      </c>
      <c r="F3590" s="23" t="str">
        <f aca="false">IF(B3590="","","outreach_sent")</f>
        <v/>
      </c>
      <c r="G3590" s="23" t="str">
        <f aca="false">IF(B3590="","","")</f>
        <v/>
      </c>
      <c r="H3590" s="23" t="str">
        <f aca="false">IF(B3590="","","")</f>
        <v/>
      </c>
      <c r="I3590" s="23" t="str">
        <f aca="false">IF(B3590="","","")</f>
        <v/>
      </c>
      <c r="J3590" s="23" t="str">
        <f aca="false">IF(B3590="","","touch_1; "&amp;IFERROR(INDEX(Clay_Brands!$A$2:$FZ$601,139,Sync!$D$10)&amp;"","")&amp;"; "&amp;IFERROR(INDEX(Clay_Brands!$A$2:$FZ$601,139,Sync!$D$9)&amp;"",""))</f>
        <v/>
      </c>
      <c r="K3590" s="32" t="s">
        <v>1366</v>
      </c>
    </row>
    <row r="3591" customFormat="false" ht="15" hidden="false" customHeight="false" outlineLevel="0" collapsed="false">
      <c r="A3591" s="23" t="str">
        <f aca="false">IF(B3591="","",B3591+(15*1000+140)/10000000)</f>
        <v/>
      </c>
      <c r="B3591" s="35" t="str">
        <f aca="false">IF(AND(IFERROR(N(INDEX(Clay_Brands!$A$2:$FZ$601,140,Sync!$D$11)),0)&gt;0,IFERROR(INDEX(Clay_Brands!$A$2:$FZ$601,140,Sync!$D$5)&amp;"","")&lt;&gt;"",OR(LEFT(IFERROR(INDEX(Clay_Brands!$A$2:$FZ$601,140,Sync!$D$5)&amp;"",""),6)&lt;&gt;"SAMPLE",Config!$B$19="Y")),IFERROR(N(INDEX(Clay_Brands!$A$2:$FZ$601,140,Sync!$D$11)),0),"")</f>
        <v/>
      </c>
      <c r="C3591" s="23" t="str">
        <f aca="false">IF(B3591="","","brand")</f>
        <v/>
      </c>
      <c r="D3591" s="23" t="str">
        <f aca="false">IF(B3591="","",IFERROR(INDEX(Brand_Log!$DV$2:$DV$201,MATCH(IFERROR(INDEX(Clay_Brands!$A$2:$FZ$601,140,Sync!$D$5)&amp;"",""),Brand_Log!$A$2:$A$201,0))&amp;"",IFERROR(INDEX(Clay_Brands!$A$2:$FZ$601,140,Sync!$D$5)&amp;"","")&amp;""))</f>
        <v/>
      </c>
      <c r="E3591" s="23" t="str">
        <f aca="false">IF(B3591="","",IFERROR(INDEX(Clay_Brands!$A$2:$FZ$601,140,Sync!$D$6)&amp;"",""))</f>
        <v/>
      </c>
      <c r="F3591" s="23" t="str">
        <f aca="false">IF(B3591="","","outreach_sent")</f>
        <v/>
      </c>
      <c r="G3591" s="23" t="str">
        <f aca="false">IF(B3591="","","")</f>
        <v/>
      </c>
      <c r="H3591" s="23" t="str">
        <f aca="false">IF(B3591="","","")</f>
        <v/>
      </c>
      <c r="I3591" s="23" t="str">
        <f aca="false">IF(B3591="","","")</f>
        <v/>
      </c>
      <c r="J3591" s="23" t="str">
        <f aca="false">IF(B3591="","","touch_1; "&amp;IFERROR(INDEX(Clay_Brands!$A$2:$FZ$601,140,Sync!$D$10)&amp;"","")&amp;"; "&amp;IFERROR(INDEX(Clay_Brands!$A$2:$FZ$601,140,Sync!$D$9)&amp;"",""))</f>
        <v/>
      </c>
      <c r="K3591" s="32" t="s">
        <v>1366</v>
      </c>
    </row>
    <row r="3592" customFormat="false" ht="15" hidden="false" customHeight="false" outlineLevel="0" collapsed="false">
      <c r="A3592" s="23" t="str">
        <f aca="false">IF(B3592="","",B3592+(15*1000+141)/10000000)</f>
        <v/>
      </c>
      <c r="B3592" s="35" t="str">
        <f aca="false">IF(AND(IFERROR(N(INDEX(Clay_Brands!$A$2:$FZ$601,141,Sync!$D$11)),0)&gt;0,IFERROR(INDEX(Clay_Brands!$A$2:$FZ$601,141,Sync!$D$5)&amp;"","")&lt;&gt;"",OR(LEFT(IFERROR(INDEX(Clay_Brands!$A$2:$FZ$601,141,Sync!$D$5)&amp;"",""),6)&lt;&gt;"SAMPLE",Config!$B$19="Y")),IFERROR(N(INDEX(Clay_Brands!$A$2:$FZ$601,141,Sync!$D$11)),0),"")</f>
        <v/>
      </c>
      <c r="C3592" s="23" t="str">
        <f aca="false">IF(B3592="","","brand")</f>
        <v/>
      </c>
      <c r="D3592" s="23" t="str">
        <f aca="false">IF(B3592="","",IFERROR(INDEX(Brand_Log!$DV$2:$DV$201,MATCH(IFERROR(INDEX(Clay_Brands!$A$2:$FZ$601,141,Sync!$D$5)&amp;"",""),Brand_Log!$A$2:$A$201,0))&amp;"",IFERROR(INDEX(Clay_Brands!$A$2:$FZ$601,141,Sync!$D$5)&amp;"","")&amp;""))</f>
        <v/>
      </c>
      <c r="E3592" s="23" t="str">
        <f aca="false">IF(B3592="","",IFERROR(INDEX(Clay_Brands!$A$2:$FZ$601,141,Sync!$D$6)&amp;"",""))</f>
        <v/>
      </c>
      <c r="F3592" s="23" t="str">
        <f aca="false">IF(B3592="","","outreach_sent")</f>
        <v/>
      </c>
      <c r="G3592" s="23" t="str">
        <f aca="false">IF(B3592="","","")</f>
        <v/>
      </c>
      <c r="H3592" s="23" t="str">
        <f aca="false">IF(B3592="","","")</f>
        <v/>
      </c>
      <c r="I3592" s="23" t="str">
        <f aca="false">IF(B3592="","","")</f>
        <v/>
      </c>
      <c r="J3592" s="23" t="str">
        <f aca="false">IF(B3592="","","touch_1; "&amp;IFERROR(INDEX(Clay_Brands!$A$2:$FZ$601,141,Sync!$D$10)&amp;"","")&amp;"; "&amp;IFERROR(INDEX(Clay_Brands!$A$2:$FZ$601,141,Sync!$D$9)&amp;"",""))</f>
        <v/>
      </c>
      <c r="K3592" s="32" t="s">
        <v>1366</v>
      </c>
    </row>
    <row r="3593" customFormat="false" ht="15" hidden="false" customHeight="false" outlineLevel="0" collapsed="false">
      <c r="A3593" s="23" t="str">
        <f aca="false">IF(B3593="","",B3593+(15*1000+142)/10000000)</f>
        <v/>
      </c>
      <c r="B3593" s="35" t="str">
        <f aca="false">IF(AND(IFERROR(N(INDEX(Clay_Brands!$A$2:$FZ$601,142,Sync!$D$11)),0)&gt;0,IFERROR(INDEX(Clay_Brands!$A$2:$FZ$601,142,Sync!$D$5)&amp;"","")&lt;&gt;"",OR(LEFT(IFERROR(INDEX(Clay_Brands!$A$2:$FZ$601,142,Sync!$D$5)&amp;"",""),6)&lt;&gt;"SAMPLE",Config!$B$19="Y")),IFERROR(N(INDEX(Clay_Brands!$A$2:$FZ$601,142,Sync!$D$11)),0),"")</f>
        <v/>
      </c>
      <c r="C3593" s="23" t="str">
        <f aca="false">IF(B3593="","","brand")</f>
        <v/>
      </c>
      <c r="D3593" s="23" t="str">
        <f aca="false">IF(B3593="","",IFERROR(INDEX(Brand_Log!$DV$2:$DV$201,MATCH(IFERROR(INDEX(Clay_Brands!$A$2:$FZ$601,142,Sync!$D$5)&amp;"",""),Brand_Log!$A$2:$A$201,0))&amp;"",IFERROR(INDEX(Clay_Brands!$A$2:$FZ$601,142,Sync!$D$5)&amp;"","")&amp;""))</f>
        <v/>
      </c>
      <c r="E3593" s="23" t="str">
        <f aca="false">IF(B3593="","",IFERROR(INDEX(Clay_Brands!$A$2:$FZ$601,142,Sync!$D$6)&amp;"",""))</f>
        <v/>
      </c>
      <c r="F3593" s="23" t="str">
        <f aca="false">IF(B3593="","","outreach_sent")</f>
        <v/>
      </c>
      <c r="G3593" s="23" t="str">
        <f aca="false">IF(B3593="","","")</f>
        <v/>
      </c>
      <c r="H3593" s="23" t="str">
        <f aca="false">IF(B3593="","","")</f>
        <v/>
      </c>
      <c r="I3593" s="23" t="str">
        <f aca="false">IF(B3593="","","")</f>
        <v/>
      </c>
      <c r="J3593" s="23" t="str">
        <f aca="false">IF(B3593="","","touch_1; "&amp;IFERROR(INDEX(Clay_Brands!$A$2:$FZ$601,142,Sync!$D$10)&amp;"","")&amp;"; "&amp;IFERROR(INDEX(Clay_Brands!$A$2:$FZ$601,142,Sync!$D$9)&amp;"",""))</f>
        <v/>
      </c>
      <c r="K3593" s="32" t="s">
        <v>1366</v>
      </c>
    </row>
    <row r="3594" customFormat="false" ht="15" hidden="false" customHeight="false" outlineLevel="0" collapsed="false">
      <c r="A3594" s="23" t="str">
        <f aca="false">IF(B3594="","",B3594+(15*1000+143)/10000000)</f>
        <v/>
      </c>
      <c r="B3594" s="35" t="str">
        <f aca="false">IF(AND(IFERROR(N(INDEX(Clay_Brands!$A$2:$FZ$601,143,Sync!$D$11)),0)&gt;0,IFERROR(INDEX(Clay_Brands!$A$2:$FZ$601,143,Sync!$D$5)&amp;"","")&lt;&gt;"",OR(LEFT(IFERROR(INDEX(Clay_Brands!$A$2:$FZ$601,143,Sync!$D$5)&amp;"",""),6)&lt;&gt;"SAMPLE",Config!$B$19="Y")),IFERROR(N(INDEX(Clay_Brands!$A$2:$FZ$601,143,Sync!$D$11)),0),"")</f>
        <v/>
      </c>
      <c r="C3594" s="23" t="str">
        <f aca="false">IF(B3594="","","brand")</f>
        <v/>
      </c>
      <c r="D3594" s="23" t="str">
        <f aca="false">IF(B3594="","",IFERROR(INDEX(Brand_Log!$DV$2:$DV$201,MATCH(IFERROR(INDEX(Clay_Brands!$A$2:$FZ$601,143,Sync!$D$5)&amp;"",""),Brand_Log!$A$2:$A$201,0))&amp;"",IFERROR(INDEX(Clay_Brands!$A$2:$FZ$601,143,Sync!$D$5)&amp;"","")&amp;""))</f>
        <v/>
      </c>
      <c r="E3594" s="23" t="str">
        <f aca="false">IF(B3594="","",IFERROR(INDEX(Clay_Brands!$A$2:$FZ$601,143,Sync!$D$6)&amp;"",""))</f>
        <v/>
      </c>
      <c r="F3594" s="23" t="str">
        <f aca="false">IF(B3594="","","outreach_sent")</f>
        <v/>
      </c>
      <c r="G3594" s="23" t="str">
        <f aca="false">IF(B3594="","","")</f>
        <v/>
      </c>
      <c r="H3594" s="23" t="str">
        <f aca="false">IF(B3594="","","")</f>
        <v/>
      </c>
      <c r="I3594" s="23" t="str">
        <f aca="false">IF(B3594="","","")</f>
        <v/>
      </c>
      <c r="J3594" s="23" t="str">
        <f aca="false">IF(B3594="","","touch_1; "&amp;IFERROR(INDEX(Clay_Brands!$A$2:$FZ$601,143,Sync!$D$10)&amp;"","")&amp;"; "&amp;IFERROR(INDEX(Clay_Brands!$A$2:$FZ$601,143,Sync!$D$9)&amp;"",""))</f>
        <v/>
      </c>
      <c r="K3594" s="32" t="s">
        <v>1366</v>
      </c>
    </row>
    <row r="3595" customFormat="false" ht="15" hidden="false" customHeight="false" outlineLevel="0" collapsed="false">
      <c r="A3595" s="23" t="str">
        <f aca="false">IF(B3595="","",B3595+(15*1000+144)/10000000)</f>
        <v/>
      </c>
      <c r="B3595" s="35" t="str">
        <f aca="false">IF(AND(IFERROR(N(INDEX(Clay_Brands!$A$2:$FZ$601,144,Sync!$D$11)),0)&gt;0,IFERROR(INDEX(Clay_Brands!$A$2:$FZ$601,144,Sync!$D$5)&amp;"","")&lt;&gt;"",OR(LEFT(IFERROR(INDEX(Clay_Brands!$A$2:$FZ$601,144,Sync!$D$5)&amp;"",""),6)&lt;&gt;"SAMPLE",Config!$B$19="Y")),IFERROR(N(INDEX(Clay_Brands!$A$2:$FZ$601,144,Sync!$D$11)),0),"")</f>
        <v/>
      </c>
      <c r="C3595" s="23" t="str">
        <f aca="false">IF(B3595="","","brand")</f>
        <v/>
      </c>
      <c r="D3595" s="23" t="str">
        <f aca="false">IF(B3595="","",IFERROR(INDEX(Brand_Log!$DV$2:$DV$201,MATCH(IFERROR(INDEX(Clay_Brands!$A$2:$FZ$601,144,Sync!$D$5)&amp;"",""),Brand_Log!$A$2:$A$201,0))&amp;"",IFERROR(INDEX(Clay_Brands!$A$2:$FZ$601,144,Sync!$D$5)&amp;"","")&amp;""))</f>
        <v/>
      </c>
      <c r="E3595" s="23" t="str">
        <f aca="false">IF(B3595="","",IFERROR(INDEX(Clay_Brands!$A$2:$FZ$601,144,Sync!$D$6)&amp;"",""))</f>
        <v/>
      </c>
      <c r="F3595" s="23" t="str">
        <f aca="false">IF(B3595="","","outreach_sent")</f>
        <v/>
      </c>
      <c r="G3595" s="23" t="str">
        <f aca="false">IF(B3595="","","")</f>
        <v/>
      </c>
      <c r="H3595" s="23" t="str">
        <f aca="false">IF(B3595="","","")</f>
        <v/>
      </c>
      <c r="I3595" s="23" t="str">
        <f aca="false">IF(B3595="","","")</f>
        <v/>
      </c>
      <c r="J3595" s="23" t="str">
        <f aca="false">IF(B3595="","","touch_1; "&amp;IFERROR(INDEX(Clay_Brands!$A$2:$FZ$601,144,Sync!$D$10)&amp;"","")&amp;"; "&amp;IFERROR(INDEX(Clay_Brands!$A$2:$FZ$601,144,Sync!$D$9)&amp;"",""))</f>
        <v/>
      </c>
      <c r="K3595" s="32" t="s">
        <v>1366</v>
      </c>
    </row>
    <row r="3596" customFormat="false" ht="15" hidden="false" customHeight="false" outlineLevel="0" collapsed="false">
      <c r="A3596" s="23" t="str">
        <f aca="false">IF(B3596="","",B3596+(15*1000+145)/10000000)</f>
        <v/>
      </c>
      <c r="B3596" s="35" t="str">
        <f aca="false">IF(AND(IFERROR(N(INDEX(Clay_Brands!$A$2:$FZ$601,145,Sync!$D$11)),0)&gt;0,IFERROR(INDEX(Clay_Brands!$A$2:$FZ$601,145,Sync!$D$5)&amp;"","")&lt;&gt;"",OR(LEFT(IFERROR(INDEX(Clay_Brands!$A$2:$FZ$601,145,Sync!$D$5)&amp;"",""),6)&lt;&gt;"SAMPLE",Config!$B$19="Y")),IFERROR(N(INDEX(Clay_Brands!$A$2:$FZ$601,145,Sync!$D$11)),0),"")</f>
        <v/>
      </c>
      <c r="C3596" s="23" t="str">
        <f aca="false">IF(B3596="","","brand")</f>
        <v/>
      </c>
      <c r="D3596" s="23" t="str">
        <f aca="false">IF(B3596="","",IFERROR(INDEX(Brand_Log!$DV$2:$DV$201,MATCH(IFERROR(INDEX(Clay_Brands!$A$2:$FZ$601,145,Sync!$D$5)&amp;"",""),Brand_Log!$A$2:$A$201,0))&amp;"",IFERROR(INDEX(Clay_Brands!$A$2:$FZ$601,145,Sync!$D$5)&amp;"","")&amp;""))</f>
        <v/>
      </c>
      <c r="E3596" s="23" t="str">
        <f aca="false">IF(B3596="","",IFERROR(INDEX(Clay_Brands!$A$2:$FZ$601,145,Sync!$D$6)&amp;"",""))</f>
        <v/>
      </c>
      <c r="F3596" s="23" t="str">
        <f aca="false">IF(B3596="","","outreach_sent")</f>
        <v/>
      </c>
      <c r="G3596" s="23" t="str">
        <f aca="false">IF(B3596="","","")</f>
        <v/>
      </c>
      <c r="H3596" s="23" t="str">
        <f aca="false">IF(B3596="","","")</f>
        <v/>
      </c>
      <c r="I3596" s="23" t="str">
        <f aca="false">IF(B3596="","","")</f>
        <v/>
      </c>
      <c r="J3596" s="23" t="str">
        <f aca="false">IF(B3596="","","touch_1; "&amp;IFERROR(INDEX(Clay_Brands!$A$2:$FZ$601,145,Sync!$D$10)&amp;"","")&amp;"; "&amp;IFERROR(INDEX(Clay_Brands!$A$2:$FZ$601,145,Sync!$D$9)&amp;"",""))</f>
        <v/>
      </c>
      <c r="K3596" s="32" t="s">
        <v>1366</v>
      </c>
    </row>
    <row r="3597" customFormat="false" ht="15" hidden="false" customHeight="false" outlineLevel="0" collapsed="false">
      <c r="A3597" s="23" t="str">
        <f aca="false">IF(B3597="","",B3597+(15*1000+146)/10000000)</f>
        <v/>
      </c>
      <c r="B3597" s="35" t="str">
        <f aca="false">IF(AND(IFERROR(N(INDEX(Clay_Brands!$A$2:$FZ$601,146,Sync!$D$11)),0)&gt;0,IFERROR(INDEX(Clay_Brands!$A$2:$FZ$601,146,Sync!$D$5)&amp;"","")&lt;&gt;"",OR(LEFT(IFERROR(INDEX(Clay_Brands!$A$2:$FZ$601,146,Sync!$D$5)&amp;"",""),6)&lt;&gt;"SAMPLE",Config!$B$19="Y")),IFERROR(N(INDEX(Clay_Brands!$A$2:$FZ$601,146,Sync!$D$11)),0),"")</f>
        <v/>
      </c>
      <c r="C3597" s="23" t="str">
        <f aca="false">IF(B3597="","","brand")</f>
        <v/>
      </c>
      <c r="D3597" s="23" t="str">
        <f aca="false">IF(B3597="","",IFERROR(INDEX(Brand_Log!$DV$2:$DV$201,MATCH(IFERROR(INDEX(Clay_Brands!$A$2:$FZ$601,146,Sync!$D$5)&amp;"",""),Brand_Log!$A$2:$A$201,0))&amp;"",IFERROR(INDEX(Clay_Brands!$A$2:$FZ$601,146,Sync!$D$5)&amp;"","")&amp;""))</f>
        <v/>
      </c>
      <c r="E3597" s="23" t="str">
        <f aca="false">IF(B3597="","",IFERROR(INDEX(Clay_Brands!$A$2:$FZ$601,146,Sync!$D$6)&amp;"",""))</f>
        <v/>
      </c>
      <c r="F3597" s="23" t="str">
        <f aca="false">IF(B3597="","","outreach_sent")</f>
        <v/>
      </c>
      <c r="G3597" s="23" t="str">
        <f aca="false">IF(B3597="","","")</f>
        <v/>
      </c>
      <c r="H3597" s="23" t="str">
        <f aca="false">IF(B3597="","","")</f>
        <v/>
      </c>
      <c r="I3597" s="23" t="str">
        <f aca="false">IF(B3597="","","")</f>
        <v/>
      </c>
      <c r="J3597" s="23" t="str">
        <f aca="false">IF(B3597="","","touch_1; "&amp;IFERROR(INDEX(Clay_Brands!$A$2:$FZ$601,146,Sync!$D$10)&amp;"","")&amp;"; "&amp;IFERROR(INDEX(Clay_Brands!$A$2:$FZ$601,146,Sync!$D$9)&amp;"",""))</f>
        <v/>
      </c>
      <c r="K3597" s="32" t="s">
        <v>1366</v>
      </c>
    </row>
    <row r="3598" customFormat="false" ht="15" hidden="false" customHeight="false" outlineLevel="0" collapsed="false">
      <c r="A3598" s="23" t="str">
        <f aca="false">IF(B3598="","",B3598+(15*1000+147)/10000000)</f>
        <v/>
      </c>
      <c r="B3598" s="35" t="str">
        <f aca="false">IF(AND(IFERROR(N(INDEX(Clay_Brands!$A$2:$FZ$601,147,Sync!$D$11)),0)&gt;0,IFERROR(INDEX(Clay_Brands!$A$2:$FZ$601,147,Sync!$D$5)&amp;"","")&lt;&gt;"",OR(LEFT(IFERROR(INDEX(Clay_Brands!$A$2:$FZ$601,147,Sync!$D$5)&amp;"",""),6)&lt;&gt;"SAMPLE",Config!$B$19="Y")),IFERROR(N(INDEX(Clay_Brands!$A$2:$FZ$601,147,Sync!$D$11)),0),"")</f>
        <v/>
      </c>
      <c r="C3598" s="23" t="str">
        <f aca="false">IF(B3598="","","brand")</f>
        <v/>
      </c>
      <c r="D3598" s="23" t="str">
        <f aca="false">IF(B3598="","",IFERROR(INDEX(Brand_Log!$DV$2:$DV$201,MATCH(IFERROR(INDEX(Clay_Brands!$A$2:$FZ$601,147,Sync!$D$5)&amp;"",""),Brand_Log!$A$2:$A$201,0))&amp;"",IFERROR(INDEX(Clay_Brands!$A$2:$FZ$601,147,Sync!$D$5)&amp;"","")&amp;""))</f>
        <v/>
      </c>
      <c r="E3598" s="23" t="str">
        <f aca="false">IF(B3598="","",IFERROR(INDEX(Clay_Brands!$A$2:$FZ$601,147,Sync!$D$6)&amp;"",""))</f>
        <v/>
      </c>
      <c r="F3598" s="23" t="str">
        <f aca="false">IF(B3598="","","outreach_sent")</f>
        <v/>
      </c>
      <c r="G3598" s="23" t="str">
        <f aca="false">IF(B3598="","","")</f>
        <v/>
      </c>
      <c r="H3598" s="23" t="str">
        <f aca="false">IF(B3598="","","")</f>
        <v/>
      </c>
      <c r="I3598" s="23" t="str">
        <f aca="false">IF(B3598="","","")</f>
        <v/>
      </c>
      <c r="J3598" s="23" t="str">
        <f aca="false">IF(B3598="","","touch_1; "&amp;IFERROR(INDEX(Clay_Brands!$A$2:$FZ$601,147,Sync!$D$10)&amp;"","")&amp;"; "&amp;IFERROR(INDEX(Clay_Brands!$A$2:$FZ$601,147,Sync!$D$9)&amp;"",""))</f>
        <v/>
      </c>
      <c r="K3598" s="32" t="s">
        <v>1366</v>
      </c>
    </row>
    <row r="3599" customFormat="false" ht="15" hidden="false" customHeight="false" outlineLevel="0" collapsed="false">
      <c r="A3599" s="23" t="str">
        <f aca="false">IF(B3599="","",B3599+(15*1000+148)/10000000)</f>
        <v/>
      </c>
      <c r="B3599" s="35" t="str">
        <f aca="false">IF(AND(IFERROR(N(INDEX(Clay_Brands!$A$2:$FZ$601,148,Sync!$D$11)),0)&gt;0,IFERROR(INDEX(Clay_Brands!$A$2:$FZ$601,148,Sync!$D$5)&amp;"","")&lt;&gt;"",OR(LEFT(IFERROR(INDEX(Clay_Brands!$A$2:$FZ$601,148,Sync!$D$5)&amp;"",""),6)&lt;&gt;"SAMPLE",Config!$B$19="Y")),IFERROR(N(INDEX(Clay_Brands!$A$2:$FZ$601,148,Sync!$D$11)),0),"")</f>
        <v/>
      </c>
      <c r="C3599" s="23" t="str">
        <f aca="false">IF(B3599="","","brand")</f>
        <v/>
      </c>
      <c r="D3599" s="23" t="str">
        <f aca="false">IF(B3599="","",IFERROR(INDEX(Brand_Log!$DV$2:$DV$201,MATCH(IFERROR(INDEX(Clay_Brands!$A$2:$FZ$601,148,Sync!$D$5)&amp;"",""),Brand_Log!$A$2:$A$201,0))&amp;"",IFERROR(INDEX(Clay_Brands!$A$2:$FZ$601,148,Sync!$D$5)&amp;"","")&amp;""))</f>
        <v/>
      </c>
      <c r="E3599" s="23" t="str">
        <f aca="false">IF(B3599="","",IFERROR(INDEX(Clay_Brands!$A$2:$FZ$601,148,Sync!$D$6)&amp;"",""))</f>
        <v/>
      </c>
      <c r="F3599" s="23" t="str">
        <f aca="false">IF(B3599="","","outreach_sent")</f>
        <v/>
      </c>
      <c r="G3599" s="23" t="str">
        <f aca="false">IF(B3599="","","")</f>
        <v/>
      </c>
      <c r="H3599" s="23" t="str">
        <f aca="false">IF(B3599="","","")</f>
        <v/>
      </c>
      <c r="I3599" s="23" t="str">
        <f aca="false">IF(B3599="","","")</f>
        <v/>
      </c>
      <c r="J3599" s="23" t="str">
        <f aca="false">IF(B3599="","","touch_1; "&amp;IFERROR(INDEX(Clay_Brands!$A$2:$FZ$601,148,Sync!$D$10)&amp;"","")&amp;"; "&amp;IFERROR(INDEX(Clay_Brands!$A$2:$FZ$601,148,Sync!$D$9)&amp;"",""))</f>
        <v/>
      </c>
      <c r="K3599" s="32" t="s">
        <v>1366</v>
      </c>
    </row>
    <row r="3600" customFormat="false" ht="15" hidden="false" customHeight="false" outlineLevel="0" collapsed="false">
      <c r="A3600" s="23" t="str">
        <f aca="false">IF(B3600="","",B3600+(15*1000+149)/10000000)</f>
        <v/>
      </c>
      <c r="B3600" s="35" t="str">
        <f aca="false">IF(AND(IFERROR(N(INDEX(Clay_Brands!$A$2:$FZ$601,149,Sync!$D$11)),0)&gt;0,IFERROR(INDEX(Clay_Brands!$A$2:$FZ$601,149,Sync!$D$5)&amp;"","")&lt;&gt;"",OR(LEFT(IFERROR(INDEX(Clay_Brands!$A$2:$FZ$601,149,Sync!$D$5)&amp;"",""),6)&lt;&gt;"SAMPLE",Config!$B$19="Y")),IFERROR(N(INDEX(Clay_Brands!$A$2:$FZ$601,149,Sync!$D$11)),0),"")</f>
        <v/>
      </c>
      <c r="C3600" s="23" t="str">
        <f aca="false">IF(B3600="","","brand")</f>
        <v/>
      </c>
      <c r="D3600" s="23" t="str">
        <f aca="false">IF(B3600="","",IFERROR(INDEX(Brand_Log!$DV$2:$DV$201,MATCH(IFERROR(INDEX(Clay_Brands!$A$2:$FZ$601,149,Sync!$D$5)&amp;"",""),Brand_Log!$A$2:$A$201,0))&amp;"",IFERROR(INDEX(Clay_Brands!$A$2:$FZ$601,149,Sync!$D$5)&amp;"","")&amp;""))</f>
        <v/>
      </c>
      <c r="E3600" s="23" t="str">
        <f aca="false">IF(B3600="","",IFERROR(INDEX(Clay_Brands!$A$2:$FZ$601,149,Sync!$D$6)&amp;"",""))</f>
        <v/>
      </c>
      <c r="F3600" s="23" t="str">
        <f aca="false">IF(B3600="","","outreach_sent")</f>
        <v/>
      </c>
      <c r="G3600" s="23" t="str">
        <f aca="false">IF(B3600="","","")</f>
        <v/>
      </c>
      <c r="H3600" s="23" t="str">
        <f aca="false">IF(B3600="","","")</f>
        <v/>
      </c>
      <c r="I3600" s="23" t="str">
        <f aca="false">IF(B3600="","","")</f>
        <v/>
      </c>
      <c r="J3600" s="23" t="str">
        <f aca="false">IF(B3600="","","touch_1; "&amp;IFERROR(INDEX(Clay_Brands!$A$2:$FZ$601,149,Sync!$D$10)&amp;"","")&amp;"; "&amp;IFERROR(INDEX(Clay_Brands!$A$2:$FZ$601,149,Sync!$D$9)&amp;"",""))</f>
        <v/>
      </c>
      <c r="K3600" s="32" t="s">
        <v>1366</v>
      </c>
    </row>
    <row r="3601" customFormat="false" ht="15" hidden="false" customHeight="false" outlineLevel="0" collapsed="false">
      <c r="A3601" s="23" t="str">
        <f aca="false">IF(B3601="","",B3601+(15*1000+150)/10000000)</f>
        <v/>
      </c>
      <c r="B3601" s="35" t="str">
        <f aca="false">IF(AND(IFERROR(N(INDEX(Clay_Brands!$A$2:$FZ$601,150,Sync!$D$11)),0)&gt;0,IFERROR(INDEX(Clay_Brands!$A$2:$FZ$601,150,Sync!$D$5)&amp;"","")&lt;&gt;"",OR(LEFT(IFERROR(INDEX(Clay_Brands!$A$2:$FZ$601,150,Sync!$D$5)&amp;"",""),6)&lt;&gt;"SAMPLE",Config!$B$19="Y")),IFERROR(N(INDEX(Clay_Brands!$A$2:$FZ$601,150,Sync!$D$11)),0),"")</f>
        <v/>
      </c>
      <c r="C3601" s="23" t="str">
        <f aca="false">IF(B3601="","","brand")</f>
        <v/>
      </c>
      <c r="D3601" s="23" t="str">
        <f aca="false">IF(B3601="","",IFERROR(INDEX(Brand_Log!$DV$2:$DV$201,MATCH(IFERROR(INDEX(Clay_Brands!$A$2:$FZ$601,150,Sync!$D$5)&amp;"",""),Brand_Log!$A$2:$A$201,0))&amp;"",IFERROR(INDEX(Clay_Brands!$A$2:$FZ$601,150,Sync!$D$5)&amp;"","")&amp;""))</f>
        <v/>
      </c>
      <c r="E3601" s="23" t="str">
        <f aca="false">IF(B3601="","",IFERROR(INDEX(Clay_Brands!$A$2:$FZ$601,150,Sync!$D$6)&amp;"",""))</f>
        <v/>
      </c>
      <c r="F3601" s="23" t="str">
        <f aca="false">IF(B3601="","","outreach_sent")</f>
        <v/>
      </c>
      <c r="G3601" s="23" t="str">
        <f aca="false">IF(B3601="","","")</f>
        <v/>
      </c>
      <c r="H3601" s="23" t="str">
        <f aca="false">IF(B3601="","","")</f>
        <v/>
      </c>
      <c r="I3601" s="23" t="str">
        <f aca="false">IF(B3601="","","")</f>
        <v/>
      </c>
      <c r="J3601" s="23" t="str">
        <f aca="false">IF(B3601="","","touch_1; "&amp;IFERROR(INDEX(Clay_Brands!$A$2:$FZ$601,150,Sync!$D$10)&amp;"","")&amp;"; "&amp;IFERROR(INDEX(Clay_Brands!$A$2:$FZ$601,150,Sync!$D$9)&amp;"",""))</f>
        <v/>
      </c>
      <c r="K3601" s="32" t="s">
        <v>1366</v>
      </c>
    </row>
    <row r="3602" customFormat="false" ht="15" hidden="false" customHeight="false" outlineLevel="0" collapsed="false">
      <c r="A3602" s="23" t="str">
        <f aca="false">IF(B3602="","",B3602+(15*1000+151)/10000000)</f>
        <v/>
      </c>
      <c r="B3602" s="35" t="str">
        <f aca="false">IF(AND(IFERROR(N(INDEX(Clay_Brands!$A$2:$FZ$601,151,Sync!$D$11)),0)&gt;0,IFERROR(INDEX(Clay_Brands!$A$2:$FZ$601,151,Sync!$D$5)&amp;"","")&lt;&gt;"",OR(LEFT(IFERROR(INDEX(Clay_Brands!$A$2:$FZ$601,151,Sync!$D$5)&amp;"",""),6)&lt;&gt;"SAMPLE",Config!$B$19="Y")),IFERROR(N(INDEX(Clay_Brands!$A$2:$FZ$601,151,Sync!$D$11)),0),"")</f>
        <v/>
      </c>
      <c r="C3602" s="23" t="str">
        <f aca="false">IF(B3602="","","brand")</f>
        <v/>
      </c>
      <c r="D3602" s="23" t="str">
        <f aca="false">IF(B3602="","",IFERROR(INDEX(Brand_Log!$DV$2:$DV$201,MATCH(IFERROR(INDEX(Clay_Brands!$A$2:$FZ$601,151,Sync!$D$5)&amp;"",""),Brand_Log!$A$2:$A$201,0))&amp;"",IFERROR(INDEX(Clay_Brands!$A$2:$FZ$601,151,Sync!$D$5)&amp;"","")&amp;""))</f>
        <v/>
      </c>
      <c r="E3602" s="23" t="str">
        <f aca="false">IF(B3602="","",IFERROR(INDEX(Clay_Brands!$A$2:$FZ$601,151,Sync!$D$6)&amp;"",""))</f>
        <v/>
      </c>
      <c r="F3602" s="23" t="str">
        <f aca="false">IF(B3602="","","outreach_sent")</f>
        <v/>
      </c>
      <c r="G3602" s="23" t="str">
        <f aca="false">IF(B3602="","","")</f>
        <v/>
      </c>
      <c r="H3602" s="23" t="str">
        <f aca="false">IF(B3602="","","")</f>
        <v/>
      </c>
      <c r="I3602" s="23" t="str">
        <f aca="false">IF(B3602="","","")</f>
        <v/>
      </c>
      <c r="J3602" s="23" t="str">
        <f aca="false">IF(B3602="","","touch_1; "&amp;IFERROR(INDEX(Clay_Brands!$A$2:$FZ$601,151,Sync!$D$10)&amp;"","")&amp;"; "&amp;IFERROR(INDEX(Clay_Brands!$A$2:$FZ$601,151,Sync!$D$9)&amp;"",""))</f>
        <v/>
      </c>
      <c r="K3602" s="32" t="s">
        <v>1366</v>
      </c>
    </row>
    <row r="3603" customFormat="false" ht="15" hidden="false" customHeight="false" outlineLevel="0" collapsed="false">
      <c r="A3603" s="23" t="str">
        <f aca="false">IF(B3603="","",B3603+(15*1000+152)/10000000)</f>
        <v/>
      </c>
      <c r="B3603" s="35" t="str">
        <f aca="false">IF(AND(IFERROR(N(INDEX(Clay_Brands!$A$2:$FZ$601,152,Sync!$D$11)),0)&gt;0,IFERROR(INDEX(Clay_Brands!$A$2:$FZ$601,152,Sync!$D$5)&amp;"","")&lt;&gt;"",OR(LEFT(IFERROR(INDEX(Clay_Brands!$A$2:$FZ$601,152,Sync!$D$5)&amp;"",""),6)&lt;&gt;"SAMPLE",Config!$B$19="Y")),IFERROR(N(INDEX(Clay_Brands!$A$2:$FZ$601,152,Sync!$D$11)),0),"")</f>
        <v/>
      </c>
      <c r="C3603" s="23" t="str">
        <f aca="false">IF(B3603="","","brand")</f>
        <v/>
      </c>
      <c r="D3603" s="23" t="str">
        <f aca="false">IF(B3603="","",IFERROR(INDEX(Brand_Log!$DV$2:$DV$201,MATCH(IFERROR(INDEX(Clay_Brands!$A$2:$FZ$601,152,Sync!$D$5)&amp;"",""),Brand_Log!$A$2:$A$201,0))&amp;"",IFERROR(INDEX(Clay_Brands!$A$2:$FZ$601,152,Sync!$D$5)&amp;"","")&amp;""))</f>
        <v/>
      </c>
      <c r="E3603" s="23" t="str">
        <f aca="false">IF(B3603="","",IFERROR(INDEX(Clay_Brands!$A$2:$FZ$601,152,Sync!$D$6)&amp;"",""))</f>
        <v/>
      </c>
      <c r="F3603" s="23" t="str">
        <f aca="false">IF(B3603="","","outreach_sent")</f>
        <v/>
      </c>
      <c r="G3603" s="23" t="str">
        <f aca="false">IF(B3603="","","")</f>
        <v/>
      </c>
      <c r="H3603" s="23" t="str">
        <f aca="false">IF(B3603="","","")</f>
        <v/>
      </c>
      <c r="I3603" s="23" t="str">
        <f aca="false">IF(B3603="","","")</f>
        <v/>
      </c>
      <c r="J3603" s="23" t="str">
        <f aca="false">IF(B3603="","","touch_1; "&amp;IFERROR(INDEX(Clay_Brands!$A$2:$FZ$601,152,Sync!$D$10)&amp;"","")&amp;"; "&amp;IFERROR(INDEX(Clay_Brands!$A$2:$FZ$601,152,Sync!$D$9)&amp;"",""))</f>
        <v/>
      </c>
      <c r="K3603" s="32" t="s">
        <v>1366</v>
      </c>
    </row>
    <row r="3604" customFormat="false" ht="15" hidden="false" customHeight="false" outlineLevel="0" collapsed="false">
      <c r="A3604" s="23" t="str">
        <f aca="false">IF(B3604="","",B3604+(15*1000+153)/10000000)</f>
        <v/>
      </c>
      <c r="B3604" s="35" t="str">
        <f aca="false">IF(AND(IFERROR(N(INDEX(Clay_Brands!$A$2:$FZ$601,153,Sync!$D$11)),0)&gt;0,IFERROR(INDEX(Clay_Brands!$A$2:$FZ$601,153,Sync!$D$5)&amp;"","")&lt;&gt;"",OR(LEFT(IFERROR(INDEX(Clay_Brands!$A$2:$FZ$601,153,Sync!$D$5)&amp;"",""),6)&lt;&gt;"SAMPLE",Config!$B$19="Y")),IFERROR(N(INDEX(Clay_Brands!$A$2:$FZ$601,153,Sync!$D$11)),0),"")</f>
        <v/>
      </c>
      <c r="C3604" s="23" t="str">
        <f aca="false">IF(B3604="","","brand")</f>
        <v/>
      </c>
      <c r="D3604" s="23" t="str">
        <f aca="false">IF(B3604="","",IFERROR(INDEX(Brand_Log!$DV$2:$DV$201,MATCH(IFERROR(INDEX(Clay_Brands!$A$2:$FZ$601,153,Sync!$D$5)&amp;"",""),Brand_Log!$A$2:$A$201,0))&amp;"",IFERROR(INDEX(Clay_Brands!$A$2:$FZ$601,153,Sync!$D$5)&amp;"","")&amp;""))</f>
        <v/>
      </c>
      <c r="E3604" s="23" t="str">
        <f aca="false">IF(B3604="","",IFERROR(INDEX(Clay_Brands!$A$2:$FZ$601,153,Sync!$D$6)&amp;"",""))</f>
        <v/>
      </c>
      <c r="F3604" s="23" t="str">
        <f aca="false">IF(B3604="","","outreach_sent")</f>
        <v/>
      </c>
      <c r="G3604" s="23" t="str">
        <f aca="false">IF(B3604="","","")</f>
        <v/>
      </c>
      <c r="H3604" s="23" t="str">
        <f aca="false">IF(B3604="","","")</f>
        <v/>
      </c>
      <c r="I3604" s="23" t="str">
        <f aca="false">IF(B3604="","","")</f>
        <v/>
      </c>
      <c r="J3604" s="23" t="str">
        <f aca="false">IF(B3604="","","touch_1; "&amp;IFERROR(INDEX(Clay_Brands!$A$2:$FZ$601,153,Sync!$D$10)&amp;"","")&amp;"; "&amp;IFERROR(INDEX(Clay_Brands!$A$2:$FZ$601,153,Sync!$D$9)&amp;"",""))</f>
        <v/>
      </c>
      <c r="K3604" s="32" t="s">
        <v>1366</v>
      </c>
    </row>
    <row r="3605" customFormat="false" ht="15" hidden="false" customHeight="false" outlineLevel="0" collapsed="false">
      <c r="A3605" s="23" t="str">
        <f aca="false">IF(B3605="","",B3605+(15*1000+154)/10000000)</f>
        <v/>
      </c>
      <c r="B3605" s="35" t="str">
        <f aca="false">IF(AND(IFERROR(N(INDEX(Clay_Brands!$A$2:$FZ$601,154,Sync!$D$11)),0)&gt;0,IFERROR(INDEX(Clay_Brands!$A$2:$FZ$601,154,Sync!$D$5)&amp;"","")&lt;&gt;"",OR(LEFT(IFERROR(INDEX(Clay_Brands!$A$2:$FZ$601,154,Sync!$D$5)&amp;"",""),6)&lt;&gt;"SAMPLE",Config!$B$19="Y")),IFERROR(N(INDEX(Clay_Brands!$A$2:$FZ$601,154,Sync!$D$11)),0),"")</f>
        <v/>
      </c>
      <c r="C3605" s="23" t="str">
        <f aca="false">IF(B3605="","","brand")</f>
        <v/>
      </c>
      <c r="D3605" s="23" t="str">
        <f aca="false">IF(B3605="","",IFERROR(INDEX(Brand_Log!$DV$2:$DV$201,MATCH(IFERROR(INDEX(Clay_Brands!$A$2:$FZ$601,154,Sync!$D$5)&amp;"",""),Brand_Log!$A$2:$A$201,0))&amp;"",IFERROR(INDEX(Clay_Brands!$A$2:$FZ$601,154,Sync!$D$5)&amp;"","")&amp;""))</f>
        <v/>
      </c>
      <c r="E3605" s="23" t="str">
        <f aca="false">IF(B3605="","",IFERROR(INDEX(Clay_Brands!$A$2:$FZ$601,154,Sync!$D$6)&amp;"",""))</f>
        <v/>
      </c>
      <c r="F3605" s="23" t="str">
        <f aca="false">IF(B3605="","","outreach_sent")</f>
        <v/>
      </c>
      <c r="G3605" s="23" t="str">
        <f aca="false">IF(B3605="","","")</f>
        <v/>
      </c>
      <c r="H3605" s="23" t="str">
        <f aca="false">IF(B3605="","","")</f>
        <v/>
      </c>
      <c r="I3605" s="23" t="str">
        <f aca="false">IF(B3605="","","")</f>
        <v/>
      </c>
      <c r="J3605" s="23" t="str">
        <f aca="false">IF(B3605="","","touch_1; "&amp;IFERROR(INDEX(Clay_Brands!$A$2:$FZ$601,154,Sync!$D$10)&amp;"","")&amp;"; "&amp;IFERROR(INDEX(Clay_Brands!$A$2:$FZ$601,154,Sync!$D$9)&amp;"",""))</f>
        <v/>
      </c>
      <c r="K3605" s="32" t="s">
        <v>1366</v>
      </c>
    </row>
    <row r="3606" customFormat="false" ht="15" hidden="false" customHeight="false" outlineLevel="0" collapsed="false">
      <c r="A3606" s="23" t="str">
        <f aca="false">IF(B3606="","",B3606+(15*1000+155)/10000000)</f>
        <v/>
      </c>
      <c r="B3606" s="35" t="str">
        <f aca="false">IF(AND(IFERROR(N(INDEX(Clay_Brands!$A$2:$FZ$601,155,Sync!$D$11)),0)&gt;0,IFERROR(INDEX(Clay_Brands!$A$2:$FZ$601,155,Sync!$D$5)&amp;"","")&lt;&gt;"",OR(LEFT(IFERROR(INDEX(Clay_Brands!$A$2:$FZ$601,155,Sync!$D$5)&amp;"",""),6)&lt;&gt;"SAMPLE",Config!$B$19="Y")),IFERROR(N(INDEX(Clay_Brands!$A$2:$FZ$601,155,Sync!$D$11)),0),"")</f>
        <v/>
      </c>
      <c r="C3606" s="23" t="str">
        <f aca="false">IF(B3606="","","brand")</f>
        <v/>
      </c>
      <c r="D3606" s="23" t="str">
        <f aca="false">IF(B3606="","",IFERROR(INDEX(Brand_Log!$DV$2:$DV$201,MATCH(IFERROR(INDEX(Clay_Brands!$A$2:$FZ$601,155,Sync!$D$5)&amp;"",""),Brand_Log!$A$2:$A$201,0))&amp;"",IFERROR(INDEX(Clay_Brands!$A$2:$FZ$601,155,Sync!$D$5)&amp;"","")&amp;""))</f>
        <v/>
      </c>
      <c r="E3606" s="23" t="str">
        <f aca="false">IF(B3606="","",IFERROR(INDEX(Clay_Brands!$A$2:$FZ$601,155,Sync!$D$6)&amp;"",""))</f>
        <v/>
      </c>
      <c r="F3606" s="23" t="str">
        <f aca="false">IF(B3606="","","outreach_sent")</f>
        <v/>
      </c>
      <c r="G3606" s="23" t="str">
        <f aca="false">IF(B3606="","","")</f>
        <v/>
      </c>
      <c r="H3606" s="23" t="str">
        <f aca="false">IF(B3606="","","")</f>
        <v/>
      </c>
      <c r="I3606" s="23" t="str">
        <f aca="false">IF(B3606="","","")</f>
        <v/>
      </c>
      <c r="J3606" s="23" t="str">
        <f aca="false">IF(B3606="","","touch_1; "&amp;IFERROR(INDEX(Clay_Brands!$A$2:$FZ$601,155,Sync!$D$10)&amp;"","")&amp;"; "&amp;IFERROR(INDEX(Clay_Brands!$A$2:$FZ$601,155,Sync!$D$9)&amp;"",""))</f>
        <v/>
      </c>
      <c r="K3606" s="32" t="s">
        <v>1366</v>
      </c>
    </row>
    <row r="3607" customFormat="false" ht="15" hidden="false" customHeight="false" outlineLevel="0" collapsed="false">
      <c r="A3607" s="23" t="str">
        <f aca="false">IF(B3607="","",B3607+(15*1000+156)/10000000)</f>
        <v/>
      </c>
      <c r="B3607" s="35" t="str">
        <f aca="false">IF(AND(IFERROR(N(INDEX(Clay_Brands!$A$2:$FZ$601,156,Sync!$D$11)),0)&gt;0,IFERROR(INDEX(Clay_Brands!$A$2:$FZ$601,156,Sync!$D$5)&amp;"","")&lt;&gt;"",OR(LEFT(IFERROR(INDEX(Clay_Brands!$A$2:$FZ$601,156,Sync!$D$5)&amp;"",""),6)&lt;&gt;"SAMPLE",Config!$B$19="Y")),IFERROR(N(INDEX(Clay_Brands!$A$2:$FZ$601,156,Sync!$D$11)),0),"")</f>
        <v/>
      </c>
      <c r="C3607" s="23" t="str">
        <f aca="false">IF(B3607="","","brand")</f>
        <v/>
      </c>
      <c r="D3607" s="23" t="str">
        <f aca="false">IF(B3607="","",IFERROR(INDEX(Brand_Log!$DV$2:$DV$201,MATCH(IFERROR(INDEX(Clay_Brands!$A$2:$FZ$601,156,Sync!$D$5)&amp;"",""),Brand_Log!$A$2:$A$201,0))&amp;"",IFERROR(INDEX(Clay_Brands!$A$2:$FZ$601,156,Sync!$D$5)&amp;"","")&amp;""))</f>
        <v/>
      </c>
      <c r="E3607" s="23" t="str">
        <f aca="false">IF(B3607="","",IFERROR(INDEX(Clay_Brands!$A$2:$FZ$601,156,Sync!$D$6)&amp;"",""))</f>
        <v/>
      </c>
      <c r="F3607" s="23" t="str">
        <f aca="false">IF(B3607="","","outreach_sent")</f>
        <v/>
      </c>
      <c r="G3607" s="23" t="str">
        <f aca="false">IF(B3607="","","")</f>
        <v/>
      </c>
      <c r="H3607" s="23" t="str">
        <f aca="false">IF(B3607="","","")</f>
        <v/>
      </c>
      <c r="I3607" s="23" t="str">
        <f aca="false">IF(B3607="","","")</f>
        <v/>
      </c>
      <c r="J3607" s="23" t="str">
        <f aca="false">IF(B3607="","","touch_1; "&amp;IFERROR(INDEX(Clay_Brands!$A$2:$FZ$601,156,Sync!$D$10)&amp;"","")&amp;"; "&amp;IFERROR(INDEX(Clay_Brands!$A$2:$FZ$601,156,Sync!$D$9)&amp;"",""))</f>
        <v/>
      </c>
      <c r="K3607" s="32" t="s">
        <v>1366</v>
      </c>
    </row>
    <row r="3608" customFormat="false" ht="15" hidden="false" customHeight="false" outlineLevel="0" collapsed="false">
      <c r="A3608" s="23" t="str">
        <f aca="false">IF(B3608="","",B3608+(15*1000+157)/10000000)</f>
        <v/>
      </c>
      <c r="B3608" s="35" t="str">
        <f aca="false">IF(AND(IFERROR(N(INDEX(Clay_Brands!$A$2:$FZ$601,157,Sync!$D$11)),0)&gt;0,IFERROR(INDEX(Clay_Brands!$A$2:$FZ$601,157,Sync!$D$5)&amp;"","")&lt;&gt;"",OR(LEFT(IFERROR(INDEX(Clay_Brands!$A$2:$FZ$601,157,Sync!$D$5)&amp;"",""),6)&lt;&gt;"SAMPLE",Config!$B$19="Y")),IFERROR(N(INDEX(Clay_Brands!$A$2:$FZ$601,157,Sync!$D$11)),0),"")</f>
        <v/>
      </c>
      <c r="C3608" s="23" t="str">
        <f aca="false">IF(B3608="","","brand")</f>
        <v/>
      </c>
      <c r="D3608" s="23" t="str">
        <f aca="false">IF(B3608="","",IFERROR(INDEX(Brand_Log!$DV$2:$DV$201,MATCH(IFERROR(INDEX(Clay_Brands!$A$2:$FZ$601,157,Sync!$D$5)&amp;"",""),Brand_Log!$A$2:$A$201,0))&amp;"",IFERROR(INDEX(Clay_Brands!$A$2:$FZ$601,157,Sync!$D$5)&amp;"","")&amp;""))</f>
        <v/>
      </c>
      <c r="E3608" s="23" t="str">
        <f aca="false">IF(B3608="","",IFERROR(INDEX(Clay_Brands!$A$2:$FZ$601,157,Sync!$D$6)&amp;"",""))</f>
        <v/>
      </c>
      <c r="F3608" s="23" t="str">
        <f aca="false">IF(B3608="","","outreach_sent")</f>
        <v/>
      </c>
      <c r="G3608" s="23" t="str">
        <f aca="false">IF(B3608="","","")</f>
        <v/>
      </c>
      <c r="H3608" s="23" t="str">
        <f aca="false">IF(B3608="","","")</f>
        <v/>
      </c>
      <c r="I3608" s="23" t="str">
        <f aca="false">IF(B3608="","","")</f>
        <v/>
      </c>
      <c r="J3608" s="23" t="str">
        <f aca="false">IF(B3608="","","touch_1; "&amp;IFERROR(INDEX(Clay_Brands!$A$2:$FZ$601,157,Sync!$D$10)&amp;"","")&amp;"; "&amp;IFERROR(INDEX(Clay_Brands!$A$2:$FZ$601,157,Sync!$D$9)&amp;"",""))</f>
        <v/>
      </c>
      <c r="K3608" s="32" t="s">
        <v>1366</v>
      </c>
    </row>
    <row r="3609" customFormat="false" ht="15" hidden="false" customHeight="false" outlineLevel="0" collapsed="false">
      <c r="A3609" s="23" t="str">
        <f aca="false">IF(B3609="","",B3609+(15*1000+158)/10000000)</f>
        <v/>
      </c>
      <c r="B3609" s="35" t="str">
        <f aca="false">IF(AND(IFERROR(N(INDEX(Clay_Brands!$A$2:$FZ$601,158,Sync!$D$11)),0)&gt;0,IFERROR(INDEX(Clay_Brands!$A$2:$FZ$601,158,Sync!$D$5)&amp;"","")&lt;&gt;"",OR(LEFT(IFERROR(INDEX(Clay_Brands!$A$2:$FZ$601,158,Sync!$D$5)&amp;"",""),6)&lt;&gt;"SAMPLE",Config!$B$19="Y")),IFERROR(N(INDEX(Clay_Brands!$A$2:$FZ$601,158,Sync!$D$11)),0),"")</f>
        <v/>
      </c>
      <c r="C3609" s="23" t="str">
        <f aca="false">IF(B3609="","","brand")</f>
        <v/>
      </c>
      <c r="D3609" s="23" t="str">
        <f aca="false">IF(B3609="","",IFERROR(INDEX(Brand_Log!$DV$2:$DV$201,MATCH(IFERROR(INDEX(Clay_Brands!$A$2:$FZ$601,158,Sync!$D$5)&amp;"",""),Brand_Log!$A$2:$A$201,0))&amp;"",IFERROR(INDEX(Clay_Brands!$A$2:$FZ$601,158,Sync!$D$5)&amp;"","")&amp;""))</f>
        <v/>
      </c>
      <c r="E3609" s="23" t="str">
        <f aca="false">IF(B3609="","",IFERROR(INDEX(Clay_Brands!$A$2:$FZ$601,158,Sync!$D$6)&amp;"",""))</f>
        <v/>
      </c>
      <c r="F3609" s="23" t="str">
        <f aca="false">IF(B3609="","","outreach_sent")</f>
        <v/>
      </c>
      <c r="G3609" s="23" t="str">
        <f aca="false">IF(B3609="","","")</f>
        <v/>
      </c>
      <c r="H3609" s="23" t="str">
        <f aca="false">IF(B3609="","","")</f>
        <v/>
      </c>
      <c r="I3609" s="23" t="str">
        <f aca="false">IF(B3609="","","")</f>
        <v/>
      </c>
      <c r="J3609" s="23" t="str">
        <f aca="false">IF(B3609="","","touch_1; "&amp;IFERROR(INDEX(Clay_Brands!$A$2:$FZ$601,158,Sync!$D$10)&amp;"","")&amp;"; "&amp;IFERROR(INDEX(Clay_Brands!$A$2:$FZ$601,158,Sync!$D$9)&amp;"",""))</f>
        <v/>
      </c>
      <c r="K3609" s="32" t="s">
        <v>1366</v>
      </c>
    </row>
    <row r="3610" customFormat="false" ht="15" hidden="false" customHeight="false" outlineLevel="0" collapsed="false">
      <c r="A3610" s="23" t="str">
        <f aca="false">IF(B3610="","",B3610+(15*1000+159)/10000000)</f>
        <v/>
      </c>
      <c r="B3610" s="35" t="str">
        <f aca="false">IF(AND(IFERROR(N(INDEX(Clay_Brands!$A$2:$FZ$601,159,Sync!$D$11)),0)&gt;0,IFERROR(INDEX(Clay_Brands!$A$2:$FZ$601,159,Sync!$D$5)&amp;"","")&lt;&gt;"",OR(LEFT(IFERROR(INDEX(Clay_Brands!$A$2:$FZ$601,159,Sync!$D$5)&amp;"",""),6)&lt;&gt;"SAMPLE",Config!$B$19="Y")),IFERROR(N(INDEX(Clay_Brands!$A$2:$FZ$601,159,Sync!$D$11)),0),"")</f>
        <v/>
      </c>
      <c r="C3610" s="23" t="str">
        <f aca="false">IF(B3610="","","brand")</f>
        <v/>
      </c>
      <c r="D3610" s="23" t="str">
        <f aca="false">IF(B3610="","",IFERROR(INDEX(Brand_Log!$DV$2:$DV$201,MATCH(IFERROR(INDEX(Clay_Brands!$A$2:$FZ$601,159,Sync!$D$5)&amp;"",""),Brand_Log!$A$2:$A$201,0))&amp;"",IFERROR(INDEX(Clay_Brands!$A$2:$FZ$601,159,Sync!$D$5)&amp;"","")&amp;""))</f>
        <v/>
      </c>
      <c r="E3610" s="23" t="str">
        <f aca="false">IF(B3610="","",IFERROR(INDEX(Clay_Brands!$A$2:$FZ$601,159,Sync!$D$6)&amp;"",""))</f>
        <v/>
      </c>
      <c r="F3610" s="23" t="str">
        <f aca="false">IF(B3610="","","outreach_sent")</f>
        <v/>
      </c>
      <c r="G3610" s="23" t="str">
        <f aca="false">IF(B3610="","","")</f>
        <v/>
      </c>
      <c r="H3610" s="23" t="str">
        <f aca="false">IF(B3610="","","")</f>
        <v/>
      </c>
      <c r="I3610" s="23" t="str">
        <f aca="false">IF(B3610="","","")</f>
        <v/>
      </c>
      <c r="J3610" s="23" t="str">
        <f aca="false">IF(B3610="","","touch_1; "&amp;IFERROR(INDEX(Clay_Brands!$A$2:$FZ$601,159,Sync!$D$10)&amp;"","")&amp;"; "&amp;IFERROR(INDEX(Clay_Brands!$A$2:$FZ$601,159,Sync!$D$9)&amp;"",""))</f>
        <v/>
      </c>
      <c r="K3610" s="32" t="s">
        <v>1366</v>
      </c>
    </row>
    <row r="3611" customFormat="false" ht="15" hidden="false" customHeight="false" outlineLevel="0" collapsed="false">
      <c r="A3611" s="23" t="str">
        <f aca="false">IF(B3611="","",B3611+(15*1000+160)/10000000)</f>
        <v/>
      </c>
      <c r="B3611" s="35" t="str">
        <f aca="false">IF(AND(IFERROR(N(INDEX(Clay_Brands!$A$2:$FZ$601,160,Sync!$D$11)),0)&gt;0,IFERROR(INDEX(Clay_Brands!$A$2:$FZ$601,160,Sync!$D$5)&amp;"","")&lt;&gt;"",OR(LEFT(IFERROR(INDEX(Clay_Brands!$A$2:$FZ$601,160,Sync!$D$5)&amp;"",""),6)&lt;&gt;"SAMPLE",Config!$B$19="Y")),IFERROR(N(INDEX(Clay_Brands!$A$2:$FZ$601,160,Sync!$D$11)),0),"")</f>
        <v/>
      </c>
      <c r="C3611" s="23" t="str">
        <f aca="false">IF(B3611="","","brand")</f>
        <v/>
      </c>
      <c r="D3611" s="23" t="str">
        <f aca="false">IF(B3611="","",IFERROR(INDEX(Brand_Log!$DV$2:$DV$201,MATCH(IFERROR(INDEX(Clay_Brands!$A$2:$FZ$601,160,Sync!$D$5)&amp;"",""),Brand_Log!$A$2:$A$201,0))&amp;"",IFERROR(INDEX(Clay_Brands!$A$2:$FZ$601,160,Sync!$D$5)&amp;"","")&amp;""))</f>
        <v/>
      </c>
      <c r="E3611" s="23" t="str">
        <f aca="false">IF(B3611="","",IFERROR(INDEX(Clay_Brands!$A$2:$FZ$601,160,Sync!$D$6)&amp;"",""))</f>
        <v/>
      </c>
      <c r="F3611" s="23" t="str">
        <f aca="false">IF(B3611="","","outreach_sent")</f>
        <v/>
      </c>
      <c r="G3611" s="23" t="str">
        <f aca="false">IF(B3611="","","")</f>
        <v/>
      </c>
      <c r="H3611" s="23" t="str">
        <f aca="false">IF(B3611="","","")</f>
        <v/>
      </c>
      <c r="I3611" s="23" t="str">
        <f aca="false">IF(B3611="","","")</f>
        <v/>
      </c>
      <c r="J3611" s="23" t="str">
        <f aca="false">IF(B3611="","","touch_1; "&amp;IFERROR(INDEX(Clay_Brands!$A$2:$FZ$601,160,Sync!$D$10)&amp;"","")&amp;"; "&amp;IFERROR(INDEX(Clay_Brands!$A$2:$FZ$601,160,Sync!$D$9)&amp;"",""))</f>
        <v/>
      </c>
      <c r="K3611" s="32" t="s">
        <v>1366</v>
      </c>
    </row>
    <row r="3612" customFormat="false" ht="15" hidden="false" customHeight="false" outlineLevel="0" collapsed="false">
      <c r="A3612" s="23" t="str">
        <f aca="false">IF(B3612="","",B3612+(15*1000+161)/10000000)</f>
        <v/>
      </c>
      <c r="B3612" s="35" t="str">
        <f aca="false">IF(AND(IFERROR(N(INDEX(Clay_Brands!$A$2:$FZ$601,161,Sync!$D$11)),0)&gt;0,IFERROR(INDEX(Clay_Brands!$A$2:$FZ$601,161,Sync!$D$5)&amp;"","")&lt;&gt;"",OR(LEFT(IFERROR(INDEX(Clay_Brands!$A$2:$FZ$601,161,Sync!$D$5)&amp;"",""),6)&lt;&gt;"SAMPLE",Config!$B$19="Y")),IFERROR(N(INDEX(Clay_Brands!$A$2:$FZ$601,161,Sync!$D$11)),0),"")</f>
        <v/>
      </c>
      <c r="C3612" s="23" t="str">
        <f aca="false">IF(B3612="","","brand")</f>
        <v/>
      </c>
      <c r="D3612" s="23" t="str">
        <f aca="false">IF(B3612="","",IFERROR(INDEX(Brand_Log!$DV$2:$DV$201,MATCH(IFERROR(INDEX(Clay_Brands!$A$2:$FZ$601,161,Sync!$D$5)&amp;"",""),Brand_Log!$A$2:$A$201,0))&amp;"",IFERROR(INDEX(Clay_Brands!$A$2:$FZ$601,161,Sync!$D$5)&amp;"","")&amp;""))</f>
        <v/>
      </c>
      <c r="E3612" s="23" t="str">
        <f aca="false">IF(B3612="","",IFERROR(INDEX(Clay_Brands!$A$2:$FZ$601,161,Sync!$D$6)&amp;"",""))</f>
        <v/>
      </c>
      <c r="F3612" s="23" t="str">
        <f aca="false">IF(B3612="","","outreach_sent")</f>
        <v/>
      </c>
      <c r="G3612" s="23" t="str">
        <f aca="false">IF(B3612="","","")</f>
        <v/>
      </c>
      <c r="H3612" s="23" t="str">
        <f aca="false">IF(B3612="","","")</f>
        <v/>
      </c>
      <c r="I3612" s="23" t="str">
        <f aca="false">IF(B3612="","","")</f>
        <v/>
      </c>
      <c r="J3612" s="23" t="str">
        <f aca="false">IF(B3612="","","touch_1; "&amp;IFERROR(INDEX(Clay_Brands!$A$2:$FZ$601,161,Sync!$D$10)&amp;"","")&amp;"; "&amp;IFERROR(INDEX(Clay_Brands!$A$2:$FZ$601,161,Sync!$D$9)&amp;"",""))</f>
        <v/>
      </c>
      <c r="K3612" s="32" t="s">
        <v>1366</v>
      </c>
    </row>
    <row r="3613" customFormat="false" ht="15" hidden="false" customHeight="false" outlineLevel="0" collapsed="false">
      <c r="A3613" s="23" t="str">
        <f aca="false">IF(B3613="","",B3613+(15*1000+162)/10000000)</f>
        <v/>
      </c>
      <c r="B3613" s="35" t="str">
        <f aca="false">IF(AND(IFERROR(N(INDEX(Clay_Brands!$A$2:$FZ$601,162,Sync!$D$11)),0)&gt;0,IFERROR(INDEX(Clay_Brands!$A$2:$FZ$601,162,Sync!$D$5)&amp;"","")&lt;&gt;"",OR(LEFT(IFERROR(INDEX(Clay_Brands!$A$2:$FZ$601,162,Sync!$D$5)&amp;"",""),6)&lt;&gt;"SAMPLE",Config!$B$19="Y")),IFERROR(N(INDEX(Clay_Brands!$A$2:$FZ$601,162,Sync!$D$11)),0),"")</f>
        <v/>
      </c>
      <c r="C3613" s="23" t="str">
        <f aca="false">IF(B3613="","","brand")</f>
        <v/>
      </c>
      <c r="D3613" s="23" t="str">
        <f aca="false">IF(B3613="","",IFERROR(INDEX(Brand_Log!$DV$2:$DV$201,MATCH(IFERROR(INDEX(Clay_Brands!$A$2:$FZ$601,162,Sync!$D$5)&amp;"",""),Brand_Log!$A$2:$A$201,0))&amp;"",IFERROR(INDEX(Clay_Brands!$A$2:$FZ$601,162,Sync!$D$5)&amp;"","")&amp;""))</f>
        <v/>
      </c>
      <c r="E3613" s="23" t="str">
        <f aca="false">IF(B3613="","",IFERROR(INDEX(Clay_Brands!$A$2:$FZ$601,162,Sync!$D$6)&amp;"",""))</f>
        <v/>
      </c>
      <c r="F3613" s="23" t="str">
        <f aca="false">IF(B3613="","","outreach_sent")</f>
        <v/>
      </c>
      <c r="G3613" s="23" t="str">
        <f aca="false">IF(B3613="","","")</f>
        <v/>
      </c>
      <c r="H3613" s="23" t="str">
        <f aca="false">IF(B3613="","","")</f>
        <v/>
      </c>
      <c r="I3613" s="23" t="str">
        <f aca="false">IF(B3613="","","")</f>
        <v/>
      </c>
      <c r="J3613" s="23" t="str">
        <f aca="false">IF(B3613="","","touch_1; "&amp;IFERROR(INDEX(Clay_Brands!$A$2:$FZ$601,162,Sync!$D$10)&amp;"","")&amp;"; "&amp;IFERROR(INDEX(Clay_Brands!$A$2:$FZ$601,162,Sync!$D$9)&amp;"",""))</f>
        <v/>
      </c>
      <c r="K3613" s="32" t="s">
        <v>1366</v>
      </c>
    </row>
    <row r="3614" customFormat="false" ht="15" hidden="false" customHeight="false" outlineLevel="0" collapsed="false">
      <c r="A3614" s="23" t="str">
        <f aca="false">IF(B3614="","",B3614+(15*1000+163)/10000000)</f>
        <v/>
      </c>
      <c r="B3614" s="35" t="str">
        <f aca="false">IF(AND(IFERROR(N(INDEX(Clay_Brands!$A$2:$FZ$601,163,Sync!$D$11)),0)&gt;0,IFERROR(INDEX(Clay_Brands!$A$2:$FZ$601,163,Sync!$D$5)&amp;"","")&lt;&gt;"",OR(LEFT(IFERROR(INDEX(Clay_Brands!$A$2:$FZ$601,163,Sync!$D$5)&amp;"",""),6)&lt;&gt;"SAMPLE",Config!$B$19="Y")),IFERROR(N(INDEX(Clay_Brands!$A$2:$FZ$601,163,Sync!$D$11)),0),"")</f>
        <v/>
      </c>
      <c r="C3614" s="23" t="str">
        <f aca="false">IF(B3614="","","brand")</f>
        <v/>
      </c>
      <c r="D3614" s="23" t="str">
        <f aca="false">IF(B3614="","",IFERROR(INDEX(Brand_Log!$DV$2:$DV$201,MATCH(IFERROR(INDEX(Clay_Brands!$A$2:$FZ$601,163,Sync!$D$5)&amp;"",""),Brand_Log!$A$2:$A$201,0))&amp;"",IFERROR(INDEX(Clay_Brands!$A$2:$FZ$601,163,Sync!$D$5)&amp;"","")&amp;""))</f>
        <v/>
      </c>
      <c r="E3614" s="23" t="str">
        <f aca="false">IF(B3614="","",IFERROR(INDEX(Clay_Brands!$A$2:$FZ$601,163,Sync!$D$6)&amp;"",""))</f>
        <v/>
      </c>
      <c r="F3614" s="23" t="str">
        <f aca="false">IF(B3614="","","outreach_sent")</f>
        <v/>
      </c>
      <c r="G3614" s="23" t="str">
        <f aca="false">IF(B3614="","","")</f>
        <v/>
      </c>
      <c r="H3614" s="23" t="str">
        <f aca="false">IF(B3614="","","")</f>
        <v/>
      </c>
      <c r="I3614" s="23" t="str">
        <f aca="false">IF(B3614="","","")</f>
        <v/>
      </c>
      <c r="J3614" s="23" t="str">
        <f aca="false">IF(B3614="","","touch_1; "&amp;IFERROR(INDEX(Clay_Brands!$A$2:$FZ$601,163,Sync!$D$10)&amp;"","")&amp;"; "&amp;IFERROR(INDEX(Clay_Brands!$A$2:$FZ$601,163,Sync!$D$9)&amp;"",""))</f>
        <v/>
      </c>
      <c r="K3614" s="32" t="s">
        <v>1366</v>
      </c>
    </row>
    <row r="3615" customFormat="false" ht="15" hidden="false" customHeight="false" outlineLevel="0" collapsed="false">
      <c r="A3615" s="23" t="str">
        <f aca="false">IF(B3615="","",B3615+(15*1000+164)/10000000)</f>
        <v/>
      </c>
      <c r="B3615" s="35" t="str">
        <f aca="false">IF(AND(IFERROR(N(INDEX(Clay_Brands!$A$2:$FZ$601,164,Sync!$D$11)),0)&gt;0,IFERROR(INDEX(Clay_Brands!$A$2:$FZ$601,164,Sync!$D$5)&amp;"","")&lt;&gt;"",OR(LEFT(IFERROR(INDEX(Clay_Brands!$A$2:$FZ$601,164,Sync!$D$5)&amp;"",""),6)&lt;&gt;"SAMPLE",Config!$B$19="Y")),IFERROR(N(INDEX(Clay_Brands!$A$2:$FZ$601,164,Sync!$D$11)),0),"")</f>
        <v/>
      </c>
      <c r="C3615" s="23" t="str">
        <f aca="false">IF(B3615="","","brand")</f>
        <v/>
      </c>
      <c r="D3615" s="23" t="str">
        <f aca="false">IF(B3615="","",IFERROR(INDEX(Brand_Log!$DV$2:$DV$201,MATCH(IFERROR(INDEX(Clay_Brands!$A$2:$FZ$601,164,Sync!$D$5)&amp;"",""),Brand_Log!$A$2:$A$201,0))&amp;"",IFERROR(INDEX(Clay_Brands!$A$2:$FZ$601,164,Sync!$D$5)&amp;"","")&amp;""))</f>
        <v/>
      </c>
      <c r="E3615" s="23" t="str">
        <f aca="false">IF(B3615="","",IFERROR(INDEX(Clay_Brands!$A$2:$FZ$601,164,Sync!$D$6)&amp;"",""))</f>
        <v/>
      </c>
      <c r="F3615" s="23" t="str">
        <f aca="false">IF(B3615="","","outreach_sent")</f>
        <v/>
      </c>
      <c r="G3615" s="23" t="str">
        <f aca="false">IF(B3615="","","")</f>
        <v/>
      </c>
      <c r="H3615" s="23" t="str">
        <f aca="false">IF(B3615="","","")</f>
        <v/>
      </c>
      <c r="I3615" s="23" t="str">
        <f aca="false">IF(B3615="","","")</f>
        <v/>
      </c>
      <c r="J3615" s="23" t="str">
        <f aca="false">IF(B3615="","","touch_1; "&amp;IFERROR(INDEX(Clay_Brands!$A$2:$FZ$601,164,Sync!$D$10)&amp;"","")&amp;"; "&amp;IFERROR(INDEX(Clay_Brands!$A$2:$FZ$601,164,Sync!$D$9)&amp;"",""))</f>
        <v/>
      </c>
      <c r="K3615" s="32" t="s">
        <v>1366</v>
      </c>
    </row>
    <row r="3616" customFormat="false" ht="15" hidden="false" customHeight="false" outlineLevel="0" collapsed="false">
      <c r="A3616" s="23" t="str">
        <f aca="false">IF(B3616="","",B3616+(15*1000+165)/10000000)</f>
        <v/>
      </c>
      <c r="B3616" s="35" t="str">
        <f aca="false">IF(AND(IFERROR(N(INDEX(Clay_Brands!$A$2:$FZ$601,165,Sync!$D$11)),0)&gt;0,IFERROR(INDEX(Clay_Brands!$A$2:$FZ$601,165,Sync!$D$5)&amp;"","")&lt;&gt;"",OR(LEFT(IFERROR(INDEX(Clay_Brands!$A$2:$FZ$601,165,Sync!$D$5)&amp;"",""),6)&lt;&gt;"SAMPLE",Config!$B$19="Y")),IFERROR(N(INDEX(Clay_Brands!$A$2:$FZ$601,165,Sync!$D$11)),0),"")</f>
        <v/>
      </c>
      <c r="C3616" s="23" t="str">
        <f aca="false">IF(B3616="","","brand")</f>
        <v/>
      </c>
      <c r="D3616" s="23" t="str">
        <f aca="false">IF(B3616="","",IFERROR(INDEX(Brand_Log!$DV$2:$DV$201,MATCH(IFERROR(INDEX(Clay_Brands!$A$2:$FZ$601,165,Sync!$D$5)&amp;"",""),Brand_Log!$A$2:$A$201,0))&amp;"",IFERROR(INDEX(Clay_Brands!$A$2:$FZ$601,165,Sync!$D$5)&amp;"","")&amp;""))</f>
        <v/>
      </c>
      <c r="E3616" s="23" t="str">
        <f aca="false">IF(B3616="","",IFERROR(INDEX(Clay_Brands!$A$2:$FZ$601,165,Sync!$D$6)&amp;"",""))</f>
        <v/>
      </c>
      <c r="F3616" s="23" t="str">
        <f aca="false">IF(B3616="","","outreach_sent")</f>
        <v/>
      </c>
      <c r="G3616" s="23" t="str">
        <f aca="false">IF(B3616="","","")</f>
        <v/>
      </c>
      <c r="H3616" s="23" t="str">
        <f aca="false">IF(B3616="","","")</f>
        <v/>
      </c>
      <c r="I3616" s="23" t="str">
        <f aca="false">IF(B3616="","","")</f>
        <v/>
      </c>
      <c r="J3616" s="23" t="str">
        <f aca="false">IF(B3616="","","touch_1; "&amp;IFERROR(INDEX(Clay_Brands!$A$2:$FZ$601,165,Sync!$D$10)&amp;"","")&amp;"; "&amp;IFERROR(INDEX(Clay_Brands!$A$2:$FZ$601,165,Sync!$D$9)&amp;"",""))</f>
        <v/>
      </c>
      <c r="K3616" s="32" t="s">
        <v>1366</v>
      </c>
    </row>
    <row r="3617" customFormat="false" ht="15" hidden="false" customHeight="false" outlineLevel="0" collapsed="false">
      <c r="A3617" s="23" t="str">
        <f aca="false">IF(B3617="","",B3617+(15*1000+166)/10000000)</f>
        <v/>
      </c>
      <c r="B3617" s="35" t="str">
        <f aca="false">IF(AND(IFERROR(N(INDEX(Clay_Brands!$A$2:$FZ$601,166,Sync!$D$11)),0)&gt;0,IFERROR(INDEX(Clay_Brands!$A$2:$FZ$601,166,Sync!$D$5)&amp;"","")&lt;&gt;"",OR(LEFT(IFERROR(INDEX(Clay_Brands!$A$2:$FZ$601,166,Sync!$D$5)&amp;"",""),6)&lt;&gt;"SAMPLE",Config!$B$19="Y")),IFERROR(N(INDEX(Clay_Brands!$A$2:$FZ$601,166,Sync!$D$11)),0),"")</f>
        <v/>
      </c>
      <c r="C3617" s="23" t="str">
        <f aca="false">IF(B3617="","","brand")</f>
        <v/>
      </c>
      <c r="D3617" s="23" t="str">
        <f aca="false">IF(B3617="","",IFERROR(INDEX(Brand_Log!$DV$2:$DV$201,MATCH(IFERROR(INDEX(Clay_Brands!$A$2:$FZ$601,166,Sync!$D$5)&amp;"",""),Brand_Log!$A$2:$A$201,0))&amp;"",IFERROR(INDEX(Clay_Brands!$A$2:$FZ$601,166,Sync!$D$5)&amp;"","")&amp;""))</f>
        <v/>
      </c>
      <c r="E3617" s="23" t="str">
        <f aca="false">IF(B3617="","",IFERROR(INDEX(Clay_Brands!$A$2:$FZ$601,166,Sync!$D$6)&amp;"",""))</f>
        <v/>
      </c>
      <c r="F3617" s="23" t="str">
        <f aca="false">IF(B3617="","","outreach_sent")</f>
        <v/>
      </c>
      <c r="G3617" s="23" t="str">
        <f aca="false">IF(B3617="","","")</f>
        <v/>
      </c>
      <c r="H3617" s="23" t="str">
        <f aca="false">IF(B3617="","","")</f>
        <v/>
      </c>
      <c r="I3617" s="23" t="str">
        <f aca="false">IF(B3617="","","")</f>
        <v/>
      </c>
      <c r="J3617" s="23" t="str">
        <f aca="false">IF(B3617="","","touch_1; "&amp;IFERROR(INDEX(Clay_Brands!$A$2:$FZ$601,166,Sync!$D$10)&amp;"","")&amp;"; "&amp;IFERROR(INDEX(Clay_Brands!$A$2:$FZ$601,166,Sync!$D$9)&amp;"",""))</f>
        <v/>
      </c>
      <c r="K3617" s="32" t="s">
        <v>1366</v>
      </c>
    </row>
    <row r="3618" customFormat="false" ht="15" hidden="false" customHeight="false" outlineLevel="0" collapsed="false">
      <c r="A3618" s="23" t="str">
        <f aca="false">IF(B3618="","",B3618+(15*1000+167)/10000000)</f>
        <v/>
      </c>
      <c r="B3618" s="35" t="str">
        <f aca="false">IF(AND(IFERROR(N(INDEX(Clay_Brands!$A$2:$FZ$601,167,Sync!$D$11)),0)&gt;0,IFERROR(INDEX(Clay_Brands!$A$2:$FZ$601,167,Sync!$D$5)&amp;"","")&lt;&gt;"",OR(LEFT(IFERROR(INDEX(Clay_Brands!$A$2:$FZ$601,167,Sync!$D$5)&amp;"",""),6)&lt;&gt;"SAMPLE",Config!$B$19="Y")),IFERROR(N(INDEX(Clay_Brands!$A$2:$FZ$601,167,Sync!$D$11)),0),"")</f>
        <v/>
      </c>
      <c r="C3618" s="23" t="str">
        <f aca="false">IF(B3618="","","brand")</f>
        <v/>
      </c>
      <c r="D3618" s="23" t="str">
        <f aca="false">IF(B3618="","",IFERROR(INDEX(Brand_Log!$DV$2:$DV$201,MATCH(IFERROR(INDEX(Clay_Brands!$A$2:$FZ$601,167,Sync!$D$5)&amp;"",""),Brand_Log!$A$2:$A$201,0))&amp;"",IFERROR(INDEX(Clay_Brands!$A$2:$FZ$601,167,Sync!$D$5)&amp;"","")&amp;""))</f>
        <v/>
      </c>
      <c r="E3618" s="23" t="str">
        <f aca="false">IF(B3618="","",IFERROR(INDEX(Clay_Brands!$A$2:$FZ$601,167,Sync!$D$6)&amp;"",""))</f>
        <v/>
      </c>
      <c r="F3618" s="23" t="str">
        <f aca="false">IF(B3618="","","outreach_sent")</f>
        <v/>
      </c>
      <c r="G3618" s="23" t="str">
        <f aca="false">IF(B3618="","","")</f>
        <v/>
      </c>
      <c r="H3618" s="23" t="str">
        <f aca="false">IF(B3618="","","")</f>
        <v/>
      </c>
      <c r="I3618" s="23" t="str">
        <f aca="false">IF(B3618="","","")</f>
        <v/>
      </c>
      <c r="J3618" s="23" t="str">
        <f aca="false">IF(B3618="","","touch_1; "&amp;IFERROR(INDEX(Clay_Brands!$A$2:$FZ$601,167,Sync!$D$10)&amp;"","")&amp;"; "&amp;IFERROR(INDEX(Clay_Brands!$A$2:$FZ$601,167,Sync!$D$9)&amp;"",""))</f>
        <v/>
      </c>
      <c r="K3618" s="32" t="s">
        <v>1366</v>
      </c>
    </row>
    <row r="3619" customFormat="false" ht="15" hidden="false" customHeight="false" outlineLevel="0" collapsed="false">
      <c r="A3619" s="23" t="str">
        <f aca="false">IF(B3619="","",B3619+(15*1000+168)/10000000)</f>
        <v/>
      </c>
      <c r="B3619" s="35" t="str">
        <f aca="false">IF(AND(IFERROR(N(INDEX(Clay_Brands!$A$2:$FZ$601,168,Sync!$D$11)),0)&gt;0,IFERROR(INDEX(Clay_Brands!$A$2:$FZ$601,168,Sync!$D$5)&amp;"","")&lt;&gt;"",OR(LEFT(IFERROR(INDEX(Clay_Brands!$A$2:$FZ$601,168,Sync!$D$5)&amp;"",""),6)&lt;&gt;"SAMPLE",Config!$B$19="Y")),IFERROR(N(INDEX(Clay_Brands!$A$2:$FZ$601,168,Sync!$D$11)),0),"")</f>
        <v/>
      </c>
      <c r="C3619" s="23" t="str">
        <f aca="false">IF(B3619="","","brand")</f>
        <v/>
      </c>
      <c r="D3619" s="23" t="str">
        <f aca="false">IF(B3619="","",IFERROR(INDEX(Brand_Log!$DV$2:$DV$201,MATCH(IFERROR(INDEX(Clay_Brands!$A$2:$FZ$601,168,Sync!$D$5)&amp;"",""),Brand_Log!$A$2:$A$201,0))&amp;"",IFERROR(INDEX(Clay_Brands!$A$2:$FZ$601,168,Sync!$D$5)&amp;"","")&amp;""))</f>
        <v/>
      </c>
      <c r="E3619" s="23" t="str">
        <f aca="false">IF(B3619="","",IFERROR(INDEX(Clay_Brands!$A$2:$FZ$601,168,Sync!$D$6)&amp;"",""))</f>
        <v/>
      </c>
      <c r="F3619" s="23" t="str">
        <f aca="false">IF(B3619="","","outreach_sent")</f>
        <v/>
      </c>
      <c r="G3619" s="23" t="str">
        <f aca="false">IF(B3619="","","")</f>
        <v/>
      </c>
      <c r="H3619" s="23" t="str">
        <f aca="false">IF(B3619="","","")</f>
        <v/>
      </c>
      <c r="I3619" s="23" t="str">
        <f aca="false">IF(B3619="","","")</f>
        <v/>
      </c>
      <c r="J3619" s="23" t="str">
        <f aca="false">IF(B3619="","","touch_1; "&amp;IFERROR(INDEX(Clay_Brands!$A$2:$FZ$601,168,Sync!$D$10)&amp;"","")&amp;"; "&amp;IFERROR(INDEX(Clay_Brands!$A$2:$FZ$601,168,Sync!$D$9)&amp;"",""))</f>
        <v/>
      </c>
      <c r="K3619" s="32" t="s">
        <v>1366</v>
      </c>
    </row>
    <row r="3620" customFormat="false" ht="15" hidden="false" customHeight="false" outlineLevel="0" collapsed="false">
      <c r="A3620" s="23" t="str">
        <f aca="false">IF(B3620="","",B3620+(15*1000+169)/10000000)</f>
        <v/>
      </c>
      <c r="B3620" s="35" t="str">
        <f aca="false">IF(AND(IFERROR(N(INDEX(Clay_Brands!$A$2:$FZ$601,169,Sync!$D$11)),0)&gt;0,IFERROR(INDEX(Clay_Brands!$A$2:$FZ$601,169,Sync!$D$5)&amp;"","")&lt;&gt;"",OR(LEFT(IFERROR(INDEX(Clay_Brands!$A$2:$FZ$601,169,Sync!$D$5)&amp;"",""),6)&lt;&gt;"SAMPLE",Config!$B$19="Y")),IFERROR(N(INDEX(Clay_Brands!$A$2:$FZ$601,169,Sync!$D$11)),0),"")</f>
        <v/>
      </c>
      <c r="C3620" s="23" t="str">
        <f aca="false">IF(B3620="","","brand")</f>
        <v/>
      </c>
      <c r="D3620" s="23" t="str">
        <f aca="false">IF(B3620="","",IFERROR(INDEX(Brand_Log!$DV$2:$DV$201,MATCH(IFERROR(INDEX(Clay_Brands!$A$2:$FZ$601,169,Sync!$D$5)&amp;"",""),Brand_Log!$A$2:$A$201,0))&amp;"",IFERROR(INDEX(Clay_Brands!$A$2:$FZ$601,169,Sync!$D$5)&amp;"","")&amp;""))</f>
        <v/>
      </c>
      <c r="E3620" s="23" t="str">
        <f aca="false">IF(B3620="","",IFERROR(INDEX(Clay_Brands!$A$2:$FZ$601,169,Sync!$D$6)&amp;"",""))</f>
        <v/>
      </c>
      <c r="F3620" s="23" t="str">
        <f aca="false">IF(B3620="","","outreach_sent")</f>
        <v/>
      </c>
      <c r="G3620" s="23" t="str">
        <f aca="false">IF(B3620="","","")</f>
        <v/>
      </c>
      <c r="H3620" s="23" t="str">
        <f aca="false">IF(B3620="","","")</f>
        <v/>
      </c>
      <c r="I3620" s="23" t="str">
        <f aca="false">IF(B3620="","","")</f>
        <v/>
      </c>
      <c r="J3620" s="23" t="str">
        <f aca="false">IF(B3620="","","touch_1; "&amp;IFERROR(INDEX(Clay_Brands!$A$2:$FZ$601,169,Sync!$D$10)&amp;"","")&amp;"; "&amp;IFERROR(INDEX(Clay_Brands!$A$2:$FZ$601,169,Sync!$D$9)&amp;"",""))</f>
        <v/>
      </c>
      <c r="K3620" s="32" t="s">
        <v>1366</v>
      </c>
    </row>
    <row r="3621" customFormat="false" ht="15" hidden="false" customHeight="false" outlineLevel="0" collapsed="false">
      <c r="A3621" s="23" t="str">
        <f aca="false">IF(B3621="","",B3621+(15*1000+170)/10000000)</f>
        <v/>
      </c>
      <c r="B3621" s="35" t="str">
        <f aca="false">IF(AND(IFERROR(N(INDEX(Clay_Brands!$A$2:$FZ$601,170,Sync!$D$11)),0)&gt;0,IFERROR(INDEX(Clay_Brands!$A$2:$FZ$601,170,Sync!$D$5)&amp;"","")&lt;&gt;"",OR(LEFT(IFERROR(INDEX(Clay_Brands!$A$2:$FZ$601,170,Sync!$D$5)&amp;"",""),6)&lt;&gt;"SAMPLE",Config!$B$19="Y")),IFERROR(N(INDEX(Clay_Brands!$A$2:$FZ$601,170,Sync!$D$11)),0),"")</f>
        <v/>
      </c>
      <c r="C3621" s="23" t="str">
        <f aca="false">IF(B3621="","","brand")</f>
        <v/>
      </c>
      <c r="D3621" s="23" t="str">
        <f aca="false">IF(B3621="","",IFERROR(INDEX(Brand_Log!$DV$2:$DV$201,MATCH(IFERROR(INDEX(Clay_Brands!$A$2:$FZ$601,170,Sync!$D$5)&amp;"",""),Brand_Log!$A$2:$A$201,0))&amp;"",IFERROR(INDEX(Clay_Brands!$A$2:$FZ$601,170,Sync!$D$5)&amp;"","")&amp;""))</f>
        <v/>
      </c>
      <c r="E3621" s="23" t="str">
        <f aca="false">IF(B3621="","",IFERROR(INDEX(Clay_Brands!$A$2:$FZ$601,170,Sync!$D$6)&amp;"",""))</f>
        <v/>
      </c>
      <c r="F3621" s="23" t="str">
        <f aca="false">IF(B3621="","","outreach_sent")</f>
        <v/>
      </c>
      <c r="G3621" s="23" t="str">
        <f aca="false">IF(B3621="","","")</f>
        <v/>
      </c>
      <c r="H3621" s="23" t="str">
        <f aca="false">IF(B3621="","","")</f>
        <v/>
      </c>
      <c r="I3621" s="23" t="str">
        <f aca="false">IF(B3621="","","")</f>
        <v/>
      </c>
      <c r="J3621" s="23" t="str">
        <f aca="false">IF(B3621="","","touch_1; "&amp;IFERROR(INDEX(Clay_Brands!$A$2:$FZ$601,170,Sync!$D$10)&amp;"","")&amp;"; "&amp;IFERROR(INDEX(Clay_Brands!$A$2:$FZ$601,170,Sync!$D$9)&amp;"",""))</f>
        <v/>
      </c>
      <c r="K3621" s="32" t="s">
        <v>1366</v>
      </c>
    </row>
    <row r="3622" customFormat="false" ht="15" hidden="false" customHeight="false" outlineLevel="0" collapsed="false">
      <c r="A3622" s="23" t="str">
        <f aca="false">IF(B3622="","",B3622+(15*1000+171)/10000000)</f>
        <v/>
      </c>
      <c r="B3622" s="35" t="str">
        <f aca="false">IF(AND(IFERROR(N(INDEX(Clay_Brands!$A$2:$FZ$601,171,Sync!$D$11)),0)&gt;0,IFERROR(INDEX(Clay_Brands!$A$2:$FZ$601,171,Sync!$D$5)&amp;"","")&lt;&gt;"",OR(LEFT(IFERROR(INDEX(Clay_Brands!$A$2:$FZ$601,171,Sync!$D$5)&amp;"",""),6)&lt;&gt;"SAMPLE",Config!$B$19="Y")),IFERROR(N(INDEX(Clay_Brands!$A$2:$FZ$601,171,Sync!$D$11)),0),"")</f>
        <v/>
      </c>
      <c r="C3622" s="23" t="str">
        <f aca="false">IF(B3622="","","brand")</f>
        <v/>
      </c>
      <c r="D3622" s="23" t="str">
        <f aca="false">IF(B3622="","",IFERROR(INDEX(Brand_Log!$DV$2:$DV$201,MATCH(IFERROR(INDEX(Clay_Brands!$A$2:$FZ$601,171,Sync!$D$5)&amp;"",""),Brand_Log!$A$2:$A$201,0))&amp;"",IFERROR(INDEX(Clay_Brands!$A$2:$FZ$601,171,Sync!$D$5)&amp;"","")&amp;""))</f>
        <v/>
      </c>
      <c r="E3622" s="23" t="str">
        <f aca="false">IF(B3622="","",IFERROR(INDEX(Clay_Brands!$A$2:$FZ$601,171,Sync!$D$6)&amp;"",""))</f>
        <v/>
      </c>
      <c r="F3622" s="23" t="str">
        <f aca="false">IF(B3622="","","outreach_sent")</f>
        <v/>
      </c>
      <c r="G3622" s="23" t="str">
        <f aca="false">IF(B3622="","","")</f>
        <v/>
      </c>
      <c r="H3622" s="23" t="str">
        <f aca="false">IF(B3622="","","")</f>
        <v/>
      </c>
      <c r="I3622" s="23" t="str">
        <f aca="false">IF(B3622="","","")</f>
        <v/>
      </c>
      <c r="J3622" s="23" t="str">
        <f aca="false">IF(B3622="","","touch_1; "&amp;IFERROR(INDEX(Clay_Brands!$A$2:$FZ$601,171,Sync!$D$10)&amp;"","")&amp;"; "&amp;IFERROR(INDEX(Clay_Brands!$A$2:$FZ$601,171,Sync!$D$9)&amp;"",""))</f>
        <v/>
      </c>
      <c r="K3622" s="32" t="s">
        <v>1366</v>
      </c>
    </row>
    <row r="3623" customFormat="false" ht="15" hidden="false" customHeight="false" outlineLevel="0" collapsed="false">
      <c r="A3623" s="23" t="str">
        <f aca="false">IF(B3623="","",B3623+(15*1000+172)/10000000)</f>
        <v/>
      </c>
      <c r="B3623" s="35" t="str">
        <f aca="false">IF(AND(IFERROR(N(INDEX(Clay_Brands!$A$2:$FZ$601,172,Sync!$D$11)),0)&gt;0,IFERROR(INDEX(Clay_Brands!$A$2:$FZ$601,172,Sync!$D$5)&amp;"","")&lt;&gt;"",OR(LEFT(IFERROR(INDEX(Clay_Brands!$A$2:$FZ$601,172,Sync!$D$5)&amp;"",""),6)&lt;&gt;"SAMPLE",Config!$B$19="Y")),IFERROR(N(INDEX(Clay_Brands!$A$2:$FZ$601,172,Sync!$D$11)),0),"")</f>
        <v/>
      </c>
      <c r="C3623" s="23" t="str">
        <f aca="false">IF(B3623="","","brand")</f>
        <v/>
      </c>
      <c r="D3623" s="23" t="str">
        <f aca="false">IF(B3623="","",IFERROR(INDEX(Brand_Log!$DV$2:$DV$201,MATCH(IFERROR(INDEX(Clay_Brands!$A$2:$FZ$601,172,Sync!$D$5)&amp;"",""),Brand_Log!$A$2:$A$201,0))&amp;"",IFERROR(INDEX(Clay_Brands!$A$2:$FZ$601,172,Sync!$D$5)&amp;"","")&amp;""))</f>
        <v/>
      </c>
      <c r="E3623" s="23" t="str">
        <f aca="false">IF(B3623="","",IFERROR(INDEX(Clay_Brands!$A$2:$FZ$601,172,Sync!$D$6)&amp;"",""))</f>
        <v/>
      </c>
      <c r="F3623" s="23" t="str">
        <f aca="false">IF(B3623="","","outreach_sent")</f>
        <v/>
      </c>
      <c r="G3623" s="23" t="str">
        <f aca="false">IF(B3623="","","")</f>
        <v/>
      </c>
      <c r="H3623" s="23" t="str">
        <f aca="false">IF(B3623="","","")</f>
        <v/>
      </c>
      <c r="I3623" s="23" t="str">
        <f aca="false">IF(B3623="","","")</f>
        <v/>
      </c>
      <c r="J3623" s="23" t="str">
        <f aca="false">IF(B3623="","","touch_1; "&amp;IFERROR(INDEX(Clay_Brands!$A$2:$FZ$601,172,Sync!$D$10)&amp;"","")&amp;"; "&amp;IFERROR(INDEX(Clay_Brands!$A$2:$FZ$601,172,Sync!$D$9)&amp;"",""))</f>
        <v/>
      </c>
      <c r="K3623" s="32" t="s">
        <v>1366</v>
      </c>
    </row>
    <row r="3624" customFormat="false" ht="15" hidden="false" customHeight="false" outlineLevel="0" collapsed="false">
      <c r="A3624" s="23" t="str">
        <f aca="false">IF(B3624="","",B3624+(15*1000+173)/10000000)</f>
        <v/>
      </c>
      <c r="B3624" s="35" t="str">
        <f aca="false">IF(AND(IFERROR(N(INDEX(Clay_Brands!$A$2:$FZ$601,173,Sync!$D$11)),0)&gt;0,IFERROR(INDEX(Clay_Brands!$A$2:$FZ$601,173,Sync!$D$5)&amp;"","")&lt;&gt;"",OR(LEFT(IFERROR(INDEX(Clay_Brands!$A$2:$FZ$601,173,Sync!$D$5)&amp;"",""),6)&lt;&gt;"SAMPLE",Config!$B$19="Y")),IFERROR(N(INDEX(Clay_Brands!$A$2:$FZ$601,173,Sync!$D$11)),0),"")</f>
        <v/>
      </c>
      <c r="C3624" s="23" t="str">
        <f aca="false">IF(B3624="","","brand")</f>
        <v/>
      </c>
      <c r="D3624" s="23" t="str">
        <f aca="false">IF(B3624="","",IFERROR(INDEX(Brand_Log!$DV$2:$DV$201,MATCH(IFERROR(INDEX(Clay_Brands!$A$2:$FZ$601,173,Sync!$D$5)&amp;"",""),Brand_Log!$A$2:$A$201,0))&amp;"",IFERROR(INDEX(Clay_Brands!$A$2:$FZ$601,173,Sync!$D$5)&amp;"","")&amp;""))</f>
        <v/>
      </c>
      <c r="E3624" s="23" t="str">
        <f aca="false">IF(B3624="","",IFERROR(INDEX(Clay_Brands!$A$2:$FZ$601,173,Sync!$D$6)&amp;"",""))</f>
        <v/>
      </c>
      <c r="F3624" s="23" t="str">
        <f aca="false">IF(B3624="","","outreach_sent")</f>
        <v/>
      </c>
      <c r="G3624" s="23" t="str">
        <f aca="false">IF(B3624="","","")</f>
        <v/>
      </c>
      <c r="H3624" s="23" t="str">
        <f aca="false">IF(B3624="","","")</f>
        <v/>
      </c>
      <c r="I3624" s="23" t="str">
        <f aca="false">IF(B3624="","","")</f>
        <v/>
      </c>
      <c r="J3624" s="23" t="str">
        <f aca="false">IF(B3624="","","touch_1; "&amp;IFERROR(INDEX(Clay_Brands!$A$2:$FZ$601,173,Sync!$D$10)&amp;"","")&amp;"; "&amp;IFERROR(INDEX(Clay_Brands!$A$2:$FZ$601,173,Sync!$D$9)&amp;"",""))</f>
        <v/>
      </c>
      <c r="K3624" s="32" t="s">
        <v>1366</v>
      </c>
    </row>
    <row r="3625" customFormat="false" ht="15" hidden="false" customHeight="false" outlineLevel="0" collapsed="false">
      <c r="A3625" s="23" t="str">
        <f aca="false">IF(B3625="","",B3625+(15*1000+174)/10000000)</f>
        <v/>
      </c>
      <c r="B3625" s="35" t="str">
        <f aca="false">IF(AND(IFERROR(N(INDEX(Clay_Brands!$A$2:$FZ$601,174,Sync!$D$11)),0)&gt;0,IFERROR(INDEX(Clay_Brands!$A$2:$FZ$601,174,Sync!$D$5)&amp;"","")&lt;&gt;"",OR(LEFT(IFERROR(INDEX(Clay_Brands!$A$2:$FZ$601,174,Sync!$D$5)&amp;"",""),6)&lt;&gt;"SAMPLE",Config!$B$19="Y")),IFERROR(N(INDEX(Clay_Brands!$A$2:$FZ$601,174,Sync!$D$11)),0),"")</f>
        <v/>
      </c>
      <c r="C3625" s="23" t="str">
        <f aca="false">IF(B3625="","","brand")</f>
        <v/>
      </c>
      <c r="D3625" s="23" t="str">
        <f aca="false">IF(B3625="","",IFERROR(INDEX(Brand_Log!$DV$2:$DV$201,MATCH(IFERROR(INDEX(Clay_Brands!$A$2:$FZ$601,174,Sync!$D$5)&amp;"",""),Brand_Log!$A$2:$A$201,0))&amp;"",IFERROR(INDEX(Clay_Brands!$A$2:$FZ$601,174,Sync!$D$5)&amp;"","")&amp;""))</f>
        <v/>
      </c>
      <c r="E3625" s="23" t="str">
        <f aca="false">IF(B3625="","",IFERROR(INDEX(Clay_Brands!$A$2:$FZ$601,174,Sync!$D$6)&amp;"",""))</f>
        <v/>
      </c>
      <c r="F3625" s="23" t="str">
        <f aca="false">IF(B3625="","","outreach_sent")</f>
        <v/>
      </c>
      <c r="G3625" s="23" t="str">
        <f aca="false">IF(B3625="","","")</f>
        <v/>
      </c>
      <c r="H3625" s="23" t="str">
        <f aca="false">IF(B3625="","","")</f>
        <v/>
      </c>
      <c r="I3625" s="23" t="str">
        <f aca="false">IF(B3625="","","")</f>
        <v/>
      </c>
      <c r="J3625" s="23" t="str">
        <f aca="false">IF(B3625="","","touch_1; "&amp;IFERROR(INDEX(Clay_Brands!$A$2:$FZ$601,174,Sync!$D$10)&amp;"","")&amp;"; "&amp;IFERROR(INDEX(Clay_Brands!$A$2:$FZ$601,174,Sync!$D$9)&amp;"",""))</f>
        <v/>
      </c>
      <c r="K3625" s="32" t="s">
        <v>1366</v>
      </c>
    </row>
    <row r="3626" customFormat="false" ht="15" hidden="false" customHeight="false" outlineLevel="0" collapsed="false">
      <c r="A3626" s="23" t="str">
        <f aca="false">IF(B3626="","",B3626+(15*1000+175)/10000000)</f>
        <v/>
      </c>
      <c r="B3626" s="35" t="str">
        <f aca="false">IF(AND(IFERROR(N(INDEX(Clay_Brands!$A$2:$FZ$601,175,Sync!$D$11)),0)&gt;0,IFERROR(INDEX(Clay_Brands!$A$2:$FZ$601,175,Sync!$D$5)&amp;"","")&lt;&gt;"",OR(LEFT(IFERROR(INDEX(Clay_Brands!$A$2:$FZ$601,175,Sync!$D$5)&amp;"",""),6)&lt;&gt;"SAMPLE",Config!$B$19="Y")),IFERROR(N(INDEX(Clay_Brands!$A$2:$FZ$601,175,Sync!$D$11)),0),"")</f>
        <v/>
      </c>
      <c r="C3626" s="23" t="str">
        <f aca="false">IF(B3626="","","brand")</f>
        <v/>
      </c>
      <c r="D3626" s="23" t="str">
        <f aca="false">IF(B3626="","",IFERROR(INDEX(Brand_Log!$DV$2:$DV$201,MATCH(IFERROR(INDEX(Clay_Brands!$A$2:$FZ$601,175,Sync!$D$5)&amp;"",""),Brand_Log!$A$2:$A$201,0))&amp;"",IFERROR(INDEX(Clay_Brands!$A$2:$FZ$601,175,Sync!$D$5)&amp;"","")&amp;""))</f>
        <v/>
      </c>
      <c r="E3626" s="23" t="str">
        <f aca="false">IF(B3626="","",IFERROR(INDEX(Clay_Brands!$A$2:$FZ$601,175,Sync!$D$6)&amp;"",""))</f>
        <v/>
      </c>
      <c r="F3626" s="23" t="str">
        <f aca="false">IF(B3626="","","outreach_sent")</f>
        <v/>
      </c>
      <c r="G3626" s="23" t="str">
        <f aca="false">IF(B3626="","","")</f>
        <v/>
      </c>
      <c r="H3626" s="23" t="str">
        <f aca="false">IF(B3626="","","")</f>
        <v/>
      </c>
      <c r="I3626" s="23" t="str">
        <f aca="false">IF(B3626="","","")</f>
        <v/>
      </c>
      <c r="J3626" s="23" t="str">
        <f aca="false">IF(B3626="","","touch_1; "&amp;IFERROR(INDEX(Clay_Brands!$A$2:$FZ$601,175,Sync!$D$10)&amp;"","")&amp;"; "&amp;IFERROR(INDEX(Clay_Brands!$A$2:$FZ$601,175,Sync!$D$9)&amp;"",""))</f>
        <v/>
      </c>
      <c r="K3626" s="32" t="s">
        <v>1366</v>
      </c>
    </row>
    <row r="3627" customFormat="false" ht="15" hidden="false" customHeight="false" outlineLevel="0" collapsed="false">
      <c r="A3627" s="23" t="str">
        <f aca="false">IF(B3627="","",B3627+(15*1000+176)/10000000)</f>
        <v/>
      </c>
      <c r="B3627" s="35" t="str">
        <f aca="false">IF(AND(IFERROR(N(INDEX(Clay_Brands!$A$2:$FZ$601,176,Sync!$D$11)),0)&gt;0,IFERROR(INDEX(Clay_Brands!$A$2:$FZ$601,176,Sync!$D$5)&amp;"","")&lt;&gt;"",OR(LEFT(IFERROR(INDEX(Clay_Brands!$A$2:$FZ$601,176,Sync!$D$5)&amp;"",""),6)&lt;&gt;"SAMPLE",Config!$B$19="Y")),IFERROR(N(INDEX(Clay_Brands!$A$2:$FZ$601,176,Sync!$D$11)),0),"")</f>
        <v/>
      </c>
      <c r="C3627" s="23" t="str">
        <f aca="false">IF(B3627="","","brand")</f>
        <v/>
      </c>
      <c r="D3627" s="23" t="str">
        <f aca="false">IF(B3627="","",IFERROR(INDEX(Brand_Log!$DV$2:$DV$201,MATCH(IFERROR(INDEX(Clay_Brands!$A$2:$FZ$601,176,Sync!$D$5)&amp;"",""),Brand_Log!$A$2:$A$201,0))&amp;"",IFERROR(INDEX(Clay_Brands!$A$2:$FZ$601,176,Sync!$D$5)&amp;"","")&amp;""))</f>
        <v/>
      </c>
      <c r="E3627" s="23" t="str">
        <f aca="false">IF(B3627="","",IFERROR(INDEX(Clay_Brands!$A$2:$FZ$601,176,Sync!$D$6)&amp;"",""))</f>
        <v/>
      </c>
      <c r="F3627" s="23" t="str">
        <f aca="false">IF(B3627="","","outreach_sent")</f>
        <v/>
      </c>
      <c r="G3627" s="23" t="str">
        <f aca="false">IF(B3627="","","")</f>
        <v/>
      </c>
      <c r="H3627" s="23" t="str">
        <f aca="false">IF(B3627="","","")</f>
        <v/>
      </c>
      <c r="I3627" s="23" t="str">
        <f aca="false">IF(B3627="","","")</f>
        <v/>
      </c>
      <c r="J3627" s="23" t="str">
        <f aca="false">IF(B3627="","","touch_1; "&amp;IFERROR(INDEX(Clay_Brands!$A$2:$FZ$601,176,Sync!$D$10)&amp;"","")&amp;"; "&amp;IFERROR(INDEX(Clay_Brands!$A$2:$FZ$601,176,Sync!$D$9)&amp;"",""))</f>
        <v/>
      </c>
      <c r="K3627" s="32" t="s">
        <v>1366</v>
      </c>
    </row>
    <row r="3628" customFormat="false" ht="15" hidden="false" customHeight="false" outlineLevel="0" collapsed="false">
      <c r="A3628" s="23" t="str">
        <f aca="false">IF(B3628="","",B3628+(15*1000+177)/10000000)</f>
        <v/>
      </c>
      <c r="B3628" s="35" t="str">
        <f aca="false">IF(AND(IFERROR(N(INDEX(Clay_Brands!$A$2:$FZ$601,177,Sync!$D$11)),0)&gt;0,IFERROR(INDEX(Clay_Brands!$A$2:$FZ$601,177,Sync!$D$5)&amp;"","")&lt;&gt;"",OR(LEFT(IFERROR(INDEX(Clay_Brands!$A$2:$FZ$601,177,Sync!$D$5)&amp;"",""),6)&lt;&gt;"SAMPLE",Config!$B$19="Y")),IFERROR(N(INDEX(Clay_Brands!$A$2:$FZ$601,177,Sync!$D$11)),0),"")</f>
        <v/>
      </c>
      <c r="C3628" s="23" t="str">
        <f aca="false">IF(B3628="","","brand")</f>
        <v/>
      </c>
      <c r="D3628" s="23" t="str">
        <f aca="false">IF(B3628="","",IFERROR(INDEX(Brand_Log!$DV$2:$DV$201,MATCH(IFERROR(INDEX(Clay_Brands!$A$2:$FZ$601,177,Sync!$D$5)&amp;"",""),Brand_Log!$A$2:$A$201,0))&amp;"",IFERROR(INDEX(Clay_Brands!$A$2:$FZ$601,177,Sync!$D$5)&amp;"","")&amp;""))</f>
        <v/>
      </c>
      <c r="E3628" s="23" t="str">
        <f aca="false">IF(B3628="","",IFERROR(INDEX(Clay_Brands!$A$2:$FZ$601,177,Sync!$D$6)&amp;"",""))</f>
        <v/>
      </c>
      <c r="F3628" s="23" t="str">
        <f aca="false">IF(B3628="","","outreach_sent")</f>
        <v/>
      </c>
      <c r="G3628" s="23" t="str">
        <f aca="false">IF(B3628="","","")</f>
        <v/>
      </c>
      <c r="H3628" s="23" t="str">
        <f aca="false">IF(B3628="","","")</f>
        <v/>
      </c>
      <c r="I3628" s="23" t="str">
        <f aca="false">IF(B3628="","","")</f>
        <v/>
      </c>
      <c r="J3628" s="23" t="str">
        <f aca="false">IF(B3628="","","touch_1; "&amp;IFERROR(INDEX(Clay_Brands!$A$2:$FZ$601,177,Sync!$D$10)&amp;"","")&amp;"; "&amp;IFERROR(INDEX(Clay_Brands!$A$2:$FZ$601,177,Sync!$D$9)&amp;"",""))</f>
        <v/>
      </c>
      <c r="K3628" s="32" t="s">
        <v>1366</v>
      </c>
    </row>
    <row r="3629" customFormat="false" ht="15" hidden="false" customHeight="false" outlineLevel="0" collapsed="false">
      <c r="A3629" s="23" t="str">
        <f aca="false">IF(B3629="","",B3629+(15*1000+178)/10000000)</f>
        <v/>
      </c>
      <c r="B3629" s="35" t="str">
        <f aca="false">IF(AND(IFERROR(N(INDEX(Clay_Brands!$A$2:$FZ$601,178,Sync!$D$11)),0)&gt;0,IFERROR(INDEX(Clay_Brands!$A$2:$FZ$601,178,Sync!$D$5)&amp;"","")&lt;&gt;"",OR(LEFT(IFERROR(INDEX(Clay_Brands!$A$2:$FZ$601,178,Sync!$D$5)&amp;"",""),6)&lt;&gt;"SAMPLE",Config!$B$19="Y")),IFERROR(N(INDEX(Clay_Brands!$A$2:$FZ$601,178,Sync!$D$11)),0),"")</f>
        <v/>
      </c>
      <c r="C3629" s="23" t="str">
        <f aca="false">IF(B3629="","","brand")</f>
        <v/>
      </c>
      <c r="D3629" s="23" t="str">
        <f aca="false">IF(B3629="","",IFERROR(INDEX(Brand_Log!$DV$2:$DV$201,MATCH(IFERROR(INDEX(Clay_Brands!$A$2:$FZ$601,178,Sync!$D$5)&amp;"",""),Brand_Log!$A$2:$A$201,0))&amp;"",IFERROR(INDEX(Clay_Brands!$A$2:$FZ$601,178,Sync!$D$5)&amp;"","")&amp;""))</f>
        <v/>
      </c>
      <c r="E3629" s="23" t="str">
        <f aca="false">IF(B3629="","",IFERROR(INDEX(Clay_Brands!$A$2:$FZ$601,178,Sync!$D$6)&amp;"",""))</f>
        <v/>
      </c>
      <c r="F3629" s="23" t="str">
        <f aca="false">IF(B3629="","","outreach_sent")</f>
        <v/>
      </c>
      <c r="G3629" s="23" t="str">
        <f aca="false">IF(B3629="","","")</f>
        <v/>
      </c>
      <c r="H3629" s="23" t="str">
        <f aca="false">IF(B3629="","","")</f>
        <v/>
      </c>
      <c r="I3629" s="23" t="str">
        <f aca="false">IF(B3629="","","")</f>
        <v/>
      </c>
      <c r="J3629" s="23" t="str">
        <f aca="false">IF(B3629="","","touch_1; "&amp;IFERROR(INDEX(Clay_Brands!$A$2:$FZ$601,178,Sync!$D$10)&amp;"","")&amp;"; "&amp;IFERROR(INDEX(Clay_Brands!$A$2:$FZ$601,178,Sync!$D$9)&amp;"",""))</f>
        <v/>
      </c>
      <c r="K3629" s="32" t="s">
        <v>1366</v>
      </c>
    </row>
    <row r="3630" customFormat="false" ht="15" hidden="false" customHeight="false" outlineLevel="0" collapsed="false">
      <c r="A3630" s="23" t="str">
        <f aca="false">IF(B3630="","",B3630+(15*1000+179)/10000000)</f>
        <v/>
      </c>
      <c r="B3630" s="35" t="str">
        <f aca="false">IF(AND(IFERROR(N(INDEX(Clay_Brands!$A$2:$FZ$601,179,Sync!$D$11)),0)&gt;0,IFERROR(INDEX(Clay_Brands!$A$2:$FZ$601,179,Sync!$D$5)&amp;"","")&lt;&gt;"",OR(LEFT(IFERROR(INDEX(Clay_Brands!$A$2:$FZ$601,179,Sync!$D$5)&amp;"",""),6)&lt;&gt;"SAMPLE",Config!$B$19="Y")),IFERROR(N(INDEX(Clay_Brands!$A$2:$FZ$601,179,Sync!$D$11)),0),"")</f>
        <v/>
      </c>
      <c r="C3630" s="23" t="str">
        <f aca="false">IF(B3630="","","brand")</f>
        <v/>
      </c>
      <c r="D3630" s="23" t="str">
        <f aca="false">IF(B3630="","",IFERROR(INDEX(Brand_Log!$DV$2:$DV$201,MATCH(IFERROR(INDEX(Clay_Brands!$A$2:$FZ$601,179,Sync!$D$5)&amp;"",""),Brand_Log!$A$2:$A$201,0))&amp;"",IFERROR(INDEX(Clay_Brands!$A$2:$FZ$601,179,Sync!$D$5)&amp;"","")&amp;""))</f>
        <v/>
      </c>
      <c r="E3630" s="23" t="str">
        <f aca="false">IF(B3630="","",IFERROR(INDEX(Clay_Brands!$A$2:$FZ$601,179,Sync!$D$6)&amp;"",""))</f>
        <v/>
      </c>
      <c r="F3630" s="23" t="str">
        <f aca="false">IF(B3630="","","outreach_sent")</f>
        <v/>
      </c>
      <c r="G3630" s="23" t="str">
        <f aca="false">IF(B3630="","","")</f>
        <v/>
      </c>
      <c r="H3630" s="23" t="str">
        <f aca="false">IF(B3630="","","")</f>
        <v/>
      </c>
      <c r="I3630" s="23" t="str">
        <f aca="false">IF(B3630="","","")</f>
        <v/>
      </c>
      <c r="J3630" s="23" t="str">
        <f aca="false">IF(B3630="","","touch_1; "&amp;IFERROR(INDEX(Clay_Brands!$A$2:$FZ$601,179,Sync!$D$10)&amp;"","")&amp;"; "&amp;IFERROR(INDEX(Clay_Brands!$A$2:$FZ$601,179,Sync!$D$9)&amp;"",""))</f>
        <v/>
      </c>
      <c r="K3630" s="32" t="s">
        <v>1366</v>
      </c>
    </row>
    <row r="3631" customFormat="false" ht="15" hidden="false" customHeight="false" outlineLevel="0" collapsed="false">
      <c r="A3631" s="23" t="str">
        <f aca="false">IF(B3631="","",B3631+(15*1000+180)/10000000)</f>
        <v/>
      </c>
      <c r="B3631" s="35" t="str">
        <f aca="false">IF(AND(IFERROR(N(INDEX(Clay_Brands!$A$2:$FZ$601,180,Sync!$D$11)),0)&gt;0,IFERROR(INDEX(Clay_Brands!$A$2:$FZ$601,180,Sync!$D$5)&amp;"","")&lt;&gt;"",OR(LEFT(IFERROR(INDEX(Clay_Brands!$A$2:$FZ$601,180,Sync!$D$5)&amp;"",""),6)&lt;&gt;"SAMPLE",Config!$B$19="Y")),IFERROR(N(INDEX(Clay_Brands!$A$2:$FZ$601,180,Sync!$D$11)),0),"")</f>
        <v/>
      </c>
      <c r="C3631" s="23" t="str">
        <f aca="false">IF(B3631="","","brand")</f>
        <v/>
      </c>
      <c r="D3631" s="23" t="str">
        <f aca="false">IF(B3631="","",IFERROR(INDEX(Brand_Log!$DV$2:$DV$201,MATCH(IFERROR(INDEX(Clay_Brands!$A$2:$FZ$601,180,Sync!$D$5)&amp;"",""),Brand_Log!$A$2:$A$201,0))&amp;"",IFERROR(INDEX(Clay_Brands!$A$2:$FZ$601,180,Sync!$D$5)&amp;"","")&amp;""))</f>
        <v/>
      </c>
      <c r="E3631" s="23" t="str">
        <f aca="false">IF(B3631="","",IFERROR(INDEX(Clay_Brands!$A$2:$FZ$601,180,Sync!$D$6)&amp;"",""))</f>
        <v/>
      </c>
      <c r="F3631" s="23" t="str">
        <f aca="false">IF(B3631="","","outreach_sent")</f>
        <v/>
      </c>
      <c r="G3631" s="23" t="str">
        <f aca="false">IF(B3631="","","")</f>
        <v/>
      </c>
      <c r="H3631" s="23" t="str">
        <f aca="false">IF(B3631="","","")</f>
        <v/>
      </c>
      <c r="I3631" s="23" t="str">
        <f aca="false">IF(B3631="","","")</f>
        <v/>
      </c>
      <c r="J3631" s="23" t="str">
        <f aca="false">IF(B3631="","","touch_1; "&amp;IFERROR(INDEX(Clay_Brands!$A$2:$FZ$601,180,Sync!$D$10)&amp;"","")&amp;"; "&amp;IFERROR(INDEX(Clay_Brands!$A$2:$FZ$601,180,Sync!$D$9)&amp;"",""))</f>
        <v/>
      </c>
      <c r="K3631" s="32" t="s">
        <v>1366</v>
      </c>
    </row>
    <row r="3632" customFormat="false" ht="15" hidden="false" customHeight="false" outlineLevel="0" collapsed="false">
      <c r="A3632" s="23" t="str">
        <f aca="false">IF(B3632="","",B3632+(15*1000+181)/10000000)</f>
        <v/>
      </c>
      <c r="B3632" s="35" t="str">
        <f aca="false">IF(AND(IFERROR(N(INDEX(Clay_Brands!$A$2:$FZ$601,181,Sync!$D$11)),0)&gt;0,IFERROR(INDEX(Clay_Brands!$A$2:$FZ$601,181,Sync!$D$5)&amp;"","")&lt;&gt;"",OR(LEFT(IFERROR(INDEX(Clay_Brands!$A$2:$FZ$601,181,Sync!$D$5)&amp;"",""),6)&lt;&gt;"SAMPLE",Config!$B$19="Y")),IFERROR(N(INDEX(Clay_Brands!$A$2:$FZ$601,181,Sync!$D$11)),0),"")</f>
        <v/>
      </c>
      <c r="C3632" s="23" t="str">
        <f aca="false">IF(B3632="","","brand")</f>
        <v/>
      </c>
      <c r="D3632" s="23" t="str">
        <f aca="false">IF(B3632="","",IFERROR(INDEX(Brand_Log!$DV$2:$DV$201,MATCH(IFERROR(INDEX(Clay_Brands!$A$2:$FZ$601,181,Sync!$D$5)&amp;"",""),Brand_Log!$A$2:$A$201,0))&amp;"",IFERROR(INDEX(Clay_Brands!$A$2:$FZ$601,181,Sync!$D$5)&amp;"","")&amp;""))</f>
        <v/>
      </c>
      <c r="E3632" s="23" t="str">
        <f aca="false">IF(B3632="","",IFERROR(INDEX(Clay_Brands!$A$2:$FZ$601,181,Sync!$D$6)&amp;"",""))</f>
        <v/>
      </c>
      <c r="F3632" s="23" t="str">
        <f aca="false">IF(B3632="","","outreach_sent")</f>
        <v/>
      </c>
      <c r="G3632" s="23" t="str">
        <f aca="false">IF(B3632="","","")</f>
        <v/>
      </c>
      <c r="H3632" s="23" t="str">
        <f aca="false">IF(B3632="","","")</f>
        <v/>
      </c>
      <c r="I3632" s="23" t="str">
        <f aca="false">IF(B3632="","","")</f>
        <v/>
      </c>
      <c r="J3632" s="23" t="str">
        <f aca="false">IF(B3632="","","touch_1; "&amp;IFERROR(INDEX(Clay_Brands!$A$2:$FZ$601,181,Sync!$D$10)&amp;"","")&amp;"; "&amp;IFERROR(INDEX(Clay_Brands!$A$2:$FZ$601,181,Sync!$D$9)&amp;"",""))</f>
        <v/>
      </c>
      <c r="K3632" s="32" t="s">
        <v>1366</v>
      </c>
    </row>
    <row r="3633" customFormat="false" ht="15" hidden="false" customHeight="false" outlineLevel="0" collapsed="false">
      <c r="A3633" s="23" t="str">
        <f aca="false">IF(B3633="","",B3633+(15*1000+182)/10000000)</f>
        <v/>
      </c>
      <c r="B3633" s="35" t="str">
        <f aca="false">IF(AND(IFERROR(N(INDEX(Clay_Brands!$A$2:$FZ$601,182,Sync!$D$11)),0)&gt;0,IFERROR(INDEX(Clay_Brands!$A$2:$FZ$601,182,Sync!$D$5)&amp;"","")&lt;&gt;"",OR(LEFT(IFERROR(INDEX(Clay_Brands!$A$2:$FZ$601,182,Sync!$D$5)&amp;"",""),6)&lt;&gt;"SAMPLE",Config!$B$19="Y")),IFERROR(N(INDEX(Clay_Brands!$A$2:$FZ$601,182,Sync!$D$11)),0),"")</f>
        <v/>
      </c>
      <c r="C3633" s="23" t="str">
        <f aca="false">IF(B3633="","","brand")</f>
        <v/>
      </c>
      <c r="D3633" s="23" t="str">
        <f aca="false">IF(B3633="","",IFERROR(INDEX(Brand_Log!$DV$2:$DV$201,MATCH(IFERROR(INDEX(Clay_Brands!$A$2:$FZ$601,182,Sync!$D$5)&amp;"",""),Brand_Log!$A$2:$A$201,0))&amp;"",IFERROR(INDEX(Clay_Brands!$A$2:$FZ$601,182,Sync!$D$5)&amp;"","")&amp;""))</f>
        <v/>
      </c>
      <c r="E3633" s="23" t="str">
        <f aca="false">IF(B3633="","",IFERROR(INDEX(Clay_Brands!$A$2:$FZ$601,182,Sync!$D$6)&amp;"",""))</f>
        <v/>
      </c>
      <c r="F3633" s="23" t="str">
        <f aca="false">IF(B3633="","","outreach_sent")</f>
        <v/>
      </c>
      <c r="G3633" s="23" t="str">
        <f aca="false">IF(B3633="","","")</f>
        <v/>
      </c>
      <c r="H3633" s="23" t="str">
        <f aca="false">IF(B3633="","","")</f>
        <v/>
      </c>
      <c r="I3633" s="23" t="str">
        <f aca="false">IF(B3633="","","")</f>
        <v/>
      </c>
      <c r="J3633" s="23" t="str">
        <f aca="false">IF(B3633="","","touch_1; "&amp;IFERROR(INDEX(Clay_Brands!$A$2:$FZ$601,182,Sync!$D$10)&amp;"","")&amp;"; "&amp;IFERROR(INDEX(Clay_Brands!$A$2:$FZ$601,182,Sync!$D$9)&amp;"",""))</f>
        <v/>
      </c>
      <c r="K3633" s="32" t="s">
        <v>1366</v>
      </c>
    </row>
    <row r="3634" customFormat="false" ht="15" hidden="false" customHeight="false" outlineLevel="0" collapsed="false">
      <c r="A3634" s="23" t="str">
        <f aca="false">IF(B3634="","",B3634+(15*1000+183)/10000000)</f>
        <v/>
      </c>
      <c r="B3634" s="35" t="str">
        <f aca="false">IF(AND(IFERROR(N(INDEX(Clay_Brands!$A$2:$FZ$601,183,Sync!$D$11)),0)&gt;0,IFERROR(INDEX(Clay_Brands!$A$2:$FZ$601,183,Sync!$D$5)&amp;"","")&lt;&gt;"",OR(LEFT(IFERROR(INDEX(Clay_Brands!$A$2:$FZ$601,183,Sync!$D$5)&amp;"",""),6)&lt;&gt;"SAMPLE",Config!$B$19="Y")),IFERROR(N(INDEX(Clay_Brands!$A$2:$FZ$601,183,Sync!$D$11)),0),"")</f>
        <v/>
      </c>
      <c r="C3634" s="23" t="str">
        <f aca="false">IF(B3634="","","brand")</f>
        <v/>
      </c>
      <c r="D3634" s="23" t="str">
        <f aca="false">IF(B3634="","",IFERROR(INDEX(Brand_Log!$DV$2:$DV$201,MATCH(IFERROR(INDEX(Clay_Brands!$A$2:$FZ$601,183,Sync!$D$5)&amp;"",""),Brand_Log!$A$2:$A$201,0))&amp;"",IFERROR(INDEX(Clay_Brands!$A$2:$FZ$601,183,Sync!$D$5)&amp;"","")&amp;""))</f>
        <v/>
      </c>
      <c r="E3634" s="23" t="str">
        <f aca="false">IF(B3634="","",IFERROR(INDEX(Clay_Brands!$A$2:$FZ$601,183,Sync!$D$6)&amp;"",""))</f>
        <v/>
      </c>
      <c r="F3634" s="23" t="str">
        <f aca="false">IF(B3634="","","outreach_sent")</f>
        <v/>
      </c>
      <c r="G3634" s="23" t="str">
        <f aca="false">IF(B3634="","","")</f>
        <v/>
      </c>
      <c r="H3634" s="23" t="str">
        <f aca="false">IF(B3634="","","")</f>
        <v/>
      </c>
      <c r="I3634" s="23" t="str">
        <f aca="false">IF(B3634="","","")</f>
        <v/>
      </c>
      <c r="J3634" s="23" t="str">
        <f aca="false">IF(B3634="","","touch_1; "&amp;IFERROR(INDEX(Clay_Brands!$A$2:$FZ$601,183,Sync!$D$10)&amp;"","")&amp;"; "&amp;IFERROR(INDEX(Clay_Brands!$A$2:$FZ$601,183,Sync!$D$9)&amp;"",""))</f>
        <v/>
      </c>
      <c r="K3634" s="32" t="s">
        <v>1366</v>
      </c>
    </row>
    <row r="3635" customFormat="false" ht="15" hidden="false" customHeight="false" outlineLevel="0" collapsed="false">
      <c r="A3635" s="23" t="str">
        <f aca="false">IF(B3635="","",B3635+(15*1000+184)/10000000)</f>
        <v/>
      </c>
      <c r="B3635" s="35" t="str">
        <f aca="false">IF(AND(IFERROR(N(INDEX(Clay_Brands!$A$2:$FZ$601,184,Sync!$D$11)),0)&gt;0,IFERROR(INDEX(Clay_Brands!$A$2:$FZ$601,184,Sync!$D$5)&amp;"","")&lt;&gt;"",OR(LEFT(IFERROR(INDEX(Clay_Brands!$A$2:$FZ$601,184,Sync!$D$5)&amp;"",""),6)&lt;&gt;"SAMPLE",Config!$B$19="Y")),IFERROR(N(INDEX(Clay_Brands!$A$2:$FZ$601,184,Sync!$D$11)),0),"")</f>
        <v/>
      </c>
      <c r="C3635" s="23" t="str">
        <f aca="false">IF(B3635="","","brand")</f>
        <v/>
      </c>
      <c r="D3635" s="23" t="str">
        <f aca="false">IF(B3635="","",IFERROR(INDEX(Brand_Log!$DV$2:$DV$201,MATCH(IFERROR(INDEX(Clay_Brands!$A$2:$FZ$601,184,Sync!$D$5)&amp;"",""),Brand_Log!$A$2:$A$201,0))&amp;"",IFERROR(INDEX(Clay_Brands!$A$2:$FZ$601,184,Sync!$D$5)&amp;"","")&amp;""))</f>
        <v/>
      </c>
      <c r="E3635" s="23" t="str">
        <f aca="false">IF(B3635="","",IFERROR(INDEX(Clay_Brands!$A$2:$FZ$601,184,Sync!$D$6)&amp;"",""))</f>
        <v/>
      </c>
      <c r="F3635" s="23" t="str">
        <f aca="false">IF(B3635="","","outreach_sent")</f>
        <v/>
      </c>
      <c r="G3635" s="23" t="str">
        <f aca="false">IF(B3635="","","")</f>
        <v/>
      </c>
      <c r="H3635" s="23" t="str">
        <f aca="false">IF(B3635="","","")</f>
        <v/>
      </c>
      <c r="I3635" s="23" t="str">
        <f aca="false">IF(B3635="","","")</f>
        <v/>
      </c>
      <c r="J3635" s="23" t="str">
        <f aca="false">IF(B3635="","","touch_1; "&amp;IFERROR(INDEX(Clay_Brands!$A$2:$FZ$601,184,Sync!$D$10)&amp;"","")&amp;"; "&amp;IFERROR(INDEX(Clay_Brands!$A$2:$FZ$601,184,Sync!$D$9)&amp;"",""))</f>
        <v/>
      </c>
      <c r="K3635" s="32" t="s">
        <v>1366</v>
      </c>
    </row>
    <row r="3636" customFormat="false" ht="15" hidden="false" customHeight="false" outlineLevel="0" collapsed="false">
      <c r="A3636" s="23" t="str">
        <f aca="false">IF(B3636="","",B3636+(15*1000+185)/10000000)</f>
        <v/>
      </c>
      <c r="B3636" s="35" t="str">
        <f aca="false">IF(AND(IFERROR(N(INDEX(Clay_Brands!$A$2:$FZ$601,185,Sync!$D$11)),0)&gt;0,IFERROR(INDEX(Clay_Brands!$A$2:$FZ$601,185,Sync!$D$5)&amp;"","")&lt;&gt;"",OR(LEFT(IFERROR(INDEX(Clay_Brands!$A$2:$FZ$601,185,Sync!$D$5)&amp;"",""),6)&lt;&gt;"SAMPLE",Config!$B$19="Y")),IFERROR(N(INDEX(Clay_Brands!$A$2:$FZ$601,185,Sync!$D$11)),0),"")</f>
        <v/>
      </c>
      <c r="C3636" s="23" t="str">
        <f aca="false">IF(B3636="","","brand")</f>
        <v/>
      </c>
      <c r="D3636" s="23" t="str">
        <f aca="false">IF(B3636="","",IFERROR(INDEX(Brand_Log!$DV$2:$DV$201,MATCH(IFERROR(INDEX(Clay_Brands!$A$2:$FZ$601,185,Sync!$D$5)&amp;"",""),Brand_Log!$A$2:$A$201,0))&amp;"",IFERROR(INDEX(Clay_Brands!$A$2:$FZ$601,185,Sync!$D$5)&amp;"","")&amp;""))</f>
        <v/>
      </c>
      <c r="E3636" s="23" t="str">
        <f aca="false">IF(B3636="","",IFERROR(INDEX(Clay_Brands!$A$2:$FZ$601,185,Sync!$D$6)&amp;"",""))</f>
        <v/>
      </c>
      <c r="F3636" s="23" t="str">
        <f aca="false">IF(B3636="","","outreach_sent")</f>
        <v/>
      </c>
      <c r="G3636" s="23" t="str">
        <f aca="false">IF(B3636="","","")</f>
        <v/>
      </c>
      <c r="H3636" s="23" t="str">
        <f aca="false">IF(B3636="","","")</f>
        <v/>
      </c>
      <c r="I3636" s="23" t="str">
        <f aca="false">IF(B3636="","","")</f>
        <v/>
      </c>
      <c r="J3636" s="23" t="str">
        <f aca="false">IF(B3636="","","touch_1; "&amp;IFERROR(INDEX(Clay_Brands!$A$2:$FZ$601,185,Sync!$D$10)&amp;"","")&amp;"; "&amp;IFERROR(INDEX(Clay_Brands!$A$2:$FZ$601,185,Sync!$D$9)&amp;"",""))</f>
        <v/>
      </c>
      <c r="K3636" s="32" t="s">
        <v>1366</v>
      </c>
    </row>
    <row r="3637" customFormat="false" ht="15" hidden="false" customHeight="false" outlineLevel="0" collapsed="false">
      <c r="A3637" s="23" t="str">
        <f aca="false">IF(B3637="","",B3637+(15*1000+186)/10000000)</f>
        <v/>
      </c>
      <c r="B3637" s="35" t="str">
        <f aca="false">IF(AND(IFERROR(N(INDEX(Clay_Brands!$A$2:$FZ$601,186,Sync!$D$11)),0)&gt;0,IFERROR(INDEX(Clay_Brands!$A$2:$FZ$601,186,Sync!$D$5)&amp;"","")&lt;&gt;"",OR(LEFT(IFERROR(INDEX(Clay_Brands!$A$2:$FZ$601,186,Sync!$D$5)&amp;"",""),6)&lt;&gt;"SAMPLE",Config!$B$19="Y")),IFERROR(N(INDEX(Clay_Brands!$A$2:$FZ$601,186,Sync!$D$11)),0),"")</f>
        <v/>
      </c>
      <c r="C3637" s="23" t="str">
        <f aca="false">IF(B3637="","","brand")</f>
        <v/>
      </c>
      <c r="D3637" s="23" t="str">
        <f aca="false">IF(B3637="","",IFERROR(INDEX(Brand_Log!$DV$2:$DV$201,MATCH(IFERROR(INDEX(Clay_Brands!$A$2:$FZ$601,186,Sync!$D$5)&amp;"",""),Brand_Log!$A$2:$A$201,0))&amp;"",IFERROR(INDEX(Clay_Brands!$A$2:$FZ$601,186,Sync!$D$5)&amp;"","")&amp;""))</f>
        <v/>
      </c>
      <c r="E3637" s="23" t="str">
        <f aca="false">IF(B3637="","",IFERROR(INDEX(Clay_Brands!$A$2:$FZ$601,186,Sync!$D$6)&amp;"",""))</f>
        <v/>
      </c>
      <c r="F3637" s="23" t="str">
        <f aca="false">IF(B3637="","","outreach_sent")</f>
        <v/>
      </c>
      <c r="G3637" s="23" t="str">
        <f aca="false">IF(B3637="","","")</f>
        <v/>
      </c>
      <c r="H3637" s="23" t="str">
        <f aca="false">IF(B3637="","","")</f>
        <v/>
      </c>
      <c r="I3637" s="23" t="str">
        <f aca="false">IF(B3637="","","")</f>
        <v/>
      </c>
      <c r="J3637" s="23" t="str">
        <f aca="false">IF(B3637="","","touch_1; "&amp;IFERROR(INDEX(Clay_Brands!$A$2:$FZ$601,186,Sync!$D$10)&amp;"","")&amp;"; "&amp;IFERROR(INDEX(Clay_Brands!$A$2:$FZ$601,186,Sync!$D$9)&amp;"",""))</f>
        <v/>
      </c>
      <c r="K3637" s="32" t="s">
        <v>1366</v>
      </c>
    </row>
    <row r="3638" customFormat="false" ht="15" hidden="false" customHeight="false" outlineLevel="0" collapsed="false">
      <c r="A3638" s="23" t="str">
        <f aca="false">IF(B3638="","",B3638+(15*1000+187)/10000000)</f>
        <v/>
      </c>
      <c r="B3638" s="35" t="str">
        <f aca="false">IF(AND(IFERROR(N(INDEX(Clay_Brands!$A$2:$FZ$601,187,Sync!$D$11)),0)&gt;0,IFERROR(INDEX(Clay_Brands!$A$2:$FZ$601,187,Sync!$D$5)&amp;"","")&lt;&gt;"",OR(LEFT(IFERROR(INDEX(Clay_Brands!$A$2:$FZ$601,187,Sync!$D$5)&amp;"",""),6)&lt;&gt;"SAMPLE",Config!$B$19="Y")),IFERROR(N(INDEX(Clay_Brands!$A$2:$FZ$601,187,Sync!$D$11)),0),"")</f>
        <v/>
      </c>
      <c r="C3638" s="23" t="str">
        <f aca="false">IF(B3638="","","brand")</f>
        <v/>
      </c>
      <c r="D3638" s="23" t="str">
        <f aca="false">IF(B3638="","",IFERROR(INDEX(Brand_Log!$DV$2:$DV$201,MATCH(IFERROR(INDEX(Clay_Brands!$A$2:$FZ$601,187,Sync!$D$5)&amp;"",""),Brand_Log!$A$2:$A$201,0))&amp;"",IFERROR(INDEX(Clay_Brands!$A$2:$FZ$601,187,Sync!$D$5)&amp;"","")&amp;""))</f>
        <v/>
      </c>
      <c r="E3638" s="23" t="str">
        <f aca="false">IF(B3638="","",IFERROR(INDEX(Clay_Brands!$A$2:$FZ$601,187,Sync!$D$6)&amp;"",""))</f>
        <v/>
      </c>
      <c r="F3638" s="23" t="str">
        <f aca="false">IF(B3638="","","outreach_sent")</f>
        <v/>
      </c>
      <c r="G3638" s="23" t="str">
        <f aca="false">IF(B3638="","","")</f>
        <v/>
      </c>
      <c r="H3638" s="23" t="str">
        <f aca="false">IF(B3638="","","")</f>
        <v/>
      </c>
      <c r="I3638" s="23" t="str">
        <f aca="false">IF(B3638="","","")</f>
        <v/>
      </c>
      <c r="J3638" s="23" t="str">
        <f aca="false">IF(B3638="","","touch_1; "&amp;IFERROR(INDEX(Clay_Brands!$A$2:$FZ$601,187,Sync!$D$10)&amp;"","")&amp;"; "&amp;IFERROR(INDEX(Clay_Brands!$A$2:$FZ$601,187,Sync!$D$9)&amp;"",""))</f>
        <v/>
      </c>
      <c r="K3638" s="32" t="s">
        <v>1366</v>
      </c>
    </row>
    <row r="3639" customFormat="false" ht="15" hidden="false" customHeight="false" outlineLevel="0" collapsed="false">
      <c r="A3639" s="23" t="str">
        <f aca="false">IF(B3639="","",B3639+(15*1000+188)/10000000)</f>
        <v/>
      </c>
      <c r="B3639" s="35" t="str">
        <f aca="false">IF(AND(IFERROR(N(INDEX(Clay_Brands!$A$2:$FZ$601,188,Sync!$D$11)),0)&gt;0,IFERROR(INDEX(Clay_Brands!$A$2:$FZ$601,188,Sync!$D$5)&amp;"","")&lt;&gt;"",OR(LEFT(IFERROR(INDEX(Clay_Brands!$A$2:$FZ$601,188,Sync!$D$5)&amp;"",""),6)&lt;&gt;"SAMPLE",Config!$B$19="Y")),IFERROR(N(INDEX(Clay_Brands!$A$2:$FZ$601,188,Sync!$D$11)),0),"")</f>
        <v/>
      </c>
      <c r="C3639" s="23" t="str">
        <f aca="false">IF(B3639="","","brand")</f>
        <v/>
      </c>
      <c r="D3639" s="23" t="str">
        <f aca="false">IF(B3639="","",IFERROR(INDEX(Brand_Log!$DV$2:$DV$201,MATCH(IFERROR(INDEX(Clay_Brands!$A$2:$FZ$601,188,Sync!$D$5)&amp;"",""),Brand_Log!$A$2:$A$201,0))&amp;"",IFERROR(INDEX(Clay_Brands!$A$2:$FZ$601,188,Sync!$D$5)&amp;"","")&amp;""))</f>
        <v/>
      </c>
      <c r="E3639" s="23" t="str">
        <f aca="false">IF(B3639="","",IFERROR(INDEX(Clay_Brands!$A$2:$FZ$601,188,Sync!$D$6)&amp;"",""))</f>
        <v/>
      </c>
      <c r="F3639" s="23" t="str">
        <f aca="false">IF(B3639="","","outreach_sent")</f>
        <v/>
      </c>
      <c r="G3639" s="23" t="str">
        <f aca="false">IF(B3639="","","")</f>
        <v/>
      </c>
      <c r="H3639" s="23" t="str">
        <f aca="false">IF(B3639="","","")</f>
        <v/>
      </c>
      <c r="I3639" s="23" t="str">
        <f aca="false">IF(B3639="","","")</f>
        <v/>
      </c>
      <c r="J3639" s="23" t="str">
        <f aca="false">IF(B3639="","","touch_1; "&amp;IFERROR(INDEX(Clay_Brands!$A$2:$FZ$601,188,Sync!$D$10)&amp;"","")&amp;"; "&amp;IFERROR(INDEX(Clay_Brands!$A$2:$FZ$601,188,Sync!$D$9)&amp;"",""))</f>
        <v/>
      </c>
      <c r="K3639" s="32" t="s">
        <v>1366</v>
      </c>
    </row>
    <row r="3640" customFormat="false" ht="15" hidden="false" customHeight="false" outlineLevel="0" collapsed="false">
      <c r="A3640" s="23" t="str">
        <f aca="false">IF(B3640="","",B3640+(15*1000+189)/10000000)</f>
        <v/>
      </c>
      <c r="B3640" s="35" t="str">
        <f aca="false">IF(AND(IFERROR(N(INDEX(Clay_Brands!$A$2:$FZ$601,189,Sync!$D$11)),0)&gt;0,IFERROR(INDEX(Clay_Brands!$A$2:$FZ$601,189,Sync!$D$5)&amp;"","")&lt;&gt;"",OR(LEFT(IFERROR(INDEX(Clay_Brands!$A$2:$FZ$601,189,Sync!$D$5)&amp;"",""),6)&lt;&gt;"SAMPLE",Config!$B$19="Y")),IFERROR(N(INDEX(Clay_Brands!$A$2:$FZ$601,189,Sync!$D$11)),0),"")</f>
        <v/>
      </c>
      <c r="C3640" s="23" t="str">
        <f aca="false">IF(B3640="","","brand")</f>
        <v/>
      </c>
      <c r="D3640" s="23" t="str">
        <f aca="false">IF(B3640="","",IFERROR(INDEX(Brand_Log!$DV$2:$DV$201,MATCH(IFERROR(INDEX(Clay_Brands!$A$2:$FZ$601,189,Sync!$D$5)&amp;"",""),Brand_Log!$A$2:$A$201,0))&amp;"",IFERROR(INDEX(Clay_Brands!$A$2:$FZ$601,189,Sync!$D$5)&amp;"","")&amp;""))</f>
        <v/>
      </c>
      <c r="E3640" s="23" t="str">
        <f aca="false">IF(B3640="","",IFERROR(INDEX(Clay_Brands!$A$2:$FZ$601,189,Sync!$D$6)&amp;"",""))</f>
        <v/>
      </c>
      <c r="F3640" s="23" t="str">
        <f aca="false">IF(B3640="","","outreach_sent")</f>
        <v/>
      </c>
      <c r="G3640" s="23" t="str">
        <f aca="false">IF(B3640="","","")</f>
        <v/>
      </c>
      <c r="H3640" s="23" t="str">
        <f aca="false">IF(B3640="","","")</f>
        <v/>
      </c>
      <c r="I3640" s="23" t="str">
        <f aca="false">IF(B3640="","","")</f>
        <v/>
      </c>
      <c r="J3640" s="23" t="str">
        <f aca="false">IF(B3640="","","touch_1; "&amp;IFERROR(INDEX(Clay_Brands!$A$2:$FZ$601,189,Sync!$D$10)&amp;"","")&amp;"; "&amp;IFERROR(INDEX(Clay_Brands!$A$2:$FZ$601,189,Sync!$D$9)&amp;"",""))</f>
        <v/>
      </c>
      <c r="K3640" s="32" t="s">
        <v>1366</v>
      </c>
    </row>
    <row r="3641" customFormat="false" ht="15" hidden="false" customHeight="false" outlineLevel="0" collapsed="false">
      <c r="A3641" s="23" t="str">
        <f aca="false">IF(B3641="","",B3641+(15*1000+190)/10000000)</f>
        <v/>
      </c>
      <c r="B3641" s="35" t="str">
        <f aca="false">IF(AND(IFERROR(N(INDEX(Clay_Brands!$A$2:$FZ$601,190,Sync!$D$11)),0)&gt;0,IFERROR(INDEX(Clay_Brands!$A$2:$FZ$601,190,Sync!$D$5)&amp;"","")&lt;&gt;"",OR(LEFT(IFERROR(INDEX(Clay_Brands!$A$2:$FZ$601,190,Sync!$D$5)&amp;"",""),6)&lt;&gt;"SAMPLE",Config!$B$19="Y")),IFERROR(N(INDEX(Clay_Brands!$A$2:$FZ$601,190,Sync!$D$11)),0),"")</f>
        <v/>
      </c>
      <c r="C3641" s="23" t="str">
        <f aca="false">IF(B3641="","","brand")</f>
        <v/>
      </c>
      <c r="D3641" s="23" t="str">
        <f aca="false">IF(B3641="","",IFERROR(INDEX(Brand_Log!$DV$2:$DV$201,MATCH(IFERROR(INDEX(Clay_Brands!$A$2:$FZ$601,190,Sync!$D$5)&amp;"",""),Brand_Log!$A$2:$A$201,0))&amp;"",IFERROR(INDEX(Clay_Brands!$A$2:$FZ$601,190,Sync!$D$5)&amp;"","")&amp;""))</f>
        <v/>
      </c>
      <c r="E3641" s="23" t="str">
        <f aca="false">IF(B3641="","",IFERROR(INDEX(Clay_Brands!$A$2:$FZ$601,190,Sync!$D$6)&amp;"",""))</f>
        <v/>
      </c>
      <c r="F3641" s="23" t="str">
        <f aca="false">IF(B3641="","","outreach_sent")</f>
        <v/>
      </c>
      <c r="G3641" s="23" t="str">
        <f aca="false">IF(B3641="","","")</f>
        <v/>
      </c>
      <c r="H3641" s="23" t="str">
        <f aca="false">IF(B3641="","","")</f>
        <v/>
      </c>
      <c r="I3641" s="23" t="str">
        <f aca="false">IF(B3641="","","")</f>
        <v/>
      </c>
      <c r="J3641" s="23" t="str">
        <f aca="false">IF(B3641="","","touch_1; "&amp;IFERROR(INDEX(Clay_Brands!$A$2:$FZ$601,190,Sync!$D$10)&amp;"","")&amp;"; "&amp;IFERROR(INDEX(Clay_Brands!$A$2:$FZ$601,190,Sync!$D$9)&amp;"",""))</f>
        <v/>
      </c>
      <c r="K3641" s="32" t="s">
        <v>1366</v>
      </c>
    </row>
    <row r="3642" customFormat="false" ht="15" hidden="false" customHeight="false" outlineLevel="0" collapsed="false">
      <c r="A3642" s="23" t="str">
        <f aca="false">IF(B3642="","",B3642+(15*1000+191)/10000000)</f>
        <v/>
      </c>
      <c r="B3642" s="35" t="str">
        <f aca="false">IF(AND(IFERROR(N(INDEX(Clay_Brands!$A$2:$FZ$601,191,Sync!$D$11)),0)&gt;0,IFERROR(INDEX(Clay_Brands!$A$2:$FZ$601,191,Sync!$D$5)&amp;"","")&lt;&gt;"",OR(LEFT(IFERROR(INDEX(Clay_Brands!$A$2:$FZ$601,191,Sync!$D$5)&amp;"",""),6)&lt;&gt;"SAMPLE",Config!$B$19="Y")),IFERROR(N(INDEX(Clay_Brands!$A$2:$FZ$601,191,Sync!$D$11)),0),"")</f>
        <v/>
      </c>
      <c r="C3642" s="23" t="str">
        <f aca="false">IF(B3642="","","brand")</f>
        <v/>
      </c>
      <c r="D3642" s="23" t="str">
        <f aca="false">IF(B3642="","",IFERROR(INDEX(Brand_Log!$DV$2:$DV$201,MATCH(IFERROR(INDEX(Clay_Brands!$A$2:$FZ$601,191,Sync!$D$5)&amp;"",""),Brand_Log!$A$2:$A$201,0))&amp;"",IFERROR(INDEX(Clay_Brands!$A$2:$FZ$601,191,Sync!$D$5)&amp;"","")&amp;""))</f>
        <v/>
      </c>
      <c r="E3642" s="23" t="str">
        <f aca="false">IF(B3642="","",IFERROR(INDEX(Clay_Brands!$A$2:$FZ$601,191,Sync!$D$6)&amp;"",""))</f>
        <v/>
      </c>
      <c r="F3642" s="23" t="str">
        <f aca="false">IF(B3642="","","outreach_sent")</f>
        <v/>
      </c>
      <c r="G3642" s="23" t="str">
        <f aca="false">IF(B3642="","","")</f>
        <v/>
      </c>
      <c r="H3642" s="23" t="str">
        <f aca="false">IF(B3642="","","")</f>
        <v/>
      </c>
      <c r="I3642" s="23" t="str">
        <f aca="false">IF(B3642="","","")</f>
        <v/>
      </c>
      <c r="J3642" s="23" t="str">
        <f aca="false">IF(B3642="","","touch_1; "&amp;IFERROR(INDEX(Clay_Brands!$A$2:$FZ$601,191,Sync!$D$10)&amp;"","")&amp;"; "&amp;IFERROR(INDEX(Clay_Brands!$A$2:$FZ$601,191,Sync!$D$9)&amp;"",""))</f>
        <v/>
      </c>
      <c r="K3642" s="32" t="s">
        <v>1366</v>
      </c>
    </row>
    <row r="3643" customFormat="false" ht="15" hidden="false" customHeight="false" outlineLevel="0" collapsed="false">
      <c r="A3643" s="23" t="str">
        <f aca="false">IF(B3643="","",B3643+(15*1000+192)/10000000)</f>
        <v/>
      </c>
      <c r="B3643" s="35" t="str">
        <f aca="false">IF(AND(IFERROR(N(INDEX(Clay_Brands!$A$2:$FZ$601,192,Sync!$D$11)),0)&gt;0,IFERROR(INDEX(Clay_Brands!$A$2:$FZ$601,192,Sync!$D$5)&amp;"","")&lt;&gt;"",OR(LEFT(IFERROR(INDEX(Clay_Brands!$A$2:$FZ$601,192,Sync!$D$5)&amp;"",""),6)&lt;&gt;"SAMPLE",Config!$B$19="Y")),IFERROR(N(INDEX(Clay_Brands!$A$2:$FZ$601,192,Sync!$D$11)),0),"")</f>
        <v/>
      </c>
      <c r="C3643" s="23" t="str">
        <f aca="false">IF(B3643="","","brand")</f>
        <v/>
      </c>
      <c r="D3643" s="23" t="str">
        <f aca="false">IF(B3643="","",IFERROR(INDEX(Brand_Log!$DV$2:$DV$201,MATCH(IFERROR(INDEX(Clay_Brands!$A$2:$FZ$601,192,Sync!$D$5)&amp;"",""),Brand_Log!$A$2:$A$201,0))&amp;"",IFERROR(INDEX(Clay_Brands!$A$2:$FZ$601,192,Sync!$D$5)&amp;"","")&amp;""))</f>
        <v/>
      </c>
      <c r="E3643" s="23" t="str">
        <f aca="false">IF(B3643="","",IFERROR(INDEX(Clay_Brands!$A$2:$FZ$601,192,Sync!$D$6)&amp;"",""))</f>
        <v/>
      </c>
      <c r="F3643" s="23" t="str">
        <f aca="false">IF(B3643="","","outreach_sent")</f>
        <v/>
      </c>
      <c r="G3643" s="23" t="str">
        <f aca="false">IF(B3643="","","")</f>
        <v/>
      </c>
      <c r="H3643" s="23" t="str">
        <f aca="false">IF(B3643="","","")</f>
        <v/>
      </c>
      <c r="I3643" s="23" t="str">
        <f aca="false">IF(B3643="","","")</f>
        <v/>
      </c>
      <c r="J3643" s="23" t="str">
        <f aca="false">IF(B3643="","","touch_1; "&amp;IFERROR(INDEX(Clay_Brands!$A$2:$FZ$601,192,Sync!$D$10)&amp;"","")&amp;"; "&amp;IFERROR(INDEX(Clay_Brands!$A$2:$FZ$601,192,Sync!$D$9)&amp;"",""))</f>
        <v/>
      </c>
      <c r="K3643" s="32" t="s">
        <v>1366</v>
      </c>
    </row>
    <row r="3644" customFormat="false" ht="15" hidden="false" customHeight="false" outlineLevel="0" collapsed="false">
      <c r="A3644" s="23" t="str">
        <f aca="false">IF(B3644="","",B3644+(15*1000+193)/10000000)</f>
        <v/>
      </c>
      <c r="B3644" s="35" t="str">
        <f aca="false">IF(AND(IFERROR(N(INDEX(Clay_Brands!$A$2:$FZ$601,193,Sync!$D$11)),0)&gt;0,IFERROR(INDEX(Clay_Brands!$A$2:$FZ$601,193,Sync!$D$5)&amp;"","")&lt;&gt;"",OR(LEFT(IFERROR(INDEX(Clay_Brands!$A$2:$FZ$601,193,Sync!$D$5)&amp;"",""),6)&lt;&gt;"SAMPLE",Config!$B$19="Y")),IFERROR(N(INDEX(Clay_Brands!$A$2:$FZ$601,193,Sync!$D$11)),0),"")</f>
        <v/>
      </c>
      <c r="C3644" s="23" t="str">
        <f aca="false">IF(B3644="","","brand")</f>
        <v/>
      </c>
      <c r="D3644" s="23" t="str">
        <f aca="false">IF(B3644="","",IFERROR(INDEX(Brand_Log!$DV$2:$DV$201,MATCH(IFERROR(INDEX(Clay_Brands!$A$2:$FZ$601,193,Sync!$D$5)&amp;"",""),Brand_Log!$A$2:$A$201,0))&amp;"",IFERROR(INDEX(Clay_Brands!$A$2:$FZ$601,193,Sync!$D$5)&amp;"","")&amp;""))</f>
        <v/>
      </c>
      <c r="E3644" s="23" t="str">
        <f aca="false">IF(B3644="","",IFERROR(INDEX(Clay_Brands!$A$2:$FZ$601,193,Sync!$D$6)&amp;"",""))</f>
        <v/>
      </c>
      <c r="F3644" s="23" t="str">
        <f aca="false">IF(B3644="","","outreach_sent")</f>
        <v/>
      </c>
      <c r="G3644" s="23" t="str">
        <f aca="false">IF(B3644="","","")</f>
        <v/>
      </c>
      <c r="H3644" s="23" t="str">
        <f aca="false">IF(B3644="","","")</f>
        <v/>
      </c>
      <c r="I3644" s="23" t="str">
        <f aca="false">IF(B3644="","","")</f>
        <v/>
      </c>
      <c r="J3644" s="23" t="str">
        <f aca="false">IF(B3644="","","touch_1; "&amp;IFERROR(INDEX(Clay_Brands!$A$2:$FZ$601,193,Sync!$D$10)&amp;"","")&amp;"; "&amp;IFERROR(INDEX(Clay_Brands!$A$2:$FZ$601,193,Sync!$D$9)&amp;"",""))</f>
        <v/>
      </c>
      <c r="K3644" s="32" t="s">
        <v>1366</v>
      </c>
    </row>
    <row r="3645" customFormat="false" ht="15" hidden="false" customHeight="false" outlineLevel="0" collapsed="false">
      <c r="A3645" s="23" t="str">
        <f aca="false">IF(B3645="","",B3645+(15*1000+194)/10000000)</f>
        <v/>
      </c>
      <c r="B3645" s="35" t="str">
        <f aca="false">IF(AND(IFERROR(N(INDEX(Clay_Brands!$A$2:$FZ$601,194,Sync!$D$11)),0)&gt;0,IFERROR(INDEX(Clay_Brands!$A$2:$FZ$601,194,Sync!$D$5)&amp;"","")&lt;&gt;"",OR(LEFT(IFERROR(INDEX(Clay_Brands!$A$2:$FZ$601,194,Sync!$D$5)&amp;"",""),6)&lt;&gt;"SAMPLE",Config!$B$19="Y")),IFERROR(N(INDEX(Clay_Brands!$A$2:$FZ$601,194,Sync!$D$11)),0),"")</f>
        <v/>
      </c>
      <c r="C3645" s="23" t="str">
        <f aca="false">IF(B3645="","","brand")</f>
        <v/>
      </c>
      <c r="D3645" s="23" t="str">
        <f aca="false">IF(B3645="","",IFERROR(INDEX(Brand_Log!$DV$2:$DV$201,MATCH(IFERROR(INDEX(Clay_Brands!$A$2:$FZ$601,194,Sync!$D$5)&amp;"",""),Brand_Log!$A$2:$A$201,0))&amp;"",IFERROR(INDEX(Clay_Brands!$A$2:$FZ$601,194,Sync!$D$5)&amp;"","")&amp;""))</f>
        <v/>
      </c>
      <c r="E3645" s="23" t="str">
        <f aca="false">IF(B3645="","",IFERROR(INDEX(Clay_Brands!$A$2:$FZ$601,194,Sync!$D$6)&amp;"",""))</f>
        <v/>
      </c>
      <c r="F3645" s="23" t="str">
        <f aca="false">IF(B3645="","","outreach_sent")</f>
        <v/>
      </c>
      <c r="G3645" s="23" t="str">
        <f aca="false">IF(B3645="","","")</f>
        <v/>
      </c>
      <c r="H3645" s="23" t="str">
        <f aca="false">IF(B3645="","","")</f>
        <v/>
      </c>
      <c r="I3645" s="23" t="str">
        <f aca="false">IF(B3645="","","")</f>
        <v/>
      </c>
      <c r="J3645" s="23" t="str">
        <f aca="false">IF(B3645="","","touch_1; "&amp;IFERROR(INDEX(Clay_Brands!$A$2:$FZ$601,194,Sync!$D$10)&amp;"","")&amp;"; "&amp;IFERROR(INDEX(Clay_Brands!$A$2:$FZ$601,194,Sync!$D$9)&amp;"",""))</f>
        <v/>
      </c>
      <c r="K3645" s="32" t="s">
        <v>1366</v>
      </c>
    </row>
    <row r="3646" customFormat="false" ht="15" hidden="false" customHeight="false" outlineLevel="0" collapsed="false">
      <c r="A3646" s="23" t="str">
        <f aca="false">IF(B3646="","",B3646+(15*1000+195)/10000000)</f>
        <v/>
      </c>
      <c r="B3646" s="35" t="str">
        <f aca="false">IF(AND(IFERROR(N(INDEX(Clay_Brands!$A$2:$FZ$601,195,Sync!$D$11)),0)&gt;0,IFERROR(INDEX(Clay_Brands!$A$2:$FZ$601,195,Sync!$D$5)&amp;"","")&lt;&gt;"",OR(LEFT(IFERROR(INDEX(Clay_Brands!$A$2:$FZ$601,195,Sync!$D$5)&amp;"",""),6)&lt;&gt;"SAMPLE",Config!$B$19="Y")),IFERROR(N(INDEX(Clay_Brands!$A$2:$FZ$601,195,Sync!$D$11)),0),"")</f>
        <v/>
      </c>
      <c r="C3646" s="23" t="str">
        <f aca="false">IF(B3646="","","brand")</f>
        <v/>
      </c>
      <c r="D3646" s="23" t="str">
        <f aca="false">IF(B3646="","",IFERROR(INDEX(Brand_Log!$DV$2:$DV$201,MATCH(IFERROR(INDEX(Clay_Brands!$A$2:$FZ$601,195,Sync!$D$5)&amp;"",""),Brand_Log!$A$2:$A$201,0))&amp;"",IFERROR(INDEX(Clay_Brands!$A$2:$FZ$601,195,Sync!$D$5)&amp;"","")&amp;""))</f>
        <v/>
      </c>
      <c r="E3646" s="23" t="str">
        <f aca="false">IF(B3646="","",IFERROR(INDEX(Clay_Brands!$A$2:$FZ$601,195,Sync!$D$6)&amp;"",""))</f>
        <v/>
      </c>
      <c r="F3646" s="23" t="str">
        <f aca="false">IF(B3646="","","outreach_sent")</f>
        <v/>
      </c>
      <c r="G3646" s="23" t="str">
        <f aca="false">IF(B3646="","","")</f>
        <v/>
      </c>
      <c r="H3646" s="23" t="str">
        <f aca="false">IF(B3646="","","")</f>
        <v/>
      </c>
      <c r="I3646" s="23" t="str">
        <f aca="false">IF(B3646="","","")</f>
        <v/>
      </c>
      <c r="J3646" s="23" t="str">
        <f aca="false">IF(B3646="","","touch_1; "&amp;IFERROR(INDEX(Clay_Brands!$A$2:$FZ$601,195,Sync!$D$10)&amp;"","")&amp;"; "&amp;IFERROR(INDEX(Clay_Brands!$A$2:$FZ$601,195,Sync!$D$9)&amp;"",""))</f>
        <v/>
      </c>
      <c r="K3646" s="32" t="s">
        <v>1366</v>
      </c>
    </row>
    <row r="3647" customFormat="false" ht="15" hidden="false" customHeight="false" outlineLevel="0" collapsed="false">
      <c r="A3647" s="23" t="str">
        <f aca="false">IF(B3647="","",B3647+(15*1000+196)/10000000)</f>
        <v/>
      </c>
      <c r="B3647" s="35" t="str">
        <f aca="false">IF(AND(IFERROR(N(INDEX(Clay_Brands!$A$2:$FZ$601,196,Sync!$D$11)),0)&gt;0,IFERROR(INDEX(Clay_Brands!$A$2:$FZ$601,196,Sync!$D$5)&amp;"","")&lt;&gt;"",OR(LEFT(IFERROR(INDEX(Clay_Brands!$A$2:$FZ$601,196,Sync!$D$5)&amp;"",""),6)&lt;&gt;"SAMPLE",Config!$B$19="Y")),IFERROR(N(INDEX(Clay_Brands!$A$2:$FZ$601,196,Sync!$D$11)),0),"")</f>
        <v/>
      </c>
      <c r="C3647" s="23" t="str">
        <f aca="false">IF(B3647="","","brand")</f>
        <v/>
      </c>
      <c r="D3647" s="23" t="str">
        <f aca="false">IF(B3647="","",IFERROR(INDEX(Brand_Log!$DV$2:$DV$201,MATCH(IFERROR(INDEX(Clay_Brands!$A$2:$FZ$601,196,Sync!$D$5)&amp;"",""),Brand_Log!$A$2:$A$201,0))&amp;"",IFERROR(INDEX(Clay_Brands!$A$2:$FZ$601,196,Sync!$D$5)&amp;"","")&amp;""))</f>
        <v/>
      </c>
      <c r="E3647" s="23" t="str">
        <f aca="false">IF(B3647="","",IFERROR(INDEX(Clay_Brands!$A$2:$FZ$601,196,Sync!$D$6)&amp;"",""))</f>
        <v/>
      </c>
      <c r="F3647" s="23" t="str">
        <f aca="false">IF(B3647="","","outreach_sent")</f>
        <v/>
      </c>
      <c r="G3647" s="23" t="str">
        <f aca="false">IF(B3647="","","")</f>
        <v/>
      </c>
      <c r="H3647" s="23" t="str">
        <f aca="false">IF(B3647="","","")</f>
        <v/>
      </c>
      <c r="I3647" s="23" t="str">
        <f aca="false">IF(B3647="","","")</f>
        <v/>
      </c>
      <c r="J3647" s="23" t="str">
        <f aca="false">IF(B3647="","","touch_1; "&amp;IFERROR(INDEX(Clay_Brands!$A$2:$FZ$601,196,Sync!$D$10)&amp;"","")&amp;"; "&amp;IFERROR(INDEX(Clay_Brands!$A$2:$FZ$601,196,Sync!$D$9)&amp;"",""))</f>
        <v/>
      </c>
      <c r="K3647" s="32" t="s">
        <v>1366</v>
      </c>
    </row>
    <row r="3648" customFormat="false" ht="15" hidden="false" customHeight="false" outlineLevel="0" collapsed="false">
      <c r="A3648" s="23" t="str">
        <f aca="false">IF(B3648="","",B3648+(15*1000+197)/10000000)</f>
        <v/>
      </c>
      <c r="B3648" s="35" t="str">
        <f aca="false">IF(AND(IFERROR(N(INDEX(Clay_Brands!$A$2:$FZ$601,197,Sync!$D$11)),0)&gt;0,IFERROR(INDEX(Clay_Brands!$A$2:$FZ$601,197,Sync!$D$5)&amp;"","")&lt;&gt;"",OR(LEFT(IFERROR(INDEX(Clay_Brands!$A$2:$FZ$601,197,Sync!$D$5)&amp;"",""),6)&lt;&gt;"SAMPLE",Config!$B$19="Y")),IFERROR(N(INDEX(Clay_Brands!$A$2:$FZ$601,197,Sync!$D$11)),0),"")</f>
        <v/>
      </c>
      <c r="C3648" s="23" t="str">
        <f aca="false">IF(B3648="","","brand")</f>
        <v/>
      </c>
      <c r="D3648" s="23" t="str">
        <f aca="false">IF(B3648="","",IFERROR(INDEX(Brand_Log!$DV$2:$DV$201,MATCH(IFERROR(INDEX(Clay_Brands!$A$2:$FZ$601,197,Sync!$D$5)&amp;"",""),Brand_Log!$A$2:$A$201,0))&amp;"",IFERROR(INDEX(Clay_Brands!$A$2:$FZ$601,197,Sync!$D$5)&amp;"","")&amp;""))</f>
        <v/>
      </c>
      <c r="E3648" s="23" t="str">
        <f aca="false">IF(B3648="","",IFERROR(INDEX(Clay_Brands!$A$2:$FZ$601,197,Sync!$D$6)&amp;"",""))</f>
        <v/>
      </c>
      <c r="F3648" s="23" t="str">
        <f aca="false">IF(B3648="","","outreach_sent")</f>
        <v/>
      </c>
      <c r="G3648" s="23" t="str">
        <f aca="false">IF(B3648="","","")</f>
        <v/>
      </c>
      <c r="H3648" s="23" t="str">
        <f aca="false">IF(B3648="","","")</f>
        <v/>
      </c>
      <c r="I3648" s="23" t="str">
        <f aca="false">IF(B3648="","","")</f>
        <v/>
      </c>
      <c r="J3648" s="23" t="str">
        <f aca="false">IF(B3648="","","touch_1; "&amp;IFERROR(INDEX(Clay_Brands!$A$2:$FZ$601,197,Sync!$D$10)&amp;"","")&amp;"; "&amp;IFERROR(INDEX(Clay_Brands!$A$2:$FZ$601,197,Sync!$D$9)&amp;"",""))</f>
        <v/>
      </c>
      <c r="K3648" s="32" t="s">
        <v>1366</v>
      </c>
    </row>
    <row r="3649" customFormat="false" ht="15" hidden="false" customHeight="false" outlineLevel="0" collapsed="false">
      <c r="A3649" s="23" t="str">
        <f aca="false">IF(B3649="","",B3649+(15*1000+198)/10000000)</f>
        <v/>
      </c>
      <c r="B3649" s="35" t="str">
        <f aca="false">IF(AND(IFERROR(N(INDEX(Clay_Brands!$A$2:$FZ$601,198,Sync!$D$11)),0)&gt;0,IFERROR(INDEX(Clay_Brands!$A$2:$FZ$601,198,Sync!$D$5)&amp;"","")&lt;&gt;"",OR(LEFT(IFERROR(INDEX(Clay_Brands!$A$2:$FZ$601,198,Sync!$D$5)&amp;"",""),6)&lt;&gt;"SAMPLE",Config!$B$19="Y")),IFERROR(N(INDEX(Clay_Brands!$A$2:$FZ$601,198,Sync!$D$11)),0),"")</f>
        <v/>
      </c>
      <c r="C3649" s="23" t="str">
        <f aca="false">IF(B3649="","","brand")</f>
        <v/>
      </c>
      <c r="D3649" s="23" t="str">
        <f aca="false">IF(B3649="","",IFERROR(INDEX(Brand_Log!$DV$2:$DV$201,MATCH(IFERROR(INDEX(Clay_Brands!$A$2:$FZ$601,198,Sync!$D$5)&amp;"",""),Brand_Log!$A$2:$A$201,0))&amp;"",IFERROR(INDEX(Clay_Brands!$A$2:$FZ$601,198,Sync!$D$5)&amp;"","")&amp;""))</f>
        <v/>
      </c>
      <c r="E3649" s="23" t="str">
        <f aca="false">IF(B3649="","",IFERROR(INDEX(Clay_Brands!$A$2:$FZ$601,198,Sync!$D$6)&amp;"",""))</f>
        <v/>
      </c>
      <c r="F3649" s="23" t="str">
        <f aca="false">IF(B3649="","","outreach_sent")</f>
        <v/>
      </c>
      <c r="G3649" s="23" t="str">
        <f aca="false">IF(B3649="","","")</f>
        <v/>
      </c>
      <c r="H3649" s="23" t="str">
        <f aca="false">IF(B3649="","","")</f>
        <v/>
      </c>
      <c r="I3649" s="23" t="str">
        <f aca="false">IF(B3649="","","")</f>
        <v/>
      </c>
      <c r="J3649" s="23" t="str">
        <f aca="false">IF(B3649="","","touch_1; "&amp;IFERROR(INDEX(Clay_Brands!$A$2:$FZ$601,198,Sync!$D$10)&amp;"","")&amp;"; "&amp;IFERROR(INDEX(Clay_Brands!$A$2:$FZ$601,198,Sync!$D$9)&amp;"",""))</f>
        <v/>
      </c>
      <c r="K3649" s="32" t="s">
        <v>1366</v>
      </c>
    </row>
    <row r="3650" customFormat="false" ht="15" hidden="false" customHeight="false" outlineLevel="0" collapsed="false">
      <c r="A3650" s="23" t="str">
        <f aca="false">IF(B3650="","",B3650+(15*1000+199)/10000000)</f>
        <v/>
      </c>
      <c r="B3650" s="35" t="str">
        <f aca="false">IF(AND(IFERROR(N(INDEX(Clay_Brands!$A$2:$FZ$601,199,Sync!$D$11)),0)&gt;0,IFERROR(INDEX(Clay_Brands!$A$2:$FZ$601,199,Sync!$D$5)&amp;"","")&lt;&gt;"",OR(LEFT(IFERROR(INDEX(Clay_Brands!$A$2:$FZ$601,199,Sync!$D$5)&amp;"",""),6)&lt;&gt;"SAMPLE",Config!$B$19="Y")),IFERROR(N(INDEX(Clay_Brands!$A$2:$FZ$601,199,Sync!$D$11)),0),"")</f>
        <v/>
      </c>
      <c r="C3650" s="23" t="str">
        <f aca="false">IF(B3650="","","brand")</f>
        <v/>
      </c>
      <c r="D3650" s="23" t="str">
        <f aca="false">IF(B3650="","",IFERROR(INDEX(Brand_Log!$DV$2:$DV$201,MATCH(IFERROR(INDEX(Clay_Brands!$A$2:$FZ$601,199,Sync!$D$5)&amp;"",""),Brand_Log!$A$2:$A$201,0))&amp;"",IFERROR(INDEX(Clay_Brands!$A$2:$FZ$601,199,Sync!$D$5)&amp;"","")&amp;""))</f>
        <v/>
      </c>
      <c r="E3650" s="23" t="str">
        <f aca="false">IF(B3650="","",IFERROR(INDEX(Clay_Brands!$A$2:$FZ$601,199,Sync!$D$6)&amp;"",""))</f>
        <v/>
      </c>
      <c r="F3650" s="23" t="str">
        <f aca="false">IF(B3650="","","outreach_sent")</f>
        <v/>
      </c>
      <c r="G3650" s="23" t="str">
        <f aca="false">IF(B3650="","","")</f>
        <v/>
      </c>
      <c r="H3650" s="23" t="str">
        <f aca="false">IF(B3650="","","")</f>
        <v/>
      </c>
      <c r="I3650" s="23" t="str">
        <f aca="false">IF(B3650="","","")</f>
        <v/>
      </c>
      <c r="J3650" s="23" t="str">
        <f aca="false">IF(B3650="","","touch_1; "&amp;IFERROR(INDEX(Clay_Brands!$A$2:$FZ$601,199,Sync!$D$10)&amp;"","")&amp;"; "&amp;IFERROR(INDEX(Clay_Brands!$A$2:$FZ$601,199,Sync!$D$9)&amp;"",""))</f>
        <v/>
      </c>
      <c r="K3650" s="32" t="s">
        <v>1366</v>
      </c>
    </row>
    <row r="3651" customFormat="false" ht="15" hidden="false" customHeight="false" outlineLevel="0" collapsed="false">
      <c r="A3651" s="23" t="str">
        <f aca="false">IF(B3651="","",B3651+(15*1000+200)/10000000)</f>
        <v/>
      </c>
      <c r="B3651" s="35" t="str">
        <f aca="false">IF(AND(IFERROR(N(INDEX(Clay_Brands!$A$2:$FZ$601,200,Sync!$D$11)),0)&gt;0,IFERROR(INDEX(Clay_Brands!$A$2:$FZ$601,200,Sync!$D$5)&amp;"","")&lt;&gt;"",OR(LEFT(IFERROR(INDEX(Clay_Brands!$A$2:$FZ$601,200,Sync!$D$5)&amp;"",""),6)&lt;&gt;"SAMPLE",Config!$B$19="Y")),IFERROR(N(INDEX(Clay_Brands!$A$2:$FZ$601,200,Sync!$D$11)),0),"")</f>
        <v/>
      </c>
      <c r="C3651" s="23" t="str">
        <f aca="false">IF(B3651="","","brand")</f>
        <v/>
      </c>
      <c r="D3651" s="23" t="str">
        <f aca="false">IF(B3651="","",IFERROR(INDEX(Brand_Log!$DV$2:$DV$201,MATCH(IFERROR(INDEX(Clay_Brands!$A$2:$FZ$601,200,Sync!$D$5)&amp;"",""),Brand_Log!$A$2:$A$201,0))&amp;"",IFERROR(INDEX(Clay_Brands!$A$2:$FZ$601,200,Sync!$D$5)&amp;"","")&amp;""))</f>
        <v/>
      </c>
      <c r="E3651" s="23" t="str">
        <f aca="false">IF(B3651="","",IFERROR(INDEX(Clay_Brands!$A$2:$FZ$601,200,Sync!$D$6)&amp;"",""))</f>
        <v/>
      </c>
      <c r="F3651" s="23" t="str">
        <f aca="false">IF(B3651="","","outreach_sent")</f>
        <v/>
      </c>
      <c r="G3651" s="23" t="str">
        <f aca="false">IF(B3651="","","")</f>
        <v/>
      </c>
      <c r="H3651" s="23" t="str">
        <f aca="false">IF(B3651="","","")</f>
        <v/>
      </c>
      <c r="I3651" s="23" t="str">
        <f aca="false">IF(B3651="","","")</f>
        <v/>
      </c>
      <c r="J3651" s="23" t="str">
        <f aca="false">IF(B3651="","","touch_1; "&amp;IFERROR(INDEX(Clay_Brands!$A$2:$FZ$601,200,Sync!$D$10)&amp;"","")&amp;"; "&amp;IFERROR(INDEX(Clay_Brands!$A$2:$FZ$601,200,Sync!$D$9)&amp;"",""))</f>
        <v/>
      </c>
      <c r="K3651" s="32" t="s">
        <v>1366</v>
      </c>
    </row>
    <row r="3652" customFormat="false" ht="15" hidden="false" customHeight="false" outlineLevel="0" collapsed="false">
      <c r="A3652" s="23" t="str">
        <f aca="false">IF(B3652="","",B3652+(15*1000+201)/10000000)</f>
        <v/>
      </c>
      <c r="B3652" s="35" t="str">
        <f aca="false">IF(AND(IFERROR(N(INDEX(Clay_Brands!$A$2:$FZ$601,201,Sync!$D$11)),0)&gt;0,IFERROR(INDEX(Clay_Brands!$A$2:$FZ$601,201,Sync!$D$5)&amp;"","")&lt;&gt;"",OR(LEFT(IFERROR(INDEX(Clay_Brands!$A$2:$FZ$601,201,Sync!$D$5)&amp;"",""),6)&lt;&gt;"SAMPLE",Config!$B$19="Y")),IFERROR(N(INDEX(Clay_Brands!$A$2:$FZ$601,201,Sync!$D$11)),0),"")</f>
        <v/>
      </c>
      <c r="C3652" s="23" t="str">
        <f aca="false">IF(B3652="","","brand")</f>
        <v/>
      </c>
      <c r="D3652" s="23" t="str">
        <f aca="false">IF(B3652="","",IFERROR(INDEX(Brand_Log!$DV$2:$DV$201,MATCH(IFERROR(INDEX(Clay_Brands!$A$2:$FZ$601,201,Sync!$D$5)&amp;"",""),Brand_Log!$A$2:$A$201,0))&amp;"",IFERROR(INDEX(Clay_Brands!$A$2:$FZ$601,201,Sync!$D$5)&amp;"","")&amp;""))</f>
        <v/>
      </c>
      <c r="E3652" s="23" t="str">
        <f aca="false">IF(B3652="","",IFERROR(INDEX(Clay_Brands!$A$2:$FZ$601,201,Sync!$D$6)&amp;"",""))</f>
        <v/>
      </c>
      <c r="F3652" s="23" t="str">
        <f aca="false">IF(B3652="","","outreach_sent")</f>
        <v/>
      </c>
      <c r="G3652" s="23" t="str">
        <f aca="false">IF(B3652="","","")</f>
        <v/>
      </c>
      <c r="H3652" s="23" t="str">
        <f aca="false">IF(B3652="","","")</f>
        <v/>
      </c>
      <c r="I3652" s="23" t="str">
        <f aca="false">IF(B3652="","","")</f>
        <v/>
      </c>
      <c r="J3652" s="23" t="str">
        <f aca="false">IF(B3652="","","touch_1; "&amp;IFERROR(INDEX(Clay_Brands!$A$2:$FZ$601,201,Sync!$D$10)&amp;"","")&amp;"; "&amp;IFERROR(INDEX(Clay_Brands!$A$2:$FZ$601,201,Sync!$D$9)&amp;"",""))</f>
        <v/>
      </c>
      <c r="K3652" s="32" t="s">
        <v>1366</v>
      </c>
    </row>
    <row r="3653" customFormat="false" ht="15" hidden="false" customHeight="false" outlineLevel="0" collapsed="false">
      <c r="A3653" s="23" t="str">
        <f aca="false">IF(B3653="","",B3653+(15*1000+202)/10000000)</f>
        <v/>
      </c>
      <c r="B3653" s="35" t="str">
        <f aca="false">IF(AND(IFERROR(N(INDEX(Clay_Brands!$A$2:$FZ$601,202,Sync!$D$11)),0)&gt;0,IFERROR(INDEX(Clay_Brands!$A$2:$FZ$601,202,Sync!$D$5)&amp;"","")&lt;&gt;"",OR(LEFT(IFERROR(INDEX(Clay_Brands!$A$2:$FZ$601,202,Sync!$D$5)&amp;"",""),6)&lt;&gt;"SAMPLE",Config!$B$19="Y")),IFERROR(N(INDEX(Clay_Brands!$A$2:$FZ$601,202,Sync!$D$11)),0),"")</f>
        <v/>
      </c>
      <c r="C3653" s="23" t="str">
        <f aca="false">IF(B3653="","","brand")</f>
        <v/>
      </c>
      <c r="D3653" s="23" t="str">
        <f aca="false">IF(B3653="","",IFERROR(INDEX(Brand_Log!$DV$2:$DV$201,MATCH(IFERROR(INDEX(Clay_Brands!$A$2:$FZ$601,202,Sync!$D$5)&amp;"",""),Brand_Log!$A$2:$A$201,0))&amp;"",IFERROR(INDEX(Clay_Brands!$A$2:$FZ$601,202,Sync!$D$5)&amp;"","")&amp;""))</f>
        <v/>
      </c>
      <c r="E3653" s="23" t="str">
        <f aca="false">IF(B3653="","",IFERROR(INDEX(Clay_Brands!$A$2:$FZ$601,202,Sync!$D$6)&amp;"",""))</f>
        <v/>
      </c>
      <c r="F3653" s="23" t="str">
        <f aca="false">IF(B3653="","","outreach_sent")</f>
        <v/>
      </c>
      <c r="G3653" s="23" t="str">
        <f aca="false">IF(B3653="","","")</f>
        <v/>
      </c>
      <c r="H3653" s="23" t="str">
        <f aca="false">IF(B3653="","","")</f>
        <v/>
      </c>
      <c r="I3653" s="23" t="str">
        <f aca="false">IF(B3653="","","")</f>
        <v/>
      </c>
      <c r="J3653" s="23" t="str">
        <f aca="false">IF(B3653="","","touch_1; "&amp;IFERROR(INDEX(Clay_Brands!$A$2:$FZ$601,202,Sync!$D$10)&amp;"","")&amp;"; "&amp;IFERROR(INDEX(Clay_Brands!$A$2:$FZ$601,202,Sync!$D$9)&amp;"",""))</f>
        <v/>
      </c>
      <c r="K3653" s="32" t="s">
        <v>1366</v>
      </c>
    </row>
    <row r="3654" customFormat="false" ht="15" hidden="false" customHeight="false" outlineLevel="0" collapsed="false">
      <c r="A3654" s="23" t="str">
        <f aca="false">IF(B3654="","",B3654+(15*1000+203)/10000000)</f>
        <v/>
      </c>
      <c r="B3654" s="35" t="str">
        <f aca="false">IF(AND(IFERROR(N(INDEX(Clay_Brands!$A$2:$FZ$601,203,Sync!$D$11)),0)&gt;0,IFERROR(INDEX(Clay_Brands!$A$2:$FZ$601,203,Sync!$D$5)&amp;"","")&lt;&gt;"",OR(LEFT(IFERROR(INDEX(Clay_Brands!$A$2:$FZ$601,203,Sync!$D$5)&amp;"",""),6)&lt;&gt;"SAMPLE",Config!$B$19="Y")),IFERROR(N(INDEX(Clay_Brands!$A$2:$FZ$601,203,Sync!$D$11)),0),"")</f>
        <v/>
      </c>
      <c r="C3654" s="23" t="str">
        <f aca="false">IF(B3654="","","brand")</f>
        <v/>
      </c>
      <c r="D3654" s="23" t="str">
        <f aca="false">IF(B3654="","",IFERROR(INDEX(Brand_Log!$DV$2:$DV$201,MATCH(IFERROR(INDEX(Clay_Brands!$A$2:$FZ$601,203,Sync!$D$5)&amp;"",""),Brand_Log!$A$2:$A$201,0))&amp;"",IFERROR(INDEX(Clay_Brands!$A$2:$FZ$601,203,Sync!$D$5)&amp;"","")&amp;""))</f>
        <v/>
      </c>
      <c r="E3654" s="23" t="str">
        <f aca="false">IF(B3654="","",IFERROR(INDEX(Clay_Brands!$A$2:$FZ$601,203,Sync!$D$6)&amp;"",""))</f>
        <v/>
      </c>
      <c r="F3654" s="23" t="str">
        <f aca="false">IF(B3654="","","outreach_sent")</f>
        <v/>
      </c>
      <c r="G3654" s="23" t="str">
        <f aca="false">IF(B3654="","","")</f>
        <v/>
      </c>
      <c r="H3654" s="23" t="str">
        <f aca="false">IF(B3654="","","")</f>
        <v/>
      </c>
      <c r="I3654" s="23" t="str">
        <f aca="false">IF(B3654="","","")</f>
        <v/>
      </c>
      <c r="J3654" s="23" t="str">
        <f aca="false">IF(B3654="","","touch_1; "&amp;IFERROR(INDEX(Clay_Brands!$A$2:$FZ$601,203,Sync!$D$10)&amp;"","")&amp;"; "&amp;IFERROR(INDEX(Clay_Brands!$A$2:$FZ$601,203,Sync!$D$9)&amp;"",""))</f>
        <v/>
      </c>
      <c r="K3654" s="32" t="s">
        <v>1366</v>
      </c>
    </row>
    <row r="3655" customFormat="false" ht="15" hidden="false" customHeight="false" outlineLevel="0" collapsed="false">
      <c r="A3655" s="23" t="str">
        <f aca="false">IF(B3655="","",B3655+(15*1000+204)/10000000)</f>
        <v/>
      </c>
      <c r="B3655" s="35" t="str">
        <f aca="false">IF(AND(IFERROR(N(INDEX(Clay_Brands!$A$2:$FZ$601,204,Sync!$D$11)),0)&gt;0,IFERROR(INDEX(Clay_Brands!$A$2:$FZ$601,204,Sync!$D$5)&amp;"","")&lt;&gt;"",OR(LEFT(IFERROR(INDEX(Clay_Brands!$A$2:$FZ$601,204,Sync!$D$5)&amp;"",""),6)&lt;&gt;"SAMPLE",Config!$B$19="Y")),IFERROR(N(INDEX(Clay_Brands!$A$2:$FZ$601,204,Sync!$D$11)),0),"")</f>
        <v/>
      </c>
      <c r="C3655" s="23" t="str">
        <f aca="false">IF(B3655="","","brand")</f>
        <v/>
      </c>
      <c r="D3655" s="23" t="str">
        <f aca="false">IF(B3655="","",IFERROR(INDEX(Brand_Log!$DV$2:$DV$201,MATCH(IFERROR(INDEX(Clay_Brands!$A$2:$FZ$601,204,Sync!$D$5)&amp;"",""),Brand_Log!$A$2:$A$201,0))&amp;"",IFERROR(INDEX(Clay_Brands!$A$2:$FZ$601,204,Sync!$D$5)&amp;"","")&amp;""))</f>
        <v/>
      </c>
      <c r="E3655" s="23" t="str">
        <f aca="false">IF(B3655="","",IFERROR(INDEX(Clay_Brands!$A$2:$FZ$601,204,Sync!$D$6)&amp;"",""))</f>
        <v/>
      </c>
      <c r="F3655" s="23" t="str">
        <f aca="false">IF(B3655="","","outreach_sent")</f>
        <v/>
      </c>
      <c r="G3655" s="23" t="str">
        <f aca="false">IF(B3655="","","")</f>
        <v/>
      </c>
      <c r="H3655" s="23" t="str">
        <f aca="false">IF(B3655="","","")</f>
        <v/>
      </c>
      <c r="I3655" s="23" t="str">
        <f aca="false">IF(B3655="","","")</f>
        <v/>
      </c>
      <c r="J3655" s="23" t="str">
        <f aca="false">IF(B3655="","","touch_1; "&amp;IFERROR(INDEX(Clay_Brands!$A$2:$FZ$601,204,Sync!$D$10)&amp;"","")&amp;"; "&amp;IFERROR(INDEX(Clay_Brands!$A$2:$FZ$601,204,Sync!$D$9)&amp;"",""))</f>
        <v/>
      </c>
      <c r="K3655" s="32" t="s">
        <v>1366</v>
      </c>
    </row>
    <row r="3656" customFormat="false" ht="15" hidden="false" customHeight="false" outlineLevel="0" collapsed="false">
      <c r="A3656" s="23" t="str">
        <f aca="false">IF(B3656="","",B3656+(15*1000+205)/10000000)</f>
        <v/>
      </c>
      <c r="B3656" s="35" t="str">
        <f aca="false">IF(AND(IFERROR(N(INDEX(Clay_Brands!$A$2:$FZ$601,205,Sync!$D$11)),0)&gt;0,IFERROR(INDEX(Clay_Brands!$A$2:$FZ$601,205,Sync!$D$5)&amp;"","")&lt;&gt;"",OR(LEFT(IFERROR(INDEX(Clay_Brands!$A$2:$FZ$601,205,Sync!$D$5)&amp;"",""),6)&lt;&gt;"SAMPLE",Config!$B$19="Y")),IFERROR(N(INDEX(Clay_Brands!$A$2:$FZ$601,205,Sync!$D$11)),0),"")</f>
        <v/>
      </c>
      <c r="C3656" s="23" t="str">
        <f aca="false">IF(B3656="","","brand")</f>
        <v/>
      </c>
      <c r="D3656" s="23" t="str">
        <f aca="false">IF(B3656="","",IFERROR(INDEX(Brand_Log!$DV$2:$DV$201,MATCH(IFERROR(INDEX(Clay_Brands!$A$2:$FZ$601,205,Sync!$D$5)&amp;"",""),Brand_Log!$A$2:$A$201,0))&amp;"",IFERROR(INDEX(Clay_Brands!$A$2:$FZ$601,205,Sync!$D$5)&amp;"","")&amp;""))</f>
        <v/>
      </c>
      <c r="E3656" s="23" t="str">
        <f aca="false">IF(B3656="","",IFERROR(INDEX(Clay_Brands!$A$2:$FZ$601,205,Sync!$D$6)&amp;"",""))</f>
        <v/>
      </c>
      <c r="F3656" s="23" t="str">
        <f aca="false">IF(B3656="","","outreach_sent")</f>
        <v/>
      </c>
      <c r="G3656" s="23" t="str">
        <f aca="false">IF(B3656="","","")</f>
        <v/>
      </c>
      <c r="H3656" s="23" t="str">
        <f aca="false">IF(B3656="","","")</f>
        <v/>
      </c>
      <c r="I3656" s="23" t="str">
        <f aca="false">IF(B3656="","","")</f>
        <v/>
      </c>
      <c r="J3656" s="23" t="str">
        <f aca="false">IF(B3656="","","touch_1; "&amp;IFERROR(INDEX(Clay_Brands!$A$2:$FZ$601,205,Sync!$D$10)&amp;"","")&amp;"; "&amp;IFERROR(INDEX(Clay_Brands!$A$2:$FZ$601,205,Sync!$D$9)&amp;"",""))</f>
        <v/>
      </c>
      <c r="K3656" s="32" t="s">
        <v>1366</v>
      </c>
    </row>
    <row r="3657" customFormat="false" ht="15" hidden="false" customHeight="false" outlineLevel="0" collapsed="false">
      <c r="A3657" s="23" t="str">
        <f aca="false">IF(B3657="","",B3657+(15*1000+206)/10000000)</f>
        <v/>
      </c>
      <c r="B3657" s="35" t="str">
        <f aca="false">IF(AND(IFERROR(N(INDEX(Clay_Brands!$A$2:$FZ$601,206,Sync!$D$11)),0)&gt;0,IFERROR(INDEX(Clay_Brands!$A$2:$FZ$601,206,Sync!$D$5)&amp;"","")&lt;&gt;"",OR(LEFT(IFERROR(INDEX(Clay_Brands!$A$2:$FZ$601,206,Sync!$D$5)&amp;"",""),6)&lt;&gt;"SAMPLE",Config!$B$19="Y")),IFERROR(N(INDEX(Clay_Brands!$A$2:$FZ$601,206,Sync!$D$11)),0),"")</f>
        <v/>
      </c>
      <c r="C3657" s="23" t="str">
        <f aca="false">IF(B3657="","","brand")</f>
        <v/>
      </c>
      <c r="D3657" s="23" t="str">
        <f aca="false">IF(B3657="","",IFERROR(INDEX(Brand_Log!$DV$2:$DV$201,MATCH(IFERROR(INDEX(Clay_Brands!$A$2:$FZ$601,206,Sync!$D$5)&amp;"",""),Brand_Log!$A$2:$A$201,0))&amp;"",IFERROR(INDEX(Clay_Brands!$A$2:$FZ$601,206,Sync!$D$5)&amp;"","")&amp;""))</f>
        <v/>
      </c>
      <c r="E3657" s="23" t="str">
        <f aca="false">IF(B3657="","",IFERROR(INDEX(Clay_Brands!$A$2:$FZ$601,206,Sync!$D$6)&amp;"",""))</f>
        <v/>
      </c>
      <c r="F3657" s="23" t="str">
        <f aca="false">IF(B3657="","","outreach_sent")</f>
        <v/>
      </c>
      <c r="G3657" s="23" t="str">
        <f aca="false">IF(B3657="","","")</f>
        <v/>
      </c>
      <c r="H3657" s="23" t="str">
        <f aca="false">IF(B3657="","","")</f>
        <v/>
      </c>
      <c r="I3657" s="23" t="str">
        <f aca="false">IF(B3657="","","")</f>
        <v/>
      </c>
      <c r="J3657" s="23" t="str">
        <f aca="false">IF(B3657="","","touch_1; "&amp;IFERROR(INDEX(Clay_Brands!$A$2:$FZ$601,206,Sync!$D$10)&amp;"","")&amp;"; "&amp;IFERROR(INDEX(Clay_Brands!$A$2:$FZ$601,206,Sync!$D$9)&amp;"",""))</f>
        <v/>
      </c>
      <c r="K3657" s="32" t="s">
        <v>1366</v>
      </c>
    </row>
    <row r="3658" customFormat="false" ht="15" hidden="false" customHeight="false" outlineLevel="0" collapsed="false">
      <c r="A3658" s="23" t="str">
        <f aca="false">IF(B3658="","",B3658+(15*1000+207)/10000000)</f>
        <v/>
      </c>
      <c r="B3658" s="35" t="str">
        <f aca="false">IF(AND(IFERROR(N(INDEX(Clay_Brands!$A$2:$FZ$601,207,Sync!$D$11)),0)&gt;0,IFERROR(INDEX(Clay_Brands!$A$2:$FZ$601,207,Sync!$D$5)&amp;"","")&lt;&gt;"",OR(LEFT(IFERROR(INDEX(Clay_Brands!$A$2:$FZ$601,207,Sync!$D$5)&amp;"",""),6)&lt;&gt;"SAMPLE",Config!$B$19="Y")),IFERROR(N(INDEX(Clay_Brands!$A$2:$FZ$601,207,Sync!$D$11)),0),"")</f>
        <v/>
      </c>
      <c r="C3658" s="23" t="str">
        <f aca="false">IF(B3658="","","brand")</f>
        <v/>
      </c>
      <c r="D3658" s="23" t="str">
        <f aca="false">IF(B3658="","",IFERROR(INDEX(Brand_Log!$DV$2:$DV$201,MATCH(IFERROR(INDEX(Clay_Brands!$A$2:$FZ$601,207,Sync!$D$5)&amp;"",""),Brand_Log!$A$2:$A$201,0))&amp;"",IFERROR(INDEX(Clay_Brands!$A$2:$FZ$601,207,Sync!$D$5)&amp;"","")&amp;""))</f>
        <v/>
      </c>
      <c r="E3658" s="23" t="str">
        <f aca="false">IF(B3658="","",IFERROR(INDEX(Clay_Brands!$A$2:$FZ$601,207,Sync!$D$6)&amp;"",""))</f>
        <v/>
      </c>
      <c r="F3658" s="23" t="str">
        <f aca="false">IF(B3658="","","outreach_sent")</f>
        <v/>
      </c>
      <c r="G3658" s="23" t="str">
        <f aca="false">IF(B3658="","","")</f>
        <v/>
      </c>
      <c r="H3658" s="23" t="str">
        <f aca="false">IF(B3658="","","")</f>
        <v/>
      </c>
      <c r="I3658" s="23" t="str">
        <f aca="false">IF(B3658="","","")</f>
        <v/>
      </c>
      <c r="J3658" s="23" t="str">
        <f aca="false">IF(B3658="","","touch_1; "&amp;IFERROR(INDEX(Clay_Brands!$A$2:$FZ$601,207,Sync!$D$10)&amp;"","")&amp;"; "&amp;IFERROR(INDEX(Clay_Brands!$A$2:$FZ$601,207,Sync!$D$9)&amp;"",""))</f>
        <v/>
      </c>
      <c r="K3658" s="32" t="s">
        <v>1366</v>
      </c>
    </row>
    <row r="3659" customFormat="false" ht="15" hidden="false" customHeight="false" outlineLevel="0" collapsed="false">
      <c r="A3659" s="23" t="str">
        <f aca="false">IF(B3659="","",B3659+(15*1000+208)/10000000)</f>
        <v/>
      </c>
      <c r="B3659" s="35" t="str">
        <f aca="false">IF(AND(IFERROR(N(INDEX(Clay_Brands!$A$2:$FZ$601,208,Sync!$D$11)),0)&gt;0,IFERROR(INDEX(Clay_Brands!$A$2:$FZ$601,208,Sync!$D$5)&amp;"","")&lt;&gt;"",OR(LEFT(IFERROR(INDEX(Clay_Brands!$A$2:$FZ$601,208,Sync!$D$5)&amp;"",""),6)&lt;&gt;"SAMPLE",Config!$B$19="Y")),IFERROR(N(INDEX(Clay_Brands!$A$2:$FZ$601,208,Sync!$D$11)),0),"")</f>
        <v/>
      </c>
      <c r="C3659" s="23" t="str">
        <f aca="false">IF(B3659="","","brand")</f>
        <v/>
      </c>
      <c r="D3659" s="23" t="str">
        <f aca="false">IF(B3659="","",IFERROR(INDEX(Brand_Log!$DV$2:$DV$201,MATCH(IFERROR(INDEX(Clay_Brands!$A$2:$FZ$601,208,Sync!$D$5)&amp;"",""),Brand_Log!$A$2:$A$201,0))&amp;"",IFERROR(INDEX(Clay_Brands!$A$2:$FZ$601,208,Sync!$D$5)&amp;"","")&amp;""))</f>
        <v/>
      </c>
      <c r="E3659" s="23" t="str">
        <f aca="false">IF(B3659="","",IFERROR(INDEX(Clay_Brands!$A$2:$FZ$601,208,Sync!$D$6)&amp;"",""))</f>
        <v/>
      </c>
      <c r="F3659" s="23" t="str">
        <f aca="false">IF(B3659="","","outreach_sent")</f>
        <v/>
      </c>
      <c r="G3659" s="23" t="str">
        <f aca="false">IF(B3659="","","")</f>
        <v/>
      </c>
      <c r="H3659" s="23" t="str">
        <f aca="false">IF(B3659="","","")</f>
        <v/>
      </c>
      <c r="I3659" s="23" t="str">
        <f aca="false">IF(B3659="","","")</f>
        <v/>
      </c>
      <c r="J3659" s="23" t="str">
        <f aca="false">IF(B3659="","","touch_1; "&amp;IFERROR(INDEX(Clay_Brands!$A$2:$FZ$601,208,Sync!$D$10)&amp;"","")&amp;"; "&amp;IFERROR(INDEX(Clay_Brands!$A$2:$FZ$601,208,Sync!$D$9)&amp;"",""))</f>
        <v/>
      </c>
      <c r="K3659" s="32" t="s">
        <v>1366</v>
      </c>
    </row>
    <row r="3660" customFormat="false" ht="15" hidden="false" customHeight="false" outlineLevel="0" collapsed="false">
      <c r="A3660" s="23" t="str">
        <f aca="false">IF(B3660="","",B3660+(15*1000+209)/10000000)</f>
        <v/>
      </c>
      <c r="B3660" s="35" t="str">
        <f aca="false">IF(AND(IFERROR(N(INDEX(Clay_Brands!$A$2:$FZ$601,209,Sync!$D$11)),0)&gt;0,IFERROR(INDEX(Clay_Brands!$A$2:$FZ$601,209,Sync!$D$5)&amp;"","")&lt;&gt;"",OR(LEFT(IFERROR(INDEX(Clay_Brands!$A$2:$FZ$601,209,Sync!$D$5)&amp;"",""),6)&lt;&gt;"SAMPLE",Config!$B$19="Y")),IFERROR(N(INDEX(Clay_Brands!$A$2:$FZ$601,209,Sync!$D$11)),0),"")</f>
        <v/>
      </c>
      <c r="C3660" s="23" t="str">
        <f aca="false">IF(B3660="","","brand")</f>
        <v/>
      </c>
      <c r="D3660" s="23" t="str">
        <f aca="false">IF(B3660="","",IFERROR(INDEX(Brand_Log!$DV$2:$DV$201,MATCH(IFERROR(INDEX(Clay_Brands!$A$2:$FZ$601,209,Sync!$D$5)&amp;"",""),Brand_Log!$A$2:$A$201,0))&amp;"",IFERROR(INDEX(Clay_Brands!$A$2:$FZ$601,209,Sync!$D$5)&amp;"","")&amp;""))</f>
        <v/>
      </c>
      <c r="E3660" s="23" t="str">
        <f aca="false">IF(B3660="","",IFERROR(INDEX(Clay_Brands!$A$2:$FZ$601,209,Sync!$D$6)&amp;"",""))</f>
        <v/>
      </c>
      <c r="F3660" s="23" t="str">
        <f aca="false">IF(B3660="","","outreach_sent")</f>
        <v/>
      </c>
      <c r="G3660" s="23" t="str">
        <f aca="false">IF(B3660="","","")</f>
        <v/>
      </c>
      <c r="H3660" s="23" t="str">
        <f aca="false">IF(B3660="","","")</f>
        <v/>
      </c>
      <c r="I3660" s="23" t="str">
        <f aca="false">IF(B3660="","","")</f>
        <v/>
      </c>
      <c r="J3660" s="23" t="str">
        <f aca="false">IF(B3660="","","touch_1; "&amp;IFERROR(INDEX(Clay_Brands!$A$2:$FZ$601,209,Sync!$D$10)&amp;"","")&amp;"; "&amp;IFERROR(INDEX(Clay_Brands!$A$2:$FZ$601,209,Sync!$D$9)&amp;"",""))</f>
        <v/>
      </c>
      <c r="K3660" s="32" t="s">
        <v>1366</v>
      </c>
    </row>
    <row r="3661" customFormat="false" ht="15" hidden="false" customHeight="false" outlineLevel="0" collapsed="false">
      <c r="A3661" s="23" t="str">
        <f aca="false">IF(B3661="","",B3661+(15*1000+210)/10000000)</f>
        <v/>
      </c>
      <c r="B3661" s="35" t="str">
        <f aca="false">IF(AND(IFERROR(N(INDEX(Clay_Brands!$A$2:$FZ$601,210,Sync!$D$11)),0)&gt;0,IFERROR(INDEX(Clay_Brands!$A$2:$FZ$601,210,Sync!$D$5)&amp;"","")&lt;&gt;"",OR(LEFT(IFERROR(INDEX(Clay_Brands!$A$2:$FZ$601,210,Sync!$D$5)&amp;"",""),6)&lt;&gt;"SAMPLE",Config!$B$19="Y")),IFERROR(N(INDEX(Clay_Brands!$A$2:$FZ$601,210,Sync!$D$11)),0),"")</f>
        <v/>
      </c>
      <c r="C3661" s="23" t="str">
        <f aca="false">IF(B3661="","","brand")</f>
        <v/>
      </c>
      <c r="D3661" s="23" t="str">
        <f aca="false">IF(B3661="","",IFERROR(INDEX(Brand_Log!$DV$2:$DV$201,MATCH(IFERROR(INDEX(Clay_Brands!$A$2:$FZ$601,210,Sync!$D$5)&amp;"",""),Brand_Log!$A$2:$A$201,0))&amp;"",IFERROR(INDEX(Clay_Brands!$A$2:$FZ$601,210,Sync!$D$5)&amp;"","")&amp;""))</f>
        <v/>
      </c>
      <c r="E3661" s="23" t="str">
        <f aca="false">IF(B3661="","",IFERROR(INDEX(Clay_Brands!$A$2:$FZ$601,210,Sync!$D$6)&amp;"",""))</f>
        <v/>
      </c>
      <c r="F3661" s="23" t="str">
        <f aca="false">IF(B3661="","","outreach_sent")</f>
        <v/>
      </c>
      <c r="G3661" s="23" t="str">
        <f aca="false">IF(B3661="","","")</f>
        <v/>
      </c>
      <c r="H3661" s="23" t="str">
        <f aca="false">IF(B3661="","","")</f>
        <v/>
      </c>
      <c r="I3661" s="23" t="str">
        <f aca="false">IF(B3661="","","")</f>
        <v/>
      </c>
      <c r="J3661" s="23" t="str">
        <f aca="false">IF(B3661="","","touch_1; "&amp;IFERROR(INDEX(Clay_Brands!$A$2:$FZ$601,210,Sync!$D$10)&amp;"","")&amp;"; "&amp;IFERROR(INDEX(Clay_Brands!$A$2:$FZ$601,210,Sync!$D$9)&amp;"",""))</f>
        <v/>
      </c>
      <c r="K3661" s="32" t="s">
        <v>1366</v>
      </c>
    </row>
    <row r="3662" customFormat="false" ht="15" hidden="false" customHeight="false" outlineLevel="0" collapsed="false">
      <c r="A3662" s="23" t="str">
        <f aca="false">IF(B3662="","",B3662+(15*1000+211)/10000000)</f>
        <v/>
      </c>
      <c r="B3662" s="35" t="str">
        <f aca="false">IF(AND(IFERROR(N(INDEX(Clay_Brands!$A$2:$FZ$601,211,Sync!$D$11)),0)&gt;0,IFERROR(INDEX(Clay_Brands!$A$2:$FZ$601,211,Sync!$D$5)&amp;"","")&lt;&gt;"",OR(LEFT(IFERROR(INDEX(Clay_Brands!$A$2:$FZ$601,211,Sync!$D$5)&amp;"",""),6)&lt;&gt;"SAMPLE",Config!$B$19="Y")),IFERROR(N(INDEX(Clay_Brands!$A$2:$FZ$601,211,Sync!$D$11)),0),"")</f>
        <v/>
      </c>
      <c r="C3662" s="23" t="str">
        <f aca="false">IF(B3662="","","brand")</f>
        <v/>
      </c>
      <c r="D3662" s="23" t="str">
        <f aca="false">IF(B3662="","",IFERROR(INDEX(Brand_Log!$DV$2:$DV$201,MATCH(IFERROR(INDEX(Clay_Brands!$A$2:$FZ$601,211,Sync!$D$5)&amp;"",""),Brand_Log!$A$2:$A$201,0))&amp;"",IFERROR(INDEX(Clay_Brands!$A$2:$FZ$601,211,Sync!$D$5)&amp;"","")&amp;""))</f>
        <v/>
      </c>
      <c r="E3662" s="23" t="str">
        <f aca="false">IF(B3662="","",IFERROR(INDEX(Clay_Brands!$A$2:$FZ$601,211,Sync!$D$6)&amp;"",""))</f>
        <v/>
      </c>
      <c r="F3662" s="23" t="str">
        <f aca="false">IF(B3662="","","outreach_sent")</f>
        <v/>
      </c>
      <c r="G3662" s="23" t="str">
        <f aca="false">IF(B3662="","","")</f>
        <v/>
      </c>
      <c r="H3662" s="23" t="str">
        <f aca="false">IF(B3662="","","")</f>
        <v/>
      </c>
      <c r="I3662" s="23" t="str">
        <f aca="false">IF(B3662="","","")</f>
        <v/>
      </c>
      <c r="J3662" s="23" t="str">
        <f aca="false">IF(B3662="","","touch_1; "&amp;IFERROR(INDEX(Clay_Brands!$A$2:$FZ$601,211,Sync!$D$10)&amp;"","")&amp;"; "&amp;IFERROR(INDEX(Clay_Brands!$A$2:$FZ$601,211,Sync!$D$9)&amp;"",""))</f>
        <v/>
      </c>
      <c r="K3662" s="32" t="s">
        <v>1366</v>
      </c>
    </row>
    <row r="3663" customFormat="false" ht="15" hidden="false" customHeight="false" outlineLevel="0" collapsed="false">
      <c r="A3663" s="23" t="str">
        <f aca="false">IF(B3663="","",B3663+(15*1000+212)/10000000)</f>
        <v/>
      </c>
      <c r="B3663" s="35" t="str">
        <f aca="false">IF(AND(IFERROR(N(INDEX(Clay_Brands!$A$2:$FZ$601,212,Sync!$D$11)),0)&gt;0,IFERROR(INDEX(Clay_Brands!$A$2:$FZ$601,212,Sync!$D$5)&amp;"","")&lt;&gt;"",OR(LEFT(IFERROR(INDEX(Clay_Brands!$A$2:$FZ$601,212,Sync!$D$5)&amp;"",""),6)&lt;&gt;"SAMPLE",Config!$B$19="Y")),IFERROR(N(INDEX(Clay_Brands!$A$2:$FZ$601,212,Sync!$D$11)),0),"")</f>
        <v/>
      </c>
      <c r="C3663" s="23" t="str">
        <f aca="false">IF(B3663="","","brand")</f>
        <v/>
      </c>
      <c r="D3663" s="23" t="str">
        <f aca="false">IF(B3663="","",IFERROR(INDEX(Brand_Log!$DV$2:$DV$201,MATCH(IFERROR(INDEX(Clay_Brands!$A$2:$FZ$601,212,Sync!$D$5)&amp;"",""),Brand_Log!$A$2:$A$201,0))&amp;"",IFERROR(INDEX(Clay_Brands!$A$2:$FZ$601,212,Sync!$D$5)&amp;"","")&amp;""))</f>
        <v/>
      </c>
      <c r="E3663" s="23" t="str">
        <f aca="false">IF(B3663="","",IFERROR(INDEX(Clay_Brands!$A$2:$FZ$601,212,Sync!$D$6)&amp;"",""))</f>
        <v/>
      </c>
      <c r="F3663" s="23" t="str">
        <f aca="false">IF(B3663="","","outreach_sent")</f>
        <v/>
      </c>
      <c r="G3663" s="23" t="str">
        <f aca="false">IF(B3663="","","")</f>
        <v/>
      </c>
      <c r="H3663" s="23" t="str">
        <f aca="false">IF(B3663="","","")</f>
        <v/>
      </c>
      <c r="I3663" s="23" t="str">
        <f aca="false">IF(B3663="","","")</f>
        <v/>
      </c>
      <c r="J3663" s="23" t="str">
        <f aca="false">IF(B3663="","","touch_1; "&amp;IFERROR(INDEX(Clay_Brands!$A$2:$FZ$601,212,Sync!$D$10)&amp;"","")&amp;"; "&amp;IFERROR(INDEX(Clay_Brands!$A$2:$FZ$601,212,Sync!$D$9)&amp;"",""))</f>
        <v/>
      </c>
      <c r="K3663" s="32" t="s">
        <v>1366</v>
      </c>
    </row>
    <row r="3664" customFormat="false" ht="15" hidden="false" customHeight="false" outlineLevel="0" collapsed="false">
      <c r="A3664" s="23" t="str">
        <f aca="false">IF(B3664="","",B3664+(15*1000+213)/10000000)</f>
        <v/>
      </c>
      <c r="B3664" s="35" t="str">
        <f aca="false">IF(AND(IFERROR(N(INDEX(Clay_Brands!$A$2:$FZ$601,213,Sync!$D$11)),0)&gt;0,IFERROR(INDEX(Clay_Brands!$A$2:$FZ$601,213,Sync!$D$5)&amp;"","")&lt;&gt;"",OR(LEFT(IFERROR(INDEX(Clay_Brands!$A$2:$FZ$601,213,Sync!$D$5)&amp;"",""),6)&lt;&gt;"SAMPLE",Config!$B$19="Y")),IFERROR(N(INDEX(Clay_Brands!$A$2:$FZ$601,213,Sync!$D$11)),0),"")</f>
        <v/>
      </c>
      <c r="C3664" s="23" t="str">
        <f aca="false">IF(B3664="","","brand")</f>
        <v/>
      </c>
      <c r="D3664" s="23" t="str">
        <f aca="false">IF(B3664="","",IFERROR(INDEX(Brand_Log!$DV$2:$DV$201,MATCH(IFERROR(INDEX(Clay_Brands!$A$2:$FZ$601,213,Sync!$D$5)&amp;"",""),Brand_Log!$A$2:$A$201,0))&amp;"",IFERROR(INDEX(Clay_Brands!$A$2:$FZ$601,213,Sync!$D$5)&amp;"","")&amp;""))</f>
        <v/>
      </c>
      <c r="E3664" s="23" t="str">
        <f aca="false">IF(B3664="","",IFERROR(INDEX(Clay_Brands!$A$2:$FZ$601,213,Sync!$D$6)&amp;"",""))</f>
        <v/>
      </c>
      <c r="F3664" s="23" t="str">
        <f aca="false">IF(B3664="","","outreach_sent")</f>
        <v/>
      </c>
      <c r="G3664" s="23" t="str">
        <f aca="false">IF(B3664="","","")</f>
        <v/>
      </c>
      <c r="H3664" s="23" t="str">
        <f aca="false">IF(B3664="","","")</f>
        <v/>
      </c>
      <c r="I3664" s="23" t="str">
        <f aca="false">IF(B3664="","","")</f>
        <v/>
      </c>
      <c r="J3664" s="23" t="str">
        <f aca="false">IF(B3664="","","touch_1; "&amp;IFERROR(INDEX(Clay_Brands!$A$2:$FZ$601,213,Sync!$D$10)&amp;"","")&amp;"; "&amp;IFERROR(INDEX(Clay_Brands!$A$2:$FZ$601,213,Sync!$D$9)&amp;"",""))</f>
        <v/>
      </c>
      <c r="K3664" s="32" t="s">
        <v>1366</v>
      </c>
    </row>
    <row r="3665" customFormat="false" ht="15" hidden="false" customHeight="false" outlineLevel="0" collapsed="false">
      <c r="A3665" s="23" t="str">
        <f aca="false">IF(B3665="","",B3665+(15*1000+214)/10000000)</f>
        <v/>
      </c>
      <c r="B3665" s="35" t="str">
        <f aca="false">IF(AND(IFERROR(N(INDEX(Clay_Brands!$A$2:$FZ$601,214,Sync!$D$11)),0)&gt;0,IFERROR(INDEX(Clay_Brands!$A$2:$FZ$601,214,Sync!$D$5)&amp;"","")&lt;&gt;"",OR(LEFT(IFERROR(INDEX(Clay_Brands!$A$2:$FZ$601,214,Sync!$D$5)&amp;"",""),6)&lt;&gt;"SAMPLE",Config!$B$19="Y")),IFERROR(N(INDEX(Clay_Brands!$A$2:$FZ$601,214,Sync!$D$11)),0),"")</f>
        <v/>
      </c>
      <c r="C3665" s="23" t="str">
        <f aca="false">IF(B3665="","","brand")</f>
        <v/>
      </c>
      <c r="D3665" s="23" t="str">
        <f aca="false">IF(B3665="","",IFERROR(INDEX(Brand_Log!$DV$2:$DV$201,MATCH(IFERROR(INDEX(Clay_Brands!$A$2:$FZ$601,214,Sync!$D$5)&amp;"",""),Brand_Log!$A$2:$A$201,0))&amp;"",IFERROR(INDEX(Clay_Brands!$A$2:$FZ$601,214,Sync!$D$5)&amp;"","")&amp;""))</f>
        <v/>
      </c>
      <c r="E3665" s="23" t="str">
        <f aca="false">IF(B3665="","",IFERROR(INDEX(Clay_Brands!$A$2:$FZ$601,214,Sync!$D$6)&amp;"",""))</f>
        <v/>
      </c>
      <c r="F3665" s="23" t="str">
        <f aca="false">IF(B3665="","","outreach_sent")</f>
        <v/>
      </c>
      <c r="G3665" s="23" t="str">
        <f aca="false">IF(B3665="","","")</f>
        <v/>
      </c>
      <c r="H3665" s="23" t="str">
        <f aca="false">IF(B3665="","","")</f>
        <v/>
      </c>
      <c r="I3665" s="23" t="str">
        <f aca="false">IF(B3665="","","")</f>
        <v/>
      </c>
      <c r="J3665" s="23" t="str">
        <f aca="false">IF(B3665="","","touch_1; "&amp;IFERROR(INDEX(Clay_Brands!$A$2:$FZ$601,214,Sync!$D$10)&amp;"","")&amp;"; "&amp;IFERROR(INDEX(Clay_Brands!$A$2:$FZ$601,214,Sync!$D$9)&amp;"",""))</f>
        <v/>
      </c>
      <c r="K3665" s="32" t="s">
        <v>1366</v>
      </c>
    </row>
    <row r="3666" customFormat="false" ht="15" hidden="false" customHeight="false" outlineLevel="0" collapsed="false">
      <c r="A3666" s="23" t="str">
        <f aca="false">IF(B3666="","",B3666+(15*1000+215)/10000000)</f>
        <v/>
      </c>
      <c r="B3666" s="35" t="str">
        <f aca="false">IF(AND(IFERROR(N(INDEX(Clay_Brands!$A$2:$FZ$601,215,Sync!$D$11)),0)&gt;0,IFERROR(INDEX(Clay_Brands!$A$2:$FZ$601,215,Sync!$D$5)&amp;"","")&lt;&gt;"",OR(LEFT(IFERROR(INDEX(Clay_Brands!$A$2:$FZ$601,215,Sync!$D$5)&amp;"",""),6)&lt;&gt;"SAMPLE",Config!$B$19="Y")),IFERROR(N(INDEX(Clay_Brands!$A$2:$FZ$601,215,Sync!$D$11)),0),"")</f>
        <v/>
      </c>
      <c r="C3666" s="23" t="str">
        <f aca="false">IF(B3666="","","brand")</f>
        <v/>
      </c>
      <c r="D3666" s="23" t="str">
        <f aca="false">IF(B3666="","",IFERROR(INDEX(Brand_Log!$DV$2:$DV$201,MATCH(IFERROR(INDEX(Clay_Brands!$A$2:$FZ$601,215,Sync!$D$5)&amp;"",""),Brand_Log!$A$2:$A$201,0))&amp;"",IFERROR(INDEX(Clay_Brands!$A$2:$FZ$601,215,Sync!$D$5)&amp;"","")&amp;""))</f>
        <v/>
      </c>
      <c r="E3666" s="23" t="str">
        <f aca="false">IF(B3666="","",IFERROR(INDEX(Clay_Brands!$A$2:$FZ$601,215,Sync!$D$6)&amp;"",""))</f>
        <v/>
      </c>
      <c r="F3666" s="23" t="str">
        <f aca="false">IF(B3666="","","outreach_sent")</f>
        <v/>
      </c>
      <c r="G3666" s="23" t="str">
        <f aca="false">IF(B3666="","","")</f>
        <v/>
      </c>
      <c r="H3666" s="23" t="str">
        <f aca="false">IF(B3666="","","")</f>
        <v/>
      </c>
      <c r="I3666" s="23" t="str">
        <f aca="false">IF(B3666="","","")</f>
        <v/>
      </c>
      <c r="J3666" s="23" t="str">
        <f aca="false">IF(B3666="","","touch_1; "&amp;IFERROR(INDEX(Clay_Brands!$A$2:$FZ$601,215,Sync!$D$10)&amp;"","")&amp;"; "&amp;IFERROR(INDEX(Clay_Brands!$A$2:$FZ$601,215,Sync!$D$9)&amp;"",""))</f>
        <v/>
      </c>
      <c r="K3666" s="32" t="s">
        <v>1366</v>
      </c>
    </row>
    <row r="3667" customFormat="false" ht="15" hidden="false" customHeight="false" outlineLevel="0" collapsed="false">
      <c r="A3667" s="23" t="str">
        <f aca="false">IF(B3667="","",B3667+(15*1000+216)/10000000)</f>
        <v/>
      </c>
      <c r="B3667" s="35" t="str">
        <f aca="false">IF(AND(IFERROR(N(INDEX(Clay_Brands!$A$2:$FZ$601,216,Sync!$D$11)),0)&gt;0,IFERROR(INDEX(Clay_Brands!$A$2:$FZ$601,216,Sync!$D$5)&amp;"","")&lt;&gt;"",OR(LEFT(IFERROR(INDEX(Clay_Brands!$A$2:$FZ$601,216,Sync!$D$5)&amp;"",""),6)&lt;&gt;"SAMPLE",Config!$B$19="Y")),IFERROR(N(INDEX(Clay_Brands!$A$2:$FZ$601,216,Sync!$D$11)),0),"")</f>
        <v/>
      </c>
      <c r="C3667" s="23" t="str">
        <f aca="false">IF(B3667="","","brand")</f>
        <v/>
      </c>
      <c r="D3667" s="23" t="str">
        <f aca="false">IF(B3667="","",IFERROR(INDEX(Brand_Log!$DV$2:$DV$201,MATCH(IFERROR(INDEX(Clay_Brands!$A$2:$FZ$601,216,Sync!$D$5)&amp;"",""),Brand_Log!$A$2:$A$201,0))&amp;"",IFERROR(INDEX(Clay_Brands!$A$2:$FZ$601,216,Sync!$D$5)&amp;"","")&amp;""))</f>
        <v/>
      </c>
      <c r="E3667" s="23" t="str">
        <f aca="false">IF(B3667="","",IFERROR(INDEX(Clay_Brands!$A$2:$FZ$601,216,Sync!$D$6)&amp;"",""))</f>
        <v/>
      </c>
      <c r="F3667" s="23" t="str">
        <f aca="false">IF(B3667="","","outreach_sent")</f>
        <v/>
      </c>
      <c r="G3667" s="23" t="str">
        <f aca="false">IF(B3667="","","")</f>
        <v/>
      </c>
      <c r="H3667" s="23" t="str">
        <f aca="false">IF(B3667="","","")</f>
        <v/>
      </c>
      <c r="I3667" s="23" t="str">
        <f aca="false">IF(B3667="","","")</f>
        <v/>
      </c>
      <c r="J3667" s="23" t="str">
        <f aca="false">IF(B3667="","","touch_1; "&amp;IFERROR(INDEX(Clay_Brands!$A$2:$FZ$601,216,Sync!$D$10)&amp;"","")&amp;"; "&amp;IFERROR(INDEX(Clay_Brands!$A$2:$FZ$601,216,Sync!$D$9)&amp;"",""))</f>
        <v/>
      </c>
      <c r="K3667" s="32" t="s">
        <v>1366</v>
      </c>
    </row>
    <row r="3668" customFormat="false" ht="15" hidden="false" customHeight="false" outlineLevel="0" collapsed="false">
      <c r="A3668" s="23" t="str">
        <f aca="false">IF(B3668="","",B3668+(15*1000+217)/10000000)</f>
        <v/>
      </c>
      <c r="B3668" s="35" t="str">
        <f aca="false">IF(AND(IFERROR(N(INDEX(Clay_Brands!$A$2:$FZ$601,217,Sync!$D$11)),0)&gt;0,IFERROR(INDEX(Clay_Brands!$A$2:$FZ$601,217,Sync!$D$5)&amp;"","")&lt;&gt;"",OR(LEFT(IFERROR(INDEX(Clay_Brands!$A$2:$FZ$601,217,Sync!$D$5)&amp;"",""),6)&lt;&gt;"SAMPLE",Config!$B$19="Y")),IFERROR(N(INDEX(Clay_Brands!$A$2:$FZ$601,217,Sync!$D$11)),0),"")</f>
        <v/>
      </c>
      <c r="C3668" s="23" t="str">
        <f aca="false">IF(B3668="","","brand")</f>
        <v/>
      </c>
      <c r="D3668" s="23" t="str">
        <f aca="false">IF(B3668="","",IFERROR(INDEX(Brand_Log!$DV$2:$DV$201,MATCH(IFERROR(INDEX(Clay_Brands!$A$2:$FZ$601,217,Sync!$D$5)&amp;"",""),Brand_Log!$A$2:$A$201,0))&amp;"",IFERROR(INDEX(Clay_Brands!$A$2:$FZ$601,217,Sync!$D$5)&amp;"","")&amp;""))</f>
        <v/>
      </c>
      <c r="E3668" s="23" t="str">
        <f aca="false">IF(B3668="","",IFERROR(INDEX(Clay_Brands!$A$2:$FZ$601,217,Sync!$D$6)&amp;"",""))</f>
        <v/>
      </c>
      <c r="F3668" s="23" t="str">
        <f aca="false">IF(B3668="","","outreach_sent")</f>
        <v/>
      </c>
      <c r="G3668" s="23" t="str">
        <f aca="false">IF(B3668="","","")</f>
        <v/>
      </c>
      <c r="H3668" s="23" t="str">
        <f aca="false">IF(B3668="","","")</f>
        <v/>
      </c>
      <c r="I3668" s="23" t="str">
        <f aca="false">IF(B3668="","","")</f>
        <v/>
      </c>
      <c r="J3668" s="23" t="str">
        <f aca="false">IF(B3668="","","touch_1; "&amp;IFERROR(INDEX(Clay_Brands!$A$2:$FZ$601,217,Sync!$D$10)&amp;"","")&amp;"; "&amp;IFERROR(INDEX(Clay_Brands!$A$2:$FZ$601,217,Sync!$D$9)&amp;"",""))</f>
        <v/>
      </c>
      <c r="K3668" s="32" t="s">
        <v>1366</v>
      </c>
    </row>
    <row r="3669" customFormat="false" ht="15" hidden="false" customHeight="false" outlineLevel="0" collapsed="false">
      <c r="A3669" s="23" t="str">
        <f aca="false">IF(B3669="","",B3669+(15*1000+218)/10000000)</f>
        <v/>
      </c>
      <c r="B3669" s="35" t="str">
        <f aca="false">IF(AND(IFERROR(N(INDEX(Clay_Brands!$A$2:$FZ$601,218,Sync!$D$11)),0)&gt;0,IFERROR(INDEX(Clay_Brands!$A$2:$FZ$601,218,Sync!$D$5)&amp;"","")&lt;&gt;"",OR(LEFT(IFERROR(INDEX(Clay_Brands!$A$2:$FZ$601,218,Sync!$D$5)&amp;"",""),6)&lt;&gt;"SAMPLE",Config!$B$19="Y")),IFERROR(N(INDEX(Clay_Brands!$A$2:$FZ$601,218,Sync!$D$11)),0),"")</f>
        <v/>
      </c>
      <c r="C3669" s="23" t="str">
        <f aca="false">IF(B3669="","","brand")</f>
        <v/>
      </c>
      <c r="D3669" s="23" t="str">
        <f aca="false">IF(B3669="","",IFERROR(INDEX(Brand_Log!$DV$2:$DV$201,MATCH(IFERROR(INDEX(Clay_Brands!$A$2:$FZ$601,218,Sync!$D$5)&amp;"",""),Brand_Log!$A$2:$A$201,0))&amp;"",IFERROR(INDEX(Clay_Brands!$A$2:$FZ$601,218,Sync!$D$5)&amp;"","")&amp;""))</f>
        <v/>
      </c>
      <c r="E3669" s="23" t="str">
        <f aca="false">IF(B3669="","",IFERROR(INDEX(Clay_Brands!$A$2:$FZ$601,218,Sync!$D$6)&amp;"",""))</f>
        <v/>
      </c>
      <c r="F3669" s="23" t="str">
        <f aca="false">IF(B3669="","","outreach_sent")</f>
        <v/>
      </c>
      <c r="G3669" s="23" t="str">
        <f aca="false">IF(B3669="","","")</f>
        <v/>
      </c>
      <c r="H3669" s="23" t="str">
        <f aca="false">IF(B3669="","","")</f>
        <v/>
      </c>
      <c r="I3669" s="23" t="str">
        <f aca="false">IF(B3669="","","")</f>
        <v/>
      </c>
      <c r="J3669" s="23" t="str">
        <f aca="false">IF(B3669="","","touch_1; "&amp;IFERROR(INDEX(Clay_Brands!$A$2:$FZ$601,218,Sync!$D$10)&amp;"","")&amp;"; "&amp;IFERROR(INDEX(Clay_Brands!$A$2:$FZ$601,218,Sync!$D$9)&amp;"",""))</f>
        <v/>
      </c>
      <c r="K3669" s="32" t="s">
        <v>1366</v>
      </c>
    </row>
    <row r="3670" customFormat="false" ht="15" hidden="false" customHeight="false" outlineLevel="0" collapsed="false">
      <c r="A3670" s="23" t="str">
        <f aca="false">IF(B3670="","",B3670+(15*1000+219)/10000000)</f>
        <v/>
      </c>
      <c r="B3670" s="35" t="str">
        <f aca="false">IF(AND(IFERROR(N(INDEX(Clay_Brands!$A$2:$FZ$601,219,Sync!$D$11)),0)&gt;0,IFERROR(INDEX(Clay_Brands!$A$2:$FZ$601,219,Sync!$D$5)&amp;"","")&lt;&gt;"",OR(LEFT(IFERROR(INDEX(Clay_Brands!$A$2:$FZ$601,219,Sync!$D$5)&amp;"",""),6)&lt;&gt;"SAMPLE",Config!$B$19="Y")),IFERROR(N(INDEX(Clay_Brands!$A$2:$FZ$601,219,Sync!$D$11)),0),"")</f>
        <v/>
      </c>
      <c r="C3670" s="23" t="str">
        <f aca="false">IF(B3670="","","brand")</f>
        <v/>
      </c>
      <c r="D3670" s="23" t="str">
        <f aca="false">IF(B3670="","",IFERROR(INDEX(Brand_Log!$DV$2:$DV$201,MATCH(IFERROR(INDEX(Clay_Brands!$A$2:$FZ$601,219,Sync!$D$5)&amp;"",""),Brand_Log!$A$2:$A$201,0))&amp;"",IFERROR(INDEX(Clay_Brands!$A$2:$FZ$601,219,Sync!$D$5)&amp;"","")&amp;""))</f>
        <v/>
      </c>
      <c r="E3670" s="23" t="str">
        <f aca="false">IF(B3670="","",IFERROR(INDEX(Clay_Brands!$A$2:$FZ$601,219,Sync!$D$6)&amp;"",""))</f>
        <v/>
      </c>
      <c r="F3670" s="23" t="str">
        <f aca="false">IF(B3670="","","outreach_sent")</f>
        <v/>
      </c>
      <c r="G3670" s="23" t="str">
        <f aca="false">IF(B3670="","","")</f>
        <v/>
      </c>
      <c r="H3670" s="23" t="str">
        <f aca="false">IF(B3670="","","")</f>
        <v/>
      </c>
      <c r="I3670" s="23" t="str">
        <f aca="false">IF(B3670="","","")</f>
        <v/>
      </c>
      <c r="J3670" s="23" t="str">
        <f aca="false">IF(B3670="","","touch_1; "&amp;IFERROR(INDEX(Clay_Brands!$A$2:$FZ$601,219,Sync!$D$10)&amp;"","")&amp;"; "&amp;IFERROR(INDEX(Clay_Brands!$A$2:$FZ$601,219,Sync!$D$9)&amp;"",""))</f>
        <v/>
      </c>
      <c r="K3670" s="32" t="s">
        <v>1366</v>
      </c>
    </row>
    <row r="3671" customFormat="false" ht="15" hidden="false" customHeight="false" outlineLevel="0" collapsed="false">
      <c r="A3671" s="23" t="str">
        <f aca="false">IF(B3671="","",B3671+(15*1000+220)/10000000)</f>
        <v/>
      </c>
      <c r="B3671" s="35" t="str">
        <f aca="false">IF(AND(IFERROR(N(INDEX(Clay_Brands!$A$2:$FZ$601,220,Sync!$D$11)),0)&gt;0,IFERROR(INDEX(Clay_Brands!$A$2:$FZ$601,220,Sync!$D$5)&amp;"","")&lt;&gt;"",OR(LEFT(IFERROR(INDEX(Clay_Brands!$A$2:$FZ$601,220,Sync!$D$5)&amp;"",""),6)&lt;&gt;"SAMPLE",Config!$B$19="Y")),IFERROR(N(INDEX(Clay_Brands!$A$2:$FZ$601,220,Sync!$D$11)),0),"")</f>
        <v/>
      </c>
      <c r="C3671" s="23" t="str">
        <f aca="false">IF(B3671="","","brand")</f>
        <v/>
      </c>
      <c r="D3671" s="23" t="str">
        <f aca="false">IF(B3671="","",IFERROR(INDEX(Brand_Log!$DV$2:$DV$201,MATCH(IFERROR(INDEX(Clay_Brands!$A$2:$FZ$601,220,Sync!$D$5)&amp;"",""),Brand_Log!$A$2:$A$201,0))&amp;"",IFERROR(INDEX(Clay_Brands!$A$2:$FZ$601,220,Sync!$D$5)&amp;"","")&amp;""))</f>
        <v/>
      </c>
      <c r="E3671" s="23" t="str">
        <f aca="false">IF(B3671="","",IFERROR(INDEX(Clay_Brands!$A$2:$FZ$601,220,Sync!$D$6)&amp;"",""))</f>
        <v/>
      </c>
      <c r="F3671" s="23" t="str">
        <f aca="false">IF(B3671="","","outreach_sent")</f>
        <v/>
      </c>
      <c r="G3671" s="23" t="str">
        <f aca="false">IF(B3671="","","")</f>
        <v/>
      </c>
      <c r="H3671" s="23" t="str">
        <f aca="false">IF(B3671="","","")</f>
        <v/>
      </c>
      <c r="I3671" s="23" t="str">
        <f aca="false">IF(B3671="","","")</f>
        <v/>
      </c>
      <c r="J3671" s="23" t="str">
        <f aca="false">IF(B3671="","","touch_1; "&amp;IFERROR(INDEX(Clay_Brands!$A$2:$FZ$601,220,Sync!$D$10)&amp;"","")&amp;"; "&amp;IFERROR(INDEX(Clay_Brands!$A$2:$FZ$601,220,Sync!$D$9)&amp;"",""))</f>
        <v/>
      </c>
      <c r="K3671" s="32" t="s">
        <v>1366</v>
      </c>
    </row>
    <row r="3672" customFormat="false" ht="15" hidden="false" customHeight="false" outlineLevel="0" collapsed="false">
      <c r="A3672" s="23" t="str">
        <f aca="false">IF(B3672="","",B3672+(15*1000+221)/10000000)</f>
        <v/>
      </c>
      <c r="B3672" s="35" t="str">
        <f aca="false">IF(AND(IFERROR(N(INDEX(Clay_Brands!$A$2:$FZ$601,221,Sync!$D$11)),0)&gt;0,IFERROR(INDEX(Clay_Brands!$A$2:$FZ$601,221,Sync!$D$5)&amp;"","")&lt;&gt;"",OR(LEFT(IFERROR(INDEX(Clay_Brands!$A$2:$FZ$601,221,Sync!$D$5)&amp;"",""),6)&lt;&gt;"SAMPLE",Config!$B$19="Y")),IFERROR(N(INDEX(Clay_Brands!$A$2:$FZ$601,221,Sync!$D$11)),0),"")</f>
        <v/>
      </c>
      <c r="C3672" s="23" t="str">
        <f aca="false">IF(B3672="","","brand")</f>
        <v/>
      </c>
      <c r="D3672" s="23" t="str">
        <f aca="false">IF(B3672="","",IFERROR(INDEX(Brand_Log!$DV$2:$DV$201,MATCH(IFERROR(INDEX(Clay_Brands!$A$2:$FZ$601,221,Sync!$D$5)&amp;"",""),Brand_Log!$A$2:$A$201,0))&amp;"",IFERROR(INDEX(Clay_Brands!$A$2:$FZ$601,221,Sync!$D$5)&amp;"","")&amp;""))</f>
        <v/>
      </c>
      <c r="E3672" s="23" t="str">
        <f aca="false">IF(B3672="","",IFERROR(INDEX(Clay_Brands!$A$2:$FZ$601,221,Sync!$D$6)&amp;"",""))</f>
        <v/>
      </c>
      <c r="F3672" s="23" t="str">
        <f aca="false">IF(B3672="","","outreach_sent")</f>
        <v/>
      </c>
      <c r="G3672" s="23" t="str">
        <f aca="false">IF(B3672="","","")</f>
        <v/>
      </c>
      <c r="H3672" s="23" t="str">
        <f aca="false">IF(B3672="","","")</f>
        <v/>
      </c>
      <c r="I3672" s="23" t="str">
        <f aca="false">IF(B3672="","","")</f>
        <v/>
      </c>
      <c r="J3672" s="23" t="str">
        <f aca="false">IF(B3672="","","touch_1; "&amp;IFERROR(INDEX(Clay_Brands!$A$2:$FZ$601,221,Sync!$D$10)&amp;"","")&amp;"; "&amp;IFERROR(INDEX(Clay_Brands!$A$2:$FZ$601,221,Sync!$D$9)&amp;"",""))</f>
        <v/>
      </c>
      <c r="K3672" s="32" t="s">
        <v>1366</v>
      </c>
    </row>
    <row r="3673" customFormat="false" ht="15" hidden="false" customHeight="false" outlineLevel="0" collapsed="false">
      <c r="A3673" s="23" t="str">
        <f aca="false">IF(B3673="","",B3673+(15*1000+222)/10000000)</f>
        <v/>
      </c>
      <c r="B3673" s="35" t="str">
        <f aca="false">IF(AND(IFERROR(N(INDEX(Clay_Brands!$A$2:$FZ$601,222,Sync!$D$11)),0)&gt;0,IFERROR(INDEX(Clay_Brands!$A$2:$FZ$601,222,Sync!$D$5)&amp;"","")&lt;&gt;"",OR(LEFT(IFERROR(INDEX(Clay_Brands!$A$2:$FZ$601,222,Sync!$D$5)&amp;"",""),6)&lt;&gt;"SAMPLE",Config!$B$19="Y")),IFERROR(N(INDEX(Clay_Brands!$A$2:$FZ$601,222,Sync!$D$11)),0),"")</f>
        <v/>
      </c>
      <c r="C3673" s="23" t="str">
        <f aca="false">IF(B3673="","","brand")</f>
        <v/>
      </c>
      <c r="D3673" s="23" t="str">
        <f aca="false">IF(B3673="","",IFERROR(INDEX(Brand_Log!$DV$2:$DV$201,MATCH(IFERROR(INDEX(Clay_Brands!$A$2:$FZ$601,222,Sync!$D$5)&amp;"",""),Brand_Log!$A$2:$A$201,0))&amp;"",IFERROR(INDEX(Clay_Brands!$A$2:$FZ$601,222,Sync!$D$5)&amp;"","")&amp;""))</f>
        <v/>
      </c>
      <c r="E3673" s="23" t="str">
        <f aca="false">IF(B3673="","",IFERROR(INDEX(Clay_Brands!$A$2:$FZ$601,222,Sync!$D$6)&amp;"",""))</f>
        <v/>
      </c>
      <c r="F3673" s="23" t="str">
        <f aca="false">IF(B3673="","","outreach_sent")</f>
        <v/>
      </c>
      <c r="G3673" s="23" t="str">
        <f aca="false">IF(B3673="","","")</f>
        <v/>
      </c>
      <c r="H3673" s="23" t="str">
        <f aca="false">IF(B3673="","","")</f>
        <v/>
      </c>
      <c r="I3673" s="23" t="str">
        <f aca="false">IF(B3673="","","")</f>
        <v/>
      </c>
      <c r="J3673" s="23" t="str">
        <f aca="false">IF(B3673="","","touch_1; "&amp;IFERROR(INDEX(Clay_Brands!$A$2:$FZ$601,222,Sync!$D$10)&amp;"","")&amp;"; "&amp;IFERROR(INDEX(Clay_Brands!$A$2:$FZ$601,222,Sync!$D$9)&amp;"",""))</f>
        <v/>
      </c>
      <c r="K3673" s="32" t="s">
        <v>1366</v>
      </c>
    </row>
    <row r="3674" customFormat="false" ht="15" hidden="false" customHeight="false" outlineLevel="0" collapsed="false">
      <c r="A3674" s="23" t="str">
        <f aca="false">IF(B3674="","",B3674+(15*1000+223)/10000000)</f>
        <v/>
      </c>
      <c r="B3674" s="35" t="str">
        <f aca="false">IF(AND(IFERROR(N(INDEX(Clay_Brands!$A$2:$FZ$601,223,Sync!$D$11)),0)&gt;0,IFERROR(INDEX(Clay_Brands!$A$2:$FZ$601,223,Sync!$D$5)&amp;"","")&lt;&gt;"",OR(LEFT(IFERROR(INDEX(Clay_Brands!$A$2:$FZ$601,223,Sync!$D$5)&amp;"",""),6)&lt;&gt;"SAMPLE",Config!$B$19="Y")),IFERROR(N(INDEX(Clay_Brands!$A$2:$FZ$601,223,Sync!$D$11)),0),"")</f>
        <v/>
      </c>
      <c r="C3674" s="23" t="str">
        <f aca="false">IF(B3674="","","brand")</f>
        <v/>
      </c>
      <c r="D3674" s="23" t="str">
        <f aca="false">IF(B3674="","",IFERROR(INDEX(Brand_Log!$DV$2:$DV$201,MATCH(IFERROR(INDEX(Clay_Brands!$A$2:$FZ$601,223,Sync!$D$5)&amp;"",""),Brand_Log!$A$2:$A$201,0))&amp;"",IFERROR(INDEX(Clay_Brands!$A$2:$FZ$601,223,Sync!$D$5)&amp;"","")&amp;""))</f>
        <v/>
      </c>
      <c r="E3674" s="23" t="str">
        <f aca="false">IF(B3674="","",IFERROR(INDEX(Clay_Brands!$A$2:$FZ$601,223,Sync!$D$6)&amp;"",""))</f>
        <v/>
      </c>
      <c r="F3674" s="23" t="str">
        <f aca="false">IF(B3674="","","outreach_sent")</f>
        <v/>
      </c>
      <c r="G3674" s="23" t="str">
        <f aca="false">IF(B3674="","","")</f>
        <v/>
      </c>
      <c r="H3674" s="23" t="str">
        <f aca="false">IF(B3674="","","")</f>
        <v/>
      </c>
      <c r="I3674" s="23" t="str">
        <f aca="false">IF(B3674="","","")</f>
        <v/>
      </c>
      <c r="J3674" s="23" t="str">
        <f aca="false">IF(B3674="","","touch_1; "&amp;IFERROR(INDEX(Clay_Brands!$A$2:$FZ$601,223,Sync!$D$10)&amp;"","")&amp;"; "&amp;IFERROR(INDEX(Clay_Brands!$A$2:$FZ$601,223,Sync!$D$9)&amp;"",""))</f>
        <v/>
      </c>
      <c r="K3674" s="32" t="s">
        <v>1366</v>
      </c>
    </row>
    <row r="3675" customFormat="false" ht="15" hidden="false" customHeight="false" outlineLevel="0" collapsed="false">
      <c r="A3675" s="23" t="str">
        <f aca="false">IF(B3675="","",B3675+(15*1000+224)/10000000)</f>
        <v/>
      </c>
      <c r="B3675" s="35" t="str">
        <f aca="false">IF(AND(IFERROR(N(INDEX(Clay_Brands!$A$2:$FZ$601,224,Sync!$D$11)),0)&gt;0,IFERROR(INDEX(Clay_Brands!$A$2:$FZ$601,224,Sync!$D$5)&amp;"","")&lt;&gt;"",OR(LEFT(IFERROR(INDEX(Clay_Brands!$A$2:$FZ$601,224,Sync!$D$5)&amp;"",""),6)&lt;&gt;"SAMPLE",Config!$B$19="Y")),IFERROR(N(INDEX(Clay_Brands!$A$2:$FZ$601,224,Sync!$D$11)),0),"")</f>
        <v/>
      </c>
      <c r="C3675" s="23" t="str">
        <f aca="false">IF(B3675="","","brand")</f>
        <v/>
      </c>
      <c r="D3675" s="23" t="str">
        <f aca="false">IF(B3675="","",IFERROR(INDEX(Brand_Log!$DV$2:$DV$201,MATCH(IFERROR(INDEX(Clay_Brands!$A$2:$FZ$601,224,Sync!$D$5)&amp;"",""),Brand_Log!$A$2:$A$201,0))&amp;"",IFERROR(INDEX(Clay_Brands!$A$2:$FZ$601,224,Sync!$D$5)&amp;"","")&amp;""))</f>
        <v/>
      </c>
      <c r="E3675" s="23" t="str">
        <f aca="false">IF(B3675="","",IFERROR(INDEX(Clay_Brands!$A$2:$FZ$601,224,Sync!$D$6)&amp;"",""))</f>
        <v/>
      </c>
      <c r="F3675" s="23" t="str">
        <f aca="false">IF(B3675="","","outreach_sent")</f>
        <v/>
      </c>
      <c r="G3675" s="23" t="str">
        <f aca="false">IF(B3675="","","")</f>
        <v/>
      </c>
      <c r="H3675" s="23" t="str">
        <f aca="false">IF(B3675="","","")</f>
        <v/>
      </c>
      <c r="I3675" s="23" t="str">
        <f aca="false">IF(B3675="","","")</f>
        <v/>
      </c>
      <c r="J3675" s="23" t="str">
        <f aca="false">IF(B3675="","","touch_1; "&amp;IFERROR(INDEX(Clay_Brands!$A$2:$FZ$601,224,Sync!$D$10)&amp;"","")&amp;"; "&amp;IFERROR(INDEX(Clay_Brands!$A$2:$FZ$601,224,Sync!$D$9)&amp;"",""))</f>
        <v/>
      </c>
      <c r="K3675" s="32" t="s">
        <v>1366</v>
      </c>
    </row>
    <row r="3676" customFormat="false" ht="15" hidden="false" customHeight="false" outlineLevel="0" collapsed="false">
      <c r="A3676" s="23" t="str">
        <f aca="false">IF(B3676="","",B3676+(15*1000+225)/10000000)</f>
        <v/>
      </c>
      <c r="B3676" s="35" t="str">
        <f aca="false">IF(AND(IFERROR(N(INDEX(Clay_Brands!$A$2:$FZ$601,225,Sync!$D$11)),0)&gt;0,IFERROR(INDEX(Clay_Brands!$A$2:$FZ$601,225,Sync!$D$5)&amp;"","")&lt;&gt;"",OR(LEFT(IFERROR(INDEX(Clay_Brands!$A$2:$FZ$601,225,Sync!$D$5)&amp;"",""),6)&lt;&gt;"SAMPLE",Config!$B$19="Y")),IFERROR(N(INDEX(Clay_Brands!$A$2:$FZ$601,225,Sync!$D$11)),0),"")</f>
        <v/>
      </c>
      <c r="C3676" s="23" t="str">
        <f aca="false">IF(B3676="","","brand")</f>
        <v/>
      </c>
      <c r="D3676" s="23" t="str">
        <f aca="false">IF(B3676="","",IFERROR(INDEX(Brand_Log!$DV$2:$DV$201,MATCH(IFERROR(INDEX(Clay_Brands!$A$2:$FZ$601,225,Sync!$D$5)&amp;"",""),Brand_Log!$A$2:$A$201,0))&amp;"",IFERROR(INDEX(Clay_Brands!$A$2:$FZ$601,225,Sync!$D$5)&amp;"","")&amp;""))</f>
        <v/>
      </c>
      <c r="E3676" s="23" t="str">
        <f aca="false">IF(B3676="","",IFERROR(INDEX(Clay_Brands!$A$2:$FZ$601,225,Sync!$D$6)&amp;"",""))</f>
        <v/>
      </c>
      <c r="F3676" s="23" t="str">
        <f aca="false">IF(B3676="","","outreach_sent")</f>
        <v/>
      </c>
      <c r="G3676" s="23" t="str">
        <f aca="false">IF(B3676="","","")</f>
        <v/>
      </c>
      <c r="H3676" s="23" t="str">
        <f aca="false">IF(B3676="","","")</f>
        <v/>
      </c>
      <c r="I3676" s="23" t="str">
        <f aca="false">IF(B3676="","","")</f>
        <v/>
      </c>
      <c r="J3676" s="23" t="str">
        <f aca="false">IF(B3676="","","touch_1; "&amp;IFERROR(INDEX(Clay_Brands!$A$2:$FZ$601,225,Sync!$D$10)&amp;"","")&amp;"; "&amp;IFERROR(INDEX(Clay_Brands!$A$2:$FZ$601,225,Sync!$D$9)&amp;"",""))</f>
        <v/>
      </c>
      <c r="K3676" s="32" t="s">
        <v>1366</v>
      </c>
    </row>
    <row r="3677" customFormat="false" ht="15" hidden="false" customHeight="false" outlineLevel="0" collapsed="false">
      <c r="A3677" s="23" t="str">
        <f aca="false">IF(B3677="","",B3677+(15*1000+226)/10000000)</f>
        <v/>
      </c>
      <c r="B3677" s="35" t="str">
        <f aca="false">IF(AND(IFERROR(N(INDEX(Clay_Brands!$A$2:$FZ$601,226,Sync!$D$11)),0)&gt;0,IFERROR(INDEX(Clay_Brands!$A$2:$FZ$601,226,Sync!$D$5)&amp;"","")&lt;&gt;"",OR(LEFT(IFERROR(INDEX(Clay_Brands!$A$2:$FZ$601,226,Sync!$D$5)&amp;"",""),6)&lt;&gt;"SAMPLE",Config!$B$19="Y")),IFERROR(N(INDEX(Clay_Brands!$A$2:$FZ$601,226,Sync!$D$11)),0),"")</f>
        <v/>
      </c>
      <c r="C3677" s="23" t="str">
        <f aca="false">IF(B3677="","","brand")</f>
        <v/>
      </c>
      <c r="D3677" s="23" t="str">
        <f aca="false">IF(B3677="","",IFERROR(INDEX(Brand_Log!$DV$2:$DV$201,MATCH(IFERROR(INDEX(Clay_Brands!$A$2:$FZ$601,226,Sync!$D$5)&amp;"",""),Brand_Log!$A$2:$A$201,0))&amp;"",IFERROR(INDEX(Clay_Brands!$A$2:$FZ$601,226,Sync!$D$5)&amp;"","")&amp;""))</f>
        <v/>
      </c>
      <c r="E3677" s="23" t="str">
        <f aca="false">IF(B3677="","",IFERROR(INDEX(Clay_Brands!$A$2:$FZ$601,226,Sync!$D$6)&amp;"",""))</f>
        <v/>
      </c>
      <c r="F3677" s="23" t="str">
        <f aca="false">IF(B3677="","","outreach_sent")</f>
        <v/>
      </c>
      <c r="G3677" s="23" t="str">
        <f aca="false">IF(B3677="","","")</f>
        <v/>
      </c>
      <c r="H3677" s="23" t="str">
        <f aca="false">IF(B3677="","","")</f>
        <v/>
      </c>
      <c r="I3677" s="23" t="str">
        <f aca="false">IF(B3677="","","")</f>
        <v/>
      </c>
      <c r="J3677" s="23" t="str">
        <f aca="false">IF(B3677="","","touch_1; "&amp;IFERROR(INDEX(Clay_Brands!$A$2:$FZ$601,226,Sync!$D$10)&amp;"","")&amp;"; "&amp;IFERROR(INDEX(Clay_Brands!$A$2:$FZ$601,226,Sync!$D$9)&amp;"",""))</f>
        <v/>
      </c>
      <c r="K3677" s="32" t="s">
        <v>1366</v>
      </c>
    </row>
    <row r="3678" customFormat="false" ht="15" hidden="false" customHeight="false" outlineLevel="0" collapsed="false">
      <c r="A3678" s="23" t="str">
        <f aca="false">IF(B3678="","",B3678+(15*1000+227)/10000000)</f>
        <v/>
      </c>
      <c r="B3678" s="35" t="str">
        <f aca="false">IF(AND(IFERROR(N(INDEX(Clay_Brands!$A$2:$FZ$601,227,Sync!$D$11)),0)&gt;0,IFERROR(INDEX(Clay_Brands!$A$2:$FZ$601,227,Sync!$D$5)&amp;"","")&lt;&gt;"",OR(LEFT(IFERROR(INDEX(Clay_Brands!$A$2:$FZ$601,227,Sync!$D$5)&amp;"",""),6)&lt;&gt;"SAMPLE",Config!$B$19="Y")),IFERROR(N(INDEX(Clay_Brands!$A$2:$FZ$601,227,Sync!$D$11)),0),"")</f>
        <v/>
      </c>
      <c r="C3678" s="23" t="str">
        <f aca="false">IF(B3678="","","brand")</f>
        <v/>
      </c>
      <c r="D3678" s="23" t="str">
        <f aca="false">IF(B3678="","",IFERROR(INDEX(Brand_Log!$DV$2:$DV$201,MATCH(IFERROR(INDEX(Clay_Brands!$A$2:$FZ$601,227,Sync!$D$5)&amp;"",""),Brand_Log!$A$2:$A$201,0))&amp;"",IFERROR(INDEX(Clay_Brands!$A$2:$FZ$601,227,Sync!$D$5)&amp;"","")&amp;""))</f>
        <v/>
      </c>
      <c r="E3678" s="23" t="str">
        <f aca="false">IF(B3678="","",IFERROR(INDEX(Clay_Brands!$A$2:$FZ$601,227,Sync!$D$6)&amp;"",""))</f>
        <v/>
      </c>
      <c r="F3678" s="23" t="str">
        <f aca="false">IF(B3678="","","outreach_sent")</f>
        <v/>
      </c>
      <c r="G3678" s="23" t="str">
        <f aca="false">IF(B3678="","","")</f>
        <v/>
      </c>
      <c r="H3678" s="23" t="str">
        <f aca="false">IF(B3678="","","")</f>
        <v/>
      </c>
      <c r="I3678" s="23" t="str">
        <f aca="false">IF(B3678="","","")</f>
        <v/>
      </c>
      <c r="J3678" s="23" t="str">
        <f aca="false">IF(B3678="","","touch_1; "&amp;IFERROR(INDEX(Clay_Brands!$A$2:$FZ$601,227,Sync!$D$10)&amp;"","")&amp;"; "&amp;IFERROR(INDEX(Clay_Brands!$A$2:$FZ$601,227,Sync!$D$9)&amp;"",""))</f>
        <v/>
      </c>
      <c r="K3678" s="32" t="s">
        <v>1366</v>
      </c>
    </row>
    <row r="3679" customFormat="false" ht="15" hidden="false" customHeight="false" outlineLevel="0" collapsed="false">
      <c r="A3679" s="23" t="str">
        <f aca="false">IF(B3679="","",B3679+(15*1000+228)/10000000)</f>
        <v/>
      </c>
      <c r="B3679" s="35" t="str">
        <f aca="false">IF(AND(IFERROR(N(INDEX(Clay_Brands!$A$2:$FZ$601,228,Sync!$D$11)),0)&gt;0,IFERROR(INDEX(Clay_Brands!$A$2:$FZ$601,228,Sync!$D$5)&amp;"","")&lt;&gt;"",OR(LEFT(IFERROR(INDEX(Clay_Brands!$A$2:$FZ$601,228,Sync!$D$5)&amp;"",""),6)&lt;&gt;"SAMPLE",Config!$B$19="Y")),IFERROR(N(INDEX(Clay_Brands!$A$2:$FZ$601,228,Sync!$D$11)),0),"")</f>
        <v/>
      </c>
      <c r="C3679" s="23" t="str">
        <f aca="false">IF(B3679="","","brand")</f>
        <v/>
      </c>
      <c r="D3679" s="23" t="str">
        <f aca="false">IF(B3679="","",IFERROR(INDEX(Brand_Log!$DV$2:$DV$201,MATCH(IFERROR(INDEX(Clay_Brands!$A$2:$FZ$601,228,Sync!$D$5)&amp;"",""),Brand_Log!$A$2:$A$201,0))&amp;"",IFERROR(INDEX(Clay_Brands!$A$2:$FZ$601,228,Sync!$D$5)&amp;"","")&amp;""))</f>
        <v/>
      </c>
      <c r="E3679" s="23" t="str">
        <f aca="false">IF(B3679="","",IFERROR(INDEX(Clay_Brands!$A$2:$FZ$601,228,Sync!$D$6)&amp;"",""))</f>
        <v/>
      </c>
      <c r="F3679" s="23" t="str">
        <f aca="false">IF(B3679="","","outreach_sent")</f>
        <v/>
      </c>
      <c r="G3679" s="23" t="str">
        <f aca="false">IF(B3679="","","")</f>
        <v/>
      </c>
      <c r="H3679" s="23" t="str">
        <f aca="false">IF(B3679="","","")</f>
        <v/>
      </c>
      <c r="I3679" s="23" t="str">
        <f aca="false">IF(B3679="","","")</f>
        <v/>
      </c>
      <c r="J3679" s="23" t="str">
        <f aca="false">IF(B3679="","","touch_1; "&amp;IFERROR(INDEX(Clay_Brands!$A$2:$FZ$601,228,Sync!$D$10)&amp;"","")&amp;"; "&amp;IFERROR(INDEX(Clay_Brands!$A$2:$FZ$601,228,Sync!$D$9)&amp;"",""))</f>
        <v/>
      </c>
      <c r="K3679" s="32" t="s">
        <v>1366</v>
      </c>
    </row>
    <row r="3680" customFormat="false" ht="15" hidden="false" customHeight="false" outlineLevel="0" collapsed="false">
      <c r="A3680" s="23" t="str">
        <f aca="false">IF(B3680="","",B3680+(15*1000+229)/10000000)</f>
        <v/>
      </c>
      <c r="B3680" s="35" t="str">
        <f aca="false">IF(AND(IFERROR(N(INDEX(Clay_Brands!$A$2:$FZ$601,229,Sync!$D$11)),0)&gt;0,IFERROR(INDEX(Clay_Brands!$A$2:$FZ$601,229,Sync!$D$5)&amp;"","")&lt;&gt;"",OR(LEFT(IFERROR(INDEX(Clay_Brands!$A$2:$FZ$601,229,Sync!$D$5)&amp;"",""),6)&lt;&gt;"SAMPLE",Config!$B$19="Y")),IFERROR(N(INDEX(Clay_Brands!$A$2:$FZ$601,229,Sync!$D$11)),0),"")</f>
        <v/>
      </c>
      <c r="C3680" s="23" t="str">
        <f aca="false">IF(B3680="","","brand")</f>
        <v/>
      </c>
      <c r="D3680" s="23" t="str">
        <f aca="false">IF(B3680="","",IFERROR(INDEX(Brand_Log!$DV$2:$DV$201,MATCH(IFERROR(INDEX(Clay_Brands!$A$2:$FZ$601,229,Sync!$D$5)&amp;"",""),Brand_Log!$A$2:$A$201,0))&amp;"",IFERROR(INDEX(Clay_Brands!$A$2:$FZ$601,229,Sync!$D$5)&amp;"","")&amp;""))</f>
        <v/>
      </c>
      <c r="E3680" s="23" t="str">
        <f aca="false">IF(B3680="","",IFERROR(INDEX(Clay_Brands!$A$2:$FZ$601,229,Sync!$D$6)&amp;"",""))</f>
        <v/>
      </c>
      <c r="F3680" s="23" t="str">
        <f aca="false">IF(B3680="","","outreach_sent")</f>
        <v/>
      </c>
      <c r="G3680" s="23" t="str">
        <f aca="false">IF(B3680="","","")</f>
        <v/>
      </c>
      <c r="H3680" s="23" t="str">
        <f aca="false">IF(B3680="","","")</f>
        <v/>
      </c>
      <c r="I3680" s="23" t="str">
        <f aca="false">IF(B3680="","","")</f>
        <v/>
      </c>
      <c r="J3680" s="23" t="str">
        <f aca="false">IF(B3680="","","touch_1; "&amp;IFERROR(INDEX(Clay_Brands!$A$2:$FZ$601,229,Sync!$D$10)&amp;"","")&amp;"; "&amp;IFERROR(INDEX(Clay_Brands!$A$2:$FZ$601,229,Sync!$D$9)&amp;"",""))</f>
        <v/>
      </c>
      <c r="K3680" s="32" t="s">
        <v>1366</v>
      </c>
    </row>
    <row r="3681" customFormat="false" ht="15" hidden="false" customHeight="false" outlineLevel="0" collapsed="false">
      <c r="A3681" s="23" t="str">
        <f aca="false">IF(B3681="","",B3681+(15*1000+230)/10000000)</f>
        <v/>
      </c>
      <c r="B3681" s="35" t="str">
        <f aca="false">IF(AND(IFERROR(N(INDEX(Clay_Brands!$A$2:$FZ$601,230,Sync!$D$11)),0)&gt;0,IFERROR(INDEX(Clay_Brands!$A$2:$FZ$601,230,Sync!$D$5)&amp;"","")&lt;&gt;"",OR(LEFT(IFERROR(INDEX(Clay_Brands!$A$2:$FZ$601,230,Sync!$D$5)&amp;"",""),6)&lt;&gt;"SAMPLE",Config!$B$19="Y")),IFERROR(N(INDEX(Clay_Brands!$A$2:$FZ$601,230,Sync!$D$11)),0),"")</f>
        <v/>
      </c>
      <c r="C3681" s="23" t="str">
        <f aca="false">IF(B3681="","","brand")</f>
        <v/>
      </c>
      <c r="D3681" s="23" t="str">
        <f aca="false">IF(B3681="","",IFERROR(INDEX(Brand_Log!$DV$2:$DV$201,MATCH(IFERROR(INDEX(Clay_Brands!$A$2:$FZ$601,230,Sync!$D$5)&amp;"",""),Brand_Log!$A$2:$A$201,0))&amp;"",IFERROR(INDEX(Clay_Brands!$A$2:$FZ$601,230,Sync!$D$5)&amp;"","")&amp;""))</f>
        <v/>
      </c>
      <c r="E3681" s="23" t="str">
        <f aca="false">IF(B3681="","",IFERROR(INDEX(Clay_Brands!$A$2:$FZ$601,230,Sync!$D$6)&amp;"",""))</f>
        <v/>
      </c>
      <c r="F3681" s="23" t="str">
        <f aca="false">IF(B3681="","","outreach_sent")</f>
        <v/>
      </c>
      <c r="G3681" s="23" t="str">
        <f aca="false">IF(B3681="","","")</f>
        <v/>
      </c>
      <c r="H3681" s="23" t="str">
        <f aca="false">IF(B3681="","","")</f>
        <v/>
      </c>
      <c r="I3681" s="23" t="str">
        <f aca="false">IF(B3681="","","")</f>
        <v/>
      </c>
      <c r="J3681" s="23" t="str">
        <f aca="false">IF(B3681="","","touch_1; "&amp;IFERROR(INDEX(Clay_Brands!$A$2:$FZ$601,230,Sync!$D$10)&amp;"","")&amp;"; "&amp;IFERROR(INDEX(Clay_Brands!$A$2:$FZ$601,230,Sync!$D$9)&amp;"",""))</f>
        <v/>
      </c>
      <c r="K3681" s="32" t="s">
        <v>1366</v>
      </c>
    </row>
    <row r="3682" customFormat="false" ht="15" hidden="false" customHeight="false" outlineLevel="0" collapsed="false">
      <c r="A3682" s="23" t="str">
        <f aca="false">IF(B3682="","",B3682+(15*1000+231)/10000000)</f>
        <v/>
      </c>
      <c r="B3682" s="35" t="str">
        <f aca="false">IF(AND(IFERROR(N(INDEX(Clay_Brands!$A$2:$FZ$601,231,Sync!$D$11)),0)&gt;0,IFERROR(INDEX(Clay_Brands!$A$2:$FZ$601,231,Sync!$D$5)&amp;"","")&lt;&gt;"",OR(LEFT(IFERROR(INDEX(Clay_Brands!$A$2:$FZ$601,231,Sync!$D$5)&amp;"",""),6)&lt;&gt;"SAMPLE",Config!$B$19="Y")),IFERROR(N(INDEX(Clay_Brands!$A$2:$FZ$601,231,Sync!$D$11)),0),"")</f>
        <v/>
      </c>
      <c r="C3682" s="23" t="str">
        <f aca="false">IF(B3682="","","brand")</f>
        <v/>
      </c>
      <c r="D3682" s="23" t="str">
        <f aca="false">IF(B3682="","",IFERROR(INDEX(Brand_Log!$DV$2:$DV$201,MATCH(IFERROR(INDEX(Clay_Brands!$A$2:$FZ$601,231,Sync!$D$5)&amp;"",""),Brand_Log!$A$2:$A$201,0))&amp;"",IFERROR(INDEX(Clay_Brands!$A$2:$FZ$601,231,Sync!$D$5)&amp;"","")&amp;""))</f>
        <v/>
      </c>
      <c r="E3682" s="23" t="str">
        <f aca="false">IF(B3682="","",IFERROR(INDEX(Clay_Brands!$A$2:$FZ$601,231,Sync!$D$6)&amp;"",""))</f>
        <v/>
      </c>
      <c r="F3682" s="23" t="str">
        <f aca="false">IF(B3682="","","outreach_sent")</f>
        <v/>
      </c>
      <c r="G3682" s="23" t="str">
        <f aca="false">IF(B3682="","","")</f>
        <v/>
      </c>
      <c r="H3682" s="23" t="str">
        <f aca="false">IF(B3682="","","")</f>
        <v/>
      </c>
      <c r="I3682" s="23" t="str">
        <f aca="false">IF(B3682="","","")</f>
        <v/>
      </c>
      <c r="J3682" s="23" t="str">
        <f aca="false">IF(B3682="","","touch_1; "&amp;IFERROR(INDEX(Clay_Brands!$A$2:$FZ$601,231,Sync!$D$10)&amp;"","")&amp;"; "&amp;IFERROR(INDEX(Clay_Brands!$A$2:$FZ$601,231,Sync!$D$9)&amp;"",""))</f>
        <v/>
      </c>
      <c r="K3682" s="32" t="s">
        <v>1366</v>
      </c>
    </row>
    <row r="3683" customFormat="false" ht="15" hidden="false" customHeight="false" outlineLevel="0" collapsed="false">
      <c r="A3683" s="23" t="str">
        <f aca="false">IF(B3683="","",B3683+(15*1000+232)/10000000)</f>
        <v/>
      </c>
      <c r="B3683" s="35" t="str">
        <f aca="false">IF(AND(IFERROR(N(INDEX(Clay_Brands!$A$2:$FZ$601,232,Sync!$D$11)),0)&gt;0,IFERROR(INDEX(Clay_Brands!$A$2:$FZ$601,232,Sync!$D$5)&amp;"","")&lt;&gt;"",OR(LEFT(IFERROR(INDEX(Clay_Brands!$A$2:$FZ$601,232,Sync!$D$5)&amp;"",""),6)&lt;&gt;"SAMPLE",Config!$B$19="Y")),IFERROR(N(INDEX(Clay_Brands!$A$2:$FZ$601,232,Sync!$D$11)),0),"")</f>
        <v/>
      </c>
      <c r="C3683" s="23" t="str">
        <f aca="false">IF(B3683="","","brand")</f>
        <v/>
      </c>
      <c r="D3683" s="23" t="str">
        <f aca="false">IF(B3683="","",IFERROR(INDEX(Brand_Log!$DV$2:$DV$201,MATCH(IFERROR(INDEX(Clay_Brands!$A$2:$FZ$601,232,Sync!$D$5)&amp;"",""),Brand_Log!$A$2:$A$201,0))&amp;"",IFERROR(INDEX(Clay_Brands!$A$2:$FZ$601,232,Sync!$D$5)&amp;"","")&amp;""))</f>
        <v/>
      </c>
      <c r="E3683" s="23" t="str">
        <f aca="false">IF(B3683="","",IFERROR(INDEX(Clay_Brands!$A$2:$FZ$601,232,Sync!$D$6)&amp;"",""))</f>
        <v/>
      </c>
      <c r="F3683" s="23" t="str">
        <f aca="false">IF(B3683="","","outreach_sent")</f>
        <v/>
      </c>
      <c r="G3683" s="23" t="str">
        <f aca="false">IF(B3683="","","")</f>
        <v/>
      </c>
      <c r="H3683" s="23" t="str">
        <f aca="false">IF(B3683="","","")</f>
        <v/>
      </c>
      <c r="I3683" s="23" t="str">
        <f aca="false">IF(B3683="","","")</f>
        <v/>
      </c>
      <c r="J3683" s="23" t="str">
        <f aca="false">IF(B3683="","","touch_1; "&amp;IFERROR(INDEX(Clay_Brands!$A$2:$FZ$601,232,Sync!$D$10)&amp;"","")&amp;"; "&amp;IFERROR(INDEX(Clay_Brands!$A$2:$FZ$601,232,Sync!$D$9)&amp;"",""))</f>
        <v/>
      </c>
      <c r="K3683" s="32" t="s">
        <v>1366</v>
      </c>
    </row>
    <row r="3684" customFormat="false" ht="15" hidden="false" customHeight="false" outlineLevel="0" collapsed="false">
      <c r="A3684" s="23" t="str">
        <f aca="false">IF(B3684="","",B3684+(15*1000+233)/10000000)</f>
        <v/>
      </c>
      <c r="B3684" s="35" t="str">
        <f aca="false">IF(AND(IFERROR(N(INDEX(Clay_Brands!$A$2:$FZ$601,233,Sync!$D$11)),0)&gt;0,IFERROR(INDEX(Clay_Brands!$A$2:$FZ$601,233,Sync!$D$5)&amp;"","")&lt;&gt;"",OR(LEFT(IFERROR(INDEX(Clay_Brands!$A$2:$FZ$601,233,Sync!$D$5)&amp;"",""),6)&lt;&gt;"SAMPLE",Config!$B$19="Y")),IFERROR(N(INDEX(Clay_Brands!$A$2:$FZ$601,233,Sync!$D$11)),0),"")</f>
        <v/>
      </c>
      <c r="C3684" s="23" t="str">
        <f aca="false">IF(B3684="","","brand")</f>
        <v/>
      </c>
      <c r="D3684" s="23" t="str">
        <f aca="false">IF(B3684="","",IFERROR(INDEX(Brand_Log!$DV$2:$DV$201,MATCH(IFERROR(INDEX(Clay_Brands!$A$2:$FZ$601,233,Sync!$D$5)&amp;"",""),Brand_Log!$A$2:$A$201,0))&amp;"",IFERROR(INDEX(Clay_Brands!$A$2:$FZ$601,233,Sync!$D$5)&amp;"","")&amp;""))</f>
        <v/>
      </c>
      <c r="E3684" s="23" t="str">
        <f aca="false">IF(B3684="","",IFERROR(INDEX(Clay_Brands!$A$2:$FZ$601,233,Sync!$D$6)&amp;"",""))</f>
        <v/>
      </c>
      <c r="F3684" s="23" t="str">
        <f aca="false">IF(B3684="","","outreach_sent")</f>
        <v/>
      </c>
      <c r="G3684" s="23" t="str">
        <f aca="false">IF(B3684="","","")</f>
        <v/>
      </c>
      <c r="H3684" s="23" t="str">
        <f aca="false">IF(B3684="","","")</f>
        <v/>
      </c>
      <c r="I3684" s="23" t="str">
        <f aca="false">IF(B3684="","","")</f>
        <v/>
      </c>
      <c r="J3684" s="23" t="str">
        <f aca="false">IF(B3684="","","touch_1; "&amp;IFERROR(INDEX(Clay_Brands!$A$2:$FZ$601,233,Sync!$D$10)&amp;"","")&amp;"; "&amp;IFERROR(INDEX(Clay_Brands!$A$2:$FZ$601,233,Sync!$D$9)&amp;"",""))</f>
        <v/>
      </c>
      <c r="K3684" s="32" t="s">
        <v>1366</v>
      </c>
    </row>
    <row r="3685" customFormat="false" ht="15" hidden="false" customHeight="false" outlineLevel="0" collapsed="false">
      <c r="A3685" s="23" t="str">
        <f aca="false">IF(B3685="","",B3685+(15*1000+234)/10000000)</f>
        <v/>
      </c>
      <c r="B3685" s="35" t="str">
        <f aca="false">IF(AND(IFERROR(N(INDEX(Clay_Brands!$A$2:$FZ$601,234,Sync!$D$11)),0)&gt;0,IFERROR(INDEX(Clay_Brands!$A$2:$FZ$601,234,Sync!$D$5)&amp;"","")&lt;&gt;"",OR(LEFT(IFERROR(INDEX(Clay_Brands!$A$2:$FZ$601,234,Sync!$D$5)&amp;"",""),6)&lt;&gt;"SAMPLE",Config!$B$19="Y")),IFERROR(N(INDEX(Clay_Brands!$A$2:$FZ$601,234,Sync!$D$11)),0),"")</f>
        <v/>
      </c>
      <c r="C3685" s="23" t="str">
        <f aca="false">IF(B3685="","","brand")</f>
        <v/>
      </c>
      <c r="D3685" s="23" t="str">
        <f aca="false">IF(B3685="","",IFERROR(INDEX(Brand_Log!$DV$2:$DV$201,MATCH(IFERROR(INDEX(Clay_Brands!$A$2:$FZ$601,234,Sync!$D$5)&amp;"",""),Brand_Log!$A$2:$A$201,0))&amp;"",IFERROR(INDEX(Clay_Brands!$A$2:$FZ$601,234,Sync!$D$5)&amp;"","")&amp;""))</f>
        <v/>
      </c>
      <c r="E3685" s="23" t="str">
        <f aca="false">IF(B3685="","",IFERROR(INDEX(Clay_Brands!$A$2:$FZ$601,234,Sync!$D$6)&amp;"",""))</f>
        <v/>
      </c>
      <c r="F3685" s="23" t="str">
        <f aca="false">IF(B3685="","","outreach_sent")</f>
        <v/>
      </c>
      <c r="G3685" s="23" t="str">
        <f aca="false">IF(B3685="","","")</f>
        <v/>
      </c>
      <c r="H3685" s="23" t="str">
        <f aca="false">IF(B3685="","","")</f>
        <v/>
      </c>
      <c r="I3685" s="23" t="str">
        <f aca="false">IF(B3685="","","")</f>
        <v/>
      </c>
      <c r="J3685" s="23" t="str">
        <f aca="false">IF(B3685="","","touch_1; "&amp;IFERROR(INDEX(Clay_Brands!$A$2:$FZ$601,234,Sync!$D$10)&amp;"","")&amp;"; "&amp;IFERROR(INDEX(Clay_Brands!$A$2:$FZ$601,234,Sync!$D$9)&amp;"",""))</f>
        <v/>
      </c>
      <c r="K3685" s="32" t="s">
        <v>1366</v>
      </c>
    </row>
    <row r="3686" customFormat="false" ht="15" hidden="false" customHeight="false" outlineLevel="0" collapsed="false">
      <c r="A3686" s="23" t="str">
        <f aca="false">IF(B3686="","",B3686+(15*1000+235)/10000000)</f>
        <v/>
      </c>
      <c r="B3686" s="35" t="str">
        <f aca="false">IF(AND(IFERROR(N(INDEX(Clay_Brands!$A$2:$FZ$601,235,Sync!$D$11)),0)&gt;0,IFERROR(INDEX(Clay_Brands!$A$2:$FZ$601,235,Sync!$D$5)&amp;"","")&lt;&gt;"",OR(LEFT(IFERROR(INDEX(Clay_Brands!$A$2:$FZ$601,235,Sync!$D$5)&amp;"",""),6)&lt;&gt;"SAMPLE",Config!$B$19="Y")),IFERROR(N(INDEX(Clay_Brands!$A$2:$FZ$601,235,Sync!$D$11)),0),"")</f>
        <v/>
      </c>
      <c r="C3686" s="23" t="str">
        <f aca="false">IF(B3686="","","brand")</f>
        <v/>
      </c>
      <c r="D3686" s="23" t="str">
        <f aca="false">IF(B3686="","",IFERROR(INDEX(Brand_Log!$DV$2:$DV$201,MATCH(IFERROR(INDEX(Clay_Brands!$A$2:$FZ$601,235,Sync!$D$5)&amp;"",""),Brand_Log!$A$2:$A$201,0))&amp;"",IFERROR(INDEX(Clay_Brands!$A$2:$FZ$601,235,Sync!$D$5)&amp;"","")&amp;""))</f>
        <v/>
      </c>
      <c r="E3686" s="23" t="str">
        <f aca="false">IF(B3686="","",IFERROR(INDEX(Clay_Brands!$A$2:$FZ$601,235,Sync!$D$6)&amp;"",""))</f>
        <v/>
      </c>
      <c r="F3686" s="23" t="str">
        <f aca="false">IF(B3686="","","outreach_sent")</f>
        <v/>
      </c>
      <c r="G3686" s="23" t="str">
        <f aca="false">IF(B3686="","","")</f>
        <v/>
      </c>
      <c r="H3686" s="23" t="str">
        <f aca="false">IF(B3686="","","")</f>
        <v/>
      </c>
      <c r="I3686" s="23" t="str">
        <f aca="false">IF(B3686="","","")</f>
        <v/>
      </c>
      <c r="J3686" s="23" t="str">
        <f aca="false">IF(B3686="","","touch_1; "&amp;IFERROR(INDEX(Clay_Brands!$A$2:$FZ$601,235,Sync!$D$10)&amp;"","")&amp;"; "&amp;IFERROR(INDEX(Clay_Brands!$A$2:$FZ$601,235,Sync!$D$9)&amp;"",""))</f>
        <v/>
      </c>
      <c r="K3686" s="32" t="s">
        <v>1366</v>
      </c>
    </row>
    <row r="3687" customFormat="false" ht="15" hidden="false" customHeight="false" outlineLevel="0" collapsed="false">
      <c r="A3687" s="23" t="str">
        <f aca="false">IF(B3687="","",B3687+(15*1000+236)/10000000)</f>
        <v/>
      </c>
      <c r="B3687" s="35" t="str">
        <f aca="false">IF(AND(IFERROR(N(INDEX(Clay_Brands!$A$2:$FZ$601,236,Sync!$D$11)),0)&gt;0,IFERROR(INDEX(Clay_Brands!$A$2:$FZ$601,236,Sync!$D$5)&amp;"","")&lt;&gt;"",OR(LEFT(IFERROR(INDEX(Clay_Brands!$A$2:$FZ$601,236,Sync!$D$5)&amp;"",""),6)&lt;&gt;"SAMPLE",Config!$B$19="Y")),IFERROR(N(INDEX(Clay_Brands!$A$2:$FZ$601,236,Sync!$D$11)),0),"")</f>
        <v/>
      </c>
      <c r="C3687" s="23" t="str">
        <f aca="false">IF(B3687="","","brand")</f>
        <v/>
      </c>
      <c r="D3687" s="23" t="str">
        <f aca="false">IF(B3687="","",IFERROR(INDEX(Brand_Log!$DV$2:$DV$201,MATCH(IFERROR(INDEX(Clay_Brands!$A$2:$FZ$601,236,Sync!$D$5)&amp;"",""),Brand_Log!$A$2:$A$201,0))&amp;"",IFERROR(INDEX(Clay_Brands!$A$2:$FZ$601,236,Sync!$D$5)&amp;"","")&amp;""))</f>
        <v/>
      </c>
      <c r="E3687" s="23" t="str">
        <f aca="false">IF(B3687="","",IFERROR(INDEX(Clay_Brands!$A$2:$FZ$601,236,Sync!$D$6)&amp;"",""))</f>
        <v/>
      </c>
      <c r="F3687" s="23" t="str">
        <f aca="false">IF(B3687="","","outreach_sent")</f>
        <v/>
      </c>
      <c r="G3687" s="23" t="str">
        <f aca="false">IF(B3687="","","")</f>
        <v/>
      </c>
      <c r="H3687" s="23" t="str">
        <f aca="false">IF(B3687="","","")</f>
        <v/>
      </c>
      <c r="I3687" s="23" t="str">
        <f aca="false">IF(B3687="","","")</f>
        <v/>
      </c>
      <c r="J3687" s="23" t="str">
        <f aca="false">IF(B3687="","","touch_1; "&amp;IFERROR(INDEX(Clay_Brands!$A$2:$FZ$601,236,Sync!$D$10)&amp;"","")&amp;"; "&amp;IFERROR(INDEX(Clay_Brands!$A$2:$FZ$601,236,Sync!$D$9)&amp;"",""))</f>
        <v/>
      </c>
      <c r="K3687" s="32" t="s">
        <v>1366</v>
      </c>
    </row>
    <row r="3688" customFormat="false" ht="15" hidden="false" customHeight="false" outlineLevel="0" collapsed="false">
      <c r="A3688" s="23" t="str">
        <f aca="false">IF(B3688="","",B3688+(15*1000+237)/10000000)</f>
        <v/>
      </c>
      <c r="B3688" s="35" t="str">
        <f aca="false">IF(AND(IFERROR(N(INDEX(Clay_Brands!$A$2:$FZ$601,237,Sync!$D$11)),0)&gt;0,IFERROR(INDEX(Clay_Brands!$A$2:$FZ$601,237,Sync!$D$5)&amp;"","")&lt;&gt;"",OR(LEFT(IFERROR(INDEX(Clay_Brands!$A$2:$FZ$601,237,Sync!$D$5)&amp;"",""),6)&lt;&gt;"SAMPLE",Config!$B$19="Y")),IFERROR(N(INDEX(Clay_Brands!$A$2:$FZ$601,237,Sync!$D$11)),0),"")</f>
        <v/>
      </c>
      <c r="C3688" s="23" t="str">
        <f aca="false">IF(B3688="","","brand")</f>
        <v/>
      </c>
      <c r="D3688" s="23" t="str">
        <f aca="false">IF(B3688="","",IFERROR(INDEX(Brand_Log!$DV$2:$DV$201,MATCH(IFERROR(INDEX(Clay_Brands!$A$2:$FZ$601,237,Sync!$D$5)&amp;"",""),Brand_Log!$A$2:$A$201,0))&amp;"",IFERROR(INDEX(Clay_Brands!$A$2:$FZ$601,237,Sync!$D$5)&amp;"","")&amp;""))</f>
        <v/>
      </c>
      <c r="E3688" s="23" t="str">
        <f aca="false">IF(B3688="","",IFERROR(INDEX(Clay_Brands!$A$2:$FZ$601,237,Sync!$D$6)&amp;"",""))</f>
        <v/>
      </c>
      <c r="F3688" s="23" t="str">
        <f aca="false">IF(B3688="","","outreach_sent")</f>
        <v/>
      </c>
      <c r="G3688" s="23" t="str">
        <f aca="false">IF(B3688="","","")</f>
        <v/>
      </c>
      <c r="H3688" s="23" t="str">
        <f aca="false">IF(B3688="","","")</f>
        <v/>
      </c>
      <c r="I3688" s="23" t="str">
        <f aca="false">IF(B3688="","","")</f>
        <v/>
      </c>
      <c r="J3688" s="23" t="str">
        <f aca="false">IF(B3688="","","touch_1; "&amp;IFERROR(INDEX(Clay_Brands!$A$2:$FZ$601,237,Sync!$D$10)&amp;"","")&amp;"; "&amp;IFERROR(INDEX(Clay_Brands!$A$2:$FZ$601,237,Sync!$D$9)&amp;"",""))</f>
        <v/>
      </c>
      <c r="K3688" s="32" t="s">
        <v>1366</v>
      </c>
    </row>
    <row r="3689" customFormat="false" ht="15" hidden="false" customHeight="false" outlineLevel="0" collapsed="false">
      <c r="A3689" s="23" t="str">
        <f aca="false">IF(B3689="","",B3689+(15*1000+238)/10000000)</f>
        <v/>
      </c>
      <c r="B3689" s="35" t="str">
        <f aca="false">IF(AND(IFERROR(N(INDEX(Clay_Brands!$A$2:$FZ$601,238,Sync!$D$11)),0)&gt;0,IFERROR(INDEX(Clay_Brands!$A$2:$FZ$601,238,Sync!$D$5)&amp;"","")&lt;&gt;"",OR(LEFT(IFERROR(INDEX(Clay_Brands!$A$2:$FZ$601,238,Sync!$D$5)&amp;"",""),6)&lt;&gt;"SAMPLE",Config!$B$19="Y")),IFERROR(N(INDEX(Clay_Brands!$A$2:$FZ$601,238,Sync!$D$11)),0),"")</f>
        <v/>
      </c>
      <c r="C3689" s="23" t="str">
        <f aca="false">IF(B3689="","","brand")</f>
        <v/>
      </c>
      <c r="D3689" s="23" t="str">
        <f aca="false">IF(B3689="","",IFERROR(INDEX(Brand_Log!$DV$2:$DV$201,MATCH(IFERROR(INDEX(Clay_Brands!$A$2:$FZ$601,238,Sync!$D$5)&amp;"",""),Brand_Log!$A$2:$A$201,0))&amp;"",IFERROR(INDEX(Clay_Brands!$A$2:$FZ$601,238,Sync!$D$5)&amp;"","")&amp;""))</f>
        <v/>
      </c>
      <c r="E3689" s="23" t="str">
        <f aca="false">IF(B3689="","",IFERROR(INDEX(Clay_Brands!$A$2:$FZ$601,238,Sync!$D$6)&amp;"",""))</f>
        <v/>
      </c>
      <c r="F3689" s="23" t="str">
        <f aca="false">IF(B3689="","","outreach_sent")</f>
        <v/>
      </c>
      <c r="G3689" s="23" t="str">
        <f aca="false">IF(B3689="","","")</f>
        <v/>
      </c>
      <c r="H3689" s="23" t="str">
        <f aca="false">IF(B3689="","","")</f>
        <v/>
      </c>
      <c r="I3689" s="23" t="str">
        <f aca="false">IF(B3689="","","")</f>
        <v/>
      </c>
      <c r="J3689" s="23" t="str">
        <f aca="false">IF(B3689="","","touch_1; "&amp;IFERROR(INDEX(Clay_Brands!$A$2:$FZ$601,238,Sync!$D$10)&amp;"","")&amp;"; "&amp;IFERROR(INDEX(Clay_Brands!$A$2:$FZ$601,238,Sync!$D$9)&amp;"",""))</f>
        <v/>
      </c>
      <c r="K3689" s="32" t="s">
        <v>1366</v>
      </c>
    </row>
    <row r="3690" customFormat="false" ht="15" hidden="false" customHeight="false" outlineLevel="0" collapsed="false">
      <c r="A3690" s="23" t="str">
        <f aca="false">IF(B3690="","",B3690+(15*1000+239)/10000000)</f>
        <v/>
      </c>
      <c r="B3690" s="35" t="str">
        <f aca="false">IF(AND(IFERROR(N(INDEX(Clay_Brands!$A$2:$FZ$601,239,Sync!$D$11)),0)&gt;0,IFERROR(INDEX(Clay_Brands!$A$2:$FZ$601,239,Sync!$D$5)&amp;"","")&lt;&gt;"",OR(LEFT(IFERROR(INDEX(Clay_Brands!$A$2:$FZ$601,239,Sync!$D$5)&amp;"",""),6)&lt;&gt;"SAMPLE",Config!$B$19="Y")),IFERROR(N(INDEX(Clay_Brands!$A$2:$FZ$601,239,Sync!$D$11)),0),"")</f>
        <v/>
      </c>
      <c r="C3690" s="23" t="str">
        <f aca="false">IF(B3690="","","brand")</f>
        <v/>
      </c>
      <c r="D3690" s="23" t="str">
        <f aca="false">IF(B3690="","",IFERROR(INDEX(Brand_Log!$DV$2:$DV$201,MATCH(IFERROR(INDEX(Clay_Brands!$A$2:$FZ$601,239,Sync!$D$5)&amp;"",""),Brand_Log!$A$2:$A$201,0))&amp;"",IFERROR(INDEX(Clay_Brands!$A$2:$FZ$601,239,Sync!$D$5)&amp;"","")&amp;""))</f>
        <v/>
      </c>
      <c r="E3690" s="23" t="str">
        <f aca="false">IF(B3690="","",IFERROR(INDEX(Clay_Brands!$A$2:$FZ$601,239,Sync!$D$6)&amp;"",""))</f>
        <v/>
      </c>
      <c r="F3690" s="23" t="str">
        <f aca="false">IF(B3690="","","outreach_sent")</f>
        <v/>
      </c>
      <c r="G3690" s="23" t="str">
        <f aca="false">IF(B3690="","","")</f>
        <v/>
      </c>
      <c r="H3690" s="23" t="str">
        <f aca="false">IF(B3690="","","")</f>
        <v/>
      </c>
      <c r="I3690" s="23" t="str">
        <f aca="false">IF(B3690="","","")</f>
        <v/>
      </c>
      <c r="J3690" s="23" t="str">
        <f aca="false">IF(B3690="","","touch_1; "&amp;IFERROR(INDEX(Clay_Brands!$A$2:$FZ$601,239,Sync!$D$10)&amp;"","")&amp;"; "&amp;IFERROR(INDEX(Clay_Brands!$A$2:$FZ$601,239,Sync!$D$9)&amp;"",""))</f>
        <v/>
      </c>
      <c r="K3690" s="32" t="s">
        <v>1366</v>
      </c>
    </row>
    <row r="3691" customFormat="false" ht="15" hidden="false" customHeight="false" outlineLevel="0" collapsed="false">
      <c r="A3691" s="23" t="str">
        <f aca="false">IF(B3691="","",B3691+(15*1000+240)/10000000)</f>
        <v/>
      </c>
      <c r="B3691" s="35" t="str">
        <f aca="false">IF(AND(IFERROR(N(INDEX(Clay_Brands!$A$2:$FZ$601,240,Sync!$D$11)),0)&gt;0,IFERROR(INDEX(Clay_Brands!$A$2:$FZ$601,240,Sync!$D$5)&amp;"","")&lt;&gt;"",OR(LEFT(IFERROR(INDEX(Clay_Brands!$A$2:$FZ$601,240,Sync!$D$5)&amp;"",""),6)&lt;&gt;"SAMPLE",Config!$B$19="Y")),IFERROR(N(INDEX(Clay_Brands!$A$2:$FZ$601,240,Sync!$D$11)),0),"")</f>
        <v/>
      </c>
      <c r="C3691" s="23" t="str">
        <f aca="false">IF(B3691="","","brand")</f>
        <v/>
      </c>
      <c r="D3691" s="23" t="str">
        <f aca="false">IF(B3691="","",IFERROR(INDEX(Brand_Log!$DV$2:$DV$201,MATCH(IFERROR(INDEX(Clay_Brands!$A$2:$FZ$601,240,Sync!$D$5)&amp;"",""),Brand_Log!$A$2:$A$201,0))&amp;"",IFERROR(INDEX(Clay_Brands!$A$2:$FZ$601,240,Sync!$D$5)&amp;"","")&amp;""))</f>
        <v/>
      </c>
      <c r="E3691" s="23" t="str">
        <f aca="false">IF(B3691="","",IFERROR(INDEX(Clay_Brands!$A$2:$FZ$601,240,Sync!$D$6)&amp;"",""))</f>
        <v/>
      </c>
      <c r="F3691" s="23" t="str">
        <f aca="false">IF(B3691="","","outreach_sent")</f>
        <v/>
      </c>
      <c r="G3691" s="23" t="str">
        <f aca="false">IF(B3691="","","")</f>
        <v/>
      </c>
      <c r="H3691" s="23" t="str">
        <f aca="false">IF(B3691="","","")</f>
        <v/>
      </c>
      <c r="I3691" s="23" t="str">
        <f aca="false">IF(B3691="","","")</f>
        <v/>
      </c>
      <c r="J3691" s="23" t="str">
        <f aca="false">IF(B3691="","","touch_1; "&amp;IFERROR(INDEX(Clay_Brands!$A$2:$FZ$601,240,Sync!$D$10)&amp;"","")&amp;"; "&amp;IFERROR(INDEX(Clay_Brands!$A$2:$FZ$601,240,Sync!$D$9)&amp;"",""))</f>
        <v/>
      </c>
      <c r="K3691" s="32" t="s">
        <v>1366</v>
      </c>
    </row>
    <row r="3692" customFormat="false" ht="15" hidden="false" customHeight="false" outlineLevel="0" collapsed="false">
      <c r="A3692" s="23" t="str">
        <f aca="false">IF(B3692="","",B3692+(15*1000+241)/10000000)</f>
        <v/>
      </c>
      <c r="B3692" s="35" t="str">
        <f aca="false">IF(AND(IFERROR(N(INDEX(Clay_Brands!$A$2:$FZ$601,241,Sync!$D$11)),0)&gt;0,IFERROR(INDEX(Clay_Brands!$A$2:$FZ$601,241,Sync!$D$5)&amp;"","")&lt;&gt;"",OR(LEFT(IFERROR(INDEX(Clay_Brands!$A$2:$FZ$601,241,Sync!$D$5)&amp;"",""),6)&lt;&gt;"SAMPLE",Config!$B$19="Y")),IFERROR(N(INDEX(Clay_Brands!$A$2:$FZ$601,241,Sync!$D$11)),0),"")</f>
        <v/>
      </c>
      <c r="C3692" s="23" t="str">
        <f aca="false">IF(B3692="","","brand")</f>
        <v/>
      </c>
      <c r="D3692" s="23" t="str">
        <f aca="false">IF(B3692="","",IFERROR(INDEX(Brand_Log!$DV$2:$DV$201,MATCH(IFERROR(INDEX(Clay_Brands!$A$2:$FZ$601,241,Sync!$D$5)&amp;"",""),Brand_Log!$A$2:$A$201,0))&amp;"",IFERROR(INDEX(Clay_Brands!$A$2:$FZ$601,241,Sync!$D$5)&amp;"","")&amp;""))</f>
        <v/>
      </c>
      <c r="E3692" s="23" t="str">
        <f aca="false">IF(B3692="","",IFERROR(INDEX(Clay_Brands!$A$2:$FZ$601,241,Sync!$D$6)&amp;"",""))</f>
        <v/>
      </c>
      <c r="F3692" s="23" t="str">
        <f aca="false">IF(B3692="","","outreach_sent")</f>
        <v/>
      </c>
      <c r="G3692" s="23" t="str">
        <f aca="false">IF(B3692="","","")</f>
        <v/>
      </c>
      <c r="H3692" s="23" t="str">
        <f aca="false">IF(B3692="","","")</f>
        <v/>
      </c>
      <c r="I3692" s="23" t="str">
        <f aca="false">IF(B3692="","","")</f>
        <v/>
      </c>
      <c r="J3692" s="23" t="str">
        <f aca="false">IF(B3692="","","touch_1; "&amp;IFERROR(INDEX(Clay_Brands!$A$2:$FZ$601,241,Sync!$D$10)&amp;"","")&amp;"; "&amp;IFERROR(INDEX(Clay_Brands!$A$2:$FZ$601,241,Sync!$D$9)&amp;"",""))</f>
        <v/>
      </c>
      <c r="K3692" s="32" t="s">
        <v>1366</v>
      </c>
    </row>
    <row r="3693" customFormat="false" ht="15" hidden="false" customHeight="false" outlineLevel="0" collapsed="false">
      <c r="A3693" s="23" t="str">
        <f aca="false">IF(B3693="","",B3693+(15*1000+242)/10000000)</f>
        <v/>
      </c>
      <c r="B3693" s="35" t="str">
        <f aca="false">IF(AND(IFERROR(N(INDEX(Clay_Brands!$A$2:$FZ$601,242,Sync!$D$11)),0)&gt;0,IFERROR(INDEX(Clay_Brands!$A$2:$FZ$601,242,Sync!$D$5)&amp;"","")&lt;&gt;"",OR(LEFT(IFERROR(INDEX(Clay_Brands!$A$2:$FZ$601,242,Sync!$D$5)&amp;"",""),6)&lt;&gt;"SAMPLE",Config!$B$19="Y")),IFERROR(N(INDEX(Clay_Brands!$A$2:$FZ$601,242,Sync!$D$11)),0),"")</f>
        <v/>
      </c>
      <c r="C3693" s="23" t="str">
        <f aca="false">IF(B3693="","","brand")</f>
        <v/>
      </c>
      <c r="D3693" s="23" t="str">
        <f aca="false">IF(B3693="","",IFERROR(INDEX(Brand_Log!$DV$2:$DV$201,MATCH(IFERROR(INDEX(Clay_Brands!$A$2:$FZ$601,242,Sync!$D$5)&amp;"",""),Brand_Log!$A$2:$A$201,0))&amp;"",IFERROR(INDEX(Clay_Brands!$A$2:$FZ$601,242,Sync!$D$5)&amp;"","")&amp;""))</f>
        <v/>
      </c>
      <c r="E3693" s="23" t="str">
        <f aca="false">IF(B3693="","",IFERROR(INDEX(Clay_Brands!$A$2:$FZ$601,242,Sync!$D$6)&amp;"",""))</f>
        <v/>
      </c>
      <c r="F3693" s="23" t="str">
        <f aca="false">IF(B3693="","","outreach_sent")</f>
        <v/>
      </c>
      <c r="G3693" s="23" t="str">
        <f aca="false">IF(B3693="","","")</f>
        <v/>
      </c>
      <c r="H3693" s="23" t="str">
        <f aca="false">IF(B3693="","","")</f>
        <v/>
      </c>
      <c r="I3693" s="23" t="str">
        <f aca="false">IF(B3693="","","")</f>
        <v/>
      </c>
      <c r="J3693" s="23" t="str">
        <f aca="false">IF(B3693="","","touch_1; "&amp;IFERROR(INDEX(Clay_Brands!$A$2:$FZ$601,242,Sync!$D$10)&amp;"","")&amp;"; "&amp;IFERROR(INDEX(Clay_Brands!$A$2:$FZ$601,242,Sync!$D$9)&amp;"",""))</f>
        <v/>
      </c>
      <c r="K3693" s="32" t="s">
        <v>1366</v>
      </c>
    </row>
    <row r="3694" customFormat="false" ht="15" hidden="false" customHeight="false" outlineLevel="0" collapsed="false">
      <c r="A3694" s="23" t="str">
        <f aca="false">IF(B3694="","",B3694+(15*1000+243)/10000000)</f>
        <v/>
      </c>
      <c r="B3694" s="35" t="str">
        <f aca="false">IF(AND(IFERROR(N(INDEX(Clay_Brands!$A$2:$FZ$601,243,Sync!$D$11)),0)&gt;0,IFERROR(INDEX(Clay_Brands!$A$2:$FZ$601,243,Sync!$D$5)&amp;"","")&lt;&gt;"",OR(LEFT(IFERROR(INDEX(Clay_Brands!$A$2:$FZ$601,243,Sync!$D$5)&amp;"",""),6)&lt;&gt;"SAMPLE",Config!$B$19="Y")),IFERROR(N(INDEX(Clay_Brands!$A$2:$FZ$601,243,Sync!$D$11)),0),"")</f>
        <v/>
      </c>
      <c r="C3694" s="23" t="str">
        <f aca="false">IF(B3694="","","brand")</f>
        <v/>
      </c>
      <c r="D3694" s="23" t="str">
        <f aca="false">IF(B3694="","",IFERROR(INDEX(Brand_Log!$DV$2:$DV$201,MATCH(IFERROR(INDEX(Clay_Brands!$A$2:$FZ$601,243,Sync!$D$5)&amp;"",""),Brand_Log!$A$2:$A$201,0))&amp;"",IFERROR(INDEX(Clay_Brands!$A$2:$FZ$601,243,Sync!$D$5)&amp;"","")&amp;""))</f>
        <v/>
      </c>
      <c r="E3694" s="23" t="str">
        <f aca="false">IF(B3694="","",IFERROR(INDEX(Clay_Brands!$A$2:$FZ$601,243,Sync!$D$6)&amp;"",""))</f>
        <v/>
      </c>
      <c r="F3694" s="23" t="str">
        <f aca="false">IF(B3694="","","outreach_sent")</f>
        <v/>
      </c>
      <c r="G3694" s="23" t="str">
        <f aca="false">IF(B3694="","","")</f>
        <v/>
      </c>
      <c r="H3694" s="23" t="str">
        <f aca="false">IF(B3694="","","")</f>
        <v/>
      </c>
      <c r="I3694" s="23" t="str">
        <f aca="false">IF(B3694="","","")</f>
        <v/>
      </c>
      <c r="J3694" s="23" t="str">
        <f aca="false">IF(B3694="","","touch_1; "&amp;IFERROR(INDEX(Clay_Brands!$A$2:$FZ$601,243,Sync!$D$10)&amp;"","")&amp;"; "&amp;IFERROR(INDEX(Clay_Brands!$A$2:$FZ$601,243,Sync!$D$9)&amp;"",""))</f>
        <v/>
      </c>
      <c r="K3694" s="32" t="s">
        <v>1366</v>
      </c>
    </row>
    <row r="3695" customFormat="false" ht="15" hidden="false" customHeight="false" outlineLevel="0" collapsed="false">
      <c r="A3695" s="23" t="str">
        <f aca="false">IF(B3695="","",B3695+(15*1000+244)/10000000)</f>
        <v/>
      </c>
      <c r="B3695" s="35" t="str">
        <f aca="false">IF(AND(IFERROR(N(INDEX(Clay_Brands!$A$2:$FZ$601,244,Sync!$D$11)),0)&gt;0,IFERROR(INDEX(Clay_Brands!$A$2:$FZ$601,244,Sync!$D$5)&amp;"","")&lt;&gt;"",OR(LEFT(IFERROR(INDEX(Clay_Brands!$A$2:$FZ$601,244,Sync!$D$5)&amp;"",""),6)&lt;&gt;"SAMPLE",Config!$B$19="Y")),IFERROR(N(INDEX(Clay_Brands!$A$2:$FZ$601,244,Sync!$D$11)),0),"")</f>
        <v/>
      </c>
      <c r="C3695" s="23" t="str">
        <f aca="false">IF(B3695="","","brand")</f>
        <v/>
      </c>
      <c r="D3695" s="23" t="str">
        <f aca="false">IF(B3695="","",IFERROR(INDEX(Brand_Log!$DV$2:$DV$201,MATCH(IFERROR(INDEX(Clay_Brands!$A$2:$FZ$601,244,Sync!$D$5)&amp;"",""),Brand_Log!$A$2:$A$201,0))&amp;"",IFERROR(INDEX(Clay_Brands!$A$2:$FZ$601,244,Sync!$D$5)&amp;"","")&amp;""))</f>
        <v/>
      </c>
      <c r="E3695" s="23" t="str">
        <f aca="false">IF(B3695="","",IFERROR(INDEX(Clay_Brands!$A$2:$FZ$601,244,Sync!$D$6)&amp;"",""))</f>
        <v/>
      </c>
      <c r="F3695" s="23" t="str">
        <f aca="false">IF(B3695="","","outreach_sent")</f>
        <v/>
      </c>
      <c r="G3695" s="23" t="str">
        <f aca="false">IF(B3695="","","")</f>
        <v/>
      </c>
      <c r="H3695" s="23" t="str">
        <f aca="false">IF(B3695="","","")</f>
        <v/>
      </c>
      <c r="I3695" s="23" t="str">
        <f aca="false">IF(B3695="","","")</f>
        <v/>
      </c>
      <c r="J3695" s="23" t="str">
        <f aca="false">IF(B3695="","","touch_1; "&amp;IFERROR(INDEX(Clay_Brands!$A$2:$FZ$601,244,Sync!$D$10)&amp;"","")&amp;"; "&amp;IFERROR(INDEX(Clay_Brands!$A$2:$FZ$601,244,Sync!$D$9)&amp;"",""))</f>
        <v/>
      </c>
      <c r="K3695" s="32" t="s">
        <v>1366</v>
      </c>
    </row>
    <row r="3696" customFormat="false" ht="15" hidden="false" customHeight="false" outlineLevel="0" collapsed="false">
      <c r="A3696" s="23" t="str">
        <f aca="false">IF(B3696="","",B3696+(15*1000+245)/10000000)</f>
        <v/>
      </c>
      <c r="B3696" s="35" t="str">
        <f aca="false">IF(AND(IFERROR(N(INDEX(Clay_Brands!$A$2:$FZ$601,245,Sync!$D$11)),0)&gt;0,IFERROR(INDEX(Clay_Brands!$A$2:$FZ$601,245,Sync!$D$5)&amp;"","")&lt;&gt;"",OR(LEFT(IFERROR(INDEX(Clay_Brands!$A$2:$FZ$601,245,Sync!$D$5)&amp;"",""),6)&lt;&gt;"SAMPLE",Config!$B$19="Y")),IFERROR(N(INDEX(Clay_Brands!$A$2:$FZ$601,245,Sync!$D$11)),0),"")</f>
        <v/>
      </c>
      <c r="C3696" s="23" t="str">
        <f aca="false">IF(B3696="","","brand")</f>
        <v/>
      </c>
      <c r="D3696" s="23" t="str">
        <f aca="false">IF(B3696="","",IFERROR(INDEX(Brand_Log!$DV$2:$DV$201,MATCH(IFERROR(INDEX(Clay_Brands!$A$2:$FZ$601,245,Sync!$D$5)&amp;"",""),Brand_Log!$A$2:$A$201,0))&amp;"",IFERROR(INDEX(Clay_Brands!$A$2:$FZ$601,245,Sync!$D$5)&amp;"","")&amp;""))</f>
        <v/>
      </c>
      <c r="E3696" s="23" t="str">
        <f aca="false">IF(B3696="","",IFERROR(INDEX(Clay_Brands!$A$2:$FZ$601,245,Sync!$D$6)&amp;"",""))</f>
        <v/>
      </c>
      <c r="F3696" s="23" t="str">
        <f aca="false">IF(B3696="","","outreach_sent")</f>
        <v/>
      </c>
      <c r="G3696" s="23" t="str">
        <f aca="false">IF(B3696="","","")</f>
        <v/>
      </c>
      <c r="H3696" s="23" t="str">
        <f aca="false">IF(B3696="","","")</f>
        <v/>
      </c>
      <c r="I3696" s="23" t="str">
        <f aca="false">IF(B3696="","","")</f>
        <v/>
      </c>
      <c r="J3696" s="23" t="str">
        <f aca="false">IF(B3696="","","touch_1; "&amp;IFERROR(INDEX(Clay_Brands!$A$2:$FZ$601,245,Sync!$D$10)&amp;"","")&amp;"; "&amp;IFERROR(INDEX(Clay_Brands!$A$2:$FZ$601,245,Sync!$D$9)&amp;"",""))</f>
        <v/>
      </c>
      <c r="K3696" s="32" t="s">
        <v>1366</v>
      </c>
    </row>
    <row r="3697" customFormat="false" ht="15" hidden="false" customHeight="false" outlineLevel="0" collapsed="false">
      <c r="A3697" s="23" t="str">
        <f aca="false">IF(B3697="","",B3697+(15*1000+246)/10000000)</f>
        <v/>
      </c>
      <c r="B3697" s="35" t="str">
        <f aca="false">IF(AND(IFERROR(N(INDEX(Clay_Brands!$A$2:$FZ$601,246,Sync!$D$11)),0)&gt;0,IFERROR(INDEX(Clay_Brands!$A$2:$FZ$601,246,Sync!$D$5)&amp;"","")&lt;&gt;"",OR(LEFT(IFERROR(INDEX(Clay_Brands!$A$2:$FZ$601,246,Sync!$D$5)&amp;"",""),6)&lt;&gt;"SAMPLE",Config!$B$19="Y")),IFERROR(N(INDEX(Clay_Brands!$A$2:$FZ$601,246,Sync!$D$11)),0),"")</f>
        <v/>
      </c>
      <c r="C3697" s="23" t="str">
        <f aca="false">IF(B3697="","","brand")</f>
        <v/>
      </c>
      <c r="D3697" s="23" t="str">
        <f aca="false">IF(B3697="","",IFERROR(INDEX(Brand_Log!$DV$2:$DV$201,MATCH(IFERROR(INDEX(Clay_Brands!$A$2:$FZ$601,246,Sync!$D$5)&amp;"",""),Brand_Log!$A$2:$A$201,0))&amp;"",IFERROR(INDEX(Clay_Brands!$A$2:$FZ$601,246,Sync!$D$5)&amp;"","")&amp;""))</f>
        <v/>
      </c>
      <c r="E3697" s="23" t="str">
        <f aca="false">IF(B3697="","",IFERROR(INDEX(Clay_Brands!$A$2:$FZ$601,246,Sync!$D$6)&amp;"",""))</f>
        <v/>
      </c>
      <c r="F3697" s="23" t="str">
        <f aca="false">IF(B3697="","","outreach_sent")</f>
        <v/>
      </c>
      <c r="G3697" s="23" t="str">
        <f aca="false">IF(B3697="","","")</f>
        <v/>
      </c>
      <c r="H3697" s="23" t="str">
        <f aca="false">IF(B3697="","","")</f>
        <v/>
      </c>
      <c r="I3697" s="23" t="str">
        <f aca="false">IF(B3697="","","")</f>
        <v/>
      </c>
      <c r="J3697" s="23" t="str">
        <f aca="false">IF(B3697="","","touch_1; "&amp;IFERROR(INDEX(Clay_Brands!$A$2:$FZ$601,246,Sync!$D$10)&amp;"","")&amp;"; "&amp;IFERROR(INDEX(Clay_Brands!$A$2:$FZ$601,246,Sync!$D$9)&amp;"",""))</f>
        <v/>
      </c>
      <c r="K3697" s="32" t="s">
        <v>1366</v>
      </c>
    </row>
    <row r="3698" customFormat="false" ht="15" hidden="false" customHeight="false" outlineLevel="0" collapsed="false">
      <c r="A3698" s="23" t="str">
        <f aca="false">IF(B3698="","",B3698+(15*1000+247)/10000000)</f>
        <v/>
      </c>
      <c r="B3698" s="35" t="str">
        <f aca="false">IF(AND(IFERROR(N(INDEX(Clay_Brands!$A$2:$FZ$601,247,Sync!$D$11)),0)&gt;0,IFERROR(INDEX(Clay_Brands!$A$2:$FZ$601,247,Sync!$D$5)&amp;"","")&lt;&gt;"",OR(LEFT(IFERROR(INDEX(Clay_Brands!$A$2:$FZ$601,247,Sync!$D$5)&amp;"",""),6)&lt;&gt;"SAMPLE",Config!$B$19="Y")),IFERROR(N(INDEX(Clay_Brands!$A$2:$FZ$601,247,Sync!$D$11)),0),"")</f>
        <v/>
      </c>
      <c r="C3698" s="23" t="str">
        <f aca="false">IF(B3698="","","brand")</f>
        <v/>
      </c>
      <c r="D3698" s="23" t="str">
        <f aca="false">IF(B3698="","",IFERROR(INDEX(Brand_Log!$DV$2:$DV$201,MATCH(IFERROR(INDEX(Clay_Brands!$A$2:$FZ$601,247,Sync!$D$5)&amp;"",""),Brand_Log!$A$2:$A$201,0))&amp;"",IFERROR(INDEX(Clay_Brands!$A$2:$FZ$601,247,Sync!$D$5)&amp;"","")&amp;""))</f>
        <v/>
      </c>
      <c r="E3698" s="23" t="str">
        <f aca="false">IF(B3698="","",IFERROR(INDEX(Clay_Brands!$A$2:$FZ$601,247,Sync!$D$6)&amp;"",""))</f>
        <v/>
      </c>
      <c r="F3698" s="23" t="str">
        <f aca="false">IF(B3698="","","outreach_sent")</f>
        <v/>
      </c>
      <c r="G3698" s="23" t="str">
        <f aca="false">IF(B3698="","","")</f>
        <v/>
      </c>
      <c r="H3698" s="23" t="str">
        <f aca="false">IF(B3698="","","")</f>
        <v/>
      </c>
      <c r="I3698" s="23" t="str">
        <f aca="false">IF(B3698="","","")</f>
        <v/>
      </c>
      <c r="J3698" s="23" t="str">
        <f aca="false">IF(B3698="","","touch_1; "&amp;IFERROR(INDEX(Clay_Brands!$A$2:$FZ$601,247,Sync!$D$10)&amp;"","")&amp;"; "&amp;IFERROR(INDEX(Clay_Brands!$A$2:$FZ$601,247,Sync!$D$9)&amp;"",""))</f>
        <v/>
      </c>
      <c r="K3698" s="32" t="s">
        <v>1366</v>
      </c>
    </row>
    <row r="3699" customFormat="false" ht="15" hidden="false" customHeight="false" outlineLevel="0" collapsed="false">
      <c r="A3699" s="23" t="str">
        <f aca="false">IF(B3699="","",B3699+(15*1000+248)/10000000)</f>
        <v/>
      </c>
      <c r="B3699" s="35" t="str">
        <f aca="false">IF(AND(IFERROR(N(INDEX(Clay_Brands!$A$2:$FZ$601,248,Sync!$D$11)),0)&gt;0,IFERROR(INDEX(Clay_Brands!$A$2:$FZ$601,248,Sync!$D$5)&amp;"","")&lt;&gt;"",OR(LEFT(IFERROR(INDEX(Clay_Brands!$A$2:$FZ$601,248,Sync!$D$5)&amp;"",""),6)&lt;&gt;"SAMPLE",Config!$B$19="Y")),IFERROR(N(INDEX(Clay_Brands!$A$2:$FZ$601,248,Sync!$D$11)),0),"")</f>
        <v/>
      </c>
      <c r="C3699" s="23" t="str">
        <f aca="false">IF(B3699="","","brand")</f>
        <v/>
      </c>
      <c r="D3699" s="23" t="str">
        <f aca="false">IF(B3699="","",IFERROR(INDEX(Brand_Log!$DV$2:$DV$201,MATCH(IFERROR(INDEX(Clay_Brands!$A$2:$FZ$601,248,Sync!$D$5)&amp;"",""),Brand_Log!$A$2:$A$201,0))&amp;"",IFERROR(INDEX(Clay_Brands!$A$2:$FZ$601,248,Sync!$D$5)&amp;"","")&amp;""))</f>
        <v/>
      </c>
      <c r="E3699" s="23" t="str">
        <f aca="false">IF(B3699="","",IFERROR(INDEX(Clay_Brands!$A$2:$FZ$601,248,Sync!$D$6)&amp;"",""))</f>
        <v/>
      </c>
      <c r="F3699" s="23" t="str">
        <f aca="false">IF(B3699="","","outreach_sent")</f>
        <v/>
      </c>
      <c r="G3699" s="23" t="str">
        <f aca="false">IF(B3699="","","")</f>
        <v/>
      </c>
      <c r="H3699" s="23" t="str">
        <f aca="false">IF(B3699="","","")</f>
        <v/>
      </c>
      <c r="I3699" s="23" t="str">
        <f aca="false">IF(B3699="","","")</f>
        <v/>
      </c>
      <c r="J3699" s="23" t="str">
        <f aca="false">IF(B3699="","","touch_1; "&amp;IFERROR(INDEX(Clay_Brands!$A$2:$FZ$601,248,Sync!$D$10)&amp;"","")&amp;"; "&amp;IFERROR(INDEX(Clay_Brands!$A$2:$FZ$601,248,Sync!$D$9)&amp;"",""))</f>
        <v/>
      </c>
      <c r="K3699" s="32" t="s">
        <v>1366</v>
      </c>
    </row>
    <row r="3700" customFormat="false" ht="15" hidden="false" customHeight="false" outlineLevel="0" collapsed="false">
      <c r="A3700" s="23" t="str">
        <f aca="false">IF(B3700="","",B3700+(15*1000+249)/10000000)</f>
        <v/>
      </c>
      <c r="B3700" s="35" t="str">
        <f aca="false">IF(AND(IFERROR(N(INDEX(Clay_Brands!$A$2:$FZ$601,249,Sync!$D$11)),0)&gt;0,IFERROR(INDEX(Clay_Brands!$A$2:$FZ$601,249,Sync!$D$5)&amp;"","")&lt;&gt;"",OR(LEFT(IFERROR(INDEX(Clay_Brands!$A$2:$FZ$601,249,Sync!$D$5)&amp;"",""),6)&lt;&gt;"SAMPLE",Config!$B$19="Y")),IFERROR(N(INDEX(Clay_Brands!$A$2:$FZ$601,249,Sync!$D$11)),0),"")</f>
        <v/>
      </c>
      <c r="C3700" s="23" t="str">
        <f aca="false">IF(B3700="","","brand")</f>
        <v/>
      </c>
      <c r="D3700" s="23" t="str">
        <f aca="false">IF(B3700="","",IFERROR(INDEX(Brand_Log!$DV$2:$DV$201,MATCH(IFERROR(INDEX(Clay_Brands!$A$2:$FZ$601,249,Sync!$D$5)&amp;"",""),Brand_Log!$A$2:$A$201,0))&amp;"",IFERROR(INDEX(Clay_Brands!$A$2:$FZ$601,249,Sync!$D$5)&amp;"","")&amp;""))</f>
        <v/>
      </c>
      <c r="E3700" s="23" t="str">
        <f aca="false">IF(B3700="","",IFERROR(INDEX(Clay_Brands!$A$2:$FZ$601,249,Sync!$D$6)&amp;"",""))</f>
        <v/>
      </c>
      <c r="F3700" s="23" t="str">
        <f aca="false">IF(B3700="","","outreach_sent")</f>
        <v/>
      </c>
      <c r="G3700" s="23" t="str">
        <f aca="false">IF(B3700="","","")</f>
        <v/>
      </c>
      <c r="H3700" s="23" t="str">
        <f aca="false">IF(B3700="","","")</f>
        <v/>
      </c>
      <c r="I3700" s="23" t="str">
        <f aca="false">IF(B3700="","","")</f>
        <v/>
      </c>
      <c r="J3700" s="23" t="str">
        <f aca="false">IF(B3700="","","touch_1; "&amp;IFERROR(INDEX(Clay_Brands!$A$2:$FZ$601,249,Sync!$D$10)&amp;"","")&amp;"; "&amp;IFERROR(INDEX(Clay_Brands!$A$2:$FZ$601,249,Sync!$D$9)&amp;"",""))</f>
        <v/>
      </c>
      <c r="K3700" s="32" t="s">
        <v>1366</v>
      </c>
    </row>
    <row r="3701" customFormat="false" ht="15" hidden="false" customHeight="false" outlineLevel="0" collapsed="false">
      <c r="A3701" s="23" t="str">
        <f aca="false">IF(B3701="","",B3701+(15*1000+250)/10000000)</f>
        <v/>
      </c>
      <c r="B3701" s="35" t="str">
        <f aca="false">IF(AND(IFERROR(N(INDEX(Clay_Brands!$A$2:$FZ$601,250,Sync!$D$11)),0)&gt;0,IFERROR(INDEX(Clay_Brands!$A$2:$FZ$601,250,Sync!$D$5)&amp;"","")&lt;&gt;"",OR(LEFT(IFERROR(INDEX(Clay_Brands!$A$2:$FZ$601,250,Sync!$D$5)&amp;"",""),6)&lt;&gt;"SAMPLE",Config!$B$19="Y")),IFERROR(N(INDEX(Clay_Brands!$A$2:$FZ$601,250,Sync!$D$11)),0),"")</f>
        <v/>
      </c>
      <c r="C3701" s="23" t="str">
        <f aca="false">IF(B3701="","","brand")</f>
        <v/>
      </c>
      <c r="D3701" s="23" t="str">
        <f aca="false">IF(B3701="","",IFERROR(INDEX(Brand_Log!$DV$2:$DV$201,MATCH(IFERROR(INDEX(Clay_Brands!$A$2:$FZ$601,250,Sync!$D$5)&amp;"",""),Brand_Log!$A$2:$A$201,0))&amp;"",IFERROR(INDEX(Clay_Brands!$A$2:$FZ$601,250,Sync!$D$5)&amp;"","")&amp;""))</f>
        <v/>
      </c>
      <c r="E3701" s="23" t="str">
        <f aca="false">IF(B3701="","",IFERROR(INDEX(Clay_Brands!$A$2:$FZ$601,250,Sync!$D$6)&amp;"",""))</f>
        <v/>
      </c>
      <c r="F3701" s="23" t="str">
        <f aca="false">IF(B3701="","","outreach_sent")</f>
        <v/>
      </c>
      <c r="G3701" s="23" t="str">
        <f aca="false">IF(B3701="","","")</f>
        <v/>
      </c>
      <c r="H3701" s="23" t="str">
        <f aca="false">IF(B3701="","","")</f>
        <v/>
      </c>
      <c r="I3701" s="23" t="str">
        <f aca="false">IF(B3701="","","")</f>
        <v/>
      </c>
      <c r="J3701" s="23" t="str">
        <f aca="false">IF(B3701="","","touch_1; "&amp;IFERROR(INDEX(Clay_Brands!$A$2:$FZ$601,250,Sync!$D$10)&amp;"","")&amp;"; "&amp;IFERROR(INDEX(Clay_Brands!$A$2:$FZ$601,250,Sync!$D$9)&amp;"",""))</f>
        <v/>
      </c>
      <c r="K3701" s="32" t="s">
        <v>1366</v>
      </c>
    </row>
    <row r="3702" customFormat="false" ht="15" hidden="false" customHeight="false" outlineLevel="0" collapsed="false">
      <c r="A3702" s="23" t="str">
        <f aca="false">IF(B3702="","",B3702+(15*1000+251)/10000000)</f>
        <v/>
      </c>
      <c r="B3702" s="35" t="str">
        <f aca="false">IF(AND(IFERROR(N(INDEX(Clay_Brands!$A$2:$FZ$601,251,Sync!$D$11)),0)&gt;0,IFERROR(INDEX(Clay_Brands!$A$2:$FZ$601,251,Sync!$D$5)&amp;"","")&lt;&gt;"",OR(LEFT(IFERROR(INDEX(Clay_Brands!$A$2:$FZ$601,251,Sync!$D$5)&amp;"",""),6)&lt;&gt;"SAMPLE",Config!$B$19="Y")),IFERROR(N(INDEX(Clay_Brands!$A$2:$FZ$601,251,Sync!$D$11)),0),"")</f>
        <v/>
      </c>
      <c r="C3702" s="23" t="str">
        <f aca="false">IF(B3702="","","brand")</f>
        <v/>
      </c>
      <c r="D3702" s="23" t="str">
        <f aca="false">IF(B3702="","",IFERROR(INDEX(Brand_Log!$DV$2:$DV$201,MATCH(IFERROR(INDEX(Clay_Brands!$A$2:$FZ$601,251,Sync!$D$5)&amp;"",""),Brand_Log!$A$2:$A$201,0))&amp;"",IFERROR(INDEX(Clay_Brands!$A$2:$FZ$601,251,Sync!$D$5)&amp;"","")&amp;""))</f>
        <v/>
      </c>
      <c r="E3702" s="23" t="str">
        <f aca="false">IF(B3702="","",IFERROR(INDEX(Clay_Brands!$A$2:$FZ$601,251,Sync!$D$6)&amp;"",""))</f>
        <v/>
      </c>
      <c r="F3702" s="23" t="str">
        <f aca="false">IF(B3702="","","outreach_sent")</f>
        <v/>
      </c>
      <c r="G3702" s="23" t="str">
        <f aca="false">IF(B3702="","","")</f>
        <v/>
      </c>
      <c r="H3702" s="23" t="str">
        <f aca="false">IF(B3702="","","")</f>
        <v/>
      </c>
      <c r="I3702" s="23" t="str">
        <f aca="false">IF(B3702="","","")</f>
        <v/>
      </c>
      <c r="J3702" s="23" t="str">
        <f aca="false">IF(B3702="","","touch_1; "&amp;IFERROR(INDEX(Clay_Brands!$A$2:$FZ$601,251,Sync!$D$10)&amp;"","")&amp;"; "&amp;IFERROR(INDEX(Clay_Brands!$A$2:$FZ$601,251,Sync!$D$9)&amp;"",""))</f>
        <v/>
      </c>
      <c r="K3702" s="32" t="s">
        <v>1366</v>
      </c>
    </row>
    <row r="3703" customFormat="false" ht="15" hidden="false" customHeight="false" outlineLevel="0" collapsed="false">
      <c r="A3703" s="23" t="str">
        <f aca="false">IF(B3703="","",B3703+(15*1000+252)/10000000)</f>
        <v/>
      </c>
      <c r="B3703" s="35" t="str">
        <f aca="false">IF(AND(IFERROR(N(INDEX(Clay_Brands!$A$2:$FZ$601,252,Sync!$D$11)),0)&gt;0,IFERROR(INDEX(Clay_Brands!$A$2:$FZ$601,252,Sync!$D$5)&amp;"","")&lt;&gt;"",OR(LEFT(IFERROR(INDEX(Clay_Brands!$A$2:$FZ$601,252,Sync!$D$5)&amp;"",""),6)&lt;&gt;"SAMPLE",Config!$B$19="Y")),IFERROR(N(INDEX(Clay_Brands!$A$2:$FZ$601,252,Sync!$D$11)),0),"")</f>
        <v/>
      </c>
      <c r="C3703" s="23" t="str">
        <f aca="false">IF(B3703="","","brand")</f>
        <v/>
      </c>
      <c r="D3703" s="23" t="str">
        <f aca="false">IF(B3703="","",IFERROR(INDEX(Brand_Log!$DV$2:$DV$201,MATCH(IFERROR(INDEX(Clay_Brands!$A$2:$FZ$601,252,Sync!$D$5)&amp;"",""),Brand_Log!$A$2:$A$201,0))&amp;"",IFERROR(INDEX(Clay_Brands!$A$2:$FZ$601,252,Sync!$D$5)&amp;"","")&amp;""))</f>
        <v/>
      </c>
      <c r="E3703" s="23" t="str">
        <f aca="false">IF(B3703="","",IFERROR(INDEX(Clay_Brands!$A$2:$FZ$601,252,Sync!$D$6)&amp;"",""))</f>
        <v/>
      </c>
      <c r="F3703" s="23" t="str">
        <f aca="false">IF(B3703="","","outreach_sent")</f>
        <v/>
      </c>
      <c r="G3703" s="23" t="str">
        <f aca="false">IF(B3703="","","")</f>
        <v/>
      </c>
      <c r="H3703" s="23" t="str">
        <f aca="false">IF(B3703="","","")</f>
        <v/>
      </c>
      <c r="I3703" s="23" t="str">
        <f aca="false">IF(B3703="","","")</f>
        <v/>
      </c>
      <c r="J3703" s="23" t="str">
        <f aca="false">IF(B3703="","","touch_1; "&amp;IFERROR(INDEX(Clay_Brands!$A$2:$FZ$601,252,Sync!$D$10)&amp;"","")&amp;"; "&amp;IFERROR(INDEX(Clay_Brands!$A$2:$FZ$601,252,Sync!$D$9)&amp;"",""))</f>
        <v/>
      </c>
      <c r="K3703" s="32" t="s">
        <v>1366</v>
      </c>
    </row>
    <row r="3704" customFormat="false" ht="15" hidden="false" customHeight="false" outlineLevel="0" collapsed="false">
      <c r="A3704" s="23" t="str">
        <f aca="false">IF(B3704="","",B3704+(15*1000+253)/10000000)</f>
        <v/>
      </c>
      <c r="B3704" s="35" t="str">
        <f aca="false">IF(AND(IFERROR(N(INDEX(Clay_Brands!$A$2:$FZ$601,253,Sync!$D$11)),0)&gt;0,IFERROR(INDEX(Clay_Brands!$A$2:$FZ$601,253,Sync!$D$5)&amp;"","")&lt;&gt;"",OR(LEFT(IFERROR(INDEX(Clay_Brands!$A$2:$FZ$601,253,Sync!$D$5)&amp;"",""),6)&lt;&gt;"SAMPLE",Config!$B$19="Y")),IFERROR(N(INDEX(Clay_Brands!$A$2:$FZ$601,253,Sync!$D$11)),0),"")</f>
        <v/>
      </c>
      <c r="C3704" s="23" t="str">
        <f aca="false">IF(B3704="","","brand")</f>
        <v/>
      </c>
      <c r="D3704" s="23" t="str">
        <f aca="false">IF(B3704="","",IFERROR(INDEX(Brand_Log!$DV$2:$DV$201,MATCH(IFERROR(INDEX(Clay_Brands!$A$2:$FZ$601,253,Sync!$D$5)&amp;"",""),Brand_Log!$A$2:$A$201,0))&amp;"",IFERROR(INDEX(Clay_Brands!$A$2:$FZ$601,253,Sync!$D$5)&amp;"","")&amp;""))</f>
        <v/>
      </c>
      <c r="E3704" s="23" t="str">
        <f aca="false">IF(B3704="","",IFERROR(INDEX(Clay_Brands!$A$2:$FZ$601,253,Sync!$D$6)&amp;"",""))</f>
        <v/>
      </c>
      <c r="F3704" s="23" t="str">
        <f aca="false">IF(B3704="","","outreach_sent")</f>
        <v/>
      </c>
      <c r="G3704" s="23" t="str">
        <f aca="false">IF(B3704="","","")</f>
        <v/>
      </c>
      <c r="H3704" s="23" t="str">
        <f aca="false">IF(B3704="","","")</f>
        <v/>
      </c>
      <c r="I3704" s="23" t="str">
        <f aca="false">IF(B3704="","","")</f>
        <v/>
      </c>
      <c r="J3704" s="23" t="str">
        <f aca="false">IF(B3704="","","touch_1; "&amp;IFERROR(INDEX(Clay_Brands!$A$2:$FZ$601,253,Sync!$D$10)&amp;"","")&amp;"; "&amp;IFERROR(INDEX(Clay_Brands!$A$2:$FZ$601,253,Sync!$D$9)&amp;"",""))</f>
        <v/>
      </c>
      <c r="K3704" s="32" t="s">
        <v>1366</v>
      </c>
    </row>
    <row r="3705" customFormat="false" ht="15" hidden="false" customHeight="false" outlineLevel="0" collapsed="false">
      <c r="A3705" s="23" t="str">
        <f aca="false">IF(B3705="","",B3705+(15*1000+254)/10000000)</f>
        <v/>
      </c>
      <c r="B3705" s="35" t="str">
        <f aca="false">IF(AND(IFERROR(N(INDEX(Clay_Brands!$A$2:$FZ$601,254,Sync!$D$11)),0)&gt;0,IFERROR(INDEX(Clay_Brands!$A$2:$FZ$601,254,Sync!$D$5)&amp;"","")&lt;&gt;"",OR(LEFT(IFERROR(INDEX(Clay_Brands!$A$2:$FZ$601,254,Sync!$D$5)&amp;"",""),6)&lt;&gt;"SAMPLE",Config!$B$19="Y")),IFERROR(N(INDEX(Clay_Brands!$A$2:$FZ$601,254,Sync!$D$11)),0),"")</f>
        <v/>
      </c>
      <c r="C3705" s="23" t="str">
        <f aca="false">IF(B3705="","","brand")</f>
        <v/>
      </c>
      <c r="D3705" s="23" t="str">
        <f aca="false">IF(B3705="","",IFERROR(INDEX(Brand_Log!$DV$2:$DV$201,MATCH(IFERROR(INDEX(Clay_Brands!$A$2:$FZ$601,254,Sync!$D$5)&amp;"",""),Brand_Log!$A$2:$A$201,0))&amp;"",IFERROR(INDEX(Clay_Brands!$A$2:$FZ$601,254,Sync!$D$5)&amp;"","")&amp;""))</f>
        <v/>
      </c>
      <c r="E3705" s="23" t="str">
        <f aca="false">IF(B3705="","",IFERROR(INDEX(Clay_Brands!$A$2:$FZ$601,254,Sync!$D$6)&amp;"",""))</f>
        <v/>
      </c>
      <c r="F3705" s="23" t="str">
        <f aca="false">IF(B3705="","","outreach_sent")</f>
        <v/>
      </c>
      <c r="G3705" s="23" t="str">
        <f aca="false">IF(B3705="","","")</f>
        <v/>
      </c>
      <c r="H3705" s="23" t="str">
        <f aca="false">IF(B3705="","","")</f>
        <v/>
      </c>
      <c r="I3705" s="23" t="str">
        <f aca="false">IF(B3705="","","")</f>
        <v/>
      </c>
      <c r="J3705" s="23" t="str">
        <f aca="false">IF(B3705="","","touch_1; "&amp;IFERROR(INDEX(Clay_Brands!$A$2:$FZ$601,254,Sync!$D$10)&amp;"","")&amp;"; "&amp;IFERROR(INDEX(Clay_Brands!$A$2:$FZ$601,254,Sync!$D$9)&amp;"",""))</f>
        <v/>
      </c>
      <c r="K3705" s="32" t="s">
        <v>1366</v>
      </c>
    </row>
    <row r="3706" customFormat="false" ht="15" hidden="false" customHeight="false" outlineLevel="0" collapsed="false">
      <c r="A3706" s="23" t="str">
        <f aca="false">IF(B3706="","",B3706+(15*1000+255)/10000000)</f>
        <v/>
      </c>
      <c r="B3706" s="35" t="str">
        <f aca="false">IF(AND(IFERROR(N(INDEX(Clay_Brands!$A$2:$FZ$601,255,Sync!$D$11)),0)&gt;0,IFERROR(INDEX(Clay_Brands!$A$2:$FZ$601,255,Sync!$D$5)&amp;"","")&lt;&gt;"",OR(LEFT(IFERROR(INDEX(Clay_Brands!$A$2:$FZ$601,255,Sync!$D$5)&amp;"",""),6)&lt;&gt;"SAMPLE",Config!$B$19="Y")),IFERROR(N(INDEX(Clay_Brands!$A$2:$FZ$601,255,Sync!$D$11)),0),"")</f>
        <v/>
      </c>
      <c r="C3706" s="23" t="str">
        <f aca="false">IF(B3706="","","brand")</f>
        <v/>
      </c>
      <c r="D3706" s="23" t="str">
        <f aca="false">IF(B3706="","",IFERROR(INDEX(Brand_Log!$DV$2:$DV$201,MATCH(IFERROR(INDEX(Clay_Brands!$A$2:$FZ$601,255,Sync!$D$5)&amp;"",""),Brand_Log!$A$2:$A$201,0))&amp;"",IFERROR(INDEX(Clay_Brands!$A$2:$FZ$601,255,Sync!$D$5)&amp;"","")&amp;""))</f>
        <v/>
      </c>
      <c r="E3706" s="23" t="str">
        <f aca="false">IF(B3706="","",IFERROR(INDEX(Clay_Brands!$A$2:$FZ$601,255,Sync!$D$6)&amp;"",""))</f>
        <v/>
      </c>
      <c r="F3706" s="23" t="str">
        <f aca="false">IF(B3706="","","outreach_sent")</f>
        <v/>
      </c>
      <c r="G3706" s="23" t="str">
        <f aca="false">IF(B3706="","","")</f>
        <v/>
      </c>
      <c r="H3706" s="23" t="str">
        <f aca="false">IF(B3706="","","")</f>
        <v/>
      </c>
      <c r="I3706" s="23" t="str">
        <f aca="false">IF(B3706="","","")</f>
        <v/>
      </c>
      <c r="J3706" s="23" t="str">
        <f aca="false">IF(B3706="","","touch_1; "&amp;IFERROR(INDEX(Clay_Brands!$A$2:$FZ$601,255,Sync!$D$10)&amp;"","")&amp;"; "&amp;IFERROR(INDEX(Clay_Brands!$A$2:$FZ$601,255,Sync!$D$9)&amp;"",""))</f>
        <v/>
      </c>
      <c r="K3706" s="32" t="s">
        <v>1366</v>
      </c>
    </row>
    <row r="3707" customFormat="false" ht="15" hidden="false" customHeight="false" outlineLevel="0" collapsed="false">
      <c r="A3707" s="23" t="str">
        <f aca="false">IF(B3707="","",B3707+(15*1000+256)/10000000)</f>
        <v/>
      </c>
      <c r="B3707" s="35" t="str">
        <f aca="false">IF(AND(IFERROR(N(INDEX(Clay_Brands!$A$2:$FZ$601,256,Sync!$D$11)),0)&gt;0,IFERROR(INDEX(Clay_Brands!$A$2:$FZ$601,256,Sync!$D$5)&amp;"","")&lt;&gt;"",OR(LEFT(IFERROR(INDEX(Clay_Brands!$A$2:$FZ$601,256,Sync!$D$5)&amp;"",""),6)&lt;&gt;"SAMPLE",Config!$B$19="Y")),IFERROR(N(INDEX(Clay_Brands!$A$2:$FZ$601,256,Sync!$D$11)),0),"")</f>
        <v/>
      </c>
      <c r="C3707" s="23" t="str">
        <f aca="false">IF(B3707="","","brand")</f>
        <v/>
      </c>
      <c r="D3707" s="23" t="str">
        <f aca="false">IF(B3707="","",IFERROR(INDEX(Brand_Log!$DV$2:$DV$201,MATCH(IFERROR(INDEX(Clay_Brands!$A$2:$FZ$601,256,Sync!$D$5)&amp;"",""),Brand_Log!$A$2:$A$201,0))&amp;"",IFERROR(INDEX(Clay_Brands!$A$2:$FZ$601,256,Sync!$D$5)&amp;"","")&amp;""))</f>
        <v/>
      </c>
      <c r="E3707" s="23" t="str">
        <f aca="false">IF(B3707="","",IFERROR(INDEX(Clay_Brands!$A$2:$FZ$601,256,Sync!$D$6)&amp;"",""))</f>
        <v/>
      </c>
      <c r="F3707" s="23" t="str">
        <f aca="false">IF(B3707="","","outreach_sent")</f>
        <v/>
      </c>
      <c r="G3707" s="23" t="str">
        <f aca="false">IF(B3707="","","")</f>
        <v/>
      </c>
      <c r="H3707" s="23" t="str">
        <f aca="false">IF(B3707="","","")</f>
        <v/>
      </c>
      <c r="I3707" s="23" t="str">
        <f aca="false">IF(B3707="","","")</f>
        <v/>
      </c>
      <c r="J3707" s="23" t="str">
        <f aca="false">IF(B3707="","","touch_1; "&amp;IFERROR(INDEX(Clay_Brands!$A$2:$FZ$601,256,Sync!$D$10)&amp;"","")&amp;"; "&amp;IFERROR(INDEX(Clay_Brands!$A$2:$FZ$601,256,Sync!$D$9)&amp;"",""))</f>
        <v/>
      </c>
      <c r="K3707" s="32" t="s">
        <v>1366</v>
      </c>
    </row>
    <row r="3708" customFormat="false" ht="15" hidden="false" customHeight="false" outlineLevel="0" collapsed="false">
      <c r="A3708" s="23" t="str">
        <f aca="false">IF(B3708="","",B3708+(15*1000+257)/10000000)</f>
        <v/>
      </c>
      <c r="B3708" s="35" t="str">
        <f aca="false">IF(AND(IFERROR(N(INDEX(Clay_Brands!$A$2:$FZ$601,257,Sync!$D$11)),0)&gt;0,IFERROR(INDEX(Clay_Brands!$A$2:$FZ$601,257,Sync!$D$5)&amp;"","")&lt;&gt;"",OR(LEFT(IFERROR(INDEX(Clay_Brands!$A$2:$FZ$601,257,Sync!$D$5)&amp;"",""),6)&lt;&gt;"SAMPLE",Config!$B$19="Y")),IFERROR(N(INDEX(Clay_Brands!$A$2:$FZ$601,257,Sync!$D$11)),0),"")</f>
        <v/>
      </c>
      <c r="C3708" s="23" t="str">
        <f aca="false">IF(B3708="","","brand")</f>
        <v/>
      </c>
      <c r="D3708" s="23" t="str">
        <f aca="false">IF(B3708="","",IFERROR(INDEX(Brand_Log!$DV$2:$DV$201,MATCH(IFERROR(INDEX(Clay_Brands!$A$2:$FZ$601,257,Sync!$D$5)&amp;"",""),Brand_Log!$A$2:$A$201,0))&amp;"",IFERROR(INDEX(Clay_Brands!$A$2:$FZ$601,257,Sync!$D$5)&amp;"","")&amp;""))</f>
        <v/>
      </c>
      <c r="E3708" s="23" t="str">
        <f aca="false">IF(B3708="","",IFERROR(INDEX(Clay_Brands!$A$2:$FZ$601,257,Sync!$D$6)&amp;"",""))</f>
        <v/>
      </c>
      <c r="F3708" s="23" t="str">
        <f aca="false">IF(B3708="","","outreach_sent")</f>
        <v/>
      </c>
      <c r="G3708" s="23" t="str">
        <f aca="false">IF(B3708="","","")</f>
        <v/>
      </c>
      <c r="H3708" s="23" t="str">
        <f aca="false">IF(B3708="","","")</f>
        <v/>
      </c>
      <c r="I3708" s="23" t="str">
        <f aca="false">IF(B3708="","","")</f>
        <v/>
      </c>
      <c r="J3708" s="23" t="str">
        <f aca="false">IF(B3708="","","touch_1; "&amp;IFERROR(INDEX(Clay_Brands!$A$2:$FZ$601,257,Sync!$D$10)&amp;"","")&amp;"; "&amp;IFERROR(INDEX(Clay_Brands!$A$2:$FZ$601,257,Sync!$D$9)&amp;"",""))</f>
        <v/>
      </c>
      <c r="K3708" s="32" t="s">
        <v>1366</v>
      </c>
    </row>
    <row r="3709" customFormat="false" ht="15" hidden="false" customHeight="false" outlineLevel="0" collapsed="false">
      <c r="A3709" s="23" t="str">
        <f aca="false">IF(B3709="","",B3709+(15*1000+258)/10000000)</f>
        <v/>
      </c>
      <c r="B3709" s="35" t="str">
        <f aca="false">IF(AND(IFERROR(N(INDEX(Clay_Brands!$A$2:$FZ$601,258,Sync!$D$11)),0)&gt;0,IFERROR(INDEX(Clay_Brands!$A$2:$FZ$601,258,Sync!$D$5)&amp;"","")&lt;&gt;"",OR(LEFT(IFERROR(INDEX(Clay_Brands!$A$2:$FZ$601,258,Sync!$D$5)&amp;"",""),6)&lt;&gt;"SAMPLE",Config!$B$19="Y")),IFERROR(N(INDEX(Clay_Brands!$A$2:$FZ$601,258,Sync!$D$11)),0),"")</f>
        <v/>
      </c>
      <c r="C3709" s="23" t="str">
        <f aca="false">IF(B3709="","","brand")</f>
        <v/>
      </c>
      <c r="D3709" s="23" t="str">
        <f aca="false">IF(B3709="","",IFERROR(INDEX(Brand_Log!$DV$2:$DV$201,MATCH(IFERROR(INDEX(Clay_Brands!$A$2:$FZ$601,258,Sync!$D$5)&amp;"",""),Brand_Log!$A$2:$A$201,0))&amp;"",IFERROR(INDEX(Clay_Brands!$A$2:$FZ$601,258,Sync!$D$5)&amp;"","")&amp;""))</f>
        <v/>
      </c>
      <c r="E3709" s="23" t="str">
        <f aca="false">IF(B3709="","",IFERROR(INDEX(Clay_Brands!$A$2:$FZ$601,258,Sync!$D$6)&amp;"",""))</f>
        <v/>
      </c>
      <c r="F3709" s="23" t="str">
        <f aca="false">IF(B3709="","","outreach_sent")</f>
        <v/>
      </c>
      <c r="G3709" s="23" t="str">
        <f aca="false">IF(B3709="","","")</f>
        <v/>
      </c>
      <c r="H3709" s="23" t="str">
        <f aca="false">IF(B3709="","","")</f>
        <v/>
      </c>
      <c r="I3709" s="23" t="str">
        <f aca="false">IF(B3709="","","")</f>
        <v/>
      </c>
      <c r="J3709" s="23" t="str">
        <f aca="false">IF(B3709="","","touch_1; "&amp;IFERROR(INDEX(Clay_Brands!$A$2:$FZ$601,258,Sync!$D$10)&amp;"","")&amp;"; "&amp;IFERROR(INDEX(Clay_Brands!$A$2:$FZ$601,258,Sync!$D$9)&amp;"",""))</f>
        <v/>
      </c>
      <c r="K3709" s="32" t="s">
        <v>1366</v>
      </c>
    </row>
    <row r="3710" customFormat="false" ht="15" hidden="false" customHeight="false" outlineLevel="0" collapsed="false">
      <c r="A3710" s="23" t="str">
        <f aca="false">IF(B3710="","",B3710+(15*1000+259)/10000000)</f>
        <v/>
      </c>
      <c r="B3710" s="35" t="str">
        <f aca="false">IF(AND(IFERROR(N(INDEX(Clay_Brands!$A$2:$FZ$601,259,Sync!$D$11)),0)&gt;0,IFERROR(INDEX(Clay_Brands!$A$2:$FZ$601,259,Sync!$D$5)&amp;"","")&lt;&gt;"",OR(LEFT(IFERROR(INDEX(Clay_Brands!$A$2:$FZ$601,259,Sync!$D$5)&amp;"",""),6)&lt;&gt;"SAMPLE",Config!$B$19="Y")),IFERROR(N(INDEX(Clay_Brands!$A$2:$FZ$601,259,Sync!$D$11)),0),"")</f>
        <v/>
      </c>
      <c r="C3710" s="23" t="str">
        <f aca="false">IF(B3710="","","brand")</f>
        <v/>
      </c>
      <c r="D3710" s="23" t="str">
        <f aca="false">IF(B3710="","",IFERROR(INDEX(Brand_Log!$DV$2:$DV$201,MATCH(IFERROR(INDEX(Clay_Brands!$A$2:$FZ$601,259,Sync!$D$5)&amp;"",""),Brand_Log!$A$2:$A$201,0))&amp;"",IFERROR(INDEX(Clay_Brands!$A$2:$FZ$601,259,Sync!$D$5)&amp;"","")&amp;""))</f>
        <v/>
      </c>
      <c r="E3710" s="23" t="str">
        <f aca="false">IF(B3710="","",IFERROR(INDEX(Clay_Brands!$A$2:$FZ$601,259,Sync!$D$6)&amp;"",""))</f>
        <v/>
      </c>
      <c r="F3710" s="23" t="str">
        <f aca="false">IF(B3710="","","outreach_sent")</f>
        <v/>
      </c>
      <c r="G3710" s="23" t="str">
        <f aca="false">IF(B3710="","","")</f>
        <v/>
      </c>
      <c r="H3710" s="23" t="str">
        <f aca="false">IF(B3710="","","")</f>
        <v/>
      </c>
      <c r="I3710" s="23" t="str">
        <f aca="false">IF(B3710="","","")</f>
        <v/>
      </c>
      <c r="J3710" s="23" t="str">
        <f aca="false">IF(B3710="","","touch_1; "&amp;IFERROR(INDEX(Clay_Brands!$A$2:$FZ$601,259,Sync!$D$10)&amp;"","")&amp;"; "&amp;IFERROR(INDEX(Clay_Brands!$A$2:$FZ$601,259,Sync!$D$9)&amp;"",""))</f>
        <v/>
      </c>
      <c r="K3710" s="32" t="s">
        <v>1366</v>
      </c>
    </row>
    <row r="3711" customFormat="false" ht="15" hidden="false" customHeight="false" outlineLevel="0" collapsed="false">
      <c r="A3711" s="23" t="str">
        <f aca="false">IF(B3711="","",B3711+(15*1000+260)/10000000)</f>
        <v/>
      </c>
      <c r="B3711" s="35" t="str">
        <f aca="false">IF(AND(IFERROR(N(INDEX(Clay_Brands!$A$2:$FZ$601,260,Sync!$D$11)),0)&gt;0,IFERROR(INDEX(Clay_Brands!$A$2:$FZ$601,260,Sync!$D$5)&amp;"","")&lt;&gt;"",OR(LEFT(IFERROR(INDEX(Clay_Brands!$A$2:$FZ$601,260,Sync!$D$5)&amp;"",""),6)&lt;&gt;"SAMPLE",Config!$B$19="Y")),IFERROR(N(INDEX(Clay_Brands!$A$2:$FZ$601,260,Sync!$D$11)),0),"")</f>
        <v/>
      </c>
      <c r="C3711" s="23" t="str">
        <f aca="false">IF(B3711="","","brand")</f>
        <v/>
      </c>
      <c r="D3711" s="23" t="str">
        <f aca="false">IF(B3711="","",IFERROR(INDEX(Brand_Log!$DV$2:$DV$201,MATCH(IFERROR(INDEX(Clay_Brands!$A$2:$FZ$601,260,Sync!$D$5)&amp;"",""),Brand_Log!$A$2:$A$201,0))&amp;"",IFERROR(INDEX(Clay_Brands!$A$2:$FZ$601,260,Sync!$D$5)&amp;"","")&amp;""))</f>
        <v/>
      </c>
      <c r="E3711" s="23" t="str">
        <f aca="false">IF(B3711="","",IFERROR(INDEX(Clay_Brands!$A$2:$FZ$601,260,Sync!$D$6)&amp;"",""))</f>
        <v/>
      </c>
      <c r="F3711" s="23" t="str">
        <f aca="false">IF(B3711="","","outreach_sent")</f>
        <v/>
      </c>
      <c r="G3711" s="23" t="str">
        <f aca="false">IF(B3711="","","")</f>
        <v/>
      </c>
      <c r="H3711" s="23" t="str">
        <f aca="false">IF(B3711="","","")</f>
        <v/>
      </c>
      <c r="I3711" s="23" t="str">
        <f aca="false">IF(B3711="","","")</f>
        <v/>
      </c>
      <c r="J3711" s="23" t="str">
        <f aca="false">IF(B3711="","","touch_1; "&amp;IFERROR(INDEX(Clay_Brands!$A$2:$FZ$601,260,Sync!$D$10)&amp;"","")&amp;"; "&amp;IFERROR(INDEX(Clay_Brands!$A$2:$FZ$601,260,Sync!$D$9)&amp;"",""))</f>
        <v/>
      </c>
      <c r="K3711" s="32" t="s">
        <v>1366</v>
      </c>
    </row>
    <row r="3712" customFormat="false" ht="15" hidden="false" customHeight="false" outlineLevel="0" collapsed="false">
      <c r="A3712" s="23" t="str">
        <f aca="false">IF(B3712="","",B3712+(15*1000+261)/10000000)</f>
        <v/>
      </c>
      <c r="B3712" s="35" t="str">
        <f aca="false">IF(AND(IFERROR(N(INDEX(Clay_Brands!$A$2:$FZ$601,261,Sync!$D$11)),0)&gt;0,IFERROR(INDEX(Clay_Brands!$A$2:$FZ$601,261,Sync!$D$5)&amp;"","")&lt;&gt;"",OR(LEFT(IFERROR(INDEX(Clay_Brands!$A$2:$FZ$601,261,Sync!$D$5)&amp;"",""),6)&lt;&gt;"SAMPLE",Config!$B$19="Y")),IFERROR(N(INDEX(Clay_Brands!$A$2:$FZ$601,261,Sync!$D$11)),0),"")</f>
        <v/>
      </c>
      <c r="C3712" s="23" t="str">
        <f aca="false">IF(B3712="","","brand")</f>
        <v/>
      </c>
      <c r="D3712" s="23" t="str">
        <f aca="false">IF(B3712="","",IFERROR(INDEX(Brand_Log!$DV$2:$DV$201,MATCH(IFERROR(INDEX(Clay_Brands!$A$2:$FZ$601,261,Sync!$D$5)&amp;"",""),Brand_Log!$A$2:$A$201,0))&amp;"",IFERROR(INDEX(Clay_Brands!$A$2:$FZ$601,261,Sync!$D$5)&amp;"","")&amp;""))</f>
        <v/>
      </c>
      <c r="E3712" s="23" t="str">
        <f aca="false">IF(B3712="","",IFERROR(INDEX(Clay_Brands!$A$2:$FZ$601,261,Sync!$D$6)&amp;"",""))</f>
        <v/>
      </c>
      <c r="F3712" s="23" t="str">
        <f aca="false">IF(B3712="","","outreach_sent")</f>
        <v/>
      </c>
      <c r="G3712" s="23" t="str">
        <f aca="false">IF(B3712="","","")</f>
        <v/>
      </c>
      <c r="H3712" s="23" t="str">
        <f aca="false">IF(B3712="","","")</f>
        <v/>
      </c>
      <c r="I3712" s="23" t="str">
        <f aca="false">IF(B3712="","","")</f>
        <v/>
      </c>
      <c r="J3712" s="23" t="str">
        <f aca="false">IF(B3712="","","touch_1; "&amp;IFERROR(INDEX(Clay_Brands!$A$2:$FZ$601,261,Sync!$D$10)&amp;"","")&amp;"; "&amp;IFERROR(INDEX(Clay_Brands!$A$2:$FZ$601,261,Sync!$D$9)&amp;"",""))</f>
        <v/>
      </c>
      <c r="K3712" s="32" t="s">
        <v>1366</v>
      </c>
    </row>
    <row r="3713" customFormat="false" ht="15" hidden="false" customHeight="false" outlineLevel="0" collapsed="false">
      <c r="A3713" s="23" t="str">
        <f aca="false">IF(B3713="","",B3713+(15*1000+262)/10000000)</f>
        <v/>
      </c>
      <c r="B3713" s="35" t="str">
        <f aca="false">IF(AND(IFERROR(N(INDEX(Clay_Brands!$A$2:$FZ$601,262,Sync!$D$11)),0)&gt;0,IFERROR(INDEX(Clay_Brands!$A$2:$FZ$601,262,Sync!$D$5)&amp;"","")&lt;&gt;"",OR(LEFT(IFERROR(INDEX(Clay_Brands!$A$2:$FZ$601,262,Sync!$D$5)&amp;"",""),6)&lt;&gt;"SAMPLE",Config!$B$19="Y")),IFERROR(N(INDEX(Clay_Brands!$A$2:$FZ$601,262,Sync!$D$11)),0),"")</f>
        <v/>
      </c>
      <c r="C3713" s="23" t="str">
        <f aca="false">IF(B3713="","","brand")</f>
        <v/>
      </c>
      <c r="D3713" s="23" t="str">
        <f aca="false">IF(B3713="","",IFERROR(INDEX(Brand_Log!$DV$2:$DV$201,MATCH(IFERROR(INDEX(Clay_Brands!$A$2:$FZ$601,262,Sync!$D$5)&amp;"",""),Brand_Log!$A$2:$A$201,0))&amp;"",IFERROR(INDEX(Clay_Brands!$A$2:$FZ$601,262,Sync!$D$5)&amp;"","")&amp;""))</f>
        <v/>
      </c>
      <c r="E3713" s="23" t="str">
        <f aca="false">IF(B3713="","",IFERROR(INDEX(Clay_Brands!$A$2:$FZ$601,262,Sync!$D$6)&amp;"",""))</f>
        <v/>
      </c>
      <c r="F3713" s="23" t="str">
        <f aca="false">IF(B3713="","","outreach_sent")</f>
        <v/>
      </c>
      <c r="G3713" s="23" t="str">
        <f aca="false">IF(B3713="","","")</f>
        <v/>
      </c>
      <c r="H3713" s="23" t="str">
        <f aca="false">IF(B3713="","","")</f>
        <v/>
      </c>
      <c r="I3713" s="23" t="str">
        <f aca="false">IF(B3713="","","")</f>
        <v/>
      </c>
      <c r="J3713" s="23" t="str">
        <f aca="false">IF(B3713="","","touch_1; "&amp;IFERROR(INDEX(Clay_Brands!$A$2:$FZ$601,262,Sync!$D$10)&amp;"","")&amp;"; "&amp;IFERROR(INDEX(Clay_Brands!$A$2:$FZ$601,262,Sync!$D$9)&amp;"",""))</f>
        <v/>
      </c>
      <c r="K3713" s="32" t="s">
        <v>1366</v>
      </c>
    </row>
    <row r="3714" customFormat="false" ht="15" hidden="false" customHeight="false" outlineLevel="0" collapsed="false">
      <c r="A3714" s="23" t="str">
        <f aca="false">IF(B3714="","",B3714+(15*1000+263)/10000000)</f>
        <v/>
      </c>
      <c r="B3714" s="35" t="str">
        <f aca="false">IF(AND(IFERROR(N(INDEX(Clay_Brands!$A$2:$FZ$601,263,Sync!$D$11)),0)&gt;0,IFERROR(INDEX(Clay_Brands!$A$2:$FZ$601,263,Sync!$D$5)&amp;"","")&lt;&gt;"",OR(LEFT(IFERROR(INDEX(Clay_Brands!$A$2:$FZ$601,263,Sync!$D$5)&amp;"",""),6)&lt;&gt;"SAMPLE",Config!$B$19="Y")),IFERROR(N(INDEX(Clay_Brands!$A$2:$FZ$601,263,Sync!$D$11)),0),"")</f>
        <v/>
      </c>
      <c r="C3714" s="23" t="str">
        <f aca="false">IF(B3714="","","brand")</f>
        <v/>
      </c>
      <c r="D3714" s="23" t="str">
        <f aca="false">IF(B3714="","",IFERROR(INDEX(Brand_Log!$DV$2:$DV$201,MATCH(IFERROR(INDEX(Clay_Brands!$A$2:$FZ$601,263,Sync!$D$5)&amp;"",""),Brand_Log!$A$2:$A$201,0))&amp;"",IFERROR(INDEX(Clay_Brands!$A$2:$FZ$601,263,Sync!$D$5)&amp;"","")&amp;""))</f>
        <v/>
      </c>
      <c r="E3714" s="23" t="str">
        <f aca="false">IF(B3714="","",IFERROR(INDEX(Clay_Brands!$A$2:$FZ$601,263,Sync!$D$6)&amp;"",""))</f>
        <v/>
      </c>
      <c r="F3714" s="23" t="str">
        <f aca="false">IF(B3714="","","outreach_sent")</f>
        <v/>
      </c>
      <c r="G3714" s="23" t="str">
        <f aca="false">IF(B3714="","","")</f>
        <v/>
      </c>
      <c r="H3714" s="23" t="str">
        <f aca="false">IF(B3714="","","")</f>
        <v/>
      </c>
      <c r="I3714" s="23" t="str">
        <f aca="false">IF(B3714="","","")</f>
        <v/>
      </c>
      <c r="J3714" s="23" t="str">
        <f aca="false">IF(B3714="","","touch_1; "&amp;IFERROR(INDEX(Clay_Brands!$A$2:$FZ$601,263,Sync!$D$10)&amp;"","")&amp;"; "&amp;IFERROR(INDEX(Clay_Brands!$A$2:$FZ$601,263,Sync!$D$9)&amp;"",""))</f>
        <v/>
      </c>
      <c r="K3714" s="32" t="s">
        <v>1366</v>
      </c>
    </row>
    <row r="3715" customFormat="false" ht="15" hidden="false" customHeight="false" outlineLevel="0" collapsed="false">
      <c r="A3715" s="23" t="str">
        <f aca="false">IF(B3715="","",B3715+(15*1000+264)/10000000)</f>
        <v/>
      </c>
      <c r="B3715" s="35" t="str">
        <f aca="false">IF(AND(IFERROR(N(INDEX(Clay_Brands!$A$2:$FZ$601,264,Sync!$D$11)),0)&gt;0,IFERROR(INDEX(Clay_Brands!$A$2:$FZ$601,264,Sync!$D$5)&amp;"","")&lt;&gt;"",OR(LEFT(IFERROR(INDEX(Clay_Brands!$A$2:$FZ$601,264,Sync!$D$5)&amp;"",""),6)&lt;&gt;"SAMPLE",Config!$B$19="Y")),IFERROR(N(INDEX(Clay_Brands!$A$2:$FZ$601,264,Sync!$D$11)),0),"")</f>
        <v/>
      </c>
      <c r="C3715" s="23" t="str">
        <f aca="false">IF(B3715="","","brand")</f>
        <v/>
      </c>
      <c r="D3715" s="23" t="str">
        <f aca="false">IF(B3715="","",IFERROR(INDEX(Brand_Log!$DV$2:$DV$201,MATCH(IFERROR(INDEX(Clay_Brands!$A$2:$FZ$601,264,Sync!$D$5)&amp;"",""),Brand_Log!$A$2:$A$201,0))&amp;"",IFERROR(INDEX(Clay_Brands!$A$2:$FZ$601,264,Sync!$D$5)&amp;"","")&amp;""))</f>
        <v/>
      </c>
      <c r="E3715" s="23" t="str">
        <f aca="false">IF(B3715="","",IFERROR(INDEX(Clay_Brands!$A$2:$FZ$601,264,Sync!$D$6)&amp;"",""))</f>
        <v/>
      </c>
      <c r="F3715" s="23" t="str">
        <f aca="false">IF(B3715="","","outreach_sent")</f>
        <v/>
      </c>
      <c r="G3715" s="23" t="str">
        <f aca="false">IF(B3715="","","")</f>
        <v/>
      </c>
      <c r="H3715" s="23" t="str">
        <f aca="false">IF(B3715="","","")</f>
        <v/>
      </c>
      <c r="I3715" s="23" t="str">
        <f aca="false">IF(B3715="","","")</f>
        <v/>
      </c>
      <c r="J3715" s="23" t="str">
        <f aca="false">IF(B3715="","","touch_1; "&amp;IFERROR(INDEX(Clay_Brands!$A$2:$FZ$601,264,Sync!$D$10)&amp;"","")&amp;"; "&amp;IFERROR(INDEX(Clay_Brands!$A$2:$FZ$601,264,Sync!$D$9)&amp;"",""))</f>
        <v/>
      </c>
      <c r="K3715" s="32" t="s">
        <v>1366</v>
      </c>
    </row>
    <row r="3716" customFormat="false" ht="15" hidden="false" customHeight="false" outlineLevel="0" collapsed="false">
      <c r="A3716" s="23" t="str">
        <f aca="false">IF(B3716="","",B3716+(15*1000+265)/10000000)</f>
        <v/>
      </c>
      <c r="B3716" s="35" t="str">
        <f aca="false">IF(AND(IFERROR(N(INDEX(Clay_Brands!$A$2:$FZ$601,265,Sync!$D$11)),0)&gt;0,IFERROR(INDEX(Clay_Brands!$A$2:$FZ$601,265,Sync!$D$5)&amp;"","")&lt;&gt;"",OR(LEFT(IFERROR(INDEX(Clay_Brands!$A$2:$FZ$601,265,Sync!$D$5)&amp;"",""),6)&lt;&gt;"SAMPLE",Config!$B$19="Y")),IFERROR(N(INDEX(Clay_Brands!$A$2:$FZ$601,265,Sync!$D$11)),0),"")</f>
        <v/>
      </c>
      <c r="C3716" s="23" t="str">
        <f aca="false">IF(B3716="","","brand")</f>
        <v/>
      </c>
      <c r="D3716" s="23" t="str">
        <f aca="false">IF(B3716="","",IFERROR(INDEX(Brand_Log!$DV$2:$DV$201,MATCH(IFERROR(INDEX(Clay_Brands!$A$2:$FZ$601,265,Sync!$D$5)&amp;"",""),Brand_Log!$A$2:$A$201,0))&amp;"",IFERROR(INDEX(Clay_Brands!$A$2:$FZ$601,265,Sync!$D$5)&amp;"","")&amp;""))</f>
        <v/>
      </c>
      <c r="E3716" s="23" t="str">
        <f aca="false">IF(B3716="","",IFERROR(INDEX(Clay_Brands!$A$2:$FZ$601,265,Sync!$D$6)&amp;"",""))</f>
        <v/>
      </c>
      <c r="F3716" s="23" t="str">
        <f aca="false">IF(B3716="","","outreach_sent")</f>
        <v/>
      </c>
      <c r="G3716" s="23" t="str">
        <f aca="false">IF(B3716="","","")</f>
        <v/>
      </c>
      <c r="H3716" s="23" t="str">
        <f aca="false">IF(B3716="","","")</f>
        <v/>
      </c>
      <c r="I3716" s="23" t="str">
        <f aca="false">IF(B3716="","","")</f>
        <v/>
      </c>
      <c r="J3716" s="23" t="str">
        <f aca="false">IF(B3716="","","touch_1; "&amp;IFERROR(INDEX(Clay_Brands!$A$2:$FZ$601,265,Sync!$D$10)&amp;"","")&amp;"; "&amp;IFERROR(INDEX(Clay_Brands!$A$2:$FZ$601,265,Sync!$D$9)&amp;"",""))</f>
        <v/>
      </c>
      <c r="K3716" s="32" t="s">
        <v>1366</v>
      </c>
    </row>
    <row r="3717" customFormat="false" ht="15" hidden="false" customHeight="false" outlineLevel="0" collapsed="false">
      <c r="A3717" s="23" t="str">
        <f aca="false">IF(B3717="","",B3717+(15*1000+266)/10000000)</f>
        <v/>
      </c>
      <c r="B3717" s="35" t="str">
        <f aca="false">IF(AND(IFERROR(N(INDEX(Clay_Brands!$A$2:$FZ$601,266,Sync!$D$11)),0)&gt;0,IFERROR(INDEX(Clay_Brands!$A$2:$FZ$601,266,Sync!$D$5)&amp;"","")&lt;&gt;"",OR(LEFT(IFERROR(INDEX(Clay_Brands!$A$2:$FZ$601,266,Sync!$D$5)&amp;"",""),6)&lt;&gt;"SAMPLE",Config!$B$19="Y")),IFERROR(N(INDEX(Clay_Brands!$A$2:$FZ$601,266,Sync!$D$11)),0),"")</f>
        <v/>
      </c>
      <c r="C3717" s="23" t="str">
        <f aca="false">IF(B3717="","","brand")</f>
        <v/>
      </c>
      <c r="D3717" s="23" t="str">
        <f aca="false">IF(B3717="","",IFERROR(INDEX(Brand_Log!$DV$2:$DV$201,MATCH(IFERROR(INDEX(Clay_Brands!$A$2:$FZ$601,266,Sync!$D$5)&amp;"",""),Brand_Log!$A$2:$A$201,0))&amp;"",IFERROR(INDEX(Clay_Brands!$A$2:$FZ$601,266,Sync!$D$5)&amp;"","")&amp;""))</f>
        <v/>
      </c>
      <c r="E3717" s="23" t="str">
        <f aca="false">IF(B3717="","",IFERROR(INDEX(Clay_Brands!$A$2:$FZ$601,266,Sync!$D$6)&amp;"",""))</f>
        <v/>
      </c>
      <c r="F3717" s="23" t="str">
        <f aca="false">IF(B3717="","","outreach_sent")</f>
        <v/>
      </c>
      <c r="G3717" s="23" t="str">
        <f aca="false">IF(B3717="","","")</f>
        <v/>
      </c>
      <c r="H3717" s="23" t="str">
        <f aca="false">IF(B3717="","","")</f>
        <v/>
      </c>
      <c r="I3717" s="23" t="str">
        <f aca="false">IF(B3717="","","")</f>
        <v/>
      </c>
      <c r="J3717" s="23" t="str">
        <f aca="false">IF(B3717="","","touch_1; "&amp;IFERROR(INDEX(Clay_Brands!$A$2:$FZ$601,266,Sync!$D$10)&amp;"","")&amp;"; "&amp;IFERROR(INDEX(Clay_Brands!$A$2:$FZ$601,266,Sync!$D$9)&amp;"",""))</f>
        <v/>
      </c>
      <c r="K3717" s="32" t="s">
        <v>1366</v>
      </c>
    </row>
    <row r="3718" customFormat="false" ht="15" hidden="false" customHeight="false" outlineLevel="0" collapsed="false">
      <c r="A3718" s="23" t="str">
        <f aca="false">IF(B3718="","",B3718+(15*1000+267)/10000000)</f>
        <v/>
      </c>
      <c r="B3718" s="35" t="str">
        <f aca="false">IF(AND(IFERROR(N(INDEX(Clay_Brands!$A$2:$FZ$601,267,Sync!$D$11)),0)&gt;0,IFERROR(INDEX(Clay_Brands!$A$2:$FZ$601,267,Sync!$D$5)&amp;"","")&lt;&gt;"",OR(LEFT(IFERROR(INDEX(Clay_Brands!$A$2:$FZ$601,267,Sync!$D$5)&amp;"",""),6)&lt;&gt;"SAMPLE",Config!$B$19="Y")),IFERROR(N(INDEX(Clay_Brands!$A$2:$FZ$601,267,Sync!$D$11)),0),"")</f>
        <v/>
      </c>
      <c r="C3718" s="23" t="str">
        <f aca="false">IF(B3718="","","brand")</f>
        <v/>
      </c>
      <c r="D3718" s="23" t="str">
        <f aca="false">IF(B3718="","",IFERROR(INDEX(Brand_Log!$DV$2:$DV$201,MATCH(IFERROR(INDEX(Clay_Brands!$A$2:$FZ$601,267,Sync!$D$5)&amp;"",""),Brand_Log!$A$2:$A$201,0))&amp;"",IFERROR(INDEX(Clay_Brands!$A$2:$FZ$601,267,Sync!$D$5)&amp;"","")&amp;""))</f>
        <v/>
      </c>
      <c r="E3718" s="23" t="str">
        <f aca="false">IF(B3718="","",IFERROR(INDEX(Clay_Brands!$A$2:$FZ$601,267,Sync!$D$6)&amp;"",""))</f>
        <v/>
      </c>
      <c r="F3718" s="23" t="str">
        <f aca="false">IF(B3718="","","outreach_sent")</f>
        <v/>
      </c>
      <c r="G3718" s="23" t="str">
        <f aca="false">IF(B3718="","","")</f>
        <v/>
      </c>
      <c r="H3718" s="23" t="str">
        <f aca="false">IF(B3718="","","")</f>
        <v/>
      </c>
      <c r="I3718" s="23" t="str">
        <f aca="false">IF(B3718="","","")</f>
        <v/>
      </c>
      <c r="J3718" s="23" t="str">
        <f aca="false">IF(B3718="","","touch_1; "&amp;IFERROR(INDEX(Clay_Brands!$A$2:$FZ$601,267,Sync!$D$10)&amp;"","")&amp;"; "&amp;IFERROR(INDEX(Clay_Brands!$A$2:$FZ$601,267,Sync!$D$9)&amp;"",""))</f>
        <v/>
      </c>
      <c r="K3718" s="32" t="s">
        <v>1366</v>
      </c>
    </row>
    <row r="3719" customFormat="false" ht="15" hidden="false" customHeight="false" outlineLevel="0" collapsed="false">
      <c r="A3719" s="23" t="str">
        <f aca="false">IF(B3719="","",B3719+(15*1000+268)/10000000)</f>
        <v/>
      </c>
      <c r="B3719" s="35" t="str">
        <f aca="false">IF(AND(IFERROR(N(INDEX(Clay_Brands!$A$2:$FZ$601,268,Sync!$D$11)),0)&gt;0,IFERROR(INDEX(Clay_Brands!$A$2:$FZ$601,268,Sync!$D$5)&amp;"","")&lt;&gt;"",OR(LEFT(IFERROR(INDEX(Clay_Brands!$A$2:$FZ$601,268,Sync!$D$5)&amp;"",""),6)&lt;&gt;"SAMPLE",Config!$B$19="Y")),IFERROR(N(INDEX(Clay_Brands!$A$2:$FZ$601,268,Sync!$D$11)),0),"")</f>
        <v/>
      </c>
      <c r="C3719" s="23" t="str">
        <f aca="false">IF(B3719="","","brand")</f>
        <v/>
      </c>
      <c r="D3719" s="23" t="str">
        <f aca="false">IF(B3719="","",IFERROR(INDEX(Brand_Log!$DV$2:$DV$201,MATCH(IFERROR(INDEX(Clay_Brands!$A$2:$FZ$601,268,Sync!$D$5)&amp;"",""),Brand_Log!$A$2:$A$201,0))&amp;"",IFERROR(INDEX(Clay_Brands!$A$2:$FZ$601,268,Sync!$D$5)&amp;"","")&amp;""))</f>
        <v/>
      </c>
      <c r="E3719" s="23" t="str">
        <f aca="false">IF(B3719="","",IFERROR(INDEX(Clay_Brands!$A$2:$FZ$601,268,Sync!$D$6)&amp;"",""))</f>
        <v/>
      </c>
      <c r="F3719" s="23" t="str">
        <f aca="false">IF(B3719="","","outreach_sent")</f>
        <v/>
      </c>
      <c r="G3719" s="23" t="str">
        <f aca="false">IF(B3719="","","")</f>
        <v/>
      </c>
      <c r="H3719" s="23" t="str">
        <f aca="false">IF(B3719="","","")</f>
        <v/>
      </c>
      <c r="I3719" s="23" t="str">
        <f aca="false">IF(B3719="","","")</f>
        <v/>
      </c>
      <c r="J3719" s="23" t="str">
        <f aca="false">IF(B3719="","","touch_1; "&amp;IFERROR(INDEX(Clay_Brands!$A$2:$FZ$601,268,Sync!$D$10)&amp;"","")&amp;"; "&amp;IFERROR(INDEX(Clay_Brands!$A$2:$FZ$601,268,Sync!$D$9)&amp;"",""))</f>
        <v/>
      </c>
      <c r="K3719" s="32" t="s">
        <v>1366</v>
      </c>
    </row>
    <row r="3720" customFormat="false" ht="15" hidden="false" customHeight="false" outlineLevel="0" collapsed="false">
      <c r="A3720" s="23" t="str">
        <f aca="false">IF(B3720="","",B3720+(15*1000+269)/10000000)</f>
        <v/>
      </c>
      <c r="B3720" s="35" t="str">
        <f aca="false">IF(AND(IFERROR(N(INDEX(Clay_Brands!$A$2:$FZ$601,269,Sync!$D$11)),0)&gt;0,IFERROR(INDEX(Clay_Brands!$A$2:$FZ$601,269,Sync!$D$5)&amp;"","")&lt;&gt;"",OR(LEFT(IFERROR(INDEX(Clay_Brands!$A$2:$FZ$601,269,Sync!$D$5)&amp;"",""),6)&lt;&gt;"SAMPLE",Config!$B$19="Y")),IFERROR(N(INDEX(Clay_Brands!$A$2:$FZ$601,269,Sync!$D$11)),0),"")</f>
        <v/>
      </c>
      <c r="C3720" s="23" t="str">
        <f aca="false">IF(B3720="","","brand")</f>
        <v/>
      </c>
      <c r="D3720" s="23" t="str">
        <f aca="false">IF(B3720="","",IFERROR(INDEX(Brand_Log!$DV$2:$DV$201,MATCH(IFERROR(INDEX(Clay_Brands!$A$2:$FZ$601,269,Sync!$D$5)&amp;"",""),Brand_Log!$A$2:$A$201,0))&amp;"",IFERROR(INDEX(Clay_Brands!$A$2:$FZ$601,269,Sync!$D$5)&amp;"","")&amp;""))</f>
        <v/>
      </c>
      <c r="E3720" s="23" t="str">
        <f aca="false">IF(B3720="","",IFERROR(INDEX(Clay_Brands!$A$2:$FZ$601,269,Sync!$D$6)&amp;"",""))</f>
        <v/>
      </c>
      <c r="F3720" s="23" t="str">
        <f aca="false">IF(B3720="","","outreach_sent")</f>
        <v/>
      </c>
      <c r="G3720" s="23" t="str">
        <f aca="false">IF(B3720="","","")</f>
        <v/>
      </c>
      <c r="H3720" s="23" t="str">
        <f aca="false">IF(B3720="","","")</f>
        <v/>
      </c>
      <c r="I3720" s="23" t="str">
        <f aca="false">IF(B3720="","","")</f>
        <v/>
      </c>
      <c r="J3720" s="23" t="str">
        <f aca="false">IF(B3720="","","touch_1; "&amp;IFERROR(INDEX(Clay_Brands!$A$2:$FZ$601,269,Sync!$D$10)&amp;"","")&amp;"; "&amp;IFERROR(INDEX(Clay_Brands!$A$2:$FZ$601,269,Sync!$D$9)&amp;"",""))</f>
        <v/>
      </c>
      <c r="K3720" s="32" t="s">
        <v>1366</v>
      </c>
    </row>
    <row r="3721" customFormat="false" ht="15" hidden="false" customHeight="false" outlineLevel="0" collapsed="false">
      <c r="A3721" s="23" t="str">
        <f aca="false">IF(B3721="","",B3721+(15*1000+270)/10000000)</f>
        <v/>
      </c>
      <c r="B3721" s="35" t="str">
        <f aca="false">IF(AND(IFERROR(N(INDEX(Clay_Brands!$A$2:$FZ$601,270,Sync!$D$11)),0)&gt;0,IFERROR(INDEX(Clay_Brands!$A$2:$FZ$601,270,Sync!$D$5)&amp;"","")&lt;&gt;"",OR(LEFT(IFERROR(INDEX(Clay_Brands!$A$2:$FZ$601,270,Sync!$D$5)&amp;"",""),6)&lt;&gt;"SAMPLE",Config!$B$19="Y")),IFERROR(N(INDEX(Clay_Brands!$A$2:$FZ$601,270,Sync!$D$11)),0),"")</f>
        <v/>
      </c>
      <c r="C3721" s="23" t="str">
        <f aca="false">IF(B3721="","","brand")</f>
        <v/>
      </c>
      <c r="D3721" s="23" t="str">
        <f aca="false">IF(B3721="","",IFERROR(INDEX(Brand_Log!$DV$2:$DV$201,MATCH(IFERROR(INDEX(Clay_Brands!$A$2:$FZ$601,270,Sync!$D$5)&amp;"",""),Brand_Log!$A$2:$A$201,0))&amp;"",IFERROR(INDEX(Clay_Brands!$A$2:$FZ$601,270,Sync!$D$5)&amp;"","")&amp;""))</f>
        <v/>
      </c>
      <c r="E3721" s="23" t="str">
        <f aca="false">IF(B3721="","",IFERROR(INDEX(Clay_Brands!$A$2:$FZ$601,270,Sync!$D$6)&amp;"",""))</f>
        <v/>
      </c>
      <c r="F3721" s="23" t="str">
        <f aca="false">IF(B3721="","","outreach_sent")</f>
        <v/>
      </c>
      <c r="G3721" s="23" t="str">
        <f aca="false">IF(B3721="","","")</f>
        <v/>
      </c>
      <c r="H3721" s="23" t="str">
        <f aca="false">IF(B3721="","","")</f>
        <v/>
      </c>
      <c r="I3721" s="23" t="str">
        <f aca="false">IF(B3721="","","")</f>
        <v/>
      </c>
      <c r="J3721" s="23" t="str">
        <f aca="false">IF(B3721="","","touch_1; "&amp;IFERROR(INDEX(Clay_Brands!$A$2:$FZ$601,270,Sync!$D$10)&amp;"","")&amp;"; "&amp;IFERROR(INDEX(Clay_Brands!$A$2:$FZ$601,270,Sync!$D$9)&amp;"",""))</f>
        <v/>
      </c>
      <c r="K3721" s="32" t="s">
        <v>1366</v>
      </c>
    </row>
    <row r="3722" customFormat="false" ht="15" hidden="false" customHeight="false" outlineLevel="0" collapsed="false">
      <c r="A3722" s="23" t="str">
        <f aca="false">IF(B3722="","",B3722+(15*1000+271)/10000000)</f>
        <v/>
      </c>
      <c r="B3722" s="35" t="str">
        <f aca="false">IF(AND(IFERROR(N(INDEX(Clay_Brands!$A$2:$FZ$601,271,Sync!$D$11)),0)&gt;0,IFERROR(INDEX(Clay_Brands!$A$2:$FZ$601,271,Sync!$D$5)&amp;"","")&lt;&gt;"",OR(LEFT(IFERROR(INDEX(Clay_Brands!$A$2:$FZ$601,271,Sync!$D$5)&amp;"",""),6)&lt;&gt;"SAMPLE",Config!$B$19="Y")),IFERROR(N(INDEX(Clay_Brands!$A$2:$FZ$601,271,Sync!$D$11)),0),"")</f>
        <v/>
      </c>
      <c r="C3722" s="23" t="str">
        <f aca="false">IF(B3722="","","brand")</f>
        <v/>
      </c>
      <c r="D3722" s="23" t="str">
        <f aca="false">IF(B3722="","",IFERROR(INDEX(Brand_Log!$DV$2:$DV$201,MATCH(IFERROR(INDEX(Clay_Brands!$A$2:$FZ$601,271,Sync!$D$5)&amp;"",""),Brand_Log!$A$2:$A$201,0))&amp;"",IFERROR(INDEX(Clay_Brands!$A$2:$FZ$601,271,Sync!$D$5)&amp;"","")&amp;""))</f>
        <v/>
      </c>
      <c r="E3722" s="23" t="str">
        <f aca="false">IF(B3722="","",IFERROR(INDEX(Clay_Brands!$A$2:$FZ$601,271,Sync!$D$6)&amp;"",""))</f>
        <v/>
      </c>
      <c r="F3722" s="23" t="str">
        <f aca="false">IF(B3722="","","outreach_sent")</f>
        <v/>
      </c>
      <c r="G3722" s="23" t="str">
        <f aca="false">IF(B3722="","","")</f>
        <v/>
      </c>
      <c r="H3722" s="23" t="str">
        <f aca="false">IF(B3722="","","")</f>
        <v/>
      </c>
      <c r="I3722" s="23" t="str">
        <f aca="false">IF(B3722="","","")</f>
        <v/>
      </c>
      <c r="J3722" s="23" t="str">
        <f aca="false">IF(B3722="","","touch_1; "&amp;IFERROR(INDEX(Clay_Brands!$A$2:$FZ$601,271,Sync!$D$10)&amp;"","")&amp;"; "&amp;IFERROR(INDEX(Clay_Brands!$A$2:$FZ$601,271,Sync!$D$9)&amp;"",""))</f>
        <v/>
      </c>
      <c r="K3722" s="32" t="s">
        <v>1366</v>
      </c>
    </row>
    <row r="3723" customFormat="false" ht="15" hidden="false" customHeight="false" outlineLevel="0" collapsed="false">
      <c r="A3723" s="23" t="str">
        <f aca="false">IF(B3723="","",B3723+(15*1000+272)/10000000)</f>
        <v/>
      </c>
      <c r="B3723" s="35" t="str">
        <f aca="false">IF(AND(IFERROR(N(INDEX(Clay_Brands!$A$2:$FZ$601,272,Sync!$D$11)),0)&gt;0,IFERROR(INDEX(Clay_Brands!$A$2:$FZ$601,272,Sync!$D$5)&amp;"","")&lt;&gt;"",OR(LEFT(IFERROR(INDEX(Clay_Brands!$A$2:$FZ$601,272,Sync!$D$5)&amp;"",""),6)&lt;&gt;"SAMPLE",Config!$B$19="Y")),IFERROR(N(INDEX(Clay_Brands!$A$2:$FZ$601,272,Sync!$D$11)),0),"")</f>
        <v/>
      </c>
      <c r="C3723" s="23" t="str">
        <f aca="false">IF(B3723="","","brand")</f>
        <v/>
      </c>
      <c r="D3723" s="23" t="str">
        <f aca="false">IF(B3723="","",IFERROR(INDEX(Brand_Log!$DV$2:$DV$201,MATCH(IFERROR(INDEX(Clay_Brands!$A$2:$FZ$601,272,Sync!$D$5)&amp;"",""),Brand_Log!$A$2:$A$201,0))&amp;"",IFERROR(INDEX(Clay_Brands!$A$2:$FZ$601,272,Sync!$D$5)&amp;"","")&amp;""))</f>
        <v/>
      </c>
      <c r="E3723" s="23" t="str">
        <f aca="false">IF(B3723="","",IFERROR(INDEX(Clay_Brands!$A$2:$FZ$601,272,Sync!$D$6)&amp;"",""))</f>
        <v/>
      </c>
      <c r="F3723" s="23" t="str">
        <f aca="false">IF(B3723="","","outreach_sent")</f>
        <v/>
      </c>
      <c r="G3723" s="23" t="str">
        <f aca="false">IF(B3723="","","")</f>
        <v/>
      </c>
      <c r="H3723" s="23" t="str">
        <f aca="false">IF(B3723="","","")</f>
        <v/>
      </c>
      <c r="I3723" s="23" t="str">
        <f aca="false">IF(B3723="","","")</f>
        <v/>
      </c>
      <c r="J3723" s="23" t="str">
        <f aca="false">IF(B3723="","","touch_1; "&amp;IFERROR(INDEX(Clay_Brands!$A$2:$FZ$601,272,Sync!$D$10)&amp;"","")&amp;"; "&amp;IFERROR(INDEX(Clay_Brands!$A$2:$FZ$601,272,Sync!$D$9)&amp;"",""))</f>
        <v/>
      </c>
      <c r="K3723" s="32" t="s">
        <v>1366</v>
      </c>
    </row>
    <row r="3724" customFormat="false" ht="15" hidden="false" customHeight="false" outlineLevel="0" collapsed="false">
      <c r="A3724" s="23" t="str">
        <f aca="false">IF(B3724="","",B3724+(15*1000+273)/10000000)</f>
        <v/>
      </c>
      <c r="B3724" s="35" t="str">
        <f aca="false">IF(AND(IFERROR(N(INDEX(Clay_Brands!$A$2:$FZ$601,273,Sync!$D$11)),0)&gt;0,IFERROR(INDEX(Clay_Brands!$A$2:$FZ$601,273,Sync!$D$5)&amp;"","")&lt;&gt;"",OR(LEFT(IFERROR(INDEX(Clay_Brands!$A$2:$FZ$601,273,Sync!$D$5)&amp;"",""),6)&lt;&gt;"SAMPLE",Config!$B$19="Y")),IFERROR(N(INDEX(Clay_Brands!$A$2:$FZ$601,273,Sync!$D$11)),0),"")</f>
        <v/>
      </c>
      <c r="C3724" s="23" t="str">
        <f aca="false">IF(B3724="","","brand")</f>
        <v/>
      </c>
      <c r="D3724" s="23" t="str">
        <f aca="false">IF(B3724="","",IFERROR(INDEX(Brand_Log!$DV$2:$DV$201,MATCH(IFERROR(INDEX(Clay_Brands!$A$2:$FZ$601,273,Sync!$D$5)&amp;"",""),Brand_Log!$A$2:$A$201,0))&amp;"",IFERROR(INDEX(Clay_Brands!$A$2:$FZ$601,273,Sync!$D$5)&amp;"","")&amp;""))</f>
        <v/>
      </c>
      <c r="E3724" s="23" t="str">
        <f aca="false">IF(B3724="","",IFERROR(INDEX(Clay_Brands!$A$2:$FZ$601,273,Sync!$D$6)&amp;"",""))</f>
        <v/>
      </c>
      <c r="F3724" s="23" t="str">
        <f aca="false">IF(B3724="","","outreach_sent")</f>
        <v/>
      </c>
      <c r="G3724" s="23" t="str">
        <f aca="false">IF(B3724="","","")</f>
        <v/>
      </c>
      <c r="H3724" s="23" t="str">
        <f aca="false">IF(B3724="","","")</f>
        <v/>
      </c>
      <c r="I3724" s="23" t="str">
        <f aca="false">IF(B3724="","","")</f>
        <v/>
      </c>
      <c r="J3724" s="23" t="str">
        <f aca="false">IF(B3724="","","touch_1; "&amp;IFERROR(INDEX(Clay_Brands!$A$2:$FZ$601,273,Sync!$D$10)&amp;"","")&amp;"; "&amp;IFERROR(INDEX(Clay_Brands!$A$2:$FZ$601,273,Sync!$D$9)&amp;"",""))</f>
        <v/>
      </c>
      <c r="K3724" s="32" t="s">
        <v>1366</v>
      </c>
    </row>
    <row r="3725" customFormat="false" ht="15" hidden="false" customHeight="false" outlineLevel="0" collapsed="false">
      <c r="A3725" s="23" t="str">
        <f aca="false">IF(B3725="","",B3725+(15*1000+274)/10000000)</f>
        <v/>
      </c>
      <c r="B3725" s="35" t="str">
        <f aca="false">IF(AND(IFERROR(N(INDEX(Clay_Brands!$A$2:$FZ$601,274,Sync!$D$11)),0)&gt;0,IFERROR(INDEX(Clay_Brands!$A$2:$FZ$601,274,Sync!$D$5)&amp;"","")&lt;&gt;"",OR(LEFT(IFERROR(INDEX(Clay_Brands!$A$2:$FZ$601,274,Sync!$D$5)&amp;"",""),6)&lt;&gt;"SAMPLE",Config!$B$19="Y")),IFERROR(N(INDEX(Clay_Brands!$A$2:$FZ$601,274,Sync!$D$11)),0),"")</f>
        <v/>
      </c>
      <c r="C3725" s="23" t="str">
        <f aca="false">IF(B3725="","","brand")</f>
        <v/>
      </c>
      <c r="D3725" s="23" t="str">
        <f aca="false">IF(B3725="","",IFERROR(INDEX(Brand_Log!$DV$2:$DV$201,MATCH(IFERROR(INDEX(Clay_Brands!$A$2:$FZ$601,274,Sync!$D$5)&amp;"",""),Brand_Log!$A$2:$A$201,0))&amp;"",IFERROR(INDEX(Clay_Brands!$A$2:$FZ$601,274,Sync!$D$5)&amp;"","")&amp;""))</f>
        <v/>
      </c>
      <c r="E3725" s="23" t="str">
        <f aca="false">IF(B3725="","",IFERROR(INDEX(Clay_Brands!$A$2:$FZ$601,274,Sync!$D$6)&amp;"",""))</f>
        <v/>
      </c>
      <c r="F3725" s="23" t="str">
        <f aca="false">IF(B3725="","","outreach_sent")</f>
        <v/>
      </c>
      <c r="G3725" s="23" t="str">
        <f aca="false">IF(B3725="","","")</f>
        <v/>
      </c>
      <c r="H3725" s="23" t="str">
        <f aca="false">IF(B3725="","","")</f>
        <v/>
      </c>
      <c r="I3725" s="23" t="str">
        <f aca="false">IF(B3725="","","")</f>
        <v/>
      </c>
      <c r="J3725" s="23" t="str">
        <f aca="false">IF(B3725="","","touch_1; "&amp;IFERROR(INDEX(Clay_Brands!$A$2:$FZ$601,274,Sync!$D$10)&amp;"","")&amp;"; "&amp;IFERROR(INDEX(Clay_Brands!$A$2:$FZ$601,274,Sync!$D$9)&amp;"",""))</f>
        <v/>
      </c>
      <c r="K3725" s="32" t="s">
        <v>1366</v>
      </c>
    </row>
    <row r="3726" customFormat="false" ht="15" hidden="false" customHeight="false" outlineLevel="0" collapsed="false">
      <c r="A3726" s="23" t="str">
        <f aca="false">IF(B3726="","",B3726+(15*1000+275)/10000000)</f>
        <v/>
      </c>
      <c r="B3726" s="35" t="str">
        <f aca="false">IF(AND(IFERROR(N(INDEX(Clay_Brands!$A$2:$FZ$601,275,Sync!$D$11)),0)&gt;0,IFERROR(INDEX(Clay_Brands!$A$2:$FZ$601,275,Sync!$D$5)&amp;"","")&lt;&gt;"",OR(LEFT(IFERROR(INDEX(Clay_Brands!$A$2:$FZ$601,275,Sync!$D$5)&amp;"",""),6)&lt;&gt;"SAMPLE",Config!$B$19="Y")),IFERROR(N(INDEX(Clay_Brands!$A$2:$FZ$601,275,Sync!$D$11)),0),"")</f>
        <v/>
      </c>
      <c r="C3726" s="23" t="str">
        <f aca="false">IF(B3726="","","brand")</f>
        <v/>
      </c>
      <c r="D3726" s="23" t="str">
        <f aca="false">IF(B3726="","",IFERROR(INDEX(Brand_Log!$DV$2:$DV$201,MATCH(IFERROR(INDEX(Clay_Brands!$A$2:$FZ$601,275,Sync!$D$5)&amp;"",""),Brand_Log!$A$2:$A$201,0))&amp;"",IFERROR(INDEX(Clay_Brands!$A$2:$FZ$601,275,Sync!$D$5)&amp;"","")&amp;""))</f>
        <v/>
      </c>
      <c r="E3726" s="23" t="str">
        <f aca="false">IF(B3726="","",IFERROR(INDEX(Clay_Brands!$A$2:$FZ$601,275,Sync!$D$6)&amp;"",""))</f>
        <v/>
      </c>
      <c r="F3726" s="23" t="str">
        <f aca="false">IF(B3726="","","outreach_sent")</f>
        <v/>
      </c>
      <c r="G3726" s="23" t="str">
        <f aca="false">IF(B3726="","","")</f>
        <v/>
      </c>
      <c r="H3726" s="23" t="str">
        <f aca="false">IF(B3726="","","")</f>
        <v/>
      </c>
      <c r="I3726" s="23" t="str">
        <f aca="false">IF(B3726="","","")</f>
        <v/>
      </c>
      <c r="J3726" s="23" t="str">
        <f aca="false">IF(B3726="","","touch_1; "&amp;IFERROR(INDEX(Clay_Brands!$A$2:$FZ$601,275,Sync!$D$10)&amp;"","")&amp;"; "&amp;IFERROR(INDEX(Clay_Brands!$A$2:$FZ$601,275,Sync!$D$9)&amp;"",""))</f>
        <v/>
      </c>
      <c r="K3726" s="32" t="s">
        <v>1366</v>
      </c>
    </row>
    <row r="3727" customFormat="false" ht="15" hidden="false" customHeight="false" outlineLevel="0" collapsed="false">
      <c r="A3727" s="23" t="str">
        <f aca="false">IF(B3727="","",B3727+(15*1000+276)/10000000)</f>
        <v/>
      </c>
      <c r="B3727" s="35" t="str">
        <f aca="false">IF(AND(IFERROR(N(INDEX(Clay_Brands!$A$2:$FZ$601,276,Sync!$D$11)),0)&gt;0,IFERROR(INDEX(Clay_Brands!$A$2:$FZ$601,276,Sync!$D$5)&amp;"","")&lt;&gt;"",OR(LEFT(IFERROR(INDEX(Clay_Brands!$A$2:$FZ$601,276,Sync!$D$5)&amp;"",""),6)&lt;&gt;"SAMPLE",Config!$B$19="Y")),IFERROR(N(INDEX(Clay_Brands!$A$2:$FZ$601,276,Sync!$D$11)),0),"")</f>
        <v/>
      </c>
      <c r="C3727" s="23" t="str">
        <f aca="false">IF(B3727="","","brand")</f>
        <v/>
      </c>
      <c r="D3727" s="23" t="str">
        <f aca="false">IF(B3727="","",IFERROR(INDEX(Brand_Log!$DV$2:$DV$201,MATCH(IFERROR(INDEX(Clay_Brands!$A$2:$FZ$601,276,Sync!$D$5)&amp;"",""),Brand_Log!$A$2:$A$201,0))&amp;"",IFERROR(INDEX(Clay_Brands!$A$2:$FZ$601,276,Sync!$D$5)&amp;"","")&amp;""))</f>
        <v/>
      </c>
      <c r="E3727" s="23" t="str">
        <f aca="false">IF(B3727="","",IFERROR(INDEX(Clay_Brands!$A$2:$FZ$601,276,Sync!$D$6)&amp;"",""))</f>
        <v/>
      </c>
      <c r="F3727" s="23" t="str">
        <f aca="false">IF(B3727="","","outreach_sent")</f>
        <v/>
      </c>
      <c r="G3727" s="23" t="str">
        <f aca="false">IF(B3727="","","")</f>
        <v/>
      </c>
      <c r="H3727" s="23" t="str">
        <f aca="false">IF(B3727="","","")</f>
        <v/>
      </c>
      <c r="I3727" s="23" t="str">
        <f aca="false">IF(B3727="","","")</f>
        <v/>
      </c>
      <c r="J3727" s="23" t="str">
        <f aca="false">IF(B3727="","","touch_1; "&amp;IFERROR(INDEX(Clay_Brands!$A$2:$FZ$601,276,Sync!$D$10)&amp;"","")&amp;"; "&amp;IFERROR(INDEX(Clay_Brands!$A$2:$FZ$601,276,Sync!$D$9)&amp;"",""))</f>
        <v/>
      </c>
      <c r="K3727" s="32" t="s">
        <v>1366</v>
      </c>
    </row>
    <row r="3728" customFormat="false" ht="15" hidden="false" customHeight="false" outlineLevel="0" collapsed="false">
      <c r="A3728" s="23" t="str">
        <f aca="false">IF(B3728="","",B3728+(15*1000+277)/10000000)</f>
        <v/>
      </c>
      <c r="B3728" s="35" t="str">
        <f aca="false">IF(AND(IFERROR(N(INDEX(Clay_Brands!$A$2:$FZ$601,277,Sync!$D$11)),0)&gt;0,IFERROR(INDEX(Clay_Brands!$A$2:$FZ$601,277,Sync!$D$5)&amp;"","")&lt;&gt;"",OR(LEFT(IFERROR(INDEX(Clay_Brands!$A$2:$FZ$601,277,Sync!$D$5)&amp;"",""),6)&lt;&gt;"SAMPLE",Config!$B$19="Y")),IFERROR(N(INDEX(Clay_Brands!$A$2:$FZ$601,277,Sync!$D$11)),0),"")</f>
        <v/>
      </c>
      <c r="C3728" s="23" t="str">
        <f aca="false">IF(B3728="","","brand")</f>
        <v/>
      </c>
      <c r="D3728" s="23" t="str">
        <f aca="false">IF(B3728="","",IFERROR(INDEX(Brand_Log!$DV$2:$DV$201,MATCH(IFERROR(INDEX(Clay_Brands!$A$2:$FZ$601,277,Sync!$D$5)&amp;"",""),Brand_Log!$A$2:$A$201,0))&amp;"",IFERROR(INDEX(Clay_Brands!$A$2:$FZ$601,277,Sync!$D$5)&amp;"","")&amp;""))</f>
        <v/>
      </c>
      <c r="E3728" s="23" t="str">
        <f aca="false">IF(B3728="","",IFERROR(INDEX(Clay_Brands!$A$2:$FZ$601,277,Sync!$D$6)&amp;"",""))</f>
        <v/>
      </c>
      <c r="F3728" s="23" t="str">
        <f aca="false">IF(B3728="","","outreach_sent")</f>
        <v/>
      </c>
      <c r="G3728" s="23" t="str">
        <f aca="false">IF(B3728="","","")</f>
        <v/>
      </c>
      <c r="H3728" s="23" t="str">
        <f aca="false">IF(B3728="","","")</f>
        <v/>
      </c>
      <c r="I3728" s="23" t="str">
        <f aca="false">IF(B3728="","","")</f>
        <v/>
      </c>
      <c r="J3728" s="23" t="str">
        <f aca="false">IF(B3728="","","touch_1; "&amp;IFERROR(INDEX(Clay_Brands!$A$2:$FZ$601,277,Sync!$D$10)&amp;"","")&amp;"; "&amp;IFERROR(INDEX(Clay_Brands!$A$2:$FZ$601,277,Sync!$D$9)&amp;"",""))</f>
        <v/>
      </c>
      <c r="K3728" s="32" t="s">
        <v>1366</v>
      </c>
    </row>
    <row r="3729" customFormat="false" ht="15" hidden="false" customHeight="false" outlineLevel="0" collapsed="false">
      <c r="A3729" s="23" t="str">
        <f aca="false">IF(B3729="","",B3729+(15*1000+278)/10000000)</f>
        <v/>
      </c>
      <c r="B3729" s="35" t="str">
        <f aca="false">IF(AND(IFERROR(N(INDEX(Clay_Brands!$A$2:$FZ$601,278,Sync!$D$11)),0)&gt;0,IFERROR(INDEX(Clay_Brands!$A$2:$FZ$601,278,Sync!$D$5)&amp;"","")&lt;&gt;"",OR(LEFT(IFERROR(INDEX(Clay_Brands!$A$2:$FZ$601,278,Sync!$D$5)&amp;"",""),6)&lt;&gt;"SAMPLE",Config!$B$19="Y")),IFERROR(N(INDEX(Clay_Brands!$A$2:$FZ$601,278,Sync!$D$11)),0),"")</f>
        <v/>
      </c>
      <c r="C3729" s="23" t="str">
        <f aca="false">IF(B3729="","","brand")</f>
        <v/>
      </c>
      <c r="D3729" s="23" t="str">
        <f aca="false">IF(B3729="","",IFERROR(INDEX(Brand_Log!$DV$2:$DV$201,MATCH(IFERROR(INDEX(Clay_Brands!$A$2:$FZ$601,278,Sync!$D$5)&amp;"",""),Brand_Log!$A$2:$A$201,0))&amp;"",IFERROR(INDEX(Clay_Brands!$A$2:$FZ$601,278,Sync!$D$5)&amp;"","")&amp;""))</f>
        <v/>
      </c>
      <c r="E3729" s="23" t="str">
        <f aca="false">IF(B3729="","",IFERROR(INDEX(Clay_Brands!$A$2:$FZ$601,278,Sync!$D$6)&amp;"",""))</f>
        <v/>
      </c>
      <c r="F3729" s="23" t="str">
        <f aca="false">IF(B3729="","","outreach_sent")</f>
        <v/>
      </c>
      <c r="G3729" s="23" t="str">
        <f aca="false">IF(B3729="","","")</f>
        <v/>
      </c>
      <c r="H3729" s="23" t="str">
        <f aca="false">IF(B3729="","","")</f>
        <v/>
      </c>
      <c r="I3729" s="23" t="str">
        <f aca="false">IF(B3729="","","")</f>
        <v/>
      </c>
      <c r="J3729" s="23" t="str">
        <f aca="false">IF(B3729="","","touch_1; "&amp;IFERROR(INDEX(Clay_Brands!$A$2:$FZ$601,278,Sync!$D$10)&amp;"","")&amp;"; "&amp;IFERROR(INDEX(Clay_Brands!$A$2:$FZ$601,278,Sync!$D$9)&amp;"",""))</f>
        <v/>
      </c>
      <c r="K3729" s="32" t="s">
        <v>1366</v>
      </c>
    </row>
    <row r="3730" customFormat="false" ht="15" hidden="false" customHeight="false" outlineLevel="0" collapsed="false">
      <c r="A3730" s="23" t="str">
        <f aca="false">IF(B3730="","",B3730+(15*1000+279)/10000000)</f>
        <v/>
      </c>
      <c r="B3730" s="35" t="str">
        <f aca="false">IF(AND(IFERROR(N(INDEX(Clay_Brands!$A$2:$FZ$601,279,Sync!$D$11)),0)&gt;0,IFERROR(INDEX(Clay_Brands!$A$2:$FZ$601,279,Sync!$D$5)&amp;"","")&lt;&gt;"",OR(LEFT(IFERROR(INDEX(Clay_Brands!$A$2:$FZ$601,279,Sync!$D$5)&amp;"",""),6)&lt;&gt;"SAMPLE",Config!$B$19="Y")),IFERROR(N(INDEX(Clay_Brands!$A$2:$FZ$601,279,Sync!$D$11)),0),"")</f>
        <v/>
      </c>
      <c r="C3730" s="23" t="str">
        <f aca="false">IF(B3730="","","brand")</f>
        <v/>
      </c>
      <c r="D3730" s="23" t="str">
        <f aca="false">IF(B3730="","",IFERROR(INDEX(Brand_Log!$DV$2:$DV$201,MATCH(IFERROR(INDEX(Clay_Brands!$A$2:$FZ$601,279,Sync!$D$5)&amp;"",""),Brand_Log!$A$2:$A$201,0))&amp;"",IFERROR(INDEX(Clay_Brands!$A$2:$FZ$601,279,Sync!$D$5)&amp;"","")&amp;""))</f>
        <v/>
      </c>
      <c r="E3730" s="23" t="str">
        <f aca="false">IF(B3730="","",IFERROR(INDEX(Clay_Brands!$A$2:$FZ$601,279,Sync!$D$6)&amp;"",""))</f>
        <v/>
      </c>
      <c r="F3730" s="23" t="str">
        <f aca="false">IF(B3730="","","outreach_sent")</f>
        <v/>
      </c>
      <c r="G3730" s="23" t="str">
        <f aca="false">IF(B3730="","","")</f>
        <v/>
      </c>
      <c r="H3730" s="23" t="str">
        <f aca="false">IF(B3730="","","")</f>
        <v/>
      </c>
      <c r="I3730" s="23" t="str">
        <f aca="false">IF(B3730="","","")</f>
        <v/>
      </c>
      <c r="J3730" s="23" t="str">
        <f aca="false">IF(B3730="","","touch_1; "&amp;IFERROR(INDEX(Clay_Brands!$A$2:$FZ$601,279,Sync!$D$10)&amp;"","")&amp;"; "&amp;IFERROR(INDEX(Clay_Brands!$A$2:$FZ$601,279,Sync!$D$9)&amp;"",""))</f>
        <v/>
      </c>
      <c r="K3730" s="32" t="s">
        <v>1366</v>
      </c>
    </row>
    <row r="3731" customFormat="false" ht="15" hidden="false" customHeight="false" outlineLevel="0" collapsed="false">
      <c r="A3731" s="23" t="str">
        <f aca="false">IF(B3731="","",B3731+(15*1000+280)/10000000)</f>
        <v/>
      </c>
      <c r="B3731" s="35" t="str">
        <f aca="false">IF(AND(IFERROR(N(INDEX(Clay_Brands!$A$2:$FZ$601,280,Sync!$D$11)),0)&gt;0,IFERROR(INDEX(Clay_Brands!$A$2:$FZ$601,280,Sync!$D$5)&amp;"","")&lt;&gt;"",OR(LEFT(IFERROR(INDEX(Clay_Brands!$A$2:$FZ$601,280,Sync!$D$5)&amp;"",""),6)&lt;&gt;"SAMPLE",Config!$B$19="Y")),IFERROR(N(INDEX(Clay_Brands!$A$2:$FZ$601,280,Sync!$D$11)),0),"")</f>
        <v/>
      </c>
      <c r="C3731" s="23" t="str">
        <f aca="false">IF(B3731="","","brand")</f>
        <v/>
      </c>
      <c r="D3731" s="23" t="str">
        <f aca="false">IF(B3731="","",IFERROR(INDEX(Brand_Log!$DV$2:$DV$201,MATCH(IFERROR(INDEX(Clay_Brands!$A$2:$FZ$601,280,Sync!$D$5)&amp;"",""),Brand_Log!$A$2:$A$201,0))&amp;"",IFERROR(INDEX(Clay_Brands!$A$2:$FZ$601,280,Sync!$D$5)&amp;"","")&amp;""))</f>
        <v/>
      </c>
      <c r="E3731" s="23" t="str">
        <f aca="false">IF(B3731="","",IFERROR(INDEX(Clay_Brands!$A$2:$FZ$601,280,Sync!$D$6)&amp;"",""))</f>
        <v/>
      </c>
      <c r="F3731" s="23" t="str">
        <f aca="false">IF(B3731="","","outreach_sent")</f>
        <v/>
      </c>
      <c r="G3731" s="23" t="str">
        <f aca="false">IF(B3731="","","")</f>
        <v/>
      </c>
      <c r="H3731" s="23" t="str">
        <f aca="false">IF(B3731="","","")</f>
        <v/>
      </c>
      <c r="I3731" s="23" t="str">
        <f aca="false">IF(B3731="","","")</f>
        <v/>
      </c>
      <c r="J3731" s="23" t="str">
        <f aca="false">IF(B3731="","","touch_1; "&amp;IFERROR(INDEX(Clay_Brands!$A$2:$FZ$601,280,Sync!$D$10)&amp;"","")&amp;"; "&amp;IFERROR(INDEX(Clay_Brands!$A$2:$FZ$601,280,Sync!$D$9)&amp;"",""))</f>
        <v/>
      </c>
      <c r="K3731" s="32" t="s">
        <v>1366</v>
      </c>
    </row>
    <row r="3732" customFormat="false" ht="15" hidden="false" customHeight="false" outlineLevel="0" collapsed="false">
      <c r="A3732" s="23" t="str">
        <f aca="false">IF(B3732="","",B3732+(15*1000+281)/10000000)</f>
        <v/>
      </c>
      <c r="B3732" s="35" t="str">
        <f aca="false">IF(AND(IFERROR(N(INDEX(Clay_Brands!$A$2:$FZ$601,281,Sync!$D$11)),0)&gt;0,IFERROR(INDEX(Clay_Brands!$A$2:$FZ$601,281,Sync!$D$5)&amp;"","")&lt;&gt;"",OR(LEFT(IFERROR(INDEX(Clay_Brands!$A$2:$FZ$601,281,Sync!$D$5)&amp;"",""),6)&lt;&gt;"SAMPLE",Config!$B$19="Y")),IFERROR(N(INDEX(Clay_Brands!$A$2:$FZ$601,281,Sync!$D$11)),0),"")</f>
        <v/>
      </c>
      <c r="C3732" s="23" t="str">
        <f aca="false">IF(B3732="","","brand")</f>
        <v/>
      </c>
      <c r="D3732" s="23" t="str">
        <f aca="false">IF(B3732="","",IFERROR(INDEX(Brand_Log!$DV$2:$DV$201,MATCH(IFERROR(INDEX(Clay_Brands!$A$2:$FZ$601,281,Sync!$D$5)&amp;"",""),Brand_Log!$A$2:$A$201,0))&amp;"",IFERROR(INDEX(Clay_Brands!$A$2:$FZ$601,281,Sync!$D$5)&amp;"","")&amp;""))</f>
        <v/>
      </c>
      <c r="E3732" s="23" t="str">
        <f aca="false">IF(B3732="","",IFERROR(INDEX(Clay_Brands!$A$2:$FZ$601,281,Sync!$D$6)&amp;"",""))</f>
        <v/>
      </c>
      <c r="F3732" s="23" t="str">
        <f aca="false">IF(B3732="","","outreach_sent")</f>
        <v/>
      </c>
      <c r="G3732" s="23" t="str">
        <f aca="false">IF(B3732="","","")</f>
        <v/>
      </c>
      <c r="H3732" s="23" t="str">
        <f aca="false">IF(B3732="","","")</f>
        <v/>
      </c>
      <c r="I3732" s="23" t="str">
        <f aca="false">IF(B3732="","","")</f>
        <v/>
      </c>
      <c r="J3732" s="23" t="str">
        <f aca="false">IF(B3732="","","touch_1; "&amp;IFERROR(INDEX(Clay_Brands!$A$2:$FZ$601,281,Sync!$D$10)&amp;"","")&amp;"; "&amp;IFERROR(INDEX(Clay_Brands!$A$2:$FZ$601,281,Sync!$D$9)&amp;"",""))</f>
        <v/>
      </c>
      <c r="K3732" s="32" t="s">
        <v>1366</v>
      </c>
    </row>
    <row r="3733" customFormat="false" ht="15" hidden="false" customHeight="false" outlineLevel="0" collapsed="false">
      <c r="A3733" s="23" t="str">
        <f aca="false">IF(B3733="","",B3733+(15*1000+282)/10000000)</f>
        <v/>
      </c>
      <c r="B3733" s="35" t="str">
        <f aca="false">IF(AND(IFERROR(N(INDEX(Clay_Brands!$A$2:$FZ$601,282,Sync!$D$11)),0)&gt;0,IFERROR(INDEX(Clay_Brands!$A$2:$FZ$601,282,Sync!$D$5)&amp;"","")&lt;&gt;"",OR(LEFT(IFERROR(INDEX(Clay_Brands!$A$2:$FZ$601,282,Sync!$D$5)&amp;"",""),6)&lt;&gt;"SAMPLE",Config!$B$19="Y")),IFERROR(N(INDEX(Clay_Brands!$A$2:$FZ$601,282,Sync!$D$11)),0),"")</f>
        <v/>
      </c>
      <c r="C3733" s="23" t="str">
        <f aca="false">IF(B3733="","","brand")</f>
        <v/>
      </c>
      <c r="D3733" s="23" t="str">
        <f aca="false">IF(B3733="","",IFERROR(INDEX(Brand_Log!$DV$2:$DV$201,MATCH(IFERROR(INDEX(Clay_Brands!$A$2:$FZ$601,282,Sync!$D$5)&amp;"",""),Brand_Log!$A$2:$A$201,0))&amp;"",IFERROR(INDEX(Clay_Brands!$A$2:$FZ$601,282,Sync!$D$5)&amp;"","")&amp;""))</f>
        <v/>
      </c>
      <c r="E3733" s="23" t="str">
        <f aca="false">IF(B3733="","",IFERROR(INDEX(Clay_Brands!$A$2:$FZ$601,282,Sync!$D$6)&amp;"",""))</f>
        <v/>
      </c>
      <c r="F3733" s="23" t="str">
        <f aca="false">IF(B3733="","","outreach_sent")</f>
        <v/>
      </c>
      <c r="G3733" s="23" t="str">
        <f aca="false">IF(B3733="","","")</f>
        <v/>
      </c>
      <c r="H3733" s="23" t="str">
        <f aca="false">IF(B3733="","","")</f>
        <v/>
      </c>
      <c r="I3733" s="23" t="str">
        <f aca="false">IF(B3733="","","")</f>
        <v/>
      </c>
      <c r="J3733" s="23" t="str">
        <f aca="false">IF(B3733="","","touch_1; "&amp;IFERROR(INDEX(Clay_Brands!$A$2:$FZ$601,282,Sync!$D$10)&amp;"","")&amp;"; "&amp;IFERROR(INDEX(Clay_Brands!$A$2:$FZ$601,282,Sync!$D$9)&amp;"",""))</f>
        <v/>
      </c>
      <c r="K3733" s="32" t="s">
        <v>1366</v>
      </c>
    </row>
    <row r="3734" customFormat="false" ht="15" hidden="false" customHeight="false" outlineLevel="0" collapsed="false">
      <c r="A3734" s="23" t="str">
        <f aca="false">IF(B3734="","",B3734+(15*1000+283)/10000000)</f>
        <v/>
      </c>
      <c r="B3734" s="35" t="str">
        <f aca="false">IF(AND(IFERROR(N(INDEX(Clay_Brands!$A$2:$FZ$601,283,Sync!$D$11)),0)&gt;0,IFERROR(INDEX(Clay_Brands!$A$2:$FZ$601,283,Sync!$D$5)&amp;"","")&lt;&gt;"",OR(LEFT(IFERROR(INDEX(Clay_Brands!$A$2:$FZ$601,283,Sync!$D$5)&amp;"",""),6)&lt;&gt;"SAMPLE",Config!$B$19="Y")),IFERROR(N(INDEX(Clay_Brands!$A$2:$FZ$601,283,Sync!$D$11)),0),"")</f>
        <v/>
      </c>
      <c r="C3734" s="23" t="str">
        <f aca="false">IF(B3734="","","brand")</f>
        <v/>
      </c>
      <c r="D3734" s="23" t="str">
        <f aca="false">IF(B3734="","",IFERROR(INDEX(Brand_Log!$DV$2:$DV$201,MATCH(IFERROR(INDEX(Clay_Brands!$A$2:$FZ$601,283,Sync!$D$5)&amp;"",""),Brand_Log!$A$2:$A$201,0))&amp;"",IFERROR(INDEX(Clay_Brands!$A$2:$FZ$601,283,Sync!$D$5)&amp;"","")&amp;""))</f>
        <v/>
      </c>
      <c r="E3734" s="23" t="str">
        <f aca="false">IF(B3734="","",IFERROR(INDEX(Clay_Brands!$A$2:$FZ$601,283,Sync!$D$6)&amp;"",""))</f>
        <v/>
      </c>
      <c r="F3734" s="23" t="str">
        <f aca="false">IF(B3734="","","outreach_sent")</f>
        <v/>
      </c>
      <c r="G3734" s="23" t="str">
        <f aca="false">IF(B3734="","","")</f>
        <v/>
      </c>
      <c r="H3734" s="23" t="str">
        <f aca="false">IF(B3734="","","")</f>
        <v/>
      </c>
      <c r="I3734" s="23" t="str">
        <f aca="false">IF(B3734="","","")</f>
        <v/>
      </c>
      <c r="J3734" s="23" t="str">
        <f aca="false">IF(B3734="","","touch_1; "&amp;IFERROR(INDEX(Clay_Brands!$A$2:$FZ$601,283,Sync!$D$10)&amp;"","")&amp;"; "&amp;IFERROR(INDEX(Clay_Brands!$A$2:$FZ$601,283,Sync!$D$9)&amp;"",""))</f>
        <v/>
      </c>
      <c r="K3734" s="32" t="s">
        <v>1366</v>
      </c>
    </row>
    <row r="3735" customFormat="false" ht="15" hidden="false" customHeight="false" outlineLevel="0" collapsed="false">
      <c r="A3735" s="23" t="str">
        <f aca="false">IF(B3735="","",B3735+(15*1000+284)/10000000)</f>
        <v/>
      </c>
      <c r="B3735" s="35" t="str">
        <f aca="false">IF(AND(IFERROR(N(INDEX(Clay_Brands!$A$2:$FZ$601,284,Sync!$D$11)),0)&gt;0,IFERROR(INDEX(Clay_Brands!$A$2:$FZ$601,284,Sync!$D$5)&amp;"","")&lt;&gt;"",OR(LEFT(IFERROR(INDEX(Clay_Brands!$A$2:$FZ$601,284,Sync!$D$5)&amp;"",""),6)&lt;&gt;"SAMPLE",Config!$B$19="Y")),IFERROR(N(INDEX(Clay_Brands!$A$2:$FZ$601,284,Sync!$D$11)),0),"")</f>
        <v/>
      </c>
      <c r="C3735" s="23" t="str">
        <f aca="false">IF(B3735="","","brand")</f>
        <v/>
      </c>
      <c r="D3735" s="23" t="str">
        <f aca="false">IF(B3735="","",IFERROR(INDEX(Brand_Log!$DV$2:$DV$201,MATCH(IFERROR(INDEX(Clay_Brands!$A$2:$FZ$601,284,Sync!$D$5)&amp;"",""),Brand_Log!$A$2:$A$201,0))&amp;"",IFERROR(INDEX(Clay_Brands!$A$2:$FZ$601,284,Sync!$D$5)&amp;"","")&amp;""))</f>
        <v/>
      </c>
      <c r="E3735" s="23" t="str">
        <f aca="false">IF(B3735="","",IFERROR(INDEX(Clay_Brands!$A$2:$FZ$601,284,Sync!$D$6)&amp;"",""))</f>
        <v/>
      </c>
      <c r="F3735" s="23" t="str">
        <f aca="false">IF(B3735="","","outreach_sent")</f>
        <v/>
      </c>
      <c r="G3735" s="23" t="str">
        <f aca="false">IF(B3735="","","")</f>
        <v/>
      </c>
      <c r="H3735" s="23" t="str">
        <f aca="false">IF(B3735="","","")</f>
        <v/>
      </c>
      <c r="I3735" s="23" t="str">
        <f aca="false">IF(B3735="","","")</f>
        <v/>
      </c>
      <c r="J3735" s="23" t="str">
        <f aca="false">IF(B3735="","","touch_1; "&amp;IFERROR(INDEX(Clay_Brands!$A$2:$FZ$601,284,Sync!$D$10)&amp;"","")&amp;"; "&amp;IFERROR(INDEX(Clay_Brands!$A$2:$FZ$601,284,Sync!$D$9)&amp;"",""))</f>
        <v/>
      </c>
      <c r="K3735" s="32" t="s">
        <v>1366</v>
      </c>
    </row>
    <row r="3736" customFormat="false" ht="15" hidden="false" customHeight="false" outlineLevel="0" collapsed="false">
      <c r="A3736" s="23" t="str">
        <f aca="false">IF(B3736="","",B3736+(15*1000+285)/10000000)</f>
        <v/>
      </c>
      <c r="B3736" s="35" t="str">
        <f aca="false">IF(AND(IFERROR(N(INDEX(Clay_Brands!$A$2:$FZ$601,285,Sync!$D$11)),0)&gt;0,IFERROR(INDEX(Clay_Brands!$A$2:$FZ$601,285,Sync!$D$5)&amp;"","")&lt;&gt;"",OR(LEFT(IFERROR(INDEX(Clay_Brands!$A$2:$FZ$601,285,Sync!$D$5)&amp;"",""),6)&lt;&gt;"SAMPLE",Config!$B$19="Y")),IFERROR(N(INDEX(Clay_Brands!$A$2:$FZ$601,285,Sync!$D$11)),0),"")</f>
        <v/>
      </c>
      <c r="C3736" s="23" t="str">
        <f aca="false">IF(B3736="","","brand")</f>
        <v/>
      </c>
      <c r="D3736" s="23" t="str">
        <f aca="false">IF(B3736="","",IFERROR(INDEX(Brand_Log!$DV$2:$DV$201,MATCH(IFERROR(INDEX(Clay_Brands!$A$2:$FZ$601,285,Sync!$D$5)&amp;"",""),Brand_Log!$A$2:$A$201,0))&amp;"",IFERROR(INDEX(Clay_Brands!$A$2:$FZ$601,285,Sync!$D$5)&amp;"","")&amp;""))</f>
        <v/>
      </c>
      <c r="E3736" s="23" t="str">
        <f aca="false">IF(B3736="","",IFERROR(INDEX(Clay_Brands!$A$2:$FZ$601,285,Sync!$D$6)&amp;"",""))</f>
        <v/>
      </c>
      <c r="F3736" s="23" t="str">
        <f aca="false">IF(B3736="","","outreach_sent")</f>
        <v/>
      </c>
      <c r="G3736" s="23" t="str">
        <f aca="false">IF(B3736="","","")</f>
        <v/>
      </c>
      <c r="H3736" s="23" t="str">
        <f aca="false">IF(B3736="","","")</f>
        <v/>
      </c>
      <c r="I3736" s="23" t="str">
        <f aca="false">IF(B3736="","","")</f>
        <v/>
      </c>
      <c r="J3736" s="23" t="str">
        <f aca="false">IF(B3736="","","touch_1; "&amp;IFERROR(INDEX(Clay_Brands!$A$2:$FZ$601,285,Sync!$D$10)&amp;"","")&amp;"; "&amp;IFERROR(INDEX(Clay_Brands!$A$2:$FZ$601,285,Sync!$D$9)&amp;"",""))</f>
        <v/>
      </c>
      <c r="K3736" s="32" t="s">
        <v>1366</v>
      </c>
    </row>
    <row r="3737" customFormat="false" ht="15" hidden="false" customHeight="false" outlineLevel="0" collapsed="false">
      <c r="A3737" s="23" t="str">
        <f aca="false">IF(B3737="","",B3737+(15*1000+286)/10000000)</f>
        <v/>
      </c>
      <c r="B3737" s="35" t="str">
        <f aca="false">IF(AND(IFERROR(N(INDEX(Clay_Brands!$A$2:$FZ$601,286,Sync!$D$11)),0)&gt;0,IFERROR(INDEX(Clay_Brands!$A$2:$FZ$601,286,Sync!$D$5)&amp;"","")&lt;&gt;"",OR(LEFT(IFERROR(INDEX(Clay_Brands!$A$2:$FZ$601,286,Sync!$D$5)&amp;"",""),6)&lt;&gt;"SAMPLE",Config!$B$19="Y")),IFERROR(N(INDEX(Clay_Brands!$A$2:$FZ$601,286,Sync!$D$11)),0),"")</f>
        <v/>
      </c>
      <c r="C3737" s="23" t="str">
        <f aca="false">IF(B3737="","","brand")</f>
        <v/>
      </c>
      <c r="D3737" s="23" t="str">
        <f aca="false">IF(B3737="","",IFERROR(INDEX(Brand_Log!$DV$2:$DV$201,MATCH(IFERROR(INDEX(Clay_Brands!$A$2:$FZ$601,286,Sync!$D$5)&amp;"",""),Brand_Log!$A$2:$A$201,0))&amp;"",IFERROR(INDEX(Clay_Brands!$A$2:$FZ$601,286,Sync!$D$5)&amp;"","")&amp;""))</f>
        <v/>
      </c>
      <c r="E3737" s="23" t="str">
        <f aca="false">IF(B3737="","",IFERROR(INDEX(Clay_Brands!$A$2:$FZ$601,286,Sync!$D$6)&amp;"",""))</f>
        <v/>
      </c>
      <c r="F3737" s="23" t="str">
        <f aca="false">IF(B3737="","","outreach_sent")</f>
        <v/>
      </c>
      <c r="G3737" s="23" t="str">
        <f aca="false">IF(B3737="","","")</f>
        <v/>
      </c>
      <c r="H3737" s="23" t="str">
        <f aca="false">IF(B3737="","","")</f>
        <v/>
      </c>
      <c r="I3737" s="23" t="str">
        <f aca="false">IF(B3737="","","")</f>
        <v/>
      </c>
      <c r="J3737" s="23" t="str">
        <f aca="false">IF(B3737="","","touch_1; "&amp;IFERROR(INDEX(Clay_Brands!$A$2:$FZ$601,286,Sync!$D$10)&amp;"","")&amp;"; "&amp;IFERROR(INDEX(Clay_Brands!$A$2:$FZ$601,286,Sync!$D$9)&amp;"",""))</f>
        <v/>
      </c>
      <c r="K3737" s="32" t="s">
        <v>1366</v>
      </c>
    </row>
    <row r="3738" customFormat="false" ht="15" hidden="false" customHeight="false" outlineLevel="0" collapsed="false">
      <c r="A3738" s="23" t="str">
        <f aca="false">IF(B3738="","",B3738+(15*1000+287)/10000000)</f>
        <v/>
      </c>
      <c r="B3738" s="35" t="str">
        <f aca="false">IF(AND(IFERROR(N(INDEX(Clay_Brands!$A$2:$FZ$601,287,Sync!$D$11)),0)&gt;0,IFERROR(INDEX(Clay_Brands!$A$2:$FZ$601,287,Sync!$D$5)&amp;"","")&lt;&gt;"",OR(LEFT(IFERROR(INDEX(Clay_Brands!$A$2:$FZ$601,287,Sync!$D$5)&amp;"",""),6)&lt;&gt;"SAMPLE",Config!$B$19="Y")),IFERROR(N(INDEX(Clay_Brands!$A$2:$FZ$601,287,Sync!$D$11)),0),"")</f>
        <v/>
      </c>
      <c r="C3738" s="23" t="str">
        <f aca="false">IF(B3738="","","brand")</f>
        <v/>
      </c>
      <c r="D3738" s="23" t="str">
        <f aca="false">IF(B3738="","",IFERROR(INDEX(Brand_Log!$DV$2:$DV$201,MATCH(IFERROR(INDEX(Clay_Brands!$A$2:$FZ$601,287,Sync!$D$5)&amp;"",""),Brand_Log!$A$2:$A$201,0))&amp;"",IFERROR(INDEX(Clay_Brands!$A$2:$FZ$601,287,Sync!$D$5)&amp;"","")&amp;""))</f>
        <v/>
      </c>
      <c r="E3738" s="23" t="str">
        <f aca="false">IF(B3738="","",IFERROR(INDEX(Clay_Brands!$A$2:$FZ$601,287,Sync!$D$6)&amp;"",""))</f>
        <v/>
      </c>
      <c r="F3738" s="23" t="str">
        <f aca="false">IF(B3738="","","outreach_sent")</f>
        <v/>
      </c>
      <c r="G3738" s="23" t="str">
        <f aca="false">IF(B3738="","","")</f>
        <v/>
      </c>
      <c r="H3738" s="23" t="str">
        <f aca="false">IF(B3738="","","")</f>
        <v/>
      </c>
      <c r="I3738" s="23" t="str">
        <f aca="false">IF(B3738="","","")</f>
        <v/>
      </c>
      <c r="J3738" s="23" t="str">
        <f aca="false">IF(B3738="","","touch_1; "&amp;IFERROR(INDEX(Clay_Brands!$A$2:$FZ$601,287,Sync!$D$10)&amp;"","")&amp;"; "&amp;IFERROR(INDEX(Clay_Brands!$A$2:$FZ$601,287,Sync!$D$9)&amp;"",""))</f>
        <v/>
      </c>
      <c r="K3738" s="32" t="s">
        <v>1366</v>
      </c>
    </row>
    <row r="3739" customFormat="false" ht="15" hidden="false" customHeight="false" outlineLevel="0" collapsed="false">
      <c r="A3739" s="23" t="str">
        <f aca="false">IF(B3739="","",B3739+(15*1000+288)/10000000)</f>
        <v/>
      </c>
      <c r="B3739" s="35" t="str">
        <f aca="false">IF(AND(IFERROR(N(INDEX(Clay_Brands!$A$2:$FZ$601,288,Sync!$D$11)),0)&gt;0,IFERROR(INDEX(Clay_Brands!$A$2:$FZ$601,288,Sync!$D$5)&amp;"","")&lt;&gt;"",OR(LEFT(IFERROR(INDEX(Clay_Brands!$A$2:$FZ$601,288,Sync!$D$5)&amp;"",""),6)&lt;&gt;"SAMPLE",Config!$B$19="Y")),IFERROR(N(INDEX(Clay_Brands!$A$2:$FZ$601,288,Sync!$D$11)),0),"")</f>
        <v/>
      </c>
      <c r="C3739" s="23" t="str">
        <f aca="false">IF(B3739="","","brand")</f>
        <v/>
      </c>
      <c r="D3739" s="23" t="str">
        <f aca="false">IF(B3739="","",IFERROR(INDEX(Brand_Log!$DV$2:$DV$201,MATCH(IFERROR(INDEX(Clay_Brands!$A$2:$FZ$601,288,Sync!$D$5)&amp;"",""),Brand_Log!$A$2:$A$201,0))&amp;"",IFERROR(INDEX(Clay_Brands!$A$2:$FZ$601,288,Sync!$D$5)&amp;"","")&amp;""))</f>
        <v/>
      </c>
      <c r="E3739" s="23" t="str">
        <f aca="false">IF(B3739="","",IFERROR(INDEX(Clay_Brands!$A$2:$FZ$601,288,Sync!$D$6)&amp;"",""))</f>
        <v/>
      </c>
      <c r="F3739" s="23" t="str">
        <f aca="false">IF(B3739="","","outreach_sent")</f>
        <v/>
      </c>
      <c r="G3739" s="23" t="str">
        <f aca="false">IF(B3739="","","")</f>
        <v/>
      </c>
      <c r="H3739" s="23" t="str">
        <f aca="false">IF(B3739="","","")</f>
        <v/>
      </c>
      <c r="I3739" s="23" t="str">
        <f aca="false">IF(B3739="","","")</f>
        <v/>
      </c>
      <c r="J3739" s="23" t="str">
        <f aca="false">IF(B3739="","","touch_1; "&amp;IFERROR(INDEX(Clay_Brands!$A$2:$FZ$601,288,Sync!$D$10)&amp;"","")&amp;"; "&amp;IFERROR(INDEX(Clay_Brands!$A$2:$FZ$601,288,Sync!$D$9)&amp;"",""))</f>
        <v/>
      </c>
      <c r="K3739" s="32" t="s">
        <v>1366</v>
      </c>
    </row>
    <row r="3740" customFormat="false" ht="15" hidden="false" customHeight="false" outlineLevel="0" collapsed="false">
      <c r="A3740" s="23" t="str">
        <f aca="false">IF(B3740="","",B3740+(15*1000+289)/10000000)</f>
        <v/>
      </c>
      <c r="B3740" s="35" t="str">
        <f aca="false">IF(AND(IFERROR(N(INDEX(Clay_Brands!$A$2:$FZ$601,289,Sync!$D$11)),0)&gt;0,IFERROR(INDEX(Clay_Brands!$A$2:$FZ$601,289,Sync!$D$5)&amp;"","")&lt;&gt;"",OR(LEFT(IFERROR(INDEX(Clay_Brands!$A$2:$FZ$601,289,Sync!$D$5)&amp;"",""),6)&lt;&gt;"SAMPLE",Config!$B$19="Y")),IFERROR(N(INDEX(Clay_Brands!$A$2:$FZ$601,289,Sync!$D$11)),0),"")</f>
        <v/>
      </c>
      <c r="C3740" s="23" t="str">
        <f aca="false">IF(B3740="","","brand")</f>
        <v/>
      </c>
      <c r="D3740" s="23" t="str">
        <f aca="false">IF(B3740="","",IFERROR(INDEX(Brand_Log!$DV$2:$DV$201,MATCH(IFERROR(INDEX(Clay_Brands!$A$2:$FZ$601,289,Sync!$D$5)&amp;"",""),Brand_Log!$A$2:$A$201,0))&amp;"",IFERROR(INDEX(Clay_Brands!$A$2:$FZ$601,289,Sync!$D$5)&amp;"","")&amp;""))</f>
        <v/>
      </c>
      <c r="E3740" s="23" t="str">
        <f aca="false">IF(B3740="","",IFERROR(INDEX(Clay_Brands!$A$2:$FZ$601,289,Sync!$D$6)&amp;"",""))</f>
        <v/>
      </c>
      <c r="F3740" s="23" t="str">
        <f aca="false">IF(B3740="","","outreach_sent")</f>
        <v/>
      </c>
      <c r="G3740" s="23" t="str">
        <f aca="false">IF(B3740="","","")</f>
        <v/>
      </c>
      <c r="H3740" s="23" t="str">
        <f aca="false">IF(B3740="","","")</f>
        <v/>
      </c>
      <c r="I3740" s="23" t="str">
        <f aca="false">IF(B3740="","","")</f>
        <v/>
      </c>
      <c r="J3740" s="23" t="str">
        <f aca="false">IF(B3740="","","touch_1; "&amp;IFERROR(INDEX(Clay_Brands!$A$2:$FZ$601,289,Sync!$D$10)&amp;"","")&amp;"; "&amp;IFERROR(INDEX(Clay_Brands!$A$2:$FZ$601,289,Sync!$D$9)&amp;"",""))</f>
        <v/>
      </c>
      <c r="K3740" s="32" t="s">
        <v>1366</v>
      </c>
    </row>
    <row r="3741" customFormat="false" ht="15" hidden="false" customHeight="false" outlineLevel="0" collapsed="false">
      <c r="A3741" s="23" t="str">
        <f aca="false">IF(B3741="","",B3741+(15*1000+290)/10000000)</f>
        <v/>
      </c>
      <c r="B3741" s="35" t="str">
        <f aca="false">IF(AND(IFERROR(N(INDEX(Clay_Brands!$A$2:$FZ$601,290,Sync!$D$11)),0)&gt;0,IFERROR(INDEX(Clay_Brands!$A$2:$FZ$601,290,Sync!$D$5)&amp;"","")&lt;&gt;"",OR(LEFT(IFERROR(INDEX(Clay_Brands!$A$2:$FZ$601,290,Sync!$D$5)&amp;"",""),6)&lt;&gt;"SAMPLE",Config!$B$19="Y")),IFERROR(N(INDEX(Clay_Brands!$A$2:$FZ$601,290,Sync!$D$11)),0),"")</f>
        <v/>
      </c>
      <c r="C3741" s="23" t="str">
        <f aca="false">IF(B3741="","","brand")</f>
        <v/>
      </c>
      <c r="D3741" s="23" t="str">
        <f aca="false">IF(B3741="","",IFERROR(INDEX(Brand_Log!$DV$2:$DV$201,MATCH(IFERROR(INDEX(Clay_Brands!$A$2:$FZ$601,290,Sync!$D$5)&amp;"",""),Brand_Log!$A$2:$A$201,0))&amp;"",IFERROR(INDEX(Clay_Brands!$A$2:$FZ$601,290,Sync!$D$5)&amp;"","")&amp;""))</f>
        <v/>
      </c>
      <c r="E3741" s="23" t="str">
        <f aca="false">IF(B3741="","",IFERROR(INDEX(Clay_Brands!$A$2:$FZ$601,290,Sync!$D$6)&amp;"",""))</f>
        <v/>
      </c>
      <c r="F3741" s="23" t="str">
        <f aca="false">IF(B3741="","","outreach_sent")</f>
        <v/>
      </c>
      <c r="G3741" s="23" t="str">
        <f aca="false">IF(B3741="","","")</f>
        <v/>
      </c>
      <c r="H3741" s="23" t="str">
        <f aca="false">IF(B3741="","","")</f>
        <v/>
      </c>
      <c r="I3741" s="23" t="str">
        <f aca="false">IF(B3741="","","")</f>
        <v/>
      </c>
      <c r="J3741" s="23" t="str">
        <f aca="false">IF(B3741="","","touch_1; "&amp;IFERROR(INDEX(Clay_Brands!$A$2:$FZ$601,290,Sync!$D$10)&amp;"","")&amp;"; "&amp;IFERROR(INDEX(Clay_Brands!$A$2:$FZ$601,290,Sync!$D$9)&amp;"",""))</f>
        <v/>
      </c>
      <c r="K3741" s="32" t="s">
        <v>1366</v>
      </c>
    </row>
    <row r="3742" customFormat="false" ht="15" hidden="false" customHeight="false" outlineLevel="0" collapsed="false">
      <c r="A3742" s="23" t="str">
        <f aca="false">IF(B3742="","",B3742+(15*1000+291)/10000000)</f>
        <v/>
      </c>
      <c r="B3742" s="35" t="str">
        <f aca="false">IF(AND(IFERROR(N(INDEX(Clay_Brands!$A$2:$FZ$601,291,Sync!$D$11)),0)&gt;0,IFERROR(INDEX(Clay_Brands!$A$2:$FZ$601,291,Sync!$D$5)&amp;"","")&lt;&gt;"",OR(LEFT(IFERROR(INDEX(Clay_Brands!$A$2:$FZ$601,291,Sync!$D$5)&amp;"",""),6)&lt;&gt;"SAMPLE",Config!$B$19="Y")),IFERROR(N(INDEX(Clay_Brands!$A$2:$FZ$601,291,Sync!$D$11)),0),"")</f>
        <v/>
      </c>
      <c r="C3742" s="23" t="str">
        <f aca="false">IF(B3742="","","brand")</f>
        <v/>
      </c>
      <c r="D3742" s="23" t="str">
        <f aca="false">IF(B3742="","",IFERROR(INDEX(Brand_Log!$DV$2:$DV$201,MATCH(IFERROR(INDEX(Clay_Brands!$A$2:$FZ$601,291,Sync!$D$5)&amp;"",""),Brand_Log!$A$2:$A$201,0))&amp;"",IFERROR(INDEX(Clay_Brands!$A$2:$FZ$601,291,Sync!$D$5)&amp;"","")&amp;""))</f>
        <v/>
      </c>
      <c r="E3742" s="23" t="str">
        <f aca="false">IF(B3742="","",IFERROR(INDEX(Clay_Brands!$A$2:$FZ$601,291,Sync!$D$6)&amp;"",""))</f>
        <v/>
      </c>
      <c r="F3742" s="23" t="str">
        <f aca="false">IF(B3742="","","outreach_sent")</f>
        <v/>
      </c>
      <c r="G3742" s="23" t="str">
        <f aca="false">IF(B3742="","","")</f>
        <v/>
      </c>
      <c r="H3742" s="23" t="str">
        <f aca="false">IF(B3742="","","")</f>
        <v/>
      </c>
      <c r="I3742" s="23" t="str">
        <f aca="false">IF(B3742="","","")</f>
        <v/>
      </c>
      <c r="J3742" s="23" t="str">
        <f aca="false">IF(B3742="","","touch_1; "&amp;IFERROR(INDEX(Clay_Brands!$A$2:$FZ$601,291,Sync!$D$10)&amp;"","")&amp;"; "&amp;IFERROR(INDEX(Clay_Brands!$A$2:$FZ$601,291,Sync!$D$9)&amp;"",""))</f>
        <v/>
      </c>
      <c r="K3742" s="32" t="s">
        <v>1366</v>
      </c>
    </row>
    <row r="3743" customFormat="false" ht="15" hidden="false" customHeight="false" outlineLevel="0" collapsed="false">
      <c r="A3743" s="23" t="str">
        <f aca="false">IF(B3743="","",B3743+(15*1000+292)/10000000)</f>
        <v/>
      </c>
      <c r="B3743" s="35" t="str">
        <f aca="false">IF(AND(IFERROR(N(INDEX(Clay_Brands!$A$2:$FZ$601,292,Sync!$D$11)),0)&gt;0,IFERROR(INDEX(Clay_Brands!$A$2:$FZ$601,292,Sync!$D$5)&amp;"","")&lt;&gt;"",OR(LEFT(IFERROR(INDEX(Clay_Brands!$A$2:$FZ$601,292,Sync!$D$5)&amp;"",""),6)&lt;&gt;"SAMPLE",Config!$B$19="Y")),IFERROR(N(INDEX(Clay_Brands!$A$2:$FZ$601,292,Sync!$D$11)),0),"")</f>
        <v/>
      </c>
      <c r="C3743" s="23" t="str">
        <f aca="false">IF(B3743="","","brand")</f>
        <v/>
      </c>
      <c r="D3743" s="23" t="str">
        <f aca="false">IF(B3743="","",IFERROR(INDEX(Brand_Log!$DV$2:$DV$201,MATCH(IFERROR(INDEX(Clay_Brands!$A$2:$FZ$601,292,Sync!$D$5)&amp;"",""),Brand_Log!$A$2:$A$201,0))&amp;"",IFERROR(INDEX(Clay_Brands!$A$2:$FZ$601,292,Sync!$D$5)&amp;"","")&amp;""))</f>
        <v/>
      </c>
      <c r="E3743" s="23" t="str">
        <f aca="false">IF(B3743="","",IFERROR(INDEX(Clay_Brands!$A$2:$FZ$601,292,Sync!$D$6)&amp;"",""))</f>
        <v/>
      </c>
      <c r="F3743" s="23" t="str">
        <f aca="false">IF(B3743="","","outreach_sent")</f>
        <v/>
      </c>
      <c r="G3743" s="23" t="str">
        <f aca="false">IF(B3743="","","")</f>
        <v/>
      </c>
      <c r="H3743" s="23" t="str">
        <f aca="false">IF(B3743="","","")</f>
        <v/>
      </c>
      <c r="I3743" s="23" t="str">
        <f aca="false">IF(B3743="","","")</f>
        <v/>
      </c>
      <c r="J3743" s="23" t="str">
        <f aca="false">IF(B3743="","","touch_1; "&amp;IFERROR(INDEX(Clay_Brands!$A$2:$FZ$601,292,Sync!$D$10)&amp;"","")&amp;"; "&amp;IFERROR(INDEX(Clay_Brands!$A$2:$FZ$601,292,Sync!$D$9)&amp;"",""))</f>
        <v/>
      </c>
      <c r="K3743" s="32" t="s">
        <v>1366</v>
      </c>
    </row>
    <row r="3744" customFormat="false" ht="15" hidden="false" customHeight="false" outlineLevel="0" collapsed="false">
      <c r="A3744" s="23" t="str">
        <f aca="false">IF(B3744="","",B3744+(15*1000+293)/10000000)</f>
        <v/>
      </c>
      <c r="B3744" s="35" t="str">
        <f aca="false">IF(AND(IFERROR(N(INDEX(Clay_Brands!$A$2:$FZ$601,293,Sync!$D$11)),0)&gt;0,IFERROR(INDEX(Clay_Brands!$A$2:$FZ$601,293,Sync!$D$5)&amp;"","")&lt;&gt;"",OR(LEFT(IFERROR(INDEX(Clay_Brands!$A$2:$FZ$601,293,Sync!$D$5)&amp;"",""),6)&lt;&gt;"SAMPLE",Config!$B$19="Y")),IFERROR(N(INDEX(Clay_Brands!$A$2:$FZ$601,293,Sync!$D$11)),0),"")</f>
        <v/>
      </c>
      <c r="C3744" s="23" t="str">
        <f aca="false">IF(B3744="","","brand")</f>
        <v/>
      </c>
      <c r="D3744" s="23" t="str">
        <f aca="false">IF(B3744="","",IFERROR(INDEX(Brand_Log!$DV$2:$DV$201,MATCH(IFERROR(INDEX(Clay_Brands!$A$2:$FZ$601,293,Sync!$D$5)&amp;"",""),Brand_Log!$A$2:$A$201,0))&amp;"",IFERROR(INDEX(Clay_Brands!$A$2:$FZ$601,293,Sync!$D$5)&amp;"","")&amp;""))</f>
        <v/>
      </c>
      <c r="E3744" s="23" t="str">
        <f aca="false">IF(B3744="","",IFERROR(INDEX(Clay_Brands!$A$2:$FZ$601,293,Sync!$D$6)&amp;"",""))</f>
        <v/>
      </c>
      <c r="F3744" s="23" t="str">
        <f aca="false">IF(B3744="","","outreach_sent")</f>
        <v/>
      </c>
      <c r="G3744" s="23" t="str">
        <f aca="false">IF(B3744="","","")</f>
        <v/>
      </c>
      <c r="H3744" s="23" t="str">
        <f aca="false">IF(B3744="","","")</f>
        <v/>
      </c>
      <c r="I3744" s="23" t="str">
        <f aca="false">IF(B3744="","","")</f>
        <v/>
      </c>
      <c r="J3744" s="23" t="str">
        <f aca="false">IF(B3744="","","touch_1; "&amp;IFERROR(INDEX(Clay_Brands!$A$2:$FZ$601,293,Sync!$D$10)&amp;"","")&amp;"; "&amp;IFERROR(INDEX(Clay_Brands!$A$2:$FZ$601,293,Sync!$D$9)&amp;"",""))</f>
        <v/>
      </c>
      <c r="K3744" s="32" t="s">
        <v>1366</v>
      </c>
    </row>
    <row r="3745" customFormat="false" ht="15" hidden="false" customHeight="false" outlineLevel="0" collapsed="false">
      <c r="A3745" s="23" t="str">
        <f aca="false">IF(B3745="","",B3745+(15*1000+294)/10000000)</f>
        <v/>
      </c>
      <c r="B3745" s="35" t="str">
        <f aca="false">IF(AND(IFERROR(N(INDEX(Clay_Brands!$A$2:$FZ$601,294,Sync!$D$11)),0)&gt;0,IFERROR(INDEX(Clay_Brands!$A$2:$FZ$601,294,Sync!$D$5)&amp;"","")&lt;&gt;"",OR(LEFT(IFERROR(INDEX(Clay_Brands!$A$2:$FZ$601,294,Sync!$D$5)&amp;"",""),6)&lt;&gt;"SAMPLE",Config!$B$19="Y")),IFERROR(N(INDEX(Clay_Brands!$A$2:$FZ$601,294,Sync!$D$11)),0),"")</f>
        <v/>
      </c>
      <c r="C3745" s="23" t="str">
        <f aca="false">IF(B3745="","","brand")</f>
        <v/>
      </c>
      <c r="D3745" s="23" t="str">
        <f aca="false">IF(B3745="","",IFERROR(INDEX(Brand_Log!$DV$2:$DV$201,MATCH(IFERROR(INDEX(Clay_Brands!$A$2:$FZ$601,294,Sync!$D$5)&amp;"",""),Brand_Log!$A$2:$A$201,0))&amp;"",IFERROR(INDEX(Clay_Brands!$A$2:$FZ$601,294,Sync!$D$5)&amp;"","")&amp;""))</f>
        <v/>
      </c>
      <c r="E3745" s="23" t="str">
        <f aca="false">IF(B3745="","",IFERROR(INDEX(Clay_Brands!$A$2:$FZ$601,294,Sync!$D$6)&amp;"",""))</f>
        <v/>
      </c>
      <c r="F3745" s="23" t="str">
        <f aca="false">IF(B3745="","","outreach_sent")</f>
        <v/>
      </c>
      <c r="G3745" s="23" t="str">
        <f aca="false">IF(B3745="","","")</f>
        <v/>
      </c>
      <c r="H3745" s="23" t="str">
        <f aca="false">IF(B3745="","","")</f>
        <v/>
      </c>
      <c r="I3745" s="23" t="str">
        <f aca="false">IF(B3745="","","")</f>
        <v/>
      </c>
      <c r="J3745" s="23" t="str">
        <f aca="false">IF(B3745="","","touch_1; "&amp;IFERROR(INDEX(Clay_Brands!$A$2:$FZ$601,294,Sync!$D$10)&amp;"","")&amp;"; "&amp;IFERROR(INDEX(Clay_Brands!$A$2:$FZ$601,294,Sync!$D$9)&amp;"",""))</f>
        <v/>
      </c>
      <c r="K3745" s="32" t="s">
        <v>1366</v>
      </c>
    </row>
    <row r="3746" customFormat="false" ht="15" hidden="false" customHeight="false" outlineLevel="0" collapsed="false">
      <c r="A3746" s="23" t="str">
        <f aca="false">IF(B3746="","",B3746+(15*1000+295)/10000000)</f>
        <v/>
      </c>
      <c r="B3746" s="35" t="str">
        <f aca="false">IF(AND(IFERROR(N(INDEX(Clay_Brands!$A$2:$FZ$601,295,Sync!$D$11)),0)&gt;0,IFERROR(INDEX(Clay_Brands!$A$2:$FZ$601,295,Sync!$D$5)&amp;"","")&lt;&gt;"",OR(LEFT(IFERROR(INDEX(Clay_Brands!$A$2:$FZ$601,295,Sync!$D$5)&amp;"",""),6)&lt;&gt;"SAMPLE",Config!$B$19="Y")),IFERROR(N(INDEX(Clay_Brands!$A$2:$FZ$601,295,Sync!$D$11)),0),"")</f>
        <v/>
      </c>
      <c r="C3746" s="23" t="str">
        <f aca="false">IF(B3746="","","brand")</f>
        <v/>
      </c>
      <c r="D3746" s="23" t="str">
        <f aca="false">IF(B3746="","",IFERROR(INDEX(Brand_Log!$DV$2:$DV$201,MATCH(IFERROR(INDEX(Clay_Brands!$A$2:$FZ$601,295,Sync!$D$5)&amp;"",""),Brand_Log!$A$2:$A$201,0))&amp;"",IFERROR(INDEX(Clay_Brands!$A$2:$FZ$601,295,Sync!$D$5)&amp;"","")&amp;""))</f>
        <v/>
      </c>
      <c r="E3746" s="23" t="str">
        <f aca="false">IF(B3746="","",IFERROR(INDEX(Clay_Brands!$A$2:$FZ$601,295,Sync!$D$6)&amp;"",""))</f>
        <v/>
      </c>
      <c r="F3746" s="23" t="str">
        <f aca="false">IF(B3746="","","outreach_sent")</f>
        <v/>
      </c>
      <c r="G3746" s="23" t="str">
        <f aca="false">IF(B3746="","","")</f>
        <v/>
      </c>
      <c r="H3746" s="23" t="str">
        <f aca="false">IF(B3746="","","")</f>
        <v/>
      </c>
      <c r="I3746" s="23" t="str">
        <f aca="false">IF(B3746="","","")</f>
        <v/>
      </c>
      <c r="J3746" s="23" t="str">
        <f aca="false">IF(B3746="","","touch_1; "&amp;IFERROR(INDEX(Clay_Brands!$A$2:$FZ$601,295,Sync!$D$10)&amp;"","")&amp;"; "&amp;IFERROR(INDEX(Clay_Brands!$A$2:$FZ$601,295,Sync!$D$9)&amp;"",""))</f>
        <v/>
      </c>
      <c r="K3746" s="32" t="s">
        <v>1366</v>
      </c>
    </row>
    <row r="3747" customFormat="false" ht="15" hidden="false" customHeight="false" outlineLevel="0" collapsed="false">
      <c r="A3747" s="23" t="str">
        <f aca="false">IF(B3747="","",B3747+(15*1000+296)/10000000)</f>
        <v/>
      </c>
      <c r="B3747" s="35" t="str">
        <f aca="false">IF(AND(IFERROR(N(INDEX(Clay_Brands!$A$2:$FZ$601,296,Sync!$D$11)),0)&gt;0,IFERROR(INDEX(Clay_Brands!$A$2:$FZ$601,296,Sync!$D$5)&amp;"","")&lt;&gt;"",OR(LEFT(IFERROR(INDEX(Clay_Brands!$A$2:$FZ$601,296,Sync!$D$5)&amp;"",""),6)&lt;&gt;"SAMPLE",Config!$B$19="Y")),IFERROR(N(INDEX(Clay_Brands!$A$2:$FZ$601,296,Sync!$D$11)),0),"")</f>
        <v/>
      </c>
      <c r="C3747" s="23" t="str">
        <f aca="false">IF(B3747="","","brand")</f>
        <v/>
      </c>
      <c r="D3747" s="23" t="str">
        <f aca="false">IF(B3747="","",IFERROR(INDEX(Brand_Log!$DV$2:$DV$201,MATCH(IFERROR(INDEX(Clay_Brands!$A$2:$FZ$601,296,Sync!$D$5)&amp;"",""),Brand_Log!$A$2:$A$201,0))&amp;"",IFERROR(INDEX(Clay_Brands!$A$2:$FZ$601,296,Sync!$D$5)&amp;"","")&amp;""))</f>
        <v/>
      </c>
      <c r="E3747" s="23" t="str">
        <f aca="false">IF(B3747="","",IFERROR(INDEX(Clay_Brands!$A$2:$FZ$601,296,Sync!$D$6)&amp;"",""))</f>
        <v/>
      </c>
      <c r="F3747" s="23" t="str">
        <f aca="false">IF(B3747="","","outreach_sent")</f>
        <v/>
      </c>
      <c r="G3747" s="23" t="str">
        <f aca="false">IF(B3747="","","")</f>
        <v/>
      </c>
      <c r="H3747" s="23" t="str">
        <f aca="false">IF(B3747="","","")</f>
        <v/>
      </c>
      <c r="I3747" s="23" t="str">
        <f aca="false">IF(B3747="","","")</f>
        <v/>
      </c>
      <c r="J3747" s="23" t="str">
        <f aca="false">IF(B3747="","","touch_1; "&amp;IFERROR(INDEX(Clay_Brands!$A$2:$FZ$601,296,Sync!$D$10)&amp;"","")&amp;"; "&amp;IFERROR(INDEX(Clay_Brands!$A$2:$FZ$601,296,Sync!$D$9)&amp;"",""))</f>
        <v/>
      </c>
      <c r="K3747" s="32" t="s">
        <v>1366</v>
      </c>
    </row>
    <row r="3748" customFormat="false" ht="15" hidden="false" customHeight="false" outlineLevel="0" collapsed="false">
      <c r="A3748" s="23" t="str">
        <f aca="false">IF(B3748="","",B3748+(15*1000+297)/10000000)</f>
        <v/>
      </c>
      <c r="B3748" s="35" t="str">
        <f aca="false">IF(AND(IFERROR(N(INDEX(Clay_Brands!$A$2:$FZ$601,297,Sync!$D$11)),0)&gt;0,IFERROR(INDEX(Clay_Brands!$A$2:$FZ$601,297,Sync!$D$5)&amp;"","")&lt;&gt;"",OR(LEFT(IFERROR(INDEX(Clay_Brands!$A$2:$FZ$601,297,Sync!$D$5)&amp;"",""),6)&lt;&gt;"SAMPLE",Config!$B$19="Y")),IFERROR(N(INDEX(Clay_Brands!$A$2:$FZ$601,297,Sync!$D$11)),0),"")</f>
        <v/>
      </c>
      <c r="C3748" s="23" t="str">
        <f aca="false">IF(B3748="","","brand")</f>
        <v/>
      </c>
      <c r="D3748" s="23" t="str">
        <f aca="false">IF(B3748="","",IFERROR(INDEX(Brand_Log!$DV$2:$DV$201,MATCH(IFERROR(INDEX(Clay_Brands!$A$2:$FZ$601,297,Sync!$D$5)&amp;"",""),Brand_Log!$A$2:$A$201,0))&amp;"",IFERROR(INDEX(Clay_Brands!$A$2:$FZ$601,297,Sync!$D$5)&amp;"","")&amp;""))</f>
        <v/>
      </c>
      <c r="E3748" s="23" t="str">
        <f aca="false">IF(B3748="","",IFERROR(INDEX(Clay_Brands!$A$2:$FZ$601,297,Sync!$D$6)&amp;"",""))</f>
        <v/>
      </c>
      <c r="F3748" s="23" t="str">
        <f aca="false">IF(B3748="","","outreach_sent")</f>
        <v/>
      </c>
      <c r="G3748" s="23" t="str">
        <f aca="false">IF(B3748="","","")</f>
        <v/>
      </c>
      <c r="H3748" s="23" t="str">
        <f aca="false">IF(B3748="","","")</f>
        <v/>
      </c>
      <c r="I3748" s="23" t="str">
        <f aca="false">IF(B3748="","","")</f>
        <v/>
      </c>
      <c r="J3748" s="23" t="str">
        <f aca="false">IF(B3748="","","touch_1; "&amp;IFERROR(INDEX(Clay_Brands!$A$2:$FZ$601,297,Sync!$D$10)&amp;"","")&amp;"; "&amp;IFERROR(INDEX(Clay_Brands!$A$2:$FZ$601,297,Sync!$D$9)&amp;"",""))</f>
        <v/>
      </c>
      <c r="K3748" s="32" t="s">
        <v>1366</v>
      </c>
    </row>
    <row r="3749" customFormat="false" ht="15" hidden="false" customHeight="false" outlineLevel="0" collapsed="false">
      <c r="A3749" s="23" t="str">
        <f aca="false">IF(B3749="","",B3749+(15*1000+298)/10000000)</f>
        <v/>
      </c>
      <c r="B3749" s="35" t="str">
        <f aca="false">IF(AND(IFERROR(N(INDEX(Clay_Brands!$A$2:$FZ$601,298,Sync!$D$11)),0)&gt;0,IFERROR(INDEX(Clay_Brands!$A$2:$FZ$601,298,Sync!$D$5)&amp;"","")&lt;&gt;"",OR(LEFT(IFERROR(INDEX(Clay_Brands!$A$2:$FZ$601,298,Sync!$D$5)&amp;"",""),6)&lt;&gt;"SAMPLE",Config!$B$19="Y")),IFERROR(N(INDEX(Clay_Brands!$A$2:$FZ$601,298,Sync!$D$11)),0),"")</f>
        <v/>
      </c>
      <c r="C3749" s="23" t="str">
        <f aca="false">IF(B3749="","","brand")</f>
        <v/>
      </c>
      <c r="D3749" s="23" t="str">
        <f aca="false">IF(B3749="","",IFERROR(INDEX(Brand_Log!$DV$2:$DV$201,MATCH(IFERROR(INDEX(Clay_Brands!$A$2:$FZ$601,298,Sync!$D$5)&amp;"",""),Brand_Log!$A$2:$A$201,0))&amp;"",IFERROR(INDEX(Clay_Brands!$A$2:$FZ$601,298,Sync!$D$5)&amp;"","")&amp;""))</f>
        <v/>
      </c>
      <c r="E3749" s="23" t="str">
        <f aca="false">IF(B3749="","",IFERROR(INDEX(Clay_Brands!$A$2:$FZ$601,298,Sync!$D$6)&amp;"",""))</f>
        <v/>
      </c>
      <c r="F3749" s="23" t="str">
        <f aca="false">IF(B3749="","","outreach_sent")</f>
        <v/>
      </c>
      <c r="G3749" s="23" t="str">
        <f aca="false">IF(B3749="","","")</f>
        <v/>
      </c>
      <c r="H3749" s="23" t="str">
        <f aca="false">IF(B3749="","","")</f>
        <v/>
      </c>
      <c r="I3749" s="23" t="str">
        <f aca="false">IF(B3749="","","")</f>
        <v/>
      </c>
      <c r="J3749" s="23" t="str">
        <f aca="false">IF(B3749="","","touch_1; "&amp;IFERROR(INDEX(Clay_Brands!$A$2:$FZ$601,298,Sync!$D$10)&amp;"","")&amp;"; "&amp;IFERROR(INDEX(Clay_Brands!$A$2:$FZ$601,298,Sync!$D$9)&amp;"",""))</f>
        <v/>
      </c>
      <c r="K3749" s="32" t="s">
        <v>1366</v>
      </c>
    </row>
    <row r="3750" customFormat="false" ht="15" hidden="false" customHeight="false" outlineLevel="0" collapsed="false">
      <c r="A3750" s="23" t="str">
        <f aca="false">IF(B3750="","",B3750+(15*1000+299)/10000000)</f>
        <v/>
      </c>
      <c r="B3750" s="35" t="str">
        <f aca="false">IF(AND(IFERROR(N(INDEX(Clay_Brands!$A$2:$FZ$601,299,Sync!$D$11)),0)&gt;0,IFERROR(INDEX(Clay_Brands!$A$2:$FZ$601,299,Sync!$D$5)&amp;"","")&lt;&gt;"",OR(LEFT(IFERROR(INDEX(Clay_Brands!$A$2:$FZ$601,299,Sync!$D$5)&amp;"",""),6)&lt;&gt;"SAMPLE",Config!$B$19="Y")),IFERROR(N(INDEX(Clay_Brands!$A$2:$FZ$601,299,Sync!$D$11)),0),"")</f>
        <v/>
      </c>
      <c r="C3750" s="23" t="str">
        <f aca="false">IF(B3750="","","brand")</f>
        <v/>
      </c>
      <c r="D3750" s="23" t="str">
        <f aca="false">IF(B3750="","",IFERROR(INDEX(Brand_Log!$DV$2:$DV$201,MATCH(IFERROR(INDEX(Clay_Brands!$A$2:$FZ$601,299,Sync!$D$5)&amp;"",""),Brand_Log!$A$2:$A$201,0))&amp;"",IFERROR(INDEX(Clay_Brands!$A$2:$FZ$601,299,Sync!$D$5)&amp;"","")&amp;""))</f>
        <v/>
      </c>
      <c r="E3750" s="23" t="str">
        <f aca="false">IF(B3750="","",IFERROR(INDEX(Clay_Brands!$A$2:$FZ$601,299,Sync!$D$6)&amp;"",""))</f>
        <v/>
      </c>
      <c r="F3750" s="23" t="str">
        <f aca="false">IF(B3750="","","outreach_sent")</f>
        <v/>
      </c>
      <c r="G3750" s="23" t="str">
        <f aca="false">IF(B3750="","","")</f>
        <v/>
      </c>
      <c r="H3750" s="23" t="str">
        <f aca="false">IF(B3750="","","")</f>
        <v/>
      </c>
      <c r="I3750" s="23" t="str">
        <f aca="false">IF(B3750="","","")</f>
        <v/>
      </c>
      <c r="J3750" s="23" t="str">
        <f aca="false">IF(B3750="","","touch_1; "&amp;IFERROR(INDEX(Clay_Brands!$A$2:$FZ$601,299,Sync!$D$10)&amp;"","")&amp;"; "&amp;IFERROR(INDEX(Clay_Brands!$A$2:$FZ$601,299,Sync!$D$9)&amp;"",""))</f>
        <v/>
      </c>
      <c r="K3750" s="32" t="s">
        <v>1366</v>
      </c>
    </row>
    <row r="3751" customFormat="false" ht="15" hidden="false" customHeight="false" outlineLevel="0" collapsed="false">
      <c r="A3751" s="23" t="str">
        <f aca="false">IF(B3751="","",B3751+(15*1000+300)/10000000)</f>
        <v/>
      </c>
      <c r="B3751" s="35" t="str">
        <f aca="false">IF(AND(IFERROR(N(INDEX(Clay_Brands!$A$2:$FZ$601,300,Sync!$D$11)),0)&gt;0,IFERROR(INDEX(Clay_Brands!$A$2:$FZ$601,300,Sync!$D$5)&amp;"","")&lt;&gt;"",OR(LEFT(IFERROR(INDEX(Clay_Brands!$A$2:$FZ$601,300,Sync!$D$5)&amp;"",""),6)&lt;&gt;"SAMPLE",Config!$B$19="Y")),IFERROR(N(INDEX(Clay_Brands!$A$2:$FZ$601,300,Sync!$D$11)),0),"")</f>
        <v/>
      </c>
      <c r="C3751" s="23" t="str">
        <f aca="false">IF(B3751="","","brand")</f>
        <v/>
      </c>
      <c r="D3751" s="23" t="str">
        <f aca="false">IF(B3751="","",IFERROR(INDEX(Brand_Log!$DV$2:$DV$201,MATCH(IFERROR(INDEX(Clay_Brands!$A$2:$FZ$601,300,Sync!$D$5)&amp;"",""),Brand_Log!$A$2:$A$201,0))&amp;"",IFERROR(INDEX(Clay_Brands!$A$2:$FZ$601,300,Sync!$D$5)&amp;"","")&amp;""))</f>
        <v/>
      </c>
      <c r="E3751" s="23" t="str">
        <f aca="false">IF(B3751="","",IFERROR(INDEX(Clay_Brands!$A$2:$FZ$601,300,Sync!$D$6)&amp;"",""))</f>
        <v/>
      </c>
      <c r="F3751" s="23" t="str">
        <f aca="false">IF(B3751="","","outreach_sent")</f>
        <v/>
      </c>
      <c r="G3751" s="23" t="str">
        <f aca="false">IF(B3751="","","")</f>
        <v/>
      </c>
      <c r="H3751" s="23" t="str">
        <f aca="false">IF(B3751="","","")</f>
        <v/>
      </c>
      <c r="I3751" s="23" t="str">
        <f aca="false">IF(B3751="","","")</f>
        <v/>
      </c>
      <c r="J3751" s="23" t="str">
        <f aca="false">IF(B3751="","","touch_1; "&amp;IFERROR(INDEX(Clay_Brands!$A$2:$FZ$601,300,Sync!$D$10)&amp;"","")&amp;"; "&amp;IFERROR(INDEX(Clay_Brands!$A$2:$FZ$601,300,Sync!$D$9)&amp;"",""))</f>
        <v/>
      </c>
      <c r="K3751" s="32" t="s">
        <v>1366</v>
      </c>
    </row>
    <row r="3752" customFormat="false" ht="15" hidden="false" customHeight="false" outlineLevel="0" collapsed="false">
      <c r="A3752" s="23" t="str">
        <f aca="false">IF(B3752="","",B3752+(15*1000+301)/10000000)</f>
        <v/>
      </c>
      <c r="B3752" s="35" t="str">
        <f aca="false">IF(AND(IFERROR(N(INDEX(Clay_Brands!$A$2:$FZ$601,301,Sync!$D$11)),0)&gt;0,IFERROR(INDEX(Clay_Brands!$A$2:$FZ$601,301,Sync!$D$5)&amp;"","")&lt;&gt;"",OR(LEFT(IFERROR(INDEX(Clay_Brands!$A$2:$FZ$601,301,Sync!$D$5)&amp;"",""),6)&lt;&gt;"SAMPLE",Config!$B$19="Y")),IFERROR(N(INDEX(Clay_Brands!$A$2:$FZ$601,301,Sync!$D$11)),0),"")</f>
        <v/>
      </c>
      <c r="C3752" s="23" t="str">
        <f aca="false">IF(B3752="","","brand")</f>
        <v/>
      </c>
      <c r="D3752" s="23" t="str">
        <f aca="false">IF(B3752="","",IFERROR(INDEX(Brand_Log!$DV$2:$DV$201,MATCH(IFERROR(INDEX(Clay_Brands!$A$2:$FZ$601,301,Sync!$D$5)&amp;"",""),Brand_Log!$A$2:$A$201,0))&amp;"",IFERROR(INDEX(Clay_Brands!$A$2:$FZ$601,301,Sync!$D$5)&amp;"","")&amp;""))</f>
        <v/>
      </c>
      <c r="E3752" s="23" t="str">
        <f aca="false">IF(B3752="","",IFERROR(INDEX(Clay_Brands!$A$2:$FZ$601,301,Sync!$D$6)&amp;"",""))</f>
        <v/>
      </c>
      <c r="F3752" s="23" t="str">
        <f aca="false">IF(B3752="","","outreach_sent")</f>
        <v/>
      </c>
      <c r="G3752" s="23" t="str">
        <f aca="false">IF(B3752="","","")</f>
        <v/>
      </c>
      <c r="H3752" s="23" t="str">
        <f aca="false">IF(B3752="","","")</f>
        <v/>
      </c>
      <c r="I3752" s="23" t="str">
        <f aca="false">IF(B3752="","","")</f>
        <v/>
      </c>
      <c r="J3752" s="23" t="str">
        <f aca="false">IF(B3752="","","touch_1; "&amp;IFERROR(INDEX(Clay_Brands!$A$2:$FZ$601,301,Sync!$D$10)&amp;"","")&amp;"; "&amp;IFERROR(INDEX(Clay_Brands!$A$2:$FZ$601,301,Sync!$D$9)&amp;"",""))</f>
        <v/>
      </c>
      <c r="K3752" s="32" t="s">
        <v>1366</v>
      </c>
    </row>
    <row r="3753" customFormat="false" ht="15" hidden="false" customHeight="false" outlineLevel="0" collapsed="false">
      <c r="A3753" s="23" t="str">
        <f aca="false">IF(B3753="","",B3753+(15*1000+302)/10000000)</f>
        <v/>
      </c>
      <c r="B3753" s="35" t="str">
        <f aca="false">IF(AND(IFERROR(N(INDEX(Clay_Brands!$A$2:$FZ$601,302,Sync!$D$11)),0)&gt;0,IFERROR(INDEX(Clay_Brands!$A$2:$FZ$601,302,Sync!$D$5)&amp;"","")&lt;&gt;"",OR(LEFT(IFERROR(INDEX(Clay_Brands!$A$2:$FZ$601,302,Sync!$D$5)&amp;"",""),6)&lt;&gt;"SAMPLE",Config!$B$19="Y")),IFERROR(N(INDEX(Clay_Brands!$A$2:$FZ$601,302,Sync!$D$11)),0),"")</f>
        <v/>
      </c>
      <c r="C3753" s="23" t="str">
        <f aca="false">IF(B3753="","","brand")</f>
        <v/>
      </c>
      <c r="D3753" s="23" t="str">
        <f aca="false">IF(B3753="","",IFERROR(INDEX(Brand_Log!$DV$2:$DV$201,MATCH(IFERROR(INDEX(Clay_Brands!$A$2:$FZ$601,302,Sync!$D$5)&amp;"",""),Brand_Log!$A$2:$A$201,0))&amp;"",IFERROR(INDEX(Clay_Brands!$A$2:$FZ$601,302,Sync!$D$5)&amp;"","")&amp;""))</f>
        <v/>
      </c>
      <c r="E3753" s="23" t="str">
        <f aca="false">IF(B3753="","",IFERROR(INDEX(Clay_Brands!$A$2:$FZ$601,302,Sync!$D$6)&amp;"",""))</f>
        <v/>
      </c>
      <c r="F3753" s="23" t="str">
        <f aca="false">IF(B3753="","","outreach_sent")</f>
        <v/>
      </c>
      <c r="G3753" s="23" t="str">
        <f aca="false">IF(B3753="","","")</f>
        <v/>
      </c>
      <c r="H3753" s="23" t="str">
        <f aca="false">IF(B3753="","","")</f>
        <v/>
      </c>
      <c r="I3753" s="23" t="str">
        <f aca="false">IF(B3753="","","")</f>
        <v/>
      </c>
      <c r="J3753" s="23" t="str">
        <f aca="false">IF(B3753="","","touch_1; "&amp;IFERROR(INDEX(Clay_Brands!$A$2:$FZ$601,302,Sync!$D$10)&amp;"","")&amp;"; "&amp;IFERROR(INDEX(Clay_Brands!$A$2:$FZ$601,302,Sync!$D$9)&amp;"",""))</f>
        <v/>
      </c>
      <c r="K3753" s="32" t="s">
        <v>1366</v>
      </c>
    </row>
    <row r="3754" customFormat="false" ht="15" hidden="false" customHeight="false" outlineLevel="0" collapsed="false">
      <c r="A3754" s="23" t="str">
        <f aca="false">IF(B3754="","",B3754+(15*1000+303)/10000000)</f>
        <v/>
      </c>
      <c r="B3754" s="35" t="str">
        <f aca="false">IF(AND(IFERROR(N(INDEX(Clay_Brands!$A$2:$FZ$601,303,Sync!$D$11)),0)&gt;0,IFERROR(INDEX(Clay_Brands!$A$2:$FZ$601,303,Sync!$D$5)&amp;"","")&lt;&gt;"",OR(LEFT(IFERROR(INDEX(Clay_Brands!$A$2:$FZ$601,303,Sync!$D$5)&amp;"",""),6)&lt;&gt;"SAMPLE",Config!$B$19="Y")),IFERROR(N(INDEX(Clay_Brands!$A$2:$FZ$601,303,Sync!$D$11)),0),"")</f>
        <v/>
      </c>
      <c r="C3754" s="23" t="str">
        <f aca="false">IF(B3754="","","brand")</f>
        <v/>
      </c>
      <c r="D3754" s="23" t="str">
        <f aca="false">IF(B3754="","",IFERROR(INDEX(Brand_Log!$DV$2:$DV$201,MATCH(IFERROR(INDEX(Clay_Brands!$A$2:$FZ$601,303,Sync!$D$5)&amp;"",""),Brand_Log!$A$2:$A$201,0))&amp;"",IFERROR(INDEX(Clay_Brands!$A$2:$FZ$601,303,Sync!$D$5)&amp;"","")&amp;""))</f>
        <v/>
      </c>
      <c r="E3754" s="23" t="str">
        <f aca="false">IF(B3754="","",IFERROR(INDEX(Clay_Brands!$A$2:$FZ$601,303,Sync!$D$6)&amp;"",""))</f>
        <v/>
      </c>
      <c r="F3754" s="23" t="str">
        <f aca="false">IF(B3754="","","outreach_sent")</f>
        <v/>
      </c>
      <c r="G3754" s="23" t="str">
        <f aca="false">IF(B3754="","","")</f>
        <v/>
      </c>
      <c r="H3754" s="23" t="str">
        <f aca="false">IF(B3754="","","")</f>
        <v/>
      </c>
      <c r="I3754" s="23" t="str">
        <f aca="false">IF(B3754="","","")</f>
        <v/>
      </c>
      <c r="J3754" s="23" t="str">
        <f aca="false">IF(B3754="","","touch_1; "&amp;IFERROR(INDEX(Clay_Brands!$A$2:$FZ$601,303,Sync!$D$10)&amp;"","")&amp;"; "&amp;IFERROR(INDEX(Clay_Brands!$A$2:$FZ$601,303,Sync!$D$9)&amp;"",""))</f>
        <v/>
      </c>
      <c r="K3754" s="32" t="s">
        <v>1366</v>
      </c>
    </row>
    <row r="3755" customFormat="false" ht="15" hidden="false" customHeight="false" outlineLevel="0" collapsed="false">
      <c r="A3755" s="23" t="str">
        <f aca="false">IF(B3755="","",B3755+(15*1000+304)/10000000)</f>
        <v/>
      </c>
      <c r="B3755" s="35" t="str">
        <f aca="false">IF(AND(IFERROR(N(INDEX(Clay_Brands!$A$2:$FZ$601,304,Sync!$D$11)),0)&gt;0,IFERROR(INDEX(Clay_Brands!$A$2:$FZ$601,304,Sync!$D$5)&amp;"","")&lt;&gt;"",OR(LEFT(IFERROR(INDEX(Clay_Brands!$A$2:$FZ$601,304,Sync!$D$5)&amp;"",""),6)&lt;&gt;"SAMPLE",Config!$B$19="Y")),IFERROR(N(INDEX(Clay_Brands!$A$2:$FZ$601,304,Sync!$D$11)),0),"")</f>
        <v/>
      </c>
      <c r="C3755" s="23" t="str">
        <f aca="false">IF(B3755="","","brand")</f>
        <v/>
      </c>
      <c r="D3755" s="23" t="str">
        <f aca="false">IF(B3755="","",IFERROR(INDEX(Brand_Log!$DV$2:$DV$201,MATCH(IFERROR(INDEX(Clay_Brands!$A$2:$FZ$601,304,Sync!$D$5)&amp;"",""),Brand_Log!$A$2:$A$201,0))&amp;"",IFERROR(INDEX(Clay_Brands!$A$2:$FZ$601,304,Sync!$D$5)&amp;"","")&amp;""))</f>
        <v/>
      </c>
      <c r="E3755" s="23" t="str">
        <f aca="false">IF(B3755="","",IFERROR(INDEX(Clay_Brands!$A$2:$FZ$601,304,Sync!$D$6)&amp;"",""))</f>
        <v/>
      </c>
      <c r="F3755" s="23" t="str">
        <f aca="false">IF(B3755="","","outreach_sent")</f>
        <v/>
      </c>
      <c r="G3755" s="23" t="str">
        <f aca="false">IF(B3755="","","")</f>
        <v/>
      </c>
      <c r="H3755" s="23" t="str">
        <f aca="false">IF(B3755="","","")</f>
        <v/>
      </c>
      <c r="I3755" s="23" t="str">
        <f aca="false">IF(B3755="","","")</f>
        <v/>
      </c>
      <c r="J3755" s="23" t="str">
        <f aca="false">IF(B3755="","","touch_1; "&amp;IFERROR(INDEX(Clay_Brands!$A$2:$FZ$601,304,Sync!$D$10)&amp;"","")&amp;"; "&amp;IFERROR(INDEX(Clay_Brands!$A$2:$FZ$601,304,Sync!$D$9)&amp;"",""))</f>
        <v/>
      </c>
      <c r="K3755" s="32" t="s">
        <v>1366</v>
      </c>
    </row>
    <row r="3756" customFormat="false" ht="15" hidden="false" customHeight="false" outlineLevel="0" collapsed="false">
      <c r="A3756" s="23" t="str">
        <f aca="false">IF(B3756="","",B3756+(15*1000+305)/10000000)</f>
        <v/>
      </c>
      <c r="B3756" s="35" t="str">
        <f aca="false">IF(AND(IFERROR(N(INDEX(Clay_Brands!$A$2:$FZ$601,305,Sync!$D$11)),0)&gt;0,IFERROR(INDEX(Clay_Brands!$A$2:$FZ$601,305,Sync!$D$5)&amp;"","")&lt;&gt;"",OR(LEFT(IFERROR(INDEX(Clay_Brands!$A$2:$FZ$601,305,Sync!$D$5)&amp;"",""),6)&lt;&gt;"SAMPLE",Config!$B$19="Y")),IFERROR(N(INDEX(Clay_Brands!$A$2:$FZ$601,305,Sync!$D$11)),0),"")</f>
        <v/>
      </c>
      <c r="C3756" s="23" t="str">
        <f aca="false">IF(B3756="","","brand")</f>
        <v/>
      </c>
      <c r="D3756" s="23" t="str">
        <f aca="false">IF(B3756="","",IFERROR(INDEX(Brand_Log!$DV$2:$DV$201,MATCH(IFERROR(INDEX(Clay_Brands!$A$2:$FZ$601,305,Sync!$D$5)&amp;"",""),Brand_Log!$A$2:$A$201,0))&amp;"",IFERROR(INDEX(Clay_Brands!$A$2:$FZ$601,305,Sync!$D$5)&amp;"","")&amp;""))</f>
        <v/>
      </c>
      <c r="E3756" s="23" t="str">
        <f aca="false">IF(B3756="","",IFERROR(INDEX(Clay_Brands!$A$2:$FZ$601,305,Sync!$D$6)&amp;"",""))</f>
        <v/>
      </c>
      <c r="F3756" s="23" t="str">
        <f aca="false">IF(B3756="","","outreach_sent")</f>
        <v/>
      </c>
      <c r="G3756" s="23" t="str">
        <f aca="false">IF(B3756="","","")</f>
        <v/>
      </c>
      <c r="H3756" s="23" t="str">
        <f aca="false">IF(B3756="","","")</f>
        <v/>
      </c>
      <c r="I3756" s="23" t="str">
        <f aca="false">IF(B3756="","","")</f>
        <v/>
      </c>
      <c r="J3756" s="23" t="str">
        <f aca="false">IF(B3756="","","touch_1; "&amp;IFERROR(INDEX(Clay_Brands!$A$2:$FZ$601,305,Sync!$D$10)&amp;"","")&amp;"; "&amp;IFERROR(INDEX(Clay_Brands!$A$2:$FZ$601,305,Sync!$D$9)&amp;"",""))</f>
        <v/>
      </c>
      <c r="K3756" s="32" t="s">
        <v>1366</v>
      </c>
    </row>
    <row r="3757" customFormat="false" ht="15" hidden="false" customHeight="false" outlineLevel="0" collapsed="false">
      <c r="A3757" s="23" t="str">
        <f aca="false">IF(B3757="","",B3757+(15*1000+306)/10000000)</f>
        <v/>
      </c>
      <c r="B3757" s="35" t="str">
        <f aca="false">IF(AND(IFERROR(N(INDEX(Clay_Brands!$A$2:$FZ$601,306,Sync!$D$11)),0)&gt;0,IFERROR(INDEX(Clay_Brands!$A$2:$FZ$601,306,Sync!$D$5)&amp;"","")&lt;&gt;"",OR(LEFT(IFERROR(INDEX(Clay_Brands!$A$2:$FZ$601,306,Sync!$D$5)&amp;"",""),6)&lt;&gt;"SAMPLE",Config!$B$19="Y")),IFERROR(N(INDEX(Clay_Brands!$A$2:$FZ$601,306,Sync!$D$11)),0),"")</f>
        <v/>
      </c>
      <c r="C3757" s="23" t="str">
        <f aca="false">IF(B3757="","","brand")</f>
        <v/>
      </c>
      <c r="D3757" s="23" t="str">
        <f aca="false">IF(B3757="","",IFERROR(INDEX(Brand_Log!$DV$2:$DV$201,MATCH(IFERROR(INDEX(Clay_Brands!$A$2:$FZ$601,306,Sync!$D$5)&amp;"",""),Brand_Log!$A$2:$A$201,0))&amp;"",IFERROR(INDEX(Clay_Brands!$A$2:$FZ$601,306,Sync!$D$5)&amp;"","")&amp;""))</f>
        <v/>
      </c>
      <c r="E3757" s="23" t="str">
        <f aca="false">IF(B3757="","",IFERROR(INDEX(Clay_Brands!$A$2:$FZ$601,306,Sync!$D$6)&amp;"",""))</f>
        <v/>
      </c>
      <c r="F3757" s="23" t="str">
        <f aca="false">IF(B3757="","","outreach_sent")</f>
        <v/>
      </c>
      <c r="G3757" s="23" t="str">
        <f aca="false">IF(B3757="","","")</f>
        <v/>
      </c>
      <c r="H3757" s="23" t="str">
        <f aca="false">IF(B3757="","","")</f>
        <v/>
      </c>
      <c r="I3757" s="23" t="str">
        <f aca="false">IF(B3757="","","")</f>
        <v/>
      </c>
      <c r="J3757" s="23" t="str">
        <f aca="false">IF(B3757="","","touch_1; "&amp;IFERROR(INDEX(Clay_Brands!$A$2:$FZ$601,306,Sync!$D$10)&amp;"","")&amp;"; "&amp;IFERROR(INDEX(Clay_Brands!$A$2:$FZ$601,306,Sync!$D$9)&amp;"",""))</f>
        <v/>
      </c>
      <c r="K3757" s="32" t="s">
        <v>1366</v>
      </c>
    </row>
    <row r="3758" customFormat="false" ht="15" hidden="false" customHeight="false" outlineLevel="0" collapsed="false">
      <c r="A3758" s="23" t="str">
        <f aca="false">IF(B3758="","",B3758+(15*1000+307)/10000000)</f>
        <v/>
      </c>
      <c r="B3758" s="35" t="str">
        <f aca="false">IF(AND(IFERROR(N(INDEX(Clay_Brands!$A$2:$FZ$601,307,Sync!$D$11)),0)&gt;0,IFERROR(INDEX(Clay_Brands!$A$2:$FZ$601,307,Sync!$D$5)&amp;"","")&lt;&gt;"",OR(LEFT(IFERROR(INDEX(Clay_Brands!$A$2:$FZ$601,307,Sync!$D$5)&amp;"",""),6)&lt;&gt;"SAMPLE",Config!$B$19="Y")),IFERROR(N(INDEX(Clay_Brands!$A$2:$FZ$601,307,Sync!$D$11)),0),"")</f>
        <v/>
      </c>
      <c r="C3758" s="23" t="str">
        <f aca="false">IF(B3758="","","brand")</f>
        <v/>
      </c>
      <c r="D3758" s="23" t="str">
        <f aca="false">IF(B3758="","",IFERROR(INDEX(Brand_Log!$DV$2:$DV$201,MATCH(IFERROR(INDEX(Clay_Brands!$A$2:$FZ$601,307,Sync!$D$5)&amp;"",""),Brand_Log!$A$2:$A$201,0))&amp;"",IFERROR(INDEX(Clay_Brands!$A$2:$FZ$601,307,Sync!$D$5)&amp;"","")&amp;""))</f>
        <v/>
      </c>
      <c r="E3758" s="23" t="str">
        <f aca="false">IF(B3758="","",IFERROR(INDEX(Clay_Brands!$A$2:$FZ$601,307,Sync!$D$6)&amp;"",""))</f>
        <v/>
      </c>
      <c r="F3758" s="23" t="str">
        <f aca="false">IF(B3758="","","outreach_sent")</f>
        <v/>
      </c>
      <c r="G3758" s="23" t="str">
        <f aca="false">IF(B3758="","","")</f>
        <v/>
      </c>
      <c r="H3758" s="23" t="str">
        <f aca="false">IF(B3758="","","")</f>
        <v/>
      </c>
      <c r="I3758" s="23" t="str">
        <f aca="false">IF(B3758="","","")</f>
        <v/>
      </c>
      <c r="J3758" s="23" t="str">
        <f aca="false">IF(B3758="","","touch_1; "&amp;IFERROR(INDEX(Clay_Brands!$A$2:$FZ$601,307,Sync!$D$10)&amp;"","")&amp;"; "&amp;IFERROR(INDEX(Clay_Brands!$A$2:$FZ$601,307,Sync!$D$9)&amp;"",""))</f>
        <v/>
      </c>
      <c r="K3758" s="32" t="s">
        <v>1366</v>
      </c>
    </row>
    <row r="3759" customFormat="false" ht="15" hidden="false" customHeight="false" outlineLevel="0" collapsed="false">
      <c r="A3759" s="23" t="str">
        <f aca="false">IF(B3759="","",B3759+(15*1000+308)/10000000)</f>
        <v/>
      </c>
      <c r="B3759" s="35" t="str">
        <f aca="false">IF(AND(IFERROR(N(INDEX(Clay_Brands!$A$2:$FZ$601,308,Sync!$D$11)),0)&gt;0,IFERROR(INDEX(Clay_Brands!$A$2:$FZ$601,308,Sync!$D$5)&amp;"","")&lt;&gt;"",OR(LEFT(IFERROR(INDEX(Clay_Brands!$A$2:$FZ$601,308,Sync!$D$5)&amp;"",""),6)&lt;&gt;"SAMPLE",Config!$B$19="Y")),IFERROR(N(INDEX(Clay_Brands!$A$2:$FZ$601,308,Sync!$D$11)),0),"")</f>
        <v/>
      </c>
      <c r="C3759" s="23" t="str">
        <f aca="false">IF(B3759="","","brand")</f>
        <v/>
      </c>
      <c r="D3759" s="23" t="str">
        <f aca="false">IF(B3759="","",IFERROR(INDEX(Brand_Log!$DV$2:$DV$201,MATCH(IFERROR(INDEX(Clay_Brands!$A$2:$FZ$601,308,Sync!$D$5)&amp;"",""),Brand_Log!$A$2:$A$201,0))&amp;"",IFERROR(INDEX(Clay_Brands!$A$2:$FZ$601,308,Sync!$D$5)&amp;"","")&amp;""))</f>
        <v/>
      </c>
      <c r="E3759" s="23" t="str">
        <f aca="false">IF(B3759="","",IFERROR(INDEX(Clay_Brands!$A$2:$FZ$601,308,Sync!$D$6)&amp;"",""))</f>
        <v/>
      </c>
      <c r="F3759" s="23" t="str">
        <f aca="false">IF(B3759="","","outreach_sent")</f>
        <v/>
      </c>
      <c r="G3759" s="23" t="str">
        <f aca="false">IF(B3759="","","")</f>
        <v/>
      </c>
      <c r="H3759" s="23" t="str">
        <f aca="false">IF(B3759="","","")</f>
        <v/>
      </c>
      <c r="I3759" s="23" t="str">
        <f aca="false">IF(B3759="","","")</f>
        <v/>
      </c>
      <c r="J3759" s="23" t="str">
        <f aca="false">IF(B3759="","","touch_1; "&amp;IFERROR(INDEX(Clay_Brands!$A$2:$FZ$601,308,Sync!$D$10)&amp;"","")&amp;"; "&amp;IFERROR(INDEX(Clay_Brands!$A$2:$FZ$601,308,Sync!$D$9)&amp;"",""))</f>
        <v/>
      </c>
      <c r="K3759" s="32" t="s">
        <v>1366</v>
      </c>
    </row>
    <row r="3760" customFormat="false" ht="15" hidden="false" customHeight="false" outlineLevel="0" collapsed="false">
      <c r="A3760" s="23" t="str">
        <f aca="false">IF(B3760="","",B3760+(15*1000+309)/10000000)</f>
        <v/>
      </c>
      <c r="B3760" s="35" t="str">
        <f aca="false">IF(AND(IFERROR(N(INDEX(Clay_Brands!$A$2:$FZ$601,309,Sync!$D$11)),0)&gt;0,IFERROR(INDEX(Clay_Brands!$A$2:$FZ$601,309,Sync!$D$5)&amp;"","")&lt;&gt;"",OR(LEFT(IFERROR(INDEX(Clay_Brands!$A$2:$FZ$601,309,Sync!$D$5)&amp;"",""),6)&lt;&gt;"SAMPLE",Config!$B$19="Y")),IFERROR(N(INDEX(Clay_Brands!$A$2:$FZ$601,309,Sync!$D$11)),0),"")</f>
        <v/>
      </c>
      <c r="C3760" s="23" t="str">
        <f aca="false">IF(B3760="","","brand")</f>
        <v/>
      </c>
      <c r="D3760" s="23" t="str">
        <f aca="false">IF(B3760="","",IFERROR(INDEX(Brand_Log!$DV$2:$DV$201,MATCH(IFERROR(INDEX(Clay_Brands!$A$2:$FZ$601,309,Sync!$D$5)&amp;"",""),Brand_Log!$A$2:$A$201,0))&amp;"",IFERROR(INDEX(Clay_Brands!$A$2:$FZ$601,309,Sync!$D$5)&amp;"","")&amp;""))</f>
        <v/>
      </c>
      <c r="E3760" s="23" t="str">
        <f aca="false">IF(B3760="","",IFERROR(INDEX(Clay_Brands!$A$2:$FZ$601,309,Sync!$D$6)&amp;"",""))</f>
        <v/>
      </c>
      <c r="F3760" s="23" t="str">
        <f aca="false">IF(B3760="","","outreach_sent")</f>
        <v/>
      </c>
      <c r="G3760" s="23" t="str">
        <f aca="false">IF(B3760="","","")</f>
        <v/>
      </c>
      <c r="H3760" s="23" t="str">
        <f aca="false">IF(B3760="","","")</f>
        <v/>
      </c>
      <c r="I3760" s="23" t="str">
        <f aca="false">IF(B3760="","","")</f>
        <v/>
      </c>
      <c r="J3760" s="23" t="str">
        <f aca="false">IF(B3760="","","touch_1; "&amp;IFERROR(INDEX(Clay_Brands!$A$2:$FZ$601,309,Sync!$D$10)&amp;"","")&amp;"; "&amp;IFERROR(INDEX(Clay_Brands!$A$2:$FZ$601,309,Sync!$D$9)&amp;"",""))</f>
        <v/>
      </c>
      <c r="K3760" s="32" t="s">
        <v>1366</v>
      </c>
    </row>
    <row r="3761" customFormat="false" ht="15" hidden="false" customHeight="false" outlineLevel="0" collapsed="false">
      <c r="A3761" s="23" t="str">
        <f aca="false">IF(B3761="","",B3761+(15*1000+310)/10000000)</f>
        <v/>
      </c>
      <c r="B3761" s="35" t="str">
        <f aca="false">IF(AND(IFERROR(N(INDEX(Clay_Brands!$A$2:$FZ$601,310,Sync!$D$11)),0)&gt;0,IFERROR(INDEX(Clay_Brands!$A$2:$FZ$601,310,Sync!$D$5)&amp;"","")&lt;&gt;"",OR(LEFT(IFERROR(INDEX(Clay_Brands!$A$2:$FZ$601,310,Sync!$D$5)&amp;"",""),6)&lt;&gt;"SAMPLE",Config!$B$19="Y")),IFERROR(N(INDEX(Clay_Brands!$A$2:$FZ$601,310,Sync!$D$11)),0),"")</f>
        <v/>
      </c>
      <c r="C3761" s="23" t="str">
        <f aca="false">IF(B3761="","","brand")</f>
        <v/>
      </c>
      <c r="D3761" s="23" t="str">
        <f aca="false">IF(B3761="","",IFERROR(INDEX(Brand_Log!$DV$2:$DV$201,MATCH(IFERROR(INDEX(Clay_Brands!$A$2:$FZ$601,310,Sync!$D$5)&amp;"",""),Brand_Log!$A$2:$A$201,0))&amp;"",IFERROR(INDEX(Clay_Brands!$A$2:$FZ$601,310,Sync!$D$5)&amp;"","")&amp;""))</f>
        <v/>
      </c>
      <c r="E3761" s="23" t="str">
        <f aca="false">IF(B3761="","",IFERROR(INDEX(Clay_Brands!$A$2:$FZ$601,310,Sync!$D$6)&amp;"",""))</f>
        <v/>
      </c>
      <c r="F3761" s="23" t="str">
        <f aca="false">IF(B3761="","","outreach_sent")</f>
        <v/>
      </c>
      <c r="G3761" s="23" t="str">
        <f aca="false">IF(B3761="","","")</f>
        <v/>
      </c>
      <c r="H3761" s="23" t="str">
        <f aca="false">IF(B3761="","","")</f>
        <v/>
      </c>
      <c r="I3761" s="23" t="str">
        <f aca="false">IF(B3761="","","")</f>
        <v/>
      </c>
      <c r="J3761" s="23" t="str">
        <f aca="false">IF(B3761="","","touch_1; "&amp;IFERROR(INDEX(Clay_Brands!$A$2:$FZ$601,310,Sync!$D$10)&amp;"","")&amp;"; "&amp;IFERROR(INDEX(Clay_Brands!$A$2:$FZ$601,310,Sync!$D$9)&amp;"",""))</f>
        <v/>
      </c>
      <c r="K3761" s="32" t="s">
        <v>1366</v>
      </c>
    </row>
    <row r="3762" customFormat="false" ht="15" hidden="false" customHeight="false" outlineLevel="0" collapsed="false">
      <c r="A3762" s="23" t="str">
        <f aca="false">IF(B3762="","",B3762+(15*1000+311)/10000000)</f>
        <v/>
      </c>
      <c r="B3762" s="35" t="str">
        <f aca="false">IF(AND(IFERROR(N(INDEX(Clay_Brands!$A$2:$FZ$601,311,Sync!$D$11)),0)&gt;0,IFERROR(INDEX(Clay_Brands!$A$2:$FZ$601,311,Sync!$D$5)&amp;"","")&lt;&gt;"",OR(LEFT(IFERROR(INDEX(Clay_Brands!$A$2:$FZ$601,311,Sync!$D$5)&amp;"",""),6)&lt;&gt;"SAMPLE",Config!$B$19="Y")),IFERROR(N(INDEX(Clay_Brands!$A$2:$FZ$601,311,Sync!$D$11)),0),"")</f>
        <v/>
      </c>
      <c r="C3762" s="23" t="str">
        <f aca="false">IF(B3762="","","brand")</f>
        <v/>
      </c>
      <c r="D3762" s="23" t="str">
        <f aca="false">IF(B3762="","",IFERROR(INDEX(Brand_Log!$DV$2:$DV$201,MATCH(IFERROR(INDEX(Clay_Brands!$A$2:$FZ$601,311,Sync!$D$5)&amp;"",""),Brand_Log!$A$2:$A$201,0))&amp;"",IFERROR(INDEX(Clay_Brands!$A$2:$FZ$601,311,Sync!$D$5)&amp;"","")&amp;""))</f>
        <v/>
      </c>
      <c r="E3762" s="23" t="str">
        <f aca="false">IF(B3762="","",IFERROR(INDEX(Clay_Brands!$A$2:$FZ$601,311,Sync!$D$6)&amp;"",""))</f>
        <v/>
      </c>
      <c r="F3762" s="23" t="str">
        <f aca="false">IF(B3762="","","outreach_sent")</f>
        <v/>
      </c>
      <c r="G3762" s="23" t="str">
        <f aca="false">IF(B3762="","","")</f>
        <v/>
      </c>
      <c r="H3762" s="23" t="str">
        <f aca="false">IF(B3762="","","")</f>
        <v/>
      </c>
      <c r="I3762" s="23" t="str">
        <f aca="false">IF(B3762="","","")</f>
        <v/>
      </c>
      <c r="J3762" s="23" t="str">
        <f aca="false">IF(B3762="","","touch_1; "&amp;IFERROR(INDEX(Clay_Brands!$A$2:$FZ$601,311,Sync!$D$10)&amp;"","")&amp;"; "&amp;IFERROR(INDEX(Clay_Brands!$A$2:$FZ$601,311,Sync!$D$9)&amp;"",""))</f>
        <v/>
      </c>
      <c r="K3762" s="32" t="s">
        <v>1366</v>
      </c>
    </row>
    <row r="3763" customFormat="false" ht="15" hidden="false" customHeight="false" outlineLevel="0" collapsed="false">
      <c r="A3763" s="23" t="str">
        <f aca="false">IF(B3763="","",B3763+(15*1000+312)/10000000)</f>
        <v/>
      </c>
      <c r="B3763" s="35" t="str">
        <f aca="false">IF(AND(IFERROR(N(INDEX(Clay_Brands!$A$2:$FZ$601,312,Sync!$D$11)),0)&gt;0,IFERROR(INDEX(Clay_Brands!$A$2:$FZ$601,312,Sync!$D$5)&amp;"","")&lt;&gt;"",OR(LEFT(IFERROR(INDEX(Clay_Brands!$A$2:$FZ$601,312,Sync!$D$5)&amp;"",""),6)&lt;&gt;"SAMPLE",Config!$B$19="Y")),IFERROR(N(INDEX(Clay_Brands!$A$2:$FZ$601,312,Sync!$D$11)),0),"")</f>
        <v/>
      </c>
      <c r="C3763" s="23" t="str">
        <f aca="false">IF(B3763="","","brand")</f>
        <v/>
      </c>
      <c r="D3763" s="23" t="str">
        <f aca="false">IF(B3763="","",IFERROR(INDEX(Brand_Log!$DV$2:$DV$201,MATCH(IFERROR(INDEX(Clay_Brands!$A$2:$FZ$601,312,Sync!$D$5)&amp;"",""),Brand_Log!$A$2:$A$201,0))&amp;"",IFERROR(INDEX(Clay_Brands!$A$2:$FZ$601,312,Sync!$D$5)&amp;"","")&amp;""))</f>
        <v/>
      </c>
      <c r="E3763" s="23" t="str">
        <f aca="false">IF(B3763="","",IFERROR(INDEX(Clay_Brands!$A$2:$FZ$601,312,Sync!$D$6)&amp;"",""))</f>
        <v/>
      </c>
      <c r="F3763" s="23" t="str">
        <f aca="false">IF(B3763="","","outreach_sent")</f>
        <v/>
      </c>
      <c r="G3763" s="23" t="str">
        <f aca="false">IF(B3763="","","")</f>
        <v/>
      </c>
      <c r="H3763" s="23" t="str">
        <f aca="false">IF(B3763="","","")</f>
        <v/>
      </c>
      <c r="I3763" s="23" t="str">
        <f aca="false">IF(B3763="","","")</f>
        <v/>
      </c>
      <c r="J3763" s="23" t="str">
        <f aca="false">IF(B3763="","","touch_1; "&amp;IFERROR(INDEX(Clay_Brands!$A$2:$FZ$601,312,Sync!$D$10)&amp;"","")&amp;"; "&amp;IFERROR(INDEX(Clay_Brands!$A$2:$FZ$601,312,Sync!$D$9)&amp;"",""))</f>
        <v/>
      </c>
      <c r="K3763" s="32" t="s">
        <v>1366</v>
      </c>
    </row>
    <row r="3764" customFormat="false" ht="15" hidden="false" customHeight="false" outlineLevel="0" collapsed="false">
      <c r="A3764" s="23" t="str">
        <f aca="false">IF(B3764="","",B3764+(15*1000+313)/10000000)</f>
        <v/>
      </c>
      <c r="B3764" s="35" t="str">
        <f aca="false">IF(AND(IFERROR(N(INDEX(Clay_Brands!$A$2:$FZ$601,313,Sync!$D$11)),0)&gt;0,IFERROR(INDEX(Clay_Brands!$A$2:$FZ$601,313,Sync!$D$5)&amp;"","")&lt;&gt;"",OR(LEFT(IFERROR(INDEX(Clay_Brands!$A$2:$FZ$601,313,Sync!$D$5)&amp;"",""),6)&lt;&gt;"SAMPLE",Config!$B$19="Y")),IFERROR(N(INDEX(Clay_Brands!$A$2:$FZ$601,313,Sync!$D$11)),0),"")</f>
        <v/>
      </c>
      <c r="C3764" s="23" t="str">
        <f aca="false">IF(B3764="","","brand")</f>
        <v/>
      </c>
      <c r="D3764" s="23" t="str">
        <f aca="false">IF(B3764="","",IFERROR(INDEX(Brand_Log!$DV$2:$DV$201,MATCH(IFERROR(INDEX(Clay_Brands!$A$2:$FZ$601,313,Sync!$D$5)&amp;"",""),Brand_Log!$A$2:$A$201,0))&amp;"",IFERROR(INDEX(Clay_Brands!$A$2:$FZ$601,313,Sync!$D$5)&amp;"","")&amp;""))</f>
        <v/>
      </c>
      <c r="E3764" s="23" t="str">
        <f aca="false">IF(B3764="","",IFERROR(INDEX(Clay_Brands!$A$2:$FZ$601,313,Sync!$D$6)&amp;"",""))</f>
        <v/>
      </c>
      <c r="F3764" s="23" t="str">
        <f aca="false">IF(B3764="","","outreach_sent")</f>
        <v/>
      </c>
      <c r="G3764" s="23" t="str">
        <f aca="false">IF(B3764="","","")</f>
        <v/>
      </c>
      <c r="H3764" s="23" t="str">
        <f aca="false">IF(B3764="","","")</f>
        <v/>
      </c>
      <c r="I3764" s="23" t="str">
        <f aca="false">IF(B3764="","","")</f>
        <v/>
      </c>
      <c r="J3764" s="23" t="str">
        <f aca="false">IF(B3764="","","touch_1; "&amp;IFERROR(INDEX(Clay_Brands!$A$2:$FZ$601,313,Sync!$D$10)&amp;"","")&amp;"; "&amp;IFERROR(INDEX(Clay_Brands!$A$2:$FZ$601,313,Sync!$D$9)&amp;"",""))</f>
        <v/>
      </c>
      <c r="K3764" s="32" t="s">
        <v>1366</v>
      </c>
    </row>
    <row r="3765" customFormat="false" ht="15" hidden="false" customHeight="false" outlineLevel="0" collapsed="false">
      <c r="A3765" s="23" t="str">
        <f aca="false">IF(B3765="","",B3765+(15*1000+314)/10000000)</f>
        <v/>
      </c>
      <c r="B3765" s="35" t="str">
        <f aca="false">IF(AND(IFERROR(N(INDEX(Clay_Brands!$A$2:$FZ$601,314,Sync!$D$11)),0)&gt;0,IFERROR(INDEX(Clay_Brands!$A$2:$FZ$601,314,Sync!$D$5)&amp;"","")&lt;&gt;"",OR(LEFT(IFERROR(INDEX(Clay_Brands!$A$2:$FZ$601,314,Sync!$D$5)&amp;"",""),6)&lt;&gt;"SAMPLE",Config!$B$19="Y")),IFERROR(N(INDEX(Clay_Brands!$A$2:$FZ$601,314,Sync!$D$11)),0),"")</f>
        <v/>
      </c>
      <c r="C3765" s="23" t="str">
        <f aca="false">IF(B3765="","","brand")</f>
        <v/>
      </c>
      <c r="D3765" s="23" t="str">
        <f aca="false">IF(B3765="","",IFERROR(INDEX(Brand_Log!$DV$2:$DV$201,MATCH(IFERROR(INDEX(Clay_Brands!$A$2:$FZ$601,314,Sync!$D$5)&amp;"",""),Brand_Log!$A$2:$A$201,0))&amp;"",IFERROR(INDEX(Clay_Brands!$A$2:$FZ$601,314,Sync!$D$5)&amp;"","")&amp;""))</f>
        <v/>
      </c>
      <c r="E3765" s="23" t="str">
        <f aca="false">IF(B3765="","",IFERROR(INDEX(Clay_Brands!$A$2:$FZ$601,314,Sync!$D$6)&amp;"",""))</f>
        <v/>
      </c>
      <c r="F3765" s="23" t="str">
        <f aca="false">IF(B3765="","","outreach_sent")</f>
        <v/>
      </c>
      <c r="G3765" s="23" t="str">
        <f aca="false">IF(B3765="","","")</f>
        <v/>
      </c>
      <c r="H3765" s="23" t="str">
        <f aca="false">IF(B3765="","","")</f>
        <v/>
      </c>
      <c r="I3765" s="23" t="str">
        <f aca="false">IF(B3765="","","")</f>
        <v/>
      </c>
      <c r="J3765" s="23" t="str">
        <f aca="false">IF(B3765="","","touch_1; "&amp;IFERROR(INDEX(Clay_Brands!$A$2:$FZ$601,314,Sync!$D$10)&amp;"","")&amp;"; "&amp;IFERROR(INDEX(Clay_Brands!$A$2:$FZ$601,314,Sync!$D$9)&amp;"",""))</f>
        <v/>
      </c>
      <c r="K3765" s="32" t="s">
        <v>1366</v>
      </c>
    </row>
    <row r="3766" customFormat="false" ht="15" hidden="false" customHeight="false" outlineLevel="0" collapsed="false">
      <c r="A3766" s="23" t="str">
        <f aca="false">IF(B3766="","",B3766+(15*1000+315)/10000000)</f>
        <v/>
      </c>
      <c r="B3766" s="35" t="str">
        <f aca="false">IF(AND(IFERROR(N(INDEX(Clay_Brands!$A$2:$FZ$601,315,Sync!$D$11)),0)&gt;0,IFERROR(INDEX(Clay_Brands!$A$2:$FZ$601,315,Sync!$D$5)&amp;"","")&lt;&gt;"",OR(LEFT(IFERROR(INDEX(Clay_Brands!$A$2:$FZ$601,315,Sync!$D$5)&amp;"",""),6)&lt;&gt;"SAMPLE",Config!$B$19="Y")),IFERROR(N(INDEX(Clay_Brands!$A$2:$FZ$601,315,Sync!$D$11)),0),"")</f>
        <v/>
      </c>
      <c r="C3766" s="23" t="str">
        <f aca="false">IF(B3766="","","brand")</f>
        <v/>
      </c>
      <c r="D3766" s="23" t="str">
        <f aca="false">IF(B3766="","",IFERROR(INDEX(Brand_Log!$DV$2:$DV$201,MATCH(IFERROR(INDEX(Clay_Brands!$A$2:$FZ$601,315,Sync!$D$5)&amp;"",""),Brand_Log!$A$2:$A$201,0))&amp;"",IFERROR(INDEX(Clay_Brands!$A$2:$FZ$601,315,Sync!$D$5)&amp;"","")&amp;""))</f>
        <v/>
      </c>
      <c r="E3766" s="23" t="str">
        <f aca="false">IF(B3766="","",IFERROR(INDEX(Clay_Brands!$A$2:$FZ$601,315,Sync!$D$6)&amp;"",""))</f>
        <v/>
      </c>
      <c r="F3766" s="23" t="str">
        <f aca="false">IF(B3766="","","outreach_sent")</f>
        <v/>
      </c>
      <c r="G3766" s="23" t="str">
        <f aca="false">IF(B3766="","","")</f>
        <v/>
      </c>
      <c r="H3766" s="23" t="str">
        <f aca="false">IF(B3766="","","")</f>
        <v/>
      </c>
      <c r="I3766" s="23" t="str">
        <f aca="false">IF(B3766="","","")</f>
        <v/>
      </c>
      <c r="J3766" s="23" t="str">
        <f aca="false">IF(B3766="","","touch_1; "&amp;IFERROR(INDEX(Clay_Brands!$A$2:$FZ$601,315,Sync!$D$10)&amp;"","")&amp;"; "&amp;IFERROR(INDEX(Clay_Brands!$A$2:$FZ$601,315,Sync!$D$9)&amp;"",""))</f>
        <v/>
      </c>
      <c r="K3766" s="32" t="s">
        <v>1366</v>
      </c>
    </row>
    <row r="3767" customFormat="false" ht="15" hidden="false" customHeight="false" outlineLevel="0" collapsed="false">
      <c r="A3767" s="23" t="str">
        <f aca="false">IF(B3767="","",B3767+(15*1000+316)/10000000)</f>
        <v/>
      </c>
      <c r="B3767" s="35" t="str">
        <f aca="false">IF(AND(IFERROR(N(INDEX(Clay_Brands!$A$2:$FZ$601,316,Sync!$D$11)),0)&gt;0,IFERROR(INDEX(Clay_Brands!$A$2:$FZ$601,316,Sync!$D$5)&amp;"","")&lt;&gt;"",OR(LEFT(IFERROR(INDEX(Clay_Brands!$A$2:$FZ$601,316,Sync!$D$5)&amp;"",""),6)&lt;&gt;"SAMPLE",Config!$B$19="Y")),IFERROR(N(INDEX(Clay_Brands!$A$2:$FZ$601,316,Sync!$D$11)),0),"")</f>
        <v/>
      </c>
      <c r="C3767" s="23" t="str">
        <f aca="false">IF(B3767="","","brand")</f>
        <v/>
      </c>
      <c r="D3767" s="23" t="str">
        <f aca="false">IF(B3767="","",IFERROR(INDEX(Brand_Log!$DV$2:$DV$201,MATCH(IFERROR(INDEX(Clay_Brands!$A$2:$FZ$601,316,Sync!$D$5)&amp;"",""),Brand_Log!$A$2:$A$201,0))&amp;"",IFERROR(INDEX(Clay_Brands!$A$2:$FZ$601,316,Sync!$D$5)&amp;"","")&amp;""))</f>
        <v/>
      </c>
      <c r="E3767" s="23" t="str">
        <f aca="false">IF(B3767="","",IFERROR(INDEX(Clay_Brands!$A$2:$FZ$601,316,Sync!$D$6)&amp;"",""))</f>
        <v/>
      </c>
      <c r="F3767" s="23" t="str">
        <f aca="false">IF(B3767="","","outreach_sent")</f>
        <v/>
      </c>
      <c r="G3767" s="23" t="str">
        <f aca="false">IF(B3767="","","")</f>
        <v/>
      </c>
      <c r="H3767" s="23" t="str">
        <f aca="false">IF(B3767="","","")</f>
        <v/>
      </c>
      <c r="I3767" s="23" t="str">
        <f aca="false">IF(B3767="","","")</f>
        <v/>
      </c>
      <c r="J3767" s="23" t="str">
        <f aca="false">IF(B3767="","","touch_1; "&amp;IFERROR(INDEX(Clay_Brands!$A$2:$FZ$601,316,Sync!$D$10)&amp;"","")&amp;"; "&amp;IFERROR(INDEX(Clay_Brands!$A$2:$FZ$601,316,Sync!$D$9)&amp;"",""))</f>
        <v/>
      </c>
      <c r="K3767" s="32" t="s">
        <v>1366</v>
      </c>
    </row>
    <row r="3768" customFormat="false" ht="15" hidden="false" customHeight="false" outlineLevel="0" collapsed="false">
      <c r="A3768" s="23" t="str">
        <f aca="false">IF(B3768="","",B3768+(15*1000+317)/10000000)</f>
        <v/>
      </c>
      <c r="B3768" s="35" t="str">
        <f aca="false">IF(AND(IFERROR(N(INDEX(Clay_Brands!$A$2:$FZ$601,317,Sync!$D$11)),0)&gt;0,IFERROR(INDEX(Clay_Brands!$A$2:$FZ$601,317,Sync!$D$5)&amp;"","")&lt;&gt;"",OR(LEFT(IFERROR(INDEX(Clay_Brands!$A$2:$FZ$601,317,Sync!$D$5)&amp;"",""),6)&lt;&gt;"SAMPLE",Config!$B$19="Y")),IFERROR(N(INDEX(Clay_Brands!$A$2:$FZ$601,317,Sync!$D$11)),0),"")</f>
        <v/>
      </c>
      <c r="C3768" s="23" t="str">
        <f aca="false">IF(B3768="","","brand")</f>
        <v/>
      </c>
      <c r="D3768" s="23" t="str">
        <f aca="false">IF(B3768="","",IFERROR(INDEX(Brand_Log!$DV$2:$DV$201,MATCH(IFERROR(INDEX(Clay_Brands!$A$2:$FZ$601,317,Sync!$D$5)&amp;"",""),Brand_Log!$A$2:$A$201,0))&amp;"",IFERROR(INDEX(Clay_Brands!$A$2:$FZ$601,317,Sync!$D$5)&amp;"","")&amp;""))</f>
        <v/>
      </c>
      <c r="E3768" s="23" t="str">
        <f aca="false">IF(B3768="","",IFERROR(INDEX(Clay_Brands!$A$2:$FZ$601,317,Sync!$D$6)&amp;"",""))</f>
        <v/>
      </c>
      <c r="F3768" s="23" t="str">
        <f aca="false">IF(B3768="","","outreach_sent")</f>
        <v/>
      </c>
      <c r="G3768" s="23" t="str">
        <f aca="false">IF(B3768="","","")</f>
        <v/>
      </c>
      <c r="H3768" s="23" t="str">
        <f aca="false">IF(B3768="","","")</f>
        <v/>
      </c>
      <c r="I3768" s="23" t="str">
        <f aca="false">IF(B3768="","","")</f>
        <v/>
      </c>
      <c r="J3768" s="23" t="str">
        <f aca="false">IF(B3768="","","touch_1; "&amp;IFERROR(INDEX(Clay_Brands!$A$2:$FZ$601,317,Sync!$D$10)&amp;"","")&amp;"; "&amp;IFERROR(INDEX(Clay_Brands!$A$2:$FZ$601,317,Sync!$D$9)&amp;"",""))</f>
        <v/>
      </c>
      <c r="K3768" s="32" t="s">
        <v>1366</v>
      </c>
    </row>
    <row r="3769" customFormat="false" ht="15" hidden="false" customHeight="false" outlineLevel="0" collapsed="false">
      <c r="A3769" s="23" t="str">
        <f aca="false">IF(B3769="","",B3769+(15*1000+318)/10000000)</f>
        <v/>
      </c>
      <c r="B3769" s="35" t="str">
        <f aca="false">IF(AND(IFERROR(N(INDEX(Clay_Brands!$A$2:$FZ$601,318,Sync!$D$11)),0)&gt;0,IFERROR(INDEX(Clay_Brands!$A$2:$FZ$601,318,Sync!$D$5)&amp;"","")&lt;&gt;"",OR(LEFT(IFERROR(INDEX(Clay_Brands!$A$2:$FZ$601,318,Sync!$D$5)&amp;"",""),6)&lt;&gt;"SAMPLE",Config!$B$19="Y")),IFERROR(N(INDEX(Clay_Brands!$A$2:$FZ$601,318,Sync!$D$11)),0),"")</f>
        <v/>
      </c>
      <c r="C3769" s="23" t="str">
        <f aca="false">IF(B3769="","","brand")</f>
        <v/>
      </c>
      <c r="D3769" s="23" t="str">
        <f aca="false">IF(B3769="","",IFERROR(INDEX(Brand_Log!$DV$2:$DV$201,MATCH(IFERROR(INDEX(Clay_Brands!$A$2:$FZ$601,318,Sync!$D$5)&amp;"",""),Brand_Log!$A$2:$A$201,0))&amp;"",IFERROR(INDEX(Clay_Brands!$A$2:$FZ$601,318,Sync!$D$5)&amp;"","")&amp;""))</f>
        <v/>
      </c>
      <c r="E3769" s="23" t="str">
        <f aca="false">IF(B3769="","",IFERROR(INDEX(Clay_Brands!$A$2:$FZ$601,318,Sync!$D$6)&amp;"",""))</f>
        <v/>
      </c>
      <c r="F3769" s="23" t="str">
        <f aca="false">IF(B3769="","","outreach_sent")</f>
        <v/>
      </c>
      <c r="G3769" s="23" t="str">
        <f aca="false">IF(B3769="","","")</f>
        <v/>
      </c>
      <c r="H3769" s="23" t="str">
        <f aca="false">IF(B3769="","","")</f>
        <v/>
      </c>
      <c r="I3769" s="23" t="str">
        <f aca="false">IF(B3769="","","")</f>
        <v/>
      </c>
      <c r="J3769" s="23" t="str">
        <f aca="false">IF(B3769="","","touch_1; "&amp;IFERROR(INDEX(Clay_Brands!$A$2:$FZ$601,318,Sync!$D$10)&amp;"","")&amp;"; "&amp;IFERROR(INDEX(Clay_Brands!$A$2:$FZ$601,318,Sync!$D$9)&amp;"",""))</f>
        <v/>
      </c>
      <c r="K3769" s="32" t="s">
        <v>1366</v>
      </c>
    </row>
    <row r="3770" customFormat="false" ht="15" hidden="false" customHeight="false" outlineLevel="0" collapsed="false">
      <c r="A3770" s="23" t="str">
        <f aca="false">IF(B3770="","",B3770+(15*1000+319)/10000000)</f>
        <v/>
      </c>
      <c r="B3770" s="35" t="str">
        <f aca="false">IF(AND(IFERROR(N(INDEX(Clay_Brands!$A$2:$FZ$601,319,Sync!$D$11)),0)&gt;0,IFERROR(INDEX(Clay_Brands!$A$2:$FZ$601,319,Sync!$D$5)&amp;"","")&lt;&gt;"",OR(LEFT(IFERROR(INDEX(Clay_Brands!$A$2:$FZ$601,319,Sync!$D$5)&amp;"",""),6)&lt;&gt;"SAMPLE",Config!$B$19="Y")),IFERROR(N(INDEX(Clay_Brands!$A$2:$FZ$601,319,Sync!$D$11)),0),"")</f>
        <v/>
      </c>
      <c r="C3770" s="23" t="str">
        <f aca="false">IF(B3770="","","brand")</f>
        <v/>
      </c>
      <c r="D3770" s="23" t="str">
        <f aca="false">IF(B3770="","",IFERROR(INDEX(Brand_Log!$DV$2:$DV$201,MATCH(IFERROR(INDEX(Clay_Brands!$A$2:$FZ$601,319,Sync!$D$5)&amp;"",""),Brand_Log!$A$2:$A$201,0))&amp;"",IFERROR(INDEX(Clay_Brands!$A$2:$FZ$601,319,Sync!$D$5)&amp;"","")&amp;""))</f>
        <v/>
      </c>
      <c r="E3770" s="23" t="str">
        <f aca="false">IF(B3770="","",IFERROR(INDEX(Clay_Brands!$A$2:$FZ$601,319,Sync!$D$6)&amp;"",""))</f>
        <v/>
      </c>
      <c r="F3770" s="23" t="str">
        <f aca="false">IF(B3770="","","outreach_sent")</f>
        <v/>
      </c>
      <c r="G3770" s="23" t="str">
        <f aca="false">IF(B3770="","","")</f>
        <v/>
      </c>
      <c r="H3770" s="23" t="str">
        <f aca="false">IF(B3770="","","")</f>
        <v/>
      </c>
      <c r="I3770" s="23" t="str">
        <f aca="false">IF(B3770="","","")</f>
        <v/>
      </c>
      <c r="J3770" s="23" t="str">
        <f aca="false">IF(B3770="","","touch_1; "&amp;IFERROR(INDEX(Clay_Brands!$A$2:$FZ$601,319,Sync!$D$10)&amp;"","")&amp;"; "&amp;IFERROR(INDEX(Clay_Brands!$A$2:$FZ$601,319,Sync!$D$9)&amp;"",""))</f>
        <v/>
      </c>
      <c r="K3770" s="32" t="s">
        <v>1366</v>
      </c>
    </row>
    <row r="3771" customFormat="false" ht="15" hidden="false" customHeight="false" outlineLevel="0" collapsed="false">
      <c r="A3771" s="23" t="str">
        <f aca="false">IF(B3771="","",B3771+(15*1000+320)/10000000)</f>
        <v/>
      </c>
      <c r="B3771" s="35" t="str">
        <f aca="false">IF(AND(IFERROR(N(INDEX(Clay_Brands!$A$2:$FZ$601,320,Sync!$D$11)),0)&gt;0,IFERROR(INDEX(Clay_Brands!$A$2:$FZ$601,320,Sync!$D$5)&amp;"","")&lt;&gt;"",OR(LEFT(IFERROR(INDEX(Clay_Brands!$A$2:$FZ$601,320,Sync!$D$5)&amp;"",""),6)&lt;&gt;"SAMPLE",Config!$B$19="Y")),IFERROR(N(INDEX(Clay_Brands!$A$2:$FZ$601,320,Sync!$D$11)),0),"")</f>
        <v/>
      </c>
      <c r="C3771" s="23" t="str">
        <f aca="false">IF(B3771="","","brand")</f>
        <v/>
      </c>
      <c r="D3771" s="23" t="str">
        <f aca="false">IF(B3771="","",IFERROR(INDEX(Brand_Log!$DV$2:$DV$201,MATCH(IFERROR(INDEX(Clay_Brands!$A$2:$FZ$601,320,Sync!$D$5)&amp;"",""),Brand_Log!$A$2:$A$201,0))&amp;"",IFERROR(INDEX(Clay_Brands!$A$2:$FZ$601,320,Sync!$D$5)&amp;"","")&amp;""))</f>
        <v/>
      </c>
      <c r="E3771" s="23" t="str">
        <f aca="false">IF(B3771="","",IFERROR(INDEX(Clay_Brands!$A$2:$FZ$601,320,Sync!$D$6)&amp;"",""))</f>
        <v/>
      </c>
      <c r="F3771" s="23" t="str">
        <f aca="false">IF(B3771="","","outreach_sent")</f>
        <v/>
      </c>
      <c r="G3771" s="23" t="str">
        <f aca="false">IF(B3771="","","")</f>
        <v/>
      </c>
      <c r="H3771" s="23" t="str">
        <f aca="false">IF(B3771="","","")</f>
        <v/>
      </c>
      <c r="I3771" s="23" t="str">
        <f aca="false">IF(B3771="","","")</f>
        <v/>
      </c>
      <c r="J3771" s="23" t="str">
        <f aca="false">IF(B3771="","","touch_1; "&amp;IFERROR(INDEX(Clay_Brands!$A$2:$FZ$601,320,Sync!$D$10)&amp;"","")&amp;"; "&amp;IFERROR(INDEX(Clay_Brands!$A$2:$FZ$601,320,Sync!$D$9)&amp;"",""))</f>
        <v/>
      </c>
      <c r="K3771" s="32" t="s">
        <v>1366</v>
      </c>
    </row>
    <row r="3772" customFormat="false" ht="15" hidden="false" customHeight="false" outlineLevel="0" collapsed="false">
      <c r="A3772" s="23" t="str">
        <f aca="false">IF(B3772="","",B3772+(15*1000+321)/10000000)</f>
        <v/>
      </c>
      <c r="B3772" s="35" t="str">
        <f aca="false">IF(AND(IFERROR(N(INDEX(Clay_Brands!$A$2:$FZ$601,321,Sync!$D$11)),0)&gt;0,IFERROR(INDEX(Clay_Brands!$A$2:$FZ$601,321,Sync!$D$5)&amp;"","")&lt;&gt;"",OR(LEFT(IFERROR(INDEX(Clay_Brands!$A$2:$FZ$601,321,Sync!$D$5)&amp;"",""),6)&lt;&gt;"SAMPLE",Config!$B$19="Y")),IFERROR(N(INDEX(Clay_Brands!$A$2:$FZ$601,321,Sync!$D$11)),0),"")</f>
        <v/>
      </c>
      <c r="C3772" s="23" t="str">
        <f aca="false">IF(B3772="","","brand")</f>
        <v/>
      </c>
      <c r="D3772" s="23" t="str">
        <f aca="false">IF(B3772="","",IFERROR(INDEX(Brand_Log!$DV$2:$DV$201,MATCH(IFERROR(INDEX(Clay_Brands!$A$2:$FZ$601,321,Sync!$D$5)&amp;"",""),Brand_Log!$A$2:$A$201,0))&amp;"",IFERROR(INDEX(Clay_Brands!$A$2:$FZ$601,321,Sync!$D$5)&amp;"","")&amp;""))</f>
        <v/>
      </c>
      <c r="E3772" s="23" t="str">
        <f aca="false">IF(B3772="","",IFERROR(INDEX(Clay_Brands!$A$2:$FZ$601,321,Sync!$D$6)&amp;"",""))</f>
        <v/>
      </c>
      <c r="F3772" s="23" t="str">
        <f aca="false">IF(B3772="","","outreach_sent")</f>
        <v/>
      </c>
      <c r="G3772" s="23" t="str">
        <f aca="false">IF(B3772="","","")</f>
        <v/>
      </c>
      <c r="H3772" s="23" t="str">
        <f aca="false">IF(B3772="","","")</f>
        <v/>
      </c>
      <c r="I3772" s="23" t="str">
        <f aca="false">IF(B3772="","","")</f>
        <v/>
      </c>
      <c r="J3772" s="23" t="str">
        <f aca="false">IF(B3772="","","touch_1; "&amp;IFERROR(INDEX(Clay_Brands!$A$2:$FZ$601,321,Sync!$D$10)&amp;"","")&amp;"; "&amp;IFERROR(INDEX(Clay_Brands!$A$2:$FZ$601,321,Sync!$D$9)&amp;"",""))</f>
        <v/>
      </c>
      <c r="K3772" s="32" t="s">
        <v>1366</v>
      </c>
    </row>
    <row r="3773" customFormat="false" ht="15" hidden="false" customHeight="false" outlineLevel="0" collapsed="false">
      <c r="A3773" s="23" t="str">
        <f aca="false">IF(B3773="","",B3773+(15*1000+322)/10000000)</f>
        <v/>
      </c>
      <c r="B3773" s="35" t="str">
        <f aca="false">IF(AND(IFERROR(N(INDEX(Clay_Brands!$A$2:$FZ$601,322,Sync!$D$11)),0)&gt;0,IFERROR(INDEX(Clay_Brands!$A$2:$FZ$601,322,Sync!$D$5)&amp;"","")&lt;&gt;"",OR(LEFT(IFERROR(INDEX(Clay_Brands!$A$2:$FZ$601,322,Sync!$D$5)&amp;"",""),6)&lt;&gt;"SAMPLE",Config!$B$19="Y")),IFERROR(N(INDEX(Clay_Brands!$A$2:$FZ$601,322,Sync!$D$11)),0),"")</f>
        <v/>
      </c>
      <c r="C3773" s="23" t="str">
        <f aca="false">IF(B3773="","","brand")</f>
        <v/>
      </c>
      <c r="D3773" s="23" t="str">
        <f aca="false">IF(B3773="","",IFERROR(INDEX(Brand_Log!$DV$2:$DV$201,MATCH(IFERROR(INDEX(Clay_Brands!$A$2:$FZ$601,322,Sync!$D$5)&amp;"",""),Brand_Log!$A$2:$A$201,0))&amp;"",IFERROR(INDEX(Clay_Brands!$A$2:$FZ$601,322,Sync!$D$5)&amp;"","")&amp;""))</f>
        <v/>
      </c>
      <c r="E3773" s="23" t="str">
        <f aca="false">IF(B3773="","",IFERROR(INDEX(Clay_Brands!$A$2:$FZ$601,322,Sync!$D$6)&amp;"",""))</f>
        <v/>
      </c>
      <c r="F3773" s="23" t="str">
        <f aca="false">IF(B3773="","","outreach_sent")</f>
        <v/>
      </c>
      <c r="G3773" s="23" t="str">
        <f aca="false">IF(B3773="","","")</f>
        <v/>
      </c>
      <c r="H3773" s="23" t="str">
        <f aca="false">IF(B3773="","","")</f>
        <v/>
      </c>
      <c r="I3773" s="23" t="str">
        <f aca="false">IF(B3773="","","")</f>
        <v/>
      </c>
      <c r="J3773" s="23" t="str">
        <f aca="false">IF(B3773="","","touch_1; "&amp;IFERROR(INDEX(Clay_Brands!$A$2:$FZ$601,322,Sync!$D$10)&amp;"","")&amp;"; "&amp;IFERROR(INDEX(Clay_Brands!$A$2:$FZ$601,322,Sync!$D$9)&amp;"",""))</f>
        <v/>
      </c>
      <c r="K3773" s="32" t="s">
        <v>1366</v>
      </c>
    </row>
    <row r="3774" customFormat="false" ht="15" hidden="false" customHeight="false" outlineLevel="0" collapsed="false">
      <c r="A3774" s="23" t="str">
        <f aca="false">IF(B3774="","",B3774+(15*1000+323)/10000000)</f>
        <v/>
      </c>
      <c r="B3774" s="35" t="str">
        <f aca="false">IF(AND(IFERROR(N(INDEX(Clay_Brands!$A$2:$FZ$601,323,Sync!$D$11)),0)&gt;0,IFERROR(INDEX(Clay_Brands!$A$2:$FZ$601,323,Sync!$D$5)&amp;"","")&lt;&gt;"",OR(LEFT(IFERROR(INDEX(Clay_Brands!$A$2:$FZ$601,323,Sync!$D$5)&amp;"",""),6)&lt;&gt;"SAMPLE",Config!$B$19="Y")),IFERROR(N(INDEX(Clay_Brands!$A$2:$FZ$601,323,Sync!$D$11)),0),"")</f>
        <v/>
      </c>
      <c r="C3774" s="23" t="str">
        <f aca="false">IF(B3774="","","brand")</f>
        <v/>
      </c>
      <c r="D3774" s="23" t="str">
        <f aca="false">IF(B3774="","",IFERROR(INDEX(Brand_Log!$DV$2:$DV$201,MATCH(IFERROR(INDEX(Clay_Brands!$A$2:$FZ$601,323,Sync!$D$5)&amp;"",""),Brand_Log!$A$2:$A$201,0))&amp;"",IFERROR(INDEX(Clay_Brands!$A$2:$FZ$601,323,Sync!$D$5)&amp;"","")&amp;""))</f>
        <v/>
      </c>
      <c r="E3774" s="23" t="str">
        <f aca="false">IF(B3774="","",IFERROR(INDEX(Clay_Brands!$A$2:$FZ$601,323,Sync!$D$6)&amp;"",""))</f>
        <v/>
      </c>
      <c r="F3774" s="23" t="str">
        <f aca="false">IF(B3774="","","outreach_sent")</f>
        <v/>
      </c>
      <c r="G3774" s="23" t="str">
        <f aca="false">IF(B3774="","","")</f>
        <v/>
      </c>
      <c r="H3774" s="23" t="str">
        <f aca="false">IF(B3774="","","")</f>
        <v/>
      </c>
      <c r="I3774" s="23" t="str">
        <f aca="false">IF(B3774="","","")</f>
        <v/>
      </c>
      <c r="J3774" s="23" t="str">
        <f aca="false">IF(B3774="","","touch_1; "&amp;IFERROR(INDEX(Clay_Brands!$A$2:$FZ$601,323,Sync!$D$10)&amp;"","")&amp;"; "&amp;IFERROR(INDEX(Clay_Brands!$A$2:$FZ$601,323,Sync!$D$9)&amp;"",""))</f>
        <v/>
      </c>
      <c r="K3774" s="32" t="s">
        <v>1366</v>
      </c>
    </row>
    <row r="3775" customFormat="false" ht="15" hidden="false" customHeight="false" outlineLevel="0" collapsed="false">
      <c r="A3775" s="23" t="str">
        <f aca="false">IF(B3775="","",B3775+(15*1000+324)/10000000)</f>
        <v/>
      </c>
      <c r="B3775" s="35" t="str">
        <f aca="false">IF(AND(IFERROR(N(INDEX(Clay_Brands!$A$2:$FZ$601,324,Sync!$D$11)),0)&gt;0,IFERROR(INDEX(Clay_Brands!$A$2:$FZ$601,324,Sync!$D$5)&amp;"","")&lt;&gt;"",OR(LEFT(IFERROR(INDEX(Clay_Brands!$A$2:$FZ$601,324,Sync!$D$5)&amp;"",""),6)&lt;&gt;"SAMPLE",Config!$B$19="Y")),IFERROR(N(INDEX(Clay_Brands!$A$2:$FZ$601,324,Sync!$D$11)),0),"")</f>
        <v/>
      </c>
      <c r="C3775" s="23" t="str">
        <f aca="false">IF(B3775="","","brand")</f>
        <v/>
      </c>
      <c r="D3775" s="23" t="str">
        <f aca="false">IF(B3775="","",IFERROR(INDEX(Brand_Log!$DV$2:$DV$201,MATCH(IFERROR(INDEX(Clay_Brands!$A$2:$FZ$601,324,Sync!$D$5)&amp;"",""),Brand_Log!$A$2:$A$201,0))&amp;"",IFERROR(INDEX(Clay_Brands!$A$2:$FZ$601,324,Sync!$D$5)&amp;"","")&amp;""))</f>
        <v/>
      </c>
      <c r="E3775" s="23" t="str">
        <f aca="false">IF(B3775="","",IFERROR(INDEX(Clay_Brands!$A$2:$FZ$601,324,Sync!$D$6)&amp;"",""))</f>
        <v/>
      </c>
      <c r="F3775" s="23" t="str">
        <f aca="false">IF(B3775="","","outreach_sent")</f>
        <v/>
      </c>
      <c r="G3775" s="23" t="str">
        <f aca="false">IF(B3775="","","")</f>
        <v/>
      </c>
      <c r="H3775" s="23" t="str">
        <f aca="false">IF(B3775="","","")</f>
        <v/>
      </c>
      <c r="I3775" s="23" t="str">
        <f aca="false">IF(B3775="","","")</f>
        <v/>
      </c>
      <c r="J3775" s="23" t="str">
        <f aca="false">IF(B3775="","","touch_1; "&amp;IFERROR(INDEX(Clay_Brands!$A$2:$FZ$601,324,Sync!$D$10)&amp;"","")&amp;"; "&amp;IFERROR(INDEX(Clay_Brands!$A$2:$FZ$601,324,Sync!$D$9)&amp;"",""))</f>
        <v/>
      </c>
      <c r="K3775" s="32" t="s">
        <v>1366</v>
      </c>
    </row>
    <row r="3776" customFormat="false" ht="15" hidden="false" customHeight="false" outlineLevel="0" collapsed="false">
      <c r="A3776" s="23" t="str">
        <f aca="false">IF(B3776="","",B3776+(15*1000+325)/10000000)</f>
        <v/>
      </c>
      <c r="B3776" s="35" t="str">
        <f aca="false">IF(AND(IFERROR(N(INDEX(Clay_Brands!$A$2:$FZ$601,325,Sync!$D$11)),0)&gt;0,IFERROR(INDEX(Clay_Brands!$A$2:$FZ$601,325,Sync!$D$5)&amp;"","")&lt;&gt;"",OR(LEFT(IFERROR(INDEX(Clay_Brands!$A$2:$FZ$601,325,Sync!$D$5)&amp;"",""),6)&lt;&gt;"SAMPLE",Config!$B$19="Y")),IFERROR(N(INDEX(Clay_Brands!$A$2:$FZ$601,325,Sync!$D$11)),0),"")</f>
        <v/>
      </c>
      <c r="C3776" s="23" t="str">
        <f aca="false">IF(B3776="","","brand")</f>
        <v/>
      </c>
      <c r="D3776" s="23" t="str">
        <f aca="false">IF(B3776="","",IFERROR(INDEX(Brand_Log!$DV$2:$DV$201,MATCH(IFERROR(INDEX(Clay_Brands!$A$2:$FZ$601,325,Sync!$D$5)&amp;"",""),Brand_Log!$A$2:$A$201,0))&amp;"",IFERROR(INDEX(Clay_Brands!$A$2:$FZ$601,325,Sync!$D$5)&amp;"","")&amp;""))</f>
        <v/>
      </c>
      <c r="E3776" s="23" t="str">
        <f aca="false">IF(B3776="","",IFERROR(INDEX(Clay_Brands!$A$2:$FZ$601,325,Sync!$D$6)&amp;"",""))</f>
        <v/>
      </c>
      <c r="F3776" s="23" t="str">
        <f aca="false">IF(B3776="","","outreach_sent")</f>
        <v/>
      </c>
      <c r="G3776" s="23" t="str">
        <f aca="false">IF(B3776="","","")</f>
        <v/>
      </c>
      <c r="H3776" s="23" t="str">
        <f aca="false">IF(B3776="","","")</f>
        <v/>
      </c>
      <c r="I3776" s="23" t="str">
        <f aca="false">IF(B3776="","","")</f>
        <v/>
      </c>
      <c r="J3776" s="23" t="str">
        <f aca="false">IF(B3776="","","touch_1; "&amp;IFERROR(INDEX(Clay_Brands!$A$2:$FZ$601,325,Sync!$D$10)&amp;"","")&amp;"; "&amp;IFERROR(INDEX(Clay_Brands!$A$2:$FZ$601,325,Sync!$D$9)&amp;"",""))</f>
        <v/>
      </c>
      <c r="K3776" s="32" t="s">
        <v>1366</v>
      </c>
    </row>
    <row r="3777" customFormat="false" ht="15" hidden="false" customHeight="false" outlineLevel="0" collapsed="false">
      <c r="A3777" s="23" t="str">
        <f aca="false">IF(B3777="","",B3777+(15*1000+326)/10000000)</f>
        <v/>
      </c>
      <c r="B3777" s="35" t="str">
        <f aca="false">IF(AND(IFERROR(N(INDEX(Clay_Brands!$A$2:$FZ$601,326,Sync!$D$11)),0)&gt;0,IFERROR(INDEX(Clay_Brands!$A$2:$FZ$601,326,Sync!$D$5)&amp;"","")&lt;&gt;"",OR(LEFT(IFERROR(INDEX(Clay_Brands!$A$2:$FZ$601,326,Sync!$D$5)&amp;"",""),6)&lt;&gt;"SAMPLE",Config!$B$19="Y")),IFERROR(N(INDEX(Clay_Brands!$A$2:$FZ$601,326,Sync!$D$11)),0),"")</f>
        <v/>
      </c>
      <c r="C3777" s="23" t="str">
        <f aca="false">IF(B3777="","","brand")</f>
        <v/>
      </c>
      <c r="D3777" s="23" t="str">
        <f aca="false">IF(B3777="","",IFERROR(INDEX(Brand_Log!$DV$2:$DV$201,MATCH(IFERROR(INDEX(Clay_Brands!$A$2:$FZ$601,326,Sync!$D$5)&amp;"",""),Brand_Log!$A$2:$A$201,0))&amp;"",IFERROR(INDEX(Clay_Brands!$A$2:$FZ$601,326,Sync!$D$5)&amp;"","")&amp;""))</f>
        <v/>
      </c>
      <c r="E3777" s="23" t="str">
        <f aca="false">IF(B3777="","",IFERROR(INDEX(Clay_Brands!$A$2:$FZ$601,326,Sync!$D$6)&amp;"",""))</f>
        <v/>
      </c>
      <c r="F3777" s="23" t="str">
        <f aca="false">IF(B3777="","","outreach_sent")</f>
        <v/>
      </c>
      <c r="G3777" s="23" t="str">
        <f aca="false">IF(B3777="","","")</f>
        <v/>
      </c>
      <c r="H3777" s="23" t="str">
        <f aca="false">IF(B3777="","","")</f>
        <v/>
      </c>
      <c r="I3777" s="23" t="str">
        <f aca="false">IF(B3777="","","")</f>
        <v/>
      </c>
      <c r="J3777" s="23" t="str">
        <f aca="false">IF(B3777="","","touch_1; "&amp;IFERROR(INDEX(Clay_Brands!$A$2:$FZ$601,326,Sync!$D$10)&amp;"","")&amp;"; "&amp;IFERROR(INDEX(Clay_Brands!$A$2:$FZ$601,326,Sync!$D$9)&amp;"",""))</f>
        <v/>
      </c>
      <c r="K3777" s="32" t="s">
        <v>1366</v>
      </c>
    </row>
    <row r="3778" customFormat="false" ht="15" hidden="false" customHeight="false" outlineLevel="0" collapsed="false">
      <c r="A3778" s="23" t="str">
        <f aca="false">IF(B3778="","",B3778+(15*1000+327)/10000000)</f>
        <v/>
      </c>
      <c r="B3778" s="35" t="str">
        <f aca="false">IF(AND(IFERROR(N(INDEX(Clay_Brands!$A$2:$FZ$601,327,Sync!$D$11)),0)&gt;0,IFERROR(INDEX(Clay_Brands!$A$2:$FZ$601,327,Sync!$D$5)&amp;"","")&lt;&gt;"",OR(LEFT(IFERROR(INDEX(Clay_Brands!$A$2:$FZ$601,327,Sync!$D$5)&amp;"",""),6)&lt;&gt;"SAMPLE",Config!$B$19="Y")),IFERROR(N(INDEX(Clay_Brands!$A$2:$FZ$601,327,Sync!$D$11)),0),"")</f>
        <v/>
      </c>
      <c r="C3778" s="23" t="str">
        <f aca="false">IF(B3778="","","brand")</f>
        <v/>
      </c>
      <c r="D3778" s="23" t="str">
        <f aca="false">IF(B3778="","",IFERROR(INDEX(Brand_Log!$DV$2:$DV$201,MATCH(IFERROR(INDEX(Clay_Brands!$A$2:$FZ$601,327,Sync!$D$5)&amp;"",""),Brand_Log!$A$2:$A$201,0))&amp;"",IFERROR(INDEX(Clay_Brands!$A$2:$FZ$601,327,Sync!$D$5)&amp;"","")&amp;""))</f>
        <v/>
      </c>
      <c r="E3778" s="23" t="str">
        <f aca="false">IF(B3778="","",IFERROR(INDEX(Clay_Brands!$A$2:$FZ$601,327,Sync!$D$6)&amp;"",""))</f>
        <v/>
      </c>
      <c r="F3778" s="23" t="str">
        <f aca="false">IF(B3778="","","outreach_sent")</f>
        <v/>
      </c>
      <c r="G3778" s="23" t="str">
        <f aca="false">IF(B3778="","","")</f>
        <v/>
      </c>
      <c r="H3778" s="23" t="str">
        <f aca="false">IF(B3778="","","")</f>
        <v/>
      </c>
      <c r="I3778" s="23" t="str">
        <f aca="false">IF(B3778="","","")</f>
        <v/>
      </c>
      <c r="J3778" s="23" t="str">
        <f aca="false">IF(B3778="","","touch_1; "&amp;IFERROR(INDEX(Clay_Brands!$A$2:$FZ$601,327,Sync!$D$10)&amp;"","")&amp;"; "&amp;IFERROR(INDEX(Clay_Brands!$A$2:$FZ$601,327,Sync!$D$9)&amp;"",""))</f>
        <v/>
      </c>
      <c r="K3778" s="32" t="s">
        <v>1366</v>
      </c>
    </row>
    <row r="3779" customFormat="false" ht="15" hidden="false" customHeight="false" outlineLevel="0" collapsed="false">
      <c r="A3779" s="23" t="str">
        <f aca="false">IF(B3779="","",B3779+(15*1000+328)/10000000)</f>
        <v/>
      </c>
      <c r="B3779" s="35" t="str">
        <f aca="false">IF(AND(IFERROR(N(INDEX(Clay_Brands!$A$2:$FZ$601,328,Sync!$D$11)),0)&gt;0,IFERROR(INDEX(Clay_Brands!$A$2:$FZ$601,328,Sync!$D$5)&amp;"","")&lt;&gt;"",OR(LEFT(IFERROR(INDEX(Clay_Brands!$A$2:$FZ$601,328,Sync!$D$5)&amp;"",""),6)&lt;&gt;"SAMPLE",Config!$B$19="Y")),IFERROR(N(INDEX(Clay_Brands!$A$2:$FZ$601,328,Sync!$D$11)),0),"")</f>
        <v/>
      </c>
      <c r="C3779" s="23" t="str">
        <f aca="false">IF(B3779="","","brand")</f>
        <v/>
      </c>
      <c r="D3779" s="23" t="str">
        <f aca="false">IF(B3779="","",IFERROR(INDEX(Brand_Log!$DV$2:$DV$201,MATCH(IFERROR(INDEX(Clay_Brands!$A$2:$FZ$601,328,Sync!$D$5)&amp;"",""),Brand_Log!$A$2:$A$201,0))&amp;"",IFERROR(INDEX(Clay_Brands!$A$2:$FZ$601,328,Sync!$D$5)&amp;"","")&amp;""))</f>
        <v/>
      </c>
      <c r="E3779" s="23" t="str">
        <f aca="false">IF(B3779="","",IFERROR(INDEX(Clay_Brands!$A$2:$FZ$601,328,Sync!$D$6)&amp;"",""))</f>
        <v/>
      </c>
      <c r="F3779" s="23" t="str">
        <f aca="false">IF(B3779="","","outreach_sent")</f>
        <v/>
      </c>
      <c r="G3779" s="23" t="str">
        <f aca="false">IF(B3779="","","")</f>
        <v/>
      </c>
      <c r="H3779" s="23" t="str">
        <f aca="false">IF(B3779="","","")</f>
        <v/>
      </c>
      <c r="I3779" s="23" t="str">
        <f aca="false">IF(B3779="","","")</f>
        <v/>
      </c>
      <c r="J3779" s="23" t="str">
        <f aca="false">IF(B3779="","","touch_1; "&amp;IFERROR(INDEX(Clay_Brands!$A$2:$FZ$601,328,Sync!$D$10)&amp;"","")&amp;"; "&amp;IFERROR(INDEX(Clay_Brands!$A$2:$FZ$601,328,Sync!$D$9)&amp;"",""))</f>
        <v/>
      </c>
      <c r="K3779" s="32" t="s">
        <v>1366</v>
      </c>
    </row>
    <row r="3780" customFormat="false" ht="15" hidden="false" customHeight="false" outlineLevel="0" collapsed="false">
      <c r="A3780" s="23" t="str">
        <f aca="false">IF(B3780="","",B3780+(15*1000+329)/10000000)</f>
        <v/>
      </c>
      <c r="B3780" s="35" t="str">
        <f aca="false">IF(AND(IFERROR(N(INDEX(Clay_Brands!$A$2:$FZ$601,329,Sync!$D$11)),0)&gt;0,IFERROR(INDEX(Clay_Brands!$A$2:$FZ$601,329,Sync!$D$5)&amp;"","")&lt;&gt;"",OR(LEFT(IFERROR(INDEX(Clay_Brands!$A$2:$FZ$601,329,Sync!$D$5)&amp;"",""),6)&lt;&gt;"SAMPLE",Config!$B$19="Y")),IFERROR(N(INDEX(Clay_Brands!$A$2:$FZ$601,329,Sync!$D$11)),0),"")</f>
        <v/>
      </c>
      <c r="C3780" s="23" t="str">
        <f aca="false">IF(B3780="","","brand")</f>
        <v/>
      </c>
      <c r="D3780" s="23" t="str">
        <f aca="false">IF(B3780="","",IFERROR(INDEX(Brand_Log!$DV$2:$DV$201,MATCH(IFERROR(INDEX(Clay_Brands!$A$2:$FZ$601,329,Sync!$D$5)&amp;"",""),Brand_Log!$A$2:$A$201,0))&amp;"",IFERROR(INDEX(Clay_Brands!$A$2:$FZ$601,329,Sync!$D$5)&amp;"","")&amp;""))</f>
        <v/>
      </c>
      <c r="E3780" s="23" t="str">
        <f aca="false">IF(B3780="","",IFERROR(INDEX(Clay_Brands!$A$2:$FZ$601,329,Sync!$D$6)&amp;"",""))</f>
        <v/>
      </c>
      <c r="F3780" s="23" t="str">
        <f aca="false">IF(B3780="","","outreach_sent")</f>
        <v/>
      </c>
      <c r="G3780" s="23" t="str">
        <f aca="false">IF(B3780="","","")</f>
        <v/>
      </c>
      <c r="H3780" s="23" t="str">
        <f aca="false">IF(B3780="","","")</f>
        <v/>
      </c>
      <c r="I3780" s="23" t="str">
        <f aca="false">IF(B3780="","","")</f>
        <v/>
      </c>
      <c r="J3780" s="23" t="str">
        <f aca="false">IF(B3780="","","touch_1; "&amp;IFERROR(INDEX(Clay_Brands!$A$2:$FZ$601,329,Sync!$D$10)&amp;"","")&amp;"; "&amp;IFERROR(INDEX(Clay_Brands!$A$2:$FZ$601,329,Sync!$D$9)&amp;"",""))</f>
        <v/>
      </c>
      <c r="K3780" s="32" t="s">
        <v>1366</v>
      </c>
    </row>
    <row r="3781" customFormat="false" ht="15" hidden="false" customHeight="false" outlineLevel="0" collapsed="false">
      <c r="A3781" s="23" t="str">
        <f aca="false">IF(B3781="","",B3781+(15*1000+330)/10000000)</f>
        <v/>
      </c>
      <c r="B3781" s="35" t="str">
        <f aca="false">IF(AND(IFERROR(N(INDEX(Clay_Brands!$A$2:$FZ$601,330,Sync!$D$11)),0)&gt;0,IFERROR(INDEX(Clay_Brands!$A$2:$FZ$601,330,Sync!$D$5)&amp;"","")&lt;&gt;"",OR(LEFT(IFERROR(INDEX(Clay_Brands!$A$2:$FZ$601,330,Sync!$D$5)&amp;"",""),6)&lt;&gt;"SAMPLE",Config!$B$19="Y")),IFERROR(N(INDEX(Clay_Brands!$A$2:$FZ$601,330,Sync!$D$11)),0),"")</f>
        <v/>
      </c>
      <c r="C3781" s="23" t="str">
        <f aca="false">IF(B3781="","","brand")</f>
        <v/>
      </c>
      <c r="D3781" s="23" t="str">
        <f aca="false">IF(B3781="","",IFERROR(INDEX(Brand_Log!$DV$2:$DV$201,MATCH(IFERROR(INDEX(Clay_Brands!$A$2:$FZ$601,330,Sync!$D$5)&amp;"",""),Brand_Log!$A$2:$A$201,0))&amp;"",IFERROR(INDEX(Clay_Brands!$A$2:$FZ$601,330,Sync!$D$5)&amp;"","")&amp;""))</f>
        <v/>
      </c>
      <c r="E3781" s="23" t="str">
        <f aca="false">IF(B3781="","",IFERROR(INDEX(Clay_Brands!$A$2:$FZ$601,330,Sync!$D$6)&amp;"",""))</f>
        <v/>
      </c>
      <c r="F3781" s="23" t="str">
        <f aca="false">IF(B3781="","","outreach_sent")</f>
        <v/>
      </c>
      <c r="G3781" s="23" t="str">
        <f aca="false">IF(B3781="","","")</f>
        <v/>
      </c>
      <c r="H3781" s="23" t="str">
        <f aca="false">IF(B3781="","","")</f>
        <v/>
      </c>
      <c r="I3781" s="23" t="str">
        <f aca="false">IF(B3781="","","")</f>
        <v/>
      </c>
      <c r="J3781" s="23" t="str">
        <f aca="false">IF(B3781="","","touch_1; "&amp;IFERROR(INDEX(Clay_Brands!$A$2:$FZ$601,330,Sync!$D$10)&amp;"","")&amp;"; "&amp;IFERROR(INDEX(Clay_Brands!$A$2:$FZ$601,330,Sync!$D$9)&amp;"",""))</f>
        <v/>
      </c>
      <c r="K3781" s="32" t="s">
        <v>1366</v>
      </c>
    </row>
    <row r="3782" customFormat="false" ht="15" hidden="false" customHeight="false" outlineLevel="0" collapsed="false">
      <c r="A3782" s="23" t="str">
        <f aca="false">IF(B3782="","",B3782+(15*1000+331)/10000000)</f>
        <v/>
      </c>
      <c r="B3782" s="35" t="str">
        <f aca="false">IF(AND(IFERROR(N(INDEX(Clay_Brands!$A$2:$FZ$601,331,Sync!$D$11)),0)&gt;0,IFERROR(INDEX(Clay_Brands!$A$2:$FZ$601,331,Sync!$D$5)&amp;"","")&lt;&gt;"",OR(LEFT(IFERROR(INDEX(Clay_Brands!$A$2:$FZ$601,331,Sync!$D$5)&amp;"",""),6)&lt;&gt;"SAMPLE",Config!$B$19="Y")),IFERROR(N(INDEX(Clay_Brands!$A$2:$FZ$601,331,Sync!$D$11)),0),"")</f>
        <v/>
      </c>
      <c r="C3782" s="23" t="str">
        <f aca="false">IF(B3782="","","brand")</f>
        <v/>
      </c>
      <c r="D3782" s="23" t="str">
        <f aca="false">IF(B3782="","",IFERROR(INDEX(Brand_Log!$DV$2:$DV$201,MATCH(IFERROR(INDEX(Clay_Brands!$A$2:$FZ$601,331,Sync!$D$5)&amp;"",""),Brand_Log!$A$2:$A$201,0))&amp;"",IFERROR(INDEX(Clay_Brands!$A$2:$FZ$601,331,Sync!$D$5)&amp;"","")&amp;""))</f>
        <v/>
      </c>
      <c r="E3782" s="23" t="str">
        <f aca="false">IF(B3782="","",IFERROR(INDEX(Clay_Brands!$A$2:$FZ$601,331,Sync!$D$6)&amp;"",""))</f>
        <v/>
      </c>
      <c r="F3782" s="23" t="str">
        <f aca="false">IF(B3782="","","outreach_sent")</f>
        <v/>
      </c>
      <c r="G3782" s="23" t="str">
        <f aca="false">IF(B3782="","","")</f>
        <v/>
      </c>
      <c r="H3782" s="23" t="str">
        <f aca="false">IF(B3782="","","")</f>
        <v/>
      </c>
      <c r="I3782" s="23" t="str">
        <f aca="false">IF(B3782="","","")</f>
        <v/>
      </c>
      <c r="J3782" s="23" t="str">
        <f aca="false">IF(B3782="","","touch_1; "&amp;IFERROR(INDEX(Clay_Brands!$A$2:$FZ$601,331,Sync!$D$10)&amp;"","")&amp;"; "&amp;IFERROR(INDEX(Clay_Brands!$A$2:$FZ$601,331,Sync!$D$9)&amp;"",""))</f>
        <v/>
      </c>
      <c r="K3782" s="32" t="s">
        <v>1366</v>
      </c>
    </row>
    <row r="3783" customFormat="false" ht="15" hidden="false" customHeight="false" outlineLevel="0" collapsed="false">
      <c r="A3783" s="23" t="str">
        <f aca="false">IF(B3783="","",B3783+(15*1000+332)/10000000)</f>
        <v/>
      </c>
      <c r="B3783" s="35" t="str">
        <f aca="false">IF(AND(IFERROR(N(INDEX(Clay_Brands!$A$2:$FZ$601,332,Sync!$D$11)),0)&gt;0,IFERROR(INDEX(Clay_Brands!$A$2:$FZ$601,332,Sync!$D$5)&amp;"","")&lt;&gt;"",OR(LEFT(IFERROR(INDEX(Clay_Brands!$A$2:$FZ$601,332,Sync!$D$5)&amp;"",""),6)&lt;&gt;"SAMPLE",Config!$B$19="Y")),IFERROR(N(INDEX(Clay_Brands!$A$2:$FZ$601,332,Sync!$D$11)),0),"")</f>
        <v/>
      </c>
      <c r="C3783" s="23" t="str">
        <f aca="false">IF(B3783="","","brand")</f>
        <v/>
      </c>
      <c r="D3783" s="23" t="str">
        <f aca="false">IF(B3783="","",IFERROR(INDEX(Brand_Log!$DV$2:$DV$201,MATCH(IFERROR(INDEX(Clay_Brands!$A$2:$FZ$601,332,Sync!$D$5)&amp;"",""),Brand_Log!$A$2:$A$201,0))&amp;"",IFERROR(INDEX(Clay_Brands!$A$2:$FZ$601,332,Sync!$D$5)&amp;"","")&amp;""))</f>
        <v/>
      </c>
      <c r="E3783" s="23" t="str">
        <f aca="false">IF(B3783="","",IFERROR(INDEX(Clay_Brands!$A$2:$FZ$601,332,Sync!$D$6)&amp;"",""))</f>
        <v/>
      </c>
      <c r="F3783" s="23" t="str">
        <f aca="false">IF(B3783="","","outreach_sent")</f>
        <v/>
      </c>
      <c r="G3783" s="23" t="str">
        <f aca="false">IF(B3783="","","")</f>
        <v/>
      </c>
      <c r="H3783" s="23" t="str">
        <f aca="false">IF(B3783="","","")</f>
        <v/>
      </c>
      <c r="I3783" s="23" t="str">
        <f aca="false">IF(B3783="","","")</f>
        <v/>
      </c>
      <c r="J3783" s="23" t="str">
        <f aca="false">IF(B3783="","","touch_1; "&amp;IFERROR(INDEX(Clay_Brands!$A$2:$FZ$601,332,Sync!$D$10)&amp;"","")&amp;"; "&amp;IFERROR(INDEX(Clay_Brands!$A$2:$FZ$601,332,Sync!$D$9)&amp;"",""))</f>
        <v/>
      </c>
      <c r="K3783" s="32" t="s">
        <v>1366</v>
      </c>
    </row>
    <row r="3784" customFormat="false" ht="15" hidden="false" customHeight="false" outlineLevel="0" collapsed="false">
      <c r="A3784" s="23" t="str">
        <f aca="false">IF(B3784="","",B3784+(15*1000+333)/10000000)</f>
        <v/>
      </c>
      <c r="B3784" s="35" t="str">
        <f aca="false">IF(AND(IFERROR(N(INDEX(Clay_Brands!$A$2:$FZ$601,333,Sync!$D$11)),0)&gt;0,IFERROR(INDEX(Clay_Brands!$A$2:$FZ$601,333,Sync!$D$5)&amp;"","")&lt;&gt;"",OR(LEFT(IFERROR(INDEX(Clay_Brands!$A$2:$FZ$601,333,Sync!$D$5)&amp;"",""),6)&lt;&gt;"SAMPLE",Config!$B$19="Y")),IFERROR(N(INDEX(Clay_Brands!$A$2:$FZ$601,333,Sync!$D$11)),0),"")</f>
        <v/>
      </c>
      <c r="C3784" s="23" t="str">
        <f aca="false">IF(B3784="","","brand")</f>
        <v/>
      </c>
      <c r="D3784" s="23" t="str">
        <f aca="false">IF(B3784="","",IFERROR(INDEX(Brand_Log!$DV$2:$DV$201,MATCH(IFERROR(INDEX(Clay_Brands!$A$2:$FZ$601,333,Sync!$D$5)&amp;"",""),Brand_Log!$A$2:$A$201,0))&amp;"",IFERROR(INDEX(Clay_Brands!$A$2:$FZ$601,333,Sync!$D$5)&amp;"","")&amp;""))</f>
        <v/>
      </c>
      <c r="E3784" s="23" t="str">
        <f aca="false">IF(B3784="","",IFERROR(INDEX(Clay_Brands!$A$2:$FZ$601,333,Sync!$D$6)&amp;"",""))</f>
        <v/>
      </c>
      <c r="F3784" s="23" t="str">
        <f aca="false">IF(B3784="","","outreach_sent")</f>
        <v/>
      </c>
      <c r="G3784" s="23" t="str">
        <f aca="false">IF(B3784="","","")</f>
        <v/>
      </c>
      <c r="H3784" s="23" t="str">
        <f aca="false">IF(B3784="","","")</f>
        <v/>
      </c>
      <c r="I3784" s="23" t="str">
        <f aca="false">IF(B3784="","","")</f>
        <v/>
      </c>
      <c r="J3784" s="23" t="str">
        <f aca="false">IF(B3784="","","touch_1; "&amp;IFERROR(INDEX(Clay_Brands!$A$2:$FZ$601,333,Sync!$D$10)&amp;"","")&amp;"; "&amp;IFERROR(INDEX(Clay_Brands!$A$2:$FZ$601,333,Sync!$D$9)&amp;"",""))</f>
        <v/>
      </c>
      <c r="K3784" s="32" t="s">
        <v>1366</v>
      </c>
    </row>
    <row r="3785" customFormat="false" ht="15" hidden="false" customHeight="false" outlineLevel="0" collapsed="false">
      <c r="A3785" s="23" t="str">
        <f aca="false">IF(B3785="","",B3785+(15*1000+334)/10000000)</f>
        <v/>
      </c>
      <c r="B3785" s="35" t="str">
        <f aca="false">IF(AND(IFERROR(N(INDEX(Clay_Brands!$A$2:$FZ$601,334,Sync!$D$11)),0)&gt;0,IFERROR(INDEX(Clay_Brands!$A$2:$FZ$601,334,Sync!$D$5)&amp;"","")&lt;&gt;"",OR(LEFT(IFERROR(INDEX(Clay_Brands!$A$2:$FZ$601,334,Sync!$D$5)&amp;"",""),6)&lt;&gt;"SAMPLE",Config!$B$19="Y")),IFERROR(N(INDEX(Clay_Brands!$A$2:$FZ$601,334,Sync!$D$11)),0),"")</f>
        <v/>
      </c>
      <c r="C3785" s="23" t="str">
        <f aca="false">IF(B3785="","","brand")</f>
        <v/>
      </c>
      <c r="D3785" s="23" t="str">
        <f aca="false">IF(B3785="","",IFERROR(INDEX(Brand_Log!$DV$2:$DV$201,MATCH(IFERROR(INDEX(Clay_Brands!$A$2:$FZ$601,334,Sync!$D$5)&amp;"",""),Brand_Log!$A$2:$A$201,0))&amp;"",IFERROR(INDEX(Clay_Brands!$A$2:$FZ$601,334,Sync!$D$5)&amp;"","")&amp;""))</f>
        <v/>
      </c>
      <c r="E3785" s="23" t="str">
        <f aca="false">IF(B3785="","",IFERROR(INDEX(Clay_Brands!$A$2:$FZ$601,334,Sync!$D$6)&amp;"",""))</f>
        <v/>
      </c>
      <c r="F3785" s="23" t="str">
        <f aca="false">IF(B3785="","","outreach_sent")</f>
        <v/>
      </c>
      <c r="G3785" s="23" t="str">
        <f aca="false">IF(B3785="","","")</f>
        <v/>
      </c>
      <c r="H3785" s="23" t="str">
        <f aca="false">IF(B3785="","","")</f>
        <v/>
      </c>
      <c r="I3785" s="23" t="str">
        <f aca="false">IF(B3785="","","")</f>
        <v/>
      </c>
      <c r="J3785" s="23" t="str">
        <f aca="false">IF(B3785="","","touch_1; "&amp;IFERROR(INDEX(Clay_Brands!$A$2:$FZ$601,334,Sync!$D$10)&amp;"","")&amp;"; "&amp;IFERROR(INDEX(Clay_Brands!$A$2:$FZ$601,334,Sync!$D$9)&amp;"",""))</f>
        <v/>
      </c>
      <c r="K3785" s="32" t="s">
        <v>1366</v>
      </c>
    </row>
    <row r="3786" customFormat="false" ht="15" hidden="false" customHeight="false" outlineLevel="0" collapsed="false">
      <c r="A3786" s="23" t="str">
        <f aca="false">IF(B3786="","",B3786+(15*1000+335)/10000000)</f>
        <v/>
      </c>
      <c r="B3786" s="35" t="str">
        <f aca="false">IF(AND(IFERROR(N(INDEX(Clay_Brands!$A$2:$FZ$601,335,Sync!$D$11)),0)&gt;0,IFERROR(INDEX(Clay_Brands!$A$2:$FZ$601,335,Sync!$D$5)&amp;"","")&lt;&gt;"",OR(LEFT(IFERROR(INDEX(Clay_Brands!$A$2:$FZ$601,335,Sync!$D$5)&amp;"",""),6)&lt;&gt;"SAMPLE",Config!$B$19="Y")),IFERROR(N(INDEX(Clay_Brands!$A$2:$FZ$601,335,Sync!$D$11)),0),"")</f>
        <v/>
      </c>
      <c r="C3786" s="23" t="str">
        <f aca="false">IF(B3786="","","brand")</f>
        <v/>
      </c>
      <c r="D3786" s="23" t="str">
        <f aca="false">IF(B3786="","",IFERROR(INDEX(Brand_Log!$DV$2:$DV$201,MATCH(IFERROR(INDEX(Clay_Brands!$A$2:$FZ$601,335,Sync!$D$5)&amp;"",""),Brand_Log!$A$2:$A$201,0))&amp;"",IFERROR(INDEX(Clay_Brands!$A$2:$FZ$601,335,Sync!$D$5)&amp;"","")&amp;""))</f>
        <v/>
      </c>
      <c r="E3786" s="23" t="str">
        <f aca="false">IF(B3786="","",IFERROR(INDEX(Clay_Brands!$A$2:$FZ$601,335,Sync!$D$6)&amp;"",""))</f>
        <v/>
      </c>
      <c r="F3786" s="23" t="str">
        <f aca="false">IF(B3786="","","outreach_sent")</f>
        <v/>
      </c>
      <c r="G3786" s="23" t="str">
        <f aca="false">IF(B3786="","","")</f>
        <v/>
      </c>
      <c r="H3786" s="23" t="str">
        <f aca="false">IF(B3786="","","")</f>
        <v/>
      </c>
      <c r="I3786" s="23" t="str">
        <f aca="false">IF(B3786="","","")</f>
        <v/>
      </c>
      <c r="J3786" s="23" t="str">
        <f aca="false">IF(B3786="","","touch_1; "&amp;IFERROR(INDEX(Clay_Brands!$A$2:$FZ$601,335,Sync!$D$10)&amp;"","")&amp;"; "&amp;IFERROR(INDEX(Clay_Brands!$A$2:$FZ$601,335,Sync!$D$9)&amp;"",""))</f>
        <v/>
      </c>
      <c r="K3786" s="32" t="s">
        <v>1366</v>
      </c>
    </row>
    <row r="3787" customFormat="false" ht="15" hidden="false" customHeight="false" outlineLevel="0" collapsed="false">
      <c r="A3787" s="23" t="str">
        <f aca="false">IF(B3787="","",B3787+(15*1000+336)/10000000)</f>
        <v/>
      </c>
      <c r="B3787" s="35" t="str">
        <f aca="false">IF(AND(IFERROR(N(INDEX(Clay_Brands!$A$2:$FZ$601,336,Sync!$D$11)),0)&gt;0,IFERROR(INDEX(Clay_Brands!$A$2:$FZ$601,336,Sync!$D$5)&amp;"","")&lt;&gt;"",OR(LEFT(IFERROR(INDEX(Clay_Brands!$A$2:$FZ$601,336,Sync!$D$5)&amp;"",""),6)&lt;&gt;"SAMPLE",Config!$B$19="Y")),IFERROR(N(INDEX(Clay_Brands!$A$2:$FZ$601,336,Sync!$D$11)),0),"")</f>
        <v/>
      </c>
      <c r="C3787" s="23" t="str">
        <f aca="false">IF(B3787="","","brand")</f>
        <v/>
      </c>
      <c r="D3787" s="23" t="str">
        <f aca="false">IF(B3787="","",IFERROR(INDEX(Brand_Log!$DV$2:$DV$201,MATCH(IFERROR(INDEX(Clay_Brands!$A$2:$FZ$601,336,Sync!$D$5)&amp;"",""),Brand_Log!$A$2:$A$201,0))&amp;"",IFERROR(INDEX(Clay_Brands!$A$2:$FZ$601,336,Sync!$D$5)&amp;"","")&amp;""))</f>
        <v/>
      </c>
      <c r="E3787" s="23" t="str">
        <f aca="false">IF(B3787="","",IFERROR(INDEX(Clay_Brands!$A$2:$FZ$601,336,Sync!$D$6)&amp;"",""))</f>
        <v/>
      </c>
      <c r="F3787" s="23" t="str">
        <f aca="false">IF(B3787="","","outreach_sent")</f>
        <v/>
      </c>
      <c r="G3787" s="23" t="str">
        <f aca="false">IF(B3787="","","")</f>
        <v/>
      </c>
      <c r="H3787" s="23" t="str">
        <f aca="false">IF(B3787="","","")</f>
        <v/>
      </c>
      <c r="I3787" s="23" t="str">
        <f aca="false">IF(B3787="","","")</f>
        <v/>
      </c>
      <c r="J3787" s="23" t="str">
        <f aca="false">IF(B3787="","","touch_1; "&amp;IFERROR(INDEX(Clay_Brands!$A$2:$FZ$601,336,Sync!$D$10)&amp;"","")&amp;"; "&amp;IFERROR(INDEX(Clay_Brands!$A$2:$FZ$601,336,Sync!$D$9)&amp;"",""))</f>
        <v/>
      </c>
      <c r="K3787" s="32" t="s">
        <v>1366</v>
      </c>
    </row>
    <row r="3788" customFormat="false" ht="15" hidden="false" customHeight="false" outlineLevel="0" collapsed="false">
      <c r="A3788" s="23" t="str">
        <f aca="false">IF(B3788="","",B3788+(15*1000+337)/10000000)</f>
        <v/>
      </c>
      <c r="B3788" s="35" t="str">
        <f aca="false">IF(AND(IFERROR(N(INDEX(Clay_Brands!$A$2:$FZ$601,337,Sync!$D$11)),0)&gt;0,IFERROR(INDEX(Clay_Brands!$A$2:$FZ$601,337,Sync!$D$5)&amp;"","")&lt;&gt;"",OR(LEFT(IFERROR(INDEX(Clay_Brands!$A$2:$FZ$601,337,Sync!$D$5)&amp;"",""),6)&lt;&gt;"SAMPLE",Config!$B$19="Y")),IFERROR(N(INDEX(Clay_Brands!$A$2:$FZ$601,337,Sync!$D$11)),0),"")</f>
        <v/>
      </c>
      <c r="C3788" s="23" t="str">
        <f aca="false">IF(B3788="","","brand")</f>
        <v/>
      </c>
      <c r="D3788" s="23" t="str">
        <f aca="false">IF(B3788="","",IFERROR(INDEX(Brand_Log!$DV$2:$DV$201,MATCH(IFERROR(INDEX(Clay_Brands!$A$2:$FZ$601,337,Sync!$D$5)&amp;"",""),Brand_Log!$A$2:$A$201,0))&amp;"",IFERROR(INDEX(Clay_Brands!$A$2:$FZ$601,337,Sync!$D$5)&amp;"","")&amp;""))</f>
        <v/>
      </c>
      <c r="E3788" s="23" t="str">
        <f aca="false">IF(B3788="","",IFERROR(INDEX(Clay_Brands!$A$2:$FZ$601,337,Sync!$D$6)&amp;"",""))</f>
        <v/>
      </c>
      <c r="F3788" s="23" t="str">
        <f aca="false">IF(B3788="","","outreach_sent")</f>
        <v/>
      </c>
      <c r="G3788" s="23" t="str">
        <f aca="false">IF(B3788="","","")</f>
        <v/>
      </c>
      <c r="H3788" s="23" t="str">
        <f aca="false">IF(B3788="","","")</f>
        <v/>
      </c>
      <c r="I3788" s="23" t="str">
        <f aca="false">IF(B3788="","","")</f>
        <v/>
      </c>
      <c r="J3788" s="23" t="str">
        <f aca="false">IF(B3788="","","touch_1; "&amp;IFERROR(INDEX(Clay_Brands!$A$2:$FZ$601,337,Sync!$D$10)&amp;"","")&amp;"; "&amp;IFERROR(INDEX(Clay_Brands!$A$2:$FZ$601,337,Sync!$D$9)&amp;"",""))</f>
        <v/>
      </c>
      <c r="K3788" s="32" t="s">
        <v>1366</v>
      </c>
    </row>
    <row r="3789" customFormat="false" ht="15" hidden="false" customHeight="false" outlineLevel="0" collapsed="false">
      <c r="A3789" s="23" t="str">
        <f aca="false">IF(B3789="","",B3789+(15*1000+338)/10000000)</f>
        <v/>
      </c>
      <c r="B3789" s="35" t="str">
        <f aca="false">IF(AND(IFERROR(N(INDEX(Clay_Brands!$A$2:$FZ$601,338,Sync!$D$11)),0)&gt;0,IFERROR(INDEX(Clay_Brands!$A$2:$FZ$601,338,Sync!$D$5)&amp;"","")&lt;&gt;"",OR(LEFT(IFERROR(INDEX(Clay_Brands!$A$2:$FZ$601,338,Sync!$D$5)&amp;"",""),6)&lt;&gt;"SAMPLE",Config!$B$19="Y")),IFERROR(N(INDEX(Clay_Brands!$A$2:$FZ$601,338,Sync!$D$11)),0),"")</f>
        <v/>
      </c>
      <c r="C3789" s="23" t="str">
        <f aca="false">IF(B3789="","","brand")</f>
        <v/>
      </c>
      <c r="D3789" s="23" t="str">
        <f aca="false">IF(B3789="","",IFERROR(INDEX(Brand_Log!$DV$2:$DV$201,MATCH(IFERROR(INDEX(Clay_Brands!$A$2:$FZ$601,338,Sync!$D$5)&amp;"",""),Brand_Log!$A$2:$A$201,0))&amp;"",IFERROR(INDEX(Clay_Brands!$A$2:$FZ$601,338,Sync!$D$5)&amp;"","")&amp;""))</f>
        <v/>
      </c>
      <c r="E3789" s="23" t="str">
        <f aca="false">IF(B3789="","",IFERROR(INDEX(Clay_Brands!$A$2:$FZ$601,338,Sync!$D$6)&amp;"",""))</f>
        <v/>
      </c>
      <c r="F3789" s="23" t="str">
        <f aca="false">IF(B3789="","","outreach_sent")</f>
        <v/>
      </c>
      <c r="G3789" s="23" t="str">
        <f aca="false">IF(B3789="","","")</f>
        <v/>
      </c>
      <c r="H3789" s="23" t="str">
        <f aca="false">IF(B3789="","","")</f>
        <v/>
      </c>
      <c r="I3789" s="23" t="str">
        <f aca="false">IF(B3789="","","")</f>
        <v/>
      </c>
      <c r="J3789" s="23" t="str">
        <f aca="false">IF(B3789="","","touch_1; "&amp;IFERROR(INDEX(Clay_Brands!$A$2:$FZ$601,338,Sync!$D$10)&amp;"","")&amp;"; "&amp;IFERROR(INDEX(Clay_Brands!$A$2:$FZ$601,338,Sync!$D$9)&amp;"",""))</f>
        <v/>
      </c>
      <c r="K3789" s="32" t="s">
        <v>1366</v>
      </c>
    </row>
    <row r="3790" customFormat="false" ht="15" hidden="false" customHeight="false" outlineLevel="0" collapsed="false">
      <c r="A3790" s="23" t="str">
        <f aca="false">IF(B3790="","",B3790+(15*1000+339)/10000000)</f>
        <v/>
      </c>
      <c r="B3790" s="35" t="str">
        <f aca="false">IF(AND(IFERROR(N(INDEX(Clay_Brands!$A$2:$FZ$601,339,Sync!$D$11)),0)&gt;0,IFERROR(INDEX(Clay_Brands!$A$2:$FZ$601,339,Sync!$D$5)&amp;"","")&lt;&gt;"",OR(LEFT(IFERROR(INDEX(Clay_Brands!$A$2:$FZ$601,339,Sync!$D$5)&amp;"",""),6)&lt;&gt;"SAMPLE",Config!$B$19="Y")),IFERROR(N(INDEX(Clay_Brands!$A$2:$FZ$601,339,Sync!$D$11)),0),"")</f>
        <v/>
      </c>
      <c r="C3790" s="23" t="str">
        <f aca="false">IF(B3790="","","brand")</f>
        <v/>
      </c>
      <c r="D3790" s="23" t="str">
        <f aca="false">IF(B3790="","",IFERROR(INDEX(Brand_Log!$DV$2:$DV$201,MATCH(IFERROR(INDEX(Clay_Brands!$A$2:$FZ$601,339,Sync!$D$5)&amp;"",""),Brand_Log!$A$2:$A$201,0))&amp;"",IFERROR(INDEX(Clay_Brands!$A$2:$FZ$601,339,Sync!$D$5)&amp;"","")&amp;""))</f>
        <v/>
      </c>
      <c r="E3790" s="23" t="str">
        <f aca="false">IF(B3790="","",IFERROR(INDEX(Clay_Brands!$A$2:$FZ$601,339,Sync!$D$6)&amp;"",""))</f>
        <v/>
      </c>
      <c r="F3790" s="23" t="str">
        <f aca="false">IF(B3790="","","outreach_sent")</f>
        <v/>
      </c>
      <c r="G3790" s="23" t="str">
        <f aca="false">IF(B3790="","","")</f>
        <v/>
      </c>
      <c r="H3790" s="23" t="str">
        <f aca="false">IF(B3790="","","")</f>
        <v/>
      </c>
      <c r="I3790" s="23" t="str">
        <f aca="false">IF(B3790="","","")</f>
        <v/>
      </c>
      <c r="J3790" s="23" t="str">
        <f aca="false">IF(B3790="","","touch_1; "&amp;IFERROR(INDEX(Clay_Brands!$A$2:$FZ$601,339,Sync!$D$10)&amp;"","")&amp;"; "&amp;IFERROR(INDEX(Clay_Brands!$A$2:$FZ$601,339,Sync!$D$9)&amp;"",""))</f>
        <v/>
      </c>
      <c r="K3790" s="32" t="s">
        <v>1366</v>
      </c>
    </row>
    <row r="3791" customFormat="false" ht="15" hidden="false" customHeight="false" outlineLevel="0" collapsed="false">
      <c r="A3791" s="23" t="str">
        <f aca="false">IF(B3791="","",B3791+(15*1000+340)/10000000)</f>
        <v/>
      </c>
      <c r="B3791" s="35" t="str">
        <f aca="false">IF(AND(IFERROR(N(INDEX(Clay_Brands!$A$2:$FZ$601,340,Sync!$D$11)),0)&gt;0,IFERROR(INDEX(Clay_Brands!$A$2:$FZ$601,340,Sync!$D$5)&amp;"","")&lt;&gt;"",OR(LEFT(IFERROR(INDEX(Clay_Brands!$A$2:$FZ$601,340,Sync!$D$5)&amp;"",""),6)&lt;&gt;"SAMPLE",Config!$B$19="Y")),IFERROR(N(INDEX(Clay_Brands!$A$2:$FZ$601,340,Sync!$D$11)),0),"")</f>
        <v/>
      </c>
      <c r="C3791" s="23" t="str">
        <f aca="false">IF(B3791="","","brand")</f>
        <v/>
      </c>
      <c r="D3791" s="23" t="str">
        <f aca="false">IF(B3791="","",IFERROR(INDEX(Brand_Log!$DV$2:$DV$201,MATCH(IFERROR(INDEX(Clay_Brands!$A$2:$FZ$601,340,Sync!$D$5)&amp;"",""),Brand_Log!$A$2:$A$201,0))&amp;"",IFERROR(INDEX(Clay_Brands!$A$2:$FZ$601,340,Sync!$D$5)&amp;"","")&amp;""))</f>
        <v/>
      </c>
      <c r="E3791" s="23" t="str">
        <f aca="false">IF(B3791="","",IFERROR(INDEX(Clay_Brands!$A$2:$FZ$601,340,Sync!$D$6)&amp;"",""))</f>
        <v/>
      </c>
      <c r="F3791" s="23" t="str">
        <f aca="false">IF(B3791="","","outreach_sent")</f>
        <v/>
      </c>
      <c r="G3791" s="23" t="str">
        <f aca="false">IF(B3791="","","")</f>
        <v/>
      </c>
      <c r="H3791" s="23" t="str">
        <f aca="false">IF(B3791="","","")</f>
        <v/>
      </c>
      <c r="I3791" s="23" t="str">
        <f aca="false">IF(B3791="","","")</f>
        <v/>
      </c>
      <c r="J3791" s="23" t="str">
        <f aca="false">IF(B3791="","","touch_1; "&amp;IFERROR(INDEX(Clay_Brands!$A$2:$FZ$601,340,Sync!$D$10)&amp;"","")&amp;"; "&amp;IFERROR(INDEX(Clay_Brands!$A$2:$FZ$601,340,Sync!$D$9)&amp;"",""))</f>
        <v/>
      </c>
      <c r="K3791" s="32" t="s">
        <v>1366</v>
      </c>
    </row>
    <row r="3792" customFormat="false" ht="15" hidden="false" customHeight="false" outlineLevel="0" collapsed="false">
      <c r="A3792" s="23" t="str">
        <f aca="false">IF(B3792="","",B3792+(15*1000+341)/10000000)</f>
        <v/>
      </c>
      <c r="B3792" s="35" t="str">
        <f aca="false">IF(AND(IFERROR(N(INDEX(Clay_Brands!$A$2:$FZ$601,341,Sync!$D$11)),0)&gt;0,IFERROR(INDEX(Clay_Brands!$A$2:$FZ$601,341,Sync!$D$5)&amp;"","")&lt;&gt;"",OR(LEFT(IFERROR(INDEX(Clay_Brands!$A$2:$FZ$601,341,Sync!$D$5)&amp;"",""),6)&lt;&gt;"SAMPLE",Config!$B$19="Y")),IFERROR(N(INDEX(Clay_Brands!$A$2:$FZ$601,341,Sync!$D$11)),0),"")</f>
        <v/>
      </c>
      <c r="C3792" s="23" t="str">
        <f aca="false">IF(B3792="","","brand")</f>
        <v/>
      </c>
      <c r="D3792" s="23" t="str">
        <f aca="false">IF(B3792="","",IFERROR(INDEX(Brand_Log!$DV$2:$DV$201,MATCH(IFERROR(INDEX(Clay_Brands!$A$2:$FZ$601,341,Sync!$D$5)&amp;"",""),Brand_Log!$A$2:$A$201,0))&amp;"",IFERROR(INDEX(Clay_Brands!$A$2:$FZ$601,341,Sync!$D$5)&amp;"","")&amp;""))</f>
        <v/>
      </c>
      <c r="E3792" s="23" t="str">
        <f aca="false">IF(B3792="","",IFERROR(INDEX(Clay_Brands!$A$2:$FZ$601,341,Sync!$D$6)&amp;"",""))</f>
        <v/>
      </c>
      <c r="F3792" s="23" t="str">
        <f aca="false">IF(B3792="","","outreach_sent")</f>
        <v/>
      </c>
      <c r="G3792" s="23" t="str">
        <f aca="false">IF(B3792="","","")</f>
        <v/>
      </c>
      <c r="H3792" s="23" t="str">
        <f aca="false">IF(B3792="","","")</f>
        <v/>
      </c>
      <c r="I3792" s="23" t="str">
        <f aca="false">IF(B3792="","","")</f>
        <v/>
      </c>
      <c r="J3792" s="23" t="str">
        <f aca="false">IF(B3792="","","touch_1; "&amp;IFERROR(INDEX(Clay_Brands!$A$2:$FZ$601,341,Sync!$D$10)&amp;"","")&amp;"; "&amp;IFERROR(INDEX(Clay_Brands!$A$2:$FZ$601,341,Sync!$D$9)&amp;"",""))</f>
        <v/>
      </c>
      <c r="K3792" s="32" t="s">
        <v>1366</v>
      </c>
    </row>
    <row r="3793" customFormat="false" ht="15" hidden="false" customHeight="false" outlineLevel="0" collapsed="false">
      <c r="A3793" s="23" t="str">
        <f aca="false">IF(B3793="","",B3793+(15*1000+342)/10000000)</f>
        <v/>
      </c>
      <c r="B3793" s="35" t="str">
        <f aca="false">IF(AND(IFERROR(N(INDEX(Clay_Brands!$A$2:$FZ$601,342,Sync!$D$11)),0)&gt;0,IFERROR(INDEX(Clay_Brands!$A$2:$FZ$601,342,Sync!$D$5)&amp;"","")&lt;&gt;"",OR(LEFT(IFERROR(INDEX(Clay_Brands!$A$2:$FZ$601,342,Sync!$D$5)&amp;"",""),6)&lt;&gt;"SAMPLE",Config!$B$19="Y")),IFERROR(N(INDEX(Clay_Brands!$A$2:$FZ$601,342,Sync!$D$11)),0),"")</f>
        <v/>
      </c>
      <c r="C3793" s="23" t="str">
        <f aca="false">IF(B3793="","","brand")</f>
        <v/>
      </c>
      <c r="D3793" s="23" t="str">
        <f aca="false">IF(B3793="","",IFERROR(INDEX(Brand_Log!$DV$2:$DV$201,MATCH(IFERROR(INDEX(Clay_Brands!$A$2:$FZ$601,342,Sync!$D$5)&amp;"",""),Brand_Log!$A$2:$A$201,0))&amp;"",IFERROR(INDEX(Clay_Brands!$A$2:$FZ$601,342,Sync!$D$5)&amp;"","")&amp;""))</f>
        <v/>
      </c>
      <c r="E3793" s="23" t="str">
        <f aca="false">IF(B3793="","",IFERROR(INDEX(Clay_Brands!$A$2:$FZ$601,342,Sync!$D$6)&amp;"",""))</f>
        <v/>
      </c>
      <c r="F3793" s="23" t="str">
        <f aca="false">IF(B3793="","","outreach_sent")</f>
        <v/>
      </c>
      <c r="G3793" s="23" t="str">
        <f aca="false">IF(B3793="","","")</f>
        <v/>
      </c>
      <c r="H3793" s="23" t="str">
        <f aca="false">IF(B3793="","","")</f>
        <v/>
      </c>
      <c r="I3793" s="23" t="str">
        <f aca="false">IF(B3793="","","")</f>
        <v/>
      </c>
      <c r="J3793" s="23" t="str">
        <f aca="false">IF(B3793="","","touch_1; "&amp;IFERROR(INDEX(Clay_Brands!$A$2:$FZ$601,342,Sync!$D$10)&amp;"","")&amp;"; "&amp;IFERROR(INDEX(Clay_Brands!$A$2:$FZ$601,342,Sync!$D$9)&amp;"",""))</f>
        <v/>
      </c>
      <c r="K3793" s="32" t="s">
        <v>1366</v>
      </c>
    </row>
    <row r="3794" customFormat="false" ht="15" hidden="false" customHeight="false" outlineLevel="0" collapsed="false">
      <c r="A3794" s="23" t="str">
        <f aca="false">IF(B3794="","",B3794+(15*1000+343)/10000000)</f>
        <v/>
      </c>
      <c r="B3794" s="35" t="str">
        <f aca="false">IF(AND(IFERROR(N(INDEX(Clay_Brands!$A$2:$FZ$601,343,Sync!$D$11)),0)&gt;0,IFERROR(INDEX(Clay_Brands!$A$2:$FZ$601,343,Sync!$D$5)&amp;"","")&lt;&gt;"",OR(LEFT(IFERROR(INDEX(Clay_Brands!$A$2:$FZ$601,343,Sync!$D$5)&amp;"",""),6)&lt;&gt;"SAMPLE",Config!$B$19="Y")),IFERROR(N(INDEX(Clay_Brands!$A$2:$FZ$601,343,Sync!$D$11)),0),"")</f>
        <v/>
      </c>
      <c r="C3794" s="23" t="str">
        <f aca="false">IF(B3794="","","brand")</f>
        <v/>
      </c>
      <c r="D3794" s="23" t="str">
        <f aca="false">IF(B3794="","",IFERROR(INDEX(Brand_Log!$DV$2:$DV$201,MATCH(IFERROR(INDEX(Clay_Brands!$A$2:$FZ$601,343,Sync!$D$5)&amp;"",""),Brand_Log!$A$2:$A$201,0))&amp;"",IFERROR(INDEX(Clay_Brands!$A$2:$FZ$601,343,Sync!$D$5)&amp;"","")&amp;""))</f>
        <v/>
      </c>
      <c r="E3794" s="23" t="str">
        <f aca="false">IF(B3794="","",IFERROR(INDEX(Clay_Brands!$A$2:$FZ$601,343,Sync!$D$6)&amp;"",""))</f>
        <v/>
      </c>
      <c r="F3794" s="23" t="str">
        <f aca="false">IF(B3794="","","outreach_sent")</f>
        <v/>
      </c>
      <c r="G3794" s="23" t="str">
        <f aca="false">IF(B3794="","","")</f>
        <v/>
      </c>
      <c r="H3794" s="23" t="str">
        <f aca="false">IF(B3794="","","")</f>
        <v/>
      </c>
      <c r="I3794" s="23" t="str">
        <f aca="false">IF(B3794="","","")</f>
        <v/>
      </c>
      <c r="J3794" s="23" t="str">
        <f aca="false">IF(B3794="","","touch_1; "&amp;IFERROR(INDEX(Clay_Brands!$A$2:$FZ$601,343,Sync!$D$10)&amp;"","")&amp;"; "&amp;IFERROR(INDEX(Clay_Brands!$A$2:$FZ$601,343,Sync!$D$9)&amp;"",""))</f>
        <v/>
      </c>
      <c r="K3794" s="32" t="s">
        <v>1366</v>
      </c>
    </row>
    <row r="3795" customFormat="false" ht="15" hidden="false" customHeight="false" outlineLevel="0" collapsed="false">
      <c r="A3795" s="23" t="str">
        <f aca="false">IF(B3795="","",B3795+(15*1000+344)/10000000)</f>
        <v/>
      </c>
      <c r="B3795" s="35" t="str">
        <f aca="false">IF(AND(IFERROR(N(INDEX(Clay_Brands!$A$2:$FZ$601,344,Sync!$D$11)),0)&gt;0,IFERROR(INDEX(Clay_Brands!$A$2:$FZ$601,344,Sync!$D$5)&amp;"","")&lt;&gt;"",OR(LEFT(IFERROR(INDEX(Clay_Brands!$A$2:$FZ$601,344,Sync!$D$5)&amp;"",""),6)&lt;&gt;"SAMPLE",Config!$B$19="Y")),IFERROR(N(INDEX(Clay_Brands!$A$2:$FZ$601,344,Sync!$D$11)),0),"")</f>
        <v/>
      </c>
      <c r="C3795" s="23" t="str">
        <f aca="false">IF(B3795="","","brand")</f>
        <v/>
      </c>
      <c r="D3795" s="23" t="str">
        <f aca="false">IF(B3795="","",IFERROR(INDEX(Brand_Log!$DV$2:$DV$201,MATCH(IFERROR(INDEX(Clay_Brands!$A$2:$FZ$601,344,Sync!$D$5)&amp;"",""),Brand_Log!$A$2:$A$201,0))&amp;"",IFERROR(INDEX(Clay_Brands!$A$2:$FZ$601,344,Sync!$D$5)&amp;"","")&amp;""))</f>
        <v/>
      </c>
      <c r="E3795" s="23" t="str">
        <f aca="false">IF(B3795="","",IFERROR(INDEX(Clay_Brands!$A$2:$FZ$601,344,Sync!$D$6)&amp;"",""))</f>
        <v/>
      </c>
      <c r="F3795" s="23" t="str">
        <f aca="false">IF(B3795="","","outreach_sent")</f>
        <v/>
      </c>
      <c r="G3795" s="23" t="str">
        <f aca="false">IF(B3795="","","")</f>
        <v/>
      </c>
      <c r="H3795" s="23" t="str">
        <f aca="false">IF(B3795="","","")</f>
        <v/>
      </c>
      <c r="I3795" s="23" t="str">
        <f aca="false">IF(B3795="","","")</f>
        <v/>
      </c>
      <c r="J3795" s="23" t="str">
        <f aca="false">IF(B3795="","","touch_1; "&amp;IFERROR(INDEX(Clay_Brands!$A$2:$FZ$601,344,Sync!$D$10)&amp;"","")&amp;"; "&amp;IFERROR(INDEX(Clay_Brands!$A$2:$FZ$601,344,Sync!$D$9)&amp;"",""))</f>
        <v/>
      </c>
      <c r="K3795" s="32" t="s">
        <v>1366</v>
      </c>
    </row>
    <row r="3796" customFormat="false" ht="15" hidden="false" customHeight="false" outlineLevel="0" collapsed="false">
      <c r="A3796" s="23" t="str">
        <f aca="false">IF(B3796="","",B3796+(15*1000+345)/10000000)</f>
        <v/>
      </c>
      <c r="B3796" s="35" t="str">
        <f aca="false">IF(AND(IFERROR(N(INDEX(Clay_Brands!$A$2:$FZ$601,345,Sync!$D$11)),0)&gt;0,IFERROR(INDEX(Clay_Brands!$A$2:$FZ$601,345,Sync!$D$5)&amp;"","")&lt;&gt;"",OR(LEFT(IFERROR(INDEX(Clay_Brands!$A$2:$FZ$601,345,Sync!$D$5)&amp;"",""),6)&lt;&gt;"SAMPLE",Config!$B$19="Y")),IFERROR(N(INDEX(Clay_Brands!$A$2:$FZ$601,345,Sync!$D$11)),0),"")</f>
        <v/>
      </c>
      <c r="C3796" s="23" t="str">
        <f aca="false">IF(B3796="","","brand")</f>
        <v/>
      </c>
      <c r="D3796" s="23" t="str">
        <f aca="false">IF(B3796="","",IFERROR(INDEX(Brand_Log!$DV$2:$DV$201,MATCH(IFERROR(INDEX(Clay_Brands!$A$2:$FZ$601,345,Sync!$D$5)&amp;"",""),Brand_Log!$A$2:$A$201,0))&amp;"",IFERROR(INDEX(Clay_Brands!$A$2:$FZ$601,345,Sync!$D$5)&amp;"","")&amp;""))</f>
        <v/>
      </c>
      <c r="E3796" s="23" t="str">
        <f aca="false">IF(B3796="","",IFERROR(INDEX(Clay_Brands!$A$2:$FZ$601,345,Sync!$D$6)&amp;"",""))</f>
        <v/>
      </c>
      <c r="F3796" s="23" t="str">
        <f aca="false">IF(B3796="","","outreach_sent")</f>
        <v/>
      </c>
      <c r="G3796" s="23" t="str">
        <f aca="false">IF(B3796="","","")</f>
        <v/>
      </c>
      <c r="H3796" s="23" t="str">
        <f aca="false">IF(B3796="","","")</f>
        <v/>
      </c>
      <c r="I3796" s="23" t="str">
        <f aca="false">IF(B3796="","","")</f>
        <v/>
      </c>
      <c r="J3796" s="23" t="str">
        <f aca="false">IF(B3796="","","touch_1; "&amp;IFERROR(INDEX(Clay_Brands!$A$2:$FZ$601,345,Sync!$D$10)&amp;"","")&amp;"; "&amp;IFERROR(INDEX(Clay_Brands!$A$2:$FZ$601,345,Sync!$D$9)&amp;"",""))</f>
        <v/>
      </c>
      <c r="K3796" s="32" t="s">
        <v>1366</v>
      </c>
    </row>
    <row r="3797" customFormat="false" ht="15" hidden="false" customHeight="false" outlineLevel="0" collapsed="false">
      <c r="A3797" s="23" t="str">
        <f aca="false">IF(B3797="","",B3797+(15*1000+346)/10000000)</f>
        <v/>
      </c>
      <c r="B3797" s="35" t="str">
        <f aca="false">IF(AND(IFERROR(N(INDEX(Clay_Brands!$A$2:$FZ$601,346,Sync!$D$11)),0)&gt;0,IFERROR(INDEX(Clay_Brands!$A$2:$FZ$601,346,Sync!$D$5)&amp;"","")&lt;&gt;"",OR(LEFT(IFERROR(INDEX(Clay_Brands!$A$2:$FZ$601,346,Sync!$D$5)&amp;"",""),6)&lt;&gt;"SAMPLE",Config!$B$19="Y")),IFERROR(N(INDEX(Clay_Brands!$A$2:$FZ$601,346,Sync!$D$11)),0),"")</f>
        <v/>
      </c>
      <c r="C3797" s="23" t="str">
        <f aca="false">IF(B3797="","","brand")</f>
        <v/>
      </c>
      <c r="D3797" s="23" t="str">
        <f aca="false">IF(B3797="","",IFERROR(INDEX(Brand_Log!$DV$2:$DV$201,MATCH(IFERROR(INDEX(Clay_Brands!$A$2:$FZ$601,346,Sync!$D$5)&amp;"",""),Brand_Log!$A$2:$A$201,0))&amp;"",IFERROR(INDEX(Clay_Brands!$A$2:$FZ$601,346,Sync!$D$5)&amp;"","")&amp;""))</f>
        <v/>
      </c>
      <c r="E3797" s="23" t="str">
        <f aca="false">IF(B3797="","",IFERROR(INDEX(Clay_Brands!$A$2:$FZ$601,346,Sync!$D$6)&amp;"",""))</f>
        <v/>
      </c>
      <c r="F3797" s="23" t="str">
        <f aca="false">IF(B3797="","","outreach_sent")</f>
        <v/>
      </c>
      <c r="G3797" s="23" t="str">
        <f aca="false">IF(B3797="","","")</f>
        <v/>
      </c>
      <c r="H3797" s="23" t="str">
        <f aca="false">IF(B3797="","","")</f>
        <v/>
      </c>
      <c r="I3797" s="23" t="str">
        <f aca="false">IF(B3797="","","")</f>
        <v/>
      </c>
      <c r="J3797" s="23" t="str">
        <f aca="false">IF(B3797="","","touch_1; "&amp;IFERROR(INDEX(Clay_Brands!$A$2:$FZ$601,346,Sync!$D$10)&amp;"","")&amp;"; "&amp;IFERROR(INDEX(Clay_Brands!$A$2:$FZ$601,346,Sync!$D$9)&amp;"",""))</f>
        <v/>
      </c>
      <c r="K3797" s="32" t="s">
        <v>1366</v>
      </c>
    </row>
    <row r="3798" customFormat="false" ht="15" hidden="false" customHeight="false" outlineLevel="0" collapsed="false">
      <c r="A3798" s="23" t="str">
        <f aca="false">IF(B3798="","",B3798+(15*1000+347)/10000000)</f>
        <v/>
      </c>
      <c r="B3798" s="35" t="str">
        <f aca="false">IF(AND(IFERROR(N(INDEX(Clay_Brands!$A$2:$FZ$601,347,Sync!$D$11)),0)&gt;0,IFERROR(INDEX(Clay_Brands!$A$2:$FZ$601,347,Sync!$D$5)&amp;"","")&lt;&gt;"",OR(LEFT(IFERROR(INDEX(Clay_Brands!$A$2:$FZ$601,347,Sync!$D$5)&amp;"",""),6)&lt;&gt;"SAMPLE",Config!$B$19="Y")),IFERROR(N(INDEX(Clay_Brands!$A$2:$FZ$601,347,Sync!$D$11)),0),"")</f>
        <v/>
      </c>
      <c r="C3798" s="23" t="str">
        <f aca="false">IF(B3798="","","brand")</f>
        <v/>
      </c>
      <c r="D3798" s="23" t="str">
        <f aca="false">IF(B3798="","",IFERROR(INDEX(Brand_Log!$DV$2:$DV$201,MATCH(IFERROR(INDEX(Clay_Brands!$A$2:$FZ$601,347,Sync!$D$5)&amp;"",""),Brand_Log!$A$2:$A$201,0))&amp;"",IFERROR(INDEX(Clay_Brands!$A$2:$FZ$601,347,Sync!$D$5)&amp;"","")&amp;""))</f>
        <v/>
      </c>
      <c r="E3798" s="23" t="str">
        <f aca="false">IF(B3798="","",IFERROR(INDEX(Clay_Brands!$A$2:$FZ$601,347,Sync!$D$6)&amp;"",""))</f>
        <v/>
      </c>
      <c r="F3798" s="23" t="str">
        <f aca="false">IF(B3798="","","outreach_sent")</f>
        <v/>
      </c>
      <c r="G3798" s="23" t="str">
        <f aca="false">IF(B3798="","","")</f>
        <v/>
      </c>
      <c r="H3798" s="23" t="str">
        <f aca="false">IF(B3798="","","")</f>
        <v/>
      </c>
      <c r="I3798" s="23" t="str">
        <f aca="false">IF(B3798="","","")</f>
        <v/>
      </c>
      <c r="J3798" s="23" t="str">
        <f aca="false">IF(B3798="","","touch_1; "&amp;IFERROR(INDEX(Clay_Brands!$A$2:$FZ$601,347,Sync!$D$10)&amp;"","")&amp;"; "&amp;IFERROR(INDEX(Clay_Brands!$A$2:$FZ$601,347,Sync!$D$9)&amp;"",""))</f>
        <v/>
      </c>
      <c r="K3798" s="32" t="s">
        <v>1366</v>
      </c>
    </row>
    <row r="3799" customFormat="false" ht="15" hidden="false" customHeight="false" outlineLevel="0" collapsed="false">
      <c r="A3799" s="23" t="str">
        <f aca="false">IF(B3799="","",B3799+(15*1000+348)/10000000)</f>
        <v/>
      </c>
      <c r="B3799" s="35" t="str">
        <f aca="false">IF(AND(IFERROR(N(INDEX(Clay_Brands!$A$2:$FZ$601,348,Sync!$D$11)),0)&gt;0,IFERROR(INDEX(Clay_Brands!$A$2:$FZ$601,348,Sync!$D$5)&amp;"","")&lt;&gt;"",OR(LEFT(IFERROR(INDEX(Clay_Brands!$A$2:$FZ$601,348,Sync!$D$5)&amp;"",""),6)&lt;&gt;"SAMPLE",Config!$B$19="Y")),IFERROR(N(INDEX(Clay_Brands!$A$2:$FZ$601,348,Sync!$D$11)),0),"")</f>
        <v/>
      </c>
      <c r="C3799" s="23" t="str">
        <f aca="false">IF(B3799="","","brand")</f>
        <v/>
      </c>
      <c r="D3799" s="23" t="str">
        <f aca="false">IF(B3799="","",IFERROR(INDEX(Brand_Log!$DV$2:$DV$201,MATCH(IFERROR(INDEX(Clay_Brands!$A$2:$FZ$601,348,Sync!$D$5)&amp;"",""),Brand_Log!$A$2:$A$201,0))&amp;"",IFERROR(INDEX(Clay_Brands!$A$2:$FZ$601,348,Sync!$D$5)&amp;"","")&amp;""))</f>
        <v/>
      </c>
      <c r="E3799" s="23" t="str">
        <f aca="false">IF(B3799="","",IFERROR(INDEX(Clay_Brands!$A$2:$FZ$601,348,Sync!$D$6)&amp;"",""))</f>
        <v/>
      </c>
      <c r="F3799" s="23" t="str">
        <f aca="false">IF(B3799="","","outreach_sent")</f>
        <v/>
      </c>
      <c r="G3799" s="23" t="str">
        <f aca="false">IF(B3799="","","")</f>
        <v/>
      </c>
      <c r="H3799" s="23" t="str">
        <f aca="false">IF(B3799="","","")</f>
        <v/>
      </c>
      <c r="I3799" s="23" t="str">
        <f aca="false">IF(B3799="","","")</f>
        <v/>
      </c>
      <c r="J3799" s="23" t="str">
        <f aca="false">IF(B3799="","","touch_1; "&amp;IFERROR(INDEX(Clay_Brands!$A$2:$FZ$601,348,Sync!$D$10)&amp;"","")&amp;"; "&amp;IFERROR(INDEX(Clay_Brands!$A$2:$FZ$601,348,Sync!$D$9)&amp;"",""))</f>
        <v/>
      </c>
      <c r="K3799" s="32" t="s">
        <v>1366</v>
      </c>
    </row>
    <row r="3800" customFormat="false" ht="15" hidden="false" customHeight="false" outlineLevel="0" collapsed="false">
      <c r="A3800" s="23" t="str">
        <f aca="false">IF(B3800="","",B3800+(15*1000+349)/10000000)</f>
        <v/>
      </c>
      <c r="B3800" s="35" t="str">
        <f aca="false">IF(AND(IFERROR(N(INDEX(Clay_Brands!$A$2:$FZ$601,349,Sync!$D$11)),0)&gt;0,IFERROR(INDEX(Clay_Brands!$A$2:$FZ$601,349,Sync!$D$5)&amp;"","")&lt;&gt;"",OR(LEFT(IFERROR(INDEX(Clay_Brands!$A$2:$FZ$601,349,Sync!$D$5)&amp;"",""),6)&lt;&gt;"SAMPLE",Config!$B$19="Y")),IFERROR(N(INDEX(Clay_Brands!$A$2:$FZ$601,349,Sync!$D$11)),0),"")</f>
        <v/>
      </c>
      <c r="C3800" s="23" t="str">
        <f aca="false">IF(B3800="","","brand")</f>
        <v/>
      </c>
      <c r="D3800" s="23" t="str">
        <f aca="false">IF(B3800="","",IFERROR(INDEX(Brand_Log!$DV$2:$DV$201,MATCH(IFERROR(INDEX(Clay_Brands!$A$2:$FZ$601,349,Sync!$D$5)&amp;"",""),Brand_Log!$A$2:$A$201,0))&amp;"",IFERROR(INDEX(Clay_Brands!$A$2:$FZ$601,349,Sync!$D$5)&amp;"","")&amp;""))</f>
        <v/>
      </c>
      <c r="E3800" s="23" t="str">
        <f aca="false">IF(B3800="","",IFERROR(INDEX(Clay_Brands!$A$2:$FZ$601,349,Sync!$D$6)&amp;"",""))</f>
        <v/>
      </c>
      <c r="F3800" s="23" t="str">
        <f aca="false">IF(B3800="","","outreach_sent")</f>
        <v/>
      </c>
      <c r="G3800" s="23" t="str">
        <f aca="false">IF(B3800="","","")</f>
        <v/>
      </c>
      <c r="H3800" s="23" t="str">
        <f aca="false">IF(B3800="","","")</f>
        <v/>
      </c>
      <c r="I3800" s="23" t="str">
        <f aca="false">IF(B3800="","","")</f>
        <v/>
      </c>
      <c r="J3800" s="23" t="str">
        <f aca="false">IF(B3800="","","touch_1; "&amp;IFERROR(INDEX(Clay_Brands!$A$2:$FZ$601,349,Sync!$D$10)&amp;"","")&amp;"; "&amp;IFERROR(INDEX(Clay_Brands!$A$2:$FZ$601,349,Sync!$D$9)&amp;"",""))</f>
        <v/>
      </c>
      <c r="K3800" s="32" t="s">
        <v>1366</v>
      </c>
    </row>
    <row r="3801" customFormat="false" ht="15" hidden="false" customHeight="false" outlineLevel="0" collapsed="false">
      <c r="A3801" s="23" t="str">
        <f aca="false">IF(B3801="","",B3801+(15*1000+350)/10000000)</f>
        <v/>
      </c>
      <c r="B3801" s="35" t="str">
        <f aca="false">IF(AND(IFERROR(N(INDEX(Clay_Brands!$A$2:$FZ$601,350,Sync!$D$11)),0)&gt;0,IFERROR(INDEX(Clay_Brands!$A$2:$FZ$601,350,Sync!$D$5)&amp;"","")&lt;&gt;"",OR(LEFT(IFERROR(INDEX(Clay_Brands!$A$2:$FZ$601,350,Sync!$D$5)&amp;"",""),6)&lt;&gt;"SAMPLE",Config!$B$19="Y")),IFERROR(N(INDEX(Clay_Brands!$A$2:$FZ$601,350,Sync!$D$11)),0),"")</f>
        <v/>
      </c>
      <c r="C3801" s="23" t="str">
        <f aca="false">IF(B3801="","","brand")</f>
        <v/>
      </c>
      <c r="D3801" s="23" t="str">
        <f aca="false">IF(B3801="","",IFERROR(INDEX(Brand_Log!$DV$2:$DV$201,MATCH(IFERROR(INDEX(Clay_Brands!$A$2:$FZ$601,350,Sync!$D$5)&amp;"",""),Brand_Log!$A$2:$A$201,0))&amp;"",IFERROR(INDEX(Clay_Brands!$A$2:$FZ$601,350,Sync!$D$5)&amp;"","")&amp;""))</f>
        <v/>
      </c>
      <c r="E3801" s="23" t="str">
        <f aca="false">IF(B3801="","",IFERROR(INDEX(Clay_Brands!$A$2:$FZ$601,350,Sync!$D$6)&amp;"",""))</f>
        <v/>
      </c>
      <c r="F3801" s="23" t="str">
        <f aca="false">IF(B3801="","","outreach_sent")</f>
        <v/>
      </c>
      <c r="G3801" s="23" t="str">
        <f aca="false">IF(B3801="","","")</f>
        <v/>
      </c>
      <c r="H3801" s="23" t="str">
        <f aca="false">IF(B3801="","","")</f>
        <v/>
      </c>
      <c r="I3801" s="23" t="str">
        <f aca="false">IF(B3801="","","")</f>
        <v/>
      </c>
      <c r="J3801" s="23" t="str">
        <f aca="false">IF(B3801="","","touch_1; "&amp;IFERROR(INDEX(Clay_Brands!$A$2:$FZ$601,350,Sync!$D$10)&amp;"","")&amp;"; "&amp;IFERROR(INDEX(Clay_Brands!$A$2:$FZ$601,350,Sync!$D$9)&amp;"",""))</f>
        <v/>
      </c>
      <c r="K3801" s="32" t="s">
        <v>1366</v>
      </c>
    </row>
    <row r="3802" customFormat="false" ht="15" hidden="false" customHeight="false" outlineLevel="0" collapsed="false">
      <c r="A3802" s="23" t="str">
        <f aca="false">IF(B3802="","",B3802+(15*1000+351)/10000000)</f>
        <v/>
      </c>
      <c r="B3802" s="35" t="str">
        <f aca="false">IF(AND(IFERROR(N(INDEX(Clay_Brands!$A$2:$FZ$601,351,Sync!$D$11)),0)&gt;0,IFERROR(INDEX(Clay_Brands!$A$2:$FZ$601,351,Sync!$D$5)&amp;"","")&lt;&gt;"",OR(LEFT(IFERROR(INDEX(Clay_Brands!$A$2:$FZ$601,351,Sync!$D$5)&amp;"",""),6)&lt;&gt;"SAMPLE",Config!$B$19="Y")),IFERROR(N(INDEX(Clay_Brands!$A$2:$FZ$601,351,Sync!$D$11)),0),"")</f>
        <v/>
      </c>
      <c r="C3802" s="23" t="str">
        <f aca="false">IF(B3802="","","brand")</f>
        <v/>
      </c>
      <c r="D3802" s="23" t="str">
        <f aca="false">IF(B3802="","",IFERROR(INDEX(Brand_Log!$DV$2:$DV$201,MATCH(IFERROR(INDEX(Clay_Brands!$A$2:$FZ$601,351,Sync!$D$5)&amp;"",""),Brand_Log!$A$2:$A$201,0))&amp;"",IFERROR(INDEX(Clay_Brands!$A$2:$FZ$601,351,Sync!$D$5)&amp;"","")&amp;""))</f>
        <v/>
      </c>
      <c r="E3802" s="23" t="str">
        <f aca="false">IF(B3802="","",IFERROR(INDEX(Clay_Brands!$A$2:$FZ$601,351,Sync!$D$6)&amp;"",""))</f>
        <v/>
      </c>
      <c r="F3802" s="23" t="str">
        <f aca="false">IF(B3802="","","outreach_sent")</f>
        <v/>
      </c>
      <c r="G3802" s="23" t="str">
        <f aca="false">IF(B3802="","","")</f>
        <v/>
      </c>
      <c r="H3802" s="23" t="str">
        <f aca="false">IF(B3802="","","")</f>
        <v/>
      </c>
      <c r="I3802" s="23" t="str">
        <f aca="false">IF(B3802="","","")</f>
        <v/>
      </c>
      <c r="J3802" s="23" t="str">
        <f aca="false">IF(B3802="","","touch_1; "&amp;IFERROR(INDEX(Clay_Brands!$A$2:$FZ$601,351,Sync!$D$10)&amp;"","")&amp;"; "&amp;IFERROR(INDEX(Clay_Brands!$A$2:$FZ$601,351,Sync!$D$9)&amp;"",""))</f>
        <v/>
      </c>
      <c r="K3802" s="32" t="s">
        <v>1366</v>
      </c>
    </row>
    <row r="3803" customFormat="false" ht="15" hidden="false" customHeight="false" outlineLevel="0" collapsed="false">
      <c r="A3803" s="23" t="str">
        <f aca="false">IF(B3803="","",B3803+(15*1000+352)/10000000)</f>
        <v/>
      </c>
      <c r="B3803" s="35" t="str">
        <f aca="false">IF(AND(IFERROR(N(INDEX(Clay_Brands!$A$2:$FZ$601,352,Sync!$D$11)),0)&gt;0,IFERROR(INDEX(Clay_Brands!$A$2:$FZ$601,352,Sync!$D$5)&amp;"","")&lt;&gt;"",OR(LEFT(IFERROR(INDEX(Clay_Brands!$A$2:$FZ$601,352,Sync!$D$5)&amp;"",""),6)&lt;&gt;"SAMPLE",Config!$B$19="Y")),IFERROR(N(INDEX(Clay_Brands!$A$2:$FZ$601,352,Sync!$D$11)),0),"")</f>
        <v/>
      </c>
      <c r="C3803" s="23" t="str">
        <f aca="false">IF(B3803="","","brand")</f>
        <v/>
      </c>
      <c r="D3803" s="23" t="str">
        <f aca="false">IF(B3803="","",IFERROR(INDEX(Brand_Log!$DV$2:$DV$201,MATCH(IFERROR(INDEX(Clay_Brands!$A$2:$FZ$601,352,Sync!$D$5)&amp;"",""),Brand_Log!$A$2:$A$201,0))&amp;"",IFERROR(INDEX(Clay_Brands!$A$2:$FZ$601,352,Sync!$D$5)&amp;"","")&amp;""))</f>
        <v/>
      </c>
      <c r="E3803" s="23" t="str">
        <f aca="false">IF(B3803="","",IFERROR(INDEX(Clay_Brands!$A$2:$FZ$601,352,Sync!$D$6)&amp;"",""))</f>
        <v/>
      </c>
      <c r="F3803" s="23" t="str">
        <f aca="false">IF(B3803="","","outreach_sent")</f>
        <v/>
      </c>
      <c r="G3803" s="23" t="str">
        <f aca="false">IF(B3803="","","")</f>
        <v/>
      </c>
      <c r="H3803" s="23" t="str">
        <f aca="false">IF(B3803="","","")</f>
        <v/>
      </c>
      <c r="I3803" s="23" t="str">
        <f aca="false">IF(B3803="","","")</f>
        <v/>
      </c>
      <c r="J3803" s="23" t="str">
        <f aca="false">IF(B3803="","","touch_1; "&amp;IFERROR(INDEX(Clay_Brands!$A$2:$FZ$601,352,Sync!$D$10)&amp;"","")&amp;"; "&amp;IFERROR(INDEX(Clay_Brands!$A$2:$FZ$601,352,Sync!$D$9)&amp;"",""))</f>
        <v/>
      </c>
      <c r="K3803" s="32" t="s">
        <v>1366</v>
      </c>
    </row>
    <row r="3804" customFormat="false" ht="15" hidden="false" customHeight="false" outlineLevel="0" collapsed="false">
      <c r="A3804" s="23" t="str">
        <f aca="false">IF(B3804="","",B3804+(15*1000+353)/10000000)</f>
        <v/>
      </c>
      <c r="B3804" s="35" t="str">
        <f aca="false">IF(AND(IFERROR(N(INDEX(Clay_Brands!$A$2:$FZ$601,353,Sync!$D$11)),0)&gt;0,IFERROR(INDEX(Clay_Brands!$A$2:$FZ$601,353,Sync!$D$5)&amp;"","")&lt;&gt;"",OR(LEFT(IFERROR(INDEX(Clay_Brands!$A$2:$FZ$601,353,Sync!$D$5)&amp;"",""),6)&lt;&gt;"SAMPLE",Config!$B$19="Y")),IFERROR(N(INDEX(Clay_Brands!$A$2:$FZ$601,353,Sync!$D$11)),0),"")</f>
        <v/>
      </c>
      <c r="C3804" s="23" t="str">
        <f aca="false">IF(B3804="","","brand")</f>
        <v/>
      </c>
      <c r="D3804" s="23" t="str">
        <f aca="false">IF(B3804="","",IFERROR(INDEX(Brand_Log!$DV$2:$DV$201,MATCH(IFERROR(INDEX(Clay_Brands!$A$2:$FZ$601,353,Sync!$D$5)&amp;"",""),Brand_Log!$A$2:$A$201,0))&amp;"",IFERROR(INDEX(Clay_Brands!$A$2:$FZ$601,353,Sync!$D$5)&amp;"","")&amp;""))</f>
        <v/>
      </c>
      <c r="E3804" s="23" t="str">
        <f aca="false">IF(B3804="","",IFERROR(INDEX(Clay_Brands!$A$2:$FZ$601,353,Sync!$D$6)&amp;"",""))</f>
        <v/>
      </c>
      <c r="F3804" s="23" t="str">
        <f aca="false">IF(B3804="","","outreach_sent")</f>
        <v/>
      </c>
      <c r="G3804" s="23" t="str">
        <f aca="false">IF(B3804="","","")</f>
        <v/>
      </c>
      <c r="H3804" s="23" t="str">
        <f aca="false">IF(B3804="","","")</f>
        <v/>
      </c>
      <c r="I3804" s="23" t="str">
        <f aca="false">IF(B3804="","","")</f>
        <v/>
      </c>
      <c r="J3804" s="23" t="str">
        <f aca="false">IF(B3804="","","touch_1; "&amp;IFERROR(INDEX(Clay_Brands!$A$2:$FZ$601,353,Sync!$D$10)&amp;"","")&amp;"; "&amp;IFERROR(INDEX(Clay_Brands!$A$2:$FZ$601,353,Sync!$D$9)&amp;"",""))</f>
        <v/>
      </c>
      <c r="K3804" s="32" t="s">
        <v>1366</v>
      </c>
    </row>
    <row r="3805" customFormat="false" ht="15" hidden="false" customHeight="false" outlineLevel="0" collapsed="false">
      <c r="A3805" s="23" t="str">
        <f aca="false">IF(B3805="","",B3805+(15*1000+354)/10000000)</f>
        <v/>
      </c>
      <c r="B3805" s="35" t="str">
        <f aca="false">IF(AND(IFERROR(N(INDEX(Clay_Brands!$A$2:$FZ$601,354,Sync!$D$11)),0)&gt;0,IFERROR(INDEX(Clay_Brands!$A$2:$FZ$601,354,Sync!$D$5)&amp;"","")&lt;&gt;"",OR(LEFT(IFERROR(INDEX(Clay_Brands!$A$2:$FZ$601,354,Sync!$D$5)&amp;"",""),6)&lt;&gt;"SAMPLE",Config!$B$19="Y")),IFERROR(N(INDEX(Clay_Brands!$A$2:$FZ$601,354,Sync!$D$11)),0),"")</f>
        <v/>
      </c>
      <c r="C3805" s="23" t="str">
        <f aca="false">IF(B3805="","","brand")</f>
        <v/>
      </c>
      <c r="D3805" s="23" t="str">
        <f aca="false">IF(B3805="","",IFERROR(INDEX(Brand_Log!$DV$2:$DV$201,MATCH(IFERROR(INDEX(Clay_Brands!$A$2:$FZ$601,354,Sync!$D$5)&amp;"",""),Brand_Log!$A$2:$A$201,0))&amp;"",IFERROR(INDEX(Clay_Brands!$A$2:$FZ$601,354,Sync!$D$5)&amp;"","")&amp;""))</f>
        <v/>
      </c>
      <c r="E3805" s="23" t="str">
        <f aca="false">IF(B3805="","",IFERROR(INDEX(Clay_Brands!$A$2:$FZ$601,354,Sync!$D$6)&amp;"",""))</f>
        <v/>
      </c>
      <c r="F3805" s="23" t="str">
        <f aca="false">IF(B3805="","","outreach_sent")</f>
        <v/>
      </c>
      <c r="G3805" s="23" t="str">
        <f aca="false">IF(B3805="","","")</f>
        <v/>
      </c>
      <c r="H3805" s="23" t="str">
        <f aca="false">IF(B3805="","","")</f>
        <v/>
      </c>
      <c r="I3805" s="23" t="str">
        <f aca="false">IF(B3805="","","")</f>
        <v/>
      </c>
      <c r="J3805" s="23" t="str">
        <f aca="false">IF(B3805="","","touch_1; "&amp;IFERROR(INDEX(Clay_Brands!$A$2:$FZ$601,354,Sync!$D$10)&amp;"","")&amp;"; "&amp;IFERROR(INDEX(Clay_Brands!$A$2:$FZ$601,354,Sync!$D$9)&amp;"",""))</f>
        <v/>
      </c>
      <c r="K3805" s="32" t="s">
        <v>1366</v>
      </c>
    </row>
    <row r="3806" customFormat="false" ht="15" hidden="false" customHeight="false" outlineLevel="0" collapsed="false">
      <c r="A3806" s="23" t="str">
        <f aca="false">IF(B3806="","",B3806+(15*1000+355)/10000000)</f>
        <v/>
      </c>
      <c r="B3806" s="35" t="str">
        <f aca="false">IF(AND(IFERROR(N(INDEX(Clay_Brands!$A$2:$FZ$601,355,Sync!$D$11)),0)&gt;0,IFERROR(INDEX(Clay_Brands!$A$2:$FZ$601,355,Sync!$D$5)&amp;"","")&lt;&gt;"",OR(LEFT(IFERROR(INDEX(Clay_Brands!$A$2:$FZ$601,355,Sync!$D$5)&amp;"",""),6)&lt;&gt;"SAMPLE",Config!$B$19="Y")),IFERROR(N(INDEX(Clay_Brands!$A$2:$FZ$601,355,Sync!$D$11)),0),"")</f>
        <v/>
      </c>
      <c r="C3806" s="23" t="str">
        <f aca="false">IF(B3806="","","brand")</f>
        <v/>
      </c>
      <c r="D3806" s="23" t="str">
        <f aca="false">IF(B3806="","",IFERROR(INDEX(Brand_Log!$DV$2:$DV$201,MATCH(IFERROR(INDEX(Clay_Brands!$A$2:$FZ$601,355,Sync!$D$5)&amp;"",""),Brand_Log!$A$2:$A$201,0))&amp;"",IFERROR(INDEX(Clay_Brands!$A$2:$FZ$601,355,Sync!$D$5)&amp;"","")&amp;""))</f>
        <v/>
      </c>
      <c r="E3806" s="23" t="str">
        <f aca="false">IF(B3806="","",IFERROR(INDEX(Clay_Brands!$A$2:$FZ$601,355,Sync!$D$6)&amp;"",""))</f>
        <v/>
      </c>
      <c r="F3806" s="23" t="str">
        <f aca="false">IF(B3806="","","outreach_sent")</f>
        <v/>
      </c>
      <c r="G3806" s="23" t="str">
        <f aca="false">IF(B3806="","","")</f>
        <v/>
      </c>
      <c r="H3806" s="23" t="str">
        <f aca="false">IF(B3806="","","")</f>
        <v/>
      </c>
      <c r="I3806" s="23" t="str">
        <f aca="false">IF(B3806="","","")</f>
        <v/>
      </c>
      <c r="J3806" s="23" t="str">
        <f aca="false">IF(B3806="","","touch_1; "&amp;IFERROR(INDEX(Clay_Brands!$A$2:$FZ$601,355,Sync!$D$10)&amp;"","")&amp;"; "&amp;IFERROR(INDEX(Clay_Brands!$A$2:$FZ$601,355,Sync!$D$9)&amp;"",""))</f>
        <v/>
      </c>
      <c r="K3806" s="32" t="s">
        <v>1366</v>
      </c>
    </row>
    <row r="3807" customFormat="false" ht="15" hidden="false" customHeight="false" outlineLevel="0" collapsed="false">
      <c r="A3807" s="23" t="str">
        <f aca="false">IF(B3807="","",B3807+(15*1000+356)/10000000)</f>
        <v/>
      </c>
      <c r="B3807" s="35" t="str">
        <f aca="false">IF(AND(IFERROR(N(INDEX(Clay_Brands!$A$2:$FZ$601,356,Sync!$D$11)),0)&gt;0,IFERROR(INDEX(Clay_Brands!$A$2:$FZ$601,356,Sync!$D$5)&amp;"","")&lt;&gt;"",OR(LEFT(IFERROR(INDEX(Clay_Brands!$A$2:$FZ$601,356,Sync!$D$5)&amp;"",""),6)&lt;&gt;"SAMPLE",Config!$B$19="Y")),IFERROR(N(INDEX(Clay_Brands!$A$2:$FZ$601,356,Sync!$D$11)),0),"")</f>
        <v/>
      </c>
      <c r="C3807" s="23" t="str">
        <f aca="false">IF(B3807="","","brand")</f>
        <v/>
      </c>
      <c r="D3807" s="23" t="str">
        <f aca="false">IF(B3807="","",IFERROR(INDEX(Brand_Log!$DV$2:$DV$201,MATCH(IFERROR(INDEX(Clay_Brands!$A$2:$FZ$601,356,Sync!$D$5)&amp;"",""),Brand_Log!$A$2:$A$201,0))&amp;"",IFERROR(INDEX(Clay_Brands!$A$2:$FZ$601,356,Sync!$D$5)&amp;"","")&amp;""))</f>
        <v/>
      </c>
      <c r="E3807" s="23" t="str">
        <f aca="false">IF(B3807="","",IFERROR(INDEX(Clay_Brands!$A$2:$FZ$601,356,Sync!$D$6)&amp;"",""))</f>
        <v/>
      </c>
      <c r="F3807" s="23" t="str">
        <f aca="false">IF(B3807="","","outreach_sent")</f>
        <v/>
      </c>
      <c r="G3807" s="23" t="str">
        <f aca="false">IF(B3807="","","")</f>
        <v/>
      </c>
      <c r="H3807" s="23" t="str">
        <f aca="false">IF(B3807="","","")</f>
        <v/>
      </c>
      <c r="I3807" s="23" t="str">
        <f aca="false">IF(B3807="","","")</f>
        <v/>
      </c>
      <c r="J3807" s="23" t="str">
        <f aca="false">IF(B3807="","","touch_1; "&amp;IFERROR(INDEX(Clay_Brands!$A$2:$FZ$601,356,Sync!$D$10)&amp;"","")&amp;"; "&amp;IFERROR(INDEX(Clay_Brands!$A$2:$FZ$601,356,Sync!$D$9)&amp;"",""))</f>
        <v/>
      </c>
      <c r="K3807" s="32" t="s">
        <v>1366</v>
      </c>
    </row>
    <row r="3808" customFormat="false" ht="15" hidden="false" customHeight="false" outlineLevel="0" collapsed="false">
      <c r="A3808" s="23" t="str">
        <f aca="false">IF(B3808="","",B3808+(15*1000+357)/10000000)</f>
        <v/>
      </c>
      <c r="B3808" s="35" t="str">
        <f aca="false">IF(AND(IFERROR(N(INDEX(Clay_Brands!$A$2:$FZ$601,357,Sync!$D$11)),0)&gt;0,IFERROR(INDEX(Clay_Brands!$A$2:$FZ$601,357,Sync!$D$5)&amp;"","")&lt;&gt;"",OR(LEFT(IFERROR(INDEX(Clay_Brands!$A$2:$FZ$601,357,Sync!$D$5)&amp;"",""),6)&lt;&gt;"SAMPLE",Config!$B$19="Y")),IFERROR(N(INDEX(Clay_Brands!$A$2:$FZ$601,357,Sync!$D$11)),0),"")</f>
        <v/>
      </c>
      <c r="C3808" s="23" t="str">
        <f aca="false">IF(B3808="","","brand")</f>
        <v/>
      </c>
      <c r="D3808" s="23" t="str">
        <f aca="false">IF(B3808="","",IFERROR(INDEX(Brand_Log!$DV$2:$DV$201,MATCH(IFERROR(INDEX(Clay_Brands!$A$2:$FZ$601,357,Sync!$D$5)&amp;"",""),Brand_Log!$A$2:$A$201,0))&amp;"",IFERROR(INDEX(Clay_Brands!$A$2:$FZ$601,357,Sync!$D$5)&amp;"","")&amp;""))</f>
        <v/>
      </c>
      <c r="E3808" s="23" t="str">
        <f aca="false">IF(B3808="","",IFERROR(INDEX(Clay_Brands!$A$2:$FZ$601,357,Sync!$D$6)&amp;"",""))</f>
        <v/>
      </c>
      <c r="F3808" s="23" t="str">
        <f aca="false">IF(B3808="","","outreach_sent")</f>
        <v/>
      </c>
      <c r="G3808" s="23" t="str">
        <f aca="false">IF(B3808="","","")</f>
        <v/>
      </c>
      <c r="H3808" s="23" t="str">
        <f aca="false">IF(B3808="","","")</f>
        <v/>
      </c>
      <c r="I3808" s="23" t="str">
        <f aca="false">IF(B3808="","","")</f>
        <v/>
      </c>
      <c r="J3808" s="23" t="str">
        <f aca="false">IF(B3808="","","touch_1; "&amp;IFERROR(INDEX(Clay_Brands!$A$2:$FZ$601,357,Sync!$D$10)&amp;"","")&amp;"; "&amp;IFERROR(INDEX(Clay_Brands!$A$2:$FZ$601,357,Sync!$D$9)&amp;"",""))</f>
        <v/>
      </c>
      <c r="K3808" s="32" t="s">
        <v>1366</v>
      </c>
    </row>
    <row r="3809" customFormat="false" ht="15" hidden="false" customHeight="false" outlineLevel="0" collapsed="false">
      <c r="A3809" s="23" t="str">
        <f aca="false">IF(B3809="","",B3809+(15*1000+358)/10000000)</f>
        <v/>
      </c>
      <c r="B3809" s="35" t="str">
        <f aca="false">IF(AND(IFERROR(N(INDEX(Clay_Brands!$A$2:$FZ$601,358,Sync!$D$11)),0)&gt;0,IFERROR(INDEX(Clay_Brands!$A$2:$FZ$601,358,Sync!$D$5)&amp;"","")&lt;&gt;"",OR(LEFT(IFERROR(INDEX(Clay_Brands!$A$2:$FZ$601,358,Sync!$D$5)&amp;"",""),6)&lt;&gt;"SAMPLE",Config!$B$19="Y")),IFERROR(N(INDEX(Clay_Brands!$A$2:$FZ$601,358,Sync!$D$11)),0),"")</f>
        <v/>
      </c>
      <c r="C3809" s="23" t="str">
        <f aca="false">IF(B3809="","","brand")</f>
        <v/>
      </c>
      <c r="D3809" s="23" t="str">
        <f aca="false">IF(B3809="","",IFERROR(INDEX(Brand_Log!$DV$2:$DV$201,MATCH(IFERROR(INDEX(Clay_Brands!$A$2:$FZ$601,358,Sync!$D$5)&amp;"",""),Brand_Log!$A$2:$A$201,0))&amp;"",IFERROR(INDEX(Clay_Brands!$A$2:$FZ$601,358,Sync!$D$5)&amp;"","")&amp;""))</f>
        <v/>
      </c>
      <c r="E3809" s="23" t="str">
        <f aca="false">IF(B3809="","",IFERROR(INDEX(Clay_Brands!$A$2:$FZ$601,358,Sync!$D$6)&amp;"",""))</f>
        <v/>
      </c>
      <c r="F3809" s="23" t="str">
        <f aca="false">IF(B3809="","","outreach_sent")</f>
        <v/>
      </c>
      <c r="G3809" s="23" t="str">
        <f aca="false">IF(B3809="","","")</f>
        <v/>
      </c>
      <c r="H3809" s="23" t="str">
        <f aca="false">IF(B3809="","","")</f>
        <v/>
      </c>
      <c r="I3809" s="23" t="str">
        <f aca="false">IF(B3809="","","")</f>
        <v/>
      </c>
      <c r="J3809" s="23" t="str">
        <f aca="false">IF(B3809="","","touch_1; "&amp;IFERROR(INDEX(Clay_Brands!$A$2:$FZ$601,358,Sync!$D$10)&amp;"","")&amp;"; "&amp;IFERROR(INDEX(Clay_Brands!$A$2:$FZ$601,358,Sync!$D$9)&amp;"",""))</f>
        <v/>
      </c>
      <c r="K3809" s="32" t="s">
        <v>1366</v>
      </c>
    </row>
    <row r="3810" customFormat="false" ht="15" hidden="false" customHeight="false" outlineLevel="0" collapsed="false">
      <c r="A3810" s="23" t="str">
        <f aca="false">IF(B3810="","",B3810+(15*1000+359)/10000000)</f>
        <v/>
      </c>
      <c r="B3810" s="35" t="str">
        <f aca="false">IF(AND(IFERROR(N(INDEX(Clay_Brands!$A$2:$FZ$601,359,Sync!$D$11)),0)&gt;0,IFERROR(INDEX(Clay_Brands!$A$2:$FZ$601,359,Sync!$D$5)&amp;"","")&lt;&gt;"",OR(LEFT(IFERROR(INDEX(Clay_Brands!$A$2:$FZ$601,359,Sync!$D$5)&amp;"",""),6)&lt;&gt;"SAMPLE",Config!$B$19="Y")),IFERROR(N(INDEX(Clay_Brands!$A$2:$FZ$601,359,Sync!$D$11)),0),"")</f>
        <v/>
      </c>
      <c r="C3810" s="23" t="str">
        <f aca="false">IF(B3810="","","brand")</f>
        <v/>
      </c>
      <c r="D3810" s="23" t="str">
        <f aca="false">IF(B3810="","",IFERROR(INDEX(Brand_Log!$DV$2:$DV$201,MATCH(IFERROR(INDEX(Clay_Brands!$A$2:$FZ$601,359,Sync!$D$5)&amp;"",""),Brand_Log!$A$2:$A$201,0))&amp;"",IFERROR(INDEX(Clay_Brands!$A$2:$FZ$601,359,Sync!$D$5)&amp;"","")&amp;""))</f>
        <v/>
      </c>
      <c r="E3810" s="23" t="str">
        <f aca="false">IF(B3810="","",IFERROR(INDEX(Clay_Brands!$A$2:$FZ$601,359,Sync!$D$6)&amp;"",""))</f>
        <v/>
      </c>
      <c r="F3810" s="23" t="str">
        <f aca="false">IF(B3810="","","outreach_sent")</f>
        <v/>
      </c>
      <c r="G3810" s="23" t="str">
        <f aca="false">IF(B3810="","","")</f>
        <v/>
      </c>
      <c r="H3810" s="23" t="str">
        <f aca="false">IF(B3810="","","")</f>
        <v/>
      </c>
      <c r="I3810" s="23" t="str">
        <f aca="false">IF(B3810="","","")</f>
        <v/>
      </c>
      <c r="J3810" s="23" t="str">
        <f aca="false">IF(B3810="","","touch_1; "&amp;IFERROR(INDEX(Clay_Brands!$A$2:$FZ$601,359,Sync!$D$10)&amp;"","")&amp;"; "&amp;IFERROR(INDEX(Clay_Brands!$A$2:$FZ$601,359,Sync!$D$9)&amp;"",""))</f>
        <v/>
      </c>
      <c r="K3810" s="32" t="s">
        <v>1366</v>
      </c>
    </row>
    <row r="3811" customFormat="false" ht="15" hidden="false" customHeight="false" outlineLevel="0" collapsed="false">
      <c r="A3811" s="23" t="str">
        <f aca="false">IF(B3811="","",B3811+(15*1000+360)/10000000)</f>
        <v/>
      </c>
      <c r="B3811" s="35" t="str">
        <f aca="false">IF(AND(IFERROR(N(INDEX(Clay_Brands!$A$2:$FZ$601,360,Sync!$D$11)),0)&gt;0,IFERROR(INDEX(Clay_Brands!$A$2:$FZ$601,360,Sync!$D$5)&amp;"","")&lt;&gt;"",OR(LEFT(IFERROR(INDEX(Clay_Brands!$A$2:$FZ$601,360,Sync!$D$5)&amp;"",""),6)&lt;&gt;"SAMPLE",Config!$B$19="Y")),IFERROR(N(INDEX(Clay_Brands!$A$2:$FZ$601,360,Sync!$D$11)),0),"")</f>
        <v/>
      </c>
      <c r="C3811" s="23" t="str">
        <f aca="false">IF(B3811="","","brand")</f>
        <v/>
      </c>
      <c r="D3811" s="23" t="str">
        <f aca="false">IF(B3811="","",IFERROR(INDEX(Brand_Log!$DV$2:$DV$201,MATCH(IFERROR(INDEX(Clay_Brands!$A$2:$FZ$601,360,Sync!$D$5)&amp;"",""),Brand_Log!$A$2:$A$201,0))&amp;"",IFERROR(INDEX(Clay_Brands!$A$2:$FZ$601,360,Sync!$D$5)&amp;"","")&amp;""))</f>
        <v/>
      </c>
      <c r="E3811" s="23" t="str">
        <f aca="false">IF(B3811="","",IFERROR(INDEX(Clay_Brands!$A$2:$FZ$601,360,Sync!$D$6)&amp;"",""))</f>
        <v/>
      </c>
      <c r="F3811" s="23" t="str">
        <f aca="false">IF(B3811="","","outreach_sent")</f>
        <v/>
      </c>
      <c r="G3811" s="23" t="str">
        <f aca="false">IF(B3811="","","")</f>
        <v/>
      </c>
      <c r="H3811" s="23" t="str">
        <f aca="false">IF(B3811="","","")</f>
        <v/>
      </c>
      <c r="I3811" s="23" t="str">
        <f aca="false">IF(B3811="","","")</f>
        <v/>
      </c>
      <c r="J3811" s="23" t="str">
        <f aca="false">IF(B3811="","","touch_1; "&amp;IFERROR(INDEX(Clay_Brands!$A$2:$FZ$601,360,Sync!$D$10)&amp;"","")&amp;"; "&amp;IFERROR(INDEX(Clay_Brands!$A$2:$FZ$601,360,Sync!$D$9)&amp;"",""))</f>
        <v/>
      </c>
      <c r="K3811" s="32" t="s">
        <v>1366</v>
      </c>
    </row>
    <row r="3812" customFormat="false" ht="15" hidden="false" customHeight="false" outlineLevel="0" collapsed="false">
      <c r="A3812" s="23" t="str">
        <f aca="false">IF(B3812="","",B3812+(15*1000+361)/10000000)</f>
        <v/>
      </c>
      <c r="B3812" s="35" t="str">
        <f aca="false">IF(AND(IFERROR(N(INDEX(Clay_Brands!$A$2:$FZ$601,361,Sync!$D$11)),0)&gt;0,IFERROR(INDEX(Clay_Brands!$A$2:$FZ$601,361,Sync!$D$5)&amp;"","")&lt;&gt;"",OR(LEFT(IFERROR(INDEX(Clay_Brands!$A$2:$FZ$601,361,Sync!$D$5)&amp;"",""),6)&lt;&gt;"SAMPLE",Config!$B$19="Y")),IFERROR(N(INDEX(Clay_Brands!$A$2:$FZ$601,361,Sync!$D$11)),0),"")</f>
        <v/>
      </c>
      <c r="C3812" s="23" t="str">
        <f aca="false">IF(B3812="","","brand")</f>
        <v/>
      </c>
      <c r="D3812" s="23" t="str">
        <f aca="false">IF(B3812="","",IFERROR(INDEX(Brand_Log!$DV$2:$DV$201,MATCH(IFERROR(INDEX(Clay_Brands!$A$2:$FZ$601,361,Sync!$D$5)&amp;"",""),Brand_Log!$A$2:$A$201,0))&amp;"",IFERROR(INDEX(Clay_Brands!$A$2:$FZ$601,361,Sync!$D$5)&amp;"","")&amp;""))</f>
        <v/>
      </c>
      <c r="E3812" s="23" t="str">
        <f aca="false">IF(B3812="","",IFERROR(INDEX(Clay_Brands!$A$2:$FZ$601,361,Sync!$D$6)&amp;"",""))</f>
        <v/>
      </c>
      <c r="F3812" s="23" t="str">
        <f aca="false">IF(B3812="","","outreach_sent")</f>
        <v/>
      </c>
      <c r="G3812" s="23" t="str">
        <f aca="false">IF(B3812="","","")</f>
        <v/>
      </c>
      <c r="H3812" s="23" t="str">
        <f aca="false">IF(B3812="","","")</f>
        <v/>
      </c>
      <c r="I3812" s="23" t="str">
        <f aca="false">IF(B3812="","","")</f>
        <v/>
      </c>
      <c r="J3812" s="23" t="str">
        <f aca="false">IF(B3812="","","touch_1; "&amp;IFERROR(INDEX(Clay_Brands!$A$2:$FZ$601,361,Sync!$D$10)&amp;"","")&amp;"; "&amp;IFERROR(INDEX(Clay_Brands!$A$2:$FZ$601,361,Sync!$D$9)&amp;"",""))</f>
        <v/>
      </c>
      <c r="K3812" s="32" t="s">
        <v>1366</v>
      </c>
    </row>
    <row r="3813" customFormat="false" ht="15" hidden="false" customHeight="false" outlineLevel="0" collapsed="false">
      <c r="A3813" s="23" t="str">
        <f aca="false">IF(B3813="","",B3813+(15*1000+362)/10000000)</f>
        <v/>
      </c>
      <c r="B3813" s="35" t="str">
        <f aca="false">IF(AND(IFERROR(N(INDEX(Clay_Brands!$A$2:$FZ$601,362,Sync!$D$11)),0)&gt;0,IFERROR(INDEX(Clay_Brands!$A$2:$FZ$601,362,Sync!$D$5)&amp;"","")&lt;&gt;"",OR(LEFT(IFERROR(INDEX(Clay_Brands!$A$2:$FZ$601,362,Sync!$D$5)&amp;"",""),6)&lt;&gt;"SAMPLE",Config!$B$19="Y")),IFERROR(N(INDEX(Clay_Brands!$A$2:$FZ$601,362,Sync!$D$11)),0),"")</f>
        <v/>
      </c>
      <c r="C3813" s="23" t="str">
        <f aca="false">IF(B3813="","","brand")</f>
        <v/>
      </c>
      <c r="D3813" s="23" t="str">
        <f aca="false">IF(B3813="","",IFERROR(INDEX(Brand_Log!$DV$2:$DV$201,MATCH(IFERROR(INDEX(Clay_Brands!$A$2:$FZ$601,362,Sync!$D$5)&amp;"",""),Brand_Log!$A$2:$A$201,0))&amp;"",IFERROR(INDEX(Clay_Brands!$A$2:$FZ$601,362,Sync!$D$5)&amp;"","")&amp;""))</f>
        <v/>
      </c>
      <c r="E3813" s="23" t="str">
        <f aca="false">IF(B3813="","",IFERROR(INDEX(Clay_Brands!$A$2:$FZ$601,362,Sync!$D$6)&amp;"",""))</f>
        <v/>
      </c>
      <c r="F3813" s="23" t="str">
        <f aca="false">IF(B3813="","","outreach_sent")</f>
        <v/>
      </c>
      <c r="G3813" s="23" t="str">
        <f aca="false">IF(B3813="","","")</f>
        <v/>
      </c>
      <c r="H3813" s="23" t="str">
        <f aca="false">IF(B3813="","","")</f>
        <v/>
      </c>
      <c r="I3813" s="23" t="str">
        <f aca="false">IF(B3813="","","")</f>
        <v/>
      </c>
      <c r="J3813" s="23" t="str">
        <f aca="false">IF(B3813="","","touch_1; "&amp;IFERROR(INDEX(Clay_Brands!$A$2:$FZ$601,362,Sync!$D$10)&amp;"","")&amp;"; "&amp;IFERROR(INDEX(Clay_Brands!$A$2:$FZ$601,362,Sync!$D$9)&amp;"",""))</f>
        <v/>
      </c>
      <c r="K3813" s="32" t="s">
        <v>1366</v>
      </c>
    </row>
    <row r="3814" customFormat="false" ht="15" hidden="false" customHeight="false" outlineLevel="0" collapsed="false">
      <c r="A3814" s="23" t="str">
        <f aca="false">IF(B3814="","",B3814+(15*1000+363)/10000000)</f>
        <v/>
      </c>
      <c r="B3814" s="35" t="str">
        <f aca="false">IF(AND(IFERROR(N(INDEX(Clay_Brands!$A$2:$FZ$601,363,Sync!$D$11)),0)&gt;0,IFERROR(INDEX(Clay_Brands!$A$2:$FZ$601,363,Sync!$D$5)&amp;"","")&lt;&gt;"",OR(LEFT(IFERROR(INDEX(Clay_Brands!$A$2:$FZ$601,363,Sync!$D$5)&amp;"",""),6)&lt;&gt;"SAMPLE",Config!$B$19="Y")),IFERROR(N(INDEX(Clay_Brands!$A$2:$FZ$601,363,Sync!$D$11)),0),"")</f>
        <v/>
      </c>
      <c r="C3814" s="23" t="str">
        <f aca="false">IF(B3814="","","brand")</f>
        <v/>
      </c>
      <c r="D3814" s="23" t="str">
        <f aca="false">IF(B3814="","",IFERROR(INDEX(Brand_Log!$DV$2:$DV$201,MATCH(IFERROR(INDEX(Clay_Brands!$A$2:$FZ$601,363,Sync!$D$5)&amp;"",""),Brand_Log!$A$2:$A$201,0))&amp;"",IFERROR(INDEX(Clay_Brands!$A$2:$FZ$601,363,Sync!$D$5)&amp;"","")&amp;""))</f>
        <v/>
      </c>
      <c r="E3814" s="23" t="str">
        <f aca="false">IF(B3814="","",IFERROR(INDEX(Clay_Brands!$A$2:$FZ$601,363,Sync!$D$6)&amp;"",""))</f>
        <v/>
      </c>
      <c r="F3814" s="23" t="str">
        <f aca="false">IF(B3814="","","outreach_sent")</f>
        <v/>
      </c>
      <c r="G3814" s="23" t="str">
        <f aca="false">IF(B3814="","","")</f>
        <v/>
      </c>
      <c r="H3814" s="23" t="str">
        <f aca="false">IF(B3814="","","")</f>
        <v/>
      </c>
      <c r="I3814" s="23" t="str">
        <f aca="false">IF(B3814="","","")</f>
        <v/>
      </c>
      <c r="J3814" s="23" t="str">
        <f aca="false">IF(B3814="","","touch_1; "&amp;IFERROR(INDEX(Clay_Brands!$A$2:$FZ$601,363,Sync!$D$10)&amp;"","")&amp;"; "&amp;IFERROR(INDEX(Clay_Brands!$A$2:$FZ$601,363,Sync!$D$9)&amp;"",""))</f>
        <v/>
      </c>
      <c r="K3814" s="32" t="s">
        <v>1366</v>
      </c>
    </row>
    <row r="3815" customFormat="false" ht="15" hidden="false" customHeight="false" outlineLevel="0" collapsed="false">
      <c r="A3815" s="23" t="str">
        <f aca="false">IF(B3815="","",B3815+(15*1000+364)/10000000)</f>
        <v/>
      </c>
      <c r="B3815" s="35" t="str">
        <f aca="false">IF(AND(IFERROR(N(INDEX(Clay_Brands!$A$2:$FZ$601,364,Sync!$D$11)),0)&gt;0,IFERROR(INDEX(Clay_Brands!$A$2:$FZ$601,364,Sync!$D$5)&amp;"","")&lt;&gt;"",OR(LEFT(IFERROR(INDEX(Clay_Brands!$A$2:$FZ$601,364,Sync!$D$5)&amp;"",""),6)&lt;&gt;"SAMPLE",Config!$B$19="Y")),IFERROR(N(INDEX(Clay_Brands!$A$2:$FZ$601,364,Sync!$D$11)),0),"")</f>
        <v/>
      </c>
      <c r="C3815" s="23" t="str">
        <f aca="false">IF(B3815="","","brand")</f>
        <v/>
      </c>
      <c r="D3815" s="23" t="str">
        <f aca="false">IF(B3815="","",IFERROR(INDEX(Brand_Log!$DV$2:$DV$201,MATCH(IFERROR(INDEX(Clay_Brands!$A$2:$FZ$601,364,Sync!$D$5)&amp;"",""),Brand_Log!$A$2:$A$201,0))&amp;"",IFERROR(INDEX(Clay_Brands!$A$2:$FZ$601,364,Sync!$D$5)&amp;"","")&amp;""))</f>
        <v/>
      </c>
      <c r="E3815" s="23" t="str">
        <f aca="false">IF(B3815="","",IFERROR(INDEX(Clay_Brands!$A$2:$FZ$601,364,Sync!$D$6)&amp;"",""))</f>
        <v/>
      </c>
      <c r="F3815" s="23" t="str">
        <f aca="false">IF(B3815="","","outreach_sent")</f>
        <v/>
      </c>
      <c r="G3815" s="23" t="str">
        <f aca="false">IF(B3815="","","")</f>
        <v/>
      </c>
      <c r="H3815" s="23" t="str">
        <f aca="false">IF(B3815="","","")</f>
        <v/>
      </c>
      <c r="I3815" s="23" t="str">
        <f aca="false">IF(B3815="","","")</f>
        <v/>
      </c>
      <c r="J3815" s="23" t="str">
        <f aca="false">IF(B3815="","","touch_1; "&amp;IFERROR(INDEX(Clay_Brands!$A$2:$FZ$601,364,Sync!$D$10)&amp;"","")&amp;"; "&amp;IFERROR(INDEX(Clay_Brands!$A$2:$FZ$601,364,Sync!$D$9)&amp;"",""))</f>
        <v/>
      </c>
      <c r="K3815" s="32" t="s">
        <v>1366</v>
      </c>
    </row>
    <row r="3816" customFormat="false" ht="15" hidden="false" customHeight="false" outlineLevel="0" collapsed="false">
      <c r="A3816" s="23" t="str">
        <f aca="false">IF(B3816="","",B3816+(15*1000+365)/10000000)</f>
        <v/>
      </c>
      <c r="B3816" s="35" t="str">
        <f aca="false">IF(AND(IFERROR(N(INDEX(Clay_Brands!$A$2:$FZ$601,365,Sync!$D$11)),0)&gt;0,IFERROR(INDEX(Clay_Brands!$A$2:$FZ$601,365,Sync!$D$5)&amp;"","")&lt;&gt;"",OR(LEFT(IFERROR(INDEX(Clay_Brands!$A$2:$FZ$601,365,Sync!$D$5)&amp;"",""),6)&lt;&gt;"SAMPLE",Config!$B$19="Y")),IFERROR(N(INDEX(Clay_Brands!$A$2:$FZ$601,365,Sync!$D$11)),0),"")</f>
        <v/>
      </c>
      <c r="C3816" s="23" t="str">
        <f aca="false">IF(B3816="","","brand")</f>
        <v/>
      </c>
      <c r="D3816" s="23" t="str">
        <f aca="false">IF(B3816="","",IFERROR(INDEX(Brand_Log!$DV$2:$DV$201,MATCH(IFERROR(INDEX(Clay_Brands!$A$2:$FZ$601,365,Sync!$D$5)&amp;"",""),Brand_Log!$A$2:$A$201,0))&amp;"",IFERROR(INDEX(Clay_Brands!$A$2:$FZ$601,365,Sync!$D$5)&amp;"","")&amp;""))</f>
        <v/>
      </c>
      <c r="E3816" s="23" t="str">
        <f aca="false">IF(B3816="","",IFERROR(INDEX(Clay_Brands!$A$2:$FZ$601,365,Sync!$D$6)&amp;"",""))</f>
        <v/>
      </c>
      <c r="F3816" s="23" t="str">
        <f aca="false">IF(B3816="","","outreach_sent")</f>
        <v/>
      </c>
      <c r="G3816" s="23" t="str">
        <f aca="false">IF(B3816="","","")</f>
        <v/>
      </c>
      <c r="H3816" s="23" t="str">
        <f aca="false">IF(B3816="","","")</f>
        <v/>
      </c>
      <c r="I3816" s="23" t="str">
        <f aca="false">IF(B3816="","","")</f>
        <v/>
      </c>
      <c r="J3816" s="23" t="str">
        <f aca="false">IF(B3816="","","touch_1; "&amp;IFERROR(INDEX(Clay_Brands!$A$2:$FZ$601,365,Sync!$D$10)&amp;"","")&amp;"; "&amp;IFERROR(INDEX(Clay_Brands!$A$2:$FZ$601,365,Sync!$D$9)&amp;"",""))</f>
        <v/>
      </c>
      <c r="K3816" s="32" t="s">
        <v>1366</v>
      </c>
    </row>
    <row r="3817" customFormat="false" ht="15" hidden="false" customHeight="false" outlineLevel="0" collapsed="false">
      <c r="A3817" s="23" t="str">
        <f aca="false">IF(B3817="","",B3817+(15*1000+366)/10000000)</f>
        <v/>
      </c>
      <c r="B3817" s="35" t="str">
        <f aca="false">IF(AND(IFERROR(N(INDEX(Clay_Brands!$A$2:$FZ$601,366,Sync!$D$11)),0)&gt;0,IFERROR(INDEX(Clay_Brands!$A$2:$FZ$601,366,Sync!$D$5)&amp;"","")&lt;&gt;"",OR(LEFT(IFERROR(INDEX(Clay_Brands!$A$2:$FZ$601,366,Sync!$D$5)&amp;"",""),6)&lt;&gt;"SAMPLE",Config!$B$19="Y")),IFERROR(N(INDEX(Clay_Brands!$A$2:$FZ$601,366,Sync!$D$11)),0),"")</f>
        <v/>
      </c>
      <c r="C3817" s="23" t="str">
        <f aca="false">IF(B3817="","","brand")</f>
        <v/>
      </c>
      <c r="D3817" s="23" t="str">
        <f aca="false">IF(B3817="","",IFERROR(INDEX(Brand_Log!$DV$2:$DV$201,MATCH(IFERROR(INDEX(Clay_Brands!$A$2:$FZ$601,366,Sync!$D$5)&amp;"",""),Brand_Log!$A$2:$A$201,0))&amp;"",IFERROR(INDEX(Clay_Brands!$A$2:$FZ$601,366,Sync!$D$5)&amp;"","")&amp;""))</f>
        <v/>
      </c>
      <c r="E3817" s="23" t="str">
        <f aca="false">IF(B3817="","",IFERROR(INDEX(Clay_Brands!$A$2:$FZ$601,366,Sync!$D$6)&amp;"",""))</f>
        <v/>
      </c>
      <c r="F3817" s="23" t="str">
        <f aca="false">IF(B3817="","","outreach_sent")</f>
        <v/>
      </c>
      <c r="G3817" s="23" t="str">
        <f aca="false">IF(B3817="","","")</f>
        <v/>
      </c>
      <c r="H3817" s="23" t="str">
        <f aca="false">IF(B3817="","","")</f>
        <v/>
      </c>
      <c r="I3817" s="23" t="str">
        <f aca="false">IF(B3817="","","")</f>
        <v/>
      </c>
      <c r="J3817" s="23" t="str">
        <f aca="false">IF(B3817="","","touch_1; "&amp;IFERROR(INDEX(Clay_Brands!$A$2:$FZ$601,366,Sync!$D$10)&amp;"","")&amp;"; "&amp;IFERROR(INDEX(Clay_Brands!$A$2:$FZ$601,366,Sync!$D$9)&amp;"",""))</f>
        <v/>
      </c>
      <c r="K3817" s="32" t="s">
        <v>1366</v>
      </c>
    </row>
    <row r="3818" customFormat="false" ht="15" hidden="false" customHeight="false" outlineLevel="0" collapsed="false">
      <c r="A3818" s="23" t="str">
        <f aca="false">IF(B3818="","",B3818+(15*1000+367)/10000000)</f>
        <v/>
      </c>
      <c r="B3818" s="35" t="str">
        <f aca="false">IF(AND(IFERROR(N(INDEX(Clay_Brands!$A$2:$FZ$601,367,Sync!$D$11)),0)&gt;0,IFERROR(INDEX(Clay_Brands!$A$2:$FZ$601,367,Sync!$D$5)&amp;"","")&lt;&gt;"",OR(LEFT(IFERROR(INDEX(Clay_Brands!$A$2:$FZ$601,367,Sync!$D$5)&amp;"",""),6)&lt;&gt;"SAMPLE",Config!$B$19="Y")),IFERROR(N(INDEX(Clay_Brands!$A$2:$FZ$601,367,Sync!$D$11)),0),"")</f>
        <v/>
      </c>
      <c r="C3818" s="23" t="str">
        <f aca="false">IF(B3818="","","brand")</f>
        <v/>
      </c>
      <c r="D3818" s="23" t="str">
        <f aca="false">IF(B3818="","",IFERROR(INDEX(Brand_Log!$DV$2:$DV$201,MATCH(IFERROR(INDEX(Clay_Brands!$A$2:$FZ$601,367,Sync!$D$5)&amp;"",""),Brand_Log!$A$2:$A$201,0))&amp;"",IFERROR(INDEX(Clay_Brands!$A$2:$FZ$601,367,Sync!$D$5)&amp;"","")&amp;""))</f>
        <v/>
      </c>
      <c r="E3818" s="23" t="str">
        <f aca="false">IF(B3818="","",IFERROR(INDEX(Clay_Brands!$A$2:$FZ$601,367,Sync!$D$6)&amp;"",""))</f>
        <v/>
      </c>
      <c r="F3818" s="23" t="str">
        <f aca="false">IF(B3818="","","outreach_sent")</f>
        <v/>
      </c>
      <c r="G3818" s="23" t="str">
        <f aca="false">IF(B3818="","","")</f>
        <v/>
      </c>
      <c r="H3818" s="23" t="str">
        <f aca="false">IF(B3818="","","")</f>
        <v/>
      </c>
      <c r="I3818" s="23" t="str">
        <f aca="false">IF(B3818="","","")</f>
        <v/>
      </c>
      <c r="J3818" s="23" t="str">
        <f aca="false">IF(B3818="","","touch_1; "&amp;IFERROR(INDEX(Clay_Brands!$A$2:$FZ$601,367,Sync!$D$10)&amp;"","")&amp;"; "&amp;IFERROR(INDEX(Clay_Brands!$A$2:$FZ$601,367,Sync!$D$9)&amp;"",""))</f>
        <v/>
      </c>
      <c r="K3818" s="32" t="s">
        <v>1366</v>
      </c>
    </row>
    <row r="3819" customFormat="false" ht="15" hidden="false" customHeight="false" outlineLevel="0" collapsed="false">
      <c r="A3819" s="23" t="str">
        <f aca="false">IF(B3819="","",B3819+(15*1000+368)/10000000)</f>
        <v/>
      </c>
      <c r="B3819" s="35" t="str">
        <f aca="false">IF(AND(IFERROR(N(INDEX(Clay_Brands!$A$2:$FZ$601,368,Sync!$D$11)),0)&gt;0,IFERROR(INDEX(Clay_Brands!$A$2:$FZ$601,368,Sync!$D$5)&amp;"","")&lt;&gt;"",OR(LEFT(IFERROR(INDEX(Clay_Brands!$A$2:$FZ$601,368,Sync!$D$5)&amp;"",""),6)&lt;&gt;"SAMPLE",Config!$B$19="Y")),IFERROR(N(INDEX(Clay_Brands!$A$2:$FZ$601,368,Sync!$D$11)),0),"")</f>
        <v/>
      </c>
      <c r="C3819" s="23" t="str">
        <f aca="false">IF(B3819="","","brand")</f>
        <v/>
      </c>
      <c r="D3819" s="23" t="str">
        <f aca="false">IF(B3819="","",IFERROR(INDEX(Brand_Log!$DV$2:$DV$201,MATCH(IFERROR(INDEX(Clay_Brands!$A$2:$FZ$601,368,Sync!$D$5)&amp;"",""),Brand_Log!$A$2:$A$201,0))&amp;"",IFERROR(INDEX(Clay_Brands!$A$2:$FZ$601,368,Sync!$D$5)&amp;"","")&amp;""))</f>
        <v/>
      </c>
      <c r="E3819" s="23" t="str">
        <f aca="false">IF(B3819="","",IFERROR(INDEX(Clay_Brands!$A$2:$FZ$601,368,Sync!$D$6)&amp;"",""))</f>
        <v/>
      </c>
      <c r="F3819" s="23" t="str">
        <f aca="false">IF(B3819="","","outreach_sent")</f>
        <v/>
      </c>
      <c r="G3819" s="23" t="str">
        <f aca="false">IF(B3819="","","")</f>
        <v/>
      </c>
      <c r="H3819" s="23" t="str">
        <f aca="false">IF(B3819="","","")</f>
        <v/>
      </c>
      <c r="I3819" s="23" t="str">
        <f aca="false">IF(B3819="","","")</f>
        <v/>
      </c>
      <c r="J3819" s="23" t="str">
        <f aca="false">IF(B3819="","","touch_1; "&amp;IFERROR(INDEX(Clay_Brands!$A$2:$FZ$601,368,Sync!$D$10)&amp;"","")&amp;"; "&amp;IFERROR(INDEX(Clay_Brands!$A$2:$FZ$601,368,Sync!$D$9)&amp;"",""))</f>
        <v/>
      </c>
      <c r="K3819" s="32" t="s">
        <v>1366</v>
      </c>
    </row>
    <row r="3820" customFormat="false" ht="15" hidden="false" customHeight="false" outlineLevel="0" collapsed="false">
      <c r="A3820" s="23" t="str">
        <f aca="false">IF(B3820="","",B3820+(15*1000+369)/10000000)</f>
        <v/>
      </c>
      <c r="B3820" s="35" t="str">
        <f aca="false">IF(AND(IFERROR(N(INDEX(Clay_Brands!$A$2:$FZ$601,369,Sync!$D$11)),0)&gt;0,IFERROR(INDEX(Clay_Brands!$A$2:$FZ$601,369,Sync!$D$5)&amp;"","")&lt;&gt;"",OR(LEFT(IFERROR(INDEX(Clay_Brands!$A$2:$FZ$601,369,Sync!$D$5)&amp;"",""),6)&lt;&gt;"SAMPLE",Config!$B$19="Y")),IFERROR(N(INDEX(Clay_Brands!$A$2:$FZ$601,369,Sync!$D$11)),0),"")</f>
        <v/>
      </c>
      <c r="C3820" s="23" t="str">
        <f aca="false">IF(B3820="","","brand")</f>
        <v/>
      </c>
      <c r="D3820" s="23" t="str">
        <f aca="false">IF(B3820="","",IFERROR(INDEX(Brand_Log!$DV$2:$DV$201,MATCH(IFERROR(INDEX(Clay_Brands!$A$2:$FZ$601,369,Sync!$D$5)&amp;"",""),Brand_Log!$A$2:$A$201,0))&amp;"",IFERROR(INDEX(Clay_Brands!$A$2:$FZ$601,369,Sync!$D$5)&amp;"","")&amp;""))</f>
        <v/>
      </c>
      <c r="E3820" s="23" t="str">
        <f aca="false">IF(B3820="","",IFERROR(INDEX(Clay_Brands!$A$2:$FZ$601,369,Sync!$D$6)&amp;"",""))</f>
        <v/>
      </c>
      <c r="F3820" s="23" t="str">
        <f aca="false">IF(B3820="","","outreach_sent")</f>
        <v/>
      </c>
      <c r="G3820" s="23" t="str">
        <f aca="false">IF(B3820="","","")</f>
        <v/>
      </c>
      <c r="H3820" s="23" t="str">
        <f aca="false">IF(B3820="","","")</f>
        <v/>
      </c>
      <c r="I3820" s="23" t="str">
        <f aca="false">IF(B3820="","","")</f>
        <v/>
      </c>
      <c r="J3820" s="23" t="str">
        <f aca="false">IF(B3820="","","touch_1; "&amp;IFERROR(INDEX(Clay_Brands!$A$2:$FZ$601,369,Sync!$D$10)&amp;"","")&amp;"; "&amp;IFERROR(INDEX(Clay_Brands!$A$2:$FZ$601,369,Sync!$D$9)&amp;"",""))</f>
        <v/>
      </c>
      <c r="K3820" s="32" t="s">
        <v>1366</v>
      </c>
    </row>
    <row r="3821" customFormat="false" ht="15" hidden="false" customHeight="false" outlineLevel="0" collapsed="false">
      <c r="A3821" s="23" t="str">
        <f aca="false">IF(B3821="","",B3821+(15*1000+370)/10000000)</f>
        <v/>
      </c>
      <c r="B3821" s="35" t="str">
        <f aca="false">IF(AND(IFERROR(N(INDEX(Clay_Brands!$A$2:$FZ$601,370,Sync!$D$11)),0)&gt;0,IFERROR(INDEX(Clay_Brands!$A$2:$FZ$601,370,Sync!$D$5)&amp;"","")&lt;&gt;"",OR(LEFT(IFERROR(INDEX(Clay_Brands!$A$2:$FZ$601,370,Sync!$D$5)&amp;"",""),6)&lt;&gt;"SAMPLE",Config!$B$19="Y")),IFERROR(N(INDEX(Clay_Brands!$A$2:$FZ$601,370,Sync!$D$11)),0),"")</f>
        <v/>
      </c>
      <c r="C3821" s="23" t="str">
        <f aca="false">IF(B3821="","","brand")</f>
        <v/>
      </c>
      <c r="D3821" s="23" t="str">
        <f aca="false">IF(B3821="","",IFERROR(INDEX(Brand_Log!$DV$2:$DV$201,MATCH(IFERROR(INDEX(Clay_Brands!$A$2:$FZ$601,370,Sync!$D$5)&amp;"",""),Brand_Log!$A$2:$A$201,0))&amp;"",IFERROR(INDEX(Clay_Brands!$A$2:$FZ$601,370,Sync!$D$5)&amp;"","")&amp;""))</f>
        <v/>
      </c>
      <c r="E3821" s="23" t="str">
        <f aca="false">IF(B3821="","",IFERROR(INDEX(Clay_Brands!$A$2:$FZ$601,370,Sync!$D$6)&amp;"",""))</f>
        <v/>
      </c>
      <c r="F3821" s="23" t="str">
        <f aca="false">IF(B3821="","","outreach_sent")</f>
        <v/>
      </c>
      <c r="G3821" s="23" t="str">
        <f aca="false">IF(B3821="","","")</f>
        <v/>
      </c>
      <c r="H3821" s="23" t="str">
        <f aca="false">IF(B3821="","","")</f>
        <v/>
      </c>
      <c r="I3821" s="23" t="str">
        <f aca="false">IF(B3821="","","")</f>
        <v/>
      </c>
      <c r="J3821" s="23" t="str">
        <f aca="false">IF(B3821="","","touch_1; "&amp;IFERROR(INDEX(Clay_Brands!$A$2:$FZ$601,370,Sync!$D$10)&amp;"","")&amp;"; "&amp;IFERROR(INDEX(Clay_Brands!$A$2:$FZ$601,370,Sync!$D$9)&amp;"",""))</f>
        <v/>
      </c>
      <c r="K3821" s="32" t="s">
        <v>1366</v>
      </c>
    </row>
    <row r="3822" customFormat="false" ht="15" hidden="false" customHeight="false" outlineLevel="0" collapsed="false">
      <c r="A3822" s="23" t="str">
        <f aca="false">IF(B3822="","",B3822+(15*1000+371)/10000000)</f>
        <v/>
      </c>
      <c r="B3822" s="35" t="str">
        <f aca="false">IF(AND(IFERROR(N(INDEX(Clay_Brands!$A$2:$FZ$601,371,Sync!$D$11)),0)&gt;0,IFERROR(INDEX(Clay_Brands!$A$2:$FZ$601,371,Sync!$D$5)&amp;"","")&lt;&gt;"",OR(LEFT(IFERROR(INDEX(Clay_Brands!$A$2:$FZ$601,371,Sync!$D$5)&amp;"",""),6)&lt;&gt;"SAMPLE",Config!$B$19="Y")),IFERROR(N(INDEX(Clay_Brands!$A$2:$FZ$601,371,Sync!$D$11)),0),"")</f>
        <v/>
      </c>
      <c r="C3822" s="23" t="str">
        <f aca="false">IF(B3822="","","brand")</f>
        <v/>
      </c>
      <c r="D3822" s="23" t="str">
        <f aca="false">IF(B3822="","",IFERROR(INDEX(Brand_Log!$DV$2:$DV$201,MATCH(IFERROR(INDEX(Clay_Brands!$A$2:$FZ$601,371,Sync!$D$5)&amp;"",""),Brand_Log!$A$2:$A$201,0))&amp;"",IFERROR(INDEX(Clay_Brands!$A$2:$FZ$601,371,Sync!$D$5)&amp;"","")&amp;""))</f>
        <v/>
      </c>
      <c r="E3822" s="23" t="str">
        <f aca="false">IF(B3822="","",IFERROR(INDEX(Clay_Brands!$A$2:$FZ$601,371,Sync!$D$6)&amp;"",""))</f>
        <v/>
      </c>
      <c r="F3822" s="23" t="str">
        <f aca="false">IF(B3822="","","outreach_sent")</f>
        <v/>
      </c>
      <c r="G3822" s="23" t="str">
        <f aca="false">IF(B3822="","","")</f>
        <v/>
      </c>
      <c r="H3822" s="23" t="str">
        <f aca="false">IF(B3822="","","")</f>
        <v/>
      </c>
      <c r="I3822" s="23" t="str">
        <f aca="false">IF(B3822="","","")</f>
        <v/>
      </c>
      <c r="J3822" s="23" t="str">
        <f aca="false">IF(B3822="","","touch_1; "&amp;IFERROR(INDEX(Clay_Brands!$A$2:$FZ$601,371,Sync!$D$10)&amp;"","")&amp;"; "&amp;IFERROR(INDEX(Clay_Brands!$A$2:$FZ$601,371,Sync!$D$9)&amp;"",""))</f>
        <v/>
      </c>
      <c r="K3822" s="32" t="s">
        <v>1366</v>
      </c>
    </row>
    <row r="3823" customFormat="false" ht="15" hidden="false" customHeight="false" outlineLevel="0" collapsed="false">
      <c r="A3823" s="23" t="str">
        <f aca="false">IF(B3823="","",B3823+(15*1000+372)/10000000)</f>
        <v/>
      </c>
      <c r="B3823" s="35" t="str">
        <f aca="false">IF(AND(IFERROR(N(INDEX(Clay_Brands!$A$2:$FZ$601,372,Sync!$D$11)),0)&gt;0,IFERROR(INDEX(Clay_Brands!$A$2:$FZ$601,372,Sync!$D$5)&amp;"","")&lt;&gt;"",OR(LEFT(IFERROR(INDEX(Clay_Brands!$A$2:$FZ$601,372,Sync!$D$5)&amp;"",""),6)&lt;&gt;"SAMPLE",Config!$B$19="Y")),IFERROR(N(INDEX(Clay_Brands!$A$2:$FZ$601,372,Sync!$D$11)),0),"")</f>
        <v/>
      </c>
      <c r="C3823" s="23" t="str">
        <f aca="false">IF(B3823="","","brand")</f>
        <v/>
      </c>
      <c r="D3823" s="23" t="str">
        <f aca="false">IF(B3823="","",IFERROR(INDEX(Brand_Log!$DV$2:$DV$201,MATCH(IFERROR(INDEX(Clay_Brands!$A$2:$FZ$601,372,Sync!$D$5)&amp;"",""),Brand_Log!$A$2:$A$201,0))&amp;"",IFERROR(INDEX(Clay_Brands!$A$2:$FZ$601,372,Sync!$D$5)&amp;"","")&amp;""))</f>
        <v/>
      </c>
      <c r="E3823" s="23" t="str">
        <f aca="false">IF(B3823="","",IFERROR(INDEX(Clay_Brands!$A$2:$FZ$601,372,Sync!$D$6)&amp;"",""))</f>
        <v/>
      </c>
      <c r="F3823" s="23" t="str">
        <f aca="false">IF(B3823="","","outreach_sent")</f>
        <v/>
      </c>
      <c r="G3823" s="23" t="str">
        <f aca="false">IF(B3823="","","")</f>
        <v/>
      </c>
      <c r="H3823" s="23" t="str">
        <f aca="false">IF(B3823="","","")</f>
        <v/>
      </c>
      <c r="I3823" s="23" t="str">
        <f aca="false">IF(B3823="","","")</f>
        <v/>
      </c>
      <c r="J3823" s="23" t="str">
        <f aca="false">IF(B3823="","","touch_1; "&amp;IFERROR(INDEX(Clay_Brands!$A$2:$FZ$601,372,Sync!$D$10)&amp;"","")&amp;"; "&amp;IFERROR(INDEX(Clay_Brands!$A$2:$FZ$601,372,Sync!$D$9)&amp;"",""))</f>
        <v/>
      </c>
      <c r="K3823" s="32" t="s">
        <v>1366</v>
      </c>
    </row>
    <row r="3824" customFormat="false" ht="15" hidden="false" customHeight="false" outlineLevel="0" collapsed="false">
      <c r="A3824" s="23" t="str">
        <f aca="false">IF(B3824="","",B3824+(15*1000+373)/10000000)</f>
        <v/>
      </c>
      <c r="B3824" s="35" t="str">
        <f aca="false">IF(AND(IFERROR(N(INDEX(Clay_Brands!$A$2:$FZ$601,373,Sync!$D$11)),0)&gt;0,IFERROR(INDEX(Clay_Brands!$A$2:$FZ$601,373,Sync!$D$5)&amp;"","")&lt;&gt;"",OR(LEFT(IFERROR(INDEX(Clay_Brands!$A$2:$FZ$601,373,Sync!$D$5)&amp;"",""),6)&lt;&gt;"SAMPLE",Config!$B$19="Y")),IFERROR(N(INDEX(Clay_Brands!$A$2:$FZ$601,373,Sync!$D$11)),0),"")</f>
        <v/>
      </c>
      <c r="C3824" s="23" t="str">
        <f aca="false">IF(B3824="","","brand")</f>
        <v/>
      </c>
      <c r="D3824" s="23" t="str">
        <f aca="false">IF(B3824="","",IFERROR(INDEX(Brand_Log!$DV$2:$DV$201,MATCH(IFERROR(INDEX(Clay_Brands!$A$2:$FZ$601,373,Sync!$D$5)&amp;"",""),Brand_Log!$A$2:$A$201,0))&amp;"",IFERROR(INDEX(Clay_Brands!$A$2:$FZ$601,373,Sync!$D$5)&amp;"","")&amp;""))</f>
        <v/>
      </c>
      <c r="E3824" s="23" t="str">
        <f aca="false">IF(B3824="","",IFERROR(INDEX(Clay_Brands!$A$2:$FZ$601,373,Sync!$D$6)&amp;"",""))</f>
        <v/>
      </c>
      <c r="F3824" s="23" t="str">
        <f aca="false">IF(B3824="","","outreach_sent")</f>
        <v/>
      </c>
      <c r="G3824" s="23" t="str">
        <f aca="false">IF(B3824="","","")</f>
        <v/>
      </c>
      <c r="H3824" s="23" t="str">
        <f aca="false">IF(B3824="","","")</f>
        <v/>
      </c>
      <c r="I3824" s="23" t="str">
        <f aca="false">IF(B3824="","","")</f>
        <v/>
      </c>
      <c r="J3824" s="23" t="str">
        <f aca="false">IF(B3824="","","touch_1; "&amp;IFERROR(INDEX(Clay_Brands!$A$2:$FZ$601,373,Sync!$D$10)&amp;"","")&amp;"; "&amp;IFERROR(INDEX(Clay_Brands!$A$2:$FZ$601,373,Sync!$D$9)&amp;"",""))</f>
        <v/>
      </c>
      <c r="K3824" s="32" t="s">
        <v>1366</v>
      </c>
    </row>
    <row r="3825" customFormat="false" ht="15" hidden="false" customHeight="false" outlineLevel="0" collapsed="false">
      <c r="A3825" s="23" t="str">
        <f aca="false">IF(B3825="","",B3825+(15*1000+374)/10000000)</f>
        <v/>
      </c>
      <c r="B3825" s="35" t="str">
        <f aca="false">IF(AND(IFERROR(N(INDEX(Clay_Brands!$A$2:$FZ$601,374,Sync!$D$11)),0)&gt;0,IFERROR(INDEX(Clay_Brands!$A$2:$FZ$601,374,Sync!$D$5)&amp;"","")&lt;&gt;"",OR(LEFT(IFERROR(INDEX(Clay_Brands!$A$2:$FZ$601,374,Sync!$D$5)&amp;"",""),6)&lt;&gt;"SAMPLE",Config!$B$19="Y")),IFERROR(N(INDEX(Clay_Brands!$A$2:$FZ$601,374,Sync!$D$11)),0),"")</f>
        <v/>
      </c>
      <c r="C3825" s="23" t="str">
        <f aca="false">IF(B3825="","","brand")</f>
        <v/>
      </c>
      <c r="D3825" s="23" t="str">
        <f aca="false">IF(B3825="","",IFERROR(INDEX(Brand_Log!$DV$2:$DV$201,MATCH(IFERROR(INDEX(Clay_Brands!$A$2:$FZ$601,374,Sync!$D$5)&amp;"",""),Brand_Log!$A$2:$A$201,0))&amp;"",IFERROR(INDEX(Clay_Brands!$A$2:$FZ$601,374,Sync!$D$5)&amp;"","")&amp;""))</f>
        <v/>
      </c>
      <c r="E3825" s="23" t="str">
        <f aca="false">IF(B3825="","",IFERROR(INDEX(Clay_Brands!$A$2:$FZ$601,374,Sync!$D$6)&amp;"",""))</f>
        <v/>
      </c>
      <c r="F3825" s="23" t="str">
        <f aca="false">IF(B3825="","","outreach_sent")</f>
        <v/>
      </c>
      <c r="G3825" s="23" t="str">
        <f aca="false">IF(B3825="","","")</f>
        <v/>
      </c>
      <c r="H3825" s="23" t="str">
        <f aca="false">IF(B3825="","","")</f>
        <v/>
      </c>
      <c r="I3825" s="23" t="str">
        <f aca="false">IF(B3825="","","")</f>
        <v/>
      </c>
      <c r="J3825" s="23" t="str">
        <f aca="false">IF(B3825="","","touch_1; "&amp;IFERROR(INDEX(Clay_Brands!$A$2:$FZ$601,374,Sync!$D$10)&amp;"","")&amp;"; "&amp;IFERROR(INDEX(Clay_Brands!$A$2:$FZ$601,374,Sync!$D$9)&amp;"",""))</f>
        <v/>
      </c>
      <c r="K3825" s="32" t="s">
        <v>1366</v>
      </c>
    </row>
    <row r="3826" customFormat="false" ht="15" hidden="false" customHeight="false" outlineLevel="0" collapsed="false">
      <c r="A3826" s="23" t="str">
        <f aca="false">IF(B3826="","",B3826+(15*1000+375)/10000000)</f>
        <v/>
      </c>
      <c r="B3826" s="35" t="str">
        <f aca="false">IF(AND(IFERROR(N(INDEX(Clay_Brands!$A$2:$FZ$601,375,Sync!$D$11)),0)&gt;0,IFERROR(INDEX(Clay_Brands!$A$2:$FZ$601,375,Sync!$D$5)&amp;"","")&lt;&gt;"",OR(LEFT(IFERROR(INDEX(Clay_Brands!$A$2:$FZ$601,375,Sync!$D$5)&amp;"",""),6)&lt;&gt;"SAMPLE",Config!$B$19="Y")),IFERROR(N(INDEX(Clay_Brands!$A$2:$FZ$601,375,Sync!$D$11)),0),"")</f>
        <v/>
      </c>
      <c r="C3826" s="23" t="str">
        <f aca="false">IF(B3826="","","brand")</f>
        <v/>
      </c>
      <c r="D3826" s="23" t="str">
        <f aca="false">IF(B3826="","",IFERROR(INDEX(Brand_Log!$DV$2:$DV$201,MATCH(IFERROR(INDEX(Clay_Brands!$A$2:$FZ$601,375,Sync!$D$5)&amp;"",""),Brand_Log!$A$2:$A$201,0))&amp;"",IFERROR(INDEX(Clay_Brands!$A$2:$FZ$601,375,Sync!$D$5)&amp;"","")&amp;""))</f>
        <v/>
      </c>
      <c r="E3826" s="23" t="str">
        <f aca="false">IF(B3826="","",IFERROR(INDEX(Clay_Brands!$A$2:$FZ$601,375,Sync!$D$6)&amp;"",""))</f>
        <v/>
      </c>
      <c r="F3826" s="23" t="str">
        <f aca="false">IF(B3826="","","outreach_sent")</f>
        <v/>
      </c>
      <c r="G3826" s="23" t="str">
        <f aca="false">IF(B3826="","","")</f>
        <v/>
      </c>
      <c r="H3826" s="23" t="str">
        <f aca="false">IF(B3826="","","")</f>
        <v/>
      </c>
      <c r="I3826" s="23" t="str">
        <f aca="false">IF(B3826="","","")</f>
        <v/>
      </c>
      <c r="J3826" s="23" t="str">
        <f aca="false">IF(B3826="","","touch_1; "&amp;IFERROR(INDEX(Clay_Brands!$A$2:$FZ$601,375,Sync!$D$10)&amp;"","")&amp;"; "&amp;IFERROR(INDEX(Clay_Brands!$A$2:$FZ$601,375,Sync!$D$9)&amp;"",""))</f>
        <v/>
      </c>
      <c r="K3826" s="32" t="s">
        <v>1366</v>
      </c>
    </row>
    <row r="3827" customFormat="false" ht="15" hidden="false" customHeight="false" outlineLevel="0" collapsed="false">
      <c r="A3827" s="23" t="str">
        <f aca="false">IF(B3827="","",B3827+(15*1000+376)/10000000)</f>
        <v/>
      </c>
      <c r="B3827" s="35" t="str">
        <f aca="false">IF(AND(IFERROR(N(INDEX(Clay_Brands!$A$2:$FZ$601,376,Sync!$D$11)),0)&gt;0,IFERROR(INDEX(Clay_Brands!$A$2:$FZ$601,376,Sync!$D$5)&amp;"","")&lt;&gt;"",OR(LEFT(IFERROR(INDEX(Clay_Brands!$A$2:$FZ$601,376,Sync!$D$5)&amp;"",""),6)&lt;&gt;"SAMPLE",Config!$B$19="Y")),IFERROR(N(INDEX(Clay_Brands!$A$2:$FZ$601,376,Sync!$D$11)),0),"")</f>
        <v/>
      </c>
      <c r="C3827" s="23" t="str">
        <f aca="false">IF(B3827="","","brand")</f>
        <v/>
      </c>
      <c r="D3827" s="23" t="str">
        <f aca="false">IF(B3827="","",IFERROR(INDEX(Brand_Log!$DV$2:$DV$201,MATCH(IFERROR(INDEX(Clay_Brands!$A$2:$FZ$601,376,Sync!$D$5)&amp;"",""),Brand_Log!$A$2:$A$201,0))&amp;"",IFERROR(INDEX(Clay_Brands!$A$2:$FZ$601,376,Sync!$D$5)&amp;"","")&amp;""))</f>
        <v/>
      </c>
      <c r="E3827" s="23" t="str">
        <f aca="false">IF(B3827="","",IFERROR(INDEX(Clay_Brands!$A$2:$FZ$601,376,Sync!$D$6)&amp;"",""))</f>
        <v/>
      </c>
      <c r="F3827" s="23" t="str">
        <f aca="false">IF(B3827="","","outreach_sent")</f>
        <v/>
      </c>
      <c r="G3827" s="23" t="str">
        <f aca="false">IF(B3827="","","")</f>
        <v/>
      </c>
      <c r="H3827" s="23" t="str">
        <f aca="false">IF(B3827="","","")</f>
        <v/>
      </c>
      <c r="I3827" s="23" t="str">
        <f aca="false">IF(B3827="","","")</f>
        <v/>
      </c>
      <c r="J3827" s="23" t="str">
        <f aca="false">IF(B3827="","","touch_1; "&amp;IFERROR(INDEX(Clay_Brands!$A$2:$FZ$601,376,Sync!$D$10)&amp;"","")&amp;"; "&amp;IFERROR(INDEX(Clay_Brands!$A$2:$FZ$601,376,Sync!$D$9)&amp;"",""))</f>
        <v/>
      </c>
      <c r="K3827" s="32" t="s">
        <v>1366</v>
      </c>
    </row>
    <row r="3828" customFormat="false" ht="15" hidden="false" customHeight="false" outlineLevel="0" collapsed="false">
      <c r="A3828" s="23" t="str">
        <f aca="false">IF(B3828="","",B3828+(15*1000+377)/10000000)</f>
        <v/>
      </c>
      <c r="B3828" s="35" t="str">
        <f aca="false">IF(AND(IFERROR(N(INDEX(Clay_Brands!$A$2:$FZ$601,377,Sync!$D$11)),0)&gt;0,IFERROR(INDEX(Clay_Brands!$A$2:$FZ$601,377,Sync!$D$5)&amp;"","")&lt;&gt;"",OR(LEFT(IFERROR(INDEX(Clay_Brands!$A$2:$FZ$601,377,Sync!$D$5)&amp;"",""),6)&lt;&gt;"SAMPLE",Config!$B$19="Y")),IFERROR(N(INDEX(Clay_Brands!$A$2:$FZ$601,377,Sync!$D$11)),0),"")</f>
        <v/>
      </c>
      <c r="C3828" s="23" t="str">
        <f aca="false">IF(B3828="","","brand")</f>
        <v/>
      </c>
      <c r="D3828" s="23" t="str">
        <f aca="false">IF(B3828="","",IFERROR(INDEX(Brand_Log!$DV$2:$DV$201,MATCH(IFERROR(INDEX(Clay_Brands!$A$2:$FZ$601,377,Sync!$D$5)&amp;"",""),Brand_Log!$A$2:$A$201,0))&amp;"",IFERROR(INDEX(Clay_Brands!$A$2:$FZ$601,377,Sync!$D$5)&amp;"","")&amp;""))</f>
        <v/>
      </c>
      <c r="E3828" s="23" t="str">
        <f aca="false">IF(B3828="","",IFERROR(INDEX(Clay_Brands!$A$2:$FZ$601,377,Sync!$D$6)&amp;"",""))</f>
        <v/>
      </c>
      <c r="F3828" s="23" t="str">
        <f aca="false">IF(B3828="","","outreach_sent")</f>
        <v/>
      </c>
      <c r="G3828" s="23" t="str">
        <f aca="false">IF(B3828="","","")</f>
        <v/>
      </c>
      <c r="H3828" s="23" t="str">
        <f aca="false">IF(B3828="","","")</f>
        <v/>
      </c>
      <c r="I3828" s="23" t="str">
        <f aca="false">IF(B3828="","","")</f>
        <v/>
      </c>
      <c r="J3828" s="23" t="str">
        <f aca="false">IF(B3828="","","touch_1; "&amp;IFERROR(INDEX(Clay_Brands!$A$2:$FZ$601,377,Sync!$D$10)&amp;"","")&amp;"; "&amp;IFERROR(INDEX(Clay_Brands!$A$2:$FZ$601,377,Sync!$D$9)&amp;"",""))</f>
        <v/>
      </c>
      <c r="K3828" s="32" t="s">
        <v>1366</v>
      </c>
    </row>
    <row r="3829" customFormat="false" ht="15" hidden="false" customHeight="false" outlineLevel="0" collapsed="false">
      <c r="A3829" s="23" t="str">
        <f aca="false">IF(B3829="","",B3829+(15*1000+378)/10000000)</f>
        <v/>
      </c>
      <c r="B3829" s="35" t="str">
        <f aca="false">IF(AND(IFERROR(N(INDEX(Clay_Brands!$A$2:$FZ$601,378,Sync!$D$11)),0)&gt;0,IFERROR(INDEX(Clay_Brands!$A$2:$FZ$601,378,Sync!$D$5)&amp;"","")&lt;&gt;"",OR(LEFT(IFERROR(INDEX(Clay_Brands!$A$2:$FZ$601,378,Sync!$D$5)&amp;"",""),6)&lt;&gt;"SAMPLE",Config!$B$19="Y")),IFERROR(N(INDEX(Clay_Brands!$A$2:$FZ$601,378,Sync!$D$11)),0),"")</f>
        <v/>
      </c>
      <c r="C3829" s="23" t="str">
        <f aca="false">IF(B3829="","","brand")</f>
        <v/>
      </c>
      <c r="D3829" s="23" t="str">
        <f aca="false">IF(B3829="","",IFERROR(INDEX(Brand_Log!$DV$2:$DV$201,MATCH(IFERROR(INDEX(Clay_Brands!$A$2:$FZ$601,378,Sync!$D$5)&amp;"",""),Brand_Log!$A$2:$A$201,0))&amp;"",IFERROR(INDEX(Clay_Brands!$A$2:$FZ$601,378,Sync!$D$5)&amp;"","")&amp;""))</f>
        <v/>
      </c>
      <c r="E3829" s="23" t="str">
        <f aca="false">IF(B3829="","",IFERROR(INDEX(Clay_Brands!$A$2:$FZ$601,378,Sync!$D$6)&amp;"",""))</f>
        <v/>
      </c>
      <c r="F3829" s="23" t="str">
        <f aca="false">IF(B3829="","","outreach_sent")</f>
        <v/>
      </c>
      <c r="G3829" s="23" t="str">
        <f aca="false">IF(B3829="","","")</f>
        <v/>
      </c>
      <c r="H3829" s="23" t="str">
        <f aca="false">IF(B3829="","","")</f>
        <v/>
      </c>
      <c r="I3829" s="23" t="str">
        <f aca="false">IF(B3829="","","")</f>
        <v/>
      </c>
      <c r="J3829" s="23" t="str">
        <f aca="false">IF(B3829="","","touch_1; "&amp;IFERROR(INDEX(Clay_Brands!$A$2:$FZ$601,378,Sync!$D$10)&amp;"","")&amp;"; "&amp;IFERROR(INDEX(Clay_Brands!$A$2:$FZ$601,378,Sync!$D$9)&amp;"",""))</f>
        <v/>
      </c>
      <c r="K3829" s="32" t="s">
        <v>1366</v>
      </c>
    </row>
    <row r="3830" customFormat="false" ht="15" hidden="false" customHeight="false" outlineLevel="0" collapsed="false">
      <c r="A3830" s="23" t="str">
        <f aca="false">IF(B3830="","",B3830+(15*1000+379)/10000000)</f>
        <v/>
      </c>
      <c r="B3830" s="35" t="str">
        <f aca="false">IF(AND(IFERROR(N(INDEX(Clay_Brands!$A$2:$FZ$601,379,Sync!$D$11)),0)&gt;0,IFERROR(INDEX(Clay_Brands!$A$2:$FZ$601,379,Sync!$D$5)&amp;"","")&lt;&gt;"",OR(LEFT(IFERROR(INDEX(Clay_Brands!$A$2:$FZ$601,379,Sync!$D$5)&amp;"",""),6)&lt;&gt;"SAMPLE",Config!$B$19="Y")),IFERROR(N(INDEX(Clay_Brands!$A$2:$FZ$601,379,Sync!$D$11)),0),"")</f>
        <v/>
      </c>
      <c r="C3830" s="23" t="str">
        <f aca="false">IF(B3830="","","brand")</f>
        <v/>
      </c>
      <c r="D3830" s="23" t="str">
        <f aca="false">IF(B3830="","",IFERROR(INDEX(Brand_Log!$DV$2:$DV$201,MATCH(IFERROR(INDEX(Clay_Brands!$A$2:$FZ$601,379,Sync!$D$5)&amp;"",""),Brand_Log!$A$2:$A$201,0))&amp;"",IFERROR(INDEX(Clay_Brands!$A$2:$FZ$601,379,Sync!$D$5)&amp;"","")&amp;""))</f>
        <v/>
      </c>
      <c r="E3830" s="23" t="str">
        <f aca="false">IF(B3830="","",IFERROR(INDEX(Clay_Brands!$A$2:$FZ$601,379,Sync!$D$6)&amp;"",""))</f>
        <v/>
      </c>
      <c r="F3830" s="23" t="str">
        <f aca="false">IF(B3830="","","outreach_sent")</f>
        <v/>
      </c>
      <c r="G3830" s="23" t="str">
        <f aca="false">IF(B3830="","","")</f>
        <v/>
      </c>
      <c r="H3830" s="23" t="str">
        <f aca="false">IF(B3830="","","")</f>
        <v/>
      </c>
      <c r="I3830" s="23" t="str">
        <f aca="false">IF(B3830="","","")</f>
        <v/>
      </c>
      <c r="J3830" s="23" t="str">
        <f aca="false">IF(B3830="","","touch_1; "&amp;IFERROR(INDEX(Clay_Brands!$A$2:$FZ$601,379,Sync!$D$10)&amp;"","")&amp;"; "&amp;IFERROR(INDEX(Clay_Brands!$A$2:$FZ$601,379,Sync!$D$9)&amp;"",""))</f>
        <v/>
      </c>
      <c r="K3830" s="32" t="s">
        <v>1366</v>
      </c>
    </row>
    <row r="3831" customFormat="false" ht="15" hidden="false" customHeight="false" outlineLevel="0" collapsed="false">
      <c r="A3831" s="23" t="str">
        <f aca="false">IF(B3831="","",B3831+(15*1000+380)/10000000)</f>
        <v/>
      </c>
      <c r="B3831" s="35" t="str">
        <f aca="false">IF(AND(IFERROR(N(INDEX(Clay_Brands!$A$2:$FZ$601,380,Sync!$D$11)),0)&gt;0,IFERROR(INDEX(Clay_Brands!$A$2:$FZ$601,380,Sync!$D$5)&amp;"","")&lt;&gt;"",OR(LEFT(IFERROR(INDEX(Clay_Brands!$A$2:$FZ$601,380,Sync!$D$5)&amp;"",""),6)&lt;&gt;"SAMPLE",Config!$B$19="Y")),IFERROR(N(INDEX(Clay_Brands!$A$2:$FZ$601,380,Sync!$D$11)),0),"")</f>
        <v/>
      </c>
      <c r="C3831" s="23" t="str">
        <f aca="false">IF(B3831="","","brand")</f>
        <v/>
      </c>
      <c r="D3831" s="23" t="str">
        <f aca="false">IF(B3831="","",IFERROR(INDEX(Brand_Log!$DV$2:$DV$201,MATCH(IFERROR(INDEX(Clay_Brands!$A$2:$FZ$601,380,Sync!$D$5)&amp;"",""),Brand_Log!$A$2:$A$201,0))&amp;"",IFERROR(INDEX(Clay_Brands!$A$2:$FZ$601,380,Sync!$D$5)&amp;"","")&amp;""))</f>
        <v/>
      </c>
      <c r="E3831" s="23" t="str">
        <f aca="false">IF(B3831="","",IFERROR(INDEX(Clay_Brands!$A$2:$FZ$601,380,Sync!$D$6)&amp;"",""))</f>
        <v/>
      </c>
      <c r="F3831" s="23" t="str">
        <f aca="false">IF(B3831="","","outreach_sent")</f>
        <v/>
      </c>
      <c r="G3831" s="23" t="str">
        <f aca="false">IF(B3831="","","")</f>
        <v/>
      </c>
      <c r="H3831" s="23" t="str">
        <f aca="false">IF(B3831="","","")</f>
        <v/>
      </c>
      <c r="I3831" s="23" t="str">
        <f aca="false">IF(B3831="","","")</f>
        <v/>
      </c>
      <c r="J3831" s="23" t="str">
        <f aca="false">IF(B3831="","","touch_1; "&amp;IFERROR(INDEX(Clay_Brands!$A$2:$FZ$601,380,Sync!$D$10)&amp;"","")&amp;"; "&amp;IFERROR(INDEX(Clay_Brands!$A$2:$FZ$601,380,Sync!$D$9)&amp;"",""))</f>
        <v/>
      </c>
      <c r="K3831" s="32" t="s">
        <v>1366</v>
      </c>
    </row>
    <row r="3832" customFormat="false" ht="15" hidden="false" customHeight="false" outlineLevel="0" collapsed="false">
      <c r="A3832" s="23" t="str">
        <f aca="false">IF(B3832="","",B3832+(15*1000+381)/10000000)</f>
        <v/>
      </c>
      <c r="B3832" s="35" t="str">
        <f aca="false">IF(AND(IFERROR(N(INDEX(Clay_Brands!$A$2:$FZ$601,381,Sync!$D$11)),0)&gt;0,IFERROR(INDEX(Clay_Brands!$A$2:$FZ$601,381,Sync!$D$5)&amp;"","")&lt;&gt;"",OR(LEFT(IFERROR(INDEX(Clay_Brands!$A$2:$FZ$601,381,Sync!$D$5)&amp;"",""),6)&lt;&gt;"SAMPLE",Config!$B$19="Y")),IFERROR(N(INDEX(Clay_Brands!$A$2:$FZ$601,381,Sync!$D$11)),0),"")</f>
        <v/>
      </c>
      <c r="C3832" s="23" t="str">
        <f aca="false">IF(B3832="","","brand")</f>
        <v/>
      </c>
      <c r="D3832" s="23" t="str">
        <f aca="false">IF(B3832="","",IFERROR(INDEX(Brand_Log!$DV$2:$DV$201,MATCH(IFERROR(INDEX(Clay_Brands!$A$2:$FZ$601,381,Sync!$D$5)&amp;"",""),Brand_Log!$A$2:$A$201,0))&amp;"",IFERROR(INDEX(Clay_Brands!$A$2:$FZ$601,381,Sync!$D$5)&amp;"","")&amp;""))</f>
        <v/>
      </c>
      <c r="E3832" s="23" t="str">
        <f aca="false">IF(B3832="","",IFERROR(INDEX(Clay_Brands!$A$2:$FZ$601,381,Sync!$D$6)&amp;"",""))</f>
        <v/>
      </c>
      <c r="F3832" s="23" t="str">
        <f aca="false">IF(B3832="","","outreach_sent")</f>
        <v/>
      </c>
      <c r="G3832" s="23" t="str">
        <f aca="false">IF(B3832="","","")</f>
        <v/>
      </c>
      <c r="H3832" s="23" t="str">
        <f aca="false">IF(B3832="","","")</f>
        <v/>
      </c>
      <c r="I3832" s="23" t="str">
        <f aca="false">IF(B3832="","","")</f>
        <v/>
      </c>
      <c r="J3832" s="23" t="str">
        <f aca="false">IF(B3832="","","touch_1; "&amp;IFERROR(INDEX(Clay_Brands!$A$2:$FZ$601,381,Sync!$D$10)&amp;"","")&amp;"; "&amp;IFERROR(INDEX(Clay_Brands!$A$2:$FZ$601,381,Sync!$D$9)&amp;"",""))</f>
        <v/>
      </c>
      <c r="K3832" s="32" t="s">
        <v>1366</v>
      </c>
    </row>
    <row r="3833" customFormat="false" ht="15" hidden="false" customHeight="false" outlineLevel="0" collapsed="false">
      <c r="A3833" s="23" t="str">
        <f aca="false">IF(B3833="","",B3833+(15*1000+382)/10000000)</f>
        <v/>
      </c>
      <c r="B3833" s="35" t="str">
        <f aca="false">IF(AND(IFERROR(N(INDEX(Clay_Brands!$A$2:$FZ$601,382,Sync!$D$11)),0)&gt;0,IFERROR(INDEX(Clay_Brands!$A$2:$FZ$601,382,Sync!$D$5)&amp;"","")&lt;&gt;"",OR(LEFT(IFERROR(INDEX(Clay_Brands!$A$2:$FZ$601,382,Sync!$D$5)&amp;"",""),6)&lt;&gt;"SAMPLE",Config!$B$19="Y")),IFERROR(N(INDEX(Clay_Brands!$A$2:$FZ$601,382,Sync!$D$11)),0),"")</f>
        <v/>
      </c>
      <c r="C3833" s="23" t="str">
        <f aca="false">IF(B3833="","","brand")</f>
        <v/>
      </c>
      <c r="D3833" s="23" t="str">
        <f aca="false">IF(B3833="","",IFERROR(INDEX(Brand_Log!$DV$2:$DV$201,MATCH(IFERROR(INDEX(Clay_Brands!$A$2:$FZ$601,382,Sync!$D$5)&amp;"",""),Brand_Log!$A$2:$A$201,0))&amp;"",IFERROR(INDEX(Clay_Brands!$A$2:$FZ$601,382,Sync!$D$5)&amp;"","")&amp;""))</f>
        <v/>
      </c>
      <c r="E3833" s="23" t="str">
        <f aca="false">IF(B3833="","",IFERROR(INDEX(Clay_Brands!$A$2:$FZ$601,382,Sync!$D$6)&amp;"",""))</f>
        <v/>
      </c>
      <c r="F3833" s="23" t="str">
        <f aca="false">IF(B3833="","","outreach_sent")</f>
        <v/>
      </c>
      <c r="G3833" s="23" t="str">
        <f aca="false">IF(B3833="","","")</f>
        <v/>
      </c>
      <c r="H3833" s="23" t="str">
        <f aca="false">IF(B3833="","","")</f>
        <v/>
      </c>
      <c r="I3833" s="23" t="str">
        <f aca="false">IF(B3833="","","")</f>
        <v/>
      </c>
      <c r="J3833" s="23" t="str">
        <f aca="false">IF(B3833="","","touch_1; "&amp;IFERROR(INDEX(Clay_Brands!$A$2:$FZ$601,382,Sync!$D$10)&amp;"","")&amp;"; "&amp;IFERROR(INDEX(Clay_Brands!$A$2:$FZ$601,382,Sync!$D$9)&amp;"",""))</f>
        <v/>
      </c>
      <c r="K3833" s="32" t="s">
        <v>1366</v>
      </c>
    </row>
    <row r="3834" customFormat="false" ht="15" hidden="false" customHeight="false" outlineLevel="0" collapsed="false">
      <c r="A3834" s="23" t="str">
        <f aca="false">IF(B3834="","",B3834+(15*1000+383)/10000000)</f>
        <v/>
      </c>
      <c r="B3834" s="35" t="str">
        <f aca="false">IF(AND(IFERROR(N(INDEX(Clay_Brands!$A$2:$FZ$601,383,Sync!$D$11)),0)&gt;0,IFERROR(INDEX(Clay_Brands!$A$2:$FZ$601,383,Sync!$D$5)&amp;"","")&lt;&gt;"",OR(LEFT(IFERROR(INDEX(Clay_Brands!$A$2:$FZ$601,383,Sync!$D$5)&amp;"",""),6)&lt;&gt;"SAMPLE",Config!$B$19="Y")),IFERROR(N(INDEX(Clay_Brands!$A$2:$FZ$601,383,Sync!$D$11)),0),"")</f>
        <v/>
      </c>
      <c r="C3834" s="23" t="str">
        <f aca="false">IF(B3834="","","brand")</f>
        <v/>
      </c>
      <c r="D3834" s="23" t="str">
        <f aca="false">IF(B3834="","",IFERROR(INDEX(Brand_Log!$DV$2:$DV$201,MATCH(IFERROR(INDEX(Clay_Brands!$A$2:$FZ$601,383,Sync!$D$5)&amp;"",""),Brand_Log!$A$2:$A$201,0))&amp;"",IFERROR(INDEX(Clay_Brands!$A$2:$FZ$601,383,Sync!$D$5)&amp;"","")&amp;""))</f>
        <v/>
      </c>
      <c r="E3834" s="23" t="str">
        <f aca="false">IF(B3834="","",IFERROR(INDEX(Clay_Brands!$A$2:$FZ$601,383,Sync!$D$6)&amp;"",""))</f>
        <v/>
      </c>
      <c r="F3834" s="23" t="str">
        <f aca="false">IF(B3834="","","outreach_sent")</f>
        <v/>
      </c>
      <c r="G3834" s="23" t="str">
        <f aca="false">IF(B3834="","","")</f>
        <v/>
      </c>
      <c r="H3834" s="23" t="str">
        <f aca="false">IF(B3834="","","")</f>
        <v/>
      </c>
      <c r="I3834" s="23" t="str">
        <f aca="false">IF(B3834="","","")</f>
        <v/>
      </c>
      <c r="J3834" s="23" t="str">
        <f aca="false">IF(B3834="","","touch_1; "&amp;IFERROR(INDEX(Clay_Brands!$A$2:$FZ$601,383,Sync!$D$10)&amp;"","")&amp;"; "&amp;IFERROR(INDEX(Clay_Brands!$A$2:$FZ$601,383,Sync!$D$9)&amp;"",""))</f>
        <v/>
      </c>
      <c r="K3834" s="32" t="s">
        <v>1366</v>
      </c>
    </row>
    <row r="3835" customFormat="false" ht="15" hidden="false" customHeight="false" outlineLevel="0" collapsed="false">
      <c r="A3835" s="23" t="str">
        <f aca="false">IF(B3835="","",B3835+(15*1000+384)/10000000)</f>
        <v/>
      </c>
      <c r="B3835" s="35" t="str">
        <f aca="false">IF(AND(IFERROR(N(INDEX(Clay_Brands!$A$2:$FZ$601,384,Sync!$D$11)),0)&gt;0,IFERROR(INDEX(Clay_Brands!$A$2:$FZ$601,384,Sync!$D$5)&amp;"","")&lt;&gt;"",OR(LEFT(IFERROR(INDEX(Clay_Brands!$A$2:$FZ$601,384,Sync!$D$5)&amp;"",""),6)&lt;&gt;"SAMPLE",Config!$B$19="Y")),IFERROR(N(INDEX(Clay_Brands!$A$2:$FZ$601,384,Sync!$D$11)),0),"")</f>
        <v/>
      </c>
      <c r="C3835" s="23" t="str">
        <f aca="false">IF(B3835="","","brand")</f>
        <v/>
      </c>
      <c r="D3835" s="23" t="str">
        <f aca="false">IF(B3835="","",IFERROR(INDEX(Brand_Log!$DV$2:$DV$201,MATCH(IFERROR(INDEX(Clay_Brands!$A$2:$FZ$601,384,Sync!$D$5)&amp;"",""),Brand_Log!$A$2:$A$201,0))&amp;"",IFERROR(INDEX(Clay_Brands!$A$2:$FZ$601,384,Sync!$D$5)&amp;"","")&amp;""))</f>
        <v/>
      </c>
      <c r="E3835" s="23" t="str">
        <f aca="false">IF(B3835="","",IFERROR(INDEX(Clay_Brands!$A$2:$FZ$601,384,Sync!$D$6)&amp;"",""))</f>
        <v/>
      </c>
      <c r="F3835" s="23" t="str">
        <f aca="false">IF(B3835="","","outreach_sent")</f>
        <v/>
      </c>
      <c r="G3835" s="23" t="str">
        <f aca="false">IF(B3835="","","")</f>
        <v/>
      </c>
      <c r="H3835" s="23" t="str">
        <f aca="false">IF(B3835="","","")</f>
        <v/>
      </c>
      <c r="I3835" s="23" t="str">
        <f aca="false">IF(B3835="","","")</f>
        <v/>
      </c>
      <c r="J3835" s="23" t="str">
        <f aca="false">IF(B3835="","","touch_1; "&amp;IFERROR(INDEX(Clay_Brands!$A$2:$FZ$601,384,Sync!$D$10)&amp;"","")&amp;"; "&amp;IFERROR(INDEX(Clay_Brands!$A$2:$FZ$601,384,Sync!$D$9)&amp;"",""))</f>
        <v/>
      </c>
      <c r="K3835" s="32" t="s">
        <v>1366</v>
      </c>
    </row>
    <row r="3836" customFormat="false" ht="15" hidden="false" customHeight="false" outlineLevel="0" collapsed="false">
      <c r="A3836" s="23" t="str">
        <f aca="false">IF(B3836="","",B3836+(15*1000+385)/10000000)</f>
        <v/>
      </c>
      <c r="B3836" s="35" t="str">
        <f aca="false">IF(AND(IFERROR(N(INDEX(Clay_Brands!$A$2:$FZ$601,385,Sync!$D$11)),0)&gt;0,IFERROR(INDEX(Clay_Brands!$A$2:$FZ$601,385,Sync!$D$5)&amp;"","")&lt;&gt;"",OR(LEFT(IFERROR(INDEX(Clay_Brands!$A$2:$FZ$601,385,Sync!$D$5)&amp;"",""),6)&lt;&gt;"SAMPLE",Config!$B$19="Y")),IFERROR(N(INDEX(Clay_Brands!$A$2:$FZ$601,385,Sync!$D$11)),0),"")</f>
        <v/>
      </c>
      <c r="C3836" s="23" t="str">
        <f aca="false">IF(B3836="","","brand")</f>
        <v/>
      </c>
      <c r="D3836" s="23" t="str">
        <f aca="false">IF(B3836="","",IFERROR(INDEX(Brand_Log!$DV$2:$DV$201,MATCH(IFERROR(INDEX(Clay_Brands!$A$2:$FZ$601,385,Sync!$D$5)&amp;"",""),Brand_Log!$A$2:$A$201,0))&amp;"",IFERROR(INDEX(Clay_Brands!$A$2:$FZ$601,385,Sync!$D$5)&amp;"","")&amp;""))</f>
        <v/>
      </c>
      <c r="E3836" s="23" t="str">
        <f aca="false">IF(B3836="","",IFERROR(INDEX(Clay_Brands!$A$2:$FZ$601,385,Sync!$D$6)&amp;"",""))</f>
        <v/>
      </c>
      <c r="F3836" s="23" t="str">
        <f aca="false">IF(B3836="","","outreach_sent")</f>
        <v/>
      </c>
      <c r="G3836" s="23" t="str">
        <f aca="false">IF(B3836="","","")</f>
        <v/>
      </c>
      <c r="H3836" s="23" t="str">
        <f aca="false">IF(B3836="","","")</f>
        <v/>
      </c>
      <c r="I3836" s="23" t="str">
        <f aca="false">IF(B3836="","","")</f>
        <v/>
      </c>
      <c r="J3836" s="23" t="str">
        <f aca="false">IF(B3836="","","touch_1; "&amp;IFERROR(INDEX(Clay_Brands!$A$2:$FZ$601,385,Sync!$D$10)&amp;"","")&amp;"; "&amp;IFERROR(INDEX(Clay_Brands!$A$2:$FZ$601,385,Sync!$D$9)&amp;"",""))</f>
        <v/>
      </c>
      <c r="K3836" s="32" t="s">
        <v>1366</v>
      </c>
    </row>
    <row r="3837" customFormat="false" ht="15" hidden="false" customHeight="false" outlineLevel="0" collapsed="false">
      <c r="A3837" s="23" t="str">
        <f aca="false">IF(B3837="","",B3837+(15*1000+386)/10000000)</f>
        <v/>
      </c>
      <c r="B3837" s="35" t="str">
        <f aca="false">IF(AND(IFERROR(N(INDEX(Clay_Brands!$A$2:$FZ$601,386,Sync!$D$11)),0)&gt;0,IFERROR(INDEX(Clay_Brands!$A$2:$FZ$601,386,Sync!$D$5)&amp;"","")&lt;&gt;"",OR(LEFT(IFERROR(INDEX(Clay_Brands!$A$2:$FZ$601,386,Sync!$D$5)&amp;"",""),6)&lt;&gt;"SAMPLE",Config!$B$19="Y")),IFERROR(N(INDEX(Clay_Brands!$A$2:$FZ$601,386,Sync!$D$11)),0),"")</f>
        <v/>
      </c>
      <c r="C3837" s="23" t="str">
        <f aca="false">IF(B3837="","","brand")</f>
        <v/>
      </c>
      <c r="D3837" s="23" t="str">
        <f aca="false">IF(B3837="","",IFERROR(INDEX(Brand_Log!$DV$2:$DV$201,MATCH(IFERROR(INDEX(Clay_Brands!$A$2:$FZ$601,386,Sync!$D$5)&amp;"",""),Brand_Log!$A$2:$A$201,0))&amp;"",IFERROR(INDEX(Clay_Brands!$A$2:$FZ$601,386,Sync!$D$5)&amp;"","")&amp;""))</f>
        <v/>
      </c>
      <c r="E3837" s="23" t="str">
        <f aca="false">IF(B3837="","",IFERROR(INDEX(Clay_Brands!$A$2:$FZ$601,386,Sync!$D$6)&amp;"",""))</f>
        <v/>
      </c>
      <c r="F3837" s="23" t="str">
        <f aca="false">IF(B3837="","","outreach_sent")</f>
        <v/>
      </c>
      <c r="G3837" s="23" t="str">
        <f aca="false">IF(B3837="","","")</f>
        <v/>
      </c>
      <c r="H3837" s="23" t="str">
        <f aca="false">IF(B3837="","","")</f>
        <v/>
      </c>
      <c r="I3837" s="23" t="str">
        <f aca="false">IF(B3837="","","")</f>
        <v/>
      </c>
      <c r="J3837" s="23" t="str">
        <f aca="false">IF(B3837="","","touch_1; "&amp;IFERROR(INDEX(Clay_Brands!$A$2:$FZ$601,386,Sync!$D$10)&amp;"","")&amp;"; "&amp;IFERROR(INDEX(Clay_Brands!$A$2:$FZ$601,386,Sync!$D$9)&amp;"",""))</f>
        <v/>
      </c>
      <c r="K3837" s="32" t="s">
        <v>1366</v>
      </c>
    </row>
    <row r="3838" customFormat="false" ht="15" hidden="false" customHeight="false" outlineLevel="0" collapsed="false">
      <c r="A3838" s="23" t="str">
        <f aca="false">IF(B3838="","",B3838+(15*1000+387)/10000000)</f>
        <v/>
      </c>
      <c r="B3838" s="35" t="str">
        <f aca="false">IF(AND(IFERROR(N(INDEX(Clay_Brands!$A$2:$FZ$601,387,Sync!$D$11)),0)&gt;0,IFERROR(INDEX(Clay_Brands!$A$2:$FZ$601,387,Sync!$D$5)&amp;"","")&lt;&gt;"",OR(LEFT(IFERROR(INDEX(Clay_Brands!$A$2:$FZ$601,387,Sync!$D$5)&amp;"",""),6)&lt;&gt;"SAMPLE",Config!$B$19="Y")),IFERROR(N(INDEX(Clay_Brands!$A$2:$FZ$601,387,Sync!$D$11)),0),"")</f>
        <v/>
      </c>
      <c r="C3838" s="23" t="str">
        <f aca="false">IF(B3838="","","brand")</f>
        <v/>
      </c>
      <c r="D3838" s="23" t="str">
        <f aca="false">IF(B3838="","",IFERROR(INDEX(Brand_Log!$DV$2:$DV$201,MATCH(IFERROR(INDEX(Clay_Brands!$A$2:$FZ$601,387,Sync!$D$5)&amp;"",""),Brand_Log!$A$2:$A$201,0))&amp;"",IFERROR(INDEX(Clay_Brands!$A$2:$FZ$601,387,Sync!$D$5)&amp;"","")&amp;""))</f>
        <v/>
      </c>
      <c r="E3838" s="23" t="str">
        <f aca="false">IF(B3838="","",IFERROR(INDEX(Clay_Brands!$A$2:$FZ$601,387,Sync!$D$6)&amp;"",""))</f>
        <v/>
      </c>
      <c r="F3838" s="23" t="str">
        <f aca="false">IF(B3838="","","outreach_sent")</f>
        <v/>
      </c>
      <c r="G3838" s="23" t="str">
        <f aca="false">IF(B3838="","","")</f>
        <v/>
      </c>
      <c r="H3838" s="23" t="str">
        <f aca="false">IF(B3838="","","")</f>
        <v/>
      </c>
      <c r="I3838" s="23" t="str">
        <f aca="false">IF(B3838="","","")</f>
        <v/>
      </c>
      <c r="J3838" s="23" t="str">
        <f aca="false">IF(B3838="","","touch_1; "&amp;IFERROR(INDEX(Clay_Brands!$A$2:$FZ$601,387,Sync!$D$10)&amp;"","")&amp;"; "&amp;IFERROR(INDEX(Clay_Brands!$A$2:$FZ$601,387,Sync!$D$9)&amp;"",""))</f>
        <v/>
      </c>
      <c r="K3838" s="32" t="s">
        <v>1366</v>
      </c>
    </row>
    <row r="3839" customFormat="false" ht="15" hidden="false" customHeight="false" outlineLevel="0" collapsed="false">
      <c r="A3839" s="23" t="str">
        <f aca="false">IF(B3839="","",B3839+(15*1000+388)/10000000)</f>
        <v/>
      </c>
      <c r="B3839" s="35" t="str">
        <f aca="false">IF(AND(IFERROR(N(INDEX(Clay_Brands!$A$2:$FZ$601,388,Sync!$D$11)),0)&gt;0,IFERROR(INDEX(Clay_Brands!$A$2:$FZ$601,388,Sync!$D$5)&amp;"","")&lt;&gt;"",OR(LEFT(IFERROR(INDEX(Clay_Brands!$A$2:$FZ$601,388,Sync!$D$5)&amp;"",""),6)&lt;&gt;"SAMPLE",Config!$B$19="Y")),IFERROR(N(INDEX(Clay_Brands!$A$2:$FZ$601,388,Sync!$D$11)),0),"")</f>
        <v/>
      </c>
      <c r="C3839" s="23" t="str">
        <f aca="false">IF(B3839="","","brand")</f>
        <v/>
      </c>
      <c r="D3839" s="23" t="str">
        <f aca="false">IF(B3839="","",IFERROR(INDEX(Brand_Log!$DV$2:$DV$201,MATCH(IFERROR(INDEX(Clay_Brands!$A$2:$FZ$601,388,Sync!$D$5)&amp;"",""),Brand_Log!$A$2:$A$201,0))&amp;"",IFERROR(INDEX(Clay_Brands!$A$2:$FZ$601,388,Sync!$D$5)&amp;"","")&amp;""))</f>
        <v/>
      </c>
      <c r="E3839" s="23" t="str">
        <f aca="false">IF(B3839="","",IFERROR(INDEX(Clay_Brands!$A$2:$FZ$601,388,Sync!$D$6)&amp;"",""))</f>
        <v/>
      </c>
      <c r="F3839" s="23" t="str">
        <f aca="false">IF(B3839="","","outreach_sent")</f>
        <v/>
      </c>
      <c r="G3839" s="23" t="str">
        <f aca="false">IF(B3839="","","")</f>
        <v/>
      </c>
      <c r="H3839" s="23" t="str">
        <f aca="false">IF(B3839="","","")</f>
        <v/>
      </c>
      <c r="I3839" s="23" t="str">
        <f aca="false">IF(B3839="","","")</f>
        <v/>
      </c>
      <c r="J3839" s="23" t="str">
        <f aca="false">IF(B3839="","","touch_1; "&amp;IFERROR(INDEX(Clay_Brands!$A$2:$FZ$601,388,Sync!$D$10)&amp;"","")&amp;"; "&amp;IFERROR(INDEX(Clay_Brands!$A$2:$FZ$601,388,Sync!$D$9)&amp;"",""))</f>
        <v/>
      </c>
      <c r="K3839" s="32" t="s">
        <v>1366</v>
      </c>
    </row>
    <row r="3840" customFormat="false" ht="15" hidden="false" customHeight="false" outlineLevel="0" collapsed="false">
      <c r="A3840" s="23" t="str">
        <f aca="false">IF(B3840="","",B3840+(15*1000+389)/10000000)</f>
        <v/>
      </c>
      <c r="B3840" s="35" t="str">
        <f aca="false">IF(AND(IFERROR(N(INDEX(Clay_Brands!$A$2:$FZ$601,389,Sync!$D$11)),0)&gt;0,IFERROR(INDEX(Clay_Brands!$A$2:$FZ$601,389,Sync!$D$5)&amp;"","")&lt;&gt;"",OR(LEFT(IFERROR(INDEX(Clay_Brands!$A$2:$FZ$601,389,Sync!$D$5)&amp;"",""),6)&lt;&gt;"SAMPLE",Config!$B$19="Y")),IFERROR(N(INDEX(Clay_Brands!$A$2:$FZ$601,389,Sync!$D$11)),0),"")</f>
        <v/>
      </c>
      <c r="C3840" s="23" t="str">
        <f aca="false">IF(B3840="","","brand")</f>
        <v/>
      </c>
      <c r="D3840" s="23" t="str">
        <f aca="false">IF(B3840="","",IFERROR(INDEX(Brand_Log!$DV$2:$DV$201,MATCH(IFERROR(INDEX(Clay_Brands!$A$2:$FZ$601,389,Sync!$D$5)&amp;"",""),Brand_Log!$A$2:$A$201,0))&amp;"",IFERROR(INDEX(Clay_Brands!$A$2:$FZ$601,389,Sync!$D$5)&amp;"","")&amp;""))</f>
        <v/>
      </c>
      <c r="E3840" s="23" t="str">
        <f aca="false">IF(B3840="","",IFERROR(INDEX(Clay_Brands!$A$2:$FZ$601,389,Sync!$D$6)&amp;"",""))</f>
        <v/>
      </c>
      <c r="F3840" s="23" t="str">
        <f aca="false">IF(B3840="","","outreach_sent")</f>
        <v/>
      </c>
      <c r="G3840" s="23" t="str">
        <f aca="false">IF(B3840="","","")</f>
        <v/>
      </c>
      <c r="H3840" s="23" t="str">
        <f aca="false">IF(B3840="","","")</f>
        <v/>
      </c>
      <c r="I3840" s="23" t="str">
        <f aca="false">IF(B3840="","","")</f>
        <v/>
      </c>
      <c r="J3840" s="23" t="str">
        <f aca="false">IF(B3840="","","touch_1; "&amp;IFERROR(INDEX(Clay_Brands!$A$2:$FZ$601,389,Sync!$D$10)&amp;"","")&amp;"; "&amp;IFERROR(INDEX(Clay_Brands!$A$2:$FZ$601,389,Sync!$D$9)&amp;"",""))</f>
        <v/>
      </c>
      <c r="K3840" s="32" t="s">
        <v>1366</v>
      </c>
    </row>
    <row r="3841" customFormat="false" ht="15" hidden="false" customHeight="false" outlineLevel="0" collapsed="false">
      <c r="A3841" s="23" t="str">
        <f aca="false">IF(B3841="","",B3841+(15*1000+390)/10000000)</f>
        <v/>
      </c>
      <c r="B3841" s="35" t="str">
        <f aca="false">IF(AND(IFERROR(N(INDEX(Clay_Brands!$A$2:$FZ$601,390,Sync!$D$11)),0)&gt;0,IFERROR(INDEX(Clay_Brands!$A$2:$FZ$601,390,Sync!$D$5)&amp;"","")&lt;&gt;"",OR(LEFT(IFERROR(INDEX(Clay_Brands!$A$2:$FZ$601,390,Sync!$D$5)&amp;"",""),6)&lt;&gt;"SAMPLE",Config!$B$19="Y")),IFERROR(N(INDEX(Clay_Brands!$A$2:$FZ$601,390,Sync!$D$11)),0),"")</f>
        <v/>
      </c>
      <c r="C3841" s="23" t="str">
        <f aca="false">IF(B3841="","","brand")</f>
        <v/>
      </c>
      <c r="D3841" s="23" t="str">
        <f aca="false">IF(B3841="","",IFERROR(INDEX(Brand_Log!$DV$2:$DV$201,MATCH(IFERROR(INDEX(Clay_Brands!$A$2:$FZ$601,390,Sync!$D$5)&amp;"",""),Brand_Log!$A$2:$A$201,0))&amp;"",IFERROR(INDEX(Clay_Brands!$A$2:$FZ$601,390,Sync!$D$5)&amp;"","")&amp;""))</f>
        <v/>
      </c>
      <c r="E3841" s="23" t="str">
        <f aca="false">IF(B3841="","",IFERROR(INDEX(Clay_Brands!$A$2:$FZ$601,390,Sync!$D$6)&amp;"",""))</f>
        <v/>
      </c>
      <c r="F3841" s="23" t="str">
        <f aca="false">IF(B3841="","","outreach_sent")</f>
        <v/>
      </c>
      <c r="G3841" s="23" t="str">
        <f aca="false">IF(B3841="","","")</f>
        <v/>
      </c>
      <c r="H3841" s="23" t="str">
        <f aca="false">IF(B3841="","","")</f>
        <v/>
      </c>
      <c r="I3841" s="23" t="str">
        <f aca="false">IF(B3841="","","")</f>
        <v/>
      </c>
      <c r="J3841" s="23" t="str">
        <f aca="false">IF(B3841="","","touch_1; "&amp;IFERROR(INDEX(Clay_Brands!$A$2:$FZ$601,390,Sync!$D$10)&amp;"","")&amp;"; "&amp;IFERROR(INDEX(Clay_Brands!$A$2:$FZ$601,390,Sync!$D$9)&amp;"",""))</f>
        <v/>
      </c>
      <c r="K3841" s="32" t="s">
        <v>1366</v>
      </c>
    </row>
    <row r="3842" customFormat="false" ht="15" hidden="false" customHeight="false" outlineLevel="0" collapsed="false">
      <c r="A3842" s="23" t="str">
        <f aca="false">IF(B3842="","",B3842+(15*1000+391)/10000000)</f>
        <v/>
      </c>
      <c r="B3842" s="35" t="str">
        <f aca="false">IF(AND(IFERROR(N(INDEX(Clay_Brands!$A$2:$FZ$601,391,Sync!$D$11)),0)&gt;0,IFERROR(INDEX(Clay_Brands!$A$2:$FZ$601,391,Sync!$D$5)&amp;"","")&lt;&gt;"",OR(LEFT(IFERROR(INDEX(Clay_Brands!$A$2:$FZ$601,391,Sync!$D$5)&amp;"",""),6)&lt;&gt;"SAMPLE",Config!$B$19="Y")),IFERROR(N(INDEX(Clay_Brands!$A$2:$FZ$601,391,Sync!$D$11)),0),"")</f>
        <v/>
      </c>
      <c r="C3842" s="23" t="str">
        <f aca="false">IF(B3842="","","brand")</f>
        <v/>
      </c>
      <c r="D3842" s="23" t="str">
        <f aca="false">IF(B3842="","",IFERROR(INDEX(Brand_Log!$DV$2:$DV$201,MATCH(IFERROR(INDEX(Clay_Brands!$A$2:$FZ$601,391,Sync!$D$5)&amp;"",""),Brand_Log!$A$2:$A$201,0))&amp;"",IFERROR(INDEX(Clay_Brands!$A$2:$FZ$601,391,Sync!$D$5)&amp;"","")&amp;""))</f>
        <v/>
      </c>
      <c r="E3842" s="23" t="str">
        <f aca="false">IF(B3842="","",IFERROR(INDEX(Clay_Brands!$A$2:$FZ$601,391,Sync!$D$6)&amp;"",""))</f>
        <v/>
      </c>
      <c r="F3842" s="23" t="str">
        <f aca="false">IF(B3842="","","outreach_sent")</f>
        <v/>
      </c>
      <c r="G3842" s="23" t="str">
        <f aca="false">IF(B3842="","","")</f>
        <v/>
      </c>
      <c r="H3842" s="23" t="str">
        <f aca="false">IF(B3842="","","")</f>
        <v/>
      </c>
      <c r="I3842" s="23" t="str">
        <f aca="false">IF(B3842="","","")</f>
        <v/>
      </c>
      <c r="J3842" s="23" t="str">
        <f aca="false">IF(B3842="","","touch_1; "&amp;IFERROR(INDEX(Clay_Brands!$A$2:$FZ$601,391,Sync!$D$10)&amp;"","")&amp;"; "&amp;IFERROR(INDEX(Clay_Brands!$A$2:$FZ$601,391,Sync!$D$9)&amp;"",""))</f>
        <v/>
      </c>
      <c r="K3842" s="32" t="s">
        <v>1366</v>
      </c>
    </row>
    <row r="3843" customFormat="false" ht="15" hidden="false" customHeight="false" outlineLevel="0" collapsed="false">
      <c r="A3843" s="23" t="str">
        <f aca="false">IF(B3843="","",B3843+(15*1000+392)/10000000)</f>
        <v/>
      </c>
      <c r="B3843" s="35" t="str">
        <f aca="false">IF(AND(IFERROR(N(INDEX(Clay_Brands!$A$2:$FZ$601,392,Sync!$D$11)),0)&gt;0,IFERROR(INDEX(Clay_Brands!$A$2:$FZ$601,392,Sync!$D$5)&amp;"","")&lt;&gt;"",OR(LEFT(IFERROR(INDEX(Clay_Brands!$A$2:$FZ$601,392,Sync!$D$5)&amp;"",""),6)&lt;&gt;"SAMPLE",Config!$B$19="Y")),IFERROR(N(INDEX(Clay_Brands!$A$2:$FZ$601,392,Sync!$D$11)),0),"")</f>
        <v/>
      </c>
      <c r="C3843" s="23" t="str">
        <f aca="false">IF(B3843="","","brand")</f>
        <v/>
      </c>
      <c r="D3843" s="23" t="str">
        <f aca="false">IF(B3843="","",IFERROR(INDEX(Brand_Log!$DV$2:$DV$201,MATCH(IFERROR(INDEX(Clay_Brands!$A$2:$FZ$601,392,Sync!$D$5)&amp;"",""),Brand_Log!$A$2:$A$201,0))&amp;"",IFERROR(INDEX(Clay_Brands!$A$2:$FZ$601,392,Sync!$D$5)&amp;"","")&amp;""))</f>
        <v/>
      </c>
      <c r="E3843" s="23" t="str">
        <f aca="false">IF(B3843="","",IFERROR(INDEX(Clay_Brands!$A$2:$FZ$601,392,Sync!$D$6)&amp;"",""))</f>
        <v/>
      </c>
      <c r="F3843" s="23" t="str">
        <f aca="false">IF(B3843="","","outreach_sent")</f>
        <v/>
      </c>
      <c r="G3843" s="23" t="str">
        <f aca="false">IF(B3843="","","")</f>
        <v/>
      </c>
      <c r="H3843" s="23" t="str">
        <f aca="false">IF(B3843="","","")</f>
        <v/>
      </c>
      <c r="I3843" s="23" t="str">
        <f aca="false">IF(B3843="","","")</f>
        <v/>
      </c>
      <c r="J3843" s="23" t="str">
        <f aca="false">IF(B3843="","","touch_1; "&amp;IFERROR(INDEX(Clay_Brands!$A$2:$FZ$601,392,Sync!$D$10)&amp;"","")&amp;"; "&amp;IFERROR(INDEX(Clay_Brands!$A$2:$FZ$601,392,Sync!$D$9)&amp;"",""))</f>
        <v/>
      </c>
      <c r="K3843" s="32" t="s">
        <v>1366</v>
      </c>
    </row>
    <row r="3844" customFormat="false" ht="15" hidden="false" customHeight="false" outlineLevel="0" collapsed="false">
      <c r="A3844" s="23" t="str">
        <f aca="false">IF(B3844="","",B3844+(15*1000+393)/10000000)</f>
        <v/>
      </c>
      <c r="B3844" s="35" t="str">
        <f aca="false">IF(AND(IFERROR(N(INDEX(Clay_Brands!$A$2:$FZ$601,393,Sync!$D$11)),0)&gt;0,IFERROR(INDEX(Clay_Brands!$A$2:$FZ$601,393,Sync!$D$5)&amp;"","")&lt;&gt;"",OR(LEFT(IFERROR(INDEX(Clay_Brands!$A$2:$FZ$601,393,Sync!$D$5)&amp;"",""),6)&lt;&gt;"SAMPLE",Config!$B$19="Y")),IFERROR(N(INDEX(Clay_Brands!$A$2:$FZ$601,393,Sync!$D$11)),0),"")</f>
        <v/>
      </c>
      <c r="C3844" s="23" t="str">
        <f aca="false">IF(B3844="","","brand")</f>
        <v/>
      </c>
      <c r="D3844" s="23" t="str">
        <f aca="false">IF(B3844="","",IFERROR(INDEX(Brand_Log!$DV$2:$DV$201,MATCH(IFERROR(INDEX(Clay_Brands!$A$2:$FZ$601,393,Sync!$D$5)&amp;"",""),Brand_Log!$A$2:$A$201,0))&amp;"",IFERROR(INDEX(Clay_Brands!$A$2:$FZ$601,393,Sync!$D$5)&amp;"","")&amp;""))</f>
        <v/>
      </c>
      <c r="E3844" s="23" t="str">
        <f aca="false">IF(B3844="","",IFERROR(INDEX(Clay_Brands!$A$2:$FZ$601,393,Sync!$D$6)&amp;"",""))</f>
        <v/>
      </c>
      <c r="F3844" s="23" t="str">
        <f aca="false">IF(B3844="","","outreach_sent")</f>
        <v/>
      </c>
      <c r="G3844" s="23" t="str">
        <f aca="false">IF(B3844="","","")</f>
        <v/>
      </c>
      <c r="H3844" s="23" t="str">
        <f aca="false">IF(B3844="","","")</f>
        <v/>
      </c>
      <c r="I3844" s="23" t="str">
        <f aca="false">IF(B3844="","","")</f>
        <v/>
      </c>
      <c r="J3844" s="23" t="str">
        <f aca="false">IF(B3844="","","touch_1; "&amp;IFERROR(INDEX(Clay_Brands!$A$2:$FZ$601,393,Sync!$D$10)&amp;"","")&amp;"; "&amp;IFERROR(INDEX(Clay_Brands!$A$2:$FZ$601,393,Sync!$D$9)&amp;"",""))</f>
        <v/>
      </c>
      <c r="K3844" s="32" t="s">
        <v>1366</v>
      </c>
    </row>
    <row r="3845" customFormat="false" ht="15" hidden="false" customHeight="false" outlineLevel="0" collapsed="false">
      <c r="A3845" s="23" t="str">
        <f aca="false">IF(B3845="","",B3845+(15*1000+394)/10000000)</f>
        <v/>
      </c>
      <c r="B3845" s="35" t="str">
        <f aca="false">IF(AND(IFERROR(N(INDEX(Clay_Brands!$A$2:$FZ$601,394,Sync!$D$11)),0)&gt;0,IFERROR(INDEX(Clay_Brands!$A$2:$FZ$601,394,Sync!$D$5)&amp;"","")&lt;&gt;"",OR(LEFT(IFERROR(INDEX(Clay_Brands!$A$2:$FZ$601,394,Sync!$D$5)&amp;"",""),6)&lt;&gt;"SAMPLE",Config!$B$19="Y")),IFERROR(N(INDEX(Clay_Brands!$A$2:$FZ$601,394,Sync!$D$11)),0),"")</f>
        <v/>
      </c>
      <c r="C3845" s="23" t="str">
        <f aca="false">IF(B3845="","","brand")</f>
        <v/>
      </c>
      <c r="D3845" s="23" t="str">
        <f aca="false">IF(B3845="","",IFERROR(INDEX(Brand_Log!$DV$2:$DV$201,MATCH(IFERROR(INDEX(Clay_Brands!$A$2:$FZ$601,394,Sync!$D$5)&amp;"",""),Brand_Log!$A$2:$A$201,0))&amp;"",IFERROR(INDEX(Clay_Brands!$A$2:$FZ$601,394,Sync!$D$5)&amp;"","")&amp;""))</f>
        <v/>
      </c>
      <c r="E3845" s="23" t="str">
        <f aca="false">IF(B3845="","",IFERROR(INDEX(Clay_Brands!$A$2:$FZ$601,394,Sync!$D$6)&amp;"",""))</f>
        <v/>
      </c>
      <c r="F3845" s="23" t="str">
        <f aca="false">IF(B3845="","","outreach_sent")</f>
        <v/>
      </c>
      <c r="G3845" s="23" t="str">
        <f aca="false">IF(B3845="","","")</f>
        <v/>
      </c>
      <c r="H3845" s="23" t="str">
        <f aca="false">IF(B3845="","","")</f>
        <v/>
      </c>
      <c r="I3845" s="23" t="str">
        <f aca="false">IF(B3845="","","")</f>
        <v/>
      </c>
      <c r="J3845" s="23" t="str">
        <f aca="false">IF(B3845="","","touch_1; "&amp;IFERROR(INDEX(Clay_Brands!$A$2:$FZ$601,394,Sync!$D$10)&amp;"","")&amp;"; "&amp;IFERROR(INDEX(Clay_Brands!$A$2:$FZ$601,394,Sync!$D$9)&amp;"",""))</f>
        <v/>
      </c>
      <c r="K3845" s="32" t="s">
        <v>1366</v>
      </c>
    </row>
    <row r="3846" customFormat="false" ht="15" hidden="false" customHeight="false" outlineLevel="0" collapsed="false">
      <c r="A3846" s="23" t="str">
        <f aca="false">IF(B3846="","",B3846+(15*1000+395)/10000000)</f>
        <v/>
      </c>
      <c r="B3846" s="35" t="str">
        <f aca="false">IF(AND(IFERROR(N(INDEX(Clay_Brands!$A$2:$FZ$601,395,Sync!$D$11)),0)&gt;0,IFERROR(INDEX(Clay_Brands!$A$2:$FZ$601,395,Sync!$D$5)&amp;"","")&lt;&gt;"",OR(LEFT(IFERROR(INDEX(Clay_Brands!$A$2:$FZ$601,395,Sync!$D$5)&amp;"",""),6)&lt;&gt;"SAMPLE",Config!$B$19="Y")),IFERROR(N(INDEX(Clay_Brands!$A$2:$FZ$601,395,Sync!$D$11)),0),"")</f>
        <v/>
      </c>
      <c r="C3846" s="23" t="str">
        <f aca="false">IF(B3846="","","brand")</f>
        <v/>
      </c>
      <c r="D3846" s="23" t="str">
        <f aca="false">IF(B3846="","",IFERROR(INDEX(Brand_Log!$DV$2:$DV$201,MATCH(IFERROR(INDEX(Clay_Brands!$A$2:$FZ$601,395,Sync!$D$5)&amp;"",""),Brand_Log!$A$2:$A$201,0))&amp;"",IFERROR(INDEX(Clay_Brands!$A$2:$FZ$601,395,Sync!$D$5)&amp;"","")&amp;""))</f>
        <v/>
      </c>
      <c r="E3846" s="23" t="str">
        <f aca="false">IF(B3846="","",IFERROR(INDEX(Clay_Brands!$A$2:$FZ$601,395,Sync!$D$6)&amp;"",""))</f>
        <v/>
      </c>
      <c r="F3846" s="23" t="str">
        <f aca="false">IF(B3846="","","outreach_sent")</f>
        <v/>
      </c>
      <c r="G3846" s="23" t="str">
        <f aca="false">IF(B3846="","","")</f>
        <v/>
      </c>
      <c r="H3846" s="23" t="str">
        <f aca="false">IF(B3846="","","")</f>
        <v/>
      </c>
      <c r="I3846" s="23" t="str">
        <f aca="false">IF(B3846="","","")</f>
        <v/>
      </c>
      <c r="J3846" s="23" t="str">
        <f aca="false">IF(B3846="","","touch_1; "&amp;IFERROR(INDEX(Clay_Brands!$A$2:$FZ$601,395,Sync!$D$10)&amp;"","")&amp;"; "&amp;IFERROR(INDEX(Clay_Brands!$A$2:$FZ$601,395,Sync!$D$9)&amp;"",""))</f>
        <v/>
      </c>
      <c r="K3846" s="32" t="s">
        <v>1366</v>
      </c>
    </row>
    <row r="3847" customFormat="false" ht="15" hidden="false" customHeight="false" outlineLevel="0" collapsed="false">
      <c r="A3847" s="23" t="str">
        <f aca="false">IF(B3847="","",B3847+(15*1000+396)/10000000)</f>
        <v/>
      </c>
      <c r="B3847" s="35" t="str">
        <f aca="false">IF(AND(IFERROR(N(INDEX(Clay_Brands!$A$2:$FZ$601,396,Sync!$D$11)),0)&gt;0,IFERROR(INDEX(Clay_Brands!$A$2:$FZ$601,396,Sync!$D$5)&amp;"","")&lt;&gt;"",OR(LEFT(IFERROR(INDEX(Clay_Brands!$A$2:$FZ$601,396,Sync!$D$5)&amp;"",""),6)&lt;&gt;"SAMPLE",Config!$B$19="Y")),IFERROR(N(INDEX(Clay_Brands!$A$2:$FZ$601,396,Sync!$D$11)),0),"")</f>
        <v/>
      </c>
      <c r="C3847" s="23" t="str">
        <f aca="false">IF(B3847="","","brand")</f>
        <v/>
      </c>
      <c r="D3847" s="23" t="str">
        <f aca="false">IF(B3847="","",IFERROR(INDEX(Brand_Log!$DV$2:$DV$201,MATCH(IFERROR(INDEX(Clay_Brands!$A$2:$FZ$601,396,Sync!$D$5)&amp;"",""),Brand_Log!$A$2:$A$201,0))&amp;"",IFERROR(INDEX(Clay_Brands!$A$2:$FZ$601,396,Sync!$D$5)&amp;"","")&amp;""))</f>
        <v/>
      </c>
      <c r="E3847" s="23" t="str">
        <f aca="false">IF(B3847="","",IFERROR(INDEX(Clay_Brands!$A$2:$FZ$601,396,Sync!$D$6)&amp;"",""))</f>
        <v/>
      </c>
      <c r="F3847" s="23" t="str">
        <f aca="false">IF(B3847="","","outreach_sent")</f>
        <v/>
      </c>
      <c r="G3847" s="23" t="str">
        <f aca="false">IF(B3847="","","")</f>
        <v/>
      </c>
      <c r="H3847" s="23" t="str">
        <f aca="false">IF(B3847="","","")</f>
        <v/>
      </c>
      <c r="I3847" s="23" t="str">
        <f aca="false">IF(B3847="","","")</f>
        <v/>
      </c>
      <c r="J3847" s="23" t="str">
        <f aca="false">IF(B3847="","","touch_1; "&amp;IFERROR(INDEX(Clay_Brands!$A$2:$FZ$601,396,Sync!$D$10)&amp;"","")&amp;"; "&amp;IFERROR(INDEX(Clay_Brands!$A$2:$FZ$601,396,Sync!$D$9)&amp;"",""))</f>
        <v/>
      </c>
      <c r="K3847" s="32" t="s">
        <v>1366</v>
      </c>
    </row>
    <row r="3848" customFormat="false" ht="15" hidden="false" customHeight="false" outlineLevel="0" collapsed="false">
      <c r="A3848" s="23" t="str">
        <f aca="false">IF(B3848="","",B3848+(15*1000+397)/10000000)</f>
        <v/>
      </c>
      <c r="B3848" s="35" t="str">
        <f aca="false">IF(AND(IFERROR(N(INDEX(Clay_Brands!$A$2:$FZ$601,397,Sync!$D$11)),0)&gt;0,IFERROR(INDEX(Clay_Brands!$A$2:$FZ$601,397,Sync!$D$5)&amp;"","")&lt;&gt;"",OR(LEFT(IFERROR(INDEX(Clay_Brands!$A$2:$FZ$601,397,Sync!$D$5)&amp;"",""),6)&lt;&gt;"SAMPLE",Config!$B$19="Y")),IFERROR(N(INDEX(Clay_Brands!$A$2:$FZ$601,397,Sync!$D$11)),0),"")</f>
        <v/>
      </c>
      <c r="C3848" s="23" t="str">
        <f aca="false">IF(B3848="","","brand")</f>
        <v/>
      </c>
      <c r="D3848" s="23" t="str">
        <f aca="false">IF(B3848="","",IFERROR(INDEX(Brand_Log!$DV$2:$DV$201,MATCH(IFERROR(INDEX(Clay_Brands!$A$2:$FZ$601,397,Sync!$D$5)&amp;"",""),Brand_Log!$A$2:$A$201,0))&amp;"",IFERROR(INDEX(Clay_Brands!$A$2:$FZ$601,397,Sync!$D$5)&amp;"","")&amp;""))</f>
        <v/>
      </c>
      <c r="E3848" s="23" t="str">
        <f aca="false">IF(B3848="","",IFERROR(INDEX(Clay_Brands!$A$2:$FZ$601,397,Sync!$D$6)&amp;"",""))</f>
        <v/>
      </c>
      <c r="F3848" s="23" t="str">
        <f aca="false">IF(B3848="","","outreach_sent")</f>
        <v/>
      </c>
      <c r="G3848" s="23" t="str">
        <f aca="false">IF(B3848="","","")</f>
        <v/>
      </c>
      <c r="H3848" s="23" t="str">
        <f aca="false">IF(B3848="","","")</f>
        <v/>
      </c>
      <c r="I3848" s="23" t="str">
        <f aca="false">IF(B3848="","","")</f>
        <v/>
      </c>
      <c r="J3848" s="23" t="str">
        <f aca="false">IF(B3848="","","touch_1; "&amp;IFERROR(INDEX(Clay_Brands!$A$2:$FZ$601,397,Sync!$D$10)&amp;"","")&amp;"; "&amp;IFERROR(INDEX(Clay_Brands!$A$2:$FZ$601,397,Sync!$D$9)&amp;"",""))</f>
        <v/>
      </c>
      <c r="K3848" s="32" t="s">
        <v>1366</v>
      </c>
    </row>
    <row r="3849" customFormat="false" ht="15" hidden="false" customHeight="false" outlineLevel="0" collapsed="false">
      <c r="A3849" s="23" t="str">
        <f aca="false">IF(B3849="","",B3849+(15*1000+398)/10000000)</f>
        <v/>
      </c>
      <c r="B3849" s="35" t="str">
        <f aca="false">IF(AND(IFERROR(N(INDEX(Clay_Brands!$A$2:$FZ$601,398,Sync!$D$11)),0)&gt;0,IFERROR(INDEX(Clay_Brands!$A$2:$FZ$601,398,Sync!$D$5)&amp;"","")&lt;&gt;"",OR(LEFT(IFERROR(INDEX(Clay_Brands!$A$2:$FZ$601,398,Sync!$D$5)&amp;"",""),6)&lt;&gt;"SAMPLE",Config!$B$19="Y")),IFERROR(N(INDEX(Clay_Brands!$A$2:$FZ$601,398,Sync!$D$11)),0),"")</f>
        <v/>
      </c>
      <c r="C3849" s="23" t="str">
        <f aca="false">IF(B3849="","","brand")</f>
        <v/>
      </c>
      <c r="D3849" s="23" t="str">
        <f aca="false">IF(B3849="","",IFERROR(INDEX(Brand_Log!$DV$2:$DV$201,MATCH(IFERROR(INDEX(Clay_Brands!$A$2:$FZ$601,398,Sync!$D$5)&amp;"",""),Brand_Log!$A$2:$A$201,0))&amp;"",IFERROR(INDEX(Clay_Brands!$A$2:$FZ$601,398,Sync!$D$5)&amp;"","")&amp;""))</f>
        <v/>
      </c>
      <c r="E3849" s="23" t="str">
        <f aca="false">IF(B3849="","",IFERROR(INDEX(Clay_Brands!$A$2:$FZ$601,398,Sync!$D$6)&amp;"",""))</f>
        <v/>
      </c>
      <c r="F3849" s="23" t="str">
        <f aca="false">IF(B3849="","","outreach_sent")</f>
        <v/>
      </c>
      <c r="G3849" s="23" t="str">
        <f aca="false">IF(B3849="","","")</f>
        <v/>
      </c>
      <c r="H3849" s="23" t="str">
        <f aca="false">IF(B3849="","","")</f>
        <v/>
      </c>
      <c r="I3849" s="23" t="str">
        <f aca="false">IF(B3849="","","")</f>
        <v/>
      </c>
      <c r="J3849" s="23" t="str">
        <f aca="false">IF(B3849="","","touch_1; "&amp;IFERROR(INDEX(Clay_Brands!$A$2:$FZ$601,398,Sync!$D$10)&amp;"","")&amp;"; "&amp;IFERROR(INDEX(Clay_Brands!$A$2:$FZ$601,398,Sync!$D$9)&amp;"",""))</f>
        <v/>
      </c>
      <c r="K3849" s="32" t="s">
        <v>1366</v>
      </c>
    </row>
    <row r="3850" customFormat="false" ht="15" hidden="false" customHeight="false" outlineLevel="0" collapsed="false">
      <c r="A3850" s="23" t="str">
        <f aca="false">IF(B3850="","",B3850+(15*1000+399)/10000000)</f>
        <v/>
      </c>
      <c r="B3850" s="35" t="str">
        <f aca="false">IF(AND(IFERROR(N(INDEX(Clay_Brands!$A$2:$FZ$601,399,Sync!$D$11)),0)&gt;0,IFERROR(INDEX(Clay_Brands!$A$2:$FZ$601,399,Sync!$D$5)&amp;"","")&lt;&gt;"",OR(LEFT(IFERROR(INDEX(Clay_Brands!$A$2:$FZ$601,399,Sync!$D$5)&amp;"",""),6)&lt;&gt;"SAMPLE",Config!$B$19="Y")),IFERROR(N(INDEX(Clay_Brands!$A$2:$FZ$601,399,Sync!$D$11)),0),"")</f>
        <v/>
      </c>
      <c r="C3850" s="23" t="str">
        <f aca="false">IF(B3850="","","brand")</f>
        <v/>
      </c>
      <c r="D3850" s="23" t="str">
        <f aca="false">IF(B3850="","",IFERROR(INDEX(Brand_Log!$DV$2:$DV$201,MATCH(IFERROR(INDEX(Clay_Brands!$A$2:$FZ$601,399,Sync!$D$5)&amp;"",""),Brand_Log!$A$2:$A$201,0))&amp;"",IFERROR(INDEX(Clay_Brands!$A$2:$FZ$601,399,Sync!$D$5)&amp;"","")&amp;""))</f>
        <v/>
      </c>
      <c r="E3850" s="23" t="str">
        <f aca="false">IF(B3850="","",IFERROR(INDEX(Clay_Brands!$A$2:$FZ$601,399,Sync!$D$6)&amp;"",""))</f>
        <v/>
      </c>
      <c r="F3850" s="23" t="str">
        <f aca="false">IF(B3850="","","outreach_sent")</f>
        <v/>
      </c>
      <c r="G3850" s="23" t="str">
        <f aca="false">IF(B3850="","","")</f>
        <v/>
      </c>
      <c r="H3850" s="23" t="str">
        <f aca="false">IF(B3850="","","")</f>
        <v/>
      </c>
      <c r="I3850" s="23" t="str">
        <f aca="false">IF(B3850="","","")</f>
        <v/>
      </c>
      <c r="J3850" s="23" t="str">
        <f aca="false">IF(B3850="","","touch_1; "&amp;IFERROR(INDEX(Clay_Brands!$A$2:$FZ$601,399,Sync!$D$10)&amp;"","")&amp;"; "&amp;IFERROR(INDEX(Clay_Brands!$A$2:$FZ$601,399,Sync!$D$9)&amp;"",""))</f>
        <v/>
      </c>
      <c r="K3850" s="32" t="s">
        <v>1366</v>
      </c>
    </row>
    <row r="3851" customFormat="false" ht="15" hidden="false" customHeight="false" outlineLevel="0" collapsed="false">
      <c r="A3851" s="23" t="str">
        <f aca="false">IF(B3851="","",B3851+(15*1000+400)/10000000)</f>
        <v/>
      </c>
      <c r="B3851" s="35" t="str">
        <f aca="false">IF(AND(IFERROR(N(INDEX(Clay_Brands!$A$2:$FZ$601,400,Sync!$D$11)),0)&gt;0,IFERROR(INDEX(Clay_Brands!$A$2:$FZ$601,400,Sync!$D$5)&amp;"","")&lt;&gt;"",OR(LEFT(IFERROR(INDEX(Clay_Brands!$A$2:$FZ$601,400,Sync!$D$5)&amp;"",""),6)&lt;&gt;"SAMPLE",Config!$B$19="Y")),IFERROR(N(INDEX(Clay_Brands!$A$2:$FZ$601,400,Sync!$D$11)),0),"")</f>
        <v/>
      </c>
      <c r="C3851" s="23" t="str">
        <f aca="false">IF(B3851="","","brand")</f>
        <v/>
      </c>
      <c r="D3851" s="23" t="str">
        <f aca="false">IF(B3851="","",IFERROR(INDEX(Brand_Log!$DV$2:$DV$201,MATCH(IFERROR(INDEX(Clay_Brands!$A$2:$FZ$601,400,Sync!$D$5)&amp;"",""),Brand_Log!$A$2:$A$201,0))&amp;"",IFERROR(INDEX(Clay_Brands!$A$2:$FZ$601,400,Sync!$D$5)&amp;"","")&amp;""))</f>
        <v/>
      </c>
      <c r="E3851" s="23" t="str">
        <f aca="false">IF(B3851="","",IFERROR(INDEX(Clay_Brands!$A$2:$FZ$601,400,Sync!$D$6)&amp;"",""))</f>
        <v/>
      </c>
      <c r="F3851" s="23" t="str">
        <f aca="false">IF(B3851="","","outreach_sent")</f>
        <v/>
      </c>
      <c r="G3851" s="23" t="str">
        <f aca="false">IF(B3851="","","")</f>
        <v/>
      </c>
      <c r="H3851" s="23" t="str">
        <f aca="false">IF(B3851="","","")</f>
        <v/>
      </c>
      <c r="I3851" s="23" t="str">
        <f aca="false">IF(B3851="","","")</f>
        <v/>
      </c>
      <c r="J3851" s="23" t="str">
        <f aca="false">IF(B3851="","","touch_1; "&amp;IFERROR(INDEX(Clay_Brands!$A$2:$FZ$601,400,Sync!$D$10)&amp;"","")&amp;"; "&amp;IFERROR(INDEX(Clay_Brands!$A$2:$FZ$601,400,Sync!$D$9)&amp;"",""))</f>
        <v/>
      </c>
      <c r="K3851" s="32" t="s">
        <v>1366</v>
      </c>
    </row>
    <row r="3852" customFormat="false" ht="15" hidden="false" customHeight="false" outlineLevel="0" collapsed="false">
      <c r="A3852" s="23" t="str">
        <f aca="false">IF(B3852="","",B3852+(15*1000+401)/10000000)</f>
        <v/>
      </c>
      <c r="B3852" s="35" t="str">
        <f aca="false">IF(AND(IFERROR(N(INDEX(Clay_Brands!$A$2:$FZ$601,401,Sync!$D$11)),0)&gt;0,IFERROR(INDEX(Clay_Brands!$A$2:$FZ$601,401,Sync!$D$5)&amp;"","")&lt;&gt;"",OR(LEFT(IFERROR(INDEX(Clay_Brands!$A$2:$FZ$601,401,Sync!$D$5)&amp;"",""),6)&lt;&gt;"SAMPLE",Config!$B$19="Y")),IFERROR(N(INDEX(Clay_Brands!$A$2:$FZ$601,401,Sync!$D$11)),0),"")</f>
        <v/>
      </c>
      <c r="C3852" s="23" t="str">
        <f aca="false">IF(B3852="","","brand")</f>
        <v/>
      </c>
      <c r="D3852" s="23" t="str">
        <f aca="false">IF(B3852="","",IFERROR(INDEX(Brand_Log!$DV$2:$DV$201,MATCH(IFERROR(INDEX(Clay_Brands!$A$2:$FZ$601,401,Sync!$D$5)&amp;"",""),Brand_Log!$A$2:$A$201,0))&amp;"",IFERROR(INDEX(Clay_Brands!$A$2:$FZ$601,401,Sync!$D$5)&amp;"","")&amp;""))</f>
        <v/>
      </c>
      <c r="E3852" s="23" t="str">
        <f aca="false">IF(B3852="","",IFERROR(INDEX(Clay_Brands!$A$2:$FZ$601,401,Sync!$D$6)&amp;"",""))</f>
        <v/>
      </c>
      <c r="F3852" s="23" t="str">
        <f aca="false">IF(B3852="","","outreach_sent")</f>
        <v/>
      </c>
      <c r="G3852" s="23" t="str">
        <f aca="false">IF(B3852="","","")</f>
        <v/>
      </c>
      <c r="H3852" s="23" t="str">
        <f aca="false">IF(B3852="","","")</f>
        <v/>
      </c>
      <c r="I3852" s="23" t="str">
        <f aca="false">IF(B3852="","","")</f>
        <v/>
      </c>
      <c r="J3852" s="23" t="str">
        <f aca="false">IF(B3852="","","touch_1; "&amp;IFERROR(INDEX(Clay_Brands!$A$2:$FZ$601,401,Sync!$D$10)&amp;"","")&amp;"; "&amp;IFERROR(INDEX(Clay_Brands!$A$2:$FZ$601,401,Sync!$D$9)&amp;"",""))</f>
        <v/>
      </c>
      <c r="K3852" s="32" t="s">
        <v>1366</v>
      </c>
    </row>
    <row r="3853" customFormat="false" ht="15" hidden="false" customHeight="false" outlineLevel="0" collapsed="false">
      <c r="A3853" s="23" t="str">
        <f aca="false">IF(B3853="","",B3853+(15*1000+402)/10000000)</f>
        <v/>
      </c>
      <c r="B3853" s="35" t="str">
        <f aca="false">IF(AND(IFERROR(N(INDEX(Clay_Brands!$A$2:$FZ$601,402,Sync!$D$11)),0)&gt;0,IFERROR(INDEX(Clay_Brands!$A$2:$FZ$601,402,Sync!$D$5)&amp;"","")&lt;&gt;"",OR(LEFT(IFERROR(INDEX(Clay_Brands!$A$2:$FZ$601,402,Sync!$D$5)&amp;"",""),6)&lt;&gt;"SAMPLE",Config!$B$19="Y")),IFERROR(N(INDEX(Clay_Brands!$A$2:$FZ$601,402,Sync!$D$11)),0),"")</f>
        <v/>
      </c>
      <c r="C3853" s="23" t="str">
        <f aca="false">IF(B3853="","","brand")</f>
        <v/>
      </c>
      <c r="D3853" s="23" t="str">
        <f aca="false">IF(B3853="","",IFERROR(INDEX(Brand_Log!$DV$2:$DV$201,MATCH(IFERROR(INDEX(Clay_Brands!$A$2:$FZ$601,402,Sync!$D$5)&amp;"",""),Brand_Log!$A$2:$A$201,0))&amp;"",IFERROR(INDEX(Clay_Brands!$A$2:$FZ$601,402,Sync!$D$5)&amp;"","")&amp;""))</f>
        <v/>
      </c>
      <c r="E3853" s="23" t="str">
        <f aca="false">IF(B3853="","",IFERROR(INDEX(Clay_Brands!$A$2:$FZ$601,402,Sync!$D$6)&amp;"",""))</f>
        <v/>
      </c>
      <c r="F3853" s="23" t="str">
        <f aca="false">IF(B3853="","","outreach_sent")</f>
        <v/>
      </c>
      <c r="G3853" s="23" t="str">
        <f aca="false">IF(B3853="","","")</f>
        <v/>
      </c>
      <c r="H3853" s="23" t="str">
        <f aca="false">IF(B3853="","","")</f>
        <v/>
      </c>
      <c r="I3853" s="23" t="str">
        <f aca="false">IF(B3853="","","")</f>
        <v/>
      </c>
      <c r="J3853" s="23" t="str">
        <f aca="false">IF(B3853="","","touch_1; "&amp;IFERROR(INDEX(Clay_Brands!$A$2:$FZ$601,402,Sync!$D$10)&amp;"","")&amp;"; "&amp;IFERROR(INDEX(Clay_Brands!$A$2:$FZ$601,402,Sync!$D$9)&amp;"",""))</f>
        <v/>
      </c>
      <c r="K3853" s="32" t="s">
        <v>1366</v>
      </c>
    </row>
    <row r="3854" customFormat="false" ht="15" hidden="false" customHeight="false" outlineLevel="0" collapsed="false">
      <c r="A3854" s="23" t="str">
        <f aca="false">IF(B3854="","",B3854+(15*1000+403)/10000000)</f>
        <v/>
      </c>
      <c r="B3854" s="35" t="str">
        <f aca="false">IF(AND(IFERROR(N(INDEX(Clay_Brands!$A$2:$FZ$601,403,Sync!$D$11)),0)&gt;0,IFERROR(INDEX(Clay_Brands!$A$2:$FZ$601,403,Sync!$D$5)&amp;"","")&lt;&gt;"",OR(LEFT(IFERROR(INDEX(Clay_Brands!$A$2:$FZ$601,403,Sync!$D$5)&amp;"",""),6)&lt;&gt;"SAMPLE",Config!$B$19="Y")),IFERROR(N(INDEX(Clay_Brands!$A$2:$FZ$601,403,Sync!$D$11)),0),"")</f>
        <v/>
      </c>
      <c r="C3854" s="23" t="str">
        <f aca="false">IF(B3854="","","brand")</f>
        <v/>
      </c>
      <c r="D3854" s="23" t="str">
        <f aca="false">IF(B3854="","",IFERROR(INDEX(Brand_Log!$DV$2:$DV$201,MATCH(IFERROR(INDEX(Clay_Brands!$A$2:$FZ$601,403,Sync!$D$5)&amp;"",""),Brand_Log!$A$2:$A$201,0))&amp;"",IFERROR(INDEX(Clay_Brands!$A$2:$FZ$601,403,Sync!$D$5)&amp;"","")&amp;""))</f>
        <v/>
      </c>
      <c r="E3854" s="23" t="str">
        <f aca="false">IF(B3854="","",IFERROR(INDEX(Clay_Brands!$A$2:$FZ$601,403,Sync!$D$6)&amp;"",""))</f>
        <v/>
      </c>
      <c r="F3854" s="23" t="str">
        <f aca="false">IF(B3854="","","outreach_sent")</f>
        <v/>
      </c>
      <c r="G3854" s="23" t="str">
        <f aca="false">IF(B3854="","","")</f>
        <v/>
      </c>
      <c r="H3854" s="23" t="str">
        <f aca="false">IF(B3854="","","")</f>
        <v/>
      </c>
      <c r="I3854" s="23" t="str">
        <f aca="false">IF(B3854="","","")</f>
        <v/>
      </c>
      <c r="J3854" s="23" t="str">
        <f aca="false">IF(B3854="","","touch_1; "&amp;IFERROR(INDEX(Clay_Brands!$A$2:$FZ$601,403,Sync!$D$10)&amp;"","")&amp;"; "&amp;IFERROR(INDEX(Clay_Brands!$A$2:$FZ$601,403,Sync!$D$9)&amp;"",""))</f>
        <v/>
      </c>
      <c r="K3854" s="32" t="s">
        <v>1366</v>
      </c>
    </row>
    <row r="3855" customFormat="false" ht="15" hidden="false" customHeight="false" outlineLevel="0" collapsed="false">
      <c r="A3855" s="23" t="str">
        <f aca="false">IF(B3855="","",B3855+(15*1000+404)/10000000)</f>
        <v/>
      </c>
      <c r="B3855" s="35" t="str">
        <f aca="false">IF(AND(IFERROR(N(INDEX(Clay_Brands!$A$2:$FZ$601,404,Sync!$D$11)),0)&gt;0,IFERROR(INDEX(Clay_Brands!$A$2:$FZ$601,404,Sync!$D$5)&amp;"","")&lt;&gt;"",OR(LEFT(IFERROR(INDEX(Clay_Brands!$A$2:$FZ$601,404,Sync!$D$5)&amp;"",""),6)&lt;&gt;"SAMPLE",Config!$B$19="Y")),IFERROR(N(INDEX(Clay_Brands!$A$2:$FZ$601,404,Sync!$D$11)),0),"")</f>
        <v/>
      </c>
      <c r="C3855" s="23" t="str">
        <f aca="false">IF(B3855="","","brand")</f>
        <v/>
      </c>
      <c r="D3855" s="23" t="str">
        <f aca="false">IF(B3855="","",IFERROR(INDEX(Brand_Log!$DV$2:$DV$201,MATCH(IFERROR(INDEX(Clay_Brands!$A$2:$FZ$601,404,Sync!$D$5)&amp;"",""),Brand_Log!$A$2:$A$201,0))&amp;"",IFERROR(INDEX(Clay_Brands!$A$2:$FZ$601,404,Sync!$D$5)&amp;"","")&amp;""))</f>
        <v/>
      </c>
      <c r="E3855" s="23" t="str">
        <f aca="false">IF(B3855="","",IFERROR(INDEX(Clay_Brands!$A$2:$FZ$601,404,Sync!$D$6)&amp;"",""))</f>
        <v/>
      </c>
      <c r="F3855" s="23" t="str">
        <f aca="false">IF(B3855="","","outreach_sent")</f>
        <v/>
      </c>
      <c r="G3855" s="23" t="str">
        <f aca="false">IF(B3855="","","")</f>
        <v/>
      </c>
      <c r="H3855" s="23" t="str">
        <f aca="false">IF(B3855="","","")</f>
        <v/>
      </c>
      <c r="I3855" s="23" t="str">
        <f aca="false">IF(B3855="","","")</f>
        <v/>
      </c>
      <c r="J3855" s="23" t="str">
        <f aca="false">IF(B3855="","","touch_1; "&amp;IFERROR(INDEX(Clay_Brands!$A$2:$FZ$601,404,Sync!$D$10)&amp;"","")&amp;"; "&amp;IFERROR(INDEX(Clay_Brands!$A$2:$FZ$601,404,Sync!$D$9)&amp;"",""))</f>
        <v/>
      </c>
      <c r="K3855" s="32" t="s">
        <v>1366</v>
      </c>
    </row>
    <row r="3856" customFormat="false" ht="15" hidden="false" customHeight="false" outlineLevel="0" collapsed="false">
      <c r="A3856" s="23" t="str">
        <f aca="false">IF(B3856="","",B3856+(15*1000+405)/10000000)</f>
        <v/>
      </c>
      <c r="B3856" s="35" t="str">
        <f aca="false">IF(AND(IFERROR(N(INDEX(Clay_Brands!$A$2:$FZ$601,405,Sync!$D$11)),0)&gt;0,IFERROR(INDEX(Clay_Brands!$A$2:$FZ$601,405,Sync!$D$5)&amp;"","")&lt;&gt;"",OR(LEFT(IFERROR(INDEX(Clay_Brands!$A$2:$FZ$601,405,Sync!$D$5)&amp;"",""),6)&lt;&gt;"SAMPLE",Config!$B$19="Y")),IFERROR(N(INDEX(Clay_Brands!$A$2:$FZ$601,405,Sync!$D$11)),0),"")</f>
        <v/>
      </c>
      <c r="C3856" s="23" t="str">
        <f aca="false">IF(B3856="","","brand")</f>
        <v/>
      </c>
      <c r="D3856" s="23" t="str">
        <f aca="false">IF(B3856="","",IFERROR(INDEX(Brand_Log!$DV$2:$DV$201,MATCH(IFERROR(INDEX(Clay_Brands!$A$2:$FZ$601,405,Sync!$D$5)&amp;"",""),Brand_Log!$A$2:$A$201,0))&amp;"",IFERROR(INDEX(Clay_Brands!$A$2:$FZ$601,405,Sync!$D$5)&amp;"","")&amp;""))</f>
        <v/>
      </c>
      <c r="E3856" s="23" t="str">
        <f aca="false">IF(B3856="","",IFERROR(INDEX(Clay_Brands!$A$2:$FZ$601,405,Sync!$D$6)&amp;"",""))</f>
        <v/>
      </c>
      <c r="F3856" s="23" t="str">
        <f aca="false">IF(B3856="","","outreach_sent")</f>
        <v/>
      </c>
      <c r="G3856" s="23" t="str">
        <f aca="false">IF(B3856="","","")</f>
        <v/>
      </c>
      <c r="H3856" s="23" t="str">
        <f aca="false">IF(B3856="","","")</f>
        <v/>
      </c>
      <c r="I3856" s="23" t="str">
        <f aca="false">IF(B3856="","","")</f>
        <v/>
      </c>
      <c r="J3856" s="23" t="str">
        <f aca="false">IF(B3856="","","touch_1; "&amp;IFERROR(INDEX(Clay_Brands!$A$2:$FZ$601,405,Sync!$D$10)&amp;"","")&amp;"; "&amp;IFERROR(INDEX(Clay_Brands!$A$2:$FZ$601,405,Sync!$D$9)&amp;"",""))</f>
        <v/>
      </c>
      <c r="K3856" s="32" t="s">
        <v>1366</v>
      </c>
    </row>
    <row r="3857" customFormat="false" ht="15" hidden="false" customHeight="false" outlineLevel="0" collapsed="false">
      <c r="A3857" s="23" t="str">
        <f aca="false">IF(B3857="","",B3857+(15*1000+406)/10000000)</f>
        <v/>
      </c>
      <c r="B3857" s="35" t="str">
        <f aca="false">IF(AND(IFERROR(N(INDEX(Clay_Brands!$A$2:$FZ$601,406,Sync!$D$11)),0)&gt;0,IFERROR(INDEX(Clay_Brands!$A$2:$FZ$601,406,Sync!$D$5)&amp;"","")&lt;&gt;"",OR(LEFT(IFERROR(INDEX(Clay_Brands!$A$2:$FZ$601,406,Sync!$D$5)&amp;"",""),6)&lt;&gt;"SAMPLE",Config!$B$19="Y")),IFERROR(N(INDEX(Clay_Brands!$A$2:$FZ$601,406,Sync!$D$11)),0),"")</f>
        <v/>
      </c>
      <c r="C3857" s="23" t="str">
        <f aca="false">IF(B3857="","","brand")</f>
        <v/>
      </c>
      <c r="D3857" s="23" t="str">
        <f aca="false">IF(B3857="","",IFERROR(INDEX(Brand_Log!$DV$2:$DV$201,MATCH(IFERROR(INDEX(Clay_Brands!$A$2:$FZ$601,406,Sync!$D$5)&amp;"",""),Brand_Log!$A$2:$A$201,0))&amp;"",IFERROR(INDEX(Clay_Brands!$A$2:$FZ$601,406,Sync!$D$5)&amp;"","")&amp;""))</f>
        <v/>
      </c>
      <c r="E3857" s="23" t="str">
        <f aca="false">IF(B3857="","",IFERROR(INDEX(Clay_Brands!$A$2:$FZ$601,406,Sync!$D$6)&amp;"",""))</f>
        <v/>
      </c>
      <c r="F3857" s="23" t="str">
        <f aca="false">IF(B3857="","","outreach_sent")</f>
        <v/>
      </c>
      <c r="G3857" s="23" t="str">
        <f aca="false">IF(B3857="","","")</f>
        <v/>
      </c>
      <c r="H3857" s="23" t="str">
        <f aca="false">IF(B3857="","","")</f>
        <v/>
      </c>
      <c r="I3857" s="23" t="str">
        <f aca="false">IF(B3857="","","")</f>
        <v/>
      </c>
      <c r="J3857" s="23" t="str">
        <f aca="false">IF(B3857="","","touch_1; "&amp;IFERROR(INDEX(Clay_Brands!$A$2:$FZ$601,406,Sync!$D$10)&amp;"","")&amp;"; "&amp;IFERROR(INDEX(Clay_Brands!$A$2:$FZ$601,406,Sync!$D$9)&amp;"",""))</f>
        <v/>
      </c>
      <c r="K3857" s="32" t="s">
        <v>1366</v>
      </c>
    </row>
    <row r="3858" customFormat="false" ht="15" hidden="false" customHeight="false" outlineLevel="0" collapsed="false">
      <c r="A3858" s="23" t="str">
        <f aca="false">IF(B3858="","",B3858+(15*1000+407)/10000000)</f>
        <v/>
      </c>
      <c r="B3858" s="35" t="str">
        <f aca="false">IF(AND(IFERROR(N(INDEX(Clay_Brands!$A$2:$FZ$601,407,Sync!$D$11)),0)&gt;0,IFERROR(INDEX(Clay_Brands!$A$2:$FZ$601,407,Sync!$D$5)&amp;"","")&lt;&gt;"",OR(LEFT(IFERROR(INDEX(Clay_Brands!$A$2:$FZ$601,407,Sync!$D$5)&amp;"",""),6)&lt;&gt;"SAMPLE",Config!$B$19="Y")),IFERROR(N(INDEX(Clay_Brands!$A$2:$FZ$601,407,Sync!$D$11)),0),"")</f>
        <v/>
      </c>
      <c r="C3858" s="23" t="str">
        <f aca="false">IF(B3858="","","brand")</f>
        <v/>
      </c>
      <c r="D3858" s="23" t="str">
        <f aca="false">IF(B3858="","",IFERROR(INDEX(Brand_Log!$DV$2:$DV$201,MATCH(IFERROR(INDEX(Clay_Brands!$A$2:$FZ$601,407,Sync!$D$5)&amp;"",""),Brand_Log!$A$2:$A$201,0))&amp;"",IFERROR(INDEX(Clay_Brands!$A$2:$FZ$601,407,Sync!$D$5)&amp;"","")&amp;""))</f>
        <v/>
      </c>
      <c r="E3858" s="23" t="str">
        <f aca="false">IF(B3858="","",IFERROR(INDEX(Clay_Brands!$A$2:$FZ$601,407,Sync!$D$6)&amp;"",""))</f>
        <v/>
      </c>
      <c r="F3858" s="23" t="str">
        <f aca="false">IF(B3858="","","outreach_sent")</f>
        <v/>
      </c>
      <c r="G3858" s="23" t="str">
        <f aca="false">IF(B3858="","","")</f>
        <v/>
      </c>
      <c r="H3858" s="23" t="str">
        <f aca="false">IF(B3858="","","")</f>
        <v/>
      </c>
      <c r="I3858" s="23" t="str">
        <f aca="false">IF(B3858="","","")</f>
        <v/>
      </c>
      <c r="J3858" s="23" t="str">
        <f aca="false">IF(B3858="","","touch_1; "&amp;IFERROR(INDEX(Clay_Brands!$A$2:$FZ$601,407,Sync!$D$10)&amp;"","")&amp;"; "&amp;IFERROR(INDEX(Clay_Brands!$A$2:$FZ$601,407,Sync!$D$9)&amp;"",""))</f>
        <v/>
      </c>
      <c r="K3858" s="32" t="s">
        <v>1366</v>
      </c>
    </row>
    <row r="3859" customFormat="false" ht="15" hidden="false" customHeight="false" outlineLevel="0" collapsed="false">
      <c r="A3859" s="23" t="str">
        <f aca="false">IF(B3859="","",B3859+(15*1000+408)/10000000)</f>
        <v/>
      </c>
      <c r="B3859" s="35" t="str">
        <f aca="false">IF(AND(IFERROR(N(INDEX(Clay_Brands!$A$2:$FZ$601,408,Sync!$D$11)),0)&gt;0,IFERROR(INDEX(Clay_Brands!$A$2:$FZ$601,408,Sync!$D$5)&amp;"","")&lt;&gt;"",OR(LEFT(IFERROR(INDEX(Clay_Brands!$A$2:$FZ$601,408,Sync!$D$5)&amp;"",""),6)&lt;&gt;"SAMPLE",Config!$B$19="Y")),IFERROR(N(INDEX(Clay_Brands!$A$2:$FZ$601,408,Sync!$D$11)),0),"")</f>
        <v/>
      </c>
      <c r="C3859" s="23" t="str">
        <f aca="false">IF(B3859="","","brand")</f>
        <v/>
      </c>
      <c r="D3859" s="23" t="str">
        <f aca="false">IF(B3859="","",IFERROR(INDEX(Brand_Log!$DV$2:$DV$201,MATCH(IFERROR(INDEX(Clay_Brands!$A$2:$FZ$601,408,Sync!$D$5)&amp;"",""),Brand_Log!$A$2:$A$201,0))&amp;"",IFERROR(INDEX(Clay_Brands!$A$2:$FZ$601,408,Sync!$D$5)&amp;"","")&amp;""))</f>
        <v/>
      </c>
      <c r="E3859" s="23" t="str">
        <f aca="false">IF(B3859="","",IFERROR(INDEX(Clay_Brands!$A$2:$FZ$601,408,Sync!$D$6)&amp;"",""))</f>
        <v/>
      </c>
      <c r="F3859" s="23" t="str">
        <f aca="false">IF(B3859="","","outreach_sent")</f>
        <v/>
      </c>
      <c r="G3859" s="23" t="str">
        <f aca="false">IF(B3859="","","")</f>
        <v/>
      </c>
      <c r="H3859" s="23" t="str">
        <f aca="false">IF(B3859="","","")</f>
        <v/>
      </c>
      <c r="I3859" s="23" t="str">
        <f aca="false">IF(B3859="","","")</f>
        <v/>
      </c>
      <c r="J3859" s="23" t="str">
        <f aca="false">IF(B3859="","","touch_1; "&amp;IFERROR(INDEX(Clay_Brands!$A$2:$FZ$601,408,Sync!$D$10)&amp;"","")&amp;"; "&amp;IFERROR(INDEX(Clay_Brands!$A$2:$FZ$601,408,Sync!$D$9)&amp;"",""))</f>
        <v/>
      </c>
      <c r="K3859" s="32" t="s">
        <v>1366</v>
      </c>
    </row>
    <row r="3860" customFormat="false" ht="15" hidden="false" customHeight="false" outlineLevel="0" collapsed="false">
      <c r="A3860" s="23" t="str">
        <f aca="false">IF(B3860="","",B3860+(15*1000+409)/10000000)</f>
        <v/>
      </c>
      <c r="B3860" s="35" t="str">
        <f aca="false">IF(AND(IFERROR(N(INDEX(Clay_Brands!$A$2:$FZ$601,409,Sync!$D$11)),0)&gt;0,IFERROR(INDEX(Clay_Brands!$A$2:$FZ$601,409,Sync!$D$5)&amp;"","")&lt;&gt;"",OR(LEFT(IFERROR(INDEX(Clay_Brands!$A$2:$FZ$601,409,Sync!$D$5)&amp;"",""),6)&lt;&gt;"SAMPLE",Config!$B$19="Y")),IFERROR(N(INDEX(Clay_Brands!$A$2:$FZ$601,409,Sync!$D$11)),0),"")</f>
        <v/>
      </c>
      <c r="C3860" s="23" t="str">
        <f aca="false">IF(B3860="","","brand")</f>
        <v/>
      </c>
      <c r="D3860" s="23" t="str">
        <f aca="false">IF(B3860="","",IFERROR(INDEX(Brand_Log!$DV$2:$DV$201,MATCH(IFERROR(INDEX(Clay_Brands!$A$2:$FZ$601,409,Sync!$D$5)&amp;"",""),Brand_Log!$A$2:$A$201,0))&amp;"",IFERROR(INDEX(Clay_Brands!$A$2:$FZ$601,409,Sync!$D$5)&amp;"","")&amp;""))</f>
        <v/>
      </c>
      <c r="E3860" s="23" t="str">
        <f aca="false">IF(B3860="","",IFERROR(INDEX(Clay_Brands!$A$2:$FZ$601,409,Sync!$D$6)&amp;"",""))</f>
        <v/>
      </c>
      <c r="F3860" s="23" t="str">
        <f aca="false">IF(B3860="","","outreach_sent")</f>
        <v/>
      </c>
      <c r="G3860" s="23" t="str">
        <f aca="false">IF(B3860="","","")</f>
        <v/>
      </c>
      <c r="H3860" s="23" t="str">
        <f aca="false">IF(B3860="","","")</f>
        <v/>
      </c>
      <c r="I3860" s="23" t="str">
        <f aca="false">IF(B3860="","","")</f>
        <v/>
      </c>
      <c r="J3860" s="23" t="str">
        <f aca="false">IF(B3860="","","touch_1; "&amp;IFERROR(INDEX(Clay_Brands!$A$2:$FZ$601,409,Sync!$D$10)&amp;"","")&amp;"; "&amp;IFERROR(INDEX(Clay_Brands!$A$2:$FZ$601,409,Sync!$D$9)&amp;"",""))</f>
        <v/>
      </c>
      <c r="K3860" s="32" t="s">
        <v>1366</v>
      </c>
    </row>
    <row r="3861" customFormat="false" ht="15" hidden="false" customHeight="false" outlineLevel="0" collapsed="false">
      <c r="A3861" s="23" t="str">
        <f aca="false">IF(B3861="","",B3861+(15*1000+410)/10000000)</f>
        <v/>
      </c>
      <c r="B3861" s="35" t="str">
        <f aca="false">IF(AND(IFERROR(N(INDEX(Clay_Brands!$A$2:$FZ$601,410,Sync!$D$11)),0)&gt;0,IFERROR(INDEX(Clay_Brands!$A$2:$FZ$601,410,Sync!$D$5)&amp;"","")&lt;&gt;"",OR(LEFT(IFERROR(INDEX(Clay_Brands!$A$2:$FZ$601,410,Sync!$D$5)&amp;"",""),6)&lt;&gt;"SAMPLE",Config!$B$19="Y")),IFERROR(N(INDEX(Clay_Brands!$A$2:$FZ$601,410,Sync!$D$11)),0),"")</f>
        <v/>
      </c>
      <c r="C3861" s="23" t="str">
        <f aca="false">IF(B3861="","","brand")</f>
        <v/>
      </c>
      <c r="D3861" s="23" t="str">
        <f aca="false">IF(B3861="","",IFERROR(INDEX(Brand_Log!$DV$2:$DV$201,MATCH(IFERROR(INDEX(Clay_Brands!$A$2:$FZ$601,410,Sync!$D$5)&amp;"",""),Brand_Log!$A$2:$A$201,0))&amp;"",IFERROR(INDEX(Clay_Brands!$A$2:$FZ$601,410,Sync!$D$5)&amp;"","")&amp;""))</f>
        <v/>
      </c>
      <c r="E3861" s="23" t="str">
        <f aca="false">IF(B3861="","",IFERROR(INDEX(Clay_Brands!$A$2:$FZ$601,410,Sync!$D$6)&amp;"",""))</f>
        <v/>
      </c>
      <c r="F3861" s="23" t="str">
        <f aca="false">IF(B3861="","","outreach_sent")</f>
        <v/>
      </c>
      <c r="G3861" s="23" t="str">
        <f aca="false">IF(B3861="","","")</f>
        <v/>
      </c>
      <c r="H3861" s="23" t="str">
        <f aca="false">IF(B3861="","","")</f>
        <v/>
      </c>
      <c r="I3861" s="23" t="str">
        <f aca="false">IF(B3861="","","")</f>
        <v/>
      </c>
      <c r="J3861" s="23" t="str">
        <f aca="false">IF(B3861="","","touch_1; "&amp;IFERROR(INDEX(Clay_Brands!$A$2:$FZ$601,410,Sync!$D$10)&amp;"","")&amp;"; "&amp;IFERROR(INDEX(Clay_Brands!$A$2:$FZ$601,410,Sync!$D$9)&amp;"",""))</f>
        <v/>
      </c>
      <c r="K3861" s="32" t="s">
        <v>1366</v>
      </c>
    </row>
    <row r="3862" customFormat="false" ht="15" hidden="false" customHeight="false" outlineLevel="0" collapsed="false">
      <c r="A3862" s="23" t="str">
        <f aca="false">IF(B3862="","",B3862+(15*1000+411)/10000000)</f>
        <v/>
      </c>
      <c r="B3862" s="35" t="str">
        <f aca="false">IF(AND(IFERROR(N(INDEX(Clay_Brands!$A$2:$FZ$601,411,Sync!$D$11)),0)&gt;0,IFERROR(INDEX(Clay_Brands!$A$2:$FZ$601,411,Sync!$D$5)&amp;"","")&lt;&gt;"",OR(LEFT(IFERROR(INDEX(Clay_Brands!$A$2:$FZ$601,411,Sync!$D$5)&amp;"",""),6)&lt;&gt;"SAMPLE",Config!$B$19="Y")),IFERROR(N(INDEX(Clay_Brands!$A$2:$FZ$601,411,Sync!$D$11)),0),"")</f>
        <v/>
      </c>
      <c r="C3862" s="23" t="str">
        <f aca="false">IF(B3862="","","brand")</f>
        <v/>
      </c>
      <c r="D3862" s="23" t="str">
        <f aca="false">IF(B3862="","",IFERROR(INDEX(Brand_Log!$DV$2:$DV$201,MATCH(IFERROR(INDEX(Clay_Brands!$A$2:$FZ$601,411,Sync!$D$5)&amp;"",""),Brand_Log!$A$2:$A$201,0))&amp;"",IFERROR(INDEX(Clay_Brands!$A$2:$FZ$601,411,Sync!$D$5)&amp;"","")&amp;""))</f>
        <v/>
      </c>
      <c r="E3862" s="23" t="str">
        <f aca="false">IF(B3862="","",IFERROR(INDEX(Clay_Brands!$A$2:$FZ$601,411,Sync!$D$6)&amp;"",""))</f>
        <v/>
      </c>
      <c r="F3862" s="23" t="str">
        <f aca="false">IF(B3862="","","outreach_sent")</f>
        <v/>
      </c>
      <c r="G3862" s="23" t="str">
        <f aca="false">IF(B3862="","","")</f>
        <v/>
      </c>
      <c r="H3862" s="23" t="str">
        <f aca="false">IF(B3862="","","")</f>
        <v/>
      </c>
      <c r="I3862" s="23" t="str">
        <f aca="false">IF(B3862="","","")</f>
        <v/>
      </c>
      <c r="J3862" s="23" t="str">
        <f aca="false">IF(B3862="","","touch_1; "&amp;IFERROR(INDEX(Clay_Brands!$A$2:$FZ$601,411,Sync!$D$10)&amp;"","")&amp;"; "&amp;IFERROR(INDEX(Clay_Brands!$A$2:$FZ$601,411,Sync!$D$9)&amp;"",""))</f>
        <v/>
      </c>
      <c r="K3862" s="32" t="s">
        <v>1366</v>
      </c>
    </row>
    <row r="3863" customFormat="false" ht="15" hidden="false" customHeight="false" outlineLevel="0" collapsed="false">
      <c r="A3863" s="23" t="str">
        <f aca="false">IF(B3863="","",B3863+(15*1000+412)/10000000)</f>
        <v/>
      </c>
      <c r="B3863" s="35" t="str">
        <f aca="false">IF(AND(IFERROR(N(INDEX(Clay_Brands!$A$2:$FZ$601,412,Sync!$D$11)),0)&gt;0,IFERROR(INDEX(Clay_Brands!$A$2:$FZ$601,412,Sync!$D$5)&amp;"","")&lt;&gt;"",OR(LEFT(IFERROR(INDEX(Clay_Brands!$A$2:$FZ$601,412,Sync!$D$5)&amp;"",""),6)&lt;&gt;"SAMPLE",Config!$B$19="Y")),IFERROR(N(INDEX(Clay_Brands!$A$2:$FZ$601,412,Sync!$D$11)),0),"")</f>
        <v/>
      </c>
      <c r="C3863" s="23" t="str">
        <f aca="false">IF(B3863="","","brand")</f>
        <v/>
      </c>
      <c r="D3863" s="23" t="str">
        <f aca="false">IF(B3863="","",IFERROR(INDEX(Brand_Log!$DV$2:$DV$201,MATCH(IFERROR(INDEX(Clay_Brands!$A$2:$FZ$601,412,Sync!$D$5)&amp;"",""),Brand_Log!$A$2:$A$201,0))&amp;"",IFERROR(INDEX(Clay_Brands!$A$2:$FZ$601,412,Sync!$D$5)&amp;"","")&amp;""))</f>
        <v/>
      </c>
      <c r="E3863" s="23" t="str">
        <f aca="false">IF(B3863="","",IFERROR(INDEX(Clay_Brands!$A$2:$FZ$601,412,Sync!$D$6)&amp;"",""))</f>
        <v/>
      </c>
      <c r="F3863" s="23" t="str">
        <f aca="false">IF(B3863="","","outreach_sent")</f>
        <v/>
      </c>
      <c r="G3863" s="23" t="str">
        <f aca="false">IF(B3863="","","")</f>
        <v/>
      </c>
      <c r="H3863" s="23" t="str">
        <f aca="false">IF(B3863="","","")</f>
        <v/>
      </c>
      <c r="I3863" s="23" t="str">
        <f aca="false">IF(B3863="","","")</f>
        <v/>
      </c>
      <c r="J3863" s="23" t="str">
        <f aca="false">IF(B3863="","","touch_1; "&amp;IFERROR(INDEX(Clay_Brands!$A$2:$FZ$601,412,Sync!$D$10)&amp;"","")&amp;"; "&amp;IFERROR(INDEX(Clay_Brands!$A$2:$FZ$601,412,Sync!$D$9)&amp;"",""))</f>
        <v/>
      </c>
      <c r="K3863" s="32" t="s">
        <v>1366</v>
      </c>
    </row>
    <row r="3864" customFormat="false" ht="15" hidden="false" customHeight="false" outlineLevel="0" collapsed="false">
      <c r="A3864" s="23" t="str">
        <f aca="false">IF(B3864="","",B3864+(15*1000+413)/10000000)</f>
        <v/>
      </c>
      <c r="B3864" s="35" t="str">
        <f aca="false">IF(AND(IFERROR(N(INDEX(Clay_Brands!$A$2:$FZ$601,413,Sync!$D$11)),0)&gt;0,IFERROR(INDEX(Clay_Brands!$A$2:$FZ$601,413,Sync!$D$5)&amp;"","")&lt;&gt;"",OR(LEFT(IFERROR(INDEX(Clay_Brands!$A$2:$FZ$601,413,Sync!$D$5)&amp;"",""),6)&lt;&gt;"SAMPLE",Config!$B$19="Y")),IFERROR(N(INDEX(Clay_Brands!$A$2:$FZ$601,413,Sync!$D$11)),0),"")</f>
        <v/>
      </c>
      <c r="C3864" s="23" t="str">
        <f aca="false">IF(B3864="","","brand")</f>
        <v/>
      </c>
      <c r="D3864" s="23" t="str">
        <f aca="false">IF(B3864="","",IFERROR(INDEX(Brand_Log!$DV$2:$DV$201,MATCH(IFERROR(INDEX(Clay_Brands!$A$2:$FZ$601,413,Sync!$D$5)&amp;"",""),Brand_Log!$A$2:$A$201,0))&amp;"",IFERROR(INDEX(Clay_Brands!$A$2:$FZ$601,413,Sync!$D$5)&amp;"","")&amp;""))</f>
        <v/>
      </c>
      <c r="E3864" s="23" t="str">
        <f aca="false">IF(B3864="","",IFERROR(INDEX(Clay_Brands!$A$2:$FZ$601,413,Sync!$D$6)&amp;"",""))</f>
        <v/>
      </c>
      <c r="F3864" s="23" t="str">
        <f aca="false">IF(B3864="","","outreach_sent")</f>
        <v/>
      </c>
      <c r="G3864" s="23" t="str">
        <f aca="false">IF(B3864="","","")</f>
        <v/>
      </c>
      <c r="H3864" s="23" t="str">
        <f aca="false">IF(B3864="","","")</f>
        <v/>
      </c>
      <c r="I3864" s="23" t="str">
        <f aca="false">IF(B3864="","","")</f>
        <v/>
      </c>
      <c r="J3864" s="23" t="str">
        <f aca="false">IF(B3864="","","touch_1; "&amp;IFERROR(INDEX(Clay_Brands!$A$2:$FZ$601,413,Sync!$D$10)&amp;"","")&amp;"; "&amp;IFERROR(INDEX(Clay_Brands!$A$2:$FZ$601,413,Sync!$D$9)&amp;"",""))</f>
        <v/>
      </c>
      <c r="K3864" s="32" t="s">
        <v>1366</v>
      </c>
    </row>
    <row r="3865" customFormat="false" ht="15" hidden="false" customHeight="false" outlineLevel="0" collapsed="false">
      <c r="A3865" s="23" t="str">
        <f aca="false">IF(B3865="","",B3865+(15*1000+414)/10000000)</f>
        <v/>
      </c>
      <c r="B3865" s="35" t="str">
        <f aca="false">IF(AND(IFERROR(N(INDEX(Clay_Brands!$A$2:$FZ$601,414,Sync!$D$11)),0)&gt;0,IFERROR(INDEX(Clay_Brands!$A$2:$FZ$601,414,Sync!$D$5)&amp;"","")&lt;&gt;"",OR(LEFT(IFERROR(INDEX(Clay_Brands!$A$2:$FZ$601,414,Sync!$D$5)&amp;"",""),6)&lt;&gt;"SAMPLE",Config!$B$19="Y")),IFERROR(N(INDEX(Clay_Brands!$A$2:$FZ$601,414,Sync!$D$11)),0),"")</f>
        <v/>
      </c>
      <c r="C3865" s="23" t="str">
        <f aca="false">IF(B3865="","","brand")</f>
        <v/>
      </c>
      <c r="D3865" s="23" t="str">
        <f aca="false">IF(B3865="","",IFERROR(INDEX(Brand_Log!$DV$2:$DV$201,MATCH(IFERROR(INDEX(Clay_Brands!$A$2:$FZ$601,414,Sync!$D$5)&amp;"",""),Brand_Log!$A$2:$A$201,0))&amp;"",IFERROR(INDEX(Clay_Brands!$A$2:$FZ$601,414,Sync!$D$5)&amp;"","")&amp;""))</f>
        <v/>
      </c>
      <c r="E3865" s="23" t="str">
        <f aca="false">IF(B3865="","",IFERROR(INDEX(Clay_Brands!$A$2:$FZ$601,414,Sync!$D$6)&amp;"",""))</f>
        <v/>
      </c>
      <c r="F3865" s="23" t="str">
        <f aca="false">IF(B3865="","","outreach_sent")</f>
        <v/>
      </c>
      <c r="G3865" s="23" t="str">
        <f aca="false">IF(B3865="","","")</f>
        <v/>
      </c>
      <c r="H3865" s="23" t="str">
        <f aca="false">IF(B3865="","","")</f>
        <v/>
      </c>
      <c r="I3865" s="23" t="str">
        <f aca="false">IF(B3865="","","")</f>
        <v/>
      </c>
      <c r="J3865" s="23" t="str">
        <f aca="false">IF(B3865="","","touch_1; "&amp;IFERROR(INDEX(Clay_Brands!$A$2:$FZ$601,414,Sync!$D$10)&amp;"","")&amp;"; "&amp;IFERROR(INDEX(Clay_Brands!$A$2:$FZ$601,414,Sync!$D$9)&amp;"",""))</f>
        <v/>
      </c>
      <c r="K3865" s="32" t="s">
        <v>1366</v>
      </c>
    </row>
    <row r="3866" customFormat="false" ht="15" hidden="false" customHeight="false" outlineLevel="0" collapsed="false">
      <c r="A3866" s="23" t="str">
        <f aca="false">IF(B3866="","",B3866+(15*1000+415)/10000000)</f>
        <v/>
      </c>
      <c r="B3866" s="35" t="str">
        <f aca="false">IF(AND(IFERROR(N(INDEX(Clay_Brands!$A$2:$FZ$601,415,Sync!$D$11)),0)&gt;0,IFERROR(INDEX(Clay_Brands!$A$2:$FZ$601,415,Sync!$D$5)&amp;"","")&lt;&gt;"",OR(LEFT(IFERROR(INDEX(Clay_Brands!$A$2:$FZ$601,415,Sync!$D$5)&amp;"",""),6)&lt;&gt;"SAMPLE",Config!$B$19="Y")),IFERROR(N(INDEX(Clay_Brands!$A$2:$FZ$601,415,Sync!$D$11)),0),"")</f>
        <v/>
      </c>
      <c r="C3866" s="23" t="str">
        <f aca="false">IF(B3866="","","brand")</f>
        <v/>
      </c>
      <c r="D3866" s="23" t="str">
        <f aca="false">IF(B3866="","",IFERROR(INDEX(Brand_Log!$DV$2:$DV$201,MATCH(IFERROR(INDEX(Clay_Brands!$A$2:$FZ$601,415,Sync!$D$5)&amp;"",""),Brand_Log!$A$2:$A$201,0))&amp;"",IFERROR(INDEX(Clay_Brands!$A$2:$FZ$601,415,Sync!$D$5)&amp;"","")&amp;""))</f>
        <v/>
      </c>
      <c r="E3866" s="23" t="str">
        <f aca="false">IF(B3866="","",IFERROR(INDEX(Clay_Brands!$A$2:$FZ$601,415,Sync!$D$6)&amp;"",""))</f>
        <v/>
      </c>
      <c r="F3866" s="23" t="str">
        <f aca="false">IF(B3866="","","outreach_sent")</f>
        <v/>
      </c>
      <c r="G3866" s="23" t="str">
        <f aca="false">IF(B3866="","","")</f>
        <v/>
      </c>
      <c r="H3866" s="23" t="str">
        <f aca="false">IF(B3866="","","")</f>
        <v/>
      </c>
      <c r="I3866" s="23" t="str">
        <f aca="false">IF(B3866="","","")</f>
        <v/>
      </c>
      <c r="J3866" s="23" t="str">
        <f aca="false">IF(B3866="","","touch_1; "&amp;IFERROR(INDEX(Clay_Brands!$A$2:$FZ$601,415,Sync!$D$10)&amp;"","")&amp;"; "&amp;IFERROR(INDEX(Clay_Brands!$A$2:$FZ$601,415,Sync!$D$9)&amp;"",""))</f>
        <v/>
      </c>
      <c r="K3866" s="32" t="s">
        <v>1366</v>
      </c>
    </row>
    <row r="3867" customFormat="false" ht="15" hidden="false" customHeight="false" outlineLevel="0" collapsed="false">
      <c r="A3867" s="23" t="str">
        <f aca="false">IF(B3867="","",B3867+(15*1000+416)/10000000)</f>
        <v/>
      </c>
      <c r="B3867" s="35" t="str">
        <f aca="false">IF(AND(IFERROR(N(INDEX(Clay_Brands!$A$2:$FZ$601,416,Sync!$D$11)),0)&gt;0,IFERROR(INDEX(Clay_Brands!$A$2:$FZ$601,416,Sync!$D$5)&amp;"","")&lt;&gt;"",OR(LEFT(IFERROR(INDEX(Clay_Brands!$A$2:$FZ$601,416,Sync!$D$5)&amp;"",""),6)&lt;&gt;"SAMPLE",Config!$B$19="Y")),IFERROR(N(INDEX(Clay_Brands!$A$2:$FZ$601,416,Sync!$D$11)),0),"")</f>
        <v/>
      </c>
      <c r="C3867" s="23" t="str">
        <f aca="false">IF(B3867="","","brand")</f>
        <v/>
      </c>
      <c r="D3867" s="23" t="str">
        <f aca="false">IF(B3867="","",IFERROR(INDEX(Brand_Log!$DV$2:$DV$201,MATCH(IFERROR(INDEX(Clay_Brands!$A$2:$FZ$601,416,Sync!$D$5)&amp;"",""),Brand_Log!$A$2:$A$201,0))&amp;"",IFERROR(INDEX(Clay_Brands!$A$2:$FZ$601,416,Sync!$D$5)&amp;"","")&amp;""))</f>
        <v/>
      </c>
      <c r="E3867" s="23" t="str">
        <f aca="false">IF(B3867="","",IFERROR(INDEX(Clay_Brands!$A$2:$FZ$601,416,Sync!$D$6)&amp;"",""))</f>
        <v/>
      </c>
      <c r="F3867" s="23" t="str">
        <f aca="false">IF(B3867="","","outreach_sent")</f>
        <v/>
      </c>
      <c r="G3867" s="23" t="str">
        <f aca="false">IF(B3867="","","")</f>
        <v/>
      </c>
      <c r="H3867" s="23" t="str">
        <f aca="false">IF(B3867="","","")</f>
        <v/>
      </c>
      <c r="I3867" s="23" t="str">
        <f aca="false">IF(B3867="","","")</f>
        <v/>
      </c>
      <c r="J3867" s="23" t="str">
        <f aca="false">IF(B3867="","","touch_1; "&amp;IFERROR(INDEX(Clay_Brands!$A$2:$FZ$601,416,Sync!$D$10)&amp;"","")&amp;"; "&amp;IFERROR(INDEX(Clay_Brands!$A$2:$FZ$601,416,Sync!$D$9)&amp;"",""))</f>
        <v/>
      </c>
      <c r="K3867" s="32" t="s">
        <v>1366</v>
      </c>
    </row>
    <row r="3868" customFormat="false" ht="15" hidden="false" customHeight="false" outlineLevel="0" collapsed="false">
      <c r="A3868" s="23" t="str">
        <f aca="false">IF(B3868="","",B3868+(15*1000+417)/10000000)</f>
        <v/>
      </c>
      <c r="B3868" s="35" t="str">
        <f aca="false">IF(AND(IFERROR(N(INDEX(Clay_Brands!$A$2:$FZ$601,417,Sync!$D$11)),0)&gt;0,IFERROR(INDEX(Clay_Brands!$A$2:$FZ$601,417,Sync!$D$5)&amp;"","")&lt;&gt;"",OR(LEFT(IFERROR(INDEX(Clay_Brands!$A$2:$FZ$601,417,Sync!$D$5)&amp;"",""),6)&lt;&gt;"SAMPLE",Config!$B$19="Y")),IFERROR(N(INDEX(Clay_Brands!$A$2:$FZ$601,417,Sync!$D$11)),0),"")</f>
        <v/>
      </c>
      <c r="C3868" s="23" t="str">
        <f aca="false">IF(B3868="","","brand")</f>
        <v/>
      </c>
      <c r="D3868" s="23" t="str">
        <f aca="false">IF(B3868="","",IFERROR(INDEX(Brand_Log!$DV$2:$DV$201,MATCH(IFERROR(INDEX(Clay_Brands!$A$2:$FZ$601,417,Sync!$D$5)&amp;"",""),Brand_Log!$A$2:$A$201,0))&amp;"",IFERROR(INDEX(Clay_Brands!$A$2:$FZ$601,417,Sync!$D$5)&amp;"","")&amp;""))</f>
        <v/>
      </c>
      <c r="E3868" s="23" t="str">
        <f aca="false">IF(B3868="","",IFERROR(INDEX(Clay_Brands!$A$2:$FZ$601,417,Sync!$D$6)&amp;"",""))</f>
        <v/>
      </c>
      <c r="F3868" s="23" t="str">
        <f aca="false">IF(B3868="","","outreach_sent")</f>
        <v/>
      </c>
      <c r="G3868" s="23" t="str">
        <f aca="false">IF(B3868="","","")</f>
        <v/>
      </c>
      <c r="H3868" s="23" t="str">
        <f aca="false">IF(B3868="","","")</f>
        <v/>
      </c>
      <c r="I3868" s="23" t="str">
        <f aca="false">IF(B3868="","","")</f>
        <v/>
      </c>
      <c r="J3868" s="23" t="str">
        <f aca="false">IF(B3868="","","touch_1; "&amp;IFERROR(INDEX(Clay_Brands!$A$2:$FZ$601,417,Sync!$D$10)&amp;"","")&amp;"; "&amp;IFERROR(INDEX(Clay_Brands!$A$2:$FZ$601,417,Sync!$D$9)&amp;"",""))</f>
        <v/>
      </c>
      <c r="K3868" s="32" t="s">
        <v>1366</v>
      </c>
    </row>
    <row r="3869" customFormat="false" ht="15" hidden="false" customHeight="false" outlineLevel="0" collapsed="false">
      <c r="A3869" s="23" t="str">
        <f aca="false">IF(B3869="","",B3869+(15*1000+418)/10000000)</f>
        <v/>
      </c>
      <c r="B3869" s="35" t="str">
        <f aca="false">IF(AND(IFERROR(N(INDEX(Clay_Brands!$A$2:$FZ$601,418,Sync!$D$11)),0)&gt;0,IFERROR(INDEX(Clay_Brands!$A$2:$FZ$601,418,Sync!$D$5)&amp;"","")&lt;&gt;"",OR(LEFT(IFERROR(INDEX(Clay_Brands!$A$2:$FZ$601,418,Sync!$D$5)&amp;"",""),6)&lt;&gt;"SAMPLE",Config!$B$19="Y")),IFERROR(N(INDEX(Clay_Brands!$A$2:$FZ$601,418,Sync!$D$11)),0),"")</f>
        <v/>
      </c>
      <c r="C3869" s="23" t="str">
        <f aca="false">IF(B3869="","","brand")</f>
        <v/>
      </c>
      <c r="D3869" s="23" t="str">
        <f aca="false">IF(B3869="","",IFERROR(INDEX(Brand_Log!$DV$2:$DV$201,MATCH(IFERROR(INDEX(Clay_Brands!$A$2:$FZ$601,418,Sync!$D$5)&amp;"",""),Brand_Log!$A$2:$A$201,0))&amp;"",IFERROR(INDEX(Clay_Brands!$A$2:$FZ$601,418,Sync!$D$5)&amp;"","")&amp;""))</f>
        <v/>
      </c>
      <c r="E3869" s="23" t="str">
        <f aca="false">IF(B3869="","",IFERROR(INDEX(Clay_Brands!$A$2:$FZ$601,418,Sync!$D$6)&amp;"",""))</f>
        <v/>
      </c>
      <c r="F3869" s="23" t="str">
        <f aca="false">IF(B3869="","","outreach_sent")</f>
        <v/>
      </c>
      <c r="G3869" s="23" t="str">
        <f aca="false">IF(B3869="","","")</f>
        <v/>
      </c>
      <c r="H3869" s="23" t="str">
        <f aca="false">IF(B3869="","","")</f>
        <v/>
      </c>
      <c r="I3869" s="23" t="str">
        <f aca="false">IF(B3869="","","")</f>
        <v/>
      </c>
      <c r="J3869" s="23" t="str">
        <f aca="false">IF(B3869="","","touch_1; "&amp;IFERROR(INDEX(Clay_Brands!$A$2:$FZ$601,418,Sync!$D$10)&amp;"","")&amp;"; "&amp;IFERROR(INDEX(Clay_Brands!$A$2:$FZ$601,418,Sync!$D$9)&amp;"",""))</f>
        <v/>
      </c>
      <c r="K3869" s="32" t="s">
        <v>1366</v>
      </c>
    </row>
    <row r="3870" customFormat="false" ht="15" hidden="false" customHeight="false" outlineLevel="0" collapsed="false">
      <c r="A3870" s="23" t="str">
        <f aca="false">IF(B3870="","",B3870+(15*1000+419)/10000000)</f>
        <v/>
      </c>
      <c r="B3870" s="35" t="str">
        <f aca="false">IF(AND(IFERROR(N(INDEX(Clay_Brands!$A$2:$FZ$601,419,Sync!$D$11)),0)&gt;0,IFERROR(INDEX(Clay_Brands!$A$2:$FZ$601,419,Sync!$D$5)&amp;"","")&lt;&gt;"",OR(LEFT(IFERROR(INDEX(Clay_Brands!$A$2:$FZ$601,419,Sync!$D$5)&amp;"",""),6)&lt;&gt;"SAMPLE",Config!$B$19="Y")),IFERROR(N(INDEX(Clay_Brands!$A$2:$FZ$601,419,Sync!$D$11)),0),"")</f>
        <v/>
      </c>
      <c r="C3870" s="23" t="str">
        <f aca="false">IF(B3870="","","brand")</f>
        <v/>
      </c>
      <c r="D3870" s="23" t="str">
        <f aca="false">IF(B3870="","",IFERROR(INDEX(Brand_Log!$DV$2:$DV$201,MATCH(IFERROR(INDEX(Clay_Brands!$A$2:$FZ$601,419,Sync!$D$5)&amp;"",""),Brand_Log!$A$2:$A$201,0))&amp;"",IFERROR(INDEX(Clay_Brands!$A$2:$FZ$601,419,Sync!$D$5)&amp;"","")&amp;""))</f>
        <v/>
      </c>
      <c r="E3870" s="23" t="str">
        <f aca="false">IF(B3870="","",IFERROR(INDEX(Clay_Brands!$A$2:$FZ$601,419,Sync!$D$6)&amp;"",""))</f>
        <v/>
      </c>
      <c r="F3870" s="23" t="str">
        <f aca="false">IF(B3870="","","outreach_sent")</f>
        <v/>
      </c>
      <c r="G3870" s="23" t="str">
        <f aca="false">IF(B3870="","","")</f>
        <v/>
      </c>
      <c r="H3870" s="23" t="str">
        <f aca="false">IF(B3870="","","")</f>
        <v/>
      </c>
      <c r="I3870" s="23" t="str">
        <f aca="false">IF(B3870="","","")</f>
        <v/>
      </c>
      <c r="J3870" s="23" t="str">
        <f aca="false">IF(B3870="","","touch_1; "&amp;IFERROR(INDEX(Clay_Brands!$A$2:$FZ$601,419,Sync!$D$10)&amp;"","")&amp;"; "&amp;IFERROR(INDEX(Clay_Brands!$A$2:$FZ$601,419,Sync!$D$9)&amp;"",""))</f>
        <v/>
      </c>
      <c r="K3870" s="32" t="s">
        <v>1366</v>
      </c>
    </row>
    <row r="3871" customFormat="false" ht="15" hidden="false" customHeight="false" outlineLevel="0" collapsed="false">
      <c r="A3871" s="23" t="str">
        <f aca="false">IF(B3871="","",B3871+(15*1000+420)/10000000)</f>
        <v/>
      </c>
      <c r="B3871" s="35" t="str">
        <f aca="false">IF(AND(IFERROR(N(INDEX(Clay_Brands!$A$2:$FZ$601,420,Sync!$D$11)),0)&gt;0,IFERROR(INDEX(Clay_Brands!$A$2:$FZ$601,420,Sync!$D$5)&amp;"","")&lt;&gt;"",OR(LEFT(IFERROR(INDEX(Clay_Brands!$A$2:$FZ$601,420,Sync!$D$5)&amp;"",""),6)&lt;&gt;"SAMPLE",Config!$B$19="Y")),IFERROR(N(INDEX(Clay_Brands!$A$2:$FZ$601,420,Sync!$D$11)),0),"")</f>
        <v/>
      </c>
      <c r="C3871" s="23" t="str">
        <f aca="false">IF(B3871="","","brand")</f>
        <v/>
      </c>
      <c r="D3871" s="23" t="str">
        <f aca="false">IF(B3871="","",IFERROR(INDEX(Brand_Log!$DV$2:$DV$201,MATCH(IFERROR(INDEX(Clay_Brands!$A$2:$FZ$601,420,Sync!$D$5)&amp;"",""),Brand_Log!$A$2:$A$201,0))&amp;"",IFERROR(INDEX(Clay_Brands!$A$2:$FZ$601,420,Sync!$D$5)&amp;"","")&amp;""))</f>
        <v/>
      </c>
      <c r="E3871" s="23" t="str">
        <f aca="false">IF(B3871="","",IFERROR(INDEX(Clay_Brands!$A$2:$FZ$601,420,Sync!$D$6)&amp;"",""))</f>
        <v/>
      </c>
      <c r="F3871" s="23" t="str">
        <f aca="false">IF(B3871="","","outreach_sent")</f>
        <v/>
      </c>
      <c r="G3871" s="23" t="str">
        <f aca="false">IF(B3871="","","")</f>
        <v/>
      </c>
      <c r="H3871" s="23" t="str">
        <f aca="false">IF(B3871="","","")</f>
        <v/>
      </c>
      <c r="I3871" s="23" t="str">
        <f aca="false">IF(B3871="","","")</f>
        <v/>
      </c>
      <c r="J3871" s="23" t="str">
        <f aca="false">IF(B3871="","","touch_1; "&amp;IFERROR(INDEX(Clay_Brands!$A$2:$FZ$601,420,Sync!$D$10)&amp;"","")&amp;"; "&amp;IFERROR(INDEX(Clay_Brands!$A$2:$FZ$601,420,Sync!$D$9)&amp;"",""))</f>
        <v/>
      </c>
      <c r="K3871" s="32" t="s">
        <v>1366</v>
      </c>
    </row>
    <row r="3872" customFormat="false" ht="15" hidden="false" customHeight="false" outlineLevel="0" collapsed="false">
      <c r="A3872" s="23" t="str">
        <f aca="false">IF(B3872="","",B3872+(15*1000+421)/10000000)</f>
        <v/>
      </c>
      <c r="B3872" s="35" t="str">
        <f aca="false">IF(AND(IFERROR(N(INDEX(Clay_Brands!$A$2:$FZ$601,421,Sync!$D$11)),0)&gt;0,IFERROR(INDEX(Clay_Brands!$A$2:$FZ$601,421,Sync!$D$5)&amp;"","")&lt;&gt;"",OR(LEFT(IFERROR(INDEX(Clay_Brands!$A$2:$FZ$601,421,Sync!$D$5)&amp;"",""),6)&lt;&gt;"SAMPLE",Config!$B$19="Y")),IFERROR(N(INDEX(Clay_Brands!$A$2:$FZ$601,421,Sync!$D$11)),0),"")</f>
        <v/>
      </c>
      <c r="C3872" s="23" t="str">
        <f aca="false">IF(B3872="","","brand")</f>
        <v/>
      </c>
      <c r="D3872" s="23" t="str">
        <f aca="false">IF(B3872="","",IFERROR(INDEX(Brand_Log!$DV$2:$DV$201,MATCH(IFERROR(INDEX(Clay_Brands!$A$2:$FZ$601,421,Sync!$D$5)&amp;"",""),Brand_Log!$A$2:$A$201,0))&amp;"",IFERROR(INDEX(Clay_Brands!$A$2:$FZ$601,421,Sync!$D$5)&amp;"","")&amp;""))</f>
        <v/>
      </c>
      <c r="E3872" s="23" t="str">
        <f aca="false">IF(B3872="","",IFERROR(INDEX(Clay_Brands!$A$2:$FZ$601,421,Sync!$D$6)&amp;"",""))</f>
        <v/>
      </c>
      <c r="F3872" s="23" t="str">
        <f aca="false">IF(B3872="","","outreach_sent")</f>
        <v/>
      </c>
      <c r="G3872" s="23" t="str">
        <f aca="false">IF(B3872="","","")</f>
        <v/>
      </c>
      <c r="H3872" s="23" t="str">
        <f aca="false">IF(B3872="","","")</f>
        <v/>
      </c>
      <c r="I3872" s="23" t="str">
        <f aca="false">IF(B3872="","","")</f>
        <v/>
      </c>
      <c r="J3872" s="23" t="str">
        <f aca="false">IF(B3872="","","touch_1; "&amp;IFERROR(INDEX(Clay_Brands!$A$2:$FZ$601,421,Sync!$D$10)&amp;"","")&amp;"; "&amp;IFERROR(INDEX(Clay_Brands!$A$2:$FZ$601,421,Sync!$D$9)&amp;"",""))</f>
        <v/>
      </c>
      <c r="K3872" s="32" t="s">
        <v>1366</v>
      </c>
    </row>
    <row r="3873" customFormat="false" ht="15" hidden="false" customHeight="false" outlineLevel="0" collapsed="false">
      <c r="A3873" s="23" t="str">
        <f aca="false">IF(B3873="","",B3873+(15*1000+422)/10000000)</f>
        <v/>
      </c>
      <c r="B3873" s="35" t="str">
        <f aca="false">IF(AND(IFERROR(N(INDEX(Clay_Brands!$A$2:$FZ$601,422,Sync!$D$11)),0)&gt;0,IFERROR(INDEX(Clay_Brands!$A$2:$FZ$601,422,Sync!$D$5)&amp;"","")&lt;&gt;"",OR(LEFT(IFERROR(INDEX(Clay_Brands!$A$2:$FZ$601,422,Sync!$D$5)&amp;"",""),6)&lt;&gt;"SAMPLE",Config!$B$19="Y")),IFERROR(N(INDEX(Clay_Brands!$A$2:$FZ$601,422,Sync!$D$11)),0),"")</f>
        <v/>
      </c>
      <c r="C3873" s="23" t="str">
        <f aca="false">IF(B3873="","","brand")</f>
        <v/>
      </c>
      <c r="D3873" s="23" t="str">
        <f aca="false">IF(B3873="","",IFERROR(INDEX(Brand_Log!$DV$2:$DV$201,MATCH(IFERROR(INDEX(Clay_Brands!$A$2:$FZ$601,422,Sync!$D$5)&amp;"",""),Brand_Log!$A$2:$A$201,0))&amp;"",IFERROR(INDEX(Clay_Brands!$A$2:$FZ$601,422,Sync!$D$5)&amp;"","")&amp;""))</f>
        <v/>
      </c>
      <c r="E3873" s="23" t="str">
        <f aca="false">IF(B3873="","",IFERROR(INDEX(Clay_Brands!$A$2:$FZ$601,422,Sync!$D$6)&amp;"",""))</f>
        <v/>
      </c>
      <c r="F3873" s="23" t="str">
        <f aca="false">IF(B3873="","","outreach_sent")</f>
        <v/>
      </c>
      <c r="G3873" s="23" t="str">
        <f aca="false">IF(B3873="","","")</f>
        <v/>
      </c>
      <c r="H3873" s="23" t="str">
        <f aca="false">IF(B3873="","","")</f>
        <v/>
      </c>
      <c r="I3873" s="23" t="str">
        <f aca="false">IF(B3873="","","")</f>
        <v/>
      </c>
      <c r="J3873" s="23" t="str">
        <f aca="false">IF(B3873="","","touch_1; "&amp;IFERROR(INDEX(Clay_Brands!$A$2:$FZ$601,422,Sync!$D$10)&amp;"","")&amp;"; "&amp;IFERROR(INDEX(Clay_Brands!$A$2:$FZ$601,422,Sync!$D$9)&amp;"",""))</f>
        <v/>
      </c>
      <c r="K3873" s="32" t="s">
        <v>1366</v>
      </c>
    </row>
    <row r="3874" customFormat="false" ht="15" hidden="false" customHeight="false" outlineLevel="0" collapsed="false">
      <c r="A3874" s="23" t="str">
        <f aca="false">IF(B3874="","",B3874+(15*1000+423)/10000000)</f>
        <v/>
      </c>
      <c r="B3874" s="35" t="str">
        <f aca="false">IF(AND(IFERROR(N(INDEX(Clay_Brands!$A$2:$FZ$601,423,Sync!$D$11)),0)&gt;0,IFERROR(INDEX(Clay_Brands!$A$2:$FZ$601,423,Sync!$D$5)&amp;"","")&lt;&gt;"",OR(LEFT(IFERROR(INDEX(Clay_Brands!$A$2:$FZ$601,423,Sync!$D$5)&amp;"",""),6)&lt;&gt;"SAMPLE",Config!$B$19="Y")),IFERROR(N(INDEX(Clay_Brands!$A$2:$FZ$601,423,Sync!$D$11)),0),"")</f>
        <v/>
      </c>
      <c r="C3874" s="23" t="str">
        <f aca="false">IF(B3874="","","brand")</f>
        <v/>
      </c>
      <c r="D3874" s="23" t="str">
        <f aca="false">IF(B3874="","",IFERROR(INDEX(Brand_Log!$DV$2:$DV$201,MATCH(IFERROR(INDEX(Clay_Brands!$A$2:$FZ$601,423,Sync!$D$5)&amp;"",""),Brand_Log!$A$2:$A$201,0))&amp;"",IFERROR(INDEX(Clay_Brands!$A$2:$FZ$601,423,Sync!$D$5)&amp;"","")&amp;""))</f>
        <v/>
      </c>
      <c r="E3874" s="23" t="str">
        <f aca="false">IF(B3874="","",IFERROR(INDEX(Clay_Brands!$A$2:$FZ$601,423,Sync!$D$6)&amp;"",""))</f>
        <v/>
      </c>
      <c r="F3874" s="23" t="str">
        <f aca="false">IF(B3874="","","outreach_sent")</f>
        <v/>
      </c>
      <c r="G3874" s="23" t="str">
        <f aca="false">IF(B3874="","","")</f>
        <v/>
      </c>
      <c r="H3874" s="23" t="str">
        <f aca="false">IF(B3874="","","")</f>
        <v/>
      </c>
      <c r="I3874" s="23" t="str">
        <f aca="false">IF(B3874="","","")</f>
        <v/>
      </c>
      <c r="J3874" s="23" t="str">
        <f aca="false">IF(B3874="","","touch_1; "&amp;IFERROR(INDEX(Clay_Brands!$A$2:$FZ$601,423,Sync!$D$10)&amp;"","")&amp;"; "&amp;IFERROR(INDEX(Clay_Brands!$A$2:$FZ$601,423,Sync!$D$9)&amp;"",""))</f>
        <v/>
      </c>
      <c r="K3874" s="32" t="s">
        <v>1366</v>
      </c>
    </row>
    <row r="3875" customFormat="false" ht="15" hidden="false" customHeight="false" outlineLevel="0" collapsed="false">
      <c r="A3875" s="23" t="str">
        <f aca="false">IF(B3875="","",B3875+(15*1000+424)/10000000)</f>
        <v/>
      </c>
      <c r="B3875" s="35" t="str">
        <f aca="false">IF(AND(IFERROR(N(INDEX(Clay_Brands!$A$2:$FZ$601,424,Sync!$D$11)),0)&gt;0,IFERROR(INDEX(Clay_Brands!$A$2:$FZ$601,424,Sync!$D$5)&amp;"","")&lt;&gt;"",OR(LEFT(IFERROR(INDEX(Clay_Brands!$A$2:$FZ$601,424,Sync!$D$5)&amp;"",""),6)&lt;&gt;"SAMPLE",Config!$B$19="Y")),IFERROR(N(INDEX(Clay_Brands!$A$2:$FZ$601,424,Sync!$D$11)),0),"")</f>
        <v/>
      </c>
      <c r="C3875" s="23" t="str">
        <f aca="false">IF(B3875="","","brand")</f>
        <v/>
      </c>
      <c r="D3875" s="23" t="str">
        <f aca="false">IF(B3875="","",IFERROR(INDEX(Brand_Log!$DV$2:$DV$201,MATCH(IFERROR(INDEX(Clay_Brands!$A$2:$FZ$601,424,Sync!$D$5)&amp;"",""),Brand_Log!$A$2:$A$201,0))&amp;"",IFERROR(INDEX(Clay_Brands!$A$2:$FZ$601,424,Sync!$D$5)&amp;"","")&amp;""))</f>
        <v/>
      </c>
      <c r="E3875" s="23" t="str">
        <f aca="false">IF(B3875="","",IFERROR(INDEX(Clay_Brands!$A$2:$FZ$601,424,Sync!$D$6)&amp;"",""))</f>
        <v/>
      </c>
      <c r="F3875" s="23" t="str">
        <f aca="false">IF(B3875="","","outreach_sent")</f>
        <v/>
      </c>
      <c r="G3875" s="23" t="str">
        <f aca="false">IF(B3875="","","")</f>
        <v/>
      </c>
      <c r="H3875" s="23" t="str">
        <f aca="false">IF(B3875="","","")</f>
        <v/>
      </c>
      <c r="I3875" s="23" t="str">
        <f aca="false">IF(B3875="","","")</f>
        <v/>
      </c>
      <c r="J3875" s="23" t="str">
        <f aca="false">IF(B3875="","","touch_1; "&amp;IFERROR(INDEX(Clay_Brands!$A$2:$FZ$601,424,Sync!$D$10)&amp;"","")&amp;"; "&amp;IFERROR(INDEX(Clay_Brands!$A$2:$FZ$601,424,Sync!$D$9)&amp;"",""))</f>
        <v/>
      </c>
      <c r="K3875" s="32" t="s">
        <v>1366</v>
      </c>
    </row>
    <row r="3876" customFormat="false" ht="15" hidden="false" customHeight="false" outlineLevel="0" collapsed="false">
      <c r="A3876" s="23" t="str">
        <f aca="false">IF(B3876="","",B3876+(15*1000+425)/10000000)</f>
        <v/>
      </c>
      <c r="B3876" s="35" t="str">
        <f aca="false">IF(AND(IFERROR(N(INDEX(Clay_Brands!$A$2:$FZ$601,425,Sync!$D$11)),0)&gt;0,IFERROR(INDEX(Clay_Brands!$A$2:$FZ$601,425,Sync!$D$5)&amp;"","")&lt;&gt;"",OR(LEFT(IFERROR(INDEX(Clay_Brands!$A$2:$FZ$601,425,Sync!$D$5)&amp;"",""),6)&lt;&gt;"SAMPLE",Config!$B$19="Y")),IFERROR(N(INDEX(Clay_Brands!$A$2:$FZ$601,425,Sync!$D$11)),0),"")</f>
        <v/>
      </c>
      <c r="C3876" s="23" t="str">
        <f aca="false">IF(B3876="","","brand")</f>
        <v/>
      </c>
      <c r="D3876" s="23" t="str">
        <f aca="false">IF(B3876="","",IFERROR(INDEX(Brand_Log!$DV$2:$DV$201,MATCH(IFERROR(INDEX(Clay_Brands!$A$2:$FZ$601,425,Sync!$D$5)&amp;"",""),Brand_Log!$A$2:$A$201,0))&amp;"",IFERROR(INDEX(Clay_Brands!$A$2:$FZ$601,425,Sync!$D$5)&amp;"","")&amp;""))</f>
        <v/>
      </c>
      <c r="E3876" s="23" t="str">
        <f aca="false">IF(B3876="","",IFERROR(INDEX(Clay_Brands!$A$2:$FZ$601,425,Sync!$D$6)&amp;"",""))</f>
        <v/>
      </c>
      <c r="F3876" s="23" t="str">
        <f aca="false">IF(B3876="","","outreach_sent")</f>
        <v/>
      </c>
      <c r="G3876" s="23" t="str">
        <f aca="false">IF(B3876="","","")</f>
        <v/>
      </c>
      <c r="H3876" s="23" t="str">
        <f aca="false">IF(B3876="","","")</f>
        <v/>
      </c>
      <c r="I3876" s="23" t="str">
        <f aca="false">IF(B3876="","","")</f>
        <v/>
      </c>
      <c r="J3876" s="23" t="str">
        <f aca="false">IF(B3876="","","touch_1; "&amp;IFERROR(INDEX(Clay_Brands!$A$2:$FZ$601,425,Sync!$D$10)&amp;"","")&amp;"; "&amp;IFERROR(INDEX(Clay_Brands!$A$2:$FZ$601,425,Sync!$D$9)&amp;"",""))</f>
        <v/>
      </c>
      <c r="K3876" s="32" t="s">
        <v>1366</v>
      </c>
    </row>
    <row r="3877" customFormat="false" ht="15" hidden="false" customHeight="false" outlineLevel="0" collapsed="false">
      <c r="A3877" s="23" t="str">
        <f aca="false">IF(B3877="","",B3877+(15*1000+426)/10000000)</f>
        <v/>
      </c>
      <c r="B3877" s="35" t="str">
        <f aca="false">IF(AND(IFERROR(N(INDEX(Clay_Brands!$A$2:$FZ$601,426,Sync!$D$11)),0)&gt;0,IFERROR(INDEX(Clay_Brands!$A$2:$FZ$601,426,Sync!$D$5)&amp;"","")&lt;&gt;"",OR(LEFT(IFERROR(INDEX(Clay_Brands!$A$2:$FZ$601,426,Sync!$D$5)&amp;"",""),6)&lt;&gt;"SAMPLE",Config!$B$19="Y")),IFERROR(N(INDEX(Clay_Brands!$A$2:$FZ$601,426,Sync!$D$11)),0),"")</f>
        <v/>
      </c>
      <c r="C3877" s="23" t="str">
        <f aca="false">IF(B3877="","","brand")</f>
        <v/>
      </c>
      <c r="D3877" s="23" t="str">
        <f aca="false">IF(B3877="","",IFERROR(INDEX(Brand_Log!$DV$2:$DV$201,MATCH(IFERROR(INDEX(Clay_Brands!$A$2:$FZ$601,426,Sync!$D$5)&amp;"",""),Brand_Log!$A$2:$A$201,0))&amp;"",IFERROR(INDEX(Clay_Brands!$A$2:$FZ$601,426,Sync!$D$5)&amp;"","")&amp;""))</f>
        <v/>
      </c>
      <c r="E3877" s="23" t="str">
        <f aca="false">IF(B3877="","",IFERROR(INDEX(Clay_Brands!$A$2:$FZ$601,426,Sync!$D$6)&amp;"",""))</f>
        <v/>
      </c>
      <c r="F3877" s="23" t="str">
        <f aca="false">IF(B3877="","","outreach_sent")</f>
        <v/>
      </c>
      <c r="G3877" s="23" t="str">
        <f aca="false">IF(B3877="","","")</f>
        <v/>
      </c>
      <c r="H3877" s="23" t="str">
        <f aca="false">IF(B3877="","","")</f>
        <v/>
      </c>
      <c r="I3877" s="23" t="str">
        <f aca="false">IF(B3877="","","")</f>
        <v/>
      </c>
      <c r="J3877" s="23" t="str">
        <f aca="false">IF(B3877="","","touch_1; "&amp;IFERROR(INDEX(Clay_Brands!$A$2:$FZ$601,426,Sync!$D$10)&amp;"","")&amp;"; "&amp;IFERROR(INDEX(Clay_Brands!$A$2:$FZ$601,426,Sync!$D$9)&amp;"",""))</f>
        <v/>
      </c>
      <c r="K3877" s="32" t="s">
        <v>1366</v>
      </c>
    </row>
    <row r="3878" customFormat="false" ht="15" hidden="false" customHeight="false" outlineLevel="0" collapsed="false">
      <c r="A3878" s="23" t="str">
        <f aca="false">IF(B3878="","",B3878+(15*1000+427)/10000000)</f>
        <v/>
      </c>
      <c r="B3878" s="35" t="str">
        <f aca="false">IF(AND(IFERROR(N(INDEX(Clay_Brands!$A$2:$FZ$601,427,Sync!$D$11)),0)&gt;0,IFERROR(INDEX(Clay_Brands!$A$2:$FZ$601,427,Sync!$D$5)&amp;"","")&lt;&gt;"",OR(LEFT(IFERROR(INDEX(Clay_Brands!$A$2:$FZ$601,427,Sync!$D$5)&amp;"",""),6)&lt;&gt;"SAMPLE",Config!$B$19="Y")),IFERROR(N(INDEX(Clay_Brands!$A$2:$FZ$601,427,Sync!$D$11)),0),"")</f>
        <v/>
      </c>
      <c r="C3878" s="23" t="str">
        <f aca="false">IF(B3878="","","brand")</f>
        <v/>
      </c>
      <c r="D3878" s="23" t="str">
        <f aca="false">IF(B3878="","",IFERROR(INDEX(Brand_Log!$DV$2:$DV$201,MATCH(IFERROR(INDEX(Clay_Brands!$A$2:$FZ$601,427,Sync!$D$5)&amp;"",""),Brand_Log!$A$2:$A$201,0))&amp;"",IFERROR(INDEX(Clay_Brands!$A$2:$FZ$601,427,Sync!$D$5)&amp;"","")&amp;""))</f>
        <v/>
      </c>
      <c r="E3878" s="23" t="str">
        <f aca="false">IF(B3878="","",IFERROR(INDEX(Clay_Brands!$A$2:$FZ$601,427,Sync!$D$6)&amp;"",""))</f>
        <v/>
      </c>
      <c r="F3878" s="23" t="str">
        <f aca="false">IF(B3878="","","outreach_sent")</f>
        <v/>
      </c>
      <c r="G3878" s="23" t="str">
        <f aca="false">IF(B3878="","","")</f>
        <v/>
      </c>
      <c r="H3878" s="23" t="str">
        <f aca="false">IF(B3878="","","")</f>
        <v/>
      </c>
      <c r="I3878" s="23" t="str">
        <f aca="false">IF(B3878="","","")</f>
        <v/>
      </c>
      <c r="J3878" s="23" t="str">
        <f aca="false">IF(B3878="","","touch_1; "&amp;IFERROR(INDEX(Clay_Brands!$A$2:$FZ$601,427,Sync!$D$10)&amp;"","")&amp;"; "&amp;IFERROR(INDEX(Clay_Brands!$A$2:$FZ$601,427,Sync!$D$9)&amp;"",""))</f>
        <v/>
      </c>
      <c r="K3878" s="32" t="s">
        <v>1366</v>
      </c>
    </row>
    <row r="3879" customFormat="false" ht="15" hidden="false" customHeight="false" outlineLevel="0" collapsed="false">
      <c r="A3879" s="23" t="str">
        <f aca="false">IF(B3879="","",B3879+(15*1000+428)/10000000)</f>
        <v/>
      </c>
      <c r="B3879" s="35" t="str">
        <f aca="false">IF(AND(IFERROR(N(INDEX(Clay_Brands!$A$2:$FZ$601,428,Sync!$D$11)),0)&gt;0,IFERROR(INDEX(Clay_Brands!$A$2:$FZ$601,428,Sync!$D$5)&amp;"","")&lt;&gt;"",OR(LEFT(IFERROR(INDEX(Clay_Brands!$A$2:$FZ$601,428,Sync!$D$5)&amp;"",""),6)&lt;&gt;"SAMPLE",Config!$B$19="Y")),IFERROR(N(INDEX(Clay_Brands!$A$2:$FZ$601,428,Sync!$D$11)),0),"")</f>
        <v/>
      </c>
      <c r="C3879" s="23" t="str">
        <f aca="false">IF(B3879="","","brand")</f>
        <v/>
      </c>
      <c r="D3879" s="23" t="str">
        <f aca="false">IF(B3879="","",IFERROR(INDEX(Brand_Log!$DV$2:$DV$201,MATCH(IFERROR(INDEX(Clay_Brands!$A$2:$FZ$601,428,Sync!$D$5)&amp;"",""),Brand_Log!$A$2:$A$201,0))&amp;"",IFERROR(INDEX(Clay_Brands!$A$2:$FZ$601,428,Sync!$D$5)&amp;"","")&amp;""))</f>
        <v/>
      </c>
      <c r="E3879" s="23" t="str">
        <f aca="false">IF(B3879="","",IFERROR(INDEX(Clay_Brands!$A$2:$FZ$601,428,Sync!$D$6)&amp;"",""))</f>
        <v/>
      </c>
      <c r="F3879" s="23" t="str">
        <f aca="false">IF(B3879="","","outreach_sent")</f>
        <v/>
      </c>
      <c r="G3879" s="23" t="str">
        <f aca="false">IF(B3879="","","")</f>
        <v/>
      </c>
      <c r="H3879" s="23" t="str">
        <f aca="false">IF(B3879="","","")</f>
        <v/>
      </c>
      <c r="I3879" s="23" t="str">
        <f aca="false">IF(B3879="","","")</f>
        <v/>
      </c>
      <c r="J3879" s="23" t="str">
        <f aca="false">IF(B3879="","","touch_1; "&amp;IFERROR(INDEX(Clay_Brands!$A$2:$FZ$601,428,Sync!$D$10)&amp;"","")&amp;"; "&amp;IFERROR(INDEX(Clay_Brands!$A$2:$FZ$601,428,Sync!$D$9)&amp;"",""))</f>
        <v/>
      </c>
      <c r="K3879" s="32" t="s">
        <v>1366</v>
      </c>
    </row>
    <row r="3880" customFormat="false" ht="15" hidden="false" customHeight="false" outlineLevel="0" collapsed="false">
      <c r="A3880" s="23" t="str">
        <f aca="false">IF(B3880="","",B3880+(15*1000+429)/10000000)</f>
        <v/>
      </c>
      <c r="B3880" s="35" t="str">
        <f aca="false">IF(AND(IFERROR(N(INDEX(Clay_Brands!$A$2:$FZ$601,429,Sync!$D$11)),0)&gt;0,IFERROR(INDEX(Clay_Brands!$A$2:$FZ$601,429,Sync!$D$5)&amp;"","")&lt;&gt;"",OR(LEFT(IFERROR(INDEX(Clay_Brands!$A$2:$FZ$601,429,Sync!$D$5)&amp;"",""),6)&lt;&gt;"SAMPLE",Config!$B$19="Y")),IFERROR(N(INDEX(Clay_Brands!$A$2:$FZ$601,429,Sync!$D$11)),0),"")</f>
        <v/>
      </c>
      <c r="C3880" s="23" t="str">
        <f aca="false">IF(B3880="","","brand")</f>
        <v/>
      </c>
      <c r="D3880" s="23" t="str">
        <f aca="false">IF(B3880="","",IFERROR(INDEX(Brand_Log!$DV$2:$DV$201,MATCH(IFERROR(INDEX(Clay_Brands!$A$2:$FZ$601,429,Sync!$D$5)&amp;"",""),Brand_Log!$A$2:$A$201,0))&amp;"",IFERROR(INDEX(Clay_Brands!$A$2:$FZ$601,429,Sync!$D$5)&amp;"","")&amp;""))</f>
        <v/>
      </c>
      <c r="E3880" s="23" t="str">
        <f aca="false">IF(B3880="","",IFERROR(INDEX(Clay_Brands!$A$2:$FZ$601,429,Sync!$D$6)&amp;"",""))</f>
        <v/>
      </c>
      <c r="F3880" s="23" t="str">
        <f aca="false">IF(B3880="","","outreach_sent")</f>
        <v/>
      </c>
      <c r="G3880" s="23" t="str">
        <f aca="false">IF(B3880="","","")</f>
        <v/>
      </c>
      <c r="H3880" s="23" t="str">
        <f aca="false">IF(B3880="","","")</f>
        <v/>
      </c>
      <c r="I3880" s="23" t="str">
        <f aca="false">IF(B3880="","","")</f>
        <v/>
      </c>
      <c r="J3880" s="23" t="str">
        <f aca="false">IF(B3880="","","touch_1; "&amp;IFERROR(INDEX(Clay_Brands!$A$2:$FZ$601,429,Sync!$D$10)&amp;"","")&amp;"; "&amp;IFERROR(INDEX(Clay_Brands!$A$2:$FZ$601,429,Sync!$D$9)&amp;"",""))</f>
        <v/>
      </c>
      <c r="K3880" s="32" t="s">
        <v>1366</v>
      </c>
    </row>
    <row r="3881" customFormat="false" ht="15" hidden="false" customHeight="false" outlineLevel="0" collapsed="false">
      <c r="A3881" s="23" t="str">
        <f aca="false">IF(B3881="","",B3881+(15*1000+430)/10000000)</f>
        <v/>
      </c>
      <c r="B3881" s="35" t="str">
        <f aca="false">IF(AND(IFERROR(N(INDEX(Clay_Brands!$A$2:$FZ$601,430,Sync!$D$11)),0)&gt;0,IFERROR(INDEX(Clay_Brands!$A$2:$FZ$601,430,Sync!$D$5)&amp;"","")&lt;&gt;"",OR(LEFT(IFERROR(INDEX(Clay_Brands!$A$2:$FZ$601,430,Sync!$D$5)&amp;"",""),6)&lt;&gt;"SAMPLE",Config!$B$19="Y")),IFERROR(N(INDEX(Clay_Brands!$A$2:$FZ$601,430,Sync!$D$11)),0),"")</f>
        <v/>
      </c>
      <c r="C3881" s="23" t="str">
        <f aca="false">IF(B3881="","","brand")</f>
        <v/>
      </c>
      <c r="D3881" s="23" t="str">
        <f aca="false">IF(B3881="","",IFERROR(INDEX(Brand_Log!$DV$2:$DV$201,MATCH(IFERROR(INDEX(Clay_Brands!$A$2:$FZ$601,430,Sync!$D$5)&amp;"",""),Brand_Log!$A$2:$A$201,0))&amp;"",IFERROR(INDEX(Clay_Brands!$A$2:$FZ$601,430,Sync!$D$5)&amp;"","")&amp;""))</f>
        <v/>
      </c>
      <c r="E3881" s="23" t="str">
        <f aca="false">IF(B3881="","",IFERROR(INDEX(Clay_Brands!$A$2:$FZ$601,430,Sync!$D$6)&amp;"",""))</f>
        <v/>
      </c>
      <c r="F3881" s="23" t="str">
        <f aca="false">IF(B3881="","","outreach_sent")</f>
        <v/>
      </c>
      <c r="G3881" s="23" t="str">
        <f aca="false">IF(B3881="","","")</f>
        <v/>
      </c>
      <c r="H3881" s="23" t="str">
        <f aca="false">IF(B3881="","","")</f>
        <v/>
      </c>
      <c r="I3881" s="23" t="str">
        <f aca="false">IF(B3881="","","")</f>
        <v/>
      </c>
      <c r="J3881" s="23" t="str">
        <f aca="false">IF(B3881="","","touch_1; "&amp;IFERROR(INDEX(Clay_Brands!$A$2:$FZ$601,430,Sync!$D$10)&amp;"","")&amp;"; "&amp;IFERROR(INDEX(Clay_Brands!$A$2:$FZ$601,430,Sync!$D$9)&amp;"",""))</f>
        <v/>
      </c>
      <c r="K3881" s="32" t="s">
        <v>1366</v>
      </c>
    </row>
    <row r="3882" customFormat="false" ht="15" hidden="false" customHeight="false" outlineLevel="0" collapsed="false">
      <c r="A3882" s="23" t="str">
        <f aca="false">IF(B3882="","",B3882+(15*1000+431)/10000000)</f>
        <v/>
      </c>
      <c r="B3882" s="35" t="str">
        <f aca="false">IF(AND(IFERROR(N(INDEX(Clay_Brands!$A$2:$FZ$601,431,Sync!$D$11)),0)&gt;0,IFERROR(INDEX(Clay_Brands!$A$2:$FZ$601,431,Sync!$D$5)&amp;"","")&lt;&gt;"",OR(LEFT(IFERROR(INDEX(Clay_Brands!$A$2:$FZ$601,431,Sync!$D$5)&amp;"",""),6)&lt;&gt;"SAMPLE",Config!$B$19="Y")),IFERROR(N(INDEX(Clay_Brands!$A$2:$FZ$601,431,Sync!$D$11)),0),"")</f>
        <v/>
      </c>
      <c r="C3882" s="23" t="str">
        <f aca="false">IF(B3882="","","brand")</f>
        <v/>
      </c>
      <c r="D3882" s="23" t="str">
        <f aca="false">IF(B3882="","",IFERROR(INDEX(Brand_Log!$DV$2:$DV$201,MATCH(IFERROR(INDEX(Clay_Brands!$A$2:$FZ$601,431,Sync!$D$5)&amp;"",""),Brand_Log!$A$2:$A$201,0))&amp;"",IFERROR(INDEX(Clay_Brands!$A$2:$FZ$601,431,Sync!$D$5)&amp;"","")&amp;""))</f>
        <v/>
      </c>
      <c r="E3882" s="23" t="str">
        <f aca="false">IF(B3882="","",IFERROR(INDEX(Clay_Brands!$A$2:$FZ$601,431,Sync!$D$6)&amp;"",""))</f>
        <v/>
      </c>
      <c r="F3882" s="23" t="str">
        <f aca="false">IF(B3882="","","outreach_sent")</f>
        <v/>
      </c>
      <c r="G3882" s="23" t="str">
        <f aca="false">IF(B3882="","","")</f>
        <v/>
      </c>
      <c r="H3882" s="23" t="str">
        <f aca="false">IF(B3882="","","")</f>
        <v/>
      </c>
      <c r="I3882" s="23" t="str">
        <f aca="false">IF(B3882="","","")</f>
        <v/>
      </c>
      <c r="J3882" s="23" t="str">
        <f aca="false">IF(B3882="","","touch_1; "&amp;IFERROR(INDEX(Clay_Brands!$A$2:$FZ$601,431,Sync!$D$10)&amp;"","")&amp;"; "&amp;IFERROR(INDEX(Clay_Brands!$A$2:$FZ$601,431,Sync!$D$9)&amp;"",""))</f>
        <v/>
      </c>
      <c r="K3882" s="32" t="s">
        <v>1366</v>
      </c>
    </row>
    <row r="3883" customFormat="false" ht="15" hidden="false" customHeight="false" outlineLevel="0" collapsed="false">
      <c r="A3883" s="23" t="str">
        <f aca="false">IF(B3883="","",B3883+(15*1000+432)/10000000)</f>
        <v/>
      </c>
      <c r="B3883" s="35" t="str">
        <f aca="false">IF(AND(IFERROR(N(INDEX(Clay_Brands!$A$2:$FZ$601,432,Sync!$D$11)),0)&gt;0,IFERROR(INDEX(Clay_Brands!$A$2:$FZ$601,432,Sync!$D$5)&amp;"","")&lt;&gt;"",OR(LEFT(IFERROR(INDEX(Clay_Brands!$A$2:$FZ$601,432,Sync!$D$5)&amp;"",""),6)&lt;&gt;"SAMPLE",Config!$B$19="Y")),IFERROR(N(INDEX(Clay_Brands!$A$2:$FZ$601,432,Sync!$D$11)),0),"")</f>
        <v/>
      </c>
      <c r="C3883" s="23" t="str">
        <f aca="false">IF(B3883="","","brand")</f>
        <v/>
      </c>
      <c r="D3883" s="23" t="str">
        <f aca="false">IF(B3883="","",IFERROR(INDEX(Brand_Log!$DV$2:$DV$201,MATCH(IFERROR(INDEX(Clay_Brands!$A$2:$FZ$601,432,Sync!$D$5)&amp;"",""),Brand_Log!$A$2:$A$201,0))&amp;"",IFERROR(INDEX(Clay_Brands!$A$2:$FZ$601,432,Sync!$D$5)&amp;"","")&amp;""))</f>
        <v/>
      </c>
      <c r="E3883" s="23" t="str">
        <f aca="false">IF(B3883="","",IFERROR(INDEX(Clay_Brands!$A$2:$FZ$601,432,Sync!$D$6)&amp;"",""))</f>
        <v/>
      </c>
      <c r="F3883" s="23" t="str">
        <f aca="false">IF(B3883="","","outreach_sent")</f>
        <v/>
      </c>
      <c r="G3883" s="23" t="str">
        <f aca="false">IF(B3883="","","")</f>
        <v/>
      </c>
      <c r="H3883" s="23" t="str">
        <f aca="false">IF(B3883="","","")</f>
        <v/>
      </c>
      <c r="I3883" s="23" t="str">
        <f aca="false">IF(B3883="","","")</f>
        <v/>
      </c>
      <c r="J3883" s="23" t="str">
        <f aca="false">IF(B3883="","","touch_1; "&amp;IFERROR(INDEX(Clay_Brands!$A$2:$FZ$601,432,Sync!$D$10)&amp;"","")&amp;"; "&amp;IFERROR(INDEX(Clay_Brands!$A$2:$FZ$601,432,Sync!$D$9)&amp;"",""))</f>
        <v/>
      </c>
      <c r="K3883" s="32" t="s">
        <v>1366</v>
      </c>
    </row>
    <row r="3884" customFormat="false" ht="15" hidden="false" customHeight="false" outlineLevel="0" collapsed="false">
      <c r="A3884" s="23" t="str">
        <f aca="false">IF(B3884="","",B3884+(15*1000+433)/10000000)</f>
        <v/>
      </c>
      <c r="B3884" s="35" t="str">
        <f aca="false">IF(AND(IFERROR(N(INDEX(Clay_Brands!$A$2:$FZ$601,433,Sync!$D$11)),0)&gt;0,IFERROR(INDEX(Clay_Brands!$A$2:$FZ$601,433,Sync!$D$5)&amp;"","")&lt;&gt;"",OR(LEFT(IFERROR(INDEX(Clay_Brands!$A$2:$FZ$601,433,Sync!$D$5)&amp;"",""),6)&lt;&gt;"SAMPLE",Config!$B$19="Y")),IFERROR(N(INDEX(Clay_Brands!$A$2:$FZ$601,433,Sync!$D$11)),0),"")</f>
        <v/>
      </c>
      <c r="C3884" s="23" t="str">
        <f aca="false">IF(B3884="","","brand")</f>
        <v/>
      </c>
      <c r="D3884" s="23" t="str">
        <f aca="false">IF(B3884="","",IFERROR(INDEX(Brand_Log!$DV$2:$DV$201,MATCH(IFERROR(INDEX(Clay_Brands!$A$2:$FZ$601,433,Sync!$D$5)&amp;"",""),Brand_Log!$A$2:$A$201,0))&amp;"",IFERROR(INDEX(Clay_Brands!$A$2:$FZ$601,433,Sync!$D$5)&amp;"","")&amp;""))</f>
        <v/>
      </c>
      <c r="E3884" s="23" t="str">
        <f aca="false">IF(B3884="","",IFERROR(INDEX(Clay_Brands!$A$2:$FZ$601,433,Sync!$D$6)&amp;"",""))</f>
        <v/>
      </c>
      <c r="F3884" s="23" t="str">
        <f aca="false">IF(B3884="","","outreach_sent")</f>
        <v/>
      </c>
      <c r="G3884" s="23" t="str">
        <f aca="false">IF(B3884="","","")</f>
        <v/>
      </c>
      <c r="H3884" s="23" t="str">
        <f aca="false">IF(B3884="","","")</f>
        <v/>
      </c>
      <c r="I3884" s="23" t="str">
        <f aca="false">IF(B3884="","","")</f>
        <v/>
      </c>
      <c r="J3884" s="23" t="str">
        <f aca="false">IF(B3884="","","touch_1; "&amp;IFERROR(INDEX(Clay_Brands!$A$2:$FZ$601,433,Sync!$D$10)&amp;"","")&amp;"; "&amp;IFERROR(INDEX(Clay_Brands!$A$2:$FZ$601,433,Sync!$D$9)&amp;"",""))</f>
        <v/>
      </c>
      <c r="K3884" s="32" t="s">
        <v>1366</v>
      </c>
    </row>
    <row r="3885" customFormat="false" ht="15" hidden="false" customHeight="false" outlineLevel="0" collapsed="false">
      <c r="A3885" s="23" t="str">
        <f aca="false">IF(B3885="","",B3885+(15*1000+434)/10000000)</f>
        <v/>
      </c>
      <c r="B3885" s="35" t="str">
        <f aca="false">IF(AND(IFERROR(N(INDEX(Clay_Brands!$A$2:$FZ$601,434,Sync!$D$11)),0)&gt;0,IFERROR(INDEX(Clay_Brands!$A$2:$FZ$601,434,Sync!$D$5)&amp;"","")&lt;&gt;"",OR(LEFT(IFERROR(INDEX(Clay_Brands!$A$2:$FZ$601,434,Sync!$D$5)&amp;"",""),6)&lt;&gt;"SAMPLE",Config!$B$19="Y")),IFERROR(N(INDEX(Clay_Brands!$A$2:$FZ$601,434,Sync!$D$11)),0),"")</f>
        <v/>
      </c>
      <c r="C3885" s="23" t="str">
        <f aca="false">IF(B3885="","","brand")</f>
        <v/>
      </c>
      <c r="D3885" s="23" t="str">
        <f aca="false">IF(B3885="","",IFERROR(INDEX(Brand_Log!$DV$2:$DV$201,MATCH(IFERROR(INDEX(Clay_Brands!$A$2:$FZ$601,434,Sync!$D$5)&amp;"",""),Brand_Log!$A$2:$A$201,0))&amp;"",IFERROR(INDEX(Clay_Brands!$A$2:$FZ$601,434,Sync!$D$5)&amp;"","")&amp;""))</f>
        <v/>
      </c>
      <c r="E3885" s="23" t="str">
        <f aca="false">IF(B3885="","",IFERROR(INDEX(Clay_Brands!$A$2:$FZ$601,434,Sync!$D$6)&amp;"",""))</f>
        <v/>
      </c>
      <c r="F3885" s="23" t="str">
        <f aca="false">IF(B3885="","","outreach_sent")</f>
        <v/>
      </c>
      <c r="G3885" s="23" t="str">
        <f aca="false">IF(B3885="","","")</f>
        <v/>
      </c>
      <c r="H3885" s="23" t="str">
        <f aca="false">IF(B3885="","","")</f>
        <v/>
      </c>
      <c r="I3885" s="23" t="str">
        <f aca="false">IF(B3885="","","")</f>
        <v/>
      </c>
      <c r="J3885" s="23" t="str">
        <f aca="false">IF(B3885="","","touch_1; "&amp;IFERROR(INDEX(Clay_Brands!$A$2:$FZ$601,434,Sync!$D$10)&amp;"","")&amp;"; "&amp;IFERROR(INDEX(Clay_Brands!$A$2:$FZ$601,434,Sync!$D$9)&amp;"",""))</f>
        <v/>
      </c>
      <c r="K3885" s="32" t="s">
        <v>1366</v>
      </c>
    </row>
    <row r="3886" customFormat="false" ht="15" hidden="false" customHeight="false" outlineLevel="0" collapsed="false">
      <c r="A3886" s="23" t="str">
        <f aca="false">IF(B3886="","",B3886+(15*1000+435)/10000000)</f>
        <v/>
      </c>
      <c r="B3886" s="35" t="str">
        <f aca="false">IF(AND(IFERROR(N(INDEX(Clay_Brands!$A$2:$FZ$601,435,Sync!$D$11)),0)&gt;0,IFERROR(INDEX(Clay_Brands!$A$2:$FZ$601,435,Sync!$D$5)&amp;"","")&lt;&gt;"",OR(LEFT(IFERROR(INDEX(Clay_Brands!$A$2:$FZ$601,435,Sync!$D$5)&amp;"",""),6)&lt;&gt;"SAMPLE",Config!$B$19="Y")),IFERROR(N(INDEX(Clay_Brands!$A$2:$FZ$601,435,Sync!$D$11)),0),"")</f>
        <v/>
      </c>
      <c r="C3886" s="23" t="str">
        <f aca="false">IF(B3886="","","brand")</f>
        <v/>
      </c>
      <c r="D3886" s="23" t="str">
        <f aca="false">IF(B3886="","",IFERROR(INDEX(Brand_Log!$DV$2:$DV$201,MATCH(IFERROR(INDEX(Clay_Brands!$A$2:$FZ$601,435,Sync!$D$5)&amp;"",""),Brand_Log!$A$2:$A$201,0))&amp;"",IFERROR(INDEX(Clay_Brands!$A$2:$FZ$601,435,Sync!$D$5)&amp;"","")&amp;""))</f>
        <v/>
      </c>
      <c r="E3886" s="23" t="str">
        <f aca="false">IF(B3886="","",IFERROR(INDEX(Clay_Brands!$A$2:$FZ$601,435,Sync!$D$6)&amp;"",""))</f>
        <v/>
      </c>
      <c r="F3886" s="23" t="str">
        <f aca="false">IF(B3886="","","outreach_sent")</f>
        <v/>
      </c>
      <c r="G3886" s="23" t="str">
        <f aca="false">IF(B3886="","","")</f>
        <v/>
      </c>
      <c r="H3886" s="23" t="str">
        <f aca="false">IF(B3886="","","")</f>
        <v/>
      </c>
      <c r="I3886" s="23" t="str">
        <f aca="false">IF(B3886="","","")</f>
        <v/>
      </c>
      <c r="J3886" s="23" t="str">
        <f aca="false">IF(B3886="","","touch_1; "&amp;IFERROR(INDEX(Clay_Brands!$A$2:$FZ$601,435,Sync!$D$10)&amp;"","")&amp;"; "&amp;IFERROR(INDEX(Clay_Brands!$A$2:$FZ$601,435,Sync!$D$9)&amp;"",""))</f>
        <v/>
      </c>
      <c r="K3886" s="32" t="s">
        <v>1366</v>
      </c>
    </row>
    <row r="3887" customFormat="false" ht="15" hidden="false" customHeight="false" outlineLevel="0" collapsed="false">
      <c r="A3887" s="23" t="str">
        <f aca="false">IF(B3887="","",B3887+(15*1000+436)/10000000)</f>
        <v/>
      </c>
      <c r="B3887" s="35" t="str">
        <f aca="false">IF(AND(IFERROR(N(INDEX(Clay_Brands!$A$2:$FZ$601,436,Sync!$D$11)),0)&gt;0,IFERROR(INDEX(Clay_Brands!$A$2:$FZ$601,436,Sync!$D$5)&amp;"","")&lt;&gt;"",OR(LEFT(IFERROR(INDEX(Clay_Brands!$A$2:$FZ$601,436,Sync!$D$5)&amp;"",""),6)&lt;&gt;"SAMPLE",Config!$B$19="Y")),IFERROR(N(INDEX(Clay_Brands!$A$2:$FZ$601,436,Sync!$D$11)),0),"")</f>
        <v/>
      </c>
      <c r="C3887" s="23" t="str">
        <f aca="false">IF(B3887="","","brand")</f>
        <v/>
      </c>
      <c r="D3887" s="23" t="str">
        <f aca="false">IF(B3887="","",IFERROR(INDEX(Brand_Log!$DV$2:$DV$201,MATCH(IFERROR(INDEX(Clay_Brands!$A$2:$FZ$601,436,Sync!$D$5)&amp;"",""),Brand_Log!$A$2:$A$201,0))&amp;"",IFERROR(INDEX(Clay_Brands!$A$2:$FZ$601,436,Sync!$D$5)&amp;"","")&amp;""))</f>
        <v/>
      </c>
      <c r="E3887" s="23" t="str">
        <f aca="false">IF(B3887="","",IFERROR(INDEX(Clay_Brands!$A$2:$FZ$601,436,Sync!$D$6)&amp;"",""))</f>
        <v/>
      </c>
      <c r="F3887" s="23" t="str">
        <f aca="false">IF(B3887="","","outreach_sent")</f>
        <v/>
      </c>
      <c r="G3887" s="23" t="str">
        <f aca="false">IF(B3887="","","")</f>
        <v/>
      </c>
      <c r="H3887" s="23" t="str">
        <f aca="false">IF(B3887="","","")</f>
        <v/>
      </c>
      <c r="I3887" s="23" t="str">
        <f aca="false">IF(B3887="","","")</f>
        <v/>
      </c>
      <c r="J3887" s="23" t="str">
        <f aca="false">IF(B3887="","","touch_1; "&amp;IFERROR(INDEX(Clay_Brands!$A$2:$FZ$601,436,Sync!$D$10)&amp;"","")&amp;"; "&amp;IFERROR(INDEX(Clay_Brands!$A$2:$FZ$601,436,Sync!$D$9)&amp;"",""))</f>
        <v/>
      </c>
      <c r="K3887" s="32" t="s">
        <v>1366</v>
      </c>
    </row>
    <row r="3888" customFormat="false" ht="15" hidden="false" customHeight="false" outlineLevel="0" collapsed="false">
      <c r="A3888" s="23" t="str">
        <f aca="false">IF(B3888="","",B3888+(15*1000+437)/10000000)</f>
        <v/>
      </c>
      <c r="B3888" s="35" t="str">
        <f aca="false">IF(AND(IFERROR(N(INDEX(Clay_Brands!$A$2:$FZ$601,437,Sync!$D$11)),0)&gt;0,IFERROR(INDEX(Clay_Brands!$A$2:$FZ$601,437,Sync!$D$5)&amp;"","")&lt;&gt;"",OR(LEFT(IFERROR(INDEX(Clay_Brands!$A$2:$FZ$601,437,Sync!$D$5)&amp;"",""),6)&lt;&gt;"SAMPLE",Config!$B$19="Y")),IFERROR(N(INDEX(Clay_Brands!$A$2:$FZ$601,437,Sync!$D$11)),0),"")</f>
        <v/>
      </c>
      <c r="C3888" s="23" t="str">
        <f aca="false">IF(B3888="","","brand")</f>
        <v/>
      </c>
      <c r="D3888" s="23" t="str">
        <f aca="false">IF(B3888="","",IFERROR(INDEX(Brand_Log!$DV$2:$DV$201,MATCH(IFERROR(INDEX(Clay_Brands!$A$2:$FZ$601,437,Sync!$D$5)&amp;"",""),Brand_Log!$A$2:$A$201,0))&amp;"",IFERROR(INDEX(Clay_Brands!$A$2:$FZ$601,437,Sync!$D$5)&amp;"","")&amp;""))</f>
        <v/>
      </c>
      <c r="E3888" s="23" t="str">
        <f aca="false">IF(B3888="","",IFERROR(INDEX(Clay_Brands!$A$2:$FZ$601,437,Sync!$D$6)&amp;"",""))</f>
        <v/>
      </c>
      <c r="F3888" s="23" t="str">
        <f aca="false">IF(B3888="","","outreach_sent")</f>
        <v/>
      </c>
      <c r="G3888" s="23" t="str">
        <f aca="false">IF(B3888="","","")</f>
        <v/>
      </c>
      <c r="H3888" s="23" t="str">
        <f aca="false">IF(B3888="","","")</f>
        <v/>
      </c>
      <c r="I3888" s="23" t="str">
        <f aca="false">IF(B3888="","","")</f>
        <v/>
      </c>
      <c r="J3888" s="23" t="str">
        <f aca="false">IF(B3888="","","touch_1; "&amp;IFERROR(INDEX(Clay_Brands!$A$2:$FZ$601,437,Sync!$D$10)&amp;"","")&amp;"; "&amp;IFERROR(INDEX(Clay_Brands!$A$2:$FZ$601,437,Sync!$D$9)&amp;"",""))</f>
        <v/>
      </c>
      <c r="K3888" s="32" t="s">
        <v>1366</v>
      </c>
    </row>
    <row r="3889" customFormat="false" ht="15" hidden="false" customHeight="false" outlineLevel="0" collapsed="false">
      <c r="A3889" s="23" t="str">
        <f aca="false">IF(B3889="","",B3889+(15*1000+438)/10000000)</f>
        <v/>
      </c>
      <c r="B3889" s="35" t="str">
        <f aca="false">IF(AND(IFERROR(N(INDEX(Clay_Brands!$A$2:$FZ$601,438,Sync!$D$11)),0)&gt;0,IFERROR(INDEX(Clay_Brands!$A$2:$FZ$601,438,Sync!$D$5)&amp;"","")&lt;&gt;"",OR(LEFT(IFERROR(INDEX(Clay_Brands!$A$2:$FZ$601,438,Sync!$D$5)&amp;"",""),6)&lt;&gt;"SAMPLE",Config!$B$19="Y")),IFERROR(N(INDEX(Clay_Brands!$A$2:$FZ$601,438,Sync!$D$11)),0),"")</f>
        <v/>
      </c>
      <c r="C3889" s="23" t="str">
        <f aca="false">IF(B3889="","","brand")</f>
        <v/>
      </c>
      <c r="D3889" s="23" t="str">
        <f aca="false">IF(B3889="","",IFERROR(INDEX(Brand_Log!$DV$2:$DV$201,MATCH(IFERROR(INDEX(Clay_Brands!$A$2:$FZ$601,438,Sync!$D$5)&amp;"",""),Brand_Log!$A$2:$A$201,0))&amp;"",IFERROR(INDEX(Clay_Brands!$A$2:$FZ$601,438,Sync!$D$5)&amp;"","")&amp;""))</f>
        <v/>
      </c>
      <c r="E3889" s="23" t="str">
        <f aca="false">IF(B3889="","",IFERROR(INDEX(Clay_Brands!$A$2:$FZ$601,438,Sync!$D$6)&amp;"",""))</f>
        <v/>
      </c>
      <c r="F3889" s="23" t="str">
        <f aca="false">IF(B3889="","","outreach_sent")</f>
        <v/>
      </c>
      <c r="G3889" s="23" t="str">
        <f aca="false">IF(B3889="","","")</f>
        <v/>
      </c>
      <c r="H3889" s="23" t="str">
        <f aca="false">IF(B3889="","","")</f>
        <v/>
      </c>
      <c r="I3889" s="23" t="str">
        <f aca="false">IF(B3889="","","")</f>
        <v/>
      </c>
      <c r="J3889" s="23" t="str">
        <f aca="false">IF(B3889="","","touch_1; "&amp;IFERROR(INDEX(Clay_Brands!$A$2:$FZ$601,438,Sync!$D$10)&amp;"","")&amp;"; "&amp;IFERROR(INDEX(Clay_Brands!$A$2:$FZ$601,438,Sync!$D$9)&amp;"",""))</f>
        <v/>
      </c>
      <c r="K3889" s="32" t="s">
        <v>1366</v>
      </c>
    </row>
    <row r="3890" customFormat="false" ht="15" hidden="false" customHeight="false" outlineLevel="0" collapsed="false">
      <c r="A3890" s="23" t="str">
        <f aca="false">IF(B3890="","",B3890+(15*1000+439)/10000000)</f>
        <v/>
      </c>
      <c r="B3890" s="35" t="str">
        <f aca="false">IF(AND(IFERROR(N(INDEX(Clay_Brands!$A$2:$FZ$601,439,Sync!$D$11)),0)&gt;0,IFERROR(INDEX(Clay_Brands!$A$2:$FZ$601,439,Sync!$D$5)&amp;"","")&lt;&gt;"",OR(LEFT(IFERROR(INDEX(Clay_Brands!$A$2:$FZ$601,439,Sync!$D$5)&amp;"",""),6)&lt;&gt;"SAMPLE",Config!$B$19="Y")),IFERROR(N(INDEX(Clay_Brands!$A$2:$FZ$601,439,Sync!$D$11)),0),"")</f>
        <v/>
      </c>
      <c r="C3890" s="23" t="str">
        <f aca="false">IF(B3890="","","brand")</f>
        <v/>
      </c>
      <c r="D3890" s="23" t="str">
        <f aca="false">IF(B3890="","",IFERROR(INDEX(Brand_Log!$DV$2:$DV$201,MATCH(IFERROR(INDEX(Clay_Brands!$A$2:$FZ$601,439,Sync!$D$5)&amp;"",""),Brand_Log!$A$2:$A$201,0))&amp;"",IFERROR(INDEX(Clay_Brands!$A$2:$FZ$601,439,Sync!$D$5)&amp;"","")&amp;""))</f>
        <v/>
      </c>
      <c r="E3890" s="23" t="str">
        <f aca="false">IF(B3890="","",IFERROR(INDEX(Clay_Brands!$A$2:$FZ$601,439,Sync!$D$6)&amp;"",""))</f>
        <v/>
      </c>
      <c r="F3890" s="23" t="str">
        <f aca="false">IF(B3890="","","outreach_sent")</f>
        <v/>
      </c>
      <c r="G3890" s="23" t="str">
        <f aca="false">IF(B3890="","","")</f>
        <v/>
      </c>
      <c r="H3890" s="23" t="str">
        <f aca="false">IF(B3890="","","")</f>
        <v/>
      </c>
      <c r="I3890" s="23" t="str">
        <f aca="false">IF(B3890="","","")</f>
        <v/>
      </c>
      <c r="J3890" s="23" t="str">
        <f aca="false">IF(B3890="","","touch_1; "&amp;IFERROR(INDEX(Clay_Brands!$A$2:$FZ$601,439,Sync!$D$10)&amp;"","")&amp;"; "&amp;IFERROR(INDEX(Clay_Brands!$A$2:$FZ$601,439,Sync!$D$9)&amp;"",""))</f>
        <v/>
      </c>
      <c r="K3890" s="32" t="s">
        <v>1366</v>
      </c>
    </row>
    <row r="3891" customFormat="false" ht="15" hidden="false" customHeight="false" outlineLevel="0" collapsed="false">
      <c r="A3891" s="23" t="str">
        <f aca="false">IF(B3891="","",B3891+(15*1000+440)/10000000)</f>
        <v/>
      </c>
      <c r="B3891" s="35" t="str">
        <f aca="false">IF(AND(IFERROR(N(INDEX(Clay_Brands!$A$2:$FZ$601,440,Sync!$D$11)),0)&gt;0,IFERROR(INDEX(Clay_Brands!$A$2:$FZ$601,440,Sync!$D$5)&amp;"","")&lt;&gt;"",OR(LEFT(IFERROR(INDEX(Clay_Brands!$A$2:$FZ$601,440,Sync!$D$5)&amp;"",""),6)&lt;&gt;"SAMPLE",Config!$B$19="Y")),IFERROR(N(INDEX(Clay_Brands!$A$2:$FZ$601,440,Sync!$D$11)),0),"")</f>
        <v/>
      </c>
      <c r="C3891" s="23" t="str">
        <f aca="false">IF(B3891="","","brand")</f>
        <v/>
      </c>
      <c r="D3891" s="23" t="str">
        <f aca="false">IF(B3891="","",IFERROR(INDEX(Brand_Log!$DV$2:$DV$201,MATCH(IFERROR(INDEX(Clay_Brands!$A$2:$FZ$601,440,Sync!$D$5)&amp;"",""),Brand_Log!$A$2:$A$201,0))&amp;"",IFERROR(INDEX(Clay_Brands!$A$2:$FZ$601,440,Sync!$D$5)&amp;"","")&amp;""))</f>
        <v/>
      </c>
      <c r="E3891" s="23" t="str">
        <f aca="false">IF(B3891="","",IFERROR(INDEX(Clay_Brands!$A$2:$FZ$601,440,Sync!$D$6)&amp;"",""))</f>
        <v/>
      </c>
      <c r="F3891" s="23" t="str">
        <f aca="false">IF(B3891="","","outreach_sent")</f>
        <v/>
      </c>
      <c r="G3891" s="23" t="str">
        <f aca="false">IF(B3891="","","")</f>
        <v/>
      </c>
      <c r="H3891" s="23" t="str">
        <f aca="false">IF(B3891="","","")</f>
        <v/>
      </c>
      <c r="I3891" s="23" t="str">
        <f aca="false">IF(B3891="","","")</f>
        <v/>
      </c>
      <c r="J3891" s="23" t="str">
        <f aca="false">IF(B3891="","","touch_1; "&amp;IFERROR(INDEX(Clay_Brands!$A$2:$FZ$601,440,Sync!$D$10)&amp;"","")&amp;"; "&amp;IFERROR(INDEX(Clay_Brands!$A$2:$FZ$601,440,Sync!$D$9)&amp;"",""))</f>
        <v/>
      </c>
      <c r="K3891" s="32" t="s">
        <v>1366</v>
      </c>
    </row>
    <row r="3892" customFormat="false" ht="15" hidden="false" customHeight="false" outlineLevel="0" collapsed="false">
      <c r="A3892" s="23" t="str">
        <f aca="false">IF(B3892="","",B3892+(15*1000+441)/10000000)</f>
        <v/>
      </c>
      <c r="B3892" s="35" t="str">
        <f aca="false">IF(AND(IFERROR(N(INDEX(Clay_Brands!$A$2:$FZ$601,441,Sync!$D$11)),0)&gt;0,IFERROR(INDEX(Clay_Brands!$A$2:$FZ$601,441,Sync!$D$5)&amp;"","")&lt;&gt;"",OR(LEFT(IFERROR(INDEX(Clay_Brands!$A$2:$FZ$601,441,Sync!$D$5)&amp;"",""),6)&lt;&gt;"SAMPLE",Config!$B$19="Y")),IFERROR(N(INDEX(Clay_Brands!$A$2:$FZ$601,441,Sync!$D$11)),0),"")</f>
        <v/>
      </c>
      <c r="C3892" s="23" t="str">
        <f aca="false">IF(B3892="","","brand")</f>
        <v/>
      </c>
      <c r="D3892" s="23" t="str">
        <f aca="false">IF(B3892="","",IFERROR(INDEX(Brand_Log!$DV$2:$DV$201,MATCH(IFERROR(INDEX(Clay_Brands!$A$2:$FZ$601,441,Sync!$D$5)&amp;"",""),Brand_Log!$A$2:$A$201,0))&amp;"",IFERROR(INDEX(Clay_Brands!$A$2:$FZ$601,441,Sync!$D$5)&amp;"","")&amp;""))</f>
        <v/>
      </c>
      <c r="E3892" s="23" t="str">
        <f aca="false">IF(B3892="","",IFERROR(INDEX(Clay_Brands!$A$2:$FZ$601,441,Sync!$D$6)&amp;"",""))</f>
        <v/>
      </c>
      <c r="F3892" s="23" t="str">
        <f aca="false">IF(B3892="","","outreach_sent")</f>
        <v/>
      </c>
      <c r="G3892" s="23" t="str">
        <f aca="false">IF(B3892="","","")</f>
        <v/>
      </c>
      <c r="H3892" s="23" t="str">
        <f aca="false">IF(B3892="","","")</f>
        <v/>
      </c>
      <c r="I3892" s="23" t="str">
        <f aca="false">IF(B3892="","","")</f>
        <v/>
      </c>
      <c r="J3892" s="23" t="str">
        <f aca="false">IF(B3892="","","touch_1; "&amp;IFERROR(INDEX(Clay_Brands!$A$2:$FZ$601,441,Sync!$D$10)&amp;"","")&amp;"; "&amp;IFERROR(INDEX(Clay_Brands!$A$2:$FZ$601,441,Sync!$D$9)&amp;"",""))</f>
        <v/>
      </c>
      <c r="K3892" s="32" t="s">
        <v>1366</v>
      </c>
    </row>
    <row r="3893" customFormat="false" ht="15" hidden="false" customHeight="false" outlineLevel="0" collapsed="false">
      <c r="A3893" s="23" t="str">
        <f aca="false">IF(B3893="","",B3893+(15*1000+442)/10000000)</f>
        <v/>
      </c>
      <c r="B3893" s="35" t="str">
        <f aca="false">IF(AND(IFERROR(N(INDEX(Clay_Brands!$A$2:$FZ$601,442,Sync!$D$11)),0)&gt;0,IFERROR(INDEX(Clay_Brands!$A$2:$FZ$601,442,Sync!$D$5)&amp;"","")&lt;&gt;"",OR(LEFT(IFERROR(INDEX(Clay_Brands!$A$2:$FZ$601,442,Sync!$D$5)&amp;"",""),6)&lt;&gt;"SAMPLE",Config!$B$19="Y")),IFERROR(N(INDEX(Clay_Brands!$A$2:$FZ$601,442,Sync!$D$11)),0),"")</f>
        <v/>
      </c>
      <c r="C3893" s="23" t="str">
        <f aca="false">IF(B3893="","","brand")</f>
        <v/>
      </c>
      <c r="D3893" s="23" t="str">
        <f aca="false">IF(B3893="","",IFERROR(INDEX(Brand_Log!$DV$2:$DV$201,MATCH(IFERROR(INDEX(Clay_Brands!$A$2:$FZ$601,442,Sync!$D$5)&amp;"",""),Brand_Log!$A$2:$A$201,0))&amp;"",IFERROR(INDEX(Clay_Brands!$A$2:$FZ$601,442,Sync!$D$5)&amp;"","")&amp;""))</f>
        <v/>
      </c>
      <c r="E3893" s="23" t="str">
        <f aca="false">IF(B3893="","",IFERROR(INDEX(Clay_Brands!$A$2:$FZ$601,442,Sync!$D$6)&amp;"",""))</f>
        <v/>
      </c>
      <c r="F3893" s="23" t="str">
        <f aca="false">IF(B3893="","","outreach_sent")</f>
        <v/>
      </c>
      <c r="G3893" s="23" t="str">
        <f aca="false">IF(B3893="","","")</f>
        <v/>
      </c>
      <c r="H3893" s="23" t="str">
        <f aca="false">IF(B3893="","","")</f>
        <v/>
      </c>
      <c r="I3893" s="23" t="str">
        <f aca="false">IF(B3893="","","")</f>
        <v/>
      </c>
      <c r="J3893" s="23" t="str">
        <f aca="false">IF(B3893="","","touch_1; "&amp;IFERROR(INDEX(Clay_Brands!$A$2:$FZ$601,442,Sync!$D$10)&amp;"","")&amp;"; "&amp;IFERROR(INDEX(Clay_Brands!$A$2:$FZ$601,442,Sync!$D$9)&amp;"",""))</f>
        <v/>
      </c>
      <c r="K3893" s="32" t="s">
        <v>1366</v>
      </c>
    </row>
    <row r="3894" customFormat="false" ht="15" hidden="false" customHeight="false" outlineLevel="0" collapsed="false">
      <c r="A3894" s="23" t="str">
        <f aca="false">IF(B3894="","",B3894+(15*1000+443)/10000000)</f>
        <v/>
      </c>
      <c r="B3894" s="35" t="str">
        <f aca="false">IF(AND(IFERROR(N(INDEX(Clay_Brands!$A$2:$FZ$601,443,Sync!$D$11)),0)&gt;0,IFERROR(INDEX(Clay_Brands!$A$2:$FZ$601,443,Sync!$D$5)&amp;"","")&lt;&gt;"",OR(LEFT(IFERROR(INDEX(Clay_Brands!$A$2:$FZ$601,443,Sync!$D$5)&amp;"",""),6)&lt;&gt;"SAMPLE",Config!$B$19="Y")),IFERROR(N(INDEX(Clay_Brands!$A$2:$FZ$601,443,Sync!$D$11)),0),"")</f>
        <v/>
      </c>
      <c r="C3894" s="23" t="str">
        <f aca="false">IF(B3894="","","brand")</f>
        <v/>
      </c>
      <c r="D3894" s="23" t="str">
        <f aca="false">IF(B3894="","",IFERROR(INDEX(Brand_Log!$DV$2:$DV$201,MATCH(IFERROR(INDEX(Clay_Brands!$A$2:$FZ$601,443,Sync!$D$5)&amp;"",""),Brand_Log!$A$2:$A$201,0))&amp;"",IFERROR(INDEX(Clay_Brands!$A$2:$FZ$601,443,Sync!$D$5)&amp;"","")&amp;""))</f>
        <v/>
      </c>
      <c r="E3894" s="23" t="str">
        <f aca="false">IF(B3894="","",IFERROR(INDEX(Clay_Brands!$A$2:$FZ$601,443,Sync!$D$6)&amp;"",""))</f>
        <v/>
      </c>
      <c r="F3894" s="23" t="str">
        <f aca="false">IF(B3894="","","outreach_sent")</f>
        <v/>
      </c>
      <c r="G3894" s="23" t="str">
        <f aca="false">IF(B3894="","","")</f>
        <v/>
      </c>
      <c r="H3894" s="23" t="str">
        <f aca="false">IF(B3894="","","")</f>
        <v/>
      </c>
      <c r="I3894" s="23" t="str">
        <f aca="false">IF(B3894="","","")</f>
        <v/>
      </c>
      <c r="J3894" s="23" t="str">
        <f aca="false">IF(B3894="","","touch_1; "&amp;IFERROR(INDEX(Clay_Brands!$A$2:$FZ$601,443,Sync!$D$10)&amp;"","")&amp;"; "&amp;IFERROR(INDEX(Clay_Brands!$A$2:$FZ$601,443,Sync!$D$9)&amp;"",""))</f>
        <v/>
      </c>
      <c r="K3894" s="32" t="s">
        <v>1366</v>
      </c>
    </row>
    <row r="3895" customFormat="false" ht="15" hidden="false" customHeight="false" outlineLevel="0" collapsed="false">
      <c r="A3895" s="23" t="str">
        <f aca="false">IF(B3895="","",B3895+(15*1000+444)/10000000)</f>
        <v/>
      </c>
      <c r="B3895" s="35" t="str">
        <f aca="false">IF(AND(IFERROR(N(INDEX(Clay_Brands!$A$2:$FZ$601,444,Sync!$D$11)),0)&gt;0,IFERROR(INDEX(Clay_Brands!$A$2:$FZ$601,444,Sync!$D$5)&amp;"","")&lt;&gt;"",OR(LEFT(IFERROR(INDEX(Clay_Brands!$A$2:$FZ$601,444,Sync!$D$5)&amp;"",""),6)&lt;&gt;"SAMPLE",Config!$B$19="Y")),IFERROR(N(INDEX(Clay_Brands!$A$2:$FZ$601,444,Sync!$D$11)),0),"")</f>
        <v/>
      </c>
      <c r="C3895" s="23" t="str">
        <f aca="false">IF(B3895="","","brand")</f>
        <v/>
      </c>
      <c r="D3895" s="23" t="str">
        <f aca="false">IF(B3895="","",IFERROR(INDEX(Brand_Log!$DV$2:$DV$201,MATCH(IFERROR(INDEX(Clay_Brands!$A$2:$FZ$601,444,Sync!$D$5)&amp;"",""),Brand_Log!$A$2:$A$201,0))&amp;"",IFERROR(INDEX(Clay_Brands!$A$2:$FZ$601,444,Sync!$D$5)&amp;"","")&amp;""))</f>
        <v/>
      </c>
      <c r="E3895" s="23" t="str">
        <f aca="false">IF(B3895="","",IFERROR(INDEX(Clay_Brands!$A$2:$FZ$601,444,Sync!$D$6)&amp;"",""))</f>
        <v/>
      </c>
      <c r="F3895" s="23" t="str">
        <f aca="false">IF(B3895="","","outreach_sent")</f>
        <v/>
      </c>
      <c r="G3895" s="23" t="str">
        <f aca="false">IF(B3895="","","")</f>
        <v/>
      </c>
      <c r="H3895" s="23" t="str">
        <f aca="false">IF(B3895="","","")</f>
        <v/>
      </c>
      <c r="I3895" s="23" t="str">
        <f aca="false">IF(B3895="","","")</f>
        <v/>
      </c>
      <c r="J3895" s="23" t="str">
        <f aca="false">IF(B3895="","","touch_1; "&amp;IFERROR(INDEX(Clay_Brands!$A$2:$FZ$601,444,Sync!$D$10)&amp;"","")&amp;"; "&amp;IFERROR(INDEX(Clay_Brands!$A$2:$FZ$601,444,Sync!$D$9)&amp;"",""))</f>
        <v/>
      </c>
      <c r="K3895" s="32" t="s">
        <v>1366</v>
      </c>
    </row>
    <row r="3896" customFormat="false" ht="15" hidden="false" customHeight="false" outlineLevel="0" collapsed="false">
      <c r="A3896" s="23" t="str">
        <f aca="false">IF(B3896="","",B3896+(15*1000+445)/10000000)</f>
        <v/>
      </c>
      <c r="B3896" s="35" t="str">
        <f aca="false">IF(AND(IFERROR(N(INDEX(Clay_Brands!$A$2:$FZ$601,445,Sync!$D$11)),0)&gt;0,IFERROR(INDEX(Clay_Brands!$A$2:$FZ$601,445,Sync!$D$5)&amp;"","")&lt;&gt;"",OR(LEFT(IFERROR(INDEX(Clay_Brands!$A$2:$FZ$601,445,Sync!$D$5)&amp;"",""),6)&lt;&gt;"SAMPLE",Config!$B$19="Y")),IFERROR(N(INDEX(Clay_Brands!$A$2:$FZ$601,445,Sync!$D$11)),0),"")</f>
        <v/>
      </c>
      <c r="C3896" s="23" t="str">
        <f aca="false">IF(B3896="","","brand")</f>
        <v/>
      </c>
      <c r="D3896" s="23" t="str">
        <f aca="false">IF(B3896="","",IFERROR(INDEX(Brand_Log!$DV$2:$DV$201,MATCH(IFERROR(INDEX(Clay_Brands!$A$2:$FZ$601,445,Sync!$D$5)&amp;"",""),Brand_Log!$A$2:$A$201,0))&amp;"",IFERROR(INDEX(Clay_Brands!$A$2:$FZ$601,445,Sync!$D$5)&amp;"","")&amp;""))</f>
        <v/>
      </c>
      <c r="E3896" s="23" t="str">
        <f aca="false">IF(B3896="","",IFERROR(INDEX(Clay_Brands!$A$2:$FZ$601,445,Sync!$D$6)&amp;"",""))</f>
        <v/>
      </c>
      <c r="F3896" s="23" t="str">
        <f aca="false">IF(B3896="","","outreach_sent")</f>
        <v/>
      </c>
      <c r="G3896" s="23" t="str">
        <f aca="false">IF(B3896="","","")</f>
        <v/>
      </c>
      <c r="H3896" s="23" t="str">
        <f aca="false">IF(B3896="","","")</f>
        <v/>
      </c>
      <c r="I3896" s="23" t="str">
        <f aca="false">IF(B3896="","","")</f>
        <v/>
      </c>
      <c r="J3896" s="23" t="str">
        <f aca="false">IF(B3896="","","touch_1; "&amp;IFERROR(INDEX(Clay_Brands!$A$2:$FZ$601,445,Sync!$D$10)&amp;"","")&amp;"; "&amp;IFERROR(INDEX(Clay_Brands!$A$2:$FZ$601,445,Sync!$D$9)&amp;"",""))</f>
        <v/>
      </c>
      <c r="K3896" s="32" t="s">
        <v>1366</v>
      </c>
    </row>
    <row r="3897" customFormat="false" ht="15" hidden="false" customHeight="false" outlineLevel="0" collapsed="false">
      <c r="A3897" s="23" t="str">
        <f aca="false">IF(B3897="","",B3897+(15*1000+446)/10000000)</f>
        <v/>
      </c>
      <c r="B3897" s="35" t="str">
        <f aca="false">IF(AND(IFERROR(N(INDEX(Clay_Brands!$A$2:$FZ$601,446,Sync!$D$11)),0)&gt;0,IFERROR(INDEX(Clay_Brands!$A$2:$FZ$601,446,Sync!$D$5)&amp;"","")&lt;&gt;"",OR(LEFT(IFERROR(INDEX(Clay_Brands!$A$2:$FZ$601,446,Sync!$D$5)&amp;"",""),6)&lt;&gt;"SAMPLE",Config!$B$19="Y")),IFERROR(N(INDEX(Clay_Brands!$A$2:$FZ$601,446,Sync!$D$11)),0),"")</f>
        <v/>
      </c>
      <c r="C3897" s="23" t="str">
        <f aca="false">IF(B3897="","","brand")</f>
        <v/>
      </c>
      <c r="D3897" s="23" t="str">
        <f aca="false">IF(B3897="","",IFERROR(INDEX(Brand_Log!$DV$2:$DV$201,MATCH(IFERROR(INDEX(Clay_Brands!$A$2:$FZ$601,446,Sync!$D$5)&amp;"",""),Brand_Log!$A$2:$A$201,0))&amp;"",IFERROR(INDEX(Clay_Brands!$A$2:$FZ$601,446,Sync!$D$5)&amp;"","")&amp;""))</f>
        <v/>
      </c>
      <c r="E3897" s="23" t="str">
        <f aca="false">IF(B3897="","",IFERROR(INDEX(Clay_Brands!$A$2:$FZ$601,446,Sync!$D$6)&amp;"",""))</f>
        <v/>
      </c>
      <c r="F3897" s="23" t="str">
        <f aca="false">IF(B3897="","","outreach_sent")</f>
        <v/>
      </c>
      <c r="G3897" s="23" t="str">
        <f aca="false">IF(B3897="","","")</f>
        <v/>
      </c>
      <c r="H3897" s="23" t="str">
        <f aca="false">IF(B3897="","","")</f>
        <v/>
      </c>
      <c r="I3897" s="23" t="str">
        <f aca="false">IF(B3897="","","")</f>
        <v/>
      </c>
      <c r="J3897" s="23" t="str">
        <f aca="false">IF(B3897="","","touch_1; "&amp;IFERROR(INDEX(Clay_Brands!$A$2:$FZ$601,446,Sync!$D$10)&amp;"","")&amp;"; "&amp;IFERROR(INDEX(Clay_Brands!$A$2:$FZ$601,446,Sync!$D$9)&amp;"",""))</f>
        <v/>
      </c>
      <c r="K3897" s="32" t="s">
        <v>1366</v>
      </c>
    </row>
    <row r="3898" customFormat="false" ht="15" hidden="false" customHeight="false" outlineLevel="0" collapsed="false">
      <c r="A3898" s="23" t="str">
        <f aca="false">IF(B3898="","",B3898+(15*1000+447)/10000000)</f>
        <v/>
      </c>
      <c r="B3898" s="35" t="str">
        <f aca="false">IF(AND(IFERROR(N(INDEX(Clay_Brands!$A$2:$FZ$601,447,Sync!$D$11)),0)&gt;0,IFERROR(INDEX(Clay_Brands!$A$2:$FZ$601,447,Sync!$D$5)&amp;"","")&lt;&gt;"",OR(LEFT(IFERROR(INDEX(Clay_Brands!$A$2:$FZ$601,447,Sync!$D$5)&amp;"",""),6)&lt;&gt;"SAMPLE",Config!$B$19="Y")),IFERROR(N(INDEX(Clay_Brands!$A$2:$FZ$601,447,Sync!$D$11)),0),"")</f>
        <v/>
      </c>
      <c r="C3898" s="23" t="str">
        <f aca="false">IF(B3898="","","brand")</f>
        <v/>
      </c>
      <c r="D3898" s="23" t="str">
        <f aca="false">IF(B3898="","",IFERROR(INDEX(Brand_Log!$DV$2:$DV$201,MATCH(IFERROR(INDEX(Clay_Brands!$A$2:$FZ$601,447,Sync!$D$5)&amp;"",""),Brand_Log!$A$2:$A$201,0))&amp;"",IFERROR(INDEX(Clay_Brands!$A$2:$FZ$601,447,Sync!$D$5)&amp;"","")&amp;""))</f>
        <v/>
      </c>
      <c r="E3898" s="23" t="str">
        <f aca="false">IF(B3898="","",IFERROR(INDEX(Clay_Brands!$A$2:$FZ$601,447,Sync!$D$6)&amp;"",""))</f>
        <v/>
      </c>
      <c r="F3898" s="23" t="str">
        <f aca="false">IF(B3898="","","outreach_sent")</f>
        <v/>
      </c>
      <c r="G3898" s="23" t="str">
        <f aca="false">IF(B3898="","","")</f>
        <v/>
      </c>
      <c r="H3898" s="23" t="str">
        <f aca="false">IF(B3898="","","")</f>
        <v/>
      </c>
      <c r="I3898" s="23" t="str">
        <f aca="false">IF(B3898="","","")</f>
        <v/>
      </c>
      <c r="J3898" s="23" t="str">
        <f aca="false">IF(B3898="","","touch_1; "&amp;IFERROR(INDEX(Clay_Brands!$A$2:$FZ$601,447,Sync!$D$10)&amp;"","")&amp;"; "&amp;IFERROR(INDEX(Clay_Brands!$A$2:$FZ$601,447,Sync!$D$9)&amp;"",""))</f>
        <v/>
      </c>
      <c r="K3898" s="32" t="s">
        <v>1366</v>
      </c>
    </row>
    <row r="3899" customFormat="false" ht="15" hidden="false" customHeight="false" outlineLevel="0" collapsed="false">
      <c r="A3899" s="23" t="str">
        <f aca="false">IF(B3899="","",B3899+(15*1000+448)/10000000)</f>
        <v/>
      </c>
      <c r="B3899" s="35" t="str">
        <f aca="false">IF(AND(IFERROR(N(INDEX(Clay_Brands!$A$2:$FZ$601,448,Sync!$D$11)),0)&gt;0,IFERROR(INDEX(Clay_Brands!$A$2:$FZ$601,448,Sync!$D$5)&amp;"","")&lt;&gt;"",OR(LEFT(IFERROR(INDEX(Clay_Brands!$A$2:$FZ$601,448,Sync!$D$5)&amp;"",""),6)&lt;&gt;"SAMPLE",Config!$B$19="Y")),IFERROR(N(INDEX(Clay_Brands!$A$2:$FZ$601,448,Sync!$D$11)),0),"")</f>
        <v/>
      </c>
      <c r="C3899" s="23" t="str">
        <f aca="false">IF(B3899="","","brand")</f>
        <v/>
      </c>
      <c r="D3899" s="23" t="str">
        <f aca="false">IF(B3899="","",IFERROR(INDEX(Brand_Log!$DV$2:$DV$201,MATCH(IFERROR(INDEX(Clay_Brands!$A$2:$FZ$601,448,Sync!$D$5)&amp;"",""),Brand_Log!$A$2:$A$201,0))&amp;"",IFERROR(INDEX(Clay_Brands!$A$2:$FZ$601,448,Sync!$D$5)&amp;"","")&amp;""))</f>
        <v/>
      </c>
      <c r="E3899" s="23" t="str">
        <f aca="false">IF(B3899="","",IFERROR(INDEX(Clay_Brands!$A$2:$FZ$601,448,Sync!$D$6)&amp;"",""))</f>
        <v/>
      </c>
      <c r="F3899" s="23" t="str">
        <f aca="false">IF(B3899="","","outreach_sent")</f>
        <v/>
      </c>
      <c r="G3899" s="23" t="str">
        <f aca="false">IF(B3899="","","")</f>
        <v/>
      </c>
      <c r="H3899" s="23" t="str">
        <f aca="false">IF(B3899="","","")</f>
        <v/>
      </c>
      <c r="I3899" s="23" t="str">
        <f aca="false">IF(B3899="","","")</f>
        <v/>
      </c>
      <c r="J3899" s="23" t="str">
        <f aca="false">IF(B3899="","","touch_1; "&amp;IFERROR(INDEX(Clay_Brands!$A$2:$FZ$601,448,Sync!$D$10)&amp;"","")&amp;"; "&amp;IFERROR(INDEX(Clay_Brands!$A$2:$FZ$601,448,Sync!$D$9)&amp;"",""))</f>
        <v/>
      </c>
      <c r="K3899" s="32" t="s">
        <v>1366</v>
      </c>
    </row>
    <row r="3900" customFormat="false" ht="15" hidden="false" customHeight="false" outlineLevel="0" collapsed="false">
      <c r="A3900" s="23" t="str">
        <f aca="false">IF(B3900="","",B3900+(15*1000+449)/10000000)</f>
        <v/>
      </c>
      <c r="B3900" s="35" t="str">
        <f aca="false">IF(AND(IFERROR(N(INDEX(Clay_Brands!$A$2:$FZ$601,449,Sync!$D$11)),0)&gt;0,IFERROR(INDEX(Clay_Brands!$A$2:$FZ$601,449,Sync!$D$5)&amp;"","")&lt;&gt;"",OR(LEFT(IFERROR(INDEX(Clay_Brands!$A$2:$FZ$601,449,Sync!$D$5)&amp;"",""),6)&lt;&gt;"SAMPLE",Config!$B$19="Y")),IFERROR(N(INDEX(Clay_Brands!$A$2:$FZ$601,449,Sync!$D$11)),0),"")</f>
        <v/>
      </c>
      <c r="C3900" s="23" t="str">
        <f aca="false">IF(B3900="","","brand")</f>
        <v/>
      </c>
      <c r="D3900" s="23" t="str">
        <f aca="false">IF(B3900="","",IFERROR(INDEX(Brand_Log!$DV$2:$DV$201,MATCH(IFERROR(INDEX(Clay_Brands!$A$2:$FZ$601,449,Sync!$D$5)&amp;"",""),Brand_Log!$A$2:$A$201,0))&amp;"",IFERROR(INDEX(Clay_Brands!$A$2:$FZ$601,449,Sync!$D$5)&amp;"","")&amp;""))</f>
        <v/>
      </c>
      <c r="E3900" s="23" t="str">
        <f aca="false">IF(B3900="","",IFERROR(INDEX(Clay_Brands!$A$2:$FZ$601,449,Sync!$D$6)&amp;"",""))</f>
        <v/>
      </c>
      <c r="F3900" s="23" t="str">
        <f aca="false">IF(B3900="","","outreach_sent")</f>
        <v/>
      </c>
      <c r="G3900" s="23" t="str">
        <f aca="false">IF(B3900="","","")</f>
        <v/>
      </c>
      <c r="H3900" s="23" t="str">
        <f aca="false">IF(B3900="","","")</f>
        <v/>
      </c>
      <c r="I3900" s="23" t="str">
        <f aca="false">IF(B3900="","","")</f>
        <v/>
      </c>
      <c r="J3900" s="23" t="str">
        <f aca="false">IF(B3900="","","touch_1; "&amp;IFERROR(INDEX(Clay_Brands!$A$2:$FZ$601,449,Sync!$D$10)&amp;"","")&amp;"; "&amp;IFERROR(INDEX(Clay_Brands!$A$2:$FZ$601,449,Sync!$D$9)&amp;"",""))</f>
        <v/>
      </c>
      <c r="K3900" s="32" t="s">
        <v>1366</v>
      </c>
    </row>
    <row r="3901" customFormat="false" ht="15" hidden="false" customHeight="false" outlineLevel="0" collapsed="false">
      <c r="A3901" s="23" t="str">
        <f aca="false">IF(B3901="","",B3901+(15*1000+450)/10000000)</f>
        <v/>
      </c>
      <c r="B3901" s="35" t="str">
        <f aca="false">IF(AND(IFERROR(N(INDEX(Clay_Brands!$A$2:$FZ$601,450,Sync!$D$11)),0)&gt;0,IFERROR(INDEX(Clay_Brands!$A$2:$FZ$601,450,Sync!$D$5)&amp;"","")&lt;&gt;"",OR(LEFT(IFERROR(INDEX(Clay_Brands!$A$2:$FZ$601,450,Sync!$D$5)&amp;"",""),6)&lt;&gt;"SAMPLE",Config!$B$19="Y")),IFERROR(N(INDEX(Clay_Brands!$A$2:$FZ$601,450,Sync!$D$11)),0),"")</f>
        <v/>
      </c>
      <c r="C3901" s="23" t="str">
        <f aca="false">IF(B3901="","","brand")</f>
        <v/>
      </c>
      <c r="D3901" s="23" t="str">
        <f aca="false">IF(B3901="","",IFERROR(INDEX(Brand_Log!$DV$2:$DV$201,MATCH(IFERROR(INDEX(Clay_Brands!$A$2:$FZ$601,450,Sync!$D$5)&amp;"",""),Brand_Log!$A$2:$A$201,0))&amp;"",IFERROR(INDEX(Clay_Brands!$A$2:$FZ$601,450,Sync!$D$5)&amp;"","")&amp;""))</f>
        <v/>
      </c>
      <c r="E3901" s="23" t="str">
        <f aca="false">IF(B3901="","",IFERROR(INDEX(Clay_Brands!$A$2:$FZ$601,450,Sync!$D$6)&amp;"",""))</f>
        <v/>
      </c>
      <c r="F3901" s="23" t="str">
        <f aca="false">IF(B3901="","","outreach_sent")</f>
        <v/>
      </c>
      <c r="G3901" s="23" t="str">
        <f aca="false">IF(B3901="","","")</f>
        <v/>
      </c>
      <c r="H3901" s="23" t="str">
        <f aca="false">IF(B3901="","","")</f>
        <v/>
      </c>
      <c r="I3901" s="23" t="str">
        <f aca="false">IF(B3901="","","")</f>
        <v/>
      </c>
      <c r="J3901" s="23" t="str">
        <f aca="false">IF(B3901="","","touch_1; "&amp;IFERROR(INDEX(Clay_Brands!$A$2:$FZ$601,450,Sync!$D$10)&amp;"","")&amp;"; "&amp;IFERROR(INDEX(Clay_Brands!$A$2:$FZ$601,450,Sync!$D$9)&amp;"",""))</f>
        <v/>
      </c>
      <c r="K3901" s="32" t="s">
        <v>1366</v>
      </c>
    </row>
    <row r="3902" customFormat="false" ht="15" hidden="false" customHeight="false" outlineLevel="0" collapsed="false">
      <c r="A3902" s="23" t="str">
        <f aca="false">IF(B3902="","",B3902+(15*1000+451)/10000000)</f>
        <v/>
      </c>
      <c r="B3902" s="35" t="str">
        <f aca="false">IF(AND(IFERROR(N(INDEX(Clay_Brands!$A$2:$FZ$601,451,Sync!$D$11)),0)&gt;0,IFERROR(INDEX(Clay_Brands!$A$2:$FZ$601,451,Sync!$D$5)&amp;"","")&lt;&gt;"",OR(LEFT(IFERROR(INDEX(Clay_Brands!$A$2:$FZ$601,451,Sync!$D$5)&amp;"",""),6)&lt;&gt;"SAMPLE",Config!$B$19="Y")),IFERROR(N(INDEX(Clay_Brands!$A$2:$FZ$601,451,Sync!$D$11)),0),"")</f>
        <v/>
      </c>
      <c r="C3902" s="23" t="str">
        <f aca="false">IF(B3902="","","brand")</f>
        <v/>
      </c>
      <c r="D3902" s="23" t="str">
        <f aca="false">IF(B3902="","",IFERROR(INDEX(Brand_Log!$DV$2:$DV$201,MATCH(IFERROR(INDEX(Clay_Brands!$A$2:$FZ$601,451,Sync!$D$5)&amp;"",""),Brand_Log!$A$2:$A$201,0))&amp;"",IFERROR(INDEX(Clay_Brands!$A$2:$FZ$601,451,Sync!$D$5)&amp;"","")&amp;""))</f>
        <v/>
      </c>
      <c r="E3902" s="23" t="str">
        <f aca="false">IF(B3902="","",IFERROR(INDEX(Clay_Brands!$A$2:$FZ$601,451,Sync!$D$6)&amp;"",""))</f>
        <v/>
      </c>
      <c r="F3902" s="23" t="str">
        <f aca="false">IF(B3902="","","outreach_sent")</f>
        <v/>
      </c>
      <c r="G3902" s="23" t="str">
        <f aca="false">IF(B3902="","","")</f>
        <v/>
      </c>
      <c r="H3902" s="23" t="str">
        <f aca="false">IF(B3902="","","")</f>
        <v/>
      </c>
      <c r="I3902" s="23" t="str">
        <f aca="false">IF(B3902="","","")</f>
        <v/>
      </c>
      <c r="J3902" s="23" t="str">
        <f aca="false">IF(B3902="","","touch_1; "&amp;IFERROR(INDEX(Clay_Brands!$A$2:$FZ$601,451,Sync!$D$10)&amp;"","")&amp;"; "&amp;IFERROR(INDEX(Clay_Brands!$A$2:$FZ$601,451,Sync!$D$9)&amp;"",""))</f>
        <v/>
      </c>
      <c r="K3902" s="32" t="s">
        <v>1366</v>
      </c>
    </row>
    <row r="3903" customFormat="false" ht="15" hidden="false" customHeight="false" outlineLevel="0" collapsed="false">
      <c r="A3903" s="23" t="str">
        <f aca="false">IF(B3903="","",B3903+(15*1000+452)/10000000)</f>
        <v/>
      </c>
      <c r="B3903" s="35" t="str">
        <f aca="false">IF(AND(IFERROR(N(INDEX(Clay_Brands!$A$2:$FZ$601,452,Sync!$D$11)),0)&gt;0,IFERROR(INDEX(Clay_Brands!$A$2:$FZ$601,452,Sync!$D$5)&amp;"","")&lt;&gt;"",OR(LEFT(IFERROR(INDEX(Clay_Brands!$A$2:$FZ$601,452,Sync!$D$5)&amp;"",""),6)&lt;&gt;"SAMPLE",Config!$B$19="Y")),IFERROR(N(INDEX(Clay_Brands!$A$2:$FZ$601,452,Sync!$D$11)),0),"")</f>
        <v/>
      </c>
      <c r="C3903" s="23" t="str">
        <f aca="false">IF(B3903="","","brand")</f>
        <v/>
      </c>
      <c r="D3903" s="23" t="str">
        <f aca="false">IF(B3903="","",IFERROR(INDEX(Brand_Log!$DV$2:$DV$201,MATCH(IFERROR(INDEX(Clay_Brands!$A$2:$FZ$601,452,Sync!$D$5)&amp;"",""),Brand_Log!$A$2:$A$201,0))&amp;"",IFERROR(INDEX(Clay_Brands!$A$2:$FZ$601,452,Sync!$D$5)&amp;"","")&amp;""))</f>
        <v/>
      </c>
      <c r="E3903" s="23" t="str">
        <f aca="false">IF(B3903="","",IFERROR(INDEX(Clay_Brands!$A$2:$FZ$601,452,Sync!$D$6)&amp;"",""))</f>
        <v/>
      </c>
      <c r="F3903" s="23" t="str">
        <f aca="false">IF(B3903="","","outreach_sent")</f>
        <v/>
      </c>
      <c r="G3903" s="23" t="str">
        <f aca="false">IF(B3903="","","")</f>
        <v/>
      </c>
      <c r="H3903" s="23" t="str">
        <f aca="false">IF(B3903="","","")</f>
        <v/>
      </c>
      <c r="I3903" s="23" t="str">
        <f aca="false">IF(B3903="","","")</f>
        <v/>
      </c>
      <c r="J3903" s="23" t="str">
        <f aca="false">IF(B3903="","","touch_1; "&amp;IFERROR(INDEX(Clay_Brands!$A$2:$FZ$601,452,Sync!$D$10)&amp;"","")&amp;"; "&amp;IFERROR(INDEX(Clay_Brands!$A$2:$FZ$601,452,Sync!$D$9)&amp;"",""))</f>
        <v/>
      </c>
      <c r="K3903" s="32" t="s">
        <v>1366</v>
      </c>
    </row>
    <row r="3904" customFormat="false" ht="15" hidden="false" customHeight="false" outlineLevel="0" collapsed="false">
      <c r="A3904" s="23" t="str">
        <f aca="false">IF(B3904="","",B3904+(15*1000+453)/10000000)</f>
        <v/>
      </c>
      <c r="B3904" s="35" t="str">
        <f aca="false">IF(AND(IFERROR(N(INDEX(Clay_Brands!$A$2:$FZ$601,453,Sync!$D$11)),0)&gt;0,IFERROR(INDEX(Clay_Brands!$A$2:$FZ$601,453,Sync!$D$5)&amp;"","")&lt;&gt;"",OR(LEFT(IFERROR(INDEX(Clay_Brands!$A$2:$FZ$601,453,Sync!$D$5)&amp;"",""),6)&lt;&gt;"SAMPLE",Config!$B$19="Y")),IFERROR(N(INDEX(Clay_Brands!$A$2:$FZ$601,453,Sync!$D$11)),0),"")</f>
        <v/>
      </c>
      <c r="C3904" s="23" t="str">
        <f aca="false">IF(B3904="","","brand")</f>
        <v/>
      </c>
      <c r="D3904" s="23" t="str">
        <f aca="false">IF(B3904="","",IFERROR(INDEX(Brand_Log!$DV$2:$DV$201,MATCH(IFERROR(INDEX(Clay_Brands!$A$2:$FZ$601,453,Sync!$D$5)&amp;"",""),Brand_Log!$A$2:$A$201,0))&amp;"",IFERROR(INDEX(Clay_Brands!$A$2:$FZ$601,453,Sync!$D$5)&amp;"","")&amp;""))</f>
        <v/>
      </c>
      <c r="E3904" s="23" t="str">
        <f aca="false">IF(B3904="","",IFERROR(INDEX(Clay_Brands!$A$2:$FZ$601,453,Sync!$D$6)&amp;"",""))</f>
        <v/>
      </c>
      <c r="F3904" s="23" t="str">
        <f aca="false">IF(B3904="","","outreach_sent")</f>
        <v/>
      </c>
      <c r="G3904" s="23" t="str">
        <f aca="false">IF(B3904="","","")</f>
        <v/>
      </c>
      <c r="H3904" s="23" t="str">
        <f aca="false">IF(B3904="","","")</f>
        <v/>
      </c>
      <c r="I3904" s="23" t="str">
        <f aca="false">IF(B3904="","","")</f>
        <v/>
      </c>
      <c r="J3904" s="23" t="str">
        <f aca="false">IF(B3904="","","touch_1; "&amp;IFERROR(INDEX(Clay_Brands!$A$2:$FZ$601,453,Sync!$D$10)&amp;"","")&amp;"; "&amp;IFERROR(INDEX(Clay_Brands!$A$2:$FZ$601,453,Sync!$D$9)&amp;"",""))</f>
        <v/>
      </c>
      <c r="K3904" s="32" t="s">
        <v>1366</v>
      </c>
    </row>
    <row r="3905" customFormat="false" ht="15" hidden="false" customHeight="false" outlineLevel="0" collapsed="false">
      <c r="A3905" s="23" t="str">
        <f aca="false">IF(B3905="","",B3905+(15*1000+454)/10000000)</f>
        <v/>
      </c>
      <c r="B3905" s="35" t="str">
        <f aca="false">IF(AND(IFERROR(N(INDEX(Clay_Brands!$A$2:$FZ$601,454,Sync!$D$11)),0)&gt;0,IFERROR(INDEX(Clay_Brands!$A$2:$FZ$601,454,Sync!$D$5)&amp;"","")&lt;&gt;"",OR(LEFT(IFERROR(INDEX(Clay_Brands!$A$2:$FZ$601,454,Sync!$D$5)&amp;"",""),6)&lt;&gt;"SAMPLE",Config!$B$19="Y")),IFERROR(N(INDEX(Clay_Brands!$A$2:$FZ$601,454,Sync!$D$11)),0),"")</f>
        <v/>
      </c>
      <c r="C3905" s="23" t="str">
        <f aca="false">IF(B3905="","","brand")</f>
        <v/>
      </c>
      <c r="D3905" s="23" t="str">
        <f aca="false">IF(B3905="","",IFERROR(INDEX(Brand_Log!$DV$2:$DV$201,MATCH(IFERROR(INDEX(Clay_Brands!$A$2:$FZ$601,454,Sync!$D$5)&amp;"",""),Brand_Log!$A$2:$A$201,0))&amp;"",IFERROR(INDEX(Clay_Brands!$A$2:$FZ$601,454,Sync!$D$5)&amp;"","")&amp;""))</f>
        <v/>
      </c>
      <c r="E3905" s="23" t="str">
        <f aca="false">IF(B3905="","",IFERROR(INDEX(Clay_Brands!$A$2:$FZ$601,454,Sync!$D$6)&amp;"",""))</f>
        <v/>
      </c>
      <c r="F3905" s="23" t="str">
        <f aca="false">IF(B3905="","","outreach_sent")</f>
        <v/>
      </c>
      <c r="G3905" s="23" t="str">
        <f aca="false">IF(B3905="","","")</f>
        <v/>
      </c>
      <c r="H3905" s="23" t="str">
        <f aca="false">IF(B3905="","","")</f>
        <v/>
      </c>
      <c r="I3905" s="23" t="str">
        <f aca="false">IF(B3905="","","")</f>
        <v/>
      </c>
      <c r="J3905" s="23" t="str">
        <f aca="false">IF(B3905="","","touch_1; "&amp;IFERROR(INDEX(Clay_Brands!$A$2:$FZ$601,454,Sync!$D$10)&amp;"","")&amp;"; "&amp;IFERROR(INDEX(Clay_Brands!$A$2:$FZ$601,454,Sync!$D$9)&amp;"",""))</f>
        <v/>
      </c>
      <c r="K3905" s="32" t="s">
        <v>1366</v>
      </c>
    </row>
    <row r="3906" customFormat="false" ht="15" hidden="false" customHeight="false" outlineLevel="0" collapsed="false">
      <c r="A3906" s="23" t="str">
        <f aca="false">IF(B3906="","",B3906+(15*1000+455)/10000000)</f>
        <v/>
      </c>
      <c r="B3906" s="35" t="str">
        <f aca="false">IF(AND(IFERROR(N(INDEX(Clay_Brands!$A$2:$FZ$601,455,Sync!$D$11)),0)&gt;0,IFERROR(INDEX(Clay_Brands!$A$2:$FZ$601,455,Sync!$D$5)&amp;"","")&lt;&gt;"",OR(LEFT(IFERROR(INDEX(Clay_Brands!$A$2:$FZ$601,455,Sync!$D$5)&amp;"",""),6)&lt;&gt;"SAMPLE",Config!$B$19="Y")),IFERROR(N(INDEX(Clay_Brands!$A$2:$FZ$601,455,Sync!$D$11)),0),"")</f>
        <v/>
      </c>
      <c r="C3906" s="23" t="str">
        <f aca="false">IF(B3906="","","brand")</f>
        <v/>
      </c>
      <c r="D3906" s="23" t="str">
        <f aca="false">IF(B3906="","",IFERROR(INDEX(Brand_Log!$DV$2:$DV$201,MATCH(IFERROR(INDEX(Clay_Brands!$A$2:$FZ$601,455,Sync!$D$5)&amp;"",""),Brand_Log!$A$2:$A$201,0))&amp;"",IFERROR(INDEX(Clay_Brands!$A$2:$FZ$601,455,Sync!$D$5)&amp;"","")&amp;""))</f>
        <v/>
      </c>
      <c r="E3906" s="23" t="str">
        <f aca="false">IF(B3906="","",IFERROR(INDEX(Clay_Brands!$A$2:$FZ$601,455,Sync!$D$6)&amp;"",""))</f>
        <v/>
      </c>
      <c r="F3906" s="23" t="str">
        <f aca="false">IF(B3906="","","outreach_sent")</f>
        <v/>
      </c>
      <c r="G3906" s="23" t="str">
        <f aca="false">IF(B3906="","","")</f>
        <v/>
      </c>
      <c r="H3906" s="23" t="str">
        <f aca="false">IF(B3906="","","")</f>
        <v/>
      </c>
      <c r="I3906" s="23" t="str">
        <f aca="false">IF(B3906="","","")</f>
        <v/>
      </c>
      <c r="J3906" s="23" t="str">
        <f aca="false">IF(B3906="","","touch_1; "&amp;IFERROR(INDEX(Clay_Brands!$A$2:$FZ$601,455,Sync!$D$10)&amp;"","")&amp;"; "&amp;IFERROR(INDEX(Clay_Brands!$A$2:$FZ$601,455,Sync!$D$9)&amp;"",""))</f>
        <v/>
      </c>
      <c r="K3906" s="32" t="s">
        <v>1366</v>
      </c>
    </row>
    <row r="3907" customFormat="false" ht="15" hidden="false" customHeight="false" outlineLevel="0" collapsed="false">
      <c r="A3907" s="23" t="str">
        <f aca="false">IF(B3907="","",B3907+(15*1000+456)/10000000)</f>
        <v/>
      </c>
      <c r="B3907" s="35" t="str">
        <f aca="false">IF(AND(IFERROR(N(INDEX(Clay_Brands!$A$2:$FZ$601,456,Sync!$D$11)),0)&gt;0,IFERROR(INDEX(Clay_Brands!$A$2:$FZ$601,456,Sync!$D$5)&amp;"","")&lt;&gt;"",OR(LEFT(IFERROR(INDEX(Clay_Brands!$A$2:$FZ$601,456,Sync!$D$5)&amp;"",""),6)&lt;&gt;"SAMPLE",Config!$B$19="Y")),IFERROR(N(INDEX(Clay_Brands!$A$2:$FZ$601,456,Sync!$D$11)),0),"")</f>
        <v/>
      </c>
      <c r="C3907" s="23" t="str">
        <f aca="false">IF(B3907="","","brand")</f>
        <v/>
      </c>
      <c r="D3907" s="23" t="str">
        <f aca="false">IF(B3907="","",IFERROR(INDEX(Brand_Log!$DV$2:$DV$201,MATCH(IFERROR(INDEX(Clay_Brands!$A$2:$FZ$601,456,Sync!$D$5)&amp;"",""),Brand_Log!$A$2:$A$201,0))&amp;"",IFERROR(INDEX(Clay_Brands!$A$2:$FZ$601,456,Sync!$D$5)&amp;"","")&amp;""))</f>
        <v/>
      </c>
      <c r="E3907" s="23" t="str">
        <f aca="false">IF(B3907="","",IFERROR(INDEX(Clay_Brands!$A$2:$FZ$601,456,Sync!$D$6)&amp;"",""))</f>
        <v/>
      </c>
      <c r="F3907" s="23" t="str">
        <f aca="false">IF(B3907="","","outreach_sent")</f>
        <v/>
      </c>
      <c r="G3907" s="23" t="str">
        <f aca="false">IF(B3907="","","")</f>
        <v/>
      </c>
      <c r="H3907" s="23" t="str">
        <f aca="false">IF(B3907="","","")</f>
        <v/>
      </c>
      <c r="I3907" s="23" t="str">
        <f aca="false">IF(B3907="","","")</f>
        <v/>
      </c>
      <c r="J3907" s="23" t="str">
        <f aca="false">IF(B3907="","","touch_1; "&amp;IFERROR(INDEX(Clay_Brands!$A$2:$FZ$601,456,Sync!$D$10)&amp;"","")&amp;"; "&amp;IFERROR(INDEX(Clay_Brands!$A$2:$FZ$601,456,Sync!$D$9)&amp;"",""))</f>
        <v/>
      </c>
      <c r="K3907" s="32" t="s">
        <v>1366</v>
      </c>
    </row>
    <row r="3908" customFormat="false" ht="15" hidden="false" customHeight="false" outlineLevel="0" collapsed="false">
      <c r="A3908" s="23" t="str">
        <f aca="false">IF(B3908="","",B3908+(15*1000+457)/10000000)</f>
        <v/>
      </c>
      <c r="B3908" s="35" t="str">
        <f aca="false">IF(AND(IFERROR(N(INDEX(Clay_Brands!$A$2:$FZ$601,457,Sync!$D$11)),0)&gt;0,IFERROR(INDEX(Clay_Brands!$A$2:$FZ$601,457,Sync!$D$5)&amp;"","")&lt;&gt;"",OR(LEFT(IFERROR(INDEX(Clay_Brands!$A$2:$FZ$601,457,Sync!$D$5)&amp;"",""),6)&lt;&gt;"SAMPLE",Config!$B$19="Y")),IFERROR(N(INDEX(Clay_Brands!$A$2:$FZ$601,457,Sync!$D$11)),0),"")</f>
        <v/>
      </c>
      <c r="C3908" s="23" t="str">
        <f aca="false">IF(B3908="","","brand")</f>
        <v/>
      </c>
      <c r="D3908" s="23" t="str">
        <f aca="false">IF(B3908="","",IFERROR(INDEX(Brand_Log!$DV$2:$DV$201,MATCH(IFERROR(INDEX(Clay_Brands!$A$2:$FZ$601,457,Sync!$D$5)&amp;"",""),Brand_Log!$A$2:$A$201,0))&amp;"",IFERROR(INDEX(Clay_Brands!$A$2:$FZ$601,457,Sync!$D$5)&amp;"","")&amp;""))</f>
        <v/>
      </c>
      <c r="E3908" s="23" t="str">
        <f aca="false">IF(B3908="","",IFERROR(INDEX(Clay_Brands!$A$2:$FZ$601,457,Sync!$D$6)&amp;"",""))</f>
        <v/>
      </c>
      <c r="F3908" s="23" t="str">
        <f aca="false">IF(B3908="","","outreach_sent")</f>
        <v/>
      </c>
      <c r="G3908" s="23" t="str">
        <f aca="false">IF(B3908="","","")</f>
        <v/>
      </c>
      <c r="H3908" s="23" t="str">
        <f aca="false">IF(B3908="","","")</f>
        <v/>
      </c>
      <c r="I3908" s="23" t="str">
        <f aca="false">IF(B3908="","","")</f>
        <v/>
      </c>
      <c r="J3908" s="23" t="str">
        <f aca="false">IF(B3908="","","touch_1; "&amp;IFERROR(INDEX(Clay_Brands!$A$2:$FZ$601,457,Sync!$D$10)&amp;"","")&amp;"; "&amp;IFERROR(INDEX(Clay_Brands!$A$2:$FZ$601,457,Sync!$D$9)&amp;"",""))</f>
        <v/>
      </c>
      <c r="K3908" s="32" t="s">
        <v>1366</v>
      </c>
    </row>
    <row r="3909" customFormat="false" ht="15" hidden="false" customHeight="false" outlineLevel="0" collapsed="false">
      <c r="A3909" s="23" t="str">
        <f aca="false">IF(B3909="","",B3909+(15*1000+458)/10000000)</f>
        <v/>
      </c>
      <c r="B3909" s="35" t="str">
        <f aca="false">IF(AND(IFERROR(N(INDEX(Clay_Brands!$A$2:$FZ$601,458,Sync!$D$11)),0)&gt;0,IFERROR(INDEX(Clay_Brands!$A$2:$FZ$601,458,Sync!$D$5)&amp;"","")&lt;&gt;"",OR(LEFT(IFERROR(INDEX(Clay_Brands!$A$2:$FZ$601,458,Sync!$D$5)&amp;"",""),6)&lt;&gt;"SAMPLE",Config!$B$19="Y")),IFERROR(N(INDEX(Clay_Brands!$A$2:$FZ$601,458,Sync!$D$11)),0),"")</f>
        <v/>
      </c>
      <c r="C3909" s="23" t="str">
        <f aca="false">IF(B3909="","","brand")</f>
        <v/>
      </c>
      <c r="D3909" s="23" t="str">
        <f aca="false">IF(B3909="","",IFERROR(INDEX(Brand_Log!$DV$2:$DV$201,MATCH(IFERROR(INDEX(Clay_Brands!$A$2:$FZ$601,458,Sync!$D$5)&amp;"",""),Brand_Log!$A$2:$A$201,0))&amp;"",IFERROR(INDEX(Clay_Brands!$A$2:$FZ$601,458,Sync!$D$5)&amp;"","")&amp;""))</f>
        <v/>
      </c>
      <c r="E3909" s="23" t="str">
        <f aca="false">IF(B3909="","",IFERROR(INDEX(Clay_Brands!$A$2:$FZ$601,458,Sync!$D$6)&amp;"",""))</f>
        <v/>
      </c>
      <c r="F3909" s="23" t="str">
        <f aca="false">IF(B3909="","","outreach_sent")</f>
        <v/>
      </c>
      <c r="G3909" s="23" t="str">
        <f aca="false">IF(B3909="","","")</f>
        <v/>
      </c>
      <c r="H3909" s="23" t="str">
        <f aca="false">IF(B3909="","","")</f>
        <v/>
      </c>
      <c r="I3909" s="23" t="str">
        <f aca="false">IF(B3909="","","")</f>
        <v/>
      </c>
      <c r="J3909" s="23" t="str">
        <f aca="false">IF(B3909="","","touch_1; "&amp;IFERROR(INDEX(Clay_Brands!$A$2:$FZ$601,458,Sync!$D$10)&amp;"","")&amp;"; "&amp;IFERROR(INDEX(Clay_Brands!$A$2:$FZ$601,458,Sync!$D$9)&amp;"",""))</f>
        <v/>
      </c>
      <c r="K3909" s="32" t="s">
        <v>1366</v>
      </c>
    </row>
    <row r="3910" customFormat="false" ht="15" hidden="false" customHeight="false" outlineLevel="0" collapsed="false">
      <c r="A3910" s="23" t="str">
        <f aca="false">IF(B3910="","",B3910+(15*1000+459)/10000000)</f>
        <v/>
      </c>
      <c r="B3910" s="35" t="str">
        <f aca="false">IF(AND(IFERROR(N(INDEX(Clay_Brands!$A$2:$FZ$601,459,Sync!$D$11)),0)&gt;0,IFERROR(INDEX(Clay_Brands!$A$2:$FZ$601,459,Sync!$D$5)&amp;"","")&lt;&gt;"",OR(LEFT(IFERROR(INDEX(Clay_Brands!$A$2:$FZ$601,459,Sync!$D$5)&amp;"",""),6)&lt;&gt;"SAMPLE",Config!$B$19="Y")),IFERROR(N(INDEX(Clay_Brands!$A$2:$FZ$601,459,Sync!$D$11)),0),"")</f>
        <v/>
      </c>
      <c r="C3910" s="23" t="str">
        <f aca="false">IF(B3910="","","brand")</f>
        <v/>
      </c>
      <c r="D3910" s="23" t="str">
        <f aca="false">IF(B3910="","",IFERROR(INDEX(Brand_Log!$DV$2:$DV$201,MATCH(IFERROR(INDEX(Clay_Brands!$A$2:$FZ$601,459,Sync!$D$5)&amp;"",""),Brand_Log!$A$2:$A$201,0))&amp;"",IFERROR(INDEX(Clay_Brands!$A$2:$FZ$601,459,Sync!$D$5)&amp;"","")&amp;""))</f>
        <v/>
      </c>
      <c r="E3910" s="23" t="str">
        <f aca="false">IF(B3910="","",IFERROR(INDEX(Clay_Brands!$A$2:$FZ$601,459,Sync!$D$6)&amp;"",""))</f>
        <v/>
      </c>
      <c r="F3910" s="23" t="str">
        <f aca="false">IF(B3910="","","outreach_sent")</f>
        <v/>
      </c>
      <c r="G3910" s="23" t="str">
        <f aca="false">IF(B3910="","","")</f>
        <v/>
      </c>
      <c r="H3910" s="23" t="str">
        <f aca="false">IF(B3910="","","")</f>
        <v/>
      </c>
      <c r="I3910" s="23" t="str">
        <f aca="false">IF(B3910="","","")</f>
        <v/>
      </c>
      <c r="J3910" s="23" t="str">
        <f aca="false">IF(B3910="","","touch_1; "&amp;IFERROR(INDEX(Clay_Brands!$A$2:$FZ$601,459,Sync!$D$10)&amp;"","")&amp;"; "&amp;IFERROR(INDEX(Clay_Brands!$A$2:$FZ$601,459,Sync!$D$9)&amp;"",""))</f>
        <v/>
      </c>
      <c r="K3910" s="32" t="s">
        <v>1366</v>
      </c>
    </row>
    <row r="3911" customFormat="false" ht="15" hidden="false" customHeight="false" outlineLevel="0" collapsed="false">
      <c r="A3911" s="23" t="str">
        <f aca="false">IF(B3911="","",B3911+(15*1000+460)/10000000)</f>
        <v/>
      </c>
      <c r="B3911" s="35" t="str">
        <f aca="false">IF(AND(IFERROR(N(INDEX(Clay_Brands!$A$2:$FZ$601,460,Sync!$D$11)),0)&gt;0,IFERROR(INDEX(Clay_Brands!$A$2:$FZ$601,460,Sync!$D$5)&amp;"","")&lt;&gt;"",OR(LEFT(IFERROR(INDEX(Clay_Brands!$A$2:$FZ$601,460,Sync!$D$5)&amp;"",""),6)&lt;&gt;"SAMPLE",Config!$B$19="Y")),IFERROR(N(INDEX(Clay_Brands!$A$2:$FZ$601,460,Sync!$D$11)),0),"")</f>
        <v/>
      </c>
      <c r="C3911" s="23" t="str">
        <f aca="false">IF(B3911="","","brand")</f>
        <v/>
      </c>
      <c r="D3911" s="23" t="str">
        <f aca="false">IF(B3911="","",IFERROR(INDEX(Brand_Log!$DV$2:$DV$201,MATCH(IFERROR(INDEX(Clay_Brands!$A$2:$FZ$601,460,Sync!$D$5)&amp;"",""),Brand_Log!$A$2:$A$201,0))&amp;"",IFERROR(INDEX(Clay_Brands!$A$2:$FZ$601,460,Sync!$D$5)&amp;"","")&amp;""))</f>
        <v/>
      </c>
      <c r="E3911" s="23" t="str">
        <f aca="false">IF(B3911="","",IFERROR(INDEX(Clay_Brands!$A$2:$FZ$601,460,Sync!$D$6)&amp;"",""))</f>
        <v/>
      </c>
      <c r="F3911" s="23" t="str">
        <f aca="false">IF(B3911="","","outreach_sent")</f>
        <v/>
      </c>
      <c r="G3911" s="23" t="str">
        <f aca="false">IF(B3911="","","")</f>
        <v/>
      </c>
      <c r="H3911" s="23" t="str">
        <f aca="false">IF(B3911="","","")</f>
        <v/>
      </c>
      <c r="I3911" s="23" t="str">
        <f aca="false">IF(B3911="","","")</f>
        <v/>
      </c>
      <c r="J3911" s="23" t="str">
        <f aca="false">IF(B3911="","","touch_1; "&amp;IFERROR(INDEX(Clay_Brands!$A$2:$FZ$601,460,Sync!$D$10)&amp;"","")&amp;"; "&amp;IFERROR(INDEX(Clay_Brands!$A$2:$FZ$601,460,Sync!$D$9)&amp;"",""))</f>
        <v/>
      </c>
      <c r="K3911" s="32" t="s">
        <v>1366</v>
      </c>
    </row>
    <row r="3912" customFormat="false" ht="15" hidden="false" customHeight="false" outlineLevel="0" collapsed="false">
      <c r="A3912" s="23" t="str">
        <f aca="false">IF(B3912="","",B3912+(15*1000+461)/10000000)</f>
        <v/>
      </c>
      <c r="B3912" s="35" t="str">
        <f aca="false">IF(AND(IFERROR(N(INDEX(Clay_Brands!$A$2:$FZ$601,461,Sync!$D$11)),0)&gt;0,IFERROR(INDEX(Clay_Brands!$A$2:$FZ$601,461,Sync!$D$5)&amp;"","")&lt;&gt;"",OR(LEFT(IFERROR(INDEX(Clay_Brands!$A$2:$FZ$601,461,Sync!$D$5)&amp;"",""),6)&lt;&gt;"SAMPLE",Config!$B$19="Y")),IFERROR(N(INDEX(Clay_Brands!$A$2:$FZ$601,461,Sync!$D$11)),0),"")</f>
        <v/>
      </c>
      <c r="C3912" s="23" t="str">
        <f aca="false">IF(B3912="","","brand")</f>
        <v/>
      </c>
      <c r="D3912" s="23" t="str">
        <f aca="false">IF(B3912="","",IFERROR(INDEX(Brand_Log!$DV$2:$DV$201,MATCH(IFERROR(INDEX(Clay_Brands!$A$2:$FZ$601,461,Sync!$D$5)&amp;"",""),Brand_Log!$A$2:$A$201,0))&amp;"",IFERROR(INDEX(Clay_Brands!$A$2:$FZ$601,461,Sync!$D$5)&amp;"","")&amp;""))</f>
        <v/>
      </c>
      <c r="E3912" s="23" t="str">
        <f aca="false">IF(B3912="","",IFERROR(INDEX(Clay_Brands!$A$2:$FZ$601,461,Sync!$D$6)&amp;"",""))</f>
        <v/>
      </c>
      <c r="F3912" s="23" t="str">
        <f aca="false">IF(B3912="","","outreach_sent")</f>
        <v/>
      </c>
      <c r="G3912" s="23" t="str">
        <f aca="false">IF(B3912="","","")</f>
        <v/>
      </c>
      <c r="H3912" s="23" t="str">
        <f aca="false">IF(B3912="","","")</f>
        <v/>
      </c>
      <c r="I3912" s="23" t="str">
        <f aca="false">IF(B3912="","","")</f>
        <v/>
      </c>
      <c r="J3912" s="23" t="str">
        <f aca="false">IF(B3912="","","touch_1; "&amp;IFERROR(INDEX(Clay_Brands!$A$2:$FZ$601,461,Sync!$D$10)&amp;"","")&amp;"; "&amp;IFERROR(INDEX(Clay_Brands!$A$2:$FZ$601,461,Sync!$D$9)&amp;"",""))</f>
        <v/>
      </c>
      <c r="K3912" s="32" t="s">
        <v>1366</v>
      </c>
    </row>
    <row r="3913" customFormat="false" ht="15" hidden="false" customHeight="false" outlineLevel="0" collapsed="false">
      <c r="A3913" s="23" t="str">
        <f aca="false">IF(B3913="","",B3913+(15*1000+462)/10000000)</f>
        <v/>
      </c>
      <c r="B3913" s="35" t="str">
        <f aca="false">IF(AND(IFERROR(N(INDEX(Clay_Brands!$A$2:$FZ$601,462,Sync!$D$11)),0)&gt;0,IFERROR(INDEX(Clay_Brands!$A$2:$FZ$601,462,Sync!$D$5)&amp;"","")&lt;&gt;"",OR(LEFT(IFERROR(INDEX(Clay_Brands!$A$2:$FZ$601,462,Sync!$D$5)&amp;"",""),6)&lt;&gt;"SAMPLE",Config!$B$19="Y")),IFERROR(N(INDEX(Clay_Brands!$A$2:$FZ$601,462,Sync!$D$11)),0),"")</f>
        <v/>
      </c>
      <c r="C3913" s="23" t="str">
        <f aca="false">IF(B3913="","","brand")</f>
        <v/>
      </c>
      <c r="D3913" s="23" t="str">
        <f aca="false">IF(B3913="","",IFERROR(INDEX(Brand_Log!$DV$2:$DV$201,MATCH(IFERROR(INDEX(Clay_Brands!$A$2:$FZ$601,462,Sync!$D$5)&amp;"",""),Brand_Log!$A$2:$A$201,0))&amp;"",IFERROR(INDEX(Clay_Brands!$A$2:$FZ$601,462,Sync!$D$5)&amp;"","")&amp;""))</f>
        <v/>
      </c>
      <c r="E3913" s="23" t="str">
        <f aca="false">IF(B3913="","",IFERROR(INDEX(Clay_Brands!$A$2:$FZ$601,462,Sync!$D$6)&amp;"",""))</f>
        <v/>
      </c>
      <c r="F3913" s="23" t="str">
        <f aca="false">IF(B3913="","","outreach_sent")</f>
        <v/>
      </c>
      <c r="G3913" s="23" t="str">
        <f aca="false">IF(B3913="","","")</f>
        <v/>
      </c>
      <c r="H3913" s="23" t="str">
        <f aca="false">IF(B3913="","","")</f>
        <v/>
      </c>
      <c r="I3913" s="23" t="str">
        <f aca="false">IF(B3913="","","")</f>
        <v/>
      </c>
      <c r="J3913" s="23" t="str">
        <f aca="false">IF(B3913="","","touch_1; "&amp;IFERROR(INDEX(Clay_Brands!$A$2:$FZ$601,462,Sync!$D$10)&amp;"","")&amp;"; "&amp;IFERROR(INDEX(Clay_Brands!$A$2:$FZ$601,462,Sync!$D$9)&amp;"",""))</f>
        <v/>
      </c>
      <c r="K3913" s="32" t="s">
        <v>1366</v>
      </c>
    </row>
    <row r="3914" customFormat="false" ht="15" hidden="false" customHeight="false" outlineLevel="0" collapsed="false">
      <c r="A3914" s="23" t="str">
        <f aca="false">IF(B3914="","",B3914+(15*1000+463)/10000000)</f>
        <v/>
      </c>
      <c r="B3914" s="35" t="str">
        <f aca="false">IF(AND(IFERROR(N(INDEX(Clay_Brands!$A$2:$FZ$601,463,Sync!$D$11)),0)&gt;0,IFERROR(INDEX(Clay_Brands!$A$2:$FZ$601,463,Sync!$D$5)&amp;"","")&lt;&gt;"",OR(LEFT(IFERROR(INDEX(Clay_Brands!$A$2:$FZ$601,463,Sync!$D$5)&amp;"",""),6)&lt;&gt;"SAMPLE",Config!$B$19="Y")),IFERROR(N(INDEX(Clay_Brands!$A$2:$FZ$601,463,Sync!$D$11)),0),"")</f>
        <v/>
      </c>
      <c r="C3914" s="23" t="str">
        <f aca="false">IF(B3914="","","brand")</f>
        <v/>
      </c>
      <c r="D3914" s="23" t="str">
        <f aca="false">IF(B3914="","",IFERROR(INDEX(Brand_Log!$DV$2:$DV$201,MATCH(IFERROR(INDEX(Clay_Brands!$A$2:$FZ$601,463,Sync!$D$5)&amp;"",""),Brand_Log!$A$2:$A$201,0))&amp;"",IFERROR(INDEX(Clay_Brands!$A$2:$FZ$601,463,Sync!$D$5)&amp;"","")&amp;""))</f>
        <v/>
      </c>
      <c r="E3914" s="23" t="str">
        <f aca="false">IF(B3914="","",IFERROR(INDEX(Clay_Brands!$A$2:$FZ$601,463,Sync!$D$6)&amp;"",""))</f>
        <v/>
      </c>
      <c r="F3914" s="23" t="str">
        <f aca="false">IF(B3914="","","outreach_sent")</f>
        <v/>
      </c>
      <c r="G3914" s="23" t="str">
        <f aca="false">IF(B3914="","","")</f>
        <v/>
      </c>
      <c r="H3914" s="23" t="str">
        <f aca="false">IF(B3914="","","")</f>
        <v/>
      </c>
      <c r="I3914" s="23" t="str">
        <f aca="false">IF(B3914="","","")</f>
        <v/>
      </c>
      <c r="J3914" s="23" t="str">
        <f aca="false">IF(B3914="","","touch_1; "&amp;IFERROR(INDEX(Clay_Brands!$A$2:$FZ$601,463,Sync!$D$10)&amp;"","")&amp;"; "&amp;IFERROR(INDEX(Clay_Brands!$A$2:$FZ$601,463,Sync!$D$9)&amp;"",""))</f>
        <v/>
      </c>
      <c r="K3914" s="32" t="s">
        <v>1366</v>
      </c>
    </row>
    <row r="3915" customFormat="false" ht="15" hidden="false" customHeight="false" outlineLevel="0" collapsed="false">
      <c r="A3915" s="23" t="str">
        <f aca="false">IF(B3915="","",B3915+(15*1000+464)/10000000)</f>
        <v/>
      </c>
      <c r="B3915" s="35" t="str">
        <f aca="false">IF(AND(IFERROR(N(INDEX(Clay_Brands!$A$2:$FZ$601,464,Sync!$D$11)),0)&gt;0,IFERROR(INDEX(Clay_Brands!$A$2:$FZ$601,464,Sync!$D$5)&amp;"","")&lt;&gt;"",OR(LEFT(IFERROR(INDEX(Clay_Brands!$A$2:$FZ$601,464,Sync!$D$5)&amp;"",""),6)&lt;&gt;"SAMPLE",Config!$B$19="Y")),IFERROR(N(INDEX(Clay_Brands!$A$2:$FZ$601,464,Sync!$D$11)),0),"")</f>
        <v/>
      </c>
      <c r="C3915" s="23" t="str">
        <f aca="false">IF(B3915="","","brand")</f>
        <v/>
      </c>
      <c r="D3915" s="23" t="str">
        <f aca="false">IF(B3915="","",IFERROR(INDEX(Brand_Log!$DV$2:$DV$201,MATCH(IFERROR(INDEX(Clay_Brands!$A$2:$FZ$601,464,Sync!$D$5)&amp;"",""),Brand_Log!$A$2:$A$201,0))&amp;"",IFERROR(INDEX(Clay_Brands!$A$2:$FZ$601,464,Sync!$D$5)&amp;"","")&amp;""))</f>
        <v/>
      </c>
      <c r="E3915" s="23" t="str">
        <f aca="false">IF(B3915="","",IFERROR(INDEX(Clay_Brands!$A$2:$FZ$601,464,Sync!$D$6)&amp;"",""))</f>
        <v/>
      </c>
      <c r="F3915" s="23" t="str">
        <f aca="false">IF(B3915="","","outreach_sent")</f>
        <v/>
      </c>
      <c r="G3915" s="23" t="str">
        <f aca="false">IF(B3915="","","")</f>
        <v/>
      </c>
      <c r="H3915" s="23" t="str">
        <f aca="false">IF(B3915="","","")</f>
        <v/>
      </c>
      <c r="I3915" s="23" t="str">
        <f aca="false">IF(B3915="","","")</f>
        <v/>
      </c>
      <c r="J3915" s="23" t="str">
        <f aca="false">IF(B3915="","","touch_1; "&amp;IFERROR(INDEX(Clay_Brands!$A$2:$FZ$601,464,Sync!$D$10)&amp;"","")&amp;"; "&amp;IFERROR(INDEX(Clay_Brands!$A$2:$FZ$601,464,Sync!$D$9)&amp;"",""))</f>
        <v/>
      </c>
      <c r="K3915" s="32" t="s">
        <v>1366</v>
      </c>
    </row>
    <row r="3916" customFormat="false" ht="15" hidden="false" customHeight="false" outlineLevel="0" collapsed="false">
      <c r="A3916" s="23" t="str">
        <f aca="false">IF(B3916="","",B3916+(15*1000+465)/10000000)</f>
        <v/>
      </c>
      <c r="B3916" s="35" t="str">
        <f aca="false">IF(AND(IFERROR(N(INDEX(Clay_Brands!$A$2:$FZ$601,465,Sync!$D$11)),0)&gt;0,IFERROR(INDEX(Clay_Brands!$A$2:$FZ$601,465,Sync!$D$5)&amp;"","")&lt;&gt;"",OR(LEFT(IFERROR(INDEX(Clay_Brands!$A$2:$FZ$601,465,Sync!$D$5)&amp;"",""),6)&lt;&gt;"SAMPLE",Config!$B$19="Y")),IFERROR(N(INDEX(Clay_Brands!$A$2:$FZ$601,465,Sync!$D$11)),0),"")</f>
        <v/>
      </c>
      <c r="C3916" s="23" t="str">
        <f aca="false">IF(B3916="","","brand")</f>
        <v/>
      </c>
      <c r="D3916" s="23" t="str">
        <f aca="false">IF(B3916="","",IFERROR(INDEX(Brand_Log!$DV$2:$DV$201,MATCH(IFERROR(INDEX(Clay_Brands!$A$2:$FZ$601,465,Sync!$D$5)&amp;"",""),Brand_Log!$A$2:$A$201,0))&amp;"",IFERROR(INDEX(Clay_Brands!$A$2:$FZ$601,465,Sync!$D$5)&amp;"","")&amp;""))</f>
        <v/>
      </c>
      <c r="E3916" s="23" t="str">
        <f aca="false">IF(B3916="","",IFERROR(INDEX(Clay_Brands!$A$2:$FZ$601,465,Sync!$D$6)&amp;"",""))</f>
        <v/>
      </c>
      <c r="F3916" s="23" t="str">
        <f aca="false">IF(B3916="","","outreach_sent")</f>
        <v/>
      </c>
      <c r="G3916" s="23" t="str">
        <f aca="false">IF(B3916="","","")</f>
        <v/>
      </c>
      <c r="H3916" s="23" t="str">
        <f aca="false">IF(B3916="","","")</f>
        <v/>
      </c>
      <c r="I3916" s="23" t="str">
        <f aca="false">IF(B3916="","","")</f>
        <v/>
      </c>
      <c r="J3916" s="23" t="str">
        <f aca="false">IF(B3916="","","touch_1; "&amp;IFERROR(INDEX(Clay_Brands!$A$2:$FZ$601,465,Sync!$D$10)&amp;"","")&amp;"; "&amp;IFERROR(INDEX(Clay_Brands!$A$2:$FZ$601,465,Sync!$D$9)&amp;"",""))</f>
        <v/>
      </c>
      <c r="K3916" s="32" t="s">
        <v>1366</v>
      </c>
    </row>
    <row r="3917" customFormat="false" ht="15" hidden="false" customHeight="false" outlineLevel="0" collapsed="false">
      <c r="A3917" s="23" t="str">
        <f aca="false">IF(B3917="","",B3917+(15*1000+466)/10000000)</f>
        <v/>
      </c>
      <c r="B3917" s="35" t="str">
        <f aca="false">IF(AND(IFERROR(N(INDEX(Clay_Brands!$A$2:$FZ$601,466,Sync!$D$11)),0)&gt;0,IFERROR(INDEX(Clay_Brands!$A$2:$FZ$601,466,Sync!$D$5)&amp;"","")&lt;&gt;"",OR(LEFT(IFERROR(INDEX(Clay_Brands!$A$2:$FZ$601,466,Sync!$D$5)&amp;"",""),6)&lt;&gt;"SAMPLE",Config!$B$19="Y")),IFERROR(N(INDEX(Clay_Brands!$A$2:$FZ$601,466,Sync!$D$11)),0),"")</f>
        <v/>
      </c>
      <c r="C3917" s="23" t="str">
        <f aca="false">IF(B3917="","","brand")</f>
        <v/>
      </c>
      <c r="D3917" s="23" t="str">
        <f aca="false">IF(B3917="","",IFERROR(INDEX(Brand_Log!$DV$2:$DV$201,MATCH(IFERROR(INDEX(Clay_Brands!$A$2:$FZ$601,466,Sync!$D$5)&amp;"",""),Brand_Log!$A$2:$A$201,0))&amp;"",IFERROR(INDEX(Clay_Brands!$A$2:$FZ$601,466,Sync!$D$5)&amp;"","")&amp;""))</f>
        <v/>
      </c>
      <c r="E3917" s="23" t="str">
        <f aca="false">IF(B3917="","",IFERROR(INDEX(Clay_Brands!$A$2:$FZ$601,466,Sync!$D$6)&amp;"",""))</f>
        <v/>
      </c>
      <c r="F3917" s="23" t="str">
        <f aca="false">IF(B3917="","","outreach_sent")</f>
        <v/>
      </c>
      <c r="G3917" s="23" t="str">
        <f aca="false">IF(B3917="","","")</f>
        <v/>
      </c>
      <c r="H3917" s="23" t="str">
        <f aca="false">IF(B3917="","","")</f>
        <v/>
      </c>
      <c r="I3917" s="23" t="str">
        <f aca="false">IF(B3917="","","")</f>
        <v/>
      </c>
      <c r="J3917" s="23" t="str">
        <f aca="false">IF(B3917="","","touch_1; "&amp;IFERROR(INDEX(Clay_Brands!$A$2:$FZ$601,466,Sync!$D$10)&amp;"","")&amp;"; "&amp;IFERROR(INDEX(Clay_Brands!$A$2:$FZ$601,466,Sync!$D$9)&amp;"",""))</f>
        <v/>
      </c>
      <c r="K3917" s="32" t="s">
        <v>1366</v>
      </c>
    </row>
    <row r="3918" customFormat="false" ht="15" hidden="false" customHeight="false" outlineLevel="0" collapsed="false">
      <c r="A3918" s="23" t="str">
        <f aca="false">IF(B3918="","",B3918+(15*1000+467)/10000000)</f>
        <v/>
      </c>
      <c r="B3918" s="35" t="str">
        <f aca="false">IF(AND(IFERROR(N(INDEX(Clay_Brands!$A$2:$FZ$601,467,Sync!$D$11)),0)&gt;0,IFERROR(INDEX(Clay_Brands!$A$2:$FZ$601,467,Sync!$D$5)&amp;"","")&lt;&gt;"",OR(LEFT(IFERROR(INDEX(Clay_Brands!$A$2:$FZ$601,467,Sync!$D$5)&amp;"",""),6)&lt;&gt;"SAMPLE",Config!$B$19="Y")),IFERROR(N(INDEX(Clay_Brands!$A$2:$FZ$601,467,Sync!$D$11)),0),"")</f>
        <v/>
      </c>
      <c r="C3918" s="23" t="str">
        <f aca="false">IF(B3918="","","brand")</f>
        <v/>
      </c>
      <c r="D3918" s="23" t="str">
        <f aca="false">IF(B3918="","",IFERROR(INDEX(Brand_Log!$DV$2:$DV$201,MATCH(IFERROR(INDEX(Clay_Brands!$A$2:$FZ$601,467,Sync!$D$5)&amp;"",""),Brand_Log!$A$2:$A$201,0))&amp;"",IFERROR(INDEX(Clay_Brands!$A$2:$FZ$601,467,Sync!$D$5)&amp;"","")&amp;""))</f>
        <v/>
      </c>
      <c r="E3918" s="23" t="str">
        <f aca="false">IF(B3918="","",IFERROR(INDEX(Clay_Brands!$A$2:$FZ$601,467,Sync!$D$6)&amp;"",""))</f>
        <v/>
      </c>
      <c r="F3918" s="23" t="str">
        <f aca="false">IF(B3918="","","outreach_sent")</f>
        <v/>
      </c>
      <c r="G3918" s="23" t="str">
        <f aca="false">IF(B3918="","","")</f>
        <v/>
      </c>
      <c r="H3918" s="23" t="str">
        <f aca="false">IF(B3918="","","")</f>
        <v/>
      </c>
      <c r="I3918" s="23" t="str">
        <f aca="false">IF(B3918="","","")</f>
        <v/>
      </c>
      <c r="J3918" s="23" t="str">
        <f aca="false">IF(B3918="","","touch_1; "&amp;IFERROR(INDEX(Clay_Brands!$A$2:$FZ$601,467,Sync!$D$10)&amp;"","")&amp;"; "&amp;IFERROR(INDEX(Clay_Brands!$A$2:$FZ$601,467,Sync!$D$9)&amp;"",""))</f>
        <v/>
      </c>
      <c r="K3918" s="32" t="s">
        <v>1366</v>
      </c>
    </row>
    <row r="3919" customFormat="false" ht="15" hidden="false" customHeight="false" outlineLevel="0" collapsed="false">
      <c r="A3919" s="23" t="str">
        <f aca="false">IF(B3919="","",B3919+(15*1000+468)/10000000)</f>
        <v/>
      </c>
      <c r="B3919" s="35" t="str">
        <f aca="false">IF(AND(IFERROR(N(INDEX(Clay_Brands!$A$2:$FZ$601,468,Sync!$D$11)),0)&gt;0,IFERROR(INDEX(Clay_Brands!$A$2:$FZ$601,468,Sync!$D$5)&amp;"","")&lt;&gt;"",OR(LEFT(IFERROR(INDEX(Clay_Brands!$A$2:$FZ$601,468,Sync!$D$5)&amp;"",""),6)&lt;&gt;"SAMPLE",Config!$B$19="Y")),IFERROR(N(INDEX(Clay_Brands!$A$2:$FZ$601,468,Sync!$D$11)),0),"")</f>
        <v/>
      </c>
      <c r="C3919" s="23" t="str">
        <f aca="false">IF(B3919="","","brand")</f>
        <v/>
      </c>
      <c r="D3919" s="23" t="str">
        <f aca="false">IF(B3919="","",IFERROR(INDEX(Brand_Log!$DV$2:$DV$201,MATCH(IFERROR(INDEX(Clay_Brands!$A$2:$FZ$601,468,Sync!$D$5)&amp;"",""),Brand_Log!$A$2:$A$201,0))&amp;"",IFERROR(INDEX(Clay_Brands!$A$2:$FZ$601,468,Sync!$D$5)&amp;"","")&amp;""))</f>
        <v/>
      </c>
      <c r="E3919" s="23" t="str">
        <f aca="false">IF(B3919="","",IFERROR(INDEX(Clay_Brands!$A$2:$FZ$601,468,Sync!$D$6)&amp;"",""))</f>
        <v/>
      </c>
      <c r="F3919" s="23" t="str">
        <f aca="false">IF(B3919="","","outreach_sent")</f>
        <v/>
      </c>
      <c r="G3919" s="23" t="str">
        <f aca="false">IF(B3919="","","")</f>
        <v/>
      </c>
      <c r="H3919" s="23" t="str">
        <f aca="false">IF(B3919="","","")</f>
        <v/>
      </c>
      <c r="I3919" s="23" t="str">
        <f aca="false">IF(B3919="","","")</f>
        <v/>
      </c>
      <c r="J3919" s="23" t="str">
        <f aca="false">IF(B3919="","","touch_1; "&amp;IFERROR(INDEX(Clay_Brands!$A$2:$FZ$601,468,Sync!$D$10)&amp;"","")&amp;"; "&amp;IFERROR(INDEX(Clay_Brands!$A$2:$FZ$601,468,Sync!$D$9)&amp;"",""))</f>
        <v/>
      </c>
      <c r="K3919" s="32" t="s">
        <v>1366</v>
      </c>
    </row>
    <row r="3920" customFormat="false" ht="15" hidden="false" customHeight="false" outlineLevel="0" collapsed="false">
      <c r="A3920" s="23" t="str">
        <f aca="false">IF(B3920="","",B3920+(15*1000+469)/10000000)</f>
        <v/>
      </c>
      <c r="B3920" s="35" t="str">
        <f aca="false">IF(AND(IFERROR(N(INDEX(Clay_Brands!$A$2:$FZ$601,469,Sync!$D$11)),0)&gt;0,IFERROR(INDEX(Clay_Brands!$A$2:$FZ$601,469,Sync!$D$5)&amp;"","")&lt;&gt;"",OR(LEFT(IFERROR(INDEX(Clay_Brands!$A$2:$FZ$601,469,Sync!$D$5)&amp;"",""),6)&lt;&gt;"SAMPLE",Config!$B$19="Y")),IFERROR(N(INDEX(Clay_Brands!$A$2:$FZ$601,469,Sync!$D$11)),0),"")</f>
        <v/>
      </c>
      <c r="C3920" s="23" t="str">
        <f aca="false">IF(B3920="","","brand")</f>
        <v/>
      </c>
      <c r="D3920" s="23" t="str">
        <f aca="false">IF(B3920="","",IFERROR(INDEX(Brand_Log!$DV$2:$DV$201,MATCH(IFERROR(INDEX(Clay_Brands!$A$2:$FZ$601,469,Sync!$D$5)&amp;"",""),Brand_Log!$A$2:$A$201,0))&amp;"",IFERROR(INDEX(Clay_Brands!$A$2:$FZ$601,469,Sync!$D$5)&amp;"","")&amp;""))</f>
        <v/>
      </c>
      <c r="E3920" s="23" t="str">
        <f aca="false">IF(B3920="","",IFERROR(INDEX(Clay_Brands!$A$2:$FZ$601,469,Sync!$D$6)&amp;"",""))</f>
        <v/>
      </c>
      <c r="F3920" s="23" t="str">
        <f aca="false">IF(B3920="","","outreach_sent")</f>
        <v/>
      </c>
      <c r="G3920" s="23" t="str">
        <f aca="false">IF(B3920="","","")</f>
        <v/>
      </c>
      <c r="H3920" s="23" t="str">
        <f aca="false">IF(B3920="","","")</f>
        <v/>
      </c>
      <c r="I3920" s="23" t="str">
        <f aca="false">IF(B3920="","","")</f>
        <v/>
      </c>
      <c r="J3920" s="23" t="str">
        <f aca="false">IF(B3920="","","touch_1; "&amp;IFERROR(INDEX(Clay_Brands!$A$2:$FZ$601,469,Sync!$D$10)&amp;"","")&amp;"; "&amp;IFERROR(INDEX(Clay_Brands!$A$2:$FZ$601,469,Sync!$D$9)&amp;"",""))</f>
        <v/>
      </c>
      <c r="K3920" s="32" t="s">
        <v>1366</v>
      </c>
    </row>
    <row r="3921" customFormat="false" ht="15" hidden="false" customHeight="false" outlineLevel="0" collapsed="false">
      <c r="A3921" s="23" t="str">
        <f aca="false">IF(B3921="","",B3921+(15*1000+470)/10000000)</f>
        <v/>
      </c>
      <c r="B3921" s="35" t="str">
        <f aca="false">IF(AND(IFERROR(N(INDEX(Clay_Brands!$A$2:$FZ$601,470,Sync!$D$11)),0)&gt;0,IFERROR(INDEX(Clay_Brands!$A$2:$FZ$601,470,Sync!$D$5)&amp;"","")&lt;&gt;"",OR(LEFT(IFERROR(INDEX(Clay_Brands!$A$2:$FZ$601,470,Sync!$D$5)&amp;"",""),6)&lt;&gt;"SAMPLE",Config!$B$19="Y")),IFERROR(N(INDEX(Clay_Brands!$A$2:$FZ$601,470,Sync!$D$11)),0),"")</f>
        <v/>
      </c>
      <c r="C3921" s="23" t="str">
        <f aca="false">IF(B3921="","","brand")</f>
        <v/>
      </c>
      <c r="D3921" s="23" t="str">
        <f aca="false">IF(B3921="","",IFERROR(INDEX(Brand_Log!$DV$2:$DV$201,MATCH(IFERROR(INDEX(Clay_Brands!$A$2:$FZ$601,470,Sync!$D$5)&amp;"",""),Brand_Log!$A$2:$A$201,0))&amp;"",IFERROR(INDEX(Clay_Brands!$A$2:$FZ$601,470,Sync!$D$5)&amp;"","")&amp;""))</f>
        <v/>
      </c>
      <c r="E3921" s="23" t="str">
        <f aca="false">IF(B3921="","",IFERROR(INDEX(Clay_Brands!$A$2:$FZ$601,470,Sync!$D$6)&amp;"",""))</f>
        <v/>
      </c>
      <c r="F3921" s="23" t="str">
        <f aca="false">IF(B3921="","","outreach_sent")</f>
        <v/>
      </c>
      <c r="G3921" s="23" t="str">
        <f aca="false">IF(B3921="","","")</f>
        <v/>
      </c>
      <c r="H3921" s="23" t="str">
        <f aca="false">IF(B3921="","","")</f>
        <v/>
      </c>
      <c r="I3921" s="23" t="str">
        <f aca="false">IF(B3921="","","")</f>
        <v/>
      </c>
      <c r="J3921" s="23" t="str">
        <f aca="false">IF(B3921="","","touch_1; "&amp;IFERROR(INDEX(Clay_Brands!$A$2:$FZ$601,470,Sync!$D$10)&amp;"","")&amp;"; "&amp;IFERROR(INDEX(Clay_Brands!$A$2:$FZ$601,470,Sync!$D$9)&amp;"",""))</f>
        <v/>
      </c>
      <c r="K3921" s="32" t="s">
        <v>1366</v>
      </c>
    </row>
    <row r="3922" customFormat="false" ht="15" hidden="false" customHeight="false" outlineLevel="0" collapsed="false">
      <c r="A3922" s="23" t="str">
        <f aca="false">IF(B3922="","",B3922+(15*1000+471)/10000000)</f>
        <v/>
      </c>
      <c r="B3922" s="35" t="str">
        <f aca="false">IF(AND(IFERROR(N(INDEX(Clay_Brands!$A$2:$FZ$601,471,Sync!$D$11)),0)&gt;0,IFERROR(INDEX(Clay_Brands!$A$2:$FZ$601,471,Sync!$D$5)&amp;"","")&lt;&gt;"",OR(LEFT(IFERROR(INDEX(Clay_Brands!$A$2:$FZ$601,471,Sync!$D$5)&amp;"",""),6)&lt;&gt;"SAMPLE",Config!$B$19="Y")),IFERROR(N(INDEX(Clay_Brands!$A$2:$FZ$601,471,Sync!$D$11)),0),"")</f>
        <v/>
      </c>
      <c r="C3922" s="23" t="str">
        <f aca="false">IF(B3922="","","brand")</f>
        <v/>
      </c>
      <c r="D3922" s="23" t="str">
        <f aca="false">IF(B3922="","",IFERROR(INDEX(Brand_Log!$DV$2:$DV$201,MATCH(IFERROR(INDEX(Clay_Brands!$A$2:$FZ$601,471,Sync!$D$5)&amp;"",""),Brand_Log!$A$2:$A$201,0))&amp;"",IFERROR(INDEX(Clay_Brands!$A$2:$FZ$601,471,Sync!$D$5)&amp;"","")&amp;""))</f>
        <v/>
      </c>
      <c r="E3922" s="23" t="str">
        <f aca="false">IF(B3922="","",IFERROR(INDEX(Clay_Brands!$A$2:$FZ$601,471,Sync!$D$6)&amp;"",""))</f>
        <v/>
      </c>
      <c r="F3922" s="23" t="str">
        <f aca="false">IF(B3922="","","outreach_sent")</f>
        <v/>
      </c>
      <c r="G3922" s="23" t="str">
        <f aca="false">IF(B3922="","","")</f>
        <v/>
      </c>
      <c r="H3922" s="23" t="str">
        <f aca="false">IF(B3922="","","")</f>
        <v/>
      </c>
      <c r="I3922" s="23" t="str">
        <f aca="false">IF(B3922="","","")</f>
        <v/>
      </c>
      <c r="J3922" s="23" t="str">
        <f aca="false">IF(B3922="","","touch_1; "&amp;IFERROR(INDEX(Clay_Brands!$A$2:$FZ$601,471,Sync!$D$10)&amp;"","")&amp;"; "&amp;IFERROR(INDEX(Clay_Brands!$A$2:$FZ$601,471,Sync!$D$9)&amp;"",""))</f>
        <v/>
      </c>
      <c r="K3922" s="32" t="s">
        <v>1366</v>
      </c>
    </row>
    <row r="3923" customFormat="false" ht="15" hidden="false" customHeight="false" outlineLevel="0" collapsed="false">
      <c r="A3923" s="23" t="str">
        <f aca="false">IF(B3923="","",B3923+(15*1000+472)/10000000)</f>
        <v/>
      </c>
      <c r="B3923" s="35" t="str">
        <f aca="false">IF(AND(IFERROR(N(INDEX(Clay_Brands!$A$2:$FZ$601,472,Sync!$D$11)),0)&gt;0,IFERROR(INDEX(Clay_Brands!$A$2:$FZ$601,472,Sync!$D$5)&amp;"","")&lt;&gt;"",OR(LEFT(IFERROR(INDEX(Clay_Brands!$A$2:$FZ$601,472,Sync!$D$5)&amp;"",""),6)&lt;&gt;"SAMPLE",Config!$B$19="Y")),IFERROR(N(INDEX(Clay_Brands!$A$2:$FZ$601,472,Sync!$D$11)),0),"")</f>
        <v/>
      </c>
      <c r="C3923" s="23" t="str">
        <f aca="false">IF(B3923="","","brand")</f>
        <v/>
      </c>
      <c r="D3923" s="23" t="str">
        <f aca="false">IF(B3923="","",IFERROR(INDEX(Brand_Log!$DV$2:$DV$201,MATCH(IFERROR(INDEX(Clay_Brands!$A$2:$FZ$601,472,Sync!$D$5)&amp;"",""),Brand_Log!$A$2:$A$201,0))&amp;"",IFERROR(INDEX(Clay_Brands!$A$2:$FZ$601,472,Sync!$D$5)&amp;"","")&amp;""))</f>
        <v/>
      </c>
      <c r="E3923" s="23" t="str">
        <f aca="false">IF(B3923="","",IFERROR(INDEX(Clay_Brands!$A$2:$FZ$601,472,Sync!$D$6)&amp;"",""))</f>
        <v/>
      </c>
      <c r="F3923" s="23" t="str">
        <f aca="false">IF(B3923="","","outreach_sent")</f>
        <v/>
      </c>
      <c r="G3923" s="23" t="str">
        <f aca="false">IF(B3923="","","")</f>
        <v/>
      </c>
      <c r="H3923" s="23" t="str">
        <f aca="false">IF(B3923="","","")</f>
        <v/>
      </c>
      <c r="I3923" s="23" t="str">
        <f aca="false">IF(B3923="","","")</f>
        <v/>
      </c>
      <c r="J3923" s="23" t="str">
        <f aca="false">IF(B3923="","","touch_1; "&amp;IFERROR(INDEX(Clay_Brands!$A$2:$FZ$601,472,Sync!$D$10)&amp;"","")&amp;"; "&amp;IFERROR(INDEX(Clay_Brands!$A$2:$FZ$601,472,Sync!$D$9)&amp;"",""))</f>
        <v/>
      </c>
      <c r="K3923" s="32" t="s">
        <v>1366</v>
      </c>
    </row>
    <row r="3924" customFormat="false" ht="15" hidden="false" customHeight="false" outlineLevel="0" collapsed="false">
      <c r="A3924" s="23" t="str">
        <f aca="false">IF(B3924="","",B3924+(15*1000+473)/10000000)</f>
        <v/>
      </c>
      <c r="B3924" s="35" t="str">
        <f aca="false">IF(AND(IFERROR(N(INDEX(Clay_Brands!$A$2:$FZ$601,473,Sync!$D$11)),0)&gt;0,IFERROR(INDEX(Clay_Brands!$A$2:$FZ$601,473,Sync!$D$5)&amp;"","")&lt;&gt;"",OR(LEFT(IFERROR(INDEX(Clay_Brands!$A$2:$FZ$601,473,Sync!$D$5)&amp;"",""),6)&lt;&gt;"SAMPLE",Config!$B$19="Y")),IFERROR(N(INDEX(Clay_Brands!$A$2:$FZ$601,473,Sync!$D$11)),0),"")</f>
        <v/>
      </c>
      <c r="C3924" s="23" t="str">
        <f aca="false">IF(B3924="","","brand")</f>
        <v/>
      </c>
      <c r="D3924" s="23" t="str">
        <f aca="false">IF(B3924="","",IFERROR(INDEX(Brand_Log!$DV$2:$DV$201,MATCH(IFERROR(INDEX(Clay_Brands!$A$2:$FZ$601,473,Sync!$D$5)&amp;"",""),Brand_Log!$A$2:$A$201,0))&amp;"",IFERROR(INDEX(Clay_Brands!$A$2:$FZ$601,473,Sync!$D$5)&amp;"","")&amp;""))</f>
        <v/>
      </c>
      <c r="E3924" s="23" t="str">
        <f aca="false">IF(B3924="","",IFERROR(INDEX(Clay_Brands!$A$2:$FZ$601,473,Sync!$D$6)&amp;"",""))</f>
        <v/>
      </c>
      <c r="F3924" s="23" t="str">
        <f aca="false">IF(B3924="","","outreach_sent")</f>
        <v/>
      </c>
      <c r="G3924" s="23" t="str">
        <f aca="false">IF(B3924="","","")</f>
        <v/>
      </c>
      <c r="H3924" s="23" t="str">
        <f aca="false">IF(B3924="","","")</f>
        <v/>
      </c>
      <c r="I3924" s="23" t="str">
        <f aca="false">IF(B3924="","","")</f>
        <v/>
      </c>
      <c r="J3924" s="23" t="str">
        <f aca="false">IF(B3924="","","touch_1; "&amp;IFERROR(INDEX(Clay_Brands!$A$2:$FZ$601,473,Sync!$D$10)&amp;"","")&amp;"; "&amp;IFERROR(INDEX(Clay_Brands!$A$2:$FZ$601,473,Sync!$D$9)&amp;"",""))</f>
        <v/>
      </c>
      <c r="K3924" s="32" t="s">
        <v>1366</v>
      </c>
    </row>
    <row r="3925" customFormat="false" ht="15" hidden="false" customHeight="false" outlineLevel="0" collapsed="false">
      <c r="A3925" s="23" t="str">
        <f aca="false">IF(B3925="","",B3925+(15*1000+474)/10000000)</f>
        <v/>
      </c>
      <c r="B3925" s="35" t="str">
        <f aca="false">IF(AND(IFERROR(N(INDEX(Clay_Brands!$A$2:$FZ$601,474,Sync!$D$11)),0)&gt;0,IFERROR(INDEX(Clay_Brands!$A$2:$FZ$601,474,Sync!$D$5)&amp;"","")&lt;&gt;"",OR(LEFT(IFERROR(INDEX(Clay_Brands!$A$2:$FZ$601,474,Sync!$D$5)&amp;"",""),6)&lt;&gt;"SAMPLE",Config!$B$19="Y")),IFERROR(N(INDEX(Clay_Brands!$A$2:$FZ$601,474,Sync!$D$11)),0),"")</f>
        <v/>
      </c>
      <c r="C3925" s="23" t="str">
        <f aca="false">IF(B3925="","","brand")</f>
        <v/>
      </c>
      <c r="D3925" s="23" t="str">
        <f aca="false">IF(B3925="","",IFERROR(INDEX(Brand_Log!$DV$2:$DV$201,MATCH(IFERROR(INDEX(Clay_Brands!$A$2:$FZ$601,474,Sync!$D$5)&amp;"",""),Brand_Log!$A$2:$A$201,0))&amp;"",IFERROR(INDEX(Clay_Brands!$A$2:$FZ$601,474,Sync!$D$5)&amp;"","")&amp;""))</f>
        <v/>
      </c>
      <c r="E3925" s="23" t="str">
        <f aca="false">IF(B3925="","",IFERROR(INDEX(Clay_Brands!$A$2:$FZ$601,474,Sync!$D$6)&amp;"",""))</f>
        <v/>
      </c>
      <c r="F3925" s="23" t="str">
        <f aca="false">IF(B3925="","","outreach_sent")</f>
        <v/>
      </c>
      <c r="G3925" s="23" t="str">
        <f aca="false">IF(B3925="","","")</f>
        <v/>
      </c>
      <c r="H3925" s="23" t="str">
        <f aca="false">IF(B3925="","","")</f>
        <v/>
      </c>
      <c r="I3925" s="23" t="str">
        <f aca="false">IF(B3925="","","")</f>
        <v/>
      </c>
      <c r="J3925" s="23" t="str">
        <f aca="false">IF(B3925="","","touch_1; "&amp;IFERROR(INDEX(Clay_Brands!$A$2:$FZ$601,474,Sync!$D$10)&amp;"","")&amp;"; "&amp;IFERROR(INDEX(Clay_Brands!$A$2:$FZ$601,474,Sync!$D$9)&amp;"",""))</f>
        <v/>
      </c>
      <c r="K3925" s="32" t="s">
        <v>1366</v>
      </c>
    </row>
    <row r="3926" customFormat="false" ht="15" hidden="false" customHeight="false" outlineLevel="0" collapsed="false">
      <c r="A3926" s="23" t="str">
        <f aca="false">IF(B3926="","",B3926+(15*1000+475)/10000000)</f>
        <v/>
      </c>
      <c r="B3926" s="35" t="str">
        <f aca="false">IF(AND(IFERROR(N(INDEX(Clay_Brands!$A$2:$FZ$601,475,Sync!$D$11)),0)&gt;0,IFERROR(INDEX(Clay_Brands!$A$2:$FZ$601,475,Sync!$D$5)&amp;"","")&lt;&gt;"",OR(LEFT(IFERROR(INDEX(Clay_Brands!$A$2:$FZ$601,475,Sync!$D$5)&amp;"",""),6)&lt;&gt;"SAMPLE",Config!$B$19="Y")),IFERROR(N(INDEX(Clay_Brands!$A$2:$FZ$601,475,Sync!$D$11)),0),"")</f>
        <v/>
      </c>
      <c r="C3926" s="23" t="str">
        <f aca="false">IF(B3926="","","brand")</f>
        <v/>
      </c>
      <c r="D3926" s="23" t="str">
        <f aca="false">IF(B3926="","",IFERROR(INDEX(Brand_Log!$DV$2:$DV$201,MATCH(IFERROR(INDEX(Clay_Brands!$A$2:$FZ$601,475,Sync!$D$5)&amp;"",""),Brand_Log!$A$2:$A$201,0))&amp;"",IFERROR(INDEX(Clay_Brands!$A$2:$FZ$601,475,Sync!$D$5)&amp;"","")&amp;""))</f>
        <v/>
      </c>
      <c r="E3926" s="23" t="str">
        <f aca="false">IF(B3926="","",IFERROR(INDEX(Clay_Brands!$A$2:$FZ$601,475,Sync!$D$6)&amp;"",""))</f>
        <v/>
      </c>
      <c r="F3926" s="23" t="str">
        <f aca="false">IF(B3926="","","outreach_sent")</f>
        <v/>
      </c>
      <c r="G3926" s="23" t="str">
        <f aca="false">IF(B3926="","","")</f>
        <v/>
      </c>
      <c r="H3926" s="23" t="str">
        <f aca="false">IF(B3926="","","")</f>
        <v/>
      </c>
      <c r="I3926" s="23" t="str">
        <f aca="false">IF(B3926="","","")</f>
        <v/>
      </c>
      <c r="J3926" s="23" t="str">
        <f aca="false">IF(B3926="","","touch_1; "&amp;IFERROR(INDEX(Clay_Brands!$A$2:$FZ$601,475,Sync!$D$10)&amp;"","")&amp;"; "&amp;IFERROR(INDEX(Clay_Brands!$A$2:$FZ$601,475,Sync!$D$9)&amp;"",""))</f>
        <v/>
      </c>
      <c r="K3926" s="32" t="s">
        <v>1366</v>
      </c>
    </row>
    <row r="3927" customFormat="false" ht="15" hidden="false" customHeight="false" outlineLevel="0" collapsed="false">
      <c r="A3927" s="23" t="str">
        <f aca="false">IF(B3927="","",B3927+(15*1000+476)/10000000)</f>
        <v/>
      </c>
      <c r="B3927" s="35" t="str">
        <f aca="false">IF(AND(IFERROR(N(INDEX(Clay_Brands!$A$2:$FZ$601,476,Sync!$D$11)),0)&gt;0,IFERROR(INDEX(Clay_Brands!$A$2:$FZ$601,476,Sync!$D$5)&amp;"","")&lt;&gt;"",OR(LEFT(IFERROR(INDEX(Clay_Brands!$A$2:$FZ$601,476,Sync!$D$5)&amp;"",""),6)&lt;&gt;"SAMPLE",Config!$B$19="Y")),IFERROR(N(INDEX(Clay_Brands!$A$2:$FZ$601,476,Sync!$D$11)),0),"")</f>
        <v/>
      </c>
      <c r="C3927" s="23" t="str">
        <f aca="false">IF(B3927="","","brand")</f>
        <v/>
      </c>
      <c r="D3927" s="23" t="str">
        <f aca="false">IF(B3927="","",IFERROR(INDEX(Brand_Log!$DV$2:$DV$201,MATCH(IFERROR(INDEX(Clay_Brands!$A$2:$FZ$601,476,Sync!$D$5)&amp;"",""),Brand_Log!$A$2:$A$201,0))&amp;"",IFERROR(INDEX(Clay_Brands!$A$2:$FZ$601,476,Sync!$D$5)&amp;"","")&amp;""))</f>
        <v/>
      </c>
      <c r="E3927" s="23" t="str">
        <f aca="false">IF(B3927="","",IFERROR(INDEX(Clay_Brands!$A$2:$FZ$601,476,Sync!$D$6)&amp;"",""))</f>
        <v/>
      </c>
      <c r="F3927" s="23" t="str">
        <f aca="false">IF(B3927="","","outreach_sent")</f>
        <v/>
      </c>
      <c r="G3927" s="23" t="str">
        <f aca="false">IF(B3927="","","")</f>
        <v/>
      </c>
      <c r="H3927" s="23" t="str">
        <f aca="false">IF(B3927="","","")</f>
        <v/>
      </c>
      <c r="I3927" s="23" t="str">
        <f aca="false">IF(B3927="","","")</f>
        <v/>
      </c>
      <c r="J3927" s="23" t="str">
        <f aca="false">IF(B3927="","","touch_1; "&amp;IFERROR(INDEX(Clay_Brands!$A$2:$FZ$601,476,Sync!$D$10)&amp;"","")&amp;"; "&amp;IFERROR(INDEX(Clay_Brands!$A$2:$FZ$601,476,Sync!$D$9)&amp;"",""))</f>
        <v/>
      </c>
      <c r="K3927" s="32" t="s">
        <v>1366</v>
      </c>
    </row>
    <row r="3928" customFormat="false" ht="15" hidden="false" customHeight="false" outlineLevel="0" collapsed="false">
      <c r="A3928" s="23" t="str">
        <f aca="false">IF(B3928="","",B3928+(15*1000+477)/10000000)</f>
        <v/>
      </c>
      <c r="B3928" s="35" t="str">
        <f aca="false">IF(AND(IFERROR(N(INDEX(Clay_Brands!$A$2:$FZ$601,477,Sync!$D$11)),0)&gt;0,IFERROR(INDEX(Clay_Brands!$A$2:$FZ$601,477,Sync!$D$5)&amp;"","")&lt;&gt;"",OR(LEFT(IFERROR(INDEX(Clay_Brands!$A$2:$FZ$601,477,Sync!$D$5)&amp;"",""),6)&lt;&gt;"SAMPLE",Config!$B$19="Y")),IFERROR(N(INDEX(Clay_Brands!$A$2:$FZ$601,477,Sync!$D$11)),0),"")</f>
        <v/>
      </c>
      <c r="C3928" s="23" t="str">
        <f aca="false">IF(B3928="","","brand")</f>
        <v/>
      </c>
      <c r="D3928" s="23" t="str">
        <f aca="false">IF(B3928="","",IFERROR(INDEX(Brand_Log!$DV$2:$DV$201,MATCH(IFERROR(INDEX(Clay_Brands!$A$2:$FZ$601,477,Sync!$D$5)&amp;"",""),Brand_Log!$A$2:$A$201,0))&amp;"",IFERROR(INDEX(Clay_Brands!$A$2:$FZ$601,477,Sync!$D$5)&amp;"","")&amp;""))</f>
        <v/>
      </c>
      <c r="E3928" s="23" t="str">
        <f aca="false">IF(B3928="","",IFERROR(INDEX(Clay_Brands!$A$2:$FZ$601,477,Sync!$D$6)&amp;"",""))</f>
        <v/>
      </c>
      <c r="F3928" s="23" t="str">
        <f aca="false">IF(B3928="","","outreach_sent")</f>
        <v/>
      </c>
      <c r="G3928" s="23" t="str">
        <f aca="false">IF(B3928="","","")</f>
        <v/>
      </c>
      <c r="H3928" s="23" t="str">
        <f aca="false">IF(B3928="","","")</f>
        <v/>
      </c>
      <c r="I3928" s="23" t="str">
        <f aca="false">IF(B3928="","","")</f>
        <v/>
      </c>
      <c r="J3928" s="23" t="str">
        <f aca="false">IF(B3928="","","touch_1; "&amp;IFERROR(INDEX(Clay_Brands!$A$2:$FZ$601,477,Sync!$D$10)&amp;"","")&amp;"; "&amp;IFERROR(INDEX(Clay_Brands!$A$2:$FZ$601,477,Sync!$D$9)&amp;"",""))</f>
        <v/>
      </c>
      <c r="K3928" s="32" t="s">
        <v>1366</v>
      </c>
    </row>
    <row r="3929" customFormat="false" ht="15" hidden="false" customHeight="false" outlineLevel="0" collapsed="false">
      <c r="A3929" s="23" t="str">
        <f aca="false">IF(B3929="","",B3929+(15*1000+478)/10000000)</f>
        <v/>
      </c>
      <c r="B3929" s="35" t="str">
        <f aca="false">IF(AND(IFERROR(N(INDEX(Clay_Brands!$A$2:$FZ$601,478,Sync!$D$11)),0)&gt;0,IFERROR(INDEX(Clay_Brands!$A$2:$FZ$601,478,Sync!$D$5)&amp;"","")&lt;&gt;"",OR(LEFT(IFERROR(INDEX(Clay_Brands!$A$2:$FZ$601,478,Sync!$D$5)&amp;"",""),6)&lt;&gt;"SAMPLE",Config!$B$19="Y")),IFERROR(N(INDEX(Clay_Brands!$A$2:$FZ$601,478,Sync!$D$11)),0),"")</f>
        <v/>
      </c>
      <c r="C3929" s="23" t="str">
        <f aca="false">IF(B3929="","","brand")</f>
        <v/>
      </c>
      <c r="D3929" s="23" t="str">
        <f aca="false">IF(B3929="","",IFERROR(INDEX(Brand_Log!$DV$2:$DV$201,MATCH(IFERROR(INDEX(Clay_Brands!$A$2:$FZ$601,478,Sync!$D$5)&amp;"",""),Brand_Log!$A$2:$A$201,0))&amp;"",IFERROR(INDEX(Clay_Brands!$A$2:$FZ$601,478,Sync!$D$5)&amp;"","")&amp;""))</f>
        <v/>
      </c>
      <c r="E3929" s="23" t="str">
        <f aca="false">IF(B3929="","",IFERROR(INDEX(Clay_Brands!$A$2:$FZ$601,478,Sync!$D$6)&amp;"",""))</f>
        <v/>
      </c>
      <c r="F3929" s="23" t="str">
        <f aca="false">IF(B3929="","","outreach_sent")</f>
        <v/>
      </c>
      <c r="G3929" s="23" t="str">
        <f aca="false">IF(B3929="","","")</f>
        <v/>
      </c>
      <c r="H3929" s="23" t="str">
        <f aca="false">IF(B3929="","","")</f>
        <v/>
      </c>
      <c r="I3929" s="23" t="str">
        <f aca="false">IF(B3929="","","")</f>
        <v/>
      </c>
      <c r="J3929" s="23" t="str">
        <f aca="false">IF(B3929="","","touch_1; "&amp;IFERROR(INDEX(Clay_Brands!$A$2:$FZ$601,478,Sync!$D$10)&amp;"","")&amp;"; "&amp;IFERROR(INDEX(Clay_Brands!$A$2:$FZ$601,478,Sync!$D$9)&amp;"",""))</f>
        <v/>
      </c>
      <c r="K3929" s="32" t="s">
        <v>1366</v>
      </c>
    </row>
    <row r="3930" customFormat="false" ht="15" hidden="false" customHeight="false" outlineLevel="0" collapsed="false">
      <c r="A3930" s="23" t="str">
        <f aca="false">IF(B3930="","",B3930+(15*1000+479)/10000000)</f>
        <v/>
      </c>
      <c r="B3930" s="35" t="str">
        <f aca="false">IF(AND(IFERROR(N(INDEX(Clay_Brands!$A$2:$FZ$601,479,Sync!$D$11)),0)&gt;0,IFERROR(INDEX(Clay_Brands!$A$2:$FZ$601,479,Sync!$D$5)&amp;"","")&lt;&gt;"",OR(LEFT(IFERROR(INDEX(Clay_Brands!$A$2:$FZ$601,479,Sync!$D$5)&amp;"",""),6)&lt;&gt;"SAMPLE",Config!$B$19="Y")),IFERROR(N(INDEX(Clay_Brands!$A$2:$FZ$601,479,Sync!$D$11)),0),"")</f>
        <v/>
      </c>
      <c r="C3930" s="23" t="str">
        <f aca="false">IF(B3930="","","brand")</f>
        <v/>
      </c>
      <c r="D3930" s="23" t="str">
        <f aca="false">IF(B3930="","",IFERROR(INDEX(Brand_Log!$DV$2:$DV$201,MATCH(IFERROR(INDEX(Clay_Brands!$A$2:$FZ$601,479,Sync!$D$5)&amp;"",""),Brand_Log!$A$2:$A$201,0))&amp;"",IFERROR(INDEX(Clay_Brands!$A$2:$FZ$601,479,Sync!$D$5)&amp;"","")&amp;""))</f>
        <v/>
      </c>
      <c r="E3930" s="23" t="str">
        <f aca="false">IF(B3930="","",IFERROR(INDEX(Clay_Brands!$A$2:$FZ$601,479,Sync!$D$6)&amp;"",""))</f>
        <v/>
      </c>
      <c r="F3930" s="23" t="str">
        <f aca="false">IF(B3930="","","outreach_sent")</f>
        <v/>
      </c>
      <c r="G3930" s="23" t="str">
        <f aca="false">IF(B3930="","","")</f>
        <v/>
      </c>
      <c r="H3930" s="23" t="str">
        <f aca="false">IF(B3930="","","")</f>
        <v/>
      </c>
      <c r="I3930" s="23" t="str">
        <f aca="false">IF(B3930="","","")</f>
        <v/>
      </c>
      <c r="J3930" s="23" t="str">
        <f aca="false">IF(B3930="","","touch_1; "&amp;IFERROR(INDEX(Clay_Brands!$A$2:$FZ$601,479,Sync!$D$10)&amp;"","")&amp;"; "&amp;IFERROR(INDEX(Clay_Brands!$A$2:$FZ$601,479,Sync!$D$9)&amp;"",""))</f>
        <v/>
      </c>
      <c r="K3930" s="32" t="s">
        <v>1366</v>
      </c>
    </row>
    <row r="3931" customFormat="false" ht="15" hidden="false" customHeight="false" outlineLevel="0" collapsed="false">
      <c r="A3931" s="23" t="str">
        <f aca="false">IF(B3931="","",B3931+(15*1000+480)/10000000)</f>
        <v/>
      </c>
      <c r="B3931" s="35" t="str">
        <f aca="false">IF(AND(IFERROR(N(INDEX(Clay_Brands!$A$2:$FZ$601,480,Sync!$D$11)),0)&gt;0,IFERROR(INDEX(Clay_Brands!$A$2:$FZ$601,480,Sync!$D$5)&amp;"","")&lt;&gt;"",OR(LEFT(IFERROR(INDEX(Clay_Brands!$A$2:$FZ$601,480,Sync!$D$5)&amp;"",""),6)&lt;&gt;"SAMPLE",Config!$B$19="Y")),IFERROR(N(INDEX(Clay_Brands!$A$2:$FZ$601,480,Sync!$D$11)),0),"")</f>
        <v/>
      </c>
      <c r="C3931" s="23" t="str">
        <f aca="false">IF(B3931="","","brand")</f>
        <v/>
      </c>
      <c r="D3931" s="23" t="str">
        <f aca="false">IF(B3931="","",IFERROR(INDEX(Brand_Log!$DV$2:$DV$201,MATCH(IFERROR(INDEX(Clay_Brands!$A$2:$FZ$601,480,Sync!$D$5)&amp;"",""),Brand_Log!$A$2:$A$201,0))&amp;"",IFERROR(INDEX(Clay_Brands!$A$2:$FZ$601,480,Sync!$D$5)&amp;"","")&amp;""))</f>
        <v/>
      </c>
      <c r="E3931" s="23" t="str">
        <f aca="false">IF(B3931="","",IFERROR(INDEX(Clay_Brands!$A$2:$FZ$601,480,Sync!$D$6)&amp;"",""))</f>
        <v/>
      </c>
      <c r="F3931" s="23" t="str">
        <f aca="false">IF(B3931="","","outreach_sent")</f>
        <v/>
      </c>
      <c r="G3931" s="23" t="str">
        <f aca="false">IF(B3931="","","")</f>
        <v/>
      </c>
      <c r="H3931" s="23" t="str">
        <f aca="false">IF(B3931="","","")</f>
        <v/>
      </c>
      <c r="I3931" s="23" t="str">
        <f aca="false">IF(B3931="","","")</f>
        <v/>
      </c>
      <c r="J3931" s="23" t="str">
        <f aca="false">IF(B3931="","","touch_1; "&amp;IFERROR(INDEX(Clay_Brands!$A$2:$FZ$601,480,Sync!$D$10)&amp;"","")&amp;"; "&amp;IFERROR(INDEX(Clay_Brands!$A$2:$FZ$601,480,Sync!$D$9)&amp;"",""))</f>
        <v/>
      </c>
      <c r="K3931" s="32" t="s">
        <v>1366</v>
      </c>
    </row>
    <row r="3932" customFormat="false" ht="15" hidden="false" customHeight="false" outlineLevel="0" collapsed="false">
      <c r="A3932" s="23" t="str">
        <f aca="false">IF(B3932="","",B3932+(15*1000+481)/10000000)</f>
        <v/>
      </c>
      <c r="B3932" s="35" t="str">
        <f aca="false">IF(AND(IFERROR(N(INDEX(Clay_Brands!$A$2:$FZ$601,481,Sync!$D$11)),0)&gt;0,IFERROR(INDEX(Clay_Brands!$A$2:$FZ$601,481,Sync!$D$5)&amp;"","")&lt;&gt;"",OR(LEFT(IFERROR(INDEX(Clay_Brands!$A$2:$FZ$601,481,Sync!$D$5)&amp;"",""),6)&lt;&gt;"SAMPLE",Config!$B$19="Y")),IFERROR(N(INDEX(Clay_Brands!$A$2:$FZ$601,481,Sync!$D$11)),0),"")</f>
        <v/>
      </c>
      <c r="C3932" s="23" t="str">
        <f aca="false">IF(B3932="","","brand")</f>
        <v/>
      </c>
      <c r="D3932" s="23" t="str">
        <f aca="false">IF(B3932="","",IFERROR(INDEX(Brand_Log!$DV$2:$DV$201,MATCH(IFERROR(INDEX(Clay_Brands!$A$2:$FZ$601,481,Sync!$D$5)&amp;"",""),Brand_Log!$A$2:$A$201,0))&amp;"",IFERROR(INDEX(Clay_Brands!$A$2:$FZ$601,481,Sync!$D$5)&amp;"","")&amp;""))</f>
        <v/>
      </c>
      <c r="E3932" s="23" t="str">
        <f aca="false">IF(B3932="","",IFERROR(INDEX(Clay_Brands!$A$2:$FZ$601,481,Sync!$D$6)&amp;"",""))</f>
        <v/>
      </c>
      <c r="F3932" s="23" t="str">
        <f aca="false">IF(B3932="","","outreach_sent")</f>
        <v/>
      </c>
      <c r="G3932" s="23" t="str">
        <f aca="false">IF(B3932="","","")</f>
        <v/>
      </c>
      <c r="H3932" s="23" t="str">
        <f aca="false">IF(B3932="","","")</f>
        <v/>
      </c>
      <c r="I3932" s="23" t="str">
        <f aca="false">IF(B3932="","","")</f>
        <v/>
      </c>
      <c r="J3932" s="23" t="str">
        <f aca="false">IF(B3932="","","touch_1; "&amp;IFERROR(INDEX(Clay_Brands!$A$2:$FZ$601,481,Sync!$D$10)&amp;"","")&amp;"; "&amp;IFERROR(INDEX(Clay_Brands!$A$2:$FZ$601,481,Sync!$D$9)&amp;"",""))</f>
        <v/>
      </c>
      <c r="K3932" s="32" t="s">
        <v>1366</v>
      </c>
    </row>
    <row r="3933" customFormat="false" ht="15" hidden="false" customHeight="false" outlineLevel="0" collapsed="false">
      <c r="A3933" s="23" t="str">
        <f aca="false">IF(B3933="","",B3933+(15*1000+482)/10000000)</f>
        <v/>
      </c>
      <c r="B3933" s="35" t="str">
        <f aca="false">IF(AND(IFERROR(N(INDEX(Clay_Brands!$A$2:$FZ$601,482,Sync!$D$11)),0)&gt;0,IFERROR(INDEX(Clay_Brands!$A$2:$FZ$601,482,Sync!$D$5)&amp;"","")&lt;&gt;"",OR(LEFT(IFERROR(INDEX(Clay_Brands!$A$2:$FZ$601,482,Sync!$D$5)&amp;"",""),6)&lt;&gt;"SAMPLE",Config!$B$19="Y")),IFERROR(N(INDEX(Clay_Brands!$A$2:$FZ$601,482,Sync!$D$11)),0),"")</f>
        <v/>
      </c>
      <c r="C3933" s="23" t="str">
        <f aca="false">IF(B3933="","","brand")</f>
        <v/>
      </c>
      <c r="D3933" s="23" t="str">
        <f aca="false">IF(B3933="","",IFERROR(INDEX(Brand_Log!$DV$2:$DV$201,MATCH(IFERROR(INDEX(Clay_Brands!$A$2:$FZ$601,482,Sync!$D$5)&amp;"",""),Brand_Log!$A$2:$A$201,0))&amp;"",IFERROR(INDEX(Clay_Brands!$A$2:$FZ$601,482,Sync!$D$5)&amp;"","")&amp;""))</f>
        <v/>
      </c>
      <c r="E3933" s="23" t="str">
        <f aca="false">IF(B3933="","",IFERROR(INDEX(Clay_Brands!$A$2:$FZ$601,482,Sync!$D$6)&amp;"",""))</f>
        <v/>
      </c>
      <c r="F3933" s="23" t="str">
        <f aca="false">IF(B3933="","","outreach_sent")</f>
        <v/>
      </c>
      <c r="G3933" s="23" t="str">
        <f aca="false">IF(B3933="","","")</f>
        <v/>
      </c>
      <c r="H3933" s="23" t="str">
        <f aca="false">IF(B3933="","","")</f>
        <v/>
      </c>
      <c r="I3933" s="23" t="str">
        <f aca="false">IF(B3933="","","")</f>
        <v/>
      </c>
      <c r="J3933" s="23" t="str">
        <f aca="false">IF(B3933="","","touch_1; "&amp;IFERROR(INDEX(Clay_Brands!$A$2:$FZ$601,482,Sync!$D$10)&amp;"","")&amp;"; "&amp;IFERROR(INDEX(Clay_Brands!$A$2:$FZ$601,482,Sync!$D$9)&amp;"",""))</f>
        <v/>
      </c>
      <c r="K3933" s="32" t="s">
        <v>1366</v>
      </c>
    </row>
    <row r="3934" customFormat="false" ht="15" hidden="false" customHeight="false" outlineLevel="0" collapsed="false">
      <c r="A3934" s="23" t="str">
        <f aca="false">IF(B3934="","",B3934+(15*1000+483)/10000000)</f>
        <v/>
      </c>
      <c r="B3934" s="35" t="str">
        <f aca="false">IF(AND(IFERROR(N(INDEX(Clay_Brands!$A$2:$FZ$601,483,Sync!$D$11)),0)&gt;0,IFERROR(INDEX(Clay_Brands!$A$2:$FZ$601,483,Sync!$D$5)&amp;"","")&lt;&gt;"",OR(LEFT(IFERROR(INDEX(Clay_Brands!$A$2:$FZ$601,483,Sync!$D$5)&amp;"",""),6)&lt;&gt;"SAMPLE",Config!$B$19="Y")),IFERROR(N(INDEX(Clay_Brands!$A$2:$FZ$601,483,Sync!$D$11)),0),"")</f>
        <v/>
      </c>
      <c r="C3934" s="23" t="str">
        <f aca="false">IF(B3934="","","brand")</f>
        <v/>
      </c>
      <c r="D3934" s="23" t="str">
        <f aca="false">IF(B3934="","",IFERROR(INDEX(Brand_Log!$DV$2:$DV$201,MATCH(IFERROR(INDEX(Clay_Brands!$A$2:$FZ$601,483,Sync!$D$5)&amp;"",""),Brand_Log!$A$2:$A$201,0))&amp;"",IFERROR(INDEX(Clay_Brands!$A$2:$FZ$601,483,Sync!$D$5)&amp;"","")&amp;""))</f>
        <v/>
      </c>
      <c r="E3934" s="23" t="str">
        <f aca="false">IF(B3934="","",IFERROR(INDEX(Clay_Brands!$A$2:$FZ$601,483,Sync!$D$6)&amp;"",""))</f>
        <v/>
      </c>
      <c r="F3934" s="23" t="str">
        <f aca="false">IF(B3934="","","outreach_sent")</f>
        <v/>
      </c>
      <c r="G3934" s="23" t="str">
        <f aca="false">IF(B3934="","","")</f>
        <v/>
      </c>
      <c r="H3934" s="23" t="str">
        <f aca="false">IF(B3934="","","")</f>
        <v/>
      </c>
      <c r="I3934" s="23" t="str">
        <f aca="false">IF(B3934="","","")</f>
        <v/>
      </c>
      <c r="J3934" s="23" t="str">
        <f aca="false">IF(B3934="","","touch_1; "&amp;IFERROR(INDEX(Clay_Brands!$A$2:$FZ$601,483,Sync!$D$10)&amp;"","")&amp;"; "&amp;IFERROR(INDEX(Clay_Brands!$A$2:$FZ$601,483,Sync!$D$9)&amp;"",""))</f>
        <v/>
      </c>
      <c r="K3934" s="32" t="s">
        <v>1366</v>
      </c>
    </row>
    <row r="3935" customFormat="false" ht="15" hidden="false" customHeight="false" outlineLevel="0" collapsed="false">
      <c r="A3935" s="23" t="str">
        <f aca="false">IF(B3935="","",B3935+(15*1000+484)/10000000)</f>
        <v/>
      </c>
      <c r="B3935" s="35" t="str">
        <f aca="false">IF(AND(IFERROR(N(INDEX(Clay_Brands!$A$2:$FZ$601,484,Sync!$D$11)),0)&gt;0,IFERROR(INDEX(Clay_Brands!$A$2:$FZ$601,484,Sync!$D$5)&amp;"","")&lt;&gt;"",OR(LEFT(IFERROR(INDEX(Clay_Brands!$A$2:$FZ$601,484,Sync!$D$5)&amp;"",""),6)&lt;&gt;"SAMPLE",Config!$B$19="Y")),IFERROR(N(INDEX(Clay_Brands!$A$2:$FZ$601,484,Sync!$D$11)),0),"")</f>
        <v/>
      </c>
      <c r="C3935" s="23" t="str">
        <f aca="false">IF(B3935="","","brand")</f>
        <v/>
      </c>
      <c r="D3935" s="23" t="str">
        <f aca="false">IF(B3935="","",IFERROR(INDEX(Brand_Log!$DV$2:$DV$201,MATCH(IFERROR(INDEX(Clay_Brands!$A$2:$FZ$601,484,Sync!$D$5)&amp;"",""),Brand_Log!$A$2:$A$201,0))&amp;"",IFERROR(INDEX(Clay_Brands!$A$2:$FZ$601,484,Sync!$D$5)&amp;"","")&amp;""))</f>
        <v/>
      </c>
      <c r="E3935" s="23" t="str">
        <f aca="false">IF(B3935="","",IFERROR(INDEX(Clay_Brands!$A$2:$FZ$601,484,Sync!$D$6)&amp;"",""))</f>
        <v/>
      </c>
      <c r="F3935" s="23" t="str">
        <f aca="false">IF(B3935="","","outreach_sent")</f>
        <v/>
      </c>
      <c r="G3935" s="23" t="str">
        <f aca="false">IF(B3935="","","")</f>
        <v/>
      </c>
      <c r="H3935" s="23" t="str">
        <f aca="false">IF(B3935="","","")</f>
        <v/>
      </c>
      <c r="I3935" s="23" t="str">
        <f aca="false">IF(B3935="","","")</f>
        <v/>
      </c>
      <c r="J3935" s="23" t="str">
        <f aca="false">IF(B3935="","","touch_1; "&amp;IFERROR(INDEX(Clay_Brands!$A$2:$FZ$601,484,Sync!$D$10)&amp;"","")&amp;"; "&amp;IFERROR(INDEX(Clay_Brands!$A$2:$FZ$601,484,Sync!$D$9)&amp;"",""))</f>
        <v/>
      </c>
      <c r="K3935" s="32" t="s">
        <v>1366</v>
      </c>
    </row>
    <row r="3936" customFormat="false" ht="15" hidden="false" customHeight="false" outlineLevel="0" collapsed="false">
      <c r="A3936" s="23" t="str">
        <f aca="false">IF(B3936="","",B3936+(15*1000+485)/10000000)</f>
        <v/>
      </c>
      <c r="B3936" s="35" t="str">
        <f aca="false">IF(AND(IFERROR(N(INDEX(Clay_Brands!$A$2:$FZ$601,485,Sync!$D$11)),0)&gt;0,IFERROR(INDEX(Clay_Brands!$A$2:$FZ$601,485,Sync!$D$5)&amp;"","")&lt;&gt;"",OR(LEFT(IFERROR(INDEX(Clay_Brands!$A$2:$FZ$601,485,Sync!$D$5)&amp;"",""),6)&lt;&gt;"SAMPLE",Config!$B$19="Y")),IFERROR(N(INDEX(Clay_Brands!$A$2:$FZ$601,485,Sync!$D$11)),0),"")</f>
        <v/>
      </c>
      <c r="C3936" s="23" t="str">
        <f aca="false">IF(B3936="","","brand")</f>
        <v/>
      </c>
      <c r="D3936" s="23" t="str">
        <f aca="false">IF(B3936="","",IFERROR(INDEX(Brand_Log!$DV$2:$DV$201,MATCH(IFERROR(INDEX(Clay_Brands!$A$2:$FZ$601,485,Sync!$D$5)&amp;"",""),Brand_Log!$A$2:$A$201,0))&amp;"",IFERROR(INDEX(Clay_Brands!$A$2:$FZ$601,485,Sync!$D$5)&amp;"","")&amp;""))</f>
        <v/>
      </c>
      <c r="E3936" s="23" t="str">
        <f aca="false">IF(B3936="","",IFERROR(INDEX(Clay_Brands!$A$2:$FZ$601,485,Sync!$D$6)&amp;"",""))</f>
        <v/>
      </c>
      <c r="F3936" s="23" t="str">
        <f aca="false">IF(B3936="","","outreach_sent")</f>
        <v/>
      </c>
      <c r="G3936" s="23" t="str">
        <f aca="false">IF(B3936="","","")</f>
        <v/>
      </c>
      <c r="H3936" s="23" t="str">
        <f aca="false">IF(B3936="","","")</f>
        <v/>
      </c>
      <c r="I3936" s="23" t="str">
        <f aca="false">IF(B3936="","","")</f>
        <v/>
      </c>
      <c r="J3936" s="23" t="str">
        <f aca="false">IF(B3936="","","touch_1; "&amp;IFERROR(INDEX(Clay_Brands!$A$2:$FZ$601,485,Sync!$D$10)&amp;"","")&amp;"; "&amp;IFERROR(INDEX(Clay_Brands!$A$2:$FZ$601,485,Sync!$D$9)&amp;"",""))</f>
        <v/>
      </c>
      <c r="K3936" s="32" t="s">
        <v>1366</v>
      </c>
    </row>
    <row r="3937" customFormat="false" ht="15" hidden="false" customHeight="false" outlineLevel="0" collapsed="false">
      <c r="A3937" s="23" t="str">
        <f aca="false">IF(B3937="","",B3937+(15*1000+486)/10000000)</f>
        <v/>
      </c>
      <c r="B3937" s="35" t="str">
        <f aca="false">IF(AND(IFERROR(N(INDEX(Clay_Brands!$A$2:$FZ$601,486,Sync!$D$11)),0)&gt;0,IFERROR(INDEX(Clay_Brands!$A$2:$FZ$601,486,Sync!$D$5)&amp;"","")&lt;&gt;"",OR(LEFT(IFERROR(INDEX(Clay_Brands!$A$2:$FZ$601,486,Sync!$D$5)&amp;"",""),6)&lt;&gt;"SAMPLE",Config!$B$19="Y")),IFERROR(N(INDEX(Clay_Brands!$A$2:$FZ$601,486,Sync!$D$11)),0),"")</f>
        <v/>
      </c>
      <c r="C3937" s="23" t="str">
        <f aca="false">IF(B3937="","","brand")</f>
        <v/>
      </c>
      <c r="D3937" s="23" t="str">
        <f aca="false">IF(B3937="","",IFERROR(INDEX(Brand_Log!$DV$2:$DV$201,MATCH(IFERROR(INDEX(Clay_Brands!$A$2:$FZ$601,486,Sync!$D$5)&amp;"",""),Brand_Log!$A$2:$A$201,0))&amp;"",IFERROR(INDEX(Clay_Brands!$A$2:$FZ$601,486,Sync!$D$5)&amp;"","")&amp;""))</f>
        <v/>
      </c>
      <c r="E3937" s="23" t="str">
        <f aca="false">IF(B3937="","",IFERROR(INDEX(Clay_Brands!$A$2:$FZ$601,486,Sync!$D$6)&amp;"",""))</f>
        <v/>
      </c>
      <c r="F3937" s="23" t="str">
        <f aca="false">IF(B3937="","","outreach_sent")</f>
        <v/>
      </c>
      <c r="G3937" s="23" t="str">
        <f aca="false">IF(B3937="","","")</f>
        <v/>
      </c>
      <c r="H3937" s="23" t="str">
        <f aca="false">IF(B3937="","","")</f>
        <v/>
      </c>
      <c r="I3937" s="23" t="str">
        <f aca="false">IF(B3937="","","")</f>
        <v/>
      </c>
      <c r="J3937" s="23" t="str">
        <f aca="false">IF(B3937="","","touch_1; "&amp;IFERROR(INDEX(Clay_Brands!$A$2:$FZ$601,486,Sync!$D$10)&amp;"","")&amp;"; "&amp;IFERROR(INDEX(Clay_Brands!$A$2:$FZ$601,486,Sync!$D$9)&amp;"",""))</f>
        <v/>
      </c>
      <c r="K3937" s="32" t="s">
        <v>1366</v>
      </c>
    </row>
    <row r="3938" customFormat="false" ht="15" hidden="false" customHeight="false" outlineLevel="0" collapsed="false">
      <c r="A3938" s="23" t="str">
        <f aca="false">IF(B3938="","",B3938+(15*1000+487)/10000000)</f>
        <v/>
      </c>
      <c r="B3938" s="35" t="str">
        <f aca="false">IF(AND(IFERROR(N(INDEX(Clay_Brands!$A$2:$FZ$601,487,Sync!$D$11)),0)&gt;0,IFERROR(INDEX(Clay_Brands!$A$2:$FZ$601,487,Sync!$D$5)&amp;"","")&lt;&gt;"",OR(LEFT(IFERROR(INDEX(Clay_Brands!$A$2:$FZ$601,487,Sync!$D$5)&amp;"",""),6)&lt;&gt;"SAMPLE",Config!$B$19="Y")),IFERROR(N(INDEX(Clay_Brands!$A$2:$FZ$601,487,Sync!$D$11)),0),"")</f>
        <v/>
      </c>
      <c r="C3938" s="23" t="str">
        <f aca="false">IF(B3938="","","brand")</f>
        <v/>
      </c>
      <c r="D3938" s="23" t="str">
        <f aca="false">IF(B3938="","",IFERROR(INDEX(Brand_Log!$DV$2:$DV$201,MATCH(IFERROR(INDEX(Clay_Brands!$A$2:$FZ$601,487,Sync!$D$5)&amp;"",""),Brand_Log!$A$2:$A$201,0))&amp;"",IFERROR(INDEX(Clay_Brands!$A$2:$FZ$601,487,Sync!$D$5)&amp;"","")&amp;""))</f>
        <v/>
      </c>
      <c r="E3938" s="23" t="str">
        <f aca="false">IF(B3938="","",IFERROR(INDEX(Clay_Brands!$A$2:$FZ$601,487,Sync!$D$6)&amp;"",""))</f>
        <v/>
      </c>
      <c r="F3938" s="23" t="str">
        <f aca="false">IF(B3938="","","outreach_sent")</f>
        <v/>
      </c>
      <c r="G3938" s="23" t="str">
        <f aca="false">IF(B3938="","","")</f>
        <v/>
      </c>
      <c r="H3938" s="23" t="str">
        <f aca="false">IF(B3938="","","")</f>
        <v/>
      </c>
      <c r="I3938" s="23" t="str">
        <f aca="false">IF(B3938="","","")</f>
        <v/>
      </c>
      <c r="J3938" s="23" t="str">
        <f aca="false">IF(B3938="","","touch_1; "&amp;IFERROR(INDEX(Clay_Brands!$A$2:$FZ$601,487,Sync!$D$10)&amp;"","")&amp;"; "&amp;IFERROR(INDEX(Clay_Brands!$A$2:$FZ$601,487,Sync!$D$9)&amp;"",""))</f>
        <v/>
      </c>
      <c r="K3938" s="32" t="s">
        <v>1366</v>
      </c>
    </row>
    <row r="3939" customFormat="false" ht="15" hidden="false" customHeight="false" outlineLevel="0" collapsed="false">
      <c r="A3939" s="23" t="str">
        <f aca="false">IF(B3939="","",B3939+(15*1000+488)/10000000)</f>
        <v/>
      </c>
      <c r="B3939" s="35" t="str">
        <f aca="false">IF(AND(IFERROR(N(INDEX(Clay_Brands!$A$2:$FZ$601,488,Sync!$D$11)),0)&gt;0,IFERROR(INDEX(Clay_Brands!$A$2:$FZ$601,488,Sync!$D$5)&amp;"","")&lt;&gt;"",OR(LEFT(IFERROR(INDEX(Clay_Brands!$A$2:$FZ$601,488,Sync!$D$5)&amp;"",""),6)&lt;&gt;"SAMPLE",Config!$B$19="Y")),IFERROR(N(INDEX(Clay_Brands!$A$2:$FZ$601,488,Sync!$D$11)),0),"")</f>
        <v/>
      </c>
      <c r="C3939" s="23" t="str">
        <f aca="false">IF(B3939="","","brand")</f>
        <v/>
      </c>
      <c r="D3939" s="23" t="str">
        <f aca="false">IF(B3939="","",IFERROR(INDEX(Brand_Log!$DV$2:$DV$201,MATCH(IFERROR(INDEX(Clay_Brands!$A$2:$FZ$601,488,Sync!$D$5)&amp;"",""),Brand_Log!$A$2:$A$201,0))&amp;"",IFERROR(INDEX(Clay_Brands!$A$2:$FZ$601,488,Sync!$D$5)&amp;"","")&amp;""))</f>
        <v/>
      </c>
      <c r="E3939" s="23" t="str">
        <f aca="false">IF(B3939="","",IFERROR(INDEX(Clay_Brands!$A$2:$FZ$601,488,Sync!$D$6)&amp;"",""))</f>
        <v/>
      </c>
      <c r="F3939" s="23" t="str">
        <f aca="false">IF(B3939="","","outreach_sent")</f>
        <v/>
      </c>
      <c r="G3939" s="23" t="str">
        <f aca="false">IF(B3939="","","")</f>
        <v/>
      </c>
      <c r="H3939" s="23" t="str">
        <f aca="false">IF(B3939="","","")</f>
        <v/>
      </c>
      <c r="I3939" s="23" t="str">
        <f aca="false">IF(B3939="","","")</f>
        <v/>
      </c>
      <c r="J3939" s="23" t="str">
        <f aca="false">IF(B3939="","","touch_1; "&amp;IFERROR(INDEX(Clay_Brands!$A$2:$FZ$601,488,Sync!$D$10)&amp;"","")&amp;"; "&amp;IFERROR(INDEX(Clay_Brands!$A$2:$FZ$601,488,Sync!$D$9)&amp;"",""))</f>
        <v/>
      </c>
      <c r="K3939" s="32" t="s">
        <v>1366</v>
      </c>
    </row>
    <row r="3940" customFormat="false" ht="15" hidden="false" customHeight="false" outlineLevel="0" collapsed="false">
      <c r="A3940" s="23" t="str">
        <f aca="false">IF(B3940="","",B3940+(15*1000+489)/10000000)</f>
        <v/>
      </c>
      <c r="B3940" s="35" t="str">
        <f aca="false">IF(AND(IFERROR(N(INDEX(Clay_Brands!$A$2:$FZ$601,489,Sync!$D$11)),0)&gt;0,IFERROR(INDEX(Clay_Brands!$A$2:$FZ$601,489,Sync!$D$5)&amp;"","")&lt;&gt;"",OR(LEFT(IFERROR(INDEX(Clay_Brands!$A$2:$FZ$601,489,Sync!$D$5)&amp;"",""),6)&lt;&gt;"SAMPLE",Config!$B$19="Y")),IFERROR(N(INDEX(Clay_Brands!$A$2:$FZ$601,489,Sync!$D$11)),0),"")</f>
        <v/>
      </c>
      <c r="C3940" s="23" t="str">
        <f aca="false">IF(B3940="","","brand")</f>
        <v/>
      </c>
      <c r="D3940" s="23" t="str">
        <f aca="false">IF(B3940="","",IFERROR(INDEX(Brand_Log!$DV$2:$DV$201,MATCH(IFERROR(INDEX(Clay_Brands!$A$2:$FZ$601,489,Sync!$D$5)&amp;"",""),Brand_Log!$A$2:$A$201,0))&amp;"",IFERROR(INDEX(Clay_Brands!$A$2:$FZ$601,489,Sync!$D$5)&amp;"","")&amp;""))</f>
        <v/>
      </c>
      <c r="E3940" s="23" t="str">
        <f aca="false">IF(B3940="","",IFERROR(INDEX(Clay_Brands!$A$2:$FZ$601,489,Sync!$D$6)&amp;"",""))</f>
        <v/>
      </c>
      <c r="F3940" s="23" t="str">
        <f aca="false">IF(B3940="","","outreach_sent")</f>
        <v/>
      </c>
      <c r="G3940" s="23" t="str">
        <f aca="false">IF(B3940="","","")</f>
        <v/>
      </c>
      <c r="H3940" s="23" t="str">
        <f aca="false">IF(B3940="","","")</f>
        <v/>
      </c>
      <c r="I3940" s="23" t="str">
        <f aca="false">IF(B3940="","","")</f>
        <v/>
      </c>
      <c r="J3940" s="23" t="str">
        <f aca="false">IF(B3940="","","touch_1; "&amp;IFERROR(INDEX(Clay_Brands!$A$2:$FZ$601,489,Sync!$D$10)&amp;"","")&amp;"; "&amp;IFERROR(INDEX(Clay_Brands!$A$2:$FZ$601,489,Sync!$D$9)&amp;"",""))</f>
        <v/>
      </c>
      <c r="K3940" s="32" t="s">
        <v>1366</v>
      </c>
    </row>
    <row r="3941" customFormat="false" ht="15" hidden="false" customHeight="false" outlineLevel="0" collapsed="false">
      <c r="A3941" s="23" t="str">
        <f aca="false">IF(B3941="","",B3941+(15*1000+490)/10000000)</f>
        <v/>
      </c>
      <c r="B3941" s="35" t="str">
        <f aca="false">IF(AND(IFERROR(N(INDEX(Clay_Brands!$A$2:$FZ$601,490,Sync!$D$11)),0)&gt;0,IFERROR(INDEX(Clay_Brands!$A$2:$FZ$601,490,Sync!$D$5)&amp;"","")&lt;&gt;"",OR(LEFT(IFERROR(INDEX(Clay_Brands!$A$2:$FZ$601,490,Sync!$D$5)&amp;"",""),6)&lt;&gt;"SAMPLE",Config!$B$19="Y")),IFERROR(N(INDEX(Clay_Brands!$A$2:$FZ$601,490,Sync!$D$11)),0),"")</f>
        <v/>
      </c>
      <c r="C3941" s="23" t="str">
        <f aca="false">IF(B3941="","","brand")</f>
        <v/>
      </c>
      <c r="D3941" s="23" t="str">
        <f aca="false">IF(B3941="","",IFERROR(INDEX(Brand_Log!$DV$2:$DV$201,MATCH(IFERROR(INDEX(Clay_Brands!$A$2:$FZ$601,490,Sync!$D$5)&amp;"",""),Brand_Log!$A$2:$A$201,0))&amp;"",IFERROR(INDEX(Clay_Brands!$A$2:$FZ$601,490,Sync!$D$5)&amp;"","")&amp;""))</f>
        <v/>
      </c>
      <c r="E3941" s="23" t="str">
        <f aca="false">IF(B3941="","",IFERROR(INDEX(Clay_Brands!$A$2:$FZ$601,490,Sync!$D$6)&amp;"",""))</f>
        <v/>
      </c>
      <c r="F3941" s="23" t="str">
        <f aca="false">IF(B3941="","","outreach_sent")</f>
        <v/>
      </c>
      <c r="G3941" s="23" t="str">
        <f aca="false">IF(B3941="","","")</f>
        <v/>
      </c>
      <c r="H3941" s="23" t="str">
        <f aca="false">IF(B3941="","","")</f>
        <v/>
      </c>
      <c r="I3941" s="23" t="str">
        <f aca="false">IF(B3941="","","")</f>
        <v/>
      </c>
      <c r="J3941" s="23" t="str">
        <f aca="false">IF(B3941="","","touch_1; "&amp;IFERROR(INDEX(Clay_Brands!$A$2:$FZ$601,490,Sync!$D$10)&amp;"","")&amp;"; "&amp;IFERROR(INDEX(Clay_Brands!$A$2:$FZ$601,490,Sync!$D$9)&amp;"",""))</f>
        <v/>
      </c>
      <c r="K3941" s="32" t="s">
        <v>1366</v>
      </c>
    </row>
    <row r="3942" customFormat="false" ht="15" hidden="false" customHeight="false" outlineLevel="0" collapsed="false">
      <c r="A3942" s="23" t="str">
        <f aca="false">IF(B3942="","",B3942+(15*1000+491)/10000000)</f>
        <v/>
      </c>
      <c r="B3942" s="35" t="str">
        <f aca="false">IF(AND(IFERROR(N(INDEX(Clay_Brands!$A$2:$FZ$601,491,Sync!$D$11)),0)&gt;0,IFERROR(INDEX(Clay_Brands!$A$2:$FZ$601,491,Sync!$D$5)&amp;"","")&lt;&gt;"",OR(LEFT(IFERROR(INDEX(Clay_Brands!$A$2:$FZ$601,491,Sync!$D$5)&amp;"",""),6)&lt;&gt;"SAMPLE",Config!$B$19="Y")),IFERROR(N(INDEX(Clay_Brands!$A$2:$FZ$601,491,Sync!$D$11)),0),"")</f>
        <v/>
      </c>
      <c r="C3942" s="23" t="str">
        <f aca="false">IF(B3942="","","brand")</f>
        <v/>
      </c>
      <c r="D3942" s="23" t="str">
        <f aca="false">IF(B3942="","",IFERROR(INDEX(Brand_Log!$DV$2:$DV$201,MATCH(IFERROR(INDEX(Clay_Brands!$A$2:$FZ$601,491,Sync!$D$5)&amp;"",""),Brand_Log!$A$2:$A$201,0))&amp;"",IFERROR(INDEX(Clay_Brands!$A$2:$FZ$601,491,Sync!$D$5)&amp;"","")&amp;""))</f>
        <v/>
      </c>
      <c r="E3942" s="23" t="str">
        <f aca="false">IF(B3942="","",IFERROR(INDEX(Clay_Brands!$A$2:$FZ$601,491,Sync!$D$6)&amp;"",""))</f>
        <v/>
      </c>
      <c r="F3942" s="23" t="str">
        <f aca="false">IF(B3942="","","outreach_sent")</f>
        <v/>
      </c>
      <c r="G3942" s="23" t="str">
        <f aca="false">IF(B3942="","","")</f>
        <v/>
      </c>
      <c r="H3942" s="23" t="str">
        <f aca="false">IF(B3942="","","")</f>
        <v/>
      </c>
      <c r="I3942" s="23" t="str">
        <f aca="false">IF(B3942="","","")</f>
        <v/>
      </c>
      <c r="J3942" s="23" t="str">
        <f aca="false">IF(B3942="","","touch_1; "&amp;IFERROR(INDEX(Clay_Brands!$A$2:$FZ$601,491,Sync!$D$10)&amp;"","")&amp;"; "&amp;IFERROR(INDEX(Clay_Brands!$A$2:$FZ$601,491,Sync!$D$9)&amp;"",""))</f>
        <v/>
      </c>
      <c r="K3942" s="32" t="s">
        <v>1366</v>
      </c>
    </row>
    <row r="3943" customFormat="false" ht="15" hidden="false" customHeight="false" outlineLevel="0" collapsed="false">
      <c r="A3943" s="23" t="str">
        <f aca="false">IF(B3943="","",B3943+(15*1000+492)/10000000)</f>
        <v/>
      </c>
      <c r="B3943" s="35" t="str">
        <f aca="false">IF(AND(IFERROR(N(INDEX(Clay_Brands!$A$2:$FZ$601,492,Sync!$D$11)),0)&gt;0,IFERROR(INDEX(Clay_Brands!$A$2:$FZ$601,492,Sync!$D$5)&amp;"","")&lt;&gt;"",OR(LEFT(IFERROR(INDEX(Clay_Brands!$A$2:$FZ$601,492,Sync!$D$5)&amp;"",""),6)&lt;&gt;"SAMPLE",Config!$B$19="Y")),IFERROR(N(INDEX(Clay_Brands!$A$2:$FZ$601,492,Sync!$D$11)),0),"")</f>
        <v/>
      </c>
      <c r="C3943" s="23" t="str">
        <f aca="false">IF(B3943="","","brand")</f>
        <v/>
      </c>
      <c r="D3943" s="23" t="str">
        <f aca="false">IF(B3943="","",IFERROR(INDEX(Brand_Log!$DV$2:$DV$201,MATCH(IFERROR(INDEX(Clay_Brands!$A$2:$FZ$601,492,Sync!$D$5)&amp;"",""),Brand_Log!$A$2:$A$201,0))&amp;"",IFERROR(INDEX(Clay_Brands!$A$2:$FZ$601,492,Sync!$D$5)&amp;"","")&amp;""))</f>
        <v/>
      </c>
      <c r="E3943" s="23" t="str">
        <f aca="false">IF(B3943="","",IFERROR(INDEX(Clay_Brands!$A$2:$FZ$601,492,Sync!$D$6)&amp;"",""))</f>
        <v/>
      </c>
      <c r="F3943" s="23" t="str">
        <f aca="false">IF(B3943="","","outreach_sent")</f>
        <v/>
      </c>
      <c r="G3943" s="23" t="str">
        <f aca="false">IF(B3943="","","")</f>
        <v/>
      </c>
      <c r="H3943" s="23" t="str">
        <f aca="false">IF(B3943="","","")</f>
        <v/>
      </c>
      <c r="I3943" s="23" t="str">
        <f aca="false">IF(B3943="","","")</f>
        <v/>
      </c>
      <c r="J3943" s="23" t="str">
        <f aca="false">IF(B3943="","","touch_1; "&amp;IFERROR(INDEX(Clay_Brands!$A$2:$FZ$601,492,Sync!$D$10)&amp;"","")&amp;"; "&amp;IFERROR(INDEX(Clay_Brands!$A$2:$FZ$601,492,Sync!$D$9)&amp;"",""))</f>
        <v/>
      </c>
      <c r="K3943" s="32" t="s">
        <v>1366</v>
      </c>
    </row>
    <row r="3944" customFormat="false" ht="15" hidden="false" customHeight="false" outlineLevel="0" collapsed="false">
      <c r="A3944" s="23" t="str">
        <f aca="false">IF(B3944="","",B3944+(15*1000+493)/10000000)</f>
        <v/>
      </c>
      <c r="B3944" s="35" t="str">
        <f aca="false">IF(AND(IFERROR(N(INDEX(Clay_Brands!$A$2:$FZ$601,493,Sync!$D$11)),0)&gt;0,IFERROR(INDEX(Clay_Brands!$A$2:$FZ$601,493,Sync!$D$5)&amp;"","")&lt;&gt;"",OR(LEFT(IFERROR(INDEX(Clay_Brands!$A$2:$FZ$601,493,Sync!$D$5)&amp;"",""),6)&lt;&gt;"SAMPLE",Config!$B$19="Y")),IFERROR(N(INDEX(Clay_Brands!$A$2:$FZ$601,493,Sync!$D$11)),0),"")</f>
        <v/>
      </c>
      <c r="C3944" s="23" t="str">
        <f aca="false">IF(B3944="","","brand")</f>
        <v/>
      </c>
      <c r="D3944" s="23" t="str">
        <f aca="false">IF(B3944="","",IFERROR(INDEX(Brand_Log!$DV$2:$DV$201,MATCH(IFERROR(INDEX(Clay_Brands!$A$2:$FZ$601,493,Sync!$D$5)&amp;"",""),Brand_Log!$A$2:$A$201,0))&amp;"",IFERROR(INDEX(Clay_Brands!$A$2:$FZ$601,493,Sync!$D$5)&amp;"","")&amp;""))</f>
        <v/>
      </c>
      <c r="E3944" s="23" t="str">
        <f aca="false">IF(B3944="","",IFERROR(INDEX(Clay_Brands!$A$2:$FZ$601,493,Sync!$D$6)&amp;"",""))</f>
        <v/>
      </c>
      <c r="F3944" s="23" t="str">
        <f aca="false">IF(B3944="","","outreach_sent")</f>
        <v/>
      </c>
      <c r="G3944" s="23" t="str">
        <f aca="false">IF(B3944="","","")</f>
        <v/>
      </c>
      <c r="H3944" s="23" t="str">
        <f aca="false">IF(B3944="","","")</f>
        <v/>
      </c>
      <c r="I3944" s="23" t="str">
        <f aca="false">IF(B3944="","","")</f>
        <v/>
      </c>
      <c r="J3944" s="23" t="str">
        <f aca="false">IF(B3944="","","touch_1; "&amp;IFERROR(INDEX(Clay_Brands!$A$2:$FZ$601,493,Sync!$D$10)&amp;"","")&amp;"; "&amp;IFERROR(INDEX(Clay_Brands!$A$2:$FZ$601,493,Sync!$D$9)&amp;"",""))</f>
        <v/>
      </c>
      <c r="K3944" s="32" t="s">
        <v>1366</v>
      </c>
    </row>
    <row r="3945" customFormat="false" ht="15" hidden="false" customHeight="false" outlineLevel="0" collapsed="false">
      <c r="A3945" s="23" t="str">
        <f aca="false">IF(B3945="","",B3945+(15*1000+494)/10000000)</f>
        <v/>
      </c>
      <c r="B3945" s="35" t="str">
        <f aca="false">IF(AND(IFERROR(N(INDEX(Clay_Brands!$A$2:$FZ$601,494,Sync!$D$11)),0)&gt;0,IFERROR(INDEX(Clay_Brands!$A$2:$FZ$601,494,Sync!$D$5)&amp;"","")&lt;&gt;"",OR(LEFT(IFERROR(INDEX(Clay_Brands!$A$2:$FZ$601,494,Sync!$D$5)&amp;"",""),6)&lt;&gt;"SAMPLE",Config!$B$19="Y")),IFERROR(N(INDEX(Clay_Brands!$A$2:$FZ$601,494,Sync!$D$11)),0),"")</f>
        <v/>
      </c>
      <c r="C3945" s="23" t="str">
        <f aca="false">IF(B3945="","","brand")</f>
        <v/>
      </c>
      <c r="D3945" s="23" t="str">
        <f aca="false">IF(B3945="","",IFERROR(INDEX(Brand_Log!$DV$2:$DV$201,MATCH(IFERROR(INDEX(Clay_Brands!$A$2:$FZ$601,494,Sync!$D$5)&amp;"",""),Brand_Log!$A$2:$A$201,0))&amp;"",IFERROR(INDEX(Clay_Brands!$A$2:$FZ$601,494,Sync!$D$5)&amp;"","")&amp;""))</f>
        <v/>
      </c>
      <c r="E3945" s="23" t="str">
        <f aca="false">IF(B3945="","",IFERROR(INDEX(Clay_Brands!$A$2:$FZ$601,494,Sync!$D$6)&amp;"",""))</f>
        <v/>
      </c>
      <c r="F3945" s="23" t="str">
        <f aca="false">IF(B3945="","","outreach_sent")</f>
        <v/>
      </c>
      <c r="G3945" s="23" t="str">
        <f aca="false">IF(B3945="","","")</f>
        <v/>
      </c>
      <c r="H3945" s="23" t="str">
        <f aca="false">IF(B3945="","","")</f>
        <v/>
      </c>
      <c r="I3945" s="23" t="str">
        <f aca="false">IF(B3945="","","")</f>
        <v/>
      </c>
      <c r="J3945" s="23" t="str">
        <f aca="false">IF(B3945="","","touch_1; "&amp;IFERROR(INDEX(Clay_Brands!$A$2:$FZ$601,494,Sync!$D$10)&amp;"","")&amp;"; "&amp;IFERROR(INDEX(Clay_Brands!$A$2:$FZ$601,494,Sync!$D$9)&amp;"",""))</f>
        <v/>
      </c>
      <c r="K3945" s="32" t="s">
        <v>1366</v>
      </c>
    </row>
    <row r="3946" customFormat="false" ht="15" hidden="false" customHeight="false" outlineLevel="0" collapsed="false">
      <c r="A3946" s="23" t="str">
        <f aca="false">IF(B3946="","",B3946+(15*1000+495)/10000000)</f>
        <v/>
      </c>
      <c r="B3946" s="35" t="str">
        <f aca="false">IF(AND(IFERROR(N(INDEX(Clay_Brands!$A$2:$FZ$601,495,Sync!$D$11)),0)&gt;0,IFERROR(INDEX(Clay_Brands!$A$2:$FZ$601,495,Sync!$D$5)&amp;"","")&lt;&gt;"",OR(LEFT(IFERROR(INDEX(Clay_Brands!$A$2:$FZ$601,495,Sync!$D$5)&amp;"",""),6)&lt;&gt;"SAMPLE",Config!$B$19="Y")),IFERROR(N(INDEX(Clay_Brands!$A$2:$FZ$601,495,Sync!$D$11)),0),"")</f>
        <v/>
      </c>
      <c r="C3946" s="23" t="str">
        <f aca="false">IF(B3946="","","brand")</f>
        <v/>
      </c>
      <c r="D3946" s="23" t="str">
        <f aca="false">IF(B3946="","",IFERROR(INDEX(Brand_Log!$DV$2:$DV$201,MATCH(IFERROR(INDEX(Clay_Brands!$A$2:$FZ$601,495,Sync!$D$5)&amp;"",""),Brand_Log!$A$2:$A$201,0))&amp;"",IFERROR(INDEX(Clay_Brands!$A$2:$FZ$601,495,Sync!$D$5)&amp;"","")&amp;""))</f>
        <v/>
      </c>
      <c r="E3946" s="23" t="str">
        <f aca="false">IF(B3946="","",IFERROR(INDEX(Clay_Brands!$A$2:$FZ$601,495,Sync!$D$6)&amp;"",""))</f>
        <v/>
      </c>
      <c r="F3946" s="23" t="str">
        <f aca="false">IF(B3946="","","outreach_sent")</f>
        <v/>
      </c>
      <c r="G3946" s="23" t="str">
        <f aca="false">IF(B3946="","","")</f>
        <v/>
      </c>
      <c r="H3946" s="23" t="str">
        <f aca="false">IF(B3946="","","")</f>
        <v/>
      </c>
      <c r="I3946" s="23" t="str">
        <f aca="false">IF(B3946="","","")</f>
        <v/>
      </c>
      <c r="J3946" s="23" t="str">
        <f aca="false">IF(B3946="","","touch_1; "&amp;IFERROR(INDEX(Clay_Brands!$A$2:$FZ$601,495,Sync!$D$10)&amp;"","")&amp;"; "&amp;IFERROR(INDEX(Clay_Brands!$A$2:$FZ$601,495,Sync!$D$9)&amp;"",""))</f>
        <v/>
      </c>
      <c r="K3946" s="32" t="s">
        <v>1366</v>
      </c>
    </row>
    <row r="3947" customFormat="false" ht="15" hidden="false" customHeight="false" outlineLevel="0" collapsed="false">
      <c r="A3947" s="23" t="str">
        <f aca="false">IF(B3947="","",B3947+(15*1000+496)/10000000)</f>
        <v/>
      </c>
      <c r="B3947" s="35" t="str">
        <f aca="false">IF(AND(IFERROR(N(INDEX(Clay_Brands!$A$2:$FZ$601,496,Sync!$D$11)),0)&gt;0,IFERROR(INDEX(Clay_Brands!$A$2:$FZ$601,496,Sync!$D$5)&amp;"","")&lt;&gt;"",OR(LEFT(IFERROR(INDEX(Clay_Brands!$A$2:$FZ$601,496,Sync!$D$5)&amp;"",""),6)&lt;&gt;"SAMPLE",Config!$B$19="Y")),IFERROR(N(INDEX(Clay_Brands!$A$2:$FZ$601,496,Sync!$D$11)),0),"")</f>
        <v/>
      </c>
      <c r="C3947" s="23" t="str">
        <f aca="false">IF(B3947="","","brand")</f>
        <v/>
      </c>
      <c r="D3947" s="23" t="str">
        <f aca="false">IF(B3947="","",IFERROR(INDEX(Brand_Log!$DV$2:$DV$201,MATCH(IFERROR(INDEX(Clay_Brands!$A$2:$FZ$601,496,Sync!$D$5)&amp;"",""),Brand_Log!$A$2:$A$201,0))&amp;"",IFERROR(INDEX(Clay_Brands!$A$2:$FZ$601,496,Sync!$D$5)&amp;"","")&amp;""))</f>
        <v/>
      </c>
      <c r="E3947" s="23" t="str">
        <f aca="false">IF(B3947="","",IFERROR(INDEX(Clay_Brands!$A$2:$FZ$601,496,Sync!$D$6)&amp;"",""))</f>
        <v/>
      </c>
      <c r="F3947" s="23" t="str">
        <f aca="false">IF(B3947="","","outreach_sent")</f>
        <v/>
      </c>
      <c r="G3947" s="23" t="str">
        <f aca="false">IF(B3947="","","")</f>
        <v/>
      </c>
      <c r="H3947" s="23" t="str">
        <f aca="false">IF(B3947="","","")</f>
        <v/>
      </c>
      <c r="I3947" s="23" t="str">
        <f aca="false">IF(B3947="","","")</f>
        <v/>
      </c>
      <c r="J3947" s="23" t="str">
        <f aca="false">IF(B3947="","","touch_1; "&amp;IFERROR(INDEX(Clay_Brands!$A$2:$FZ$601,496,Sync!$D$10)&amp;"","")&amp;"; "&amp;IFERROR(INDEX(Clay_Brands!$A$2:$FZ$601,496,Sync!$D$9)&amp;"",""))</f>
        <v/>
      </c>
      <c r="K3947" s="32" t="s">
        <v>1366</v>
      </c>
    </row>
    <row r="3948" customFormat="false" ht="15" hidden="false" customHeight="false" outlineLevel="0" collapsed="false">
      <c r="A3948" s="23" t="str">
        <f aca="false">IF(B3948="","",B3948+(15*1000+497)/10000000)</f>
        <v/>
      </c>
      <c r="B3948" s="35" t="str">
        <f aca="false">IF(AND(IFERROR(N(INDEX(Clay_Brands!$A$2:$FZ$601,497,Sync!$D$11)),0)&gt;0,IFERROR(INDEX(Clay_Brands!$A$2:$FZ$601,497,Sync!$D$5)&amp;"","")&lt;&gt;"",OR(LEFT(IFERROR(INDEX(Clay_Brands!$A$2:$FZ$601,497,Sync!$D$5)&amp;"",""),6)&lt;&gt;"SAMPLE",Config!$B$19="Y")),IFERROR(N(INDEX(Clay_Brands!$A$2:$FZ$601,497,Sync!$D$11)),0),"")</f>
        <v/>
      </c>
      <c r="C3948" s="23" t="str">
        <f aca="false">IF(B3948="","","brand")</f>
        <v/>
      </c>
      <c r="D3948" s="23" t="str">
        <f aca="false">IF(B3948="","",IFERROR(INDEX(Brand_Log!$DV$2:$DV$201,MATCH(IFERROR(INDEX(Clay_Brands!$A$2:$FZ$601,497,Sync!$D$5)&amp;"",""),Brand_Log!$A$2:$A$201,0))&amp;"",IFERROR(INDEX(Clay_Brands!$A$2:$FZ$601,497,Sync!$D$5)&amp;"","")&amp;""))</f>
        <v/>
      </c>
      <c r="E3948" s="23" t="str">
        <f aca="false">IF(B3948="","",IFERROR(INDEX(Clay_Brands!$A$2:$FZ$601,497,Sync!$D$6)&amp;"",""))</f>
        <v/>
      </c>
      <c r="F3948" s="23" t="str">
        <f aca="false">IF(B3948="","","outreach_sent")</f>
        <v/>
      </c>
      <c r="G3948" s="23" t="str">
        <f aca="false">IF(B3948="","","")</f>
        <v/>
      </c>
      <c r="H3948" s="23" t="str">
        <f aca="false">IF(B3948="","","")</f>
        <v/>
      </c>
      <c r="I3948" s="23" t="str">
        <f aca="false">IF(B3948="","","")</f>
        <v/>
      </c>
      <c r="J3948" s="23" t="str">
        <f aca="false">IF(B3948="","","touch_1; "&amp;IFERROR(INDEX(Clay_Brands!$A$2:$FZ$601,497,Sync!$D$10)&amp;"","")&amp;"; "&amp;IFERROR(INDEX(Clay_Brands!$A$2:$FZ$601,497,Sync!$D$9)&amp;"",""))</f>
        <v/>
      </c>
      <c r="K3948" s="32" t="s">
        <v>1366</v>
      </c>
    </row>
    <row r="3949" customFormat="false" ht="15" hidden="false" customHeight="false" outlineLevel="0" collapsed="false">
      <c r="A3949" s="23" t="str">
        <f aca="false">IF(B3949="","",B3949+(15*1000+498)/10000000)</f>
        <v/>
      </c>
      <c r="B3949" s="35" t="str">
        <f aca="false">IF(AND(IFERROR(N(INDEX(Clay_Brands!$A$2:$FZ$601,498,Sync!$D$11)),0)&gt;0,IFERROR(INDEX(Clay_Brands!$A$2:$FZ$601,498,Sync!$D$5)&amp;"","")&lt;&gt;"",OR(LEFT(IFERROR(INDEX(Clay_Brands!$A$2:$FZ$601,498,Sync!$D$5)&amp;"",""),6)&lt;&gt;"SAMPLE",Config!$B$19="Y")),IFERROR(N(INDEX(Clay_Brands!$A$2:$FZ$601,498,Sync!$D$11)),0),"")</f>
        <v/>
      </c>
      <c r="C3949" s="23" t="str">
        <f aca="false">IF(B3949="","","brand")</f>
        <v/>
      </c>
      <c r="D3949" s="23" t="str">
        <f aca="false">IF(B3949="","",IFERROR(INDEX(Brand_Log!$DV$2:$DV$201,MATCH(IFERROR(INDEX(Clay_Brands!$A$2:$FZ$601,498,Sync!$D$5)&amp;"",""),Brand_Log!$A$2:$A$201,0))&amp;"",IFERROR(INDEX(Clay_Brands!$A$2:$FZ$601,498,Sync!$D$5)&amp;"","")&amp;""))</f>
        <v/>
      </c>
      <c r="E3949" s="23" t="str">
        <f aca="false">IF(B3949="","",IFERROR(INDEX(Clay_Brands!$A$2:$FZ$601,498,Sync!$D$6)&amp;"",""))</f>
        <v/>
      </c>
      <c r="F3949" s="23" t="str">
        <f aca="false">IF(B3949="","","outreach_sent")</f>
        <v/>
      </c>
      <c r="G3949" s="23" t="str">
        <f aca="false">IF(B3949="","","")</f>
        <v/>
      </c>
      <c r="H3949" s="23" t="str">
        <f aca="false">IF(B3949="","","")</f>
        <v/>
      </c>
      <c r="I3949" s="23" t="str">
        <f aca="false">IF(B3949="","","")</f>
        <v/>
      </c>
      <c r="J3949" s="23" t="str">
        <f aca="false">IF(B3949="","","touch_1; "&amp;IFERROR(INDEX(Clay_Brands!$A$2:$FZ$601,498,Sync!$D$10)&amp;"","")&amp;"; "&amp;IFERROR(INDEX(Clay_Brands!$A$2:$FZ$601,498,Sync!$D$9)&amp;"",""))</f>
        <v/>
      </c>
      <c r="K3949" s="32" t="s">
        <v>1366</v>
      </c>
    </row>
    <row r="3950" customFormat="false" ht="15" hidden="false" customHeight="false" outlineLevel="0" collapsed="false">
      <c r="A3950" s="23" t="str">
        <f aca="false">IF(B3950="","",B3950+(15*1000+499)/10000000)</f>
        <v/>
      </c>
      <c r="B3950" s="35" t="str">
        <f aca="false">IF(AND(IFERROR(N(INDEX(Clay_Brands!$A$2:$FZ$601,499,Sync!$D$11)),0)&gt;0,IFERROR(INDEX(Clay_Brands!$A$2:$FZ$601,499,Sync!$D$5)&amp;"","")&lt;&gt;"",OR(LEFT(IFERROR(INDEX(Clay_Brands!$A$2:$FZ$601,499,Sync!$D$5)&amp;"",""),6)&lt;&gt;"SAMPLE",Config!$B$19="Y")),IFERROR(N(INDEX(Clay_Brands!$A$2:$FZ$601,499,Sync!$D$11)),0),"")</f>
        <v/>
      </c>
      <c r="C3950" s="23" t="str">
        <f aca="false">IF(B3950="","","brand")</f>
        <v/>
      </c>
      <c r="D3950" s="23" t="str">
        <f aca="false">IF(B3950="","",IFERROR(INDEX(Brand_Log!$DV$2:$DV$201,MATCH(IFERROR(INDEX(Clay_Brands!$A$2:$FZ$601,499,Sync!$D$5)&amp;"",""),Brand_Log!$A$2:$A$201,0))&amp;"",IFERROR(INDEX(Clay_Brands!$A$2:$FZ$601,499,Sync!$D$5)&amp;"","")&amp;""))</f>
        <v/>
      </c>
      <c r="E3950" s="23" t="str">
        <f aca="false">IF(B3950="","",IFERROR(INDEX(Clay_Brands!$A$2:$FZ$601,499,Sync!$D$6)&amp;"",""))</f>
        <v/>
      </c>
      <c r="F3950" s="23" t="str">
        <f aca="false">IF(B3950="","","outreach_sent")</f>
        <v/>
      </c>
      <c r="G3950" s="23" t="str">
        <f aca="false">IF(B3950="","","")</f>
        <v/>
      </c>
      <c r="H3950" s="23" t="str">
        <f aca="false">IF(B3950="","","")</f>
        <v/>
      </c>
      <c r="I3950" s="23" t="str">
        <f aca="false">IF(B3950="","","")</f>
        <v/>
      </c>
      <c r="J3950" s="23" t="str">
        <f aca="false">IF(B3950="","","touch_1; "&amp;IFERROR(INDEX(Clay_Brands!$A$2:$FZ$601,499,Sync!$D$10)&amp;"","")&amp;"; "&amp;IFERROR(INDEX(Clay_Brands!$A$2:$FZ$601,499,Sync!$D$9)&amp;"",""))</f>
        <v/>
      </c>
      <c r="K3950" s="32" t="s">
        <v>1366</v>
      </c>
    </row>
    <row r="3951" customFormat="false" ht="15" hidden="false" customHeight="false" outlineLevel="0" collapsed="false">
      <c r="A3951" s="23" t="str">
        <f aca="false">IF(B3951="","",B3951+(15*1000+500)/10000000)</f>
        <v/>
      </c>
      <c r="B3951" s="35" t="str">
        <f aca="false">IF(AND(IFERROR(N(INDEX(Clay_Brands!$A$2:$FZ$601,500,Sync!$D$11)),0)&gt;0,IFERROR(INDEX(Clay_Brands!$A$2:$FZ$601,500,Sync!$D$5)&amp;"","")&lt;&gt;"",OR(LEFT(IFERROR(INDEX(Clay_Brands!$A$2:$FZ$601,500,Sync!$D$5)&amp;"",""),6)&lt;&gt;"SAMPLE",Config!$B$19="Y")),IFERROR(N(INDEX(Clay_Brands!$A$2:$FZ$601,500,Sync!$D$11)),0),"")</f>
        <v/>
      </c>
      <c r="C3951" s="23" t="str">
        <f aca="false">IF(B3951="","","brand")</f>
        <v/>
      </c>
      <c r="D3951" s="23" t="str">
        <f aca="false">IF(B3951="","",IFERROR(INDEX(Brand_Log!$DV$2:$DV$201,MATCH(IFERROR(INDEX(Clay_Brands!$A$2:$FZ$601,500,Sync!$D$5)&amp;"",""),Brand_Log!$A$2:$A$201,0))&amp;"",IFERROR(INDEX(Clay_Brands!$A$2:$FZ$601,500,Sync!$D$5)&amp;"","")&amp;""))</f>
        <v/>
      </c>
      <c r="E3951" s="23" t="str">
        <f aca="false">IF(B3951="","",IFERROR(INDEX(Clay_Brands!$A$2:$FZ$601,500,Sync!$D$6)&amp;"",""))</f>
        <v/>
      </c>
      <c r="F3951" s="23" t="str">
        <f aca="false">IF(B3951="","","outreach_sent")</f>
        <v/>
      </c>
      <c r="G3951" s="23" t="str">
        <f aca="false">IF(B3951="","","")</f>
        <v/>
      </c>
      <c r="H3951" s="23" t="str">
        <f aca="false">IF(B3951="","","")</f>
        <v/>
      </c>
      <c r="I3951" s="23" t="str">
        <f aca="false">IF(B3951="","","")</f>
        <v/>
      </c>
      <c r="J3951" s="23" t="str">
        <f aca="false">IF(B3951="","","touch_1; "&amp;IFERROR(INDEX(Clay_Brands!$A$2:$FZ$601,500,Sync!$D$10)&amp;"","")&amp;"; "&amp;IFERROR(INDEX(Clay_Brands!$A$2:$FZ$601,500,Sync!$D$9)&amp;"",""))</f>
        <v/>
      </c>
      <c r="K3951" s="32" t="s">
        <v>1366</v>
      </c>
    </row>
    <row r="3952" customFormat="false" ht="15" hidden="false" customHeight="false" outlineLevel="0" collapsed="false">
      <c r="A3952" s="23" t="str">
        <f aca="false">IF(B3952="","",B3952+(15*1000+501)/10000000)</f>
        <v/>
      </c>
      <c r="B3952" s="35" t="str">
        <f aca="false">IF(AND(IFERROR(N(INDEX(Clay_Brands!$A$2:$FZ$601,501,Sync!$D$11)),0)&gt;0,IFERROR(INDEX(Clay_Brands!$A$2:$FZ$601,501,Sync!$D$5)&amp;"","")&lt;&gt;"",OR(LEFT(IFERROR(INDEX(Clay_Brands!$A$2:$FZ$601,501,Sync!$D$5)&amp;"",""),6)&lt;&gt;"SAMPLE",Config!$B$19="Y")),IFERROR(N(INDEX(Clay_Brands!$A$2:$FZ$601,501,Sync!$D$11)),0),"")</f>
        <v/>
      </c>
      <c r="C3952" s="23" t="str">
        <f aca="false">IF(B3952="","","brand")</f>
        <v/>
      </c>
      <c r="D3952" s="23" t="str">
        <f aca="false">IF(B3952="","",IFERROR(INDEX(Brand_Log!$DV$2:$DV$201,MATCH(IFERROR(INDEX(Clay_Brands!$A$2:$FZ$601,501,Sync!$D$5)&amp;"",""),Brand_Log!$A$2:$A$201,0))&amp;"",IFERROR(INDEX(Clay_Brands!$A$2:$FZ$601,501,Sync!$D$5)&amp;"","")&amp;""))</f>
        <v/>
      </c>
      <c r="E3952" s="23" t="str">
        <f aca="false">IF(B3952="","",IFERROR(INDEX(Clay_Brands!$A$2:$FZ$601,501,Sync!$D$6)&amp;"",""))</f>
        <v/>
      </c>
      <c r="F3952" s="23" t="str">
        <f aca="false">IF(B3952="","","outreach_sent")</f>
        <v/>
      </c>
      <c r="G3952" s="23" t="str">
        <f aca="false">IF(B3952="","","")</f>
        <v/>
      </c>
      <c r="H3952" s="23" t="str">
        <f aca="false">IF(B3952="","","")</f>
        <v/>
      </c>
      <c r="I3952" s="23" t="str">
        <f aca="false">IF(B3952="","","")</f>
        <v/>
      </c>
      <c r="J3952" s="23" t="str">
        <f aca="false">IF(B3952="","","touch_1; "&amp;IFERROR(INDEX(Clay_Brands!$A$2:$FZ$601,501,Sync!$D$10)&amp;"","")&amp;"; "&amp;IFERROR(INDEX(Clay_Brands!$A$2:$FZ$601,501,Sync!$D$9)&amp;"",""))</f>
        <v/>
      </c>
      <c r="K3952" s="32" t="s">
        <v>1366</v>
      </c>
    </row>
    <row r="3953" customFormat="false" ht="15" hidden="false" customHeight="false" outlineLevel="0" collapsed="false">
      <c r="A3953" s="23" t="str">
        <f aca="false">IF(B3953="","",B3953+(15*1000+502)/10000000)</f>
        <v/>
      </c>
      <c r="B3953" s="35" t="str">
        <f aca="false">IF(AND(IFERROR(N(INDEX(Clay_Brands!$A$2:$FZ$601,502,Sync!$D$11)),0)&gt;0,IFERROR(INDEX(Clay_Brands!$A$2:$FZ$601,502,Sync!$D$5)&amp;"","")&lt;&gt;"",OR(LEFT(IFERROR(INDEX(Clay_Brands!$A$2:$FZ$601,502,Sync!$D$5)&amp;"",""),6)&lt;&gt;"SAMPLE",Config!$B$19="Y")),IFERROR(N(INDEX(Clay_Brands!$A$2:$FZ$601,502,Sync!$D$11)),0),"")</f>
        <v/>
      </c>
      <c r="C3953" s="23" t="str">
        <f aca="false">IF(B3953="","","brand")</f>
        <v/>
      </c>
      <c r="D3953" s="23" t="str">
        <f aca="false">IF(B3953="","",IFERROR(INDEX(Brand_Log!$DV$2:$DV$201,MATCH(IFERROR(INDEX(Clay_Brands!$A$2:$FZ$601,502,Sync!$D$5)&amp;"",""),Brand_Log!$A$2:$A$201,0))&amp;"",IFERROR(INDEX(Clay_Brands!$A$2:$FZ$601,502,Sync!$D$5)&amp;"","")&amp;""))</f>
        <v/>
      </c>
      <c r="E3953" s="23" t="str">
        <f aca="false">IF(B3953="","",IFERROR(INDEX(Clay_Brands!$A$2:$FZ$601,502,Sync!$D$6)&amp;"",""))</f>
        <v/>
      </c>
      <c r="F3953" s="23" t="str">
        <f aca="false">IF(B3953="","","outreach_sent")</f>
        <v/>
      </c>
      <c r="G3953" s="23" t="str">
        <f aca="false">IF(B3953="","","")</f>
        <v/>
      </c>
      <c r="H3953" s="23" t="str">
        <f aca="false">IF(B3953="","","")</f>
        <v/>
      </c>
      <c r="I3953" s="23" t="str">
        <f aca="false">IF(B3953="","","")</f>
        <v/>
      </c>
      <c r="J3953" s="23" t="str">
        <f aca="false">IF(B3953="","","touch_1; "&amp;IFERROR(INDEX(Clay_Brands!$A$2:$FZ$601,502,Sync!$D$10)&amp;"","")&amp;"; "&amp;IFERROR(INDEX(Clay_Brands!$A$2:$FZ$601,502,Sync!$D$9)&amp;"",""))</f>
        <v/>
      </c>
      <c r="K3953" s="32" t="s">
        <v>1366</v>
      </c>
    </row>
    <row r="3954" customFormat="false" ht="15" hidden="false" customHeight="false" outlineLevel="0" collapsed="false">
      <c r="A3954" s="23" t="str">
        <f aca="false">IF(B3954="","",B3954+(15*1000+503)/10000000)</f>
        <v/>
      </c>
      <c r="B3954" s="35" t="str">
        <f aca="false">IF(AND(IFERROR(N(INDEX(Clay_Brands!$A$2:$FZ$601,503,Sync!$D$11)),0)&gt;0,IFERROR(INDEX(Clay_Brands!$A$2:$FZ$601,503,Sync!$D$5)&amp;"","")&lt;&gt;"",OR(LEFT(IFERROR(INDEX(Clay_Brands!$A$2:$FZ$601,503,Sync!$D$5)&amp;"",""),6)&lt;&gt;"SAMPLE",Config!$B$19="Y")),IFERROR(N(INDEX(Clay_Brands!$A$2:$FZ$601,503,Sync!$D$11)),0),"")</f>
        <v/>
      </c>
      <c r="C3954" s="23" t="str">
        <f aca="false">IF(B3954="","","brand")</f>
        <v/>
      </c>
      <c r="D3954" s="23" t="str">
        <f aca="false">IF(B3954="","",IFERROR(INDEX(Brand_Log!$DV$2:$DV$201,MATCH(IFERROR(INDEX(Clay_Brands!$A$2:$FZ$601,503,Sync!$D$5)&amp;"",""),Brand_Log!$A$2:$A$201,0))&amp;"",IFERROR(INDEX(Clay_Brands!$A$2:$FZ$601,503,Sync!$D$5)&amp;"","")&amp;""))</f>
        <v/>
      </c>
      <c r="E3954" s="23" t="str">
        <f aca="false">IF(B3954="","",IFERROR(INDEX(Clay_Brands!$A$2:$FZ$601,503,Sync!$D$6)&amp;"",""))</f>
        <v/>
      </c>
      <c r="F3954" s="23" t="str">
        <f aca="false">IF(B3954="","","outreach_sent")</f>
        <v/>
      </c>
      <c r="G3954" s="23" t="str">
        <f aca="false">IF(B3954="","","")</f>
        <v/>
      </c>
      <c r="H3954" s="23" t="str">
        <f aca="false">IF(B3954="","","")</f>
        <v/>
      </c>
      <c r="I3954" s="23" t="str">
        <f aca="false">IF(B3954="","","")</f>
        <v/>
      </c>
      <c r="J3954" s="23" t="str">
        <f aca="false">IF(B3954="","","touch_1; "&amp;IFERROR(INDEX(Clay_Brands!$A$2:$FZ$601,503,Sync!$D$10)&amp;"","")&amp;"; "&amp;IFERROR(INDEX(Clay_Brands!$A$2:$FZ$601,503,Sync!$D$9)&amp;"",""))</f>
        <v/>
      </c>
      <c r="K3954" s="32" t="s">
        <v>1366</v>
      </c>
    </row>
    <row r="3955" customFormat="false" ht="15" hidden="false" customHeight="false" outlineLevel="0" collapsed="false">
      <c r="A3955" s="23" t="str">
        <f aca="false">IF(B3955="","",B3955+(15*1000+504)/10000000)</f>
        <v/>
      </c>
      <c r="B3955" s="35" t="str">
        <f aca="false">IF(AND(IFERROR(N(INDEX(Clay_Brands!$A$2:$FZ$601,504,Sync!$D$11)),0)&gt;0,IFERROR(INDEX(Clay_Brands!$A$2:$FZ$601,504,Sync!$D$5)&amp;"","")&lt;&gt;"",OR(LEFT(IFERROR(INDEX(Clay_Brands!$A$2:$FZ$601,504,Sync!$D$5)&amp;"",""),6)&lt;&gt;"SAMPLE",Config!$B$19="Y")),IFERROR(N(INDEX(Clay_Brands!$A$2:$FZ$601,504,Sync!$D$11)),0),"")</f>
        <v/>
      </c>
      <c r="C3955" s="23" t="str">
        <f aca="false">IF(B3955="","","brand")</f>
        <v/>
      </c>
      <c r="D3955" s="23" t="str">
        <f aca="false">IF(B3955="","",IFERROR(INDEX(Brand_Log!$DV$2:$DV$201,MATCH(IFERROR(INDEX(Clay_Brands!$A$2:$FZ$601,504,Sync!$D$5)&amp;"",""),Brand_Log!$A$2:$A$201,0))&amp;"",IFERROR(INDEX(Clay_Brands!$A$2:$FZ$601,504,Sync!$D$5)&amp;"","")&amp;""))</f>
        <v/>
      </c>
      <c r="E3955" s="23" t="str">
        <f aca="false">IF(B3955="","",IFERROR(INDEX(Clay_Brands!$A$2:$FZ$601,504,Sync!$D$6)&amp;"",""))</f>
        <v/>
      </c>
      <c r="F3955" s="23" t="str">
        <f aca="false">IF(B3955="","","outreach_sent")</f>
        <v/>
      </c>
      <c r="G3955" s="23" t="str">
        <f aca="false">IF(B3955="","","")</f>
        <v/>
      </c>
      <c r="H3955" s="23" t="str">
        <f aca="false">IF(B3955="","","")</f>
        <v/>
      </c>
      <c r="I3955" s="23" t="str">
        <f aca="false">IF(B3955="","","")</f>
        <v/>
      </c>
      <c r="J3955" s="23" t="str">
        <f aca="false">IF(B3955="","","touch_1; "&amp;IFERROR(INDEX(Clay_Brands!$A$2:$FZ$601,504,Sync!$D$10)&amp;"","")&amp;"; "&amp;IFERROR(INDEX(Clay_Brands!$A$2:$FZ$601,504,Sync!$D$9)&amp;"",""))</f>
        <v/>
      </c>
      <c r="K3955" s="32" t="s">
        <v>1366</v>
      </c>
    </row>
    <row r="3956" customFormat="false" ht="15" hidden="false" customHeight="false" outlineLevel="0" collapsed="false">
      <c r="A3956" s="23" t="str">
        <f aca="false">IF(B3956="","",B3956+(15*1000+505)/10000000)</f>
        <v/>
      </c>
      <c r="B3956" s="35" t="str">
        <f aca="false">IF(AND(IFERROR(N(INDEX(Clay_Brands!$A$2:$FZ$601,505,Sync!$D$11)),0)&gt;0,IFERROR(INDEX(Clay_Brands!$A$2:$FZ$601,505,Sync!$D$5)&amp;"","")&lt;&gt;"",OR(LEFT(IFERROR(INDEX(Clay_Brands!$A$2:$FZ$601,505,Sync!$D$5)&amp;"",""),6)&lt;&gt;"SAMPLE",Config!$B$19="Y")),IFERROR(N(INDEX(Clay_Brands!$A$2:$FZ$601,505,Sync!$D$11)),0),"")</f>
        <v/>
      </c>
      <c r="C3956" s="23" t="str">
        <f aca="false">IF(B3956="","","brand")</f>
        <v/>
      </c>
      <c r="D3956" s="23" t="str">
        <f aca="false">IF(B3956="","",IFERROR(INDEX(Brand_Log!$DV$2:$DV$201,MATCH(IFERROR(INDEX(Clay_Brands!$A$2:$FZ$601,505,Sync!$D$5)&amp;"",""),Brand_Log!$A$2:$A$201,0))&amp;"",IFERROR(INDEX(Clay_Brands!$A$2:$FZ$601,505,Sync!$D$5)&amp;"","")&amp;""))</f>
        <v/>
      </c>
      <c r="E3956" s="23" t="str">
        <f aca="false">IF(B3956="","",IFERROR(INDEX(Clay_Brands!$A$2:$FZ$601,505,Sync!$D$6)&amp;"",""))</f>
        <v/>
      </c>
      <c r="F3956" s="23" t="str">
        <f aca="false">IF(B3956="","","outreach_sent")</f>
        <v/>
      </c>
      <c r="G3956" s="23" t="str">
        <f aca="false">IF(B3956="","","")</f>
        <v/>
      </c>
      <c r="H3956" s="23" t="str">
        <f aca="false">IF(B3956="","","")</f>
        <v/>
      </c>
      <c r="I3956" s="23" t="str">
        <f aca="false">IF(B3956="","","")</f>
        <v/>
      </c>
      <c r="J3956" s="23" t="str">
        <f aca="false">IF(B3956="","","touch_1; "&amp;IFERROR(INDEX(Clay_Brands!$A$2:$FZ$601,505,Sync!$D$10)&amp;"","")&amp;"; "&amp;IFERROR(INDEX(Clay_Brands!$A$2:$FZ$601,505,Sync!$D$9)&amp;"",""))</f>
        <v/>
      </c>
      <c r="K3956" s="32" t="s">
        <v>1366</v>
      </c>
    </row>
    <row r="3957" customFormat="false" ht="15" hidden="false" customHeight="false" outlineLevel="0" collapsed="false">
      <c r="A3957" s="23" t="str">
        <f aca="false">IF(B3957="","",B3957+(15*1000+506)/10000000)</f>
        <v/>
      </c>
      <c r="B3957" s="35" t="str">
        <f aca="false">IF(AND(IFERROR(N(INDEX(Clay_Brands!$A$2:$FZ$601,506,Sync!$D$11)),0)&gt;0,IFERROR(INDEX(Clay_Brands!$A$2:$FZ$601,506,Sync!$D$5)&amp;"","")&lt;&gt;"",OR(LEFT(IFERROR(INDEX(Clay_Brands!$A$2:$FZ$601,506,Sync!$D$5)&amp;"",""),6)&lt;&gt;"SAMPLE",Config!$B$19="Y")),IFERROR(N(INDEX(Clay_Brands!$A$2:$FZ$601,506,Sync!$D$11)),0),"")</f>
        <v/>
      </c>
      <c r="C3957" s="23" t="str">
        <f aca="false">IF(B3957="","","brand")</f>
        <v/>
      </c>
      <c r="D3957" s="23" t="str">
        <f aca="false">IF(B3957="","",IFERROR(INDEX(Brand_Log!$DV$2:$DV$201,MATCH(IFERROR(INDEX(Clay_Brands!$A$2:$FZ$601,506,Sync!$D$5)&amp;"",""),Brand_Log!$A$2:$A$201,0))&amp;"",IFERROR(INDEX(Clay_Brands!$A$2:$FZ$601,506,Sync!$D$5)&amp;"","")&amp;""))</f>
        <v/>
      </c>
      <c r="E3957" s="23" t="str">
        <f aca="false">IF(B3957="","",IFERROR(INDEX(Clay_Brands!$A$2:$FZ$601,506,Sync!$D$6)&amp;"",""))</f>
        <v/>
      </c>
      <c r="F3957" s="23" t="str">
        <f aca="false">IF(B3957="","","outreach_sent")</f>
        <v/>
      </c>
      <c r="G3957" s="23" t="str">
        <f aca="false">IF(B3957="","","")</f>
        <v/>
      </c>
      <c r="H3957" s="23" t="str">
        <f aca="false">IF(B3957="","","")</f>
        <v/>
      </c>
      <c r="I3957" s="23" t="str">
        <f aca="false">IF(B3957="","","")</f>
        <v/>
      </c>
      <c r="J3957" s="23" t="str">
        <f aca="false">IF(B3957="","","touch_1; "&amp;IFERROR(INDEX(Clay_Brands!$A$2:$FZ$601,506,Sync!$D$10)&amp;"","")&amp;"; "&amp;IFERROR(INDEX(Clay_Brands!$A$2:$FZ$601,506,Sync!$D$9)&amp;"",""))</f>
        <v/>
      </c>
      <c r="K3957" s="32" t="s">
        <v>1366</v>
      </c>
    </row>
    <row r="3958" customFormat="false" ht="15" hidden="false" customHeight="false" outlineLevel="0" collapsed="false">
      <c r="A3958" s="23" t="str">
        <f aca="false">IF(B3958="","",B3958+(15*1000+507)/10000000)</f>
        <v/>
      </c>
      <c r="B3958" s="35" t="str">
        <f aca="false">IF(AND(IFERROR(N(INDEX(Clay_Brands!$A$2:$FZ$601,507,Sync!$D$11)),0)&gt;0,IFERROR(INDEX(Clay_Brands!$A$2:$FZ$601,507,Sync!$D$5)&amp;"","")&lt;&gt;"",OR(LEFT(IFERROR(INDEX(Clay_Brands!$A$2:$FZ$601,507,Sync!$D$5)&amp;"",""),6)&lt;&gt;"SAMPLE",Config!$B$19="Y")),IFERROR(N(INDEX(Clay_Brands!$A$2:$FZ$601,507,Sync!$D$11)),0),"")</f>
        <v/>
      </c>
      <c r="C3958" s="23" t="str">
        <f aca="false">IF(B3958="","","brand")</f>
        <v/>
      </c>
      <c r="D3958" s="23" t="str">
        <f aca="false">IF(B3958="","",IFERROR(INDEX(Brand_Log!$DV$2:$DV$201,MATCH(IFERROR(INDEX(Clay_Brands!$A$2:$FZ$601,507,Sync!$D$5)&amp;"",""),Brand_Log!$A$2:$A$201,0))&amp;"",IFERROR(INDEX(Clay_Brands!$A$2:$FZ$601,507,Sync!$D$5)&amp;"","")&amp;""))</f>
        <v/>
      </c>
      <c r="E3958" s="23" t="str">
        <f aca="false">IF(B3958="","",IFERROR(INDEX(Clay_Brands!$A$2:$FZ$601,507,Sync!$D$6)&amp;"",""))</f>
        <v/>
      </c>
      <c r="F3958" s="23" t="str">
        <f aca="false">IF(B3958="","","outreach_sent")</f>
        <v/>
      </c>
      <c r="G3958" s="23" t="str">
        <f aca="false">IF(B3958="","","")</f>
        <v/>
      </c>
      <c r="H3958" s="23" t="str">
        <f aca="false">IF(B3958="","","")</f>
        <v/>
      </c>
      <c r="I3958" s="23" t="str">
        <f aca="false">IF(B3958="","","")</f>
        <v/>
      </c>
      <c r="J3958" s="23" t="str">
        <f aca="false">IF(B3958="","","touch_1; "&amp;IFERROR(INDEX(Clay_Brands!$A$2:$FZ$601,507,Sync!$D$10)&amp;"","")&amp;"; "&amp;IFERROR(INDEX(Clay_Brands!$A$2:$FZ$601,507,Sync!$D$9)&amp;"",""))</f>
        <v/>
      </c>
      <c r="K3958" s="32" t="s">
        <v>1366</v>
      </c>
    </row>
    <row r="3959" customFormat="false" ht="15" hidden="false" customHeight="false" outlineLevel="0" collapsed="false">
      <c r="A3959" s="23" t="str">
        <f aca="false">IF(B3959="","",B3959+(15*1000+508)/10000000)</f>
        <v/>
      </c>
      <c r="B3959" s="35" t="str">
        <f aca="false">IF(AND(IFERROR(N(INDEX(Clay_Brands!$A$2:$FZ$601,508,Sync!$D$11)),0)&gt;0,IFERROR(INDEX(Clay_Brands!$A$2:$FZ$601,508,Sync!$D$5)&amp;"","")&lt;&gt;"",OR(LEFT(IFERROR(INDEX(Clay_Brands!$A$2:$FZ$601,508,Sync!$D$5)&amp;"",""),6)&lt;&gt;"SAMPLE",Config!$B$19="Y")),IFERROR(N(INDEX(Clay_Brands!$A$2:$FZ$601,508,Sync!$D$11)),0),"")</f>
        <v/>
      </c>
      <c r="C3959" s="23" t="str">
        <f aca="false">IF(B3959="","","brand")</f>
        <v/>
      </c>
      <c r="D3959" s="23" t="str">
        <f aca="false">IF(B3959="","",IFERROR(INDEX(Brand_Log!$DV$2:$DV$201,MATCH(IFERROR(INDEX(Clay_Brands!$A$2:$FZ$601,508,Sync!$D$5)&amp;"",""),Brand_Log!$A$2:$A$201,0))&amp;"",IFERROR(INDEX(Clay_Brands!$A$2:$FZ$601,508,Sync!$D$5)&amp;"","")&amp;""))</f>
        <v/>
      </c>
      <c r="E3959" s="23" t="str">
        <f aca="false">IF(B3959="","",IFERROR(INDEX(Clay_Brands!$A$2:$FZ$601,508,Sync!$D$6)&amp;"",""))</f>
        <v/>
      </c>
      <c r="F3959" s="23" t="str">
        <f aca="false">IF(B3959="","","outreach_sent")</f>
        <v/>
      </c>
      <c r="G3959" s="23" t="str">
        <f aca="false">IF(B3959="","","")</f>
        <v/>
      </c>
      <c r="H3959" s="23" t="str">
        <f aca="false">IF(B3959="","","")</f>
        <v/>
      </c>
      <c r="I3959" s="23" t="str">
        <f aca="false">IF(B3959="","","")</f>
        <v/>
      </c>
      <c r="J3959" s="23" t="str">
        <f aca="false">IF(B3959="","","touch_1; "&amp;IFERROR(INDEX(Clay_Brands!$A$2:$FZ$601,508,Sync!$D$10)&amp;"","")&amp;"; "&amp;IFERROR(INDEX(Clay_Brands!$A$2:$FZ$601,508,Sync!$D$9)&amp;"",""))</f>
        <v/>
      </c>
      <c r="K3959" s="32" t="s">
        <v>1366</v>
      </c>
    </row>
    <row r="3960" customFormat="false" ht="15" hidden="false" customHeight="false" outlineLevel="0" collapsed="false">
      <c r="A3960" s="23" t="str">
        <f aca="false">IF(B3960="","",B3960+(15*1000+509)/10000000)</f>
        <v/>
      </c>
      <c r="B3960" s="35" t="str">
        <f aca="false">IF(AND(IFERROR(N(INDEX(Clay_Brands!$A$2:$FZ$601,509,Sync!$D$11)),0)&gt;0,IFERROR(INDEX(Clay_Brands!$A$2:$FZ$601,509,Sync!$D$5)&amp;"","")&lt;&gt;"",OR(LEFT(IFERROR(INDEX(Clay_Brands!$A$2:$FZ$601,509,Sync!$D$5)&amp;"",""),6)&lt;&gt;"SAMPLE",Config!$B$19="Y")),IFERROR(N(INDEX(Clay_Brands!$A$2:$FZ$601,509,Sync!$D$11)),0),"")</f>
        <v/>
      </c>
      <c r="C3960" s="23" t="str">
        <f aca="false">IF(B3960="","","brand")</f>
        <v/>
      </c>
      <c r="D3960" s="23" t="str">
        <f aca="false">IF(B3960="","",IFERROR(INDEX(Brand_Log!$DV$2:$DV$201,MATCH(IFERROR(INDEX(Clay_Brands!$A$2:$FZ$601,509,Sync!$D$5)&amp;"",""),Brand_Log!$A$2:$A$201,0))&amp;"",IFERROR(INDEX(Clay_Brands!$A$2:$FZ$601,509,Sync!$D$5)&amp;"","")&amp;""))</f>
        <v/>
      </c>
      <c r="E3960" s="23" t="str">
        <f aca="false">IF(B3960="","",IFERROR(INDEX(Clay_Brands!$A$2:$FZ$601,509,Sync!$D$6)&amp;"",""))</f>
        <v/>
      </c>
      <c r="F3960" s="23" t="str">
        <f aca="false">IF(B3960="","","outreach_sent")</f>
        <v/>
      </c>
      <c r="G3960" s="23" t="str">
        <f aca="false">IF(B3960="","","")</f>
        <v/>
      </c>
      <c r="H3960" s="23" t="str">
        <f aca="false">IF(B3960="","","")</f>
        <v/>
      </c>
      <c r="I3960" s="23" t="str">
        <f aca="false">IF(B3960="","","")</f>
        <v/>
      </c>
      <c r="J3960" s="23" t="str">
        <f aca="false">IF(B3960="","","touch_1; "&amp;IFERROR(INDEX(Clay_Brands!$A$2:$FZ$601,509,Sync!$D$10)&amp;"","")&amp;"; "&amp;IFERROR(INDEX(Clay_Brands!$A$2:$FZ$601,509,Sync!$D$9)&amp;"",""))</f>
        <v/>
      </c>
      <c r="K3960" s="32" t="s">
        <v>1366</v>
      </c>
    </row>
    <row r="3961" customFormat="false" ht="15" hidden="false" customHeight="false" outlineLevel="0" collapsed="false">
      <c r="A3961" s="23" t="str">
        <f aca="false">IF(B3961="","",B3961+(15*1000+510)/10000000)</f>
        <v/>
      </c>
      <c r="B3961" s="35" t="str">
        <f aca="false">IF(AND(IFERROR(N(INDEX(Clay_Brands!$A$2:$FZ$601,510,Sync!$D$11)),0)&gt;0,IFERROR(INDEX(Clay_Brands!$A$2:$FZ$601,510,Sync!$D$5)&amp;"","")&lt;&gt;"",OR(LEFT(IFERROR(INDEX(Clay_Brands!$A$2:$FZ$601,510,Sync!$D$5)&amp;"",""),6)&lt;&gt;"SAMPLE",Config!$B$19="Y")),IFERROR(N(INDEX(Clay_Brands!$A$2:$FZ$601,510,Sync!$D$11)),0),"")</f>
        <v/>
      </c>
      <c r="C3961" s="23" t="str">
        <f aca="false">IF(B3961="","","brand")</f>
        <v/>
      </c>
      <c r="D3961" s="23" t="str">
        <f aca="false">IF(B3961="","",IFERROR(INDEX(Brand_Log!$DV$2:$DV$201,MATCH(IFERROR(INDEX(Clay_Brands!$A$2:$FZ$601,510,Sync!$D$5)&amp;"",""),Brand_Log!$A$2:$A$201,0))&amp;"",IFERROR(INDEX(Clay_Brands!$A$2:$FZ$601,510,Sync!$D$5)&amp;"","")&amp;""))</f>
        <v/>
      </c>
      <c r="E3961" s="23" t="str">
        <f aca="false">IF(B3961="","",IFERROR(INDEX(Clay_Brands!$A$2:$FZ$601,510,Sync!$D$6)&amp;"",""))</f>
        <v/>
      </c>
      <c r="F3961" s="23" t="str">
        <f aca="false">IF(B3961="","","outreach_sent")</f>
        <v/>
      </c>
      <c r="G3961" s="23" t="str">
        <f aca="false">IF(B3961="","","")</f>
        <v/>
      </c>
      <c r="H3961" s="23" t="str">
        <f aca="false">IF(B3961="","","")</f>
        <v/>
      </c>
      <c r="I3961" s="23" t="str">
        <f aca="false">IF(B3961="","","")</f>
        <v/>
      </c>
      <c r="J3961" s="23" t="str">
        <f aca="false">IF(B3961="","","touch_1; "&amp;IFERROR(INDEX(Clay_Brands!$A$2:$FZ$601,510,Sync!$D$10)&amp;"","")&amp;"; "&amp;IFERROR(INDEX(Clay_Brands!$A$2:$FZ$601,510,Sync!$D$9)&amp;"",""))</f>
        <v/>
      </c>
      <c r="K3961" s="32" t="s">
        <v>1366</v>
      </c>
    </row>
    <row r="3962" customFormat="false" ht="15" hidden="false" customHeight="false" outlineLevel="0" collapsed="false">
      <c r="A3962" s="23" t="str">
        <f aca="false">IF(B3962="","",B3962+(15*1000+511)/10000000)</f>
        <v/>
      </c>
      <c r="B3962" s="35" t="str">
        <f aca="false">IF(AND(IFERROR(N(INDEX(Clay_Brands!$A$2:$FZ$601,511,Sync!$D$11)),0)&gt;0,IFERROR(INDEX(Clay_Brands!$A$2:$FZ$601,511,Sync!$D$5)&amp;"","")&lt;&gt;"",OR(LEFT(IFERROR(INDEX(Clay_Brands!$A$2:$FZ$601,511,Sync!$D$5)&amp;"",""),6)&lt;&gt;"SAMPLE",Config!$B$19="Y")),IFERROR(N(INDEX(Clay_Brands!$A$2:$FZ$601,511,Sync!$D$11)),0),"")</f>
        <v/>
      </c>
      <c r="C3962" s="23" t="str">
        <f aca="false">IF(B3962="","","brand")</f>
        <v/>
      </c>
      <c r="D3962" s="23" t="str">
        <f aca="false">IF(B3962="","",IFERROR(INDEX(Brand_Log!$DV$2:$DV$201,MATCH(IFERROR(INDEX(Clay_Brands!$A$2:$FZ$601,511,Sync!$D$5)&amp;"",""),Brand_Log!$A$2:$A$201,0))&amp;"",IFERROR(INDEX(Clay_Brands!$A$2:$FZ$601,511,Sync!$D$5)&amp;"","")&amp;""))</f>
        <v/>
      </c>
      <c r="E3962" s="23" t="str">
        <f aca="false">IF(B3962="","",IFERROR(INDEX(Clay_Brands!$A$2:$FZ$601,511,Sync!$D$6)&amp;"",""))</f>
        <v/>
      </c>
      <c r="F3962" s="23" t="str">
        <f aca="false">IF(B3962="","","outreach_sent")</f>
        <v/>
      </c>
      <c r="G3962" s="23" t="str">
        <f aca="false">IF(B3962="","","")</f>
        <v/>
      </c>
      <c r="H3962" s="23" t="str">
        <f aca="false">IF(B3962="","","")</f>
        <v/>
      </c>
      <c r="I3962" s="23" t="str">
        <f aca="false">IF(B3962="","","")</f>
        <v/>
      </c>
      <c r="J3962" s="23" t="str">
        <f aca="false">IF(B3962="","","touch_1; "&amp;IFERROR(INDEX(Clay_Brands!$A$2:$FZ$601,511,Sync!$D$10)&amp;"","")&amp;"; "&amp;IFERROR(INDEX(Clay_Brands!$A$2:$FZ$601,511,Sync!$D$9)&amp;"",""))</f>
        <v/>
      </c>
      <c r="K3962" s="32" t="s">
        <v>1366</v>
      </c>
    </row>
    <row r="3963" customFormat="false" ht="15" hidden="false" customHeight="false" outlineLevel="0" collapsed="false">
      <c r="A3963" s="23" t="str">
        <f aca="false">IF(B3963="","",B3963+(15*1000+512)/10000000)</f>
        <v/>
      </c>
      <c r="B3963" s="35" t="str">
        <f aca="false">IF(AND(IFERROR(N(INDEX(Clay_Brands!$A$2:$FZ$601,512,Sync!$D$11)),0)&gt;0,IFERROR(INDEX(Clay_Brands!$A$2:$FZ$601,512,Sync!$D$5)&amp;"","")&lt;&gt;"",OR(LEFT(IFERROR(INDEX(Clay_Brands!$A$2:$FZ$601,512,Sync!$D$5)&amp;"",""),6)&lt;&gt;"SAMPLE",Config!$B$19="Y")),IFERROR(N(INDEX(Clay_Brands!$A$2:$FZ$601,512,Sync!$D$11)),0),"")</f>
        <v/>
      </c>
      <c r="C3963" s="23" t="str">
        <f aca="false">IF(B3963="","","brand")</f>
        <v/>
      </c>
      <c r="D3963" s="23" t="str">
        <f aca="false">IF(B3963="","",IFERROR(INDEX(Brand_Log!$DV$2:$DV$201,MATCH(IFERROR(INDEX(Clay_Brands!$A$2:$FZ$601,512,Sync!$D$5)&amp;"",""),Brand_Log!$A$2:$A$201,0))&amp;"",IFERROR(INDEX(Clay_Brands!$A$2:$FZ$601,512,Sync!$D$5)&amp;"","")&amp;""))</f>
        <v/>
      </c>
      <c r="E3963" s="23" t="str">
        <f aca="false">IF(B3963="","",IFERROR(INDEX(Clay_Brands!$A$2:$FZ$601,512,Sync!$D$6)&amp;"",""))</f>
        <v/>
      </c>
      <c r="F3963" s="23" t="str">
        <f aca="false">IF(B3963="","","outreach_sent")</f>
        <v/>
      </c>
      <c r="G3963" s="23" t="str">
        <f aca="false">IF(B3963="","","")</f>
        <v/>
      </c>
      <c r="H3963" s="23" t="str">
        <f aca="false">IF(B3963="","","")</f>
        <v/>
      </c>
      <c r="I3963" s="23" t="str">
        <f aca="false">IF(B3963="","","")</f>
        <v/>
      </c>
      <c r="J3963" s="23" t="str">
        <f aca="false">IF(B3963="","","touch_1; "&amp;IFERROR(INDEX(Clay_Brands!$A$2:$FZ$601,512,Sync!$D$10)&amp;"","")&amp;"; "&amp;IFERROR(INDEX(Clay_Brands!$A$2:$FZ$601,512,Sync!$D$9)&amp;"",""))</f>
        <v/>
      </c>
      <c r="K3963" s="32" t="s">
        <v>1366</v>
      </c>
    </row>
    <row r="3964" customFormat="false" ht="15" hidden="false" customHeight="false" outlineLevel="0" collapsed="false">
      <c r="A3964" s="23" t="str">
        <f aca="false">IF(B3964="","",B3964+(15*1000+513)/10000000)</f>
        <v/>
      </c>
      <c r="B3964" s="35" t="str">
        <f aca="false">IF(AND(IFERROR(N(INDEX(Clay_Brands!$A$2:$FZ$601,513,Sync!$D$11)),0)&gt;0,IFERROR(INDEX(Clay_Brands!$A$2:$FZ$601,513,Sync!$D$5)&amp;"","")&lt;&gt;"",OR(LEFT(IFERROR(INDEX(Clay_Brands!$A$2:$FZ$601,513,Sync!$D$5)&amp;"",""),6)&lt;&gt;"SAMPLE",Config!$B$19="Y")),IFERROR(N(INDEX(Clay_Brands!$A$2:$FZ$601,513,Sync!$D$11)),0),"")</f>
        <v/>
      </c>
      <c r="C3964" s="23" t="str">
        <f aca="false">IF(B3964="","","brand")</f>
        <v/>
      </c>
      <c r="D3964" s="23" t="str">
        <f aca="false">IF(B3964="","",IFERROR(INDEX(Brand_Log!$DV$2:$DV$201,MATCH(IFERROR(INDEX(Clay_Brands!$A$2:$FZ$601,513,Sync!$D$5)&amp;"",""),Brand_Log!$A$2:$A$201,0))&amp;"",IFERROR(INDEX(Clay_Brands!$A$2:$FZ$601,513,Sync!$D$5)&amp;"","")&amp;""))</f>
        <v/>
      </c>
      <c r="E3964" s="23" t="str">
        <f aca="false">IF(B3964="","",IFERROR(INDEX(Clay_Brands!$A$2:$FZ$601,513,Sync!$D$6)&amp;"",""))</f>
        <v/>
      </c>
      <c r="F3964" s="23" t="str">
        <f aca="false">IF(B3964="","","outreach_sent")</f>
        <v/>
      </c>
      <c r="G3964" s="23" t="str">
        <f aca="false">IF(B3964="","","")</f>
        <v/>
      </c>
      <c r="H3964" s="23" t="str">
        <f aca="false">IF(B3964="","","")</f>
        <v/>
      </c>
      <c r="I3964" s="23" t="str">
        <f aca="false">IF(B3964="","","")</f>
        <v/>
      </c>
      <c r="J3964" s="23" t="str">
        <f aca="false">IF(B3964="","","touch_1; "&amp;IFERROR(INDEX(Clay_Brands!$A$2:$FZ$601,513,Sync!$D$10)&amp;"","")&amp;"; "&amp;IFERROR(INDEX(Clay_Brands!$A$2:$FZ$601,513,Sync!$D$9)&amp;"",""))</f>
        <v/>
      </c>
      <c r="K3964" s="32" t="s">
        <v>1366</v>
      </c>
    </row>
    <row r="3965" customFormat="false" ht="15" hidden="false" customHeight="false" outlineLevel="0" collapsed="false">
      <c r="A3965" s="23" t="str">
        <f aca="false">IF(B3965="","",B3965+(15*1000+514)/10000000)</f>
        <v/>
      </c>
      <c r="B3965" s="35" t="str">
        <f aca="false">IF(AND(IFERROR(N(INDEX(Clay_Brands!$A$2:$FZ$601,514,Sync!$D$11)),0)&gt;0,IFERROR(INDEX(Clay_Brands!$A$2:$FZ$601,514,Sync!$D$5)&amp;"","")&lt;&gt;"",OR(LEFT(IFERROR(INDEX(Clay_Brands!$A$2:$FZ$601,514,Sync!$D$5)&amp;"",""),6)&lt;&gt;"SAMPLE",Config!$B$19="Y")),IFERROR(N(INDEX(Clay_Brands!$A$2:$FZ$601,514,Sync!$D$11)),0),"")</f>
        <v/>
      </c>
      <c r="C3965" s="23" t="str">
        <f aca="false">IF(B3965="","","brand")</f>
        <v/>
      </c>
      <c r="D3965" s="23" t="str">
        <f aca="false">IF(B3965="","",IFERROR(INDEX(Brand_Log!$DV$2:$DV$201,MATCH(IFERROR(INDEX(Clay_Brands!$A$2:$FZ$601,514,Sync!$D$5)&amp;"",""),Brand_Log!$A$2:$A$201,0))&amp;"",IFERROR(INDEX(Clay_Brands!$A$2:$FZ$601,514,Sync!$D$5)&amp;"","")&amp;""))</f>
        <v/>
      </c>
      <c r="E3965" s="23" t="str">
        <f aca="false">IF(B3965="","",IFERROR(INDEX(Clay_Brands!$A$2:$FZ$601,514,Sync!$D$6)&amp;"",""))</f>
        <v/>
      </c>
      <c r="F3965" s="23" t="str">
        <f aca="false">IF(B3965="","","outreach_sent")</f>
        <v/>
      </c>
      <c r="G3965" s="23" t="str">
        <f aca="false">IF(B3965="","","")</f>
        <v/>
      </c>
      <c r="H3965" s="23" t="str">
        <f aca="false">IF(B3965="","","")</f>
        <v/>
      </c>
      <c r="I3965" s="23" t="str">
        <f aca="false">IF(B3965="","","")</f>
        <v/>
      </c>
      <c r="J3965" s="23" t="str">
        <f aca="false">IF(B3965="","","touch_1; "&amp;IFERROR(INDEX(Clay_Brands!$A$2:$FZ$601,514,Sync!$D$10)&amp;"","")&amp;"; "&amp;IFERROR(INDEX(Clay_Brands!$A$2:$FZ$601,514,Sync!$D$9)&amp;"",""))</f>
        <v/>
      </c>
      <c r="K3965" s="32" t="s">
        <v>1366</v>
      </c>
    </row>
    <row r="3966" customFormat="false" ht="15" hidden="false" customHeight="false" outlineLevel="0" collapsed="false">
      <c r="A3966" s="23" t="str">
        <f aca="false">IF(B3966="","",B3966+(15*1000+515)/10000000)</f>
        <v/>
      </c>
      <c r="B3966" s="35" t="str">
        <f aca="false">IF(AND(IFERROR(N(INDEX(Clay_Brands!$A$2:$FZ$601,515,Sync!$D$11)),0)&gt;0,IFERROR(INDEX(Clay_Brands!$A$2:$FZ$601,515,Sync!$D$5)&amp;"","")&lt;&gt;"",OR(LEFT(IFERROR(INDEX(Clay_Brands!$A$2:$FZ$601,515,Sync!$D$5)&amp;"",""),6)&lt;&gt;"SAMPLE",Config!$B$19="Y")),IFERROR(N(INDEX(Clay_Brands!$A$2:$FZ$601,515,Sync!$D$11)),0),"")</f>
        <v/>
      </c>
      <c r="C3966" s="23" t="str">
        <f aca="false">IF(B3966="","","brand")</f>
        <v/>
      </c>
      <c r="D3966" s="23" t="str">
        <f aca="false">IF(B3966="","",IFERROR(INDEX(Brand_Log!$DV$2:$DV$201,MATCH(IFERROR(INDEX(Clay_Brands!$A$2:$FZ$601,515,Sync!$D$5)&amp;"",""),Brand_Log!$A$2:$A$201,0))&amp;"",IFERROR(INDEX(Clay_Brands!$A$2:$FZ$601,515,Sync!$D$5)&amp;"","")&amp;""))</f>
        <v/>
      </c>
      <c r="E3966" s="23" t="str">
        <f aca="false">IF(B3966="","",IFERROR(INDEX(Clay_Brands!$A$2:$FZ$601,515,Sync!$D$6)&amp;"",""))</f>
        <v/>
      </c>
      <c r="F3966" s="23" t="str">
        <f aca="false">IF(B3966="","","outreach_sent")</f>
        <v/>
      </c>
      <c r="G3966" s="23" t="str">
        <f aca="false">IF(B3966="","","")</f>
        <v/>
      </c>
      <c r="H3966" s="23" t="str">
        <f aca="false">IF(B3966="","","")</f>
        <v/>
      </c>
      <c r="I3966" s="23" t="str">
        <f aca="false">IF(B3966="","","")</f>
        <v/>
      </c>
      <c r="J3966" s="23" t="str">
        <f aca="false">IF(B3966="","","touch_1; "&amp;IFERROR(INDEX(Clay_Brands!$A$2:$FZ$601,515,Sync!$D$10)&amp;"","")&amp;"; "&amp;IFERROR(INDEX(Clay_Brands!$A$2:$FZ$601,515,Sync!$D$9)&amp;"",""))</f>
        <v/>
      </c>
      <c r="K3966" s="32" t="s">
        <v>1366</v>
      </c>
    </row>
    <row r="3967" customFormat="false" ht="15" hidden="false" customHeight="false" outlineLevel="0" collapsed="false">
      <c r="A3967" s="23" t="str">
        <f aca="false">IF(B3967="","",B3967+(15*1000+516)/10000000)</f>
        <v/>
      </c>
      <c r="B3967" s="35" t="str">
        <f aca="false">IF(AND(IFERROR(N(INDEX(Clay_Brands!$A$2:$FZ$601,516,Sync!$D$11)),0)&gt;0,IFERROR(INDEX(Clay_Brands!$A$2:$FZ$601,516,Sync!$D$5)&amp;"","")&lt;&gt;"",OR(LEFT(IFERROR(INDEX(Clay_Brands!$A$2:$FZ$601,516,Sync!$D$5)&amp;"",""),6)&lt;&gt;"SAMPLE",Config!$B$19="Y")),IFERROR(N(INDEX(Clay_Brands!$A$2:$FZ$601,516,Sync!$D$11)),0),"")</f>
        <v/>
      </c>
      <c r="C3967" s="23" t="str">
        <f aca="false">IF(B3967="","","brand")</f>
        <v/>
      </c>
      <c r="D3967" s="23" t="str">
        <f aca="false">IF(B3967="","",IFERROR(INDEX(Brand_Log!$DV$2:$DV$201,MATCH(IFERROR(INDEX(Clay_Brands!$A$2:$FZ$601,516,Sync!$D$5)&amp;"",""),Brand_Log!$A$2:$A$201,0))&amp;"",IFERROR(INDEX(Clay_Brands!$A$2:$FZ$601,516,Sync!$D$5)&amp;"","")&amp;""))</f>
        <v/>
      </c>
      <c r="E3967" s="23" t="str">
        <f aca="false">IF(B3967="","",IFERROR(INDEX(Clay_Brands!$A$2:$FZ$601,516,Sync!$D$6)&amp;"",""))</f>
        <v/>
      </c>
      <c r="F3967" s="23" t="str">
        <f aca="false">IF(B3967="","","outreach_sent")</f>
        <v/>
      </c>
      <c r="G3967" s="23" t="str">
        <f aca="false">IF(B3967="","","")</f>
        <v/>
      </c>
      <c r="H3967" s="23" t="str">
        <f aca="false">IF(B3967="","","")</f>
        <v/>
      </c>
      <c r="I3967" s="23" t="str">
        <f aca="false">IF(B3967="","","")</f>
        <v/>
      </c>
      <c r="J3967" s="23" t="str">
        <f aca="false">IF(B3967="","","touch_1; "&amp;IFERROR(INDEX(Clay_Brands!$A$2:$FZ$601,516,Sync!$D$10)&amp;"","")&amp;"; "&amp;IFERROR(INDEX(Clay_Brands!$A$2:$FZ$601,516,Sync!$D$9)&amp;"",""))</f>
        <v/>
      </c>
      <c r="K3967" s="32" t="s">
        <v>1366</v>
      </c>
    </row>
    <row r="3968" customFormat="false" ht="15" hidden="false" customHeight="false" outlineLevel="0" collapsed="false">
      <c r="A3968" s="23" t="str">
        <f aca="false">IF(B3968="","",B3968+(15*1000+517)/10000000)</f>
        <v/>
      </c>
      <c r="B3968" s="35" t="str">
        <f aca="false">IF(AND(IFERROR(N(INDEX(Clay_Brands!$A$2:$FZ$601,517,Sync!$D$11)),0)&gt;0,IFERROR(INDEX(Clay_Brands!$A$2:$FZ$601,517,Sync!$D$5)&amp;"","")&lt;&gt;"",OR(LEFT(IFERROR(INDEX(Clay_Brands!$A$2:$FZ$601,517,Sync!$D$5)&amp;"",""),6)&lt;&gt;"SAMPLE",Config!$B$19="Y")),IFERROR(N(INDEX(Clay_Brands!$A$2:$FZ$601,517,Sync!$D$11)),0),"")</f>
        <v/>
      </c>
      <c r="C3968" s="23" t="str">
        <f aca="false">IF(B3968="","","brand")</f>
        <v/>
      </c>
      <c r="D3968" s="23" t="str">
        <f aca="false">IF(B3968="","",IFERROR(INDEX(Brand_Log!$DV$2:$DV$201,MATCH(IFERROR(INDEX(Clay_Brands!$A$2:$FZ$601,517,Sync!$D$5)&amp;"",""),Brand_Log!$A$2:$A$201,0))&amp;"",IFERROR(INDEX(Clay_Brands!$A$2:$FZ$601,517,Sync!$D$5)&amp;"","")&amp;""))</f>
        <v/>
      </c>
      <c r="E3968" s="23" t="str">
        <f aca="false">IF(B3968="","",IFERROR(INDEX(Clay_Brands!$A$2:$FZ$601,517,Sync!$D$6)&amp;"",""))</f>
        <v/>
      </c>
      <c r="F3968" s="23" t="str">
        <f aca="false">IF(B3968="","","outreach_sent")</f>
        <v/>
      </c>
      <c r="G3968" s="23" t="str">
        <f aca="false">IF(B3968="","","")</f>
        <v/>
      </c>
      <c r="H3968" s="23" t="str">
        <f aca="false">IF(B3968="","","")</f>
        <v/>
      </c>
      <c r="I3968" s="23" t="str">
        <f aca="false">IF(B3968="","","")</f>
        <v/>
      </c>
      <c r="J3968" s="23" t="str">
        <f aca="false">IF(B3968="","","touch_1; "&amp;IFERROR(INDEX(Clay_Brands!$A$2:$FZ$601,517,Sync!$D$10)&amp;"","")&amp;"; "&amp;IFERROR(INDEX(Clay_Brands!$A$2:$FZ$601,517,Sync!$D$9)&amp;"",""))</f>
        <v/>
      </c>
      <c r="K3968" s="32" t="s">
        <v>1366</v>
      </c>
    </row>
    <row r="3969" customFormat="false" ht="15" hidden="false" customHeight="false" outlineLevel="0" collapsed="false">
      <c r="A3969" s="23" t="str">
        <f aca="false">IF(B3969="","",B3969+(15*1000+518)/10000000)</f>
        <v/>
      </c>
      <c r="B3969" s="35" t="str">
        <f aca="false">IF(AND(IFERROR(N(INDEX(Clay_Brands!$A$2:$FZ$601,518,Sync!$D$11)),0)&gt;0,IFERROR(INDEX(Clay_Brands!$A$2:$FZ$601,518,Sync!$D$5)&amp;"","")&lt;&gt;"",OR(LEFT(IFERROR(INDEX(Clay_Brands!$A$2:$FZ$601,518,Sync!$D$5)&amp;"",""),6)&lt;&gt;"SAMPLE",Config!$B$19="Y")),IFERROR(N(INDEX(Clay_Brands!$A$2:$FZ$601,518,Sync!$D$11)),0),"")</f>
        <v/>
      </c>
      <c r="C3969" s="23" t="str">
        <f aca="false">IF(B3969="","","brand")</f>
        <v/>
      </c>
      <c r="D3969" s="23" t="str">
        <f aca="false">IF(B3969="","",IFERROR(INDEX(Brand_Log!$DV$2:$DV$201,MATCH(IFERROR(INDEX(Clay_Brands!$A$2:$FZ$601,518,Sync!$D$5)&amp;"",""),Brand_Log!$A$2:$A$201,0))&amp;"",IFERROR(INDEX(Clay_Brands!$A$2:$FZ$601,518,Sync!$D$5)&amp;"","")&amp;""))</f>
        <v/>
      </c>
      <c r="E3969" s="23" t="str">
        <f aca="false">IF(B3969="","",IFERROR(INDEX(Clay_Brands!$A$2:$FZ$601,518,Sync!$D$6)&amp;"",""))</f>
        <v/>
      </c>
      <c r="F3969" s="23" t="str">
        <f aca="false">IF(B3969="","","outreach_sent")</f>
        <v/>
      </c>
      <c r="G3969" s="23" t="str">
        <f aca="false">IF(B3969="","","")</f>
        <v/>
      </c>
      <c r="H3969" s="23" t="str">
        <f aca="false">IF(B3969="","","")</f>
        <v/>
      </c>
      <c r="I3969" s="23" t="str">
        <f aca="false">IF(B3969="","","")</f>
        <v/>
      </c>
      <c r="J3969" s="23" t="str">
        <f aca="false">IF(B3969="","","touch_1; "&amp;IFERROR(INDEX(Clay_Brands!$A$2:$FZ$601,518,Sync!$D$10)&amp;"","")&amp;"; "&amp;IFERROR(INDEX(Clay_Brands!$A$2:$FZ$601,518,Sync!$D$9)&amp;"",""))</f>
        <v/>
      </c>
      <c r="K3969" s="32" t="s">
        <v>1366</v>
      </c>
    </row>
    <row r="3970" customFormat="false" ht="15" hidden="false" customHeight="false" outlineLevel="0" collapsed="false">
      <c r="A3970" s="23" t="str">
        <f aca="false">IF(B3970="","",B3970+(15*1000+519)/10000000)</f>
        <v/>
      </c>
      <c r="B3970" s="35" t="str">
        <f aca="false">IF(AND(IFERROR(N(INDEX(Clay_Brands!$A$2:$FZ$601,519,Sync!$D$11)),0)&gt;0,IFERROR(INDEX(Clay_Brands!$A$2:$FZ$601,519,Sync!$D$5)&amp;"","")&lt;&gt;"",OR(LEFT(IFERROR(INDEX(Clay_Brands!$A$2:$FZ$601,519,Sync!$D$5)&amp;"",""),6)&lt;&gt;"SAMPLE",Config!$B$19="Y")),IFERROR(N(INDEX(Clay_Brands!$A$2:$FZ$601,519,Sync!$D$11)),0),"")</f>
        <v/>
      </c>
      <c r="C3970" s="23" t="str">
        <f aca="false">IF(B3970="","","brand")</f>
        <v/>
      </c>
      <c r="D3970" s="23" t="str">
        <f aca="false">IF(B3970="","",IFERROR(INDEX(Brand_Log!$DV$2:$DV$201,MATCH(IFERROR(INDEX(Clay_Brands!$A$2:$FZ$601,519,Sync!$D$5)&amp;"",""),Brand_Log!$A$2:$A$201,0))&amp;"",IFERROR(INDEX(Clay_Brands!$A$2:$FZ$601,519,Sync!$D$5)&amp;"","")&amp;""))</f>
        <v/>
      </c>
      <c r="E3970" s="23" t="str">
        <f aca="false">IF(B3970="","",IFERROR(INDEX(Clay_Brands!$A$2:$FZ$601,519,Sync!$D$6)&amp;"",""))</f>
        <v/>
      </c>
      <c r="F3970" s="23" t="str">
        <f aca="false">IF(B3970="","","outreach_sent")</f>
        <v/>
      </c>
      <c r="G3970" s="23" t="str">
        <f aca="false">IF(B3970="","","")</f>
        <v/>
      </c>
      <c r="H3970" s="23" t="str">
        <f aca="false">IF(B3970="","","")</f>
        <v/>
      </c>
      <c r="I3970" s="23" t="str">
        <f aca="false">IF(B3970="","","")</f>
        <v/>
      </c>
      <c r="J3970" s="23" t="str">
        <f aca="false">IF(B3970="","","touch_1; "&amp;IFERROR(INDEX(Clay_Brands!$A$2:$FZ$601,519,Sync!$D$10)&amp;"","")&amp;"; "&amp;IFERROR(INDEX(Clay_Brands!$A$2:$FZ$601,519,Sync!$D$9)&amp;"",""))</f>
        <v/>
      </c>
      <c r="K3970" s="32" t="s">
        <v>1366</v>
      </c>
    </row>
    <row r="3971" customFormat="false" ht="15" hidden="false" customHeight="false" outlineLevel="0" collapsed="false">
      <c r="A3971" s="23" t="str">
        <f aca="false">IF(B3971="","",B3971+(15*1000+520)/10000000)</f>
        <v/>
      </c>
      <c r="B3971" s="35" t="str">
        <f aca="false">IF(AND(IFERROR(N(INDEX(Clay_Brands!$A$2:$FZ$601,520,Sync!$D$11)),0)&gt;0,IFERROR(INDEX(Clay_Brands!$A$2:$FZ$601,520,Sync!$D$5)&amp;"","")&lt;&gt;"",OR(LEFT(IFERROR(INDEX(Clay_Brands!$A$2:$FZ$601,520,Sync!$D$5)&amp;"",""),6)&lt;&gt;"SAMPLE",Config!$B$19="Y")),IFERROR(N(INDEX(Clay_Brands!$A$2:$FZ$601,520,Sync!$D$11)),0),"")</f>
        <v/>
      </c>
      <c r="C3971" s="23" t="str">
        <f aca="false">IF(B3971="","","brand")</f>
        <v/>
      </c>
      <c r="D3971" s="23" t="str">
        <f aca="false">IF(B3971="","",IFERROR(INDEX(Brand_Log!$DV$2:$DV$201,MATCH(IFERROR(INDEX(Clay_Brands!$A$2:$FZ$601,520,Sync!$D$5)&amp;"",""),Brand_Log!$A$2:$A$201,0))&amp;"",IFERROR(INDEX(Clay_Brands!$A$2:$FZ$601,520,Sync!$D$5)&amp;"","")&amp;""))</f>
        <v/>
      </c>
      <c r="E3971" s="23" t="str">
        <f aca="false">IF(B3971="","",IFERROR(INDEX(Clay_Brands!$A$2:$FZ$601,520,Sync!$D$6)&amp;"",""))</f>
        <v/>
      </c>
      <c r="F3971" s="23" t="str">
        <f aca="false">IF(B3971="","","outreach_sent")</f>
        <v/>
      </c>
      <c r="G3971" s="23" t="str">
        <f aca="false">IF(B3971="","","")</f>
        <v/>
      </c>
      <c r="H3971" s="23" t="str">
        <f aca="false">IF(B3971="","","")</f>
        <v/>
      </c>
      <c r="I3971" s="23" t="str">
        <f aca="false">IF(B3971="","","")</f>
        <v/>
      </c>
      <c r="J3971" s="23" t="str">
        <f aca="false">IF(B3971="","","touch_1; "&amp;IFERROR(INDEX(Clay_Brands!$A$2:$FZ$601,520,Sync!$D$10)&amp;"","")&amp;"; "&amp;IFERROR(INDEX(Clay_Brands!$A$2:$FZ$601,520,Sync!$D$9)&amp;"",""))</f>
        <v/>
      </c>
      <c r="K3971" s="32" t="s">
        <v>1366</v>
      </c>
    </row>
    <row r="3972" customFormat="false" ht="15" hidden="false" customHeight="false" outlineLevel="0" collapsed="false">
      <c r="A3972" s="23" t="str">
        <f aca="false">IF(B3972="","",B3972+(15*1000+521)/10000000)</f>
        <v/>
      </c>
      <c r="B3972" s="35" t="str">
        <f aca="false">IF(AND(IFERROR(N(INDEX(Clay_Brands!$A$2:$FZ$601,521,Sync!$D$11)),0)&gt;0,IFERROR(INDEX(Clay_Brands!$A$2:$FZ$601,521,Sync!$D$5)&amp;"","")&lt;&gt;"",OR(LEFT(IFERROR(INDEX(Clay_Brands!$A$2:$FZ$601,521,Sync!$D$5)&amp;"",""),6)&lt;&gt;"SAMPLE",Config!$B$19="Y")),IFERROR(N(INDEX(Clay_Brands!$A$2:$FZ$601,521,Sync!$D$11)),0),"")</f>
        <v/>
      </c>
      <c r="C3972" s="23" t="str">
        <f aca="false">IF(B3972="","","brand")</f>
        <v/>
      </c>
      <c r="D3972" s="23" t="str">
        <f aca="false">IF(B3972="","",IFERROR(INDEX(Brand_Log!$DV$2:$DV$201,MATCH(IFERROR(INDEX(Clay_Brands!$A$2:$FZ$601,521,Sync!$D$5)&amp;"",""),Brand_Log!$A$2:$A$201,0))&amp;"",IFERROR(INDEX(Clay_Brands!$A$2:$FZ$601,521,Sync!$D$5)&amp;"","")&amp;""))</f>
        <v/>
      </c>
      <c r="E3972" s="23" t="str">
        <f aca="false">IF(B3972="","",IFERROR(INDEX(Clay_Brands!$A$2:$FZ$601,521,Sync!$D$6)&amp;"",""))</f>
        <v/>
      </c>
      <c r="F3972" s="23" t="str">
        <f aca="false">IF(B3972="","","outreach_sent")</f>
        <v/>
      </c>
      <c r="G3972" s="23" t="str">
        <f aca="false">IF(B3972="","","")</f>
        <v/>
      </c>
      <c r="H3972" s="23" t="str">
        <f aca="false">IF(B3972="","","")</f>
        <v/>
      </c>
      <c r="I3972" s="23" t="str">
        <f aca="false">IF(B3972="","","")</f>
        <v/>
      </c>
      <c r="J3972" s="23" t="str">
        <f aca="false">IF(B3972="","","touch_1; "&amp;IFERROR(INDEX(Clay_Brands!$A$2:$FZ$601,521,Sync!$D$10)&amp;"","")&amp;"; "&amp;IFERROR(INDEX(Clay_Brands!$A$2:$FZ$601,521,Sync!$D$9)&amp;"",""))</f>
        <v/>
      </c>
      <c r="K3972" s="32" t="s">
        <v>1366</v>
      </c>
    </row>
    <row r="3973" customFormat="false" ht="15" hidden="false" customHeight="false" outlineLevel="0" collapsed="false">
      <c r="A3973" s="23" t="str">
        <f aca="false">IF(B3973="","",B3973+(15*1000+522)/10000000)</f>
        <v/>
      </c>
      <c r="B3973" s="35" t="str">
        <f aca="false">IF(AND(IFERROR(N(INDEX(Clay_Brands!$A$2:$FZ$601,522,Sync!$D$11)),0)&gt;0,IFERROR(INDEX(Clay_Brands!$A$2:$FZ$601,522,Sync!$D$5)&amp;"","")&lt;&gt;"",OR(LEFT(IFERROR(INDEX(Clay_Brands!$A$2:$FZ$601,522,Sync!$D$5)&amp;"",""),6)&lt;&gt;"SAMPLE",Config!$B$19="Y")),IFERROR(N(INDEX(Clay_Brands!$A$2:$FZ$601,522,Sync!$D$11)),0),"")</f>
        <v/>
      </c>
      <c r="C3973" s="23" t="str">
        <f aca="false">IF(B3973="","","brand")</f>
        <v/>
      </c>
      <c r="D3973" s="23" t="str">
        <f aca="false">IF(B3973="","",IFERROR(INDEX(Brand_Log!$DV$2:$DV$201,MATCH(IFERROR(INDEX(Clay_Brands!$A$2:$FZ$601,522,Sync!$D$5)&amp;"",""),Brand_Log!$A$2:$A$201,0))&amp;"",IFERROR(INDEX(Clay_Brands!$A$2:$FZ$601,522,Sync!$D$5)&amp;"","")&amp;""))</f>
        <v/>
      </c>
      <c r="E3973" s="23" t="str">
        <f aca="false">IF(B3973="","",IFERROR(INDEX(Clay_Brands!$A$2:$FZ$601,522,Sync!$D$6)&amp;"",""))</f>
        <v/>
      </c>
      <c r="F3973" s="23" t="str">
        <f aca="false">IF(B3973="","","outreach_sent")</f>
        <v/>
      </c>
      <c r="G3973" s="23" t="str">
        <f aca="false">IF(B3973="","","")</f>
        <v/>
      </c>
      <c r="H3973" s="23" t="str">
        <f aca="false">IF(B3973="","","")</f>
        <v/>
      </c>
      <c r="I3973" s="23" t="str">
        <f aca="false">IF(B3973="","","")</f>
        <v/>
      </c>
      <c r="J3973" s="23" t="str">
        <f aca="false">IF(B3973="","","touch_1; "&amp;IFERROR(INDEX(Clay_Brands!$A$2:$FZ$601,522,Sync!$D$10)&amp;"","")&amp;"; "&amp;IFERROR(INDEX(Clay_Brands!$A$2:$FZ$601,522,Sync!$D$9)&amp;"",""))</f>
        <v/>
      </c>
      <c r="K3973" s="32" t="s">
        <v>1366</v>
      </c>
    </row>
    <row r="3974" customFormat="false" ht="15" hidden="false" customHeight="false" outlineLevel="0" collapsed="false">
      <c r="A3974" s="23" t="str">
        <f aca="false">IF(B3974="","",B3974+(15*1000+523)/10000000)</f>
        <v/>
      </c>
      <c r="B3974" s="35" t="str">
        <f aca="false">IF(AND(IFERROR(N(INDEX(Clay_Brands!$A$2:$FZ$601,523,Sync!$D$11)),0)&gt;0,IFERROR(INDEX(Clay_Brands!$A$2:$FZ$601,523,Sync!$D$5)&amp;"","")&lt;&gt;"",OR(LEFT(IFERROR(INDEX(Clay_Brands!$A$2:$FZ$601,523,Sync!$D$5)&amp;"",""),6)&lt;&gt;"SAMPLE",Config!$B$19="Y")),IFERROR(N(INDEX(Clay_Brands!$A$2:$FZ$601,523,Sync!$D$11)),0),"")</f>
        <v/>
      </c>
      <c r="C3974" s="23" t="str">
        <f aca="false">IF(B3974="","","brand")</f>
        <v/>
      </c>
      <c r="D3974" s="23" t="str">
        <f aca="false">IF(B3974="","",IFERROR(INDEX(Brand_Log!$DV$2:$DV$201,MATCH(IFERROR(INDEX(Clay_Brands!$A$2:$FZ$601,523,Sync!$D$5)&amp;"",""),Brand_Log!$A$2:$A$201,0))&amp;"",IFERROR(INDEX(Clay_Brands!$A$2:$FZ$601,523,Sync!$D$5)&amp;"","")&amp;""))</f>
        <v/>
      </c>
      <c r="E3974" s="23" t="str">
        <f aca="false">IF(B3974="","",IFERROR(INDEX(Clay_Brands!$A$2:$FZ$601,523,Sync!$D$6)&amp;"",""))</f>
        <v/>
      </c>
      <c r="F3974" s="23" t="str">
        <f aca="false">IF(B3974="","","outreach_sent")</f>
        <v/>
      </c>
      <c r="G3974" s="23" t="str">
        <f aca="false">IF(B3974="","","")</f>
        <v/>
      </c>
      <c r="H3974" s="23" t="str">
        <f aca="false">IF(B3974="","","")</f>
        <v/>
      </c>
      <c r="I3974" s="23" t="str">
        <f aca="false">IF(B3974="","","")</f>
        <v/>
      </c>
      <c r="J3974" s="23" t="str">
        <f aca="false">IF(B3974="","","touch_1; "&amp;IFERROR(INDEX(Clay_Brands!$A$2:$FZ$601,523,Sync!$D$10)&amp;"","")&amp;"; "&amp;IFERROR(INDEX(Clay_Brands!$A$2:$FZ$601,523,Sync!$D$9)&amp;"",""))</f>
        <v/>
      </c>
      <c r="K3974" s="32" t="s">
        <v>1366</v>
      </c>
    </row>
    <row r="3975" customFormat="false" ht="15" hidden="false" customHeight="false" outlineLevel="0" collapsed="false">
      <c r="A3975" s="23" t="str">
        <f aca="false">IF(B3975="","",B3975+(15*1000+524)/10000000)</f>
        <v/>
      </c>
      <c r="B3975" s="35" t="str">
        <f aca="false">IF(AND(IFERROR(N(INDEX(Clay_Brands!$A$2:$FZ$601,524,Sync!$D$11)),0)&gt;0,IFERROR(INDEX(Clay_Brands!$A$2:$FZ$601,524,Sync!$D$5)&amp;"","")&lt;&gt;"",OR(LEFT(IFERROR(INDEX(Clay_Brands!$A$2:$FZ$601,524,Sync!$D$5)&amp;"",""),6)&lt;&gt;"SAMPLE",Config!$B$19="Y")),IFERROR(N(INDEX(Clay_Brands!$A$2:$FZ$601,524,Sync!$D$11)),0),"")</f>
        <v/>
      </c>
      <c r="C3975" s="23" t="str">
        <f aca="false">IF(B3975="","","brand")</f>
        <v/>
      </c>
      <c r="D3975" s="23" t="str">
        <f aca="false">IF(B3975="","",IFERROR(INDEX(Brand_Log!$DV$2:$DV$201,MATCH(IFERROR(INDEX(Clay_Brands!$A$2:$FZ$601,524,Sync!$D$5)&amp;"",""),Brand_Log!$A$2:$A$201,0))&amp;"",IFERROR(INDEX(Clay_Brands!$A$2:$FZ$601,524,Sync!$D$5)&amp;"","")&amp;""))</f>
        <v/>
      </c>
      <c r="E3975" s="23" t="str">
        <f aca="false">IF(B3975="","",IFERROR(INDEX(Clay_Brands!$A$2:$FZ$601,524,Sync!$D$6)&amp;"",""))</f>
        <v/>
      </c>
      <c r="F3975" s="23" t="str">
        <f aca="false">IF(B3975="","","outreach_sent")</f>
        <v/>
      </c>
      <c r="G3975" s="23" t="str">
        <f aca="false">IF(B3975="","","")</f>
        <v/>
      </c>
      <c r="H3975" s="23" t="str">
        <f aca="false">IF(B3975="","","")</f>
        <v/>
      </c>
      <c r="I3975" s="23" t="str">
        <f aca="false">IF(B3975="","","")</f>
        <v/>
      </c>
      <c r="J3975" s="23" t="str">
        <f aca="false">IF(B3975="","","touch_1; "&amp;IFERROR(INDEX(Clay_Brands!$A$2:$FZ$601,524,Sync!$D$10)&amp;"","")&amp;"; "&amp;IFERROR(INDEX(Clay_Brands!$A$2:$FZ$601,524,Sync!$D$9)&amp;"",""))</f>
        <v/>
      </c>
      <c r="K3975" s="32" t="s">
        <v>1366</v>
      </c>
    </row>
    <row r="3976" customFormat="false" ht="15" hidden="false" customHeight="false" outlineLevel="0" collapsed="false">
      <c r="A3976" s="23" t="str">
        <f aca="false">IF(B3976="","",B3976+(15*1000+525)/10000000)</f>
        <v/>
      </c>
      <c r="B3976" s="35" t="str">
        <f aca="false">IF(AND(IFERROR(N(INDEX(Clay_Brands!$A$2:$FZ$601,525,Sync!$D$11)),0)&gt;0,IFERROR(INDEX(Clay_Brands!$A$2:$FZ$601,525,Sync!$D$5)&amp;"","")&lt;&gt;"",OR(LEFT(IFERROR(INDEX(Clay_Brands!$A$2:$FZ$601,525,Sync!$D$5)&amp;"",""),6)&lt;&gt;"SAMPLE",Config!$B$19="Y")),IFERROR(N(INDEX(Clay_Brands!$A$2:$FZ$601,525,Sync!$D$11)),0),"")</f>
        <v/>
      </c>
      <c r="C3976" s="23" t="str">
        <f aca="false">IF(B3976="","","brand")</f>
        <v/>
      </c>
      <c r="D3976" s="23" t="str">
        <f aca="false">IF(B3976="","",IFERROR(INDEX(Brand_Log!$DV$2:$DV$201,MATCH(IFERROR(INDEX(Clay_Brands!$A$2:$FZ$601,525,Sync!$D$5)&amp;"",""),Brand_Log!$A$2:$A$201,0))&amp;"",IFERROR(INDEX(Clay_Brands!$A$2:$FZ$601,525,Sync!$D$5)&amp;"","")&amp;""))</f>
        <v/>
      </c>
      <c r="E3976" s="23" t="str">
        <f aca="false">IF(B3976="","",IFERROR(INDEX(Clay_Brands!$A$2:$FZ$601,525,Sync!$D$6)&amp;"",""))</f>
        <v/>
      </c>
      <c r="F3976" s="23" t="str">
        <f aca="false">IF(B3976="","","outreach_sent")</f>
        <v/>
      </c>
      <c r="G3976" s="23" t="str">
        <f aca="false">IF(B3976="","","")</f>
        <v/>
      </c>
      <c r="H3976" s="23" t="str">
        <f aca="false">IF(B3976="","","")</f>
        <v/>
      </c>
      <c r="I3976" s="23" t="str">
        <f aca="false">IF(B3976="","","")</f>
        <v/>
      </c>
      <c r="J3976" s="23" t="str">
        <f aca="false">IF(B3976="","","touch_1; "&amp;IFERROR(INDEX(Clay_Brands!$A$2:$FZ$601,525,Sync!$D$10)&amp;"","")&amp;"; "&amp;IFERROR(INDEX(Clay_Brands!$A$2:$FZ$601,525,Sync!$D$9)&amp;"",""))</f>
        <v/>
      </c>
      <c r="K3976" s="32" t="s">
        <v>1366</v>
      </c>
    </row>
    <row r="3977" customFormat="false" ht="15" hidden="false" customHeight="false" outlineLevel="0" collapsed="false">
      <c r="A3977" s="23" t="str">
        <f aca="false">IF(B3977="","",B3977+(15*1000+526)/10000000)</f>
        <v/>
      </c>
      <c r="B3977" s="35" t="str">
        <f aca="false">IF(AND(IFERROR(N(INDEX(Clay_Brands!$A$2:$FZ$601,526,Sync!$D$11)),0)&gt;0,IFERROR(INDEX(Clay_Brands!$A$2:$FZ$601,526,Sync!$D$5)&amp;"","")&lt;&gt;"",OR(LEFT(IFERROR(INDEX(Clay_Brands!$A$2:$FZ$601,526,Sync!$D$5)&amp;"",""),6)&lt;&gt;"SAMPLE",Config!$B$19="Y")),IFERROR(N(INDEX(Clay_Brands!$A$2:$FZ$601,526,Sync!$D$11)),0),"")</f>
        <v/>
      </c>
      <c r="C3977" s="23" t="str">
        <f aca="false">IF(B3977="","","brand")</f>
        <v/>
      </c>
      <c r="D3977" s="23" t="str">
        <f aca="false">IF(B3977="","",IFERROR(INDEX(Brand_Log!$DV$2:$DV$201,MATCH(IFERROR(INDEX(Clay_Brands!$A$2:$FZ$601,526,Sync!$D$5)&amp;"",""),Brand_Log!$A$2:$A$201,0))&amp;"",IFERROR(INDEX(Clay_Brands!$A$2:$FZ$601,526,Sync!$D$5)&amp;"","")&amp;""))</f>
        <v/>
      </c>
      <c r="E3977" s="23" t="str">
        <f aca="false">IF(B3977="","",IFERROR(INDEX(Clay_Brands!$A$2:$FZ$601,526,Sync!$D$6)&amp;"",""))</f>
        <v/>
      </c>
      <c r="F3977" s="23" t="str">
        <f aca="false">IF(B3977="","","outreach_sent")</f>
        <v/>
      </c>
      <c r="G3977" s="23" t="str">
        <f aca="false">IF(B3977="","","")</f>
        <v/>
      </c>
      <c r="H3977" s="23" t="str">
        <f aca="false">IF(B3977="","","")</f>
        <v/>
      </c>
      <c r="I3977" s="23" t="str">
        <f aca="false">IF(B3977="","","")</f>
        <v/>
      </c>
      <c r="J3977" s="23" t="str">
        <f aca="false">IF(B3977="","","touch_1; "&amp;IFERROR(INDEX(Clay_Brands!$A$2:$FZ$601,526,Sync!$D$10)&amp;"","")&amp;"; "&amp;IFERROR(INDEX(Clay_Brands!$A$2:$FZ$601,526,Sync!$D$9)&amp;"",""))</f>
        <v/>
      </c>
      <c r="K3977" s="32" t="s">
        <v>1366</v>
      </c>
    </row>
    <row r="3978" customFormat="false" ht="15" hidden="false" customHeight="false" outlineLevel="0" collapsed="false">
      <c r="A3978" s="23" t="str">
        <f aca="false">IF(B3978="","",B3978+(15*1000+527)/10000000)</f>
        <v/>
      </c>
      <c r="B3978" s="35" t="str">
        <f aca="false">IF(AND(IFERROR(N(INDEX(Clay_Brands!$A$2:$FZ$601,527,Sync!$D$11)),0)&gt;0,IFERROR(INDEX(Clay_Brands!$A$2:$FZ$601,527,Sync!$D$5)&amp;"","")&lt;&gt;"",OR(LEFT(IFERROR(INDEX(Clay_Brands!$A$2:$FZ$601,527,Sync!$D$5)&amp;"",""),6)&lt;&gt;"SAMPLE",Config!$B$19="Y")),IFERROR(N(INDEX(Clay_Brands!$A$2:$FZ$601,527,Sync!$D$11)),0),"")</f>
        <v/>
      </c>
      <c r="C3978" s="23" t="str">
        <f aca="false">IF(B3978="","","brand")</f>
        <v/>
      </c>
      <c r="D3978" s="23" t="str">
        <f aca="false">IF(B3978="","",IFERROR(INDEX(Brand_Log!$DV$2:$DV$201,MATCH(IFERROR(INDEX(Clay_Brands!$A$2:$FZ$601,527,Sync!$D$5)&amp;"",""),Brand_Log!$A$2:$A$201,0))&amp;"",IFERROR(INDEX(Clay_Brands!$A$2:$FZ$601,527,Sync!$D$5)&amp;"","")&amp;""))</f>
        <v/>
      </c>
      <c r="E3978" s="23" t="str">
        <f aca="false">IF(B3978="","",IFERROR(INDEX(Clay_Brands!$A$2:$FZ$601,527,Sync!$D$6)&amp;"",""))</f>
        <v/>
      </c>
      <c r="F3978" s="23" t="str">
        <f aca="false">IF(B3978="","","outreach_sent")</f>
        <v/>
      </c>
      <c r="G3978" s="23" t="str">
        <f aca="false">IF(B3978="","","")</f>
        <v/>
      </c>
      <c r="H3978" s="23" t="str">
        <f aca="false">IF(B3978="","","")</f>
        <v/>
      </c>
      <c r="I3978" s="23" t="str">
        <f aca="false">IF(B3978="","","")</f>
        <v/>
      </c>
      <c r="J3978" s="23" t="str">
        <f aca="false">IF(B3978="","","touch_1; "&amp;IFERROR(INDEX(Clay_Brands!$A$2:$FZ$601,527,Sync!$D$10)&amp;"","")&amp;"; "&amp;IFERROR(INDEX(Clay_Brands!$A$2:$FZ$601,527,Sync!$D$9)&amp;"",""))</f>
        <v/>
      </c>
      <c r="K3978" s="32" t="s">
        <v>1366</v>
      </c>
    </row>
    <row r="3979" customFormat="false" ht="15" hidden="false" customHeight="false" outlineLevel="0" collapsed="false">
      <c r="A3979" s="23" t="str">
        <f aca="false">IF(B3979="","",B3979+(15*1000+528)/10000000)</f>
        <v/>
      </c>
      <c r="B3979" s="35" t="str">
        <f aca="false">IF(AND(IFERROR(N(INDEX(Clay_Brands!$A$2:$FZ$601,528,Sync!$D$11)),0)&gt;0,IFERROR(INDEX(Clay_Brands!$A$2:$FZ$601,528,Sync!$D$5)&amp;"","")&lt;&gt;"",OR(LEFT(IFERROR(INDEX(Clay_Brands!$A$2:$FZ$601,528,Sync!$D$5)&amp;"",""),6)&lt;&gt;"SAMPLE",Config!$B$19="Y")),IFERROR(N(INDEX(Clay_Brands!$A$2:$FZ$601,528,Sync!$D$11)),0),"")</f>
        <v/>
      </c>
      <c r="C3979" s="23" t="str">
        <f aca="false">IF(B3979="","","brand")</f>
        <v/>
      </c>
      <c r="D3979" s="23" t="str">
        <f aca="false">IF(B3979="","",IFERROR(INDEX(Brand_Log!$DV$2:$DV$201,MATCH(IFERROR(INDEX(Clay_Brands!$A$2:$FZ$601,528,Sync!$D$5)&amp;"",""),Brand_Log!$A$2:$A$201,0))&amp;"",IFERROR(INDEX(Clay_Brands!$A$2:$FZ$601,528,Sync!$D$5)&amp;"","")&amp;""))</f>
        <v/>
      </c>
      <c r="E3979" s="23" t="str">
        <f aca="false">IF(B3979="","",IFERROR(INDEX(Clay_Brands!$A$2:$FZ$601,528,Sync!$D$6)&amp;"",""))</f>
        <v/>
      </c>
      <c r="F3979" s="23" t="str">
        <f aca="false">IF(B3979="","","outreach_sent")</f>
        <v/>
      </c>
      <c r="G3979" s="23" t="str">
        <f aca="false">IF(B3979="","","")</f>
        <v/>
      </c>
      <c r="H3979" s="23" t="str">
        <f aca="false">IF(B3979="","","")</f>
        <v/>
      </c>
      <c r="I3979" s="23" t="str">
        <f aca="false">IF(B3979="","","")</f>
        <v/>
      </c>
      <c r="J3979" s="23" t="str">
        <f aca="false">IF(B3979="","","touch_1; "&amp;IFERROR(INDEX(Clay_Brands!$A$2:$FZ$601,528,Sync!$D$10)&amp;"","")&amp;"; "&amp;IFERROR(INDEX(Clay_Brands!$A$2:$FZ$601,528,Sync!$D$9)&amp;"",""))</f>
        <v/>
      </c>
      <c r="K3979" s="32" t="s">
        <v>1366</v>
      </c>
    </row>
    <row r="3980" customFormat="false" ht="15" hidden="false" customHeight="false" outlineLevel="0" collapsed="false">
      <c r="A3980" s="23" t="str">
        <f aca="false">IF(B3980="","",B3980+(15*1000+529)/10000000)</f>
        <v/>
      </c>
      <c r="B3980" s="35" t="str">
        <f aca="false">IF(AND(IFERROR(N(INDEX(Clay_Brands!$A$2:$FZ$601,529,Sync!$D$11)),0)&gt;0,IFERROR(INDEX(Clay_Brands!$A$2:$FZ$601,529,Sync!$D$5)&amp;"","")&lt;&gt;"",OR(LEFT(IFERROR(INDEX(Clay_Brands!$A$2:$FZ$601,529,Sync!$D$5)&amp;"",""),6)&lt;&gt;"SAMPLE",Config!$B$19="Y")),IFERROR(N(INDEX(Clay_Brands!$A$2:$FZ$601,529,Sync!$D$11)),0),"")</f>
        <v/>
      </c>
      <c r="C3980" s="23" t="str">
        <f aca="false">IF(B3980="","","brand")</f>
        <v/>
      </c>
      <c r="D3980" s="23" t="str">
        <f aca="false">IF(B3980="","",IFERROR(INDEX(Brand_Log!$DV$2:$DV$201,MATCH(IFERROR(INDEX(Clay_Brands!$A$2:$FZ$601,529,Sync!$D$5)&amp;"",""),Brand_Log!$A$2:$A$201,0))&amp;"",IFERROR(INDEX(Clay_Brands!$A$2:$FZ$601,529,Sync!$D$5)&amp;"","")&amp;""))</f>
        <v/>
      </c>
      <c r="E3980" s="23" t="str">
        <f aca="false">IF(B3980="","",IFERROR(INDEX(Clay_Brands!$A$2:$FZ$601,529,Sync!$D$6)&amp;"",""))</f>
        <v/>
      </c>
      <c r="F3980" s="23" t="str">
        <f aca="false">IF(B3980="","","outreach_sent")</f>
        <v/>
      </c>
      <c r="G3980" s="23" t="str">
        <f aca="false">IF(B3980="","","")</f>
        <v/>
      </c>
      <c r="H3980" s="23" t="str">
        <f aca="false">IF(B3980="","","")</f>
        <v/>
      </c>
      <c r="I3980" s="23" t="str">
        <f aca="false">IF(B3980="","","")</f>
        <v/>
      </c>
      <c r="J3980" s="23" t="str">
        <f aca="false">IF(B3980="","","touch_1; "&amp;IFERROR(INDEX(Clay_Brands!$A$2:$FZ$601,529,Sync!$D$10)&amp;"","")&amp;"; "&amp;IFERROR(INDEX(Clay_Brands!$A$2:$FZ$601,529,Sync!$D$9)&amp;"",""))</f>
        <v/>
      </c>
      <c r="K3980" s="32" t="s">
        <v>1366</v>
      </c>
    </row>
    <row r="3981" customFormat="false" ht="15" hidden="false" customHeight="false" outlineLevel="0" collapsed="false">
      <c r="A3981" s="23" t="str">
        <f aca="false">IF(B3981="","",B3981+(15*1000+530)/10000000)</f>
        <v/>
      </c>
      <c r="B3981" s="35" t="str">
        <f aca="false">IF(AND(IFERROR(N(INDEX(Clay_Brands!$A$2:$FZ$601,530,Sync!$D$11)),0)&gt;0,IFERROR(INDEX(Clay_Brands!$A$2:$FZ$601,530,Sync!$D$5)&amp;"","")&lt;&gt;"",OR(LEFT(IFERROR(INDEX(Clay_Brands!$A$2:$FZ$601,530,Sync!$D$5)&amp;"",""),6)&lt;&gt;"SAMPLE",Config!$B$19="Y")),IFERROR(N(INDEX(Clay_Brands!$A$2:$FZ$601,530,Sync!$D$11)),0),"")</f>
        <v/>
      </c>
      <c r="C3981" s="23" t="str">
        <f aca="false">IF(B3981="","","brand")</f>
        <v/>
      </c>
      <c r="D3981" s="23" t="str">
        <f aca="false">IF(B3981="","",IFERROR(INDEX(Brand_Log!$DV$2:$DV$201,MATCH(IFERROR(INDEX(Clay_Brands!$A$2:$FZ$601,530,Sync!$D$5)&amp;"",""),Brand_Log!$A$2:$A$201,0))&amp;"",IFERROR(INDEX(Clay_Brands!$A$2:$FZ$601,530,Sync!$D$5)&amp;"","")&amp;""))</f>
        <v/>
      </c>
      <c r="E3981" s="23" t="str">
        <f aca="false">IF(B3981="","",IFERROR(INDEX(Clay_Brands!$A$2:$FZ$601,530,Sync!$D$6)&amp;"",""))</f>
        <v/>
      </c>
      <c r="F3981" s="23" t="str">
        <f aca="false">IF(B3981="","","outreach_sent")</f>
        <v/>
      </c>
      <c r="G3981" s="23" t="str">
        <f aca="false">IF(B3981="","","")</f>
        <v/>
      </c>
      <c r="H3981" s="23" t="str">
        <f aca="false">IF(B3981="","","")</f>
        <v/>
      </c>
      <c r="I3981" s="23" t="str">
        <f aca="false">IF(B3981="","","")</f>
        <v/>
      </c>
      <c r="J3981" s="23" t="str">
        <f aca="false">IF(B3981="","","touch_1; "&amp;IFERROR(INDEX(Clay_Brands!$A$2:$FZ$601,530,Sync!$D$10)&amp;"","")&amp;"; "&amp;IFERROR(INDEX(Clay_Brands!$A$2:$FZ$601,530,Sync!$D$9)&amp;"",""))</f>
        <v/>
      </c>
      <c r="K3981" s="32" t="s">
        <v>1366</v>
      </c>
    </row>
    <row r="3982" customFormat="false" ht="15" hidden="false" customHeight="false" outlineLevel="0" collapsed="false">
      <c r="A3982" s="23" t="str">
        <f aca="false">IF(B3982="","",B3982+(15*1000+531)/10000000)</f>
        <v/>
      </c>
      <c r="B3982" s="35" t="str">
        <f aca="false">IF(AND(IFERROR(N(INDEX(Clay_Brands!$A$2:$FZ$601,531,Sync!$D$11)),0)&gt;0,IFERROR(INDEX(Clay_Brands!$A$2:$FZ$601,531,Sync!$D$5)&amp;"","")&lt;&gt;"",OR(LEFT(IFERROR(INDEX(Clay_Brands!$A$2:$FZ$601,531,Sync!$D$5)&amp;"",""),6)&lt;&gt;"SAMPLE",Config!$B$19="Y")),IFERROR(N(INDEX(Clay_Brands!$A$2:$FZ$601,531,Sync!$D$11)),0),"")</f>
        <v/>
      </c>
      <c r="C3982" s="23" t="str">
        <f aca="false">IF(B3982="","","brand")</f>
        <v/>
      </c>
      <c r="D3982" s="23" t="str">
        <f aca="false">IF(B3982="","",IFERROR(INDEX(Brand_Log!$DV$2:$DV$201,MATCH(IFERROR(INDEX(Clay_Brands!$A$2:$FZ$601,531,Sync!$D$5)&amp;"",""),Brand_Log!$A$2:$A$201,0))&amp;"",IFERROR(INDEX(Clay_Brands!$A$2:$FZ$601,531,Sync!$D$5)&amp;"","")&amp;""))</f>
        <v/>
      </c>
      <c r="E3982" s="23" t="str">
        <f aca="false">IF(B3982="","",IFERROR(INDEX(Clay_Brands!$A$2:$FZ$601,531,Sync!$D$6)&amp;"",""))</f>
        <v/>
      </c>
      <c r="F3982" s="23" t="str">
        <f aca="false">IF(B3982="","","outreach_sent")</f>
        <v/>
      </c>
      <c r="G3982" s="23" t="str">
        <f aca="false">IF(B3982="","","")</f>
        <v/>
      </c>
      <c r="H3982" s="23" t="str">
        <f aca="false">IF(B3982="","","")</f>
        <v/>
      </c>
      <c r="I3982" s="23" t="str">
        <f aca="false">IF(B3982="","","")</f>
        <v/>
      </c>
      <c r="J3982" s="23" t="str">
        <f aca="false">IF(B3982="","","touch_1; "&amp;IFERROR(INDEX(Clay_Brands!$A$2:$FZ$601,531,Sync!$D$10)&amp;"","")&amp;"; "&amp;IFERROR(INDEX(Clay_Brands!$A$2:$FZ$601,531,Sync!$D$9)&amp;"",""))</f>
        <v/>
      </c>
      <c r="K3982" s="32" t="s">
        <v>1366</v>
      </c>
    </row>
    <row r="3983" customFormat="false" ht="15" hidden="false" customHeight="false" outlineLevel="0" collapsed="false">
      <c r="A3983" s="23" t="str">
        <f aca="false">IF(B3983="","",B3983+(15*1000+532)/10000000)</f>
        <v/>
      </c>
      <c r="B3983" s="35" t="str">
        <f aca="false">IF(AND(IFERROR(N(INDEX(Clay_Brands!$A$2:$FZ$601,532,Sync!$D$11)),0)&gt;0,IFERROR(INDEX(Clay_Brands!$A$2:$FZ$601,532,Sync!$D$5)&amp;"","")&lt;&gt;"",OR(LEFT(IFERROR(INDEX(Clay_Brands!$A$2:$FZ$601,532,Sync!$D$5)&amp;"",""),6)&lt;&gt;"SAMPLE",Config!$B$19="Y")),IFERROR(N(INDEX(Clay_Brands!$A$2:$FZ$601,532,Sync!$D$11)),0),"")</f>
        <v/>
      </c>
      <c r="C3983" s="23" t="str">
        <f aca="false">IF(B3983="","","brand")</f>
        <v/>
      </c>
      <c r="D3983" s="23" t="str">
        <f aca="false">IF(B3983="","",IFERROR(INDEX(Brand_Log!$DV$2:$DV$201,MATCH(IFERROR(INDEX(Clay_Brands!$A$2:$FZ$601,532,Sync!$D$5)&amp;"",""),Brand_Log!$A$2:$A$201,0))&amp;"",IFERROR(INDEX(Clay_Brands!$A$2:$FZ$601,532,Sync!$D$5)&amp;"","")&amp;""))</f>
        <v/>
      </c>
      <c r="E3983" s="23" t="str">
        <f aca="false">IF(B3983="","",IFERROR(INDEX(Clay_Brands!$A$2:$FZ$601,532,Sync!$D$6)&amp;"",""))</f>
        <v/>
      </c>
      <c r="F3983" s="23" t="str">
        <f aca="false">IF(B3983="","","outreach_sent")</f>
        <v/>
      </c>
      <c r="G3983" s="23" t="str">
        <f aca="false">IF(B3983="","","")</f>
        <v/>
      </c>
      <c r="H3983" s="23" t="str">
        <f aca="false">IF(B3983="","","")</f>
        <v/>
      </c>
      <c r="I3983" s="23" t="str">
        <f aca="false">IF(B3983="","","")</f>
        <v/>
      </c>
      <c r="J3983" s="23" t="str">
        <f aca="false">IF(B3983="","","touch_1; "&amp;IFERROR(INDEX(Clay_Brands!$A$2:$FZ$601,532,Sync!$D$10)&amp;"","")&amp;"; "&amp;IFERROR(INDEX(Clay_Brands!$A$2:$FZ$601,532,Sync!$D$9)&amp;"",""))</f>
        <v/>
      </c>
      <c r="K3983" s="32" t="s">
        <v>1366</v>
      </c>
    </row>
    <row r="3984" customFormat="false" ht="15" hidden="false" customHeight="false" outlineLevel="0" collapsed="false">
      <c r="A3984" s="23" t="str">
        <f aca="false">IF(B3984="","",B3984+(15*1000+533)/10000000)</f>
        <v/>
      </c>
      <c r="B3984" s="35" t="str">
        <f aca="false">IF(AND(IFERROR(N(INDEX(Clay_Brands!$A$2:$FZ$601,533,Sync!$D$11)),0)&gt;0,IFERROR(INDEX(Clay_Brands!$A$2:$FZ$601,533,Sync!$D$5)&amp;"","")&lt;&gt;"",OR(LEFT(IFERROR(INDEX(Clay_Brands!$A$2:$FZ$601,533,Sync!$D$5)&amp;"",""),6)&lt;&gt;"SAMPLE",Config!$B$19="Y")),IFERROR(N(INDEX(Clay_Brands!$A$2:$FZ$601,533,Sync!$D$11)),0),"")</f>
        <v/>
      </c>
      <c r="C3984" s="23" t="str">
        <f aca="false">IF(B3984="","","brand")</f>
        <v/>
      </c>
      <c r="D3984" s="23" t="str">
        <f aca="false">IF(B3984="","",IFERROR(INDEX(Brand_Log!$DV$2:$DV$201,MATCH(IFERROR(INDEX(Clay_Brands!$A$2:$FZ$601,533,Sync!$D$5)&amp;"",""),Brand_Log!$A$2:$A$201,0))&amp;"",IFERROR(INDEX(Clay_Brands!$A$2:$FZ$601,533,Sync!$D$5)&amp;"","")&amp;""))</f>
        <v/>
      </c>
      <c r="E3984" s="23" t="str">
        <f aca="false">IF(B3984="","",IFERROR(INDEX(Clay_Brands!$A$2:$FZ$601,533,Sync!$D$6)&amp;"",""))</f>
        <v/>
      </c>
      <c r="F3984" s="23" t="str">
        <f aca="false">IF(B3984="","","outreach_sent")</f>
        <v/>
      </c>
      <c r="G3984" s="23" t="str">
        <f aca="false">IF(B3984="","","")</f>
        <v/>
      </c>
      <c r="H3984" s="23" t="str">
        <f aca="false">IF(B3984="","","")</f>
        <v/>
      </c>
      <c r="I3984" s="23" t="str">
        <f aca="false">IF(B3984="","","")</f>
        <v/>
      </c>
      <c r="J3984" s="23" t="str">
        <f aca="false">IF(B3984="","","touch_1; "&amp;IFERROR(INDEX(Clay_Brands!$A$2:$FZ$601,533,Sync!$D$10)&amp;"","")&amp;"; "&amp;IFERROR(INDEX(Clay_Brands!$A$2:$FZ$601,533,Sync!$D$9)&amp;"",""))</f>
        <v/>
      </c>
      <c r="K3984" s="32" t="s">
        <v>1366</v>
      </c>
    </row>
    <row r="3985" customFormat="false" ht="15" hidden="false" customHeight="false" outlineLevel="0" collapsed="false">
      <c r="A3985" s="23" t="str">
        <f aca="false">IF(B3985="","",B3985+(15*1000+534)/10000000)</f>
        <v/>
      </c>
      <c r="B3985" s="35" t="str">
        <f aca="false">IF(AND(IFERROR(N(INDEX(Clay_Brands!$A$2:$FZ$601,534,Sync!$D$11)),0)&gt;0,IFERROR(INDEX(Clay_Brands!$A$2:$FZ$601,534,Sync!$D$5)&amp;"","")&lt;&gt;"",OR(LEFT(IFERROR(INDEX(Clay_Brands!$A$2:$FZ$601,534,Sync!$D$5)&amp;"",""),6)&lt;&gt;"SAMPLE",Config!$B$19="Y")),IFERROR(N(INDEX(Clay_Brands!$A$2:$FZ$601,534,Sync!$D$11)),0),"")</f>
        <v/>
      </c>
      <c r="C3985" s="23" t="str">
        <f aca="false">IF(B3985="","","brand")</f>
        <v/>
      </c>
      <c r="D3985" s="23" t="str">
        <f aca="false">IF(B3985="","",IFERROR(INDEX(Brand_Log!$DV$2:$DV$201,MATCH(IFERROR(INDEX(Clay_Brands!$A$2:$FZ$601,534,Sync!$D$5)&amp;"",""),Brand_Log!$A$2:$A$201,0))&amp;"",IFERROR(INDEX(Clay_Brands!$A$2:$FZ$601,534,Sync!$D$5)&amp;"","")&amp;""))</f>
        <v/>
      </c>
      <c r="E3985" s="23" t="str">
        <f aca="false">IF(B3985="","",IFERROR(INDEX(Clay_Brands!$A$2:$FZ$601,534,Sync!$D$6)&amp;"",""))</f>
        <v/>
      </c>
      <c r="F3985" s="23" t="str">
        <f aca="false">IF(B3985="","","outreach_sent")</f>
        <v/>
      </c>
      <c r="G3985" s="23" t="str">
        <f aca="false">IF(B3985="","","")</f>
        <v/>
      </c>
      <c r="H3985" s="23" t="str">
        <f aca="false">IF(B3985="","","")</f>
        <v/>
      </c>
      <c r="I3985" s="23" t="str">
        <f aca="false">IF(B3985="","","")</f>
        <v/>
      </c>
      <c r="J3985" s="23" t="str">
        <f aca="false">IF(B3985="","","touch_1; "&amp;IFERROR(INDEX(Clay_Brands!$A$2:$FZ$601,534,Sync!$D$10)&amp;"","")&amp;"; "&amp;IFERROR(INDEX(Clay_Brands!$A$2:$FZ$601,534,Sync!$D$9)&amp;"",""))</f>
        <v/>
      </c>
      <c r="K3985" s="32" t="s">
        <v>1366</v>
      </c>
    </row>
    <row r="3986" customFormat="false" ht="15" hidden="false" customHeight="false" outlineLevel="0" collapsed="false">
      <c r="A3986" s="23" t="str">
        <f aca="false">IF(B3986="","",B3986+(15*1000+535)/10000000)</f>
        <v/>
      </c>
      <c r="B3986" s="35" t="str">
        <f aca="false">IF(AND(IFERROR(N(INDEX(Clay_Brands!$A$2:$FZ$601,535,Sync!$D$11)),0)&gt;0,IFERROR(INDEX(Clay_Brands!$A$2:$FZ$601,535,Sync!$D$5)&amp;"","")&lt;&gt;"",OR(LEFT(IFERROR(INDEX(Clay_Brands!$A$2:$FZ$601,535,Sync!$D$5)&amp;"",""),6)&lt;&gt;"SAMPLE",Config!$B$19="Y")),IFERROR(N(INDEX(Clay_Brands!$A$2:$FZ$601,535,Sync!$D$11)),0),"")</f>
        <v/>
      </c>
      <c r="C3986" s="23" t="str">
        <f aca="false">IF(B3986="","","brand")</f>
        <v/>
      </c>
      <c r="D3986" s="23" t="str">
        <f aca="false">IF(B3986="","",IFERROR(INDEX(Brand_Log!$DV$2:$DV$201,MATCH(IFERROR(INDEX(Clay_Brands!$A$2:$FZ$601,535,Sync!$D$5)&amp;"",""),Brand_Log!$A$2:$A$201,0))&amp;"",IFERROR(INDEX(Clay_Brands!$A$2:$FZ$601,535,Sync!$D$5)&amp;"","")&amp;""))</f>
        <v/>
      </c>
      <c r="E3986" s="23" t="str">
        <f aca="false">IF(B3986="","",IFERROR(INDEX(Clay_Brands!$A$2:$FZ$601,535,Sync!$D$6)&amp;"",""))</f>
        <v/>
      </c>
      <c r="F3986" s="23" t="str">
        <f aca="false">IF(B3986="","","outreach_sent")</f>
        <v/>
      </c>
      <c r="G3986" s="23" t="str">
        <f aca="false">IF(B3986="","","")</f>
        <v/>
      </c>
      <c r="H3986" s="23" t="str">
        <f aca="false">IF(B3986="","","")</f>
        <v/>
      </c>
      <c r="I3986" s="23" t="str">
        <f aca="false">IF(B3986="","","")</f>
        <v/>
      </c>
      <c r="J3986" s="23" t="str">
        <f aca="false">IF(B3986="","","touch_1; "&amp;IFERROR(INDEX(Clay_Brands!$A$2:$FZ$601,535,Sync!$D$10)&amp;"","")&amp;"; "&amp;IFERROR(INDEX(Clay_Brands!$A$2:$FZ$601,535,Sync!$D$9)&amp;"",""))</f>
        <v/>
      </c>
      <c r="K3986" s="32" t="s">
        <v>1366</v>
      </c>
    </row>
    <row r="3987" customFormat="false" ht="15" hidden="false" customHeight="false" outlineLevel="0" collapsed="false">
      <c r="A3987" s="23" t="str">
        <f aca="false">IF(B3987="","",B3987+(15*1000+536)/10000000)</f>
        <v/>
      </c>
      <c r="B3987" s="35" t="str">
        <f aca="false">IF(AND(IFERROR(N(INDEX(Clay_Brands!$A$2:$FZ$601,536,Sync!$D$11)),0)&gt;0,IFERROR(INDEX(Clay_Brands!$A$2:$FZ$601,536,Sync!$D$5)&amp;"","")&lt;&gt;"",OR(LEFT(IFERROR(INDEX(Clay_Brands!$A$2:$FZ$601,536,Sync!$D$5)&amp;"",""),6)&lt;&gt;"SAMPLE",Config!$B$19="Y")),IFERROR(N(INDEX(Clay_Brands!$A$2:$FZ$601,536,Sync!$D$11)),0),"")</f>
        <v/>
      </c>
      <c r="C3987" s="23" t="str">
        <f aca="false">IF(B3987="","","brand")</f>
        <v/>
      </c>
      <c r="D3987" s="23" t="str">
        <f aca="false">IF(B3987="","",IFERROR(INDEX(Brand_Log!$DV$2:$DV$201,MATCH(IFERROR(INDEX(Clay_Brands!$A$2:$FZ$601,536,Sync!$D$5)&amp;"",""),Brand_Log!$A$2:$A$201,0))&amp;"",IFERROR(INDEX(Clay_Brands!$A$2:$FZ$601,536,Sync!$D$5)&amp;"","")&amp;""))</f>
        <v/>
      </c>
      <c r="E3987" s="23" t="str">
        <f aca="false">IF(B3987="","",IFERROR(INDEX(Clay_Brands!$A$2:$FZ$601,536,Sync!$D$6)&amp;"",""))</f>
        <v/>
      </c>
      <c r="F3987" s="23" t="str">
        <f aca="false">IF(B3987="","","outreach_sent")</f>
        <v/>
      </c>
      <c r="G3987" s="23" t="str">
        <f aca="false">IF(B3987="","","")</f>
        <v/>
      </c>
      <c r="H3987" s="23" t="str">
        <f aca="false">IF(B3987="","","")</f>
        <v/>
      </c>
      <c r="I3987" s="23" t="str">
        <f aca="false">IF(B3987="","","")</f>
        <v/>
      </c>
      <c r="J3987" s="23" t="str">
        <f aca="false">IF(B3987="","","touch_1; "&amp;IFERROR(INDEX(Clay_Brands!$A$2:$FZ$601,536,Sync!$D$10)&amp;"","")&amp;"; "&amp;IFERROR(INDEX(Clay_Brands!$A$2:$FZ$601,536,Sync!$D$9)&amp;"",""))</f>
        <v/>
      </c>
      <c r="K3987" s="32" t="s">
        <v>1366</v>
      </c>
    </row>
    <row r="3988" customFormat="false" ht="15" hidden="false" customHeight="false" outlineLevel="0" collapsed="false">
      <c r="A3988" s="23" t="str">
        <f aca="false">IF(B3988="","",B3988+(15*1000+537)/10000000)</f>
        <v/>
      </c>
      <c r="B3988" s="35" t="str">
        <f aca="false">IF(AND(IFERROR(N(INDEX(Clay_Brands!$A$2:$FZ$601,537,Sync!$D$11)),0)&gt;0,IFERROR(INDEX(Clay_Brands!$A$2:$FZ$601,537,Sync!$D$5)&amp;"","")&lt;&gt;"",OR(LEFT(IFERROR(INDEX(Clay_Brands!$A$2:$FZ$601,537,Sync!$D$5)&amp;"",""),6)&lt;&gt;"SAMPLE",Config!$B$19="Y")),IFERROR(N(INDEX(Clay_Brands!$A$2:$FZ$601,537,Sync!$D$11)),0),"")</f>
        <v/>
      </c>
      <c r="C3988" s="23" t="str">
        <f aca="false">IF(B3988="","","brand")</f>
        <v/>
      </c>
      <c r="D3988" s="23" t="str">
        <f aca="false">IF(B3988="","",IFERROR(INDEX(Brand_Log!$DV$2:$DV$201,MATCH(IFERROR(INDEX(Clay_Brands!$A$2:$FZ$601,537,Sync!$D$5)&amp;"",""),Brand_Log!$A$2:$A$201,0))&amp;"",IFERROR(INDEX(Clay_Brands!$A$2:$FZ$601,537,Sync!$D$5)&amp;"","")&amp;""))</f>
        <v/>
      </c>
      <c r="E3988" s="23" t="str">
        <f aca="false">IF(B3988="","",IFERROR(INDEX(Clay_Brands!$A$2:$FZ$601,537,Sync!$D$6)&amp;"",""))</f>
        <v/>
      </c>
      <c r="F3988" s="23" t="str">
        <f aca="false">IF(B3988="","","outreach_sent")</f>
        <v/>
      </c>
      <c r="G3988" s="23" t="str">
        <f aca="false">IF(B3988="","","")</f>
        <v/>
      </c>
      <c r="H3988" s="23" t="str">
        <f aca="false">IF(B3988="","","")</f>
        <v/>
      </c>
      <c r="I3988" s="23" t="str">
        <f aca="false">IF(B3988="","","")</f>
        <v/>
      </c>
      <c r="J3988" s="23" t="str">
        <f aca="false">IF(B3988="","","touch_1; "&amp;IFERROR(INDEX(Clay_Brands!$A$2:$FZ$601,537,Sync!$D$10)&amp;"","")&amp;"; "&amp;IFERROR(INDEX(Clay_Brands!$A$2:$FZ$601,537,Sync!$D$9)&amp;"",""))</f>
        <v/>
      </c>
      <c r="K3988" s="32" t="s">
        <v>1366</v>
      </c>
    </row>
    <row r="3989" customFormat="false" ht="15" hidden="false" customHeight="false" outlineLevel="0" collapsed="false">
      <c r="A3989" s="23" t="str">
        <f aca="false">IF(B3989="","",B3989+(15*1000+538)/10000000)</f>
        <v/>
      </c>
      <c r="B3989" s="35" t="str">
        <f aca="false">IF(AND(IFERROR(N(INDEX(Clay_Brands!$A$2:$FZ$601,538,Sync!$D$11)),0)&gt;0,IFERROR(INDEX(Clay_Brands!$A$2:$FZ$601,538,Sync!$D$5)&amp;"","")&lt;&gt;"",OR(LEFT(IFERROR(INDEX(Clay_Brands!$A$2:$FZ$601,538,Sync!$D$5)&amp;"",""),6)&lt;&gt;"SAMPLE",Config!$B$19="Y")),IFERROR(N(INDEX(Clay_Brands!$A$2:$FZ$601,538,Sync!$D$11)),0),"")</f>
        <v/>
      </c>
      <c r="C3989" s="23" t="str">
        <f aca="false">IF(B3989="","","brand")</f>
        <v/>
      </c>
      <c r="D3989" s="23" t="str">
        <f aca="false">IF(B3989="","",IFERROR(INDEX(Brand_Log!$DV$2:$DV$201,MATCH(IFERROR(INDEX(Clay_Brands!$A$2:$FZ$601,538,Sync!$D$5)&amp;"",""),Brand_Log!$A$2:$A$201,0))&amp;"",IFERROR(INDEX(Clay_Brands!$A$2:$FZ$601,538,Sync!$D$5)&amp;"","")&amp;""))</f>
        <v/>
      </c>
      <c r="E3989" s="23" t="str">
        <f aca="false">IF(B3989="","",IFERROR(INDEX(Clay_Brands!$A$2:$FZ$601,538,Sync!$D$6)&amp;"",""))</f>
        <v/>
      </c>
      <c r="F3989" s="23" t="str">
        <f aca="false">IF(B3989="","","outreach_sent")</f>
        <v/>
      </c>
      <c r="G3989" s="23" t="str">
        <f aca="false">IF(B3989="","","")</f>
        <v/>
      </c>
      <c r="H3989" s="23" t="str">
        <f aca="false">IF(B3989="","","")</f>
        <v/>
      </c>
      <c r="I3989" s="23" t="str">
        <f aca="false">IF(B3989="","","")</f>
        <v/>
      </c>
      <c r="J3989" s="23" t="str">
        <f aca="false">IF(B3989="","","touch_1; "&amp;IFERROR(INDEX(Clay_Brands!$A$2:$FZ$601,538,Sync!$D$10)&amp;"","")&amp;"; "&amp;IFERROR(INDEX(Clay_Brands!$A$2:$FZ$601,538,Sync!$D$9)&amp;"",""))</f>
        <v/>
      </c>
      <c r="K3989" s="32" t="s">
        <v>1366</v>
      </c>
    </row>
    <row r="3990" customFormat="false" ht="15" hidden="false" customHeight="false" outlineLevel="0" collapsed="false">
      <c r="A3990" s="23" t="str">
        <f aca="false">IF(B3990="","",B3990+(15*1000+539)/10000000)</f>
        <v/>
      </c>
      <c r="B3990" s="35" t="str">
        <f aca="false">IF(AND(IFERROR(N(INDEX(Clay_Brands!$A$2:$FZ$601,539,Sync!$D$11)),0)&gt;0,IFERROR(INDEX(Clay_Brands!$A$2:$FZ$601,539,Sync!$D$5)&amp;"","")&lt;&gt;"",OR(LEFT(IFERROR(INDEX(Clay_Brands!$A$2:$FZ$601,539,Sync!$D$5)&amp;"",""),6)&lt;&gt;"SAMPLE",Config!$B$19="Y")),IFERROR(N(INDEX(Clay_Brands!$A$2:$FZ$601,539,Sync!$D$11)),0),"")</f>
        <v/>
      </c>
      <c r="C3990" s="23" t="str">
        <f aca="false">IF(B3990="","","brand")</f>
        <v/>
      </c>
      <c r="D3990" s="23" t="str">
        <f aca="false">IF(B3990="","",IFERROR(INDEX(Brand_Log!$DV$2:$DV$201,MATCH(IFERROR(INDEX(Clay_Brands!$A$2:$FZ$601,539,Sync!$D$5)&amp;"",""),Brand_Log!$A$2:$A$201,0))&amp;"",IFERROR(INDEX(Clay_Brands!$A$2:$FZ$601,539,Sync!$D$5)&amp;"","")&amp;""))</f>
        <v/>
      </c>
      <c r="E3990" s="23" t="str">
        <f aca="false">IF(B3990="","",IFERROR(INDEX(Clay_Brands!$A$2:$FZ$601,539,Sync!$D$6)&amp;"",""))</f>
        <v/>
      </c>
      <c r="F3990" s="23" t="str">
        <f aca="false">IF(B3990="","","outreach_sent")</f>
        <v/>
      </c>
      <c r="G3990" s="23" t="str">
        <f aca="false">IF(B3990="","","")</f>
        <v/>
      </c>
      <c r="H3990" s="23" t="str">
        <f aca="false">IF(B3990="","","")</f>
        <v/>
      </c>
      <c r="I3990" s="23" t="str">
        <f aca="false">IF(B3990="","","")</f>
        <v/>
      </c>
      <c r="J3990" s="23" t="str">
        <f aca="false">IF(B3990="","","touch_1; "&amp;IFERROR(INDEX(Clay_Brands!$A$2:$FZ$601,539,Sync!$D$10)&amp;"","")&amp;"; "&amp;IFERROR(INDEX(Clay_Brands!$A$2:$FZ$601,539,Sync!$D$9)&amp;"",""))</f>
        <v/>
      </c>
      <c r="K3990" s="32" t="s">
        <v>1366</v>
      </c>
    </row>
    <row r="3991" customFormat="false" ht="15" hidden="false" customHeight="false" outlineLevel="0" collapsed="false">
      <c r="A3991" s="23" t="str">
        <f aca="false">IF(B3991="","",B3991+(15*1000+540)/10000000)</f>
        <v/>
      </c>
      <c r="B3991" s="35" t="str">
        <f aca="false">IF(AND(IFERROR(N(INDEX(Clay_Brands!$A$2:$FZ$601,540,Sync!$D$11)),0)&gt;0,IFERROR(INDEX(Clay_Brands!$A$2:$FZ$601,540,Sync!$D$5)&amp;"","")&lt;&gt;"",OR(LEFT(IFERROR(INDEX(Clay_Brands!$A$2:$FZ$601,540,Sync!$D$5)&amp;"",""),6)&lt;&gt;"SAMPLE",Config!$B$19="Y")),IFERROR(N(INDEX(Clay_Brands!$A$2:$FZ$601,540,Sync!$D$11)),0),"")</f>
        <v/>
      </c>
      <c r="C3991" s="23" t="str">
        <f aca="false">IF(B3991="","","brand")</f>
        <v/>
      </c>
      <c r="D3991" s="23" t="str">
        <f aca="false">IF(B3991="","",IFERROR(INDEX(Brand_Log!$DV$2:$DV$201,MATCH(IFERROR(INDEX(Clay_Brands!$A$2:$FZ$601,540,Sync!$D$5)&amp;"",""),Brand_Log!$A$2:$A$201,0))&amp;"",IFERROR(INDEX(Clay_Brands!$A$2:$FZ$601,540,Sync!$D$5)&amp;"","")&amp;""))</f>
        <v/>
      </c>
      <c r="E3991" s="23" t="str">
        <f aca="false">IF(B3991="","",IFERROR(INDEX(Clay_Brands!$A$2:$FZ$601,540,Sync!$D$6)&amp;"",""))</f>
        <v/>
      </c>
      <c r="F3991" s="23" t="str">
        <f aca="false">IF(B3991="","","outreach_sent")</f>
        <v/>
      </c>
      <c r="G3991" s="23" t="str">
        <f aca="false">IF(B3991="","","")</f>
        <v/>
      </c>
      <c r="H3991" s="23" t="str">
        <f aca="false">IF(B3991="","","")</f>
        <v/>
      </c>
      <c r="I3991" s="23" t="str">
        <f aca="false">IF(B3991="","","")</f>
        <v/>
      </c>
      <c r="J3991" s="23" t="str">
        <f aca="false">IF(B3991="","","touch_1; "&amp;IFERROR(INDEX(Clay_Brands!$A$2:$FZ$601,540,Sync!$D$10)&amp;"","")&amp;"; "&amp;IFERROR(INDEX(Clay_Brands!$A$2:$FZ$601,540,Sync!$D$9)&amp;"",""))</f>
        <v/>
      </c>
      <c r="K3991" s="32" t="s">
        <v>1366</v>
      </c>
    </row>
    <row r="3992" customFormat="false" ht="15" hidden="false" customHeight="false" outlineLevel="0" collapsed="false">
      <c r="A3992" s="23" t="str">
        <f aca="false">IF(B3992="","",B3992+(15*1000+541)/10000000)</f>
        <v/>
      </c>
      <c r="B3992" s="35" t="str">
        <f aca="false">IF(AND(IFERROR(N(INDEX(Clay_Brands!$A$2:$FZ$601,541,Sync!$D$11)),0)&gt;0,IFERROR(INDEX(Clay_Brands!$A$2:$FZ$601,541,Sync!$D$5)&amp;"","")&lt;&gt;"",OR(LEFT(IFERROR(INDEX(Clay_Brands!$A$2:$FZ$601,541,Sync!$D$5)&amp;"",""),6)&lt;&gt;"SAMPLE",Config!$B$19="Y")),IFERROR(N(INDEX(Clay_Brands!$A$2:$FZ$601,541,Sync!$D$11)),0),"")</f>
        <v/>
      </c>
      <c r="C3992" s="23" t="str">
        <f aca="false">IF(B3992="","","brand")</f>
        <v/>
      </c>
      <c r="D3992" s="23" t="str">
        <f aca="false">IF(B3992="","",IFERROR(INDEX(Brand_Log!$DV$2:$DV$201,MATCH(IFERROR(INDEX(Clay_Brands!$A$2:$FZ$601,541,Sync!$D$5)&amp;"",""),Brand_Log!$A$2:$A$201,0))&amp;"",IFERROR(INDEX(Clay_Brands!$A$2:$FZ$601,541,Sync!$D$5)&amp;"","")&amp;""))</f>
        <v/>
      </c>
      <c r="E3992" s="23" t="str">
        <f aca="false">IF(B3992="","",IFERROR(INDEX(Clay_Brands!$A$2:$FZ$601,541,Sync!$D$6)&amp;"",""))</f>
        <v/>
      </c>
      <c r="F3992" s="23" t="str">
        <f aca="false">IF(B3992="","","outreach_sent")</f>
        <v/>
      </c>
      <c r="G3992" s="23" t="str">
        <f aca="false">IF(B3992="","","")</f>
        <v/>
      </c>
      <c r="H3992" s="23" t="str">
        <f aca="false">IF(B3992="","","")</f>
        <v/>
      </c>
      <c r="I3992" s="23" t="str">
        <f aca="false">IF(B3992="","","")</f>
        <v/>
      </c>
      <c r="J3992" s="23" t="str">
        <f aca="false">IF(B3992="","","touch_1; "&amp;IFERROR(INDEX(Clay_Brands!$A$2:$FZ$601,541,Sync!$D$10)&amp;"","")&amp;"; "&amp;IFERROR(INDEX(Clay_Brands!$A$2:$FZ$601,541,Sync!$D$9)&amp;"",""))</f>
        <v/>
      </c>
      <c r="K3992" s="32" t="s">
        <v>1366</v>
      </c>
    </row>
    <row r="3993" customFormat="false" ht="15" hidden="false" customHeight="false" outlineLevel="0" collapsed="false">
      <c r="A3993" s="23" t="str">
        <f aca="false">IF(B3993="","",B3993+(15*1000+542)/10000000)</f>
        <v/>
      </c>
      <c r="B3993" s="35" t="str">
        <f aca="false">IF(AND(IFERROR(N(INDEX(Clay_Brands!$A$2:$FZ$601,542,Sync!$D$11)),0)&gt;0,IFERROR(INDEX(Clay_Brands!$A$2:$FZ$601,542,Sync!$D$5)&amp;"","")&lt;&gt;"",OR(LEFT(IFERROR(INDEX(Clay_Brands!$A$2:$FZ$601,542,Sync!$D$5)&amp;"",""),6)&lt;&gt;"SAMPLE",Config!$B$19="Y")),IFERROR(N(INDEX(Clay_Brands!$A$2:$FZ$601,542,Sync!$D$11)),0),"")</f>
        <v/>
      </c>
      <c r="C3993" s="23" t="str">
        <f aca="false">IF(B3993="","","brand")</f>
        <v/>
      </c>
      <c r="D3993" s="23" t="str">
        <f aca="false">IF(B3993="","",IFERROR(INDEX(Brand_Log!$DV$2:$DV$201,MATCH(IFERROR(INDEX(Clay_Brands!$A$2:$FZ$601,542,Sync!$D$5)&amp;"",""),Brand_Log!$A$2:$A$201,0))&amp;"",IFERROR(INDEX(Clay_Brands!$A$2:$FZ$601,542,Sync!$D$5)&amp;"","")&amp;""))</f>
        <v/>
      </c>
      <c r="E3993" s="23" t="str">
        <f aca="false">IF(B3993="","",IFERROR(INDEX(Clay_Brands!$A$2:$FZ$601,542,Sync!$D$6)&amp;"",""))</f>
        <v/>
      </c>
      <c r="F3993" s="23" t="str">
        <f aca="false">IF(B3993="","","outreach_sent")</f>
        <v/>
      </c>
      <c r="G3993" s="23" t="str">
        <f aca="false">IF(B3993="","","")</f>
        <v/>
      </c>
      <c r="H3993" s="23" t="str">
        <f aca="false">IF(B3993="","","")</f>
        <v/>
      </c>
      <c r="I3993" s="23" t="str">
        <f aca="false">IF(B3993="","","")</f>
        <v/>
      </c>
      <c r="J3993" s="23" t="str">
        <f aca="false">IF(B3993="","","touch_1; "&amp;IFERROR(INDEX(Clay_Brands!$A$2:$FZ$601,542,Sync!$D$10)&amp;"","")&amp;"; "&amp;IFERROR(INDEX(Clay_Brands!$A$2:$FZ$601,542,Sync!$D$9)&amp;"",""))</f>
        <v/>
      </c>
      <c r="K3993" s="32" t="s">
        <v>1366</v>
      </c>
    </row>
    <row r="3994" customFormat="false" ht="15" hidden="false" customHeight="false" outlineLevel="0" collapsed="false">
      <c r="A3994" s="23" t="str">
        <f aca="false">IF(B3994="","",B3994+(15*1000+543)/10000000)</f>
        <v/>
      </c>
      <c r="B3994" s="35" t="str">
        <f aca="false">IF(AND(IFERROR(N(INDEX(Clay_Brands!$A$2:$FZ$601,543,Sync!$D$11)),0)&gt;0,IFERROR(INDEX(Clay_Brands!$A$2:$FZ$601,543,Sync!$D$5)&amp;"","")&lt;&gt;"",OR(LEFT(IFERROR(INDEX(Clay_Brands!$A$2:$FZ$601,543,Sync!$D$5)&amp;"",""),6)&lt;&gt;"SAMPLE",Config!$B$19="Y")),IFERROR(N(INDEX(Clay_Brands!$A$2:$FZ$601,543,Sync!$D$11)),0),"")</f>
        <v/>
      </c>
      <c r="C3994" s="23" t="str">
        <f aca="false">IF(B3994="","","brand")</f>
        <v/>
      </c>
      <c r="D3994" s="23" t="str">
        <f aca="false">IF(B3994="","",IFERROR(INDEX(Brand_Log!$DV$2:$DV$201,MATCH(IFERROR(INDEX(Clay_Brands!$A$2:$FZ$601,543,Sync!$D$5)&amp;"",""),Brand_Log!$A$2:$A$201,0))&amp;"",IFERROR(INDEX(Clay_Brands!$A$2:$FZ$601,543,Sync!$D$5)&amp;"","")&amp;""))</f>
        <v/>
      </c>
      <c r="E3994" s="23" t="str">
        <f aca="false">IF(B3994="","",IFERROR(INDEX(Clay_Brands!$A$2:$FZ$601,543,Sync!$D$6)&amp;"",""))</f>
        <v/>
      </c>
      <c r="F3994" s="23" t="str">
        <f aca="false">IF(B3994="","","outreach_sent")</f>
        <v/>
      </c>
      <c r="G3994" s="23" t="str">
        <f aca="false">IF(B3994="","","")</f>
        <v/>
      </c>
      <c r="H3994" s="23" t="str">
        <f aca="false">IF(B3994="","","")</f>
        <v/>
      </c>
      <c r="I3994" s="23" t="str">
        <f aca="false">IF(B3994="","","")</f>
        <v/>
      </c>
      <c r="J3994" s="23" t="str">
        <f aca="false">IF(B3994="","","touch_1; "&amp;IFERROR(INDEX(Clay_Brands!$A$2:$FZ$601,543,Sync!$D$10)&amp;"","")&amp;"; "&amp;IFERROR(INDEX(Clay_Brands!$A$2:$FZ$601,543,Sync!$D$9)&amp;"",""))</f>
        <v/>
      </c>
      <c r="K3994" s="32" t="s">
        <v>1366</v>
      </c>
    </row>
    <row r="3995" customFormat="false" ht="15" hidden="false" customHeight="false" outlineLevel="0" collapsed="false">
      <c r="A3995" s="23" t="str">
        <f aca="false">IF(B3995="","",B3995+(15*1000+544)/10000000)</f>
        <v/>
      </c>
      <c r="B3995" s="35" t="str">
        <f aca="false">IF(AND(IFERROR(N(INDEX(Clay_Brands!$A$2:$FZ$601,544,Sync!$D$11)),0)&gt;0,IFERROR(INDEX(Clay_Brands!$A$2:$FZ$601,544,Sync!$D$5)&amp;"","")&lt;&gt;"",OR(LEFT(IFERROR(INDEX(Clay_Brands!$A$2:$FZ$601,544,Sync!$D$5)&amp;"",""),6)&lt;&gt;"SAMPLE",Config!$B$19="Y")),IFERROR(N(INDEX(Clay_Brands!$A$2:$FZ$601,544,Sync!$D$11)),0),"")</f>
        <v/>
      </c>
      <c r="C3995" s="23" t="str">
        <f aca="false">IF(B3995="","","brand")</f>
        <v/>
      </c>
      <c r="D3995" s="23" t="str">
        <f aca="false">IF(B3995="","",IFERROR(INDEX(Brand_Log!$DV$2:$DV$201,MATCH(IFERROR(INDEX(Clay_Brands!$A$2:$FZ$601,544,Sync!$D$5)&amp;"",""),Brand_Log!$A$2:$A$201,0))&amp;"",IFERROR(INDEX(Clay_Brands!$A$2:$FZ$601,544,Sync!$D$5)&amp;"","")&amp;""))</f>
        <v/>
      </c>
      <c r="E3995" s="23" t="str">
        <f aca="false">IF(B3995="","",IFERROR(INDEX(Clay_Brands!$A$2:$FZ$601,544,Sync!$D$6)&amp;"",""))</f>
        <v/>
      </c>
      <c r="F3995" s="23" t="str">
        <f aca="false">IF(B3995="","","outreach_sent")</f>
        <v/>
      </c>
      <c r="G3995" s="23" t="str">
        <f aca="false">IF(B3995="","","")</f>
        <v/>
      </c>
      <c r="H3995" s="23" t="str">
        <f aca="false">IF(B3995="","","")</f>
        <v/>
      </c>
      <c r="I3995" s="23" t="str">
        <f aca="false">IF(B3995="","","")</f>
        <v/>
      </c>
      <c r="J3995" s="23" t="str">
        <f aca="false">IF(B3995="","","touch_1; "&amp;IFERROR(INDEX(Clay_Brands!$A$2:$FZ$601,544,Sync!$D$10)&amp;"","")&amp;"; "&amp;IFERROR(INDEX(Clay_Brands!$A$2:$FZ$601,544,Sync!$D$9)&amp;"",""))</f>
        <v/>
      </c>
      <c r="K3995" s="32" t="s">
        <v>1366</v>
      </c>
    </row>
    <row r="3996" customFormat="false" ht="15" hidden="false" customHeight="false" outlineLevel="0" collapsed="false">
      <c r="A3996" s="23" t="str">
        <f aca="false">IF(B3996="","",B3996+(15*1000+545)/10000000)</f>
        <v/>
      </c>
      <c r="B3996" s="35" t="str">
        <f aca="false">IF(AND(IFERROR(N(INDEX(Clay_Brands!$A$2:$FZ$601,545,Sync!$D$11)),0)&gt;0,IFERROR(INDEX(Clay_Brands!$A$2:$FZ$601,545,Sync!$D$5)&amp;"","")&lt;&gt;"",OR(LEFT(IFERROR(INDEX(Clay_Brands!$A$2:$FZ$601,545,Sync!$D$5)&amp;"",""),6)&lt;&gt;"SAMPLE",Config!$B$19="Y")),IFERROR(N(INDEX(Clay_Brands!$A$2:$FZ$601,545,Sync!$D$11)),0),"")</f>
        <v/>
      </c>
      <c r="C3996" s="23" t="str">
        <f aca="false">IF(B3996="","","brand")</f>
        <v/>
      </c>
      <c r="D3996" s="23" t="str">
        <f aca="false">IF(B3996="","",IFERROR(INDEX(Brand_Log!$DV$2:$DV$201,MATCH(IFERROR(INDEX(Clay_Brands!$A$2:$FZ$601,545,Sync!$D$5)&amp;"",""),Brand_Log!$A$2:$A$201,0))&amp;"",IFERROR(INDEX(Clay_Brands!$A$2:$FZ$601,545,Sync!$D$5)&amp;"","")&amp;""))</f>
        <v/>
      </c>
      <c r="E3996" s="23" t="str">
        <f aca="false">IF(B3996="","",IFERROR(INDEX(Clay_Brands!$A$2:$FZ$601,545,Sync!$D$6)&amp;"",""))</f>
        <v/>
      </c>
      <c r="F3996" s="23" t="str">
        <f aca="false">IF(B3996="","","outreach_sent")</f>
        <v/>
      </c>
      <c r="G3996" s="23" t="str">
        <f aca="false">IF(B3996="","","")</f>
        <v/>
      </c>
      <c r="H3996" s="23" t="str">
        <f aca="false">IF(B3996="","","")</f>
        <v/>
      </c>
      <c r="I3996" s="23" t="str">
        <f aca="false">IF(B3996="","","")</f>
        <v/>
      </c>
      <c r="J3996" s="23" t="str">
        <f aca="false">IF(B3996="","","touch_1; "&amp;IFERROR(INDEX(Clay_Brands!$A$2:$FZ$601,545,Sync!$D$10)&amp;"","")&amp;"; "&amp;IFERROR(INDEX(Clay_Brands!$A$2:$FZ$601,545,Sync!$D$9)&amp;"",""))</f>
        <v/>
      </c>
      <c r="K3996" s="32" t="s">
        <v>1366</v>
      </c>
    </row>
    <row r="3997" customFormat="false" ht="15" hidden="false" customHeight="false" outlineLevel="0" collapsed="false">
      <c r="A3997" s="23" t="str">
        <f aca="false">IF(B3997="","",B3997+(15*1000+546)/10000000)</f>
        <v/>
      </c>
      <c r="B3997" s="35" t="str">
        <f aca="false">IF(AND(IFERROR(N(INDEX(Clay_Brands!$A$2:$FZ$601,546,Sync!$D$11)),0)&gt;0,IFERROR(INDEX(Clay_Brands!$A$2:$FZ$601,546,Sync!$D$5)&amp;"","")&lt;&gt;"",OR(LEFT(IFERROR(INDEX(Clay_Brands!$A$2:$FZ$601,546,Sync!$D$5)&amp;"",""),6)&lt;&gt;"SAMPLE",Config!$B$19="Y")),IFERROR(N(INDEX(Clay_Brands!$A$2:$FZ$601,546,Sync!$D$11)),0),"")</f>
        <v/>
      </c>
      <c r="C3997" s="23" t="str">
        <f aca="false">IF(B3997="","","brand")</f>
        <v/>
      </c>
      <c r="D3997" s="23" t="str">
        <f aca="false">IF(B3997="","",IFERROR(INDEX(Brand_Log!$DV$2:$DV$201,MATCH(IFERROR(INDEX(Clay_Brands!$A$2:$FZ$601,546,Sync!$D$5)&amp;"",""),Brand_Log!$A$2:$A$201,0))&amp;"",IFERROR(INDEX(Clay_Brands!$A$2:$FZ$601,546,Sync!$D$5)&amp;"","")&amp;""))</f>
        <v/>
      </c>
      <c r="E3997" s="23" t="str">
        <f aca="false">IF(B3997="","",IFERROR(INDEX(Clay_Brands!$A$2:$FZ$601,546,Sync!$D$6)&amp;"",""))</f>
        <v/>
      </c>
      <c r="F3997" s="23" t="str">
        <f aca="false">IF(B3997="","","outreach_sent")</f>
        <v/>
      </c>
      <c r="G3997" s="23" t="str">
        <f aca="false">IF(B3997="","","")</f>
        <v/>
      </c>
      <c r="H3997" s="23" t="str">
        <f aca="false">IF(B3997="","","")</f>
        <v/>
      </c>
      <c r="I3997" s="23" t="str">
        <f aca="false">IF(B3997="","","")</f>
        <v/>
      </c>
      <c r="J3997" s="23" t="str">
        <f aca="false">IF(B3997="","","touch_1; "&amp;IFERROR(INDEX(Clay_Brands!$A$2:$FZ$601,546,Sync!$D$10)&amp;"","")&amp;"; "&amp;IFERROR(INDEX(Clay_Brands!$A$2:$FZ$601,546,Sync!$D$9)&amp;"",""))</f>
        <v/>
      </c>
      <c r="K3997" s="32" t="s">
        <v>1366</v>
      </c>
    </row>
    <row r="3998" customFormat="false" ht="15" hidden="false" customHeight="false" outlineLevel="0" collapsed="false">
      <c r="A3998" s="23" t="str">
        <f aca="false">IF(B3998="","",B3998+(15*1000+547)/10000000)</f>
        <v/>
      </c>
      <c r="B3998" s="35" t="str">
        <f aca="false">IF(AND(IFERROR(N(INDEX(Clay_Brands!$A$2:$FZ$601,547,Sync!$D$11)),0)&gt;0,IFERROR(INDEX(Clay_Brands!$A$2:$FZ$601,547,Sync!$D$5)&amp;"","")&lt;&gt;"",OR(LEFT(IFERROR(INDEX(Clay_Brands!$A$2:$FZ$601,547,Sync!$D$5)&amp;"",""),6)&lt;&gt;"SAMPLE",Config!$B$19="Y")),IFERROR(N(INDEX(Clay_Brands!$A$2:$FZ$601,547,Sync!$D$11)),0),"")</f>
        <v/>
      </c>
      <c r="C3998" s="23" t="str">
        <f aca="false">IF(B3998="","","brand")</f>
        <v/>
      </c>
      <c r="D3998" s="23" t="str">
        <f aca="false">IF(B3998="","",IFERROR(INDEX(Brand_Log!$DV$2:$DV$201,MATCH(IFERROR(INDEX(Clay_Brands!$A$2:$FZ$601,547,Sync!$D$5)&amp;"",""),Brand_Log!$A$2:$A$201,0))&amp;"",IFERROR(INDEX(Clay_Brands!$A$2:$FZ$601,547,Sync!$D$5)&amp;"","")&amp;""))</f>
        <v/>
      </c>
      <c r="E3998" s="23" t="str">
        <f aca="false">IF(B3998="","",IFERROR(INDEX(Clay_Brands!$A$2:$FZ$601,547,Sync!$D$6)&amp;"",""))</f>
        <v/>
      </c>
      <c r="F3998" s="23" t="str">
        <f aca="false">IF(B3998="","","outreach_sent")</f>
        <v/>
      </c>
      <c r="G3998" s="23" t="str">
        <f aca="false">IF(B3998="","","")</f>
        <v/>
      </c>
      <c r="H3998" s="23" t="str">
        <f aca="false">IF(B3998="","","")</f>
        <v/>
      </c>
      <c r="I3998" s="23" t="str">
        <f aca="false">IF(B3998="","","")</f>
        <v/>
      </c>
      <c r="J3998" s="23" t="str">
        <f aca="false">IF(B3998="","","touch_1; "&amp;IFERROR(INDEX(Clay_Brands!$A$2:$FZ$601,547,Sync!$D$10)&amp;"","")&amp;"; "&amp;IFERROR(INDEX(Clay_Brands!$A$2:$FZ$601,547,Sync!$D$9)&amp;"",""))</f>
        <v/>
      </c>
      <c r="K3998" s="32" t="s">
        <v>1366</v>
      </c>
    </row>
    <row r="3999" customFormat="false" ht="15" hidden="false" customHeight="false" outlineLevel="0" collapsed="false">
      <c r="A3999" s="23" t="str">
        <f aca="false">IF(B3999="","",B3999+(15*1000+548)/10000000)</f>
        <v/>
      </c>
      <c r="B3999" s="35" t="str">
        <f aca="false">IF(AND(IFERROR(N(INDEX(Clay_Brands!$A$2:$FZ$601,548,Sync!$D$11)),0)&gt;0,IFERROR(INDEX(Clay_Brands!$A$2:$FZ$601,548,Sync!$D$5)&amp;"","")&lt;&gt;"",OR(LEFT(IFERROR(INDEX(Clay_Brands!$A$2:$FZ$601,548,Sync!$D$5)&amp;"",""),6)&lt;&gt;"SAMPLE",Config!$B$19="Y")),IFERROR(N(INDEX(Clay_Brands!$A$2:$FZ$601,548,Sync!$D$11)),0),"")</f>
        <v/>
      </c>
      <c r="C3999" s="23" t="str">
        <f aca="false">IF(B3999="","","brand")</f>
        <v/>
      </c>
      <c r="D3999" s="23" t="str">
        <f aca="false">IF(B3999="","",IFERROR(INDEX(Brand_Log!$DV$2:$DV$201,MATCH(IFERROR(INDEX(Clay_Brands!$A$2:$FZ$601,548,Sync!$D$5)&amp;"",""),Brand_Log!$A$2:$A$201,0))&amp;"",IFERROR(INDEX(Clay_Brands!$A$2:$FZ$601,548,Sync!$D$5)&amp;"","")&amp;""))</f>
        <v/>
      </c>
      <c r="E3999" s="23" t="str">
        <f aca="false">IF(B3999="","",IFERROR(INDEX(Clay_Brands!$A$2:$FZ$601,548,Sync!$D$6)&amp;"",""))</f>
        <v/>
      </c>
      <c r="F3999" s="23" t="str">
        <f aca="false">IF(B3999="","","outreach_sent")</f>
        <v/>
      </c>
      <c r="G3999" s="23" t="str">
        <f aca="false">IF(B3999="","","")</f>
        <v/>
      </c>
      <c r="H3999" s="23" t="str">
        <f aca="false">IF(B3999="","","")</f>
        <v/>
      </c>
      <c r="I3999" s="23" t="str">
        <f aca="false">IF(B3999="","","")</f>
        <v/>
      </c>
      <c r="J3999" s="23" t="str">
        <f aca="false">IF(B3999="","","touch_1; "&amp;IFERROR(INDEX(Clay_Brands!$A$2:$FZ$601,548,Sync!$D$10)&amp;"","")&amp;"; "&amp;IFERROR(INDEX(Clay_Brands!$A$2:$FZ$601,548,Sync!$D$9)&amp;"",""))</f>
        <v/>
      </c>
      <c r="K3999" s="32" t="s">
        <v>1366</v>
      </c>
    </row>
    <row r="4000" customFormat="false" ht="15" hidden="false" customHeight="false" outlineLevel="0" collapsed="false">
      <c r="A4000" s="23" t="str">
        <f aca="false">IF(B4000="","",B4000+(15*1000+549)/10000000)</f>
        <v/>
      </c>
      <c r="B4000" s="35" t="str">
        <f aca="false">IF(AND(IFERROR(N(INDEX(Clay_Brands!$A$2:$FZ$601,549,Sync!$D$11)),0)&gt;0,IFERROR(INDEX(Clay_Brands!$A$2:$FZ$601,549,Sync!$D$5)&amp;"","")&lt;&gt;"",OR(LEFT(IFERROR(INDEX(Clay_Brands!$A$2:$FZ$601,549,Sync!$D$5)&amp;"",""),6)&lt;&gt;"SAMPLE",Config!$B$19="Y")),IFERROR(N(INDEX(Clay_Brands!$A$2:$FZ$601,549,Sync!$D$11)),0),"")</f>
        <v/>
      </c>
      <c r="C4000" s="23" t="str">
        <f aca="false">IF(B4000="","","brand")</f>
        <v/>
      </c>
      <c r="D4000" s="23" t="str">
        <f aca="false">IF(B4000="","",IFERROR(INDEX(Brand_Log!$DV$2:$DV$201,MATCH(IFERROR(INDEX(Clay_Brands!$A$2:$FZ$601,549,Sync!$D$5)&amp;"",""),Brand_Log!$A$2:$A$201,0))&amp;"",IFERROR(INDEX(Clay_Brands!$A$2:$FZ$601,549,Sync!$D$5)&amp;"","")&amp;""))</f>
        <v/>
      </c>
      <c r="E4000" s="23" t="str">
        <f aca="false">IF(B4000="","",IFERROR(INDEX(Clay_Brands!$A$2:$FZ$601,549,Sync!$D$6)&amp;"",""))</f>
        <v/>
      </c>
      <c r="F4000" s="23" t="str">
        <f aca="false">IF(B4000="","","outreach_sent")</f>
        <v/>
      </c>
      <c r="G4000" s="23" t="str">
        <f aca="false">IF(B4000="","","")</f>
        <v/>
      </c>
      <c r="H4000" s="23" t="str">
        <f aca="false">IF(B4000="","","")</f>
        <v/>
      </c>
      <c r="I4000" s="23" t="str">
        <f aca="false">IF(B4000="","","")</f>
        <v/>
      </c>
      <c r="J4000" s="23" t="str">
        <f aca="false">IF(B4000="","","touch_1; "&amp;IFERROR(INDEX(Clay_Brands!$A$2:$FZ$601,549,Sync!$D$10)&amp;"","")&amp;"; "&amp;IFERROR(INDEX(Clay_Brands!$A$2:$FZ$601,549,Sync!$D$9)&amp;"",""))</f>
        <v/>
      </c>
      <c r="K4000" s="32" t="s">
        <v>1366</v>
      </c>
    </row>
    <row r="4001" customFormat="false" ht="15" hidden="false" customHeight="false" outlineLevel="0" collapsed="false">
      <c r="A4001" s="23" t="str">
        <f aca="false">IF(B4001="","",B4001+(15*1000+550)/10000000)</f>
        <v/>
      </c>
      <c r="B4001" s="35" t="str">
        <f aca="false">IF(AND(IFERROR(N(INDEX(Clay_Brands!$A$2:$FZ$601,550,Sync!$D$11)),0)&gt;0,IFERROR(INDEX(Clay_Brands!$A$2:$FZ$601,550,Sync!$D$5)&amp;"","")&lt;&gt;"",OR(LEFT(IFERROR(INDEX(Clay_Brands!$A$2:$FZ$601,550,Sync!$D$5)&amp;"",""),6)&lt;&gt;"SAMPLE",Config!$B$19="Y")),IFERROR(N(INDEX(Clay_Brands!$A$2:$FZ$601,550,Sync!$D$11)),0),"")</f>
        <v/>
      </c>
      <c r="C4001" s="23" t="str">
        <f aca="false">IF(B4001="","","brand")</f>
        <v/>
      </c>
      <c r="D4001" s="23" t="str">
        <f aca="false">IF(B4001="","",IFERROR(INDEX(Brand_Log!$DV$2:$DV$201,MATCH(IFERROR(INDEX(Clay_Brands!$A$2:$FZ$601,550,Sync!$D$5)&amp;"",""),Brand_Log!$A$2:$A$201,0))&amp;"",IFERROR(INDEX(Clay_Brands!$A$2:$FZ$601,550,Sync!$D$5)&amp;"","")&amp;""))</f>
        <v/>
      </c>
      <c r="E4001" s="23" t="str">
        <f aca="false">IF(B4001="","",IFERROR(INDEX(Clay_Brands!$A$2:$FZ$601,550,Sync!$D$6)&amp;"",""))</f>
        <v/>
      </c>
      <c r="F4001" s="23" t="str">
        <f aca="false">IF(B4001="","","outreach_sent")</f>
        <v/>
      </c>
      <c r="G4001" s="23" t="str">
        <f aca="false">IF(B4001="","","")</f>
        <v/>
      </c>
      <c r="H4001" s="23" t="str">
        <f aca="false">IF(B4001="","","")</f>
        <v/>
      </c>
      <c r="I4001" s="23" t="str">
        <f aca="false">IF(B4001="","","")</f>
        <v/>
      </c>
      <c r="J4001" s="23" t="str">
        <f aca="false">IF(B4001="","","touch_1; "&amp;IFERROR(INDEX(Clay_Brands!$A$2:$FZ$601,550,Sync!$D$10)&amp;"","")&amp;"; "&amp;IFERROR(INDEX(Clay_Brands!$A$2:$FZ$601,550,Sync!$D$9)&amp;"",""))</f>
        <v/>
      </c>
      <c r="K4001" s="32" t="s">
        <v>1366</v>
      </c>
    </row>
    <row r="4002" customFormat="false" ht="15" hidden="false" customHeight="false" outlineLevel="0" collapsed="false">
      <c r="A4002" s="23" t="str">
        <f aca="false">IF(B4002="","",B4002+(15*1000+551)/10000000)</f>
        <v/>
      </c>
      <c r="B4002" s="35" t="str">
        <f aca="false">IF(AND(IFERROR(N(INDEX(Clay_Brands!$A$2:$FZ$601,551,Sync!$D$11)),0)&gt;0,IFERROR(INDEX(Clay_Brands!$A$2:$FZ$601,551,Sync!$D$5)&amp;"","")&lt;&gt;"",OR(LEFT(IFERROR(INDEX(Clay_Brands!$A$2:$FZ$601,551,Sync!$D$5)&amp;"",""),6)&lt;&gt;"SAMPLE",Config!$B$19="Y")),IFERROR(N(INDEX(Clay_Brands!$A$2:$FZ$601,551,Sync!$D$11)),0),"")</f>
        <v/>
      </c>
      <c r="C4002" s="23" t="str">
        <f aca="false">IF(B4002="","","brand")</f>
        <v/>
      </c>
      <c r="D4002" s="23" t="str">
        <f aca="false">IF(B4002="","",IFERROR(INDEX(Brand_Log!$DV$2:$DV$201,MATCH(IFERROR(INDEX(Clay_Brands!$A$2:$FZ$601,551,Sync!$D$5)&amp;"",""),Brand_Log!$A$2:$A$201,0))&amp;"",IFERROR(INDEX(Clay_Brands!$A$2:$FZ$601,551,Sync!$D$5)&amp;"","")&amp;""))</f>
        <v/>
      </c>
      <c r="E4002" s="23" t="str">
        <f aca="false">IF(B4002="","",IFERROR(INDEX(Clay_Brands!$A$2:$FZ$601,551,Sync!$D$6)&amp;"",""))</f>
        <v/>
      </c>
      <c r="F4002" s="23" t="str">
        <f aca="false">IF(B4002="","","outreach_sent")</f>
        <v/>
      </c>
      <c r="G4002" s="23" t="str">
        <f aca="false">IF(B4002="","","")</f>
        <v/>
      </c>
      <c r="H4002" s="23" t="str">
        <f aca="false">IF(B4002="","","")</f>
        <v/>
      </c>
      <c r="I4002" s="23" t="str">
        <f aca="false">IF(B4002="","","")</f>
        <v/>
      </c>
      <c r="J4002" s="23" t="str">
        <f aca="false">IF(B4002="","","touch_1; "&amp;IFERROR(INDEX(Clay_Brands!$A$2:$FZ$601,551,Sync!$D$10)&amp;"","")&amp;"; "&amp;IFERROR(INDEX(Clay_Brands!$A$2:$FZ$601,551,Sync!$D$9)&amp;"",""))</f>
        <v/>
      </c>
      <c r="K4002" s="32" t="s">
        <v>1366</v>
      </c>
    </row>
    <row r="4003" customFormat="false" ht="15" hidden="false" customHeight="false" outlineLevel="0" collapsed="false">
      <c r="A4003" s="23" t="str">
        <f aca="false">IF(B4003="","",B4003+(15*1000+552)/10000000)</f>
        <v/>
      </c>
      <c r="B4003" s="35" t="str">
        <f aca="false">IF(AND(IFERROR(N(INDEX(Clay_Brands!$A$2:$FZ$601,552,Sync!$D$11)),0)&gt;0,IFERROR(INDEX(Clay_Brands!$A$2:$FZ$601,552,Sync!$D$5)&amp;"","")&lt;&gt;"",OR(LEFT(IFERROR(INDEX(Clay_Brands!$A$2:$FZ$601,552,Sync!$D$5)&amp;"",""),6)&lt;&gt;"SAMPLE",Config!$B$19="Y")),IFERROR(N(INDEX(Clay_Brands!$A$2:$FZ$601,552,Sync!$D$11)),0),"")</f>
        <v/>
      </c>
      <c r="C4003" s="23" t="str">
        <f aca="false">IF(B4003="","","brand")</f>
        <v/>
      </c>
      <c r="D4003" s="23" t="str">
        <f aca="false">IF(B4003="","",IFERROR(INDEX(Brand_Log!$DV$2:$DV$201,MATCH(IFERROR(INDEX(Clay_Brands!$A$2:$FZ$601,552,Sync!$D$5)&amp;"",""),Brand_Log!$A$2:$A$201,0))&amp;"",IFERROR(INDEX(Clay_Brands!$A$2:$FZ$601,552,Sync!$D$5)&amp;"","")&amp;""))</f>
        <v/>
      </c>
      <c r="E4003" s="23" t="str">
        <f aca="false">IF(B4003="","",IFERROR(INDEX(Clay_Brands!$A$2:$FZ$601,552,Sync!$D$6)&amp;"",""))</f>
        <v/>
      </c>
      <c r="F4003" s="23" t="str">
        <f aca="false">IF(B4003="","","outreach_sent")</f>
        <v/>
      </c>
      <c r="G4003" s="23" t="str">
        <f aca="false">IF(B4003="","","")</f>
        <v/>
      </c>
      <c r="H4003" s="23" t="str">
        <f aca="false">IF(B4003="","","")</f>
        <v/>
      </c>
      <c r="I4003" s="23" t="str">
        <f aca="false">IF(B4003="","","")</f>
        <v/>
      </c>
      <c r="J4003" s="23" t="str">
        <f aca="false">IF(B4003="","","touch_1; "&amp;IFERROR(INDEX(Clay_Brands!$A$2:$FZ$601,552,Sync!$D$10)&amp;"","")&amp;"; "&amp;IFERROR(INDEX(Clay_Brands!$A$2:$FZ$601,552,Sync!$D$9)&amp;"",""))</f>
        <v/>
      </c>
      <c r="K4003" s="32" t="s">
        <v>1366</v>
      </c>
    </row>
    <row r="4004" customFormat="false" ht="15" hidden="false" customHeight="false" outlineLevel="0" collapsed="false">
      <c r="A4004" s="23" t="str">
        <f aca="false">IF(B4004="","",B4004+(15*1000+553)/10000000)</f>
        <v/>
      </c>
      <c r="B4004" s="35" t="str">
        <f aca="false">IF(AND(IFERROR(N(INDEX(Clay_Brands!$A$2:$FZ$601,553,Sync!$D$11)),0)&gt;0,IFERROR(INDEX(Clay_Brands!$A$2:$FZ$601,553,Sync!$D$5)&amp;"","")&lt;&gt;"",OR(LEFT(IFERROR(INDEX(Clay_Brands!$A$2:$FZ$601,553,Sync!$D$5)&amp;"",""),6)&lt;&gt;"SAMPLE",Config!$B$19="Y")),IFERROR(N(INDEX(Clay_Brands!$A$2:$FZ$601,553,Sync!$D$11)),0),"")</f>
        <v/>
      </c>
      <c r="C4004" s="23" t="str">
        <f aca="false">IF(B4004="","","brand")</f>
        <v/>
      </c>
      <c r="D4004" s="23" t="str">
        <f aca="false">IF(B4004="","",IFERROR(INDEX(Brand_Log!$DV$2:$DV$201,MATCH(IFERROR(INDEX(Clay_Brands!$A$2:$FZ$601,553,Sync!$D$5)&amp;"",""),Brand_Log!$A$2:$A$201,0))&amp;"",IFERROR(INDEX(Clay_Brands!$A$2:$FZ$601,553,Sync!$D$5)&amp;"","")&amp;""))</f>
        <v/>
      </c>
      <c r="E4004" s="23" t="str">
        <f aca="false">IF(B4004="","",IFERROR(INDEX(Clay_Brands!$A$2:$FZ$601,553,Sync!$D$6)&amp;"",""))</f>
        <v/>
      </c>
      <c r="F4004" s="23" t="str">
        <f aca="false">IF(B4004="","","outreach_sent")</f>
        <v/>
      </c>
      <c r="G4004" s="23" t="str">
        <f aca="false">IF(B4004="","","")</f>
        <v/>
      </c>
      <c r="H4004" s="23" t="str">
        <f aca="false">IF(B4004="","","")</f>
        <v/>
      </c>
      <c r="I4004" s="23" t="str">
        <f aca="false">IF(B4004="","","")</f>
        <v/>
      </c>
      <c r="J4004" s="23" t="str">
        <f aca="false">IF(B4004="","","touch_1; "&amp;IFERROR(INDEX(Clay_Brands!$A$2:$FZ$601,553,Sync!$D$10)&amp;"","")&amp;"; "&amp;IFERROR(INDEX(Clay_Brands!$A$2:$FZ$601,553,Sync!$D$9)&amp;"",""))</f>
        <v/>
      </c>
      <c r="K4004" s="32" t="s">
        <v>1366</v>
      </c>
    </row>
    <row r="4005" customFormat="false" ht="15" hidden="false" customHeight="false" outlineLevel="0" collapsed="false">
      <c r="A4005" s="23" t="str">
        <f aca="false">IF(B4005="","",B4005+(15*1000+554)/10000000)</f>
        <v/>
      </c>
      <c r="B4005" s="35" t="str">
        <f aca="false">IF(AND(IFERROR(N(INDEX(Clay_Brands!$A$2:$FZ$601,554,Sync!$D$11)),0)&gt;0,IFERROR(INDEX(Clay_Brands!$A$2:$FZ$601,554,Sync!$D$5)&amp;"","")&lt;&gt;"",OR(LEFT(IFERROR(INDEX(Clay_Brands!$A$2:$FZ$601,554,Sync!$D$5)&amp;"",""),6)&lt;&gt;"SAMPLE",Config!$B$19="Y")),IFERROR(N(INDEX(Clay_Brands!$A$2:$FZ$601,554,Sync!$D$11)),0),"")</f>
        <v/>
      </c>
      <c r="C4005" s="23" t="str">
        <f aca="false">IF(B4005="","","brand")</f>
        <v/>
      </c>
      <c r="D4005" s="23" t="str">
        <f aca="false">IF(B4005="","",IFERROR(INDEX(Brand_Log!$DV$2:$DV$201,MATCH(IFERROR(INDEX(Clay_Brands!$A$2:$FZ$601,554,Sync!$D$5)&amp;"",""),Brand_Log!$A$2:$A$201,0))&amp;"",IFERROR(INDEX(Clay_Brands!$A$2:$FZ$601,554,Sync!$D$5)&amp;"","")&amp;""))</f>
        <v/>
      </c>
      <c r="E4005" s="23" t="str">
        <f aca="false">IF(B4005="","",IFERROR(INDEX(Clay_Brands!$A$2:$FZ$601,554,Sync!$D$6)&amp;"",""))</f>
        <v/>
      </c>
      <c r="F4005" s="23" t="str">
        <f aca="false">IF(B4005="","","outreach_sent")</f>
        <v/>
      </c>
      <c r="G4005" s="23" t="str">
        <f aca="false">IF(B4005="","","")</f>
        <v/>
      </c>
      <c r="H4005" s="23" t="str">
        <f aca="false">IF(B4005="","","")</f>
        <v/>
      </c>
      <c r="I4005" s="23" t="str">
        <f aca="false">IF(B4005="","","")</f>
        <v/>
      </c>
      <c r="J4005" s="23" t="str">
        <f aca="false">IF(B4005="","","touch_1; "&amp;IFERROR(INDEX(Clay_Brands!$A$2:$FZ$601,554,Sync!$D$10)&amp;"","")&amp;"; "&amp;IFERROR(INDEX(Clay_Brands!$A$2:$FZ$601,554,Sync!$D$9)&amp;"",""))</f>
        <v/>
      </c>
      <c r="K4005" s="32" t="s">
        <v>1366</v>
      </c>
    </row>
    <row r="4006" customFormat="false" ht="15" hidden="false" customHeight="false" outlineLevel="0" collapsed="false">
      <c r="A4006" s="23" t="str">
        <f aca="false">IF(B4006="","",B4006+(15*1000+555)/10000000)</f>
        <v/>
      </c>
      <c r="B4006" s="35" t="str">
        <f aca="false">IF(AND(IFERROR(N(INDEX(Clay_Brands!$A$2:$FZ$601,555,Sync!$D$11)),0)&gt;0,IFERROR(INDEX(Clay_Brands!$A$2:$FZ$601,555,Sync!$D$5)&amp;"","")&lt;&gt;"",OR(LEFT(IFERROR(INDEX(Clay_Brands!$A$2:$FZ$601,555,Sync!$D$5)&amp;"",""),6)&lt;&gt;"SAMPLE",Config!$B$19="Y")),IFERROR(N(INDEX(Clay_Brands!$A$2:$FZ$601,555,Sync!$D$11)),0),"")</f>
        <v/>
      </c>
      <c r="C4006" s="23" t="str">
        <f aca="false">IF(B4006="","","brand")</f>
        <v/>
      </c>
      <c r="D4006" s="23" t="str">
        <f aca="false">IF(B4006="","",IFERROR(INDEX(Brand_Log!$DV$2:$DV$201,MATCH(IFERROR(INDEX(Clay_Brands!$A$2:$FZ$601,555,Sync!$D$5)&amp;"",""),Brand_Log!$A$2:$A$201,0))&amp;"",IFERROR(INDEX(Clay_Brands!$A$2:$FZ$601,555,Sync!$D$5)&amp;"","")&amp;""))</f>
        <v/>
      </c>
      <c r="E4006" s="23" t="str">
        <f aca="false">IF(B4006="","",IFERROR(INDEX(Clay_Brands!$A$2:$FZ$601,555,Sync!$D$6)&amp;"",""))</f>
        <v/>
      </c>
      <c r="F4006" s="23" t="str">
        <f aca="false">IF(B4006="","","outreach_sent")</f>
        <v/>
      </c>
      <c r="G4006" s="23" t="str">
        <f aca="false">IF(B4006="","","")</f>
        <v/>
      </c>
      <c r="H4006" s="23" t="str">
        <f aca="false">IF(B4006="","","")</f>
        <v/>
      </c>
      <c r="I4006" s="23" t="str">
        <f aca="false">IF(B4006="","","")</f>
        <v/>
      </c>
      <c r="J4006" s="23" t="str">
        <f aca="false">IF(B4006="","","touch_1; "&amp;IFERROR(INDEX(Clay_Brands!$A$2:$FZ$601,555,Sync!$D$10)&amp;"","")&amp;"; "&amp;IFERROR(INDEX(Clay_Brands!$A$2:$FZ$601,555,Sync!$D$9)&amp;"",""))</f>
        <v/>
      </c>
      <c r="K4006" s="32" t="s">
        <v>1366</v>
      </c>
    </row>
    <row r="4007" customFormat="false" ht="15" hidden="false" customHeight="false" outlineLevel="0" collapsed="false">
      <c r="A4007" s="23" t="str">
        <f aca="false">IF(B4007="","",B4007+(15*1000+556)/10000000)</f>
        <v/>
      </c>
      <c r="B4007" s="35" t="str">
        <f aca="false">IF(AND(IFERROR(N(INDEX(Clay_Brands!$A$2:$FZ$601,556,Sync!$D$11)),0)&gt;0,IFERROR(INDEX(Clay_Brands!$A$2:$FZ$601,556,Sync!$D$5)&amp;"","")&lt;&gt;"",OR(LEFT(IFERROR(INDEX(Clay_Brands!$A$2:$FZ$601,556,Sync!$D$5)&amp;"",""),6)&lt;&gt;"SAMPLE",Config!$B$19="Y")),IFERROR(N(INDEX(Clay_Brands!$A$2:$FZ$601,556,Sync!$D$11)),0),"")</f>
        <v/>
      </c>
      <c r="C4007" s="23" t="str">
        <f aca="false">IF(B4007="","","brand")</f>
        <v/>
      </c>
      <c r="D4007" s="23" t="str">
        <f aca="false">IF(B4007="","",IFERROR(INDEX(Brand_Log!$DV$2:$DV$201,MATCH(IFERROR(INDEX(Clay_Brands!$A$2:$FZ$601,556,Sync!$D$5)&amp;"",""),Brand_Log!$A$2:$A$201,0))&amp;"",IFERROR(INDEX(Clay_Brands!$A$2:$FZ$601,556,Sync!$D$5)&amp;"","")&amp;""))</f>
        <v/>
      </c>
      <c r="E4007" s="23" t="str">
        <f aca="false">IF(B4007="","",IFERROR(INDEX(Clay_Brands!$A$2:$FZ$601,556,Sync!$D$6)&amp;"",""))</f>
        <v/>
      </c>
      <c r="F4007" s="23" t="str">
        <f aca="false">IF(B4007="","","outreach_sent")</f>
        <v/>
      </c>
      <c r="G4007" s="23" t="str">
        <f aca="false">IF(B4007="","","")</f>
        <v/>
      </c>
      <c r="H4007" s="23" t="str">
        <f aca="false">IF(B4007="","","")</f>
        <v/>
      </c>
      <c r="I4007" s="23" t="str">
        <f aca="false">IF(B4007="","","")</f>
        <v/>
      </c>
      <c r="J4007" s="23" t="str">
        <f aca="false">IF(B4007="","","touch_1; "&amp;IFERROR(INDEX(Clay_Brands!$A$2:$FZ$601,556,Sync!$D$10)&amp;"","")&amp;"; "&amp;IFERROR(INDEX(Clay_Brands!$A$2:$FZ$601,556,Sync!$D$9)&amp;"",""))</f>
        <v/>
      </c>
      <c r="K4007" s="32" t="s">
        <v>1366</v>
      </c>
    </row>
    <row r="4008" customFormat="false" ht="15" hidden="false" customHeight="false" outlineLevel="0" collapsed="false">
      <c r="A4008" s="23" t="str">
        <f aca="false">IF(B4008="","",B4008+(15*1000+557)/10000000)</f>
        <v/>
      </c>
      <c r="B4008" s="35" t="str">
        <f aca="false">IF(AND(IFERROR(N(INDEX(Clay_Brands!$A$2:$FZ$601,557,Sync!$D$11)),0)&gt;0,IFERROR(INDEX(Clay_Brands!$A$2:$FZ$601,557,Sync!$D$5)&amp;"","")&lt;&gt;"",OR(LEFT(IFERROR(INDEX(Clay_Brands!$A$2:$FZ$601,557,Sync!$D$5)&amp;"",""),6)&lt;&gt;"SAMPLE",Config!$B$19="Y")),IFERROR(N(INDEX(Clay_Brands!$A$2:$FZ$601,557,Sync!$D$11)),0),"")</f>
        <v/>
      </c>
      <c r="C4008" s="23" t="str">
        <f aca="false">IF(B4008="","","brand")</f>
        <v/>
      </c>
      <c r="D4008" s="23" t="str">
        <f aca="false">IF(B4008="","",IFERROR(INDEX(Brand_Log!$DV$2:$DV$201,MATCH(IFERROR(INDEX(Clay_Brands!$A$2:$FZ$601,557,Sync!$D$5)&amp;"",""),Brand_Log!$A$2:$A$201,0))&amp;"",IFERROR(INDEX(Clay_Brands!$A$2:$FZ$601,557,Sync!$D$5)&amp;"","")&amp;""))</f>
        <v/>
      </c>
      <c r="E4008" s="23" t="str">
        <f aca="false">IF(B4008="","",IFERROR(INDEX(Clay_Brands!$A$2:$FZ$601,557,Sync!$D$6)&amp;"",""))</f>
        <v/>
      </c>
      <c r="F4008" s="23" t="str">
        <f aca="false">IF(B4008="","","outreach_sent")</f>
        <v/>
      </c>
      <c r="G4008" s="23" t="str">
        <f aca="false">IF(B4008="","","")</f>
        <v/>
      </c>
      <c r="H4008" s="23" t="str">
        <f aca="false">IF(B4008="","","")</f>
        <v/>
      </c>
      <c r="I4008" s="23" t="str">
        <f aca="false">IF(B4008="","","")</f>
        <v/>
      </c>
      <c r="J4008" s="23" t="str">
        <f aca="false">IF(B4008="","","touch_1; "&amp;IFERROR(INDEX(Clay_Brands!$A$2:$FZ$601,557,Sync!$D$10)&amp;"","")&amp;"; "&amp;IFERROR(INDEX(Clay_Brands!$A$2:$FZ$601,557,Sync!$D$9)&amp;"",""))</f>
        <v/>
      </c>
      <c r="K4008" s="32" t="s">
        <v>1366</v>
      </c>
    </row>
    <row r="4009" customFormat="false" ht="15" hidden="false" customHeight="false" outlineLevel="0" collapsed="false">
      <c r="A4009" s="23" t="str">
        <f aca="false">IF(B4009="","",B4009+(15*1000+558)/10000000)</f>
        <v/>
      </c>
      <c r="B4009" s="35" t="str">
        <f aca="false">IF(AND(IFERROR(N(INDEX(Clay_Brands!$A$2:$FZ$601,558,Sync!$D$11)),0)&gt;0,IFERROR(INDEX(Clay_Brands!$A$2:$FZ$601,558,Sync!$D$5)&amp;"","")&lt;&gt;"",OR(LEFT(IFERROR(INDEX(Clay_Brands!$A$2:$FZ$601,558,Sync!$D$5)&amp;"",""),6)&lt;&gt;"SAMPLE",Config!$B$19="Y")),IFERROR(N(INDEX(Clay_Brands!$A$2:$FZ$601,558,Sync!$D$11)),0),"")</f>
        <v/>
      </c>
      <c r="C4009" s="23" t="str">
        <f aca="false">IF(B4009="","","brand")</f>
        <v/>
      </c>
      <c r="D4009" s="23" t="str">
        <f aca="false">IF(B4009="","",IFERROR(INDEX(Brand_Log!$DV$2:$DV$201,MATCH(IFERROR(INDEX(Clay_Brands!$A$2:$FZ$601,558,Sync!$D$5)&amp;"",""),Brand_Log!$A$2:$A$201,0))&amp;"",IFERROR(INDEX(Clay_Brands!$A$2:$FZ$601,558,Sync!$D$5)&amp;"","")&amp;""))</f>
        <v/>
      </c>
      <c r="E4009" s="23" t="str">
        <f aca="false">IF(B4009="","",IFERROR(INDEX(Clay_Brands!$A$2:$FZ$601,558,Sync!$D$6)&amp;"",""))</f>
        <v/>
      </c>
      <c r="F4009" s="23" t="str">
        <f aca="false">IF(B4009="","","outreach_sent")</f>
        <v/>
      </c>
      <c r="G4009" s="23" t="str">
        <f aca="false">IF(B4009="","","")</f>
        <v/>
      </c>
      <c r="H4009" s="23" t="str">
        <f aca="false">IF(B4009="","","")</f>
        <v/>
      </c>
      <c r="I4009" s="23" t="str">
        <f aca="false">IF(B4009="","","")</f>
        <v/>
      </c>
      <c r="J4009" s="23" t="str">
        <f aca="false">IF(B4009="","","touch_1; "&amp;IFERROR(INDEX(Clay_Brands!$A$2:$FZ$601,558,Sync!$D$10)&amp;"","")&amp;"; "&amp;IFERROR(INDEX(Clay_Brands!$A$2:$FZ$601,558,Sync!$D$9)&amp;"",""))</f>
        <v/>
      </c>
      <c r="K4009" s="32" t="s">
        <v>1366</v>
      </c>
    </row>
    <row r="4010" customFormat="false" ht="15" hidden="false" customHeight="false" outlineLevel="0" collapsed="false">
      <c r="A4010" s="23" t="str">
        <f aca="false">IF(B4010="","",B4010+(15*1000+559)/10000000)</f>
        <v/>
      </c>
      <c r="B4010" s="35" t="str">
        <f aca="false">IF(AND(IFERROR(N(INDEX(Clay_Brands!$A$2:$FZ$601,559,Sync!$D$11)),0)&gt;0,IFERROR(INDEX(Clay_Brands!$A$2:$FZ$601,559,Sync!$D$5)&amp;"","")&lt;&gt;"",OR(LEFT(IFERROR(INDEX(Clay_Brands!$A$2:$FZ$601,559,Sync!$D$5)&amp;"",""),6)&lt;&gt;"SAMPLE",Config!$B$19="Y")),IFERROR(N(INDEX(Clay_Brands!$A$2:$FZ$601,559,Sync!$D$11)),0),"")</f>
        <v/>
      </c>
      <c r="C4010" s="23" t="str">
        <f aca="false">IF(B4010="","","brand")</f>
        <v/>
      </c>
      <c r="D4010" s="23" t="str">
        <f aca="false">IF(B4010="","",IFERROR(INDEX(Brand_Log!$DV$2:$DV$201,MATCH(IFERROR(INDEX(Clay_Brands!$A$2:$FZ$601,559,Sync!$D$5)&amp;"",""),Brand_Log!$A$2:$A$201,0))&amp;"",IFERROR(INDEX(Clay_Brands!$A$2:$FZ$601,559,Sync!$D$5)&amp;"","")&amp;""))</f>
        <v/>
      </c>
      <c r="E4010" s="23" t="str">
        <f aca="false">IF(B4010="","",IFERROR(INDEX(Clay_Brands!$A$2:$FZ$601,559,Sync!$D$6)&amp;"",""))</f>
        <v/>
      </c>
      <c r="F4010" s="23" t="str">
        <f aca="false">IF(B4010="","","outreach_sent")</f>
        <v/>
      </c>
      <c r="G4010" s="23" t="str">
        <f aca="false">IF(B4010="","","")</f>
        <v/>
      </c>
      <c r="H4010" s="23" t="str">
        <f aca="false">IF(B4010="","","")</f>
        <v/>
      </c>
      <c r="I4010" s="23" t="str">
        <f aca="false">IF(B4010="","","")</f>
        <v/>
      </c>
      <c r="J4010" s="23" t="str">
        <f aca="false">IF(B4010="","","touch_1; "&amp;IFERROR(INDEX(Clay_Brands!$A$2:$FZ$601,559,Sync!$D$10)&amp;"","")&amp;"; "&amp;IFERROR(INDEX(Clay_Brands!$A$2:$FZ$601,559,Sync!$D$9)&amp;"",""))</f>
        <v/>
      </c>
      <c r="K4010" s="32" t="s">
        <v>1366</v>
      </c>
    </row>
    <row r="4011" customFormat="false" ht="15" hidden="false" customHeight="false" outlineLevel="0" collapsed="false">
      <c r="A4011" s="23" t="str">
        <f aca="false">IF(B4011="","",B4011+(15*1000+560)/10000000)</f>
        <v/>
      </c>
      <c r="B4011" s="35" t="str">
        <f aca="false">IF(AND(IFERROR(N(INDEX(Clay_Brands!$A$2:$FZ$601,560,Sync!$D$11)),0)&gt;0,IFERROR(INDEX(Clay_Brands!$A$2:$FZ$601,560,Sync!$D$5)&amp;"","")&lt;&gt;"",OR(LEFT(IFERROR(INDEX(Clay_Brands!$A$2:$FZ$601,560,Sync!$D$5)&amp;"",""),6)&lt;&gt;"SAMPLE",Config!$B$19="Y")),IFERROR(N(INDEX(Clay_Brands!$A$2:$FZ$601,560,Sync!$D$11)),0),"")</f>
        <v/>
      </c>
      <c r="C4011" s="23" t="str">
        <f aca="false">IF(B4011="","","brand")</f>
        <v/>
      </c>
      <c r="D4011" s="23" t="str">
        <f aca="false">IF(B4011="","",IFERROR(INDEX(Brand_Log!$DV$2:$DV$201,MATCH(IFERROR(INDEX(Clay_Brands!$A$2:$FZ$601,560,Sync!$D$5)&amp;"",""),Brand_Log!$A$2:$A$201,0))&amp;"",IFERROR(INDEX(Clay_Brands!$A$2:$FZ$601,560,Sync!$D$5)&amp;"","")&amp;""))</f>
        <v/>
      </c>
      <c r="E4011" s="23" t="str">
        <f aca="false">IF(B4011="","",IFERROR(INDEX(Clay_Brands!$A$2:$FZ$601,560,Sync!$D$6)&amp;"",""))</f>
        <v/>
      </c>
      <c r="F4011" s="23" t="str">
        <f aca="false">IF(B4011="","","outreach_sent")</f>
        <v/>
      </c>
      <c r="G4011" s="23" t="str">
        <f aca="false">IF(B4011="","","")</f>
        <v/>
      </c>
      <c r="H4011" s="23" t="str">
        <f aca="false">IF(B4011="","","")</f>
        <v/>
      </c>
      <c r="I4011" s="23" t="str">
        <f aca="false">IF(B4011="","","")</f>
        <v/>
      </c>
      <c r="J4011" s="23" t="str">
        <f aca="false">IF(B4011="","","touch_1; "&amp;IFERROR(INDEX(Clay_Brands!$A$2:$FZ$601,560,Sync!$D$10)&amp;"","")&amp;"; "&amp;IFERROR(INDEX(Clay_Brands!$A$2:$FZ$601,560,Sync!$D$9)&amp;"",""))</f>
        <v/>
      </c>
      <c r="K4011" s="32" t="s">
        <v>1366</v>
      </c>
    </row>
    <row r="4012" customFormat="false" ht="15" hidden="false" customHeight="false" outlineLevel="0" collapsed="false">
      <c r="A4012" s="23" t="str">
        <f aca="false">IF(B4012="","",B4012+(15*1000+561)/10000000)</f>
        <v/>
      </c>
      <c r="B4012" s="35" t="str">
        <f aca="false">IF(AND(IFERROR(N(INDEX(Clay_Brands!$A$2:$FZ$601,561,Sync!$D$11)),0)&gt;0,IFERROR(INDEX(Clay_Brands!$A$2:$FZ$601,561,Sync!$D$5)&amp;"","")&lt;&gt;"",OR(LEFT(IFERROR(INDEX(Clay_Brands!$A$2:$FZ$601,561,Sync!$D$5)&amp;"",""),6)&lt;&gt;"SAMPLE",Config!$B$19="Y")),IFERROR(N(INDEX(Clay_Brands!$A$2:$FZ$601,561,Sync!$D$11)),0),"")</f>
        <v/>
      </c>
      <c r="C4012" s="23" t="str">
        <f aca="false">IF(B4012="","","brand")</f>
        <v/>
      </c>
      <c r="D4012" s="23" t="str">
        <f aca="false">IF(B4012="","",IFERROR(INDEX(Brand_Log!$DV$2:$DV$201,MATCH(IFERROR(INDEX(Clay_Brands!$A$2:$FZ$601,561,Sync!$D$5)&amp;"",""),Brand_Log!$A$2:$A$201,0))&amp;"",IFERROR(INDEX(Clay_Brands!$A$2:$FZ$601,561,Sync!$D$5)&amp;"","")&amp;""))</f>
        <v/>
      </c>
      <c r="E4012" s="23" t="str">
        <f aca="false">IF(B4012="","",IFERROR(INDEX(Clay_Brands!$A$2:$FZ$601,561,Sync!$D$6)&amp;"",""))</f>
        <v/>
      </c>
      <c r="F4012" s="23" t="str">
        <f aca="false">IF(B4012="","","outreach_sent")</f>
        <v/>
      </c>
      <c r="G4012" s="23" t="str">
        <f aca="false">IF(B4012="","","")</f>
        <v/>
      </c>
      <c r="H4012" s="23" t="str">
        <f aca="false">IF(B4012="","","")</f>
        <v/>
      </c>
      <c r="I4012" s="23" t="str">
        <f aca="false">IF(B4012="","","")</f>
        <v/>
      </c>
      <c r="J4012" s="23" t="str">
        <f aca="false">IF(B4012="","","touch_1; "&amp;IFERROR(INDEX(Clay_Brands!$A$2:$FZ$601,561,Sync!$D$10)&amp;"","")&amp;"; "&amp;IFERROR(INDEX(Clay_Brands!$A$2:$FZ$601,561,Sync!$D$9)&amp;"",""))</f>
        <v/>
      </c>
      <c r="K4012" s="32" t="s">
        <v>1366</v>
      </c>
    </row>
    <row r="4013" customFormat="false" ht="15" hidden="false" customHeight="false" outlineLevel="0" collapsed="false">
      <c r="A4013" s="23" t="str">
        <f aca="false">IF(B4013="","",B4013+(15*1000+562)/10000000)</f>
        <v/>
      </c>
      <c r="B4013" s="35" t="str">
        <f aca="false">IF(AND(IFERROR(N(INDEX(Clay_Brands!$A$2:$FZ$601,562,Sync!$D$11)),0)&gt;0,IFERROR(INDEX(Clay_Brands!$A$2:$FZ$601,562,Sync!$D$5)&amp;"","")&lt;&gt;"",OR(LEFT(IFERROR(INDEX(Clay_Brands!$A$2:$FZ$601,562,Sync!$D$5)&amp;"",""),6)&lt;&gt;"SAMPLE",Config!$B$19="Y")),IFERROR(N(INDEX(Clay_Brands!$A$2:$FZ$601,562,Sync!$D$11)),0),"")</f>
        <v/>
      </c>
      <c r="C4013" s="23" t="str">
        <f aca="false">IF(B4013="","","brand")</f>
        <v/>
      </c>
      <c r="D4013" s="23" t="str">
        <f aca="false">IF(B4013="","",IFERROR(INDEX(Brand_Log!$DV$2:$DV$201,MATCH(IFERROR(INDEX(Clay_Brands!$A$2:$FZ$601,562,Sync!$D$5)&amp;"",""),Brand_Log!$A$2:$A$201,0))&amp;"",IFERROR(INDEX(Clay_Brands!$A$2:$FZ$601,562,Sync!$D$5)&amp;"","")&amp;""))</f>
        <v/>
      </c>
      <c r="E4013" s="23" t="str">
        <f aca="false">IF(B4013="","",IFERROR(INDEX(Clay_Brands!$A$2:$FZ$601,562,Sync!$D$6)&amp;"",""))</f>
        <v/>
      </c>
      <c r="F4013" s="23" t="str">
        <f aca="false">IF(B4013="","","outreach_sent")</f>
        <v/>
      </c>
      <c r="G4013" s="23" t="str">
        <f aca="false">IF(B4013="","","")</f>
        <v/>
      </c>
      <c r="H4013" s="23" t="str">
        <f aca="false">IF(B4013="","","")</f>
        <v/>
      </c>
      <c r="I4013" s="23" t="str">
        <f aca="false">IF(B4013="","","")</f>
        <v/>
      </c>
      <c r="J4013" s="23" t="str">
        <f aca="false">IF(B4013="","","touch_1; "&amp;IFERROR(INDEX(Clay_Brands!$A$2:$FZ$601,562,Sync!$D$10)&amp;"","")&amp;"; "&amp;IFERROR(INDEX(Clay_Brands!$A$2:$FZ$601,562,Sync!$D$9)&amp;"",""))</f>
        <v/>
      </c>
      <c r="K4013" s="32" t="s">
        <v>1366</v>
      </c>
    </row>
    <row r="4014" customFormat="false" ht="15" hidden="false" customHeight="false" outlineLevel="0" collapsed="false">
      <c r="A4014" s="23" t="str">
        <f aca="false">IF(B4014="","",B4014+(15*1000+563)/10000000)</f>
        <v/>
      </c>
      <c r="B4014" s="35" t="str">
        <f aca="false">IF(AND(IFERROR(N(INDEX(Clay_Brands!$A$2:$FZ$601,563,Sync!$D$11)),0)&gt;0,IFERROR(INDEX(Clay_Brands!$A$2:$FZ$601,563,Sync!$D$5)&amp;"","")&lt;&gt;"",OR(LEFT(IFERROR(INDEX(Clay_Brands!$A$2:$FZ$601,563,Sync!$D$5)&amp;"",""),6)&lt;&gt;"SAMPLE",Config!$B$19="Y")),IFERROR(N(INDEX(Clay_Brands!$A$2:$FZ$601,563,Sync!$D$11)),0),"")</f>
        <v/>
      </c>
      <c r="C4014" s="23" t="str">
        <f aca="false">IF(B4014="","","brand")</f>
        <v/>
      </c>
      <c r="D4014" s="23" t="str">
        <f aca="false">IF(B4014="","",IFERROR(INDEX(Brand_Log!$DV$2:$DV$201,MATCH(IFERROR(INDEX(Clay_Brands!$A$2:$FZ$601,563,Sync!$D$5)&amp;"",""),Brand_Log!$A$2:$A$201,0))&amp;"",IFERROR(INDEX(Clay_Brands!$A$2:$FZ$601,563,Sync!$D$5)&amp;"","")&amp;""))</f>
        <v/>
      </c>
      <c r="E4014" s="23" t="str">
        <f aca="false">IF(B4014="","",IFERROR(INDEX(Clay_Brands!$A$2:$FZ$601,563,Sync!$D$6)&amp;"",""))</f>
        <v/>
      </c>
      <c r="F4014" s="23" t="str">
        <f aca="false">IF(B4014="","","outreach_sent")</f>
        <v/>
      </c>
      <c r="G4014" s="23" t="str">
        <f aca="false">IF(B4014="","","")</f>
        <v/>
      </c>
      <c r="H4014" s="23" t="str">
        <f aca="false">IF(B4014="","","")</f>
        <v/>
      </c>
      <c r="I4014" s="23" t="str">
        <f aca="false">IF(B4014="","","")</f>
        <v/>
      </c>
      <c r="J4014" s="23" t="str">
        <f aca="false">IF(B4014="","","touch_1; "&amp;IFERROR(INDEX(Clay_Brands!$A$2:$FZ$601,563,Sync!$D$10)&amp;"","")&amp;"; "&amp;IFERROR(INDEX(Clay_Brands!$A$2:$FZ$601,563,Sync!$D$9)&amp;"",""))</f>
        <v/>
      </c>
      <c r="K4014" s="32" t="s">
        <v>1366</v>
      </c>
    </row>
    <row r="4015" customFormat="false" ht="15" hidden="false" customHeight="false" outlineLevel="0" collapsed="false">
      <c r="A4015" s="23" t="str">
        <f aca="false">IF(B4015="","",B4015+(15*1000+564)/10000000)</f>
        <v/>
      </c>
      <c r="B4015" s="35" t="str">
        <f aca="false">IF(AND(IFERROR(N(INDEX(Clay_Brands!$A$2:$FZ$601,564,Sync!$D$11)),0)&gt;0,IFERROR(INDEX(Clay_Brands!$A$2:$FZ$601,564,Sync!$D$5)&amp;"","")&lt;&gt;"",OR(LEFT(IFERROR(INDEX(Clay_Brands!$A$2:$FZ$601,564,Sync!$D$5)&amp;"",""),6)&lt;&gt;"SAMPLE",Config!$B$19="Y")),IFERROR(N(INDEX(Clay_Brands!$A$2:$FZ$601,564,Sync!$D$11)),0),"")</f>
        <v/>
      </c>
      <c r="C4015" s="23" t="str">
        <f aca="false">IF(B4015="","","brand")</f>
        <v/>
      </c>
      <c r="D4015" s="23" t="str">
        <f aca="false">IF(B4015="","",IFERROR(INDEX(Brand_Log!$DV$2:$DV$201,MATCH(IFERROR(INDEX(Clay_Brands!$A$2:$FZ$601,564,Sync!$D$5)&amp;"",""),Brand_Log!$A$2:$A$201,0))&amp;"",IFERROR(INDEX(Clay_Brands!$A$2:$FZ$601,564,Sync!$D$5)&amp;"","")&amp;""))</f>
        <v/>
      </c>
      <c r="E4015" s="23" t="str">
        <f aca="false">IF(B4015="","",IFERROR(INDEX(Clay_Brands!$A$2:$FZ$601,564,Sync!$D$6)&amp;"",""))</f>
        <v/>
      </c>
      <c r="F4015" s="23" t="str">
        <f aca="false">IF(B4015="","","outreach_sent")</f>
        <v/>
      </c>
      <c r="G4015" s="23" t="str">
        <f aca="false">IF(B4015="","","")</f>
        <v/>
      </c>
      <c r="H4015" s="23" t="str">
        <f aca="false">IF(B4015="","","")</f>
        <v/>
      </c>
      <c r="I4015" s="23" t="str">
        <f aca="false">IF(B4015="","","")</f>
        <v/>
      </c>
      <c r="J4015" s="23" t="str">
        <f aca="false">IF(B4015="","","touch_1; "&amp;IFERROR(INDEX(Clay_Brands!$A$2:$FZ$601,564,Sync!$D$10)&amp;"","")&amp;"; "&amp;IFERROR(INDEX(Clay_Brands!$A$2:$FZ$601,564,Sync!$D$9)&amp;"",""))</f>
        <v/>
      </c>
      <c r="K4015" s="32" t="s">
        <v>1366</v>
      </c>
    </row>
    <row r="4016" customFormat="false" ht="15" hidden="false" customHeight="false" outlineLevel="0" collapsed="false">
      <c r="A4016" s="23" t="str">
        <f aca="false">IF(B4016="","",B4016+(15*1000+565)/10000000)</f>
        <v/>
      </c>
      <c r="B4016" s="35" t="str">
        <f aca="false">IF(AND(IFERROR(N(INDEX(Clay_Brands!$A$2:$FZ$601,565,Sync!$D$11)),0)&gt;0,IFERROR(INDEX(Clay_Brands!$A$2:$FZ$601,565,Sync!$D$5)&amp;"","")&lt;&gt;"",OR(LEFT(IFERROR(INDEX(Clay_Brands!$A$2:$FZ$601,565,Sync!$D$5)&amp;"",""),6)&lt;&gt;"SAMPLE",Config!$B$19="Y")),IFERROR(N(INDEX(Clay_Brands!$A$2:$FZ$601,565,Sync!$D$11)),0),"")</f>
        <v/>
      </c>
      <c r="C4016" s="23" t="str">
        <f aca="false">IF(B4016="","","brand")</f>
        <v/>
      </c>
      <c r="D4016" s="23" t="str">
        <f aca="false">IF(B4016="","",IFERROR(INDEX(Brand_Log!$DV$2:$DV$201,MATCH(IFERROR(INDEX(Clay_Brands!$A$2:$FZ$601,565,Sync!$D$5)&amp;"",""),Brand_Log!$A$2:$A$201,0))&amp;"",IFERROR(INDEX(Clay_Brands!$A$2:$FZ$601,565,Sync!$D$5)&amp;"","")&amp;""))</f>
        <v/>
      </c>
      <c r="E4016" s="23" t="str">
        <f aca="false">IF(B4016="","",IFERROR(INDEX(Clay_Brands!$A$2:$FZ$601,565,Sync!$D$6)&amp;"",""))</f>
        <v/>
      </c>
      <c r="F4016" s="23" t="str">
        <f aca="false">IF(B4016="","","outreach_sent")</f>
        <v/>
      </c>
      <c r="G4016" s="23" t="str">
        <f aca="false">IF(B4016="","","")</f>
        <v/>
      </c>
      <c r="H4016" s="23" t="str">
        <f aca="false">IF(B4016="","","")</f>
        <v/>
      </c>
      <c r="I4016" s="23" t="str">
        <f aca="false">IF(B4016="","","")</f>
        <v/>
      </c>
      <c r="J4016" s="23" t="str">
        <f aca="false">IF(B4016="","","touch_1; "&amp;IFERROR(INDEX(Clay_Brands!$A$2:$FZ$601,565,Sync!$D$10)&amp;"","")&amp;"; "&amp;IFERROR(INDEX(Clay_Brands!$A$2:$FZ$601,565,Sync!$D$9)&amp;"",""))</f>
        <v/>
      </c>
      <c r="K4016" s="32" t="s">
        <v>1366</v>
      </c>
    </row>
    <row r="4017" customFormat="false" ht="15" hidden="false" customHeight="false" outlineLevel="0" collapsed="false">
      <c r="A4017" s="23" t="str">
        <f aca="false">IF(B4017="","",B4017+(15*1000+566)/10000000)</f>
        <v/>
      </c>
      <c r="B4017" s="35" t="str">
        <f aca="false">IF(AND(IFERROR(N(INDEX(Clay_Brands!$A$2:$FZ$601,566,Sync!$D$11)),0)&gt;0,IFERROR(INDEX(Clay_Brands!$A$2:$FZ$601,566,Sync!$D$5)&amp;"","")&lt;&gt;"",OR(LEFT(IFERROR(INDEX(Clay_Brands!$A$2:$FZ$601,566,Sync!$D$5)&amp;"",""),6)&lt;&gt;"SAMPLE",Config!$B$19="Y")),IFERROR(N(INDEX(Clay_Brands!$A$2:$FZ$601,566,Sync!$D$11)),0),"")</f>
        <v/>
      </c>
      <c r="C4017" s="23" t="str">
        <f aca="false">IF(B4017="","","brand")</f>
        <v/>
      </c>
      <c r="D4017" s="23" t="str">
        <f aca="false">IF(B4017="","",IFERROR(INDEX(Brand_Log!$DV$2:$DV$201,MATCH(IFERROR(INDEX(Clay_Brands!$A$2:$FZ$601,566,Sync!$D$5)&amp;"",""),Brand_Log!$A$2:$A$201,0))&amp;"",IFERROR(INDEX(Clay_Brands!$A$2:$FZ$601,566,Sync!$D$5)&amp;"","")&amp;""))</f>
        <v/>
      </c>
      <c r="E4017" s="23" t="str">
        <f aca="false">IF(B4017="","",IFERROR(INDEX(Clay_Brands!$A$2:$FZ$601,566,Sync!$D$6)&amp;"",""))</f>
        <v/>
      </c>
      <c r="F4017" s="23" t="str">
        <f aca="false">IF(B4017="","","outreach_sent")</f>
        <v/>
      </c>
      <c r="G4017" s="23" t="str">
        <f aca="false">IF(B4017="","","")</f>
        <v/>
      </c>
      <c r="H4017" s="23" t="str">
        <f aca="false">IF(B4017="","","")</f>
        <v/>
      </c>
      <c r="I4017" s="23" t="str">
        <f aca="false">IF(B4017="","","")</f>
        <v/>
      </c>
      <c r="J4017" s="23" t="str">
        <f aca="false">IF(B4017="","","touch_1; "&amp;IFERROR(INDEX(Clay_Brands!$A$2:$FZ$601,566,Sync!$D$10)&amp;"","")&amp;"; "&amp;IFERROR(INDEX(Clay_Brands!$A$2:$FZ$601,566,Sync!$D$9)&amp;"",""))</f>
        <v/>
      </c>
      <c r="K4017" s="32" t="s">
        <v>1366</v>
      </c>
    </row>
    <row r="4018" customFormat="false" ht="15" hidden="false" customHeight="false" outlineLevel="0" collapsed="false">
      <c r="A4018" s="23" t="str">
        <f aca="false">IF(B4018="","",B4018+(15*1000+567)/10000000)</f>
        <v/>
      </c>
      <c r="B4018" s="35" t="str">
        <f aca="false">IF(AND(IFERROR(N(INDEX(Clay_Brands!$A$2:$FZ$601,567,Sync!$D$11)),0)&gt;0,IFERROR(INDEX(Clay_Brands!$A$2:$FZ$601,567,Sync!$D$5)&amp;"","")&lt;&gt;"",OR(LEFT(IFERROR(INDEX(Clay_Brands!$A$2:$FZ$601,567,Sync!$D$5)&amp;"",""),6)&lt;&gt;"SAMPLE",Config!$B$19="Y")),IFERROR(N(INDEX(Clay_Brands!$A$2:$FZ$601,567,Sync!$D$11)),0),"")</f>
        <v/>
      </c>
      <c r="C4018" s="23" t="str">
        <f aca="false">IF(B4018="","","brand")</f>
        <v/>
      </c>
      <c r="D4018" s="23" t="str">
        <f aca="false">IF(B4018="","",IFERROR(INDEX(Brand_Log!$DV$2:$DV$201,MATCH(IFERROR(INDEX(Clay_Brands!$A$2:$FZ$601,567,Sync!$D$5)&amp;"",""),Brand_Log!$A$2:$A$201,0))&amp;"",IFERROR(INDEX(Clay_Brands!$A$2:$FZ$601,567,Sync!$D$5)&amp;"","")&amp;""))</f>
        <v/>
      </c>
      <c r="E4018" s="23" t="str">
        <f aca="false">IF(B4018="","",IFERROR(INDEX(Clay_Brands!$A$2:$FZ$601,567,Sync!$D$6)&amp;"",""))</f>
        <v/>
      </c>
      <c r="F4018" s="23" t="str">
        <f aca="false">IF(B4018="","","outreach_sent")</f>
        <v/>
      </c>
      <c r="G4018" s="23" t="str">
        <f aca="false">IF(B4018="","","")</f>
        <v/>
      </c>
      <c r="H4018" s="23" t="str">
        <f aca="false">IF(B4018="","","")</f>
        <v/>
      </c>
      <c r="I4018" s="23" t="str">
        <f aca="false">IF(B4018="","","")</f>
        <v/>
      </c>
      <c r="J4018" s="23" t="str">
        <f aca="false">IF(B4018="","","touch_1; "&amp;IFERROR(INDEX(Clay_Brands!$A$2:$FZ$601,567,Sync!$D$10)&amp;"","")&amp;"; "&amp;IFERROR(INDEX(Clay_Brands!$A$2:$FZ$601,567,Sync!$D$9)&amp;"",""))</f>
        <v/>
      </c>
      <c r="K4018" s="32" t="s">
        <v>1366</v>
      </c>
    </row>
    <row r="4019" customFormat="false" ht="15" hidden="false" customHeight="false" outlineLevel="0" collapsed="false">
      <c r="A4019" s="23" t="str">
        <f aca="false">IF(B4019="","",B4019+(15*1000+568)/10000000)</f>
        <v/>
      </c>
      <c r="B4019" s="35" t="str">
        <f aca="false">IF(AND(IFERROR(N(INDEX(Clay_Brands!$A$2:$FZ$601,568,Sync!$D$11)),0)&gt;0,IFERROR(INDEX(Clay_Brands!$A$2:$FZ$601,568,Sync!$D$5)&amp;"","")&lt;&gt;"",OR(LEFT(IFERROR(INDEX(Clay_Brands!$A$2:$FZ$601,568,Sync!$D$5)&amp;"",""),6)&lt;&gt;"SAMPLE",Config!$B$19="Y")),IFERROR(N(INDEX(Clay_Brands!$A$2:$FZ$601,568,Sync!$D$11)),0),"")</f>
        <v/>
      </c>
      <c r="C4019" s="23" t="str">
        <f aca="false">IF(B4019="","","brand")</f>
        <v/>
      </c>
      <c r="D4019" s="23" t="str">
        <f aca="false">IF(B4019="","",IFERROR(INDEX(Brand_Log!$DV$2:$DV$201,MATCH(IFERROR(INDEX(Clay_Brands!$A$2:$FZ$601,568,Sync!$D$5)&amp;"",""),Brand_Log!$A$2:$A$201,0))&amp;"",IFERROR(INDEX(Clay_Brands!$A$2:$FZ$601,568,Sync!$D$5)&amp;"","")&amp;""))</f>
        <v/>
      </c>
      <c r="E4019" s="23" t="str">
        <f aca="false">IF(B4019="","",IFERROR(INDEX(Clay_Brands!$A$2:$FZ$601,568,Sync!$D$6)&amp;"",""))</f>
        <v/>
      </c>
      <c r="F4019" s="23" t="str">
        <f aca="false">IF(B4019="","","outreach_sent")</f>
        <v/>
      </c>
      <c r="G4019" s="23" t="str">
        <f aca="false">IF(B4019="","","")</f>
        <v/>
      </c>
      <c r="H4019" s="23" t="str">
        <f aca="false">IF(B4019="","","")</f>
        <v/>
      </c>
      <c r="I4019" s="23" t="str">
        <f aca="false">IF(B4019="","","")</f>
        <v/>
      </c>
      <c r="J4019" s="23" t="str">
        <f aca="false">IF(B4019="","","touch_1; "&amp;IFERROR(INDEX(Clay_Brands!$A$2:$FZ$601,568,Sync!$D$10)&amp;"","")&amp;"; "&amp;IFERROR(INDEX(Clay_Brands!$A$2:$FZ$601,568,Sync!$D$9)&amp;"",""))</f>
        <v/>
      </c>
      <c r="K4019" s="32" t="s">
        <v>1366</v>
      </c>
    </row>
    <row r="4020" customFormat="false" ht="15" hidden="false" customHeight="false" outlineLevel="0" collapsed="false">
      <c r="A4020" s="23" t="str">
        <f aca="false">IF(B4020="","",B4020+(15*1000+569)/10000000)</f>
        <v/>
      </c>
      <c r="B4020" s="35" t="str">
        <f aca="false">IF(AND(IFERROR(N(INDEX(Clay_Brands!$A$2:$FZ$601,569,Sync!$D$11)),0)&gt;0,IFERROR(INDEX(Clay_Brands!$A$2:$FZ$601,569,Sync!$D$5)&amp;"","")&lt;&gt;"",OR(LEFT(IFERROR(INDEX(Clay_Brands!$A$2:$FZ$601,569,Sync!$D$5)&amp;"",""),6)&lt;&gt;"SAMPLE",Config!$B$19="Y")),IFERROR(N(INDEX(Clay_Brands!$A$2:$FZ$601,569,Sync!$D$11)),0),"")</f>
        <v/>
      </c>
      <c r="C4020" s="23" t="str">
        <f aca="false">IF(B4020="","","brand")</f>
        <v/>
      </c>
      <c r="D4020" s="23" t="str">
        <f aca="false">IF(B4020="","",IFERROR(INDEX(Brand_Log!$DV$2:$DV$201,MATCH(IFERROR(INDEX(Clay_Brands!$A$2:$FZ$601,569,Sync!$D$5)&amp;"",""),Brand_Log!$A$2:$A$201,0))&amp;"",IFERROR(INDEX(Clay_Brands!$A$2:$FZ$601,569,Sync!$D$5)&amp;"","")&amp;""))</f>
        <v/>
      </c>
      <c r="E4020" s="23" t="str">
        <f aca="false">IF(B4020="","",IFERROR(INDEX(Clay_Brands!$A$2:$FZ$601,569,Sync!$D$6)&amp;"",""))</f>
        <v/>
      </c>
      <c r="F4020" s="23" t="str">
        <f aca="false">IF(B4020="","","outreach_sent")</f>
        <v/>
      </c>
      <c r="G4020" s="23" t="str">
        <f aca="false">IF(B4020="","","")</f>
        <v/>
      </c>
      <c r="H4020" s="23" t="str">
        <f aca="false">IF(B4020="","","")</f>
        <v/>
      </c>
      <c r="I4020" s="23" t="str">
        <f aca="false">IF(B4020="","","")</f>
        <v/>
      </c>
      <c r="J4020" s="23" t="str">
        <f aca="false">IF(B4020="","","touch_1; "&amp;IFERROR(INDEX(Clay_Brands!$A$2:$FZ$601,569,Sync!$D$10)&amp;"","")&amp;"; "&amp;IFERROR(INDEX(Clay_Brands!$A$2:$FZ$601,569,Sync!$D$9)&amp;"",""))</f>
        <v/>
      </c>
      <c r="K4020" s="32" t="s">
        <v>1366</v>
      </c>
    </row>
    <row r="4021" customFormat="false" ht="15" hidden="false" customHeight="false" outlineLevel="0" collapsed="false">
      <c r="A4021" s="23" t="str">
        <f aca="false">IF(B4021="","",B4021+(15*1000+570)/10000000)</f>
        <v/>
      </c>
      <c r="B4021" s="35" t="str">
        <f aca="false">IF(AND(IFERROR(N(INDEX(Clay_Brands!$A$2:$FZ$601,570,Sync!$D$11)),0)&gt;0,IFERROR(INDEX(Clay_Brands!$A$2:$FZ$601,570,Sync!$D$5)&amp;"","")&lt;&gt;"",OR(LEFT(IFERROR(INDEX(Clay_Brands!$A$2:$FZ$601,570,Sync!$D$5)&amp;"",""),6)&lt;&gt;"SAMPLE",Config!$B$19="Y")),IFERROR(N(INDEX(Clay_Brands!$A$2:$FZ$601,570,Sync!$D$11)),0),"")</f>
        <v/>
      </c>
      <c r="C4021" s="23" t="str">
        <f aca="false">IF(B4021="","","brand")</f>
        <v/>
      </c>
      <c r="D4021" s="23" t="str">
        <f aca="false">IF(B4021="","",IFERROR(INDEX(Brand_Log!$DV$2:$DV$201,MATCH(IFERROR(INDEX(Clay_Brands!$A$2:$FZ$601,570,Sync!$D$5)&amp;"",""),Brand_Log!$A$2:$A$201,0))&amp;"",IFERROR(INDEX(Clay_Brands!$A$2:$FZ$601,570,Sync!$D$5)&amp;"","")&amp;""))</f>
        <v/>
      </c>
      <c r="E4021" s="23" t="str">
        <f aca="false">IF(B4021="","",IFERROR(INDEX(Clay_Brands!$A$2:$FZ$601,570,Sync!$D$6)&amp;"",""))</f>
        <v/>
      </c>
      <c r="F4021" s="23" t="str">
        <f aca="false">IF(B4021="","","outreach_sent")</f>
        <v/>
      </c>
      <c r="G4021" s="23" t="str">
        <f aca="false">IF(B4021="","","")</f>
        <v/>
      </c>
      <c r="H4021" s="23" t="str">
        <f aca="false">IF(B4021="","","")</f>
        <v/>
      </c>
      <c r="I4021" s="23" t="str">
        <f aca="false">IF(B4021="","","")</f>
        <v/>
      </c>
      <c r="J4021" s="23" t="str">
        <f aca="false">IF(B4021="","","touch_1; "&amp;IFERROR(INDEX(Clay_Brands!$A$2:$FZ$601,570,Sync!$D$10)&amp;"","")&amp;"; "&amp;IFERROR(INDEX(Clay_Brands!$A$2:$FZ$601,570,Sync!$D$9)&amp;"",""))</f>
        <v/>
      </c>
      <c r="K4021" s="32" t="s">
        <v>1366</v>
      </c>
    </row>
    <row r="4022" customFormat="false" ht="15" hidden="false" customHeight="false" outlineLevel="0" collapsed="false">
      <c r="A4022" s="23" t="str">
        <f aca="false">IF(B4022="","",B4022+(15*1000+571)/10000000)</f>
        <v/>
      </c>
      <c r="B4022" s="35" t="str">
        <f aca="false">IF(AND(IFERROR(N(INDEX(Clay_Brands!$A$2:$FZ$601,571,Sync!$D$11)),0)&gt;0,IFERROR(INDEX(Clay_Brands!$A$2:$FZ$601,571,Sync!$D$5)&amp;"","")&lt;&gt;"",OR(LEFT(IFERROR(INDEX(Clay_Brands!$A$2:$FZ$601,571,Sync!$D$5)&amp;"",""),6)&lt;&gt;"SAMPLE",Config!$B$19="Y")),IFERROR(N(INDEX(Clay_Brands!$A$2:$FZ$601,571,Sync!$D$11)),0),"")</f>
        <v/>
      </c>
      <c r="C4022" s="23" t="str">
        <f aca="false">IF(B4022="","","brand")</f>
        <v/>
      </c>
      <c r="D4022" s="23" t="str">
        <f aca="false">IF(B4022="","",IFERROR(INDEX(Brand_Log!$DV$2:$DV$201,MATCH(IFERROR(INDEX(Clay_Brands!$A$2:$FZ$601,571,Sync!$D$5)&amp;"",""),Brand_Log!$A$2:$A$201,0))&amp;"",IFERROR(INDEX(Clay_Brands!$A$2:$FZ$601,571,Sync!$D$5)&amp;"","")&amp;""))</f>
        <v/>
      </c>
      <c r="E4022" s="23" t="str">
        <f aca="false">IF(B4022="","",IFERROR(INDEX(Clay_Brands!$A$2:$FZ$601,571,Sync!$D$6)&amp;"",""))</f>
        <v/>
      </c>
      <c r="F4022" s="23" t="str">
        <f aca="false">IF(B4022="","","outreach_sent")</f>
        <v/>
      </c>
      <c r="G4022" s="23" t="str">
        <f aca="false">IF(B4022="","","")</f>
        <v/>
      </c>
      <c r="H4022" s="23" t="str">
        <f aca="false">IF(B4022="","","")</f>
        <v/>
      </c>
      <c r="I4022" s="23" t="str">
        <f aca="false">IF(B4022="","","")</f>
        <v/>
      </c>
      <c r="J4022" s="23" t="str">
        <f aca="false">IF(B4022="","","touch_1; "&amp;IFERROR(INDEX(Clay_Brands!$A$2:$FZ$601,571,Sync!$D$10)&amp;"","")&amp;"; "&amp;IFERROR(INDEX(Clay_Brands!$A$2:$FZ$601,571,Sync!$D$9)&amp;"",""))</f>
        <v/>
      </c>
      <c r="K4022" s="32" t="s">
        <v>1366</v>
      </c>
    </row>
    <row r="4023" customFormat="false" ht="15" hidden="false" customHeight="false" outlineLevel="0" collapsed="false">
      <c r="A4023" s="23" t="str">
        <f aca="false">IF(B4023="","",B4023+(15*1000+572)/10000000)</f>
        <v/>
      </c>
      <c r="B4023" s="35" t="str">
        <f aca="false">IF(AND(IFERROR(N(INDEX(Clay_Brands!$A$2:$FZ$601,572,Sync!$D$11)),0)&gt;0,IFERROR(INDEX(Clay_Brands!$A$2:$FZ$601,572,Sync!$D$5)&amp;"","")&lt;&gt;"",OR(LEFT(IFERROR(INDEX(Clay_Brands!$A$2:$FZ$601,572,Sync!$D$5)&amp;"",""),6)&lt;&gt;"SAMPLE",Config!$B$19="Y")),IFERROR(N(INDEX(Clay_Brands!$A$2:$FZ$601,572,Sync!$D$11)),0),"")</f>
        <v/>
      </c>
      <c r="C4023" s="23" t="str">
        <f aca="false">IF(B4023="","","brand")</f>
        <v/>
      </c>
      <c r="D4023" s="23" t="str">
        <f aca="false">IF(B4023="","",IFERROR(INDEX(Brand_Log!$DV$2:$DV$201,MATCH(IFERROR(INDEX(Clay_Brands!$A$2:$FZ$601,572,Sync!$D$5)&amp;"",""),Brand_Log!$A$2:$A$201,0))&amp;"",IFERROR(INDEX(Clay_Brands!$A$2:$FZ$601,572,Sync!$D$5)&amp;"","")&amp;""))</f>
        <v/>
      </c>
      <c r="E4023" s="23" t="str">
        <f aca="false">IF(B4023="","",IFERROR(INDEX(Clay_Brands!$A$2:$FZ$601,572,Sync!$D$6)&amp;"",""))</f>
        <v/>
      </c>
      <c r="F4023" s="23" t="str">
        <f aca="false">IF(B4023="","","outreach_sent")</f>
        <v/>
      </c>
      <c r="G4023" s="23" t="str">
        <f aca="false">IF(B4023="","","")</f>
        <v/>
      </c>
      <c r="H4023" s="23" t="str">
        <f aca="false">IF(B4023="","","")</f>
        <v/>
      </c>
      <c r="I4023" s="23" t="str">
        <f aca="false">IF(B4023="","","")</f>
        <v/>
      </c>
      <c r="J4023" s="23" t="str">
        <f aca="false">IF(B4023="","","touch_1; "&amp;IFERROR(INDEX(Clay_Brands!$A$2:$FZ$601,572,Sync!$D$10)&amp;"","")&amp;"; "&amp;IFERROR(INDEX(Clay_Brands!$A$2:$FZ$601,572,Sync!$D$9)&amp;"",""))</f>
        <v/>
      </c>
      <c r="K4023" s="32" t="s">
        <v>1366</v>
      </c>
    </row>
    <row r="4024" customFormat="false" ht="15" hidden="false" customHeight="false" outlineLevel="0" collapsed="false">
      <c r="A4024" s="23" t="str">
        <f aca="false">IF(B4024="","",B4024+(15*1000+573)/10000000)</f>
        <v/>
      </c>
      <c r="B4024" s="35" t="str">
        <f aca="false">IF(AND(IFERROR(N(INDEX(Clay_Brands!$A$2:$FZ$601,573,Sync!$D$11)),0)&gt;0,IFERROR(INDEX(Clay_Brands!$A$2:$FZ$601,573,Sync!$D$5)&amp;"","")&lt;&gt;"",OR(LEFT(IFERROR(INDEX(Clay_Brands!$A$2:$FZ$601,573,Sync!$D$5)&amp;"",""),6)&lt;&gt;"SAMPLE",Config!$B$19="Y")),IFERROR(N(INDEX(Clay_Brands!$A$2:$FZ$601,573,Sync!$D$11)),0),"")</f>
        <v/>
      </c>
      <c r="C4024" s="23" t="str">
        <f aca="false">IF(B4024="","","brand")</f>
        <v/>
      </c>
      <c r="D4024" s="23" t="str">
        <f aca="false">IF(B4024="","",IFERROR(INDEX(Brand_Log!$DV$2:$DV$201,MATCH(IFERROR(INDEX(Clay_Brands!$A$2:$FZ$601,573,Sync!$D$5)&amp;"",""),Brand_Log!$A$2:$A$201,0))&amp;"",IFERROR(INDEX(Clay_Brands!$A$2:$FZ$601,573,Sync!$D$5)&amp;"","")&amp;""))</f>
        <v/>
      </c>
      <c r="E4024" s="23" t="str">
        <f aca="false">IF(B4024="","",IFERROR(INDEX(Clay_Brands!$A$2:$FZ$601,573,Sync!$D$6)&amp;"",""))</f>
        <v/>
      </c>
      <c r="F4024" s="23" t="str">
        <f aca="false">IF(B4024="","","outreach_sent")</f>
        <v/>
      </c>
      <c r="G4024" s="23" t="str">
        <f aca="false">IF(B4024="","","")</f>
        <v/>
      </c>
      <c r="H4024" s="23" t="str">
        <f aca="false">IF(B4024="","","")</f>
        <v/>
      </c>
      <c r="I4024" s="23" t="str">
        <f aca="false">IF(B4024="","","")</f>
        <v/>
      </c>
      <c r="J4024" s="23" t="str">
        <f aca="false">IF(B4024="","","touch_1; "&amp;IFERROR(INDEX(Clay_Brands!$A$2:$FZ$601,573,Sync!$D$10)&amp;"","")&amp;"; "&amp;IFERROR(INDEX(Clay_Brands!$A$2:$FZ$601,573,Sync!$D$9)&amp;"",""))</f>
        <v/>
      </c>
      <c r="K4024" s="32" t="s">
        <v>1366</v>
      </c>
    </row>
    <row r="4025" customFormat="false" ht="15" hidden="false" customHeight="false" outlineLevel="0" collapsed="false">
      <c r="A4025" s="23" t="str">
        <f aca="false">IF(B4025="","",B4025+(15*1000+574)/10000000)</f>
        <v/>
      </c>
      <c r="B4025" s="35" t="str">
        <f aca="false">IF(AND(IFERROR(N(INDEX(Clay_Brands!$A$2:$FZ$601,574,Sync!$D$11)),0)&gt;0,IFERROR(INDEX(Clay_Brands!$A$2:$FZ$601,574,Sync!$D$5)&amp;"","")&lt;&gt;"",OR(LEFT(IFERROR(INDEX(Clay_Brands!$A$2:$FZ$601,574,Sync!$D$5)&amp;"",""),6)&lt;&gt;"SAMPLE",Config!$B$19="Y")),IFERROR(N(INDEX(Clay_Brands!$A$2:$FZ$601,574,Sync!$D$11)),0),"")</f>
        <v/>
      </c>
      <c r="C4025" s="23" t="str">
        <f aca="false">IF(B4025="","","brand")</f>
        <v/>
      </c>
      <c r="D4025" s="23" t="str">
        <f aca="false">IF(B4025="","",IFERROR(INDEX(Brand_Log!$DV$2:$DV$201,MATCH(IFERROR(INDEX(Clay_Brands!$A$2:$FZ$601,574,Sync!$D$5)&amp;"",""),Brand_Log!$A$2:$A$201,0))&amp;"",IFERROR(INDEX(Clay_Brands!$A$2:$FZ$601,574,Sync!$D$5)&amp;"","")&amp;""))</f>
        <v/>
      </c>
      <c r="E4025" s="23" t="str">
        <f aca="false">IF(B4025="","",IFERROR(INDEX(Clay_Brands!$A$2:$FZ$601,574,Sync!$D$6)&amp;"",""))</f>
        <v/>
      </c>
      <c r="F4025" s="23" t="str">
        <f aca="false">IF(B4025="","","outreach_sent")</f>
        <v/>
      </c>
      <c r="G4025" s="23" t="str">
        <f aca="false">IF(B4025="","","")</f>
        <v/>
      </c>
      <c r="H4025" s="23" t="str">
        <f aca="false">IF(B4025="","","")</f>
        <v/>
      </c>
      <c r="I4025" s="23" t="str">
        <f aca="false">IF(B4025="","","")</f>
        <v/>
      </c>
      <c r="J4025" s="23" t="str">
        <f aca="false">IF(B4025="","","touch_1; "&amp;IFERROR(INDEX(Clay_Brands!$A$2:$FZ$601,574,Sync!$D$10)&amp;"","")&amp;"; "&amp;IFERROR(INDEX(Clay_Brands!$A$2:$FZ$601,574,Sync!$D$9)&amp;"",""))</f>
        <v/>
      </c>
      <c r="K4025" s="32" t="s">
        <v>1366</v>
      </c>
    </row>
    <row r="4026" customFormat="false" ht="15" hidden="false" customHeight="false" outlineLevel="0" collapsed="false">
      <c r="A4026" s="23" t="str">
        <f aca="false">IF(B4026="","",B4026+(15*1000+575)/10000000)</f>
        <v/>
      </c>
      <c r="B4026" s="35" t="str">
        <f aca="false">IF(AND(IFERROR(N(INDEX(Clay_Brands!$A$2:$FZ$601,575,Sync!$D$11)),0)&gt;0,IFERROR(INDEX(Clay_Brands!$A$2:$FZ$601,575,Sync!$D$5)&amp;"","")&lt;&gt;"",OR(LEFT(IFERROR(INDEX(Clay_Brands!$A$2:$FZ$601,575,Sync!$D$5)&amp;"",""),6)&lt;&gt;"SAMPLE",Config!$B$19="Y")),IFERROR(N(INDEX(Clay_Brands!$A$2:$FZ$601,575,Sync!$D$11)),0),"")</f>
        <v/>
      </c>
      <c r="C4026" s="23" t="str">
        <f aca="false">IF(B4026="","","brand")</f>
        <v/>
      </c>
      <c r="D4026" s="23" t="str">
        <f aca="false">IF(B4026="","",IFERROR(INDEX(Brand_Log!$DV$2:$DV$201,MATCH(IFERROR(INDEX(Clay_Brands!$A$2:$FZ$601,575,Sync!$D$5)&amp;"",""),Brand_Log!$A$2:$A$201,0))&amp;"",IFERROR(INDEX(Clay_Brands!$A$2:$FZ$601,575,Sync!$D$5)&amp;"","")&amp;""))</f>
        <v/>
      </c>
      <c r="E4026" s="23" t="str">
        <f aca="false">IF(B4026="","",IFERROR(INDEX(Clay_Brands!$A$2:$FZ$601,575,Sync!$D$6)&amp;"",""))</f>
        <v/>
      </c>
      <c r="F4026" s="23" t="str">
        <f aca="false">IF(B4026="","","outreach_sent")</f>
        <v/>
      </c>
      <c r="G4026" s="23" t="str">
        <f aca="false">IF(B4026="","","")</f>
        <v/>
      </c>
      <c r="H4026" s="23" t="str">
        <f aca="false">IF(B4026="","","")</f>
        <v/>
      </c>
      <c r="I4026" s="23" t="str">
        <f aca="false">IF(B4026="","","")</f>
        <v/>
      </c>
      <c r="J4026" s="23" t="str">
        <f aca="false">IF(B4026="","","touch_1; "&amp;IFERROR(INDEX(Clay_Brands!$A$2:$FZ$601,575,Sync!$D$10)&amp;"","")&amp;"; "&amp;IFERROR(INDEX(Clay_Brands!$A$2:$FZ$601,575,Sync!$D$9)&amp;"",""))</f>
        <v/>
      </c>
      <c r="K4026" s="32" t="s">
        <v>1366</v>
      </c>
    </row>
    <row r="4027" customFormat="false" ht="15" hidden="false" customHeight="false" outlineLevel="0" collapsed="false">
      <c r="A4027" s="23" t="str">
        <f aca="false">IF(B4027="","",B4027+(15*1000+576)/10000000)</f>
        <v/>
      </c>
      <c r="B4027" s="35" t="str">
        <f aca="false">IF(AND(IFERROR(N(INDEX(Clay_Brands!$A$2:$FZ$601,576,Sync!$D$11)),0)&gt;0,IFERROR(INDEX(Clay_Brands!$A$2:$FZ$601,576,Sync!$D$5)&amp;"","")&lt;&gt;"",OR(LEFT(IFERROR(INDEX(Clay_Brands!$A$2:$FZ$601,576,Sync!$D$5)&amp;"",""),6)&lt;&gt;"SAMPLE",Config!$B$19="Y")),IFERROR(N(INDEX(Clay_Brands!$A$2:$FZ$601,576,Sync!$D$11)),0),"")</f>
        <v/>
      </c>
      <c r="C4027" s="23" t="str">
        <f aca="false">IF(B4027="","","brand")</f>
        <v/>
      </c>
      <c r="D4027" s="23" t="str">
        <f aca="false">IF(B4027="","",IFERROR(INDEX(Brand_Log!$DV$2:$DV$201,MATCH(IFERROR(INDEX(Clay_Brands!$A$2:$FZ$601,576,Sync!$D$5)&amp;"",""),Brand_Log!$A$2:$A$201,0))&amp;"",IFERROR(INDEX(Clay_Brands!$A$2:$FZ$601,576,Sync!$D$5)&amp;"","")&amp;""))</f>
        <v/>
      </c>
      <c r="E4027" s="23" t="str">
        <f aca="false">IF(B4027="","",IFERROR(INDEX(Clay_Brands!$A$2:$FZ$601,576,Sync!$D$6)&amp;"",""))</f>
        <v/>
      </c>
      <c r="F4027" s="23" t="str">
        <f aca="false">IF(B4027="","","outreach_sent")</f>
        <v/>
      </c>
      <c r="G4027" s="23" t="str">
        <f aca="false">IF(B4027="","","")</f>
        <v/>
      </c>
      <c r="H4027" s="23" t="str">
        <f aca="false">IF(B4027="","","")</f>
        <v/>
      </c>
      <c r="I4027" s="23" t="str">
        <f aca="false">IF(B4027="","","")</f>
        <v/>
      </c>
      <c r="J4027" s="23" t="str">
        <f aca="false">IF(B4027="","","touch_1; "&amp;IFERROR(INDEX(Clay_Brands!$A$2:$FZ$601,576,Sync!$D$10)&amp;"","")&amp;"; "&amp;IFERROR(INDEX(Clay_Brands!$A$2:$FZ$601,576,Sync!$D$9)&amp;"",""))</f>
        <v/>
      </c>
      <c r="K4027" s="32" t="s">
        <v>1366</v>
      </c>
    </row>
    <row r="4028" customFormat="false" ht="15" hidden="false" customHeight="false" outlineLevel="0" collapsed="false">
      <c r="A4028" s="23" t="str">
        <f aca="false">IF(B4028="","",B4028+(15*1000+577)/10000000)</f>
        <v/>
      </c>
      <c r="B4028" s="35" t="str">
        <f aca="false">IF(AND(IFERROR(N(INDEX(Clay_Brands!$A$2:$FZ$601,577,Sync!$D$11)),0)&gt;0,IFERROR(INDEX(Clay_Brands!$A$2:$FZ$601,577,Sync!$D$5)&amp;"","")&lt;&gt;"",OR(LEFT(IFERROR(INDEX(Clay_Brands!$A$2:$FZ$601,577,Sync!$D$5)&amp;"",""),6)&lt;&gt;"SAMPLE",Config!$B$19="Y")),IFERROR(N(INDEX(Clay_Brands!$A$2:$FZ$601,577,Sync!$D$11)),0),"")</f>
        <v/>
      </c>
      <c r="C4028" s="23" t="str">
        <f aca="false">IF(B4028="","","brand")</f>
        <v/>
      </c>
      <c r="D4028" s="23" t="str">
        <f aca="false">IF(B4028="","",IFERROR(INDEX(Brand_Log!$DV$2:$DV$201,MATCH(IFERROR(INDEX(Clay_Brands!$A$2:$FZ$601,577,Sync!$D$5)&amp;"",""),Brand_Log!$A$2:$A$201,0))&amp;"",IFERROR(INDEX(Clay_Brands!$A$2:$FZ$601,577,Sync!$D$5)&amp;"","")&amp;""))</f>
        <v/>
      </c>
      <c r="E4028" s="23" t="str">
        <f aca="false">IF(B4028="","",IFERROR(INDEX(Clay_Brands!$A$2:$FZ$601,577,Sync!$D$6)&amp;"",""))</f>
        <v/>
      </c>
      <c r="F4028" s="23" t="str">
        <f aca="false">IF(B4028="","","outreach_sent")</f>
        <v/>
      </c>
      <c r="G4028" s="23" t="str">
        <f aca="false">IF(B4028="","","")</f>
        <v/>
      </c>
      <c r="H4028" s="23" t="str">
        <f aca="false">IF(B4028="","","")</f>
        <v/>
      </c>
      <c r="I4028" s="23" t="str">
        <f aca="false">IF(B4028="","","")</f>
        <v/>
      </c>
      <c r="J4028" s="23" t="str">
        <f aca="false">IF(B4028="","","touch_1; "&amp;IFERROR(INDEX(Clay_Brands!$A$2:$FZ$601,577,Sync!$D$10)&amp;"","")&amp;"; "&amp;IFERROR(INDEX(Clay_Brands!$A$2:$FZ$601,577,Sync!$D$9)&amp;"",""))</f>
        <v/>
      </c>
      <c r="K4028" s="32" t="s">
        <v>1366</v>
      </c>
    </row>
    <row r="4029" customFormat="false" ht="15" hidden="false" customHeight="false" outlineLevel="0" collapsed="false">
      <c r="A4029" s="23" t="str">
        <f aca="false">IF(B4029="","",B4029+(15*1000+578)/10000000)</f>
        <v/>
      </c>
      <c r="B4029" s="35" t="str">
        <f aca="false">IF(AND(IFERROR(N(INDEX(Clay_Brands!$A$2:$FZ$601,578,Sync!$D$11)),0)&gt;0,IFERROR(INDEX(Clay_Brands!$A$2:$FZ$601,578,Sync!$D$5)&amp;"","")&lt;&gt;"",OR(LEFT(IFERROR(INDEX(Clay_Brands!$A$2:$FZ$601,578,Sync!$D$5)&amp;"",""),6)&lt;&gt;"SAMPLE",Config!$B$19="Y")),IFERROR(N(INDEX(Clay_Brands!$A$2:$FZ$601,578,Sync!$D$11)),0),"")</f>
        <v/>
      </c>
      <c r="C4029" s="23" t="str">
        <f aca="false">IF(B4029="","","brand")</f>
        <v/>
      </c>
      <c r="D4029" s="23" t="str">
        <f aca="false">IF(B4029="","",IFERROR(INDEX(Brand_Log!$DV$2:$DV$201,MATCH(IFERROR(INDEX(Clay_Brands!$A$2:$FZ$601,578,Sync!$D$5)&amp;"",""),Brand_Log!$A$2:$A$201,0))&amp;"",IFERROR(INDEX(Clay_Brands!$A$2:$FZ$601,578,Sync!$D$5)&amp;"","")&amp;""))</f>
        <v/>
      </c>
      <c r="E4029" s="23" t="str">
        <f aca="false">IF(B4029="","",IFERROR(INDEX(Clay_Brands!$A$2:$FZ$601,578,Sync!$D$6)&amp;"",""))</f>
        <v/>
      </c>
      <c r="F4029" s="23" t="str">
        <f aca="false">IF(B4029="","","outreach_sent")</f>
        <v/>
      </c>
      <c r="G4029" s="23" t="str">
        <f aca="false">IF(B4029="","","")</f>
        <v/>
      </c>
      <c r="H4029" s="23" t="str">
        <f aca="false">IF(B4029="","","")</f>
        <v/>
      </c>
      <c r="I4029" s="23" t="str">
        <f aca="false">IF(B4029="","","")</f>
        <v/>
      </c>
      <c r="J4029" s="23" t="str">
        <f aca="false">IF(B4029="","","touch_1; "&amp;IFERROR(INDEX(Clay_Brands!$A$2:$FZ$601,578,Sync!$D$10)&amp;"","")&amp;"; "&amp;IFERROR(INDEX(Clay_Brands!$A$2:$FZ$601,578,Sync!$D$9)&amp;"",""))</f>
        <v/>
      </c>
      <c r="K4029" s="32" t="s">
        <v>1366</v>
      </c>
    </row>
    <row r="4030" customFormat="false" ht="15" hidden="false" customHeight="false" outlineLevel="0" collapsed="false">
      <c r="A4030" s="23" t="str">
        <f aca="false">IF(B4030="","",B4030+(15*1000+579)/10000000)</f>
        <v/>
      </c>
      <c r="B4030" s="35" t="str">
        <f aca="false">IF(AND(IFERROR(N(INDEX(Clay_Brands!$A$2:$FZ$601,579,Sync!$D$11)),0)&gt;0,IFERROR(INDEX(Clay_Brands!$A$2:$FZ$601,579,Sync!$D$5)&amp;"","")&lt;&gt;"",OR(LEFT(IFERROR(INDEX(Clay_Brands!$A$2:$FZ$601,579,Sync!$D$5)&amp;"",""),6)&lt;&gt;"SAMPLE",Config!$B$19="Y")),IFERROR(N(INDEX(Clay_Brands!$A$2:$FZ$601,579,Sync!$D$11)),0),"")</f>
        <v/>
      </c>
      <c r="C4030" s="23" t="str">
        <f aca="false">IF(B4030="","","brand")</f>
        <v/>
      </c>
      <c r="D4030" s="23" t="str">
        <f aca="false">IF(B4030="","",IFERROR(INDEX(Brand_Log!$DV$2:$DV$201,MATCH(IFERROR(INDEX(Clay_Brands!$A$2:$FZ$601,579,Sync!$D$5)&amp;"",""),Brand_Log!$A$2:$A$201,0))&amp;"",IFERROR(INDEX(Clay_Brands!$A$2:$FZ$601,579,Sync!$D$5)&amp;"","")&amp;""))</f>
        <v/>
      </c>
      <c r="E4030" s="23" t="str">
        <f aca="false">IF(B4030="","",IFERROR(INDEX(Clay_Brands!$A$2:$FZ$601,579,Sync!$D$6)&amp;"",""))</f>
        <v/>
      </c>
      <c r="F4030" s="23" t="str">
        <f aca="false">IF(B4030="","","outreach_sent")</f>
        <v/>
      </c>
      <c r="G4030" s="23" t="str">
        <f aca="false">IF(B4030="","","")</f>
        <v/>
      </c>
      <c r="H4030" s="23" t="str">
        <f aca="false">IF(B4030="","","")</f>
        <v/>
      </c>
      <c r="I4030" s="23" t="str">
        <f aca="false">IF(B4030="","","")</f>
        <v/>
      </c>
      <c r="J4030" s="23" t="str">
        <f aca="false">IF(B4030="","","touch_1; "&amp;IFERROR(INDEX(Clay_Brands!$A$2:$FZ$601,579,Sync!$D$10)&amp;"","")&amp;"; "&amp;IFERROR(INDEX(Clay_Brands!$A$2:$FZ$601,579,Sync!$D$9)&amp;"",""))</f>
        <v/>
      </c>
      <c r="K4030" s="32" t="s">
        <v>1366</v>
      </c>
    </row>
    <row r="4031" customFormat="false" ht="15" hidden="false" customHeight="false" outlineLevel="0" collapsed="false">
      <c r="A4031" s="23" t="str">
        <f aca="false">IF(B4031="","",B4031+(15*1000+580)/10000000)</f>
        <v/>
      </c>
      <c r="B4031" s="35" t="str">
        <f aca="false">IF(AND(IFERROR(N(INDEX(Clay_Brands!$A$2:$FZ$601,580,Sync!$D$11)),0)&gt;0,IFERROR(INDEX(Clay_Brands!$A$2:$FZ$601,580,Sync!$D$5)&amp;"","")&lt;&gt;"",OR(LEFT(IFERROR(INDEX(Clay_Brands!$A$2:$FZ$601,580,Sync!$D$5)&amp;"",""),6)&lt;&gt;"SAMPLE",Config!$B$19="Y")),IFERROR(N(INDEX(Clay_Brands!$A$2:$FZ$601,580,Sync!$D$11)),0),"")</f>
        <v/>
      </c>
      <c r="C4031" s="23" t="str">
        <f aca="false">IF(B4031="","","brand")</f>
        <v/>
      </c>
      <c r="D4031" s="23" t="str">
        <f aca="false">IF(B4031="","",IFERROR(INDEX(Brand_Log!$DV$2:$DV$201,MATCH(IFERROR(INDEX(Clay_Brands!$A$2:$FZ$601,580,Sync!$D$5)&amp;"",""),Brand_Log!$A$2:$A$201,0))&amp;"",IFERROR(INDEX(Clay_Brands!$A$2:$FZ$601,580,Sync!$D$5)&amp;"","")&amp;""))</f>
        <v/>
      </c>
      <c r="E4031" s="23" t="str">
        <f aca="false">IF(B4031="","",IFERROR(INDEX(Clay_Brands!$A$2:$FZ$601,580,Sync!$D$6)&amp;"",""))</f>
        <v/>
      </c>
      <c r="F4031" s="23" t="str">
        <f aca="false">IF(B4031="","","outreach_sent")</f>
        <v/>
      </c>
      <c r="G4031" s="23" t="str">
        <f aca="false">IF(B4031="","","")</f>
        <v/>
      </c>
      <c r="H4031" s="23" t="str">
        <f aca="false">IF(B4031="","","")</f>
        <v/>
      </c>
      <c r="I4031" s="23" t="str">
        <f aca="false">IF(B4031="","","")</f>
        <v/>
      </c>
      <c r="J4031" s="23" t="str">
        <f aca="false">IF(B4031="","","touch_1; "&amp;IFERROR(INDEX(Clay_Brands!$A$2:$FZ$601,580,Sync!$D$10)&amp;"","")&amp;"; "&amp;IFERROR(INDEX(Clay_Brands!$A$2:$FZ$601,580,Sync!$D$9)&amp;"",""))</f>
        <v/>
      </c>
      <c r="K4031" s="32" t="s">
        <v>1366</v>
      </c>
    </row>
    <row r="4032" customFormat="false" ht="15" hidden="false" customHeight="false" outlineLevel="0" collapsed="false">
      <c r="A4032" s="23" t="str">
        <f aca="false">IF(B4032="","",B4032+(15*1000+581)/10000000)</f>
        <v/>
      </c>
      <c r="B4032" s="35" t="str">
        <f aca="false">IF(AND(IFERROR(N(INDEX(Clay_Brands!$A$2:$FZ$601,581,Sync!$D$11)),0)&gt;0,IFERROR(INDEX(Clay_Brands!$A$2:$FZ$601,581,Sync!$D$5)&amp;"","")&lt;&gt;"",OR(LEFT(IFERROR(INDEX(Clay_Brands!$A$2:$FZ$601,581,Sync!$D$5)&amp;"",""),6)&lt;&gt;"SAMPLE",Config!$B$19="Y")),IFERROR(N(INDEX(Clay_Brands!$A$2:$FZ$601,581,Sync!$D$11)),0),"")</f>
        <v/>
      </c>
      <c r="C4032" s="23" t="str">
        <f aca="false">IF(B4032="","","brand")</f>
        <v/>
      </c>
      <c r="D4032" s="23" t="str">
        <f aca="false">IF(B4032="","",IFERROR(INDEX(Brand_Log!$DV$2:$DV$201,MATCH(IFERROR(INDEX(Clay_Brands!$A$2:$FZ$601,581,Sync!$D$5)&amp;"",""),Brand_Log!$A$2:$A$201,0))&amp;"",IFERROR(INDEX(Clay_Brands!$A$2:$FZ$601,581,Sync!$D$5)&amp;"","")&amp;""))</f>
        <v/>
      </c>
      <c r="E4032" s="23" t="str">
        <f aca="false">IF(B4032="","",IFERROR(INDEX(Clay_Brands!$A$2:$FZ$601,581,Sync!$D$6)&amp;"",""))</f>
        <v/>
      </c>
      <c r="F4032" s="23" t="str">
        <f aca="false">IF(B4032="","","outreach_sent")</f>
        <v/>
      </c>
      <c r="G4032" s="23" t="str">
        <f aca="false">IF(B4032="","","")</f>
        <v/>
      </c>
      <c r="H4032" s="23" t="str">
        <f aca="false">IF(B4032="","","")</f>
        <v/>
      </c>
      <c r="I4032" s="23" t="str">
        <f aca="false">IF(B4032="","","")</f>
        <v/>
      </c>
      <c r="J4032" s="23" t="str">
        <f aca="false">IF(B4032="","","touch_1; "&amp;IFERROR(INDEX(Clay_Brands!$A$2:$FZ$601,581,Sync!$D$10)&amp;"","")&amp;"; "&amp;IFERROR(INDEX(Clay_Brands!$A$2:$FZ$601,581,Sync!$D$9)&amp;"",""))</f>
        <v/>
      </c>
      <c r="K4032" s="32" t="s">
        <v>1366</v>
      </c>
    </row>
    <row r="4033" customFormat="false" ht="15" hidden="false" customHeight="false" outlineLevel="0" collapsed="false">
      <c r="A4033" s="23" t="str">
        <f aca="false">IF(B4033="","",B4033+(15*1000+582)/10000000)</f>
        <v/>
      </c>
      <c r="B4033" s="35" t="str">
        <f aca="false">IF(AND(IFERROR(N(INDEX(Clay_Brands!$A$2:$FZ$601,582,Sync!$D$11)),0)&gt;0,IFERROR(INDEX(Clay_Brands!$A$2:$FZ$601,582,Sync!$D$5)&amp;"","")&lt;&gt;"",OR(LEFT(IFERROR(INDEX(Clay_Brands!$A$2:$FZ$601,582,Sync!$D$5)&amp;"",""),6)&lt;&gt;"SAMPLE",Config!$B$19="Y")),IFERROR(N(INDEX(Clay_Brands!$A$2:$FZ$601,582,Sync!$D$11)),0),"")</f>
        <v/>
      </c>
      <c r="C4033" s="23" t="str">
        <f aca="false">IF(B4033="","","brand")</f>
        <v/>
      </c>
      <c r="D4033" s="23" t="str">
        <f aca="false">IF(B4033="","",IFERROR(INDEX(Brand_Log!$DV$2:$DV$201,MATCH(IFERROR(INDEX(Clay_Brands!$A$2:$FZ$601,582,Sync!$D$5)&amp;"",""),Brand_Log!$A$2:$A$201,0))&amp;"",IFERROR(INDEX(Clay_Brands!$A$2:$FZ$601,582,Sync!$D$5)&amp;"","")&amp;""))</f>
        <v/>
      </c>
      <c r="E4033" s="23" t="str">
        <f aca="false">IF(B4033="","",IFERROR(INDEX(Clay_Brands!$A$2:$FZ$601,582,Sync!$D$6)&amp;"",""))</f>
        <v/>
      </c>
      <c r="F4033" s="23" t="str">
        <f aca="false">IF(B4033="","","outreach_sent")</f>
        <v/>
      </c>
      <c r="G4033" s="23" t="str">
        <f aca="false">IF(B4033="","","")</f>
        <v/>
      </c>
      <c r="H4033" s="23" t="str">
        <f aca="false">IF(B4033="","","")</f>
        <v/>
      </c>
      <c r="I4033" s="23" t="str">
        <f aca="false">IF(B4033="","","")</f>
        <v/>
      </c>
      <c r="J4033" s="23" t="str">
        <f aca="false">IF(B4033="","","touch_1; "&amp;IFERROR(INDEX(Clay_Brands!$A$2:$FZ$601,582,Sync!$D$10)&amp;"","")&amp;"; "&amp;IFERROR(INDEX(Clay_Brands!$A$2:$FZ$601,582,Sync!$D$9)&amp;"",""))</f>
        <v/>
      </c>
      <c r="K4033" s="32" t="s">
        <v>1366</v>
      </c>
    </row>
    <row r="4034" customFormat="false" ht="15" hidden="false" customHeight="false" outlineLevel="0" collapsed="false">
      <c r="A4034" s="23" t="str">
        <f aca="false">IF(B4034="","",B4034+(15*1000+583)/10000000)</f>
        <v/>
      </c>
      <c r="B4034" s="35" t="str">
        <f aca="false">IF(AND(IFERROR(N(INDEX(Clay_Brands!$A$2:$FZ$601,583,Sync!$D$11)),0)&gt;0,IFERROR(INDEX(Clay_Brands!$A$2:$FZ$601,583,Sync!$D$5)&amp;"","")&lt;&gt;"",OR(LEFT(IFERROR(INDEX(Clay_Brands!$A$2:$FZ$601,583,Sync!$D$5)&amp;"",""),6)&lt;&gt;"SAMPLE",Config!$B$19="Y")),IFERROR(N(INDEX(Clay_Brands!$A$2:$FZ$601,583,Sync!$D$11)),0),"")</f>
        <v/>
      </c>
      <c r="C4034" s="23" t="str">
        <f aca="false">IF(B4034="","","brand")</f>
        <v/>
      </c>
      <c r="D4034" s="23" t="str">
        <f aca="false">IF(B4034="","",IFERROR(INDEX(Brand_Log!$DV$2:$DV$201,MATCH(IFERROR(INDEX(Clay_Brands!$A$2:$FZ$601,583,Sync!$D$5)&amp;"",""),Brand_Log!$A$2:$A$201,0))&amp;"",IFERROR(INDEX(Clay_Brands!$A$2:$FZ$601,583,Sync!$D$5)&amp;"","")&amp;""))</f>
        <v/>
      </c>
      <c r="E4034" s="23" t="str">
        <f aca="false">IF(B4034="","",IFERROR(INDEX(Clay_Brands!$A$2:$FZ$601,583,Sync!$D$6)&amp;"",""))</f>
        <v/>
      </c>
      <c r="F4034" s="23" t="str">
        <f aca="false">IF(B4034="","","outreach_sent")</f>
        <v/>
      </c>
      <c r="G4034" s="23" t="str">
        <f aca="false">IF(B4034="","","")</f>
        <v/>
      </c>
      <c r="H4034" s="23" t="str">
        <f aca="false">IF(B4034="","","")</f>
        <v/>
      </c>
      <c r="I4034" s="23" t="str">
        <f aca="false">IF(B4034="","","")</f>
        <v/>
      </c>
      <c r="J4034" s="23" t="str">
        <f aca="false">IF(B4034="","","touch_1; "&amp;IFERROR(INDEX(Clay_Brands!$A$2:$FZ$601,583,Sync!$D$10)&amp;"","")&amp;"; "&amp;IFERROR(INDEX(Clay_Brands!$A$2:$FZ$601,583,Sync!$D$9)&amp;"",""))</f>
        <v/>
      </c>
      <c r="K4034" s="32" t="s">
        <v>1366</v>
      </c>
    </row>
    <row r="4035" customFormat="false" ht="15" hidden="false" customHeight="false" outlineLevel="0" collapsed="false">
      <c r="A4035" s="23" t="str">
        <f aca="false">IF(B4035="","",B4035+(15*1000+584)/10000000)</f>
        <v/>
      </c>
      <c r="B4035" s="35" t="str">
        <f aca="false">IF(AND(IFERROR(N(INDEX(Clay_Brands!$A$2:$FZ$601,584,Sync!$D$11)),0)&gt;0,IFERROR(INDEX(Clay_Brands!$A$2:$FZ$601,584,Sync!$D$5)&amp;"","")&lt;&gt;"",OR(LEFT(IFERROR(INDEX(Clay_Brands!$A$2:$FZ$601,584,Sync!$D$5)&amp;"",""),6)&lt;&gt;"SAMPLE",Config!$B$19="Y")),IFERROR(N(INDEX(Clay_Brands!$A$2:$FZ$601,584,Sync!$D$11)),0),"")</f>
        <v/>
      </c>
      <c r="C4035" s="23" t="str">
        <f aca="false">IF(B4035="","","brand")</f>
        <v/>
      </c>
      <c r="D4035" s="23" t="str">
        <f aca="false">IF(B4035="","",IFERROR(INDEX(Brand_Log!$DV$2:$DV$201,MATCH(IFERROR(INDEX(Clay_Brands!$A$2:$FZ$601,584,Sync!$D$5)&amp;"",""),Brand_Log!$A$2:$A$201,0))&amp;"",IFERROR(INDEX(Clay_Brands!$A$2:$FZ$601,584,Sync!$D$5)&amp;"","")&amp;""))</f>
        <v/>
      </c>
      <c r="E4035" s="23" t="str">
        <f aca="false">IF(B4035="","",IFERROR(INDEX(Clay_Brands!$A$2:$FZ$601,584,Sync!$D$6)&amp;"",""))</f>
        <v/>
      </c>
      <c r="F4035" s="23" t="str">
        <f aca="false">IF(B4035="","","outreach_sent")</f>
        <v/>
      </c>
      <c r="G4035" s="23" t="str">
        <f aca="false">IF(B4035="","","")</f>
        <v/>
      </c>
      <c r="H4035" s="23" t="str">
        <f aca="false">IF(B4035="","","")</f>
        <v/>
      </c>
      <c r="I4035" s="23" t="str">
        <f aca="false">IF(B4035="","","")</f>
        <v/>
      </c>
      <c r="J4035" s="23" t="str">
        <f aca="false">IF(B4035="","","touch_1; "&amp;IFERROR(INDEX(Clay_Brands!$A$2:$FZ$601,584,Sync!$D$10)&amp;"","")&amp;"; "&amp;IFERROR(INDEX(Clay_Brands!$A$2:$FZ$601,584,Sync!$D$9)&amp;"",""))</f>
        <v/>
      </c>
      <c r="K4035" s="32" t="s">
        <v>1366</v>
      </c>
    </row>
    <row r="4036" customFormat="false" ht="15" hidden="false" customHeight="false" outlineLevel="0" collapsed="false">
      <c r="A4036" s="23" t="str">
        <f aca="false">IF(B4036="","",B4036+(15*1000+585)/10000000)</f>
        <v/>
      </c>
      <c r="B4036" s="35" t="str">
        <f aca="false">IF(AND(IFERROR(N(INDEX(Clay_Brands!$A$2:$FZ$601,585,Sync!$D$11)),0)&gt;0,IFERROR(INDEX(Clay_Brands!$A$2:$FZ$601,585,Sync!$D$5)&amp;"","")&lt;&gt;"",OR(LEFT(IFERROR(INDEX(Clay_Brands!$A$2:$FZ$601,585,Sync!$D$5)&amp;"",""),6)&lt;&gt;"SAMPLE",Config!$B$19="Y")),IFERROR(N(INDEX(Clay_Brands!$A$2:$FZ$601,585,Sync!$D$11)),0),"")</f>
        <v/>
      </c>
      <c r="C4036" s="23" t="str">
        <f aca="false">IF(B4036="","","brand")</f>
        <v/>
      </c>
      <c r="D4036" s="23" t="str">
        <f aca="false">IF(B4036="","",IFERROR(INDEX(Brand_Log!$DV$2:$DV$201,MATCH(IFERROR(INDEX(Clay_Brands!$A$2:$FZ$601,585,Sync!$D$5)&amp;"",""),Brand_Log!$A$2:$A$201,0))&amp;"",IFERROR(INDEX(Clay_Brands!$A$2:$FZ$601,585,Sync!$D$5)&amp;"","")&amp;""))</f>
        <v/>
      </c>
      <c r="E4036" s="23" t="str">
        <f aca="false">IF(B4036="","",IFERROR(INDEX(Clay_Brands!$A$2:$FZ$601,585,Sync!$D$6)&amp;"",""))</f>
        <v/>
      </c>
      <c r="F4036" s="23" t="str">
        <f aca="false">IF(B4036="","","outreach_sent")</f>
        <v/>
      </c>
      <c r="G4036" s="23" t="str">
        <f aca="false">IF(B4036="","","")</f>
        <v/>
      </c>
      <c r="H4036" s="23" t="str">
        <f aca="false">IF(B4036="","","")</f>
        <v/>
      </c>
      <c r="I4036" s="23" t="str">
        <f aca="false">IF(B4036="","","")</f>
        <v/>
      </c>
      <c r="J4036" s="23" t="str">
        <f aca="false">IF(B4036="","","touch_1; "&amp;IFERROR(INDEX(Clay_Brands!$A$2:$FZ$601,585,Sync!$D$10)&amp;"","")&amp;"; "&amp;IFERROR(INDEX(Clay_Brands!$A$2:$FZ$601,585,Sync!$D$9)&amp;"",""))</f>
        <v/>
      </c>
      <c r="K4036" s="32" t="s">
        <v>1366</v>
      </c>
    </row>
    <row r="4037" customFormat="false" ht="15" hidden="false" customHeight="false" outlineLevel="0" collapsed="false">
      <c r="A4037" s="23" t="str">
        <f aca="false">IF(B4037="","",B4037+(15*1000+586)/10000000)</f>
        <v/>
      </c>
      <c r="B4037" s="35" t="str">
        <f aca="false">IF(AND(IFERROR(N(INDEX(Clay_Brands!$A$2:$FZ$601,586,Sync!$D$11)),0)&gt;0,IFERROR(INDEX(Clay_Brands!$A$2:$FZ$601,586,Sync!$D$5)&amp;"","")&lt;&gt;"",OR(LEFT(IFERROR(INDEX(Clay_Brands!$A$2:$FZ$601,586,Sync!$D$5)&amp;"",""),6)&lt;&gt;"SAMPLE",Config!$B$19="Y")),IFERROR(N(INDEX(Clay_Brands!$A$2:$FZ$601,586,Sync!$D$11)),0),"")</f>
        <v/>
      </c>
      <c r="C4037" s="23" t="str">
        <f aca="false">IF(B4037="","","brand")</f>
        <v/>
      </c>
      <c r="D4037" s="23" t="str">
        <f aca="false">IF(B4037="","",IFERROR(INDEX(Brand_Log!$DV$2:$DV$201,MATCH(IFERROR(INDEX(Clay_Brands!$A$2:$FZ$601,586,Sync!$D$5)&amp;"",""),Brand_Log!$A$2:$A$201,0))&amp;"",IFERROR(INDEX(Clay_Brands!$A$2:$FZ$601,586,Sync!$D$5)&amp;"","")&amp;""))</f>
        <v/>
      </c>
      <c r="E4037" s="23" t="str">
        <f aca="false">IF(B4037="","",IFERROR(INDEX(Clay_Brands!$A$2:$FZ$601,586,Sync!$D$6)&amp;"",""))</f>
        <v/>
      </c>
      <c r="F4037" s="23" t="str">
        <f aca="false">IF(B4037="","","outreach_sent")</f>
        <v/>
      </c>
      <c r="G4037" s="23" t="str">
        <f aca="false">IF(B4037="","","")</f>
        <v/>
      </c>
      <c r="H4037" s="23" t="str">
        <f aca="false">IF(B4037="","","")</f>
        <v/>
      </c>
      <c r="I4037" s="23" t="str">
        <f aca="false">IF(B4037="","","")</f>
        <v/>
      </c>
      <c r="J4037" s="23" t="str">
        <f aca="false">IF(B4037="","","touch_1; "&amp;IFERROR(INDEX(Clay_Brands!$A$2:$FZ$601,586,Sync!$D$10)&amp;"","")&amp;"; "&amp;IFERROR(INDEX(Clay_Brands!$A$2:$FZ$601,586,Sync!$D$9)&amp;"",""))</f>
        <v/>
      </c>
      <c r="K4037" s="32" t="s">
        <v>1366</v>
      </c>
    </row>
    <row r="4038" customFormat="false" ht="15" hidden="false" customHeight="false" outlineLevel="0" collapsed="false">
      <c r="A4038" s="23" t="str">
        <f aca="false">IF(B4038="","",B4038+(15*1000+587)/10000000)</f>
        <v/>
      </c>
      <c r="B4038" s="35" t="str">
        <f aca="false">IF(AND(IFERROR(N(INDEX(Clay_Brands!$A$2:$FZ$601,587,Sync!$D$11)),0)&gt;0,IFERROR(INDEX(Clay_Brands!$A$2:$FZ$601,587,Sync!$D$5)&amp;"","")&lt;&gt;"",OR(LEFT(IFERROR(INDEX(Clay_Brands!$A$2:$FZ$601,587,Sync!$D$5)&amp;"",""),6)&lt;&gt;"SAMPLE",Config!$B$19="Y")),IFERROR(N(INDEX(Clay_Brands!$A$2:$FZ$601,587,Sync!$D$11)),0),"")</f>
        <v/>
      </c>
      <c r="C4038" s="23" t="str">
        <f aca="false">IF(B4038="","","brand")</f>
        <v/>
      </c>
      <c r="D4038" s="23" t="str">
        <f aca="false">IF(B4038="","",IFERROR(INDEX(Brand_Log!$DV$2:$DV$201,MATCH(IFERROR(INDEX(Clay_Brands!$A$2:$FZ$601,587,Sync!$D$5)&amp;"",""),Brand_Log!$A$2:$A$201,0))&amp;"",IFERROR(INDEX(Clay_Brands!$A$2:$FZ$601,587,Sync!$D$5)&amp;"","")&amp;""))</f>
        <v/>
      </c>
      <c r="E4038" s="23" t="str">
        <f aca="false">IF(B4038="","",IFERROR(INDEX(Clay_Brands!$A$2:$FZ$601,587,Sync!$D$6)&amp;"",""))</f>
        <v/>
      </c>
      <c r="F4038" s="23" t="str">
        <f aca="false">IF(B4038="","","outreach_sent")</f>
        <v/>
      </c>
      <c r="G4038" s="23" t="str">
        <f aca="false">IF(B4038="","","")</f>
        <v/>
      </c>
      <c r="H4038" s="23" t="str">
        <f aca="false">IF(B4038="","","")</f>
        <v/>
      </c>
      <c r="I4038" s="23" t="str">
        <f aca="false">IF(B4038="","","")</f>
        <v/>
      </c>
      <c r="J4038" s="23" t="str">
        <f aca="false">IF(B4038="","","touch_1; "&amp;IFERROR(INDEX(Clay_Brands!$A$2:$FZ$601,587,Sync!$D$10)&amp;"","")&amp;"; "&amp;IFERROR(INDEX(Clay_Brands!$A$2:$FZ$601,587,Sync!$D$9)&amp;"",""))</f>
        <v/>
      </c>
      <c r="K4038" s="32" t="s">
        <v>1366</v>
      </c>
    </row>
    <row r="4039" customFormat="false" ht="15" hidden="false" customHeight="false" outlineLevel="0" collapsed="false">
      <c r="A4039" s="23" t="str">
        <f aca="false">IF(B4039="","",B4039+(15*1000+588)/10000000)</f>
        <v/>
      </c>
      <c r="B4039" s="35" t="str">
        <f aca="false">IF(AND(IFERROR(N(INDEX(Clay_Brands!$A$2:$FZ$601,588,Sync!$D$11)),0)&gt;0,IFERROR(INDEX(Clay_Brands!$A$2:$FZ$601,588,Sync!$D$5)&amp;"","")&lt;&gt;"",OR(LEFT(IFERROR(INDEX(Clay_Brands!$A$2:$FZ$601,588,Sync!$D$5)&amp;"",""),6)&lt;&gt;"SAMPLE",Config!$B$19="Y")),IFERROR(N(INDEX(Clay_Brands!$A$2:$FZ$601,588,Sync!$D$11)),0),"")</f>
        <v/>
      </c>
      <c r="C4039" s="23" t="str">
        <f aca="false">IF(B4039="","","brand")</f>
        <v/>
      </c>
      <c r="D4039" s="23" t="str">
        <f aca="false">IF(B4039="","",IFERROR(INDEX(Brand_Log!$DV$2:$DV$201,MATCH(IFERROR(INDEX(Clay_Brands!$A$2:$FZ$601,588,Sync!$D$5)&amp;"",""),Brand_Log!$A$2:$A$201,0))&amp;"",IFERROR(INDEX(Clay_Brands!$A$2:$FZ$601,588,Sync!$D$5)&amp;"","")&amp;""))</f>
        <v/>
      </c>
      <c r="E4039" s="23" t="str">
        <f aca="false">IF(B4039="","",IFERROR(INDEX(Clay_Brands!$A$2:$FZ$601,588,Sync!$D$6)&amp;"",""))</f>
        <v/>
      </c>
      <c r="F4039" s="23" t="str">
        <f aca="false">IF(B4039="","","outreach_sent")</f>
        <v/>
      </c>
      <c r="G4039" s="23" t="str">
        <f aca="false">IF(B4039="","","")</f>
        <v/>
      </c>
      <c r="H4039" s="23" t="str">
        <f aca="false">IF(B4039="","","")</f>
        <v/>
      </c>
      <c r="I4039" s="23" t="str">
        <f aca="false">IF(B4039="","","")</f>
        <v/>
      </c>
      <c r="J4039" s="23" t="str">
        <f aca="false">IF(B4039="","","touch_1; "&amp;IFERROR(INDEX(Clay_Brands!$A$2:$FZ$601,588,Sync!$D$10)&amp;"","")&amp;"; "&amp;IFERROR(INDEX(Clay_Brands!$A$2:$FZ$601,588,Sync!$D$9)&amp;"",""))</f>
        <v/>
      </c>
      <c r="K4039" s="32" t="s">
        <v>1366</v>
      </c>
    </row>
    <row r="4040" customFormat="false" ht="15" hidden="false" customHeight="false" outlineLevel="0" collapsed="false">
      <c r="A4040" s="23" t="str">
        <f aca="false">IF(B4040="","",B4040+(15*1000+589)/10000000)</f>
        <v/>
      </c>
      <c r="B4040" s="35" t="str">
        <f aca="false">IF(AND(IFERROR(N(INDEX(Clay_Brands!$A$2:$FZ$601,589,Sync!$D$11)),0)&gt;0,IFERROR(INDEX(Clay_Brands!$A$2:$FZ$601,589,Sync!$D$5)&amp;"","")&lt;&gt;"",OR(LEFT(IFERROR(INDEX(Clay_Brands!$A$2:$FZ$601,589,Sync!$D$5)&amp;"",""),6)&lt;&gt;"SAMPLE",Config!$B$19="Y")),IFERROR(N(INDEX(Clay_Brands!$A$2:$FZ$601,589,Sync!$D$11)),0),"")</f>
        <v/>
      </c>
      <c r="C4040" s="23" t="str">
        <f aca="false">IF(B4040="","","brand")</f>
        <v/>
      </c>
      <c r="D4040" s="23" t="str">
        <f aca="false">IF(B4040="","",IFERROR(INDEX(Brand_Log!$DV$2:$DV$201,MATCH(IFERROR(INDEX(Clay_Brands!$A$2:$FZ$601,589,Sync!$D$5)&amp;"",""),Brand_Log!$A$2:$A$201,0))&amp;"",IFERROR(INDEX(Clay_Brands!$A$2:$FZ$601,589,Sync!$D$5)&amp;"","")&amp;""))</f>
        <v/>
      </c>
      <c r="E4040" s="23" t="str">
        <f aca="false">IF(B4040="","",IFERROR(INDEX(Clay_Brands!$A$2:$FZ$601,589,Sync!$D$6)&amp;"",""))</f>
        <v/>
      </c>
      <c r="F4040" s="23" t="str">
        <f aca="false">IF(B4040="","","outreach_sent")</f>
        <v/>
      </c>
      <c r="G4040" s="23" t="str">
        <f aca="false">IF(B4040="","","")</f>
        <v/>
      </c>
      <c r="H4040" s="23" t="str">
        <f aca="false">IF(B4040="","","")</f>
        <v/>
      </c>
      <c r="I4040" s="23" t="str">
        <f aca="false">IF(B4040="","","")</f>
        <v/>
      </c>
      <c r="J4040" s="23" t="str">
        <f aca="false">IF(B4040="","","touch_1; "&amp;IFERROR(INDEX(Clay_Brands!$A$2:$FZ$601,589,Sync!$D$10)&amp;"","")&amp;"; "&amp;IFERROR(INDEX(Clay_Brands!$A$2:$FZ$601,589,Sync!$D$9)&amp;"",""))</f>
        <v/>
      </c>
      <c r="K4040" s="32" t="s">
        <v>1366</v>
      </c>
    </row>
    <row r="4041" customFormat="false" ht="15" hidden="false" customHeight="false" outlineLevel="0" collapsed="false">
      <c r="A4041" s="23" t="str">
        <f aca="false">IF(B4041="","",B4041+(15*1000+590)/10000000)</f>
        <v/>
      </c>
      <c r="B4041" s="35" t="str">
        <f aca="false">IF(AND(IFERROR(N(INDEX(Clay_Brands!$A$2:$FZ$601,590,Sync!$D$11)),0)&gt;0,IFERROR(INDEX(Clay_Brands!$A$2:$FZ$601,590,Sync!$D$5)&amp;"","")&lt;&gt;"",OR(LEFT(IFERROR(INDEX(Clay_Brands!$A$2:$FZ$601,590,Sync!$D$5)&amp;"",""),6)&lt;&gt;"SAMPLE",Config!$B$19="Y")),IFERROR(N(INDEX(Clay_Brands!$A$2:$FZ$601,590,Sync!$D$11)),0),"")</f>
        <v/>
      </c>
      <c r="C4041" s="23" t="str">
        <f aca="false">IF(B4041="","","brand")</f>
        <v/>
      </c>
      <c r="D4041" s="23" t="str">
        <f aca="false">IF(B4041="","",IFERROR(INDEX(Brand_Log!$DV$2:$DV$201,MATCH(IFERROR(INDEX(Clay_Brands!$A$2:$FZ$601,590,Sync!$D$5)&amp;"",""),Brand_Log!$A$2:$A$201,0))&amp;"",IFERROR(INDEX(Clay_Brands!$A$2:$FZ$601,590,Sync!$D$5)&amp;"","")&amp;""))</f>
        <v/>
      </c>
      <c r="E4041" s="23" t="str">
        <f aca="false">IF(B4041="","",IFERROR(INDEX(Clay_Brands!$A$2:$FZ$601,590,Sync!$D$6)&amp;"",""))</f>
        <v/>
      </c>
      <c r="F4041" s="23" t="str">
        <f aca="false">IF(B4041="","","outreach_sent")</f>
        <v/>
      </c>
      <c r="G4041" s="23" t="str">
        <f aca="false">IF(B4041="","","")</f>
        <v/>
      </c>
      <c r="H4041" s="23" t="str">
        <f aca="false">IF(B4041="","","")</f>
        <v/>
      </c>
      <c r="I4041" s="23" t="str">
        <f aca="false">IF(B4041="","","")</f>
        <v/>
      </c>
      <c r="J4041" s="23" t="str">
        <f aca="false">IF(B4041="","","touch_1; "&amp;IFERROR(INDEX(Clay_Brands!$A$2:$FZ$601,590,Sync!$D$10)&amp;"","")&amp;"; "&amp;IFERROR(INDEX(Clay_Brands!$A$2:$FZ$601,590,Sync!$D$9)&amp;"",""))</f>
        <v/>
      </c>
      <c r="K4041" s="32" t="s">
        <v>1366</v>
      </c>
    </row>
    <row r="4042" customFormat="false" ht="15" hidden="false" customHeight="false" outlineLevel="0" collapsed="false">
      <c r="A4042" s="23" t="str">
        <f aca="false">IF(B4042="","",B4042+(15*1000+591)/10000000)</f>
        <v/>
      </c>
      <c r="B4042" s="35" t="str">
        <f aca="false">IF(AND(IFERROR(N(INDEX(Clay_Brands!$A$2:$FZ$601,591,Sync!$D$11)),0)&gt;0,IFERROR(INDEX(Clay_Brands!$A$2:$FZ$601,591,Sync!$D$5)&amp;"","")&lt;&gt;"",OR(LEFT(IFERROR(INDEX(Clay_Brands!$A$2:$FZ$601,591,Sync!$D$5)&amp;"",""),6)&lt;&gt;"SAMPLE",Config!$B$19="Y")),IFERROR(N(INDEX(Clay_Brands!$A$2:$FZ$601,591,Sync!$D$11)),0),"")</f>
        <v/>
      </c>
      <c r="C4042" s="23" t="str">
        <f aca="false">IF(B4042="","","brand")</f>
        <v/>
      </c>
      <c r="D4042" s="23" t="str">
        <f aca="false">IF(B4042="","",IFERROR(INDEX(Brand_Log!$DV$2:$DV$201,MATCH(IFERROR(INDEX(Clay_Brands!$A$2:$FZ$601,591,Sync!$D$5)&amp;"",""),Brand_Log!$A$2:$A$201,0))&amp;"",IFERROR(INDEX(Clay_Brands!$A$2:$FZ$601,591,Sync!$D$5)&amp;"","")&amp;""))</f>
        <v/>
      </c>
      <c r="E4042" s="23" t="str">
        <f aca="false">IF(B4042="","",IFERROR(INDEX(Clay_Brands!$A$2:$FZ$601,591,Sync!$D$6)&amp;"",""))</f>
        <v/>
      </c>
      <c r="F4042" s="23" t="str">
        <f aca="false">IF(B4042="","","outreach_sent")</f>
        <v/>
      </c>
      <c r="G4042" s="23" t="str">
        <f aca="false">IF(B4042="","","")</f>
        <v/>
      </c>
      <c r="H4042" s="23" t="str">
        <f aca="false">IF(B4042="","","")</f>
        <v/>
      </c>
      <c r="I4042" s="23" t="str">
        <f aca="false">IF(B4042="","","")</f>
        <v/>
      </c>
      <c r="J4042" s="23" t="str">
        <f aca="false">IF(B4042="","","touch_1; "&amp;IFERROR(INDEX(Clay_Brands!$A$2:$FZ$601,591,Sync!$D$10)&amp;"","")&amp;"; "&amp;IFERROR(INDEX(Clay_Brands!$A$2:$FZ$601,591,Sync!$D$9)&amp;"",""))</f>
        <v/>
      </c>
      <c r="K4042" s="32" t="s">
        <v>1366</v>
      </c>
    </row>
    <row r="4043" customFormat="false" ht="15" hidden="false" customHeight="false" outlineLevel="0" collapsed="false">
      <c r="A4043" s="23" t="str">
        <f aca="false">IF(B4043="","",B4043+(15*1000+592)/10000000)</f>
        <v/>
      </c>
      <c r="B4043" s="35" t="str">
        <f aca="false">IF(AND(IFERROR(N(INDEX(Clay_Brands!$A$2:$FZ$601,592,Sync!$D$11)),0)&gt;0,IFERROR(INDEX(Clay_Brands!$A$2:$FZ$601,592,Sync!$D$5)&amp;"","")&lt;&gt;"",OR(LEFT(IFERROR(INDEX(Clay_Brands!$A$2:$FZ$601,592,Sync!$D$5)&amp;"",""),6)&lt;&gt;"SAMPLE",Config!$B$19="Y")),IFERROR(N(INDEX(Clay_Brands!$A$2:$FZ$601,592,Sync!$D$11)),0),"")</f>
        <v/>
      </c>
      <c r="C4043" s="23" t="str">
        <f aca="false">IF(B4043="","","brand")</f>
        <v/>
      </c>
      <c r="D4043" s="23" t="str">
        <f aca="false">IF(B4043="","",IFERROR(INDEX(Brand_Log!$DV$2:$DV$201,MATCH(IFERROR(INDEX(Clay_Brands!$A$2:$FZ$601,592,Sync!$D$5)&amp;"",""),Brand_Log!$A$2:$A$201,0))&amp;"",IFERROR(INDEX(Clay_Brands!$A$2:$FZ$601,592,Sync!$D$5)&amp;"","")&amp;""))</f>
        <v/>
      </c>
      <c r="E4043" s="23" t="str">
        <f aca="false">IF(B4043="","",IFERROR(INDEX(Clay_Brands!$A$2:$FZ$601,592,Sync!$D$6)&amp;"",""))</f>
        <v/>
      </c>
      <c r="F4043" s="23" t="str">
        <f aca="false">IF(B4043="","","outreach_sent")</f>
        <v/>
      </c>
      <c r="G4043" s="23" t="str">
        <f aca="false">IF(B4043="","","")</f>
        <v/>
      </c>
      <c r="H4043" s="23" t="str">
        <f aca="false">IF(B4043="","","")</f>
        <v/>
      </c>
      <c r="I4043" s="23" t="str">
        <f aca="false">IF(B4043="","","")</f>
        <v/>
      </c>
      <c r="J4043" s="23" t="str">
        <f aca="false">IF(B4043="","","touch_1; "&amp;IFERROR(INDEX(Clay_Brands!$A$2:$FZ$601,592,Sync!$D$10)&amp;"","")&amp;"; "&amp;IFERROR(INDEX(Clay_Brands!$A$2:$FZ$601,592,Sync!$D$9)&amp;"",""))</f>
        <v/>
      </c>
      <c r="K4043" s="32" t="s">
        <v>1366</v>
      </c>
    </row>
    <row r="4044" customFormat="false" ht="15" hidden="false" customHeight="false" outlineLevel="0" collapsed="false">
      <c r="A4044" s="23" t="str">
        <f aca="false">IF(B4044="","",B4044+(15*1000+593)/10000000)</f>
        <v/>
      </c>
      <c r="B4044" s="35" t="str">
        <f aca="false">IF(AND(IFERROR(N(INDEX(Clay_Brands!$A$2:$FZ$601,593,Sync!$D$11)),0)&gt;0,IFERROR(INDEX(Clay_Brands!$A$2:$FZ$601,593,Sync!$D$5)&amp;"","")&lt;&gt;"",OR(LEFT(IFERROR(INDEX(Clay_Brands!$A$2:$FZ$601,593,Sync!$D$5)&amp;"",""),6)&lt;&gt;"SAMPLE",Config!$B$19="Y")),IFERROR(N(INDEX(Clay_Brands!$A$2:$FZ$601,593,Sync!$D$11)),0),"")</f>
        <v/>
      </c>
      <c r="C4044" s="23" t="str">
        <f aca="false">IF(B4044="","","brand")</f>
        <v/>
      </c>
      <c r="D4044" s="23" t="str">
        <f aca="false">IF(B4044="","",IFERROR(INDEX(Brand_Log!$DV$2:$DV$201,MATCH(IFERROR(INDEX(Clay_Brands!$A$2:$FZ$601,593,Sync!$D$5)&amp;"",""),Brand_Log!$A$2:$A$201,0))&amp;"",IFERROR(INDEX(Clay_Brands!$A$2:$FZ$601,593,Sync!$D$5)&amp;"","")&amp;""))</f>
        <v/>
      </c>
      <c r="E4044" s="23" t="str">
        <f aca="false">IF(B4044="","",IFERROR(INDEX(Clay_Brands!$A$2:$FZ$601,593,Sync!$D$6)&amp;"",""))</f>
        <v/>
      </c>
      <c r="F4044" s="23" t="str">
        <f aca="false">IF(B4044="","","outreach_sent")</f>
        <v/>
      </c>
      <c r="G4044" s="23" t="str">
        <f aca="false">IF(B4044="","","")</f>
        <v/>
      </c>
      <c r="H4044" s="23" t="str">
        <f aca="false">IF(B4044="","","")</f>
        <v/>
      </c>
      <c r="I4044" s="23" t="str">
        <f aca="false">IF(B4044="","","")</f>
        <v/>
      </c>
      <c r="J4044" s="23" t="str">
        <f aca="false">IF(B4044="","","touch_1; "&amp;IFERROR(INDEX(Clay_Brands!$A$2:$FZ$601,593,Sync!$D$10)&amp;"","")&amp;"; "&amp;IFERROR(INDEX(Clay_Brands!$A$2:$FZ$601,593,Sync!$D$9)&amp;"",""))</f>
        <v/>
      </c>
      <c r="K4044" s="32" t="s">
        <v>1366</v>
      </c>
    </row>
    <row r="4045" customFormat="false" ht="15" hidden="false" customHeight="false" outlineLevel="0" collapsed="false">
      <c r="A4045" s="23" t="str">
        <f aca="false">IF(B4045="","",B4045+(15*1000+594)/10000000)</f>
        <v/>
      </c>
      <c r="B4045" s="35" t="str">
        <f aca="false">IF(AND(IFERROR(N(INDEX(Clay_Brands!$A$2:$FZ$601,594,Sync!$D$11)),0)&gt;0,IFERROR(INDEX(Clay_Brands!$A$2:$FZ$601,594,Sync!$D$5)&amp;"","")&lt;&gt;"",OR(LEFT(IFERROR(INDEX(Clay_Brands!$A$2:$FZ$601,594,Sync!$D$5)&amp;"",""),6)&lt;&gt;"SAMPLE",Config!$B$19="Y")),IFERROR(N(INDEX(Clay_Brands!$A$2:$FZ$601,594,Sync!$D$11)),0),"")</f>
        <v/>
      </c>
      <c r="C4045" s="23" t="str">
        <f aca="false">IF(B4045="","","brand")</f>
        <v/>
      </c>
      <c r="D4045" s="23" t="str">
        <f aca="false">IF(B4045="","",IFERROR(INDEX(Brand_Log!$DV$2:$DV$201,MATCH(IFERROR(INDEX(Clay_Brands!$A$2:$FZ$601,594,Sync!$D$5)&amp;"",""),Brand_Log!$A$2:$A$201,0))&amp;"",IFERROR(INDEX(Clay_Brands!$A$2:$FZ$601,594,Sync!$D$5)&amp;"","")&amp;""))</f>
        <v/>
      </c>
      <c r="E4045" s="23" t="str">
        <f aca="false">IF(B4045="","",IFERROR(INDEX(Clay_Brands!$A$2:$FZ$601,594,Sync!$D$6)&amp;"",""))</f>
        <v/>
      </c>
      <c r="F4045" s="23" t="str">
        <f aca="false">IF(B4045="","","outreach_sent")</f>
        <v/>
      </c>
      <c r="G4045" s="23" t="str">
        <f aca="false">IF(B4045="","","")</f>
        <v/>
      </c>
      <c r="H4045" s="23" t="str">
        <f aca="false">IF(B4045="","","")</f>
        <v/>
      </c>
      <c r="I4045" s="23" t="str">
        <f aca="false">IF(B4045="","","")</f>
        <v/>
      </c>
      <c r="J4045" s="23" t="str">
        <f aca="false">IF(B4045="","","touch_1; "&amp;IFERROR(INDEX(Clay_Brands!$A$2:$FZ$601,594,Sync!$D$10)&amp;"","")&amp;"; "&amp;IFERROR(INDEX(Clay_Brands!$A$2:$FZ$601,594,Sync!$D$9)&amp;"",""))</f>
        <v/>
      </c>
      <c r="K4045" s="32" t="s">
        <v>1366</v>
      </c>
    </row>
    <row r="4046" customFormat="false" ht="15" hidden="false" customHeight="false" outlineLevel="0" collapsed="false">
      <c r="A4046" s="23" t="str">
        <f aca="false">IF(B4046="","",B4046+(15*1000+595)/10000000)</f>
        <v/>
      </c>
      <c r="B4046" s="35" t="str">
        <f aca="false">IF(AND(IFERROR(N(INDEX(Clay_Brands!$A$2:$FZ$601,595,Sync!$D$11)),0)&gt;0,IFERROR(INDEX(Clay_Brands!$A$2:$FZ$601,595,Sync!$D$5)&amp;"","")&lt;&gt;"",OR(LEFT(IFERROR(INDEX(Clay_Brands!$A$2:$FZ$601,595,Sync!$D$5)&amp;"",""),6)&lt;&gt;"SAMPLE",Config!$B$19="Y")),IFERROR(N(INDEX(Clay_Brands!$A$2:$FZ$601,595,Sync!$D$11)),0),"")</f>
        <v/>
      </c>
      <c r="C4046" s="23" t="str">
        <f aca="false">IF(B4046="","","brand")</f>
        <v/>
      </c>
      <c r="D4046" s="23" t="str">
        <f aca="false">IF(B4046="","",IFERROR(INDEX(Brand_Log!$DV$2:$DV$201,MATCH(IFERROR(INDEX(Clay_Brands!$A$2:$FZ$601,595,Sync!$D$5)&amp;"",""),Brand_Log!$A$2:$A$201,0))&amp;"",IFERROR(INDEX(Clay_Brands!$A$2:$FZ$601,595,Sync!$D$5)&amp;"","")&amp;""))</f>
        <v/>
      </c>
      <c r="E4046" s="23" t="str">
        <f aca="false">IF(B4046="","",IFERROR(INDEX(Clay_Brands!$A$2:$FZ$601,595,Sync!$D$6)&amp;"",""))</f>
        <v/>
      </c>
      <c r="F4046" s="23" t="str">
        <f aca="false">IF(B4046="","","outreach_sent")</f>
        <v/>
      </c>
      <c r="G4046" s="23" t="str">
        <f aca="false">IF(B4046="","","")</f>
        <v/>
      </c>
      <c r="H4046" s="23" t="str">
        <f aca="false">IF(B4046="","","")</f>
        <v/>
      </c>
      <c r="I4046" s="23" t="str">
        <f aca="false">IF(B4046="","","")</f>
        <v/>
      </c>
      <c r="J4046" s="23" t="str">
        <f aca="false">IF(B4046="","","touch_1; "&amp;IFERROR(INDEX(Clay_Brands!$A$2:$FZ$601,595,Sync!$D$10)&amp;"","")&amp;"; "&amp;IFERROR(INDEX(Clay_Brands!$A$2:$FZ$601,595,Sync!$D$9)&amp;"",""))</f>
        <v/>
      </c>
      <c r="K4046" s="32" t="s">
        <v>1366</v>
      </c>
    </row>
    <row r="4047" customFormat="false" ht="15" hidden="false" customHeight="false" outlineLevel="0" collapsed="false">
      <c r="A4047" s="23" t="str">
        <f aca="false">IF(B4047="","",B4047+(15*1000+596)/10000000)</f>
        <v/>
      </c>
      <c r="B4047" s="35" t="str">
        <f aca="false">IF(AND(IFERROR(N(INDEX(Clay_Brands!$A$2:$FZ$601,596,Sync!$D$11)),0)&gt;0,IFERROR(INDEX(Clay_Brands!$A$2:$FZ$601,596,Sync!$D$5)&amp;"","")&lt;&gt;"",OR(LEFT(IFERROR(INDEX(Clay_Brands!$A$2:$FZ$601,596,Sync!$D$5)&amp;"",""),6)&lt;&gt;"SAMPLE",Config!$B$19="Y")),IFERROR(N(INDEX(Clay_Brands!$A$2:$FZ$601,596,Sync!$D$11)),0),"")</f>
        <v/>
      </c>
      <c r="C4047" s="23" t="str">
        <f aca="false">IF(B4047="","","brand")</f>
        <v/>
      </c>
      <c r="D4047" s="23" t="str">
        <f aca="false">IF(B4047="","",IFERROR(INDEX(Brand_Log!$DV$2:$DV$201,MATCH(IFERROR(INDEX(Clay_Brands!$A$2:$FZ$601,596,Sync!$D$5)&amp;"",""),Brand_Log!$A$2:$A$201,0))&amp;"",IFERROR(INDEX(Clay_Brands!$A$2:$FZ$601,596,Sync!$D$5)&amp;"","")&amp;""))</f>
        <v/>
      </c>
      <c r="E4047" s="23" t="str">
        <f aca="false">IF(B4047="","",IFERROR(INDEX(Clay_Brands!$A$2:$FZ$601,596,Sync!$D$6)&amp;"",""))</f>
        <v/>
      </c>
      <c r="F4047" s="23" t="str">
        <f aca="false">IF(B4047="","","outreach_sent")</f>
        <v/>
      </c>
      <c r="G4047" s="23" t="str">
        <f aca="false">IF(B4047="","","")</f>
        <v/>
      </c>
      <c r="H4047" s="23" t="str">
        <f aca="false">IF(B4047="","","")</f>
        <v/>
      </c>
      <c r="I4047" s="23" t="str">
        <f aca="false">IF(B4047="","","")</f>
        <v/>
      </c>
      <c r="J4047" s="23" t="str">
        <f aca="false">IF(B4047="","","touch_1; "&amp;IFERROR(INDEX(Clay_Brands!$A$2:$FZ$601,596,Sync!$D$10)&amp;"","")&amp;"; "&amp;IFERROR(INDEX(Clay_Brands!$A$2:$FZ$601,596,Sync!$D$9)&amp;"",""))</f>
        <v/>
      </c>
      <c r="K4047" s="32" t="s">
        <v>1366</v>
      </c>
    </row>
    <row r="4048" customFormat="false" ht="15" hidden="false" customHeight="false" outlineLevel="0" collapsed="false">
      <c r="A4048" s="23" t="str">
        <f aca="false">IF(B4048="","",B4048+(15*1000+597)/10000000)</f>
        <v/>
      </c>
      <c r="B4048" s="35" t="str">
        <f aca="false">IF(AND(IFERROR(N(INDEX(Clay_Brands!$A$2:$FZ$601,597,Sync!$D$11)),0)&gt;0,IFERROR(INDEX(Clay_Brands!$A$2:$FZ$601,597,Sync!$D$5)&amp;"","")&lt;&gt;"",OR(LEFT(IFERROR(INDEX(Clay_Brands!$A$2:$FZ$601,597,Sync!$D$5)&amp;"",""),6)&lt;&gt;"SAMPLE",Config!$B$19="Y")),IFERROR(N(INDEX(Clay_Brands!$A$2:$FZ$601,597,Sync!$D$11)),0),"")</f>
        <v/>
      </c>
      <c r="C4048" s="23" t="str">
        <f aca="false">IF(B4048="","","brand")</f>
        <v/>
      </c>
      <c r="D4048" s="23" t="str">
        <f aca="false">IF(B4048="","",IFERROR(INDEX(Brand_Log!$DV$2:$DV$201,MATCH(IFERROR(INDEX(Clay_Brands!$A$2:$FZ$601,597,Sync!$D$5)&amp;"",""),Brand_Log!$A$2:$A$201,0))&amp;"",IFERROR(INDEX(Clay_Brands!$A$2:$FZ$601,597,Sync!$D$5)&amp;"","")&amp;""))</f>
        <v/>
      </c>
      <c r="E4048" s="23" t="str">
        <f aca="false">IF(B4048="","",IFERROR(INDEX(Clay_Brands!$A$2:$FZ$601,597,Sync!$D$6)&amp;"",""))</f>
        <v/>
      </c>
      <c r="F4048" s="23" t="str">
        <f aca="false">IF(B4048="","","outreach_sent")</f>
        <v/>
      </c>
      <c r="G4048" s="23" t="str">
        <f aca="false">IF(B4048="","","")</f>
        <v/>
      </c>
      <c r="H4048" s="23" t="str">
        <f aca="false">IF(B4048="","","")</f>
        <v/>
      </c>
      <c r="I4048" s="23" t="str">
        <f aca="false">IF(B4048="","","")</f>
        <v/>
      </c>
      <c r="J4048" s="23" t="str">
        <f aca="false">IF(B4048="","","touch_1; "&amp;IFERROR(INDEX(Clay_Brands!$A$2:$FZ$601,597,Sync!$D$10)&amp;"","")&amp;"; "&amp;IFERROR(INDEX(Clay_Brands!$A$2:$FZ$601,597,Sync!$D$9)&amp;"",""))</f>
        <v/>
      </c>
      <c r="K4048" s="32" t="s">
        <v>1366</v>
      </c>
    </row>
    <row r="4049" customFormat="false" ht="15" hidden="false" customHeight="false" outlineLevel="0" collapsed="false">
      <c r="A4049" s="23" t="str">
        <f aca="false">IF(B4049="","",B4049+(15*1000+598)/10000000)</f>
        <v/>
      </c>
      <c r="B4049" s="35" t="str">
        <f aca="false">IF(AND(IFERROR(N(INDEX(Clay_Brands!$A$2:$FZ$601,598,Sync!$D$11)),0)&gt;0,IFERROR(INDEX(Clay_Brands!$A$2:$FZ$601,598,Sync!$D$5)&amp;"","")&lt;&gt;"",OR(LEFT(IFERROR(INDEX(Clay_Brands!$A$2:$FZ$601,598,Sync!$D$5)&amp;"",""),6)&lt;&gt;"SAMPLE",Config!$B$19="Y")),IFERROR(N(INDEX(Clay_Brands!$A$2:$FZ$601,598,Sync!$D$11)),0),"")</f>
        <v/>
      </c>
      <c r="C4049" s="23" t="str">
        <f aca="false">IF(B4049="","","brand")</f>
        <v/>
      </c>
      <c r="D4049" s="23" t="str">
        <f aca="false">IF(B4049="","",IFERROR(INDEX(Brand_Log!$DV$2:$DV$201,MATCH(IFERROR(INDEX(Clay_Brands!$A$2:$FZ$601,598,Sync!$D$5)&amp;"",""),Brand_Log!$A$2:$A$201,0))&amp;"",IFERROR(INDEX(Clay_Brands!$A$2:$FZ$601,598,Sync!$D$5)&amp;"","")&amp;""))</f>
        <v/>
      </c>
      <c r="E4049" s="23" t="str">
        <f aca="false">IF(B4049="","",IFERROR(INDEX(Clay_Brands!$A$2:$FZ$601,598,Sync!$D$6)&amp;"",""))</f>
        <v/>
      </c>
      <c r="F4049" s="23" t="str">
        <f aca="false">IF(B4049="","","outreach_sent")</f>
        <v/>
      </c>
      <c r="G4049" s="23" t="str">
        <f aca="false">IF(B4049="","","")</f>
        <v/>
      </c>
      <c r="H4049" s="23" t="str">
        <f aca="false">IF(B4049="","","")</f>
        <v/>
      </c>
      <c r="I4049" s="23" t="str">
        <f aca="false">IF(B4049="","","")</f>
        <v/>
      </c>
      <c r="J4049" s="23" t="str">
        <f aca="false">IF(B4049="","","touch_1; "&amp;IFERROR(INDEX(Clay_Brands!$A$2:$FZ$601,598,Sync!$D$10)&amp;"","")&amp;"; "&amp;IFERROR(INDEX(Clay_Brands!$A$2:$FZ$601,598,Sync!$D$9)&amp;"",""))</f>
        <v/>
      </c>
      <c r="K4049" s="32" t="s">
        <v>1366</v>
      </c>
    </row>
    <row r="4050" customFormat="false" ht="15" hidden="false" customHeight="false" outlineLevel="0" collapsed="false">
      <c r="A4050" s="23" t="str">
        <f aca="false">IF(B4050="","",B4050+(15*1000+599)/10000000)</f>
        <v/>
      </c>
      <c r="B4050" s="35" t="str">
        <f aca="false">IF(AND(IFERROR(N(INDEX(Clay_Brands!$A$2:$FZ$601,599,Sync!$D$11)),0)&gt;0,IFERROR(INDEX(Clay_Brands!$A$2:$FZ$601,599,Sync!$D$5)&amp;"","")&lt;&gt;"",OR(LEFT(IFERROR(INDEX(Clay_Brands!$A$2:$FZ$601,599,Sync!$D$5)&amp;"",""),6)&lt;&gt;"SAMPLE",Config!$B$19="Y")),IFERROR(N(INDEX(Clay_Brands!$A$2:$FZ$601,599,Sync!$D$11)),0),"")</f>
        <v/>
      </c>
      <c r="C4050" s="23" t="str">
        <f aca="false">IF(B4050="","","brand")</f>
        <v/>
      </c>
      <c r="D4050" s="23" t="str">
        <f aca="false">IF(B4050="","",IFERROR(INDEX(Brand_Log!$DV$2:$DV$201,MATCH(IFERROR(INDEX(Clay_Brands!$A$2:$FZ$601,599,Sync!$D$5)&amp;"",""),Brand_Log!$A$2:$A$201,0))&amp;"",IFERROR(INDEX(Clay_Brands!$A$2:$FZ$601,599,Sync!$D$5)&amp;"","")&amp;""))</f>
        <v/>
      </c>
      <c r="E4050" s="23" t="str">
        <f aca="false">IF(B4050="","",IFERROR(INDEX(Clay_Brands!$A$2:$FZ$601,599,Sync!$D$6)&amp;"",""))</f>
        <v/>
      </c>
      <c r="F4050" s="23" t="str">
        <f aca="false">IF(B4050="","","outreach_sent")</f>
        <v/>
      </c>
      <c r="G4050" s="23" t="str">
        <f aca="false">IF(B4050="","","")</f>
        <v/>
      </c>
      <c r="H4050" s="23" t="str">
        <f aca="false">IF(B4050="","","")</f>
        <v/>
      </c>
      <c r="I4050" s="23" t="str">
        <f aca="false">IF(B4050="","","")</f>
        <v/>
      </c>
      <c r="J4050" s="23" t="str">
        <f aca="false">IF(B4050="","","touch_1; "&amp;IFERROR(INDEX(Clay_Brands!$A$2:$FZ$601,599,Sync!$D$10)&amp;"","")&amp;"; "&amp;IFERROR(INDEX(Clay_Brands!$A$2:$FZ$601,599,Sync!$D$9)&amp;"",""))</f>
        <v/>
      </c>
      <c r="K4050" s="32" t="s">
        <v>1366</v>
      </c>
    </row>
    <row r="4051" customFormat="false" ht="15" hidden="false" customHeight="false" outlineLevel="0" collapsed="false">
      <c r="A4051" s="23" t="str">
        <f aca="false">IF(B4051="","",B4051+(15*1000+600)/10000000)</f>
        <v/>
      </c>
      <c r="B4051" s="35" t="str">
        <f aca="false">IF(AND(IFERROR(N(INDEX(Clay_Brands!$A$2:$FZ$601,600,Sync!$D$11)),0)&gt;0,IFERROR(INDEX(Clay_Brands!$A$2:$FZ$601,600,Sync!$D$5)&amp;"","")&lt;&gt;"",OR(LEFT(IFERROR(INDEX(Clay_Brands!$A$2:$FZ$601,600,Sync!$D$5)&amp;"",""),6)&lt;&gt;"SAMPLE",Config!$B$19="Y")),IFERROR(N(INDEX(Clay_Brands!$A$2:$FZ$601,600,Sync!$D$11)),0),"")</f>
        <v/>
      </c>
      <c r="C4051" s="23" t="str">
        <f aca="false">IF(B4051="","","brand")</f>
        <v/>
      </c>
      <c r="D4051" s="23" t="str">
        <f aca="false">IF(B4051="","",IFERROR(INDEX(Brand_Log!$DV$2:$DV$201,MATCH(IFERROR(INDEX(Clay_Brands!$A$2:$FZ$601,600,Sync!$D$5)&amp;"",""),Brand_Log!$A$2:$A$201,0))&amp;"",IFERROR(INDEX(Clay_Brands!$A$2:$FZ$601,600,Sync!$D$5)&amp;"","")&amp;""))</f>
        <v/>
      </c>
      <c r="E4051" s="23" t="str">
        <f aca="false">IF(B4051="","",IFERROR(INDEX(Clay_Brands!$A$2:$FZ$601,600,Sync!$D$6)&amp;"",""))</f>
        <v/>
      </c>
      <c r="F4051" s="23" t="str">
        <f aca="false">IF(B4051="","","outreach_sent")</f>
        <v/>
      </c>
      <c r="G4051" s="23" t="str">
        <f aca="false">IF(B4051="","","")</f>
        <v/>
      </c>
      <c r="H4051" s="23" t="str">
        <f aca="false">IF(B4051="","","")</f>
        <v/>
      </c>
      <c r="I4051" s="23" t="str">
        <f aca="false">IF(B4051="","","")</f>
        <v/>
      </c>
      <c r="J4051" s="23" t="str">
        <f aca="false">IF(B4051="","","touch_1; "&amp;IFERROR(INDEX(Clay_Brands!$A$2:$FZ$601,600,Sync!$D$10)&amp;"","")&amp;"; "&amp;IFERROR(INDEX(Clay_Brands!$A$2:$FZ$601,600,Sync!$D$9)&amp;"",""))</f>
        <v/>
      </c>
      <c r="K4051" s="32" t="s">
        <v>1366</v>
      </c>
    </row>
    <row r="4052" customFormat="false" ht="15" hidden="false" customHeight="false" outlineLevel="0" collapsed="false">
      <c r="A4052" s="23" t="str">
        <f aca="false">IF(B4052="","",B4052+(16*1000+1)/10000000)</f>
        <v/>
      </c>
      <c r="B4052" s="35" t="str">
        <f aca="false">IF(AND(IFERROR(N(INDEX(Clay_Brands!$A$2:$FZ$601,1,Sync!$D$12)),0)&gt;0,IFERROR(INDEX(Clay_Brands!$A$2:$FZ$601,1,Sync!$D$5)&amp;"","")&lt;&gt;"",OR(LEFT(IFERROR(INDEX(Clay_Brands!$A$2:$FZ$601,1,Sync!$D$5)&amp;"",""),6)&lt;&gt;"SAMPLE",Config!$B$19="Y")),IFERROR(N(INDEX(Clay_Brands!$A$2:$FZ$601,1,Sync!$D$12)),0),"")</f>
        <v/>
      </c>
      <c r="C4052" s="23" t="str">
        <f aca="false">IF(B4052="","","brand")</f>
        <v/>
      </c>
      <c r="D4052" s="23" t="str">
        <f aca="false">IF(B4052="","",IFERROR(INDEX(Brand_Log!$DV$2:$DV$201,MATCH(IFERROR(INDEX(Clay_Brands!$A$2:$FZ$601,1,Sync!$D$5)&amp;"",""),Brand_Log!$A$2:$A$201,0))&amp;"",IFERROR(INDEX(Clay_Brands!$A$2:$FZ$601,1,Sync!$D$5)&amp;"","")&amp;""))</f>
        <v/>
      </c>
      <c r="E4052" s="23" t="str">
        <f aca="false">IF(B4052="","",IFERROR(INDEX(Clay_Brands!$A$2:$FZ$601,1,Sync!$D$6)&amp;"",""))</f>
        <v/>
      </c>
      <c r="F4052" s="23" t="str">
        <f aca="false">IF(B4052="","","outreach_sent")</f>
        <v/>
      </c>
      <c r="G4052" s="23" t="str">
        <f aca="false">IF(B4052="","","")</f>
        <v/>
      </c>
      <c r="H4052" s="23" t="str">
        <f aca="false">IF(B4052="","","")</f>
        <v/>
      </c>
      <c r="I4052" s="23" t="str">
        <f aca="false">IF(B4052="","","")</f>
        <v/>
      </c>
      <c r="J4052" s="23" t="str">
        <f aca="false">IF(B4052="","","touch_2; "&amp;IFERROR(INDEX(Clay_Brands!$A$2:$FZ$601,1,Sync!$D$10)&amp;"","")&amp;"; "&amp;IFERROR(INDEX(Clay_Brands!$A$2:$FZ$601,1,Sync!$D$9)&amp;"",""))</f>
        <v/>
      </c>
      <c r="K4052" s="32" t="s">
        <v>1367</v>
      </c>
    </row>
    <row r="4053" customFormat="false" ht="15" hidden="false" customHeight="false" outlineLevel="0" collapsed="false">
      <c r="A4053" s="23" t="str">
        <f aca="false">IF(B4053="","",B4053+(16*1000+2)/10000000)</f>
        <v/>
      </c>
      <c r="B4053" s="35" t="str">
        <f aca="false">IF(AND(IFERROR(N(INDEX(Clay_Brands!$A$2:$FZ$601,2,Sync!$D$12)),0)&gt;0,IFERROR(INDEX(Clay_Brands!$A$2:$FZ$601,2,Sync!$D$5)&amp;"","")&lt;&gt;"",OR(LEFT(IFERROR(INDEX(Clay_Brands!$A$2:$FZ$601,2,Sync!$D$5)&amp;"",""),6)&lt;&gt;"SAMPLE",Config!$B$19="Y")),IFERROR(N(INDEX(Clay_Brands!$A$2:$FZ$601,2,Sync!$D$12)),0),"")</f>
        <v/>
      </c>
      <c r="C4053" s="23" t="str">
        <f aca="false">IF(B4053="","","brand")</f>
        <v/>
      </c>
      <c r="D4053" s="23" t="str">
        <f aca="false">IF(B4053="","",IFERROR(INDEX(Brand_Log!$DV$2:$DV$201,MATCH(IFERROR(INDEX(Clay_Brands!$A$2:$FZ$601,2,Sync!$D$5)&amp;"",""),Brand_Log!$A$2:$A$201,0))&amp;"",IFERROR(INDEX(Clay_Brands!$A$2:$FZ$601,2,Sync!$D$5)&amp;"","")&amp;""))</f>
        <v/>
      </c>
      <c r="E4053" s="23" t="str">
        <f aca="false">IF(B4053="","",IFERROR(INDEX(Clay_Brands!$A$2:$FZ$601,2,Sync!$D$6)&amp;"",""))</f>
        <v/>
      </c>
      <c r="F4053" s="23" t="str">
        <f aca="false">IF(B4053="","","outreach_sent")</f>
        <v/>
      </c>
      <c r="G4053" s="23" t="str">
        <f aca="false">IF(B4053="","","")</f>
        <v/>
      </c>
      <c r="H4053" s="23" t="str">
        <f aca="false">IF(B4053="","","")</f>
        <v/>
      </c>
      <c r="I4053" s="23" t="str">
        <f aca="false">IF(B4053="","","")</f>
        <v/>
      </c>
      <c r="J4053" s="23" t="str">
        <f aca="false">IF(B4053="","","touch_2; "&amp;IFERROR(INDEX(Clay_Brands!$A$2:$FZ$601,2,Sync!$D$10)&amp;"","")&amp;"; "&amp;IFERROR(INDEX(Clay_Brands!$A$2:$FZ$601,2,Sync!$D$9)&amp;"",""))</f>
        <v/>
      </c>
      <c r="K4053" s="32" t="s">
        <v>1367</v>
      </c>
    </row>
    <row r="4054" customFormat="false" ht="15" hidden="false" customHeight="false" outlineLevel="0" collapsed="false">
      <c r="A4054" s="23" t="str">
        <f aca="false">IF(B4054="","",B4054+(16*1000+3)/10000000)</f>
        <v/>
      </c>
      <c r="B4054" s="35" t="str">
        <f aca="false">IF(AND(IFERROR(N(INDEX(Clay_Brands!$A$2:$FZ$601,3,Sync!$D$12)),0)&gt;0,IFERROR(INDEX(Clay_Brands!$A$2:$FZ$601,3,Sync!$D$5)&amp;"","")&lt;&gt;"",OR(LEFT(IFERROR(INDEX(Clay_Brands!$A$2:$FZ$601,3,Sync!$D$5)&amp;"",""),6)&lt;&gt;"SAMPLE",Config!$B$19="Y")),IFERROR(N(INDEX(Clay_Brands!$A$2:$FZ$601,3,Sync!$D$12)),0),"")</f>
        <v/>
      </c>
      <c r="C4054" s="23" t="str">
        <f aca="false">IF(B4054="","","brand")</f>
        <v/>
      </c>
      <c r="D4054" s="23" t="str">
        <f aca="false">IF(B4054="","",IFERROR(INDEX(Brand_Log!$DV$2:$DV$201,MATCH(IFERROR(INDEX(Clay_Brands!$A$2:$FZ$601,3,Sync!$D$5)&amp;"",""),Brand_Log!$A$2:$A$201,0))&amp;"",IFERROR(INDEX(Clay_Brands!$A$2:$FZ$601,3,Sync!$D$5)&amp;"","")&amp;""))</f>
        <v/>
      </c>
      <c r="E4054" s="23" t="str">
        <f aca="false">IF(B4054="","",IFERROR(INDEX(Clay_Brands!$A$2:$FZ$601,3,Sync!$D$6)&amp;"",""))</f>
        <v/>
      </c>
      <c r="F4054" s="23" t="str">
        <f aca="false">IF(B4054="","","outreach_sent")</f>
        <v/>
      </c>
      <c r="G4054" s="23" t="str">
        <f aca="false">IF(B4054="","","")</f>
        <v/>
      </c>
      <c r="H4054" s="23" t="str">
        <f aca="false">IF(B4054="","","")</f>
        <v/>
      </c>
      <c r="I4054" s="23" t="str">
        <f aca="false">IF(B4054="","","")</f>
        <v/>
      </c>
      <c r="J4054" s="23" t="str">
        <f aca="false">IF(B4054="","","touch_2; "&amp;IFERROR(INDEX(Clay_Brands!$A$2:$FZ$601,3,Sync!$D$10)&amp;"","")&amp;"; "&amp;IFERROR(INDEX(Clay_Brands!$A$2:$FZ$601,3,Sync!$D$9)&amp;"",""))</f>
        <v/>
      </c>
      <c r="K4054" s="32" t="s">
        <v>1367</v>
      </c>
    </row>
    <row r="4055" customFormat="false" ht="15" hidden="false" customHeight="false" outlineLevel="0" collapsed="false">
      <c r="A4055" s="23" t="str">
        <f aca="false">IF(B4055="","",B4055+(16*1000+4)/10000000)</f>
        <v/>
      </c>
      <c r="B4055" s="35" t="str">
        <f aca="false">IF(AND(IFERROR(N(INDEX(Clay_Brands!$A$2:$FZ$601,4,Sync!$D$12)),0)&gt;0,IFERROR(INDEX(Clay_Brands!$A$2:$FZ$601,4,Sync!$D$5)&amp;"","")&lt;&gt;"",OR(LEFT(IFERROR(INDEX(Clay_Brands!$A$2:$FZ$601,4,Sync!$D$5)&amp;"",""),6)&lt;&gt;"SAMPLE",Config!$B$19="Y")),IFERROR(N(INDEX(Clay_Brands!$A$2:$FZ$601,4,Sync!$D$12)),0),"")</f>
        <v/>
      </c>
      <c r="C4055" s="23" t="str">
        <f aca="false">IF(B4055="","","brand")</f>
        <v/>
      </c>
      <c r="D4055" s="23" t="str">
        <f aca="false">IF(B4055="","",IFERROR(INDEX(Brand_Log!$DV$2:$DV$201,MATCH(IFERROR(INDEX(Clay_Brands!$A$2:$FZ$601,4,Sync!$D$5)&amp;"",""),Brand_Log!$A$2:$A$201,0))&amp;"",IFERROR(INDEX(Clay_Brands!$A$2:$FZ$601,4,Sync!$D$5)&amp;"","")&amp;""))</f>
        <v/>
      </c>
      <c r="E4055" s="23" t="str">
        <f aca="false">IF(B4055="","",IFERROR(INDEX(Clay_Brands!$A$2:$FZ$601,4,Sync!$D$6)&amp;"",""))</f>
        <v/>
      </c>
      <c r="F4055" s="23" t="str">
        <f aca="false">IF(B4055="","","outreach_sent")</f>
        <v/>
      </c>
      <c r="G4055" s="23" t="str">
        <f aca="false">IF(B4055="","","")</f>
        <v/>
      </c>
      <c r="H4055" s="23" t="str">
        <f aca="false">IF(B4055="","","")</f>
        <v/>
      </c>
      <c r="I4055" s="23" t="str">
        <f aca="false">IF(B4055="","","")</f>
        <v/>
      </c>
      <c r="J4055" s="23" t="str">
        <f aca="false">IF(B4055="","","touch_2; "&amp;IFERROR(INDEX(Clay_Brands!$A$2:$FZ$601,4,Sync!$D$10)&amp;"","")&amp;"; "&amp;IFERROR(INDEX(Clay_Brands!$A$2:$FZ$601,4,Sync!$D$9)&amp;"",""))</f>
        <v/>
      </c>
      <c r="K4055" s="32" t="s">
        <v>1367</v>
      </c>
    </row>
    <row r="4056" customFormat="false" ht="15" hidden="false" customHeight="false" outlineLevel="0" collapsed="false">
      <c r="A4056" s="23" t="str">
        <f aca="false">IF(B4056="","",B4056+(16*1000+5)/10000000)</f>
        <v/>
      </c>
      <c r="B4056" s="35" t="str">
        <f aca="false">IF(AND(IFERROR(N(INDEX(Clay_Brands!$A$2:$FZ$601,5,Sync!$D$12)),0)&gt;0,IFERROR(INDEX(Clay_Brands!$A$2:$FZ$601,5,Sync!$D$5)&amp;"","")&lt;&gt;"",OR(LEFT(IFERROR(INDEX(Clay_Brands!$A$2:$FZ$601,5,Sync!$D$5)&amp;"",""),6)&lt;&gt;"SAMPLE",Config!$B$19="Y")),IFERROR(N(INDEX(Clay_Brands!$A$2:$FZ$601,5,Sync!$D$12)),0),"")</f>
        <v/>
      </c>
      <c r="C4056" s="23" t="str">
        <f aca="false">IF(B4056="","","brand")</f>
        <v/>
      </c>
      <c r="D4056" s="23" t="str">
        <f aca="false">IF(B4056="","",IFERROR(INDEX(Brand_Log!$DV$2:$DV$201,MATCH(IFERROR(INDEX(Clay_Brands!$A$2:$FZ$601,5,Sync!$D$5)&amp;"",""),Brand_Log!$A$2:$A$201,0))&amp;"",IFERROR(INDEX(Clay_Brands!$A$2:$FZ$601,5,Sync!$D$5)&amp;"","")&amp;""))</f>
        <v/>
      </c>
      <c r="E4056" s="23" t="str">
        <f aca="false">IF(B4056="","",IFERROR(INDEX(Clay_Brands!$A$2:$FZ$601,5,Sync!$D$6)&amp;"",""))</f>
        <v/>
      </c>
      <c r="F4056" s="23" t="str">
        <f aca="false">IF(B4056="","","outreach_sent")</f>
        <v/>
      </c>
      <c r="G4056" s="23" t="str">
        <f aca="false">IF(B4056="","","")</f>
        <v/>
      </c>
      <c r="H4056" s="23" t="str">
        <f aca="false">IF(B4056="","","")</f>
        <v/>
      </c>
      <c r="I4056" s="23" t="str">
        <f aca="false">IF(B4056="","","")</f>
        <v/>
      </c>
      <c r="J4056" s="23" t="str">
        <f aca="false">IF(B4056="","","touch_2; "&amp;IFERROR(INDEX(Clay_Brands!$A$2:$FZ$601,5,Sync!$D$10)&amp;"","")&amp;"; "&amp;IFERROR(INDEX(Clay_Brands!$A$2:$FZ$601,5,Sync!$D$9)&amp;"",""))</f>
        <v/>
      </c>
      <c r="K4056" s="32" t="s">
        <v>1367</v>
      </c>
    </row>
    <row r="4057" customFormat="false" ht="15" hidden="false" customHeight="false" outlineLevel="0" collapsed="false">
      <c r="A4057" s="23" t="str">
        <f aca="false">IF(B4057="","",B4057+(16*1000+6)/10000000)</f>
        <v/>
      </c>
      <c r="B4057" s="35" t="str">
        <f aca="false">IF(AND(IFERROR(N(INDEX(Clay_Brands!$A$2:$FZ$601,6,Sync!$D$12)),0)&gt;0,IFERROR(INDEX(Clay_Brands!$A$2:$FZ$601,6,Sync!$D$5)&amp;"","")&lt;&gt;"",OR(LEFT(IFERROR(INDEX(Clay_Brands!$A$2:$FZ$601,6,Sync!$D$5)&amp;"",""),6)&lt;&gt;"SAMPLE",Config!$B$19="Y")),IFERROR(N(INDEX(Clay_Brands!$A$2:$FZ$601,6,Sync!$D$12)),0),"")</f>
        <v/>
      </c>
      <c r="C4057" s="23" t="str">
        <f aca="false">IF(B4057="","","brand")</f>
        <v/>
      </c>
      <c r="D4057" s="23" t="str">
        <f aca="false">IF(B4057="","",IFERROR(INDEX(Brand_Log!$DV$2:$DV$201,MATCH(IFERROR(INDEX(Clay_Brands!$A$2:$FZ$601,6,Sync!$D$5)&amp;"",""),Brand_Log!$A$2:$A$201,0))&amp;"",IFERROR(INDEX(Clay_Brands!$A$2:$FZ$601,6,Sync!$D$5)&amp;"","")&amp;""))</f>
        <v/>
      </c>
      <c r="E4057" s="23" t="str">
        <f aca="false">IF(B4057="","",IFERROR(INDEX(Clay_Brands!$A$2:$FZ$601,6,Sync!$D$6)&amp;"",""))</f>
        <v/>
      </c>
      <c r="F4057" s="23" t="str">
        <f aca="false">IF(B4057="","","outreach_sent")</f>
        <v/>
      </c>
      <c r="G4057" s="23" t="str">
        <f aca="false">IF(B4057="","","")</f>
        <v/>
      </c>
      <c r="H4057" s="23" t="str">
        <f aca="false">IF(B4057="","","")</f>
        <v/>
      </c>
      <c r="I4057" s="23" t="str">
        <f aca="false">IF(B4057="","","")</f>
        <v/>
      </c>
      <c r="J4057" s="23" t="str">
        <f aca="false">IF(B4057="","","touch_2; "&amp;IFERROR(INDEX(Clay_Brands!$A$2:$FZ$601,6,Sync!$D$10)&amp;"","")&amp;"; "&amp;IFERROR(INDEX(Clay_Brands!$A$2:$FZ$601,6,Sync!$D$9)&amp;"",""))</f>
        <v/>
      </c>
      <c r="K4057" s="32" t="s">
        <v>1367</v>
      </c>
    </row>
    <row r="4058" customFormat="false" ht="15" hidden="false" customHeight="false" outlineLevel="0" collapsed="false">
      <c r="A4058" s="23" t="str">
        <f aca="false">IF(B4058="","",B4058+(16*1000+7)/10000000)</f>
        <v/>
      </c>
      <c r="B4058" s="35" t="str">
        <f aca="false">IF(AND(IFERROR(N(INDEX(Clay_Brands!$A$2:$FZ$601,7,Sync!$D$12)),0)&gt;0,IFERROR(INDEX(Clay_Brands!$A$2:$FZ$601,7,Sync!$D$5)&amp;"","")&lt;&gt;"",OR(LEFT(IFERROR(INDEX(Clay_Brands!$A$2:$FZ$601,7,Sync!$D$5)&amp;"",""),6)&lt;&gt;"SAMPLE",Config!$B$19="Y")),IFERROR(N(INDEX(Clay_Brands!$A$2:$FZ$601,7,Sync!$D$12)),0),"")</f>
        <v/>
      </c>
      <c r="C4058" s="23" t="str">
        <f aca="false">IF(B4058="","","brand")</f>
        <v/>
      </c>
      <c r="D4058" s="23" t="str">
        <f aca="false">IF(B4058="","",IFERROR(INDEX(Brand_Log!$DV$2:$DV$201,MATCH(IFERROR(INDEX(Clay_Brands!$A$2:$FZ$601,7,Sync!$D$5)&amp;"",""),Brand_Log!$A$2:$A$201,0))&amp;"",IFERROR(INDEX(Clay_Brands!$A$2:$FZ$601,7,Sync!$D$5)&amp;"","")&amp;""))</f>
        <v/>
      </c>
      <c r="E4058" s="23" t="str">
        <f aca="false">IF(B4058="","",IFERROR(INDEX(Clay_Brands!$A$2:$FZ$601,7,Sync!$D$6)&amp;"",""))</f>
        <v/>
      </c>
      <c r="F4058" s="23" t="str">
        <f aca="false">IF(B4058="","","outreach_sent")</f>
        <v/>
      </c>
      <c r="G4058" s="23" t="str">
        <f aca="false">IF(B4058="","","")</f>
        <v/>
      </c>
      <c r="H4058" s="23" t="str">
        <f aca="false">IF(B4058="","","")</f>
        <v/>
      </c>
      <c r="I4058" s="23" t="str">
        <f aca="false">IF(B4058="","","")</f>
        <v/>
      </c>
      <c r="J4058" s="23" t="str">
        <f aca="false">IF(B4058="","","touch_2; "&amp;IFERROR(INDEX(Clay_Brands!$A$2:$FZ$601,7,Sync!$D$10)&amp;"","")&amp;"; "&amp;IFERROR(INDEX(Clay_Brands!$A$2:$FZ$601,7,Sync!$D$9)&amp;"",""))</f>
        <v/>
      </c>
      <c r="K4058" s="32" t="s">
        <v>1367</v>
      </c>
    </row>
    <row r="4059" customFormat="false" ht="15" hidden="false" customHeight="false" outlineLevel="0" collapsed="false">
      <c r="A4059" s="23" t="str">
        <f aca="false">IF(B4059="","",B4059+(16*1000+8)/10000000)</f>
        <v/>
      </c>
      <c r="B4059" s="35" t="str">
        <f aca="false">IF(AND(IFERROR(N(INDEX(Clay_Brands!$A$2:$FZ$601,8,Sync!$D$12)),0)&gt;0,IFERROR(INDEX(Clay_Brands!$A$2:$FZ$601,8,Sync!$D$5)&amp;"","")&lt;&gt;"",OR(LEFT(IFERROR(INDEX(Clay_Brands!$A$2:$FZ$601,8,Sync!$D$5)&amp;"",""),6)&lt;&gt;"SAMPLE",Config!$B$19="Y")),IFERROR(N(INDEX(Clay_Brands!$A$2:$FZ$601,8,Sync!$D$12)),0),"")</f>
        <v/>
      </c>
      <c r="C4059" s="23" t="str">
        <f aca="false">IF(B4059="","","brand")</f>
        <v/>
      </c>
      <c r="D4059" s="23" t="str">
        <f aca="false">IF(B4059="","",IFERROR(INDEX(Brand_Log!$DV$2:$DV$201,MATCH(IFERROR(INDEX(Clay_Brands!$A$2:$FZ$601,8,Sync!$D$5)&amp;"",""),Brand_Log!$A$2:$A$201,0))&amp;"",IFERROR(INDEX(Clay_Brands!$A$2:$FZ$601,8,Sync!$D$5)&amp;"","")&amp;""))</f>
        <v/>
      </c>
      <c r="E4059" s="23" t="str">
        <f aca="false">IF(B4059="","",IFERROR(INDEX(Clay_Brands!$A$2:$FZ$601,8,Sync!$D$6)&amp;"",""))</f>
        <v/>
      </c>
      <c r="F4059" s="23" t="str">
        <f aca="false">IF(B4059="","","outreach_sent")</f>
        <v/>
      </c>
      <c r="G4059" s="23" t="str">
        <f aca="false">IF(B4059="","","")</f>
        <v/>
      </c>
      <c r="H4059" s="23" t="str">
        <f aca="false">IF(B4059="","","")</f>
        <v/>
      </c>
      <c r="I4059" s="23" t="str">
        <f aca="false">IF(B4059="","","")</f>
        <v/>
      </c>
      <c r="J4059" s="23" t="str">
        <f aca="false">IF(B4059="","","touch_2; "&amp;IFERROR(INDEX(Clay_Brands!$A$2:$FZ$601,8,Sync!$D$10)&amp;"","")&amp;"; "&amp;IFERROR(INDEX(Clay_Brands!$A$2:$FZ$601,8,Sync!$D$9)&amp;"",""))</f>
        <v/>
      </c>
      <c r="K4059" s="32" t="s">
        <v>1367</v>
      </c>
    </row>
    <row r="4060" customFormat="false" ht="15" hidden="false" customHeight="false" outlineLevel="0" collapsed="false">
      <c r="A4060" s="23" t="str">
        <f aca="false">IF(B4060="","",B4060+(16*1000+9)/10000000)</f>
        <v/>
      </c>
      <c r="B4060" s="35" t="str">
        <f aca="false">IF(AND(IFERROR(N(INDEX(Clay_Brands!$A$2:$FZ$601,9,Sync!$D$12)),0)&gt;0,IFERROR(INDEX(Clay_Brands!$A$2:$FZ$601,9,Sync!$D$5)&amp;"","")&lt;&gt;"",OR(LEFT(IFERROR(INDEX(Clay_Brands!$A$2:$FZ$601,9,Sync!$D$5)&amp;"",""),6)&lt;&gt;"SAMPLE",Config!$B$19="Y")),IFERROR(N(INDEX(Clay_Brands!$A$2:$FZ$601,9,Sync!$D$12)),0),"")</f>
        <v/>
      </c>
      <c r="C4060" s="23" t="str">
        <f aca="false">IF(B4060="","","brand")</f>
        <v/>
      </c>
      <c r="D4060" s="23" t="str">
        <f aca="false">IF(B4060="","",IFERROR(INDEX(Brand_Log!$DV$2:$DV$201,MATCH(IFERROR(INDEX(Clay_Brands!$A$2:$FZ$601,9,Sync!$D$5)&amp;"",""),Brand_Log!$A$2:$A$201,0))&amp;"",IFERROR(INDEX(Clay_Brands!$A$2:$FZ$601,9,Sync!$D$5)&amp;"","")&amp;""))</f>
        <v/>
      </c>
      <c r="E4060" s="23" t="str">
        <f aca="false">IF(B4060="","",IFERROR(INDEX(Clay_Brands!$A$2:$FZ$601,9,Sync!$D$6)&amp;"",""))</f>
        <v/>
      </c>
      <c r="F4060" s="23" t="str">
        <f aca="false">IF(B4060="","","outreach_sent")</f>
        <v/>
      </c>
      <c r="G4060" s="23" t="str">
        <f aca="false">IF(B4060="","","")</f>
        <v/>
      </c>
      <c r="H4060" s="23" t="str">
        <f aca="false">IF(B4060="","","")</f>
        <v/>
      </c>
      <c r="I4060" s="23" t="str">
        <f aca="false">IF(B4060="","","")</f>
        <v/>
      </c>
      <c r="J4060" s="23" t="str">
        <f aca="false">IF(B4060="","","touch_2; "&amp;IFERROR(INDEX(Clay_Brands!$A$2:$FZ$601,9,Sync!$D$10)&amp;"","")&amp;"; "&amp;IFERROR(INDEX(Clay_Brands!$A$2:$FZ$601,9,Sync!$D$9)&amp;"",""))</f>
        <v/>
      </c>
      <c r="K4060" s="32" t="s">
        <v>1367</v>
      </c>
    </row>
    <row r="4061" customFormat="false" ht="15" hidden="false" customHeight="false" outlineLevel="0" collapsed="false">
      <c r="A4061" s="23" t="str">
        <f aca="false">IF(B4061="","",B4061+(16*1000+10)/10000000)</f>
        <v/>
      </c>
      <c r="B4061" s="35" t="str">
        <f aca="false">IF(AND(IFERROR(N(INDEX(Clay_Brands!$A$2:$FZ$601,10,Sync!$D$12)),0)&gt;0,IFERROR(INDEX(Clay_Brands!$A$2:$FZ$601,10,Sync!$D$5)&amp;"","")&lt;&gt;"",OR(LEFT(IFERROR(INDEX(Clay_Brands!$A$2:$FZ$601,10,Sync!$D$5)&amp;"",""),6)&lt;&gt;"SAMPLE",Config!$B$19="Y")),IFERROR(N(INDEX(Clay_Brands!$A$2:$FZ$601,10,Sync!$D$12)),0),"")</f>
        <v/>
      </c>
      <c r="C4061" s="23" t="str">
        <f aca="false">IF(B4061="","","brand")</f>
        <v/>
      </c>
      <c r="D4061" s="23" t="str">
        <f aca="false">IF(B4061="","",IFERROR(INDEX(Brand_Log!$DV$2:$DV$201,MATCH(IFERROR(INDEX(Clay_Brands!$A$2:$FZ$601,10,Sync!$D$5)&amp;"",""),Brand_Log!$A$2:$A$201,0))&amp;"",IFERROR(INDEX(Clay_Brands!$A$2:$FZ$601,10,Sync!$D$5)&amp;"","")&amp;""))</f>
        <v/>
      </c>
      <c r="E4061" s="23" t="str">
        <f aca="false">IF(B4061="","",IFERROR(INDEX(Clay_Brands!$A$2:$FZ$601,10,Sync!$D$6)&amp;"",""))</f>
        <v/>
      </c>
      <c r="F4061" s="23" t="str">
        <f aca="false">IF(B4061="","","outreach_sent")</f>
        <v/>
      </c>
      <c r="G4061" s="23" t="str">
        <f aca="false">IF(B4061="","","")</f>
        <v/>
      </c>
      <c r="H4061" s="23" t="str">
        <f aca="false">IF(B4061="","","")</f>
        <v/>
      </c>
      <c r="I4061" s="23" t="str">
        <f aca="false">IF(B4061="","","")</f>
        <v/>
      </c>
      <c r="J4061" s="23" t="str">
        <f aca="false">IF(B4061="","","touch_2; "&amp;IFERROR(INDEX(Clay_Brands!$A$2:$FZ$601,10,Sync!$D$10)&amp;"","")&amp;"; "&amp;IFERROR(INDEX(Clay_Brands!$A$2:$FZ$601,10,Sync!$D$9)&amp;"",""))</f>
        <v/>
      </c>
      <c r="K4061" s="32" t="s">
        <v>1367</v>
      </c>
    </row>
    <row r="4062" customFormat="false" ht="15" hidden="false" customHeight="false" outlineLevel="0" collapsed="false">
      <c r="A4062" s="23" t="str">
        <f aca="false">IF(B4062="","",B4062+(16*1000+11)/10000000)</f>
        <v/>
      </c>
      <c r="B4062" s="35" t="str">
        <f aca="false">IF(AND(IFERROR(N(INDEX(Clay_Brands!$A$2:$FZ$601,11,Sync!$D$12)),0)&gt;0,IFERROR(INDEX(Clay_Brands!$A$2:$FZ$601,11,Sync!$D$5)&amp;"","")&lt;&gt;"",OR(LEFT(IFERROR(INDEX(Clay_Brands!$A$2:$FZ$601,11,Sync!$D$5)&amp;"",""),6)&lt;&gt;"SAMPLE",Config!$B$19="Y")),IFERROR(N(INDEX(Clay_Brands!$A$2:$FZ$601,11,Sync!$D$12)),0),"")</f>
        <v/>
      </c>
      <c r="C4062" s="23" t="str">
        <f aca="false">IF(B4062="","","brand")</f>
        <v/>
      </c>
      <c r="D4062" s="23" t="str">
        <f aca="false">IF(B4062="","",IFERROR(INDEX(Brand_Log!$DV$2:$DV$201,MATCH(IFERROR(INDEX(Clay_Brands!$A$2:$FZ$601,11,Sync!$D$5)&amp;"",""),Brand_Log!$A$2:$A$201,0))&amp;"",IFERROR(INDEX(Clay_Brands!$A$2:$FZ$601,11,Sync!$D$5)&amp;"","")&amp;""))</f>
        <v/>
      </c>
      <c r="E4062" s="23" t="str">
        <f aca="false">IF(B4062="","",IFERROR(INDEX(Clay_Brands!$A$2:$FZ$601,11,Sync!$D$6)&amp;"",""))</f>
        <v/>
      </c>
      <c r="F4062" s="23" t="str">
        <f aca="false">IF(B4062="","","outreach_sent")</f>
        <v/>
      </c>
      <c r="G4062" s="23" t="str">
        <f aca="false">IF(B4062="","","")</f>
        <v/>
      </c>
      <c r="H4062" s="23" t="str">
        <f aca="false">IF(B4062="","","")</f>
        <v/>
      </c>
      <c r="I4062" s="23" t="str">
        <f aca="false">IF(B4062="","","")</f>
        <v/>
      </c>
      <c r="J4062" s="23" t="str">
        <f aca="false">IF(B4062="","","touch_2; "&amp;IFERROR(INDEX(Clay_Brands!$A$2:$FZ$601,11,Sync!$D$10)&amp;"","")&amp;"; "&amp;IFERROR(INDEX(Clay_Brands!$A$2:$FZ$601,11,Sync!$D$9)&amp;"",""))</f>
        <v/>
      </c>
      <c r="K4062" s="32" t="s">
        <v>1367</v>
      </c>
    </row>
    <row r="4063" customFormat="false" ht="15" hidden="false" customHeight="false" outlineLevel="0" collapsed="false">
      <c r="A4063" s="23" t="str">
        <f aca="false">IF(B4063="","",B4063+(16*1000+12)/10000000)</f>
        <v/>
      </c>
      <c r="B4063" s="35" t="str">
        <f aca="false">IF(AND(IFERROR(N(INDEX(Clay_Brands!$A$2:$FZ$601,12,Sync!$D$12)),0)&gt;0,IFERROR(INDEX(Clay_Brands!$A$2:$FZ$601,12,Sync!$D$5)&amp;"","")&lt;&gt;"",OR(LEFT(IFERROR(INDEX(Clay_Brands!$A$2:$FZ$601,12,Sync!$D$5)&amp;"",""),6)&lt;&gt;"SAMPLE",Config!$B$19="Y")),IFERROR(N(INDEX(Clay_Brands!$A$2:$FZ$601,12,Sync!$D$12)),0),"")</f>
        <v/>
      </c>
      <c r="C4063" s="23" t="str">
        <f aca="false">IF(B4063="","","brand")</f>
        <v/>
      </c>
      <c r="D4063" s="23" t="str">
        <f aca="false">IF(B4063="","",IFERROR(INDEX(Brand_Log!$DV$2:$DV$201,MATCH(IFERROR(INDEX(Clay_Brands!$A$2:$FZ$601,12,Sync!$D$5)&amp;"",""),Brand_Log!$A$2:$A$201,0))&amp;"",IFERROR(INDEX(Clay_Brands!$A$2:$FZ$601,12,Sync!$D$5)&amp;"","")&amp;""))</f>
        <v/>
      </c>
      <c r="E4063" s="23" t="str">
        <f aca="false">IF(B4063="","",IFERROR(INDEX(Clay_Brands!$A$2:$FZ$601,12,Sync!$D$6)&amp;"",""))</f>
        <v/>
      </c>
      <c r="F4063" s="23" t="str">
        <f aca="false">IF(B4063="","","outreach_sent")</f>
        <v/>
      </c>
      <c r="G4063" s="23" t="str">
        <f aca="false">IF(B4063="","","")</f>
        <v/>
      </c>
      <c r="H4063" s="23" t="str">
        <f aca="false">IF(B4063="","","")</f>
        <v/>
      </c>
      <c r="I4063" s="23" t="str">
        <f aca="false">IF(B4063="","","")</f>
        <v/>
      </c>
      <c r="J4063" s="23" t="str">
        <f aca="false">IF(B4063="","","touch_2; "&amp;IFERROR(INDEX(Clay_Brands!$A$2:$FZ$601,12,Sync!$D$10)&amp;"","")&amp;"; "&amp;IFERROR(INDEX(Clay_Brands!$A$2:$FZ$601,12,Sync!$D$9)&amp;"",""))</f>
        <v/>
      </c>
      <c r="K4063" s="32" t="s">
        <v>1367</v>
      </c>
    </row>
    <row r="4064" customFormat="false" ht="15" hidden="false" customHeight="false" outlineLevel="0" collapsed="false">
      <c r="A4064" s="23" t="str">
        <f aca="false">IF(B4064="","",B4064+(16*1000+13)/10000000)</f>
        <v/>
      </c>
      <c r="B4064" s="35" t="str">
        <f aca="false">IF(AND(IFERROR(N(INDEX(Clay_Brands!$A$2:$FZ$601,13,Sync!$D$12)),0)&gt;0,IFERROR(INDEX(Clay_Brands!$A$2:$FZ$601,13,Sync!$D$5)&amp;"","")&lt;&gt;"",OR(LEFT(IFERROR(INDEX(Clay_Brands!$A$2:$FZ$601,13,Sync!$D$5)&amp;"",""),6)&lt;&gt;"SAMPLE",Config!$B$19="Y")),IFERROR(N(INDEX(Clay_Brands!$A$2:$FZ$601,13,Sync!$D$12)),0),"")</f>
        <v/>
      </c>
      <c r="C4064" s="23" t="str">
        <f aca="false">IF(B4064="","","brand")</f>
        <v/>
      </c>
      <c r="D4064" s="23" t="str">
        <f aca="false">IF(B4064="","",IFERROR(INDEX(Brand_Log!$DV$2:$DV$201,MATCH(IFERROR(INDEX(Clay_Brands!$A$2:$FZ$601,13,Sync!$D$5)&amp;"",""),Brand_Log!$A$2:$A$201,0))&amp;"",IFERROR(INDEX(Clay_Brands!$A$2:$FZ$601,13,Sync!$D$5)&amp;"","")&amp;""))</f>
        <v/>
      </c>
      <c r="E4064" s="23" t="str">
        <f aca="false">IF(B4064="","",IFERROR(INDEX(Clay_Brands!$A$2:$FZ$601,13,Sync!$D$6)&amp;"",""))</f>
        <v/>
      </c>
      <c r="F4064" s="23" t="str">
        <f aca="false">IF(B4064="","","outreach_sent")</f>
        <v/>
      </c>
      <c r="G4064" s="23" t="str">
        <f aca="false">IF(B4064="","","")</f>
        <v/>
      </c>
      <c r="H4064" s="23" t="str">
        <f aca="false">IF(B4064="","","")</f>
        <v/>
      </c>
      <c r="I4064" s="23" t="str">
        <f aca="false">IF(B4064="","","")</f>
        <v/>
      </c>
      <c r="J4064" s="23" t="str">
        <f aca="false">IF(B4064="","","touch_2; "&amp;IFERROR(INDEX(Clay_Brands!$A$2:$FZ$601,13,Sync!$D$10)&amp;"","")&amp;"; "&amp;IFERROR(INDEX(Clay_Brands!$A$2:$FZ$601,13,Sync!$D$9)&amp;"",""))</f>
        <v/>
      </c>
      <c r="K4064" s="32" t="s">
        <v>1367</v>
      </c>
    </row>
    <row r="4065" customFormat="false" ht="15" hidden="false" customHeight="false" outlineLevel="0" collapsed="false">
      <c r="A4065" s="23" t="str">
        <f aca="false">IF(B4065="","",B4065+(16*1000+14)/10000000)</f>
        <v/>
      </c>
      <c r="B4065" s="35" t="str">
        <f aca="false">IF(AND(IFERROR(N(INDEX(Clay_Brands!$A$2:$FZ$601,14,Sync!$D$12)),0)&gt;0,IFERROR(INDEX(Clay_Brands!$A$2:$FZ$601,14,Sync!$D$5)&amp;"","")&lt;&gt;"",OR(LEFT(IFERROR(INDEX(Clay_Brands!$A$2:$FZ$601,14,Sync!$D$5)&amp;"",""),6)&lt;&gt;"SAMPLE",Config!$B$19="Y")),IFERROR(N(INDEX(Clay_Brands!$A$2:$FZ$601,14,Sync!$D$12)),0),"")</f>
        <v/>
      </c>
      <c r="C4065" s="23" t="str">
        <f aca="false">IF(B4065="","","brand")</f>
        <v/>
      </c>
      <c r="D4065" s="23" t="str">
        <f aca="false">IF(B4065="","",IFERROR(INDEX(Brand_Log!$DV$2:$DV$201,MATCH(IFERROR(INDEX(Clay_Brands!$A$2:$FZ$601,14,Sync!$D$5)&amp;"",""),Brand_Log!$A$2:$A$201,0))&amp;"",IFERROR(INDEX(Clay_Brands!$A$2:$FZ$601,14,Sync!$D$5)&amp;"","")&amp;""))</f>
        <v/>
      </c>
      <c r="E4065" s="23" t="str">
        <f aca="false">IF(B4065="","",IFERROR(INDEX(Clay_Brands!$A$2:$FZ$601,14,Sync!$D$6)&amp;"",""))</f>
        <v/>
      </c>
      <c r="F4065" s="23" t="str">
        <f aca="false">IF(B4065="","","outreach_sent")</f>
        <v/>
      </c>
      <c r="G4065" s="23" t="str">
        <f aca="false">IF(B4065="","","")</f>
        <v/>
      </c>
      <c r="H4065" s="23" t="str">
        <f aca="false">IF(B4065="","","")</f>
        <v/>
      </c>
      <c r="I4065" s="23" t="str">
        <f aca="false">IF(B4065="","","")</f>
        <v/>
      </c>
      <c r="J4065" s="23" t="str">
        <f aca="false">IF(B4065="","","touch_2; "&amp;IFERROR(INDEX(Clay_Brands!$A$2:$FZ$601,14,Sync!$D$10)&amp;"","")&amp;"; "&amp;IFERROR(INDEX(Clay_Brands!$A$2:$FZ$601,14,Sync!$D$9)&amp;"",""))</f>
        <v/>
      </c>
      <c r="K4065" s="32" t="s">
        <v>1367</v>
      </c>
    </row>
    <row r="4066" customFormat="false" ht="15" hidden="false" customHeight="false" outlineLevel="0" collapsed="false">
      <c r="A4066" s="23" t="str">
        <f aca="false">IF(B4066="","",B4066+(16*1000+15)/10000000)</f>
        <v/>
      </c>
      <c r="B4066" s="35" t="str">
        <f aca="false">IF(AND(IFERROR(N(INDEX(Clay_Brands!$A$2:$FZ$601,15,Sync!$D$12)),0)&gt;0,IFERROR(INDEX(Clay_Brands!$A$2:$FZ$601,15,Sync!$D$5)&amp;"","")&lt;&gt;"",OR(LEFT(IFERROR(INDEX(Clay_Brands!$A$2:$FZ$601,15,Sync!$D$5)&amp;"",""),6)&lt;&gt;"SAMPLE",Config!$B$19="Y")),IFERROR(N(INDEX(Clay_Brands!$A$2:$FZ$601,15,Sync!$D$12)),0),"")</f>
        <v/>
      </c>
      <c r="C4066" s="23" t="str">
        <f aca="false">IF(B4066="","","brand")</f>
        <v/>
      </c>
      <c r="D4066" s="23" t="str">
        <f aca="false">IF(B4066="","",IFERROR(INDEX(Brand_Log!$DV$2:$DV$201,MATCH(IFERROR(INDEX(Clay_Brands!$A$2:$FZ$601,15,Sync!$D$5)&amp;"",""),Brand_Log!$A$2:$A$201,0))&amp;"",IFERROR(INDEX(Clay_Brands!$A$2:$FZ$601,15,Sync!$D$5)&amp;"","")&amp;""))</f>
        <v/>
      </c>
      <c r="E4066" s="23" t="str">
        <f aca="false">IF(B4066="","",IFERROR(INDEX(Clay_Brands!$A$2:$FZ$601,15,Sync!$D$6)&amp;"",""))</f>
        <v/>
      </c>
      <c r="F4066" s="23" t="str">
        <f aca="false">IF(B4066="","","outreach_sent")</f>
        <v/>
      </c>
      <c r="G4066" s="23" t="str">
        <f aca="false">IF(B4066="","","")</f>
        <v/>
      </c>
      <c r="H4066" s="23" t="str">
        <f aca="false">IF(B4066="","","")</f>
        <v/>
      </c>
      <c r="I4066" s="23" t="str">
        <f aca="false">IF(B4066="","","")</f>
        <v/>
      </c>
      <c r="J4066" s="23" t="str">
        <f aca="false">IF(B4066="","","touch_2; "&amp;IFERROR(INDEX(Clay_Brands!$A$2:$FZ$601,15,Sync!$D$10)&amp;"","")&amp;"; "&amp;IFERROR(INDEX(Clay_Brands!$A$2:$FZ$601,15,Sync!$D$9)&amp;"",""))</f>
        <v/>
      </c>
      <c r="K4066" s="32" t="s">
        <v>1367</v>
      </c>
    </row>
    <row r="4067" customFormat="false" ht="15" hidden="false" customHeight="false" outlineLevel="0" collapsed="false">
      <c r="A4067" s="42" t="n">
        <f aca="false">IF(B4067="","",B4067+(16*1000+16)/10000000)</f>
        <v>46339.0016016</v>
      </c>
      <c r="B4067" s="35" t="n">
        <f aca="false">IF(AND(IFERROR(N(INDEX(Clay_Brands!$A$2:$FZ$601,16,Sync!$D$12)),0)&gt;0,IFERROR(INDEX(Clay_Brands!$A$2:$FZ$601,16,Sync!$D$5)&amp;"","")&lt;&gt;"",OR(LEFT(IFERROR(INDEX(Clay_Brands!$A$2:$FZ$601,16,Sync!$D$5)&amp;"",""),6)&lt;&gt;"SAMPLE",Config!$B$19="Y")),IFERROR(N(INDEX(Clay_Brands!$A$2:$FZ$601,16,Sync!$D$12)),0),"")</f>
        <v>46339</v>
      </c>
      <c r="C4067" s="23" t="str">
        <f aca="false">IF(B4067="","","brand")</f>
        <v>brand</v>
      </c>
      <c r="D4067" s="23" t="str">
        <f aca="false">IF(B4067="","",IFERROR(INDEX(Brand_Log!$DV$2:$DV$201,MATCH(IFERROR(INDEX(Clay_Brands!$A$2:$FZ$601,16,Sync!$D$5)&amp;"",""),Brand_Log!$A$2:$A$201,0))&amp;"",IFERROR(INDEX(Clay_Brands!$A$2:$FZ$601,16,Sync!$D$5)&amp;"","")&amp;""))</f>
        <v>SAMPLE-B-016</v>
      </c>
      <c r="E4067" s="23" t="str">
        <f aca="false">IF(B4067="","",IFERROR(INDEX(Clay_Brands!$A$2:$FZ$601,16,Sync!$D$6)&amp;"",""))</f>
        <v>SAMPLE Brand 16</v>
      </c>
      <c r="F4067" s="23" t="str">
        <f aca="false">IF(B4067="","","outreach_sent")</f>
        <v>outreach_sent</v>
      </c>
      <c r="G4067" s="23" t="str">
        <f aca="false">IF(B4067="","","")</f>
        <v/>
      </c>
      <c r="H4067" s="23" t="str">
        <f aca="false">IF(B4067="","","")</f>
        <v/>
      </c>
      <c r="I4067" s="23" t="str">
        <f aca="false">IF(B4067="","","")</f>
        <v/>
      </c>
      <c r="J4067" s="23" t="str">
        <f aca="false">IF(B4067="","","touch_2; "&amp;IFERROR(INDEX(Clay_Brands!$A$2:$FZ$601,16,Sync!$D$10)&amp;"","")&amp;"; "&amp;IFERROR(INDEX(Clay_Brands!$A$2:$FZ$601,16,Sync!$D$9)&amp;"",""))</f>
        <v>touch_2; brand-discovery-B; linkedin</v>
      </c>
      <c r="K4067" s="32" t="s">
        <v>1367</v>
      </c>
    </row>
    <row r="4068" customFormat="false" ht="15" hidden="false" customHeight="false" outlineLevel="0" collapsed="false">
      <c r="A4068" s="42" t="n">
        <f aca="false">IF(B4068="","",B4068+(16*1000+17)/10000000)</f>
        <v>46344.0016017</v>
      </c>
      <c r="B4068" s="35" t="n">
        <f aca="false">IF(AND(IFERROR(N(INDEX(Clay_Brands!$A$2:$FZ$601,17,Sync!$D$12)),0)&gt;0,IFERROR(INDEX(Clay_Brands!$A$2:$FZ$601,17,Sync!$D$5)&amp;"","")&lt;&gt;"",OR(LEFT(IFERROR(INDEX(Clay_Brands!$A$2:$FZ$601,17,Sync!$D$5)&amp;"",""),6)&lt;&gt;"SAMPLE",Config!$B$19="Y")),IFERROR(N(INDEX(Clay_Brands!$A$2:$FZ$601,17,Sync!$D$12)),0),"")</f>
        <v>46344</v>
      </c>
      <c r="C4068" s="23" t="str">
        <f aca="false">IF(B4068="","","brand")</f>
        <v>brand</v>
      </c>
      <c r="D4068" s="23" t="str">
        <f aca="false">IF(B4068="","",IFERROR(INDEX(Brand_Log!$DV$2:$DV$201,MATCH(IFERROR(INDEX(Clay_Brands!$A$2:$FZ$601,17,Sync!$D$5)&amp;"",""),Brand_Log!$A$2:$A$201,0))&amp;"",IFERROR(INDEX(Clay_Brands!$A$2:$FZ$601,17,Sync!$D$5)&amp;"","")&amp;""))</f>
        <v>SAMPLE-B-017</v>
      </c>
      <c r="E4068" s="23" t="str">
        <f aca="false">IF(B4068="","",IFERROR(INDEX(Clay_Brands!$A$2:$FZ$601,17,Sync!$D$6)&amp;"",""))</f>
        <v>SAMPLE Brand 17</v>
      </c>
      <c r="F4068" s="23" t="str">
        <f aca="false">IF(B4068="","","outreach_sent")</f>
        <v>outreach_sent</v>
      </c>
      <c r="G4068" s="23" t="str">
        <f aca="false">IF(B4068="","","")</f>
        <v/>
      </c>
      <c r="H4068" s="23" t="str">
        <f aca="false">IF(B4068="","","")</f>
        <v/>
      </c>
      <c r="I4068" s="23" t="str">
        <f aca="false">IF(B4068="","","")</f>
        <v/>
      </c>
      <c r="J4068" s="23" t="str">
        <f aca="false">IF(B4068="","","touch_2; "&amp;IFERROR(INDEX(Clay_Brands!$A$2:$FZ$601,17,Sync!$D$10)&amp;"","")&amp;"; "&amp;IFERROR(INDEX(Clay_Brands!$A$2:$FZ$601,17,Sync!$D$9)&amp;"",""))</f>
        <v>touch_2; brand-discovery-A; email</v>
      </c>
      <c r="K4068" s="32" t="s">
        <v>1367</v>
      </c>
    </row>
    <row r="4069" customFormat="false" ht="15" hidden="false" customHeight="false" outlineLevel="0" collapsed="false">
      <c r="A4069" s="42" t="n">
        <f aca="false">IF(B4069="","",B4069+(16*1000+18)/10000000)</f>
        <v>46349.0016018</v>
      </c>
      <c r="B4069" s="35" t="n">
        <f aca="false">IF(AND(IFERROR(N(INDEX(Clay_Brands!$A$2:$FZ$601,18,Sync!$D$12)),0)&gt;0,IFERROR(INDEX(Clay_Brands!$A$2:$FZ$601,18,Sync!$D$5)&amp;"","")&lt;&gt;"",OR(LEFT(IFERROR(INDEX(Clay_Brands!$A$2:$FZ$601,18,Sync!$D$5)&amp;"",""),6)&lt;&gt;"SAMPLE",Config!$B$19="Y")),IFERROR(N(INDEX(Clay_Brands!$A$2:$FZ$601,18,Sync!$D$12)),0),"")</f>
        <v>46349</v>
      </c>
      <c r="C4069" s="23" t="str">
        <f aca="false">IF(B4069="","","brand")</f>
        <v>brand</v>
      </c>
      <c r="D4069" s="23" t="str">
        <f aca="false">IF(B4069="","",IFERROR(INDEX(Brand_Log!$DV$2:$DV$201,MATCH(IFERROR(INDEX(Clay_Brands!$A$2:$FZ$601,18,Sync!$D$5)&amp;"",""),Brand_Log!$A$2:$A$201,0))&amp;"",IFERROR(INDEX(Clay_Brands!$A$2:$FZ$601,18,Sync!$D$5)&amp;"","")&amp;""))</f>
        <v>SAMPLE-B-018</v>
      </c>
      <c r="E4069" s="23" t="str">
        <f aca="false">IF(B4069="","",IFERROR(INDEX(Clay_Brands!$A$2:$FZ$601,18,Sync!$D$6)&amp;"",""))</f>
        <v>SAMPLE Brand 18</v>
      </c>
      <c r="F4069" s="23" t="str">
        <f aca="false">IF(B4069="","","outreach_sent")</f>
        <v>outreach_sent</v>
      </c>
      <c r="G4069" s="23" t="str">
        <f aca="false">IF(B4069="","","")</f>
        <v/>
      </c>
      <c r="H4069" s="23" t="str">
        <f aca="false">IF(B4069="","","")</f>
        <v/>
      </c>
      <c r="I4069" s="23" t="str">
        <f aca="false">IF(B4069="","","")</f>
        <v/>
      </c>
      <c r="J4069" s="23" t="str">
        <f aca="false">IF(B4069="","","touch_2; "&amp;IFERROR(INDEX(Clay_Brands!$A$2:$FZ$601,18,Sync!$D$10)&amp;"","")&amp;"; "&amp;IFERROR(INDEX(Clay_Brands!$A$2:$FZ$601,18,Sync!$D$9)&amp;"",""))</f>
        <v>touch_2; brand-discovery-B; email</v>
      </c>
      <c r="K4069" s="32" t="s">
        <v>1367</v>
      </c>
    </row>
    <row r="4070" customFormat="false" ht="15" hidden="false" customHeight="false" outlineLevel="0" collapsed="false">
      <c r="A4070" s="42" t="n">
        <f aca="false">IF(B4070="","",B4070+(16*1000+19)/10000000)</f>
        <v>46324.0016019</v>
      </c>
      <c r="B4070" s="35" t="n">
        <f aca="false">IF(AND(IFERROR(N(INDEX(Clay_Brands!$A$2:$FZ$601,19,Sync!$D$12)),0)&gt;0,IFERROR(INDEX(Clay_Brands!$A$2:$FZ$601,19,Sync!$D$5)&amp;"","")&lt;&gt;"",OR(LEFT(IFERROR(INDEX(Clay_Brands!$A$2:$FZ$601,19,Sync!$D$5)&amp;"",""),6)&lt;&gt;"SAMPLE",Config!$B$19="Y")),IFERROR(N(INDEX(Clay_Brands!$A$2:$FZ$601,19,Sync!$D$12)),0),"")</f>
        <v>46324</v>
      </c>
      <c r="C4070" s="23" t="str">
        <f aca="false">IF(B4070="","","brand")</f>
        <v>brand</v>
      </c>
      <c r="D4070" s="23" t="str">
        <f aca="false">IF(B4070="","",IFERROR(INDEX(Brand_Log!$DV$2:$DV$201,MATCH(IFERROR(INDEX(Clay_Brands!$A$2:$FZ$601,19,Sync!$D$5)&amp;"",""),Brand_Log!$A$2:$A$201,0))&amp;"",IFERROR(INDEX(Clay_Brands!$A$2:$FZ$601,19,Sync!$D$5)&amp;"","")&amp;""))</f>
        <v>SAMPLE-B-019</v>
      </c>
      <c r="E4070" s="23" t="str">
        <f aca="false">IF(B4070="","",IFERROR(INDEX(Clay_Brands!$A$2:$FZ$601,19,Sync!$D$6)&amp;"",""))</f>
        <v>SAMPLE Brand 19</v>
      </c>
      <c r="F4070" s="23" t="str">
        <f aca="false">IF(B4070="","","outreach_sent")</f>
        <v>outreach_sent</v>
      </c>
      <c r="G4070" s="23" t="str">
        <f aca="false">IF(B4070="","","")</f>
        <v/>
      </c>
      <c r="H4070" s="23" t="str">
        <f aca="false">IF(B4070="","","")</f>
        <v/>
      </c>
      <c r="I4070" s="23" t="str">
        <f aca="false">IF(B4070="","","")</f>
        <v/>
      </c>
      <c r="J4070" s="23" t="str">
        <f aca="false">IF(B4070="","","touch_2; "&amp;IFERROR(INDEX(Clay_Brands!$A$2:$FZ$601,19,Sync!$D$10)&amp;"","")&amp;"; "&amp;IFERROR(INDEX(Clay_Brands!$A$2:$FZ$601,19,Sync!$D$9)&amp;"",""))</f>
        <v>touch_2; brand-discovery-A; linkedin</v>
      </c>
      <c r="K4070" s="32" t="s">
        <v>1367</v>
      </c>
    </row>
    <row r="4071" customFormat="false" ht="15" hidden="false" customHeight="false" outlineLevel="0" collapsed="false">
      <c r="A4071" s="23" t="str">
        <f aca="false">IF(B4071="","",B4071+(16*1000+20)/10000000)</f>
        <v/>
      </c>
      <c r="B4071" s="35" t="str">
        <f aca="false">IF(AND(IFERROR(N(INDEX(Clay_Brands!$A$2:$FZ$601,20,Sync!$D$12)),0)&gt;0,IFERROR(INDEX(Clay_Brands!$A$2:$FZ$601,20,Sync!$D$5)&amp;"","")&lt;&gt;"",OR(LEFT(IFERROR(INDEX(Clay_Brands!$A$2:$FZ$601,20,Sync!$D$5)&amp;"",""),6)&lt;&gt;"SAMPLE",Config!$B$19="Y")),IFERROR(N(INDEX(Clay_Brands!$A$2:$FZ$601,20,Sync!$D$12)),0),"")</f>
        <v/>
      </c>
      <c r="C4071" s="23" t="str">
        <f aca="false">IF(B4071="","","brand")</f>
        <v/>
      </c>
      <c r="D4071" s="23" t="str">
        <f aca="false">IF(B4071="","",IFERROR(INDEX(Brand_Log!$DV$2:$DV$201,MATCH(IFERROR(INDEX(Clay_Brands!$A$2:$FZ$601,20,Sync!$D$5)&amp;"",""),Brand_Log!$A$2:$A$201,0))&amp;"",IFERROR(INDEX(Clay_Brands!$A$2:$FZ$601,20,Sync!$D$5)&amp;"","")&amp;""))</f>
        <v/>
      </c>
      <c r="E4071" s="23" t="str">
        <f aca="false">IF(B4071="","",IFERROR(INDEX(Clay_Brands!$A$2:$FZ$601,20,Sync!$D$6)&amp;"",""))</f>
        <v/>
      </c>
      <c r="F4071" s="23" t="str">
        <f aca="false">IF(B4071="","","outreach_sent")</f>
        <v/>
      </c>
      <c r="G4071" s="23" t="str">
        <f aca="false">IF(B4071="","","")</f>
        <v/>
      </c>
      <c r="H4071" s="23" t="str">
        <f aca="false">IF(B4071="","","")</f>
        <v/>
      </c>
      <c r="I4071" s="23" t="str">
        <f aca="false">IF(B4071="","","")</f>
        <v/>
      </c>
      <c r="J4071" s="23" t="str">
        <f aca="false">IF(B4071="","","touch_2; "&amp;IFERROR(INDEX(Clay_Brands!$A$2:$FZ$601,20,Sync!$D$10)&amp;"","")&amp;"; "&amp;IFERROR(INDEX(Clay_Brands!$A$2:$FZ$601,20,Sync!$D$9)&amp;"",""))</f>
        <v/>
      </c>
      <c r="K4071" s="32" t="s">
        <v>1367</v>
      </c>
    </row>
    <row r="4072" customFormat="false" ht="15" hidden="false" customHeight="false" outlineLevel="0" collapsed="false">
      <c r="A4072" s="42" t="n">
        <f aca="false">IF(B4072="","",B4072+(16*1000+21)/10000000)</f>
        <v>46332.0016021</v>
      </c>
      <c r="B4072" s="35" t="n">
        <f aca="false">IF(AND(IFERROR(N(INDEX(Clay_Brands!$A$2:$FZ$601,21,Sync!$D$12)),0)&gt;0,IFERROR(INDEX(Clay_Brands!$A$2:$FZ$601,21,Sync!$D$5)&amp;"","")&lt;&gt;"",OR(LEFT(IFERROR(INDEX(Clay_Brands!$A$2:$FZ$601,21,Sync!$D$5)&amp;"",""),6)&lt;&gt;"SAMPLE",Config!$B$19="Y")),IFERROR(N(INDEX(Clay_Brands!$A$2:$FZ$601,21,Sync!$D$12)),0),"")</f>
        <v>46332</v>
      </c>
      <c r="C4072" s="23" t="str">
        <f aca="false">IF(B4072="","","brand")</f>
        <v>brand</v>
      </c>
      <c r="D4072" s="23" t="str">
        <f aca="false">IF(B4072="","",IFERROR(INDEX(Brand_Log!$DV$2:$DV$201,MATCH(IFERROR(INDEX(Clay_Brands!$A$2:$FZ$601,21,Sync!$D$5)&amp;"",""),Brand_Log!$A$2:$A$201,0))&amp;"",IFERROR(INDEX(Clay_Brands!$A$2:$FZ$601,21,Sync!$D$5)&amp;"","")&amp;""))</f>
        <v>SAMPLE-B-021</v>
      </c>
      <c r="E4072" s="23" t="str">
        <f aca="false">IF(B4072="","",IFERROR(INDEX(Clay_Brands!$A$2:$FZ$601,21,Sync!$D$6)&amp;"",""))</f>
        <v>SAMPLE Brand 21</v>
      </c>
      <c r="F4072" s="23" t="str">
        <f aca="false">IF(B4072="","","outreach_sent")</f>
        <v>outreach_sent</v>
      </c>
      <c r="G4072" s="23" t="str">
        <f aca="false">IF(B4072="","","")</f>
        <v/>
      </c>
      <c r="H4072" s="23" t="str">
        <f aca="false">IF(B4072="","","")</f>
        <v/>
      </c>
      <c r="I4072" s="23" t="str">
        <f aca="false">IF(B4072="","","")</f>
        <v/>
      </c>
      <c r="J4072" s="23" t="str">
        <f aca="false">IF(B4072="","","touch_2; "&amp;IFERROR(INDEX(Clay_Brands!$A$2:$FZ$601,21,Sync!$D$10)&amp;"","")&amp;"; "&amp;IFERROR(INDEX(Clay_Brands!$A$2:$FZ$601,21,Sync!$D$9)&amp;"",""))</f>
        <v>touch_2; brand-discovery-A; linkedin</v>
      </c>
      <c r="K4072" s="32" t="s">
        <v>1367</v>
      </c>
    </row>
    <row r="4073" customFormat="false" ht="15" hidden="false" customHeight="false" outlineLevel="0" collapsed="false">
      <c r="A4073" s="42" t="n">
        <f aca="false">IF(B4073="","",B4073+(16*1000+22)/10000000)</f>
        <v>46338.0016022</v>
      </c>
      <c r="B4073" s="35" t="n">
        <f aca="false">IF(AND(IFERROR(N(INDEX(Clay_Brands!$A$2:$FZ$601,22,Sync!$D$12)),0)&gt;0,IFERROR(INDEX(Clay_Brands!$A$2:$FZ$601,22,Sync!$D$5)&amp;"","")&lt;&gt;"",OR(LEFT(IFERROR(INDEX(Clay_Brands!$A$2:$FZ$601,22,Sync!$D$5)&amp;"",""),6)&lt;&gt;"SAMPLE",Config!$B$19="Y")),IFERROR(N(INDEX(Clay_Brands!$A$2:$FZ$601,22,Sync!$D$12)),0),"")</f>
        <v>46338</v>
      </c>
      <c r="C4073" s="23" t="str">
        <f aca="false">IF(B4073="","","brand")</f>
        <v>brand</v>
      </c>
      <c r="D4073" s="23" t="str">
        <f aca="false">IF(B4073="","",IFERROR(INDEX(Brand_Log!$DV$2:$DV$201,MATCH(IFERROR(INDEX(Clay_Brands!$A$2:$FZ$601,22,Sync!$D$5)&amp;"",""),Brand_Log!$A$2:$A$201,0))&amp;"",IFERROR(INDEX(Clay_Brands!$A$2:$FZ$601,22,Sync!$D$5)&amp;"","")&amp;""))</f>
        <v>SAMPLE-B-022</v>
      </c>
      <c r="E4073" s="23" t="str">
        <f aca="false">IF(B4073="","",IFERROR(INDEX(Clay_Brands!$A$2:$FZ$601,22,Sync!$D$6)&amp;"",""))</f>
        <v>SAMPLE Brand 22</v>
      </c>
      <c r="F4073" s="23" t="str">
        <f aca="false">IF(B4073="","","outreach_sent")</f>
        <v>outreach_sent</v>
      </c>
      <c r="G4073" s="23" t="str">
        <f aca="false">IF(B4073="","","")</f>
        <v/>
      </c>
      <c r="H4073" s="23" t="str">
        <f aca="false">IF(B4073="","","")</f>
        <v/>
      </c>
      <c r="I4073" s="23" t="str">
        <f aca="false">IF(B4073="","","")</f>
        <v/>
      </c>
      <c r="J4073" s="23" t="str">
        <f aca="false">IF(B4073="","","touch_2; "&amp;IFERROR(INDEX(Clay_Brands!$A$2:$FZ$601,22,Sync!$D$10)&amp;"","")&amp;"; "&amp;IFERROR(INDEX(Clay_Brands!$A$2:$FZ$601,22,Sync!$D$9)&amp;"",""))</f>
        <v>touch_2; brand-discovery-B; linkedin</v>
      </c>
      <c r="K4073" s="32" t="s">
        <v>1367</v>
      </c>
    </row>
    <row r="4074" customFormat="false" ht="15" hidden="false" customHeight="false" outlineLevel="0" collapsed="false">
      <c r="A4074" s="42" t="n">
        <f aca="false">IF(B4074="","",B4074+(16*1000+23)/10000000)</f>
        <v>46343.0016023</v>
      </c>
      <c r="B4074" s="35" t="n">
        <f aca="false">IF(AND(IFERROR(N(INDEX(Clay_Brands!$A$2:$FZ$601,23,Sync!$D$12)),0)&gt;0,IFERROR(INDEX(Clay_Brands!$A$2:$FZ$601,23,Sync!$D$5)&amp;"","")&lt;&gt;"",OR(LEFT(IFERROR(INDEX(Clay_Brands!$A$2:$FZ$601,23,Sync!$D$5)&amp;"",""),6)&lt;&gt;"SAMPLE",Config!$B$19="Y")),IFERROR(N(INDEX(Clay_Brands!$A$2:$FZ$601,23,Sync!$D$12)),0),"")</f>
        <v>46343</v>
      </c>
      <c r="C4074" s="23" t="str">
        <f aca="false">IF(B4074="","","brand")</f>
        <v>brand</v>
      </c>
      <c r="D4074" s="23" t="str">
        <f aca="false">IF(B4074="","",IFERROR(INDEX(Brand_Log!$DV$2:$DV$201,MATCH(IFERROR(INDEX(Clay_Brands!$A$2:$FZ$601,23,Sync!$D$5)&amp;"",""),Brand_Log!$A$2:$A$201,0))&amp;"",IFERROR(INDEX(Clay_Brands!$A$2:$FZ$601,23,Sync!$D$5)&amp;"","")&amp;""))</f>
        <v>SAMPLE-B-023</v>
      </c>
      <c r="E4074" s="23" t="str">
        <f aca="false">IF(B4074="","",IFERROR(INDEX(Clay_Brands!$A$2:$FZ$601,23,Sync!$D$6)&amp;"",""))</f>
        <v>SAMPLE Brand 23</v>
      </c>
      <c r="F4074" s="23" t="str">
        <f aca="false">IF(B4074="","","outreach_sent")</f>
        <v>outreach_sent</v>
      </c>
      <c r="G4074" s="23" t="str">
        <f aca="false">IF(B4074="","","")</f>
        <v/>
      </c>
      <c r="H4074" s="23" t="str">
        <f aca="false">IF(B4074="","","")</f>
        <v/>
      </c>
      <c r="I4074" s="23" t="str">
        <f aca="false">IF(B4074="","","")</f>
        <v/>
      </c>
      <c r="J4074" s="23" t="str">
        <f aca="false">IF(B4074="","","touch_2; "&amp;IFERROR(INDEX(Clay_Brands!$A$2:$FZ$601,23,Sync!$D$10)&amp;"","")&amp;"; "&amp;IFERROR(INDEX(Clay_Brands!$A$2:$FZ$601,23,Sync!$D$9)&amp;"",""))</f>
        <v>touch_2; brand-discovery-A; email</v>
      </c>
      <c r="K4074" s="32" t="s">
        <v>1367</v>
      </c>
    </row>
    <row r="4075" customFormat="false" ht="15" hidden="false" customHeight="false" outlineLevel="0" collapsed="false">
      <c r="A4075" s="42" t="n">
        <f aca="false">IF(B4075="","",B4075+(16*1000+24)/10000000)</f>
        <v>46346.0016024</v>
      </c>
      <c r="B4075" s="35" t="n">
        <f aca="false">IF(AND(IFERROR(N(INDEX(Clay_Brands!$A$2:$FZ$601,24,Sync!$D$12)),0)&gt;0,IFERROR(INDEX(Clay_Brands!$A$2:$FZ$601,24,Sync!$D$5)&amp;"","")&lt;&gt;"",OR(LEFT(IFERROR(INDEX(Clay_Brands!$A$2:$FZ$601,24,Sync!$D$5)&amp;"",""),6)&lt;&gt;"SAMPLE",Config!$B$19="Y")),IFERROR(N(INDEX(Clay_Brands!$A$2:$FZ$601,24,Sync!$D$12)),0),"")</f>
        <v>46346</v>
      </c>
      <c r="C4075" s="23" t="str">
        <f aca="false">IF(B4075="","","brand")</f>
        <v>brand</v>
      </c>
      <c r="D4075" s="23" t="str">
        <f aca="false">IF(B4075="","",IFERROR(INDEX(Brand_Log!$DV$2:$DV$201,MATCH(IFERROR(INDEX(Clay_Brands!$A$2:$FZ$601,24,Sync!$D$5)&amp;"",""),Brand_Log!$A$2:$A$201,0))&amp;"",IFERROR(INDEX(Clay_Brands!$A$2:$FZ$601,24,Sync!$D$5)&amp;"","")&amp;""))</f>
        <v>SAMPLE-B-024</v>
      </c>
      <c r="E4075" s="23" t="str">
        <f aca="false">IF(B4075="","",IFERROR(INDEX(Clay_Brands!$A$2:$FZ$601,24,Sync!$D$6)&amp;"",""))</f>
        <v>SAMPLE Brand 24</v>
      </c>
      <c r="F4075" s="23" t="str">
        <f aca="false">IF(B4075="","","outreach_sent")</f>
        <v>outreach_sent</v>
      </c>
      <c r="G4075" s="23" t="str">
        <f aca="false">IF(B4075="","","")</f>
        <v/>
      </c>
      <c r="H4075" s="23" t="str">
        <f aca="false">IF(B4075="","","")</f>
        <v/>
      </c>
      <c r="I4075" s="23" t="str">
        <f aca="false">IF(B4075="","","")</f>
        <v/>
      </c>
      <c r="J4075" s="23" t="str">
        <f aca="false">IF(B4075="","","touch_2; "&amp;IFERROR(INDEX(Clay_Brands!$A$2:$FZ$601,24,Sync!$D$10)&amp;"","")&amp;"; "&amp;IFERROR(INDEX(Clay_Brands!$A$2:$FZ$601,24,Sync!$D$9)&amp;"",""))</f>
        <v>touch_2; brand-discovery-B; linkedin</v>
      </c>
      <c r="K4075" s="32" t="s">
        <v>1367</v>
      </c>
    </row>
    <row r="4076" customFormat="false" ht="15" hidden="false" customHeight="false" outlineLevel="0" collapsed="false">
      <c r="A4076" s="23" t="str">
        <f aca="false">IF(B4076="","",B4076+(16*1000+25)/10000000)</f>
        <v/>
      </c>
      <c r="B4076" s="35" t="str">
        <f aca="false">IF(AND(IFERROR(N(INDEX(Clay_Brands!$A$2:$FZ$601,25,Sync!$D$12)),0)&gt;0,IFERROR(INDEX(Clay_Brands!$A$2:$FZ$601,25,Sync!$D$5)&amp;"","")&lt;&gt;"",OR(LEFT(IFERROR(INDEX(Clay_Brands!$A$2:$FZ$601,25,Sync!$D$5)&amp;"",""),6)&lt;&gt;"SAMPLE",Config!$B$19="Y")),IFERROR(N(INDEX(Clay_Brands!$A$2:$FZ$601,25,Sync!$D$12)),0),"")</f>
        <v/>
      </c>
      <c r="C4076" s="23" t="str">
        <f aca="false">IF(B4076="","","brand")</f>
        <v/>
      </c>
      <c r="D4076" s="23" t="str">
        <f aca="false">IF(B4076="","",IFERROR(INDEX(Brand_Log!$DV$2:$DV$201,MATCH(IFERROR(INDEX(Clay_Brands!$A$2:$FZ$601,25,Sync!$D$5)&amp;"",""),Brand_Log!$A$2:$A$201,0))&amp;"",IFERROR(INDEX(Clay_Brands!$A$2:$FZ$601,25,Sync!$D$5)&amp;"","")&amp;""))</f>
        <v/>
      </c>
      <c r="E4076" s="23" t="str">
        <f aca="false">IF(B4076="","",IFERROR(INDEX(Clay_Brands!$A$2:$FZ$601,25,Sync!$D$6)&amp;"",""))</f>
        <v/>
      </c>
      <c r="F4076" s="23" t="str">
        <f aca="false">IF(B4076="","","outreach_sent")</f>
        <v/>
      </c>
      <c r="G4076" s="23" t="str">
        <f aca="false">IF(B4076="","","")</f>
        <v/>
      </c>
      <c r="H4076" s="23" t="str">
        <f aca="false">IF(B4076="","","")</f>
        <v/>
      </c>
      <c r="I4076" s="23" t="str">
        <f aca="false">IF(B4076="","","")</f>
        <v/>
      </c>
      <c r="J4076" s="23" t="str">
        <f aca="false">IF(B4076="","","touch_2; "&amp;IFERROR(INDEX(Clay_Brands!$A$2:$FZ$601,25,Sync!$D$10)&amp;"","")&amp;"; "&amp;IFERROR(INDEX(Clay_Brands!$A$2:$FZ$601,25,Sync!$D$9)&amp;"",""))</f>
        <v/>
      </c>
      <c r="K4076" s="32" t="s">
        <v>1367</v>
      </c>
    </row>
    <row r="4077" customFormat="false" ht="15" hidden="false" customHeight="false" outlineLevel="0" collapsed="false">
      <c r="A4077" s="42" t="n">
        <f aca="false">IF(B4077="","",B4077+(16*1000+26)/10000000)</f>
        <v>46328.0016026</v>
      </c>
      <c r="B4077" s="35" t="n">
        <f aca="false">IF(AND(IFERROR(N(INDEX(Clay_Brands!$A$2:$FZ$601,26,Sync!$D$12)),0)&gt;0,IFERROR(INDEX(Clay_Brands!$A$2:$FZ$601,26,Sync!$D$5)&amp;"","")&lt;&gt;"",OR(LEFT(IFERROR(INDEX(Clay_Brands!$A$2:$FZ$601,26,Sync!$D$5)&amp;"",""),6)&lt;&gt;"SAMPLE",Config!$B$19="Y")),IFERROR(N(INDEX(Clay_Brands!$A$2:$FZ$601,26,Sync!$D$12)),0),"")</f>
        <v>46328</v>
      </c>
      <c r="C4077" s="23" t="str">
        <f aca="false">IF(B4077="","","brand")</f>
        <v>brand</v>
      </c>
      <c r="D4077" s="23" t="str">
        <f aca="false">IF(B4077="","",IFERROR(INDEX(Brand_Log!$DV$2:$DV$201,MATCH(IFERROR(INDEX(Clay_Brands!$A$2:$FZ$601,26,Sync!$D$5)&amp;"",""),Brand_Log!$A$2:$A$201,0))&amp;"",IFERROR(INDEX(Clay_Brands!$A$2:$FZ$601,26,Sync!$D$5)&amp;"","")&amp;""))</f>
        <v>SAMPLE-B-026</v>
      </c>
      <c r="E4077" s="23" t="str">
        <f aca="false">IF(B4077="","",IFERROR(INDEX(Clay_Brands!$A$2:$FZ$601,26,Sync!$D$6)&amp;"",""))</f>
        <v>SAMPLE Brand 26</v>
      </c>
      <c r="F4077" s="23" t="str">
        <f aca="false">IF(B4077="","","outreach_sent")</f>
        <v>outreach_sent</v>
      </c>
      <c r="G4077" s="23" t="str">
        <f aca="false">IF(B4077="","","")</f>
        <v/>
      </c>
      <c r="H4077" s="23" t="str">
        <f aca="false">IF(B4077="","","")</f>
        <v/>
      </c>
      <c r="I4077" s="23" t="str">
        <f aca="false">IF(B4077="","","")</f>
        <v/>
      </c>
      <c r="J4077" s="23" t="str">
        <f aca="false">IF(B4077="","","touch_2; "&amp;IFERROR(INDEX(Clay_Brands!$A$2:$FZ$601,26,Sync!$D$10)&amp;"","")&amp;"; "&amp;IFERROR(INDEX(Clay_Brands!$A$2:$FZ$601,26,Sync!$D$9)&amp;"",""))</f>
        <v>touch_2; brand-discovery-B; linkedin</v>
      </c>
      <c r="K4077" s="32" t="s">
        <v>1367</v>
      </c>
    </row>
    <row r="4078" customFormat="false" ht="15" hidden="false" customHeight="false" outlineLevel="0" collapsed="false">
      <c r="A4078" s="42" t="n">
        <f aca="false">IF(B4078="","",B4078+(16*1000+27)/10000000)</f>
        <v>46331.0016027</v>
      </c>
      <c r="B4078" s="35" t="n">
        <f aca="false">IF(AND(IFERROR(N(INDEX(Clay_Brands!$A$2:$FZ$601,27,Sync!$D$12)),0)&gt;0,IFERROR(INDEX(Clay_Brands!$A$2:$FZ$601,27,Sync!$D$5)&amp;"","")&lt;&gt;"",OR(LEFT(IFERROR(INDEX(Clay_Brands!$A$2:$FZ$601,27,Sync!$D$5)&amp;"",""),6)&lt;&gt;"SAMPLE",Config!$B$19="Y")),IFERROR(N(INDEX(Clay_Brands!$A$2:$FZ$601,27,Sync!$D$12)),0),"")</f>
        <v>46331</v>
      </c>
      <c r="C4078" s="23" t="str">
        <f aca="false">IF(B4078="","","brand")</f>
        <v>brand</v>
      </c>
      <c r="D4078" s="23" t="str">
        <f aca="false">IF(B4078="","",IFERROR(INDEX(Brand_Log!$DV$2:$DV$201,MATCH(IFERROR(INDEX(Clay_Brands!$A$2:$FZ$601,27,Sync!$D$5)&amp;"",""),Brand_Log!$A$2:$A$201,0))&amp;"",IFERROR(INDEX(Clay_Brands!$A$2:$FZ$601,27,Sync!$D$5)&amp;"","")&amp;""))</f>
        <v>SAMPLE-B-027</v>
      </c>
      <c r="E4078" s="23" t="str">
        <f aca="false">IF(B4078="","",IFERROR(INDEX(Clay_Brands!$A$2:$FZ$601,27,Sync!$D$6)&amp;"",""))</f>
        <v>SAMPLE Brand 27</v>
      </c>
      <c r="F4078" s="23" t="str">
        <f aca="false">IF(B4078="","","outreach_sent")</f>
        <v>outreach_sent</v>
      </c>
      <c r="G4078" s="23" t="str">
        <f aca="false">IF(B4078="","","")</f>
        <v/>
      </c>
      <c r="H4078" s="23" t="str">
        <f aca="false">IF(B4078="","","")</f>
        <v/>
      </c>
      <c r="I4078" s="23" t="str">
        <f aca="false">IF(B4078="","","")</f>
        <v/>
      </c>
      <c r="J4078" s="23" t="str">
        <f aca="false">IF(B4078="","","touch_2; "&amp;IFERROR(INDEX(Clay_Brands!$A$2:$FZ$601,27,Sync!$D$10)&amp;"","")&amp;"; "&amp;IFERROR(INDEX(Clay_Brands!$A$2:$FZ$601,27,Sync!$D$9)&amp;"",""))</f>
        <v>touch_2; brand-discovery-A; linkedin</v>
      </c>
      <c r="K4078" s="32" t="s">
        <v>1367</v>
      </c>
    </row>
    <row r="4079" customFormat="false" ht="15" hidden="false" customHeight="false" outlineLevel="0" collapsed="false">
      <c r="A4079" s="42" t="n">
        <f aca="false">IF(B4079="","",B4079+(16*1000+28)/10000000)</f>
        <v>46336.0016028</v>
      </c>
      <c r="B4079" s="35" t="n">
        <f aca="false">IF(AND(IFERROR(N(INDEX(Clay_Brands!$A$2:$FZ$601,28,Sync!$D$12)),0)&gt;0,IFERROR(INDEX(Clay_Brands!$A$2:$FZ$601,28,Sync!$D$5)&amp;"","")&lt;&gt;"",OR(LEFT(IFERROR(INDEX(Clay_Brands!$A$2:$FZ$601,28,Sync!$D$5)&amp;"",""),6)&lt;&gt;"SAMPLE",Config!$B$19="Y")),IFERROR(N(INDEX(Clay_Brands!$A$2:$FZ$601,28,Sync!$D$12)),0),"")</f>
        <v>46336</v>
      </c>
      <c r="C4079" s="23" t="str">
        <f aca="false">IF(B4079="","","brand")</f>
        <v>brand</v>
      </c>
      <c r="D4079" s="23" t="str">
        <f aca="false">IF(B4079="","",IFERROR(INDEX(Brand_Log!$DV$2:$DV$201,MATCH(IFERROR(INDEX(Clay_Brands!$A$2:$FZ$601,28,Sync!$D$5)&amp;"",""),Brand_Log!$A$2:$A$201,0))&amp;"",IFERROR(INDEX(Clay_Brands!$A$2:$FZ$601,28,Sync!$D$5)&amp;"","")&amp;""))</f>
        <v>SAMPLE-B-028</v>
      </c>
      <c r="E4079" s="23" t="str">
        <f aca="false">IF(B4079="","",IFERROR(INDEX(Clay_Brands!$A$2:$FZ$601,28,Sync!$D$6)&amp;"",""))</f>
        <v>SAMPLE Brand 28</v>
      </c>
      <c r="F4079" s="23" t="str">
        <f aca="false">IF(B4079="","","outreach_sent")</f>
        <v>outreach_sent</v>
      </c>
      <c r="G4079" s="23" t="str">
        <f aca="false">IF(B4079="","","")</f>
        <v/>
      </c>
      <c r="H4079" s="23" t="str">
        <f aca="false">IF(B4079="","","")</f>
        <v/>
      </c>
      <c r="I4079" s="23" t="str">
        <f aca="false">IF(B4079="","","")</f>
        <v/>
      </c>
      <c r="J4079" s="23" t="str">
        <f aca="false">IF(B4079="","","touch_2; "&amp;IFERROR(INDEX(Clay_Brands!$A$2:$FZ$601,28,Sync!$D$10)&amp;"","")&amp;"; "&amp;IFERROR(INDEX(Clay_Brands!$A$2:$FZ$601,28,Sync!$D$9)&amp;"",""))</f>
        <v>touch_2; brand-discovery-B; linkedin</v>
      </c>
      <c r="K4079" s="32" t="s">
        <v>1367</v>
      </c>
    </row>
    <row r="4080" customFormat="false" ht="15" hidden="false" customHeight="false" outlineLevel="0" collapsed="false">
      <c r="A4080" s="42" t="n">
        <f aca="false">IF(B4080="","",B4080+(16*1000+29)/10000000)</f>
        <v>46342.0016029</v>
      </c>
      <c r="B4080" s="35" t="n">
        <f aca="false">IF(AND(IFERROR(N(INDEX(Clay_Brands!$A$2:$FZ$601,29,Sync!$D$12)),0)&gt;0,IFERROR(INDEX(Clay_Brands!$A$2:$FZ$601,29,Sync!$D$5)&amp;"","")&lt;&gt;"",OR(LEFT(IFERROR(INDEX(Clay_Brands!$A$2:$FZ$601,29,Sync!$D$5)&amp;"",""),6)&lt;&gt;"SAMPLE",Config!$B$19="Y")),IFERROR(N(INDEX(Clay_Brands!$A$2:$FZ$601,29,Sync!$D$12)),0),"")</f>
        <v>46342</v>
      </c>
      <c r="C4080" s="23" t="str">
        <f aca="false">IF(B4080="","","brand")</f>
        <v>brand</v>
      </c>
      <c r="D4080" s="23" t="str">
        <f aca="false">IF(B4080="","",IFERROR(INDEX(Brand_Log!$DV$2:$DV$201,MATCH(IFERROR(INDEX(Clay_Brands!$A$2:$FZ$601,29,Sync!$D$5)&amp;"",""),Brand_Log!$A$2:$A$201,0))&amp;"",IFERROR(INDEX(Clay_Brands!$A$2:$FZ$601,29,Sync!$D$5)&amp;"","")&amp;""))</f>
        <v>SAMPLE-B-029</v>
      </c>
      <c r="E4080" s="23" t="str">
        <f aca="false">IF(B4080="","",IFERROR(INDEX(Clay_Brands!$A$2:$FZ$601,29,Sync!$D$6)&amp;"",""))</f>
        <v>SAMPLE Brand 29</v>
      </c>
      <c r="F4080" s="23" t="str">
        <f aca="false">IF(B4080="","","outreach_sent")</f>
        <v>outreach_sent</v>
      </c>
      <c r="G4080" s="23" t="str">
        <f aca="false">IF(B4080="","","")</f>
        <v/>
      </c>
      <c r="H4080" s="23" t="str">
        <f aca="false">IF(B4080="","","")</f>
        <v/>
      </c>
      <c r="I4080" s="23" t="str">
        <f aca="false">IF(B4080="","","")</f>
        <v/>
      </c>
      <c r="J4080" s="23" t="str">
        <f aca="false">IF(B4080="","","touch_2; "&amp;IFERROR(INDEX(Clay_Brands!$A$2:$FZ$601,29,Sync!$D$10)&amp;"","")&amp;"; "&amp;IFERROR(INDEX(Clay_Brands!$A$2:$FZ$601,29,Sync!$D$9)&amp;"",""))</f>
        <v>touch_2; brand-discovery-A; email</v>
      </c>
      <c r="K4080" s="32" t="s">
        <v>1367</v>
      </c>
    </row>
    <row r="4081" customFormat="false" ht="15" hidden="false" customHeight="false" outlineLevel="0" collapsed="false">
      <c r="A4081" s="23" t="str">
        <f aca="false">IF(B4081="","",B4081+(16*1000+30)/10000000)</f>
        <v/>
      </c>
      <c r="B4081" s="35" t="str">
        <f aca="false">IF(AND(IFERROR(N(INDEX(Clay_Brands!$A$2:$FZ$601,30,Sync!$D$12)),0)&gt;0,IFERROR(INDEX(Clay_Brands!$A$2:$FZ$601,30,Sync!$D$5)&amp;"","")&lt;&gt;"",OR(LEFT(IFERROR(INDEX(Clay_Brands!$A$2:$FZ$601,30,Sync!$D$5)&amp;"",""),6)&lt;&gt;"SAMPLE",Config!$B$19="Y")),IFERROR(N(INDEX(Clay_Brands!$A$2:$FZ$601,30,Sync!$D$12)),0),"")</f>
        <v/>
      </c>
      <c r="C4081" s="23" t="str">
        <f aca="false">IF(B4081="","","brand")</f>
        <v/>
      </c>
      <c r="D4081" s="23" t="str">
        <f aca="false">IF(B4081="","",IFERROR(INDEX(Brand_Log!$DV$2:$DV$201,MATCH(IFERROR(INDEX(Clay_Brands!$A$2:$FZ$601,30,Sync!$D$5)&amp;"",""),Brand_Log!$A$2:$A$201,0))&amp;"",IFERROR(INDEX(Clay_Brands!$A$2:$FZ$601,30,Sync!$D$5)&amp;"","")&amp;""))</f>
        <v/>
      </c>
      <c r="E4081" s="23" t="str">
        <f aca="false">IF(B4081="","",IFERROR(INDEX(Clay_Brands!$A$2:$FZ$601,30,Sync!$D$6)&amp;"",""))</f>
        <v/>
      </c>
      <c r="F4081" s="23" t="str">
        <f aca="false">IF(B4081="","","outreach_sent")</f>
        <v/>
      </c>
      <c r="G4081" s="23" t="str">
        <f aca="false">IF(B4081="","","")</f>
        <v/>
      </c>
      <c r="H4081" s="23" t="str">
        <f aca="false">IF(B4081="","","")</f>
        <v/>
      </c>
      <c r="I4081" s="23" t="str">
        <f aca="false">IF(B4081="","","")</f>
        <v/>
      </c>
      <c r="J4081" s="23" t="str">
        <f aca="false">IF(B4081="","","touch_2; "&amp;IFERROR(INDEX(Clay_Brands!$A$2:$FZ$601,30,Sync!$D$10)&amp;"","")&amp;"; "&amp;IFERROR(INDEX(Clay_Brands!$A$2:$FZ$601,30,Sync!$D$9)&amp;"",""))</f>
        <v/>
      </c>
      <c r="K4081" s="32" t="s">
        <v>1367</v>
      </c>
    </row>
    <row r="4082" customFormat="false" ht="15" hidden="false" customHeight="false" outlineLevel="0" collapsed="false">
      <c r="A4082" s="42" t="n">
        <f aca="false">IF(B4082="","",B4082+(16*1000+31)/10000000)</f>
        <v>46350.0016031</v>
      </c>
      <c r="B4082" s="35" t="n">
        <f aca="false">IF(AND(IFERROR(N(INDEX(Clay_Brands!$A$2:$FZ$601,31,Sync!$D$12)),0)&gt;0,IFERROR(INDEX(Clay_Brands!$A$2:$FZ$601,31,Sync!$D$5)&amp;"","")&lt;&gt;"",OR(LEFT(IFERROR(INDEX(Clay_Brands!$A$2:$FZ$601,31,Sync!$D$5)&amp;"",""),6)&lt;&gt;"SAMPLE",Config!$B$19="Y")),IFERROR(N(INDEX(Clay_Brands!$A$2:$FZ$601,31,Sync!$D$12)),0),"")</f>
        <v>46350</v>
      </c>
      <c r="C4082" s="23" t="str">
        <f aca="false">IF(B4082="","","brand")</f>
        <v>brand</v>
      </c>
      <c r="D4082" s="23" t="str">
        <f aca="false">IF(B4082="","",IFERROR(INDEX(Brand_Log!$DV$2:$DV$201,MATCH(IFERROR(INDEX(Clay_Brands!$A$2:$FZ$601,31,Sync!$D$5)&amp;"",""),Brand_Log!$A$2:$A$201,0))&amp;"",IFERROR(INDEX(Clay_Brands!$A$2:$FZ$601,31,Sync!$D$5)&amp;"","")&amp;""))</f>
        <v>SAMPLE-B-031</v>
      </c>
      <c r="E4082" s="23" t="str">
        <f aca="false">IF(B4082="","",IFERROR(INDEX(Clay_Brands!$A$2:$FZ$601,31,Sync!$D$6)&amp;"",""))</f>
        <v>SAMPLE Brand 31</v>
      </c>
      <c r="F4082" s="23" t="str">
        <f aca="false">IF(B4082="","","outreach_sent")</f>
        <v>outreach_sent</v>
      </c>
      <c r="G4082" s="23" t="str">
        <f aca="false">IF(B4082="","","")</f>
        <v/>
      </c>
      <c r="H4082" s="23" t="str">
        <f aca="false">IF(B4082="","","")</f>
        <v/>
      </c>
      <c r="I4082" s="23" t="str">
        <f aca="false">IF(B4082="","","")</f>
        <v/>
      </c>
      <c r="J4082" s="23" t="str">
        <f aca="false">IF(B4082="","","touch_2; "&amp;IFERROR(INDEX(Clay_Brands!$A$2:$FZ$601,31,Sync!$D$10)&amp;"","")&amp;"; "&amp;IFERROR(INDEX(Clay_Brands!$A$2:$FZ$601,31,Sync!$D$9)&amp;"",""))</f>
        <v>touch_2; brand-discovery-A; email</v>
      </c>
      <c r="K4082" s="32" t="s">
        <v>1367</v>
      </c>
    </row>
    <row r="4083" customFormat="false" ht="15" hidden="false" customHeight="false" outlineLevel="0" collapsed="false">
      <c r="A4083" s="42" t="n">
        <f aca="false">IF(B4083="","",B4083+(16*1000+32)/10000000)</f>
        <v>46325.0016032</v>
      </c>
      <c r="B4083" s="35" t="n">
        <f aca="false">IF(AND(IFERROR(N(INDEX(Clay_Brands!$A$2:$FZ$601,32,Sync!$D$12)),0)&gt;0,IFERROR(INDEX(Clay_Brands!$A$2:$FZ$601,32,Sync!$D$5)&amp;"","")&lt;&gt;"",OR(LEFT(IFERROR(INDEX(Clay_Brands!$A$2:$FZ$601,32,Sync!$D$5)&amp;"",""),6)&lt;&gt;"SAMPLE",Config!$B$19="Y")),IFERROR(N(INDEX(Clay_Brands!$A$2:$FZ$601,32,Sync!$D$12)),0),"")</f>
        <v>46325</v>
      </c>
      <c r="C4083" s="23" t="str">
        <f aca="false">IF(B4083="","","brand")</f>
        <v>brand</v>
      </c>
      <c r="D4083" s="23" t="str">
        <f aca="false">IF(B4083="","",IFERROR(INDEX(Brand_Log!$DV$2:$DV$201,MATCH(IFERROR(INDEX(Clay_Brands!$A$2:$FZ$601,32,Sync!$D$5)&amp;"",""),Brand_Log!$A$2:$A$201,0))&amp;"",IFERROR(INDEX(Clay_Brands!$A$2:$FZ$601,32,Sync!$D$5)&amp;"","")&amp;""))</f>
        <v>SAMPLE-B-032</v>
      </c>
      <c r="E4083" s="23" t="str">
        <f aca="false">IF(B4083="","",IFERROR(INDEX(Clay_Brands!$A$2:$FZ$601,32,Sync!$D$6)&amp;"",""))</f>
        <v>SAMPLE Brand 32</v>
      </c>
      <c r="F4083" s="23" t="str">
        <f aca="false">IF(B4083="","","outreach_sent")</f>
        <v>outreach_sent</v>
      </c>
      <c r="G4083" s="23" t="str">
        <f aca="false">IF(B4083="","","")</f>
        <v/>
      </c>
      <c r="H4083" s="23" t="str">
        <f aca="false">IF(B4083="","","")</f>
        <v/>
      </c>
      <c r="I4083" s="23" t="str">
        <f aca="false">IF(B4083="","","")</f>
        <v/>
      </c>
      <c r="J4083" s="23" t="str">
        <f aca="false">IF(B4083="","","touch_2; "&amp;IFERROR(INDEX(Clay_Brands!$A$2:$FZ$601,32,Sync!$D$10)&amp;"","")&amp;"; "&amp;IFERROR(INDEX(Clay_Brands!$A$2:$FZ$601,32,Sync!$D$9)&amp;"",""))</f>
        <v>touch_2; brand-discovery-B; linkedin</v>
      </c>
      <c r="K4083" s="32" t="s">
        <v>1367</v>
      </c>
    </row>
    <row r="4084" customFormat="false" ht="15" hidden="false" customHeight="false" outlineLevel="0" collapsed="false">
      <c r="A4084" s="42" t="n">
        <f aca="false">IF(B4084="","",B4084+(16*1000+33)/10000000)</f>
        <v>46330.0016033</v>
      </c>
      <c r="B4084" s="35" t="n">
        <f aca="false">IF(AND(IFERROR(N(INDEX(Clay_Brands!$A$2:$FZ$601,33,Sync!$D$12)),0)&gt;0,IFERROR(INDEX(Clay_Brands!$A$2:$FZ$601,33,Sync!$D$5)&amp;"","")&lt;&gt;"",OR(LEFT(IFERROR(INDEX(Clay_Brands!$A$2:$FZ$601,33,Sync!$D$5)&amp;"",""),6)&lt;&gt;"SAMPLE",Config!$B$19="Y")),IFERROR(N(INDEX(Clay_Brands!$A$2:$FZ$601,33,Sync!$D$12)),0),"")</f>
        <v>46330</v>
      </c>
      <c r="C4084" s="23" t="str">
        <f aca="false">IF(B4084="","","brand")</f>
        <v>brand</v>
      </c>
      <c r="D4084" s="23" t="str">
        <f aca="false">IF(B4084="","",IFERROR(INDEX(Brand_Log!$DV$2:$DV$201,MATCH(IFERROR(INDEX(Clay_Brands!$A$2:$FZ$601,33,Sync!$D$5)&amp;"",""),Brand_Log!$A$2:$A$201,0))&amp;"",IFERROR(INDEX(Clay_Brands!$A$2:$FZ$601,33,Sync!$D$5)&amp;"","")&amp;""))</f>
        <v>SAMPLE-B-033</v>
      </c>
      <c r="E4084" s="23" t="str">
        <f aca="false">IF(B4084="","",IFERROR(INDEX(Clay_Brands!$A$2:$FZ$601,33,Sync!$D$6)&amp;"",""))</f>
        <v>SAMPLE Brand 33</v>
      </c>
      <c r="F4084" s="23" t="str">
        <f aca="false">IF(B4084="","","outreach_sent")</f>
        <v>outreach_sent</v>
      </c>
      <c r="G4084" s="23" t="str">
        <f aca="false">IF(B4084="","","")</f>
        <v/>
      </c>
      <c r="H4084" s="23" t="str">
        <f aca="false">IF(B4084="","","")</f>
        <v/>
      </c>
      <c r="I4084" s="23" t="str">
        <f aca="false">IF(B4084="","","")</f>
        <v/>
      </c>
      <c r="J4084" s="23" t="str">
        <f aca="false">IF(B4084="","","touch_2; "&amp;IFERROR(INDEX(Clay_Brands!$A$2:$FZ$601,33,Sync!$D$10)&amp;"","")&amp;"; "&amp;IFERROR(INDEX(Clay_Brands!$A$2:$FZ$601,33,Sync!$D$9)&amp;"",""))</f>
        <v>touch_2; brand-discovery-A; linkedin</v>
      </c>
      <c r="K4084" s="32" t="s">
        <v>1367</v>
      </c>
    </row>
    <row r="4085" customFormat="false" ht="15" hidden="false" customHeight="false" outlineLevel="0" collapsed="false">
      <c r="A4085" s="42" t="n">
        <f aca="false">IF(B4085="","",B4085+(16*1000+34)/10000000)</f>
        <v>46335.0016034</v>
      </c>
      <c r="B4085" s="35" t="n">
        <f aca="false">IF(AND(IFERROR(N(INDEX(Clay_Brands!$A$2:$FZ$601,34,Sync!$D$12)),0)&gt;0,IFERROR(INDEX(Clay_Brands!$A$2:$FZ$601,34,Sync!$D$5)&amp;"","")&lt;&gt;"",OR(LEFT(IFERROR(INDEX(Clay_Brands!$A$2:$FZ$601,34,Sync!$D$5)&amp;"",""),6)&lt;&gt;"SAMPLE",Config!$B$19="Y")),IFERROR(N(INDEX(Clay_Brands!$A$2:$FZ$601,34,Sync!$D$12)),0),"")</f>
        <v>46335</v>
      </c>
      <c r="C4085" s="23" t="str">
        <f aca="false">IF(B4085="","","brand")</f>
        <v>brand</v>
      </c>
      <c r="D4085" s="23" t="str">
        <f aca="false">IF(B4085="","",IFERROR(INDEX(Brand_Log!$DV$2:$DV$201,MATCH(IFERROR(INDEX(Clay_Brands!$A$2:$FZ$601,34,Sync!$D$5)&amp;"",""),Brand_Log!$A$2:$A$201,0))&amp;"",IFERROR(INDEX(Clay_Brands!$A$2:$FZ$601,34,Sync!$D$5)&amp;"","")&amp;""))</f>
        <v>SAMPLE-B-034</v>
      </c>
      <c r="E4085" s="23" t="str">
        <f aca="false">IF(B4085="","",IFERROR(INDEX(Clay_Brands!$A$2:$FZ$601,34,Sync!$D$6)&amp;"",""))</f>
        <v>SAMPLE Brand 34</v>
      </c>
      <c r="F4085" s="23" t="str">
        <f aca="false">IF(B4085="","","outreach_sent")</f>
        <v>outreach_sent</v>
      </c>
      <c r="G4085" s="23" t="str">
        <f aca="false">IF(B4085="","","")</f>
        <v/>
      </c>
      <c r="H4085" s="23" t="str">
        <f aca="false">IF(B4085="","","")</f>
        <v/>
      </c>
      <c r="I4085" s="23" t="str">
        <f aca="false">IF(B4085="","","")</f>
        <v/>
      </c>
      <c r="J4085" s="23" t="str">
        <f aca="false">IF(B4085="","","touch_2; "&amp;IFERROR(INDEX(Clay_Brands!$A$2:$FZ$601,34,Sync!$D$10)&amp;"","")&amp;"; "&amp;IFERROR(INDEX(Clay_Brands!$A$2:$FZ$601,34,Sync!$D$9)&amp;"",""))</f>
        <v>touch_2; brand-discovery-B; linkedin</v>
      </c>
      <c r="K4085" s="32" t="s">
        <v>1367</v>
      </c>
    </row>
    <row r="4086" customFormat="false" ht="15" hidden="false" customHeight="false" outlineLevel="0" collapsed="false">
      <c r="A4086" s="23" t="str">
        <f aca="false">IF(B4086="","",B4086+(16*1000+35)/10000000)</f>
        <v/>
      </c>
      <c r="B4086" s="35" t="str">
        <f aca="false">IF(AND(IFERROR(N(INDEX(Clay_Brands!$A$2:$FZ$601,35,Sync!$D$12)),0)&gt;0,IFERROR(INDEX(Clay_Brands!$A$2:$FZ$601,35,Sync!$D$5)&amp;"","")&lt;&gt;"",OR(LEFT(IFERROR(INDEX(Clay_Brands!$A$2:$FZ$601,35,Sync!$D$5)&amp;"",""),6)&lt;&gt;"SAMPLE",Config!$B$19="Y")),IFERROR(N(INDEX(Clay_Brands!$A$2:$FZ$601,35,Sync!$D$12)),0),"")</f>
        <v/>
      </c>
      <c r="C4086" s="23" t="str">
        <f aca="false">IF(B4086="","","brand")</f>
        <v/>
      </c>
      <c r="D4086" s="23" t="str">
        <f aca="false">IF(B4086="","",IFERROR(INDEX(Brand_Log!$DV$2:$DV$201,MATCH(IFERROR(INDEX(Clay_Brands!$A$2:$FZ$601,35,Sync!$D$5)&amp;"",""),Brand_Log!$A$2:$A$201,0))&amp;"",IFERROR(INDEX(Clay_Brands!$A$2:$FZ$601,35,Sync!$D$5)&amp;"","")&amp;""))</f>
        <v/>
      </c>
      <c r="E4086" s="23" t="str">
        <f aca="false">IF(B4086="","",IFERROR(INDEX(Clay_Brands!$A$2:$FZ$601,35,Sync!$D$6)&amp;"",""))</f>
        <v/>
      </c>
      <c r="F4086" s="23" t="str">
        <f aca="false">IF(B4086="","","outreach_sent")</f>
        <v/>
      </c>
      <c r="G4086" s="23" t="str">
        <f aca="false">IF(B4086="","","")</f>
        <v/>
      </c>
      <c r="H4086" s="23" t="str">
        <f aca="false">IF(B4086="","","")</f>
        <v/>
      </c>
      <c r="I4086" s="23" t="str">
        <f aca="false">IF(B4086="","","")</f>
        <v/>
      </c>
      <c r="J4086" s="23" t="str">
        <f aca="false">IF(B4086="","","touch_2; "&amp;IFERROR(INDEX(Clay_Brands!$A$2:$FZ$601,35,Sync!$D$10)&amp;"","")&amp;"; "&amp;IFERROR(INDEX(Clay_Brands!$A$2:$FZ$601,35,Sync!$D$9)&amp;"",""))</f>
        <v/>
      </c>
      <c r="K4086" s="32" t="s">
        <v>1367</v>
      </c>
    </row>
    <row r="4087" customFormat="false" ht="15" hidden="false" customHeight="false" outlineLevel="0" collapsed="false">
      <c r="A4087" s="42" t="n">
        <f aca="false">IF(B4087="","",B4087+(16*1000+36)/10000000)</f>
        <v>46344.0016036</v>
      </c>
      <c r="B4087" s="35" t="n">
        <f aca="false">IF(AND(IFERROR(N(INDEX(Clay_Brands!$A$2:$FZ$601,36,Sync!$D$12)),0)&gt;0,IFERROR(INDEX(Clay_Brands!$A$2:$FZ$601,36,Sync!$D$5)&amp;"","")&lt;&gt;"",OR(LEFT(IFERROR(INDEX(Clay_Brands!$A$2:$FZ$601,36,Sync!$D$5)&amp;"",""),6)&lt;&gt;"SAMPLE",Config!$B$19="Y")),IFERROR(N(INDEX(Clay_Brands!$A$2:$FZ$601,36,Sync!$D$12)),0),"")</f>
        <v>46344</v>
      </c>
      <c r="C4087" s="23" t="str">
        <f aca="false">IF(B4087="","","brand")</f>
        <v>brand</v>
      </c>
      <c r="D4087" s="23" t="str">
        <f aca="false">IF(B4087="","",IFERROR(INDEX(Brand_Log!$DV$2:$DV$201,MATCH(IFERROR(INDEX(Clay_Brands!$A$2:$FZ$601,36,Sync!$D$5)&amp;"",""),Brand_Log!$A$2:$A$201,0))&amp;"",IFERROR(INDEX(Clay_Brands!$A$2:$FZ$601,36,Sync!$D$5)&amp;"","")&amp;""))</f>
        <v>SAMPLE-B-036</v>
      </c>
      <c r="E4087" s="23" t="str">
        <f aca="false">IF(B4087="","",IFERROR(INDEX(Clay_Brands!$A$2:$FZ$601,36,Sync!$D$6)&amp;"",""))</f>
        <v>SAMPLE Brand 36</v>
      </c>
      <c r="F4087" s="23" t="str">
        <f aca="false">IF(B4087="","","outreach_sent")</f>
        <v>outreach_sent</v>
      </c>
      <c r="G4087" s="23" t="str">
        <f aca="false">IF(B4087="","","")</f>
        <v/>
      </c>
      <c r="H4087" s="23" t="str">
        <f aca="false">IF(B4087="","","")</f>
        <v/>
      </c>
      <c r="I4087" s="23" t="str">
        <f aca="false">IF(B4087="","","")</f>
        <v/>
      </c>
      <c r="J4087" s="23" t="str">
        <f aca="false">IF(B4087="","","touch_2; "&amp;IFERROR(INDEX(Clay_Brands!$A$2:$FZ$601,36,Sync!$D$10)&amp;"","")&amp;"; "&amp;IFERROR(INDEX(Clay_Brands!$A$2:$FZ$601,36,Sync!$D$9)&amp;"",""))</f>
        <v>touch_2; brand-discovery-B; linkedin</v>
      </c>
      <c r="K4087" s="32" t="s">
        <v>1367</v>
      </c>
    </row>
    <row r="4088" customFormat="false" ht="15" hidden="false" customHeight="false" outlineLevel="0" collapsed="false">
      <c r="A4088" s="42" t="n">
        <f aca="false">IF(B4088="","",B4088+(16*1000+37)/10000000)</f>
        <v>46349.0016037</v>
      </c>
      <c r="B4088" s="35" t="n">
        <f aca="false">IF(AND(IFERROR(N(INDEX(Clay_Brands!$A$2:$FZ$601,37,Sync!$D$12)),0)&gt;0,IFERROR(INDEX(Clay_Brands!$A$2:$FZ$601,37,Sync!$D$5)&amp;"","")&lt;&gt;"",OR(LEFT(IFERROR(INDEX(Clay_Brands!$A$2:$FZ$601,37,Sync!$D$5)&amp;"",""),6)&lt;&gt;"SAMPLE",Config!$B$19="Y")),IFERROR(N(INDEX(Clay_Brands!$A$2:$FZ$601,37,Sync!$D$12)),0),"")</f>
        <v>46349</v>
      </c>
      <c r="C4088" s="23" t="str">
        <f aca="false">IF(B4088="","","brand")</f>
        <v>brand</v>
      </c>
      <c r="D4088" s="23" t="str">
        <f aca="false">IF(B4088="","",IFERROR(INDEX(Brand_Log!$DV$2:$DV$201,MATCH(IFERROR(INDEX(Clay_Brands!$A$2:$FZ$601,37,Sync!$D$5)&amp;"",""),Brand_Log!$A$2:$A$201,0))&amp;"",IFERROR(INDEX(Clay_Brands!$A$2:$FZ$601,37,Sync!$D$5)&amp;"","")&amp;""))</f>
        <v>SAMPLE-B-037</v>
      </c>
      <c r="E4088" s="23" t="str">
        <f aca="false">IF(B4088="","",IFERROR(INDEX(Clay_Brands!$A$2:$FZ$601,37,Sync!$D$6)&amp;"",""))</f>
        <v>SAMPLE Brand 37</v>
      </c>
      <c r="F4088" s="23" t="str">
        <f aca="false">IF(B4088="","","outreach_sent")</f>
        <v>outreach_sent</v>
      </c>
      <c r="G4088" s="23" t="str">
        <f aca="false">IF(B4088="","","")</f>
        <v/>
      </c>
      <c r="H4088" s="23" t="str">
        <f aca="false">IF(B4088="","","")</f>
        <v/>
      </c>
      <c r="I4088" s="23" t="str">
        <f aca="false">IF(B4088="","","")</f>
        <v/>
      </c>
      <c r="J4088" s="23" t="str">
        <f aca="false">IF(B4088="","","touch_2; "&amp;IFERROR(INDEX(Clay_Brands!$A$2:$FZ$601,37,Sync!$D$10)&amp;"","")&amp;"; "&amp;IFERROR(INDEX(Clay_Brands!$A$2:$FZ$601,37,Sync!$D$9)&amp;"",""))</f>
        <v>touch_2; brand-discovery-A; email</v>
      </c>
      <c r="K4088" s="32" t="s">
        <v>1367</v>
      </c>
    </row>
    <row r="4089" customFormat="false" ht="15" hidden="false" customHeight="false" outlineLevel="0" collapsed="false">
      <c r="A4089" s="42" t="n">
        <f aca="false">IF(B4089="","",B4089+(16*1000+38)/10000000)</f>
        <v>46324.0016038</v>
      </c>
      <c r="B4089" s="35" t="n">
        <f aca="false">IF(AND(IFERROR(N(INDEX(Clay_Brands!$A$2:$FZ$601,38,Sync!$D$12)),0)&gt;0,IFERROR(INDEX(Clay_Brands!$A$2:$FZ$601,38,Sync!$D$5)&amp;"","")&lt;&gt;"",OR(LEFT(IFERROR(INDEX(Clay_Brands!$A$2:$FZ$601,38,Sync!$D$5)&amp;"",""),6)&lt;&gt;"SAMPLE",Config!$B$19="Y")),IFERROR(N(INDEX(Clay_Brands!$A$2:$FZ$601,38,Sync!$D$12)),0),"")</f>
        <v>46324</v>
      </c>
      <c r="C4089" s="23" t="str">
        <f aca="false">IF(B4089="","","brand")</f>
        <v>brand</v>
      </c>
      <c r="D4089" s="23" t="str">
        <f aca="false">IF(B4089="","",IFERROR(INDEX(Brand_Log!$DV$2:$DV$201,MATCH(IFERROR(INDEX(Clay_Brands!$A$2:$FZ$601,38,Sync!$D$5)&amp;"",""),Brand_Log!$A$2:$A$201,0))&amp;"",IFERROR(INDEX(Clay_Brands!$A$2:$FZ$601,38,Sync!$D$5)&amp;"","")&amp;""))</f>
        <v>SAMPLE-B-038</v>
      </c>
      <c r="E4089" s="23" t="str">
        <f aca="false">IF(B4089="","",IFERROR(INDEX(Clay_Brands!$A$2:$FZ$601,38,Sync!$D$6)&amp;"",""))</f>
        <v>SAMPLE Brand 38</v>
      </c>
      <c r="F4089" s="23" t="str">
        <f aca="false">IF(B4089="","","outreach_sent")</f>
        <v>outreach_sent</v>
      </c>
      <c r="G4089" s="23" t="str">
        <f aca="false">IF(B4089="","","")</f>
        <v/>
      </c>
      <c r="H4089" s="23" t="str">
        <f aca="false">IF(B4089="","","")</f>
        <v/>
      </c>
      <c r="I4089" s="23" t="str">
        <f aca="false">IF(B4089="","","")</f>
        <v/>
      </c>
      <c r="J4089" s="23" t="str">
        <f aca="false">IF(B4089="","","touch_2; "&amp;IFERROR(INDEX(Clay_Brands!$A$2:$FZ$601,38,Sync!$D$10)&amp;"","")&amp;"; "&amp;IFERROR(INDEX(Clay_Brands!$A$2:$FZ$601,38,Sync!$D$9)&amp;"",""))</f>
        <v>touch_2; brand-discovery-B; linkedin</v>
      </c>
      <c r="K4089" s="32" t="s">
        <v>1367</v>
      </c>
    </row>
    <row r="4090" customFormat="false" ht="15" hidden="false" customHeight="false" outlineLevel="0" collapsed="false">
      <c r="A4090" s="42" t="n">
        <f aca="false">IF(B4090="","",B4090+(16*1000+39)/10000000)</f>
        <v>46329.0016039</v>
      </c>
      <c r="B4090" s="35" t="n">
        <f aca="false">IF(AND(IFERROR(N(INDEX(Clay_Brands!$A$2:$FZ$601,39,Sync!$D$12)),0)&gt;0,IFERROR(INDEX(Clay_Brands!$A$2:$FZ$601,39,Sync!$D$5)&amp;"","")&lt;&gt;"",OR(LEFT(IFERROR(INDEX(Clay_Brands!$A$2:$FZ$601,39,Sync!$D$5)&amp;"",""),6)&lt;&gt;"SAMPLE",Config!$B$19="Y")),IFERROR(N(INDEX(Clay_Brands!$A$2:$FZ$601,39,Sync!$D$12)),0),"")</f>
        <v>46329</v>
      </c>
      <c r="C4090" s="23" t="str">
        <f aca="false">IF(B4090="","","brand")</f>
        <v>brand</v>
      </c>
      <c r="D4090" s="23" t="str">
        <f aca="false">IF(B4090="","",IFERROR(INDEX(Brand_Log!$DV$2:$DV$201,MATCH(IFERROR(INDEX(Clay_Brands!$A$2:$FZ$601,39,Sync!$D$5)&amp;"",""),Brand_Log!$A$2:$A$201,0))&amp;"",IFERROR(INDEX(Clay_Brands!$A$2:$FZ$601,39,Sync!$D$5)&amp;"","")&amp;""))</f>
        <v>SAMPLE-B-039</v>
      </c>
      <c r="E4090" s="23" t="str">
        <f aca="false">IF(B4090="","",IFERROR(INDEX(Clay_Brands!$A$2:$FZ$601,39,Sync!$D$6)&amp;"",""))</f>
        <v>SAMPLE Brand 39</v>
      </c>
      <c r="F4090" s="23" t="str">
        <f aca="false">IF(B4090="","","outreach_sent")</f>
        <v>outreach_sent</v>
      </c>
      <c r="G4090" s="23" t="str">
        <f aca="false">IF(B4090="","","")</f>
        <v/>
      </c>
      <c r="H4090" s="23" t="str">
        <f aca="false">IF(B4090="","","")</f>
        <v/>
      </c>
      <c r="I4090" s="23" t="str">
        <f aca="false">IF(B4090="","","")</f>
        <v/>
      </c>
      <c r="J4090" s="23" t="str">
        <f aca="false">IF(B4090="","","touch_2; "&amp;IFERROR(INDEX(Clay_Brands!$A$2:$FZ$601,39,Sync!$D$10)&amp;"","")&amp;"; "&amp;IFERROR(INDEX(Clay_Brands!$A$2:$FZ$601,39,Sync!$D$9)&amp;"",""))</f>
        <v>touch_2; brand-discovery-A; linkedin</v>
      </c>
      <c r="K4090" s="32" t="s">
        <v>1367</v>
      </c>
    </row>
    <row r="4091" customFormat="false" ht="15" hidden="false" customHeight="false" outlineLevel="0" collapsed="false">
      <c r="A4091" s="23" t="str">
        <f aca="false">IF(B4091="","",B4091+(16*1000+40)/10000000)</f>
        <v/>
      </c>
      <c r="B4091" s="35" t="str">
        <f aca="false">IF(AND(IFERROR(N(INDEX(Clay_Brands!$A$2:$FZ$601,40,Sync!$D$12)),0)&gt;0,IFERROR(INDEX(Clay_Brands!$A$2:$FZ$601,40,Sync!$D$5)&amp;"","")&lt;&gt;"",OR(LEFT(IFERROR(INDEX(Clay_Brands!$A$2:$FZ$601,40,Sync!$D$5)&amp;"",""),6)&lt;&gt;"SAMPLE",Config!$B$19="Y")),IFERROR(N(INDEX(Clay_Brands!$A$2:$FZ$601,40,Sync!$D$12)),0),"")</f>
        <v/>
      </c>
      <c r="C4091" s="23" t="str">
        <f aca="false">IF(B4091="","","brand")</f>
        <v/>
      </c>
      <c r="D4091" s="23" t="str">
        <f aca="false">IF(B4091="","",IFERROR(INDEX(Brand_Log!$DV$2:$DV$201,MATCH(IFERROR(INDEX(Clay_Brands!$A$2:$FZ$601,40,Sync!$D$5)&amp;"",""),Brand_Log!$A$2:$A$201,0))&amp;"",IFERROR(INDEX(Clay_Brands!$A$2:$FZ$601,40,Sync!$D$5)&amp;"","")&amp;""))</f>
        <v/>
      </c>
      <c r="E4091" s="23" t="str">
        <f aca="false">IF(B4091="","",IFERROR(INDEX(Clay_Brands!$A$2:$FZ$601,40,Sync!$D$6)&amp;"",""))</f>
        <v/>
      </c>
      <c r="F4091" s="23" t="str">
        <f aca="false">IF(B4091="","","outreach_sent")</f>
        <v/>
      </c>
      <c r="G4091" s="23" t="str">
        <f aca="false">IF(B4091="","","")</f>
        <v/>
      </c>
      <c r="H4091" s="23" t="str">
        <f aca="false">IF(B4091="","","")</f>
        <v/>
      </c>
      <c r="I4091" s="23" t="str">
        <f aca="false">IF(B4091="","","")</f>
        <v/>
      </c>
      <c r="J4091" s="23" t="str">
        <f aca="false">IF(B4091="","","touch_2; "&amp;IFERROR(INDEX(Clay_Brands!$A$2:$FZ$601,40,Sync!$D$10)&amp;"","")&amp;"; "&amp;IFERROR(INDEX(Clay_Brands!$A$2:$FZ$601,40,Sync!$D$9)&amp;"",""))</f>
        <v/>
      </c>
      <c r="K4091" s="32" t="s">
        <v>1367</v>
      </c>
    </row>
    <row r="4092" customFormat="false" ht="15" hidden="false" customHeight="false" outlineLevel="0" collapsed="false">
      <c r="A4092" s="23" t="str">
        <f aca="false">IF(B4092="","",B4092+(16*1000+41)/10000000)</f>
        <v/>
      </c>
      <c r="B4092" s="35" t="str">
        <f aca="false">IF(AND(IFERROR(N(INDEX(Clay_Brands!$A$2:$FZ$601,41,Sync!$D$12)),0)&gt;0,IFERROR(INDEX(Clay_Brands!$A$2:$FZ$601,41,Sync!$D$5)&amp;"","")&lt;&gt;"",OR(LEFT(IFERROR(INDEX(Clay_Brands!$A$2:$FZ$601,41,Sync!$D$5)&amp;"",""),6)&lt;&gt;"SAMPLE",Config!$B$19="Y")),IFERROR(N(INDEX(Clay_Brands!$A$2:$FZ$601,41,Sync!$D$12)),0),"")</f>
        <v/>
      </c>
      <c r="C4092" s="23" t="str">
        <f aca="false">IF(B4092="","","brand")</f>
        <v/>
      </c>
      <c r="D4092" s="23" t="str">
        <f aca="false">IF(B4092="","",IFERROR(INDEX(Brand_Log!$DV$2:$DV$201,MATCH(IFERROR(INDEX(Clay_Brands!$A$2:$FZ$601,41,Sync!$D$5)&amp;"",""),Brand_Log!$A$2:$A$201,0))&amp;"",IFERROR(INDEX(Clay_Brands!$A$2:$FZ$601,41,Sync!$D$5)&amp;"","")&amp;""))</f>
        <v/>
      </c>
      <c r="E4092" s="23" t="str">
        <f aca="false">IF(B4092="","",IFERROR(INDEX(Clay_Brands!$A$2:$FZ$601,41,Sync!$D$6)&amp;"",""))</f>
        <v/>
      </c>
      <c r="F4092" s="23" t="str">
        <f aca="false">IF(B4092="","","outreach_sent")</f>
        <v/>
      </c>
      <c r="G4092" s="23" t="str">
        <f aca="false">IF(B4092="","","")</f>
        <v/>
      </c>
      <c r="H4092" s="23" t="str">
        <f aca="false">IF(B4092="","","")</f>
        <v/>
      </c>
      <c r="I4092" s="23" t="str">
        <f aca="false">IF(B4092="","","")</f>
        <v/>
      </c>
      <c r="J4092" s="23" t="str">
        <f aca="false">IF(B4092="","","touch_2; "&amp;IFERROR(INDEX(Clay_Brands!$A$2:$FZ$601,41,Sync!$D$10)&amp;"","")&amp;"; "&amp;IFERROR(INDEX(Clay_Brands!$A$2:$FZ$601,41,Sync!$D$9)&amp;"",""))</f>
        <v/>
      </c>
      <c r="K4092" s="32" t="s">
        <v>1367</v>
      </c>
    </row>
    <row r="4093" customFormat="false" ht="15" hidden="false" customHeight="false" outlineLevel="0" collapsed="false">
      <c r="A4093" s="23" t="str">
        <f aca="false">IF(B4093="","",B4093+(16*1000+42)/10000000)</f>
        <v/>
      </c>
      <c r="B4093" s="35" t="str">
        <f aca="false">IF(AND(IFERROR(N(INDEX(Clay_Brands!$A$2:$FZ$601,42,Sync!$D$12)),0)&gt;0,IFERROR(INDEX(Clay_Brands!$A$2:$FZ$601,42,Sync!$D$5)&amp;"","")&lt;&gt;"",OR(LEFT(IFERROR(INDEX(Clay_Brands!$A$2:$FZ$601,42,Sync!$D$5)&amp;"",""),6)&lt;&gt;"SAMPLE",Config!$B$19="Y")),IFERROR(N(INDEX(Clay_Brands!$A$2:$FZ$601,42,Sync!$D$12)),0),"")</f>
        <v/>
      </c>
      <c r="C4093" s="23" t="str">
        <f aca="false">IF(B4093="","","brand")</f>
        <v/>
      </c>
      <c r="D4093" s="23" t="str">
        <f aca="false">IF(B4093="","",IFERROR(INDEX(Brand_Log!$DV$2:$DV$201,MATCH(IFERROR(INDEX(Clay_Brands!$A$2:$FZ$601,42,Sync!$D$5)&amp;"",""),Brand_Log!$A$2:$A$201,0))&amp;"",IFERROR(INDEX(Clay_Brands!$A$2:$FZ$601,42,Sync!$D$5)&amp;"","")&amp;""))</f>
        <v/>
      </c>
      <c r="E4093" s="23" t="str">
        <f aca="false">IF(B4093="","",IFERROR(INDEX(Clay_Brands!$A$2:$FZ$601,42,Sync!$D$6)&amp;"",""))</f>
        <v/>
      </c>
      <c r="F4093" s="23" t="str">
        <f aca="false">IF(B4093="","","outreach_sent")</f>
        <v/>
      </c>
      <c r="G4093" s="23" t="str">
        <f aca="false">IF(B4093="","","")</f>
        <v/>
      </c>
      <c r="H4093" s="23" t="str">
        <f aca="false">IF(B4093="","","")</f>
        <v/>
      </c>
      <c r="I4093" s="23" t="str">
        <f aca="false">IF(B4093="","","")</f>
        <v/>
      </c>
      <c r="J4093" s="23" t="str">
        <f aca="false">IF(B4093="","","touch_2; "&amp;IFERROR(INDEX(Clay_Brands!$A$2:$FZ$601,42,Sync!$D$10)&amp;"","")&amp;"; "&amp;IFERROR(INDEX(Clay_Brands!$A$2:$FZ$601,42,Sync!$D$9)&amp;"",""))</f>
        <v/>
      </c>
      <c r="K4093" s="32" t="s">
        <v>1367</v>
      </c>
    </row>
    <row r="4094" customFormat="false" ht="15" hidden="false" customHeight="false" outlineLevel="0" collapsed="false">
      <c r="A4094" s="23" t="str">
        <f aca="false">IF(B4094="","",B4094+(16*1000+43)/10000000)</f>
        <v/>
      </c>
      <c r="B4094" s="35" t="str">
        <f aca="false">IF(AND(IFERROR(N(INDEX(Clay_Brands!$A$2:$FZ$601,43,Sync!$D$12)),0)&gt;0,IFERROR(INDEX(Clay_Brands!$A$2:$FZ$601,43,Sync!$D$5)&amp;"","")&lt;&gt;"",OR(LEFT(IFERROR(INDEX(Clay_Brands!$A$2:$FZ$601,43,Sync!$D$5)&amp;"",""),6)&lt;&gt;"SAMPLE",Config!$B$19="Y")),IFERROR(N(INDEX(Clay_Brands!$A$2:$FZ$601,43,Sync!$D$12)),0),"")</f>
        <v/>
      </c>
      <c r="C4094" s="23" t="str">
        <f aca="false">IF(B4094="","","brand")</f>
        <v/>
      </c>
      <c r="D4094" s="23" t="str">
        <f aca="false">IF(B4094="","",IFERROR(INDEX(Brand_Log!$DV$2:$DV$201,MATCH(IFERROR(INDEX(Clay_Brands!$A$2:$FZ$601,43,Sync!$D$5)&amp;"",""),Brand_Log!$A$2:$A$201,0))&amp;"",IFERROR(INDEX(Clay_Brands!$A$2:$FZ$601,43,Sync!$D$5)&amp;"","")&amp;""))</f>
        <v/>
      </c>
      <c r="E4094" s="23" t="str">
        <f aca="false">IF(B4094="","",IFERROR(INDEX(Clay_Brands!$A$2:$FZ$601,43,Sync!$D$6)&amp;"",""))</f>
        <v/>
      </c>
      <c r="F4094" s="23" t="str">
        <f aca="false">IF(B4094="","","outreach_sent")</f>
        <v/>
      </c>
      <c r="G4094" s="23" t="str">
        <f aca="false">IF(B4094="","","")</f>
        <v/>
      </c>
      <c r="H4094" s="23" t="str">
        <f aca="false">IF(B4094="","","")</f>
        <v/>
      </c>
      <c r="I4094" s="23" t="str">
        <f aca="false">IF(B4094="","","")</f>
        <v/>
      </c>
      <c r="J4094" s="23" t="str">
        <f aca="false">IF(B4094="","","touch_2; "&amp;IFERROR(INDEX(Clay_Brands!$A$2:$FZ$601,43,Sync!$D$10)&amp;"","")&amp;"; "&amp;IFERROR(INDEX(Clay_Brands!$A$2:$FZ$601,43,Sync!$D$9)&amp;"",""))</f>
        <v/>
      </c>
      <c r="K4094" s="32" t="s">
        <v>1367</v>
      </c>
    </row>
    <row r="4095" customFormat="false" ht="15" hidden="false" customHeight="false" outlineLevel="0" collapsed="false">
      <c r="A4095" s="23" t="str">
        <f aca="false">IF(B4095="","",B4095+(16*1000+44)/10000000)</f>
        <v/>
      </c>
      <c r="B4095" s="35" t="str">
        <f aca="false">IF(AND(IFERROR(N(INDEX(Clay_Brands!$A$2:$FZ$601,44,Sync!$D$12)),0)&gt;0,IFERROR(INDEX(Clay_Brands!$A$2:$FZ$601,44,Sync!$D$5)&amp;"","")&lt;&gt;"",OR(LEFT(IFERROR(INDEX(Clay_Brands!$A$2:$FZ$601,44,Sync!$D$5)&amp;"",""),6)&lt;&gt;"SAMPLE",Config!$B$19="Y")),IFERROR(N(INDEX(Clay_Brands!$A$2:$FZ$601,44,Sync!$D$12)),0),"")</f>
        <v/>
      </c>
      <c r="C4095" s="23" t="str">
        <f aca="false">IF(B4095="","","brand")</f>
        <v/>
      </c>
      <c r="D4095" s="23" t="str">
        <f aca="false">IF(B4095="","",IFERROR(INDEX(Brand_Log!$DV$2:$DV$201,MATCH(IFERROR(INDEX(Clay_Brands!$A$2:$FZ$601,44,Sync!$D$5)&amp;"",""),Brand_Log!$A$2:$A$201,0))&amp;"",IFERROR(INDEX(Clay_Brands!$A$2:$FZ$601,44,Sync!$D$5)&amp;"","")&amp;""))</f>
        <v/>
      </c>
      <c r="E4095" s="23" t="str">
        <f aca="false">IF(B4095="","",IFERROR(INDEX(Clay_Brands!$A$2:$FZ$601,44,Sync!$D$6)&amp;"",""))</f>
        <v/>
      </c>
      <c r="F4095" s="23" t="str">
        <f aca="false">IF(B4095="","","outreach_sent")</f>
        <v/>
      </c>
      <c r="G4095" s="23" t="str">
        <f aca="false">IF(B4095="","","")</f>
        <v/>
      </c>
      <c r="H4095" s="23" t="str">
        <f aca="false">IF(B4095="","","")</f>
        <v/>
      </c>
      <c r="I4095" s="23" t="str">
        <f aca="false">IF(B4095="","","")</f>
        <v/>
      </c>
      <c r="J4095" s="23" t="str">
        <f aca="false">IF(B4095="","","touch_2; "&amp;IFERROR(INDEX(Clay_Brands!$A$2:$FZ$601,44,Sync!$D$10)&amp;"","")&amp;"; "&amp;IFERROR(INDEX(Clay_Brands!$A$2:$FZ$601,44,Sync!$D$9)&amp;"",""))</f>
        <v/>
      </c>
      <c r="K4095" s="32" t="s">
        <v>1367</v>
      </c>
    </row>
    <row r="4096" customFormat="false" ht="15" hidden="false" customHeight="false" outlineLevel="0" collapsed="false">
      <c r="A4096" s="23" t="str">
        <f aca="false">IF(B4096="","",B4096+(16*1000+45)/10000000)</f>
        <v/>
      </c>
      <c r="B4096" s="35" t="str">
        <f aca="false">IF(AND(IFERROR(N(INDEX(Clay_Brands!$A$2:$FZ$601,45,Sync!$D$12)),0)&gt;0,IFERROR(INDEX(Clay_Brands!$A$2:$FZ$601,45,Sync!$D$5)&amp;"","")&lt;&gt;"",OR(LEFT(IFERROR(INDEX(Clay_Brands!$A$2:$FZ$601,45,Sync!$D$5)&amp;"",""),6)&lt;&gt;"SAMPLE",Config!$B$19="Y")),IFERROR(N(INDEX(Clay_Brands!$A$2:$FZ$601,45,Sync!$D$12)),0),"")</f>
        <v/>
      </c>
      <c r="C4096" s="23" t="str">
        <f aca="false">IF(B4096="","","brand")</f>
        <v/>
      </c>
      <c r="D4096" s="23" t="str">
        <f aca="false">IF(B4096="","",IFERROR(INDEX(Brand_Log!$DV$2:$DV$201,MATCH(IFERROR(INDEX(Clay_Brands!$A$2:$FZ$601,45,Sync!$D$5)&amp;"",""),Brand_Log!$A$2:$A$201,0))&amp;"",IFERROR(INDEX(Clay_Brands!$A$2:$FZ$601,45,Sync!$D$5)&amp;"","")&amp;""))</f>
        <v/>
      </c>
      <c r="E4096" s="23" t="str">
        <f aca="false">IF(B4096="","",IFERROR(INDEX(Clay_Brands!$A$2:$FZ$601,45,Sync!$D$6)&amp;"",""))</f>
        <v/>
      </c>
      <c r="F4096" s="23" t="str">
        <f aca="false">IF(B4096="","","outreach_sent")</f>
        <v/>
      </c>
      <c r="G4096" s="23" t="str">
        <f aca="false">IF(B4096="","","")</f>
        <v/>
      </c>
      <c r="H4096" s="23" t="str">
        <f aca="false">IF(B4096="","","")</f>
        <v/>
      </c>
      <c r="I4096" s="23" t="str">
        <f aca="false">IF(B4096="","","")</f>
        <v/>
      </c>
      <c r="J4096" s="23" t="str">
        <f aca="false">IF(B4096="","","touch_2; "&amp;IFERROR(INDEX(Clay_Brands!$A$2:$FZ$601,45,Sync!$D$10)&amp;"","")&amp;"; "&amp;IFERROR(INDEX(Clay_Brands!$A$2:$FZ$601,45,Sync!$D$9)&amp;"",""))</f>
        <v/>
      </c>
      <c r="K4096" s="32" t="s">
        <v>1367</v>
      </c>
    </row>
    <row r="4097" customFormat="false" ht="15" hidden="false" customHeight="false" outlineLevel="0" collapsed="false">
      <c r="A4097" s="23" t="str">
        <f aca="false">IF(B4097="","",B4097+(16*1000+46)/10000000)</f>
        <v/>
      </c>
      <c r="B4097" s="35" t="str">
        <f aca="false">IF(AND(IFERROR(N(INDEX(Clay_Brands!$A$2:$FZ$601,46,Sync!$D$12)),0)&gt;0,IFERROR(INDEX(Clay_Brands!$A$2:$FZ$601,46,Sync!$D$5)&amp;"","")&lt;&gt;"",OR(LEFT(IFERROR(INDEX(Clay_Brands!$A$2:$FZ$601,46,Sync!$D$5)&amp;"",""),6)&lt;&gt;"SAMPLE",Config!$B$19="Y")),IFERROR(N(INDEX(Clay_Brands!$A$2:$FZ$601,46,Sync!$D$12)),0),"")</f>
        <v/>
      </c>
      <c r="C4097" s="23" t="str">
        <f aca="false">IF(B4097="","","brand")</f>
        <v/>
      </c>
      <c r="D4097" s="23" t="str">
        <f aca="false">IF(B4097="","",IFERROR(INDEX(Brand_Log!$DV$2:$DV$201,MATCH(IFERROR(INDEX(Clay_Brands!$A$2:$FZ$601,46,Sync!$D$5)&amp;"",""),Brand_Log!$A$2:$A$201,0))&amp;"",IFERROR(INDEX(Clay_Brands!$A$2:$FZ$601,46,Sync!$D$5)&amp;"","")&amp;""))</f>
        <v/>
      </c>
      <c r="E4097" s="23" t="str">
        <f aca="false">IF(B4097="","",IFERROR(INDEX(Clay_Brands!$A$2:$FZ$601,46,Sync!$D$6)&amp;"",""))</f>
        <v/>
      </c>
      <c r="F4097" s="23" t="str">
        <f aca="false">IF(B4097="","","outreach_sent")</f>
        <v/>
      </c>
      <c r="G4097" s="23" t="str">
        <f aca="false">IF(B4097="","","")</f>
        <v/>
      </c>
      <c r="H4097" s="23" t="str">
        <f aca="false">IF(B4097="","","")</f>
        <v/>
      </c>
      <c r="I4097" s="23" t="str">
        <f aca="false">IF(B4097="","","")</f>
        <v/>
      </c>
      <c r="J4097" s="23" t="str">
        <f aca="false">IF(B4097="","","touch_2; "&amp;IFERROR(INDEX(Clay_Brands!$A$2:$FZ$601,46,Sync!$D$10)&amp;"","")&amp;"; "&amp;IFERROR(INDEX(Clay_Brands!$A$2:$FZ$601,46,Sync!$D$9)&amp;"",""))</f>
        <v/>
      </c>
      <c r="K4097" s="32" t="s">
        <v>1367</v>
      </c>
    </row>
    <row r="4098" customFormat="false" ht="15" hidden="false" customHeight="false" outlineLevel="0" collapsed="false">
      <c r="A4098" s="23" t="str">
        <f aca="false">IF(B4098="","",B4098+(16*1000+47)/10000000)</f>
        <v/>
      </c>
      <c r="B4098" s="35" t="str">
        <f aca="false">IF(AND(IFERROR(N(INDEX(Clay_Brands!$A$2:$FZ$601,47,Sync!$D$12)),0)&gt;0,IFERROR(INDEX(Clay_Brands!$A$2:$FZ$601,47,Sync!$D$5)&amp;"","")&lt;&gt;"",OR(LEFT(IFERROR(INDEX(Clay_Brands!$A$2:$FZ$601,47,Sync!$D$5)&amp;"",""),6)&lt;&gt;"SAMPLE",Config!$B$19="Y")),IFERROR(N(INDEX(Clay_Brands!$A$2:$FZ$601,47,Sync!$D$12)),0),"")</f>
        <v/>
      </c>
      <c r="C4098" s="23" t="str">
        <f aca="false">IF(B4098="","","brand")</f>
        <v/>
      </c>
      <c r="D4098" s="23" t="str">
        <f aca="false">IF(B4098="","",IFERROR(INDEX(Brand_Log!$DV$2:$DV$201,MATCH(IFERROR(INDEX(Clay_Brands!$A$2:$FZ$601,47,Sync!$D$5)&amp;"",""),Brand_Log!$A$2:$A$201,0))&amp;"",IFERROR(INDEX(Clay_Brands!$A$2:$FZ$601,47,Sync!$D$5)&amp;"","")&amp;""))</f>
        <v/>
      </c>
      <c r="E4098" s="23" t="str">
        <f aca="false">IF(B4098="","",IFERROR(INDEX(Clay_Brands!$A$2:$FZ$601,47,Sync!$D$6)&amp;"",""))</f>
        <v/>
      </c>
      <c r="F4098" s="23" t="str">
        <f aca="false">IF(B4098="","","outreach_sent")</f>
        <v/>
      </c>
      <c r="G4098" s="23" t="str">
        <f aca="false">IF(B4098="","","")</f>
        <v/>
      </c>
      <c r="H4098" s="23" t="str">
        <f aca="false">IF(B4098="","","")</f>
        <v/>
      </c>
      <c r="I4098" s="23" t="str">
        <f aca="false">IF(B4098="","","")</f>
        <v/>
      </c>
      <c r="J4098" s="23" t="str">
        <f aca="false">IF(B4098="","","touch_2; "&amp;IFERROR(INDEX(Clay_Brands!$A$2:$FZ$601,47,Sync!$D$10)&amp;"","")&amp;"; "&amp;IFERROR(INDEX(Clay_Brands!$A$2:$FZ$601,47,Sync!$D$9)&amp;"",""))</f>
        <v/>
      </c>
      <c r="K4098" s="32" t="s">
        <v>1367</v>
      </c>
    </row>
    <row r="4099" customFormat="false" ht="15" hidden="false" customHeight="false" outlineLevel="0" collapsed="false">
      <c r="A4099" s="23" t="str">
        <f aca="false">IF(B4099="","",B4099+(16*1000+48)/10000000)</f>
        <v/>
      </c>
      <c r="B4099" s="35" t="str">
        <f aca="false">IF(AND(IFERROR(N(INDEX(Clay_Brands!$A$2:$FZ$601,48,Sync!$D$12)),0)&gt;0,IFERROR(INDEX(Clay_Brands!$A$2:$FZ$601,48,Sync!$D$5)&amp;"","")&lt;&gt;"",OR(LEFT(IFERROR(INDEX(Clay_Brands!$A$2:$FZ$601,48,Sync!$D$5)&amp;"",""),6)&lt;&gt;"SAMPLE",Config!$B$19="Y")),IFERROR(N(INDEX(Clay_Brands!$A$2:$FZ$601,48,Sync!$D$12)),0),"")</f>
        <v/>
      </c>
      <c r="C4099" s="23" t="str">
        <f aca="false">IF(B4099="","","brand")</f>
        <v/>
      </c>
      <c r="D4099" s="23" t="str">
        <f aca="false">IF(B4099="","",IFERROR(INDEX(Brand_Log!$DV$2:$DV$201,MATCH(IFERROR(INDEX(Clay_Brands!$A$2:$FZ$601,48,Sync!$D$5)&amp;"",""),Brand_Log!$A$2:$A$201,0))&amp;"",IFERROR(INDEX(Clay_Brands!$A$2:$FZ$601,48,Sync!$D$5)&amp;"","")&amp;""))</f>
        <v/>
      </c>
      <c r="E4099" s="23" t="str">
        <f aca="false">IF(B4099="","",IFERROR(INDEX(Clay_Brands!$A$2:$FZ$601,48,Sync!$D$6)&amp;"",""))</f>
        <v/>
      </c>
      <c r="F4099" s="23" t="str">
        <f aca="false">IF(B4099="","","outreach_sent")</f>
        <v/>
      </c>
      <c r="G4099" s="23" t="str">
        <f aca="false">IF(B4099="","","")</f>
        <v/>
      </c>
      <c r="H4099" s="23" t="str">
        <f aca="false">IF(B4099="","","")</f>
        <v/>
      </c>
      <c r="I4099" s="23" t="str">
        <f aca="false">IF(B4099="","","")</f>
        <v/>
      </c>
      <c r="J4099" s="23" t="str">
        <f aca="false">IF(B4099="","","touch_2; "&amp;IFERROR(INDEX(Clay_Brands!$A$2:$FZ$601,48,Sync!$D$10)&amp;"","")&amp;"; "&amp;IFERROR(INDEX(Clay_Brands!$A$2:$FZ$601,48,Sync!$D$9)&amp;"",""))</f>
        <v/>
      </c>
      <c r="K4099" s="32" t="s">
        <v>1367</v>
      </c>
    </row>
    <row r="4100" customFormat="false" ht="15" hidden="false" customHeight="false" outlineLevel="0" collapsed="false">
      <c r="A4100" s="23" t="str">
        <f aca="false">IF(B4100="","",B4100+(16*1000+49)/10000000)</f>
        <v/>
      </c>
      <c r="B4100" s="35" t="str">
        <f aca="false">IF(AND(IFERROR(N(INDEX(Clay_Brands!$A$2:$FZ$601,49,Sync!$D$12)),0)&gt;0,IFERROR(INDEX(Clay_Brands!$A$2:$FZ$601,49,Sync!$D$5)&amp;"","")&lt;&gt;"",OR(LEFT(IFERROR(INDEX(Clay_Brands!$A$2:$FZ$601,49,Sync!$D$5)&amp;"",""),6)&lt;&gt;"SAMPLE",Config!$B$19="Y")),IFERROR(N(INDEX(Clay_Brands!$A$2:$FZ$601,49,Sync!$D$12)),0),"")</f>
        <v/>
      </c>
      <c r="C4100" s="23" t="str">
        <f aca="false">IF(B4100="","","brand")</f>
        <v/>
      </c>
      <c r="D4100" s="23" t="str">
        <f aca="false">IF(B4100="","",IFERROR(INDEX(Brand_Log!$DV$2:$DV$201,MATCH(IFERROR(INDEX(Clay_Brands!$A$2:$FZ$601,49,Sync!$D$5)&amp;"",""),Brand_Log!$A$2:$A$201,0))&amp;"",IFERROR(INDEX(Clay_Brands!$A$2:$FZ$601,49,Sync!$D$5)&amp;"","")&amp;""))</f>
        <v/>
      </c>
      <c r="E4100" s="23" t="str">
        <f aca="false">IF(B4100="","",IFERROR(INDEX(Clay_Brands!$A$2:$FZ$601,49,Sync!$D$6)&amp;"",""))</f>
        <v/>
      </c>
      <c r="F4100" s="23" t="str">
        <f aca="false">IF(B4100="","","outreach_sent")</f>
        <v/>
      </c>
      <c r="G4100" s="23" t="str">
        <f aca="false">IF(B4100="","","")</f>
        <v/>
      </c>
      <c r="H4100" s="23" t="str">
        <f aca="false">IF(B4100="","","")</f>
        <v/>
      </c>
      <c r="I4100" s="23" t="str">
        <f aca="false">IF(B4100="","","")</f>
        <v/>
      </c>
      <c r="J4100" s="23" t="str">
        <f aca="false">IF(B4100="","","touch_2; "&amp;IFERROR(INDEX(Clay_Brands!$A$2:$FZ$601,49,Sync!$D$10)&amp;"","")&amp;"; "&amp;IFERROR(INDEX(Clay_Brands!$A$2:$FZ$601,49,Sync!$D$9)&amp;"",""))</f>
        <v/>
      </c>
      <c r="K4100" s="32" t="s">
        <v>1367</v>
      </c>
    </row>
    <row r="4101" customFormat="false" ht="15" hidden="false" customHeight="false" outlineLevel="0" collapsed="false">
      <c r="A4101" s="23" t="str">
        <f aca="false">IF(B4101="","",B4101+(16*1000+50)/10000000)</f>
        <v/>
      </c>
      <c r="B4101" s="35" t="str">
        <f aca="false">IF(AND(IFERROR(N(INDEX(Clay_Brands!$A$2:$FZ$601,50,Sync!$D$12)),0)&gt;0,IFERROR(INDEX(Clay_Brands!$A$2:$FZ$601,50,Sync!$D$5)&amp;"","")&lt;&gt;"",OR(LEFT(IFERROR(INDEX(Clay_Brands!$A$2:$FZ$601,50,Sync!$D$5)&amp;"",""),6)&lt;&gt;"SAMPLE",Config!$B$19="Y")),IFERROR(N(INDEX(Clay_Brands!$A$2:$FZ$601,50,Sync!$D$12)),0),"")</f>
        <v/>
      </c>
      <c r="C4101" s="23" t="str">
        <f aca="false">IF(B4101="","","brand")</f>
        <v/>
      </c>
      <c r="D4101" s="23" t="str">
        <f aca="false">IF(B4101="","",IFERROR(INDEX(Brand_Log!$DV$2:$DV$201,MATCH(IFERROR(INDEX(Clay_Brands!$A$2:$FZ$601,50,Sync!$D$5)&amp;"",""),Brand_Log!$A$2:$A$201,0))&amp;"",IFERROR(INDEX(Clay_Brands!$A$2:$FZ$601,50,Sync!$D$5)&amp;"","")&amp;""))</f>
        <v/>
      </c>
      <c r="E4101" s="23" t="str">
        <f aca="false">IF(B4101="","",IFERROR(INDEX(Clay_Brands!$A$2:$FZ$601,50,Sync!$D$6)&amp;"",""))</f>
        <v/>
      </c>
      <c r="F4101" s="23" t="str">
        <f aca="false">IF(B4101="","","outreach_sent")</f>
        <v/>
      </c>
      <c r="G4101" s="23" t="str">
        <f aca="false">IF(B4101="","","")</f>
        <v/>
      </c>
      <c r="H4101" s="23" t="str">
        <f aca="false">IF(B4101="","","")</f>
        <v/>
      </c>
      <c r="I4101" s="23" t="str">
        <f aca="false">IF(B4101="","","")</f>
        <v/>
      </c>
      <c r="J4101" s="23" t="str">
        <f aca="false">IF(B4101="","","touch_2; "&amp;IFERROR(INDEX(Clay_Brands!$A$2:$FZ$601,50,Sync!$D$10)&amp;"","")&amp;"; "&amp;IFERROR(INDEX(Clay_Brands!$A$2:$FZ$601,50,Sync!$D$9)&amp;"",""))</f>
        <v/>
      </c>
      <c r="K4101" s="32" t="s">
        <v>1367</v>
      </c>
    </row>
    <row r="4102" customFormat="false" ht="15" hidden="false" customHeight="false" outlineLevel="0" collapsed="false">
      <c r="A4102" s="23" t="str">
        <f aca="false">IF(B4102="","",B4102+(16*1000+51)/10000000)</f>
        <v/>
      </c>
      <c r="B4102" s="35" t="str">
        <f aca="false">IF(AND(IFERROR(N(INDEX(Clay_Brands!$A$2:$FZ$601,51,Sync!$D$12)),0)&gt;0,IFERROR(INDEX(Clay_Brands!$A$2:$FZ$601,51,Sync!$D$5)&amp;"","")&lt;&gt;"",OR(LEFT(IFERROR(INDEX(Clay_Brands!$A$2:$FZ$601,51,Sync!$D$5)&amp;"",""),6)&lt;&gt;"SAMPLE",Config!$B$19="Y")),IFERROR(N(INDEX(Clay_Brands!$A$2:$FZ$601,51,Sync!$D$12)),0),"")</f>
        <v/>
      </c>
      <c r="C4102" s="23" t="str">
        <f aca="false">IF(B4102="","","brand")</f>
        <v/>
      </c>
      <c r="D4102" s="23" t="str">
        <f aca="false">IF(B4102="","",IFERROR(INDEX(Brand_Log!$DV$2:$DV$201,MATCH(IFERROR(INDEX(Clay_Brands!$A$2:$FZ$601,51,Sync!$D$5)&amp;"",""),Brand_Log!$A$2:$A$201,0))&amp;"",IFERROR(INDEX(Clay_Brands!$A$2:$FZ$601,51,Sync!$D$5)&amp;"","")&amp;""))</f>
        <v/>
      </c>
      <c r="E4102" s="23" t="str">
        <f aca="false">IF(B4102="","",IFERROR(INDEX(Clay_Brands!$A$2:$FZ$601,51,Sync!$D$6)&amp;"",""))</f>
        <v/>
      </c>
      <c r="F4102" s="23" t="str">
        <f aca="false">IF(B4102="","","outreach_sent")</f>
        <v/>
      </c>
      <c r="G4102" s="23" t="str">
        <f aca="false">IF(B4102="","","")</f>
        <v/>
      </c>
      <c r="H4102" s="23" t="str">
        <f aca="false">IF(B4102="","","")</f>
        <v/>
      </c>
      <c r="I4102" s="23" t="str">
        <f aca="false">IF(B4102="","","")</f>
        <v/>
      </c>
      <c r="J4102" s="23" t="str">
        <f aca="false">IF(B4102="","","touch_2; "&amp;IFERROR(INDEX(Clay_Brands!$A$2:$FZ$601,51,Sync!$D$10)&amp;"","")&amp;"; "&amp;IFERROR(INDEX(Clay_Brands!$A$2:$FZ$601,51,Sync!$D$9)&amp;"",""))</f>
        <v/>
      </c>
      <c r="K4102" s="32" t="s">
        <v>1367</v>
      </c>
    </row>
    <row r="4103" customFormat="false" ht="15" hidden="false" customHeight="false" outlineLevel="0" collapsed="false">
      <c r="A4103" s="23" t="str">
        <f aca="false">IF(B4103="","",B4103+(16*1000+52)/10000000)</f>
        <v/>
      </c>
      <c r="B4103" s="35" t="str">
        <f aca="false">IF(AND(IFERROR(N(INDEX(Clay_Brands!$A$2:$FZ$601,52,Sync!$D$12)),0)&gt;0,IFERROR(INDEX(Clay_Brands!$A$2:$FZ$601,52,Sync!$D$5)&amp;"","")&lt;&gt;"",OR(LEFT(IFERROR(INDEX(Clay_Brands!$A$2:$FZ$601,52,Sync!$D$5)&amp;"",""),6)&lt;&gt;"SAMPLE",Config!$B$19="Y")),IFERROR(N(INDEX(Clay_Brands!$A$2:$FZ$601,52,Sync!$D$12)),0),"")</f>
        <v/>
      </c>
      <c r="C4103" s="23" t="str">
        <f aca="false">IF(B4103="","","brand")</f>
        <v/>
      </c>
      <c r="D4103" s="23" t="str">
        <f aca="false">IF(B4103="","",IFERROR(INDEX(Brand_Log!$DV$2:$DV$201,MATCH(IFERROR(INDEX(Clay_Brands!$A$2:$FZ$601,52,Sync!$D$5)&amp;"",""),Brand_Log!$A$2:$A$201,0))&amp;"",IFERROR(INDEX(Clay_Brands!$A$2:$FZ$601,52,Sync!$D$5)&amp;"","")&amp;""))</f>
        <v/>
      </c>
      <c r="E4103" s="23" t="str">
        <f aca="false">IF(B4103="","",IFERROR(INDEX(Clay_Brands!$A$2:$FZ$601,52,Sync!$D$6)&amp;"",""))</f>
        <v/>
      </c>
      <c r="F4103" s="23" t="str">
        <f aca="false">IF(B4103="","","outreach_sent")</f>
        <v/>
      </c>
      <c r="G4103" s="23" t="str">
        <f aca="false">IF(B4103="","","")</f>
        <v/>
      </c>
      <c r="H4103" s="23" t="str">
        <f aca="false">IF(B4103="","","")</f>
        <v/>
      </c>
      <c r="I4103" s="23" t="str">
        <f aca="false">IF(B4103="","","")</f>
        <v/>
      </c>
      <c r="J4103" s="23" t="str">
        <f aca="false">IF(B4103="","","touch_2; "&amp;IFERROR(INDEX(Clay_Brands!$A$2:$FZ$601,52,Sync!$D$10)&amp;"","")&amp;"; "&amp;IFERROR(INDEX(Clay_Brands!$A$2:$FZ$601,52,Sync!$D$9)&amp;"",""))</f>
        <v/>
      </c>
      <c r="K4103" s="32" t="s">
        <v>1367</v>
      </c>
    </row>
    <row r="4104" customFormat="false" ht="15" hidden="false" customHeight="false" outlineLevel="0" collapsed="false">
      <c r="A4104" s="23" t="str">
        <f aca="false">IF(B4104="","",B4104+(16*1000+53)/10000000)</f>
        <v/>
      </c>
      <c r="B4104" s="35" t="str">
        <f aca="false">IF(AND(IFERROR(N(INDEX(Clay_Brands!$A$2:$FZ$601,53,Sync!$D$12)),0)&gt;0,IFERROR(INDEX(Clay_Brands!$A$2:$FZ$601,53,Sync!$D$5)&amp;"","")&lt;&gt;"",OR(LEFT(IFERROR(INDEX(Clay_Brands!$A$2:$FZ$601,53,Sync!$D$5)&amp;"",""),6)&lt;&gt;"SAMPLE",Config!$B$19="Y")),IFERROR(N(INDEX(Clay_Brands!$A$2:$FZ$601,53,Sync!$D$12)),0),"")</f>
        <v/>
      </c>
      <c r="C4104" s="23" t="str">
        <f aca="false">IF(B4104="","","brand")</f>
        <v/>
      </c>
      <c r="D4104" s="23" t="str">
        <f aca="false">IF(B4104="","",IFERROR(INDEX(Brand_Log!$DV$2:$DV$201,MATCH(IFERROR(INDEX(Clay_Brands!$A$2:$FZ$601,53,Sync!$D$5)&amp;"",""),Brand_Log!$A$2:$A$201,0))&amp;"",IFERROR(INDEX(Clay_Brands!$A$2:$FZ$601,53,Sync!$D$5)&amp;"","")&amp;""))</f>
        <v/>
      </c>
      <c r="E4104" s="23" t="str">
        <f aca="false">IF(B4104="","",IFERROR(INDEX(Clay_Brands!$A$2:$FZ$601,53,Sync!$D$6)&amp;"",""))</f>
        <v/>
      </c>
      <c r="F4104" s="23" t="str">
        <f aca="false">IF(B4104="","","outreach_sent")</f>
        <v/>
      </c>
      <c r="G4104" s="23" t="str">
        <f aca="false">IF(B4104="","","")</f>
        <v/>
      </c>
      <c r="H4104" s="23" t="str">
        <f aca="false">IF(B4104="","","")</f>
        <v/>
      </c>
      <c r="I4104" s="23" t="str">
        <f aca="false">IF(B4104="","","")</f>
        <v/>
      </c>
      <c r="J4104" s="23" t="str">
        <f aca="false">IF(B4104="","","touch_2; "&amp;IFERROR(INDEX(Clay_Brands!$A$2:$FZ$601,53,Sync!$D$10)&amp;"","")&amp;"; "&amp;IFERROR(INDEX(Clay_Brands!$A$2:$FZ$601,53,Sync!$D$9)&amp;"",""))</f>
        <v/>
      </c>
      <c r="K4104" s="32" t="s">
        <v>1367</v>
      </c>
    </row>
    <row r="4105" customFormat="false" ht="15" hidden="false" customHeight="false" outlineLevel="0" collapsed="false">
      <c r="A4105" s="23" t="str">
        <f aca="false">IF(B4105="","",B4105+(16*1000+54)/10000000)</f>
        <v/>
      </c>
      <c r="B4105" s="35" t="str">
        <f aca="false">IF(AND(IFERROR(N(INDEX(Clay_Brands!$A$2:$FZ$601,54,Sync!$D$12)),0)&gt;0,IFERROR(INDEX(Clay_Brands!$A$2:$FZ$601,54,Sync!$D$5)&amp;"","")&lt;&gt;"",OR(LEFT(IFERROR(INDEX(Clay_Brands!$A$2:$FZ$601,54,Sync!$D$5)&amp;"",""),6)&lt;&gt;"SAMPLE",Config!$B$19="Y")),IFERROR(N(INDEX(Clay_Brands!$A$2:$FZ$601,54,Sync!$D$12)),0),"")</f>
        <v/>
      </c>
      <c r="C4105" s="23" t="str">
        <f aca="false">IF(B4105="","","brand")</f>
        <v/>
      </c>
      <c r="D4105" s="23" t="str">
        <f aca="false">IF(B4105="","",IFERROR(INDEX(Brand_Log!$DV$2:$DV$201,MATCH(IFERROR(INDEX(Clay_Brands!$A$2:$FZ$601,54,Sync!$D$5)&amp;"",""),Brand_Log!$A$2:$A$201,0))&amp;"",IFERROR(INDEX(Clay_Brands!$A$2:$FZ$601,54,Sync!$D$5)&amp;"","")&amp;""))</f>
        <v/>
      </c>
      <c r="E4105" s="23" t="str">
        <f aca="false">IF(B4105="","",IFERROR(INDEX(Clay_Brands!$A$2:$FZ$601,54,Sync!$D$6)&amp;"",""))</f>
        <v/>
      </c>
      <c r="F4105" s="23" t="str">
        <f aca="false">IF(B4105="","","outreach_sent")</f>
        <v/>
      </c>
      <c r="G4105" s="23" t="str">
        <f aca="false">IF(B4105="","","")</f>
        <v/>
      </c>
      <c r="H4105" s="23" t="str">
        <f aca="false">IF(B4105="","","")</f>
        <v/>
      </c>
      <c r="I4105" s="23" t="str">
        <f aca="false">IF(B4105="","","")</f>
        <v/>
      </c>
      <c r="J4105" s="23" t="str">
        <f aca="false">IF(B4105="","","touch_2; "&amp;IFERROR(INDEX(Clay_Brands!$A$2:$FZ$601,54,Sync!$D$10)&amp;"","")&amp;"; "&amp;IFERROR(INDEX(Clay_Brands!$A$2:$FZ$601,54,Sync!$D$9)&amp;"",""))</f>
        <v/>
      </c>
      <c r="K4105" s="32" t="s">
        <v>1367</v>
      </c>
    </row>
    <row r="4106" customFormat="false" ht="15" hidden="false" customHeight="false" outlineLevel="0" collapsed="false">
      <c r="A4106" s="23" t="str">
        <f aca="false">IF(B4106="","",B4106+(16*1000+55)/10000000)</f>
        <v/>
      </c>
      <c r="B4106" s="35" t="str">
        <f aca="false">IF(AND(IFERROR(N(INDEX(Clay_Brands!$A$2:$FZ$601,55,Sync!$D$12)),0)&gt;0,IFERROR(INDEX(Clay_Brands!$A$2:$FZ$601,55,Sync!$D$5)&amp;"","")&lt;&gt;"",OR(LEFT(IFERROR(INDEX(Clay_Brands!$A$2:$FZ$601,55,Sync!$D$5)&amp;"",""),6)&lt;&gt;"SAMPLE",Config!$B$19="Y")),IFERROR(N(INDEX(Clay_Brands!$A$2:$FZ$601,55,Sync!$D$12)),0),"")</f>
        <v/>
      </c>
      <c r="C4106" s="23" t="str">
        <f aca="false">IF(B4106="","","brand")</f>
        <v/>
      </c>
      <c r="D4106" s="23" t="str">
        <f aca="false">IF(B4106="","",IFERROR(INDEX(Brand_Log!$DV$2:$DV$201,MATCH(IFERROR(INDEX(Clay_Brands!$A$2:$FZ$601,55,Sync!$D$5)&amp;"",""),Brand_Log!$A$2:$A$201,0))&amp;"",IFERROR(INDEX(Clay_Brands!$A$2:$FZ$601,55,Sync!$D$5)&amp;"","")&amp;""))</f>
        <v/>
      </c>
      <c r="E4106" s="23" t="str">
        <f aca="false">IF(B4106="","",IFERROR(INDEX(Clay_Brands!$A$2:$FZ$601,55,Sync!$D$6)&amp;"",""))</f>
        <v/>
      </c>
      <c r="F4106" s="23" t="str">
        <f aca="false">IF(B4106="","","outreach_sent")</f>
        <v/>
      </c>
      <c r="G4106" s="23" t="str">
        <f aca="false">IF(B4106="","","")</f>
        <v/>
      </c>
      <c r="H4106" s="23" t="str">
        <f aca="false">IF(B4106="","","")</f>
        <v/>
      </c>
      <c r="I4106" s="23" t="str">
        <f aca="false">IF(B4106="","","")</f>
        <v/>
      </c>
      <c r="J4106" s="23" t="str">
        <f aca="false">IF(B4106="","","touch_2; "&amp;IFERROR(INDEX(Clay_Brands!$A$2:$FZ$601,55,Sync!$D$10)&amp;"","")&amp;"; "&amp;IFERROR(INDEX(Clay_Brands!$A$2:$FZ$601,55,Sync!$D$9)&amp;"",""))</f>
        <v/>
      </c>
      <c r="K4106" s="32" t="s">
        <v>1367</v>
      </c>
    </row>
    <row r="4107" customFormat="false" ht="15" hidden="false" customHeight="false" outlineLevel="0" collapsed="false">
      <c r="A4107" s="23" t="str">
        <f aca="false">IF(B4107="","",B4107+(16*1000+56)/10000000)</f>
        <v/>
      </c>
      <c r="B4107" s="35" t="str">
        <f aca="false">IF(AND(IFERROR(N(INDEX(Clay_Brands!$A$2:$FZ$601,56,Sync!$D$12)),0)&gt;0,IFERROR(INDEX(Clay_Brands!$A$2:$FZ$601,56,Sync!$D$5)&amp;"","")&lt;&gt;"",OR(LEFT(IFERROR(INDEX(Clay_Brands!$A$2:$FZ$601,56,Sync!$D$5)&amp;"",""),6)&lt;&gt;"SAMPLE",Config!$B$19="Y")),IFERROR(N(INDEX(Clay_Brands!$A$2:$FZ$601,56,Sync!$D$12)),0),"")</f>
        <v/>
      </c>
      <c r="C4107" s="23" t="str">
        <f aca="false">IF(B4107="","","brand")</f>
        <v/>
      </c>
      <c r="D4107" s="23" t="str">
        <f aca="false">IF(B4107="","",IFERROR(INDEX(Brand_Log!$DV$2:$DV$201,MATCH(IFERROR(INDEX(Clay_Brands!$A$2:$FZ$601,56,Sync!$D$5)&amp;"",""),Brand_Log!$A$2:$A$201,0))&amp;"",IFERROR(INDEX(Clay_Brands!$A$2:$FZ$601,56,Sync!$D$5)&amp;"","")&amp;""))</f>
        <v/>
      </c>
      <c r="E4107" s="23" t="str">
        <f aca="false">IF(B4107="","",IFERROR(INDEX(Clay_Brands!$A$2:$FZ$601,56,Sync!$D$6)&amp;"",""))</f>
        <v/>
      </c>
      <c r="F4107" s="23" t="str">
        <f aca="false">IF(B4107="","","outreach_sent")</f>
        <v/>
      </c>
      <c r="G4107" s="23" t="str">
        <f aca="false">IF(B4107="","","")</f>
        <v/>
      </c>
      <c r="H4107" s="23" t="str">
        <f aca="false">IF(B4107="","","")</f>
        <v/>
      </c>
      <c r="I4107" s="23" t="str">
        <f aca="false">IF(B4107="","","")</f>
        <v/>
      </c>
      <c r="J4107" s="23" t="str">
        <f aca="false">IF(B4107="","","touch_2; "&amp;IFERROR(INDEX(Clay_Brands!$A$2:$FZ$601,56,Sync!$D$10)&amp;"","")&amp;"; "&amp;IFERROR(INDEX(Clay_Brands!$A$2:$FZ$601,56,Sync!$D$9)&amp;"",""))</f>
        <v/>
      </c>
      <c r="K4107" s="32" t="s">
        <v>1367</v>
      </c>
    </row>
    <row r="4108" customFormat="false" ht="15" hidden="false" customHeight="false" outlineLevel="0" collapsed="false">
      <c r="A4108" s="23" t="str">
        <f aca="false">IF(B4108="","",B4108+(16*1000+57)/10000000)</f>
        <v/>
      </c>
      <c r="B4108" s="35" t="str">
        <f aca="false">IF(AND(IFERROR(N(INDEX(Clay_Brands!$A$2:$FZ$601,57,Sync!$D$12)),0)&gt;0,IFERROR(INDEX(Clay_Brands!$A$2:$FZ$601,57,Sync!$D$5)&amp;"","")&lt;&gt;"",OR(LEFT(IFERROR(INDEX(Clay_Brands!$A$2:$FZ$601,57,Sync!$D$5)&amp;"",""),6)&lt;&gt;"SAMPLE",Config!$B$19="Y")),IFERROR(N(INDEX(Clay_Brands!$A$2:$FZ$601,57,Sync!$D$12)),0),"")</f>
        <v/>
      </c>
      <c r="C4108" s="23" t="str">
        <f aca="false">IF(B4108="","","brand")</f>
        <v/>
      </c>
      <c r="D4108" s="23" t="str">
        <f aca="false">IF(B4108="","",IFERROR(INDEX(Brand_Log!$DV$2:$DV$201,MATCH(IFERROR(INDEX(Clay_Brands!$A$2:$FZ$601,57,Sync!$D$5)&amp;"",""),Brand_Log!$A$2:$A$201,0))&amp;"",IFERROR(INDEX(Clay_Brands!$A$2:$FZ$601,57,Sync!$D$5)&amp;"","")&amp;""))</f>
        <v/>
      </c>
      <c r="E4108" s="23" t="str">
        <f aca="false">IF(B4108="","",IFERROR(INDEX(Clay_Brands!$A$2:$FZ$601,57,Sync!$D$6)&amp;"",""))</f>
        <v/>
      </c>
      <c r="F4108" s="23" t="str">
        <f aca="false">IF(B4108="","","outreach_sent")</f>
        <v/>
      </c>
      <c r="G4108" s="23" t="str">
        <f aca="false">IF(B4108="","","")</f>
        <v/>
      </c>
      <c r="H4108" s="23" t="str">
        <f aca="false">IF(B4108="","","")</f>
        <v/>
      </c>
      <c r="I4108" s="23" t="str">
        <f aca="false">IF(B4108="","","")</f>
        <v/>
      </c>
      <c r="J4108" s="23" t="str">
        <f aca="false">IF(B4108="","","touch_2; "&amp;IFERROR(INDEX(Clay_Brands!$A$2:$FZ$601,57,Sync!$D$10)&amp;"","")&amp;"; "&amp;IFERROR(INDEX(Clay_Brands!$A$2:$FZ$601,57,Sync!$D$9)&amp;"",""))</f>
        <v/>
      </c>
      <c r="K4108" s="32" t="s">
        <v>1367</v>
      </c>
    </row>
    <row r="4109" customFormat="false" ht="15" hidden="false" customHeight="false" outlineLevel="0" collapsed="false">
      <c r="A4109" s="23" t="str">
        <f aca="false">IF(B4109="","",B4109+(16*1000+58)/10000000)</f>
        <v/>
      </c>
      <c r="B4109" s="35" t="str">
        <f aca="false">IF(AND(IFERROR(N(INDEX(Clay_Brands!$A$2:$FZ$601,58,Sync!$D$12)),0)&gt;0,IFERROR(INDEX(Clay_Brands!$A$2:$FZ$601,58,Sync!$D$5)&amp;"","")&lt;&gt;"",OR(LEFT(IFERROR(INDEX(Clay_Brands!$A$2:$FZ$601,58,Sync!$D$5)&amp;"",""),6)&lt;&gt;"SAMPLE",Config!$B$19="Y")),IFERROR(N(INDEX(Clay_Brands!$A$2:$FZ$601,58,Sync!$D$12)),0),"")</f>
        <v/>
      </c>
      <c r="C4109" s="23" t="str">
        <f aca="false">IF(B4109="","","brand")</f>
        <v/>
      </c>
      <c r="D4109" s="23" t="str">
        <f aca="false">IF(B4109="","",IFERROR(INDEX(Brand_Log!$DV$2:$DV$201,MATCH(IFERROR(INDEX(Clay_Brands!$A$2:$FZ$601,58,Sync!$D$5)&amp;"",""),Brand_Log!$A$2:$A$201,0))&amp;"",IFERROR(INDEX(Clay_Brands!$A$2:$FZ$601,58,Sync!$D$5)&amp;"","")&amp;""))</f>
        <v/>
      </c>
      <c r="E4109" s="23" t="str">
        <f aca="false">IF(B4109="","",IFERROR(INDEX(Clay_Brands!$A$2:$FZ$601,58,Sync!$D$6)&amp;"",""))</f>
        <v/>
      </c>
      <c r="F4109" s="23" t="str">
        <f aca="false">IF(B4109="","","outreach_sent")</f>
        <v/>
      </c>
      <c r="G4109" s="23" t="str">
        <f aca="false">IF(B4109="","","")</f>
        <v/>
      </c>
      <c r="H4109" s="23" t="str">
        <f aca="false">IF(B4109="","","")</f>
        <v/>
      </c>
      <c r="I4109" s="23" t="str">
        <f aca="false">IF(B4109="","","")</f>
        <v/>
      </c>
      <c r="J4109" s="23" t="str">
        <f aca="false">IF(B4109="","","touch_2; "&amp;IFERROR(INDEX(Clay_Brands!$A$2:$FZ$601,58,Sync!$D$10)&amp;"","")&amp;"; "&amp;IFERROR(INDEX(Clay_Brands!$A$2:$FZ$601,58,Sync!$D$9)&amp;"",""))</f>
        <v/>
      </c>
      <c r="K4109" s="32" t="s">
        <v>1367</v>
      </c>
    </row>
    <row r="4110" customFormat="false" ht="15" hidden="false" customHeight="false" outlineLevel="0" collapsed="false">
      <c r="A4110" s="23" t="str">
        <f aca="false">IF(B4110="","",B4110+(16*1000+59)/10000000)</f>
        <v/>
      </c>
      <c r="B4110" s="35" t="str">
        <f aca="false">IF(AND(IFERROR(N(INDEX(Clay_Brands!$A$2:$FZ$601,59,Sync!$D$12)),0)&gt;0,IFERROR(INDEX(Clay_Brands!$A$2:$FZ$601,59,Sync!$D$5)&amp;"","")&lt;&gt;"",OR(LEFT(IFERROR(INDEX(Clay_Brands!$A$2:$FZ$601,59,Sync!$D$5)&amp;"",""),6)&lt;&gt;"SAMPLE",Config!$B$19="Y")),IFERROR(N(INDEX(Clay_Brands!$A$2:$FZ$601,59,Sync!$D$12)),0),"")</f>
        <v/>
      </c>
      <c r="C4110" s="23" t="str">
        <f aca="false">IF(B4110="","","brand")</f>
        <v/>
      </c>
      <c r="D4110" s="23" t="str">
        <f aca="false">IF(B4110="","",IFERROR(INDEX(Brand_Log!$DV$2:$DV$201,MATCH(IFERROR(INDEX(Clay_Brands!$A$2:$FZ$601,59,Sync!$D$5)&amp;"",""),Brand_Log!$A$2:$A$201,0))&amp;"",IFERROR(INDEX(Clay_Brands!$A$2:$FZ$601,59,Sync!$D$5)&amp;"","")&amp;""))</f>
        <v/>
      </c>
      <c r="E4110" s="23" t="str">
        <f aca="false">IF(B4110="","",IFERROR(INDEX(Clay_Brands!$A$2:$FZ$601,59,Sync!$D$6)&amp;"",""))</f>
        <v/>
      </c>
      <c r="F4110" s="23" t="str">
        <f aca="false">IF(B4110="","","outreach_sent")</f>
        <v/>
      </c>
      <c r="G4110" s="23" t="str">
        <f aca="false">IF(B4110="","","")</f>
        <v/>
      </c>
      <c r="H4110" s="23" t="str">
        <f aca="false">IF(B4110="","","")</f>
        <v/>
      </c>
      <c r="I4110" s="23" t="str">
        <f aca="false">IF(B4110="","","")</f>
        <v/>
      </c>
      <c r="J4110" s="23" t="str">
        <f aca="false">IF(B4110="","","touch_2; "&amp;IFERROR(INDEX(Clay_Brands!$A$2:$FZ$601,59,Sync!$D$10)&amp;"","")&amp;"; "&amp;IFERROR(INDEX(Clay_Brands!$A$2:$FZ$601,59,Sync!$D$9)&amp;"",""))</f>
        <v/>
      </c>
      <c r="K4110" s="32" t="s">
        <v>1367</v>
      </c>
    </row>
    <row r="4111" customFormat="false" ht="15" hidden="false" customHeight="false" outlineLevel="0" collapsed="false">
      <c r="A4111" s="23" t="str">
        <f aca="false">IF(B4111="","",B4111+(16*1000+60)/10000000)</f>
        <v/>
      </c>
      <c r="B4111" s="35" t="str">
        <f aca="false">IF(AND(IFERROR(N(INDEX(Clay_Brands!$A$2:$FZ$601,60,Sync!$D$12)),0)&gt;0,IFERROR(INDEX(Clay_Brands!$A$2:$FZ$601,60,Sync!$D$5)&amp;"","")&lt;&gt;"",OR(LEFT(IFERROR(INDEX(Clay_Brands!$A$2:$FZ$601,60,Sync!$D$5)&amp;"",""),6)&lt;&gt;"SAMPLE",Config!$B$19="Y")),IFERROR(N(INDEX(Clay_Brands!$A$2:$FZ$601,60,Sync!$D$12)),0),"")</f>
        <v/>
      </c>
      <c r="C4111" s="23" t="str">
        <f aca="false">IF(B4111="","","brand")</f>
        <v/>
      </c>
      <c r="D4111" s="23" t="str">
        <f aca="false">IF(B4111="","",IFERROR(INDEX(Brand_Log!$DV$2:$DV$201,MATCH(IFERROR(INDEX(Clay_Brands!$A$2:$FZ$601,60,Sync!$D$5)&amp;"",""),Brand_Log!$A$2:$A$201,0))&amp;"",IFERROR(INDEX(Clay_Brands!$A$2:$FZ$601,60,Sync!$D$5)&amp;"","")&amp;""))</f>
        <v/>
      </c>
      <c r="E4111" s="23" t="str">
        <f aca="false">IF(B4111="","",IFERROR(INDEX(Clay_Brands!$A$2:$FZ$601,60,Sync!$D$6)&amp;"",""))</f>
        <v/>
      </c>
      <c r="F4111" s="23" t="str">
        <f aca="false">IF(B4111="","","outreach_sent")</f>
        <v/>
      </c>
      <c r="G4111" s="23" t="str">
        <f aca="false">IF(B4111="","","")</f>
        <v/>
      </c>
      <c r="H4111" s="23" t="str">
        <f aca="false">IF(B4111="","","")</f>
        <v/>
      </c>
      <c r="I4111" s="23" t="str">
        <f aca="false">IF(B4111="","","")</f>
        <v/>
      </c>
      <c r="J4111" s="23" t="str">
        <f aca="false">IF(B4111="","","touch_2; "&amp;IFERROR(INDEX(Clay_Brands!$A$2:$FZ$601,60,Sync!$D$10)&amp;"","")&amp;"; "&amp;IFERROR(INDEX(Clay_Brands!$A$2:$FZ$601,60,Sync!$D$9)&amp;"",""))</f>
        <v/>
      </c>
      <c r="K4111" s="32" t="s">
        <v>1367</v>
      </c>
    </row>
    <row r="4112" customFormat="false" ht="15" hidden="false" customHeight="false" outlineLevel="0" collapsed="false">
      <c r="A4112" s="23" t="str">
        <f aca="false">IF(B4112="","",B4112+(16*1000+61)/10000000)</f>
        <v/>
      </c>
      <c r="B4112" s="35" t="str">
        <f aca="false">IF(AND(IFERROR(N(INDEX(Clay_Brands!$A$2:$FZ$601,61,Sync!$D$12)),0)&gt;0,IFERROR(INDEX(Clay_Brands!$A$2:$FZ$601,61,Sync!$D$5)&amp;"","")&lt;&gt;"",OR(LEFT(IFERROR(INDEX(Clay_Brands!$A$2:$FZ$601,61,Sync!$D$5)&amp;"",""),6)&lt;&gt;"SAMPLE",Config!$B$19="Y")),IFERROR(N(INDEX(Clay_Brands!$A$2:$FZ$601,61,Sync!$D$12)),0),"")</f>
        <v/>
      </c>
      <c r="C4112" s="23" t="str">
        <f aca="false">IF(B4112="","","brand")</f>
        <v/>
      </c>
      <c r="D4112" s="23" t="str">
        <f aca="false">IF(B4112="","",IFERROR(INDEX(Brand_Log!$DV$2:$DV$201,MATCH(IFERROR(INDEX(Clay_Brands!$A$2:$FZ$601,61,Sync!$D$5)&amp;"",""),Brand_Log!$A$2:$A$201,0))&amp;"",IFERROR(INDEX(Clay_Brands!$A$2:$FZ$601,61,Sync!$D$5)&amp;"","")&amp;""))</f>
        <v/>
      </c>
      <c r="E4112" s="23" t="str">
        <f aca="false">IF(B4112="","",IFERROR(INDEX(Clay_Brands!$A$2:$FZ$601,61,Sync!$D$6)&amp;"",""))</f>
        <v/>
      </c>
      <c r="F4112" s="23" t="str">
        <f aca="false">IF(B4112="","","outreach_sent")</f>
        <v/>
      </c>
      <c r="G4112" s="23" t="str">
        <f aca="false">IF(B4112="","","")</f>
        <v/>
      </c>
      <c r="H4112" s="23" t="str">
        <f aca="false">IF(B4112="","","")</f>
        <v/>
      </c>
      <c r="I4112" s="23" t="str">
        <f aca="false">IF(B4112="","","")</f>
        <v/>
      </c>
      <c r="J4112" s="23" t="str">
        <f aca="false">IF(B4112="","","touch_2; "&amp;IFERROR(INDEX(Clay_Brands!$A$2:$FZ$601,61,Sync!$D$10)&amp;"","")&amp;"; "&amp;IFERROR(INDEX(Clay_Brands!$A$2:$FZ$601,61,Sync!$D$9)&amp;"",""))</f>
        <v/>
      </c>
      <c r="K4112" s="32" t="s">
        <v>1367</v>
      </c>
    </row>
    <row r="4113" customFormat="false" ht="15" hidden="false" customHeight="false" outlineLevel="0" collapsed="false">
      <c r="A4113" s="23" t="str">
        <f aca="false">IF(B4113="","",B4113+(16*1000+62)/10000000)</f>
        <v/>
      </c>
      <c r="B4113" s="35" t="str">
        <f aca="false">IF(AND(IFERROR(N(INDEX(Clay_Brands!$A$2:$FZ$601,62,Sync!$D$12)),0)&gt;0,IFERROR(INDEX(Clay_Brands!$A$2:$FZ$601,62,Sync!$D$5)&amp;"","")&lt;&gt;"",OR(LEFT(IFERROR(INDEX(Clay_Brands!$A$2:$FZ$601,62,Sync!$D$5)&amp;"",""),6)&lt;&gt;"SAMPLE",Config!$B$19="Y")),IFERROR(N(INDEX(Clay_Brands!$A$2:$FZ$601,62,Sync!$D$12)),0),"")</f>
        <v/>
      </c>
      <c r="C4113" s="23" t="str">
        <f aca="false">IF(B4113="","","brand")</f>
        <v/>
      </c>
      <c r="D4113" s="23" t="str">
        <f aca="false">IF(B4113="","",IFERROR(INDEX(Brand_Log!$DV$2:$DV$201,MATCH(IFERROR(INDEX(Clay_Brands!$A$2:$FZ$601,62,Sync!$D$5)&amp;"",""),Brand_Log!$A$2:$A$201,0))&amp;"",IFERROR(INDEX(Clay_Brands!$A$2:$FZ$601,62,Sync!$D$5)&amp;"","")&amp;""))</f>
        <v/>
      </c>
      <c r="E4113" s="23" t="str">
        <f aca="false">IF(B4113="","",IFERROR(INDEX(Clay_Brands!$A$2:$FZ$601,62,Sync!$D$6)&amp;"",""))</f>
        <v/>
      </c>
      <c r="F4113" s="23" t="str">
        <f aca="false">IF(B4113="","","outreach_sent")</f>
        <v/>
      </c>
      <c r="G4113" s="23" t="str">
        <f aca="false">IF(B4113="","","")</f>
        <v/>
      </c>
      <c r="H4113" s="23" t="str">
        <f aca="false">IF(B4113="","","")</f>
        <v/>
      </c>
      <c r="I4113" s="23" t="str">
        <f aca="false">IF(B4113="","","")</f>
        <v/>
      </c>
      <c r="J4113" s="23" t="str">
        <f aca="false">IF(B4113="","","touch_2; "&amp;IFERROR(INDEX(Clay_Brands!$A$2:$FZ$601,62,Sync!$D$10)&amp;"","")&amp;"; "&amp;IFERROR(INDEX(Clay_Brands!$A$2:$FZ$601,62,Sync!$D$9)&amp;"",""))</f>
        <v/>
      </c>
      <c r="K4113" s="32" t="s">
        <v>1367</v>
      </c>
    </row>
    <row r="4114" customFormat="false" ht="15" hidden="false" customHeight="false" outlineLevel="0" collapsed="false">
      <c r="A4114" s="23" t="str">
        <f aca="false">IF(B4114="","",B4114+(16*1000+63)/10000000)</f>
        <v/>
      </c>
      <c r="B4114" s="35" t="str">
        <f aca="false">IF(AND(IFERROR(N(INDEX(Clay_Brands!$A$2:$FZ$601,63,Sync!$D$12)),0)&gt;0,IFERROR(INDEX(Clay_Brands!$A$2:$FZ$601,63,Sync!$D$5)&amp;"","")&lt;&gt;"",OR(LEFT(IFERROR(INDEX(Clay_Brands!$A$2:$FZ$601,63,Sync!$D$5)&amp;"",""),6)&lt;&gt;"SAMPLE",Config!$B$19="Y")),IFERROR(N(INDEX(Clay_Brands!$A$2:$FZ$601,63,Sync!$D$12)),0),"")</f>
        <v/>
      </c>
      <c r="C4114" s="23" t="str">
        <f aca="false">IF(B4114="","","brand")</f>
        <v/>
      </c>
      <c r="D4114" s="23" t="str">
        <f aca="false">IF(B4114="","",IFERROR(INDEX(Brand_Log!$DV$2:$DV$201,MATCH(IFERROR(INDEX(Clay_Brands!$A$2:$FZ$601,63,Sync!$D$5)&amp;"",""),Brand_Log!$A$2:$A$201,0))&amp;"",IFERROR(INDEX(Clay_Brands!$A$2:$FZ$601,63,Sync!$D$5)&amp;"","")&amp;""))</f>
        <v/>
      </c>
      <c r="E4114" s="23" t="str">
        <f aca="false">IF(B4114="","",IFERROR(INDEX(Clay_Brands!$A$2:$FZ$601,63,Sync!$D$6)&amp;"",""))</f>
        <v/>
      </c>
      <c r="F4114" s="23" t="str">
        <f aca="false">IF(B4114="","","outreach_sent")</f>
        <v/>
      </c>
      <c r="G4114" s="23" t="str">
        <f aca="false">IF(B4114="","","")</f>
        <v/>
      </c>
      <c r="H4114" s="23" t="str">
        <f aca="false">IF(B4114="","","")</f>
        <v/>
      </c>
      <c r="I4114" s="23" t="str">
        <f aca="false">IF(B4114="","","")</f>
        <v/>
      </c>
      <c r="J4114" s="23" t="str">
        <f aca="false">IF(B4114="","","touch_2; "&amp;IFERROR(INDEX(Clay_Brands!$A$2:$FZ$601,63,Sync!$D$10)&amp;"","")&amp;"; "&amp;IFERROR(INDEX(Clay_Brands!$A$2:$FZ$601,63,Sync!$D$9)&amp;"",""))</f>
        <v/>
      </c>
      <c r="K4114" s="32" t="s">
        <v>1367</v>
      </c>
    </row>
    <row r="4115" customFormat="false" ht="15" hidden="false" customHeight="false" outlineLevel="0" collapsed="false">
      <c r="A4115" s="23" t="str">
        <f aca="false">IF(B4115="","",B4115+(16*1000+64)/10000000)</f>
        <v/>
      </c>
      <c r="B4115" s="35" t="str">
        <f aca="false">IF(AND(IFERROR(N(INDEX(Clay_Brands!$A$2:$FZ$601,64,Sync!$D$12)),0)&gt;0,IFERROR(INDEX(Clay_Brands!$A$2:$FZ$601,64,Sync!$D$5)&amp;"","")&lt;&gt;"",OR(LEFT(IFERROR(INDEX(Clay_Brands!$A$2:$FZ$601,64,Sync!$D$5)&amp;"",""),6)&lt;&gt;"SAMPLE",Config!$B$19="Y")),IFERROR(N(INDEX(Clay_Brands!$A$2:$FZ$601,64,Sync!$D$12)),0),"")</f>
        <v/>
      </c>
      <c r="C4115" s="23" t="str">
        <f aca="false">IF(B4115="","","brand")</f>
        <v/>
      </c>
      <c r="D4115" s="23" t="str">
        <f aca="false">IF(B4115="","",IFERROR(INDEX(Brand_Log!$DV$2:$DV$201,MATCH(IFERROR(INDEX(Clay_Brands!$A$2:$FZ$601,64,Sync!$D$5)&amp;"",""),Brand_Log!$A$2:$A$201,0))&amp;"",IFERROR(INDEX(Clay_Brands!$A$2:$FZ$601,64,Sync!$D$5)&amp;"","")&amp;""))</f>
        <v/>
      </c>
      <c r="E4115" s="23" t="str">
        <f aca="false">IF(B4115="","",IFERROR(INDEX(Clay_Brands!$A$2:$FZ$601,64,Sync!$D$6)&amp;"",""))</f>
        <v/>
      </c>
      <c r="F4115" s="23" t="str">
        <f aca="false">IF(B4115="","","outreach_sent")</f>
        <v/>
      </c>
      <c r="G4115" s="23" t="str">
        <f aca="false">IF(B4115="","","")</f>
        <v/>
      </c>
      <c r="H4115" s="23" t="str">
        <f aca="false">IF(B4115="","","")</f>
        <v/>
      </c>
      <c r="I4115" s="23" t="str">
        <f aca="false">IF(B4115="","","")</f>
        <v/>
      </c>
      <c r="J4115" s="23" t="str">
        <f aca="false">IF(B4115="","","touch_2; "&amp;IFERROR(INDEX(Clay_Brands!$A$2:$FZ$601,64,Sync!$D$10)&amp;"","")&amp;"; "&amp;IFERROR(INDEX(Clay_Brands!$A$2:$FZ$601,64,Sync!$D$9)&amp;"",""))</f>
        <v/>
      </c>
      <c r="K4115" s="32" t="s">
        <v>1367</v>
      </c>
    </row>
    <row r="4116" customFormat="false" ht="15" hidden="false" customHeight="false" outlineLevel="0" collapsed="false">
      <c r="A4116" s="23" t="str">
        <f aca="false">IF(B4116="","",B4116+(16*1000+65)/10000000)</f>
        <v/>
      </c>
      <c r="B4116" s="35" t="str">
        <f aca="false">IF(AND(IFERROR(N(INDEX(Clay_Brands!$A$2:$FZ$601,65,Sync!$D$12)),0)&gt;0,IFERROR(INDEX(Clay_Brands!$A$2:$FZ$601,65,Sync!$D$5)&amp;"","")&lt;&gt;"",OR(LEFT(IFERROR(INDEX(Clay_Brands!$A$2:$FZ$601,65,Sync!$D$5)&amp;"",""),6)&lt;&gt;"SAMPLE",Config!$B$19="Y")),IFERROR(N(INDEX(Clay_Brands!$A$2:$FZ$601,65,Sync!$D$12)),0),"")</f>
        <v/>
      </c>
      <c r="C4116" s="23" t="str">
        <f aca="false">IF(B4116="","","brand")</f>
        <v/>
      </c>
      <c r="D4116" s="23" t="str">
        <f aca="false">IF(B4116="","",IFERROR(INDEX(Brand_Log!$DV$2:$DV$201,MATCH(IFERROR(INDEX(Clay_Brands!$A$2:$FZ$601,65,Sync!$D$5)&amp;"",""),Brand_Log!$A$2:$A$201,0))&amp;"",IFERROR(INDEX(Clay_Brands!$A$2:$FZ$601,65,Sync!$D$5)&amp;"","")&amp;""))</f>
        <v/>
      </c>
      <c r="E4116" s="23" t="str">
        <f aca="false">IF(B4116="","",IFERROR(INDEX(Clay_Brands!$A$2:$FZ$601,65,Sync!$D$6)&amp;"",""))</f>
        <v/>
      </c>
      <c r="F4116" s="23" t="str">
        <f aca="false">IF(B4116="","","outreach_sent")</f>
        <v/>
      </c>
      <c r="G4116" s="23" t="str">
        <f aca="false">IF(B4116="","","")</f>
        <v/>
      </c>
      <c r="H4116" s="23" t="str">
        <f aca="false">IF(B4116="","","")</f>
        <v/>
      </c>
      <c r="I4116" s="23" t="str">
        <f aca="false">IF(B4116="","","")</f>
        <v/>
      </c>
      <c r="J4116" s="23" t="str">
        <f aca="false">IF(B4116="","","touch_2; "&amp;IFERROR(INDEX(Clay_Brands!$A$2:$FZ$601,65,Sync!$D$10)&amp;"","")&amp;"; "&amp;IFERROR(INDEX(Clay_Brands!$A$2:$FZ$601,65,Sync!$D$9)&amp;"",""))</f>
        <v/>
      </c>
      <c r="K4116" s="32" t="s">
        <v>1367</v>
      </c>
    </row>
    <row r="4117" customFormat="false" ht="15" hidden="false" customHeight="false" outlineLevel="0" collapsed="false">
      <c r="A4117" s="23" t="str">
        <f aca="false">IF(B4117="","",B4117+(16*1000+66)/10000000)</f>
        <v/>
      </c>
      <c r="B4117" s="35" t="str">
        <f aca="false">IF(AND(IFERROR(N(INDEX(Clay_Brands!$A$2:$FZ$601,66,Sync!$D$12)),0)&gt;0,IFERROR(INDEX(Clay_Brands!$A$2:$FZ$601,66,Sync!$D$5)&amp;"","")&lt;&gt;"",OR(LEFT(IFERROR(INDEX(Clay_Brands!$A$2:$FZ$601,66,Sync!$D$5)&amp;"",""),6)&lt;&gt;"SAMPLE",Config!$B$19="Y")),IFERROR(N(INDEX(Clay_Brands!$A$2:$FZ$601,66,Sync!$D$12)),0),"")</f>
        <v/>
      </c>
      <c r="C4117" s="23" t="str">
        <f aca="false">IF(B4117="","","brand")</f>
        <v/>
      </c>
      <c r="D4117" s="23" t="str">
        <f aca="false">IF(B4117="","",IFERROR(INDEX(Brand_Log!$DV$2:$DV$201,MATCH(IFERROR(INDEX(Clay_Brands!$A$2:$FZ$601,66,Sync!$D$5)&amp;"",""),Brand_Log!$A$2:$A$201,0))&amp;"",IFERROR(INDEX(Clay_Brands!$A$2:$FZ$601,66,Sync!$D$5)&amp;"","")&amp;""))</f>
        <v/>
      </c>
      <c r="E4117" s="23" t="str">
        <f aca="false">IF(B4117="","",IFERROR(INDEX(Clay_Brands!$A$2:$FZ$601,66,Sync!$D$6)&amp;"",""))</f>
        <v/>
      </c>
      <c r="F4117" s="23" t="str">
        <f aca="false">IF(B4117="","","outreach_sent")</f>
        <v/>
      </c>
      <c r="G4117" s="23" t="str">
        <f aca="false">IF(B4117="","","")</f>
        <v/>
      </c>
      <c r="H4117" s="23" t="str">
        <f aca="false">IF(B4117="","","")</f>
        <v/>
      </c>
      <c r="I4117" s="23" t="str">
        <f aca="false">IF(B4117="","","")</f>
        <v/>
      </c>
      <c r="J4117" s="23" t="str">
        <f aca="false">IF(B4117="","","touch_2; "&amp;IFERROR(INDEX(Clay_Brands!$A$2:$FZ$601,66,Sync!$D$10)&amp;"","")&amp;"; "&amp;IFERROR(INDEX(Clay_Brands!$A$2:$FZ$601,66,Sync!$D$9)&amp;"",""))</f>
        <v/>
      </c>
      <c r="K4117" s="32" t="s">
        <v>1367</v>
      </c>
    </row>
    <row r="4118" customFormat="false" ht="15" hidden="false" customHeight="false" outlineLevel="0" collapsed="false">
      <c r="A4118" s="23" t="str">
        <f aca="false">IF(B4118="","",B4118+(16*1000+67)/10000000)</f>
        <v/>
      </c>
      <c r="B4118" s="35" t="str">
        <f aca="false">IF(AND(IFERROR(N(INDEX(Clay_Brands!$A$2:$FZ$601,67,Sync!$D$12)),0)&gt;0,IFERROR(INDEX(Clay_Brands!$A$2:$FZ$601,67,Sync!$D$5)&amp;"","")&lt;&gt;"",OR(LEFT(IFERROR(INDEX(Clay_Brands!$A$2:$FZ$601,67,Sync!$D$5)&amp;"",""),6)&lt;&gt;"SAMPLE",Config!$B$19="Y")),IFERROR(N(INDEX(Clay_Brands!$A$2:$FZ$601,67,Sync!$D$12)),0),"")</f>
        <v/>
      </c>
      <c r="C4118" s="23" t="str">
        <f aca="false">IF(B4118="","","brand")</f>
        <v/>
      </c>
      <c r="D4118" s="23" t="str">
        <f aca="false">IF(B4118="","",IFERROR(INDEX(Brand_Log!$DV$2:$DV$201,MATCH(IFERROR(INDEX(Clay_Brands!$A$2:$FZ$601,67,Sync!$D$5)&amp;"",""),Brand_Log!$A$2:$A$201,0))&amp;"",IFERROR(INDEX(Clay_Brands!$A$2:$FZ$601,67,Sync!$D$5)&amp;"","")&amp;""))</f>
        <v/>
      </c>
      <c r="E4118" s="23" t="str">
        <f aca="false">IF(B4118="","",IFERROR(INDEX(Clay_Brands!$A$2:$FZ$601,67,Sync!$D$6)&amp;"",""))</f>
        <v/>
      </c>
      <c r="F4118" s="23" t="str">
        <f aca="false">IF(B4118="","","outreach_sent")</f>
        <v/>
      </c>
      <c r="G4118" s="23" t="str">
        <f aca="false">IF(B4118="","","")</f>
        <v/>
      </c>
      <c r="H4118" s="23" t="str">
        <f aca="false">IF(B4118="","","")</f>
        <v/>
      </c>
      <c r="I4118" s="23" t="str">
        <f aca="false">IF(B4118="","","")</f>
        <v/>
      </c>
      <c r="J4118" s="23" t="str">
        <f aca="false">IF(B4118="","","touch_2; "&amp;IFERROR(INDEX(Clay_Brands!$A$2:$FZ$601,67,Sync!$D$10)&amp;"","")&amp;"; "&amp;IFERROR(INDEX(Clay_Brands!$A$2:$FZ$601,67,Sync!$D$9)&amp;"",""))</f>
        <v/>
      </c>
      <c r="K4118" s="32" t="s">
        <v>1367</v>
      </c>
    </row>
    <row r="4119" customFormat="false" ht="15" hidden="false" customHeight="false" outlineLevel="0" collapsed="false">
      <c r="A4119" s="23" t="str">
        <f aca="false">IF(B4119="","",B4119+(16*1000+68)/10000000)</f>
        <v/>
      </c>
      <c r="B4119" s="35" t="str">
        <f aca="false">IF(AND(IFERROR(N(INDEX(Clay_Brands!$A$2:$FZ$601,68,Sync!$D$12)),0)&gt;0,IFERROR(INDEX(Clay_Brands!$A$2:$FZ$601,68,Sync!$D$5)&amp;"","")&lt;&gt;"",OR(LEFT(IFERROR(INDEX(Clay_Brands!$A$2:$FZ$601,68,Sync!$D$5)&amp;"",""),6)&lt;&gt;"SAMPLE",Config!$B$19="Y")),IFERROR(N(INDEX(Clay_Brands!$A$2:$FZ$601,68,Sync!$D$12)),0),"")</f>
        <v/>
      </c>
      <c r="C4119" s="23" t="str">
        <f aca="false">IF(B4119="","","brand")</f>
        <v/>
      </c>
      <c r="D4119" s="23" t="str">
        <f aca="false">IF(B4119="","",IFERROR(INDEX(Brand_Log!$DV$2:$DV$201,MATCH(IFERROR(INDEX(Clay_Brands!$A$2:$FZ$601,68,Sync!$D$5)&amp;"",""),Brand_Log!$A$2:$A$201,0))&amp;"",IFERROR(INDEX(Clay_Brands!$A$2:$FZ$601,68,Sync!$D$5)&amp;"","")&amp;""))</f>
        <v/>
      </c>
      <c r="E4119" s="23" t="str">
        <f aca="false">IF(B4119="","",IFERROR(INDEX(Clay_Brands!$A$2:$FZ$601,68,Sync!$D$6)&amp;"",""))</f>
        <v/>
      </c>
      <c r="F4119" s="23" t="str">
        <f aca="false">IF(B4119="","","outreach_sent")</f>
        <v/>
      </c>
      <c r="G4119" s="23" t="str">
        <f aca="false">IF(B4119="","","")</f>
        <v/>
      </c>
      <c r="H4119" s="23" t="str">
        <f aca="false">IF(B4119="","","")</f>
        <v/>
      </c>
      <c r="I4119" s="23" t="str">
        <f aca="false">IF(B4119="","","")</f>
        <v/>
      </c>
      <c r="J4119" s="23" t="str">
        <f aca="false">IF(B4119="","","touch_2; "&amp;IFERROR(INDEX(Clay_Brands!$A$2:$FZ$601,68,Sync!$D$10)&amp;"","")&amp;"; "&amp;IFERROR(INDEX(Clay_Brands!$A$2:$FZ$601,68,Sync!$D$9)&amp;"",""))</f>
        <v/>
      </c>
      <c r="K4119" s="32" t="s">
        <v>1367</v>
      </c>
    </row>
    <row r="4120" customFormat="false" ht="15" hidden="false" customHeight="false" outlineLevel="0" collapsed="false">
      <c r="A4120" s="23" t="str">
        <f aca="false">IF(B4120="","",B4120+(16*1000+69)/10000000)</f>
        <v/>
      </c>
      <c r="B4120" s="35" t="str">
        <f aca="false">IF(AND(IFERROR(N(INDEX(Clay_Brands!$A$2:$FZ$601,69,Sync!$D$12)),0)&gt;0,IFERROR(INDEX(Clay_Brands!$A$2:$FZ$601,69,Sync!$D$5)&amp;"","")&lt;&gt;"",OR(LEFT(IFERROR(INDEX(Clay_Brands!$A$2:$FZ$601,69,Sync!$D$5)&amp;"",""),6)&lt;&gt;"SAMPLE",Config!$B$19="Y")),IFERROR(N(INDEX(Clay_Brands!$A$2:$FZ$601,69,Sync!$D$12)),0),"")</f>
        <v/>
      </c>
      <c r="C4120" s="23" t="str">
        <f aca="false">IF(B4120="","","brand")</f>
        <v/>
      </c>
      <c r="D4120" s="23" t="str">
        <f aca="false">IF(B4120="","",IFERROR(INDEX(Brand_Log!$DV$2:$DV$201,MATCH(IFERROR(INDEX(Clay_Brands!$A$2:$FZ$601,69,Sync!$D$5)&amp;"",""),Brand_Log!$A$2:$A$201,0))&amp;"",IFERROR(INDEX(Clay_Brands!$A$2:$FZ$601,69,Sync!$D$5)&amp;"","")&amp;""))</f>
        <v/>
      </c>
      <c r="E4120" s="23" t="str">
        <f aca="false">IF(B4120="","",IFERROR(INDEX(Clay_Brands!$A$2:$FZ$601,69,Sync!$D$6)&amp;"",""))</f>
        <v/>
      </c>
      <c r="F4120" s="23" t="str">
        <f aca="false">IF(B4120="","","outreach_sent")</f>
        <v/>
      </c>
      <c r="G4120" s="23" t="str">
        <f aca="false">IF(B4120="","","")</f>
        <v/>
      </c>
      <c r="H4120" s="23" t="str">
        <f aca="false">IF(B4120="","","")</f>
        <v/>
      </c>
      <c r="I4120" s="23" t="str">
        <f aca="false">IF(B4120="","","")</f>
        <v/>
      </c>
      <c r="J4120" s="23" t="str">
        <f aca="false">IF(B4120="","","touch_2; "&amp;IFERROR(INDEX(Clay_Brands!$A$2:$FZ$601,69,Sync!$D$10)&amp;"","")&amp;"; "&amp;IFERROR(INDEX(Clay_Brands!$A$2:$FZ$601,69,Sync!$D$9)&amp;"",""))</f>
        <v/>
      </c>
      <c r="K4120" s="32" t="s">
        <v>1367</v>
      </c>
    </row>
    <row r="4121" customFormat="false" ht="15" hidden="false" customHeight="false" outlineLevel="0" collapsed="false">
      <c r="A4121" s="23" t="str">
        <f aca="false">IF(B4121="","",B4121+(16*1000+70)/10000000)</f>
        <v/>
      </c>
      <c r="B4121" s="35" t="str">
        <f aca="false">IF(AND(IFERROR(N(INDEX(Clay_Brands!$A$2:$FZ$601,70,Sync!$D$12)),0)&gt;0,IFERROR(INDEX(Clay_Brands!$A$2:$FZ$601,70,Sync!$D$5)&amp;"","")&lt;&gt;"",OR(LEFT(IFERROR(INDEX(Clay_Brands!$A$2:$FZ$601,70,Sync!$D$5)&amp;"",""),6)&lt;&gt;"SAMPLE",Config!$B$19="Y")),IFERROR(N(INDEX(Clay_Brands!$A$2:$FZ$601,70,Sync!$D$12)),0),"")</f>
        <v/>
      </c>
      <c r="C4121" s="23" t="str">
        <f aca="false">IF(B4121="","","brand")</f>
        <v/>
      </c>
      <c r="D4121" s="23" t="str">
        <f aca="false">IF(B4121="","",IFERROR(INDEX(Brand_Log!$DV$2:$DV$201,MATCH(IFERROR(INDEX(Clay_Brands!$A$2:$FZ$601,70,Sync!$D$5)&amp;"",""),Brand_Log!$A$2:$A$201,0))&amp;"",IFERROR(INDEX(Clay_Brands!$A$2:$FZ$601,70,Sync!$D$5)&amp;"","")&amp;""))</f>
        <v/>
      </c>
      <c r="E4121" s="23" t="str">
        <f aca="false">IF(B4121="","",IFERROR(INDEX(Clay_Brands!$A$2:$FZ$601,70,Sync!$D$6)&amp;"",""))</f>
        <v/>
      </c>
      <c r="F4121" s="23" t="str">
        <f aca="false">IF(B4121="","","outreach_sent")</f>
        <v/>
      </c>
      <c r="G4121" s="23" t="str">
        <f aca="false">IF(B4121="","","")</f>
        <v/>
      </c>
      <c r="H4121" s="23" t="str">
        <f aca="false">IF(B4121="","","")</f>
        <v/>
      </c>
      <c r="I4121" s="23" t="str">
        <f aca="false">IF(B4121="","","")</f>
        <v/>
      </c>
      <c r="J4121" s="23" t="str">
        <f aca="false">IF(B4121="","","touch_2; "&amp;IFERROR(INDEX(Clay_Brands!$A$2:$FZ$601,70,Sync!$D$10)&amp;"","")&amp;"; "&amp;IFERROR(INDEX(Clay_Brands!$A$2:$FZ$601,70,Sync!$D$9)&amp;"",""))</f>
        <v/>
      </c>
      <c r="K4121" s="32" t="s">
        <v>1367</v>
      </c>
    </row>
    <row r="4122" customFormat="false" ht="15" hidden="false" customHeight="false" outlineLevel="0" collapsed="false">
      <c r="A4122" s="23" t="str">
        <f aca="false">IF(B4122="","",B4122+(16*1000+71)/10000000)</f>
        <v/>
      </c>
      <c r="B4122" s="35" t="str">
        <f aca="false">IF(AND(IFERROR(N(INDEX(Clay_Brands!$A$2:$FZ$601,71,Sync!$D$12)),0)&gt;0,IFERROR(INDEX(Clay_Brands!$A$2:$FZ$601,71,Sync!$D$5)&amp;"","")&lt;&gt;"",OR(LEFT(IFERROR(INDEX(Clay_Brands!$A$2:$FZ$601,71,Sync!$D$5)&amp;"",""),6)&lt;&gt;"SAMPLE",Config!$B$19="Y")),IFERROR(N(INDEX(Clay_Brands!$A$2:$FZ$601,71,Sync!$D$12)),0),"")</f>
        <v/>
      </c>
      <c r="C4122" s="23" t="str">
        <f aca="false">IF(B4122="","","brand")</f>
        <v/>
      </c>
      <c r="D4122" s="23" t="str">
        <f aca="false">IF(B4122="","",IFERROR(INDEX(Brand_Log!$DV$2:$DV$201,MATCH(IFERROR(INDEX(Clay_Brands!$A$2:$FZ$601,71,Sync!$D$5)&amp;"",""),Brand_Log!$A$2:$A$201,0))&amp;"",IFERROR(INDEX(Clay_Brands!$A$2:$FZ$601,71,Sync!$D$5)&amp;"","")&amp;""))</f>
        <v/>
      </c>
      <c r="E4122" s="23" t="str">
        <f aca="false">IF(B4122="","",IFERROR(INDEX(Clay_Brands!$A$2:$FZ$601,71,Sync!$D$6)&amp;"",""))</f>
        <v/>
      </c>
      <c r="F4122" s="23" t="str">
        <f aca="false">IF(B4122="","","outreach_sent")</f>
        <v/>
      </c>
      <c r="G4122" s="23" t="str">
        <f aca="false">IF(B4122="","","")</f>
        <v/>
      </c>
      <c r="H4122" s="23" t="str">
        <f aca="false">IF(B4122="","","")</f>
        <v/>
      </c>
      <c r="I4122" s="23" t="str">
        <f aca="false">IF(B4122="","","")</f>
        <v/>
      </c>
      <c r="J4122" s="23" t="str">
        <f aca="false">IF(B4122="","","touch_2; "&amp;IFERROR(INDEX(Clay_Brands!$A$2:$FZ$601,71,Sync!$D$10)&amp;"","")&amp;"; "&amp;IFERROR(INDEX(Clay_Brands!$A$2:$FZ$601,71,Sync!$D$9)&amp;"",""))</f>
        <v/>
      </c>
      <c r="K4122" s="32" t="s">
        <v>1367</v>
      </c>
    </row>
    <row r="4123" customFormat="false" ht="15" hidden="false" customHeight="false" outlineLevel="0" collapsed="false">
      <c r="A4123" s="23" t="str">
        <f aca="false">IF(B4123="","",B4123+(16*1000+72)/10000000)</f>
        <v/>
      </c>
      <c r="B4123" s="35" t="str">
        <f aca="false">IF(AND(IFERROR(N(INDEX(Clay_Brands!$A$2:$FZ$601,72,Sync!$D$12)),0)&gt;0,IFERROR(INDEX(Clay_Brands!$A$2:$FZ$601,72,Sync!$D$5)&amp;"","")&lt;&gt;"",OR(LEFT(IFERROR(INDEX(Clay_Brands!$A$2:$FZ$601,72,Sync!$D$5)&amp;"",""),6)&lt;&gt;"SAMPLE",Config!$B$19="Y")),IFERROR(N(INDEX(Clay_Brands!$A$2:$FZ$601,72,Sync!$D$12)),0),"")</f>
        <v/>
      </c>
      <c r="C4123" s="23" t="str">
        <f aca="false">IF(B4123="","","brand")</f>
        <v/>
      </c>
      <c r="D4123" s="23" t="str">
        <f aca="false">IF(B4123="","",IFERROR(INDEX(Brand_Log!$DV$2:$DV$201,MATCH(IFERROR(INDEX(Clay_Brands!$A$2:$FZ$601,72,Sync!$D$5)&amp;"",""),Brand_Log!$A$2:$A$201,0))&amp;"",IFERROR(INDEX(Clay_Brands!$A$2:$FZ$601,72,Sync!$D$5)&amp;"","")&amp;""))</f>
        <v/>
      </c>
      <c r="E4123" s="23" t="str">
        <f aca="false">IF(B4123="","",IFERROR(INDEX(Clay_Brands!$A$2:$FZ$601,72,Sync!$D$6)&amp;"",""))</f>
        <v/>
      </c>
      <c r="F4123" s="23" t="str">
        <f aca="false">IF(B4123="","","outreach_sent")</f>
        <v/>
      </c>
      <c r="G4123" s="23" t="str">
        <f aca="false">IF(B4123="","","")</f>
        <v/>
      </c>
      <c r="H4123" s="23" t="str">
        <f aca="false">IF(B4123="","","")</f>
        <v/>
      </c>
      <c r="I4123" s="23" t="str">
        <f aca="false">IF(B4123="","","")</f>
        <v/>
      </c>
      <c r="J4123" s="23" t="str">
        <f aca="false">IF(B4123="","","touch_2; "&amp;IFERROR(INDEX(Clay_Brands!$A$2:$FZ$601,72,Sync!$D$10)&amp;"","")&amp;"; "&amp;IFERROR(INDEX(Clay_Brands!$A$2:$FZ$601,72,Sync!$D$9)&amp;"",""))</f>
        <v/>
      </c>
      <c r="K4123" s="32" t="s">
        <v>1367</v>
      </c>
    </row>
    <row r="4124" customFormat="false" ht="15" hidden="false" customHeight="false" outlineLevel="0" collapsed="false">
      <c r="A4124" s="23" t="str">
        <f aca="false">IF(B4124="","",B4124+(16*1000+73)/10000000)</f>
        <v/>
      </c>
      <c r="B4124" s="35" t="str">
        <f aca="false">IF(AND(IFERROR(N(INDEX(Clay_Brands!$A$2:$FZ$601,73,Sync!$D$12)),0)&gt;0,IFERROR(INDEX(Clay_Brands!$A$2:$FZ$601,73,Sync!$D$5)&amp;"","")&lt;&gt;"",OR(LEFT(IFERROR(INDEX(Clay_Brands!$A$2:$FZ$601,73,Sync!$D$5)&amp;"",""),6)&lt;&gt;"SAMPLE",Config!$B$19="Y")),IFERROR(N(INDEX(Clay_Brands!$A$2:$FZ$601,73,Sync!$D$12)),0),"")</f>
        <v/>
      </c>
      <c r="C4124" s="23" t="str">
        <f aca="false">IF(B4124="","","brand")</f>
        <v/>
      </c>
      <c r="D4124" s="23" t="str">
        <f aca="false">IF(B4124="","",IFERROR(INDEX(Brand_Log!$DV$2:$DV$201,MATCH(IFERROR(INDEX(Clay_Brands!$A$2:$FZ$601,73,Sync!$D$5)&amp;"",""),Brand_Log!$A$2:$A$201,0))&amp;"",IFERROR(INDEX(Clay_Brands!$A$2:$FZ$601,73,Sync!$D$5)&amp;"","")&amp;""))</f>
        <v/>
      </c>
      <c r="E4124" s="23" t="str">
        <f aca="false">IF(B4124="","",IFERROR(INDEX(Clay_Brands!$A$2:$FZ$601,73,Sync!$D$6)&amp;"",""))</f>
        <v/>
      </c>
      <c r="F4124" s="23" t="str">
        <f aca="false">IF(B4124="","","outreach_sent")</f>
        <v/>
      </c>
      <c r="G4124" s="23" t="str">
        <f aca="false">IF(B4124="","","")</f>
        <v/>
      </c>
      <c r="H4124" s="23" t="str">
        <f aca="false">IF(B4124="","","")</f>
        <v/>
      </c>
      <c r="I4124" s="23" t="str">
        <f aca="false">IF(B4124="","","")</f>
        <v/>
      </c>
      <c r="J4124" s="23" t="str">
        <f aca="false">IF(B4124="","","touch_2; "&amp;IFERROR(INDEX(Clay_Brands!$A$2:$FZ$601,73,Sync!$D$10)&amp;"","")&amp;"; "&amp;IFERROR(INDEX(Clay_Brands!$A$2:$FZ$601,73,Sync!$D$9)&amp;"",""))</f>
        <v/>
      </c>
      <c r="K4124" s="32" t="s">
        <v>1367</v>
      </c>
    </row>
    <row r="4125" customFormat="false" ht="15" hidden="false" customHeight="false" outlineLevel="0" collapsed="false">
      <c r="A4125" s="23" t="str">
        <f aca="false">IF(B4125="","",B4125+(16*1000+74)/10000000)</f>
        <v/>
      </c>
      <c r="B4125" s="35" t="str">
        <f aca="false">IF(AND(IFERROR(N(INDEX(Clay_Brands!$A$2:$FZ$601,74,Sync!$D$12)),0)&gt;0,IFERROR(INDEX(Clay_Brands!$A$2:$FZ$601,74,Sync!$D$5)&amp;"","")&lt;&gt;"",OR(LEFT(IFERROR(INDEX(Clay_Brands!$A$2:$FZ$601,74,Sync!$D$5)&amp;"",""),6)&lt;&gt;"SAMPLE",Config!$B$19="Y")),IFERROR(N(INDEX(Clay_Brands!$A$2:$FZ$601,74,Sync!$D$12)),0),"")</f>
        <v/>
      </c>
      <c r="C4125" s="23" t="str">
        <f aca="false">IF(B4125="","","brand")</f>
        <v/>
      </c>
      <c r="D4125" s="23" t="str">
        <f aca="false">IF(B4125="","",IFERROR(INDEX(Brand_Log!$DV$2:$DV$201,MATCH(IFERROR(INDEX(Clay_Brands!$A$2:$FZ$601,74,Sync!$D$5)&amp;"",""),Brand_Log!$A$2:$A$201,0))&amp;"",IFERROR(INDEX(Clay_Brands!$A$2:$FZ$601,74,Sync!$D$5)&amp;"","")&amp;""))</f>
        <v/>
      </c>
      <c r="E4125" s="23" t="str">
        <f aca="false">IF(B4125="","",IFERROR(INDEX(Clay_Brands!$A$2:$FZ$601,74,Sync!$D$6)&amp;"",""))</f>
        <v/>
      </c>
      <c r="F4125" s="23" t="str">
        <f aca="false">IF(B4125="","","outreach_sent")</f>
        <v/>
      </c>
      <c r="G4125" s="23" t="str">
        <f aca="false">IF(B4125="","","")</f>
        <v/>
      </c>
      <c r="H4125" s="23" t="str">
        <f aca="false">IF(B4125="","","")</f>
        <v/>
      </c>
      <c r="I4125" s="23" t="str">
        <f aca="false">IF(B4125="","","")</f>
        <v/>
      </c>
      <c r="J4125" s="23" t="str">
        <f aca="false">IF(B4125="","","touch_2; "&amp;IFERROR(INDEX(Clay_Brands!$A$2:$FZ$601,74,Sync!$D$10)&amp;"","")&amp;"; "&amp;IFERROR(INDEX(Clay_Brands!$A$2:$FZ$601,74,Sync!$D$9)&amp;"",""))</f>
        <v/>
      </c>
      <c r="K4125" s="32" t="s">
        <v>1367</v>
      </c>
    </row>
    <row r="4126" customFormat="false" ht="15" hidden="false" customHeight="false" outlineLevel="0" collapsed="false">
      <c r="A4126" s="23" t="str">
        <f aca="false">IF(B4126="","",B4126+(16*1000+75)/10000000)</f>
        <v/>
      </c>
      <c r="B4126" s="35" t="str">
        <f aca="false">IF(AND(IFERROR(N(INDEX(Clay_Brands!$A$2:$FZ$601,75,Sync!$D$12)),0)&gt;0,IFERROR(INDEX(Clay_Brands!$A$2:$FZ$601,75,Sync!$D$5)&amp;"","")&lt;&gt;"",OR(LEFT(IFERROR(INDEX(Clay_Brands!$A$2:$FZ$601,75,Sync!$D$5)&amp;"",""),6)&lt;&gt;"SAMPLE",Config!$B$19="Y")),IFERROR(N(INDEX(Clay_Brands!$A$2:$FZ$601,75,Sync!$D$12)),0),"")</f>
        <v/>
      </c>
      <c r="C4126" s="23" t="str">
        <f aca="false">IF(B4126="","","brand")</f>
        <v/>
      </c>
      <c r="D4126" s="23" t="str">
        <f aca="false">IF(B4126="","",IFERROR(INDEX(Brand_Log!$DV$2:$DV$201,MATCH(IFERROR(INDEX(Clay_Brands!$A$2:$FZ$601,75,Sync!$D$5)&amp;"",""),Brand_Log!$A$2:$A$201,0))&amp;"",IFERROR(INDEX(Clay_Brands!$A$2:$FZ$601,75,Sync!$D$5)&amp;"","")&amp;""))</f>
        <v/>
      </c>
      <c r="E4126" s="23" t="str">
        <f aca="false">IF(B4126="","",IFERROR(INDEX(Clay_Brands!$A$2:$FZ$601,75,Sync!$D$6)&amp;"",""))</f>
        <v/>
      </c>
      <c r="F4126" s="23" t="str">
        <f aca="false">IF(B4126="","","outreach_sent")</f>
        <v/>
      </c>
      <c r="G4126" s="23" t="str">
        <f aca="false">IF(B4126="","","")</f>
        <v/>
      </c>
      <c r="H4126" s="23" t="str">
        <f aca="false">IF(B4126="","","")</f>
        <v/>
      </c>
      <c r="I4126" s="23" t="str">
        <f aca="false">IF(B4126="","","")</f>
        <v/>
      </c>
      <c r="J4126" s="23" t="str">
        <f aca="false">IF(B4126="","","touch_2; "&amp;IFERROR(INDEX(Clay_Brands!$A$2:$FZ$601,75,Sync!$D$10)&amp;"","")&amp;"; "&amp;IFERROR(INDEX(Clay_Brands!$A$2:$FZ$601,75,Sync!$D$9)&amp;"",""))</f>
        <v/>
      </c>
      <c r="K4126" s="32" t="s">
        <v>1367</v>
      </c>
    </row>
    <row r="4127" customFormat="false" ht="15" hidden="false" customHeight="false" outlineLevel="0" collapsed="false">
      <c r="A4127" s="23" t="str">
        <f aca="false">IF(B4127="","",B4127+(16*1000+76)/10000000)</f>
        <v/>
      </c>
      <c r="B4127" s="35" t="str">
        <f aca="false">IF(AND(IFERROR(N(INDEX(Clay_Brands!$A$2:$FZ$601,76,Sync!$D$12)),0)&gt;0,IFERROR(INDEX(Clay_Brands!$A$2:$FZ$601,76,Sync!$D$5)&amp;"","")&lt;&gt;"",OR(LEFT(IFERROR(INDEX(Clay_Brands!$A$2:$FZ$601,76,Sync!$D$5)&amp;"",""),6)&lt;&gt;"SAMPLE",Config!$B$19="Y")),IFERROR(N(INDEX(Clay_Brands!$A$2:$FZ$601,76,Sync!$D$12)),0),"")</f>
        <v/>
      </c>
      <c r="C4127" s="23" t="str">
        <f aca="false">IF(B4127="","","brand")</f>
        <v/>
      </c>
      <c r="D4127" s="23" t="str">
        <f aca="false">IF(B4127="","",IFERROR(INDEX(Brand_Log!$DV$2:$DV$201,MATCH(IFERROR(INDEX(Clay_Brands!$A$2:$FZ$601,76,Sync!$D$5)&amp;"",""),Brand_Log!$A$2:$A$201,0))&amp;"",IFERROR(INDEX(Clay_Brands!$A$2:$FZ$601,76,Sync!$D$5)&amp;"","")&amp;""))</f>
        <v/>
      </c>
      <c r="E4127" s="23" t="str">
        <f aca="false">IF(B4127="","",IFERROR(INDEX(Clay_Brands!$A$2:$FZ$601,76,Sync!$D$6)&amp;"",""))</f>
        <v/>
      </c>
      <c r="F4127" s="23" t="str">
        <f aca="false">IF(B4127="","","outreach_sent")</f>
        <v/>
      </c>
      <c r="G4127" s="23" t="str">
        <f aca="false">IF(B4127="","","")</f>
        <v/>
      </c>
      <c r="H4127" s="23" t="str">
        <f aca="false">IF(B4127="","","")</f>
        <v/>
      </c>
      <c r="I4127" s="23" t="str">
        <f aca="false">IF(B4127="","","")</f>
        <v/>
      </c>
      <c r="J4127" s="23" t="str">
        <f aca="false">IF(B4127="","","touch_2; "&amp;IFERROR(INDEX(Clay_Brands!$A$2:$FZ$601,76,Sync!$D$10)&amp;"","")&amp;"; "&amp;IFERROR(INDEX(Clay_Brands!$A$2:$FZ$601,76,Sync!$D$9)&amp;"",""))</f>
        <v/>
      </c>
      <c r="K4127" s="32" t="s">
        <v>1367</v>
      </c>
    </row>
    <row r="4128" customFormat="false" ht="15" hidden="false" customHeight="false" outlineLevel="0" collapsed="false">
      <c r="A4128" s="23" t="str">
        <f aca="false">IF(B4128="","",B4128+(16*1000+77)/10000000)</f>
        <v/>
      </c>
      <c r="B4128" s="35" t="str">
        <f aca="false">IF(AND(IFERROR(N(INDEX(Clay_Brands!$A$2:$FZ$601,77,Sync!$D$12)),0)&gt;0,IFERROR(INDEX(Clay_Brands!$A$2:$FZ$601,77,Sync!$D$5)&amp;"","")&lt;&gt;"",OR(LEFT(IFERROR(INDEX(Clay_Brands!$A$2:$FZ$601,77,Sync!$D$5)&amp;"",""),6)&lt;&gt;"SAMPLE",Config!$B$19="Y")),IFERROR(N(INDEX(Clay_Brands!$A$2:$FZ$601,77,Sync!$D$12)),0),"")</f>
        <v/>
      </c>
      <c r="C4128" s="23" t="str">
        <f aca="false">IF(B4128="","","brand")</f>
        <v/>
      </c>
      <c r="D4128" s="23" t="str">
        <f aca="false">IF(B4128="","",IFERROR(INDEX(Brand_Log!$DV$2:$DV$201,MATCH(IFERROR(INDEX(Clay_Brands!$A$2:$FZ$601,77,Sync!$D$5)&amp;"",""),Brand_Log!$A$2:$A$201,0))&amp;"",IFERROR(INDEX(Clay_Brands!$A$2:$FZ$601,77,Sync!$D$5)&amp;"","")&amp;""))</f>
        <v/>
      </c>
      <c r="E4128" s="23" t="str">
        <f aca="false">IF(B4128="","",IFERROR(INDEX(Clay_Brands!$A$2:$FZ$601,77,Sync!$D$6)&amp;"",""))</f>
        <v/>
      </c>
      <c r="F4128" s="23" t="str">
        <f aca="false">IF(B4128="","","outreach_sent")</f>
        <v/>
      </c>
      <c r="G4128" s="23" t="str">
        <f aca="false">IF(B4128="","","")</f>
        <v/>
      </c>
      <c r="H4128" s="23" t="str">
        <f aca="false">IF(B4128="","","")</f>
        <v/>
      </c>
      <c r="I4128" s="23" t="str">
        <f aca="false">IF(B4128="","","")</f>
        <v/>
      </c>
      <c r="J4128" s="23" t="str">
        <f aca="false">IF(B4128="","","touch_2; "&amp;IFERROR(INDEX(Clay_Brands!$A$2:$FZ$601,77,Sync!$D$10)&amp;"","")&amp;"; "&amp;IFERROR(INDEX(Clay_Brands!$A$2:$FZ$601,77,Sync!$D$9)&amp;"",""))</f>
        <v/>
      </c>
      <c r="K4128" s="32" t="s">
        <v>1367</v>
      </c>
    </row>
    <row r="4129" customFormat="false" ht="15" hidden="false" customHeight="false" outlineLevel="0" collapsed="false">
      <c r="A4129" s="23" t="str">
        <f aca="false">IF(B4129="","",B4129+(16*1000+78)/10000000)</f>
        <v/>
      </c>
      <c r="B4129" s="35" t="str">
        <f aca="false">IF(AND(IFERROR(N(INDEX(Clay_Brands!$A$2:$FZ$601,78,Sync!$D$12)),0)&gt;0,IFERROR(INDEX(Clay_Brands!$A$2:$FZ$601,78,Sync!$D$5)&amp;"","")&lt;&gt;"",OR(LEFT(IFERROR(INDEX(Clay_Brands!$A$2:$FZ$601,78,Sync!$D$5)&amp;"",""),6)&lt;&gt;"SAMPLE",Config!$B$19="Y")),IFERROR(N(INDEX(Clay_Brands!$A$2:$FZ$601,78,Sync!$D$12)),0),"")</f>
        <v/>
      </c>
      <c r="C4129" s="23" t="str">
        <f aca="false">IF(B4129="","","brand")</f>
        <v/>
      </c>
      <c r="D4129" s="23" t="str">
        <f aca="false">IF(B4129="","",IFERROR(INDEX(Brand_Log!$DV$2:$DV$201,MATCH(IFERROR(INDEX(Clay_Brands!$A$2:$FZ$601,78,Sync!$D$5)&amp;"",""),Brand_Log!$A$2:$A$201,0))&amp;"",IFERROR(INDEX(Clay_Brands!$A$2:$FZ$601,78,Sync!$D$5)&amp;"","")&amp;""))</f>
        <v/>
      </c>
      <c r="E4129" s="23" t="str">
        <f aca="false">IF(B4129="","",IFERROR(INDEX(Clay_Brands!$A$2:$FZ$601,78,Sync!$D$6)&amp;"",""))</f>
        <v/>
      </c>
      <c r="F4129" s="23" t="str">
        <f aca="false">IF(B4129="","","outreach_sent")</f>
        <v/>
      </c>
      <c r="G4129" s="23" t="str">
        <f aca="false">IF(B4129="","","")</f>
        <v/>
      </c>
      <c r="H4129" s="23" t="str">
        <f aca="false">IF(B4129="","","")</f>
        <v/>
      </c>
      <c r="I4129" s="23" t="str">
        <f aca="false">IF(B4129="","","")</f>
        <v/>
      </c>
      <c r="J4129" s="23" t="str">
        <f aca="false">IF(B4129="","","touch_2; "&amp;IFERROR(INDEX(Clay_Brands!$A$2:$FZ$601,78,Sync!$D$10)&amp;"","")&amp;"; "&amp;IFERROR(INDEX(Clay_Brands!$A$2:$FZ$601,78,Sync!$D$9)&amp;"",""))</f>
        <v/>
      </c>
      <c r="K4129" s="32" t="s">
        <v>1367</v>
      </c>
    </row>
    <row r="4130" customFormat="false" ht="15" hidden="false" customHeight="false" outlineLevel="0" collapsed="false">
      <c r="A4130" s="23" t="str">
        <f aca="false">IF(B4130="","",B4130+(16*1000+79)/10000000)</f>
        <v/>
      </c>
      <c r="B4130" s="35" t="str">
        <f aca="false">IF(AND(IFERROR(N(INDEX(Clay_Brands!$A$2:$FZ$601,79,Sync!$D$12)),0)&gt;0,IFERROR(INDEX(Clay_Brands!$A$2:$FZ$601,79,Sync!$D$5)&amp;"","")&lt;&gt;"",OR(LEFT(IFERROR(INDEX(Clay_Brands!$A$2:$FZ$601,79,Sync!$D$5)&amp;"",""),6)&lt;&gt;"SAMPLE",Config!$B$19="Y")),IFERROR(N(INDEX(Clay_Brands!$A$2:$FZ$601,79,Sync!$D$12)),0),"")</f>
        <v/>
      </c>
      <c r="C4130" s="23" t="str">
        <f aca="false">IF(B4130="","","brand")</f>
        <v/>
      </c>
      <c r="D4130" s="23" t="str">
        <f aca="false">IF(B4130="","",IFERROR(INDEX(Brand_Log!$DV$2:$DV$201,MATCH(IFERROR(INDEX(Clay_Brands!$A$2:$FZ$601,79,Sync!$D$5)&amp;"",""),Brand_Log!$A$2:$A$201,0))&amp;"",IFERROR(INDEX(Clay_Brands!$A$2:$FZ$601,79,Sync!$D$5)&amp;"","")&amp;""))</f>
        <v/>
      </c>
      <c r="E4130" s="23" t="str">
        <f aca="false">IF(B4130="","",IFERROR(INDEX(Clay_Brands!$A$2:$FZ$601,79,Sync!$D$6)&amp;"",""))</f>
        <v/>
      </c>
      <c r="F4130" s="23" t="str">
        <f aca="false">IF(B4130="","","outreach_sent")</f>
        <v/>
      </c>
      <c r="G4130" s="23" t="str">
        <f aca="false">IF(B4130="","","")</f>
        <v/>
      </c>
      <c r="H4130" s="23" t="str">
        <f aca="false">IF(B4130="","","")</f>
        <v/>
      </c>
      <c r="I4130" s="23" t="str">
        <f aca="false">IF(B4130="","","")</f>
        <v/>
      </c>
      <c r="J4130" s="23" t="str">
        <f aca="false">IF(B4130="","","touch_2; "&amp;IFERROR(INDEX(Clay_Brands!$A$2:$FZ$601,79,Sync!$D$10)&amp;"","")&amp;"; "&amp;IFERROR(INDEX(Clay_Brands!$A$2:$FZ$601,79,Sync!$D$9)&amp;"",""))</f>
        <v/>
      </c>
      <c r="K4130" s="32" t="s">
        <v>1367</v>
      </c>
    </row>
    <row r="4131" customFormat="false" ht="15" hidden="false" customHeight="false" outlineLevel="0" collapsed="false">
      <c r="A4131" s="23" t="str">
        <f aca="false">IF(B4131="","",B4131+(16*1000+80)/10000000)</f>
        <v/>
      </c>
      <c r="B4131" s="35" t="str">
        <f aca="false">IF(AND(IFERROR(N(INDEX(Clay_Brands!$A$2:$FZ$601,80,Sync!$D$12)),0)&gt;0,IFERROR(INDEX(Clay_Brands!$A$2:$FZ$601,80,Sync!$D$5)&amp;"","")&lt;&gt;"",OR(LEFT(IFERROR(INDEX(Clay_Brands!$A$2:$FZ$601,80,Sync!$D$5)&amp;"",""),6)&lt;&gt;"SAMPLE",Config!$B$19="Y")),IFERROR(N(INDEX(Clay_Brands!$A$2:$FZ$601,80,Sync!$D$12)),0),"")</f>
        <v/>
      </c>
      <c r="C4131" s="23" t="str">
        <f aca="false">IF(B4131="","","brand")</f>
        <v/>
      </c>
      <c r="D4131" s="23" t="str">
        <f aca="false">IF(B4131="","",IFERROR(INDEX(Brand_Log!$DV$2:$DV$201,MATCH(IFERROR(INDEX(Clay_Brands!$A$2:$FZ$601,80,Sync!$D$5)&amp;"",""),Brand_Log!$A$2:$A$201,0))&amp;"",IFERROR(INDEX(Clay_Brands!$A$2:$FZ$601,80,Sync!$D$5)&amp;"","")&amp;""))</f>
        <v/>
      </c>
      <c r="E4131" s="23" t="str">
        <f aca="false">IF(B4131="","",IFERROR(INDEX(Clay_Brands!$A$2:$FZ$601,80,Sync!$D$6)&amp;"",""))</f>
        <v/>
      </c>
      <c r="F4131" s="23" t="str">
        <f aca="false">IF(B4131="","","outreach_sent")</f>
        <v/>
      </c>
      <c r="G4131" s="23" t="str">
        <f aca="false">IF(B4131="","","")</f>
        <v/>
      </c>
      <c r="H4131" s="23" t="str">
        <f aca="false">IF(B4131="","","")</f>
        <v/>
      </c>
      <c r="I4131" s="23" t="str">
        <f aca="false">IF(B4131="","","")</f>
        <v/>
      </c>
      <c r="J4131" s="23" t="str">
        <f aca="false">IF(B4131="","","touch_2; "&amp;IFERROR(INDEX(Clay_Brands!$A$2:$FZ$601,80,Sync!$D$10)&amp;"","")&amp;"; "&amp;IFERROR(INDEX(Clay_Brands!$A$2:$FZ$601,80,Sync!$D$9)&amp;"",""))</f>
        <v/>
      </c>
      <c r="K4131" s="32" t="s">
        <v>1367</v>
      </c>
    </row>
    <row r="4132" customFormat="false" ht="15" hidden="false" customHeight="false" outlineLevel="0" collapsed="false">
      <c r="A4132" s="23" t="str">
        <f aca="false">IF(B4132="","",B4132+(16*1000+81)/10000000)</f>
        <v/>
      </c>
      <c r="B4132" s="35" t="str">
        <f aca="false">IF(AND(IFERROR(N(INDEX(Clay_Brands!$A$2:$FZ$601,81,Sync!$D$12)),0)&gt;0,IFERROR(INDEX(Clay_Brands!$A$2:$FZ$601,81,Sync!$D$5)&amp;"","")&lt;&gt;"",OR(LEFT(IFERROR(INDEX(Clay_Brands!$A$2:$FZ$601,81,Sync!$D$5)&amp;"",""),6)&lt;&gt;"SAMPLE",Config!$B$19="Y")),IFERROR(N(INDEX(Clay_Brands!$A$2:$FZ$601,81,Sync!$D$12)),0),"")</f>
        <v/>
      </c>
      <c r="C4132" s="23" t="str">
        <f aca="false">IF(B4132="","","brand")</f>
        <v/>
      </c>
      <c r="D4132" s="23" t="str">
        <f aca="false">IF(B4132="","",IFERROR(INDEX(Brand_Log!$DV$2:$DV$201,MATCH(IFERROR(INDEX(Clay_Brands!$A$2:$FZ$601,81,Sync!$D$5)&amp;"",""),Brand_Log!$A$2:$A$201,0))&amp;"",IFERROR(INDEX(Clay_Brands!$A$2:$FZ$601,81,Sync!$D$5)&amp;"","")&amp;""))</f>
        <v/>
      </c>
      <c r="E4132" s="23" t="str">
        <f aca="false">IF(B4132="","",IFERROR(INDEX(Clay_Brands!$A$2:$FZ$601,81,Sync!$D$6)&amp;"",""))</f>
        <v/>
      </c>
      <c r="F4132" s="23" t="str">
        <f aca="false">IF(B4132="","","outreach_sent")</f>
        <v/>
      </c>
      <c r="G4132" s="23" t="str">
        <f aca="false">IF(B4132="","","")</f>
        <v/>
      </c>
      <c r="H4132" s="23" t="str">
        <f aca="false">IF(B4132="","","")</f>
        <v/>
      </c>
      <c r="I4132" s="23" t="str">
        <f aca="false">IF(B4132="","","")</f>
        <v/>
      </c>
      <c r="J4132" s="23" t="str">
        <f aca="false">IF(B4132="","","touch_2; "&amp;IFERROR(INDEX(Clay_Brands!$A$2:$FZ$601,81,Sync!$D$10)&amp;"","")&amp;"; "&amp;IFERROR(INDEX(Clay_Brands!$A$2:$FZ$601,81,Sync!$D$9)&amp;"",""))</f>
        <v/>
      </c>
      <c r="K4132" s="32" t="s">
        <v>1367</v>
      </c>
    </row>
    <row r="4133" customFormat="false" ht="15" hidden="false" customHeight="false" outlineLevel="0" collapsed="false">
      <c r="A4133" s="23" t="str">
        <f aca="false">IF(B4133="","",B4133+(16*1000+82)/10000000)</f>
        <v/>
      </c>
      <c r="B4133" s="35" t="str">
        <f aca="false">IF(AND(IFERROR(N(INDEX(Clay_Brands!$A$2:$FZ$601,82,Sync!$D$12)),0)&gt;0,IFERROR(INDEX(Clay_Brands!$A$2:$FZ$601,82,Sync!$D$5)&amp;"","")&lt;&gt;"",OR(LEFT(IFERROR(INDEX(Clay_Brands!$A$2:$FZ$601,82,Sync!$D$5)&amp;"",""),6)&lt;&gt;"SAMPLE",Config!$B$19="Y")),IFERROR(N(INDEX(Clay_Brands!$A$2:$FZ$601,82,Sync!$D$12)),0),"")</f>
        <v/>
      </c>
      <c r="C4133" s="23" t="str">
        <f aca="false">IF(B4133="","","brand")</f>
        <v/>
      </c>
      <c r="D4133" s="23" t="str">
        <f aca="false">IF(B4133="","",IFERROR(INDEX(Brand_Log!$DV$2:$DV$201,MATCH(IFERROR(INDEX(Clay_Brands!$A$2:$FZ$601,82,Sync!$D$5)&amp;"",""),Brand_Log!$A$2:$A$201,0))&amp;"",IFERROR(INDEX(Clay_Brands!$A$2:$FZ$601,82,Sync!$D$5)&amp;"","")&amp;""))</f>
        <v/>
      </c>
      <c r="E4133" s="23" t="str">
        <f aca="false">IF(B4133="","",IFERROR(INDEX(Clay_Brands!$A$2:$FZ$601,82,Sync!$D$6)&amp;"",""))</f>
        <v/>
      </c>
      <c r="F4133" s="23" t="str">
        <f aca="false">IF(B4133="","","outreach_sent")</f>
        <v/>
      </c>
      <c r="G4133" s="23" t="str">
        <f aca="false">IF(B4133="","","")</f>
        <v/>
      </c>
      <c r="H4133" s="23" t="str">
        <f aca="false">IF(B4133="","","")</f>
        <v/>
      </c>
      <c r="I4133" s="23" t="str">
        <f aca="false">IF(B4133="","","")</f>
        <v/>
      </c>
      <c r="J4133" s="23" t="str">
        <f aca="false">IF(B4133="","","touch_2; "&amp;IFERROR(INDEX(Clay_Brands!$A$2:$FZ$601,82,Sync!$D$10)&amp;"","")&amp;"; "&amp;IFERROR(INDEX(Clay_Brands!$A$2:$FZ$601,82,Sync!$D$9)&amp;"",""))</f>
        <v/>
      </c>
      <c r="K4133" s="32" t="s">
        <v>1367</v>
      </c>
    </row>
    <row r="4134" customFormat="false" ht="15" hidden="false" customHeight="false" outlineLevel="0" collapsed="false">
      <c r="A4134" s="23" t="str">
        <f aca="false">IF(B4134="","",B4134+(16*1000+83)/10000000)</f>
        <v/>
      </c>
      <c r="B4134" s="35" t="str">
        <f aca="false">IF(AND(IFERROR(N(INDEX(Clay_Brands!$A$2:$FZ$601,83,Sync!$D$12)),0)&gt;0,IFERROR(INDEX(Clay_Brands!$A$2:$FZ$601,83,Sync!$D$5)&amp;"","")&lt;&gt;"",OR(LEFT(IFERROR(INDEX(Clay_Brands!$A$2:$FZ$601,83,Sync!$D$5)&amp;"",""),6)&lt;&gt;"SAMPLE",Config!$B$19="Y")),IFERROR(N(INDEX(Clay_Brands!$A$2:$FZ$601,83,Sync!$D$12)),0),"")</f>
        <v/>
      </c>
      <c r="C4134" s="23" t="str">
        <f aca="false">IF(B4134="","","brand")</f>
        <v/>
      </c>
      <c r="D4134" s="23" t="str">
        <f aca="false">IF(B4134="","",IFERROR(INDEX(Brand_Log!$DV$2:$DV$201,MATCH(IFERROR(INDEX(Clay_Brands!$A$2:$FZ$601,83,Sync!$D$5)&amp;"",""),Brand_Log!$A$2:$A$201,0))&amp;"",IFERROR(INDEX(Clay_Brands!$A$2:$FZ$601,83,Sync!$D$5)&amp;"","")&amp;""))</f>
        <v/>
      </c>
      <c r="E4134" s="23" t="str">
        <f aca="false">IF(B4134="","",IFERROR(INDEX(Clay_Brands!$A$2:$FZ$601,83,Sync!$D$6)&amp;"",""))</f>
        <v/>
      </c>
      <c r="F4134" s="23" t="str">
        <f aca="false">IF(B4134="","","outreach_sent")</f>
        <v/>
      </c>
      <c r="G4134" s="23" t="str">
        <f aca="false">IF(B4134="","","")</f>
        <v/>
      </c>
      <c r="H4134" s="23" t="str">
        <f aca="false">IF(B4134="","","")</f>
        <v/>
      </c>
      <c r="I4134" s="23" t="str">
        <f aca="false">IF(B4134="","","")</f>
        <v/>
      </c>
      <c r="J4134" s="23" t="str">
        <f aca="false">IF(B4134="","","touch_2; "&amp;IFERROR(INDEX(Clay_Brands!$A$2:$FZ$601,83,Sync!$D$10)&amp;"","")&amp;"; "&amp;IFERROR(INDEX(Clay_Brands!$A$2:$FZ$601,83,Sync!$D$9)&amp;"",""))</f>
        <v/>
      </c>
      <c r="K4134" s="32" t="s">
        <v>1367</v>
      </c>
    </row>
    <row r="4135" customFormat="false" ht="15" hidden="false" customHeight="false" outlineLevel="0" collapsed="false">
      <c r="A4135" s="23" t="str">
        <f aca="false">IF(B4135="","",B4135+(16*1000+84)/10000000)</f>
        <v/>
      </c>
      <c r="B4135" s="35" t="str">
        <f aca="false">IF(AND(IFERROR(N(INDEX(Clay_Brands!$A$2:$FZ$601,84,Sync!$D$12)),0)&gt;0,IFERROR(INDEX(Clay_Brands!$A$2:$FZ$601,84,Sync!$D$5)&amp;"","")&lt;&gt;"",OR(LEFT(IFERROR(INDEX(Clay_Brands!$A$2:$FZ$601,84,Sync!$D$5)&amp;"",""),6)&lt;&gt;"SAMPLE",Config!$B$19="Y")),IFERROR(N(INDEX(Clay_Brands!$A$2:$FZ$601,84,Sync!$D$12)),0),"")</f>
        <v/>
      </c>
      <c r="C4135" s="23" t="str">
        <f aca="false">IF(B4135="","","brand")</f>
        <v/>
      </c>
      <c r="D4135" s="23" t="str">
        <f aca="false">IF(B4135="","",IFERROR(INDEX(Brand_Log!$DV$2:$DV$201,MATCH(IFERROR(INDEX(Clay_Brands!$A$2:$FZ$601,84,Sync!$D$5)&amp;"",""),Brand_Log!$A$2:$A$201,0))&amp;"",IFERROR(INDEX(Clay_Brands!$A$2:$FZ$601,84,Sync!$D$5)&amp;"","")&amp;""))</f>
        <v/>
      </c>
      <c r="E4135" s="23" t="str">
        <f aca="false">IF(B4135="","",IFERROR(INDEX(Clay_Brands!$A$2:$FZ$601,84,Sync!$D$6)&amp;"",""))</f>
        <v/>
      </c>
      <c r="F4135" s="23" t="str">
        <f aca="false">IF(B4135="","","outreach_sent")</f>
        <v/>
      </c>
      <c r="G4135" s="23" t="str">
        <f aca="false">IF(B4135="","","")</f>
        <v/>
      </c>
      <c r="H4135" s="23" t="str">
        <f aca="false">IF(B4135="","","")</f>
        <v/>
      </c>
      <c r="I4135" s="23" t="str">
        <f aca="false">IF(B4135="","","")</f>
        <v/>
      </c>
      <c r="J4135" s="23" t="str">
        <f aca="false">IF(B4135="","","touch_2; "&amp;IFERROR(INDEX(Clay_Brands!$A$2:$FZ$601,84,Sync!$D$10)&amp;"","")&amp;"; "&amp;IFERROR(INDEX(Clay_Brands!$A$2:$FZ$601,84,Sync!$D$9)&amp;"",""))</f>
        <v/>
      </c>
      <c r="K4135" s="32" t="s">
        <v>1367</v>
      </c>
    </row>
    <row r="4136" customFormat="false" ht="15" hidden="false" customHeight="false" outlineLevel="0" collapsed="false">
      <c r="A4136" s="23" t="str">
        <f aca="false">IF(B4136="","",B4136+(16*1000+85)/10000000)</f>
        <v/>
      </c>
      <c r="B4136" s="35" t="str">
        <f aca="false">IF(AND(IFERROR(N(INDEX(Clay_Brands!$A$2:$FZ$601,85,Sync!$D$12)),0)&gt;0,IFERROR(INDEX(Clay_Brands!$A$2:$FZ$601,85,Sync!$D$5)&amp;"","")&lt;&gt;"",OR(LEFT(IFERROR(INDEX(Clay_Brands!$A$2:$FZ$601,85,Sync!$D$5)&amp;"",""),6)&lt;&gt;"SAMPLE",Config!$B$19="Y")),IFERROR(N(INDEX(Clay_Brands!$A$2:$FZ$601,85,Sync!$D$12)),0),"")</f>
        <v/>
      </c>
      <c r="C4136" s="23" t="str">
        <f aca="false">IF(B4136="","","brand")</f>
        <v/>
      </c>
      <c r="D4136" s="23" t="str">
        <f aca="false">IF(B4136="","",IFERROR(INDEX(Brand_Log!$DV$2:$DV$201,MATCH(IFERROR(INDEX(Clay_Brands!$A$2:$FZ$601,85,Sync!$D$5)&amp;"",""),Brand_Log!$A$2:$A$201,0))&amp;"",IFERROR(INDEX(Clay_Brands!$A$2:$FZ$601,85,Sync!$D$5)&amp;"","")&amp;""))</f>
        <v/>
      </c>
      <c r="E4136" s="23" t="str">
        <f aca="false">IF(B4136="","",IFERROR(INDEX(Clay_Brands!$A$2:$FZ$601,85,Sync!$D$6)&amp;"",""))</f>
        <v/>
      </c>
      <c r="F4136" s="23" t="str">
        <f aca="false">IF(B4136="","","outreach_sent")</f>
        <v/>
      </c>
      <c r="G4136" s="23" t="str">
        <f aca="false">IF(B4136="","","")</f>
        <v/>
      </c>
      <c r="H4136" s="23" t="str">
        <f aca="false">IF(B4136="","","")</f>
        <v/>
      </c>
      <c r="I4136" s="23" t="str">
        <f aca="false">IF(B4136="","","")</f>
        <v/>
      </c>
      <c r="J4136" s="23" t="str">
        <f aca="false">IF(B4136="","","touch_2; "&amp;IFERROR(INDEX(Clay_Brands!$A$2:$FZ$601,85,Sync!$D$10)&amp;"","")&amp;"; "&amp;IFERROR(INDEX(Clay_Brands!$A$2:$FZ$601,85,Sync!$D$9)&amp;"",""))</f>
        <v/>
      </c>
      <c r="K4136" s="32" t="s">
        <v>1367</v>
      </c>
    </row>
    <row r="4137" customFormat="false" ht="15" hidden="false" customHeight="false" outlineLevel="0" collapsed="false">
      <c r="A4137" s="23" t="str">
        <f aca="false">IF(B4137="","",B4137+(16*1000+86)/10000000)</f>
        <v/>
      </c>
      <c r="B4137" s="35" t="str">
        <f aca="false">IF(AND(IFERROR(N(INDEX(Clay_Brands!$A$2:$FZ$601,86,Sync!$D$12)),0)&gt;0,IFERROR(INDEX(Clay_Brands!$A$2:$FZ$601,86,Sync!$D$5)&amp;"","")&lt;&gt;"",OR(LEFT(IFERROR(INDEX(Clay_Brands!$A$2:$FZ$601,86,Sync!$D$5)&amp;"",""),6)&lt;&gt;"SAMPLE",Config!$B$19="Y")),IFERROR(N(INDEX(Clay_Brands!$A$2:$FZ$601,86,Sync!$D$12)),0),"")</f>
        <v/>
      </c>
      <c r="C4137" s="23" t="str">
        <f aca="false">IF(B4137="","","brand")</f>
        <v/>
      </c>
      <c r="D4137" s="23" t="str">
        <f aca="false">IF(B4137="","",IFERROR(INDEX(Brand_Log!$DV$2:$DV$201,MATCH(IFERROR(INDEX(Clay_Brands!$A$2:$FZ$601,86,Sync!$D$5)&amp;"",""),Brand_Log!$A$2:$A$201,0))&amp;"",IFERROR(INDEX(Clay_Brands!$A$2:$FZ$601,86,Sync!$D$5)&amp;"","")&amp;""))</f>
        <v/>
      </c>
      <c r="E4137" s="23" t="str">
        <f aca="false">IF(B4137="","",IFERROR(INDEX(Clay_Brands!$A$2:$FZ$601,86,Sync!$D$6)&amp;"",""))</f>
        <v/>
      </c>
      <c r="F4137" s="23" t="str">
        <f aca="false">IF(B4137="","","outreach_sent")</f>
        <v/>
      </c>
      <c r="G4137" s="23" t="str">
        <f aca="false">IF(B4137="","","")</f>
        <v/>
      </c>
      <c r="H4137" s="23" t="str">
        <f aca="false">IF(B4137="","","")</f>
        <v/>
      </c>
      <c r="I4137" s="23" t="str">
        <f aca="false">IF(B4137="","","")</f>
        <v/>
      </c>
      <c r="J4137" s="23" t="str">
        <f aca="false">IF(B4137="","","touch_2; "&amp;IFERROR(INDEX(Clay_Brands!$A$2:$FZ$601,86,Sync!$D$10)&amp;"","")&amp;"; "&amp;IFERROR(INDEX(Clay_Brands!$A$2:$FZ$601,86,Sync!$D$9)&amp;"",""))</f>
        <v/>
      </c>
      <c r="K4137" s="32" t="s">
        <v>1367</v>
      </c>
    </row>
    <row r="4138" customFormat="false" ht="15" hidden="false" customHeight="false" outlineLevel="0" collapsed="false">
      <c r="A4138" s="23" t="str">
        <f aca="false">IF(B4138="","",B4138+(16*1000+87)/10000000)</f>
        <v/>
      </c>
      <c r="B4138" s="35" t="str">
        <f aca="false">IF(AND(IFERROR(N(INDEX(Clay_Brands!$A$2:$FZ$601,87,Sync!$D$12)),0)&gt;0,IFERROR(INDEX(Clay_Brands!$A$2:$FZ$601,87,Sync!$D$5)&amp;"","")&lt;&gt;"",OR(LEFT(IFERROR(INDEX(Clay_Brands!$A$2:$FZ$601,87,Sync!$D$5)&amp;"",""),6)&lt;&gt;"SAMPLE",Config!$B$19="Y")),IFERROR(N(INDEX(Clay_Brands!$A$2:$FZ$601,87,Sync!$D$12)),0),"")</f>
        <v/>
      </c>
      <c r="C4138" s="23" t="str">
        <f aca="false">IF(B4138="","","brand")</f>
        <v/>
      </c>
      <c r="D4138" s="23" t="str">
        <f aca="false">IF(B4138="","",IFERROR(INDEX(Brand_Log!$DV$2:$DV$201,MATCH(IFERROR(INDEX(Clay_Brands!$A$2:$FZ$601,87,Sync!$D$5)&amp;"",""),Brand_Log!$A$2:$A$201,0))&amp;"",IFERROR(INDEX(Clay_Brands!$A$2:$FZ$601,87,Sync!$D$5)&amp;"","")&amp;""))</f>
        <v/>
      </c>
      <c r="E4138" s="23" t="str">
        <f aca="false">IF(B4138="","",IFERROR(INDEX(Clay_Brands!$A$2:$FZ$601,87,Sync!$D$6)&amp;"",""))</f>
        <v/>
      </c>
      <c r="F4138" s="23" t="str">
        <f aca="false">IF(B4138="","","outreach_sent")</f>
        <v/>
      </c>
      <c r="G4138" s="23" t="str">
        <f aca="false">IF(B4138="","","")</f>
        <v/>
      </c>
      <c r="H4138" s="23" t="str">
        <f aca="false">IF(B4138="","","")</f>
        <v/>
      </c>
      <c r="I4138" s="23" t="str">
        <f aca="false">IF(B4138="","","")</f>
        <v/>
      </c>
      <c r="J4138" s="23" t="str">
        <f aca="false">IF(B4138="","","touch_2; "&amp;IFERROR(INDEX(Clay_Brands!$A$2:$FZ$601,87,Sync!$D$10)&amp;"","")&amp;"; "&amp;IFERROR(INDEX(Clay_Brands!$A$2:$FZ$601,87,Sync!$D$9)&amp;"",""))</f>
        <v/>
      </c>
      <c r="K4138" s="32" t="s">
        <v>1367</v>
      </c>
    </row>
    <row r="4139" customFormat="false" ht="15" hidden="false" customHeight="false" outlineLevel="0" collapsed="false">
      <c r="A4139" s="23" t="str">
        <f aca="false">IF(B4139="","",B4139+(16*1000+88)/10000000)</f>
        <v/>
      </c>
      <c r="B4139" s="35" t="str">
        <f aca="false">IF(AND(IFERROR(N(INDEX(Clay_Brands!$A$2:$FZ$601,88,Sync!$D$12)),0)&gt;0,IFERROR(INDEX(Clay_Brands!$A$2:$FZ$601,88,Sync!$D$5)&amp;"","")&lt;&gt;"",OR(LEFT(IFERROR(INDEX(Clay_Brands!$A$2:$FZ$601,88,Sync!$D$5)&amp;"",""),6)&lt;&gt;"SAMPLE",Config!$B$19="Y")),IFERROR(N(INDEX(Clay_Brands!$A$2:$FZ$601,88,Sync!$D$12)),0),"")</f>
        <v/>
      </c>
      <c r="C4139" s="23" t="str">
        <f aca="false">IF(B4139="","","brand")</f>
        <v/>
      </c>
      <c r="D4139" s="23" t="str">
        <f aca="false">IF(B4139="","",IFERROR(INDEX(Brand_Log!$DV$2:$DV$201,MATCH(IFERROR(INDEX(Clay_Brands!$A$2:$FZ$601,88,Sync!$D$5)&amp;"",""),Brand_Log!$A$2:$A$201,0))&amp;"",IFERROR(INDEX(Clay_Brands!$A$2:$FZ$601,88,Sync!$D$5)&amp;"","")&amp;""))</f>
        <v/>
      </c>
      <c r="E4139" s="23" t="str">
        <f aca="false">IF(B4139="","",IFERROR(INDEX(Clay_Brands!$A$2:$FZ$601,88,Sync!$D$6)&amp;"",""))</f>
        <v/>
      </c>
      <c r="F4139" s="23" t="str">
        <f aca="false">IF(B4139="","","outreach_sent")</f>
        <v/>
      </c>
      <c r="G4139" s="23" t="str">
        <f aca="false">IF(B4139="","","")</f>
        <v/>
      </c>
      <c r="H4139" s="23" t="str">
        <f aca="false">IF(B4139="","","")</f>
        <v/>
      </c>
      <c r="I4139" s="23" t="str">
        <f aca="false">IF(B4139="","","")</f>
        <v/>
      </c>
      <c r="J4139" s="23" t="str">
        <f aca="false">IF(B4139="","","touch_2; "&amp;IFERROR(INDEX(Clay_Brands!$A$2:$FZ$601,88,Sync!$D$10)&amp;"","")&amp;"; "&amp;IFERROR(INDEX(Clay_Brands!$A$2:$FZ$601,88,Sync!$D$9)&amp;"",""))</f>
        <v/>
      </c>
      <c r="K4139" s="32" t="s">
        <v>1367</v>
      </c>
    </row>
    <row r="4140" customFormat="false" ht="15" hidden="false" customHeight="false" outlineLevel="0" collapsed="false">
      <c r="A4140" s="23" t="str">
        <f aca="false">IF(B4140="","",B4140+(16*1000+89)/10000000)</f>
        <v/>
      </c>
      <c r="B4140" s="35" t="str">
        <f aca="false">IF(AND(IFERROR(N(INDEX(Clay_Brands!$A$2:$FZ$601,89,Sync!$D$12)),0)&gt;0,IFERROR(INDEX(Clay_Brands!$A$2:$FZ$601,89,Sync!$D$5)&amp;"","")&lt;&gt;"",OR(LEFT(IFERROR(INDEX(Clay_Brands!$A$2:$FZ$601,89,Sync!$D$5)&amp;"",""),6)&lt;&gt;"SAMPLE",Config!$B$19="Y")),IFERROR(N(INDEX(Clay_Brands!$A$2:$FZ$601,89,Sync!$D$12)),0),"")</f>
        <v/>
      </c>
      <c r="C4140" s="23" t="str">
        <f aca="false">IF(B4140="","","brand")</f>
        <v/>
      </c>
      <c r="D4140" s="23" t="str">
        <f aca="false">IF(B4140="","",IFERROR(INDEX(Brand_Log!$DV$2:$DV$201,MATCH(IFERROR(INDEX(Clay_Brands!$A$2:$FZ$601,89,Sync!$D$5)&amp;"",""),Brand_Log!$A$2:$A$201,0))&amp;"",IFERROR(INDEX(Clay_Brands!$A$2:$FZ$601,89,Sync!$D$5)&amp;"","")&amp;""))</f>
        <v/>
      </c>
      <c r="E4140" s="23" t="str">
        <f aca="false">IF(B4140="","",IFERROR(INDEX(Clay_Brands!$A$2:$FZ$601,89,Sync!$D$6)&amp;"",""))</f>
        <v/>
      </c>
      <c r="F4140" s="23" t="str">
        <f aca="false">IF(B4140="","","outreach_sent")</f>
        <v/>
      </c>
      <c r="G4140" s="23" t="str">
        <f aca="false">IF(B4140="","","")</f>
        <v/>
      </c>
      <c r="H4140" s="23" t="str">
        <f aca="false">IF(B4140="","","")</f>
        <v/>
      </c>
      <c r="I4140" s="23" t="str">
        <f aca="false">IF(B4140="","","")</f>
        <v/>
      </c>
      <c r="J4140" s="23" t="str">
        <f aca="false">IF(B4140="","","touch_2; "&amp;IFERROR(INDEX(Clay_Brands!$A$2:$FZ$601,89,Sync!$D$10)&amp;"","")&amp;"; "&amp;IFERROR(INDEX(Clay_Brands!$A$2:$FZ$601,89,Sync!$D$9)&amp;"",""))</f>
        <v/>
      </c>
      <c r="K4140" s="32" t="s">
        <v>1367</v>
      </c>
    </row>
    <row r="4141" customFormat="false" ht="15" hidden="false" customHeight="false" outlineLevel="0" collapsed="false">
      <c r="A4141" s="23" t="str">
        <f aca="false">IF(B4141="","",B4141+(16*1000+90)/10000000)</f>
        <v/>
      </c>
      <c r="B4141" s="35" t="str">
        <f aca="false">IF(AND(IFERROR(N(INDEX(Clay_Brands!$A$2:$FZ$601,90,Sync!$D$12)),0)&gt;0,IFERROR(INDEX(Clay_Brands!$A$2:$FZ$601,90,Sync!$D$5)&amp;"","")&lt;&gt;"",OR(LEFT(IFERROR(INDEX(Clay_Brands!$A$2:$FZ$601,90,Sync!$D$5)&amp;"",""),6)&lt;&gt;"SAMPLE",Config!$B$19="Y")),IFERROR(N(INDEX(Clay_Brands!$A$2:$FZ$601,90,Sync!$D$12)),0),"")</f>
        <v/>
      </c>
      <c r="C4141" s="23" t="str">
        <f aca="false">IF(B4141="","","brand")</f>
        <v/>
      </c>
      <c r="D4141" s="23" t="str">
        <f aca="false">IF(B4141="","",IFERROR(INDEX(Brand_Log!$DV$2:$DV$201,MATCH(IFERROR(INDEX(Clay_Brands!$A$2:$FZ$601,90,Sync!$D$5)&amp;"",""),Brand_Log!$A$2:$A$201,0))&amp;"",IFERROR(INDEX(Clay_Brands!$A$2:$FZ$601,90,Sync!$D$5)&amp;"","")&amp;""))</f>
        <v/>
      </c>
      <c r="E4141" s="23" t="str">
        <f aca="false">IF(B4141="","",IFERROR(INDEX(Clay_Brands!$A$2:$FZ$601,90,Sync!$D$6)&amp;"",""))</f>
        <v/>
      </c>
      <c r="F4141" s="23" t="str">
        <f aca="false">IF(B4141="","","outreach_sent")</f>
        <v/>
      </c>
      <c r="G4141" s="23" t="str">
        <f aca="false">IF(B4141="","","")</f>
        <v/>
      </c>
      <c r="H4141" s="23" t="str">
        <f aca="false">IF(B4141="","","")</f>
        <v/>
      </c>
      <c r="I4141" s="23" t="str">
        <f aca="false">IF(B4141="","","")</f>
        <v/>
      </c>
      <c r="J4141" s="23" t="str">
        <f aca="false">IF(B4141="","","touch_2; "&amp;IFERROR(INDEX(Clay_Brands!$A$2:$FZ$601,90,Sync!$D$10)&amp;"","")&amp;"; "&amp;IFERROR(INDEX(Clay_Brands!$A$2:$FZ$601,90,Sync!$D$9)&amp;"",""))</f>
        <v/>
      </c>
      <c r="K4141" s="32" t="s">
        <v>1367</v>
      </c>
    </row>
    <row r="4142" customFormat="false" ht="15" hidden="false" customHeight="false" outlineLevel="0" collapsed="false">
      <c r="A4142" s="23" t="str">
        <f aca="false">IF(B4142="","",B4142+(16*1000+91)/10000000)</f>
        <v/>
      </c>
      <c r="B4142" s="35" t="str">
        <f aca="false">IF(AND(IFERROR(N(INDEX(Clay_Brands!$A$2:$FZ$601,91,Sync!$D$12)),0)&gt;0,IFERROR(INDEX(Clay_Brands!$A$2:$FZ$601,91,Sync!$D$5)&amp;"","")&lt;&gt;"",OR(LEFT(IFERROR(INDEX(Clay_Brands!$A$2:$FZ$601,91,Sync!$D$5)&amp;"",""),6)&lt;&gt;"SAMPLE",Config!$B$19="Y")),IFERROR(N(INDEX(Clay_Brands!$A$2:$FZ$601,91,Sync!$D$12)),0),"")</f>
        <v/>
      </c>
      <c r="C4142" s="23" t="str">
        <f aca="false">IF(B4142="","","brand")</f>
        <v/>
      </c>
      <c r="D4142" s="23" t="str">
        <f aca="false">IF(B4142="","",IFERROR(INDEX(Brand_Log!$DV$2:$DV$201,MATCH(IFERROR(INDEX(Clay_Brands!$A$2:$FZ$601,91,Sync!$D$5)&amp;"",""),Brand_Log!$A$2:$A$201,0))&amp;"",IFERROR(INDEX(Clay_Brands!$A$2:$FZ$601,91,Sync!$D$5)&amp;"","")&amp;""))</f>
        <v/>
      </c>
      <c r="E4142" s="23" t="str">
        <f aca="false">IF(B4142="","",IFERROR(INDEX(Clay_Brands!$A$2:$FZ$601,91,Sync!$D$6)&amp;"",""))</f>
        <v/>
      </c>
      <c r="F4142" s="23" t="str">
        <f aca="false">IF(B4142="","","outreach_sent")</f>
        <v/>
      </c>
      <c r="G4142" s="23" t="str">
        <f aca="false">IF(B4142="","","")</f>
        <v/>
      </c>
      <c r="H4142" s="23" t="str">
        <f aca="false">IF(B4142="","","")</f>
        <v/>
      </c>
      <c r="I4142" s="23" t="str">
        <f aca="false">IF(B4142="","","")</f>
        <v/>
      </c>
      <c r="J4142" s="23" t="str">
        <f aca="false">IF(B4142="","","touch_2; "&amp;IFERROR(INDEX(Clay_Brands!$A$2:$FZ$601,91,Sync!$D$10)&amp;"","")&amp;"; "&amp;IFERROR(INDEX(Clay_Brands!$A$2:$FZ$601,91,Sync!$D$9)&amp;"",""))</f>
        <v/>
      </c>
      <c r="K4142" s="32" t="s">
        <v>1367</v>
      </c>
    </row>
    <row r="4143" customFormat="false" ht="15" hidden="false" customHeight="false" outlineLevel="0" collapsed="false">
      <c r="A4143" s="23" t="str">
        <f aca="false">IF(B4143="","",B4143+(16*1000+92)/10000000)</f>
        <v/>
      </c>
      <c r="B4143" s="35" t="str">
        <f aca="false">IF(AND(IFERROR(N(INDEX(Clay_Brands!$A$2:$FZ$601,92,Sync!$D$12)),0)&gt;0,IFERROR(INDEX(Clay_Brands!$A$2:$FZ$601,92,Sync!$D$5)&amp;"","")&lt;&gt;"",OR(LEFT(IFERROR(INDEX(Clay_Brands!$A$2:$FZ$601,92,Sync!$D$5)&amp;"",""),6)&lt;&gt;"SAMPLE",Config!$B$19="Y")),IFERROR(N(INDEX(Clay_Brands!$A$2:$FZ$601,92,Sync!$D$12)),0),"")</f>
        <v/>
      </c>
      <c r="C4143" s="23" t="str">
        <f aca="false">IF(B4143="","","brand")</f>
        <v/>
      </c>
      <c r="D4143" s="23" t="str">
        <f aca="false">IF(B4143="","",IFERROR(INDEX(Brand_Log!$DV$2:$DV$201,MATCH(IFERROR(INDEX(Clay_Brands!$A$2:$FZ$601,92,Sync!$D$5)&amp;"",""),Brand_Log!$A$2:$A$201,0))&amp;"",IFERROR(INDEX(Clay_Brands!$A$2:$FZ$601,92,Sync!$D$5)&amp;"","")&amp;""))</f>
        <v/>
      </c>
      <c r="E4143" s="23" t="str">
        <f aca="false">IF(B4143="","",IFERROR(INDEX(Clay_Brands!$A$2:$FZ$601,92,Sync!$D$6)&amp;"",""))</f>
        <v/>
      </c>
      <c r="F4143" s="23" t="str">
        <f aca="false">IF(B4143="","","outreach_sent")</f>
        <v/>
      </c>
      <c r="G4143" s="23" t="str">
        <f aca="false">IF(B4143="","","")</f>
        <v/>
      </c>
      <c r="H4143" s="23" t="str">
        <f aca="false">IF(B4143="","","")</f>
        <v/>
      </c>
      <c r="I4143" s="23" t="str">
        <f aca="false">IF(B4143="","","")</f>
        <v/>
      </c>
      <c r="J4143" s="23" t="str">
        <f aca="false">IF(B4143="","","touch_2; "&amp;IFERROR(INDEX(Clay_Brands!$A$2:$FZ$601,92,Sync!$D$10)&amp;"","")&amp;"; "&amp;IFERROR(INDEX(Clay_Brands!$A$2:$FZ$601,92,Sync!$D$9)&amp;"",""))</f>
        <v/>
      </c>
      <c r="K4143" s="32" t="s">
        <v>1367</v>
      </c>
    </row>
    <row r="4144" customFormat="false" ht="15" hidden="false" customHeight="false" outlineLevel="0" collapsed="false">
      <c r="A4144" s="23" t="str">
        <f aca="false">IF(B4144="","",B4144+(16*1000+93)/10000000)</f>
        <v/>
      </c>
      <c r="B4144" s="35" t="str">
        <f aca="false">IF(AND(IFERROR(N(INDEX(Clay_Brands!$A$2:$FZ$601,93,Sync!$D$12)),0)&gt;0,IFERROR(INDEX(Clay_Brands!$A$2:$FZ$601,93,Sync!$D$5)&amp;"","")&lt;&gt;"",OR(LEFT(IFERROR(INDEX(Clay_Brands!$A$2:$FZ$601,93,Sync!$D$5)&amp;"",""),6)&lt;&gt;"SAMPLE",Config!$B$19="Y")),IFERROR(N(INDEX(Clay_Brands!$A$2:$FZ$601,93,Sync!$D$12)),0),"")</f>
        <v/>
      </c>
      <c r="C4144" s="23" t="str">
        <f aca="false">IF(B4144="","","brand")</f>
        <v/>
      </c>
      <c r="D4144" s="23" t="str">
        <f aca="false">IF(B4144="","",IFERROR(INDEX(Brand_Log!$DV$2:$DV$201,MATCH(IFERROR(INDEX(Clay_Brands!$A$2:$FZ$601,93,Sync!$D$5)&amp;"",""),Brand_Log!$A$2:$A$201,0))&amp;"",IFERROR(INDEX(Clay_Brands!$A$2:$FZ$601,93,Sync!$D$5)&amp;"","")&amp;""))</f>
        <v/>
      </c>
      <c r="E4144" s="23" t="str">
        <f aca="false">IF(B4144="","",IFERROR(INDEX(Clay_Brands!$A$2:$FZ$601,93,Sync!$D$6)&amp;"",""))</f>
        <v/>
      </c>
      <c r="F4144" s="23" t="str">
        <f aca="false">IF(B4144="","","outreach_sent")</f>
        <v/>
      </c>
      <c r="G4144" s="23" t="str">
        <f aca="false">IF(B4144="","","")</f>
        <v/>
      </c>
      <c r="H4144" s="23" t="str">
        <f aca="false">IF(B4144="","","")</f>
        <v/>
      </c>
      <c r="I4144" s="23" t="str">
        <f aca="false">IF(B4144="","","")</f>
        <v/>
      </c>
      <c r="J4144" s="23" t="str">
        <f aca="false">IF(B4144="","","touch_2; "&amp;IFERROR(INDEX(Clay_Brands!$A$2:$FZ$601,93,Sync!$D$10)&amp;"","")&amp;"; "&amp;IFERROR(INDEX(Clay_Brands!$A$2:$FZ$601,93,Sync!$D$9)&amp;"",""))</f>
        <v/>
      </c>
      <c r="K4144" s="32" t="s">
        <v>1367</v>
      </c>
    </row>
    <row r="4145" customFormat="false" ht="15" hidden="false" customHeight="false" outlineLevel="0" collapsed="false">
      <c r="A4145" s="23" t="str">
        <f aca="false">IF(B4145="","",B4145+(16*1000+94)/10000000)</f>
        <v/>
      </c>
      <c r="B4145" s="35" t="str">
        <f aca="false">IF(AND(IFERROR(N(INDEX(Clay_Brands!$A$2:$FZ$601,94,Sync!$D$12)),0)&gt;0,IFERROR(INDEX(Clay_Brands!$A$2:$FZ$601,94,Sync!$D$5)&amp;"","")&lt;&gt;"",OR(LEFT(IFERROR(INDEX(Clay_Brands!$A$2:$FZ$601,94,Sync!$D$5)&amp;"",""),6)&lt;&gt;"SAMPLE",Config!$B$19="Y")),IFERROR(N(INDEX(Clay_Brands!$A$2:$FZ$601,94,Sync!$D$12)),0),"")</f>
        <v/>
      </c>
      <c r="C4145" s="23" t="str">
        <f aca="false">IF(B4145="","","brand")</f>
        <v/>
      </c>
      <c r="D4145" s="23" t="str">
        <f aca="false">IF(B4145="","",IFERROR(INDEX(Brand_Log!$DV$2:$DV$201,MATCH(IFERROR(INDEX(Clay_Brands!$A$2:$FZ$601,94,Sync!$D$5)&amp;"",""),Brand_Log!$A$2:$A$201,0))&amp;"",IFERROR(INDEX(Clay_Brands!$A$2:$FZ$601,94,Sync!$D$5)&amp;"","")&amp;""))</f>
        <v/>
      </c>
      <c r="E4145" s="23" t="str">
        <f aca="false">IF(B4145="","",IFERROR(INDEX(Clay_Brands!$A$2:$FZ$601,94,Sync!$D$6)&amp;"",""))</f>
        <v/>
      </c>
      <c r="F4145" s="23" t="str">
        <f aca="false">IF(B4145="","","outreach_sent")</f>
        <v/>
      </c>
      <c r="G4145" s="23" t="str">
        <f aca="false">IF(B4145="","","")</f>
        <v/>
      </c>
      <c r="H4145" s="23" t="str">
        <f aca="false">IF(B4145="","","")</f>
        <v/>
      </c>
      <c r="I4145" s="23" t="str">
        <f aca="false">IF(B4145="","","")</f>
        <v/>
      </c>
      <c r="J4145" s="23" t="str">
        <f aca="false">IF(B4145="","","touch_2; "&amp;IFERROR(INDEX(Clay_Brands!$A$2:$FZ$601,94,Sync!$D$10)&amp;"","")&amp;"; "&amp;IFERROR(INDEX(Clay_Brands!$A$2:$FZ$601,94,Sync!$D$9)&amp;"",""))</f>
        <v/>
      </c>
      <c r="K4145" s="32" t="s">
        <v>1367</v>
      </c>
    </row>
    <row r="4146" customFormat="false" ht="15" hidden="false" customHeight="false" outlineLevel="0" collapsed="false">
      <c r="A4146" s="23" t="str">
        <f aca="false">IF(B4146="","",B4146+(16*1000+95)/10000000)</f>
        <v/>
      </c>
      <c r="B4146" s="35" t="str">
        <f aca="false">IF(AND(IFERROR(N(INDEX(Clay_Brands!$A$2:$FZ$601,95,Sync!$D$12)),0)&gt;0,IFERROR(INDEX(Clay_Brands!$A$2:$FZ$601,95,Sync!$D$5)&amp;"","")&lt;&gt;"",OR(LEFT(IFERROR(INDEX(Clay_Brands!$A$2:$FZ$601,95,Sync!$D$5)&amp;"",""),6)&lt;&gt;"SAMPLE",Config!$B$19="Y")),IFERROR(N(INDEX(Clay_Brands!$A$2:$FZ$601,95,Sync!$D$12)),0),"")</f>
        <v/>
      </c>
      <c r="C4146" s="23" t="str">
        <f aca="false">IF(B4146="","","brand")</f>
        <v/>
      </c>
      <c r="D4146" s="23" t="str">
        <f aca="false">IF(B4146="","",IFERROR(INDEX(Brand_Log!$DV$2:$DV$201,MATCH(IFERROR(INDEX(Clay_Brands!$A$2:$FZ$601,95,Sync!$D$5)&amp;"",""),Brand_Log!$A$2:$A$201,0))&amp;"",IFERROR(INDEX(Clay_Brands!$A$2:$FZ$601,95,Sync!$D$5)&amp;"","")&amp;""))</f>
        <v/>
      </c>
      <c r="E4146" s="23" t="str">
        <f aca="false">IF(B4146="","",IFERROR(INDEX(Clay_Brands!$A$2:$FZ$601,95,Sync!$D$6)&amp;"",""))</f>
        <v/>
      </c>
      <c r="F4146" s="23" t="str">
        <f aca="false">IF(B4146="","","outreach_sent")</f>
        <v/>
      </c>
      <c r="G4146" s="23" t="str">
        <f aca="false">IF(B4146="","","")</f>
        <v/>
      </c>
      <c r="H4146" s="23" t="str">
        <f aca="false">IF(B4146="","","")</f>
        <v/>
      </c>
      <c r="I4146" s="23" t="str">
        <f aca="false">IF(B4146="","","")</f>
        <v/>
      </c>
      <c r="J4146" s="23" t="str">
        <f aca="false">IF(B4146="","","touch_2; "&amp;IFERROR(INDEX(Clay_Brands!$A$2:$FZ$601,95,Sync!$D$10)&amp;"","")&amp;"; "&amp;IFERROR(INDEX(Clay_Brands!$A$2:$FZ$601,95,Sync!$D$9)&amp;"",""))</f>
        <v/>
      </c>
      <c r="K4146" s="32" t="s">
        <v>1367</v>
      </c>
    </row>
    <row r="4147" customFormat="false" ht="15" hidden="false" customHeight="false" outlineLevel="0" collapsed="false">
      <c r="A4147" s="23" t="str">
        <f aca="false">IF(B4147="","",B4147+(16*1000+96)/10000000)</f>
        <v/>
      </c>
      <c r="B4147" s="35" t="str">
        <f aca="false">IF(AND(IFERROR(N(INDEX(Clay_Brands!$A$2:$FZ$601,96,Sync!$D$12)),0)&gt;0,IFERROR(INDEX(Clay_Brands!$A$2:$FZ$601,96,Sync!$D$5)&amp;"","")&lt;&gt;"",OR(LEFT(IFERROR(INDEX(Clay_Brands!$A$2:$FZ$601,96,Sync!$D$5)&amp;"",""),6)&lt;&gt;"SAMPLE",Config!$B$19="Y")),IFERROR(N(INDEX(Clay_Brands!$A$2:$FZ$601,96,Sync!$D$12)),0),"")</f>
        <v/>
      </c>
      <c r="C4147" s="23" t="str">
        <f aca="false">IF(B4147="","","brand")</f>
        <v/>
      </c>
      <c r="D4147" s="23" t="str">
        <f aca="false">IF(B4147="","",IFERROR(INDEX(Brand_Log!$DV$2:$DV$201,MATCH(IFERROR(INDEX(Clay_Brands!$A$2:$FZ$601,96,Sync!$D$5)&amp;"",""),Brand_Log!$A$2:$A$201,0))&amp;"",IFERROR(INDEX(Clay_Brands!$A$2:$FZ$601,96,Sync!$D$5)&amp;"","")&amp;""))</f>
        <v/>
      </c>
      <c r="E4147" s="23" t="str">
        <f aca="false">IF(B4147="","",IFERROR(INDEX(Clay_Brands!$A$2:$FZ$601,96,Sync!$D$6)&amp;"",""))</f>
        <v/>
      </c>
      <c r="F4147" s="23" t="str">
        <f aca="false">IF(B4147="","","outreach_sent")</f>
        <v/>
      </c>
      <c r="G4147" s="23" t="str">
        <f aca="false">IF(B4147="","","")</f>
        <v/>
      </c>
      <c r="H4147" s="23" t="str">
        <f aca="false">IF(B4147="","","")</f>
        <v/>
      </c>
      <c r="I4147" s="23" t="str">
        <f aca="false">IF(B4147="","","")</f>
        <v/>
      </c>
      <c r="J4147" s="23" t="str">
        <f aca="false">IF(B4147="","","touch_2; "&amp;IFERROR(INDEX(Clay_Brands!$A$2:$FZ$601,96,Sync!$D$10)&amp;"","")&amp;"; "&amp;IFERROR(INDEX(Clay_Brands!$A$2:$FZ$601,96,Sync!$D$9)&amp;"",""))</f>
        <v/>
      </c>
      <c r="K4147" s="32" t="s">
        <v>1367</v>
      </c>
    </row>
    <row r="4148" customFormat="false" ht="15" hidden="false" customHeight="false" outlineLevel="0" collapsed="false">
      <c r="A4148" s="23" t="str">
        <f aca="false">IF(B4148="","",B4148+(16*1000+97)/10000000)</f>
        <v/>
      </c>
      <c r="B4148" s="35" t="str">
        <f aca="false">IF(AND(IFERROR(N(INDEX(Clay_Brands!$A$2:$FZ$601,97,Sync!$D$12)),0)&gt;0,IFERROR(INDEX(Clay_Brands!$A$2:$FZ$601,97,Sync!$D$5)&amp;"","")&lt;&gt;"",OR(LEFT(IFERROR(INDEX(Clay_Brands!$A$2:$FZ$601,97,Sync!$D$5)&amp;"",""),6)&lt;&gt;"SAMPLE",Config!$B$19="Y")),IFERROR(N(INDEX(Clay_Brands!$A$2:$FZ$601,97,Sync!$D$12)),0),"")</f>
        <v/>
      </c>
      <c r="C4148" s="23" t="str">
        <f aca="false">IF(B4148="","","brand")</f>
        <v/>
      </c>
      <c r="D4148" s="23" t="str">
        <f aca="false">IF(B4148="","",IFERROR(INDEX(Brand_Log!$DV$2:$DV$201,MATCH(IFERROR(INDEX(Clay_Brands!$A$2:$FZ$601,97,Sync!$D$5)&amp;"",""),Brand_Log!$A$2:$A$201,0))&amp;"",IFERROR(INDEX(Clay_Brands!$A$2:$FZ$601,97,Sync!$D$5)&amp;"","")&amp;""))</f>
        <v/>
      </c>
      <c r="E4148" s="23" t="str">
        <f aca="false">IF(B4148="","",IFERROR(INDEX(Clay_Brands!$A$2:$FZ$601,97,Sync!$D$6)&amp;"",""))</f>
        <v/>
      </c>
      <c r="F4148" s="23" t="str">
        <f aca="false">IF(B4148="","","outreach_sent")</f>
        <v/>
      </c>
      <c r="G4148" s="23" t="str">
        <f aca="false">IF(B4148="","","")</f>
        <v/>
      </c>
      <c r="H4148" s="23" t="str">
        <f aca="false">IF(B4148="","","")</f>
        <v/>
      </c>
      <c r="I4148" s="23" t="str">
        <f aca="false">IF(B4148="","","")</f>
        <v/>
      </c>
      <c r="J4148" s="23" t="str">
        <f aca="false">IF(B4148="","","touch_2; "&amp;IFERROR(INDEX(Clay_Brands!$A$2:$FZ$601,97,Sync!$D$10)&amp;"","")&amp;"; "&amp;IFERROR(INDEX(Clay_Brands!$A$2:$FZ$601,97,Sync!$D$9)&amp;"",""))</f>
        <v/>
      </c>
      <c r="K4148" s="32" t="s">
        <v>1367</v>
      </c>
    </row>
    <row r="4149" customFormat="false" ht="15" hidden="false" customHeight="false" outlineLevel="0" collapsed="false">
      <c r="A4149" s="23" t="str">
        <f aca="false">IF(B4149="","",B4149+(16*1000+98)/10000000)</f>
        <v/>
      </c>
      <c r="B4149" s="35" t="str">
        <f aca="false">IF(AND(IFERROR(N(INDEX(Clay_Brands!$A$2:$FZ$601,98,Sync!$D$12)),0)&gt;0,IFERROR(INDEX(Clay_Brands!$A$2:$FZ$601,98,Sync!$D$5)&amp;"","")&lt;&gt;"",OR(LEFT(IFERROR(INDEX(Clay_Brands!$A$2:$FZ$601,98,Sync!$D$5)&amp;"",""),6)&lt;&gt;"SAMPLE",Config!$B$19="Y")),IFERROR(N(INDEX(Clay_Brands!$A$2:$FZ$601,98,Sync!$D$12)),0),"")</f>
        <v/>
      </c>
      <c r="C4149" s="23" t="str">
        <f aca="false">IF(B4149="","","brand")</f>
        <v/>
      </c>
      <c r="D4149" s="23" t="str">
        <f aca="false">IF(B4149="","",IFERROR(INDEX(Brand_Log!$DV$2:$DV$201,MATCH(IFERROR(INDEX(Clay_Brands!$A$2:$FZ$601,98,Sync!$D$5)&amp;"",""),Brand_Log!$A$2:$A$201,0))&amp;"",IFERROR(INDEX(Clay_Brands!$A$2:$FZ$601,98,Sync!$D$5)&amp;"","")&amp;""))</f>
        <v/>
      </c>
      <c r="E4149" s="23" t="str">
        <f aca="false">IF(B4149="","",IFERROR(INDEX(Clay_Brands!$A$2:$FZ$601,98,Sync!$D$6)&amp;"",""))</f>
        <v/>
      </c>
      <c r="F4149" s="23" t="str">
        <f aca="false">IF(B4149="","","outreach_sent")</f>
        <v/>
      </c>
      <c r="G4149" s="23" t="str">
        <f aca="false">IF(B4149="","","")</f>
        <v/>
      </c>
      <c r="H4149" s="23" t="str">
        <f aca="false">IF(B4149="","","")</f>
        <v/>
      </c>
      <c r="I4149" s="23" t="str">
        <f aca="false">IF(B4149="","","")</f>
        <v/>
      </c>
      <c r="J4149" s="23" t="str">
        <f aca="false">IF(B4149="","","touch_2; "&amp;IFERROR(INDEX(Clay_Brands!$A$2:$FZ$601,98,Sync!$D$10)&amp;"","")&amp;"; "&amp;IFERROR(INDEX(Clay_Brands!$A$2:$FZ$601,98,Sync!$D$9)&amp;"",""))</f>
        <v/>
      </c>
      <c r="K4149" s="32" t="s">
        <v>1367</v>
      </c>
    </row>
    <row r="4150" customFormat="false" ht="15" hidden="false" customHeight="false" outlineLevel="0" collapsed="false">
      <c r="A4150" s="23" t="str">
        <f aca="false">IF(B4150="","",B4150+(16*1000+99)/10000000)</f>
        <v/>
      </c>
      <c r="B4150" s="35" t="str">
        <f aca="false">IF(AND(IFERROR(N(INDEX(Clay_Brands!$A$2:$FZ$601,99,Sync!$D$12)),0)&gt;0,IFERROR(INDEX(Clay_Brands!$A$2:$FZ$601,99,Sync!$D$5)&amp;"","")&lt;&gt;"",OR(LEFT(IFERROR(INDEX(Clay_Brands!$A$2:$FZ$601,99,Sync!$D$5)&amp;"",""),6)&lt;&gt;"SAMPLE",Config!$B$19="Y")),IFERROR(N(INDEX(Clay_Brands!$A$2:$FZ$601,99,Sync!$D$12)),0),"")</f>
        <v/>
      </c>
      <c r="C4150" s="23" t="str">
        <f aca="false">IF(B4150="","","brand")</f>
        <v/>
      </c>
      <c r="D4150" s="23" t="str">
        <f aca="false">IF(B4150="","",IFERROR(INDEX(Brand_Log!$DV$2:$DV$201,MATCH(IFERROR(INDEX(Clay_Brands!$A$2:$FZ$601,99,Sync!$D$5)&amp;"",""),Brand_Log!$A$2:$A$201,0))&amp;"",IFERROR(INDEX(Clay_Brands!$A$2:$FZ$601,99,Sync!$D$5)&amp;"","")&amp;""))</f>
        <v/>
      </c>
      <c r="E4150" s="23" t="str">
        <f aca="false">IF(B4150="","",IFERROR(INDEX(Clay_Brands!$A$2:$FZ$601,99,Sync!$D$6)&amp;"",""))</f>
        <v/>
      </c>
      <c r="F4150" s="23" t="str">
        <f aca="false">IF(B4150="","","outreach_sent")</f>
        <v/>
      </c>
      <c r="G4150" s="23" t="str">
        <f aca="false">IF(B4150="","","")</f>
        <v/>
      </c>
      <c r="H4150" s="23" t="str">
        <f aca="false">IF(B4150="","","")</f>
        <v/>
      </c>
      <c r="I4150" s="23" t="str">
        <f aca="false">IF(B4150="","","")</f>
        <v/>
      </c>
      <c r="J4150" s="23" t="str">
        <f aca="false">IF(B4150="","","touch_2; "&amp;IFERROR(INDEX(Clay_Brands!$A$2:$FZ$601,99,Sync!$D$10)&amp;"","")&amp;"; "&amp;IFERROR(INDEX(Clay_Brands!$A$2:$FZ$601,99,Sync!$D$9)&amp;"",""))</f>
        <v/>
      </c>
      <c r="K4150" s="32" t="s">
        <v>1367</v>
      </c>
    </row>
    <row r="4151" customFormat="false" ht="15" hidden="false" customHeight="false" outlineLevel="0" collapsed="false">
      <c r="A4151" s="23" t="str">
        <f aca="false">IF(B4151="","",B4151+(16*1000+100)/10000000)</f>
        <v/>
      </c>
      <c r="B4151" s="35" t="str">
        <f aca="false">IF(AND(IFERROR(N(INDEX(Clay_Brands!$A$2:$FZ$601,100,Sync!$D$12)),0)&gt;0,IFERROR(INDEX(Clay_Brands!$A$2:$FZ$601,100,Sync!$D$5)&amp;"","")&lt;&gt;"",OR(LEFT(IFERROR(INDEX(Clay_Brands!$A$2:$FZ$601,100,Sync!$D$5)&amp;"",""),6)&lt;&gt;"SAMPLE",Config!$B$19="Y")),IFERROR(N(INDEX(Clay_Brands!$A$2:$FZ$601,100,Sync!$D$12)),0),"")</f>
        <v/>
      </c>
      <c r="C4151" s="23" t="str">
        <f aca="false">IF(B4151="","","brand")</f>
        <v/>
      </c>
      <c r="D4151" s="23" t="str">
        <f aca="false">IF(B4151="","",IFERROR(INDEX(Brand_Log!$DV$2:$DV$201,MATCH(IFERROR(INDEX(Clay_Brands!$A$2:$FZ$601,100,Sync!$D$5)&amp;"",""),Brand_Log!$A$2:$A$201,0))&amp;"",IFERROR(INDEX(Clay_Brands!$A$2:$FZ$601,100,Sync!$D$5)&amp;"","")&amp;""))</f>
        <v/>
      </c>
      <c r="E4151" s="23" t="str">
        <f aca="false">IF(B4151="","",IFERROR(INDEX(Clay_Brands!$A$2:$FZ$601,100,Sync!$D$6)&amp;"",""))</f>
        <v/>
      </c>
      <c r="F4151" s="23" t="str">
        <f aca="false">IF(B4151="","","outreach_sent")</f>
        <v/>
      </c>
      <c r="G4151" s="23" t="str">
        <f aca="false">IF(B4151="","","")</f>
        <v/>
      </c>
      <c r="H4151" s="23" t="str">
        <f aca="false">IF(B4151="","","")</f>
        <v/>
      </c>
      <c r="I4151" s="23" t="str">
        <f aca="false">IF(B4151="","","")</f>
        <v/>
      </c>
      <c r="J4151" s="23" t="str">
        <f aca="false">IF(B4151="","","touch_2; "&amp;IFERROR(INDEX(Clay_Brands!$A$2:$FZ$601,100,Sync!$D$10)&amp;"","")&amp;"; "&amp;IFERROR(INDEX(Clay_Brands!$A$2:$FZ$601,100,Sync!$D$9)&amp;"",""))</f>
        <v/>
      </c>
      <c r="K4151" s="32" t="s">
        <v>1367</v>
      </c>
    </row>
    <row r="4152" customFormat="false" ht="15" hidden="false" customHeight="false" outlineLevel="0" collapsed="false">
      <c r="A4152" s="23" t="str">
        <f aca="false">IF(B4152="","",B4152+(16*1000+101)/10000000)</f>
        <v/>
      </c>
      <c r="B4152" s="35" t="str">
        <f aca="false">IF(AND(IFERROR(N(INDEX(Clay_Brands!$A$2:$FZ$601,101,Sync!$D$12)),0)&gt;0,IFERROR(INDEX(Clay_Brands!$A$2:$FZ$601,101,Sync!$D$5)&amp;"","")&lt;&gt;"",OR(LEFT(IFERROR(INDEX(Clay_Brands!$A$2:$FZ$601,101,Sync!$D$5)&amp;"",""),6)&lt;&gt;"SAMPLE",Config!$B$19="Y")),IFERROR(N(INDEX(Clay_Brands!$A$2:$FZ$601,101,Sync!$D$12)),0),"")</f>
        <v/>
      </c>
      <c r="C4152" s="23" t="str">
        <f aca="false">IF(B4152="","","brand")</f>
        <v/>
      </c>
      <c r="D4152" s="23" t="str">
        <f aca="false">IF(B4152="","",IFERROR(INDEX(Brand_Log!$DV$2:$DV$201,MATCH(IFERROR(INDEX(Clay_Brands!$A$2:$FZ$601,101,Sync!$D$5)&amp;"",""),Brand_Log!$A$2:$A$201,0))&amp;"",IFERROR(INDEX(Clay_Brands!$A$2:$FZ$601,101,Sync!$D$5)&amp;"","")&amp;""))</f>
        <v/>
      </c>
      <c r="E4152" s="23" t="str">
        <f aca="false">IF(B4152="","",IFERROR(INDEX(Clay_Brands!$A$2:$FZ$601,101,Sync!$D$6)&amp;"",""))</f>
        <v/>
      </c>
      <c r="F4152" s="23" t="str">
        <f aca="false">IF(B4152="","","outreach_sent")</f>
        <v/>
      </c>
      <c r="G4152" s="23" t="str">
        <f aca="false">IF(B4152="","","")</f>
        <v/>
      </c>
      <c r="H4152" s="23" t="str">
        <f aca="false">IF(B4152="","","")</f>
        <v/>
      </c>
      <c r="I4152" s="23" t="str">
        <f aca="false">IF(B4152="","","")</f>
        <v/>
      </c>
      <c r="J4152" s="23" t="str">
        <f aca="false">IF(B4152="","","touch_2; "&amp;IFERROR(INDEX(Clay_Brands!$A$2:$FZ$601,101,Sync!$D$10)&amp;"","")&amp;"; "&amp;IFERROR(INDEX(Clay_Brands!$A$2:$FZ$601,101,Sync!$D$9)&amp;"",""))</f>
        <v/>
      </c>
      <c r="K4152" s="32" t="s">
        <v>1367</v>
      </c>
    </row>
    <row r="4153" customFormat="false" ht="15" hidden="false" customHeight="false" outlineLevel="0" collapsed="false">
      <c r="A4153" s="23" t="str">
        <f aca="false">IF(B4153="","",B4153+(16*1000+102)/10000000)</f>
        <v/>
      </c>
      <c r="B4153" s="35" t="str">
        <f aca="false">IF(AND(IFERROR(N(INDEX(Clay_Brands!$A$2:$FZ$601,102,Sync!$D$12)),0)&gt;0,IFERROR(INDEX(Clay_Brands!$A$2:$FZ$601,102,Sync!$D$5)&amp;"","")&lt;&gt;"",OR(LEFT(IFERROR(INDEX(Clay_Brands!$A$2:$FZ$601,102,Sync!$D$5)&amp;"",""),6)&lt;&gt;"SAMPLE",Config!$B$19="Y")),IFERROR(N(INDEX(Clay_Brands!$A$2:$FZ$601,102,Sync!$D$12)),0),"")</f>
        <v/>
      </c>
      <c r="C4153" s="23" t="str">
        <f aca="false">IF(B4153="","","brand")</f>
        <v/>
      </c>
      <c r="D4153" s="23" t="str">
        <f aca="false">IF(B4153="","",IFERROR(INDEX(Brand_Log!$DV$2:$DV$201,MATCH(IFERROR(INDEX(Clay_Brands!$A$2:$FZ$601,102,Sync!$D$5)&amp;"",""),Brand_Log!$A$2:$A$201,0))&amp;"",IFERROR(INDEX(Clay_Brands!$A$2:$FZ$601,102,Sync!$D$5)&amp;"","")&amp;""))</f>
        <v/>
      </c>
      <c r="E4153" s="23" t="str">
        <f aca="false">IF(B4153="","",IFERROR(INDEX(Clay_Brands!$A$2:$FZ$601,102,Sync!$D$6)&amp;"",""))</f>
        <v/>
      </c>
      <c r="F4153" s="23" t="str">
        <f aca="false">IF(B4153="","","outreach_sent")</f>
        <v/>
      </c>
      <c r="G4153" s="23" t="str">
        <f aca="false">IF(B4153="","","")</f>
        <v/>
      </c>
      <c r="H4153" s="23" t="str">
        <f aca="false">IF(B4153="","","")</f>
        <v/>
      </c>
      <c r="I4153" s="23" t="str">
        <f aca="false">IF(B4153="","","")</f>
        <v/>
      </c>
      <c r="J4153" s="23" t="str">
        <f aca="false">IF(B4153="","","touch_2; "&amp;IFERROR(INDEX(Clay_Brands!$A$2:$FZ$601,102,Sync!$D$10)&amp;"","")&amp;"; "&amp;IFERROR(INDEX(Clay_Brands!$A$2:$FZ$601,102,Sync!$D$9)&amp;"",""))</f>
        <v/>
      </c>
      <c r="K4153" s="32" t="s">
        <v>1367</v>
      </c>
    </row>
    <row r="4154" customFormat="false" ht="15" hidden="false" customHeight="false" outlineLevel="0" collapsed="false">
      <c r="A4154" s="23" t="str">
        <f aca="false">IF(B4154="","",B4154+(16*1000+103)/10000000)</f>
        <v/>
      </c>
      <c r="B4154" s="35" t="str">
        <f aca="false">IF(AND(IFERROR(N(INDEX(Clay_Brands!$A$2:$FZ$601,103,Sync!$D$12)),0)&gt;0,IFERROR(INDEX(Clay_Brands!$A$2:$FZ$601,103,Sync!$D$5)&amp;"","")&lt;&gt;"",OR(LEFT(IFERROR(INDEX(Clay_Brands!$A$2:$FZ$601,103,Sync!$D$5)&amp;"",""),6)&lt;&gt;"SAMPLE",Config!$B$19="Y")),IFERROR(N(INDEX(Clay_Brands!$A$2:$FZ$601,103,Sync!$D$12)),0),"")</f>
        <v/>
      </c>
      <c r="C4154" s="23" t="str">
        <f aca="false">IF(B4154="","","brand")</f>
        <v/>
      </c>
      <c r="D4154" s="23" t="str">
        <f aca="false">IF(B4154="","",IFERROR(INDEX(Brand_Log!$DV$2:$DV$201,MATCH(IFERROR(INDEX(Clay_Brands!$A$2:$FZ$601,103,Sync!$D$5)&amp;"",""),Brand_Log!$A$2:$A$201,0))&amp;"",IFERROR(INDEX(Clay_Brands!$A$2:$FZ$601,103,Sync!$D$5)&amp;"","")&amp;""))</f>
        <v/>
      </c>
      <c r="E4154" s="23" t="str">
        <f aca="false">IF(B4154="","",IFERROR(INDEX(Clay_Brands!$A$2:$FZ$601,103,Sync!$D$6)&amp;"",""))</f>
        <v/>
      </c>
      <c r="F4154" s="23" t="str">
        <f aca="false">IF(B4154="","","outreach_sent")</f>
        <v/>
      </c>
      <c r="G4154" s="23" t="str">
        <f aca="false">IF(B4154="","","")</f>
        <v/>
      </c>
      <c r="H4154" s="23" t="str">
        <f aca="false">IF(B4154="","","")</f>
        <v/>
      </c>
      <c r="I4154" s="23" t="str">
        <f aca="false">IF(B4154="","","")</f>
        <v/>
      </c>
      <c r="J4154" s="23" t="str">
        <f aca="false">IF(B4154="","","touch_2; "&amp;IFERROR(INDEX(Clay_Brands!$A$2:$FZ$601,103,Sync!$D$10)&amp;"","")&amp;"; "&amp;IFERROR(INDEX(Clay_Brands!$A$2:$FZ$601,103,Sync!$D$9)&amp;"",""))</f>
        <v/>
      </c>
      <c r="K4154" s="32" t="s">
        <v>1367</v>
      </c>
    </row>
    <row r="4155" customFormat="false" ht="15" hidden="false" customHeight="false" outlineLevel="0" collapsed="false">
      <c r="A4155" s="23" t="str">
        <f aca="false">IF(B4155="","",B4155+(16*1000+104)/10000000)</f>
        <v/>
      </c>
      <c r="B4155" s="35" t="str">
        <f aca="false">IF(AND(IFERROR(N(INDEX(Clay_Brands!$A$2:$FZ$601,104,Sync!$D$12)),0)&gt;0,IFERROR(INDEX(Clay_Brands!$A$2:$FZ$601,104,Sync!$D$5)&amp;"","")&lt;&gt;"",OR(LEFT(IFERROR(INDEX(Clay_Brands!$A$2:$FZ$601,104,Sync!$D$5)&amp;"",""),6)&lt;&gt;"SAMPLE",Config!$B$19="Y")),IFERROR(N(INDEX(Clay_Brands!$A$2:$FZ$601,104,Sync!$D$12)),0),"")</f>
        <v/>
      </c>
      <c r="C4155" s="23" t="str">
        <f aca="false">IF(B4155="","","brand")</f>
        <v/>
      </c>
      <c r="D4155" s="23" t="str">
        <f aca="false">IF(B4155="","",IFERROR(INDEX(Brand_Log!$DV$2:$DV$201,MATCH(IFERROR(INDEX(Clay_Brands!$A$2:$FZ$601,104,Sync!$D$5)&amp;"",""),Brand_Log!$A$2:$A$201,0))&amp;"",IFERROR(INDEX(Clay_Brands!$A$2:$FZ$601,104,Sync!$D$5)&amp;"","")&amp;""))</f>
        <v/>
      </c>
      <c r="E4155" s="23" t="str">
        <f aca="false">IF(B4155="","",IFERROR(INDEX(Clay_Brands!$A$2:$FZ$601,104,Sync!$D$6)&amp;"",""))</f>
        <v/>
      </c>
      <c r="F4155" s="23" t="str">
        <f aca="false">IF(B4155="","","outreach_sent")</f>
        <v/>
      </c>
      <c r="G4155" s="23" t="str">
        <f aca="false">IF(B4155="","","")</f>
        <v/>
      </c>
      <c r="H4155" s="23" t="str">
        <f aca="false">IF(B4155="","","")</f>
        <v/>
      </c>
      <c r="I4155" s="23" t="str">
        <f aca="false">IF(B4155="","","")</f>
        <v/>
      </c>
      <c r="J4155" s="23" t="str">
        <f aca="false">IF(B4155="","","touch_2; "&amp;IFERROR(INDEX(Clay_Brands!$A$2:$FZ$601,104,Sync!$D$10)&amp;"","")&amp;"; "&amp;IFERROR(INDEX(Clay_Brands!$A$2:$FZ$601,104,Sync!$D$9)&amp;"",""))</f>
        <v/>
      </c>
      <c r="K4155" s="32" t="s">
        <v>1367</v>
      </c>
    </row>
    <row r="4156" customFormat="false" ht="15" hidden="false" customHeight="false" outlineLevel="0" collapsed="false">
      <c r="A4156" s="23" t="str">
        <f aca="false">IF(B4156="","",B4156+(16*1000+105)/10000000)</f>
        <v/>
      </c>
      <c r="B4156" s="35" t="str">
        <f aca="false">IF(AND(IFERROR(N(INDEX(Clay_Brands!$A$2:$FZ$601,105,Sync!$D$12)),0)&gt;0,IFERROR(INDEX(Clay_Brands!$A$2:$FZ$601,105,Sync!$D$5)&amp;"","")&lt;&gt;"",OR(LEFT(IFERROR(INDEX(Clay_Brands!$A$2:$FZ$601,105,Sync!$D$5)&amp;"",""),6)&lt;&gt;"SAMPLE",Config!$B$19="Y")),IFERROR(N(INDEX(Clay_Brands!$A$2:$FZ$601,105,Sync!$D$12)),0),"")</f>
        <v/>
      </c>
      <c r="C4156" s="23" t="str">
        <f aca="false">IF(B4156="","","brand")</f>
        <v/>
      </c>
      <c r="D4156" s="23" t="str">
        <f aca="false">IF(B4156="","",IFERROR(INDEX(Brand_Log!$DV$2:$DV$201,MATCH(IFERROR(INDEX(Clay_Brands!$A$2:$FZ$601,105,Sync!$D$5)&amp;"",""),Brand_Log!$A$2:$A$201,0))&amp;"",IFERROR(INDEX(Clay_Brands!$A$2:$FZ$601,105,Sync!$D$5)&amp;"","")&amp;""))</f>
        <v/>
      </c>
      <c r="E4156" s="23" t="str">
        <f aca="false">IF(B4156="","",IFERROR(INDEX(Clay_Brands!$A$2:$FZ$601,105,Sync!$D$6)&amp;"",""))</f>
        <v/>
      </c>
      <c r="F4156" s="23" t="str">
        <f aca="false">IF(B4156="","","outreach_sent")</f>
        <v/>
      </c>
      <c r="G4156" s="23" t="str">
        <f aca="false">IF(B4156="","","")</f>
        <v/>
      </c>
      <c r="H4156" s="23" t="str">
        <f aca="false">IF(B4156="","","")</f>
        <v/>
      </c>
      <c r="I4156" s="23" t="str">
        <f aca="false">IF(B4156="","","")</f>
        <v/>
      </c>
      <c r="J4156" s="23" t="str">
        <f aca="false">IF(B4156="","","touch_2; "&amp;IFERROR(INDEX(Clay_Brands!$A$2:$FZ$601,105,Sync!$D$10)&amp;"","")&amp;"; "&amp;IFERROR(INDEX(Clay_Brands!$A$2:$FZ$601,105,Sync!$D$9)&amp;"",""))</f>
        <v/>
      </c>
      <c r="K4156" s="32" t="s">
        <v>1367</v>
      </c>
    </row>
    <row r="4157" customFormat="false" ht="15" hidden="false" customHeight="false" outlineLevel="0" collapsed="false">
      <c r="A4157" s="23" t="str">
        <f aca="false">IF(B4157="","",B4157+(16*1000+106)/10000000)</f>
        <v/>
      </c>
      <c r="B4157" s="35" t="str">
        <f aca="false">IF(AND(IFERROR(N(INDEX(Clay_Brands!$A$2:$FZ$601,106,Sync!$D$12)),0)&gt;0,IFERROR(INDEX(Clay_Brands!$A$2:$FZ$601,106,Sync!$D$5)&amp;"","")&lt;&gt;"",OR(LEFT(IFERROR(INDEX(Clay_Brands!$A$2:$FZ$601,106,Sync!$D$5)&amp;"",""),6)&lt;&gt;"SAMPLE",Config!$B$19="Y")),IFERROR(N(INDEX(Clay_Brands!$A$2:$FZ$601,106,Sync!$D$12)),0),"")</f>
        <v/>
      </c>
      <c r="C4157" s="23" t="str">
        <f aca="false">IF(B4157="","","brand")</f>
        <v/>
      </c>
      <c r="D4157" s="23" t="str">
        <f aca="false">IF(B4157="","",IFERROR(INDEX(Brand_Log!$DV$2:$DV$201,MATCH(IFERROR(INDEX(Clay_Brands!$A$2:$FZ$601,106,Sync!$D$5)&amp;"",""),Brand_Log!$A$2:$A$201,0))&amp;"",IFERROR(INDEX(Clay_Brands!$A$2:$FZ$601,106,Sync!$D$5)&amp;"","")&amp;""))</f>
        <v/>
      </c>
      <c r="E4157" s="23" t="str">
        <f aca="false">IF(B4157="","",IFERROR(INDEX(Clay_Brands!$A$2:$FZ$601,106,Sync!$D$6)&amp;"",""))</f>
        <v/>
      </c>
      <c r="F4157" s="23" t="str">
        <f aca="false">IF(B4157="","","outreach_sent")</f>
        <v/>
      </c>
      <c r="G4157" s="23" t="str">
        <f aca="false">IF(B4157="","","")</f>
        <v/>
      </c>
      <c r="H4157" s="23" t="str">
        <f aca="false">IF(B4157="","","")</f>
        <v/>
      </c>
      <c r="I4157" s="23" t="str">
        <f aca="false">IF(B4157="","","")</f>
        <v/>
      </c>
      <c r="J4157" s="23" t="str">
        <f aca="false">IF(B4157="","","touch_2; "&amp;IFERROR(INDEX(Clay_Brands!$A$2:$FZ$601,106,Sync!$D$10)&amp;"","")&amp;"; "&amp;IFERROR(INDEX(Clay_Brands!$A$2:$FZ$601,106,Sync!$D$9)&amp;"",""))</f>
        <v/>
      </c>
      <c r="K4157" s="32" t="s">
        <v>1367</v>
      </c>
    </row>
    <row r="4158" customFormat="false" ht="15" hidden="false" customHeight="false" outlineLevel="0" collapsed="false">
      <c r="A4158" s="23" t="str">
        <f aca="false">IF(B4158="","",B4158+(16*1000+107)/10000000)</f>
        <v/>
      </c>
      <c r="B4158" s="35" t="str">
        <f aca="false">IF(AND(IFERROR(N(INDEX(Clay_Brands!$A$2:$FZ$601,107,Sync!$D$12)),0)&gt;0,IFERROR(INDEX(Clay_Brands!$A$2:$FZ$601,107,Sync!$D$5)&amp;"","")&lt;&gt;"",OR(LEFT(IFERROR(INDEX(Clay_Brands!$A$2:$FZ$601,107,Sync!$D$5)&amp;"",""),6)&lt;&gt;"SAMPLE",Config!$B$19="Y")),IFERROR(N(INDEX(Clay_Brands!$A$2:$FZ$601,107,Sync!$D$12)),0),"")</f>
        <v/>
      </c>
      <c r="C4158" s="23" t="str">
        <f aca="false">IF(B4158="","","brand")</f>
        <v/>
      </c>
      <c r="D4158" s="23" t="str">
        <f aca="false">IF(B4158="","",IFERROR(INDEX(Brand_Log!$DV$2:$DV$201,MATCH(IFERROR(INDEX(Clay_Brands!$A$2:$FZ$601,107,Sync!$D$5)&amp;"",""),Brand_Log!$A$2:$A$201,0))&amp;"",IFERROR(INDEX(Clay_Brands!$A$2:$FZ$601,107,Sync!$D$5)&amp;"","")&amp;""))</f>
        <v/>
      </c>
      <c r="E4158" s="23" t="str">
        <f aca="false">IF(B4158="","",IFERROR(INDEX(Clay_Brands!$A$2:$FZ$601,107,Sync!$D$6)&amp;"",""))</f>
        <v/>
      </c>
      <c r="F4158" s="23" t="str">
        <f aca="false">IF(B4158="","","outreach_sent")</f>
        <v/>
      </c>
      <c r="G4158" s="23" t="str">
        <f aca="false">IF(B4158="","","")</f>
        <v/>
      </c>
      <c r="H4158" s="23" t="str">
        <f aca="false">IF(B4158="","","")</f>
        <v/>
      </c>
      <c r="I4158" s="23" t="str">
        <f aca="false">IF(B4158="","","")</f>
        <v/>
      </c>
      <c r="J4158" s="23" t="str">
        <f aca="false">IF(B4158="","","touch_2; "&amp;IFERROR(INDEX(Clay_Brands!$A$2:$FZ$601,107,Sync!$D$10)&amp;"","")&amp;"; "&amp;IFERROR(INDEX(Clay_Brands!$A$2:$FZ$601,107,Sync!$D$9)&amp;"",""))</f>
        <v/>
      </c>
      <c r="K4158" s="32" t="s">
        <v>1367</v>
      </c>
    </row>
    <row r="4159" customFormat="false" ht="15" hidden="false" customHeight="false" outlineLevel="0" collapsed="false">
      <c r="A4159" s="23" t="str">
        <f aca="false">IF(B4159="","",B4159+(16*1000+108)/10000000)</f>
        <v/>
      </c>
      <c r="B4159" s="35" t="str">
        <f aca="false">IF(AND(IFERROR(N(INDEX(Clay_Brands!$A$2:$FZ$601,108,Sync!$D$12)),0)&gt;0,IFERROR(INDEX(Clay_Brands!$A$2:$FZ$601,108,Sync!$D$5)&amp;"","")&lt;&gt;"",OR(LEFT(IFERROR(INDEX(Clay_Brands!$A$2:$FZ$601,108,Sync!$D$5)&amp;"",""),6)&lt;&gt;"SAMPLE",Config!$B$19="Y")),IFERROR(N(INDEX(Clay_Brands!$A$2:$FZ$601,108,Sync!$D$12)),0),"")</f>
        <v/>
      </c>
      <c r="C4159" s="23" t="str">
        <f aca="false">IF(B4159="","","brand")</f>
        <v/>
      </c>
      <c r="D4159" s="23" t="str">
        <f aca="false">IF(B4159="","",IFERROR(INDEX(Brand_Log!$DV$2:$DV$201,MATCH(IFERROR(INDEX(Clay_Brands!$A$2:$FZ$601,108,Sync!$D$5)&amp;"",""),Brand_Log!$A$2:$A$201,0))&amp;"",IFERROR(INDEX(Clay_Brands!$A$2:$FZ$601,108,Sync!$D$5)&amp;"","")&amp;""))</f>
        <v/>
      </c>
      <c r="E4159" s="23" t="str">
        <f aca="false">IF(B4159="","",IFERROR(INDEX(Clay_Brands!$A$2:$FZ$601,108,Sync!$D$6)&amp;"",""))</f>
        <v/>
      </c>
      <c r="F4159" s="23" t="str">
        <f aca="false">IF(B4159="","","outreach_sent")</f>
        <v/>
      </c>
      <c r="G4159" s="23" t="str">
        <f aca="false">IF(B4159="","","")</f>
        <v/>
      </c>
      <c r="H4159" s="23" t="str">
        <f aca="false">IF(B4159="","","")</f>
        <v/>
      </c>
      <c r="I4159" s="23" t="str">
        <f aca="false">IF(B4159="","","")</f>
        <v/>
      </c>
      <c r="J4159" s="23" t="str">
        <f aca="false">IF(B4159="","","touch_2; "&amp;IFERROR(INDEX(Clay_Brands!$A$2:$FZ$601,108,Sync!$D$10)&amp;"","")&amp;"; "&amp;IFERROR(INDEX(Clay_Brands!$A$2:$FZ$601,108,Sync!$D$9)&amp;"",""))</f>
        <v/>
      </c>
      <c r="K4159" s="32" t="s">
        <v>1367</v>
      </c>
    </row>
    <row r="4160" customFormat="false" ht="15" hidden="false" customHeight="false" outlineLevel="0" collapsed="false">
      <c r="A4160" s="23" t="str">
        <f aca="false">IF(B4160="","",B4160+(16*1000+109)/10000000)</f>
        <v/>
      </c>
      <c r="B4160" s="35" t="str">
        <f aca="false">IF(AND(IFERROR(N(INDEX(Clay_Brands!$A$2:$FZ$601,109,Sync!$D$12)),0)&gt;0,IFERROR(INDEX(Clay_Brands!$A$2:$FZ$601,109,Sync!$D$5)&amp;"","")&lt;&gt;"",OR(LEFT(IFERROR(INDEX(Clay_Brands!$A$2:$FZ$601,109,Sync!$D$5)&amp;"",""),6)&lt;&gt;"SAMPLE",Config!$B$19="Y")),IFERROR(N(INDEX(Clay_Brands!$A$2:$FZ$601,109,Sync!$D$12)),0),"")</f>
        <v/>
      </c>
      <c r="C4160" s="23" t="str">
        <f aca="false">IF(B4160="","","brand")</f>
        <v/>
      </c>
      <c r="D4160" s="23" t="str">
        <f aca="false">IF(B4160="","",IFERROR(INDEX(Brand_Log!$DV$2:$DV$201,MATCH(IFERROR(INDEX(Clay_Brands!$A$2:$FZ$601,109,Sync!$D$5)&amp;"",""),Brand_Log!$A$2:$A$201,0))&amp;"",IFERROR(INDEX(Clay_Brands!$A$2:$FZ$601,109,Sync!$D$5)&amp;"","")&amp;""))</f>
        <v/>
      </c>
      <c r="E4160" s="23" t="str">
        <f aca="false">IF(B4160="","",IFERROR(INDEX(Clay_Brands!$A$2:$FZ$601,109,Sync!$D$6)&amp;"",""))</f>
        <v/>
      </c>
      <c r="F4160" s="23" t="str">
        <f aca="false">IF(B4160="","","outreach_sent")</f>
        <v/>
      </c>
      <c r="G4160" s="23" t="str">
        <f aca="false">IF(B4160="","","")</f>
        <v/>
      </c>
      <c r="H4160" s="23" t="str">
        <f aca="false">IF(B4160="","","")</f>
        <v/>
      </c>
      <c r="I4160" s="23" t="str">
        <f aca="false">IF(B4160="","","")</f>
        <v/>
      </c>
      <c r="J4160" s="23" t="str">
        <f aca="false">IF(B4160="","","touch_2; "&amp;IFERROR(INDEX(Clay_Brands!$A$2:$FZ$601,109,Sync!$D$10)&amp;"","")&amp;"; "&amp;IFERROR(INDEX(Clay_Brands!$A$2:$FZ$601,109,Sync!$D$9)&amp;"",""))</f>
        <v/>
      </c>
      <c r="K4160" s="32" t="s">
        <v>1367</v>
      </c>
    </row>
    <row r="4161" customFormat="false" ht="15" hidden="false" customHeight="false" outlineLevel="0" collapsed="false">
      <c r="A4161" s="23" t="str">
        <f aca="false">IF(B4161="","",B4161+(16*1000+110)/10000000)</f>
        <v/>
      </c>
      <c r="B4161" s="35" t="str">
        <f aca="false">IF(AND(IFERROR(N(INDEX(Clay_Brands!$A$2:$FZ$601,110,Sync!$D$12)),0)&gt;0,IFERROR(INDEX(Clay_Brands!$A$2:$FZ$601,110,Sync!$D$5)&amp;"","")&lt;&gt;"",OR(LEFT(IFERROR(INDEX(Clay_Brands!$A$2:$FZ$601,110,Sync!$D$5)&amp;"",""),6)&lt;&gt;"SAMPLE",Config!$B$19="Y")),IFERROR(N(INDEX(Clay_Brands!$A$2:$FZ$601,110,Sync!$D$12)),0),"")</f>
        <v/>
      </c>
      <c r="C4161" s="23" t="str">
        <f aca="false">IF(B4161="","","brand")</f>
        <v/>
      </c>
      <c r="D4161" s="23" t="str">
        <f aca="false">IF(B4161="","",IFERROR(INDEX(Brand_Log!$DV$2:$DV$201,MATCH(IFERROR(INDEX(Clay_Brands!$A$2:$FZ$601,110,Sync!$D$5)&amp;"",""),Brand_Log!$A$2:$A$201,0))&amp;"",IFERROR(INDEX(Clay_Brands!$A$2:$FZ$601,110,Sync!$D$5)&amp;"","")&amp;""))</f>
        <v/>
      </c>
      <c r="E4161" s="23" t="str">
        <f aca="false">IF(B4161="","",IFERROR(INDEX(Clay_Brands!$A$2:$FZ$601,110,Sync!$D$6)&amp;"",""))</f>
        <v/>
      </c>
      <c r="F4161" s="23" t="str">
        <f aca="false">IF(B4161="","","outreach_sent")</f>
        <v/>
      </c>
      <c r="G4161" s="23" t="str">
        <f aca="false">IF(B4161="","","")</f>
        <v/>
      </c>
      <c r="H4161" s="23" t="str">
        <f aca="false">IF(B4161="","","")</f>
        <v/>
      </c>
      <c r="I4161" s="23" t="str">
        <f aca="false">IF(B4161="","","")</f>
        <v/>
      </c>
      <c r="J4161" s="23" t="str">
        <f aca="false">IF(B4161="","","touch_2; "&amp;IFERROR(INDEX(Clay_Brands!$A$2:$FZ$601,110,Sync!$D$10)&amp;"","")&amp;"; "&amp;IFERROR(INDEX(Clay_Brands!$A$2:$FZ$601,110,Sync!$D$9)&amp;"",""))</f>
        <v/>
      </c>
      <c r="K4161" s="32" t="s">
        <v>1367</v>
      </c>
    </row>
    <row r="4162" customFormat="false" ht="15" hidden="false" customHeight="false" outlineLevel="0" collapsed="false">
      <c r="A4162" s="23" t="str">
        <f aca="false">IF(B4162="","",B4162+(16*1000+111)/10000000)</f>
        <v/>
      </c>
      <c r="B4162" s="35" t="str">
        <f aca="false">IF(AND(IFERROR(N(INDEX(Clay_Brands!$A$2:$FZ$601,111,Sync!$D$12)),0)&gt;0,IFERROR(INDEX(Clay_Brands!$A$2:$FZ$601,111,Sync!$D$5)&amp;"","")&lt;&gt;"",OR(LEFT(IFERROR(INDEX(Clay_Brands!$A$2:$FZ$601,111,Sync!$D$5)&amp;"",""),6)&lt;&gt;"SAMPLE",Config!$B$19="Y")),IFERROR(N(INDEX(Clay_Brands!$A$2:$FZ$601,111,Sync!$D$12)),0),"")</f>
        <v/>
      </c>
      <c r="C4162" s="23" t="str">
        <f aca="false">IF(B4162="","","brand")</f>
        <v/>
      </c>
      <c r="D4162" s="23" t="str">
        <f aca="false">IF(B4162="","",IFERROR(INDEX(Brand_Log!$DV$2:$DV$201,MATCH(IFERROR(INDEX(Clay_Brands!$A$2:$FZ$601,111,Sync!$D$5)&amp;"",""),Brand_Log!$A$2:$A$201,0))&amp;"",IFERROR(INDEX(Clay_Brands!$A$2:$FZ$601,111,Sync!$D$5)&amp;"","")&amp;""))</f>
        <v/>
      </c>
      <c r="E4162" s="23" t="str">
        <f aca="false">IF(B4162="","",IFERROR(INDEX(Clay_Brands!$A$2:$FZ$601,111,Sync!$D$6)&amp;"",""))</f>
        <v/>
      </c>
      <c r="F4162" s="23" t="str">
        <f aca="false">IF(B4162="","","outreach_sent")</f>
        <v/>
      </c>
      <c r="G4162" s="23" t="str">
        <f aca="false">IF(B4162="","","")</f>
        <v/>
      </c>
      <c r="H4162" s="23" t="str">
        <f aca="false">IF(B4162="","","")</f>
        <v/>
      </c>
      <c r="I4162" s="23" t="str">
        <f aca="false">IF(B4162="","","")</f>
        <v/>
      </c>
      <c r="J4162" s="23" t="str">
        <f aca="false">IF(B4162="","","touch_2; "&amp;IFERROR(INDEX(Clay_Brands!$A$2:$FZ$601,111,Sync!$D$10)&amp;"","")&amp;"; "&amp;IFERROR(INDEX(Clay_Brands!$A$2:$FZ$601,111,Sync!$D$9)&amp;"",""))</f>
        <v/>
      </c>
      <c r="K4162" s="32" t="s">
        <v>1367</v>
      </c>
    </row>
    <row r="4163" customFormat="false" ht="15" hidden="false" customHeight="false" outlineLevel="0" collapsed="false">
      <c r="A4163" s="23" t="str">
        <f aca="false">IF(B4163="","",B4163+(16*1000+112)/10000000)</f>
        <v/>
      </c>
      <c r="B4163" s="35" t="str">
        <f aca="false">IF(AND(IFERROR(N(INDEX(Clay_Brands!$A$2:$FZ$601,112,Sync!$D$12)),0)&gt;0,IFERROR(INDEX(Clay_Brands!$A$2:$FZ$601,112,Sync!$D$5)&amp;"","")&lt;&gt;"",OR(LEFT(IFERROR(INDEX(Clay_Brands!$A$2:$FZ$601,112,Sync!$D$5)&amp;"",""),6)&lt;&gt;"SAMPLE",Config!$B$19="Y")),IFERROR(N(INDEX(Clay_Brands!$A$2:$FZ$601,112,Sync!$D$12)),0),"")</f>
        <v/>
      </c>
      <c r="C4163" s="23" t="str">
        <f aca="false">IF(B4163="","","brand")</f>
        <v/>
      </c>
      <c r="D4163" s="23" t="str">
        <f aca="false">IF(B4163="","",IFERROR(INDEX(Brand_Log!$DV$2:$DV$201,MATCH(IFERROR(INDEX(Clay_Brands!$A$2:$FZ$601,112,Sync!$D$5)&amp;"",""),Brand_Log!$A$2:$A$201,0))&amp;"",IFERROR(INDEX(Clay_Brands!$A$2:$FZ$601,112,Sync!$D$5)&amp;"","")&amp;""))</f>
        <v/>
      </c>
      <c r="E4163" s="23" t="str">
        <f aca="false">IF(B4163="","",IFERROR(INDEX(Clay_Brands!$A$2:$FZ$601,112,Sync!$D$6)&amp;"",""))</f>
        <v/>
      </c>
      <c r="F4163" s="23" t="str">
        <f aca="false">IF(B4163="","","outreach_sent")</f>
        <v/>
      </c>
      <c r="G4163" s="23" t="str">
        <f aca="false">IF(B4163="","","")</f>
        <v/>
      </c>
      <c r="H4163" s="23" t="str">
        <f aca="false">IF(B4163="","","")</f>
        <v/>
      </c>
      <c r="I4163" s="23" t="str">
        <f aca="false">IF(B4163="","","")</f>
        <v/>
      </c>
      <c r="J4163" s="23" t="str">
        <f aca="false">IF(B4163="","","touch_2; "&amp;IFERROR(INDEX(Clay_Brands!$A$2:$FZ$601,112,Sync!$D$10)&amp;"","")&amp;"; "&amp;IFERROR(INDEX(Clay_Brands!$A$2:$FZ$601,112,Sync!$D$9)&amp;"",""))</f>
        <v/>
      </c>
      <c r="K4163" s="32" t="s">
        <v>1367</v>
      </c>
    </row>
    <row r="4164" customFormat="false" ht="15" hidden="false" customHeight="false" outlineLevel="0" collapsed="false">
      <c r="A4164" s="23" t="str">
        <f aca="false">IF(B4164="","",B4164+(16*1000+113)/10000000)</f>
        <v/>
      </c>
      <c r="B4164" s="35" t="str">
        <f aca="false">IF(AND(IFERROR(N(INDEX(Clay_Brands!$A$2:$FZ$601,113,Sync!$D$12)),0)&gt;0,IFERROR(INDEX(Clay_Brands!$A$2:$FZ$601,113,Sync!$D$5)&amp;"","")&lt;&gt;"",OR(LEFT(IFERROR(INDEX(Clay_Brands!$A$2:$FZ$601,113,Sync!$D$5)&amp;"",""),6)&lt;&gt;"SAMPLE",Config!$B$19="Y")),IFERROR(N(INDEX(Clay_Brands!$A$2:$FZ$601,113,Sync!$D$12)),0),"")</f>
        <v/>
      </c>
      <c r="C4164" s="23" t="str">
        <f aca="false">IF(B4164="","","brand")</f>
        <v/>
      </c>
      <c r="D4164" s="23" t="str">
        <f aca="false">IF(B4164="","",IFERROR(INDEX(Brand_Log!$DV$2:$DV$201,MATCH(IFERROR(INDEX(Clay_Brands!$A$2:$FZ$601,113,Sync!$D$5)&amp;"",""),Brand_Log!$A$2:$A$201,0))&amp;"",IFERROR(INDEX(Clay_Brands!$A$2:$FZ$601,113,Sync!$D$5)&amp;"","")&amp;""))</f>
        <v/>
      </c>
      <c r="E4164" s="23" t="str">
        <f aca="false">IF(B4164="","",IFERROR(INDEX(Clay_Brands!$A$2:$FZ$601,113,Sync!$D$6)&amp;"",""))</f>
        <v/>
      </c>
      <c r="F4164" s="23" t="str">
        <f aca="false">IF(B4164="","","outreach_sent")</f>
        <v/>
      </c>
      <c r="G4164" s="23" t="str">
        <f aca="false">IF(B4164="","","")</f>
        <v/>
      </c>
      <c r="H4164" s="23" t="str">
        <f aca="false">IF(B4164="","","")</f>
        <v/>
      </c>
      <c r="I4164" s="23" t="str">
        <f aca="false">IF(B4164="","","")</f>
        <v/>
      </c>
      <c r="J4164" s="23" t="str">
        <f aca="false">IF(B4164="","","touch_2; "&amp;IFERROR(INDEX(Clay_Brands!$A$2:$FZ$601,113,Sync!$D$10)&amp;"","")&amp;"; "&amp;IFERROR(INDEX(Clay_Brands!$A$2:$FZ$601,113,Sync!$D$9)&amp;"",""))</f>
        <v/>
      </c>
      <c r="K4164" s="32" t="s">
        <v>1367</v>
      </c>
    </row>
    <row r="4165" customFormat="false" ht="15" hidden="false" customHeight="false" outlineLevel="0" collapsed="false">
      <c r="A4165" s="23" t="str">
        <f aca="false">IF(B4165="","",B4165+(16*1000+114)/10000000)</f>
        <v/>
      </c>
      <c r="B4165" s="35" t="str">
        <f aca="false">IF(AND(IFERROR(N(INDEX(Clay_Brands!$A$2:$FZ$601,114,Sync!$D$12)),0)&gt;0,IFERROR(INDEX(Clay_Brands!$A$2:$FZ$601,114,Sync!$D$5)&amp;"","")&lt;&gt;"",OR(LEFT(IFERROR(INDEX(Clay_Brands!$A$2:$FZ$601,114,Sync!$D$5)&amp;"",""),6)&lt;&gt;"SAMPLE",Config!$B$19="Y")),IFERROR(N(INDEX(Clay_Brands!$A$2:$FZ$601,114,Sync!$D$12)),0),"")</f>
        <v/>
      </c>
      <c r="C4165" s="23" t="str">
        <f aca="false">IF(B4165="","","brand")</f>
        <v/>
      </c>
      <c r="D4165" s="23" t="str">
        <f aca="false">IF(B4165="","",IFERROR(INDEX(Brand_Log!$DV$2:$DV$201,MATCH(IFERROR(INDEX(Clay_Brands!$A$2:$FZ$601,114,Sync!$D$5)&amp;"",""),Brand_Log!$A$2:$A$201,0))&amp;"",IFERROR(INDEX(Clay_Brands!$A$2:$FZ$601,114,Sync!$D$5)&amp;"","")&amp;""))</f>
        <v/>
      </c>
      <c r="E4165" s="23" t="str">
        <f aca="false">IF(B4165="","",IFERROR(INDEX(Clay_Brands!$A$2:$FZ$601,114,Sync!$D$6)&amp;"",""))</f>
        <v/>
      </c>
      <c r="F4165" s="23" t="str">
        <f aca="false">IF(B4165="","","outreach_sent")</f>
        <v/>
      </c>
      <c r="G4165" s="23" t="str">
        <f aca="false">IF(B4165="","","")</f>
        <v/>
      </c>
      <c r="H4165" s="23" t="str">
        <f aca="false">IF(B4165="","","")</f>
        <v/>
      </c>
      <c r="I4165" s="23" t="str">
        <f aca="false">IF(B4165="","","")</f>
        <v/>
      </c>
      <c r="J4165" s="23" t="str">
        <f aca="false">IF(B4165="","","touch_2; "&amp;IFERROR(INDEX(Clay_Brands!$A$2:$FZ$601,114,Sync!$D$10)&amp;"","")&amp;"; "&amp;IFERROR(INDEX(Clay_Brands!$A$2:$FZ$601,114,Sync!$D$9)&amp;"",""))</f>
        <v/>
      </c>
      <c r="K4165" s="32" t="s">
        <v>1367</v>
      </c>
    </row>
    <row r="4166" customFormat="false" ht="15" hidden="false" customHeight="false" outlineLevel="0" collapsed="false">
      <c r="A4166" s="23" t="str">
        <f aca="false">IF(B4166="","",B4166+(16*1000+115)/10000000)</f>
        <v/>
      </c>
      <c r="B4166" s="35" t="str">
        <f aca="false">IF(AND(IFERROR(N(INDEX(Clay_Brands!$A$2:$FZ$601,115,Sync!$D$12)),0)&gt;0,IFERROR(INDEX(Clay_Brands!$A$2:$FZ$601,115,Sync!$D$5)&amp;"","")&lt;&gt;"",OR(LEFT(IFERROR(INDEX(Clay_Brands!$A$2:$FZ$601,115,Sync!$D$5)&amp;"",""),6)&lt;&gt;"SAMPLE",Config!$B$19="Y")),IFERROR(N(INDEX(Clay_Brands!$A$2:$FZ$601,115,Sync!$D$12)),0),"")</f>
        <v/>
      </c>
      <c r="C4166" s="23" t="str">
        <f aca="false">IF(B4166="","","brand")</f>
        <v/>
      </c>
      <c r="D4166" s="23" t="str">
        <f aca="false">IF(B4166="","",IFERROR(INDEX(Brand_Log!$DV$2:$DV$201,MATCH(IFERROR(INDEX(Clay_Brands!$A$2:$FZ$601,115,Sync!$D$5)&amp;"",""),Brand_Log!$A$2:$A$201,0))&amp;"",IFERROR(INDEX(Clay_Brands!$A$2:$FZ$601,115,Sync!$D$5)&amp;"","")&amp;""))</f>
        <v/>
      </c>
      <c r="E4166" s="23" t="str">
        <f aca="false">IF(B4166="","",IFERROR(INDEX(Clay_Brands!$A$2:$FZ$601,115,Sync!$D$6)&amp;"",""))</f>
        <v/>
      </c>
      <c r="F4166" s="23" t="str">
        <f aca="false">IF(B4166="","","outreach_sent")</f>
        <v/>
      </c>
      <c r="G4166" s="23" t="str">
        <f aca="false">IF(B4166="","","")</f>
        <v/>
      </c>
      <c r="H4166" s="23" t="str">
        <f aca="false">IF(B4166="","","")</f>
        <v/>
      </c>
      <c r="I4166" s="23" t="str">
        <f aca="false">IF(B4166="","","")</f>
        <v/>
      </c>
      <c r="J4166" s="23" t="str">
        <f aca="false">IF(B4166="","","touch_2; "&amp;IFERROR(INDEX(Clay_Brands!$A$2:$FZ$601,115,Sync!$D$10)&amp;"","")&amp;"; "&amp;IFERROR(INDEX(Clay_Brands!$A$2:$FZ$601,115,Sync!$D$9)&amp;"",""))</f>
        <v/>
      </c>
      <c r="K4166" s="32" t="s">
        <v>1367</v>
      </c>
    </row>
    <row r="4167" customFormat="false" ht="15" hidden="false" customHeight="false" outlineLevel="0" collapsed="false">
      <c r="A4167" s="23" t="str">
        <f aca="false">IF(B4167="","",B4167+(16*1000+116)/10000000)</f>
        <v/>
      </c>
      <c r="B4167" s="35" t="str">
        <f aca="false">IF(AND(IFERROR(N(INDEX(Clay_Brands!$A$2:$FZ$601,116,Sync!$D$12)),0)&gt;0,IFERROR(INDEX(Clay_Brands!$A$2:$FZ$601,116,Sync!$D$5)&amp;"","")&lt;&gt;"",OR(LEFT(IFERROR(INDEX(Clay_Brands!$A$2:$FZ$601,116,Sync!$D$5)&amp;"",""),6)&lt;&gt;"SAMPLE",Config!$B$19="Y")),IFERROR(N(INDEX(Clay_Brands!$A$2:$FZ$601,116,Sync!$D$12)),0),"")</f>
        <v/>
      </c>
      <c r="C4167" s="23" t="str">
        <f aca="false">IF(B4167="","","brand")</f>
        <v/>
      </c>
      <c r="D4167" s="23" t="str">
        <f aca="false">IF(B4167="","",IFERROR(INDEX(Brand_Log!$DV$2:$DV$201,MATCH(IFERROR(INDEX(Clay_Brands!$A$2:$FZ$601,116,Sync!$D$5)&amp;"",""),Brand_Log!$A$2:$A$201,0))&amp;"",IFERROR(INDEX(Clay_Brands!$A$2:$FZ$601,116,Sync!$D$5)&amp;"","")&amp;""))</f>
        <v/>
      </c>
      <c r="E4167" s="23" t="str">
        <f aca="false">IF(B4167="","",IFERROR(INDEX(Clay_Brands!$A$2:$FZ$601,116,Sync!$D$6)&amp;"",""))</f>
        <v/>
      </c>
      <c r="F4167" s="23" t="str">
        <f aca="false">IF(B4167="","","outreach_sent")</f>
        <v/>
      </c>
      <c r="G4167" s="23" t="str">
        <f aca="false">IF(B4167="","","")</f>
        <v/>
      </c>
      <c r="H4167" s="23" t="str">
        <f aca="false">IF(B4167="","","")</f>
        <v/>
      </c>
      <c r="I4167" s="23" t="str">
        <f aca="false">IF(B4167="","","")</f>
        <v/>
      </c>
      <c r="J4167" s="23" t="str">
        <f aca="false">IF(B4167="","","touch_2; "&amp;IFERROR(INDEX(Clay_Brands!$A$2:$FZ$601,116,Sync!$D$10)&amp;"","")&amp;"; "&amp;IFERROR(INDEX(Clay_Brands!$A$2:$FZ$601,116,Sync!$D$9)&amp;"",""))</f>
        <v/>
      </c>
      <c r="K4167" s="32" t="s">
        <v>1367</v>
      </c>
    </row>
    <row r="4168" customFormat="false" ht="15" hidden="false" customHeight="false" outlineLevel="0" collapsed="false">
      <c r="A4168" s="23" t="str">
        <f aca="false">IF(B4168="","",B4168+(16*1000+117)/10000000)</f>
        <v/>
      </c>
      <c r="B4168" s="35" t="str">
        <f aca="false">IF(AND(IFERROR(N(INDEX(Clay_Brands!$A$2:$FZ$601,117,Sync!$D$12)),0)&gt;0,IFERROR(INDEX(Clay_Brands!$A$2:$FZ$601,117,Sync!$D$5)&amp;"","")&lt;&gt;"",OR(LEFT(IFERROR(INDEX(Clay_Brands!$A$2:$FZ$601,117,Sync!$D$5)&amp;"",""),6)&lt;&gt;"SAMPLE",Config!$B$19="Y")),IFERROR(N(INDEX(Clay_Brands!$A$2:$FZ$601,117,Sync!$D$12)),0),"")</f>
        <v/>
      </c>
      <c r="C4168" s="23" t="str">
        <f aca="false">IF(B4168="","","brand")</f>
        <v/>
      </c>
      <c r="D4168" s="23" t="str">
        <f aca="false">IF(B4168="","",IFERROR(INDEX(Brand_Log!$DV$2:$DV$201,MATCH(IFERROR(INDEX(Clay_Brands!$A$2:$FZ$601,117,Sync!$D$5)&amp;"",""),Brand_Log!$A$2:$A$201,0))&amp;"",IFERROR(INDEX(Clay_Brands!$A$2:$FZ$601,117,Sync!$D$5)&amp;"","")&amp;""))</f>
        <v/>
      </c>
      <c r="E4168" s="23" t="str">
        <f aca="false">IF(B4168="","",IFERROR(INDEX(Clay_Brands!$A$2:$FZ$601,117,Sync!$D$6)&amp;"",""))</f>
        <v/>
      </c>
      <c r="F4168" s="23" t="str">
        <f aca="false">IF(B4168="","","outreach_sent")</f>
        <v/>
      </c>
      <c r="G4168" s="23" t="str">
        <f aca="false">IF(B4168="","","")</f>
        <v/>
      </c>
      <c r="H4168" s="23" t="str">
        <f aca="false">IF(B4168="","","")</f>
        <v/>
      </c>
      <c r="I4168" s="23" t="str">
        <f aca="false">IF(B4168="","","")</f>
        <v/>
      </c>
      <c r="J4168" s="23" t="str">
        <f aca="false">IF(B4168="","","touch_2; "&amp;IFERROR(INDEX(Clay_Brands!$A$2:$FZ$601,117,Sync!$D$10)&amp;"","")&amp;"; "&amp;IFERROR(INDEX(Clay_Brands!$A$2:$FZ$601,117,Sync!$D$9)&amp;"",""))</f>
        <v/>
      </c>
      <c r="K4168" s="32" t="s">
        <v>1367</v>
      </c>
    </row>
    <row r="4169" customFormat="false" ht="15" hidden="false" customHeight="false" outlineLevel="0" collapsed="false">
      <c r="A4169" s="23" t="str">
        <f aca="false">IF(B4169="","",B4169+(16*1000+118)/10000000)</f>
        <v/>
      </c>
      <c r="B4169" s="35" t="str">
        <f aca="false">IF(AND(IFERROR(N(INDEX(Clay_Brands!$A$2:$FZ$601,118,Sync!$D$12)),0)&gt;0,IFERROR(INDEX(Clay_Brands!$A$2:$FZ$601,118,Sync!$D$5)&amp;"","")&lt;&gt;"",OR(LEFT(IFERROR(INDEX(Clay_Brands!$A$2:$FZ$601,118,Sync!$D$5)&amp;"",""),6)&lt;&gt;"SAMPLE",Config!$B$19="Y")),IFERROR(N(INDEX(Clay_Brands!$A$2:$FZ$601,118,Sync!$D$12)),0),"")</f>
        <v/>
      </c>
      <c r="C4169" s="23" t="str">
        <f aca="false">IF(B4169="","","brand")</f>
        <v/>
      </c>
      <c r="D4169" s="23" t="str">
        <f aca="false">IF(B4169="","",IFERROR(INDEX(Brand_Log!$DV$2:$DV$201,MATCH(IFERROR(INDEX(Clay_Brands!$A$2:$FZ$601,118,Sync!$D$5)&amp;"",""),Brand_Log!$A$2:$A$201,0))&amp;"",IFERROR(INDEX(Clay_Brands!$A$2:$FZ$601,118,Sync!$D$5)&amp;"","")&amp;""))</f>
        <v/>
      </c>
      <c r="E4169" s="23" t="str">
        <f aca="false">IF(B4169="","",IFERROR(INDEX(Clay_Brands!$A$2:$FZ$601,118,Sync!$D$6)&amp;"",""))</f>
        <v/>
      </c>
      <c r="F4169" s="23" t="str">
        <f aca="false">IF(B4169="","","outreach_sent")</f>
        <v/>
      </c>
      <c r="G4169" s="23" t="str">
        <f aca="false">IF(B4169="","","")</f>
        <v/>
      </c>
      <c r="H4169" s="23" t="str">
        <f aca="false">IF(B4169="","","")</f>
        <v/>
      </c>
      <c r="I4169" s="23" t="str">
        <f aca="false">IF(B4169="","","")</f>
        <v/>
      </c>
      <c r="J4169" s="23" t="str">
        <f aca="false">IF(B4169="","","touch_2; "&amp;IFERROR(INDEX(Clay_Brands!$A$2:$FZ$601,118,Sync!$D$10)&amp;"","")&amp;"; "&amp;IFERROR(INDEX(Clay_Brands!$A$2:$FZ$601,118,Sync!$D$9)&amp;"",""))</f>
        <v/>
      </c>
      <c r="K4169" s="32" t="s">
        <v>1367</v>
      </c>
    </row>
    <row r="4170" customFormat="false" ht="15" hidden="false" customHeight="false" outlineLevel="0" collapsed="false">
      <c r="A4170" s="23" t="str">
        <f aca="false">IF(B4170="","",B4170+(16*1000+119)/10000000)</f>
        <v/>
      </c>
      <c r="B4170" s="35" t="str">
        <f aca="false">IF(AND(IFERROR(N(INDEX(Clay_Brands!$A$2:$FZ$601,119,Sync!$D$12)),0)&gt;0,IFERROR(INDEX(Clay_Brands!$A$2:$FZ$601,119,Sync!$D$5)&amp;"","")&lt;&gt;"",OR(LEFT(IFERROR(INDEX(Clay_Brands!$A$2:$FZ$601,119,Sync!$D$5)&amp;"",""),6)&lt;&gt;"SAMPLE",Config!$B$19="Y")),IFERROR(N(INDEX(Clay_Brands!$A$2:$FZ$601,119,Sync!$D$12)),0),"")</f>
        <v/>
      </c>
      <c r="C4170" s="23" t="str">
        <f aca="false">IF(B4170="","","brand")</f>
        <v/>
      </c>
      <c r="D4170" s="23" t="str">
        <f aca="false">IF(B4170="","",IFERROR(INDEX(Brand_Log!$DV$2:$DV$201,MATCH(IFERROR(INDEX(Clay_Brands!$A$2:$FZ$601,119,Sync!$D$5)&amp;"",""),Brand_Log!$A$2:$A$201,0))&amp;"",IFERROR(INDEX(Clay_Brands!$A$2:$FZ$601,119,Sync!$D$5)&amp;"","")&amp;""))</f>
        <v/>
      </c>
      <c r="E4170" s="23" t="str">
        <f aca="false">IF(B4170="","",IFERROR(INDEX(Clay_Brands!$A$2:$FZ$601,119,Sync!$D$6)&amp;"",""))</f>
        <v/>
      </c>
      <c r="F4170" s="23" t="str">
        <f aca="false">IF(B4170="","","outreach_sent")</f>
        <v/>
      </c>
      <c r="G4170" s="23" t="str">
        <f aca="false">IF(B4170="","","")</f>
        <v/>
      </c>
      <c r="H4170" s="23" t="str">
        <f aca="false">IF(B4170="","","")</f>
        <v/>
      </c>
      <c r="I4170" s="23" t="str">
        <f aca="false">IF(B4170="","","")</f>
        <v/>
      </c>
      <c r="J4170" s="23" t="str">
        <f aca="false">IF(B4170="","","touch_2; "&amp;IFERROR(INDEX(Clay_Brands!$A$2:$FZ$601,119,Sync!$D$10)&amp;"","")&amp;"; "&amp;IFERROR(INDEX(Clay_Brands!$A$2:$FZ$601,119,Sync!$D$9)&amp;"",""))</f>
        <v/>
      </c>
      <c r="K4170" s="32" t="s">
        <v>1367</v>
      </c>
    </row>
    <row r="4171" customFormat="false" ht="15" hidden="false" customHeight="false" outlineLevel="0" collapsed="false">
      <c r="A4171" s="23" t="str">
        <f aca="false">IF(B4171="","",B4171+(16*1000+120)/10000000)</f>
        <v/>
      </c>
      <c r="B4171" s="35" t="str">
        <f aca="false">IF(AND(IFERROR(N(INDEX(Clay_Brands!$A$2:$FZ$601,120,Sync!$D$12)),0)&gt;0,IFERROR(INDEX(Clay_Brands!$A$2:$FZ$601,120,Sync!$D$5)&amp;"","")&lt;&gt;"",OR(LEFT(IFERROR(INDEX(Clay_Brands!$A$2:$FZ$601,120,Sync!$D$5)&amp;"",""),6)&lt;&gt;"SAMPLE",Config!$B$19="Y")),IFERROR(N(INDEX(Clay_Brands!$A$2:$FZ$601,120,Sync!$D$12)),0),"")</f>
        <v/>
      </c>
      <c r="C4171" s="23" t="str">
        <f aca="false">IF(B4171="","","brand")</f>
        <v/>
      </c>
      <c r="D4171" s="23" t="str">
        <f aca="false">IF(B4171="","",IFERROR(INDEX(Brand_Log!$DV$2:$DV$201,MATCH(IFERROR(INDEX(Clay_Brands!$A$2:$FZ$601,120,Sync!$D$5)&amp;"",""),Brand_Log!$A$2:$A$201,0))&amp;"",IFERROR(INDEX(Clay_Brands!$A$2:$FZ$601,120,Sync!$D$5)&amp;"","")&amp;""))</f>
        <v/>
      </c>
      <c r="E4171" s="23" t="str">
        <f aca="false">IF(B4171="","",IFERROR(INDEX(Clay_Brands!$A$2:$FZ$601,120,Sync!$D$6)&amp;"",""))</f>
        <v/>
      </c>
      <c r="F4171" s="23" t="str">
        <f aca="false">IF(B4171="","","outreach_sent")</f>
        <v/>
      </c>
      <c r="G4171" s="23" t="str">
        <f aca="false">IF(B4171="","","")</f>
        <v/>
      </c>
      <c r="H4171" s="23" t="str">
        <f aca="false">IF(B4171="","","")</f>
        <v/>
      </c>
      <c r="I4171" s="23" t="str">
        <f aca="false">IF(B4171="","","")</f>
        <v/>
      </c>
      <c r="J4171" s="23" t="str">
        <f aca="false">IF(B4171="","","touch_2; "&amp;IFERROR(INDEX(Clay_Brands!$A$2:$FZ$601,120,Sync!$D$10)&amp;"","")&amp;"; "&amp;IFERROR(INDEX(Clay_Brands!$A$2:$FZ$601,120,Sync!$D$9)&amp;"",""))</f>
        <v/>
      </c>
      <c r="K4171" s="32" t="s">
        <v>1367</v>
      </c>
    </row>
    <row r="4172" customFormat="false" ht="15" hidden="false" customHeight="false" outlineLevel="0" collapsed="false">
      <c r="A4172" s="23" t="str">
        <f aca="false">IF(B4172="","",B4172+(16*1000+121)/10000000)</f>
        <v/>
      </c>
      <c r="B4172" s="35" t="str">
        <f aca="false">IF(AND(IFERROR(N(INDEX(Clay_Brands!$A$2:$FZ$601,121,Sync!$D$12)),0)&gt;0,IFERROR(INDEX(Clay_Brands!$A$2:$FZ$601,121,Sync!$D$5)&amp;"","")&lt;&gt;"",OR(LEFT(IFERROR(INDEX(Clay_Brands!$A$2:$FZ$601,121,Sync!$D$5)&amp;"",""),6)&lt;&gt;"SAMPLE",Config!$B$19="Y")),IFERROR(N(INDEX(Clay_Brands!$A$2:$FZ$601,121,Sync!$D$12)),0),"")</f>
        <v/>
      </c>
      <c r="C4172" s="23" t="str">
        <f aca="false">IF(B4172="","","brand")</f>
        <v/>
      </c>
      <c r="D4172" s="23" t="str">
        <f aca="false">IF(B4172="","",IFERROR(INDEX(Brand_Log!$DV$2:$DV$201,MATCH(IFERROR(INDEX(Clay_Brands!$A$2:$FZ$601,121,Sync!$D$5)&amp;"",""),Brand_Log!$A$2:$A$201,0))&amp;"",IFERROR(INDEX(Clay_Brands!$A$2:$FZ$601,121,Sync!$D$5)&amp;"","")&amp;""))</f>
        <v/>
      </c>
      <c r="E4172" s="23" t="str">
        <f aca="false">IF(B4172="","",IFERROR(INDEX(Clay_Brands!$A$2:$FZ$601,121,Sync!$D$6)&amp;"",""))</f>
        <v/>
      </c>
      <c r="F4172" s="23" t="str">
        <f aca="false">IF(B4172="","","outreach_sent")</f>
        <v/>
      </c>
      <c r="G4172" s="23" t="str">
        <f aca="false">IF(B4172="","","")</f>
        <v/>
      </c>
      <c r="H4172" s="23" t="str">
        <f aca="false">IF(B4172="","","")</f>
        <v/>
      </c>
      <c r="I4172" s="23" t="str">
        <f aca="false">IF(B4172="","","")</f>
        <v/>
      </c>
      <c r="J4172" s="23" t="str">
        <f aca="false">IF(B4172="","","touch_2; "&amp;IFERROR(INDEX(Clay_Brands!$A$2:$FZ$601,121,Sync!$D$10)&amp;"","")&amp;"; "&amp;IFERROR(INDEX(Clay_Brands!$A$2:$FZ$601,121,Sync!$D$9)&amp;"",""))</f>
        <v/>
      </c>
      <c r="K4172" s="32" t="s">
        <v>1367</v>
      </c>
    </row>
    <row r="4173" customFormat="false" ht="15" hidden="false" customHeight="false" outlineLevel="0" collapsed="false">
      <c r="A4173" s="23" t="str">
        <f aca="false">IF(B4173="","",B4173+(16*1000+122)/10000000)</f>
        <v/>
      </c>
      <c r="B4173" s="35" t="str">
        <f aca="false">IF(AND(IFERROR(N(INDEX(Clay_Brands!$A$2:$FZ$601,122,Sync!$D$12)),0)&gt;0,IFERROR(INDEX(Clay_Brands!$A$2:$FZ$601,122,Sync!$D$5)&amp;"","")&lt;&gt;"",OR(LEFT(IFERROR(INDEX(Clay_Brands!$A$2:$FZ$601,122,Sync!$D$5)&amp;"",""),6)&lt;&gt;"SAMPLE",Config!$B$19="Y")),IFERROR(N(INDEX(Clay_Brands!$A$2:$FZ$601,122,Sync!$D$12)),0),"")</f>
        <v/>
      </c>
      <c r="C4173" s="23" t="str">
        <f aca="false">IF(B4173="","","brand")</f>
        <v/>
      </c>
      <c r="D4173" s="23" t="str">
        <f aca="false">IF(B4173="","",IFERROR(INDEX(Brand_Log!$DV$2:$DV$201,MATCH(IFERROR(INDEX(Clay_Brands!$A$2:$FZ$601,122,Sync!$D$5)&amp;"",""),Brand_Log!$A$2:$A$201,0))&amp;"",IFERROR(INDEX(Clay_Brands!$A$2:$FZ$601,122,Sync!$D$5)&amp;"","")&amp;""))</f>
        <v/>
      </c>
      <c r="E4173" s="23" t="str">
        <f aca="false">IF(B4173="","",IFERROR(INDEX(Clay_Brands!$A$2:$FZ$601,122,Sync!$D$6)&amp;"",""))</f>
        <v/>
      </c>
      <c r="F4173" s="23" t="str">
        <f aca="false">IF(B4173="","","outreach_sent")</f>
        <v/>
      </c>
      <c r="G4173" s="23" t="str">
        <f aca="false">IF(B4173="","","")</f>
        <v/>
      </c>
      <c r="H4173" s="23" t="str">
        <f aca="false">IF(B4173="","","")</f>
        <v/>
      </c>
      <c r="I4173" s="23" t="str">
        <f aca="false">IF(B4173="","","")</f>
        <v/>
      </c>
      <c r="J4173" s="23" t="str">
        <f aca="false">IF(B4173="","","touch_2; "&amp;IFERROR(INDEX(Clay_Brands!$A$2:$FZ$601,122,Sync!$D$10)&amp;"","")&amp;"; "&amp;IFERROR(INDEX(Clay_Brands!$A$2:$FZ$601,122,Sync!$D$9)&amp;"",""))</f>
        <v/>
      </c>
      <c r="K4173" s="32" t="s">
        <v>1367</v>
      </c>
    </row>
    <row r="4174" customFormat="false" ht="15" hidden="false" customHeight="false" outlineLevel="0" collapsed="false">
      <c r="A4174" s="23" t="str">
        <f aca="false">IF(B4174="","",B4174+(16*1000+123)/10000000)</f>
        <v/>
      </c>
      <c r="B4174" s="35" t="str">
        <f aca="false">IF(AND(IFERROR(N(INDEX(Clay_Brands!$A$2:$FZ$601,123,Sync!$D$12)),0)&gt;0,IFERROR(INDEX(Clay_Brands!$A$2:$FZ$601,123,Sync!$D$5)&amp;"","")&lt;&gt;"",OR(LEFT(IFERROR(INDEX(Clay_Brands!$A$2:$FZ$601,123,Sync!$D$5)&amp;"",""),6)&lt;&gt;"SAMPLE",Config!$B$19="Y")),IFERROR(N(INDEX(Clay_Brands!$A$2:$FZ$601,123,Sync!$D$12)),0),"")</f>
        <v/>
      </c>
      <c r="C4174" s="23" t="str">
        <f aca="false">IF(B4174="","","brand")</f>
        <v/>
      </c>
      <c r="D4174" s="23" t="str">
        <f aca="false">IF(B4174="","",IFERROR(INDEX(Brand_Log!$DV$2:$DV$201,MATCH(IFERROR(INDEX(Clay_Brands!$A$2:$FZ$601,123,Sync!$D$5)&amp;"",""),Brand_Log!$A$2:$A$201,0))&amp;"",IFERROR(INDEX(Clay_Brands!$A$2:$FZ$601,123,Sync!$D$5)&amp;"","")&amp;""))</f>
        <v/>
      </c>
      <c r="E4174" s="23" t="str">
        <f aca="false">IF(B4174="","",IFERROR(INDEX(Clay_Brands!$A$2:$FZ$601,123,Sync!$D$6)&amp;"",""))</f>
        <v/>
      </c>
      <c r="F4174" s="23" t="str">
        <f aca="false">IF(B4174="","","outreach_sent")</f>
        <v/>
      </c>
      <c r="G4174" s="23" t="str">
        <f aca="false">IF(B4174="","","")</f>
        <v/>
      </c>
      <c r="H4174" s="23" t="str">
        <f aca="false">IF(B4174="","","")</f>
        <v/>
      </c>
      <c r="I4174" s="23" t="str">
        <f aca="false">IF(B4174="","","")</f>
        <v/>
      </c>
      <c r="J4174" s="23" t="str">
        <f aca="false">IF(B4174="","","touch_2; "&amp;IFERROR(INDEX(Clay_Brands!$A$2:$FZ$601,123,Sync!$D$10)&amp;"","")&amp;"; "&amp;IFERROR(INDEX(Clay_Brands!$A$2:$FZ$601,123,Sync!$D$9)&amp;"",""))</f>
        <v/>
      </c>
      <c r="K4174" s="32" t="s">
        <v>1367</v>
      </c>
    </row>
    <row r="4175" customFormat="false" ht="15" hidden="false" customHeight="false" outlineLevel="0" collapsed="false">
      <c r="A4175" s="23" t="str">
        <f aca="false">IF(B4175="","",B4175+(16*1000+124)/10000000)</f>
        <v/>
      </c>
      <c r="B4175" s="35" t="str">
        <f aca="false">IF(AND(IFERROR(N(INDEX(Clay_Brands!$A$2:$FZ$601,124,Sync!$D$12)),0)&gt;0,IFERROR(INDEX(Clay_Brands!$A$2:$FZ$601,124,Sync!$D$5)&amp;"","")&lt;&gt;"",OR(LEFT(IFERROR(INDEX(Clay_Brands!$A$2:$FZ$601,124,Sync!$D$5)&amp;"",""),6)&lt;&gt;"SAMPLE",Config!$B$19="Y")),IFERROR(N(INDEX(Clay_Brands!$A$2:$FZ$601,124,Sync!$D$12)),0),"")</f>
        <v/>
      </c>
      <c r="C4175" s="23" t="str">
        <f aca="false">IF(B4175="","","brand")</f>
        <v/>
      </c>
      <c r="D4175" s="23" t="str">
        <f aca="false">IF(B4175="","",IFERROR(INDEX(Brand_Log!$DV$2:$DV$201,MATCH(IFERROR(INDEX(Clay_Brands!$A$2:$FZ$601,124,Sync!$D$5)&amp;"",""),Brand_Log!$A$2:$A$201,0))&amp;"",IFERROR(INDEX(Clay_Brands!$A$2:$FZ$601,124,Sync!$D$5)&amp;"","")&amp;""))</f>
        <v/>
      </c>
      <c r="E4175" s="23" t="str">
        <f aca="false">IF(B4175="","",IFERROR(INDEX(Clay_Brands!$A$2:$FZ$601,124,Sync!$D$6)&amp;"",""))</f>
        <v/>
      </c>
      <c r="F4175" s="23" t="str">
        <f aca="false">IF(B4175="","","outreach_sent")</f>
        <v/>
      </c>
      <c r="G4175" s="23" t="str">
        <f aca="false">IF(B4175="","","")</f>
        <v/>
      </c>
      <c r="H4175" s="23" t="str">
        <f aca="false">IF(B4175="","","")</f>
        <v/>
      </c>
      <c r="I4175" s="23" t="str">
        <f aca="false">IF(B4175="","","")</f>
        <v/>
      </c>
      <c r="J4175" s="23" t="str">
        <f aca="false">IF(B4175="","","touch_2; "&amp;IFERROR(INDEX(Clay_Brands!$A$2:$FZ$601,124,Sync!$D$10)&amp;"","")&amp;"; "&amp;IFERROR(INDEX(Clay_Brands!$A$2:$FZ$601,124,Sync!$D$9)&amp;"",""))</f>
        <v/>
      </c>
      <c r="K4175" s="32" t="s">
        <v>1367</v>
      </c>
    </row>
    <row r="4176" customFormat="false" ht="15" hidden="false" customHeight="false" outlineLevel="0" collapsed="false">
      <c r="A4176" s="23" t="str">
        <f aca="false">IF(B4176="","",B4176+(16*1000+125)/10000000)</f>
        <v/>
      </c>
      <c r="B4176" s="35" t="str">
        <f aca="false">IF(AND(IFERROR(N(INDEX(Clay_Brands!$A$2:$FZ$601,125,Sync!$D$12)),0)&gt;0,IFERROR(INDEX(Clay_Brands!$A$2:$FZ$601,125,Sync!$D$5)&amp;"","")&lt;&gt;"",OR(LEFT(IFERROR(INDEX(Clay_Brands!$A$2:$FZ$601,125,Sync!$D$5)&amp;"",""),6)&lt;&gt;"SAMPLE",Config!$B$19="Y")),IFERROR(N(INDEX(Clay_Brands!$A$2:$FZ$601,125,Sync!$D$12)),0),"")</f>
        <v/>
      </c>
      <c r="C4176" s="23" t="str">
        <f aca="false">IF(B4176="","","brand")</f>
        <v/>
      </c>
      <c r="D4176" s="23" t="str">
        <f aca="false">IF(B4176="","",IFERROR(INDEX(Brand_Log!$DV$2:$DV$201,MATCH(IFERROR(INDEX(Clay_Brands!$A$2:$FZ$601,125,Sync!$D$5)&amp;"",""),Brand_Log!$A$2:$A$201,0))&amp;"",IFERROR(INDEX(Clay_Brands!$A$2:$FZ$601,125,Sync!$D$5)&amp;"","")&amp;""))</f>
        <v/>
      </c>
      <c r="E4176" s="23" t="str">
        <f aca="false">IF(B4176="","",IFERROR(INDEX(Clay_Brands!$A$2:$FZ$601,125,Sync!$D$6)&amp;"",""))</f>
        <v/>
      </c>
      <c r="F4176" s="23" t="str">
        <f aca="false">IF(B4176="","","outreach_sent")</f>
        <v/>
      </c>
      <c r="G4176" s="23" t="str">
        <f aca="false">IF(B4176="","","")</f>
        <v/>
      </c>
      <c r="H4176" s="23" t="str">
        <f aca="false">IF(B4176="","","")</f>
        <v/>
      </c>
      <c r="I4176" s="23" t="str">
        <f aca="false">IF(B4176="","","")</f>
        <v/>
      </c>
      <c r="J4176" s="23" t="str">
        <f aca="false">IF(B4176="","","touch_2; "&amp;IFERROR(INDEX(Clay_Brands!$A$2:$FZ$601,125,Sync!$D$10)&amp;"","")&amp;"; "&amp;IFERROR(INDEX(Clay_Brands!$A$2:$FZ$601,125,Sync!$D$9)&amp;"",""))</f>
        <v/>
      </c>
      <c r="K4176" s="32" t="s">
        <v>1367</v>
      </c>
    </row>
    <row r="4177" customFormat="false" ht="15" hidden="false" customHeight="false" outlineLevel="0" collapsed="false">
      <c r="A4177" s="23" t="str">
        <f aca="false">IF(B4177="","",B4177+(16*1000+126)/10000000)</f>
        <v/>
      </c>
      <c r="B4177" s="35" t="str">
        <f aca="false">IF(AND(IFERROR(N(INDEX(Clay_Brands!$A$2:$FZ$601,126,Sync!$D$12)),0)&gt;0,IFERROR(INDEX(Clay_Brands!$A$2:$FZ$601,126,Sync!$D$5)&amp;"","")&lt;&gt;"",OR(LEFT(IFERROR(INDEX(Clay_Brands!$A$2:$FZ$601,126,Sync!$D$5)&amp;"",""),6)&lt;&gt;"SAMPLE",Config!$B$19="Y")),IFERROR(N(INDEX(Clay_Brands!$A$2:$FZ$601,126,Sync!$D$12)),0),"")</f>
        <v/>
      </c>
      <c r="C4177" s="23" t="str">
        <f aca="false">IF(B4177="","","brand")</f>
        <v/>
      </c>
      <c r="D4177" s="23" t="str">
        <f aca="false">IF(B4177="","",IFERROR(INDEX(Brand_Log!$DV$2:$DV$201,MATCH(IFERROR(INDEX(Clay_Brands!$A$2:$FZ$601,126,Sync!$D$5)&amp;"",""),Brand_Log!$A$2:$A$201,0))&amp;"",IFERROR(INDEX(Clay_Brands!$A$2:$FZ$601,126,Sync!$D$5)&amp;"","")&amp;""))</f>
        <v/>
      </c>
      <c r="E4177" s="23" t="str">
        <f aca="false">IF(B4177="","",IFERROR(INDEX(Clay_Brands!$A$2:$FZ$601,126,Sync!$D$6)&amp;"",""))</f>
        <v/>
      </c>
      <c r="F4177" s="23" t="str">
        <f aca="false">IF(B4177="","","outreach_sent")</f>
        <v/>
      </c>
      <c r="G4177" s="23" t="str">
        <f aca="false">IF(B4177="","","")</f>
        <v/>
      </c>
      <c r="H4177" s="23" t="str">
        <f aca="false">IF(B4177="","","")</f>
        <v/>
      </c>
      <c r="I4177" s="23" t="str">
        <f aca="false">IF(B4177="","","")</f>
        <v/>
      </c>
      <c r="J4177" s="23" t="str">
        <f aca="false">IF(B4177="","","touch_2; "&amp;IFERROR(INDEX(Clay_Brands!$A$2:$FZ$601,126,Sync!$D$10)&amp;"","")&amp;"; "&amp;IFERROR(INDEX(Clay_Brands!$A$2:$FZ$601,126,Sync!$D$9)&amp;"",""))</f>
        <v/>
      </c>
      <c r="K4177" s="32" t="s">
        <v>1367</v>
      </c>
    </row>
    <row r="4178" customFormat="false" ht="15" hidden="false" customHeight="false" outlineLevel="0" collapsed="false">
      <c r="A4178" s="23" t="str">
        <f aca="false">IF(B4178="","",B4178+(16*1000+127)/10000000)</f>
        <v/>
      </c>
      <c r="B4178" s="35" t="str">
        <f aca="false">IF(AND(IFERROR(N(INDEX(Clay_Brands!$A$2:$FZ$601,127,Sync!$D$12)),0)&gt;0,IFERROR(INDEX(Clay_Brands!$A$2:$FZ$601,127,Sync!$D$5)&amp;"","")&lt;&gt;"",OR(LEFT(IFERROR(INDEX(Clay_Brands!$A$2:$FZ$601,127,Sync!$D$5)&amp;"",""),6)&lt;&gt;"SAMPLE",Config!$B$19="Y")),IFERROR(N(INDEX(Clay_Brands!$A$2:$FZ$601,127,Sync!$D$12)),0),"")</f>
        <v/>
      </c>
      <c r="C4178" s="23" t="str">
        <f aca="false">IF(B4178="","","brand")</f>
        <v/>
      </c>
      <c r="D4178" s="23" t="str">
        <f aca="false">IF(B4178="","",IFERROR(INDEX(Brand_Log!$DV$2:$DV$201,MATCH(IFERROR(INDEX(Clay_Brands!$A$2:$FZ$601,127,Sync!$D$5)&amp;"",""),Brand_Log!$A$2:$A$201,0))&amp;"",IFERROR(INDEX(Clay_Brands!$A$2:$FZ$601,127,Sync!$D$5)&amp;"","")&amp;""))</f>
        <v/>
      </c>
      <c r="E4178" s="23" t="str">
        <f aca="false">IF(B4178="","",IFERROR(INDEX(Clay_Brands!$A$2:$FZ$601,127,Sync!$D$6)&amp;"",""))</f>
        <v/>
      </c>
      <c r="F4178" s="23" t="str">
        <f aca="false">IF(B4178="","","outreach_sent")</f>
        <v/>
      </c>
      <c r="G4178" s="23" t="str">
        <f aca="false">IF(B4178="","","")</f>
        <v/>
      </c>
      <c r="H4178" s="23" t="str">
        <f aca="false">IF(B4178="","","")</f>
        <v/>
      </c>
      <c r="I4178" s="23" t="str">
        <f aca="false">IF(B4178="","","")</f>
        <v/>
      </c>
      <c r="J4178" s="23" t="str">
        <f aca="false">IF(B4178="","","touch_2; "&amp;IFERROR(INDEX(Clay_Brands!$A$2:$FZ$601,127,Sync!$D$10)&amp;"","")&amp;"; "&amp;IFERROR(INDEX(Clay_Brands!$A$2:$FZ$601,127,Sync!$D$9)&amp;"",""))</f>
        <v/>
      </c>
      <c r="K4178" s="32" t="s">
        <v>1367</v>
      </c>
    </row>
    <row r="4179" customFormat="false" ht="15" hidden="false" customHeight="false" outlineLevel="0" collapsed="false">
      <c r="A4179" s="23" t="str">
        <f aca="false">IF(B4179="","",B4179+(16*1000+128)/10000000)</f>
        <v/>
      </c>
      <c r="B4179" s="35" t="str">
        <f aca="false">IF(AND(IFERROR(N(INDEX(Clay_Brands!$A$2:$FZ$601,128,Sync!$D$12)),0)&gt;0,IFERROR(INDEX(Clay_Brands!$A$2:$FZ$601,128,Sync!$D$5)&amp;"","")&lt;&gt;"",OR(LEFT(IFERROR(INDEX(Clay_Brands!$A$2:$FZ$601,128,Sync!$D$5)&amp;"",""),6)&lt;&gt;"SAMPLE",Config!$B$19="Y")),IFERROR(N(INDEX(Clay_Brands!$A$2:$FZ$601,128,Sync!$D$12)),0),"")</f>
        <v/>
      </c>
      <c r="C4179" s="23" t="str">
        <f aca="false">IF(B4179="","","brand")</f>
        <v/>
      </c>
      <c r="D4179" s="23" t="str">
        <f aca="false">IF(B4179="","",IFERROR(INDEX(Brand_Log!$DV$2:$DV$201,MATCH(IFERROR(INDEX(Clay_Brands!$A$2:$FZ$601,128,Sync!$D$5)&amp;"",""),Brand_Log!$A$2:$A$201,0))&amp;"",IFERROR(INDEX(Clay_Brands!$A$2:$FZ$601,128,Sync!$D$5)&amp;"","")&amp;""))</f>
        <v/>
      </c>
      <c r="E4179" s="23" t="str">
        <f aca="false">IF(B4179="","",IFERROR(INDEX(Clay_Brands!$A$2:$FZ$601,128,Sync!$D$6)&amp;"",""))</f>
        <v/>
      </c>
      <c r="F4179" s="23" t="str">
        <f aca="false">IF(B4179="","","outreach_sent")</f>
        <v/>
      </c>
      <c r="G4179" s="23" t="str">
        <f aca="false">IF(B4179="","","")</f>
        <v/>
      </c>
      <c r="H4179" s="23" t="str">
        <f aca="false">IF(B4179="","","")</f>
        <v/>
      </c>
      <c r="I4179" s="23" t="str">
        <f aca="false">IF(B4179="","","")</f>
        <v/>
      </c>
      <c r="J4179" s="23" t="str">
        <f aca="false">IF(B4179="","","touch_2; "&amp;IFERROR(INDEX(Clay_Brands!$A$2:$FZ$601,128,Sync!$D$10)&amp;"","")&amp;"; "&amp;IFERROR(INDEX(Clay_Brands!$A$2:$FZ$601,128,Sync!$D$9)&amp;"",""))</f>
        <v/>
      </c>
      <c r="K4179" s="32" t="s">
        <v>1367</v>
      </c>
    </row>
    <row r="4180" customFormat="false" ht="15" hidden="false" customHeight="false" outlineLevel="0" collapsed="false">
      <c r="A4180" s="23" t="str">
        <f aca="false">IF(B4180="","",B4180+(16*1000+129)/10000000)</f>
        <v/>
      </c>
      <c r="B4180" s="35" t="str">
        <f aca="false">IF(AND(IFERROR(N(INDEX(Clay_Brands!$A$2:$FZ$601,129,Sync!$D$12)),0)&gt;0,IFERROR(INDEX(Clay_Brands!$A$2:$FZ$601,129,Sync!$D$5)&amp;"","")&lt;&gt;"",OR(LEFT(IFERROR(INDEX(Clay_Brands!$A$2:$FZ$601,129,Sync!$D$5)&amp;"",""),6)&lt;&gt;"SAMPLE",Config!$B$19="Y")),IFERROR(N(INDEX(Clay_Brands!$A$2:$FZ$601,129,Sync!$D$12)),0),"")</f>
        <v/>
      </c>
      <c r="C4180" s="23" t="str">
        <f aca="false">IF(B4180="","","brand")</f>
        <v/>
      </c>
      <c r="D4180" s="23" t="str">
        <f aca="false">IF(B4180="","",IFERROR(INDEX(Brand_Log!$DV$2:$DV$201,MATCH(IFERROR(INDEX(Clay_Brands!$A$2:$FZ$601,129,Sync!$D$5)&amp;"",""),Brand_Log!$A$2:$A$201,0))&amp;"",IFERROR(INDEX(Clay_Brands!$A$2:$FZ$601,129,Sync!$D$5)&amp;"","")&amp;""))</f>
        <v/>
      </c>
      <c r="E4180" s="23" t="str">
        <f aca="false">IF(B4180="","",IFERROR(INDEX(Clay_Brands!$A$2:$FZ$601,129,Sync!$D$6)&amp;"",""))</f>
        <v/>
      </c>
      <c r="F4180" s="23" t="str">
        <f aca="false">IF(B4180="","","outreach_sent")</f>
        <v/>
      </c>
      <c r="G4180" s="23" t="str">
        <f aca="false">IF(B4180="","","")</f>
        <v/>
      </c>
      <c r="H4180" s="23" t="str">
        <f aca="false">IF(B4180="","","")</f>
        <v/>
      </c>
      <c r="I4180" s="23" t="str">
        <f aca="false">IF(B4180="","","")</f>
        <v/>
      </c>
      <c r="J4180" s="23" t="str">
        <f aca="false">IF(B4180="","","touch_2; "&amp;IFERROR(INDEX(Clay_Brands!$A$2:$FZ$601,129,Sync!$D$10)&amp;"","")&amp;"; "&amp;IFERROR(INDEX(Clay_Brands!$A$2:$FZ$601,129,Sync!$D$9)&amp;"",""))</f>
        <v/>
      </c>
      <c r="K4180" s="32" t="s">
        <v>1367</v>
      </c>
    </row>
    <row r="4181" customFormat="false" ht="15" hidden="false" customHeight="false" outlineLevel="0" collapsed="false">
      <c r="A4181" s="23" t="str">
        <f aca="false">IF(B4181="","",B4181+(16*1000+130)/10000000)</f>
        <v/>
      </c>
      <c r="B4181" s="35" t="str">
        <f aca="false">IF(AND(IFERROR(N(INDEX(Clay_Brands!$A$2:$FZ$601,130,Sync!$D$12)),0)&gt;0,IFERROR(INDEX(Clay_Brands!$A$2:$FZ$601,130,Sync!$D$5)&amp;"","")&lt;&gt;"",OR(LEFT(IFERROR(INDEX(Clay_Brands!$A$2:$FZ$601,130,Sync!$D$5)&amp;"",""),6)&lt;&gt;"SAMPLE",Config!$B$19="Y")),IFERROR(N(INDEX(Clay_Brands!$A$2:$FZ$601,130,Sync!$D$12)),0),"")</f>
        <v/>
      </c>
      <c r="C4181" s="23" t="str">
        <f aca="false">IF(B4181="","","brand")</f>
        <v/>
      </c>
      <c r="D4181" s="23" t="str">
        <f aca="false">IF(B4181="","",IFERROR(INDEX(Brand_Log!$DV$2:$DV$201,MATCH(IFERROR(INDEX(Clay_Brands!$A$2:$FZ$601,130,Sync!$D$5)&amp;"",""),Brand_Log!$A$2:$A$201,0))&amp;"",IFERROR(INDEX(Clay_Brands!$A$2:$FZ$601,130,Sync!$D$5)&amp;"","")&amp;""))</f>
        <v/>
      </c>
      <c r="E4181" s="23" t="str">
        <f aca="false">IF(B4181="","",IFERROR(INDEX(Clay_Brands!$A$2:$FZ$601,130,Sync!$D$6)&amp;"",""))</f>
        <v/>
      </c>
      <c r="F4181" s="23" t="str">
        <f aca="false">IF(B4181="","","outreach_sent")</f>
        <v/>
      </c>
      <c r="G4181" s="23" t="str">
        <f aca="false">IF(B4181="","","")</f>
        <v/>
      </c>
      <c r="H4181" s="23" t="str">
        <f aca="false">IF(B4181="","","")</f>
        <v/>
      </c>
      <c r="I4181" s="23" t="str">
        <f aca="false">IF(B4181="","","")</f>
        <v/>
      </c>
      <c r="J4181" s="23" t="str">
        <f aca="false">IF(B4181="","","touch_2; "&amp;IFERROR(INDEX(Clay_Brands!$A$2:$FZ$601,130,Sync!$D$10)&amp;"","")&amp;"; "&amp;IFERROR(INDEX(Clay_Brands!$A$2:$FZ$601,130,Sync!$D$9)&amp;"",""))</f>
        <v/>
      </c>
      <c r="K4181" s="32" t="s">
        <v>1367</v>
      </c>
    </row>
    <row r="4182" customFormat="false" ht="15" hidden="false" customHeight="false" outlineLevel="0" collapsed="false">
      <c r="A4182" s="23" t="str">
        <f aca="false">IF(B4182="","",B4182+(16*1000+131)/10000000)</f>
        <v/>
      </c>
      <c r="B4182" s="35" t="str">
        <f aca="false">IF(AND(IFERROR(N(INDEX(Clay_Brands!$A$2:$FZ$601,131,Sync!$D$12)),0)&gt;0,IFERROR(INDEX(Clay_Brands!$A$2:$FZ$601,131,Sync!$D$5)&amp;"","")&lt;&gt;"",OR(LEFT(IFERROR(INDEX(Clay_Brands!$A$2:$FZ$601,131,Sync!$D$5)&amp;"",""),6)&lt;&gt;"SAMPLE",Config!$B$19="Y")),IFERROR(N(INDEX(Clay_Brands!$A$2:$FZ$601,131,Sync!$D$12)),0),"")</f>
        <v/>
      </c>
      <c r="C4182" s="23" t="str">
        <f aca="false">IF(B4182="","","brand")</f>
        <v/>
      </c>
      <c r="D4182" s="23" t="str">
        <f aca="false">IF(B4182="","",IFERROR(INDEX(Brand_Log!$DV$2:$DV$201,MATCH(IFERROR(INDEX(Clay_Brands!$A$2:$FZ$601,131,Sync!$D$5)&amp;"",""),Brand_Log!$A$2:$A$201,0))&amp;"",IFERROR(INDEX(Clay_Brands!$A$2:$FZ$601,131,Sync!$D$5)&amp;"","")&amp;""))</f>
        <v/>
      </c>
      <c r="E4182" s="23" t="str">
        <f aca="false">IF(B4182="","",IFERROR(INDEX(Clay_Brands!$A$2:$FZ$601,131,Sync!$D$6)&amp;"",""))</f>
        <v/>
      </c>
      <c r="F4182" s="23" t="str">
        <f aca="false">IF(B4182="","","outreach_sent")</f>
        <v/>
      </c>
      <c r="G4182" s="23" t="str">
        <f aca="false">IF(B4182="","","")</f>
        <v/>
      </c>
      <c r="H4182" s="23" t="str">
        <f aca="false">IF(B4182="","","")</f>
        <v/>
      </c>
      <c r="I4182" s="23" t="str">
        <f aca="false">IF(B4182="","","")</f>
        <v/>
      </c>
      <c r="J4182" s="23" t="str">
        <f aca="false">IF(B4182="","","touch_2; "&amp;IFERROR(INDEX(Clay_Brands!$A$2:$FZ$601,131,Sync!$D$10)&amp;"","")&amp;"; "&amp;IFERROR(INDEX(Clay_Brands!$A$2:$FZ$601,131,Sync!$D$9)&amp;"",""))</f>
        <v/>
      </c>
      <c r="K4182" s="32" t="s">
        <v>1367</v>
      </c>
    </row>
    <row r="4183" customFormat="false" ht="15" hidden="false" customHeight="false" outlineLevel="0" collapsed="false">
      <c r="A4183" s="23" t="str">
        <f aca="false">IF(B4183="","",B4183+(16*1000+132)/10000000)</f>
        <v/>
      </c>
      <c r="B4183" s="35" t="str">
        <f aca="false">IF(AND(IFERROR(N(INDEX(Clay_Brands!$A$2:$FZ$601,132,Sync!$D$12)),0)&gt;0,IFERROR(INDEX(Clay_Brands!$A$2:$FZ$601,132,Sync!$D$5)&amp;"","")&lt;&gt;"",OR(LEFT(IFERROR(INDEX(Clay_Brands!$A$2:$FZ$601,132,Sync!$D$5)&amp;"",""),6)&lt;&gt;"SAMPLE",Config!$B$19="Y")),IFERROR(N(INDEX(Clay_Brands!$A$2:$FZ$601,132,Sync!$D$12)),0),"")</f>
        <v/>
      </c>
      <c r="C4183" s="23" t="str">
        <f aca="false">IF(B4183="","","brand")</f>
        <v/>
      </c>
      <c r="D4183" s="23" t="str">
        <f aca="false">IF(B4183="","",IFERROR(INDEX(Brand_Log!$DV$2:$DV$201,MATCH(IFERROR(INDEX(Clay_Brands!$A$2:$FZ$601,132,Sync!$D$5)&amp;"",""),Brand_Log!$A$2:$A$201,0))&amp;"",IFERROR(INDEX(Clay_Brands!$A$2:$FZ$601,132,Sync!$D$5)&amp;"","")&amp;""))</f>
        <v/>
      </c>
      <c r="E4183" s="23" t="str">
        <f aca="false">IF(B4183="","",IFERROR(INDEX(Clay_Brands!$A$2:$FZ$601,132,Sync!$D$6)&amp;"",""))</f>
        <v/>
      </c>
      <c r="F4183" s="23" t="str">
        <f aca="false">IF(B4183="","","outreach_sent")</f>
        <v/>
      </c>
      <c r="G4183" s="23" t="str">
        <f aca="false">IF(B4183="","","")</f>
        <v/>
      </c>
      <c r="H4183" s="23" t="str">
        <f aca="false">IF(B4183="","","")</f>
        <v/>
      </c>
      <c r="I4183" s="23" t="str">
        <f aca="false">IF(B4183="","","")</f>
        <v/>
      </c>
      <c r="J4183" s="23" t="str">
        <f aca="false">IF(B4183="","","touch_2; "&amp;IFERROR(INDEX(Clay_Brands!$A$2:$FZ$601,132,Sync!$D$10)&amp;"","")&amp;"; "&amp;IFERROR(INDEX(Clay_Brands!$A$2:$FZ$601,132,Sync!$D$9)&amp;"",""))</f>
        <v/>
      </c>
      <c r="K4183" s="32" t="s">
        <v>1367</v>
      </c>
    </row>
    <row r="4184" customFormat="false" ht="15" hidden="false" customHeight="false" outlineLevel="0" collapsed="false">
      <c r="A4184" s="23" t="str">
        <f aca="false">IF(B4184="","",B4184+(16*1000+133)/10000000)</f>
        <v/>
      </c>
      <c r="B4184" s="35" t="str">
        <f aca="false">IF(AND(IFERROR(N(INDEX(Clay_Brands!$A$2:$FZ$601,133,Sync!$D$12)),0)&gt;0,IFERROR(INDEX(Clay_Brands!$A$2:$FZ$601,133,Sync!$D$5)&amp;"","")&lt;&gt;"",OR(LEFT(IFERROR(INDEX(Clay_Brands!$A$2:$FZ$601,133,Sync!$D$5)&amp;"",""),6)&lt;&gt;"SAMPLE",Config!$B$19="Y")),IFERROR(N(INDEX(Clay_Brands!$A$2:$FZ$601,133,Sync!$D$12)),0),"")</f>
        <v/>
      </c>
      <c r="C4184" s="23" t="str">
        <f aca="false">IF(B4184="","","brand")</f>
        <v/>
      </c>
      <c r="D4184" s="23" t="str">
        <f aca="false">IF(B4184="","",IFERROR(INDEX(Brand_Log!$DV$2:$DV$201,MATCH(IFERROR(INDEX(Clay_Brands!$A$2:$FZ$601,133,Sync!$D$5)&amp;"",""),Brand_Log!$A$2:$A$201,0))&amp;"",IFERROR(INDEX(Clay_Brands!$A$2:$FZ$601,133,Sync!$D$5)&amp;"","")&amp;""))</f>
        <v/>
      </c>
      <c r="E4184" s="23" t="str">
        <f aca="false">IF(B4184="","",IFERROR(INDEX(Clay_Brands!$A$2:$FZ$601,133,Sync!$D$6)&amp;"",""))</f>
        <v/>
      </c>
      <c r="F4184" s="23" t="str">
        <f aca="false">IF(B4184="","","outreach_sent")</f>
        <v/>
      </c>
      <c r="G4184" s="23" t="str">
        <f aca="false">IF(B4184="","","")</f>
        <v/>
      </c>
      <c r="H4184" s="23" t="str">
        <f aca="false">IF(B4184="","","")</f>
        <v/>
      </c>
      <c r="I4184" s="23" t="str">
        <f aca="false">IF(B4184="","","")</f>
        <v/>
      </c>
      <c r="J4184" s="23" t="str">
        <f aca="false">IF(B4184="","","touch_2; "&amp;IFERROR(INDEX(Clay_Brands!$A$2:$FZ$601,133,Sync!$D$10)&amp;"","")&amp;"; "&amp;IFERROR(INDEX(Clay_Brands!$A$2:$FZ$601,133,Sync!$D$9)&amp;"",""))</f>
        <v/>
      </c>
      <c r="K4184" s="32" t="s">
        <v>1367</v>
      </c>
    </row>
    <row r="4185" customFormat="false" ht="15" hidden="false" customHeight="false" outlineLevel="0" collapsed="false">
      <c r="A4185" s="23" t="str">
        <f aca="false">IF(B4185="","",B4185+(16*1000+134)/10000000)</f>
        <v/>
      </c>
      <c r="B4185" s="35" t="str">
        <f aca="false">IF(AND(IFERROR(N(INDEX(Clay_Brands!$A$2:$FZ$601,134,Sync!$D$12)),0)&gt;0,IFERROR(INDEX(Clay_Brands!$A$2:$FZ$601,134,Sync!$D$5)&amp;"","")&lt;&gt;"",OR(LEFT(IFERROR(INDEX(Clay_Brands!$A$2:$FZ$601,134,Sync!$D$5)&amp;"",""),6)&lt;&gt;"SAMPLE",Config!$B$19="Y")),IFERROR(N(INDEX(Clay_Brands!$A$2:$FZ$601,134,Sync!$D$12)),0),"")</f>
        <v/>
      </c>
      <c r="C4185" s="23" t="str">
        <f aca="false">IF(B4185="","","brand")</f>
        <v/>
      </c>
      <c r="D4185" s="23" t="str">
        <f aca="false">IF(B4185="","",IFERROR(INDEX(Brand_Log!$DV$2:$DV$201,MATCH(IFERROR(INDEX(Clay_Brands!$A$2:$FZ$601,134,Sync!$D$5)&amp;"",""),Brand_Log!$A$2:$A$201,0))&amp;"",IFERROR(INDEX(Clay_Brands!$A$2:$FZ$601,134,Sync!$D$5)&amp;"","")&amp;""))</f>
        <v/>
      </c>
      <c r="E4185" s="23" t="str">
        <f aca="false">IF(B4185="","",IFERROR(INDEX(Clay_Brands!$A$2:$FZ$601,134,Sync!$D$6)&amp;"",""))</f>
        <v/>
      </c>
      <c r="F4185" s="23" t="str">
        <f aca="false">IF(B4185="","","outreach_sent")</f>
        <v/>
      </c>
      <c r="G4185" s="23" t="str">
        <f aca="false">IF(B4185="","","")</f>
        <v/>
      </c>
      <c r="H4185" s="23" t="str">
        <f aca="false">IF(B4185="","","")</f>
        <v/>
      </c>
      <c r="I4185" s="23" t="str">
        <f aca="false">IF(B4185="","","")</f>
        <v/>
      </c>
      <c r="J4185" s="23" t="str">
        <f aca="false">IF(B4185="","","touch_2; "&amp;IFERROR(INDEX(Clay_Brands!$A$2:$FZ$601,134,Sync!$D$10)&amp;"","")&amp;"; "&amp;IFERROR(INDEX(Clay_Brands!$A$2:$FZ$601,134,Sync!$D$9)&amp;"",""))</f>
        <v/>
      </c>
      <c r="K4185" s="32" t="s">
        <v>1367</v>
      </c>
    </row>
    <row r="4186" customFormat="false" ht="15" hidden="false" customHeight="false" outlineLevel="0" collapsed="false">
      <c r="A4186" s="23" t="str">
        <f aca="false">IF(B4186="","",B4186+(16*1000+135)/10000000)</f>
        <v/>
      </c>
      <c r="B4186" s="35" t="str">
        <f aca="false">IF(AND(IFERROR(N(INDEX(Clay_Brands!$A$2:$FZ$601,135,Sync!$D$12)),0)&gt;0,IFERROR(INDEX(Clay_Brands!$A$2:$FZ$601,135,Sync!$D$5)&amp;"","")&lt;&gt;"",OR(LEFT(IFERROR(INDEX(Clay_Brands!$A$2:$FZ$601,135,Sync!$D$5)&amp;"",""),6)&lt;&gt;"SAMPLE",Config!$B$19="Y")),IFERROR(N(INDEX(Clay_Brands!$A$2:$FZ$601,135,Sync!$D$12)),0),"")</f>
        <v/>
      </c>
      <c r="C4186" s="23" t="str">
        <f aca="false">IF(B4186="","","brand")</f>
        <v/>
      </c>
      <c r="D4186" s="23" t="str">
        <f aca="false">IF(B4186="","",IFERROR(INDEX(Brand_Log!$DV$2:$DV$201,MATCH(IFERROR(INDEX(Clay_Brands!$A$2:$FZ$601,135,Sync!$D$5)&amp;"",""),Brand_Log!$A$2:$A$201,0))&amp;"",IFERROR(INDEX(Clay_Brands!$A$2:$FZ$601,135,Sync!$D$5)&amp;"","")&amp;""))</f>
        <v/>
      </c>
      <c r="E4186" s="23" t="str">
        <f aca="false">IF(B4186="","",IFERROR(INDEX(Clay_Brands!$A$2:$FZ$601,135,Sync!$D$6)&amp;"",""))</f>
        <v/>
      </c>
      <c r="F4186" s="23" t="str">
        <f aca="false">IF(B4186="","","outreach_sent")</f>
        <v/>
      </c>
      <c r="G4186" s="23" t="str">
        <f aca="false">IF(B4186="","","")</f>
        <v/>
      </c>
      <c r="H4186" s="23" t="str">
        <f aca="false">IF(B4186="","","")</f>
        <v/>
      </c>
      <c r="I4186" s="23" t="str">
        <f aca="false">IF(B4186="","","")</f>
        <v/>
      </c>
      <c r="J4186" s="23" t="str">
        <f aca="false">IF(B4186="","","touch_2; "&amp;IFERROR(INDEX(Clay_Brands!$A$2:$FZ$601,135,Sync!$D$10)&amp;"","")&amp;"; "&amp;IFERROR(INDEX(Clay_Brands!$A$2:$FZ$601,135,Sync!$D$9)&amp;"",""))</f>
        <v/>
      </c>
      <c r="K4186" s="32" t="s">
        <v>1367</v>
      </c>
    </row>
    <row r="4187" customFormat="false" ht="15" hidden="false" customHeight="false" outlineLevel="0" collapsed="false">
      <c r="A4187" s="23" t="str">
        <f aca="false">IF(B4187="","",B4187+(16*1000+136)/10000000)</f>
        <v/>
      </c>
      <c r="B4187" s="35" t="str">
        <f aca="false">IF(AND(IFERROR(N(INDEX(Clay_Brands!$A$2:$FZ$601,136,Sync!$D$12)),0)&gt;0,IFERROR(INDEX(Clay_Brands!$A$2:$FZ$601,136,Sync!$D$5)&amp;"","")&lt;&gt;"",OR(LEFT(IFERROR(INDEX(Clay_Brands!$A$2:$FZ$601,136,Sync!$D$5)&amp;"",""),6)&lt;&gt;"SAMPLE",Config!$B$19="Y")),IFERROR(N(INDEX(Clay_Brands!$A$2:$FZ$601,136,Sync!$D$12)),0),"")</f>
        <v/>
      </c>
      <c r="C4187" s="23" t="str">
        <f aca="false">IF(B4187="","","brand")</f>
        <v/>
      </c>
      <c r="D4187" s="23" t="str">
        <f aca="false">IF(B4187="","",IFERROR(INDEX(Brand_Log!$DV$2:$DV$201,MATCH(IFERROR(INDEX(Clay_Brands!$A$2:$FZ$601,136,Sync!$D$5)&amp;"",""),Brand_Log!$A$2:$A$201,0))&amp;"",IFERROR(INDEX(Clay_Brands!$A$2:$FZ$601,136,Sync!$D$5)&amp;"","")&amp;""))</f>
        <v/>
      </c>
      <c r="E4187" s="23" t="str">
        <f aca="false">IF(B4187="","",IFERROR(INDEX(Clay_Brands!$A$2:$FZ$601,136,Sync!$D$6)&amp;"",""))</f>
        <v/>
      </c>
      <c r="F4187" s="23" t="str">
        <f aca="false">IF(B4187="","","outreach_sent")</f>
        <v/>
      </c>
      <c r="G4187" s="23" t="str">
        <f aca="false">IF(B4187="","","")</f>
        <v/>
      </c>
      <c r="H4187" s="23" t="str">
        <f aca="false">IF(B4187="","","")</f>
        <v/>
      </c>
      <c r="I4187" s="23" t="str">
        <f aca="false">IF(B4187="","","")</f>
        <v/>
      </c>
      <c r="J4187" s="23" t="str">
        <f aca="false">IF(B4187="","","touch_2; "&amp;IFERROR(INDEX(Clay_Brands!$A$2:$FZ$601,136,Sync!$D$10)&amp;"","")&amp;"; "&amp;IFERROR(INDEX(Clay_Brands!$A$2:$FZ$601,136,Sync!$D$9)&amp;"",""))</f>
        <v/>
      </c>
      <c r="K4187" s="32" t="s">
        <v>1367</v>
      </c>
    </row>
    <row r="4188" customFormat="false" ht="15" hidden="false" customHeight="false" outlineLevel="0" collapsed="false">
      <c r="A4188" s="23" t="str">
        <f aca="false">IF(B4188="","",B4188+(16*1000+137)/10000000)</f>
        <v/>
      </c>
      <c r="B4188" s="35" t="str">
        <f aca="false">IF(AND(IFERROR(N(INDEX(Clay_Brands!$A$2:$FZ$601,137,Sync!$D$12)),0)&gt;0,IFERROR(INDEX(Clay_Brands!$A$2:$FZ$601,137,Sync!$D$5)&amp;"","")&lt;&gt;"",OR(LEFT(IFERROR(INDEX(Clay_Brands!$A$2:$FZ$601,137,Sync!$D$5)&amp;"",""),6)&lt;&gt;"SAMPLE",Config!$B$19="Y")),IFERROR(N(INDEX(Clay_Brands!$A$2:$FZ$601,137,Sync!$D$12)),0),"")</f>
        <v/>
      </c>
      <c r="C4188" s="23" t="str">
        <f aca="false">IF(B4188="","","brand")</f>
        <v/>
      </c>
      <c r="D4188" s="23" t="str">
        <f aca="false">IF(B4188="","",IFERROR(INDEX(Brand_Log!$DV$2:$DV$201,MATCH(IFERROR(INDEX(Clay_Brands!$A$2:$FZ$601,137,Sync!$D$5)&amp;"",""),Brand_Log!$A$2:$A$201,0))&amp;"",IFERROR(INDEX(Clay_Brands!$A$2:$FZ$601,137,Sync!$D$5)&amp;"","")&amp;""))</f>
        <v/>
      </c>
      <c r="E4188" s="23" t="str">
        <f aca="false">IF(B4188="","",IFERROR(INDEX(Clay_Brands!$A$2:$FZ$601,137,Sync!$D$6)&amp;"",""))</f>
        <v/>
      </c>
      <c r="F4188" s="23" t="str">
        <f aca="false">IF(B4188="","","outreach_sent")</f>
        <v/>
      </c>
      <c r="G4188" s="23" t="str">
        <f aca="false">IF(B4188="","","")</f>
        <v/>
      </c>
      <c r="H4188" s="23" t="str">
        <f aca="false">IF(B4188="","","")</f>
        <v/>
      </c>
      <c r="I4188" s="23" t="str">
        <f aca="false">IF(B4188="","","")</f>
        <v/>
      </c>
      <c r="J4188" s="23" t="str">
        <f aca="false">IF(B4188="","","touch_2; "&amp;IFERROR(INDEX(Clay_Brands!$A$2:$FZ$601,137,Sync!$D$10)&amp;"","")&amp;"; "&amp;IFERROR(INDEX(Clay_Brands!$A$2:$FZ$601,137,Sync!$D$9)&amp;"",""))</f>
        <v/>
      </c>
      <c r="K4188" s="32" t="s">
        <v>1367</v>
      </c>
    </row>
    <row r="4189" customFormat="false" ht="15" hidden="false" customHeight="false" outlineLevel="0" collapsed="false">
      <c r="A4189" s="23" t="str">
        <f aca="false">IF(B4189="","",B4189+(16*1000+138)/10000000)</f>
        <v/>
      </c>
      <c r="B4189" s="35" t="str">
        <f aca="false">IF(AND(IFERROR(N(INDEX(Clay_Brands!$A$2:$FZ$601,138,Sync!$D$12)),0)&gt;0,IFERROR(INDEX(Clay_Brands!$A$2:$FZ$601,138,Sync!$D$5)&amp;"","")&lt;&gt;"",OR(LEFT(IFERROR(INDEX(Clay_Brands!$A$2:$FZ$601,138,Sync!$D$5)&amp;"",""),6)&lt;&gt;"SAMPLE",Config!$B$19="Y")),IFERROR(N(INDEX(Clay_Brands!$A$2:$FZ$601,138,Sync!$D$12)),0),"")</f>
        <v/>
      </c>
      <c r="C4189" s="23" t="str">
        <f aca="false">IF(B4189="","","brand")</f>
        <v/>
      </c>
      <c r="D4189" s="23" t="str">
        <f aca="false">IF(B4189="","",IFERROR(INDEX(Brand_Log!$DV$2:$DV$201,MATCH(IFERROR(INDEX(Clay_Brands!$A$2:$FZ$601,138,Sync!$D$5)&amp;"",""),Brand_Log!$A$2:$A$201,0))&amp;"",IFERROR(INDEX(Clay_Brands!$A$2:$FZ$601,138,Sync!$D$5)&amp;"","")&amp;""))</f>
        <v/>
      </c>
      <c r="E4189" s="23" t="str">
        <f aca="false">IF(B4189="","",IFERROR(INDEX(Clay_Brands!$A$2:$FZ$601,138,Sync!$D$6)&amp;"",""))</f>
        <v/>
      </c>
      <c r="F4189" s="23" t="str">
        <f aca="false">IF(B4189="","","outreach_sent")</f>
        <v/>
      </c>
      <c r="G4189" s="23" t="str">
        <f aca="false">IF(B4189="","","")</f>
        <v/>
      </c>
      <c r="H4189" s="23" t="str">
        <f aca="false">IF(B4189="","","")</f>
        <v/>
      </c>
      <c r="I4189" s="23" t="str">
        <f aca="false">IF(B4189="","","")</f>
        <v/>
      </c>
      <c r="J4189" s="23" t="str">
        <f aca="false">IF(B4189="","","touch_2; "&amp;IFERROR(INDEX(Clay_Brands!$A$2:$FZ$601,138,Sync!$D$10)&amp;"","")&amp;"; "&amp;IFERROR(INDEX(Clay_Brands!$A$2:$FZ$601,138,Sync!$D$9)&amp;"",""))</f>
        <v/>
      </c>
      <c r="K4189" s="32" t="s">
        <v>1367</v>
      </c>
    </row>
    <row r="4190" customFormat="false" ht="15" hidden="false" customHeight="false" outlineLevel="0" collapsed="false">
      <c r="A4190" s="23" t="str">
        <f aca="false">IF(B4190="","",B4190+(16*1000+139)/10000000)</f>
        <v/>
      </c>
      <c r="B4190" s="35" t="str">
        <f aca="false">IF(AND(IFERROR(N(INDEX(Clay_Brands!$A$2:$FZ$601,139,Sync!$D$12)),0)&gt;0,IFERROR(INDEX(Clay_Brands!$A$2:$FZ$601,139,Sync!$D$5)&amp;"","")&lt;&gt;"",OR(LEFT(IFERROR(INDEX(Clay_Brands!$A$2:$FZ$601,139,Sync!$D$5)&amp;"",""),6)&lt;&gt;"SAMPLE",Config!$B$19="Y")),IFERROR(N(INDEX(Clay_Brands!$A$2:$FZ$601,139,Sync!$D$12)),0),"")</f>
        <v/>
      </c>
      <c r="C4190" s="23" t="str">
        <f aca="false">IF(B4190="","","brand")</f>
        <v/>
      </c>
      <c r="D4190" s="23" t="str">
        <f aca="false">IF(B4190="","",IFERROR(INDEX(Brand_Log!$DV$2:$DV$201,MATCH(IFERROR(INDEX(Clay_Brands!$A$2:$FZ$601,139,Sync!$D$5)&amp;"",""),Brand_Log!$A$2:$A$201,0))&amp;"",IFERROR(INDEX(Clay_Brands!$A$2:$FZ$601,139,Sync!$D$5)&amp;"","")&amp;""))</f>
        <v/>
      </c>
      <c r="E4190" s="23" t="str">
        <f aca="false">IF(B4190="","",IFERROR(INDEX(Clay_Brands!$A$2:$FZ$601,139,Sync!$D$6)&amp;"",""))</f>
        <v/>
      </c>
      <c r="F4190" s="23" t="str">
        <f aca="false">IF(B4190="","","outreach_sent")</f>
        <v/>
      </c>
      <c r="G4190" s="23" t="str">
        <f aca="false">IF(B4190="","","")</f>
        <v/>
      </c>
      <c r="H4190" s="23" t="str">
        <f aca="false">IF(B4190="","","")</f>
        <v/>
      </c>
      <c r="I4190" s="23" t="str">
        <f aca="false">IF(B4190="","","")</f>
        <v/>
      </c>
      <c r="J4190" s="23" t="str">
        <f aca="false">IF(B4190="","","touch_2; "&amp;IFERROR(INDEX(Clay_Brands!$A$2:$FZ$601,139,Sync!$D$10)&amp;"","")&amp;"; "&amp;IFERROR(INDEX(Clay_Brands!$A$2:$FZ$601,139,Sync!$D$9)&amp;"",""))</f>
        <v/>
      </c>
      <c r="K4190" s="32" t="s">
        <v>1367</v>
      </c>
    </row>
    <row r="4191" customFormat="false" ht="15" hidden="false" customHeight="false" outlineLevel="0" collapsed="false">
      <c r="A4191" s="23" t="str">
        <f aca="false">IF(B4191="","",B4191+(16*1000+140)/10000000)</f>
        <v/>
      </c>
      <c r="B4191" s="35" t="str">
        <f aca="false">IF(AND(IFERROR(N(INDEX(Clay_Brands!$A$2:$FZ$601,140,Sync!$D$12)),0)&gt;0,IFERROR(INDEX(Clay_Brands!$A$2:$FZ$601,140,Sync!$D$5)&amp;"","")&lt;&gt;"",OR(LEFT(IFERROR(INDEX(Clay_Brands!$A$2:$FZ$601,140,Sync!$D$5)&amp;"",""),6)&lt;&gt;"SAMPLE",Config!$B$19="Y")),IFERROR(N(INDEX(Clay_Brands!$A$2:$FZ$601,140,Sync!$D$12)),0),"")</f>
        <v/>
      </c>
      <c r="C4191" s="23" t="str">
        <f aca="false">IF(B4191="","","brand")</f>
        <v/>
      </c>
      <c r="D4191" s="23" t="str">
        <f aca="false">IF(B4191="","",IFERROR(INDEX(Brand_Log!$DV$2:$DV$201,MATCH(IFERROR(INDEX(Clay_Brands!$A$2:$FZ$601,140,Sync!$D$5)&amp;"",""),Brand_Log!$A$2:$A$201,0))&amp;"",IFERROR(INDEX(Clay_Brands!$A$2:$FZ$601,140,Sync!$D$5)&amp;"","")&amp;""))</f>
        <v/>
      </c>
      <c r="E4191" s="23" t="str">
        <f aca="false">IF(B4191="","",IFERROR(INDEX(Clay_Brands!$A$2:$FZ$601,140,Sync!$D$6)&amp;"",""))</f>
        <v/>
      </c>
      <c r="F4191" s="23" t="str">
        <f aca="false">IF(B4191="","","outreach_sent")</f>
        <v/>
      </c>
      <c r="G4191" s="23" t="str">
        <f aca="false">IF(B4191="","","")</f>
        <v/>
      </c>
      <c r="H4191" s="23" t="str">
        <f aca="false">IF(B4191="","","")</f>
        <v/>
      </c>
      <c r="I4191" s="23" t="str">
        <f aca="false">IF(B4191="","","")</f>
        <v/>
      </c>
      <c r="J4191" s="23" t="str">
        <f aca="false">IF(B4191="","","touch_2; "&amp;IFERROR(INDEX(Clay_Brands!$A$2:$FZ$601,140,Sync!$D$10)&amp;"","")&amp;"; "&amp;IFERROR(INDEX(Clay_Brands!$A$2:$FZ$601,140,Sync!$D$9)&amp;"",""))</f>
        <v/>
      </c>
      <c r="K4191" s="32" t="s">
        <v>1367</v>
      </c>
    </row>
    <row r="4192" customFormat="false" ht="15" hidden="false" customHeight="false" outlineLevel="0" collapsed="false">
      <c r="A4192" s="23" t="str">
        <f aca="false">IF(B4192="","",B4192+(16*1000+141)/10000000)</f>
        <v/>
      </c>
      <c r="B4192" s="35" t="str">
        <f aca="false">IF(AND(IFERROR(N(INDEX(Clay_Brands!$A$2:$FZ$601,141,Sync!$D$12)),0)&gt;0,IFERROR(INDEX(Clay_Brands!$A$2:$FZ$601,141,Sync!$D$5)&amp;"","")&lt;&gt;"",OR(LEFT(IFERROR(INDEX(Clay_Brands!$A$2:$FZ$601,141,Sync!$D$5)&amp;"",""),6)&lt;&gt;"SAMPLE",Config!$B$19="Y")),IFERROR(N(INDEX(Clay_Brands!$A$2:$FZ$601,141,Sync!$D$12)),0),"")</f>
        <v/>
      </c>
      <c r="C4192" s="23" t="str">
        <f aca="false">IF(B4192="","","brand")</f>
        <v/>
      </c>
      <c r="D4192" s="23" t="str">
        <f aca="false">IF(B4192="","",IFERROR(INDEX(Brand_Log!$DV$2:$DV$201,MATCH(IFERROR(INDEX(Clay_Brands!$A$2:$FZ$601,141,Sync!$D$5)&amp;"",""),Brand_Log!$A$2:$A$201,0))&amp;"",IFERROR(INDEX(Clay_Brands!$A$2:$FZ$601,141,Sync!$D$5)&amp;"","")&amp;""))</f>
        <v/>
      </c>
      <c r="E4192" s="23" t="str">
        <f aca="false">IF(B4192="","",IFERROR(INDEX(Clay_Brands!$A$2:$FZ$601,141,Sync!$D$6)&amp;"",""))</f>
        <v/>
      </c>
      <c r="F4192" s="23" t="str">
        <f aca="false">IF(B4192="","","outreach_sent")</f>
        <v/>
      </c>
      <c r="G4192" s="23" t="str">
        <f aca="false">IF(B4192="","","")</f>
        <v/>
      </c>
      <c r="H4192" s="23" t="str">
        <f aca="false">IF(B4192="","","")</f>
        <v/>
      </c>
      <c r="I4192" s="23" t="str">
        <f aca="false">IF(B4192="","","")</f>
        <v/>
      </c>
      <c r="J4192" s="23" t="str">
        <f aca="false">IF(B4192="","","touch_2; "&amp;IFERROR(INDEX(Clay_Brands!$A$2:$FZ$601,141,Sync!$D$10)&amp;"","")&amp;"; "&amp;IFERROR(INDEX(Clay_Brands!$A$2:$FZ$601,141,Sync!$D$9)&amp;"",""))</f>
        <v/>
      </c>
      <c r="K4192" s="32" t="s">
        <v>1367</v>
      </c>
    </row>
    <row r="4193" customFormat="false" ht="15" hidden="false" customHeight="false" outlineLevel="0" collapsed="false">
      <c r="A4193" s="23" t="str">
        <f aca="false">IF(B4193="","",B4193+(16*1000+142)/10000000)</f>
        <v/>
      </c>
      <c r="B4193" s="35" t="str">
        <f aca="false">IF(AND(IFERROR(N(INDEX(Clay_Brands!$A$2:$FZ$601,142,Sync!$D$12)),0)&gt;0,IFERROR(INDEX(Clay_Brands!$A$2:$FZ$601,142,Sync!$D$5)&amp;"","")&lt;&gt;"",OR(LEFT(IFERROR(INDEX(Clay_Brands!$A$2:$FZ$601,142,Sync!$D$5)&amp;"",""),6)&lt;&gt;"SAMPLE",Config!$B$19="Y")),IFERROR(N(INDEX(Clay_Brands!$A$2:$FZ$601,142,Sync!$D$12)),0),"")</f>
        <v/>
      </c>
      <c r="C4193" s="23" t="str">
        <f aca="false">IF(B4193="","","brand")</f>
        <v/>
      </c>
      <c r="D4193" s="23" t="str">
        <f aca="false">IF(B4193="","",IFERROR(INDEX(Brand_Log!$DV$2:$DV$201,MATCH(IFERROR(INDEX(Clay_Brands!$A$2:$FZ$601,142,Sync!$D$5)&amp;"",""),Brand_Log!$A$2:$A$201,0))&amp;"",IFERROR(INDEX(Clay_Brands!$A$2:$FZ$601,142,Sync!$D$5)&amp;"","")&amp;""))</f>
        <v/>
      </c>
      <c r="E4193" s="23" t="str">
        <f aca="false">IF(B4193="","",IFERROR(INDEX(Clay_Brands!$A$2:$FZ$601,142,Sync!$D$6)&amp;"",""))</f>
        <v/>
      </c>
      <c r="F4193" s="23" t="str">
        <f aca="false">IF(B4193="","","outreach_sent")</f>
        <v/>
      </c>
      <c r="G4193" s="23" t="str">
        <f aca="false">IF(B4193="","","")</f>
        <v/>
      </c>
      <c r="H4193" s="23" t="str">
        <f aca="false">IF(B4193="","","")</f>
        <v/>
      </c>
      <c r="I4193" s="23" t="str">
        <f aca="false">IF(B4193="","","")</f>
        <v/>
      </c>
      <c r="J4193" s="23" t="str">
        <f aca="false">IF(B4193="","","touch_2; "&amp;IFERROR(INDEX(Clay_Brands!$A$2:$FZ$601,142,Sync!$D$10)&amp;"","")&amp;"; "&amp;IFERROR(INDEX(Clay_Brands!$A$2:$FZ$601,142,Sync!$D$9)&amp;"",""))</f>
        <v/>
      </c>
      <c r="K4193" s="32" t="s">
        <v>1367</v>
      </c>
    </row>
    <row r="4194" customFormat="false" ht="15" hidden="false" customHeight="false" outlineLevel="0" collapsed="false">
      <c r="A4194" s="23" t="str">
        <f aca="false">IF(B4194="","",B4194+(16*1000+143)/10000000)</f>
        <v/>
      </c>
      <c r="B4194" s="35" t="str">
        <f aca="false">IF(AND(IFERROR(N(INDEX(Clay_Brands!$A$2:$FZ$601,143,Sync!$D$12)),0)&gt;0,IFERROR(INDEX(Clay_Brands!$A$2:$FZ$601,143,Sync!$D$5)&amp;"","")&lt;&gt;"",OR(LEFT(IFERROR(INDEX(Clay_Brands!$A$2:$FZ$601,143,Sync!$D$5)&amp;"",""),6)&lt;&gt;"SAMPLE",Config!$B$19="Y")),IFERROR(N(INDEX(Clay_Brands!$A$2:$FZ$601,143,Sync!$D$12)),0),"")</f>
        <v/>
      </c>
      <c r="C4194" s="23" t="str">
        <f aca="false">IF(B4194="","","brand")</f>
        <v/>
      </c>
      <c r="D4194" s="23" t="str">
        <f aca="false">IF(B4194="","",IFERROR(INDEX(Brand_Log!$DV$2:$DV$201,MATCH(IFERROR(INDEX(Clay_Brands!$A$2:$FZ$601,143,Sync!$D$5)&amp;"",""),Brand_Log!$A$2:$A$201,0))&amp;"",IFERROR(INDEX(Clay_Brands!$A$2:$FZ$601,143,Sync!$D$5)&amp;"","")&amp;""))</f>
        <v/>
      </c>
      <c r="E4194" s="23" t="str">
        <f aca="false">IF(B4194="","",IFERROR(INDEX(Clay_Brands!$A$2:$FZ$601,143,Sync!$D$6)&amp;"",""))</f>
        <v/>
      </c>
      <c r="F4194" s="23" t="str">
        <f aca="false">IF(B4194="","","outreach_sent")</f>
        <v/>
      </c>
      <c r="G4194" s="23" t="str">
        <f aca="false">IF(B4194="","","")</f>
        <v/>
      </c>
      <c r="H4194" s="23" t="str">
        <f aca="false">IF(B4194="","","")</f>
        <v/>
      </c>
      <c r="I4194" s="23" t="str">
        <f aca="false">IF(B4194="","","")</f>
        <v/>
      </c>
      <c r="J4194" s="23" t="str">
        <f aca="false">IF(B4194="","","touch_2; "&amp;IFERROR(INDEX(Clay_Brands!$A$2:$FZ$601,143,Sync!$D$10)&amp;"","")&amp;"; "&amp;IFERROR(INDEX(Clay_Brands!$A$2:$FZ$601,143,Sync!$D$9)&amp;"",""))</f>
        <v/>
      </c>
      <c r="K4194" s="32" t="s">
        <v>1367</v>
      </c>
    </row>
    <row r="4195" customFormat="false" ht="15" hidden="false" customHeight="false" outlineLevel="0" collapsed="false">
      <c r="A4195" s="23" t="str">
        <f aca="false">IF(B4195="","",B4195+(16*1000+144)/10000000)</f>
        <v/>
      </c>
      <c r="B4195" s="35" t="str">
        <f aca="false">IF(AND(IFERROR(N(INDEX(Clay_Brands!$A$2:$FZ$601,144,Sync!$D$12)),0)&gt;0,IFERROR(INDEX(Clay_Brands!$A$2:$FZ$601,144,Sync!$D$5)&amp;"","")&lt;&gt;"",OR(LEFT(IFERROR(INDEX(Clay_Brands!$A$2:$FZ$601,144,Sync!$D$5)&amp;"",""),6)&lt;&gt;"SAMPLE",Config!$B$19="Y")),IFERROR(N(INDEX(Clay_Brands!$A$2:$FZ$601,144,Sync!$D$12)),0),"")</f>
        <v/>
      </c>
      <c r="C4195" s="23" t="str">
        <f aca="false">IF(B4195="","","brand")</f>
        <v/>
      </c>
      <c r="D4195" s="23" t="str">
        <f aca="false">IF(B4195="","",IFERROR(INDEX(Brand_Log!$DV$2:$DV$201,MATCH(IFERROR(INDEX(Clay_Brands!$A$2:$FZ$601,144,Sync!$D$5)&amp;"",""),Brand_Log!$A$2:$A$201,0))&amp;"",IFERROR(INDEX(Clay_Brands!$A$2:$FZ$601,144,Sync!$D$5)&amp;"","")&amp;""))</f>
        <v/>
      </c>
      <c r="E4195" s="23" t="str">
        <f aca="false">IF(B4195="","",IFERROR(INDEX(Clay_Brands!$A$2:$FZ$601,144,Sync!$D$6)&amp;"",""))</f>
        <v/>
      </c>
      <c r="F4195" s="23" t="str">
        <f aca="false">IF(B4195="","","outreach_sent")</f>
        <v/>
      </c>
      <c r="G4195" s="23" t="str">
        <f aca="false">IF(B4195="","","")</f>
        <v/>
      </c>
      <c r="H4195" s="23" t="str">
        <f aca="false">IF(B4195="","","")</f>
        <v/>
      </c>
      <c r="I4195" s="23" t="str">
        <f aca="false">IF(B4195="","","")</f>
        <v/>
      </c>
      <c r="J4195" s="23" t="str">
        <f aca="false">IF(B4195="","","touch_2; "&amp;IFERROR(INDEX(Clay_Brands!$A$2:$FZ$601,144,Sync!$D$10)&amp;"","")&amp;"; "&amp;IFERROR(INDEX(Clay_Brands!$A$2:$FZ$601,144,Sync!$D$9)&amp;"",""))</f>
        <v/>
      </c>
      <c r="K4195" s="32" t="s">
        <v>1367</v>
      </c>
    </row>
    <row r="4196" customFormat="false" ht="15" hidden="false" customHeight="false" outlineLevel="0" collapsed="false">
      <c r="A4196" s="23" t="str">
        <f aca="false">IF(B4196="","",B4196+(16*1000+145)/10000000)</f>
        <v/>
      </c>
      <c r="B4196" s="35" t="str">
        <f aca="false">IF(AND(IFERROR(N(INDEX(Clay_Brands!$A$2:$FZ$601,145,Sync!$D$12)),0)&gt;0,IFERROR(INDEX(Clay_Brands!$A$2:$FZ$601,145,Sync!$D$5)&amp;"","")&lt;&gt;"",OR(LEFT(IFERROR(INDEX(Clay_Brands!$A$2:$FZ$601,145,Sync!$D$5)&amp;"",""),6)&lt;&gt;"SAMPLE",Config!$B$19="Y")),IFERROR(N(INDEX(Clay_Brands!$A$2:$FZ$601,145,Sync!$D$12)),0),"")</f>
        <v/>
      </c>
      <c r="C4196" s="23" t="str">
        <f aca="false">IF(B4196="","","brand")</f>
        <v/>
      </c>
      <c r="D4196" s="23" t="str">
        <f aca="false">IF(B4196="","",IFERROR(INDEX(Brand_Log!$DV$2:$DV$201,MATCH(IFERROR(INDEX(Clay_Brands!$A$2:$FZ$601,145,Sync!$D$5)&amp;"",""),Brand_Log!$A$2:$A$201,0))&amp;"",IFERROR(INDEX(Clay_Brands!$A$2:$FZ$601,145,Sync!$D$5)&amp;"","")&amp;""))</f>
        <v/>
      </c>
      <c r="E4196" s="23" t="str">
        <f aca="false">IF(B4196="","",IFERROR(INDEX(Clay_Brands!$A$2:$FZ$601,145,Sync!$D$6)&amp;"",""))</f>
        <v/>
      </c>
      <c r="F4196" s="23" t="str">
        <f aca="false">IF(B4196="","","outreach_sent")</f>
        <v/>
      </c>
      <c r="G4196" s="23" t="str">
        <f aca="false">IF(B4196="","","")</f>
        <v/>
      </c>
      <c r="H4196" s="23" t="str">
        <f aca="false">IF(B4196="","","")</f>
        <v/>
      </c>
      <c r="I4196" s="23" t="str">
        <f aca="false">IF(B4196="","","")</f>
        <v/>
      </c>
      <c r="J4196" s="23" t="str">
        <f aca="false">IF(B4196="","","touch_2; "&amp;IFERROR(INDEX(Clay_Brands!$A$2:$FZ$601,145,Sync!$D$10)&amp;"","")&amp;"; "&amp;IFERROR(INDEX(Clay_Brands!$A$2:$FZ$601,145,Sync!$D$9)&amp;"",""))</f>
        <v/>
      </c>
      <c r="K4196" s="32" t="s">
        <v>1367</v>
      </c>
    </row>
    <row r="4197" customFormat="false" ht="15" hidden="false" customHeight="false" outlineLevel="0" collapsed="false">
      <c r="A4197" s="23" t="str">
        <f aca="false">IF(B4197="","",B4197+(16*1000+146)/10000000)</f>
        <v/>
      </c>
      <c r="B4197" s="35" t="str">
        <f aca="false">IF(AND(IFERROR(N(INDEX(Clay_Brands!$A$2:$FZ$601,146,Sync!$D$12)),0)&gt;0,IFERROR(INDEX(Clay_Brands!$A$2:$FZ$601,146,Sync!$D$5)&amp;"","")&lt;&gt;"",OR(LEFT(IFERROR(INDEX(Clay_Brands!$A$2:$FZ$601,146,Sync!$D$5)&amp;"",""),6)&lt;&gt;"SAMPLE",Config!$B$19="Y")),IFERROR(N(INDEX(Clay_Brands!$A$2:$FZ$601,146,Sync!$D$12)),0),"")</f>
        <v/>
      </c>
      <c r="C4197" s="23" t="str">
        <f aca="false">IF(B4197="","","brand")</f>
        <v/>
      </c>
      <c r="D4197" s="23" t="str">
        <f aca="false">IF(B4197="","",IFERROR(INDEX(Brand_Log!$DV$2:$DV$201,MATCH(IFERROR(INDEX(Clay_Brands!$A$2:$FZ$601,146,Sync!$D$5)&amp;"",""),Brand_Log!$A$2:$A$201,0))&amp;"",IFERROR(INDEX(Clay_Brands!$A$2:$FZ$601,146,Sync!$D$5)&amp;"","")&amp;""))</f>
        <v/>
      </c>
      <c r="E4197" s="23" t="str">
        <f aca="false">IF(B4197="","",IFERROR(INDEX(Clay_Brands!$A$2:$FZ$601,146,Sync!$D$6)&amp;"",""))</f>
        <v/>
      </c>
      <c r="F4197" s="23" t="str">
        <f aca="false">IF(B4197="","","outreach_sent")</f>
        <v/>
      </c>
      <c r="G4197" s="23" t="str">
        <f aca="false">IF(B4197="","","")</f>
        <v/>
      </c>
      <c r="H4197" s="23" t="str">
        <f aca="false">IF(B4197="","","")</f>
        <v/>
      </c>
      <c r="I4197" s="23" t="str">
        <f aca="false">IF(B4197="","","")</f>
        <v/>
      </c>
      <c r="J4197" s="23" t="str">
        <f aca="false">IF(B4197="","","touch_2; "&amp;IFERROR(INDEX(Clay_Brands!$A$2:$FZ$601,146,Sync!$D$10)&amp;"","")&amp;"; "&amp;IFERROR(INDEX(Clay_Brands!$A$2:$FZ$601,146,Sync!$D$9)&amp;"",""))</f>
        <v/>
      </c>
      <c r="K4197" s="32" t="s">
        <v>1367</v>
      </c>
    </row>
    <row r="4198" customFormat="false" ht="15" hidden="false" customHeight="false" outlineLevel="0" collapsed="false">
      <c r="A4198" s="23" t="str">
        <f aca="false">IF(B4198="","",B4198+(16*1000+147)/10000000)</f>
        <v/>
      </c>
      <c r="B4198" s="35" t="str">
        <f aca="false">IF(AND(IFERROR(N(INDEX(Clay_Brands!$A$2:$FZ$601,147,Sync!$D$12)),0)&gt;0,IFERROR(INDEX(Clay_Brands!$A$2:$FZ$601,147,Sync!$D$5)&amp;"","")&lt;&gt;"",OR(LEFT(IFERROR(INDEX(Clay_Brands!$A$2:$FZ$601,147,Sync!$D$5)&amp;"",""),6)&lt;&gt;"SAMPLE",Config!$B$19="Y")),IFERROR(N(INDEX(Clay_Brands!$A$2:$FZ$601,147,Sync!$D$12)),0),"")</f>
        <v/>
      </c>
      <c r="C4198" s="23" t="str">
        <f aca="false">IF(B4198="","","brand")</f>
        <v/>
      </c>
      <c r="D4198" s="23" t="str">
        <f aca="false">IF(B4198="","",IFERROR(INDEX(Brand_Log!$DV$2:$DV$201,MATCH(IFERROR(INDEX(Clay_Brands!$A$2:$FZ$601,147,Sync!$D$5)&amp;"",""),Brand_Log!$A$2:$A$201,0))&amp;"",IFERROR(INDEX(Clay_Brands!$A$2:$FZ$601,147,Sync!$D$5)&amp;"","")&amp;""))</f>
        <v/>
      </c>
      <c r="E4198" s="23" t="str">
        <f aca="false">IF(B4198="","",IFERROR(INDEX(Clay_Brands!$A$2:$FZ$601,147,Sync!$D$6)&amp;"",""))</f>
        <v/>
      </c>
      <c r="F4198" s="23" t="str">
        <f aca="false">IF(B4198="","","outreach_sent")</f>
        <v/>
      </c>
      <c r="G4198" s="23" t="str">
        <f aca="false">IF(B4198="","","")</f>
        <v/>
      </c>
      <c r="H4198" s="23" t="str">
        <f aca="false">IF(B4198="","","")</f>
        <v/>
      </c>
      <c r="I4198" s="23" t="str">
        <f aca="false">IF(B4198="","","")</f>
        <v/>
      </c>
      <c r="J4198" s="23" t="str">
        <f aca="false">IF(B4198="","","touch_2; "&amp;IFERROR(INDEX(Clay_Brands!$A$2:$FZ$601,147,Sync!$D$10)&amp;"","")&amp;"; "&amp;IFERROR(INDEX(Clay_Brands!$A$2:$FZ$601,147,Sync!$D$9)&amp;"",""))</f>
        <v/>
      </c>
      <c r="K4198" s="32" t="s">
        <v>1367</v>
      </c>
    </row>
    <row r="4199" customFormat="false" ht="15" hidden="false" customHeight="false" outlineLevel="0" collapsed="false">
      <c r="A4199" s="23" t="str">
        <f aca="false">IF(B4199="","",B4199+(16*1000+148)/10000000)</f>
        <v/>
      </c>
      <c r="B4199" s="35" t="str">
        <f aca="false">IF(AND(IFERROR(N(INDEX(Clay_Brands!$A$2:$FZ$601,148,Sync!$D$12)),0)&gt;0,IFERROR(INDEX(Clay_Brands!$A$2:$FZ$601,148,Sync!$D$5)&amp;"","")&lt;&gt;"",OR(LEFT(IFERROR(INDEX(Clay_Brands!$A$2:$FZ$601,148,Sync!$D$5)&amp;"",""),6)&lt;&gt;"SAMPLE",Config!$B$19="Y")),IFERROR(N(INDEX(Clay_Brands!$A$2:$FZ$601,148,Sync!$D$12)),0),"")</f>
        <v/>
      </c>
      <c r="C4199" s="23" t="str">
        <f aca="false">IF(B4199="","","brand")</f>
        <v/>
      </c>
      <c r="D4199" s="23" t="str">
        <f aca="false">IF(B4199="","",IFERROR(INDEX(Brand_Log!$DV$2:$DV$201,MATCH(IFERROR(INDEX(Clay_Brands!$A$2:$FZ$601,148,Sync!$D$5)&amp;"",""),Brand_Log!$A$2:$A$201,0))&amp;"",IFERROR(INDEX(Clay_Brands!$A$2:$FZ$601,148,Sync!$D$5)&amp;"","")&amp;""))</f>
        <v/>
      </c>
      <c r="E4199" s="23" t="str">
        <f aca="false">IF(B4199="","",IFERROR(INDEX(Clay_Brands!$A$2:$FZ$601,148,Sync!$D$6)&amp;"",""))</f>
        <v/>
      </c>
      <c r="F4199" s="23" t="str">
        <f aca="false">IF(B4199="","","outreach_sent")</f>
        <v/>
      </c>
      <c r="G4199" s="23" t="str">
        <f aca="false">IF(B4199="","","")</f>
        <v/>
      </c>
      <c r="H4199" s="23" t="str">
        <f aca="false">IF(B4199="","","")</f>
        <v/>
      </c>
      <c r="I4199" s="23" t="str">
        <f aca="false">IF(B4199="","","")</f>
        <v/>
      </c>
      <c r="J4199" s="23" t="str">
        <f aca="false">IF(B4199="","","touch_2; "&amp;IFERROR(INDEX(Clay_Brands!$A$2:$FZ$601,148,Sync!$D$10)&amp;"","")&amp;"; "&amp;IFERROR(INDEX(Clay_Brands!$A$2:$FZ$601,148,Sync!$D$9)&amp;"",""))</f>
        <v/>
      </c>
      <c r="K4199" s="32" t="s">
        <v>1367</v>
      </c>
    </row>
    <row r="4200" customFormat="false" ht="15" hidden="false" customHeight="false" outlineLevel="0" collapsed="false">
      <c r="A4200" s="23" t="str">
        <f aca="false">IF(B4200="","",B4200+(16*1000+149)/10000000)</f>
        <v/>
      </c>
      <c r="B4200" s="35" t="str">
        <f aca="false">IF(AND(IFERROR(N(INDEX(Clay_Brands!$A$2:$FZ$601,149,Sync!$D$12)),0)&gt;0,IFERROR(INDEX(Clay_Brands!$A$2:$FZ$601,149,Sync!$D$5)&amp;"","")&lt;&gt;"",OR(LEFT(IFERROR(INDEX(Clay_Brands!$A$2:$FZ$601,149,Sync!$D$5)&amp;"",""),6)&lt;&gt;"SAMPLE",Config!$B$19="Y")),IFERROR(N(INDEX(Clay_Brands!$A$2:$FZ$601,149,Sync!$D$12)),0),"")</f>
        <v/>
      </c>
      <c r="C4200" s="23" t="str">
        <f aca="false">IF(B4200="","","brand")</f>
        <v/>
      </c>
      <c r="D4200" s="23" t="str">
        <f aca="false">IF(B4200="","",IFERROR(INDEX(Brand_Log!$DV$2:$DV$201,MATCH(IFERROR(INDEX(Clay_Brands!$A$2:$FZ$601,149,Sync!$D$5)&amp;"",""),Brand_Log!$A$2:$A$201,0))&amp;"",IFERROR(INDEX(Clay_Brands!$A$2:$FZ$601,149,Sync!$D$5)&amp;"","")&amp;""))</f>
        <v/>
      </c>
      <c r="E4200" s="23" t="str">
        <f aca="false">IF(B4200="","",IFERROR(INDEX(Clay_Brands!$A$2:$FZ$601,149,Sync!$D$6)&amp;"",""))</f>
        <v/>
      </c>
      <c r="F4200" s="23" t="str">
        <f aca="false">IF(B4200="","","outreach_sent")</f>
        <v/>
      </c>
      <c r="G4200" s="23" t="str">
        <f aca="false">IF(B4200="","","")</f>
        <v/>
      </c>
      <c r="H4200" s="23" t="str">
        <f aca="false">IF(B4200="","","")</f>
        <v/>
      </c>
      <c r="I4200" s="23" t="str">
        <f aca="false">IF(B4200="","","")</f>
        <v/>
      </c>
      <c r="J4200" s="23" t="str">
        <f aca="false">IF(B4200="","","touch_2; "&amp;IFERROR(INDEX(Clay_Brands!$A$2:$FZ$601,149,Sync!$D$10)&amp;"","")&amp;"; "&amp;IFERROR(INDEX(Clay_Brands!$A$2:$FZ$601,149,Sync!$D$9)&amp;"",""))</f>
        <v/>
      </c>
      <c r="K4200" s="32" t="s">
        <v>1367</v>
      </c>
    </row>
    <row r="4201" customFormat="false" ht="15" hidden="false" customHeight="false" outlineLevel="0" collapsed="false">
      <c r="A4201" s="23" t="str">
        <f aca="false">IF(B4201="","",B4201+(16*1000+150)/10000000)</f>
        <v/>
      </c>
      <c r="B4201" s="35" t="str">
        <f aca="false">IF(AND(IFERROR(N(INDEX(Clay_Brands!$A$2:$FZ$601,150,Sync!$D$12)),0)&gt;0,IFERROR(INDEX(Clay_Brands!$A$2:$FZ$601,150,Sync!$D$5)&amp;"","")&lt;&gt;"",OR(LEFT(IFERROR(INDEX(Clay_Brands!$A$2:$FZ$601,150,Sync!$D$5)&amp;"",""),6)&lt;&gt;"SAMPLE",Config!$B$19="Y")),IFERROR(N(INDEX(Clay_Brands!$A$2:$FZ$601,150,Sync!$D$12)),0),"")</f>
        <v/>
      </c>
      <c r="C4201" s="23" t="str">
        <f aca="false">IF(B4201="","","brand")</f>
        <v/>
      </c>
      <c r="D4201" s="23" t="str">
        <f aca="false">IF(B4201="","",IFERROR(INDEX(Brand_Log!$DV$2:$DV$201,MATCH(IFERROR(INDEX(Clay_Brands!$A$2:$FZ$601,150,Sync!$D$5)&amp;"",""),Brand_Log!$A$2:$A$201,0))&amp;"",IFERROR(INDEX(Clay_Brands!$A$2:$FZ$601,150,Sync!$D$5)&amp;"","")&amp;""))</f>
        <v/>
      </c>
      <c r="E4201" s="23" t="str">
        <f aca="false">IF(B4201="","",IFERROR(INDEX(Clay_Brands!$A$2:$FZ$601,150,Sync!$D$6)&amp;"",""))</f>
        <v/>
      </c>
      <c r="F4201" s="23" t="str">
        <f aca="false">IF(B4201="","","outreach_sent")</f>
        <v/>
      </c>
      <c r="G4201" s="23" t="str">
        <f aca="false">IF(B4201="","","")</f>
        <v/>
      </c>
      <c r="H4201" s="23" t="str">
        <f aca="false">IF(B4201="","","")</f>
        <v/>
      </c>
      <c r="I4201" s="23" t="str">
        <f aca="false">IF(B4201="","","")</f>
        <v/>
      </c>
      <c r="J4201" s="23" t="str">
        <f aca="false">IF(B4201="","","touch_2; "&amp;IFERROR(INDEX(Clay_Brands!$A$2:$FZ$601,150,Sync!$D$10)&amp;"","")&amp;"; "&amp;IFERROR(INDEX(Clay_Brands!$A$2:$FZ$601,150,Sync!$D$9)&amp;"",""))</f>
        <v/>
      </c>
      <c r="K4201" s="32" t="s">
        <v>1367</v>
      </c>
    </row>
    <row r="4202" customFormat="false" ht="15" hidden="false" customHeight="false" outlineLevel="0" collapsed="false">
      <c r="A4202" s="23" t="str">
        <f aca="false">IF(B4202="","",B4202+(16*1000+151)/10000000)</f>
        <v/>
      </c>
      <c r="B4202" s="35" t="str">
        <f aca="false">IF(AND(IFERROR(N(INDEX(Clay_Brands!$A$2:$FZ$601,151,Sync!$D$12)),0)&gt;0,IFERROR(INDEX(Clay_Brands!$A$2:$FZ$601,151,Sync!$D$5)&amp;"","")&lt;&gt;"",OR(LEFT(IFERROR(INDEX(Clay_Brands!$A$2:$FZ$601,151,Sync!$D$5)&amp;"",""),6)&lt;&gt;"SAMPLE",Config!$B$19="Y")),IFERROR(N(INDEX(Clay_Brands!$A$2:$FZ$601,151,Sync!$D$12)),0),"")</f>
        <v/>
      </c>
      <c r="C4202" s="23" t="str">
        <f aca="false">IF(B4202="","","brand")</f>
        <v/>
      </c>
      <c r="D4202" s="23" t="str">
        <f aca="false">IF(B4202="","",IFERROR(INDEX(Brand_Log!$DV$2:$DV$201,MATCH(IFERROR(INDEX(Clay_Brands!$A$2:$FZ$601,151,Sync!$D$5)&amp;"",""),Brand_Log!$A$2:$A$201,0))&amp;"",IFERROR(INDEX(Clay_Brands!$A$2:$FZ$601,151,Sync!$D$5)&amp;"","")&amp;""))</f>
        <v/>
      </c>
      <c r="E4202" s="23" t="str">
        <f aca="false">IF(B4202="","",IFERROR(INDEX(Clay_Brands!$A$2:$FZ$601,151,Sync!$D$6)&amp;"",""))</f>
        <v/>
      </c>
      <c r="F4202" s="23" t="str">
        <f aca="false">IF(B4202="","","outreach_sent")</f>
        <v/>
      </c>
      <c r="G4202" s="23" t="str">
        <f aca="false">IF(B4202="","","")</f>
        <v/>
      </c>
      <c r="H4202" s="23" t="str">
        <f aca="false">IF(B4202="","","")</f>
        <v/>
      </c>
      <c r="I4202" s="23" t="str">
        <f aca="false">IF(B4202="","","")</f>
        <v/>
      </c>
      <c r="J4202" s="23" t="str">
        <f aca="false">IF(B4202="","","touch_2; "&amp;IFERROR(INDEX(Clay_Brands!$A$2:$FZ$601,151,Sync!$D$10)&amp;"","")&amp;"; "&amp;IFERROR(INDEX(Clay_Brands!$A$2:$FZ$601,151,Sync!$D$9)&amp;"",""))</f>
        <v/>
      </c>
      <c r="K4202" s="32" t="s">
        <v>1367</v>
      </c>
    </row>
    <row r="4203" customFormat="false" ht="15" hidden="false" customHeight="false" outlineLevel="0" collapsed="false">
      <c r="A4203" s="23" t="str">
        <f aca="false">IF(B4203="","",B4203+(16*1000+152)/10000000)</f>
        <v/>
      </c>
      <c r="B4203" s="35" t="str">
        <f aca="false">IF(AND(IFERROR(N(INDEX(Clay_Brands!$A$2:$FZ$601,152,Sync!$D$12)),0)&gt;0,IFERROR(INDEX(Clay_Brands!$A$2:$FZ$601,152,Sync!$D$5)&amp;"","")&lt;&gt;"",OR(LEFT(IFERROR(INDEX(Clay_Brands!$A$2:$FZ$601,152,Sync!$D$5)&amp;"",""),6)&lt;&gt;"SAMPLE",Config!$B$19="Y")),IFERROR(N(INDEX(Clay_Brands!$A$2:$FZ$601,152,Sync!$D$12)),0),"")</f>
        <v/>
      </c>
      <c r="C4203" s="23" t="str">
        <f aca="false">IF(B4203="","","brand")</f>
        <v/>
      </c>
      <c r="D4203" s="23" t="str">
        <f aca="false">IF(B4203="","",IFERROR(INDEX(Brand_Log!$DV$2:$DV$201,MATCH(IFERROR(INDEX(Clay_Brands!$A$2:$FZ$601,152,Sync!$D$5)&amp;"",""),Brand_Log!$A$2:$A$201,0))&amp;"",IFERROR(INDEX(Clay_Brands!$A$2:$FZ$601,152,Sync!$D$5)&amp;"","")&amp;""))</f>
        <v/>
      </c>
      <c r="E4203" s="23" t="str">
        <f aca="false">IF(B4203="","",IFERROR(INDEX(Clay_Brands!$A$2:$FZ$601,152,Sync!$D$6)&amp;"",""))</f>
        <v/>
      </c>
      <c r="F4203" s="23" t="str">
        <f aca="false">IF(B4203="","","outreach_sent")</f>
        <v/>
      </c>
      <c r="G4203" s="23" t="str">
        <f aca="false">IF(B4203="","","")</f>
        <v/>
      </c>
      <c r="H4203" s="23" t="str">
        <f aca="false">IF(B4203="","","")</f>
        <v/>
      </c>
      <c r="I4203" s="23" t="str">
        <f aca="false">IF(B4203="","","")</f>
        <v/>
      </c>
      <c r="J4203" s="23" t="str">
        <f aca="false">IF(B4203="","","touch_2; "&amp;IFERROR(INDEX(Clay_Brands!$A$2:$FZ$601,152,Sync!$D$10)&amp;"","")&amp;"; "&amp;IFERROR(INDEX(Clay_Brands!$A$2:$FZ$601,152,Sync!$D$9)&amp;"",""))</f>
        <v/>
      </c>
      <c r="K4203" s="32" t="s">
        <v>1367</v>
      </c>
    </row>
    <row r="4204" customFormat="false" ht="15" hidden="false" customHeight="false" outlineLevel="0" collapsed="false">
      <c r="A4204" s="23" t="str">
        <f aca="false">IF(B4204="","",B4204+(16*1000+153)/10000000)</f>
        <v/>
      </c>
      <c r="B4204" s="35" t="str">
        <f aca="false">IF(AND(IFERROR(N(INDEX(Clay_Brands!$A$2:$FZ$601,153,Sync!$D$12)),0)&gt;0,IFERROR(INDEX(Clay_Brands!$A$2:$FZ$601,153,Sync!$D$5)&amp;"","")&lt;&gt;"",OR(LEFT(IFERROR(INDEX(Clay_Brands!$A$2:$FZ$601,153,Sync!$D$5)&amp;"",""),6)&lt;&gt;"SAMPLE",Config!$B$19="Y")),IFERROR(N(INDEX(Clay_Brands!$A$2:$FZ$601,153,Sync!$D$12)),0),"")</f>
        <v/>
      </c>
      <c r="C4204" s="23" t="str">
        <f aca="false">IF(B4204="","","brand")</f>
        <v/>
      </c>
      <c r="D4204" s="23" t="str">
        <f aca="false">IF(B4204="","",IFERROR(INDEX(Brand_Log!$DV$2:$DV$201,MATCH(IFERROR(INDEX(Clay_Brands!$A$2:$FZ$601,153,Sync!$D$5)&amp;"",""),Brand_Log!$A$2:$A$201,0))&amp;"",IFERROR(INDEX(Clay_Brands!$A$2:$FZ$601,153,Sync!$D$5)&amp;"","")&amp;""))</f>
        <v/>
      </c>
      <c r="E4204" s="23" t="str">
        <f aca="false">IF(B4204="","",IFERROR(INDEX(Clay_Brands!$A$2:$FZ$601,153,Sync!$D$6)&amp;"",""))</f>
        <v/>
      </c>
      <c r="F4204" s="23" t="str">
        <f aca="false">IF(B4204="","","outreach_sent")</f>
        <v/>
      </c>
      <c r="G4204" s="23" t="str">
        <f aca="false">IF(B4204="","","")</f>
        <v/>
      </c>
      <c r="H4204" s="23" t="str">
        <f aca="false">IF(B4204="","","")</f>
        <v/>
      </c>
      <c r="I4204" s="23" t="str">
        <f aca="false">IF(B4204="","","")</f>
        <v/>
      </c>
      <c r="J4204" s="23" t="str">
        <f aca="false">IF(B4204="","","touch_2; "&amp;IFERROR(INDEX(Clay_Brands!$A$2:$FZ$601,153,Sync!$D$10)&amp;"","")&amp;"; "&amp;IFERROR(INDEX(Clay_Brands!$A$2:$FZ$601,153,Sync!$D$9)&amp;"",""))</f>
        <v/>
      </c>
      <c r="K4204" s="32" t="s">
        <v>1367</v>
      </c>
    </row>
    <row r="4205" customFormat="false" ht="15" hidden="false" customHeight="false" outlineLevel="0" collapsed="false">
      <c r="A4205" s="23" t="str">
        <f aca="false">IF(B4205="","",B4205+(16*1000+154)/10000000)</f>
        <v/>
      </c>
      <c r="B4205" s="35" t="str">
        <f aca="false">IF(AND(IFERROR(N(INDEX(Clay_Brands!$A$2:$FZ$601,154,Sync!$D$12)),0)&gt;0,IFERROR(INDEX(Clay_Brands!$A$2:$FZ$601,154,Sync!$D$5)&amp;"","")&lt;&gt;"",OR(LEFT(IFERROR(INDEX(Clay_Brands!$A$2:$FZ$601,154,Sync!$D$5)&amp;"",""),6)&lt;&gt;"SAMPLE",Config!$B$19="Y")),IFERROR(N(INDEX(Clay_Brands!$A$2:$FZ$601,154,Sync!$D$12)),0),"")</f>
        <v/>
      </c>
      <c r="C4205" s="23" t="str">
        <f aca="false">IF(B4205="","","brand")</f>
        <v/>
      </c>
      <c r="D4205" s="23" t="str">
        <f aca="false">IF(B4205="","",IFERROR(INDEX(Brand_Log!$DV$2:$DV$201,MATCH(IFERROR(INDEX(Clay_Brands!$A$2:$FZ$601,154,Sync!$D$5)&amp;"",""),Brand_Log!$A$2:$A$201,0))&amp;"",IFERROR(INDEX(Clay_Brands!$A$2:$FZ$601,154,Sync!$D$5)&amp;"","")&amp;""))</f>
        <v/>
      </c>
      <c r="E4205" s="23" t="str">
        <f aca="false">IF(B4205="","",IFERROR(INDEX(Clay_Brands!$A$2:$FZ$601,154,Sync!$D$6)&amp;"",""))</f>
        <v/>
      </c>
      <c r="F4205" s="23" t="str">
        <f aca="false">IF(B4205="","","outreach_sent")</f>
        <v/>
      </c>
      <c r="G4205" s="23" t="str">
        <f aca="false">IF(B4205="","","")</f>
        <v/>
      </c>
      <c r="H4205" s="23" t="str">
        <f aca="false">IF(B4205="","","")</f>
        <v/>
      </c>
      <c r="I4205" s="23" t="str">
        <f aca="false">IF(B4205="","","")</f>
        <v/>
      </c>
      <c r="J4205" s="23" t="str">
        <f aca="false">IF(B4205="","","touch_2; "&amp;IFERROR(INDEX(Clay_Brands!$A$2:$FZ$601,154,Sync!$D$10)&amp;"","")&amp;"; "&amp;IFERROR(INDEX(Clay_Brands!$A$2:$FZ$601,154,Sync!$D$9)&amp;"",""))</f>
        <v/>
      </c>
      <c r="K4205" s="32" t="s">
        <v>1367</v>
      </c>
    </row>
    <row r="4206" customFormat="false" ht="15" hidden="false" customHeight="false" outlineLevel="0" collapsed="false">
      <c r="A4206" s="23" t="str">
        <f aca="false">IF(B4206="","",B4206+(16*1000+155)/10000000)</f>
        <v/>
      </c>
      <c r="B4206" s="35" t="str">
        <f aca="false">IF(AND(IFERROR(N(INDEX(Clay_Brands!$A$2:$FZ$601,155,Sync!$D$12)),0)&gt;0,IFERROR(INDEX(Clay_Brands!$A$2:$FZ$601,155,Sync!$D$5)&amp;"","")&lt;&gt;"",OR(LEFT(IFERROR(INDEX(Clay_Brands!$A$2:$FZ$601,155,Sync!$D$5)&amp;"",""),6)&lt;&gt;"SAMPLE",Config!$B$19="Y")),IFERROR(N(INDEX(Clay_Brands!$A$2:$FZ$601,155,Sync!$D$12)),0),"")</f>
        <v/>
      </c>
      <c r="C4206" s="23" t="str">
        <f aca="false">IF(B4206="","","brand")</f>
        <v/>
      </c>
      <c r="D4206" s="23" t="str">
        <f aca="false">IF(B4206="","",IFERROR(INDEX(Brand_Log!$DV$2:$DV$201,MATCH(IFERROR(INDEX(Clay_Brands!$A$2:$FZ$601,155,Sync!$D$5)&amp;"",""),Brand_Log!$A$2:$A$201,0))&amp;"",IFERROR(INDEX(Clay_Brands!$A$2:$FZ$601,155,Sync!$D$5)&amp;"","")&amp;""))</f>
        <v/>
      </c>
      <c r="E4206" s="23" t="str">
        <f aca="false">IF(B4206="","",IFERROR(INDEX(Clay_Brands!$A$2:$FZ$601,155,Sync!$D$6)&amp;"",""))</f>
        <v/>
      </c>
      <c r="F4206" s="23" t="str">
        <f aca="false">IF(B4206="","","outreach_sent")</f>
        <v/>
      </c>
      <c r="G4206" s="23" t="str">
        <f aca="false">IF(B4206="","","")</f>
        <v/>
      </c>
      <c r="H4206" s="23" t="str">
        <f aca="false">IF(B4206="","","")</f>
        <v/>
      </c>
      <c r="I4206" s="23" t="str">
        <f aca="false">IF(B4206="","","")</f>
        <v/>
      </c>
      <c r="J4206" s="23" t="str">
        <f aca="false">IF(B4206="","","touch_2; "&amp;IFERROR(INDEX(Clay_Brands!$A$2:$FZ$601,155,Sync!$D$10)&amp;"","")&amp;"; "&amp;IFERROR(INDEX(Clay_Brands!$A$2:$FZ$601,155,Sync!$D$9)&amp;"",""))</f>
        <v/>
      </c>
      <c r="K4206" s="32" t="s">
        <v>1367</v>
      </c>
    </row>
    <row r="4207" customFormat="false" ht="15" hidden="false" customHeight="false" outlineLevel="0" collapsed="false">
      <c r="A4207" s="23" t="str">
        <f aca="false">IF(B4207="","",B4207+(16*1000+156)/10000000)</f>
        <v/>
      </c>
      <c r="B4207" s="35" t="str">
        <f aca="false">IF(AND(IFERROR(N(INDEX(Clay_Brands!$A$2:$FZ$601,156,Sync!$D$12)),0)&gt;0,IFERROR(INDEX(Clay_Brands!$A$2:$FZ$601,156,Sync!$D$5)&amp;"","")&lt;&gt;"",OR(LEFT(IFERROR(INDEX(Clay_Brands!$A$2:$FZ$601,156,Sync!$D$5)&amp;"",""),6)&lt;&gt;"SAMPLE",Config!$B$19="Y")),IFERROR(N(INDEX(Clay_Brands!$A$2:$FZ$601,156,Sync!$D$12)),0),"")</f>
        <v/>
      </c>
      <c r="C4207" s="23" t="str">
        <f aca="false">IF(B4207="","","brand")</f>
        <v/>
      </c>
      <c r="D4207" s="23" t="str">
        <f aca="false">IF(B4207="","",IFERROR(INDEX(Brand_Log!$DV$2:$DV$201,MATCH(IFERROR(INDEX(Clay_Brands!$A$2:$FZ$601,156,Sync!$D$5)&amp;"",""),Brand_Log!$A$2:$A$201,0))&amp;"",IFERROR(INDEX(Clay_Brands!$A$2:$FZ$601,156,Sync!$D$5)&amp;"","")&amp;""))</f>
        <v/>
      </c>
      <c r="E4207" s="23" t="str">
        <f aca="false">IF(B4207="","",IFERROR(INDEX(Clay_Brands!$A$2:$FZ$601,156,Sync!$D$6)&amp;"",""))</f>
        <v/>
      </c>
      <c r="F4207" s="23" t="str">
        <f aca="false">IF(B4207="","","outreach_sent")</f>
        <v/>
      </c>
      <c r="G4207" s="23" t="str">
        <f aca="false">IF(B4207="","","")</f>
        <v/>
      </c>
      <c r="H4207" s="23" t="str">
        <f aca="false">IF(B4207="","","")</f>
        <v/>
      </c>
      <c r="I4207" s="23" t="str">
        <f aca="false">IF(B4207="","","")</f>
        <v/>
      </c>
      <c r="J4207" s="23" t="str">
        <f aca="false">IF(B4207="","","touch_2; "&amp;IFERROR(INDEX(Clay_Brands!$A$2:$FZ$601,156,Sync!$D$10)&amp;"","")&amp;"; "&amp;IFERROR(INDEX(Clay_Brands!$A$2:$FZ$601,156,Sync!$D$9)&amp;"",""))</f>
        <v/>
      </c>
      <c r="K4207" s="32" t="s">
        <v>1367</v>
      </c>
    </row>
    <row r="4208" customFormat="false" ht="15" hidden="false" customHeight="false" outlineLevel="0" collapsed="false">
      <c r="A4208" s="23" t="str">
        <f aca="false">IF(B4208="","",B4208+(16*1000+157)/10000000)</f>
        <v/>
      </c>
      <c r="B4208" s="35" t="str">
        <f aca="false">IF(AND(IFERROR(N(INDEX(Clay_Brands!$A$2:$FZ$601,157,Sync!$D$12)),0)&gt;0,IFERROR(INDEX(Clay_Brands!$A$2:$FZ$601,157,Sync!$D$5)&amp;"","")&lt;&gt;"",OR(LEFT(IFERROR(INDEX(Clay_Brands!$A$2:$FZ$601,157,Sync!$D$5)&amp;"",""),6)&lt;&gt;"SAMPLE",Config!$B$19="Y")),IFERROR(N(INDEX(Clay_Brands!$A$2:$FZ$601,157,Sync!$D$12)),0),"")</f>
        <v/>
      </c>
      <c r="C4208" s="23" t="str">
        <f aca="false">IF(B4208="","","brand")</f>
        <v/>
      </c>
      <c r="D4208" s="23" t="str">
        <f aca="false">IF(B4208="","",IFERROR(INDEX(Brand_Log!$DV$2:$DV$201,MATCH(IFERROR(INDEX(Clay_Brands!$A$2:$FZ$601,157,Sync!$D$5)&amp;"",""),Brand_Log!$A$2:$A$201,0))&amp;"",IFERROR(INDEX(Clay_Brands!$A$2:$FZ$601,157,Sync!$D$5)&amp;"","")&amp;""))</f>
        <v/>
      </c>
      <c r="E4208" s="23" t="str">
        <f aca="false">IF(B4208="","",IFERROR(INDEX(Clay_Brands!$A$2:$FZ$601,157,Sync!$D$6)&amp;"",""))</f>
        <v/>
      </c>
      <c r="F4208" s="23" t="str">
        <f aca="false">IF(B4208="","","outreach_sent")</f>
        <v/>
      </c>
      <c r="G4208" s="23" t="str">
        <f aca="false">IF(B4208="","","")</f>
        <v/>
      </c>
      <c r="H4208" s="23" t="str">
        <f aca="false">IF(B4208="","","")</f>
        <v/>
      </c>
      <c r="I4208" s="23" t="str">
        <f aca="false">IF(B4208="","","")</f>
        <v/>
      </c>
      <c r="J4208" s="23" t="str">
        <f aca="false">IF(B4208="","","touch_2; "&amp;IFERROR(INDEX(Clay_Brands!$A$2:$FZ$601,157,Sync!$D$10)&amp;"","")&amp;"; "&amp;IFERROR(INDEX(Clay_Brands!$A$2:$FZ$601,157,Sync!$D$9)&amp;"",""))</f>
        <v/>
      </c>
      <c r="K4208" s="32" t="s">
        <v>1367</v>
      </c>
    </row>
    <row r="4209" customFormat="false" ht="15" hidden="false" customHeight="false" outlineLevel="0" collapsed="false">
      <c r="A4209" s="23" t="str">
        <f aca="false">IF(B4209="","",B4209+(16*1000+158)/10000000)</f>
        <v/>
      </c>
      <c r="B4209" s="35" t="str">
        <f aca="false">IF(AND(IFERROR(N(INDEX(Clay_Brands!$A$2:$FZ$601,158,Sync!$D$12)),0)&gt;0,IFERROR(INDEX(Clay_Brands!$A$2:$FZ$601,158,Sync!$D$5)&amp;"","")&lt;&gt;"",OR(LEFT(IFERROR(INDEX(Clay_Brands!$A$2:$FZ$601,158,Sync!$D$5)&amp;"",""),6)&lt;&gt;"SAMPLE",Config!$B$19="Y")),IFERROR(N(INDEX(Clay_Brands!$A$2:$FZ$601,158,Sync!$D$12)),0),"")</f>
        <v/>
      </c>
      <c r="C4209" s="23" t="str">
        <f aca="false">IF(B4209="","","brand")</f>
        <v/>
      </c>
      <c r="D4209" s="23" t="str">
        <f aca="false">IF(B4209="","",IFERROR(INDEX(Brand_Log!$DV$2:$DV$201,MATCH(IFERROR(INDEX(Clay_Brands!$A$2:$FZ$601,158,Sync!$D$5)&amp;"",""),Brand_Log!$A$2:$A$201,0))&amp;"",IFERROR(INDEX(Clay_Brands!$A$2:$FZ$601,158,Sync!$D$5)&amp;"","")&amp;""))</f>
        <v/>
      </c>
      <c r="E4209" s="23" t="str">
        <f aca="false">IF(B4209="","",IFERROR(INDEX(Clay_Brands!$A$2:$FZ$601,158,Sync!$D$6)&amp;"",""))</f>
        <v/>
      </c>
      <c r="F4209" s="23" t="str">
        <f aca="false">IF(B4209="","","outreach_sent")</f>
        <v/>
      </c>
      <c r="G4209" s="23" t="str">
        <f aca="false">IF(B4209="","","")</f>
        <v/>
      </c>
      <c r="H4209" s="23" t="str">
        <f aca="false">IF(B4209="","","")</f>
        <v/>
      </c>
      <c r="I4209" s="23" t="str">
        <f aca="false">IF(B4209="","","")</f>
        <v/>
      </c>
      <c r="J4209" s="23" t="str">
        <f aca="false">IF(B4209="","","touch_2; "&amp;IFERROR(INDEX(Clay_Brands!$A$2:$FZ$601,158,Sync!$D$10)&amp;"","")&amp;"; "&amp;IFERROR(INDEX(Clay_Brands!$A$2:$FZ$601,158,Sync!$D$9)&amp;"",""))</f>
        <v/>
      </c>
      <c r="K4209" s="32" t="s">
        <v>1367</v>
      </c>
    </row>
    <row r="4210" customFormat="false" ht="15" hidden="false" customHeight="false" outlineLevel="0" collapsed="false">
      <c r="A4210" s="23" t="str">
        <f aca="false">IF(B4210="","",B4210+(16*1000+159)/10000000)</f>
        <v/>
      </c>
      <c r="B4210" s="35" t="str">
        <f aca="false">IF(AND(IFERROR(N(INDEX(Clay_Brands!$A$2:$FZ$601,159,Sync!$D$12)),0)&gt;0,IFERROR(INDEX(Clay_Brands!$A$2:$FZ$601,159,Sync!$D$5)&amp;"","")&lt;&gt;"",OR(LEFT(IFERROR(INDEX(Clay_Brands!$A$2:$FZ$601,159,Sync!$D$5)&amp;"",""),6)&lt;&gt;"SAMPLE",Config!$B$19="Y")),IFERROR(N(INDEX(Clay_Brands!$A$2:$FZ$601,159,Sync!$D$12)),0),"")</f>
        <v/>
      </c>
      <c r="C4210" s="23" t="str">
        <f aca="false">IF(B4210="","","brand")</f>
        <v/>
      </c>
      <c r="D4210" s="23" t="str">
        <f aca="false">IF(B4210="","",IFERROR(INDEX(Brand_Log!$DV$2:$DV$201,MATCH(IFERROR(INDEX(Clay_Brands!$A$2:$FZ$601,159,Sync!$D$5)&amp;"",""),Brand_Log!$A$2:$A$201,0))&amp;"",IFERROR(INDEX(Clay_Brands!$A$2:$FZ$601,159,Sync!$D$5)&amp;"","")&amp;""))</f>
        <v/>
      </c>
      <c r="E4210" s="23" t="str">
        <f aca="false">IF(B4210="","",IFERROR(INDEX(Clay_Brands!$A$2:$FZ$601,159,Sync!$D$6)&amp;"",""))</f>
        <v/>
      </c>
      <c r="F4210" s="23" t="str">
        <f aca="false">IF(B4210="","","outreach_sent")</f>
        <v/>
      </c>
      <c r="G4210" s="23" t="str">
        <f aca="false">IF(B4210="","","")</f>
        <v/>
      </c>
      <c r="H4210" s="23" t="str">
        <f aca="false">IF(B4210="","","")</f>
        <v/>
      </c>
      <c r="I4210" s="23" t="str">
        <f aca="false">IF(B4210="","","")</f>
        <v/>
      </c>
      <c r="J4210" s="23" t="str">
        <f aca="false">IF(B4210="","","touch_2; "&amp;IFERROR(INDEX(Clay_Brands!$A$2:$FZ$601,159,Sync!$D$10)&amp;"","")&amp;"; "&amp;IFERROR(INDEX(Clay_Brands!$A$2:$FZ$601,159,Sync!$D$9)&amp;"",""))</f>
        <v/>
      </c>
      <c r="K4210" s="32" t="s">
        <v>1367</v>
      </c>
    </row>
    <row r="4211" customFormat="false" ht="15" hidden="false" customHeight="false" outlineLevel="0" collapsed="false">
      <c r="A4211" s="23" t="str">
        <f aca="false">IF(B4211="","",B4211+(16*1000+160)/10000000)</f>
        <v/>
      </c>
      <c r="B4211" s="35" t="str">
        <f aca="false">IF(AND(IFERROR(N(INDEX(Clay_Brands!$A$2:$FZ$601,160,Sync!$D$12)),0)&gt;0,IFERROR(INDEX(Clay_Brands!$A$2:$FZ$601,160,Sync!$D$5)&amp;"","")&lt;&gt;"",OR(LEFT(IFERROR(INDEX(Clay_Brands!$A$2:$FZ$601,160,Sync!$D$5)&amp;"",""),6)&lt;&gt;"SAMPLE",Config!$B$19="Y")),IFERROR(N(INDEX(Clay_Brands!$A$2:$FZ$601,160,Sync!$D$12)),0),"")</f>
        <v/>
      </c>
      <c r="C4211" s="23" t="str">
        <f aca="false">IF(B4211="","","brand")</f>
        <v/>
      </c>
      <c r="D4211" s="23" t="str">
        <f aca="false">IF(B4211="","",IFERROR(INDEX(Brand_Log!$DV$2:$DV$201,MATCH(IFERROR(INDEX(Clay_Brands!$A$2:$FZ$601,160,Sync!$D$5)&amp;"",""),Brand_Log!$A$2:$A$201,0))&amp;"",IFERROR(INDEX(Clay_Brands!$A$2:$FZ$601,160,Sync!$D$5)&amp;"","")&amp;""))</f>
        <v/>
      </c>
      <c r="E4211" s="23" t="str">
        <f aca="false">IF(B4211="","",IFERROR(INDEX(Clay_Brands!$A$2:$FZ$601,160,Sync!$D$6)&amp;"",""))</f>
        <v/>
      </c>
      <c r="F4211" s="23" t="str">
        <f aca="false">IF(B4211="","","outreach_sent")</f>
        <v/>
      </c>
      <c r="G4211" s="23" t="str">
        <f aca="false">IF(B4211="","","")</f>
        <v/>
      </c>
      <c r="H4211" s="23" t="str">
        <f aca="false">IF(B4211="","","")</f>
        <v/>
      </c>
      <c r="I4211" s="23" t="str">
        <f aca="false">IF(B4211="","","")</f>
        <v/>
      </c>
      <c r="J4211" s="23" t="str">
        <f aca="false">IF(B4211="","","touch_2; "&amp;IFERROR(INDEX(Clay_Brands!$A$2:$FZ$601,160,Sync!$D$10)&amp;"","")&amp;"; "&amp;IFERROR(INDEX(Clay_Brands!$A$2:$FZ$601,160,Sync!$D$9)&amp;"",""))</f>
        <v/>
      </c>
      <c r="K4211" s="32" t="s">
        <v>1367</v>
      </c>
    </row>
    <row r="4212" customFormat="false" ht="15" hidden="false" customHeight="false" outlineLevel="0" collapsed="false">
      <c r="A4212" s="23" t="str">
        <f aca="false">IF(B4212="","",B4212+(16*1000+161)/10000000)</f>
        <v/>
      </c>
      <c r="B4212" s="35" t="str">
        <f aca="false">IF(AND(IFERROR(N(INDEX(Clay_Brands!$A$2:$FZ$601,161,Sync!$D$12)),0)&gt;0,IFERROR(INDEX(Clay_Brands!$A$2:$FZ$601,161,Sync!$D$5)&amp;"","")&lt;&gt;"",OR(LEFT(IFERROR(INDEX(Clay_Brands!$A$2:$FZ$601,161,Sync!$D$5)&amp;"",""),6)&lt;&gt;"SAMPLE",Config!$B$19="Y")),IFERROR(N(INDEX(Clay_Brands!$A$2:$FZ$601,161,Sync!$D$12)),0),"")</f>
        <v/>
      </c>
      <c r="C4212" s="23" t="str">
        <f aca="false">IF(B4212="","","brand")</f>
        <v/>
      </c>
      <c r="D4212" s="23" t="str">
        <f aca="false">IF(B4212="","",IFERROR(INDEX(Brand_Log!$DV$2:$DV$201,MATCH(IFERROR(INDEX(Clay_Brands!$A$2:$FZ$601,161,Sync!$D$5)&amp;"",""),Brand_Log!$A$2:$A$201,0))&amp;"",IFERROR(INDEX(Clay_Brands!$A$2:$FZ$601,161,Sync!$D$5)&amp;"","")&amp;""))</f>
        <v/>
      </c>
      <c r="E4212" s="23" t="str">
        <f aca="false">IF(B4212="","",IFERROR(INDEX(Clay_Brands!$A$2:$FZ$601,161,Sync!$D$6)&amp;"",""))</f>
        <v/>
      </c>
      <c r="F4212" s="23" t="str">
        <f aca="false">IF(B4212="","","outreach_sent")</f>
        <v/>
      </c>
      <c r="G4212" s="23" t="str">
        <f aca="false">IF(B4212="","","")</f>
        <v/>
      </c>
      <c r="H4212" s="23" t="str">
        <f aca="false">IF(B4212="","","")</f>
        <v/>
      </c>
      <c r="I4212" s="23" t="str">
        <f aca="false">IF(B4212="","","")</f>
        <v/>
      </c>
      <c r="J4212" s="23" t="str">
        <f aca="false">IF(B4212="","","touch_2; "&amp;IFERROR(INDEX(Clay_Brands!$A$2:$FZ$601,161,Sync!$D$10)&amp;"","")&amp;"; "&amp;IFERROR(INDEX(Clay_Brands!$A$2:$FZ$601,161,Sync!$D$9)&amp;"",""))</f>
        <v/>
      </c>
      <c r="K4212" s="32" t="s">
        <v>1367</v>
      </c>
    </row>
    <row r="4213" customFormat="false" ht="15" hidden="false" customHeight="false" outlineLevel="0" collapsed="false">
      <c r="A4213" s="23" t="str">
        <f aca="false">IF(B4213="","",B4213+(16*1000+162)/10000000)</f>
        <v/>
      </c>
      <c r="B4213" s="35" t="str">
        <f aca="false">IF(AND(IFERROR(N(INDEX(Clay_Brands!$A$2:$FZ$601,162,Sync!$D$12)),0)&gt;0,IFERROR(INDEX(Clay_Brands!$A$2:$FZ$601,162,Sync!$D$5)&amp;"","")&lt;&gt;"",OR(LEFT(IFERROR(INDEX(Clay_Brands!$A$2:$FZ$601,162,Sync!$D$5)&amp;"",""),6)&lt;&gt;"SAMPLE",Config!$B$19="Y")),IFERROR(N(INDEX(Clay_Brands!$A$2:$FZ$601,162,Sync!$D$12)),0),"")</f>
        <v/>
      </c>
      <c r="C4213" s="23" t="str">
        <f aca="false">IF(B4213="","","brand")</f>
        <v/>
      </c>
      <c r="D4213" s="23" t="str">
        <f aca="false">IF(B4213="","",IFERROR(INDEX(Brand_Log!$DV$2:$DV$201,MATCH(IFERROR(INDEX(Clay_Brands!$A$2:$FZ$601,162,Sync!$D$5)&amp;"",""),Brand_Log!$A$2:$A$201,0))&amp;"",IFERROR(INDEX(Clay_Brands!$A$2:$FZ$601,162,Sync!$D$5)&amp;"","")&amp;""))</f>
        <v/>
      </c>
      <c r="E4213" s="23" t="str">
        <f aca="false">IF(B4213="","",IFERROR(INDEX(Clay_Brands!$A$2:$FZ$601,162,Sync!$D$6)&amp;"",""))</f>
        <v/>
      </c>
      <c r="F4213" s="23" t="str">
        <f aca="false">IF(B4213="","","outreach_sent")</f>
        <v/>
      </c>
      <c r="G4213" s="23" t="str">
        <f aca="false">IF(B4213="","","")</f>
        <v/>
      </c>
      <c r="H4213" s="23" t="str">
        <f aca="false">IF(B4213="","","")</f>
        <v/>
      </c>
      <c r="I4213" s="23" t="str">
        <f aca="false">IF(B4213="","","")</f>
        <v/>
      </c>
      <c r="J4213" s="23" t="str">
        <f aca="false">IF(B4213="","","touch_2; "&amp;IFERROR(INDEX(Clay_Brands!$A$2:$FZ$601,162,Sync!$D$10)&amp;"","")&amp;"; "&amp;IFERROR(INDEX(Clay_Brands!$A$2:$FZ$601,162,Sync!$D$9)&amp;"",""))</f>
        <v/>
      </c>
      <c r="K4213" s="32" t="s">
        <v>1367</v>
      </c>
    </row>
    <row r="4214" customFormat="false" ht="15" hidden="false" customHeight="false" outlineLevel="0" collapsed="false">
      <c r="A4214" s="23" t="str">
        <f aca="false">IF(B4214="","",B4214+(16*1000+163)/10000000)</f>
        <v/>
      </c>
      <c r="B4214" s="35" t="str">
        <f aca="false">IF(AND(IFERROR(N(INDEX(Clay_Brands!$A$2:$FZ$601,163,Sync!$D$12)),0)&gt;0,IFERROR(INDEX(Clay_Brands!$A$2:$FZ$601,163,Sync!$D$5)&amp;"","")&lt;&gt;"",OR(LEFT(IFERROR(INDEX(Clay_Brands!$A$2:$FZ$601,163,Sync!$D$5)&amp;"",""),6)&lt;&gt;"SAMPLE",Config!$B$19="Y")),IFERROR(N(INDEX(Clay_Brands!$A$2:$FZ$601,163,Sync!$D$12)),0),"")</f>
        <v/>
      </c>
      <c r="C4214" s="23" t="str">
        <f aca="false">IF(B4214="","","brand")</f>
        <v/>
      </c>
      <c r="D4214" s="23" t="str">
        <f aca="false">IF(B4214="","",IFERROR(INDEX(Brand_Log!$DV$2:$DV$201,MATCH(IFERROR(INDEX(Clay_Brands!$A$2:$FZ$601,163,Sync!$D$5)&amp;"",""),Brand_Log!$A$2:$A$201,0))&amp;"",IFERROR(INDEX(Clay_Brands!$A$2:$FZ$601,163,Sync!$D$5)&amp;"","")&amp;""))</f>
        <v/>
      </c>
      <c r="E4214" s="23" t="str">
        <f aca="false">IF(B4214="","",IFERROR(INDEX(Clay_Brands!$A$2:$FZ$601,163,Sync!$D$6)&amp;"",""))</f>
        <v/>
      </c>
      <c r="F4214" s="23" t="str">
        <f aca="false">IF(B4214="","","outreach_sent")</f>
        <v/>
      </c>
      <c r="G4214" s="23" t="str">
        <f aca="false">IF(B4214="","","")</f>
        <v/>
      </c>
      <c r="H4214" s="23" t="str">
        <f aca="false">IF(B4214="","","")</f>
        <v/>
      </c>
      <c r="I4214" s="23" t="str">
        <f aca="false">IF(B4214="","","")</f>
        <v/>
      </c>
      <c r="J4214" s="23" t="str">
        <f aca="false">IF(B4214="","","touch_2; "&amp;IFERROR(INDEX(Clay_Brands!$A$2:$FZ$601,163,Sync!$D$10)&amp;"","")&amp;"; "&amp;IFERROR(INDEX(Clay_Brands!$A$2:$FZ$601,163,Sync!$D$9)&amp;"",""))</f>
        <v/>
      </c>
      <c r="K4214" s="32" t="s">
        <v>1367</v>
      </c>
    </row>
    <row r="4215" customFormat="false" ht="15" hidden="false" customHeight="false" outlineLevel="0" collapsed="false">
      <c r="A4215" s="23" t="str">
        <f aca="false">IF(B4215="","",B4215+(16*1000+164)/10000000)</f>
        <v/>
      </c>
      <c r="B4215" s="35" t="str">
        <f aca="false">IF(AND(IFERROR(N(INDEX(Clay_Brands!$A$2:$FZ$601,164,Sync!$D$12)),0)&gt;0,IFERROR(INDEX(Clay_Brands!$A$2:$FZ$601,164,Sync!$D$5)&amp;"","")&lt;&gt;"",OR(LEFT(IFERROR(INDEX(Clay_Brands!$A$2:$FZ$601,164,Sync!$D$5)&amp;"",""),6)&lt;&gt;"SAMPLE",Config!$B$19="Y")),IFERROR(N(INDEX(Clay_Brands!$A$2:$FZ$601,164,Sync!$D$12)),0),"")</f>
        <v/>
      </c>
      <c r="C4215" s="23" t="str">
        <f aca="false">IF(B4215="","","brand")</f>
        <v/>
      </c>
      <c r="D4215" s="23" t="str">
        <f aca="false">IF(B4215="","",IFERROR(INDEX(Brand_Log!$DV$2:$DV$201,MATCH(IFERROR(INDEX(Clay_Brands!$A$2:$FZ$601,164,Sync!$D$5)&amp;"",""),Brand_Log!$A$2:$A$201,0))&amp;"",IFERROR(INDEX(Clay_Brands!$A$2:$FZ$601,164,Sync!$D$5)&amp;"","")&amp;""))</f>
        <v/>
      </c>
      <c r="E4215" s="23" t="str">
        <f aca="false">IF(B4215="","",IFERROR(INDEX(Clay_Brands!$A$2:$FZ$601,164,Sync!$D$6)&amp;"",""))</f>
        <v/>
      </c>
      <c r="F4215" s="23" t="str">
        <f aca="false">IF(B4215="","","outreach_sent")</f>
        <v/>
      </c>
      <c r="G4215" s="23" t="str">
        <f aca="false">IF(B4215="","","")</f>
        <v/>
      </c>
      <c r="H4215" s="23" t="str">
        <f aca="false">IF(B4215="","","")</f>
        <v/>
      </c>
      <c r="I4215" s="23" t="str">
        <f aca="false">IF(B4215="","","")</f>
        <v/>
      </c>
      <c r="J4215" s="23" t="str">
        <f aca="false">IF(B4215="","","touch_2; "&amp;IFERROR(INDEX(Clay_Brands!$A$2:$FZ$601,164,Sync!$D$10)&amp;"","")&amp;"; "&amp;IFERROR(INDEX(Clay_Brands!$A$2:$FZ$601,164,Sync!$D$9)&amp;"",""))</f>
        <v/>
      </c>
      <c r="K4215" s="32" t="s">
        <v>1367</v>
      </c>
    </row>
    <row r="4216" customFormat="false" ht="15" hidden="false" customHeight="false" outlineLevel="0" collapsed="false">
      <c r="A4216" s="23" t="str">
        <f aca="false">IF(B4216="","",B4216+(16*1000+165)/10000000)</f>
        <v/>
      </c>
      <c r="B4216" s="35" t="str">
        <f aca="false">IF(AND(IFERROR(N(INDEX(Clay_Brands!$A$2:$FZ$601,165,Sync!$D$12)),0)&gt;0,IFERROR(INDEX(Clay_Brands!$A$2:$FZ$601,165,Sync!$D$5)&amp;"","")&lt;&gt;"",OR(LEFT(IFERROR(INDEX(Clay_Brands!$A$2:$FZ$601,165,Sync!$D$5)&amp;"",""),6)&lt;&gt;"SAMPLE",Config!$B$19="Y")),IFERROR(N(INDEX(Clay_Brands!$A$2:$FZ$601,165,Sync!$D$12)),0),"")</f>
        <v/>
      </c>
      <c r="C4216" s="23" t="str">
        <f aca="false">IF(B4216="","","brand")</f>
        <v/>
      </c>
      <c r="D4216" s="23" t="str">
        <f aca="false">IF(B4216="","",IFERROR(INDEX(Brand_Log!$DV$2:$DV$201,MATCH(IFERROR(INDEX(Clay_Brands!$A$2:$FZ$601,165,Sync!$D$5)&amp;"",""),Brand_Log!$A$2:$A$201,0))&amp;"",IFERROR(INDEX(Clay_Brands!$A$2:$FZ$601,165,Sync!$D$5)&amp;"","")&amp;""))</f>
        <v/>
      </c>
      <c r="E4216" s="23" t="str">
        <f aca="false">IF(B4216="","",IFERROR(INDEX(Clay_Brands!$A$2:$FZ$601,165,Sync!$D$6)&amp;"",""))</f>
        <v/>
      </c>
      <c r="F4216" s="23" t="str">
        <f aca="false">IF(B4216="","","outreach_sent")</f>
        <v/>
      </c>
      <c r="G4216" s="23" t="str">
        <f aca="false">IF(B4216="","","")</f>
        <v/>
      </c>
      <c r="H4216" s="23" t="str">
        <f aca="false">IF(B4216="","","")</f>
        <v/>
      </c>
      <c r="I4216" s="23" t="str">
        <f aca="false">IF(B4216="","","")</f>
        <v/>
      </c>
      <c r="J4216" s="23" t="str">
        <f aca="false">IF(B4216="","","touch_2; "&amp;IFERROR(INDEX(Clay_Brands!$A$2:$FZ$601,165,Sync!$D$10)&amp;"","")&amp;"; "&amp;IFERROR(INDEX(Clay_Brands!$A$2:$FZ$601,165,Sync!$D$9)&amp;"",""))</f>
        <v/>
      </c>
      <c r="K4216" s="32" t="s">
        <v>1367</v>
      </c>
    </row>
    <row r="4217" customFormat="false" ht="15" hidden="false" customHeight="false" outlineLevel="0" collapsed="false">
      <c r="A4217" s="23" t="str">
        <f aca="false">IF(B4217="","",B4217+(16*1000+166)/10000000)</f>
        <v/>
      </c>
      <c r="B4217" s="35" t="str">
        <f aca="false">IF(AND(IFERROR(N(INDEX(Clay_Brands!$A$2:$FZ$601,166,Sync!$D$12)),0)&gt;0,IFERROR(INDEX(Clay_Brands!$A$2:$FZ$601,166,Sync!$D$5)&amp;"","")&lt;&gt;"",OR(LEFT(IFERROR(INDEX(Clay_Brands!$A$2:$FZ$601,166,Sync!$D$5)&amp;"",""),6)&lt;&gt;"SAMPLE",Config!$B$19="Y")),IFERROR(N(INDEX(Clay_Brands!$A$2:$FZ$601,166,Sync!$D$12)),0),"")</f>
        <v/>
      </c>
      <c r="C4217" s="23" t="str">
        <f aca="false">IF(B4217="","","brand")</f>
        <v/>
      </c>
      <c r="D4217" s="23" t="str">
        <f aca="false">IF(B4217="","",IFERROR(INDEX(Brand_Log!$DV$2:$DV$201,MATCH(IFERROR(INDEX(Clay_Brands!$A$2:$FZ$601,166,Sync!$D$5)&amp;"",""),Brand_Log!$A$2:$A$201,0))&amp;"",IFERROR(INDEX(Clay_Brands!$A$2:$FZ$601,166,Sync!$D$5)&amp;"","")&amp;""))</f>
        <v/>
      </c>
      <c r="E4217" s="23" t="str">
        <f aca="false">IF(B4217="","",IFERROR(INDEX(Clay_Brands!$A$2:$FZ$601,166,Sync!$D$6)&amp;"",""))</f>
        <v/>
      </c>
      <c r="F4217" s="23" t="str">
        <f aca="false">IF(B4217="","","outreach_sent")</f>
        <v/>
      </c>
      <c r="G4217" s="23" t="str">
        <f aca="false">IF(B4217="","","")</f>
        <v/>
      </c>
      <c r="H4217" s="23" t="str">
        <f aca="false">IF(B4217="","","")</f>
        <v/>
      </c>
      <c r="I4217" s="23" t="str">
        <f aca="false">IF(B4217="","","")</f>
        <v/>
      </c>
      <c r="J4217" s="23" t="str">
        <f aca="false">IF(B4217="","","touch_2; "&amp;IFERROR(INDEX(Clay_Brands!$A$2:$FZ$601,166,Sync!$D$10)&amp;"","")&amp;"; "&amp;IFERROR(INDEX(Clay_Brands!$A$2:$FZ$601,166,Sync!$D$9)&amp;"",""))</f>
        <v/>
      </c>
      <c r="K4217" s="32" t="s">
        <v>1367</v>
      </c>
    </row>
    <row r="4218" customFormat="false" ht="15" hidden="false" customHeight="false" outlineLevel="0" collapsed="false">
      <c r="A4218" s="23" t="str">
        <f aca="false">IF(B4218="","",B4218+(16*1000+167)/10000000)</f>
        <v/>
      </c>
      <c r="B4218" s="35" t="str">
        <f aca="false">IF(AND(IFERROR(N(INDEX(Clay_Brands!$A$2:$FZ$601,167,Sync!$D$12)),0)&gt;0,IFERROR(INDEX(Clay_Brands!$A$2:$FZ$601,167,Sync!$D$5)&amp;"","")&lt;&gt;"",OR(LEFT(IFERROR(INDEX(Clay_Brands!$A$2:$FZ$601,167,Sync!$D$5)&amp;"",""),6)&lt;&gt;"SAMPLE",Config!$B$19="Y")),IFERROR(N(INDEX(Clay_Brands!$A$2:$FZ$601,167,Sync!$D$12)),0),"")</f>
        <v/>
      </c>
      <c r="C4218" s="23" t="str">
        <f aca="false">IF(B4218="","","brand")</f>
        <v/>
      </c>
      <c r="D4218" s="23" t="str">
        <f aca="false">IF(B4218="","",IFERROR(INDEX(Brand_Log!$DV$2:$DV$201,MATCH(IFERROR(INDEX(Clay_Brands!$A$2:$FZ$601,167,Sync!$D$5)&amp;"",""),Brand_Log!$A$2:$A$201,0))&amp;"",IFERROR(INDEX(Clay_Brands!$A$2:$FZ$601,167,Sync!$D$5)&amp;"","")&amp;""))</f>
        <v/>
      </c>
      <c r="E4218" s="23" t="str">
        <f aca="false">IF(B4218="","",IFERROR(INDEX(Clay_Brands!$A$2:$FZ$601,167,Sync!$D$6)&amp;"",""))</f>
        <v/>
      </c>
      <c r="F4218" s="23" t="str">
        <f aca="false">IF(B4218="","","outreach_sent")</f>
        <v/>
      </c>
      <c r="G4218" s="23" t="str">
        <f aca="false">IF(B4218="","","")</f>
        <v/>
      </c>
      <c r="H4218" s="23" t="str">
        <f aca="false">IF(B4218="","","")</f>
        <v/>
      </c>
      <c r="I4218" s="23" t="str">
        <f aca="false">IF(B4218="","","")</f>
        <v/>
      </c>
      <c r="J4218" s="23" t="str">
        <f aca="false">IF(B4218="","","touch_2; "&amp;IFERROR(INDEX(Clay_Brands!$A$2:$FZ$601,167,Sync!$D$10)&amp;"","")&amp;"; "&amp;IFERROR(INDEX(Clay_Brands!$A$2:$FZ$601,167,Sync!$D$9)&amp;"",""))</f>
        <v/>
      </c>
      <c r="K4218" s="32" t="s">
        <v>1367</v>
      </c>
    </row>
    <row r="4219" customFormat="false" ht="15" hidden="false" customHeight="false" outlineLevel="0" collapsed="false">
      <c r="A4219" s="23" t="str">
        <f aca="false">IF(B4219="","",B4219+(16*1000+168)/10000000)</f>
        <v/>
      </c>
      <c r="B4219" s="35" t="str">
        <f aca="false">IF(AND(IFERROR(N(INDEX(Clay_Brands!$A$2:$FZ$601,168,Sync!$D$12)),0)&gt;0,IFERROR(INDEX(Clay_Brands!$A$2:$FZ$601,168,Sync!$D$5)&amp;"","")&lt;&gt;"",OR(LEFT(IFERROR(INDEX(Clay_Brands!$A$2:$FZ$601,168,Sync!$D$5)&amp;"",""),6)&lt;&gt;"SAMPLE",Config!$B$19="Y")),IFERROR(N(INDEX(Clay_Brands!$A$2:$FZ$601,168,Sync!$D$12)),0),"")</f>
        <v/>
      </c>
      <c r="C4219" s="23" t="str">
        <f aca="false">IF(B4219="","","brand")</f>
        <v/>
      </c>
      <c r="D4219" s="23" t="str">
        <f aca="false">IF(B4219="","",IFERROR(INDEX(Brand_Log!$DV$2:$DV$201,MATCH(IFERROR(INDEX(Clay_Brands!$A$2:$FZ$601,168,Sync!$D$5)&amp;"",""),Brand_Log!$A$2:$A$201,0))&amp;"",IFERROR(INDEX(Clay_Brands!$A$2:$FZ$601,168,Sync!$D$5)&amp;"","")&amp;""))</f>
        <v/>
      </c>
      <c r="E4219" s="23" t="str">
        <f aca="false">IF(B4219="","",IFERROR(INDEX(Clay_Brands!$A$2:$FZ$601,168,Sync!$D$6)&amp;"",""))</f>
        <v/>
      </c>
      <c r="F4219" s="23" t="str">
        <f aca="false">IF(B4219="","","outreach_sent")</f>
        <v/>
      </c>
      <c r="G4219" s="23" t="str">
        <f aca="false">IF(B4219="","","")</f>
        <v/>
      </c>
      <c r="H4219" s="23" t="str">
        <f aca="false">IF(B4219="","","")</f>
        <v/>
      </c>
      <c r="I4219" s="23" t="str">
        <f aca="false">IF(B4219="","","")</f>
        <v/>
      </c>
      <c r="J4219" s="23" t="str">
        <f aca="false">IF(B4219="","","touch_2; "&amp;IFERROR(INDEX(Clay_Brands!$A$2:$FZ$601,168,Sync!$D$10)&amp;"","")&amp;"; "&amp;IFERROR(INDEX(Clay_Brands!$A$2:$FZ$601,168,Sync!$D$9)&amp;"",""))</f>
        <v/>
      </c>
      <c r="K4219" s="32" t="s">
        <v>1367</v>
      </c>
    </row>
    <row r="4220" customFormat="false" ht="15" hidden="false" customHeight="false" outlineLevel="0" collapsed="false">
      <c r="A4220" s="23" t="str">
        <f aca="false">IF(B4220="","",B4220+(16*1000+169)/10000000)</f>
        <v/>
      </c>
      <c r="B4220" s="35" t="str">
        <f aca="false">IF(AND(IFERROR(N(INDEX(Clay_Brands!$A$2:$FZ$601,169,Sync!$D$12)),0)&gt;0,IFERROR(INDEX(Clay_Brands!$A$2:$FZ$601,169,Sync!$D$5)&amp;"","")&lt;&gt;"",OR(LEFT(IFERROR(INDEX(Clay_Brands!$A$2:$FZ$601,169,Sync!$D$5)&amp;"",""),6)&lt;&gt;"SAMPLE",Config!$B$19="Y")),IFERROR(N(INDEX(Clay_Brands!$A$2:$FZ$601,169,Sync!$D$12)),0),"")</f>
        <v/>
      </c>
      <c r="C4220" s="23" t="str">
        <f aca="false">IF(B4220="","","brand")</f>
        <v/>
      </c>
      <c r="D4220" s="23" t="str">
        <f aca="false">IF(B4220="","",IFERROR(INDEX(Brand_Log!$DV$2:$DV$201,MATCH(IFERROR(INDEX(Clay_Brands!$A$2:$FZ$601,169,Sync!$D$5)&amp;"",""),Brand_Log!$A$2:$A$201,0))&amp;"",IFERROR(INDEX(Clay_Brands!$A$2:$FZ$601,169,Sync!$D$5)&amp;"","")&amp;""))</f>
        <v/>
      </c>
      <c r="E4220" s="23" t="str">
        <f aca="false">IF(B4220="","",IFERROR(INDEX(Clay_Brands!$A$2:$FZ$601,169,Sync!$D$6)&amp;"",""))</f>
        <v/>
      </c>
      <c r="F4220" s="23" t="str">
        <f aca="false">IF(B4220="","","outreach_sent")</f>
        <v/>
      </c>
      <c r="G4220" s="23" t="str">
        <f aca="false">IF(B4220="","","")</f>
        <v/>
      </c>
      <c r="H4220" s="23" t="str">
        <f aca="false">IF(B4220="","","")</f>
        <v/>
      </c>
      <c r="I4220" s="23" t="str">
        <f aca="false">IF(B4220="","","")</f>
        <v/>
      </c>
      <c r="J4220" s="23" t="str">
        <f aca="false">IF(B4220="","","touch_2; "&amp;IFERROR(INDEX(Clay_Brands!$A$2:$FZ$601,169,Sync!$D$10)&amp;"","")&amp;"; "&amp;IFERROR(INDEX(Clay_Brands!$A$2:$FZ$601,169,Sync!$D$9)&amp;"",""))</f>
        <v/>
      </c>
      <c r="K4220" s="32" t="s">
        <v>1367</v>
      </c>
    </row>
    <row r="4221" customFormat="false" ht="15" hidden="false" customHeight="false" outlineLevel="0" collapsed="false">
      <c r="A4221" s="23" t="str">
        <f aca="false">IF(B4221="","",B4221+(16*1000+170)/10000000)</f>
        <v/>
      </c>
      <c r="B4221" s="35" t="str">
        <f aca="false">IF(AND(IFERROR(N(INDEX(Clay_Brands!$A$2:$FZ$601,170,Sync!$D$12)),0)&gt;0,IFERROR(INDEX(Clay_Brands!$A$2:$FZ$601,170,Sync!$D$5)&amp;"","")&lt;&gt;"",OR(LEFT(IFERROR(INDEX(Clay_Brands!$A$2:$FZ$601,170,Sync!$D$5)&amp;"",""),6)&lt;&gt;"SAMPLE",Config!$B$19="Y")),IFERROR(N(INDEX(Clay_Brands!$A$2:$FZ$601,170,Sync!$D$12)),0),"")</f>
        <v/>
      </c>
      <c r="C4221" s="23" t="str">
        <f aca="false">IF(B4221="","","brand")</f>
        <v/>
      </c>
      <c r="D4221" s="23" t="str">
        <f aca="false">IF(B4221="","",IFERROR(INDEX(Brand_Log!$DV$2:$DV$201,MATCH(IFERROR(INDEX(Clay_Brands!$A$2:$FZ$601,170,Sync!$D$5)&amp;"",""),Brand_Log!$A$2:$A$201,0))&amp;"",IFERROR(INDEX(Clay_Brands!$A$2:$FZ$601,170,Sync!$D$5)&amp;"","")&amp;""))</f>
        <v/>
      </c>
      <c r="E4221" s="23" t="str">
        <f aca="false">IF(B4221="","",IFERROR(INDEX(Clay_Brands!$A$2:$FZ$601,170,Sync!$D$6)&amp;"",""))</f>
        <v/>
      </c>
      <c r="F4221" s="23" t="str">
        <f aca="false">IF(B4221="","","outreach_sent")</f>
        <v/>
      </c>
      <c r="G4221" s="23" t="str">
        <f aca="false">IF(B4221="","","")</f>
        <v/>
      </c>
      <c r="H4221" s="23" t="str">
        <f aca="false">IF(B4221="","","")</f>
        <v/>
      </c>
      <c r="I4221" s="23" t="str">
        <f aca="false">IF(B4221="","","")</f>
        <v/>
      </c>
      <c r="J4221" s="23" t="str">
        <f aca="false">IF(B4221="","","touch_2; "&amp;IFERROR(INDEX(Clay_Brands!$A$2:$FZ$601,170,Sync!$D$10)&amp;"","")&amp;"; "&amp;IFERROR(INDEX(Clay_Brands!$A$2:$FZ$601,170,Sync!$D$9)&amp;"",""))</f>
        <v/>
      </c>
      <c r="K4221" s="32" t="s">
        <v>1367</v>
      </c>
    </row>
    <row r="4222" customFormat="false" ht="15" hidden="false" customHeight="false" outlineLevel="0" collapsed="false">
      <c r="A4222" s="23" t="str">
        <f aca="false">IF(B4222="","",B4222+(16*1000+171)/10000000)</f>
        <v/>
      </c>
      <c r="B4222" s="35" t="str">
        <f aca="false">IF(AND(IFERROR(N(INDEX(Clay_Brands!$A$2:$FZ$601,171,Sync!$D$12)),0)&gt;0,IFERROR(INDEX(Clay_Brands!$A$2:$FZ$601,171,Sync!$D$5)&amp;"","")&lt;&gt;"",OR(LEFT(IFERROR(INDEX(Clay_Brands!$A$2:$FZ$601,171,Sync!$D$5)&amp;"",""),6)&lt;&gt;"SAMPLE",Config!$B$19="Y")),IFERROR(N(INDEX(Clay_Brands!$A$2:$FZ$601,171,Sync!$D$12)),0),"")</f>
        <v/>
      </c>
      <c r="C4222" s="23" t="str">
        <f aca="false">IF(B4222="","","brand")</f>
        <v/>
      </c>
      <c r="D4222" s="23" t="str">
        <f aca="false">IF(B4222="","",IFERROR(INDEX(Brand_Log!$DV$2:$DV$201,MATCH(IFERROR(INDEX(Clay_Brands!$A$2:$FZ$601,171,Sync!$D$5)&amp;"",""),Brand_Log!$A$2:$A$201,0))&amp;"",IFERROR(INDEX(Clay_Brands!$A$2:$FZ$601,171,Sync!$D$5)&amp;"","")&amp;""))</f>
        <v/>
      </c>
      <c r="E4222" s="23" t="str">
        <f aca="false">IF(B4222="","",IFERROR(INDEX(Clay_Brands!$A$2:$FZ$601,171,Sync!$D$6)&amp;"",""))</f>
        <v/>
      </c>
      <c r="F4222" s="23" t="str">
        <f aca="false">IF(B4222="","","outreach_sent")</f>
        <v/>
      </c>
      <c r="G4222" s="23" t="str">
        <f aca="false">IF(B4222="","","")</f>
        <v/>
      </c>
      <c r="H4222" s="23" t="str">
        <f aca="false">IF(B4222="","","")</f>
        <v/>
      </c>
      <c r="I4222" s="23" t="str">
        <f aca="false">IF(B4222="","","")</f>
        <v/>
      </c>
      <c r="J4222" s="23" t="str">
        <f aca="false">IF(B4222="","","touch_2; "&amp;IFERROR(INDEX(Clay_Brands!$A$2:$FZ$601,171,Sync!$D$10)&amp;"","")&amp;"; "&amp;IFERROR(INDEX(Clay_Brands!$A$2:$FZ$601,171,Sync!$D$9)&amp;"",""))</f>
        <v/>
      </c>
      <c r="K4222" s="32" t="s">
        <v>1367</v>
      </c>
    </row>
    <row r="4223" customFormat="false" ht="15" hidden="false" customHeight="false" outlineLevel="0" collapsed="false">
      <c r="A4223" s="23" t="str">
        <f aca="false">IF(B4223="","",B4223+(16*1000+172)/10000000)</f>
        <v/>
      </c>
      <c r="B4223" s="35" t="str">
        <f aca="false">IF(AND(IFERROR(N(INDEX(Clay_Brands!$A$2:$FZ$601,172,Sync!$D$12)),0)&gt;0,IFERROR(INDEX(Clay_Brands!$A$2:$FZ$601,172,Sync!$D$5)&amp;"","")&lt;&gt;"",OR(LEFT(IFERROR(INDEX(Clay_Brands!$A$2:$FZ$601,172,Sync!$D$5)&amp;"",""),6)&lt;&gt;"SAMPLE",Config!$B$19="Y")),IFERROR(N(INDEX(Clay_Brands!$A$2:$FZ$601,172,Sync!$D$12)),0),"")</f>
        <v/>
      </c>
      <c r="C4223" s="23" t="str">
        <f aca="false">IF(B4223="","","brand")</f>
        <v/>
      </c>
      <c r="D4223" s="23" t="str">
        <f aca="false">IF(B4223="","",IFERROR(INDEX(Brand_Log!$DV$2:$DV$201,MATCH(IFERROR(INDEX(Clay_Brands!$A$2:$FZ$601,172,Sync!$D$5)&amp;"",""),Brand_Log!$A$2:$A$201,0))&amp;"",IFERROR(INDEX(Clay_Brands!$A$2:$FZ$601,172,Sync!$D$5)&amp;"","")&amp;""))</f>
        <v/>
      </c>
      <c r="E4223" s="23" t="str">
        <f aca="false">IF(B4223="","",IFERROR(INDEX(Clay_Brands!$A$2:$FZ$601,172,Sync!$D$6)&amp;"",""))</f>
        <v/>
      </c>
      <c r="F4223" s="23" t="str">
        <f aca="false">IF(B4223="","","outreach_sent")</f>
        <v/>
      </c>
      <c r="G4223" s="23" t="str">
        <f aca="false">IF(B4223="","","")</f>
        <v/>
      </c>
      <c r="H4223" s="23" t="str">
        <f aca="false">IF(B4223="","","")</f>
        <v/>
      </c>
      <c r="I4223" s="23" t="str">
        <f aca="false">IF(B4223="","","")</f>
        <v/>
      </c>
      <c r="J4223" s="23" t="str">
        <f aca="false">IF(B4223="","","touch_2; "&amp;IFERROR(INDEX(Clay_Brands!$A$2:$FZ$601,172,Sync!$D$10)&amp;"","")&amp;"; "&amp;IFERROR(INDEX(Clay_Brands!$A$2:$FZ$601,172,Sync!$D$9)&amp;"",""))</f>
        <v/>
      </c>
      <c r="K4223" s="32" t="s">
        <v>1367</v>
      </c>
    </row>
    <row r="4224" customFormat="false" ht="15" hidden="false" customHeight="false" outlineLevel="0" collapsed="false">
      <c r="A4224" s="23" t="str">
        <f aca="false">IF(B4224="","",B4224+(16*1000+173)/10000000)</f>
        <v/>
      </c>
      <c r="B4224" s="35" t="str">
        <f aca="false">IF(AND(IFERROR(N(INDEX(Clay_Brands!$A$2:$FZ$601,173,Sync!$D$12)),0)&gt;0,IFERROR(INDEX(Clay_Brands!$A$2:$FZ$601,173,Sync!$D$5)&amp;"","")&lt;&gt;"",OR(LEFT(IFERROR(INDEX(Clay_Brands!$A$2:$FZ$601,173,Sync!$D$5)&amp;"",""),6)&lt;&gt;"SAMPLE",Config!$B$19="Y")),IFERROR(N(INDEX(Clay_Brands!$A$2:$FZ$601,173,Sync!$D$12)),0),"")</f>
        <v/>
      </c>
      <c r="C4224" s="23" t="str">
        <f aca="false">IF(B4224="","","brand")</f>
        <v/>
      </c>
      <c r="D4224" s="23" t="str">
        <f aca="false">IF(B4224="","",IFERROR(INDEX(Brand_Log!$DV$2:$DV$201,MATCH(IFERROR(INDEX(Clay_Brands!$A$2:$FZ$601,173,Sync!$D$5)&amp;"",""),Brand_Log!$A$2:$A$201,0))&amp;"",IFERROR(INDEX(Clay_Brands!$A$2:$FZ$601,173,Sync!$D$5)&amp;"","")&amp;""))</f>
        <v/>
      </c>
      <c r="E4224" s="23" t="str">
        <f aca="false">IF(B4224="","",IFERROR(INDEX(Clay_Brands!$A$2:$FZ$601,173,Sync!$D$6)&amp;"",""))</f>
        <v/>
      </c>
      <c r="F4224" s="23" t="str">
        <f aca="false">IF(B4224="","","outreach_sent")</f>
        <v/>
      </c>
      <c r="G4224" s="23" t="str">
        <f aca="false">IF(B4224="","","")</f>
        <v/>
      </c>
      <c r="H4224" s="23" t="str">
        <f aca="false">IF(B4224="","","")</f>
        <v/>
      </c>
      <c r="I4224" s="23" t="str">
        <f aca="false">IF(B4224="","","")</f>
        <v/>
      </c>
      <c r="J4224" s="23" t="str">
        <f aca="false">IF(B4224="","","touch_2; "&amp;IFERROR(INDEX(Clay_Brands!$A$2:$FZ$601,173,Sync!$D$10)&amp;"","")&amp;"; "&amp;IFERROR(INDEX(Clay_Brands!$A$2:$FZ$601,173,Sync!$D$9)&amp;"",""))</f>
        <v/>
      </c>
      <c r="K4224" s="32" t="s">
        <v>1367</v>
      </c>
    </row>
    <row r="4225" customFormat="false" ht="15" hidden="false" customHeight="false" outlineLevel="0" collapsed="false">
      <c r="A4225" s="23" t="str">
        <f aca="false">IF(B4225="","",B4225+(16*1000+174)/10000000)</f>
        <v/>
      </c>
      <c r="B4225" s="35" t="str">
        <f aca="false">IF(AND(IFERROR(N(INDEX(Clay_Brands!$A$2:$FZ$601,174,Sync!$D$12)),0)&gt;0,IFERROR(INDEX(Clay_Brands!$A$2:$FZ$601,174,Sync!$D$5)&amp;"","")&lt;&gt;"",OR(LEFT(IFERROR(INDEX(Clay_Brands!$A$2:$FZ$601,174,Sync!$D$5)&amp;"",""),6)&lt;&gt;"SAMPLE",Config!$B$19="Y")),IFERROR(N(INDEX(Clay_Brands!$A$2:$FZ$601,174,Sync!$D$12)),0),"")</f>
        <v/>
      </c>
      <c r="C4225" s="23" t="str">
        <f aca="false">IF(B4225="","","brand")</f>
        <v/>
      </c>
      <c r="D4225" s="23" t="str">
        <f aca="false">IF(B4225="","",IFERROR(INDEX(Brand_Log!$DV$2:$DV$201,MATCH(IFERROR(INDEX(Clay_Brands!$A$2:$FZ$601,174,Sync!$D$5)&amp;"",""),Brand_Log!$A$2:$A$201,0))&amp;"",IFERROR(INDEX(Clay_Brands!$A$2:$FZ$601,174,Sync!$D$5)&amp;"","")&amp;""))</f>
        <v/>
      </c>
      <c r="E4225" s="23" t="str">
        <f aca="false">IF(B4225="","",IFERROR(INDEX(Clay_Brands!$A$2:$FZ$601,174,Sync!$D$6)&amp;"",""))</f>
        <v/>
      </c>
      <c r="F4225" s="23" t="str">
        <f aca="false">IF(B4225="","","outreach_sent")</f>
        <v/>
      </c>
      <c r="G4225" s="23" t="str">
        <f aca="false">IF(B4225="","","")</f>
        <v/>
      </c>
      <c r="H4225" s="23" t="str">
        <f aca="false">IF(B4225="","","")</f>
        <v/>
      </c>
      <c r="I4225" s="23" t="str">
        <f aca="false">IF(B4225="","","")</f>
        <v/>
      </c>
      <c r="J4225" s="23" t="str">
        <f aca="false">IF(B4225="","","touch_2; "&amp;IFERROR(INDEX(Clay_Brands!$A$2:$FZ$601,174,Sync!$D$10)&amp;"","")&amp;"; "&amp;IFERROR(INDEX(Clay_Brands!$A$2:$FZ$601,174,Sync!$D$9)&amp;"",""))</f>
        <v/>
      </c>
      <c r="K4225" s="32" t="s">
        <v>1367</v>
      </c>
    </row>
    <row r="4226" customFormat="false" ht="15" hidden="false" customHeight="false" outlineLevel="0" collapsed="false">
      <c r="A4226" s="23" t="str">
        <f aca="false">IF(B4226="","",B4226+(16*1000+175)/10000000)</f>
        <v/>
      </c>
      <c r="B4226" s="35" t="str">
        <f aca="false">IF(AND(IFERROR(N(INDEX(Clay_Brands!$A$2:$FZ$601,175,Sync!$D$12)),0)&gt;0,IFERROR(INDEX(Clay_Brands!$A$2:$FZ$601,175,Sync!$D$5)&amp;"","")&lt;&gt;"",OR(LEFT(IFERROR(INDEX(Clay_Brands!$A$2:$FZ$601,175,Sync!$D$5)&amp;"",""),6)&lt;&gt;"SAMPLE",Config!$B$19="Y")),IFERROR(N(INDEX(Clay_Brands!$A$2:$FZ$601,175,Sync!$D$12)),0),"")</f>
        <v/>
      </c>
      <c r="C4226" s="23" t="str">
        <f aca="false">IF(B4226="","","brand")</f>
        <v/>
      </c>
      <c r="D4226" s="23" t="str">
        <f aca="false">IF(B4226="","",IFERROR(INDEX(Brand_Log!$DV$2:$DV$201,MATCH(IFERROR(INDEX(Clay_Brands!$A$2:$FZ$601,175,Sync!$D$5)&amp;"",""),Brand_Log!$A$2:$A$201,0))&amp;"",IFERROR(INDEX(Clay_Brands!$A$2:$FZ$601,175,Sync!$D$5)&amp;"","")&amp;""))</f>
        <v/>
      </c>
      <c r="E4226" s="23" t="str">
        <f aca="false">IF(B4226="","",IFERROR(INDEX(Clay_Brands!$A$2:$FZ$601,175,Sync!$D$6)&amp;"",""))</f>
        <v/>
      </c>
      <c r="F4226" s="23" t="str">
        <f aca="false">IF(B4226="","","outreach_sent")</f>
        <v/>
      </c>
      <c r="G4226" s="23" t="str">
        <f aca="false">IF(B4226="","","")</f>
        <v/>
      </c>
      <c r="H4226" s="23" t="str">
        <f aca="false">IF(B4226="","","")</f>
        <v/>
      </c>
      <c r="I4226" s="23" t="str">
        <f aca="false">IF(B4226="","","")</f>
        <v/>
      </c>
      <c r="J4226" s="23" t="str">
        <f aca="false">IF(B4226="","","touch_2; "&amp;IFERROR(INDEX(Clay_Brands!$A$2:$FZ$601,175,Sync!$D$10)&amp;"","")&amp;"; "&amp;IFERROR(INDEX(Clay_Brands!$A$2:$FZ$601,175,Sync!$D$9)&amp;"",""))</f>
        <v/>
      </c>
      <c r="K4226" s="32" t="s">
        <v>1367</v>
      </c>
    </row>
    <row r="4227" customFormat="false" ht="15" hidden="false" customHeight="false" outlineLevel="0" collapsed="false">
      <c r="A4227" s="23" t="str">
        <f aca="false">IF(B4227="","",B4227+(16*1000+176)/10000000)</f>
        <v/>
      </c>
      <c r="B4227" s="35" t="str">
        <f aca="false">IF(AND(IFERROR(N(INDEX(Clay_Brands!$A$2:$FZ$601,176,Sync!$D$12)),0)&gt;0,IFERROR(INDEX(Clay_Brands!$A$2:$FZ$601,176,Sync!$D$5)&amp;"","")&lt;&gt;"",OR(LEFT(IFERROR(INDEX(Clay_Brands!$A$2:$FZ$601,176,Sync!$D$5)&amp;"",""),6)&lt;&gt;"SAMPLE",Config!$B$19="Y")),IFERROR(N(INDEX(Clay_Brands!$A$2:$FZ$601,176,Sync!$D$12)),0),"")</f>
        <v/>
      </c>
      <c r="C4227" s="23" t="str">
        <f aca="false">IF(B4227="","","brand")</f>
        <v/>
      </c>
      <c r="D4227" s="23" t="str">
        <f aca="false">IF(B4227="","",IFERROR(INDEX(Brand_Log!$DV$2:$DV$201,MATCH(IFERROR(INDEX(Clay_Brands!$A$2:$FZ$601,176,Sync!$D$5)&amp;"",""),Brand_Log!$A$2:$A$201,0))&amp;"",IFERROR(INDEX(Clay_Brands!$A$2:$FZ$601,176,Sync!$D$5)&amp;"","")&amp;""))</f>
        <v/>
      </c>
      <c r="E4227" s="23" t="str">
        <f aca="false">IF(B4227="","",IFERROR(INDEX(Clay_Brands!$A$2:$FZ$601,176,Sync!$D$6)&amp;"",""))</f>
        <v/>
      </c>
      <c r="F4227" s="23" t="str">
        <f aca="false">IF(B4227="","","outreach_sent")</f>
        <v/>
      </c>
      <c r="G4227" s="23" t="str">
        <f aca="false">IF(B4227="","","")</f>
        <v/>
      </c>
      <c r="H4227" s="23" t="str">
        <f aca="false">IF(B4227="","","")</f>
        <v/>
      </c>
      <c r="I4227" s="23" t="str">
        <f aca="false">IF(B4227="","","")</f>
        <v/>
      </c>
      <c r="J4227" s="23" t="str">
        <f aca="false">IF(B4227="","","touch_2; "&amp;IFERROR(INDEX(Clay_Brands!$A$2:$FZ$601,176,Sync!$D$10)&amp;"","")&amp;"; "&amp;IFERROR(INDEX(Clay_Brands!$A$2:$FZ$601,176,Sync!$D$9)&amp;"",""))</f>
        <v/>
      </c>
      <c r="K4227" s="32" t="s">
        <v>1367</v>
      </c>
    </row>
    <row r="4228" customFormat="false" ht="15" hidden="false" customHeight="false" outlineLevel="0" collapsed="false">
      <c r="A4228" s="23" t="str">
        <f aca="false">IF(B4228="","",B4228+(16*1000+177)/10000000)</f>
        <v/>
      </c>
      <c r="B4228" s="35" t="str">
        <f aca="false">IF(AND(IFERROR(N(INDEX(Clay_Brands!$A$2:$FZ$601,177,Sync!$D$12)),0)&gt;0,IFERROR(INDEX(Clay_Brands!$A$2:$FZ$601,177,Sync!$D$5)&amp;"","")&lt;&gt;"",OR(LEFT(IFERROR(INDEX(Clay_Brands!$A$2:$FZ$601,177,Sync!$D$5)&amp;"",""),6)&lt;&gt;"SAMPLE",Config!$B$19="Y")),IFERROR(N(INDEX(Clay_Brands!$A$2:$FZ$601,177,Sync!$D$12)),0),"")</f>
        <v/>
      </c>
      <c r="C4228" s="23" t="str">
        <f aca="false">IF(B4228="","","brand")</f>
        <v/>
      </c>
      <c r="D4228" s="23" t="str">
        <f aca="false">IF(B4228="","",IFERROR(INDEX(Brand_Log!$DV$2:$DV$201,MATCH(IFERROR(INDEX(Clay_Brands!$A$2:$FZ$601,177,Sync!$D$5)&amp;"",""),Brand_Log!$A$2:$A$201,0))&amp;"",IFERROR(INDEX(Clay_Brands!$A$2:$FZ$601,177,Sync!$D$5)&amp;"","")&amp;""))</f>
        <v/>
      </c>
      <c r="E4228" s="23" t="str">
        <f aca="false">IF(B4228="","",IFERROR(INDEX(Clay_Brands!$A$2:$FZ$601,177,Sync!$D$6)&amp;"",""))</f>
        <v/>
      </c>
      <c r="F4228" s="23" t="str">
        <f aca="false">IF(B4228="","","outreach_sent")</f>
        <v/>
      </c>
      <c r="G4228" s="23" t="str">
        <f aca="false">IF(B4228="","","")</f>
        <v/>
      </c>
      <c r="H4228" s="23" t="str">
        <f aca="false">IF(B4228="","","")</f>
        <v/>
      </c>
      <c r="I4228" s="23" t="str">
        <f aca="false">IF(B4228="","","")</f>
        <v/>
      </c>
      <c r="J4228" s="23" t="str">
        <f aca="false">IF(B4228="","","touch_2; "&amp;IFERROR(INDEX(Clay_Brands!$A$2:$FZ$601,177,Sync!$D$10)&amp;"","")&amp;"; "&amp;IFERROR(INDEX(Clay_Brands!$A$2:$FZ$601,177,Sync!$D$9)&amp;"",""))</f>
        <v/>
      </c>
      <c r="K4228" s="32" t="s">
        <v>1367</v>
      </c>
    </row>
    <row r="4229" customFormat="false" ht="15" hidden="false" customHeight="false" outlineLevel="0" collapsed="false">
      <c r="A4229" s="23" t="str">
        <f aca="false">IF(B4229="","",B4229+(16*1000+178)/10000000)</f>
        <v/>
      </c>
      <c r="B4229" s="35" t="str">
        <f aca="false">IF(AND(IFERROR(N(INDEX(Clay_Brands!$A$2:$FZ$601,178,Sync!$D$12)),0)&gt;0,IFERROR(INDEX(Clay_Brands!$A$2:$FZ$601,178,Sync!$D$5)&amp;"","")&lt;&gt;"",OR(LEFT(IFERROR(INDEX(Clay_Brands!$A$2:$FZ$601,178,Sync!$D$5)&amp;"",""),6)&lt;&gt;"SAMPLE",Config!$B$19="Y")),IFERROR(N(INDEX(Clay_Brands!$A$2:$FZ$601,178,Sync!$D$12)),0),"")</f>
        <v/>
      </c>
      <c r="C4229" s="23" t="str">
        <f aca="false">IF(B4229="","","brand")</f>
        <v/>
      </c>
      <c r="D4229" s="23" t="str">
        <f aca="false">IF(B4229="","",IFERROR(INDEX(Brand_Log!$DV$2:$DV$201,MATCH(IFERROR(INDEX(Clay_Brands!$A$2:$FZ$601,178,Sync!$D$5)&amp;"",""),Brand_Log!$A$2:$A$201,0))&amp;"",IFERROR(INDEX(Clay_Brands!$A$2:$FZ$601,178,Sync!$D$5)&amp;"","")&amp;""))</f>
        <v/>
      </c>
      <c r="E4229" s="23" t="str">
        <f aca="false">IF(B4229="","",IFERROR(INDEX(Clay_Brands!$A$2:$FZ$601,178,Sync!$D$6)&amp;"",""))</f>
        <v/>
      </c>
      <c r="F4229" s="23" t="str">
        <f aca="false">IF(B4229="","","outreach_sent")</f>
        <v/>
      </c>
      <c r="G4229" s="23" t="str">
        <f aca="false">IF(B4229="","","")</f>
        <v/>
      </c>
      <c r="H4229" s="23" t="str">
        <f aca="false">IF(B4229="","","")</f>
        <v/>
      </c>
      <c r="I4229" s="23" t="str">
        <f aca="false">IF(B4229="","","")</f>
        <v/>
      </c>
      <c r="J4229" s="23" t="str">
        <f aca="false">IF(B4229="","","touch_2; "&amp;IFERROR(INDEX(Clay_Brands!$A$2:$FZ$601,178,Sync!$D$10)&amp;"","")&amp;"; "&amp;IFERROR(INDEX(Clay_Brands!$A$2:$FZ$601,178,Sync!$D$9)&amp;"",""))</f>
        <v/>
      </c>
      <c r="K4229" s="32" t="s">
        <v>1367</v>
      </c>
    </row>
    <row r="4230" customFormat="false" ht="15" hidden="false" customHeight="false" outlineLevel="0" collapsed="false">
      <c r="A4230" s="23" t="str">
        <f aca="false">IF(B4230="","",B4230+(16*1000+179)/10000000)</f>
        <v/>
      </c>
      <c r="B4230" s="35" t="str">
        <f aca="false">IF(AND(IFERROR(N(INDEX(Clay_Brands!$A$2:$FZ$601,179,Sync!$D$12)),0)&gt;0,IFERROR(INDEX(Clay_Brands!$A$2:$FZ$601,179,Sync!$D$5)&amp;"","")&lt;&gt;"",OR(LEFT(IFERROR(INDEX(Clay_Brands!$A$2:$FZ$601,179,Sync!$D$5)&amp;"",""),6)&lt;&gt;"SAMPLE",Config!$B$19="Y")),IFERROR(N(INDEX(Clay_Brands!$A$2:$FZ$601,179,Sync!$D$12)),0),"")</f>
        <v/>
      </c>
      <c r="C4230" s="23" t="str">
        <f aca="false">IF(B4230="","","brand")</f>
        <v/>
      </c>
      <c r="D4230" s="23" t="str">
        <f aca="false">IF(B4230="","",IFERROR(INDEX(Brand_Log!$DV$2:$DV$201,MATCH(IFERROR(INDEX(Clay_Brands!$A$2:$FZ$601,179,Sync!$D$5)&amp;"",""),Brand_Log!$A$2:$A$201,0))&amp;"",IFERROR(INDEX(Clay_Brands!$A$2:$FZ$601,179,Sync!$D$5)&amp;"","")&amp;""))</f>
        <v/>
      </c>
      <c r="E4230" s="23" t="str">
        <f aca="false">IF(B4230="","",IFERROR(INDEX(Clay_Brands!$A$2:$FZ$601,179,Sync!$D$6)&amp;"",""))</f>
        <v/>
      </c>
      <c r="F4230" s="23" t="str">
        <f aca="false">IF(B4230="","","outreach_sent")</f>
        <v/>
      </c>
      <c r="G4230" s="23" t="str">
        <f aca="false">IF(B4230="","","")</f>
        <v/>
      </c>
      <c r="H4230" s="23" t="str">
        <f aca="false">IF(B4230="","","")</f>
        <v/>
      </c>
      <c r="I4230" s="23" t="str">
        <f aca="false">IF(B4230="","","")</f>
        <v/>
      </c>
      <c r="J4230" s="23" t="str">
        <f aca="false">IF(B4230="","","touch_2; "&amp;IFERROR(INDEX(Clay_Brands!$A$2:$FZ$601,179,Sync!$D$10)&amp;"","")&amp;"; "&amp;IFERROR(INDEX(Clay_Brands!$A$2:$FZ$601,179,Sync!$D$9)&amp;"",""))</f>
        <v/>
      </c>
      <c r="K4230" s="32" t="s">
        <v>1367</v>
      </c>
    </row>
    <row r="4231" customFormat="false" ht="15" hidden="false" customHeight="false" outlineLevel="0" collapsed="false">
      <c r="A4231" s="23" t="str">
        <f aca="false">IF(B4231="","",B4231+(16*1000+180)/10000000)</f>
        <v/>
      </c>
      <c r="B4231" s="35" t="str">
        <f aca="false">IF(AND(IFERROR(N(INDEX(Clay_Brands!$A$2:$FZ$601,180,Sync!$D$12)),0)&gt;0,IFERROR(INDEX(Clay_Brands!$A$2:$FZ$601,180,Sync!$D$5)&amp;"","")&lt;&gt;"",OR(LEFT(IFERROR(INDEX(Clay_Brands!$A$2:$FZ$601,180,Sync!$D$5)&amp;"",""),6)&lt;&gt;"SAMPLE",Config!$B$19="Y")),IFERROR(N(INDEX(Clay_Brands!$A$2:$FZ$601,180,Sync!$D$12)),0),"")</f>
        <v/>
      </c>
      <c r="C4231" s="23" t="str">
        <f aca="false">IF(B4231="","","brand")</f>
        <v/>
      </c>
      <c r="D4231" s="23" t="str">
        <f aca="false">IF(B4231="","",IFERROR(INDEX(Brand_Log!$DV$2:$DV$201,MATCH(IFERROR(INDEX(Clay_Brands!$A$2:$FZ$601,180,Sync!$D$5)&amp;"",""),Brand_Log!$A$2:$A$201,0))&amp;"",IFERROR(INDEX(Clay_Brands!$A$2:$FZ$601,180,Sync!$D$5)&amp;"","")&amp;""))</f>
        <v/>
      </c>
      <c r="E4231" s="23" t="str">
        <f aca="false">IF(B4231="","",IFERROR(INDEX(Clay_Brands!$A$2:$FZ$601,180,Sync!$D$6)&amp;"",""))</f>
        <v/>
      </c>
      <c r="F4231" s="23" t="str">
        <f aca="false">IF(B4231="","","outreach_sent")</f>
        <v/>
      </c>
      <c r="G4231" s="23" t="str">
        <f aca="false">IF(B4231="","","")</f>
        <v/>
      </c>
      <c r="H4231" s="23" t="str">
        <f aca="false">IF(B4231="","","")</f>
        <v/>
      </c>
      <c r="I4231" s="23" t="str">
        <f aca="false">IF(B4231="","","")</f>
        <v/>
      </c>
      <c r="J4231" s="23" t="str">
        <f aca="false">IF(B4231="","","touch_2; "&amp;IFERROR(INDEX(Clay_Brands!$A$2:$FZ$601,180,Sync!$D$10)&amp;"","")&amp;"; "&amp;IFERROR(INDEX(Clay_Brands!$A$2:$FZ$601,180,Sync!$D$9)&amp;"",""))</f>
        <v/>
      </c>
      <c r="K4231" s="32" t="s">
        <v>1367</v>
      </c>
    </row>
    <row r="4232" customFormat="false" ht="15" hidden="false" customHeight="false" outlineLevel="0" collapsed="false">
      <c r="A4232" s="23" t="str">
        <f aca="false">IF(B4232="","",B4232+(16*1000+181)/10000000)</f>
        <v/>
      </c>
      <c r="B4232" s="35" t="str">
        <f aca="false">IF(AND(IFERROR(N(INDEX(Clay_Brands!$A$2:$FZ$601,181,Sync!$D$12)),0)&gt;0,IFERROR(INDEX(Clay_Brands!$A$2:$FZ$601,181,Sync!$D$5)&amp;"","")&lt;&gt;"",OR(LEFT(IFERROR(INDEX(Clay_Brands!$A$2:$FZ$601,181,Sync!$D$5)&amp;"",""),6)&lt;&gt;"SAMPLE",Config!$B$19="Y")),IFERROR(N(INDEX(Clay_Brands!$A$2:$FZ$601,181,Sync!$D$12)),0),"")</f>
        <v/>
      </c>
      <c r="C4232" s="23" t="str">
        <f aca="false">IF(B4232="","","brand")</f>
        <v/>
      </c>
      <c r="D4232" s="23" t="str">
        <f aca="false">IF(B4232="","",IFERROR(INDEX(Brand_Log!$DV$2:$DV$201,MATCH(IFERROR(INDEX(Clay_Brands!$A$2:$FZ$601,181,Sync!$D$5)&amp;"",""),Brand_Log!$A$2:$A$201,0))&amp;"",IFERROR(INDEX(Clay_Brands!$A$2:$FZ$601,181,Sync!$D$5)&amp;"","")&amp;""))</f>
        <v/>
      </c>
      <c r="E4232" s="23" t="str">
        <f aca="false">IF(B4232="","",IFERROR(INDEX(Clay_Brands!$A$2:$FZ$601,181,Sync!$D$6)&amp;"",""))</f>
        <v/>
      </c>
      <c r="F4232" s="23" t="str">
        <f aca="false">IF(B4232="","","outreach_sent")</f>
        <v/>
      </c>
      <c r="G4232" s="23" t="str">
        <f aca="false">IF(B4232="","","")</f>
        <v/>
      </c>
      <c r="H4232" s="23" t="str">
        <f aca="false">IF(B4232="","","")</f>
        <v/>
      </c>
      <c r="I4232" s="23" t="str">
        <f aca="false">IF(B4232="","","")</f>
        <v/>
      </c>
      <c r="J4232" s="23" t="str">
        <f aca="false">IF(B4232="","","touch_2; "&amp;IFERROR(INDEX(Clay_Brands!$A$2:$FZ$601,181,Sync!$D$10)&amp;"","")&amp;"; "&amp;IFERROR(INDEX(Clay_Brands!$A$2:$FZ$601,181,Sync!$D$9)&amp;"",""))</f>
        <v/>
      </c>
      <c r="K4232" s="32" t="s">
        <v>1367</v>
      </c>
    </row>
    <row r="4233" customFormat="false" ht="15" hidden="false" customHeight="false" outlineLevel="0" collapsed="false">
      <c r="A4233" s="23" t="str">
        <f aca="false">IF(B4233="","",B4233+(16*1000+182)/10000000)</f>
        <v/>
      </c>
      <c r="B4233" s="35" t="str">
        <f aca="false">IF(AND(IFERROR(N(INDEX(Clay_Brands!$A$2:$FZ$601,182,Sync!$D$12)),0)&gt;0,IFERROR(INDEX(Clay_Brands!$A$2:$FZ$601,182,Sync!$D$5)&amp;"","")&lt;&gt;"",OR(LEFT(IFERROR(INDEX(Clay_Brands!$A$2:$FZ$601,182,Sync!$D$5)&amp;"",""),6)&lt;&gt;"SAMPLE",Config!$B$19="Y")),IFERROR(N(INDEX(Clay_Brands!$A$2:$FZ$601,182,Sync!$D$12)),0),"")</f>
        <v/>
      </c>
      <c r="C4233" s="23" t="str">
        <f aca="false">IF(B4233="","","brand")</f>
        <v/>
      </c>
      <c r="D4233" s="23" t="str">
        <f aca="false">IF(B4233="","",IFERROR(INDEX(Brand_Log!$DV$2:$DV$201,MATCH(IFERROR(INDEX(Clay_Brands!$A$2:$FZ$601,182,Sync!$D$5)&amp;"",""),Brand_Log!$A$2:$A$201,0))&amp;"",IFERROR(INDEX(Clay_Brands!$A$2:$FZ$601,182,Sync!$D$5)&amp;"","")&amp;""))</f>
        <v/>
      </c>
      <c r="E4233" s="23" t="str">
        <f aca="false">IF(B4233="","",IFERROR(INDEX(Clay_Brands!$A$2:$FZ$601,182,Sync!$D$6)&amp;"",""))</f>
        <v/>
      </c>
      <c r="F4233" s="23" t="str">
        <f aca="false">IF(B4233="","","outreach_sent")</f>
        <v/>
      </c>
      <c r="G4233" s="23" t="str">
        <f aca="false">IF(B4233="","","")</f>
        <v/>
      </c>
      <c r="H4233" s="23" t="str">
        <f aca="false">IF(B4233="","","")</f>
        <v/>
      </c>
      <c r="I4233" s="23" t="str">
        <f aca="false">IF(B4233="","","")</f>
        <v/>
      </c>
      <c r="J4233" s="23" t="str">
        <f aca="false">IF(B4233="","","touch_2; "&amp;IFERROR(INDEX(Clay_Brands!$A$2:$FZ$601,182,Sync!$D$10)&amp;"","")&amp;"; "&amp;IFERROR(INDEX(Clay_Brands!$A$2:$FZ$601,182,Sync!$D$9)&amp;"",""))</f>
        <v/>
      </c>
      <c r="K4233" s="32" t="s">
        <v>1367</v>
      </c>
    </row>
    <row r="4234" customFormat="false" ht="15" hidden="false" customHeight="false" outlineLevel="0" collapsed="false">
      <c r="A4234" s="23" t="str">
        <f aca="false">IF(B4234="","",B4234+(16*1000+183)/10000000)</f>
        <v/>
      </c>
      <c r="B4234" s="35" t="str">
        <f aca="false">IF(AND(IFERROR(N(INDEX(Clay_Brands!$A$2:$FZ$601,183,Sync!$D$12)),0)&gt;0,IFERROR(INDEX(Clay_Brands!$A$2:$FZ$601,183,Sync!$D$5)&amp;"","")&lt;&gt;"",OR(LEFT(IFERROR(INDEX(Clay_Brands!$A$2:$FZ$601,183,Sync!$D$5)&amp;"",""),6)&lt;&gt;"SAMPLE",Config!$B$19="Y")),IFERROR(N(INDEX(Clay_Brands!$A$2:$FZ$601,183,Sync!$D$12)),0),"")</f>
        <v/>
      </c>
      <c r="C4234" s="23" t="str">
        <f aca="false">IF(B4234="","","brand")</f>
        <v/>
      </c>
      <c r="D4234" s="23" t="str">
        <f aca="false">IF(B4234="","",IFERROR(INDEX(Brand_Log!$DV$2:$DV$201,MATCH(IFERROR(INDEX(Clay_Brands!$A$2:$FZ$601,183,Sync!$D$5)&amp;"",""),Brand_Log!$A$2:$A$201,0))&amp;"",IFERROR(INDEX(Clay_Brands!$A$2:$FZ$601,183,Sync!$D$5)&amp;"","")&amp;""))</f>
        <v/>
      </c>
      <c r="E4234" s="23" t="str">
        <f aca="false">IF(B4234="","",IFERROR(INDEX(Clay_Brands!$A$2:$FZ$601,183,Sync!$D$6)&amp;"",""))</f>
        <v/>
      </c>
      <c r="F4234" s="23" t="str">
        <f aca="false">IF(B4234="","","outreach_sent")</f>
        <v/>
      </c>
      <c r="G4234" s="23" t="str">
        <f aca="false">IF(B4234="","","")</f>
        <v/>
      </c>
      <c r="H4234" s="23" t="str">
        <f aca="false">IF(B4234="","","")</f>
        <v/>
      </c>
      <c r="I4234" s="23" t="str">
        <f aca="false">IF(B4234="","","")</f>
        <v/>
      </c>
      <c r="J4234" s="23" t="str">
        <f aca="false">IF(B4234="","","touch_2; "&amp;IFERROR(INDEX(Clay_Brands!$A$2:$FZ$601,183,Sync!$D$10)&amp;"","")&amp;"; "&amp;IFERROR(INDEX(Clay_Brands!$A$2:$FZ$601,183,Sync!$D$9)&amp;"",""))</f>
        <v/>
      </c>
      <c r="K4234" s="32" t="s">
        <v>1367</v>
      </c>
    </row>
    <row r="4235" customFormat="false" ht="15" hidden="false" customHeight="false" outlineLevel="0" collapsed="false">
      <c r="A4235" s="23" t="str">
        <f aca="false">IF(B4235="","",B4235+(16*1000+184)/10000000)</f>
        <v/>
      </c>
      <c r="B4235" s="35" t="str">
        <f aca="false">IF(AND(IFERROR(N(INDEX(Clay_Brands!$A$2:$FZ$601,184,Sync!$D$12)),0)&gt;0,IFERROR(INDEX(Clay_Brands!$A$2:$FZ$601,184,Sync!$D$5)&amp;"","")&lt;&gt;"",OR(LEFT(IFERROR(INDEX(Clay_Brands!$A$2:$FZ$601,184,Sync!$D$5)&amp;"",""),6)&lt;&gt;"SAMPLE",Config!$B$19="Y")),IFERROR(N(INDEX(Clay_Brands!$A$2:$FZ$601,184,Sync!$D$12)),0),"")</f>
        <v/>
      </c>
      <c r="C4235" s="23" t="str">
        <f aca="false">IF(B4235="","","brand")</f>
        <v/>
      </c>
      <c r="D4235" s="23" t="str">
        <f aca="false">IF(B4235="","",IFERROR(INDEX(Brand_Log!$DV$2:$DV$201,MATCH(IFERROR(INDEX(Clay_Brands!$A$2:$FZ$601,184,Sync!$D$5)&amp;"",""),Brand_Log!$A$2:$A$201,0))&amp;"",IFERROR(INDEX(Clay_Brands!$A$2:$FZ$601,184,Sync!$D$5)&amp;"","")&amp;""))</f>
        <v/>
      </c>
      <c r="E4235" s="23" t="str">
        <f aca="false">IF(B4235="","",IFERROR(INDEX(Clay_Brands!$A$2:$FZ$601,184,Sync!$D$6)&amp;"",""))</f>
        <v/>
      </c>
      <c r="F4235" s="23" t="str">
        <f aca="false">IF(B4235="","","outreach_sent")</f>
        <v/>
      </c>
      <c r="G4235" s="23" t="str">
        <f aca="false">IF(B4235="","","")</f>
        <v/>
      </c>
      <c r="H4235" s="23" t="str">
        <f aca="false">IF(B4235="","","")</f>
        <v/>
      </c>
      <c r="I4235" s="23" t="str">
        <f aca="false">IF(B4235="","","")</f>
        <v/>
      </c>
      <c r="J4235" s="23" t="str">
        <f aca="false">IF(B4235="","","touch_2; "&amp;IFERROR(INDEX(Clay_Brands!$A$2:$FZ$601,184,Sync!$D$10)&amp;"","")&amp;"; "&amp;IFERROR(INDEX(Clay_Brands!$A$2:$FZ$601,184,Sync!$D$9)&amp;"",""))</f>
        <v/>
      </c>
      <c r="K4235" s="32" t="s">
        <v>1367</v>
      </c>
    </row>
    <row r="4236" customFormat="false" ht="15" hidden="false" customHeight="false" outlineLevel="0" collapsed="false">
      <c r="A4236" s="23" t="str">
        <f aca="false">IF(B4236="","",B4236+(16*1000+185)/10000000)</f>
        <v/>
      </c>
      <c r="B4236" s="35" t="str">
        <f aca="false">IF(AND(IFERROR(N(INDEX(Clay_Brands!$A$2:$FZ$601,185,Sync!$D$12)),0)&gt;0,IFERROR(INDEX(Clay_Brands!$A$2:$FZ$601,185,Sync!$D$5)&amp;"","")&lt;&gt;"",OR(LEFT(IFERROR(INDEX(Clay_Brands!$A$2:$FZ$601,185,Sync!$D$5)&amp;"",""),6)&lt;&gt;"SAMPLE",Config!$B$19="Y")),IFERROR(N(INDEX(Clay_Brands!$A$2:$FZ$601,185,Sync!$D$12)),0),"")</f>
        <v/>
      </c>
      <c r="C4236" s="23" t="str">
        <f aca="false">IF(B4236="","","brand")</f>
        <v/>
      </c>
      <c r="D4236" s="23" t="str">
        <f aca="false">IF(B4236="","",IFERROR(INDEX(Brand_Log!$DV$2:$DV$201,MATCH(IFERROR(INDEX(Clay_Brands!$A$2:$FZ$601,185,Sync!$D$5)&amp;"",""),Brand_Log!$A$2:$A$201,0))&amp;"",IFERROR(INDEX(Clay_Brands!$A$2:$FZ$601,185,Sync!$D$5)&amp;"","")&amp;""))</f>
        <v/>
      </c>
      <c r="E4236" s="23" t="str">
        <f aca="false">IF(B4236="","",IFERROR(INDEX(Clay_Brands!$A$2:$FZ$601,185,Sync!$D$6)&amp;"",""))</f>
        <v/>
      </c>
      <c r="F4236" s="23" t="str">
        <f aca="false">IF(B4236="","","outreach_sent")</f>
        <v/>
      </c>
      <c r="G4236" s="23" t="str">
        <f aca="false">IF(B4236="","","")</f>
        <v/>
      </c>
      <c r="H4236" s="23" t="str">
        <f aca="false">IF(B4236="","","")</f>
        <v/>
      </c>
      <c r="I4236" s="23" t="str">
        <f aca="false">IF(B4236="","","")</f>
        <v/>
      </c>
      <c r="J4236" s="23" t="str">
        <f aca="false">IF(B4236="","","touch_2; "&amp;IFERROR(INDEX(Clay_Brands!$A$2:$FZ$601,185,Sync!$D$10)&amp;"","")&amp;"; "&amp;IFERROR(INDEX(Clay_Brands!$A$2:$FZ$601,185,Sync!$D$9)&amp;"",""))</f>
        <v/>
      </c>
      <c r="K4236" s="32" t="s">
        <v>1367</v>
      </c>
    </row>
    <row r="4237" customFormat="false" ht="15" hidden="false" customHeight="false" outlineLevel="0" collapsed="false">
      <c r="A4237" s="23" t="str">
        <f aca="false">IF(B4237="","",B4237+(16*1000+186)/10000000)</f>
        <v/>
      </c>
      <c r="B4237" s="35" t="str">
        <f aca="false">IF(AND(IFERROR(N(INDEX(Clay_Brands!$A$2:$FZ$601,186,Sync!$D$12)),0)&gt;0,IFERROR(INDEX(Clay_Brands!$A$2:$FZ$601,186,Sync!$D$5)&amp;"","")&lt;&gt;"",OR(LEFT(IFERROR(INDEX(Clay_Brands!$A$2:$FZ$601,186,Sync!$D$5)&amp;"",""),6)&lt;&gt;"SAMPLE",Config!$B$19="Y")),IFERROR(N(INDEX(Clay_Brands!$A$2:$FZ$601,186,Sync!$D$12)),0),"")</f>
        <v/>
      </c>
      <c r="C4237" s="23" t="str">
        <f aca="false">IF(B4237="","","brand")</f>
        <v/>
      </c>
      <c r="D4237" s="23" t="str">
        <f aca="false">IF(B4237="","",IFERROR(INDEX(Brand_Log!$DV$2:$DV$201,MATCH(IFERROR(INDEX(Clay_Brands!$A$2:$FZ$601,186,Sync!$D$5)&amp;"",""),Brand_Log!$A$2:$A$201,0))&amp;"",IFERROR(INDEX(Clay_Brands!$A$2:$FZ$601,186,Sync!$D$5)&amp;"","")&amp;""))</f>
        <v/>
      </c>
      <c r="E4237" s="23" t="str">
        <f aca="false">IF(B4237="","",IFERROR(INDEX(Clay_Brands!$A$2:$FZ$601,186,Sync!$D$6)&amp;"",""))</f>
        <v/>
      </c>
      <c r="F4237" s="23" t="str">
        <f aca="false">IF(B4237="","","outreach_sent")</f>
        <v/>
      </c>
      <c r="G4237" s="23" t="str">
        <f aca="false">IF(B4237="","","")</f>
        <v/>
      </c>
      <c r="H4237" s="23" t="str">
        <f aca="false">IF(B4237="","","")</f>
        <v/>
      </c>
      <c r="I4237" s="23" t="str">
        <f aca="false">IF(B4237="","","")</f>
        <v/>
      </c>
      <c r="J4237" s="23" t="str">
        <f aca="false">IF(B4237="","","touch_2; "&amp;IFERROR(INDEX(Clay_Brands!$A$2:$FZ$601,186,Sync!$D$10)&amp;"","")&amp;"; "&amp;IFERROR(INDEX(Clay_Brands!$A$2:$FZ$601,186,Sync!$D$9)&amp;"",""))</f>
        <v/>
      </c>
      <c r="K4237" s="32" t="s">
        <v>1367</v>
      </c>
    </row>
    <row r="4238" customFormat="false" ht="15" hidden="false" customHeight="false" outlineLevel="0" collapsed="false">
      <c r="A4238" s="23" t="str">
        <f aca="false">IF(B4238="","",B4238+(16*1000+187)/10000000)</f>
        <v/>
      </c>
      <c r="B4238" s="35" t="str">
        <f aca="false">IF(AND(IFERROR(N(INDEX(Clay_Brands!$A$2:$FZ$601,187,Sync!$D$12)),0)&gt;0,IFERROR(INDEX(Clay_Brands!$A$2:$FZ$601,187,Sync!$D$5)&amp;"","")&lt;&gt;"",OR(LEFT(IFERROR(INDEX(Clay_Brands!$A$2:$FZ$601,187,Sync!$D$5)&amp;"",""),6)&lt;&gt;"SAMPLE",Config!$B$19="Y")),IFERROR(N(INDEX(Clay_Brands!$A$2:$FZ$601,187,Sync!$D$12)),0),"")</f>
        <v/>
      </c>
      <c r="C4238" s="23" t="str">
        <f aca="false">IF(B4238="","","brand")</f>
        <v/>
      </c>
      <c r="D4238" s="23" t="str">
        <f aca="false">IF(B4238="","",IFERROR(INDEX(Brand_Log!$DV$2:$DV$201,MATCH(IFERROR(INDEX(Clay_Brands!$A$2:$FZ$601,187,Sync!$D$5)&amp;"",""),Brand_Log!$A$2:$A$201,0))&amp;"",IFERROR(INDEX(Clay_Brands!$A$2:$FZ$601,187,Sync!$D$5)&amp;"","")&amp;""))</f>
        <v/>
      </c>
      <c r="E4238" s="23" t="str">
        <f aca="false">IF(B4238="","",IFERROR(INDEX(Clay_Brands!$A$2:$FZ$601,187,Sync!$D$6)&amp;"",""))</f>
        <v/>
      </c>
      <c r="F4238" s="23" t="str">
        <f aca="false">IF(B4238="","","outreach_sent")</f>
        <v/>
      </c>
      <c r="G4238" s="23" t="str">
        <f aca="false">IF(B4238="","","")</f>
        <v/>
      </c>
      <c r="H4238" s="23" t="str">
        <f aca="false">IF(B4238="","","")</f>
        <v/>
      </c>
      <c r="I4238" s="23" t="str">
        <f aca="false">IF(B4238="","","")</f>
        <v/>
      </c>
      <c r="J4238" s="23" t="str">
        <f aca="false">IF(B4238="","","touch_2; "&amp;IFERROR(INDEX(Clay_Brands!$A$2:$FZ$601,187,Sync!$D$10)&amp;"","")&amp;"; "&amp;IFERROR(INDEX(Clay_Brands!$A$2:$FZ$601,187,Sync!$D$9)&amp;"",""))</f>
        <v/>
      </c>
      <c r="K4238" s="32" t="s">
        <v>1367</v>
      </c>
    </row>
    <row r="4239" customFormat="false" ht="15" hidden="false" customHeight="false" outlineLevel="0" collapsed="false">
      <c r="A4239" s="23" t="str">
        <f aca="false">IF(B4239="","",B4239+(16*1000+188)/10000000)</f>
        <v/>
      </c>
      <c r="B4239" s="35" t="str">
        <f aca="false">IF(AND(IFERROR(N(INDEX(Clay_Brands!$A$2:$FZ$601,188,Sync!$D$12)),0)&gt;0,IFERROR(INDEX(Clay_Brands!$A$2:$FZ$601,188,Sync!$D$5)&amp;"","")&lt;&gt;"",OR(LEFT(IFERROR(INDEX(Clay_Brands!$A$2:$FZ$601,188,Sync!$D$5)&amp;"",""),6)&lt;&gt;"SAMPLE",Config!$B$19="Y")),IFERROR(N(INDEX(Clay_Brands!$A$2:$FZ$601,188,Sync!$D$12)),0),"")</f>
        <v/>
      </c>
      <c r="C4239" s="23" t="str">
        <f aca="false">IF(B4239="","","brand")</f>
        <v/>
      </c>
      <c r="D4239" s="23" t="str">
        <f aca="false">IF(B4239="","",IFERROR(INDEX(Brand_Log!$DV$2:$DV$201,MATCH(IFERROR(INDEX(Clay_Brands!$A$2:$FZ$601,188,Sync!$D$5)&amp;"",""),Brand_Log!$A$2:$A$201,0))&amp;"",IFERROR(INDEX(Clay_Brands!$A$2:$FZ$601,188,Sync!$D$5)&amp;"","")&amp;""))</f>
        <v/>
      </c>
      <c r="E4239" s="23" t="str">
        <f aca="false">IF(B4239="","",IFERROR(INDEX(Clay_Brands!$A$2:$FZ$601,188,Sync!$D$6)&amp;"",""))</f>
        <v/>
      </c>
      <c r="F4239" s="23" t="str">
        <f aca="false">IF(B4239="","","outreach_sent")</f>
        <v/>
      </c>
      <c r="G4239" s="23" t="str">
        <f aca="false">IF(B4239="","","")</f>
        <v/>
      </c>
      <c r="H4239" s="23" t="str">
        <f aca="false">IF(B4239="","","")</f>
        <v/>
      </c>
      <c r="I4239" s="23" t="str">
        <f aca="false">IF(B4239="","","")</f>
        <v/>
      </c>
      <c r="J4239" s="23" t="str">
        <f aca="false">IF(B4239="","","touch_2; "&amp;IFERROR(INDEX(Clay_Brands!$A$2:$FZ$601,188,Sync!$D$10)&amp;"","")&amp;"; "&amp;IFERROR(INDEX(Clay_Brands!$A$2:$FZ$601,188,Sync!$D$9)&amp;"",""))</f>
        <v/>
      </c>
      <c r="K4239" s="32" t="s">
        <v>1367</v>
      </c>
    </row>
    <row r="4240" customFormat="false" ht="15" hidden="false" customHeight="false" outlineLevel="0" collapsed="false">
      <c r="A4240" s="23" t="str">
        <f aca="false">IF(B4240="","",B4240+(16*1000+189)/10000000)</f>
        <v/>
      </c>
      <c r="B4240" s="35" t="str">
        <f aca="false">IF(AND(IFERROR(N(INDEX(Clay_Brands!$A$2:$FZ$601,189,Sync!$D$12)),0)&gt;0,IFERROR(INDEX(Clay_Brands!$A$2:$FZ$601,189,Sync!$D$5)&amp;"","")&lt;&gt;"",OR(LEFT(IFERROR(INDEX(Clay_Brands!$A$2:$FZ$601,189,Sync!$D$5)&amp;"",""),6)&lt;&gt;"SAMPLE",Config!$B$19="Y")),IFERROR(N(INDEX(Clay_Brands!$A$2:$FZ$601,189,Sync!$D$12)),0),"")</f>
        <v/>
      </c>
      <c r="C4240" s="23" t="str">
        <f aca="false">IF(B4240="","","brand")</f>
        <v/>
      </c>
      <c r="D4240" s="23" t="str">
        <f aca="false">IF(B4240="","",IFERROR(INDEX(Brand_Log!$DV$2:$DV$201,MATCH(IFERROR(INDEX(Clay_Brands!$A$2:$FZ$601,189,Sync!$D$5)&amp;"",""),Brand_Log!$A$2:$A$201,0))&amp;"",IFERROR(INDEX(Clay_Brands!$A$2:$FZ$601,189,Sync!$D$5)&amp;"","")&amp;""))</f>
        <v/>
      </c>
      <c r="E4240" s="23" t="str">
        <f aca="false">IF(B4240="","",IFERROR(INDEX(Clay_Brands!$A$2:$FZ$601,189,Sync!$D$6)&amp;"",""))</f>
        <v/>
      </c>
      <c r="F4240" s="23" t="str">
        <f aca="false">IF(B4240="","","outreach_sent")</f>
        <v/>
      </c>
      <c r="G4240" s="23" t="str">
        <f aca="false">IF(B4240="","","")</f>
        <v/>
      </c>
      <c r="H4240" s="23" t="str">
        <f aca="false">IF(B4240="","","")</f>
        <v/>
      </c>
      <c r="I4240" s="23" t="str">
        <f aca="false">IF(B4240="","","")</f>
        <v/>
      </c>
      <c r="J4240" s="23" t="str">
        <f aca="false">IF(B4240="","","touch_2; "&amp;IFERROR(INDEX(Clay_Brands!$A$2:$FZ$601,189,Sync!$D$10)&amp;"","")&amp;"; "&amp;IFERROR(INDEX(Clay_Brands!$A$2:$FZ$601,189,Sync!$D$9)&amp;"",""))</f>
        <v/>
      </c>
      <c r="K4240" s="32" t="s">
        <v>1367</v>
      </c>
    </row>
    <row r="4241" customFormat="false" ht="15" hidden="false" customHeight="false" outlineLevel="0" collapsed="false">
      <c r="A4241" s="23" t="str">
        <f aca="false">IF(B4241="","",B4241+(16*1000+190)/10000000)</f>
        <v/>
      </c>
      <c r="B4241" s="35" t="str">
        <f aca="false">IF(AND(IFERROR(N(INDEX(Clay_Brands!$A$2:$FZ$601,190,Sync!$D$12)),0)&gt;0,IFERROR(INDEX(Clay_Brands!$A$2:$FZ$601,190,Sync!$D$5)&amp;"","")&lt;&gt;"",OR(LEFT(IFERROR(INDEX(Clay_Brands!$A$2:$FZ$601,190,Sync!$D$5)&amp;"",""),6)&lt;&gt;"SAMPLE",Config!$B$19="Y")),IFERROR(N(INDEX(Clay_Brands!$A$2:$FZ$601,190,Sync!$D$12)),0),"")</f>
        <v/>
      </c>
      <c r="C4241" s="23" t="str">
        <f aca="false">IF(B4241="","","brand")</f>
        <v/>
      </c>
      <c r="D4241" s="23" t="str">
        <f aca="false">IF(B4241="","",IFERROR(INDEX(Brand_Log!$DV$2:$DV$201,MATCH(IFERROR(INDEX(Clay_Brands!$A$2:$FZ$601,190,Sync!$D$5)&amp;"",""),Brand_Log!$A$2:$A$201,0))&amp;"",IFERROR(INDEX(Clay_Brands!$A$2:$FZ$601,190,Sync!$D$5)&amp;"","")&amp;""))</f>
        <v/>
      </c>
      <c r="E4241" s="23" t="str">
        <f aca="false">IF(B4241="","",IFERROR(INDEX(Clay_Brands!$A$2:$FZ$601,190,Sync!$D$6)&amp;"",""))</f>
        <v/>
      </c>
      <c r="F4241" s="23" t="str">
        <f aca="false">IF(B4241="","","outreach_sent")</f>
        <v/>
      </c>
      <c r="G4241" s="23" t="str">
        <f aca="false">IF(B4241="","","")</f>
        <v/>
      </c>
      <c r="H4241" s="23" t="str">
        <f aca="false">IF(B4241="","","")</f>
        <v/>
      </c>
      <c r="I4241" s="23" t="str">
        <f aca="false">IF(B4241="","","")</f>
        <v/>
      </c>
      <c r="J4241" s="23" t="str">
        <f aca="false">IF(B4241="","","touch_2; "&amp;IFERROR(INDEX(Clay_Brands!$A$2:$FZ$601,190,Sync!$D$10)&amp;"","")&amp;"; "&amp;IFERROR(INDEX(Clay_Brands!$A$2:$FZ$601,190,Sync!$D$9)&amp;"",""))</f>
        <v/>
      </c>
      <c r="K4241" s="32" t="s">
        <v>1367</v>
      </c>
    </row>
    <row r="4242" customFormat="false" ht="15" hidden="false" customHeight="false" outlineLevel="0" collapsed="false">
      <c r="A4242" s="23" t="str">
        <f aca="false">IF(B4242="","",B4242+(16*1000+191)/10000000)</f>
        <v/>
      </c>
      <c r="B4242" s="35" t="str">
        <f aca="false">IF(AND(IFERROR(N(INDEX(Clay_Brands!$A$2:$FZ$601,191,Sync!$D$12)),0)&gt;0,IFERROR(INDEX(Clay_Brands!$A$2:$FZ$601,191,Sync!$D$5)&amp;"","")&lt;&gt;"",OR(LEFT(IFERROR(INDEX(Clay_Brands!$A$2:$FZ$601,191,Sync!$D$5)&amp;"",""),6)&lt;&gt;"SAMPLE",Config!$B$19="Y")),IFERROR(N(INDEX(Clay_Brands!$A$2:$FZ$601,191,Sync!$D$12)),0),"")</f>
        <v/>
      </c>
      <c r="C4242" s="23" t="str">
        <f aca="false">IF(B4242="","","brand")</f>
        <v/>
      </c>
      <c r="D4242" s="23" t="str">
        <f aca="false">IF(B4242="","",IFERROR(INDEX(Brand_Log!$DV$2:$DV$201,MATCH(IFERROR(INDEX(Clay_Brands!$A$2:$FZ$601,191,Sync!$D$5)&amp;"",""),Brand_Log!$A$2:$A$201,0))&amp;"",IFERROR(INDEX(Clay_Brands!$A$2:$FZ$601,191,Sync!$D$5)&amp;"","")&amp;""))</f>
        <v/>
      </c>
      <c r="E4242" s="23" t="str">
        <f aca="false">IF(B4242="","",IFERROR(INDEX(Clay_Brands!$A$2:$FZ$601,191,Sync!$D$6)&amp;"",""))</f>
        <v/>
      </c>
      <c r="F4242" s="23" t="str">
        <f aca="false">IF(B4242="","","outreach_sent")</f>
        <v/>
      </c>
      <c r="G4242" s="23" t="str">
        <f aca="false">IF(B4242="","","")</f>
        <v/>
      </c>
      <c r="H4242" s="23" t="str">
        <f aca="false">IF(B4242="","","")</f>
        <v/>
      </c>
      <c r="I4242" s="23" t="str">
        <f aca="false">IF(B4242="","","")</f>
        <v/>
      </c>
      <c r="J4242" s="23" t="str">
        <f aca="false">IF(B4242="","","touch_2; "&amp;IFERROR(INDEX(Clay_Brands!$A$2:$FZ$601,191,Sync!$D$10)&amp;"","")&amp;"; "&amp;IFERROR(INDEX(Clay_Brands!$A$2:$FZ$601,191,Sync!$D$9)&amp;"",""))</f>
        <v/>
      </c>
      <c r="K4242" s="32" t="s">
        <v>1367</v>
      </c>
    </row>
    <row r="4243" customFormat="false" ht="15" hidden="false" customHeight="false" outlineLevel="0" collapsed="false">
      <c r="A4243" s="23" t="str">
        <f aca="false">IF(B4243="","",B4243+(16*1000+192)/10000000)</f>
        <v/>
      </c>
      <c r="B4243" s="35" t="str">
        <f aca="false">IF(AND(IFERROR(N(INDEX(Clay_Brands!$A$2:$FZ$601,192,Sync!$D$12)),0)&gt;0,IFERROR(INDEX(Clay_Brands!$A$2:$FZ$601,192,Sync!$D$5)&amp;"","")&lt;&gt;"",OR(LEFT(IFERROR(INDEX(Clay_Brands!$A$2:$FZ$601,192,Sync!$D$5)&amp;"",""),6)&lt;&gt;"SAMPLE",Config!$B$19="Y")),IFERROR(N(INDEX(Clay_Brands!$A$2:$FZ$601,192,Sync!$D$12)),0),"")</f>
        <v/>
      </c>
      <c r="C4243" s="23" t="str">
        <f aca="false">IF(B4243="","","brand")</f>
        <v/>
      </c>
      <c r="D4243" s="23" t="str">
        <f aca="false">IF(B4243="","",IFERROR(INDEX(Brand_Log!$DV$2:$DV$201,MATCH(IFERROR(INDEX(Clay_Brands!$A$2:$FZ$601,192,Sync!$D$5)&amp;"",""),Brand_Log!$A$2:$A$201,0))&amp;"",IFERROR(INDEX(Clay_Brands!$A$2:$FZ$601,192,Sync!$D$5)&amp;"","")&amp;""))</f>
        <v/>
      </c>
      <c r="E4243" s="23" t="str">
        <f aca="false">IF(B4243="","",IFERROR(INDEX(Clay_Brands!$A$2:$FZ$601,192,Sync!$D$6)&amp;"",""))</f>
        <v/>
      </c>
      <c r="F4243" s="23" t="str">
        <f aca="false">IF(B4243="","","outreach_sent")</f>
        <v/>
      </c>
      <c r="G4243" s="23" t="str">
        <f aca="false">IF(B4243="","","")</f>
        <v/>
      </c>
      <c r="H4243" s="23" t="str">
        <f aca="false">IF(B4243="","","")</f>
        <v/>
      </c>
      <c r="I4243" s="23" t="str">
        <f aca="false">IF(B4243="","","")</f>
        <v/>
      </c>
      <c r="J4243" s="23" t="str">
        <f aca="false">IF(B4243="","","touch_2; "&amp;IFERROR(INDEX(Clay_Brands!$A$2:$FZ$601,192,Sync!$D$10)&amp;"","")&amp;"; "&amp;IFERROR(INDEX(Clay_Brands!$A$2:$FZ$601,192,Sync!$D$9)&amp;"",""))</f>
        <v/>
      </c>
      <c r="K4243" s="32" t="s">
        <v>1367</v>
      </c>
    </row>
    <row r="4244" customFormat="false" ht="15" hidden="false" customHeight="false" outlineLevel="0" collapsed="false">
      <c r="A4244" s="23" t="str">
        <f aca="false">IF(B4244="","",B4244+(16*1000+193)/10000000)</f>
        <v/>
      </c>
      <c r="B4244" s="35" t="str">
        <f aca="false">IF(AND(IFERROR(N(INDEX(Clay_Brands!$A$2:$FZ$601,193,Sync!$D$12)),0)&gt;0,IFERROR(INDEX(Clay_Brands!$A$2:$FZ$601,193,Sync!$D$5)&amp;"","")&lt;&gt;"",OR(LEFT(IFERROR(INDEX(Clay_Brands!$A$2:$FZ$601,193,Sync!$D$5)&amp;"",""),6)&lt;&gt;"SAMPLE",Config!$B$19="Y")),IFERROR(N(INDEX(Clay_Brands!$A$2:$FZ$601,193,Sync!$D$12)),0),"")</f>
        <v/>
      </c>
      <c r="C4244" s="23" t="str">
        <f aca="false">IF(B4244="","","brand")</f>
        <v/>
      </c>
      <c r="D4244" s="23" t="str">
        <f aca="false">IF(B4244="","",IFERROR(INDEX(Brand_Log!$DV$2:$DV$201,MATCH(IFERROR(INDEX(Clay_Brands!$A$2:$FZ$601,193,Sync!$D$5)&amp;"",""),Brand_Log!$A$2:$A$201,0))&amp;"",IFERROR(INDEX(Clay_Brands!$A$2:$FZ$601,193,Sync!$D$5)&amp;"","")&amp;""))</f>
        <v/>
      </c>
      <c r="E4244" s="23" t="str">
        <f aca="false">IF(B4244="","",IFERROR(INDEX(Clay_Brands!$A$2:$FZ$601,193,Sync!$D$6)&amp;"",""))</f>
        <v/>
      </c>
      <c r="F4244" s="23" t="str">
        <f aca="false">IF(B4244="","","outreach_sent")</f>
        <v/>
      </c>
      <c r="G4244" s="23" t="str">
        <f aca="false">IF(B4244="","","")</f>
        <v/>
      </c>
      <c r="H4244" s="23" t="str">
        <f aca="false">IF(B4244="","","")</f>
        <v/>
      </c>
      <c r="I4244" s="23" t="str">
        <f aca="false">IF(B4244="","","")</f>
        <v/>
      </c>
      <c r="J4244" s="23" t="str">
        <f aca="false">IF(B4244="","","touch_2; "&amp;IFERROR(INDEX(Clay_Brands!$A$2:$FZ$601,193,Sync!$D$10)&amp;"","")&amp;"; "&amp;IFERROR(INDEX(Clay_Brands!$A$2:$FZ$601,193,Sync!$D$9)&amp;"",""))</f>
        <v/>
      </c>
      <c r="K4244" s="32" t="s">
        <v>1367</v>
      </c>
    </row>
    <row r="4245" customFormat="false" ht="15" hidden="false" customHeight="false" outlineLevel="0" collapsed="false">
      <c r="A4245" s="23" t="str">
        <f aca="false">IF(B4245="","",B4245+(16*1000+194)/10000000)</f>
        <v/>
      </c>
      <c r="B4245" s="35" t="str">
        <f aca="false">IF(AND(IFERROR(N(INDEX(Clay_Brands!$A$2:$FZ$601,194,Sync!$D$12)),0)&gt;0,IFERROR(INDEX(Clay_Brands!$A$2:$FZ$601,194,Sync!$D$5)&amp;"","")&lt;&gt;"",OR(LEFT(IFERROR(INDEX(Clay_Brands!$A$2:$FZ$601,194,Sync!$D$5)&amp;"",""),6)&lt;&gt;"SAMPLE",Config!$B$19="Y")),IFERROR(N(INDEX(Clay_Brands!$A$2:$FZ$601,194,Sync!$D$12)),0),"")</f>
        <v/>
      </c>
      <c r="C4245" s="23" t="str">
        <f aca="false">IF(B4245="","","brand")</f>
        <v/>
      </c>
      <c r="D4245" s="23" t="str">
        <f aca="false">IF(B4245="","",IFERROR(INDEX(Brand_Log!$DV$2:$DV$201,MATCH(IFERROR(INDEX(Clay_Brands!$A$2:$FZ$601,194,Sync!$D$5)&amp;"",""),Brand_Log!$A$2:$A$201,0))&amp;"",IFERROR(INDEX(Clay_Brands!$A$2:$FZ$601,194,Sync!$D$5)&amp;"","")&amp;""))</f>
        <v/>
      </c>
      <c r="E4245" s="23" t="str">
        <f aca="false">IF(B4245="","",IFERROR(INDEX(Clay_Brands!$A$2:$FZ$601,194,Sync!$D$6)&amp;"",""))</f>
        <v/>
      </c>
      <c r="F4245" s="23" t="str">
        <f aca="false">IF(B4245="","","outreach_sent")</f>
        <v/>
      </c>
      <c r="G4245" s="23" t="str">
        <f aca="false">IF(B4245="","","")</f>
        <v/>
      </c>
      <c r="H4245" s="23" t="str">
        <f aca="false">IF(B4245="","","")</f>
        <v/>
      </c>
      <c r="I4245" s="23" t="str">
        <f aca="false">IF(B4245="","","")</f>
        <v/>
      </c>
      <c r="J4245" s="23" t="str">
        <f aca="false">IF(B4245="","","touch_2; "&amp;IFERROR(INDEX(Clay_Brands!$A$2:$FZ$601,194,Sync!$D$10)&amp;"","")&amp;"; "&amp;IFERROR(INDEX(Clay_Brands!$A$2:$FZ$601,194,Sync!$D$9)&amp;"",""))</f>
        <v/>
      </c>
      <c r="K4245" s="32" t="s">
        <v>1367</v>
      </c>
    </row>
    <row r="4246" customFormat="false" ht="15" hidden="false" customHeight="false" outlineLevel="0" collapsed="false">
      <c r="A4246" s="23" t="str">
        <f aca="false">IF(B4246="","",B4246+(16*1000+195)/10000000)</f>
        <v/>
      </c>
      <c r="B4246" s="35" t="str">
        <f aca="false">IF(AND(IFERROR(N(INDEX(Clay_Brands!$A$2:$FZ$601,195,Sync!$D$12)),0)&gt;0,IFERROR(INDEX(Clay_Brands!$A$2:$FZ$601,195,Sync!$D$5)&amp;"","")&lt;&gt;"",OR(LEFT(IFERROR(INDEX(Clay_Brands!$A$2:$FZ$601,195,Sync!$D$5)&amp;"",""),6)&lt;&gt;"SAMPLE",Config!$B$19="Y")),IFERROR(N(INDEX(Clay_Brands!$A$2:$FZ$601,195,Sync!$D$12)),0),"")</f>
        <v/>
      </c>
      <c r="C4246" s="23" t="str">
        <f aca="false">IF(B4246="","","brand")</f>
        <v/>
      </c>
      <c r="D4246" s="23" t="str">
        <f aca="false">IF(B4246="","",IFERROR(INDEX(Brand_Log!$DV$2:$DV$201,MATCH(IFERROR(INDEX(Clay_Brands!$A$2:$FZ$601,195,Sync!$D$5)&amp;"",""),Brand_Log!$A$2:$A$201,0))&amp;"",IFERROR(INDEX(Clay_Brands!$A$2:$FZ$601,195,Sync!$D$5)&amp;"","")&amp;""))</f>
        <v/>
      </c>
      <c r="E4246" s="23" t="str">
        <f aca="false">IF(B4246="","",IFERROR(INDEX(Clay_Brands!$A$2:$FZ$601,195,Sync!$D$6)&amp;"",""))</f>
        <v/>
      </c>
      <c r="F4246" s="23" t="str">
        <f aca="false">IF(B4246="","","outreach_sent")</f>
        <v/>
      </c>
      <c r="G4246" s="23" t="str">
        <f aca="false">IF(B4246="","","")</f>
        <v/>
      </c>
      <c r="H4246" s="23" t="str">
        <f aca="false">IF(B4246="","","")</f>
        <v/>
      </c>
      <c r="I4246" s="23" t="str">
        <f aca="false">IF(B4246="","","")</f>
        <v/>
      </c>
      <c r="J4246" s="23" t="str">
        <f aca="false">IF(B4246="","","touch_2; "&amp;IFERROR(INDEX(Clay_Brands!$A$2:$FZ$601,195,Sync!$D$10)&amp;"","")&amp;"; "&amp;IFERROR(INDEX(Clay_Brands!$A$2:$FZ$601,195,Sync!$D$9)&amp;"",""))</f>
        <v/>
      </c>
      <c r="K4246" s="32" t="s">
        <v>1367</v>
      </c>
    </row>
    <row r="4247" customFormat="false" ht="15" hidden="false" customHeight="false" outlineLevel="0" collapsed="false">
      <c r="A4247" s="23" t="str">
        <f aca="false">IF(B4247="","",B4247+(16*1000+196)/10000000)</f>
        <v/>
      </c>
      <c r="B4247" s="35" t="str">
        <f aca="false">IF(AND(IFERROR(N(INDEX(Clay_Brands!$A$2:$FZ$601,196,Sync!$D$12)),0)&gt;0,IFERROR(INDEX(Clay_Brands!$A$2:$FZ$601,196,Sync!$D$5)&amp;"","")&lt;&gt;"",OR(LEFT(IFERROR(INDEX(Clay_Brands!$A$2:$FZ$601,196,Sync!$D$5)&amp;"",""),6)&lt;&gt;"SAMPLE",Config!$B$19="Y")),IFERROR(N(INDEX(Clay_Brands!$A$2:$FZ$601,196,Sync!$D$12)),0),"")</f>
        <v/>
      </c>
      <c r="C4247" s="23" t="str">
        <f aca="false">IF(B4247="","","brand")</f>
        <v/>
      </c>
      <c r="D4247" s="23" t="str">
        <f aca="false">IF(B4247="","",IFERROR(INDEX(Brand_Log!$DV$2:$DV$201,MATCH(IFERROR(INDEX(Clay_Brands!$A$2:$FZ$601,196,Sync!$D$5)&amp;"",""),Brand_Log!$A$2:$A$201,0))&amp;"",IFERROR(INDEX(Clay_Brands!$A$2:$FZ$601,196,Sync!$D$5)&amp;"","")&amp;""))</f>
        <v/>
      </c>
      <c r="E4247" s="23" t="str">
        <f aca="false">IF(B4247="","",IFERROR(INDEX(Clay_Brands!$A$2:$FZ$601,196,Sync!$D$6)&amp;"",""))</f>
        <v/>
      </c>
      <c r="F4247" s="23" t="str">
        <f aca="false">IF(B4247="","","outreach_sent")</f>
        <v/>
      </c>
      <c r="G4247" s="23" t="str">
        <f aca="false">IF(B4247="","","")</f>
        <v/>
      </c>
      <c r="H4247" s="23" t="str">
        <f aca="false">IF(B4247="","","")</f>
        <v/>
      </c>
      <c r="I4247" s="23" t="str">
        <f aca="false">IF(B4247="","","")</f>
        <v/>
      </c>
      <c r="J4247" s="23" t="str">
        <f aca="false">IF(B4247="","","touch_2; "&amp;IFERROR(INDEX(Clay_Brands!$A$2:$FZ$601,196,Sync!$D$10)&amp;"","")&amp;"; "&amp;IFERROR(INDEX(Clay_Brands!$A$2:$FZ$601,196,Sync!$D$9)&amp;"",""))</f>
        <v/>
      </c>
      <c r="K4247" s="32" t="s">
        <v>1367</v>
      </c>
    </row>
    <row r="4248" customFormat="false" ht="15" hidden="false" customHeight="false" outlineLevel="0" collapsed="false">
      <c r="A4248" s="23" t="str">
        <f aca="false">IF(B4248="","",B4248+(16*1000+197)/10000000)</f>
        <v/>
      </c>
      <c r="B4248" s="35" t="str">
        <f aca="false">IF(AND(IFERROR(N(INDEX(Clay_Brands!$A$2:$FZ$601,197,Sync!$D$12)),0)&gt;0,IFERROR(INDEX(Clay_Brands!$A$2:$FZ$601,197,Sync!$D$5)&amp;"","")&lt;&gt;"",OR(LEFT(IFERROR(INDEX(Clay_Brands!$A$2:$FZ$601,197,Sync!$D$5)&amp;"",""),6)&lt;&gt;"SAMPLE",Config!$B$19="Y")),IFERROR(N(INDEX(Clay_Brands!$A$2:$FZ$601,197,Sync!$D$12)),0),"")</f>
        <v/>
      </c>
      <c r="C4248" s="23" t="str">
        <f aca="false">IF(B4248="","","brand")</f>
        <v/>
      </c>
      <c r="D4248" s="23" t="str">
        <f aca="false">IF(B4248="","",IFERROR(INDEX(Brand_Log!$DV$2:$DV$201,MATCH(IFERROR(INDEX(Clay_Brands!$A$2:$FZ$601,197,Sync!$D$5)&amp;"",""),Brand_Log!$A$2:$A$201,0))&amp;"",IFERROR(INDEX(Clay_Brands!$A$2:$FZ$601,197,Sync!$D$5)&amp;"","")&amp;""))</f>
        <v/>
      </c>
      <c r="E4248" s="23" t="str">
        <f aca="false">IF(B4248="","",IFERROR(INDEX(Clay_Brands!$A$2:$FZ$601,197,Sync!$D$6)&amp;"",""))</f>
        <v/>
      </c>
      <c r="F4248" s="23" t="str">
        <f aca="false">IF(B4248="","","outreach_sent")</f>
        <v/>
      </c>
      <c r="G4248" s="23" t="str">
        <f aca="false">IF(B4248="","","")</f>
        <v/>
      </c>
      <c r="H4248" s="23" t="str">
        <f aca="false">IF(B4248="","","")</f>
        <v/>
      </c>
      <c r="I4248" s="23" t="str">
        <f aca="false">IF(B4248="","","")</f>
        <v/>
      </c>
      <c r="J4248" s="23" t="str">
        <f aca="false">IF(B4248="","","touch_2; "&amp;IFERROR(INDEX(Clay_Brands!$A$2:$FZ$601,197,Sync!$D$10)&amp;"","")&amp;"; "&amp;IFERROR(INDEX(Clay_Brands!$A$2:$FZ$601,197,Sync!$D$9)&amp;"",""))</f>
        <v/>
      </c>
      <c r="K4248" s="32" t="s">
        <v>1367</v>
      </c>
    </row>
    <row r="4249" customFormat="false" ht="15" hidden="false" customHeight="false" outlineLevel="0" collapsed="false">
      <c r="A4249" s="23" t="str">
        <f aca="false">IF(B4249="","",B4249+(16*1000+198)/10000000)</f>
        <v/>
      </c>
      <c r="B4249" s="35" t="str">
        <f aca="false">IF(AND(IFERROR(N(INDEX(Clay_Brands!$A$2:$FZ$601,198,Sync!$D$12)),0)&gt;0,IFERROR(INDEX(Clay_Brands!$A$2:$FZ$601,198,Sync!$D$5)&amp;"","")&lt;&gt;"",OR(LEFT(IFERROR(INDEX(Clay_Brands!$A$2:$FZ$601,198,Sync!$D$5)&amp;"",""),6)&lt;&gt;"SAMPLE",Config!$B$19="Y")),IFERROR(N(INDEX(Clay_Brands!$A$2:$FZ$601,198,Sync!$D$12)),0),"")</f>
        <v/>
      </c>
      <c r="C4249" s="23" t="str">
        <f aca="false">IF(B4249="","","brand")</f>
        <v/>
      </c>
      <c r="D4249" s="23" t="str">
        <f aca="false">IF(B4249="","",IFERROR(INDEX(Brand_Log!$DV$2:$DV$201,MATCH(IFERROR(INDEX(Clay_Brands!$A$2:$FZ$601,198,Sync!$D$5)&amp;"",""),Brand_Log!$A$2:$A$201,0))&amp;"",IFERROR(INDEX(Clay_Brands!$A$2:$FZ$601,198,Sync!$D$5)&amp;"","")&amp;""))</f>
        <v/>
      </c>
      <c r="E4249" s="23" t="str">
        <f aca="false">IF(B4249="","",IFERROR(INDEX(Clay_Brands!$A$2:$FZ$601,198,Sync!$D$6)&amp;"",""))</f>
        <v/>
      </c>
      <c r="F4249" s="23" t="str">
        <f aca="false">IF(B4249="","","outreach_sent")</f>
        <v/>
      </c>
      <c r="G4249" s="23" t="str">
        <f aca="false">IF(B4249="","","")</f>
        <v/>
      </c>
      <c r="H4249" s="23" t="str">
        <f aca="false">IF(B4249="","","")</f>
        <v/>
      </c>
      <c r="I4249" s="23" t="str">
        <f aca="false">IF(B4249="","","")</f>
        <v/>
      </c>
      <c r="J4249" s="23" t="str">
        <f aca="false">IF(B4249="","","touch_2; "&amp;IFERROR(INDEX(Clay_Brands!$A$2:$FZ$601,198,Sync!$D$10)&amp;"","")&amp;"; "&amp;IFERROR(INDEX(Clay_Brands!$A$2:$FZ$601,198,Sync!$D$9)&amp;"",""))</f>
        <v/>
      </c>
      <c r="K4249" s="32" t="s">
        <v>1367</v>
      </c>
    </row>
    <row r="4250" customFormat="false" ht="15" hidden="false" customHeight="false" outlineLevel="0" collapsed="false">
      <c r="A4250" s="23" t="str">
        <f aca="false">IF(B4250="","",B4250+(16*1000+199)/10000000)</f>
        <v/>
      </c>
      <c r="B4250" s="35" t="str">
        <f aca="false">IF(AND(IFERROR(N(INDEX(Clay_Brands!$A$2:$FZ$601,199,Sync!$D$12)),0)&gt;0,IFERROR(INDEX(Clay_Brands!$A$2:$FZ$601,199,Sync!$D$5)&amp;"","")&lt;&gt;"",OR(LEFT(IFERROR(INDEX(Clay_Brands!$A$2:$FZ$601,199,Sync!$D$5)&amp;"",""),6)&lt;&gt;"SAMPLE",Config!$B$19="Y")),IFERROR(N(INDEX(Clay_Brands!$A$2:$FZ$601,199,Sync!$D$12)),0),"")</f>
        <v/>
      </c>
      <c r="C4250" s="23" t="str">
        <f aca="false">IF(B4250="","","brand")</f>
        <v/>
      </c>
      <c r="D4250" s="23" t="str">
        <f aca="false">IF(B4250="","",IFERROR(INDEX(Brand_Log!$DV$2:$DV$201,MATCH(IFERROR(INDEX(Clay_Brands!$A$2:$FZ$601,199,Sync!$D$5)&amp;"",""),Brand_Log!$A$2:$A$201,0))&amp;"",IFERROR(INDEX(Clay_Brands!$A$2:$FZ$601,199,Sync!$D$5)&amp;"","")&amp;""))</f>
        <v/>
      </c>
      <c r="E4250" s="23" t="str">
        <f aca="false">IF(B4250="","",IFERROR(INDEX(Clay_Brands!$A$2:$FZ$601,199,Sync!$D$6)&amp;"",""))</f>
        <v/>
      </c>
      <c r="F4250" s="23" t="str">
        <f aca="false">IF(B4250="","","outreach_sent")</f>
        <v/>
      </c>
      <c r="G4250" s="23" t="str">
        <f aca="false">IF(B4250="","","")</f>
        <v/>
      </c>
      <c r="H4250" s="23" t="str">
        <f aca="false">IF(B4250="","","")</f>
        <v/>
      </c>
      <c r="I4250" s="23" t="str">
        <f aca="false">IF(B4250="","","")</f>
        <v/>
      </c>
      <c r="J4250" s="23" t="str">
        <f aca="false">IF(B4250="","","touch_2; "&amp;IFERROR(INDEX(Clay_Brands!$A$2:$FZ$601,199,Sync!$D$10)&amp;"","")&amp;"; "&amp;IFERROR(INDEX(Clay_Brands!$A$2:$FZ$601,199,Sync!$D$9)&amp;"",""))</f>
        <v/>
      </c>
      <c r="K4250" s="32" t="s">
        <v>1367</v>
      </c>
    </row>
    <row r="4251" customFormat="false" ht="15" hidden="false" customHeight="false" outlineLevel="0" collapsed="false">
      <c r="A4251" s="23" t="str">
        <f aca="false">IF(B4251="","",B4251+(16*1000+200)/10000000)</f>
        <v/>
      </c>
      <c r="B4251" s="35" t="str">
        <f aca="false">IF(AND(IFERROR(N(INDEX(Clay_Brands!$A$2:$FZ$601,200,Sync!$D$12)),0)&gt;0,IFERROR(INDEX(Clay_Brands!$A$2:$FZ$601,200,Sync!$D$5)&amp;"","")&lt;&gt;"",OR(LEFT(IFERROR(INDEX(Clay_Brands!$A$2:$FZ$601,200,Sync!$D$5)&amp;"",""),6)&lt;&gt;"SAMPLE",Config!$B$19="Y")),IFERROR(N(INDEX(Clay_Brands!$A$2:$FZ$601,200,Sync!$D$12)),0),"")</f>
        <v/>
      </c>
      <c r="C4251" s="23" t="str">
        <f aca="false">IF(B4251="","","brand")</f>
        <v/>
      </c>
      <c r="D4251" s="23" t="str">
        <f aca="false">IF(B4251="","",IFERROR(INDEX(Brand_Log!$DV$2:$DV$201,MATCH(IFERROR(INDEX(Clay_Brands!$A$2:$FZ$601,200,Sync!$D$5)&amp;"",""),Brand_Log!$A$2:$A$201,0))&amp;"",IFERROR(INDEX(Clay_Brands!$A$2:$FZ$601,200,Sync!$D$5)&amp;"","")&amp;""))</f>
        <v/>
      </c>
      <c r="E4251" s="23" t="str">
        <f aca="false">IF(B4251="","",IFERROR(INDEX(Clay_Brands!$A$2:$FZ$601,200,Sync!$D$6)&amp;"",""))</f>
        <v/>
      </c>
      <c r="F4251" s="23" t="str">
        <f aca="false">IF(B4251="","","outreach_sent")</f>
        <v/>
      </c>
      <c r="G4251" s="23" t="str">
        <f aca="false">IF(B4251="","","")</f>
        <v/>
      </c>
      <c r="H4251" s="23" t="str">
        <f aca="false">IF(B4251="","","")</f>
        <v/>
      </c>
      <c r="I4251" s="23" t="str">
        <f aca="false">IF(B4251="","","")</f>
        <v/>
      </c>
      <c r="J4251" s="23" t="str">
        <f aca="false">IF(B4251="","","touch_2; "&amp;IFERROR(INDEX(Clay_Brands!$A$2:$FZ$601,200,Sync!$D$10)&amp;"","")&amp;"; "&amp;IFERROR(INDEX(Clay_Brands!$A$2:$FZ$601,200,Sync!$D$9)&amp;"",""))</f>
        <v/>
      </c>
      <c r="K4251" s="32" t="s">
        <v>1367</v>
      </c>
    </row>
    <row r="4252" customFormat="false" ht="15" hidden="false" customHeight="false" outlineLevel="0" collapsed="false">
      <c r="A4252" s="23" t="str">
        <f aca="false">IF(B4252="","",B4252+(16*1000+201)/10000000)</f>
        <v/>
      </c>
      <c r="B4252" s="35" t="str">
        <f aca="false">IF(AND(IFERROR(N(INDEX(Clay_Brands!$A$2:$FZ$601,201,Sync!$D$12)),0)&gt;0,IFERROR(INDEX(Clay_Brands!$A$2:$FZ$601,201,Sync!$D$5)&amp;"","")&lt;&gt;"",OR(LEFT(IFERROR(INDEX(Clay_Brands!$A$2:$FZ$601,201,Sync!$D$5)&amp;"",""),6)&lt;&gt;"SAMPLE",Config!$B$19="Y")),IFERROR(N(INDEX(Clay_Brands!$A$2:$FZ$601,201,Sync!$D$12)),0),"")</f>
        <v/>
      </c>
      <c r="C4252" s="23" t="str">
        <f aca="false">IF(B4252="","","brand")</f>
        <v/>
      </c>
      <c r="D4252" s="23" t="str">
        <f aca="false">IF(B4252="","",IFERROR(INDEX(Brand_Log!$DV$2:$DV$201,MATCH(IFERROR(INDEX(Clay_Brands!$A$2:$FZ$601,201,Sync!$D$5)&amp;"",""),Brand_Log!$A$2:$A$201,0))&amp;"",IFERROR(INDEX(Clay_Brands!$A$2:$FZ$601,201,Sync!$D$5)&amp;"","")&amp;""))</f>
        <v/>
      </c>
      <c r="E4252" s="23" t="str">
        <f aca="false">IF(B4252="","",IFERROR(INDEX(Clay_Brands!$A$2:$FZ$601,201,Sync!$D$6)&amp;"",""))</f>
        <v/>
      </c>
      <c r="F4252" s="23" t="str">
        <f aca="false">IF(B4252="","","outreach_sent")</f>
        <v/>
      </c>
      <c r="G4252" s="23" t="str">
        <f aca="false">IF(B4252="","","")</f>
        <v/>
      </c>
      <c r="H4252" s="23" t="str">
        <f aca="false">IF(B4252="","","")</f>
        <v/>
      </c>
      <c r="I4252" s="23" t="str">
        <f aca="false">IF(B4252="","","")</f>
        <v/>
      </c>
      <c r="J4252" s="23" t="str">
        <f aca="false">IF(B4252="","","touch_2; "&amp;IFERROR(INDEX(Clay_Brands!$A$2:$FZ$601,201,Sync!$D$10)&amp;"","")&amp;"; "&amp;IFERROR(INDEX(Clay_Brands!$A$2:$FZ$601,201,Sync!$D$9)&amp;"",""))</f>
        <v/>
      </c>
      <c r="K4252" s="32" t="s">
        <v>1367</v>
      </c>
    </row>
    <row r="4253" customFormat="false" ht="15" hidden="false" customHeight="false" outlineLevel="0" collapsed="false">
      <c r="A4253" s="23" t="str">
        <f aca="false">IF(B4253="","",B4253+(16*1000+202)/10000000)</f>
        <v/>
      </c>
      <c r="B4253" s="35" t="str">
        <f aca="false">IF(AND(IFERROR(N(INDEX(Clay_Brands!$A$2:$FZ$601,202,Sync!$D$12)),0)&gt;0,IFERROR(INDEX(Clay_Brands!$A$2:$FZ$601,202,Sync!$D$5)&amp;"","")&lt;&gt;"",OR(LEFT(IFERROR(INDEX(Clay_Brands!$A$2:$FZ$601,202,Sync!$D$5)&amp;"",""),6)&lt;&gt;"SAMPLE",Config!$B$19="Y")),IFERROR(N(INDEX(Clay_Brands!$A$2:$FZ$601,202,Sync!$D$12)),0),"")</f>
        <v/>
      </c>
      <c r="C4253" s="23" t="str">
        <f aca="false">IF(B4253="","","brand")</f>
        <v/>
      </c>
      <c r="D4253" s="23" t="str">
        <f aca="false">IF(B4253="","",IFERROR(INDEX(Brand_Log!$DV$2:$DV$201,MATCH(IFERROR(INDEX(Clay_Brands!$A$2:$FZ$601,202,Sync!$D$5)&amp;"",""),Brand_Log!$A$2:$A$201,0))&amp;"",IFERROR(INDEX(Clay_Brands!$A$2:$FZ$601,202,Sync!$D$5)&amp;"","")&amp;""))</f>
        <v/>
      </c>
      <c r="E4253" s="23" t="str">
        <f aca="false">IF(B4253="","",IFERROR(INDEX(Clay_Brands!$A$2:$FZ$601,202,Sync!$D$6)&amp;"",""))</f>
        <v/>
      </c>
      <c r="F4253" s="23" t="str">
        <f aca="false">IF(B4253="","","outreach_sent")</f>
        <v/>
      </c>
      <c r="G4253" s="23" t="str">
        <f aca="false">IF(B4253="","","")</f>
        <v/>
      </c>
      <c r="H4253" s="23" t="str">
        <f aca="false">IF(B4253="","","")</f>
        <v/>
      </c>
      <c r="I4253" s="23" t="str">
        <f aca="false">IF(B4253="","","")</f>
        <v/>
      </c>
      <c r="J4253" s="23" t="str">
        <f aca="false">IF(B4253="","","touch_2; "&amp;IFERROR(INDEX(Clay_Brands!$A$2:$FZ$601,202,Sync!$D$10)&amp;"","")&amp;"; "&amp;IFERROR(INDEX(Clay_Brands!$A$2:$FZ$601,202,Sync!$D$9)&amp;"",""))</f>
        <v/>
      </c>
      <c r="K4253" s="32" t="s">
        <v>1367</v>
      </c>
    </row>
    <row r="4254" customFormat="false" ht="15" hidden="false" customHeight="false" outlineLevel="0" collapsed="false">
      <c r="A4254" s="23" t="str">
        <f aca="false">IF(B4254="","",B4254+(16*1000+203)/10000000)</f>
        <v/>
      </c>
      <c r="B4254" s="35" t="str">
        <f aca="false">IF(AND(IFERROR(N(INDEX(Clay_Brands!$A$2:$FZ$601,203,Sync!$D$12)),0)&gt;0,IFERROR(INDEX(Clay_Brands!$A$2:$FZ$601,203,Sync!$D$5)&amp;"","")&lt;&gt;"",OR(LEFT(IFERROR(INDEX(Clay_Brands!$A$2:$FZ$601,203,Sync!$D$5)&amp;"",""),6)&lt;&gt;"SAMPLE",Config!$B$19="Y")),IFERROR(N(INDEX(Clay_Brands!$A$2:$FZ$601,203,Sync!$D$12)),0),"")</f>
        <v/>
      </c>
      <c r="C4254" s="23" t="str">
        <f aca="false">IF(B4254="","","brand")</f>
        <v/>
      </c>
      <c r="D4254" s="23" t="str">
        <f aca="false">IF(B4254="","",IFERROR(INDEX(Brand_Log!$DV$2:$DV$201,MATCH(IFERROR(INDEX(Clay_Brands!$A$2:$FZ$601,203,Sync!$D$5)&amp;"",""),Brand_Log!$A$2:$A$201,0))&amp;"",IFERROR(INDEX(Clay_Brands!$A$2:$FZ$601,203,Sync!$D$5)&amp;"","")&amp;""))</f>
        <v/>
      </c>
      <c r="E4254" s="23" t="str">
        <f aca="false">IF(B4254="","",IFERROR(INDEX(Clay_Brands!$A$2:$FZ$601,203,Sync!$D$6)&amp;"",""))</f>
        <v/>
      </c>
      <c r="F4254" s="23" t="str">
        <f aca="false">IF(B4254="","","outreach_sent")</f>
        <v/>
      </c>
      <c r="G4254" s="23" t="str">
        <f aca="false">IF(B4254="","","")</f>
        <v/>
      </c>
      <c r="H4254" s="23" t="str">
        <f aca="false">IF(B4254="","","")</f>
        <v/>
      </c>
      <c r="I4254" s="23" t="str">
        <f aca="false">IF(B4254="","","")</f>
        <v/>
      </c>
      <c r="J4254" s="23" t="str">
        <f aca="false">IF(B4254="","","touch_2; "&amp;IFERROR(INDEX(Clay_Brands!$A$2:$FZ$601,203,Sync!$D$10)&amp;"","")&amp;"; "&amp;IFERROR(INDEX(Clay_Brands!$A$2:$FZ$601,203,Sync!$D$9)&amp;"",""))</f>
        <v/>
      </c>
      <c r="K4254" s="32" t="s">
        <v>1367</v>
      </c>
    </row>
    <row r="4255" customFormat="false" ht="15" hidden="false" customHeight="false" outlineLevel="0" collapsed="false">
      <c r="A4255" s="23" t="str">
        <f aca="false">IF(B4255="","",B4255+(16*1000+204)/10000000)</f>
        <v/>
      </c>
      <c r="B4255" s="35" t="str">
        <f aca="false">IF(AND(IFERROR(N(INDEX(Clay_Brands!$A$2:$FZ$601,204,Sync!$D$12)),0)&gt;0,IFERROR(INDEX(Clay_Brands!$A$2:$FZ$601,204,Sync!$D$5)&amp;"","")&lt;&gt;"",OR(LEFT(IFERROR(INDEX(Clay_Brands!$A$2:$FZ$601,204,Sync!$D$5)&amp;"",""),6)&lt;&gt;"SAMPLE",Config!$B$19="Y")),IFERROR(N(INDEX(Clay_Brands!$A$2:$FZ$601,204,Sync!$D$12)),0),"")</f>
        <v/>
      </c>
      <c r="C4255" s="23" t="str">
        <f aca="false">IF(B4255="","","brand")</f>
        <v/>
      </c>
      <c r="D4255" s="23" t="str">
        <f aca="false">IF(B4255="","",IFERROR(INDEX(Brand_Log!$DV$2:$DV$201,MATCH(IFERROR(INDEX(Clay_Brands!$A$2:$FZ$601,204,Sync!$D$5)&amp;"",""),Brand_Log!$A$2:$A$201,0))&amp;"",IFERROR(INDEX(Clay_Brands!$A$2:$FZ$601,204,Sync!$D$5)&amp;"","")&amp;""))</f>
        <v/>
      </c>
      <c r="E4255" s="23" t="str">
        <f aca="false">IF(B4255="","",IFERROR(INDEX(Clay_Brands!$A$2:$FZ$601,204,Sync!$D$6)&amp;"",""))</f>
        <v/>
      </c>
      <c r="F4255" s="23" t="str">
        <f aca="false">IF(B4255="","","outreach_sent")</f>
        <v/>
      </c>
      <c r="G4255" s="23" t="str">
        <f aca="false">IF(B4255="","","")</f>
        <v/>
      </c>
      <c r="H4255" s="23" t="str">
        <f aca="false">IF(B4255="","","")</f>
        <v/>
      </c>
      <c r="I4255" s="23" t="str">
        <f aca="false">IF(B4255="","","")</f>
        <v/>
      </c>
      <c r="J4255" s="23" t="str">
        <f aca="false">IF(B4255="","","touch_2; "&amp;IFERROR(INDEX(Clay_Brands!$A$2:$FZ$601,204,Sync!$D$10)&amp;"","")&amp;"; "&amp;IFERROR(INDEX(Clay_Brands!$A$2:$FZ$601,204,Sync!$D$9)&amp;"",""))</f>
        <v/>
      </c>
      <c r="K4255" s="32" t="s">
        <v>1367</v>
      </c>
    </row>
    <row r="4256" customFormat="false" ht="15" hidden="false" customHeight="false" outlineLevel="0" collapsed="false">
      <c r="A4256" s="23" t="str">
        <f aca="false">IF(B4256="","",B4256+(16*1000+205)/10000000)</f>
        <v/>
      </c>
      <c r="B4256" s="35" t="str">
        <f aca="false">IF(AND(IFERROR(N(INDEX(Clay_Brands!$A$2:$FZ$601,205,Sync!$D$12)),0)&gt;0,IFERROR(INDEX(Clay_Brands!$A$2:$FZ$601,205,Sync!$D$5)&amp;"","")&lt;&gt;"",OR(LEFT(IFERROR(INDEX(Clay_Brands!$A$2:$FZ$601,205,Sync!$D$5)&amp;"",""),6)&lt;&gt;"SAMPLE",Config!$B$19="Y")),IFERROR(N(INDEX(Clay_Brands!$A$2:$FZ$601,205,Sync!$D$12)),0),"")</f>
        <v/>
      </c>
      <c r="C4256" s="23" t="str">
        <f aca="false">IF(B4256="","","brand")</f>
        <v/>
      </c>
      <c r="D4256" s="23" t="str">
        <f aca="false">IF(B4256="","",IFERROR(INDEX(Brand_Log!$DV$2:$DV$201,MATCH(IFERROR(INDEX(Clay_Brands!$A$2:$FZ$601,205,Sync!$D$5)&amp;"",""),Brand_Log!$A$2:$A$201,0))&amp;"",IFERROR(INDEX(Clay_Brands!$A$2:$FZ$601,205,Sync!$D$5)&amp;"","")&amp;""))</f>
        <v/>
      </c>
      <c r="E4256" s="23" t="str">
        <f aca="false">IF(B4256="","",IFERROR(INDEX(Clay_Brands!$A$2:$FZ$601,205,Sync!$D$6)&amp;"",""))</f>
        <v/>
      </c>
      <c r="F4256" s="23" t="str">
        <f aca="false">IF(B4256="","","outreach_sent")</f>
        <v/>
      </c>
      <c r="G4256" s="23" t="str">
        <f aca="false">IF(B4256="","","")</f>
        <v/>
      </c>
      <c r="H4256" s="23" t="str">
        <f aca="false">IF(B4256="","","")</f>
        <v/>
      </c>
      <c r="I4256" s="23" t="str">
        <f aca="false">IF(B4256="","","")</f>
        <v/>
      </c>
      <c r="J4256" s="23" t="str">
        <f aca="false">IF(B4256="","","touch_2; "&amp;IFERROR(INDEX(Clay_Brands!$A$2:$FZ$601,205,Sync!$D$10)&amp;"","")&amp;"; "&amp;IFERROR(INDEX(Clay_Brands!$A$2:$FZ$601,205,Sync!$D$9)&amp;"",""))</f>
        <v/>
      </c>
      <c r="K4256" s="32" t="s">
        <v>1367</v>
      </c>
    </row>
    <row r="4257" customFormat="false" ht="15" hidden="false" customHeight="false" outlineLevel="0" collapsed="false">
      <c r="A4257" s="23" t="str">
        <f aca="false">IF(B4257="","",B4257+(16*1000+206)/10000000)</f>
        <v/>
      </c>
      <c r="B4257" s="35" t="str">
        <f aca="false">IF(AND(IFERROR(N(INDEX(Clay_Brands!$A$2:$FZ$601,206,Sync!$D$12)),0)&gt;0,IFERROR(INDEX(Clay_Brands!$A$2:$FZ$601,206,Sync!$D$5)&amp;"","")&lt;&gt;"",OR(LEFT(IFERROR(INDEX(Clay_Brands!$A$2:$FZ$601,206,Sync!$D$5)&amp;"",""),6)&lt;&gt;"SAMPLE",Config!$B$19="Y")),IFERROR(N(INDEX(Clay_Brands!$A$2:$FZ$601,206,Sync!$D$12)),0),"")</f>
        <v/>
      </c>
      <c r="C4257" s="23" t="str">
        <f aca="false">IF(B4257="","","brand")</f>
        <v/>
      </c>
      <c r="D4257" s="23" t="str">
        <f aca="false">IF(B4257="","",IFERROR(INDEX(Brand_Log!$DV$2:$DV$201,MATCH(IFERROR(INDEX(Clay_Brands!$A$2:$FZ$601,206,Sync!$D$5)&amp;"",""),Brand_Log!$A$2:$A$201,0))&amp;"",IFERROR(INDEX(Clay_Brands!$A$2:$FZ$601,206,Sync!$D$5)&amp;"","")&amp;""))</f>
        <v/>
      </c>
      <c r="E4257" s="23" t="str">
        <f aca="false">IF(B4257="","",IFERROR(INDEX(Clay_Brands!$A$2:$FZ$601,206,Sync!$D$6)&amp;"",""))</f>
        <v/>
      </c>
      <c r="F4257" s="23" t="str">
        <f aca="false">IF(B4257="","","outreach_sent")</f>
        <v/>
      </c>
      <c r="G4257" s="23" t="str">
        <f aca="false">IF(B4257="","","")</f>
        <v/>
      </c>
      <c r="H4257" s="23" t="str">
        <f aca="false">IF(B4257="","","")</f>
        <v/>
      </c>
      <c r="I4257" s="23" t="str">
        <f aca="false">IF(B4257="","","")</f>
        <v/>
      </c>
      <c r="J4257" s="23" t="str">
        <f aca="false">IF(B4257="","","touch_2; "&amp;IFERROR(INDEX(Clay_Brands!$A$2:$FZ$601,206,Sync!$D$10)&amp;"","")&amp;"; "&amp;IFERROR(INDEX(Clay_Brands!$A$2:$FZ$601,206,Sync!$D$9)&amp;"",""))</f>
        <v/>
      </c>
      <c r="K4257" s="32" t="s">
        <v>1367</v>
      </c>
    </row>
    <row r="4258" customFormat="false" ht="15" hidden="false" customHeight="false" outlineLevel="0" collapsed="false">
      <c r="A4258" s="23" t="str">
        <f aca="false">IF(B4258="","",B4258+(16*1000+207)/10000000)</f>
        <v/>
      </c>
      <c r="B4258" s="35" t="str">
        <f aca="false">IF(AND(IFERROR(N(INDEX(Clay_Brands!$A$2:$FZ$601,207,Sync!$D$12)),0)&gt;0,IFERROR(INDEX(Clay_Brands!$A$2:$FZ$601,207,Sync!$D$5)&amp;"","")&lt;&gt;"",OR(LEFT(IFERROR(INDEX(Clay_Brands!$A$2:$FZ$601,207,Sync!$D$5)&amp;"",""),6)&lt;&gt;"SAMPLE",Config!$B$19="Y")),IFERROR(N(INDEX(Clay_Brands!$A$2:$FZ$601,207,Sync!$D$12)),0),"")</f>
        <v/>
      </c>
      <c r="C4258" s="23" t="str">
        <f aca="false">IF(B4258="","","brand")</f>
        <v/>
      </c>
      <c r="D4258" s="23" t="str">
        <f aca="false">IF(B4258="","",IFERROR(INDEX(Brand_Log!$DV$2:$DV$201,MATCH(IFERROR(INDEX(Clay_Brands!$A$2:$FZ$601,207,Sync!$D$5)&amp;"",""),Brand_Log!$A$2:$A$201,0))&amp;"",IFERROR(INDEX(Clay_Brands!$A$2:$FZ$601,207,Sync!$D$5)&amp;"","")&amp;""))</f>
        <v/>
      </c>
      <c r="E4258" s="23" t="str">
        <f aca="false">IF(B4258="","",IFERROR(INDEX(Clay_Brands!$A$2:$FZ$601,207,Sync!$D$6)&amp;"",""))</f>
        <v/>
      </c>
      <c r="F4258" s="23" t="str">
        <f aca="false">IF(B4258="","","outreach_sent")</f>
        <v/>
      </c>
      <c r="G4258" s="23" t="str">
        <f aca="false">IF(B4258="","","")</f>
        <v/>
      </c>
      <c r="H4258" s="23" t="str">
        <f aca="false">IF(B4258="","","")</f>
        <v/>
      </c>
      <c r="I4258" s="23" t="str">
        <f aca="false">IF(B4258="","","")</f>
        <v/>
      </c>
      <c r="J4258" s="23" t="str">
        <f aca="false">IF(B4258="","","touch_2; "&amp;IFERROR(INDEX(Clay_Brands!$A$2:$FZ$601,207,Sync!$D$10)&amp;"","")&amp;"; "&amp;IFERROR(INDEX(Clay_Brands!$A$2:$FZ$601,207,Sync!$D$9)&amp;"",""))</f>
        <v/>
      </c>
      <c r="K4258" s="32" t="s">
        <v>1367</v>
      </c>
    </row>
    <row r="4259" customFormat="false" ht="15" hidden="false" customHeight="false" outlineLevel="0" collapsed="false">
      <c r="A4259" s="23" t="str">
        <f aca="false">IF(B4259="","",B4259+(16*1000+208)/10000000)</f>
        <v/>
      </c>
      <c r="B4259" s="35" t="str">
        <f aca="false">IF(AND(IFERROR(N(INDEX(Clay_Brands!$A$2:$FZ$601,208,Sync!$D$12)),0)&gt;0,IFERROR(INDEX(Clay_Brands!$A$2:$FZ$601,208,Sync!$D$5)&amp;"","")&lt;&gt;"",OR(LEFT(IFERROR(INDEX(Clay_Brands!$A$2:$FZ$601,208,Sync!$D$5)&amp;"",""),6)&lt;&gt;"SAMPLE",Config!$B$19="Y")),IFERROR(N(INDEX(Clay_Brands!$A$2:$FZ$601,208,Sync!$D$12)),0),"")</f>
        <v/>
      </c>
      <c r="C4259" s="23" t="str">
        <f aca="false">IF(B4259="","","brand")</f>
        <v/>
      </c>
      <c r="D4259" s="23" t="str">
        <f aca="false">IF(B4259="","",IFERROR(INDEX(Brand_Log!$DV$2:$DV$201,MATCH(IFERROR(INDEX(Clay_Brands!$A$2:$FZ$601,208,Sync!$D$5)&amp;"",""),Brand_Log!$A$2:$A$201,0))&amp;"",IFERROR(INDEX(Clay_Brands!$A$2:$FZ$601,208,Sync!$D$5)&amp;"","")&amp;""))</f>
        <v/>
      </c>
      <c r="E4259" s="23" t="str">
        <f aca="false">IF(B4259="","",IFERROR(INDEX(Clay_Brands!$A$2:$FZ$601,208,Sync!$D$6)&amp;"",""))</f>
        <v/>
      </c>
      <c r="F4259" s="23" t="str">
        <f aca="false">IF(B4259="","","outreach_sent")</f>
        <v/>
      </c>
      <c r="G4259" s="23" t="str">
        <f aca="false">IF(B4259="","","")</f>
        <v/>
      </c>
      <c r="H4259" s="23" t="str">
        <f aca="false">IF(B4259="","","")</f>
        <v/>
      </c>
      <c r="I4259" s="23" t="str">
        <f aca="false">IF(B4259="","","")</f>
        <v/>
      </c>
      <c r="J4259" s="23" t="str">
        <f aca="false">IF(B4259="","","touch_2; "&amp;IFERROR(INDEX(Clay_Brands!$A$2:$FZ$601,208,Sync!$D$10)&amp;"","")&amp;"; "&amp;IFERROR(INDEX(Clay_Brands!$A$2:$FZ$601,208,Sync!$D$9)&amp;"",""))</f>
        <v/>
      </c>
      <c r="K4259" s="32" t="s">
        <v>1367</v>
      </c>
    </row>
    <row r="4260" customFormat="false" ht="15" hidden="false" customHeight="false" outlineLevel="0" collapsed="false">
      <c r="A4260" s="23" t="str">
        <f aca="false">IF(B4260="","",B4260+(16*1000+209)/10000000)</f>
        <v/>
      </c>
      <c r="B4260" s="35" t="str">
        <f aca="false">IF(AND(IFERROR(N(INDEX(Clay_Brands!$A$2:$FZ$601,209,Sync!$D$12)),0)&gt;0,IFERROR(INDEX(Clay_Brands!$A$2:$FZ$601,209,Sync!$D$5)&amp;"","")&lt;&gt;"",OR(LEFT(IFERROR(INDEX(Clay_Brands!$A$2:$FZ$601,209,Sync!$D$5)&amp;"",""),6)&lt;&gt;"SAMPLE",Config!$B$19="Y")),IFERROR(N(INDEX(Clay_Brands!$A$2:$FZ$601,209,Sync!$D$12)),0),"")</f>
        <v/>
      </c>
      <c r="C4260" s="23" t="str">
        <f aca="false">IF(B4260="","","brand")</f>
        <v/>
      </c>
      <c r="D4260" s="23" t="str">
        <f aca="false">IF(B4260="","",IFERROR(INDEX(Brand_Log!$DV$2:$DV$201,MATCH(IFERROR(INDEX(Clay_Brands!$A$2:$FZ$601,209,Sync!$D$5)&amp;"",""),Brand_Log!$A$2:$A$201,0))&amp;"",IFERROR(INDEX(Clay_Brands!$A$2:$FZ$601,209,Sync!$D$5)&amp;"","")&amp;""))</f>
        <v/>
      </c>
      <c r="E4260" s="23" t="str">
        <f aca="false">IF(B4260="","",IFERROR(INDEX(Clay_Brands!$A$2:$FZ$601,209,Sync!$D$6)&amp;"",""))</f>
        <v/>
      </c>
      <c r="F4260" s="23" t="str">
        <f aca="false">IF(B4260="","","outreach_sent")</f>
        <v/>
      </c>
      <c r="G4260" s="23" t="str">
        <f aca="false">IF(B4260="","","")</f>
        <v/>
      </c>
      <c r="H4260" s="23" t="str">
        <f aca="false">IF(B4260="","","")</f>
        <v/>
      </c>
      <c r="I4260" s="23" t="str">
        <f aca="false">IF(B4260="","","")</f>
        <v/>
      </c>
      <c r="J4260" s="23" t="str">
        <f aca="false">IF(B4260="","","touch_2; "&amp;IFERROR(INDEX(Clay_Brands!$A$2:$FZ$601,209,Sync!$D$10)&amp;"","")&amp;"; "&amp;IFERROR(INDEX(Clay_Brands!$A$2:$FZ$601,209,Sync!$D$9)&amp;"",""))</f>
        <v/>
      </c>
      <c r="K4260" s="32" t="s">
        <v>1367</v>
      </c>
    </row>
    <row r="4261" customFormat="false" ht="15" hidden="false" customHeight="false" outlineLevel="0" collapsed="false">
      <c r="A4261" s="23" t="str">
        <f aca="false">IF(B4261="","",B4261+(16*1000+210)/10000000)</f>
        <v/>
      </c>
      <c r="B4261" s="35" t="str">
        <f aca="false">IF(AND(IFERROR(N(INDEX(Clay_Brands!$A$2:$FZ$601,210,Sync!$D$12)),0)&gt;0,IFERROR(INDEX(Clay_Brands!$A$2:$FZ$601,210,Sync!$D$5)&amp;"","")&lt;&gt;"",OR(LEFT(IFERROR(INDEX(Clay_Brands!$A$2:$FZ$601,210,Sync!$D$5)&amp;"",""),6)&lt;&gt;"SAMPLE",Config!$B$19="Y")),IFERROR(N(INDEX(Clay_Brands!$A$2:$FZ$601,210,Sync!$D$12)),0),"")</f>
        <v/>
      </c>
      <c r="C4261" s="23" t="str">
        <f aca="false">IF(B4261="","","brand")</f>
        <v/>
      </c>
      <c r="D4261" s="23" t="str">
        <f aca="false">IF(B4261="","",IFERROR(INDEX(Brand_Log!$DV$2:$DV$201,MATCH(IFERROR(INDEX(Clay_Brands!$A$2:$FZ$601,210,Sync!$D$5)&amp;"",""),Brand_Log!$A$2:$A$201,0))&amp;"",IFERROR(INDEX(Clay_Brands!$A$2:$FZ$601,210,Sync!$D$5)&amp;"","")&amp;""))</f>
        <v/>
      </c>
      <c r="E4261" s="23" t="str">
        <f aca="false">IF(B4261="","",IFERROR(INDEX(Clay_Brands!$A$2:$FZ$601,210,Sync!$D$6)&amp;"",""))</f>
        <v/>
      </c>
      <c r="F4261" s="23" t="str">
        <f aca="false">IF(B4261="","","outreach_sent")</f>
        <v/>
      </c>
      <c r="G4261" s="23" t="str">
        <f aca="false">IF(B4261="","","")</f>
        <v/>
      </c>
      <c r="H4261" s="23" t="str">
        <f aca="false">IF(B4261="","","")</f>
        <v/>
      </c>
      <c r="I4261" s="23" t="str">
        <f aca="false">IF(B4261="","","")</f>
        <v/>
      </c>
      <c r="J4261" s="23" t="str">
        <f aca="false">IF(B4261="","","touch_2; "&amp;IFERROR(INDEX(Clay_Brands!$A$2:$FZ$601,210,Sync!$D$10)&amp;"","")&amp;"; "&amp;IFERROR(INDEX(Clay_Brands!$A$2:$FZ$601,210,Sync!$D$9)&amp;"",""))</f>
        <v/>
      </c>
      <c r="K4261" s="32" t="s">
        <v>1367</v>
      </c>
    </row>
    <row r="4262" customFormat="false" ht="15" hidden="false" customHeight="false" outlineLevel="0" collapsed="false">
      <c r="A4262" s="23" t="str">
        <f aca="false">IF(B4262="","",B4262+(16*1000+211)/10000000)</f>
        <v/>
      </c>
      <c r="B4262" s="35" t="str">
        <f aca="false">IF(AND(IFERROR(N(INDEX(Clay_Brands!$A$2:$FZ$601,211,Sync!$D$12)),0)&gt;0,IFERROR(INDEX(Clay_Brands!$A$2:$FZ$601,211,Sync!$D$5)&amp;"","")&lt;&gt;"",OR(LEFT(IFERROR(INDEX(Clay_Brands!$A$2:$FZ$601,211,Sync!$D$5)&amp;"",""),6)&lt;&gt;"SAMPLE",Config!$B$19="Y")),IFERROR(N(INDEX(Clay_Brands!$A$2:$FZ$601,211,Sync!$D$12)),0),"")</f>
        <v/>
      </c>
      <c r="C4262" s="23" t="str">
        <f aca="false">IF(B4262="","","brand")</f>
        <v/>
      </c>
      <c r="D4262" s="23" t="str">
        <f aca="false">IF(B4262="","",IFERROR(INDEX(Brand_Log!$DV$2:$DV$201,MATCH(IFERROR(INDEX(Clay_Brands!$A$2:$FZ$601,211,Sync!$D$5)&amp;"",""),Brand_Log!$A$2:$A$201,0))&amp;"",IFERROR(INDEX(Clay_Brands!$A$2:$FZ$601,211,Sync!$D$5)&amp;"","")&amp;""))</f>
        <v/>
      </c>
      <c r="E4262" s="23" t="str">
        <f aca="false">IF(B4262="","",IFERROR(INDEX(Clay_Brands!$A$2:$FZ$601,211,Sync!$D$6)&amp;"",""))</f>
        <v/>
      </c>
      <c r="F4262" s="23" t="str">
        <f aca="false">IF(B4262="","","outreach_sent")</f>
        <v/>
      </c>
      <c r="G4262" s="23" t="str">
        <f aca="false">IF(B4262="","","")</f>
        <v/>
      </c>
      <c r="H4262" s="23" t="str">
        <f aca="false">IF(B4262="","","")</f>
        <v/>
      </c>
      <c r="I4262" s="23" t="str">
        <f aca="false">IF(B4262="","","")</f>
        <v/>
      </c>
      <c r="J4262" s="23" t="str">
        <f aca="false">IF(B4262="","","touch_2; "&amp;IFERROR(INDEX(Clay_Brands!$A$2:$FZ$601,211,Sync!$D$10)&amp;"","")&amp;"; "&amp;IFERROR(INDEX(Clay_Brands!$A$2:$FZ$601,211,Sync!$D$9)&amp;"",""))</f>
        <v/>
      </c>
      <c r="K4262" s="32" t="s">
        <v>1367</v>
      </c>
    </row>
    <row r="4263" customFormat="false" ht="15" hidden="false" customHeight="false" outlineLevel="0" collapsed="false">
      <c r="A4263" s="23" t="str">
        <f aca="false">IF(B4263="","",B4263+(16*1000+212)/10000000)</f>
        <v/>
      </c>
      <c r="B4263" s="35" t="str">
        <f aca="false">IF(AND(IFERROR(N(INDEX(Clay_Brands!$A$2:$FZ$601,212,Sync!$D$12)),0)&gt;0,IFERROR(INDEX(Clay_Brands!$A$2:$FZ$601,212,Sync!$D$5)&amp;"","")&lt;&gt;"",OR(LEFT(IFERROR(INDEX(Clay_Brands!$A$2:$FZ$601,212,Sync!$D$5)&amp;"",""),6)&lt;&gt;"SAMPLE",Config!$B$19="Y")),IFERROR(N(INDEX(Clay_Brands!$A$2:$FZ$601,212,Sync!$D$12)),0),"")</f>
        <v/>
      </c>
      <c r="C4263" s="23" t="str">
        <f aca="false">IF(B4263="","","brand")</f>
        <v/>
      </c>
      <c r="D4263" s="23" t="str">
        <f aca="false">IF(B4263="","",IFERROR(INDEX(Brand_Log!$DV$2:$DV$201,MATCH(IFERROR(INDEX(Clay_Brands!$A$2:$FZ$601,212,Sync!$D$5)&amp;"",""),Brand_Log!$A$2:$A$201,0))&amp;"",IFERROR(INDEX(Clay_Brands!$A$2:$FZ$601,212,Sync!$D$5)&amp;"","")&amp;""))</f>
        <v/>
      </c>
      <c r="E4263" s="23" t="str">
        <f aca="false">IF(B4263="","",IFERROR(INDEX(Clay_Brands!$A$2:$FZ$601,212,Sync!$D$6)&amp;"",""))</f>
        <v/>
      </c>
      <c r="F4263" s="23" t="str">
        <f aca="false">IF(B4263="","","outreach_sent")</f>
        <v/>
      </c>
      <c r="G4263" s="23" t="str">
        <f aca="false">IF(B4263="","","")</f>
        <v/>
      </c>
      <c r="H4263" s="23" t="str">
        <f aca="false">IF(B4263="","","")</f>
        <v/>
      </c>
      <c r="I4263" s="23" t="str">
        <f aca="false">IF(B4263="","","")</f>
        <v/>
      </c>
      <c r="J4263" s="23" t="str">
        <f aca="false">IF(B4263="","","touch_2; "&amp;IFERROR(INDEX(Clay_Brands!$A$2:$FZ$601,212,Sync!$D$10)&amp;"","")&amp;"; "&amp;IFERROR(INDEX(Clay_Brands!$A$2:$FZ$601,212,Sync!$D$9)&amp;"",""))</f>
        <v/>
      </c>
      <c r="K4263" s="32" t="s">
        <v>1367</v>
      </c>
    </row>
    <row r="4264" customFormat="false" ht="15" hidden="false" customHeight="false" outlineLevel="0" collapsed="false">
      <c r="A4264" s="23" t="str">
        <f aca="false">IF(B4264="","",B4264+(16*1000+213)/10000000)</f>
        <v/>
      </c>
      <c r="B4264" s="35" t="str">
        <f aca="false">IF(AND(IFERROR(N(INDEX(Clay_Brands!$A$2:$FZ$601,213,Sync!$D$12)),0)&gt;0,IFERROR(INDEX(Clay_Brands!$A$2:$FZ$601,213,Sync!$D$5)&amp;"","")&lt;&gt;"",OR(LEFT(IFERROR(INDEX(Clay_Brands!$A$2:$FZ$601,213,Sync!$D$5)&amp;"",""),6)&lt;&gt;"SAMPLE",Config!$B$19="Y")),IFERROR(N(INDEX(Clay_Brands!$A$2:$FZ$601,213,Sync!$D$12)),0),"")</f>
        <v/>
      </c>
      <c r="C4264" s="23" t="str">
        <f aca="false">IF(B4264="","","brand")</f>
        <v/>
      </c>
      <c r="D4264" s="23" t="str">
        <f aca="false">IF(B4264="","",IFERROR(INDEX(Brand_Log!$DV$2:$DV$201,MATCH(IFERROR(INDEX(Clay_Brands!$A$2:$FZ$601,213,Sync!$D$5)&amp;"",""),Brand_Log!$A$2:$A$201,0))&amp;"",IFERROR(INDEX(Clay_Brands!$A$2:$FZ$601,213,Sync!$D$5)&amp;"","")&amp;""))</f>
        <v/>
      </c>
      <c r="E4264" s="23" t="str">
        <f aca="false">IF(B4264="","",IFERROR(INDEX(Clay_Brands!$A$2:$FZ$601,213,Sync!$D$6)&amp;"",""))</f>
        <v/>
      </c>
      <c r="F4264" s="23" t="str">
        <f aca="false">IF(B4264="","","outreach_sent")</f>
        <v/>
      </c>
      <c r="G4264" s="23" t="str">
        <f aca="false">IF(B4264="","","")</f>
        <v/>
      </c>
      <c r="H4264" s="23" t="str">
        <f aca="false">IF(B4264="","","")</f>
        <v/>
      </c>
      <c r="I4264" s="23" t="str">
        <f aca="false">IF(B4264="","","")</f>
        <v/>
      </c>
      <c r="J4264" s="23" t="str">
        <f aca="false">IF(B4264="","","touch_2; "&amp;IFERROR(INDEX(Clay_Brands!$A$2:$FZ$601,213,Sync!$D$10)&amp;"","")&amp;"; "&amp;IFERROR(INDEX(Clay_Brands!$A$2:$FZ$601,213,Sync!$D$9)&amp;"",""))</f>
        <v/>
      </c>
      <c r="K4264" s="32" t="s">
        <v>1367</v>
      </c>
    </row>
    <row r="4265" customFormat="false" ht="15" hidden="false" customHeight="false" outlineLevel="0" collapsed="false">
      <c r="A4265" s="23" t="str">
        <f aca="false">IF(B4265="","",B4265+(16*1000+214)/10000000)</f>
        <v/>
      </c>
      <c r="B4265" s="35" t="str">
        <f aca="false">IF(AND(IFERROR(N(INDEX(Clay_Brands!$A$2:$FZ$601,214,Sync!$D$12)),0)&gt;0,IFERROR(INDEX(Clay_Brands!$A$2:$FZ$601,214,Sync!$D$5)&amp;"","")&lt;&gt;"",OR(LEFT(IFERROR(INDEX(Clay_Brands!$A$2:$FZ$601,214,Sync!$D$5)&amp;"",""),6)&lt;&gt;"SAMPLE",Config!$B$19="Y")),IFERROR(N(INDEX(Clay_Brands!$A$2:$FZ$601,214,Sync!$D$12)),0),"")</f>
        <v/>
      </c>
      <c r="C4265" s="23" t="str">
        <f aca="false">IF(B4265="","","brand")</f>
        <v/>
      </c>
      <c r="D4265" s="23" t="str">
        <f aca="false">IF(B4265="","",IFERROR(INDEX(Brand_Log!$DV$2:$DV$201,MATCH(IFERROR(INDEX(Clay_Brands!$A$2:$FZ$601,214,Sync!$D$5)&amp;"",""),Brand_Log!$A$2:$A$201,0))&amp;"",IFERROR(INDEX(Clay_Brands!$A$2:$FZ$601,214,Sync!$D$5)&amp;"","")&amp;""))</f>
        <v/>
      </c>
      <c r="E4265" s="23" t="str">
        <f aca="false">IF(B4265="","",IFERROR(INDEX(Clay_Brands!$A$2:$FZ$601,214,Sync!$D$6)&amp;"",""))</f>
        <v/>
      </c>
      <c r="F4265" s="23" t="str">
        <f aca="false">IF(B4265="","","outreach_sent")</f>
        <v/>
      </c>
      <c r="G4265" s="23" t="str">
        <f aca="false">IF(B4265="","","")</f>
        <v/>
      </c>
      <c r="H4265" s="23" t="str">
        <f aca="false">IF(B4265="","","")</f>
        <v/>
      </c>
      <c r="I4265" s="23" t="str">
        <f aca="false">IF(B4265="","","")</f>
        <v/>
      </c>
      <c r="J4265" s="23" t="str">
        <f aca="false">IF(B4265="","","touch_2; "&amp;IFERROR(INDEX(Clay_Brands!$A$2:$FZ$601,214,Sync!$D$10)&amp;"","")&amp;"; "&amp;IFERROR(INDEX(Clay_Brands!$A$2:$FZ$601,214,Sync!$D$9)&amp;"",""))</f>
        <v/>
      </c>
      <c r="K4265" s="32" t="s">
        <v>1367</v>
      </c>
    </row>
    <row r="4266" customFormat="false" ht="15" hidden="false" customHeight="false" outlineLevel="0" collapsed="false">
      <c r="A4266" s="23" t="str">
        <f aca="false">IF(B4266="","",B4266+(16*1000+215)/10000000)</f>
        <v/>
      </c>
      <c r="B4266" s="35" t="str">
        <f aca="false">IF(AND(IFERROR(N(INDEX(Clay_Brands!$A$2:$FZ$601,215,Sync!$D$12)),0)&gt;0,IFERROR(INDEX(Clay_Brands!$A$2:$FZ$601,215,Sync!$D$5)&amp;"","")&lt;&gt;"",OR(LEFT(IFERROR(INDEX(Clay_Brands!$A$2:$FZ$601,215,Sync!$D$5)&amp;"",""),6)&lt;&gt;"SAMPLE",Config!$B$19="Y")),IFERROR(N(INDEX(Clay_Brands!$A$2:$FZ$601,215,Sync!$D$12)),0),"")</f>
        <v/>
      </c>
      <c r="C4266" s="23" t="str">
        <f aca="false">IF(B4266="","","brand")</f>
        <v/>
      </c>
      <c r="D4266" s="23" t="str">
        <f aca="false">IF(B4266="","",IFERROR(INDEX(Brand_Log!$DV$2:$DV$201,MATCH(IFERROR(INDEX(Clay_Brands!$A$2:$FZ$601,215,Sync!$D$5)&amp;"",""),Brand_Log!$A$2:$A$201,0))&amp;"",IFERROR(INDEX(Clay_Brands!$A$2:$FZ$601,215,Sync!$D$5)&amp;"","")&amp;""))</f>
        <v/>
      </c>
      <c r="E4266" s="23" t="str">
        <f aca="false">IF(B4266="","",IFERROR(INDEX(Clay_Brands!$A$2:$FZ$601,215,Sync!$D$6)&amp;"",""))</f>
        <v/>
      </c>
      <c r="F4266" s="23" t="str">
        <f aca="false">IF(B4266="","","outreach_sent")</f>
        <v/>
      </c>
      <c r="G4266" s="23" t="str">
        <f aca="false">IF(B4266="","","")</f>
        <v/>
      </c>
      <c r="H4266" s="23" t="str">
        <f aca="false">IF(B4266="","","")</f>
        <v/>
      </c>
      <c r="I4266" s="23" t="str">
        <f aca="false">IF(B4266="","","")</f>
        <v/>
      </c>
      <c r="J4266" s="23" t="str">
        <f aca="false">IF(B4266="","","touch_2; "&amp;IFERROR(INDEX(Clay_Brands!$A$2:$FZ$601,215,Sync!$D$10)&amp;"","")&amp;"; "&amp;IFERROR(INDEX(Clay_Brands!$A$2:$FZ$601,215,Sync!$D$9)&amp;"",""))</f>
        <v/>
      </c>
      <c r="K4266" s="32" t="s">
        <v>1367</v>
      </c>
    </row>
    <row r="4267" customFormat="false" ht="15" hidden="false" customHeight="false" outlineLevel="0" collapsed="false">
      <c r="A4267" s="23" t="str">
        <f aca="false">IF(B4267="","",B4267+(16*1000+216)/10000000)</f>
        <v/>
      </c>
      <c r="B4267" s="35" t="str">
        <f aca="false">IF(AND(IFERROR(N(INDEX(Clay_Brands!$A$2:$FZ$601,216,Sync!$D$12)),0)&gt;0,IFERROR(INDEX(Clay_Brands!$A$2:$FZ$601,216,Sync!$D$5)&amp;"","")&lt;&gt;"",OR(LEFT(IFERROR(INDEX(Clay_Brands!$A$2:$FZ$601,216,Sync!$D$5)&amp;"",""),6)&lt;&gt;"SAMPLE",Config!$B$19="Y")),IFERROR(N(INDEX(Clay_Brands!$A$2:$FZ$601,216,Sync!$D$12)),0),"")</f>
        <v/>
      </c>
      <c r="C4267" s="23" t="str">
        <f aca="false">IF(B4267="","","brand")</f>
        <v/>
      </c>
      <c r="D4267" s="23" t="str">
        <f aca="false">IF(B4267="","",IFERROR(INDEX(Brand_Log!$DV$2:$DV$201,MATCH(IFERROR(INDEX(Clay_Brands!$A$2:$FZ$601,216,Sync!$D$5)&amp;"",""),Brand_Log!$A$2:$A$201,0))&amp;"",IFERROR(INDEX(Clay_Brands!$A$2:$FZ$601,216,Sync!$D$5)&amp;"","")&amp;""))</f>
        <v/>
      </c>
      <c r="E4267" s="23" t="str">
        <f aca="false">IF(B4267="","",IFERROR(INDEX(Clay_Brands!$A$2:$FZ$601,216,Sync!$D$6)&amp;"",""))</f>
        <v/>
      </c>
      <c r="F4267" s="23" t="str">
        <f aca="false">IF(B4267="","","outreach_sent")</f>
        <v/>
      </c>
      <c r="G4267" s="23" t="str">
        <f aca="false">IF(B4267="","","")</f>
        <v/>
      </c>
      <c r="H4267" s="23" t="str">
        <f aca="false">IF(B4267="","","")</f>
        <v/>
      </c>
      <c r="I4267" s="23" t="str">
        <f aca="false">IF(B4267="","","")</f>
        <v/>
      </c>
      <c r="J4267" s="23" t="str">
        <f aca="false">IF(B4267="","","touch_2; "&amp;IFERROR(INDEX(Clay_Brands!$A$2:$FZ$601,216,Sync!$D$10)&amp;"","")&amp;"; "&amp;IFERROR(INDEX(Clay_Brands!$A$2:$FZ$601,216,Sync!$D$9)&amp;"",""))</f>
        <v/>
      </c>
      <c r="K4267" s="32" t="s">
        <v>1367</v>
      </c>
    </row>
    <row r="4268" customFormat="false" ht="15" hidden="false" customHeight="false" outlineLevel="0" collapsed="false">
      <c r="A4268" s="23" t="str">
        <f aca="false">IF(B4268="","",B4268+(16*1000+217)/10000000)</f>
        <v/>
      </c>
      <c r="B4268" s="35" t="str">
        <f aca="false">IF(AND(IFERROR(N(INDEX(Clay_Brands!$A$2:$FZ$601,217,Sync!$D$12)),0)&gt;0,IFERROR(INDEX(Clay_Brands!$A$2:$FZ$601,217,Sync!$D$5)&amp;"","")&lt;&gt;"",OR(LEFT(IFERROR(INDEX(Clay_Brands!$A$2:$FZ$601,217,Sync!$D$5)&amp;"",""),6)&lt;&gt;"SAMPLE",Config!$B$19="Y")),IFERROR(N(INDEX(Clay_Brands!$A$2:$FZ$601,217,Sync!$D$12)),0),"")</f>
        <v/>
      </c>
      <c r="C4268" s="23" t="str">
        <f aca="false">IF(B4268="","","brand")</f>
        <v/>
      </c>
      <c r="D4268" s="23" t="str">
        <f aca="false">IF(B4268="","",IFERROR(INDEX(Brand_Log!$DV$2:$DV$201,MATCH(IFERROR(INDEX(Clay_Brands!$A$2:$FZ$601,217,Sync!$D$5)&amp;"",""),Brand_Log!$A$2:$A$201,0))&amp;"",IFERROR(INDEX(Clay_Brands!$A$2:$FZ$601,217,Sync!$D$5)&amp;"","")&amp;""))</f>
        <v/>
      </c>
      <c r="E4268" s="23" t="str">
        <f aca="false">IF(B4268="","",IFERROR(INDEX(Clay_Brands!$A$2:$FZ$601,217,Sync!$D$6)&amp;"",""))</f>
        <v/>
      </c>
      <c r="F4268" s="23" t="str">
        <f aca="false">IF(B4268="","","outreach_sent")</f>
        <v/>
      </c>
      <c r="G4268" s="23" t="str">
        <f aca="false">IF(B4268="","","")</f>
        <v/>
      </c>
      <c r="H4268" s="23" t="str">
        <f aca="false">IF(B4268="","","")</f>
        <v/>
      </c>
      <c r="I4268" s="23" t="str">
        <f aca="false">IF(B4268="","","")</f>
        <v/>
      </c>
      <c r="J4268" s="23" t="str">
        <f aca="false">IF(B4268="","","touch_2; "&amp;IFERROR(INDEX(Clay_Brands!$A$2:$FZ$601,217,Sync!$D$10)&amp;"","")&amp;"; "&amp;IFERROR(INDEX(Clay_Brands!$A$2:$FZ$601,217,Sync!$D$9)&amp;"",""))</f>
        <v/>
      </c>
      <c r="K4268" s="32" t="s">
        <v>1367</v>
      </c>
    </row>
    <row r="4269" customFormat="false" ht="15" hidden="false" customHeight="false" outlineLevel="0" collapsed="false">
      <c r="A4269" s="23" t="str">
        <f aca="false">IF(B4269="","",B4269+(16*1000+218)/10000000)</f>
        <v/>
      </c>
      <c r="B4269" s="35" t="str">
        <f aca="false">IF(AND(IFERROR(N(INDEX(Clay_Brands!$A$2:$FZ$601,218,Sync!$D$12)),0)&gt;0,IFERROR(INDEX(Clay_Brands!$A$2:$FZ$601,218,Sync!$D$5)&amp;"","")&lt;&gt;"",OR(LEFT(IFERROR(INDEX(Clay_Brands!$A$2:$FZ$601,218,Sync!$D$5)&amp;"",""),6)&lt;&gt;"SAMPLE",Config!$B$19="Y")),IFERROR(N(INDEX(Clay_Brands!$A$2:$FZ$601,218,Sync!$D$12)),0),"")</f>
        <v/>
      </c>
      <c r="C4269" s="23" t="str">
        <f aca="false">IF(B4269="","","brand")</f>
        <v/>
      </c>
      <c r="D4269" s="23" t="str">
        <f aca="false">IF(B4269="","",IFERROR(INDEX(Brand_Log!$DV$2:$DV$201,MATCH(IFERROR(INDEX(Clay_Brands!$A$2:$FZ$601,218,Sync!$D$5)&amp;"",""),Brand_Log!$A$2:$A$201,0))&amp;"",IFERROR(INDEX(Clay_Brands!$A$2:$FZ$601,218,Sync!$D$5)&amp;"","")&amp;""))</f>
        <v/>
      </c>
      <c r="E4269" s="23" t="str">
        <f aca="false">IF(B4269="","",IFERROR(INDEX(Clay_Brands!$A$2:$FZ$601,218,Sync!$D$6)&amp;"",""))</f>
        <v/>
      </c>
      <c r="F4269" s="23" t="str">
        <f aca="false">IF(B4269="","","outreach_sent")</f>
        <v/>
      </c>
      <c r="G4269" s="23" t="str">
        <f aca="false">IF(B4269="","","")</f>
        <v/>
      </c>
      <c r="H4269" s="23" t="str">
        <f aca="false">IF(B4269="","","")</f>
        <v/>
      </c>
      <c r="I4269" s="23" t="str">
        <f aca="false">IF(B4269="","","")</f>
        <v/>
      </c>
      <c r="J4269" s="23" t="str">
        <f aca="false">IF(B4269="","","touch_2; "&amp;IFERROR(INDEX(Clay_Brands!$A$2:$FZ$601,218,Sync!$D$10)&amp;"","")&amp;"; "&amp;IFERROR(INDEX(Clay_Brands!$A$2:$FZ$601,218,Sync!$D$9)&amp;"",""))</f>
        <v/>
      </c>
      <c r="K4269" s="32" t="s">
        <v>1367</v>
      </c>
    </row>
    <row r="4270" customFormat="false" ht="15" hidden="false" customHeight="false" outlineLevel="0" collapsed="false">
      <c r="A4270" s="23" t="str">
        <f aca="false">IF(B4270="","",B4270+(16*1000+219)/10000000)</f>
        <v/>
      </c>
      <c r="B4270" s="35" t="str">
        <f aca="false">IF(AND(IFERROR(N(INDEX(Clay_Brands!$A$2:$FZ$601,219,Sync!$D$12)),0)&gt;0,IFERROR(INDEX(Clay_Brands!$A$2:$FZ$601,219,Sync!$D$5)&amp;"","")&lt;&gt;"",OR(LEFT(IFERROR(INDEX(Clay_Brands!$A$2:$FZ$601,219,Sync!$D$5)&amp;"",""),6)&lt;&gt;"SAMPLE",Config!$B$19="Y")),IFERROR(N(INDEX(Clay_Brands!$A$2:$FZ$601,219,Sync!$D$12)),0),"")</f>
        <v/>
      </c>
      <c r="C4270" s="23" t="str">
        <f aca="false">IF(B4270="","","brand")</f>
        <v/>
      </c>
      <c r="D4270" s="23" t="str">
        <f aca="false">IF(B4270="","",IFERROR(INDEX(Brand_Log!$DV$2:$DV$201,MATCH(IFERROR(INDEX(Clay_Brands!$A$2:$FZ$601,219,Sync!$D$5)&amp;"",""),Brand_Log!$A$2:$A$201,0))&amp;"",IFERROR(INDEX(Clay_Brands!$A$2:$FZ$601,219,Sync!$D$5)&amp;"","")&amp;""))</f>
        <v/>
      </c>
      <c r="E4270" s="23" t="str">
        <f aca="false">IF(B4270="","",IFERROR(INDEX(Clay_Brands!$A$2:$FZ$601,219,Sync!$D$6)&amp;"",""))</f>
        <v/>
      </c>
      <c r="F4270" s="23" t="str">
        <f aca="false">IF(B4270="","","outreach_sent")</f>
        <v/>
      </c>
      <c r="G4270" s="23" t="str">
        <f aca="false">IF(B4270="","","")</f>
        <v/>
      </c>
      <c r="H4270" s="23" t="str">
        <f aca="false">IF(B4270="","","")</f>
        <v/>
      </c>
      <c r="I4270" s="23" t="str">
        <f aca="false">IF(B4270="","","")</f>
        <v/>
      </c>
      <c r="J4270" s="23" t="str">
        <f aca="false">IF(B4270="","","touch_2; "&amp;IFERROR(INDEX(Clay_Brands!$A$2:$FZ$601,219,Sync!$D$10)&amp;"","")&amp;"; "&amp;IFERROR(INDEX(Clay_Brands!$A$2:$FZ$601,219,Sync!$D$9)&amp;"",""))</f>
        <v/>
      </c>
      <c r="K4270" s="32" t="s">
        <v>1367</v>
      </c>
    </row>
    <row r="4271" customFormat="false" ht="15" hidden="false" customHeight="false" outlineLevel="0" collapsed="false">
      <c r="A4271" s="23" t="str">
        <f aca="false">IF(B4271="","",B4271+(16*1000+220)/10000000)</f>
        <v/>
      </c>
      <c r="B4271" s="35" t="str">
        <f aca="false">IF(AND(IFERROR(N(INDEX(Clay_Brands!$A$2:$FZ$601,220,Sync!$D$12)),0)&gt;0,IFERROR(INDEX(Clay_Brands!$A$2:$FZ$601,220,Sync!$D$5)&amp;"","")&lt;&gt;"",OR(LEFT(IFERROR(INDEX(Clay_Brands!$A$2:$FZ$601,220,Sync!$D$5)&amp;"",""),6)&lt;&gt;"SAMPLE",Config!$B$19="Y")),IFERROR(N(INDEX(Clay_Brands!$A$2:$FZ$601,220,Sync!$D$12)),0),"")</f>
        <v/>
      </c>
      <c r="C4271" s="23" t="str">
        <f aca="false">IF(B4271="","","brand")</f>
        <v/>
      </c>
      <c r="D4271" s="23" t="str">
        <f aca="false">IF(B4271="","",IFERROR(INDEX(Brand_Log!$DV$2:$DV$201,MATCH(IFERROR(INDEX(Clay_Brands!$A$2:$FZ$601,220,Sync!$D$5)&amp;"",""),Brand_Log!$A$2:$A$201,0))&amp;"",IFERROR(INDEX(Clay_Brands!$A$2:$FZ$601,220,Sync!$D$5)&amp;"","")&amp;""))</f>
        <v/>
      </c>
      <c r="E4271" s="23" t="str">
        <f aca="false">IF(B4271="","",IFERROR(INDEX(Clay_Brands!$A$2:$FZ$601,220,Sync!$D$6)&amp;"",""))</f>
        <v/>
      </c>
      <c r="F4271" s="23" t="str">
        <f aca="false">IF(B4271="","","outreach_sent")</f>
        <v/>
      </c>
      <c r="G4271" s="23" t="str">
        <f aca="false">IF(B4271="","","")</f>
        <v/>
      </c>
      <c r="H4271" s="23" t="str">
        <f aca="false">IF(B4271="","","")</f>
        <v/>
      </c>
      <c r="I4271" s="23" t="str">
        <f aca="false">IF(B4271="","","")</f>
        <v/>
      </c>
      <c r="J4271" s="23" t="str">
        <f aca="false">IF(B4271="","","touch_2; "&amp;IFERROR(INDEX(Clay_Brands!$A$2:$FZ$601,220,Sync!$D$10)&amp;"","")&amp;"; "&amp;IFERROR(INDEX(Clay_Brands!$A$2:$FZ$601,220,Sync!$D$9)&amp;"",""))</f>
        <v/>
      </c>
      <c r="K4271" s="32" t="s">
        <v>1367</v>
      </c>
    </row>
    <row r="4272" customFormat="false" ht="15" hidden="false" customHeight="false" outlineLevel="0" collapsed="false">
      <c r="A4272" s="23" t="str">
        <f aca="false">IF(B4272="","",B4272+(16*1000+221)/10000000)</f>
        <v/>
      </c>
      <c r="B4272" s="35" t="str">
        <f aca="false">IF(AND(IFERROR(N(INDEX(Clay_Brands!$A$2:$FZ$601,221,Sync!$D$12)),0)&gt;0,IFERROR(INDEX(Clay_Brands!$A$2:$FZ$601,221,Sync!$D$5)&amp;"","")&lt;&gt;"",OR(LEFT(IFERROR(INDEX(Clay_Brands!$A$2:$FZ$601,221,Sync!$D$5)&amp;"",""),6)&lt;&gt;"SAMPLE",Config!$B$19="Y")),IFERROR(N(INDEX(Clay_Brands!$A$2:$FZ$601,221,Sync!$D$12)),0),"")</f>
        <v/>
      </c>
      <c r="C4272" s="23" t="str">
        <f aca="false">IF(B4272="","","brand")</f>
        <v/>
      </c>
      <c r="D4272" s="23" t="str">
        <f aca="false">IF(B4272="","",IFERROR(INDEX(Brand_Log!$DV$2:$DV$201,MATCH(IFERROR(INDEX(Clay_Brands!$A$2:$FZ$601,221,Sync!$D$5)&amp;"",""),Brand_Log!$A$2:$A$201,0))&amp;"",IFERROR(INDEX(Clay_Brands!$A$2:$FZ$601,221,Sync!$D$5)&amp;"","")&amp;""))</f>
        <v/>
      </c>
      <c r="E4272" s="23" t="str">
        <f aca="false">IF(B4272="","",IFERROR(INDEX(Clay_Brands!$A$2:$FZ$601,221,Sync!$D$6)&amp;"",""))</f>
        <v/>
      </c>
      <c r="F4272" s="23" t="str">
        <f aca="false">IF(B4272="","","outreach_sent")</f>
        <v/>
      </c>
      <c r="G4272" s="23" t="str">
        <f aca="false">IF(B4272="","","")</f>
        <v/>
      </c>
      <c r="H4272" s="23" t="str">
        <f aca="false">IF(B4272="","","")</f>
        <v/>
      </c>
      <c r="I4272" s="23" t="str">
        <f aca="false">IF(B4272="","","")</f>
        <v/>
      </c>
      <c r="J4272" s="23" t="str">
        <f aca="false">IF(B4272="","","touch_2; "&amp;IFERROR(INDEX(Clay_Brands!$A$2:$FZ$601,221,Sync!$D$10)&amp;"","")&amp;"; "&amp;IFERROR(INDEX(Clay_Brands!$A$2:$FZ$601,221,Sync!$D$9)&amp;"",""))</f>
        <v/>
      </c>
      <c r="K4272" s="32" t="s">
        <v>1367</v>
      </c>
    </row>
    <row r="4273" customFormat="false" ht="15" hidden="false" customHeight="false" outlineLevel="0" collapsed="false">
      <c r="A4273" s="23" t="str">
        <f aca="false">IF(B4273="","",B4273+(16*1000+222)/10000000)</f>
        <v/>
      </c>
      <c r="B4273" s="35" t="str">
        <f aca="false">IF(AND(IFERROR(N(INDEX(Clay_Brands!$A$2:$FZ$601,222,Sync!$D$12)),0)&gt;0,IFERROR(INDEX(Clay_Brands!$A$2:$FZ$601,222,Sync!$D$5)&amp;"","")&lt;&gt;"",OR(LEFT(IFERROR(INDEX(Clay_Brands!$A$2:$FZ$601,222,Sync!$D$5)&amp;"",""),6)&lt;&gt;"SAMPLE",Config!$B$19="Y")),IFERROR(N(INDEX(Clay_Brands!$A$2:$FZ$601,222,Sync!$D$12)),0),"")</f>
        <v/>
      </c>
      <c r="C4273" s="23" t="str">
        <f aca="false">IF(B4273="","","brand")</f>
        <v/>
      </c>
      <c r="D4273" s="23" t="str">
        <f aca="false">IF(B4273="","",IFERROR(INDEX(Brand_Log!$DV$2:$DV$201,MATCH(IFERROR(INDEX(Clay_Brands!$A$2:$FZ$601,222,Sync!$D$5)&amp;"",""),Brand_Log!$A$2:$A$201,0))&amp;"",IFERROR(INDEX(Clay_Brands!$A$2:$FZ$601,222,Sync!$D$5)&amp;"","")&amp;""))</f>
        <v/>
      </c>
      <c r="E4273" s="23" t="str">
        <f aca="false">IF(B4273="","",IFERROR(INDEX(Clay_Brands!$A$2:$FZ$601,222,Sync!$D$6)&amp;"",""))</f>
        <v/>
      </c>
      <c r="F4273" s="23" t="str">
        <f aca="false">IF(B4273="","","outreach_sent")</f>
        <v/>
      </c>
      <c r="G4273" s="23" t="str">
        <f aca="false">IF(B4273="","","")</f>
        <v/>
      </c>
      <c r="H4273" s="23" t="str">
        <f aca="false">IF(B4273="","","")</f>
        <v/>
      </c>
      <c r="I4273" s="23" t="str">
        <f aca="false">IF(B4273="","","")</f>
        <v/>
      </c>
      <c r="J4273" s="23" t="str">
        <f aca="false">IF(B4273="","","touch_2; "&amp;IFERROR(INDEX(Clay_Brands!$A$2:$FZ$601,222,Sync!$D$10)&amp;"","")&amp;"; "&amp;IFERROR(INDEX(Clay_Brands!$A$2:$FZ$601,222,Sync!$D$9)&amp;"",""))</f>
        <v/>
      </c>
      <c r="K4273" s="32" t="s">
        <v>1367</v>
      </c>
    </row>
    <row r="4274" customFormat="false" ht="15" hidden="false" customHeight="false" outlineLevel="0" collapsed="false">
      <c r="A4274" s="23" t="str">
        <f aca="false">IF(B4274="","",B4274+(16*1000+223)/10000000)</f>
        <v/>
      </c>
      <c r="B4274" s="35" t="str">
        <f aca="false">IF(AND(IFERROR(N(INDEX(Clay_Brands!$A$2:$FZ$601,223,Sync!$D$12)),0)&gt;0,IFERROR(INDEX(Clay_Brands!$A$2:$FZ$601,223,Sync!$D$5)&amp;"","")&lt;&gt;"",OR(LEFT(IFERROR(INDEX(Clay_Brands!$A$2:$FZ$601,223,Sync!$D$5)&amp;"",""),6)&lt;&gt;"SAMPLE",Config!$B$19="Y")),IFERROR(N(INDEX(Clay_Brands!$A$2:$FZ$601,223,Sync!$D$12)),0),"")</f>
        <v/>
      </c>
      <c r="C4274" s="23" t="str">
        <f aca="false">IF(B4274="","","brand")</f>
        <v/>
      </c>
      <c r="D4274" s="23" t="str">
        <f aca="false">IF(B4274="","",IFERROR(INDEX(Brand_Log!$DV$2:$DV$201,MATCH(IFERROR(INDEX(Clay_Brands!$A$2:$FZ$601,223,Sync!$D$5)&amp;"",""),Brand_Log!$A$2:$A$201,0))&amp;"",IFERROR(INDEX(Clay_Brands!$A$2:$FZ$601,223,Sync!$D$5)&amp;"","")&amp;""))</f>
        <v/>
      </c>
      <c r="E4274" s="23" t="str">
        <f aca="false">IF(B4274="","",IFERROR(INDEX(Clay_Brands!$A$2:$FZ$601,223,Sync!$D$6)&amp;"",""))</f>
        <v/>
      </c>
      <c r="F4274" s="23" t="str">
        <f aca="false">IF(B4274="","","outreach_sent")</f>
        <v/>
      </c>
      <c r="G4274" s="23" t="str">
        <f aca="false">IF(B4274="","","")</f>
        <v/>
      </c>
      <c r="H4274" s="23" t="str">
        <f aca="false">IF(B4274="","","")</f>
        <v/>
      </c>
      <c r="I4274" s="23" t="str">
        <f aca="false">IF(B4274="","","")</f>
        <v/>
      </c>
      <c r="J4274" s="23" t="str">
        <f aca="false">IF(B4274="","","touch_2; "&amp;IFERROR(INDEX(Clay_Brands!$A$2:$FZ$601,223,Sync!$D$10)&amp;"","")&amp;"; "&amp;IFERROR(INDEX(Clay_Brands!$A$2:$FZ$601,223,Sync!$D$9)&amp;"",""))</f>
        <v/>
      </c>
      <c r="K4274" s="32" t="s">
        <v>1367</v>
      </c>
    </row>
    <row r="4275" customFormat="false" ht="15" hidden="false" customHeight="false" outlineLevel="0" collapsed="false">
      <c r="A4275" s="23" t="str">
        <f aca="false">IF(B4275="","",B4275+(16*1000+224)/10000000)</f>
        <v/>
      </c>
      <c r="B4275" s="35" t="str">
        <f aca="false">IF(AND(IFERROR(N(INDEX(Clay_Brands!$A$2:$FZ$601,224,Sync!$D$12)),0)&gt;0,IFERROR(INDEX(Clay_Brands!$A$2:$FZ$601,224,Sync!$D$5)&amp;"","")&lt;&gt;"",OR(LEFT(IFERROR(INDEX(Clay_Brands!$A$2:$FZ$601,224,Sync!$D$5)&amp;"",""),6)&lt;&gt;"SAMPLE",Config!$B$19="Y")),IFERROR(N(INDEX(Clay_Brands!$A$2:$FZ$601,224,Sync!$D$12)),0),"")</f>
        <v/>
      </c>
      <c r="C4275" s="23" t="str">
        <f aca="false">IF(B4275="","","brand")</f>
        <v/>
      </c>
      <c r="D4275" s="23" t="str">
        <f aca="false">IF(B4275="","",IFERROR(INDEX(Brand_Log!$DV$2:$DV$201,MATCH(IFERROR(INDEX(Clay_Brands!$A$2:$FZ$601,224,Sync!$D$5)&amp;"",""),Brand_Log!$A$2:$A$201,0))&amp;"",IFERROR(INDEX(Clay_Brands!$A$2:$FZ$601,224,Sync!$D$5)&amp;"","")&amp;""))</f>
        <v/>
      </c>
      <c r="E4275" s="23" t="str">
        <f aca="false">IF(B4275="","",IFERROR(INDEX(Clay_Brands!$A$2:$FZ$601,224,Sync!$D$6)&amp;"",""))</f>
        <v/>
      </c>
      <c r="F4275" s="23" t="str">
        <f aca="false">IF(B4275="","","outreach_sent")</f>
        <v/>
      </c>
      <c r="G4275" s="23" t="str">
        <f aca="false">IF(B4275="","","")</f>
        <v/>
      </c>
      <c r="H4275" s="23" t="str">
        <f aca="false">IF(B4275="","","")</f>
        <v/>
      </c>
      <c r="I4275" s="23" t="str">
        <f aca="false">IF(B4275="","","")</f>
        <v/>
      </c>
      <c r="J4275" s="23" t="str">
        <f aca="false">IF(B4275="","","touch_2; "&amp;IFERROR(INDEX(Clay_Brands!$A$2:$FZ$601,224,Sync!$D$10)&amp;"","")&amp;"; "&amp;IFERROR(INDEX(Clay_Brands!$A$2:$FZ$601,224,Sync!$D$9)&amp;"",""))</f>
        <v/>
      </c>
      <c r="K4275" s="32" t="s">
        <v>1367</v>
      </c>
    </row>
    <row r="4276" customFormat="false" ht="15" hidden="false" customHeight="false" outlineLevel="0" collapsed="false">
      <c r="A4276" s="23" t="str">
        <f aca="false">IF(B4276="","",B4276+(16*1000+225)/10000000)</f>
        <v/>
      </c>
      <c r="B4276" s="35" t="str">
        <f aca="false">IF(AND(IFERROR(N(INDEX(Clay_Brands!$A$2:$FZ$601,225,Sync!$D$12)),0)&gt;0,IFERROR(INDEX(Clay_Brands!$A$2:$FZ$601,225,Sync!$D$5)&amp;"","")&lt;&gt;"",OR(LEFT(IFERROR(INDEX(Clay_Brands!$A$2:$FZ$601,225,Sync!$D$5)&amp;"",""),6)&lt;&gt;"SAMPLE",Config!$B$19="Y")),IFERROR(N(INDEX(Clay_Brands!$A$2:$FZ$601,225,Sync!$D$12)),0),"")</f>
        <v/>
      </c>
      <c r="C4276" s="23" t="str">
        <f aca="false">IF(B4276="","","brand")</f>
        <v/>
      </c>
      <c r="D4276" s="23" t="str">
        <f aca="false">IF(B4276="","",IFERROR(INDEX(Brand_Log!$DV$2:$DV$201,MATCH(IFERROR(INDEX(Clay_Brands!$A$2:$FZ$601,225,Sync!$D$5)&amp;"",""),Brand_Log!$A$2:$A$201,0))&amp;"",IFERROR(INDEX(Clay_Brands!$A$2:$FZ$601,225,Sync!$D$5)&amp;"","")&amp;""))</f>
        <v/>
      </c>
      <c r="E4276" s="23" t="str">
        <f aca="false">IF(B4276="","",IFERROR(INDEX(Clay_Brands!$A$2:$FZ$601,225,Sync!$D$6)&amp;"",""))</f>
        <v/>
      </c>
      <c r="F4276" s="23" t="str">
        <f aca="false">IF(B4276="","","outreach_sent")</f>
        <v/>
      </c>
      <c r="G4276" s="23" t="str">
        <f aca="false">IF(B4276="","","")</f>
        <v/>
      </c>
      <c r="H4276" s="23" t="str">
        <f aca="false">IF(B4276="","","")</f>
        <v/>
      </c>
      <c r="I4276" s="23" t="str">
        <f aca="false">IF(B4276="","","")</f>
        <v/>
      </c>
      <c r="J4276" s="23" t="str">
        <f aca="false">IF(B4276="","","touch_2; "&amp;IFERROR(INDEX(Clay_Brands!$A$2:$FZ$601,225,Sync!$D$10)&amp;"","")&amp;"; "&amp;IFERROR(INDEX(Clay_Brands!$A$2:$FZ$601,225,Sync!$D$9)&amp;"",""))</f>
        <v/>
      </c>
      <c r="K4276" s="32" t="s">
        <v>1367</v>
      </c>
    </row>
    <row r="4277" customFormat="false" ht="15" hidden="false" customHeight="false" outlineLevel="0" collapsed="false">
      <c r="A4277" s="23" t="str">
        <f aca="false">IF(B4277="","",B4277+(16*1000+226)/10000000)</f>
        <v/>
      </c>
      <c r="B4277" s="35" t="str">
        <f aca="false">IF(AND(IFERROR(N(INDEX(Clay_Brands!$A$2:$FZ$601,226,Sync!$D$12)),0)&gt;0,IFERROR(INDEX(Clay_Brands!$A$2:$FZ$601,226,Sync!$D$5)&amp;"","")&lt;&gt;"",OR(LEFT(IFERROR(INDEX(Clay_Brands!$A$2:$FZ$601,226,Sync!$D$5)&amp;"",""),6)&lt;&gt;"SAMPLE",Config!$B$19="Y")),IFERROR(N(INDEX(Clay_Brands!$A$2:$FZ$601,226,Sync!$D$12)),0),"")</f>
        <v/>
      </c>
      <c r="C4277" s="23" t="str">
        <f aca="false">IF(B4277="","","brand")</f>
        <v/>
      </c>
      <c r="D4277" s="23" t="str">
        <f aca="false">IF(B4277="","",IFERROR(INDEX(Brand_Log!$DV$2:$DV$201,MATCH(IFERROR(INDEX(Clay_Brands!$A$2:$FZ$601,226,Sync!$D$5)&amp;"",""),Brand_Log!$A$2:$A$201,0))&amp;"",IFERROR(INDEX(Clay_Brands!$A$2:$FZ$601,226,Sync!$D$5)&amp;"","")&amp;""))</f>
        <v/>
      </c>
      <c r="E4277" s="23" t="str">
        <f aca="false">IF(B4277="","",IFERROR(INDEX(Clay_Brands!$A$2:$FZ$601,226,Sync!$D$6)&amp;"",""))</f>
        <v/>
      </c>
      <c r="F4277" s="23" t="str">
        <f aca="false">IF(B4277="","","outreach_sent")</f>
        <v/>
      </c>
      <c r="G4277" s="23" t="str">
        <f aca="false">IF(B4277="","","")</f>
        <v/>
      </c>
      <c r="H4277" s="23" t="str">
        <f aca="false">IF(B4277="","","")</f>
        <v/>
      </c>
      <c r="I4277" s="23" t="str">
        <f aca="false">IF(B4277="","","")</f>
        <v/>
      </c>
      <c r="J4277" s="23" t="str">
        <f aca="false">IF(B4277="","","touch_2; "&amp;IFERROR(INDEX(Clay_Brands!$A$2:$FZ$601,226,Sync!$D$10)&amp;"","")&amp;"; "&amp;IFERROR(INDEX(Clay_Brands!$A$2:$FZ$601,226,Sync!$D$9)&amp;"",""))</f>
        <v/>
      </c>
      <c r="K4277" s="32" t="s">
        <v>1367</v>
      </c>
    </row>
    <row r="4278" customFormat="false" ht="15" hidden="false" customHeight="false" outlineLevel="0" collapsed="false">
      <c r="A4278" s="23" t="str">
        <f aca="false">IF(B4278="","",B4278+(16*1000+227)/10000000)</f>
        <v/>
      </c>
      <c r="B4278" s="35" t="str">
        <f aca="false">IF(AND(IFERROR(N(INDEX(Clay_Brands!$A$2:$FZ$601,227,Sync!$D$12)),0)&gt;0,IFERROR(INDEX(Clay_Brands!$A$2:$FZ$601,227,Sync!$D$5)&amp;"","")&lt;&gt;"",OR(LEFT(IFERROR(INDEX(Clay_Brands!$A$2:$FZ$601,227,Sync!$D$5)&amp;"",""),6)&lt;&gt;"SAMPLE",Config!$B$19="Y")),IFERROR(N(INDEX(Clay_Brands!$A$2:$FZ$601,227,Sync!$D$12)),0),"")</f>
        <v/>
      </c>
      <c r="C4278" s="23" t="str">
        <f aca="false">IF(B4278="","","brand")</f>
        <v/>
      </c>
      <c r="D4278" s="23" t="str">
        <f aca="false">IF(B4278="","",IFERROR(INDEX(Brand_Log!$DV$2:$DV$201,MATCH(IFERROR(INDEX(Clay_Brands!$A$2:$FZ$601,227,Sync!$D$5)&amp;"",""),Brand_Log!$A$2:$A$201,0))&amp;"",IFERROR(INDEX(Clay_Brands!$A$2:$FZ$601,227,Sync!$D$5)&amp;"","")&amp;""))</f>
        <v/>
      </c>
      <c r="E4278" s="23" t="str">
        <f aca="false">IF(B4278="","",IFERROR(INDEX(Clay_Brands!$A$2:$FZ$601,227,Sync!$D$6)&amp;"",""))</f>
        <v/>
      </c>
      <c r="F4278" s="23" t="str">
        <f aca="false">IF(B4278="","","outreach_sent")</f>
        <v/>
      </c>
      <c r="G4278" s="23" t="str">
        <f aca="false">IF(B4278="","","")</f>
        <v/>
      </c>
      <c r="H4278" s="23" t="str">
        <f aca="false">IF(B4278="","","")</f>
        <v/>
      </c>
      <c r="I4278" s="23" t="str">
        <f aca="false">IF(B4278="","","")</f>
        <v/>
      </c>
      <c r="J4278" s="23" t="str">
        <f aca="false">IF(B4278="","","touch_2; "&amp;IFERROR(INDEX(Clay_Brands!$A$2:$FZ$601,227,Sync!$D$10)&amp;"","")&amp;"; "&amp;IFERROR(INDEX(Clay_Brands!$A$2:$FZ$601,227,Sync!$D$9)&amp;"",""))</f>
        <v/>
      </c>
      <c r="K4278" s="32" t="s">
        <v>1367</v>
      </c>
    </row>
    <row r="4279" customFormat="false" ht="15" hidden="false" customHeight="false" outlineLevel="0" collapsed="false">
      <c r="A4279" s="23" t="str">
        <f aca="false">IF(B4279="","",B4279+(16*1000+228)/10000000)</f>
        <v/>
      </c>
      <c r="B4279" s="35" t="str">
        <f aca="false">IF(AND(IFERROR(N(INDEX(Clay_Brands!$A$2:$FZ$601,228,Sync!$D$12)),0)&gt;0,IFERROR(INDEX(Clay_Brands!$A$2:$FZ$601,228,Sync!$D$5)&amp;"","")&lt;&gt;"",OR(LEFT(IFERROR(INDEX(Clay_Brands!$A$2:$FZ$601,228,Sync!$D$5)&amp;"",""),6)&lt;&gt;"SAMPLE",Config!$B$19="Y")),IFERROR(N(INDEX(Clay_Brands!$A$2:$FZ$601,228,Sync!$D$12)),0),"")</f>
        <v/>
      </c>
      <c r="C4279" s="23" t="str">
        <f aca="false">IF(B4279="","","brand")</f>
        <v/>
      </c>
      <c r="D4279" s="23" t="str">
        <f aca="false">IF(B4279="","",IFERROR(INDEX(Brand_Log!$DV$2:$DV$201,MATCH(IFERROR(INDEX(Clay_Brands!$A$2:$FZ$601,228,Sync!$D$5)&amp;"",""),Brand_Log!$A$2:$A$201,0))&amp;"",IFERROR(INDEX(Clay_Brands!$A$2:$FZ$601,228,Sync!$D$5)&amp;"","")&amp;""))</f>
        <v/>
      </c>
      <c r="E4279" s="23" t="str">
        <f aca="false">IF(B4279="","",IFERROR(INDEX(Clay_Brands!$A$2:$FZ$601,228,Sync!$D$6)&amp;"",""))</f>
        <v/>
      </c>
      <c r="F4279" s="23" t="str">
        <f aca="false">IF(B4279="","","outreach_sent")</f>
        <v/>
      </c>
      <c r="G4279" s="23" t="str">
        <f aca="false">IF(B4279="","","")</f>
        <v/>
      </c>
      <c r="H4279" s="23" t="str">
        <f aca="false">IF(B4279="","","")</f>
        <v/>
      </c>
      <c r="I4279" s="23" t="str">
        <f aca="false">IF(B4279="","","")</f>
        <v/>
      </c>
      <c r="J4279" s="23" t="str">
        <f aca="false">IF(B4279="","","touch_2; "&amp;IFERROR(INDEX(Clay_Brands!$A$2:$FZ$601,228,Sync!$D$10)&amp;"","")&amp;"; "&amp;IFERROR(INDEX(Clay_Brands!$A$2:$FZ$601,228,Sync!$D$9)&amp;"",""))</f>
        <v/>
      </c>
      <c r="K4279" s="32" t="s">
        <v>1367</v>
      </c>
    </row>
    <row r="4280" customFormat="false" ht="15" hidden="false" customHeight="false" outlineLevel="0" collapsed="false">
      <c r="A4280" s="23" t="str">
        <f aca="false">IF(B4280="","",B4280+(16*1000+229)/10000000)</f>
        <v/>
      </c>
      <c r="B4280" s="35" t="str">
        <f aca="false">IF(AND(IFERROR(N(INDEX(Clay_Brands!$A$2:$FZ$601,229,Sync!$D$12)),0)&gt;0,IFERROR(INDEX(Clay_Brands!$A$2:$FZ$601,229,Sync!$D$5)&amp;"","")&lt;&gt;"",OR(LEFT(IFERROR(INDEX(Clay_Brands!$A$2:$FZ$601,229,Sync!$D$5)&amp;"",""),6)&lt;&gt;"SAMPLE",Config!$B$19="Y")),IFERROR(N(INDEX(Clay_Brands!$A$2:$FZ$601,229,Sync!$D$12)),0),"")</f>
        <v/>
      </c>
      <c r="C4280" s="23" t="str">
        <f aca="false">IF(B4280="","","brand")</f>
        <v/>
      </c>
      <c r="D4280" s="23" t="str">
        <f aca="false">IF(B4280="","",IFERROR(INDEX(Brand_Log!$DV$2:$DV$201,MATCH(IFERROR(INDEX(Clay_Brands!$A$2:$FZ$601,229,Sync!$D$5)&amp;"",""),Brand_Log!$A$2:$A$201,0))&amp;"",IFERROR(INDEX(Clay_Brands!$A$2:$FZ$601,229,Sync!$D$5)&amp;"","")&amp;""))</f>
        <v/>
      </c>
      <c r="E4280" s="23" t="str">
        <f aca="false">IF(B4280="","",IFERROR(INDEX(Clay_Brands!$A$2:$FZ$601,229,Sync!$D$6)&amp;"",""))</f>
        <v/>
      </c>
      <c r="F4280" s="23" t="str">
        <f aca="false">IF(B4280="","","outreach_sent")</f>
        <v/>
      </c>
      <c r="G4280" s="23" t="str">
        <f aca="false">IF(B4280="","","")</f>
        <v/>
      </c>
      <c r="H4280" s="23" t="str">
        <f aca="false">IF(B4280="","","")</f>
        <v/>
      </c>
      <c r="I4280" s="23" t="str">
        <f aca="false">IF(B4280="","","")</f>
        <v/>
      </c>
      <c r="J4280" s="23" t="str">
        <f aca="false">IF(B4280="","","touch_2; "&amp;IFERROR(INDEX(Clay_Brands!$A$2:$FZ$601,229,Sync!$D$10)&amp;"","")&amp;"; "&amp;IFERROR(INDEX(Clay_Brands!$A$2:$FZ$601,229,Sync!$D$9)&amp;"",""))</f>
        <v/>
      </c>
      <c r="K4280" s="32" t="s">
        <v>1367</v>
      </c>
    </row>
    <row r="4281" customFormat="false" ht="15" hidden="false" customHeight="false" outlineLevel="0" collapsed="false">
      <c r="A4281" s="23" t="str">
        <f aca="false">IF(B4281="","",B4281+(16*1000+230)/10000000)</f>
        <v/>
      </c>
      <c r="B4281" s="35" t="str">
        <f aca="false">IF(AND(IFERROR(N(INDEX(Clay_Brands!$A$2:$FZ$601,230,Sync!$D$12)),0)&gt;0,IFERROR(INDEX(Clay_Brands!$A$2:$FZ$601,230,Sync!$D$5)&amp;"","")&lt;&gt;"",OR(LEFT(IFERROR(INDEX(Clay_Brands!$A$2:$FZ$601,230,Sync!$D$5)&amp;"",""),6)&lt;&gt;"SAMPLE",Config!$B$19="Y")),IFERROR(N(INDEX(Clay_Brands!$A$2:$FZ$601,230,Sync!$D$12)),0),"")</f>
        <v/>
      </c>
      <c r="C4281" s="23" t="str">
        <f aca="false">IF(B4281="","","brand")</f>
        <v/>
      </c>
      <c r="D4281" s="23" t="str">
        <f aca="false">IF(B4281="","",IFERROR(INDEX(Brand_Log!$DV$2:$DV$201,MATCH(IFERROR(INDEX(Clay_Brands!$A$2:$FZ$601,230,Sync!$D$5)&amp;"",""),Brand_Log!$A$2:$A$201,0))&amp;"",IFERROR(INDEX(Clay_Brands!$A$2:$FZ$601,230,Sync!$D$5)&amp;"","")&amp;""))</f>
        <v/>
      </c>
      <c r="E4281" s="23" t="str">
        <f aca="false">IF(B4281="","",IFERROR(INDEX(Clay_Brands!$A$2:$FZ$601,230,Sync!$D$6)&amp;"",""))</f>
        <v/>
      </c>
      <c r="F4281" s="23" t="str">
        <f aca="false">IF(B4281="","","outreach_sent")</f>
        <v/>
      </c>
      <c r="G4281" s="23" t="str">
        <f aca="false">IF(B4281="","","")</f>
        <v/>
      </c>
      <c r="H4281" s="23" t="str">
        <f aca="false">IF(B4281="","","")</f>
        <v/>
      </c>
      <c r="I4281" s="23" t="str">
        <f aca="false">IF(B4281="","","")</f>
        <v/>
      </c>
      <c r="J4281" s="23" t="str">
        <f aca="false">IF(B4281="","","touch_2; "&amp;IFERROR(INDEX(Clay_Brands!$A$2:$FZ$601,230,Sync!$D$10)&amp;"","")&amp;"; "&amp;IFERROR(INDEX(Clay_Brands!$A$2:$FZ$601,230,Sync!$D$9)&amp;"",""))</f>
        <v/>
      </c>
      <c r="K4281" s="32" t="s">
        <v>1367</v>
      </c>
    </row>
    <row r="4282" customFormat="false" ht="15" hidden="false" customHeight="false" outlineLevel="0" collapsed="false">
      <c r="A4282" s="23" t="str">
        <f aca="false">IF(B4282="","",B4282+(16*1000+231)/10000000)</f>
        <v/>
      </c>
      <c r="B4282" s="35" t="str">
        <f aca="false">IF(AND(IFERROR(N(INDEX(Clay_Brands!$A$2:$FZ$601,231,Sync!$D$12)),0)&gt;0,IFERROR(INDEX(Clay_Brands!$A$2:$FZ$601,231,Sync!$D$5)&amp;"","")&lt;&gt;"",OR(LEFT(IFERROR(INDEX(Clay_Brands!$A$2:$FZ$601,231,Sync!$D$5)&amp;"",""),6)&lt;&gt;"SAMPLE",Config!$B$19="Y")),IFERROR(N(INDEX(Clay_Brands!$A$2:$FZ$601,231,Sync!$D$12)),0),"")</f>
        <v/>
      </c>
      <c r="C4282" s="23" t="str">
        <f aca="false">IF(B4282="","","brand")</f>
        <v/>
      </c>
      <c r="D4282" s="23" t="str">
        <f aca="false">IF(B4282="","",IFERROR(INDEX(Brand_Log!$DV$2:$DV$201,MATCH(IFERROR(INDEX(Clay_Brands!$A$2:$FZ$601,231,Sync!$D$5)&amp;"",""),Brand_Log!$A$2:$A$201,0))&amp;"",IFERROR(INDEX(Clay_Brands!$A$2:$FZ$601,231,Sync!$D$5)&amp;"","")&amp;""))</f>
        <v/>
      </c>
      <c r="E4282" s="23" t="str">
        <f aca="false">IF(B4282="","",IFERROR(INDEX(Clay_Brands!$A$2:$FZ$601,231,Sync!$D$6)&amp;"",""))</f>
        <v/>
      </c>
      <c r="F4282" s="23" t="str">
        <f aca="false">IF(B4282="","","outreach_sent")</f>
        <v/>
      </c>
      <c r="G4282" s="23" t="str">
        <f aca="false">IF(B4282="","","")</f>
        <v/>
      </c>
      <c r="H4282" s="23" t="str">
        <f aca="false">IF(B4282="","","")</f>
        <v/>
      </c>
      <c r="I4282" s="23" t="str">
        <f aca="false">IF(B4282="","","")</f>
        <v/>
      </c>
      <c r="J4282" s="23" t="str">
        <f aca="false">IF(B4282="","","touch_2; "&amp;IFERROR(INDEX(Clay_Brands!$A$2:$FZ$601,231,Sync!$D$10)&amp;"","")&amp;"; "&amp;IFERROR(INDEX(Clay_Brands!$A$2:$FZ$601,231,Sync!$D$9)&amp;"",""))</f>
        <v/>
      </c>
      <c r="K4282" s="32" t="s">
        <v>1367</v>
      </c>
    </row>
    <row r="4283" customFormat="false" ht="15" hidden="false" customHeight="false" outlineLevel="0" collapsed="false">
      <c r="A4283" s="23" t="str">
        <f aca="false">IF(B4283="","",B4283+(16*1000+232)/10000000)</f>
        <v/>
      </c>
      <c r="B4283" s="35" t="str">
        <f aca="false">IF(AND(IFERROR(N(INDEX(Clay_Brands!$A$2:$FZ$601,232,Sync!$D$12)),0)&gt;0,IFERROR(INDEX(Clay_Brands!$A$2:$FZ$601,232,Sync!$D$5)&amp;"","")&lt;&gt;"",OR(LEFT(IFERROR(INDEX(Clay_Brands!$A$2:$FZ$601,232,Sync!$D$5)&amp;"",""),6)&lt;&gt;"SAMPLE",Config!$B$19="Y")),IFERROR(N(INDEX(Clay_Brands!$A$2:$FZ$601,232,Sync!$D$12)),0),"")</f>
        <v/>
      </c>
      <c r="C4283" s="23" t="str">
        <f aca="false">IF(B4283="","","brand")</f>
        <v/>
      </c>
      <c r="D4283" s="23" t="str">
        <f aca="false">IF(B4283="","",IFERROR(INDEX(Brand_Log!$DV$2:$DV$201,MATCH(IFERROR(INDEX(Clay_Brands!$A$2:$FZ$601,232,Sync!$D$5)&amp;"",""),Brand_Log!$A$2:$A$201,0))&amp;"",IFERROR(INDEX(Clay_Brands!$A$2:$FZ$601,232,Sync!$D$5)&amp;"","")&amp;""))</f>
        <v/>
      </c>
      <c r="E4283" s="23" t="str">
        <f aca="false">IF(B4283="","",IFERROR(INDEX(Clay_Brands!$A$2:$FZ$601,232,Sync!$D$6)&amp;"",""))</f>
        <v/>
      </c>
      <c r="F4283" s="23" t="str">
        <f aca="false">IF(B4283="","","outreach_sent")</f>
        <v/>
      </c>
      <c r="G4283" s="23" t="str">
        <f aca="false">IF(B4283="","","")</f>
        <v/>
      </c>
      <c r="H4283" s="23" t="str">
        <f aca="false">IF(B4283="","","")</f>
        <v/>
      </c>
      <c r="I4283" s="23" t="str">
        <f aca="false">IF(B4283="","","")</f>
        <v/>
      </c>
      <c r="J4283" s="23" t="str">
        <f aca="false">IF(B4283="","","touch_2; "&amp;IFERROR(INDEX(Clay_Brands!$A$2:$FZ$601,232,Sync!$D$10)&amp;"","")&amp;"; "&amp;IFERROR(INDEX(Clay_Brands!$A$2:$FZ$601,232,Sync!$D$9)&amp;"",""))</f>
        <v/>
      </c>
      <c r="K4283" s="32" t="s">
        <v>1367</v>
      </c>
    </row>
    <row r="4284" customFormat="false" ht="15" hidden="false" customHeight="false" outlineLevel="0" collapsed="false">
      <c r="A4284" s="23" t="str">
        <f aca="false">IF(B4284="","",B4284+(16*1000+233)/10000000)</f>
        <v/>
      </c>
      <c r="B4284" s="35" t="str">
        <f aca="false">IF(AND(IFERROR(N(INDEX(Clay_Brands!$A$2:$FZ$601,233,Sync!$D$12)),0)&gt;0,IFERROR(INDEX(Clay_Brands!$A$2:$FZ$601,233,Sync!$D$5)&amp;"","")&lt;&gt;"",OR(LEFT(IFERROR(INDEX(Clay_Brands!$A$2:$FZ$601,233,Sync!$D$5)&amp;"",""),6)&lt;&gt;"SAMPLE",Config!$B$19="Y")),IFERROR(N(INDEX(Clay_Brands!$A$2:$FZ$601,233,Sync!$D$12)),0),"")</f>
        <v/>
      </c>
      <c r="C4284" s="23" t="str">
        <f aca="false">IF(B4284="","","brand")</f>
        <v/>
      </c>
      <c r="D4284" s="23" t="str">
        <f aca="false">IF(B4284="","",IFERROR(INDEX(Brand_Log!$DV$2:$DV$201,MATCH(IFERROR(INDEX(Clay_Brands!$A$2:$FZ$601,233,Sync!$D$5)&amp;"",""),Brand_Log!$A$2:$A$201,0))&amp;"",IFERROR(INDEX(Clay_Brands!$A$2:$FZ$601,233,Sync!$D$5)&amp;"","")&amp;""))</f>
        <v/>
      </c>
      <c r="E4284" s="23" t="str">
        <f aca="false">IF(B4284="","",IFERROR(INDEX(Clay_Brands!$A$2:$FZ$601,233,Sync!$D$6)&amp;"",""))</f>
        <v/>
      </c>
      <c r="F4284" s="23" t="str">
        <f aca="false">IF(B4284="","","outreach_sent")</f>
        <v/>
      </c>
      <c r="G4284" s="23" t="str">
        <f aca="false">IF(B4284="","","")</f>
        <v/>
      </c>
      <c r="H4284" s="23" t="str">
        <f aca="false">IF(B4284="","","")</f>
        <v/>
      </c>
      <c r="I4284" s="23" t="str">
        <f aca="false">IF(B4284="","","")</f>
        <v/>
      </c>
      <c r="J4284" s="23" t="str">
        <f aca="false">IF(B4284="","","touch_2; "&amp;IFERROR(INDEX(Clay_Brands!$A$2:$FZ$601,233,Sync!$D$10)&amp;"","")&amp;"; "&amp;IFERROR(INDEX(Clay_Brands!$A$2:$FZ$601,233,Sync!$D$9)&amp;"",""))</f>
        <v/>
      </c>
      <c r="K4284" s="32" t="s">
        <v>1367</v>
      </c>
    </row>
    <row r="4285" customFormat="false" ht="15" hidden="false" customHeight="false" outlineLevel="0" collapsed="false">
      <c r="A4285" s="23" t="str">
        <f aca="false">IF(B4285="","",B4285+(16*1000+234)/10000000)</f>
        <v/>
      </c>
      <c r="B4285" s="35" t="str">
        <f aca="false">IF(AND(IFERROR(N(INDEX(Clay_Brands!$A$2:$FZ$601,234,Sync!$D$12)),0)&gt;0,IFERROR(INDEX(Clay_Brands!$A$2:$FZ$601,234,Sync!$D$5)&amp;"","")&lt;&gt;"",OR(LEFT(IFERROR(INDEX(Clay_Brands!$A$2:$FZ$601,234,Sync!$D$5)&amp;"",""),6)&lt;&gt;"SAMPLE",Config!$B$19="Y")),IFERROR(N(INDEX(Clay_Brands!$A$2:$FZ$601,234,Sync!$D$12)),0),"")</f>
        <v/>
      </c>
      <c r="C4285" s="23" t="str">
        <f aca="false">IF(B4285="","","brand")</f>
        <v/>
      </c>
      <c r="D4285" s="23" t="str">
        <f aca="false">IF(B4285="","",IFERROR(INDEX(Brand_Log!$DV$2:$DV$201,MATCH(IFERROR(INDEX(Clay_Brands!$A$2:$FZ$601,234,Sync!$D$5)&amp;"",""),Brand_Log!$A$2:$A$201,0))&amp;"",IFERROR(INDEX(Clay_Brands!$A$2:$FZ$601,234,Sync!$D$5)&amp;"","")&amp;""))</f>
        <v/>
      </c>
      <c r="E4285" s="23" t="str">
        <f aca="false">IF(B4285="","",IFERROR(INDEX(Clay_Brands!$A$2:$FZ$601,234,Sync!$D$6)&amp;"",""))</f>
        <v/>
      </c>
      <c r="F4285" s="23" t="str">
        <f aca="false">IF(B4285="","","outreach_sent")</f>
        <v/>
      </c>
      <c r="G4285" s="23" t="str">
        <f aca="false">IF(B4285="","","")</f>
        <v/>
      </c>
      <c r="H4285" s="23" t="str">
        <f aca="false">IF(B4285="","","")</f>
        <v/>
      </c>
      <c r="I4285" s="23" t="str">
        <f aca="false">IF(B4285="","","")</f>
        <v/>
      </c>
      <c r="J4285" s="23" t="str">
        <f aca="false">IF(B4285="","","touch_2; "&amp;IFERROR(INDEX(Clay_Brands!$A$2:$FZ$601,234,Sync!$D$10)&amp;"","")&amp;"; "&amp;IFERROR(INDEX(Clay_Brands!$A$2:$FZ$601,234,Sync!$D$9)&amp;"",""))</f>
        <v/>
      </c>
      <c r="K4285" s="32" t="s">
        <v>1367</v>
      </c>
    </row>
    <row r="4286" customFormat="false" ht="15" hidden="false" customHeight="false" outlineLevel="0" collapsed="false">
      <c r="A4286" s="23" t="str">
        <f aca="false">IF(B4286="","",B4286+(16*1000+235)/10000000)</f>
        <v/>
      </c>
      <c r="B4286" s="35" t="str">
        <f aca="false">IF(AND(IFERROR(N(INDEX(Clay_Brands!$A$2:$FZ$601,235,Sync!$D$12)),0)&gt;0,IFERROR(INDEX(Clay_Brands!$A$2:$FZ$601,235,Sync!$D$5)&amp;"","")&lt;&gt;"",OR(LEFT(IFERROR(INDEX(Clay_Brands!$A$2:$FZ$601,235,Sync!$D$5)&amp;"",""),6)&lt;&gt;"SAMPLE",Config!$B$19="Y")),IFERROR(N(INDEX(Clay_Brands!$A$2:$FZ$601,235,Sync!$D$12)),0),"")</f>
        <v/>
      </c>
      <c r="C4286" s="23" t="str">
        <f aca="false">IF(B4286="","","brand")</f>
        <v/>
      </c>
      <c r="D4286" s="23" t="str">
        <f aca="false">IF(B4286="","",IFERROR(INDEX(Brand_Log!$DV$2:$DV$201,MATCH(IFERROR(INDEX(Clay_Brands!$A$2:$FZ$601,235,Sync!$D$5)&amp;"",""),Brand_Log!$A$2:$A$201,0))&amp;"",IFERROR(INDEX(Clay_Brands!$A$2:$FZ$601,235,Sync!$D$5)&amp;"","")&amp;""))</f>
        <v/>
      </c>
      <c r="E4286" s="23" t="str">
        <f aca="false">IF(B4286="","",IFERROR(INDEX(Clay_Brands!$A$2:$FZ$601,235,Sync!$D$6)&amp;"",""))</f>
        <v/>
      </c>
      <c r="F4286" s="23" t="str">
        <f aca="false">IF(B4286="","","outreach_sent")</f>
        <v/>
      </c>
      <c r="G4286" s="23" t="str">
        <f aca="false">IF(B4286="","","")</f>
        <v/>
      </c>
      <c r="H4286" s="23" t="str">
        <f aca="false">IF(B4286="","","")</f>
        <v/>
      </c>
      <c r="I4286" s="23" t="str">
        <f aca="false">IF(B4286="","","")</f>
        <v/>
      </c>
      <c r="J4286" s="23" t="str">
        <f aca="false">IF(B4286="","","touch_2; "&amp;IFERROR(INDEX(Clay_Brands!$A$2:$FZ$601,235,Sync!$D$10)&amp;"","")&amp;"; "&amp;IFERROR(INDEX(Clay_Brands!$A$2:$FZ$601,235,Sync!$D$9)&amp;"",""))</f>
        <v/>
      </c>
      <c r="K4286" s="32" t="s">
        <v>1367</v>
      </c>
    </row>
    <row r="4287" customFormat="false" ht="15" hidden="false" customHeight="false" outlineLevel="0" collapsed="false">
      <c r="A4287" s="23" t="str">
        <f aca="false">IF(B4287="","",B4287+(16*1000+236)/10000000)</f>
        <v/>
      </c>
      <c r="B4287" s="35" t="str">
        <f aca="false">IF(AND(IFERROR(N(INDEX(Clay_Brands!$A$2:$FZ$601,236,Sync!$D$12)),0)&gt;0,IFERROR(INDEX(Clay_Brands!$A$2:$FZ$601,236,Sync!$D$5)&amp;"","")&lt;&gt;"",OR(LEFT(IFERROR(INDEX(Clay_Brands!$A$2:$FZ$601,236,Sync!$D$5)&amp;"",""),6)&lt;&gt;"SAMPLE",Config!$B$19="Y")),IFERROR(N(INDEX(Clay_Brands!$A$2:$FZ$601,236,Sync!$D$12)),0),"")</f>
        <v/>
      </c>
      <c r="C4287" s="23" t="str">
        <f aca="false">IF(B4287="","","brand")</f>
        <v/>
      </c>
      <c r="D4287" s="23" t="str">
        <f aca="false">IF(B4287="","",IFERROR(INDEX(Brand_Log!$DV$2:$DV$201,MATCH(IFERROR(INDEX(Clay_Brands!$A$2:$FZ$601,236,Sync!$D$5)&amp;"",""),Brand_Log!$A$2:$A$201,0))&amp;"",IFERROR(INDEX(Clay_Brands!$A$2:$FZ$601,236,Sync!$D$5)&amp;"","")&amp;""))</f>
        <v/>
      </c>
      <c r="E4287" s="23" t="str">
        <f aca="false">IF(B4287="","",IFERROR(INDEX(Clay_Brands!$A$2:$FZ$601,236,Sync!$D$6)&amp;"",""))</f>
        <v/>
      </c>
      <c r="F4287" s="23" t="str">
        <f aca="false">IF(B4287="","","outreach_sent")</f>
        <v/>
      </c>
      <c r="G4287" s="23" t="str">
        <f aca="false">IF(B4287="","","")</f>
        <v/>
      </c>
      <c r="H4287" s="23" t="str">
        <f aca="false">IF(B4287="","","")</f>
        <v/>
      </c>
      <c r="I4287" s="23" t="str">
        <f aca="false">IF(B4287="","","")</f>
        <v/>
      </c>
      <c r="J4287" s="23" t="str">
        <f aca="false">IF(B4287="","","touch_2; "&amp;IFERROR(INDEX(Clay_Brands!$A$2:$FZ$601,236,Sync!$D$10)&amp;"","")&amp;"; "&amp;IFERROR(INDEX(Clay_Brands!$A$2:$FZ$601,236,Sync!$D$9)&amp;"",""))</f>
        <v/>
      </c>
      <c r="K4287" s="32" t="s">
        <v>1367</v>
      </c>
    </row>
    <row r="4288" customFormat="false" ht="15" hidden="false" customHeight="false" outlineLevel="0" collapsed="false">
      <c r="A4288" s="23" t="str">
        <f aca="false">IF(B4288="","",B4288+(16*1000+237)/10000000)</f>
        <v/>
      </c>
      <c r="B4288" s="35" t="str">
        <f aca="false">IF(AND(IFERROR(N(INDEX(Clay_Brands!$A$2:$FZ$601,237,Sync!$D$12)),0)&gt;0,IFERROR(INDEX(Clay_Brands!$A$2:$FZ$601,237,Sync!$D$5)&amp;"","")&lt;&gt;"",OR(LEFT(IFERROR(INDEX(Clay_Brands!$A$2:$FZ$601,237,Sync!$D$5)&amp;"",""),6)&lt;&gt;"SAMPLE",Config!$B$19="Y")),IFERROR(N(INDEX(Clay_Brands!$A$2:$FZ$601,237,Sync!$D$12)),0),"")</f>
        <v/>
      </c>
      <c r="C4288" s="23" t="str">
        <f aca="false">IF(B4288="","","brand")</f>
        <v/>
      </c>
      <c r="D4288" s="23" t="str">
        <f aca="false">IF(B4288="","",IFERROR(INDEX(Brand_Log!$DV$2:$DV$201,MATCH(IFERROR(INDEX(Clay_Brands!$A$2:$FZ$601,237,Sync!$D$5)&amp;"",""),Brand_Log!$A$2:$A$201,0))&amp;"",IFERROR(INDEX(Clay_Brands!$A$2:$FZ$601,237,Sync!$D$5)&amp;"","")&amp;""))</f>
        <v/>
      </c>
      <c r="E4288" s="23" t="str">
        <f aca="false">IF(B4288="","",IFERROR(INDEX(Clay_Brands!$A$2:$FZ$601,237,Sync!$D$6)&amp;"",""))</f>
        <v/>
      </c>
      <c r="F4288" s="23" t="str">
        <f aca="false">IF(B4288="","","outreach_sent")</f>
        <v/>
      </c>
      <c r="G4288" s="23" t="str">
        <f aca="false">IF(B4288="","","")</f>
        <v/>
      </c>
      <c r="H4288" s="23" t="str">
        <f aca="false">IF(B4288="","","")</f>
        <v/>
      </c>
      <c r="I4288" s="23" t="str">
        <f aca="false">IF(B4288="","","")</f>
        <v/>
      </c>
      <c r="J4288" s="23" t="str">
        <f aca="false">IF(B4288="","","touch_2; "&amp;IFERROR(INDEX(Clay_Brands!$A$2:$FZ$601,237,Sync!$D$10)&amp;"","")&amp;"; "&amp;IFERROR(INDEX(Clay_Brands!$A$2:$FZ$601,237,Sync!$D$9)&amp;"",""))</f>
        <v/>
      </c>
      <c r="K4288" s="32" t="s">
        <v>1367</v>
      </c>
    </row>
    <row r="4289" customFormat="false" ht="15" hidden="false" customHeight="false" outlineLevel="0" collapsed="false">
      <c r="A4289" s="23" t="str">
        <f aca="false">IF(B4289="","",B4289+(16*1000+238)/10000000)</f>
        <v/>
      </c>
      <c r="B4289" s="35" t="str">
        <f aca="false">IF(AND(IFERROR(N(INDEX(Clay_Brands!$A$2:$FZ$601,238,Sync!$D$12)),0)&gt;0,IFERROR(INDEX(Clay_Brands!$A$2:$FZ$601,238,Sync!$D$5)&amp;"","")&lt;&gt;"",OR(LEFT(IFERROR(INDEX(Clay_Brands!$A$2:$FZ$601,238,Sync!$D$5)&amp;"",""),6)&lt;&gt;"SAMPLE",Config!$B$19="Y")),IFERROR(N(INDEX(Clay_Brands!$A$2:$FZ$601,238,Sync!$D$12)),0),"")</f>
        <v/>
      </c>
      <c r="C4289" s="23" t="str">
        <f aca="false">IF(B4289="","","brand")</f>
        <v/>
      </c>
      <c r="D4289" s="23" t="str">
        <f aca="false">IF(B4289="","",IFERROR(INDEX(Brand_Log!$DV$2:$DV$201,MATCH(IFERROR(INDEX(Clay_Brands!$A$2:$FZ$601,238,Sync!$D$5)&amp;"",""),Brand_Log!$A$2:$A$201,0))&amp;"",IFERROR(INDEX(Clay_Brands!$A$2:$FZ$601,238,Sync!$D$5)&amp;"","")&amp;""))</f>
        <v/>
      </c>
      <c r="E4289" s="23" t="str">
        <f aca="false">IF(B4289="","",IFERROR(INDEX(Clay_Brands!$A$2:$FZ$601,238,Sync!$D$6)&amp;"",""))</f>
        <v/>
      </c>
      <c r="F4289" s="23" t="str">
        <f aca="false">IF(B4289="","","outreach_sent")</f>
        <v/>
      </c>
      <c r="G4289" s="23" t="str">
        <f aca="false">IF(B4289="","","")</f>
        <v/>
      </c>
      <c r="H4289" s="23" t="str">
        <f aca="false">IF(B4289="","","")</f>
        <v/>
      </c>
      <c r="I4289" s="23" t="str">
        <f aca="false">IF(B4289="","","")</f>
        <v/>
      </c>
      <c r="J4289" s="23" t="str">
        <f aca="false">IF(B4289="","","touch_2; "&amp;IFERROR(INDEX(Clay_Brands!$A$2:$FZ$601,238,Sync!$D$10)&amp;"","")&amp;"; "&amp;IFERROR(INDEX(Clay_Brands!$A$2:$FZ$601,238,Sync!$D$9)&amp;"",""))</f>
        <v/>
      </c>
      <c r="K4289" s="32" t="s">
        <v>1367</v>
      </c>
    </row>
    <row r="4290" customFormat="false" ht="15" hidden="false" customHeight="false" outlineLevel="0" collapsed="false">
      <c r="A4290" s="23" t="str">
        <f aca="false">IF(B4290="","",B4290+(16*1000+239)/10000000)</f>
        <v/>
      </c>
      <c r="B4290" s="35" t="str">
        <f aca="false">IF(AND(IFERROR(N(INDEX(Clay_Brands!$A$2:$FZ$601,239,Sync!$D$12)),0)&gt;0,IFERROR(INDEX(Clay_Brands!$A$2:$FZ$601,239,Sync!$D$5)&amp;"","")&lt;&gt;"",OR(LEFT(IFERROR(INDEX(Clay_Brands!$A$2:$FZ$601,239,Sync!$D$5)&amp;"",""),6)&lt;&gt;"SAMPLE",Config!$B$19="Y")),IFERROR(N(INDEX(Clay_Brands!$A$2:$FZ$601,239,Sync!$D$12)),0),"")</f>
        <v/>
      </c>
      <c r="C4290" s="23" t="str">
        <f aca="false">IF(B4290="","","brand")</f>
        <v/>
      </c>
      <c r="D4290" s="23" t="str">
        <f aca="false">IF(B4290="","",IFERROR(INDEX(Brand_Log!$DV$2:$DV$201,MATCH(IFERROR(INDEX(Clay_Brands!$A$2:$FZ$601,239,Sync!$D$5)&amp;"",""),Brand_Log!$A$2:$A$201,0))&amp;"",IFERROR(INDEX(Clay_Brands!$A$2:$FZ$601,239,Sync!$D$5)&amp;"","")&amp;""))</f>
        <v/>
      </c>
      <c r="E4290" s="23" t="str">
        <f aca="false">IF(B4290="","",IFERROR(INDEX(Clay_Brands!$A$2:$FZ$601,239,Sync!$D$6)&amp;"",""))</f>
        <v/>
      </c>
      <c r="F4290" s="23" t="str">
        <f aca="false">IF(B4290="","","outreach_sent")</f>
        <v/>
      </c>
      <c r="G4290" s="23" t="str">
        <f aca="false">IF(B4290="","","")</f>
        <v/>
      </c>
      <c r="H4290" s="23" t="str">
        <f aca="false">IF(B4290="","","")</f>
        <v/>
      </c>
      <c r="I4290" s="23" t="str">
        <f aca="false">IF(B4290="","","")</f>
        <v/>
      </c>
      <c r="J4290" s="23" t="str">
        <f aca="false">IF(B4290="","","touch_2; "&amp;IFERROR(INDEX(Clay_Brands!$A$2:$FZ$601,239,Sync!$D$10)&amp;"","")&amp;"; "&amp;IFERROR(INDEX(Clay_Brands!$A$2:$FZ$601,239,Sync!$D$9)&amp;"",""))</f>
        <v/>
      </c>
      <c r="K4290" s="32" t="s">
        <v>1367</v>
      </c>
    </row>
    <row r="4291" customFormat="false" ht="15" hidden="false" customHeight="false" outlineLevel="0" collapsed="false">
      <c r="A4291" s="23" t="str">
        <f aca="false">IF(B4291="","",B4291+(16*1000+240)/10000000)</f>
        <v/>
      </c>
      <c r="B4291" s="35" t="str">
        <f aca="false">IF(AND(IFERROR(N(INDEX(Clay_Brands!$A$2:$FZ$601,240,Sync!$D$12)),0)&gt;0,IFERROR(INDEX(Clay_Brands!$A$2:$FZ$601,240,Sync!$D$5)&amp;"","")&lt;&gt;"",OR(LEFT(IFERROR(INDEX(Clay_Brands!$A$2:$FZ$601,240,Sync!$D$5)&amp;"",""),6)&lt;&gt;"SAMPLE",Config!$B$19="Y")),IFERROR(N(INDEX(Clay_Brands!$A$2:$FZ$601,240,Sync!$D$12)),0),"")</f>
        <v/>
      </c>
      <c r="C4291" s="23" t="str">
        <f aca="false">IF(B4291="","","brand")</f>
        <v/>
      </c>
      <c r="D4291" s="23" t="str">
        <f aca="false">IF(B4291="","",IFERROR(INDEX(Brand_Log!$DV$2:$DV$201,MATCH(IFERROR(INDEX(Clay_Brands!$A$2:$FZ$601,240,Sync!$D$5)&amp;"",""),Brand_Log!$A$2:$A$201,0))&amp;"",IFERROR(INDEX(Clay_Brands!$A$2:$FZ$601,240,Sync!$D$5)&amp;"","")&amp;""))</f>
        <v/>
      </c>
      <c r="E4291" s="23" t="str">
        <f aca="false">IF(B4291="","",IFERROR(INDEX(Clay_Brands!$A$2:$FZ$601,240,Sync!$D$6)&amp;"",""))</f>
        <v/>
      </c>
      <c r="F4291" s="23" t="str">
        <f aca="false">IF(B4291="","","outreach_sent")</f>
        <v/>
      </c>
      <c r="G4291" s="23" t="str">
        <f aca="false">IF(B4291="","","")</f>
        <v/>
      </c>
      <c r="H4291" s="23" t="str">
        <f aca="false">IF(B4291="","","")</f>
        <v/>
      </c>
      <c r="I4291" s="23" t="str">
        <f aca="false">IF(B4291="","","")</f>
        <v/>
      </c>
      <c r="J4291" s="23" t="str">
        <f aca="false">IF(B4291="","","touch_2; "&amp;IFERROR(INDEX(Clay_Brands!$A$2:$FZ$601,240,Sync!$D$10)&amp;"","")&amp;"; "&amp;IFERROR(INDEX(Clay_Brands!$A$2:$FZ$601,240,Sync!$D$9)&amp;"",""))</f>
        <v/>
      </c>
      <c r="K4291" s="32" t="s">
        <v>1367</v>
      </c>
    </row>
    <row r="4292" customFormat="false" ht="15" hidden="false" customHeight="false" outlineLevel="0" collapsed="false">
      <c r="A4292" s="23" t="str">
        <f aca="false">IF(B4292="","",B4292+(16*1000+241)/10000000)</f>
        <v/>
      </c>
      <c r="B4292" s="35" t="str">
        <f aca="false">IF(AND(IFERROR(N(INDEX(Clay_Brands!$A$2:$FZ$601,241,Sync!$D$12)),0)&gt;0,IFERROR(INDEX(Clay_Brands!$A$2:$FZ$601,241,Sync!$D$5)&amp;"","")&lt;&gt;"",OR(LEFT(IFERROR(INDEX(Clay_Brands!$A$2:$FZ$601,241,Sync!$D$5)&amp;"",""),6)&lt;&gt;"SAMPLE",Config!$B$19="Y")),IFERROR(N(INDEX(Clay_Brands!$A$2:$FZ$601,241,Sync!$D$12)),0),"")</f>
        <v/>
      </c>
      <c r="C4292" s="23" t="str">
        <f aca="false">IF(B4292="","","brand")</f>
        <v/>
      </c>
      <c r="D4292" s="23" t="str">
        <f aca="false">IF(B4292="","",IFERROR(INDEX(Brand_Log!$DV$2:$DV$201,MATCH(IFERROR(INDEX(Clay_Brands!$A$2:$FZ$601,241,Sync!$D$5)&amp;"",""),Brand_Log!$A$2:$A$201,0))&amp;"",IFERROR(INDEX(Clay_Brands!$A$2:$FZ$601,241,Sync!$D$5)&amp;"","")&amp;""))</f>
        <v/>
      </c>
      <c r="E4292" s="23" t="str">
        <f aca="false">IF(B4292="","",IFERROR(INDEX(Clay_Brands!$A$2:$FZ$601,241,Sync!$D$6)&amp;"",""))</f>
        <v/>
      </c>
      <c r="F4292" s="23" t="str">
        <f aca="false">IF(B4292="","","outreach_sent")</f>
        <v/>
      </c>
      <c r="G4292" s="23" t="str">
        <f aca="false">IF(B4292="","","")</f>
        <v/>
      </c>
      <c r="H4292" s="23" t="str">
        <f aca="false">IF(B4292="","","")</f>
        <v/>
      </c>
      <c r="I4292" s="23" t="str">
        <f aca="false">IF(B4292="","","")</f>
        <v/>
      </c>
      <c r="J4292" s="23" t="str">
        <f aca="false">IF(B4292="","","touch_2; "&amp;IFERROR(INDEX(Clay_Brands!$A$2:$FZ$601,241,Sync!$D$10)&amp;"","")&amp;"; "&amp;IFERROR(INDEX(Clay_Brands!$A$2:$FZ$601,241,Sync!$D$9)&amp;"",""))</f>
        <v/>
      </c>
      <c r="K4292" s="32" t="s">
        <v>1367</v>
      </c>
    </row>
    <row r="4293" customFormat="false" ht="15" hidden="false" customHeight="false" outlineLevel="0" collapsed="false">
      <c r="A4293" s="23" t="str">
        <f aca="false">IF(B4293="","",B4293+(16*1000+242)/10000000)</f>
        <v/>
      </c>
      <c r="B4293" s="35" t="str">
        <f aca="false">IF(AND(IFERROR(N(INDEX(Clay_Brands!$A$2:$FZ$601,242,Sync!$D$12)),0)&gt;0,IFERROR(INDEX(Clay_Brands!$A$2:$FZ$601,242,Sync!$D$5)&amp;"","")&lt;&gt;"",OR(LEFT(IFERROR(INDEX(Clay_Brands!$A$2:$FZ$601,242,Sync!$D$5)&amp;"",""),6)&lt;&gt;"SAMPLE",Config!$B$19="Y")),IFERROR(N(INDEX(Clay_Brands!$A$2:$FZ$601,242,Sync!$D$12)),0),"")</f>
        <v/>
      </c>
      <c r="C4293" s="23" t="str">
        <f aca="false">IF(B4293="","","brand")</f>
        <v/>
      </c>
      <c r="D4293" s="23" t="str">
        <f aca="false">IF(B4293="","",IFERROR(INDEX(Brand_Log!$DV$2:$DV$201,MATCH(IFERROR(INDEX(Clay_Brands!$A$2:$FZ$601,242,Sync!$D$5)&amp;"",""),Brand_Log!$A$2:$A$201,0))&amp;"",IFERROR(INDEX(Clay_Brands!$A$2:$FZ$601,242,Sync!$D$5)&amp;"","")&amp;""))</f>
        <v/>
      </c>
      <c r="E4293" s="23" t="str">
        <f aca="false">IF(B4293="","",IFERROR(INDEX(Clay_Brands!$A$2:$FZ$601,242,Sync!$D$6)&amp;"",""))</f>
        <v/>
      </c>
      <c r="F4293" s="23" t="str">
        <f aca="false">IF(B4293="","","outreach_sent")</f>
        <v/>
      </c>
      <c r="G4293" s="23" t="str">
        <f aca="false">IF(B4293="","","")</f>
        <v/>
      </c>
      <c r="H4293" s="23" t="str">
        <f aca="false">IF(B4293="","","")</f>
        <v/>
      </c>
      <c r="I4293" s="23" t="str">
        <f aca="false">IF(B4293="","","")</f>
        <v/>
      </c>
      <c r="J4293" s="23" t="str">
        <f aca="false">IF(B4293="","","touch_2; "&amp;IFERROR(INDEX(Clay_Brands!$A$2:$FZ$601,242,Sync!$D$10)&amp;"","")&amp;"; "&amp;IFERROR(INDEX(Clay_Brands!$A$2:$FZ$601,242,Sync!$D$9)&amp;"",""))</f>
        <v/>
      </c>
      <c r="K4293" s="32" t="s">
        <v>1367</v>
      </c>
    </row>
    <row r="4294" customFormat="false" ht="15" hidden="false" customHeight="false" outlineLevel="0" collapsed="false">
      <c r="A4294" s="23" t="str">
        <f aca="false">IF(B4294="","",B4294+(16*1000+243)/10000000)</f>
        <v/>
      </c>
      <c r="B4294" s="35" t="str">
        <f aca="false">IF(AND(IFERROR(N(INDEX(Clay_Brands!$A$2:$FZ$601,243,Sync!$D$12)),0)&gt;0,IFERROR(INDEX(Clay_Brands!$A$2:$FZ$601,243,Sync!$D$5)&amp;"","")&lt;&gt;"",OR(LEFT(IFERROR(INDEX(Clay_Brands!$A$2:$FZ$601,243,Sync!$D$5)&amp;"",""),6)&lt;&gt;"SAMPLE",Config!$B$19="Y")),IFERROR(N(INDEX(Clay_Brands!$A$2:$FZ$601,243,Sync!$D$12)),0),"")</f>
        <v/>
      </c>
      <c r="C4294" s="23" t="str">
        <f aca="false">IF(B4294="","","brand")</f>
        <v/>
      </c>
      <c r="D4294" s="23" t="str">
        <f aca="false">IF(B4294="","",IFERROR(INDEX(Brand_Log!$DV$2:$DV$201,MATCH(IFERROR(INDEX(Clay_Brands!$A$2:$FZ$601,243,Sync!$D$5)&amp;"",""),Brand_Log!$A$2:$A$201,0))&amp;"",IFERROR(INDEX(Clay_Brands!$A$2:$FZ$601,243,Sync!$D$5)&amp;"","")&amp;""))</f>
        <v/>
      </c>
      <c r="E4294" s="23" t="str">
        <f aca="false">IF(B4294="","",IFERROR(INDEX(Clay_Brands!$A$2:$FZ$601,243,Sync!$D$6)&amp;"",""))</f>
        <v/>
      </c>
      <c r="F4294" s="23" t="str">
        <f aca="false">IF(B4294="","","outreach_sent")</f>
        <v/>
      </c>
      <c r="G4294" s="23" t="str">
        <f aca="false">IF(B4294="","","")</f>
        <v/>
      </c>
      <c r="H4294" s="23" t="str">
        <f aca="false">IF(B4294="","","")</f>
        <v/>
      </c>
      <c r="I4294" s="23" t="str">
        <f aca="false">IF(B4294="","","")</f>
        <v/>
      </c>
      <c r="J4294" s="23" t="str">
        <f aca="false">IF(B4294="","","touch_2; "&amp;IFERROR(INDEX(Clay_Brands!$A$2:$FZ$601,243,Sync!$D$10)&amp;"","")&amp;"; "&amp;IFERROR(INDEX(Clay_Brands!$A$2:$FZ$601,243,Sync!$D$9)&amp;"",""))</f>
        <v/>
      </c>
      <c r="K4294" s="32" t="s">
        <v>1367</v>
      </c>
    </row>
    <row r="4295" customFormat="false" ht="15" hidden="false" customHeight="false" outlineLevel="0" collapsed="false">
      <c r="A4295" s="23" t="str">
        <f aca="false">IF(B4295="","",B4295+(16*1000+244)/10000000)</f>
        <v/>
      </c>
      <c r="B4295" s="35" t="str">
        <f aca="false">IF(AND(IFERROR(N(INDEX(Clay_Brands!$A$2:$FZ$601,244,Sync!$D$12)),0)&gt;0,IFERROR(INDEX(Clay_Brands!$A$2:$FZ$601,244,Sync!$D$5)&amp;"","")&lt;&gt;"",OR(LEFT(IFERROR(INDEX(Clay_Brands!$A$2:$FZ$601,244,Sync!$D$5)&amp;"",""),6)&lt;&gt;"SAMPLE",Config!$B$19="Y")),IFERROR(N(INDEX(Clay_Brands!$A$2:$FZ$601,244,Sync!$D$12)),0),"")</f>
        <v/>
      </c>
      <c r="C4295" s="23" t="str">
        <f aca="false">IF(B4295="","","brand")</f>
        <v/>
      </c>
      <c r="D4295" s="23" t="str">
        <f aca="false">IF(B4295="","",IFERROR(INDEX(Brand_Log!$DV$2:$DV$201,MATCH(IFERROR(INDEX(Clay_Brands!$A$2:$FZ$601,244,Sync!$D$5)&amp;"",""),Brand_Log!$A$2:$A$201,0))&amp;"",IFERROR(INDEX(Clay_Brands!$A$2:$FZ$601,244,Sync!$D$5)&amp;"","")&amp;""))</f>
        <v/>
      </c>
      <c r="E4295" s="23" t="str">
        <f aca="false">IF(B4295="","",IFERROR(INDEX(Clay_Brands!$A$2:$FZ$601,244,Sync!$D$6)&amp;"",""))</f>
        <v/>
      </c>
      <c r="F4295" s="23" t="str">
        <f aca="false">IF(B4295="","","outreach_sent")</f>
        <v/>
      </c>
      <c r="G4295" s="23" t="str">
        <f aca="false">IF(B4295="","","")</f>
        <v/>
      </c>
      <c r="H4295" s="23" t="str">
        <f aca="false">IF(B4295="","","")</f>
        <v/>
      </c>
      <c r="I4295" s="23" t="str">
        <f aca="false">IF(B4295="","","")</f>
        <v/>
      </c>
      <c r="J4295" s="23" t="str">
        <f aca="false">IF(B4295="","","touch_2; "&amp;IFERROR(INDEX(Clay_Brands!$A$2:$FZ$601,244,Sync!$D$10)&amp;"","")&amp;"; "&amp;IFERROR(INDEX(Clay_Brands!$A$2:$FZ$601,244,Sync!$D$9)&amp;"",""))</f>
        <v/>
      </c>
      <c r="K4295" s="32" t="s">
        <v>1367</v>
      </c>
    </row>
    <row r="4296" customFormat="false" ht="15" hidden="false" customHeight="false" outlineLevel="0" collapsed="false">
      <c r="A4296" s="23" t="str">
        <f aca="false">IF(B4296="","",B4296+(16*1000+245)/10000000)</f>
        <v/>
      </c>
      <c r="B4296" s="35" t="str">
        <f aca="false">IF(AND(IFERROR(N(INDEX(Clay_Brands!$A$2:$FZ$601,245,Sync!$D$12)),0)&gt;0,IFERROR(INDEX(Clay_Brands!$A$2:$FZ$601,245,Sync!$D$5)&amp;"","")&lt;&gt;"",OR(LEFT(IFERROR(INDEX(Clay_Brands!$A$2:$FZ$601,245,Sync!$D$5)&amp;"",""),6)&lt;&gt;"SAMPLE",Config!$B$19="Y")),IFERROR(N(INDEX(Clay_Brands!$A$2:$FZ$601,245,Sync!$D$12)),0),"")</f>
        <v/>
      </c>
      <c r="C4296" s="23" t="str">
        <f aca="false">IF(B4296="","","brand")</f>
        <v/>
      </c>
      <c r="D4296" s="23" t="str">
        <f aca="false">IF(B4296="","",IFERROR(INDEX(Brand_Log!$DV$2:$DV$201,MATCH(IFERROR(INDEX(Clay_Brands!$A$2:$FZ$601,245,Sync!$D$5)&amp;"",""),Brand_Log!$A$2:$A$201,0))&amp;"",IFERROR(INDEX(Clay_Brands!$A$2:$FZ$601,245,Sync!$D$5)&amp;"","")&amp;""))</f>
        <v/>
      </c>
      <c r="E4296" s="23" t="str">
        <f aca="false">IF(B4296="","",IFERROR(INDEX(Clay_Brands!$A$2:$FZ$601,245,Sync!$D$6)&amp;"",""))</f>
        <v/>
      </c>
      <c r="F4296" s="23" t="str">
        <f aca="false">IF(B4296="","","outreach_sent")</f>
        <v/>
      </c>
      <c r="G4296" s="23" t="str">
        <f aca="false">IF(B4296="","","")</f>
        <v/>
      </c>
      <c r="H4296" s="23" t="str">
        <f aca="false">IF(B4296="","","")</f>
        <v/>
      </c>
      <c r="I4296" s="23" t="str">
        <f aca="false">IF(B4296="","","")</f>
        <v/>
      </c>
      <c r="J4296" s="23" t="str">
        <f aca="false">IF(B4296="","","touch_2; "&amp;IFERROR(INDEX(Clay_Brands!$A$2:$FZ$601,245,Sync!$D$10)&amp;"","")&amp;"; "&amp;IFERROR(INDEX(Clay_Brands!$A$2:$FZ$601,245,Sync!$D$9)&amp;"",""))</f>
        <v/>
      </c>
      <c r="K4296" s="32" t="s">
        <v>1367</v>
      </c>
    </row>
    <row r="4297" customFormat="false" ht="15" hidden="false" customHeight="false" outlineLevel="0" collapsed="false">
      <c r="A4297" s="23" t="str">
        <f aca="false">IF(B4297="","",B4297+(16*1000+246)/10000000)</f>
        <v/>
      </c>
      <c r="B4297" s="35" t="str">
        <f aca="false">IF(AND(IFERROR(N(INDEX(Clay_Brands!$A$2:$FZ$601,246,Sync!$D$12)),0)&gt;0,IFERROR(INDEX(Clay_Brands!$A$2:$FZ$601,246,Sync!$D$5)&amp;"","")&lt;&gt;"",OR(LEFT(IFERROR(INDEX(Clay_Brands!$A$2:$FZ$601,246,Sync!$D$5)&amp;"",""),6)&lt;&gt;"SAMPLE",Config!$B$19="Y")),IFERROR(N(INDEX(Clay_Brands!$A$2:$FZ$601,246,Sync!$D$12)),0),"")</f>
        <v/>
      </c>
      <c r="C4297" s="23" t="str">
        <f aca="false">IF(B4297="","","brand")</f>
        <v/>
      </c>
      <c r="D4297" s="23" t="str">
        <f aca="false">IF(B4297="","",IFERROR(INDEX(Brand_Log!$DV$2:$DV$201,MATCH(IFERROR(INDEX(Clay_Brands!$A$2:$FZ$601,246,Sync!$D$5)&amp;"",""),Brand_Log!$A$2:$A$201,0))&amp;"",IFERROR(INDEX(Clay_Brands!$A$2:$FZ$601,246,Sync!$D$5)&amp;"","")&amp;""))</f>
        <v/>
      </c>
      <c r="E4297" s="23" t="str">
        <f aca="false">IF(B4297="","",IFERROR(INDEX(Clay_Brands!$A$2:$FZ$601,246,Sync!$D$6)&amp;"",""))</f>
        <v/>
      </c>
      <c r="F4297" s="23" t="str">
        <f aca="false">IF(B4297="","","outreach_sent")</f>
        <v/>
      </c>
      <c r="G4297" s="23" t="str">
        <f aca="false">IF(B4297="","","")</f>
        <v/>
      </c>
      <c r="H4297" s="23" t="str">
        <f aca="false">IF(B4297="","","")</f>
        <v/>
      </c>
      <c r="I4297" s="23" t="str">
        <f aca="false">IF(B4297="","","")</f>
        <v/>
      </c>
      <c r="J4297" s="23" t="str">
        <f aca="false">IF(B4297="","","touch_2; "&amp;IFERROR(INDEX(Clay_Brands!$A$2:$FZ$601,246,Sync!$D$10)&amp;"","")&amp;"; "&amp;IFERROR(INDEX(Clay_Brands!$A$2:$FZ$601,246,Sync!$D$9)&amp;"",""))</f>
        <v/>
      </c>
      <c r="K4297" s="32" t="s">
        <v>1367</v>
      </c>
    </row>
    <row r="4298" customFormat="false" ht="15" hidden="false" customHeight="false" outlineLevel="0" collapsed="false">
      <c r="A4298" s="23" t="str">
        <f aca="false">IF(B4298="","",B4298+(16*1000+247)/10000000)</f>
        <v/>
      </c>
      <c r="B4298" s="35" t="str">
        <f aca="false">IF(AND(IFERROR(N(INDEX(Clay_Brands!$A$2:$FZ$601,247,Sync!$D$12)),0)&gt;0,IFERROR(INDEX(Clay_Brands!$A$2:$FZ$601,247,Sync!$D$5)&amp;"","")&lt;&gt;"",OR(LEFT(IFERROR(INDEX(Clay_Brands!$A$2:$FZ$601,247,Sync!$D$5)&amp;"",""),6)&lt;&gt;"SAMPLE",Config!$B$19="Y")),IFERROR(N(INDEX(Clay_Brands!$A$2:$FZ$601,247,Sync!$D$12)),0),"")</f>
        <v/>
      </c>
      <c r="C4298" s="23" t="str">
        <f aca="false">IF(B4298="","","brand")</f>
        <v/>
      </c>
      <c r="D4298" s="23" t="str">
        <f aca="false">IF(B4298="","",IFERROR(INDEX(Brand_Log!$DV$2:$DV$201,MATCH(IFERROR(INDEX(Clay_Brands!$A$2:$FZ$601,247,Sync!$D$5)&amp;"",""),Brand_Log!$A$2:$A$201,0))&amp;"",IFERROR(INDEX(Clay_Brands!$A$2:$FZ$601,247,Sync!$D$5)&amp;"","")&amp;""))</f>
        <v/>
      </c>
      <c r="E4298" s="23" t="str">
        <f aca="false">IF(B4298="","",IFERROR(INDEX(Clay_Brands!$A$2:$FZ$601,247,Sync!$D$6)&amp;"",""))</f>
        <v/>
      </c>
      <c r="F4298" s="23" t="str">
        <f aca="false">IF(B4298="","","outreach_sent")</f>
        <v/>
      </c>
      <c r="G4298" s="23" t="str">
        <f aca="false">IF(B4298="","","")</f>
        <v/>
      </c>
      <c r="H4298" s="23" t="str">
        <f aca="false">IF(B4298="","","")</f>
        <v/>
      </c>
      <c r="I4298" s="23" t="str">
        <f aca="false">IF(B4298="","","")</f>
        <v/>
      </c>
      <c r="J4298" s="23" t="str">
        <f aca="false">IF(B4298="","","touch_2; "&amp;IFERROR(INDEX(Clay_Brands!$A$2:$FZ$601,247,Sync!$D$10)&amp;"","")&amp;"; "&amp;IFERROR(INDEX(Clay_Brands!$A$2:$FZ$601,247,Sync!$D$9)&amp;"",""))</f>
        <v/>
      </c>
      <c r="K4298" s="32" t="s">
        <v>1367</v>
      </c>
    </row>
    <row r="4299" customFormat="false" ht="15" hidden="false" customHeight="false" outlineLevel="0" collapsed="false">
      <c r="A4299" s="23" t="str">
        <f aca="false">IF(B4299="","",B4299+(16*1000+248)/10000000)</f>
        <v/>
      </c>
      <c r="B4299" s="35" t="str">
        <f aca="false">IF(AND(IFERROR(N(INDEX(Clay_Brands!$A$2:$FZ$601,248,Sync!$D$12)),0)&gt;0,IFERROR(INDEX(Clay_Brands!$A$2:$FZ$601,248,Sync!$D$5)&amp;"","")&lt;&gt;"",OR(LEFT(IFERROR(INDEX(Clay_Brands!$A$2:$FZ$601,248,Sync!$D$5)&amp;"",""),6)&lt;&gt;"SAMPLE",Config!$B$19="Y")),IFERROR(N(INDEX(Clay_Brands!$A$2:$FZ$601,248,Sync!$D$12)),0),"")</f>
        <v/>
      </c>
      <c r="C4299" s="23" t="str">
        <f aca="false">IF(B4299="","","brand")</f>
        <v/>
      </c>
      <c r="D4299" s="23" t="str">
        <f aca="false">IF(B4299="","",IFERROR(INDEX(Brand_Log!$DV$2:$DV$201,MATCH(IFERROR(INDEX(Clay_Brands!$A$2:$FZ$601,248,Sync!$D$5)&amp;"",""),Brand_Log!$A$2:$A$201,0))&amp;"",IFERROR(INDEX(Clay_Brands!$A$2:$FZ$601,248,Sync!$D$5)&amp;"","")&amp;""))</f>
        <v/>
      </c>
      <c r="E4299" s="23" t="str">
        <f aca="false">IF(B4299="","",IFERROR(INDEX(Clay_Brands!$A$2:$FZ$601,248,Sync!$D$6)&amp;"",""))</f>
        <v/>
      </c>
      <c r="F4299" s="23" t="str">
        <f aca="false">IF(B4299="","","outreach_sent")</f>
        <v/>
      </c>
      <c r="G4299" s="23" t="str">
        <f aca="false">IF(B4299="","","")</f>
        <v/>
      </c>
      <c r="H4299" s="23" t="str">
        <f aca="false">IF(B4299="","","")</f>
        <v/>
      </c>
      <c r="I4299" s="23" t="str">
        <f aca="false">IF(B4299="","","")</f>
        <v/>
      </c>
      <c r="J4299" s="23" t="str">
        <f aca="false">IF(B4299="","","touch_2; "&amp;IFERROR(INDEX(Clay_Brands!$A$2:$FZ$601,248,Sync!$D$10)&amp;"","")&amp;"; "&amp;IFERROR(INDEX(Clay_Brands!$A$2:$FZ$601,248,Sync!$D$9)&amp;"",""))</f>
        <v/>
      </c>
      <c r="K4299" s="32" t="s">
        <v>1367</v>
      </c>
    </row>
    <row r="4300" customFormat="false" ht="15" hidden="false" customHeight="false" outlineLevel="0" collapsed="false">
      <c r="A4300" s="23" t="str">
        <f aca="false">IF(B4300="","",B4300+(16*1000+249)/10000000)</f>
        <v/>
      </c>
      <c r="B4300" s="35" t="str">
        <f aca="false">IF(AND(IFERROR(N(INDEX(Clay_Brands!$A$2:$FZ$601,249,Sync!$D$12)),0)&gt;0,IFERROR(INDEX(Clay_Brands!$A$2:$FZ$601,249,Sync!$D$5)&amp;"","")&lt;&gt;"",OR(LEFT(IFERROR(INDEX(Clay_Brands!$A$2:$FZ$601,249,Sync!$D$5)&amp;"",""),6)&lt;&gt;"SAMPLE",Config!$B$19="Y")),IFERROR(N(INDEX(Clay_Brands!$A$2:$FZ$601,249,Sync!$D$12)),0),"")</f>
        <v/>
      </c>
      <c r="C4300" s="23" t="str">
        <f aca="false">IF(B4300="","","brand")</f>
        <v/>
      </c>
      <c r="D4300" s="23" t="str">
        <f aca="false">IF(B4300="","",IFERROR(INDEX(Brand_Log!$DV$2:$DV$201,MATCH(IFERROR(INDEX(Clay_Brands!$A$2:$FZ$601,249,Sync!$D$5)&amp;"",""),Brand_Log!$A$2:$A$201,0))&amp;"",IFERROR(INDEX(Clay_Brands!$A$2:$FZ$601,249,Sync!$D$5)&amp;"","")&amp;""))</f>
        <v/>
      </c>
      <c r="E4300" s="23" t="str">
        <f aca="false">IF(B4300="","",IFERROR(INDEX(Clay_Brands!$A$2:$FZ$601,249,Sync!$D$6)&amp;"",""))</f>
        <v/>
      </c>
      <c r="F4300" s="23" t="str">
        <f aca="false">IF(B4300="","","outreach_sent")</f>
        <v/>
      </c>
      <c r="G4300" s="23" t="str">
        <f aca="false">IF(B4300="","","")</f>
        <v/>
      </c>
      <c r="H4300" s="23" t="str">
        <f aca="false">IF(B4300="","","")</f>
        <v/>
      </c>
      <c r="I4300" s="23" t="str">
        <f aca="false">IF(B4300="","","")</f>
        <v/>
      </c>
      <c r="J4300" s="23" t="str">
        <f aca="false">IF(B4300="","","touch_2; "&amp;IFERROR(INDEX(Clay_Brands!$A$2:$FZ$601,249,Sync!$D$10)&amp;"","")&amp;"; "&amp;IFERROR(INDEX(Clay_Brands!$A$2:$FZ$601,249,Sync!$D$9)&amp;"",""))</f>
        <v/>
      </c>
      <c r="K4300" s="32" t="s">
        <v>1367</v>
      </c>
    </row>
    <row r="4301" customFormat="false" ht="15" hidden="false" customHeight="false" outlineLevel="0" collapsed="false">
      <c r="A4301" s="23" t="str">
        <f aca="false">IF(B4301="","",B4301+(16*1000+250)/10000000)</f>
        <v/>
      </c>
      <c r="B4301" s="35" t="str">
        <f aca="false">IF(AND(IFERROR(N(INDEX(Clay_Brands!$A$2:$FZ$601,250,Sync!$D$12)),0)&gt;0,IFERROR(INDEX(Clay_Brands!$A$2:$FZ$601,250,Sync!$D$5)&amp;"","")&lt;&gt;"",OR(LEFT(IFERROR(INDEX(Clay_Brands!$A$2:$FZ$601,250,Sync!$D$5)&amp;"",""),6)&lt;&gt;"SAMPLE",Config!$B$19="Y")),IFERROR(N(INDEX(Clay_Brands!$A$2:$FZ$601,250,Sync!$D$12)),0),"")</f>
        <v/>
      </c>
      <c r="C4301" s="23" t="str">
        <f aca="false">IF(B4301="","","brand")</f>
        <v/>
      </c>
      <c r="D4301" s="23" t="str">
        <f aca="false">IF(B4301="","",IFERROR(INDEX(Brand_Log!$DV$2:$DV$201,MATCH(IFERROR(INDEX(Clay_Brands!$A$2:$FZ$601,250,Sync!$D$5)&amp;"",""),Brand_Log!$A$2:$A$201,0))&amp;"",IFERROR(INDEX(Clay_Brands!$A$2:$FZ$601,250,Sync!$D$5)&amp;"","")&amp;""))</f>
        <v/>
      </c>
      <c r="E4301" s="23" t="str">
        <f aca="false">IF(B4301="","",IFERROR(INDEX(Clay_Brands!$A$2:$FZ$601,250,Sync!$D$6)&amp;"",""))</f>
        <v/>
      </c>
      <c r="F4301" s="23" t="str">
        <f aca="false">IF(B4301="","","outreach_sent")</f>
        <v/>
      </c>
      <c r="G4301" s="23" t="str">
        <f aca="false">IF(B4301="","","")</f>
        <v/>
      </c>
      <c r="H4301" s="23" t="str">
        <f aca="false">IF(B4301="","","")</f>
        <v/>
      </c>
      <c r="I4301" s="23" t="str">
        <f aca="false">IF(B4301="","","")</f>
        <v/>
      </c>
      <c r="J4301" s="23" t="str">
        <f aca="false">IF(B4301="","","touch_2; "&amp;IFERROR(INDEX(Clay_Brands!$A$2:$FZ$601,250,Sync!$D$10)&amp;"","")&amp;"; "&amp;IFERROR(INDEX(Clay_Brands!$A$2:$FZ$601,250,Sync!$D$9)&amp;"",""))</f>
        <v/>
      </c>
      <c r="K4301" s="32" t="s">
        <v>1367</v>
      </c>
    </row>
    <row r="4302" customFormat="false" ht="15" hidden="false" customHeight="false" outlineLevel="0" collapsed="false">
      <c r="A4302" s="23" t="str">
        <f aca="false">IF(B4302="","",B4302+(16*1000+251)/10000000)</f>
        <v/>
      </c>
      <c r="B4302" s="35" t="str">
        <f aca="false">IF(AND(IFERROR(N(INDEX(Clay_Brands!$A$2:$FZ$601,251,Sync!$D$12)),0)&gt;0,IFERROR(INDEX(Clay_Brands!$A$2:$FZ$601,251,Sync!$D$5)&amp;"","")&lt;&gt;"",OR(LEFT(IFERROR(INDEX(Clay_Brands!$A$2:$FZ$601,251,Sync!$D$5)&amp;"",""),6)&lt;&gt;"SAMPLE",Config!$B$19="Y")),IFERROR(N(INDEX(Clay_Brands!$A$2:$FZ$601,251,Sync!$D$12)),0),"")</f>
        <v/>
      </c>
      <c r="C4302" s="23" t="str">
        <f aca="false">IF(B4302="","","brand")</f>
        <v/>
      </c>
      <c r="D4302" s="23" t="str">
        <f aca="false">IF(B4302="","",IFERROR(INDEX(Brand_Log!$DV$2:$DV$201,MATCH(IFERROR(INDEX(Clay_Brands!$A$2:$FZ$601,251,Sync!$D$5)&amp;"",""),Brand_Log!$A$2:$A$201,0))&amp;"",IFERROR(INDEX(Clay_Brands!$A$2:$FZ$601,251,Sync!$D$5)&amp;"","")&amp;""))</f>
        <v/>
      </c>
      <c r="E4302" s="23" t="str">
        <f aca="false">IF(B4302="","",IFERROR(INDEX(Clay_Brands!$A$2:$FZ$601,251,Sync!$D$6)&amp;"",""))</f>
        <v/>
      </c>
      <c r="F4302" s="23" t="str">
        <f aca="false">IF(B4302="","","outreach_sent")</f>
        <v/>
      </c>
      <c r="G4302" s="23" t="str">
        <f aca="false">IF(B4302="","","")</f>
        <v/>
      </c>
      <c r="H4302" s="23" t="str">
        <f aca="false">IF(B4302="","","")</f>
        <v/>
      </c>
      <c r="I4302" s="23" t="str">
        <f aca="false">IF(B4302="","","")</f>
        <v/>
      </c>
      <c r="J4302" s="23" t="str">
        <f aca="false">IF(B4302="","","touch_2; "&amp;IFERROR(INDEX(Clay_Brands!$A$2:$FZ$601,251,Sync!$D$10)&amp;"","")&amp;"; "&amp;IFERROR(INDEX(Clay_Brands!$A$2:$FZ$601,251,Sync!$D$9)&amp;"",""))</f>
        <v/>
      </c>
      <c r="K4302" s="32" t="s">
        <v>1367</v>
      </c>
    </row>
    <row r="4303" customFormat="false" ht="15" hidden="false" customHeight="false" outlineLevel="0" collapsed="false">
      <c r="A4303" s="23" t="str">
        <f aca="false">IF(B4303="","",B4303+(16*1000+252)/10000000)</f>
        <v/>
      </c>
      <c r="B4303" s="35" t="str">
        <f aca="false">IF(AND(IFERROR(N(INDEX(Clay_Brands!$A$2:$FZ$601,252,Sync!$D$12)),0)&gt;0,IFERROR(INDEX(Clay_Brands!$A$2:$FZ$601,252,Sync!$D$5)&amp;"","")&lt;&gt;"",OR(LEFT(IFERROR(INDEX(Clay_Brands!$A$2:$FZ$601,252,Sync!$D$5)&amp;"",""),6)&lt;&gt;"SAMPLE",Config!$B$19="Y")),IFERROR(N(INDEX(Clay_Brands!$A$2:$FZ$601,252,Sync!$D$12)),0),"")</f>
        <v/>
      </c>
      <c r="C4303" s="23" t="str">
        <f aca="false">IF(B4303="","","brand")</f>
        <v/>
      </c>
      <c r="D4303" s="23" t="str">
        <f aca="false">IF(B4303="","",IFERROR(INDEX(Brand_Log!$DV$2:$DV$201,MATCH(IFERROR(INDEX(Clay_Brands!$A$2:$FZ$601,252,Sync!$D$5)&amp;"",""),Brand_Log!$A$2:$A$201,0))&amp;"",IFERROR(INDEX(Clay_Brands!$A$2:$FZ$601,252,Sync!$D$5)&amp;"","")&amp;""))</f>
        <v/>
      </c>
      <c r="E4303" s="23" t="str">
        <f aca="false">IF(B4303="","",IFERROR(INDEX(Clay_Brands!$A$2:$FZ$601,252,Sync!$D$6)&amp;"",""))</f>
        <v/>
      </c>
      <c r="F4303" s="23" t="str">
        <f aca="false">IF(B4303="","","outreach_sent")</f>
        <v/>
      </c>
      <c r="G4303" s="23" t="str">
        <f aca="false">IF(B4303="","","")</f>
        <v/>
      </c>
      <c r="H4303" s="23" t="str">
        <f aca="false">IF(B4303="","","")</f>
        <v/>
      </c>
      <c r="I4303" s="23" t="str">
        <f aca="false">IF(B4303="","","")</f>
        <v/>
      </c>
      <c r="J4303" s="23" t="str">
        <f aca="false">IF(B4303="","","touch_2; "&amp;IFERROR(INDEX(Clay_Brands!$A$2:$FZ$601,252,Sync!$D$10)&amp;"","")&amp;"; "&amp;IFERROR(INDEX(Clay_Brands!$A$2:$FZ$601,252,Sync!$D$9)&amp;"",""))</f>
        <v/>
      </c>
      <c r="K4303" s="32" t="s">
        <v>1367</v>
      </c>
    </row>
    <row r="4304" customFormat="false" ht="15" hidden="false" customHeight="false" outlineLevel="0" collapsed="false">
      <c r="A4304" s="23" t="str">
        <f aca="false">IF(B4304="","",B4304+(16*1000+253)/10000000)</f>
        <v/>
      </c>
      <c r="B4304" s="35" t="str">
        <f aca="false">IF(AND(IFERROR(N(INDEX(Clay_Brands!$A$2:$FZ$601,253,Sync!$D$12)),0)&gt;0,IFERROR(INDEX(Clay_Brands!$A$2:$FZ$601,253,Sync!$D$5)&amp;"","")&lt;&gt;"",OR(LEFT(IFERROR(INDEX(Clay_Brands!$A$2:$FZ$601,253,Sync!$D$5)&amp;"",""),6)&lt;&gt;"SAMPLE",Config!$B$19="Y")),IFERROR(N(INDEX(Clay_Brands!$A$2:$FZ$601,253,Sync!$D$12)),0),"")</f>
        <v/>
      </c>
      <c r="C4304" s="23" t="str">
        <f aca="false">IF(B4304="","","brand")</f>
        <v/>
      </c>
      <c r="D4304" s="23" t="str">
        <f aca="false">IF(B4304="","",IFERROR(INDEX(Brand_Log!$DV$2:$DV$201,MATCH(IFERROR(INDEX(Clay_Brands!$A$2:$FZ$601,253,Sync!$D$5)&amp;"",""),Brand_Log!$A$2:$A$201,0))&amp;"",IFERROR(INDEX(Clay_Brands!$A$2:$FZ$601,253,Sync!$D$5)&amp;"","")&amp;""))</f>
        <v/>
      </c>
      <c r="E4304" s="23" t="str">
        <f aca="false">IF(B4304="","",IFERROR(INDEX(Clay_Brands!$A$2:$FZ$601,253,Sync!$D$6)&amp;"",""))</f>
        <v/>
      </c>
      <c r="F4304" s="23" t="str">
        <f aca="false">IF(B4304="","","outreach_sent")</f>
        <v/>
      </c>
      <c r="G4304" s="23" t="str">
        <f aca="false">IF(B4304="","","")</f>
        <v/>
      </c>
      <c r="H4304" s="23" t="str">
        <f aca="false">IF(B4304="","","")</f>
        <v/>
      </c>
      <c r="I4304" s="23" t="str">
        <f aca="false">IF(B4304="","","")</f>
        <v/>
      </c>
      <c r="J4304" s="23" t="str">
        <f aca="false">IF(B4304="","","touch_2; "&amp;IFERROR(INDEX(Clay_Brands!$A$2:$FZ$601,253,Sync!$D$10)&amp;"","")&amp;"; "&amp;IFERROR(INDEX(Clay_Brands!$A$2:$FZ$601,253,Sync!$D$9)&amp;"",""))</f>
        <v/>
      </c>
      <c r="K4304" s="32" t="s">
        <v>1367</v>
      </c>
    </row>
    <row r="4305" customFormat="false" ht="15" hidden="false" customHeight="false" outlineLevel="0" collapsed="false">
      <c r="A4305" s="23" t="str">
        <f aca="false">IF(B4305="","",B4305+(16*1000+254)/10000000)</f>
        <v/>
      </c>
      <c r="B4305" s="35" t="str">
        <f aca="false">IF(AND(IFERROR(N(INDEX(Clay_Brands!$A$2:$FZ$601,254,Sync!$D$12)),0)&gt;0,IFERROR(INDEX(Clay_Brands!$A$2:$FZ$601,254,Sync!$D$5)&amp;"","")&lt;&gt;"",OR(LEFT(IFERROR(INDEX(Clay_Brands!$A$2:$FZ$601,254,Sync!$D$5)&amp;"",""),6)&lt;&gt;"SAMPLE",Config!$B$19="Y")),IFERROR(N(INDEX(Clay_Brands!$A$2:$FZ$601,254,Sync!$D$12)),0),"")</f>
        <v/>
      </c>
      <c r="C4305" s="23" t="str">
        <f aca="false">IF(B4305="","","brand")</f>
        <v/>
      </c>
      <c r="D4305" s="23" t="str">
        <f aca="false">IF(B4305="","",IFERROR(INDEX(Brand_Log!$DV$2:$DV$201,MATCH(IFERROR(INDEX(Clay_Brands!$A$2:$FZ$601,254,Sync!$D$5)&amp;"",""),Brand_Log!$A$2:$A$201,0))&amp;"",IFERROR(INDEX(Clay_Brands!$A$2:$FZ$601,254,Sync!$D$5)&amp;"","")&amp;""))</f>
        <v/>
      </c>
      <c r="E4305" s="23" t="str">
        <f aca="false">IF(B4305="","",IFERROR(INDEX(Clay_Brands!$A$2:$FZ$601,254,Sync!$D$6)&amp;"",""))</f>
        <v/>
      </c>
      <c r="F4305" s="23" t="str">
        <f aca="false">IF(B4305="","","outreach_sent")</f>
        <v/>
      </c>
      <c r="G4305" s="23" t="str">
        <f aca="false">IF(B4305="","","")</f>
        <v/>
      </c>
      <c r="H4305" s="23" t="str">
        <f aca="false">IF(B4305="","","")</f>
        <v/>
      </c>
      <c r="I4305" s="23" t="str">
        <f aca="false">IF(B4305="","","")</f>
        <v/>
      </c>
      <c r="J4305" s="23" t="str">
        <f aca="false">IF(B4305="","","touch_2; "&amp;IFERROR(INDEX(Clay_Brands!$A$2:$FZ$601,254,Sync!$D$10)&amp;"","")&amp;"; "&amp;IFERROR(INDEX(Clay_Brands!$A$2:$FZ$601,254,Sync!$D$9)&amp;"",""))</f>
        <v/>
      </c>
      <c r="K4305" s="32" t="s">
        <v>1367</v>
      </c>
    </row>
    <row r="4306" customFormat="false" ht="15" hidden="false" customHeight="false" outlineLevel="0" collapsed="false">
      <c r="A4306" s="23" t="str">
        <f aca="false">IF(B4306="","",B4306+(16*1000+255)/10000000)</f>
        <v/>
      </c>
      <c r="B4306" s="35" t="str">
        <f aca="false">IF(AND(IFERROR(N(INDEX(Clay_Brands!$A$2:$FZ$601,255,Sync!$D$12)),0)&gt;0,IFERROR(INDEX(Clay_Brands!$A$2:$FZ$601,255,Sync!$D$5)&amp;"","")&lt;&gt;"",OR(LEFT(IFERROR(INDEX(Clay_Brands!$A$2:$FZ$601,255,Sync!$D$5)&amp;"",""),6)&lt;&gt;"SAMPLE",Config!$B$19="Y")),IFERROR(N(INDEX(Clay_Brands!$A$2:$FZ$601,255,Sync!$D$12)),0),"")</f>
        <v/>
      </c>
      <c r="C4306" s="23" t="str">
        <f aca="false">IF(B4306="","","brand")</f>
        <v/>
      </c>
      <c r="D4306" s="23" t="str">
        <f aca="false">IF(B4306="","",IFERROR(INDEX(Brand_Log!$DV$2:$DV$201,MATCH(IFERROR(INDEX(Clay_Brands!$A$2:$FZ$601,255,Sync!$D$5)&amp;"",""),Brand_Log!$A$2:$A$201,0))&amp;"",IFERROR(INDEX(Clay_Brands!$A$2:$FZ$601,255,Sync!$D$5)&amp;"","")&amp;""))</f>
        <v/>
      </c>
      <c r="E4306" s="23" t="str">
        <f aca="false">IF(B4306="","",IFERROR(INDEX(Clay_Brands!$A$2:$FZ$601,255,Sync!$D$6)&amp;"",""))</f>
        <v/>
      </c>
      <c r="F4306" s="23" t="str">
        <f aca="false">IF(B4306="","","outreach_sent")</f>
        <v/>
      </c>
      <c r="G4306" s="23" t="str">
        <f aca="false">IF(B4306="","","")</f>
        <v/>
      </c>
      <c r="H4306" s="23" t="str">
        <f aca="false">IF(B4306="","","")</f>
        <v/>
      </c>
      <c r="I4306" s="23" t="str">
        <f aca="false">IF(B4306="","","")</f>
        <v/>
      </c>
      <c r="J4306" s="23" t="str">
        <f aca="false">IF(B4306="","","touch_2; "&amp;IFERROR(INDEX(Clay_Brands!$A$2:$FZ$601,255,Sync!$D$10)&amp;"","")&amp;"; "&amp;IFERROR(INDEX(Clay_Brands!$A$2:$FZ$601,255,Sync!$D$9)&amp;"",""))</f>
        <v/>
      </c>
      <c r="K4306" s="32" t="s">
        <v>1367</v>
      </c>
    </row>
    <row r="4307" customFormat="false" ht="15" hidden="false" customHeight="false" outlineLevel="0" collapsed="false">
      <c r="A4307" s="23" t="str">
        <f aca="false">IF(B4307="","",B4307+(16*1000+256)/10000000)</f>
        <v/>
      </c>
      <c r="B4307" s="35" t="str">
        <f aca="false">IF(AND(IFERROR(N(INDEX(Clay_Brands!$A$2:$FZ$601,256,Sync!$D$12)),0)&gt;0,IFERROR(INDEX(Clay_Brands!$A$2:$FZ$601,256,Sync!$D$5)&amp;"","")&lt;&gt;"",OR(LEFT(IFERROR(INDEX(Clay_Brands!$A$2:$FZ$601,256,Sync!$D$5)&amp;"",""),6)&lt;&gt;"SAMPLE",Config!$B$19="Y")),IFERROR(N(INDEX(Clay_Brands!$A$2:$FZ$601,256,Sync!$D$12)),0),"")</f>
        <v/>
      </c>
      <c r="C4307" s="23" t="str">
        <f aca="false">IF(B4307="","","brand")</f>
        <v/>
      </c>
      <c r="D4307" s="23" t="str">
        <f aca="false">IF(B4307="","",IFERROR(INDEX(Brand_Log!$DV$2:$DV$201,MATCH(IFERROR(INDEX(Clay_Brands!$A$2:$FZ$601,256,Sync!$D$5)&amp;"",""),Brand_Log!$A$2:$A$201,0))&amp;"",IFERROR(INDEX(Clay_Brands!$A$2:$FZ$601,256,Sync!$D$5)&amp;"","")&amp;""))</f>
        <v/>
      </c>
      <c r="E4307" s="23" t="str">
        <f aca="false">IF(B4307="","",IFERROR(INDEX(Clay_Brands!$A$2:$FZ$601,256,Sync!$D$6)&amp;"",""))</f>
        <v/>
      </c>
      <c r="F4307" s="23" t="str">
        <f aca="false">IF(B4307="","","outreach_sent")</f>
        <v/>
      </c>
      <c r="G4307" s="23" t="str">
        <f aca="false">IF(B4307="","","")</f>
        <v/>
      </c>
      <c r="H4307" s="23" t="str">
        <f aca="false">IF(B4307="","","")</f>
        <v/>
      </c>
      <c r="I4307" s="23" t="str">
        <f aca="false">IF(B4307="","","")</f>
        <v/>
      </c>
      <c r="J4307" s="23" t="str">
        <f aca="false">IF(B4307="","","touch_2; "&amp;IFERROR(INDEX(Clay_Brands!$A$2:$FZ$601,256,Sync!$D$10)&amp;"","")&amp;"; "&amp;IFERROR(INDEX(Clay_Brands!$A$2:$FZ$601,256,Sync!$D$9)&amp;"",""))</f>
        <v/>
      </c>
      <c r="K4307" s="32" t="s">
        <v>1367</v>
      </c>
    </row>
    <row r="4308" customFormat="false" ht="15" hidden="false" customHeight="false" outlineLevel="0" collapsed="false">
      <c r="A4308" s="23" t="str">
        <f aca="false">IF(B4308="","",B4308+(16*1000+257)/10000000)</f>
        <v/>
      </c>
      <c r="B4308" s="35" t="str">
        <f aca="false">IF(AND(IFERROR(N(INDEX(Clay_Brands!$A$2:$FZ$601,257,Sync!$D$12)),0)&gt;0,IFERROR(INDEX(Clay_Brands!$A$2:$FZ$601,257,Sync!$D$5)&amp;"","")&lt;&gt;"",OR(LEFT(IFERROR(INDEX(Clay_Brands!$A$2:$FZ$601,257,Sync!$D$5)&amp;"",""),6)&lt;&gt;"SAMPLE",Config!$B$19="Y")),IFERROR(N(INDEX(Clay_Brands!$A$2:$FZ$601,257,Sync!$D$12)),0),"")</f>
        <v/>
      </c>
      <c r="C4308" s="23" t="str">
        <f aca="false">IF(B4308="","","brand")</f>
        <v/>
      </c>
      <c r="D4308" s="23" t="str">
        <f aca="false">IF(B4308="","",IFERROR(INDEX(Brand_Log!$DV$2:$DV$201,MATCH(IFERROR(INDEX(Clay_Brands!$A$2:$FZ$601,257,Sync!$D$5)&amp;"",""),Brand_Log!$A$2:$A$201,0))&amp;"",IFERROR(INDEX(Clay_Brands!$A$2:$FZ$601,257,Sync!$D$5)&amp;"","")&amp;""))</f>
        <v/>
      </c>
      <c r="E4308" s="23" t="str">
        <f aca="false">IF(B4308="","",IFERROR(INDEX(Clay_Brands!$A$2:$FZ$601,257,Sync!$D$6)&amp;"",""))</f>
        <v/>
      </c>
      <c r="F4308" s="23" t="str">
        <f aca="false">IF(B4308="","","outreach_sent")</f>
        <v/>
      </c>
      <c r="G4308" s="23" t="str">
        <f aca="false">IF(B4308="","","")</f>
        <v/>
      </c>
      <c r="H4308" s="23" t="str">
        <f aca="false">IF(B4308="","","")</f>
        <v/>
      </c>
      <c r="I4308" s="23" t="str">
        <f aca="false">IF(B4308="","","")</f>
        <v/>
      </c>
      <c r="J4308" s="23" t="str">
        <f aca="false">IF(B4308="","","touch_2; "&amp;IFERROR(INDEX(Clay_Brands!$A$2:$FZ$601,257,Sync!$D$10)&amp;"","")&amp;"; "&amp;IFERROR(INDEX(Clay_Brands!$A$2:$FZ$601,257,Sync!$D$9)&amp;"",""))</f>
        <v/>
      </c>
      <c r="K4308" s="32" t="s">
        <v>1367</v>
      </c>
    </row>
    <row r="4309" customFormat="false" ht="15" hidden="false" customHeight="false" outlineLevel="0" collapsed="false">
      <c r="A4309" s="23" t="str">
        <f aca="false">IF(B4309="","",B4309+(16*1000+258)/10000000)</f>
        <v/>
      </c>
      <c r="B4309" s="35" t="str">
        <f aca="false">IF(AND(IFERROR(N(INDEX(Clay_Brands!$A$2:$FZ$601,258,Sync!$D$12)),0)&gt;0,IFERROR(INDEX(Clay_Brands!$A$2:$FZ$601,258,Sync!$D$5)&amp;"","")&lt;&gt;"",OR(LEFT(IFERROR(INDEX(Clay_Brands!$A$2:$FZ$601,258,Sync!$D$5)&amp;"",""),6)&lt;&gt;"SAMPLE",Config!$B$19="Y")),IFERROR(N(INDEX(Clay_Brands!$A$2:$FZ$601,258,Sync!$D$12)),0),"")</f>
        <v/>
      </c>
      <c r="C4309" s="23" t="str">
        <f aca="false">IF(B4309="","","brand")</f>
        <v/>
      </c>
      <c r="D4309" s="23" t="str">
        <f aca="false">IF(B4309="","",IFERROR(INDEX(Brand_Log!$DV$2:$DV$201,MATCH(IFERROR(INDEX(Clay_Brands!$A$2:$FZ$601,258,Sync!$D$5)&amp;"",""),Brand_Log!$A$2:$A$201,0))&amp;"",IFERROR(INDEX(Clay_Brands!$A$2:$FZ$601,258,Sync!$D$5)&amp;"","")&amp;""))</f>
        <v/>
      </c>
      <c r="E4309" s="23" t="str">
        <f aca="false">IF(B4309="","",IFERROR(INDEX(Clay_Brands!$A$2:$FZ$601,258,Sync!$D$6)&amp;"",""))</f>
        <v/>
      </c>
      <c r="F4309" s="23" t="str">
        <f aca="false">IF(B4309="","","outreach_sent")</f>
        <v/>
      </c>
      <c r="G4309" s="23" t="str">
        <f aca="false">IF(B4309="","","")</f>
        <v/>
      </c>
      <c r="H4309" s="23" t="str">
        <f aca="false">IF(B4309="","","")</f>
        <v/>
      </c>
      <c r="I4309" s="23" t="str">
        <f aca="false">IF(B4309="","","")</f>
        <v/>
      </c>
      <c r="J4309" s="23" t="str">
        <f aca="false">IF(B4309="","","touch_2; "&amp;IFERROR(INDEX(Clay_Brands!$A$2:$FZ$601,258,Sync!$D$10)&amp;"","")&amp;"; "&amp;IFERROR(INDEX(Clay_Brands!$A$2:$FZ$601,258,Sync!$D$9)&amp;"",""))</f>
        <v/>
      </c>
      <c r="K4309" s="32" t="s">
        <v>1367</v>
      </c>
    </row>
    <row r="4310" customFormat="false" ht="15" hidden="false" customHeight="false" outlineLevel="0" collapsed="false">
      <c r="A4310" s="23" t="str">
        <f aca="false">IF(B4310="","",B4310+(16*1000+259)/10000000)</f>
        <v/>
      </c>
      <c r="B4310" s="35" t="str">
        <f aca="false">IF(AND(IFERROR(N(INDEX(Clay_Brands!$A$2:$FZ$601,259,Sync!$D$12)),0)&gt;0,IFERROR(INDEX(Clay_Brands!$A$2:$FZ$601,259,Sync!$D$5)&amp;"","")&lt;&gt;"",OR(LEFT(IFERROR(INDEX(Clay_Brands!$A$2:$FZ$601,259,Sync!$D$5)&amp;"",""),6)&lt;&gt;"SAMPLE",Config!$B$19="Y")),IFERROR(N(INDEX(Clay_Brands!$A$2:$FZ$601,259,Sync!$D$12)),0),"")</f>
        <v/>
      </c>
      <c r="C4310" s="23" t="str">
        <f aca="false">IF(B4310="","","brand")</f>
        <v/>
      </c>
      <c r="D4310" s="23" t="str">
        <f aca="false">IF(B4310="","",IFERROR(INDEX(Brand_Log!$DV$2:$DV$201,MATCH(IFERROR(INDEX(Clay_Brands!$A$2:$FZ$601,259,Sync!$D$5)&amp;"",""),Brand_Log!$A$2:$A$201,0))&amp;"",IFERROR(INDEX(Clay_Brands!$A$2:$FZ$601,259,Sync!$D$5)&amp;"","")&amp;""))</f>
        <v/>
      </c>
      <c r="E4310" s="23" t="str">
        <f aca="false">IF(B4310="","",IFERROR(INDEX(Clay_Brands!$A$2:$FZ$601,259,Sync!$D$6)&amp;"",""))</f>
        <v/>
      </c>
      <c r="F4310" s="23" t="str">
        <f aca="false">IF(B4310="","","outreach_sent")</f>
        <v/>
      </c>
      <c r="G4310" s="23" t="str">
        <f aca="false">IF(B4310="","","")</f>
        <v/>
      </c>
      <c r="H4310" s="23" t="str">
        <f aca="false">IF(B4310="","","")</f>
        <v/>
      </c>
      <c r="I4310" s="23" t="str">
        <f aca="false">IF(B4310="","","")</f>
        <v/>
      </c>
      <c r="J4310" s="23" t="str">
        <f aca="false">IF(B4310="","","touch_2; "&amp;IFERROR(INDEX(Clay_Brands!$A$2:$FZ$601,259,Sync!$D$10)&amp;"","")&amp;"; "&amp;IFERROR(INDEX(Clay_Brands!$A$2:$FZ$601,259,Sync!$D$9)&amp;"",""))</f>
        <v/>
      </c>
      <c r="K4310" s="32" t="s">
        <v>1367</v>
      </c>
    </row>
    <row r="4311" customFormat="false" ht="15" hidden="false" customHeight="false" outlineLevel="0" collapsed="false">
      <c r="A4311" s="23" t="str">
        <f aca="false">IF(B4311="","",B4311+(16*1000+260)/10000000)</f>
        <v/>
      </c>
      <c r="B4311" s="35" t="str">
        <f aca="false">IF(AND(IFERROR(N(INDEX(Clay_Brands!$A$2:$FZ$601,260,Sync!$D$12)),0)&gt;0,IFERROR(INDEX(Clay_Brands!$A$2:$FZ$601,260,Sync!$D$5)&amp;"","")&lt;&gt;"",OR(LEFT(IFERROR(INDEX(Clay_Brands!$A$2:$FZ$601,260,Sync!$D$5)&amp;"",""),6)&lt;&gt;"SAMPLE",Config!$B$19="Y")),IFERROR(N(INDEX(Clay_Brands!$A$2:$FZ$601,260,Sync!$D$12)),0),"")</f>
        <v/>
      </c>
      <c r="C4311" s="23" t="str">
        <f aca="false">IF(B4311="","","brand")</f>
        <v/>
      </c>
      <c r="D4311" s="23" t="str">
        <f aca="false">IF(B4311="","",IFERROR(INDEX(Brand_Log!$DV$2:$DV$201,MATCH(IFERROR(INDEX(Clay_Brands!$A$2:$FZ$601,260,Sync!$D$5)&amp;"",""),Brand_Log!$A$2:$A$201,0))&amp;"",IFERROR(INDEX(Clay_Brands!$A$2:$FZ$601,260,Sync!$D$5)&amp;"","")&amp;""))</f>
        <v/>
      </c>
      <c r="E4311" s="23" t="str">
        <f aca="false">IF(B4311="","",IFERROR(INDEX(Clay_Brands!$A$2:$FZ$601,260,Sync!$D$6)&amp;"",""))</f>
        <v/>
      </c>
      <c r="F4311" s="23" t="str">
        <f aca="false">IF(B4311="","","outreach_sent")</f>
        <v/>
      </c>
      <c r="G4311" s="23" t="str">
        <f aca="false">IF(B4311="","","")</f>
        <v/>
      </c>
      <c r="H4311" s="23" t="str">
        <f aca="false">IF(B4311="","","")</f>
        <v/>
      </c>
      <c r="I4311" s="23" t="str">
        <f aca="false">IF(B4311="","","")</f>
        <v/>
      </c>
      <c r="J4311" s="23" t="str">
        <f aca="false">IF(B4311="","","touch_2; "&amp;IFERROR(INDEX(Clay_Brands!$A$2:$FZ$601,260,Sync!$D$10)&amp;"","")&amp;"; "&amp;IFERROR(INDEX(Clay_Brands!$A$2:$FZ$601,260,Sync!$D$9)&amp;"",""))</f>
        <v/>
      </c>
      <c r="K4311" s="32" t="s">
        <v>1367</v>
      </c>
    </row>
    <row r="4312" customFormat="false" ht="15" hidden="false" customHeight="false" outlineLevel="0" collapsed="false">
      <c r="A4312" s="23" t="str">
        <f aca="false">IF(B4312="","",B4312+(16*1000+261)/10000000)</f>
        <v/>
      </c>
      <c r="B4312" s="35" t="str">
        <f aca="false">IF(AND(IFERROR(N(INDEX(Clay_Brands!$A$2:$FZ$601,261,Sync!$D$12)),0)&gt;0,IFERROR(INDEX(Clay_Brands!$A$2:$FZ$601,261,Sync!$D$5)&amp;"","")&lt;&gt;"",OR(LEFT(IFERROR(INDEX(Clay_Brands!$A$2:$FZ$601,261,Sync!$D$5)&amp;"",""),6)&lt;&gt;"SAMPLE",Config!$B$19="Y")),IFERROR(N(INDEX(Clay_Brands!$A$2:$FZ$601,261,Sync!$D$12)),0),"")</f>
        <v/>
      </c>
      <c r="C4312" s="23" t="str">
        <f aca="false">IF(B4312="","","brand")</f>
        <v/>
      </c>
      <c r="D4312" s="23" t="str">
        <f aca="false">IF(B4312="","",IFERROR(INDEX(Brand_Log!$DV$2:$DV$201,MATCH(IFERROR(INDEX(Clay_Brands!$A$2:$FZ$601,261,Sync!$D$5)&amp;"",""),Brand_Log!$A$2:$A$201,0))&amp;"",IFERROR(INDEX(Clay_Brands!$A$2:$FZ$601,261,Sync!$D$5)&amp;"","")&amp;""))</f>
        <v/>
      </c>
      <c r="E4312" s="23" t="str">
        <f aca="false">IF(B4312="","",IFERROR(INDEX(Clay_Brands!$A$2:$FZ$601,261,Sync!$D$6)&amp;"",""))</f>
        <v/>
      </c>
      <c r="F4312" s="23" t="str">
        <f aca="false">IF(B4312="","","outreach_sent")</f>
        <v/>
      </c>
      <c r="G4312" s="23" t="str">
        <f aca="false">IF(B4312="","","")</f>
        <v/>
      </c>
      <c r="H4312" s="23" t="str">
        <f aca="false">IF(B4312="","","")</f>
        <v/>
      </c>
      <c r="I4312" s="23" t="str">
        <f aca="false">IF(B4312="","","")</f>
        <v/>
      </c>
      <c r="J4312" s="23" t="str">
        <f aca="false">IF(B4312="","","touch_2; "&amp;IFERROR(INDEX(Clay_Brands!$A$2:$FZ$601,261,Sync!$D$10)&amp;"","")&amp;"; "&amp;IFERROR(INDEX(Clay_Brands!$A$2:$FZ$601,261,Sync!$D$9)&amp;"",""))</f>
        <v/>
      </c>
      <c r="K4312" s="32" t="s">
        <v>1367</v>
      </c>
    </row>
    <row r="4313" customFormat="false" ht="15" hidden="false" customHeight="false" outlineLevel="0" collapsed="false">
      <c r="A4313" s="23" t="str">
        <f aca="false">IF(B4313="","",B4313+(16*1000+262)/10000000)</f>
        <v/>
      </c>
      <c r="B4313" s="35" t="str">
        <f aca="false">IF(AND(IFERROR(N(INDEX(Clay_Brands!$A$2:$FZ$601,262,Sync!$D$12)),0)&gt;0,IFERROR(INDEX(Clay_Brands!$A$2:$FZ$601,262,Sync!$D$5)&amp;"","")&lt;&gt;"",OR(LEFT(IFERROR(INDEX(Clay_Brands!$A$2:$FZ$601,262,Sync!$D$5)&amp;"",""),6)&lt;&gt;"SAMPLE",Config!$B$19="Y")),IFERROR(N(INDEX(Clay_Brands!$A$2:$FZ$601,262,Sync!$D$12)),0),"")</f>
        <v/>
      </c>
      <c r="C4313" s="23" t="str">
        <f aca="false">IF(B4313="","","brand")</f>
        <v/>
      </c>
      <c r="D4313" s="23" t="str">
        <f aca="false">IF(B4313="","",IFERROR(INDEX(Brand_Log!$DV$2:$DV$201,MATCH(IFERROR(INDEX(Clay_Brands!$A$2:$FZ$601,262,Sync!$D$5)&amp;"",""),Brand_Log!$A$2:$A$201,0))&amp;"",IFERROR(INDEX(Clay_Brands!$A$2:$FZ$601,262,Sync!$D$5)&amp;"","")&amp;""))</f>
        <v/>
      </c>
      <c r="E4313" s="23" t="str">
        <f aca="false">IF(B4313="","",IFERROR(INDEX(Clay_Brands!$A$2:$FZ$601,262,Sync!$D$6)&amp;"",""))</f>
        <v/>
      </c>
      <c r="F4313" s="23" t="str">
        <f aca="false">IF(B4313="","","outreach_sent")</f>
        <v/>
      </c>
      <c r="G4313" s="23" t="str">
        <f aca="false">IF(B4313="","","")</f>
        <v/>
      </c>
      <c r="H4313" s="23" t="str">
        <f aca="false">IF(B4313="","","")</f>
        <v/>
      </c>
      <c r="I4313" s="23" t="str">
        <f aca="false">IF(B4313="","","")</f>
        <v/>
      </c>
      <c r="J4313" s="23" t="str">
        <f aca="false">IF(B4313="","","touch_2; "&amp;IFERROR(INDEX(Clay_Brands!$A$2:$FZ$601,262,Sync!$D$10)&amp;"","")&amp;"; "&amp;IFERROR(INDEX(Clay_Brands!$A$2:$FZ$601,262,Sync!$D$9)&amp;"",""))</f>
        <v/>
      </c>
      <c r="K4313" s="32" t="s">
        <v>1367</v>
      </c>
    </row>
    <row r="4314" customFormat="false" ht="15" hidden="false" customHeight="false" outlineLevel="0" collapsed="false">
      <c r="A4314" s="23" t="str">
        <f aca="false">IF(B4314="","",B4314+(16*1000+263)/10000000)</f>
        <v/>
      </c>
      <c r="B4314" s="35" t="str">
        <f aca="false">IF(AND(IFERROR(N(INDEX(Clay_Brands!$A$2:$FZ$601,263,Sync!$D$12)),0)&gt;0,IFERROR(INDEX(Clay_Brands!$A$2:$FZ$601,263,Sync!$D$5)&amp;"","")&lt;&gt;"",OR(LEFT(IFERROR(INDEX(Clay_Brands!$A$2:$FZ$601,263,Sync!$D$5)&amp;"",""),6)&lt;&gt;"SAMPLE",Config!$B$19="Y")),IFERROR(N(INDEX(Clay_Brands!$A$2:$FZ$601,263,Sync!$D$12)),0),"")</f>
        <v/>
      </c>
      <c r="C4314" s="23" t="str">
        <f aca="false">IF(B4314="","","brand")</f>
        <v/>
      </c>
      <c r="D4314" s="23" t="str">
        <f aca="false">IF(B4314="","",IFERROR(INDEX(Brand_Log!$DV$2:$DV$201,MATCH(IFERROR(INDEX(Clay_Brands!$A$2:$FZ$601,263,Sync!$D$5)&amp;"",""),Brand_Log!$A$2:$A$201,0))&amp;"",IFERROR(INDEX(Clay_Brands!$A$2:$FZ$601,263,Sync!$D$5)&amp;"","")&amp;""))</f>
        <v/>
      </c>
      <c r="E4314" s="23" t="str">
        <f aca="false">IF(B4314="","",IFERROR(INDEX(Clay_Brands!$A$2:$FZ$601,263,Sync!$D$6)&amp;"",""))</f>
        <v/>
      </c>
      <c r="F4314" s="23" t="str">
        <f aca="false">IF(B4314="","","outreach_sent")</f>
        <v/>
      </c>
      <c r="G4314" s="23" t="str">
        <f aca="false">IF(B4314="","","")</f>
        <v/>
      </c>
      <c r="H4314" s="23" t="str">
        <f aca="false">IF(B4314="","","")</f>
        <v/>
      </c>
      <c r="I4314" s="23" t="str">
        <f aca="false">IF(B4314="","","")</f>
        <v/>
      </c>
      <c r="J4314" s="23" t="str">
        <f aca="false">IF(B4314="","","touch_2; "&amp;IFERROR(INDEX(Clay_Brands!$A$2:$FZ$601,263,Sync!$D$10)&amp;"","")&amp;"; "&amp;IFERROR(INDEX(Clay_Brands!$A$2:$FZ$601,263,Sync!$D$9)&amp;"",""))</f>
        <v/>
      </c>
      <c r="K4314" s="32" t="s">
        <v>1367</v>
      </c>
    </row>
    <row r="4315" customFormat="false" ht="15" hidden="false" customHeight="false" outlineLevel="0" collapsed="false">
      <c r="A4315" s="23" t="str">
        <f aca="false">IF(B4315="","",B4315+(16*1000+264)/10000000)</f>
        <v/>
      </c>
      <c r="B4315" s="35" t="str">
        <f aca="false">IF(AND(IFERROR(N(INDEX(Clay_Brands!$A$2:$FZ$601,264,Sync!$D$12)),0)&gt;0,IFERROR(INDEX(Clay_Brands!$A$2:$FZ$601,264,Sync!$D$5)&amp;"","")&lt;&gt;"",OR(LEFT(IFERROR(INDEX(Clay_Brands!$A$2:$FZ$601,264,Sync!$D$5)&amp;"",""),6)&lt;&gt;"SAMPLE",Config!$B$19="Y")),IFERROR(N(INDEX(Clay_Brands!$A$2:$FZ$601,264,Sync!$D$12)),0),"")</f>
        <v/>
      </c>
      <c r="C4315" s="23" t="str">
        <f aca="false">IF(B4315="","","brand")</f>
        <v/>
      </c>
      <c r="D4315" s="23" t="str">
        <f aca="false">IF(B4315="","",IFERROR(INDEX(Brand_Log!$DV$2:$DV$201,MATCH(IFERROR(INDEX(Clay_Brands!$A$2:$FZ$601,264,Sync!$D$5)&amp;"",""),Brand_Log!$A$2:$A$201,0))&amp;"",IFERROR(INDEX(Clay_Brands!$A$2:$FZ$601,264,Sync!$D$5)&amp;"","")&amp;""))</f>
        <v/>
      </c>
      <c r="E4315" s="23" t="str">
        <f aca="false">IF(B4315="","",IFERROR(INDEX(Clay_Brands!$A$2:$FZ$601,264,Sync!$D$6)&amp;"",""))</f>
        <v/>
      </c>
      <c r="F4315" s="23" t="str">
        <f aca="false">IF(B4315="","","outreach_sent")</f>
        <v/>
      </c>
      <c r="G4315" s="23" t="str">
        <f aca="false">IF(B4315="","","")</f>
        <v/>
      </c>
      <c r="H4315" s="23" t="str">
        <f aca="false">IF(B4315="","","")</f>
        <v/>
      </c>
      <c r="I4315" s="23" t="str">
        <f aca="false">IF(B4315="","","")</f>
        <v/>
      </c>
      <c r="J4315" s="23" t="str">
        <f aca="false">IF(B4315="","","touch_2; "&amp;IFERROR(INDEX(Clay_Brands!$A$2:$FZ$601,264,Sync!$D$10)&amp;"","")&amp;"; "&amp;IFERROR(INDEX(Clay_Brands!$A$2:$FZ$601,264,Sync!$D$9)&amp;"",""))</f>
        <v/>
      </c>
      <c r="K4315" s="32" t="s">
        <v>1367</v>
      </c>
    </row>
    <row r="4316" customFormat="false" ht="15" hidden="false" customHeight="false" outlineLevel="0" collapsed="false">
      <c r="A4316" s="23" t="str">
        <f aca="false">IF(B4316="","",B4316+(16*1000+265)/10000000)</f>
        <v/>
      </c>
      <c r="B4316" s="35" t="str">
        <f aca="false">IF(AND(IFERROR(N(INDEX(Clay_Brands!$A$2:$FZ$601,265,Sync!$D$12)),0)&gt;0,IFERROR(INDEX(Clay_Brands!$A$2:$FZ$601,265,Sync!$D$5)&amp;"","")&lt;&gt;"",OR(LEFT(IFERROR(INDEX(Clay_Brands!$A$2:$FZ$601,265,Sync!$D$5)&amp;"",""),6)&lt;&gt;"SAMPLE",Config!$B$19="Y")),IFERROR(N(INDEX(Clay_Brands!$A$2:$FZ$601,265,Sync!$D$12)),0),"")</f>
        <v/>
      </c>
      <c r="C4316" s="23" t="str">
        <f aca="false">IF(B4316="","","brand")</f>
        <v/>
      </c>
      <c r="D4316" s="23" t="str">
        <f aca="false">IF(B4316="","",IFERROR(INDEX(Brand_Log!$DV$2:$DV$201,MATCH(IFERROR(INDEX(Clay_Brands!$A$2:$FZ$601,265,Sync!$D$5)&amp;"",""),Brand_Log!$A$2:$A$201,0))&amp;"",IFERROR(INDEX(Clay_Brands!$A$2:$FZ$601,265,Sync!$D$5)&amp;"","")&amp;""))</f>
        <v/>
      </c>
      <c r="E4316" s="23" t="str">
        <f aca="false">IF(B4316="","",IFERROR(INDEX(Clay_Brands!$A$2:$FZ$601,265,Sync!$D$6)&amp;"",""))</f>
        <v/>
      </c>
      <c r="F4316" s="23" t="str">
        <f aca="false">IF(B4316="","","outreach_sent")</f>
        <v/>
      </c>
      <c r="G4316" s="23" t="str">
        <f aca="false">IF(B4316="","","")</f>
        <v/>
      </c>
      <c r="H4316" s="23" t="str">
        <f aca="false">IF(B4316="","","")</f>
        <v/>
      </c>
      <c r="I4316" s="23" t="str">
        <f aca="false">IF(B4316="","","")</f>
        <v/>
      </c>
      <c r="J4316" s="23" t="str">
        <f aca="false">IF(B4316="","","touch_2; "&amp;IFERROR(INDEX(Clay_Brands!$A$2:$FZ$601,265,Sync!$D$10)&amp;"","")&amp;"; "&amp;IFERROR(INDEX(Clay_Brands!$A$2:$FZ$601,265,Sync!$D$9)&amp;"",""))</f>
        <v/>
      </c>
      <c r="K4316" s="32" t="s">
        <v>1367</v>
      </c>
    </row>
    <row r="4317" customFormat="false" ht="15" hidden="false" customHeight="false" outlineLevel="0" collapsed="false">
      <c r="A4317" s="23" t="str">
        <f aca="false">IF(B4317="","",B4317+(16*1000+266)/10000000)</f>
        <v/>
      </c>
      <c r="B4317" s="35" t="str">
        <f aca="false">IF(AND(IFERROR(N(INDEX(Clay_Brands!$A$2:$FZ$601,266,Sync!$D$12)),0)&gt;0,IFERROR(INDEX(Clay_Brands!$A$2:$FZ$601,266,Sync!$D$5)&amp;"","")&lt;&gt;"",OR(LEFT(IFERROR(INDEX(Clay_Brands!$A$2:$FZ$601,266,Sync!$D$5)&amp;"",""),6)&lt;&gt;"SAMPLE",Config!$B$19="Y")),IFERROR(N(INDEX(Clay_Brands!$A$2:$FZ$601,266,Sync!$D$12)),0),"")</f>
        <v/>
      </c>
      <c r="C4317" s="23" t="str">
        <f aca="false">IF(B4317="","","brand")</f>
        <v/>
      </c>
      <c r="D4317" s="23" t="str">
        <f aca="false">IF(B4317="","",IFERROR(INDEX(Brand_Log!$DV$2:$DV$201,MATCH(IFERROR(INDEX(Clay_Brands!$A$2:$FZ$601,266,Sync!$D$5)&amp;"",""),Brand_Log!$A$2:$A$201,0))&amp;"",IFERROR(INDEX(Clay_Brands!$A$2:$FZ$601,266,Sync!$D$5)&amp;"","")&amp;""))</f>
        <v/>
      </c>
      <c r="E4317" s="23" t="str">
        <f aca="false">IF(B4317="","",IFERROR(INDEX(Clay_Brands!$A$2:$FZ$601,266,Sync!$D$6)&amp;"",""))</f>
        <v/>
      </c>
      <c r="F4317" s="23" t="str">
        <f aca="false">IF(B4317="","","outreach_sent")</f>
        <v/>
      </c>
      <c r="G4317" s="23" t="str">
        <f aca="false">IF(B4317="","","")</f>
        <v/>
      </c>
      <c r="H4317" s="23" t="str">
        <f aca="false">IF(B4317="","","")</f>
        <v/>
      </c>
      <c r="I4317" s="23" t="str">
        <f aca="false">IF(B4317="","","")</f>
        <v/>
      </c>
      <c r="J4317" s="23" t="str">
        <f aca="false">IF(B4317="","","touch_2; "&amp;IFERROR(INDEX(Clay_Brands!$A$2:$FZ$601,266,Sync!$D$10)&amp;"","")&amp;"; "&amp;IFERROR(INDEX(Clay_Brands!$A$2:$FZ$601,266,Sync!$D$9)&amp;"",""))</f>
        <v/>
      </c>
      <c r="K4317" s="32" t="s">
        <v>1367</v>
      </c>
    </row>
    <row r="4318" customFormat="false" ht="15" hidden="false" customHeight="false" outlineLevel="0" collapsed="false">
      <c r="A4318" s="23" t="str">
        <f aca="false">IF(B4318="","",B4318+(16*1000+267)/10000000)</f>
        <v/>
      </c>
      <c r="B4318" s="35" t="str">
        <f aca="false">IF(AND(IFERROR(N(INDEX(Clay_Brands!$A$2:$FZ$601,267,Sync!$D$12)),0)&gt;0,IFERROR(INDEX(Clay_Brands!$A$2:$FZ$601,267,Sync!$D$5)&amp;"","")&lt;&gt;"",OR(LEFT(IFERROR(INDEX(Clay_Brands!$A$2:$FZ$601,267,Sync!$D$5)&amp;"",""),6)&lt;&gt;"SAMPLE",Config!$B$19="Y")),IFERROR(N(INDEX(Clay_Brands!$A$2:$FZ$601,267,Sync!$D$12)),0),"")</f>
        <v/>
      </c>
      <c r="C4318" s="23" t="str">
        <f aca="false">IF(B4318="","","brand")</f>
        <v/>
      </c>
      <c r="D4318" s="23" t="str">
        <f aca="false">IF(B4318="","",IFERROR(INDEX(Brand_Log!$DV$2:$DV$201,MATCH(IFERROR(INDEX(Clay_Brands!$A$2:$FZ$601,267,Sync!$D$5)&amp;"",""),Brand_Log!$A$2:$A$201,0))&amp;"",IFERROR(INDEX(Clay_Brands!$A$2:$FZ$601,267,Sync!$D$5)&amp;"","")&amp;""))</f>
        <v/>
      </c>
      <c r="E4318" s="23" t="str">
        <f aca="false">IF(B4318="","",IFERROR(INDEX(Clay_Brands!$A$2:$FZ$601,267,Sync!$D$6)&amp;"",""))</f>
        <v/>
      </c>
      <c r="F4318" s="23" t="str">
        <f aca="false">IF(B4318="","","outreach_sent")</f>
        <v/>
      </c>
      <c r="G4318" s="23" t="str">
        <f aca="false">IF(B4318="","","")</f>
        <v/>
      </c>
      <c r="H4318" s="23" t="str">
        <f aca="false">IF(B4318="","","")</f>
        <v/>
      </c>
      <c r="I4318" s="23" t="str">
        <f aca="false">IF(B4318="","","")</f>
        <v/>
      </c>
      <c r="J4318" s="23" t="str">
        <f aca="false">IF(B4318="","","touch_2; "&amp;IFERROR(INDEX(Clay_Brands!$A$2:$FZ$601,267,Sync!$D$10)&amp;"","")&amp;"; "&amp;IFERROR(INDEX(Clay_Brands!$A$2:$FZ$601,267,Sync!$D$9)&amp;"",""))</f>
        <v/>
      </c>
      <c r="K4318" s="32" t="s">
        <v>1367</v>
      </c>
    </row>
    <row r="4319" customFormat="false" ht="15" hidden="false" customHeight="false" outlineLevel="0" collapsed="false">
      <c r="A4319" s="23" t="str">
        <f aca="false">IF(B4319="","",B4319+(16*1000+268)/10000000)</f>
        <v/>
      </c>
      <c r="B4319" s="35" t="str">
        <f aca="false">IF(AND(IFERROR(N(INDEX(Clay_Brands!$A$2:$FZ$601,268,Sync!$D$12)),0)&gt;0,IFERROR(INDEX(Clay_Brands!$A$2:$FZ$601,268,Sync!$D$5)&amp;"","")&lt;&gt;"",OR(LEFT(IFERROR(INDEX(Clay_Brands!$A$2:$FZ$601,268,Sync!$D$5)&amp;"",""),6)&lt;&gt;"SAMPLE",Config!$B$19="Y")),IFERROR(N(INDEX(Clay_Brands!$A$2:$FZ$601,268,Sync!$D$12)),0),"")</f>
        <v/>
      </c>
      <c r="C4319" s="23" t="str">
        <f aca="false">IF(B4319="","","brand")</f>
        <v/>
      </c>
      <c r="D4319" s="23" t="str">
        <f aca="false">IF(B4319="","",IFERROR(INDEX(Brand_Log!$DV$2:$DV$201,MATCH(IFERROR(INDEX(Clay_Brands!$A$2:$FZ$601,268,Sync!$D$5)&amp;"",""),Brand_Log!$A$2:$A$201,0))&amp;"",IFERROR(INDEX(Clay_Brands!$A$2:$FZ$601,268,Sync!$D$5)&amp;"","")&amp;""))</f>
        <v/>
      </c>
      <c r="E4319" s="23" t="str">
        <f aca="false">IF(B4319="","",IFERROR(INDEX(Clay_Brands!$A$2:$FZ$601,268,Sync!$D$6)&amp;"",""))</f>
        <v/>
      </c>
      <c r="F4319" s="23" t="str">
        <f aca="false">IF(B4319="","","outreach_sent")</f>
        <v/>
      </c>
      <c r="G4319" s="23" t="str">
        <f aca="false">IF(B4319="","","")</f>
        <v/>
      </c>
      <c r="H4319" s="23" t="str">
        <f aca="false">IF(B4319="","","")</f>
        <v/>
      </c>
      <c r="I4319" s="23" t="str">
        <f aca="false">IF(B4319="","","")</f>
        <v/>
      </c>
      <c r="J4319" s="23" t="str">
        <f aca="false">IF(B4319="","","touch_2; "&amp;IFERROR(INDEX(Clay_Brands!$A$2:$FZ$601,268,Sync!$D$10)&amp;"","")&amp;"; "&amp;IFERROR(INDEX(Clay_Brands!$A$2:$FZ$601,268,Sync!$D$9)&amp;"",""))</f>
        <v/>
      </c>
      <c r="K4319" s="32" t="s">
        <v>1367</v>
      </c>
    </row>
    <row r="4320" customFormat="false" ht="15" hidden="false" customHeight="false" outlineLevel="0" collapsed="false">
      <c r="A4320" s="23" t="str">
        <f aca="false">IF(B4320="","",B4320+(16*1000+269)/10000000)</f>
        <v/>
      </c>
      <c r="B4320" s="35" t="str">
        <f aca="false">IF(AND(IFERROR(N(INDEX(Clay_Brands!$A$2:$FZ$601,269,Sync!$D$12)),0)&gt;0,IFERROR(INDEX(Clay_Brands!$A$2:$FZ$601,269,Sync!$D$5)&amp;"","")&lt;&gt;"",OR(LEFT(IFERROR(INDEX(Clay_Brands!$A$2:$FZ$601,269,Sync!$D$5)&amp;"",""),6)&lt;&gt;"SAMPLE",Config!$B$19="Y")),IFERROR(N(INDEX(Clay_Brands!$A$2:$FZ$601,269,Sync!$D$12)),0),"")</f>
        <v/>
      </c>
      <c r="C4320" s="23" t="str">
        <f aca="false">IF(B4320="","","brand")</f>
        <v/>
      </c>
      <c r="D4320" s="23" t="str">
        <f aca="false">IF(B4320="","",IFERROR(INDEX(Brand_Log!$DV$2:$DV$201,MATCH(IFERROR(INDEX(Clay_Brands!$A$2:$FZ$601,269,Sync!$D$5)&amp;"",""),Brand_Log!$A$2:$A$201,0))&amp;"",IFERROR(INDEX(Clay_Brands!$A$2:$FZ$601,269,Sync!$D$5)&amp;"","")&amp;""))</f>
        <v/>
      </c>
      <c r="E4320" s="23" t="str">
        <f aca="false">IF(B4320="","",IFERROR(INDEX(Clay_Brands!$A$2:$FZ$601,269,Sync!$D$6)&amp;"",""))</f>
        <v/>
      </c>
      <c r="F4320" s="23" t="str">
        <f aca="false">IF(B4320="","","outreach_sent")</f>
        <v/>
      </c>
      <c r="G4320" s="23" t="str">
        <f aca="false">IF(B4320="","","")</f>
        <v/>
      </c>
      <c r="H4320" s="23" t="str">
        <f aca="false">IF(B4320="","","")</f>
        <v/>
      </c>
      <c r="I4320" s="23" t="str">
        <f aca="false">IF(B4320="","","")</f>
        <v/>
      </c>
      <c r="J4320" s="23" t="str">
        <f aca="false">IF(B4320="","","touch_2; "&amp;IFERROR(INDEX(Clay_Brands!$A$2:$FZ$601,269,Sync!$D$10)&amp;"","")&amp;"; "&amp;IFERROR(INDEX(Clay_Brands!$A$2:$FZ$601,269,Sync!$D$9)&amp;"",""))</f>
        <v/>
      </c>
      <c r="K4320" s="32" t="s">
        <v>1367</v>
      </c>
    </row>
    <row r="4321" customFormat="false" ht="15" hidden="false" customHeight="false" outlineLevel="0" collapsed="false">
      <c r="A4321" s="23" t="str">
        <f aca="false">IF(B4321="","",B4321+(16*1000+270)/10000000)</f>
        <v/>
      </c>
      <c r="B4321" s="35" t="str">
        <f aca="false">IF(AND(IFERROR(N(INDEX(Clay_Brands!$A$2:$FZ$601,270,Sync!$D$12)),0)&gt;0,IFERROR(INDEX(Clay_Brands!$A$2:$FZ$601,270,Sync!$D$5)&amp;"","")&lt;&gt;"",OR(LEFT(IFERROR(INDEX(Clay_Brands!$A$2:$FZ$601,270,Sync!$D$5)&amp;"",""),6)&lt;&gt;"SAMPLE",Config!$B$19="Y")),IFERROR(N(INDEX(Clay_Brands!$A$2:$FZ$601,270,Sync!$D$12)),0),"")</f>
        <v/>
      </c>
      <c r="C4321" s="23" t="str">
        <f aca="false">IF(B4321="","","brand")</f>
        <v/>
      </c>
      <c r="D4321" s="23" t="str">
        <f aca="false">IF(B4321="","",IFERROR(INDEX(Brand_Log!$DV$2:$DV$201,MATCH(IFERROR(INDEX(Clay_Brands!$A$2:$FZ$601,270,Sync!$D$5)&amp;"",""),Brand_Log!$A$2:$A$201,0))&amp;"",IFERROR(INDEX(Clay_Brands!$A$2:$FZ$601,270,Sync!$D$5)&amp;"","")&amp;""))</f>
        <v/>
      </c>
      <c r="E4321" s="23" t="str">
        <f aca="false">IF(B4321="","",IFERROR(INDEX(Clay_Brands!$A$2:$FZ$601,270,Sync!$D$6)&amp;"",""))</f>
        <v/>
      </c>
      <c r="F4321" s="23" t="str">
        <f aca="false">IF(B4321="","","outreach_sent")</f>
        <v/>
      </c>
      <c r="G4321" s="23" t="str">
        <f aca="false">IF(B4321="","","")</f>
        <v/>
      </c>
      <c r="H4321" s="23" t="str">
        <f aca="false">IF(B4321="","","")</f>
        <v/>
      </c>
      <c r="I4321" s="23" t="str">
        <f aca="false">IF(B4321="","","")</f>
        <v/>
      </c>
      <c r="J4321" s="23" t="str">
        <f aca="false">IF(B4321="","","touch_2; "&amp;IFERROR(INDEX(Clay_Brands!$A$2:$FZ$601,270,Sync!$D$10)&amp;"","")&amp;"; "&amp;IFERROR(INDEX(Clay_Brands!$A$2:$FZ$601,270,Sync!$D$9)&amp;"",""))</f>
        <v/>
      </c>
      <c r="K4321" s="32" t="s">
        <v>1367</v>
      </c>
    </row>
    <row r="4322" customFormat="false" ht="15" hidden="false" customHeight="false" outlineLevel="0" collapsed="false">
      <c r="A4322" s="23" t="str">
        <f aca="false">IF(B4322="","",B4322+(16*1000+271)/10000000)</f>
        <v/>
      </c>
      <c r="B4322" s="35" t="str">
        <f aca="false">IF(AND(IFERROR(N(INDEX(Clay_Brands!$A$2:$FZ$601,271,Sync!$D$12)),0)&gt;0,IFERROR(INDEX(Clay_Brands!$A$2:$FZ$601,271,Sync!$D$5)&amp;"","")&lt;&gt;"",OR(LEFT(IFERROR(INDEX(Clay_Brands!$A$2:$FZ$601,271,Sync!$D$5)&amp;"",""),6)&lt;&gt;"SAMPLE",Config!$B$19="Y")),IFERROR(N(INDEX(Clay_Brands!$A$2:$FZ$601,271,Sync!$D$12)),0),"")</f>
        <v/>
      </c>
      <c r="C4322" s="23" t="str">
        <f aca="false">IF(B4322="","","brand")</f>
        <v/>
      </c>
      <c r="D4322" s="23" t="str">
        <f aca="false">IF(B4322="","",IFERROR(INDEX(Brand_Log!$DV$2:$DV$201,MATCH(IFERROR(INDEX(Clay_Brands!$A$2:$FZ$601,271,Sync!$D$5)&amp;"",""),Brand_Log!$A$2:$A$201,0))&amp;"",IFERROR(INDEX(Clay_Brands!$A$2:$FZ$601,271,Sync!$D$5)&amp;"","")&amp;""))</f>
        <v/>
      </c>
      <c r="E4322" s="23" t="str">
        <f aca="false">IF(B4322="","",IFERROR(INDEX(Clay_Brands!$A$2:$FZ$601,271,Sync!$D$6)&amp;"",""))</f>
        <v/>
      </c>
      <c r="F4322" s="23" t="str">
        <f aca="false">IF(B4322="","","outreach_sent")</f>
        <v/>
      </c>
      <c r="G4322" s="23" t="str">
        <f aca="false">IF(B4322="","","")</f>
        <v/>
      </c>
      <c r="H4322" s="23" t="str">
        <f aca="false">IF(B4322="","","")</f>
        <v/>
      </c>
      <c r="I4322" s="23" t="str">
        <f aca="false">IF(B4322="","","")</f>
        <v/>
      </c>
      <c r="J4322" s="23" t="str">
        <f aca="false">IF(B4322="","","touch_2; "&amp;IFERROR(INDEX(Clay_Brands!$A$2:$FZ$601,271,Sync!$D$10)&amp;"","")&amp;"; "&amp;IFERROR(INDEX(Clay_Brands!$A$2:$FZ$601,271,Sync!$D$9)&amp;"",""))</f>
        <v/>
      </c>
      <c r="K4322" s="32" t="s">
        <v>1367</v>
      </c>
    </row>
    <row r="4323" customFormat="false" ht="15" hidden="false" customHeight="false" outlineLevel="0" collapsed="false">
      <c r="A4323" s="23" t="str">
        <f aca="false">IF(B4323="","",B4323+(16*1000+272)/10000000)</f>
        <v/>
      </c>
      <c r="B4323" s="35" t="str">
        <f aca="false">IF(AND(IFERROR(N(INDEX(Clay_Brands!$A$2:$FZ$601,272,Sync!$D$12)),0)&gt;0,IFERROR(INDEX(Clay_Brands!$A$2:$FZ$601,272,Sync!$D$5)&amp;"","")&lt;&gt;"",OR(LEFT(IFERROR(INDEX(Clay_Brands!$A$2:$FZ$601,272,Sync!$D$5)&amp;"",""),6)&lt;&gt;"SAMPLE",Config!$B$19="Y")),IFERROR(N(INDEX(Clay_Brands!$A$2:$FZ$601,272,Sync!$D$12)),0),"")</f>
        <v/>
      </c>
      <c r="C4323" s="23" t="str">
        <f aca="false">IF(B4323="","","brand")</f>
        <v/>
      </c>
      <c r="D4323" s="23" t="str">
        <f aca="false">IF(B4323="","",IFERROR(INDEX(Brand_Log!$DV$2:$DV$201,MATCH(IFERROR(INDEX(Clay_Brands!$A$2:$FZ$601,272,Sync!$D$5)&amp;"",""),Brand_Log!$A$2:$A$201,0))&amp;"",IFERROR(INDEX(Clay_Brands!$A$2:$FZ$601,272,Sync!$D$5)&amp;"","")&amp;""))</f>
        <v/>
      </c>
      <c r="E4323" s="23" t="str">
        <f aca="false">IF(B4323="","",IFERROR(INDEX(Clay_Brands!$A$2:$FZ$601,272,Sync!$D$6)&amp;"",""))</f>
        <v/>
      </c>
      <c r="F4323" s="23" t="str">
        <f aca="false">IF(B4323="","","outreach_sent")</f>
        <v/>
      </c>
      <c r="G4323" s="23" t="str">
        <f aca="false">IF(B4323="","","")</f>
        <v/>
      </c>
      <c r="H4323" s="23" t="str">
        <f aca="false">IF(B4323="","","")</f>
        <v/>
      </c>
      <c r="I4323" s="23" t="str">
        <f aca="false">IF(B4323="","","")</f>
        <v/>
      </c>
      <c r="J4323" s="23" t="str">
        <f aca="false">IF(B4323="","","touch_2; "&amp;IFERROR(INDEX(Clay_Brands!$A$2:$FZ$601,272,Sync!$D$10)&amp;"","")&amp;"; "&amp;IFERROR(INDEX(Clay_Brands!$A$2:$FZ$601,272,Sync!$D$9)&amp;"",""))</f>
        <v/>
      </c>
      <c r="K4323" s="32" t="s">
        <v>1367</v>
      </c>
    </row>
    <row r="4324" customFormat="false" ht="15" hidden="false" customHeight="false" outlineLevel="0" collapsed="false">
      <c r="A4324" s="23" t="str">
        <f aca="false">IF(B4324="","",B4324+(16*1000+273)/10000000)</f>
        <v/>
      </c>
      <c r="B4324" s="35" t="str">
        <f aca="false">IF(AND(IFERROR(N(INDEX(Clay_Brands!$A$2:$FZ$601,273,Sync!$D$12)),0)&gt;0,IFERROR(INDEX(Clay_Brands!$A$2:$FZ$601,273,Sync!$D$5)&amp;"","")&lt;&gt;"",OR(LEFT(IFERROR(INDEX(Clay_Brands!$A$2:$FZ$601,273,Sync!$D$5)&amp;"",""),6)&lt;&gt;"SAMPLE",Config!$B$19="Y")),IFERROR(N(INDEX(Clay_Brands!$A$2:$FZ$601,273,Sync!$D$12)),0),"")</f>
        <v/>
      </c>
      <c r="C4324" s="23" t="str">
        <f aca="false">IF(B4324="","","brand")</f>
        <v/>
      </c>
      <c r="D4324" s="23" t="str">
        <f aca="false">IF(B4324="","",IFERROR(INDEX(Brand_Log!$DV$2:$DV$201,MATCH(IFERROR(INDEX(Clay_Brands!$A$2:$FZ$601,273,Sync!$D$5)&amp;"",""),Brand_Log!$A$2:$A$201,0))&amp;"",IFERROR(INDEX(Clay_Brands!$A$2:$FZ$601,273,Sync!$D$5)&amp;"","")&amp;""))</f>
        <v/>
      </c>
      <c r="E4324" s="23" t="str">
        <f aca="false">IF(B4324="","",IFERROR(INDEX(Clay_Brands!$A$2:$FZ$601,273,Sync!$D$6)&amp;"",""))</f>
        <v/>
      </c>
      <c r="F4324" s="23" t="str">
        <f aca="false">IF(B4324="","","outreach_sent")</f>
        <v/>
      </c>
      <c r="G4324" s="23" t="str">
        <f aca="false">IF(B4324="","","")</f>
        <v/>
      </c>
      <c r="H4324" s="23" t="str">
        <f aca="false">IF(B4324="","","")</f>
        <v/>
      </c>
      <c r="I4324" s="23" t="str">
        <f aca="false">IF(B4324="","","")</f>
        <v/>
      </c>
      <c r="J4324" s="23" t="str">
        <f aca="false">IF(B4324="","","touch_2; "&amp;IFERROR(INDEX(Clay_Brands!$A$2:$FZ$601,273,Sync!$D$10)&amp;"","")&amp;"; "&amp;IFERROR(INDEX(Clay_Brands!$A$2:$FZ$601,273,Sync!$D$9)&amp;"",""))</f>
        <v/>
      </c>
      <c r="K4324" s="32" t="s">
        <v>1367</v>
      </c>
    </row>
    <row r="4325" customFormat="false" ht="15" hidden="false" customHeight="false" outlineLevel="0" collapsed="false">
      <c r="A4325" s="23" t="str">
        <f aca="false">IF(B4325="","",B4325+(16*1000+274)/10000000)</f>
        <v/>
      </c>
      <c r="B4325" s="35" t="str">
        <f aca="false">IF(AND(IFERROR(N(INDEX(Clay_Brands!$A$2:$FZ$601,274,Sync!$D$12)),0)&gt;0,IFERROR(INDEX(Clay_Brands!$A$2:$FZ$601,274,Sync!$D$5)&amp;"","")&lt;&gt;"",OR(LEFT(IFERROR(INDEX(Clay_Brands!$A$2:$FZ$601,274,Sync!$D$5)&amp;"",""),6)&lt;&gt;"SAMPLE",Config!$B$19="Y")),IFERROR(N(INDEX(Clay_Brands!$A$2:$FZ$601,274,Sync!$D$12)),0),"")</f>
        <v/>
      </c>
      <c r="C4325" s="23" t="str">
        <f aca="false">IF(B4325="","","brand")</f>
        <v/>
      </c>
      <c r="D4325" s="23" t="str">
        <f aca="false">IF(B4325="","",IFERROR(INDEX(Brand_Log!$DV$2:$DV$201,MATCH(IFERROR(INDEX(Clay_Brands!$A$2:$FZ$601,274,Sync!$D$5)&amp;"",""),Brand_Log!$A$2:$A$201,0))&amp;"",IFERROR(INDEX(Clay_Brands!$A$2:$FZ$601,274,Sync!$D$5)&amp;"","")&amp;""))</f>
        <v/>
      </c>
      <c r="E4325" s="23" t="str">
        <f aca="false">IF(B4325="","",IFERROR(INDEX(Clay_Brands!$A$2:$FZ$601,274,Sync!$D$6)&amp;"",""))</f>
        <v/>
      </c>
      <c r="F4325" s="23" t="str">
        <f aca="false">IF(B4325="","","outreach_sent")</f>
        <v/>
      </c>
      <c r="G4325" s="23" t="str">
        <f aca="false">IF(B4325="","","")</f>
        <v/>
      </c>
      <c r="H4325" s="23" t="str">
        <f aca="false">IF(B4325="","","")</f>
        <v/>
      </c>
      <c r="I4325" s="23" t="str">
        <f aca="false">IF(B4325="","","")</f>
        <v/>
      </c>
      <c r="J4325" s="23" t="str">
        <f aca="false">IF(B4325="","","touch_2; "&amp;IFERROR(INDEX(Clay_Brands!$A$2:$FZ$601,274,Sync!$D$10)&amp;"","")&amp;"; "&amp;IFERROR(INDEX(Clay_Brands!$A$2:$FZ$601,274,Sync!$D$9)&amp;"",""))</f>
        <v/>
      </c>
      <c r="K4325" s="32" t="s">
        <v>1367</v>
      </c>
    </row>
    <row r="4326" customFormat="false" ht="15" hidden="false" customHeight="false" outlineLevel="0" collapsed="false">
      <c r="A4326" s="23" t="str">
        <f aca="false">IF(B4326="","",B4326+(16*1000+275)/10000000)</f>
        <v/>
      </c>
      <c r="B4326" s="35" t="str">
        <f aca="false">IF(AND(IFERROR(N(INDEX(Clay_Brands!$A$2:$FZ$601,275,Sync!$D$12)),0)&gt;0,IFERROR(INDEX(Clay_Brands!$A$2:$FZ$601,275,Sync!$D$5)&amp;"","")&lt;&gt;"",OR(LEFT(IFERROR(INDEX(Clay_Brands!$A$2:$FZ$601,275,Sync!$D$5)&amp;"",""),6)&lt;&gt;"SAMPLE",Config!$B$19="Y")),IFERROR(N(INDEX(Clay_Brands!$A$2:$FZ$601,275,Sync!$D$12)),0),"")</f>
        <v/>
      </c>
      <c r="C4326" s="23" t="str">
        <f aca="false">IF(B4326="","","brand")</f>
        <v/>
      </c>
      <c r="D4326" s="23" t="str">
        <f aca="false">IF(B4326="","",IFERROR(INDEX(Brand_Log!$DV$2:$DV$201,MATCH(IFERROR(INDEX(Clay_Brands!$A$2:$FZ$601,275,Sync!$D$5)&amp;"",""),Brand_Log!$A$2:$A$201,0))&amp;"",IFERROR(INDEX(Clay_Brands!$A$2:$FZ$601,275,Sync!$D$5)&amp;"","")&amp;""))</f>
        <v/>
      </c>
      <c r="E4326" s="23" t="str">
        <f aca="false">IF(B4326="","",IFERROR(INDEX(Clay_Brands!$A$2:$FZ$601,275,Sync!$D$6)&amp;"",""))</f>
        <v/>
      </c>
      <c r="F4326" s="23" t="str">
        <f aca="false">IF(B4326="","","outreach_sent")</f>
        <v/>
      </c>
      <c r="G4326" s="23" t="str">
        <f aca="false">IF(B4326="","","")</f>
        <v/>
      </c>
      <c r="H4326" s="23" t="str">
        <f aca="false">IF(B4326="","","")</f>
        <v/>
      </c>
      <c r="I4326" s="23" t="str">
        <f aca="false">IF(B4326="","","")</f>
        <v/>
      </c>
      <c r="J4326" s="23" t="str">
        <f aca="false">IF(B4326="","","touch_2; "&amp;IFERROR(INDEX(Clay_Brands!$A$2:$FZ$601,275,Sync!$D$10)&amp;"","")&amp;"; "&amp;IFERROR(INDEX(Clay_Brands!$A$2:$FZ$601,275,Sync!$D$9)&amp;"",""))</f>
        <v/>
      </c>
      <c r="K4326" s="32" t="s">
        <v>1367</v>
      </c>
    </row>
    <row r="4327" customFormat="false" ht="15" hidden="false" customHeight="false" outlineLevel="0" collapsed="false">
      <c r="A4327" s="23" t="str">
        <f aca="false">IF(B4327="","",B4327+(16*1000+276)/10000000)</f>
        <v/>
      </c>
      <c r="B4327" s="35" t="str">
        <f aca="false">IF(AND(IFERROR(N(INDEX(Clay_Brands!$A$2:$FZ$601,276,Sync!$D$12)),0)&gt;0,IFERROR(INDEX(Clay_Brands!$A$2:$FZ$601,276,Sync!$D$5)&amp;"","")&lt;&gt;"",OR(LEFT(IFERROR(INDEX(Clay_Brands!$A$2:$FZ$601,276,Sync!$D$5)&amp;"",""),6)&lt;&gt;"SAMPLE",Config!$B$19="Y")),IFERROR(N(INDEX(Clay_Brands!$A$2:$FZ$601,276,Sync!$D$12)),0),"")</f>
        <v/>
      </c>
      <c r="C4327" s="23" t="str">
        <f aca="false">IF(B4327="","","brand")</f>
        <v/>
      </c>
      <c r="D4327" s="23" t="str">
        <f aca="false">IF(B4327="","",IFERROR(INDEX(Brand_Log!$DV$2:$DV$201,MATCH(IFERROR(INDEX(Clay_Brands!$A$2:$FZ$601,276,Sync!$D$5)&amp;"",""),Brand_Log!$A$2:$A$201,0))&amp;"",IFERROR(INDEX(Clay_Brands!$A$2:$FZ$601,276,Sync!$D$5)&amp;"","")&amp;""))</f>
        <v/>
      </c>
      <c r="E4327" s="23" t="str">
        <f aca="false">IF(B4327="","",IFERROR(INDEX(Clay_Brands!$A$2:$FZ$601,276,Sync!$D$6)&amp;"",""))</f>
        <v/>
      </c>
      <c r="F4327" s="23" t="str">
        <f aca="false">IF(B4327="","","outreach_sent")</f>
        <v/>
      </c>
      <c r="G4327" s="23" t="str">
        <f aca="false">IF(B4327="","","")</f>
        <v/>
      </c>
      <c r="H4327" s="23" t="str">
        <f aca="false">IF(B4327="","","")</f>
        <v/>
      </c>
      <c r="I4327" s="23" t="str">
        <f aca="false">IF(B4327="","","")</f>
        <v/>
      </c>
      <c r="J4327" s="23" t="str">
        <f aca="false">IF(B4327="","","touch_2; "&amp;IFERROR(INDEX(Clay_Brands!$A$2:$FZ$601,276,Sync!$D$10)&amp;"","")&amp;"; "&amp;IFERROR(INDEX(Clay_Brands!$A$2:$FZ$601,276,Sync!$D$9)&amp;"",""))</f>
        <v/>
      </c>
      <c r="K4327" s="32" t="s">
        <v>1367</v>
      </c>
    </row>
    <row r="4328" customFormat="false" ht="15" hidden="false" customHeight="false" outlineLevel="0" collapsed="false">
      <c r="A4328" s="23" t="str">
        <f aca="false">IF(B4328="","",B4328+(16*1000+277)/10000000)</f>
        <v/>
      </c>
      <c r="B4328" s="35" t="str">
        <f aca="false">IF(AND(IFERROR(N(INDEX(Clay_Brands!$A$2:$FZ$601,277,Sync!$D$12)),0)&gt;0,IFERROR(INDEX(Clay_Brands!$A$2:$FZ$601,277,Sync!$D$5)&amp;"","")&lt;&gt;"",OR(LEFT(IFERROR(INDEX(Clay_Brands!$A$2:$FZ$601,277,Sync!$D$5)&amp;"",""),6)&lt;&gt;"SAMPLE",Config!$B$19="Y")),IFERROR(N(INDEX(Clay_Brands!$A$2:$FZ$601,277,Sync!$D$12)),0),"")</f>
        <v/>
      </c>
      <c r="C4328" s="23" t="str">
        <f aca="false">IF(B4328="","","brand")</f>
        <v/>
      </c>
      <c r="D4328" s="23" t="str">
        <f aca="false">IF(B4328="","",IFERROR(INDEX(Brand_Log!$DV$2:$DV$201,MATCH(IFERROR(INDEX(Clay_Brands!$A$2:$FZ$601,277,Sync!$D$5)&amp;"",""),Brand_Log!$A$2:$A$201,0))&amp;"",IFERROR(INDEX(Clay_Brands!$A$2:$FZ$601,277,Sync!$D$5)&amp;"","")&amp;""))</f>
        <v/>
      </c>
      <c r="E4328" s="23" t="str">
        <f aca="false">IF(B4328="","",IFERROR(INDEX(Clay_Brands!$A$2:$FZ$601,277,Sync!$D$6)&amp;"",""))</f>
        <v/>
      </c>
      <c r="F4328" s="23" t="str">
        <f aca="false">IF(B4328="","","outreach_sent")</f>
        <v/>
      </c>
      <c r="G4328" s="23" t="str">
        <f aca="false">IF(B4328="","","")</f>
        <v/>
      </c>
      <c r="H4328" s="23" t="str">
        <f aca="false">IF(B4328="","","")</f>
        <v/>
      </c>
      <c r="I4328" s="23" t="str">
        <f aca="false">IF(B4328="","","")</f>
        <v/>
      </c>
      <c r="J4328" s="23" t="str">
        <f aca="false">IF(B4328="","","touch_2; "&amp;IFERROR(INDEX(Clay_Brands!$A$2:$FZ$601,277,Sync!$D$10)&amp;"","")&amp;"; "&amp;IFERROR(INDEX(Clay_Brands!$A$2:$FZ$601,277,Sync!$D$9)&amp;"",""))</f>
        <v/>
      </c>
      <c r="K4328" s="32" t="s">
        <v>1367</v>
      </c>
    </row>
    <row r="4329" customFormat="false" ht="15" hidden="false" customHeight="false" outlineLevel="0" collapsed="false">
      <c r="A4329" s="23" t="str">
        <f aca="false">IF(B4329="","",B4329+(16*1000+278)/10000000)</f>
        <v/>
      </c>
      <c r="B4329" s="35" t="str">
        <f aca="false">IF(AND(IFERROR(N(INDEX(Clay_Brands!$A$2:$FZ$601,278,Sync!$D$12)),0)&gt;0,IFERROR(INDEX(Clay_Brands!$A$2:$FZ$601,278,Sync!$D$5)&amp;"","")&lt;&gt;"",OR(LEFT(IFERROR(INDEX(Clay_Brands!$A$2:$FZ$601,278,Sync!$D$5)&amp;"",""),6)&lt;&gt;"SAMPLE",Config!$B$19="Y")),IFERROR(N(INDEX(Clay_Brands!$A$2:$FZ$601,278,Sync!$D$12)),0),"")</f>
        <v/>
      </c>
      <c r="C4329" s="23" t="str">
        <f aca="false">IF(B4329="","","brand")</f>
        <v/>
      </c>
      <c r="D4329" s="23" t="str">
        <f aca="false">IF(B4329="","",IFERROR(INDEX(Brand_Log!$DV$2:$DV$201,MATCH(IFERROR(INDEX(Clay_Brands!$A$2:$FZ$601,278,Sync!$D$5)&amp;"",""),Brand_Log!$A$2:$A$201,0))&amp;"",IFERROR(INDEX(Clay_Brands!$A$2:$FZ$601,278,Sync!$D$5)&amp;"","")&amp;""))</f>
        <v/>
      </c>
      <c r="E4329" s="23" t="str">
        <f aca="false">IF(B4329="","",IFERROR(INDEX(Clay_Brands!$A$2:$FZ$601,278,Sync!$D$6)&amp;"",""))</f>
        <v/>
      </c>
      <c r="F4329" s="23" t="str">
        <f aca="false">IF(B4329="","","outreach_sent")</f>
        <v/>
      </c>
      <c r="G4329" s="23" t="str">
        <f aca="false">IF(B4329="","","")</f>
        <v/>
      </c>
      <c r="H4329" s="23" t="str">
        <f aca="false">IF(B4329="","","")</f>
        <v/>
      </c>
      <c r="I4329" s="23" t="str">
        <f aca="false">IF(B4329="","","")</f>
        <v/>
      </c>
      <c r="J4329" s="23" t="str">
        <f aca="false">IF(B4329="","","touch_2; "&amp;IFERROR(INDEX(Clay_Brands!$A$2:$FZ$601,278,Sync!$D$10)&amp;"","")&amp;"; "&amp;IFERROR(INDEX(Clay_Brands!$A$2:$FZ$601,278,Sync!$D$9)&amp;"",""))</f>
        <v/>
      </c>
      <c r="K4329" s="32" t="s">
        <v>1367</v>
      </c>
    </row>
    <row r="4330" customFormat="false" ht="15" hidden="false" customHeight="false" outlineLevel="0" collapsed="false">
      <c r="A4330" s="23" t="str">
        <f aca="false">IF(B4330="","",B4330+(16*1000+279)/10000000)</f>
        <v/>
      </c>
      <c r="B4330" s="35" t="str">
        <f aca="false">IF(AND(IFERROR(N(INDEX(Clay_Brands!$A$2:$FZ$601,279,Sync!$D$12)),0)&gt;0,IFERROR(INDEX(Clay_Brands!$A$2:$FZ$601,279,Sync!$D$5)&amp;"","")&lt;&gt;"",OR(LEFT(IFERROR(INDEX(Clay_Brands!$A$2:$FZ$601,279,Sync!$D$5)&amp;"",""),6)&lt;&gt;"SAMPLE",Config!$B$19="Y")),IFERROR(N(INDEX(Clay_Brands!$A$2:$FZ$601,279,Sync!$D$12)),0),"")</f>
        <v/>
      </c>
      <c r="C4330" s="23" t="str">
        <f aca="false">IF(B4330="","","brand")</f>
        <v/>
      </c>
      <c r="D4330" s="23" t="str">
        <f aca="false">IF(B4330="","",IFERROR(INDEX(Brand_Log!$DV$2:$DV$201,MATCH(IFERROR(INDEX(Clay_Brands!$A$2:$FZ$601,279,Sync!$D$5)&amp;"",""),Brand_Log!$A$2:$A$201,0))&amp;"",IFERROR(INDEX(Clay_Brands!$A$2:$FZ$601,279,Sync!$D$5)&amp;"","")&amp;""))</f>
        <v/>
      </c>
      <c r="E4330" s="23" t="str">
        <f aca="false">IF(B4330="","",IFERROR(INDEX(Clay_Brands!$A$2:$FZ$601,279,Sync!$D$6)&amp;"",""))</f>
        <v/>
      </c>
      <c r="F4330" s="23" t="str">
        <f aca="false">IF(B4330="","","outreach_sent")</f>
        <v/>
      </c>
      <c r="G4330" s="23" t="str">
        <f aca="false">IF(B4330="","","")</f>
        <v/>
      </c>
      <c r="H4330" s="23" t="str">
        <f aca="false">IF(B4330="","","")</f>
        <v/>
      </c>
      <c r="I4330" s="23" t="str">
        <f aca="false">IF(B4330="","","")</f>
        <v/>
      </c>
      <c r="J4330" s="23" t="str">
        <f aca="false">IF(B4330="","","touch_2; "&amp;IFERROR(INDEX(Clay_Brands!$A$2:$FZ$601,279,Sync!$D$10)&amp;"","")&amp;"; "&amp;IFERROR(INDEX(Clay_Brands!$A$2:$FZ$601,279,Sync!$D$9)&amp;"",""))</f>
        <v/>
      </c>
      <c r="K4330" s="32" t="s">
        <v>1367</v>
      </c>
    </row>
    <row r="4331" customFormat="false" ht="15" hidden="false" customHeight="false" outlineLevel="0" collapsed="false">
      <c r="A4331" s="23" t="str">
        <f aca="false">IF(B4331="","",B4331+(16*1000+280)/10000000)</f>
        <v/>
      </c>
      <c r="B4331" s="35" t="str">
        <f aca="false">IF(AND(IFERROR(N(INDEX(Clay_Brands!$A$2:$FZ$601,280,Sync!$D$12)),0)&gt;0,IFERROR(INDEX(Clay_Brands!$A$2:$FZ$601,280,Sync!$D$5)&amp;"","")&lt;&gt;"",OR(LEFT(IFERROR(INDEX(Clay_Brands!$A$2:$FZ$601,280,Sync!$D$5)&amp;"",""),6)&lt;&gt;"SAMPLE",Config!$B$19="Y")),IFERROR(N(INDEX(Clay_Brands!$A$2:$FZ$601,280,Sync!$D$12)),0),"")</f>
        <v/>
      </c>
      <c r="C4331" s="23" t="str">
        <f aca="false">IF(B4331="","","brand")</f>
        <v/>
      </c>
      <c r="D4331" s="23" t="str">
        <f aca="false">IF(B4331="","",IFERROR(INDEX(Brand_Log!$DV$2:$DV$201,MATCH(IFERROR(INDEX(Clay_Brands!$A$2:$FZ$601,280,Sync!$D$5)&amp;"",""),Brand_Log!$A$2:$A$201,0))&amp;"",IFERROR(INDEX(Clay_Brands!$A$2:$FZ$601,280,Sync!$D$5)&amp;"","")&amp;""))</f>
        <v/>
      </c>
      <c r="E4331" s="23" t="str">
        <f aca="false">IF(B4331="","",IFERROR(INDEX(Clay_Brands!$A$2:$FZ$601,280,Sync!$D$6)&amp;"",""))</f>
        <v/>
      </c>
      <c r="F4331" s="23" t="str">
        <f aca="false">IF(B4331="","","outreach_sent")</f>
        <v/>
      </c>
      <c r="G4331" s="23" t="str">
        <f aca="false">IF(B4331="","","")</f>
        <v/>
      </c>
      <c r="H4331" s="23" t="str">
        <f aca="false">IF(B4331="","","")</f>
        <v/>
      </c>
      <c r="I4331" s="23" t="str">
        <f aca="false">IF(B4331="","","")</f>
        <v/>
      </c>
      <c r="J4331" s="23" t="str">
        <f aca="false">IF(B4331="","","touch_2; "&amp;IFERROR(INDEX(Clay_Brands!$A$2:$FZ$601,280,Sync!$D$10)&amp;"","")&amp;"; "&amp;IFERROR(INDEX(Clay_Brands!$A$2:$FZ$601,280,Sync!$D$9)&amp;"",""))</f>
        <v/>
      </c>
      <c r="K4331" s="32" t="s">
        <v>1367</v>
      </c>
    </row>
    <row r="4332" customFormat="false" ht="15" hidden="false" customHeight="false" outlineLevel="0" collapsed="false">
      <c r="A4332" s="23" t="str">
        <f aca="false">IF(B4332="","",B4332+(16*1000+281)/10000000)</f>
        <v/>
      </c>
      <c r="B4332" s="35" t="str">
        <f aca="false">IF(AND(IFERROR(N(INDEX(Clay_Brands!$A$2:$FZ$601,281,Sync!$D$12)),0)&gt;0,IFERROR(INDEX(Clay_Brands!$A$2:$FZ$601,281,Sync!$D$5)&amp;"","")&lt;&gt;"",OR(LEFT(IFERROR(INDEX(Clay_Brands!$A$2:$FZ$601,281,Sync!$D$5)&amp;"",""),6)&lt;&gt;"SAMPLE",Config!$B$19="Y")),IFERROR(N(INDEX(Clay_Brands!$A$2:$FZ$601,281,Sync!$D$12)),0),"")</f>
        <v/>
      </c>
      <c r="C4332" s="23" t="str">
        <f aca="false">IF(B4332="","","brand")</f>
        <v/>
      </c>
      <c r="D4332" s="23" t="str">
        <f aca="false">IF(B4332="","",IFERROR(INDEX(Brand_Log!$DV$2:$DV$201,MATCH(IFERROR(INDEX(Clay_Brands!$A$2:$FZ$601,281,Sync!$D$5)&amp;"",""),Brand_Log!$A$2:$A$201,0))&amp;"",IFERROR(INDEX(Clay_Brands!$A$2:$FZ$601,281,Sync!$D$5)&amp;"","")&amp;""))</f>
        <v/>
      </c>
      <c r="E4332" s="23" t="str">
        <f aca="false">IF(B4332="","",IFERROR(INDEX(Clay_Brands!$A$2:$FZ$601,281,Sync!$D$6)&amp;"",""))</f>
        <v/>
      </c>
      <c r="F4332" s="23" t="str">
        <f aca="false">IF(B4332="","","outreach_sent")</f>
        <v/>
      </c>
      <c r="G4332" s="23" t="str">
        <f aca="false">IF(B4332="","","")</f>
        <v/>
      </c>
      <c r="H4332" s="23" t="str">
        <f aca="false">IF(B4332="","","")</f>
        <v/>
      </c>
      <c r="I4332" s="23" t="str">
        <f aca="false">IF(B4332="","","")</f>
        <v/>
      </c>
      <c r="J4332" s="23" t="str">
        <f aca="false">IF(B4332="","","touch_2; "&amp;IFERROR(INDEX(Clay_Brands!$A$2:$FZ$601,281,Sync!$D$10)&amp;"","")&amp;"; "&amp;IFERROR(INDEX(Clay_Brands!$A$2:$FZ$601,281,Sync!$D$9)&amp;"",""))</f>
        <v/>
      </c>
      <c r="K4332" s="32" t="s">
        <v>1367</v>
      </c>
    </row>
    <row r="4333" customFormat="false" ht="15" hidden="false" customHeight="false" outlineLevel="0" collapsed="false">
      <c r="A4333" s="23" t="str">
        <f aca="false">IF(B4333="","",B4333+(16*1000+282)/10000000)</f>
        <v/>
      </c>
      <c r="B4333" s="35" t="str">
        <f aca="false">IF(AND(IFERROR(N(INDEX(Clay_Brands!$A$2:$FZ$601,282,Sync!$D$12)),0)&gt;0,IFERROR(INDEX(Clay_Brands!$A$2:$FZ$601,282,Sync!$D$5)&amp;"","")&lt;&gt;"",OR(LEFT(IFERROR(INDEX(Clay_Brands!$A$2:$FZ$601,282,Sync!$D$5)&amp;"",""),6)&lt;&gt;"SAMPLE",Config!$B$19="Y")),IFERROR(N(INDEX(Clay_Brands!$A$2:$FZ$601,282,Sync!$D$12)),0),"")</f>
        <v/>
      </c>
      <c r="C4333" s="23" t="str">
        <f aca="false">IF(B4333="","","brand")</f>
        <v/>
      </c>
      <c r="D4333" s="23" t="str">
        <f aca="false">IF(B4333="","",IFERROR(INDEX(Brand_Log!$DV$2:$DV$201,MATCH(IFERROR(INDEX(Clay_Brands!$A$2:$FZ$601,282,Sync!$D$5)&amp;"",""),Brand_Log!$A$2:$A$201,0))&amp;"",IFERROR(INDEX(Clay_Brands!$A$2:$FZ$601,282,Sync!$D$5)&amp;"","")&amp;""))</f>
        <v/>
      </c>
      <c r="E4333" s="23" t="str">
        <f aca="false">IF(B4333="","",IFERROR(INDEX(Clay_Brands!$A$2:$FZ$601,282,Sync!$D$6)&amp;"",""))</f>
        <v/>
      </c>
      <c r="F4333" s="23" t="str">
        <f aca="false">IF(B4333="","","outreach_sent")</f>
        <v/>
      </c>
      <c r="G4333" s="23" t="str">
        <f aca="false">IF(B4333="","","")</f>
        <v/>
      </c>
      <c r="H4333" s="23" t="str">
        <f aca="false">IF(B4333="","","")</f>
        <v/>
      </c>
      <c r="I4333" s="23" t="str">
        <f aca="false">IF(B4333="","","")</f>
        <v/>
      </c>
      <c r="J4333" s="23" t="str">
        <f aca="false">IF(B4333="","","touch_2; "&amp;IFERROR(INDEX(Clay_Brands!$A$2:$FZ$601,282,Sync!$D$10)&amp;"","")&amp;"; "&amp;IFERROR(INDEX(Clay_Brands!$A$2:$FZ$601,282,Sync!$D$9)&amp;"",""))</f>
        <v/>
      </c>
      <c r="K4333" s="32" t="s">
        <v>1367</v>
      </c>
    </row>
    <row r="4334" customFormat="false" ht="15" hidden="false" customHeight="false" outlineLevel="0" collapsed="false">
      <c r="A4334" s="23" t="str">
        <f aca="false">IF(B4334="","",B4334+(16*1000+283)/10000000)</f>
        <v/>
      </c>
      <c r="B4334" s="35" t="str">
        <f aca="false">IF(AND(IFERROR(N(INDEX(Clay_Brands!$A$2:$FZ$601,283,Sync!$D$12)),0)&gt;0,IFERROR(INDEX(Clay_Brands!$A$2:$FZ$601,283,Sync!$D$5)&amp;"","")&lt;&gt;"",OR(LEFT(IFERROR(INDEX(Clay_Brands!$A$2:$FZ$601,283,Sync!$D$5)&amp;"",""),6)&lt;&gt;"SAMPLE",Config!$B$19="Y")),IFERROR(N(INDEX(Clay_Brands!$A$2:$FZ$601,283,Sync!$D$12)),0),"")</f>
        <v/>
      </c>
      <c r="C4334" s="23" t="str">
        <f aca="false">IF(B4334="","","brand")</f>
        <v/>
      </c>
      <c r="D4334" s="23" t="str">
        <f aca="false">IF(B4334="","",IFERROR(INDEX(Brand_Log!$DV$2:$DV$201,MATCH(IFERROR(INDEX(Clay_Brands!$A$2:$FZ$601,283,Sync!$D$5)&amp;"",""),Brand_Log!$A$2:$A$201,0))&amp;"",IFERROR(INDEX(Clay_Brands!$A$2:$FZ$601,283,Sync!$D$5)&amp;"","")&amp;""))</f>
        <v/>
      </c>
      <c r="E4334" s="23" t="str">
        <f aca="false">IF(B4334="","",IFERROR(INDEX(Clay_Brands!$A$2:$FZ$601,283,Sync!$D$6)&amp;"",""))</f>
        <v/>
      </c>
      <c r="F4334" s="23" t="str">
        <f aca="false">IF(B4334="","","outreach_sent")</f>
        <v/>
      </c>
      <c r="G4334" s="23" t="str">
        <f aca="false">IF(B4334="","","")</f>
        <v/>
      </c>
      <c r="H4334" s="23" t="str">
        <f aca="false">IF(B4334="","","")</f>
        <v/>
      </c>
      <c r="I4334" s="23" t="str">
        <f aca="false">IF(B4334="","","")</f>
        <v/>
      </c>
      <c r="J4334" s="23" t="str">
        <f aca="false">IF(B4334="","","touch_2; "&amp;IFERROR(INDEX(Clay_Brands!$A$2:$FZ$601,283,Sync!$D$10)&amp;"","")&amp;"; "&amp;IFERROR(INDEX(Clay_Brands!$A$2:$FZ$601,283,Sync!$D$9)&amp;"",""))</f>
        <v/>
      </c>
      <c r="K4334" s="32" t="s">
        <v>1367</v>
      </c>
    </row>
    <row r="4335" customFormat="false" ht="15" hidden="false" customHeight="false" outlineLevel="0" collapsed="false">
      <c r="A4335" s="23" t="str">
        <f aca="false">IF(B4335="","",B4335+(16*1000+284)/10000000)</f>
        <v/>
      </c>
      <c r="B4335" s="35" t="str">
        <f aca="false">IF(AND(IFERROR(N(INDEX(Clay_Brands!$A$2:$FZ$601,284,Sync!$D$12)),0)&gt;0,IFERROR(INDEX(Clay_Brands!$A$2:$FZ$601,284,Sync!$D$5)&amp;"","")&lt;&gt;"",OR(LEFT(IFERROR(INDEX(Clay_Brands!$A$2:$FZ$601,284,Sync!$D$5)&amp;"",""),6)&lt;&gt;"SAMPLE",Config!$B$19="Y")),IFERROR(N(INDEX(Clay_Brands!$A$2:$FZ$601,284,Sync!$D$12)),0),"")</f>
        <v/>
      </c>
      <c r="C4335" s="23" t="str">
        <f aca="false">IF(B4335="","","brand")</f>
        <v/>
      </c>
      <c r="D4335" s="23" t="str">
        <f aca="false">IF(B4335="","",IFERROR(INDEX(Brand_Log!$DV$2:$DV$201,MATCH(IFERROR(INDEX(Clay_Brands!$A$2:$FZ$601,284,Sync!$D$5)&amp;"",""),Brand_Log!$A$2:$A$201,0))&amp;"",IFERROR(INDEX(Clay_Brands!$A$2:$FZ$601,284,Sync!$D$5)&amp;"","")&amp;""))</f>
        <v/>
      </c>
      <c r="E4335" s="23" t="str">
        <f aca="false">IF(B4335="","",IFERROR(INDEX(Clay_Brands!$A$2:$FZ$601,284,Sync!$D$6)&amp;"",""))</f>
        <v/>
      </c>
      <c r="F4335" s="23" t="str">
        <f aca="false">IF(B4335="","","outreach_sent")</f>
        <v/>
      </c>
      <c r="G4335" s="23" t="str">
        <f aca="false">IF(B4335="","","")</f>
        <v/>
      </c>
      <c r="H4335" s="23" t="str">
        <f aca="false">IF(B4335="","","")</f>
        <v/>
      </c>
      <c r="I4335" s="23" t="str">
        <f aca="false">IF(B4335="","","")</f>
        <v/>
      </c>
      <c r="J4335" s="23" t="str">
        <f aca="false">IF(B4335="","","touch_2; "&amp;IFERROR(INDEX(Clay_Brands!$A$2:$FZ$601,284,Sync!$D$10)&amp;"","")&amp;"; "&amp;IFERROR(INDEX(Clay_Brands!$A$2:$FZ$601,284,Sync!$D$9)&amp;"",""))</f>
        <v/>
      </c>
      <c r="K4335" s="32" t="s">
        <v>1367</v>
      </c>
    </row>
    <row r="4336" customFormat="false" ht="15" hidden="false" customHeight="false" outlineLevel="0" collapsed="false">
      <c r="A4336" s="23" t="str">
        <f aca="false">IF(B4336="","",B4336+(16*1000+285)/10000000)</f>
        <v/>
      </c>
      <c r="B4336" s="35" t="str">
        <f aca="false">IF(AND(IFERROR(N(INDEX(Clay_Brands!$A$2:$FZ$601,285,Sync!$D$12)),0)&gt;0,IFERROR(INDEX(Clay_Brands!$A$2:$FZ$601,285,Sync!$D$5)&amp;"","")&lt;&gt;"",OR(LEFT(IFERROR(INDEX(Clay_Brands!$A$2:$FZ$601,285,Sync!$D$5)&amp;"",""),6)&lt;&gt;"SAMPLE",Config!$B$19="Y")),IFERROR(N(INDEX(Clay_Brands!$A$2:$FZ$601,285,Sync!$D$12)),0),"")</f>
        <v/>
      </c>
      <c r="C4336" s="23" t="str">
        <f aca="false">IF(B4336="","","brand")</f>
        <v/>
      </c>
      <c r="D4336" s="23" t="str">
        <f aca="false">IF(B4336="","",IFERROR(INDEX(Brand_Log!$DV$2:$DV$201,MATCH(IFERROR(INDEX(Clay_Brands!$A$2:$FZ$601,285,Sync!$D$5)&amp;"",""),Brand_Log!$A$2:$A$201,0))&amp;"",IFERROR(INDEX(Clay_Brands!$A$2:$FZ$601,285,Sync!$D$5)&amp;"","")&amp;""))</f>
        <v/>
      </c>
      <c r="E4336" s="23" t="str">
        <f aca="false">IF(B4336="","",IFERROR(INDEX(Clay_Brands!$A$2:$FZ$601,285,Sync!$D$6)&amp;"",""))</f>
        <v/>
      </c>
      <c r="F4336" s="23" t="str">
        <f aca="false">IF(B4336="","","outreach_sent")</f>
        <v/>
      </c>
      <c r="G4336" s="23" t="str">
        <f aca="false">IF(B4336="","","")</f>
        <v/>
      </c>
      <c r="H4336" s="23" t="str">
        <f aca="false">IF(B4336="","","")</f>
        <v/>
      </c>
      <c r="I4336" s="23" t="str">
        <f aca="false">IF(B4336="","","")</f>
        <v/>
      </c>
      <c r="J4336" s="23" t="str">
        <f aca="false">IF(B4336="","","touch_2; "&amp;IFERROR(INDEX(Clay_Brands!$A$2:$FZ$601,285,Sync!$D$10)&amp;"","")&amp;"; "&amp;IFERROR(INDEX(Clay_Brands!$A$2:$FZ$601,285,Sync!$D$9)&amp;"",""))</f>
        <v/>
      </c>
      <c r="K4336" s="32" t="s">
        <v>1367</v>
      </c>
    </row>
    <row r="4337" customFormat="false" ht="15" hidden="false" customHeight="false" outlineLevel="0" collapsed="false">
      <c r="A4337" s="23" t="str">
        <f aca="false">IF(B4337="","",B4337+(16*1000+286)/10000000)</f>
        <v/>
      </c>
      <c r="B4337" s="35" t="str">
        <f aca="false">IF(AND(IFERROR(N(INDEX(Clay_Brands!$A$2:$FZ$601,286,Sync!$D$12)),0)&gt;0,IFERROR(INDEX(Clay_Brands!$A$2:$FZ$601,286,Sync!$D$5)&amp;"","")&lt;&gt;"",OR(LEFT(IFERROR(INDEX(Clay_Brands!$A$2:$FZ$601,286,Sync!$D$5)&amp;"",""),6)&lt;&gt;"SAMPLE",Config!$B$19="Y")),IFERROR(N(INDEX(Clay_Brands!$A$2:$FZ$601,286,Sync!$D$12)),0),"")</f>
        <v/>
      </c>
      <c r="C4337" s="23" t="str">
        <f aca="false">IF(B4337="","","brand")</f>
        <v/>
      </c>
      <c r="D4337" s="23" t="str">
        <f aca="false">IF(B4337="","",IFERROR(INDEX(Brand_Log!$DV$2:$DV$201,MATCH(IFERROR(INDEX(Clay_Brands!$A$2:$FZ$601,286,Sync!$D$5)&amp;"",""),Brand_Log!$A$2:$A$201,0))&amp;"",IFERROR(INDEX(Clay_Brands!$A$2:$FZ$601,286,Sync!$D$5)&amp;"","")&amp;""))</f>
        <v/>
      </c>
      <c r="E4337" s="23" t="str">
        <f aca="false">IF(B4337="","",IFERROR(INDEX(Clay_Brands!$A$2:$FZ$601,286,Sync!$D$6)&amp;"",""))</f>
        <v/>
      </c>
      <c r="F4337" s="23" t="str">
        <f aca="false">IF(B4337="","","outreach_sent")</f>
        <v/>
      </c>
      <c r="G4337" s="23" t="str">
        <f aca="false">IF(B4337="","","")</f>
        <v/>
      </c>
      <c r="H4337" s="23" t="str">
        <f aca="false">IF(B4337="","","")</f>
        <v/>
      </c>
      <c r="I4337" s="23" t="str">
        <f aca="false">IF(B4337="","","")</f>
        <v/>
      </c>
      <c r="J4337" s="23" t="str">
        <f aca="false">IF(B4337="","","touch_2; "&amp;IFERROR(INDEX(Clay_Brands!$A$2:$FZ$601,286,Sync!$D$10)&amp;"","")&amp;"; "&amp;IFERROR(INDEX(Clay_Brands!$A$2:$FZ$601,286,Sync!$D$9)&amp;"",""))</f>
        <v/>
      </c>
      <c r="K4337" s="32" t="s">
        <v>1367</v>
      </c>
    </row>
    <row r="4338" customFormat="false" ht="15" hidden="false" customHeight="false" outlineLevel="0" collapsed="false">
      <c r="A4338" s="23" t="str">
        <f aca="false">IF(B4338="","",B4338+(16*1000+287)/10000000)</f>
        <v/>
      </c>
      <c r="B4338" s="35" t="str">
        <f aca="false">IF(AND(IFERROR(N(INDEX(Clay_Brands!$A$2:$FZ$601,287,Sync!$D$12)),0)&gt;0,IFERROR(INDEX(Clay_Brands!$A$2:$FZ$601,287,Sync!$D$5)&amp;"","")&lt;&gt;"",OR(LEFT(IFERROR(INDEX(Clay_Brands!$A$2:$FZ$601,287,Sync!$D$5)&amp;"",""),6)&lt;&gt;"SAMPLE",Config!$B$19="Y")),IFERROR(N(INDEX(Clay_Brands!$A$2:$FZ$601,287,Sync!$D$12)),0),"")</f>
        <v/>
      </c>
      <c r="C4338" s="23" t="str">
        <f aca="false">IF(B4338="","","brand")</f>
        <v/>
      </c>
      <c r="D4338" s="23" t="str">
        <f aca="false">IF(B4338="","",IFERROR(INDEX(Brand_Log!$DV$2:$DV$201,MATCH(IFERROR(INDEX(Clay_Brands!$A$2:$FZ$601,287,Sync!$D$5)&amp;"",""),Brand_Log!$A$2:$A$201,0))&amp;"",IFERROR(INDEX(Clay_Brands!$A$2:$FZ$601,287,Sync!$D$5)&amp;"","")&amp;""))</f>
        <v/>
      </c>
      <c r="E4338" s="23" t="str">
        <f aca="false">IF(B4338="","",IFERROR(INDEX(Clay_Brands!$A$2:$FZ$601,287,Sync!$D$6)&amp;"",""))</f>
        <v/>
      </c>
      <c r="F4338" s="23" t="str">
        <f aca="false">IF(B4338="","","outreach_sent")</f>
        <v/>
      </c>
      <c r="G4338" s="23" t="str">
        <f aca="false">IF(B4338="","","")</f>
        <v/>
      </c>
      <c r="H4338" s="23" t="str">
        <f aca="false">IF(B4338="","","")</f>
        <v/>
      </c>
      <c r="I4338" s="23" t="str">
        <f aca="false">IF(B4338="","","")</f>
        <v/>
      </c>
      <c r="J4338" s="23" t="str">
        <f aca="false">IF(B4338="","","touch_2; "&amp;IFERROR(INDEX(Clay_Brands!$A$2:$FZ$601,287,Sync!$D$10)&amp;"","")&amp;"; "&amp;IFERROR(INDEX(Clay_Brands!$A$2:$FZ$601,287,Sync!$D$9)&amp;"",""))</f>
        <v/>
      </c>
      <c r="K4338" s="32" t="s">
        <v>1367</v>
      </c>
    </row>
    <row r="4339" customFormat="false" ht="15" hidden="false" customHeight="false" outlineLevel="0" collapsed="false">
      <c r="A4339" s="23" t="str">
        <f aca="false">IF(B4339="","",B4339+(16*1000+288)/10000000)</f>
        <v/>
      </c>
      <c r="B4339" s="35" t="str">
        <f aca="false">IF(AND(IFERROR(N(INDEX(Clay_Brands!$A$2:$FZ$601,288,Sync!$D$12)),0)&gt;0,IFERROR(INDEX(Clay_Brands!$A$2:$FZ$601,288,Sync!$D$5)&amp;"","")&lt;&gt;"",OR(LEFT(IFERROR(INDEX(Clay_Brands!$A$2:$FZ$601,288,Sync!$D$5)&amp;"",""),6)&lt;&gt;"SAMPLE",Config!$B$19="Y")),IFERROR(N(INDEX(Clay_Brands!$A$2:$FZ$601,288,Sync!$D$12)),0),"")</f>
        <v/>
      </c>
      <c r="C4339" s="23" t="str">
        <f aca="false">IF(B4339="","","brand")</f>
        <v/>
      </c>
      <c r="D4339" s="23" t="str">
        <f aca="false">IF(B4339="","",IFERROR(INDEX(Brand_Log!$DV$2:$DV$201,MATCH(IFERROR(INDEX(Clay_Brands!$A$2:$FZ$601,288,Sync!$D$5)&amp;"",""),Brand_Log!$A$2:$A$201,0))&amp;"",IFERROR(INDEX(Clay_Brands!$A$2:$FZ$601,288,Sync!$D$5)&amp;"","")&amp;""))</f>
        <v/>
      </c>
      <c r="E4339" s="23" t="str">
        <f aca="false">IF(B4339="","",IFERROR(INDEX(Clay_Brands!$A$2:$FZ$601,288,Sync!$D$6)&amp;"",""))</f>
        <v/>
      </c>
      <c r="F4339" s="23" t="str">
        <f aca="false">IF(B4339="","","outreach_sent")</f>
        <v/>
      </c>
      <c r="G4339" s="23" t="str">
        <f aca="false">IF(B4339="","","")</f>
        <v/>
      </c>
      <c r="H4339" s="23" t="str">
        <f aca="false">IF(B4339="","","")</f>
        <v/>
      </c>
      <c r="I4339" s="23" t="str">
        <f aca="false">IF(B4339="","","")</f>
        <v/>
      </c>
      <c r="J4339" s="23" t="str">
        <f aca="false">IF(B4339="","","touch_2; "&amp;IFERROR(INDEX(Clay_Brands!$A$2:$FZ$601,288,Sync!$D$10)&amp;"","")&amp;"; "&amp;IFERROR(INDEX(Clay_Brands!$A$2:$FZ$601,288,Sync!$D$9)&amp;"",""))</f>
        <v/>
      </c>
      <c r="K4339" s="32" t="s">
        <v>1367</v>
      </c>
    </row>
    <row r="4340" customFormat="false" ht="15" hidden="false" customHeight="false" outlineLevel="0" collapsed="false">
      <c r="A4340" s="23" t="str">
        <f aca="false">IF(B4340="","",B4340+(16*1000+289)/10000000)</f>
        <v/>
      </c>
      <c r="B4340" s="35" t="str">
        <f aca="false">IF(AND(IFERROR(N(INDEX(Clay_Brands!$A$2:$FZ$601,289,Sync!$D$12)),0)&gt;0,IFERROR(INDEX(Clay_Brands!$A$2:$FZ$601,289,Sync!$D$5)&amp;"","")&lt;&gt;"",OR(LEFT(IFERROR(INDEX(Clay_Brands!$A$2:$FZ$601,289,Sync!$D$5)&amp;"",""),6)&lt;&gt;"SAMPLE",Config!$B$19="Y")),IFERROR(N(INDEX(Clay_Brands!$A$2:$FZ$601,289,Sync!$D$12)),0),"")</f>
        <v/>
      </c>
      <c r="C4340" s="23" t="str">
        <f aca="false">IF(B4340="","","brand")</f>
        <v/>
      </c>
      <c r="D4340" s="23" t="str">
        <f aca="false">IF(B4340="","",IFERROR(INDEX(Brand_Log!$DV$2:$DV$201,MATCH(IFERROR(INDEX(Clay_Brands!$A$2:$FZ$601,289,Sync!$D$5)&amp;"",""),Brand_Log!$A$2:$A$201,0))&amp;"",IFERROR(INDEX(Clay_Brands!$A$2:$FZ$601,289,Sync!$D$5)&amp;"","")&amp;""))</f>
        <v/>
      </c>
      <c r="E4340" s="23" t="str">
        <f aca="false">IF(B4340="","",IFERROR(INDEX(Clay_Brands!$A$2:$FZ$601,289,Sync!$D$6)&amp;"",""))</f>
        <v/>
      </c>
      <c r="F4340" s="23" t="str">
        <f aca="false">IF(B4340="","","outreach_sent")</f>
        <v/>
      </c>
      <c r="G4340" s="23" t="str">
        <f aca="false">IF(B4340="","","")</f>
        <v/>
      </c>
      <c r="H4340" s="23" t="str">
        <f aca="false">IF(B4340="","","")</f>
        <v/>
      </c>
      <c r="I4340" s="23" t="str">
        <f aca="false">IF(B4340="","","")</f>
        <v/>
      </c>
      <c r="J4340" s="23" t="str">
        <f aca="false">IF(B4340="","","touch_2; "&amp;IFERROR(INDEX(Clay_Brands!$A$2:$FZ$601,289,Sync!$D$10)&amp;"","")&amp;"; "&amp;IFERROR(INDEX(Clay_Brands!$A$2:$FZ$601,289,Sync!$D$9)&amp;"",""))</f>
        <v/>
      </c>
      <c r="K4340" s="32" t="s">
        <v>1367</v>
      </c>
    </row>
    <row r="4341" customFormat="false" ht="15" hidden="false" customHeight="false" outlineLevel="0" collapsed="false">
      <c r="A4341" s="23" t="str">
        <f aca="false">IF(B4341="","",B4341+(16*1000+290)/10000000)</f>
        <v/>
      </c>
      <c r="B4341" s="35" t="str">
        <f aca="false">IF(AND(IFERROR(N(INDEX(Clay_Brands!$A$2:$FZ$601,290,Sync!$D$12)),0)&gt;0,IFERROR(INDEX(Clay_Brands!$A$2:$FZ$601,290,Sync!$D$5)&amp;"","")&lt;&gt;"",OR(LEFT(IFERROR(INDEX(Clay_Brands!$A$2:$FZ$601,290,Sync!$D$5)&amp;"",""),6)&lt;&gt;"SAMPLE",Config!$B$19="Y")),IFERROR(N(INDEX(Clay_Brands!$A$2:$FZ$601,290,Sync!$D$12)),0),"")</f>
        <v/>
      </c>
      <c r="C4341" s="23" t="str">
        <f aca="false">IF(B4341="","","brand")</f>
        <v/>
      </c>
      <c r="D4341" s="23" t="str">
        <f aca="false">IF(B4341="","",IFERROR(INDEX(Brand_Log!$DV$2:$DV$201,MATCH(IFERROR(INDEX(Clay_Brands!$A$2:$FZ$601,290,Sync!$D$5)&amp;"",""),Brand_Log!$A$2:$A$201,0))&amp;"",IFERROR(INDEX(Clay_Brands!$A$2:$FZ$601,290,Sync!$D$5)&amp;"","")&amp;""))</f>
        <v/>
      </c>
      <c r="E4341" s="23" t="str">
        <f aca="false">IF(B4341="","",IFERROR(INDEX(Clay_Brands!$A$2:$FZ$601,290,Sync!$D$6)&amp;"",""))</f>
        <v/>
      </c>
      <c r="F4341" s="23" t="str">
        <f aca="false">IF(B4341="","","outreach_sent")</f>
        <v/>
      </c>
      <c r="G4341" s="23" t="str">
        <f aca="false">IF(B4341="","","")</f>
        <v/>
      </c>
      <c r="H4341" s="23" t="str">
        <f aca="false">IF(B4341="","","")</f>
        <v/>
      </c>
      <c r="I4341" s="23" t="str">
        <f aca="false">IF(B4341="","","")</f>
        <v/>
      </c>
      <c r="J4341" s="23" t="str">
        <f aca="false">IF(B4341="","","touch_2; "&amp;IFERROR(INDEX(Clay_Brands!$A$2:$FZ$601,290,Sync!$D$10)&amp;"","")&amp;"; "&amp;IFERROR(INDEX(Clay_Brands!$A$2:$FZ$601,290,Sync!$D$9)&amp;"",""))</f>
        <v/>
      </c>
      <c r="K4341" s="32" t="s">
        <v>1367</v>
      </c>
    </row>
    <row r="4342" customFormat="false" ht="15" hidden="false" customHeight="false" outlineLevel="0" collapsed="false">
      <c r="A4342" s="23" t="str">
        <f aca="false">IF(B4342="","",B4342+(16*1000+291)/10000000)</f>
        <v/>
      </c>
      <c r="B4342" s="35" t="str">
        <f aca="false">IF(AND(IFERROR(N(INDEX(Clay_Brands!$A$2:$FZ$601,291,Sync!$D$12)),0)&gt;0,IFERROR(INDEX(Clay_Brands!$A$2:$FZ$601,291,Sync!$D$5)&amp;"","")&lt;&gt;"",OR(LEFT(IFERROR(INDEX(Clay_Brands!$A$2:$FZ$601,291,Sync!$D$5)&amp;"",""),6)&lt;&gt;"SAMPLE",Config!$B$19="Y")),IFERROR(N(INDEX(Clay_Brands!$A$2:$FZ$601,291,Sync!$D$12)),0),"")</f>
        <v/>
      </c>
      <c r="C4342" s="23" t="str">
        <f aca="false">IF(B4342="","","brand")</f>
        <v/>
      </c>
      <c r="D4342" s="23" t="str">
        <f aca="false">IF(B4342="","",IFERROR(INDEX(Brand_Log!$DV$2:$DV$201,MATCH(IFERROR(INDEX(Clay_Brands!$A$2:$FZ$601,291,Sync!$D$5)&amp;"",""),Brand_Log!$A$2:$A$201,0))&amp;"",IFERROR(INDEX(Clay_Brands!$A$2:$FZ$601,291,Sync!$D$5)&amp;"","")&amp;""))</f>
        <v/>
      </c>
      <c r="E4342" s="23" t="str">
        <f aca="false">IF(B4342="","",IFERROR(INDEX(Clay_Brands!$A$2:$FZ$601,291,Sync!$D$6)&amp;"",""))</f>
        <v/>
      </c>
      <c r="F4342" s="23" t="str">
        <f aca="false">IF(B4342="","","outreach_sent")</f>
        <v/>
      </c>
      <c r="G4342" s="23" t="str">
        <f aca="false">IF(B4342="","","")</f>
        <v/>
      </c>
      <c r="H4342" s="23" t="str">
        <f aca="false">IF(B4342="","","")</f>
        <v/>
      </c>
      <c r="I4342" s="23" t="str">
        <f aca="false">IF(B4342="","","")</f>
        <v/>
      </c>
      <c r="J4342" s="23" t="str">
        <f aca="false">IF(B4342="","","touch_2; "&amp;IFERROR(INDEX(Clay_Brands!$A$2:$FZ$601,291,Sync!$D$10)&amp;"","")&amp;"; "&amp;IFERROR(INDEX(Clay_Brands!$A$2:$FZ$601,291,Sync!$D$9)&amp;"",""))</f>
        <v/>
      </c>
      <c r="K4342" s="32" t="s">
        <v>1367</v>
      </c>
    </row>
    <row r="4343" customFormat="false" ht="15" hidden="false" customHeight="false" outlineLevel="0" collapsed="false">
      <c r="A4343" s="23" t="str">
        <f aca="false">IF(B4343="","",B4343+(16*1000+292)/10000000)</f>
        <v/>
      </c>
      <c r="B4343" s="35" t="str">
        <f aca="false">IF(AND(IFERROR(N(INDEX(Clay_Brands!$A$2:$FZ$601,292,Sync!$D$12)),0)&gt;0,IFERROR(INDEX(Clay_Brands!$A$2:$FZ$601,292,Sync!$D$5)&amp;"","")&lt;&gt;"",OR(LEFT(IFERROR(INDEX(Clay_Brands!$A$2:$FZ$601,292,Sync!$D$5)&amp;"",""),6)&lt;&gt;"SAMPLE",Config!$B$19="Y")),IFERROR(N(INDEX(Clay_Brands!$A$2:$FZ$601,292,Sync!$D$12)),0),"")</f>
        <v/>
      </c>
      <c r="C4343" s="23" t="str">
        <f aca="false">IF(B4343="","","brand")</f>
        <v/>
      </c>
      <c r="D4343" s="23" t="str">
        <f aca="false">IF(B4343="","",IFERROR(INDEX(Brand_Log!$DV$2:$DV$201,MATCH(IFERROR(INDEX(Clay_Brands!$A$2:$FZ$601,292,Sync!$D$5)&amp;"",""),Brand_Log!$A$2:$A$201,0))&amp;"",IFERROR(INDEX(Clay_Brands!$A$2:$FZ$601,292,Sync!$D$5)&amp;"","")&amp;""))</f>
        <v/>
      </c>
      <c r="E4343" s="23" t="str">
        <f aca="false">IF(B4343="","",IFERROR(INDEX(Clay_Brands!$A$2:$FZ$601,292,Sync!$D$6)&amp;"",""))</f>
        <v/>
      </c>
      <c r="F4343" s="23" t="str">
        <f aca="false">IF(B4343="","","outreach_sent")</f>
        <v/>
      </c>
      <c r="G4343" s="23" t="str">
        <f aca="false">IF(B4343="","","")</f>
        <v/>
      </c>
      <c r="H4343" s="23" t="str">
        <f aca="false">IF(B4343="","","")</f>
        <v/>
      </c>
      <c r="I4343" s="23" t="str">
        <f aca="false">IF(B4343="","","")</f>
        <v/>
      </c>
      <c r="J4343" s="23" t="str">
        <f aca="false">IF(B4343="","","touch_2; "&amp;IFERROR(INDEX(Clay_Brands!$A$2:$FZ$601,292,Sync!$D$10)&amp;"","")&amp;"; "&amp;IFERROR(INDEX(Clay_Brands!$A$2:$FZ$601,292,Sync!$D$9)&amp;"",""))</f>
        <v/>
      </c>
      <c r="K4343" s="32" t="s">
        <v>1367</v>
      </c>
    </row>
    <row r="4344" customFormat="false" ht="15" hidden="false" customHeight="false" outlineLevel="0" collapsed="false">
      <c r="A4344" s="23" t="str">
        <f aca="false">IF(B4344="","",B4344+(16*1000+293)/10000000)</f>
        <v/>
      </c>
      <c r="B4344" s="35" t="str">
        <f aca="false">IF(AND(IFERROR(N(INDEX(Clay_Brands!$A$2:$FZ$601,293,Sync!$D$12)),0)&gt;0,IFERROR(INDEX(Clay_Brands!$A$2:$FZ$601,293,Sync!$D$5)&amp;"","")&lt;&gt;"",OR(LEFT(IFERROR(INDEX(Clay_Brands!$A$2:$FZ$601,293,Sync!$D$5)&amp;"",""),6)&lt;&gt;"SAMPLE",Config!$B$19="Y")),IFERROR(N(INDEX(Clay_Brands!$A$2:$FZ$601,293,Sync!$D$12)),0),"")</f>
        <v/>
      </c>
      <c r="C4344" s="23" t="str">
        <f aca="false">IF(B4344="","","brand")</f>
        <v/>
      </c>
      <c r="D4344" s="23" t="str">
        <f aca="false">IF(B4344="","",IFERROR(INDEX(Brand_Log!$DV$2:$DV$201,MATCH(IFERROR(INDEX(Clay_Brands!$A$2:$FZ$601,293,Sync!$D$5)&amp;"",""),Brand_Log!$A$2:$A$201,0))&amp;"",IFERROR(INDEX(Clay_Brands!$A$2:$FZ$601,293,Sync!$D$5)&amp;"","")&amp;""))</f>
        <v/>
      </c>
      <c r="E4344" s="23" t="str">
        <f aca="false">IF(B4344="","",IFERROR(INDEX(Clay_Brands!$A$2:$FZ$601,293,Sync!$D$6)&amp;"",""))</f>
        <v/>
      </c>
      <c r="F4344" s="23" t="str">
        <f aca="false">IF(B4344="","","outreach_sent")</f>
        <v/>
      </c>
      <c r="G4344" s="23" t="str">
        <f aca="false">IF(B4344="","","")</f>
        <v/>
      </c>
      <c r="H4344" s="23" t="str">
        <f aca="false">IF(B4344="","","")</f>
        <v/>
      </c>
      <c r="I4344" s="23" t="str">
        <f aca="false">IF(B4344="","","")</f>
        <v/>
      </c>
      <c r="J4344" s="23" t="str">
        <f aca="false">IF(B4344="","","touch_2; "&amp;IFERROR(INDEX(Clay_Brands!$A$2:$FZ$601,293,Sync!$D$10)&amp;"","")&amp;"; "&amp;IFERROR(INDEX(Clay_Brands!$A$2:$FZ$601,293,Sync!$D$9)&amp;"",""))</f>
        <v/>
      </c>
      <c r="K4344" s="32" t="s">
        <v>1367</v>
      </c>
    </row>
    <row r="4345" customFormat="false" ht="15" hidden="false" customHeight="false" outlineLevel="0" collapsed="false">
      <c r="A4345" s="23" t="str">
        <f aca="false">IF(B4345="","",B4345+(16*1000+294)/10000000)</f>
        <v/>
      </c>
      <c r="B4345" s="35" t="str">
        <f aca="false">IF(AND(IFERROR(N(INDEX(Clay_Brands!$A$2:$FZ$601,294,Sync!$D$12)),0)&gt;0,IFERROR(INDEX(Clay_Brands!$A$2:$FZ$601,294,Sync!$D$5)&amp;"","")&lt;&gt;"",OR(LEFT(IFERROR(INDEX(Clay_Brands!$A$2:$FZ$601,294,Sync!$D$5)&amp;"",""),6)&lt;&gt;"SAMPLE",Config!$B$19="Y")),IFERROR(N(INDEX(Clay_Brands!$A$2:$FZ$601,294,Sync!$D$12)),0),"")</f>
        <v/>
      </c>
      <c r="C4345" s="23" t="str">
        <f aca="false">IF(B4345="","","brand")</f>
        <v/>
      </c>
      <c r="D4345" s="23" t="str">
        <f aca="false">IF(B4345="","",IFERROR(INDEX(Brand_Log!$DV$2:$DV$201,MATCH(IFERROR(INDEX(Clay_Brands!$A$2:$FZ$601,294,Sync!$D$5)&amp;"",""),Brand_Log!$A$2:$A$201,0))&amp;"",IFERROR(INDEX(Clay_Brands!$A$2:$FZ$601,294,Sync!$D$5)&amp;"","")&amp;""))</f>
        <v/>
      </c>
      <c r="E4345" s="23" t="str">
        <f aca="false">IF(B4345="","",IFERROR(INDEX(Clay_Brands!$A$2:$FZ$601,294,Sync!$D$6)&amp;"",""))</f>
        <v/>
      </c>
      <c r="F4345" s="23" t="str">
        <f aca="false">IF(B4345="","","outreach_sent")</f>
        <v/>
      </c>
      <c r="G4345" s="23" t="str">
        <f aca="false">IF(B4345="","","")</f>
        <v/>
      </c>
      <c r="H4345" s="23" t="str">
        <f aca="false">IF(B4345="","","")</f>
        <v/>
      </c>
      <c r="I4345" s="23" t="str">
        <f aca="false">IF(B4345="","","")</f>
        <v/>
      </c>
      <c r="J4345" s="23" t="str">
        <f aca="false">IF(B4345="","","touch_2; "&amp;IFERROR(INDEX(Clay_Brands!$A$2:$FZ$601,294,Sync!$D$10)&amp;"","")&amp;"; "&amp;IFERROR(INDEX(Clay_Brands!$A$2:$FZ$601,294,Sync!$D$9)&amp;"",""))</f>
        <v/>
      </c>
      <c r="K4345" s="32" t="s">
        <v>1367</v>
      </c>
    </row>
    <row r="4346" customFormat="false" ht="15" hidden="false" customHeight="false" outlineLevel="0" collapsed="false">
      <c r="A4346" s="23" t="str">
        <f aca="false">IF(B4346="","",B4346+(16*1000+295)/10000000)</f>
        <v/>
      </c>
      <c r="B4346" s="35" t="str">
        <f aca="false">IF(AND(IFERROR(N(INDEX(Clay_Brands!$A$2:$FZ$601,295,Sync!$D$12)),0)&gt;0,IFERROR(INDEX(Clay_Brands!$A$2:$FZ$601,295,Sync!$D$5)&amp;"","")&lt;&gt;"",OR(LEFT(IFERROR(INDEX(Clay_Brands!$A$2:$FZ$601,295,Sync!$D$5)&amp;"",""),6)&lt;&gt;"SAMPLE",Config!$B$19="Y")),IFERROR(N(INDEX(Clay_Brands!$A$2:$FZ$601,295,Sync!$D$12)),0),"")</f>
        <v/>
      </c>
      <c r="C4346" s="23" t="str">
        <f aca="false">IF(B4346="","","brand")</f>
        <v/>
      </c>
      <c r="D4346" s="23" t="str">
        <f aca="false">IF(B4346="","",IFERROR(INDEX(Brand_Log!$DV$2:$DV$201,MATCH(IFERROR(INDEX(Clay_Brands!$A$2:$FZ$601,295,Sync!$D$5)&amp;"",""),Brand_Log!$A$2:$A$201,0))&amp;"",IFERROR(INDEX(Clay_Brands!$A$2:$FZ$601,295,Sync!$D$5)&amp;"","")&amp;""))</f>
        <v/>
      </c>
      <c r="E4346" s="23" t="str">
        <f aca="false">IF(B4346="","",IFERROR(INDEX(Clay_Brands!$A$2:$FZ$601,295,Sync!$D$6)&amp;"",""))</f>
        <v/>
      </c>
      <c r="F4346" s="23" t="str">
        <f aca="false">IF(B4346="","","outreach_sent")</f>
        <v/>
      </c>
      <c r="G4346" s="23" t="str">
        <f aca="false">IF(B4346="","","")</f>
        <v/>
      </c>
      <c r="H4346" s="23" t="str">
        <f aca="false">IF(B4346="","","")</f>
        <v/>
      </c>
      <c r="I4346" s="23" t="str">
        <f aca="false">IF(B4346="","","")</f>
        <v/>
      </c>
      <c r="J4346" s="23" t="str">
        <f aca="false">IF(B4346="","","touch_2; "&amp;IFERROR(INDEX(Clay_Brands!$A$2:$FZ$601,295,Sync!$D$10)&amp;"","")&amp;"; "&amp;IFERROR(INDEX(Clay_Brands!$A$2:$FZ$601,295,Sync!$D$9)&amp;"",""))</f>
        <v/>
      </c>
      <c r="K4346" s="32" t="s">
        <v>1367</v>
      </c>
    </row>
    <row r="4347" customFormat="false" ht="15" hidden="false" customHeight="false" outlineLevel="0" collapsed="false">
      <c r="A4347" s="23" t="str">
        <f aca="false">IF(B4347="","",B4347+(16*1000+296)/10000000)</f>
        <v/>
      </c>
      <c r="B4347" s="35" t="str">
        <f aca="false">IF(AND(IFERROR(N(INDEX(Clay_Brands!$A$2:$FZ$601,296,Sync!$D$12)),0)&gt;0,IFERROR(INDEX(Clay_Brands!$A$2:$FZ$601,296,Sync!$D$5)&amp;"","")&lt;&gt;"",OR(LEFT(IFERROR(INDEX(Clay_Brands!$A$2:$FZ$601,296,Sync!$D$5)&amp;"",""),6)&lt;&gt;"SAMPLE",Config!$B$19="Y")),IFERROR(N(INDEX(Clay_Brands!$A$2:$FZ$601,296,Sync!$D$12)),0),"")</f>
        <v/>
      </c>
      <c r="C4347" s="23" t="str">
        <f aca="false">IF(B4347="","","brand")</f>
        <v/>
      </c>
      <c r="D4347" s="23" t="str">
        <f aca="false">IF(B4347="","",IFERROR(INDEX(Brand_Log!$DV$2:$DV$201,MATCH(IFERROR(INDEX(Clay_Brands!$A$2:$FZ$601,296,Sync!$D$5)&amp;"",""),Brand_Log!$A$2:$A$201,0))&amp;"",IFERROR(INDEX(Clay_Brands!$A$2:$FZ$601,296,Sync!$D$5)&amp;"","")&amp;""))</f>
        <v/>
      </c>
      <c r="E4347" s="23" t="str">
        <f aca="false">IF(B4347="","",IFERROR(INDEX(Clay_Brands!$A$2:$FZ$601,296,Sync!$D$6)&amp;"",""))</f>
        <v/>
      </c>
      <c r="F4347" s="23" t="str">
        <f aca="false">IF(B4347="","","outreach_sent")</f>
        <v/>
      </c>
      <c r="G4347" s="23" t="str">
        <f aca="false">IF(B4347="","","")</f>
        <v/>
      </c>
      <c r="H4347" s="23" t="str">
        <f aca="false">IF(B4347="","","")</f>
        <v/>
      </c>
      <c r="I4347" s="23" t="str">
        <f aca="false">IF(B4347="","","")</f>
        <v/>
      </c>
      <c r="J4347" s="23" t="str">
        <f aca="false">IF(B4347="","","touch_2; "&amp;IFERROR(INDEX(Clay_Brands!$A$2:$FZ$601,296,Sync!$D$10)&amp;"","")&amp;"; "&amp;IFERROR(INDEX(Clay_Brands!$A$2:$FZ$601,296,Sync!$D$9)&amp;"",""))</f>
        <v/>
      </c>
      <c r="K4347" s="32" t="s">
        <v>1367</v>
      </c>
    </row>
    <row r="4348" customFormat="false" ht="15" hidden="false" customHeight="false" outlineLevel="0" collapsed="false">
      <c r="A4348" s="23" t="str">
        <f aca="false">IF(B4348="","",B4348+(16*1000+297)/10000000)</f>
        <v/>
      </c>
      <c r="B4348" s="35" t="str">
        <f aca="false">IF(AND(IFERROR(N(INDEX(Clay_Brands!$A$2:$FZ$601,297,Sync!$D$12)),0)&gt;0,IFERROR(INDEX(Clay_Brands!$A$2:$FZ$601,297,Sync!$D$5)&amp;"","")&lt;&gt;"",OR(LEFT(IFERROR(INDEX(Clay_Brands!$A$2:$FZ$601,297,Sync!$D$5)&amp;"",""),6)&lt;&gt;"SAMPLE",Config!$B$19="Y")),IFERROR(N(INDEX(Clay_Brands!$A$2:$FZ$601,297,Sync!$D$12)),0),"")</f>
        <v/>
      </c>
      <c r="C4348" s="23" t="str">
        <f aca="false">IF(B4348="","","brand")</f>
        <v/>
      </c>
      <c r="D4348" s="23" t="str">
        <f aca="false">IF(B4348="","",IFERROR(INDEX(Brand_Log!$DV$2:$DV$201,MATCH(IFERROR(INDEX(Clay_Brands!$A$2:$FZ$601,297,Sync!$D$5)&amp;"",""),Brand_Log!$A$2:$A$201,0))&amp;"",IFERROR(INDEX(Clay_Brands!$A$2:$FZ$601,297,Sync!$D$5)&amp;"","")&amp;""))</f>
        <v/>
      </c>
      <c r="E4348" s="23" t="str">
        <f aca="false">IF(B4348="","",IFERROR(INDEX(Clay_Brands!$A$2:$FZ$601,297,Sync!$D$6)&amp;"",""))</f>
        <v/>
      </c>
      <c r="F4348" s="23" t="str">
        <f aca="false">IF(B4348="","","outreach_sent")</f>
        <v/>
      </c>
      <c r="G4348" s="23" t="str">
        <f aca="false">IF(B4348="","","")</f>
        <v/>
      </c>
      <c r="H4348" s="23" t="str">
        <f aca="false">IF(B4348="","","")</f>
        <v/>
      </c>
      <c r="I4348" s="23" t="str">
        <f aca="false">IF(B4348="","","")</f>
        <v/>
      </c>
      <c r="J4348" s="23" t="str">
        <f aca="false">IF(B4348="","","touch_2; "&amp;IFERROR(INDEX(Clay_Brands!$A$2:$FZ$601,297,Sync!$D$10)&amp;"","")&amp;"; "&amp;IFERROR(INDEX(Clay_Brands!$A$2:$FZ$601,297,Sync!$D$9)&amp;"",""))</f>
        <v/>
      </c>
      <c r="K4348" s="32" t="s">
        <v>1367</v>
      </c>
    </row>
    <row r="4349" customFormat="false" ht="15" hidden="false" customHeight="false" outlineLevel="0" collapsed="false">
      <c r="A4349" s="23" t="str">
        <f aca="false">IF(B4349="","",B4349+(16*1000+298)/10000000)</f>
        <v/>
      </c>
      <c r="B4349" s="35" t="str">
        <f aca="false">IF(AND(IFERROR(N(INDEX(Clay_Brands!$A$2:$FZ$601,298,Sync!$D$12)),0)&gt;0,IFERROR(INDEX(Clay_Brands!$A$2:$FZ$601,298,Sync!$D$5)&amp;"","")&lt;&gt;"",OR(LEFT(IFERROR(INDEX(Clay_Brands!$A$2:$FZ$601,298,Sync!$D$5)&amp;"",""),6)&lt;&gt;"SAMPLE",Config!$B$19="Y")),IFERROR(N(INDEX(Clay_Brands!$A$2:$FZ$601,298,Sync!$D$12)),0),"")</f>
        <v/>
      </c>
      <c r="C4349" s="23" t="str">
        <f aca="false">IF(B4349="","","brand")</f>
        <v/>
      </c>
      <c r="D4349" s="23" t="str">
        <f aca="false">IF(B4349="","",IFERROR(INDEX(Brand_Log!$DV$2:$DV$201,MATCH(IFERROR(INDEX(Clay_Brands!$A$2:$FZ$601,298,Sync!$D$5)&amp;"",""),Brand_Log!$A$2:$A$201,0))&amp;"",IFERROR(INDEX(Clay_Brands!$A$2:$FZ$601,298,Sync!$D$5)&amp;"","")&amp;""))</f>
        <v/>
      </c>
      <c r="E4349" s="23" t="str">
        <f aca="false">IF(B4349="","",IFERROR(INDEX(Clay_Brands!$A$2:$FZ$601,298,Sync!$D$6)&amp;"",""))</f>
        <v/>
      </c>
      <c r="F4349" s="23" t="str">
        <f aca="false">IF(B4349="","","outreach_sent")</f>
        <v/>
      </c>
      <c r="G4349" s="23" t="str">
        <f aca="false">IF(B4349="","","")</f>
        <v/>
      </c>
      <c r="H4349" s="23" t="str">
        <f aca="false">IF(B4349="","","")</f>
        <v/>
      </c>
      <c r="I4349" s="23" t="str">
        <f aca="false">IF(B4349="","","")</f>
        <v/>
      </c>
      <c r="J4349" s="23" t="str">
        <f aca="false">IF(B4349="","","touch_2; "&amp;IFERROR(INDEX(Clay_Brands!$A$2:$FZ$601,298,Sync!$D$10)&amp;"","")&amp;"; "&amp;IFERROR(INDEX(Clay_Brands!$A$2:$FZ$601,298,Sync!$D$9)&amp;"",""))</f>
        <v/>
      </c>
      <c r="K4349" s="32" t="s">
        <v>1367</v>
      </c>
    </row>
    <row r="4350" customFormat="false" ht="15" hidden="false" customHeight="false" outlineLevel="0" collapsed="false">
      <c r="A4350" s="23" t="str">
        <f aca="false">IF(B4350="","",B4350+(16*1000+299)/10000000)</f>
        <v/>
      </c>
      <c r="B4350" s="35" t="str">
        <f aca="false">IF(AND(IFERROR(N(INDEX(Clay_Brands!$A$2:$FZ$601,299,Sync!$D$12)),0)&gt;0,IFERROR(INDEX(Clay_Brands!$A$2:$FZ$601,299,Sync!$D$5)&amp;"","")&lt;&gt;"",OR(LEFT(IFERROR(INDEX(Clay_Brands!$A$2:$FZ$601,299,Sync!$D$5)&amp;"",""),6)&lt;&gt;"SAMPLE",Config!$B$19="Y")),IFERROR(N(INDEX(Clay_Brands!$A$2:$FZ$601,299,Sync!$D$12)),0),"")</f>
        <v/>
      </c>
      <c r="C4350" s="23" t="str">
        <f aca="false">IF(B4350="","","brand")</f>
        <v/>
      </c>
      <c r="D4350" s="23" t="str">
        <f aca="false">IF(B4350="","",IFERROR(INDEX(Brand_Log!$DV$2:$DV$201,MATCH(IFERROR(INDEX(Clay_Brands!$A$2:$FZ$601,299,Sync!$D$5)&amp;"",""),Brand_Log!$A$2:$A$201,0))&amp;"",IFERROR(INDEX(Clay_Brands!$A$2:$FZ$601,299,Sync!$D$5)&amp;"","")&amp;""))</f>
        <v/>
      </c>
      <c r="E4350" s="23" t="str">
        <f aca="false">IF(B4350="","",IFERROR(INDEX(Clay_Brands!$A$2:$FZ$601,299,Sync!$D$6)&amp;"",""))</f>
        <v/>
      </c>
      <c r="F4350" s="23" t="str">
        <f aca="false">IF(B4350="","","outreach_sent")</f>
        <v/>
      </c>
      <c r="G4350" s="23" t="str">
        <f aca="false">IF(B4350="","","")</f>
        <v/>
      </c>
      <c r="H4350" s="23" t="str">
        <f aca="false">IF(B4350="","","")</f>
        <v/>
      </c>
      <c r="I4350" s="23" t="str">
        <f aca="false">IF(B4350="","","")</f>
        <v/>
      </c>
      <c r="J4350" s="23" t="str">
        <f aca="false">IF(B4350="","","touch_2; "&amp;IFERROR(INDEX(Clay_Brands!$A$2:$FZ$601,299,Sync!$D$10)&amp;"","")&amp;"; "&amp;IFERROR(INDEX(Clay_Brands!$A$2:$FZ$601,299,Sync!$D$9)&amp;"",""))</f>
        <v/>
      </c>
      <c r="K4350" s="32" t="s">
        <v>1367</v>
      </c>
    </row>
    <row r="4351" customFormat="false" ht="15" hidden="false" customHeight="false" outlineLevel="0" collapsed="false">
      <c r="A4351" s="23" t="str">
        <f aca="false">IF(B4351="","",B4351+(16*1000+300)/10000000)</f>
        <v/>
      </c>
      <c r="B4351" s="35" t="str">
        <f aca="false">IF(AND(IFERROR(N(INDEX(Clay_Brands!$A$2:$FZ$601,300,Sync!$D$12)),0)&gt;0,IFERROR(INDEX(Clay_Brands!$A$2:$FZ$601,300,Sync!$D$5)&amp;"","")&lt;&gt;"",OR(LEFT(IFERROR(INDEX(Clay_Brands!$A$2:$FZ$601,300,Sync!$D$5)&amp;"",""),6)&lt;&gt;"SAMPLE",Config!$B$19="Y")),IFERROR(N(INDEX(Clay_Brands!$A$2:$FZ$601,300,Sync!$D$12)),0),"")</f>
        <v/>
      </c>
      <c r="C4351" s="23" t="str">
        <f aca="false">IF(B4351="","","brand")</f>
        <v/>
      </c>
      <c r="D4351" s="23" t="str">
        <f aca="false">IF(B4351="","",IFERROR(INDEX(Brand_Log!$DV$2:$DV$201,MATCH(IFERROR(INDEX(Clay_Brands!$A$2:$FZ$601,300,Sync!$D$5)&amp;"",""),Brand_Log!$A$2:$A$201,0))&amp;"",IFERROR(INDEX(Clay_Brands!$A$2:$FZ$601,300,Sync!$D$5)&amp;"","")&amp;""))</f>
        <v/>
      </c>
      <c r="E4351" s="23" t="str">
        <f aca="false">IF(B4351="","",IFERROR(INDEX(Clay_Brands!$A$2:$FZ$601,300,Sync!$D$6)&amp;"",""))</f>
        <v/>
      </c>
      <c r="F4351" s="23" t="str">
        <f aca="false">IF(B4351="","","outreach_sent")</f>
        <v/>
      </c>
      <c r="G4351" s="23" t="str">
        <f aca="false">IF(B4351="","","")</f>
        <v/>
      </c>
      <c r="H4351" s="23" t="str">
        <f aca="false">IF(B4351="","","")</f>
        <v/>
      </c>
      <c r="I4351" s="23" t="str">
        <f aca="false">IF(B4351="","","")</f>
        <v/>
      </c>
      <c r="J4351" s="23" t="str">
        <f aca="false">IF(B4351="","","touch_2; "&amp;IFERROR(INDEX(Clay_Brands!$A$2:$FZ$601,300,Sync!$D$10)&amp;"","")&amp;"; "&amp;IFERROR(INDEX(Clay_Brands!$A$2:$FZ$601,300,Sync!$D$9)&amp;"",""))</f>
        <v/>
      </c>
      <c r="K4351" s="32" t="s">
        <v>1367</v>
      </c>
    </row>
    <row r="4352" customFormat="false" ht="15" hidden="false" customHeight="false" outlineLevel="0" collapsed="false">
      <c r="A4352" s="23" t="str">
        <f aca="false">IF(B4352="","",B4352+(16*1000+301)/10000000)</f>
        <v/>
      </c>
      <c r="B4352" s="35" t="str">
        <f aca="false">IF(AND(IFERROR(N(INDEX(Clay_Brands!$A$2:$FZ$601,301,Sync!$D$12)),0)&gt;0,IFERROR(INDEX(Clay_Brands!$A$2:$FZ$601,301,Sync!$D$5)&amp;"","")&lt;&gt;"",OR(LEFT(IFERROR(INDEX(Clay_Brands!$A$2:$FZ$601,301,Sync!$D$5)&amp;"",""),6)&lt;&gt;"SAMPLE",Config!$B$19="Y")),IFERROR(N(INDEX(Clay_Brands!$A$2:$FZ$601,301,Sync!$D$12)),0),"")</f>
        <v/>
      </c>
      <c r="C4352" s="23" t="str">
        <f aca="false">IF(B4352="","","brand")</f>
        <v/>
      </c>
      <c r="D4352" s="23" t="str">
        <f aca="false">IF(B4352="","",IFERROR(INDEX(Brand_Log!$DV$2:$DV$201,MATCH(IFERROR(INDEX(Clay_Brands!$A$2:$FZ$601,301,Sync!$D$5)&amp;"",""),Brand_Log!$A$2:$A$201,0))&amp;"",IFERROR(INDEX(Clay_Brands!$A$2:$FZ$601,301,Sync!$D$5)&amp;"","")&amp;""))</f>
        <v/>
      </c>
      <c r="E4352" s="23" t="str">
        <f aca="false">IF(B4352="","",IFERROR(INDEX(Clay_Brands!$A$2:$FZ$601,301,Sync!$D$6)&amp;"",""))</f>
        <v/>
      </c>
      <c r="F4352" s="23" t="str">
        <f aca="false">IF(B4352="","","outreach_sent")</f>
        <v/>
      </c>
      <c r="G4352" s="23" t="str">
        <f aca="false">IF(B4352="","","")</f>
        <v/>
      </c>
      <c r="H4352" s="23" t="str">
        <f aca="false">IF(B4352="","","")</f>
        <v/>
      </c>
      <c r="I4352" s="23" t="str">
        <f aca="false">IF(B4352="","","")</f>
        <v/>
      </c>
      <c r="J4352" s="23" t="str">
        <f aca="false">IF(B4352="","","touch_2; "&amp;IFERROR(INDEX(Clay_Brands!$A$2:$FZ$601,301,Sync!$D$10)&amp;"","")&amp;"; "&amp;IFERROR(INDEX(Clay_Brands!$A$2:$FZ$601,301,Sync!$D$9)&amp;"",""))</f>
        <v/>
      </c>
      <c r="K4352" s="32" t="s">
        <v>1367</v>
      </c>
    </row>
    <row r="4353" customFormat="false" ht="15" hidden="false" customHeight="false" outlineLevel="0" collapsed="false">
      <c r="A4353" s="23" t="str">
        <f aca="false">IF(B4353="","",B4353+(16*1000+302)/10000000)</f>
        <v/>
      </c>
      <c r="B4353" s="35" t="str">
        <f aca="false">IF(AND(IFERROR(N(INDEX(Clay_Brands!$A$2:$FZ$601,302,Sync!$D$12)),0)&gt;0,IFERROR(INDEX(Clay_Brands!$A$2:$FZ$601,302,Sync!$D$5)&amp;"","")&lt;&gt;"",OR(LEFT(IFERROR(INDEX(Clay_Brands!$A$2:$FZ$601,302,Sync!$D$5)&amp;"",""),6)&lt;&gt;"SAMPLE",Config!$B$19="Y")),IFERROR(N(INDEX(Clay_Brands!$A$2:$FZ$601,302,Sync!$D$12)),0),"")</f>
        <v/>
      </c>
      <c r="C4353" s="23" t="str">
        <f aca="false">IF(B4353="","","brand")</f>
        <v/>
      </c>
      <c r="D4353" s="23" t="str">
        <f aca="false">IF(B4353="","",IFERROR(INDEX(Brand_Log!$DV$2:$DV$201,MATCH(IFERROR(INDEX(Clay_Brands!$A$2:$FZ$601,302,Sync!$D$5)&amp;"",""),Brand_Log!$A$2:$A$201,0))&amp;"",IFERROR(INDEX(Clay_Brands!$A$2:$FZ$601,302,Sync!$D$5)&amp;"","")&amp;""))</f>
        <v/>
      </c>
      <c r="E4353" s="23" t="str">
        <f aca="false">IF(B4353="","",IFERROR(INDEX(Clay_Brands!$A$2:$FZ$601,302,Sync!$D$6)&amp;"",""))</f>
        <v/>
      </c>
      <c r="F4353" s="23" t="str">
        <f aca="false">IF(B4353="","","outreach_sent")</f>
        <v/>
      </c>
      <c r="G4353" s="23" t="str">
        <f aca="false">IF(B4353="","","")</f>
        <v/>
      </c>
      <c r="H4353" s="23" t="str">
        <f aca="false">IF(B4353="","","")</f>
        <v/>
      </c>
      <c r="I4353" s="23" t="str">
        <f aca="false">IF(B4353="","","")</f>
        <v/>
      </c>
      <c r="J4353" s="23" t="str">
        <f aca="false">IF(B4353="","","touch_2; "&amp;IFERROR(INDEX(Clay_Brands!$A$2:$FZ$601,302,Sync!$D$10)&amp;"","")&amp;"; "&amp;IFERROR(INDEX(Clay_Brands!$A$2:$FZ$601,302,Sync!$D$9)&amp;"",""))</f>
        <v/>
      </c>
      <c r="K4353" s="32" t="s">
        <v>1367</v>
      </c>
    </row>
    <row r="4354" customFormat="false" ht="15" hidden="false" customHeight="false" outlineLevel="0" collapsed="false">
      <c r="A4354" s="23" t="str">
        <f aca="false">IF(B4354="","",B4354+(16*1000+303)/10000000)</f>
        <v/>
      </c>
      <c r="B4354" s="35" t="str">
        <f aca="false">IF(AND(IFERROR(N(INDEX(Clay_Brands!$A$2:$FZ$601,303,Sync!$D$12)),0)&gt;0,IFERROR(INDEX(Clay_Brands!$A$2:$FZ$601,303,Sync!$D$5)&amp;"","")&lt;&gt;"",OR(LEFT(IFERROR(INDEX(Clay_Brands!$A$2:$FZ$601,303,Sync!$D$5)&amp;"",""),6)&lt;&gt;"SAMPLE",Config!$B$19="Y")),IFERROR(N(INDEX(Clay_Brands!$A$2:$FZ$601,303,Sync!$D$12)),0),"")</f>
        <v/>
      </c>
      <c r="C4354" s="23" t="str">
        <f aca="false">IF(B4354="","","brand")</f>
        <v/>
      </c>
      <c r="D4354" s="23" t="str">
        <f aca="false">IF(B4354="","",IFERROR(INDEX(Brand_Log!$DV$2:$DV$201,MATCH(IFERROR(INDEX(Clay_Brands!$A$2:$FZ$601,303,Sync!$D$5)&amp;"",""),Brand_Log!$A$2:$A$201,0))&amp;"",IFERROR(INDEX(Clay_Brands!$A$2:$FZ$601,303,Sync!$D$5)&amp;"","")&amp;""))</f>
        <v/>
      </c>
      <c r="E4354" s="23" t="str">
        <f aca="false">IF(B4354="","",IFERROR(INDEX(Clay_Brands!$A$2:$FZ$601,303,Sync!$D$6)&amp;"",""))</f>
        <v/>
      </c>
      <c r="F4354" s="23" t="str">
        <f aca="false">IF(B4354="","","outreach_sent")</f>
        <v/>
      </c>
      <c r="G4354" s="23" t="str">
        <f aca="false">IF(B4354="","","")</f>
        <v/>
      </c>
      <c r="H4354" s="23" t="str">
        <f aca="false">IF(B4354="","","")</f>
        <v/>
      </c>
      <c r="I4354" s="23" t="str">
        <f aca="false">IF(B4354="","","")</f>
        <v/>
      </c>
      <c r="J4354" s="23" t="str">
        <f aca="false">IF(B4354="","","touch_2; "&amp;IFERROR(INDEX(Clay_Brands!$A$2:$FZ$601,303,Sync!$D$10)&amp;"","")&amp;"; "&amp;IFERROR(INDEX(Clay_Brands!$A$2:$FZ$601,303,Sync!$D$9)&amp;"",""))</f>
        <v/>
      </c>
      <c r="K4354" s="32" t="s">
        <v>1367</v>
      </c>
    </row>
    <row r="4355" customFormat="false" ht="15" hidden="false" customHeight="false" outlineLevel="0" collapsed="false">
      <c r="A4355" s="23" t="str">
        <f aca="false">IF(B4355="","",B4355+(16*1000+304)/10000000)</f>
        <v/>
      </c>
      <c r="B4355" s="35" t="str">
        <f aca="false">IF(AND(IFERROR(N(INDEX(Clay_Brands!$A$2:$FZ$601,304,Sync!$D$12)),0)&gt;0,IFERROR(INDEX(Clay_Brands!$A$2:$FZ$601,304,Sync!$D$5)&amp;"","")&lt;&gt;"",OR(LEFT(IFERROR(INDEX(Clay_Brands!$A$2:$FZ$601,304,Sync!$D$5)&amp;"",""),6)&lt;&gt;"SAMPLE",Config!$B$19="Y")),IFERROR(N(INDEX(Clay_Brands!$A$2:$FZ$601,304,Sync!$D$12)),0),"")</f>
        <v/>
      </c>
      <c r="C4355" s="23" t="str">
        <f aca="false">IF(B4355="","","brand")</f>
        <v/>
      </c>
      <c r="D4355" s="23" t="str">
        <f aca="false">IF(B4355="","",IFERROR(INDEX(Brand_Log!$DV$2:$DV$201,MATCH(IFERROR(INDEX(Clay_Brands!$A$2:$FZ$601,304,Sync!$D$5)&amp;"",""),Brand_Log!$A$2:$A$201,0))&amp;"",IFERROR(INDEX(Clay_Brands!$A$2:$FZ$601,304,Sync!$D$5)&amp;"","")&amp;""))</f>
        <v/>
      </c>
      <c r="E4355" s="23" t="str">
        <f aca="false">IF(B4355="","",IFERROR(INDEX(Clay_Brands!$A$2:$FZ$601,304,Sync!$D$6)&amp;"",""))</f>
        <v/>
      </c>
      <c r="F4355" s="23" t="str">
        <f aca="false">IF(B4355="","","outreach_sent")</f>
        <v/>
      </c>
      <c r="G4355" s="23" t="str">
        <f aca="false">IF(B4355="","","")</f>
        <v/>
      </c>
      <c r="H4355" s="23" t="str">
        <f aca="false">IF(B4355="","","")</f>
        <v/>
      </c>
      <c r="I4355" s="23" t="str">
        <f aca="false">IF(B4355="","","")</f>
        <v/>
      </c>
      <c r="J4355" s="23" t="str">
        <f aca="false">IF(B4355="","","touch_2; "&amp;IFERROR(INDEX(Clay_Brands!$A$2:$FZ$601,304,Sync!$D$10)&amp;"","")&amp;"; "&amp;IFERROR(INDEX(Clay_Brands!$A$2:$FZ$601,304,Sync!$D$9)&amp;"",""))</f>
        <v/>
      </c>
      <c r="K4355" s="32" t="s">
        <v>1367</v>
      </c>
    </row>
    <row r="4356" customFormat="false" ht="15" hidden="false" customHeight="false" outlineLevel="0" collapsed="false">
      <c r="A4356" s="23" t="str">
        <f aca="false">IF(B4356="","",B4356+(16*1000+305)/10000000)</f>
        <v/>
      </c>
      <c r="B4356" s="35" t="str">
        <f aca="false">IF(AND(IFERROR(N(INDEX(Clay_Brands!$A$2:$FZ$601,305,Sync!$D$12)),0)&gt;0,IFERROR(INDEX(Clay_Brands!$A$2:$FZ$601,305,Sync!$D$5)&amp;"","")&lt;&gt;"",OR(LEFT(IFERROR(INDEX(Clay_Brands!$A$2:$FZ$601,305,Sync!$D$5)&amp;"",""),6)&lt;&gt;"SAMPLE",Config!$B$19="Y")),IFERROR(N(INDEX(Clay_Brands!$A$2:$FZ$601,305,Sync!$D$12)),0),"")</f>
        <v/>
      </c>
      <c r="C4356" s="23" t="str">
        <f aca="false">IF(B4356="","","brand")</f>
        <v/>
      </c>
      <c r="D4356" s="23" t="str">
        <f aca="false">IF(B4356="","",IFERROR(INDEX(Brand_Log!$DV$2:$DV$201,MATCH(IFERROR(INDEX(Clay_Brands!$A$2:$FZ$601,305,Sync!$D$5)&amp;"",""),Brand_Log!$A$2:$A$201,0))&amp;"",IFERROR(INDEX(Clay_Brands!$A$2:$FZ$601,305,Sync!$D$5)&amp;"","")&amp;""))</f>
        <v/>
      </c>
      <c r="E4356" s="23" t="str">
        <f aca="false">IF(B4356="","",IFERROR(INDEX(Clay_Brands!$A$2:$FZ$601,305,Sync!$D$6)&amp;"",""))</f>
        <v/>
      </c>
      <c r="F4356" s="23" t="str">
        <f aca="false">IF(B4356="","","outreach_sent")</f>
        <v/>
      </c>
      <c r="G4356" s="23" t="str">
        <f aca="false">IF(B4356="","","")</f>
        <v/>
      </c>
      <c r="H4356" s="23" t="str">
        <f aca="false">IF(B4356="","","")</f>
        <v/>
      </c>
      <c r="I4356" s="23" t="str">
        <f aca="false">IF(B4356="","","")</f>
        <v/>
      </c>
      <c r="J4356" s="23" t="str">
        <f aca="false">IF(B4356="","","touch_2; "&amp;IFERROR(INDEX(Clay_Brands!$A$2:$FZ$601,305,Sync!$D$10)&amp;"","")&amp;"; "&amp;IFERROR(INDEX(Clay_Brands!$A$2:$FZ$601,305,Sync!$D$9)&amp;"",""))</f>
        <v/>
      </c>
      <c r="K4356" s="32" t="s">
        <v>1367</v>
      </c>
    </row>
    <row r="4357" customFormat="false" ht="15" hidden="false" customHeight="false" outlineLevel="0" collapsed="false">
      <c r="A4357" s="23" t="str">
        <f aca="false">IF(B4357="","",B4357+(16*1000+306)/10000000)</f>
        <v/>
      </c>
      <c r="B4357" s="35" t="str">
        <f aca="false">IF(AND(IFERROR(N(INDEX(Clay_Brands!$A$2:$FZ$601,306,Sync!$D$12)),0)&gt;0,IFERROR(INDEX(Clay_Brands!$A$2:$FZ$601,306,Sync!$D$5)&amp;"","")&lt;&gt;"",OR(LEFT(IFERROR(INDEX(Clay_Brands!$A$2:$FZ$601,306,Sync!$D$5)&amp;"",""),6)&lt;&gt;"SAMPLE",Config!$B$19="Y")),IFERROR(N(INDEX(Clay_Brands!$A$2:$FZ$601,306,Sync!$D$12)),0),"")</f>
        <v/>
      </c>
      <c r="C4357" s="23" t="str">
        <f aca="false">IF(B4357="","","brand")</f>
        <v/>
      </c>
      <c r="D4357" s="23" t="str">
        <f aca="false">IF(B4357="","",IFERROR(INDEX(Brand_Log!$DV$2:$DV$201,MATCH(IFERROR(INDEX(Clay_Brands!$A$2:$FZ$601,306,Sync!$D$5)&amp;"",""),Brand_Log!$A$2:$A$201,0))&amp;"",IFERROR(INDEX(Clay_Brands!$A$2:$FZ$601,306,Sync!$D$5)&amp;"","")&amp;""))</f>
        <v/>
      </c>
      <c r="E4357" s="23" t="str">
        <f aca="false">IF(B4357="","",IFERROR(INDEX(Clay_Brands!$A$2:$FZ$601,306,Sync!$D$6)&amp;"",""))</f>
        <v/>
      </c>
      <c r="F4357" s="23" t="str">
        <f aca="false">IF(B4357="","","outreach_sent")</f>
        <v/>
      </c>
      <c r="G4357" s="23" t="str">
        <f aca="false">IF(B4357="","","")</f>
        <v/>
      </c>
      <c r="H4357" s="23" t="str">
        <f aca="false">IF(B4357="","","")</f>
        <v/>
      </c>
      <c r="I4357" s="23" t="str">
        <f aca="false">IF(B4357="","","")</f>
        <v/>
      </c>
      <c r="J4357" s="23" t="str">
        <f aca="false">IF(B4357="","","touch_2; "&amp;IFERROR(INDEX(Clay_Brands!$A$2:$FZ$601,306,Sync!$D$10)&amp;"","")&amp;"; "&amp;IFERROR(INDEX(Clay_Brands!$A$2:$FZ$601,306,Sync!$D$9)&amp;"",""))</f>
        <v/>
      </c>
      <c r="K4357" s="32" t="s">
        <v>1367</v>
      </c>
    </row>
    <row r="4358" customFormat="false" ht="15" hidden="false" customHeight="false" outlineLevel="0" collapsed="false">
      <c r="A4358" s="23" t="str">
        <f aca="false">IF(B4358="","",B4358+(16*1000+307)/10000000)</f>
        <v/>
      </c>
      <c r="B4358" s="35" t="str">
        <f aca="false">IF(AND(IFERROR(N(INDEX(Clay_Brands!$A$2:$FZ$601,307,Sync!$D$12)),0)&gt;0,IFERROR(INDEX(Clay_Brands!$A$2:$FZ$601,307,Sync!$D$5)&amp;"","")&lt;&gt;"",OR(LEFT(IFERROR(INDEX(Clay_Brands!$A$2:$FZ$601,307,Sync!$D$5)&amp;"",""),6)&lt;&gt;"SAMPLE",Config!$B$19="Y")),IFERROR(N(INDEX(Clay_Brands!$A$2:$FZ$601,307,Sync!$D$12)),0),"")</f>
        <v/>
      </c>
      <c r="C4358" s="23" t="str">
        <f aca="false">IF(B4358="","","brand")</f>
        <v/>
      </c>
      <c r="D4358" s="23" t="str">
        <f aca="false">IF(B4358="","",IFERROR(INDEX(Brand_Log!$DV$2:$DV$201,MATCH(IFERROR(INDEX(Clay_Brands!$A$2:$FZ$601,307,Sync!$D$5)&amp;"",""),Brand_Log!$A$2:$A$201,0))&amp;"",IFERROR(INDEX(Clay_Brands!$A$2:$FZ$601,307,Sync!$D$5)&amp;"","")&amp;""))</f>
        <v/>
      </c>
      <c r="E4358" s="23" t="str">
        <f aca="false">IF(B4358="","",IFERROR(INDEX(Clay_Brands!$A$2:$FZ$601,307,Sync!$D$6)&amp;"",""))</f>
        <v/>
      </c>
      <c r="F4358" s="23" t="str">
        <f aca="false">IF(B4358="","","outreach_sent")</f>
        <v/>
      </c>
      <c r="G4358" s="23" t="str">
        <f aca="false">IF(B4358="","","")</f>
        <v/>
      </c>
      <c r="H4358" s="23" t="str">
        <f aca="false">IF(B4358="","","")</f>
        <v/>
      </c>
      <c r="I4358" s="23" t="str">
        <f aca="false">IF(B4358="","","")</f>
        <v/>
      </c>
      <c r="J4358" s="23" t="str">
        <f aca="false">IF(B4358="","","touch_2; "&amp;IFERROR(INDEX(Clay_Brands!$A$2:$FZ$601,307,Sync!$D$10)&amp;"","")&amp;"; "&amp;IFERROR(INDEX(Clay_Brands!$A$2:$FZ$601,307,Sync!$D$9)&amp;"",""))</f>
        <v/>
      </c>
      <c r="K4358" s="32" t="s">
        <v>1367</v>
      </c>
    </row>
    <row r="4359" customFormat="false" ht="15" hidden="false" customHeight="false" outlineLevel="0" collapsed="false">
      <c r="A4359" s="23" t="str">
        <f aca="false">IF(B4359="","",B4359+(16*1000+308)/10000000)</f>
        <v/>
      </c>
      <c r="B4359" s="35" t="str">
        <f aca="false">IF(AND(IFERROR(N(INDEX(Clay_Brands!$A$2:$FZ$601,308,Sync!$D$12)),0)&gt;0,IFERROR(INDEX(Clay_Brands!$A$2:$FZ$601,308,Sync!$D$5)&amp;"","")&lt;&gt;"",OR(LEFT(IFERROR(INDEX(Clay_Brands!$A$2:$FZ$601,308,Sync!$D$5)&amp;"",""),6)&lt;&gt;"SAMPLE",Config!$B$19="Y")),IFERROR(N(INDEX(Clay_Brands!$A$2:$FZ$601,308,Sync!$D$12)),0),"")</f>
        <v/>
      </c>
      <c r="C4359" s="23" t="str">
        <f aca="false">IF(B4359="","","brand")</f>
        <v/>
      </c>
      <c r="D4359" s="23" t="str">
        <f aca="false">IF(B4359="","",IFERROR(INDEX(Brand_Log!$DV$2:$DV$201,MATCH(IFERROR(INDEX(Clay_Brands!$A$2:$FZ$601,308,Sync!$D$5)&amp;"",""),Brand_Log!$A$2:$A$201,0))&amp;"",IFERROR(INDEX(Clay_Brands!$A$2:$FZ$601,308,Sync!$D$5)&amp;"","")&amp;""))</f>
        <v/>
      </c>
      <c r="E4359" s="23" t="str">
        <f aca="false">IF(B4359="","",IFERROR(INDEX(Clay_Brands!$A$2:$FZ$601,308,Sync!$D$6)&amp;"",""))</f>
        <v/>
      </c>
      <c r="F4359" s="23" t="str">
        <f aca="false">IF(B4359="","","outreach_sent")</f>
        <v/>
      </c>
      <c r="G4359" s="23" t="str">
        <f aca="false">IF(B4359="","","")</f>
        <v/>
      </c>
      <c r="H4359" s="23" t="str">
        <f aca="false">IF(B4359="","","")</f>
        <v/>
      </c>
      <c r="I4359" s="23" t="str">
        <f aca="false">IF(B4359="","","")</f>
        <v/>
      </c>
      <c r="J4359" s="23" t="str">
        <f aca="false">IF(B4359="","","touch_2; "&amp;IFERROR(INDEX(Clay_Brands!$A$2:$FZ$601,308,Sync!$D$10)&amp;"","")&amp;"; "&amp;IFERROR(INDEX(Clay_Brands!$A$2:$FZ$601,308,Sync!$D$9)&amp;"",""))</f>
        <v/>
      </c>
      <c r="K4359" s="32" t="s">
        <v>1367</v>
      </c>
    </row>
    <row r="4360" customFormat="false" ht="15" hidden="false" customHeight="false" outlineLevel="0" collapsed="false">
      <c r="A4360" s="23" t="str">
        <f aca="false">IF(B4360="","",B4360+(16*1000+309)/10000000)</f>
        <v/>
      </c>
      <c r="B4360" s="35" t="str">
        <f aca="false">IF(AND(IFERROR(N(INDEX(Clay_Brands!$A$2:$FZ$601,309,Sync!$D$12)),0)&gt;0,IFERROR(INDEX(Clay_Brands!$A$2:$FZ$601,309,Sync!$D$5)&amp;"","")&lt;&gt;"",OR(LEFT(IFERROR(INDEX(Clay_Brands!$A$2:$FZ$601,309,Sync!$D$5)&amp;"",""),6)&lt;&gt;"SAMPLE",Config!$B$19="Y")),IFERROR(N(INDEX(Clay_Brands!$A$2:$FZ$601,309,Sync!$D$12)),0),"")</f>
        <v/>
      </c>
      <c r="C4360" s="23" t="str">
        <f aca="false">IF(B4360="","","brand")</f>
        <v/>
      </c>
      <c r="D4360" s="23" t="str">
        <f aca="false">IF(B4360="","",IFERROR(INDEX(Brand_Log!$DV$2:$DV$201,MATCH(IFERROR(INDEX(Clay_Brands!$A$2:$FZ$601,309,Sync!$D$5)&amp;"",""),Brand_Log!$A$2:$A$201,0))&amp;"",IFERROR(INDEX(Clay_Brands!$A$2:$FZ$601,309,Sync!$D$5)&amp;"","")&amp;""))</f>
        <v/>
      </c>
      <c r="E4360" s="23" t="str">
        <f aca="false">IF(B4360="","",IFERROR(INDEX(Clay_Brands!$A$2:$FZ$601,309,Sync!$D$6)&amp;"",""))</f>
        <v/>
      </c>
      <c r="F4360" s="23" t="str">
        <f aca="false">IF(B4360="","","outreach_sent")</f>
        <v/>
      </c>
      <c r="G4360" s="23" t="str">
        <f aca="false">IF(B4360="","","")</f>
        <v/>
      </c>
      <c r="H4360" s="23" t="str">
        <f aca="false">IF(B4360="","","")</f>
        <v/>
      </c>
      <c r="I4360" s="23" t="str">
        <f aca="false">IF(B4360="","","")</f>
        <v/>
      </c>
      <c r="J4360" s="23" t="str">
        <f aca="false">IF(B4360="","","touch_2; "&amp;IFERROR(INDEX(Clay_Brands!$A$2:$FZ$601,309,Sync!$D$10)&amp;"","")&amp;"; "&amp;IFERROR(INDEX(Clay_Brands!$A$2:$FZ$601,309,Sync!$D$9)&amp;"",""))</f>
        <v/>
      </c>
      <c r="K4360" s="32" t="s">
        <v>1367</v>
      </c>
    </row>
    <row r="4361" customFormat="false" ht="15" hidden="false" customHeight="false" outlineLevel="0" collapsed="false">
      <c r="A4361" s="23" t="str">
        <f aca="false">IF(B4361="","",B4361+(16*1000+310)/10000000)</f>
        <v/>
      </c>
      <c r="B4361" s="35" t="str">
        <f aca="false">IF(AND(IFERROR(N(INDEX(Clay_Brands!$A$2:$FZ$601,310,Sync!$D$12)),0)&gt;0,IFERROR(INDEX(Clay_Brands!$A$2:$FZ$601,310,Sync!$D$5)&amp;"","")&lt;&gt;"",OR(LEFT(IFERROR(INDEX(Clay_Brands!$A$2:$FZ$601,310,Sync!$D$5)&amp;"",""),6)&lt;&gt;"SAMPLE",Config!$B$19="Y")),IFERROR(N(INDEX(Clay_Brands!$A$2:$FZ$601,310,Sync!$D$12)),0),"")</f>
        <v/>
      </c>
      <c r="C4361" s="23" t="str">
        <f aca="false">IF(B4361="","","brand")</f>
        <v/>
      </c>
      <c r="D4361" s="23" t="str">
        <f aca="false">IF(B4361="","",IFERROR(INDEX(Brand_Log!$DV$2:$DV$201,MATCH(IFERROR(INDEX(Clay_Brands!$A$2:$FZ$601,310,Sync!$D$5)&amp;"",""),Brand_Log!$A$2:$A$201,0))&amp;"",IFERROR(INDEX(Clay_Brands!$A$2:$FZ$601,310,Sync!$D$5)&amp;"","")&amp;""))</f>
        <v/>
      </c>
      <c r="E4361" s="23" t="str">
        <f aca="false">IF(B4361="","",IFERROR(INDEX(Clay_Brands!$A$2:$FZ$601,310,Sync!$D$6)&amp;"",""))</f>
        <v/>
      </c>
      <c r="F4361" s="23" t="str">
        <f aca="false">IF(B4361="","","outreach_sent")</f>
        <v/>
      </c>
      <c r="G4361" s="23" t="str">
        <f aca="false">IF(B4361="","","")</f>
        <v/>
      </c>
      <c r="H4361" s="23" t="str">
        <f aca="false">IF(B4361="","","")</f>
        <v/>
      </c>
      <c r="I4361" s="23" t="str">
        <f aca="false">IF(B4361="","","")</f>
        <v/>
      </c>
      <c r="J4361" s="23" t="str">
        <f aca="false">IF(B4361="","","touch_2; "&amp;IFERROR(INDEX(Clay_Brands!$A$2:$FZ$601,310,Sync!$D$10)&amp;"","")&amp;"; "&amp;IFERROR(INDEX(Clay_Brands!$A$2:$FZ$601,310,Sync!$D$9)&amp;"",""))</f>
        <v/>
      </c>
      <c r="K4361" s="32" t="s">
        <v>1367</v>
      </c>
    </row>
    <row r="4362" customFormat="false" ht="15" hidden="false" customHeight="false" outlineLevel="0" collapsed="false">
      <c r="A4362" s="23" t="str">
        <f aca="false">IF(B4362="","",B4362+(16*1000+311)/10000000)</f>
        <v/>
      </c>
      <c r="B4362" s="35" t="str">
        <f aca="false">IF(AND(IFERROR(N(INDEX(Clay_Brands!$A$2:$FZ$601,311,Sync!$D$12)),0)&gt;0,IFERROR(INDEX(Clay_Brands!$A$2:$FZ$601,311,Sync!$D$5)&amp;"","")&lt;&gt;"",OR(LEFT(IFERROR(INDEX(Clay_Brands!$A$2:$FZ$601,311,Sync!$D$5)&amp;"",""),6)&lt;&gt;"SAMPLE",Config!$B$19="Y")),IFERROR(N(INDEX(Clay_Brands!$A$2:$FZ$601,311,Sync!$D$12)),0),"")</f>
        <v/>
      </c>
      <c r="C4362" s="23" t="str">
        <f aca="false">IF(B4362="","","brand")</f>
        <v/>
      </c>
      <c r="D4362" s="23" t="str">
        <f aca="false">IF(B4362="","",IFERROR(INDEX(Brand_Log!$DV$2:$DV$201,MATCH(IFERROR(INDEX(Clay_Brands!$A$2:$FZ$601,311,Sync!$D$5)&amp;"",""),Brand_Log!$A$2:$A$201,0))&amp;"",IFERROR(INDEX(Clay_Brands!$A$2:$FZ$601,311,Sync!$D$5)&amp;"","")&amp;""))</f>
        <v/>
      </c>
      <c r="E4362" s="23" t="str">
        <f aca="false">IF(B4362="","",IFERROR(INDEX(Clay_Brands!$A$2:$FZ$601,311,Sync!$D$6)&amp;"",""))</f>
        <v/>
      </c>
      <c r="F4362" s="23" t="str">
        <f aca="false">IF(B4362="","","outreach_sent")</f>
        <v/>
      </c>
      <c r="G4362" s="23" t="str">
        <f aca="false">IF(B4362="","","")</f>
        <v/>
      </c>
      <c r="H4362" s="23" t="str">
        <f aca="false">IF(B4362="","","")</f>
        <v/>
      </c>
      <c r="I4362" s="23" t="str">
        <f aca="false">IF(B4362="","","")</f>
        <v/>
      </c>
      <c r="J4362" s="23" t="str">
        <f aca="false">IF(B4362="","","touch_2; "&amp;IFERROR(INDEX(Clay_Brands!$A$2:$FZ$601,311,Sync!$D$10)&amp;"","")&amp;"; "&amp;IFERROR(INDEX(Clay_Brands!$A$2:$FZ$601,311,Sync!$D$9)&amp;"",""))</f>
        <v/>
      </c>
      <c r="K4362" s="32" t="s">
        <v>1367</v>
      </c>
    </row>
    <row r="4363" customFormat="false" ht="15" hidden="false" customHeight="false" outlineLevel="0" collapsed="false">
      <c r="A4363" s="23" t="str">
        <f aca="false">IF(B4363="","",B4363+(16*1000+312)/10000000)</f>
        <v/>
      </c>
      <c r="B4363" s="35" t="str">
        <f aca="false">IF(AND(IFERROR(N(INDEX(Clay_Brands!$A$2:$FZ$601,312,Sync!$D$12)),0)&gt;0,IFERROR(INDEX(Clay_Brands!$A$2:$FZ$601,312,Sync!$D$5)&amp;"","")&lt;&gt;"",OR(LEFT(IFERROR(INDEX(Clay_Brands!$A$2:$FZ$601,312,Sync!$D$5)&amp;"",""),6)&lt;&gt;"SAMPLE",Config!$B$19="Y")),IFERROR(N(INDEX(Clay_Brands!$A$2:$FZ$601,312,Sync!$D$12)),0),"")</f>
        <v/>
      </c>
      <c r="C4363" s="23" t="str">
        <f aca="false">IF(B4363="","","brand")</f>
        <v/>
      </c>
      <c r="D4363" s="23" t="str">
        <f aca="false">IF(B4363="","",IFERROR(INDEX(Brand_Log!$DV$2:$DV$201,MATCH(IFERROR(INDEX(Clay_Brands!$A$2:$FZ$601,312,Sync!$D$5)&amp;"",""),Brand_Log!$A$2:$A$201,0))&amp;"",IFERROR(INDEX(Clay_Brands!$A$2:$FZ$601,312,Sync!$D$5)&amp;"","")&amp;""))</f>
        <v/>
      </c>
      <c r="E4363" s="23" t="str">
        <f aca="false">IF(B4363="","",IFERROR(INDEX(Clay_Brands!$A$2:$FZ$601,312,Sync!$D$6)&amp;"",""))</f>
        <v/>
      </c>
      <c r="F4363" s="23" t="str">
        <f aca="false">IF(B4363="","","outreach_sent")</f>
        <v/>
      </c>
      <c r="G4363" s="23" t="str">
        <f aca="false">IF(B4363="","","")</f>
        <v/>
      </c>
      <c r="H4363" s="23" t="str">
        <f aca="false">IF(B4363="","","")</f>
        <v/>
      </c>
      <c r="I4363" s="23" t="str">
        <f aca="false">IF(B4363="","","")</f>
        <v/>
      </c>
      <c r="J4363" s="23" t="str">
        <f aca="false">IF(B4363="","","touch_2; "&amp;IFERROR(INDEX(Clay_Brands!$A$2:$FZ$601,312,Sync!$D$10)&amp;"","")&amp;"; "&amp;IFERROR(INDEX(Clay_Brands!$A$2:$FZ$601,312,Sync!$D$9)&amp;"",""))</f>
        <v/>
      </c>
      <c r="K4363" s="32" t="s">
        <v>1367</v>
      </c>
    </row>
    <row r="4364" customFormat="false" ht="15" hidden="false" customHeight="false" outlineLevel="0" collapsed="false">
      <c r="A4364" s="23" t="str">
        <f aca="false">IF(B4364="","",B4364+(16*1000+313)/10000000)</f>
        <v/>
      </c>
      <c r="B4364" s="35" t="str">
        <f aca="false">IF(AND(IFERROR(N(INDEX(Clay_Brands!$A$2:$FZ$601,313,Sync!$D$12)),0)&gt;0,IFERROR(INDEX(Clay_Brands!$A$2:$FZ$601,313,Sync!$D$5)&amp;"","")&lt;&gt;"",OR(LEFT(IFERROR(INDEX(Clay_Brands!$A$2:$FZ$601,313,Sync!$D$5)&amp;"",""),6)&lt;&gt;"SAMPLE",Config!$B$19="Y")),IFERROR(N(INDEX(Clay_Brands!$A$2:$FZ$601,313,Sync!$D$12)),0),"")</f>
        <v/>
      </c>
      <c r="C4364" s="23" t="str">
        <f aca="false">IF(B4364="","","brand")</f>
        <v/>
      </c>
      <c r="D4364" s="23" t="str">
        <f aca="false">IF(B4364="","",IFERROR(INDEX(Brand_Log!$DV$2:$DV$201,MATCH(IFERROR(INDEX(Clay_Brands!$A$2:$FZ$601,313,Sync!$D$5)&amp;"",""),Brand_Log!$A$2:$A$201,0))&amp;"",IFERROR(INDEX(Clay_Brands!$A$2:$FZ$601,313,Sync!$D$5)&amp;"","")&amp;""))</f>
        <v/>
      </c>
      <c r="E4364" s="23" t="str">
        <f aca="false">IF(B4364="","",IFERROR(INDEX(Clay_Brands!$A$2:$FZ$601,313,Sync!$D$6)&amp;"",""))</f>
        <v/>
      </c>
      <c r="F4364" s="23" t="str">
        <f aca="false">IF(B4364="","","outreach_sent")</f>
        <v/>
      </c>
      <c r="G4364" s="23" t="str">
        <f aca="false">IF(B4364="","","")</f>
        <v/>
      </c>
      <c r="H4364" s="23" t="str">
        <f aca="false">IF(B4364="","","")</f>
        <v/>
      </c>
      <c r="I4364" s="23" t="str">
        <f aca="false">IF(B4364="","","")</f>
        <v/>
      </c>
      <c r="J4364" s="23" t="str">
        <f aca="false">IF(B4364="","","touch_2; "&amp;IFERROR(INDEX(Clay_Brands!$A$2:$FZ$601,313,Sync!$D$10)&amp;"","")&amp;"; "&amp;IFERROR(INDEX(Clay_Brands!$A$2:$FZ$601,313,Sync!$D$9)&amp;"",""))</f>
        <v/>
      </c>
      <c r="K4364" s="32" t="s">
        <v>1367</v>
      </c>
    </row>
    <row r="4365" customFormat="false" ht="15" hidden="false" customHeight="false" outlineLevel="0" collapsed="false">
      <c r="A4365" s="23" t="str">
        <f aca="false">IF(B4365="","",B4365+(16*1000+314)/10000000)</f>
        <v/>
      </c>
      <c r="B4365" s="35" t="str">
        <f aca="false">IF(AND(IFERROR(N(INDEX(Clay_Brands!$A$2:$FZ$601,314,Sync!$D$12)),0)&gt;0,IFERROR(INDEX(Clay_Brands!$A$2:$FZ$601,314,Sync!$D$5)&amp;"","")&lt;&gt;"",OR(LEFT(IFERROR(INDEX(Clay_Brands!$A$2:$FZ$601,314,Sync!$D$5)&amp;"",""),6)&lt;&gt;"SAMPLE",Config!$B$19="Y")),IFERROR(N(INDEX(Clay_Brands!$A$2:$FZ$601,314,Sync!$D$12)),0),"")</f>
        <v/>
      </c>
      <c r="C4365" s="23" t="str">
        <f aca="false">IF(B4365="","","brand")</f>
        <v/>
      </c>
      <c r="D4365" s="23" t="str">
        <f aca="false">IF(B4365="","",IFERROR(INDEX(Brand_Log!$DV$2:$DV$201,MATCH(IFERROR(INDEX(Clay_Brands!$A$2:$FZ$601,314,Sync!$D$5)&amp;"",""),Brand_Log!$A$2:$A$201,0))&amp;"",IFERROR(INDEX(Clay_Brands!$A$2:$FZ$601,314,Sync!$D$5)&amp;"","")&amp;""))</f>
        <v/>
      </c>
      <c r="E4365" s="23" t="str">
        <f aca="false">IF(B4365="","",IFERROR(INDEX(Clay_Brands!$A$2:$FZ$601,314,Sync!$D$6)&amp;"",""))</f>
        <v/>
      </c>
      <c r="F4365" s="23" t="str">
        <f aca="false">IF(B4365="","","outreach_sent")</f>
        <v/>
      </c>
      <c r="G4365" s="23" t="str">
        <f aca="false">IF(B4365="","","")</f>
        <v/>
      </c>
      <c r="H4365" s="23" t="str">
        <f aca="false">IF(B4365="","","")</f>
        <v/>
      </c>
      <c r="I4365" s="23" t="str">
        <f aca="false">IF(B4365="","","")</f>
        <v/>
      </c>
      <c r="J4365" s="23" t="str">
        <f aca="false">IF(B4365="","","touch_2; "&amp;IFERROR(INDEX(Clay_Brands!$A$2:$FZ$601,314,Sync!$D$10)&amp;"","")&amp;"; "&amp;IFERROR(INDEX(Clay_Brands!$A$2:$FZ$601,314,Sync!$D$9)&amp;"",""))</f>
        <v/>
      </c>
      <c r="K4365" s="32" t="s">
        <v>1367</v>
      </c>
    </row>
    <row r="4366" customFormat="false" ht="15" hidden="false" customHeight="false" outlineLevel="0" collapsed="false">
      <c r="A4366" s="23" t="str">
        <f aca="false">IF(B4366="","",B4366+(16*1000+315)/10000000)</f>
        <v/>
      </c>
      <c r="B4366" s="35" t="str">
        <f aca="false">IF(AND(IFERROR(N(INDEX(Clay_Brands!$A$2:$FZ$601,315,Sync!$D$12)),0)&gt;0,IFERROR(INDEX(Clay_Brands!$A$2:$FZ$601,315,Sync!$D$5)&amp;"","")&lt;&gt;"",OR(LEFT(IFERROR(INDEX(Clay_Brands!$A$2:$FZ$601,315,Sync!$D$5)&amp;"",""),6)&lt;&gt;"SAMPLE",Config!$B$19="Y")),IFERROR(N(INDEX(Clay_Brands!$A$2:$FZ$601,315,Sync!$D$12)),0),"")</f>
        <v/>
      </c>
      <c r="C4366" s="23" t="str">
        <f aca="false">IF(B4366="","","brand")</f>
        <v/>
      </c>
      <c r="D4366" s="23" t="str">
        <f aca="false">IF(B4366="","",IFERROR(INDEX(Brand_Log!$DV$2:$DV$201,MATCH(IFERROR(INDEX(Clay_Brands!$A$2:$FZ$601,315,Sync!$D$5)&amp;"",""),Brand_Log!$A$2:$A$201,0))&amp;"",IFERROR(INDEX(Clay_Brands!$A$2:$FZ$601,315,Sync!$D$5)&amp;"","")&amp;""))</f>
        <v/>
      </c>
      <c r="E4366" s="23" t="str">
        <f aca="false">IF(B4366="","",IFERROR(INDEX(Clay_Brands!$A$2:$FZ$601,315,Sync!$D$6)&amp;"",""))</f>
        <v/>
      </c>
      <c r="F4366" s="23" t="str">
        <f aca="false">IF(B4366="","","outreach_sent")</f>
        <v/>
      </c>
      <c r="G4366" s="23" t="str">
        <f aca="false">IF(B4366="","","")</f>
        <v/>
      </c>
      <c r="H4366" s="23" t="str">
        <f aca="false">IF(B4366="","","")</f>
        <v/>
      </c>
      <c r="I4366" s="23" t="str">
        <f aca="false">IF(B4366="","","")</f>
        <v/>
      </c>
      <c r="J4366" s="23" t="str">
        <f aca="false">IF(B4366="","","touch_2; "&amp;IFERROR(INDEX(Clay_Brands!$A$2:$FZ$601,315,Sync!$D$10)&amp;"","")&amp;"; "&amp;IFERROR(INDEX(Clay_Brands!$A$2:$FZ$601,315,Sync!$D$9)&amp;"",""))</f>
        <v/>
      </c>
      <c r="K4366" s="32" t="s">
        <v>1367</v>
      </c>
    </row>
    <row r="4367" customFormat="false" ht="15" hidden="false" customHeight="false" outlineLevel="0" collapsed="false">
      <c r="A4367" s="23" t="str">
        <f aca="false">IF(B4367="","",B4367+(16*1000+316)/10000000)</f>
        <v/>
      </c>
      <c r="B4367" s="35" t="str">
        <f aca="false">IF(AND(IFERROR(N(INDEX(Clay_Brands!$A$2:$FZ$601,316,Sync!$D$12)),0)&gt;0,IFERROR(INDEX(Clay_Brands!$A$2:$FZ$601,316,Sync!$D$5)&amp;"","")&lt;&gt;"",OR(LEFT(IFERROR(INDEX(Clay_Brands!$A$2:$FZ$601,316,Sync!$D$5)&amp;"",""),6)&lt;&gt;"SAMPLE",Config!$B$19="Y")),IFERROR(N(INDEX(Clay_Brands!$A$2:$FZ$601,316,Sync!$D$12)),0),"")</f>
        <v/>
      </c>
      <c r="C4367" s="23" t="str">
        <f aca="false">IF(B4367="","","brand")</f>
        <v/>
      </c>
      <c r="D4367" s="23" t="str">
        <f aca="false">IF(B4367="","",IFERROR(INDEX(Brand_Log!$DV$2:$DV$201,MATCH(IFERROR(INDEX(Clay_Brands!$A$2:$FZ$601,316,Sync!$D$5)&amp;"",""),Brand_Log!$A$2:$A$201,0))&amp;"",IFERROR(INDEX(Clay_Brands!$A$2:$FZ$601,316,Sync!$D$5)&amp;"","")&amp;""))</f>
        <v/>
      </c>
      <c r="E4367" s="23" t="str">
        <f aca="false">IF(B4367="","",IFERROR(INDEX(Clay_Brands!$A$2:$FZ$601,316,Sync!$D$6)&amp;"",""))</f>
        <v/>
      </c>
      <c r="F4367" s="23" t="str">
        <f aca="false">IF(B4367="","","outreach_sent")</f>
        <v/>
      </c>
      <c r="G4367" s="23" t="str">
        <f aca="false">IF(B4367="","","")</f>
        <v/>
      </c>
      <c r="H4367" s="23" t="str">
        <f aca="false">IF(B4367="","","")</f>
        <v/>
      </c>
      <c r="I4367" s="23" t="str">
        <f aca="false">IF(B4367="","","")</f>
        <v/>
      </c>
      <c r="J4367" s="23" t="str">
        <f aca="false">IF(B4367="","","touch_2; "&amp;IFERROR(INDEX(Clay_Brands!$A$2:$FZ$601,316,Sync!$D$10)&amp;"","")&amp;"; "&amp;IFERROR(INDEX(Clay_Brands!$A$2:$FZ$601,316,Sync!$D$9)&amp;"",""))</f>
        <v/>
      </c>
      <c r="K4367" s="32" t="s">
        <v>1367</v>
      </c>
    </row>
    <row r="4368" customFormat="false" ht="15" hidden="false" customHeight="false" outlineLevel="0" collapsed="false">
      <c r="A4368" s="23" t="str">
        <f aca="false">IF(B4368="","",B4368+(16*1000+317)/10000000)</f>
        <v/>
      </c>
      <c r="B4368" s="35" t="str">
        <f aca="false">IF(AND(IFERROR(N(INDEX(Clay_Brands!$A$2:$FZ$601,317,Sync!$D$12)),0)&gt;0,IFERROR(INDEX(Clay_Brands!$A$2:$FZ$601,317,Sync!$D$5)&amp;"","")&lt;&gt;"",OR(LEFT(IFERROR(INDEX(Clay_Brands!$A$2:$FZ$601,317,Sync!$D$5)&amp;"",""),6)&lt;&gt;"SAMPLE",Config!$B$19="Y")),IFERROR(N(INDEX(Clay_Brands!$A$2:$FZ$601,317,Sync!$D$12)),0),"")</f>
        <v/>
      </c>
      <c r="C4368" s="23" t="str">
        <f aca="false">IF(B4368="","","brand")</f>
        <v/>
      </c>
      <c r="D4368" s="23" t="str">
        <f aca="false">IF(B4368="","",IFERROR(INDEX(Brand_Log!$DV$2:$DV$201,MATCH(IFERROR(INDEX(Clay_Brands!$A$2:$FZ$601,317,Sync!$D$5)&amp;"",""),Brand_Log!$A$2:$A$201,0))&amp;"",IFERROR(INDEX(Clay_Brands!$A$2:$FZ$601,317,Sync!$D$5)&amp;"","")&amp;""))</f>
        <v/>
      </c>
      <c r="E4368" s="23" t="str">
        <f aca="false">IF(B4368="","",IFERROR(INDEX(Clay_Brands!$A$2:$FZ$601,317,Sync!$D$6)&amp;"",""))</f>
        <v/>
      </c>
      <c r="F4368" s="23" t="str">
        <f aca="false">IF(B4368="","","outreach_sent")</f>
        <v/>
      </c>
      <c r="G4368" s="23" t="str">
        <f aca="false">IF(B4368="","","")</f>
        <v/>
      </c>
      <c r="H4368" s="23" t="str">
        <f aca="false">IF(B4368="","","")</f>
        <v/>
      </c>
      <c r="I4368" s="23" t="str">
        <f aca="false">IF(B4368="","","")</f>
        <v/>
      </c>
      <c r="J4368" s="23" t="str">
        <f aca="false">IF(B4368="","","touch_2; "&amp;IFERROR(INDEX(Clay_Brands!$A$2:$FZ$601,317,Sync!$D$10)&amp;"","")&amp;"; "&amp;IFERROR(INDEX(Clay_Brands!$A$2:$FZ$601,317,Sync!$D$9)&amp;"",""))</f>
        <v/>
      </c>
      <c r="K4368" s="32" t="s">
        <v>1367</v>
      </c>
    </row>
    <row r="4369" customFormat="false" ht="15" hidden="false" customHeight="false" outlineLevel="0" collapsed="false">
      <c r="A4369" s="23" t="str">
        <f aca="false">IF(B4369="","",B4369+(16*1000+318)/10000000)</f>
        <v/>
      </c>
      <c r="B4369" s="35" t="str">
        <f aca="false">IF(AND(IFERROR(N(INDEX(Clay_Brands!$A$2:$FZ$601,318,Sync!$D$12)),0)&gt;0,IFERROR(INDEX(Clay_Brands!$A$2:$FZ$601,318,Sync!$D$5)&amp;"","")&lt;&gt;"",OR(LEFT(IFERROR(INDEX(Clay_Brands!$A$2:$FZ$601,318,Sync!$D$5)&amp;"",""),6)&lt;&gt;"SAMPLE",Config!$B$19="Y")),IFERROR(N(INDEX(Clay_Brands!$A$2:$FZ$601,318,Sync!$D$12)),0),"")</f>
        <v/>
      </c>
      <c r="C4369" s="23" t="str">
        <f aca="false">IF(B4369="","","brand")</f>
        <v/>
      </c>
      <c r="D4369" s="23" t="str">
        <f aca="false">IF(B4369="","",IFERROR(INDEX(Brand_Log!$DV$2:$DV$201,MATCH(IFERROR(INDEX(Clay_Brands!$A$2:$FZ$601,318,Sync!$D$5)&amp;"",""),Brand_Log!$A$2:$A$201,0))&amp;"",IFERROR(INDEX(Clay_Brands!$A$2:$FZ$601,318,Sync!$D$5)&amp;"","")&amp;""))</f>
        <v/>
      </c>
      <c r="E4369" s="23" t="str">
        <f aca="false">IF(B4369="","",IFERROR(INDEX(Clay_Brands!$A$2:$FZ$601,318,Sync!$D$6)&amp;"",""))</f>
        <v/>
      </c>
      <c r="F4369" s="23" t="str">
        <f aca="false">IF(B4369="","","outreach_sent")</f>
        <v/>
      </c>
      <c r="G4369" s="23" t="str">
        <f aca="false">IF(B4369="","","")</f>
        <v/>
      </c>
      <c r="H4369" s="23" t="str">
        <f aca="false">IF(B4369="","","")</f>
        <v/>
      </c>
      <c r="I4369" s="23" t="str">
        <f aca="false">IF(B4369="","","")</f>
        <v/>
      </c>
      <c r="J4369" s="23" t="str">
        <f aca="false">IF(B4369="","","touch_2; "&amp;IFERROR(INDEX(Clay_Brands!$A$2:$FZ$601,318,Sync!$D$10)&amp;"","")&amp;"; "&amp;IFERROR(INDEX(Clay_Brands!$A$2:$FZ$601,318,Sync!$D$9)&amp;"",""))</f>
        <v/>
      </c>
      <c r="K4369" s="32" t="s">
        <v>1367</v>
      </c>
    </row>
    <row r="4370" customFormat="false" ht="15" hidden="false" customHeight="false" outlineLevel="0" collapsed="false">
      <c r="A4370" s="23" t="str">
        <f aca="false">IF(B4370="","",B4370+(16*1000+319)/10000000)</f>
        <v/>
      </c>
      <c r="B4370" s="35" t="str">
        <f aca="false">IF(AND(IFERROR(N(INDEX(Clay_Brands!$A$2:$FZ$601,319,Sync!$D$12)),0)&gt;0,IFERROR(INDEX(Clay_Brands!$A$2:$FZ$601,319,Sync!$D$5)&amp;"","")&lt;&gt;"",OR(LEFT(IFERROR(INDEX(Clay_Brands!$A$2:$FZ$601,319,Sync!$D$5)&amp;"",""),6)&lt;&gt;"SAMPLE",Config!$B$19="Y")),IFERROR(N(INDEX(Clay_Brands!$A$2:$FZ$601,319,Sync!$D$12)),0),"")</f>
        <v/>
      </c>
      <c r="C4370" s="23" t="str">
        <f aca="false">IF(B4370="","","brand")</f>
        <v/>
      </c>
      <c r="D4370" s="23" t="str">
        <f aca="false">IF(B4370="","",IFERROR(INDEX(Brand_Log!$DV$2:$DV$201,MATCH(IFERROR(INDEX(Clay_Brands!$A$2:$FZ$601,319,Sync!$D$5)&amp;"",""),Brand_Log!$A$2:$A$201,0))&amp;"",IFERROR(INDEX(Clay_Brands!$A$2:$FZ$601,319,Sync!$D$5)&amp;"","")&amp;""))</f>
        <v/>
      </c>
      <c r="E4370" s="23" t="str">
        <f aca="false">IF(B4370="","",IFERROR(INDEX(Clay_Brands!$A$2:$FZ$601,319,Sync!$D$6)&amp;"",""))</f>
        <v/>
      </c>
      <c r="F4370" s="23" t="str">
        <f aca="false">IF(B4370="","","outreach_sent")</f>
        <v/>
      </c>
      <c r="G4370" s="23" t="str">
        <f aca="false">IF(B4370="","","")</f>
        <v/>
      </c>
      <c r="H4370" s="23" t="str">
        <f aca="false">IF(B4370="","","")</f>
        <v/>
      </c>
      <c r="I4370" s="23" t="str">
        <f aca="false">IF(B4370="","","")</f>
        <v/>
      </c>
      <c r="J4370" s="23" t="str">
        <f aca="false">IF(B4370="","","touch_2; "&amp;IFERROR(INDEX(Clay_Brands!$A$2:$FZ$601,319,Sync!$D$10)&amp;"","")&amp;"; "&amp;IFERROR(INDEX(Clay_Brands!$A$2:$FZ$601,319,Sync!$D$9)&amp;"",""))</f>
        <v/>
      </c>
      <c r="K4370" s="32" t="s">
        <v>1367</v>
      </c>
    </row>
    <row r="4371" customFormat="false" ht="15" hidden="false" customHeight="false" outlineLevel="0" collapsed="false">
      <c r="A4371" s="23" t="str">
        <f aca="false">IF(B4371="","",B4371+(16*1000+320)/10000000)</f>
        <v/>
      </c>
      <c r="B4371" s="35" t="str">
        <f aca="false">IF(AND(IFERROR(N(INDEX(Clay_Brands!$A$2:$FZ$601,320,Sync!$D$12)),0)&gt;0,IFERROR(INDEX(Clay_Brands!$A$2:$FZ$601,320,Sync!$D$5)&amp;"","")&lt;&gt;"",OR(LEFT(IFERROR(INDEX(Clay_Brands!$A$2:$FZ$601,320,Sync!$D$5)&amp;"",""),6)&lt;&gt;"SAMPLE",Config!$B$19="Y")),IFERROR(N(INDEX(Clay_Brands!$A$2:$FZ$601,320,Sync!$D$12)),0),"")</f>
        <v/>
      </c>
      <c r="C4371" s="23" t="str">
        <f aca="false">IF(B4371="","","brand")</f>
        <v/>
      </c>
      <c r="D4371" s="23" t="str">
        <f aca="false">IF(B4371="","",IFERROR(INDEX(Brand_Log!$DV$2:$DV$201,MATCH(IFERROR(INDEX(Clay_Brands!$A$2:$FZ$601,320,Sync!$D$5)&amp;"",""),Brand_Log!$A$2:$A$201,0))&amp;"",IFERROR(INDEX(Clay_Brands!$A$2:$FZ$601,320,Sync!$D$5)&amp;"","")&amp;""))</f>
        <v/>
      </c>
      <c r="E4371" s="23" t="str">
        <f aca="false">IF(B4371="","",IFERROR(INDEX(Clay_Brands!$A$2:$FZ$601,320,Sync!$D$6)&amp;"",""))</f>
        <v/>
      </c>
      <c r="F4371" s="23" t="str">
        <f aca="false">IF(B4371="","","outreach_sent")</f>
        <v/>
      </c>
      <c r="G4371" s="23" t="str">
        <f aca="false">IF(B4371="","","")</f>
        <v/>
      </c>
      <c r="H4371" s="23" t="str">
        <f aca="false">IF(B4371="","","")</f>
        <v/>
      </c>
      <c r="I4371" s="23" t="str">
        <f aca="false">IF(B4371="","","")</f>
        <v/>
      </c>
      <c r="J4371" s="23" t="str">
        <f aca="false">IF(B4371="","","touch_2; "&amp;IFERROR(INDEX(Clay_Brands!$A$2:$FZ$601,320,Sync!$D$10)&amp;"","")&amp;"; "&amp;IFERROR(INDEX(Clay_Brands!$A$2:$FZ$601,320,Sync!$D$9)&amp;"",""))</f>
        <v/>
      </c>
      <c r="K4371" s="32" t="s">
        <v>1367</v>
      </c>
    </row>
    <row r="4372" customFormat="false" ht="15" hidden="false" customHeight="false" outlineLevel="0" collapsed="false">
      <c r="A4372" s="23" t="str">
        <f aca="false">IF(B4372="","",B4372+(16*1000+321)/10000000)</f>
        <v/>
      </c>
      <c r="B4372" s="35" t="str">
        <f aca="false">IF(AND(IFERROR(N(INDEX(Clay_Brands!$A$2:$FZ$601,321,Sync!$D$12)),0)&gt;0,IFERROR(INDEX(Clay_Brands!$A$2:$FZ$601,321,Sync!$D$5)&amp;"","")&lt;&gt;"",OR(LEFT(IFERROR(INDEX(Clay_Brands!$A$2:$FZ$601,321,Sync!$D$5)&amp;"",""),6)&lt;&gt;"SAMPLE",Config!$B$19="Y")),IFERROR(N(INDEX(Clay_Brands!$A$2:$FZ$601,321,Sync!$D$12)),0),"")</f>
        <v/>
      </c>
      <c r="C4372" s="23" t="str">
        <f aca="false">IF(B4372="","","brand")</f>
        <v/>
      </c>
      <c r="D4372" s="23" t="str">
        <f aca="false">IF(B4372="","",IFERROR(INDEX(Brand_Log!$DV$2:$DV$201,MATCH(IFERROR(INDEX(Clay_Brands!$A$2:$FZ$601,321,Sync!$D$5)&amp;"",""),Brand_Log!$A$2:$A$201,0))&amp;"",IFERROR(INDEX(Clay_Brands!$A$2:$FZ$601,321,Sync!$D$5)&amp;"","")&amp;""))</f>
        <v/>
      </c>
      <c r="E4372" s="23" t="str">
        <f aca="false">IF(B4372="","",IFERROR(INDEX(Clay_Brands!$A$2:$FZ$601,321,Sync!$D$6)&amp;"",""))</f>
        <v/>
      </c>
      <c r="F4372" s="23" t="str">
        <f aca="false">IF(B4372="","","outreach_sent")</f>
        <v/>
      </c>
      <c r="G4372" s="23" t="str">
        <f aca="false">IF(B4372="","","")</f>
        <v/>
      </c>
      <c r="H4372" s="23" t="str">
        <f aca="false">IF(B4372="","","")</f>
        <v/>
      </c>
      <c r="I4372" s="23" t="str">
        <f aca="false">IF(B4372="","","")</f>
        <v/>
      </c>
      <c r="J4372" s="23" t="str">
        <f aca="false">IF(B4372="","","touch_2; "&amp;IFERROR(INDEX(Clay_Brands!$A$2:$FZ$601,321,Sync!$D$10)&amp;"","")&amp;"; "&amp;IFERROR(INDEX(Clay_Brands!$A$2:$FZ$601,321,Sync!$D$9)&amp;"",""))</f>
        <v/>
      </c>
      <c r="K4372" s="32" t="s">
        <v>1367</v>
      </c>
    </row>
    <row r="4373" customFormat="false" ht="15" hidden="false" customHeight="false" outlineLevel="0" collapsed="false">
      <c r="A4373" s="23" t="str">
        <f aca="false">IF(B4373="","",B4373+(16*1000+322)/10000000)</f>
        <v/>
      </c>
      <c r="B4373" s="35" t="str">
        <f aca="false">IF(AND(IFERROR(N(INDEX(Clay_Brands!$A$2:$FZ$601,322,Sync!$D$12)),0)&gt;0,IFERROR(INDEX(Clay_Brands!$A$2:$FZ$601,322,Sync!$D$5)&amp;"","")&lt;&gt;"",OR(LEFT(IFERROR(INDEX(Clay_Brands!$A$2:$FZ$601,322,Sync!$D$5)&amp;"",""),6)&lt;&gt;"SAMPLE",Config!$B$19="Y")),IFERROR(N(INDEX(Clay_Brands!$A$2:$FZ$601,322,Sync!$D$12)),0),"")</f>
        <v/>
      </c>
      <c r="C4373" s="23" t="str">
        <f aca="false">IF(B4373="","","brand")</f>
        <v/>
      </c>
      <c r="D4373" s="23" t="str">
        <f aca="false">IF(B4373="","",IFERROR(INDEX(Brand_Log!$DV$2:$DV$201,MATCH(IFERROR(INDEX(Clay_Brands!$A$2:$FZ$601,322,Sync!$D$5)&amp;"",""),Brand_Log!$A$2:$A$201,0))&amp;"",IFERROR(INDEX(Clay_Brands!$A$2:$FZ$601,322,Sync!$D$5)&amp;"","")&amp;""))</f>
        <v/>
      </c>
      <c r="E4373" s="23" t="str">
        <f aca="false">IF(B4373="","",IFERROR(INDEX(Clay_Brands!$A$2:$FZ$601,322,Sync!$D$6)&amp;"",""))</f>
        <v/>
      </c>
      <c r="F4373" s="23" t="str">
        <f aca="false">IF(B4373="","","outreach_sent")</f>
        <v/>
      </c>
      <c r="G4373" s="23" t="str">
        <f aca="false">IF(B4373="","","")</f>
        <v/>
      </c>
      <c r="H4373" s="23" t="str">
        <f aca="false">IF(B4373="","","")</f>
        <v/>
      </c>
      <c r="I4373" s="23" t="str">
        <f aca="false">IF(B4373="","","")</f>
        <v/>
      </c>
      <c r="J4373" s="23" t="str">
        <f aca="false">IF(B4373="","","touch_2; "&amp;IFERROR(INDEX(Clay_Brands!$A$2:$FZ$601,322,Sync!$D$10)&amp;"","")&amp;"; "&amp;IFERROR(INDEX(Clay_Brands!$A$2:$FZ$601,322,Sync!$D$9)&amp;"",""))</f>
        <v/>
      </c>
      <c r="K4373" s="32" t="s">
        <v>1367</v>
      </c>
    </row>
    <row r="4374" customFormat="false" ht="15" hidden="false" customHeight="false" outlineLevel="0" collapsed="false">
      <c r="A4374" s="23" t="str">
        <f aca="false">IF(B4374="","",B4374+(16*1000+323)/10000000)</f>
        <v/>
      </c>
      <c r="B4374" s="35" t="str">
        <f aca="false">IF(AND(IFERROR(N(INDEX(Clay_Brands!$A$2:$FZ$601,323,Sync!$D$12)),0)&gt;0,IFERROR(INDEX(Clay_Brands!$A$2:$FZ$601,323,Sync!$D$5)&amp;"","")&lt;&gt;"",OR(LEFT(IFERROR(INDEX(Clay_Brands!$A$2:$FZ$601,323,Sync!$D$5)&amp;"",""),6)&lt;&gt;"SAMPLE",Config!$B$19="Y")),IFERROR(N(INDEX(Clay_Brands!$A$2:$FZ$601,323,Sync!$D$12)),0),"")</f>
        <v/>
      </c>
      <c r="C4374" s="23" t="str">
        <f aca="false">IF(B4374="","","brand")</f>
        <v/>
      </c>
      <c r="D4374" s="23" t="str">
        <f aca="false">IF(B4374="","",IFERROR(INDEX(Brand_Log!$DV$2:$DV$201,MATCH(IFERROR(INDEX(Clay_Brands!$A$2:$FZ$601,323,Sync!$D$5)&amp;"",""),Brand_Log!$A$2:$A$201,0))&amp;"",IFERROR(INDEX(Clay_Brands!$A$2:$FZ$601,323,Sync!$D$5)&amp;"","")&amp;""))</f>
        <v/>
      </c>
      <c r="E4374" s="23" t="str">
        <f aca="false">IF(B4374="","",IFERROR(INDEX(Clay_Brands!$A$2:$FZ$601,323,Sync!$D$6)&amp;"",""))</f>
        <v/>
      </c>
      <c r="F4374" s="23" t="str">
        <f aca="false">IF(B4374="","","outreach_sent")</f>
        <v/>
      </c>
      <c r="G4374" s="23" t="str">
        <f aca="false">IF(B4374="","","")</f>
        <v/>
      </c>
      <c r="H4374" s="23" t="str">
        <f aca="false">IF(B4374="","","")</f>
        <v/>
      </c>
      <c r="I4374" s="23" t="str">
        <f aca="false">IF(B4374="","","")</f>
        <v/>
      </c>
      <c r="J4374" s="23" t="str">
        <f aca="false">IF(B4374="","","touch_2; "&amp;IFERROR(INDEX(Clay_Brands!$A$2:$FZ$601,323,Sync!$D$10)&amp;"","")&amp;"; "&amp;IFERROR(INDEX(Clay_Brands!$A$2:$FZ$601,323,Sync!$D$9)&amp;"",""))</f>
        <v/>
      </c>
      <c r="K4374" s="32" t="s">
        <v>1367</v>
      </c>
    </row>
    <row r="4375" customFormat="false" ht="15" hidden="false" customHeight="false" outlineLevel="0" collapsed="false">
      <c r="A4375" s="23" t="str">
        <f aca="false">IF(B4375="","",B4375+(16*1000+324)/10000000)</f>
        <v/>
      </c>
      <c r="B4375" s="35" t="str">
        <f aca="false">IF(AND(IFERROR(N(INDEX(Clay_Brands!$A$2:$FZ$601,324,Sync!$D$12)),0)&gt;0,IFERROR(INDEX(Clay_Brands!$A$2:$FZ$601,324,Sync!$D$5)&amp;"","")&lt;&gt;"",OR(LEFT(IFERROR(INDEX(Clay_Brands!$A$2:$FZ$601,324,Sync!$D$5)&amp;"",""),6)&lt;&gt;"SAMPLE",Config!$B$19="Y")),IFERROR(N(INDEX(Clay_Brands!$A$2:$FZ$601,324,Sync!$D$12)),0),"")</f>
        <v/>
      </c>
      <c r="C4375" s="23" t="str">
        <f aca="false">IF(B4375="","","brand")</f>
        <v/>
      </c>
      <c r="D4375" s="23" t="str">
        <f aca="false">IF(B4375="","",IFERROR(INDEX(Brand_Log!$DV$2:$DV$201,MATCH(IFERROR(INDEX(Clay_Brands!$A$2:$FZ$601,324,Sync!$D$5)&amp;"",""),Brand_Log!$A$2:$A$201,0))&amp;"",IFERROR(INDEX(Clay_Brands!$A$2:$FZ$601,324,Sync!$D$5)&amp;"","")&amp;""))</f>
        <v/>
      </c>
      <c r="E4375" s="23" t="str">
        <f aca="false">IF(B4375="","",IFERROR(INDEX(Clay_Brands!$A$2:$FZ$601,324,Sync!$D$6)&amp;"",""))</f>
        <v/>
      </c>
      <c r="F4375" s="23" t="str">
        <f aca="false">IF(B4375="","","outreach_sent")</f>
        <v/>
      </c>
      <c r="G4375" s="23" t="str">
        <f aca="false">IF(B4375="","","")</f>
        <v/>
      </c>
      <c r="H4375" s="23" t="str">
        <f aca="false">IF(B4375="","","")</f>
        <v/>
      </c>
      <c r="I4375" s="23" t="str">
        <f aca="false">IF(B4375="","","")</f>
        <v/>
      </c>
      <c r="J4375" s="23" t="str">
        <f aca="false">IF(B4375="","","touch_2; "&amp;IFERROR(INDEX(Clay_Brands!$A$2:$FZ$601,324,Sync!$D$10)&amp;"","")&amp;"; "&amp;IFERROR(INDEX(Clay_Brands!$A$2:$FZ$601,324,Sync!$D$9)&amp;"",""))</f>
        <v/>
      </c>
      <c r="K4375" s="32" t="s">
        <v>1367</v>
      </c>
    </row>
    <row r="4376" customFormat="false" ht="15" hidden="false" customHeight="false" outlineLevel="0" collapsed="false">
      <c r="A4376" s="23" t="str">
        <f aca="false">IF(B4376="","",B4376+(16*1000+325)/10000000)</f>
        <v/>
      </c>
      <c r="B4376" s="35" t="str">
        <f aca="false">IF(AND(IFERROR(N(INDEX(Clay_Brands!$A$2:$FZ$601,325,Sync!$D$12)),0)&gt;0,IFERROR(INDEX(Clay_Brands!$A$2:$FZ$601,325,Sync!$D$5)&amp;"","")&lt;&gt;"",OR(LEFT(IFERROR(INDEX(Clay_Brands!$A$2:$FZ$601,325,Sync!$D$5)&amp;"",""),6)&lt;&gt;"SAMPLE",Config!$B$19="Y")),IFERROR(N(INDEX(Clay_Brands!$A$2:$FZ$601,325,Sync!$D$12)),0),"")</f>
        <v/>
      </c>
      <c r="C4376" s="23" t="str">
        <f aca="false">IF(B4376="","","brand")</f>
        <v/>
      </c>
      <c r="D4376" s="23" t="str">
        <f aca="false">IF(B4376="","",IFERROR(INDEX(Brand_Log!$DV$2:$DV$201,MATCH(IFERROR(INDEX(Clay_Brands!$A$2:$FZ$601,325,Sync!$D$5)&amp;"",""),Brand_Log!$A$2:$A$201,0))&amp;"",IFERROR(INDEX(Clay_Brands!$A$2:$FZ$601,325,Sync!$D$5)&amp;"","")&amp;""))</f>
        <v/>
      </c>
      <c r="E4376" s="23" t="str">
        <f aca="false">IF(B4376="","",IFERROR(INDEX(Clay_Brands!$A$2:$FZ$601,325,Sync!$D$6)&amp;"",""))</f>
        <v/>
      </c>
      <c r="F4376" s="23" t="str">
        <f aca="false">IF(B4376="","","outreach_sent")</f>
        <v/>
      </c>
      <c r="G4376" s="23" t="str">
        <f aca="false">IF(B4376="","","")</f>
        <v/>
      </c>
      <c r="H4376" s="23" t="str">
        <f aca="false">IF(B4376="","","")</f>
        <v/>
      </c>
      <c r="I4376" s="23" t="str">
        <f aca="false">IF(B4376="","","")</f>
        <v/>
      </c>
      <c r="J4376" s="23" t="str">
        <f aca="false">IF(B4376="","","touch_2; "&amp;IFERROR(INDEX(Clay_Brands!$A$2:$FZ$601,325,Sync!$D$10)&amp;"","")&amp;"; "&amp;IFERROR(INDEX(Clay_Brands!$A$2:$FZ$601,325,Sync!$D$9)&amp;"",""))</f>
        <v/>
      </c>
      <c r="K4376" s="32" t="s">
        <v>1367</v>
      </c>
    </row>
    <row r="4377" customFormat="false" ht="15" hidden="false" customHeight="false" outlineLevel="0" collapsed="false">
      <c r="A4377" s="23" t="str">
        <f aca="false">IF(B4377="","",B4377+(16*1000+326)/10000000)</f>
        <v/>
      </c>
      <c r="B4377" s="35" t="str">
        <f aca="false">IF(AND(IFERROR(N(INDEX(Clay_Brands!$A$2:$FZ$601,326,Sync!$D$12)),0)&gt;0,IFERROR(INDEX(Clay_Brands!$A$2:$FZ$601,326,Sync!$D$5)&amp;"","")&lt;&gt;"",OR(LEFT(IFERROR(INDEX(Clay_Brands!$A$2:$FZ$601,326,Sync!$D$5)&amp;"",""),6)&lt;&gt;"SAMPLE",Config!$B$19="Y")),IFERROR(N(INDEX(Clay_Brands!$A$2:$FZ$601,326,Sync!$D$12)),0),"")</f>
        <v/>
      </c>
      <c r="C4377" s="23" t="str">
        <f aca="false">IF(B4377="","","brand")</f>
        <v/>
      </c>
      <c r="D4377" s="23" t="str">
        <f aca="false">IF(B4377="","",IFERROR(INDEX(Brand_Log!$DV$2:$DV$201,MATCH(IFERROR(INDEX(Clay_Brands!$A$2:$FZ$601,326,Sync!$D$5)&amp;"",""),Brand_Log!$A$2:$A$201,0))&amp;"",IFERROR(INDEX(Clay_Brands!$A$2:$FZ$601,326,Sync!$D$5)&amp;"","")&amp;""))</f>
        <v/>
      </c>
      <c r="E4377" s="23" t="str">
        <f aca="false">IF(B4377="","",IFERROR(INDEX(Clay_Brands!$A$2:$FZ$601,326,Sync!$D$6)&amp;"",""))</f>
        <v/>
      </c>
      <c r="F4377" s="23" t="str">
        <f aca="false">IF(B4377="","","outreach_sent")</f>
        <v/>
      </c>
      <c r="G4377" s="23" t="str">
        <f aca="false">IF(B4377="","","")</f>
        <v/>
      </c>
      <c r="H4377" s="23" t="str">
        <f aca="false">IF(B4377="","","")</f>
        <v/>
      </c>
      <c r="I4377" s="23" t="str">
        <f aca="false">IF(B4377="","","")</f>
        <v/>
      </c>
      <c r="J4377" s="23" t="str">
        <f aca="false">IF(B4377="","","touch_2; "&amp;IFERROR(INDEX(Clay_Brands!$A$2:$FZ$601,326,Sync!$D$10)&amp;"","")&amp;"; "&amp;IFERROR(INDEX(Clay_Brands!$A$2:$FZ$601,326,Sync!$D$9)&amp;"",""))</f>
        <v/>
      </c>
      <c r="K4377" s="32" t="s">
        <v>1367</v>
      </c>
    </row>
    <row r="4378" customFormat="false" ht="15" hidden="false" customHeight="false" outlineLevel="0" collapsed="false">
      <c r="A4378" s="23" t="str">
        <f aca="false">IF(B4378="","",B4378+(16*1000+327)/10000000)</f>
        <v/>
      </c>
      <c r="B4378" s="35" t="str">
        <f aca="false">IF(AND(IFERROR(N(INDEX(Clay_Brands!$A$2:$FZ$601,327,Sync!$D$12)),0)&gt;0,IFERROR(INDEX(Clay_Brands!$A$2:$FZ$601,327,Sync!$D$5)&amp;"","")&lt;&gt;"",OR(LEFT(IFERROR(INDEX(Clay_Brands!$A$2:$FZ$601,327,Sync!$D$5)&amp;"",""),6)&lt;&gt;"SAMPLE",Config!$B$19="Y")),IFERROR(N(INDEX(Clay_Brands!$A$2:$FZ$601,327,Sync!$D$12)),0),"")</f>
        <v/>
      </c>
      <c r="C4378" s="23" t="str">
        <f aca="false">IF(B4378="","","brand")</f>
        <v/>
      </c>
      <c r="D4378" s="23" t="str">
        <f aca="false">IF(B4378="","",IFERROR(INDEX(Brand_Log!$DV$2:$DV$201,MATCH(IFERROR(INDEX(Clay_Brands!$A$2:$FZ$601,327,Sync!$D$5)&amp;"",""),Brand_Log!$A$2:$A$201,0))&amp;"",IFERROR(INDEX(Clay_Brands!$A$2:$FZ$601,327,Sync!$D$5)&amp;"","")&amp;""))</f>
        <v/>
      </c>
      <c r="E4378" s="23" t="str">
        <f aca="false">IF(B4378="","",IFERROR(INDEX(Clay_Brands!$A$2:$FZ$601,327,Sync!$D$6)&amp;"",""))</f>
        <v/>
      </c>
      <c r="F4378" s="23" t="str">
        <f aca="false">IF(B4378="","","outreach_sent")</f>
        <v/>
      </c>
      <c r="G4378" s="23" t="str">
        <f aca="false">IF(B4378="","","")</f>
        <v/>
      </c>
      <c r="H4378" s="23" t="str">
        <f aca="false">IF(B4378="","","")</f>
        <v/>
      </c>
      <c r="I4378" s="23" t="str">
        <f aca="false">IF(B4378="","","")</f>
        <v/>
      </c>
      <c r="J4378" s="23" t="str">
        <f aca="false">IF(B4378="","","touch_2; "&amp;IFERROR(INDEX(Clay_Brands!$A$2:$FZ$601,327,Sync!$D$10)&amp;"","")&amp;"; "&amp;IFERROR(INDEX(Clay_Brands!$A$2:$FZ$601,327,Sync!$D$9)&amp;"",""))</f>
        <v/>
      </c>
      <c r="K4378" s="32" t="s">
        <v>1367</v>
      </c>
    </row>
    <row r="4379" customFormat="false" ht="15" hidden="false" customHeight="false" outlineLevel="0" collapsed="false">
      <c r="A4379" s="23" t="str">
        <f aca="false">IF(B4379="","",B4379+(16*1000+328)/10000000)</f>
        <v/>
      </c>
      <c r="B4379" s="35" t="str">
        <f aca="false">IF(AND(IFERROR(N(INDEX(Clay_Brands!$A$2:$FZ$601,328,Sync!$D$12)),0)&gt;0,IFERROR(INDEX(Clay_Brands!$A$2:$FZ$601,328,Sync!$D$5)&amp;"","")&lt;&gt;"",OR(LEFT(IFERROR(INDEX(Clay_Brands!$A$2:$FZ$601,328,Sync!$D$5)&amp;"",""),6)&lt;&gt;"SAMPLE",Config!$B$19="Y")),IFERROR(N(INDEX(Clay_Brands!$A$2:$FZ$601,328,Sync!$D$12)),0),"")</f>
        <v/>
      </c>
      <c r="C4379" s="23" t="str">
        <f aca="false">IF(B4379="","","brand")</f>
        <v/>
      </c>
      <c r="D4379" s="23" t="str">
        <f aca="false">IF(B4379="","",IFERROR(INDEX(Brand_Log!$DV$2:$DV$201,MATCH(IFERROR(INDEX(Clay_Brands!$A$2:$FZ$601,328,Sync!$D$5)&amp;"",""),Brand_Log!$A$2:$A$201,0))&amp;"",IFERROR(INDEX(Clay_Brands!$A$2:$FZ$601,328,Sync!$D$5)&amp;"","")&amp;""))</f>
        <v/>
      </c>
      <c r="E4379" s="23" t="str">
        <f aca="false">IF(B4379="","",IFERROR(INDEX(Clay_Brands!$A$2:$FZ$601,328,Sync!$D$6)&amp;"",""))</f>
        <v/>
      </c>
      <c r="F4379" s="23" t="str">
        <f aca="false">IF(B4379="","","outreach_sent")</f>
        <v/>
      </c>
      <c r="G4379" s="23" t="str">
        <f aca="false">IF(B4379="","","")</f>
        <v/>
      </c>
      <c r="H4379" s="23" t="str">
        <f aca="false">IF(B4379="","","")</f>
        <v/>
      </c>
      <c r="I4379" s="23" t="str">
        <f aca="false">IF(B4379="","","")</f>
        <v/>
      </c>
      <c r="J4379" s="23" t="str">
        <f aca="false">IF(B4379="","","touch_2; "&amp;IFERROR(INDEX(Clay_Brands!$A$2:$FZ$601,328,Sync!$D$10)&amp;"","")&amp;"; "&amp;IFERROR(INDEX(Clay_Brands!$A$2:$FZ$601,328,Sync!$D$9)&amp;"",""))</f>
        <v/>
      </c>
      <c r="K4379" s="32" t="s">
        <v>1367</v>
      </c>
    </row>
    <row r="4380" customFormat="false" ht="15" hidden="false" customHeight="false" outlineLevel="0" collapsed="false">
      <c r="A4380" s="23" t="str">
        <f aca="false">IF(B4380="","",B4380+(16*1000+329)/10000000)</f>
        <v/>
      </c>
      <c r="B4380" s="35" t="str">
        <f aca="false">IF(AND(IFERROR(N(INDEX(Clay_Brands!$A$2:$FZ$601,329,Sync!$D$12)),0)&gt;0,IFERROR(INDEX(Clay_Brands!$A$2:$FZ$601,329,Sync!$D$5)&amp;"","")&lt;&gt;"",OR(LEFT(IFERROR(INDEX(Clay_Brands!$A$2:$FZ$601,329,Sync!$D$5)&amp;"",""),6)&lt;&gt;"SAMPLE",Config!$B$19="Y")),IFERROR(N(INDEX(Clay_Brands!$A$2:$FZ$601,329,Sync!$D$12)),0),"")</f>
        <v/>
      </c>
      <c r="C4380" s="23" t="str">
        <f aca="false">IF(B4380="","","brand")</f>
        <v/>
      </c>
      <c r="D4380" s="23" t="str">
        <f aca="false">IF(B4380="","",IFERROR(INDEX(Brand_Log!$DV$2:$DV$201,MATCH(IFERROR(INDEX(Clay_Brands!$A$2:$FZ$601,329,Sync!$D$5)&amp;"",""),Brand_Log!$A$2:$A$201,0))&amp;"",IFERROR(INDEX(Clay_Brands!$A$2:$FZ$601,329,Sync!$D$5)&amp;"","")&amp;""))</f>
        <v/>
      </c>
      <c r="E4380" s="23" t="str">
        <f aca="false">IF(B4380="","",IFERROR(INDEX(Clay_Brands!$A$2:$FZ$601,329,Sync!$D$6)&amp;"",""))</f>
        <v/>
      </c>
      <c r="F4380" s="23" t="str">
        <f aca="false">IF(B4380="","","outreach_sent")</f>
        <v/>
      </c>
      <c r="G4380" s="23" t="str">
        <f aca="false">IF(B4380="","","")</f>
        <v/>
      </c>
      <c r="H4380" s="23" t="str">
        <f aca="false">IF(B4380="","","")</f>
        <v/>
      </c>
      <c r="I4380" s="23" t="str">
        <f aca="false">IF(B4380="","","")</f>
        <v/>
      </c>
      <c r="J4380" s="23" t="str">
        <f aca="false">IF(B4380="","","touch_2; "&amp;IFERROR(INDEX(Clay_Brands!$A$2:$FZ$601,329,Sync!$D$10)&amp;"","")&amp;"; "&amp;IFERROR(INDEX(Clay_Brands!$A$2:$FZ$601,329,Sync!$D$9)&amp;"",""))</f>
        <v/>
      </c>
      <c r="K4380" s="32" t="s">
        <v>1367</v>
      </c>
    </row>
    <row r="4381" customFormat="false" ht="15" hidden="false" customHeight="false" outlineLevel="0" collapsed="false">
      <c r="A4381" s="23" t="str">
        <f aca="false">IF(B4381="","",B4381+(16*1000+330)/10000000)</f>
        <v/>
      </c>
      <c r="B4381" s="35" t="str">
        <f aca="false">IF(AND(IFERROR(N(INDEX(Clay_Brands!$A$2:$FZ$601,330,Sync!$D$12)),0)&gt;0,IFERROR(INDEX(Clay_Brands!$A$2:$FZ$601,330,Sync!$D$5)&amp;"","")&lt;&gt;"",OR(LEFT(IFERROR(INDEX(Clay_Brands!$A$2:$FZ$601,330,Sync!$D$5)&amp;"",""),6)&lt;&gt;"SAMPLE",Config!$B$19="Y")),IFERROR(N(INDEX(Clay_Brands!$A$2:$FZ$601,330,Sync!$D$12)),0),"")</f>
        <v/>
      </c>
      <c r="C4381" s="23" t="str">
        <f aca="false">IF(B4381="","","brand")</f>
        <v/>
      </c>
      <c r="D4381" s="23" t="str">
        <f aca="false">IF(B4381="","",IFERROR(INDEX(Brand_Log!$DV$2:$DV$201,MATCH(IFERROR(INDEX(Clay_Brands!$A$2:$FZ$601,330,Sync!$D$5)&amp;"",""),Brand_Log!$A$2:$A$201,0))&amp;"",IFERROR(INDEX(Clay_Brands!$A$2:$FZ$601,330,Sync!$D$5)&amp;"","")&amp;""))</f>
        <v/>
      </c>
      <c r="E4381" s="23" t="str">
        <f aca="false">IF(B4381="","",IFERROR(INDEX(Clay_Brands!$A$2:$FZ$601,330,Sync!$D$6)&amp;"",""))</f>
        <v/>
      </c>
      <c r="F4381" s="23" t="str">
        <f aca="false">IF(B4381="","","outreach_sent")</f>
        <v/>
      </c>
      <c r="G4381" s="23" t="str">
        <f aca="false">IF(B4381="","","")</f>
        <v/>
      </c>
      <c r="H4381" s="23" t="str">
        <f aca="false">IF(B4381="","","")</f>
        <v/>
      </c>
      <c r="I4381" s="23" t="str">
        <f aca="false">IF(B4381="","","")</f>
        <v/>
      </c>
      <c r="J4381" s="23" t="str">
        <f aca="false">IF(B4381="","","touch_2; "&amp;IFERROR(INDEX(Clay_Brands!$A$2:$FZ$601,330,Sync!$D$10)&amp;"","")&amp;"; "&amp;IFERROR(INDEX(Clay_Brands!$A$2:$FZ$601,330,Sync!$D$9)&amp;"",""))</f>
        <v/>
      </c>
      <c r="K4381" s="32" t="s">
        <v>1367</v>
      </c>
    </row>
    <row r="4382" customFormat="false" ht="15" hidden="false" customHeight="false" outlineLevel="0" collapsed="false">
      <c r="A4382" s="23" t="str">
        <f aca="false">IF(B4382="","",B4382+(16*1000+331)/10000000)</f>
        <v/>
      </c>
      <c r="B4382" s="35" t="str">
        <f aca="false">IF(AND(IFERROR(N(INDEX(Clay_Brands!$A$2:$FZ$601,331,Sync!$D$12)),0)&gt;0,IFERROR(INDEX(Clay_Brands!$A$2:$FZ$601,331,Sync!$D$5)&amp;"","")&lt;&gt;"",OR(LEFT(IFERROR(INDEX(Clay_Brands!$A$2:$FZ$601,331,Sync!$D$5)&amp;"",""),6)&lt;&gt;"SAMPLE",Config!$B$19="Y")),IFERROR(N(INDEX(Clay_Brands!$A$2:$FZ$601,331,Sync!$D$12)),0),"")</f>
        <v/>
      </c>
      <c r="C4382" s="23" t="str">
        <f aca="false">IF(B4382="","","brand")</f>
        <v/>
      </c>
      <c r="D4382" s="23" t="str">
        <f aca="false">IF(B4382="","",IFERROR(INDEX(Brand_Log!$DV$2:$DV$201,MATCH(IFERROR(INDEX(Clay_Brands!$A$2:$FZ$601,331,Sync!$D$5)&amp;"",""),Brand_Log!$A$2:$A$201,0))&amp;"",IFERROR(INDEX(Clay_Brands!$A$2:$FZ$601,331,Sync!$D$5)&amp;"","")&amp;""))</f>
        <v/>
      </c>
      <c r="E4382" s="23" t="str">
        <f aca="false">IF(B4382="","",IFERROR(INDEX(Clay_Brands!$A$2:$FZ$601,331,Sync!$D$6)&amp;"",""))</f>
        <v/>
      </c>
      <c r="F4382" s="23" t="str">
        <f aca="false">IF(B4382="","","outreach_sent")</f>
        <v/>
      </c>
      <c r="G4382" s="23" t="str">
        <f aca="false">IF(B4382="","","")</f>
        <v/>
      </c>
      <c r="H4382" s="23" t="str">
        <f aca="false">IF(B4382="","","")</f>
        <v/>
      </c>
      <c r="I4382" s="23" t="str">
        <f aca="false">IF(B4382="","","")</f>
        <v/>
      </c>
      <c r="J4382" s="23" t="str">
        <f aca="false">IF(B4382="","","touch_2; "&amp;IFERROR(INDEX(Clay_Brands!$A$2:$FZ$601,331,Sync!$D$10)&amp;"","")&amp;"; "&amp;IFERROR(INDEX(Clay_Brands!$A$2:$FZ$601,331,Sync!$D$9)&amp;"",""))</f>
        <v/>
      </c>
      <c r="K4382" s="32" t="s">
        <v>1367</v>
      </c>
    </row>
    <row r="4383" customFormat="false" ht="15" hidden="false" customHeight="false" outlineLevel="0" collapsed="false">
      <c r="A4383" s="23" t="str">
        <f aca="false">IF(B4383="","",B4383+(16*1000+332)/10000000)</f>
        <v/>
      </c>
      <c r="B4383" s="35" t="str">
        <f aca="false">IF(AND(IFERROR(N(INDEX(Clay_Brands!$A$2:$FZ$601,332,Sync!$D$12)),0)&gt;0,IFERROR(INDEX(Clay_Brands!$A$2:$FZ$601,332,Sync!$D$5)&amp;"","")&lt;&gt;"",OR(LEFT(IFERROR(INDEX(Clay_Brands!$A$2:$FZ$601,332,Sync!$D$5)&amp;"",""),6)&lt;&gt;"SAMPLE",Config!$B$19="Y")),IFERROR(N(INDEX(Clay_Brands!$A$2:$FZ$601,332,Sync!$D$12)),0),"")</f>
        <v/>
      </c>
      <c r="C4383" s="23" t="str">
        <f aca="false">IF(B4383="","","brand")</f>
        <v/>
      </c>
      <c r="D4383" s="23" t="str">
        <f aca="false">IF(B4383="","",IFERROR(INDEX(Brand_Log!$DV$2:$DV$201,MATCH(IFERROR(INDEX(Clay_Brands!$A$2:$FZ$601,332,Sync!$D$5)&amp;"",""),Brand_Log!$A$2:$A$201,0))&amp;"",IFERROR(INDEX(Clay_Brands!$A$2:$FZ$601,332,Sync!$D$5)&amp;"","")&amp;""))</f>
        <v/>
      </c>
      <c r="E4383" s="23" t="str">
        <f aca="false">IF(B4383="","",IFERROR(INDEX(Clay_Brands!$A$2:$FZ$601,332,Sync!$D$6)&amp;"",""))</f>
        <v/>
      </c>
      <c r="F4383" s="23" t="str">
        <f aca="false">IF(B4383="","","outreach_sent")</f>
        <v/>
      </c>
      <c r="G4383" s="23" t="str">
        <f aca="false">IF(B4383="","","")</f>
        <v/>
      </c>
      <c r="H4383" s="23" t="str">
        <f aca="false">IF(B4383="","","")</f>
        <v/>
      </c>
      <c r="I4383" s="23" t="str">
        <f aca="false">IF(B4383="","","")</f>
        <v/>
      </c>
      <c r="J4383" s="23" t="str">
        <f aca="false">IF(B4383="","","touch_2; "&amp;IFERROR(INDEX(Clay_Brands!$A$2:$FZ$601,332,Sync!$D$10)&amp;"","")&amp;"; "&amp;IFERROR(INDEX(Clay_Brands!$A$2:$FZ$601,332,Sync!$D$9)&amp;"",""))</f>
        <v/>
      </c>
      <c r="K4383" s="32" t="s">
        <v>1367</v>
      </c>
    </row>
    <row r="4384" customFormat="false" ht="15" hidden="false" customHeight="false" outlineLevel="0" collapsed="false">
      <c r="A4384" s="23" t="str">
        <f aca="false">IF(B4384="","",B4384+(16*1000+333)/10000000)</f>
        <v/>
      </c>
      <c r="B4384" s="35" t="str">
        <f aca="false">IF(AND(IFERROR(N(INDEX(Clay_Brands!$A$2:$FZ$601,333,Sync!$D$12)),0)&gt;0,IFERROR(INDEX(Clay_Brands!$A$2:$FZ$601,333,Sync!$D$5)&amp;"","")&lt;&gt;"",OR(LEFT(IFERROR(INDEX(Clay_Brands!$A$2:$FZ$601,333,Sync!$D$5)&amp;"",""),6)&lt;&gt;"SAMPLE",Config!$B$19="Y")),IFERROR(N(INDEX(Clay_Brands!$A$2:$FZ$601,333,Sync!$D$12)),0),"")</f>
        <v/>
      </c>
      <c r="C4384" s="23" t="str">
        <f aca="false">IF(B4384="","","brand")</f>
        <v/>
      </c>
      <c r="D4384" s="23" t="str">
        <f aca="false">IF(B4384="","",IFERROR(INDEX(Brand_Log!$DV$2:$DV$201,MATCH(IFERROR(INDEX(Clay_Brands!$A$2:$FZ$601,333,Sync!$D$5)&amp;"",""),Brand_Log!$A$2:$A$201,0))&amp;"",IFERROR(INDEX(Clay_Brands!$A$2:$FZ$601,333,Sync!$D$5)&amp;"","")&amp;""))</f>
        <v/>
      </c>
      <c r="E4384" s="23" t="str">
        <f aca="false">IF(B4384="","",IFERROR(INDEX(Clay_Brands!$A$2:$FZ$601,333,Sync!$D$6)&amp;"",""))</f>
        <v/>
      </c>
      <c r="F4384" s="23" t="str">
        <f aca="false">IF(B4384="","","outreach_sent")</f>
        <v/>
      </c>
      <c r="G4384" s="23" t="str">
        <f aca="false">IF(B4384="","","")</f>
        <v/>
      </c>
      <c r="H4384" s="23" t="str">
        <f aca="false">IF(B4384="","","")</f>
        <v/>
      </c>
      <c r="I4384" s="23" t="str">
        <f aca="false">IF(B4384="","","")</f>
        <v/>
      </c>
      <c r="J4384" s="23" t="str">
        <f aca="false">IF(B4384="","","touch_2; "&amp;IFERROR(INDEX(Clay_Brands!$A$2:$FZ$601,333,Sync!$D$10)&amp;"","")&amp;"; "&amp;IFERROR(INDEX(Clay_Brands!$A$2:$FZ$601,333,Sync!$D$9)&amp;"",""))</f>
        <v/>
      </c>
      <c r="K4384" s="32" t="s">
        <v>1367</v>
      </c>
    </row>
    <row r="4385" customFormat="false" ht="15" hidden="false" customHeight="false" outlineLevel="0" collapsed="false">
      <c r="A4385" s="23" t="str">
        <f aca="false">IF(B4385="","",B4385+(16*1000+334)/10000000)</f>
        <v/>
      </c>
      <c r="B4385" s="35" t="str">
        <f aca="false">IF(AND(IFERROR(N(INDEX(Clay_Brands!$A$2:$FZ$601,334,Sync!$D$12)),0)&gt;0,IFERROR(INDEX(Clay_Brands!$A$2:$FZ$601,334,Sync!$D$5)&amp;"","")&lt;&gt;"",OR(LEFT(IFERROR(INDEX(Clay_Brands!$A$2:$FZ$601,334,Sync!$D$5)&amp;"",""),6)&lt;&gt;"SAMPLE",Config!$B$19="Y")),IFERROR(N(INDEX(Clay_Brands!$A$2:$FZ$601,334,Sync!$D$12)),0),"")</f>
        <v/>
      </c>
      <c r="C4385" s="23" t="str">
        <f aca="false">IF(B4385="","","brand")</f>
        <v/>
      </c>
      <c r="D4385" s="23" t="str">
        <f aca="false">IF(B4385="","",IFERROR(INDEX(Brand_Log!$DV$2:$DV$201,MATCH(IFERROR(INDEX(Clay_Brands!$A$2:$FZ$601,334,Sync!$D$5)&amp;"",""),Brand_Log!$A$2:$A$201,0))&amp;"",IFERROR(INDEX(Clay_Brands!$A$2:$FZ$601,334,Sync!$D$5)&amp;"","")&amp;""))</f>
        <v/>
      </c>
      <c r="E4385" s="23" t="str">
        <f aca="false">IF(B4385="","",IFERROR(INDEX(Clay_Brands!$A$2:$FZ$601,334,Sync!$D$6)&amp;"",""))</f>
        <v/>
      </c>
      <c r="F4385" s="23" t="str">
        <f aca="false">IF(B4385="","","outreach_sent")</f>
        <v/>
      </c>
      <c r="G4385" s="23" t="str">
        <f aca="false">IF(B4385="","","")</f>
        <v/>
      </c>
      <c r="H4385" s="23" t="str">
        <f aca="false">IF(B4385="","","")</f>
        <v/>
      </c>
      <c r="I4385" s="23" t="str">
        <f aca="false">IF(B4385="","","")</f>
        <v/>
      </c>
      <c r="J4385" s="23" t="str">
        <f aca="false">IF(B4385="","","touch_2; "&amp;IFERROR(INDEX(Clay_Brands!$A$2:$FZ$601,334,Sync!$D$10)&amp;"","")&amp;"; "&amp;IFERROR(INDEX(Clay_Brands!$A$2:$FZ$601,334,Sync!$D$9)&amp;"",""))</f>
        <v/>
      </c>
      <c r="K4385" s="32" t="s">
        <v>1367</v>
      </c>
    </row>
    <row r="4386" customFormat="false" ht="15" hidden="false" customHeight="false" outlineLevel="0" collapsed="false">
      <c r="A4386" s="23" t="str">
        <f aca="false">IF(B4386="","",B4386+(16*1000+335)/10000000)</f>
        <v/>
      </c>
      <c r="B4386" s="35" t="str">
        <f aca="false">IF(AND(IFERROR(N(INDEX(Clay_Brands!$A$2:$FZ$601,335,Sync!$D$12)),0)&gt;0,IFERROR(INDEX(Clay_Brands!$A$2:$FZ$601,335,Sync!$D$5)&amp;"","")&lt;&gt;"",OR(LEFT(IFERROR(INDEX(Clay_Brands!$A$2:$FZ$601,335,Sync!$D$5)&amp;"",""),6)&lt;&gt;"SAMPLE",Config!$B$19="Y")),IFERROR(N(INDEX(Clay_Brands!$A$2:$FZ$601,335,Sync!$D$12)),0),"")</f>
        <v/>
      </c>
      <c r="C4386" s="23" t="str">
        <f aca="false">IF(B4386="","","brand")</f>
        <v/>
      </c>
      <c r="D4386" s="23" t="str">
        <f aca="false">IF(B4386="","",IFERROR(INDEX(Brand_Log!$DV$2:$DV$201,MATCH(IFERROR(INDEX(Clay_Brands!$A$2:$FZ$601,335,Sync!$D$5)&amp;"",""),Brand_Log!$A$2:$A$201,0))&amp;"",IFERROR(INDEX(Clay_Brands!$A$2:$FZ$601,335,Sync!$D$5)&amp;"","")&amp;""))</f>
        <v/>
      </c>
      <c r="E4386" s="23" t="str">
        <f aca="false">IF(B4386="","",IFERROR(INDEX(Clay_Brands!$A$2:$FZ$601,335,Sync!$D$6)&amp;"",""))</f>
        <v/>
      </c>
      <c r="F4386" s="23" t="str">
        <f aca="false">IF(B4386="","","outreach_sent")</f>
        <v/>
      </c>
      <c r="G4386" s="23" t="str">
        <f aca="false">IF(B4386="","","")</f>
        <v/>
      </c>
      <c r="H4386" s="23" t="str">
        <f aca="false">IF(B4386="","","")</f>
        <v/>
      </c>
      <c r="I4386" s="23" t="str">
        <f aca="false">IF(B4386="","","")</f>
        <v/>
      </c>
      <c r="J4386" s="23" t="str">
        <f aca="false">IF(B4386="","","touch_2; "&amp;IFERROR(INDEX(Clay_Brands!$A$2:$FZ$601,335,Sync!$D$10)&amp;"","")&amp;"; "&amp;IFERROR(INDEX(Clay_Brands!$A$2:$FZ$601,335,Sync!$D$9)&amp;"",""))</f>
        <v/>
      </c>
      <c r="K4386" s="32" t="s">
        <v>1367</v>
      </c>
    </row>
    <row r="4387" customFormat="false" ht="15" hidden="false" customHeight="false" outlineLevel="0" collapsed="false">
      <c r="A4387" s="23" t="str">
        <f aca="false">IF(B4387="","",B4387+(16*1000+336)/10000000)</f>
        <v/>
      </c>
      <c r="B4387" s="35" t="str">
        <f aca="false">IF(AND(IFERROR(N(INDEX(Clay_Brands!$A$2:$FZ$601,336,Sync!$D$12)),0)&gt;0,IFERROR(INDEX(Clay_Brands!$A$2:$FZ$601,336,Sync!$D$5)&amp;"","")&lt;&gt;"",OR(LEFT(IFERROR(INDEX(Clay_Brands!$A$2:$FZ$601,336,Sync!$D$5)&amp;"",""),6)&lt;&gt;"SAMPLE",Config!$B$19="Y")),IFERROR(N(INDEX(Clay_Brands!$A$2:$FZ$601,336,Sync!$D$12)),0),"")</f>
        <v/>
      </c>
      <c r="C4387" s="23" t="str">
        <f aca="false">IF(B4387="","","brand")</f>
        <v/>
      </c>
      <c r="D4387" s="23" t="str">
        <f aca="false">IF(B4387="","",IFERROR(INDEX(Brand_Log!$DV$2:$DV$201,MATCH(IFERROR(INDEX(Clay_Brands!$A$2:$FZ$601,336,Sync!$D$5)&amp;"",""),Brand_Log!$A$2:$A$201,0))&amp;"",IFERROR(INDEX(Clay_Brands!$A$2:$FZ$601,336,Sync!$D$5)&amp;"","")&amp;""))</f>
        <v/>
      </c>
      <c r="E4387" s="23" t="str">
        <f aca="false">IF(B4387="","",IFERROR(INDEX(Clay_Brands!$A$2:$FZ$601,336,Sync!$D$6)&amp;"",""))</f>
        <v/>
      </c>
      <c r="F4387" s="23" t="str">
        <f aca="false">IF(B4387="","","outreach_sent")</f>
        <v/>
      </c>
      <c r="G4387" s="23" t="str">
        <f aca="false">IF(B4387="","","")</f>
        <v/>
      </c>
      <c r="H4387" s="23" t="str">
        <f aca="false">IF(B4387="","","")</f>
        <v/>
      </c>
      <c r="I4387" s="23" t="str">
        <f aca="false">IF(B4387="","","")</f>
        <v/>
      </c>
      <c r="J4387" s="23" t="str">
        <f aca="false">IF(B4387="","","touch_2; "&amp;IFERROR(INDEX(Clay_Brands!$A$2:$FZ$601,336,Sync!$D$10)&amp;"","")&amp;"; "&amp;IFERROR(INDEX(Clay_Brands!$A$2:$FZ$601,336,Sync!$D$9)&amp;"",""))</f>
        <v/>
      </c>
      <c r="K4387" s="32" t="s">
        <v>1367</v>
      </c>
    </row>
    <row r="4388" customFormat="false" ht="15" hidden="false" customHeight="false" outlineLevel="0" collapsed="false">
      <c r="A4388" s="23" t="str">
        <f aca="false">IF(B4388="","",B4388+(16*1000+337)/10000000)</f>
        <v/>
      </c>
      <c r="B4388" s="35" t="str">
        <f aca="false">IF(AND(IFERROR(N(INDEX(Clay_Brands!$A$2:$FZ$601,337,Sync!$D$12)),0)&gt;0,IFERROR(INDEX(Clay_Brands!$A$2:$FZ$601,337,Sync!$D$5)&amp;"","")&lt;&gt;"",OR(LEFT(IFERROR(INDEX(Clay_Brands!$A$2:$FZ$601,337,Sync!$D$5)&amp;"",""),6)&lt;&gt;"SAMPLE",Config!$B$19="Y")),IFERROR(N(INDEX(Clay_Brands!$A$2:$FZ$601,337,Sync!$D$12)),0),"")</f>
        <v/>
      </c>
      <c r="C4388" s="23" t="str">
        <f aca="false">IF(B4388="","","brand")</f>
        <v/>
      </c>
      <c r="D4388" s="23" t="str">
        <f aca="false">IF(B4388="","",IFERROR(INDEX(Brand_Log!$DV$2:$DV$201,MATCH(IFERROR(INDEX(Clay_Brands!$A$2:$FZ$601,337,Sync!$D$5)&amp;"",""),Brand_Log!$A$2:$A$201,0))&amp;"",IFERROR(INDEX(Clay_Brands!$A$2:$FZ$601,337,Sync!$D$5)&amp;"","")&amp;""))</f>
        <v/>
      </c>
      <c r="E4388" s="23" t="str">
        <f aca="false">IF(B4388="","",IFERROR(INDEX(Clay_Brands!$A$2:$FZ$601,337,Sync!$D$6)&amp;"",""))</f>
        <v/>
      </c>
      <c r="F4388" s="23" t="str">
        <f aca="false">IF(B4388="","","outreach_sent")</f>
        <v/>
      </c>
      <c r="G4388" s="23" t="str">
        <f aca="false">IF(B4388="","","")</f>
        <v/>
      </c>
      <c r="H4388" s="23" t="str">
        <f aca="false">IF(B4388="","","")</f>
        <v/>
      </c>
      <c r="I4388" s="23" t="str">
        <f aca="false">IF(B4388="","","")</f>
        <v/>
      </c>
      <c r="J4388" s="23" t="str">
        <f aca="false">IF(B4388="","","touch_2; "&amp;IFERROR(INDEX(Clay_Brands!$A$2:$FZ$601,337,Sync!$D$10)&amp;"","")&amp;"; "&amp;IFERROR(INDEX(Clay_Brands!$A$2:$FZ$601,337,Sync!$D$9)&amp;"",""))</f>
        <v/>
      </c>
      <c r="K4388" s="32" t="s">
        <v>1367</v>
      </c>
    </row>
    <row r="4389" customFormat="false" ht="15" hidden="false" customHeight="false" outlineLevel="0" collapsed="false">
      <c r="A4389" s="23" t="str">
        <f aca="false">IF(B4389="","",B4389+(16*1000+338)/10000000)</f>
        <v/>
      </c>
      <c r="B4389" s="35" t="str">
        <f aca="false">IF(AND(IFERROR(N(INDEX(Clay_Brands!$A$2:$FZ$601,338,Sync!$D$12)),0)&gt;0,IFERROR(INDEX(Clay_Brands!$A$2:$FZ$601,338,Sync!$D$5)&amp;"","")&lt;&gt;"",OR(LEFT(IFERROR(INDEX(Clay_Brands!$A$2:$FZ$601,338,Sync!$D$5)&amp;"",""),6)&lt;&gt;"SAMPLE",Config!$B$19="Y")),IFERROR(N(INDEX(Clay_Brands!$A$2:$FZ$601,338,Sync!$D$12)),0),"")</f>
        <v/>
      </c>
      <c r="C4389" s="23" t="str">
        <f aca="false">IF(B4389="","","brand")</f>
        <v/>
      </c>
      <c r="D4389" s="23" t="str">
        <f aca="false">IF(B4389="","",IFERROR(INDEX(Brand_Log!$DV$2:$DV$201,MATCH(IFERROR(INDEX(Clay_Brands!$A$2:$FZ$601,338,Sync!$D$5)&amp;"",""),Brand_Log!$A$2:$A$201,0))&amp;"",IFERROR(INDEX(Clay_Brands!$A$2:$FZ$601,338,Sync!$D$5)&amp;"","")&amp;""))</f>
        <v/>
      </c>
      <c r="E4389" s="23" t="str">
        <f aca="false">IF(B4389="","",IFERROR(INDEX(Clay_Brands!$A$2:$FZ$601,338,Sync!$D$6)&amp;"",""))</f>
        <v/>
      </c>
      <c r="F4389" s="23" t="str">
        <f aca="false">IF(B4389="","","outreach_sent")</f>
        <v/>
      </c>
      <c r="G4389" s="23" t="str">
        <f aca="false">IF(B4389="","","")</f>
        <v/>
      </c>
      <c r="H4389" s="23" t="str">
        <f aca="false">IF(B4389="","","")</f>
        <v/>
      </c>
      <c r="I4389" s="23" t="str">
        <f aca="false">IF(B4389="","","")</f>
        <v/>
      </c>
      <c r="J4389" s="23" t="str">
        <f aca="false">IF(B4389="","","touch_2; "&amp;IFERROR(INDEX(Clay_Brands!$A$2:$FZ$601,338,Sync!$D$10)&amp;"","")&amp;"; "&amp;IFERROR(INDEX(Clay_Brands!$A$2:$FZ$601,338,Sync!$D$9)&amp;"",""))</f>
        <v/>
      </c>
      <c r="K4389" s="32" t="s">
        <v>1367</v>
      </c>
    </row>
    <row r="4390" customFormat="false" ht="15" hidden="false" customHeight="false" outlineLevel="0" collapsed="false">
      <c r="A4390" s="23" t="str">
        <f aca="false">IF(B4390="","",B4390+(16*1000+339)/10000000)</f>
        <v/>
      </c>
      <c r="B4390" s="35" t="str">
        <f aca="false">IF(AND(IFERROR(N(INDEX(Clay_Brands!$A$2:$FZ$601,339,Sync!$D$12)),0)&gt;0,IFERROR(INDEX(Clay_Brands!$A$2:$FZ$601,339,Sync!$D$5)&amp;"","")&lt;&gt;"",OR(LEFT(IFERROR(INDEX(Clay_Brands!$A$2:$FZ$601,339,Sync!$D$5)&amp;"",""),6)&lt;&gt;"SAMPLE",Config!$B$19="Y")),IFERROR(N(INDEX(Clay_Brands!$A$2:$FZ$601,339,Sync!$D$12)),0),"")</f>
        <v/>
      </c>
      <c r="C4390" s="23" t="str">
        <f aca="false">IF(B4390="","","brand")</f>
        <v/>
      </c>
      <c r="D4390" s="23" t="str">
        <f aca="false">IF(B4390="","",IFERROR(INDEX(Brand_Log!$DV$2:$DV$201,MATCH(IFERROR(INDEX(Clay_Brands!$A$2:$FZ$601,339,Sync!$D$5)&amp;"",""),Brand_Log!$A$2:$A$201,0))&amp;"",IFERROR(INDEX(Clay_Brands!$A$2:$FZ$601,339,Sync!$D$5)&amp;"","")&amp;""))</f>
        <v/>
      </c>
      <c r="E4390" s="23" t="str">
        <f aca="false">IF(B4390="","",IFERROR(INDEX(Clay_Brands!$A$2:$FZ$601,339,Sync!$D$6)&amp;"",""))</f>
        <v/>
      </c>
      <c r="F4390" s="23" t="str">
        <f aca="false">IF(B4390="","","outreach_sent")</f>
        <v/>
      </c>
      <c r="G4390" s="23" t="str">
        <f aca="false">IF(B4390="","","")</f>
        <v/>
      </c>
      <c r="H4390" s="23" t="str">
        <f aca="false">IF(B4390="","","")</f>
        <v/>
      </c>
      <c r="I4390" s="23" t="str">
        <f aca="false">IF(B4390="","","")</f>
        <v/>
      </c>
      <c r="J4390" s="23" t="str">
        <f aca="false">IF(B4390="","","touch_2; "&amp;IFERROR(INDEX(Clay_Brands!$A$2:$FZ$601,339,Sync!$D$10)&amp;"","")&amp;"; "&amp;IFERROR(INDEX(Clay_Brands!$A$2:$FZ$601,339,Sync!$D$9)&amp;"",""))</f>
        <v/>
      </c>
      <c r="K4390" s="32" t="s">
        <v>1367</v>
      </c>
    </row>
    <row r="4391" customFormat="false" ht="15" hidden="false" customHeight="false" outlineLevel="0" collapsed="false">
      <c r="A4391" s="23" t="str">
        <f aca="false">IF(B4391="","",B4391+(16*1000+340)/10000000)</f>
        <v/>
      </c>
      <c r="B4391" s="35" t="str">
        <f aca="false">IF(AND(IFERROR(N(INDEX(Clay_Brands!$A$2:$FZ$601,340,Sync!$D$12)),0)&gt;0,IFERROR(INDEX(Clay_Brands!$A$2:$FZ$601,340,Sync!$D$5)&amp;"","")&lt;&gt;"",OR(LEFT(IFERROR(INDEX(Clay_Brands!$A$2:$FZ$601,340,Sync!$D$5)&amp;"",""),6)&lt;&gt;"SAMPLE",Config!$B$19="Y")),IFERROR(N(INDEX(Clay_Brands!$A$2:$FZ$601,340,Sync!$D$12)),0),"")</f>
        <v/>
      </c>
      <c r="C4391" s="23" t="str">
        <f aca="false">IF(B4391="","","brand")</f>
        <v/>
      </c>
      <c r="D4391" s="23" t="str">
        <f aca="false">IF(B4391="","",IFERROR(INDEX(Brand_Log!$DV$2:$DV$201,MATCH(IFERROR(INDEX(Clay_Brands!$A$2:$FZ$601,340,Sync!$D$5)&amp;"",""),Brand_Log!$A$2:$A$201,0))&amp;"",IFERROR(INDEX(Clay_Brands!$A$2:$FZ$601,340,Sync!$D$5)&amp;"","")&amp;""))</f>
        <v/>
      </c>
      <c r="E4391" s="23" t="str">
        <f aca="false">IF(B4391="","",IFERROR(INDEX(Clay_Brands!$A$2:$FZ$601,340,Sync!$D$6)&amp;"",""))</f>
        <v/>
      </c>
      <c r="F4391" s="23" t="str">
        <f aca="false">IF(B4391="","","outreach_sent")</f>
        <v/>
      </c>
      <c r="G4391" s="23" t="str">
        <f aca="false">IF(B4391="","","")</f>
        <v/>
      </c>
      <c r="H4391" s="23" t="str">
        <f aca="false">IF(B4391="","","")</f>
        <v/>
      </c>
      <c r="I4391" s="23" t="str">
        <f aca="false">IF(B4391="","","")</f>
        <v/>
      </c>
      <c r="J4391" s="23" t="str">
        <f aca="false">IF(B4391="","","touch_2; "&amp;IFERROR(INDEX(Clay_Brands!$A$2:$FZ$601,340,Sync!$D$10)&amp;"","")&amp;"; "&amp;IFERROR(INDEX(Clay_Brands!$A$2:$FZ$601,340,Sync!$D$9)&amp;"",""))</f>
        <v/>
      </c>
      <c r="K4391" s="32" t="s">
        <v>1367</v>
      </c>
    </row>
    <row r="4392" customFormat="false" ht="15" hidden="false" customHeight="false" outlineLevel="0" collapsed="false">
      <c r="A4392" s="23" t="str">
        <f aca="false">IF(B4392="","",B4392+(16*1000+341)/10000000)</f>
        <v/>
      </c>
      <c r="B4392" s="35" t="str">
        <f aca="false">IF(AND(IFERROR(N(INDEX(Clay_Brands!$A$2:$FZ$601,341,Sync!$D$12)),0)&gt;0,IFERROR(INDEX(Clay_Brands!$A$2:$FZ$601,341,Sync!$D$5)&amp;"","")&lt;&gt;"",OR(LEFT(IFERROR(INDEX(Clay_Brands!$A$2:$FZ$601,341,Sync!$D$5)&amp;"",""),6)&lt;&gt;"SAMPLE",Config!$B$19="Y")),IFERROR(N(INDEX(Clay_Brands!$A$2:$FZ$601,341,Sync!$D$12)),0),"")</f>
        <v/>
      </c>
      <c r="C4392" s="23" t="str">
        <f aca="false">IF(B4392="","","brand")</f>
        <v/>
      </c>
      <c r="D4392" s="23" t="str">
        <f aca="false">IF(B4392="","",IFERROR(INDEX(Brand_Log!$DV$2:$DV$201,MATCH(IFERROR(INDEX(Clay_Brands!$A$2:$FZ$601,341,Sync!$D$5)&amp;"",""),Brand_Log!$A$2:$A$201,0))&amp;"",IFERROR(INDEX(Clay_Brands!$A$2:$FZ$601,341,Sync!$D$5)&amp;"","")&amp;""))</f>
        <v/>
      </c>
      <c r="E4392" s="23" t="str">
        <f aca="false">IF(B4392="","",IFERROR(INDEX(Clay_Brands!$A$2:$FZ$601,341,Sync!$D$6)&amp;"",""))</f>
        <v/>
      </c>
      <c r="F4392" s="23" t="str">
        <f aca="false">IF(B4392="","","outreach_sent")</f>
        <v/>
      </c>
      <c r="G4392" s="23" t="str">
        <f aca="false">IF(B4392="","","")</f>
        <v/>
      </c>
      <c r="H4392" s="23" t="str">
        <f aca="false">IF(B4392="","","")</f>
        <v/>
      </c>
      <c r="I4392" s="23" t="str">
        <f aca="false">IF(B4392="","","")</f>
        <v/>
      </c>
      <c r="J4392" s="23" t="str">
        <f aca="false">IF(B4392="","","touch_2; "&amp;IFERROR(INDEX(Clay_Brands!$A$2:$FZ$601,341,Sync!$D$10)&amp;"","")&amp;"; "&amp;IFERROR(INDEX(Clay_Brands!$A$2:$FZ$601,341,Sync!$D$9)&amp;"",""))</f>
        <v/>
      </c>
      <c r="K4392" s="32" t="s">
        <v>1367</v>
      </c>
    </row>
    <row r="4393" customFormat="false" ht="15" hidden="false" customHeight="false" outlineLevel="0" collapsed="false">
      <c r="A4393" s="23" t="str">
        <f aca="false">IF(B4393="","",B4393+(16*1000+342)/10000000)</f>
        <v/>
      </c>
      <c r="B4393" s="35" t="str">
        <f aca="false">IF(AND(IFERROR(N(INDEX(Clay_Brands!$A$2:$FZ$601,342,Sync!$D$12)),0)&gt;0,IFERROR(INDEX(Clay_Brands!$A$2:$FZ$601,342,Sync!$D$5)&amp;"","")&lt;&gt;"",OR(LEFT(IFERROR(INDEX(Clay_Brands!$A$2:$FZ$601,342,Sync!$D$5)&amp;"",""),6)&lt;&gt;"SAMPLE",Config!$B$19="Y")),IFERROR(N(INDEX(Clay_Brands!$A$2:$FZ$601,342,Sync!$D$12)),0),"")</f>
        <v/>
      </c>
      <c r="C4393" s="23" t="str">
        <f aca="false">IF(B4393="","","brand")</f>
        <v/>
      </c>
      <c r="D4393" s="23" t="str">
        <f aca="false">IF(B4393="","",IFERROR(INDEX(Brand_Log!$DV$2:$DV$201,MATCH(IFERROR(INDEX(Clay_Brands!$A$2:$FZ$601,342,Sync!$D$5)&amp;"",""),Brand_Log!$A$2:$A$201,0))&amp;"",IFERROR(INDEX(Clay_Brands!$A$2:$FZ$601,342,Sync!$D$5)&amp;"","")&amp;""))</f>
        <v/>
      </c>
      <c r="E4393" s="23" t="str">
        <f aca="false">IF(B4393="","",IFERROR(INDEX(Clay_Brands!$A$2:$FZ$601,342,Sync!$D$6)&amp;"",""))</f>
        <v/>
      </c>
      <c r="F4393" s="23" t="str">
        <f aca="false">IF(B4393="","","outreach_sent")</f>
        <v/>
      </c>
      <c r="G4393" s="23" t="str">
        <f aca="false">IF(B4393="","","")</f>
        <v/>
      </c>
      <c r="H4393" s="23" t="str">
        <f aca="false">IF(B4393="","","")</f>
        <v/>
      </c>
      <c r="I4393" s="23" t="str">
        <f aca="false">IF(B4393="","","")</f>
        <v/>
      </c>
      <c r="J4393" s="23" t="str">
        <f aca="false">IF(B4393="","","touch_2; "&amp;IFERROR(INDEX(Clay_Brands!$A$2:$FZ$601,342,Sync!$D$10)&amp;"","")&amp;"; "&amp;IFERROR(INDEX(Clay_Brands!$A$2:$FZ$601,342,Sync!$D$9)&amp;"",""))</f>
        <v/>
      </c>
      <c r="K4393" s="32" t="s">
        <v>1367</v>
      </c>
    </row>
    <row r="4394" customFormat="false" ht="15" hidden="false" customHeight="false" outlineLevel="0" collapsed="false">
      <c r="A4394" s="23" t="str">
        <f aca="false">IF(B4394="","",B4394+(16*1000+343)/10000000)</f>
        <v/>
      </c>
      <c r="B4394" s="35" t="str">
        <f aca="false">IF(AND(IFERROR(N(INDEX(Clay_Brands!$A$2:$FZ$601,343,Sync!$D$12)),0)&gt;0,IFERROR(INDEX(Clay_Brands!$A$2:$FZ$601,343,Sync!$D$5)&amp;"","")&lt;&gt;"",OR(LEFT(IFERROR(INDEX(Clay_Brands!$A$2:$FZ$601,343,Sync!$D$5)&amp;"",""),6)&lt;&gt;"SAMPLE",Config!$B$19="Y")),IFERROR(N(INDEX(Clay_Brands!$A$2:$FZ$601,343,Sync!$D$12)),0),"")</f>
        <v/>
      </c>
      <c r="C4394" s="23" t="str">
        <f aca="false">IF(B4394="","","brand")</f>
        <v/>
      </c>
      <c r="D4394" s="23" t="str">
        <f aca="false">IF(B4394="","",IFERROR(INDEX(Brand_Log!$DV$2:$DV$201,MATCH(IFERROR(INDEX(Clay_Brands!$A$2:$FZ$601,343,Sync!$D$5)&amp;"",""),Brand_Log!$A$2:$A$201,0))&amp;"",IFERROR(INDEX(Clay_Brands!$A$2:$FZ$601,343,Sync!$D$5)&amp;"","")&amp;""))</f>
        <v/>
      </c>
      <c r="E4394" s="23" t="str">
        <f aca="false">IF(B4394="","",IFERROR(INDEX(Clay_Brands!$A$2:$FZ$601,343,Sync!$D$6)&amp;"",""))</f>
        <v/>
      </c>
      <c r="F4394" s="23" t="str">
        <f aca="false">IF(B4394="","","outreach_sent")</f>
        <v/>
      </c>
      <c r="G4394" s="23" t="str">
        <f aca="false">IF(B4394="","","")</f>
        <v/>
      </c>
      <c r="H4394" s="23" t="str">
        <f aca="false">IF(B4394="","","")</f>
        <v/>
      </c>
      <c r="I4394" s="23" t="str">
        <f aca="false">IF(B4394="","","")</f>
        <v/>
      </c>
      <c r="J4394" s="23" t="str">
        <f aca="false">IF(B4394="","","touch_2; "&amp;IFERROR(INDEX(Clay_Brands!$A$2:$FZ$601,343,Sync!$D$10)&amp;"","")&amp;"; "&amp;IFERROR(INDEX(Clay_Brands!$A$2:$FZ$601,343,Sync!$D$9)&amp;"",""))</f>
        <v/>
      </c>
      <c r="K4394" s="32" t="s">
        <v>1367</v>
      </c>
    </row>
    <row r="4395" customFormat="false" ht="15" hidden="false" customHeight="false" outlineLevel="0" collapsed="false">
      <c r="A4395" s="23" t="str">
        <f aca="false">IF(B4395="","",B4395+(16*1000+344)/10000000)</f>
        <v/>
      </c>
      <c r="B4395" s="35" t="str">
        <f aca="false">IF(AND(IFERROR(N(INDEX(Clay_Brands!$A$2:$FZ$601,344,Sync!$D$12)),0)&gt;0,IFERROR(INDEX(Clay_Brands!$A$2:$FZ$601,344,Sync!$D$5)&amp;"","")&lt;&gt;"",OR(LEFT(IFERROR(INDEX(Clay_Brands!$A$2:$FZ$601,344,Sync!$D$5)&amp;"",""),6)&lt;&gt;"SAMPLE",Config!$B$19="Y")),IFERROR(N(INDEX(Clay_Brands!$A$2:$FZ$601,344,Sync!$D$12)),0),"")</f>
        <v/>
      </c>
      <c r="C4395" s="23" t="str">
        <f aca="false">IF(B4395="","","brand")</f>
        <v/>
      </c>
      <c r="D4395" s="23" t="str">
        <f aca="false">IF(B4395="","",IFERROR(INDEX(Brand_Log!$DV$2:$DV$201,MATCH(IFERROR(INDEX(Clay_Brands!$A$2:$FZ$601,344,Sync!$D$5)&amp;"",""),Brand_Log!$A$2:$A$201,0))&amp;"",IFERROR(INDEX(Clay_Brands!$A$2:$FZ$601,344,Sync!$D$5)&amp;"","")&amp;""))</f>
        <v/>
      </c>
      <c r="E4395" s="23" t="str">
        <f aca="false">IF(B4395="","",IFERROR(INDEX(Clay_Brands!$A$2:$FZ$601,344,Sync!$D$6)&amp;"",""))</f>
        <v/>
      </c>
      <c r="F4395" s="23" t="str">
        <f aca="false">IF(B4395="","","outreach_sent")</f>
        <v/>
      </c>
      <c r="G4395" s="23" t="str">
        <f aca="false">IF(B4395="","","")</f>
        <v/>
      </c>
      <c r="H4395" s="23" t="str">
        <f aca="false">IF(B4395="","","")</f>
        <v/>
      </c>
      <c r="I4395" s="23" t="str">
        <f aca="false">IF(B4395="","","")</f>
        <v/>
      </c>
      <c r="J4395" s="23" t="str">
        <f aca="false">IF(B4395="","","touch_2; "&amp;IFERROR(INDEX(Clay_Brands!$A$2:$FZ$601,344,Sync!$D$10)&amp;"","")&amp;"; "&amp;IFERROR(INDEX(Clay_Brands!$A$2:$FZ$601,344,Sync!$D$9)&amp;"",""))</f>
        <v/>
      </c>
      <c r="K4395" s="32" t="s">
        <v>1367</v>
      </c>
    </row>
    <row r="4396" customFormat="false" ht="15" hidden="false" customHeight="false" outlineLevel="0" collapsed="false">
      <c r="A4396" s="23" t="str">
        <f aca="false">IF(B4396="","",B4396+(16*1000+345)/10000000)</f>
        <v/>
      </c>
      <c r="B4396" s="35" t="str">
        <f aca="false">IF(AND(IFERROR(N(INDEX(Clay_Brands!$A$2:$FZ$601,345,Sync!$D$12)),0)&gt;0,IFERROR(INDEX(Clay_Brands!$A$2:$FZ$601,345,Sync!$D$5)&amp;"","")&lt;&gt;"",OR(LEFT(IFERROR(INDEX(Clay_Brands!$A$2:$FZ$601,345,Sync!$D$5)&amp;"",""),6)&lt;&gt;"SAMPLE",Config!$B$19="Y")),IFERROR(N(INDEX(Clay_Brands!$A$2:$FZ$601,345,Sync!$D$12)),0),"")</f>
        <v/>
      </c>
      <c r="C4396" s="23" t="str">
        <f aca="false">IF(B4396="","","brand")</f>
        <v/>
      </c>
      <c r="D4396" s="23" t="str">
        <f aca="false">IF(B4396="","",IFERROR(INDEX(Brand_Log!$DV$2:$DV$201,MATCH(IFERROR(INDEX(Clay_Brands!$A$2:$FZ$601,345,Sync!$D$5)&amp;"",""),Brand_Log!$A$2:$A$201,0))&amp;"",IFERROR(INDEX(Clay_Brands!$A$2:$FZ$601,345,Sync!$D$5)&amp;"","")&amp;""))</f>
        <v/>
      </c>
      <c r="E4396" s="23" t="str">
        <f aca="false">IF(B4396="","",IFERROR(INDEX(Clay_Brands!$A$2:$FZ$601,345,Sync!$D$6)&amp;"",""))</f>
        <v/>
      </c>
      <c r="F4396" s="23" t="str">
        <f aca="false">IF(B4396="","","outreach_sent")</f>
        <v/>
      </c>
      <c r="G4396" s="23" t="str">
        <f aca="false">IF(B4396="","","")</f>
        <v/>
      </c>
      <c r="H4396" s="23" t="str">
        <f aca="false">IF(B4396="","","")</f>
        <v/>
      </c>
      <c r="I4396" s="23" t="str">
        <f aca="false">IF(B4396="","","")</f>
        <v/>
      </c>
      <c r="J4396" s="23" t="str">
        <f aca="false">IF(B4396="","","touch_2; "&amp;IFERROR(INDEX(Clay_Brands!$A$2:$FZ$601,345,Sync!$D$10)&amp;"","")&amp;"; "&amp;IFERROR(INDEX(Clay_Brands!$A$2:$FZ$601,345,Sync!$D$9)&amp;"",""))</f>
        <v/>
      </c>
      <c r="K4396" s="32" t="s">
        <v>1367</v>
      </c>
    </row>
    <row r="4397" customFormat="false" ht="15" hidden="false" customHeight="false" outlineLevel="0" collapsed="false">
      <c r="A4397" s="23" t="str">
        <f aca="false">IF(B4397="","",B4397+(16*1000+346)/10000000)</f>
        <v/>
      </c>
      <c r="B4397" s="35" t="str">
        <f aca="false">IF(AND(IFERROR(N(INDEX(Clay_Brands!$A$2:$FZ$601,346,Sync!$D$12)),0)&gt;0,IFERROR(INDEX(Clay_Brands!$A$2:$FZ$601,346,Sync!$D$5)&amp;"","")&lt;&gt;"",OR(LEFT(IFERROR(INDEX(Clay_Brands!$A$2:$FZ$601,346,Sync!$D$5)&amp;"",""),6)&lt;&gt;"SAMPLE",Config!$B$19="Y")),IFERROR(N(INDEX(Clay_Brands!$A$2:$FZ$601,346,Sync!$D$12)),0),"")</f>
        <v/>
      </c>
      <c r="C4397" s="23" t="str">
        <f aca="false">IF(B4397="","","brand")</f>
        <v/>
      </c>
      <c r="D4397" s="23" t="str">
        <f aca="false">IF(B4397="","",IFERROR(INDEX(Brand_Log!$DV$2:$DV$201,MATCH(IFERROR(INDEX(Clay_Brands!$A$2:$FZ$601,346,Sync!$D$5)&amp;"",""),Brand_Log!$A$2:$A$201,0))&amp;"",IFERROR(INDEX(Clay_Brands!$A$2:$FZ$601,346,Sync!$D$5)&amp;"","")&amp;""))</f>
        <v/>
      </c>
      <c r="E4397" s="23" t="str">
        <f aca="false">IF(B4397="","",IFERROR(INDEX(Clay_Brands!$A$2:$FZ$601,346,Sync!$D$6)&amp;"",""))</f>
        <v/>
      </c>
      <c r="F4397" s="23" t="str">
        <f aca="false">IF(B4397="","","outreach_sent")</f>
        <v/>
      </c>
      <c r="G4397" s="23" t="str">
        <f aca="false">IF(B4397="","","")</f>
        <v/>
      </c>
      <c r="H4397" s="23" t="str">
        <f aca="false">IF(B4397="","","")</f>
        <v/>
      </c>
      <c r="I4397" s="23" t="str">
        <f aca="false">IF(B4397="","","")</f>
        <v/>
      </c>
      <c r="J4397" s="23" t="str">
        <f aca="false">IF(B4397="","","touch_2; "&amp;IFERROR(INDEX(Clay_Brands!$A$2:$FZ$601,346,Sync!$D$10)&amp;"","")&amp;"; "&amp;IFERROR(INDEX(Clay_Brands!$A$2:$FZ$601,346,Sync!$D$9)&amp;"",""))</f>
        <v/>
      </c>
      <c r="K4397" s="32" t="s">
        <v>1367</v>
      </c>
    </row>
    <row r="4398" customFormat="false" ht="15" hidden="false" customHeight="false" outlineLevel="0" collapsed="false">
      <c r="A4398" s="23" t="str">
        <f aca="false">IF(B4398="","",B4398+(16*1000+347)/10000000)</f>
        <v/>
      </c>
      <c r="B4398" s="35" t="str">
        <f aca="false">IF(AND(IFERROR(N(INDEX(Clay_Brands!$A$2:$FZ$601,347,Sync!$D$12)),0)&gt;0,IFERROR(INDEX(Clay_Brands!$A$2:$FZ$601,347,Sync!$D$5)&amp;"","")&lt;&gt;"",OR(LEFT(IFERROR(INDEX(Clay_Brands!$A$2:$FZ$601,347,Sync!$D$5)&amp;"",""),6)&lt;&gt;"SAMPLE",Config!$B$19="Y")),IFERROR(N(INDEX(Clay_Brands!$A$2:$FZ$601,347,Sync!$D$12)),0),"")</f>
        <v/>
      </c>
      <c r="C4398" s="23" t="str">
        <f aca="false">IF(B4398="","","brand")</f>
        <v/>
      </c>
      <c r="D4398" s="23" t="str">
        <f aca="false">IF(B4398="","",IFERROR(INDEX(Brand_Log!$DV$2:$DV$201,MATCH(IFERROR(INDEX(Clay_Brands!$A$2:$FZ$601,347,Sync!$D$5)&amp;"",""),Brand_Log!$A$2:$A$201,0))&amp;"",IFERROR(INDEX(Clay_Brands!$A$2:$FZ$601,347,Sync!$D$5)&amp;"","")&amp;""))</f>
        <v/>
      </c>
      <c r="E4398" s="23" t="str">
        <f aca="false">IF(B4398="","",IFERROR(INDEX(Clay_Brands!$A$2:$FZ$601,347,Sync!$D$6)&amp;"",""))</f>
        <v/>
      </c>
      <c r="F4398" s="23" t="str">
        <f aca="false">IF(B4398="","","outreach_sent")</f>
        <v/>
      </c>
      <c r="G4398" s="23" t="str">
        <f aca="false">IF(B4398="","","")</f>
        <v/>
      </c>
      <c r="H4398" s="23" t="str">
        <f aca="false">IF(B4398="","","")</f>
        <v/>
      </c>
      <c r="I4398" s="23" t="str">
        <f aca="false">IF(B4398="","","")</f>
        <v/>
      </c>
      <c r="J4398" s="23" t="str">
        <f aca="false">IF(B4398="","","touch_2; "&amp;IFERROR(INDEX(Clay_Brands!$A$2:$FZ$601,347,Sync!$D$10)&amp;"","")&amp;"; "&amp;IFERROR(INDEX(Clay_Brands!$A$2:$FZ$601,347,Sync!$D$9)&amp;"",""))</f>
        <v/>
      </c>
      <c r="K4398" s="32" t="s">
        <v>1367</v>
      </c>
    </row>
    <row r="4399" customFormat="false" ht="15" hidden="false" customHeight="false" outlineLevel="0" collapsed="false">
      <c r="A4399" s="23" t="str">
        <f aca="false">IF(B4399="","",B4399+(16*1000+348)/10000000)</f>
        <v/>
      </c>
      <c r="B4399" s="35" t="str">
        <f aca="false">IF(AND(IFERROR(N(INDEX(Clay_Brands!$A$2:$FZ$601,348,Sync!$D$12)),0)&gt;0,IFERROR(INDEX(Clay_Brands!$A$2:$FZ$601,348,Sync!$D$5)&amp;"","")&lt;&gt;"",OR(LEFT(IFERROR(INDEX(Clay_Brands!$A$2:$FZ$601,348,Sync!$D$5)&amp;"",""),6)&lt;&gt;"SAMPLE",Config!$B$19="Y")),IFERROR(N(INDEX(Clay_Brands!$A$2:$FZ$601,348,Sync!$D$12)),0),"")</f>
        <v/>
      </c>
      <c r="C4399" s="23" t="str">
        <f aca="false">IF(B4399="","","brand")</f>
        <v/>
      </c>
      <c r="D4399" s="23" t="str">
        <f aca="false">IF(B4399="","",IFERROR(INDEX(Brand_Log!$DV$2:$DV$201,MATCH(IFERROR(INDEX(Clay_Brands!$A$2:$FZ$601,348,Sync!$D$5)&amp;"",""),Brand_Log!$A$2:$A$201,0))&amp;"",IFERROR(INDEX(Clay_Brands!$A$2:$FZ$601,348,Sync!$D$5)&amp;"","")&amp;""))</f>
        <v/>
      </c>
      <c r="E4399" s="23" t="str">
        <f aca="false">IF(B4399="","",IFERROR(INDEX(Clay_Brands!$A$2:$FZ$601,348,Sync!$D$6)&amp;"",""))</f>
        <v/>
      </c>
      <c r="F4399" s="23" t="str">
        <f aca="false">IF(B4399="","","outreach_sent")</f>
        <v/>
      </c>
      <c r="G4399" s="23" t="str">
        <f aca="false">IF(B4399="","","")</f>
        <v/>
      </c>
      <c r="H4399" s="23" t="str">
        <f aca="false">IF(B4399="","","")</f>
        <v/>
      </c>
      <c r="I4399" s="23" t="str">
        <f aca="false">IF(B4399="","","")</f>
        <v/>
      </c>
      <c r="J4399" s="23" t="str">
        <f aca="false">IF(B4399="","","touch_2; "&amp;IFERROR(INDEX(Clay_Brands!$A$2:$FZ$601,348,Sync!$D$10)&amp;"","")&amp;"; "&amp;IFERROR(INDEX(Clay_Brands!$A$2:$FZ$601,348,Sync!$D$9)&amp;"",""))</f>
        <v/>
      </c>
      <c r="K4399" s="32" t="s">
        <v>1367</v>
      </c>
    </row>
    <row r="4400" customFormat="false" ht="15" hidden="false" customHeight="false" outlineLevel="0" collapsed="false">
      <c r="A4400" s="23" t="str">
        <f aca="false">IF(B4400="","",B4400+(16*1000+349)/10000000)</f>
        <v/>
      </c>
      <c r="B4400" s="35" t="str">
        <f aca="false">IF(AND(IFERROR(N(INDEX(Clay_Brands!$A$2:$FZ$601,349,Sync!$D$12)),0)&gt;0,IFERROR(INDEX(Clay_Brands!$A$2:$FZ$601,349,Sync!$D$5)&amp;"","")&lt;&gt;"",OR(LEFT(IFERROR(INDEX(Clay_Brands!$A$2:$FZ$601,349,Sync!$D$5)&amp;"",""),6)&lt;&gt;"SAMPLE",Config!$B$19="Y")),IFERROR(N(INDEX(Clay_Brands!$A$2:$FZ$601,349,Sync!$D$12)),0),"")</f>
        <v/>
      </c>
      <c r="C4400" s="23" t="str">
        <f aca="false">IF(B4400="","","brand")</f>
        <v/>
      </c>
      <c r="D4400" s="23" t="str">
        <f aca="false">IF(B4400="","",IFERROR(INDEX(Brand_Log!$DV$2:$DV$201,MATCH(IFERROR(INDEX(Clay_Brands!$A$2:$FZ$601,349,Sync!$D$5)&amp;"",""),Brand_Log!$A$2:$A$201,0))&amp;"",IFERROR(INDEX(Clay_Brands!$A$2:$FZ$601,349,Sync!$D$5)&amp;"","")&amp;""))</f>
        <v/>
      </c>
      <c r="E4400" s="23" t="str">
        <f aca="false">IF(B4400="","",IFERROR(INDEX(Clay_Brands!$A$2:$FZ$601,349,Sync!$D$6)&amp;"",""))</f>
        <v/>
      </c>
      <c r="F4400" s="23" t="str">
        <f aca="false">IF(B4400="","","outreach_sent")</f>
        <v/>
      </c>
      <c r="G4400" s="23" t="str">
        <f aca="false">IF(B4400="","","")</f>
        <v/>
      </c>
      <c r="H4400" s="23" t="str">
        <f aca="false">IF(B4400="","","")</f>
        <v/>
      </c>
      <c r="I4400" s="23" t="str">
        <f aca="false">IF(B4400="","","")</f>
        <v/>
      </c>
      <c r="J4400" s="23" t="str">
        <f aca="false">IF(B4400="","","touch_2; "&amp;IFERROR(INDEX(Clay_Brands!$A$2:$FZ$601,349,Sync!$D$10)&amp;"","")&amp;"; "&amp;IFERROR(INDEX(Clay_Brands!$A$2:$FZ$601,349,Sync!$D$9)&amp;"",""))</f>
        <v/>
      </c>
      <c r="K4400" s="32" t="s">
        <v>1367</v>
      </c>
    </row>
    <row r="4401" customFormat="false" ht="15" hidden="false" customHeight="false" outlineLevel="0" collapsed="false">
      <c r="A4401" s="23" t="str">
        <f aca="false">IF(B4401="","",B4401+(16*1000+350)/10000000)</f>
        <v/>
      </c>
      <c r="B4401" s="35" t="str">
        <f aca="false">IF(AND(IFERROR(N(INDEX(Clay_Brands!$A$2:$FZ$601,350,Sync!$D$12)),0)&gt;0,IFERROR(INDEX(Clay_Brands!$A$2:$FZ$601,350,Sync!$D$5)&amp;"","")&lt;&gt;"",OR(LEFT(IFERROR(INDEX(Clay_Brands!$A$2:$FZ$601,350,Sync!$D$5)&amp;"",""),6)&lt;&gt;"SAMPLE",Config!$B$19="Y")),IFERROR(N(INDEX(Clay_Brands!$A$2:$FZ$601,350,Sync!$D$12)),0),"")</f>
        <v/>
      </c>
      <c r="C4401" s="23" t="str">
        <f aca="false">IF(B4401="","","brand")</f>
        <v/>
      </c>
      <c r="D4401" s="23" t="str">
        <f aca="false">IF(B4401="","",IFERROR(INDEX(Brand_Log!$DV$2:$DV$201,MATCH(IFERROR(INDEX(Clay_Brands!$A$2:$FZ$601,350,Sync!$D$5)&amp;"",""),Brand_Log!$A$2:$A$201,0))&amp;"",IFERROR(INDEX(Clay_Brands!$A$2:$FZ$601,350,Sync!$D$5)&amp;"","")&amp;""))</f>
        <v/>
      </c>
      <c r="E4401" s="23" t="str">
        <f aca="false">IF(B4401="","",IFERROR(INDEX(Clay_Brands!$A$2:$FZ$601,350,Sync!$D$6)&amp;"",""))</f>
        <v/>
      </c>
      <c r="F4401" s="23" t="str">
        <f aca="false">IF(B4401="","","outreach_sent")</f>
        <v/>
      </c>
      <c r="G4401" s="23" t="str">
        <f aca="false">IF(B4401="","","")</f>
        <v/>
      </c>
      <c r="H4401" s="23" t="str">
        <f aca="false">IF(B4401="","","")</f>
        <v/>
      </c>
      <c r="I4401" s="23" t="str">
        <f aca="false">IF(B4401="","","")</f>
        <v/>
      </c>
      <c r="J4401" s="23" t="str">
        <f aca="false">IF(B4401="","","touch_2; "&amp;IFERROR(INDEX(Clay_Brands!$A$2:$FZ$601,350,Sync!$D$10)&amp;"","")&amp;"; "&amp;IFERROR(INDEX(Clay_Brands!$A$2:$FZ$601,350,Sync!$D$9)&amp;"",""))</f>
        <v/>
      </c>
      <c r="K4401" s="32" t="s">
        <v>1367</v>
      </c>
    </row>
    <row r="4402" customFormat="false" ht="15" hidden="false" customHeight="false" outlineLevel="0" collapsed="false">
      <c r="A4402" s="23" t="str">
        <f aca="false">IF(B4402="","",B4402+(16*1000+351)/10000000)</f>
        <v/>
      </c>
      <c r="B4402" s="35" t="str">
        <f aca="false">IF(AND(IFERROR(N(INDEX(Clay_Brands!$A$2:$FZ$601,351,Sync!$D$12)),0)&gt;0,IFERROR(INDEX(Clay_Brands!$A$2:$FZ$601,351,Sync!$D$5)&amp;"","")&lt;&gt;"",OR(LEFT(IFERROR(INDEX(Clay_Brands!$A$2:$FZ$601,351,Sync!$D$5)&amp;"",""),6)&lt;&gt;"SAMPLE",Config!$B$19="Y")),IFERROR(N(INDEX(Clay_Brands!$A$2:$FZ$601,351,Sync!$D$12)),0),"")</f>
        <v/>
      </c>
      <c r="C4402" s="23" t="str">
        <f aca="false">IF(B4402="","","brand")</f>
        <v/>
      </c>
      <c r="D4402" s="23" t="str">
        <f aca="false">IF(B4402="","",IFERROR(INDEX(Brand_Log!$DV$2:$DV$201,MATCH(IFERROR(INDEX(Clay_Brands!$A$2:$FZ$601,351,Sync!$D$5)&amp;"",""),Brand_Log!$A$2:$A$201,0))&amp;"",IFERROR(INDEX(Clay_Brands!$A$2:$FZ$601,351,Sync!$D$5)&amp;"","")&amp;""))</f>
        <v/>
      </c>
      <c r="E4402" s="23" t="str">
        <f aca="false">IF(B4402="","",IFERROR(INDEX(Clay_Brands!$A$2:$FZ$601,351,Sync!$D$6)&amp;"",""))</f>
        <v/>
      </c>
      <c r="F4402" s="23" t="str">
        <f aca="false">IF(B4402="","","outreach_sent")</f>
        <v/>
      </c>
      <c r="G4402" s="23" t="str">
        <f aca="false">IF(B4402="","","")</f>
        <v/>
      </c>
      <c r="H4402" s="23" t="str">
        <f aca="false">IF(B4402="","","")</f>
        <v/>
      </c>
      <c r="I4402" s="23" t="str">
        <f aca="false">IF(B4402="","","")</f>
        <v/>
      </c>
      <c r="J4402" s="23" t="str">
        <f aca="false">IF(B4402="","","touch_2; "&amp;IFERROR(INDEX(Clay_Brands!$A$2:$FZ$601,351,Sync!$D$10)&amp;"","")&amp;"; "&amp;IFERROR(INDEX(Clay_Brands!$A$2:$FZ$601,351,Sync!$D$9)&amp;"",""))</f>
        <v/>
      </c>
      <c r="K4402" s="32" t="s">
        <v>1367</v>
      </c>
    </row>
    <row r="4403" customFormat="false" ht="15" hidden="false" customHeight="false" outlineLevel="0" collapsed="false">
      <c r="A4403" s="23" t="str">
        <f aca="false">IF(B4403="","",B4403+(16*1000+352)/10000000)</f>
        <v/>
      </c>
      <c r="B4403" s="35" t="str">
        <f aca="false">IF(AND(IFERROR(N(INDEX(Clay_Brands!$A$2:$FZ$601,352,Sync!$D$12)),0)&gt;0,IFERROR(INDEX(Clay_Brands!$A$2:$FZ$601,352,Sync!$D$5)&amp;"","")&lt;&gt;"",OR(LEFT(IFERROR(INDEX(Clay_Brands!$A$2:$FZ$601,352,Sync!$D$5)&amp;"",""),6)&lt;&gt;"SAMPLE",Config!$B$19="Y")),IFERROR(N(INDEX(Clay_Brands!$A$2:$FZ$601,352,Sync!$D$12)),0),"")</f>
        <v/>
      </c>
      <c r="C4403" s="23" t="str">
        <f aca="false">IF(B4403="","","brand")</f>
        <v/>
      </c>
      <c r="D4403" s="23" t="str">
        <f aca="false">IF(B4403="","",IFERROR(INDEX(Brand_Log!$DV$2:$DV$201,MATCH(IFERROR(INDEX(Clay_Brands!$A$2:$FZ$601,352,Sync!$D$5)&amp;"",""),Brand_Log!$A$2:$A$201,0))&amp;"",IFERROR(INDEX(Clay_Brands!$A$2:$FZ$601,352,Sync!$D$5)&amp;"","")&amp;""))</f>
        <v/>
      </c>
      <c r="E4403" s="23" t="str">
        <f aca="false">IF(B4403="","",IFERROR(INDEX(Clay_Brands!$A$2:$FZ$601,352,Sync!$D$6)&amp;"",""))</f>
        <v/>
      </c>
      <c r="F4403" s="23" t="str">
        <f aca="false">IF(B4403="","","outreach_sent")</f>
        <v/>
      </c>
      <c r="G4403" s="23" t="str">
        <f aca="false">IF(B4403="","","")</f>
        <v/>
      </c>
      <c r="H4403" s="23" t="str">
        <f aca="false">IF(B4403="","","")</f>
        <v/>
      </c>
      <c r="I4403" s="23" t="str">
        <f aca="false">IF(B4403="","","")</f>
        <v/>
      </c>
      <c r="J4403" s="23" t="str">
        <f aca="false">IF(B4403="","","touch_2; "&amp;IFERROR(INDEX(Clay_Brands!$A$2:$FZ$601,352,Sync!$D$10)&amp;"","")&amp;"; "&amp;IFERROR(INDEX(Clay_Brands!$A$2:$FZ$601,352,Sync!$D$9)&amp;"",""))</f>
        <v/>
      </c>
      <c r="K4403" s="32" t="s">
        <v>1367</v>
      </c>
    </row>
    <row r="4404" customFormat="false" ht="15" hidden="false" customHeight="false" outlineLevel="0" collapsed="false">
      <c r="A4404" s="23" t="str">
        <f aca="false">IF(B4404="","",B4404+(16*1000+353)/10000000)</f>
        <v/>
      </c>
      <c r="B4404" s="35" t="str">
        <f aca="false">IF(AND(IFERROR(N(INDEX(Clay_Brands!$A$2:$FZ$601,353,Sync!$D$12)),0)&gt;0,IFERROR(INDEX(Clay_Brands!$A$2:$FZ$601,353,Sync!$D$5)&amp;"","")&lt;&gt;"",OR(LEFT(IFERROR(INDEX(Clay_Brands!$A$2:$FZ$601,353,Sync!$D$5)&amp;"",""),6)&lt;&gt;"SAMPLE",Config!$B$19="Y")),IFERROR(N(INDEX(Clay_Brands!$A$2:$FZ$601,353,Sync!$D$12)),0),"")</f>
        <v/>
      </c>
      <c r="C4404" s="23" t="str">
        <f aca="false">IF(B4404="","","brand")</f>
        <v/>
      </c>
      <c r="D4404" s="23" t="str">
        <f aca="false">IF(B4404="","",IFERROR(INDEX(Brand_Log!$DV$2:$DV$201,MATCH(IFERROR(INDEX(Clay_Brands!$A$2:$FZ$601,353,Sync!$D$5)&amp;"",""),Brand_Log!$A$2:$A$201,0))&amp;"",IFERROR(INDEX(Clay_Brands!$A$2:$FZ$601,353,Sync!$D$5)&amp;"","")&amp;""))</f>
        <v/>
      </c>
      <c r="E4404" s="23" t="str">
        <f aca="false">IF(B4404="","",IFERROR(INDEX(Clay_Brands!$A$2:$FZ$601,353,Sync!$D$6)&amp;"",""))</f>
        <v/>
      </c>
      <c r="F4404" s="23" t="str">
        <f aca="false">IF(B4404="","","outreach_sent")</f>
        <v/>
      </c>
      <c r="G4404" s="23" t="str">
        <f aca="false">IF(B4404="","","")</f>
        <v/>
      </c>
      <c r="H4404" s="23" t="str">
        <f aca="false">IF(B4404="","","")</f>
        <v/>
      </c>
      <c r="I4404" s="23" t="str">
        <f aca="false">IF(B4404="","","")</f>
        <v/>
      </c>
      <c r="J4404" s="23" t="str">
        <f aca="false">IF(B4404="","","touch_2; "&amp;IFERROR(INDEX(Clay_Brands!$A$2:$FZ$601,353,Sync!$D$10)&amp;"","")&amp;"; "&amp;IFERROR(INDEX(Clay_Brands!$A$2:$FZ$601,353,Sync!$D$9)&amp;"",""))</f>
        <v/>
      </c>
      <c r="K4404" s="32" t="s">
        <v>1367</v>
      </c>
    </row>
    <row r="4405" customFormat="false" ht="15" hidden="false" customHeight="false" outlineLevel="0" collapsed="false">
      <c r="A4405" s="23" t="str">
        <f aca="false">IF(B4405="","",B4405+(16*1000+354)/10000000)</f>
        <v/>
      </c>
      <c r="B4405" s="35" t="str">
        <f aca="false">IF(AND(IFERROR(N(INDEX(Clay_Brands!$A$2:$FZ$601,354,Sync!$D$12)),0)&gt;0,IFERROR(INDEX(Clay_Brands!$A$2:$FZ$601,354,Sync!$D$5)&amp;"","")&lt;&gt;"",OR(LEFT(IFERROR(INDEX(Clay_Brands!$A$2:$FZ$601,354,Sync!$D$5)&amp;"",""),6)&lt;&gt;"SAMPLE",Config!$B$19="Y")),IFERROR(N(INDEX(Clay_Brands!$A$2:$FZ$601,354,Sync!$D$12)),0),"")</f>
        <v/>
      </c>
      <c r="C4405" s="23" t="str">
        <f aca="false">IF(B4405="","","brand")</f>
        <v/>
      </c>
      <c r="D4405" s="23" t="str">
        <f aca="false">IF(B4405="","",IFERROR(INDEX(Brand_Log!$DV$2:$DV$201,MATCH(IFERROR(INDEX(Clay_Brands!$A$2:$FZ$601,354,Sync!$D$5)&amp;"",""),Brand_Log!$A$2:$A$201,0))&amp;"",IFERROR(INDEX(Clay_Brands!$A$2:$FZ$601,354,Sync!$D$5)&amp;"","")&amp;""))</f>
        <v/>
      </c>
      <c r="E4405" s="23" t="str">
        <f aca="false">IF(B4405="","",IFERROR(INDEX(Clay_Brands!$A$2:$FZ$601,354,Sync!$D$6)&amp;"",""))</f>
        <v/>
      </c>
      <c r="F4405" s="23" t="str">
        <f aca="false">IF(B4405="","","outreach_sent")</f>
        <v/>
      </c>
      <c r="G4405" s="23" t="str">
        <f aca="false">IF(B4405="","","")</f>
        <v/>
      </c>
      <c r="H4405" s="23" t="str">
        <f aca="false">IF(B4405="","","")</f>
        <v/>
      </c>
      <c r="I4405" s="23" t="str">
        <f aca="false">IF(B4405="","","")</f>
        <v/>
      </c>
      <c r="J4405" s="23" t="str">
        <f aca="false">IF(B4405="","","touch_2; "&amp;IFERROR(INDEX(Clay_Brands!$A$2:$FZ$601,354,Sync!$D$10)&amp;"","")&amp;"; "&amp;IFERROR(INDEX(Clay_Brands!$A$2:$FZ$601,354,Sync!$D$9)&amp;"",""))</f>
        <v/>
      </c>
      <c r="K4405" s="32" t="s">
        <v>1367</v>
      </c>
    </row>
    <row r="4406" customFormat="false" ht="15" hidden="false" customHeight="false" outlineLevel="0" collapsed="false">
      <c r="A4406" s="23" t="str">
        <f aca="false">IF(B4406="","",B4406+(16*1000+355)/10000000)</f>
        <v/>
      </c>
      <c r="B4406" s="35" t="str">
        <f aca="false">IF(AND(IFERROR(N(INDEX(Clay_Brands!$A$2:$FZ$601,355,Sync!$D$12)),0)&gt;0,IFERROR(INDEX(Clay_Brands!$A$2:$FZ$601,355,Sync!$D$5)&amp;"","")&lt;&gt;"",OR(LEFT(IFERROR(INDEX(Clay_Brands!$A$2:$FZ$601,355,Sync!$D$5)&amp;"",""),6)&lt;&gt;"SAMPLE",Config!$B$19="Y")),IFERROR(N(INDEX(Clay_Brands!$A$2:$FZ$601,355,Sync!$D$12)),0),"")</f>
        <v/>
      </c>
      <c r="C4406" s="23" t="str">
        <f aca="false">IF(B4406="","","brand")</f>
        <v/>
      </c>
      <c r="D4406" s="23" t="str">
        <f aca="false">IF(B4406="","",IFERROR(INDEX(Brand_Log!$DV$2:$DV$201,MATCH(IFERROR(INDEX(Clay_Brands!$A$2:$FZ$601,355,Sync!$D$5)&amp;"",""),Brand_Log!$A$2:$A$201,0))&amp;"",IFERROR(INDEX(Clay_Brands!$A$2:$FZ$601,355,Sync!$D$5)&amp;"","")&amp;""))</f>
        <v/>
      </c>
      <c r="E4406" s="23" t="str">
        <f aca="false">IF(B4406="","",IFERROR(INDEX(Clay_Brands!$A$2:$FZ$601,355,Sync!$D$6)&amp;"",""))</f>
        <v/>
      </c>
      <c r="F4406" s="23" t="str">
        <f aca="false">IF(B4406="","","outreach_sent")</f>
        <v/>
      </c>
      <c r="G4406" s="23" t="str">
        <f aca="false">IF(B4406="","","")</f>
        <v/>
      </c>
      <c r="H4406" s="23" t="str">
        <f aca="false">IF(B4406="","","")</f>
        <v/>
      </c>
      <c r="I4406" s="23" t="str">
        <f aca="false">IF(B4406="","","")</f>
        <v/>
      </c>
      <c r="J4406" s="23" t="str">
        <f aca="false">IF(B4406="","","touch_2; "&amp;IFERROR(INDEX(Clay_Brands!$A$2:$FZ$601,355,Sync!$D$10)&amp;"","")&amp;"; "&amp;IFERROR(INDEX(Clay_Brands!$A$2:$FZ$601,355,Sync!$D$9)&amp;"",""))</f>
        <v/>
      </c>
      <c r="K4406" s="32" t="s">
        <v>1367</v>
      </c>
    </row>
    <row r="4407" customFormat="false" ht="15" hidden="false" customHeight="false" outlineLevel="0" collapsed="false">
      <c r="A4407" s="23" t="str">
        <f aca="false">IF(B4407="","",B4407+(16*1000+356)/10000000)</f>
        <v/>
      </c>
      <c r="B4407" s="35" t="str">
        <f aca="false">IF(AND(IFERROR(N(INDEX(Clay_Brands!$A$2:$FZ$601,356,Sync!$D$12)),0)&gt;0,IFERROR(INDEX(Clay_Brands!$A$2:$FZ$601,356,Sync!$D$5)&amp;"","")&lt;&gt;"",OR(LEFT(IFERROR(INDEX(Clay_Brands!$A$2:$FZ$601,356,Sync!$D$5)&amp;"",""),6)&lt;&gt;"SAMPLE",Config!$B$19="Y")),IFERROR(N(INDEX(Clay_Brands!$A$2:$FZ$601,356,Sync!$D$12)),0),"")</f>
        <v/>
      </c>
      <c r="C4407" s="23" t="str">
        <f aca="false">IF(B4407="","","brand")</f>
        <v/>
      </c>
      <c r="D4407" s="23" t="str">
        <f aca="false">IF(B4407="","",IFERROR(INDEX(Brand_Log!$DV$2:$DV$201,MATCH(IFERROR(INDEX(Clay_Brands!$A$2:$FZ$601,356,Sync!$D$5)&amp;"",""),Brand_Log!$A$2:$A$201,0))&amp;"",IFERROR(INDEX(Clay_Brands!$A$2:$FZ$601,356,Sync!$D$5)&amp;"","")&amp;""))</f>
        <v/>
      </c>
      <c r="E4407" s="23" t="str">
        <f aca="false">IF(B4407="","",IFERROR(INDEX(Clay_Brands!$A$2:$FZ$601,356,Sync!$D$6)&amp;"",""))</f>
        <v/>
      </c>
      <c r="F4407" s="23" t="str">
        <f aca="false">IF(B4407="","","outreach_sent")</f>
        <v/>
      </c>
      <c r="G4407" s="23" t="str">
        <f aca="false">IF(B4407="","","")</f>
        <v/>
      </c>
      <c r="H4407" s="23" t="str">
        <f aca="false">IF(B4407="","","")</f>
        <v/>
      </c>
      <c r="I4407" s="23" t="str">
        <f aca="false">IF(B4407="","","")</f>
        <v/>
      </c>
      <c r="J4407" s="23" t="str">
        <f aca="false">IF(B4407="","","touch_2; "&amp;IFERROR(INDEX(Clay_Brands!$A$2:$FZ$601,356,Sync!$D$10)&amp;"","")&amp;"; "&amp;IFERROR(INDEX(Clay_Brands!$A$2:$FZ$601,356,Sync!$D$9)&amp;"",""))</f>
        <v/>
      </c>
      <c r="K4407" s="32" t="s">
        <v>1367</v>
      </c>
    </row>
    <row r="4408" customFormat="false" ht="15" hidden="false" customHeight="false" outlineLevel="0" collapsed="false">
      <c r="A4408" s="23" t="str">
        <f aca="false">IF(B4408="","",B4408+(16*1000+357)/10000000)</f>
        <v/>
      </c>
      <c r="B4408" s="35" t="str">
        <f aca="false">IF(AND(IFERROR(N(INDEX(Clay_Brands!$A$2:$FZ$601,357,Sync!$D$12)),0)&gt;0,IFERROR(INDEX(Clay_Brands!$A$2:$FZ$601,357,Sync!$D$5)&amp;"","")&lt;&gt;"",OR(LEFT(IFERROR(INDEX(Clay_Brands!$A$2:$FZ$601,357,Sync!$D$5)&amp;"",""),6)&lt;&gt;"SAMPLE",Config!$B$19="Y")),IFERROR(N(INDEX(Clay_Brands!$A$2:$FZ$601,357,Sync!$D$12)),0),"")</f>
        <v/>
      </c>
      <c r="C4408" s="23" t="str">
        <f aca="false">IF(B4408="","","brand")</f>
        <v/>
      </c>
      <c r="D4408" s="23" t="str">
        <f aca="false">IF(B4408="","",IFERROR(INDEX(Brand_Log!$DV$2:$DV$201,MATCH(IFERROR(INDEX(Clay_Brands!$A$2:$FZ$601,357,Sync!$D$5)&amp;"",""),Brand_Log!$A$2:$A$201,0))&amp;"",IFERROR(INDEX(Clay_Brands!$A$2:$FZ$601,357,Sync!$D$5)&amp;"","")&amp;""))</f>
        <v/>
      </c>
      <c r="E4408" s="23" t="str">
        <f aca="false">IF(B4408="","",IFERROR(INDEX(Clay_Brands!$A$2:$FZ$601,357,Sync!$D$6)&amp;"",""))</f>
        <v/>
      </c>
      <c r="F4408" s="23" t="str">
        <f aca="false">IF(B4408="","","outreach_sent")</f>
        <v/>
      </c>
      <c r="G4408" s="23" t="str">
        <f aca="false">IF(B4408="","","")</f>
        <v/>
      </c>
      <c r="H4408" s="23" t="str">
        <f aca="false">IF(B4408="","","")</f>
        <v/>
      </c>
      <c r="I4408" s="23" t="str">
        <f aca="false">IF(B4408="","","")</f>
        <v/>
      </c>
      <c r="J4408" s="23" t="str">
        <f aca="false">IF(B4408="","","touch_2; "&amp;IFERROR(INDEX(Clay_Brands!$A$2:$FZ$601,357,Sync!$D$10)&amp;"","")&amp;"; "&amp;IFERROR(INDEX(Clay_Brands!$A$2:$FZ$601,357,Sync!$D$9)&amp;"",""))</f>
        <v/>
      </c>
      <c r="K4408" s="32" t="s">
        <v>1367</v>
      </c>
    </row>
    <row r="4409" customFormat="false" ht="15" hidden="false" customHeight="false" outlineLevel="0" collapsed="false">
      <c r="A4409" s="23" t="str">
        <f aca="false">IF(B4409="","",B4409+(16*1000+358)/10000000)</f>
        <v/>
      </c>
      <c r="B4409" s="35" t="str">
        <f aca="false">IF(AND(IFERROR(N(INDEX(Clay_Brands!$A$2:$FZ$601,358,Sync!$D$12)),0)&gt;0,IFERROR(INDEX(Clay_Brands!$A$2:$FZ$601,358,Sync!$D$5)&amp;"","")&lt;&gt;"",OR(LEFT(IFERROR(INDEX(Clay_Brands!$A$2:$FZ$601,358,Sync!$D$5)&amp;"",""),6)&lt;&gt;"SAMPLE",Config!$B$19="Y")),IFERROR(N(INDEX(Clay_Brands!$A$2:$FZ$601,358,Sync!$D$12)),0),"")</f>
        <v/>
      </c>
      <c r="C4409" s="23" t="str">
        <f aca="false">IF(B4409="","","brand")</f>
        <v/>
      </c>
      <c r="D4409" s="23" t="str">
        <f aca="false">IF(B4409="","",IFERROR(INDEX(Brand_Log!$DV$2:$DV$201,MATCH(IFERROR(INDEX(Clay_Brands!$A$2:$FZ$601,358,Sync!$D$5)&amp;"",""),Brand_Log!$A$2:$A$201,0))&amp;"",IFERROR(INDEX(Clay_Brands!$A$2:$FZ$601,358,Sync!$D$5)&amp;"","")&amp;""))</f>
        <v/>
      </c>
      <c r="E4409" s="23" t="str">
        <f aca="false">IF(B4409="","",IFERROR(INDEX(Clay_Brands!$A$2:$FZ$601,358,Sync!$D$6)&amp;"",""))</f>
        <v/>
      </c>
      <c r="F4409" s="23" t="str">
        <f aca="false">IF(B4409="","","outreach_sent")</f>
        <v/>
      </c>
      <c r="G4409" s="23" t="str">
        <f aca="false">IF(B4409="","","")</f>
        <v/>
      </c>
      <c r="H4409" s="23" t="str">
        <f aca="false">IF(B4409="","","")</f>
        <v/>
      </c>
      <c r="I4409" s="23" t="str">
        <f aca="false">IF(B4409="","","")</f>
        <v/>
      </c>
      <c r="J4409" s="23" t="str">
        <f aca="false">IF(B4409="","","touch_2; "&amp;IFERROR(INDEX(Clay_Brands!$A$2:$FZ$601,358,Sync!$D$10)&amp;"","")&amp;"; "&amp;IFERROR(INDEX(Clay_Brands!$A$2:$FZ$601,358,Sync!$D$9)&amp;"",""))</f>
        <v/>
      </c>
      <c r="K4409" s="32" t="s">
        <v>1367</v>
      </c>
    </row>
    <row r="4410" customFormat="false" ht="15" hidden="false" customHeight="false" outlineLevel="0" collapsed="false">
      <c r="A4410" s="23" t="str">
        <f aca="false">IF(B4410="","",B4410+(16*1000+359)/10000000)</f>
        <v/>
      </c>
      <c r="B4410" s="35" t="str">
        <f aca="false">IF(AND(IFERROR(N(INDEX(Clay_Brands!$A$2:$FZ$601,359,Sync!$D$12)),0)&gt;0,IFERROR(INDEX(Clay_Brands!$A$2:$FZ$601,359,Sync!$D$5)&amp;"","")&lt;&gt;"",OR(LEFT(IFERROR(INDEX(Clay_Brands!$A$2:$FZ$601,359,Sync!$D$5)&amp;"",""),6)&lt;&gt;"SAMPLE",Config!$B$19="Y")),IFERROR(N(INDEX(Clay_Brands!$A$2:$FZ$601,359,Sync!$D$12)),0),"")</f>
        <v/>
      </c>
      <c r="C4410" s="23" t="str">
        <f aca="false">IF(B4410="","","brand")</f>
        <v/>
      </c>
      <c r="D4410" s="23" t="str">
        <f aca="false">IF(B4410="","",IFERROR(INDEX(Brand_Log!$DV$2:$DV$201,MATCH(IFERROR(INDEX(Clay_Brands!$A$2:$FZ$601,359,Sync!$D$5)&amp;"",""),Brand_Log!$A$2:$A$201,0))&amp;"",IFERROR(INDEX(Clay_Brands!$A$2:$FZ$601,359,Sync!$D$5)&amp;"","")&amp;""))</f>
        <v/>
      </c>
      <c r="E4410" s="23" t="str">
        <f aca="false">IF(B4410="","",IFERROR(INDEX(Clay_Brands!$A$2:$FZ$601,359,Sync!$D$6)&amp;"",""))</f>
        <v/>
      </c>
      <c r="F4410" s="23" t="str">
        <f aca="false">IF(B4410="","","outreach_sent")</f>
        <v/>
      </c>
      <c r="G4410" s="23" t="str">
        <f aca="false">IF(B4410="","","")</f>
        <v/>
      </c>
      <c r="H4410" s="23" t="str">
        <f aca="false">IF(B4410="","","")</f>
        <v/>
      </c>
      <c r="I4410" s="23" t="str">
        <f aca="false">IF(B4410="","","")</f>
        <v/>
      </c>
      <c r="J4410" s="23" t="str">
        <f aca="false">IF(B4410="","","touch_2; "&amp;IFERROR(INDEX(Clay_Brands!$A$2:$FZ$601,359,Sync!$D$10)&amp;"","")&amp;"; "&amp;IFERROR(INDEX(Clay_Brands!$A$2:$FZ$601,359,Sync!$D$9)&amp;"",""))</f>
        <v/>
      </c>
      <c r="K4410" s="32" t="s">
        <v>1367</v>
      </c>
    </row>
    <row r="4411" customFormat="false" ht="15" hidden="false" customHeight="false" outlineLevel="0" collapsed="false">
      <c r="A4411" s="23" t="str">
        <f aca="false">IF(B4411="","",B4411+(16*1000+360)/10000000)</f>
        <v/>
      </c>
      <c r="B4411" s="35" t="str">
        <f aca="false">IF(AND(IFERROR(N(INDEX(Clay_Brands!$A$2:$FZ$601,360,Sync!$D$12)),0)&gt;0,IFERROR(INDEX(Clay_Brands!$A$2:$FZ$601,360,Sync!$D$5)&amp;"","")&lt;&gt;"",OR(LEFT(IFERROR(INDEX(Clay_Brands!$A$2:$FZ$601,360,Sync!$D$5)&amp;"",""),6)&lt;&gt;"SAMPLE",Config!$B$19="Y")),IFERROR(N(INDEX(Clay_Brands!$A$2:$FZ$601,360,Sync!$D$12)),0),"")</f>
        <v/>
      </c>
      <c r="C4411" s="23" t="str">
        <f aca="false">IF(B4411="","","brand")</f>
        <v/>
      </c>
      <c r="D4411" s="23" t="str">
        <f aca="false">IF(B4411="","",IFERROR(INDEX(Brand_Log!$DV$2:$DV$201,MATCH(IFERROR(INDEX(Clay_Brands!$A$2:$FZ$601,360,Sync!$D$5)&amp;"",""),Brand_Log!$A$2:$A$201,0))&amp;"",IFERROR(INDEX(Clay_Brands!$A$2:$FZ$601,360,Sync!$D$5)&amp;"","")&amp;""))</f>
        <v/>
      </c>
      <c r="E4411" s="23" t="str">
        <f aca="false">IF(B4411="","",IFERROR(INDEX(Clay_Brands!$A$2:$FZ$601,360,Sync!$D$6)&amp;"",""))</f>
        <v/>
      </c>
      <c r="F4411" s="23" t="str">
        <f aca="false">IF(B4411="","","outreach_sent")</f>
        <v/>
      </c>
      <c r="G4411" s="23" t="str">
        <f aca="false">IF(B4411="","","")</f>
        <v/>
      </c>
      <c r="H4411" s="23" t="str">
        <f aca="false">IF(B4411="","","")</f>
        <v/>
      </c>
      <c r="I4411" s="23" t="str">
        <f aca="false">IF(B4411="","","")</f>
        <v/>
      </c>
      <c r="J4411" s="23" t="str">
        <f aca="false">IF(B4411="","","touch_2; "&amp;IFERROR(INDEX(Clay_Brands!$A$2:$FZ$601,360,Sync!$D$10)&amp;"","")&amp;"; "&amp;IFERROR(INDEX(Clay_Brands!$A$2:$FZ$601,360,Sync!$D$9)&amp;"",""))</f>
        <v/>
      </c>
      <c r="K4411" s="32" t="s">
        <v>1367</v>
      </c>
    </row>
    <row r="4412" customFormat="false" ht="15" hidden="false" customHeight="false" outlineLevel="0" collapsed="false">
      <c r="A4412" s="23" t="str">
        <f aca="false">IF(B4412="","",B4412+(16*1000+361)/10000000)</f>
        <v/>
      </c>
      <c r="B4412" s="35" t="str">
        <f aca="false">IF(AND(IFERROR(N(INDEX(Clay_Brands!$A$2:$FZ$601,361,Sync!$D$12)),0)&gt;0,IFERROR(INDEX(Clay_Brands!$A$2:$FZ$601,361,Sync!$D$5)&amp;"","")&lt;&gt;"",OR(LEFT(IFERROR(INDEX(Clay_Brands!$A$2:$FZ$601,361,Sync!$D$5)&amp;"",""),6)&lt;&gt;"SAMPLE",Config!$B$19="Y")),IFERROR(N(INDEX(Clay_Brands!$A$2:$FZ$601,361,Sync!$D$12)),0),"")</f>
        <v/>
      </c>
      <c r="C4412" s="23" t="str">
        <f aca="false">IF(B4412="","","brand")</f>
        <v/>
      </c>
      <c r="D4412" s="23" t="str">
        <f aca="false">IF(B4412="","",IFERROR(INDEX(Brand_Log!$DV$2:$DV$201,MATCH(IFERROR(INDEX(Clay_Brands!$A$2:$FZ$601,361,Sync!$D$5)&amp;"",""),Brand_Log!$A$2:$A$201,0))&amp;"",IFERROR(INDEX(Clay_Brands!$A$2:$FZ$601,361,Sync!$D$5)&amp;"","")&amp;""))</f>
        <v/>
      </c>
      <c r="E4412" s="23" t="str">
        <f aca="false">IF(B4412="","",IFERROR(INDEX(Clay_Brands!$A$2:$FZ$601,361,Sync!$D$6)&amp;"",""))</f>
        <v/>
      </c>
      <c r="F4412" s="23" t="str">
        <f aca="false">IF(B4412="","","outreach_sent")</f>
        <v/>
      </c>
      <c r="G4412" s="23" t="str">
        <f aca="false">IF(B4412="","","")</f>
        <v/>
      </c>
      <c r="H4412" s="23" t="str">
        <f aca="false">IF(B4412="","","")</f>
        <v/>
      </c>
      <c r="I4412" s="23" t="str">
        <f aca="false">IF(B4412="","","")</f>
        <v/>
      </c>
      <c r="J4412" s="23" t="str">
        <f aca="false">IF(B4412="","","touch_2; "&amp;IFERROR(INDEX(Clay_Brands!$A$2:$FZ$601,361,Sync!$D$10)&amp;"","")&amp;"; "&amp;IFERROR(INDEX(Clay_Brands!$A$2:$FZ$601,361,Sync!$D$9)&amp;"",""))</f>
        <v/>
      </c>
      <c r="K4412" s="32" t="s">
        <v>1367</v>
      </c>
    </row>
    <row r="4413" customFormat="false" ht="15" hidden="false" customHeight="false" outlineLevel="0" collapsed="false">
      <c r="A4413" s="23" t="str">
        <f aca="false">IF(B4413="","",B4413+(16*1000+362)/10000000)</f>
        <v/>
      </c>
      <c r="B4413" s="35" t="str">
        <f aca="false">IF(AND(IFERROR(N(INDEX(Clay_Brands!$A$2:$FZ$601,362,Sync!$D$12)),0)&gt;0,IFERROR(INDEX(Clay_Brands!$A$2:$FZ$601,362,Sync!$D$5)&amp;"","")&lt;&gt;"",OR(LEFT(IFERROR(INDEX(Clay_Brands!$A$2:$FZ$601,362,Sync!$D$5)&amp;"",""),6)&lt;&gt;"SAMPLE",Config!$B$19="Y")),IFERROR(N(INDEX(Clay_Brands!$A$2:$FZ$601,362,Sync!$D$12)),0),"")</f>
        <v/>
      </c>
      <c r="C4413" s="23" t="str">
        <f aca="false">IF(B4413="","","brand")</f>
        <v/>
      </c>
      <c r="D4413" s="23" t="str">
        <f aca="false">IF(B4413="","",IFERROR(INDEX(Brand_Log!$DV$2:$DV$201,MATCH(IFERROR(INDEX(Clay_Brands!$A$2:$FZ$601,362,Sync!$D$5)&amp;"",""),Brand_Log!$A$2:$A$201,0))&amp;"",IFERROR(INDEX(Clay_Brands!$A$2:$FZ$601,362,Sync!$D$5)&amp;"","")&amp;""))</f>
        <v/>
      </c>
      <c r="E4413" s="23" t="str">
        <f aca="false">IF(B4413="","",IFERROR(INDEX(Clay_Brands!$A$2:$FZ$601,362,Sync!$D$6)&amp;"",""))</f>
        <v/>
      </c>
      <c r="F4413" s="23" t="str">
        <f aca="false">IF(B4413="","","outreach_sent")</f>
        <v/>
      </c>
      <c r="G4413" s="23" t="str">
        <f aca="false">IF(B4413="","","")</f>
        <v/>
      </c>
      <c r="H4413" s="23" t="str">
        <f aca="false">IF(B4413="","","")</f>
        <v/>
      </c>
      <c r="I4413" s="23" t="str">
        <f aca="false">IF(B4413="","","")</f>
        <v/>
      </c>
      <c r="J4413" s="23" t="str">
        <f aca="false">IF(B4413="","","touch_2; "&amp;IFERROR(INDEX(Clay_Brands!$A$2:$FZ$601,362,Sync!$D$10)&amp;"","")&amp;"; "&amp;IFERROR(INDEX(Clay_Brands!$A$2:$FZ$601,362,Sync!$D$9)&amp;"",""))</f>
        <v/>
      </c>
      <c r="K4413" s="32" t="s">
        <v>1367</v>
      </c>
    </row>
    <row r="4414" customFormat="false" ht="15" hidden="false" customHeight="false" outlineLevel="0" collapsed="false">
      <c r="A4414" s="23" t="str">
        <f aca="false">IF(B4414="","",B4414+(16*1000+363)/10000000)</f>
        <v/>
      </c>
      <c r="B4414" s="35" t="str">
        <f aca="false">IF(AND(IFERROR(N(INDEX(Clay_Brands!$A$2:$FZ$601,363,Sync!$D$12)),0)&gt;0,IFERROR(INDEX(Clay_Brands!$A$2:$FZ$601,363,Sync!$D$5)&amp;"","")&lt;&gt;"",OR(LEFT(IFERROR(INDEX(Clay_Brands!$A$2:$FZ$601,363,Sync!$D$5)&amp;"",""),6)&lt;&gt;"SAMPLE",Config!$B$19="Y")),IFERROR(N(INDEX(Clay_Brands!$A$2:$FZ$601,363,Sync!$D$12)),0),"")</f>
        <v/>
      </c>
      <c r="C4414" s="23" t="str">
        <f aca="false">IF(B4414="","","brand")</f>
        <v/>
      </c>
      <c r="D4414" s="23" t="str">
        <f aca="false">IF(B4414="","",IFERROR(INDEX(Brand_Log!$DV$2:$DV$201,MATCH(IFERROR(INDEX(Clay_Brands!$A$2:$FZ$601,363,Sync!$D$5)&amp;"",""),Brand_Log!$A$2:$A$201,0))&amp;"",IFERROR(INDEX(Clay_Brands!$A$2:$FZ$601,363,Sync!$D$5)&amp;"","")&amp;""))</f>
        <v/>
      </c>
      <c r="E4414" s="23" t="str">
        <f aca="false">IF(B4414="","",IFERROR(INDEX(Clay_Brands!$A$2:$FZ$601,363,Sync!$D$6)&amp;"",""))</f>
        <v/>
      </c>
      <c r="F4414" s="23" t="str">
        <f aca="false">IF(B4414="","","outreach_sent")</f>
        <v/>
      </c>
      <c r="G4414" s="23" t="str">
        <f aca="false">IF(B4414="","","")</f>
        <v/>
      </c>
      <c r="H4414" s="23" t="str">
        <f aca="false">IF(B4414="","","")</f>
        <v/>
      </c>
      <c r="I4414" s="23" t="str">
        <f aca="false">IF(B4414="","","")</f>
        <v/>
      </c>
      <c r="J4414" s="23" t="str">
        <f aca="false">IF(B4414="","","touch_2; "&amp;IFERROR(INDEX(Clay_Brands!$A$2:$FZ$601,363,Sync!$D$10)&amp;"","")&amp;"; "&amp;IFERROR(INDEX(Clay_Brands!$A$2:$FZ$601,363,Sync!$D$9)&amp;"",""))</f>
        <v/>
      </c>
      <c r="K4414" s="32" t="s">
        <v>1367</v>
      </c>
    </row>
    <row r="4415" customFormat="false" ht="15" hidden="false" customHeight="false" outlineLevel="0" collapsed="false">
      <c r="A4415" s="23" t="str">
        <f aca="false">IF(B4415="","",B4415+(16*1000+364)/10000000)</f>
        <v/>
      </c>
      <c r="B4415" s="35" t="str">
        <f aca="false">IF(AND(IFERROR(N(INDEX(Clay_Brands!$A$2:$FZ$601,364,Sync!$D$12)),0)&gt;0,IFERROR(INDEX(Clay_Brands!$A$2:$FZ$601,364,Sync!$D$5)&amp;"","")&lt;&gt;"",OR(LEFT(IFERROR(INDEX(Clay_Brands!$A$2:$FZ$601,364,Sync!$D$5)&amp;"",""),6)&lt;&gt;"SAMPLE",Config!$B$19="Y")),IFERROR(N(INDEX(Clay_Brands!$A$2:$FZ$601,364,Sync!$D$12)),0),"")</f>
        <v/>
      </c>
      <c r="C4415" s="23" t="str">
        <f aca="false">IF(B4415="","","brand")</f>
        <v/>
      </c>
      <c r="D4415" s="23" t="str">
        <f aca="false">IF(B4415="","",IFERROR(INDEX(Brand_Log!$DV$2:$DV$201,MATCH(IFERROR(INDEX(Clay_Brands!$A$2:$FZ$601,364,Sync!$D$5)&amp;"",""),Brand_Log!$A$2:$A$201,0))&amp;"",IFERROR(INDEX(Clay_Brands!$A$2:$FZ$601,364,Sync!$D$5)&amp;"","")&amp;""))</f>
        <v/>
      </c>
      <c r="E4415" s="23" t="str">
        <f aca="false">IF(B4415="","",IFERROR(INDEX(Clay_Brands!$A$2:$FZ$601,364,Sync!$D$6)&amp;"",""))</f>
        <v/>
      </c>
      <c r="F4415" s="23" t="str">
        <f aca="false">IF(B4415="","","outreach_sent")</f>
        <v/>
      </c>
      <c r="G4415" s="23" t="str">
        <f aca="false">IF(B4415="","","")</f>
        <v/>
      </c>
      <c r="H4415" s="23" t="str">
        <f aca="false">IF(B4415="","","")</f>
        <v/>
      </c>
      <c r="I4415" s="23" t="str">
        <f aca="false">IF(B4415="","","")</f>
        <v/>
      </c>
      <c r="J4415" s="23" t="str">
        <f aca="false">IF(B4415="","","touch_2; "&amp;IFERROR(INDEX(Clay_Brands!$A$2:$FZ$601,364,Sync!$D$10)&amp;"","")&amp;"; "&amp;IFERROR(INDEX(Clay_Brands!$A$2:$FZ$601,364,Sync!$D$9)&amp;"",""))</f>
        <v/>
      </c>
      <c r="K4415" s="32" t="s">
        <v>1367</v>
      </c>
    </row>
    <row r="4416" customFormat="false" ht="15" hidden="false" customHeight="false" outlineLevel="0" collapsed="false">
      <c r="A4416" s="23" t="str">
        <f aca="false">IF(B4416="","",B4416+(16*1000+365)/10000000)</f>
        <v/>
      </c>
      <c r="B4416" s="35" t="str">
        <f aca="false">IF(AND(IFERROR(N(INDEX(Clay_Brands!$A$2:$FZ$601,365,Sync!$D$12)),0)&gt;0,IFERROR(INDEX(Clay_Brands!$A$2:$FZ$601,365,Sync!$D$5)&amp;"","")&lt;&gt;"",OR(LEFT(IFERROR(INDEX(Clay_Brands!$A$2:$FZ$601,365,Sync!$D$5)&amp;"",""),6)&lt;&gt;"SAMPLE",Config!$B$19="Y")),IFERROR(N(INDEX(Clay_Brands!$A$2:$FZ$601,365,Sync!$D$12)),0),"")</f>
        <v/>
      </c>
      <c r="C4416" s="23" t="str">
        <f aca="false">IF(B4416="","","brand")</f>
        <v/>
      </c>
      <c r="D4416" s="23" t="str">
        <f aca="false">IF(B4416="","",IFERROR(INDEX(Brand_Log!$DV$2:$DV$201,MATCH(IFERROR(INDEX(Clay_Brands!$A$2:$FZ$601,365,Sync!$D$5)&amp;"",""),Brand_Log!$A$2:$A$201,0))&amp;"",IFERROR(INDEX(Clay_Brands!$A$2:$FZ$601,365,Sync!$D$5)&amp;"","")&amp;""))</f>
        <v/>
      </c>
      <c r="E4416" s="23" t="str">
        <f aca="false">IF(B4416="","",IFERROR(INDEX(Clay_Brands!$A$2:$FZ$601,365,Sync!$D$6)&amp;"",""))</f>
        <v/>
      </c>
      <c r="F4416" s="23" t="str">
        <f aca="false">IF(B4416="","","outreach_sent")</f>
        <v/>
      </c>
      <c r="G4416" s="23" t="str">
        <f aca="false">IF(B4416="","","")</f>
        <v/>
      </c>
      <c r="H4416" s="23" t="str">
        <f aca="false">IF(B4416="","","")</f>
        <v/>
      </c>
      <c r="I4416" s="23" t="str">
        <f aca="false">IF(B4416="","","")</f>
        <v/>
      </c>
      <c r="J4416" s="23" t="str">
        <f aca="false">IF(B4416="","","touch_2; "&amp;IFERROR(INDEX(Clay_Brands!$A$2:$FZ$601,365,Sync!$D$10)&amp;"","")&amp;"; "&amp;IFERROR(INDEX(Clay_Brands!$A$2:$FZ$601,365,Sync!$D$9)&amp;"",""))</f>
        <v/>
      </c>
      <c r="K4416" s="32" t="s">
        <v>1367</v>
      </c>
    </row>
    <row r="4417" customFormat="false" ht="15" hidden="false" customHeight="false" outlineLevel="0" collapsed="false">
      <c r="A4417" s="23" t="str">
        <f aca="false">IF(B4417="","",B4417+(16*1000+366)/10000000)</f>
        <v/>
      </c>
      <c r="B4417" s="35" t="str">
        <f aca="false">IF(AND(IFERROR(N(INDEX(Clay_Brands!$A$2:$FZ$601,366,Sync!$D$12)),0)&gt;0,IFERROR(INDEX(Clay_Brands!$A$2:$FZ$601,366,Sync!$D$5)&amp;"","")&lt;&gt;"",OR(LEFT(IFERROR(INDEX(Clay_Brands!$A$2:$FZ$601,366,Sync!$D$5)&amp;"",""),6)&lt;&gt;"SAMPLE",Config!$B$19="Y")),IFERROR(N(INDEX(Clay_Brands!$A$2:$FZ$601,366,Sync!$D$12)),0),"")</f>
        <v/>
      </c>
      <c r="C4417" s="23" t="str">
        <f aca="false">IF(B4417="","","brand")</f>
        <v/>
      </c>
      <c r="D4417" s="23" t="str">
        <f aca="false">IF(B4417="","",IFERROR(INDEX(Brand_Log!$DV$2:$DV$201,MATCH(IFERROR(INDEX(Clay_Brands!$A$2:$FZ$601,366,Sync!$D$5)&amp;"",""),Brand_Log!$A$2:$A$201,0))&amp;"",IFERROR(INDEX(Clay_Brands!$A$2:$FZ$601,366,Sync!$D$5)&amp;"","")&amp;""))</f>
        <v/>
      </c>
      <c r="E4417" s="23" t="str">
        <f aca="false">IF(B4417="","",IFERROR(INDEX(Clay_Brands!$A$2:$FZ$601,366,Sync!$D$6)&amp;"",""))</f>
        <v/>
      </c>
      <c r="F4417" s="23" t="str">
        <f aca="false">IF(B4417="","","outreach_sent")</f>
        <v/>
      </c>
      <c r="G4417" s="23" t="str">
        <f aca="false">IF(B4417="","","")</f>
        <v/>
      </c>
      <c r="H4417" s="23" t="str">
        <f aca="false">IF(B4417="","","")</f>
        <v/>
      </c>
      <c r="I4417" s="23" t="str">
        <f aca="false">IF(B4417="","","")</f>
        <v/>
      </c>
      <c r="J4417" s="23" t="str">
        <f aca="false">IF(B4417="","","touch_2; "&amp;IFERROR(INDEX(Clay_Brands!$A$2:$FZ$601,366,Sync!$D$10)&amp;"","")&amp;"; "&amp;IFERROR(INDEX(Clay_Brands!$A$2:$FZ$601,366,Sync!$D$9)&amp;"",""))</f>
        <v/>
      </c>
      <c r="K4417" s="32" t="s">
        <v>1367</v>
      </c>
    </row>
    <row r="4418" customFormat="false" ht="15" hidden="false" customHeight="false" outlineLevel="0" collapsed="false">
      <c r="A4418" s="23" t="str">
        <f aca="false">IF(B4418="","",B4418+(16*1000+367)/10000000)</f>
        <v/>
      </c>
      <c r="B4418" s="35" t="str">
        <f aca="false">IF(AND(IFERROR(N(INDEX(Clay_Brands!$A$2:$FZ$601,367,Sync!$D$12)),0)&gt;0,IFERROR(INDEX(Clay_Brands!$A$2:$FZ$601,367,Sync!$D$5)&amp;"","")&lt;&gt;"",OR(LEFT(IFERROR(INDEX(Clay_Brands!$A$2:$FZ$601,367,Sync!$D$5)&amp;"",""),6)&lt;&gt;"SAMPLE",Config!$B$19="Y")),IFERROR(N(INDEX(Clay_Brands!$A$2:$FZ$601,367,Sync!$D$12)),0),"")</f>
        <v/>
      </c>
      <c r="C4418" s="23" t="str">
        <f aca="false">IF(B4418="","","brand")</f>
        <v/>
      </c>
      <c r="D4418" s="23" t="str">
        <f aca="false">IF(B4418="","",IFERROR(INDEX(Brand_Log!$DV$2:$DV$201,MATCH(IFERROR(INDEX(Clay_Brands!$A$2:$FZ$601,367,Sync!$D$5)&amp;"",""),Brand_Log!$A$2:$A$201,0))&amp;"",IFERROR(INDEX(Clay_Brands!$A$2:$FZ$601,367,Sync!$D$5)&amp;"","")&amp;""))</f>
        <v/>
      </c>
      <c r="E4418" s="23" t="str">
        <f aca="false">IF(B4418="","",IFERROR(INDEX(Clay_Brands!$A$2:$FZ$601,367,Sync!$D$6)&amp;"",""))</f>
        <v/>
      </c>
      <c r="F4418" s="23" t="str">
        <f aca="false">IF(B4418="","","outreach_sent")</f>
        <v/>
      </c>
      <c r="G4418" s="23" t="str">
        <f aca="false">IF(B4418="","","")</f>
        <v/>
      </c>
      <c r="H4418" s="23" t="str">
        <f aca="false">IF(B4418="","","")</f>
        <v/>
      </c>
      <c r="I4418" s="23" t="str">
        <f aca="false">IF(B4418="","","")</f>
        <v/>
      </c>
      <c r="J4418" s="23" t="str">
        <f aca="false">IF(B4418="","","touch_2; "&amp;IFERROR(INDEX(Clay_Brands!$A$2:$FZ$601,367,Sync!$D$10)&amp;"","")&amp;"; "&amp;IFERROR(INDEX(Clay_Brands!$A$2:$FZ$601,367,Sync!$D$9)&amp;"",""))</f>
        <v/>
      </c>
      <c r="K4418" s="32" t="s">
        <v>1367</v>
      </c>
    </row>
    <row r="4419" customFormat="false" ht="15" hidden="false" customHeight="false" outlineLevel="0" collapsed="false">
      <c r="A4419" s="23" t="str">
        <f aca="false">IF(B4419="","",B4419+(16*1000+368)/10000000)</f>
        <v/>
      </c>
      <c r="B4419" s="35" t="str">
        <f aca="false">IF(AND(IFERROR(N(INDEX(Clay_Brands!$A$2:$FZ$601,368,Sync!$D$12)),0)&gt;0,IFERROR(INDEX(Clay_Brands!$A$2:$FZ$601,368,Sync!$D$5)&amp;"","")&lt;&gt;"",OR(LEFT(IFERROR(INDEX(Clay_Brands!$A$2:$FZ$601,368,Sync!$D$5)&amp;"",""),6)&lt;&gt;"SAMPLE",Config!$B$19="Y")),IFERROR(N(INDEX(Clay_Brands!$A$2:$FZ$601,368,Sync!$D$12)),0),"")</f>
        <v/>
      </c>
      <c r="C4419" s="23" t="str">
        <f aca="false">IF(B4419="","","brand")</f>
        <v/>
      </c>
      <c r="D4419" s="23" t="str">
        <f aca="false">IF(B4419="","",IFERROR(INDEX(Brand_Log!$DV$2:$DV$201,MATCH(IFERROR(INDEX(Clay_Brands!$A$2:$FZ$601,368,Sync!$D$5)&amp;"",""),Brand_Log!$A$2:$A$201,0))&amp;"",IFERROR(INDEX(Clay_Brands!$A$2:$FZ$601,368,Sync!$D$5)&amp;"","")&amp;""))</f>
        <v/>
      </c>
      <c r="E4419" s="23" t="str">
        <f aca="false">IF(B4419="","",IFERROR(INDEX(Clay_Brands!$A$2:$FZ$601,368,Sync!$D$6)&amp;"",""))</f>
        <v/>
      </c>
      <c r="F4419" s="23" t="str">
        <f aca="false">IF(B4419="","","outreach_sent")</f>
        <v/>
      </c>
      <c r="G4419" s="23" t="str">
        <f aca="false">IF(B4419="","","")</f>
        <v/>
      </c>
      <c r="H4419" s="23" t="str">
        <f aca="false">IF(B4419="","","")</f>
        <v/>
      </c>
      <c r="I4419" s="23" t="str">
        <f aca="false">IF(B4419="","","")</f>
        <v/>
      </c>
      <c r="J4419" s="23" t="str">
        <f aca="false">IF(B4419="","","touch_2; "&amp;IFERROR(INDEX(Clay_Brands!$A$2:$FZ$601,368,Sync!$D$10)&amp;"","")&amp;"; "&amp;IFERROR(INDEX(Clay_Brands!$A$2:$FZ$601,368,Sync!$D$9)&amp;"",""))</f>
        <v/>
      </c>
      <c r="K4419" s="32" t="s">
        <v>1367</v>
      </c>
    </row>
    <row r="4420" customFormat="false" ht="15" hidden="false" customHeight="false" outlineLevel="0" collapsed="false">
      <c r="A4420" s="23" t="str">
        <f aca="false">IF(B4420="","",B4420+(16*1000+369)/10000000)</f>
        <v/>
      </c>
      <c r="B4420" s="35" t="str">
        <f aca="false">IF(AND(IFERROR(N(INDEX(Clay_Brands!$A$2:$FZ$601,369,Sync!$D$12)),0)&gt;0,IFERROR(INDEX(Clay_Brands!$A$2:$FZ$601,369,Sync!$D$5)&amp;"","")&lt;&gt;"",OR(LEFT(IFERROR(INDEX(Clay_Brands!$A$2:$FZ$601,369,Sync!$D$5)&amp;"",""),6)&lt;&gt;"SAMPLE",Config!$B$19="Y")),IFERROR(N(INDEX(Clay_Brands!$A$2:$FZ$601,369,Sync!$D$12)),0),"")</f>
        <v/>
      </c>
      <c r="C4420" s="23" t="str">
        <f aca="false">IF(B4420="","","brand")</f>
        <v/>
      </c>
      <c r="D4420" s="23" t="str">
        <f aca="false">IF(B4420="","",IFERROR(INDEX(Brand_Log!$DV$2:$DV$201,MATCH(IFERROR(INDEX(Clay_Brands!$A$2:$FZ$601,369,Sync!$D$5)&amp;"",""),Brand_Log!$A$2:$A$201,0))&amp;"",IFERROR(INDEX(Clay_Brands!$A$2:$FZ$601,369,Sync!$D$5)&amp;"","")&amp;""))</f>
        <v/>
      </c>
      <c r="E4420" s="23" t="str">
        <f aca="false">IF(B4420="","",IFERROR(INDEX(Clay_Brands!$A$2:$FZ$601,369,Sync!$D$6)&amp;"",""))</f>
        <v/>
      </c>
      <c r="F4420" s="23" t="str">
        <f aca="false">IF(B4420="","","outreach_sent")</f>
        <v/>
      </c>
      <c r="G4420" s="23" t="str">
        <f aca="false">IF(B4420="","","")</f>
        <v/>
      </c>
      <c r="H4420" s="23" t="str">
        <f aca="false">IF(B4420="","","")</f>
        <v/>
      </c>
      <c r="I4420" s="23" t="str">
        <f aca="false">IF(B4420="","","")</f>
        <v/>
      </c>
      <c r="J4420" s="23" t="str">
        <f aca="false">IF(B4420="","","touch_2; "&amp;IFERROR(INDEX(Clay_Brands!$A$2:$FZ$601,369,Sync!$D$10)&amp;"","")&amp;"; "&amp;IFERROR(INDEX(Clay_Brands!$A$2:$FZ$601,369,Sync!$D$9)&amp;"",""))</f>
        <v/>
      </c>
      <c r="K4420" s="32" t="s">
        <v>1367</v>
      </c>
    </row>
    <row r="4421" customFormat="false" ht="15" hidden="false" customHeight="false" outlineLevel="0" collapsed="false">
      <c r="A4421" s="23" t="str">
        <f aca="false">IF(B4421="","",B4421+(16*1000+370)/10000000)</f>
        <v/>
      </c>
      <c r="B4421" s="35" t="str">
        <f aca="false">IF(AND(IFERROR(N(INDEX(Clay_Brands!$A$2:$FZ$601,370,Sync!$D$12)),0)&gt;0,IFERROR(INDEX(Clay_Brands!$A$2:$FZ$601,370,Sync!$D$5)&amp;"","")&lt;&gt;"",OR(LEFT(IFERROR(INDEX(Clay_Brands!$A$2:$FZ$601,370,Sync!$D$5)&amp;"",""),6)&lt;&gt;"SAMPLE",Config!$B$19="Y")),IFERROR(N(INDEX(Clay_Brands!$A$2:$FZ$601,370,Sync!$D$12)),0),"")</f>
        <v/>
      </c>
      <c r="C4421" s="23" t="str">
        <f aca="false">IF(B4421="","","brand")</f>
        <v/>
      </c>
      <c r="D4421" s="23" t="str">
        <f aca="false">IF(B4421="","",IFERROR(INDEX(Brand_Log!$DV$2:$DV$201,MATCH(IFERROR(INDEX(Clay_Brands!$A$2:$FZ$601,370,Sync!$D$5)&amp;"",""),Brand_Log!$A$2:$A$201,0))&amp;"",IFERROR(INDEX(Clay_Brands!$A$2:$FZ$601,370,Sync!$D$5)&amp;"","")&amp;""))</f>
        <v/>
      </c>
      <c r="E4421" s="23" t="str">
        <f aca="false">IF(B4421="","",IFERROR(INDEX(Clay_Brands!$A$2:$FZ$601,370,Sync!$D$6)&amp;"",""))</f>
        <v/>
      </c>
      <c r="F4421" s="23" t="str">
        <f aca="false">IF(B4421="","","outreach_sent")</f>
        <v/>
      </c>
      <c r="G4421" s="23" t="str">
        <f aca="false">IF(B4421="","","")</f>
        <v/>
      </c>
      <c r="H4421" s="23" t="str">
        <f aca="false">IF(B4421="","","")</f>
        <v/>
      </c>
      <c r="I4421" s="23" t="str">
        <f aca="false">IF(B4421="","","")</f>
        <v/>
      </c>
      <c r="J4421" s="23" t="str">
        <f aca="false">IF(B4421="","","touch_2; "&amp;IFERROR(INDEX(Clay_Brands!$A$2:$FZ$601,370,Sync!$D$10)&amp;"","")&amp;"; "&amp;IFERROR(INDEX(Clay_Brands!$A$2:$FZ$601,370,Sync!$D$9)&amp;"",""))</f>
        <v/>
      </c>
      <c r="K4421" s="32" t="s">
        <v>1367</v>
      </c>
    </row>
    <row r="4422" customFormat="false" ht="15" hidden="false" customHeight="false" outlineLevel="0" collapsed="false">
      <c r="A4422" s="23" t="str">
        <f aca="false">IF(B4422="","",B4422+(16*1000+371)/10000000)</f>
        <v/>
      </c>
      <c r="B4422" s="35" t="str">
        <f aca="false">IF(AND(IFERROR(N(INDEX(Clay_Brands!$A$2:$FZ$601,371,Sync!$D$12)),0)&gt;0,IFERROR(INDEX(Clay_Brands!$A$2:$FZ$601,371,Sync!$D$5)&amp;"","")&lt;&gt;"",OR(LEFT(IFERROR(INDEX(Clay_Brands!$A$2:$FZ$601,371,Sync!$D$5)&amp;"",""),6)&lt;&gt;"SAMPLE",Config!$B$19="Y")),IFERROR(N(INDEX(Clay_Brands!$A$2:$FZ$601,371,Sync!$D$12)),0),"")</f>
        <v/>
      </c>
      <c r="C4422" s="23" t="str">
        <f aca="false">IF(B4422="","","brand")</f>
        <v/>
      </c>
      <c r="D4422" s="23" t="str">
        <f aca="false">IF(B4422="","",IFERROR(INDEX(Brand_Log!$DV$2:$DV$201,MATCH(IFERROR(INDEX(Clay_Brands!$A$2:$FZ$601,371,Sync!$D$5)&amp;"",""),Brand_Log!$A$2:$A$201,0))&amp;"",IFERROR(INDEX(Clay_Brands!$A$2:$FZ$601,371,Sync!$D$5)&amp;"","")&amp;""))</f>
        <v/>
      </c>
      <c r="E4422" s="23" t="str">
        <f aca="false">IF(B4422="","",IFERROR(INDEX(Clay_Brands!$A$2:$FZ$601,371,Sync!$D$6)&amp;"",""))</f>
        <v/>
      </c>
      <c r="F4422" s="23" t="str">
        <f aca="false">IF(B4422="","","outreach_sent")</f>
        <v/>
      </c>
      <c r="G4422" s="23" t="str">
        <f aca="false">IF(B4422="","","")</f>
        <v/>
      </c>
      <c r="H4422" s="23" t="str">
        <f aca="false">IF(B4422="","","")</f>
        <v/>
      </c>
      <c r="I4422" s="23" t="str">
        <f aca="false">IF(B4422="","","")</f>
        <v/>
      </c>
      <c r="J4422" s="23" t="str">
        <f aca="false">IF(B4422="","","touch_2; "&amp;IFERROR(INDEX(Clay_Brands!$A$2:$FZ$601,371,Sync!$D$10)&amp;"","")&amp;"; "&amp;IFERROR(INDEX(Clay_Brands!$A$2:$FZ$601,371,Sync!$D$9)&amp;"",""))</f>
        <v/>
      </c>
      <c r="K4422" s="32" t="s">
        <v>1367</v>
      </c>
    </row>
    <row r="4423" customFormat="false" ht="15" hidden="false" customHeight="false" outlineLevel="0" collapsed="false">
      <c r="A4423" s="23" t="str">
        <f aca="false">IF(B4423="","",B4423+(16*1000+372)/10000000)</f>
        <v/>
      </c>
      <c r="B4423" s="35" t="str">
        <f aca="false">IF(AND(IFERROR(N(INDEX(Clay_Brands!$A$2:$FZ$601,372,Sync!$D$12)),0)&gt;0,IFERROR(INDEX(Clay_Brands!$A$2:$FZ$601,372,Sync!$D$5)&amp;"","")&lt;&gt;"",OR(LEFT(IFERROR(INDEX(Clay_Brands!$A$2:$FZ$601,372,Sync!$D$5)&amp;"",""),6)&lt;&gt;"SAMPLE",Config!$B$19="Y")),IFERROR(N(INDEX(Clay_Brands!$A$2:$FZ$601,372,Sync!$D$12)),0),"")</f>
        <v/>
      </c>
      <c r="C4423" s="23" t="str">
        <f aca="false">IF(B4423="","","brand")</f>
        <v/>
      </c>
      <c r="D4423" s="23" t="str">
        <f aca="false">IF(B4423="","",IFERROR(INDEX(Brand_Log!$DV$2:$DV$201,MATCH(IFERROR(INDEX(Clay_Brands!$A$2:$FZ$601,372,Sync!$D$5)&amp;"",""),Brand_Log!$A$2:$A$201,0))&amp;"",IFERROR(INDEX(Clay_Brands!$A$2:$FZ$601,372,Sync!$D$5)&amp;"","")&amp;""))</f>
        <v/>
      </c>
      <c r="E4423" s="23" t="str">
        <f aca="false">IF(B4423="","",IFERROR(INDEX(Clay_Brands!$A$2:$FZ$601,372,Sync!$D$6)&amp;"",""))</f>
        <v/>
      </c>
      <c r="F4423" s="23" t="str">
        <f aca="false">IF(B4423="","","outreach_sent")</f>
        <v/>
      </c>
      <c r="G4423" s="23" t="str">
        <f aca="false">IF(B4423="","","")</f>
        <v/>
      </c>
      <c r="H4423" s="23" t="str">
        <f aca="false">IF(B4423="","","")</f>
        <v/>
      </c>
      <c r="I4423" s="23" t="str">
        <f aca="false">IF(B4423="","","")</f>
        <v/>
      </c>
      <c r="J4423" s="23" t="str">
        <f aca="false">IF(B4423="","","touch_2; "&amp;IFERROR(INDEX(Clay_Brands!$A$2:$FZ$601,372,Sync!$D$10)&amp;"","")&amp;"; "&amp;IFERROR(INDEX(Clay_Brands!$A$2:$FZ$601,372,Sync!$D$9)&amp;"",""))</f>
        <v/>
      </c>
      <c r="K4423" s="32" t="s">
        <v>1367</v>
      </c>
    </row>
    <row r="4424" customFormat="false" ht="15" hidden="false" customHeight="false" outlineLevel="0" collapsed="false">
      <c r="A4424" s="23" t="str">
        <f aca="false">IF(B4424="","",B4424+(16*1000+373)/10000000)</f>
        <v/>
      </c>
      <c r="B4424" s="35" t="str">
        <f aca="false">IF(AND(IFERROR(N(INDEX(Clay_Brands!$A$2:$FZ$601,373,Sync!$D$12)),0)&gt;0,IFERROR(INDEX(Clay_Brands!$A$2:$FZ$601,373,Sync!$D$5)&amp;"","")&lt;&gt;"",OR(LEFT(IFERROR(INDEX(Clay_Brands!$A$2:$FZ$601,373,Sync!$D$5)&amp;"",""),6)&lt;&gt;"SAMPLE",Config!$B$19="Y")),IFERROR(N(INDEX(Clay_Brands!$A$2:$FZ$601,373,Sync!$D$12)),0),"")</f>
        <v/>
      </c>
      <c r="C4424" s="23" t="str">
        <f aca="false">IF(B4424="","","brand")</f>
        <v/>
      </c>
      <c r="D4424" s="23" t="str">
        <f aca="false">IF(B4424="","",IFERROR(INDEX(Brand_Log!$DV$2:$DV$201,MATCH(IFERROR(INDEX(Clay_Brands!$A$2:$FZ$601,373,Sync!$D$5)&amp;"",""),Brand_Log!$A$2:$A$201,0))&amp;"",IFERROR(INDEX(Clay_Brands!$A$2:$FZ$601,373,Sync!$D$5)&amp;"","")&amp;""))</f>
        <v/>
      </c>
      <c r="E4424" s="23" t="str">
        <f aca="false">IF(B4424="","",IFERROR(INDEX(Clay_Brands!$A$2:$FZ$601,373,Sync!$D$6)&amp;"",""))</f>
        <v/>
      </c>
      <c r="F4424" s="23" t="str">
        <f aca="false">IF(B4424="","","outreach_sent")</f>
        <v/>
      </c>
      <c r="G4424" s="23" t="str">
        <f aca="false">IF(B4424="","","")</f>
        <v/>
      </c>
      <c r="H4424" s="23" t="str">
        <f aca="false">IF(B4424="","","")</f>
        <v/>
      </c>
      <c r="I4424" s="23" t="str">
        <f aca="false">IF(B4424="","","")</f>
        <v/>
      </c>
      <c r="J4424" s="23" t="str">
        <f aca="false">IF(B4424="","","touch_2; "&amp;IFERROR(INDEX(Clay_Brands!$A$2:$FZ$601,373,Sync!$D$10)&amp;"","")&amp;"; "&amp;IFERROR(INDEX(Clay_Brands!$A$2:$FZ$601,373,Sync!$D$9)&amp;"",""))</f>
        <v/>
      </c>
      <c r="K4424" s="32" t="s">
        <v>1367</v>
      </c>
    </row>
    <row r="4425" customFormat="false" ht="15" hidden="false" customHeight="false" outlineLevel="0" collapsed="false">
      <c r="A4425" s="23" t="str">
        <f aca="false">IF(B4425="","",B4425+(16*1000+374)/10000000)</f>
        <v/>
      </c>
      <c r="B4425" s="35" t="str">
        <f aca="false">IF(AND(IFERROR(N(INDEX(Clay_Brands!$A$2:$FZ$601,374,Sync!$D$12)),0)&gt;0,IFERROR(INDEX(Clay_Brands!$A$2:$FZ$601,374,Sync!$D$5)&amp;"","")&lt;&gt;"",OR(LEFT(IFERROR(INDEX(Clay_Brands!$A$2:$FZ$601,374,Sync!$D$5)&amp;"",""),6)&lt;&gt;"SAMPLE",Config!$B$19="Y")),IFERROR(N(INDEX(Clay_Brands!$A$2:$FZ$601,374,Sync!$D$12)),0),"")</f>
        <v/>
      </c>
      <c r="C4425" s="23" t="str">
        <f aca="false">IF(B4425="","","brand")</f>
        <v/>
      </c>
      <c r="D4425" s="23" t="str">
        <f aca="false">IF(B4425="","",IFERROR(INDEX(Brand_Log!$DV$2:$DV$201,MATCH(IFERROR(INDEX(Clay_Brands!$A$2:$FZ$601,374,Sync!$D$5)&amp;"",""),Brand_Log!$A$2:$A$201,0))&amp;"",IFERROR(INDEX(Clay_Brands!$A$2:$FZ$601,374,Sync!$D$5)&amp;"","")&amp;""))</f>
        <v/>
      </c>
      <c r="E4425" s="23" t="str">
        <f aca="false">IF(B4425="","",IFERROR(INDEX(Clay_Brands!$A$2:$FZ$601,374,Sync!$D$6)&amp;"",""))</f>
        <v/>
      </c>
      <c r="F4425" s="23" t="str">
        <f aca="false">IF(B4425="","","outreach_sent")</f>
        <v/>
      </c>
      <c r="G4425" s="23" t="str">
        <f aca="false">IF(B4425="","","")</f>
        <v/>
      </c>
      <c r="H4425" s="23" t="str">
        <f aca="false">IF(B4425="","","")</f>
        <v/>
      </c>
      <c r="I4425" s="23" t="str">
        <f aca="false">IF(B4425="","","")</f>
        <v/>
      </c>
      <c r="J4425" s="23" t="str">
        <f aca="false">IF(B4425="","","touch_2; "&amp;IFERROR(INDEX(Clay_Brands!$A$2:$FZ$601,374,Sync!$D$10)&amp;"","")&amp;"; "&amp;IFERROR(INDEX(Clay_Brands!$A$2:$FZ$601,374,Sync!$D$9)&amp;"",""))</f>
        <v/>
      </c>
      <c r="K4425" s="32" t="s">
        <v>1367</v>
      </c>
    </row>
    <row r="4426" customFormat="false" ht="15" hidden="false" customHeight="false" outlineLevel="0" collapsed="false">
      <c r="A4426" s="23" t="str">
        <f aca="false">IF(B4426="","",B4426+(16*1000+375)/10000000)</f>
        <v/>
      </c>
      <c r="B4426" s="35" t="str">
        <f aca="false">IF(AND(IFERROR(N(INDEX(Clay_Brands!$A$2:$FZ$601,375,Sync!$D$12)),0)&gt;0,IFERROR(INDEX(Clay_Brands!$A$2:$FZ$601,375,Sync!$D$5)&amp;"","")&lt;&gt;"",OR(LEFT(IFERROR(INDEX(Clay_Brands!$A$2:$FZ$601,375,Sync!$D$5)&amp;"",""),6)&lt;&gt;"SAMPLE",Config!$B$19="Y")),IFERROR(N(INDEX(Clay_Brands!$A$2:$FZ$601,375,Sync!$D$12)),0),"")</f>
        <v/>
      </c>
      <c r="C4426" s="23" t="str">
        <f aca="false">IF(B4426="","","brand")</f>
        <v/>
      </c>
      <c r="D4426" s="23" t="str">
        <f aca="false">IF(B4426="","",IFERROR(INDEX(Brand_Log!$DV$2:$DV$201,MATCH(IFERROR(INDEX(Clay_Brands!$A$2:$FZ$601,375,Sync!$D$5)&amp;"",""),Brand_Log!$A$2:$A$201,0))&amp;"",IFERROR(INDEX(Clay_Brands!$A$2:$FZ$601,375,Sync!$D$5)&amp;"","")&amp;""))</f>
        <v/>
      </c>
      <c r="E4426" s="23" t="str">
        <f aca="false">IF(B4426="","",IFERROR(INDEX(Clay_Brands!$A$2:$FZ$601,375,Sync!$D$6)&amp;"",""))</f>
        <v/>
      </c>
      <c r="F4426" s="23" t="str">
        <f aca="false">IF(B4426="","","outreach_sent")</f>
        <v/>
      </c>
      <c r="G4426" s="23" t="str">
        <f aca="false">IF(B4426="","","")</f>
        <v/>
      </c>
      <c r="H4426" s="23" t="str">
        <f aca="false">IF(B4426="","","")</f>
        <v/>
      </c>
      <c r="I4426" s="23" t="str">
        <f aca="false">IF(B4426="","","")</f>
        <v/>
      </c>
      <c r="J4426" s="23" t="str">
        <f aca="false">IF(B4426="","","touch_2; "&amp;IFERROR(INDEX(Clay_Brands!$A$2:$FZ$601,375,Sync!$D$10)&amp;"","")&amp;"; "&amp;IFERROR(INDEX(Clay_Brands!$A$2:$FZ$601,375,Sync!$D$9)&amp;"",""))</f>
        <v/>
      </c>
      <c r="K4426" s="32" t="s">
        <v>1367</v>
      </c>
    </row>
    <row r="4427" customFormat="false" ht="15" hidden="false" customHeight="false" outlineLevel="0" collapsed="false">
      <c r="A4427" s="23" t="str">
        <f aca="false">IF(B4427="","",B4427+(16*1000+376)/10000000)</f>
        <v/>
      </c>
      <c r="B4427" s="35" t="str">
        <f aca="false">IF(AND(IFERROR(N(INDEX(Clay_Brands!$A$2:$FZ$601,376,Sync!$D$12)),0)&gt;0,IFERROR(INDEX(Clay_Brands!$A$2:$FZ$601,376,Sync!$D$5)&amp;"","")&lt;&gt;"",OR(LEFT(IFERROR(INDEX(Clay_Brands!$A$2:$FZ$601,376,Sync!$D$5)&amp;"",""),6)&lt;&gt;"SAMPLE",Config!$B$19="Y")),IFERROR(N(INDEX(Clay_Brands!$A$2:$FZ$601,376,Sync!$D$12)),0),"")</f>
        <v/>
      </c>
      <c r="C4427" s="23" t="str">
        <f aca="false">IF(B4427="","","brand")</f>
        <v/>
      </c>
      <c r="D4427" s="23" t="str">
        <f aca="false">IF(B4427="","",IFERROR(INDEX(Brand_Log!$DV$2:$DV$201,MATCH(IFERROR(INDEX(Clay_Brands!$A$2:$FZ$601,376,Sync!$D$5)&amp;"",""),Brand_Log!$A$2:$A$201,0))&amp;"",IFERROR(INDEX(Clay_Brands!$A$2:$FZ$601,376,Sync!$D$5)&amp;"","")&amp;""))</f>
        <v/>
      </c>
      <c r="E4427" s="23" t="str">
        <f aca="false">IF(B4427="","",IFERROR(INDEX(Clay_Brands!$A$2:$FZ$601,376,Sync!$D$6)&amp;"",""))</f>
        <v/>
      </c>
      <c r="F4427" s="23" t="str">
        <f aca="false">IF(B4427="","","outreach_sent")</f>
        <v/>
      </c>
      <c r="G4427" s="23" t="str">
        <f aca="false">IF(B4427="","","")</f>
        <v/>
      </c>
      <c r="H4427" s="23" t="str">
        <f aca="false">IF(B4427="","","")</f>
        <v/>
      </c>
      <c r="I4427" s="23" t="str">
        <f aca="false">IF(B4427="","","")</f>
        <v/>
      </c>
      <c r="J4427" s="23" t="str">
        <f aca="false">IF(B4427="","","touch_2; "&amp;IFERROR(INDEX(Clay_Brands!$A$2:$FZ$601,376,Sync!$D$10)&amp;"","")&amp;"; "&amp;IFERROR(INDEX(Clay_Brands!$A$2:$FZ$601,376,Sync!$D$9)&amp;"",""))</f>
        <v/>
      </c>
      <c r="K4427" s="32" t="s">
        <v>1367</v>
      </c>
    </row>
    <row r="4428" customFormat="false" ht="15" hidden="false" customHeight="false" outlineLevel="0" collapsed="false">
      <c r="A4428" s="23" t="str">
        <f aca="false">IF(B4428="","",B4428+(16*1000+377)/10000000)</f>
        <v/>
      </c>
      <c r="B4428" s="35" t="str">
        <f aca="false">IF(AND(IFERROR(N(INDEX(Clay_Brands!$A$2:$FZ$601,377,Sync!$D$12)),0)&gt;0,IFERROR(INDEX(Clay_Brands!$A$2:$FZ$601,377,Sync!$D$5)&amp;"","")&lt;&gt;"",OR(LEFT(IFERROR(INDEX(Clay_Brands!$A$2:$FZ$601,377,Sync!$D$5)&amp;"",""),6)&lt;&gt;"SAMPLE",Config!$B$19="Y")),IFERROR(N(INDEX(Clay_Brands!$A$2:$FZ$601,377,Sync!$D$12)),0),"")</f>
        <v/>
      </c>
      <c r="C4428" s="23" t="str">
        <f aca="false">IF(B4428="","","brand")</f>
        <v/>
      </c>
      <c r="D4428" s="23" t="str">
        <f aca="false">IF(B4428="","",IFERROR(INDEX(Brand_Log!$DV$2:$DV$201,MATCH(IFERROR(INDEX(Clay_Brands!$A$2:$FZ$601,377,Sync!$D$5)&amp;"",""),Brand_Log!$A$2:$A$201,0))&amp;"",IFERROR(INDEX(Clay_Brands!$A$2:$FZ$601,377,Sync!$D$5)&amp;"","")&amp;""))</f>
        <v/>
      </c>
      <c r="E4428" s="23" t="str">
        <f aca="false">IF(B4428="","",IFERROR(INDEX(Clay_Brands!$A$2:$FZ$601,377,Sync!$D$6)&amp;"",""))</f>
        <v/>
      </c>
      <c r="F4428" s="23" t="str">
        <f aca="false">IF(B4428="","","outreach_sent")</f>
        <v/>
      </c>
      <c r="G4428" s="23" t="str">
        <f aca="false">IF(B4428="","","")</f>
        <v/>
      </c>
      <c r="H4428" s="23" t="str">
        <f aca="false">IF(B4428="","","")</f>
        <v/>
      </c>
      <c r="I4428" s="23" t="str">
        <f aca="false">IF(B4428="","","")</f>
        <v/>
      </c>
      <c r="J4428" s="23" t="str">
        <f aca="false">IF(B4428="","","touch_2; "&amp;IFERROR(INDEX(Clay_Brands!$A$2:$FZ$601,377,Sync!$D$10)&amp;"","")&amp;"; "&amp;IFERROR(INDEX(Clay_Brands!$A$2:$FZ$601,377,Sync!$D$9)&amp;"",""))</f>
        <v/>
      </c>
      <c r="K4428" s="32" t="s">
        <v>1367</v>
      </c>
    </row>
    <row r="4429" customFormat="false" ht="15" hidden="false" customHeight="false" outlineLevel="0" collapsed="false">
      <c r="A4429" s="23" t="str">
        <f aca="false">IF(B4429="","",B4429+(16*1000+378)/10000000)</f>
        <v/>
      </c>
      <c r="B4429" s="35" t="str">
        <f aca="false">IF(AND(IFERROR(N(INDEX(Clay_Brands!$A$2:$FZ$601,378,Sync!$D$12)),0)&gt;0,IFERROR(INDEX(Clay_Brands!$A$2:$FZ$601,378,Sync!$D$5)&amp;"","")&lt;&gt;"",OR(LEFT(IFERROR(INDEX(Clay_Brands!$A$2:$FZ$601,378,Sync!$D$5)&amp;"",""),6)&lt;&gt;"SAMPLE",Config!$B$19="Y")),IFERROR(N(INDEX(Clay_Brands!$A$2:$FZ$601,378,Sync!$D$12)),0),"")</f>
        <v/>
      </c>
      <c r="C4429" s="23" t="str">
        <f aca="false">IF(B4429="","","brand")</f>
        <v/>
      </c>
      <c r="D4429" s="23" t="str">
        <f aca="false">IF(B4429="","",IFERROR(INDEX(Brand_Log!$DV$2:$DV$201,MATCH(IFERROR(INDEX(Clay_Brands!$A$2:$FZ$601,378,Sync!$D$5)&amp;"",""),Brand_Log!$A$2:$A$201,0))&amp;"",IFERROR(INDEX(Clay_Brands!$A$2:$FZ$601,378,Sync!$D$5)&amp;"","")&amp;""))</f>
        <v/>
      </c>
      <c r="E4429" s="23" t="str">
        <f aca="false">IF(B4429="","",IFERROR(INDEX(Clay_Brands!$A$2:$FZ$601,378,Sync!$D$6)&amp;"",""))</f>
        <v/>
      </c>
      <c r="F4429" s="23" t="str">
        <f aca="false">IF(B4429="","","outreach_sent")</f>
        <v/>
      </c>
      <c r="G4429" s="23" t="str">
        <f aca="false">IF(B4429="","","")</f>
        <v/>
      </c>
      <c r="H4429" s="23" t="str">
        <f aca="false">IF(B4429="","","")</f>
        <v/>
      </c>
      <c r="I4429" s="23" t="str">
        <f aca="false">IF(B4429="","","")</f>
        <v/>
      </c>
      <c r="J4429" s="23" t="str">
        <f aca="false">IF(B4429="","","touch_2; "&amp;IFERROR(INDEX(Clay_Brands!$A$2:$FZ$601,378,Sync!$D$10)&amp;"","")&amp;"; "&amp;IFERROR(INDEX(Clay_Brands!$A$2:$FZ$601,378,Sync!$D$9)&amp;"",""))</f>
        <v/>
      </c>
      <c r="K4429" s="32" t="s">
        <v>1367</v>
      </c>
    </row>
    <row r="4430" customFormat="false" ht="15" hidden="false" customHeight="false" outlineLevel="0" collapsed="false">
      <c r="A4430" s="23" t="str">
        <f aca="false">IF(B4430="","",B4430+(16*1000+379)/10000000)</f>
        <v/>
      </c>
      <c r="B4430" s="35" t="str">
        <f aca="false">IF(AND(IFERROR(N(INDEX(Clay_Brands!$A$2:$FZ$601,379,Sync!$D$12)),0)&gt;0,IFERROR(INDEX(Clay_Brands!$A$2:$FZ$601,379,Sync!$D$5)&amp;"","")&lt;&gt;"",OR(LEFT(IFERROR(INDEX(Clay_Brands!$A$2:$FZ$601,379,Sync!$D$5)&amp;"",""),6)&lt;&gt;"SAMPLE",Config!$B$19="Y")),IFERROR(N(INDEX(Clay_Brands!$A$2:$FZ$601,379,Sync!$D$12)),0),"")</f>
        <v/>
      </c>
      <c r="C4430" s="23" t="str">
        <f aca="false">IF(B4430="","","brand")</f>
        <v/>
      </c>
      <c r="D4430" s="23" t="str">
        <f aca="false">IF(B4430="","",IFERROR(INDEX(Brand_Log!$DV$2:$DV$201,MATCH(IFERROR(INDEX(Clay_Brands!$A$2:$FZ$601,379,Sync!$D$5)&amp;"",""),Brand_Log!$A$2:$A$201,0))&amp;"",IFERROR(INDEX(Clay_Brands!$A$2:$FZ$601,379,Sync!$D$5)&amp;"","")&amp;""))</f>
        <v/>
      </c>
      <c r="E4430" s="23" t="str">
        <f aca="false">IF(B4430="","",IFERROR(INDEX(Clay_Brands!$A$2:$FZ$601,379,Sync!$D$6)&amp;"",""))</f>
        <v/>
      </c>
      <c r="F4430" s="23" t="str">
        <f aca="false">IF(B4430="","","outreach_sent")</f>
        <v/>
      </c>
      <c r="G4430" s="23" t="str">
        <f aca="false">IF(B4430="","","")</f>
        <v/>
      </c>
      <c r="H4430" s="23" t="str">
        <f aca="false">IF(B4430="","","")</f>
        <v/>
      </c>
      <c r="I4430" s="23" t="str">
        <f aca="false">IF(B4430="","","")</f>
        <v/>
      </c>
      <c r="J4430" s="23" t="str">
        <f aca="false">IF(B4430="","","touch_2; "&amp;IFERROR(INDEX(Clay_Brands!$A$2:$FZ$601,379,Sync!$D$10)&amp;"","")&amp;"; "&amp;IFERROR(INDEX(Clay_Brands!$A$2:$FZ$601,379,Sync!$D$9)&amp;"",""))</f>
        <v/>
      </c>
      <c r="K4430" s="32" t="s">
        <v>1367</v>
      </c>
    </row>
    <row r="4431" customFormat="false" ht="15" hidden="false" customHeight="false" outlineLevel="0" collapsed="false">
      <c r="A4431" s="23" t="str">
        <f aca="false">IF(B4431="","",B4431+(16*1000+380)/10000000)</f>
        <v/>
      </c>
      <c r="B4431" s="35" t="str">
        <f aca="false">IF(AND(IFERROR(N(INDEX(Clay_Brands!$A$2:$FZ$601,380,Sync!$D$12)),0)&gt;0,IFERROR(INDEX(Clay_Brands!$A$2:$FZ$601,380,Sync!$D$5)&amp;"","")&lt;&gt;"",OR(LEFT(IFERROR(INDEX(Clay_Brands!$A$2:$FZ$601,380,Sync!$D$5)&amp;"",""),6)&lt;&gt;"SAMPLE",Config!$B$19="Y")),IFERROR(N(INDEX(Clay_Brands!$A$2:$FZ$601,380,Sync!$D$12)),0),"")</f>
        <v/>
      </c>
      <c r="C4431" s="23" t="str">
        <f aca="false">IF(B4431="","","brand")</f>
        <v/>
      </c>
      <c r="D4431" s="23" t="str">
        <f aca="false">IF(B4431="","",IFERROR(INDEX(Brand_Log!$DV$2:$DV$201,MATCH(IFERROR(INDEX(Clay_Brands!$A$2:$FZ$601,380,Sync!$D$5)&amp;"",""),Brand_Log!$A$2:$A$201,0))&amp;"",IFERROR(INDEX(Clay_Brands!$A$2:$FZ$601,380,Sync!$D$5)&amp;"","")&amp;""))</f>
        <v/>
      </c>
      <c r="E4431" s="23" t="str">
        <f aca="false">IF(B4431="","",IFERROR(INDEX(Clay_Brands!$A$2:$FZ$601,380,Sync!$D$6)&amp;"",""))</f>
        <v/>
      </c>
      <c r="F4431" s="23" t="str">
        <f aca="false">IF(B4431="","","outreach_sent")</f>
        <v/>
      </c>
      <c r="G4431" s="23" t="str">
        <f aca="false">IF(B4431="","","")</f>
        <v/>
      </c>
      <c r="H4431" s="23" t="str">
        <f aca="false">IF(B4431="","","")</f>
        <v/>
      </c>
      <c r="I4431" s="23" t="str">
        <f aca="false">IF(B4431="","","")</f>
        <v/>
      </c>
      <c r="J4431" s="23" t="str">
        <f aca="false">IF(B4431="","","touch_2; "&amp;IFERROR(INDEX(Clay_Brands!$A$2:$FZ$601,380,Sync!$D$10)&amp;"","")&amp;"; "&amp;IFERROR(INDEX(Clay_Brands!$A$2:$FZ$601,380,Sync!$D$9)&amp;"",""))</f>
        <v/>
      </c>
      <c r="K4431" s="32" t="s">
        <v>1367</v>
      </c>
    </row>
    <row r="4432" customFormat="false" ht="15" hidden="false" customHeight="false" outlineLevel="0" collapsed="false">
      <c r="A4432" s="23" t="str">
        <f aca="false">IF(B4432="","",B4432+(16*1000+381)/10000000)</f>
        <v/>
      </c>
      <c r="B4432" s="35" t="str">
        <f aca="false">IF(AND(IFERROR(N(INDEX(Clay_Brands!$A$2:$FZ$601,381,Sync!$D$12)),0)&gt;0,IFERROR(INDEX(Clay_Brands!$A$2:$FZ$601,381,Sync!$D$5)&amp;"","")&lt;&gt;"",OR(LEFT(IFERROR(INDEX(Clay_Brands!$A$2:$FZ$601,381,Sync!$D$5)&amp;"",""),6)&lt;&gt;"SAMPLE",Config!$B$19="Y")),IFERROR(N(INDEX(Clay_Brands!$A$2:$FZ$601,381,Sync!$D$12)),0),"")</f>
        <v/>
      </c>
      <c r="C4432" s="23" t="str">
        <f aca="false">IF(B4432="","","brand")</f>
        <v/>
      </c>
      <c r="D4432" s="23" t="str">
        <f aca="false">IF(B4432="","",IFERROR(INDEX(Brand_Log!$DV$2:$DV$201,MATCH(IFERROR(INDEX(Clay_Brands!$A$2:$FZ$601,381,Sync!$D$5)&amp;"",""),Brand_Log!$A$2:$A$201,0))&amp;"",IFERROR(INDEX(Clay_Brands!$A$2:$FZ$601,381,Sync!$D$5)&amp;"","")&amp;""))</f>
        <v/>
      </c>
      <c r="E4432" s="23" t="str">
        <f aca="false">IF(B4432="","",IFERROR(INDEX(Clay_Brands!$A$2:$FZ$601,381,Sync!$D$6)&amp;"",""))</f>
        <v/>
      </c>
      <c r="F4432" s="23" t="str">
        <f aca="false">IF(B4432="","","outreach_sent")</f>
        <v/>
      </c>
      <c r="G4432" s="23" t="str">
        <f aca="false">IF(B4432="","","")</f>
        <v/>
      </c>
      <c r="H4432" s="23" t="str">
        <f aca="false">IF(B4432="","","")</f>
        <v/>
      </c>
      <c r="I4432" s="23" t="str">
        <f aca="false">IF(B4432="","","")</f>
        <v/>
      </c>
      <c r="J4432" s="23" t="str">
        <f aca="false">IF(B4432="","","touch_2; "&amp;IFERROR(INDEX(Clay_Brands!$A$2:$FZ$601,381,Sync!$D$10)&amp;"","")&amp;"; "&amp;IFERROR(INDEX(Clay_Brands!$A$2:$FZ$601,381,Sync!$D$9)&amp;"",""))</f>
        <v/>
      </c>
      <c r="K4432" s="32" t="s">
        <v>1367</v>
      </c>
    </row>
    <row r="4433" customFormat="false" ht="15" hidden="false" customHeight="false" outlineLevel="0" collapsed="false">
      <c r="A4433" s="23" t="str">
        <f aca="false">IF(B4433="","",B4433+(16*1000+382)/10000000)</f>
        <v/>
      </c>
      <c r="B4433" s="35" t="str">
        <f aca="false">IF(AND(IFERROR(N(INDEX(Clay_Brands!$A$2:$FZ$601,382,Sync!$D$12)),0)&gt;0,IFERROR(INDEX(Clay_Brands!$A$2:$FZ$601,382,Sync!$D$5)&amp;"","")&lt;&gt;"",OR(LEFT(IFERROR(INDEX(Clay_Brands!$A$2:$FZ$601,382,Sync!$D$5)&amp;"",""),6)&lt;&gt;"SAMPLE",Config!$B$19="Y")),IFERROR(N(INDEX(Clay_Brands!$A$2:$FZ$601,382,Sync!$D$12)),0),"")</f>
        <v/>
      </c>
      <c r="C4433" s="23" t="str">
        <f aca="false">IF(B4433="","","brand")</f>
        <v/>
      </c>
      <c r="D4433" s="23" t="str">
        <f aca="false">IF(B4433="","",IFERROR(INDEX(Brand_Log!$DV$2:$DV$201,MATCH(IFERROR(INDEX(Clay_Brands!$A$2:$FZ$601,382,Sync!$D$5)&amp;"",""),Brand_Log!$A$2:$A$201,0))&amp;"",IFERROR(INDEX(Clay_Brands!$A$2:$FZ$601,382,Sync!$D$5)&amp;"","")&amp;""))</f>
        <v/>
      </c>
      <c r="E4433" s="23" t="str">
        <f aca="false">IF(B4433="","",IFERROR(INDEX(Clay_Brands!$A$2:$FZ$601,382,Sync!$D$6)&amp;"",""))</f>
        <v/>
      </c>
      <c r="F4433" s="23" t="str">
        <f aca="false">IF(B4433="","","outreach_sent")</f>
        <v/>
      </c>
      <c r="G4433" s="23" t="str">
        <f aca="false">IF(B4433="","","")</f>
        <v/>
      </c>
      <c r="H4433" s="23" t="str">
        <f aca="false">IF(B4433="","","")</f>
        <v/>
      </c>
      <c r="I4433" s="23" t="str">
        <f aca="false">IF(B4433="","","")</f>
        <v/>
      </c>
      <c r="J4433" s="23" t="str">
        <f aca="false">IF(B4433="","","touch_2; "&amp;IFERROR(INDEX(Clay_Brands!$A$2:$FZ$601,382,Sync!$D$10)&amp;"","")&amp;"; "&amp;IFERROR(INDEX(Clay_Brands!$A$2:$FZ$601,382,Sync!$D$9)&amp;"",""))</f>
        <v/>
      </c>
      <c r="K4433" s="32" t="s">
        <v>1367</v>
      </c>
    </row>
    <row r="4434" customFormat="false" ht="15" hidden="false" customHeight="false" outlineLevel="0" collapsed="false">
      <c r="A4434" s="23" t="str">
        <f aca="false">IF(B4434="","",B4434+(16*1000+383)/10000000)</f>
        <v/>
      </c>
      <c r="B4434" s="35" t="str">
        <f aca="false">IF(AND(IFERROR(N(INDEX(Clay_Brands!$A$2:$FZ$601,383,Sync!$D$12)),0)&gt;0,IFERROR(INDEX(Clay_Brands!$A$2:$FZ$601,383,Sync!$D$5)&amp;"","")&lt;&gt;"",OR(LEFT(IFERROR(INDEX(Clay_Brands!$A$2:$FZ$601,383,Sync!$D$5)&amp;"",""),6)&lt;&gt;"SAMPLE",Config!$B$19="Y")),IFERROR(N(INDEX(Clay_Brands!$A$2:$FZ$601,383,Sync!$D$12)),0),"")</f>
        <v/>
      </c>
      <c r="C4434" s="23" t="str">
        <f aca="false">IF(B4434="","","brand")</f>
        <v/>
      </c>
      <c r="D4434" s="23" t="str">
        <f aca="false">IF(B4434="","",IFERROR(INDEX(Brand_Log!$DV$2:$DV$201,MATCH(IFERROR(INDEX(Clay_Brands!$A$2:$FZ$601,383,Sync!$D$5)&amp;"",""),Brand_Log!$A$2:$A$201,0))&amp;"",IFERROR(INDEX(Clay_Brands!$A$2:$FZ$601,383,Sync!$D$5)&amp;"","")&amp;""))</f>
        <v/>
      </c>
      <c r="E4434" s="23" t="str">
        <f aca="false">IF(B4434="","",IFERROR(INDEX(Clay_Brands!$A$2:$FZ$601,383,Sync!$D$6)&amp;"",""))</f>
        <v/>
      </c>
      <c r="F4434" s="23" t="str">
        <f aca="false">IF(B4434="","","outreach_sent")</f>
        <v/>
      </c>
      <c r="G4434" s="23" t="str">
        <f aca="false">IF(B4434="","","")</f>
        <v/>
      </c>
      <c r="H4434" s="23" t="str">
        <f aca="false">IF(B4434="","","")</f>
        <v/>
      </c>
      <c r="I4434" s="23" t="str">
        <f aca="false">IF(B4434="","","")</f>
        <v/>
      </c>
      <c r="J4434" s="23" t="str">
        <f aca="false">IF(B4434="","","touch_2; "&amp;IFERROR(INDEX(Clay_Brands!$A$2:$FZ$601,383,Sync!$D$10)&amp;"","")&amp;"; "&amp;IFERROR(INDEX(Clay_Brands!$A$2:$FZ$601,383,Sync!$D$9)&amp;"",""))</f>
        <v/>
      </c>
      <c r="K4434" s="32" t="s">
        <v>1367</v>
      </c>
    </row>
    <row r="4435" customFormat="false" ht="15" hidden="false" customHeight="false" outlineLevel="0" collapsed="false">
      <c r="A4435" s="23" t="str">
        <f aca="false">IF(B4435="","",B4435+(16*1000+384)/10000000)</f>
        <v/>
      </c>
      <c r="B4435" s="35" t="str">
        <f aca="false">IF(AND(IFERROR(N(INDEX(Clay_Brands!$A$2:$FZ$601,384,Sync!$D$12)),0)&gt;0,IFERROR(INDEX(Clay_Brands!$A$2:$FZ$601,384,Sync!$D$5)&amp;"","")&lt;&gt;"",OR(LEFT(IFERROR(INDEX(Clay_Brands!$A$2:$FZ$601,384,Sync!$D$5)&amp;"",""),6)&lt;&gt;"SAMPLE",Config!$B$19="Y")),IFERROR(N(INDEX(Clay_Brands!$A$2:$FZ$601,384,Sync!$D$12)),0),"")</f>
        <v/>
      </c>
      <c r="C4435" s="23" t="str">
        <f aca="false">IF(B4435="","","brand")</f>
        <v/>
      </c>
      <c r="D4435" s="23" t="str">
        <f aca="false">IF(B4435="","",IFERROR(INDEX(Brand_Log!$DV$2:$DV$201,MATCH(IFERROR(INDEX(Clay_Brands!$A$2:$FZ$601,384,Sync!$D$5)&amp;"",""),Brand_Log!$A$2:$A$201,0))&amp;"",IFERROR(INDEX(Clay_Brands!$A$2:$FZ$601,384,Sync!$D$5)&amp;"","")&amp;""))</f>
        <v/>
      </c>
      <c r="E4435" s="23" t="str">
        <f aca="false">IF(B4435="","",IFERROR(INDEX(Clay_Brands!$A$2:$FZ$601,384,Sync!$D$6)&amp;"",""))</f>
        <v/>
      </c>
      <c r="F4435" s="23" t="str">
        <f aca="false">IF(B4435="","","outreach_sent")</f>
        <v/>
      </c>
      <c r="G4435" s="23" t="str">
        <f aca="false">IF(B4435="","","")</f>
        <v/>
      </c>
      <c r="H4435" s="23" t="str">
        <f aca="false">IF(B4435="","","")</f>
        <v/>
      </c>
      <c r="I4435" s="23" t="str">
        <f aca="false">IF(B4435="","","")</f>
        <v/>
      </c>
      <c r="J4435" s="23" t="str">
        <f aca="false">IF(B4435="","","touch_2; "&amp;IFERROR(INDEX(Clay_Brands!$A$2:$FZ$601,384,Sync!$D$10)&amp;"","")&amp;"; "&amp;IFERROR(INDEX(Clay_Brands!$A$2:$FZ$601,384,Sync!$D$9)&amp;"",""))</f>
        <v/>
      </c>
      <c r="K4435" s="32" t="s">
        <v>1367</v>
      </c>
    </row>
    <row r="4436" customFormat="false" ht="15" hidden="false" customHeight="false" outlineLevel="0" collapsed="false">
      <c r="A4436" s="23" t="str">
        <f aca="false">IF(B4436="","",B4436+(16*1000+385)/10000000)</f>
        <v/>
      </c>
      <c r="B4436" s="35" t="str">
        <f aca="false">IF(AND(IFERROR(N(INDEX(Clay_Brands!$A$2:$FZ$601,385,Sync!$D$12)),0)&gt;0,IFERROR(INDEX(Clay_Brands!$A$2:$FZ$601,385,Sync!$D$5)&amp;"","")&lt;&gt;"",OR(LEFT(IFERROR(INDEX(Clay_Brands!$A$2:$FZ$601,385,Sync!$D$5)&amp;"",""),6)&lt;&gt;"SAMPLE",Config!$B$19="Y")),IFERROR(N(INDEX(Clay_Brands!$A$2:$FZ$601,385,Sync!$D$12)),0),"")</f>
        <v/>
      </c>
      <c r="C4436" s="23" t="str">
        <f aca="false">IF(B4436="","","brand")</f>
        <v/>
      </c>
      <c r="D4436" s="23" t="str">
        <f aca="false">IF(B4436="","",IFERROR(INDEX(Brand_Log!$DV$2:$DV$201,MATCH(IFERROR(INDEX(Clay_Brands!$A$2:$FZ$601,385,Sync!$D$5)&amp;"",""),Brand_Log!$A$2:$A$201,0))&amp;"",IFERROR(INDEX(Clay_Brands!$A$2:$FZ$601,385,Sync!$D$5)&amp;"","")&amp;""))</f>
        <v/>
      </c>
      <c r="E4436" s="23" t="str">
        <f aca="false">IF(B4436="","",IFERROR(INDEX(Clay_Brands!$A$2:$FZ$601,385,Sync!$D$6)&amp;"",""))</f>
        <v/>
      </c>
      <c r="F4436" s="23" t="str">
        <f aca="false">IF(B4436="","","outreach_sent")</f>
        <v/>
      </c>
      <c r="G4436" s="23" t="str">
        <f aca="false">IF(B4436="","","")</f>
        <v/>
      </c>
      <c r="H4436" s="23" t="str">
        <f aca="false">IF(B4436="","","")</f>
        <v/>
      </c>
      <c r="I4436" s="23" t="str">
        <f aca="false">IF(B4436="","","")</f>
        <v/>
      </c>
      <c r="J4436" s="23" t="str">
        <f aca="false">IF(B4436="","","touch_2; "&amp;IFERROR(INDEX(Clay_Brands!$A$2:$FZ$601,385,Sync!$D$10)&amp;"","")&amp;"; "&amp;IFERROR(INDEX(Clay_Brands!$A$2:$FZ$601,385,Sync!$D$9)&amp;"",""))</f>
        <v/>
      </c>
      <c r="K4436" s="32" t="s">
        <v>1367</v>
      </c>
    </row>
    <row r="4437" customFormat="false" ht="15" hidden="false" customHeight="false" outlineLevel="0" collapsed="false">
      <c r="A4437" s="23" t="str">
        <f aca="false">IF(B4437="","",B4437+(16*1000+386)/10000000)</f>
        <v/>
      </c>
      <c r="B4437" s="35" t="str">
        <f aca="false">IF(AND(IFERROR(N(INDEX(Clay_Brands!$A$2:$FZ$601,386,Sync!$D$12)),0)&gt;0,IFERROR(INDEX(Clay_Brands!$A$2:$FZ$601,386,Sync!$D$5)&amp;"","")&lt;&gt;"",OR(LEFT(IFERROR(INDEX(Clay_Brands!$A$2:$FZ$601,386,Sync!$D$5)&amp;"",""),6)&lt;&gt;"SAMPLE",Config!$B$19="Y")),IFERROR(N(INDEX(Clay_Brands!$A$2:$FZ$601,386,Sync!$D$12)),0),"")</f>
        <v/>
      </c>
      <c r="C4437" s="23" t="str">
        <f aca="false">IF(B4437="","","brand")</f>
        <v/>
      </c>
      <c r="D4437" s="23" t="str">
        <f aca="false">IF(B4437="","",IFERROR(INDEX(Brand_Log!$DV$2:$DV$201,MATCH(IFERROR(INDEX(Clay_Brands!$A$2:$FZ$601,386,Sync!$D$5)&amp;"",""),Brand_Log!$A$2:$A$201,0))&amp;"",IFERROR(INDEX(Clay_Brands!$A$2:$FZ$601,386,Sync!$D$5)&amp;"","")&amp;""))</f>
        <v/>
      </c>
      <c r="E4437" s="23" t="str">
        <f aca="false">IF(B4437="","",IFERROR(INDEX(Clay_Brands!$A$2:$FZ$601,386,Sync!$D$6)&amp;"",""))</f>
        <v/>
      </c>
      <c r="F4437" s="23" t="str">
        <f aca="false">IF(B4437="","","outreach_sent")</f>
        <v/>
      </c>
      <c r="G4437" s="23" t="str">
        <f aca="false">IF(B4437="","","")</f>
        <v/>
      </c>
      <c r="H4437" s="23" t="str">
        <f aca="false">IF(B4437="","","")</f>
        <v/>
      </c>
      <c r="I4437" s="23" t="str">
        <f aca="false">IF(B4437="","","")</f>
        <v/>
      </c>
      <c r="J4437" s="23" t="str">
        <f aca="false">IF(B4437="","","touch_2; "&amp;IFERROR(INDEX(Clay_Brands!$A$2:$FZ$601,386,Sync!$D$10)&amp;"","")&amp;"; "&amp;IFERROR(INDEX(Clay_Brands!$A$2:$FZ$601,386,Sync!$D$9)&amp;"",""))</f>
        <v/>
      </c>
      <c r="K4437" s="32" t="s">
        <v>1367</v>
      </c>
    </row>
    <row r="4438" customFormat="false" ht="15" hidden="false" customHeight="false" outlineLevel="0" collapsed="false">
      <c r="A4438" s="23" t="str">
        <f aca="false">IF(B4438="","",B4438+(16*1000+387)/10000000)</f>
        <v/>
      </c>
      <c r="B4438" s="35" t="str">
        <f aca="false">IF(AND(IFERROR(N(INDEX(Clay_Brands!$A$2:$FZ$601,387,Sync!$D$12)),0)&gt;0,IFERROR(INDEX(Clay_Brands!$A$2:$FZ$601,387,Sync!$D$5)&amp;"","")&lt;&gt;"",OR(LEFT(IFERROR(INDEX(Clay_Brands!$A$2:$FZ$601,387,Sync!$D$5)&amp;"",""),6)&lt;&gt;"SAMPLE",Config!$B$19="Y")),IFERROR(N(INDEX(Clay_Brands!$A$2:$FZ$601,387,Sync!$D$12)),0),"")</f>
        <v/>
      </c>
      <c r="C4438" s="23" t="str">
        <f aca="false">IF(B4438="","","brand")</f>
        <v/>
      </c>
      <c r="D4438" s="23" t="str">
        <f aca="false">IF(B4438="","",IFERROR(INDEX(Brand_Log!$DV$2:$DV$201,MATCH(IFERROR(INDEX(Clay_Brands!$A$2:$FZ$601,387,Sync!$D$5)&amp;"",""),Brand_Log!$A$2:$A$201,0))&amp;"",IFERROR(INDEX(Clay_Brands!$A$2:$FZ$601,387,Sync!$D$5)&amp;"","")&amp;""))</f>
        <v/>
      </c>
      <c r="E4438" s="23" t="str">
        <f aca="false">IF(B4438="","",IFERROR(INDEX(Clay_Brands!$A$2:$FZ$601,387,Sync!$D$6)&amp;"",""))</f>
        <v/>
      </c>
      <c r="F4438" s="23" t="str">
        <f aca="false">IF(B4438="","","outreach_sent")</f>
        <v/>
      </c>
      <c r="G4438" s="23" t="str">
        <f aca="false">IF(B4438="","","")</f>
        <v/>
      </c>
      <c r="H4438" s="23" t="str">
        <f aca="false">IF(B4438="","","")</f>
        <v/>
      </c>
      <c r="I4438" s="23" t="str">
        <f aca="false">IF(B4438="","","")</f>
        <v/>
      </c>
      <c r="J4438" s="23" t="str">
        <f aca="false">IF(B4438="","","touch_2; "&amp;IFERROR(INDEX(Clay_Brands!$A$2:$FZ$601,387,Sync!$D$10)&amp;"","")&amp;"; "&amp;IFERROR(INDEX(Clay_Brands!$A$2:$FZ$601,387,Sync!$D$9)&amp;"",""))</f>
        <v/>
      </c>
      <c r="K4438" s="32" t="s">
        <v>1367</v>
      </c>
    </row>
    <row r="4439" customFormat="false" ht="15" hidden="false" customHeight="false" outlineLevel="0" collapsed="false">
      <c r="A4439" s="23" t="str">
        <f aca="false">IF(B4439="","",B4439+(16*1000+388)/10000000)</f>
        <v/>
      </c>
      <c r="B4439" s="35" t="str">
        <f aca="false">IF(AND(IFERROR(N(INDEX(Clay_Brands!$A$2:$FZ$601,388,Sync!$D$12)),0)&gt;0,IFERROR(INDEX(Clay_Brands!$A$2:$FZ$601,388,Sync!$D$5)&amp;"","")&lt;&gt;"",OR(LEFT(IFERROR(INDEX(Clay_Brands!$A$2:$FZ$601,388,Sync!$D$5)&amp;"",""),6)&lt;&gt;"SAMPLE",Config!$B$19="Y")),IFERROR(N(INDEX(Clay_Brands!$A$2:$FZ$601,388,Sync!$D$12)),0),"")</f>
        <v/>
      </c>
      <c r="C4439" s="23" t="str">
        <f aca="false">IF(B4439="","","brand")</f>
        <v/>
      </c>
      <c r="D4439" s="23" t="str">
        <f aca="false">IF(B4439="","",IFERROR(INDEX(Brand_Log!$DV$2:$DV$201,MATCH(IFERROR(INDEX(Clay_Brands!$A$2:$FZ$601,388,Sync!$D$5)&amp;"",""),Brand_Log!$A$2:$A$201,0))&amp;"",IFERROR(INDEX(Clay_Brands!$A$2:$FZ$601,388,Sync!$D$5)&amp;"","")&amp;""))</f>
        <v/>
      </c>
      <c r="E4439" s="23" t="str">
        <f aca="false">IF(B4439="","",IFERROR(INDEX(Clay_Brands!$A$2:$FZ$601,388,Sync!$D$6)&amp;"",""))</f>
        <v/>
      </c>
      <c r="F4439" s="23" t="str">
        <f aca="false">IF(B4439="","","outreach_sent")</f>
        <v/>
      </c>
      <c r="G4439" s="23" t="str">
        <f aca="false">IF(B4439="","","")</f>
        <v/>
      </c>
      <c r="H4439" s="23" t="str">
        <f aca="false">IF(B4439="","","")</f>
        <v/>
      </c>
      <c r="I4439" s="23" t="str">
        <f aca="false">IF(B4439="","","")</f>
        <v/>
      </c>
      <c r="J4439" s="23" t="str">
        <f aca="false">IF(B4439="","","touch_2; "&amp;IFERROR(INDEX(Clay_Brands!$A$2:$FZ$601,388,Sync!$D$10)&amp;"","")&amp;"; "&amp;IFERROR(INDEX(Clay_Brands!$A$2:$FZ$601,388,Sync!$D$9)&amp;"",""))</f>
        <v/>
      </c>
      <c r="K4439" s="32" t="s">
        <v>1367</v>
      </c>
    </row>
    <row r="4440" customFormat="false" ht="15" hidden="false" customHeight="false" outlineLevel="0" collapsed="false">
      <c r="A4440" s="23" t="str">
        <f aca="false">IF(B4440="","",B4440+(16*1000+389)/10000000)</f>
        <v/>
      </c>
      <c r="B4440" s="35" t="str">
        <f aca="false">IF(AND(IFERROR(N(INDEX(Clay_Brands!$A$2:$FZ$601,389,Sync!$D$12)),0)&gt;0,IFERROR(INDEX(Clay_Brands!$A$2:$FZ$601,389,Sync!$D$5)&amp;"","")&lt;&gt;"",OR(LEFT(IFERROR(INDEX(Clay_Brands!$A$2:$FZ$601,389,Sync!$D$5)&amp;"",""),6)&lt;&gt;"SAMPLE",Config!$B$19="Y")),IFERROR(N(INDEX(Clay_Brands!$A$2:$FZ$601,389,Sync!$D$12)),0),"")</f>
        <v/>
      </c>
      <c r="C4440" s="23" t="str">
        <f aca="false">IF(B4440="","","brand")</f>
        <v/>
      </c>
      <c r="D4440" s="23" t="str">
        <f aca="false">IF(B4440="","",IFERROR(INDEX(Brand_Log!$DV$2:$DV$201,MATCH(IFERROR(INDEX(Clay_Brands!$A$2:$FZ$601,389,Sync!$D$5)&amp;"",""),Brand_Log!$A$2:$A$201,0))&amp;"",IFERROR(INDEX(Clay_Brands!$A$2:$FZ$601,389,Sync!$D$5)&amp;"","")&amp;""))</f>
        <v/>
      </c>
      <c r="E4440" s="23" t="str">
        <f aca="false">IF(B4440="","",IFERROR(INDEX(Clay_Brands!$A$2:$FZ$601,389,Sync!$D$6)&amp;"",""))</f>
        <v/>
      </c>
      <c r="F4440" s="23" t="str">
        <f aca="false">IF(B4440="","","outreach_sent")</f>
        <v/>
      </c>
      <c r="G4440" s="23" t="str">
        <f aca="false">IF(B4440="","","")</f>
        <v/>
      </c>
      <c r="H4440" s="23" t="str">
        <f aca="false">IF(B4440="","","")</f>
        <v/>
      </c>
      <c r="I4440" s="23" t="str">
        <f aca="false">IF(B4440="","","")</f>
        <v/>
      </c>
      <c r="J4440" s="23" t="str">
        <f aca="false">IF(B4440="","","touch_2; "&amp;IFERROR(INDEX(Clay_Brands!$A$2:$FZ$601,389,Sync!$D$10)&amp;"","")&amp;"; "&amp;IFERROR(INDEX(Clay_Brands!$A$2:$FZ$601,389,Sync!$D$9)&amp;"",""))</f>
        <v/>
      </c>
      <c r="K4440" s="32" t="s">
        <v>1367</v>
      </c>
    </row>
    <row r="4441" customFormat="false" ht="15" hidden="false" customHeight="false" outlineLevel="0" collapsed="false">
      <c r="A4441" s="23" t="str">
        <f aca="false">IF(B4441="","",B4441+(16*1000+390)/10000000)</f>
        <v/>
      </c>
      <c r="B4441" s="35" t="str">
        <f aca="false">IF(AND(IFERROR(N(INDEX(Clay_Brands!$A$2:$FZ$601,390,Sync!$D$12)),0)&gt;0,IFERROR(INDEX(Clay_Brands!$A$2:$FZ$601,390,Sync!$D$5)&amp;"","")&lt;&gt;"",OR(LEFT(IFERROR(INDEX(Clay_Brands!$A$2:$FZ$601,390,Sync!$D$5)&amp;"",""),6)&lt;&gt;"SAMPLE",Config!$B$19="Y")),IFERROR(N(INDEX(Clay_Brands!$A$2:$FZ$601,390,Sync!$D$12)),0),"")</f>
        <v/>
      </c>
      <c r="C4441" s="23" t="str">
        <f aca="false">IF(B4441="","","brand")</f>
        <v/>
      </c>
      <c r="D4441" s="23" t="str">
        <f aca="false">IF(B4441="","",IFERROR(INDEX(Brand_Log!$DV$2:$DV$201,MATCH(IFERROR(INDEX(Clay_Brands!$A$2:$FZ$601,390,Sync!$D$5)&amp;"",""),Brand_Log!$A$2:$A$201,0))&amp;"",IFERROR(INDEX(Clay_Brands!$A$2:$FZ$601,390,Sync!$D$5)&amp;"","")&amp;""))</f>
        <v/>
      </c>
      <c r="E4441" s="23" t="str">
        <f aca="false">IF(B4441="","",IFERROR(INDEX(Clay_Brands!$A$2:$FZ$601,390,Sync!$D$6)&amp;"",""))</f>
        <v/>
      </c>
      <c r="F4441" s="23" t="str">
        <f aca="false">IF(B4441="","","outreach_sent")</f>
        <v/>
      </c>
      <c r="G4441" s="23" t="str">
        <f aca="false">IF(B4441="","","")</f>
        <v/>
      </c>
      <c r="H4441" s="23" t="str">
        <f aca="false">IF(B4441="","","")</f>
        <v/>
      </c>
      <c r="I4441" s="23" t="str">
        <f aca="false">IF(B4441="","","")</f>
        <v/>
      </c>
      <c r="J4441" s="23" t="str">
        <f aca="false">IF(B4441="","","touch_2; "&amp;IFERROR(INDEX(Clay_Brands!$A$2:$FZ$601,390,Sync!$D$10)&amp;"","")&amp;"; "&amp;IFERROR(INDEX(Clay_Brands!$A$2:$FZ$601,390,Sync!$D$9)&amp;"",""))</f>
        <v/>
      </c>
      <c r="K4441" s="32" t="s">
        <v>1367</v>
      </c>
    </row>
    <row r="4442" customFormat="false" ht="15" hidden="false" customHeight="false" outlineLevel="0" collapsed="false">
      <c r="A4442" s="23" t="str">
        <f aca="false">IF(B4442="","",B4442+(16*1000+391)/10000000)</f>
        <v/>
      </c>
      <c r="B4442" s="35" t="str">
        <f aca="false">IF(AND(IFERROR(N(INDEX(Clay_Brands!$A$2:$FZ$601,391,Sync!$D$12)),0)&gt;0,IFERROR(INDEX(Clay_Brands!$A$2:$FZ$601,391,Sync!$D$5)&amp;"","")&lt;&gt;"",OR(LEFT(IFERROR(INDEX(Clay_Brands!$A$2:$FZ$601,391,Sync!$D$5)&amp;"",""),6)&lt;&gt;"SAMPLE",Config!$B$19="Y")),IFERROR(N(INDEX(Clay_Brands!$A$2:$FZ$601,391,Sync!$D$12)),0),"")</f>
        <v/>
      </c>
      <c r="C4442" s="23" t="str">
        <f aca="false">IF(B4442="","","brand")</f>
        <v/>
      </c>
      <c r="D4442" s="23" t="str">
        <f aca="false">IF(B4442="","",IFERROR(INDEX(Brand_Log!$DV$2:$DV$201,MATCH(IFERROR(INDEX(Clay_Brands!$A$2:$FZ$601,391,Sync!$D$5)&amp;"",""),Brand_Log!$A$2:$A$201,0))&amp;"",IFERROR(INDEX(Clay_Brands!$A$2:$FZ$601,391,Sync!$D$5)&amp;"","")&amp;""))</f>
        <v/>
      </c>
      <c r="E4442" s="23" t="str">
        <f aca="false">IF(B4442="","",IFERROR(INDEX(Clay_Brands!$A$2:$FZ$601,391,Sync!$D$6)&amp;"",""))</f>
        <v/>
      </c>
      <c r="F4442" s="23" t="str">
        <f aca="false">IF(B4442="","","outreach_sent")</f>
        <v/>
      </c>
      <c r="G4442" s="23" t="str">
        <f aca="false">IF(B4442="","","")</f>
        <v/>
      </c>
      <c r="H4442" s="23" t="str">
        <f aca="false">IF(B4442="","","")</f>
        <v/>
      </c>
      <c r="I4442" s="23" t="str">
        <f aca="false">IF(B4442="","","")</f>
        <v/>
      </c>
      <c r="J4442" s="23" t="str">
        <f aca="false">IF(B4442="","","touch_2; "&amp;IFERROR(INDEX(Clay_Brands!$A$2:$FZ$601,391,Sync!$D$10)&amp;"","")&amp;"; "&amp;IFERROR(INDEX(Clay_Brands!$A$2:$FZ$601,391,Sync!$D$9)&amp;"",""))</f>
        <v/>
      </c>
      <c r="K4442" s="32" t="s">
        <v>1367</v>
      </c>
    </row>
    <row r="4443" customFormat="false" ht="15" hidden="false" customHeight="false" outlineLevel="0" collapsed="false">
      <c r="A4443" s="23" t="str">
        <f aca="false">IF(B4443="","",B4443+(16*1000+392)/10000000)</f>
        <v/>
      </c>
      <c r="B4443" s="35" t="str">
        <f aca="false">IF(AND(IFERROR(N(INDEX(Clay_Brands!$A$2:$FZ$601,392,Sync!$D$12)),0)&gt;0,IFERROR(INDEX(Clay_Brands!$A$2:$FZ$601,392,Sync!$D$5)&amp;"","")&lt;&gt;"",OR(LEFT(IFERROR(INDEX(Clay_Brands!$A$2:$FZ$601,392,Sync!$D$5)&amp;"",""),6)&lt;&gt;"SAMPLE",Config!$B$19="Y")),IFERROR(N(INDEX(Clay_Brands!$A$2:$FZ$601,392,Sync!$D$12)),0),"")</f>
        <v/>
      </c>
      <c r="C4443" s="23" t="str">
        <f aca="false">IF(B4443="","","brand")</f>
        <v/>
      </c>
      <c r="D4443" s="23" t="str">
        <f aca="false">IF(B4443="","",IFERROR(INDEX(Brand_Log!$DV$2:$DV$201,MATCH(IFERROR(INDEX(Clay_Brands!$A$2:$FZ$601,392,Sync!$D$5)&amp;"",""),Brand_Log!$A$2:$A$201,0))&amp;"",IFERROR(INDEX(Clay_Brands!$A$2:$FZ$601,392,Sync!$D$5)&amp;"","")&amp;""))</f>
        <v/>
      </c>
      <c r="E4443" s="23" t="str">
        <f aca="false">IF(B4443="","",IFERROR(INDEX(Clay_Brands!$A$2:$FZ$601,392,Sync!$D$6)&amp;"",""))</f>
        <v/>
      </c>
      <c r="F4443" s="23" t="str">
        <f aca="false">IF(B4443="","","outreach_sent")</f>
        <v/>
      </c>
      <c r="G4443" s="23" t="str">
        <f aca="false">IF(B4443="","","")</f>
        <v/>
      </c>
      <c r="H4443" s="23" t="str">
        <f aca="false">IF(B4443="","","")</f>
        <v/>
      </c>
      <c r="I4443" s="23" t="str">
        <f aca="false">IF(B4443="","","")</f>
        <v/>
      </c>
      <c r="J4443" s="23" t="str">
        <f aca="false">IF(B4443="","","touch_2; "&amp;IFERROR(INDEX(Clay_Brands!$A$2:$FZ$601,392,Sync!$D$10)&amp;"","")&amp;"; "&amp;IFERROR(INDEX(Clay_Brands!$A$2:$FZ$601,392,Sync!$D$9)&amp;"",""))</f>
        <v/>
      </c>
      <c r="K4443" s="32" t="s">
        <v>1367</v>
      </c>
    </row>
    <row r="4444" customFormat="false" ht="15" hidden="false" customHeight="false" outlineLevel="0" collapsed="false">
      <c r="A4444" s="23" t="str">
        <f aca="false">IF(B4444="","",B4444+(16*1000+393)/10000000)</f>
        <v/>
      </c>
      <c r="B4444" s="35" t="str">
        <f aca="false">IF(AND(IFERROR(N(INDEX(Clay_Brands!$A$2:$FZ$601,393,Sync!$D$12)),0)&gt;0,IFERROR(INDEX(Clay_Brands!$A$2:$FZ$601,393,Sync!$D$5)&amp;"","")&lt;&gt;"",OR(LEFT(IFERROR(INDEX(Clay_Brands!$A$2:$FZ$601,393,Sync!$D$5)&amp;"",""),6)&lt;&gt;"SAMPLE",Config!$B$19="Y")),IFERROR(N(INDEX(Clay_Brands!$A$2:$FZ$601,393,Sync!$D$12)),0),"")</f>
        <v/>
      </c>
      <c r="C4444" s="23" t="str">
        <f aca="false">IF(B4444="","","brand")</f>
        <v/>
      </c>
      <c r="D4444" s="23" t="str">
        <f aca="false">IF(B4444="","",IFERROR(INDEX(Brand_Log!$DV$2:$DV$201,MATCH(IFERROR(INDEX(Clay_Brands!$A$2:$FZ$601,393,Sync!$D$5)&amp;"",""),Brand_Log!$A$2:$A$201,0))&amp;"",IFERROR(INDEX(Clay_Brands!$A$2:$FZ$601,393,Sync!$D$5)&amp;"","")&amp;""))</f>
        <v/>
      </c>
      <c r="E4444" s="23" t="str">
        <f aca="false">IF(B4444="","",IFERROR(INDEX(Clay_Brands!$A$2:$FZ$601,393,Sync!$D$6)&amp;"",""))</f>
        <v/>
      </c>
      <c r="F4444" s="23" t="str">
        <f aca="false">IF(B4444="","","outreach_sent")</f>
        <v/>
      </c>
      <c r="G4444" s="23" t="str">
        <f aca="false">IF(B4444="","","")</f>
        <v/>
      </c>
      <c r="H4444" s="23" t="str">
        <f aca="false">IF(B4444="","","")</f>
        <v/>
      </c>
      <c r="I4444" s="23" t="str">
        <f aca="false">IF(B4444="","","")</f>
        <v/>
      </c>
      <c r="J4444" s="23" t="str">
        <f aca="false">IF(B4444="","","touch_2; "&amp;IFERROR(INDEX(Clay_Brands!$A$2:$FZ$601,393,Sync!$D$10)&amp;"","")&amp;"; "&amp;IFERROR(INDEX(Clay_Brands!$A$2:$FZ$601,393,Sync!$D$9)&amp;"",""))</f>
        <v/>
      </c>
      <c r="K4444" s="32" t="s">
        <v>1367</v>
      </c>
    </row>
    <row r="4445" customFormat="false" ht="15" hidden="false" customHeight="false" outlineLevel="0" collapsed="false">
      <c r="A4445" s="23" t="str">
        <f aca="false">IF(B4445="","",B4445+(16*1000+394)/10000000)</f>
        <v/>
      </c>
      <c r="B4445" s="35" t="str">
        <f aca="false">IF(AND(IFERROR(N(INDEX(Clay_Brands!$A$2:$FZ$601,394,Sync!$D$12)),0)&gt;0,IFERROR(INDEX(Clay_Brands!$A$2:$FZ$601,394,Sync!$D$5)&amp;"","")&lt;&gt;"",OR(LEFT(IFERROR(INDEX(Clay_Brands!$A$2:$FZ$601,394,Sync!$D$5)&amp;"",""),6)&lt;&gt;"SAMPLE",Config!$B$19="Y")),IFERROR(N(INDEX(Clay_Brands!$A$2:$FZ$601,394,Sync!$D$12)),0),"")</f>
        <v/>
      </c>
      <c r="C4445" s="23" t="str">
        <f aca="false">IF(B4445="","","brand")</f>
        <v/>
      </c>
      <c r="D4445" s="23" t="str">
        <f aca="false">IF(B4445="","",IFERROR(INDEX(Brand_Log!$DV$2:$DV$201,MATCH(IFERROR(INDEX(Clay_Brands!$A$2:$FZ$601,394,Sync!$D$5)&amp;"",""),Brand_Log!$A$2:$A$201,0))&amp;"",IFERROR(INDEX(Clay_Brands!$A$2:$FZ$601,394,Sync!$D$5)&amp;"","")&amp;""))</f>
        <v/>
      </c>
      <c r="E4445" s="23" t="str">
        <f aca="false">IF(B4445="","",IFERROR(INDEX(Clay_Brands!$A$2:$FZ$601,394,Sync!$D$6)&amp;"",""))</f>
        <v/>
      </c>
      <c r="F4445" s="23" t="str">
        <f aca="false">IF(B4445="","","outreach_sent")</f>
        <v/>
      </c>
      <c r="G4445" s="23" t="str">
        <f aca="false">IF(B4445="","","")</f>
        <v/>
      </c>
      <c r="H4445" s="23" t="str">
        <f aca="false">IF(B4445="","","")</f>
        <v/>
      </c>
      <c r="I4445" s="23" t="str">
        <f aca="false">IF(B4445="","","")</f>
        <v/>
      </c>
      <c r="J4445" s="23" t="str">
        <f aca="false">IF(B4445="","","touch_2; "&amp;IFERROR(INDEX(Clay_Brands!$A$2:$FZ$601,394,Sync!$D$10)&amp;"","")&amp;"; "&amp;IFERROR(INDEX(Clay_Brands!$A$2:$FZ$601,394,Sync!$D$9)&amp;"",""))</f>
        <v/>
      </c>
      <c r="K4445" s="32" t="s">
        <v>1367</v>
      </c>
    </row>
    <row r="4446" customFormat="false" ht="15" hidden="false" customHeight="false" outlineLevel="0" collapsed="false">
      <c r="A4446" s="23" t="str">
        <f aca="false">IF(B4446="","",B4446+(16*1000+395)/10000000)</f>
        <v/>
      </c>
      <c r="B4446" s="35" t="str">
        <f aca="false">IF(AND(IFERROR(N(INDEX(Clay_Brands!$A$2:$FZ$601,395,Sync!$D$12)),0)&gt;0,IFERROR(INDEX(Clay_Brands!$A$2:$FZ$601,395,Sync!$D$5)&amp;"","")&lt;&gt;"",OR(LEFT(IFERROR(INDEX(Clay_Brands!$A$2:$FZ$601,395,Sync!$D$5)&amp;"",""),6)&lt;&gt;"SAMPLE",Config!$B$19="Y")),IFERROR(N(INDEX(Clay_Brands!$A$2:$FZ$601,395,Sync!$D$12)),0),"")</f>
        <v/>
      </c>
      <c r="C4446" s="23" t="str">
        <f aca="false">IF(B4446="","","brand")</f>
        <v/>
      </c>
      <c r="D4446" s="23" t="str">
        <f aca="false">IF(B4446="","",IFERROR(INDEX(Brand_Log!$DV$2:$DV$201,MATCH(IFERROR(INDEX(Clay_Brands!$A$2:$FZ$601,395,Sync!$D$5)&amp;"",""),Brand_Log!$A$2:$A$201,0))&amp;"",IFERROR(INDEX(Clay_Brands!$A$2:$FZ$601,395,Sync!$D$5)&amp;"","")&amp;""))</f>
        <v/>
      </c>
      <c r="E4446" s="23" t="str">
        <f aca="false">IF(B4446="","",IFERROR(INDEX(Clay_Brands!$A$2:$FZ$601,395,Sync!$D$6)&amp;"",""))</f>
        <v/>
      </c>
      <c r="F4446" s="23" t="str">
        <f aca="false">IF(B4446="","","outreach_sent")</f>
        <v/>
      </c>
      <c r="G4446" s="23" t="str">
        <f aca="false">IF(B4446="","","")</f>
        <v/>
      </c>
      <c r="H4446" s="23" t="str">
        <f aca="false">IF(B4446="","","")</f>
        <v/>
      </c>
      <c r="I4446" s="23" t="str">
        <f aca="false">IF(B4446="","","")</f>
        <v/>
      </c>
      <c r="J4446" s="23" t="str">
        <f aca="false">IF(B4446="","","touch_2; "&amp;IFERROR(INDEX(Clay_Brands!$A$2:$FZ$601,395,Sync!$D$10)&amp;"","")&amp;"; "&amp;IFERROR(INDEX(Clay_Brands!$A$2:$FZ$601,395,Sync!$D$9)&amp;"",""))</f>
        <v/>
      </c>
      <c r="K4446" s="32" t="s">
        <v>1367</v>
      </c>
    </row>
    <row r="4447" customFormat="false" ht="15" hidden="false" customHeight="false" outlineLevel="0" collapsed="false">
      <c r="A4447" s="23" t="str">
        <f aca="false">IF(B4447="","",B4447+(16*1000+396)/10000000)</f>
        <v/>
      </c>
      <c r="B4447" s="35" t="str">
        <f aca="false">IF(AND(IFERROR(N(INDEX(Clay_Brands!$A$2:$FZ$601,396,Sync!$D$12)),0)&gt;0,IFERROR(INDEX(Clay_Brands!$A$2:$FZ$601,396,Sync!$D$5)&amp;"","")&lt;&gt;"",OR(LEFT(IFERROR(INDEX(Clay_Brands!$A$2:$FZ$601,396,Sync!$D$5)&amp;"",""),6)&lt;&gt;"SAMPLE",Config!$B$19="Y")),IFERROR(N(INDEX(Clay_Brands!$A$2:$FZ$601,396,Sync!$D$12)),0),"")</f>
        <v/>
      </c>
      <c r="C4447" s="23" t="str">
        <f aca="false">IF(B4447="","","brand")</f>
        <v/>
      </c>
      <c r="D4447" s="23" t="str">
        <f aca="false">IF(B4447="","",IFERROR(INDEX(Brand_Log!$DV$2:$DV$201,MATCH(IFERROR(INDEX(Clay_Brands!$A$2:$FZ$601,396,Sync!$D$5)&amp;"",""),Brand_Log!$A$2:$A$201,0))&amp;"",IFERROR(INDEX(Clay_Brands!$A$2:$FZ$601,396,Sync!$D$5)&amp;"","")&amp;""))</f>
        <v/>
      </c>
      <c r="E4447" s="23" t="str">
        <f aca="false">IF(B4447="","",IFERROR(INDEX(Clay_Brands!$A$2:$FZ$601,396,Sync!$D$6)&amp;"",""))</f>
        <v/>
      </c>
      <c r="F4447" s="23" t="str">
        <f aca="false">IF(B4447="","","outreach_sent")</f>
        <v/>
      </c>
      <c r="G4447" s="23" t="str">
        <f aca="false">IF(B4447="","","")</f>
        <v/>
      </c>
      <c r="H4447" s="23" t="str">
        <f aca="false">IF(B4447="","","")</f>
        <v/>
      </c>
      <c r="I4447" s="23" t="str">
        <f aca="false">IF(B4447="","","")</f>
        <v/>
      </c>
      <c r="J4447" s="23" t="str">
        <f aca="false">IF(B4447="","","touch_2; "&amp;IFERROR(INDEX(Clay_Brands!$A$2:$FZ$601,396,Sync!$D$10)&amp;"","")&amp;"; "&amp;IFERROR(INDEX(Clay_Brands!$A$2:$FZ$601,396,Sync!$D$9)&amp;"",""))</f>
        <v/>
      </c>
      <c r="K4447" s="32" t="s">
        <v>1367</v>
      </c>
    </row>
    <row r="4448" customFormat="false" ht="15" hidden="false" customHeight="false" outlineLevel="0" collapsed="false">
      <c r="A4448" s="23" t="str">
        <f aca="false">IF(B4448="","",B4448+(16*1000+397)/10000000)</f>
        <v/>
      </c>
      <c r="B4448" s="35" t="str">
        <f aca="false">IF(AND(IFERROR(N(INDEX(Clay_Brands!$A$2:$FZ$601,397,Sync!$D$12)),0)&gt;0,IFERROR(INDEX(Clay_Brands!$A$2:$FZ$601,397,Sync!$D$5)&amp;"","")&lt;&gt;"",OR(LEFT(IFERROR(INDEX(Clay_Brands!$A$2:$FZ$601,397,Sync!$D$5)&amp;"",""),6)&lt;&gt;"SAMPLE",Config!$B$19="Y")),IFERROR(N(INDEX(Clay_Brands!$A$2:$FZ$601,397,Sync!$D$12)),0),"")</f>
        <v/>
      </c>
      <c r="C4448" s="23" t="str">
        <f aca="false">IF(B4448="","","brand")</f>
        <v/>
      </c>
      <c r="D4448" s="23" t="str">
        <f aca="false">IF(B4448="","",IFERROR(INDEX(Brand_Log!$DV$2:$DV$201,MATCH(IFERROR(INDEX(Clay_Brands!$A$2:$FZ$601,397,Sync!$D$5)&amp;"",""),Brand_Log!$A$2:$A$201,0))&amp;"",IFERROR(INDEX(Clay_Brands!$A$2:$FZ$601,397,Sync!$D$5)&amp;"","")&amp;""))</f>
        <v/>
      </c>
      <c r="E4448" s="23" t="str">
        <f aca="false">IF(B4448="","",IFERROR(INDEX(Clay_Brands!$A$2:$FZ$601,397,Sync!$D$6)&amp;"",""))</f>
        <v/>
      </c>
      <c r="F4448" s="23" t="str">
        <f aca="false">IF(B4448="","","outreach_sent")</f>
        <v/>
      </c>
      <c r="G4448" s="23" t="str">
        <f aca="false">IF(B4448="","","")</f>
        <v/>
      </c>
      <c r="H4448" s="23" t="str">
        <f aca="false">IF(B4448="","","")</f>
        <v/>
      </c>
      <c r="I4448" s="23" t="str">
        <f aca="false">IF(B4448="","","")</f>
        <v/>
      </c>
      <c r="J4448" s="23" t="str">
        <f aca="false">IF(B4448="","","touch_2; "&amp;IFERROR(INDEX(Clay_Brands!$A$2:$FZ$601,397,Sync!$D$10)&amp;"","")&amp;"; "&amp;IFERROR(INDEX(Clay_Brands!$A$2:$FZ$601,397,Sync!$D$9)&amp;"",""))</f>
        <v/>
      </c>
      <c r="K4448" s="32" t="s">
        <v>1367</v>
      </c>
    </row>
    <row r="4449" customFormat="false" ht="15" hidden="false" customHeight="false" outlineLevel="0" collapsed="false">
      <c r="A4449" s="23" t="str">
        <f aca="false">IF(B4449="","",B4449+(16*1000+398)/10000000)</f>
        <v/>
      </c>
      <c r="B4449" s="35" t="str">
        <f aca="false">IF(AND(IFERROR(N(INDEX(Clay_Brands!$A$2:$FZ$601,398,Sync!$D$12)),0)&gt;0,IFERROR(INDEX(Clay_Brands!$A$2:$FZ$601,398,Sync!$D$5)&amp;"","")&lt;&gt;"",OR(LEFT(IFERROR(INDEX(Clay_Brands!$A$2:$FZ$601,398,Sync!$D$5)&amp;"",""),6)&lt;&gt;"SAMPLE",Config!$B$19="Y")),IFERROR(N(INDEX(Clay_Brands!$A$2:$FZ$601,398,Sync!$D$12)),0),"")</f>
        <v/>
      </c>
      <c r="C4449" s="23" t="str">
        <f aca="false">IF(B4449="","","brand")</f>
        <v/>
      </c>
      <c r="D4449" s="23" t="str">
        <f aca="false">IF(B4449="","",IFERROR(INDEX(Brand_Log!$DV$2:$DV$201,MATCH(IFERROR(INDEX(Clay_Brands!$A$2:$FZ$601,398,Sync!$D$5)&amp;"",""),Brand_Log!$A$2:$A$201,0))&amp;"",IFERROR(INDEX(Clay_Brands!$A$2:$FZ$601,398,Sync!$D$5)&amp;"","")&amp;""))</f>
        <v/>
      </c>
      <c r="E4449" s="23" t="str">
        <f aca="false">IF(B4449="","",IFERROR(INDEX(Clay_Brands!$A$2:$FZ$601,398,Sync!$D$6)&amp;"",""))</f>
        <v/>
      </c>
      <c r="F4449" s="23" t="str">
        <f aca="false">IF(B4449="","","outreach_sent")</f>
        <v/>
      </c>
      <c r="G4449" s="23" t="str">
        <f aca="false">IF(B4449="","","")</f>
        <v/>
      </c>
      <c r="H4449" s="23" t="str">
        <f aca="false">IF(B4449="","","")</f>
        <v/>
      </c>
      <c r="I4449" s="23" t="str">
        <f aca="false">IF(B4449="","","")</f>
        <v/>
      </c>
      <c r="J4449" s="23" t="str">
        <f aca="false">IF(B4449="","","touch_2; "&amp;IFERROR(INDEX(Clay_Brands!$A$2:$FZ$601,398,Sync!$D$10)&amp;"","")&amp;"; "&amp;IFERROR(INDEX(Clay_Brands!$A$2:$FZ$601,398,Sync!$D$9)&amp;"",""))</f>
        <v/>
      </c>
      <c r="K4449" s="32" t="s">
        <v>1367</v>
      </c>
    </row>
    <row r="4450" customFormat="false" ht="15" hidden="false" customHeight="false" outlineLevel="0" collapsed="false">
      <c r="A4450" s="23" t="str">
        <f aca="false">IF(B4450="","",B4450+(16*1000+399)/10000000)</f>
        <v/>
      </c>
      <c r="B4450" s="35" t="str">
        <f aca="false">IF(AND(IFERROR(N(INDEX(Clay_Brands!$A$2:$FZ$601,399,Sync!$D$12)),0)&gt;0,IFERROR(INDEX(Clay_Brands!$A$2:$FZ$601,399,Sync!$D$5)&amp;"","")&lt;&gt;"",OR(LEFT(IFERROR(INDEX(Clay_Brands!$A$2:$FZ$601,399,Sync!$D$5)&amp;"",""),6)&lt;&gt;"SAMPLE",Config!$B$19="Y")),IFERROR(N(INDEX(Clay_Brands!$A$2:$FZ$601,399,Sync!$D$12)),0),"")</f>
        <v/>
      </c>
      <c r="C4450" s="23" t="str">
        <f aca="false">IF(B4450="","","brand")</f>
        <v/>
      </c>
      <c r="D4450" s="23" t="str">
        <f aca="false">IF(B4450="","",IFERROR(INDEX(Brand_Log!$DV$2:$DV$201,MATCH(IFERROR(INDEX(Clay_Brands!$A$2:$FZ$601,399,Sync!$D$5)&amp;"",""),Brand_Log!$A$2:$A$201,0))&amp;"",IFERROR(INDEX(Clay_Brands!$A$2:$FZ$601,399,Sync!$D$5)&amp;"","")&amp;""))</f>
        <v/>
      </c>
      <c r="E4450" s="23" t="str">
        <f aca="false">IF(B4450="","",IFERROR(INDEX(Clay_Brands!$A$2:$FZ$601,399,Sync!$D$6)&amp;"",""))</f>
        <v/>
      </c>
      <c r="F4450" s="23" t="str">
        <f aca="false">IF(B4450="","","outreach_sent")</f>
        <v/>
      </c>
      <c r="G4450" s="23" t="str">
        <f aca="false">IF(B4450="","","")</f>
        <v/>
      </c>
      <c r="H4450" s="23" t="str">
        <f aca="false">IF(B4450="","","")</f>
        <v/>
      </c>
      <c r="I4450" s="23" t="str">
        <f aca="false">IF(B4450="","","")</f>
        <v/>
      </c>
      <c r="J4450" s="23" t="str">
        <f aca="false">IF(B4450="","","touch_2; "&amp;IFERROR(INDEX(Clay_Brands!$A$2:$FZ$601,399,Sync!$D$10)&amp;"","")&amp;"; "&amp;IFERROR(INDEX(Clay_Brands!$A$2:$FZ$601,399,Sync!$D$9)&amp;"",""))</f>
        <v/>
      </c>
      <c r="K4450" s="32" t="s">
        <v>1367</v>
      </c>
    </row>
    <row r="4451" customFormat="false" ht="15" hidden="false" customHeight="false" outlineLevel="0" collapsed="false">
      <c r="A4451" s="23" t="str">
        <f aca="false">IF(B4451="","",B4451+(16*1000+400)/10000000)</f>
        <v/>
      </c>
      <c r="B4451" s="35" t="str">
        <f aca="false">IF(AND(IFERROR(N(INDEX(Clay_Brands!$A$2:$FZ$601,400,Sync!$D$12)),0)&gt;0,IFERROR(INDEX(Clay_Brands!$A$2:$FZ$601,400,Sync!$D$5)&amp;"","")&lt;&gt;"",OR(LEFT(IFERROR(INDEX(Clay_Brands!$A$2:$FZ$601,400,Sync!$D$5)&amp;"",""),6)&lt;&gt;"SAMPLE",Config!$B$19="Y")),IFERROR(N(INDEX(Clay_Brands!$A$2:$FZ$601,400,Sync!$D$12)),0),"")</f>
        <v/>
      </c>
      <c r="C4451" s="23" t="str">
        <f aca="false">IF(B4451="","","brand")</f>
        <v/>
      </c>
      <c r="D4451" s="23" t="str">
        <f aca="false">IF(B4451="","",IFERROR(INDEX(Brand_Log!$DV$2:$DV$201,MATCH(IFERROR(INDEX(Clay_Brands!$A$2:$FZ$601,400,Sync!$D$5)&amp;"",""),Brand_Log!$A$2:$A$201,0))&amp;"",IFERROR(INDEX(Clay_Brands!$A$2:$FZ$601,400,Sync!$D$5)&amp;"","")&amp;""))</f>
        <v/>
      </c>
      <c r="E4451" s="23" t="str">
        <f aca="false">IF(B4451="","",IFERROR(INDEX(Clay_Brands!$A$2:$FZ$601,400,Sync!$D$6)&amp;"",""))</f>
        <v/>
      </c>
      <c r="F4451" s="23" t="str">
        <f aca="false">IF(B4451="","","outreach_sent")</f>
        <v/>
      </c>
      <c r="G4451" s="23" t="str">
        <f aca="false">IF(B4451="","","")</f>
        <v/>
      </c>
      <c r="H4451" s="23" t="str">
        <f aca="false">IF(B4451="","","")</f>
        <v/>
      </c>
      <c r="I4451" s="23" t="str">
        <f aca="false">IF(B4451="","","")</f>
        <v/>
      </c>
      <c r="J4451" s="23" t="str">
        <f aca="false">IF(B4451="","","touch_2; "&amp;IFERROR(INDEX(Clay_Brands!$A$2:$FZ$601,400,Sync!$D$10)&amp;"","")&amp;"; "&amp;IFERROR(INDEX(Clay_Brands!$A$2:$FZ$601,400,Sync!$D$9)&amp;"",""))</f>
        <v/>
      </c>
      <c r="K4451" s="32" t="s">
        <v>1367</v>
      </c>
    </row>
    <row r="4452" customFormat="false" ht="15" hidden="false" customHeight="false" outlineLevel="0" collapsed="false">
      <c r="A4452" s="23" t="str">
        <f aca="false">IF(B4452="","",B4452+(16*1000+401)/10000000)</f>
        <v/>
      </c>
      <c r="B4452" s="35" t="str">
        <f aca="false">IF(AND(IFERROR(N(INDEX(Clay_Brands!$A$2:$FZ$601,401,Sync!$D$12)),0)&gt;0,IFERROR(INDEX(Clay_Brands!$A$2:$FZ$601,401,Sync!$D$5)&amp;"","")&lt;&gt;"",OR(LEFT(IFERROR(INDEX(Clay_Brands!$A$2:$FZ$601,401,Sync!$D$5)&amp;"",""),6)&lt;&gt;"SAMPLE",Config!$B$19="Y")),IFERROR(N(INDEX(Clay_Brands!$A$2:$FZ$601,401,Sync!$D$12)),0),"")</f>
        <v/>
      </c>
      <c r="C4452" s="23" t="str">
        <f aca="false">IF(B4452="","","brand")</f>
        <v/>
      </c>
      <c r="D4452" s="23" t="str">
        <f aca="false">IF(B4452="","",IFERROR(INDEX(Brand_Log!$DV$2:$DV$201,MATCH(IFERROR(INDEX(Clay_Brands!$A$2:$FZ$601,401,Sync!$D$5)&amp;"",""),Brand_Log!$A$2:$A$201,0))&amp;"",IFERROR(INDEX(Clay_Brands!$A$2:$FZ$601,401,Sync!$D$5)&amp;"","")&amp;""))</f>
        <v/>
      </c>
      <c r="E4452" s="23" t="str">
        <f aca="false">IF(B4452="","",IFERROR(INDEX(Clay_Brands!$A$2:$FZ$601,401,Sync!$D$6)&amp;"",""))</f>
        <v/>
      </c>
      <c r="F4452" s="23" t="str">
        <f aca="false">IF(B4452="","","outreach_sent")</f>
        <v/>
      </c>
      <c r="G4452" s="23" t="str">
        <f aca="false">IF(B4452="","","")</f>
        <v/>
      </c>
      <c r="H4452" s="23" t="str">
        <f aca="false">IF(B4452="","","")</f>
        <v/>
      </c>
      <c r="I4452" s="23" t="str">
        <f aca="false">IF(B4452="","","")</f>
        <v/>
      </c>
      <c r="J4452" s="23" t="str">
        <f aca="false">IF(B4452="","","touch_2; "&amp;IFERROR(INDEX(Clay_Brands!$A$2:$FZ$601,401,Sync!$D$10)&amp;"","")&amp;"; "&amp;IFERROR(INDEX(Clay_Brands!$A$2:$FZ$601,401,Sync!$D$9)&amp;"",""))</f>
        <v/>
      </c>
      <c r="K4452" s="32" t="s">
        <v>1367</v>
      </c>
    </row>
    <row r="4453" customFormat="false" ht="15" hidden="false" customHeight="false" outlineLevel="0" collapsed="false">
      <c r="A4453" s="23" t="str">
        <f aca="false">IF(B4453="","",B4453+(16*1000+402)/10000000)</f>
        <v/>
      </c>
      <c r="B4453" s="35" t="str">
        <f aca="false">IF(AND(IFERROR(N(INDEX(Clay_Brands!$A$2:$FZ$601,402,Sync!$D$12)),0)&gt;0,IFERROR(INDEX(Clay_Brands!$A$2:$FZ$601,402,Sync!$D$5)&amp;"","")&lt;&gt;"",OR(LEFT(IFERROR(INDEX(Clay_Brands!$A$2:$FZ$601,402,Sync!$D$5)&amp;"",""),6)&lt;&gt;"SAMPLE",Config!$B$19="Y")),IFERROR(N(INDEX(Clay_Brands!$A$2:$FZ$601,402,Sync!$D$12)),0),"")</f>
        <v/>
      </c>
      <c r="C4453" s="23" t="str">
        <f aca="false">IF(B4453="","","brand")</f>
        <v/>
      </c>
      <c r="D4453" s="23" t="str">
        <f aca="false">IF(B4453="","",IFERROR(INDEX(Brand_Log!$DV$2:$DV$201,MATCH(IFERROR(INDEX(Clay_Brands!$A$2:$FZ$601,402,Sync!$D$5)&amp;"",""),Brand_Log!$A$2:$A$201,0))&amp;"",IFERROR(INDEX(Clay_Brands!$A$2:$FZ$601,402,Sync!$D$5)&amp;"","")&amp;""))</f>
        <v/>
      </c>
      <c r="E4453" s="23" t="str">
        <f aca="false">IF(B4453="","",IFERROR(INDEX(Clay_Brands!$A$2:$FZ$601,402,Sync!$D$6)&amp;"",""))</f>
        <v/>
      </c>
      <c r="F4453" s="23" t="str">
        <f aca="false">IF(B4453="","","outreach_sent")</f>
        <v/>
      </c>
      <c r="G4453" s="23" t="str">
        <f aca="false">IF(B4453="","","")</f>
        <v/>
      </c>
      <c r="H4453" s="23" t="str">
        <f aca="false">IF(B4453="","","")</f>
        <v/>
      </c>
      <c r="I4453" s="23" t="str">
        <f aca="false">IF(B4453="","","")</f>
        <v/>
      </c>
      <c r="J4453" s="23" t="str">
        <f aca="false">IF(B4453="","","touch_2; "&amp;IFERROR(INDEX(Clay_Brands!$A$2:$FZ$601,402,Sync!$D$10)&amp;"","")&amp;"; "&amp;IFERROR(INDEX(Clay_Brands!$A$2:$FZ$601,402,Sync!$D$9)&amp;"",""))</f>
        <v/>
      </c>
      <c r="K4453" s="32" t="s">
        <v>1367</v>
      </c>
    </row>
    <row r="4454" customFormat="false" ht="15" hidden="false" customHeight="false" outlineLevel="0" collapsed="false">
      <c r="A4454" s="23" t="str">
        <f aca="false">IF(B4454="","",B4454+(16*1000+403)/10000000)</f>
        <v/>
      </c>
      <c r="B4454" s="35" t="str">
        <f aca="false">IF(AND(IFERROR(N(INDEX(Clay_Brands!$A$2:$FZ$601,403,Sync!$D$12)),0)&gt;0,IFERROR(INDEX(Clay_Brands!$A$2:$FZ$601,403,Sync!$D$5)&amp;"","")&lt;&gt;"",OR(LEFT(IFERROR(INDEX(Clay_Brands!$A$2:$FZ$601,403,Sync!$D$5)&amp;"",""),6)&lt;&gt;"SAMPLE",Config!$B$19="Y")),IFERROR(N(INDEX(Clay_Brands!$A$2:$FZ$601,403,Sync!$D$12)),0),"")</f>
        <v/>
      </c>
      <c r="C4454" s="23" t="str">
        <f aca="false">IF(B4454="","","brand")</f>
        <v/>
      </c>
      <c r="D4454" s="23" t="str">
        <f aca="false">IF(B4454="","",IFERROR(INDEX(Brand_Log!$DV$2:$DV$201,MATCH(IFERROR(INDEX(Clay_Brands!$A$2:$FZ$601,403,Sync!$D$5)&amp;"",""),Brand_Log!$A$2:$A$201,0))&amp;"",IFERROR(INDEX(Clay_Brands!$A$2:$FZ$601,403,Sync!$D$5)&amp;"","")&amp;""))</f>
        <v/>
      </c>
      <c r="E4454" s="23" t="str">
        <f aca="false">IF(B4454="","",IFERROR(INDEX(Clay_Brands!$A$2:$FZ$601,403,Sync!$D$6)&amp;"",""))</f>
        <v/>
      </c>
      <c r="F4454" s="23" t="str">
        <f aca="false">IF(B4454="","","outreach_sent")</f>
        <v/>
      </c>
      <c r="G4454" s="23" t="str">
        <f aca="false">IF(B4454="","","")</f>
        <v/>
      </c>
      <c r="H4454" s="23" t="str">
        <f aca="false">IF(B4454="","","")</f>
        <v/>
      </c>
      <c r="I4454" s="23" t="str">
        <f aca="false">IF(B4454="","","")</f>
        <v/>
      </c>
      <c r="J4454" s="23" t="str">
        <f aca="false">IF(B4454="","","touch_2; "&amp;IFERROR(INDEX(Clay_Brands!$A$2:$FZ$601,403,Sync!$D$10)&amp;"","")&amp;"; "&amp;IFERROR(INDEX(Clay_Brands!$A$2:$FZ$601,403,Sync!$D$9)&amp;"",""))</f>
        <v/>
      </c>
      <c r="K4454" s="32" t="s">
        <v>1367</v>
      </c>
    </row>
    <row r="4455" customFormat="false" ht="15" hidden="false" customHeight="false" outlineLevel="0" collapsed="false">
      <c r="A4455" s="23" t="str">
        <f aca="false">IF(B4455="","",B4455+(16*1000+404)/10000000)</f>
        <v/>
      </c>
      <c r="B4455" s="35" t="str">
        <f aca="false">IF(AND(IFERROR(N(INDEX(Clay_Brands!$A$2:$FZ$601,404,Sync!$D$12)),0)&gt;0,IFERROR(INDEX(Clay_Brands!$A$2:$FZ$601,404,Sync!$D$5)&amp;"","")&lt;&gt;"",OR(LEFT(IFERROR(INDEX(Clay_Brands!$A$2:$FZ$601,404,Sync!$D$5)&amp;"",""),6)&lt;&gt;"SAMPLE",Config!$B$19="Y")),IFERROR(N(INDEX(Clay_Brands!$A$2:$FZ$601,404,Sync!$D$12)),0),"")</f>
        <v/>
      </c>
      <c r="C4455" s="23" t="str">
        <f aca="false">IF(B4455="","","brand")</f>
        <v/>
      </c>
      <c r="D4455" s="23" t="str">
        <f aca="false">IF(B4455="","",IFERROR(INDEX(Brand_Log!$DV$2:$DV$201,MATCH(IFERROR(INDEX(Clay_Brands!$A$2:$FZ$601,404,Sync!$D$5)&amp;"",""),Brand_Log!$A$2:$A$201,0))&amp;"",IFERROR(INDEX(Clay_Brands!$A$2:$FZ$601,404,Sync!$D$5)&amp;"","")&amp;""))</f>
        <v/>
      </c>
      <c r="E4455" s="23" t="str">
        <f aca="false">IF(B4455="","",IFERROR(INDEX(Clay_Brands!$A$2:$FZ$601,404,Sync!$D$6)&amp;"",""))</f>
        <v/>
      </c>
      <c r="F4455" s="23" t="str">
        <f aca="false">IF(B4455="","","outreach_sent")</f>
        <v/>
      </c>
      <c r="G4455" s="23" t="str">
        <f aca="false">IF(B4455="","","")</f>
        <v/>
      </c>
      <c r="H4455" s="23" t="str">
        <f aca="false">IF(B4455="","","")</f>
        <v/>
      </c>
      <c r="I4455" s="23" t="str">
        <f aca="false">IF(B4455="","","")</f>
        <v/>
      </c>
      <c r="J4455" s="23" t="str">
        <f aca="false">IF(B4455="","","touch_2; "&amp;IFERROR(INDEX(Clay_Brands!$A$2:$FZ$601,404,Sync!$D$10)&amp;"","")&amp;"; "&amp;IFERROR(INDEX(Clay_Brands!$A$2:$FZ$601,404,Sync!$D$9)&amp;"",""))</f>
        <v/>
      </c>
      <c r="K4455" s="32" t="s">
        <v>1367</v>
      </c>
    </row>
    <row r="4456" customFormat="false" ht="15" hidden="false" customHeight="false" outlineLevel="0" collapsed="false">
      <c r="A4456" s="23" t="str">
        <f aca="false">IF(B4456="","",B4456+(16*1000+405)/10000000)</f>
        <v/>
      </c>
      <c r="B4456" s="35" t="str">
        <f aca="false">IF(AND(IFERROR(N(INDEX(Clay_Brands!$A$2:$FZ$601,405,Sync!$D$12)),0)&gt;0,IFERROR(INDEX(Clay_Brands!$A$2:$FZ$601,405,Sync!$D$5)&amp;"","")&lt;&gt;"",OR(LEFT(IFERROR(INDEX(Clay_Brands!$A$2:$FZ$601,405,Sync!$D$5)&amp;"",""),6)&lt;&gt;"SAMPLE",Config!$B$19="Y")),IFERROR(N(INDEX(Clay_Brands!$A$2:$FZ$601,405,Sync!$D$12)),0),"")</f>
        <v/>
      </c>
      <c r="C4456" s="23" t="str">
        <f aca="false">IF(B4456="","","brand")</f>
        <v/>
      </c>
      <c r="D4456" s="23" t="str">
        <f aca="false">IF(B4456="","",IFERROR(INDEX(Brand_Log!$DV$2:$DV$201,MATCH(IFERROR(INDEX(Clay_Brands!$A$2:$FZ$601,405,Sync!$D$5)&amp;"",""),Brand_Log!$A$2:$A$201,0))&amp;"",IFERROR(INDEX(Clay_Brands!$A$2:$FZ$601,405,Sync!$D$5)&amp;"","")&amp;""))</f>
        <v/>
      </c>
      <c r="E4456" s="23" t="str">
        <f aca="false">IF(B4456="","",IFERROR(INDEX(Clay_Brands!$A$2:$FZ$601,405,Sync!$D$6)&amp;"",""))</f>
        <v/>
      </c>
      <c r="F4456" s="23" t="str">
        <f aca="false">IF(B4456="","","outreach_sent")</f>
        <v/>
      </c>
      <c r="G4456" s="23" t="str">
        <f aca="false">IF(B4456="","","")</f>
        <v/>
      </c>
      <c r="H4456" s="23" t="str">
        <f aca="false">IF(B4456="","","")</f>
        <v/>
      </c>
      <c r="I4456" s="23" t="str">
        <f aca="false">IF(B4456="","","")</f>
        <v/>
      </c>
      <c r="J4456" s="23" t="str">
        <f aca="false">IF(B4456="","","touch_2; "&amp;IFERROR(INDEX(Clay_Brands!$A$2:$FZ$601,405,Sync!$D$10)&amp;"","")&amp;"; "&amp;IFERROR(INDEX(Clay_Brands!$A$2:$FZ$601,405,Sync!$D$9)&amp;"",""))</f>
        <v/>
      </c>
      <c r="K4456" s="32" t="s">
        <v>1367</v>
      </c>
    </row>
    <row r="4457" customFormat="false" ht="15" hidden="false" customHeight="false" outlineLevel="0" collapsed="false">
      <c r="A4457" s="23" t="str">
        <f aca="false">IF(B4457="","",B4457+(16*1000+406)/10000000)</f>
        <v/>
      </c>
      <c r="B4457" s="35" t="str">
        <f aca="false">IF(AND(IFERROR(N(INDEX(Clay_Brands!$A$2:$FZ$601,406,Sync!$D$12)),0)&gt;0,IFERROR(INDEX(Clay_Brands!$A$2:$FZ$601,406,Sync!$D$5)&amp;"","")&lt;&gt;"",OR(LEFT(IFERROR(INDEX(Clay_Brands!$A$2:$FZ$601,406,Sync!$D$5)&amp;"",""),6)&lt;&gt;"SAMPLE",Config!$B$19="Y")),IFERROR(N(INDEX(Clay_Brands!$A$2:$FZ$601,406,Sync!$D$12)),0),"")</f>
        <v/>
      </c>
      <c r="C4457" s="23" t="str">
        <f aca="false">IF(B4457="","","brand")</f>
        <v/>
      </c>
      <c r="D4457" s="23" t="str">
        <f aca="false">IF(B4457="","",IFERROR(INDEX(Brand_Log!$DV$2:$DV$201,MATCH(IFERROR(INDEX(Clay_Brands!$A$2:$FZ$601,406,Sync!$D$5)&amp;"",""),Brand_Log!$A$2:$A$201,0))&amp;"",IFERROR(INDEX(Clay_Brands!$A$2:$FZ$601,406,Sync!$D$5)&amp;"","")&amp;""))</f>
        <v/>
      </c>
      <c r="E4457" s="23" t="str">
        <f aca="false">IF(B4457="","",IFERROR(INDEX(Clay_Brands!$A$2:$FZ$601,406,Sync!$D$6)&amp;"",""))</f>
        <v/>
      </c>
      <c r="F4457" s="23" t="str">
        <f aca="false">IF(B4457="","","outreach_sent")</f>
        <v/>
      </c>
      <c r="G4457" s="23" t="str">
        <f aca="false">IF(B4457="","","")</f>
        <v/>
      </c>
      <c r="H4457" s="23" t="str">
        <f aca="false">IF(B4457="","","")</f>
        <v/>
      </c>
      <c r="I4457" s="23" t="str">
        <f aca="false">IF(B4457="","","")</f>
        <v/>
      </c>
      <c r="J4457" s="23" t="str">
        <f aca="false">IF(B4457="","","touch_2; "&amp;IFERROR(INDEX(Clay_Brands!$A$2:$FZ$601,406,Sync!$D$10)&amp;"","")&amp;"; "&amp;IFERROR(INDEX(Clay_Brands!$A$2:$FZ$601,406,Sync!$D$9)&amp;"",""))</f>
        <v/>
      </c>
      <c r="K4457" s="32" t="s">
        <v>1367</v>
      </c>
    </row>
    <row r="4458" customFormat="false" ht="15" hidden="false" customHeight="false" outlineLevel="0" collapsed="false">
      <c r="A4458" s="23" t="str">
        <f aca="false">IF(B4458="","",B4458+(16*1000+407)/10000000)</f>
        <v/>
      </c>
      <c r="B4458" s="35" t="str">
        <f aca="false">IF(AND(IFERROR(N(INDEX(Clay_Brands!$A$2:$FZ$601,407,Sync!$D$12)),0)&gt;0,IFERROR(INDEX(Clay_Brands!$A$2:$FZ$601,407,Sync!$D$5)&amp;"","")&lt;&gt;"",OR(LEFT(IFERROR(INDEX(Clay_Brands!$A$2:$FZ$601,407,Sync!$D$5)&amp;"",""),6)&lt;&gt;"SAMPLE",Config!$B$19="Y")),IFERROR(N(INDEX(Clay_Brands!$A$2:$FZ$601,407,Sync!$D$12)),0),"")</f>
        <v/>
      </c>
      <c r="C4458" s="23" t="str">
        <f aca="false">IF(B4458="","","brand")</f>
        <v/>
      </c>
      <c r="D4458" s="23" t="str">
        <f aca="false">IF(B4458="","",IFERROR(INDEX(Brand_Log!$DV$2:$DV$201,MATCH(IFERROR(INDEX(Clay_Brands!$A$2:$FZ$601,407,Sync!$D$5)&amp;"",""),Brand_Log!$A$2:$A$201,0))&amp;"",IFERROR(INDEX(Clay_Brands!$A$2:$FZ$601,407,Sync!$D$5)&amp;"","")&amp;""))</f>
        <v/>
      </c>
      <c r="E4458" s="23" t="str">
        <f aca="false">IF(B4458="","",IFERROR(INDEX(Clay_Brands!$A$2:$FZ$601,407,Sync!$D$6)&amp;"",""))</f>
        <v/>
      </c>
      <c r="F4458" s="23" t="str">
        <f aca="false">IF(B4458="","","outreach_sent")</f>
        <v/>
      </c>
      <c r="G4458" s="23" t="str">
        <f aca="false">IF(B4458="","","")</f>
        <v/>
      </c>
      <c r="H4458" s="23" t="str">
        <f aca="false">IF(B4458="","","")</f>
        <v/>
      </c>
      <c r="I4458" s="23" t="str">
        <f aca="false">IF(B4458="","","")</f>
        <v/>
      </c>
      <c r="J4458" s="23" t="str">
        <f aca="false">IF(B4458="","","touch_2; "&amp;IFERROR(INDEX(Clay_Brands!$A$2:$FZ$601,407,Sync!$D$10)&amp;"","")&amp;"; "&amp;IFERROR(INDEX(Clay_Brands!$A$2:$FZ$601,407,Sync!$D$9)&amp;"",""))</f>
        <v/>
      </c>
      <c r="K4458" s="32" t="s">
        <v>1367</v>
      </c>
    </row>
    <row r="4459" customFormat="false" ht="15" hidden="false" customHeight="false" outlineLevel="0" collapsed="false">
      <c r="A4459" s="23" t="str">
        <f aca="false">IF(B4459="","",B4459+(16*1000+408)/10000000)</f>
        <v/>
      </c>
      <c r="B4459" s="35" t="str">
        <f aca="false">IF(AND(IFERROR(N(INDEX(Clay_Brands!$A$2:$FZ$601,408,Sync!$D$12)),0)&gt;0,IFERROR(INDEX(Clay_Brands!$A$2:$FZ$601,408,Sync!$D$5)&amp;"","")&lt;&gt;"",OR(LEFT(IFERROR(INDEX(Clay_Brands!$A$2:$FZ$601,408,Sync!$D$5)&amp;"",""),6)&lt;&gt;"SAMPLE",Config!$B$19="Y")),IFERROR(N(INDEX(Clay_Brands!$A$2:$FZ$601,408,Sync!$D$12)),0),"")</f>
        <v/>
      </c>
      <c r="C4459" s="23" t="str">
        <f aca="false">IF(B4459="","","brand")</f>
        <v/>
      </c>
      <c r="D4459" s="23" t="str">
        <f aca="false">IF(B4459="","",IFERROR(INDEX(Brand_Log!$DV$2:$DV$201,MATCH(IFERROR(INDEX(Clay_Brands!$A$2:$FZ$601,408,Sync!$D$5)&amp;"",""),Brand_Log!$A$2:$A$201,0))&amp;"",IFERROR(INDEX(Clay_Brands!$A$2:$FZ$601,408,Sync!$D$5)&amp;"","")&amp;""))</f>
        <v/>
      </c>
      <c r="E4459" s="23" t="str">
        <f aca="false">IF(B4459="","",IFERROR(INDEX(Clay_Brands!$A$2:$FZ$601,408,Sync!$D$6)&amp;"",""))</f>
        <v/>
      </c>
      <c r="F4459" s="23" t="str">
        <f aca="false">IF(B4459="","","outreach_sent")</f>
        <v/>
      </c>
      <c r="G4459" s="23" t="str">
        <f aca="false">IF(B4459="","","")</f>
        <v/>
      </c>
      <c r="H4459" s="23" t="str">
        <f aca="false">IF(B4459="","","")</f>
        <v/>
      </c>
      <c r="I4459" s="23" t="str">
        <f aca="false">IF(B4459="","","")</f>
        <v/>
      </c>
      <c r="J4459" s="23" t="str">
        <f aca="false">IF(B4459="","","touch_2; "&amp;IFERROR(INDEX(Clay_Brands!$A$2:$FZ$601,408,Sync!$D$10)&amp;"","")&amp;"; "&amp;IFERROR(INDEX(Clay_Brands!$A$2:$FZ$601,408,Sync!$D$9)&amp;"",""))</f>
        <v/>
      </c>
      <c r="K4459" s="32" t="s">
        <v>1367</v>
      </c>
    </row>
    <row r="4460" customFormat="false" ht="15" hidden="false" customHeight="false" outlineLevel="0" collapsed="false">
      <c r="A4460" s="23" t="str">
        <f aca="false">IF(B4460="","",B4460+(16*1000+409)/10000000)</f>
        <v/>
      </c>
      <c r="B4460" s="35" t="str">
        <f aca="false">IF(AND(IFERROR(N(INDEX(Clay_Brands!$A$2:$FZ$601,409,Sync!$D$12)),0)&gt;0,IFERROR(INDEX(Clay_Brands!$A$2:$FZ$601,409,Sync!$D$5)&amp;"","")&lt;&gt;"",OR(LEFT(IFERROR(INDEX(Clay_Brands!$A$2:$FZ$601,409,Sync!$D$5)&amp;"",""),6)&lt;&gt;"SAMPLE",Config!$B$19="Y")),IFERROR(N(INDEX(Clay_Brands!$A$2:$FZ$601,409,Sync!$D$12)),0),"")</f>
        <v/>
      </c>
      <c r="C4460" s="23" t="str">
        <f aca="false">IF(B4460="","","brand")</f>
        <v/>
      </c>
      <c r="D4460" s="23" t="str">
        <f aca="false">IF(B4460="","",IFERROR(INDEX(Brand_Log!$DV$2:$DV$201,MATCH(IFERROR(INDEX(Clay_Brands!$A$2:$FZ$601,409,Sync!$D$5)&amp;"",""),Brand_Log!$A$2:$A$201,0))&amp;"",IFERROR(INDEX(Clay_Brands!$A$2:$FZ$601,409,Sync!$D$5)&amp;"","")&amp;""))</f>
        <v/>
      </c>
      <c r="E4460" s="23" t="str">
        <f aca="false">IF(B4460="","",IFERROR(INDEX(Clay_Brands!$A$2:$FZ$601,409,Sync!$D$6)&amp;"",""))</f>
        <v/>
      </c>
      <c r="F4460" s="23" t="str">
        <f aca="false">IF(B4460="","","outreach_sent")</f>
        <v/>
      </c>
      <c r="G4460" s="23" t="str">
        <f aca="false">IF(B4460="","","")</f>
        <v/>
      </c>
      <c r="H4460" s="23" t="str">
        <f aca="false">IF(B4460="","","")</f>
        <v/>
      </c>
      <c r="I4460" s="23" t="str">
        <f aca="false">IF(B4460="","","")</f>
        <v/>
      </c>
      <c r="J4460" s="23" t="str">
        <f aca="false">IF(B4460="","","touch_2; "&amp;IFERROR(INDEX(Clay_Brands!$A$2:$FZ$601,409,Sync!$D$10)&amp;"","")&amp;"; "&amp;IFERROR(INDEX(Clay_Brands!$A$2:$FZ$601,409,Sync!$D$9)&amp;"",""))</f>
        <v/>
      </c>
      <c r="K4460" s="32" t="s">
        <v>1367</v>
      </c>
    </row>
    <row r="4461" customFormat="false" ht="15" hidden="false" customHeight="false" outlineLevel="0" collapsed="false">
      <c r="A4461" s="23" t="str">
        <f aca="false">IF(B4461="","",B4461+(16*1000+410)/10000000)</f>
        <v/>
      </c>
      <c r="B4461" s="35" t="str">
        <f aca="false">IF(AND(IFERROR(N(INDEX(Clay_Brands!$A$2:$FZ$601,410,Sync!$D$12)),0)&gt;0,IFERROR(INDEX(Clay_Brands!$A$2:$FZ$601,410,Sync!$D$5)&amp;"","")&lt;&gt;"",OR(LEFT(IFERROR(INDEX(Clay_Brands!$A$2:$FZ$601,410,Sync!$D$5)&amp;"",""),6)&lt;&gt;"SAMPLE",Config!$B$19="Y")),IFERROR(N(INDEX(Clay_Brands!$A$2:$FZ$601,410,Sync!$D$12)),0),"")</f>
        <v/>
      </c>
      <c r="C4461" s="23" t="str">
        <f aca="false">IF(B4461="","","brand")</f>
        <v/>
      </c>
      <c r="D4461" s="23" t="str">
        <f aca="false">IF(B4461="","",IFERROR(INDEX(Brand_Log!$DV$2:$DV$201,MATCH(IFERROR(INDEX(Clay_Brands!$A$2:$FZ$601,410,Sync!$D$5)&amp;"",""),Brand_Log!$A$2:$A$201,0))&amp;"",IFERROR(INDEX(Clay_Brands!$A$2:$FZ$601,410,Sync!$D$5)&amp;"","")&amp;""))</f>
        <v/>
      </c>
      <c r="E4461" s="23" t="str">
        <f aca="false">IF(B4461="","",IFERROR(INDEX(Clay_Brands!$A$2:$FZ$601,410,Sync!$D$6)&amp;"",""))</f>
        <v/>
      </c>
      <c r="F4461" s="23" t="str">
        <f aca="false">IF(B4461="","","outreach_sent")</f>
        <v/>
      </c>
      <c r="G4461" s="23" t="str">
        <f aca="false">IF(B4461="","","")</f>
        <v/>
      </c>
      <c r="H4461" s="23" t="str">
        <f aca="false">IF(B4461="","","")</f>
        <v/>
      </c>
      <c r="I4461" s="23" t="str">
        <f aca="false">IF(B4461="","","")</f>
        <v/>
      </c>
      <c r="J4461" s="23" t="str">
        <f aca="false">IF(B4461="","","touch_2; "&amp;IFERROR(INDEX(Clay_Brands!$A$2:$FZ$601,410,Sync!$D$10)&amp;"","")&amp;"; "&amp;IFERROR(INDEX(Clay_Brands!$A$2:$FZ$601,410,Sync!$D$9)&amp;"",""))</f>
        <v/>
      </c>
      <c r="K4461" s="32" t="s">
        <v>1367</v>
      </c>
    </row>
    <row r="4462" customFormat="false" ht="15" hidden="false" customHeight="false" outlineLevel="0" collapsed="false">
      <c r="A4462" s="23" t="str">
        <f aca="false">IF(B4462="","",B4462+(16*1000+411)/10000000)</f>
        <v/>
      </c>
      <c r="B4462" s="35" t="str">
        <f aca="false">IF(AND(IFERROR(N(INDEX(Clay_Brands!$A$2:$FZ$601,411,Sync!$D$12)),0)&gt;0,IFERROR(INDEX(Clay_Brands!$A$2:$FZ$601,411,Sync!$D$5)&amp;"","")&lt;&gt;"",OR(LEFT(IFERROR(INDEX(Clay_Brands!$A$2:$FZ$601,411,Sync!$D$5)&amp;"",""),6)&lt;&gt;"SAMPLE",Config!$B$19="Y")),IFERROR(N(INDEX(Clay_Brands!$A$2:$FZ$601,411,Sync!$D$12)),0),"")</f>
        <v/>
      </c>
      <c r="C4462" s="23" t="str">
        <f aca="false">IF(B4462="","","brand")</f>
        <v/>
      </c>
      <c r="D4462" s="23" t="str">
        <f aca="false">IF(B4462="","",IFERROR(INDEX(Brand_Log!$DV$2:$DV$201,MATCH(IFERROR(INDEX(Clay_Brands!$A$2:$FZ$601,411,Sync!$D$5)&amp;"",""),Brand_Log!$A$2:$A$201,0))&amp;"",IFERROR(INDEX(Clay_Brands!$A$2:$FZ$601,411,Sync!$D$5)&amp;"","")&amp;""))</f>
        <v/>
      </c>
      <c r="E4462" s="23" t="str">
        <f aca="false">IF(B4462="","",IFERROR(INDEX(Clay_Brands!$A$2:$FZ$601,411,Sync!$D$6)&amp;"",""))</f>
        <v/>
      </c>
      <c r="F4462" s="23" t="str">
        <f aca="false">IF(B4462="","","outreach_sent")</f>
        <v/>
      </c>
      <c r="G4462" s="23" t="str">
        <f aca="false">IF(B4462="","","")</f>
        <v/>
      </c>
      <c r="H4462" s="23" t="str">
        <f aca="false">IF(B4462="","","")</f>
        <v/>
      </c>
      <c r="I4462" s="23" t="str">
        <f aca="false">IF(B4462="","","")</f>
        <v/>
      </c>
      <c r="J4462" s="23" t="str">
        <f aca="false">IF(B4462="","","touch_2; "&amp;IFERROR(INDEX(Clay_Brands!$A$2:$FZ$601,411,Sync!$D$10)&amp;"","")&amp;"; "&amp;IFERROR(INDEX(Clay_Brands!$A$2:$FZ$601,411,Sync!$D$9)&amp;"",""))</f>
        <v/>
      </c>
      <c r="K4462" s="32" t="s">
        <v>1367</v>
      </c>
    </row>
    <row r="4463" customFormat="false" ht="15" hidden="false" customHeight="false" outlineLevel="0" collapsed="false">
      <c r="A4463" s="23" t="str">
        <f aca="false">IF(B4463="","",B4463+(16*1000+412)/10000000)</f>
        <v/>
      </c>
      <c r="B4463" s="35" t="str">
        <f aca="false">IF(AND(IFERROR(N(INDEX(Clay_Brands!$A$2:$FZ$601,412,Sync!$D$12)),0)&gt;0,IFERROR(INDEX(Clay_Brands!$A$2:$FZ$601,412,Sync!$D$5)&amp;"","")&lt;&gt;"",OR(LEFT(IFERROR(INDEX(Clay_Brands!$A$2:$FZ$601,412,Sync!$D$5)&amp;"",""),6)&lt;&gt;"SAMPLE",Config!$B$19="Y")),IFERROR(N(INDEX(Clay_Brands!$A$2:$FZ$601,412,Sync!$D$12)),0),"")</f>
        <v/>
      </c>
      <c r="C4463" s="23" t="str">
        <f aca="false">IF(B4463="","","brand")</f>
        <v/>
      </c>
      <c r="D4463" s="23" t="str">
        <f aca="false">IF(B4463="","",IFERROR(INDEX(Brand_Log!$DV$2:$DV$201,MATCH(IFERROR(INDEX(Clay_Brands!$A$2:$FZ$601,412,Sync!$D$5)&amp;"",""),Brand_Log!$A$2:$A$201,0))&amp;"",IFERROR(INDEX(Clay_Brands!$A$2:$FZ$601,412,Sync!$D$5)&amp;"","")&amp;""))</f>
        <v/>
      </c>
      <c r="E4463" s="23" t="str">
        <f aca="false">IF(B4463="","",IFERROR(INDEX(Clay_Brands!$A$2:$FZ$601,412,Sync!$D$6)&amp;"",""))</f>
        <v/>
      </c>
      <c r="F4463" s="23" t="str">
        <f aca="false">IF(B4463="","","outreach_sent")</f>
        <v/>
      </c>
      <c r="G4463" s="23" t="str">
        <f aca="false">IF(B4463="","","")</f>
        <v/>
      </c>
      <c r="H4463" s="23" t="str">
        <f aca="false">IF(B4463="","","")</f>
        <v/>
      </c>
      <c r="I4463" s="23" t="str">
        <f aca="false">IF(B4463="","","")</f>
        <v/>
      </c>
      <c r="J4463" s="23" t="str">
        <f aca="false">IF(B4463="","","touch_2; "&amp;IFERROR(INDEX(Clay_Brands!$A$2:$FZ$601,412,Sync!$D$10)&amp;"","")&amp;"; "&amp;IFERROR(INDEX(Clay_Brands!$A$2:$FZ$601,412,Sync!$D$9)&amp;"",""))</f>
        <v/>
      </c>
      <c r="K4463" s="32" t="s">
        <v>1367</v>
      </c>
    </row>
    <row r="4464" customFormat="false" ht="15" hidden="false" customHeight="false" outlineLevel="0" collapsed="false">
      <c r="A4464" s="23" t="str">
        <f aca="false">IF(B4464="","",B4464+(16*1000+413)/10000000)</f>
        <v/>
      </c>
      <c r="B4464" s="35" t="str">
        <f aca="false">IF(AND(IFERROR(N(INDEX(Clay_Brands!$A$2:$FZ$601,413,Sync!$D$12)),0)&gt;0,IFERROR(INDEX(Clay_Brands!$A$2:$FZ$601,413,Sync!$D$5)&amp;"","")&lt;&gt;"",OR(LEFT(IFERROR(INDEX(Clay_Brands!$A$2:$FZ$601,413,Sync!$D$5)&amp;"",""),6)&lt;&gt;"SAMPLE",Config!$B$19="Y")),IFERROR(N(INDEX(Clay_Brands!$A$2:$FZ$601,413,Sync!$D$12)),0),"")</f>
        <v/>
      </c>
      <c r="C4464" s="23" t="str">
        <f aca="false">IF(B4464="","","brand")</f>
        <v/>
      </c>
      <c r="D4464" s="23" t="str">
        <f aca="false">IF(B4464="","",IFERROR(INDEX(Brand_Log!$DV$2:$DV$201,MATCH(IFERROR(INDEX(Clay_Brands!$A$2:$FZ$601,413,Sync!$D$5)&amp;"",""),Brand_Log!$A$2:$A$201,0))&amp;"",IFERROR(INDEX(Clay_Brands!$A$2:$FZ$601,413,Sync!$D$5)&amp;"","")&amp;""))</f>
        <v/>
      </c>
      <c r="E4464" s="23" t="str">
        <f aca="false">IF(B4464="","",IFERROR(INDEX(Clay_Brands!$A$2:$FZ$601,413,Sync!$D$6)&amp;"",""))</f>
        <v/>
      </c>
      <c r="F4464" s="23" t="str">
        <f aca="false">IF(B4464="","","outreach_sent")</f>
        <v/>
      </c>
      <c r="G4464" s="23" t="str">
        <f aca="false">IF(B4464="","","")</f>
        <v/>
      </c>
      <c r="H4464" s="23" t="str">
        <f aca="false">IF(B4464="","","")</f>
        <v/>
      </c>
      <c r="I4464" s="23" t="str">
        <f aca="false">IF(B4464="","","")</f>
        <v/>
      </c>
      <c r="J4464" s="23" t="str">
        <f aca="false">IF(B4464="","","touch_2; "&amp;IFERROR(INDEX(Clay_Brands!$A$2:$FZ$601,413,Sync!$D$10)&amp;"","")&amp;"; "&amp;IFERROR(INDEX(Clay_Brands!$A$2:$FZ$601,413,Sync!$D$9)&amp;"",""))</f>
        <v/>
      </c>
      <c r="K4464" s="32" t="s">
        <v>1367</v>
      </c>
    </row>
    <row r="4465" customFormat="false" ht="15" hidden="false" customHeight="false" outlineLevel="0" collapsed="false">
      <c r="A4465" s="23" t="str">
        <f aca="false">IF(B4465="","",B4465+(16*1000+414)/10000000)</f>
        <v/>
      </c>
      <c r="B4465" s="35" t="str">
        <f aca="false">IF(AND(IFERROR(N(INDEX(Clay_Brands!$A$2:$FZ$601,414,Sync!$D$12)),0)&gt;0,IFERROR(INDEX(Clay_Brands!$A$2:$FZ$601,414,Sync!$D$5)&amp;"","")&lt;&gt;"",OR(LEFT(IFERROR(INDEX(Clay_Brands!$A$2:$FZ$601,414,Sync!$D$5)&amp;"",""),6)&lt;&gt;"SAMPLE",Config!$B$19="Y")),IFERROR(N(INDEX(Clay_Brands!$A$2:$FZ$601,414,Sync!$D$12)),0),"")</f>
        <v/>
      </c>
      <c r="C4465" s="23" t="str">
        <f aca="false">IF(B4465="","","brand")</f>
        <v/>
      </c>
      <c r="D4465" s="23" t="str">
        <f aca="false">IF(B4465="","",IFERROR(INDEX(Brand_Log!$DV$2:$DV$201,MATCH(IFERROR(INDEX(Clay_Brands!$A$2:$FZ$601,414,Sync!$D$5)&amp;"",""),Brand_Log!$A$2:$A$201,0))&amp;"",IFERROR(INDEX(Clay_Brands!$A$2:$FZ$601,414,Sync!$D$5)&amp;"","")&amp;""))</f>
        <v/>
      </c>
      <c r="E4465" s="23" t="str">
        <f aca="false">IF(B4465="","",IFERROR(INDEX(Clay_Brands!$A$2:$FZ$601,414,Sync!$D$6)&amp;"",""))</f>
        <v/>
      </c>
      <c r="F4465" s="23" t="str">
        <f aca="false">IF(B4465="","","outreach_sent")</f>
        <v/>
      </c>
      <c r="G4465" s="23" t="str">
        <f aca="false">IF(B4465="","","")</f>
        <v/>
      </c>
      <c r="H4465" s="23" t="str">
        <f aca="false">IF(B4465="","","")</f>
        <v/>
      </c>
      <c r="I4465" s="23" t="str">
        <f aca="false">IF(B4465="","","")</f>
        <v/>
      </c>
      <c r="J4465" s="23" t="str">
        <f aca="false">IF(B4465="","","touch_2; "&amp;IFERROR(INDEX(Clay_Brands!$A$2:$FZ$601,414,Sync!$D$10)&amp;"","")&amp;"; "&amp;IFERROR(INDEX(Clay_Brands!$A$2:$FZ$601,414,Sync!$D$9)&amp;"",""))</f>
        <v/>
      </c>
      <c r="K4465" s="32" t="s">
        <v>1367</v>
      </c>
    </row>
    <row r="4466" customFormat="false" ht="15" hidden="false" customHeight="false" outlineLevel="0" collapsed="false">
      <c r="A4466" s="23" t="str">
        <f aca="false">IF(B4466="","",B4466+(16*1000+415)/10000000)</f>
        <v/>
      </c>
      <c r="B4466" s="35" t="str">
        <f aca="false">IF(AND(IFERROR(N(INDEX(Clay_Brands!$A$2:$FZ$601,415,Sync!$D$12)),0)&gt;0,IFERROR(INDEX(Clay_Brands!$A$2:$FZ$601,415,Sync!$D$5)&amp;"","")&lt;&gt;"",OR(LEFT(IFERROR(INDEX(Clay_Brands!$A$2:$FZ$601,415,Sync!$D$5)&amp;"",""),6)&lt;&gt;"SAMPLE",Config!$B$19="Y")),IFERROR(N(INDEX(Clay_Brands!$A$2:$FZ$601,415,Sync!$D$12)),0),"")</f>
        <v/>
      </c>
      <c r="C4466" s="23" t="str">
        <f aca="false">IF(B4466="","","brand")</f>
        <v/>
      </c>
      <c r="D4466" s="23" t="str">
        <f aca="false">IF(B4466="","",IFERROR(INDEX(Brand_Log!$DV$2:$DV$201,MATCH(IFERROR(INDEX(Clay_Brands!$A$2:$FZ$601,415,Sync!$D$5)&amp;"",""),Brand_Log!$A$2:$A$201,0))&amp;"",IFERROR(INDEX(Clay_Brands!$A$2:$FZ$601,415,Sync!$D$5)&amp;"","")&amp;""))</f>
        <v/>
      </c>
      <c r="E4466" s="23" t="str">
        <f aca="false">IF(B4466="","",IFERROR(INDEX(Clay_Brands!$A$2:$FZ$601,415,Sync!$D$6)&amp;"",""))</f>
        <v/>
      </c>
      <c r="F4466" s="23" t="str">
        <f aca="false">IF(B4466="","","outreach_sent")</f>
        <v/>
      </c>
      <c r="G4466" s="23" t="str">
        <f aca="false">IF(B4466="","","")</f>
        <v/>
      </c>
      <c r="H4466" s="23" t="str">
        <f aca="false">IF(B4466="","","")</f>
        <v/>
      </c>
      <c r="I4466" s="23" t="str">
        <f aca="false">IF(B4466="","","")</f>
        <v/>
      </c>
      <c r="J4466" s="23" t="str">
        <f aca="false">IF(B4466="","","touch_2; "&amp;IFERROR(INDEX(Clay_Brands!$A$2:$FZ$601,415,Sync!$D$10)&amp;"","")&amp;"; "&amp;IFERROR(INDEX(Clay_Brands!$A$2:$FZ$601,415,Sync!$D$9)&amp;"",""))</f>
        <v/>
      </c>
      <c r="K4466" s="32" t="s">
        <v>1367</v>
      </c>
    </row>
    <row r="4467" customFormat="false" ht="15" hidden="false" customHeight="false" outlineLevel="0" collapsed="false">
      <c r="A4467" s="23" t="str">
        <f aca="false">IF(B4467="","",B4467+(16*1000+416)/10000000)</f>
        <v/>
      </c>
      <c r="B4467" s="35" t="str">
        <f aca="false">IF(AND(IFERROR(N(INDEX(Clay_Brands!$A$2:$FZ$601,416,Sync!$D$12)),0)&gt;0,IFERROR(INDEX(Clay_Brands!$A$2:$FZ$601,416,Sync!$D$5)&amp;"","")&lt;&gt;"",OR(LEFT(IFERROR(INDEX(Clay_Brands!$A$2:$FZ$601,416,Sync!$D$5)&amp;"",""),6)&lt;&gt;"SAMPLE",Config!$B$19="Y")),IFERROR(N(INDEX(Clay_Brands!$A$2:$FZ$601,416,Sync!$D$12)),0),"")</f>
        <v/>
      </c>
      <c r="C4467" s="23" t="str">
        <f aca="false">IF(B4467="","","brand")</f>
        <v/>
      </c>
      <c r="D4467" s="23" t="str">
        <f aca="false">IF(B4467="","",IFERROR(INDEX(Brand_Log!$DV$2:$DV$201,MATCH(IFERROR(INDEX(Clay_Brands!$A$2:$FZ$601,416,Sync!$D$5)&amp;"",""),Brand_Log!$A$2:$A$201,0))&amp;"",IFERROR(INDEX(Clay_Brands!$A$2:$FZ$601,416,Sync!$D$5)&amp;"","")&amp;""))</f>
        <v/>
      </c>
      <c r="E4467" s="23" t="str">
        <f aca="false">IF(B4467="","",IFERROR(INDEX(Clay_Brands!$A$2:$FZ$601,416,Sync!$D$6)&amp;"",""))</f>
        <v/>
      </c>
      <c r="F4467" s="23" t="str">
        <f aca="false">IF(B4467="","","outreach_sent")</f>
        <v/>
      </c>
      <c r="G4467" s="23" t="str">
        <f aca="false">IF(B4467="","","")</f>
        <v/>
      </c>
      <c r="H4467" s="23" t="str">
        <f aca="false">IF(B4467="","","")</f>
        <v/>
      </c>
      <c r="I4467" s="23" t="str">
        <f aca="false">IF(B4467="","","")</f>
        <v/>
      </c>
      <c r="J4467" s="23" t="str">
        <f aca="false">IF(B4467="","","touch_2; "&amp;IFERROR(INDEX(Clay_Brands!$A$2:$FZ$601,416,Sync!$D$10)&amp;"","")&amp;"; "&amp;IFERROR(INDEX(Clay_Brands!$A$2:$FZ$601,416,Sync!$D$9)&amp;"",""))</f>
        <v/>
      </c>
      <c r="K4467" s="32" t="s">
        <v>1367</v>
      </c>
    </row>
    <row r="4468" customFormat="false" ht="15" hidden="false" customHeight="false" outlineLevel="0" collapsed="false">
      <c r="A4468" s="23" t="str">
        <f aca="false">IF(B4468="","",B4468+(16*1000+417)/10000000)</f>
        <v/>
      </c>
      <c r="B4468" s="35" t="str">
        <f aca="false">IF(AND(IFERROR(N(INDEX(Clay_Brands!$A$2:$FZ$601,417,Sync!$D$12)),0)&gt;0,IFERROR(INDEX(Clay_Brands!$A$2:$FZ$601,417,Sync!$D$5)&amp;"","")&lt;&gt;"",OR(LEFT(IFERROR(INDEX(Clay_Brands!$A$2:$FZ$601,417,Sync!$D$5)&amp;"",""),6)&lt;&gt;"SAMPLE",Config!$B$19="Y")),IFERROR(N(INDEX(Clay_Brands!$A$2:$FZ$601,417,Sync!$D$12)),0),"")</f>
        <v/>
      </c>
      <c r="C4468" s="23" t="str">
        <f aca="false">IF(B4468="","","brand")</f>
        <v/>
      </c>
      <c r="D4468" s="23" t="str">
        <f aca="false">IF(B4468="","",IFERROR(INDEX(Brand_Log!$DV$2:$DV$201,MATCH(IFERROR(INDEX(Clay_Brands!$A$2:$FZ$601,417,Sync!$D$5)&amp;"",""),Brand_Log!$A$2:$A$201,0))&amp;"",IFERROR(INDEX(Clay_Brands!$A$2:$FZ$601,417,Sync!$D$5)&amp;"","")&amp;""))</f>
        <v/>
      </c>
      <c r="E4468" s="23" t="str">
        <f aca="false">IF(B4468="","",IFERROR(INDEX(Clay_Brands!$A$2:$FZ$601,417,Sync!$D$6)&amp;"",""))</f>
        <v/>
      </c>
      <c r="F4468" s="23" t="str">
        <f aca="false">IF(B4468="","","outreach_sent")</f>
        <v/>
      </c>
      <c r="G4468" s="23" t="str">
        <f aca="false">IF(B4468="","","")</f>
        <v/>
      </c>
      <c r="H4468" s="23" t="str">
        <f aca="false">IF(B4468="","","")</f>
        <v/>
      </c>
      <c r="I4468" s="23" t="str">
        <f aca="false">IF(B4468="","","")</f>
        <v/>
      </c>
      <c r="J4468" s="23" t="str">
        <f aca="false">IF(B4468="","","touch_2; "&amp;IFERROR(INDEX(Clay_Brands!$A$2:$FZ$601,417,Sync!$D$10)&amp;"","")&amp;"; "&amp;IFERROR(INDEX(Clay_Brands!$A$2:$FZ$601,417,Sync!$D$9)&amp;"",""))</f>
        <v/>
      </c>
      <c r="K4468" s="32" t="s">
        <v>1367</v>
      </c>
    </row>
    <row r="4469" customFormat="false" ht="15" hidden="false" customHeight="false" outlineLevel="0" collapsed="false">
      <c r="A4469" s="23" t="str">
        <f aca="false">IF(B4469="","",B4469+(16*1000+418)/10000000)</f>
        <v/>
      </c>
      <c r="B4469" s="35" t="str">
        <f aca="false">IF(AND(IFERROR(N(INDEX(Clay_Brands!$A$2:$FZ$601,418,Sync!$D$12)),0)&gt;0,IFERROR(INDEX(Clay_Brands!$A$2:$FZ$601,418,Sync!$D$5)&amp;"","")&lt;&gt;"",OR(LEFT(IFERROR(INDEX(Clay_Brands!$A$2:$FZ$601,418,Sync!$D$5)&amp;"",""),6)&lt;&gt;"SAMPLE",Config!$B$19="Y")),IFERROR(N(INDEX(Clay_Brands!$A$2:$FZ$601,418,Sync!$D$12)),0),"")</f>
        <v/>
      </c>
      <c r="C4469" s="23" t="str">
        <f aca="false">IF(B4469="","","brand")</f>
        <v/>
      </c>
      <c r="D4469" s="23" t="str">
        <f aca="false">IF(B4469="","",IFERROR(INDEX(Brand_Log!$DV$2:$DV$201,MATCH(IFERROR(INDEX(Clay_Brands!$A$2:$FZ$601,418,Sync!$D$5)&amp;"",""),Brand_Log!$A$2:$A$201,0))&amp;"",IFERROR(INDEX(Clay_Brands!$A$2:$FZ$601,418,Sync!$D$5)&amp;"","")&amp;""))</f>
        <v/>
      </c>
      <c r="E4469" s="23" t="str">
        <f aca="false">IF(B4469="","",IFERROR(INDEX(Clay_Brands!$A$2:$FZ$601,418,Sync!$D$6)&amp;"",""))</f>
        <v/>
      </c>
      <c r="F4469" s="23" t="str">
        <f aca="false">IF(B4469="","","outreach_sent")</f>
        <v/>
      </c>
      <c r="G4469" s="23" t="str">
        <f aca="false">IF(B4469="","","")</f>
        <v/>
      </c>
      <c r="H4469" s="23" t="str">
        <f aca="false">IF(B4469="","","")</f>
        <v/>
      </c>
      <c r="I4469" s="23" t="str">
        <f aca="false">IF(B4469="","","")</f>
        <v/>
      </c>
      <c r="J4469" s="23" t="str">
        <f aca="false">IF(B4469="","","touch_2; "&amp;IFERROR(INDEX(Clay_Brands!$A$2:$FZ$601,418,Sync!$D$10)&amp;"","")&amp;"; "&amp;IFERROR(INDEX(Clay_Brands!$A$2:$FZ$601,418,Sync!$D$9)&amp;"",""))</f>
        <v/>
      </c>
      <c r="K4469" s="32" t="s">
        <v>1367</v>
      </c>
    </row>
    <row r="4470" customFormat="false" ht="15" hidden="false" customHeight="false" outlineLevel="0" collapsed="false">
      <c r="A4470" s="23" t="str">
        <f aca="false">IF(B4470="","",B4470+(16*1000+419)/10000000)</f>
        <v/>
      </c>
      <c r="B4470" s="35" t="str">
        <f aca="false">IF(AND(IFERROR(N(INDEX(Clay_Brands!$A$2:$FZ$601,419,Sync!$D$12)),0)&gt;0,IFERROR(INDEX(Clay_Brands!$A$2:$FZ$601,419,Sync!$D$5)&amp;"","")&lt;&gt;"",OR(LEFT(IFERROR(INDEX(Clay_Brands!$A$2:$FZ$601,419,Sync!$D$5)&amp;"",""),6)&lt;&gt;"SAMPLE",Config!$B$19="Y")),IFERROR(N(INDEX(Clay_Brands!$A$2:$FZ$601,419,Sync!$D$12)),0),"")</f>
        <v/>
      </c>
      <c r="C4470" s="23" t="str">
        <f aca="false">IF(B4470="","","brand")</f>
        <v/>
      </c>
      <c r="D4470" s="23" t="str">
        <f aca="false">IF(B4470="","",IFERROR(INDEX(Brand_Log!$DV$2:$DV$201,MATCH(IFERROR(INDEX(Clay_Brands!$A$2:$FZ$601,419,Sync!$D$5)&amp;"",""),Brand_Log!$A$2:$A$201,0))&amp;"",IFERROR(INDEX(Clay_Brands!$A$2:$FZ$601,419,Sync!$D$5)&amp;"","")&amp;""))</f>
        <v/>
      </c>
      <c r="E4470" s="23" t="str">
        <f aca="false">IF(B4470="","",IFERROR(INDEX(Clay_Brands!$A$2:$FZ$601,419,Sync!$D$6)&amp;"",""))</f>
        <v/>
      </c>
      <c r="F4470" s="23" t="str">
        <f aca="false">IF(B4470="","","outreach_sent")</f>
        <v/>
      </c>
      <c r="G4470" s="23" t="str">
        <f aca="false">IF(B4470="","","")</f>
        <v/>
      </c>
      <c r="H4470" s="23" t="str">
        <f aca="false">IF(B4470="","","")</f>
        <v/>
      </c>
      <c r="I4470" s="23" t="str">
        <f aca="false">IF(B4470="","","")</f>
        <v/>
      </c>
      <c r="J4470" s="23" t="str">
        <f aca="false">IF(B4470="","","touch_2; "&amp;IFERROR(INDEX(Clay_Brands!$A$2:$FZ$601,419,Sync!$D$10)&amp;"","")&amp;"; "&amp;IFERROR(INDEX(Clay_Brands!$A$2:$FZ$601,419,Sync!$D$9)&amp;"",""))</f>
        <v/>
      </c>
      <c r="K4470" s="32" t="s">
        <v>1367</v>
      </c>
    </row>
    <row r="4471" customFormat="false" ht="15" hidden="false" customHeight="false" outlineLevel="0" collapsed="false">
      <c r="A4471" s="23" t="str">
        <f aca="false">IF(B4471="","",B4471+(16*1000+420)/10000000)</f>
        <v/>
      </c>
      <c r="B4471" s="35" t="str">
        <f aca="false">IF(AND(IFERROR(N(INDEX(Clay_Brands!$A$2:$FZ$601,420,Sync!$D$12)),0)&gt;0,IFERROR(INDEX(Clay_Brands!$A$2:$FZ$601,420,Sync!$D$5)&amp;"","")&lt;&gt;"",OR(LEFT(IFERROR(INDEX(Clay_Brands!$A$2:$FZ$601,420,Sync!$D$5)&amp;"",""),6)&lt;&gt;"SAMPLE",Config!$B$19="Y")),IFERROR(N(INDEX(Clay_Brands!$A$2:$FZ$601,420,Sync!$D$12)),0),"")</f>
        <v/>
      </c>
      <c r="C4471" s="23" t="str">
        <f aca="false">IF(B4471="","","brand")</f>
        <v/>
      </c>
      <c r="D4471" s="23" t="str">
        <f aca="false">IF(B4471="","",IFERROR(INDEX(Brand_Log!$DV$2:$DV$201,MATCH(IFERROR(INDEX(Clay_Brands!$A$2:$FZ$601,420,Sync!$D$5)&amp;"",""),Brand_Log!$A$2:$A$201,0))&amp;"",IFERROR(INDEX(Clay_Brands!$A$2:$FZ$601,420,Sync!$D$5)&amp;"","")&amp;""))</f>
        <v/>
      </c>
      <c r="E4471" s="23" t="str">
        <f aca="false">IF(B4471="","",IFERROR(INDEX(Clay_Brands!$A$2:$FZ$601,420,Sync!$D$6)&amp;"",""))</f>
        <v/>
      </c>
      <c r="F4471" s="23" t="str">
        <f aca="false">IF(B4471="","","outreach_sent")</f>
        <v/>
      </c>
      <c r="G4471" s="23" t="str">
        <f aca="false">IF(B4471="","","")</f>
        <v/>
      </c>
      <c r="H4471" s="23" t="str">
        <f aca="false">IF(B4471="","","")</f>
        <v/>
      </c>
      <c r="I4471" s="23" t="str">
        <f aca="false">IF(B4471="","","")</f>
        <v/>
      </c>
      <c r="J4471" s="23" t="str">
        <f aca="false">IF(B4471="","","touch_2; "&amp;IFERROR(INDEX(Clay_Brands!$A$2:$FZ$601,420,Sync!$D$10)&amp;"","")&amp;"; "&amp;IFERROR(INDEX(Clay_Brands!$A$2:$FZ$601,420,Sync!$D$9)&amp;"",""))</f>
        <v/>
      </c>
      <c r="K4471" s="32" t="s">
        <v>1367</v>
      </c>
    </row>
    <row r="4472" customFormat="false" ht="15" hidden="false" customHeight="false" outlineLevel="0" collapsed="false">
      <c r="A4472" s="23" t="str">
        <f aca="false">IF(B4472="","",B4472+(16*1000+421)/10000000)</f>
        <v/>
      </c>
      <c r="B4472" s="35" t="str">
        <f aca="false">IF(AND(IFERROR(N(INDEX(Clay_Brands!$A$2:$FZ$601,421,Sync!$D$12)),0)&gt;0,IFERROR(INDEX(Clay_Brands!$A$2:$FZ$601,421,Sync!$D$5)&amp;"","")&lt;&gt;"",OR(LEFT(IFERROR(INDEX(Clay_Brands!$A$2:$FZ$601,421,Sync!$D$5)&amp;"",""),6)&lt;&gt;"SAMPLE",Config!$B$19="Y")),IFERROR(N(INDEX(Clay_Brands!$A$2:$FZ$601,421,Sync!$D$12)),0),"")</f>
        <v/>
      </c>
      <c r="C4472" s="23" t="str">
        <f aca="false">IF(B4472="","","brand")</f>
        <v/>
      </c>
      <c r="D4472" s="23" t="str">
        <f aca="false">IF(B4472="","",IFERROR(INDEX(Brand_Log!$DV$2:$DV$201,MATCH(IFERROR(INDEX(Clay_Brands!$A$2:$FZ$601,421,Sync!$D$5)&amp;"",""),Brand_Log!$A$2:$A$201,0))&amp;"",IFERROR(INDEX(Clay_Brands!$A$2:$FZ$601,421,Sync!$D$5)&amp;"","")&amp;""))</f>
        <v/>
      </c>
      <c r="E4472" s="23" t="str">
        <f aca="false">IF(B4472="","",IFERROR(INDEX(Clay_Brands!$A$2:$FZ$601,421,Sync!$D$6)&amp;"",""))</f>
        <v/>
      </c>
      <c r="F4472" s="23" t="str">
        <f aca="false">IF(B4472="","","outreach_sent")</f>
        <v/>
      </c>
      <c r="G4472" s="23" t="str">
        <f aca="false">IF(B4472="","","")</f>
        <v/>
      </c>
      <c r="H4472" s="23" t="str">
        <f aca="false">IF(B4472="","","")</f>
        <v/>
      </c>
      <c r="I4472" s="23" t="str">
        <f aca="false">IF(B4472="","","")</f>
        <v/>
      </c>
      <c r="J4472" s="23" t="str">
        <f aca="false">IF(B4472="","","touch_2; "&amp;IFERROR(INDEX(Clay_Brands!$A$2:$FZ$601,421,Sync!$D$10)&amp;"","")&amp;"; "&amp;IFERROR(INDEX(Clay_Brands!$A$2:$FZ$601,421,Sync!$D$9)&amp;"",""))</f>
        <v/>
      </c>
      <c r="K4472" s="32" t="s">
        <v>1367</v>
      </c>
    </row>
    <row r="4473" customFormat="false" ht="15" hidden="false" customHeight="false" outlineLevel="0" collapsed="false">
      <c r="A4473" s="23" t="str">
        <f aca="false">IF(B4473="","",B4473+(16*1000+422)/10000000)</f>
        <v/>
      </c>
      <c r="B4473" s="35" t="str">
        <f aca="false">IF(AND(IFERROR(N(INDEX(Clay_Brands!$A$2:$FZ$601,422,Sync!$D$12)),0)&gt;0,IFERROR(INDEX(Clay_Brands!$A$2:$FZ$601,422,Sync!$D$5)&amp;"","")&lt;&gt;"",OR(LEFT(IFERROR(INDEX(Clay_Brands!$A$2:$FZ$601,422,Sync!$D$5)&amp;"",""),6)&lt;&gt;"SAMPLE",Config!$B$19="Y")),IFERROR(N(INDEX(Clay_Brands!$A$2:$FZ$601,422,Sync!$D$12)),0),"")</f>
        <v/>
      </c>
      <c r="C4473" s="23" t="str">
        <f aca="false">IF(B4473="","","brand")</f>
        <v/>
      </c>
      <c r="D4473" s="23" t="str">
        <f aca="false">IF(B4473="","",IFERROR(INDEX(Brand_Log!$DV$2:$DV$201,MATCH(IFERROR(INDEX(Clay_Brands!$A$2:$FZ$601,422,Sync!$D$5)&amp;"",""),Brand_Log!$A$2:$A$201,0))&amp;"",IFERROR(INDEX(Clay_Brands!$A$2:$FZ$601,422,Sync!$D$5)&amp;"","")&amp;""))</f>
        <v/>
      </c>
      <c r="E4473" s="23" t="str">
        <f aca="false">IF(B4473="","",IFERROR(INDEX(Clay_Brands!$A$2:$FZ$601,422,Sync!$D$6)&amp;"",""))</f>
        <v/>
      </c>
      <c r="F4473" s="23" t="str">
        <f aca="false">IF(B4473="","","outreach_sent")</f>
        <v/>
      </c>
      <c r="G4473" s="23" t="str">
        <f aca="false">IF(B4473="","","")</f>
        <v/>
      </c>
      <c r="H4473" s="23" t="str">
        <f aca="false">IF(B4473="","","")</f>
        <v/>
      </c>
      <c r="I4473" s="23" t="str">
        <f aca="false">IF(B4473="","","")</f>
        <v/>
      </c>
      <c r="J4473" s="23" t="str">
        <f aca="false">IF(B4473="","","touch_2; "&amp;IFERROR(INDEX(Clay_Brands!$A$2:$FZ$601,422,Sync!$D$10)&amp;"","")&amp;"; "&amp;IFERROR(INDEX(Clay_Brands!$A$2:$FZ$601,422,Sync!$D$9)&amp;"",""))</f>
        <v/>
      </c>
      <c r="K4473" s="32" t="s">
        <v>1367</v>
      </c>
    </row>
    <row r="4474" customFormat="false" ht="15" hidden="false" customHeight="false" outlineLevel="0" collapsed="false">
      <c r="A4474" s="23" t="str">
        <f aca="false">IF(B4474="","",B4474+(16*1000+423)/10000000)</f>
        <v/>
      </c>
      <c r="B4474" s="35" t="str">
        <f aca="false">IF(AND(IFERROR(N(INDEX(Clay_Brands!$A$2:$FZ$601,423,Sync!$D$12)),0)&gt;0,IFERROR(INDEX(Clay_Brands!$A$2:$FZ$601,423,Sync!$D$5)&amp;"","")&lt;&gt;"",OR(LEFT(IFERROR(INDEX(Clay_Brands!$A$2:$FZ$601,423,Sync!$D$5)&amp;"",""),6)&lt;&gt;"SAMPLE",Config!$B$19="Y")),IFERROR(N(INDEX(Clay_Brands!$A$2:$FZ$601,423,Sync!$D$12)),0),"")</f>
        <v/>
      </c>
      <c r="C4474" s="23" t="str">
        <f aca="false">IF(B4474="","","brand")</f>
        <v/>
      </c>
      <c r="D4474" s="23" t="str">
        <f aca="false">IF(B4474="","",IFERROR(INDEX(Brand_Log!$DV$2:$DV$201,MATCH(IFERROR(INDEX(Clay_Brands!$A$2:$FZ$601,423,Sync!$D$5)&amp;"",""),Brand_Log!$A$2:$A$201,0))&amp;"",IFERROR(INDEX(Clay_Brands!$A$2:$FZ$601,423,Sync!$D$5)&amp;"","")&amp;""))</f>
        <v/>
      </c>
      <c r="E4474" s="23" t="str">
        <f aca="false">IF(B4474="","",IFERROR(INDEX(Clay_Brands!$A$2:$FZ$601,423,Sync!$D$6)&amp;"",""))</f>
        <v/>
      </c>
      <c r="F4474" s="23" t="str">
        <f aca="false">IF(B4474="","","outreach_sent")</f>
        <v/>
      </c>
      <c r="G4474" s="23" t="str">
        <f aca="false">IF(B4474="","","")</f>
        <v/>
      </c>
      <c r="H4474" s="23" t="str">
        <f aca="false">IF(B4474="","","")</f>
        <v/>
      </c>
      <c r="I4474" s="23" t="str">
        <f aca="false">IF(B4474="","","")</f>
        <v/>
      </c>
      <c r="J4474" s="23" t="str">
        <f aca="false">IF(B4474="","","touch_2; "&amp;IFERROR(INDEX(Clay_Brands!$A$2:$FZ$601,423,Sync!$D$10)&amp;"","")&amp;"; "&amp;IFERROR(INDEX(Clay_Brands!$A$2:$FZ$601,423,Sync!$D$9)&amp;"",""))</f>
        <v/>
      </c>
      <c r="K4474" s="32" t="s">
        <v>1367</v>
      </c>
    </row>
    <row r="4475" customFormat="false" ht="15" hidden="false" customHeight="false" outlineLevel="0" collapsed="false">
      <c r="A4475" s="23" t="str">
        <f aca="false">IF(B4475="","",B4475+(16*1000+424)/10000000)</f>
        <v/>
      </c>
      <c r="B4475" s="35" t="str">
        <f aca="false">IF(AND(IFERROR(N(INDEX(Clay_Brands!$A$2:$FZ$601,424,Sync!$D$12)),0)&gt;0,IFERROR(INDEX(Clay_Brands!$A$2:$FZ$601,424,Sync!$D$5)&amp;"","")&lt;&gt;"",OR(LEFT(IFERROR(INDEX(Clay_Brands!$A$2:$FZ$601,424,Sync!$D$5)&amp;"",""),6)&lt;&gt;"SAMPLE",Config!$B$19="Y")),IFERROR(N(INDEX(Clay_Brands!$A$2:$FZ$601,424,Sync!$D$12)),0),"")</f>
        <v/>
      </c>
      <c r="C4475" s="23" t="str">
        <f aca="false">IF(B4475="","","brand")</f>
        <v/>
      </c>
      <c r="D4475" s="23" t="str">
        <f aca="false">IF(B4475="","",IFERROR(INDEX(Brand_Log!$DV$2:$DV$201,MATCH(IFERROR(INDEX(Clay_Brands!$A$2:$FZ$601,424,Sync!$D$5)&amp;"",""),Brand_Log!$A$2:$A$201,0))&amp;"",IFERROR(INDEX(Clay_Brands!$A$2:$FZ$601,424,Sync!$D$5)&amp;"","")&amp;""))</f>
        <v/>
      </c>
      <c r="E4475" s="23" t="str">
        <f aca="false">IF(B4475="","",IFERROR(INDEX(Clay_Brands!$A$2:$FZ$601,424,Sync!$D$6)&amp;"",""))</f>
        <v/>
      </c>
      <c r="F4475" s="23" t="str">
        <f aca="false">IF(B4475="","","outreach_sent")</f>
        <v/>
      </c>
      <c r="G4475" s="23" t="str">
        <f aca="false">IF(B4475="","","")</f>
        <v/>
      </c>
      <c r="H4475" s="23" t="str">
        <f aca="false">IF(B4475="","","")</f>
        <v/>
      </c>
      <c r="I4475" s="23" t="str">
        <f aca="false">IF(B4475="","","")</f>
        <v/>
      </c>
      <c r="J4475" s="23" t="str">
        <f aca="false">IF(B4475="","","touch_2; "&amp;IFERROR(INDEX(Clay_Brands!$A$2:$FZ$601,424,Sync!$D$10)&amp;"","")&amp;"; "&amp;IFERROR(INDEX(Clay_Brands!$A$2:$FZ$601,424,Sync!$D$9)&amp;"",""))</f>
        <v/>
      </c>
      <c r="K4475" s="32" t="s">
        <v>1367</v>
      </c>
    </row>
    <row r="4476" customFormat="false" ht="15" hidden="false" customHeight="false" outlineLevel="0" collapsed="false">
      <c r="A4476" s="23" t="str">
        <f aca="false">IF(B4476="","",B4476+(16*1000+425)/10000000)</f>
        <v/>
      </c>
      <c r="B4476" s="35" t="str">
        <f aca="false">IF(AND(IFERROR(N(INDEX(Clay_Brands!$A$2:$FZ$601,425,Sync!$D$12)),0)&gt;0,IFERROR(INDEX(Clay_Brands!$A$2:$FZ$601,425,Sync!$D$5)&amp;"","")&lt;&gt;"",OR(LEFT(IFERROR(INDEX(Clay_Brands!$A$2:$FZ$601,425,Sync!$D$5)&amp;"",""),6)&lt;&gt;"SAMPLE",Config!$B$19="Y")),IFERROR(N(INDEX(Clay_Brands!$A$2:$FZ$601,425,Sync!$D$12)),0),"")</f>
        <v/>
      </c>
      <c r="C4476" s="23" t="str">
        <f aca="false">IF(B4476="","","brand")</f>
        <v/>
      </c>
      <c r="D4476" s="23" t="str">
        <f aca="false">IF(B4476="","",IFERROR(INDEX(Brand_Log!$DV$2:$DV$201,MATCH(IFERROR(INDEX(Clay_Brands!$A$2:$FZ$601,425,Sync!$D$5)&amp;"",""),Brand_Log!$A$2:$A$201,0))&amp;"",IFERROR(INDEX(Clay_Brands!$A$2:$FZ$601,425,Sync!$D$5)&amp;"","")&amp;""))</f>
        <v/>
      </c>
      <c r="E4476" s="23" t="str">
        <f aca="false">IF(B4476="","",IFERROR(INDEX(Clay_Brands!$A$2:$FZ$601,425,Sync!$D$6)&amp;"",""))</f>
        <v/>
      </c>
      <c r="F4476" s="23" t="str">
        <f aca="false">IF(B4476="","","outreach_sent")</f>
        <v/>
      </c>
      <c r="G4476" s="23" t="str">
        <f aca="false">IF(B4476="","","")</f>
        <v/>
      </c>
      <c r="H4476" s="23" t="str">
        <f aca="false">IF(B4476="","","")</f>
        <v/>
      </c>
      <c r="I4476" s="23" t="str">
        <f aca="false">IF(B4476="","","")</f>
        <v/>
      </c>
      <c r="J4476" s="23" t="str">
        <f aca="false">IF(B4476="","","touch_2; "&amp;IFERROR(INDEX(Clay_Brands!$A$2:$FZ$601,425,Sync!$D$10)&amp;"","")&amp;"; "&amp;IFERROR(INDEX(Clay_Brands!$A$2:$FZ$601,425,Sync!$D$9)&amp;"",""))</f>
        <v/>
      </c>
      <c r="K4476" s="32" t="s">
        <v>1367</v>
      </c>
    </row>
    <row r="4477" customFormat="false" ht="15" hidden="false" customHeight="false" outlineLevel="0" collapsed="false">
      <c r="A4477" s="23" t="str">
        <f aca="false">IF(B4477="","",B4477+(16*1000+426)/10000000)</f>
        <v/>
      </c>
      <c r="B4477" s="35" t="str">
        <f aca="false">IF(AND(IFERROR(N(INDEX(Clay_Brands!$A$2:$FZ$601,426,Sync!$D$12)),0)&gt;0,IFERROR(INDEX(Clay_Brands!$A$2:$FZ$601,426,Sync!$D$5)&amp;"","")&lt;&gt;"",OR(LEFT(IFERROR(INDEX(Clay_Brands!$A$2:$FZ$601,426,Sync!$D$5)&amp;"",""),6)&lt;&gt;"SAMPLE",Config!$B$19="Y")),IFERROR(N(INDEX(Clay_Brands!$A$2:$FZ$601,426,Sync!$D$12)),0),"")</f>
        <v/>
      </c>
      <c r="C4477" s="23" t="str">
        <f aca="false">IF(B4477="","","brand")</f>
        <v/>
      </c>
      <c r="D4477" s="23" t="str">
        <f aca="false">IF(B4477="","",IFERROR(INDEX(Brand_Log!$DV$2:$DV$201,MATCH(IFERROR(INDEX(Clay_Brands!$A$2:$FZ$601,426,Sync!$D$5)&amp;"",""),Brand_Log!$A$2:$A$201,0))&amp;"",IFERROR(INDEX(Clay_Brands!$A$2:$FZ$601,426,Sync!$D$5)&amp;"","")&amp;""))</f>
        <v/>
      </c>
      <c r="E4477" s="23" t="str">
        <f aca="false">IF(B4477="","",IFERROR(INDEX(Clay_Brands!$A$2:$FZ$601,426,Sync!$D$6)&amp;"",""))</f>
        <v/>
      </c>
      <c r="F4477" s="23" t="str">
        <f aca="false">IF(B4477="","","outreach_sent")</f>
        <v/>
      </c>
      <c r="G4477" s="23" t="str">
        <f aca="false">IF(B4477="","","")</f>
        <v/>
      </c>
      <c r="H4477" s="23" t="str">
        <f aca="false">IF(B4477="","","")</f>
        <v/>
      </c>
      <c r="I4477" s="23" t="str">
        <f aca="false">IF(B4477="","","")</f>
        <v/>
      </c>
      <c r="J4477" s="23" t="str">
        <f aca="false">IF(B4477="","","touch_2; "&amp;IFERROR(INDEX(Clay_Brands!$A$2:$FZ$601,426,Sync!$D$10)&amp;"","")&amp;"; "&amp;IFERROR(INDEX(Clay_Brands!$A$2:$FZ$601,426,Sync!$D$9)&amp;"",""))</f>
        <v/>
      </c>
      <c r="K4477" s="32" t="s">
        <v>1367</v>
      </c>
    </row>
    <row r="4478" customFormat="false" ht="15" hidden="false" customHeight="false" outlineLevel="0" collapsed="false">
      <c r="A4478" s="23" t="str">
        <f aca="false">IF(B4478="","",B4478+(16*1000+427)/10000000)</f>
        <v/>
      </c>
      <c r="B4478" s="35" t="str">
        <f aca="false">IF(AND(IFERROR(N(INDEX(Clay_Brands!$A$2:$FZ$601,427,Sync!$D$12)),0)&gt;0,IFERROR(INDEX(Clay_Brands!$A$2:$FZ$601,427,Sync!$D$5)&amp;"","")&lt;&gt;"",OR(LEFT(IFERROR(INDEX(Clay_Brands!$A$2:$FZ$601,427,Sync!$D$5)&amp;"",""),6)&lt;&gt;"SAMPLE",Config!$B$19="Y")),IFERROR(N(INDEX(Clay_Brands!$A$2:$FZ$601,427,Sync!$D$12)),0),"")</f>
        <v/>
      </c>
      <c r="C4478" s="23" t="str">
        <f aca="false">IF(B4478="","","brand")</f>
        <v/>
      </c>
      <c r="D4478" s="23" t="str">
        <f aca="false">IF(B4478="","",IFERROR(INDEX(Brand_Log!$DV$2:$DV$201,MATCH(IFERROR(INDEX(Clay_Brands!$A$2:$FZ$601,427,Sync!$D$5)&amp;"",""),Brand_Log!$A$2:$A$201,0))&amp;"",IFERROR(INDEX(Clay_Brands!$A$2:$FZ$601,427,Sync!$D$5)&amp;"","")&amp;""))</f>
        <v/>
      </c>
      <c r="E4478" s="23" t="str">
        <f aca="false">IF(B4478="","",IFERROR(INDEX(Clay_Brands!$A$2:$FZ$601,427,Sync!$D$6)&amp;"",""))</f>
        <v/>
      </c>
      <c r="F4478" s="23" t="str">
        <f aca="false">IF(B4478="","","outreach_sent")</f>
        <v/>
      </c>
      <c r="G4478" s="23" t="str">
        <f aca="false">IF(B4478="","","")</f>
        <v/>
      </c>
      <c r="H4478" s="23" t="str">
        <f aca="false">IF(B4478="","","")</f>
        <v/>
      </c>
      <c r="I4478" s="23" t="str">
        <f aca="false">IF(B4478="","","")</f>
        <v/>
      </c>
      <c r="J4478" s="23" t="str">
        <f aca="false">IF(B4478="","","touch_2; "&amp;IFERROR(INDEX(Clay_Brands!$A$2:$FZ$601,427,Sync!$D$10)&amp;"","")&amp;"; "&amp;IFERROR(INDEX(Clay_Brands!$A$2:$FZ$601,427,Sync!$D$9)&amp;"",""))</f>
        <v/>
      </c>
      <c r="K4478" s="32" t="s">
        <v>1367</v>
      </c>
    </row>
    <row r="4479" customFormat="false" ht="15" hidden="false" customHeight="false" outlineLevel="0" collapsed="false">
      <c r="A4479" s="23" t="str">
        <f aca="false">IF(B4479="","",B4479+(16*1000+428)/10000000)</f>
        <v/>
      </c>
      <c r="B4479" s="35" t="str">
        <f aca="false">IF(AND(IFERROR(N(INDEX(Clay_Brands!$A$2:$FZ$601,428,Sync!$D$12)),0)&gt;0,IFERROR(INDEX(Clay_Brands!$A$2:$FZ$601,428,Sync!$D$5)&amp;"","")&lt;&gt;"",OR(LEFT(IFERROR(INDEX(Clay_Brands!$A$2:$FZ$601,428,Sync!$D$5)&amp;"",""),6)&lt;&gt;"SAMPLE",Config!$B$19="Y")),IFERROR(N(INDEX(Clay_Brands!$A$2:$FZ$601,428,Sync!$D$12)),0),"")</f>
        <v/>
      </c>
      <c r="C4479" s="23" t="str">
        <f aca="false">IF(B4479="","","brand")</f>
        <v/>
      </c>
      <c r="D4479" s="23" t="str">
        <f aca="false">IF(B4479="","",IFERROR(INDEX(Brand_Log!$DV$2:$DV$201,MATCH(IFERROR(INDEX(Clay_Brands!$A$2:$FZ$601,428,Sync!$D$5)&amp;"",""),Brand_Log!$A$2:$A$201,0))&amp;"",IFERROR(INDEX(Clay_Brands!$A$2:$FZ$601,428,Sync!$D$5)&amp;"","")&amp;""))</f>
        <v/>
      </c>
      <c r="E4479" s="23" t="str">
        <f aca="false">IF(B4479="","",IFERROR(INDEX(Clay_Brands!$A$2:$FZ$601,428,Sync!$D$6)&amp;"",""))</f>
        <v/>
      </c>
      <c r="F4479" s="23" t="str">
        <f aca="false">IF(B4479="","","outreach_sent")</f>
        <v/>
      </c>
      <c r="G4479" s="23" t="str">
        <f aca="false">IF(B4479="","","")</f>
        <v/>
      </c>
      <c r="H4479" s="23" t="str">
        <f aca="false">IF(B4479="","","")</f>
        <v/>
      </c>
      <c r="I4479" s="23" t="str">
        <f aca="false">IF(B4479="","","")</f>
        <v/>
      </c>
      <c r="J4479" s="23" t="str">
        <f aca="false">IF(B4479="","","touch_2; "&amp;IFERROR(INDEX(Clay_Brands!$A$2:$FZ$601,428,Sync!$D$10)&amp;"","")&amp;"; "&amp;IFERROR(INDEX(Clay_Brands!$A$2:$FZ$601,428,Sync!$D$9)&amp;"",""))</f>
        <v/>
      </c>
      <c r="K4479" s="32" t="s">
        <v>1367</v>
      </c>
    </row>
    <row r="4480" customFormat="false" ht="15" hidden="false" customHeight="false" outlineLevel="0" collapsed="false">
      <c r="A4480" s="23" t="str">
        <f aca="false">IF(B4480="","",B4480+(16*1000+429)/10000000)</f>
        <v/>
      </c>
      <c r="B4480" s="35" t="str">
        <f aca="false">IF(AND(IFERROR(N(INDEX(Clay_Brands!$A$2:$FZ$601,429,Sync!$D$12)),0)&gt;0,IFERROR(INDEX(Clay_Brands!$A$2:$FZ$601,429,Sync!$D$5)&amp;"","")&lt;&gt;"",OR(LEFT(IFERROR(INDEX(Clay_Brands!$A$2:$FZ$601,429,Sync!$D$5)&amp;"",""),6)&lt;&gt;"SAMPLE",Config!$B$19="Y")),IFERROR(N(INDEX(Clay_Brands!$A$2:$FZ$601,429,Sync!$D$12)),0),"")</f>
        <v/>
      </c>
      <c r="C4480" s="23" t="str">
        <f aca="false">IF(B4480="","","brand")</f>
        <v/>
      </c>
      <c r="D4480" s="23" t="str">
        <f aca="false">IF(B4480="","",IFERROR(INDEX(Brand_Log!$DV$2:$DV$201,MATCH(IFERROR(INDEX(Clay_Brands!$A$2:$FZ$601,429,Sync!$D$5)&amp;"",""),Brand_Log!$A$2:$A$201,0))&amp;"",IFERROR(INDEX(Clay_Brands!$A$2:$FZ$601,429,Sync!$D$5)&amp;"","")&amp;""))</f>
        <v/>
      </c>
      <c r="E4480" s="23" t="str">
        <f aca="false">IF(B4480="","",IFERROR(INDEX(Clay_Brands!$A$2:$FZ$601,429,Sync!$D$6)&amp;"",""))</f>
        <v/>
      </c>
      <c r="F4480" s="23" t="str">
        <f aca="false">IF(B4480="","","outreach_sent")</f>
        <v/>
      </c>
      <c r="G4480" s="23" t="str">
        <f aca="false">IF(B4480="","","")</f>
        <v/>
      </c>
      <c r="H4480" s="23" t="str">
        <f aca="false">IF(B4480="","","")</f>
        <v/>
      </c>
      <c r="I4480" s="23" t="str">
        <f aca="false">IF(B4480="","","")</f>
        <v/>
      </c>
      <c r="J4480" s="23" t="str">
        <f aca="false">IF(B4480="","","touch_2; "&amp;IFERROR(INDEX(Clay_Brands!$A$2:$FZ$601,429,Sync!$D$10)&amp;"","")&amp;"; "&amp;IFERROR(INDEX(Clay_Brands!$A$2:$FZ$601,429,Sync!$D$9)&amp;"",""))</f>
        <v/>
      </c>
      <c r="K4480" s="32" t="s">
        <v>1367</v>
      </c>
    </row>
    <row r="4481" customFormat="false" ht="15" hidden="false" customHeight="false" outlineLevel="0" collapsed="false">
      <c r="A4481" s="23" t="str">
        <f aca="false">IF(B4481="","",B4481+(16*1000+430)/10000000)</f>
        <v/>
      </c>
      <c r="B4481" s="35" t="str">
        <f aca="false">IF(AND(IFERROR(N(INDEX(Clay_Brands!$A$2:$FZ$601,430,Sync!$D$12)),0)&gt;0,IFERROR(INDEX(Clay_Brands!$A$2:$FZ$601,430,Sync!$D$5)&amp;"","")&lt;&gt;"",OR(LEFT(IFERROR(INDEX(Clay_Brands!$A$2:$FZ$601,430,Sync!$D$5)&amp;"",""),6)&lt;&gt;"SAMPLE",Config!$B$19="Y")),IFERROR(N(INDEX(Clay_Brands!$A$2:$FZ$601,430,Sync!$D$12)),0),"")</f>
        <v/>
      </c>
      <c r="C4481" s="23" t="str">
        <f aca="false">IF(B4481="","","brand")</f>
        <v/>
      </c>
      <c r="D4481" s="23" t="str">
        <f aca="false">IF(B4481="","",IFERROR(INDEX(Brand_Log!$DV$2:$DV$201,MATCH(IFERROR(INDEX(Clay_Brands!$A$2:$FZ$601,430,Sync!$D$5)&amp;"",""),Brand_Log!$A$2:$A$201,0))&amp;"",IFERROR(INDEX(Clay_Brands!$A$2:$FZ$601,430,Sync!$D$5)&amp;"","")&amp;""))</f>
        <v/>
      </c>
      <c r="E4481" s="23" t="str">
        <f aca="false">IF(B4481="","",IFERROR(INDEX(Clay_Brands!$A$2:$FZ$601,430,Sync!$D$6)&amp;"",""))</f>
        <v/>
      </c>
      <c r="F4481" s="23" t="str">
        <f aca="false">IF(B4481="","","outreach_sent")</f>
        <v/>
      </c>
      <c r="G4481" s="23" t="str">
        <f aca="false">IF(B4481="","","")</f>
        <v/>
      </c>
      <c r="H4481" s="23" t="str">
        <f aca="false">IF(B4481="","","")</f>
        <v/>
      </c>
      <c r="I4481" s="23" t="str">
        <f aca="false">IF(B4481="","","")</f>
        <v/>
      </c>
      <c r="J4481" s="23" t="str">
        <f aca="false">IF(B4481="","","touch_2; "&amp;IFERROR(INDEX(Clay_Brands!$A$2:$FZ$601,430,Sync!$D$10)&amp;"","")&amp;"; "&amp;IFERROR(INDEX(Clay_Brands!$A$2:$FZ$601,430,Sync!$D$9)&amp;"",""))</f>
        <v/>
      </c>
      <c r="K4481" s="32" t="s">
        <v>1367</v>
      </c>
    </row>
    <row r="4482" customFormat="false" ht="15" hidden="false" customHeight="false" outlineLevel="0" collapsed="false">
      <c r="A4482" s="23" t="str">
        <f aca="false">IF(B4482="","",B4482+(16*1000+431)/10000000)</f>
        <v/>
      </c>
      <c r="B4482" s="35" t="str">
        <f aca="false">IF(AND(IFERROR(N(INDEX(Clay_Brands!$A$2:$FZ$601,431,Sync!$D$12)),0)&gt;0,IFERROR(INDEX(Clay_Brands!$A$2:$FZ$601,431,Sync!$D$5)&amp;"","")&lt;&gt;"",OR(LEFT(IFERROR(INDEX(Clay_Brands!$A$2:$FZ$601,431,Sync!$D$5)&amp;"",""),6)&lt;&gt;"SAMPLE",Config!$B$19="Y")),IFERROR(N(INDEX(Clay_Brands!$A$2:$FZ$601,431,Sync!$D$12)),0),"")</f>
        <v/>
      </c>
      <c r="C4482" s="23" t="str">
        <f aca="false">IF(B4482="","","brand")</f>
        <v/>
      </c>
      <c r="D4482" s="23" t="str">
        <f aca="false">IF(B4482="","",IFERROR(INDEX(Brand_Log!$DV$2:$DV$201,MATCH(IFERROR(INDEX(Clay_Brands!$A$2:$FZ$601,431,Sync!$D$5)&amp;"",""),Brand_Log!$A$2:$A$201,0))&amp;"",IFERROR(INDEX(Clay_Brands!$A$2:$FZ$601,431,Sync!$D$5)&amp;"","")&amp;""))</f>
        <v/>
      </c>
      <c r="E4482" s="23" t="str">
        <f aca="false">IF(B4482="","",IFERROR(INDEX(Clay_Brands!$A$2:$FZ$601,431,Sync!$D$6)&amp;"",""))</f>
        <v/>
      </c>
      <c r="F4482" s="23" t="str">
        <f aca="false">IF(B4482="","","outreach_sent")</f>
        <v/>
      </c>
      <c r="G4482" s="23" t="str">
        <f aca="false">IF(B4482="","","")</f>
        <v/>
      </c>
      <c r="H4482" s="23" t="str">
        <f aca="false">IF(B4482="","","")</f>
        <v/>
      </c>
      <c r="I4482" s="23" t="str">
        <f aca="false">IF(B4482="","","")</f>
        <v/>
      </c>
      <c r="J4482" s="23" t="str">
        <f aca="false">IF(B4482="","","touch_2; "&amp;IFERROR(INDEX(Clay_Brands!$A$2:$FZ$601,431,Sync!$D$10)&amp;"","")&amp;"; "&amp;IFERROR(INDEX(Clay_Brands!$A$2:$FZ$601,431,Sync!$D$9)&amp;"",""))</f>
        <v/>
      </c>
      <c r="K4482" s="32" t="s">
        <v>1367</v>
      </c>
    </row>
    <row r="4483" customFormat="false" ht="15" hidden="false" customHeight="false" outlineLevel="0" collapsed="false">
      <c r="A4483" s="23" t="str">
        <f aca="false">IF(B4483="","",B4483+(16*1000+432)/10000000)</f>
        <v/>
      </c>
      <c r="B4483" s="35" t="str">
        <f aca="false">IF(AND(IFERROR(N(INDEX(Clay_Brands!$A$2:$FZ$601,432,Sync!$D$12)),0)&gt;0,IFERROR(INDEX(Clay_Brands!$A$2:$FZ$601,432,Sync!$D$5)&amp;"","")&lt;&gt;"",OR(LEFT(IFERROR(INDEX(Clay_Brands!$A$2:$FZ$601,432,Sync!$D$5)&amp;"",""),6)&lt;&gt;"SAMPLE",Config!$B$19="Y")),IFERROR(N(INDEX(Clay_Brands!$A$2:$FZ$601,432,Sync!$D$12)),0),"")</f>
        <v/>
      </c>
      <c r="C4483" s="23" t="str">
        <f aca="false">IF(B4483="","","brand")</f>
        <v/>
      </c>
      <c r="D4483" s="23" t="str">
        <f aca="false">IF(B4483="","",IFERROR(INDEX(Brand_Log!$DV$2:$DV$201,MATCH(IFERROR(INDEX(Clay_Brands!$A$2:$FZ$601,432,Sync!$D$5)&amp;"",""),Brand_Log!$A$2:$A$201,0))&amp;"",IFERROR(INDEX(Clay_Brands!$A$2:$FZ$601,432,Sync!$D$5)&amp;"","")&amp;""))</f>
        <v/>
      </c>
      <c r="E4483" s="23" t="str">
        <f aca="false">IF(B4483="","",IFERROR(INDEX(Clay_Brands!$A$2:$FZ$601,432,Sync!$D$6)&amp;"",""))</f>
        <v/>
      </c>
      <c r="F4483" s="23" t="str">
        <f aca="false">IF(B4483="","","outreach_sent")</f>
        <v/>
      </c>
      <c r="G4483" s="23" t="str">
        <f aca="false">IF(B4483="","","")</f>
        <v/>
      </c>
      <c r="H4483" s="23" t="str">
        <f aca="false">IF(B4483="","","")</f>
        <v/>
      </c>
      <c r="I4483" s="23" t="str">
        <f aca="false">IF(B4483="","","")</f>
        <v/>
      </c>
      <c r="J4483" s="23" t="str">
        <f aca="false">IF(B4483="","","touch_2; "&amp;IFERROR(INDEX(Clay_Brands!$A$2:$FZ$601,432,Sync!$D$10)&amp;"","")&amp;"; "&amp;IFERROR(INDEX(Clay_Brands!$A$2:$FZ$601,432,Sync!$D$9)&amp;"",""))</f>
        <v/>
      </c>
      <c r="K4483" s="32" t="s">
        <v>1367</v>
      </c>
    </row>
    <row r="4484" customFormat="false" ht="15" hidden="false" customHeight="false" outlineLevel="0" collapsed="false">
      <c r="A4484" s="23" t="str">
        <f aca="false">IF(B4484="","",B4484+(16*1000+433)/10000000)</f>
        <v/>
      </c>
      <c r="B4484" s="35" t="str">
        <f aca="false">IF(AND(IFERROR(N(INDEX(Clay_Brands!$A$2:$FZ$601,433,Sync!$D$12)),0)&gt;0,IFERROR(INDEX(Clay_Brands!$A$2:$FZ$601,433,Sync!$D$5)&amp;"","")&lt;&gt;"",OR(LEFT(IFERROR(INDEX(Clay_Brands!$A$2:$FZ$601,433,Sync!$D$5)&amp;"",""),6)&lt;&gt;"SAMPLE",Config!$B$19="Y")),IFERROR(N(INDEX(Clay_Brands!$A$2:$FZ$601,433,Sync!$D$12)),0),"")</f>
        <v/>
      </c>
      <c r="C4484" s="23" t="str">
        <f aca="false">IF(B4484="","","brand")</f>
        <v/>
      </c>
      <c r="D4484" s="23" t="str">
        <f aca="false">IF(B4484="","",IFERROR(INDEX(Brand_Log!$DV$2:$DV$201,MATCH(IFERROR(INDEX(Clay_Brands!$A$2:$FZ$601,433,Sync!$D$5)&amp;"",""),Brand_Log!$A$2:$A$201,0))&amp;"",IFERROR(INDEX(Clay_Brands!$A$2:$FZ$601,433,Sync!$D$5)&amp;"","")&amp;""))</f>
        <v/>
      </c>
      <c r="E4484" s="23" t="str">
        <f aca="false">IF(B4484="","",IFERROR(INDEX(Clay_Brands!$A$2:$FZ$601,433,Sync!$D$6)&amp;"",""))</f>
        <v/>
      </c>
      <c r="F4484" s="23" t="str">
        <f aca="false">IF(B4484="","","outreach_sent")</f>
        <v/>
      </c>
      <c r="G4484" s="23" t="str">
        <f aca="false">IF(B4484="","","")</f>
        <v/>
      </c>
      <c r="H4484" s="23" t="str">
        <f aca="false">IF(B4484="","","")</f>
        <v/>
      </c>
      <c r="I4484" s="23" t="str">
        <f aca="false">IF(B4484="","","")</f>
        <v/>
      </c>
      <c r="J4484" s="23" t="str">
        <f aca="false">IF(B4484="","","touch_2; "&amp;IFERROR(INDEX(Clay_Brands!$A$2:$FZ$601,433,Sync!$D$10)&amp;"","")&amp;"; "&amp;IFERROR(INDEX(Clay_Brands!$A$2:$FZ$601,433,Sync!$D$9)&amp;"",""))</f>
        <v/>
      </c>
      <c r="K4484" s="32" t="s">
        <v>1367</v>
      </c>
    </row>
    <row r="4485" customFormat="false" ht="15" hidden="false" customHeight="false" outlineLevel="0" collapsed="false">
      <c r="A4485" s="23" t="str">
        <f aca="false">IF(B4485="","",B4485+(16*1000+434)/10000000)</f>
        <v/>
      </c>
      <c r="B4485" s="35" t="str">
        <f aca="false">IF(AND(IFERROR(N(INDEX(Clay_Brands!$A$2:$FZ$601,434,Sync!$D$12)),0)&gt;0,IFERROR(INDEX(Clay_Brands!$A$2:$FZ$601,434,Sync!$D$5)&amp;"","")&lt;&gt;"",OR(LEFT(IFERROR(INDEX(Clay_Brands!$A$2:$FZ$601,434,Sync!$D$5)&amp;"",""),6)&lt;&gt;"SAMPLE",Config!$B$19="Y")),IFERROR(N(INDEX(Clay_Brands!$A$2:$FZ$601,434,Sync!$D$12)),0),"")</f>
        <v/>
      </c>
      <c r="C4485" s="23" t="str">
        <f aca="false">IF(B4485="","","brand")</f>
        <v/>
      </c>
      <c r="D4485" s="23" t="str">
        <f aca="false">IF(B4485="","",IFERROR(INDEX(Brand_Log!$DV$2:$DV$201,MATCH(IFERROR(INDEX(Clay_Brands!$A$2:$FZ$601,434,Sync!$D$5)&amp;"",""),Brand_Log!$A$2:$A$201,0))&amp;"",IFERROR(INDEX(Clay_Brands!$A$2:$FZ$601,434,Sync!$D$5)&amp;"","")&amp;""))</f>
        <v/>
      </c>
      <c r="E4485" s="23" t="str">
        <f aca="false">IF(B4485="","",IFERROR(INDEX(Clay_Brands!$A$2:$FZ$601,434,Sync!$D$6)&amp;"",""))</f>
        <v/>
      </c>
      <c r="F4485" s="23" t="str">
        <f aca="false">IF(B4485="","","outreach_sent")</f>
        <v/>
      </c>
      <c r="G4485" s="23" t="str">
        <f aca="false">IF(B4485="","","")</f>
        <v/>
      </c>
      <c r="H4485" s="23" t="str">
        <f aca="false">IF(B4485="","","")</f>
        <v/>
      </c>
      <c r="I4485" s="23" t="str">
        <f aca="false">IF(B4485="","","")</f>
        <v/>
      </c>
      <c r="J4485" s="23" t="str">
        <f aca="false">IF(B4485="","","touch_2; "&amp;IFERROR(INDEX(Clay_Brands!$A$2:$FZ$601,434,Sync!$D$10)&amp;"","")&amp;"; "&amp;IFERROR(INDEX(Clay_Brands!$A$2:$FZ$601,434,Sync!$D$9)&amp;"",""))</f>
        <v/>
      </c>
      <c r="K4485" s="32" t="s">
        <v>1367</v>
      </c>
    </row>
    <row r="4486" customFormat="false" ht="15" hidden="false" customHeight="false" outlineLevel="0" collapsed="false">
      <c r="A4486" s="23" t="str">
        <f aca="false">IF(B4486="","",B4486+(16*1000+435)/10000000)</f>
        <v/>
      </c>
      <c r="B4486" s="35" t="str">
        <f aca="false">IF(AND(IFERROR(N(INDEX(Clay_Brands!$A$2:$FZ$601,435,Sync!$D$12)),0)&gt;0,IFERROR(INDEX(Clay_Brands!$A$2:$FZ$601,435,Sync!$D$5)&amp;"","")&lt;&gt;"",OR(LEFT(IFERROR(INDEX(Clay_Brands!$A$2:$FZ$601,435,Sync!$D$5)&amp;"",""),6)&lt;&gt;"SAMPLE",Config!$B$19="Y")),IFERROR(N(INDEX(Clay_Brands!$A$2:$FZ$601,435,Sync!$D$12)),0),"")</f>
        <v/>
      </c>
      <c r="C4486" s="23" t="str">
        <f aca="false">IF(B4486="","","brand")</f>
        <v/>
      </c>
      <c r="D4486" s="23" t="str">
        <f aca="false">IF(B4486="","",IFERROR(INDEX(Brand_Log!$DV$2:$DV$201,MATCH(IFERROR(INDEX(Clay_Brands!$A$2:$FZ$601,435,Sync!$D$5)&amp;"",""),Brand_Log!$A$2:$A$201,0))&amp;"",IFERROR(INDEX(Clay_Brands!$A$2:$FZ$601,435,Sync!$D$5)&amp;"","")&amp;""))</f>
        <v/>
      </c>
      <c r="E4486" s="23" t="str">
        <f aca="false">IF(B4486="","",IFERROR(INDEX(Clay_Brands!$A$2:$FZ$601,435,Sync!$D$6)&amp;"",""))</f>
        <v/>
      </c>
      <c r="F4486" s="23" t="str">
        <f aca="false">IF(B4486="","","outreach_sent")</f>
        <v/>
      </c>
      <c r="G4486" s="23" t="str">
        <f aca="false">IF(B4486="","","")</f>
        <v/>
      </c>
      <c r="H4486" s="23" t="str">
        <f aca="false">IF(B4486="","","")</f>
        <v/>
      </c>
      <c r="I4486" s="23" t="str">
        <f aca="false">IF(B4486="","","")</f>
        <v/>
      </c>
      <c r="J4486" s="23" t="str">
        <f aca="false">IF(B4486="","","touch_2; "&amp;IFERROR(INDEX(Clay_Brands!$A$2:$FZ$601,435,Sync!$D$10)&amp;"","")&amp;"; "&amp;IFERROR(INDEX(Clay_Brands!$A$2:$FZ$601,435,Sync!$D$9)&amp;"",""))</f>
        <v/>
      </c>
      <c r="K4486" s="32" t="s">
        <v>1367</v>
      </c>
    </row>
    <row r="4487" customFormat="false" ht="15" hidden="false" customHeight="false" outlineLevel="0" collapsed="false">
      <c r="A4487" s="23" t="str">
        <f aca="false">IF(B4487="","",B4487+(16*1000+436)/10000000)</f>
        <v/>
      </c>
      <c r="B4487" s="35" t="str">
        <f aca="false">IF(AND(IFERROR(N(INDEX(Clay_Brands!$A$2:$FZ$601,436,Sync!$D$12)),0)&gt;0,IFERROR(INDEX(Clay_Brands!$A$2:$FZ$601,436,Sync!$D$5)&amp;"","")&lt;&gt;"",OR(LEFT(IFERROR(INDEX(Clay_Brands!$A$2:$FZ$601,436,Sync!$D$5)&amp;"",""),6)&lt;&gt;"SAMPLE",Config!$B$19="Y")),IFERROR(N(INDEX(Clay_Brands!$A$2:$FZ$601,436,Sync!$D$12)),0),"")</f>
        <v/>
      </c>
      <c r="C4487" s="23" t="str">
        <f aca="false">IF(B4487="","","brand")</f>
        <v/>
      </c>
      <c r="D4487" s="23" t="str">
        <f aca="false">IF(B4487="","",IFERROR(INDEX(Brand_Log!$DV$2:$DV$201,MATCH(IFERROR(INDEX(Clay_Brands!$A$2:$FZ$601,436,Sync!$D$5)&amp;"",""),Brand_Log!$A$2:$A$201,0))&amp;"",IFERROR(INDEX(Clay_Brands!$A$2:$FZ$601,436,Sync!$D$5)&amp;"","")&amp;""))</f>
        <v/>
      </c>
      <c r="E4487" s="23" t="str">
        <f aca="false">IF(B4487="","",IFERROR(INDEX(Clay_Brands!$A$2:$FZ$601,436,Sync!$D$6)&amp;"",""))</f>
        <v/>
      </c>
      <c r="F4487" s="23" t="str">
        <f aca="false">IF(B4487="","","outreach_sent")</f>
        <v/>
      </c>
      <c r="G4487" s="23" t="str">
        <f aca="false">IF(B4487="","","")</f>
        <v/>
      </c>
      <c r="H4487" s="23" t="str">
        <f aca="false">IF(B4487="","","")</f>
        <v/>
      </c>
      <c r="I4487" s="23" t="str">
        <f aca="false">IF(B4487="","","")</f>
        <v/>
      </c>
      <c r="J4487" s="23" t="str">
        <f aca="false">IF(B4487="","","touch_2; "&amp;IFERROR(INDEX(Clay_Brands!$A$2:$FZ$601,436,Sync!$D$10)&amp;"","")&amp;"; "&amp;IFERROR(INDEX(Clay_Brands!$A$2:$FZ$601,436,Sync!$D$9)&amp;"",""))</f>
        <v/>
      </c>
      <c r="K4487" s="32" t="s">
        <v>1367</v>
      </c>
    </row>
    <row r="4488" customFormat="false" ht="15" hidden="false" customHeight="false" outlineLevel="0" collapsed="false">
      <c r="A4488" s="23" t="str">
        <f aca="false">IF(B4488="","",B4488+(16*1000+437)/10000000)</f>
        <v/>
      </c>
      <c r="B4488" s="35" t="str">
        <f aca="false">IF(AND(IFERROR(N(INDEX(Clay_Brands!$A$2:$FZ$601,437,Sync!$D$12)),0)&gt;0,IFERROR(INDEX(Clay_Brands!$A$2:$FZ$601,437,Sync!$D$5)&amp;"","")&lt;&gt;"",OR(LEFT(IFERROR(INDEX(Clay_Brands!$A$2:$FZ$601,437,Sync!$D$5)&amp;"",""),6)&lt;&gt;"SAMPLE",Config!$B$19="Y")),IFERROR(N(INDEX(Clay_Brands!$A$2:$FZ$601,437,Sync!$D$12)),0),"")</f>
        <v/>
      </c>
      <c r="C4488" s="23" t="str">
        <f aca="false">IF(B4488="","","brand")</f>
        <v/>
      </c>
      <c r="D4488" s="23" t="str">
        <f aca="false">IF(B4488="","",IFERROR(INDEX(Brand_Log!$DV$2:$DV$201,MATCH(IFERROR(INDEX(Clay_Brands!$A$2:$FZ$601,437,Sync!$D$5)&amp;"",""),Brand_Log!$A$2:$A$201,0))&amp;"",IFERROR(INDEX(Clay_Brands!$A$2:$FZ$601,437,Sync!$D$5)&amp;"","")&amp;""))</f>
        <v/>
      </c>
      <c r="E4488" s="23" t="str">
        <f aca="false">IF(B4488="","",IFERROR(INDEX(Clay_Brands!$A$2:$FZ$601,437,Sync!$D$6)&amp;"",""))</f>
        <v/>
      </c>
      <c r="F4488" s="23" t="str">
        <f aca="false">IF(B4488="","","outreach_sent")</f>
        <v/>
      </c>
      <c r="G4488" s="23" t="str">
        <f aca="false">IF(B4488="","","")</f>
        <v/>
      </c>
      <c r="H4488" s="23" t="str">
        <f aca="false">IF(B4488="","","")</f>
        <v/>
      </c>
      <c r="I4488" s="23" t="str">
        <f aca="false">IF(B4488="","","")</f>
        <v/>
      </c>
      <c r="J4488" s="23" t="str">
        <f aca="false">IF(B4488="","","touch_2; "&amp;IFERROR(INDEX(Clay_Brands!$A$2:$FZ$601,437,Sync!$D$10)&amp;"","")&amp;"; "&amp;IFERROR(INDEX(Clay_Brands!$A$2:$FZ$601,437,Sync!$D$9)&amp;"",""))</f>
        <v/>
      </c>
      <c r="K4488" s="32" t="s">
        <v>1367</v>
      </c>
    </row>
    <row r="4489" customFormat="false" ht="15" hidden="false" customHeight="false" outlineLevel="0" collapsed="false">
      <c r="A4489" s="23" t="str">
        <f aca="false">IF(B4489="","",B4489+(16*1000+438)/10000000)</f>
        <v/>
      </c>
      <c r="B4489" s="35" t="str">
        <f aca="false">IF(AND(IFERROR(N(INDEX(Clay_Brands!$A$2:$FZ$601,438,Sync!$D$12)),0)&gt;0,IFERROR(INDEX(Clay_Brands!$A$2:$FZ$601,438,Sync!$D$5)&amp;"","")&lt;&gt;"",OR(LEFT(IFERROR(INDEX(Clay_Brands!$A$2:$FZ$601,438,Sync!$D$5)&amp;"",""),6)&lt;&gt;"SAMPLE",Config!$B$19="Y")),IFERROR(N(INDEX(Clay_Brands!$A$2:$FZ$601,438,Sync!$D$12)),0),"")</f>
        <v/>
      </c>
      <c r="C4489" s="23" t="str">
        <f aca="false">IF(B4489="","","brand")</f>
        <v/>
      </c>
      <c r="D4489" s="23" t="str">
        <f aca="false">IF(B4489="","",IFERROR(INDEX(Brand_Log!$DV$2:$DV$201,MATCH(IFERROR(INDEX(Clay_Brands!$A$2:$FZ$601,438,Sync!$D$5)&amp;"",""),Brand_Log!$A$2:$A$201,0))&amp;"",IFERROR(INDEX(Clay_Brands!$A$2:$FZ$601,438,Sync!$D$5)&amp;"","")&amp;""))</f>
        <v/>
      </c>
      <c r="E4489" s="23" t="str">
        <f aca="false">IF(B4489="","",IFERROR(INDEX(Clay_Brands!$A$2:$FZ$601,438,Sync!$D$6)&amp;"",""))</f>
        <v/>
      </c>
      <c r="F4489" s="23" t="str">
        <f aca="false">IF(B4489="","","outreach_sent")</f>
        <v/>
      </c>
      <c r="G4489" s="23" t="str">
        <f aca="false">IF(B4489="","","")</f>
        <v/>
      </c>
      <c r="H4489" s="23" t="str">
        <f aca="false">IF(B4489="","","")</f>
        <v/>
      </c>
      <c r="I4489" s="23" t="str">
        <f aca="false">IF(B4489="","","")</f>
        <v/>
      </c>
      <c r="J4489" s="23" t="str">
        <f aca="false">IF(B4489="","","touch_2; "&amp;IFERROR(INDEX(Clay_Brands!$A$2:$FZ$601,438,Sync!$D$10)&amp;"","")&amp;"; "&amp;IFERROR(INDEX(Clay_Brands!$A$2:$FZ$601,438,Sync!$D$9)&amp;"",""))</f>
        <v/>
      </c>
      <c r="K4489" s="32" t="s">
        <v>1367</v>
      </c>
    </row>
    <row r="4490" customFormat="false" ht="15" hidden="false" customHeight="false" outlineLevel="0" collapsed="false">
      <c r="A4490" s="23" t="str">
        <f aca="false">IF(B4490="","",B4490+(16*1000+439)/10000000)</f>
        <v/>
      </c>
      <c r="B4490" s="35" t="str">
        <f aca="false">IF(AND(IFERROR(N(INDEX(Clay_Brands!$A$2:$FZ$601,439,Sync!$D$12)),0)&gt;0,IFERROR(INDEX(Clay_Brands!$A$2:$FZ$601,439,Sync!$D$5)&amp;"","")&lt;&gt;"",OR(LEFT(IFERROR(INDEX(Clay_Brands!$A$2:$FZ$601,439,Sync!$D$5)&amp;"",""),6)&lt;&gt;"SAMPLE",Config!$B$19="Y")),IFERROR(N(INDEX(Clay_Brands!$A$2:$FZ$601,439,Sync!$D$12)),0),"")</f>
        <v/>
      </c>
      <c r="C4490" s="23" t="str">
        <f aca="false">IF(B4490="","","brand")</f>
        <v/>
      </c>
      <c r="D4490" s="23" t="str">
        <f aca="false">IF(B4490="","",IFERROR(INDEX(Brand_Log!$DV$2:$DV$201,MATCH(IFERROR(INDEX(Clay_Brands!$A$2:$FZ$601,439,Sync!$D$5)&amp;"",""),Brand_Log!$A$2:$A$201,0))&amp;"",IFERROR(INDEX(Clay_Brands!$A$2:$FZ$601,439,Sync!$D$5)&amp;"","")&amp;""))</f>
        <v/>
      </c>
      <c r="E4490" s="23" t="str">
        <f aca="false">IF(B4490="","",IFERROR(INDEX(Clay_Brands!$A$2:$FZ$601,439,Sync!$D$6)&amp;"",""))</f>
        <v/>
      </c>
      <c r="F4490" s="23" t="str">
        <f aca="false">IF(B4490="","","outreach_sent")</f>
        <v/>
      </c>
      <c r="G4490" s="23" t="str">
        <f aca="false">IF(B4490="","","")</f>
        <v/>
      </c>
      <c r="H4490" s="23" t="str">
        <f aca="false">IF(B4490="","","")</f>
        <v/>
      </c>
      <c r="I4490" s="23" t="str">
        <f aca="false">IF(B4490="","","")</f>
        <v/>
      </c>
      <c r="J4490" s="23" t="str">
        <f aca="false">IF(B4490="","","touch_2; "&amp;IFERROR(INDEX(Clay_Brands!$A$2:$FZ$601,439,Sync!$D$10)&amp;"","")&amp;"; "&amp;IFERROR(INDEX(Clay_Brands!$A$2:$FZ$601,439,Sync!$D$9)&amp;"",""))</f>
        <v/>
      </c>
      <c r="K4490" s="32" t="s">
        <v>1367</v>
      </c>
    </row>
    <row r="4491" customFormat="false" ht="15" hidden="false" customHeight="false" outlineLevel="0" collapsed="false">
      <c r="A4491" s="23" t="str">
        <f aca="false">IF(B4491="","",B4491+(16*1000+440)/10000000)</f>
        <v/>
      </c>
      <c r="B4491" s="35" t="str">
        <f aca="false">IF(AND(IFERROR(N(INDEX(Clay_Brands!$A$2:$FZ$601,440,Sync!$D$12)),0)&gt;0,IFERROR(INDEX(Clay_Brands!$A$2:$FZ$601,440,Sync!$D$5)&amp;"","")&lt;&gt;"",OR(LEFT(IFERROR(INDEX(Clay_Brands!$A$2:$FZ$601,440,Sync!$D$5)&amp;"",""),6)&lt;&gt;"SAMPLE",Config!$B$19="Y")),IFERROR(N(INDEX(Clay_Brands!$A$2:$FZ$601,440,Sync!$D$12)),0),"")</f>
        <v/>
      </c>
      <c r="C4491" s="23" t="str">
        <f aca="false">IF(B4491="","","brand")</f>
        <v/>
      </c>
      <c r="D4491" s="23" t="str">
        <f aca="false">IF(B4491="","",IFERROR(INDEX(Brand_Log!$DV$2:$DV$201,MATCH(IFERROR(INDEX(Clay_Brands!$A$2:$FZ$601,440,Sync!$D$5)&amp;"",""),Brand_Log!$A$2:$A$201,0))&amp;"",IFERROR(INDEX(Clay_Brands!$A$2:$FZ$601,440,Sync!$D$5)&amp;"","")&amp;""))</f>
        <v/>
      </c>
      <c r="E4491" s="23" t="str">
        <f aca="false">IF(B4491="","",IFERROR(INDEX(Clay_Brands!$A$2:$FZ$601,440,Sync!$D$6)&amp;"",""))</f>
        <v/>
      </c>
      <c r="F4491" s="23" t="str">
        <f aca="false">IF(B4491="","","outreach_sent")</f>
        <v/>
      </c>
      <c r="G4491" s="23" t="str">
        <f aca="false">IF(B4491="","","")</f>
        <v/>
      </c>
      <c r="H4491" s="23" t="str">
        <f aca="false">IF(B4491="","","")</f>
        <v/>
      </c>
      <c r="I4491" s="23" t="str">
        <f aca="false">IF(B4491="","","")</f>
        <v/>
      </c>
      <c r="J4491" s="23" t="str">
        <f aca="false">IF(B4491="","","touch_2; "&amp;IFERROR(INDEX(Clay_Brands!$A$2:$FZ$601,440,Sync!$D$10)&amp;"","")&amp;"; "&amp;IFERROR(INDEX(Clay_Brands!$A$2:$FZ$601,440,Sync!$D$9)&amp;"",""))</f>
        <v/>
      </c>
      <c r="K4491" s="32" t="s">
        <v>1367</v>
      </c>
    </row>
    <row r="4492" customFormat="false" ht="15" hidden="false" customHeight="false" outlineLevel="0" collapsed="false">
      <c r="A4492" s="23" t="str">
        <f aca="false">IF(B4492="","",B4492+(16*1000+441)/10000000)</f>
        <v/>
      </c>
      <c r="B4492" s="35" t="str">
        <f aca="false">IF(AND(IFERROR(N(INDEX(Clay_Brands!$A$2:$FZ$601,441,Sync!$D$12)),0)&gt;0,IFERROR(INDEX(Clay_Brands!$A$2:$FZ$601,441,Sync!$D$5)&amp;"","")&lt;&gt;"",OR(LEFT(IFERROR(INDEX(Clay_Brands!$A$2:$FZ$601,441,Sync!$D$5)&amp;"",""),6)&lt;&gt;"SAMPLE",Config!$B$19="Y")),IFERROR(N(INDEX(Clay_Brands!$A$2:$FZ$601,441,Sync!$D$12)),0),"")</f>
        <v/>
      </c>
      <c r="C4492" s="23" t="str">
        <f aca="false">IF(B4492="","","brand")</f>
        <v/>
      </c>
      <c r="D4492" s="23" t="str">
        <f aca="false">IF(B4492="","",IFERROR(INDEX(Brand_Log!$DV$2:$DV$201,MATCH(IFERROR(INDEX(Clay_Brands!$A$2:$FZ$601,441,Sync!$D$5)&amp;"",""),Brand_Log!$A$2:$A$201,0))&amp;"",IFERROR(INDEX(Clay_Brands!$A$2:$FZ$601,441,Sync!$D$5)&amp;"","")&amp;""))</f>
        <v/>
      </c>
      <c r="E4492" s="23" t="str">
        <f aca="false">IF(B4492="","",IFERROR(INDEX(Clay_Brands!$A$2:$FZ$601,441,Sync!$D$6)&amp;"",""))</f>
        <v/>
      </c>
      <c r="F4492" s="23" t="str">
        <f aca="false">IF(B4492="","","outreach_sent")</f>
        <v/>
      </c>
      <c r="G4492" s="23" t="str">
        <f aca="false">IF(B4492="","","")</f>
        <v/>
      </c>
      <c r="H4492" s="23" t="str">
        <f aca="false">IF(B4492="","","")</f>
        <v/>
      </c>
      <c r="I4492" s="23" t="str">
        <f aca="false">IF(B4492="","","")</f>
        <v/>
      </c>
      <c r="J4492" s="23" t="str">
        <f aca="false">IF(B4492="","","touch_2; "&amp;IFERROR(INDEX(Clay_Brands!$A$2:$FZ$601,441,Sync!$D$10)&amp;"","")&amp;"; "&amp;IFERROR(INDEX(Clay_Brands!$A$2:$FZ$601,441,Sync!$D$9)&amp;"",""))</f>
        <v/>
      </c>
      <c r="K4492" s="32" t="s">
        <v>1367</v>
      </c>
    </row>
    <row r="4493" customFormat="false" ht="15" hidden="false" customHeight="false" outlineLevel="0" collapsed="false">
      <c r="A4493" s="23" t="str">
        <f aca="false">IF(B4493="","",B4493+(16*1000+442)/10000000)</f>
        <v/>
      </c>
      <c r="B4493" s="35" t="str">
        <f aca="false">IF(AND(IFERROR(N(INDEX(Clay_Brands!$A$2:$FZ$601,442,Sync!$D$12)),0)&gt;0,IFERROR(INDEX(Clay_Brands!$A$2:$FZ$601,442,Sync!$D$5)&amp;"","")&lt;&gt;"",OR(LEFT(IFERROR(INDEX(Clay_Brands!$A$2:$FZ$601,442,Sync!$D$5)&amp;"",""),6)&lt;&gt;"SAMPLE",Config!$B$19="Y")),IFERROR(N(INDEX(Clay_Brands!$A$2:$FZ$601,442,Sync!$D$12)),0),"")</f>
        <v/>
      </c>
      <c r="C4493" s="23" t="str">
        <f aca="false">IF(B4493="","","brand")</f>
        <v/>
      </c>
      <c r="D4493" s="23" t="str">
        <f aca="false">IF(B4493="","",IFERROR(INDEX(Brand_Log!$DV$2:$DV$201,MATCH(IFERROR(INDEX(Clay_Brands!$A$2:$FZ$601,442,Sync!$D$5)&amp;"",""),Brand_Log!$A$2:$A$201,0))&amp;"",IFERROR(INDEX(Clay_Brands!$A$2:$FZ$601,442,Sync!$D$5)&amp;"","")&amp;""))</f>
        <v/>
      </c>
      <c r="E4493" s="23" t="str">
        <f aca="false">IF(B4493="","",IFERROR(INDEX(Clay_Brands!$A$2:$FZ$601,442,Sync!$D$6)&amp;"",""))</f>
        <v/>
      </c>
      <c r="F4493" s="23" t="str">
        <f aca="false">IF(B4493="","","outreach_sent")</f>
        <v/>
      </c>
      <c r="G4493" s="23" t="str">
        <f aca="false">IF(B4493="","","")</f>
        <v/>
      </c>
      <c r="H4493" s="23" t="str">
        <f aca="false">IF(B4493="","","")</f>
        <v/>
      </c>
      <c r="I4493" s="23" t="str">
        <f aca="false">IF(B4493="","","")</f>
        <v/>
      </c>
      <c r="J4493" s="23" t="str">
        <f aca="false">IF(B4493="","","touch_2; "&amp;IFERROR(INDEX(Clay_Brands!$A$2:$FZ$601,442,Sync!$D$10)&amp;"","")&amp;"; "&amp;IFERROR(INDEX(Clay_Brands!$A$2:$FZ$601,442,Sync!$D$9)&amp;"",""))</f>
        <v/>
      </c>
      <c r="K4493" s="32" t="s">
        <v>1367</v>
      </c>
    </row>
    <row r="4494" customFormat="false" ht="15" hidden="false" customHeight="false" outlineLevel="0" collapsed="false">
      <c r="A4494" s="23" t="str">
        <f aca="false">IF(B4494="","",B4494+(16*1000+443)/10000000)</f>
        <v/>
      </c>
      <c r="B4494" s="35" t="str">
        <f aca="false">IF(AND(IFERROR(N(INDEX(Clay_Brands!$A$2:$FZ$601,443,Sync!$D$12)),0)&gt;0,IFERROR(INDEX(Clay_Brands!$A$2:$FZ$601,443,Sync!$D$5)&amp;"","")&lt;&gt;"",OR(LEFT(IFERROR(INDEX(Clay_Brands!$A$2:$FZ$601,443,Sync!$D$5)&amp;"",""),6)&lt;&gt;"SAMPLE",Config!$B$19="Y")),IFERROR(N(INDEX(Clay_Brands!$A$2:$FZ$601,443,Sync!$D$12)),0),"")</f>
        <v/>
      </c>
      <c r="C4494" s="23" t="str">
        <f aca="false">IF(B4494="","","brand")</f>
        <v/>
      </c>
      <c r="D4494" s="23" t="str">
        <f aca="false">IF(B4494="","",IFERROR(INDEX(Brand_Log!$DV$2:$DV$201,MATCH(IFERROR(INDEX(Clay_Brands!$A$2:$FZ$601,443,Sync!$D$5)&amp;"",""),Brand_Log!$A$2:$A$201,0))&amp;"",IFERROR(INDEX(Clay_Brands!$A$2:$FZ$601,443,Sync!$D$5)&amp;"","")&amp;""))</f>
        <v/>
      </c>
      <c r="E4494" s="23" t="str">
        <f aca="false">IF(B4494="","",IFERROR(INDEX(Clay_Brands!$A$2:$FZ$601,443,Sync!$D$6)&amp;"",""))</f>
        <v/>
      </c>
      <c r="F4494" s="23" t="str">
        <f aca="false">IF(B4494="","","outreach_sent")</f>
        <v/>
      </c>
      <c r="G4494" s="23" t="str">
        <f aca="false">IF(B4494="","","")</f>
        <v/>
      </c>
      <c r="H4494" s="23" t="str">
        <f aca="false">IF(B4494="","","")</f>
        <v/>
      </c>
      <c r="I4494" s="23" t="str">
        <f aca="false">IF(B4494="","","")</f>
        <v/>
      </c>
      <c r="J4494" s="23" t="str">
        <f aca="false">IF(B4494="","","touch_2; "&amp;IFERROR(INDEX(Clay_Brands!$A$2:$FZ$601,443,Sync!$D$10)&amp;"","")&amp;"; "&amp;IFERROR(INDEX(Clay_Brands!$A$2:$FZ$601,443,Sync!$D$9)&amp;"",""))</f>
        <v/>
      </c>
      <c r="K4494" s="32" t="s">
        <v>1367</v>
      </c>
    </row>
    <row r="4495" customFormat="false" ht="15" hidden="false" customHeight="false" outlineLevel="0" collapsed="false">
      <c r="A4495" s="23" t="str">
        <f aca="false">IF(B4495="","",B4495+(16*1000+444)/10000000)</f>
        <v/>
      </c>
      <c r="B4495" s="35" t="str">
        <f aca="false">IF(AND(IFERROR(N(INDEX(Clay_Brands!$A$2:$FZ$601,444,Sync!$D$12)),0)&gt;0,IFERROR(INDEX(Clay_Brands!$A$2:$FZ$601,444,Sync!$D$5)&amp;"","")&lt;&gt;"",OR(LEFT(IFERROR(INDEX(Clay_Brands!$A$2:$FZ$601,444,Sync!$D$5)&amp;"",""),6)&lt;&gt;"SAMPLE",Config!$B$19="Y")),IFERROR(N(INDEX(Clay_Brands!$A$2:$FZ$601,444,Sync!$D$12)),0),"")</f>
        <v/>
      </c>
      <c r="C4495" s="23" t="str">
        <f aca="false">IF(B4495="","","brand")</f>
        <v/>
      </c>
      <c r="D4495" s="23" t="str">
        <f aca="false">IF(B4495="","",IFERROR(INDEX(Brand_Log!$DV$2:$DV$201,MATCH(IFERROR(INDEX(Clay_Brands!$A$2:$FZ$601,444,Sync!$D$5)&amp;"",""),Brand_Log!$A$2:$A$201,0))&amp;"",IFERROR(INDEX(Clay_Brands!$A$2:$FZ$601,444,Sync!$D$5)&amp;"","")&amp;""))</f>
        <v/>
      </c>
      <c r="E4495" s="23" t="str">
        <f aca="false">IF(B4495="","",IFERROR(INDEX(Clay_Brands!$A$2:$FZ$601,444,Sync!$D$6)&amp;"",""))</f>
        <v/>
      </c>
      <c r="F4495" s="23" t="str">
        <f aca="false">IF(B4495="","","outreach_sent")</f>
        <v/>
      </c>
      <c r="G4495" s="23" t="str">
        <f aca="false">IF(B4495="","","")</f>
        <v/>
      </c>
      <c r="H4495" s="23" t="str">
        <f aca="false">IF(B4495="","","")</f>
        <v/>
      </c>
      <c r="I4495" s="23" t="str">
        <f aca="false">IF(B4495="","","")</f>
        <v/>
      </c>
      <c r="J4495" s="23" t="str">
        <f aca="false">IF(B4495="","","touch_2; "&amp;IFERROR(INDEX(Clay_Brands!$A$2:$FZ$601,444,Sync!$D$10)&amp;"","")&amp;"; "&amp;IFERROR(INDEX(Clay_Brands!$A$2:$FZ$601,444,Sync!$D$9)&amp;"",""))</f>
        <v/>
      </c>
      <c r="K4495" s="32" t="s">
        <v>1367</v>
      </c>
    </row>
    <row r="4496" customFormat="false" ht="15" hidden="false" customHeight="false" outlineLevel="0" collapsed="false">
      <c r="A4496" s="23" t="str">
        <f aca="false">IF(B4496="","",B4496+(16*1000+445)/10000000)</f>
        <v/>
      </c>
      <c r="B4496" s="35" t="str">
        <f aca="false">IF(AND(IFERROR(N(INDEX(Clay_Brands!$A$2:$FZ$601,445,Sync!$D$12)),0)&gt;0,IFERROR(INDEX(Clay_Brands!$A$2:$FZ$601,445,Sync!$D$5)&amp;"","")&lt;&gt;"",OR(LEFT(IFERROR(INDEX(Clay_Brands!$A$2:$FZ$601,445,Sync!$D$5)&amp;"",""),6)&lt;&gt;"SAMPLE",Config!$B$19="Y")),IFERROR(N(INDEX(Clay_Brands!$A$2:$FZ$601,445,Sync!$D$12)),0),"")</f>
        <v/>
      </c>
      <c r="C4496" s="23" t="str">
        <f aca="false">IF(B4496="","","brand")</f>
        <v/>
      </c>
      <c r="D4496" s="23" t="str">
        <f aca="false">IF(B4496="","",IFERROR(INDEX(Brand_Log!$DV$2:$DV$201,MATCH(IFERROR(INDEX(Clay_Brands!$A$2:$FZ$601,445,Sync!$D$5)&amp;"",""),Brand_Log!$A$2:$A$201,0))&amp;"",IFERROR(INDEX(Clay_Brands!$A$2:$FZ$601,445,Sync!$D$5)&amp;"","")&amp;""))</f>
        <v/>
      </c>
      <c r="E4496" s="23" t="str">
        <f aca="false">IF(B4496="","",IFERROR(INDEX(Clay_Brands!$A$2:$FZ$601,445,Sync!$D$6)&amp;"",""))</f>
        <v/>
      </c>
      <c r="F4496" s="23" t="str">
        <f aca="false">IF(B4496="","","outreach_sent")</f>
        <v/>
      </c>
      <c r="G4496" s="23" t="str">
        <f aca="false">IF(B4496="","","")</f>
        <v/>
      </c>
      <c r="H4496" s="23" t="str">
        <f aca="false">IF(B4496="","","")</f>
        <v/>
      </c>
      <c r="I4496" s="23" t="str">
        <f aca="false">IF(B4496="","","")</f>
        <v/>
      </c>
      <c r="J4496" s="23" t="str">
        <f aca="false">IF(B4496="","","touch_2; "&amp;IFERROR(INDEX(Clay_Brands!$A$2:$FZ$601,445,Sync!$D$10)&amp;"","")&amp;"; "&amp;IFERROR(INDEX(Clay_Brands!$A$2:$FZ$601,445,Sync!$D$9)&amp;"",""))</f>
        <v/>
      </c>
      <c r="K4496" s="32" t="s">
        <v>1367</v>
      </c>
    </row>
    <row r="4497" customFormat="false" ht="15" hidden="false" customHeight="false" outlineLevel="0" collapsed="false">
      <c r="A4497" s="23" t="str">
        <f aca="false">IF(B4497="","",B4497+(16*1000+446)/10000000)</f>
        <v/>
      </c>
      <c r="B4497" s="35" t="str">
        <f aca="false">IF(AND(IFERROR(N(INDEX(Clay_Brands!$A$2:$FZ$601,446,Sync!$D$12)),0)&gt;0,IFERROR(INDEX(Clay_Brands!$A$2:$FZ$601,446,Sync!$D$5)&amp;"","")&lt;&gt;"",OR(LEFT(IFERROR(INDEX(Clay_Brands!$A$2:$FZ$601,446,Sync!$D$5)&amp;"",""),6)&lt;&gt;"SAMPLE",Config!$B$19="Y")),IFERROR(N(INDEX(Clay_Brands!$A$2:$FZ$601,446,Sync!$D$12)),0),"")</f>
        <v/>
      </c>
      <c r="C4497" s="23" t="str">
        <f aca="false">IF(B4497="","","brand")</f>
        <v/>
      </c>
      <c r="D4497" s="23" t="str">
        <f aca="false">IF(B4497="","",IFERROR(INDEX(Brand_Log!$DV$2:$DV$201,MATCH(IFERROR(INDEX(Clay_Brands!$A$2:$FZ$601,446,Sync!$D$5)&amp;"",""),Brand_Log!$A$2:$A$201,0))&amp;"",IFERROR(INDEX(Clay_Brands!$A$2:$FZ$601,446,Sync!$D$5)&amp;"","")&amp;""))</f>
        <v/>
      </c>
      <c r="E4497" s="23" t="str">
        <f aca="false">IF(B4497="","",IFERROR(INDEX(Clay_Brands!$A$2:$FZ$601,446,Sync!$D$6)&amp;"",""))</f>
        <v/>
      </c>
      <c r="F4497" s="23" t="str">
        <f aca="false">IF(B4497="","","outreach_sent")</f>
        <v/>
      </c>
      <c r="G4497" s="23" t="str">
        <f aca="false">IF(B4497="","","")</f>
        <v/>
      </c>
      <c r="H4497" s="23" t="str">
        <f aca="false">IF(B4497="","","")</f>
        <v/>
      </c>
      <c r="I4497" s="23" t="str">
        <f aca="false">IF(B4497="","","")</f>
        <v/>
      </c>
      <c r="J4497" s="23" t="str">
        <f aca="false">IF(B4497="","","touch_2; "&amp;IFERROR(INDEX(Clay_Brands!$A$2:$FZ$601,446,Sync!$D$10)&amp;"","")&amp;"; "&amp;IFERROR(INDEX(Clay_Brands!$A$2:$FZ$601,446,Sync!$D$9)&amp;"",""))</f>
        <v/>
      </c>
      <c r="K4497" s="32" t="s">
        <v>1367</v>
      </c>
    </row>
    <row r="4498" customFormat="false" ht="15" hidden="false" customHeight="false" outlineLevel="0" collapsed="false">
      <c r="A4498" s="23" t="str">
        <f aca="false">IF(B4498="","",B4498+(16*1000+447)/10000000)</f>
        <v/>
      </c>
      <c r="B4498" s="35" t="str">
        <f aca="false">IF(AND(IFERROR(N(INDEX(Clay_Brands!$A$2:$FZ$601,447,Sync!$D$12)),0)&gt;0,IFERROR(INDEX(Clay_Brands!$A$2:$FZ$601,447,Sync!$D$5)&amp;"","")&lt;&gt;"",OR(LEFT(IFERROR(INDEX(Clay_Brands!$A$2:$FZ$601,447,Sync!$D$5)&amp;"",""),6)&lt;&gt;"SAMPLE",Config!$B$19="Y")),IFERROR(N(INDEX(Clay_Brands!$A$2:$FZ$601,447,Sync!$D$12)),0),"")</f>
        <v/>
      </c>
      <c r="C4498" s="23" t="str">
        <f aca="false">IF(B4498="","","brand")</f>
        <v/>
      </c>
      <c r="D4498" s="23" t="str">
        <f aca="false">IF(B4498="","",IFERROR(INDEX(Brand_Log!$DV$2:$DV$201,MATCH(IFERROR(INDEX(Clay_Brands!$A$2:$FZ$601,447,Sync!$D$5)&amp;"",""),Brand_Log!$A$2:$A$201,0))&amp;"",IFERROR(INDEX(Clay_Brands!$A$2:$FZ$601,447,Sync!$D$5)&amp;"","")&amp;""))</f>
        <v/>
      </c>
      <c r="E4498" s="23" t="str">
        <f aca="false">IF(B4498="","",IFERROR(INDEX(Clay_Brands!$A$2:$FZ$601,447,Sync!$D$6)&amp;"",""))</f>
        <v/>
      </c>
      <c r="F4498" s="23" t="str">
        <f aca="false">IF(B4498="","","outreach_sent")</f>
        <v/>
      </c>
      <c r="G4498" s="23" t="str">
        <f aca="false">IF(B4498="","","")</f>
        <v/>
      </c>
      <c r="H4498" s="23" t="str">
        <f aca="false">IF(B4498="","","")</f>
        <v/>
      </c>
      <c r="I4498" s="23" t="str">
        <f aca="false">IF(B4498="","","")</f>
        <v/>
      </c>
      <c r="J4498" s="23" t="str">
        <f aca="false">IF(B4498="","","touch_2; "&amp;IFERROR(INDEX(Clay_Brands!$A$2:$FZ$601,447,Sync!$D$10)&amp;"","")&amp;"; "&amp;IFERROR(INDEX(Clay_Brands!$A$2:$FZ$601,447,Sync!$D$9)&amp;"",""))</f>
        <v/>
      </c>
      <c r="K4498" s="32" t="s">
        <v>1367</v>
      </c>
    </row>
    <row r="4499" customFormat="false" ht="15" hidden="false" customHeight="false" outlineLevel="0" collapsed="false">
      <c r="A4499" s="23" t="str">
        <f aca="false">IF(B4499="","",B4499+(16*1000+448)/10000000)</f>
        <v/>
      </c>
      <c r="B4499" s="35" t="str">
        <f aca="false">IF(AND(IFERROR(N(INDEX(Clay_Brands!$A$2:$FZ$601,448,Sync!$D$12)),0)&gt;0,IFERROR(INDEX(Clay_Brands!$A$2:$FZ$601,448,Sync!$D$5)&amp;"","")&lt;&gt;"",OR(LEFT(IFERROR(INDEX(Clay_Brands!$A$2:$FZ$601,448,Sync!$D$5)&amp;"",""),6)&lt;&gt;"SAMPLE",Config!$B$19="Y")),IFERROR(N(INDEX(Clay_Brands!$A$2:$FZ$601,448,Sync!$D$12)),0),"")</f>
        <v/>
      </c>
      <c r="C4499" s="23" t="str">
        <f aca="false">IF(B4499="","","brand")</f>
        <v/>
      </c>
      <c r="D4499" s="23" t="str">
        <f aca="false">IF(B4499="","",IFERROR(INDEX(Brand_Log!$DV$2:$DV$201,MATCH(IFERROR(INDEX(Clay_Brands!$A$2:$FZ$601,448,Sync!$D$5)&amp;"",""),Brand_Log!$A$2:$A$201,0))&amp;"",IFERROR(INDEX(Clay_Brands!$A$2:$FZ$601,448,Sync!$D$5)&amp;"","")&amp;""))</f>
        <v/>
      </c>
      <c r="E4499" s="23" t="str">
        <f aca="false">IF(B4499="","",IFERROR(INDEX(Clay_Brands!$A$2:$FZ$601,448,Sync!$D$6)&amp;"",""))</f>
        <v/>
      </c>
      <c r="F4499" s="23" t="str">
        <f aca="false">IF(B4499="","","outreach_sent")</f>
        <v/>
      </c>
      <c r="G4499" s="23" t="str">
        <f aca="false">IF(B4499="","","")</f>
        <v/>
      </c>
      <c r="H4499" s="23" t="str">
        <f aca="false">IF(B4499="","","")</f>
        <v/>
      </c>
      <c r="I4499" s="23" t="str">
        <f aca="false">IF(B4499="","","")</f>
        <v/>
      </c>
      <c r="J4499" s="23" t="str">
        <f aca="false">IF(B4499="","","touch_2; "&amp;IFERROR(INDEX(Clay_Brands!$A$2:$FZ$601,448,Sync!$D$10)&amp;"","")&amp;"; "&amp;IFERROR(INDEX(Clay_Brands!$A$2:$FZ$601,448,Sync!$D$9)&amp;"",""))</f>
        <v/>
      </c>
      <c r="K4499" s="32" t="s">
        <v>1367</v>
      </c>
    </row>
    <row r="4500" customFormat="false" ht="15" hidden="false" customHeight="false" outlineLevel="0" collapsed="false">
      <c r="A4500" s="23" t="str">
        <f aca="false">IF(B4500="","",B4500+(16*1000+449)/10000000)</f>
        <v/>
      </c>
      <c r="B4500" s="35" t="str">
        <f aca="false">IF(AND(IFERROR(N(INDEX(Clay_Brands!$A$2:$FZ$601,449,Sync!$D$12)),0)&gt;0,IFERROR(INDEX(Clay_Brands!$A$2:$FZ$601,449,Sync!$D$5)&amp;"","")&lt;&gt;"",OR(LEFT(IFERROR(INDEX(Clay_Brands!$A$2:$FZ$601,449,Sync!$D$5)&amp;"",""),6)&lt;&gt;"SAMPLE",Config!$B$19="Y")),IFERROR(N(INDEX(Clay_Brands!$A$2:$FZ$601,449,Sync!$D$12)),0),"")</f>
        <v/>
      </c>
      <c r="C4500" s="23" t="str">
        <f aca="false">IF(B4500="","","brand")</f>
        <v/>
      </c>
      <c r="D4500" s="23" t="str">
        <f aca="false">IF(B4500="","",IFERROR(INDEX(Brand_Log!$DV$2:$DV$201,MATCH(IFERROR(INDEX(Clay_Brands!$A$2:$FZ$601,449,Sync!$D$5)&amp;"",""),Brand_Log!$A$2:$A$201,0))&amp;"",IFERROR(INDEX(Clay_Brands!$A$2:$FZ$601,449,Sync!$D$5)&amp;"","")&amp;""))</f>
        <v/>
      </c>
      <c r="E4500" s="23" t="str">
        <f aca="false">IF(B4500="","",IFERROR(INDEX(Clay_Brands!$A$2:$FZ$601,449,Sync!$D$6)&amp;"",""))</f>
        <v/>
      </c>
      <c r="F4500" s="23" t="str">
        <f aca="false">IF(B4500="","","outreach_sent")</f>
        <v/>
      </c>
      <c r="G4500" s="23" t="str">
        <f aca="false">IF(B4500="","","")</f>
        <v/>
      </c>
      <c r="H4500" s="23" t="str">
        <f aca="false">IF(B4500="","","")</f>
        <v/>
      </c>
      <c r="I4500" s="23" t="str">
        <f aca="false">IF(B4500="","","")</f>
        <v/>
      </c>
      <c r="J4500" s="23" t="str">
        <f aca="false">IF(B4500="","","touch_2; "&amp;IFERROR(INDEX(Clay_Brands!$A$2:$FZ$601,449,Sync!$D$10)&amp;"","")&amp;"; "&amp;IFERROR(INDEX(Clay_Brands!$A$2:$FZ$601,449,Sync!$D$9)&amp;"",""))</f>
        <v/>
      </c>
      <c r="K4500" s="32" t="s">
        <v>1367</v>
      </c>
    </row>
    <row r="4501" customFormat="false" ht="15" hidden="false" customHeight="false" outlineLevel="0" collapsed="false">
      <c r="A4501" s="23" t="str">
        <f aca="false">IF(B4501="","",B4501+(16*1000+450)/10000000)</f>
        <v/>
      </c>
      <c r="B4501" s="35" t="str">
        <f aca="false">IF(AND(IFERROR(N(INDEX(Clay_Brands!$A$2:$FZ$601,450,Sync!$D$12)),0)&gt;0,IFERROR(INDEX(Clay_Brands!$A$2:$FZ$601,450,Sync!$D$5)&amp;"","")&lt;&gt;"",OR(LEFT(IFERROR(INDEX(Clay_Brands!$A$2:$FZ$601,450,Sync!$D$5)&amp;"",""),6)&lt;&gt;"SAMPLE",Config!$B$19="Y")),IFERROR(N(INDEX(Clay_Brands!$A$2:$FZ$601,450,Sync!$D$12)),0),"")</f>
        <v/>
      </c>
      <c r="C4501" s="23" t="str">
        <f aca="false">IF(B4501="","","brand")</f>
        <v/>
      </c>
      <c r="D4501" s="23" t="str">
        <f aca="false">IF(B4501="","",IFERROR(INDEX(Brand_Log!$DV$2:$DV$201,MATCH(IFERROR(INDEX(Clay_Brands!$A$2:$FZ$601,450,Sync!$D$5)&amp;"",""),Brand_Log!$A$2:$A$201,0))&amp;"",IFERROR(INDEX(Clay_Brands!$A$2:$FZ$601,450,Sync!$D$5)&amp;"","")&amp;""))</f>
        <v/>
      </c>
      <c r="E4501" s="23" t="str">
        <f aca="false">IF(B4501="","",IFERROR(INDEX(Clay_Brands!$A$2:$FZ$601,450,Sync!$D$6)&amp;"",""))</f>
        <v/>
      </c>
      <c r="F4501" s="23" t="str">
        <f aca="false">IF(B4501="","","outreach_sent")</f>
        <v/>
      </c>
      <c r="G4501" s="23" t="str">
        <f aca="false">IF(B4501="","","")</f>
        <v/>
      </c>
      <c r="H4501" s="23" t="str">
        <f aca="false">IF(B4501="","","")</f>
        <v/>
      </c>
      <c r="I4501" s="23" t="str">
        <f aca="false">IF(B4501="","","")</f>
        <v/>
      </c>
      <c r="J4501" s="23" t="str">
        <f aca="false">IF(B4501="","","touch_2; "&amp;IFERROR(INDEX(Clay_Brands!$A$2:$FZ$601,450,Sync!$D$10)&amp;"","")&amp;"; "&amp;IFERROR(INDEX(Clay_Brands!$A$2:$FZ$601,450,Sync!$D$9)&amp;"",""))</f>
        <v/>
      </c>
      <c r="K4501" s="32" t="s">
        <v>1367</v>
      </c>
    </row>
    <row r="4502" customFormat="false" ht="15" hidden="false" customHeight="false" outlineLevel="0" collapsed="false">
      <c r="A4502" s="23" t="str">
        <f aca="false">IF(B4502="","",B4502+(16*1000+451)/10000000)</f>
        <v/>
      </c>
      <c r="B4502" s="35" t="str">
        <f aca="false">IF(AND(IFERROR(N(INDEX(Clay_Brands!$A$2:$FZ$601,451,Sync!$D$12)),0)&gt;0,IFERROR(INDEX(Clay_Brands!$A$2:$FZ$601,451,Sync!$D$5)&amp;"","")&lt;&gt;"",OR(LEFT(IFERROR(INDEX(Clay_Brands!$A$2:$FZ$601,451,Sync!$D$5)&amp;"",""),6)&lt;&gt;"SAMPLE",Config!$B$19="Y")),IFERROR(N(INDEX(Clay_Brands!$A$2:$FZ$601,451,Sync!$D$12)),0),"")</f>
        <v/>
      </c>
      <c r="C4502" s="23" t="str">
        <f aca="false">IF(B4502="","","brand")</f>
        <v/>
      </c>
      <c r="D4502" s="23" t="str">
        <f aca="false">IF(B4502="","",IFERROR(INDEX(Brand_Log!$DV$2:$DV$201,MATCH(IFERROR(INDEX(Clay_Brands!$A$2:$FZ$601,451,Sync!$D$5)&amp;"",""),Brand_Log!$A$2:$A$201,0))&amp;"",IFERROR(INDEX(Clay_Brands!$A$2:$FZ$601,451,Sync!$D$5)&amp;"","")&amp;""))</f>
        <v/>
      </c>
      <c r="E4502" s="23" t="str">
        <f aca="false">IF(B4502="","",IFERROR(INDEX(Clay_Brands!$A$2:$FZ$601,451,Sync!$D$6)&amp;"",""))</f>
        <v/>
      </c>
      <c r="F4502" s="23" t="str">
        <f aca="false">IF(B4502="","","outreach_sent")</f>
        <v/>
      </c>
      <c r="G4502" s="23" t="str">
        <f aca="false">IF(B4502="","","")</f>
        <v/>
      </c>
      <c r="H4502" s="23" t="str">
        <f aca="false">IF(B4502="","","")</f>
        <v/>
      </c>
      <c r="I4502" s="23" t="str">
        <f aca="false">IF(B4502="","","")</f>
        <v/>
      </c>
      <c r="J4502" s="23" t="str">
        <f aca="false">IF(B4502="","","touch_2; "&amp;IFERROR(INDEX(Clay_Brands!$A$2:$FZ$601,451,Sync!$D$10)&amp;"","")&amp;"; "&amp;IFERROR(INDEX(Clay_Brands!$A$2:$FZ$601,451,Sync!$D$9)&amp;"",""))</f>
        <v/>
      </c>
      <c r="K4502" s="32" t="s">
        <v>1367</v>
      </c>
    </row>
    <row r="4503" customFormat="false" ht="15" hidden="false" customHeight="false" outlineLevel="0" collapsed="false">
      <c r="A4503" s="23" t="str">
        <f aca="false">IF(B4503="","",B4503+(16*1000+452)/10000000)</f>
        <v/>
      </c>
      <c r="B4503" s="35" t="str">
        <f aca="false">IF(AND(IFERROR(N(INDEX(Clay_Brands!$A$2:$FZ$601,452,Sync!$D$12)),0)&gt;0,IFERROR(INDEX(Clay_Brands!$A$2:$FZ$601,452,Sync!$D$5)&amp;"","")&lt;&gt;"",OR(LEFT(IFERROR(INDEX(Clay_Brands!$A$2:$FZ$601,452,Sync!$D$5)&amp;"",""),6)&lt;&gt;"SAMPLE",Config!$B$19="Y")),IFERROR(N(INDEX(Clay_Brands!$A$2:$FZ$601,452,Sync!$D$12)),0),"")</f>
        <v/>
      </c>
      <c r="C4503" s="23" t="str">
        <f aca="false">IF(B4503="","","brand")</f>
        <v/>
      </c>
      <c r="D4503" s="23" t="str">
        <f aca="false">IF(B4503="","",IFERROR(INDEX(Brand_Log!$DV$2:$DV$201,MATCH(IFERROR(INDEX(Clay_Brands!$A$2:$FZ$601,452,Sync!$D$5)&amp;"",""),Brand_Log!$A$2:$A$201,0))&amp;"",IFERROR(INDEX(Clay_Brands!$A$2:$FZ$601,452,Sync!$D$5)&amp;"","")&amp;""))</f>
        <v/>
      </c>
      <c r="E4503" s="23" t="str">
        <f aca="false">IF(B4503="","",IFERROR(INDEX(Clay_Brands!$A$2:$FZ$601,452,Sync!$D$6)&amp;"",""))</f>
        <v/>
      </c>
      <c r="F4503" s="23" t="str">
        <f aca="false">IF(B4503="","","outreach_sent")</f>
        <v/>
      </c>
      <c r="G4503" s="23" t="str">
        <f aca="false">IF(B4503="","","")</f>
        <v/>
      </c>
      <c r="H4503" s="23" t="str">
        <f aca="false">IF(B4503="","","")</f>
        <v/>
      </c>
      <c r="I4503" s="23" t="str">
        <f aca="false">IF(B4503="","","")</f>
        <v/>
      </c>
      <c r="J4503" s="23" t="str">
        <f aca="false">IF(B4503="","","touch_2; "&amp;IFERROR(INDEX(Clay_Brands!$A$2:$FZ$601,452,Sync!$D$10)&amp;"","")&amp;"; "&amp;IFERROR(INDEX(Clay_Brands!$A$2:$FZ$601,452,Sync!$D$9)&amp;"",""))</f>
        <v/>
      </c>
      <c r="K4503" s="32" t="s">
        <v>1367</v>
      </c>
    </row>
    <row r="4504" customFormat="false" ht="15" hidden="false" customHeight="false" outlineLevel="0" collapsed="false">
      <c r="A4504" s="23" t="str">
        <f aca="false">IF(B4504="","",B4504+(16*1000+453)/10000000)</f>
        <v/>
      </c>
      <c r="B4504" s="35" t="str">
        <f aca="false">IF(AND(IFERROR(N(INDEX(Clay_Brands!$A$2:$FZ$601,453,Sync!$D$12)),0)&gt;0,IFERROR(INDEX(Clay_Brands!$A$2:$FZ$601,453,Sync!$D$5)&amp;"","")&lt;&gt;"",OR(LEFT(IFERROR(INDEX(Clay_Brands!$A$2:$FZ$601,453,Sync!$D$5)&amp;"",""),6)&lt;&gt;"SAMPLE",Config!$B$19="Y")),IFERROR(N(INDEX(Clay_Brands!$A$2:$FZ$601,453,Sync!$D$12)),0),"")</f>
        <v/>
      </c>
      <c r="C4504" s="23" t="str">
        <f aca="false">IF(B4504="","","brand")</f>
        <v/>
      </c>
      <c r="D4504" s="23" t="str">
        <f aca="false">IF(B4504="","",IFERROR(INDEX(Brand_Log!$DV$2:$DV$201,MATCH(IFERROR(INDEX(Clay_Brands!$A$2:$FZ$601,453,Sync!$D$5)&amp;"",""),Brand_Log!$A$2:$A$201,0))&amp;"",IFERROR(INDEX(Clay_Brands!$A$2:$FZ$601,453,Sync!$D$5)&amp;"","")&amp;""))</f>
        <v/>
      </c>
      <c r="E4504" s="23" t="str">
        <f aca="false">IF(B4504="","",IFERROR(INDEX(Clay_Brands!$A$2:$FZ$601,453,Sync!$D$6)&amp;"",""))</f>
        <v/>
      </c>
      <c r="F4504" s="23" t="str">
        <f aca="false">IF(B4504="","","outreach_sent")</f>
        <v/>
      </c>
      <c r="G4504" s="23" t="str">
        <f aca="false">IF(B4504="","","")</f>
        <v/>
      </c>
      <c r="H4504" s="23" t="str">
        <f aca="false">IF(B4504="","","")</f>
        <v/>
      </c>
      <c r="I4504" s="23" t="str">
        <f aca="false">IF(B4504="","","")</f>
        <v/>
      </c>
      <c r="J4504" s="23" t="str">
        <f aca="false">IF(B4504="","","touch_2; "&amp;IFERROR(INDEX(Clay_Brands!$A$2:$FZ$601,453,Sync!$D$10)&amp;"","")&amp;"; "&amp;IFERROR(INDEX(Clay_Brands!$A$2:$FZ$601,453,Sync!$D$9)&amp;"",""))</f>
        <v/>
      </c>
      <c r="K4504" s="32" t="s">
        <v>1367</v>
      </c>
    </row>
    <row r="4505" customFormat="false" ht="15" hidden="false" customHeight="false" outlineLevel="0" collapsed="false">
      <c r="A4505" s="23" t="str">
        <f aca="false">IF(B4505="","",B4505+(16*1000+454)/10000000)</f>
        <v/>
      </c>
      <c r="B4505" s="35" t="str">
        <f aca="false">IF(AND(IFERROR(N(INDEX(Clay_Brands!$A$2:$FZ$601,454,Sync!$D$12)),0)&gt;0,IFERROR(INDEX(Clay_Brands!$A$2:$FZ$601,454,Sync!$D$5)&amp;"","")&lt;&gt;"",OR(LEFT(IFERROR(INDEX(Clay_Brands!$A$2:$FZ$601,454,Sync!$D$5)&amp;"",""),6)&lt;&gt;"SAMPLE",Config!$B$19="Y")),IFERROR(N(INDEX(Clay_Brands!$A$2:$FZ$601,454,Sync!$D$12)),0),"")</f>
        <v/>
      </c>
      <c r="C4505" s="23" t="str">
        <f aca="false">IF(B4505="","","brand")</f>
        <v/>
      </c>
      <c r="D4505" s="23" t="str">
        <f aca="false">IF(B4505="","",IFERROR(INDEX(Brand_Log!$DV$2:$DV$201,MATCH(IFERROR(INDEX(Clay_Brands!$A$2:$FZ$601,454,Sync!$D$5)&amp;"",""),Brand_Log!$A$2:$A$201,0))&amp;"",IFERROR(INDEX(Clay_Brands!$A$2:$FZ$601,454,Sync!$D$5)&amp;"","")&amp;""))</f>
        <v/>
      </c>
      <c r="E4505" s="23" t="str">
        <f aca="false">IF(B4505="","",IFERROR(INDEX(Clay_Brands!$A$2:$FZ$601,454,Sync!$D$6)&amp;"",""))</f>
        <v/>
      </c>
      <c r="F4505" s="23" t="str">
        <f aca="false">IF(B4505="","","outreach_sent")</f>
        <v/>
      </c>
      <c r="G4505" s="23" t="str">
        <f aca="false">IF(B4505="","","")</f>
        <v/>
      </c>
      <c r="H4505" s="23" t="str">
        <f aca="false">IF(B4505="","","")</f>
        <v/>
      </c>
      <c r="I4505" s="23" t="str">
        <f aca="false">IF(B4505="","","")</f>
        <v/>
      </c>
      <c r="J4505" s="23" t="str">
        <f aca="false">IF(B4505="","","touch_2; "&amp;IFERROR(INDEX(Clay_Brands!$A$2:$FZ$601,454,Sync!$D$10)&amp;"","")&amp;"; "&amp;IFERROR(INDEX(Clay_Brands!$A$2:$FZ$601,454,Sync!$D$9)&amp;"",""))</f>
        <v/>
      </c>
      <c r="K4505" s="32" t="s">
        <v>1367</v>
      </c>
    </row>
    <row r="4506" customFormat="false" ht="15" hidden="false" customHeight="false" outlineLevel="0" collapsed="false">
      <c r="A4506" s="23" t="str">
        <f aca="false">IF(B4506="","",B4506+(16*1000+455)/10000000)</f>
        <v/>
      </c>
      <c r="B4506" s="35" t="str">
        <f aca="false">IF(AND(IFERROR(N(INDEX(Clay_Brands!$A$2:$FZ$601,455,Sync!$D$12)),0)&gt;0,IFERROR(INDEX(Clay_Brands!$A$2:$FZ$601,455,Sync!$D$5)&amp;"","")&lt;&gt;"",OR(LEFT(IFERROR(INDEX(Clay_Brands!$A$2:$FZ$601,455,Sync!$D$5)&amp;"",""),6)&lt;&gt;"SAMPLE",Config!$B$19="Y")),IFERROR(N(INDEX(Clay_Brands!$A$2:$FZ$601,455,Sync!$D$12)),0),"")</f>
        <v/>
      </c>
      <c r="C4506" s="23" t="str">
        <f aca="false">IF(B4506="","","brand")</f>
        <v/>
      </c>
      <c r="D4506" s="23" t="str">
        <f aca="false">IF(B4506="","",IFERROR(INDEX(Brand_Log!$DV$2:$DV$201,MATCH(IFERROR(INDEX(Clay_Brands!$A$2:$FZ$601,455,Sync!$D$5)&amp;"",""),Brand_Log!$A$2:$A$201,0))&amp;"",IFERROR(INDEX(Clay_Brands!$A$2:$FZ$601,455,Sync!$D$5)&amp;"","")&amp;""))</f>
        <v/>
      </c>
      <c r="E4506" s="23" t="str">
        <f aca="false">IF(B4506="","",IFERROR(INDEX(Clay_Brands!$A$2:$FZ$601,455,Sync!$D$6)&amp;"",""))</f>
        <v/>
      </c>
      <c r="F4506" s="23" t="str">
        <f aca="false">IF(B4506="","","outreach_sent")</f>
        <v/>
      </c>
      <c r="G4506" s="23" t="str">
        <f aca="false">IF(B4506="","","")</f>
        <v/>
      </c>
      <c r="H4506" s="23" t="str">
        <f aca="false">IF(B4506="","","")</f>
        <v/>
      </c>
      <c r="I4506" s="23" t="str">
        <f aca="false">IF(B4506="","","")</f>
        <v/>
      </c>
      <c r="J4506" s="23" t="str">
        <f aca="false">IF(B4506="","","touch_2; "&amp;IFERROR(INDEX(Clay_Brands!$A$2:$FZ$601,455,Sync!$D$10)&amp;"","")&amp;"; "&amp;IFERROR(INDEX(Clay_Brands!$A$2:$FZ$601,455,Sync!$D$9)&amp;"",""))</f>
        <v/>
      </c>
      <c r="K4506" s="32" t="s">
        <v>1367</v>
      </c>
    </row>
    <row r="4507" customFormat="false" ht="15" hidden="false" customHeight="false" outlineLevel="0" collapsed="false">
      <c r="A4507" s="23" t="str">
        <f aca="false">IF(B4507="","",B4507+(16*1000+456)/10000000)</f>
        <v/>
      </c>
      <c r="B4507" s="35" t="str">
        <f aca="false">IF(AND(IFERROR(N(INDEX(Clay_Brands!$A$2:$FZ$601,456,Sync!$D$12)),0)&gt;0,IFERROR(INDEX(Clay_Brands!$A$2:$FZ$601,456,Sync!$D$5)&amp;"","")&lt;&gt;"",OR(LEFT(IFERROR(INDEX(Clay_Brands!$A$2:$FZ$601,456,Sync!$D$5)&amp;"",""),6)&lt;&gt;"SAMPLE",Config!$B$19="Y")),IFERROR(N(INDEX(Clay_Brands!$A$2:$FZ$601,456,Sync!$D$12)),0),"")</f>
        <v/>
      </c>
      <c r="C4507" s="23" t="str">
        <f aca="false">IF(B4507="","","brand")</f>
        <v/>
      </c>
      <c r="D4507" s="23" t="str">
        <f aca="false">IF(B4507="","",IFERROR(INDEX(Brand_Log!$DV$2:$DV$201,MATCH(IFERROR(INDEX(Clay_Brands!$A$2:$FZ$601,456,Sync!$D$5)&amp;"",""),Brand_Log!$A$2:$A$201,0))&amp;"",IFERROR(INDEX(Clay_Brands!$A$2:$FZ$601,456,Sync!$D$5)&amp;"","")&amp;""))</f>
        <v/>
      </c>
      <c r="E4507" s="23" t="str">
        <f aca="false">IF(B4507="","",IFERROR(INDEX(Clay_Brands!$A$2:$FZ$601,456,Sync!$D$6)&amp;"",""))</f>
        <v/>
      </c>
      <c r="F4507" s="23" t="str">
        <f aca="false">IF(B4507="","","outreach_sent")</f>
        <v/>
      </c>
      <c r="G4507" s="23" t="str">
        <f aca="false">IF(B4507="","","")</f>
        <v/>
      </c>
      <c r="H4507" s="23" t="str">
        <f aca="false">IF(B4507="","","")</f>
        <v/>
      </c>
      <c r="I4507" s="23" t="str">
        <f aca="false">IF(B4507="","","")</f>
        <v/>
      </c>
      <c r="J4507" s="23" t="str">
        <f aca="false">IF(B4507="","","touch_2; "&amp;IFERROR(INDEX(Clay_Brands!$A$2:$FZ$601,456,Sync!$D$10)&amp;"","")&amp;"; "&amp;IFERROR(INDEX(Clay_Brands!$A$2:$FZ$601,456,Sync!$D$9)&amp;"",""))</f>
        <v/>
      </c>
      <c r="K4507" s="32" t="s">
        <v>1367</v>
      </c>
    </row>
    <row r="4508" customFormat="false" ht="15" hidden="false" customHeight="false" outlineLevel="0" collapsed="false">
      <c r="A4508" s="23" t="str">
        <f aca="false">IF(B4508="","",B4508+(16*1000+457)/10000000)</f>
        <v/>
      </c>
      <c r="B4508" s="35" t="str">
        <f aca="false">IF(AND(IFERROR(N(INDEX(Clay_Brands!$A$2:$FZ$601,457,Sync!$D$12)),0)&gt;0,IFERROR(INDEX(Clay_Brands!$A$2:$FZ$601,457,Sync!$D$5)&amp;"","")&lt;&gt;"",OR(LEFT(IFERROR(INDEX(Clay_Brands!$A$2:$FZ$601,457,Sync!$D$5)&amp;"",""),6)&lt;&gt;"SAMPLE",Config!$B$19="Y")),IFERROR(N(INDEX(Clay_Brands!$A$2:$FZ$601,457,Sync!$D$12)),0),"")</f>
        <v/>
      </c>
      <c r="C4508" s="23" t="str">
        <f aca="false">IF(B4508="","","brand")</f>
        <v/>
      </c>
      <c r="D4508" s="23" t="str">
        <f aca="false">IF(B4508="","",IFERROR(INDEX(Brand_Log!$DV$2:$DV$201,MATCH(IFERROR(INDEX(Clay_Brands!$A$2:$FZ$601,457,Sync!$D$5)&amp;"",""),Brand_Log!$A$2:$A$201,0))&amp;"",IFERROR(INDEX(Clay_Brands!$A$2:$FZ$601,457,Sync!$D$5)&amp;"","")&amp;""))</f>
        <v/>
      </c>
      <c r="E4508" s="23" t="str">
        <f aca="false">IF(B4508="","",IFERROR(INDEX(Clay_Brands!$A$2:$FZ$601,457,Sync!$D$6)&amp;"",""))</f>
        <v/>
      </c>
      <c r="F4508" s="23" t="str">
        <f aca="false">IF(B4508="","","outreach_sent")</f>
        <v/>
      </c>
      <c r="G4508" s="23" t="str">
        <f aca="false">IF(B4508="","","")</f>
        <v/>
      </c>
      <c r="H4508" s="23" t="str">
        <f aca="false">IF(B4508="","","")</f>
        <v/>
      </c>
      <c r="I4508" s="23" t="str">
        <f aca="false">IF(B4508="","","")</f>
        <v/>
      </c>
      <c r="J4508" s="23" t="str">
        <f aca="false">IF(B4508="","","touch_2; "&amp;IFERROR(INDEX(Clay_Brands!$A$2:$FZ$601,457,Sync!$D$10)&amp;"","")&amp;"; "&amp;IFERROR(INDEX(Clay_Brands!$A$2:$FZ$601,457,Sync!$D$9)&amp;"",""))</f>
        <v/>
      </c>
      <c r="K4508" s="32" t="s">
        <v>1367</v>
      </c>
    </row>
    <row r="4509" customFormat="false" ht="15" hidden="false" customHeight="false" outlineLevel="0" collapsed="false">
      <c r="A4509" s="23" t="str">
        <f aca="false">IF(B4509="","",B4509+(16*1000+458)/10000000)</f>
        <v/>
      </c>
      <c r="B4509" s="35" t="str">
        <f aca="false">IF(AND(IFERROR(N(INDEX(Clay_Brands!$A$2:$FZ$601,458,Sync!$D$12)),0)&gt;0,IFERROR(INDEX(Clay_Brands!$A$2:$FZ$601,458,Sync!$D$5)&amp;"","")&lt;&gt;"",OR(LEFT(IFERROR(INDEX(Clay_Brands!$A$2:$FZ$601,458,Sync!$D$5)&amp;"",""),6)&lt;&gt;"SAMPLE",Config!$B$19="Y")),IFERROR(N(INDEX(Clay_Brands!$A$2:$FZ$601,458,Sync!$D$12)),0),"")</f>
        <v/>
      </c>
      <c r="C4509" s="23" t="str">
        <f aca="false">IF(B4509="","","brand")</f>
        <v/>
      </c>
      <c r="D4509" s="23" t="str">
        <f aca="false">IF(B4509="","",IFERROR(INDEX(Brand_Log!$DV$2:$DV$201,MATCH(IFERROR(INDEX(Clay_Brands!$A$2:$FZ$601,458,Sync!$D$5)&amp;"",""),Brand_Log!$A$2:$A$201,0))&amp;"",IFERROR(INDEX(Clay_Brands!$A$2:$FZ$601,458,Sync!$D$5)&amp;"","")&amp;""))</f>
        <v/>
      </c>
      <c r="E4509" s="23" t="str">
        <f aca="false">IF(B4509="","",IFERROR(INDEX(Clay_Brands!$A$2:$FZ$601,458,Sync!$D$6)&amp;"",""))</f>
        <v/>
      </c>
      <c r="F4509" s="23" t="str">
        <f aca="false">IF(B4509="","","outreach_sent")</f>
        <v/>
      </c>
      <c r="G4509" s="23" t="str">
        <f aca="false">IF(B4509="","","")</f>
        <v/>
      </c>
      <c r="H4509" s="23" t="str">
        <f aca="false">IF(B4509="","","")</f>
        <v/>
      </c>
      <c r="I4509" s="23" t="str">
        <f aca="false">IF(B4509="","","")</f>
        <v/>
      </c>
      <c r="J4509" s="23" t="str">
        <f aca="false">IF(B4509="","","touch_2; "&amp;IFERROR(INDEX(Clay_Brands!$A$2:$FZ$601,458,Sync!$D$10)&amp;"","")&amp;"; "&amp;IFERROR(INDEX(Clay_Brands!$A$2:$FZ$601,458,Sync!$D$9)&amp;"",""))</f>
        <v/>
      </c>
      <c r="K4509" s="32" t="s">
        <v>1367</v>
      </c>
    </row>
    <row r="4510" customFormat="false" ht="15" hidden="false" customHeight="false" outlineLevel="0" collapsed="false">
      <c r="A4510" s="23" t="str">
        <f aca="false">IF(B4510="","",B4510+(16*1000+459)/10000000)</f>
        <v/>
      </c>
      <c r="B4510" s="35" t="str">
        <f aca="false">IF(AND(IFERROR(N(INDEX(Clay_Brands!$A$2:$FZ$601,459,Sync!$D$12)),0)&gt;0,IFERROR(INDEX(Clay_Brands!$A$2:$FZ$601,459,Sync!$D$5)&amp;"","")&lt;&gt;"",OR(LEFT(IFERROR(INDEX(Clay_Brands!$A$2:$FZ$601,459,Sync!$D$5)&amp;"",""),6)&lt;&gt;"SAMPLE",Config!$B$19="Y")),IFERROR(N(INDEX(Clay_Brands!$A$2:$FZ$601,459,Sync!$D$12)),0),"")</f>
        <v/>
      </c>
      <c r="C4510" s="23" t="str">
        <f aca="false">IF(B4510="","","brand")</f>
        <v/>
      </c>
      <c r="D4510" s="23" t="str">
        <f aca="false">IF(B4510="","",IFERROR(INDEX(Brand_Log!$DV$2:$DV$201,MATCH(IFERROR(INDEX(Clay_Brands!$A$2:$FZ$601,459,Sync!$D$5)&amp;"",""),Brand_Log!$A$2:$A$201,0))&amp;"",IFERROR(INDEX(Clay_Brands!$A$2:$FZ$601,459,Sync!$D$5)&amp;"","")&amp;""))</f>
        <v/>
      </c>
      <c r="E4510" s="23" t="str">
        <f aca="false">IF(B4510="","",IFERROR(INDEX(Clay_Brands!$A$2:$FZ$601,459,Sync!$D$6)&amp;"",""))</f>
        <v/>
      </c>
      <c r="F4510" s="23" t="str">
        <f aca="false">IF(B4510="","","outreach_sent")</f>
        <v/>
      </c>
      <c r="G4510" s="23" t="str">
        <f aca="false">IF(B4510="","","")</f>
        <v/>
      </c>
      <c r="H4510" s="23" t="str">
        <f aca="false">IF(B4510="","","")</f>
        <v/>
      </c>
      <c r="I4510" s="23" t="str">
        <f aca="false">IF(B4510="","","")</f>
        <v/>
      </c>
      <c r="J4510" s="23" t="str">
        <f aca="false">IF(B4510="","","touch_2; "&amp;IFERROR(INDEX(Clay_Brands!$A$2:$FZ$601,459,Sync!$D$10)&amp;"","")&amp;"; "&amp;IFERROR(INDEX(Clay_Brands!$A$2:$FZ$601,459,Sync!$D$9)&amp;"",""))</f>
        <v/>
      </c>
      <c r="K4510" s="32" t="s">
        <v>1367</v>
      </c>
    </row>
    <row r="4511" customFormat="false" ht="15" hidden="false" customHeight="false" outlineLevel="0" collapsed="false">
      <c r="A4511" s="23" t="str">
        <f aca="false">IF(B4511="","",B4511+(16*1000+460)/10000000)</f>
        <v/>
      </c>
      <c r="B4511" s="35" t="str">
        <f aca="false">IF(AND(IFERROR(N(INDEX(Clay_Brands!$A$2:$FZ$601,460,Sync!$D$12)),0)&gt;0,IFERROR(INDEX(Clay_Brands!$A$2:$FZ$601,460,Sync!$D$5)&amp;"","")&lt;&gt;"",OR(LEFT(IFERROR(INDEX(Clay_Brands!$A$2:$FZ$601,460,Sync!$D$5)&amp;"",""),6)&lt;&gt;"SAMPLE",Config!$B$19="Y")),IFERROR(N(INDEX(Clay_Brands!$A$2:$FZ$601,460,Sync!$D$12)),0),"")</f>
        <v/>
      </c>
      <c r="C4511" s="23" t="str">
        <f aca="false">IF(B4511="","","brand")</f>
        <v/>
      </c>
      <c r="D4511" s="23" t="str">
        <f aca="false">IF(B4511="","",IFERROR(INDEX(Brand_Log!$DV$2:$DV$201,MATCH(IFERROR(INDEX(Clay_Brands!$A$2:$FZ$601,460,Sync!$D$5)&amp;"",""),Brand_Log!$A$2:$A$201,0))&amp;"",IFERROR(INDEX(Clay_Brands!$A$2:$FZ$601,460,Sync!$D$5)&amp;"","")&amp;""))</f>
        <v/>
      </c>
      <c r="E4511" s="23" t="str">
        <f aca="false">IF(B4511="","",IFERROR(INDEX(Clay_Brands!$A$2:$FZ$601,460,Sync!$D$6)&amp;"",""))</f>
        <v/>
      </c>
      <c r="F4511" s="23" t="str">
        <f aca="false">IF(B4511="","","outreach_sent")</f>
        <v/>
      </c>
      <c r="G4511" s="23" t="str">
        <f aca="false">IF(B4511="","","")</f>
        <v/>
      </c>
      <c r="H4511" s="23" t="str">
        <f aca="false">IF(B4511="","","")</f>
        <v/>
      </c>
      <c r="I4511" s="23" t="str">
        <f aca="false">IF(B4511="","","")</f>
        <v/>
      </c>
      <c r="J4511" s="23" t="str">
        <f aca="false">IF(B4511="","","touch_2; "&amp;IFERROR(INDEX(Clay_Brands!$A$2:$FZ$601,460,Sync!$D$10)&amp;"","")&amp;"; "&amp;IFERROR(INDEX(Clay_Brands!$A$2:$FZ$601,460,Sync!$D$9)&amp;"",""))</f>
        <v/>
      </c>
      <c r="K4511" s="32" t="s">
        <v>1367</v>
      </c>
    </row>
    <row r="4512" customFormat="false" ht="15" hidden="false" customHeight="false" outlineLevel="0" collapsed="false">
      <c r="A4512" s="23" t="str">
        <f aca="false">IF(B4512="","",B4512+(16*1000+461)/10000000)</f>
        <v/>
      </c>
      <c r="B4512" s="35" t="str">
        <f aca="false">IF(AND(IFERROR(N(INDEX(Clay_Brands!$A$2:$FZ$601,461,Sync!$D$12)),0)&gt;0,IFERROR(INDEX(Clay_Brands!$A$2:$FZ$601,461,Sync!$D$5)&amp;"","")&lt;&gt;"",OR(LEFT(IFERROR(INDEX(Clay_Brands!$A$2:$FZ$601,461,Sync!$D$5)&amp;"",""),6)&lt;&gt;"SAMPLE",Config!$B$19="Y")),IFERROR(N(INDEX(Clay_Brands!$A$2:$FZ$601,461,Sync!$D$12)),0),"")</f>
        <v/>
      </c>
      <c r="C4512" s="23" t="str">
        <f aca="false">IF(B4512="","","brand")</f>
        <v/>
      </c>
      <c r="D4512" s="23" t="str">
        <f aca="false">IF(B4512="","",IFERROR(INDEX(Brand_Log!$DV$2:$DV$201,MATCH(IFERROR(INDEX(Clay_Brands!$A$2:$FZ$601,461,Sync!$D$5)&amp;"",""),Brand_Log!$A$2:$A$201,0))&amp;"",IFERROR(INDEX(Clay_Brands!$A$2:$FZ$601,461,Sync!$D$5)&amp;"","")&amp;""))</f>
        <v/>
      </c>
      <c r="E4512" s="23" t="str">
        <f aca="false">IF(B4512="","",IFERROR(INDEX(Clay_Brands!$A$2:$FZ$601,461,Sync!$D$6)&amp;"",""))</f>
        <v/>
      </c>
      <c r="F4512" s="23" t="str">
        <f aca="false">IF(B4512="","","outreach_sent")</f>
        <v/>
      </c>
      <c r="G4512" s="23" t="str">
        <f aca="false">IF(B4512="","","")</f>
        <v/>
      </c>
      <c r="H4512" s="23" t="str">
        <f aca="false">IF(B4512="","","")</f>
        <v/>
      </c>
      <c r="I4512" s="23" t="str">
        <f aca="false">IF(B4512="","","")</f>
        <v/>
      </c>
      <c r="J4512" s="23" t="str">
        <f aca="false">IF(B4512="","","touch_2; "&amp;IFERROR(INDEX(Clay_Brands!$A$2:$FZ$601,461,Sync!$D$10)&amp;"","")&amp;"; "&amp;IFERROR(INDEX(Clay_Brands!$A$2:$FZ$601,461,Sync!$D$9)&amp;"",""))</f>
        <v/>
      </c>
      <c r="K4512" s="32" t="s">
        <v>1367</v>
      </c>
    </row>
    <row r="4513" customFormat="false" ht="15" hidden="false" customHeight="false" outlineLevel="0" collapsed="false">
      <c r="A4513" s="23" t="str">
        <f aca="false">IF(B4513="","",B4513+(16*1000+462)/10000000)</f>
        <v/>
      </c>
      <c r="B4513" s="35" t="str">
        <f aca="false">IF(AND(IFERROR(N(INDEX(Clay_Brands!$A$2:$FZ$601,462,Sync!$D$12)),0)&gt;0,IFERROR(INDEX(Clay_Brands!$A$2:$FZ$601,462,Sync!$D$5)&amp;"","")&lt;&gt;"",OR(LEFT(IFERROR(INDEX(Clay_Brands!$A$2:$FZ$601,462,Sync!$D$5)&amp;"",""),6)&lt;&gt;"SAMPLE",Config!$B$19="Y")),IFERROR(N(INDEX(Clay_Brands!$A$2:$FZ$601,462,Sync!$D$12)),0),"")</f>
        <v/>
      </c>
      <c r="C4513" s="23" t="str">
        <f aca="false">IF(B4513="","","brand")</f>
        <v/>
      </c>
      <c r="D4513" s="23" t="str">
        <f aca="false">IF(B4513="","",IFERROR(INDEX(Brand_Log!$DV$2:$DV$201,MATCH(IFERROR(INDEX(Clay_Brands!$A$2:$FZ$601,462,Sync!$D$5)&amp;"",""),Brand_Log!$A$2:$A$201,0))&amp;"",IFERROR(INDEX(Clay_Brands!$A$2:$FZ$601,462,Sync!$D$5)&amp;"","")&amp;""))</f>
        <v/>
      </c>
      <c r="E4513" s="23" t="str">
        <f aca="false">IF(B4513="","",IFERROR(INDEX(Clay_Brands!$A$2:$FZ$601,462,Sync!$D$6)&amp;"",""))</f>
        <v/>
      </c>
      <c r="F4513" s="23" t="str">
        <f aca="false">IF(B4513="","","outreach_sent")</f>
        <v/>
      </c>
      <c r="G4513" s="23" t="str">
        <f aca="false">IF(B4513="","","")</f>
        <v/>
      </c>
      <c r="H4513" s="23" t="str">
        <f aca="false">IF(B4513="","","")</f>
        <v/>
      </c>
      <c r="I4513" s="23" t="str">
        <f aca="false">IF(B4513="","","")</f>
        <v/>
      </c>
      <c r="J4513" s="23" t="str">
        <f aca="false">IF(B4513="","","touch_2; "&amp;IFERROR(INDEX(Clay_Brands!$A$2:$FZ$601,462,Sync!$D$10)&amp;"","")&amp;"; "&amp;IFERROR(INDEX(Clay_Brands!$A$2:$FZ$601,462,Sync!$D$9)&amp;"",""))</f>
        <v/>
      </c>
      <c r="K4513" s="32" t="s">
        <v>1367</v>
      </c>
    </row>
    <row r="4514" customFormat="false" ht="15" hidden="false" customHeight="false" outlineLevel="0" collapsed="false">
      <c r="A4514" s="23" t="str">
        <f aca="false">IF(B4514="","",B4514+(16*1000+463)/10000000)</f>
        <v/>
      </c>
      <c r="B4514" s="35" t="str">
        <f aca="false">IF(AND(IFERROR(N(INDEX(Clay_Brands!$A$2:$FZ$601,463,Sync!$D$12)),0)&gt;0,IFERROR(INDEX(Clay_Brands!$A$2:$FZ$601,463,Sync!$D$5)&amp;"","")&lt;&gt;"",OR(LEFT(IFERROR(INDEX(Clay_Brands!$A$2:$FZ$601,463,Sync!$D$5)&amp;"",""),6)&lt;&gt;"SAMPLE",Config!$B$19="Y")),IFERROR(N(INDEX(Clay_Brands!$A$2:$FZ$601,463,Sync!$D$12)),0),"")</f>
        <v/>
      </c>
      <c r="C4514" s="23" t="str">
        <f aca="false">IF(B4514="","","brand")</f>
        <v/>
      </c>
      <c r="D4514" s="23" t="str">
        <f aca="false">IF(B4514="","",IFERROR(INDEX(Brand_Log!$DV$2:$DV$201,MATCH(IFERROR(INDEX(Clay_Brands!$A$2:$FZ$601,463,Sync!$D$5)&amp;"",""),Brand_Log!$A$2:$A$201,0))&amp;"",IFERROR(INDEX(Clay_Brands!$A$2:$FZ$601,463,Sync!$D$5)&amp;"","")&amp;""))</f>
        <v/>
      </c>
      <c r="E4514" s="23" t="str">
        <f aca="false">IF(B4514="","",IFERROR(INDEX(Clay_Brands!$A$2:$FZ$601,463,Sync!$D$6)&amp;"",""))</f>
        <v/>
      </c>
      <c r="F4514" s="23" t="str">
        <f aca="false">IF(B4514="","","outreach_sent")</f>
        <v/>
      </c>
      <c r="G4514" s="23" t="str">
        <f aca="false">IF(B4514="","","")</f>
        <v/>
      </c>
      <c r="H4514" s="23" t="str">
        <f aca="false">IF(B4514="","","")</f>
        <v/>
      </c>
      <c r="I4514" s="23" t="str">
        <f aca="false">IF(B4514="","","")</f>
        <v/>
      </c>
      <c r="J4514" s="23" t="str">
        <f aca="false">IF(B4514="","","touch_2; "&amp;IFERROR(INDEX(Clay_Brands!$A$2:$FZ$601,463,Sync!$D$10)&amp;"","")&amp;"; "&amp;IFERROR(INDEX(Clay_Brands!$A$2:$FZ$601,463,Sync!$D$9)&amp;"",""))</f>
        <v/>
      </c>
      <c r="K4514" s="32" t="s">
        <v>1367</v>
      </c>
    </row>
    <row r="4515" customFormat="false" ht="15" hidden="false" customHeight="false" outlineLevel="0" collapsed="false">
      <c r="A4515" s="23" t="str">
        <f aca="false">IF(B4515="","",B4515+(16*1000+464)/10000000)</f>
        <v/>
      </c>
      <c r="B4515" s="35" t="str">
        <f aca="false">IF(AND(IFERROR(N(INDEX(Clay_Brands!$A$2:$FZ$601,464,Sync!$D$12)),0)&gt;0,IFERROR(INDEX(Clay_Brands!$A$2:$FZ$601,464,Sync!$D$5)&amp;"","")&lt;&gt;"",OR(LEFT(IFERROR(INDEX(Clay_Brands!$A$2:$FZ$601,464,Sync!$D$5)&amp;"",""),6)&lt;&gt;"SAMPLE",Config!$B$19="Y")),IFERROR(N(INDEX(Clay_Brands!$A$2:$FZ$601,464,Sync!$D$12)),0),"")</f>
        <v/>
      </c>
      <c r="C4515" s="23" t="str">
        <f aca="false">IF(B4515="","","brand")</f>
        <v/>
      </c>
      <c r="D4515" s="23" t="str">
        <f aca="false">IF(B4515="","",IFERROR(INDEX(Brand_Log!$DV$2:$DV$201,MATCH(IFERROR(INDEX(Clay_Brands!$A$2:$FZ$601,464,Sync!$D$5)&amp;"",""),Brand_Log!$A$2:$A$201,0))&amp;"",IFERROR(INDEX(Clay_Brands!$A$2:$FZ$601,464,Sync!$D$5)&amp;"","")&amp;""))</f>
        <v/>
      </c>
      <c r="E4515" s="23" t="str">
        <f aca="false">IF(B4515="","",IFERROR(INDEX(Clay_Brands!$A$2:$FZ$601,464,Sync!$D$6)&amp;"",""))</f>
        <v/>
      </c>
      <c r="F4515" s="23" t="str">
        <f aca="false">IF(B4515="","","outreach_sent")</f>
        <v/>
      </c>
      <c r="G4515" s="23" t="str">
        <f aca="false">IF(B4515="","","")</f>
        <v/>
      </c>
      <c r="H4515" s="23" t="str">
        <f aca="false">IF(B4515="","","")</f>
        <v/>
      </c>
      <c r="I4515" s="23" t="str">
        <f aca="false">IF(B4515="","","")</f>
        <v/>
      </c>
      <c r="J4515" s="23" t="str">
        <f aca="false">IF(B4515="","","touch_2; "&amp;IFERROR(INDEX(Clay_Brands!$A$2:$FZ$601,464,Sync!$D$10)&amp;"","")&amp;"; "&amp;IFERROR(INDEX(Clay_Brands!$A$2:$FZ$601,464,Sync!$D$9)&amp;"",""))</f>
        <v/>
      </c>
      <c r="K4515" s="32" t="s">
        <v>1367</v>
      </c>
    </row>
    <row r="4516" customFormat="false" ht="15" hidden="false" customHeight="false" outlineLevel="0" collapsed="false">
      <c r="A4516" s="23" t="str">
        <f aca="false">IF(B4516="","",B4516+(16*1000+465)/10000000)</f>
        <v/>
      </c>
      <c r="B4516" s="35" t="str">
        <f aca="false">IF(AND(IFERROR(N(INDEX(Clay_Brands!$A$2:$FZ$601,465,Sync!$D$12)),0)&gt;0,IFERROR(INDEX(Clay_Brands!$A$2:$FZ$601,465,Sync!$D$5)&amp;"","")&lt;&gt;"",OR(LEFT(IFERROR(INDEX(Clay_Brands!$A$2:$FZ$601,465,Sync!$D$5)&amp;"",""),6)&lt;&gt;"SAMPLE",Config!$B$19="Y")),IFERROR(N(INDEX(Clay_Brands!$A$2:$FZ$601,465,Sync!$D$12)),0),"")</f>
        <v/>
      </c>
      <c r="C4516" s="23" t="str">
        <f aca="false">IF(B4516="","","brand")</f>
        <v/>
      </c>
      <c r="D4516" s="23" t="str">
        <f aca="false">IF(B4516="","",IFERROR(INDEX(Brand_Log!$DV$2:$DV$201,MATCH(IFERROR(INDEX(Clay_Brands!$A$2:$FZ$601,465,Sync!$D$5)&amp;"",""),Brand_Log!$A$2:$A$201,0))&amp;"",IFERROR(INDEX(Clay_Brands!$A$2:$FZ$601,465,Sync!$D$5)&amp;"","")&amp;""))</f>
        <v/>
      </c>
      <c r="E4516" s="23" t="str">
        <f aca="false">IF(B4516="","",IFERROR(INDEX(Clay_Brands!$A$2:$FZ$601,465,Sync!$D$6)&amp;"",""))</f>
        <v/>
      </c>
      <c r="F4516" s="23" t="str">
        <f aca="false">IF(B4516="","","outreach_sent")</f>
        <v/>
      </c>
      <c r="G4516" s="23" t="str">
        <f aca="false">IF(B4516="","","")</f>
        <v/>
      </c>
      <c r="H4516" s="23" t="str">
        <f aca="false">IF(B4516="","","")</f>
        <v/>
      </c>
      <c r="I4516" s="23" t="str">
        <f aca="false">IF(B4516="","","")</f>
        <v/>
      </c>
      <c r="J4516" s="23" t="str">
        <f aca="false">IF(B4516="","","touch_2; "&amp;IFERROR(INDEX(Clay_Brands!$A$2:$FZ$601,465,Sync!$D$10)&amp;"","")&amp;"; "&amp;IFERROR(INDEX(Clay_Brands!$A$2:$FZ$601,465,Sync!$D$9)&amp;"",""))</f>
        <v/>
      </c>
      <c r="K4516" s="32" t="s">
        <v>1367</v>
      </c>
    </row>
    <row r="4517" customFormat="false" ht="15" hidden="false" customHeight="false" outlineLevel="0" collapsed="false">
      <c r="A4517" s="23" t="str">
        <f aca="false">IF(B4517="","",B4517+(16*1000+466)/10000000)</f>
        <v/>
      </c>
      <c r="B4517" s="35" t="str">
        <f aca="false">IF(AND(IFERROR(N(INDEX(Clay_Brands!$A$2:$FZ$601,466,Sync!$D$12)),0)&gt;0,IFERROR(INDEX(Clay_Brands!$A$2:$FZ$601,466,Sync!$D$5)&amp;"","")&lt;&gt;"",OR(LEFT(IFERROR(INDEX(Clay_Brands!$A$2:$FZ$601,466,Sync!$D$5)&amp;"",""),6)&lt;&gt;"SAMPLE",Config!$B$19="Y")),IFERROR(N(INDEX(Clay_Brands!$A$2:$FZ$601,466,Sync!$D$12)),0),"")</f>
        <v/>
      </c>
      <c r="C4517" s="23" t="str">
        <f aca="false">IF(B4517="","","brand")</f>
        <v/>
      </c>
      <c r="D4517" s="23" t="str">
        <f aca="false">IF(B4517="","",IFERROR(INDEX(Brand_Log!$DV$2:$DV$201,MATCH(IFERROR(INDEX(Clay_Brands!$A$2:$FZ$601,466,Sync!$D$5)&amp;"",""),Brand_Log!$A$2:$A$201,0))&amp;"",IFERROR(INDEX(Clay_Brands!$A$2:$FZ$601,466,Sync!$D$5)&amp;"","")&amp;""))</f>
        <v/>
      </c>
      <c r="E4517" s="23" t="str">
        <f aca="false">IF(B4517="","",IFERROR(INDEX(Clay_Brands!$A$2:$FZ$601,466,Sync!$D$6)&amp;"",""))</f>
        <v/>
      </c>
      <c r="F4517" s="23" t="str">
        <f aca="false">IF(B4517="","","outreach_sent")</f>
        <v/>
      </c>
      <c r="G4517" s="23" t="str">
        <f aca="false">IF(B4517="","","")</f>
        <v/>
      </c>
      <c r="H4517" s="23" t="str">
        <f aca="false">IF(B4517="","","")</f>
        <v/>
      </c>
      <c r="I4517" s="23" t="str">
        <f aca="false">IF(B4517="","","")</f>
        <v/>
      </c>
      <c r="J4517" s="23" t="str">
        <f aca="false">IF(B4517="","","touch_2; "&amp;IFERROR(INDEX(Clay_Brands!$A$2:$FZ$601,466,Sync!$D$10)&amp;"","")&amp;"; "&amp;IFERROR(INDEX(Clay_Brands!$A$2:$FZ$601,466,Sync!$D$9)&amp;"",""))</f>
        <v/>
      </c>
      <c r="K4517" s="32" t="s">
        <v>1367</v>
      </c>
    </row>
    <row r="4518" customFormat="false" ht="15" hidden="false" customHeight="false" outlineLevel="0" collapsed="false">
      <c r="A4518" s="23" t="str">
        <f aca="false">IF(B4518="","",B4518+(16*1000+467)/10000000)</f>
        <v/>
      </c>
      <c r="B4518" s="35" t="str">
        <f aca="false">IF(AND(IFERROR(N(INDEX(Clay_Brands!$A$2:$FZ$601,467,Sync!$D$12)),0)&gt;0,IFERROR(INDEX(Clay_Brands!$A$2:$FZ$601,467,Sync!$D$5)&amp;"","")&lt;&gt;"",OR(LEFT(IFERROR(INDEX(Clay_Brands!$A$2:$FZ$601,467,Sync!$D$5)&amp;"",""),6)&lt;&gt;"SAMPLE",Config!$B$19="Y")),IFERROR(N(INDEX(Clay_Brands!$A$2:$FZ$601,467,Sync!$D$12)),0),"")</f>
        <v/>
      </c>
      <c r="C4518" s="23" t="str">
        <f aca="false">IF(B4518="","","brand")</f>
        <v/>
      </c>
      <c r="D4518" s="23" t="str">
        <f aca="false">IF(B4518="","",IFERROR(INDEX(Brand_Log!$DV$2:$DV$201,MATCH(IFERROR(INDEX(Clay_Brands!$A$2:$FZ$601,467,Sync!$D$5)&amp;"",""),Brand_Log!$A$2:$A$201,0))&amp;"",IFERROR(INDEX(Clay_Brands!$A$2:$FZ$601,467,Sync!$D$5)&amp;"","")&amp;""))</f>
        <v/>
      </c>
      <c r="E4518" s="23" t="str">
        <f aca="false">IF(B4518="","",IFERROR(INDEX(Clay_Brands!$A$2:$FZ$601,467,Sync!$D$6)&amp;"",""))</f>
        <v/>
      </c>
      <c r="F4518" s="23" t="str">
        <f aca="false">IF(B4518="","","outreach_sent")</f>
        <v/>
      </c>
      <c r="G4518" s="23" t="str">
        <f aca="false">IF(B4518="","","")</f>
        <v/>
      </c>
      <c r="H4518" s="23" t="str">
        <f aca="false">IF(B4518="","","")</f>
        <v/>
      </c>
      <c r="I4518" s="23" t="str">
        <f aca="false">IF(B4518="","","")</f>
        <v/>
      </c>
      <c r="J4518" s="23" t="str">
        <f aca="false">IF(B4518="","","touch_2; "&amp;IFERROR(INDEX(Clay_Brands!$A$2:$FZ$601,467,Sync!$D$10)&amp;"","")&amp;"; "&amp;IFERROR(INDEX(Clay_Brands!$A$2:$FZ$601,467,Sync!$D$9)&amp;"",""))</f>
        <v/>
      </c>
      <c r="K4518" s="32" t="s">
        <v>1367</v>
      </c>
    </row>
    <row r="4519" customFormat="false" ht="15" hidden="false" customHeight="false" outlineLevel="0" collapsed="false">
      <c r="A4519" s="23" t="str">
        <f aca="false">IF(B4519="","",B4519+(16*1000+468)/10000000)</f>
        <v/>
      </c>
      <c r="B4519" s="35" t="str">
        <f aca="false">IF(AND(IFERROR(N(INDEX(Clay_Brands!$A$2:$FZ$601,468,Sync!$D$12)),0)&gt;0,IFERROR(INDEX(Clay_Brands!$A$2:$FZ$601,468,Sync!$D$5)&amp;"","")&lt;&gt;"",OR(LEFT(IFERROR(INDEX(Clay_Brands!$A$2:$FZ$601,468,Sync!$D$5)&amp;"",""),6)&lt;&gt;"SAMPLE",Config!$B$19="Y")),IFERROR(N(INDEX(Clay_Brands!$A$2:$FZ$601,468,Sync!$D$12)),0),"")</f>
        <v/>
      </c>
      <c r="C4519" s="23" t="str">
        <f aca="false">IF(B4519="","","brand")</f>
        <v/>
      </c>
      <c r="D4519" s="23" t="str">
        <f aca="false">IF(B4519="","",IFERROR(INDEX(Brand_Log!$DV$2:$DV$201,MATCH(IFERROR(INDEX(Clay_Brands!$A$2:$FZ$601,468,Sync!$D$5)&amp;"",""),Brand_Log!$A$2:$A$201,0))&amp;"",IFERROR(INDEX(Clay_Brands!$A$2:$FZ$601,468,Sync!$D$5)&amp;"","")&amp;""))</f>
        <v/>
      </c>
      <c r="E4519" s="23" t="str">
        <f aca="false">IF(B4519="","",IFERROR(INDEX(Clay_Brands!$A$2:$FZ$601,468,Sync!$D$6)&amp;"",""))</f>
        <v/>
      </c>
      <c r="F4519" s="23" t="str">
        <f aca="false">IF(B4519="","","outreach_sent")</f>
        <v/>
      </c>
      <c r="G4519" s="23" t="str">
        <f aca="false">IF(B4519="","","")</f>
        <v/>
      </c>
      <c r="H4519" s="23" t="str">
        <f aca="false">IF(B4519="","","")</f>
        <v/>
      </c>
      <c r="I4519" s="23" t="str">
        <f aca="false">IF(B4519="","","")</f>
        <v/>
      </c>
      <c r="J4519" s="23" t="str">
        <f aca="false">IF(B4519="","","touch_2; "&amp;IFERROR(INDEX(Clay_Brands!$A$2:$FZ$601,468,Sync!$D$10)&amp;"","")&amp;"; "&amp;IFERROR(INDEX(Clay_Brands!$A$2:$FZ$601,468,Sync!$D$9)&amp;"",""))</f>
        <v/>
      </c>
      <c r="K4519" s="32" t="s">
        <v>1367</v>
      </c>
    </row>
    <row r="4520" customFormat="false" ht="15" hidden="false" customHeight="false" outlineLevel="0" collapsed="false">
      <c r="A4520" s="23" t="str">
        <f aca="false">IF(B4520="","",B4520+(16*1000+469)/10000000)</f>
        <v/>
      </c>
      <c r="B4520" s="35" t="str">
        <f aca="false">IF(AND(IFERROR(N(INDEX(Clay_Brands!$A$2:$FZ$601,469,Sync!$D$12)),0)&gt;0,IFERROR(INDEX(Clay_Brands!$A$2:$FZ$601,469,Sync!$D$5)&amp;"","")&lt;&gt;"",OR(LEFT(IFERROR(INDEX(Clay_Brands!$A$2:$FZ$601,469,Sync!$D$5)&amp;"",""),6)&lt;&gt;"SAMPLE",Config!$B$19="Y")),IFERROR(N(INDEX(Clay_Brands!$A$2:$FZ$601,469,Sync!$D$12)),0),"")</f>
        <v/>
      </c>
      <c r="C4520" s="23" t="str">
        <f aca="false">IF(B4520="","","brand")</f>
        <v/>
      </c>
      <c r="D4520" s="23" t="str">
        <f aca="false">IF(B4520="","",IFERROR(INDEX(Brand_Log!$DV$2:$DV$201,MATCH(IFERROR(INDEX(Clay_Brands!$A$2:$FZ$601,469,Sync!$D$5)&amp;"",""),Brand_Log!$A$2:$A$201,0))&amp;"",IFERROR(INDEX(Clay_Brands!$A$2:$FZ$601,469,Sync!$D$5)&amp;"","")&amp;""))</f>
        <v/>
      </c>
      <c r="E4520" s="23" t="str">
        <f aca="false">IF(B4520="","",IFERROR(INDEX(Clay_Brands!$A$2:$FZ$601,469,Sync!$D$6)&amp;"",""))</f>
        <v/>
      </c>
      <c r="F4520" s="23" t="str">
        <f aca="false">IF(B4520="","","outreach_sent")</f>
        <v/>
      </c>
      <c r="G4520" s="23" t="str">
        <f aca="false">IF(B4520="","","")</f>
        <v/>
      </c>
      <c r="H4520" s="23" t="str">
        <f aca="false">IF(B4520="","","")</f>
        <v/>
      </c>
      <c r="I4520" s="23" t="str">
        <f aca="false">IF(B4520="","","")</f>
        <v/>
      </c>
      <c r="J4520" s="23" t="str">
        <f aca="false">IF(B4520="","","touch_2; "&amp;IFERROR(INDEX(Clay_Brands!$A$2:$FZ$601,469,Sync!$D$10)&amp;"","")&amp;"; "&amp;IFERROR(INDEX(Clay_Brands!$A$2:$FZ$601,469,Sync!$D$9)&amp;"",""))</f>
        <v/>
      </c>
      <c r="K4520" s="32" t="s">
        <v>1367</v>
      </c>
    </row>
    <row r="4521" customFormat="false" ht="15" hidden="false" customHeight="false" outlineLevel="0" collapsed="false">
      <c r="A4521" s="23" t="str">
        <f aca="false">IF(B4521="","",B4521+(16*1000+470)/10000000)</f>
        <v/>
      </c>
      <c r="B4521" s="35" t="str">
        <f aca="false">IF(AND(IFERROR(N(INDEX(Clay_Brands!$A$2:$FZ$601,470,Sync!$D$12)),0)&gt;0,IFERROR(INDEX(Clay_Brands!$A$2:$FZ$601,470,Sync!$D$5)&amp;"","")&lt;&gt;"",OR(LEFT(IFERROR(INDEX(Clay_Brands!$A$2:$FZ$601,470,Sync!$D$5)&amp;"",""),6)&lt;&gt;"SAMPLE",Config!$B$19="Y")),IFERROR(N(INDEX(Clay_Brands!$A$2:$FZ$601,470,Sync!$D$12)),0),"")</f>
        <v/>
      </c>
      <c r="C4521" s="23" t="str">
        <f aca="false">IF(B4521="","","brand")</f>
        <v/>
      </c>
      <c r="D4521" s="23" t="str">
        <f aca="false">IF(B4521="","",IFERROR(INDEX(Brand_Log!$DV$2:$DV$201,MATCH(IFERROR(INDEX(Clay_Brands!$A$2:$FZ$601,470,Sync!$D$5)&amp;"",""),Brand_Log!$A$2:$A$201,0))&amp;"",IFERROR(INDEX(Clay_Brands!$A$2:$FZ$601,470,Sync!$D$5)&amp;"","")&amp;""))</f>
        <v/>
      </c>
      <c r="E4521" s="23" t="str">
        <f aca="false">IF(B4521="","",IFERROR(INDEX(Clay_Brands!$A$2:$FZ$601,470,Sync!$D$6)&amp;"",""))</f>
        <v/>
      </c>
      <c r="F4521" s="23" t="str">
        <f aca="false">IF(B4521="","","outreach_sent")</f>
        <v/>
      </c>
      <c r="G4521" s="23" t="str">
        <f aca="false">IF(B4521="","","")</f>
        <v/>
      </c>
      <c r="H4521" s="23" t="str">
        <f aca="false">IF(B4521="","","")</f>
        <v/>
      </c>
      <c r="I4521" s="23" t="str">
        <f aca="false">IF(B4521="","","")</f>
        <v/>
      </c>
      <c r="J4521" s="23" t="str">
        <f aca="false">IF(B4521="","","touch_2; "&amp;IFERROR(INDEX(Clay_Brands!$A$2:$FZ$601,470,Sync!$D$10)&amp;"","")&amp;"; "&amp;IFERROR(INDEX(Clay_Brands!$A$2:$FZ$601,470,Sync!$D$9)&amp;"",""))</f>
        <v/>
      </c>
      <c r="K4521" s="32" t="s">
        <v>1367</v>
      </c>
    </row>
    <row r="4522" customFormat="false" ht="15" hidden="false" customHeight="false" outlineLevel="0" collapsed="false">
      <c r="A4522" s="23" t="str">
        <f aca="false">IF(B4522="","",B4522+(16*1000+471)/10000000)</f>
        <v/>
      </c>
      <c r="B4522" s="35" t="str">
        <f aca="false">IF(AND(IFERROR(N(INDEX(Clay_Brands!$A$2:$FZ$601,471,Sync!$D$12)),0)&gt;0,IFERROR(INDEX(Clay_Brands!$A$2:$FZ$601,471,Sync!$D$5)&amp;"","")&lt;&gt;"",OR(LEFT(IFERROR(INDEX(Clay_Brands!$A$2:$FZ$601,471,Sync!$D$5)&amp;"",""),6)&lt;&gt;"SAMPLE",Config!$B$19="Y")),IFERROR(N(INDEX(Clay_Brands!$A$2:$FZ$601,471,Sync!$D$12)),0),"")</f>
        <v/>
      </c>
      <c r="C4522" s="23" t="str">
        <f aca="false">IF(B4522="","","brand")</f>
        <v/>
      </c>
      <c r="D4522" s="23" t="str">
        <f aca="false">IF(B4522="","",IFERROR(INDEX(Brand_Log!$DV$2:$DV$201,MATCH(IFERROR(INDEX(Clay_Brands!$A$2:$FZ$601,471,Sync!$D$5)&amp;"",""),Brand_Log!$A$2:$A$201,0))&amp;"",IFERROR(INDEX(Clay_Brands!$A$2:$FZ$601,471,Sync!$D$5)&amp;"","")&amp;""))</f>
        <v/>
      </c>
      <c r="E4522" s="23" t="str">
        <f aca="false">IF(B4522="","",IFERROR(INDEX(Clay_Brands!$A$2:$FZ$601,471,Sync!$D$6)&amp;"",""))</f>
        <v/>
      </c>
      <c r="F4522" s="23" t="str">
        <f aca="false">IF(B4522="","","outreach_sent")</f>
        <v/>
      </c>
      <c r="G4522" s="23" t="str">
        <f aca="false">IF(B4522="","","")</f>
        <v/>
      </c>
      <c r="H4522" s="23" t="str">
        <f aca="false">IF(B4522="","","")</f>
        <v/>
      </c>
      <c r="I4522" s="23" t="str">
        <f aca="false">IF(B4522="","","")</f>
        <v/>
      </c>
      <c r="J4522" s="23" t="str">
        <f aca="false">IF(B4522="","","touch_2; "&amp;IFERROR(INDEX(Clay_Brands!$A$2:$FZ$601,471,Sync!$D$10)&amp;"","")&amp;"; "&amp;IFERROR(INDEX(Clay_Brands!$A$2:$FZ$601,471,Sync!$D$9)&amp;"",""))</f>
        <v/>
      </c>
      <c r="K4522" s="32" t="s">
        <v>1367</v>
      </c>
    </row>
    <row r="4523" customFormat="false" ht="15" hidden="false" customHeight="false" outlineLevel="0" collapsed="false">
      <c r="A4523" s="23" t="str">
        <f aca="false">IF(B4523="","",B4523+(16*1000+472)/10000000)</f>
        <v/>
      </c>
      <c r="B4523" s="35" t="str">
        <f aca="false">IF(AND(IFERROR(N(INDEX(Clay_Brands!$A$2:$FZ$601,472,Sync!$D$12)),0)&gt;0,IFERROR(INDEX(Clay_Brands!$A$2:$FZ$601,472,Sync!$D$5)&amp;"","")&lt;&gt;"",OR(LEFT(IFERROR(INDEX(Clay_Brands!$A$2:$FZ$601,472,Sync!$D$5)&amp;"",""),6)&lt;&gt;"SAMPLE",Config!$B$19="Y")),IFERROR(N(INDEX(Clay_Brands!$A$2:$FZ$601,472,Sync!$D$12)),0),"")</f>
        <v/>
      </c>
      <c r="C4523" s="23" t="str">
        <f aca="false">IF(B4523="","","brand")</f>
        <v/>
      </c>
      <c r="D4523" s="23" t="str">
        <f aca="false">IF(B4523="","",IFERROR(INDEX(Brand_Log!$DV$2:$DV$201,MATCH(IFERROR(INDEX(Clay_Brands!$A$2:$FZ$601,472,Sync!$D$5)&amp;"",""),Brand_Log!$A$2:$A$201,0))&amp;"",IFERROR(INDEX(Clay_Brands!$A$2:$FZ$601,472,Sync!$D$5)&amp;"","")&amp;""))</f>
        <v/>
      </c>
      <c r="E4523" s="23" t="str">
        <f aca="false">IF(B4523="","",IFERROR(INDEX(Clay_Brands!$A$2:$FZ$601,472,Sync!$D$6)&amp;"",""))</f>
        <v/>
      </c>
      <c r="F4523" s="23" t="str">
        <f aca="false">IF(B4523="","","outreach_sent")</f>
        <v/>
      </c>
      <c r="G4523" s="23" t="str">
        <f aca="false">IF(B4523="","","")</f>
        <v/>
      </c>
      <c r="H4523" s="23" t="str">
        <f aca="false">IF(B4523="","","")</f>
        <v/>
      </c>
      <c r="I4523" s="23" t="str">
        <f aca="false">IF(B4523="","","")</f>
        <v/>
      </c>
      <c r="J4523" s="23" t="str">
        <f aca="false">IF(B4523="","","touch_2; "&amp;IFERROR(INDEX(Clay_Brands!$A$2:$FZ$601,472,Sync!$D$10)&amp;"","")&amp;"; "&amp;IFERROR(INDEX(Clay_Brands!$A$2:$FZ$601,472,Sync!$D$9)&amp;"",""))</f>
        <v/>
      </c>
      <c r="K4523" s="32" t="s">
        <v>1367</v>
      </c>
    </row>
    <row r="4524" customFormat="false" ht="15" hidden="false" customHeight="false" outlineLevel="0" collapsed="false">
      <c r="A4524" s="23" t="str">
        <f aca="false">IF(B4524="","",B4524+(16*1000+473)/10000000)</f>
        <v/>
      </c>
      <c r="B4524" s="35" t="str">
        <f aca="false">IF(AND(IFERROR(N(INDEX(Clay_Brands!$A$2:$FZ$601,473,Sync!$D$12)),0)&gt;0,IFERROR(INDEX(Clay_Brands!$A$2:$FZ$601,473,Sync!$D$5)&amp;"","")&lt;&gt;"",OR(LEFT(IFERROR(INDEX(Clay_Brands!$A$2:$FZ$601,473,Sync!$D$5)&amp;"",""),6)&lt;&gt;"SAMPLE",Config!$B$19="Y")),IFERROR(N(INDEX(Clay_Brands!$A$2:$FZ$601,473,Sync!$D$12)),0),"")</f>
        <v/>
      </c>
      <c r="C4524" s="23" t="str">
        <f aca="false">IF(B4524="","","brand")</f>
        <v/>
      </c>
      <c r="D4524" s="23" t="str">
        <f aca="false">IF(B4524="","",IFERROR(INDEX(Brand_Log!$DV$2:$DV$201,MATCH(IFERROR(INDEX(Clay_Brands!$A$2:$FZ$601,473,Sync!$D$5)&amp;"",""),Brand_Log!$A$2:$A$201,0))&amp;"",IFERROR(INDEX(Clay_Brands!$A$2:$FZ$601,473,Sync!$D$5)&amp;"","")&amp;""))</f>
        <v/>
      </c>
      <c r="E4524" s="23" t="str">
        <f aca="false">IF(B4524="","",IFERROR(INDEX(Clay_Brands!$A$2:$FZ$601,473,Sync!$D$6)&amp;"",""))</f>
        <v/>
      </c>
      <c r="F4524" s="23" t="str">
        <f aca="false">IF(B4524="","","outreach_sent")</f>
        <v/>
      </c>
      <c r="G4524" s="23" t="str">
        <f aca="false">IF(B4524="","","")</f>
        <v/>
      </c>
      <c r="H4524" s="23" t="str">
        <f aca="false">IF(B4524="","","")</f>
        <v/>
      </c>
      <c r="I4524" s="23" t="str">
        <f aca="false">IF(B4524="","","")</f>
        <v/>
      </c>
      <c r="J4524" s="23" t="str">
        <f aca="false">IF(B4524="","","touch_2; "&amp;IFERROR(INDEX(Clay_Brands!$A$2:$FZ$601,473,Sync!$D$10)&amp;"","")&amp;"; "&amp;IFERROR(INDEX(Clay_Brands!$A$2:$FZ$601,473,Sync!$D$9)&amp;"",""))</f>
        <v/>
      </c>
      <c r="K4524" s="32" t="s">
        <v>1367</v>
      </c>
    </row>
    <row r="4525" customFormat="false" ht="15" hidden="false" customHeight="false" outlineLevel="0" collapsed="false">
      <c r="A4525" s="23" t="str">
        <f aca="false">IF(B4525="","",B4525+(16*1000+474)/10000000)</f>
        <v/>
      </c>
      <c r="B4525" s="35" t="str">
        <f aca="false">IF(AND(IFERROR(N(INDEX(Clay_Brands!$A$2:$FZ$601,474,Sync!$D$12)),0)&gt;0,IFERROR(INDEX(Clay_Brands!$A$2:$FZ$601,474,Sync!$D$5)&amp;"","")&lt;&gt;"",OR(LEFT(IFERROR(INDEX(Clay_Brands!$A$2:$FZ$601,474,Sync!$D$5)&amp;"",""),6)&lt;&gt;"SAMPLE",Config!$B$19="Y")),IFERROR(N(INDEX(Clay_Brands!$A$2:$FZ$601,474,Sync!$D$12)),0),"")</f>
        <v/>
      </c>
      <c r="C4525" s="23" t="str">
        <f aca="false">IF(B4525="","","brand")</f>
        <v/>
      </c>
      <c r="D4525" s="23" t="str">
        <f aca="false">IF(B4525="","",IFERROR(INDEX(Brand_Log!$DV$2:$DV$201,MATCH(IFERROR(INDEX(Clay_Brands!$A$2:$FZ$601,474,Sync!$D$5)&amp;"",""),Brand_Log!$A$2:$A$201,0))&amp;"",IFERROR(INDEX(Clay_Brands!$A$2:$FZ$601,474,Sync!$D$5)&amp;"","")&amp;""))</f>
        <v/>
      </c>
      <c r="E4525" s="23" t="str">
        <f aca="false">IF(B4525="","",IFERROR(INDEX(Clay_Brands!$A$2:$FZ$601,474,Sync!$D$6)&amp;"",""))</f>
        <v/>
      </c>
      <c r="F4525" s="23" t="str">
        <f aca="false">IF(B4525="","","outreach_sent")</f>
        <v/>
      </c>
      <c r="G4525" s="23" t="str">
        <f aca="false">IF(B4525="","","")</f>
        <v/>
      </c>
      <c r="H4525" s="23" t="str">
        <f aca="false">IF(B4525="","","")</f>
        <v/>
      </c>
      <c r="I4525" s="23" t="str">
        <f aca="false">IF(B4525="","","")</f>
        <v/>
      </c>
      <c r="J4525" s="23" t="str">
        <f aca="false">IF(B4525="","","touch_2; "&amp;IFERROR(INDEX(Clay_Brands!$A$2:$FZ$601,474,Sync!$D$10)&amp;"","")&amp;"; "&amp;IFERROR(INDEX(Clay_Brands!$A$2:$FZ$601,474,Sync!$D$9)&amp;"",""))</f>
        <v/>
      </c>
      <c r="K4525" s="32" t="s">
        <v>1367</v>
      </c>
    </row>
    <row r="4526" customFormat="false" ht="15" hidden="false" customHeight="false" outlineLevel="0" collapsed="false">
      <c r="A4526" s="23" t="str">
        <f aca="false">IF(B4526="","",B4526+(16*1000+475)/10000000)</f>
        <v/>
      </c>
      <c r="B4526" s="35" t="str">
        <f aca="false">IF(AND(IFERROR(N(INDEX(Clay_Brands!$A$2:$FZ$601,475,Sync!$D$12)),0)&gt;0,IFERROR(INDEX(Clay_Brands!$A$2:$FZ$601,475,Sync!$D$5)&amp;"","")&lt;&gt;"",OR(LEFT(IFERROR(INDEX(Clay_Brands!$A$2:$FZ$601,475,Sync!$D$5)&amp;"",""),6)&lt;&gt;"SAMPLE",Config!$B$19="Y")),IFERROR(N(INDEX(Clay_Brands!$A$2:$FZ$601,475,Sync!$D$12)),0),"")</f>
        <v/>
      </c>
      <c r="C4526" s="23" t="str">
        <f aca="false">IF(B4526="","","brand")</f>
        <v/>
      </c>
      <c r="D4526" s="23" t="str">
        <f aca="false">IF(B4526="","",IFERROR(INDEX(Brand_Log!$DV$2:$DV$201,MATCH(IFERROR(INDEX(Clay_Brands!$A$2:$FZ$601,475,Sync!$D$5)&amp;"",""),Brand_Log!$A$2:$A$201,0))&amp;"",IFERROR(INDEX(Clay_Brands!$A$2:$FZ$601,475,Sync!$D$5)&amp;"","")&amp;""))</f>
        <v/>
      </c>
      <c r="E4526" s="23" t="str">
        <f aca="false">IF(B4526="","",IFERROR(INDEX(Clay_Brands!$A$2:$FZ$601,475,Sync!$D$6)&amp;"",""))</f>
        <v/>
      </c>
      <c r="F4526" s="23" t="str">
        <f aca="false">IF(B4526="","","outreach_sent")</f>
        <v/>
      </c>
      <c r="G4526" s="23" t="str">
        <f aca="false">IF(B4526="","","")</f>
        <v/>
      </c>
      <c r="H4526" s="23" t="str">
        <f aca="false">IF(B4526="","","")</f>
        <v/>
      </c>
      <c r="I4526" s="23" t="str">
        <f aca="false">IF(B4526="","","")</f>
        <v/>
      </c>
      <c r="J4526" s="23" t="str">
        <f aca="false">IF(B4526="","","touch_2; "&amp;IFERROR(INDEX(Clay_Brands!$A$2:$FZ$601,475,Sync!$D$10)&amp;"","")&amp;"; "&amp;IFERROR(INDEX(Clay_Brands!$A$2:$FZ$601,475,Sync!$D$9)&amp;"",""))</f>
        <v/>
      </c>
      <c r="K4526" s="32" t="s">
        <v>1367</v>
      </c>
    </row>
    <row r="4527" customFormat="false" ht="15" hidden="false" customHeight="false" outlineLevel="0" collapsed="false">
      <c r="A4527" s="23" t="str">
        <f aca="false">IF(B4527="","",B4527+(16*1000+476)/10000000)</f>
        <v/>
      </c>
      <c r="B4527" s="35" t="str">
        <f aca="false">IF(AND(IFERROR(N(INDEX(Clay_Brands!$A$2:$FZ$601,476,Sync!$D$12)),0)&gt;0,IFERROR(INDEX(Clay_Brands!$A$2:$FZ$601,476,Sync!$D$5)&amp;"","")&lt;&gt;"",OR(LEFT(IFERROR(INDEX(Clay_Brands!$A$2:$FZ$601,476,Sync!$D$5)&amp;"",""),6)&lt;&gt;"SAMPLE",Config!$B$19="Y")),IFERROR(N(INDEX(Clay_Brands!$A$2:$FZ$601,476,Sync!$D$12)),0),"")</f>
        <v/>
      </c>
      <c r="C4527" s="23" t="str">
        <f aca="false">IF(B4527="","","brand")</f>
        <v/>
      </c>
      <c r="D4527" s="23" t="str">
        <f aca="false">IF(B4527="","",IFERROR(INDEX(Brand_Log!$DV$2:$DV$201,MATCH(IFERROR(INDEX(Clay_Brands!$A$2:$FZ$601,476,Sync!$D$5)&amp;"",""),Brand_Log!$A$2:$A$201,0))&amp;"",IFERROR(INDEX(Clay_Brands!$A$2:$FZ$601,476,Sync!$D$5)&amp;"","")&amp;""))</f>
        <v/>
      </c>
      <c r="E4527" s="23" t="str">
        <f aca="false">IF(B4527="","",IFERROR(INDEX(Clay_Brands!$A$2:$FZ$601,476,Sync!$D$6)&amp;"",""))</f>
        <v/>
      </c>
      <c r="F4527" s="23" t="str">
        <f aca="false">IF(B4527="","","outreach_sent")</f>
        <v/>
      </c>
      <c r="G4527" s="23" t="str">
        <f aca="false">IF(B4527="","","")</f>
        <v/>
      </c>
      <c r="H4527" s="23" t="str">
        <f aca="false">IF(B4527="","","")</f>
        <v/>
      </c>
      <c r="I4527" s="23" t="str">
        <f aca="false">IF(B4527="","","")</f>
        <v/>
      </c>
      <c r="J4527" s="23" t="str">
        <f aca="false">IF(B4527="","","touch_2; "&amp;IFERROR(INDEX(Clay_Brands!$A$2:$FZ$601,476,Sync!$D$10)&amp;"","")&amp;"; "&amp;IFERROR(INDEX(Clay_Brands!$A$2:$FZ$601,476,Sync!$D$9)&amp;"",""))</f>
        <v/>
      </c>
      <c r="K4527" s="32" t="s">
        <v>1367</v>
      </c>
    </row>
    <row r="4528" customFormat="false" ht="15" hidden="false" customHeight="false" outlineLevel="0" collapsed="false">
      <c r="A4528" s="23" t="str">
        <f aca="false">IF(B4528="","",B4528+(16*1000+477)/10000000)</f>
        <v/>
      </c>
      <c r="B4528" s="35" t="str">
        <f aca="false">IF(AND(IFERROR(N(INDEX(Clay_Brands!$A$2:$FZ$601,477,Sync!$D$12)),0)&gt;0,IFERROR(INDEX(Clay_Brands!$A$2:$FZ$601,477,Sync!$D$5)&amp;"","")&lt;&gt;"",OR(LEFT(IFERROR(INDEX(Clay_Brands!$A$2:$FZ$601,477,Sync!$D$5)&amp;"",""),6)&lt;&gt;"SAMPLE",Config!$B$19="Y")),IFERROR(N(INDEX(Clay_Brands!$A$2:$FZ$601,477,Sync!$D$12)),0),"")</f>
        <v/>
      </c>
      <c r="C4528" s="23" t="str">
        <f aca="false">IF(B4528="","","brand")</f>
        <v/>
      </c>
      <c r="D4528" s="23" t="str">
        <f aca="false">IF(B4528="","",IFERROR(INDEX(Brand_Log!$DV$2:$DV$201,MATCH(IFERROR(INDEX(Clay_Brands!$A$2:$FZ$601,477,Sync!$D$5)&amp;"",""),Brand_Log!$A$2:$A$201,0))&amp;"",IFERROR(INDEX(Clay_Brands!$A$2:$FZ$601,477,Sync!$D$5)&amp;"","")&amp;""))</f>
        <v/>
      </c>
      <c r="E4528" s="23" t="str">
        <f aca="false">IF(B4528="","",IFERROR(INDEX(Clay_Brands!$A$2:$FZ$601,477,Sync!$D$6)&amp;"",""))</f>
        <v/>
      </c>
      <c r="F4528" s="23" t="str">
        <f aca="false">IF(B4528="","","outreach_sent")</f>
        <v/>
      </c>
      <c r="G4528" s="23" t="str">
        <f aca="false">IF(B4528="","","")</f>
        <v/>
      </c>
      <c r="H4528" s="23" t="str">
        <f aca="false">IF(B4528="","","")</f>
        <v/>
      </c>
      <c r="I4528" s="23" t="str">
        <f aca="false">IF(B4528="","","")</f>
        <v/>
      </c>
      <c r="J4528" s="23" t="str">
        <f aca="false">IF(B4528="","","touch_2; "&amp;IFERROR(INDEX(Clay_Brands!$A$2:$FZ$601,477,Sync!$D$10)&amp;"","")&amp;"; "&amp;IFERROR(INDEX(Clay_Brands!$A$2:$FZ$601,477,Sync!$D$9)&amp;"",""))</f>
        <v/>
      </c>
      <c r="K4528" s="32" t="s">
        <v>1367</v>
      </c>
    </row>
    <row r="4529" customFormat="false" ht="15" hidden="false" customHeight="false" outlineLevel="0" collapsed="false">
      <c r="A4529" s="23" t="str">
        <f aca="false">IF(B4529="","",B4529+(16*1000+478)/10000000)</f>
        <v/>
      </c>
      <c r="B4529" s="35" t="str">
        <f aca="false">IF(AND(IFERROR(N(INDEX(Clay_Brands!$A$2:$FZ$601,478,Sync!$D$12)),0)&gt;0,IFERROR(INDEX(Clay_Brands!$A$2:$FZ$601,478,Sync!$D$5)&amp;"","")&lt;&gt;"",OR(LEFT(IFERROR(INDEX(Clay_Brands!$A$2:$FZ$601,478,Sync!$D$5)&amp;"",""),6)&lt;&gt;"SAMPLE",Config!$B$19="Y")),IFERROR(N(INDEX(Clay_Brands!$A$2:$FZ$601,478,Sync!$D$12)),0),"")</f>
        <v/>
      </c>
      <c r="C4529" s="23" t="str">
        <f aca="false">IF(B4529="","","brand")</f>
        <v/>
      </c>
      <c r="D4529" s="23" t="str">
        <f aca="false">IF(B4529="","",IFERROR(INDEX(Brand_Log!$DV$2:$DV$201,MATCH(IFERROR(INDEX(Clay_Brands!$A$2:$FZ$601,478,Sync!$D$5)&amp;"",""),Brand_Log!$A$2:$A$201,0))&amp;"",IFERROR(INDEX(Clay_Brands!$A$2:$FZ$601,478,Sync!$D$5)&amp;"","")&amp;""))</f>
        <v/>
      </c>
      <c r="E4529" s="23" t="str">
        <f aca="false">IF(B4529="","",IFERROR(INDEX(Clay_Brands!$A$2:$FZ$601,478,Sync!$D$6)&amp;"",""))</f>
        <v/>
      </c>
      <c r="F4529" s="23" t="str">
        <f aca="false">IF(B4529="","","outreach_sent")</f>
        <v/>
      </c>
      <c r="G4529" s="23" t="str">
        <f aca="false">IF(B4529="","","")</f>
        <v/>
      </c>
      <c r="H4529" s="23" t="str">
        <f aca="false">IF(B4529="","","")</f>
        <v/>
      </c>
      <c r="I4529" s="23" t="str">
        <f aca="false">IF(B4529="","","")</f>
        <v/>
      </c>
      <c r="J4529" s="23" t="str">
        <f aca="false">IF(B4529="","","touch_2; "&amp;IFERROR(INDEX(Clay_Brands!$A$2:$FZ$601,478,Sync!$D$10)&amp;"","")&amp;"; "&amp;IFERROR(INDEX(Clay_Brands!$A$2:$FZ$601,478,Sync!$D$9)&amp;"",""))</f>
        <v/>
      </c>
      <c r="K4529" s="32" t="s">
        <v>1367</v>
      </c>
    </row>
    <row r="4530" customFormat="false" ht="15" hidden="false" customHeight="false" outlineLevel="0" collapsed="false">
      <c r="A4530" s="23" t="str">
        <f aca="false">IF(B4530="","",B4530+(16*1000+479)/10000000)</f>
        <v/>
      </c>
      <c r="B4530" s="35" t="str">
        <f aca="false">IF(AND(IFERROR(N(INDEX(Clay_Brands!$A$2:$FZ$601,479,Sync!$D$12)),0)&gt;0,IFERROR(INDEX(Clay_Brands!$A$2:$FZ$601,479,Sync!$D$5)&amp;"","")&lt;&gt;"",OR(LEFT(IFERROR(INDEX(Clay_Brands!$A$2:$FZ$601,479,Sync!$D$5)&amp;"",""),6)&lt;&gt;"SAMPLE",Config!$B$19="Y")),IFERROR(N(INDEX(Clay_Brands!$A$2:$FZ$601,479,Sync!$D$12)),0),"")</f>
        <v/>
      </c>
      <c r="C4530" s="23" t="str">
        <f aca="false">IF(B4530="","","brand")</f>
        <v/>
      </c>
      <c r="D4530" s="23" t="str">
        <f aca="false">IF(B4530="","",IFERROR(INDEX(Brand_Log!$DV$2:$DV$201,MATCH(IFERROR(INDEX(Clay_Brands!$A$2:$FZ$601,479,Sync!$D$5)&amp;"",""),Brand_Log!$A$2:$A$201,0))&amp;"",IFERROR(INDEX(Clay_Brands!$A$2:$FZ$601,479,Sync!$D$5)&amp;"","")&amp;""))</f>
        <v/>
      </c>
      <c r="E4530" s="23" t="str">
        <f aca="false">IF(B4530="","",IFERROR(INDEX(Clay_Brands!$A$2:$FZ$601,479,Sync!$D$6)&amp;"",""))</f>
        <v/>
      </c>
      <c r="F4530" s="23" t="str">
        <f aca="false">IF(B4530="","","outreach_sent")</f>
        <v/>
      </c>
      <c r="G4530" s="23" t="str">
        <f aca="false">IF(B4530="","","")</f>
        <v/>
      </c>
      <c r="H4530" s="23" t="str">
        <f aca="false">IF(B4530="","","")</f>
        <v/>
      </c>
      <c r="I4530" s="23" t="str">
        <f aca="false">IF(B4530="","","")</f>
        <v/>
      </c>
      <c r="J4530" s="23" t="str">
        <f aca="false">IF(B4530="","","touch_2; "&amp;IFERROR(INDEX(Clay_Brands!$A$2:$FZ$601,479,Sync!$D$10)&amp;"","")&amp;"; "&amp;IFERROR(INDEX(Clay_Brands!$A$2:$FZ$601,479,Sync!$D$9)&amp;"",""))</f>
        <v/>
      </c>
      <c r="K4530" s="32" t="s">
        <v>1367</v>
      </c>
    </row>
    <row r="4531" customFormat="false" ht="15" hidden="false" customHeight="false" outlineLevel="0" collapsed="false">
      <c r="A4531" s="23" t="str">
        <f aca="false">IF(B4531="","",B4531+(16*1000+480)/10000000)</f>
        <v/>
      </c>
      <c r="B4531" s="35" t="str">
        <f aca="false">IF(AND(IFERROR(N(INDEX(Clay_Brands!$A$2:$FZ$601,480,Sync!$D$12)),0)&gt;0,IFERROR(INDEX(Clay_Brands!$A$2:$FZ$601,480,Sync!$D$5)&amp;"","")&lt;&gt;"",OR(LEFT(IFERROR(INDEX(Clay_Brands!$A$2:$FZ$601,480,Sync!$D$5)&amp;"",""),6)&lt;&gt;"SAMPLE",Config!$B$19="Y")),IFERROR(N(INDEX(Clay_Brands!$A$2:$FZ$601,480,Sync!$D$12)),0),"")</f>
        <v/>
      </c>
      <c r="C4531" s="23" t="str">
        <f aca="false">IF(B4531="","","brand")</f>
        <v/>
      </c>
      <c r="D4531" s="23" t="str">
        <f aca="false">IF(B4531="","",IFERROR(INDEX(Brand_Log!$DV$2:$DV$201,MATCH(IFERROR(INDEX(Clay_Brands!$A$2:$FZ$601,480,Sync!$D$5)&amp;"",""),Brand_Log!$A$2:$A$201,0))&amp;"",IFERROR(INDEX(Clay_Brands!$A$2:$FZ$601,480,Sync!$D$5)&amp;"","")&amp;""))</f>
        <v/>
      </c>
      <c r="E4531" s="23" t="str">
        <f aca="false">IF(B4531="","",IFERROR(INDEX(Clay_Brands!$A$2:$FZ$601,480,Sync!$D$6)&amp;"",""))</f>
        <v/>
      </c>
      <c r="F4531" s="23" t="str">
        <f aca="false">IF(B4531="","","outreach_sent")</f>
        <v/>
      </c>
      <c r="G4531" s="23" t="str">
        <f aca="false">IF(B4531="","","")</f>
        <v/>
      </c>
      <c r="H4531" s="23" t="str">
        <f aca="false">IF(B4531="","","")</f>
        <v/>
      </c>
      <c r="I4531" s="23" t="str">
        <f aca="false">IF(B4531="","","")</f>
        <v/>
      </c>
      <c r="J4531" s="23" t="str">
        <f aca="false">IF(B4531="","","touch_2; "&amp;IFERROR(INDEX(Clay_Brands!$A$2:$FZ$601,480,Sync!$D$10)&amp;"","")&amp;"; "&amp;IFERROR(INDEX(Clay_Brands!$A$2:$FZ$601,480,Sync!$D$9)&amp;"",""))</f>
        <v/>
      </c>
      <c r="K4531" s="32" t="s">
        <v>1367</v>
      </c>
    </row>
    <row r="4532" customFormat="false" ht="15" hidden="false" customHeight="false" outlineLevel="0" collapsed="false">
      <c r="A4532" s="23" t="str">
        <f aca="false">IF(B4532="","",B4532+(16*1000+481)/10000000)</f>
        <v/>
      </c>
      <c r="B4532" s="35" t="str">
        <f aca="false">IF(AND(IFERROR(N(INDEX(Clay_Brands!$A$2:$FZ$601,481,Sync!$D$12)),0)&gt;0,IFERROR(INDEX(Clay_Brands!$A$2:$FZ$601,481,Sync!$D$5)&amp;"","")&lt;&gt;"",OR(LEFT(IFERROR(INDEX(Clay_Brands!$A$2:$FZ$601,481,Sync!$D$5)&amp;"",""),6)&lt;&gt;"SAMPLE",Config!$B$19="Y")),IFERROR(N(INDEX(Clay_Brands!$A$2:$FZ$601,481,Sync!$D$12)),0),"")</f>
        <v/>
      </c>
      <c r="C4532" s="23" t="str">
        <f aca="false">IF(B4532="","","brand")</f>
        <v/>
      </c>
      <c r="D4532" s="23" t="str">
        <f aca="false">IF(B4532="","",IFERROR(INDEX(Brand_Log!$DV$2:$DV$201,MATCH(IFERROR(INDEX(Clay_Brands!$A$2:$FZ$601,481,Sync!$D$5)&amp;"",""),Brand_Log!$A$2:$A$201,0))&amp;"",IFERROR(INDEX(Clay_Brands!$A$2:$FZ$601,481,Sync!$D$5)&amp;"","")&amp;""))</f>
        <v/>
      </c>
      <c r="E4532" s="23" t="str">
        <f aca="false">IF(B4532="","",IFERROR(INDEX(Clay_Brands!$A$2:$FZ$601,481,Sync!$D$6)&amp;"",""))</f>
        <v/>
      </c>
      <c r="F4532" s="23" t="str">
        <f aca="false">IF(B4532="","","outreach_sent")</f>
        <v/>
      </c>
      <c r="G4532" s="23" t="str">
        <f aca="false">IF(B4532="","","")</f>
        <v/>
      </c>
      <c r="H4532" s="23" t="str">
        <f aca="false">IF(B4532="","","")</f>
        <v/>
      </c>
      <c r="I4532" s="23" t="str">
        <f aca="false">IF(B4532="","","")</f>
        <v/>
      </c>
      <c r="J4532" s="23" t="str">
        <f aca="false">IF(B4532="","","touch_2; "&amp;IFERROR(INDEX(Clay_Brands!$A$2:$FZ$601,481,Sync!$D$10)&amp;"","")&amp;"; "&amp;IFERROR(INDEX(Clay_Brands!$A$2:$FZ$601,481,Sync!$D$9)&amp;"",""))</f>
        <v/>
      </c>
      <c r="K4532" s="32" t="s">
        <v>1367</v>
      </c>
    </row>
    <row r="4533" customFormat="false" ht="15" hidden="false" customHeight="false" outlineLevel="0" collapsed="false">
      <c r="A4533" s="23" t="str">
        <f aca="false">IF(B4533="","",B4533+(16*1000+482)/10000000)</f>
        <v/>
      </c>
      <c r="B4533" s="35" t="str">
        <f aca="false">IF(AND(IFERROR(N(INDEX(Clay_Brands!$A$2:$FZ$601,482,Sync!$D$12)),0)&gt;0,IFERROR(INDEX(Clay_Brands!$A$2:$FZ$601,482,Sync!$D$5)&amp;"","")&lt;&gt;"",OR(LEFT(IFERROR(INDEX(Clay_Brands!$A$2:$FZ$601,482,Sync!$D$5)&amp;"",""),6)&lt;&gt;"SAMPLE",Config!$B$19="Y")),IFERROR(N(INDEX(Clay_Brands!$A$2:$FZ$601,482,Sync!$D$12)),0),"")</f>
        <v/>
      </c>
      <c r="C4533" s="23" t="str">
        <f aca="false">IF(B4533="","","brand")</f>
        <v/>
      </c>
      <c r="D4533" s="23" t="str">
        <f aca="false">IF(B4533="","",IFERROR(INDEX(Brand_Log!$DV$2:$DV$201,MATCH(IFERROR(INDEX(Clay_Brands!$A$2:$FZ$601,482,Sync!$D$5)&amp;"",""),Brand_Log!$A$2:$A$201,0))&amp;"",IFERROR(INDEX(Clay_Brands!$A$2:$FZ$601,482,Sync!$D$5)&amp;"","")&amp;""))</f>
        <v/>
      </c>
      <c r="E4533" s="23" t="str">
        <f aca="false">IF(B4533="","",IFERROR(INDEX(Clay_Brands!$A$2:$FZ$601,482,Sync!$D$6)&amp;"",""))</f>
        <v/>
      </c>
      <c r="F4533" s="23" t="str">
        <f aca="false">IF(B4533="","","outreach_sent")</f>
        <v/>
      </c>
      <c r="G4533" s="23" t="str">
        <f aca="false">IF(B4533="","","")</f>
        <v/>
      </c>
      <c r="H4533" s="23" t="str">
        <f aca="false">IF(B4533="","","")</f>
        <v/>
      </c>
      <c r="I4533" s="23" t="str">
        <f aca="false">IF(B4533="","","")</f>
        <v/>
      </c>
      <c r="J4533" s="23" t="str">
        <f aca="false">IF(B4533="","","touch_2; "&amp;IFERROR(INDEX(Clay_Brands!$A$2:$FZ$601,482,Sync!$D$10)&amp;"","")&amp;"; "&amp;IFERROR(INDEX(Clay_Brands!$A$2:$FZ$601,482,Sync!$D$9)&amp;"",""))</f>
        <v/>
      </c>
      <c r="K4533" s="32" t="s">
        <v>1367</v>
      </c>
    </row>
    <row r="4534" customFormat="false" ht="15" hidden="false" customHeight="false" outlineLevel="0" collapsed="false">
      <c r="A4534" s="23" t="str">
        <f aca="false">IF(B4534="","",B4534+(16*1000+483)/10000000)</f>
        <v/>
      </c>
      <c r="B4534" s="35" t="str">
        <f aca="false">IF(AND(IFERROR(N(INDEX(Clay_Brands!$A$2:$FZ$601,483,Sync!$D$12)),0)&gt;0,IFERROR(INDEX(Clay_Brands!$A$2:$FZ$601,483,Sync!$D$5)&amp;"","")&lt;&gt;"",OR(LEFT(IFERROR(INDEX(Clay_Brands!$A$2:$FZ$601,483,Sync!$D$5)&amp;"",""),6)&lt;&gt;"SAMPLE",Config!$B$19="Y")),IFERROR(N(INDEX(Clay_Brands!$A$2:$FZ$601,483,Sync!$D$12)),0),"")</f>
        <v/>
      </c>
      <c r="C4534" s="23" t="str">
        <f aca="false">IF(B4534="","","brand")</f>
        <v/>
      </c>
      <c r="D4534" s="23" t="str">
        <f aca="false">IF(B4534="","",IFERROR(INDEX(Brand_Log!$DV$2:$DV$201,MATCH(IFERROR(INDEX(Clay_Brands!$A$2:$FZ$601,483,Sync!$D$5)&amp;"",""),Brand_Log!$A$2:$A$201,0))&amp;"",IFERROR(INDEX(Clay_Brands!$A$2:$FZ$601,483,Sync!$D$5)&amp;"","")&amp;""))</f>
        <v/>
      </c>
      <c r="E4534" s="23" t="str">
        <f aca="false">IF(B4534="","",IFERROR(INDEX(Clay_Brands!$A$2:$FZ$601,483,Sync!$D$6)&amp;"",""))</f>
        <v/>
      </c>
      <c r="F4534" s="23" t="str">
        <f aca="false">IF(B4534="","","outreach_sent")</f>
        <v/>
      </c>
      <c r="G4534" s="23" t="str">
        <f aca="false">IF(B4534="","","")</f>
        <v/>
      </c>
      <c r="H4534" s="23" t="str">
        <f aca="false">IF(B4534="","","")</f>
        <v/>
      </c>
      <c r="I4534" s="23" t="str">
        <f aca="false">IF(B4534="","","")</f>
        <v/>
      </c>
      <c r="J4534" s="23" t="str">
        <f aca="false">IF(B4534="","","touch_2; "&amp;IFERROR(INDEX(Clay_Brands!$A$2:$FZ$601,483,Sync!$D$10)&amp;"","")&amp;"; "&amp;IFERROR(INDEX(Clay_Brands!$A$2:$FZ$601,483,Sync!$D$9)&amp;"",""))</f>
        <v/>
      </c>
      <c r="K4534" s="32" t="s">
        <v>1367</v>
      </c>
    </row>
    <row r="4535" customFormat="false" ht="15" hidden="false" customHeight="false" outlineLevel="0" collapsed="false">
      <c r="A4535" s="23" t="str">
        <f aca="false">IF(B4535="","",B4535+(16*1000+484)/10000000)</f>
        <v/>
      </c>
      <c r="B4535" s="35" t="str">
        <f aca="false">IF(AND(IFERROR(N(INDEX(Clay_Brands!$A$2:$FZ$601,484,Sync!$D$12)),0)&gt;0,IFERROR(INDEX(Clay_Brands!$A$2:$FZ$601,484,Sync!$D$5)&amp;"","")&lt;&gt;"",OR(LEFT(IFERROR(INDEX(Clay_Brands!$A$2:$FZ$601,484,Sync!$D$5)&amp;"",""),6)&lt;&gt;"SAMPLE",Config!$B$19="Y")),IFERROR(N(INDEX(Clay_Brands!$A$2:$FZ$601,484,Sync!$D$12)),0),"")</f>
        <v/>
      </c>
      <c r="C4535" s="23" t="str">
        <f aca="false">IF(B4535="","","brand")</f>
        <v/>
      </c>
      <c r="D4535" s="23" t="str">
        <f aca="false">IF(B4535="","",IFERROR(INDEX(Brand_Log!$DV$2:$DV$201,MATCH(IFERROR(INDEX(Clay_Brands!$A$2:$FZ$601,484,Sync!$D$5)&amp;"",""),Brand_Log!$A$2:$A$201,0))&amp;"",IFERROR(INDEX(Clay_Brands!$A$2:$FZ$601,484,Sync!$D$5)&amp;"","")&amp;""))</f>
        <v/>
      </c>
      <c r="E4535" s="23" t="str">
        <f aca="false">IF(B4535="","",IFERROR(INDEX(Clay_Brands!$A$2:$FZ$601,484,Sync!$D$6)&amp;"",""))</f>
        <v/>
      </c>
      <c r="F4535" s="23" t="str">
        <f aca="false">IF(B4535="","","outreach_sent")</f>
        <v/>
      </c>
      <c r="G4535" s="23" t="str">
        <f aca="false">IF(B4535="","","")</f>
        <v/>
      </c>
      <c r="H4535" s="23" t="str">
        <f aca="false">IF(B4535="","","")</f>
        <v/>
      </c>
      <c r="I4535" s="23" t="str">
        <f aca="false">IF(B4535="","","")</f>
        <v/>
      </c>
      <c r="J4535" s="23" t="str">
        <f aca="false">IF(B4535="","","touch_2; "&amp;IFERROR(INDEX(Clay_Brands!$A$2:$FZ$601,484,Sync!$D$10)&amp;"","")&amp;"; "&amp;IFERROR(INDEX(Clay_Brands!$A$2:$FZ$601,484,Sync!$D$9)&amp;"",""))</f>
        <v/>
      </c>
      <c r="K4535" s="32" t="s">
        <v>1367</v>
      </c>
    </row>
    <row r="4536" customFormat="false" ht="15" hidden="false" customHeight="false" outlineLevel="0" collapsed="false">
      <c r="A4536" s="23" t="str">
        <f aca="false">IF(B4536="","",B4536+(16*1000+485)/10000000)</f>
        <v/>
      </c>
      <c r="B4536" s="35" t="str">
        <f aca="false">IF(AND(IFERROR(N(INDEX(Clay_Brands!$A$2:$FZ$601,485,Sync!$D$12)),0)&gt;0,IFERROR(INDEX(Clay_Brands!$A$2:$FZ$601,485,Sync!$D$5)&amp;"","")&lt;&gt;"",OR(LEFT(IFERROR(INDEX(Clay_Brands!$A$2:$FZ$601,485,Sync!$D$5)&amp;"",""),6)&lt;&gt;"SAMPLE",Config!$B$19="Y")),IFERROR(N(INDEX(Clay_Brands!$A$2:$FZ$601,485,Sync!$D$12)),0),"")</f>
        <v/>
      </c>
      <c r="C4536" s="23" t="str">
        <f aca="false">IF(B4536="","","brand")</f>
        <v/>
      </c>
      <c r="D4536" s="23" t="str">
        <f aca="false">IF(B4536="","",IFERROR(INDEX(Brand_Log!$DV$2:$DV$201,MATCH(IFERROR(INDEX(Clay_Brands!$A$2:$FZ$601,485,Sync!$D$5)&amp;"",""),Brand_Log!$A$2:$A$201,0))&amp;"",IFERROR(INDEX(Clay_Brands!$A$2:$FZ$601,485,Sync!$D$5)&amp;"","")&amp;""))</f>
        <v/>
      </c>
      <c r="E4536" s="23" t="str">
        <f aca="false">IF(B4536="","",IFERROR(INDEX(Clay_Brands!$A$2:$FZ$601,485,Sync!$D$6)&amp;"",""))</f>
        <v/>
      </c>
      <c r="F4536" s="23" t="str">
        <f aca="false">IF(B4536="","","outreach_sent")</f>
        <v/>
      </c>
      <c r="G4536" s="23" t="str">
        <f aca="false">IF(B4536="","","")</f>
        <v/>
      </c>
      <c r="H4536" s="23" t="str">
        <f aca="false">IF(B4536="","","")</f>
        <v/>
      </c>
      <c r="I4536" s="23" t="str">
        <f aca="false">IF(B4536="","","")</f>
        <v/>
      </c>
      <c r="J4536" s="23" t="str">
        <f aca="false">IF(B4536="","","touch_2; "&amp;IFERROR(INDEX(Clay_Brands!$A$2:$FZ$601,485,Sync!$D$10)&amp;"","")&amp;"; "&amp;IFERROR(INDEX(Clay_Brands!$A$2:$FZ$601,485,Sync!$D$9)&amp;"",""))</f>
        <v/>
      </c>
      <c r="K4536" s="32" t="s">
        <v>1367</v>
      </c>
    </row>
    <row r="4537" customFormat="false" ht="15" hidden="false" customHeight="false" outlineLevel="0" collapsed="false">
      <c r="A4537" s="23" t="str">
        <f aca="false">IF(B4537="","",B4537+(16*1000+486)/10000000)</f>
        <v/>
      </c>
      <c r="B4537" s="35" t="str">
        <f aca="false">IF(AND(IFERROR(N(INDEX(Clay_Brands!$A$2:$FZ$601,486,Sync!$D$12)),0)&gt;0,IFERROR(INDEX(Clay_Brands!$A$2:$FZ$601,486,Sync!$D$5)&amp;"","")&lt;&gt;"",OR(LEFT(IFERROR(INDEX(Clay_Brands!$A$2:$FZ$601,486,Sync!$D$5)&amp;"",""),6)&lt;&gt;"SAMPLE",Config!$B$19="Y")),IFERROR(N(INDEX(Clay_Brands!$A$2:$FZ$601,486,Sync!$D$12)),0),"")</f>
        <v/>
      </c>
      <c r="C4537" s="23" t="str">
        <f aca="false">IF(B4537="","","brand")</f>
        <v/>
      </c>
      <c r="D4537" s="23" t="str">
        <f aca="false">IF(B4537="","",IFERROR(INDEX(Brand_Log!$DV$2:$DV$201,MATCH(IFERROR(INDEX(Clay_Brands!$A$2:$FZ$601,486,Sync!$D$5)&amp;"",""),Brand_Log!$A$2:$A$201,0))&amp;"",IFERROR(INDEX(Clay_Brands!$A$2:$FZ$601,486,Sync!$D$5)&amp;"","")&amp;""))</f>
        <v/>
      </c>
      <c r="E4537" s="23" t="str">
        <f aca="false">IF(B4537="","",IFERROR(INDEX(Clay_Brands!$A$2:$FZ$601,486,Sync!$D$6)&amp;"",""))</f>
        <v/>
      </c>
      <c r="F4537" s="23" t="str">
        <f aca="false">IF(B4537="","","outreach_sent")</f>
        <v/>
      </c>
      <c r="G4537" s="23" t="str">
        <f aca="false">IF(B4537="","","")</f>
        <v/>
      </c>
      <c r="H4537" s="23" t="str">
        <f aca="false">IF(B4537="","","")</f>
        <v/>
      </c>
      <c r="I4537" s="23" t="str">
        <f aca="false">IF(B4537="","","")</f>
        <v/>
      </c>
      <c r="J4537" s="23" t="str">
        <f aca="false">IF(B4537="","","touch_2; "&amp;IFERROR(INDEX(Clay_Brands!$A$2:$FZ$601,486,Sync!$D$10)&amp;"","")&amp;"; "&amp;IFERROR(INDEX(Clay_Brands!$A$2:$FZ$601,486,Sync!$D$9)&amp;"",""))</f>
        <v/>
      </c>
      <c r="K4537" s="32" t="s">
        <v>1367</v>
      </c>
    </row>
    <row r="4538" customFormat="false" ht="15" hidden="false" customHeight="false" outlineLevel="0" collapsed="false">
      <c r="A4538" s="23" t="str">
        <f aca="false">IF(B4538="","",B4538+(16*1000+487)/10000000)</f>
        <v/>
      </c>
      <c r="B4538" s="35" t="str">
        <f aca="false">IF(AND(IFERROR(N(INDEX(Clay_Brands!$A$2:$FZ$601,487,Sync!$D$12)),0)&gt;0,IFERROR(INDEX(Clay_Brands!$A$2:$FZ$601,487,Sync!$D$5)&amp;"","")&lt;&gt;"",OR(LEFT(IFERROR(INDEX(Clay_Brands!$A$2:$FZ$601,487,Sync!$D$5)&amp;"",""),6)&lt;&gt;"SAMPLE",Config!$B$19="Y")),IFERROR(N(INDEX(Clay_Brands!$A$2:$FZ$601,487,Sync!$D$12)),0),"")</f>
        <v/>
      </c>
      <c r="C4538" s="23" t="str">
        <f aca="false">IF(B4538="","","brand")</f>
        <v/>
      </c>
      <c r="D4538" s="23" t="str">
        <f aca="false">IF(B4538="","",IFERROR(INDEX(Brand_Log!$DV$2:$DV$201,MATCH(IFERROR(INDEX(Clay_Brands!$A$2:$FZ$601,487,Sync!$D$5)&amp;"",""),Brand_Log!$A$2:$A$201,0))&amp;"",IFERROR(INDEX(Clay_Brands!$A$2:$FZ$601,487,Sync!$D$5)&amp;"","")&amp;""))</f>
        <v/>
      </c>
      <c r="E4538" s="23" t="str">
        <f aca="false">IF(B4538="","",IFERROR(INDEX(Clay_Brands!$A$2:$FZ$601,487,Sync!$D$6)&amp;"",""))</f>
        <v/>
      </c>
      <c r="F4538" s="23" t="str">
        <f aca="false">IF(B4538="","","outreach_sent")</f>
        <v/>
      </c>
      <c r="G4538" s="23" t="str">
        <f aca="false">IF(B4538="","","")</f>
        <v/>
      </c>
      <c r="H4538" s="23" t="str">
        <f aca="false">IF(B4538="","","")</f>
        <v/>
      </c>
      <c r="I4538" s="23" t="str">
        <f aca="false">IF(B4538="","","")</f>
        <v/>
      </c>
      <c r="J4538" s="23" t="str">
        <f aca="false">IF(B4538="","","touch_2; "&amp;IFERROR(INDEX(Clay_Brands!$A$2:$FZ$601,487,Sync!$D$10)&amp;"","")&amp;"; "&amp;IFERROR(INDEX(Clay_Brands!$A$2:$FZ$601,487,Sync!$D$9)&amp;"",""))</f>
        <v/>
      </c>
      <c r="K4538" s="32" t="s">
        <v>1367</v>
      </c>
    </row>
    <row r="4539" customFormat="false" ht="15" hidden="false" customHeight="false" outlineLevel="0" collapsed="false">
      <c r="A4539" s="23" t="str">
        <f aca="false">IF(B4539="","",B4539+(16*1000+488)/10000000)</f>
        <v/>
      </c>
      <c r="B4539" s="35" t="str">
        <f aca="false">IF(AND(IFERROR(N(INDEX(Clay_Brands!$A$2:$FZ$601,488,Sync!$D$12)),0)&gt;0,IFERROR(INDEX(Clay_Brands!$A$2:$FZ$601,488,Sync!$D$5)&amp;"","")&lt;&gt;"",OR(LEFT(IFERROR(INDEX(Clay_Brands!$A$2:$FZ$601,488,Sync!$D$5)&amp;"",""),6)&lt;&gt;"SAMPLE",Config!$B$19="Y")),IFERROR(N(INDEX(Clay_Brands!$A$2:$FZ$601,488,Sync!$D$12)),0),"")</f>
        <v/>
      </c>
      <c r="C4539" s="23" t="str">
        <f aca="false">IF(B4539="","","brand")</f>
        <v/>
      </c>
      <c r="D4539" s="23" t="str">
        <f aca="false">IF(B4539="","",IFERROR(INDEX(Brand_Log!$DV$2:$DV$201,MATCH(IFERROR(INDEX(Clay_Brands!$A$2:$FZ$601,488,Sync!$D$5)&amp;"",""),Brand_Log!$A$2:$A$201,0))&amp;"",IFERROR(INDEX(Clay_Brands!$A$2:$FZ$601,488,Sync!$D$5)&amp;"","")&amp;""))</f>
        <v/>
      </c>
      <c r="E4539" s="23" t="str">
        <f aca="false">IF(B4539="","",IFERROR(INDEX(Clay_Brands!$A$2:$FZ$601,488,Sync!$D$6)&amp;"",""))</f>
        <v/>
      </c>
      <c r="F4539" s="23" t="str">
        <f aca="false">IF(B4539="","","outreach_sent")</f>
        <v/>
      </c>
      <c r="G4539" s="23" t="str">
        <f aca="false">IF(B4539="","","")</f>
        <v/>
      </c>
      <c r="H4539" s="23" t="str">
        <f aca="false">IF(B4539="","","")</f>
        <v/>
      </c>
      <c r="I4539" s="23" t="str">
        <f aca="false">IF(B4539="","","")</f>
        <v/>
      </c>
      <c r="J4539" s="23" t="str">
        <f aca="false">IF(B4539="","","touch_2; "&amp;IFERROR(INDEX(Clay_Brands!$A$2:$FZ$601,488,Sync!$D$10)&amp;"","")&amp;"; "&amp;IFERROR(INDEX(Clay_Brands!$A$2:$FZ$601,488,Sync!$D$9)&amp;"",""))</f>
        <v/>
      </c>
      <c r="K4539" s="32" t="s">
        <v>1367</v>
      </c>
    </row>
    <row r="4540" customFormat="false" ht="15" hidden="false" customHeight="false" outlineLevel="0" collapsed="false">
      <c r="A4540" s="23" t="str">
        <f aca="false">IF(B4540="","",B4540+(16*1000+489)/10000000)</f>
        <v/>
      </c>
      <c r="B4540" s="35" t="str">
        <f aca="false">IF(AND(IFERROR(N(INDEX(Clay_Brands!$A$2:$FZ$601,489,Sync!$D$12)),0)&gt;0,IFERROR(INDEX(Clay_Brands!$A$2:$FZ$601,489,Sync!$D$5)&amp;"","")&lt;&gt;"",OR(LEFT(IFERROR(INDEX(Clay_Brands!$A$2:$FZ$601,489,Sync!$D$5)&amp;"",""),6)&lt;&gt;"SAMPLE",Config!$B$19="Y")),IFERROR(N(INDEX(Clay_Brands!$A$2:$FZ$601,489,Sync!$D$12)),0),"")</f>
        <v/>
      </c>
      <c r="C4540" s="23" t="str">
        <f aca="false">IF(B4540="","","brand")</f>
        <v/>
      </c>
      <c r="D4540" s="23" t="str">
        <f aca="false">IF(B4540="","",IFERROR(INDEX(Brand_Log!$DV$2:$DV$201,MATCH(IFERROR(INDEX(Clay_Brands!$A$2:$FZ$601,489,Sync!$D$5)&amp;"",""),Brand_Log!$A$2:$A$201,0))&amp;"",IFERROR(INDEX(Clay_Brands!$A$2:$FZ$601,489,Sync!$D$5)&amp;"","")&amp;""))</f>
        <v/>
      </c>
      <c r="E4540" s="23" t="str">
        <f aca="false">IF(B4540="","",IFERROR(INDEX(Clay_Brands!$A$2:$FZ$601,489,Sync!$D$6)&amp;"",""))</f>
        <v/>
      </c>
      <c r="F4540" s="23" t="str">
        <f aca="false">IF(B4540="","","outreach_sent")</f>
        <v/>
      </c>
      <c r="G4540" s="23" t="str">
        <f aca="false">IF(B4540="","","")</f>
        <v/>
      </c>
      <c r="H4540" s="23" t="str">
        <f aca="false">IF(B4540="","","")</f>
        <v/>
      </c>
      <c r="I4540" s="23" t="str">
        <f aca="false">IF(B4540="","","")</f>
        <v/>
      </c>
      <c r="J4540" s="23" t="str">
        <f aca="false">IF(B4540="","","touch_2; "&amp;IFERROR(INDEX(Clay_Brands!$A$2:$FZ$601,489,Sync!$D$10)&amp;"","")&amp;"; "&amp;IFERROR(INDEX(Clay_Brands!$A$2:$FZ$601,489,Sync!$D$9)&amp;"",""))</f>
        <v/>
      </c>
      <c r="K4540" s="32" t="s">
        <v>1367</v>
      </c>
    </row>
    <row r="4541" customFormat="false" ht="15" hidden="false" customHeight="false" outlineLevel="0" collapsed="false">
      <c r="A4541" s="23" t="str">
        <f aca="false">IF(B4541="","",B4541+(16*1000+490)/10000000)</f>
        <v/>
      </c>
      <c r="B4541" s="35" t="str">
        <f aca="false">IF(AND(IFERROR(N(INDEX(Clay_Brands!$A$2:$FZ$601,490,Sync!$D$12)),0)&gt;0,IFERROR(INDEX(Clay_Brands!$A$2:$FZ$601,490,Sync!$D$5)&amp;"","")&lt;&gt;"",OR(LEFT(IFERROR(INDEX(Clay_Brands!$A$2:$FZ$601,490,Sync!$D$5)&amp;"",""),6)&lt;&gt;"SAMPLE",Config!$B$19="Y")),IFERROR(N(INDEX(Clay_Brands!$A$2:$FZ$601,490,Sync!$D$12)),0),"")</f>
        <v/>
      </c>
      <c r="C4541" s="23" t="str">
        <f aca="false">IF(B4541="","","brand")</f>
        <v/>
      </c>
      <c r="D4541" s="23" t="str">
        <f aca="false">IF(B4541="","",IFERROR(INDEX(Brand_Log!$DV$2:$DV$201,MATCH(IFERROR(INDEX(Clay_Brands!$A$2:$FZ$601,490,Sync!$D$5)&amp;"",""),Brand_Log!$A$2:$A$201,0))&amp;"",IFERROR(INDEX(Clay_Brands!$A$2:$FZ$601,490,Sync!$D$5)&amp;"","")&amp;""))</f>
        <v/>
      </c>
      <c r="E4541" s="23" t="str">
        <f aca="false">IF(B4541="","",IFERROR(INDEX(Clay_Brands!$A$2:$FZ$601,490,Sync!$D$6)&amp;"",""))</f>
        <v/>
      </c>
      <c r="F4541" s="23" t="str">
        <f aca="false">IF(B4541="","","outreach_sent")</f>
        <v/>
      </c>
      <c r="G4541" s="23" t="str">
        <f aca="false">IF(B4541="","","")</f>
        <v/>
      </c>
      <c r="H4541" s="23" t="str">
        <f aca="false">IF(B4541="","","")</f>
        <v/>
      </c>
      <c r="I4541" s="23" t="str">
        <f aca="false">IF(B4541="","","")</f>
        <v/>
      </c>
      <c r="J4541" s="23" t="str">
        <f aca="false">IF(B4541="","","touch_2; "&amp;IFERROR(INDEX(Clay_Brands!$A$2:$FZ$601,490,Sync!$D$10)&amp;"","")&amp;"; "&amp;IFERROR(INDEX(Clay_Brands!$A$2:$FZ$601,490,Sync!$D$9)&amp;"",""))</f>
        <v/>
      </c>
      <c r="K4541" s="32" t="s">
        <v>1367</v>
      </c>
    </row>
    <row r="4542" customFormat="false" ht="15" hidden="false" customHeight="false" outlineLevel="0" collapsed="false">
      <c r="A4542" s="23" t="str">
        <f aca="false">IF(B4542="","",B4542+(16*1000+491)/10000000)</f>
        <v/>
      </c>
      <c r="B4542" s="35" t="str">
        <f aca="false">IF(AND(IFERROR(N(INDEX(Clay_Brands!$A$2:$FZ$601,491,Sync!$D$12)),0)&gt;0,IFERROR(INDEX(Clay_Brands!$A$2:$FZ$601,491,Sync!$D$5)&amp;"","")&lt;&gt;"",OR(LEFT(IFERROR(INDEX(Clay_Brands!$A$2:$FZ$601,491,Sync!$D$5)&amp;"",""),6)&lt;&gt;"SAMPLE",Config!$B$19="Y")),IFERROR(N(INDEX(Clay_Brands!$A$2:$FZ$601,491,Sync!$D$12)),0),"")</f>
        <v/>
      </c>
      <c r="C4542" s="23" t="str">
        <f aca="false">IF(B4542="","","brand")</f>
        <v/>
      </c>
      <c r="D4542" s="23" t="str">
        <f aca="false">IF(B4542="","",IFERROR(INDEX(Brand_Log!$DV$2:$DV$201,MATCH(IFERROR(INDEX(Clay_Brands!$A$2:$FZ$601,491,Sync!$D$5)&amp;"",""),Brand_Log!$A$2:$A$201,0))&amp;"",IFERROR(INDEX(Clay_Brands!$A$2:$FZ$601,491,Sync!$D$5)&amp;"","")&amp;""))</f>
        <v/>
      </c>
      <c r="E4542" s="23" t="str">
        <f aca="false">IF(B4542="","",IFERROR(INDEX(Clay_Brands!$A$2:$FZ$601,491,Sync!$D$6)&amp;"",""))</f>
        <v/>
      </c>
      <c r="F4542" s="23" t="str">
        <f aca="false">IF(B4542="","","outreach_sent")</f>
        <v/>
      </c>
      <c r="G4542" s="23" t="str">
        <f aca="false">IF(B4542="","","")</f>
        <v/>
      </c>
      <c r="H4542" s="23" t="str">
        <f aca="false">IF(B4542="","","")</f>
        <v/>
      </c>
      <c r="I4542" s="23" t="str">
        <f aca="false">IF(B4542="","","")</f>
        <v/>
      </c>
      <c r="J4542" s="23" t="str">
        <f aca="false">IF(B4542="","","touch_2; "&amp;IFERROR(INDEX(Clay_Brands!$A$2:$FZ$601,491,Sync!$D$10)&amp;"","")&amp;"; "&amp;IFERROR(INDEX(Clay_Brands!$A$2:$FZ$601,491,Sync!$D$9)&amp;"",""))</f>
        <v/>
      </c>
      <c r="K4542" s="32" t="s">
        <v>1367</v>
      </c>
    </row>
    <row r="4543" customFormat="false" ht="15" hidden="false" customHeight="false" outlineLevel="0" collapsed="false">
      <c r="A4543" s="23" t="str">
        <f aca="false">IF(B4543="","",B4543+(16*1000+492)/10000000)</f>
        <v/>
      </c>
      <c r="B4543" s="35" t="str">
        <f aca="false">IF(AND(IFERROR(N(INDEX(Clay_Brands!$A$2:$FZ$601,492,Sync!$D$12)),0)&gt;0,IFERROR(INDEX(Clay_Brands!$A$2:$FZ$601,492,Sync!$D$5)&amp;"","")&lt;&gt;"",OR(LEFT(IFERROR(INDEX(Clay_Brands!$A$2:$FZ$601,492,Sync!$D$5)&amp;"",""),6)&lt;&gt;"SAMPLE",Config!$B$19="Y")),IFERROR(N(INDEX(Clay_Brands!$A$2:$FZ$601,492,Sync!$D$12)),0),"")</f>
        <v/>
      </c>
      <c r="C4543" s="23" t="str">
        <f aca="false">IF(B4543="","","brand")</f>
        <v/>
      </c>
      <c r="D4543" s="23" t="str">
        <f aca="false">IF(B4543="","",IFERROR(INDEX(Brand_Log!$DV$2:$DV$201,MATCH(IFERROR(INDEX(Clay_Brands!$A$2:$FZ$601,492,Sync!$D$5)&amp;"",""),Brand_Log!$A$2:$A$201,0))&amp;"",IFERROR(INDEX(Clay_Brands!$A$2:$FZ$601,492,Sync!$D$5)&amp;"","")&amp;""))</f>
        <v/>
      </c>
      <c r="E4543" s="23" t="str">
        <f aca="false">IF(B4543="","",IFERROR(INDEX(Clay_Brands!$A$2:$FZ$601,492,Sync!$D$6)&amp;"",""))</f>
        <v/>
      </c>
      <c r="F4543" s="23" t="str">
        <f aca="false">IF(B4543="","","outreach_sent")</f>
        <v/>
      </c>
      <c r="G4543" s="23" t="str">
        <f aca="false">IF(B4543="","","")</f>
        <v/>
      </c>
      <c r="H4543" s="23" t="str">
        <f aca="false">IF(B4543="","","")</f>
        <v/>
      </c>
      <c r="I4543" s="23" t="str">
        <f aca="false">IF(B4543="","","")</f>
        <v/>
      </c>
      <c r="J4543" s="23" t="str">
        <f aca="false">IF(B4543="","","touch_2; "&amp;IFERROR(INDEX(Clay_Brands!$A$2:$FZ$601,492,Sync!$D$10)&amp;"","")&amp;"; "&amp;IFERROR(INDEX(Clay_Brands!$A$2:$FZ$601,492,Sync!$D$9)&amp;"",""))</f>
        <v/>
      </c>
      <c r="K4543" s="32" t="s">
        <v>1367</v>
      </c>
    </row>
    <row r="4544" customFormat="false" ht="15" hidden="false" customHeight="false" outlineLevel="0" collapsed="false">
      <c r="A4544" s="23" t="str">
        <f aca="false">IF(B4544="","",B4544+(16*1000+493)/10000000)</f>
        <v/>
      </c>
      <c r="B4544" s="35" t="str">
        <f aca="false">IF(AND(IFERROR(N(INDEX(Clay_Brands!$A$2:$FZ$601,493,Sync!$D$12)),0)&gt;0,IFERROR(INDEX(Clay_Brands!$A$2:$FZ$601,493,Sync!$D$5)&amp;"","")&lt;&gt;"",OR(LEFT(IFERROR(INDEX(Clay_Brands!$A$2:$FZ$601,493,Sync!$D$5)&amp;"",""),6)&lt;&gt;"SAMPLE",Config!$B$19="Y")),IFERROR(N(INDEX(Clay_Brands!$A$2:$FZ$601,493,Sync!$D$12)),0),"")</f>
        <v/>
      </c>
      <c r="C4544" s="23" t="str">
        <f aca="false">IF(B4544="","","brand")</f>
        <v/>
      </c>
      <c r="D4544" s="23" t="str">
        <f aca="false">IF(B4544="","",IFERROR(INDEX(Brand_Log!$DV$2:$DV$201,MATCH(IFERROR(INDEX(Clay_Brands!$A$2:$FZ$601,493,Sync!$D$5)&amp;"",""),Brand_Log!$A$2:$A$201,0))&amp;"",IFERROR(INDEX(Clay_Brands!$A$2:$FZ$601,493,Sync!$D$5)&amp;"","")&amp;""))</f>
        <v/>
      </c>
      <c r="E4544" s="23" t="str">
        <f aca="false">IF(B4544="","",IFERROR(INDEX(Clay_Brands!$A$2:$FZ$601,493,Sync!$D$6)&amp;"",""))</f>
        <v/>
      </c>
      <c r="F4544" s="23" t="str">
        <f aca="false">IF(B4544="","","outreach_sent")</f>
        <v/>
      </c>
      <c r="G4544" s="23" t="str">
        <f aca="false">IF(B4544="","","")</f>
        <v/>
      </c>
      <c r="H4544" s="23" t="str">
        <f aca="false">IF(B4544="","","")</f>
        <v/>
      </c>
      <c r="I4544" s="23" t="str">
        <f aca="false">IF(B4544="","","")</f>
        <v/>
      </c>
      <c r="J4544" s="23" t="str">
        <f aca="false">IF(B4544="","","touch_2; "&amp;IFERROR(INDEX(Clay_Brands!$A$2:$FZ$601,493,Sync!$D$10)&amp;"","")&amp;"; "&amp;IFERROR(INDEX(Clay_Brands!$A$2:$FZ$601,493,Sync!$D$9)&amp;"",""))</f>
        <v/>
      </c>
      <c r="K4544" s="32" t="s">
        <v>1367</v>
      </c>
    </row>
    <row r="4545" customFormat="false" ht="15" hidden="false" customHeight="false" outlineLevel="0" collapsed="false">
      <c r="A4545" s="23" t="str">
        <f aca="false">IF(B4545="","",B4545+(16*1000+494)/10000000)</f>
        <v/>
      </c>
      <c r="B4545" s="35" t="str">
        <f aca="false">IF(AND(IFERROR(N(INDEX(Clay_Brands!$A$2:$FZ$601,494,Sync!$D$12)),0)&gt;0,IFERROR(INDEX(Clay_Brands!$A$2:$FZ$601,494,Sync!$D$5)&amp;"","")&lt;&gt;"",OR(LEFT(IFERROR(INDEX(Clay_Brands!$A$2:$FZ$601,494,Sync!$D$5)&amp;"",""),6)&lt;&gt;"SAMPLE",Config!$B$19="Y")),IFERROR(N(INDEX(Clay_Brands!$A$2:$FZ$601,494,Sync!$D$12)),0),"")</f>
        <v/>
      </c>
      <c r="C4545" s="23" t="str">
        <f aca="false">IF(B4545="","","brand")</f>
        <v/>
      </c>
      <c r="D4545" s="23" t="str">
        <f aca="false">IF(B4545="","",IFERROR(INDEX(Brand_Log!$DV$2:$DV$201,MATCH(IFERROR(INDEX(Clay_Brands!$A$2:$FZ$601,494,Sync!$D$5)&amp;"",""),Brand_Log!$A$2:$A$201,0))&amp;"",IFERROR(INDEX(Clay_Brands!$A$2:$FZ$601,494,Sync!$D$5)&amp;"","")&amp;""))</f>
        <v/>
      </c>
      <c r="E4545" s="23" t="str">
        <f aca="false">IF(B4545="","",IFERROR(INDEX(Clay_Brands!$A$2:$FZ$601,494,Sync!$D$6)&amp;"",""))</f>
        <v/>
      </c>
      <c r="F4545" s="23" t="str">
        <f aca="false">IF(B4545="","","outreach_sent")</f>
        <v/>
      </c>
      <c r="G4545" s="23" t="str">
        <f aca="false">IF(B4545="","","")</f>
        <v/>
      </c>
      <c r="H4545" s="23" t="str">
        <f aca="false">IF(B4545="","","")</f>
        <v/>
      </c>
      <c r="I4545" s="23" t="str">
        <f aca="false">IF(B4545="","","")</f>
        <v/>
      </c>
      <c r="J4545" s="23" t="str">
        <f aca="false">IF(B4545="","","touch_2; "&amp;IFERROR(INDEX(Clay_Brands!$A$2:$FZ$601,494,Sync!$D$10)&amp;"","")&amp;"; "&amp;IFERROR(INDEX(Clay_Brands!$A$2:$FZ$601,494,Sync!$D$9)&amp;"",""))</f>
        <v/>
      </c>
      <c r="K4545" s="32" t="s">
        <v>1367</v>
      </c>
    </row>
    <row r="4546" customFormat="false" ht="15" hidden="false" customHeight="false" outlineLevel="0" collapsed="false">
      <c r="A4546" s="23" t="str">
        <f aca="false">IF(B4546="","",B4546+(16*1000+495)/10000000)</f>
        <v/>
      </c>
      <c r="B4546" s="35" t="str">
        <f aca="false">IF(AND(IFERROR(N(INDEX(Clay_Brands!$A$2:$FZ$601,495,Sync!$D$12)),0)&gt;0,IFERROR(INDEX(Clay_Brands!$A$2:$FZ$601,495,Sync!$D$5)&amp;"","")&lt;&gt;"",OR(LEFT(IFERROR(INDEX(Clay_Brands!$A$2:$FZ$601,495,Sync!$D$5)&amp;"",""),6)&lt;&gt;"SAMPLE",Config!$B$19="Y")),IFERROR(N(INDEX(Clay_Brands!$A$2:$FZ$601,495,Sync!$D$12)),0),"")</f>
        <v/>
      </c>
      <c r="C4546" s="23" t="str">
        <f aca="false">IF(B4546="","","brand")</f>
        <v/>
      </c>
      <c r="D4546" s="23" t="str">
        <f aca="false">IF(B4546="","",IFERROR(INDEX(Brand_Log!$DV$2:$DV$201,MATCH(IFERROR(INDEX(Clay_Brands!$A$2:$FZ$601,495,Sync!$D$5)&amp;"",""),Brand_Log!$A$2:$A$201,0))&amp;"",IFERROR(INDEX(Clay_Brands!$A$2:$FZ$601,495,Sync!$D$5)&amp;"","")&amp;""))</f>
        <v/>
      </c>
      <c r="E4546" s="23" t="str">
        <f aca="false">IF(B4546="","",IFERROR(INDEX(Clay_Brands!$A$2:$FZ$601,495,Sync!$D$6)&amp;"",""))</f>
        <v/>
      </c>
      <c r="F4546" s="23" t="str">
        <f aca="false">IF(B4546="","","outreach_sent")</f>
        <v/>
      </c>
      <c r="G4546" s="23" t="str">
        <f aca="false">IF(B4546="","","")</f>
        <v/>
      </c>
      <c r="H4546" s="23" t="str">
        <f aca="false">IF(B4546="","","")</f>
        <v/>
      </c>
      <c r="I4546" s="23" t="str">
        <f aca="false">IF(B4546="","","")</f>
        <v/>
      </c>
      <c r="J4546" s="23" t="str">
        <f aca="false">IF(B4546="","","touch_2; "&amp;IFERROR(INDEX(Clay_Brands!$A$2:$FZ$601,495,Sync!$D$10)&amp;"","")&amp;"; "&amp;IFERROR(INDEX(Clay_Brands!$A$2:$FZ$601,495,Sync!$D$9)&amp;"",""))</f>
        <v/>
      </c>
      <c r="K4546" s="32" t="s">
        <v>1367</v>
      </c>
    </row>
    <row r="4547" customFormat="false" ht="15" hidden="false" customHeight="false" outlineLevel="0" collapsed="false">
      <c r="A4547" s="23" t="str">
        <f aca="false">IF(B4547="","",B4547+(16*1000+496)/10000000)</f>
        <v/>
      </c>
      <c r="B4547" s="35" t="str">
        <f aca="false">IF(AND(IFERROR(N(INDEX(Clay_Brands!$A$2:$FZ$601,496,Sync!$D$12)),0)&gt;0,IFERROR(INDEX(Clay_Brands!$A$2:$FZ$601,496,Sync!$D$5)&amp;"","")&lt;&gt;"",OR(LEFT(IFERROR(INDEX(Clay_Brands!$A$2:$FZ$601,496,Sync!$D$5)&amp;"",""),6)&lt;&gt;"SAMPLE",Config!$B$19="Y")),IFERROR(N(INDEX(Clay_Brands!$A$2:$FZ$601,496,Sync!$D$12)),0),"")</f>
        <v/>
      </c>
      <c r="C4547" s="23" t="str">
        <f aca="false">IF(B4547="","","brand")</f>
        <v/>
      </c>
      <c r="D4547" s="23" t="str">
        <f aca="false">IF(B4547="","",IFERROR(INDEX(Brand_Log!$DV$2:$DV$201,MATCH(IFERROR(INDEX(Clay_Brands!$A$2:$FZ$601,496,Sync!$D$5)&amp;"",""),Brand_Log!$A$2:$A$201,0))&amp;"",IFERROR(INDEX(Clay_Brands!$A$2:$FZ$601,496,Sync!$D$5)&amp;"","")&amp;""))</f>
        <v/>
      </c>
      <c r="E4547" s="23" t="str">
        <f aca="false">IF(B4547="","",IFERROR(INDEX(Clay_Brands!$A$2:$FZ$601,496,Sync!$D$6)&amp;"",""))</f>
        <v/>
      </c>
      <c r="F4547" s="23" t="str">
        <f aca="false">IF(B4547="","","outreach_sent")</f>
        <v/>
      </c>
      <c r="G4547" s="23" t="str">
        <f aca="false">IF(B4547="","","")</f>
        <v/>
      </c>
      <c r="H4547" s="23" t="str">
        <f aca="false">IF(B4547="","","")</f>
        <v/>
      </c>
      <c r="I4547" s="23" t="str">
        <f aca="false">IF(B4547="","","")</f>
        <v/>
      </c>
      <c r="J4547" s="23" t="str">
        <f aca="false">IF(B4547="","","touch_2; "&amp;IFERROR(INDEX(Clay_Brands!$A$2:$FZ$601,496,Sync!$D$10)&amp;"","")&amp;"; "&amp;IFERROR(INDEX(Clay_Brands!$A$2:$FZ$601,496,Sync!$D$9)&amp;"",""))</f>
        <v/>
      </c>
      <c r="K4547" s="32" t="s">
        <v>1367</v>
      </c>
    </row>
    <row r="4548" customFormat="false" ht="15" hidden="false" customHeight="false" outlineLevel="0" collapsed="false">
      <c r="A4548" s="23" t="str">
        <f aca="false">IF(B4548="","",B4548+(16*1000+497)/10000000)</f>
        <v/>
      </c>
      <c r="B4548" s="35" t="str">
        <f aca="false">IF(AND(IFERROR(N(INDEX(Clay_Brands!$A$2:$FZ$601,497,Sync!$D$12)),0)&gt;0,IFERROR(INDEX(Clay_Brands!$A$2:$FZ$601,497,Sync!$D$5)&amp;"","")&lt;&gt;"",OR(LEFT(IFERROR(INDEX(Clay_Brands!$A$2:$FZ$601,497,Sync!$D$5)&amp;"",""),6)&lt;&gt;"SAMPLE",Config!$B$19="Y")),IFERROR(N(INDEX(Clay_Brands!$A$2:$FZ$601,497,Sync!$D$12)),0),"")</f>
        <v/>
      </c>
      <c r="C4548" s="23" t="str">
        <f aca="false">IF(B4548="","","brand")</f>
        <v/>
      </c>
      <c r="D4548" s="23" t="str">
        <f aca="false">IF(B4548="","",IFERROR(INDEX(Brand_Log!$DV$2:$DV$201,MATCH(IFERROR(INDEX(Clay_Brands!$A$2:$FZ$601,497,Sync!$D$5)&amp;"",""),Brand_Log!$A$2:$A$201,0))&amp;"",IFERROR(INDEX(Clay_Brands!$A$2:$FZ$601,497,Sync!$D$5)&amp;"","")&amp;""))</f>
        <v/>
      </c>
      <c r="E4548" s="23" t="str">
        <f aca="false">IF(B4548="","",IFERROR(INDEX(Clay_Brands!$A$2:$FZ$601,497,Sync!$D$6)&amp;"",""))</f>
        <v/>
      </c>
      <c r="F4548" s="23" t="str">
        <f aca="false">IF(B4548="","","outreach_sent")</f>
        <v/>
      </c>
      <c r="G4548" s="23" t="str">
        <f aca="false">IF(B4548="","","")</f>
        <v/>
      </c>
      <c r="H4548" s="23" t="str">
        <f aca="false">IF(B4548="","","")</f>
        <v/>
      </c>
      <c r="I4548" s="23" t="str">
        <f aca="false">IF(B4548="","","")</f>
        <v/>
      </c>
      <c r="J4548" s="23" t="str">
        <f aca="false">IF(B4548="","","touch_2; "&amp;IFERROR(INDEX(Clay_Brands!$A$2:$FZ$601,497,Sync!$D$10)&amp;"","")&amp;"; "&amp;IFERROR(INDEX(Clay_Brands!$A$2:$FZ$601,497,Sync!$D$9)&amp;"",""))</f>
        <v/>
      </c>
      <c r="K4548" s="32" t="s">
        <v>1367</v>
      </c>
    </row>
    <row r="4549" customFormat="false" ht="15" hidden="false" customHeight="false" outlineLevel="0" collapsed="false">
      <c r="A4549" s="23" t="str">
        <f aca="false">IF(B4549="","",B4549+(16*1000+498)/10000000)</f>
        <v/>
      </c>
      <c r="B4549" s="35" t="str">
        <f aca="false">IF(AND(IFERROR(N(INDEX(Clay_Brands!$A$2:$FZ$601,498,Sync!$D$12)),0)&gt;0,IFERROR(INDEX(Clay_Brands!$A$2:$FZ$601,498,Sync!$D$5)&amp;"","")&lt;&gt;"",OR(LEFT(IFERROR(INDEX(Clay_Brands!$A$2:$FZ$601,498,Sync!$D$5)&amp;"",""),6)&lt;&gt;"SAMPLE",Config!$B$19="Y")),IFERROR(N(INDEX(Clay_Brands!$A$2:$FZ$601,498,Sync!$D$12)),0),"")</f>
        <v/>
      </c>
      <c r="C4549" s="23" t="str">
        <f aca="false">IF(B4549="","","brand")</f>
        <v/>
      </c>
      <c r="D4549" s="23" t="str">
        <f aca="false">IF(B4549="","",IFERROR(INDEX(Brand_Log!$DV$2:$DV$201,MATCH(IFERROR(INDEX(Clay_Brands!$A$2:$FZ$601,498,Sync!$D$5)&amp;"",""),Brand_Log!$A$2:$A$201,0))&amp;"",IFERROR(INDEX(Clay_Brands!$A$2:$FZ$601,498,Sync!$D$5)&amp;"","")&amp;""))</f>
        <v/>
      </c>
      <c r="E4549" s="23" t="str">
        <f aca="false">IF(B4549="","",IFERROR(INDEX(Clay_Brands!$A$2:$FZ$601,498,Sync!$D$6)&amp;"",""))</f>
        <v/>
      </c>
      <c r="F4549" s="23" t="str">
        <f aca="false">IF(B4549="","","outreach_sent")</f>
        <v/>
      </c>
      <c r="G4549" s="23" t="str">
        <f aca="false">IF(B4549="","","")</f>
        <v/>
      </c>
      <c r="H4549" s="23" t="str">
        <f aca="false">IF(B4549="","","")</f>
        <v/>
      </c>
      <c r="I4549" s="23" t="str">
        <f aca="false">IF(B4549="","","")</f>
        <v/>
      </c>
      <c r="J4549" s="23" t="str">
        <f aca="false">IF(B4549="","","touch_2; "&amp;IFERROR(INDEX(Clay_Brands!$A$2:$FZ$601,498,Sync!$D$10)&amp;"","")&amp;"; "&amp;IFERROR(INDEX(Clay_Brands!$A$2:$FZ$601,498,Sync!$D$9)&amp;"",""))</f>
        <v/>
      </c>
      <c r="K4549" s="32" t="s">
        <v>1367</v>
      </c>
    </row>
    <row r="4550" customFormat="false" ht="15" hidden="false" customHeight="false" outlineLevel="0" collapsed="false">
      <c r="A4550" s="23" t="str">
        <f aca="false">IF(B4550="","",B4550+(16*1000+499)/10000000)</f>
        <v/>
      </c>
      <c r="B4550" s="35" t="str">
        <f aca="false">IF(AND(IFERROR(N(INDEX(Clay_Brands!$A$2:$FZ$601,499,Sync!$D$12)),0)&gt;0,IFERROR(INDEX(Clay_Brands!$A$2:$FZ$601,499,Sync!$D$5)&amp;"","")&lt;&gt;"",OR(LEFT(IFERROR(INDEX(Clay_Brands!$A$2:$FZ$601,499,Sync!$D$5)&amp;"",""),6)&lt;&gt;"SAMPLE",Config!$B$19="Y")),IFERROR(N(INDEX(Clay_Brands!$A$2:$FZ$601,499,Sync!$D$12)),0),"")</f>
        <v/>
      </c>
      <c r="C4550" s="23" t="str">
        <f aca="false">IF(B4550="","","brand")</f>
        <v/>
      </c>
      <c r="D4550" s="23" t="str">
        <f aca="false">IF(B4550="","",IFERROR(INDEX(Brand_Log!$DV$2:$DV$201,MATCH(IFERROR(INDEX(Clay_Brands!$A$2:$FZ$601,499,Sync!$D$5)&amp;"",""),Brand_Log!$A$2:$A$201,0))&amp;"",IFERROR(INDEX(Clay_Brands!$A$2:$FZ$601,499,Sync!$D$5)&amp;"","")&amp;""))</f>
        <v/>
      </c>
      <c r="E4550" s="23" t="str">
        <f aca="false">IF(B4550="","",IFERROR(INDEX(Clay_Brands!$A$2:$FZ$601,499,Sync!$D$6)&amp;"",""))</f>
        <v/>
      </c>
      <c r="F4550" s="23" t="str">
        <f aca="false">IF(B4550="","","outreach_sent")</f>
        <v/>
      </c>
      <c r="G4550" s="23" t="str">
        <f aca="false">IF(B4550="","","")</f>
        <v/>
      </c>
      <c r="H4550" s="23" t="str">
        <f aca="false">IF(B4550="","","")</f>
        <v/>
      </c>
      <c r="I4550" s="23" t="str">
        <f aca="false">IF(B4550="","","")</f>
        <v/>
      </c>
      <c r="J4550" s="23" t="str">
        <f aca="false">IF(B4550="","","touch_2; "&amp;IFERROR(INDEX(Clay_Brands!$A$2:$FZ$601,499,Sync!$D$10)&amp;"","")&amp;"; "&amp;IFERROR(INDEX(Clay_Brands!$A$2:$FZ$601,499,Sync!$D$9)&amp;"",""))</f>
        <v/>
      </c>
      <c r="K4550" s="32" t="s">
        <v>1367</v>
      </c>
    </row>
    <row r="4551" customFormat="false" ht="15" hidden="false" customHeight="false" outlineLevel="0" collapsed="false">
      <c r="A4551" s="23" t="str">
        <f aca="false">IF(B4551="","",B4551+(16*1000+500)/10000000)</f>
        <v/>
      </c>
      <c r="B4551" s="35" t="str">
        <f aca="false">IF(AND(IFERROR(N(INDEX(Clay_Brands!$A$2:$FZ$601,500,Sync!$D$12)),0)&gt;0,IFERROR(INDEX(Clay_Brands!$A$2:$FZ$601,500,Sync!$D$5)&amp;"","")&lt;&gt;"",OR(LEFT(IFERROR(INDEX(Clay_Brands!$A$2:$FZ$601,500,Sync!$D$5)&amp;"",""),6)&lt;&gt;"SAMPLE",Config!$B$19="Y")),IFERROR(N(INDEX(Clay_Brands!$A$2:$FZ$601,500,Sync!$D$12)),0),"")</f>
        <v/>
      </c>
      <c r="C4551" s="23" t="str">
        <f aca="false">IF(B4551="","","brand")</f>
        <v/>
      </c>
      <c r="D4551" s="23" t="str">
        <f aca="false">IF(B4551="","",IFERROR(INDEX(Brand_Log!$DV$2:$DV$201,MATCH(IFERROR(INDEX(Clay_Brands!$A$2:$FZ$601,500,Sync!$D$5)&amp;"",""),Brand_Log!$A$2:$A$201,0))&amp;"",IFERROR(INDEX(Clay_Brands!$A$2:$FZ$601,500,Sync!$D$5)&amp;"","")&amp;""))</f>
        <v/>
      </c>
      <c r="E4551" s="23" t="str">
        <f aca="false">IF(B4551="","",IFERROR(INDEX(Clay_Brands!$A$2:$FZ$601,500,Sync!$D$6)&amp;"",""))</f>
        <v/>
      </c>
      <c r="F4551" s="23" t="str">
        <f aca="false">IF(B4551="","","outreach_sent")</f>
        <v/>
      </c>
      <c r="G4551" s="23" t="str">
        <f aca="false">IF(B4551="","","")</f>
        <v/>
      </c>
      <c r="H4551" s="23" t="str">
        <f aca="false">IF(B4551="","","")</f>
        <v/>
      </c>
      <c r="I4551" s="23" t="str">
        <f aca="false">IF(B4551="","","")</f>
        <v/>
      </c>
      <c r="J4551" s="23" t="str">
        <f aca="false">IF(B4551="","","touch_2; "&amp;IFERROR(INDEX(Clay_Brands!$A$2:$FZ$601,500,Sync!$D$10)&amp;"","")&amp;"; "&amp;IFERROR(INDEX(Clay_Brands!$A$2:$FZ$601,500,Sync!$D$9)&amp;"",""))</f>
        <v/>
      </c>
      <c r="K4551" s="32" t="s">
        <v>1367</v>
      </c>
    </row>
    <row r="4552" customFormat="false" ht="15" hidden="false" customHeight="false" outlineLevel="0" collapsed="false">
      <c r="A4552" s="23" t="str">
        <f aca="false">IF(B4552="","",B4552+(16*1000+501)/10000000)</f>
        <v/>
      </c>
      <c r="B4552" s="35" t="str">
        <f aca="false">IF(AND(IFERROR(N(INDEX(Clay_Brands!$A$2:$FZ$601,501,Sync!$D$12)),0)&gt;0,IFERROR(INDEX(Clay_Brands!$A$2:$FZ$601,501,Sync!$D$5)&amp;"","")&lt;&gt;"",OR(LEFT(IFERROR(INDEX(Clay_Brands!$A$2:$FZ$601,501,Sync!$D$5)&amp;"",""),6)&lt;&gt;"SAMPLE",Config!$B$19="Y")),IFERROR(N(INDEX(Clay_Brands!$A$2:$FZ$601,501,Sync!$D$12)),0),"")</f>
        <v/>
      </c>
      <c r="C4552" s="23" t="str">
        <f aca="false">IF(B4552="","","brand")</f>
        <v/>
      </c>
      <c r="D4552" s="23" t="str">
        <f aca="false">IF(B4552="","",IFERROR(INDEX(Brand_Log!$DV$2:$DV$201,MATCH(IFERROR(INDEX(Clay_Brands!$A$2:$FZ$601,501,Sync!$D$5)&amp;"",""),Brand_Log!$A$2:$A$201,0))&amp;"",IFERROR(INDEX(Clay_Brands!$A$2:$FZ$601,501,Sync!$D$5)&amp;"","")&amp;""))</f>
        <v/>
      </c>
      <c r="E4552" s="23" t="str">
        <f aca="false">IF(B4552="","",IFERROR(INDEX(Clay_Brands!$A$2:$FZ$601,501,Sync!$D$6)&amp;"",""))</f>
        <v/>
      </c>
      <c r="F4552" s="23" t="str">
        <f aca="false">IF(B4552="","","outreach_sent")</f>
        <v/>
      </c>
      <c r="G4552" s="23" t="str">
        <f aca="false">IF(B4552="","","")</f>
        <v/>
      </c>
      <c r="H4552" s="23" t="str">
        <f aca="false">IF(B4552="","","")</f>
        <v/>
      </c>
      <c r="I4552" s="23" t="str">
        <f aca="false">IF(B4552="","","")</f>
        <v/>
      </c>
      <c r="J4552" s="23" t="str">
        <f aca="false">IF(B4552="","","touch_2; "&amp;IFERROR(INDEX(Clay_Brands!$A$2:$FZ$601,501,Sync!$D$10)&amp;"","")&amp;"; "&amp;IFERROR(INDEX(Clay_Brands!$A$2:$FZ$601,501,Sync!$D$9)&amp;"",""))</f>
        <v/>
      </c>
      <c r="K4552" s="32" t="s">
        <v>1367</v>
      </c>
    </row>
    <row r="4553" customFormat="false" ht="15" hidden="false" customHeight="false" outlineLevel="0" collapsed="false">
      <c r="A4553" s="23" t="str">
        <f aca="false">IF(B4553="","",B4553+(16*1000+502)/10000000)</f>
        <v/>
      </c>
      <c r="B4553" s="35" t="str">
        <f aca="false">IF(AND(IFERROR(N(INDEX(Clay_Brands!$A$2:$FZ$601,502,Sync!$D$12)),0)&gt;0,IFERROR(INDEX(Clay_Brands!$A$2:$FZ$601,502,Sync!$D$5)&amp;"","")&lt;&gt;"",OR(LEFT(IFERROR(INDEX(Clay_Brands!$A$2:$FZ$601,502,Sync!$D$5)&amp;"",""),6)&lt;&gt;"SAMPLE",Config!$B$19="Y")),IFERROR(N(INDEX(Clay_Brands!$A$2:$FZ$601,502,Sync!$D$12)),0),"")</f>
        <v/>
      </c>
      <c r="C4553" s="23" t="str">
        <f aca="false">IF(B4553="","","brand")</f>
        <v/>
      </c>
      <c r="D4553" s="23" t="str">
        <f aca="false">IF(B4553="","",IFERROR(INDEX(Brand_Log!$DV$2:$DV$201,MATCH(IFERROR(INDEX(Clay_Brands!$A$2:$FZ$601,502,Sync!$D$5)&amp;"",""),Brand_Log!$A$2:$A$201,0))&amp;"",IFERROR(INDEX(Clay_Brands!$A$2:$FZ$601,502,Sync!$D$5)&amp;"","")&amp;""))</f>
        <v/>
      </c>
      <c r="E4553" s="23" t="str">
        <f aca="false">IF(B4553="","",IFERROR(INDEX(Clay_Brands!$A$2:$FZ$601,502,Sync!$D$6)&amp;"",""))</f>
        <v/>
      </c>
      <c r="F4553" s="23" t="str">
        <f aca="false">IF(B4553="","","outreach_sent")</f>
        <v/>
      </c>
      <c r="G4553" s="23" t="str">
        <f aca="false">IF(B4553="","","")</f>
        <v/>
      </c>
      <c r="H4553" s="23" t="str">
        <f aca="false">IF(B4553="","","")</f>
        <v/>
      </c>
      <c r="I4553" s="23" t="str">
        <f aca="false">IF(B4553="","","")</f>
        <v/>
      </c>
      <c r="J4553" s="23" t="str">
        <f aca="false">IF(B4553="","","touch_2; "&amp;IFERROR(INDEX(Clay_Brands!$A$2:$FZ$601,502,Sync!$D$10)&amp;"","")&amp;"; "&amp;IFERROR(INDEX(Clay_Brands!$A$2:$FZ$601,502,Sync!$D$9)&amp;"",""))</f>
        <v/>
      </c>
      <c r="K4553" s="32" t="s">
        <v>1367</v>
      </c>
    </row>
    <row r="4554" customFormat="false" ht="15" hidden="false" customHeight="false" outlineLevel="0" collapsed="false">
      <c r="A4554" s="23" t="str">
        <f aca="false">IF(B4554="","",B4554+(16*1000+503)/10000000)</f>
        <v/>
      </c>
      <c r="B4554" s="35" t="str">
        <f aca="false">IF(AND(IFERROR(N(INDEX(Clay_Brands!$A$2:$FZ$601,503,Sync!$D$12)),0)&gt;0,IFERROR(INDEX(Clay_Brands!$A$2:$FZ$601,503,Sync!$D$5)&amp;"","")&lt;&gt;"",OR(LEFT(IFERROR(INDEX(Clay_Brands!$A$2:$FZ$601,503,Sync!$D$5)&amp;"",""),6)&lt;&gt;"SAMPLE",Config!$B$19="Y")),IFERROR(N(INDEX(Clay_Brands!$A$2:$FZ$601,503,Sync!$D$12)),0),"")</f>
        <v/>
      </c>
      <c r="C4554" s="23" t="str">
        <f aca="false">IF(B4554="","","brand")</f>
        <v/>
      </c>
      <c r="D4554" s="23" t="str">
        <f aca="false">IF(B4554="","",IFERROR(INDEX(Brand_Log!$DV$2:$DV$201,MATCH(IFERROR(INDEX(Clay_Brands!$A$2:$FZ$601,503,Sync!$D$5)&amp;"",""),Brand_Log!$A$2:$A$201,0))&amp;"",IFERROR(INDEX(Clay_Brands!$A$2:$FZ$601,503,Sync!$D$5)&amp;"","")&amp;""))</f>
        <v/>
      </c>
      <c r="E4554" s="23" t="str">
        <f aca="false">IF(B4554="","",IFERROR(INDEX(Clay_Brands!$A$2:$FZ$601,503,Sync!$D$6)&amp;"",""))</f>
        <v/>
      </c>
      <c r="F4554" s="23" t="str">
        <f aca="false">IF(B4554="","","outreach_sent")</f>
        <v/>
      </c>
      <c r="G4554" s="23" t="str">
        <f aca="false">IF(B4554="","","")</f>
        <v/>
      </c>
      <c r="H4554" s="23" t="str">
        <f aca="false">IF(B4554="","","")</f>
        <v/>
      </c>
      <c r="I4554" s="23" t="str">
        <f aca="false">IF(B4554="","","")</f>
        <v/>
      </c>
      <c r="J4554" s="23" t="str">
        <f aca="false">IF(B4554="","","touch_2; "&amp;IFERROR(INDEX(Clay_Brands!$A$2:$FZ$601,503,Sync!$D$10)&amp;"","")&amp;"; "&amp;IFERROR(INDEX(Clay_Brands!$A$2:$FZ$601,503,Sync!$D$9)&amp;"",""))</f>
        <v/>
      </c>
      <c r="K4554" s="32" t="s">
        <v>1367</v>
      </c>
    </row>
    <row r="4555" customFormat="false" ht="15" hidden="false" customHeight="false" outlineLevel="0" collapsed="false">
      <c r="A4555" s="23" t="str">
        <f aca="false">IF(B4555="","",B4555+(16*1000+504)/10000000)</f>
        <v/>
      </c>
      <c r="B4555" s="35" t="str">
        <f aca="false">IF(AND(IFERROR(N(INDEX(Clay_Brands!$A$2:$FZ$601,504,Sync!$D$12)),0)&gt;0,IFERROR(INDEX(Clay_Brands!$A$2:$FZ$601,504,Sync!$D$5)&amp;"","")&lt;&gt;"",OR(LEFT(IFERROR(INDEX(Clay_Brands!$A$2:$FZ$601,504,Sync!$D$5)&amp;"",""),6)&lt;&gt;"SAMPLE",Config!$B$19="Y")),IFERROR(N(INDEX(Clay_Brands!$A$2:$FZ$601,504,Sync!$D$12)),0),"")</f>
        <v/>
      </c>
      <c r="C4555" s="23" t="str">
        <f aca="false">IF(B4555="","","brand")</f>
        <v/>
      </c>
      <c r="D4555" s="23" t="str">
        <f aca="false">IF(B4555="","",IFERROR(INDEX(Brand_Log!$DV$2:$DV$201,MATCH(IFERROR(INDEX(Clay_Brands!$A$2:$FZ$601,504,Sync!$D$5)&amp;"",""),Brand_Log!$A$2:$A$201,0))&amp;"",IFERROR(INDEX(Clay_Brands!$A$2:$FZ$601,504,Sync!$D$5)&amp;"","")&amp;""))</f>
        <v/>
      </c>
      <c r="E4555" s="23" t="str">
        <f aca="false">IF(B4555="","",IFERROR(INDEX(Clay_Brands!$A$2:$FZ$601,504,Sync!$D$6)&amp;"",""))</f>
        <v/>
      </c>
      <c r="F4555" s="23" t="str">
        <f aca="false">IF(B4555="","","outreach_sent")</f>
        <v/>
      </c>
      <c r="G4555" s="23" t="str">
        <f aca="false">IF(B4555="","","")</f>
        <v/>
      </c>
      <c r="H4555" s="23" t="str">
        <f aca="false">IF(B4555="","","")</f>
        <v/>
      </c>
      <c r="I4555" s="23" t="str">
        <f aca="false">IF(B4555="","","")</f>
        <v/>
      </c>
      <c r="J4555" s="23" t="str">
        <f aca="false">IF(B4555="","","touch_2; "&amp;IFERROR(INDEX(Clay_Brands!$A$2:$FZ$601,504,Sync!$D$10)&amp;"","")&amp;"; "&amp;IFERROR(INDEX(Clay_Brands!$A$2:$FZ$601,504,Sync!$D$9)&amp;"",""))</f>
        <v/>
      </c>
      <c r="K4555" s="32" t="s">
        <v>1367</v>
      </c>
    </row>
    <row r="4556" customFormat="false" ht="15" hidden="false" customHeight="false" outlineLevel="0" collapsed="false">
      <c r="A4556" s="23" t="str">
        <f aca="false">IF(B4556="","",B4556+(16*1000+505)/10000000)</f>
        <v/>
      </c>
      <c r="B4556" s="35" t="str">
        <f aca="false">IF(AND(IFERROR(N(INDEX(Clay_Brands!$A$2:$FZ$601,505,Sync!$D$12)),0)&gt;0,IFERROR(INDEX(Clay_Brands!$A$2:$FZ$601,505,Sync!$D$5)&amp;"","")&lt;&gt;"",OR(LEFT(IFERROR(INDEX(Clay_Brands!$A$2:$FZ$601,505,Sync!$D$5)&amp;"",""),6)&lt;&gt;"SAMPLE",Config!$B$19="Y")),IFERROR(N(INDEX(Clay_Brands!$A$2:$FZ$601,505,Sync!$D$12)),0),"")</f>
        <v/>
      </c>
      <c r="C4556" s="23" t="str">
        <f aca="false">IF(B4556="","","brand")</f>
        <v/>
      </c>
      <c r="D4556" s="23" t="str">
        <f aca="false">IF(B4556="","",IFERROR(INDEX(Brand_Log!$DV$2:$DV$201,MATCH(IFERROR(INDEX(Clay_Brands!$A$2:$FZ$601,505,Sync!$D$5)&amp;"",""),Brand_Log!$A$2:$A$201,0))&amp;"",IFERROR(INDEX(Clay_Brands!$A$2:$FZ$601,505,Sync!$D$5)&amp;"","")&amp;""))</f>
        <v/>
      </c>
      <c r="E4556" s="23" t="str">
        <f aca="false">IF(B4556="","",IFERROR(INDEX(Clay_Brands!$A$2:$FZ$601,505,Sync!$D$6)&amp;"",""))</f>
        <v/>
      </c>
      <c r="F4556" s="23" t="str">
        <f aca="false">IF(B4556="","","outreach_sent")</f>
        <v/>
      </c>
      <c r="G4556" s="23" t="str">
        <f aca="false">IF(B4556="","","")</f>
        <v/>
      </c>
      <c r="H4556" s="23" t="str">
        <f aca="false">IF(B4556="","","")</f>
        <v/>
      </c>
      <c r="I4556" s="23" t="str">
        <f aca="false">IF(B4556="","","")</f>
        <v/>
      </c>
      <c r="J4556" s="23" t="str">
        <f aca="false">IF(B4556="","","touch_2; "&amp;IFERROR(INDEX(Clay_Brands!$A$2:$FZ$601,505,Sync!$D$10)&amp;"","")&amp;"; "&amp;IFERROR(INDEX(Clay_Brands!$A$2:$FZ$601,505,Sync!$D$9)&amp;"",""))</f>
        <v/>
      </c>
      <c r="K4556" s="32" t="s">
        <v>1367</v>
      </c>
    </row>
    <row r="4557" customFormat="false" ht="15" hidden="false" customHeight="false" outlineLevel="0" collapsed="false">
      <c r="A4557" s="23" t="str">
        <f aca="false">IF(B4557="","",B4557+(16*1000+506)/10000000)</f>
        <v/>
      </c>
      <c r="B4557" s="35" t="str">
        <f aca="false">IF(AND(IFERROR(N(INDEX(Clay_Brands!$A$2:$FZ$601,506,Sync!$D$12)),0)&gt;0,IFERROR(INDEX(Clay_Brands!$A$2:$FZ$601,506,Sync!$D$5)&amp;"","")&lt;&gt;"",OR(LEFT(IFERROR(INDEX(Clay_Brands!$A$2:$FZ$601,506,Sync!$D$5)&amp;"",""),6)&lt;&gt;"SAMPLE",Config!$B$19="Y")),IFERROR(N(INDEX(Clay_Brands!$A$2:$FZ$601,506,Sync!$D$12)),0),"")</f>
        <v/>
      </c>
      <c r="C4557" s="23" t="str">
        <f aca="false">IF(B4557="","","brand")</f>
        <v/>
      </c>
      <c r="D4557" s="23" t="str">
        <f aca="false">IF(B4557="","",IFERROR(INDEX(Brand_Log!$DV$2:$DV$201,MATCH(IFERROR(INDEX(Clay_Brands!$A$2:$FZ$601,506,Sync!$D$5)&amp;"",""),Brand_Log!$A$2:$A$201,0))&amp;"",IFERROR(INDEX(Clay_Brands!$A$2:$FZ$601,506,Sync!$D$5)&amp;"","")&amp;""))</f>
        <v/>
      </c>
      <c r="E4557" s="23" t="str">
        <f aca="false">IF(B4557="","",IFERROR(INDEX(Clay_Brands!$A$2:$FZ$601,506,Sync!$D$6)&amp;"",""))</f>
        <v/>
      </c>
      <c r="F4557" s="23" t="str">
        <f aca="false">IF(B4557="","","outreach_sent")</f>
        <v/>
      </c>
      <c r="G4557" s="23" t="str">
        <f aca="false">IF(B4557="","","")</f>
        <v/>
      </c>
      <c r="H4557" s="23" t="str">
        <f aca="false">IF(B4557="","","")</f>
        <v/>
      </c>
      <c r="I4557" s="23" t="str">
        <f aca="false">IF(B4557="","","")</f>
        <v/>
      </c>
      <c r="J4557" s="23" t="str">
        <f aca="false">IF(B4557="","","touch_2; "&amp;IFERROR(INDEX(Clay_Brands!$A$2:$FZ$601,506,Sync!$D$10)&amp;"","")&amp;"; "&amp;IFERROR(INDEX(Clay_Brands!$A$2:$FZ$601,506,Sync!$D$9)&amp;"",""))</f>
        <v/>
      </c>
      <c r="K4557" s="32" t="s">
        <v>1367</v>
      </c>
    </row>
    <row r="4558" customFormat="false" ht="15" hidden="false" customHeight="false" outlineLevel="0" collapsed="false">
      <c r="A4558" s="23" t="str">
        <f aca="false">IF(B4558="","",B4558+(16*1000+507)/10000000)</f>
        <v/>
      </c>
      <c r="B4558" s="35" t="str">
        <f aca="false">IF(AND(IFERROR(N(INDEX(Clay_Brands!$A$2:$FZ$601,507,Sync!$D$12)),0)&gt;0,IFERROR(INDEX(Clay_Brands!$A$2:$FZ$601,507,Sync!$D$5)&amp;"","")&lt;&gt;"",OR(LEFT(IFERROR(INDEX(Clay_Brands!$A$2:$FZ$601,507,Sync!$D$5)&amp;"",""),6)&lt;&gt;"SAMPLE",Config!$B$19="Y")),IFERROR(N(INDEX(Clay_Brands!$A$2:$FZ$601,507,Sync!$D$12)),0),"")</f>
        <v/>
      </c>
      <c r="C4558" s="23" t="str">
        <f aca="false">IF(B4558="","","brand")</f>
        <v/>
      </c>
      <c r="D4558" s="23" t="str">
        <f aca="false">IF(B4558="","",IFERROR(INDEX(Brand_Log!$DV$2:$DV$201,MATCH(IFERROR(INDEX(Clay_Brands!$A$2:$FZ$601,507,Sync!$D$5)&amp;"",""),Brand_Log!$A$2:$A$201,0))&amp;"",IFERROR(INDEX(Clay_Brands!$A$2:$FZ$601,507,Sync!$D$5)&amp;"","")&amp;""))</f>
        <v/>
      </c>
      <c r="E4558" s="23" t="str">
        <f aca="false">IF(B4558="","",IFERROR(INDEX(Clay_Brands!$A$2:$FZ$601,507,Sync!$D$6)&amp;"",""))</f>
        <v/>
      </c>
      <c r="F4558" s="23" t="str">
        <f aca="false">IF(B4558="","","outreach_sent")</f>
        <v/>
      </c>
      <c r="G4558" s="23" t="str">
        <f aca="false">IF(B4558="","","")</f>
        <v/>
      </c>
      <c r="H4558" s="23" t="str">
        <f aca="false">IF(B4558="","","")</f>
        <v/>
      </c>
      <c r="I4558" s="23" t="str">
        <f aca="false">IF(B4558="","","")</f>
        <v/>
      </c>
      <c r="J4558" s="23" t="str">
        <f aca="false">IF(B4558="","","touch_2; "&amp;IFERROR(INDEX(Clay_Brands!$A$2:$FZ$601,507,Sync!$D$10)&amp;"","")&amp;"; "&amp;IFERROR(INDEX(Clay_Brands!$A$2:$FZ$601,507,Sync!$D$9)&amp;"",""))</f>
        <v/>
      </c>
      <c r="K4558" s="32" t="s">
        <v>1367</v>
      </c>
    </row>
    <row r="4559" customFormat="false" ht="15" hidden="false" customHeight="false" outlineLevel="0" collapsed="false">
      <c r="A4559" s="23" t="str">
        <f aca="false">IF(B4559="","",B4559+(16*1000+508)/10000000)</f>
        <v/>
      </c>
      <c r="B4559" s="35" t="str">
        <f aca="false">IF(AND(IFERROR(N(INDEX(Clay_Brands!$A$2:$FZ$601,508,Sync!$D$12)),0)&gt;0,IFERROR(INDEX(Clay_Brands!$A$2:$FZ$601,508,Sync!$D$5)&amp;"","")&lt;&gt;"",OR(LEFT(IFERROR(INDEX(Clay_Brands!$A$2:$FZ$601,508,Sync!$D$5)&amp;"",""),6)&lt;&gt;"SAMPLE",Config!$B$19="Y")),IFERROR(N(INDEX(Clay_Brands!$A$2:$FZ$601,508,Sync!$D$12)),0),"")</f>
        <v/>
      </c>
      <c r="C4559" s="23" t="str">
        <f aca="false">IF(B4559="","","brand")</f>
        <v/>
      </c>
      <c r="D4559" s="23" t="str">
        <f aca="false">IF(B4559="","",IFERROR(INDEX(Brand_Log!$DV$2:$DV$201,MATCH(IFERROR(INDEX(Clay_Brands!$A$2:$FZ$601,508,Sync!$D$5)&amp;"",""),Brand_Log!$A$2:$A$201,0))&amp;"",IFERROR(INDEX(Clay_Brands!$A$2:$FZ$601,508,Sync!$D$5)&amp;"","")&amp;""))</f>
        <v/>
      </c>
      <c r="E4559" s="23" t="str">
        <f aca="false">IF(B4559="","",IFERROR(INDEX(Clay_Brands!$A$2:$FZ$601,508,Sync!$D$6)&amp;"",""))</f>
        <v/>
      </c>
      <c r="F4559" s="23" t="str">
        <f aca="false">IF(B4559="","","outreach_sent")</f>
        <v/>
      </c>
      <c r="G4559" s="23" t="str">
        <f aca="false">IF(B4559="","","")</f>
        <v/>
      </c>
      <c r="H4559" s="23" t="str">
        <f aca="false">IF(B4559="","","")</f>
        <v/>
      </c>
      <c r="I4559" s="23" t="str">
        <f aca="false">IF(B4559="","","")</f>
        <v/>
      </c>
      <c r="J4559" s="23" t="str">
        <f aca="false">IF(B4559="","","touch_2; "&amp;IFERROR(INDEX(Clay_Brands!$A$2:$FZ$601,508,Sync!$D$10)&amp;"","")&amp;"; "&amp;IFERROR(INDEX(Clay_Brands!$A$2:$FZ$601,508,Sync!$D$9)&amp;"",""))</f>
        <v/>
      </c>
      <c r="K4559" s="32" t="s">
        <v>1367</v>
      </c>
    </row>
    <row r="4560" customFormat="false" ht="15" hidden="false" customHeight="false" outlineLevel="0" collapsed="false">
      <c r="A4560" s="23" t="str">
        <f aca="false">IF(B4560="","",B4560+(16*1000+509)/10000000)</f>
        <v/>
      </c>
      <c r="B4560" s="35" t="str">
        <f aca="false">IF(AND(IFERROR(N(INDEX(Clay_Brands!$A$2:$FZ$601,509,Sync!$D$12)),0)&gt;0,IFERROR(INDEX(Clay_Brands!$A$2:$FZ$601,509,Sync!$D$5)&amp;"","")&lt;&gt;"",OR(LEFT(IFERROR(INDEX(Clay_Brands!$A$2:$FZ$601,509,Sync!$D$5)&amp;"",""),6)&lt;&gt;"SAMPLE",Config!$B$19="Y")),IFERROR(N(INDEX(Clay_Brands!$A$2:$FZ$601,509,Sync!$D$12)),0),"")</f>
        <v/>
      </c>
      <c r="C4560" s="23" t="str">
        <f aca="false">IF(B4560="","","brand")</f>
        <v/>
      </c>
      <c r="D4560" s="23" t="str">
        <f aca="false">IF(B4560="","",IFERROR(INDEX(Brand_Log!$DV$2:$DV$201,MATCH(IFERROR(INDEX(Clay_Brands!$A$2:$FZ$601,509,Sync!$D$5)&amp;"",""),Brand_Log!$A$2:$A$201,0))&amp;"",IFERROR(INDEX(Clay_Brands!$A$2:$FZ$601,509,Sync!$D$5)&amp;"","")&amp;""))</f>
        <v/>
      </c>
      <c r="E4560" s="23" t="str">
        <f aca="false">IF(B4560="","",IFERROR(INDEX(Clay_Brands!$A$2:$FZ$601,509,Sync!$D$6)&amp;"",""))</f>
        <v/>
      </c>
      <c r="F4560" s="23" t="str">
        <f aca="false">IF(B4560="","","outreach_sent")</f>
        <v/>
      </c>
      <c r="G4560" s="23" t="str">
        <f aca="false">IF(B4560="","","")</f>
        <v/>
      </c>
      <c r="H4560" s="23" t="str">
        <f aca="false">IF(B4560="","","")</f>
        <v/>
      </c>
      <c r="I4560" s="23" t="str">
        <f aca="false">IF(B4560="","","")</f>
        <v/>
      </c>
      <c r="J4560" s="23" t="str">
        <f aca="false">IF(B4560="","","touch_2; "&amp;IFERROR(INDEX(Clay_Brands!$A$2:$FZ$601,509,Sync!$D$10)&amp;"","")&amp;"; "&amp;IFERROR(INDEX(Clay_Brands!$A$2:$FZ$601,509,Sync!$D$9)&amp;"",""))</f>
        <v/>
      </c>
      <c r="K4560" s="32" t="s">
        <v>1367</v>
      </c>
    </row>
    <row r="4561" customFormat="false" ht="15" hidden="false" customHeight="false" outlineLevel="0" collapsed="false">
      <c r="A4561" s="23" t="str">
        <f aca="false">IF(B4561="","",B4561+(16*1000+510)/10000000)</f>
        <v/>
      </c>
      <c r="B4561" s="35" t="str">
        <f aca="false">IF(AND(IFERROR(N(INDEX(Clay_Brands!$A$2:$FZ$601,510,Sync!$D$12)),0)&gt;0,IFERROR(INDEX(Clay_Brands!$A$2:$FZ$601,510,Sync!$D$5)&amp;"","")&lt;&gt;"",OR(LEFT(IFERROR(INDEX(Clay_Brands!$A$2:$FZ$601,510,Sync!$D$5)&amp;"",""),6)&lt;&gt;"SAMPLE",Config!$B$19="Y")),IFERROR(N(INDEX(Clay_Brands!$A$2:$FZ$601,510,Sync!$D$12)),0),"")</f>
        <v/>
      </c>
      <c r="C4561" s="23" t="str">
        <f aca="false">IF(B4561="","","brand")</f>
        <v/>
      </c>
      <c r="D4561" s="23" t="str">
        <f aca="false">IF(B4561="","",IFERROR(INDEX(Brand_Log!$DV$2:$DV$201,MATCH(IFERROR(INDEX(Clay_Brands!$A$2:$FZ$601,510,Sync!$D$5)&amp;"",""),Brand_Log!$A$2:$A$201,0))&amp;"",IFERROR(INDEX(Clay_Brands!$A$2:$FZ$601,510,Sync!$D$5)&amp;"","")&amp;""))</f>
        <v/>
      </c>
      <c r="E4561" s="23" t="str">
        <f aca="false">IF(B4561="","",IFERROR(INDEX(Clay_Brands!$A$2:$FZ$601,510,Sync!$D$6)&amp;"",""))</f>
        <v/>
      </c>
      <c r="F4561" s="23" t="str">
        <f aca="false">IF(B4561="","","outreach_sent")</f>
        <v/>
      </c>
      <c r="G4561" s="23" t="str">
        <f aca="false">IF(B4561="","","")</f>
        <v/>
      </c>
      <c r="H4561" s="23" t="str">
        <f aca="false">IF(B4561="","","")</f>
        <v/>
      </c>
      <c r="I4561" s="23" t="str">
        <f aca="false">IF(B4561="","","")</f>
        <v/>
      </c>
      <c r="J4561" s="23" t="str">
        <f aca="false">IF(B4561="","","touch_2; "&amp;IFERROR(INDEX(Clay_Brands!$A$2:$FZ$601,510,Sync!$D$10)&amp;"","")&amp;"; "&amp;IFERROR(INDEX(Clay_Brands!$A$2:$FZ$601,510,Sync!$D$9)&amp;"",""))</f>
        <v/>
      </c>
      <c r="K4561" s="32" t="s">
        <v>1367</v>
      </c>
    </row>
    <row r="4562" customFormat="false" ht="15" hidden="false" customHeight="false" outlineLevel="0" collapsed="false">
      <c r="A4562" s="23" t="str">
        <f aca="false">IF(B4562="","",B4562+(16*1000+511)/10000000)</f>
        <v/>
      </c>
      <c r="B4562" s="35" t="str">
        <f aca="false">IF(AND(IFERROR(N(INDEX(Clay_Brands!$A$2:$FZ$601,511,Sync!$D$12)),0)&gt;0,IFERROR(INDEX(Clay_Brands!$A$2:$FZ$601,511,Sync!$D$5)&amp;"","")&lt;&gt;"",OR(LEFT(IFERROR(INDEX(Clay_Brands!$A$2:$FZ$601,511,Sync!$D$5)&amp;"",""),6)&lt;&gt;"SAMPLE",Config!$B$19="Y")),IFERROR(N(INDEX(Clay_Brands!$A$2:$FZ$601,511,Sync!$D$12)),0),"")</f>
        <v/>
      </c>
      <c r="C4562" s="23" t="str">
        <f aca="false">IF(B4562="","","brand")</f>
        <v/>
      </c>
      <c r="D4562" s="23" t="str">
        <f aca="false">IF(B4562="","",IFERROR(INDEX(Brand_Log!$DV$2:$DV$201,MATCH(IFERROR(INDEX(Clay_Brands!$A$2:$FZ$601,511,Sync!$D$5)&amp;"",""),Brand_Log!$A$2:$A$201,0))&amp;"",IFERROR(INDEX(Clay_Brands!$A$2:$FZ$601,511,Sync!$D$5)&amp;"","")&amp;""))</f>
        <v/>
      </c>
      <c r="E4562" s="23" t="str">
        <f aca="false">IF(B4562="","",IFERROR(INDEX(Clay_Brands!$A$2:$FZ$601,511,Sync!$D$6)&amp;"",""))</f>
        <v/>
      </c>
      <c r="F4562" s="23" t="str">
        <f aca="false">IF(B4562="","","outreach_sent")</f>
        <v/>
      </c>
      <c r="G4562" s="23" t="str">
        <f aca="false">IF(B4562="","","")</f>
        <v/>
      </c>
      <c r="H4562" s="23" t="str">
        <f aca="false">IF(B4562="","","")</f>
        <v/>
      </c>
      <c r="I4562" s="23" t="str">
        <f aca="false">IF(B4562="","","")</f>
        <v/>
      </c>
      <c r="J4562" s="23" t="str">
        <f aca="false">IF(B4562="","","touch_2; "&amp;IFERROR(INDEX(Clay_Brands!$A$2:$FZ$601,511,Sync!$D$10)&amp;"","")&amp;"; "&amp;IFERROR(INDEX(Clay_Brands!$A$2:$FZ$601,511,Sync!$D$9)&amp;"",""))</f>
        <v/>
      </c>
      <c r="K4562" s="32" t="s">
        <v>1367</v>
      </c>
    </row>
    <row r="4563" customFormat="false" ht="15" hidden="false" customHeight="false" outlineLevel="0" collapsed="false">
      <c r="A4563" s="23" t="str">
        <f aca="false">IF(B4563="","",B4563+(16*1000+512)/10000000)</f>
        <v/>
      </c>
      <c r="B4563" s="35" t="str">
        <f aca="false">IF(AND(IFERROR(N(INDEX(Clay_Brands!$A$2:$FZ$601,512,Sync!$D$12)),0)&gt;0,IFERROR(INDEX(Clay_Brands!$A$2:$FZ$601,512,Sync!$D$5)&amp;"","")&lt;&gt;"",OR(LEFT(IFERROR(INDEX(Clay_Brands!$A$2:$FZ$601,512,Sync!$D$5)&amp;"",""),6)&lt;&gt;"SAMPLE",Config!$B$19="Y")),IFERROR(N(INDEX(Clay_Brands!$A$2:$FZ$601,512,Sync!$D$12)),0),"")</f>
        <v/>
      </c>
      <c r="C4563" s="23" t="str">
        <f aca="false">IF(B4563="","","brand")</f>
        <v/>
      </c>
      <c r="D4563" s="23" t="str">
        <f aca="false">IF(B4563="","",IFERROR(INDEX(Brand_Log!$DV$2:$DV$201,MATCH(IFERROR(INDEX(Clay_Brands!$A$2:$FZ$601,512,Sync!$D$5)&amp;"",""),Brand_Log!$A$2:$A$201,0))&amp;"",IFERROR(INDEX(Clay_Brands!$A$2:$FZ$601,512,Sync!$D$5)&amp;"","")&amp;""))</f>
        <v/>
      </c>
      <c r="E4563" s="23" t="str">
        <f aca="false">IF(B4563="","",IFERROR(INDEX(Clay_Brands!$A$2:$FZ$601,512,Sync!$D$6)&amp;"",""))</f>
        <v/>
      </c>
      <c r="F4563" s="23" t="str">
        <f aca="false">IF(B4563="","","outreach_sent")</f>
        <v/>
      </c>
      <c r="G4563" s="23" t="str">
        <f aca="false">IF(B4563="","","")</f>
        <v/>
      </c>
      <c r="H4563" s="23" t="str">
        <f aca="false">IF(B4563="","","")</f>
        <v/>
      </c>
      <c r="I4563" s="23" t="str">
        <f aca="false">IF(B4563="","","")</f>
        <v/>
      </c>
      <c r="J4563" s="23" t="str">
        <f aca="false">IF(B4563="","","touch_2; "&amp;IFERROR(INDEX(Clay_Brands!$A$2:$FZ$601,512,Sync!$D$10)&amp;"","")&amp;"; "&amp;IFERROR(INDEX(Clay_Brands!$A$2:$FZ$601,512,Sync!$D$9)&amp;"",""))</f>
        <v/>
      </c>
      <c r="K4563" s="32" t="s">
        <v>1367</v>
      </c>
    </row>
    <row r="4564" customFormat="false" ht="15" hidden="false" customHeight="false" outlineLevel="0" collapsed="false">
      <c r="A4564" s="23" t="str">
        <f aca="false">IF(B4564="","",B4564+(16*1000+513)/10000000)</f>
        <v/>
      </c>
      <c r="B4564" s="35" t="str">
        <f aca="false">IF(AND(IFERROR(N(INDEX(Clay_Brands!$A$2:$FZ$601,513,Sync!$D$12)),0)&gt;0,IFERROR(INDEX(Clay_Brands!$A$2:$FZ$601,513,Sync!$D$5)&amp;"","")&lt;&gt;"",OR(LEFT(IFERROR(INDEX(Clay_Brands!$A$2:$FZ$601,513,Sync!$D$5)&amp;"",""),6)&lt;&gt;"SAMPLE",Config!$B$19="Y")),IFERROR(N(INDEX(Clay_Brands!$A$2:$FZ$601,513,Sync!$D$12)),0),"")</f>
        <v/>
      </c>
      <c r="C4564" s="23" t="str">
        <f aca="false">IF(B4564="","","brand")</f>
        <v/>
      </c>
      <c r="D4564" s="23" t="str">
        <f aca="false">IF(B4564="","",IFERROR(INDEX(Brand_Log!$DV$2:$DV$201,MATCH(IFERROR(INDEX(Clay_Brands!$A$2:$FZ$601,513,Sync!$D$5)&amp;"",""),Brand_Log!$A$2:$A$201,0))&amp;"",IFERROR(INDEX(Clay_Brands!$A$2:$FZ$601,513,Sync!$D$5)&amp;"","")&amp;""))</f>
        <v/>
      </c>
      <c r="E4564" s="23" t="str">
        <f aca="false">IF(B4564="","",IFERROR(INDEX(Clay_Brands!$A$2:$FZ$601,513,Sync!$D$6)&amp;"",""))</f>
        <v/>
      </c>
      <c r="F4564" s="23" t="str">
        <f aca="false">IF(B4564="","","outreach_sent")</f>
        <v/>
      </c>
      <c r="G4564" s="23" t="str">
        <f aca="false">IF(B4564="","","")</f>
        <v/>
      </c>
      <c r="H4564" s="23" t="str">
        <f aca="false">IF(B4564="","","")</f>
        <v/>
      </c>
      <c r="I4564" s="23" t="str">
        <f aca="false">IF(B4564="","","")</f>
        <v/>
      </c>
      <c r="J4564" s="23" t="str">
        <f aca="false">IF(B4564="","","touch_2; "&amp;IFERROR(INDEX(Clay_Brands!$A$2:$FZ$601,513,Sync!$D$10)&amp;"","")&amp;"; "&amp;IFERROR(INDEX(Clay_Brands!$A$2:$FZ$601,513,Sync!$D$9)&amp;"",""))</f>
        <v/>
      </c>
      <c r="K4564" s="32" t="s">
        <v>1367</v>
      </c>
    </row>
    <row r="4565" customFormat="false" ht="15" hidden="false" customHeight="false" outlineLevel="0" collapsed="false">
      <c r="A4565" s="23" t="str">
        <f aca="false">IF(B4565="","",B4565+(16*1000+514)/10000000)</f>
        <v/>
      </c>
      <c r="B4565" s="35" t="str">
        <f aca="false">IF(AND(IFERROR(N(INDEX(Clay_Brands!$A$2:$FZ$601,514,Sync!$D$12)),0)&gt;0,IFERROR(INDEX(Clay_Brands!$A$2:$FZ$601,514,Sync!$D$5)&amp;"","")&lt;&gt;"",OR(LEFT(IFERROR(INDEX(Clay_Brands!$A$2:$FZ$601,514,Sync!$D$5)&amp;"",""),6)&lt;&gt;"SAMPLE",Config!$B$19="Y")),IFERROR(N(INDEX(Clay_Brands!$A$2:$FZ$601,514,Sync!$D$12)),0),"")</f>
        <v/>
      </c>
      <c r="C4565" s="23" t="str">
        <f aca="false">IF(B4565="","","brand")</f>
        <v/>
      </c>
      <c r="D4565" s="23" t="str">
        <f aca="false">IF(B4565="","",IFERROR(INDEX(Brand_Log!$DV$2:$DV$201,MATCH(IFERROR(INDEX(Clay_Brands!$A$2:$FZ$601,514,Sync!$D$5)&amp;"",""),Brand_Log!$A$2:$A$201,0))&amp;"",IFERROR(INDEX(Clay_Brands!$A$2:$FZ$601,514,Sync!$D$5)&amp;"","")&amp;""))</f>
        <v/>
      </c>
      <c r="E4565" s="23" t="str">
        <f aca="false">IF(B4565="","",IFERROR(INDEX(Clay_Brands!$A$2:$FZ$601,514,Sync!$D$6)&amp;"",""))</f>
        <v/>
      </c>
      <c r="F4565" s="23" t="str">
        <f aca="false">IF(B4565="","","outreach_sent")</f>
        <v/>
      </c>
      <c r="G4565" s="23" t="str">
        <f aca="false">IF(B4565="","","")</f>
        <v/>
      </c>
      <c r="H4565" s="23" t="str">
        <f aca="false">IF(B4565="","","")</f>
        <v/>
      </c>
      <c r="I4565" s="23" t="str">
        <f aca="false">IF(B4565="","","")</f>
        <v/>
      </c>
      <c r="J4565" s="23" t="str">
        <f aca="false">IF(B4565="","","touch_2; "&amp;IFERROR(INDEX(Clay_Brands!$A$2:$FZ$601,514,Sync!$D$10)&amp;"","")&amp;"; "&amp;IFERROR(INDEX(Clay_Brands!$A$2:$FZ$601,514,Sync!$D$9)&amp;"",""))</f>
        <v/>
      </c>
      <c r="K4565" s="32" t="s">
        <v>1367</v>
      </c>
    </row>
    <row r="4566" customFormat="false" ht="15" hidden="false" customHeight="false" outlineLevel="0" collapsed="false">
      <c r="A4566" s="23" t="str">
        <f aca="false">IF(B4566="","",B4566+(16*1000+515)/10000000)</f>
        <v/>
      </c>
      <c r="B4566" s="35" t="str">
        <f aca="false">IF(AND(IFERROR(N(INDEX(Clay_Brands!$A$2:$FZ$601,515,Sync!$D$12)),0)&gt;0,IFERROR(INDEX(Clay_Brands!$A$2:$FZ$601,515,Sync!$D$5)&amp;"","")&lt;&gt;"",OR(LEFT(IFERROR(INDEX(Clay_Brands!$A$2:$FZ$601,515,Sync!$D$5)&amp;"",""),6)&lt;&gt;"SAMPLE",Config!$B$19="Y")),IFERROR(N(INDEX(Clay_Brands!$A$2:$FZ$601,515,Sync!$D$12)),0),"")</f>
        <v/>
      </c>
      <c r="C4566" s="23" t="str">
        <f aca="false">IF(B4566="","","brand")</f>
        <v/>
      </c>
      <c r="D4566" s="23" t="str">
        <f aca="false">IF(B4566="","",IFERROR(INDEX(Brand_Log!$DV$2:$DV$201,MATCH(IFERROR(INDEX(Clay_Brands!$A$2:$FZ$601,515,Sync!$D$5)&amp;"",""),Brand_Log!$A$2:$A$201,0))&amp;"",IFERROR(INDEX(Clay_Brands!$A$2:$FZ$601,515,Sync!$D$5)&amp;"","")&amp;""))</f>
        <v/>
      </c>
      <c r="E4566" s="23" t="str">
        <f aca="false">IF(B4566="","",IFERROR(INDEX(Clay_Brands!$A$2:$FZ$601,515,Sync!$D$6)&amp;"",""))</f>
        <v/>
      </c>
      <c r="F4566" s="23" t="str">
        <f aca="false">IF(B4566="","","outreach_sent")</f>
        <v/>
      </c>
      <c r="G4566" s="23" t="str">
        <f aca="false">IF(B4566="","","")</f>
        <v/>
      </c>
      <c r="H4566" s="23" t="str">
        <f aca="false">IF(B4566="","","")</f>
        <v/>
      </c>
      <c r="I4566" s="23" t="str">
        <f aca="false">IF(B4566="","","")</f>
        <v/>
      </c>
      <c r="J4566" s="23" t="str">
        <f aca="false">IF(B4566="","","touch_2; "&amp;IFERROR(INDEX(Clay_Brands!$A$2:$FZ$601,515,Sync!$D$10)&amp;"","")&amp;"; "&amp;IFERROR(INDEX(Clay_Brands!$A$2:$FZ$601,515,Sync!$D$9)&amp;"",""))</f>
        <v/>
      </c>
      <c r="K4566" s="32" t="s">
        <v>1367</v>
      </c>
    </row>
    <row r="4567" customFormat="false" ht="15" hidden="false" customHeight="false" outlineLevel="0" collapsed="false">
      <c r="A4567" s="23" t="str">
        <f aca="false">IF(B4567="","",B4567+(16*1000+516)/10000000)</f>
        <v/>
      </c>
      <c r="B4567" s="35" t="str">
        <f aca="false">IF(AND(IFERROR(N(INDEX(Clay_Brands!$A$2:$FZ$601,516,Sync!$D$12)),0)&gt;0,IFERROR(INDEX(Clay_Brands!$A$2:$FZ$601,516,Sync!$D$5)&amp;"","")&lt;&gt;"",OR(LEFT(IFERROR(INDEX(Clay_Brands!$A$2:$FZ$601,516,Sync!$D$5)&amp;"",""),6)&lt;&gt;"SAMPLE",Config!$B$19="Y")),IFERROR(N(INDEX(Clay_Brands!$A$2:$FZ$601,516,Sync!$D$12)),0),"")</f>
        <v/>
      </c>
      <c r="C4567" s="23" t="str">
        <f aca="false">IF(B4567="","","brand")</f>
        <v/>
      </c>
      <c r="D4567" s="23" t="str">
        <f aca="false">IF(B4567="","",IFERROR(INDEX(Brand_Log!$DV$2:$DV$201,MATCH(IFERROR(INDEX(Clay_Brands!$A$2:$FZ$601,516,Sync!$D$5)&amp;"",""),Brand_Log!$A$2:$A$201,0))&amp;"",IFERROR(INDEX(Clay_Brands!$A$2:$FZ$601,516,Sync!$D$5)&amp;"","")&amp;""))</f>
        <v/>
      </c>
      <c r="E4567" s="23" t="str">
        <f aca="false">IF(B4567="","",IFERROR(INDEX(Clay_Brands!$A$2:$FZ$601,516,Sync!$D$6)&amp;"",""))</f>
        <v/>
      </c>
      <c r="F4567" s="23" t="str">
        <f aca="false">IF(B4567="","","outreach_sent")</f>
        <v/>
      </c>
      <c r="G4567" s="23" t="str">
        <f aca="false">IF(B4567="","","")</f>
        <v/>
      </c>
      <c r="H4567" s="23" t="str">
        <f aca="false">IF(B4567="","","")</f>
        <v/>
      </c>
      <c r="I4567" s="23" t="str">
        <f aca="false">IF(B4567="","","")</f>
        <v/>
      </c>
      <c r="J4567" s="23" t="str">
        <f aca="false">IF(B4567="","","touch_2; "&amp;IFERROR(INDEX(Clay_Brands!$A$2:$FZ$601,516,Sync!$D$10)&amp;"","")&amp;"; "&amp;IFERROR(INDEX(Clay_Brands!$A$2:$FZ$601,516,Sync!$D$9)&amp;"",""))</f>
        <v/>
      </c>
      <c r="K4567" s="32" t="s">
        <v>1367</v>
      </c>
    </row>
    <row r="4568" customFormat="false" ht="15" hidden="false" customHeight="false" outlineLevel="0" collapsed="false">
      <c r="A4568" s="23" t="str">
        <f aca="false">IF(B4568="","",B4568+(16*1000+517)/10000000)</f>
        <v/>
      </c>
      <c r="B4568" s="35" t="str">
        <f aca="false">IF(AND(IFERROR(N(INDEX(Clay_Brands!$A$2:$FZ$601,517,Sync!$D$12)),0)&gt;0,IFERROR(INDEX(Clay_Brands!$A$2:$FZ$601,517,Sync!$D$5)&amp;"","")&lt;&gt;"",OR(LEFT(IFERROR(INDEX(Clay_Brands!$A$2:$FZ$601,517,Sync!$D$5)&amp;"",""),6)&lt;&gt;"SAMPLE",Config!$B$19="Y")),IFERROR(N(INDEX(Clay_Brands!$A$2:$FZ$601,517,Sync!$D$12)),0),"")</f>
        <v/>
      </c>
      <c r="C4568" s="23" t="str">
        <f aca="false">IF(B4568="","","brand")</f>
        <v/>
      </c>
      <c r="D4568" s="23" t="str">
        <f aca="false">IF(B4568="","",IFERROR(INDEX(Brand_Log!$DV$2:$DV$201,MATCH(IFERROR(INDEX(Clay_Brands!$A$2:$FZ$601,517,Sync!$D$5)&amp;"",""),Brand_Log!$A$2:$A$201,0))&amp;"",IFERROR(INDEX(Clay_Brands!$A$2:$FZ$601,517,Sync!$D$5)&amp;"","")&amp;""))</f>
        <v/>
      </c>
      <c r="E4568" s="23" t="str">
        <f aca="false">IF(B4568="","",IFERROR(INDEX(Clay_Brands!$A$2:$FZ$601,517,Sync!$D$6)&amp;"",""))</f>
        <v/>
      </c>
      <c r="F4568" s="23" t="str">
        <f aca="false">IF(B4568="","","outreach_sent")</f>
        <v/>
      </c>
      <c r="G4568" s="23" t="str">
        <f aca="false">IF(B4568="","","")</f>
        <v/>
      </c>
      <c r="H4568" s="23" t="str">
        <f aca="false">IF(B4568="","","")</f>
        <v/>
      </c>
      <c r="I4568" s="23" t="str">
        <f aca="false">IF(B4568="","","")</f>
        <v/>
      </c>
      <c r="J4568" s="23" t="str">
        <f aca="false">IF(B4568="","","touch_2; "&amp;IFERROR(INDEX(Clay_Brands!$A$2:$FZ$601,517,Sync!$D$10)&amp;"","")&amp;"; "&amp;IFERROR(INDEX(Clay_Brands!$A$2:$FZ$601,517,Sync!$D$9)&amp;"",""))</f>
        <v/>
      </c>
      <c r="K4568" s="32" t="s">
        <v>1367</v>
      </c>
    </row>
    <row r="4569" customFormat="false" ht="15" hidden="false" customHeight="false" outlineLevel="0" collapsed="false">
      <c r="A4569" s="23" t="str">
        <f aca="false">IF(B4569="","",B4569+(16*1000+518)/10000000)</f>
        <v/>
      </c>
      <c r="B4569" s="35" t="str">
        <f aca="false">IF(AND(IFERROR(N(INDEX(Clay_Brands!$A$2:$FZ$601,518,Sync!$D$12)),0)&gt;0,IFERROR(INDEX(Clay_Brands!$A$2:$FZ$601,518,Sync!$D$5)&amp;"","")&lt;&gt;"",OR(LEFT(IFERROR(INDEX(Clay_Brands!$A$2:$FZ$601,518,Sync!$D$5)&amp;"",""),6)&lt;&gt;"SAMPLE",Config!$B$19="Y")),IFERROR(N(INDEX(Clay_Brands!$A$2:$FZ$601,518,Sync!$D$12)),0),"")</f>
        <v/>
      </c>
      <c r="C4569" s="23" t="str">
        <f aca="false">IF(B4569="","","brand")</f>
        <v/>
      </c>
      <c r="D4569" s="23" t="str">
        <f aca="false">IF(B4569="","",IFERROR(INDEX(Brand_Log!$DV$2:$DV$201,MATCH(IFERROR(INDEX(Clay_Brands!$A$2:$FZ$601,518,Sync!$D$5)&amp;"",""),Brand_Log!$A$2:$A$201,0))&amp;"",IFERROR(INDEX(Clay_Brands!$A$2:$FZ$601,518,Sync!$D$5)&amp;"","")&amp;""))</f>
        <v/>
      </c>
      <c r="E4569" s="23" t="str">
        <f aca="false">IF(B4569="","",IFERROR(INDEX(Clay_Brands!$A$2:$FZ$601,518,Sync!$D$6)&amp;"",""))</f>
        <v/>
      </c>
      <c r="F4569" s="23" t="str">
        <f aca="false">IF(B4569="","","outreach_sent")</f>
        <v/>
      </c>
      <c r="G4569" s="23" t="str">
        <f aca="false">IF(B4569="","","")</f>
        <v/>
      </c>
      <c r="H4569" s="23" t="str">
        <f aca="false">IF(B4569="","","")</f>
        <v/>
      </c>
      <c r="I4569" s="23" t="str">
        <f aca="false">IF(B4569="","","")</f>
        <v/>
      </c>
      <c r="J4569" s="23" t="str">
        <f aca="false">IF(B4569="","","touch_2; "&amp;IFERROR(INDEX(Clay_Brands!$A$2:$FZ$601,518,Sync!$D$10)&amp;"","")&amp;"; "&amp;IFERROR(INDEX(Clay_Brands!$A$2:$FZ$601,518,Sync!$D$9)&amp;"",""))</f>
        <v/>
      </c>
      <c r="K4569" s="32" t="s">
        <v>1367</v>
      </c>
    </row>
    <row r="4570" customFormat="false" ht="15" hidden="false" customHeight="false" outlineLevel="0" collapsed="false">
      <c r="A4570" s="23" t="str">
        <f aca="false">IF(B4570="","",B4570+(16*1000+519)/10000000)</f>
        <v/>
      </c>
      <c r="B4570" s="35" t="str">
        <f aca="false">IF(AND(IFERROR(N(INDEX(Clay_Brands!$A$2:$FZ$601,519,Sync!$D$12)),0)&gt;0,IFERROR(INDEX(Clay_Brands!$A$2:$FZ$601,519,Sync!$D$5)&amp;"","")&lt;&gt;"",OR(LEFT(IFERROR(INDEX(Clay_Brands!$A$2:$FZ$601,519,Sync!$D$5)&amp;"",""),6)&lt;&gt;"SAMPLE",Config!$B$19="Y")),IFERROR(N(INDEX(Clay_Brands!$A$2:$FZ$601,519,Sync!$D$12)),0),"")</f>
        <v/>
      </c>
      <c r="C4570" s="23" t="str">
        <f aca="false">IF(B4570="","","brand")</f>
        <v/>
      </c>
      <c r="D4570" s="23" t="str">
        <f aca="false">IF(B4570="","",IFERROR(INDEX(Brand_Log!$DV$2:$DV$201,MATCH(IFERROR(INDEX(Clay_Brands!$A$2:$FZ$601,519,Sync!$D$5)&amp;"",""),Brand_Log!$A$2:$A$201,0))&amp;"",IFERROR(INDEX(Clay_Brands!$A$2:$FZ$601,519,Sync!$D$5)&amp;"","")&amp;""))</f>
        <v/>
      </c>
      <c r="E4570" s="23" t="str">
        <f aca="false">IF(B4570="","",IFERROR(INDEX(Clay_Brands!$A$2:$FZ$601,519,Sync!$D$6)&amp;"",""))</f>
        <v/>
      </c>
      <c r="F4570" s="23" t="str">
        <f aca="false">IF(B4570="","","outreach_sent")</f>
        <v/>
      </c>
      <c r="G4570" s="23" t="str">
        <f aca="false">IF(B4570="","","")</f>
        <v/>
      </c>
      <c r="H4570" s="23" t="str">
        <f aca="false">IF(B4570="","","")</f>
        <v/>
      </c>
      <c r="I4570" s="23" t="str">
        <f aca="false">IF(B4570="","","")</f>
        <v/>
      </c>
      <c r="J4570" s="23" t="str">
        <f aca="false">IF(B4570="","","touch_2; "&amp;IFERROR(INDEX(Clay_Brands!$A$2:$FZ$601,519,Sync!$D$10)&amp;"","")&amp;"; "&amp;IFERROR(INDEX(Clay_Brands!$A$2:$FZ$601,519,Sync!$D$9)&amp;"",""))</f>
        <v/>
      </c>
      <c r="K4570" s="32" t="s">
        <v>1367</v>
      </c>
    </row>
    <row r="4571" customFormat="false" ht="15" hidden="false" customHeight="false" outlineLevel="0" collapsed="false">
      <c r="A4571" s="23" t="str">
        <f aca="false">IF(B4571="","",B4571+(16*1000+520)/10000000)</f>
        <v/>
      </c>
      <c r="B4571" s="35" t="str">
        <f aca="false">IF(AND(IFERROR(N(INDEX(Clay_Brands!$A$2:$FZ$601,520,Sync!$D$12)),0)&gt;0,IFERROR(INDEX(Clay_Brands!$A$2:$FZ$601,520,Sync!$D$5)&amp;"","")&lt;&gt;"",OR(LEFT(IFERROR(INDEX(Clay_Brands!$A$2:$FZ$601,520,Sync!$D$5)&amp;"",""),6)&lt;&gt;"SAMPLE",Config!$B$19="Y")),IFERROR(N(INDEX(Clay_Brands!$A$2:$FZ$601,520,Sync!$D$12)),0),"")</f>
        <v/>
      </c>
      <c r="C4571" s="23" t="str">
        <f aca="false">IF(B4571="","","brand")</f>
        <v/>
      </c>
      <c r="D4571" s="23" t="str">
        <f aca="false">IF(B4571="","",IFERROR(INDEX(Brand_Log!$DV$2:$DV$201,MATCH(IFERROR(INDEX(Clay_Brands!$A$2:$FZ$601,520,Sync!$D$5)&amp;"",""),Brand_Log!$A$2:$A$201,0))&amp;"",IFERROR(INDEX(Clay_Brands!$A$2:$FZ$601,520,Sync!$D$5)&amp;"","")&amp;""))</f>
        <v/>
      </c>
      <c r="E4571" s="23" t="str">
        <f aca="false">IF(B4571="","",IFERROR(INDEX(Clay_Brands!$A$2:$FZ$601,520,Sync!$D$6)&amp;"",""))</f>
        <v/>
      </c>
      <c r="F4571" s="23" t="str">
        <f aca="false">IF(B4571="","","outreach_sent")</f>
        <v/>
      </c>
      <c r="G4571" s="23" t="str">
        <f aca="false">IF(B4571="","","")</f>
        <v/>
      </c>
      <c r="H4571" s="23" t="str">
        <f aca="false">IF(B4571="","","")</f>
        <v/>
      </c>
      <c r="I4571" s="23" t="str">
        <f aca="false">IF(B4571="","","")</f>
        <v/>
      </c>
      <c r="J4571" s="23" t="str">
        <f aca="false">IF(B4571="","","touch_2; "&amp;IFERROR(INDEX(Clay_Brands!$A$2:$FZ$601,520,Sync!$D$10)&amp;"","")&amp;"; "&amp;IFERROR(INDEX(Clay_Brands!$A$2:$FZ$601,520,Sync!$D$9)&amp;"",""))</f>
        <v/>
      </c>
      <c r="K4571" s="32" t="s">
        <v>1367</v>
      </c>
    </row>
    <row r="4572" customFormat="false" ht="15" hidden="false" customHeight="false" outlineLevel="0" collapsed="false">
      <c r="A4572" s="23" t="str">
        <f aca="false">IF(B4572="","",B4572+(16*1000+521)/10000000)</f>
        <v/>
      </c>
      <c r="B4572" s="35" t="str">
        <f aca="false">IF(AND(IFERROR(N(INDEX(Clay_Brands!$A$2:$FZ$601,521,Sync!$D$12)),0)&gt;0,IFERROR(INDEX(Clay_Brands!$A$2:$FZ$601,521,Sync!$D$5)&amp;"","")&lt;&gt;"",OR(LEFT(IFERROR(INDEX(Clay_Brands!$A$2:$FZ$601,521,Sync!$D$5)&amp;"",""),6)&lt;&gt;"SAMPLE",Config!$B$19="Y")),IFERROR(N(INDEX(Clay_Brands!$A$2:$FZ$601,521,Sync!$D$12)),0),"")</f>
        <v/>
      </c>
      <c r="C4572" s="23" t="str">
        <f aca="false">IF(B4572="","","brand")</f>
        <v/>
      </c>
      <c r="D4572" s="23" t="str">
        <f aca="false">IF(B4572="","",IFERROR(INDEX(Brand_Log!$DV$2:$DV$201,MATCH(IFERROR(INDEX(Clay_Brands!$A$2:$FZ$601,521,Sync!$D$5)&amp;"",""),Brand_Log!$A$2:$A$201,0))&amp;"",IFERROR(INDEX(Clay_Brands!$A$2:$FZ$601,521,Sync!$D$5)&amp;"","")&amp;""))</f>
        <v/>
      </c>
      <c r="E4572" s="23" t="str">
        <f aca="false">IF(B4572="","",IFERROR(INDEX(Clay_Brands!$A$2:$FZ$601,521,Sync!$D$6)&amp;"",""))</f>
        <v/>
      </c>
      <c r="F4572" s="23" t="str">
        <f aca="false">IF(B4572="","","outreach_sent")</f>
        <v/>
      </c>
      <c r="G4572" s="23" t="str">
        <f aca="false">IF(B4572="","","")</f>
        <v/>
      </c>
      <c r="H4572" s="23" t="str">
        <f aca="false">IF(B4572="","","")</f>
        <v/>
      </c>
      <c r="I4572" s="23" t="str">
        <f aca="false">IF(B4572="","","")</f>
        <v/>
      </c>
      <c r="J4572" s="23" t="str">
        <f aca="false">IF(B4572="","","touch_2; "&amp;IFERROR(INDEX(Clay_Brands!$A$2:$FZ$601,521,Sync!$D$10)&amp;"","")&amp;"; "&amp;IFERROR(INDEX(Clay_Brands!$A$2:$FZ$601,521,Sync!$D$9)&amp;"",""))</f>
        <v/>
      </c>
      <c r="K4572" s="32" t="s">
        <v>1367</v>
      </c>
    </row>
    <row r="4573" customFormat="false" ht="15" hidden="false" customHeight="false" outlineLevel="0" collapsed="false">
      <c r="A4573" s="23" t="str">
        <f aca="false">IF(B4573="","",B4573+(16*1000+522)/10000000)</f>
        <v/>
      </c>
      <c r="B4573" s="35" t="str">
        <f aca="false">IF(AND(IFERROR(N(INDEX(Clay_Brands!$A$2:$FZ$601,522,Sync!$D$12)),0)&gt;0,IFERROR(INDEX(Clay_Brands!$A$2:$FZ$601,522,Sync!$D$5)&amp;"","")&lt;&gt;"",OR(LEFT(IFERROR(INDEX(Clay_Brands!$A$2:$FZ$601,522,Sync!$D$5)&amp;"",""),6)&lt;&gt;"SAMPLE",Config!$B$19="Y")),IFERROR(N(INDEX(Clay_Brands!$A$2:$FZ$601,522,Sync!$D$12)),0),"")</f>
        <v/>
      </c>
      <c r="C4573" s="23" t="str">
        <f aca="false">IF(B4573="","","brand")</f>
        <v/>
      </c>
      <c r="D4573" s="23" t="str">
        <f aca="false">IF(B4573="","",IFERROR(INDEX(Brand_Log!$DV$2:$DV$201,MATCH(IFERROR(INDEX(Clay_Brands!$A$2:$FZ$601,522,Sync!$D$5)&amp;"",""),Brand_Log!$A$2:$A$201,0))&amp;"",IFERROR(INDEX(Clay_Brands!$A$2:$FZ$601,522,Sync!$D$5)&amp;"","")&amp;""))</f>
        <v/>
      </c>
      <c r="E4573" s="23" t="str">
        <f aca="false">IF(B4573="","",IFERROR(INDEX(Clay_Brands!$A$2:$FZ$601,522,Sync!$D$6)&amp;"",""))</f>
        <v/>
      </c>
      <c r="F4573" s="23" t="str">
        <f aca="false">IF(B4573="","","outreach_sent")</f>
        <v/>
      </c>
      <c r="G4573" s="23" t="str">
        <f aca="false">IF(B4573="","","")</f>
        <v/>
      </c>
      <c r="H4573" s="23" t="str">
        <f aca="false">IF(B4573="","","")</f>
        <v/>
      </c>
      <c r="I4573" s="23" t="str">
        <f aca="false">IF(B4573="","","")</f>
        <v/>
      </c>
      <c r="J4573" s="23" t="str">
        <f aca="false">IF(B4573="","","touch_2; "&amp;IFERROR(INDEX(Clay_Brands!$A$2:$FZ$601,522,Sync!$D$10)&amp;"","")&amp;"; "&amp;IFERROR(INDEX(Clay_Brands!$A$2:$FZ$601,522,Sync!$D$9)&amp;"",""))</f>
        <v/>
      </c>
      <c r="K4573" s="32" t="s">
        <v>1367</v>
      </c>
    </row>
    <row r="4574" customFormat="false" ht="15" hidden="false" customHeight="false" outlineLevel="0" collapsed="false">
      <c r="A4574" s="23" t="str">
        <f aca="false">IF(B4574="","",B4574+(16*1000+523)/10000000)</f>
        <v/>
      </c>
      <c r="B4574" s="35" t="str">
        <f aca="false">IF(AND(IFERROR(N(INDEX(Clay_Brands!$A$2:$FZ$601,523,Sync!$D$12)),0)&gt;0,IFERROR(INDEX(Clay_Brands!$A$2:$FZ$601,523,Sync!$D$5)&amp;"","")&lt;&gt;"",OR(LEFT(IFERROR(INDEX(Clay_Brands!$A$2:$FZ$601,523,Sync!$D$5)&amp;"",""),6)&lt;&gt;"SAMPLE",Config!$B$19="Y")),IFERROR(N(INDEX(Clay_Brands!$A$2:$FZ$601,523,Sync!$D$12)),0),"")</f>
        <v/>
      </c>
      <c r="C4574" s="23" t="str">
        <f aca="false">IF(B4574="","","brand")</f>
        <v/>
      </c>
      <c r="D4574" s="23" t="str">
        <f aca="false">IF(B4574="","",IFERROR(INDEX(Brand_Log!$DV$2:$DV$201,MATCH(IFERROR(INDEX(Clay_Brands!$A$2:$FZ$601,523,Sync!$D$5)&amp;"",""),Brand_Log!$A$2:$A$201,0))&amp;"",IFERROR(INDEX(Clay_Brands!$A$2:$FZ$601,523,Sync!$D$5)&amp;"","")&amp;""))</f>
        <v/>
      </c>
      <c r="E4574" s="23" t="str">
        <f aca="false">IF(B4574="","",IFERROR(INDEX(Clay_Brands!$A$2:$FZ$601,523,Sync!$D$6)&amp;"",""))</f>
        <v/>
      </c>
      <c r="F4574" s="23" t="str">
        <f aca="false">IF(B4574="","","outreach_sent")</f>
        <v/>
      </c>
      <c r="G4574" s="23" t="str">
        <f aca="false">IF(B4574="","","")</f>
        <v/>
      </c>
      <c r="H4574" s="23" t="str">
        <f aca="false">IF(B4574="","","")</f>
        <v/>
      </c>
      <c r="I4574" s="23" t="str">
        <f aca="false">IF(B4574="","","")</f>
        <v/>
      </c>
      <c r="J4574" s="23" t="str">
        <f aca="false">IF(B4574="","","touch_2; "&amp;IFERROR(INDEX(Clay_Brands!$A$2:$FZ$601,523,Sync!$D$10)&amp;"","")&amp;"; "&amp;IFERROR(INDEX(Clay_Brands!$A$2:$FZ$601,523,Sync!$D$9)&amp;"",""))</f>
        <v/>
      </c>
      <c r="K4574" s="32" t="s">
        <v>1367</v>
      </c>
    </row>
    <row r="4575" customFormat="false" ht="15" hidden="false" customHeight="false" outlineLevel="0" collapsed="false">
      <c r="A4575" s="23" t="str">
        <f aca="false">IF(B4575="","",B4575+(16*1000+524)/10000000)</f>
        <v/>
      </c>
      <c r="B4575" s="35" t="str">
        <f aca="false">IF(AND(IFERROR(N(INDEX(Clay_Brands!$A$2:$FZ$601,524,Sync!$D$12)),0)&gt;0,IFERROR(INDEX(Clay_Brands!$A$2:$FZ$601,524,Sync!$D$5)&amp;"","")&lt;&gt;"",OR(LEFT(IFERROR(INDEX(Clay_Brands!$A$2:$FZ$601,524,Sync!$D$5)&amp;"",""),6)&lt;&gt;"SAMPLE",Config!$B$19="Y")),IFERROR(N(INDEX(Clay_Brands!$A$2:$FZ$601,524,Sync!$D$12)),0),"")</f>
        <v/>
      </c>
      <c r="C4575" s="23" t="str">
        <f aca="false">IF(B4575="","","brand")</f>
        <v/>
      </c>
      <c r="D4575" s="23" t="str">
        <f aca="false">IF(B4575="","",IFERROR(INDEX(Brand_Log!$DV$2:$DV$201,MATCH(IFERROR(INDEX(Clay_Brands!$A$2:$FZ$601,524,Sync!$D$5)&amp;"",""),Brand_Log!$A$2:$A$201,0))&amp;"",IFERROR(INDEX(Clay_Brands!$A$2:$FZ$601,524,Sync!$D$5)&amp;"","")&amp;""))</f>
        <v/>
      </c>
      <c r="E4575" s="23" t="str">
        <f aca="false">IF(B4575="","",IFERROR(INDEX(Clay_Brands!$A$2:$FZ$601,524,Sync!$D$6)&amp;"",""))</f>
        <v/>
      </c>
      <c r="F4575" s="23" t="str">
        <f aca="false">IF(B4575="","","outreach_sent")</f>
        <v/>
      </c>
      <c r="G4575" s="23" t="str">
        <f aca="false">IF(B4575="","","")</f>
        <v/>
      </c>
      <c r="H4575" s="23" t="str">
        <f aca="false">IF(B4575="","","")</f>
        <v/>
      </c>
      <c r="I4575" s="23" t="str">
        <f aca="false">IF(B4575="","","")</f>
        <v/>
      </c>
      <c r="J4575" s="23" t="str">
        <f aca="false">IF(B4575="","","touch_2; "&amp;IFERROR(INDEX(Clay_Brands!$A$2:$FZ$601,524,Sync!$D$10)&amp;"","")&amp;"; "&amp;IFERROR(INDEX(Clay_Brands!$A$2:$FZ$601,524,Sync!$D$9)&amp;"",""))</f>
        <v/>
      </c>
      <c r="K4575" s="32" t="s">
        <v>1367</v>
      </c>
    </row>
    <row r="4576" customFormat="false" ht="15" hidden="false" customHeight="false" outlineLevel="0" collapsed="false">
      <c r="A4576" s="23" t="str">
        <f aca="false">IF(B4576="","",B4576+(16*1000+525)/10000000)</f>
        <v/>
      </c>
      <c r="B4576" s="35" t="str">
        <f aca="false">IF(AND(IFERROR(N(INDEX(Clay_Brands!$A$2:$FZ$601,525,Sync!$D$12)),0)&gt;0,IFERROR(INDEX(Clay_Brands!$A$2:$FZ$601,525,Sync!$D$5)&amp;"","")&lt;&gt;"",OR(LEFT(IFERROR(INDEX(Clay_Brands!$A$2:$FZ$601,525,Sync!$D$5)&amp;"",""),6)&lt;&gt;"SAMPLE",Config!$B$19="Y")),IFERROR(N(INDEX(Clay_Brands!$A$2:$FZ$601,525,Sync!$D$12)),0),"")</f>
        <v/>
      </c>
      <c r="C4576" s="23" t="str">
        <f aca="false">IF(B4576="","","brand")</f>
        <v/>
      </c>
      <c r="D4576" s="23" t="str">
        <f aca="false">IF(B4576="","",IFERROR(INDEX(Brand_Log!$DV$2:$DV$201,MATCH(IFERROR(INDEX(Clay_Brands!$A$2:$FZ$601,525,Sync!$D$5)&amp;"",""),Brand_Log!$A$2:$A$201,0))&amp;"",IFERROR(INDEX(Clay_Brands!$A$2:$FZ$601,525,Sync!$D$5)&amp;"","")&amp;""))</f>
        <v/>
      </c>
      <c r="E4576" s="23" t="str">
        <f aca="false">IF(B4576="","",IFERROR(INDEX(Clay_Brands!$A$2:$FZ$601,525,Sync!$D$6)&amp;"",""))</f>
        <v/>
      </c>
      <c r="F4576" s="23" t="str">
        <f aca="false">IF(B4576="","","outreach_sent")</f>
        <v/>
      </c>
      <c r="G4576" s="23" t="str">
        <f aca="false">IF(B4576="","","")</f>
        <v/>
      </c>
      <c r="H4576" s="23" t="str">
        <f aca="false">IF(B4576="","","")</f>
        <v/>
      </c>
      <c r="I4576" s="23" t="str">
        <f aca="false">IF(B4576="","","")</f>
        <v/>
      </c>
      <c r="J4576" s="23" t="str">
        <f aca="false">IF(B4576="","","touch_2; "&amp;IFERROR(INDEX(Clay_Brands!$A$2:$FZ$601,525,Sync!$D$10)&amp;"","")&amp;"; "&amp;IFERROR(INDEX(Clay_Brands!$A$2:$FZ$601,525,Sync!$D$9)&amp;"",""))</f>
        <v/>
      </c>
      <c r="K4576" s="32" t="s">
        <v>1367</v>
      </c>
    </row>
    <row r="4577" customFormat="false" ht="15" hidden="false" customHeight="false" outlineLevel="0" collapsed="false">
      <c r="A4577" s="23" t="str">
        <f aca="false">IF(B4577="","",B4577+(16*1000+526)/10000000)</f>
        <v/>
      </c>
      <c r="B4577" s="35" t="str">
        <f aca="false">IF(AND(IFERROR(N(INDEX(Clay_Brands!$A$2:$FZ$601,526,Sync!$D$12)),0)&gt;0,IFERROR(INDEX(Clay_Brands!$A$2:$FZ$601,526,Sync!$D$5)&amp;"","")&lt;&gt;"",OR(LEFT(IFERROR(INDEX(Clay_Brands!$A$2:$FZ$601,526,Sync!$D$5)&amp;"",""),6)&lt;&gt;"SAMPLE",Config!$B$19="Y")),IFERROR(N(INDEX(Clay_Brands!$A$2:$FZ$601,526,Sync!$D$12)),0),"")</f>
        <v/>
      </c>
      <c r="C4577" s="23" t="str">
        <f aca="false">IF(B4577="","","brand")</f>
        <v/>
      </c>
      <c r="D4577" s="23" t="str">
        <f aca="false">IF(B4577="","",IFERROR(INDEX(Brand_Log!$DV$2:$DV$201,MATCH(IFERROR(INDEX(Clay_Brands!$A$2:$FZ$601,526,Sync!$D$5)&amp;"",""),Brand_Log!$A$2:$A$201,0))&amp;"",IFERROR(INDEX(Clay_Brands!$A$2:$FZ$601,526,Sync!$D$5)&amp;"","")&amp;""))</f>
        <v/>
      </c>
      <c r="E4577" s="23" t="str">
        <f aca="false">IF(B4577="","",IFERROR(INDEX(Clay_Brands!$A$2:$FZ$601,526,Sync!$D$6)&amp;"",""))</f>
        <v/>
      </c>
      <c r="F4577" s="23" t="str">
        <f aca="false">IF(B4577="","","outreach_sent")</f>
        <v/>
      </c>
      <c r="G4577" s="23" t="str">
        <f aca="false">IF(B4577="","","")</f>
        <v/>
      </c>
      <c r="H4577" s="23" t="str">
        <f aca="false">IF(B4577="","","")</f>
        <v/>
      </c>
      <c r="I4577" s="23" t="str">
        <f aca="false">IF(B4577="","","")</f>
        <v/>
      </c>
      <c r="J4577" s="23" t="str">
        <f aca="false">IF(B4577="","","touch_2; "&amp;IFERROR(INDEX(Clay_Brands!$A$2:$FZ$601,526,Sync!$D$10)&amp;"","")&amp;"; "&amp;IFERROR(INDEX(Clay_Brands!$A$2:$FZ$601,526,Sync!$D$9)&amp;"",""))</f>
        <v/>
      </c>
      <c r="K4577" s="32" t="s">
        <v>1367</v>
      </c>
    </row>
    <row r="4578" customFormat="false" ht="15" hidden="false" customHeight="false" outlineLevel="0" collapsed="false">
      <c r="A4578" s="23" t="str">
        <f aca="false">IF(B4578="","",B4578+(16*1000+527)/10000000)</f>
        <v/>
      </c>
      <c r="B4578" s="35" t="str">
        <f aca="false">IF(AND(IFERROR(N(INDEX(Clay_Brands!$A$2:$FZ$601,527,Sync!$D$12)),0)&gt;0,IFERROR(INDEX(Clay_Brands!$A$2:$FZ$601,527,Sync!$D$5)&amp;"","")&lt;&gt;"",OR(LEFT(IFERROR(INDEX(Clay_Brands!$A$2:$FZ$601,527,Sync!$D$5)&amp;"",""),6)&lt;&gt;"SAMPLE",Config!$B$19="Y")),IFERROR(N(INDEX(Clay_Brands!$A$2:$FZ$601,527,Sync!$D$12)),0),"")</f>
        <v/>
      </c>
      <c r="C4578" s="23" t="str">
        <f aca="false">IF(B4578="","","brand")</f>
        <v/>
      </c>
      <c r="D4578" s="23" t="str">
        <f aca="false">IF(B4578="","",IFERROR(INDEX(Brand_Log!$DV$2:$DV$201,MATCH(IFERROR(INDEX(Clay_Brands!$A$2:$FZ$601,527,Sync!$D$5)&amp;"",""),Brand_Log!$A$2:$A$201,0))&amp;"",IFERROR(INDEX(Clay_Brands!$A$2:$FZ$601,527,Sync!$D$5)&amp;"","")&amp;""))</f>
        <v/>
      </c>
      <c r="E4578" s="23" t="str">
        <f aca="false">IF(B4578="","",IFERROR(INDEX(Clay_Brands!$A$2:$FZ$601,527,Sync!$D$6)&amp;"",""))</f>
        <v/>
      </c>
      <c r="F4578" s="23" t="str">
        <f aca="false">IF(B4578="","","outreach_sent")</f>
        <v/>
      </c>
      <c r="G4578" s="23" t="str">
        <f aca="false">IF(B4578="","","")</f>
        <v/>
      </c>
      <c r="H4578" s="23" t="str">
        <f aca="false">IF(B4578="","","")</f>
        <v/>
      </c>
      <c r="I4578" s="23" t="str">
        <f aca="false">IF(B4578="","","")</f>
        <v/>
      </c>
      <c r="J4578" s="23" t="str">
        <f aca="false">IF(B4578="","","touch_2; "&amp;IFERROR(INDEX(Clay_Brands!$A$2:$FZ$601,527,Sync!$D$10)&amp;"","")&amp;"; "&amp;IFERROR(INDEX(Clay_Brands!$A$2:$FZ$601,527,Sync!$D$9)&amp;"",""))</f>
        <v/>
      </c>
      <c r="K4578" s="32" t="s">
        <v>1367</v>
      </c>
    </row>
    <row r="4579" customFormat="false" ht="15" hidden="false" customHeight="false" outlineLevel="0" collapsed="false">
      <c r="A4579" s="23" t="str">
        <f aca="false">IF(B4579="","",B4579+(16*1000+528)/10000000)</f>
        <v/>
      </c>
      <c r="B4579" s="35" t="str">
        <f aca="false">IF(AND(IFERROR(N(INDEX(Clay_Brands!$A$2:$FZ$601,528,Sync!$D$12)),0)&gt;0,IFERROR(INDEX(Clay_Brands!$A$2:$FZ$601,528,Sync!$D$5)&amp;"","")&lt;&gt;"",OR(LEFT(IFERROR(INDEX(Clay_Brands!$A$2:$FZ$601,528,Sync!$D$5)&amp;"",""),6)&lt;&gt;"SAMPLE",Config!$B$19="Y")),IFERROR(N(INDEX(Clay_Brands!$A$2:$FZ$601,528,Sync!$D$12)),0),"")</f>
        <v/>
      </c>
      <c r="C4579" s="23" t="str">
        <f aca="false">IF(B4579="","","brand")</f>
        <v/>
      </c>
      <c r="D4579" s="23" t="str">
        <f aca="false">IF(B4579="","",IFERROR(INDEX(Brand_Log!$DV$2:$DV$201,MATCH(IFERROR(INDEX(Clay_Brands!$A$2:$FZ$601,528,Sync!$D$5)&amp;"",""),Brand_Log!$A$2:$A$201,0))&amp;"",IFERROR(INDEX(Clay_Brands!$A$2:$FZ$601,528,Sync!$D$5)&amp;"","")&amp;""))</f>
        <v/>
      </c>
      <c r="E4579" s="23" t="str">
        <f aca="false">IF(B4579="","",IFERROR(INDEX(Clay_Brands!$A$2:$FZ$601,528,Sync!$D$6)&amp;"",""))</f>
        <v/>
      </c>
      <c r="F4579" s="23" t="str">
        <f aca="false">IF(B4579="","","outreach_sent")</f>
        <v/>
      </c>
      <c r="G4579" s="23" t="str">
        <f aca="false">IF(B4579="","","")</f>
        <v/>
      </c>
      <c r="H4579" s="23" t="str">
        <f aca="false">IF(B4579="","","")</f>
        <v/>
      </c>
      <c r="I4579" s="23" t="str">
        <f aca="false">IF(B4579="","","")</f>
        <v/>
      </c>
      <c r="J4579" s="23" t="str">
        <f aca="false">IF(B4579="","","touch_2; "&amp;IFERROR(INDEX(Clay_Brands!$A$2:$FZ$601,528,Sync!$D$10)&amp;"","")&amp;"; "&amp;IFERROR(INDEX(Clay_Brands!$A$2:$FZ$601,528,Sync!$D$9)&amp;"",""))</f>
        <v/>
      </c>
      <c r="K4579" s="32" t="s">
        <v>1367</v>
      </c>
    </row>
    <row r="4580" customFormat="false" ht="15" hidden="false" customHeight="false" outlineLevel="0" collapsed="false">
      <c r="A4580" s="23" t="str">
        <f aca="false">IF(B4580="","",B4580+(16*1000+529)/10000000)</f>
        <v/>
      </c>
      <c r="B4580" s="35" t="str">
        <f aca="false">IF(AND(IFERROR(N(INDEX(Clay_Brands!$A$2:$FZ$601,529,Sync!$D$12)),0)&gt;0,IFERROR(INDEX(Clay_Brands!$A$2:$FZ$601,529,Sync!$D$5)&amp;"","")&lt;&gt;"",OR(LEFT(IFERROR(INDEX(Clay_Brands!$A$2:$FZ$601,529,Sync!$D$5)&amp;"",""),6)&lt;&gt;"SAMPLE",Config!$B$19="Y")),IFERROR(N(INDEX(Clay_Brands!$A$2:$FZ$601,529,Sync!$D$12)),0),"")</f>
        <v/>
      </c>
      <c r="C4580" s="23" t="str">
        <f aca="false">IF(B4580="","","brand")</f>
        <v/>
      </c>
      <c r="D4580" s="23" t="str">
        <f aca="false">IF(B4580="","",IFERROR(INDEX(Brand_Log!$DV$2:$DV$201,MATCH(IFERROR(INDEX(Clay_Brands!$A$2:$FZ$601,529,Sync!$D$5)&amp;"",""),Brand_Log!$A$2:$A$201,0))&amp;"",IFERROR(INDEX(Clay_Brands!$A$2:$FZ$601,529,Sync!$D$5)&amp;"","")&amp;""))</f>
        <v/>
      </c>
      <c r="E4580" s="23" t="str">
        <f aca="false">IF(B4580="","",IFERROR(INDEX(Clay_Brands!$A$2:$FZ$601,529,Sync!$D$6)&amp;"",""))</f>
        <v/>
      </c>
      <c r="F4580" s="23" t="str">
        <f aca="false">IF(B4580="","","outreach_sent")</f>
        <v/>
      </c>
      <c r="G4580" s="23" t="str">
        <f aca="false">IF(B4580="","","")</f>
        <v/>
      </c>
      <c r="H4580" s="23" t="str">
        <f aca="false">IF(B4580="","","")</f>
        <v/>
      </c>
      <c r="I4580" s="23" t="str">
        <f aca="false">IF(B4580="","","")</f>
        <v/>
      </c>
      <c r="J4580" s="23" t="str">
        <f aca="false">IF(B4580="","","touch_2; "&amp;IFERROR(INDEX(Clay_Brands!$A$2:$FZ$601,529,Sync!$D$10)&amp;"","")&amp;"; "&amp;IFERROR(INDEX(Clay_Brands!$A$2:$FZ$601,529,Sync!$D$9)&amp;"",""))</f>
        <v/>
      </c>
      <c r="K4580" s="32" t="s">
        <v>1367</v>
      </c>
    </row>
    <row r="4581" customFormat="false" ht="15" hidden="false" customHeight="false" outlineLevel="0" collapsed="false">
      <c r="A4581" s="23" t="str">
        <f aca="false">IF(B4581="","",B4581+(16*1000+530)/10000000)</f>
        <v/>
      </c>
      <c r="B4581" s="35" t="str">
        <f aca="false">IF(AND(IFERROR(N(INDEX(Clay_Brands!$A$2:$FZ$601,530,Sync!$D$12)),0)&gt;0,IFERROR(INDEX(Clay_Brands!$A$2:$FZ$601,530,Sync!$D$5)&amp;"","")&lt;&gt;"",OR(LEFT(IFERROR(INDEX(Clay_Brands!$A$2:$FZ$601,530,Sync!$D$5)&amp;"",""),6)&lt;&gt;"SAMPLE",Config!$B$19="Y")),IFERROR(N(INDEX(Clay_Brands!$A$2:$FZ$601,530,Sync!$D$12)),0),"")</f>
        <v/>
      </c>
      <c r="C4581" s="23" t="str">
        <f aca="false">IF(B4581="","","brand")</f>
        <v/>
      </c>
      <c r="D4581" s="23" t="str">
        <f aca="false">IF(B4581="","",IFERROR(INDEX(Brand_Log!$DV$2:$DV$201,MATCH(IFERROR(INDEX(Clay_Brands!$A$2:$FZ$601,530,Sync!$D$5)&amp;"",""),Brand_Log!$A$2:$A$201,0))&amp;"",IFERROR(INDEX(Clay_Brands!$A$2:$FZ$601,530,Sync!$D$5)&amp;"","")&amp;""))</f>
        <v/>
      </c>
      <c r="E4581" s="23" t="str">
        <f aca="false">IF(B4581="","",IFERROR(INDEX(Clay_Brands!$A$2:$FZ$601,530,Sync!$D$6)&amp;"",""))</f>
        <v/>
      </c>
      <c r="F4581" s="23" t="str">
        <f aca="false">IF(B4581="","","outreach_sent")</f>
        <v/>
      </c>
      <c r="G4581" s="23" t="str">
        <f aca="false">IF(B4581="","","")</f>
        <v/>
      </c>
      <c r="H4581" s="23" t="str">
        <f aca="false">IF(B4581="","","")</f>
        <v/>
      </c>
      <c r="I4581" s="23" t="str">
        <f aca="false">IF(B4581="","","")</f>
        <v/>
      </c>
      <c r="J4581" s="23" t="str">
        <f aca="false">IF(B4581="","","touch_2; "&amp;IFERROR(INDEX(Clay_Brands!$A$2:$FZ$601,530,Sync!$D$10)&amp;"","")&amp;"; "&amp;IFERROR(INDEX(Clay_Brands!$A$2:$FZ$601,530,Sync!$D$9)&amp;"",""))</f>
        <v/>
      </c>
      <c r="K4581" s="32" t="s">
        <v>1367</v>
      </c>
    </row>
    <row r="4582" customFormat="false" ht="15" hidden="false" customHeight="false" outlineLevel="0" collapsed="false">
      <c r="A4582" s="23" t="str">
        <f aca="false">IF(B4582="","",B4582+(16*1000+531)/10000000)</f>
        <v/>
      </c>
      <c r="B4582" s="35" t="str">
        <f aca="false">IF(AND(IFERROR(N(INDEX(Clay_Brands!$A$2:$FZ$601,531,Sync!$D$12)),0)&gt;0,IFERROR(INDEX(Clay_Brands!$A$2:$FZ$601,531,Sync!$D$5)&amp;"","")&lt;&gt;"",OR(LEFT(IFERROR(INDEX(Clay_Brands!$A$2:$FZ$601,531,Sync!$D$5)&amp;"",""),6)&lt;&gt;"SAMPLE",Config!$B$19="Y")),IFERROR(N(INDEX(Clay_Brands!$A$2:$FZ$601,531,Sync!$D$12)),0),"")</f>
        <v/>
      </c>
      <c r="C4582" s="23" t="str">
        <f aca="false">IF(B4582="","","brand")</f>
        <v/>
      </c>
      <c r="D4582" s="23" t="str">
        <f aca="false">IF(B4582="","",IFERROR(INDEX(Brand_Log!$DV$2:$DV$201,MATCH(IFERROR(INDEX(Clay_Brands!$A$2:$FZ$601,531,Sync!$D$5)&amp;"",""),Brand_Log!$A$2:$A$201,0))&amp;"",IFERROR(INDEX(Clay_Brands!$A$2:$FZ$601,531,Sync!$D$5)&amp;"","")&amp;""))</f>
        <v/>
      </c>
      <c r="E4582" s="23" t="str">
        <f aca="false">IF(B4582="","",IFERROR(INDEX(Clay_Brands!$A$2:$FZ$601,531,Sync!$D$6)&amp;"",""))</f>
        <v/>
      </c>
      <c r="F4582" s="23" t="str">
        <f aca="false">IF(B4582="","","outreach_sent")</f>
        <v/>
      </c>
      <c r="G4582" s="23" t="str">
        <f aca="false">IF(B4582="","","")</f>
        <v/>
      </c>
      <c r="H4582" s="23" t="str">
        <f aca="false">IF(B4582="","","")</f>
        <v/>
      </c>
      <c r="I4582" s="23" t="str">
        <f aca="false">IF(B4582="","","")</f>
        <v/>
      </c>
      <c r="J4582" s="23" t="str">
        <f aca="false">IF(B4582="","","touch_2; "&amp;IFERROR(INDEX(Clay_Brands!$A$2:$FZ$601,531,Sync!$D$10)&amp;"","")&amp;"; "&amp;IFERROR(INDEX(Clay_Brands!$A$2:$FZ$601,531,Sync!$D$9)&amp;"",""))</f>
        <v/>
      </c>
      <c r="K4582" s="32" t="s">
        <v>1367</v>
      </c>
    </row>
    <row r="4583" customFormat="false" ht="15" hidden="false" customHeight="false" outlineLevel="0" collapsed="false">
      <c r="A4583" s="23" t="str">
        <f aca="false">IF(B4583="","",B4583+(16*1000+532)/10000000)</f>
        <v/>
      </c>
      <c r="B4583" s="35" t="str">
        <f aca="false">IF(AND(IFERROR(N(INDEX(Clay_Brands!$A$2:$FZ$601,532,Sync!$D$12)),0)&gt;0,IFERROR(INDEX(Clay_Brands!$A$2:$FZ$601,532,Sync!$D$5)&amp;"","")&lt;&gt;"",OR(LEFT(IFERROR(INDEX(Clay_Brands!$A$2:$FZ$601,532,Sync!$D$5)&amp;"",""),6)&lt;&gt;"SAMPLE",Config!$B$19="Y")),IFERROR(N(INDEX(Clay_Brands!$A$2:$FZ$601,532,Sync!$D$12)),0),"")</f>
        <v/>
      </c>
      <c r="C4583" s="23" t="str">
        <f aca="false">IF(B4583="","","brand")</f>
        <v/>
      </c>
      <c r="D4583" s="23" t="str">
        <f aca="false">IF(B4583="","",IFERROR(INDEX(Brand_Log!$DV$2:$DV$201,MATCH(IFERROR(INDEX(Clay_Brands!$A$2:$FZ$601,532,Sync!$D$5)&amp;"",""),Brand_Log!$A$2:$A$201,0))&amp;"",IFERROR(INDEX(Clay_Brands!$A$2:$FZ$601,532,Sync!$D$5)&amp;"","")&amp;""))</f>
        <v/>
      </c>
      <c r="E4583" s="23" t="str">
        <f aca="false">IF(B4583="","",IFERROR(INDEX(Clay_Brands!$A$2:$FZ$601,532,Sync!$D$6)&amp;"",""))</f>
        <v/>
      </c>
      <c r="F4583" s="23" t="str">
        <f aca="false">IF(B4583="","","outreach_sent")</f>
        <v/>
      </c>
      <c r="G4583" s="23" t="str">
        <f aca="false">IF(B4583="","","")</f>
        <v/>
      </c>
      <c r="H4583" s="23" t="str">
        <f aca="false">IF(B4583="","","")</f>
        <v/>
      </c>
      <c r="I4583" s="23" t="str">
        <f aca="false">IF(B4583="","","")</f>
        <v/>
      </c>
      <c r="J4583" s="23" t="str">
        <f aca="false">IF(B4583="","","touch_2; "&amp;IFERROR(INDEX(Clay_Brands!$A$2:$FZ$601,532,Sync!$D$10)&amp;"","")&amp;"; "&amp;IFERROR(INDEX(Clay_Brands!$A$2:$FZ$601,532,Sync!$D$9)&amp;"",""))</f>
        <v/>
      </c>
      <c r="K4583" s="32" t="s">
        <v>1367</v>
      </c>
    </row>
    <row r="4584" customFormat="false" ht="15" hidden="false" customHeight="false" outlineLevel="0" collapsed="false">
      <c r="A4584" s="23" t="str">
        <f aca="false">IF(B4584="","",B4584+(16*1000+533)/10000000)</f>
        <v/>
      </c>
      <c r="B4584" s="35" t="str">
        <f aca="false">IF(AND(IFERROR(N(INDEX(Clay_Brands!$A$2:$FZ$601,533,Sync!$D$12)),0)&gt;0,IFERROR(INDEX(Clay_Brands!$A$2:$FZ$601,533,Sync!$D$5)&amp;"","")&lt;&gt;"",OR(LEFT(IFERROR(INDEX(Clay_Brands!$A$2:$FZ$601,533,Sync!$D$5)&amp;"",""),6)&lt;&gt;"SAMPLE",Config!$B$19="Y")),IFERROR(N(INDEX(Clay_Brands!$A$2:$FZ$601,533,Sync!$D$12)),0),"")</f>
        <v/>
      </c>
      <c r="C4584" s="23" t="str">
        <f aca="false">IF(B4584="","","brand")</f>
        <v/>
      </c>
      <c r="D4584" s="23" t="str">
        <f aca="false">IF(B4584="","",IFERROR(INDEX(Brand_Log!$DV$2:$DV$201,MATCH(IFERROR(INDEX(Clay_Brands!$A$2:$FZ$601,533,Sync!$D$5)&amp;"",""),Brand_Log!$A$2:$A$201,0))&amp;"",IFERROR(INDEX(Clay_Brands!$A$2:$FZ$601,533,Sync!$D$5)&amp;"","")&amp;""))</f>
        <v/>
      </c>
      <c r="E4584" s="23" t="str">
        <f aca="false">IF(B4584="","",IFERROR(INDEX(Clay_Brands!$A$2:$FZ$601,533,Sync!$D$6)&amp;"",""))</f>
        <v/>
      </c>
      <c r="F4584" s="23" t="str">
        <f aca="false">IF(B4584="","","outreach_sent")</f>
        <v/>
      </c>
      <c r="G4584" s="23" t="str">
        <f aca="false">IF(B4584="","","")</f>
        <v/>
      </c>
      <c r="H4584" s="23" t="str">
        <f aca="false">IF(B4584="","","")</f>
        <v/>
      </c>
      <c r="I4584" s="23" t="str">
        <f aca="false">IF(B4584="","","")</f>
        <v/>
      </c>
      <c r="J4584" s="23" t="str">
        <f aca="false">IF(B4584="","","touch_2; "&amp;IFERROR(INDEX(Clay_Brands!$A$2:$FZ$601,533,Sync!$D$10)&amp;"","")&amp;"; "&amp;IFERROR(INDEX(Clay_Brands!$A$2:$FZ$601,533,Sync!$D$9)&amp;"",""))</f>
        <v/>
      </c>
      <c r="K4584" s="32" t="s">
        <v>1367</v>
      </c>
    </row>
    <row r="4585" customFormat="false" ht="15" hidden="false" customHeight="false" outlineLevel="0" collapsed="false">
      <c r="A4585" s="23" t="str">
        <f aca="false">IF(B4585="","",B4585+(16*1000+534)/10000000)</f>
        <v/>
      </c>
      <c r="B4585" s="35" t="str">
        <f aca="false">IF(AND(IFERROR(N(INDEX(Clay_Brands!$A$2:$FZ$601,534,Sync!$D$12)),0)&gt;0,IFERROR(INDEX(Clay_Brands!$A$2:$FZ$601,534,Sync!$D$5)&amp;"","")&lt;&gt;"",OR(LEFT(IFERROR(INDEX(Clay_Brands!$A$2:$FZ$601,534,Sync!$D$5)&amp;"",""),6)&lt;&gt;"SAMPLE",Config!$B$19="Y")),IFERROR(N(INDEX(Clay_Brands!$A$2:$FZ$601,534,Sync!$D$12)),0),"")</f>
        <v/>
      </c>
      <c r="C4585" s="23" t="str">
        <f aca="false">IF(B4585="","","brand")</f>
        <v/>
      </c>
      <c r="D4585" s="23" t="str">
        <f aca="false">IF(B4585="","",IFERROR(INDEX(Brand_Log!$DV$2:$DV$201,MATCH(IFERROR(INDEX(Clay_Brands!$A$2:$FZ$601,534,Sync!$D$5)&amp;"",""),Brand_Log!$A$2:$A$201,0))&amp;"",IFERROR(INDEX(Clay_Brands!$A$2:$FZ$601,534,Sync!$D$5)&amp;"","")&amp;""))</f>
        <v/>
      </c>
      <c r="E4585" s="23" t="str">
        <f aca="false">IF(B4585="","",IFERROR(INDEX(Clay_Brands!$A$2:$FZ$601,534,Sync!$D$6)&amp;"",""))</f>
        <v/>
      </c>
      <c r="F4585" s="23" t="str">
        <f aca="false">IF(B4585="","","outreach_sent")</f>
        <v/>
      </c>
      <c r="G4585" s="23" t="str">
        <f aca="false">IF(B4585="","","")</f>
        <v/>
      </c>
      <c r="H4585" s="23" t="str">
        <f aca="false">IF(B4585="","","")</f>
        <v/>
      </c>
      <c r="I4585" s="23" t="str">
        <f aca="false">IF(B4585="","","")</f>
        <v/>
      </c>
      <c r="J4585" s="23" t="str">
        <f aca="false">IF(B4585="","","touch_2; "&amp;IFERROR(INDEX(Clay_Brands!$A$2:$FZ$601,534,Sync!$D$10)&amp;"","")&amp;"; "&amp;IFERROR(INDEX(Clay_Brands!$A$2:$FZ$601,534,Sync!$D$9)&amp;"",""))</f>
        <v/>
      </c>
      <c r="K4585" s="32" t="s">
        <v>1367</v>
      </c>
    </row>
    <row r="4586" customFormat="false" ht="15" hidden="false" customHeight="false" outlineLevel="0" collapsed="false">
      <c r="A4586" s="23" t="str">
        <f aca="false">IF(B4586="","",B4586+(16*1000+535)/10000000)</f>
        <v/>
      </c>
      <c r="B4586" s="35" t="str">
        <f aca="false">IF(AND(IFERROR(N(INDEX(Clay_Brands!$A$2:$FZ$601,535,Sync!$D$12)),0)&gt;0,IFERROR(INDEX(Clay_Brands!$A$2:$FZ$601,535,Sync!$D$5)&amp;"","")&lt;&gt;"",OR(LEFT(IFERROR(INDEX(Clay_Brands!$A$2:$FZ$601,535,Sync!$D$5)&amp;"",""),6)&lt;&gt;"SAMPLE",Config!$B$19="Y")),IFERROR(N(INDEX(Clay_Brands!$A$2:$FZ$601,535,Sync!$D$12)),0),"")</f>
        <v/>
      </c>
      <c r="C4586" s="23" t="str">
        <f aca="false">IF(B4586="","","brand")</f>
        <v/>
      </c>
      <c r="D4586" s="23" t="str">
        <f aca="false">IF(B4586="","",IFERROR(INDEX(Brand_Log!$DV$2:$DV$201,MATCH(IFERROR(INDEX(Clay_Brands!$A$2:$FZ$601,535,Sync!$D$5)&amp;"",""),Brand_Log!$A$2:$A$201,0))&amp;"",IFERROR(INDEX(Clay_Brands!$A$2:$FZ$601,535,Sync!$D$5)&amp;"","")&amp;""))</f>
        <v/>
      </c>
      <c r="E4586" s="23" t="str">
        <f aca="false">IF(B4586="","",IFERROR(INDEX(Clay_Brands!$A$2:$FZ$601,535,Sync!$D$6)&amp;"",""))</f>
        <v/>
      </c>
      <c r="F4586" s="23" t="str">
        <f aca="false">IF(B4586="","","outreach_sent")</f>
        <v/>
      </c>
      <c r="G4586" s="23" t="str">
        <f aca="false">IF(B4586="","","")</f>
        <v/>
      </c>
      <c r="H4586" s="23" t="str">
        <f aca="false">IF(B4586="","","")</f>
        <v/>
      </c>
      <c r="I4586" s="23" t="str">
        <f aca="false">IF(B4586="","","")</f>
        <v/>
      </c>
      <c r="J4586" s="23" t="str">
        <f aca="false">IF(B4586="","","touch_2; "&amp;IFERROR(INDEX(Clay_Brands!$A$2:$FZ$601,535,Sync!$D$10)&amp;"","")&amp;"; "&amp;IFERROR(INDEX(Clay_Brands!$A$2:$FZ$601,535,Sync!$D$9)&amp;"",""))</f>
        <v/>
      </c>
      <c r="K4586" s="32" t="s">
        <v>1367</v>
      </c>
    </row>
    <row r="4587" customFormat="false" ht="15" hidden="false" customHeight="false" outlineLevel="0" collapsed="false">
      <c r="A4587" s="23" t="str">
        <f aca="false">IF(B4587="","",B4587+(16*1000+536)/10000000)</f>
        <v/>
      </c>
      <c r="B4587" s="35" t="str">
        <f aca="false">IF(AND(IFERROR(N(INDEX(Clay_Brands!$A$2:$FZ$601,536,Sync!$D$12)),0)&gt;0,IFERROR(INDEX(Clay_Brands!$A$2:$FZ$601,536,Sync!$D$5)&amp;"","")&lt;&gt;"",OR(LEFT(IFERROR(INDEX(Clay_Brands!$A$2:$FZ$601,536,Sync!$D$5)&amp;"",""),6)&lt;&gt;"SAMPLE",Config!$B$19="Y")),IFERROR(N(INDEX(Clay_Brands!$A$2:$FZ$601,536,Sync!$D$12)),0),"")</f>
        <v/>
      </c>
      <c r="C4587" s="23" t="str">
        <f aca="false">IF(B4587="","","brand")</f>
        <v/>
      </c>
      <c r="D4587" s="23" t="str">
        <f aca="false">IF(B4587="","",IFERROR(INDEX(Brand_Log!$DV$2:$DV$201,MATCH(IFERROR(INDEX(Clay_Brands!$A$2:$FZ$601,536,Sync!$D$5)&amp;"",""),Brand_Log!$A$2:$A$201,0))&amp;"",IFERROR(INDEX(Clay_Brands!$A$2:$FZ$601,536,Sync!$D$5)&amp;"","")&amp;""))</f>
        <v/>
      </c>
      <c r="E4587" s="23" t="str">
        <f aca="false">IF(B4587="","",IFERROR(INDEX(Clay_Brands!$A$2:$FZ$601,536,Sync!$D$6)&amp;"",""))</f>
        <v/>
      </c>
      <c r="F4587" s="23" t="str">
        <f aca="false">IF(B4587="","","outreach_sent")</f>
        <v/>
      </c>
      <c r="G4587" s="23" t="str">
        <f aca="false">IF(B4587="","","")</f>
        <v/>
      </c>
      <c r="H4587" s="23" t="str">
        <f aca="false">IF(B4587="","","")</f>
        <v/>
      </c>
      <c r="I4587" s="23" t="str">
        <f aca="false">IF(B4587="","","")</f>
        <v/>
      </c>
      <c r="J4587" s="23" t="str">
        <f aca="false">IF(B4587="","","touch_2; "&amp;IFERROR(INDEX(Clay_Brands!$A$2:$FZ$601,536,Sync!$D$10)&amp;"","")&amp;"; "&amp;IFERROR(INDEX(Clay_Brands!$A$2:$FZ$601,536,Sync!$D$9)&amp;"",""))</f>
        <v/>
      </c>
      <c r="K4587" s="32" t="s">
        <v>1367</v>
      </c>
    </row>
    <row r="4588" customFormat="false" ht="15" hidden="false" customHeight="false" outlineLevel="0" collapsed="false">
      <c r="A4588" s="23" t="str">
        <f aca="false">IF(B4588="","",B4588+(16*1000+537)/10000000)</f>
        <v/>
      </c>
      <c r="B4588" s="35" t="str">
        <f aca="false">IF(AND(IFERROR(N(INDEX(Clay_Brands!$A$2:$FZ$601,537,Sync!$D$12)),0)&gt;0,IFERROR(INDEX(Clay_Brands!$A$2:$FZ$601,537,Sync!$D$5)&amp;"","")&lt;&gt;"",OR(LEFT(IFERROR(INDEX(Clay_Brands!$A$2:$FZ$601,537,Sync!$D$5)&amp;"",""),6)&lt;&gt;"SAMPLE",Config!$B$19="Y")),IFERROR(N(INDEX(Clay_Brands!$A$2:$FZ$601,537,Sync!$D$12)),0),"")</f>
        <v/>
      </c>
      <c r="C4588" s="23" t="str">
        <f aca="false">IF(B4588="","","brand")</f>
        <v/>
      </c>
      <c r="D4588" s="23" t="str">
        <f aca="false">IF(B4588="","",IFERROR(INDEX(Brand_Log!$DV$2:$DV$201,MATCH(IFERROR(INDEX(Clay_Brands!$A$2:$FZ$601,537,Sync!$D$5)&amp;"",""),Brand_Log!$A$2:$A$201,0))&amp;"",IFERROR(INDEX(Clay_Brands!$A$2:$FZ$601,537,Sync!$D$5)&amp;"","")&amp;""))</f>
        <v/>
      </c>
      <c r="E4588" s="23" t="str">
        <f aca="false">IF(B4588="","",IFERROR(INDEX(Clay_Brands!$A$2:$FZ$601,537,Sync!$D$6)&amp;"",""))</f>
        <v/>
      </c>
      <c r="F4588" s="23" t="str">
        <f aca="false">IF(B4588="","","outreach_sent")</f>
        <v/>
      </c>
      <c r="G4588" s="23" t="str">
        <f aca="false">IF(B4588="","","")</f>
        <v/>
      </c>
      <c r="H4588" s="23" t="str">
        <f aca="false">IF(B4588="","","")</f>
        <v/>
      </c>
      <c r="I4588" s="23" t="str">
        <f aca="false">IF(B4588="","","")</f>
        <v/>
      </c>
      <c r="J4588" s="23" t="str">
        <f aca="false">IF(B4588="","","touch_2; "&amp;IFERROR(INDEX(Clay_Brands!$A$2:$FZ$601,537,Sync!$D$10)&amp;"","")&amp;"; "&amp;IFERROR(INDEX(Clay_Brands!$A$2:$FZ$601,537,Sync!$D$9)&amp;"",""))</f>
        <v/>
      </c>
      <c r="K4588" s="32" t="s">
        <v>1367</v>
      </c>
    </row>
    <row r="4589" customFormat="false" ht="15" hidden="false" customHeight="false" outlineLevel="0" collapsed="false">
      <c r="A4589" s="23" t="str">
        <f aca="false">IF(B4589="","",B4589+(16*1000+538)/10000000)</f>
        <v/>
      </c>
      <c r="B4589" s="35" t="str">
        <f aca="false">IF(AND(IFERROR(N(INDEX(Clay_Brands!$A$2:$FZ$601,538,Sync!$D$12)),0)&gt;0,IFERROR(INDEX(Clay_Brands!$A$2:$FZ$601,538,Sync!$D$5)&amp;"","")&lt;&gt;"",OR(LEFT(IFERROR(INDEX(Clay_Brands!$A$2:$FZ$601,538,Sync!$D$5)&amp;"",""),6)&lt;&gt;"SAMPLE",Config!$B$19="Y")),IFERROR(N(INDEX(Clay_Brands!$A$2:$FZ$601,538,Sync!$D$12)),0),"")</f>
        <v/>
      </c>
      <c r="C4589" s="23" t="str">
        <f aca="false">IF(B4589="","","brand")</f>
        <v/>
      </c>
      <c r="D4589" s="23" t="str">
        <f aca="false">IF(B4589="","",IFERROR(INDEX(Brand_Log!$DV$2:$DV$201,MATCH(IFERROR(INDEX(Clay_Brands!$A$2:$FZ$601,538,Sync!$D$5)&amp;"",""),Brand_Log!$A$2:$A$201,0))&amp;"",IFERROR(INDEX(Clay_Brands!$A$2:$FZ$601,538,Sync!$D$5)&amp;"","")&amp;""))</f>
        <v/>
      </c>
      <c r="E4589" s="23" t="str">
        <f aca="false">IF(B4589="","",IFERROR(INDEX(Clay_Brands!$A$2:$FZ$601,538,Sync!$D$6)&amp;"",""))</f>
        <v/>
      </c>
      <c r="F4589" s="23" t="str">
        <f aca="false">IF(B4589="","","outreach_sent")</f>
        <v/>
      </c>
      <c r="G4589" s="23" t="str">
        <f aca="false">IF(B4589="","","")</f>
        <v/>
      </c>
      <c r="H4589" s="23" t="str">
        <f aca="false">IF(B4589="","","")</f>
        <v/>
      </c>
      <c r="I4589" s="23" t="str">
        <f aca="false">IF(B4589="","","")</f>
        <v/>
      </c>
      <c r="J4589" s="23" t="str">
        <f aca="false">IF(B4589="","","touch_2; "&amp;IFERROR(INDEX(Clay_Brands!$A$2:$FZ$601,538,Sync!$D$10)&amp;"","")&amp;"; "&amp;IFERROR(INDEX(Clay_Brands!$A$2:$FZ$601,538,Sync!$D$9)&amp;"",""))</f>
        <v/>
      </c>
      <c r="K4589" s="32" t="s">
        <v>1367</v>
      </c>
    </row>
    <row r="4590" customFormat="false" ht="15" hidden="false" customHeight="false" outlineLevel="0" collapsed="false">
      <c r="A4590" s="23" t="str">
        <f aca="false">IF(B4590="","",B4590+(16*1000+539)/10000000)</f>
        <v/>
      </c>
      <c r="B4590" s="35" t="str">
        <f aca="false">IF(AND(IFERROR(N(INDEX(Clay_Brands!$A$2:$FZ$601,539,Sync!$D$12)),0)&gt;0,IFERROR(INDEX(Clay_Brands!$A$2:$FZ$601,539,Sync!$D$5)&amp;"","")&lt;&gt;"",OR(LEFT(IFERROR(INDEX(Clay_Brands!$A$2:$FZ$601,539,Sync!$D$5)&amp;"",""),6)&lt;&gt;"SAMPLE",Config!$B$19="Y")),IFERROR(N(INDEX(Clay_Brands!$A$2:$FZ$601,539,Sync!$D$12)),0),"")</f>
        <v/>
      </c>
      <c r="C4590" s="23" t="str">
        <f aca="false">IF(B4590="","","brand")</f>
        <v/>
      </c>
      <c r="D4590" s="23" t="str">
        <f aca="false">IF(B4590="","",IFERROR(INDEX(Brand_Log!$DV$2:$DV$201,MATCH(IFERROR(INDEX(Clay_Brands!$A$2:$FZ$601,539,Sync!$D$5)&amp;"",""),Brand_Log!$A$2:$A$201,0))&amp;"",IFERROR(INDEX(Clay_Brands!$A$2:$FZ$601,539,Sync!$D$5)&amp;"","")&amp;""))</f>
        <v/>
      </c>
      <c r="E4590" s="23" t="str">
        <f aca="false">IF(B4590="","",IFERROR(INDEX(Clay_Brands!$A$2:$FZ$601,539,Sync!$D$6)&amp;"",""))</f>
        <v/>
      </c>
      <c r="F4590" s="23" t="str">
        <f aca="false">IF(B4590="","","outreach_sent")</f>
        <v/>
      </c>
      <c r="G4590" s="23" t="str">
        <f aca="false">IF(B4590="","","")</f>
        <v/>
      </c>
      <c r="H4590" s="23" t="str">
        <f aca="false">IF(B4590="","","")</f>
        <v/>
      </c>
      <c r="I4590" s="23" t="str">
        <f aca="false">IF(B4590="","","")</f>
        <v/>
      </c>
      <c r="J4590" s="23" t="str">
        <f aca="false">IF(B4590="","","touch_2; "&amp;IFERROR(INDEX(Clay_Brands!$A$2:$FZ$601,539,Sync!$D$10)&amp;"","")&amp;"; "&amp;IFERROR(INDEX(Clay_Brands!$A$2:$FZ$601,539,Sync!$D$9)&amp;"",""))</f>
        <v/>
      </c>
      <c r="K4590" s="32" t="s">
        <v>1367</v>
      </c>
    </row>
    <row r="4591" customFormat="false" ht="15" hidden="false" customHeight="false" outlineLevel="0" collapsed="false">
      <c r="A4591" s="23" t="str">
        <f aca="false">IF(B4591="","",B4591+(16*1000+540)/10000000)</f>
        <v/>
      </c>
      <c r="B4591" s="35" t="str">
        <f aca="false">IF(AND(IFERROR(N(INDEX(Clay_Brands!$A$2:$FZ$601,540,Sync!$D$12)),0)&gt;0,IFERROR(INDEX(Clay_Brands!$A$2:$FZ$601,540,Sync!$D$5)&amp;"","")&lt;&gt;"",OR(LEFT(IFERROR(INDEX(Clay_Brands!$A$2:$FZ$601,540,Sync!$D$5)&amp;"",""),6)&lt;&gt;"SAMPLE",Config!$B$19="Y")),IFERROR(N(INDEX(Clay_Brands!$A$2:$FZ$601,540,Sync!$D$12)),0),"")</f>
        <v/>
      </c>
      <c r="C4591" s="23" t="str">
        <f aca="false">IF(B4591="","","brand")</f>
        <v/>
      </c>
      <c r="D4591" s="23" t="str">
        <f aca="false">IF(B4591="","",IFERROR(INDEX(Brand_Log!$DV$2:$DV$201,MATCH(IFERROR(INDEX(Clay_Brands!$A$2:$FZ$601,540,Sync!$D$5)&amp;"",""),Brand_Log!$A$2:$A$201,0))&amp;"",IFERROR(INDEX(Clay_Brands!$A$2:$FZ$601,540,Sync!$D$5)&amp;"","")&amp;""))</f>
        <v/>
      </c>
      <c r="E4591" s="23" t="str">
        <f aca="false">IF(B4591="","",IFERROR(INDEX(Clay_Brands!$A$2:$FZ$601,540,Sync!$D$6)&amp;"",""))</f>
        <v/>
      </c>
      <c r="F4591" s="23" t="str">
        <f aca="false">IF(B4591="","","outreach_sent")</f>
        <v/>
      </c>
      <c r="G4591" s="23" t="str">
        <f aca="false">IF(B4591="","","")</f>
        <v/>
      </c>
      <c r="H4591" s="23" t="str">
        <f aca="false">IF(B4591="","","")</f>
        <v/>
      </c>
      <c r="I4591" s="23" t="str">
        <f aca="false">IF(B4591="","","")</f>
        <v/>
      </c>
      <c r="J4591" s="23" t="str">
        <f aca="false">IF(B4591="","","touch_2; "&amp;IFERROR(INDEX(Clay_Brands!$A$2:$FZ$601,540,Sync!$D$10)&amp;"","")&amp;"; "&amp;IFERROR(INDEX(Clay_Brands!$A$2:$FZ$601,540,Sync!$D$9)&amp;"",""))</f>
        <v/>
      </c>
      <c r="K4591" s="32" t="s">
        <v>1367</v>
      </c>
    </row>
    <row r="4592" customFormat="false" ht="15" hidden="false" customHeight="false" outlineLevel="0" collapsed="false">
      <c r="A4592" s="23" t="str">
        <f aca="false">IF(B4592="","",B4592+(16*1000+541)/10000000)</f>
        <v/>
      </c>
      <c r="B4592" s="35" t="str">
        <f aca="false">IF(AND(IFERROR(N(INDEX(Clay_Brands!$A$2:$FZ$601,541,Sync!$D$12)),0)&gt;0,IFERROR(INDEX(Clay_Brands!$A$2:$FZ$601,541,Sync!$D$5)&amp;"","")&lt;&gt;"",OR(LEFT(IFERROR(INDEX(Clay_Brands!$A$2:$FZ$601,541,Sync!$D$5)&amp;"",""),6)&lt;&gt;"SAMPLE",Config!$B$19="Y")),IFERROR(N(INDEX(Clay_Brands!$A$2:$FZ$601,541,Sync!$D$12)),0),"")</f>
        <v/>
      </c>
      <c r="C4592" s="23" t="str">
        <f aca="false">IF(B4592="","","brand")</f>
        <v/>
      </c>
      <c r="D4592" s="23" t="str">
        <f aca="false">IF(B4592="","",IFERROR(INDEX(Brand_Log!$DV$2:$DV$201,MATCH(IFERROR(INDEX(Clay_Brands!$A$2:$FZ$601,541,Sync!$D$5)&amp;"",""),Brand_Log!$A$2:$A$201,0))&amp;"",IFERROR(INDEX(Clay_Brands!$A$2:$FZ$601,541,Sync!$D$5)&amp;"","")&amp;""))</f>
        <v/>
      </c>
      <c r="E4592" s="23" t="str">
        <f aca="false">IF(B4592="","",IFERROR(INDEX(Clay_Brands!$A$2:$FZ$601,541,Sync!$D$6)&amp;"",""))</f>
        <v/>
      </c>
      <c r="F4592" s="23" t="str">
        <f aca="false">IF(B4592="","","outreach_sent")</f>
        <v/>
      </c>
      <c r="G4592" s="23" t="str">
        <f aca="false">IF(B4592="","","")</f>
        <v/>
      </c>
      <c r="H4592" s="23" t="str">
        <f aca="false">IF(B4592="","","")</f>
        <v/>
      </c>
      <c r="I4592" s="23" t="str">
        <f aca="false">IF(B4592="","","")</f>
        <v/>
      </c>
      <c r="J4592" s="23" t="str">
        <f aca="false">IF(B4592="","","touch_2; "&amp;IFERROR(INDEX(Clay_Brands!$A$2:$FZ$601,541,Sync!$D$10)&amp;"","")&amp;"; "&amp;IFERROR(INDEX(Clay_Brands!$A$2:$FZ$601,541,Sync!$D$9)&amp;"",""))</f>
        <v/>
      </c>
      <c r="K4592" s="32" t="s">
        <v>1367</v>
      </c>
    </row>
    <row r="4593" customFormat="false" ht="15" hidden="false" customHeight="false" outlineLevel="0" collapsed="false">
      <c r="A4593" s="23" t="str">
        <f aca="false">IF(B4593="","",B4593+(16*1000+542)/10000000)</f>
        <v/>
      </c>
      <c r="B4593" s="35" t="str">
        <f aca="false">IF(AND(IFERROR(N(INDEX(Clay_Brands!$A$2:$FZ$601,542,Sync!$D$12)),0)&gt;0,IFERROR(INDEX(Clay_Brands!$A$2:$FZ$601,542,Sync!$D$5)&amp;"","")&lt;&gt;"",OR(LEFT(IFERROR(INDEX(Clay_Brands!$A$2:$FZ$601,542,Sync!$D$5)&amp;"",""),6)&lt;&gt;"SAMPLE",Config!$B$19="Y")),IFERROR(N(INDEX(Clay_Brands!$A$2:$FZ$601,542,Sync!$D$12)),0),"")</f>
        <v/>
      </c>
      <c r="C4593" s="23" t="str">
        <f aca="false">IF(B4593="","","brand")</f>
        <v/>
      </c>
      <c r="D4593" s="23" t="str">
        <f aca="false">IF(B4593="","",IFERROR(INDEX(Brand_Log!$DV$2:$DV$201,MATCH(IFERROR(INDEX(Clay_Brands!$A$2:$FZ$601,542,Sync!$D$5)&amp;"",""),Brand_Log!$A$2:$A$201,0))&amp;"",IFERROR(INDEX(Clay_Brands!$A$2:$FZ$601,542,Sync!$D$5)&amp;"","")&amp;""))</f>
        <v/>
      </c>
      <c r="E4593" s="23" t="str">
        <f aca="false">IF(B4593="","",IFERROR(INDEX(Clay_Brands!$A$2:$FZ$601,542,Sync!$D$6)&amp;"",""))</f>
        <v/>
      </c>
      <c r="F4593" s="23" t="str">
        <f aca="false">IF(B4593="","","outreach_sent")</f>
        <v/>
      </c>
      <c r="G4593" s="23" t="str">
        <f aca="false">IF(B4593="","","")</f>
        <v/>
      </c>
      <c r="H4593" s="23" t="str">
        <f aca="false">IF(B4593="","","")</f>
        <v/>
      </c>
      <c r="I4593" s="23" t="str">
        <f aca="false">IF(B4593="","","")</f>
        <v/>
      </c>
      <c r="J4593" s="23" t="str">
        <f aca="false">IF(B4593="","","touch_2; "&amp;IFERROR(INDEX(Clay_Brands!$A$2:$FZ$601,542,Sync!$D$10)&amp;"","")&amp;"; "&amp;IFERROR(INDEX(Clay_Brands!$A$2:$FZ$601,542,Sync!$D$9)&amp;"",""))</f>
        <v/>
      </c>
      <c r="K4593" s="32" t="s">
        <v>1367</v>
      </c>
    </row>
    <row r="4594" customFormat="false" ht="15" hidden="false" customHeight="false" outlineLevel="0" collapsed="false">
      <c r="A4594" s="23" t="str">
        <f aca="false">IF(B4594="","",B4594+(16*1000+543)/10000000)</f>
        <v/>
      </c>
      <c r="B4594" s="35" t="str">
        <f aca="false">IF(AND(IFERROR(N(INDEX(Clay_Brands!$A$2:$FZ$601,543,Sync!$D$12)),0)&gt;0,IFERROR(INDEX(Clay_Brands!$A$2:$FZ$601,543,Sync!$D$5)&amp;"","")&lt;&gt;"",OR(LEFT(IFERROR(INDEX(Clay_Brands!$A$2:$FZ$601,543,Sync!$D$5)&amp;"",""),6)&lt;&gt;"SAMPLE",Config!$B$19="Y")),IFERROR(N(INDEX(Clay_Brands!$A$2:$FZ$601,543,Sync!$D$12)),0),"")</f>
        <v/>
      </c>
      <c r="C4594" s="23" t="str">
        <f aca="false">IF(B4594="","","brand")</f>
        <v/>
      </c>
      <c r="D4594" s="23" t="str">
        <f aca="false">IF(B4594="","",IFERROR(INDEX(Brand_Log!$DV$2:$DV$201,MATCH(IFERROR(INDEX(Clay_Brands!$A$2:$FZ$601,543,Sync!$D$5)&amp;"",""),Brand_Log!$A$2:$A$201,0))&amp;"",IFERROR(INDEX(Clay_Brands!$A$2:$FZ$601,543,Sync!$D$5)&amp;"","")&amp;""))</f>
        <v/>
      </c>
      <c r="E4594" s="23" t="str">
        <f aca="false">IF(B4594="","",IFERROR(INDEX(Clay_Brands!$A$2:$FZ$601,543,Sync!$D$6)&amp;"",""))</f>
        <v/>
      </c>
      <c r="F4594" s="23" t="str">
        <f aca="false">IF(B4594="","","outreach_sent")</f>
        <v/>
      </c>
      <c r="G4594" s="23" t="str">
        <f aca="false">IF(B4594="","","")</f>
        <v/>
      </c>
      <c r="H4594" s="23" t="str">
        <f aca="false">IF(B4594="","","")</f>
        <v/>
      </c>
      <c r="I4594" s="23" t="str">
        <f aca="false">IF(B4594="","","")</f>
        <v/>
      </c>
      <c r="J4594" s="23" t="str">
        <f aca="false">IF(B4594="","","touch_2; "&amp;IFERROR(INDEX(Clay_Brands!$A$2:$FZ$601,543,Sync!$D$10)&amp;"","")&amp;"; "&amp;IFERROR(INDEX(Clay_Brands!$A$2:$FZ$601,543,Sync!$D$9)&amp;"",""))</f>
        <v/>
      </c>
      <c r="K4594" s="32" t="s">
        <v>1367</v>
      </c>
    </row>
    <row r="4595" customFormat="false" ht="15" hidden="false" customHeight="false" outlineLevel="0" collapsed="false">
      <c r="A4595" s="23" t="str">
        <f aca="false">IF(B4595="","",B4595+(16*1000+544)/10000000)</f>
        <v/>
      </c>
      <c r="B4595" s="35" t="str">
        <f aca="false">IF(AND(IFERROR(N(INDEX(Clay_Brands!$A$2:$FZ$601,544,Sync!$D$12)),0)&gt;0,IFERROR(INDEX(Clay_Brands!$A$2:$FZ$601,544,Sync!$D$5)&amp;"","")&lt;&gt;"",OR(LEFT(IFERROR(INDEX(Clay_Brands!$A$2:$FZ$601,544,Sync!$D$5)&amp;"",""),6)&lt;&gt;"SAMPLE",Config!$B$19="Y")),IFERROR(N(INDEX(Clay_Brands!$A$2:$FZ$601,544,Sync!$D$12)),0),"")</f>
        <v/>
      </c>
      <c r="C4595" s="23" t="str">
        <f aca="false">IF(B4595="","","brand")</f>
        <v/>
      </c>
      <c r="D4595" s="23" t="str">
        <f aca="false">IF(B4595="","",IFERROR(INDEX(Brand_Log!$DV$2:$DV$201,MATCH(IFERROR(INDEX(Clay_Brands!$A$2:$FZ$601,544,Sync!$D$5)&amp;"",""),Brand_Log!$A$2:$A$201,0))&amp;"",IFERROR(INDEX(Clay_Brands!$A$2:$FZ$601,544,Sync!$D$5)&amp;"","")&amp;""))</f>
        <v/>
      </c>
      <c r="E4595" s="23" t="str">
        <f aca="false">IF(B4595="","",IFERROR(INDEX(Clay_Brands!$A$2:$FZ$601,544,Sync!$D$6)&amp;"",""))</f>
        <v/>
      </c>
      <c r="F4595" s="23" t="str">
        <f aca="false">IF(B4595="","","outreach_sent")</f>
        <v/>
      </c>
      <c r="G4595" s="23" t="str">
        <f aca="false">IF(B4595="","","")</f>
        <v/>
      </c>
      <c r="H4595" s="23" t="str">
        <f aca="false">IF(B4595="","","")</f>
        <v/>
      </c>
      <c r="I4595" s="23" t="str">
        <f aca="false">IF(B4595="","","")</f>
        <v/>
      </c>
      <c r="J4595" s="23" t="str">
        <f aca="false">IF(B4595="","","touch_2; "&amp;IFERROR(INDEX(Clay_Brands!$A$2:$FZ$601,544,Sync!$D$10)&amp;"","")&amp;"; "&amp;IFERROR(INDEX(Clay_Brands!$A$2:$FZ$601,544,Sync!$D$9)&amp;"",""))</f>
        <v/>
      </c>
      <c r="K4595" s="32" t="s">
        <v>1367</v>
      </c>
    </row>
    <row r="4596" customFormat="false" ht="15" hidden="false" customHeight="false" outlineLevel="0" collapsed="false">
      <c r="A4596" s="23" t="str">
        <f aca="false">IF(B4596="","",B4596+(16*1000+545)/10000000)</f>
        <v/>
      </c>
      <c r="B4596" s="35" t="str">
        <f aca="false">IF(AND(IFERROR(N(INDEX(Clay_Brands!$A$2:$FZ$601,545,Sync!$D$12)),0)&gt;0,IFERROR(INDEX(Clay_Brands!$A$2:$FZ$601,545,Sync!$D$5)&amp;"","")&lt;&gt;"",OR(LEFT(IFERROR(INDEX(Clay_Brands!$A$2:$FZ$601,545,Sync!$D$5)&amp;"",""),6)&lt;&gt;"SAMPLE",Config!$B$19="Y")),IFERROR(N(INDEX(Clay_Brands!$A$2:$FZ$601,545,Sync!$D$12)),0),"")</f>
        <v/>
      </c>
      <c r="C4596" s="23" t="str">
        <f aca="false">IF(B4596="","","brand")</f>
        <v/>
      </c>
      <c r="D4596" s="23" t="str">
        <f aca="false">IF(B4596="","",IFERROR(INDEX(Brand_Log!$DV$2:$DV$201,MATCH(IFERROR(INDEX(Clay_Brands!$A$2:$FZ$601,545,Sync!$D$5)&amp;"",""),Brand_Log!$A$2:$A$201,0))&amp;"",IFERROR(INDEX(Clay_Brands!$A$2:$FZ$601,545,Sync!$D$5)&amp;"","")&amp;""))</f>
        <v/>
      </c>
      <c r="E4596" s="23" t="str">
        <f aca="false">IF(B4596="","",IFERROR(INDEX(Clay_Brands!$A$2:$FZ$601,545,Sync!$D$6)&amp;"",""))</f>
        <v/>
      </c>
      <c r="F4596" s="23" t="str">
        <f aca="false">IF(B4596="","","outreach_sent")</f>
        <v/>
      </c>
      <c r="G4596" s="23" t="str">
        <f aca="false">IF(B4596="","","")</f>
        <v/>
      </c>
      <c r="H4596" s="23" t="str">
        <f aca="false">IF(B4596="","","")</f>
        <v/>
      </c>
      <c r="I4596" s="23" t="str">
        <f aca="false">IF(B4596="","","")</f>
        <v/>
      </c>
      <c r="J4596" s="23" t="str">
        <f aca="false">IF(B4596="","","touch_2; "&amp;IFERROR(INDEX(Clay_Brands!$A$2:$FZ$601,545,Sync!$D$10)&amp;"","")&amp;"; "&amp;IFERROR(INDEX(Clay_Brands!$A$2:$FZ$601,545,Sync!$D$9)&amp;"",""))</f>
        <v/>
      </c>
      <c r="K4596" s="32" t="s">
        <v>1367</v>
      </c>
    </row>
    <row r="4597" customFormat="false" ht="15" hidden="false" customHeight="false" outlineLevel="0" collapsed="false">
      <c r="A4597" s="23" t="str">
        <f aca="false">IF(B4597="","",B4597+(16*1000+546)/10000000)</f>
        <v/>
      </c>
      <c r="B4597" s="35" t="str">
        <f aca="false">IF(AND(IFERROR(N(INDEX(Clay_Brands!$A$2:$FZ$601,546,Sync!$D$12)),0)&gt;0,IFERROR(INDEX(Clay_Brands!$A$2:$FZ$601,546,Sync!$D$5)&amp;"","")&lt;&gt;"",OR(LEFT(IFERROR(INDEX(Clay_Brands!$A$2:$FZ$601,546,Sync!$D$5)&amp;"",""),6)&lt;&gt;"SAMPLE",Config!$B$19="Y")),IFERROR(N(INDEX(Clay_Brands!$A$2:$FZ$601,546,Sync!$D$12)),0),"")</f>
        <v/>
      </c>
      <c r="C4597" s="23" t="str">
        <f aca="false">IF(B4597="","","brand")</f>
        <v/>
      </c>
      <c r="D4597" s="23" t="str">
        <f aca="false">IF(B4597="","",IFERROR(INDEX(Brand_Log!$DV$2:$DV$201,MATCH(IFERROR(INDEX(Clay_Brands!$A$2:$FZ$601,546,Sync!$D$5)&amp;"",""),Brand_Log!$A$2:$A$201,0))&amp;"",IFERROR(INDEX(Clay_Brands!$A$2:$FZ$601,546,Sync!$D$5)&amp;"","")&amp;""))</f>
        <v/>
      </c>
      <c r="E4597" s="23" t="str">
        <f aca="false">IF(B4597="","",IFERROR(INDEX(Clay_Brands!$A$2:$FZ$601,546,Sync!$D$6)&amp;"",""))</f>
        <v/>
      </c>
      <c r="F4597" s="23" t="str">
        <f aca="false">IF(B4597="","","outreach_sent")</f>
        <v/>
      </c>
      <c r="G4597" s="23" t="str">
        <f aca="false">IF(B4597="","","")</f>
        <v/>
      </c>
      <c r="H4597" s="23" t="str">
        <f aca="false">IF(B4597="","","")</f>
        <v/>
      </c>
      <c r="I4597" s="23" t="str">
        <f aca="false">IF(B4597="","","")</f>
        <v/>
      </c>
      <c r="J4597" s="23" t="str">
        <f aca="false">IF(B4597="","","touch_2; "&amp;IFERROR(INDEX(Clay_Brands!$A$2:$FZ$601,546,Sync!$D$10)&amp;"","")&amp;"; "&amp;IFERROR(INDEX(Clay_Brands!$A$2:$FZ$601,546,Sync!$D$9)&amp;"",""))</f>
        <v/>
      </c>
      <c r="K4597" s="32" t="s">
        <v>1367</v>
      </c>
    </row>
    <row r="4598" customFormat="false" ht="15" hidden="false" customHeight="false" outlineLevel="0" collapsed="false">
      <c r="A4598" s="23" t="str">
        <f aca="false">IF(B4598="","",B4598+(16*1000+547)/10000000)</f>
        <v/>
      </c>
      <c r="B4598" s="35" t="str">
        <f aca="false">IF(AND(IFERROR(N(INDEX(Clay_Brands!$A$2:$FZ$601,547,Sync!$D$12)),0)&gt;0,IFERROR(INDEX(Clay_Brands!$A$2:$FZ$601,547,Sync!$D$5)&amp;"","")&lt;&gt;"",OR(LEFT(IFERROR(INDEX(Clay_Brands!$A$2:$FZ$601,547,Sync!$D$5)&amp;"",""),6)&lt;&gt;"SAMPLE",Config!$B$19="Y")),IFERROR(N(INDEX(Clay_Brands!$A$2:$FZ$601,547,Sync!$D$12)),0),"")</f>
        <v/>
      </c>
      <c r="C4598" s="23" t="str">
        <f aca="false">IF(B4598="","","brand")</f>
        <v/>
      </c>
      <c r="D4598" s="23" t="str">
        <f aca="false">IF(B4598="","",IFERROR(INDEX(Brand_Log!$DV$2:$DV$201,MATCH(IFERROR(INDEX(Clay_Brands!$A$2:$FZ$601,547,Sync!$D$5)&amp;"",""),Brand_Log!$A$2:$A$201,0))&amp;"",IFERROR(INDEX(Clay_Brands!$A$2:$FZ$601,547,Sync!$D$5)&amp;"","")&amp;""))</f>
        <v/>
      </c>
      <c r="E4598" s="23" t="str">
        <f aca="false">IF(B4598="","",IFERROR(INDEX(Clay_Brands!$A$2:$FZ$601,547,Sync!$D$6)&amp;"",""))</f>
        <v/>
      </c>
      <c r="F4598" s="23" t="str">
        <f aca="false">IF(B4598="","","outreach_sent")</f>
        <v/>
      </c>
      <c r="G4598" s="23" t="str">
        <f aca="false">IF(B4598="","","")</f>
        <v/>
      </c>
      <c r="H4598" s="23" t="str">
        <f aca="false">IF(B4598="","","")</f>
        <v/>
      </c>
      <c r="I4598" s="23" t="str">
        <f aca="false">IF(B4598="","","")</f>
        <v/>
      </c>
      <c r="J4598" s="23" t="str">
        <f aca="false">IF(B4598="","","touch_2; "&amp;IFERROR(INDEX(Clay_Brands!$A$2:$FZ$601,547,Sync!$D$10)&amp;"","")&amp;"; "&amp;IFERROR(INDEX(Clay_Brands!$A$2:$FZ$601,547,Sync!$D$9)&amp;"",""))</f>
        <v/>
      </c>
      <c r="K4598" s="32" t="s">
        <v>1367</v>
      </c>
    </row>
    <row r="4599" customFormat="false" ht="15" hidden="false" customHeight="false" outlineLevel="0" collapsed="false">
      <c r="A4599" s="23" t="str">
        <f aca="false">IF(B4599="","",B4599+(16*1000+548)/10000000)</f>
        <v/>
      </c>
      <c r="B4599" s="35" t="str">
        <f aca="false">IF(AND(IFERROR(N(INDEX(Clay_Brands!$A$2:$FZ$601,548,Sync!$D$12)),0)&gt;0,IFERROR(INDEX(Clay_Brands!$A$2:$FZ$601,548,Sync!$D$5)&amp;"","")&lt;&gt;"",OR(LEFT(IFERROR(INDEX(Clay_Brands!$A$2:$FZ$601,548,Sync!$D$5)&amp;"",""),6)&lt;&gt;"SAMPLE",Config!$B$19="Y")),IFERROR(N(INDEX(Clay_Brands!$A$2:$FZ$601,548,Sync!$D$12)),0),"")</f>
        <v/>
      </c>
      <c r="C4599" s="23" t="str">
        <f aca="false">IF(B4599="","","brand")</f>
        <v/>
      </c>
      <c r="D4599" s="23" t="str">
        <f aca="false">IF(B4599="","",IFERROR(INDEX(Brand_Log!$DV$2:$DV$201,MATCH(IFERROR(INDEX(Clay_Brands!$A$2:$FZ$601,548,Sync!$D$5)&amp;"",""),Brand_Log!$A$2:$A$201,0))&amp;"",IFERROR(INDEX(Clay_Brands!$A$2:$FZ$601,548,Sync!$D$5)&amp;"","")&amp;""))</f>
        <v/>
      </c>
      <c r="E4599" s="23" t="str">
        <f aca="false">IF(B4599="","",IFERROR(INDEX(Clay_Brands!$A$2:$FZ$601,548,Sync!$D$6)&amp;"",""))</f>
        <v/>
      </c>
      <c r="F4599" s="23" t="str">
        <f aca="false">IF(B4599="","","outreach_sent")</f>
        <v/>
      </c>
      <c r="G4599" s="23" t="str">
        <f aca="false">IF(B4599="","","")</f>
        <v/>
      </c>
      <c r="H4599" s="23" t="str">
        <f aca="false">IF(B4599="","","")</f>
        <v/>
      </c>
      <c r="I4599" s="23" t="str">
        <f aca="false">IF(B4599="","","")</f>
        <v/>
      </c>
      <c r="J4599" s="23" t="str">
        <f aca="false">IF(B4599="","","touch_2; "&amp;IFERROR(INDEX(Clay_Brands!$A$2:$FZ$601,548,Sync!$D$10)&amp;"","")&amp;"; "&amp;IFERROR(INDEX(Clay_Brands!$A$2:$FZ$601,548,Sync!$D$9)&amp;"",""))</f>
        <v/>
      </c>
      <c r="K4599" s="32" t="s">
        <v>1367</v>
      </c>
    </row>
    <row r="4600" customFormat="false" ht="15" hidden="false" customHeight="false" outlineLevel="0" collapsed="false">
      <c r="A4600" s="23" t="str">
        <f aca="false">IF(B4600="","",B4600+(16*1000+549)/10000000)</f>
        <v/>
      </c>
      <c r="B4600" s="35" t="str">
        <f aca="false">IF(AND(IFERROR(N(INDEX(Clay_Brands!$A$2:$FZ$601,549,Sync!$D$12)),0)&gt;0,IFERROR(INDEX(Clay_Brands!$A$2:$FZ$601,549,Sync!$D$5)&amp;"","")&lt;&gt;"",OR(LEFT(IFERROR(INDEX(Clay_Brands!$A$2:$FZ$601,549,Sync!$D$5)&amp;"",""),6)&lt;&gt;"SAMPLE",Config!$B$19="Y")),IFERROR(N(INDEX(Clay_Brands!$A$2:$FZ$601,549,Sync!$D$12)),0),"")</f>
        <v/>
      </c>
      <c r="C4600" s="23" t="str">
        <f aca="false">IF(B4600="","","brand")</f>
        <v/>
      </c>
      <c r="D4600" s="23" t="str">
        <f aca="false">IF(B4600="","",IFERROR(INDEX(Brand_Log!$DV$2:$DV$201,MATCH(IFERROR(INDEX(Clay_Brands!$A$2:$FZ$601,549,Sync!$D$5)&amp;"",""),Brand_Log!$A$2:$A$201,0))&amp;"",IFERROR(INDEX(Clay_Brands!$A$2:$FZ$601,549,Sync!$D$5)&amp;"","")&amp;""))</f>
        <v/>
      </c>
      <c r="E4600" s="23" t="str">
        <f aca="false">IF(B4600="","",IFERROR(INDEX(Clay_Brands!$A$2:$FZ$601,549,Sync!$D$6)&amp;"",""))</f>
        <v/>
      </c>
      <c r="F4600" s="23" t="str">
        <f aca="false">IF(B4600="","","outreach_sent")</f>
        <v/>
      </c>
      <c r="G4600" s="23" t="str">
        <f aca="false">IF(B4600="","","")</f>
        <v/>
      </c>
      <c r="H4600" s="23" t="str">
        <f aca="false">IF(B4600="","","")</f>
        <v/>
      </c>
      <c r="I4600" s="23" t="str">
        <f aca="false">IF(B4600="","","")</f>
        <v/>
      </c>
      <c r="J4600" s="23" t="str">
        <f aca="false">IF(B4600="","","touch_2; "&amp;IFERROR(INDEX(Clay_Brands!$A$2:$FZ$601,549,Sync!$D$10)&amp;"","")&amp;"; "&amp;IFERROR(INDEX(Clay_Brands!$A$2:$FZ$601,549,Sync!$D$9)&amp;"",""))</f>
        <v/>
      </c>
      <c r="K4600" s="32" t="s">
        <v>1367</v>
      </c>
    </row>
    <row r="4601" customFormat="false" ht="15" hidden="false" customHeight="false" outlineLevel="0" collapsed="false">
      <c r="A4601" s="23" t="str">
        <f aca="false">IF(B4601="","",B4601+(16*1000+550)/10000000)</f>
        <v/>
      </c>
      <c r="B4601" s="35" t="str">
        <f aca="false">IF(AND(IFERROR(N(INDEX(Clay_Brands!$A$2:$FZ$601,550,Sync!$D$12)),0)&gt;0,IFERROR(INDEX(Clay_Brands!$A$2:$FZ$601,550,Sync!$D$5)&amp;"","")&lt;&gt;"",OR(LEFT(IFERROR(INDEX(Clay_Brands!$A$2:$FZ$601,550,Sync!$D$5)&amp;"",""),6)&lt;&gt;"SAMPLE",Config!$B$19="Y")),IFERROR(N(INDEX(Clay_Brands!$A$2:$FZ$601,550,Sync!$D$12)),0),"")</f>
        <v/>
      </c>
      <c r="C4601" s="23" t="str">
        <f aca="false">IF(B4601="","","brand")</f>
        <v/>
      </c>
      <c r="D4601" s="23" t="str">
        <f aca="false">IF(B4601="","",IFERROR(INDEX(Brand_Log!$DV$2:$DV$201,MATCH(IFERROR(INDEX(Clay_Brands!$A$2:$FZ$601,550,Sync!$D$5)&amp;"",""),Brand_Log!$A$2:$A$201,0))&amp;"",IFERROR(INDEX(Clay_Brands!$A$2:$FZ$601,550,Sync!$D$5)&amp;"","")&amp;""))</f>
        <v/>
      </c>
      <c r="E4601" s="23" t="str">
        <f aca="false">IF(B4601="","",IFERROR(INDEX(Clay_Brands!$A$2:$FZ$601,550,Sync!$D$6)&amp;"",""))</f>
        <v/>
      </c>
      <c r="F4601" s="23" t="str">
        <f aca="false">IF(B4601="","","outreach_sent")</f>
        <v/>
      </c>
      <c r="G4601" s="23" t="str">
        <f aca="false">IF(B4601="","","")</f>
        <v/>
      </c>
      <c r="H4601" s="23" t="str">
        <f aca="false">IF(B4601="","","")</f>
        <v/>
      </c>
      <c r="I4601" s="23" t="str">
        <f aca="false">IF(B4601="","","")</f>
        <v/>
      </c>
      <c r="J4601" s="23" t="str">
        <f aca="false">IF(B4601="","","touch_2; "&amp;IFERROR(INDEX(Clay_Brands!$A$2:$FZ$601,550,Sync!$D$10)&amp;"","")&amp;"; "&amp;IFERROR(INDEX(Clay_Brands!$A$2:$FZ$601,550,Sync!$D$9)&amp;"",""))</f>
        <v/>
      </c>
      <c r="K4601" s="32" t="s">
        <v>1367</v>
      </c>
    </row>
    <row r="4602" customFormat="false" ht="15" hidden="false" customHeight="false" outlineLevel="0" collapsed="false">
      <c r="A4602" s="23" t="str">
        <f aca="false">IF(B4602="","",B4602+(16*1000+551)/10000000)</f>
        <v/>
      </c>
      <c r="B4602" s="35" t="str">
        <f aca="false">IF(AND(IFERROR(N(INDEX(Clay_Brands!$A$2:$FZ$601,551,Sync!$D$12)),0)&gt;0,IFERROR(INDEX(Clay_Brands!$A$2:$FZ$601,551,Sync!$D$5)&amp;"","")&lt;&gt;"",OR(LEFT(IFERROR(INDEX(Clay_Brands!$A$2:$FZ$601,551,Sync!$D$5)&amp;"",""),6)&lt;&gt;"SAMPLE",Config!$B$19="Y")),IFERROR(N(INDEX(Clay_Brands!$A$2:$FZ$601,551,Sync!$D$12)),0),"")</f>
        <v/>
      </c>
      <c r="C4602" s="23" t="str">
        <f aca="false">IF(B4602="","","brand")</f>
        <v/>
      </c>
      <c r="D4602" s="23" t="str">
        <f aca="false">IF(B4602="","",IFERROR(INDEX(Brand_Log!$DV$2:$DV$201,MATCH(IFERROR(INDEX(Clay_Brands!$A$2:$FZ$601,551,Sync!$D$5)&amp;"",""),Brand_Log!$A$2:$A$201,0))&amp;"",IFERROR(INDEX(Clay_Brands!$A$2:$FZ$601,551,Sync!$D$5)&amp;"","")&amp;""))</f>
        <v/>
      </c>
      <c r="E4602" s="23" t="str">
        <f aca="false">IF(B4602="","",IFERROR(INDEX(Clay_Brands!$A$2:$FZ$601,551,Sync!$D$6)&amp;"",""))</f>
        <v/>
      </c>
      <c r="F4602" s="23" t="str">
        <f aca="false">IF(B4602="","","outreach_sent")</f>
        <v/>
      </c>
      <c r="G4602" s="23" t="str">
        <f aca="false">IF(B4602="","","")</f>
        <v/>
      </c>
      <c r="H4602" s="23" t="str">
        <f aca="false">IF(B4602="","","")</f>
        <v/>
      </c>
      <c r="I4602" s="23" t="str">
        <f aca="false">IF(B4602="","","")</f>
        <v/>
      </c>
      <c r="J4602" s="23" t="str">
        <f aca="false">IF(B4602="","","touch_2; "&amp;IFERROR(INDEX(Clay_Brands!$A$2:$FZ$601,551,Sync!$D$10)&amp;"","")&amp;"; "&amp;IFERROR(INDEX(Clay_Brands!$A$2:$FZ$601,551,Sync!$D$9)&amp;"",""))</f>
        <v/>
      </c>
      <c r="K4602" s="32" t="s">
        <v>1367</v>
      </c>
    </row>
    <row r="4603" customFormat="false" ht="15" hidden="false" customHeight="false" outlineLevel="0" collapsed="false">
      <c r="A4603" s="23" t="str">
        <f aca="false">IF(B4603="","",B4603+(16*1000+552)/10000000)</f>
        <v/>
      </c>
      <c r="B4603" s="35" t="str">
        <f aca="false">IF(AND(IFERROR(N(INDEX(Clay_Brands!$A$2:$FZ$601,552,Sync!$D$12)),0)&gt;0,IFERROR(INDEX(Clay_Brands!$A$2:$FZ$601,552,Sync!$D$5)&amp;"","")&lt;&gt;"",OR(LEFT(IFERROR(INDEX(Clay_Brands!$A$2:$FZ$601,552,Sync!$D$5)&amp;"",""),6)&lt;&gt;"SAMPLE",Config!$B$19="Y")),IFERROR(N(INDEX(Clay_Brands!$A$2:$FZ$601,552,Sync!$D$12)),0),"")</f>
        <v/>
      </c>
      <c r="C4603" s="23" t="str">
        <f aca="false">IF(B4603="","","brand")</f>
        <v/>
      </c>
      <c r="D4603" s="23" t="str">
        <f aca="false">IF(B4603="","",IFERROR(INDEX(Brand_Log!$DV$2:$DV$201,MATCH(IFERROR(INDEX(Clay_Brands!$A$2:$FZ$601,552,Sync!$D$5)&amp;"",""),Brand_Log!$A$2:$A$201,0))&amp;"",IFERROR(INDEX(Clay_Brands!$A$2:$FZ$601,552,Sync!$D$5)&amp;"","")&amp;""))</f>
        <v/>
      </c>
      <c r="E4603" s="23" t="str">
        <f aca="false">IF(B4603="","",IFERROR(INDEX(Clay_Brands!$A$2:$FZ$601,552,Sync!$D$6)&amp;"",""))</f>
        <v/>
      </c>
      <c r="F4603" s="23" t="str">
        <f aca="false">IF(B4603="","","outreach_sent")</f>
        <v/>
      </c>
      <c r="G4603" s="23" t="str">
        <f aca="false">IF(B4603="","","")</f>
        <v/>
      </c>
      <c r="H4603" s="23" t="str">
        <f aca="false">IF(B4603="","","")</f>
        <v/>
      </c>
      <c r="I4603" s="23" t="str">
        <f aca="false">IF(B4603="","","")</f>
        <v/>
      </c>
      <c r="J4603" s="23" t="str">
        <f aca="false">IF(B4603="","","touch_2; "&amp;IFERROR(INDEX(Clay_Brands!$A$2:$FZ$601,552,Sync!$D$10)&amp;"","")&amp;"; "&amp;IFERROR(INDEX(Clay_Brands!$A$2:$FZ$601,552,Sync!$D$9)&amp;"",""))</f>
        <v/>
      </c>
      <c r="K4603" s="32" t="s">
        <v>1367</v>
      </c>
    </row>
    <row r="4604" customFormat="false" ht="15" hidden="false" customHeight="false" outlineLevel="0" collapsed="false">
      <c r="A4604" s="23" t="str">
        <f aca="false">IF(B4604="","",B4604+(16*1000+553)/10000000)</f>
        <v/>
      </c>
      <c r="B4604" s="35" t="str">
        <f aca="false">IF(AND(IFERROR(N(INDEX(Clay_Brands!$A$2:$FZ$601,553,Sync!$D$12)),0)&gt;0,IFERROR(INDEX(Clay_Brands!$A$2:$FZ$601,553,Sync!$D$5)&amp;"","")&lt;&gt;"",OR(LEFT(IFERROR(INDEX(Clay_Brands!$A$2:$FZ$601,553,Sync!$D$5)&amp;"",""),6)&lt;&gt;"SAMPLE",Config!$B$19="Y")),IFERROR(N(INDEX(Clay_Brands!$A$2:$FZ$601,553,Sync!$D$12)),0),"")</f>
        <v/>
      </c>
      <c r="C4604" s="23" t="str">
        <f aca="false">IF(B4604="","","brand")</f>
        <v/>
      </c>
      <c r="D4604" s="23" t="str">
        <f aca="false">IF(B4604="","",IFERROR(INDEX(Brand_Log!$DV$2:$DV$201,MATCH(IFERROR(INDEX(Clay_Brands!$A$2:$FZ$601,553,Sync!$D$5)&amp;"",""),Brand_Log!$A$2:$A$201,0))&amp;"",IFERROR(INDEX(Clay_Brands!$A$2:$FZ$601,553,Sync!$D$5)&amp;"","")&amp;""))</f>
        <v/>
      </c>
      <c r="E4604" s="23" t="str">
        <f aca="false">IF(B4604="","",IFERROR(INDEX(Clay_Brands!$A$2:$FZ$601,553,Sync!$D$6)&amp;"",""))</f>
        <v/>
      </c>
      <c r="F4604" s="23" t="str">
        <f aca="false">IF(B4604="","","outreach_sent")</f>
        <v/>
      </c>
      <c r="G4604" s="23" t="str">
        <f aca="false">IF(B4604="","","")</f>
        <v/>
      </c>
      <c r="H4604" s="23" t="str">
        <f aca="false">IF(B4604="","","")</f>
        <v/>
      </c>
      <c r="I4604" s="23" t="str">
        <f aca="false">IF(B4604="","","")</f>
        <v/>
      </c>
      <c r="J4604" s="23" t="str">
        <f aca="false">IF(B4604="","","touch_2; "&amp;IFERROR(INDEX(Clay_Brands!$A$2:$FZ$601,553,Sync!$D$10)&amp;"","")&amp;"; "&amp;IFERROR(INDEX(Clay_Brands!$A$2:$FZ$601,553,Sync!$D$9)&amp;"",""))</f>
        <v/>
      </c>
      <c r="K4604" s="32" t="s">
        <v>1367</v>
      </c>
    </row>
    <row r="4605" customFormat="false" ht="15" hidden="false" customHeight="false" outlineLevel="0" collapsed="false">
      <c r="A4605" s="23" t="str">
        <f aca="false">IF(B4605="","",B4605+(16*1000+554)/10000000)</f>
        <v/>
      </c>
      <c r="B4605" s="35" t="str">
        <f aca="false">IF(AND(IFERROR(N(INDEX(Clay_Brands!$A$2:$FZ$601,554,Sync!$D$12)),0)&gt;0,IFERROR(INDEX(Clay_Brands!$A$2:$FZ$601,554,Sync!$D$5)&amp;"","")&lt;&gt;"",OR(LEFT(IFERROR(INDEX(Clay_Brands!$A$2:$FZ$601,554,Sync!$D$5)&amp;"",""),6)&lt;&gt;"SAMPLE",Config!$B$19="Y")),IFERROR(N(INDEX(Clay_Brands!$A$2:$FZ$601,554,Sync!$D$12)),0),"")</f>
        <v/>
      </c>
      <c r="C4605" s="23" t="str">
        <f aca="false">IF(B4605="","","brand")</f>
        <v/>
      </c>
      <c r="D4605" s="23" t="str">
        <f aca="false">IF(B4605="","",IFERROR(INDEX(Brand_Log!$DV$2:$DV$201,MATCH(IFERROR(INDEX(Clay_Brands!$A$2:$FZ$601,554,Sync!$D$5)&amp;"",""),Brand_Log!$A$2:$A$201,0))&amp;"",IFERROR(INDEX(Clay_Brands!$A$2:$FZ$601,554,Sync!$D$5)&amp;"","")&amp;""))</f>
        <v/>
      </c>
      <c r="E4605" s="23" t="str">
        <f aca="false">IF(B4605="","",IFERROR(INDEX(Clay_Brands!$A$2:$FZ$601,554,Sync!$D$6)&amp;"",""))</f>
        <v/>
      </c>
      <c r="F4605" s="23" t="str">
        <f aca="false">IF(B4605="","","outreach_sent")</f>
        <v/>
      </c>
      <c r="G4605" s="23" t="str">
        <f aca="false">IF(B4605="","","")</f>
        <v/>
      </c>
      <c r="H4605" s="23" t="str">
        <f aca="false">IF(B4605="","","")</f>
        <v/>
      </c>
      <c r="I4605" s="23" t="str">
        <f aca="false">IF(B4605="","","")</f>
        <v/>
      </c>
      <c r="J4605" s="23" t="str">
        <f aca="false">IF(B4605="","","touch_2; "&amp;IFERROR(INDEX(Clay_Brands!$A$2:$FZ$601,554,Sync!$D$10)&amp;"","")&amp;"; "&amp;IFERROR(INDEX(Clay_Brands!$A$2:$FZ$601,554,Sync!$D$9)&amp;"",""))</f>
        <v/>
      </c>
      <c r="K4605" s="32" t="s">
        <v>1367</v>
      </c>
    </row>
    <row r="4606" customFormat="false" ht="15" hidden="false" customHeight="false" outlineLevel="0" collapsed="false">
      <c r="A4606" s="23" t="str">
        <f aca="false">IF(B4606="","",B4606+(16*1000+555)/10000000)</f>
        <v/>
      </c>
      <c r="B4606" s="35" t="str">
        <f aca="false">IF(AND(IFERROR(N(INDEX(Clay_Brands!$A$2:$FZ$601,555,Sync!$D$12)),0)&gt;0,IFERROR(INDEX(Clay_Brands!$A$2:$FZ$601,555,Sync!$D$5)&amp;"","")&lt;&gt;"",OR(LEFT(IFERROR(INDEX(Clay_Brands!$A$2:$FZ$601,555,Sync!$D$5)&amp;"",""),6)&lt;&gt;"SAMPLE",Config!$B$19="Y")),IFERROR(N(INDEX(Clay_Brands!$A$2:$FZ$601,555,Sync!$D$12)),0),"")</f>
        <v/>
      </c>
      <c r="C4606" s="23" t="str">
        <f aca="false">IF(B4606="","","brand")</f>
        <v/>
      </c>
      <c r="D4606" s="23" t="str">
        <f aca="false">IF(B4606="","",IFERROR(INDEX(Brand_Log!$DV$2:$DV$201,MATCH(IFERROR(INDEX(Clay_Brands!$A$2:$FZ$601,555,Sync!$D$5)&amp;"",""),Brand_Log!$A$2:$A$201,0))&amp;"",IFERROR(INDEX(Clay_Brands!$A$2:$FZ$601,555,Sync!$D$5)&amp;"","")&amp;""))</f>
        <v/>
      </c>
      <c r="E4606" s="23" t="str">
        <f aca="false">IF(B4606="","",IFERROR(INDEX(Clay_Brands!$A$2:$FZ$601,555,Sync!$D$6)&amp;"",""))</f>
        <v/>
      </c>
      <c r="F4606" s="23" t="str">
        <f aca="false">IF(B4606="","","outreach_sent")</f>
        <v/>
      </c>
      <c r="G4606" s="23" t="str">
        <f aca="false">IF(B4606="","","")</f>
        <v/>
      </c>
      <c r="H4606" s="23" t="str">
        <f aca="false">IF(B4606="","","")</f>
        <v/>
      </c>
      <c r="I4606" s="23" t="str">
        <f aca="false">IF(B4606="","","")</f>
        <v/>
      </c>
      <c r="J4606" s="23" t="str">
        <f aca="false">IF(B4606="","","touch_2; "&amp;IFERROR(INDEX(Clay_Brands!$A$2:$FZ$601,555,Sync!$D$10)&amp;"","")&amp;"; "&amp;IFERROR(INDEX(Clay_Brands!$A$2:$FZ$601,555,Sync!$D$9)&amp;"",""))</f>
        <v/>
      </c>
      <c r="K4606" s="32" t="s">
        <v>1367</v>
      </c>
    </row>
    <row r="4607" customFormat="false" ht="15" hidden="false" customHeight="false" outlineLevel="0" collapsed="false">
      <c r="A4607" s="23" t="str">
        <f aca="false">IF(B4607="","",B4607+(16*1000+556)/10000000)</f>
        <v/>
      </c>
      <c r="B4607" s="35" t="str">
        <f aca="false">IF(AND(IFERROR(N(INDEX(Clay_Brands!$A$2:$FZ$601,556,Sync!$D$12)),0)&gt;0,IFERROR(INDEX(Clay_Brands!$A$2:$FZ$601,556,Sync!$D$5)&amp;"","")&lt;&gt;"",OR(LEFT(IFERROR(INDEX(Clay_Brands!$A$2:$FZ$601,556,Sync!$D$5)&amp;"",""),6)&lt;&gt;"SAMPLE",Config!$B$19="Y")),IFERROR(N(INDEX(Clay_Brands!$A$2:$FZ$601,556,Sync!$D$12)),0),"")</f>
        <v/>
      </c>
      <c r="C4607" s="23" t="str">
        <f aca="false">IF(B4607="","","brand")</f>
        <v/>
      </c>
      <c r="D4607" s="23" t="str">
        <f aca="false">IF(B4607="","",IFERROR(INDEX(Brand_Log!$DV$2:$DV$201,MATCH(IFERROR(INDEX(Clay_Brands!$A$2:$FZ$601,556,Sync!$D$5)&amp;"",""),Brand_Log!$A$2:$A$201,0))&amp;"",IFERROR(INDEX(Clay_Brands!$A$2:$FZ$601,556,Sync!$D$5)&amp;"","")&amp;""))</f>
        <v/>
      </c>
      <c r="E4607" s="23" t="str">
        <f aca="false">IF(B4607="","",IFERROR(INDEX(Clay_Brands!$A$2:$FZ$601,556,Sync!$D$6)&amp;"",""))</f>
        <v/>
      </c>
      <c r="F4607" s="23" t="str">
        <f aca="false">IF(B4607="","","outreach_sent")</f>
        <v/>
      </c>
      <c r="G4607" s="23" t="str">
        <f aca="false">IF(B4607="","","")</f>
        <v/>
      </c>
      <c r="H4607" s="23" t="str">
        <f aca="false">IF(B4607="","","")</f>
        <v/>
      </c>
      <c r="I4607" s="23" t="str">
        <f aca="false">IF(B4607="","","")</f>
        <v/>
      </c>
      <c r="J4607" s="23" t="str">
        <f aca="false">IF(B4607="","","touch_2; "&amp;IFERROR(INDEX(Clay_Brands!$A$2:$FZ$601,556,Sync!$D$10)&amp;"","")&amp;"; "&amp;IFERROR(INDEX(Clay_Brands!$A$2:$FZ$601,556,Sync!$D$9)&amp;"",""))</f>
        <v/>
      </c>
      <c r="K4607" s="32" t="s">
        <v>1367</v>
      </c>
    </row>
    <row r="4608" customFormat="false" ht="15" hidden="false" customHeight="false" outlineLevel="0" collapsed="false">
      <c r="A4608" s="23" t="str">
        <f aca="false">IF(B4608="","",B4608+(16*1000+557)/10000000)</f>
        <v/>
      </c>
      <c r="B4608" s="35" t="str">
        <f aca="false">IF(AND(IFERROR(N(INDEX(Clay_Brands!$A$2:$FZ$601,557,Sync!$D$12)),0)&gt;0,IFERROR(INDEX(Clay_Brands!$A$2:$FZ$601,557,Sync!$D$5)&amp;"","")&lt;&gt;"",OR(LEFT(IFERROR(INDEX(Clay_Brands!$A$2:$FZ$601,557,Sync!$D$5)&amp;"",""),6)&lt;&gt;"SAMPLE",Config!$B$19="Y")),IFERROR(N(INDEX(Clay_Brands!$A$2:$FZ$601,557,Sync!$D$12)),0),"")</f>
        <v/>
      </c>
      <c r="C4608" s="23" t="str">
        <f aca="false">IF(B4608="","","brand")</f>
        <v/>
      </c>
      <c r="D4608" s="23" t="str">
        <f aca="false">IF(B4608="","",IFERROR(INDEX(Brand_Log!$DV$2:$DV$201,MATCH(IFERROR(INDEX(Clay_Brands!$A$2:$FZ$601,557,Sync!$D$5)&amp;"",""),Brand_Log!$A$2:$A$201,0))&amp;"",IFERROR(INDEX(Clay_Brands!$A$2:$FZ$601,557,Sync!$D$5)&amp;"","")&amp;""))</f>
        <v/>
      </c>
      <c r="E4608" s="23" t="str">
        <f aca="false">IF(B4608="","",IFERROR(INDEX(Clay_Brands!$A$2:$FZ$601,557,Sync!$D$6)&amp;"",""))</f>
        <v/>
      </c>
      <c r="F4608" s="23" t="str">
        <f aca="false">IF(B4608="","","outreach_sent")</f>
        <v/>
      </c>
      <c r="G4608" s="23" t="str">
        <f aca="false">IF(B4608="","","")</f>
        <v/>
      </c>
      <c r="H4608" s="23" t="str">
        <f aca="false">IF(B4608="","","")</f>
        <v/>
      </c>
      <c r="I4608" s="23" t="str">
        <f aca="false">IF(B4608="","","")</f>
        <v/>
      </c>
      <c r="J4608" s="23" t="str">
        <f aca="false">IF(B4608="","","touch_2; "&amp;IFERROR(INDEX(Clay_Brands!$A$2:$FZ$601,557,Sync!$D$10)&amp;"","")&amp;"; "&amp;IFERROR(INDEX(Clay_Brands!$A$2:$FZ$601,557,Sync!$D$9)&amp;"",""))</f>
        <v/>
      </c>
      <c r="K4608" s="32" t="s">
        <v>1367</v>
      </c>
    </row>
    <row r="4609" customFormat="false" ht="15" hidden="false" customHeight="false" outlineLevel="0" collapsed="false">
      <c r="A4609" s="23" t="str">
        <f aca="false">IF(B4609="","",B4609+(16*1000+558)/10000000)</f>
        <v/>
      </c>
      <c r="B4609" s="35" t="str">
        <f aca="false">IF(AND(IFERROR(N(INDEX(Clay_Brands!$A$2:$FZ$601,558,Sync!$D$12)),0)&gt;0,IFERROR(INDEX(Clay_Brands!$A$2:$FZ$601,558,Sync!$D$5)&amp;"","")&lt;&gt;"",OR(LEFT(IFERROR(INDEX(Clay_Brands!$A$2:$FZ$601,558,Sync!$D$5)&amp;"",""),6)&lt;&gt;"SAMPLE",Config!$B$19="Y")),IFERROR(N(INDEX(Clay_Brands!$A$2:$FZ$601,558,Sync!$D$12)),0),"")</f>
        <v/>
      </c>
      <c r="C4609" s="23" t="str">
        <f aca="false">IF(B4609="","","brand")</f>
        <v/>
      </c>
      <c r="D4609" s="23" t="str">
        <f aca="false">IF(B4609="","",IFERROR(INDEX(Brand_Log!$DV$2:$DV$201,MATCH(IFERROR(INDEX(Clay_Brands!$A$2:$FZ$601,558,Sync!$D$5)&amp;"",""),Brand_Log!$A$2:$A$201,0))&amp;"",IFERROR(INDEX(Clay_Brands!$A$2:$FZ$601,558,Sync!$D$5)&amp;"","")&amp;""))</f>
        <v/>
      </c>
      <c r="E4609" s="23" t="str">
        <f aca="false">IF(B4609="","",IFERROR(INDEX(Clay_Brands!$A$2:$FZ$601,558,Sync!$D$6)&amp;"",""))</f>
        <v/>
      </c>
      <c r="F4609" s="23" t="str">
        <f aca="false">IF(B4609="","","outreach_sent")</f>
        <v/>
      </c>
      <c r="G4609" s="23" t="str">
        <f aca="false">IF(B4609="","","")</f>
        <v/>
      </c>
      <c r="H4609" s="23" t="str">
        <f aca="false">IF(B4609="","","")</f>
        <v/>
      </c>
      <c r="I4609" s="23" t="str">
        <f aca="false">IF(B4609="","","")</f>
        <v/>
      </c>
      <c r="J4609" s="23" t="str">
        <f aca="false">IF(B4609="","","touch_2; "&amp;IFERROR(INDEX(Clay_Brands!$A$2:$FZ$601,558,Sync!$D$10)&amp;"","")&amp;"; "&amp;IFERROR(INDEX(Clay_Brands!$A$2:$FZ$601,558,Sync!$D$9)&amp;"",""))</f>
        <v/>
      </c>
      <c r="K4609" s="32" t="s">
        <v>1367</v>
      </c>
    </row>
    <row r="4610" customFormat="false" ht="15" hidden="false" customHeight="false" outlineLevel="0" collapsed="false">
      <c r="A4610" s="23" t="str">
        <f aca="false">IF(B4610="","",B4610+(16*1000+559)/10000000)</f>
        <v/>
      </c>
      <c r="B4610" s="35" t="str">
        <f aca="false">IF(AND(IFERROR(N(INDEX(Clay_Brands!$A$2:$FZ$601,559,Sync!$D$12)),0)&gt;0,IFERROR(INDEX(Clay_Brands!$A$2:$FZ$601,559,Sync!$D$5)&amp;"","")&lt;&gt;"",OR(LEFT(IFERROR(INDEX(Clay_Brands!$A$2:$FZ$601,559,Sync!$D$5)&amp;"",""),6)&lt;&gt;"SAMPLE",Config!$B$19="Y")),IFERROR(N(INDEX(Clay_Brands!$A$2:$FZ$601,559,Sync!$D$12)),0),"")</f>
        <v/>
      </c>
      <c r="C4610" s="23" t="str">
        <f aca="false">IF(B4610="","","brand")</f>
        <v/>
      </c>
      <c r="D4610" s="23" t="str">
        <f aca="false">IF(B4610="","",IFERROR(INDEX(Brand_Log!$DV$2:$DV$201,MATCH(IFERROR(INDEX(Clay_Brands!$A$2:$FZ$601,559,Sync!$D$5)&amp;"",""),Brand_Log!$A$2:$A$201,0))&amp;"",IFERROR(INDEX(Clay_Brands!$A$2:$FZ$601,559,Sync!$D$5)&amp;"","")&amp;""))</f>
        <v/>
      </c>
      <c r="E4610" s="23" t="str">
        <f aca="false">IF(B4610="","",IFERROR(INDEX(Clay_Brands!$A$2:$FZ$601,559,Sync!$D$6)&amp;"",""))</f>
        <v/>
      </c>
      <c r="F4610" s="23" t="str">
        <f aca="false">IF(B4610="","","outreach_sent")</f>
        <v/>
      </c>
      <c r="G4610" s="23" t="str">
        <f aca="false">IF(B4610="","","")</f>
        <v/>
      </c>
      <c r="H4610" s="23" t="str">
        <f aca="false">IF(B4610="","","")</f>
        <v/>
      </c>
      <c r="I4610" s="23" t="str">
        <f aca="false">IF(B4610="","","")</f>
        <v/>
      </c>
      <c r="J4610" s="23" t="str">
        <f aca="false">IF(B4610="","","touch_2; "&amp;IFERROR(INDEX(Clay_Brands!$A$2:$FZ$601,559,Sync!$D$10)&amp;"","")&amp;"; "&amp;IFERROR(INDEX(Clay_Brands!$A$2:$FZ$601,559,Sync!$D$9)&amp;"",""))</f>
        <v/>
      </c>
      <c r="K4610" s="32" t="s">
        <v>1367</v>
      </c>
    </row>
    <row r="4611" customFormat="false" ht="15" hidden="false" customHeight="false" outlineLevel="0" collapsed="false">
      <c r="A4611" s="23" t="str">
        <f aca="false">IF(B4611="","",B4611+(16*1000+560)/10000000)</f>
        <v/>
      </c>
      <c r="B4611" s="35" t="str">
        <f aca="false">IF(AND(IFERROR(N(INDEX(Clay_Brands!$A$2:$FZ$601,560,Sync!$D$12)),0)&gt;0,IFERROR(INDEX(Clay_Brands!$A$2:$FZ$601,560,Sync!$D$5)&amp;"","")&lt;&gt;"",OR(LEFT(IFERROR(INDEX(Clay_Brands!$A$2:$FZ$601,560,Sync!$D$5)&amp;"",""),6)&lt;&gt;"SAMPLE",Config!$B$19="Y")),IFERROR(N(INDEX(Clay_Brands!$A$2:$FZ$601,560,Sync!$D$12)),0),"")</f>
        <v/>
      </c>
      <c r="C4611" s="23" t="str">
        <f aca="false">IF(B4611="","","brand")</f>
        <v/>
      </c>
      <c r="D4611" s="23" t="str">
        <f aca="false">IF(B4611="","",IFERROR(INDEX(Brand_Log!$DV$2:$DV$201,MATCH(IFERROR(INDEX(Clay_Brands!$A$2:$FZ$601,560,Sync!$D$5)&amp;"",""),Brand_Log!$A$2:$A$201,0))&amp;"",IFERROR(INDEX(Clay_Brands!$A$2:$FZ$601,560,Sync!$D$5)&amp;"","")&amp;""))</f>
        <v/>
      </c>
      <c r="E4611" s="23" t="str">
        <f aca="false">IF(B4611="","",IFERROR(INDEX(Clay_Brands!$A$2:$FZ$601,560,Sync!$D$6)&amp;"",""))</f>
        <v/>
      </c>
      <c r="F4611" s="23" t="str">
        <f aca="false">IF(B4611="","","outreach_sent")</f>
        <v/>
      </c>
      <c r="G4611" s="23" t="str">
        <f aca="false">IF(B4611="","","")</f>
        <v/>
      </c>
      <c r="H4611" s="23" t="str">
        <f aca="false">IF(B4611="","","")</f>
        <v/>
      </c>
      <c r="I4611" s="23" t="str">
        <f aca="false">IF(B4611="","","")</f>
        <v/>
      </c>
      <c r="J4611" s="23" t="str">
        <f aca="false">IF(B4611="","","touch_2; "&amp;IFERROR(INDEX(Clay_Brands!$A$2:$FZ$601,560,Sync!$D$10)&amp;"","")&amp;"; "&amp;IFERROR(INDEX(Clay_Brands!$A$2:$FZ$601,560,Sync!$D$9)&amp;"",""))</f>
        <v/>
      </c>
      <c r="K4611" s="32" t="s">
        <v>1367</v>
      </c>
    </row>
    <row r="4612" customFormat="false" ht="15" hidden="false" customHeight="false" outlineLevel="0" collapsed="false">
      <c r="A4612" s="23" t="str">
        <f aca="false">IF(B4612="","",B4612+(16*1000+561)/10000000)</f>
        <v/>
      </c>
      <c r="B4612" s="35" t="str">
        <f aca="false">IF(AND(IFERROR(N(INDEX(Clay_Brands!$A$2:$FZ$601,561,Sync!$D$12)),0)&gt;0,IFERROR(INDEX(Clay_Brands!$A$2:$FZ$601,561,Sync!$D$5)&amp;"","")&lt;&gt;"",OR(LEFT(IFERROR(INDEX(Clay_Brands!$A$2:$FZ$601,561,Sync!$D$5)&amp;"",""),6)&lt;&gt;"SAMPLE",Config!$B$19="Y")),IFERROR(N(INDEX(Clay_Brands!$A$2:$FZ$601,561,Sync!$D$12)),0),"")</f>
        <v/>
      </c>
      <c r="C4612" s="23" t="str">
        <f aca="false">IF(B4612="","","brand")</f>
        <v/>
      </c>
      <c r="D4612" s="23" t="str">
        <f aca="false">IF(B4612="","",IFERROR(INDEX(Brand_Log!$DV$2:$DV$201,MATCH(IFERROR(INDEX(Clay_Brands!$A$2:$FZ$601,561,Sync!$D$5)&amp;"",""),Brand_Log!$A$2:$A$201,0))&amp;"",IFERROR(INDEX(Clay_Brands!$A$2:$FZ$601,561,Sync!$D$5)&amp;"","")&amp;""))</f>
        <v/>
      </c>
      <c r="E4612" s="23" t="str">
        <f aca="false">IF(B4612="","",IFERROR(INDEX(Clay_Brands!$A$2:$FZ$601,561,Sync!$D$6)&amp;"",""))</f>
        <v/>
      </c>
      <c r="F4612" s="23" t="str">
        <f aca="false">IF(B4612="","","outreach_sent")</f>
        <v/>
      </c>
      <c r="G4612" s="23" t="str">
        <f aca="false">IF(B4612="","","")</f>
        <v/>
      </c>
      <c r="H4612" s="23" t="str">
        <f aca="false">IF(B4612="","","")</f>
        <v/>
      </c>
      <c r="I4612" s="23" t="str">
        <f aca="false">IF(B4612="","","")</f>
        <v/>
      </c>
      <c r="J4612" s="23" t="str">
        <f aca="false">IF(B4612="","","touch_2; "&amp;IFERROR(INDEX(Clay_Brands!$A$2:$FZ$601,561,Sync!$D$10)&amp;"","")&amp;"; "&amp;IFERROR(INDEX(Clay_Brands!$A$2:$FZ$601,561,Sync!$D$9)&amp;"",""))</f>
        <v/>
      </c>
      <c r="K4612" s="32" t="s">
        <v>1367</v>
      </c>
    </row>
    <row r="4613" customFormat="false" ht="15" hidden="false" customHeight="false" outlineLevel="0" collapsed="false">
      <c r="A4613" s="23" t="str">
        <f aca="false">IF(B4613="","",B4613+(16*1000+562)/10000000)</f>
        <v/>
      </c>
      <c r="B4613" s="35" t="str">
        <f aca="false">IF(AND(IFERROR(N(INDEX(Clay_Brands!$A$2:$FZ$601,562,Sync!$D$12)),0)&gt;0,IFERROR(INDEX(Clay_Brands!$A$2:$FZ$601,562,Sync!$D$5)&amp;"","")&lt;&gt;"",OR(LEFT(IFERROR(INDEX(Clay_Brands!$A$2:$FZ$601,562,Sync!$D$5)&amp;"",""),6)&lt;&gt;"SAMPLE",Config!$B$19="Y")),IFERROR(N(INDEX(Clay_Brands!$A$2:$FZ$601,562,Sync!$D$12)),0),"")</f>
        <v/>
      </c>
      <c r="C4613" s="23" t="str">
        <f aca="false">IF(B4613="","","brand")</f>
        <v/>
      </c>
      <c r="D4613" s="23" t="str">
        <f aca="false">IF(B4613="","",IFERROR(INDEX(Brand_Log!$DV$2:$DV$201,MATCH(IFERROR(INDEX(Clay_Brands!$A$2:$FZ$601,562,Sync!$D$5)&amp;"",""),Brand_Log!$A$2:$A$201,0))&amp;"",IFERROR(INDEX(Clay_Brands!$A$2:$FZ$601,562,Sync!$D$5)&amp;"","")&amp;""))</f>
        <v/>
      </c>
      <c r="E4613" s="23" t="str">
        <f aca="false">IF(B4613="","",IFERROR(INDEX(Clay_Brands!$A$2:$FZ$601,562,Sync!$D$6)&amp;"",""))</f>
        <v/>
      </c>
      <c r="F4613" s="23" t="str">
        <f aca="false">IF(B4613="","","outreach_sent")</f>
        <v/>
      </c>
      <c r="G4613" s="23" t="str">
        <f aca="false">IF(B4613="","","")</f>
        <v/>
      </c>
      <c r="H4613" s="23" t="str">
        <f aca="false">IF(B4613="","","")</f>
        <v/>
      </c>
      <c r="I4613" s="23" t="str">
        <f aca="false">IF(B4613="","","")</f>
        <v/>
      </c>
      <c r="J4613" s="23" t="str">
        <f aca="false">IF(B4613="","","touch_2; "&amp;IFERROR(INDEX(Clay_Brands!$A$2:$FZ$601,562,Sync!$D$10)&amp;"","")&amp;"; "&amp;IFERROR(INDEX(Clay_Brands!$A$2:$FZ$601,562,Sync!$D$9)&amp;"",""))</f>
        <v/>
      </c>
      <c r="K4613" s="32" t="s">
        <v>1367</v>
      </c>
    </row>
    <row r="4614" customFormat="false" ht="15" hidden="false" customHeight="false" outlineLevel="0" collapsed="false">
      <c r="A4614" s="23" t="str">
        <f aca="false">IF(B4614="","",B4614+(16*1000+563)/10000000)</f>
        <v/>
      </c>
      <c r="B4614" s="35" t="str">
        <f aca="false">IF(AND(IFERROR(N(INDEX(Clay_Brands!$A$2:$FZ$601,563,Sync!$D$12)),0)&gt;0,IFERROR(INDEX(Clay_Brands!$A$2:$FZ$601,563,Sync!$D$5)&amp;"","")&lt;&gt;"",OR(LEFT(IFERROR(INDEX(Clay_Brands!$A$2:$FZ$601,563,Sync!$D$5)&amp;"",""),6)&lt;&gt;"SAMPLE",Config!$B$19="Y")),IFERROR(N(INDEX(Clay_Brands!$A$2:$FZ$601,563,Sync!$D$12)),0),"")</f>
        <v/>
      </c>
      <c r="C4614" s="23" t="str">
        <f aca="false">IF(B4614="","","brand")</f>
        <v/>
      </c>
      <c r="D4614" s="23" t="str">
        <f aca="false">IF(B4614="","",IFERROR(INDEX(Brand_Log!$DV$2:$DV$201,MATCH(IFERROR(INDEX(Clay_Brands!$A$2:$FZ$601,563,Sync!$D$5)&amp;"",""),Brand_Log!$A$2:$A$201,0))&amp;"",IFERROR(INDEX(Clay_Brands!$A$2:$FZ$601,563,Sync!$D$5)&amp;"","")&amp;""))</f>
        <v/>
      </c>
      <c r="E4614" s="23" t="str">
        <f aca="false">IF(B4614="","",IFERROR(INDEX(Clay_Brands!$A$2:$FZ$601,563,Sync!$D$6)&amp;"",""))</f>
        <v/>
      </c>
      <c r="F4614" s="23" t="str">
        <f aca="false">IF(B4614="","","outreach_sent")</f>
        <v/>
      </c>
      <c r="G4614" s="23" t="str">
        <f aca="false">IF(B4614="","","")</f>
        <v/>
      </c>
      <c r="H4614" s="23" t="str">
        <f aca="false">IF(B4614="","","")</f>
        <v/>
      </c>
      <c r="I4614" s="23" t="str">
        <f aca="false">IF(B4614="","","")</f>
        <v/>
      </c>
      <c r="J4614" s="23" t="str">
        <f aca="false">IF(B4614="","","touch_2; "&amp;IFERROR(INDEX(Clay_Brands!$A$2:$FZ$601,563,Sync!$D$10)&amp;"","")&amp;"; "&amp;IFERROR(INDEX(Clay_Brands!$A$2:$FZ$601,563,Sync!$D$9)&amp;"",""))</f>
        <v/>
      </c>
      <c r="K4614" s="32" t="s">
        <v>1367</v>
      </c>
    </row>
    <row r="4615" customFormat="false" ht="15" hidden="false" customHeight="false" outlineLevel="0" collapsed="false">
      <c r="A4615" s="23" t="str">
        <f aca="false">IF(B4615="","",B4615+(16*1000+564)/10000000)</f>
        <v/>
      </c>
      <c r="B4615" s="35" t="str">
        <f aca="false">IF(AND(IFERROR(N(INDEX(Clay_Brands!$A$2:$FZ$601,564,Sync!$D$12)),0)&gt;0,IFERROR(INDEX(Clay_Brands!$A$2:$FZ$601,564,Sync!$D$5)&amp;"","")&lt;&gt;"",OR(LEFT(IFERROR(INDEX(Clay_Brands!$A$2:$FZ$601,564,Sync!$D$5)&amp;"",""),6)&lt;&gt;"SAMPLE",Config!$B$19="Y")),IFERROR(N(INDEX(Clay_Brands!$A$2:$FZ$601,564,Sync!$D$12)),0),"")</f>
        <v/>
      </c>
      <c r="C4615" s="23" t="str">
        <f aca="false">IF(B4615="","","brand")</f>
        <v/>
      </c>
      <c r="D4615" s="23" t="str">
        <f aca="false">IF(B4615="","",IFERROR(INDEX(Brand_Log!$DV$2:$DV$201,MATCH(IFERROR(INDEX(Clay_Brands!$A$2:$FZ$601,564,Sync!$D$5)&amp;"",""),Brand_Log!$A$2:$A$201,0))&amp;"",IFERROR(INDEX(Clay_Brands!$A$2:$FZ$601,564,Sync!$D$5)&amp;"","")&amp;""))</f>
        <v/>
      </c>
      <c r="E4615" s="23" t="str">
        <f aca="false">IF(B4615="","",IFERROR(INDEX(Clay_Brands!$A$2:$FZ$601,564,Sync!$D$6)&amp;"",""))</f>
        <v/>
      </c>
      <c r="F4615" s="23" t="str">
        <f aca="false">IF(B4615="","","outreach_sent")</f>
        <v/>
      </c>
      <c r="G4615" s="23" t="str">
        <f aca="false">IF(B4615="","","")</f>
        <v/>
      </c>
      <c r="H4615" s="23" t="str">
        <f aca="false">IF(B4615="","","")</f>
        <v/>
      </c>
      <c r="I4615" s="23" t="str">
        <f aca="false">IF(B4615="","","")</f>
        <v/>
      </c>
      <c r="J4615" s="23" t="str">
        <f aca="false">IF(B4615="","","touch_2; "&amp;IFERROR(INDEX(Clay_Brands!$A$2:$FZ$601,564,Sync!$D$10)&amp;"","")&amp;"; "&amp;IFERROR(INDEX(Clay_Brands!$A$2:$FZ$601,564,Sync!$D$9)&amp;"",""))</f>
        <v/>
      </c>
      <c r="K4615" s="32" t="s">
        <v>1367</v>
      </c>
    </row>
    <row r="4616" customFormat="false" ht="15" hidden="false" customHeight="false" outlineLevel="0" collapsed="false">
      <c r="A4616" s="23" t="str">
        <f aca="false">IF(B4616="","",B4616+(16*1000+565)/10000000)</f>
        <v/>
      </c>
      <c r="B4616" s="35" t="str">
        <f aca="false">IF(AND(IFERROR(N(INDEX(Clay_Brands!$A$2:$FZ$601,565,Sync!$D$12)),0)&gt;0,IFERROR(INDEX(Clay_Brands!$A$2:$FZ$601,565,Sync!$D$5)&amp;"","")&lt;&gt;"",OR(LEFT(IFERROR(INDEX(Clay_Brands!$A$2:$FZ$601,565,Sync!$D$5)&amp;"",""),6)&lt;&gt;"SAMPLE",Config!$B$19="Y")),IFERROR(N(INDEX(Clay_Brands!$A$2:$FZ$601,565,Sync!$D$12)),0),"")</f>
        <v/>
      </c>
      <c r="C4616" s="23" t="str">
        <f aca="false">IF(B4616="","","brand")</f>
        <v/>
      </c>
      <c r="D4616" s="23" t="str">
        <f aca="false">IF(B4616="","",IFERROR(INDEX(Brand_Log!$DV$2:$DV$201,MATCH(IFERROR(INDEX(Clay_Brands!$A$2:$FZ$601,565,Sync!$D$5)&amp;"",""),Brand_Log!$A$2:$A$201,0))&amp;"",IFERROR(INDEX(Clay_Brands!$A$2:$FZ$601,565,Sync!$D$5)&amp;"","")&amp;""))</f>
        <v/>
      </c>
      <c r="E4616" s="23" t="str">
        <f aca="false">IF(B4616="","",IFERROR(INDEX(Clay_Brands!$A$2:$FZ$601,565,Sync!$D$6)&amp;"",""))</f>
        <v/>
      </c>
      <c r="F4616" s="23" t="str">
        <f aca="false">IF(B4616="","","outreach_sent")</f>
        <v/>
      </c>
      <c r="G4616" s="23" t="str">
        <f aca="false">IF(B4616="","","")</f>
        <v/>
      </c>
      <c r="H4616" s="23" t="str">
        <f aca="false">IF(B4616="","","")</f>
        <v/>
      </c>
      <c r="I4616" s="23" t="str">
        <f aca="false">IF(B4616="","","")</f>
        <v/>
      </c>
      <c r="J4616" s="23" t="str">
        <f aca="false">IF(B4616="","","touch_2; "&amp;IFERROR(INDEX(Clay_Brands!$A$2:$FZ$601,565,Sync!$D$10)&amp;"","")&amp;"; "&amp;IFERROR(INDEX(Clay_Brands!$A$2:$FZ$601,565,Sync!$D$9)&amp;"",""))</f>
        <v/>
      </c>
      <c r="K4616" s="32" t="s">
        <v>1367</v>
      </c>
    </row>
    <row r="4617" customFormat="false" ht="15" hidden="false" customHeight="false" outlineLevel="0" collapsed="false">
      <c r="A4617" s="23" t="str">
        <f aca="false">IF(B4617="","",B4617+(16*1000+566)/10000000)</f>
        <v/>
      </c>
      <c r="B4617" s="35" t="str">
        <f aca="false">IF(AND(IFERROR(N(INDEX(Clay_Brands!$A$2:$FZ$601,566,Sync!$D$12)),0)&gt;0,IFERROR(INDEX(Clay_Brands!$A$2:$FZ$601,566,Sync!$D$5)&amp;"","")&lt;&gt;"",OR(LEFT(IFERROR(INDEX(Clay_Brands!$A$2:$FZ$601,566,Sync!$D$5)&amp;"",""),6)&lt;&gt;"SAMPLE",Config!$B$19="Y")),IFERROR(N(INDEX(Clay_Brands!$A$2:$FZ$601,566,Sync!$D$12)),0),"")</f>
        <v/>
      </c>
      <c r="C4617" s="23" t="str">
        <f aca="false">IF(B4617="","","brand")</f>
        <v/>
      </c>
      <c r="D4617" s="23" t="str">
        <f aca="false">IF(B4617="","",IFERROR(INDEX(Brand_Log!$DV$2:$DV$201,MATCH(IFERROR(INDEX(Clay_Brands!$A$2:$FZ$601,566,Sync!$D$5)&amp;"",""),Brand_Log!$A$2:$A$201,0))&amp;"",IFERROR(INDEX(Clay_Brands!$A$2:$FZ$601,566,Sync!$D$5)&amp;"","")&amp;""))</f>
        <v/>
      </c>
      <c r="E4617" s="23" t="str">
        <f aca="false">IF(B4617="","",IFERROR(INDEX(Clay_Brands!$A$2:$FZ$601,566,Sync!$D$6)&amp;"",""))</f>
        <v/>
      </c>
      <c r="F4617" s="23" t="str">
        <f aca="false">IF(B4617="","","outreach_sent")</f>
        <v/>
      </c>
      <c r="G4617" s="23" t="str">
        <f aca="false">IF(B4617="","","")</f>
        <v/>
      </c>
      <c r="H4617" s="23" t="str">
        <f aca="false">IF(B4617="","","")</f>
        <v/>
      </c>
      <c r="I4617" s="23" t="str">
        <f aca="false">IF(B4617="","","")</f>
        <v/>
      </c>
      <c r="J4617" s="23" t="str">
        <f aca="false">IF(B4617="","","touch_2; "&amp;IFERROR(INDEX(Clay_Brands!$A$2:$FZ$601,566,Sync!$D$10)&amp;"","")&amp;"; "&amp;IFERROR(INDEX(Clay_Brands!$A$2:$FZ$601,566,Sync!$D$9)&amp;"",""))</f>
        <v/>
      </c>
      <c r="K4617" s="32" t="s">
        <v>1367</v>
      </c>
    </row>
    <row r="4618" customFormat="false" ht="15" hidden="false" customHeight="false" outlineLevel="0" collapsed="false">
      <c r="A4618" s="23" t="str">
        <f aca="false">IF(B4618="","",B4618+(16*1000+567)/10000000)</f>
        <v/>
      </c>
      <c r="B4618" s="35" t="str">
        <f aca="false">IF(AND(IFERROR(N(INDEX(Clay_Brands!$A$2:$FZ$601,567,Sync!$D$12)),0)&gt;0,IFERROR(INDEX(Clay_Brands!$A$2:$FZ$601,567,Sync!$D$5)&amp;"","")&lt;&gt;"",OR(LEFT(IFERROR(INDEX(Clay_Brands!$A$2:$FZ$601,567,Sync!$D$5)&amp;"",""),6)&lt;&gt;"SAMPLE",Config!$B$19="Y")),IFERROR(N(INDEX(Clay_Brands!$A$2:$FZ$601,567,Sync!$D$12)),0),"")</f>
        <v/>
      </c>
      <c r="C4618" s="23" t="str">
        <f aca="false">IF(B4618="","","brand")</f>
        <v/>
      </c>
      <c r="D4618" s="23" t="str">
        <f aca="false">IF(B4618="","",IFERROR(INDEX(Brand_Log!$DV$2:$DV$201,MATCH(IFERROR(INDEX(Clay_Brands!$A$2:$FZ$601,567,Sync!$D$5)&amp;"",""),Brand_Log!$A$2:$A$201,0))&amp;"",IFERROR(INDEX(Clay_Brands!$A$2:$FZ$601,567,Sync!$D$5)&amp;"","")&amp;""))</f>
        <v/>
      </c>
      <c r="E4618" s="23" t="str">
        <f aca="false">IF(B4618="","",IFERROR(INDEX(Clay_Brands!$A$2:$FZ$601,567,Sync!$D$6)&amp;"",""))</f>
        <v/>
      </c>
      <c r="F4618" s="23" t="str">
        <f aca="false">IF(B4618="","","outreach_sent")</f>
        <v/>
      </c>
      <c r="G4618" s="23" t="str">
        <f aca="false">IF(B4618="","","")</f>
        <v/>
      </c>
      <c r="H4618" s="23" t="str">
        <f aca="false">IF(B4618="","","")</f>
        <v/>
      </c>
      <c r="I4618" s="23" t="str">
        <f aca="false">IF(B4618="","","")</f>
        <v/>
      </c>
      <c r="J4618" s="23" t="str">
        <f aca="false">IF(B4618="","","touch_2; "&amp;IFERROR(INDEX(Clay_Brands!$A$2:$FZ$601,567,Sync!$D$10)&amp;"","")&amp;"; "&amp;IFERROR(INDEX(Clay_Brands!$A$2:$FZ$601,567,Sync!$D$9)&amp;"",""))</f>
        <v/>
      </c>
      <c r="K4618" s="32" t="s">
        <v>1367</v>
      </c>
    </row>
    <row r="4619" customFormat="false" ht="15" hidden="false" customHeight="false" outlineLevel="0" collapsed="false">
      <c r="A4619" s="23" t="str">
        <f aca="false">IF(B4619="","",B4619+(16*1000+568)/10000000)</f>
        <v/>
      </c>
      <c r="B4619" s="35" t="str">
        <f aca="false">IF(AND(IFERROR(N(INDEX(Clay_Brands!$A$2:$FZ$601,568,Sync!$D$12)),0)&gt;0,IFERROR(INDEX(Clay_Brands!$A$2:$FZ$601,568,Sync!$D$5)&amp;"","")&lt;&gt;"",OR(LEFT(IFERROR(INDEX(Clay_Brands!$A$2:$FZ$601,568,Sync!$D$5)&amp;"",""),6)&lt;&gt;"SAMPLE",Config!$B$19="Y")),IFERROR(N(INDEX(Clay_Brands!$A$2:$FZ$601,568,Sync!$D$12)),0),"")</f>
        <v/>
      </c>
      <c r="C4619" s="23" t="str">
        <f aca="false">IF(B4619="","","brand")</f>
        <v/>
      </c>
      <c r="D4619" s="23" t="str">
        <f aca="false">IF(B4619="","",IFERROR(INDEX(Brand_Log!$DV$2:$DV$201,MATCH(IFERROR(INDEX(Clay_Brands!$A$2:$FZ$601,568,Sync!$D$5)&amp;"",""),Brand_Log!$A$2:$A$201,0))&amp;"",IFERROR(INDEX(Clay_Brands!$A$2:$FZ$601,568,Sync!$D$5)&amp;"","")&amp;""))</f>
        <v/>
      </c>
      <c r="E4619" s="23" t="str">
        <f aca="false">IF(B4619="","",IFERROR(INDEX(Clay_Brands!$A$2:$FZ$601,568,Sync!$D$6)&amp;"",""))</f>
        <v/>
      </c>
      <c r="F4619" s="23" t="str">
        <f aca="false">IF(B4619="","","outreach_sent")</f>
        <v/>
      </c>
      <c r="G4619" s="23" t="str">
        <f aca="false">IF(B4619="","","")</f>
        <v/>
      </c>
      <c r="H4619" s="23" t="str">
        <f aca="false">IF(B4619="","","")</f>
        <v/>
      </c>
      <c r="I4619" s="23" t="str">
        <f aca="false">IF(B4619="","","")</f>
        <v/>
      </c>
      <c r="J4619" s="23" t="str">
        <f aca="false">IF(B4619="","","touch_2; "&amp;IFERROR(INDEX(Clay_Brands!$A$2:$FZ$601,568,Sync!$D$10)&amp;"","")&amp;"; "&amp;IFERROR(INDEX(Clay_Brands!$A$2:$FZ$601,568,Sync!$D$9)&amp;"",""))</f>
        <v/>
      </c>
      <c r="K4619" s="32" t="s">
        <v>1367</v>
      </c>
    </row>
    <row r="4620" customFormat="false" ht="15" hidden="false" customHeight="false" outlineLevel="0" collapsed="false">
      <c r="A4620" s="23" t="str">
        <f aca="false">IF(B4620="","",B4620+(16*1000+569)/10000000)</f>
        <v/>
      </c>
      <c r="B4620" s="35" t="str">
        <f aca="false">IF(AND(IFERROR(N(INDEX(Clay_Brands!$A$2:$FZ$601,569,Sync!$D$12)),0)&gt;0,IFERROR(INDEX(Clay_Brands!$A$2:$FZ$601,569,Sync!$D$5)&amp;"","")&lt;&gt;"",OR(LEFT(IFERROR(INDEX(Clay_Brands!$A$2:$FZ$601,569,Sync!$D$5)&amp;"",""),6)&lt;&gt;"SAMPLE",Config!$B$19="Y")),IFERROR(N(INDEX(Clay_Brands!$A$2:$FZ$601,569,Sync!$D$12)),0),"")</f>
        <v/>
      </c>
      <c r="C4620" s="23" t="str">
        <f aca="false">IF(B4620="","","brand")</f>
        <v/>
      </c>
      <c r="D4620" s="23" t="str">
        <f aca="false">IF(B4620="","",IFERROR(INDEX(Brand_Log!$DV$2:$DV$201,MATCH(IFERROR(INDEX(Clay_Brands!$A$2:$FZ$601,569,Sync!$D$5)&amp;"",""),Brand_Log!$A$2:$A$201,0))&amp;"",IFERROR(INDEX(Clay_Brands!$A$2:$FZ$601,569,Sync!$D$5)&amp;"","")&amp;""))</f>
        <v/>
      </c>
      <c r="E4620" s="23" t="str">
        <f aca="false">IF(B4620="","",IFERROR(INDEX(Clay_Brands!$A$2:$FZ$601,569,Sync!$D$6)&amp;"",""))</f>
        <v/>
      </c>
      <c r="F4620" s="23" t="str">
        <f aca="false">IF(B4620="","","outreach_sent")</f>
        <v/>
      </c>
      <c r="G4620" s="23" t="str">
        <f aca="false">IF(B4620="","","")</f>
        <v/>
      </c>
      <c r="H4620" s="23" t="str">
        <f aca="false">IF(B4620="","","")</f>
        <v/>
      </c>
      <c r="I4620" s="23" t="str">
        <f aca="false">IF(B4620="","","")</f>
        <v/>
      </c>
      <c r="J4620" s="23" t="str">
        <f aca="false">IF(B4620="","","touch_2; "&amp;IFERROR(INDEX(Clay_Brands!$A$2:$FZ$601,569,Sync!$D$10)&amp;"","")&amp;"; "&amp;IFERROR(INDEX(Clay_Brands!$A$2:$FZ$601,569,Sync!$D$9)&amp;"",""))</f>
        <v/>
      </c>
      <c r="K4620" s="32" t="s">
        <v>1367</v>
      </c>
    </row>
    <row r="4621" customFormat="false" ht="15" hidden="false" customHeight="false" outlineLevel="0" collapsed="false">
      <c r="A4621" s="23" t="str">
        <f aca="false">IF(B4621="","",B4621+(16*1000+570)/10000000)</f>
        <v/>
      </c>
      <c r="B4621" s="35" t="str">
        <f aca="false">IF(AND(IFERROR(N(INDEX(Clay_Brands!$A$2:$FZ$601,570,Sync!$D$12)),0)&gt;0,IFERROR(INDEX(Clay_Brands!$A$2:$FZ$601,570,Sync!$D$5)&amp;"","")&lt;&gt;"",OR(LEFT(IFERROR(INDEX(Clay_Brands!$A$2:$FZ$601,570,Sync!$D$5)&amp;"",""),6)&lt;&gt;"SAMPLE",Config!$B$19="Y")),IFERROR(N(INDEX(Clay_Brands!$A$2:$FZ$601,570,Sync!$D$12)),0),"")</f>
        <v/>
      </c>
      <c r="C4621" s="23" t="str">
        <f aca="false">IF(B4621="","","brand")</f>
        <v/>
      </c>
      <c r="D4621" s="23" t="str">
        <f aca="false">IF(B4621="","",IFERROR(INDEX(Brand_Log!$DV$2:$DV$201,MATCH(IFERROR(INDEX(Clay_Brands!$A$2:$FZ$601,570,Sync!$D$5)&amp;"",""),Brand_Log!$A$2:$A$201,0))&amp;"",IFERROR(INDEX(Clay_Brands!$A$2:$FZ$601,570,Sync!$D$5)&amp;"","")&amp;""))</f>
        <v/>
      </c>
      <c r="E4621" s="23" t="str">
        <f aca="false">IF(B4621="","",IFERROR(INDEX(Clay_Brands!$A$2:$FZ$601,570,Sync!$D$6)&amp;"",""))</f>
        <v/>
      </c>
      <c r="F4621" s="23" t="str">
        <f aca="false">IF(B4621="","","outreach_sent")</f>
        <v/>
      </c>
      <c r="G4621" s="23" t="str">
        <f aca="false">IF(B4621="","","")</f>
        <v/>
      </c>
      <c r="H4621" s="23" t="str">
        <f aca="false">IF(B4621="","","")</f>
        <v/>
      </c>
      <c r="I4621" s="23" t="str">
        <f aca="false">IF(B4621="","","")</f>
        <v/>
      </c>
      <c r="J4621" s="23" t="str">
        <f aca="false">IF(B4621="","","touch_2; "&amp;IFERROR(INDEX(Clay_Brands!$A$2:$FZ$601,570,Sync!$D$10)&amp;"","")&amp;"; "&amp;IFERROR(INDEX(Clay_Brands!$A$2:$FZ$601,570,Sync!$D$9)&amp;"",""))</f>
        <v/>
      </c>
      <c r="K4621" s="32" t="s">
        <v>1367</v>
      </c>
    </row>
    <row r="4622" customFormat="false" ht="15" hidden="false" customHeight="false" outlineLevel="0" collapsed="false">
      <c r="A4622" s="23" t="str">
        <f aca="false">IF(B4622="","",B4622+(16*1000+571)/10000000)</f>
        <v/>
      </c>
      <c r="B4622" s="35" t="str">
        <f aca="false">IF(AND(IFERROR(N(INDEX(Clay_Brands!$A$2:$FZ$601,571,Sync!$D$12)),0)&gt;0,IFERROR(INDEX(Clay_Brands!$A$2:$FZ$601,571,Sync!$D$5)&amp;"","")&lt;&gt;"",OR(LEFT(IFERROR(INDEX(Clay_Brands!$A$2:$FZ$601,571,Sync!$D$5)&amp;"",""),6)&lt;&gt;"SAMPLE",Config!$B$19="Y")),IFERROR(N(INDEX(Clay_Brands!$A$2:$FZ$601,571,Sync!$D$12)),0),"")</f>
        <v/>
      </c>
      <c r="C4622" s="23" t="str">
        <f aca="false">IF(B4622="","","brand")</f>
        <v/>
      </c>
      <c r="D4622" s="23" t="str">
        <f aca="false">IF(B4622="","",IFERROR(INDEX(Brand_Log!$DV$2:$DV$201,MATCH(IFERROR(INDEX(Clay_Brands!$A$2:$FZ$601,571,Sync!$D$5)&amp;"",""),Brand_Log!$A$2:$A$201,0))&amp;"",IFERROR(INDEX(Clay_Brands!$A$2:$FZ$601,571,Sync!$D$5)&amp;"","")&amp;""))</f>
        <v/>
      </c>
      <c r="E4622" s="23" t="str">
        <f aca="false">IF(B4622="","",IFERROR(INDEX(Clay_Brands!$A$2:$FZ$601,571,Sync!$D$6)&amp;"",""))</f>
        <v/>
      </c>
      <c r="F4622" s="23" t="str">
        <f aca="false">IF(B4622="","","outreach_sent")</f>
        <v/>
      </c>
      <c r="G4622" s="23" t="str">
        <f aca="false">IF(B4622="","","")</f>
        <v/>
      </c>
      <c r="H4622" s="23" t="str">
        <f aca="false">IF(B4622="","","")</f>
        <v/>
      </c>
      <c r="I4622" s="23" t="str">
        <f aca="false">IF(B4622="","","")</f>
        <v/>
      </c>
      <c r="J4622" s="23" t="str">
        <f aca="false">IF(B4622="","","touch_2; "&amp;IFERROR(INDEX(Clay_Brands!$A$2:$FZ$601,571,Sync!$D$10)&amp;"","")&amp;"; "&amp;IFERROR(INDEX(Clay_Brands!$A$2:$FZ$601,571,Sync!$D$9)&amp;"",""))</f>
        <v/>
      </c>
      <c r="K4622" s="32" t="s">
        <v>1367</v>
      </c>
    </row>
    <row r="4623" customFormat="false" ht="15" hidden="false" customHeight="false" outlineLevel="0" collapsed="false">
      <c r="A4623" s="23" t="str">
        <f aca="false">IF(B4623="","",B4623+(16*1000+572)/10000000)</f>
        <v/>
      </c>
      <c r="B4623" s="35" t="str">
        <f aca="false">IF(AND(IFERROR(N(INDEX(Clay_Brands!$A$2:$FZ$601,572,Sync!$D$12)),0)&gt;0,IFERROR(INDEX(Clay_Brands!$A$2:$FZ$601,572,Sync!$D$5)&amp;"","")&lt;&gt;"",OR(LEFT(IFERROR(INDEX(Clay_Brands!$A$2:$FZ$601,572,Sync!$D$5)&amp;"",""),6)&lt;&gt;"SAMPLE",Config!$B$19="Y")),IFERROR(N(INDEX(Clay_Brands!$A$2:$FZ$601,572,Sync!$D$12)),0),"")</f>
        <v/>
      </c>
      <c r="C4623" s="23" t="str">
        <f aca="false">IF(B4623="","","brand")</f>
        <v/>
      </c>
      <c r="D4623" s="23" t="str">
        <f aca="false">IF(B4623="","",IFERROR(INDEX(Brand_Log!$DV$2:$DV$201,MATCH(IFERROR(INDEX(Clay_Brands!$A$2:$FZ$601,572,Sync!$D$5)&amp;"",""),Brand_Log!$A$2:$A$201,0))&amp;"",IFERROR(INDEX(Clay_Brands!$A$2:$FZ$601,572,Sync!$D$5)&amp;"","")&amp;""))</f>
        <v/>
      </c>
      <c r="E4623" s="23" t="str">
        <f aca="false">IF(B4623="","",IFERROR(INDEX(Clay_Brands!$A$2:$FZ$601,572,Sync!$D$6)&amp;"",""))</f>
        <v/>
      </c>
      <c r="F4623" s="23" t="str">
        <f aca="false">IF(B4623="","","outreach_sent")</f>
        <v/>
      </c>
      <c r="G4623" s="23" t="str">
        <f aca="false">IF(B4623="","","")</f>
        <v/>
      </c>
      <c r="H4623" s="23" t="str">
        <f aca="false">IF(B4623="","","")</f>
        <v/>
      </c>
      <c r="I4623" s="23" t="str">
        <f aca="false">IF(B4623="","","")</f>
        <v/>
      </c>
      <c r="J4623" s="23" t="str">
        <f aca="false">IF(B4623="","","touch_2; "&amp;IFERROR(INDEX(Clay_Brands!$A$2:$FZ$601,572,Sync!$D$10)&amp;"","")&amp;"; "&amp;IFERROR(INDEX(Clay_Brands!$A$2:$FZ$601,572,Sync!$D$9)&amp;"",""))</f>
        <v/>
      </c>
      <c r="K4623" s="32" t="s">
        <v>1367</v>
      </c>
    </row>
    <row r="4624" customFormat="false" ht="15" hidden="false" customHeight="false" outlineLevel="0" collapsed="false">
      <c r="A4624" s="23" t="str">
        <f aca="false">IF(B4624="","",B4624+(16*1000+573)/10000000)</f>
        <v/>
      </c>
      <c r="B4624" s="35" t="str">
        <f aca="false">IF(AND(IFERROR(N(INDEX(Clay_Brands!$A$2:$FZ$601,573,Sync!$D$12)),0)&gt;0,IFERROR(INDEX(Clay_Brands!$A$2:$FZ$601,573,Sync!$D$5)&amp;"","")&lt;&gt;"",OR(LEFT(IFERROR(INDEX(Clay_Brands!$A$2:$FZ$601,573,Sync!$D$5)&amp;"",""),6)&lt;&gt;"SAMPLE",Config!$B$19="Y")),IFERROR(N(INDEX(Clay_Brands!$A$2:$FZ$601,573,Sync!$D$12)),0),"")</f>
        <v/>
      </c>
      <c r="C4624" s="23" t="str">
        <f aca="false">IF(B4624="","","brand")</f>
        <v/>
      </c>
      <c r="D4624" s="23" t="str">
        <f aca="false">IF(B4624="","",IFERROR(INDEX(Brand_Log!$DV$2:$DV$201,MATCH(IFERROR(INDEX(Clay_Brands!$A$2:$FZ$601,573,Sync!$D$5)&amp;"",""),Brand_Log!$A$2:$A$201,0))&amp;"",IFERROR(INDEX(Clay_Brands!$A$2:$FZ$601,573,Sync!$D$5)&amp;"","")&amp;""))</f>
        <v/>
      </c>
      <c r="E4624" s="23" t="str">
        <f aca="false">IF(B4624="","",IFERROR(INDEX(Clay_Brands!$A$2:$FZ$601,573,Sync!$D$6)&amp;"",""))</f>
        <v/>
      </c>
      <c r="F4624" s="23" t="str">
        <f aca="false">IF(B4624="","","outreach_sent")</f>
        <v/>
      </c>
      <c r="G4624" s="23" t="str">
        <f aca="false">IF(B4624="","","")</f>
        <v/>
      </c>
      <c r="H4624" s="23" t="str">
        <f aca="false">IF(B4624="","","")</f>
        <v/>
      </c>
      <c r="I4624" s="23" t="str">
        <f aca="false">IF(B4624="","","")</f>
        <v/>
      </c>
      <c r="J4624" s="23" t="str">
        <f aca="false">IF(B4624="","","touch_2; "&amp;IFERROR(INDEX(Clay_Brands!$A$2:$FZ$601,573,Sync!$D$10)&amp;"","")&amp;"; "&amp;IFERROR(INDEX(Clay_Brands!$A$2:$FZ$601,573,Sync!$D$9)&amp;"",""))</f>
        <v/>
      </c>
      <c r="K4624" s="32" t="s">
        <v>1367</v>
      </c>
    </row>
    <row r="4625" customFormat="false" ht="15" hidden="false" customHeight="false" outlineLevel="0" collapsed="false">
      <c r="A4625" s="23" t="str">
        <f aca="false">IF(B4625="","",B4625+(16*1000+574)/10000000)</f>
        <v/>
      </c>
      <c r="B4625" s="35" t="str">
        <f aca="false">IF(AND(IFERROR(N(INDEX(Clay_Brands!$A$2:$FZ$601,574,Sync!$D$12)),0)&gt;0,IFERROR(INDEX(Clay_Brands!$A$2:$FZ$601,574,Sync!$D$5)&amp;"","")&lt;&gt;"",OR(LEFT(IFERROR(INDEX(Clay_Brands!$A$2:$FZ$601,574,Sync!$D$5)&amp;"",""),6)&lt;&gt;"SAMPLE",Config!$B$19="Y")),IFERROR(N(INDEX(Clay_Brands!$A$2:$FZ$601,574,Sync!$D$12)),0),"")</f>
        <v/>
      </c>
      <c r="C4625" s="23" t="str">
        <f aca="false">IF(B4625="","","brand")</f>
        <v/>
      </c>
      <c r="D4625" s="23" t="str">
        <f aca="false">IF(B4625="","",IFERROR(INDEX(Brand_Log!$DV$2:$DV$201,MATCH(IFERROR(INDEX(Clay_Brands!$A$2:$FZ$601,574,Sync!$D$5)&amp;"",""),Brand_Log!$A$2:$A$201,0))&amp;"",IFERROR(INDEX(Clay_Brands!$A$2:$FZ$601,574,Sync!$D$5)&amp;"","")&amp;""))</f>
        <v/>
      </c>
      <c r="E4625" s="23" t="str">
        <f aca="false">IF(B4625="","",IFERROR(INDEX(Clay_Brands!$A$2:$FZ$601,574,Sync!$D$6)&amp;"",""))</f>
        <v/>
      </c>
      <c r="F4625" s="23" t="str">
        <f aca="false">IF(B4625="","","outreach_sent")</f>
        <v/>
      </c>
      <c r="G4625" s="23" t="str">
        <f aca="false">IF(B4625="","","")</f>
        <v/>
      </c>
      <c r="H4625" s="23" t="str">
        <f aca="false">IF(B4625="","","")</f>
        <v/>
      </c>
      <c r="I4625" s="23" t="str">
        <f aca="false">IF(B4625="","","")</f>
        <v/>
      </c>
      <c r="J4625" s="23" t="str">
        <f aca="false">IF(B4625="","","touch_2; "&amp;IFERROR(INDEX(Clay_Brands!$A$2:$FZ$601,574,Sync!$D$10)&amp;"","")&amp;"; "&amp;IFERROR(INDEX(Clay_Brands!$A$2:$FZ$601,574,Sync!$D$9)&amp;"",""))</f>
        <v/>
      </c>
      <c r="K4625" s="32" t="s">
        <v>1367</v>
      </c>
    </row>
    <row r="4626" customFormat="false" ht="15" hidden="false" customHeight="false" outlineLevel="0" collapsed="false">
      <c r="A4626" s="23" t="str">
        <f aca="false">IF(B4626="","",B4626+(16*1000+575)/10000000)</f>
        <v/>
      </c>
      <c r="B4626" s="35" t="str">
        <f aca="false">IF(AND(IFERROR(N(INDEX(Clay_Brands!$A$2:$FZ$601,575,Sync!$D$12)),0)&gt;0,IFERROR(INDEX(Clay_Brands!$A$2:$FZ$601,575,Sync!$D$5)&amp;"","")&lt;&gt;"",OR(LEFT(IFERROR(INDEX(Clay_Brands!$A$2:$FZ$601,575,Sync!$D$5)&amp;"",""),6)&lt;&gt;"SAMPLE",Config!$B$19="Y")),IFERROR(N(INDEX(Clay_Brands!$A$2:$FZ$601,575,Sync!$D$12)),0),"")</f>
        <v/>
      </c>
      <c r="C4626" s="23" t="str">
        <f aca="false">IF(B4626="","","brand")</f>
        <v/>
      </c>
      <c r="D4626" s="23" t="str">
        <f aca="false">IF(B4626="","",IFERROR(INDEX(Brand_Log!$DV$2:$DV$201,MATCH(IFERROR(INDEX(Clay_Brands!$A$2:$FZ$601,575,Sync!$D$5)&amp;"",""),Brand_Log!$A$2:$A$201,0))&amp;"",IFERROR(INDEX(Clay_Brands!$A$2:$FZ$601,575,Sync!$D$5)&amp;"","")&amp;""))</f>
        <v/>
      </c>
      <c r="E4626" s="23" t="str">
        <f aca="false">IF(B4626="","",IFERROR(INDEX(Clay_Brands!$A$2:$FZ$601,575,Sync!$D$6)&amp;"",""))</f>
        <v/>
      </c>
      <c r="F4626" s="23" t="str">
        <f aca="false">IF(B4626="","","outreach_sent")</f>
        <v/>
      </c>
      <c r="G4626" s="23" t="str">
        <f aca="false">IF(B4626="","","")</f>
        <v/>
      </c>
      <c r="H4626" s="23" t="str">
        <f aca="false">IF(B4626="","","")</f>
        <v/>
      </c>
      <c r="I4626" s="23" t="str">
        <f aca="false">IF(B4626="","","")</f>
        <v/>
      </c>
      <c r="J4626" s="23" t="str">
        <f aca="false">IF(B4626="","","touch_2; "&amp;IFERROR(INDEX(Clay_Brands!$A$2:$FZ$601,575,Sync!$D$10)&amp;"","")&amp;"; "&amp;IFERROR(INDEX(Clay_Brands!$A$2:$FZ$601,575,Sync!$D$9)&amp;"",""))</f>
        <v/>
      </c>
      <c r="K4626" s="32" t="s">
        <v>1367</v>
      </c>
    </row>
    <row r="4627" customFormat="false" ht="15" hidden="false" customHeight="false" outlineLevel="0" collapsed="false">
      <c r="A4627" s="23" t="str">
        <f aca="false">IF(B4627="","",B4627+(16*1000+576)/10000000)</f>
        <v/>
      </c>
      <c r="B4627" s="35" t="str">
        <f aca="false">IF(AND(IFERROR(N(INDEX(Clay_Brands!$A$2:$FZ$601,576,Sync!$D$12)),0)&gt;0,IFERROR(INDEX(Clay_Brands!$A$2:$FZ$601,576,Sync!$D$5)&amp;"","")&lt;&gt;"",OR(LEFT(IFERROR(INDEX(Clay_Brands!$A$2:$FZ$601,576,Sync!$D$5)&amp;"",""),6)&lt;&gt;"SAMPLE",Config!$B$19="Y")),IFERROR(N(INDEX(Clay_Brands!$A$2:$FZ$601,576,Sync!$D$12)),0),"")</f>
        <v/>
      </c>
      <c r="C4627" s="23" t="str">
        <f aca="false">IF(B4627="","","brand")</f>
        <v/>
      </c>
      <c r="D4627" s="23" t="str">
        <f aca="false">IF(B4627="","",IFERROR(INDEX(Brand_Log!$DV$2:$DV$201,MATCH(IFERROR(INDEX(Clay_Brands!$A$2:$FZ$601,576,Sync!$D$5)&amp;"",""),Brand_Log!$A$2:$A$201,0))&amp;"",IFERROR(INDEX(Clay_Brands!$A$2:$FZ$601,576,Sync!$D$5)&amp;"","")&amp;""))</f>
        <v/>
      </c>
      <c r="E4627" s="23" t="str">
        <f aca="false">IF(B4627="","",IFERROR(INDEX(Clay_Brands!$A$2:$FZ$601,576,Sync!$D$6)&amp;"",""))</f>
        <v/>
      </c>
      <c r="F4627" s="23" t="str">
        <f aca="false">IF(B4627="","","outreach_sent")</f>
        <v/>
      </c>
      <c r="G4627" s="23" t="str">
        <f aca="false">IF(B4627="","","")</f>
        <v/>
      </c>
      <c r="H4627" s="23" t="str">
        <f aca="false">IF(B4627="","","")</f>
        <v/>
      </c>
      <c r="I4627" s="23" t="str">
        <f aca="false">IF(B4627="","","")</f>
        <v/>
      </c>
      <c r="J4627" s="23" t="str">
        <f aca="false">IF(B4627="","","touch_2; "&amp;IFERROR(INDEX(Clay_Brands!$A$2:$FZ$601,576,Sync!$D$10)&amp;"","")&amp;"; "&amp;IFERROR(INDEX(Clay_Brands!$A$2:$FZ$601,576,Sync!$D$9)&amp;"",""))</f>
        <v/>
      </c>
      <c r="K4627" s="32" t="s">
        <v>1367</v>
      </c>
    </row>
    <row r="4628" customFormat="false" ht="15" hidden="false" customHeight="false" outlineLevel="0" collapsed="false">
      <c r="A4628" s="23" t="str">
        <f aca="false">IF(B4628="","",B4628+(16*1000+577)/10000000)</f>
        <v/>
      </c>
      <c r="B4628" s="35" t="str">
        <f aca="false">IF(AND(IFERROR(N(INDEX(Clay_Brands!$A$2:$FZ$601,577,Sync!$D$12)),0)&gt;0,IFERROR(INDEX(Clay_Brands!$A$2:$FZ$601,577,Sync!$D$5)&amp;"","")&lt;&gt;"",OR(LEFT(IFERROR(INDEX(Clay_Brands!$A$2:$FZ$601,577,Sync!$D$5)&amp;"",""),6)&lt;&gt;"SAMPLE",Config!$B$19="Y")),IFERROR(N(INDEX(Clay_Brands!$A$2:$FZ$601,577,Sync!$D$12)),0),"")</f>
        <v/>
      </c>
      <c r="C4628" s="23" t="str">
        <f aca="false">IF(B4628="","","brand")</f>
        <v/>
      </c>
      <c r="D4628" s="23" t="str">
        <f aca="false">IF(B4628="","",IFERROR(INDEX(Brand_Log!$DV$2:$DV$201,MATCH(IFERROR(INDEX(Clay_Brands!$A$2:$FZ$601,577,Sync!$D$5)&amp;"",""),Brand_Log!$A$2:$A$201,0))&amp;"",IFERROR(INDEX(Clay_Brands!$A$2:$FZ$601,577,Sync!$D$5)&amp;"","")&amp;""))</f>
        <v/>
      </c>
      <c r="E4628" s="23" t="str">
        <f aca="false">IF(B4628="","",IFERROR(INDEX(Clay_Brands!$A$2:$FZ$601,577,Sync!$D$6)&amp;"",""))</f>
        <v/>
      </c>
      <c r="F4628" s="23" t="str">
        <f aca="false">IF(B4628="","","outreach_sent")</f>
        <v/>
      </c>
      <c r="G4628" s="23" t="str">
        <f aca="false">IF(B4628="","","")</f>
        <v/>
      </c>
      <c r="H4628" s="23" t="str">
        <f aca="false">IF(B4628="","","")</f>
        <v/>
      </c>
      <c r="I4628" s="23" t="str">
        <f aca="false">IF(B4628="","","")</f>
        <v/>
      </c>
      <c r="J4628" s="23" t="str">
        <f aca="false">IF(B4628="","","touch_2; "&amp;IFERROR(INDEX(Clay_Brands!$A$2:$FZ$601,577,Sync!$D$10)&amp;"","")&amp;"; "&amp;IFERROR(INDEX(Clay_Brands!$A$2:$FZ$601,577,Sync!$D$9)&amp;"",""))</f>
        <v/>
      </c>
      <c r="K4628" s="32" t="s">
        <v>1367</v>
      </c>
    </row>
    <row r="4629" customFormat="false" ht="15" hidden="false" customHeight="false" outlineLevel="0" collapsed="false">
      <c r="A4629" s="23" t="str">
        <f aca="false">IF(B4629="","",B4629+(16*1000+578)/10000000)</f>
        <v/>
      </c>
      <c r="B4629" s="35" t="str">
        <f aca="false">IF(AND(IFERROR(N(INDEX(Clay_Brands!$A$2:$FZ$601,578,Sync!$D$12)),0)&gt;0,IFERROR(INDEX(Clay_Brands!$A$2:$FZ$601,578,Sync!$D$5)&amp;"","")&lt;&gt;"",OR(LEFT(IFERROR(INDEX(Clay_Brands!$A$2:$FZ$601,578,Sync!$D$5)&amp;"",""),6)&lt;&gt;"SAMPLE",Config!$B$19="Y")),IFERROR(N(INDEX(Clay_Brands!$A$2:$FZ$601,578,Sync!$D$12)),0),"")</f>
        <v/>
      </c>
      <c r="C4629" s="23" t="str">
        <f aca="false">IF(B4629="","","brand")</f>
        <v/>
      </c>
      <c r="D4629" s="23" t="str">
        <f aca="false">IF(B4629="","",IFERROR(INDEX(Brand_Log!$DV$2:$DV$201,MATCH(IFERROR(INDEX(Clay_Brands!$A$2:$FZ$601,578,Sync!$D$5)&amp;"",""),Brand_Log!$A$2:$A$201,0))&amp;"",IFERROR(INDEX(Clay_Brands!$A$2:$FZ$601,578,Sync!$D$5)&amp;"","")&amp;""))</f>
        <v/>
      </c>
      <c r="E4629" s="23" t="str">
        <f aca="false">IF(B4629="","",IFERROR(INDEX(Clay_Brands!$A$2:$FZ$601,578,Sync!$D$6)&amp;"",""))</f>
        <v/>
      </c>
      <c r="F4629" s="23" t="str">
        <f aca="false">IF(B4629="","","outreach_sent")</f>
        <v/>
      </c>
      <c r="G4629" s="23" t="str">
        <f aca="false">IF(B4629="","","")</f>
        <v/>
      </c>
      <c r="H4629" s="23" t="str">
        <f aca="false">IF(B4629="","","")</f>
        <v/>
      </c>
      <c r="I4629" s="23" t="str">
        <f aca="false">IF(B4629="","","")</f>
        <v/>
      </c>
      <c r="J4629" s="23" t="str">
        <f aca="false">IF(B4629="","","touch_2; "&amp;IFERROR(INDEX(Clay_Brands!$A$2:$FZ$601,578,Sync!$D$10)&amp;"","")&amp;"; "&amp;IFERROR(INDEX(Clay_Brands!$A$2:$FZ$601,578,Sync!$D$9)&amp;"",""))</f>
        <v/>
      </c>
      <c r="K4629" s="32" t="s">
        <v>1367</v>
      </c>
    </row>
    <row r="4630" customFormat="false" ht="15" hidden="false" customHeight="false" outlineLevel="0" collapsed="false">
      <c r="A4630" s="23" t="str">
        <f aca="false">IF(B4630="","",B4630+(16*1000+579)/10000000)</f>
        <v/>
      </c>
      <c r="B4630" s="35" t="str">
        <f aca="false">IF(AND(IFERROR(N(INDEX(Clay_Brands!$A$2:$FZ$601,579,Sync!$D$12)),0)&gt;0,IFERROR(INDEX(Clay_Brands!$A$2:$FZ$601,579,Sync!$D$5)&amp;"","")&lt;&gt;"",OR(LEFT(IFERROR(INDEX(Clay_Brands!$A$2:$FZ$601,579,Sync!$D$5)&amp;"",""),6)&lt;&gt;"SAMPLE",Config!$B$19="Y")),IFERROR(N(INDEX(Clay_Brands!$A$2:$FZ$601,579,Sync!$D$12)),0),"")</f>
        <v/>
      </c>
      <c r="C4630" s="23" t="str">
        <f aca="false">IF(B4630="","","brand")</f>
        <v/>
      </c>
      <c r="D4630" s="23" t="str">
        <f aca="false">IF(B4630="","",IFERROR(INDEX(Brand_Log!$DV$2:$DV$201,MATCH(IFERROR(INDEX(Clay_Brands!$A$2:$FZ$601,579,Sync!$D$5)&amp;"",""),Brand_Log!$A$2:$A$201,0))&amp;"",IFERROR(INDEX(Clay_Brands!$A$2:$FZ$601,579,Sync!$D$5)&amp;"","")&amp;""))</f>
        <v/>
      </c>
      <c r="E4630" s="23" t="str">
        <f aca="false">IF(B4630="","",IFERROR(INDEX(Clay_Brands!$A$2:$FZ$601,579,Sync!$D$6)&amp;"",""))</f>
        <v/>
      </c>
      <c r="F4630" s="23" t="str">
        <f aca="false">IF(B4630="","","outreach_sent")</f>
        <v/>
      </c>
      <c r="G4630" s="23" t="str">
        <f aca="false">IF(B4630="","","")</f>
        <v/>
      </c>
      <c r="H4630" s="23" t="str">
        <f aca="false">IF(B4630="","","")</f>
        <v/>
      </c>
      <c r="I4630" s="23" t="str">
        <f aca="false">IF(B4630="","","")</f>
        <v/>
      </c>
      <c r="J4630" s="23" t="str">
        <f aca="false">IF(B4630="","","touch_2; "&amp;IFERROR(INDEX(Clay_Brands!$A$2:$FZ$601,579,Sync!$D$10)&amp;"","")&amp;"; "&amp;IFERROR(INDEX(Clay_Brands!$A$2:$FZ$601,579,Sync!$D$9)&amp;"",""))</f>
        <v/>
      </c>
      <c r="K4630" s="32" t="s">
        <v>1367</v>
      </c>
    </row>
    <row r="4631" customFormat="false" ht="15" hidden="false" customHeight="false" outlineLevel="0" collapsed="false">
      <c r="A4631" s="23" t="str">
        <f aca="false">IF(B4631="","",B4631+(16*1000+580)/10000000)</f>
        <v/>
      </c>
      <c r="B4631" s="35" t="str">
        <f aca="false">IF(AND(IFERROR(N(INDEX(Clay_Brands!$A$2:$FZ$601,580,Sync!$D$12)),0)&gt;0,IFERROR(INDEX(Clay_Brands!$A$2:$FZ$601,580,Sync!$D$5)&amp;"","")&lt;&gt;"",OR(LEFT(IFERROR(INDEX(Clay_Brands!$A$2:$FZ$601,580,Sync!$D$5)&amp;"",""),6)&lt;&gt;"SAMPLE",Config!$B$19="Y")),IFERROR(N(INDEX(Clay_Brands!$A$2:$FZ$601,580,Sync!$D$12)),0),"")</f>
        <v/>
      </c>
      <c r="C4631" s="23" t="str">
        <f aca="false">IF(B4631="","","brand")</f>
        <v/>
      </c>
      <c r="D4631" s="23" t="str">
        <f aca="false">IF(B4631="","",IFERROR(INDEX(Brand_Log!$DV$2:$DV$201,MATCH(IFERROR(INDEX(Clay_Brands!$A$2:$FZ$601,580,Sync!$D$5)&amp;"",""),Brand_Log!$A$2:$A$201,0))&amp;"",IFERROR(INDEX(Clay_Brands!$A$2:$FZ$601,580,Sync!$D$5)&amp;"","")&amp;""))</f>
        <v/>
      </c>
      <c r="E4631" s="23" t="str">
        <f aca="false">IF(B4631="","",IFERROR(INDEX(Clay_Brands!$A$2:$FZ$601,580,Sync!$D$6)&amp;"",""))</f>
        <v/>
      </c>
      <c r="F4631" s="23" t="str">
        <f aca="false">IF(B4631="","","outreach_sent")</f>
        <v/>
      </c>
      <c r="G4631" s="23" t="str">
        <f aca="false">IF(B4631="","","")</f>
        <v/>
      </c>
      <c r="H4631" s="23" t="str">
        <f aca="false">IF(B4631="","","")</f>
        <v/>
      </c>
      <c r="I4631" s="23" t="str">
        <f aca="false">IF(B4631="","","")</f>
        <v/>
      </c>
      <c r="J4631" s="23" t="str">
        <f aca="false">IF(B4631="","","touch_2; "&amp;IFERROR(INDEX(Clay_Brands!$A$2:$FZ$601,580,Sync!$D$10)&amp;"","")&amp;"; "&amp;IFERROR(INDEX(Clay_Brands!$A$2:$FZ$601,580,Sync!$D$9)&amp;"",""))</f>
        <v/>
      </c>
      <c r="K4631" s="32" t="s">
        <v>1367</v>
      </c>
    </row>
    <row r="4632" customFormat="false" ht="15" hidden="false" customHeight="false" outlineLevel="0" collapsed="false">
      <c r="A4632" s="23" t="str">
        <f aca="false">IF(B4632="","",B4632+(16*1000+581)/10000000)</f>
        <v/>
      </c>
      <c r="B4632" s="35" t="str">
        <f aca="false">IF(AND(IFERROR(N(INDEX(Clay_Brands!$A$2:$FZ$601,581,Sync!$D$12)),0)&gt;0,IFERROR(INDEX(Clay_Brands!$A$2:$FZ$601,581,Sync!$D$5)&amp;"","")&lt;&gt;"",OR(LEFT(IFERROR(INDEX(Clay_Brands!$A$2:$FZ$601,581,Sync!$D$5)&amp;"",""),6)&lt;&gt;"SAMPLE",Config!$B$19="Y")),IFERROR(N(INDEX(Clay_Brands!$A$2:$FZ$601,581,Sync!$D$12)),0),"")</f>
        <v/>
      </c>
      <c r="C4632" s="23" t="str">
        <f aca="false">IF(B4632="","","brand")</f>
        <v/>
      </c>
      <c r="D4632" s="23" t="str">
        <f aca="false">IF(B4632="","",IFERROR(INDEX(Brand_Log!$DV$2:$DV$201,MATCH(IFERROR(INDEX(Clay_Brands!$A$2:$FZ$601,581,Sync!$D$5)&amp;"",""),Brand_Log!$A$2:$A$201,0))&amp;"",IFERROR(INDEX(Clay_Brands!$A$2:$FZ$601,581,Sync!$D$5)&amp;"","")&amp;""))</f>
        <v/>
      </c>
      <c r="E4632" s="23" t="str">
        <f aca="false">IF(B4632="","",IFERROR(INDEX(Clay_Brands!$A$2:$FZ$601,581,Sync!$D$6)&amp;"",""))</f>
        <v/>
      </c>
      <c r="F4632" s="23" t="str">
        <f aca="false">IF(B4632="","","outreach_sent")</f>
        <v/>
      </c>
      <c r="G4632" s="23" t="str">
        <f aca="false">IF(B4632="","","")</f>
        <v/>
      </c>
      <c r="H4632" s="23" t="str">
        <f aca="false">IF(B4632="","","")</f>
        <v/>
      </c>
      <c r="I4632" s="23" t="str">
        <f aca="false">IF(B4632="","","")</f>
        <v/>
      </c>
      <c r="J4632" s="23" t="str">
        <f aca="false">IF(B4632="","","touch_2; "&amp;IFERROR(INDEX(Clay_Brands!$A$2:$FZ$601,581,Sync!$D$10)&amp;"","")&amp;"; "&amp;IFERROR(INDEX(Clay_Brands!$A$2:$FZ$601,581,Sync!$D$9)&amp;"",""))</f>
        <v/>
      </c>
      <c r="K4632" s="32" t="s">
        <v>1367</v>
      </c>
    </row>
    <row r="4633" customFormat="false" ht="15" hidden="false" customHeight="false" outlineLevel="0" collapsed="false">
      <c r="A4633" s="23" t="str">
        <f aca="false">IF(B4633="","",B4633+(16*1000+582)/10000000)</f>
        <v/>
      </c>
      <c r="B4633" s="35" t="str">
        <f aca="false">IF(AND(IFERROR(N(INDEX(Clay_Brands!$A$2:$FZ$601,582,Sync!$D$12)),0)&gt;0,IFERROR(INDEX(Clay_Brands!$A$2:$FZ$601,582,Sync!$D$5)&amp;"","")&lt;&gt;"",OR(LEFT(IFERROR(INDEX(Clay_Brands!$A$2:$FZ$601,582,Sync!$D$5)&amp;"",""),6)&lt;&gt;"SAMPLE",Config!$B$19="Y")),IFERROR(N(INDEX(Clay_Brands!$A$2:$FZ$601,582,Sync!$D$12)),0),"")</f>
        <v/>
      </c>
      <c r="C4633" s="23" t="str">
        <f aca="false">IF(B4633="","","brand")</f>
        <v/>
      </c>
      <c r="D4633" s="23" t="str">
        <f aca="false">IF(B4633="","",IFERROR(INDEX(Brand_Log!$DV$2:$DV$201,MATCH(IFERROR(INDEX(Clay_Brands!$A$2:$FZ$601,582,Sync!$D$5)&amp;"",""),Brand_Log!$A$2:$A$201,0))&amp;"",IFERROR(INDEX(Clay_Brands!$A$2:$FZ$601,582,Sync!$D$5)&amp;"","")&amp;""))</f>
        <v/>
      </c>
      <c r="E4633" s="23" t="str">
        <f aca="false">IF(B4633="","",IFERROR(INDEX(Clay_Brands!$A$2:$FZ$601,582,Sync!$D$6)&amp;"",""))</f>
        <v/>
      </c>
      <c r="F4633" s="23" t="str">
        <f aca="false">IF(B4633="","","outreach_sent")</f>
        <v/>
      </c>
      <c r="G4633" s="23" t="str">
        <f aca="false">IF(B4633="","","")</f>
        <v/>
      </c>
      <c r="H4633" s="23" t="str">
        <f aca="false">IF(B4633="","","")</f>
        <v/>
      </c>
      <c r="I4633" s="23" t="str">
        <f aca="false">IF(B4633="","","")</f>
        <v/>
      </c>
      <c r="J4633" s="23" t="str">
        <f aca="false">IF(B4633="","","touch_2; "&amp;IFERROR(INDEX(Clay_Brands!$A$2:$FZ$601,582,Sync!$D$10)&amp;"","")&amp;"; "&amp;IFERROR(INDEX(Clay_Brands!$A$2:$FZ$601,582,Sync!$D$9)&amp;"",""))</f>
        <v/>
      </c>
      <c r="K4633" s="32" t="s">
        <v>1367</v>
      </c>
    </row>
    <row r="4634" customFormat="false" ht="15" hidden="false" customHeight="false" outlineLevel="0" collapsed="false">
      <c r="A4634" s="23" t="str">
        <f aca="false">IF(B4634="","",B4634+(16*1000+583)/10000000)</f>
        <v/>
      </c>
      <c r="B4634" s="35" t="str">
        <f aca="false">IF(AND(IFERROR(N(INDEX(Clay_Brands!$A$2:$FZ$601,583,Sync!$D$12)),0)&gt;0,IFERROR(INDEX(Clay_Brands!$A$2:$FZ$601,583,Sync!$D$5)&amp;"","")&lt;&gt;"",OR(LEFT(IFERROR(INDEX(Clay_Brands!$A$2:$FZ$601,583,Sync!$D$5)&amp;"",""),6)&lt;&gt;"SAMPLE",Config!$B$19="Y")),IFERROR(N(INDEX(Clay_Brands!$A$2:$FZ$601,583,Sync!$D$12)),0),"")</f>
        <v/>
      </c>
      <c r="C4634" s="23" t="str">
        <f aca="false">IF(B4634="","","brand")</f>
        <v/>
      </c>
      <c r="D4634" s="23" t="str">
        <f aca="false">IF(B4634="","",IFERROR(INDEX(Brand_Log!$DV$2:$DV$201,MATCH(IFERROR(INDEX(Clay_Brands!$A$2:$FZ$601,583,Sync!$D$5)&amp;"",""),Brand_Log!$A$2:$A$201,0))&amp;"",IFERROR(INDEX(Clay_Brands!$A$2:$FZ$601,583,Sync!$D$5)&amp;"","")&amp;""))</f>
        <v/>
      </c>
      <c r="E4634" s="23" t="str">
        <f aca="false">IF(B4634="","",IFERROR(INDEX(Clay_Brands!$A$2:$FZ$601,583,Sync!$D$6)&amp;"",""))</f>
        <v/>
      </c>
      <c r="F4634" s="23" t="str">
        <f aca="false">IF(B4634="","","outreach_sent")</f>
        <v/>
      </c>
      <c r="G4634" s="23" t="str">
        <f aca="false">IF(B4634="","","")</f>
        <v/>
      </c>
      <c r="H4634" s="23" t="str">
        <f aca="false">IF(B4634="","","")</f>
        <v/>
      </c>
      <c r="I4634" s="23" t="str">
        <f aca="false">IF(B4634="","","")</f>
        <v/>
      </c>
      <c r="J4634" s="23" t="str">
        <f aca="false">IF(B4634="","","touch_2; "&amp;IFERROR(INDEX(Clay_Brands!$A$2:$FZ$601,583,Sync!$D$10)&amp;"","")&amp;"; "&amp;IFERROR(INDEX(Clay_Brands!$A$2:$FZ$601,583,Sync!$D$9)&amp;"",""))</f>
        <v/>
      </c>
      <c r="K4634" s="32" t="s">
        <v>1367</v>
      </c>
    </row>
    <row r="4635" customFormat="false" ht="15" hidden="false" customHeight="false" outlineLevel="0" collapsed="false">
      <c r="A4635" s="23" t="str">
        <f aca="false">IF(B4635="","",B4635+(16*1000+584)/10000000)</f>
        <v/>
      </c>
      <c r="B4635" s="35" t="str">
        <f aca="false">IF(AND(IFERROR(N(INDEX(Clay_Brands!$A$2:$FZ$601,584,Sync!$D$12)),0)&gt;0,IFERROR(INDEX(Clay_Brands!$A$2:$FZ$601,584,Sync!$D$5)&amp;"","")&lt;&gt;"",OR(LEFT(IFERROR(INDEX(Clay_Brands!$A$2:$FZ$601,584,Sync!$D$5)&amp;"",""),6)&lt;&gt;"SAMPLE",Config!$B$19="Y")),IFERROR(N(INDEX(Clay_Brands!$A$2:$FZ$601,584,Sync!$D$12)),0),"")</f>
        <v/>
      </c>
      <c r="C4635" s="23" t="str">
        <f aca="false">IF(B4635="","","brand")</f>
        <v/>
      </c>
      <c r="D4635" s="23" t="str">
        <f aca="false">IF(B4635="","",IFERROR(INDEX(Brand_Log!$DV$2:$DV$201,MATCH(IFERROR(INDEX(Clay_Brands!$A$2:$FZ$601,584,Sync!$D$5)&amp;"",""),Brand_Log!$A$2:$A$201,0))&amp;"",IFERROR(INDEX(Clay_Brands!$A$2:$FZ$601,584,Sync!$D$5)&amp;"","")&amp;""))</f>
        <v/>
      </c>
      <c r="E4635" s="23" t="str">
        <f aca="false">IF(B4635="","",IFERROR(INDEX(Clay_Brands!$A$2:$FZ$601,584,Sync!$D$6)&amp;"",""))</f>
        <v/>
      </c>
      <c r="F4635" s="23" t="str">
        <f aca="false">IF(B4635="","","outreach_sent")</f>
        <v/>
      </c>
      <c r="G4635" s="23" t="str">
        <f aca="false">IF(B4635="","","")</f>
        <v/>
      </c>
      <c r="H4635" s="23" t="str">
        <f aca="false">IF(B4635="","","")</f>
        <v/>
      </c>
      <c r="I4635" s="23" t="str">
        <f aca="false">IF(B4635="","","")</f>
        <v/>
      </c>
      <c r="J4635" s="23" t="str">
        <f aca="false">IF(B4635="","","touch_2; "&amp;IFERROR(INDEX(Clay_Brands!$A$2:$FZ$601,584,Sync!$D$10)&amp;"","")&amp;"; "&amp;IFERROR(INDEX(Clay_Brands!$A$2:$FZ$601,584,Sync!$D$9)&amp;"",""))</f>
        <v/>
      </c>
      <c r="K4635" s="32" t="s">
        <v>1367</v>
      </c>
    </row>
    <row r="4636" customFormat="false" ht="15" hidden="false" customHeight="false" outlineLevel="0" collapsed="false">
      <c r="A4636" s="23" t="str">
        <f aca="false">IF(B4636="","",B4636+(16*1000+585)/10000000)</f>
        <v/>
      </c>
      <c r="B4636" s="35" t="str">
        <f aca="false">IF(AND(IFERROR(N(INDEX(Clay_Brands!$A$2:$FZ$601,585,Sync!$D$12)),0)&gt;0,IFERROR(INDEX(Clay_Brands!$A$2:$FZ$601,585,Sync!$D$5)&amp;"","")&lt;&gt;"",OR(LEFT(IFERROR(INDEX(Clay_Brands!$A$2:$FZ$601,585,Sync!$D$5)&amp;"",""),6)&lt;&gt;"SAMPLE",Config!$B$19="Y")),IFERROR(N(INDEX(Clay_Brands!$A$2:$FZ$601,585,Sync!$D$12)),0),"")</f>
        <v/>
      </c>
      <c r="C4636" s="23" t="str">
        <f aca="false">IF(B4636="","","brand")</f>
        <v/>
      </c>
      <c r="D4636" s="23" t="str">
        <f aca="false">IF(B4636="","",IFERROR(INDEX(Brand_Log!$DV$2:$DV$201,MATCH(IFERROR(INDEX(Clay_Brands!$A$2:$FZ$601,585,Sync!$D$5)&amp;"",""),Brand_Log!$A$2:$A$201,0))&amp;"",IFERROR(INDEX(Clay_Brands!$A$2:$FZ$601,585,Sync!$D$5)&amp;"","")&amp;""))</f>
        <v/>
      </c>
      <c r="E4636" s="23" t="str">
        <f aca="false">IF(B4636="","",IFERROR(INDEX(Clay_Brands!$A$2:$FZ$601,585,Sync!$D$6)&amp;"",""))</f>
        <v/>
      </c>
      <c r="F4636" s="23" t="str">
        <f aca="false">IF(B4636="","","outreach_sent")</f>
        <v/>
      </c>
      <c r="G4636" s="23" t="str">
        <f aca="false">IF(B4636="","","")</f>
        <v/>
      </c>
      <c r="H4636" s="23" t="str">
        <f aca="false">IF(B4636="","","")</f>
        <v/>
      </c>
      <c r="I4636" s="23" t="str">
        <f aca="false">IF(B4636="","","")</f>
        <v/>
      </c>
      <c r="J4636" s="23" t="str">
        <f aca="false">IF(B4636="","","touch_2; "&amp;IFERROR(INDEX(Clay_Brands!$A$2:$FZ$601,585,Sync!$D$10)&amp;"","")&amp;"; "&amp;IFERROR(INDEX(Clay_Brands!$A$2:$FZ$601,585,Sync!$D$9)&amp;"",""))</f>
        <v/>
      </c>
      <c r="K4636" s="32" t="s">
        <v>1367</v>
      </c>
    </row>
    <row r="4637" customFormat="false" ht="15" hidden="false" customHeight="false" outlineLevel="0" collapsed="false">
      <c r="A4637" s="23" t="str">
        <f aca="false">IF(B4637="","",B4637+(16*1000+586)/10000000)</f>
        <v/>
      </c>
      <c r="B4637" s="35" t="str">
        <f aca="false">IF(AND(IFERROR(N(INDEX(Clay_Brands!$A$2:$FZ$601,586,Sync!$D$12)),0)&gt;0,IFERROR(INDEX(Clay_Brands!$A$2:$FZ$601,586,Sync!$D$5)&amp;"","")&lt;&gt;"",OR(LEFT(IFERROR(INDEX(Clay_Brands!$A$2:$FZ$601,586,Sync!$D$5)&amp;"",""),6)&lt;&gt;"SAMPLE",Config!$B$19="Y")),IFERROR(N(INDEX(Clay_Brands!$A$2:$FZ$601,586,Sync!$D$12)),0),"")</f>
        <v/>
      </c>
      <c r="C4637" s="23" t="str">
        <f aca="false">IF(B4637="","","brand")</f>
        <v/>
      </c>
      <c r="D4637" s="23" t="str">
        <f aca="false">IF(B4637="","",IFERROR(INDEX(Brand_Log!$DV$2:$DV$201,MATCH(IFERROR(INDEX(Clay_Brands!$A$2:$FZ$601,586,Sync!$D$5)&amp;"",""),Brand_Log!$A$2:$A$201,0))&amp;"",IFERROR(INDEX(Clay_Brands!$A$2:$FZ$601,586,Sync!$D$5)&amp;"","")&amp;""))</f>
        <v/>
      </c>
      <c r="E4637" s="23" t="str">
        <f aca="false">IF(B4637="","",IFERROR(INDEX(Clay_Brands!$A$2:$FZ$601,586,Sync!$D$6)&amp;"",""))</f>
        <v/>
      </c>
      <c r="F4637" s="23" t="str">
        <f aca="false">IF(B4637="","","outreach_sent")</f>
        <v/>
      </c>
      <c r="G4637" s="23" t="str">
        <f aca="false">IF(B4637="","","")</f>
        <v/>
      </c>
      <c r="H4637" s="23" t="str">
        <f aca="false">IF(B4637="","","")</f>
        <v/>
      </c>
      <c r="I4637" s="23" t="str">
        <f aca="false">IF(B4637="","","")</f>
        <v/>
      </c>
      <c r="J4637" s="23" t="str">
        <f aca="false">IF(B4637="","","touch_2; "&amp;IFERROR(INDEX(Clay_Brands!$A$2:$FZ$601,586,Sync!$D$10)&amp;"","")&amp;"; "&amp;IFERROR(INDEX(Clay_Brands!$A$2:$FZ$601,586,Sync!$D$9)&amp;"",""))</f>
        <v/>
      </c>
      <c r="K4637" s="32" t="s">
        <v>1367</v>
      </c>
    </row>
    <row r="4638" customFormat="false" ht="15" hidden="false" customHeight="false" outlineLevel="0" collapsed="false">
      <c r="A4638" s="23" t="str">
        <f aca="false">IF(B4638="","",B4638+(16*1000+587)/10000000)</f>
        <v/>
      </c>
      <c r="B4638" s="35" t="str">
        <f aca="false">IF(AND(IFERROR(N(INDEX(Clay_Brands!$A$2:$FZ$601,587,Sync!$D$12)),0)&gt;0,IFERROR(INDEX(Clay_Brands!$A$2:$FZ$601,587,Sync!$D$5)&amp;"","")&lt;&gt;"",OR(LEFT(IFERROR(INDEX(Clay_Brands!$A$2:$FZ$601,587,Sync!$D$5)&amp;"",""),6)&lt;&gt;"SAMPLE",Config!$B$19="Y")),IFERROR(N(INDEX(Clay_Brands!$A$2:$FZ$601,587,Sync!$D$12)),0),"")</f>
        <v/>
      </c>
      <c r="C4638" s="23" t="str">
        <f aca="false">IF(B4638="","","brand")</f>
        <v/>
      </c>
      <c r="D4638" s="23" t="str">
        <f aca="false">IF(B4638="","",IFERROR(INDEX(Brand_Log!$DV$2:$DV$201,MATCH(IFERROR(INDEX(Clay_Brands!$A$2:$FZ$601,587,Sync!$D$5)&amp;"",""),Brand_Log!$A$2:$A$201,0))&amp;"",IFERROR(INDEX(Clay_Brands!$A$2:$FZ$601,587,Sync!$D$5)&amp;"","")&amp;""))</f>
        <v/>
      </c>
      <c r="E4638" s="23" t="str">
        <f aca="false">IF(B4638="","",IFERROR(INDEX(Clay_Brands!$A$2:$FZ$601,587,Sync!$D$6)&amp;"",""))</f>
        <v/>
      </c>
      <c r="F4638" s="23" t="str">
        <f aca="false">IF(B4638="","","outreach_sent")</f>
        <v/>
      </c>
      <c r="G4638" s="23" t="str">
        <f aca="false">IF(B4638="","","")</f>
        <v/>
      </c>
      <c r="H4638" s="23" t="str">
        <f aca="false">IF(B4638="","","")</f>
        <v/>
      </c>
      <c r="I4638" s="23" t="str">
        <f aca="false">IF(B4638="","","")</f>
        <v/>
      </c>
      <c r="J4638" s="23" t="str">
        <f aca="false">IF(B4638="","","touch_2; "&amp;IFERROR(INDEX(Clay_Brands!$A$2:$FZ$601,587,Sync!$D$10)&amp;"","")&amp;"; "&amp;IFERROR(INDEX(Clay_Brands!$A$2:$FZ$601,587,Sync!$D$9)&amp;"",""))</f>
        <v/>
      </c>
      <c r="K4638" s="32" t="s">
        <v>1367</v>
      </c>
    </row>
    <row r="4639" customFormat="false" ht="15" hidden="false" customHeight="false" outlineLevel="0" collapsed="false">
      <c r="A4639" s="23" t="str">
        <f aca="false">IF(B4639="","",B4639+(16*1000+588)/10000000)</f>
        <v/>
      </c>
      <c r="B4639" s="35" t="str">
        <f aca="false">IF(AND(IFERROR(N(INDEX(Clay_Brands!$A$2:$FZ$601,588,Sync!$D$12)),0)&gt;0,IFERROR(INDEX(Clay_Brands!$A$2:$FZ$601,588,Sync!$D$5)&amp;"","")&lt;&gt;"",OR(LEFT(IFERROR(INDEX(Clay_Brands!$A$2:$FZ$601,588,Sync!$D$5)&amp;"",""),6)&lt;&gt;"SAMPLE",Config!$B$19="Y")),IFERROR(N(INDEX(Clay_Brands!$A$2:$FZ$601,588,Sync!$D$12)),0),"")</f>
        <v/>
      </c>
      <c r="C4639" s="23" t="str">
        <f aca="false">IF(B4639="","","brand")</f>
        <v/>
      </c>
      <c r="D4639" s="23" t="str">
        <f aca="false">IF(B4639="","",IFERROR(INDEX(Brand_Log!$DV$2:$DV$201,MATCH(IFERROR(INDEX(Clay_Brands!$A$2:$FZ$601,588,Sync!$D$5)&amp;"",""),Brand_Log!$A$2:$A$201,0))&amp;"",IFERROR(INDEX(Clay_Brands!$A$2:$FZ$601,588,Sync!$D$5)&amp;"","")&amp;""))</f>
        <v/>
      </c>
      <c r="E4639" s="23" t="str">
        <f aca="false">IF(B4639="","",IFERROR(INDEX(Clay_Brands!$A$2:$FZ$601,588,Sync!$D$6)&amp;"",""))</f>
        <v/>
      </c>
      <c r="F4639" s="23" t="str">
        <f aca="false">IF(B4639="","","outreach_sent")</f>
        <v/>
      </c>
      <c r="G4639" s="23" t="str">
        <f aca="false">IF(B4639="","","")</f>
        <v/>
      </c>
      <c r="H4639" s="23" t="str">
        <f aca="false">IF(B4639="","","")</f>
        <v/>
      </c>
      <c r="I4639" s="23" t="str">
        <f aca="false">IF(B4639="","","")</f>
        <v/>
      </c>
      <c r="J4639" s="23" t="str">
        <f aca="false">IF(B4639="","","touch_2; "&amp;IFERROR(INDEX(Clay_Brands!$A$2:$FZ$601,588,Sync!$D$10)&amp;"","")&amp;"; "&amp;IFERROR(INDEX(Clay_Brands!$A$2:$FZ$601,588,Sync!$D$9)&amp;"",""))</f>
        <v/>
      </c>
      <c r="K4639" s="32" t="s">
        <v>1367</v>
      </c>
    </row>
    <row r="4640" customFormat="false" ht="15" hidden="false" customHeight="false" outlineLevel="0" collapsed="false">
      <c r="A4640" s="23" t="str">
        <f aca="false">IF(B4640="","",B4640+(16*1000+589)/10000000)</f>
        <v/>
      </c>
      <c r="B4640" s="35" t="str">
        <f aca="false">IF(AND(IFERROR(N(INDEX(Clay_Brands!$A$2:$FZ$601,589,Sync!$D$12)),0)&gt;0,IFERROR(INDEX(Clay_Brands!$A$2:$FZ$601,589,Sync!$D$5)&amp;"","")&lt;&gt;"",OR(LEFT(IFERROR(INDEX(Clay_Brands!$A$2:$FZ$601,589,Sync!$D$5)&amp;"",""),6)&lt;&gt;"SAMPLE",Config!$B$19="Y")),IFERROR(N(INDEX(Clay_Brands!$A$2:$FZ$601,589,Sync!$D$12)),0),"")</f>
        <v/>
      </c>
      <c r="C4640" s="23" t="str">
        <f aca="false">IF(B4640="","","brand")</f>
        <v/>
      </c>
      <c r="D4640" s="23" t="str">
        <f aca="false">IF(B4640="","",IFERROR(INDEX(Brand_Log!$DV$2:$DV$201,MATCH(IFERROR(INDEX(Clay_Brands!$A$2:$FZ$601,589,Sync!$D$5)&amp;"",""),Brand_Log!$A$2:$A$201,0))&amp;"",IFERROR(INDEX(Clay_Brands!$A$2:$FZ$601,589,Sync!$D$5)&amp;"","")&amp;""))</f>
        <v/>
      </c>
      <c r="E4640" s="23" t="str">
        <f aca="false">IF(B4640="","",IFERROR(INDEX(Clay_Brands!$A$2:$FZ$601,589,Sync!$D$6)&amp;"",""))</f>
        <v/>
      </c>
      <c r="F4640" s="23" t="str">
        <f aca="false">IF(B4640="","","outreach_sent")</f>
        <v/>
      </c>
      <c r="G4640" s="23" t="str">
        <f aca="false">IF(B4640="","","")</f>
        <v/>
      </c>
      <c r="H4640" s="23" t="str">
        <f aca="false">IF(B4640="","","")</f>
        <v/>
      </c>
      <c r="I4640" s="23" t="str">
        <f aca="false">IF(B4640="","","")</f>
        <v/>
      </c>
      <c r="J4640" s="23" t="str">
        <f aca="false">IF(B4640="","","touch_2; "&amp;IFERROR(INDEX(Clay_Brands!$A$2:$FZ$601,589,Sync!$D$10)&amp;"","")&amp;"; "&amp;IFERROR(INDEX(Clay_Brands!$A$2:$FZ$601,589,Sync!$D$9)&amp;"",""))</f>
        <v/>
      </c>
      <c r="K4640" s="32" t="s">
        <v>1367</v>
      </c>
    </row>
    <row r="4641" customFormat="false" ht="15" hidden="false" customHeight="false" outlineLevel="0" collapsed="false">
      <c r="A4641" s="23" t="str">
        <f aca="false">IF(B4641="","",B4641+(16*1000+590)/10000000)</f>
        <v/>
      </c>
      <c r="B4641" s="35" t="str">
        <f aca="false">IF(AND(IFERROR(N(INDEX(Clay_Brands!$A$2:$FZ$601,590,Sync!$D$12)),0)&gt;0,IFERROR(INDEX(Clay_Brands!$A$2:$FZ$601,590,Sync!$D$5)&amp;"","")&lt;&gt;"",OR(LEFT(IFERROR(INDEX(Clay_Brands!$A$2:$FZ$601,590,Sync!$D$5)&amp;"",""),6)&lt;&gt;"SAMPLE",Config!$B$19="Y")),IFERROR(N(INDEX(Clay_Brands!$A$2:$FZ$601,590,Sync!$D$12)),0),"")</f>
        <v/>
      </c>
      <c r="C4641" s="23" t="str">
        <f aca="false">IF(B4641="","","brand")</f>
        <v/>
      </c>
      <c r="D4641" s="23" t="str">
        <f aca="false">IF(B4641="","",IFERROR(INDEX(Brand_Log!$DV$2:$DV$201,MATCH(IFERROR(INDEX(Clay_Brands!$A$2:$FZ$601,590,Sync!$D$5)&amp;"",""),Brand_Log!$A$2:$A$201,0))&amp;"",IFERROR(INDEX(Clay_Brands!$A$2:$FZ$601,590,Sync!$D$5)&amp;"","")&amp;""))</f>
        <v/>
      </c>
      <c r="E4641" s="23" t="str">
        <f aca="false">IF(B4641="","",IFERROR(INDEX(Clay_Brands!$A$2:$FZ$601,590,Sync!$D$6)&amp;"",""))</f>
        <v/>
      </c>
      <c r="F4641" s="23" t="str">
        <f aca="false">IF(B4641="","","outreach_sent")</f>
        <v/>
      </c>
      <c r="G4641" s="23" t="str">
        <f aca="false">IF(B4641="","","")</f>
        <v/>
      </c>
      <c r="H4641" s="23" t="str">
        <f aca="false">IF(B4641="","","")</f>
        <v/>
      </c>
      <c r="I4641" s="23" t="str">
        <f aca="false">IF(B4641="","","")</f>
        <v/>
      </c>
      <c r="J4641" s="23" t="str">
        <f aca="false">IF(B4641="","","touch_2; "&amp;IFERROR(INDEX(Clay_Brands!$A$2:$FZ$601,590,Sync!$D$10)&amp;"","")&amp;"; "&amp;IFERROR(INDEX(Clay_Brands!$A$2:$FZ$601,590,Sync!$D$9)&amp;"",""))</f>
        <v/>
      </c>
      <c r="K4641" s="32" t="s">
        <v>1367</v>
      </c>
    </row>
    <row r="4642" customFormat="false" ht="15" hidden="false" customHeight="false" outlineLevel="0" collapsed="false">
      <c r="A4642" s="23" t="str">
        <f aca="false">IF(B4642="","",B4642+(16*1000+591)/10000000)</f>
        <v/>
      </c>
      <c r="B4642" s="35" t="str">
        <f aca="false">IF(AND(IFERROR(N(INDEX(Clay_Brands!$A$2:$FZ$601,591,Sync!$D$12)),0)&gt;0,IFERROR(INDEX(Clay_Brands!$A$2:$FZ$601,591,Sync!$D$5)&amp;"","")&lt;&gt;"",OR(LEFT(IFERROR(INDEX(Clay_Brands!$A$2:$FZ$601,591,Sync!$D$5)&amp;"",""),6)&lt;&gt;"SAMPLE",Config!$B$19="Y")),IFERROR(N(INDEX(Clay_Brands!$A$2:$FZ$601,591,Sync!$D$12)),0),"")</f>
        <v/>
      </c>
      <c r="C4642" s="23" t="str">
        <f aca="false">IF(B4642="","","brand")</f>
        <v/>
      </c>
      <c r="D4642" s="23" t="str">
        <f aca="false">IF(B4642="","",IFERROR(INDEX(Brand_Log!$DV$2:$DV$201,MATCH(IFERROR(INDEX(Clay_Brands!$A$2:$FZ$601,591,Sync!$D$5)&amp;"",""),Brand_Log!$A$2:$A$201,0))&amp;"",IFERROR(INDEX(Clay_Brands!$A$2:$FZ$601,591,Sync!$D$5)&amp;"","")&amp;""))</f>
        <v/>
      </c>
      <c r="E4642" s="23" t="str">
        <f aca="false">IF(B4642="","",IFERROR(INDEX(Clay_Brands!$A$2:$FZ$601,591,Sync!$D$6)&amp;"",""))</f>
        <v/>
      </c>
      <c r="F4642" s="23" t="str">
        <f aca="false">IF(B4642="","","outreach_sent")</f>
        <v/>
      </c>
      <c r="G4642" s="23" t="str">
        <f aca="false">IF(B4642="","","")</f>
        <v/>
      </c>
      <c r="H4642" s="23" t="str">
        <f aca="false">IF(B4642="","","")</f>
        <v/>
      </c>
      <c r="I4642" s="23" t="str">
        <f aca="false">IF(B4642="","","")</f>
        <v/>
      </c>
      <c r="J4642" s="23" t="str">
        <f aca="false">IF(B4642="","","touch_2; "&amp;IFERROR(INDEX(Clay_Brands!$A$2:$FZ$601,591,Sync!$D$10)&amp;"","")&amp;"; "&amp;IFERROR(INDEX(Clay_Brands!$A$2:$FZ$601,591,Sync!$D$9)&amp;"",""))</f>
        <v/>
      </c>
      <c r="K4642" s="32" t="s">
        <v>1367</v>
      </c>
    </row>
    <row r="4643" customFormat="false" ht="15" hidden="false" customHeight="false" outlineLevel="0" collapsed="false">
      <c r="A4643" s="23" t="str">
        <f aca="false">IF(B4643="","",B4643+(16*1000+592)/10000000)</f>
        <v/>
      </c>
      <c r="B4643" s="35" t="str">
        <f aca="false">IF(AND(IFERROR(N(INDEX(Clay_Brands!$A$2:$FZ$601,592,Sync!$D$12)),0)&gt;0,IFERROR(INDEX(Clay_Brands!$A$2:$FZ$601,592,Sync!$D$5)&amp;"","")&lt;&gt;"",OR(LEFT(IFERROR(INDEX(Clay_Brands!$A$2:$FZ$601,592,Sync!$D$5)&amp;"",""),6)&lt;&gt;"SAMPLE",Config!$B$19="Y")),IFERROR(N(INDEX(Clay_Brands!$A$2:$FZ$601,592,Sync!$D$12)),0),"")</f>
        <v/>
      </c>
      <c r="C4643" s="23" t="str">
        <f aca="false">IF(B4643="","","brand")</f>
        <v/>
      </c>
      <c r="D4643" s="23" t="str">
        <f aca="false">IF(B4643="","",IFERROR(INDEX(Brand_Log!$DV$2:$DV$201,MATCH(IFERROR(INDEX(Clay_Brands!$A$2:$FZ$601,592,Sync!$D$5)&amp;"",""),Brand_Log!$A$2:$A$201,0))&amp;"",IFERROR(INDEX(Clay_Brands!$A$2:$FZ$601,592,Sync!$D$5)&amp;"","")&amp;""))</f>
        <v/>
      </c>
      <c r="E4643" s="23" t="str">
        <f aca="false">IF(B4643="","",IFERROR(INDEX(Clay_Brands!$A$2:$FZ$601,592,Sync!$D$6)&amp;"",""))</f>
        <v/>
      </c>
      <c r="F4643" s="23" t="str">
        <f aca="false">IF(B4643="","","outreach_sent")</f>
        <v/>
      </c>
      <c r="G4643" s="23" t="str">
        <f aca="false">IF(B4643="","","")</f>
        <v/>
      </c>
      <c r="H4643" s="23" t="str">
        <f aca="false">IF(B4643="","","")</f>
        <v/>
      </c>
      <c r="I4643" s="23" t="str">
        <f aca="false">IF(B4643="","","")</f>
        <v/>
      </c>
      <c r="J4643" s="23" t="str">
        <f aca="false">IF(B4643="","","touch_2; "&amp;IFERROR(INDEX(Clay_Brands!$A$2:$FZ$601,592,Sync!$D$10)&amp;"","")&amp;"; "&amp;IFERROR(INDEX(Clay_Brands!$A$2:$FZ$601,592,Sync!$D$9)&amp;"",""))</f>
        <v/>
      </c>
      <c r="K4643" s="32" t="s">
        <v>1367</v>
      </c>
    </row>
    <row r="4644" customFormat="false" ht="15" hidden="false" customHeight="false" outlineLevel="0" collapsed="false">
      <c r="A4644" s="23" t="str">
        <f aca="false">IF(B4644="","",B4644+(16*1000+593)/10000000)</f>
        <v/>
      </c>
      <c r="B4644" s="35" t="str">
        <f aca="false">IF(AND(IFERROR(N(INDEX(Clay_Brands!$A$2:$FZ$601,593,Sync!$D$12)),0)&gt;0,IFERROR(INDEX(Clay_Brands!$A$2:$FZ$601,593,Sync!$D$5)&amp;"","")&lt;&gt;"",OR(LEFT(IFERROR(INDEX(Clay_Brands!$A$2:$FZ$601,593,Sync!$D$5)&amp;"",""),6)&lt;&gt;"SAMPLE",Config!$B$19="Y")),IFERROR(N(INDEX(Clay_Brands!$A$2:$FZ$601,593,Sync!$D$12)),0),"")</f>
        <v/>
      </c>
      <c r="C4644" s="23" t="str">
        <f aca="false">IF(B4644="","","brand")</f>
        <v/>
      </c>
      <c r="D4644" s="23" t="str">
        <f aca="false">IF(B4644="","",IFERROR(INDEX(Brand_Log!$DV$2:$DV$201,MATCH(IFERROR(INDEX(Clay_Brands!$A$2:$FZ$601,593,Sync!$D$5)&amp;"",""),Brand_Log!$A$2:$A$201,0))&amp;"",IFERROR(INDEX(Clay_Brands!$A$2:$FZ$601,593,Sync!$D$5)&amp;"","")&amp;""))</f>
        <v/>
      </c>
      <c r="E4644" s="23" t="str">
        <f aca="false">IF(B4644="","",IFERROR(INDEX(Clay_Brands!$A$2:$FZ$601,593,Sync!$D$6)&amp;"",""))</f>
        <v/>
      </c>
      <c r="F4644" s="23" t="str">
        <f aca="false">IF(B4644="","","outreach_sent")</f>
        <v/>
      </c>
      <c r="G4644" s="23" t="str">
        <f aca="false">IF(B4644="","","")</f>
        <v/>
      </c>
      <c r="H4644" s="23" t="str">
        <f aca="false">IF(B4644="","","")</f>
        <v/>
      </c>
      <c r="I4644" s="23" t="str">
        <f aca="false">IF(B4644="","","")</f>
        <v/>
      </c>
      <c r="J4644" s="23" t="str">
        <f aca="false">IF(B4644="","","touch_2; "&amp;IFERROR(INDEX(Clay_Brands!$A$2:$FZ$601,593,Sync!$D$10)&amp;"","")&amp;"; "&amp;IFERROR(INDEX(Clay_Brands!$A$2:$FZ$601,593,Sync!$D$9)&amp;"",""))</f>
        <v/>
      </c>
      <c r="K4644" s="32" t="s">
        <v>1367</v>
      </c>
    </row>
    <row r="4645" customFormat="false" ht="15" hidden="false" customHeight="false" outlineLevel="0" collapsed="false">
      <c r="A4645" s="23" t="str">
        <f aca="false">IF(B4645="","",B4645+(16*1000+594)/10000000)</f>
        <v/>
      </c>
      <c r="B4645" s="35" t="str">
        <f aca="false">IF(AND(IFERROR(N(INDEX(Clay_Brands!$A$2:$FZ$601,594,Sync!$D$12)),0)&gt;0,IFERROR(INDEX(Clay_Brands!$A$2:$FZ$601,594,Sync!$D$5)&amp;"","")&lt;&gt;"",OR(LEFT(IFERROR(INDEX(Clay_Brands!$A$2:$FZ$601,594,Sync!$D$5)&amp;"",""),6)&lt;&gt;"SAMPLE",Config!$B$19="Y")),IFERROR(N(INDEX(Clay_Brands!$A$2:$FZ$601,594,Sync!$D$12)),0),"")</f>
        <v/>
      </c>
      <c r="C4645" s="23" t="str">
        <f aca="false">IF(B4645="","","brand")</f>
        <v/>
      </c>
      <c r="D4645" s="23" t="str">
        <f aca="false">IF(B4645="","",IFERROR(INDEX(Brand_Log!$DV$2:$DV$201,MATCH(IFERROR(INDEX(Clay_Brands!$A$2:$FZ$601,594,Sync!$D$5)&amp;"",""),Brand_Log!$A$2:$A$201,0))&amp;"",IFERROR(INDEX(Clay_Brands!$A$2:$FZ$601,594,Sync!$D$5)&amp;"","")&amp;""))</f>
        <v/>
      </c>
      <c r="E4645" s="23" t="str">
        <f aca="false">IF(B4645="","",IFERROR(INDEX(Clay_Brands!$A$2:$FZ$601,594,Sync!$D$6)&amp;"",""))</f>
        <v/>
      </c>
      <c r="F4645" s="23" t="str">
        <f aca="false">IF(B4645="","","outreach_sent")</f>
        <v/>
      </c>
      <c r="G4645" s="23" t="str">
        <f aca="false">IF(B4645="","","")</f>
        <v/>
      </c>
      <c r="H4645" s="23" t="str">
        <f aca="false">IF(B4645="","","")</f>
        <v/>
      </c>
      <c r="I4645" s="23" t="str">
        <f aca="false">IF(B4645="","","")</f>
        <v/>
      </c>
      <c r="J4645" s="23" t="str">
        <f aca="false">IF(B4645="","","touch_2; "&amp;IFERROR(INDEX(Clay_Brands!$A$2:$FZ$601,594,Sync!$D$10)&amp;"","")&amp;"; "&amp;IFERROR(INDEX(Clay_Brands!$A$2:$FZ$601,594,Sync!$D$9)&amp;"",""))</f>
        <v/>
      </c>
      <c r="K4645" s="32" t="s">
        <v>1367</v>
      </c>
    </row>
    <row r="4646" customFormat="false" ht="15" hidden="false" customHeight="false" outlineLevel="0" collapsed="false">
      <c r="A4646" s="23" t="str">
        <f aca="false">IF(B4646="","",B4646+(16*1000+595)/10000000)</f>
        <v/>
      </c>
      <c r="B4646" s="35" t="str">
        <f aca="false">IF(AND(IFERROR(N(INDEX(Clay_Brands!$A$2:$FZ$601,595,Sync!$D$12)),0)&gt;0,IFERROR(INDEX(Clay_Brands!$A$2:$FZ$601,595,Sync!$D$5)&amp;"","")&lt;&gt;"",OR(LEFT(IFERROR(INDEX(Clay_Brands!$A$2:$FZ$601,595,Sync!$D$5)&amp;"",""),6)&lt;&gt;"SAMPLE",Config!$B$19="Y")),IFERROR(N(INDEX(Clay_Brands!$A$2:$FZ$601,595,Sync!$D$12)),0),"")</f>
        <v/>
      </c>
      <c r="C4646" s="23" t="str">
        <f aca="false">IF(B4646="","","brand")</f>
        <v/>
      </c>
      <c r="D4646" s="23" t="str">
        <f aca="false">IF(B4646="","",IFERROR(INDEX(Brand_Log!$DV$2:$DV$201,MATCH(IFERROR(INDEX(Clay_Brands!$A$2:$FZ$601,595,Sync!$D$5)&amp;"",""),Brand_Log!$A$2:$A$201,0))&amp;"",IFERROR(INDEX(Clay_Brands!$A$2:$FZ$601,595,Sync!$D$5)&amp;"","")&amp;""))</f>
        <v/>
      </c>
      <c r="E4646" s="23" t="str">
        <f aca="false">IF(B4646="","",IFERROR(INDEX(Clay_Brands!$A$2:$FZ$601,595,Sync!$D$6)&amp;"",""))</f>
        <v/>
      </c>
      <c r="F4646" s="23" t="str">
        <f aca="false">IF(B4646="","","outreach_sent")</f>
        <v/>
      </c>
      <c r="G4646" s="23" t="str">
        <f aca="false">IF(B4646="","","")</f>
        <v/>
      </c>
      <c r="H4646" s="23" t="str">
        <f aca="false">IF(B4646="","","")</f>
        <v/>
      </c>
      <c r="I4646" s="23" t="str">
        <f aca="false">IF(B4646="","","")</f>
        <v/>
      </c>
      <c r="J4646" s="23" t="str">
        <f aca="false">IF(B4646="","","touch_2; "&amp;IFERROR(INDEX(Clay_Brands!$A$2:$FZ$601,595,Sync!$D$10)&amp;"","")&amp;"; "&amp;IFERROR(INDEX(Clay_Brands!$A$2:$FZ$601,595,Sync!$D$9)&amp;"",""))</f>
        <v/>
      </c>
      <c r="K4646" s="32" t="s">
        <v>1367</v>
      </c>
    </row>
    <row r="4647" customFormat="false" ht="15" hidden="false" customHeight="false" outlineLevel="0" collapsed="false">
      <c r="A4647" s="23" t="str">
        <f aca="false">IF(B4647="","",B4647+(16*1000+596)/10000000)</f>
        <v/>
      </c>
      <c r="B4647" s="35" t="str">
        <f aca="false">IF(AND(IFERROR(N(INDEX(Clay_Brands!$A$2:$FZ$601,596,Sync!$D$12)),0)&gt;0,IFERROR(INDEX(Clay_Brands!$A$2:$FZ$601,596,Sync!$D$5)&amp;"","")&lt;&gt;"",OR(LEFT(IFERROR(INDEX(Clay_Brands!$A$2:$FZ$601,596,Sync!$D$5)&amp;"",""),6)&lt;&gt;"SAMPLE",Config!$B$19="Y")),IFERROR(N(INDEX(Clay_Brands!$A$2:$FZ$601,596,Sync!$D$12)),0),"")</f>
        <v/>
      </c>
      <c r="C4647" s="23" t="str">
        <f aca="false">IF(B4647="","","brand")</f>
        <v/>
      </c>
      <c r="D4647" s="23" t="str">
        <f aca="false">IF(B4647="","",IFERROR(INDEX(Brand_Log!$DV$2:$DV$201,MATCH(IFERROR(INDEX(Clay_Brands!$A$2:$FZ$601,596,Sync!$D$5)&amp;"",""),Brand_Log!$A$2:$A$201,0))&amp;"",IFERROR(INDEX(Clay_Brands!$A$2:$FZ$601,596,Sync!$D$5)&amp;"","")&amp;""))</f>
        <v/>
      </c>
      <c r="E4647" s="23" t="str">
        <f aca="false">IF(B4647="","",IFERROR(INDEX(Clay_Brands!$A$2:$FZ$601,596,Sync!$D$6)&amp;"",""))</f>
        <v/>
      </c>
      <c r="F4647" s="23" t="str">
        <f aca="false">IF(B4647="","","outreach_sent")</f>
        <v/>
      </c>
      <c r="G4647" s="23" t="str">
        <f aca="false">IF(B4647="","","")</f>
        <v/>
      </c>
      <c r="H4647" s="23" t="str">
        <f aca="false">IF(B4647="","","")</f>
        <v/>
      </c>
      <c r="I4647" s="23" t="str">
        <f aca="false">IF(B4647="","","")</f>
        <v/>
      </c>
      <c r="J4647" s="23" t="str">
        <f aca="false">IF(B4647="","","touch_2; "&amp;IFERROR(INDEX(Clay_Brands!$A$2:$FZ$601,596,Sync!$D$10)&amp;"","")&amp;"; "&amp;IFERROR(INDEX(Clay_Brands!$A$2:$FZ$601,596,Sync!$D$9)&amp;"",""))</f>
        <v/>
      </c>
      <c r="K4647" s="32" t="s">
        <v>1367</v>
      </c>
    </row>
    <row r="4648" customFormat="false" ht="15" hidden="false" customHeight="false" outlineLevel="0" collapsed="false">
      <c r="A4648" s="23" t="str">
        <f aca="false">IF(B4648="","",B4648+(16*1000+597)/10000000)</f>
        <v/>
      </c>
      <c r="B4648" s="35" t="str">
        <f aca="false">IF(AND(IFERROR(N(INDEX(Clay_Brands!$A$2:$FZ$601,597,Sync!$D$12)),0)&gt;0,IFERROR(INDEX(Clay_Brands!$A$2:$FZ$601,597,Sync!$D$5)&amp;"","")&lt;&gt;"",OR(LEFT(IFERROR(INDEX(Clay_Brands!$A$2:$FZ$601,597,Sync!$D$5)&amp;"",""),6)&lt;&gt;"SAMPLE",Config!$B$19="Y")),IFERROR(N(INDEX(Clay_Brands!$A$2:$FZ$601,597,Sync!$D$12)),0),"")</f>
        <v/>
      </c>
      <c r="C4648" s="23" t="str">
        <f aca="false">IF(B4648="","","brand")</f>
        <v/>
      </c>
      <c r="D4648" s="23" t="str">
        <f aca="false">IF(B4648="","",IFERROR(INDEX(Brand_Log!$DV$2:$DV$201,MATCH(IFERROR(INDEX(Clay_Brands!$A$2:$FZ$601,597,Sync!$D$5)&amp;"",""),Brand_Log!$A$2:$A$201,0))&amp;"",IFERROR(INDEX(Clay_Brands!$A$2:$FZ$601,597,Sync!$D$5)&amp;"","")&amp;""))</f>
        <v/>
      </c>
      <c r="E4648" s="23" t="str">
        <f aca="false">IF(B4648="","",IFERROR(INDEX(Clay_Brands!$A$2:$FZ$601,597,Sync!$D$6)&amp;"",""))</f>
        <v/>
      </c>
      <c r="F4648" s="23" t="str">
        <f aca="false">IF(B4648="","","outreach_sent")</f>
        <v/>
      </c>
      <c r="G4648" s="23" t="str">
        <f aca="false">IF(B4648="","","")</f>
        <v/>
      </c>
      <c r="H4648" s="23" t="str">
        <f aca="false">IF(B4648="","","")</f>
        <v/>
      </c>
      <c r="I4648" s="23" t="str">
        <f aca="false">IF(B4648="","","")</f>
        <v/>
      </c>
      <c r="J4648" s="23" t="str">
        <f aca="false">IF(B4648="","","touch_2; "&amp;IFERROR(INDEX(Clay_Brands!$A$2:$FZ$601,597,Sync!$D$10)&amp;"","")&amp;"; "&amp;IFERROR(INDEX(Clay_Brands!$A$2:$FZ$601,597,Sync!$D$9)&amp;"",""))</f>
        <v/>
      </c>
      <c r="K4648" s="32" t="s">
        <v>1367</v>
      </c>
    </row>
    <row r="4649" customFormat="false" ht="15" hidden="false" customHeight="false" outlineLevel="0" collapsed="false">
      <c r="A4649" s="23" t="str">
        <f aca="false">IF(B4649="","",B4649+(16*1000+598)/10000000)</f>
        <v/>
      </c>
      <c r="B4649" s="35" t="str">
        <f aca="false">IF(AND(IFERROR(N(INDEX(Clay_Brands!$A$2:$FZ$601,598,Sync!$D$12)),0)&gt;0,IFERROR(INDEX(Clay_Brands!$A$2:$FZ$601,598,Sync!$D$5)&amp;"","")&lt;&gt;"",OR(LEFT(IFERROR(INDEX(Clay_Brands!$A$2:$FZ$601,598,Sync!$D$5)&amp;"",""),6)&lt;&gt;"SAMPLE",Config!$B$19="Y")),IFERROR(N(INDEX(Clay_Brands!$A$2:$FZ$601,598,Sync!$D$12)),0),"")</f>
        <v/>
      </c>
      <c r="C4649" s="23" t="str">
        <f aca="false">IF(B4649="","","brand")</f>
        <v/>
      </c>
      <c r="D4649" s="23" t="str">
        <f aca="false">IF(B4649="","",IFERROR(INDEX(Brand_Log!$DV$2:$DV$201,MATCH(IFERROR(INDEX(Clay_Brands!$A$2:$FZ$601,598,Sync!$D$5)&amp;"",""),Brand_Log!$A$2:$A$201,0))&amp;"",IFERROR(INDEX(Clay_Brands!$A$2:$FZ$601,598,Sync!$D$5)&amp;"","")&amp;""))</f>
        <v/>
      </c>
      <c r="E4649" s="23" t="str">
        <f aca="false">IF(B4649="","",IFERROR(INDEX(Clay_Brands!$A$2:$FZ$601,598,Sync!$D$6)&amp;"",""))</f>
        <v/>
      </c>
      <c r="F4649" s="23" t="str">
        <f aca="false">IF(B4649="","","outreach_sent")</f>
        <v/>
      </c>
      <c r="G4649" s="23" t="str">
        <f aca="false">IF(B4649="","","")</f>
        <v/>
      </c>
      <c r="H4649" s="23" t="str">
        <f aca="false">IF(B4649="","","")</f>
        <v/>
      </c>
      <c r="I4649" s="23" t="str">
        <f aca="false">IF(B4649="","","")</f>
        <v/>
      </c>
      <c r="J4649" s="23" t="str">
        <f aca="false">IF(B4649="","","touch_2; "&amp;IFERROR(INDEX(Clay_Brands!$A$2:$FZ$601,598,Sync!$D$10)&amp;"","")&amp;"; "&amp;IFERROR(INDEX(Clay_Brands!$A$2:$FZ$601,598,Sync!$D$9)&amp;"",""))</f>
        <v/>
      </c>
      <c r="K4649" s="32" t="s">
        <v>1367</v>
      </c>
    </row>
    <row r="4650" customFormat="false" ht="15" hidden="false" customHeight="false" outlineLevel="0" collapsed="false">
      <c r="A4650" s="23" t="str">
        <f aca="false">IF(B4650="","",B4650+(16*1000+599)/10000000)</f>
        <v/>
      </c>
      <c r="B4650" s="35" t="str">
        <f aca="false">IF(AND(IFERROR(N(INDEX(Clay_Brands!$A$2:$FZ$601,599,Sync!$D$12)),0)&gt;0,IFERROR(INDEX(Clay_Brands!$A$2:$FZ$601,599,Sync!$D$5)&amp;"","")&lt;&gt;"",OR(LEFT(IFERROR(INDEX(Clay_Brands!$A$2:$FZ$601,599,Sync!$D$5)&amp;"",""),6)&lt;&gt;"SAMPLE",Config!$B$19="Y")),IFERROR(N(INDEX(Clay_Brands!$A$2:$FZ$601,599,Sync!$D$12)),0),"")</f>
        <v/>
      </c>
      <c r="C4650" s="23" t="str">
        <f aca="false">IF(B4650="","","brand")</f>
        <v/>
      </c>
      <c r="D4650" s="23" t="str">
        <f aca="false">IF(B4650="","",IFERROR(INDEX(Brand_Log!$DV$2:$DV$201,MATCH(IFERROR(INDEX(Clay_Brands!$A$2:$FZ$601,599,Sync!$D$5)&amp;"",""),Brand_Log!$A$2:$A$201,0))&amp;"",IFERROR(INDEX(Clay_Brands!$A$2:$FZ$601,599,Sync!$D$5)&amp;"","")&amp;""))</f>
        <v/>
      </c>
      <c r="E4650" s="23" t="str">
        <f aca="false">IF(B4650="","",IFERROR(INDEX(Clay_Brands!$A$2:$FZ$601,599,Sync!$D$6)&amp;"",""))</f>
        <v/>
      </c>
      <c r="F4650" s="23" t="str">
        <f aca="false">IF(B4650="","","outreach_sent")</f>
        <v/>
      </c>
      <c r="G4650" s="23" t="str">
        <f aca="false">IF(B4650="","","")</f>
        <v/>
      </c>
      <c r="H4650" s="23" t="str">
        <f aca="false">IF(B4650="","","")</f>
        <v/>
      </c>
      <c r="I4650" s="23" t="str">
        <f aca="false">IF(B4650="","","")</f>
        <v/>
      </c>
      <c r="J4650" s="23" t="str">
        <f aca="false">IF(B4650="","","touch_2; "&amp;IFERROR(INDEX(Clay_Brands!$A$2:$FZ$601,599,Sync!$D$10)&amp;"","")&amp;"; "&amp;IFERROR(INDEX(Clay_Brands!$A$2:$FZ$601,599,Sync!$D$9)&amp;"",""))</f>
        <v/>
      </c>
      <c r="K4650" s="32" t="s">
        <v>1367</v>
      </c>
    </row>
    <row r="4651" customFormat="false" ht="15" hidden="false" customHeight="false" outlineLevel="0" collapsed="false">
      <c r="A4651" s="23" t="str">
        <f aca="false">IF(B4651="","",B4651+(16*1000+600)/10000000)</f>
        <v/>
      </c>
      <c r="B4651" s="35" t="str">
        <f aca="false">IF(AND(IFERROR(N(INDEX(Clay_Brands!$A$2:$FZ$601,600,Sync!$D$12)),0)&gt;0,IFERROR(INDEX(Clay_Brands!$A$2:$FZ$601,600,Sync!$D$5)&amp;"","")&lt;&gt;"",OR(LEFT(IFERROR(INDEX(Clay_Brands!$A$2:$FZ$601,600,Sync!$D$5)&amp;"",""),6)&lt;&gt;"SAMPLE",Config!$B$19="Y")),IFERROR(N(INDEX(Clay_Brands!$A$2:$FZ$601,600,Sync!$D$12)),0),"")</f>
        <v/>
      </c>
      <c r="C4651" s="23" t="str">
        <f aca="false">IF(B4651="","","brand")</f>
        <v/>
      </c>
      <c r="D4651" s="23" t="str">
        <f aca="false">IF(B4651="","",IFERROR(INDEX(Brand_Log!$DV$2:$DV$201,MATCH(IFERROR(INDEX(Clay_Brands!$A$2:$FZ$601,600,Sync!$D$5)&amp;"",""),Brand_Log!$A$2:$A$201,0))&amp;"",IFERROR(INDEX(Clay_Brands!$A$2:$FZ$601,600,Sync!$D$5)&amp;"","")&amp;""))</f>
        <v/>
      </c>
      <c r="E4651" s="23" t="str">
        <f aca="false">IF(B4651="","",IFERROR(INDEX(Clay_Brands!$A$2:$FZ$601,600,Sync!$D$6)&amp;"",""))</f>
        <v/>
      </c>
      <c r="F4651" s="23" t="str">
        <f aca="false">IF(B4651="","","outreach_sent")</f>
        <v/>
      </c>
      <c r="G4651" s="23" t="str">
        <f aca="false">IF(B4651="","","")</f>
        <v/>
      </c>
      <c r="H4651" s="23" t="str">
        <f aca="false">IF(B4651="","","")</f>
        <v/>
      </c>
      <c r="I4651" s="23" t="str">
        <f aca="false">IF(B4651="","","")</f>
        <v/>
      </c>
      <c r="J4651" s="23" t="str">
        <f aca="false">IF(B4651="","","touch_2; "&amp;IFERROR(INDEX(Clay_Brands!$A$2:$FZ$601,600,Sync!$D$10)&amp;"","")&amp;"; "&amp;IFERROR(INDEX(Clay_Brands!$A$2:$FZ$601,600,Sync!$D$9)&amp;"",""))</f>
        <v/>
      </c>
      <c r="K4651" s="32" t="s">
        <v>1367</v>
      </c>
    </row>
    <row r="4652" customFormat="false" ht="15" hidden="false" customHeight="false" outlineLevel="0" collapsed="false">
      <c r="A4652" s="23" t="str">
        <f aca="false">IF(B4652="","",B4652+(17*1000+1)/10000000)</f>
        <v/>
      </c>
      <c r="B4652" s="35" t="str">
        <f aca="false">IF(AND(IFERROR(N(INDEX(Clay_Brands!$A$2:$FZ$601,1,Sync!$D$13)),0)&gt;0,IFERROR(INDEX(Clay_Brands!$A$2:$FZ$601,1,Sync!$D$5)&amp;"","")&lt;&gt;"",OR(LEFT(IFERROR(INDEX(Clay_Brands!$A$2:$FZ$601,1,Sync!$D$5)&amp;"",""),6)&lt;&gt;"SAMPLE",Config!$B$19="Y")),IFERROR(N(INDEX(Clay_Brands!$A$2:$FZ$601,1,Sync!$D$13)),0),"")</f>
        <v/>
      </c>
      <c r="C4652" s="23" t="str">
        <f aca="false">IF(B4652="","","brand")</f>
        <v/>
      </c>
      <c r="D4652" s="23" t="str">
        <f aca="false">IF(B4652="","",IFERROR(INDEX(Brand_Log!$DV$2:$DV$201,MATCH(IFERROR(INDEX(Clay_Brands!$A$2:$FZ$601,1,Sync!$D$5)&amp;"",""),Brand_Log!$A$2:$A$201,0))&amp;"",IFERROR(INDEX(Clay_Brands!$A$2:$FZ$601,1,Sync!$D$5)&amp;"","")&amp;""))</f>
        <v/>
      </c>
      <c r="E4652" s="23" t="str">
        <f aca="false">IF(B4652="","",IFERROR(INDEX(Clay_Brands!$A$2:$FZ$601,1,Sync!$D$6)&amp;"",""))</f>
        <v/>
      </c>
      <c r="F4652" s="23" t="str">
        <f aca="false">IF(B4652="","","outreach_sent")</f>
        <v/>
      </c>
      <c r="G4652" s="23" t="str">
        <f aca="false">IF(B4652="","","")</f>
        <v/>
      </c>
      <c r="H4652" s="23" t="str">
        <f aca="false">IF(B4652="","","")</f>
        <v/>
      </c>
      <c r="I4652" s="23" t="str">
        <f aca="false">IF(B4652="","","")</f>
        <v/>
      </c>
      <c r="J4652" s="23" t="str">
        <f aca="false">IF(B4652="","","touch_3; "&amp;IFERROR(INDEX(Clay_Brands!$A$2:$FZ$601,1,Sync!$D$10)&amp;"","")&amp;"; "&amp;IFERROR(INDEX(Clay_Brands!$A$2:$FZ$601,1,Sync!$D$9)&amp;"",""))</f>
        <v/>
      </c>
      <c r="K4652" s="32" t="s">
        <v>1368</v>
      </c>
    </row>
    <row r="4653" customFormat="false" ht="15" hidden="false" customHeight="false" outlineLevel="0" collapsed="false">
      <c r="A4653" s="23" t="str">
        <f aca="false">IF(B4653="","",B4653+(17*1000+2)/10000000)</f>
        <v/>
      </c>
      <c r="B4653" s="35" t="str">
        <f aca="false">IF(AND(IFERROR(N(INDEX(Clay_Brands!$A$2:$FZ$601,2,Sync!$D$13)),0)&gt;0,IFERROR(INDEX(Clay_Brands!$A$2:$FZ$601,2,Sync!$D$5)&amp;"","")&lt;&gt;"",OR(LEFT(IFERROR(INDEX(Clay_Brands!$A$2:$FZ$601,2,Sync!$D$5)&amp;"",""),6)&lt;&gt;"SAMPLE",Config!$B$19="Y")),IFERROR(N(INDEX(Clay_Brands!$A$2:$FZ$601,2,Sync!$D$13)),0),"")</f>
        <v/>
      </c>
      <c r="C4653" s="23" t="str">
        <f aca="false">IF(B4653="","","brand")</f>
        <v/>
      </c>
      <c r="D4653" s="23" t="str">
        <f aca="false">IF(B4653="","",IFERROR(INDEX(Brand_Log!$DV$2:$DV$201,MATCH(IFERROR(INDEX(Clay_Brands!$A$2:$FZ$601,2,Sync!$D$5)&amp;"",""),Brand_Log!$A$2:$A$201,0))&amp;"",IFERROR(INDEX(Clay_Brands!$A$2:$FZ$601,2,Sync!$D$5)&amp;"","")&amp;""))</f>
        <v/>
      </c>
      <c r="E4653" s="23" t="str">
        <f aca="false">IF(B4653="","",IFERROR(INDEX(Clay_Brands!$A$2:$FZ$601,2,Sync!$D$6)&amp;"",""))</f>
        <v/>
      </c>
      <c r="F4653" s="23" t="str">
        <f aca="false">IF(B4653="","","outreach_sent")</f>
        <v/>
      </c>
      <c r="G4653" s="23" t="str">
        <f aca="false">IF(B4653="","","")</f>
        <v/>
      </c>
      <c r="H4653" s="23" t="str">
        <f aca="false">IF(B4653="","","")</f>
        <v/>
      </c>
      <c r="I4653" s="23" t="str">
        <f aca="false">IF(B4653="","","")</f>
        <v/>
      </c>
      <c r="J4653" s="23" t="str">
        <f aca="false">IF(B4653="","","touch_3; "&amp;IFERROR(INDEX(Clay_Brands!$A$2:$FZ$601,2,Sync!$D$10)&amp;"","")&amp;"; "&amp;IFERROR(INDEX(Clay_Brands!$A$2:$FZ$601,2,Sync!$D$9)&amp;"",""))</f>
        <v/>
      </c>
      <c r="K4653" s="32" t="s">
        <v>1368</v>
      </c>
    </row>
    <row r="4654" customFormat="false" ht="15" hidden="false" customHeight="false" outlineLevel="0" collapsed="false">
      <c r="A4654" s="23" t="str">
        <f aca="false">IF(B4654="","",B4654+(17*1000+3)/10000000)</f>
        <v/>
      </c>
      <c r="B4654" s="35" t="str">
        <f aca="false">IF(AND(IFERROR(N(INDEX(Clay_Brands!$A$2:$FZ$601,3,Sync!$D$13)),0)&gt;0,IFERROR(INDEX(Clay_Brands!$A$2:$FZ$601,3,Sync!$D$5)&amp;"","")&lt;&gt;"",OR(LEFT(IFERROR(INDEX(Clay_Brands!$A$2:$FZ$601,3,Sync!$D$5)&amp;"",""),6)&lt;&gt;"SAMPLE",Config!$B$19="Y")),IFERROR(N(INDEX(Clay_Brands!$A$2:$FZ$601,3,Sync!$D$13)),0),"")</f>
        <v/>
      </c>
      <c r="C4654" s="23" t="str">
        <f aca="false">IF(B4654="","","brand")</f>
        <v/>
      </c>
      <c r="D4654" s="23" t="str">
        <f aca="false">IF(B4654="","",IFERROR(INDEX(Brand_Log!$DV$2:$DV$201,MATCH(IFERROR(INDEX(Clay_Brands!$A$2:$FZ$601,3,Sync!$D$5)&amp;"",""),Brand_Log!$A$2:$A$201,0))&amp;"",IFERROR(INDEX(Clay_Brands!$A$2:$FZ$601,3,Sync!$D$5)&amp;"","")&amp;""))</f>
        <v/>
      </c>
      <c r="E4654" s="23" t="str">
        <f aca="false">IF(B4654="","",IFERROR(INDEX(Clay_Brands!$A$2:$FZ$601,3,Sync!$D$6)&amp;"",""))</f>
        <v/>
      </c>
      <c r="F4654" s="23" t="str">
        <f aca="false">IF(B4654="","","outreach_sent")</f>
        <v/>
      </c>
      <c r="G4654" s="23" t="str">
        <f aca="false">IF(B4654="","","")</f>
        <v/>
      </c>
      <c r="H4654" s="23" t="str">
        <f aca="false">IF(B4654="","","")</f>
        <v/>
      </c>
      <c r="I4654" s="23" t="str">
        <f aca="false">IF(B4654="","","")</f>
        <v/>
      </c>
      <c r="J4654" s="23" t="str">
        <f aca="false">IF(B4654="","","touch_3; "&amp;IFERROR(INDEX(Clay_Brands!$A$2:$FZ$601,3,Sync!$D$10)&amp;"","")&amp;"; "&amp;IFERROR(INDEX(Clay_Brands!$A$2:$FZ$601,3,Sync!$D$9)&amp;"",""))</f>
        <v/>
      </c>
      <c r="K4654" s="32" t="s">
        <v>1368</v>
      </c>
    </row>
    <row r="4655" customFormat="false" ht="15" hidden="false" customHeight="false" outlineLevel="0" collapsed="false">
      <c r="A4655" s="23" t="str">
        <f aca="false">IF(B4655="","",B4655+(17*1000+4)/10000000)</f>
        <v/>
      </c>
      <c r="B4655" s="35" t="str">
        <f aca="false">IF(AND(IFERROR(N(INDEX(Clay_Brands!$A$2:$FZ$601,4,Sync!$D$13)),0)&gt;0,IFERROR(INDEX(Clay_Brands!$A$2:$FZ$601,4,Sync!$D$5)&amp;"","")&lt;&gt;"",OR(LEFT(IFERROR(INDEX(Clay_Brands!$A$2:$FZ$601,4,Sync!$D$5)&amp;"",""),6)&lt;&gt;"SAMPLE",Config!$B$19="Y")),IFERROR(N(INDEX(Clay_Brands!$A$2:$FZ$601,4,Sync!$D$13)),0),"")</f>
        <v/>
      </c>
      <c r="C4655" s="23" t="str">
        <f aca="false">IF(B4655="","","brand")</f>
        <v/>
      </c>
      <c r="D4655" s="23" t="str">
        <f aca="false">IF(B4655="","",IFERROR(INDEX(Brand_Log!$DV$2:$DV$201,MATCH(IFERROR(INDEX(Clay_Brands!$A$2:$FZ$601,4,Sync!$D$5)&amp;"",""),Brand_Log!$A$2:$A$201,0))&amp;"",IFERROR(INDEX(Clay_Brands!$A$2:$FZ$601,4,Sync!$D$5)&amp;"","")&amp;""))</f>
        <v/>
      </c>
      <c r="E4655" s="23" t="str">
        <f aca="false">IF(B4655="","",IFERROR(INDEX(Clay_Brands!$A$2:$FZ$601,4,Sync!$D$6)&amp;"",""))</f>
        <v/>
      </c>
      <c r="F4655" s="23" t="str">
        <f aca="false">IF(B4655="","","outreach_sent")</f>
        <v/>
      </c>
      <c r="G4655" s="23" t="str">
        <f aca="false">IF(B4655="","","")</f>
        <v/>
      </c>
      <c r="H4655" s="23" t="str">
        <f aca="false">IF(B4655="","","")</f>
        <v/>
      </c>
      <c r="I4655" s="23" t="str">
        <f aca="false">IF(B4655="","","")</f>
        <v/>
      </c>
      <c r="J4655" s="23" t="str">
        <f aca="false">IF(B4655="","","touch_3; "&amp;IFERROR(INDEX(Clay_Brands!$A$2:$FZ$601,4,Sync!$D$10)&amp;"","")&amp;"; "&amp;IFERROR(INDEX(Clay_Brands!$A$2:$FZ$601,4,Sync!$D$9)&amp;"",""))</f>
        <v/>
      </c>
      <c r="K4655" s="32" t="s">
        <v>1368</v>
      </c>
    </row>
    <row r="4656" customFormat="false" ht="15" hidden="false" customHeight="false" outlineLevel="0" collapsed="false">
      <c r="A4656" s="23" t="str">
        <f aca="false">IF(B4656="","",B4656+(17*1000+5)/10000000)</f>
        <v/>
      </c>
      <c r="B4656" s="35" t="str">
        <f aca="false">IF(AND(IFERROR(N(INDEX(Clay_Brands!$A$2:$FZ$601,5,Sync!$D$13)),0)&gt;0,IFERROR(INDEX(Clay_Brands!$A$2:$FZ$601,5,Sync!$D$5)&amp;"","")&lt;&gt;"",OR(LEFT(IFERROR(INDEX(Clay_Brands!$A$2:$FZ$601,5,Sync!$D$5)&amp;"",""),6)&lt;&gt;"SAMPLE",Config!$B$19="Y")),IFERROR(N(INDEX(Clay_Brands!$A$2:$FZ$601,5,Sync!$D$13)),0),"")</f>
        <v/>
      </c>
      <c r="C4656" s="23" t="str">
        <f aca="false">IF(B4656="","","brand")</f>
        <v/>
      </c>
      <c r="D4656" s="23" t="str">
        <f aca="false">IF(B4656="","",IFERROR(INDEX(Brand_Log!$DV$2:$DV$201,MATCH(IFERROR(INDEX(Clay_Brands!$A$2:$FZ$601,5,Sync!$D$5)&amp;"",""),Brand_Log!$A$2:$A$201,0))&amp;"",IFERROR(INDEX(Clay_Brands!$A$2:$FZ$601,5,Sync!$D$5)&amp;"","")&amp;""))</f>
        <v/>
      </c>
      <c r="E4656" s="23" t="str">
        <f aca="false">IF(B4656="","",IFERROR(INDEX(Clay_Brands!$A$2:$FZ$601,5,Sync!$D$6)&amp;"",""))</f>
        <v/>
      </c>
      <c r="F4656" s="23" t="str">
        <f aca="false">IF(B4656="","","outreach_sent")</f>
        <v/>
      </c>
      <c r="G4656" s="23" t="str">
        <f aca="false">IF(B4656="","","")</f>
        <v/>
      </c>
      <c r="H4656" s="23" t="str">
        <f aca="false">IF(B4656="","","")</f>
        <v/>
      </c>
      <c r="I4656" s="23" t="str">
        <f aca="false">IF(B4656="","","")</f>
        <v/>
      </c>
      <c r="J4656" s="23" t="str">
        <f aca="false">IF(B4656="","","touch_3; "&amp;IFERROR(INDEX(Clay_Brands!$A$2:$FZ$601,5,Sync!$D$10)&amp;"","")&amp;"; "&amp;IFERROR(INDEX(Clay_Brands!$A$2:$FZ$601,5,Sync!$D$9)&amp;"",""))</f>
        <v/>
      </c>
      <c r="K4656" s="32" t="s">
        <v>1368</v>
      </c>
    </row>
    <row r="4657" customFormat="false" ht="15" hidden="false" customHeight="false" outlineLevel="0" collapsed="false">
      <c r="A4657" s="23" t="str">
        <f aca="false">IF(B4657="","",B4657+(17*1000+6)/10000000)</f>
        <v/>
      </c>
      <c r="B4657" s="35" t="str">
        <f aca="false">IF(AND(IFERROR(N(INDEX(Clay_Brands!$A$2:$FZ$601,6,Sync!$D$13)),0)&gt;0,IFERROR(INDEX(Clay_Brands!$A$2:$FZ$601,6,Sync!$D$5)&amp;"","")&lt;&gt;"",OR(LEFT(IFERROR(INDEX(Clay_Brands!$A$2:$FZ$601,6,Sync!$D$5)&amp;"",""),6)&lt;&gt;"SAMPLE",Config!$B$19="Y")),IFERROR(N(INDEX(Clay_Brands!$A$2:$FZ$601,6,Sync!$D$13)),0),"")</f>
        <v/>
      </c>
      <c r="C4657" s="23" t="str">
        <f aca="false">IF(B4657="","","brand")</f>
        <v/>
      </c>
      <c r="D4657" s="23" t="str">
        <f aca="false">IF(B4657="","",IFERROR(INDEX(Brand_Log!$DV$2:$DV$201,MATCH(IFERROR(INDEX(Clay_Brands!$A$2:$FZ$601,6,Sync!$D$5)&amp;"",""),Brand_Log!$A$2:$A$201,0))&amp;"",IFERROR(INDEX(Clay_Brands!$A$2:$FZ$601,6,Sync!$D$5)&amp;"","")&amp;""))</f>
        <v/>
      </c>
      <c r="E4657" s="23" t="str">
        <f aca="false">IF(B4657="","",IFERROR(INDEX(Clay_Brands!$A$2:$FZ$601,6,Sync!$D$6)&amp;"",""))</f>
        <v/>
      </c>
      <c r="F4657" s="23" t="str">
        <f aca="false">IF(B4657="","","outreach_sent")</f>
        <v/>
      </c>
      <c r="G4657" s="23" t="str">
        <f aca="false">IF(B4657="","","")</f>
        <v/>
      </c>
      <c r="H4657" s="23" t="str">
        <f aca="false">IF(B4657="","","")</f>
        <v/>
      </c>
      <c r="I4657" s="23" t="str">
        <f aca="false">IF(B4657="","","")</f>
        <v/>
      </c>
      <c r="J4657" s="23" t="str">
        <f aca="false">IF(B4657="","","touch_3; "&amp;IFERROR(INDEX(Clay_Brands!$A$2:$FZ$601,6,Sync!$D$10)&amp;"","")&amp;"; "&amp;IFERROR(INDEX(Clay_Brands!$A$2:$FZ$601,6,Sync!$D$9)&amp;"",""))</f>
        <v/>
      </c>
      <c r="K4657" s="32" t="s">
        <v>1368</v>
      </c>
    </row>
    <row r="4658" customFormat="false" ht="15" hidden="false" customHeight="false" outlineLevel="0" collapsed="false">
      <c r="A4658" s="23" t="str">
        <f aca="false">IF(B4658="","",B4658+(17*1000+7)/10000000)</f>
        <v/>
      </c>
      <c r="B4658" s="35" t="str">
        <f aca="false">IF(AND(IFERROR(N(INDEX(Clay_Brands!$A$2:$FZ$601,7,Sync!$D$13)),0)&gt;0,IFERROR(INDEX(Clay_Brands!$A$2:$FZ$601,7,Sync!$D$5)&amp;"","")&lt;&gt;"",OR(LEFT(IFERROR(INDEX(Clay_Brands!$A$2:$FZ$601,7,Sync!$D$5)&amp;"",""),6)&lt;&gt;"SAMPLE",Config!$B$19="Y")),IFERROR(N(INDEX(Clay_Brands!$A$2:$FZ$601,7,Sync!$D$13)),0),"")</f>
        <v/>
      </c>
      <c r="C4658" s="23" t="str">
        <f aca="false">IF(B4658="","","brand")</f>
        <v/>
      </c>
      <c r="D4658" s="23" t="str">
        <f aca="false">IF(B4658="","",IFERROR(INDEX(Brand_Log!$DV$2:$DV$201,MATCH(IFERROR(INDEX(Clay_Brands!$A$2:$FZ$601,7,Sync!$D$5)&amp;"",""),Brand_Log!$A$2:$A$201,0))&amp;"",IFERROR(INDEX(Clay_Brands!$A$2:$FZ$601,7,Sync!$D$5)&amp;"","")&amp;""))</f>
        <v/>
      </c>
      <c r="E4658" s="23" t="str">
        <f aca="false">IF(B4658="","",IFERROR(INDEX(Clay_Brands!$A$2:$FZ$601,7,Sync!$D$6)&amp;"",""))</f>
        <v/>
      </c>
      <c r="F4658" s="23" t="str">
        <f aca="false">IF(B4658="","","outreach_sent")</f>
        <v/>
      </c>
      <c r="G4658" s="23" t="str">
        <f aca="false">IF(B4658="","","")</f>
        <v/>
      </c>
      <c r="H4658" s="23" t="str">
        <f aca="false">IF(B4658="","","")</f>
        <v/>
      </c>
      <c r="I4658" s="23" t="str">
        <f aca="false">IF(B4658="","","")</f>
        <v/>
      </c>
      <c r="J4658" s="23" t="str">
        <f aca="false">IF(B4658="","","touch_3; "&amp;IFERROR(INDEX(Clay_Brands!$A$2:$FZ$601,7,Sync!$D$10)&amp;"","")&amp;"; "&amp;IFERROR(INDEX(Clay_Brands!$A$2:$FZ$601,7,Sync!$D$9)&amp;"",""))</f>
        <v/>
      </c>
      <c r="K4658" s="32" t="s">
        <v>1368</v>
      </c>
    </row>
    <row r="4659" customFormat="false" ht="15" hidden="false" customHeight="false" outlineLevel="0" collapsed="false">
      <c r="A4659" s="23" t="str">
        <f aca="false">IF(B4659="","",B4659+(17*1000+8)/10000000)</f>
        <v/>
      </c>
      <c r="B4659" s="35" t="str">
        <f aca="false">IF(AND(IFERROR(N(INDEX(Clay_Brands!$A$2:$FZ$601,8,Sync!$D$13)),0)&gt;0,IFERROR(INDEX(Clay_Brands!$A$2:$FZ$601,8,Sync!$D$5)&amp;"","")&lt;&gt;"",OR(LEFT(IFERROR(INDEX(Clay_Brands!$A$2:$FZ$601,8,Sync!$D$5)&amp;"",""),6)&lt;&gt;"SAMPLE",Config!$B$19="Y")),IFERROR(N(INDEX(Clay_Brands!$A$2:$FZ$601,8,Sync!$D$13)),0),"")</f>
        <v/>
      </c>
      <c r="C4659" s="23" t="str">
        <f aca="false">IF(B4659="","","brand")</f>
        <v/>
      </c>
      <c r="D4659" s="23" t="str">
        <f aca="false">IF(B4659="","",IFERROR(INDEX(Brand_Log!$DV$2:$DV$201,MATCH(IFERROR(INDEX(Clay_Brands!$A$2:$FZ$601,8,Sync!$D$5)&amp;"",""),Brand_Log!$A$2:$A$201,0))&amp;"",IFERROR(INDEX(Clay_Brands!$A$2:$FZ$601,8,Sync!$D$5)&amp;"","")&amp;""))</f>
        <v/>
      </c>
      <c r="E4659" s="23" t="str">
        <f aca="false">IF(B4659="","",IFERROR(INDEX(Clay_Brands!$A$2:$FZ$601,8,Sync!$D$6)&amp;"",""))</f>
        <v/>
      </c>
      <c r="F4659" s="23" t="str">
        <f aca="false">IF(B4659="","","outreach_sent")</f>
        <v/>
      </c>
      <c r="G4659" s="23" t="str">
        <f aca="false">IF(B4659="","","")</f>
        <v/>
      </c>
      <c r="H4659" s="23" t="str">
        <f aca="false">IF(B4659="","","")</f>
        <v/>
      </c>
      <c r="I4659" s="23" t="str">
        <f aca="false">IF(B4659="","","")</f>
        <v/>
      </c>
      <c r="J4659" s="23" t="str">
        <f aca="false">IF(B4659="","","touch_3; "&amp;IFERROR(INDEX(Clay_Brands!$A$2:$FZ$601,8,Sync!$D$10)&amp;"","")&amp;"; "&amp;IFERROR(INDEX(Clay_Brands!$A$2:$FZ$601,8,Sync!$D$9)&amp;"",""))</f>
        <v/>
      </c>
      <c r="K4659" s="32" t="s">
        <v>1368</v>
      </c>
    </row>
    <row r="4660" customFormat="false" ht="15" hidden="false" customHeight="false" outlineLevel="0" collapsed="false">
      <c r="A4660" s="23" t="str">
        <f aca="false">IF(B4660="","",B4660+(17*1000+9)/10000000)</f>
        <v/>
      </c>
      <c r="B4660" s="35" t="str">
        <f aca="false">IF(AND(IFERROR(N(INDEX(Clay_Brands!$A$2:$FZ$601,9,Sync!$D$13)),0)&gt;0,IFERROR(INDEX(Clay_Brands!$A$2:$FZ$601,9,Sync!$D$5)&amp;"","")&lt;&gt;"",OR(LEFT(IFERROR(INDEX(Clay_Brands!$A$2:$FZ$601,9,Sync!$D$5)&amp;"",""),6)&lt;&gt;"SAMPLE",Config!$B$19="Y")),IFERROR(N(INDEX(Clay_Brands!$A$2:$FZ$601,9,Sync!$D$13)),0),"")</f>
        <v/>
      </c>
      <c r="C4660" s="23" t="str">
        <f aca="false">IF(B4660="","","brand")</f>
        <v/>
      </c>
      <c r="D4660" s="23" t="str">
        <f aca="false">IF(B4660="","",IFERROR(INDEX(Brand_Log!$DV$2:$DV$201,MATCH(IFERROR(INDEX(Clay_Brands!$A$2:$FZ$601,9,Sync!$D$5)&amp;"",""),Brand_Log!$A$2:$A$201,0))&amp;"",IFERROR(INDEX(Clay_Brands!$A$2:$FZ$601,9,Sync!$D$5)&amp;"","")&amp;""))</f>
        <v/>
      </c>
      <c r="E4660" s="23" t="str">
        <f aca="false">IF(B4660="","",IFERROR(INDEX(Clay_Brands!$A$2:$FZ$601,9,Sync!$D$6)&amp;"",""))</f>
        <v/>
      </c>
      <c r="F4660" s="23" t="str">
        <f aca="false">IF(B4660="","","outreach_sent")</f>
        <v/>
      </c>
      <c r="G4660" s="23" t="str">
        <f aca="false">IF(B4660="","","")</f>
        <v/>
      </c>
      <c r="H4660" s="23" t="str">
        <f aca="false">IF(B4660="","","")</f>
        <v/>
      </c>
      <c r="I4660" s="23" t="str">
        <f aca="false">IF(B4660="","","")</f>
        <v/>
      </c>
      <c r="J4660" s="23" t="str">
        <f aca="false">IF(B4660="","","touch_3; "&amp;IFERROR(INDEX(Clay_Brands!$A$2:$FZ$601,9,Sync!$D$10)&amp;"","")&amp;"; "&amp;IFERROR(INDEX(Clay_Brands!$A$2:$FZ$601,9,Sync!$D$9)&amp;"",""))</f>
        <v/>
      </c>
      <c r="K4660" s="32" t="s">
        <v>1368</v>
      </c>
    </row>
    <row r="4661" customFormat="false" ht="15" hidden="false" customHeight="false" outlineLevel="0" collapsed="false">
      <c r="A4661" s="23" t="str">
        <f aca="false">IF(B4661="","",B4661+(17*1000+10)/10000000)</f>
        <v/>
      </c>
      <c r="B4661" s="35" t="str">
        <f aca="false">IF(AND(IFERROR(N(INDEX(Clay_Brands!$A$2:$FZ$601,10,Sync!$D$13)),0)&gt;0,IFERROR(INDEX(Clay_Brands!$A$2:$FZ$601,10,Sync!$D$5)&amp;"","")&lt;&gt;"",OR(LEFT(IFERROR(INDEX(Clay_Brands!$A$2:$FZ$601,10,Sync!$D$5)&amp;"",""),6)&lt;&gt;"SAMPLE",Config!$B$19="Y")),IFERROR(N(INDEX(Clay_Brands!$A$2:$FZ$601,10,Sync!$D$13)),0),"")</f>
        <v/>
      </c>
      <c r="C4661" s="23" t="str">
        <f aca="false">IF(B4661="","","brand")</f>
        <v/>
      </c>
      <c r="D4661" s="23" t="str">
        <f aca="false">IF(B4661="","",IFERROR(INDEX(Brand_Log!$DV$2:$DV$201,MATCH(IFERROR(INDEX(Clay_Brands!$A$2:$FZ$601,10,Sync!$D$5)&amp;"",""),Brand_Log!$A$2:$A$201,0))&amp;"",IFERROR(INDEX(Clay_Brands!$A$2:$FZ$601,10,Sync!$D$5)&amp;"","")&amp;""))</f>
        <v/>
      </c>
      <c r="E4661" s="23" t="str">
        <f aca="false">IF(B4661="","",IFERROR(INDEX(Clay_Brands!$A$2:$FZ$601,10,Sync!$D$6)&amp;"",""))</f>
        <v/>
      </c>
      <c r="F4661" s="23" t="str">
        <f aca="false">IF(B4661="","","outreach_sent")</f>
        <v/>
      </c>
      <c r="G4661" s="23" t="str">
        <f aca="false">IF(B4661="","","")</f>
        <v/>
      </c>
      <c r="H4661" s="23" t="str">
        <f aca="false">IF(B4661="","","")</f>
        <v/>
      </c>
      <c r="I4661" s="23" t="str">
        <f aca="false">IF(B4661="","","")</f>
        <v/>
      </c>
      <c r="J4661" s="23" t="str">
        <f aca="false">IF(B4661="","","touch_3; "&amp;IFERROR(INDEX(Clay_Brands!$A$2:$FZ$601,10,Sync!$D$10)&amp;"","")&amp;"; "&amp;IFERROR(INDEX(Clay_Brands!$A$2:$FZ$601,10,Sync!$D$9)&amp;"",""))</f>
        <v/>
      </c>
      <c r="K4661" s="32" t="s">
        <v>1368</v>
      </c>
    </row>
    <row r="4662" customFormat="false" ht="15" hidden="false" customHeight="false" outlineLevel="0" collapsed="false">
      <c r="A4662" s="23" t="str">
        <f aca="false">IF(B4662="","",B4662+(17*1000+11)/10000000)</f>
        <v/>
      </c>
      <c r="B4662" s="35" t="str">
        <f aca="false">IF(AND(IFERROR(N(INDEX(Clay_Brands!$A$2:$FZ$601,11,Sync!$D$13)),0)&gt;0,IFERROR(INDEX(Clay_Brands!$A$2:$FZ$601,11,Sync!$D$5)&amp;"","")&lt;&gt;"",OR(LEFT(IFERROR(INDEX(Clay_Brands!$A$2:$FZ$601,11,Sync!$D$5)&amp;"",""),6)&lt;&gt;"SAMPLE",Config!$B$19="Y")),IFERROR(N(INDEX(Clay_Brands!$A$2:$FZ$601,11,Sync!$D$13)),0),"")</f>
        <v/>
      </c>
      <c r="C4662" s="23" t="str">
        <f aca="false">IF(B4662="","","brand")</f>
        <v/>
      </c>
      <c r="D4662" s="23" t="str">
        <f aca="false">IF(B4662="","",IFERROR(INDEX(Brand_Log!$DV$2:$DV$201,MATCH(IFERROR(INDEX(Clay_Brands!$A$2:$FZ$601,11,Sync!$D$5)&amp;"",""),Brand_Log!$A$2:$A$201,0))&amp;"",IFERROR(INDEX(Clay_Brands!$A$2:$FZ$601,11,Sync!$D$5)&amp;"","")&amp;""))</f>
        <v/>
      </c>
      <c r="E4662" s="23" t="str">
        <f aca="false">IF(B4662="","",IFERROR(INDEX(Clay_Brands!$A$2:$FZ$601,11,Sync!$D$6)&amp;"",""))</f>
        <v/>
      </c>
      <c r="F4662" s="23" t="str">
        <f aca="false">IF(B4662="","","outreach_sent")</f>
        <v/>
      </c>
      <c r="G4662" s="23" t="str">
        <f aca="false">IF(B4662="","","")</f>
        <v/>
      </c>
      <c r="H4662" s="23" t="str">
        <f aca="false">IF(B4662="","","")</f>
        <v/>
      </c>
      <c r="I4662" s="23" t="str">
        <f aca="false">IF(B4662="","","")</f>
        <v/>
      </c>
      <c r="J4662" s="23" t="str">
        <f aca="false">IF(B4662="","","touch_3; "&amp;IFERROR(INDEX(Clay_Brands!$A$2:$FZ$601,11,Sync!$D$10)&amp;"","")&amp;"; "&amp;IFERROR(INDEX(Clay_Brands!$A$2:$FZ$601,11,Sync!$D$9)&amp;"",""))</f>
        <v/>
      </c>
      <c r="K4662" s="32" t="s">
        <v>1368</v>
      </c>
    </row>
    <row r="4663" customFormat="false" ht="15" hidden="false" customHeight="false" outlineLevel="0" collapsed="false">
      <c r="A4663" s="23" t="str">
        <f aca="false">IF(B4663="","",B4663+(17*1000+12)/10000000)</f>
        <v/>
      </c>
      <c r="B4663" s="35" t="str">
        <f aca="false">IF(AND(IFERROR(N(INDEX(Clay_Brands!$A$2:$FZ$601,12,Sync!$D$13)),0)&gt;0,IFERROR(INDEX(Clay_Brands!$A$2:$FZ$601,12,Sync!$D$5)&amp;"","")&lt;&gt;"",OR(LEFT(IFERROR(INDEX(Clay_Brands!$A$2:$FZ$601,12,Sync!$D$5)&amp;"",""),6)&lt;&gt;"SAMPLE",Config!$B$19="Y")),IFERROR(N(INDEX(Clay_Brands!$A$2:$FZ$601,12,Sync!$D$13)),0),"")</f>
        <v/>
      </c>
      <c r="C4663" s="23" t="str">
        <f aca="false">IF(B4663="","","brand")</f>
        <v/>
      </c>
      <c r="D4663" s="23" t="str">
        <f aca="false">IF(B4663="","",IFERROR(INDEX(Brand_Log!$DV$2:$DV$201,MATCH(IFERROR(INDEX(Clay_Brands!$A$2:$FZ$601,12,Sync!$D$5)&amp;"",""),Brand_Log!$A$2:$A$201,0))&amp;"",IFERROR(INDEX(Clay_Brands!$A$2:$FZ$601,12,Sync!$D$5)&amp;"","")&amp;""))</f>
        <v/>
      </c>
      <c r="E4663" s="23" t="str">
        <f aca="false">IF(B4663="","",IFERROR(INDEX(Clay_Brands!$A$2:$FZ$601,12,Sync!$D$6)&amp;"",""))</f>
        <v/>
      </c>
      <c r="F4663" s="23" t="str">
        <f aca="false">IF(B4663="","","outreach_sent")</f>
        <v/>
      </c>
      <c r="G4663" s="23" t="str">
        <f aca="false">IF(B4663="","","")</f>
        <v/>
      </c>
      <c r="H4663" s="23" t="str">
        <f aca="false">IF(B4663="","","")</f>
        <v/>
      </c>
      <c r="I4663" s="23" t="str">
        <f aca="false">IF(B4663="","","")</f>
        <v/>
      </c>
      <c r="J4663" s="23" t="str">
        <f aca="false">IF(B4663="","","touch_3; "&amp;IFERROR(INDEX(Clay_Brands!$A$2:$FZ$601,12,Sync!$D$10)&amp;"","")&amp;"; "&amp;IFERROR(INDEX(Clay_Brands!$A$2:$FZ$601,12,Sync!$D$9)&amp;"",""))</f>
        <v/>
      </c>
      <c r="K4663" s="32" t="s">
        <v>1368</v>
      </c>
    </row>
    <row r="4664" customFormat="false" ht="15" hidden="false" customHeight="false" outlineLevel="0" collapsed="false">
      <c r="A4664" s="23" t="str">
        <f aca="false">IF(B4664="","",B4664+(17*1000+13)/10000000)</f>
        <v/>
      </c>
      <c r="B4664" s="35" t="str">
        <f aca="false">IF(AND(IFERROR(N(INDEX(Clay_Brands!$A$2:$FZ$601,13,Sync!$D$13)),0)&gt;0,IFERROR(INDEX(Clay_Brands!$A$2:$FZ$601,13,Sync!$D$5)&amp;"","")&lt;&gt;"",OR(LEFT(IFERROR(INDEX(Clay_Brands!$A$2:$FZ$601,13,Sync!$D$5)&amp;"",""),6)&lt;&gt;"SAMPLE",Config!$B$19="Y")),IFERROR(N(INDEX(Clay_Brands!$A$2:$FZ$601,13,Sync!$D$13)),0),"")</f>
        <v/>
      </c>
      <c r="C4664" s="23" t="str">
        <f aca="false">IF(B4664="","","brand")</f>
        <v/>
      </c>
      <c r="D4664" s="23" t="str">
        <f aca="false">IF(B4664="","",IFERROR(INDEX(Brand_Log!$DV$2:$DV$201,MATCH(IFERROR(INDEX(Clay_Brands!$A$2:$FZ$601,13,Sync!$D$5)&amp;"",""),Brand_Log!$A$2:$A$201,0))&amp;"",IFERROR(INDEX(Clay_Brands!$A$2:$FZ$601,13,Sync!$D$5)&amp;"","")&amp;""))</f>
        <v/>
      </c>
      <c r="E4664" s="23" t="str">
        <f aca="false">IF(B4664="","",IFERROR(INDEX(Clay_Brands!$A$2:$FZ$601,13,Sync!$D$6)&amp;"",""))</f>
        <v/>
      </c>
      <c r="F4664" s="23" t="str">
        <f aca="false">IF(B4664="","","outreach_sent")</f>
        <v/>
      </c>
      <c r="G4664" s="23" t="str">
        <f aca="false">IF(B4664="","","")</f>
        <v/>
      </c>
      <c r="H4664" s="23" t="str">
        <f aca="false">IF(B4664="","","")</f>
        <v/>
      </c>
      <c r="I4664" s="23" t="str">
        <f aca="false">IF(B4664="","","")</f>
        <v/>
      </c>
      <c r="J4664" s="23" t="str">
        <f aca="false">IF(B4664="","","touch_3; "&amp;IFERROR(INDEX(Clay_Brands!$A$2:$FZ$601,13,Sync!$D$10)&amp;"","")&amp;"; "&amp;IFERROR(INDEX(Clay_Brands!$A$2:$FZ$601,13,Sync!$D$9)&amp;"",""))</f>
        <v/>
      </c>
      <c r="K4664" s="32" t="s">
        <v>1368</v>
      </c>
    </row>
    <row r="4665" customFormat="false" ht="15" hidden="false" customHeight="false" outlineLevel="0" collapsed="false">
      <c r="A4665" s="23" t="str">
        <f aca="false">IF(B4665="","",B4665+(17*1000+14)/10000000)</f>
        <v/>
      </c>
      <c r="B4665" s="35" t="str">
        <f aca="false">IF(AND(IFERROR(N(INDEX(Clay_Brands!$A$2:$FZ$601,14,Sync!$D$13)),0)&gt;0,IFERROR(INDEX(Clay_Brands!$A$2:$FZ$601,14,Sync!$D$5)&amp;"","")&lt;&gt;"",OR(LEFT(IFERROR(INDEX(Clay_Brands!$A$2:$FZ$601,14,Sync!$D$5)&amp;"",""),6)&lt;&gt;"SAMPLE",Config!$B$19="Y")),IFERROR(N(INDEX(Clay_Brands!$A$2:$FZ$601,14,Sync!$D$13)),0),"")</f>
        <v/>
      </c>
      <c r="C4665" s="23" t="str">
        <f aca="false">IF(B4665="","","brand")</f>
        <v/>
      </c>
      <c r="D4665" s="23" t="str">
        <f aca="false">IF(B4665="","",IFERROR(INDEX(Brand_Log!$DV$2:$DV$201,MATCH(IFERROR(INDEX(Clay_Brands!$A$2:$FZ$601,14,Sync!$D$5)&amp;"",""),Brand_Log!$A$2:$A$201,0))&amp;"",IFERROR(INDEX(Clay_Brands!$A$2:$FZ$601,14,Sync!$D$5)&amp;"","")&amp;""))</f>
        <v/>
      </c>
      <c r="E4665" s="23" t="str">
        <f aca="false">IF(B4665="","",IFERROR(INDEX(Clay_Brands!$A$2:$FZ$601,14,Sync!$D$6)&amp;"",""))</f>
        <v/>
      </c>
      <c r="F4665" s="23" t="str">
        <f aca="false">IF(B4665="","","outreach_sent")</f>
        <v/>
      </c>
      <c r="G4665" s="23" t="str">
        <f aca="false">IF(B4665="","","")</f>
        <v/>
      </c>
      <c r="H4665" s="23" t="str">
        <f aca="false">IF(B4665="","","")</f>
        <v/>
      </c>
      <c r="I4665" s="23" t="str">
        <f aca="false">IF(B4665="","","")</f>
        <v/>
      </c>
      <c r="J4665" s="23" t="str">
        <f aca="false">IF(B4665="","","touch_3; "&amp;IFERROR(INDEX(Clay_Brands!$A$2:$FZ$601,14,Sync!$D$10)&amp;"","")&amp;"; "&amp;IFERROR(INDEX(Clay_Brands!$A$2:$FZ$601,14,Sync!$D$9)&amp;"",""))</f>
        <v/>
      </c>
      <c r="K4665" s="32" t="s">
        <v>1368</v>
      </c>
    </row>
    <row r="4666" customFormat="false" ht="15" hidden="false" customHeight="false" outlineLevel="0" collapsed="false">
      <c r="A4666" s="23" t="str">
        <f aca="false">IF(B4666="","",B4666+(17*1000+15)/10000000)</f>
        <v/>
      </c>
      <c r="B4666" s="35" t="str">
        <f aca="false">IF(AND(IFERROR(N(INDEX(Clay_Brands!$A$2:$FZ$601,15,Sync!$D$13)),0)&gt;0,IFERROR(INDEX(Clay_Brands!$A$2:$FZ$601,15,Sync!$D$5)&amp;"","")&lt;&gt;"",OR(LEFT(IFERROR(INDEX(Clay_Brands!$A$2:$FZ$601,15,Sync!$D$5)&amp;"",""),6)&lt;&gt;"SAMPLE",Config!$B$19="Y")),IFERROR(N(INDEX(Clay_Brands!$A$2:$FZ$601,15,Sync!$D$13)),0),"")</f>
        <v/>
      </c>
      <c r="C4666" s="23" t="str">
        <f aca="false">IF(B4666="","","brand")</f>
        <v/>
      </c>
      <c r="D4666" s="23" t="str">
        <f aca="false">IF(B4666="","",IFERROR(INDEX(Brand_Log!$DV$2:$DV$201,MATCH(IFERROR(INDEX(Clay_Brands!$A$2:$FZ$601,15,Sync!$D$5)&amp;"",""),Brand_Log!$A$2:$A$201,0))&amp;"",IFERROR(INDEX(Clay_Brands!$A$2:$FZ$601,15,Sync!$D$5)&amp;"","")&amp;""))</f>
        <v/>
      </c>
      <c r="E4666" s="23" t="str">
        <f aca="false">IF(B4666="","",IFERROR(INDEX(Clay_Brands!$A$2:$FZ$601,15,Sync!$D$6)&amp;"",""))</f>
        <v/>
      </c>
      <c r="F4666" s="23" t="str">
        <f aca="false">IF(B4666="","","outreach_sent")</f>
        <v/>
      </c>
      <c r="G4666" s="23" t="str">
        <f aca="false">IF(B4666="","","")</f>
        <v/>
      </c>
      <c r="H4666" s="23" t="str">
        <f aca="false">IF(B4666="","","")</f>
        <v/>
      </c>
      <c r="I4666" s="23" t="str">
        <f aca="false">IF(B4666="","","")</f>
        <v/>
      </c>
      <c r="J4666" s="23" t="str">
        <f aca="false">IF(B4666="","","touch_3; "&amp;IFERROR(INDEX(Clay_Brands!$A$2:$FZ$601,15,Sync!$D$10)&amp;"","")&amp;"; "&amp;IFERROR(INDEX(Clay_Brands!$A$2:$FZ$601,15,Sync!$D$9)&amp;"",""))</f>
        <v/>
      </c>
      <c r="K4666" s="32" t="s">
        <v>1368</v>
      </c>
    </row>
    <row r="4667" customFormat="false" ht="15" hidden="false" customHeight="false" outlineLevel="0" collapsed="false">
      <c r="A4667" s="23" t="str">
        <f aca="false">IF(B4667="","",B4667+(17*1000+16)/10000000)</f>
        <v/>
      </c>
      <c r="B4667" s="35" t="str">
        <f aca="false">IF(AND(IFERROR(N(INDEX(Clay_Brands!$A$2:$FZ$601,16,Sync!$D$13)),0)&gt;0,IFERROR(INDEX(Clay_Brands!$A$2:$FZ$601,16,Sync!$D$5)&amp;"","")&lt;&gt;"",OR(LEFT(IFERROR(INDEX(Clay_Brands!$A$2:$FZ$601,16,Sync!$D$5)&amp;"",""),6)&lt;&gt;"SAMPLE",Config!$B$19="Y")),IFERROR(N(INDEX(Clay_Brands!$A$2:$FZ$601,16,Sync!$D$13)),0),"")</f>
        <v/>
      </c>
      <c r="C4667" s="23" t="str">
        <f aca="false">IF(B4667="","","brand")</f>
        <v/>
      </c>
      <c r="D4667" s="23" t="str">
        <f aca="false">IF(B4667="","",IFERROR(INDEX(Brand_Log!$DV$2:$DV$201,MATCH(IFERROR(INDEX(Clay_Brands!$A$2:$FZ$601,16,Sync!$D$5)&amp;"",""),Brand_Log!$A$2:$A$201,0))&amp;"",IFERROR(INDEX(Clay_Brands!$A$2:$FZ$601,16,Sync!$D$5)&amp;"","")&amp;""))</f>
        <v/>
      </c>
      <c r="E4667" s="23" t="str">
        <f aca="false">IF(B4667="","",IFERROR(INDEX(Clay_Brands!$A$2:$FZ$601,16,Sync!$D$6)&amp;"",""))</f>
        <v/>
      </c>
      <c r="F4667" s="23" t="str">
        <f aca="false">IF(B4667="","","outreach_sent")</f>
        <v/>
      </c>
      <c r="G4667" s="23" t="str">
        <f aca="false">IF(B4667="","","")</f>
        <v/>
      </c>
      <c r="H4667" s="23" t="str">
        <f aca="false">IF(B4667="","","")</f>
        <v/>
      </c>
      <c r="I4667" s="23" t="str">
        <f aca="false">IF(B4667="","","")</f>
        <v/>
      </c>
      <c r="J4667" s="23" t="str">
        <f aca="false">IF(B4667="","","touch_3; "&amp;IFERROR(INDEX(Clay_Brands!$A$2:$FZ$601,16,Sync!$D$10)&amp;"","")&amp;"; "&amp;IFERROR(INDEX(Clay_Brands!$A$2:$FZ$601,16,Sync!$D$9)&amp;"",""))</f>
        <v/>
      </c>
      <c r="K4667" s="32" t="s">
        <v>1368</v>
      </c>
    </row>
    <row r="4668" customFormat="false" ht="15" hidden="false" customHeight="false" outlineLevel="0" collapsed="false">
      <c r="A4668" s="23" t="str">
        <f aca="false">IF(B4668="","",B4668+(17*1000+17)/10000000)</f>
        <v/>
      </c>
      <c r="B4668" s="35" t="str">
        <f aca="false">IF(AND(IFERROR(N(INDEX(Clay_Brands!$A$2:$FZ$601,17,Sync!$D$13)),0)&gt;0,IFERROR(INDEX(Clay_Brands!$A$2:$FZ$601,17,Sync!$D$5)&amp;"","")&lt;&gt;"",OR(LEFT(IFERROR(INDEX(Clay_Brands!$A$2:$FZ$601,17,Sync!$D$5)&amp;"",""),6)&lt;&gt;"SAMPLE",Config!$B$19="Y")),IFERROR(N(INDEX(Clay_Brands!$A$2:$FZ$601,17,Sync!$D$13)),0),"")</f>
        <v/>
      </c>
      <c r="C4668" s="23" t="str">
        <f aca="false">IF(B4668="","","brand")</f>
        <v/>
      </c>
      <c r="D4668" s="23" t="str">
        <f aca="false">IF(B4668="","",IFERROR(INDEX(Brand_Log!$DV$2:$DV$201,MATCH(IFERROR(INDEX(Clay_Brands!$A$2:$FZ$601,17,Sync!$D$5)&amp;"",""),Brand_Log!$A$2:$A$201,0))&amp;"",IFERROR(INDEX(Clay_Brands!$A$2:$FZ$601,17,Sync!$D$5)&amp;"","")&amp;""))</f>
        <v/>
      </c>
      <c r="E4668" s="23" t="str">
        <f aca="false">IF(B4668="","",IFERROR(INDEX(Clay_Brands!$A$2:$FZ$601,17,Sync!$D$6)&amp;"",""))</f>
        <v/>
      </c>
      <c r="F4668" s="23" t="str">
        <f aca="false">IF(B4668="","","outreach_sent")</f>
        <v/>
      </c>
      <c r="G4668" s="23" t="str">
        <f aca="false">IF(B4668="","","")</f>
        <v/>
      </c>
      <c r="H4668" s="23" t="str">
        <f aca="false">IF(B4668="","","")</f>
        <v/>
      </c>
      <c r="I4668" s="23" t="str">
        <f aca="false">IF(B4668="","","")</f>
        <v/>
      </c>
      <c r="J4668" s="23" t="str">
        <f aca="false">IF(B4668="","","touch_3; "&amp;IFERROR(INDEX(Clay_Brands!$A$2:$FZ$601,17,Sync!$D$10)&amp;"","")&amp;"; "&amp;IFERROR(INDEX(Clay_Brands!$A$2:$FZ$601,17,Sync!$D$9)&amp;"",""))</f>
        <v/>
      </c>
      <c r="K4668" s="32" t="s">
        <v>1368</v>
      </c>
    </row>
    <row r="4669" customFormat="false" ht="15" hidden="false" customHeight="false" outlineLevel="0" collapsed="false">
      <c r="A4669" s="23" t="str">
        <f aca="false">IF(B4669="","",B4669+(17*1000+18)/10000000)</f>
        <v/>
      </c>
      <c r="B4669" s="35" t="str">
        <f aca="false">IF(AND(IFERROR(N(INDEX(Clay_Brands!$A$2:$FZ$601,18,Sync!$D$13)),0)&gt;0,IFERROR(INDEX(Clay_Brands!$A$2:$FZ$601,18,Sync!$D$5)&amp;"","")&lt;&gt;"",OR(LEFT(IFERROR(INDEX(Clay_Brands!$A$2:$FZ$601,18,Sync!$D$5)&amp;"",""),6)&lt;&gt;"SAMPLE",Config!$B$19="Y")),IFERROR(N(INDEX(Clay_Brands!$A$2:$FZ$601,18,Sync!$D$13)),0),"")</f>
        <v/>
      </c>
      <c r="C4669" s="23" t="str">
        <f aca="false">IF(B4669="","","brand")</f>
        <v/>
      </c>
      <c r="D4669" s="23" t="str">
        <f aca="false">IF(B4669="","",IFERROR(INDEX(Brand_Log!$DV$2:$DV$201,MATCH(IFERROR(INDEX(Clay_Brands!$A$2:$FZ$601,18,Sync!$D$5)&amp;"",""),Brand_Log!$A$2:$A$201,0))&amp;"",IFERROR(INDEX(Clay_Brands!$A$2:$FZ$601,18,Sync!$D$5)&amp;"","")&amp;""))</f>
        <v/>
      </c>
      <c r="E4669" s="23" t="str">
        <f aca="false">IF(B4669="","",IFERROR(INDEX(Clay_Brands!$A$2:$FZ$601,18,Sync!$D$6)&amp;"",""))</f>
        <v/>
      </c>
      <c r="F4669" s="23" t="str">
        <f aca="false">IF(B4669="","","outreach_sent")</f>
        <v/>
      </c>
      <c r="G4669" s="23" t="str">
        <f aca="false">IF(B4669="","","")</f>
        <v/>
      </c>
      <c r="H4669" s="23" t="str">
        <f aca="false">IF(B4669="","","")</f>
        <v/>
      </c>
      <c r="I4669" s="23" t="str">
        <f aca="false">IF(B4669="","","")</f>
        <v/>
      </c>
      <c r="J4669" s="23" t="str">
        <f aca="false">IF(B4669="","","touch_3; "&amp;IFERROR(INDEX(Clay_Brands!$A$2:$FZ$601,18,Sync!$D$10)&amp;"","")&amp;"; "&amp;IFERROR(INDEX(Clay_Brands!$A$2:$FZ$601,18,Sync!$D$9)&amp;"",""))</f>
        <v/>
      </c>
      <c r="K4669" s="32" t="s">
        <v>1368</v>
      </c>
    </row>
    <row r="4670" customFormat="false" ht="15" hidden="false" customHeight="false" outlineLevel="0" collapsed="false">
      <c r="A4670" s="23" t="str">
        <f aca="false">IF(B4670="","",B4670+(17*1000+19)/10000000)</f>
        <v/>
      </c>
      <c r="B4670" s="35" t="str">
        <f aca="false">IF(AND(IFERROR(N(INDEX(Clay_Brands!$A$2:$FZ$601,19,Sync!$D$13)),0)&gt;0,IFERROR(INDEX(Clay_Brands!$A$2:$FZ$601,19,Sync!$D$5)&amp;"","")&lt;&gt;"",OR(LEFT(IFERROR(INDEX(Clay_Brands!$A$2:$FZ$601,19,Sync!$D$5)&amp;"",""),6)&lt;&gt;"SAMPLE",Config!$B$19="Y")),IFERROR(N(INDEX(Clay_Brands!$A$2:$FZ$601,19,Sync!$D$13)),0),"")</f>
        <v/>
      </c>
      <c r="C4670" s="23" t="str">
        <f aca="false">IF(B4670="","","brand")</f>
        <v/>
      </c>
      <c r="D4670" s="23" t="str">
        <f aca="false">IF(B4670="","",IFERROR(INDEX(Brand_Log!$DV$2:$DV$201,MATCH(IFERROR(INDEX(Clay_Brands!$A$2:$FZ$601,19,Sync!$D$5)&amp;"",""),Brand_Log!$A$2:$A$201,0))&amp;"",IFERROR(INDEX(Clay_Brands!$A$2:$FZ$601,19,Sync!$D$5)&amp;"","")&amp;""))</f>
        <v/>
      </c>
      <c r="E4670" s="23" t="str">
        <f aca="false">IF(B4670="","",IFERROR(INDEX(Clay_Brands!$A$2:$FZ$601,19,Sync!$D$6)&amp;"",""))</f>
        <v/>
      </c>
      <c r="F4670" s="23" t="str">
        <f aca="false">IF(B4670="","","outreach_sent")</f>
        <v/>
      </c>
      <c r="G4670" s="23" t="str">
        <f aca="false">IF(B4670="","","")</f>
        <v/>
      </c>
      <c r="H4670" s="23" t="str">
        <f aca="false">IF(B4670="","","")</f>
        <v/>
      </c>
      <c r="I4670" s="23" t="str">
        <f aca="false">IF(B4670="","","")</f>
        <v/>
      </c>
      <c r="J4670" s="23" t="str">
        <f aca="false">IF(B4670="","","touch_3; "&amp;IFERROR(INDEX(Clay_Brands!$A$2:$FZ$601,19,Sync!$D$10)&amp;"","")&amp;"; "&amp;IFERROR(INDEX(Clay_Brands!$A$2:$FZ$601,19,Sync!$D$9)&amp;"",""))</f>
        <v/>
      </c>
      <c r="K4670" s="32" t="s">
        <v>1368</v>
      </c>
    </row>
    <row r="4671" customFormat="false" ht="15" hidden="false" customHeight="false" outlineLevel="0" collapsed="false">
      <c r="A4671" s="23" t="str">
        <f aca="false">IF(B4671="","",B4671+(17*1000+20)/10000000)</f>
        <v/>
      </c>
      <c r="B4671" s="35" t="str">
        <f aca="false">IF(AND(IFERROR(N(INDEX(Clay_Brands!$A$2:$FZ$601,20,Sync!$D$13)),0)&gt;0,IFERROR(INDEX(Clay_Brands!$A$2:$FZ$601,20,Sync!$D$5)&amp;"","")&lt;&gt;"",OR(LEFT(IFERROR(INDEX(Clay_Brands!$A$2:$FZ$601,20,Sync!$D$5)&amp;"",""),6)&lt;&gt;"SAMPLE",Config!$B$19="Y")),IFERROR(N(INDEX(Clay_Brands!$A$2:$FZ$601,20,Sync!$D$13)),0),"")</f>
        <v/>
      </c>
      <c r="C4671" s="23" t="str">
        <f aca="false">IF(B4671="","","brand")</f>
        <v/>
      </c>
      <c r="D4671" s="23" t="str">
        <f aca="false">IF(B4671="","",IFERROR(INDEX(Brand_Log!$DV$2:$DV$201,MATCH(IFERROR(INDEX(Clay_Brands!$A$2:$FZ$601,20,Sync!$D$5)&amp;"",""),Brand_Log!$A$2:$A$201,0))&amp;"",IFERROR(INDEX(Clay_Brands!$A$2:$FZ$601,20,Sync!$D$5)&amp;"","")&amp;""))</f>
        <v/>
      </c>
      <c r="E4671" s="23" t="str">
        <f aca="false">IF(B4671="","",IFERROR(INDEX(Clay_Brands!$A$2:$FZ$601,20,Sync!$D$6)&amp;"",""))</f>
        <v/>
      </c>
      <c r="F4671" s="23" t="str">
        <f aca="false">IF(B4671="","","outreach_sent")</f>
        <v/>
      </c>
      <c r="G4671" s="23" t="str">
        <f aca="false">IF(B4671="","","")</f>
        <v/>
      </c>
      <c r="H4671" s="23" t="str">
        <f aca="false">IF(B4671="","","")</f>
        <v/>
      </c>
      <c r="I4671" s="23" t="str">
        <f aca="false">IF(B4671="","","")</f>
        <v/>
      </c>
      <c r="J4671" s="23" t="str">
        <f aca="false">IF(B4671="","","touch_3; "&amp;IFERROR(INDEX(Clay_Brands!$A$2:$FZ$601,20,Sync!$D$10)&amp;"","")&amp;"; "&amp;IFERROR(INDEX(Clay_Brands!$A$2:$FZ$601,20,Sync!$D$9)&amp;"",""))</f>
        <v/>
      </c>
      <c r="K4671" s="32" t="s">
        <v>1368</v>
      </c>
    </row>
    <row r="4672" customFormat="false" ht="15" hidden="false" customHeight="false" outlineLevel="0" collapsed="false">
      <c r="A4672" s="23" t="str">
        <f aca="false">IF(B4672="","",B4672+(17*1000+21)/10000000)</f>
        <v/>
      </c>
      <c r="B4672" s="35" t="str">
        <f aca="false">IF(AND(IFERROR(N(INDEX(Clay_Brands!$A$2:$FZ$601,21,Sync!$D$13)),0)&gt;0,IFERROR(INDEX(Clay_Brands!$A$2:$FZ$601,21,Sync!$D$5)&amp;"","")&lt;&gt;"",OR(LEFT(IFERROR(INDEX(Clay_Brands!$A$2:$FZ$601,21,Sync!$D$5)&amp;"",""),6)&lt;&gt;"SAMPLE",Config!$B$19="Y")),IFERROR(N(INDEX(Clay_Brands!$A$2:$FZ$601,21,Sync!$D$13)),0),"")</f>
        <v/>
      </c>
      <c r="C4672" s="23" t="str">
        <f aca="false">IF(B4672="","","brand")</f>
        <v/>
      </c>
      <c r="D4672" s="23" t="str">
        <f aca="false">IF(B4672="","",IFERROR(INDEX(Brand_Log!$DV$2:$DV$201,MATCH(IFERROR(INDEX(Clay_Brands!$A$2:$FZ$601,21,Sync!$D$5)&amp;"",""),Brand_Log!$A$2:$A$201,0))&amp;"",IFERROR(INDEX(Clay_Brands!$A$2:$FZ$601,21,Sync!$D$5)&amp;"","")&amp;""))</f>
        <v/>
      </c>
      <c r="E4672" s="23" t="str">
        <f aca="false">IF(B4672="","",IFERROR(INDEX(Clay_Brands!$A$2:$FZ$601,21,Sync!$D$6)&amp;"",""))</f>
        <v/>
      </c>
      <c r="F4672" s="23" t="str">
        <f aca="false">IF(B4672="","","outreach_sent")</f>
        <v/>
      </c>
      <c r="G4672" s="23" t="str">
        <f aca="false">IF(B4672="","","")</f>
        <v/>
      </c>
      <c r="H4672" s="23" t="str">
        <f aca="false">IF(B4672="","","")</f>
        <v/>
      </c>
      <c r="I4672" s="23" t="str">
        <f aca="false">IF(B4672="","","")</f>
        <v/>
      </c>
      <c r="J4672" s="23" t="str">
        <f aca="false">IF(B4672="","","touch_3; "&amp;IFERROR(INDEX(Clay_Brands!$A$2:$FZ$601,21,Sync!$D$10)&amp;"","")&amp;"; "&amp;IFERROR(INDEX(Clay_Brands!$A$2:$FZ$601,21,Sync!$D$9)&amp;"",""))</f>
        <v/>
      </c>
      <c r="K4672" s="32" t="s">
        <v>1368</v>
      </c>
    </row>
    <row r="4673" customFormat="false" ht="15" hidden="false" customHeight="false" outlineLevel="0" collapsed="false">
      <c r="A4673" s="42" t="n">
        <f aca="false">IF(B4673="","",B4673+(17*1000+22)/10000000)</f>
        <v>46344.0017022</v>
      </c>
      <c r="B4673" s="35" t="n">
        <f aca="false">IF(AND(IFERROR(N(INDEX(Clay_Brands!$A$2:$FZ$601,22,Sync!$D$13)),0)&gt;0,IFERROR(INDEX(Clay_Brands!$A$2:$FZ$601,22,Sync!$D$5)&amp;"","")&lt;&gt;"",OR(LEFT(IFERROR(INDEX(Clay_Brands!$A$2:$FZ$601,22,Sync!$D$5)&amp;"",""),6)&lt;&gt;"SAMPLE",Config!$B$19="Y")),IFERROR(N(INDEX(Clay_Brands!$A$2:$FZ$601,22,Sync!$D$13)),0),"")</f>
        <v>46344</v>
      </c>
      <c r="C4673" s="23" t="str">
        <f aca="false">IF(B4673="","","brand")</f>
        <v>brand</v>
      </c>
      <c r="D4673" s="23" t="str">
        <f aca="false">IF(B4673="","",IFERROR(INDEX(Brand_Log!$DV$2:$DV$201,MATCH(IFERROR(INDEX(Clay_Brands!$A$2:$FZ$601,22,Sync!$D$5)&amp;"",""),Brand_Log!$A$2:$A$201,0))&amp;"",IFERROR(INDEX(Clay_Brands!$A$2:$FZ$601,22,Sync!$D$5)&amp;"","")&amp;""))</f>
        <v>SAMPLE-B-022</v>
      </c>
      <c r="E4673" s="23" t="str">
        <f aca="false">IF(B4673="","",IFERROR(INDEX(Clay_Brands!$A$2:$FZ$601,22,Sync!$D$6)&amp;"",""))</f>
        <v>SAMPLE Brand 22</v>
      </c>
      <c r="F4673" s="23" t="str">
        <f aca="false">IF(B4673="","","outreach_sent")</f>
        <v>outreach_sent</v>
      </c>
      <c r="G4673" s="23" t="str">
        <f aca="false">IF(B4673="","","")</f>
        <v/>
      </c>
      <c r="H4673" s="23" t="str">
        <f aca="false">IF(B4673="","","")</f>
        <v/>
      </c>
      <c r="I4673" s="23" t="str">
        <f aca="false">IF(B4673="","","")</f>
        <v/>
      </c>
      <c r="J4673" s="23" t="str">
        <f aca="false">IF(B4673="","","touch_3; "&amp;IFERROR(INDEX(Clay_Brands!$A$2:$FZ$601,22,Sync!$D$10)&amp;"","")&amp;"; "&amp;IFERROR(INDEX(Clay_Brands!$A$2:$FZ$601,22,Sync!$D$9)&amp;"",""))</f>
        <v>touch_3; brand-discovery-B; linkedin</v>
      </c>
      <c r="K4673" s="32" t="s">
        <v>1368</v>
      </c>
    </row>
    <row r="4674" customFormat="false" ht="15" hidden="false" customHeight="false" outlineLevel="0" collapsed="false">
      <c r="A4674" s="23" t="str">
        <f aca="false">IF(B4674="","",B4674+(17*1000+23)/10000000)</f>
        <v/>
      </c>
      <c r="B4674" s="35" t="str">
        <f aca="false">IF(AND(IFERROR(N(INDEX(Clay_Brands!$A$2:$FZ$601,23,Sync!$D$13)),0)&gt;0,IFERROR(INDEX(Clay_Brands!$A$2:$FZ$601,23,Sync!$D$5)&amp;"","")&lt;&gt;"",OR(LEFT(IFERROR(INDEX(Clay_Brands!$A$2:$FZ$601,23,Sync!$D$5)&amp;"",""),6)&lt;&gt;"SAMPLE",Config!$B$19="Y")),IFERROR(N(INDEX(Clay_Brands!$A$2:$FZ$601,23,Sync!$D$13)),0),"")</f>
        <v/>
      </c>
      <c r="C4674" s="23" t="str">
        <f aca="false">IF(B4674="","","brand")</f>
        <v/>
      </c>
      <c r="D4674" s="23" t="str">
        <f aca="false">IF(B4674="","",IFERROR(INDEX(Brand_Log!$DV$2:$DV$201,MATCH(IFERROR(INDEX(Clay_Brands!$A$2:$FZ$601,23,Sync!$D$5)&amp;"",""),Brand_Log!$A$2:$A$201,0))&amp;"",IFERROR(INDEX(Clay_Brands!$A$2:$FZ$601,23,Sync!$D$5)&amp;"","")&amp;""))</f>
        <v/>
      </c>
      <c r="E4674" s="23" t="str">
        <f aca="false">IF(B4674="","",IFERROR(INDEX(Clay_Brands!$A$2:$FZ$601,23,Sync!$D$6)&amp;"",""))</f>
        <v/>
      </c>
      <c r="F4674" s="23" t="str">
        <f aca="false">IF(B4674="","","outreach_sent")</f>
        <v/>
      </c>
      <c r="G4674" s="23" t="str">
        <f aca="false">IF(B4674="","","")</f>
        <v/>
      </c>
      <c r="H4674" s="23" t="str">
        <f aca="false">IF(B4674="","","")</f>
        <v/>
      </c>
      <c r="I4674" s="23" t="str">
        <f aca="false">IF(B4674="","","")</f>
        <v/>
      </c>
      <c r="J4674" s="23" t="str">
        <f aca="false">IF(B4674="","","touch_3; "&amp;IFERROR(INDEX(Clay_Brands!$A$2:$FZ$601,23,Sync!$D$10)&amp;"","")&amp;"; "&amp;IFERROR(INDEX(Clay_Brands!$A$2:$FZ$601,23,Sync!$D$9)&amp;"",""))</f>
        <v/>
      </c>
      <c r="K4674" s="32" t="s">
        <v>1368</v>
      </c>
    </row>
    <row r="4675" customFormat="false" ht="15" hidden="false" customHeight="false" outlineLevel="0" collapsed="false">
      <c r="A4675" s="23" t="str">
        <f aca="false">IF(B4675="","",B4675+(17*1000+24)/10000000)</f>
        <v/>
      </c>
      <c r="B4675" s="35" t="str">
        <f aca="false">IF(AND(IFERROR(N(INDEX(Clay_Brands!$A$2:$FZ$601,24,Sync!$D$13)),0)&gt;0,IFERROR(INDEX(Clay_Brands!$A$2:$FZ$601,24,Sync!$D$5)&amp;"","")&lt;&gt;"",OR(LEFT(IFERROR(INDEX(Clay_Brands!$A$2:$FZ$601,24,Sync!$D$5)&amp;"",""),6)&lt;&gt;"SAMPLE",Config!$B$19="Y")),IFERROR(N(INDEX(Clay_Brands!$A$2:$FZ$601,24,Sync!$D$13)),0),"")</f>
        <v/>
      </c>
      <c r="C4675" s="23" t="str">
        <f aca="false">IF(B4675="","","brand")</f>
        <v/>
      </c>
      <c r="D4675" s="23" t="str">
        <f aca="false">IF(B4675="","",IFERROR(INDEX(Brand_Log!$DV$2:$DV$201,MATCH(IFERROR(INDEX(Clay_Brands!$A$2:$FZ$601,24,Sync!$D$5)&amp;"",""),Brand_Log!$A$2:$A$201,0))&amp;"",IFERROR(INDEX(Clay_Brands!$A$2:$FZ$601,24,Sync!$D$5)&amp;"","")&amp;""))</f>
        <v/>
      </c>
      <c r="E4675" s="23" t="str">
        <f aca="false">IF(B4675="","",IFERROR(INDEX(Clay_Brands!$A$2:$FZ$601,24,Sync!$D$6)&amp;"",""))</f>
        <v/>
      </c>
      <c r="F4675" s="23" t="str">
        <f aca="false">IF(B4675="","","outreach_sent")</f>
        <v/>
      </c>
      <c r="G4675" s="23" t="str">
        <f aca="false">IF(B4675="","","")</f>
        <v/>
      </c>
      <c r="H4675" s="23" t="str">
        <f aca="false">IF(B4675="","","")</f>
        <v/>
      </c>
      <c r="I4675" s="23" t="str">
        <f aca="false">IF(B4675="","","")</f>
        <v/>
      </c>
      <c r="J4675" s="23" t="str">
        <f aca="false">IF(B4675="","","touch_3; "&amp;IFERROR(INDEX(Clay_Brands!$A$2:$FZ$601,24,Sync!$D$10)&amp;"","")&amp;"; "&amp;IFERROR(INDEX(Clay_Brands!$A$2:$FZ$601,24,Sync!$D$9)&amp;"",""))</f>
        <v/>
      </c>
      <c r="K4675" s="32" t="s">
        <v>1368</v>
      </c>
    </row>
    <row r="4676" customFormat="false" ht="15" hidden="false" customHeight="false" outlineLevel="0" collapsed="false">
      <c r="A4676" s="23" t="str">
        <f aca="false">IF(B4676="","",B4676+(17*1000+25)/10000000)</f>
        <v/>
      </c>
      <c r="B4676" s="35" t="str">
        <f aca="false">IF(AND(IFERROR(N(INDEX(Clay_Brands!$A$2:$FZ$601,25,Sync!$D$13)),0)&gt;0,IFERROR(INDEX(Clay_Brands!$A$2:$FZ$601,25,Sync!$D$5)&amp;"","")&lt;&gt;"",OR(LEFT(IFERROR(INDEX(Clay_Brands!$A$2:$FZ$601,25,Sync!$D$5)&amp;"",""),6)&lt;&gt;"SAMPLE",Config!$B$19="Y")),IFERROR(N(INDEX(Clay_Brands!$A$2:$FZ$601,25,Sync!$D$13)),0),"")</f>
        <v/>
      </c>
      <c r="C4676" s="23" t="str">
        <f aca="false">IF(B4676="","","brand")</f>
        <v/>
      </c>
      <c r="D4676" s="23" t="str">
        <f aca="false">IF(B4676="","",IFERROR(INDEX(Brand_Log!$DV$2:$DV$201,MATCH(IFERROR(INDEX(Clay_Brands!$A$2:$FZ$601,25,Sync!$D$5)&amp;"",""),Brand_Log!$A$2:$A$201,0))&amp;"",IFERROR(INDEX(Clay_Brands!$A$2:$FZ$601,25,Sync!$D$5)&amp;"","")&amp;""))</f>
        <v/>
      </c>
      <c r="E4676" s="23" t="str">
        <f aca="false">IF(B4676="","",IFERROR(INDEX(Clay_Brands!$A$2:$FZ$601,25,Sync!$D$6)&amp;"",""))</f>
        <v/>
      </c>
      <c r="F4676" s="23" t="str">
        <f aca="false">IF(B4676="","","outreach_sent")</f>
        <v/>
      </c>
      <c r="G4676" s="23" t="str">
        <f aca="false">IF(B4676="","","")</f>
        <v/>
      </c>
      <c r="H4676" s="23" t="str">
        <f aca="false">IF(B4676="","","")</f>
        <v/>
      </c>
      <c r="I4676" s="23" t="str">
        <f aca="false">IF(B4676="","","")</f>
        <v/>
      </c>
      <c r="J4676" s="23" t="str">
        <f aca="false">IF(B4676="","","touch_3; "&amp;IFERROR(INDEX(Clay_Brands!$A$2:$FZ$601,25,Sync!$D$10)&amp;"","")&amp;"; "&amp;IFERROR(INDEX(Clay_Brands!$A$2:$FZ$601,25,Sync!$D$9)&amp;"",""))</f>
        <v/>
      </c>
      <c r="K4676" s="32" t="s">
        <v>1368</v>
      </c>
    </row>
    <row r="4677" customFormat="false" ht="15" hidden="false" customHeight="false" outlineLevel="0" collapsed="false">
      <c r="A4677" s="23" t="str">
        <f aca="false">IF(B4677="","",B4677+(17*1000+26)/10000000)</f>
        <v/>
      </c>
      <c r="B4677" s="35" t="str">
        <f aca="false">IF(AND(IFERROR(N(INDEX(Clay_Brands!$A$2:$FZ$601,26,Sync!$D$13)),0)&gt;0,IFERROR(INDEX(Clay_Brands!$A$2:$FZ$601,26,Sync!$D$5)&amp;"","")&lt;&gt;"",OR(LEFT(IFERROR(INDEX(Clay_Brands!$A$2:$FZ$601,26,Sync!$D$5)&amp;"",""),6)&lt;&gt;"SAMPLE",Config!$B$19="Y")),IFERROR(N(INDEX(Clay_Brands!$A$2:$FZ$601,26,Sync!$D$13)),0),"")</f>
        <v/>
      </c>
      <c r="C4677" s="23" t="str">
        <f aca="false">IF(B4677="","","brand")</f>
        <v/>
      </c>
      <c r="D4677" s="23" t="str">
        <f aca="false">IF(B4677="","",IFERROR(INDEX(Brand_Log!$DV$2:$DV$201,MATCH(IFERROR(INDEX(Clay_Brands!$A$2:$FZ$601,26,Sync!$D$5)&amp;"",""),Brand_Log!$A$2:$A$201,0))&amp;"",IFERROR(INDEX(Clay_Brands!$A$2:$FZ$601,26,Sync!$D$5)&amp;"","")&amp;""))</f>
        <v/>
      </c>
      <c r="E4677" s="23" t="str">
        <f aca="false">IF(B4677="","",IFERROR(INDEX(Clay_Brands!$A$2:$FZ$601,26,Sync!$D$6)&amp;"",""))</f>
        <v/>
      </c>
      <c r="F4677" s="23" t="str">
        <f aca="false">IF(B4677="","","outreach_sent")</f>
        <v/>
      </c>
      <c r="G4677" s="23" t="str">
        <f aca="false">IF(B4677="","","")</f>
        <v/>
      </c>
      <c r="H4677" s="23" t="str">
        <f aca="false">IF(B4677="","","")</f>
        <v/>
      </c>
      <c r="I4677" s="23" t="str">
        <f aca="false">IF(B4677="","","")</f>
        <v/>
      </c>
      <c r="J4677" s="23" t="str">
        <f aca="false">IF(B4677="","","touch_3; "&amp;IFERROR(INDEX(Clay_Brands!$A$2:$FZ$601,26,Sync!$D$10)&amp;"","")&amp;"; "&amp;IFERROR(INDEX(Clay_Brands!$A$2:$FZ$601,26,Sync!$D$9)&amp;"",""))</f>
        <v/>
      </c>
      <c r="K4677" s="32" t="s">
        <v>1368</v>
      </c>
    </row>
    <row r="4678" customFormat="false" ht="15" hidden="false" customHeight="false" outlineLevel="0" collapsed="false">
      <c r="A4678" s="23" t="str">
        <f aca="false">IF(B4678="","",B4678+(17*1000+27)/10000000)</f>
        <v/>
      </c>
      <c r="B4678" s="35" t="str">
        <f aca="false">IF(AND(IFERROR(N(INDEX(Clay_Brands!$A$2:$FZ$601,27,Sync!$D$13)),0)&gt;0,IFERROR(INDEX(Clay_Brands!$A$2:$FZ$601,27,Sync!$D$5)&amp;"","")&lt;&gt;"",OR(LEFT(IFERROR(INDEX(Clay_Brands!$A$2:$FZ$601,27,Sync!$D$5)&amp;"",""),6)&lt;&gt;"SAMPLE",Config!$B$19="Y")),IFERROR(N(INDEX(Clay_Brands!$A$2:$FZ$601,27,Sync!$D$13)),0),"")</f>
        <v/>
      </c>
      <c r="C4678" s="23" t="str">
        <f aca="false">IF(B4678="","","brand")</f>
        <v/>
      </c>
      <c r="D4678" s="23" t="str">
        <f aca="false">IF(B4678="","",IFERROR(INDEX(Brand_Log!$DV$2:$DV$201,MATCH(IFERROR(INDEX(Clay_Brands!$A$2:$FZ$601,27,Sync!$D$5)&amp;"",""),Brand_Log!$A$2:$A$201,0))&amp;"",IFERROR(INDEX(Clay_Brands!$A$2:$FZ$601,27,Sync!$D$5)&amp;"","")&amp;""))</f>
        <v/>
      </c>
      <c r="E4678" s="23" t="str">
        <f aca="false">IF(B4678="","",IFERROR(INDEX(Clay_Brands!$A$2:$FZ$601,27,Sync!$D$6)&amp;"",""))</f>
        <v/>
      </c>
      <c r="F4678" s="23" t="str">
        <f aca="false">IF(B4678="","","outreach_sent")</f>
        <v/>
      </c>
      <c r="G4678" s="23" t="str">
        <f aca="false">IF(B4678="","","")</f>
        <v/>
      </c>
      <c r="H4678" s="23" t="str">
        <f aca="false">IF(B4678="","","")</f>
        <v/>
      </c>
      <c r="I4678" s="23" t="str">
        <f aca="false">IF(B4678="","","")</f>
        <v/>
      </c>
      <c r="J4678" s="23" t="str">
        <f aca="false">IF(B4678="","","touch_3; "&amp;IFERROR(INDEX(Clay_Brands!$A$2:$FZ$601,27,Sync!$D$10)&amp;"","")&amp;"; "&amp;IFERROR(INDEX(Clay_Brands!$A$2:$FZ$601,27,Sync!$D$9)&amp;"",""))</f>
        <v/>
      </c>
      <c r="K4678" s="32" t="s">
        <v>1368</v>
      </c>
    </row>
    <row r="4679" customFormat="false" ht="15" hidden="false" customHeight="false" outlineLevel="0" collapsed="false">
      <c r="A4679" s="23" t="str">
        <f aca="false">IF(B4679="","",B4679+(17*1000+28)/10000000)</f>
        <v/>
      </c>
      <c r="B4679" s="35" t="str">
        <f aca="false">IF(AND(IFERROR(N(INDEX(Clay_Brands!$A$2:$FZ$601,28,Sync!$D$13)),0)&gt;0,IFERROR(INDEX(Clay_Brands!$A$2:$FZ$601,28,Sync!$D$5)&amp;"","")&lt;&gt;"",OR(LEFT(IFERROR(INDEX(Clay_Brands!$A$2:$FZ$601,28,Sync!$D$5)&amp;"",""),6)&lt;&gt;"SAMPLE",Config!$B$19="Y")),IFERROR(N(INDEX(Clay_Brands!$A$2:$FZ$601,28,Sync!$D$13)),0),"")</f>
        <v/>
      </c>
      <c r="C4679" s="23" t="str">
        <f aca="false">IF(B4679="","","brand")</f>
        <v/>
      </c>
      <c r="D4679" s="23" t="str">
        <f aca="false">IF(B4679="","",IFERROR(INDEX(Brand_Log!$DV$2:$DV$201,MATCH(IFERROR(INDEX(Clay_Brands!$A$2:$FZ$601,28,Sync!$D$5)&amp;"",""),Brand_Log!$A$2:$A$201,0))&amp;"",IFERROR(INDEX(Clay_Brands!$A$2:$FZ$601,28,Sync!$D$5)&amp;"","")&amp;""))</f>
        <v/>
      </c>
      <c r="E4679" s="23" t="str">
        <f aca="false">IF(B4679="","",IFERROR(INDEX(Clay_Brands!$A$2:$FZ$601,28,Sync!$D$6)&amp;"",""))</f>
        <v/>
      </c>
      <c r="F4679" s="23" t="str">
        <f aca="false">IF(B4679="","","outreach_sent")</f>
        <v/>
      </c>
      <c r="G4679" s="23" t="str">
        <f aca="false">IF(B4679="","","")</f>
        <v/>
      </c>
      <c r="H4679" s="23" t="str">
        <f aca="false">IF(B4679="","","")</f>
        <v/>
      </c>
      <c r="I4679" s="23" t="str">
        <f aca="false">IF(B4679="","","")</f>
        <v/>
      </c>
      <c r="J4679" s="23" t="str">
        <f aca="false">IF(B4679="","","touch_3; "&amp;IFERROR(INDEX(Clay_Brands!$A$2:$FZ$601,28,Sync!$D$10)&amp;"","")&amp;"; "&amp;IFERROR(INDEX(Clay_Brands!$A$2:$FZ$601,28,Sync!$D$9)&amp;"",""))</f>
        <v/>
      </c>
      <c r="K4679" s="32" t="s">
        <v>1368</v>
      </c>
    </row>
    <row r="4680" customFormat="false" ht="15" hidden="false" customHeight="false" outlineLevel="0" collapsed="false">
      <c r="A4680" s="42" t="n">
        <f aca="false">IF(B4680="","",B4680+(17*1000+29)/10000000)</f>
        <v>46346.0017029</v>
      </c>
      <c r="B4680" s="35" t="n">
        <f aca="false">IF(AND(IFERROR(N(INDEX(Clay_Brands!$A$2:$FZ$601,29,Sync!$D$13)),0)&gt;0,IFERROR(INDEX(Clay_Brands!$A$2:$FZ$601,29,Sync!$D$5)&amp;"","")&lt;&gt;"",OR(LEFT(IFERROR(INDEX(Clay_Brands!$A$2:$FZ$601,29,Sync!$D$5)&amp;"",""),6)&lt;&gt;"SAMPLE",Config!$B$19="Y")),IFERROR(N(INDEX(Clay_Brands!$A$2:$FZ$601,29,Sync!$D$13)),0),"")</f>
        <v>46346</v>
      </c>
      <c r="C4680" s="23" t="str">
        <f aca="false">IF(B4680="","","brand")</f>
        <v>brand</v>
      </c>
      <c r="D4680" s="23" t="str">
        <f aca="false">IF(B4680="","",IFERROR(INDEX(Brand_Log!$DV$2:$DV$201,MATCH(IFERROR(INDEX(Clay_Brands!$A$2:$FZ$601,29,Sync!$D$5)&amp;"",""),Brand_Log!$A$2:$A$201,0))&amp;"",IFERROR(INDEX(Clay_Brands!$A$2:$FZ$601,29,Sync!$D$5)&amp;"","")&amp;""))</f>
        <v>SAMPLE-B-029</v>
      </c>
      <c r="E4680" s="23" t="str">
        <f aca="false">IF(B4680="","",IFERROR(INDEX(Clay_Brands!$A$2:$FZ$601,29,Sync!$D$6)&amp;"",""))</f>
        <v>SAMPLE Brand 29</v>
      </c>
      <c r="F4680" s="23" t="str">
        <f aca="false">IF(B4680="","","outreach_sent")</f>
        <v>outreach_sent</v>
      </c>
      <c r="G4680" s="23" t="str">
        <f aca="false">IF(B4680="","","")</f>
        <v/>
      </c>
      <c r="H4680" s="23" t="str">
        <f aca="false">IF(B4680="","","")</f>
        <v/>
      </c>
      <c r="I4680" s="23" t="str">
        <f aca="false">IF(B4680="","","")</f>
        <v/>
      </c>
      <c r="J4680" s="23" t="str">
        <f aca="false">IF(B4680="","","touch_3; "&amp;IFERROR(INDEX(Clay_Brands!$A$2:$FZ$601,29,Sync!$D$10)&amp;"","")&amp;"; "&amp;IFERROR(INDEX(Clay_Brands!$A$2:$FZ$601,29,Sync!$D$9)&amp;"",""))</f>
        <v>touch_3; brand-discovery-A; email</v>
      </c>
      <c r="K4680" s="32" t="s">
        <v>1368</v>
      </c>
    </row>
    <row r="4681" customFormat="false" ht="15" hidden="false" customHeight="false" outlineLevel="0" collapsed="false">
      <c r="A4681" s="23" t="str">
        <f aca="false">IF(B4681="","",B4681+(17*1000+30)/10000000)</f>
        <v/>
      </c>
      <c r="B4681" s="35" t="str">
        <f aca="false">IF(AND(IFERROR(N(INDEX(Clay_Brands!$A$2:$FZ$601,30,Sync!$D$13)),0)&gt;0,IFERROR(INDEX(Clay_Brands!$A$2:$FZ$601,30,Sync!$D$5)&amp;"","")&lt;&gt;"",OR(LEFT(IFERROR(INDEX(Clay_Brands!$A$2:$FZ$601,30,Sync!$D$5)&amp;"",""),6)&lt;&gt;"SAMPLE",Config!$B$19="Y")),IFERROR(N(INDEX(Clay_Brands!$A$2:$FZ$601,30,Sync!$D$13)),0),"")</f>
        <v/>
      </c>
      <c r="C4681" s="23" t="str">
        <f aca="false">IF(B4681="","","brand")</f>
        <v/>
      </c>
      <c r="D4681" s="23" t="str">
        <f aca="false">IF(B4681="","",IFERROR(INDEX(Brand_Log!$DV$2:$DV$201,MATCH(IFERROR(INDEX(Clay_Brands!$A$2:$FZ$601,30,Sync!$D$5)&amp;"",""),Brand_Log!$A$2:$A$201,0))&amp;"",IFERROR(INDEX(Clay_Brands!$A$2:$FZ$601,30,Sync!$D$5)&amp;"","")&amp;""))</f>
        <v/>
      </c>
      <c r="E4681" s="23" t="str">
        <f aca="false">IF(B4681="","",IFERROR(INDEX(Clay_Brands!$A$2:$FZ$601,30,Sync!$D$6)&amp;"",""))</f>
        <v/>
      </c>
      <c r="F4681" s="23" t="str">
        <f aca="false">IF(B4681="","","outreach_sent")</f>
        <v/>
      </c>
      <c r="G4681" s="23" t="str">
        <f aca="false">IF(B4681="","","")</f>
        <v/>
      </c>
      <c r="H4681" s="23" t="str">
        <f aca="false">IF(B4681="","","")</f>
        <v/>
      </c>
      <c r="I4681" s="23" t="str">
        <f aca="false">IF(B4681="","","")</f>
        <v/>
      </c>
      <c r="J4681" s="23" t="str">
        <f aca="false">IF(B4681="","","touch_3; "&amp;IFERROR(INDEX(Clay_Brands!$A$2:$FZ$601,30,Sync!$D$10)&amp;"","")&amp;"; "&amp;IFERROR(INDEX(Clay_Brands!$A$2:$FZ$601,30,Sync!$D$9)&amp;"",""))</f>
        <v/>
      </c>
      <c r="K4681" s="32" t="s">
        <v>1368</v>
      </c>
    </row>
    <row r="4682" customFormat="false" ht="15" hidden="false" customHeight="false" outlineLevel="0" collapsed="false">
      <c r="A4682" s="23" t="str">
        <f aca="false">IF(B4682="","",B4682+(17*1000+31)/10000000)</f>
        <v/>
      </c>
      <c r="B4682" s="35" t="str">
        <f aca="false">IF(AND(IFERROR(N(INDEX(Clay_Brands!$A$2:$FZ$601,31,Sync!$D$13)),0)&gt;0,IFERROR(INDEX(Clay_Brands!$A$2:$FZ$601,31,Sync!$D$5)&amp;"","")&lt;&gt;"",OR(LEFT(IFERROR(INDEX(Clay_Brands!$A$2:$FZ$601,31,Sync!$D$5)&amp;"",""),6)&lt;&gt;"SAMPLE",Config!$B$19="Y")),IFERROR(N(INDEX(Clay_Brands!$A$2:$FZ$601,31,Sync!$D$13)),0),"")</f>
        <v/>
      </c>
      <c r="C4682" s="23" t="str">
        <f aca="false">IF(B4682="","","brand")</f>
        <v/>
      </c>
      <c r="D4682" s="23" t="str">
        <f aca="false">IF(B4682="","",IFERROR(INDEX(Brand_Log!$DV$2:$DV$201,MATCH(IFERROR(INDEX(Clay_Brands!$A$2:$FZ$601,31,Sync!$D$5)&amp;"",""),Brand_Log!$A$2:$A$201,0))&amp;"",IFERROR(INDEX(Clay_Brands!$A$2:$FZ$601,31,Sync!$D$5)&amp;"","")&amp;""))</f>
        <v/>
      </c>
      <c r="E4682" s="23" t="str">
        <f aca="false">IF(B4682="","",IFERROR(INDEX(Clay_Brands!$A$2:$FZ$601,31,Sync!$D$6)&amp;"",""))</f>
        <v/>
      </c>
      <c r="F4682" s="23" t="str">
        <f aca="false">IF(B4682="","","outreach_sent")</f>
        <v/>
      </c>
      <c r="G4682" s="23" t="str">
        <f aca="false">IF(B4682="","","")</f>
        <v/>
      </c>
      <c r="H4682" s="23" t="str">
        <f aca="false">IF(B4682="","","")</f>
        <v/>
      </c>
      <c r="I4682" s="23" t="str">
        <f aca="false">IF(B4682="","","")</f>
        <v/>
      </c>
      <c r="J4682" s="23" t="str">
        <f aca="false">IF(B4682="","","touch_3; "&amp;IFERROR(INDEX(Clay_Brands!$A$2:$FZ$601,31,Sync!$D$10)&amp;"","")&amp;"; "&amp;IFERROR(INDEX(Clay_Brands!$A$2:$FZ$601,31,Sync!$D$9)&amp;"",""))</f>
        <v/>
      </c>
      <c r="K4682" s="32" t="s">
        <v>1368</v>
      </c>
    </row>
    <row r="4683" customFormat="false" ht="15" hidden="false" customHeight="false" outlineLevel="0" collapsed="false">
      <c r="A4683" s="23" t="str">
        <f aca="false">IF(B4683="","",B4683+(17*1000+32)/10000000)</f>
        <v/>
      </c>
      <c r="B4683" s="35" t="str">
        <f aca="false">IF(AND(IFERROR(N(INDEX(Clay_Brands!$A$2:$FZ$601,32,Sync!$D$13)),0)&gt;0,IFERROR(INDEX(Clay_Brands!$A$2:$FZ$601,32,Sync!$D$5)&amp;"","")&lt;&gt;"",OR(LEFT(IFERROR(INDEX(Clay_Brands!$A$2:$FZ$601,32,Sync!$D$5)&amp;"",""),6)&lt;&gt;"SAMPLE",Config!$B$19="Y")),IFERROR(N(INDEX(Clay_Brands!$A$2:$FZ$601,32,Sync!$D$13)),0),"")</f>
        <v/>
      </c>
      <c r="C4683" s="23" t="str">
        <f aca="false">IF(B4683="","","brand")</f>
        <v/>
      </c>
      <c r="D4683" s="23" t="str">
        <f aca="false">IF(B4683="","",IFERROR(INDEX(Brand_Log!$DV$2:$DV$201,MATCH(IFERROR(INDEX(Clay_Brands!$A$2:$FZ$601,32,Sync!$D$5)&amp;"",""),Brand_Log!$A$2:$A$201,0))&amp;"",IFERROR(INDEX(Clay_Brands!$A$2:$FZ$601,32,Sync!$D$5)&amp;"","")&amp;""))</f>
        <v/>
      </c>
      <c r="E4683" s="23" t="str">
        <f aca="false">IF(B4683="","",IFERROR(INDEX(Clay_Brands!$A$2:$FZ$601,32,Sync!$D$6)&amp;"",""))</f>
        <v/>
      </c>
      <c r="F4683" s="23" t="str">
        <f aca="false">IF(B4683="","","outreach_sent")</f>
        <v/>
      </c>
      <c r="G4683" s="23" t="str">
        <f aca="false">IF(B4683="","","")</f>
        <v/>
      </c>
      <c r="H4683" s="23" t="str">
        <f aca="false">IF(B4683="","","")</f>
        <v/>
      </c>
      <c r="I4683" s="23" t="str">
        <f aca="false">IF(B4683="","","")</f>
        <v/>
      </c>
      <c r="J4683" s="23" t="str">
        <f aca="false">IF(B4683="","","touch_3; "&amp;IFERROR(INDEX(Clay_Brands!$A$2:$FZ$601,32,Sync!$D$10)&amp;"","")&amp;"; "&amp;IFERROR(INDEX(Clay_Brands!$A$2:$FZ$601,32,Sync!$D$9)&amp;"",""))</f>
        <v/>
      </c>
      <c r="K4683" s="32" t="s">
        <v>1368</v>
      </c>
    </row>
    <row r="4684" customFormat="false" ht="15" hidden="false" customHeight="false" outlineLevel="0" collapsed="false">
      <c r="A4684" s="23" t="str">
        <f aca="false">IF(B4684="","",B4684+(17*1000+33)/10000000)</f>
        <v/>
      </c>
      <c r="B4684" s="35" t="str">
        <f aca="false">IF(AND(IFERROR(N(INDEX(Clay_Brands!$A$2:$FZ$601,33,Sync!$D$13)),0)&gt;0,IFERROR(INDEX(Clay_Brands!$A$2:$FZ$601,33,Sync!$D$5)&amp;"","")&lt;&gt;"",OR(LEFT(IFERROR(INDEX(Clay_Brands!$A$2:$FZ$601,33,Sync!$D$5)&amp;"",""),6)&lt;&gt;"SAMPLE",Config!$B$19="Y")),IFERROR(N(INDEX(Clay_Brands!$A$2:$FZ$601,33,Sync!$D$13)),0),"")</f>
        <v/>
      </c>
      <c r="C4684" s="23" t="str">
        <f aca="false">IF(B4684="","","brand")</f>
        <v/>
      </c>
      <c r="D4684" s="23" t="str">
        <f aca="false">IF(B4684="","",IFERROR(INDEX(Brand_Log!$DV$2:$DV$201,MATCH(IFERROR(INDEX(Clay_Brands!$A$2:$FZ$601,33,Sync!$D$5)&amp;"",""),Brand_Log!$A$2:$A$201,0))&amp;"",IFERROR(INDEX(Clay_Brands!$A$2:$FZ$601,33,Sync!$D$5)&amp;"","")&amp;""))</f>
        <v/>
      </c>
      <c r="E4684" s="23" t="str">
        <f aca="false">IF(B4684="","",IFERROR(INDEX(Clay_Brands!$A$2:$FZ$601,33,Sync!$D$6)&amp;"",""))</f>
        <v/>
      </c>
      <c r="F4684" s="23" t="str">
        <f aca="false">IF(B4684="","","outreach_sent")</f>
        <v/>
      </c>
      <c r="G4684" s="23" t="str">
        <f aca="false">IF(B4684="","","")</f>
        <v/>
      </c>
      <c r="H4684" s="23" t="str">
        <f aca="false">IF(B4684="","","")</f>
        <v/>
      </c>
      <c r="I4684" s="23" t="str">
        <f aca="false">IF(B4684="","","")</f>
        <v/>
      </c>
      <c r="J4684" s="23" t="str">
        <f aca="false">IF(B4684="","","touch_3; "&amp;IFERROR(INDEX(Clay_Brands!$A$2:$FZ$601,33,Sync!$D$10)&amp;"","")&amp;"; "&amp;IFERROR(INDEX(Clay_Brands!$A$2:$FZ$601,33,Sync!$D$9)&amp;"",""))</f>
        <v/>
      </c>
      <c r="K4684" s="32" t="s">
        <v>1368</v>
      </c>
    </row>
    <row r="4685" customFormat="false" ht="15" hidden="false" customHeight="false" outlineLevel="0" collapsed="false">
      <c r="A4685" s="23" t="str">
        <f aca="false">IF(B4685="","",B4685+(17*1000+34)/10000000)</f>
        <v/>
      </c>
      <c r="B4685" s="35" t="str">
        <f aca="false">IF(AND(IFERROR(N(INDEX(Clay_Brands!$A$2:$FZ$601,34,Sync!$D$13)),0)&gt;0,IFERROR(INDEX(Clay_Brands!$A$2:$FZ$601,34,Sync!$D$5)&amp;"","")&lt;&gt;"",OR(LEFT(IFERROR(INDEX(Clay_Brands!$A$2:$FZ$601,34,Sync!$D$5)&amp;"",""),6)&lt;&gt;"SAMPLE",Config!$B$19="Y")),IFERROR(N(INDEX(Clay_Brands!$A$2:$FZ$601,34,Sync!$D$13)),0),"")</f>
        <v/>
      </c>
      <c r="C4685" s="23" t="str">
        <f aca="false">IF(B4685="","","brand")</f>
        <v/>
      </c>
      <c r="D4685" s="23" t="str">
        <f aca="false">IF(B4685="","",IFERROR(INDEX(Brand_Log!$DV$2:$DV$201,MATCH(IFERROR(INDEX(Clay_Brands!$A$2:$FZ$601,34,Sync!$D$5)&amp;"",""),Brand_Log!$A$2:$A$201,0))&amp;"",IFERROR(INDEX(Clay_Brands!$A$2:$FZ$601,34,Sync!$D$5)&amp;"","")&amp;""))</f>
        <v/>
      </c>
      <c r="E4685" s="23" t="str">
        <f aca="false">IF(B4685="","",IFERROR(INDEX(Clay_Brands!$A$2:$FZ$601,34,Sync!$D$6)&amp;"",""))</f>
        <v/>
      </c>
      <c r="F4685" s="23" t="str">
        <f aca="false">IF(B4685="","","outreach_sent")</f>
        <v/>
      </c>
      <c r="G4685" s="23" t="str">
        <f aca="false">IF(B4685="","","")</f>
        <v/>
      </c>
      <c r="H4685" s="23" t="str">
        <f aca="false">IF(B4685="","","")</f>
        <v/>
      </c>
      <c r="I4685" s="23" t="str">
        <f aca="false">IF(B4685="","","")</f>
        <v/>
      </c>
      <c r="J4685" s="23" t="str">
        <f aca="false">IF(B4685="","","touch_3; "&amp;IFERROR(INDEX(Clay_Brands!$A$2:$FZ$601,34,Sync!$D$10)&amp;"","")&amp;"; "&amp;IFERROR(INDEX(Clay_Brands!$A$2:$FZ$601,34,Sync!$D$9)&amp;"",""))</f>
        <v/>
      </c>
      <c r="K4685" s="32" t="s">
        <v>1368</v>
      </c>
    </row>
    <row r="4686" customFormat="false" ht="15" hidden="false" customHeight="false" outlineLevel="0" collapsed="false">
      <c r="A4686" s="23" t="str">
        <f aca="false">IF(B4686="","",B4686+(17*1000+35)/10000000)</f>
        <v/>
      </c>
      <c r="B4686" s="35" t="str">
        <f aca="false">IF(AND(IFERROR(N(INDEX(Clay_Brands!$A$2:$FZ$601,35,Sync!$D$13)),0)&gt;0,IFERROR(INDEX(Clay_Brands!$A$2:$FZ$601,35,Sync!$D$5)&amp;"","")&lt;&gt;"",OR(LEFT(IFERROR(INDEX(Clay_Brands!$A$2:$FZ$601,35,Sync!$D$5)&amp;"",""),6)&lt;&gt;"SAMPLE",Config!$B$19="Y")),IFERROR(N(INDEX(Clay_Brands!$A$2:$FZ$601,35,Sync!$D$13)),0),"")</f>
        <v/>
      </c>
      <c r="C4686" s="23" t="str">
        <f aca="false">IF(B4686="","","brand")</f>
        <v/>
      </c>
      <c r="D4686" s="23" t="str">
        <f aca="false">IF(B4686="","",IFERROR(INDEX(Brand_Log!$DV$2:$DV$201,MATCH(IFERROR(INDEX(Clay_Brands!$A$2:$FZ$601,35,Sync!$D$5)&amp;"",""),Brand_Log!$A$2:$A$201,0))&amp;"",IFERROR(INDEX(Clay_Brands!$A$2:$FZ$601,35,Sync!$D$5)&amp;"","")&amp;""))</f>
        <v/>
      </c>
      <c r="E4686" s="23" t="str">
        <f aca="false">IF(B4686="","",IFERROR(INDEX(Clay_Brands!$A$2:$FZ$601,35,Sync!$D$6)&amp;"",""))</f>
        <v/>
      </c>
      <c r="F4686" s="23" t="str">
        <f aca="false">IF(B4686="","","outreach_sent")</f>
        <v/>
      </c>
      <c r="G4686" s="23" t="str">
        <f aca="false">IF(B4686="","","")</f>
        <v/>
      </c>
      <c r="H4686" s="23" t="str">
        <f aca="false">IF(B4686="","","")</f>
        <v/>
      </c>
      <c r="I4686" s="23" t="str">
        <f aca="false">IF(B4686="","","")</f>
        <v/>
      </c>
      <c r="J4686" s="23" t="str">
        <f aca="false">IF(B4686="","","touch_3; "&amp;IFERROR(INDEX(Clay_Brands!$A$2:$FZ$601,35,Sync!$D$10)&amp;"","")&amp;"; "&amp;IFERROR(INDEX(Clay_Brands!$A$2:$FZ$601,35,Sync!$D$9)&amp;"",""))</f>
        <v/>
      </c>
      <c r="K4686" s="32" t="s">
        <v>1368</v>
      </c>
    </row>
    <row r="4687" customFormat="false" ht="15" hidden="false" customHeight="false" outlineLevel="0" collapsed="false">
      <c r="A4687" s="42" t="n">
        <f aca="false">IF(B4687="","",B4687+(17*1000+36)/10000000)</f>
        <v>46350.0017036</v>
      </c>
      <c r="B4687" s="35" t="n">
        <f aca="false">IF(AND(IFERROR(N(INDEX(Clay_Brands!$A$2:$FZ$601,36,Sync!$D$13)),0)&gt;0,IFERROR(INDEX(Clay_Brands!$A$2:$FZ$601,36,Sync!$D$5)&amp;"","")&lt;&gt;"",OR(LEFT(IFERROR(INDEX(Clay_Brands!$A$2:$FZ$601,36,Sync!$D$5)&amp;"",""),6)&lt;&gt;"SAMPLE",Config!$B$19="Y")),IFERROR(N(INDEX(Clay_Brands!$A$2:$FZ$601,36,Sync!$D$13)),0),"")</f>
        <v>46350</v>
      </c>
      <c r="C4687" s="23" t="str">
        <f aca="false">IF(B4687="","","brand")</f>
        <v>brand</v>
      </c>
      <c r="D4687" s="23" t="str">
        <f aca="false">IF(B4687="","",IFERROR(INDEX(Brand_Log!$DV$2:$DV$201,MATCH(IFERROR(INDEX(Clay_Brands!$A$2:$FZ$601,36,Sync!$D$5)&amp;"",""),Brand_Log!$A$2:$A$201,0))&amp;"",IFERROR(INDEX(Clay_Brands!$A$2:$FZ$601,36,Sync!$D$5)&amp;"","")&amp;""))</f>
        <v>SAMPLE-B-036</v>
      </c>
      <c r="E4687" s="23" t="str">
        <f aca="false">IF(B4687="","",IFERROR(INDEX(Clay_Brands!$A$2:$FZ$601,36,Sync!$D$6)&amp;"",""))</f>
        <v>SAMPLE Brand 36</v>
      </c>
      <c r="F4687" s="23" t="str">
        <f aca="false">IF(B4687="","","outreach_sent")</f>
        <v>outreach_sent</v>
      </c>
      <c r="G4687" s="23" t="str">
        <f aca="false">IF(B4687="","","")</f>
        <v/>
      </c>
      <c r="H4687" s="23" t="str">
        <f aca="false">IF(B4687="","","")</f>
        <v/>
      </c>
      <c r="I4687" s="23" t="str">
        <f aca="false">IF(B4687="","","")</f>
        <v/>
      </c>
      <c r="J4687" s="23" t="str">
        <f aca="false">IF(B4687="","","touch_3; "&amp;IFERROR(INDEX(Clay_Brands!$A$2:$FZ$601,36,Sync!$D$10)&amp;"","")&amp;"; "&amp;IFERROR(INDEX(Clay_Brands!$A$2:$FZ$601,36,Sync!$D$9)&amp;"",""))</f>
        <v>touch_3; brand-discovery-B; linkedin</v>
      </c>
      <c r="K4687" s="32" t="s">
        <v>1368</v>
      </c>
    </row>
    <row r="4688" customFormat="false" ht="15" hidden="false" customHeight="false" outlineLevel="0" collapsed="false">
      <c r="A4688" s="23" t="str">
        <f aca="false">IF(B4688="","",B4688+(17*1000+37)/10000000)</f>
        <v/>
      </c>
      <c r="B4688" s="35" t="str">
        <f aca="false">IF(AND(IFERROR(N(INDEX(Clay_Brands!$A$2:$FZ$601,37,Sync!$D$13)),0)&gt;0,IFERROR(INDEX(Clay_Brands!$A$2:$FZ$601,37,Sync!$D$5)&amp;"","")&lt;&gt;"",OR(LEFT(IFERROR(INDEX(Clay_Brands!$A$2:$FZ$601,37,Sync!$D$5)&amp;"",""),6)&lt;&gt;"SAMPLE",Config!$B$19="Y")),IFERROR(N(INDEX(Clay_Brands!$A$2:$FZ$601,37,Sync!$D$13)),0),"")</f>
        <v/>
      </c>
      <c r="C4688" s="23" t="str">
        <f aca="false">IF(B4688="","","brand")</f>
        <v/>
      </c>
      <c r="D4688" s="23" t="str">
        <f aca="false">IF(B4688="","",IFERROR(INDEX(Brand_Log!$DV$2:$DV$201,MATCH(IFERROR(INDEX(Clay_Brands!$A$2:$FZ$601,37,Sync!$D$5)&amp;"",""),Brand_Log!$A$2:$A$201,0))&amp;"",IFERROR(INDEX(Clay_Brands!$A$2:$FZ$601,37,Sync!$D$5)&amp;"","")&amp;""))</f>
        <v/>
      </c>
      <c r="E4688" s="23" t="str">
        <f aca="false">IF(B4688="","",IFERROR(INDEX(Clay_Brands!$A$2:$FZ$601,37,Sync!$D$6)&amp;"",""))</f>
        <v/>
      </c>
      <c r="F4688" s="23" t="str">
        <f aca="false">IF(B4688="","","outreach_sent")</f>
        <v/>
      </c>
      <c r="G4688" s="23" t="str">
        <f aca="false">IF(B4688="","","")</f>
        <v/>
      </c>
      <c r="H4688" s="23" t="str">
        <f aca="false">IF(B4688="","","")</f>
        <v/>
      </c>
      <c r="I4688" s="23" t="str">
        <f aca="false">IF(B4688="","","")</f>
        <v/>
      </c>
      <c r="J4688" s="23" t="str">
        <f aca="false">IF(B4688="","","touch_3; "&amp;IFERROR(INDEX(Clay_Brands!$A$2:$FZ$601,37,Sync!$D$10)&amp;"","")&amp;"; "&amp;IFERROR(INDEX(Clay_Brands!$A$2:$FZ$601,37,Sync!$D$9)&amp;"",""))</f>
        <v/>
      </c>
      <c r="K4688" s="32" t="s">
        <v>1368</v>
      </c>
    </row>
    <row r="4689" customFormat="false" ht="15" hidden="false" customHeight="false" outlineLevel="0" collapsed="false">
      <c r="A4689" s="23" t="str">
        <f aca="false">IF(B4689="","",B4689+(17*1000+38)/10000000)</f>
        <v/>
      </c>
      <c r="B4689" s="35" t="str">
        <f aca="false">IF(AND(IFERROR(N(INDEX(Clay_Brands!$A$2:$FZ$601,38,Sync!$D$13)),0)&gt;0,IFERROR(INDEX(Clay_Brands!$A$2:$FZ$601,38,Sync!$D$5)&amp;"","")&lt;&gt;"",OR(LEFT(IFERROR(INDEX(Clay_Brands!$A$2:$FZ$601,38,Sync!$D$5)&amp;"",""),6)&lt;&gt;"SAMPLE",Config!$B$19="Y")),IFERROR(N(INDEX(Clay_Brands!$A$2:$FZ$601,38,Sync!$D$13)),0),"")</f>
        <v/>
      </c>
      <c r="C4689" s="23" t="str">
        <f aca="false">IF(B4689="","","brand")</f>
        <v/>
      </c>
      <c r="D4689" s="23" t="str">
        <f aca="false">IF(B4689="","",IFERROR(INDEX(Brand_Log!$DV$2:$DV$201,MATCH(IFERROR(INDEX(Clay_Brands!$A$2:$FZ$601,38,Sync!$D$5)&amp;"",""),Brand_Log!$A$2:$A$201,0))&amp;"",IFERROR(INDEX(Clay_Brands!$A$2:$FZ$601,38,Sync!$D$5)&amp;"","")&amp;""))</f>
        <v/>
      </c>
      <c r="E4689" s="23" t="str">
        <f aca="false">IF(B4689="","",IFERROR(INDEX(Clay_Brands!$A$2:$FZ$601,38,Sync!$D$6)&amp;"",""))</f>
        <v/>
      </c>
      <c r="F4689" s="23" t="str">
        <f aca="false">IF(B4689="","","outreach_sent")</f>
        <v/>
      </c>
      <c r="G4689" s="23" t="str">
        <f aca="false">IF(B4689="","","")</f>
        <v/>
      </c>
      <c r="H4689" s="23" t="str">
        <f aca="false">IF(B4689="","","")</f>
        <v/>
      </c>
      <c r="I4689" s="23" t="str">
        <f aca="false">IF(B4689="","","")</f>
        <v/>
      </c>
      <c r="J4689" s="23" t="str">
        <f aca="false">IF(B4689="","","touch_3; "&amp;IFERROR(INDEX(Clay_Brands!$A$2:$FZ$601,38,Sync!$D$10)&amp;"","")&amp;"; "&amp;IFERROR(INDEX(Clay_Brands!$A$2:$FZ$601,38,Sync!$D$9)&amp;"",""))</f>
        <v/>
      </c>
      <c r="K4689" s="32" t="s">
        <v>1368</v>
      </c>
    </row>
    <row r="4690" customFormat="false" ht="15" hidden="false" customHeight="false" outlineLevel="0" collapsed="false">
      <c r="A4690" s="23" t="str">
        <f aca="false">IF(B4690="","",B4690+(17*1000+39)/10000000)</f>
        <v/>
      </c>
      <c r="B4690" s="35" t="str">
        <f aca="false">IF(AND(IFERROR(N(INDEX(Clay_Brands!$A$2:$FZ$601,39,Sync!$D$13)),0)&gt;0,IFERROR(INDEX(Clay_Brands!$A$2:$FZ$601,39,Sync!$D$5)&amp;"","")&lt;&gt;"",OR(LEFT(IFERROR(INDEX(Clay_Brands!$A$2:$FZ$601,39,Sync!$D$5)&amp;"",""),6)&lt;&gt;"SAMPLE",Config!$B$19="Y")),IFERROR(N(INDEX(Clay_Brands!$A$2:$FZ$601,39,Sync!$D$13)),0),"")</f>
        <v/>
      </c>
      <c r="C4690" s="23" t="str">
        <f aca="false">IF(B4690="","","brand")</f>
        <v/>
      </c>
      <c r="D4690" s="23" t="str">
        <f aca="false">IF(B4690="","",IFERROR(INDEX(Brand_Log!$DV$2:$DV$201,MATCH(IFERROR(INDEX(Clay_Brands!$A$2:$FZ$601,39,Sync!$D$5)&amp;"",""),Brand_Log!$A$2:$A$201,0))&amp;"",IFERROR(INDEX(Clay_Brands!$A$2:$FZ$601,39,Sync!$D$5)&amp;"","")&amp;""))</f>
        <v/>
      </c>
      <c r="E4690" s="23" t="str">
        <f aca="false">IF(B4690="","",IFERROR(INDEX(Clay_Brands!$A$2:$FZ$601,39,Sync!$D$6)&amp;"",""))</f>
        <v/>
      </c>
      <c r="F4690" s="23" t="str">
        <f aca="false">IF(B4690="","","outreach_sent")</f>
        <v/>
      </c>
      <c r="G4690" s="23" t="str">
        <f aca="false">IF(B4690="","","")</f>
        <v/>
      </c>
      <c r="H4690" s="23" t="str">
        <f aca="false">IF(B4690="","","")</f>
        <v/>
      </c>
      <c r="I4690" s="23" t="str">
        <f aca="false">IF(B4690="","","")</f>
        <v/>
      </c>
      <c r="J4690" s="23" t="str">
        <f aca="false">IF(B4690="","","touch_3; "&amp;IFERROR(INDEX(Clay_Brands!$A$2:$FZ$601,39,Sync!$D$10)&amp;"","")&amp;"; "&amp;IFERROR(INDEX(Clay_Brands!$A$2:$FZ$601,39,Sync!$D$9)&amp;"",""))</f>
        <v/>
      </c>
      <c r="K4690" s="32" t="s">
        <v>1368</v>
      </c>
    </row>
    <row r="4691" customFormat="false" ht="15" hidden="false" customHeight="false" outlineLevel="0" collapsed="false">
      <c r="A4691" s="23" t="str">
        <f aca="false">IF(B4691="","",B4691+(17*1000+40)/10000000)</f>
        <v/>
      </c>
      <c r="B4691" s="35" t="str">
        <f aca="false">IF(AND(IFERROR(N(INDEX(Clay_Brands!$A$2:$FZ$601,40,Sync!$D$13)),0)&gt;0,IFERROR(INDEX(Clay_Brands!$A$2:$FZ$601,40,Sync!$D$5)&amp;"","")&lt;&gt;"",OR(LEFT(IFERROR(INDEX(Clay_Brands!$A$2:$FZ$601,40,Sync!$D$5)&amp;"",""),6)&lt;&gt;"SAMPLE",Config!$B$19="Y")),IFERROR(N(INDEX(Clay_Brands!$A$2:$FZ$601,40,Sync!$D$13)),0),"")</f>
        <v/>
      </c>
      <c r="C4691" s="23" t="str">
        <f aca="false">IF(B4691="","","brand")</f>
        <v/>
      </c>
      <c r="D4691" s="23" t="str">
        <f aca="false">IF(B4691="","",IFERROR(INDEX(Brand_Log!$DV$2:$DV$201,MATCH(IFERROR(INDEX(Clay_Brands!$A$2:$FZ$601,40,Sync!$D$5)&amp;"",""),Brand_Log!$A$2:$A$201,0))&amp;"",IFERROR(INDEX(Clay_Brands!$A$2:$FZ$601,40,Sync!$D$5)&amp;"","")&amp;""))</f>
        <v/>
      </c>
      <c r="E4691" s="23" t="str">
        <f aca="false">IF(B4691="","",IFERROR(INDEX(Clay_Brands!$A$2:$FZ$601,40,Sync!$D$6)&amp;"",""))</f>
        <v/>
      </c>
      <c r="F4691" s="23" t="str">
        <f aca="false">IF(B4691="","","outreach_sent")</f>
        <v/>
      </c>
      <c r="G4691" s="23" t="str">
        <f aca="false">IF(B4691="","","")</f>
        <v/>
      </c>
      <c r="H4691" s="23" t="str">
        <f aca="false">IF(B4691="","","")</f>
        <v/>
      </c>
      <c r="I4691" s="23" t="str">
        <f aca="false">IF(B4691="","","")</f>
        <v/>
      </c>
      <c r="J4691" s="23" t="str">
        <f aca="false">IF(B4691="","","touch_3; "&amp;IFERROR(INDEX(Clay_Brands!$A$2:$FZ$601,40,Sync!$D$10)&amp;"","")&amp;"; "&amp;IFERROR(INDEX(Clay_Brands!$A$2:$FZ$601,40,Sync!$D$9)&amp;"",""))</f>
        <v/>
      </c>
      <c r="K4691" s="32" t="s">
        <v>1368</v>
      </c>
    </row>
    <row r="4692" customFormat="false" ht="15" hidden="false" customHeight="false" outlineLevel="0" collapsed="false">
      <c r="A4692" s="23" t="str">
        <f aca="false">IF(B4692="","",B4692+(17*1000+41)/10000000)</f>
        <v/>
      </c>
      <c r="B4692" s="35" t="str">
        <f aca="false">IF(AND(IFERROR(N(INDEX(Clay_Brands!$A$2:$FZ$601,41,Sync!$D$13)),0)&gt;0,IFERROR(INDEX(Clay_Brands!$A$2:$FZ$601,41,Sync!$D$5)&amp;"","")&lt;&gt;"",OR(LEFT(IFERROR(INDEX(Clay_Brands!$A$2:$FZ$601,41,Sync!$D$5)&amp;"",""),6)&lt;&gt;"SAMPLE",Config!$B$19="Y")),IFERROR(N(INDEX(Clay_Brands!$A$2:$FZ$601,41,Sync!$D$13)),0),"")</f>
        <v/>
      </c>
      <c r="C4692" s="23" t="str">
        <f aca="false">IF(B4692="","","brand")</f>
        <v/>
      </c>
      <c r="D4692" s="23" t="str">
        <f aca="false">IF(B4692="","",IFERROR(INDEX(Brand_Log!$DV$2:$DV$201,MATCH(IFERROR(INDEX(Clay_Brands!$A$2:$FZ$601,41,Sync!$D$5)&amp;"",""),Brand_Log!$A$2:$A$201,0))&amp;"",IFERROR(INDEX(Clay_Brands!$A$2:$FZ$601,41,Sync!$D$5)&amp;"","")&amp;""))</f>
        <v/>
      </c>
      <c r="E4692" s="23" t="str">
        <f aca="false">IF(B4692="","",IFERROR(INDEX(Clay_Brands!$A$2:$FZ$601,41,Sync!$D$6)&amp;"",""))</f>
        <v/>
      </c>
      <c r="F4692" s="23" t="str">
        <f aca="false">IF(B4692="","","outreach_sent")</f>
        <v/>
      </c>
      <c r="G4692" s="23" t="str">
        <f aca="false">IF(B4692="","","")</f>
        <v/>
      </c>
      <c r="H4692" s="23" t="str">
        <f aca="false">IF(B4692="","","")</f>
        <v/>
      </c>
      <c r="I4692" s="23" t="str">
        <f aca="false">IF(B4692="","","")</f>
        <v/>
      </c>
      <c r="J4692" s="23" t="str">
        <f aca="false">IF(B4692="","","touch_3; "&amp;IFERROR(INDEX(Clay_Brands!$A$2:$FZ$601,41,Sync!$D$10)&amp;"","")&amp;"; "&amp;IFERROR(INDEX(Clay_Brands!$A$2:$FZ$601,41,Sync!$D$9)&amp;"",""))</f>
        <v/>
      </c>
      <c r="K4692" s="32" t="s">
        <v>1368</v>
      </c>
    </row>
    <row r="4693" customFormat="false" ht="15" hidden="false" customHeight="false" outlineLevel="0" collapsed="false">
      <c r="A4693" s="23" t="str">
        <f aca="false">IF(B4693="","",B4693+(17*1000+42)/10000000)</f>
        <v/>
      </c>
      <c r="B4693" s="35" t="str">
        <f aca="false">IF(AND(IFERROR(N(INDEX(Clay_Brands!$A$2:$FZ$601,42,Sync!$D$13)),0)&gt;0,IFERROR(INDEX(Clay_Brands!$A$2:$FZ$601,42,Sync!$D$5)&amp;"","")&lt;&gt;"",OR(LEFT(IFERROR(INDEX(Clay_Brands!$A$2:$FZ$601,42,Sync!$D$5)&amp;"",""),6)&lt;&gt;"SAMPLE",Config!$B$19="Y")),IFERROR(N(INDEX(Clay_Brands!$A$2:$FZ$601,42,Sync!$D$13)),0),"")</f>
        <v/>
      </c>
      <c r="C4693" s="23" t="str">
        <f aca="false">IF(B4693="","","brand")</f>
        <v/>
      </c>
      <c r="D4693" s="23" t="str">
        <f aca="false">IF(B4693="","",IFERROR(INDEX(Brand_Log!$DV$2:$DV$201,MATCH(IFERROR(INDEX(Clay_Brands!$A$2:$FZ$601,42,Sync!$D$5)&amp;"",""),Brand_Log!$A$2:$A$201,0))&amp;"",IFERROR(INDEX(Clay_Brands!$A$2:$FZ$601,42,Sync!$D$5)&amp;"","")&amp;""))</f>
        <v/>
      </c>
      <c r="E4693" s="23" t="str">
        <f aca="false">IF(B4693="","",IFERROR(INDEX(Clay_Brands!$A$2:$FZ$601,42,Sync!$D$6)&amp;"",""))</f>
        <v/>
      </c>
      <c r="F4693" s="23" t="str">
        <f aca="false">IF(B4693="","","outreach_sent")</f>
        <v/>
      </c>
      <c r="G4693" s="23" t="str">
        <f aca="false">IF(B4693="","","")</f>
        <v/>
      </c>
      <c r="H4693" s="23" t="str">
        <f aca="false">IF(B4693="","","")</f>
        <v/>
      </c>
      <c r="I4693" s="23" t="str">
        <f aca="false">IF(B4693="","","")</f>
        <v/>
      </c>
      <c r="J4693" s="23" t="str">
        <f aca="false">IF(B4693="","","touch_3; "&amp;IFERROR(INDEX(Clay_Brands!$A$2:$FZ$601,42,Sync!$D$10)&amp;"","")&amp;"; "&amp;IFERROR(INDEX(Clay_Brands!$A$2:$FZ$601,42,Sync!$D$9)&amp;"",""))</f>
        <v/>
      </c>
      <c r="K4693" s="32" t="s">
        <v>1368</v>
      </c>
    </row>
    <row r="4694" customFormat="false" ht="15" hidden="false" customHeight="false" outlineLevel="0" collapsed="false">
      <c r="A4694" s="23" t="str">
        <f aca="false">IF(B4694="","",B4694+(17*1000+43)/10000000)</f>
        <v/>
      </c>
      <c r="B4694" s="35" t="str">
        <f aca="false">IF(AND(IFERROR(N(INDEX(Clay_Brands!$A$2:$FZ$601,43,Sync!$D$13)),0)&gt;0,IFERROR(INDEX(Clay_Brands!$A$2:$FZ$601,43,Sync!$D$5)&amp;"","")&lt;&gt;"",OR(LEFT(IFERROR(INDEX(Clay_Brands!$A$2:$FZ$601,43,Sync!$D$5)&amp;"",""),6)&lt;&gt;"SAMPLE",Config!$B$19="Y")),IFERROR(N(INDEX(Clay_Brands!$A$2:$FZ$601,43,Sync!$D$13)),0),"")</f>
        <v/>
      </c>
      <c r="C4694" s="23" t="str">
        <f aca="false">IF(B4694="","","brand")</f>
        <v/>
      </c>
      <c r="D4694" s="23" t="str">
        <f aca="false">IF(B4694="","",IFERROR(INDEX(Brand_Log!$DV$2:$DV$201,MATCH(IFERROR(INDEX(Clay_Brands!$A$2:$FZ$601,43,Sync!$D$5)&amp;"",""),Brand_Log!$A$2:$A$201,0))&amp;"",IFERROR(INDEX(Clay_Brands!$A$2:$FZ$601,43,Sync!$D$5)&amp;"","")&amp;""))</f>
        <v/>
      </c>
      <c r="E4694" s="23" t="str">
        <f aca="false">IF(B4694="","",IFERROR(INDEX(Clay_Brands!$A$2:$FZ$601,43,Sync!$D$6)&amp;"",""))</f>
        <v/>
      </c>
      <c r="F4694" s="23" t="str">
        <f aca="false">IF(B4694="","","outreach_sent")</f>
        <v/>
      </c>
      <c r="G4694" s="23" t="str">
        <f aca="false">IF(B4694="","","")</f>
        <v/>
      </c>
      <c r="H4694" s="23" t="str">
        <f aca="false">IF(B4694="","","")</f>
        <v/>
      </c>
      <c r="I4694" s="23" t="str">
        <f aca="false">IF(B4694="","","")</f>
        <v/>
      </c>
      <c r="J4694" s="23" t="str">
        <f aca="false">IF(B4694="","","touch_3; "&amp;IFERROR(INDEX(Clay_Brands!$A$2:$FZ$601,43,Sync!$D$10)&amp;"","")&amp;"; "&amp;IFERROR(INDEX(Clay_Brands!$A$2:$FZ$601,43,Sync!$D$9)&amp;"",""))</f>
        <v/>
      </c>
      <c r="K4694" s="32" t="s">
        <v>1368</v>
      </c>
    </row>
    <row r="4695" customFormat="false" ht="15" hidden="false" customHeight="false" outlineLevel="0" collapsed="false">
      <c r="A4695" s="23" t="str">
        <f aca="false">IF(B4695="","",B4695+(17*1000+44)/10000000)</f>
        <v/>
      </c>
      <c r="B4695" s="35" t="str">
        <f aca="false">IF(AND(IFERROR(N(INDEX(Clay_Brands!$A$2:$FZ$601,44,Sync!$D$13)),0)&gt;0,IFERROR(INDEX(Clay_Brands!$A$2:$FZ$601,44,Sync!$D$5)&amp;"","")&lt;&gt;"",OR(LEFT(IFERROR(INDEX(Clay_Brands!$A$2:$FZ$601,44,Sync!$D$5)&amp;"",""),6)&lt;&gt;"SAMPLE",Config!$B$19="Y")),IFERROR(N(INDEX(Clay_Brands!$A$2:$FZ$601,44,Sync!$D$13)),0),"")</f>
        <v/>
      </c>
      <c r="C4695" s="23" t="str">
        <f aca="false">IF(B4695="","","brand")</f>
        <v/>
      </c>
      <c r="D4695" s="23" t="str">
        <f aca="false">IF(B4695="","",IFERROR(INDEX(Brand_Log!$DV$2:$DV$201,MATCH(IFERROR(INDEX(Clay_Brands!$A$2:$FZ$601,44,Sync!$D$5)&amp;"",""),Brand_Log!$A$2:$A$201,0))&amp;"",IFERROR(INDEX(Clay_Brands!$A$2:$FZ$601,44,Sync!$D$5)&amp;"","")&amp;""))</f>
        <v/>
      </c>
      <c r="E4695" s="23" t="str">
        <f aca="false">IF(B4695="","",IFERROR(INDEX(Clay_Brands!$A$2:$FZ$601,44,Sync!$D$6)&amp;"",""))</f>
        <v/>
      </c>
      <c r="F4695" s="23" t="str">
        <f aca="false">IF(B4695="","","outreach_sent")</f>
        <v/>
      </c>
      <c r="G4695" s="23" t="str">
        <f aca="false">IF(B4695="","","")</f>
        <v/>
      </c>
      <c r="H4695" s="23" t="str">
        <f aca="false">IF(B4695="","","")</f>
        <v/>
      </c>
      <c r="I4695" s="23" t="str">
        <f aca="false">IF(B4695="","","")</f>
        <v/>
      </c>
      <c r="J4695" s="23" t="str">
        <f aca="false">IF(B4695="","","touch_3; "&amp;IFERROR(INDEX(Clay_Brands!$A$2:$FZ$601,44,Sync!$D$10)&amp;"","")&amp;"; "&amp;IFERROR(INDEX(Clay_Brands!$A$2:$FZ$601,44,Sync!$D$9)&amp;"",""))</f>
        <v/>
      </c>
      <c r="K4695" s="32" t="s">
        <v>1368</v>
      </c>
    </row>
    <row r="4696" customFormat="false" ht="15" hidden="false" customHeight="false" outlineLevel="0" collapsed="false">
      <c r="A4696" s="23" t="str">
        <f aca="false">IF(B4696="","",B4696+(17*1000+45)/10000000)</f>
        <v/>
      </c>
      <c r="B4696" s="35" t="str">
        <f aca="false">IF(AND(IFERROR(N(INDEX(Clay_Brands!$A$2:$FZ$601,45,Sync!$D$13)),0)&gt;0,IFERROR(INDEX(Clay_Brands!$A$2:$FZ$601,45,Sync!$D$5)&amp;"","")&lt;&gt;"",OR(LEFT(IFERROR(INDEX(Clay_Brands!$A$2:$FZ$601,45,Sync!$D$5)&amp;"",""),6)&lt;&gt;"SAMPLE",Config!$B$19="Y")),IFERROR(N(INDEX(Clay_Brands!$A$2:$FZ$601,45,Sync!$D$13)),0),"")</f>
        <v/>
      </c>
      <c r="C4696" s="23" t="str">
        <f aca="false">IF(B4696="","","brand")</f>
        <v/>
      </c>
      <c r="D4696" s="23" t="str">
        <f aca="false">IF(B4696="","",IFERROR(INDEX(Brand_Log!$DV$2:$DV$201,MATCH(IFERROR(INDEX(Clay_Brands!$A$2:$FZ$601,45,Sync!$D$5)&amp;"",""),Brand_Log!$A$2:$A$201,0))&amp;"",IFERROR(INDEX(Clay_Brands!$A$2:$FZ$601,45,Sync!$D$5)&amp;"","")&amp;""))</f>
        <v/>
      </c>
      <c r="E4696" s="23" t="str">
        <f aca="false">IF(B4696="","",IFERROR(INDEX(Clay_Brands!$A$2:$FZ$601,45,Sync!$D$6)&amp;"",""))</f>
        <v/>
      </c>
      <c r="F4696" s="23" t="str">
        <f aca="false">IF(B4696="","","outreach_sent")</f>
        <v/>
      </c>
      <c r="G4696" s="23" t="str">
        <f aca="false">IF(B4696="","","")</f>
        <v/>
      </c>
      <c r="H4696" s="23" t="str">
        <f aca="false">IF(B4696="","","")</f>
        <v/>
      </c>
      <c r="I4696" s="23" t="str">
        <f aca="false">IF(B4696="","","")</f>
        <v/>
      </c>
      <c r="J4696" s="23" t="str">
        <f aca="false">IF(B4696="","","touch_3; "&amp;IFERROR(INDEX(Clay_Brands!$A$2:$FZ$601,45,Sync!$D$10)&amp;"","")&amp;"; "&amp;IFERROR(INDEX(Clay_Brands!$A$2:$FZ$601,45,Sync!$D$9)&amp;"",""))</f>
        <v/>
      </c>
      <c r="K4696" s="32" t="s">
        <v>1368</v>
      </c>
    </row>
    <row r="4697" customFormat="false" ht="15" hidden="false" customHeight="false" outlineLevel="0" collapsed="false">
      <c r="A4697" s="23" t="str">
        <f aca="false">IF(B4697="","",B4697+(17*1000+46)/10000000)</f>
        <v/>
      </c>
      <c r="B4697" s="35" t="str">
        <f aca="false">IF(AND(IFERROR(N(INDEX(Clay_Brands!$A$2:$FZ$601,46,Sync!$D$13)),0)&gt;0,IFERROR(INDEX(Clay_Brands!$A$2:$FZ$601,46,Sync!$D$5)&amp;"","")&lt;&gt;"",OR(LEFT(IFERROR(INDEX(Clay_Brands!$A$2:$FZ$601,46,Sync!$D$5)&amp;"",""),6)&lt;&gt;"SAMPLE",Config!$B$19="Y")),IFERROR(N(INDEX(Clay_Brands!$A$2:$FZ$601,46,Sync!$D$13)),0),"")</f>
        <v/>
      </c>
      <c r="C4697" s="23" t="str">
        <f aca="false">IF(B4697="","","brand")</f>
        <v/>
      </c>
      <c r="D4697" s="23" t="str">
        <f aca="false">IF(B4697="","",IFERROR(INDEX(Brand_Log!$DV$2:$DV$201,MATCH(IFERROR(INDEX(Clay_Brands!$A$2:$FZ$601,46,Sync!$D$5)&amp;"",""),Brand_Log!$A$2:$A$201,0))&amp;"",IFERROR(INDEX(Clay_Brands!$A$2:$FZ$601,46,Sync!$D$5)&amp;"","")&amp;""))</f>
        <v/>
      </c>
      <c r="E4697" s="23" t="str">
        <f aca="false">IF(B4697="","",IFERROR(INDEX(Clay_Brands!$A$2:$FZ$601,46,Sync!$D$6)&amp;"",""))</f>
        <v/>
      </c>
      <c r="F4697" s="23" t="str">
        <f aca="false">IF(B4697="","","outreach_sent")</f>
        <v/>
      </c>
      <c r="G4697" s="23" t="str">
        <f aca="false">IF(B4697="","","")</f>
        <v/>
      </c>
      <c r="H4697" s="23" t="str">
        <f aca="false">IF(B4697="","","")</f>
        <v/>
      </c>
      <c r="I4697" s="23" t="str">
        <f aca="false">IF(B4697="","","")</f>
        <v/>
      </c>
      <c r="J4697" s="23" t="str">
        <f aca="false">IF(B4697="","","touch_3; "&amp;IFERROR(INDEX(Clay_Brands!$A$2:$FZ$601,46,Sync!$D$10)&amp;"","")&amp;"; "&amp;IFERROR(INDEX(Clay_Brands!$A$2:$FZ$601,46,Sync!$D$9)&amp;"",""))</f>
        <v/>
      </c>
      <c r="K4697" s="32" t="s">
        <v>1368</v>
      </c>
    </row>
    <row r="4698" customFormat="false" ht="15" hidden="false" customHeight="false" outlineLevel="0" collapsed="false">
      <c r="A4698" s="23" t="str">
        <f aca="false">IF(B4698="","",B4698+(17*1000+47)/10000000)</f>
        <v/>
      </c>
      <c r="B4698" s="35" t="str">
        <f aca="false">IF(AND(IFERROR(N(INDEX(Clay_Brands!$A$2:$FZ$601,47,Sync!$D$13)),0)&gt;0,IFERROR(INDEX(Clay_Brands!$A$2:$FZ$601,47,Sync!$D$5)&amp;"","")&lt;&gt;"",OR(LEFT(IFERROR(INDEX(Clay_Brands!$A$2:$FZ$601,47,Sync!$D$5)&amp;"",""),6)&lt;&gt;"SAMPLE",Config!$B$19="Y")),IFERROR(N(INDEX(Clay_Brands!$A$2:$FZ$601,47,Sync!$D$13)),0),"")</f>
        <v/>
      </c>
      <c r="C4698" s="23" t="str">
        <f aca="false">IF(B4698="","","brand")</f>
        <v/>
      </c>
      <c r="D4698" s="23" t="str">
        <f aca="false">IF(B4698="","",IFERROR(INDEX(Brand_Log!$DV$2:$DV$201,MATCH(IFERROR(INDEX(Clay_Brands!$A$2:$FZ$601,47,Sync!$D$5)&amp;"",""),Brand_Log!$A$2:$A$201,0))&amp;"",IFERROR(INDEX(Clay_Brands!$A$2:$FZ$601,47,Sync!$D$5)&amp;"","")&amp;""))</f>
        <v/>
      </c>
      <c r="E4698" s="23" t="str">
        <f aca="false">IF(B4698="","",IFERROR(INDEX(Clay_Brands!$A$2:$FZ$601,47,Sync!$D$6)&amp;"",""))</f>
        <v/>
      </c>
      <c r="F4698" s="23" t="str">
        <f aca="false">IF(B4698="","","outreach_sent")</f>
        <v/>
      </c>
      <c r="G4698" s="23" t="str">
        <f aca="false">IF(B4698="","","")</f>
        <v/>
      </c>
      <c r="H4698" s="23" t="str">
        <f aca="false">IF(B4698="","","")</f>
        <v/>
      </c>
      <c r="I4698" s="23" t="str">
        <f aca="false">IF(B4698="","","")</f>
        <v/>
      </c>
      <c r="J4698" s="23" t="str">
        <f aca="false">IF(B4698="","","touch_3; "&amp;IFERROR(INDEX(Clay_Brands!$A$2:$FZ$601,47,Sync!$D$10)&amp;"","")&amp;"; "&amp;IFERROR(INDEX(Clay_Brands!$A$2:$FZ$601,47,Sync!$D$9)&amp;"",""))</f>
        <v/>
      </c>
      <c r="K4698" s="32" t="s">
        <v>1368</v>
      </c>
    </row>
    <row r="4699" customFormat="false" ht="15" hidden="false" customHeight="false" outlineLevel="0" collapsed="false">
      <c r="A4699" s="23" t="str">
        <f aca="false">IF(B4699="","",B4699+(17*1000+48)/10000000)</f>
        <v/>
      </c>
      <c r="B4699" s="35" t="str">
        <f aca="false">IF(AND(IFERROR(N(INDEX(Clay_Brands!$A$2:$FZ$601,48,Sync!$D$13)),0)&gt;0,IFERROR(INDEX(Clay_Brands!$A$2:$FZ$601,48,Sync!$D$5)&amp;"","")&lt;&gt;"",OR(LEFT(IFERROR(INDEX(Clay_Brands!$A$2:$FZ$601,48,Sync!$D$5)&amp;"",""),6)&lt;&gt;"SAMPLE",Config!$B$19="Y")),IFERROR(N(INDEX(Clay_Brands!$A$2:$FZ$601,48,Sync!$D$13)),0),"")</f>
        <v/>
      </c>
      <c r="C4699" s="23" t="str">
        <f aca="false">IF(B4699="","","brand")</f>
        <v/>
      </c>
      <c r="D4699" s="23" t="str">
        <f aca="false">IF(B4699="","",IFERROR(INDEX(Brand_Log!$DV$2:$DV$201,MATCH(IFERROR(INDEX(Clay_Brands!$A$2:$FZ$601,48,Sync!$D$5)&amp;"",""),Brand_Log!$A$2:$A$201,0))&amp;"",IFERROR(INDEX(Clay_Brands!$A$2:$FZ$601,48,Sync!$D$5)&amp;"","")&amp;""))</f>
        <v/>
      </c>
      <c r="E4699" s="23" t="str">
        <f aca="false">IF(B4699="","",IFERROR(INDEX(Clay_Brands!$A$2:$FZ$601,48,Sync!$D$6)&amp;"",""))</f>
        <v/>
      </c>
      <c r="F4699" s="23" t="str">
        <f aca="false">IF(B4699="","","outreach_sent")</f>
        <v/>
      </c>
      <c r="G4699" s="23" t="str">
        <f aca="false">IF(B4699="","","")</f>
        <v/>
      </c>
      <c r="H4699" s="23" t="str">
        <f aca="false">IF(B4699="","","")</f>
        <v/>
      </c>
      <c r="I4699" s="23" t="str">
        <f aca="false">IF(B4699="","","")</f>
        <v/>
      </c>
      <c r="J4699" s="23" t="str">
        <f aca="false">IF(B4699="","","touch_3; "&amp;IFERROR(INDEX(Clay_Brands!$A$2:$FZ$601,48,Sync!$D$10)&amp;"","")&amp;"; "&amp;IFERROR(INDEX(Clay_Brands!$A$2:$FZ$601,48,Sync!$D$9)&amp;"",""))</f>
        <v/>
      </c>
      <c r="K4699" s="32" t="s">
        <v>1368</v>
      </c>
    </row>
    <row r="4700" customFormat="false" ht="15" hidden="false" customHeight="false" outlineLevel="0" collapsed="false">
      <c r="A4700" s="23" t="str">
        <f aca="false">IF(B4700="","",B4700+(17*1000+49)/10000000)</f>
        <v/>
      </c>
      <c r="B4700" s="35" t="str">
        <f aca="false">IF(AND(IFERROR(N(INDEX(Clay_Brands!$A$2:$FZ$601,49,Sync!$D$13)),0)&gt;0,IFERROR(INDEX(Clay_Brands!$A$2:$FZ$601,49,Sync!$D$5)&amp;"","")&lt;&gt;"",OR(LEFT(IFERROR(INDEX(Clay_Brands!$A$2:$FZ$601,49,Sync!$D$5)&amp;"",""),6)&lt;&gt;"SAMPLE",Config!$B$19="Y")),IFERROR(N(INDEX(Clay_Brands!$A$2:$FZ$601,49,Sync!$D$13)),0),"")</f>
        <v/>
      </c>
      <c r="C4700" s="23" t="str">
        <f aca="false">IF(B4700="","","brand")</f>
        <v/>
      </c>
      <c r="D4700" s="23" t="str">
        <f aca="false">IF(B4700="","",IFERROR(INDEX(Brand_Log!$DV$2:$DV$201,MATCH(IFERROR(INDEX(Clay_Brands!$A$2:$FZ$601,49,Sync!$D$5)&amp;"",""),Brand_Log!$A$2:$A$201,0))&amp;"",IFERROR(INDEX(Clay_Brands!$A$2:$FZ$601,49,Sync!$D$5)&amp;"","")&amp;""))</f>
        <v/>
      </c>
      <c r="E4700" s="23" t="str">
        <f aca="false">IF(B4700="","",IFERROR(INDEX(Clay_Brands!$A$2:$FZ$601,49,Sync!$D$6)&amp;"",""))</f>
        <v/>
      </c>
      <c r="F4700" s="23" t="str">
        <f aca="false">IF(B4700="","","outreach_sent")</f>
        <v/>
      </c>
      <c r="G4700" s="23" t="str">
        <f aca="false">IF(B4700="","","")</f>
        <v/>
      </c>
      <c r="H4700" s="23" t="str">
        <f aca="false">IF(B4700="","","")</f>
        <v/>
      </c>
      <c r="I4700" s="23" t="str">
        <f aca="false">IF(B4700="","","")</f>
        <v/>
      </c>
      <c r="J4700" s="23" t="str">
        <f aca="false">IF(B4700="","","touch_3; "&amp;IFERROR(INDEX(Clay_Brands!$A$2:$FZ$601,49,Sync!$D$10)&amp;"","")&amp;"; "&amp;IFERROR(INDEX(Clay_Brands!$A$2:$FZ$601,49,Sync!$D$9)&amp;"",""))</f>
        <v/>
      </c>
      <c r="K4700" s="32" t="s">
        <v>1368</v>
      </c>
    </row>
    <row r="4701" customFormat="false" ht="15" hidden="false" customHeight="false" outlineLevel="0" collapsed="false">
      <c r="A4701" s="23" t="str">
        <f aca="false">IF(B4701="","",B4701+(17*1000+50)/10000000)</f>
        <v/>
      </c>
      <c r="B4701" s="35" t="str">
        <f aca="false">IF(AND(IFERROR(N(INDEX(Clay_Brands!$A$2:$FZ$601,50,Sync!$D$13)),0)&gt;0,IFERROR(INDEX(Clay_Brands!$A$2:$FZ$601,50,Sync!$D$5)&amp;"","")&lt;&gt;"",OR(LEFT(IFERROR(INDEX(Clay_Brands!$A$2:$FZ$601,50,Sync!$D$5)&amp;"",""),6)&lt;&gt;"SAMPLE",Config!$B$19="Y")),IFERROR(N(INDEX(Clay_Brands!$A$2:$FZ$601,50,Sync!$D$13)),0),"")</f>
        <v/>
      </c>
      <c r="C4701" s="23" t="str">
        <f aca="false">IF(B4701="","","brand")</f>
        <v/>
      </c>
      <c r="D4701" s="23" t="str">
        <f aca="false">IF(B4701="","",IFERROR(INDEX(Brand_Log!$DV$2:$DV$201,MATCH(IFERROR(INDEX(Clay_Brands!$A$2:$FZ$601,50,Sync!$D$5)&amp;"",""),Brand_Log!$A$2:$A$201,0))&amp;"",IFERROR(INDEX(Clay_Brands!$A$2:$FZ$601,50,Sync!$D$5)&amp;"","")&amp;""))</f>
        <v/>
      </c>
      <c r="E4701" s="23" t="str">
        <f aca="false">IF(B4701="","",IFERROR(INDEX(Clay_Brands!$A$2:$FZ$601,50,Sync!$D$6)&amp;"",""))</f>
        <v/>
      </c>
      <c r="F4701" s="23" t="str">
        <f aca="false">IF(B4701="","","outreach_sent")</f>
        <v/>
      </c>
      <c r="G4701" s="23" t="str">
        <f aca="false">IF(B4701="","","")</f>
        <v/>
      </c>
      <c r="H4701" s="23" t="str">
        <f aca="false">IF(B4701="","","")</f>
        <v/>
      </c>
      <c r="I4701" s="23" t="str">
        <f aca="false">IF(B4701="","","")</f>
        <v/>
      </c>
      <c r="J4701" s="23" t="str">
        <f aca="false">IF(B4701="","","touch_3; "&amp;IFERROR(INDEX(Clay_Brands!$A$2:$FZ$601,50,Sync!$D$10)&amp;"","")&amp;"; "&amp;IFERROR(INDEX(Clay_Brands!$A$2:$FZ$601,50,Sync!$D$9)&amp;"",""))</f>
        <v/>
      </c>
      <c r="K4701" s="32" t="s">
        <v>1368</v>
      </c>
    </row>
    <row r="4702" customFormat="false" ht="15" hidden="false" customHeight="false" outlineLevel="0" collapsed="false">
      <c r="A4702" s="23" t="str">
        <f aca="false">IF(B4702="","",B4702+(17*1000+51)/10000000)</f>
        <v/>
      </c>
      <c r="B4702" s="35" t="str">
        <f aca="false">IF(AND(IFERROR(N(INDEX(Clay_Brands!$A$2:$FZ$601,51,Sync!$D$13)),0)&gt;0,IFERROR(INDEX(Clay_Brands!$A$2:$FZ$601,51,Sync!$D$5)&amp;"","")&lt;&gt;"",OR(LEFT(IFERROR(INDEX(Clay_Brands!$A$2:$FZ$601,51,Sync!$D$5)&amp;"",""),6)&lt;&gt;"SAMPLE",Config!$B$19="Y")),IFERROR(N(INDEX(Clay_Brands!$A$2:$FZ$601,51,Sync!$D$13)),0),"")</f>
        <v/>
      </c>
      <c r="C4702" s="23" t="str">
        <f aca="false">IF(B4702="","","brand")</f>
        <v/>
      </c>
      <c r="D4702" s="23" t="str">
        <f aca="false">IF(B4702="","",IFERROR(INDEX(Brand_Log!$DV$2:$DV$201,MATCH(IFERROR(INDEX(Clay_Brands!$A$2:$FZ$601,51,Sync!$D$5)&amp;"",""),Brand_Log!$A$2:$A$201,0))&amp;"",IFERROR(INDEX(Clay_Brands!$A$2:$FZ$601,51,Sync!$D$5)&amp;"","")&amp;""))</f>
        <v/>
      </c>
      <c r="E4702" s="23" t="str">
        <f aca="false">IF(B4702="","",IFERROR(INDEX(Clay_Brands!$A$2:$FZ$601,51,Sync!$D$6)&amp;"",""))</f>
        <v/>
      </c>
      <c r="F4702" s="23" t="str">
        <f aca="false">IF(B4702="","","outreach_sent")</f>
        <v/>
      </c>
      <c r="G4702" s="23" t="str">
        <f aca="false">IF(B4702="","","")</f>
        <v/>
      </c>
      <c r="H4702" s="23" t="str">
        <f aca="false">IF(B4702="","","")</f>
        <v/>
      </c>
      <c r="I4702" s="23" t="str">
        <f aca="false">IF(B4702="","","")</f>
        <v/>
      </c>
      <c r="J4702" s="23" t="str">
        <f aca="false">IF(B4702="","","touch_3; "&amp;IFERROR(INDEX(Clay_Brands!$A$2:$FZ$601,51,Sync!$D$10)&amp;"","")&amp;"; "&amp;IFERROR(INDEX(Clay_Brands!$A$2:$FZ$601,51,Sync!$D$9)&amp;"",""))</f>
        <v/>
      </c>
      <c r="K4702" s="32" t="s">
        <v>1368</v>
      </c>
    </row>
    <row r="4703" customFormat="false" ht="15" hidden="false" customHeight="false" outlineLevel="0" collapsed="false">
      <c r="A4703" s="23" t="str">
        <f aca="false">IF(B4703="","",B4703+(17*1000+52)/10000000)</f>
        <v/>
      </c>
      <c r="B4703" s="35" t="str">
        <f aca="false">IF(AND(IFERROR(N(INDEX(Clay_Brands!$A$2:$FZ$601,52,Sync!$D$13)),0)&gt;0,IFERROR(INDEX(Clay_Brands!$A$2:$FZ$601,52,Sync!$D$5)&amp;"","")&lt;&gt;"",OR(LEFT(IFERROR(INDEX(Clay_Brands!$A$2:$FZ$601,52,Sync!$D$5)&amp;"",""),6)&lt;&gt;"SAMPLE",Config!$B$19="Y")),IFERROR(N(INDEX(Clay_Brands!$A$2:$FZ$601,52,Sync!$D$13)),0),"")</f>
        <v/>
      </c>
      <c r="C4703" s="23" t="str">
        <f aca="false">IF(B4703="","","brand")</f>
        <v/>
      </c>
      <c r="D4703" s="23" t="str">
        <f aca="false">IF(B4703="","",IFERROR(INDEX(Brand_Log!$DV$2:$DV$201,MATCH(IFERROR(INDEX(Clay_Brands!$A$2:$FZ$601,52,Sync!$D$5)&amp;"",""),Brand_Log!$A$2:$A$201,0))&amp;"",IFERROR(INDEX(Clay_Brands!$A$2:$FZ$601,52,Sync!$D$5)&amp;"","")&amp;""))</f>
        <v/>
      </c>
      <c r="E4703" s="23" t="str">
        <f aca="false">IF(B4703="","",IFERROR(INDEX(Clay_Brands!$A$2:$FZ$601,52,Sync!$D$6)&amp;"",""))</f>
        <v/>
      </c>
      <c r="F4703" s="23" t="str">
        <f aca="false">IF(B4703="","","outreach_sent")</f>
        <v/>
      </c>
      <c r="G4703" s="23" t="str">
        <f aca="false">IF(B4703="","","")</f>
        <v/>
      </c>
      <c r="H4703" s="23" t="str">
        <f aca="false">IF(B4703="","","")</f>
        <v/>
      </c>
      <c r="I4703" s="23" t="str">
        <f aca="false">IF(B4703="","","")</f>
        <v/>
      </c>
      <c r="J4703" s="23" t="str">
        <f aca="false">IF(B4703="","","touch_3; "&amp;IFERROR(INDEX(Clay_Brands!$A$2:$FZ$601,52,Sync!$D$10)&amp;"","")&amp;"; "&amp;IFERROR(INDEX(Clay_Brands!$A$2:$FZ$601,52,Sync!$D$9)&amp;"",""))</f>
        <v/>
      </c>
      <c r="K4703" s="32" t="s">
        <v>1368</v>
      </c>
    </row>
    <row r="4704" customFormat="false" ht="15" hidden="false" customHeight="false" outlineLevel="0" collapsed="false">
      <c r="A4704" s="23" t="str">
        <f aca="false">IF(B4704="","",B4704+(17*1000+53)/10000000)</f>
        <v/>
      </c>
      <c r="B4704" s="35" t="str">
        <f aca="false">IF(AND(IFERROR(N(INDEX(Clay_Brands!$A$2:$FZ$601,53,Sync!$D$13)),0)&gt;0,IFERROR(INDEX(Clay_Brands!$A$2:$FZ$601,53,Sync!$D$5)&amp;"","")&lt;&gt;"",OR(LEFT(IFERROR(INDEX(Clay_Brands!$A$2:$FZ$601,53,Sync!$D$5)&amp;"",""),6)&lt;&gt;"SAMPLE",Config!$B$19="Y")),IFERROR(N(INDEX(Clay_Brands!$A$2:$FZ$601,53,Sync!$D$13)),0),"")</f>
        <v/>
      </c>
      <c r="C4704" s="23" t="str">
        <f aca="false">IF(B4704="","","brand")</f>
        <v/>
      </c>
      <c r="D4704" s="23" t="str">
        <f aca="false">IF(B4704="","",IFERROR(INDEX(Brand_Log!$DV$2:$DV$201,MATCH(IFERROR(INDEX(Clay_Brands!$A$2:$FZ$601,53,Sync!$D$5)&amp;"",""),Brand_Log!$A$2:$A$201,0))&amp;"",IFERROR(INDEX(Clay_Brands!$A$2:$FZ$601,53,Sync!$D$5)&amp;"","")&amp;""))</f>
        <v/>
      </c>
      <c r="E4704" s="23" t="str">
        <f aca="false">IF(B4704="","",IFERROR(INDEX(Clay_Brands!$A$2:$FZ$601,53,Sync!$D$6)&amp;"",""))</f>
        <v/>
      </c>
      <c r="F4704" s="23" t="str">
        <f aca="false">IF(B4704="","","outreach_sent")</f>
        <v/>
      </c>
      <c r="G4704" s="23" t="str">
        <f aca="false">IF(B4704="","","")</f>
        <v/>
      </c>
      <c r="H4704" s="23" t="str">
        <f aca="false">IF(B4704="","","")</f>
        <v/>
      </c>
      <c r="I4704" s="23" t="str">
        <f aca="false">IF(B4704="","","")</f>
        <v/>
      </c>
      <c r="J4704" s="23" t="str">
        <f aca="false">IF(B4704="","","touch_3; "&amp;IFERROR(INDEX(Clay_Brands!$A$2:$FZ$601,53,Sync!$D$10)&amp;"","")&amp;"; "&amp;IFERROR(INDEX(Clay_Brands!$A$2:$FZ$601,53,Sync!$D$9)&amp;"",""))</f>
        <v/>
      </c>
      <c r="K4704" s="32" t="s">
        <v>1368</v>
      </c>
    </row>
    <row r="4705" customFormat="false" ht="15" hidden="false" customHeight="false" outlineLevel="0" collapsed="false">
      <c r="A4705" s="23" t="str">
        <f aca="false">IF(B4705="","",B4705+(17*1000+54)/10000000)</f>
        <v/>
      </c>
      <c r="B4705" s="35" t="str">
        <f aca="false">IF(AND(IFERROR(N(INDEX(Clay_Brands!$A$2:$FZ$601,54,Sync!$D$13)),0)&gt;0,IFERROR(INDEX(Clay_Brands!$A$2:$FZ$601,54,Sync!$D$5)&amp;"","")&lt;&gt;"",OR(LEFT(IFERROR(INDEX(Clay_Brands!$A$2:$FZ$601,54,Sync!$D$5)&amp;"",""),6)&lt;&gt;"SAMPLE",Config!$B$19="Y")),IFERROR(N(INDEX(Clay_Brands!$A$2:$FZ$601,54,Sync!$D$13)),0),"")</f>
        <v/>
      </c>
      <c r="C4705" s="23" t="str">
        <f aca="false">IF(B4705="","","brand")</f>
        <v/>
      </c>
      <c r="D4705" s="23" t="str">
        <f aca="false">IF(B4705="","",IFERROR(INDEX(Brand_Log!$DV$2:$DV$201,MATCH(IFERROR(INDEX(Clay_Brands!$A$2:$FZ$601,54,Sync!$D$5)&amp;"",""),Brand_Log!$A$2:$A$201,0))&amp;"",IFERROR(INDEX(Clay_Brands!$A$2:$FZ$601,54,Sync!$D$5)&amp;"","")&amp;""))</f>
        <v/>
      </c>
      <c r="E4705" s="23" t="str">
        <f aca="false">IF(B4705="","",IFERROR(INDEX(Clay_Brands!$A$2:$FZ$601,54,Sync!$D$6)&amp;"",""))</f>
        <v/>
      </c>
      <c r="F4705" s="23" t="str">
        <f aca="false">IF(B4705="","","outreach_sent")</f>
        <v/>
      </c>
      <c r="G4705" s="23" t="str">
        <f aca="false">IF(B4705="","","")</f>
        <v/>
      </c>
      <c r="H4705" s="23" t="str">
        <f aca="false">IF(B4705="","","")</f>
        <v/>
      </c>
      <c r="I4705" s="23" t="str">
        <f aca="false">IF(B4705="","","")</f>
        <v/>
      </c>
      <c r="J4705" s="23" t="str">
        <f aca="false">IF(B4705="","","touch_3; "&amp;IFERROR(INDEX(Clay_Brands!$A$2:$FZ$601,54,Sync!$D$10)&amp;"","")&amp;"; "&amp;IFERROR(INDEX(Clay_Brands!$A$2:$FZ$601,54,Sync!$D$9)&amp;"",""))</f>
        <v/>
      </c>
      <c r="K4705" s="32" t="s">
        <v>1368</v>
      </c>
    </row>
    <row r="4706" customFormat="false" ht="15" hidden="false" customHeight="false" outlineLevel="0" collapsed="false">
      <c r="A4706" s="23" t="str">
        <f aca="false">IF(B4706="","",B4706+(17*1000+55)/10000000)</f>
        <v/>
      </c>
      <c r="B4706" s="35" t="str">
        <f aca="false">IF(AND(IFERROR(N(INDEX(Clay_Brands!$A$2:$FZ$601,55,Sync!$D$13)),0)&gt;0,IFERROR(INDEX(Clay_Brands!$A$2:$FZ$601,55,Sync!$D$5)&amp;"","")&lt;&gt;"",OR(LEFT(IFERROR(INDEX(Clay_Brands!$A$2:$FZ$601,55,Sync!$D$5)&amp;"",""),6)&lt;&gt;"SAMPLE",Config!$B$19="Y")),IFERROR(N(INDEX(Clay_Brands!$A$2:$FZ$601,55,Sync!$D$13)),0),"")</f>
        <v/>
      </c>
      <c r="C4706" s="23" t="str">
        <f aca="false">IF(B4706="","","brand")</f>
        <v/>
      </c>
      <c r="D4706" s="23" t="str">
        <f aca="false">IF(B4706="","",IFERROR(INDEX(Brand_Log!$DV$2:$DV$201,MATCH(IFERROR(INDEX(Clay_Brands!$A$2:$FZ$601,55,Sync!$D$5)&amp;"",""),Brand_Log!$A$2:$A$201,0))&amp;"",IFERROR(INDEX(Clay_Brands!$A$2:$FZ$601,55,Sync!$D$5)&amp;"","")&amp;""))</f>
        <v/>
      </c>
      <c r="E4706" s="23" t="str">
        <f aca="false">IF(B4706="","",IFERROR(INDEX(Clay_Brands!$A$2:$FZ$601,55,Sync!$D$6)&amp;"",""))</f>
        <v/>
      </c>
      <c r="F4706" s="23" t="str">
        <f aca="false">IF(B4706="","","outreach_sent")</f>
        <v/>
      </c>
      <c r="G4706" s="23" t="str">
        <f aca="false">IF(B4706="","","")</f>
        <v/>
      </c>
      <c r="H4706" s="23" t="str">
        <f aca="false">IF(B4706="","","")</f>
        <v/>
      </c>
      <c r="I4706" s="23" t="str">
        <f aca="false">IF(B4706="","","")</f>
        <v/>
      </c>
      <c r="J4706" s="23" t="str">
        <f aca="false">IF(B4706="","","touch_3; "&amp;IFERROR(INDEX(Clay_Brands!$A$2:$FZ$601,55,Sync!$D$10)&amp;"","")&amp;"; "&amp;IFERROR(INDEX(Clay_Brands!$A$2:$FZ$601,55,Sync!$D$9)&amp;"",""))</f>
        <v/>
      </c>
      <c r="K4706" s="32" t="s">
        <v>1368</v>
      </c>
    </row>
    <row r="4707" customFormat="false" ht="15" hidden="false" customHeight="false" outlineLevel="0" collapsed="false">
      <c r="A4707" s="23" t="str">
        <f aca="false">IF(B4707="","",B4707+(17*1000+56)/10000000)</f>
        <v/>
      </c>
      <c r="B4707" s="35" t="str">
        <f aca="false">IF(AND(IFERROR(N(INDEX(Clay_Brands!$A$2:$FZ$601,56,Sync!$D$13)),0)&gt;0,IFERROR(INDEX(Clay_Brands!$A$2:$FZ$601,56,Sync!$D$5)&amp;"","")&lt;&gt;"",OR(LEFT(IFERROR(INDEX(Clay_Brands!$A$2:$FZ$601,56,Sync!$D$5)&amp;"",""),6)&lt;&gt;"SAMPLE",Config!$B$19="Y")),IFERROR(N(INDEX(Clay_Brands!$A$2:$FZ$601,56,Sync!$D$13)),0),"")</f>
        <v/>
      </c>
      <c r="C4707" s="23" t="str">
        <f aca="false">IF(B4707="","","brand")</f>
        <v/>
      </c>
      <c r="D4707" s="23" t="str">
        <f aca="false">IF(B4707="","",IFERROR(INDEX(Brand_Log!$DV$2:$DV$201,MATCH(IFERROR(INDEX(Clay_Brands!$A$2:$FZ$601,56,Sync!$D$5)&amp;"",""),Brand_Log!$A$2:$A$201,0))&amp;"",IFERROR(INDEX(Clay_Brands!$A$2:$FZ$601,56,Sync!$D$5)&amp;"","")&amp;""))</f>
        <v/>
      </c>
      <c r="E4707" s="23" t="str">
        <f aca="false">IF(B4707="","",IFERROR(INDEX(Clay_Brands!$A$2:$FZ$601,56,Sync!$D$6)&amp;"",""))</f>
        <v/>
      </c>
      <c r="F4707" s="23" t="str">
        <f aca="false">IF(B4707="","","outreach_sent")</f>
        <v/>
      </c>
      <c r="G4707" s="23" t="str">
        <f aca="false">IF(B4707="","","")</f>
        <v/>
      </c>
      <c r="H4707" s="23" t="str">
        <f aca="false">IF(B4707="","","")</f>
        <v/>
      </c>
      <c r="I4707" s="23" t="str">
        <f aca="false">IF(B4707="","","")</f>
        <v/>
      </c>
      <c r="J4707" s="23" t="str">
        <f aca="false">IF(B4707="","","touch_3; "&amp;IFERROR(INDEX(Clay_Brands!$A$2:$FZ$601,56,Sync!$D$10)&amp;"","")&amp;"; "&amp;IFERROR(INDEX(Clay_Brands!$A$2:$FZ$601,56,Sync!$D$9)&amp;"",""))</f>
        <v/>
      </c>
      <c r="K4707" s="32" t="s">
        <v>1368</v>
      </c>
    </row>
    <row r="4708" customFormat="false" ht="15" hidden="false" customHeight="false" outlineLevel="0" collapsed="false">
      <c r="A4708" s="23" t="str">
        <f aca="false">IF(B4708="","",B4708+(17*1000+57)/10000000)</f>
        <v/>
      </c>
      <c r="B4708" s="35" t="str">
        <f aca="false">IF(AND(IFERROR(N(INDEX(Clay_Brands!$A$2:$FZ$601,57,Sync!$D$13)),0)&gt;0,IFERROR(INDEX(Clay_Brands!$A$2:$FZ$601,57,Sync!$D$5)&amp;"","")&lt;&gt;"",OR(LEFT(IFERROR(INDEX(Clay_Brands!$A$2:$FZ$601,57,Sync!$D$5)&amp;"",""),6)&lt;&gt;"SAMPLE",Config!$B$19="Y")),IFERROR(N(INDEX(Clay_Brands!$A$2:$FZ$601,57,Sync!$D$13)),0),"")</f>
        <v/>
      </c>
      <c r="C4708" s="23" t="str">
        <f aca="false">IF(B4708="","","brand")</f>
        <v/>
      </c>
      <c r="D4708" s="23" t="str">
        <f aca="false">IF(B4708="","",IFERROR(INDEX(Brand_Log!$DV$2:$DV$201,MATCH(IFERROR(INDEX(Clay_Brands!$A$2:$FZ$601,57,Sync!$D$5)&amp;"",""),Brand_Log!$A$2:$A$201,0))&amp;"",IFERROR(INDEX(Clay_Brands!$A$2:$FZ$601,57,Sync!$D$5)&amp;"","")&amp;""))</f>
        <v/>
      </c>
      <c r="E4708" s="23" t="str">
        <f aca="false">IF(B4708="","",IFERROR(INDEX(Clay_Brands!$A$2:$FZ$601,57,Sync!$D$6)&amp;"",""))</f>
        <v/>
      </c>
      <c r="F4708" s="23" t="str">
        <f aca="false">IF(B4708="","","outreach_sent")</f>
        <v/>
      </c>
      <c r="G4708" s="23" t="str">
        <f aca="false">IF(B4708="","","")</f>
        <v/>
      </c>
      <c r="H4708" s="23" t="str">
        <f aca="false">IF(B4708="","","")</f>
        <v/>
      </c>
      <c r="I4708" s="23" t="str">
        <f aca="false">IF(B4708="","","")</f>
        <v/>
      </c>
      <c r="J4708" s="23" t="str">
        <f aca="false">IF(B4708="","","touch_3; "&amp;IFERROR(INDEX(Clay_Brands!$A$2:$FZ$601,57,Sync!$D$10)&amp;"","")&amp;"; "&amp;IFERROR(INDEX(Clay_Brands!$A$2:$FZ$601,57,Sync!$D$9)&amp;"",""))</f>
        <v/>
      </c>
      <c r="K4708" s="32" t="s">
        <v>1368</v>
      </c>
    </row>
    <row r="4709" customFormat="false" ht="15" hidden="false" customHeight="false" outlineLevel="0" collapsed="false">
      <c r="A4709" s="23" t="str">
        <f aca="false">IF(B4709="","",B4709+(17*1000+58)/10000000)</f>
        <v/>
      </c>
      <c r="B4709" s="35" t="str">
        <f aca="false">IF(AND(IFERROR(N(INDEX(Clay_Brands!$A$2:$FZ$601,58,Sync!$D$13)),0)&gt;0,IFERROR(INDEX(Clay_Brands!$A$2:$FZ$601,58,Sync!$D$5)&amp;"","")&lt;&gt;"",OR(LEFT(IFERROR(INDEX(Clay_Brands!$A$2:$FZ$601,58,Sync!$D$5)&amp;"",""),6)&lt;&gt;"SAMPLE",Config!$B$19="Y")),IFERROR(N(INDEX(Clay_Brands!$A$2:$FZ$601,58,Sync!$D$13)),0),"")</f>
        <v/>
      </c>
      <c r="C4709" s="23" t="str">
        <f aca="false">IF(B4709="","","brand")</f>
        <v/>
      </c>
      <c r="D4709" s="23" t="str">
        <f aca="false">IF(B4709="","",IFERROR(INDEX(Brand_Log!$DV$2:$DV$201,MATCH(IFERROR(INDEX(Clay_Brands!$A$2:$FZ$601,58,Sync!$D$5)&amp;"",""),Brand_Log!$A$2:$A$201,0))&amp;"",IFERROR(INDEX(Clay_Brands!$A$2:$FZ$601,58,Sync!$D$5)&amp;"","")&amp;""))</f>
        <v/>
      </c>
      <c r="E4709" s="23" t="str">
        <f aca="false">IF(B4709="","",IFERROR(INDEX(Clay_Brands!$A$2:$FZ$601,58,Sync!$D$6)&amp;"",""))</f>
        <v/>
      </c>
      <c r="F4709" s="23" t="str">
        <f aca="false">IF(B4709="","","outreach_sent")</f>
        <v/>
      </c>
      <c r="G4709" s="23" t="str">
        <f aca="false">IF(B4709="","","")</f>
        <v/>
      </c>
      <c r="H4709" s="23" t="str">
        <f aca="false">IF(B4709="","","")</f>
        <v/>
      </c>
      <c r="I4709" s="23" t="str">
        <f aca="false">IF(B4709="","","")</f>
        <v/>
      </c>
      <c r="J4709" s="23" t="str">
        <f aca="false">IF(B4709="","","touch_3; "&amp;IFERROR(INDEX(Clay_Brands!$A$2:$FZ$601,58,Sync!$D$10)&amp;"","")&amp;"; "&amp;IFERROR(INDEX(Clay_Brands!$A$2:$FZ$601,58,Sync!$D$9)&amp;"",""))</f>
        <v/>
      </c>
      <c r="K4709" s="32" t="s">
        <v>1368</v>
      </c>
    </row>
    <row r="4710" customFormat="false" ht="15" hidden="false" customHeight="false" outlineLevel="0" collapsed="false">
      <c r="A4710" s="23" t="str">
        <f aca="false">IF(B4710="","",B4710+(17*1000+59)/10000000)</f>
        <v/>
      </c>
      <c r="B4710" s="35" t="str">
        <f aca="false">IF(AND(IFERROR(N(INDEX(Clay_Brands!$A$2:$FZ$601,59,Sync!$D$13)),0)&gt;0,IFERROR(INDEX(Clay_Brands!$A$2:$FZ$601,59,Sync!$D$5)&amp;"","")&lt;&gt;"",OR(LEFT(IFERROR(INDEX(Clay_Brands!$A$2:$FZ$601,59,Sync!$D$5)&amp;"",""),6)&lt;&gt;"SAMPLE",Config!$B$19="Y")),IFERROR(N(INDEX(Clay_Brands!$A$2:$FZ$601,59,Sync!$D$13)),0),"")</f>
        <v/>
      </c>
      <c r="C4710" s="23" t="str">
        <f aca="false">IF(B4710="","","brand")</f>
        <v/>
      </c>
      <c r="D4710" s="23" t="str">
        <f aca="false">IF(B4710="","",IFERROR(INDEX(Brand_Log!$DV$2:$DV$201,MATCH(IFERROR(INDEX(Clay_Brands!$A$2:$FZ$601,59,Sync!$D$5)&amp;"",""),Brand_Log!$A$2:$A$201,0))&amp;"",IFERROR(INDEX(Clay_Brands!$A$2:$FZ$601,59,Sync!$D$5)&amp;"","")&amp;""))</f>
        <v/>
      </c>
      <c r="E4710" s="23" t="str">
        <f aca="false">IF(B4710="","",IFERROR(INDEX(Clay_Brands!$A$2:$FZ$601,59,Sync!$D$6)&amp;"",""))</f>
        <v/>
      </c>
      <c r="F4710" s="23" t="str">
        <f aca="false">IF(B4710="","","outreach_sent")</f>
        <v/>
      </c>
      <c r="G4710" s="23" t="str">
        <f aca="false">IF(B4710="","","")</f>
        <v/>
      </c>
      <c r="H4710" s="23" t="str">
        <f aca="false">IF(B4710="","","")</f>
        <v/>
      </c>
      <c r="I4710" s="23" t="str">
        <f aca="false">IF(B4710="","","")</f>
        <v/>
      </c>
      <c r="J4710" s="23" t="str">
        <f aca="false">IF(B4710="","","touch_3; "&amp;IFERROR(INDEX(Clay_Brands!$A$2:$FZ$601,59,Sync!$D$10)&amp;"","")&amp;"; "&amp;IFERROR(INDEX(Clay_Brands!$A$2:$FZ$601,59,Sync!$D$9)&amp;"",""))</f>
        <v/>
      </c>
      <c r="K4710" s="32" t="s">
        <v>1368</v>
      </c>
    </row>
    <row r="4711" customFormat="false" ht="15" hidden="false" customHeight="false" outlineLevel="0" collapsed="false">
      <c r="A4711" s="23" t="str">
        <f aca="false">IF(B4711="","",B4711+(17*1000+60)/10000000)</f>
        <v/>
      </c>
      <c r="B4711" s="35" t="str">
        <f aca="false">IF(AND(IFERROR(N(INDEX(Clay_Brands!$A$2:$FZ$601,60,Sync!$D$13)),0)&gt;0,IFERROR(INDEX(Clay_Brands!$A$2:$FZ$601,60,Sync!$D$5)&amp;"","")&lt;&gt;"",OR(LEFT(IFERROR(INDEX(Clay_Brands!$A$2:$FZ$601,60,Sync!$D$5)&amp;"",""),6)&lt;&gt;"SAMPLE",Config!$B$19="Y")),IFERROR(N(INDEX(Clay_Brands!$A$2:$FZ$601,60,Sync!$D$13)),0),"")</f>
        <v/>
      </c>
      <c r="C4711" s="23" t="str">
        <f aca="false">IF(B4711="","","brand")</f>
        <v/>
      </c>
      <c r="D4711" s="23" t="str">
        <f aca="false">IF(B4711="","",IFERROR(INDEX(Brand_Log!$DV$2:$DV$201,MATCH(IFERROR(INDEX(Clay_Brands!$A$2:$FZ$601,60,Sync!$D$5)&amp;"",""),Brand_Log!$A$2:$A$201,0))&amp;"",IFERROR(INDEX(Clay_Brands!$A$2:$FZ$601,60,Sync!$D$5)&amp;"","")&amp;""))</f>
        <v/>
      </c>
      <c r="E4711" s="23" t="str">
        <f aca="false">IF(B4711="","",IFERROR(INDEX(Clay_Brands!$A$2:$FZ$601,60,Sync!$D$6)&amp;"",""))</f>
        <v/>
      </c>
      <c r="F4711" s="23" t="str">
        <f aca="false">IF(B4711="","","outreach_sent")</f>
        <v/>
      </c>
      <c r="G4711" s="23" t="str">
        <f aca="false">IF(B4711="","","")</f>
        <v/>
      </c>
      <c r="H4711" s="23" t="str">
        <f aca="false">IF(B4711="","","")</f>
        <v/>
      </c>
      <c r="I4711" s="23" t="str">
        <f aca="false">IF(B4711="","","")</f>
        <v/>
      </c>
      <c r="J4711" s="23" t="str">
        <f aca="false">IF(B4711="","","touch_3; "&amp;IFERROR(INDEX(Clay_Brands!$A$2:$FZ$601,60,Sync!$D$10)&amp;"","")&amp;"; "&amp;IFERROR(INDEX(Clay_Brands!$A$2:$FZ$601,60,Sync!$D$9)&amp;"",""))</f>
        <v/>
      </c>
      <c r="K4711" s="32" t="s">
        <v>1368</v>
      </c>
    </row>
    <row r="4712" customFormat="false" ht="15" hidden="false" customHeight="false" outlineLevel="0" collapsed="false">
      <c r="A4712" s="23" t="str">
        <f aca="false">IF(B4712="","",B4712+(17*1000+61)/10000000)</f>
        <v/>
      </c>
      <c r="B4712" s="35" t="str">
        <f aca="false">IF(AND(IFERROR(N(INDEX(Clay_Brands!$A$2:$FZ$601,61,Sync!$D$13)),0)&gt;0,IFERROR(INDEX(Clay_Brands!$A$2:$FZ$601,61,Sync!$D$5)&amp;"","")&lt;&gt;"",OR(LEFT(IFERROR(INDEX(Clay_Brands!$A$2:$FZ$601,61,Sync!$D$5)&amp;"",""),6)&lt;&gt;"SAMPLE",Config!$B$19="Y")),IFERROR(N(INDEX(Clay_Brands!$A$2:$FZ$601,61,Sync!$D$13)),0),"")</f>
        <v/>
      </c>
      <c r="C4712" s="23" t="str">
        <f aca="false">IF(B4712="","","brand")</f>
        <v/>
      </c>
      <c r="D4712" s="23" t="str">
        <f aca="false">IF(B4712="","",IFERROR(INDEX(Brand_Log!$DV$2:$DV$201,MATCH(IFERROR(INDEX(Clay_Brands!$A$2:$FZ$601,61,Sync!$D$5)&amp;"",""),Brand_Log!$A$2:$A$201,0))&amp;"",IFERROR(INDEX(Clay_Brands!$A$2:$FZ$601,61,Sync!$D$5)&amp;"","")&amp;""))</f>
        <v/>
      </c>
      <c r="E4712" s="23" t="str">
        <f aca="false">IF(B4712="","",IFERROR(INDEX(Clay_Brands!$A$2:$FZ$601,61,Sync!$D$6)&amp;"",""))</f>
        <v/>
      </c>
      <c r="F4712" s="23" t="str">
        <f aca="false">IF(B4712="","","outreach_sent")</f>
        <v/>
      </c>
      <c r="G4712" s="23" t="str">
        <f aca="false">IF(B4712="","","")</f>
        <v/>
      </c>
      <c r="H4712" s="23" t="str">
        <f aca="false">IF(B4712="","","")</f>
        <v/>
      </c>
      <c r="I4712" s="23" t="str">
        <f aca="false">IF(B4712="","","")</f>
        <v/>
      </c>
      <c r="J4712" s="23" t="str">
        <f aca="false">IF(B4712="","","touch_3; "&amp;IFERROR(INDEX(Clay_Brands!$A$2:$FZ$601,61,Sync!$D$10)&amp;"","")&amp;"; "&amp;IFERROR(INDEX(Clay_Brands!$A$2:$FZ$601,61,Sync!$D$9)&amp;"",""))</f>
        <v/>
      </c>
      <c r="K4712" s="32" t="s">
        <v>1368</v>
      </c>
    </row>
    <row r="4713" customFormat="false" ht="15" hidden="false" customHeight="false" outlineLevel="0" collapsed="false">
      <c r="A4713" s="23" t="str">
        <f aca="false">IF(B4713="","",B4713+(17*1000+62)/10000000)</f>
        <v/>
      </c>
      <c r="B4713" s="35" t="str">
        <f aca="false">IF(AND(IFERROR(N(INDEX(Clay_Brands!$A$2:$FZ$601,62,Sync!$D$13)),0)&gt;0,IFERROR(INDEX(Clay_Brands!$A$2:$FZ$601,62,Sync!$D$5)&amp;"","")&lt;&gt;"",OR(LEFT(IFERROR(INDEX(Clay_Brands!$A$2:$FZ$601,62,Sync!$D$5)&amp;"",""),6)&lt;&gt;"SAMPLE",Config!$B$19="Y")),IFERROR(N(INDEX(Clay_Brands!$A$2:$FZ$601,62,Sync!$D$13)),0),"")</f>
        <v/>
      </c>
      <c r="C4713" s="23" t="str">
        <f aca="false">IF(B4713="","","brand")</f>
        <v/>
      </c>
      <c r="D4713" s="23" t="str">
        <f aca="false">IF(B4713="","",IFERROR(INDEX(Brand_Log!$DV$2:$DV$201,MATCH(IFERROR(INDEX(Clay_Brands!$A$2:$FZ$601,62,Sync!$D$5)&amp;"",""),Brand_Log!$A$2:$A$201,0))&amp;"",IFERROR(INDEX(Clay_Brands!$A$2:$FZ$601,62,Sync!$D$5)&amp;"","")&amp;""))</f>
        <v/>
      </c>
      <c r="E4713" s="23" t="str">
        <f aca="false">IF(B4713="","",IFERROR(INDEX(Clay_Brands!$A$2:$FZ$601,62,Sync!$D$6)&amp;"",""))</f>
        <v/>
      </c>
      <c r="F4713" s="23" t="str">
        <f aca="false">IF(B4713="","","outreach_sent")</f>
        <v/>
      </c>
      <c r="G4713" s="23" t="str">
        <f aca="false">IF(B4713="","","")</f>
        <v/>
      </c>
      <c r="H4713" s="23" t="str">
        <f aca="false">IF(B4713="","","")</f>
        <v/>
      </c>
      <c r="I4713" s="23" t="str">
        <f aca="false">IF(B4713="","","")</f>
        <v/>
      </c>
      <c r="J4713" s="23" t="str">
        <f aca="false">IF(B4713="","","touch_3; "&amp;IFERROR(INDEX(Clay_Brands!$A$2:$FZ$601,62,Sync!$D$10)&amp;"","")&amp;"; "&amp;IFERROR(INDEX(Clay_Brands!$A$2:$FZ$601,62,Sync!$D$9)&amp;"",""))</f>
        <v/>
      </c>
      <c r="K4713" s="32" t="s">
        <v>1368</v>
      </c>
    </row>
    <row r="4714" customFormat="false" ht="15" hidden="false" customHeight="false" outlineLevel="0" collapsed="false">
      <c r="A4714" s="23" t="str">
        <f aca="false">IF(B4714="","",B4714+(17*1000+63)/10000000)</f>
        <v/>
      </c>
      <c r="B4714" s="35" t="str">
        <f aca="false">IF(AND(IFERROR(N(INDEX(Clay_Brands!$A$2:$FZ$601,63,Sync!$D$13)),0)&gt;0,IFERROR(INDEX(Clay_Brands!$A$2:$FZ$601,63,Sync!$D$5)&amp;"","")&lt;&gt;"",OR(LEFT(IFERROR(INDEX(Clay_Brands!$A$2:$FZ$601,63,Sync!$D$5)&amp;"",""),6)&lt;&gt;"SAMPLE",Config!$B$19="Y")),IFERROR(N(INDEX(Clay_Brands!$A$2:$FZ$601,63,Sync!$D$13)),0),"")</f>
        <v/>
      </c>
      <c r="C4714" s="23" t="str">
        <f aca="false">IF(B4714="","","brand")</f>
        <v/>
      </c>
      <c r="D4714" s="23" t="str">
        <f aca="false">IF(B4714="","",IFERROR(INDEX(Brand_Log!$DV$2:$DV$201,MATCH(IFERROR(INDEX(Clay_Brands!$A$2:$FZ$601,63,Sync!$D$5)&amp;"",""),Brand_Log!$A$2:$A$201,0))&amp;"",IFERROR(INDEX(Clay_Brands!$A$2:$FZ$601,63,Sync!$D$5)&amp;"","")&amp;""))</f>
        <v/>
      </c>
      <c r="E4714" s="23" t="str">
        <f aca="false">IF(B4714="","",IFERROR(INDEX(Clay_Brands!$A$2:$FZ$601,63,Sync!$D$6)&amp;"",""))</f>
        <v/>
      </c>
      <c r="F4714" s="23" t="str">
        <f aca="false">IF(B4714="","","outreach_sent")</f>
        <v/>
      </c>
      <c r="G4714" s="23" t="str">
        <f aca="false">IF(B4714="","","")</f>
        <v/>
      </c>
      <c r="H4714" s="23" t="str">
        <f aca="false">IF(B4714="","","")</f>
        <v/>
      </c>
      <c r="I4714" s="23" t="str">
        <f aca="false">IF(B4714="","","")</f>
        <v/>
      </c>
      <c r="J4714" s="23" t="str">
        <f aca="false">IF(B4714="","","touch_3; "&amp;IFERROR(INDEX(Clay_Brands!$A$2:$FZ$601,63,Sync!$D$10)&amp;"","")&amp;"; "&amp;IFERROR(INDEX(Clay_Brands!$A$2:$FZ$601,63,Sync!$D$9)&amp;"",""))</f>
        <v/>
      </c>
      <c r="K4714" s="32" t="s">
        <v>1368</v>
      </c>
    </row>
    <row r="4715" customFormat="false" ht="15" hidden="false" customHeight="false" outlineLevel="0" collapsed="false">
      <c r="A4715" s="23" t="str">
        <f aca="false">IF(B4715="","",B4715+(17*1000+64)/10000000)</f>
        <v/>
      </c>
      <c r="B4715" s="35" t="str">
        <f aca="false">IF(AND(IFERROR(N(INDEX(Clay_Brands!$A$2:$FZ$601,64,Sync!$D$13)),0)&gt;0,IFERROR(INDEX(Clay_Brands!$A$2:$FZ$601,64,Sync!$D$5)&amp;"","")&lt;&gt;"",OR(LEFT(IFERROR(INDEX(Clay_Brands!$A$2:$FZ$601,64,Sync!$D$5)&amp;"",""),6)&lt;&gt;"SAMPLE",Config!$B$19="Y")),IFERROR(N(INDEX(Clay_Brands!$A$2:$FZ$601,64,Sync!$D$13)),0),"")</f>
        <v/>
      </c>
      <c r="C4715" s="23" t="str">
        <f aca="false">IF(B4715="","","brand")</f>
        <v/>
      </c>
      <c r="D4715" s="23" t="str">
        <f aca="false">IF(B4715="","",IFERROR(INDEX(Brand_Log!$DV$2:$DV$201,MATCH(IFERROR(INDEX(Clay_Brands!$A$2:$FZ$601,64,Sync!$D$5)&amp;"",""),Brand_Log!$A$2:$A$201,0))&amp;"",IFERROR(INDEX(Clay_Brands!$A$2:$FZ$601,64,Sync!$D$5)&amp;"","")&amp;""))</f>
        <v/>
      </c>
      <c r="E4715" s="23" t="str">
        <f aca="false">IF(B4715="","",IFERROR(INDEX(Clay_Brands!$A$2:$FZ$601,64,Sync!$D$6)&amp;"",""))</f>
        <v/>
      </c>
      <c r="F4715" s="23" t="str">
        <f aca="false">IF(B4715="","","outreach_sent")</f>
        <v/>
      </c>
      <c r="G4715" s="23" t="str">
        <f aca="false">IF(B4715="","","")</f>
        <v/>
      </c>
      <c r="H4715" s="23" t="str">
        <f aca="false">IF(B4715="","","")</f>
        <v/>
      </c>
      <c r="I4715" s="23" t="str">
        <f aca="false">IF(B4715="","","")</f>
        <v/>
      </c>
      <c r="J4715" s="23" t="str">
        <f aca="false">IF(B4715="","","touch_3; "&amp;IFERROR(INDEX(Clay_Brands!$A$2:$FZ$601,64,Sync!$D$10)&amp;"","")&amp;"; "&amp;IFERROR(INDEX(Clay_Brands!$A$2:$FZ$601,64,Sync!$D$9)&amp;"",""))</f>
        <v/>
      </c>
      <c r="K4715" s="32" t="s">
        <v>1368</v>
      </c>
    </row>
    <row r="4716" customFormat="false" ht="15" hidden="false" customHeight="false" outlineLevel="0" collapsed="false">
      <c r="A4716" s="23" t="str">
        <f aca="false">IF(B4716="","",B4716+(17*1000+65)/10000000)</f>
        <v/>
      </c>
      <c r="B4716" s="35" t="str">
        <f aca="false">IF(AND(IFERROR(N(INDEX(Clay_Brands!$A$2:$FZ$601,65,Sync!$D$13)),0)&gt;0,IFERROR(INDEX(Clay_Brands!$A$2:$FZ$601,65,Sync!$D$5)&amp;"","")&lt;&gt;"",OR(LEFT(IFERROR(INDEX(Clay_Brands!$A$2:$FZ$601,65,Sync!$D$5)&amp;"",""),6)&lt;&gt;"SAMPLE",Config!$B$19="Y")),IFERROR(N(INDEX(Clay_Brands!$A$2:$FZ$601,65,Sync!$D$13)),0),"")</f>
        <v/>
      </c>
      <c r="C4716" s="23" t="str">
        <f aca="false">IF(B4716="","","brand")</f>
        <v/>
      </c>
      <c r="D4716" s="23" t="str">
        <f aca="false">IF(B4716="","",IFERROR(INDEX(Brand_Log!$DV$2:$DV$201,MATCH(IFERROR(INDEX(Clay_Brands!$A$2:$FZ$601,65,Sync!$D$5)&amp;"",""),Brand_Log!$A$2:$A$201,0))&amp;"",IFERROR(INDEX(Clay_Brands!$A$2:$FZ$601,65,Sync!$D$5)&amp;"","")&amp;""))</f>
        <v/>
      </c>
      <c r="E4716" s="23" t="str">
        <f aca="false">IF(B4716="","",IFERROR(INDEX(Clay_Brands!$A$2:$FZ$601,65,Sync!$D$6)&amp;"",""))</f>
        <v/>
      </c>
      <c r="F4716" s="23" t="str">
        <f aca="false">IF(B4716="","","outreach_sent")</f>
        <v/>
      </c>
      <c r="G4716" s="23" t="str">
        <f aca="false">IF(B4716="","","")</f>
        <v/>
      </c>
      <c r="H4716" s="23" t="str">
        <f aca="false">IF(B4716="","","")</f>
        <v/>
      </c>
      <c r="I4716" s="23" t="str">
        <f aca="false">IF(B4716="","","")</f>
        <v/>
      </c>
      <c r="J4716" s="23" t="str">
        <f aca="false">IF(B4716="","","touch_3; "&amp;IFERROR(INDEX(Clay_Brands!$A$2:$FZ$601,65,Sync!$D$10)&amp;"","")&amp;"; "&amp;IFERROR(INDEX(Clay_Brands!$A$2:$FZ$601,65,Sync!$D$9)&amp;"",""))</f>
        <v/>
      </c>
      <c r="K4716" s="32" t="s">
        <v>1368</v>
      </c>
    </row>
    <row r="4717" customFormat="false" ht="15" hidden="false" customHeight="false" outlineLevel="0" collapsed="false">
      <c r="A4717" s="23" t="str">
        <f aca="false">IF(B4717="","",B4717+(17*1000+66)/10000000)</f>
        <v/>
      </c>
      <c r="B4717" s="35" t="str">
        <f aca="false">IF(AND(IFERROR(N(INDEX(Clay_Brands!$A$2:$FZ$601,66,Sync!$D$13)),0)&gt;0,IFERROR(INDEX(Clay_Brands!$A$2:$FZ$601,66,Sync!$D$5)&amp;"","")&lt;&gt;"",OR(LEFT(IFERROR(INDEX(Clay_Brands!$A$2:$FZ$601,66,Sync!$D$5)&amp;"",""),6)&lt;&gt;"SAMPLE",Config!$B$19="Y")),IFERROR(N(INDEX(Clay_Brands!$A$2:$FZ$601,66,Sync!$D$13)),0),"")</f>
        <v/>
      </c>
      <c r="C4717" s="23" t="str">
        <f aca="false">IF(B4717="","","brand")</f>
        <v/>
      </c>
      <c r="D4717" s="23" t="str">
        <f aca="false">IF(B4717="","",IFERROR(INDEX(Brand_Log!$DV$2:$DV$201,MATCH(IFERROR(INDEX(Clay_Brands!$A$2:$FZ$601,66,Sync!$D$5)&amp;"",""),Brand_Log!$A$2:$A$201,0))&amp;"",IFERROR(INDEX(Clay_Brands!$A$2:$FZ$601,66,Sync!$D$5)&amp;"","")&amp;""))</f>
        <v/>
      </c>
      <c r="E4717" s="23" t="str">
        <f aca="false">IF(B4717="","",IFERROR(INDEX(Clay_Brands!$A$2:$FZ$601,66,Sync!$D$6)&amp;"",""))</f>
        <v/>
      </c>
      <c r="F4717" s="23" t="str">
        <f aca="false">IF(B4717="","","outreach_sent")</f>
        <v/>
      </c>
      <c r="G4717" s="23" t="str">
        <f aca="false">IF(B4717="","","")</f>
        <v/>
      </c>
      <c r="H4717" s="23" t="str">
        <f aca="false">IF(B4717="","","")</f>
        <v/>
      </c>
      <c r="I4717" s="23" t="str">
        <f aca="false">IF(B4717="","","")</f>
        <v/>
      </c>
      <c r="J4717" s="23" t="str">
        <f aca="false">IF(B4717="","","touch_3; "&amp;IFERROR(INDEX(Clay_Brands!$A$2:$FZ$601,66,Sync!$D$10)&amp;"","")&amp;"; "&amp;IFERROR(INDEX(Clay_Brands!$A$2:$FZ$601,66,Sync!$D$9)&amp;"",""))</f>
        <v/>
      </c>
      <c r="K4717" s="32" t="s">
        <v>1368</v>
      </c>
    </row>
    <row r="4718" customFormat="false" ht="15" hidden="false" customHeight="false" outlineLevel="0" collapsed="false">
      <c r="A4718" s="23" t="str">
        <f aca="false">IF(B4718="","",B4718+(17*1000+67)/10000000)</f>
        <v/>
      </c>
      <c r="B4718" s="35" t="str">
        <f aca="false">IF(AND(IFERROR(N(INDEX(Clay_Brands!$A$2:$FZ$601,67,Sync!$D$13)),0)&gt;0,IFERROR(INDEX(Clay_Brands!$A$2:$FZ$601,67,Sync!$D$5)&amp;"","")&lt;&gt;"",OR(LEFT(IFERROR(INDEX(Clay_Brands!$A$2:$FZ$601,67,Sync!$D$5)&amp;"",""),6)&lt;&gt;"SAMPLE",Config!$B$19="Y")),IFERROR(N(INDEX(Clay_Brands!$A$2:$FZ$601,67,Sync!$D$13)),0),"")</f>
        <v/>
      </c>
      <c r="C4718" s="23" t="str">
        <f aca="false">IF(B4718="","","brand")</f>
        <v/>
      </c>
      <c r="D4718" s="23" t="str">
        <f aca="false">IF(B4718="","",IFERROR(INDEX(Brand_Log!$DV$2:$DV$201,MATCH(IFERROR(INDEX(Clay_Brands!$A$2:$FZ$601,67,Sync!$D$5)&amp;"",""),Brand_Log!$A$2:$A$201,0))&amp;"",IFERROR(INDEX(Clay_Brands!$A$2:$FZ$601,67,Sync!$D$5)&amp;"","")&amp;""))</f>
        <v/>
      </c>
      <c r="E4718" s="23" t="str">
        <f aca="false">IF(B4718="","",IFERROR(INDEX(Clay_Brands!$A$2:$FZ$601,67,Sync!$D$6)&amp;"",""))</f>
        <v/>
      </c>
      <c r="F4718" s="23" t="str">
        <f aca="false">IF(B4718="","","outreach_sent")</f>
        <v/>
      </c>
      <c r="G4718" s="23" t="str">
        <f aca="false">IF(B4718="","","")</f>
        <v/>
      </c>
      <c r="H4718" s="23" t="str">
        <f aca="false">IF(B4718="","","")</f>
        <v/>
      </c>
      <c r="I4718" s="23" t="str">
        <f aca="false">IF(B4718="","","")</f>
        <v/>
      </c>
      <c r="J4718" s="23" t="str">
        <f aca="false">IF(B4718="","","touch_3; "&amp;IFERROR(INDEX(Clay_Brands!$A$2:$FZ$601,67,Sync!$D$10)&amp;"","")&amp;"; "&amp;IFERROR(INDEX(Clay_Brands!$A$2:$FZ$601,67,Sync!$D$9)&amp;"",""))</f>
        <v/>
      </c>
      <c r="K4718" s="32" t="s">
        <v>1368</v>
      </c>
    </row>
    <row r="4719" customFormat="false" ht="15" hidden="false" customHeight="false" outlineLevel="0" collapsed="false">
      <c r="A4719" s="23" t="str">
        <f aca="false">IF(B4719="","",B4719+(17*1000+68)/10000000)</f>
        <v/>
      </c>
      <c r="B4719" s="35" t="str">
        <f aca="false">IF(AND(IFERROR(N(INDEX(Clay_Brands!$A$2:$FZ$601,68,Sync!$D$13)),0)&gt;0,IFERROR(INDEX(Clay_Brands!$A$2:$FZ$601,68,Sync!$D$5)&amp;"","")&lt;&gt;"",OR(LEFT(IFERROR(INDEX(Clay_Brands!$A$2:$FZ$601,68,Sync!$D$5)&amp;"",""),6)&lt;&gt;"SAMPLE",Config!$B$19="Y")),IFERROR(N(INDEX(Clay_Brands!$A$2:$FZ$601,68,Sync!$D$13)),0),"")</f>
        <v/>
      </c>
      <c r="C4719" s="23" t="str">
        <f aca="false">IF(B4719="","","brand")</f>
        <v/>
      </c>
      <c r="D4719" s="23" t="str">
        <f aca="false">IF(B4719="","",IFERROR(INDEX(Brand_Log!$DV$2:$DV$201,MATCH(IFERROR(INDEX(Clay_Brands!$A$2:$FZ$601,68,Sync!$D$5)&amp;"",""),Brand_Log!$A$2:$A$201,0))&amp;"",IFERROR(INDEX(Clay_Brands!$A$2:$FZ$601,68,Sync!$D$5)&amp;"","")&amp;""))</f>
        <v/>
      </c>
      <c r="E4719" s="23" t="str">
        <f aca="false">IF(B4719="","",IFERROR(INDEX(Clay_Brands!$A$2:$FZ$601,68,Sync!$D$6)&amp;"",""))</f>
        <v/>
      </c>
      <c r="F4719" s="23" t="str">
        <f aca="false">IF(B4719="","","outreach_sent")</f>
        <v/>
      </c>
      <c r="G4719" s="23" t="str">
        <f aca="false">IF(B4719="","","")</f>
        <v/>
      </c>
      <c r="H4719" s="23" t="str">
        <f aca="false">IF(B4719="","","")</f>
        <v/>
      </c>
      <c r="I4719" s="23" t="str">
        <f aca="false">IF(B4719="","","")</f>
        <v/>
      </c>
      <c r="J4719" s="23" t="str">
        <f aca="false">IF(B4719="","","touch_3; "&amp;IFERROR(INDEX(Clay_Brands!$A$2:$FZ$601,68,Sync!$D$10)&amp;"","")&amp;"; "&amp;IFERROR(INDEX(Clay_Brands!$A$2:$FZ$601,68,Sync!$D$9)&amp;"",""))</f>
        <v/>
      </c>
      <c r="K4719" s="32" t="s">
        <v>1368</v>
      </c>
    </row>
    <row r="4720" customFormat="false" ht="15" hidden="false" customHeight="false" outlineLevel="0" collapsed="false">
      <c r="A4720" s="23" t="str">
        <f aca="false">IF(B4720="","",B4720+(17*1000+69)/10000000)</f>
        <v/>
      </c>
      <c r="B4720" s="35" t="str">
        <f aca="false">IF(AND(IFERROR(N(INDEX(Clay_Brands!$A$2:$FZ$601,69,Sync!$D$13)),0)&gt;0,IFERROR(INDEX(Clay_Brands!$A$2:$FZ$601,69,Sync!$D$5)&amp;"","")&lt;&gt;"",OR(LEFT(IFERROR(INDEX(Clay_Brands!$A$2:$FZ$601,69,Sync!$D$5)&amp;"",""),6)&lt;&gt;"SAMPLE",Config!$B$19="Y")),IFERROR(N(INDEX(Clay_Brands!$A$2:$FZ$601,69,Sync!$D$13)),0),"")</f>
        <v/>
      </c>
      <c r="C4720" s="23" t="str">
        <f aca="false">IF(B4720="","","brand")</f>
        <v/>
      </c>
      <c r="D4720" s="23" t="str">
        <f aca="false">IF(B4720="","",IFERROR(INDEX(Brand_Log!$DV$2:$DV$201,MATCH(IFERROR(INDEX(Clay_Brands!$A$2:$FZ$601,69,Sync!$D$5)&amp;"",""),Brand_Log!$A$2:$A$201,0))&amp;"",IFERROR(INDEX(Clay_Brands!$A$2:$FZ$601,69,Sync!$D$5)&amp;"","")&amp;""))</f>
        <v/>
      </c>
      <c r="E4720" s="23" t="str">
        <f aca="false">IF(B4720="","",IFERROR(INDEX(Clay_Brands!$A$2:$FZ$601,69,Sync!$D$6)&amp;"",""))</f>
        <v/>
      </c>
      <c r="F4720" s="23" t="str">
        <f aca="false">IF(B4720="","","outreach_sent")</f>
        <v/>
      </c>
      <c r="G4720" s="23" t="str">
        <f aca="false">IF(B4720="","","")</f>
        <v/>
      </c>
      <c r="H4720" s="23" t="str">
        <f aca="false">IF(B4720="","","")</f>
        <v/>
      </c>
      <c r="I4720" s="23" t="str">
        <f aca="false">IF(B4720="","","")</f>
        <v/>
      </c>
      <c r="J4720" s="23" t="str">
        <f aca="false">IF(B4720="","","touch_3; "&amp;IFERROR(INDEX(Clay_Brands!$A$2:$FZ$601,69,Sync!$D$10)&amp;"","")&amp;"; "&amp;IFERROR(INDEX(Clay_Brands!$A$2:$FZ$601,69,Sync!$D$9)&amp;"",""))</f>
        <v/>
      </c>
      <c r="K4720" s="32" t="s">
        <v>1368</v>
      </c>
    </row>
    <row r="4721" customFormat="false" ht="15" hidden="false" customHeight="false" outlineLevel="0" collapsed="false">
      <c r="A4721" s="23" t="str">
        <f aca="false">IF(B4721="","",B4721+(17*1000+70)/10000000)</f>
        <v/>
      </c>
      <c r="B4721" s="35" t="str">
        <f aca="false">IF(AND(IFERROR(N(INDEX(Clay_Brands!$A$2:$FZ$601,70,Sync!$D$13)),0)&gt;0,IFERROR(INDEX(Clay_Brands!$A$2:$FZ$601,70,Sync!$D$5)&amp;"","")&lt;&gt;"",OR(LEFT(IFERROR(INDEX(Clay_Brands!$A$2:$FZ$601,70,Sync!$D$5)&amp;"",""),6)&lt;&gt;"SAMPLE",Config!$B$19="Y")),IFERROR(N(INDEX(Clay_Brands!$A$2:$FZ$601,70,Sync!$D$13)),0),"")</f>
        <v/>
      </c>
      <c r="C4721" s="23" t="str">
        <f aca="false">IF(B4721="","","brand")</f>
        <v/>
      </c>
      <c r="D4721" s="23" t="str">
        <f aca="false">IF(B4721="","",IFERROR(INDEX(Brand_Log!$DV$2:$DV$201,MATCH(IFERROR(INDEX(Clay_Brands!$A$2:$FZ$601,70,Sync!$D$5)&amp;"",""),Brand_Log!$A$2:$A$201,0))&amp;"",IFERROR(INDEX(Clay_Brands!$A$2:$FZ$601,70,Sync!$D$5)&amp;"","")&amp;""))</f>
        <v/>
      </c>
      <c r="E4721" s="23" t="str">
        <f aca="false">IF(B4721="","",IFERROR(INDEX(Clay_Brands!$A$2:$FZ$601,70,Sync!$D$6)&amp;"",""))</f>
        <v/>
      </c>
      <c r="F4721" s="23" t="str">
        <f aca="false">IF(B4721="","","outreach_sent")</f>
        <v/>
      </c>
      <c r="G4721" s="23" t="str">
        <f aca="false">IF(B4721="","","")</f>
        <v/>
      </c>
      <c r="H4721" s="23" t="str">
        <f aca="false">IF(B4721="","","")</f>
        <v/>
      </c>
      <c r="I4721" s="23" t="str">
        <f aca="false">IF(B4721="","","")</f>
        <v/>
      </c>
      <c r="J4721" s="23" t="str">
        <f aca="false">IF(B4721="","","touch_3; "&amp;IFERROR(INDEX(Clay_Brands!$A$2:$FZ$601,70,Sync!$D$10)&amp;"","")&amp;"; "&amp;IFERROR(INDEX(Clay_Brands!$A$2:$FZ$601,70,Sync!$D$9)&amp;"",""))</f>
        <v/>
      </c>
      <c r="K4721" s="32" t="s">
        <v>1368</v>
      </c>
    </row>
    <row r="4722" customFormat="false" ht="15" hidden="false" customHeight="false" outlineLevel="0" collapsed="false">
      <c r="A4722" s="23" t="str">
        <f aca="false">IF(B4722="","",B4722+(17*1000+71)/10000000)</f>
        <v/>
      </c>
      <c r="B4722" s="35" t="str">
        <f aca="false">IF(AND(IFERROR(N(INDEX(Clay_Brands!$A$2:$FZ$601,71,Sync!$D$13)),0)&gt;0,IFERROR(INDEX(Clay_Brands!$A$2:$FZ$601,71,Sync!$D$5)&amp;"","")&lt;&gt;"",OR(LEFT(IFERROR(INDEX(Clay_Brands!$A$2:$FZ$601,71,Sync!$D$5)&amp;"",""),6)&lt;&gt;"SAMPLE",Config!$B$19="Y")),IFERROR(N(INDEX(Clay_Brands!$A$2:$FZ$601,71,Sync!$D$13)),0),"")</f>
        <v/>
      </c>
      <c r="C4722" s="23" t="str">
        <f aca="false">IF(B4722="","","brand")</f>
        <v/>
      </c>
      <c r="D4722" s="23" t="str">
        <f aca="false">IF(B4722="","",IFERROR(INDEX(Brand_Log!$DV$2:$DV$201,MATCH(IFERROR(INDEX(Clay_Brands!$A$2:$FZ$601,71,Sync!$D$5)&amp;"",""),Brand_Log!$A$2:$A$201,0))&amp;"",IFERROR(INDEX(Clay_Brands!$A$2:$FZ$601,71,Sync!$D$5)&amp;"","")&amp;""))</f>
        <v/>
      </c>
      <c r="E4722" s="23" t="str">
        <f aca="false">IF(B4722="","",IFERROR(INDEX(Clay_Brands!$A$2:$FZ$601,71,Sync!$D$6)&amp;"",""))</f>
        <v/>
      </c>
      <c r="F4722" s="23" t="str">
        <f aca="false">IF(B4722="","","outreach_sent")</f>
        <v/>
      </c>
      <c r="G4722" s="23" t="str">
        <f aca="false">IF(B4722="","","")</f>
        <v/>
      </c>
      <c r="H4722" s="23" t="str">
        <f aca="false">IF(B4722="","","")</f>
        <v/>
      </c>
      <c r="I4722" s="23" t="str">
        <f aca="false">IF(B4722="","","")</f>
        <v/>
      </c>
      <c r="J4722" s="23" t="str">
        <f aca="false">IF(B4722="","","touch_3; "&amp;IFERROR(INDEX(Clay_Brands!$A$2:$FZ$601,71,Sync!$D$10)&amp;"","")&amp;"; "&amp;IFERROR(INDEX(Clay_Brands!$A$2:$FZ$601,71,Sync!$D$9)&amp;"",""))</f>
        <v/>
      </c>
      <c r="K4722" s="32" t="s">
        <v>1368</v>
      </c>
    </row>
    <row r="4723" customFormat="false" ht="15" hidden="false" customHeight="false" outlineLevel="0" collapsed="false">
      <c r="A4723" s="23" t="str">
        <f aca="false">IF(B4723="","",B4723+(17*1000+72)/10000000)</f>
        <v/>
      </c>
      <c r="B4723" s="35" t="str">
        <f aca="false">IF(AND(IFERROR(N(INDEX(Clay_Brands!$A$2:$FZ$601,72,Sync!$D$13)),0)&gt;0,IFERROR(INDEX(Clay_Brands!$A$2:$FZ$601,72,Sync!$D$5)&amp;"","")&lt;&gt;"",OR(LEFT(IFERROR(INDEX(Clay_Brands!$A$2:$FZ$601,72,Sync!$D$5)&amp;"",""),6)&lt;&gt;"SAMPLE",Config!$B$19="Y")),IFERROR(N(INDEX(Clay_Brands!$A$2:$FZ$601,72,Sync!$D$13)),0),"")</f>
        <v/>
      </c>
      <c r="C4723" s="23" t="str">
        <f aca="false">IF(B4723="","","brand")</f>
        <v/>
      </c>
      <c r="D4723" s="23" t="str">
        <f aca="false">IF(B4723="","",IFERROR(INDEX(Brand_Log!$DV$2:$DV$201,MATCH(IFERROR(INDEX(Clay_Brands!$A$2:$FZ$601,72,Sync!$D$5)&amp;"",""),Brand_Log!$A$2:$A$201,0))&amp;"",IFERROR(INDEX(Clay_Brands!$A$2:$FZ$601,72,Sync!$D$5)&amp;"","")&amp;""))</f>
        <v/>
      </c>
      <c r="E4723" s="23" t="str">
        <f aca="false">IF(B4723="","",IFERROR(INDEX(Clay_Brands!$A$2:$FZ$601,72,Sync!$D$6)&amp;"",""))</f>
        <v/>
      </c>
      <c r="F4723" s="23" t="str">
        <f aca="false">IF(B4723="","","outreach_sent")</f>
        <v/>
      </c>
      <c r="G4723" s="23" t="str">
        <f aca="false">IF(B4723="","","")</f>
        <v/>
      </c>
      <c r="H4723" s="23" t="str">
        <f aca="false">IF(B4723="","","")</f>
        <v/>
      </c>
      <c r="I4723" s="23" t="str">
        <f aca="false">IF(B4723="","","")</f>
        <v/>
      </c>
      <c r="J4723" s="23" t="str">
        <f aca="false">IF(B4723="","","touch_3; "&amp;IFERROR(INDEX(Clay_Brands!$A$2:$FZ$601,72,Sync!$D$10)&amp;"","")&amp;"; "&amp;IFERROR(INDEX(Clay_Brands!$A$2:$FZ$601,72,Sync!$D$9)&amp;"",""))</f>
        <v/>
      </c>
      <c r="K4723" s="32" t="s">
        <v>1368</v>
      </c>
    </row>
    <row r="4724" customFormat="false" ht="15" hidden="false" customHeight="false" outlineLevel="0" collapsed="false">
      <c r="A4724" s="23" t="str">
        <f aca="false">IF(B4724="","",B4724+(17*1000+73)/10000000)</f>
        <v/>
      </c>
      <c r="B4724" s="35" t="str">
        <f aca="false">IF(AND(IFERROR(N(INDEX(Clay_Brands!$A$2:$FZ$601,73,Sync!$D$13)),0)&gt;0,IFERROR(INDEX(Clay_Brands!$A$2:$FZ$601,73,Sync!$D$5)&amp;"","")&lt;&gt;"",OR(LEFT(IFERROR(INDEX(Clay_Brands!$A$2:$FZ$601,73,Sync!$D$5)&amp;"",""),6)&lt;&gt;"SAMPLE",Config!$B$19="Y")),IFERROR(N(INDEX(Clay_Brands!$A$2:$FZ$601,73,Sync!$D$13)),0),"")</f>
        <v/>
      </c>
      <c r="C4724" s="23" t="str">
        <f aca="false">IF(B4724="","","brand")</f>
        <v/>
      </c>
      <c r="D4724" s="23" t="str">
        <f aca="false">IF(B4724="","",IFERROR(INDEX(Brand_Log!$DV$2:$DV$201,MATCH(IFERROR(INDEX(Clay_Brands!$A$2:$FZ$601,73,Sync!$D$5)&amp;"",""),Brand_Log!$A$2:$A$201,0))&amp;"",IFERROR(INDEX(Clay_Brands!$A$2:$FZ$601,73,Sync!$D$5)&amp;"","")&amp;""))</f>
        <v/>
      </c>
      <c r="E4724" s="23" t="str">
        <f aca="false">IF(B4724="","",IFERROR(INDEX(Clay_Brands!$A$2:$FZ$601,73,Sync!$D$6)&amp;"",""))</f>
        <v/>
      </c>
      <c r="F4724" s="23" t="str">
        <f aca="false">IF(B4724="","","outreach_sent")</f>
        <v/>
      </c>
      <c r="G4724" s="23" t="str">
        <f aca="false">IF(B4724="","","")</f>
        <v/>
      </c>
      <c r="H4724" s="23" t="str">
        <f aca="false">IF(B4724="","","")</f>
        <v/>
      </c>
      <c r="I4724" s="23" t="str">
        <f aca="false">IF(B4724="","","")</f>
        <v/>
      </c>
      <c r="J4724" s="23" t="str">
        <f aca="false">IF(B4724="","","touch_3; "&amp;IFERROR(INDEX(Clay_Brands!$A$2:$FZ$601,73,Sync!$D$10)&amp;"","")&amp;"; "&amp;IFERROR(INDEX(Clay_Brands!$A$2:$FZ$601,73,Sync!$D$9)&amp;"",""))</f>
        <v/>
      </c>
      <c r="K4724" s="32" t="s">
        <v>1368</v>
      </c>
    </row>
    <row r="4725" customFormat="false" ht="15" hidden="false" customHeight="false" outlineLevel="0" collapsed="false">
      <c r="A4725" s="23" t="str">
        <f aca="false">IF(B4725="","",B4725+(17*1000+74)/10000000)</f>
        <v/>
      </c>
      <c r="B4725" s="35" t="str">
        <f aca="false">IF(AND(IFERROR(N(INDEX(Clay_Brands!$A$2:$FZ$601,74,Sync!$D$13)),0)&gt;0,IFERROR(INDEX(Clay_Brands!$A$2:$FZ$601,74,Sync!$D$5)&amp;"","")&lt;&gt;"",OR(LEFT(IFERROR(INDEX(Clay_Brands!$A$2:$FZ$601,74,Sync!$D$5)&amp;"",""),6)&lt;&gt;"SAMPLE",Config!$B$19="Y")),IFERROR(N(INDEX(Clay_Brands!$A$2:$FZ$601,74,Sync!$D$13)),0),"")</f>
        <v/>
      </c>
      <c r="C4725" s="23" t="str">
        <f aca="false">IF(B4725="","","brand")</f>
        <v/>
      </c>
      <c r="D4725" s="23" t="str">
        <f aca="false">IF(B4725="","",IFERROR(INDEX(Brand_Log!$DV$2:$DV$201,MATCH(IFERROR(INDEX(Clay_Brands!$A$2:$FZ$601,74,Sync!$D$5)&amp;"",""),Brand_Log!$A$2:$A$201,0))&amp;"",IFERROR(INDEX(Clay_Brands!$A$2:$FZ$601,74,Sync!$D$5)&amp;"","")&amp;""))</f>
        <v/>
      </c>
      <c r="E4725" s="23" t="str">
        <f aca="false">IF(B4725="","",IFERROR(INDEX(Clay_Brands!$A$2:$FZ$601,74,Sync!$D$6)&amp;"",""))</f>
        <v/>
      </c>
      <c r="F4725" s="23" t="str">
        <f aca="false">IF(B4725="","","outreach_sent")</f>
        <v/>
      </c>
      <c r="G4725" s="23" t="str">
        <f aca="false">IF(B4725="","","")</f>
        <v/>
      </c>
      <c r="H4725" s="23" t="str">
        <f aca="false">IF(B4725="","","")</f>
        <v/>
      </c>
      <c r="I4725" s="23" t="str">
        <f aca="false">IF(B4725="","","")</f>
        <v/>
      </c>
      <c r="J4725" s="23" t="str">
        <f aca="false">IF(B4725="","","touch_3; "&amp;IFERROR(INDEX(Clay_Brands!$A$2:$FZ$601,74,Sync!$D$10)&amp;"","")&amp;"; "&amp;IFERROR(INDEX(Clay_Brands!$A$2:$FZ$601,74,Sync!$D$9)&amp;"",""))</f>
        <v/>
      </c>
      <c r="K4725" s="32" t="s">
        <v>1368</v>
      </c>
    </row>
    <row r="4726" customFormat="false" ht="15" hidden="false" customHeight="false" outlineLevel="0" collapsed="false">
      <c r="A4726" s="23" t="str">
        <f aca="false">IF(B4726="","",B4726+(17*1000+75)/10000000)</f>
        <v/>
      </c>
      <c r="B4726" s="35" t="str">
        <f aca="false">IF(AND(IFERROR(N(INDEX(Clay_Brands!$A$2:$FZ$601,75,Sync!$D$13)),0)&gt;0,IFERROR(INDEX(Clay_Brands!$A$2:$FZ$601,75,Sync!$D$5)&amp;"","")&lt;&gt;"",OR(LEFT(IFERROR(INDEX(Clay_Brands!$A$2:$FZ$601,75,Sync!$D$5)&amp;"",""),6)&lt;&gt;"SAMPLE",Config!$B$19="Y")),IFERROR(N(INDEX(Clay_Brands!$A$2:$FZ$601,75,Sync!$D$13)),0),"")</f>
        <v/>
      </c>
      <c r="C4726" s="23" t="str">
        <f aca="false">IF(B4726="","","brand")</f>
        <v/>
      </c>
      <c r="D4726" s="23" t="str">
        <f aca="false">IF(B4726="","",IFERROR(INDEX(Brand_Log!$DV$2:$DV$201,MATCH(IFERROR(INDEX(Clay_Brands!$A$2:$FZ$601,75,Sync!$D$5)&amp;"",""),Brand_Log!$A$2:$A$201,0))&amp;"",IFERROR(INDEX(Clay_Brands!$A$2:$FZ$601,75,Sync!$D$5)&amp;"","")&amp;""))</f>
        <v/>
      </c>
      <c r="E4726" s="23" t="str">
        <f aca="false">IF(B4726="","",IFERROR(INDEX(Clay_Brands!$A$2:$FZ$601,75,Sync!$D$6)&amp;"",""))</f>
        <v/>
      </c>
      <c r="F4726" s="23" t="str">
        <f aca="false">IF(B4726="","","outreach_sent")</f>
        <v/>
      </c>
      <c r="G4726" s="23" t="str">
        <f aca="false">IF(B4726="","","")</f>
        <v/>
      </c>
      <c r="H4726" s="23" t="str">
        <f aca="false">IF(B4726="","","")</f>
        <v/>
      </c>
      <c r="I4726" s="23" t="str">
        <f aca="false">IF(B4726="","","")</f>
        <v/>
      </c>
      <c r="J4726" s="23" t="str">
        <f aca="false">IF(B4726="","","touch_3; "&amp;IFERROR(INDEX(Clay_Brands!$A$2:$FZ$601,75,Sync!$D$10)&amp;"","")&amp;"; "&amp;IFERROR(INDEX(Clay_Brands!$A$2:$FZ$601,75,Sync!$D$9)&amp;"",""))</f>
        <v/>
      </c>
      <c r="K4726" s="32" t="s">
        <v>1368</v>
      </c>
    </row>
    <row r="4727" customFormat="false" ht="15" hidden="false" customHeight="false" outlineLevel="0" collapsed="false">
      <c r="A4727" s="23" t="str">
        <f aca="false">IF(B4727="","",B4727+(17*1000+76)/10000000)</f>
        <v/>
      </c>
      <c r="B4727" s="35" t="str">
        <f aca="false">IF(AND(IFERROR(N(INDEX(Clay_Brands!$A$2:$FZ$601,76,Sync!$D$13)),0)&gt;0,IFERROR(INDEX(Clay_Brands!$A$2:$FZ$601,76,Sync!$D$5)&amp;"","")&lt;&gt;"",OR(LEFT(IFERROR(INDEX(Clay_Brands!$A$2:$FZ$601,76,Sync!$D$5)&amp;"",""),6)&lt;&gt;"SAMPLE",Config!$B$19="Y")),IFERROR(N(INDEX(Clay_Brands!$A$2:$FZ$601,76,Sync!$D$13)),0),"")</f>
        <v/>
      </c>
      <c r="C4727" s="23" t="str">
        <f aca="false">IF(B4727="","","brand")</f>
        <v/>
      </c>
      <c r="D4727" s="23" t="str">
        <f aca="false">IF(B4727="","",IFERROR(INDEX(Brand_Log!$DV$2:$DV$201,MATCH(IFERROR(INDEX(Clay_Brands!$A$2:$FZ$601,76,Sync!$D$5)&amp;"",""),Brand_Log!$A$2:$A$201,0))&amp;"",IFERROR(INDEX(Clay_Brands!$A$2:$FZ$601,76,Sync!$D$5)&amp;"","")&amp;""))</f>
        <v/>
      </c>
      <c r="E4727" s="23" t="str">
        <f aca="false">IF(B4727="","",IFERROR(INDEX(Clay_Brands!$A$2:$FZ$601,76,Sync!$D$6)&amp;"",""))</f>
        <v/>
      </c>
      <c r="F4727" s="23" t="str">
        <f aca="false">IF(B4727="","","outreach_sent")</f>
        <v/>
      </c>
      <c r="G4727" s="23" t="str">
        <f aca="false">IF(B4727="","","")</f>
        <v/>
      </c>
      <c r="H4727" s="23" t="str">
        <f aca="false">IF(B4727="","","")</f>
        <v/>
      </c>
      <c r="I4727" s="23" t="str">
        <f aca="false">IF(B4727="","","")</f>
        <v/>
      </c>
      <c r="J4727" s="23" t="str">
        <f aca="false">IF(B4727="","","touch_3; "&amp;IFERROR(INDEX(Clay_Brands!$A$2:$FZ$601,76,Sync!$D$10)&amp;"","")&amp;"; "&amp;IFERROR(INDEX(Clay_Brands!$A$2:$FZ$601,76,Sync!$D$9)&amp;"",""))</f>
        <v/>
      </c>
      <c r="K4727" s="32" t="s">
        <v>1368</v>
      </c>
    </row>
    <row r="4728" customFormat="false" ht="15" hidden="false" customHeight="false" outlineLevel="0" collapsed="false">
      <c r="A4728" s="23" t="str">
        <f aca="false">IF(B4728="","",B4728+(17*1000+77)/10000000)</f>
        <v/>
      </c>
      <c r="B4728" s="35" t="str">
        <f aca="false">IF(AND(IFERROR(N(INDEX(Clay_Brands!$A$2:$FZ$601,77,Sync!$D$13)),0)&gt;0,IFERROR(INDEX(Clay_Brands!$A$2:$FZ$601,77,Sync!$D$5)&amp;"","")&lt;&gt;"",OR(LEFT(IFERROR(INDEX(Clay_Brands!$A$2:$FZ$601,77,Sync!$D$5)&amp;"",""),6)&lt;&gt;"SAMPLE",Config!$B$19="Y")),IFERROR(N(INDEX(Clay_Brands!$A$2:$FZ$601,77,Sync!$D$13)),0),"")</f>
        <v/>
      </c>
      <c r="C4728" s="23" t="str">
        <f aca="false">IF(B4728="","","brand")</f>
        <v/>
      </c>
      <c r="D4728" s="23" t="str">
        <f aca="false">IF(B4728="","",IFERROR(INDEX(Brand_Log!$DV$2:$DV$201,MATCH(IFERROR(INDEX(Clay_Brands!$A$2:$FZ$601,77,Sync!$D$5)&amp;"",""),Brand_Log!$A$2:$A$201,0))&amp;"",IFERROR(INDEX(Clay_Brands!$A$2:$FZ$601,77,Sync!$D$5)&amp;"","")&amp;""))</f>
        <v/>
      </c>
      <c r="E4728" s="23" t="str">
        <f aca="false">IF(B4728="","",IFERROR(INDEX(Clay_Brands!$A$2:$FZ$601,77,Sync!$D$6)&amp;"",""))</f>
        <v/>
      </c>
      <c r="F4728" s="23" t="str">
        <f aca="false">IF(B4728="","","outreach_sent")</f>
        <v/>
      </c>
      <c r="G4728" s="23" t="str">
        <f aca="false">IF(B4728="","","")</f>
        <v/>
      </c>
      <c r="H4728" s="23" t="str">
        <f aca="false">IF(B4728="","","")</f>
        <v/>
      </c>
      <c r="I4728" s="23" t="str">
        <f aca="false">IF(B4728="","","")</f>
        <v/>
      </c>
      <c r="J4728" s="23" t="str">
        <f aca="false">IF(B4728="","","touch_3; "&amp;IFERROR(INDEX(Clay_Brands!$A$2:$FZ$601,77,Sync!$D$10)&amp;"","")&amp;"; "&amp;IFERROR(INDEX(Clay_Brands!$A$2:$FZ$601,77,Sync!$D$9)&amp;"",""))</f>
        <v/>
      </c>
      <c r="K4728" s="32" t="s">
        <v>1368</v>
      </c>
    </row>
    <row r="4729" customFormat="false" ht="15" hidden="false" customHeight="false" outlineLevel="0" collapsed="false">
      <c r="A4729" s="23" t="str">
        <f aca="false">IF(B4729="","",B4729+(17*1000+78)/10000000)</f>
        <v/>
      </c>
      <c r="B4729" s="35" t="str">
        <f aca="false">IF(AND(IFERROR(N(INDEX(Clay_Brands!$A$2:$FZ$601,78,Sync!$D$13)),0)&gt;0,IFERROR(INDEX(Clay_Brands!$A$2:$FZ$601,78,Sync!$D$5)&amp;"","")&lt;&gt;"",OR(LEFT(IFERROR(INDEX(Clay_Brands!$A$2:$FZ$601,78,Sync!$D$5)&amp;"",""),6)&lt;&gt;"SAMPLE",Config!$B$19="Y")),IFERROR(N(INDEX(Clay_Brands!$A$2:$FZ$601,78,Sync!$D$13)),0),"")</f>
        <v/>
      </c>
      <c r="C4729" s="23" t="str">
        <f aca="false">IF(B4729="","","brand")</f>
        <v/>
      </c>
      <c r="D4729" s="23" t="str">
        <f aca="false">IF(B4729="","",IFERROR(INDEX(Brand_Log!$DV$2:$DV$201,MATCH(IFERROR(INDEX(Clay_Brands!$A$2:$FZ$601,78,Sync!$D$5)&amp;"",""),Brand_Log!$A$2:$A$201,0))&amp;"",IFERROR(INDEX(Clay_Brands!$A$2:$FZ$601,78,Sync!$D$5)&amp;"","")&amp;""))</f>
        <v/>
      </c>
      <c r="E4729" s="23" t="str">
        <f aca="false">IF(B4729="","",IFERROR(INDEX(Clay_Brands!$A$2:$FZ$601,78,Sync!$D$6)&amp;"",""))</f>
        <v/>
      </c>
      <c r="F4729" s="23" t="str">
        <f aca="false">IF(B4729="","","outreach_sent")</f>
        <v/>
      </c>
      <c r="G4729" s="23" t="str">
        <f aca="false">IF(B4729="","","")</f>
        <v/>
      </c>
      <c r="H4729" s="23" t="str">
        <f aca="false">IF(B4729="","","")</f>
        <v/>
      </c>
      <c r="I4729" s="23" t="str">
        <f aca="false">IF(B4729="","","")</f>
        <v/>
      </c>
      <c r="J4729" s="23" t="str">
        <f aca="false">IF(B4729="","","touch_3; "&amp;IFERROR(INDEX(Clay_Brands!$A$2:$FZ$601,78,Sync!$D$10)&amp;"","")&amp;"; "&amp;IFERROR(INDEX(Clay_Brands!$A$2:$FZ$601,78,Sync!$D$9)&amp;"",""))</f>
        <v/>
      </c>
      <c r="K4729" s="32" t="s">
        <v>1368</v>
      </c>
    </row>
    <row r="4730" customFormat="false" ht="15" hidden="false" customHeight="false" outlineLevel="0" collapsed="false">
      <c r="A4730" s="23" t="str">
        <f aca="false">IF(B4730="","",B4730+(17*1000+79)/10000000)</f>
        <v/>
      </c>
      <c r="B4730" s="35" t="str">
        <f aca="false">IF(AND(IFERROR(N(INDEX(Clay_Brands!$A$2:$FZ$601,79,Sync!$D$13)),0)&gt;0,IFERROR(INDEX(Clay_Brands!$A$2:$FZ$601,79,Sync!$D$5)&amp;"","")&lt;&gt;"",OR(LEFT(IFERROR(INDEX(Clay_Brands!$A$2:$FZ$601,79,Sync!$D$5)&amp;"",""),6)&lt;&gt;"SAMPLE",Config!$B$19="Y")),IFERROR(N(INDEX(Clay_Brands!$A$2:$FZ$601,79,Sync!$D$13)),0),"")</f>
        <v/>
      </c>
      <c r="C4730" s="23" t="str">
        <f aca="false">IF(B4730="","","brand")</f>
        <v/>
      </c>
      <c r="D4730" s="23" t="str">
        <f aca="false">IF(B4730="","",IFERROR(INDEX(Brand_Log!$DV$2:$DV$201,MATCH(IFERROR(INDEX(Clay_Brands!$A$2:$FZ$601,79,Sync!$D$5)&amp;"",""),Brand_Log!$A$2:$A$201,0))&amp;"",IFERROR(INDEX(Clay_Brands!$A$2:$FZ$601,79,Sync!$D$5)&amp;"","")&amp;""))</f>
        <v/>
      </c>
      <c r="E4730" s="23" t="str">
        <f aca="false">IF(B4730="","",IFERROR(INDEX(Clay_Brands!$A$2:$FZ$601,79,Sync!$D$6)&amp;"",""))</f>
        <v/>
      </c>
      <c r="F4730" s="23" t="str">
        <f aca="false">IF(B4730="","","outreach_sent")</f>
        <v/>
      </c>
      <c r="G4730" s="23" t="str">
        <f aca="false">IF(B4730="","","")</f>
        <v/>
      </c>
      <c r="H4730" s="23" t="str">
        <f aca="false">IF(B4730="","","")</f>
        <v/>
      </c>
      <c r="I4730" s="23" t="str">
        <f aca="false">IF(B4730="","","")</f>
        <v/>
      </c>
      <c r="J4730" s="23" t="str">
        <f aca="false">IF(B4730="","","touch_3; "&amp;IFERROR(INDEX(Clay_Brands!$A$2:$FZ$601,79,Sync!$D$10)&amp;"","")&amp;"; "&amp;IFERROR(INDEX(Clay_Brands!$A$2:$FZ$601,79,Sync!$D$9)&amp;"",""))</f>
        <v/>
      </c>
      <c r="K4730" s="32" t="s">
        <v>1368</v>
      </c>
    </row>
    <row r="4731" customFormat="false" ht="15" hidden="false" customHeight="false" outlineLevel="0" collapsed="false">
      <c r="A4731" s="23" t="str">
        <f aca="false">IF(B4731="","",B4731+(17*1000+80)/10000000)</f>
        <v/>
      </c>
      <c r="B4731" s="35" t="str">
        <f aca="false">IF(AND(IFERROR(N(INDEX(Clay_Brands!$A$2:$FZ$601,80,Sync!$D$13)),0)&gt;0,IFERROR(INDEX(Clay_Brands!$A$2:$FZ$601,80,Sync!$D$5)&amp;"","")&lt;&gt;"",OR(LEFT(IFERROR(INDEX(Clay_Brands!$A$2:$FZ$601,80,Sync!$D$5)&amp;"",""),6)&lt;&gt;"SAMPLE",Config!$B$19="Y")),IFERROR(N(INDEX(Clay_Brands!$A$2:$FZ$601,80,Sync!$D$13)),0),"")</f>
        <v/>
      </c>
      <c r="C4731" s="23" t="str">
        <f aca="false">IF(B4731="","","brand")</f>
        <v/>
      </c>
      <c r="D4731" s="23" t="str">
        <f aca="false">IF(B4731="","",IFERROR(INDEX(Brand_Log!$DV$2:$DV$201,MATCH(IFERROR(INDEX(Clay_Brands!$A$2:$FZ$601,80,Sync!$D$5)&amp;"",""),Brand_Log!$A$2:$A$201,0))&amp;"",IFERROR(INDEX(Clay_Brands!$A$2:$FZ$601,80,Sync!$D$5)&amp;"","")&amp;""))</f>
        <v/>
      </c>
      <c r="E4731" s="23" t="str">
        <f aca="false">IF(B4731="","",IFERROR(INDEX(Clay_Brands!$A$2:$FZ$601,80,Sync!$D$6)&amp;"",""))</f>
        <v/>
      </c>
      <c r="F4731" s="23" t="str">
        <f aca="false">IF(B4731="","","outreach_sent")</f>
        <v/>
      </c>
      <c r="G4731" s="23" t="str">
        <f aca="false">IF(B4731="","","")</f>
        <v/>
      </c>
      <c r="H4731" s="23" t="str">
        <f aca="false">IF(B4731="","","")</f>
        <v/>
      </c>
      <c r="I4731" s="23" t="str">
        <f aca="false">IF(B4731="","","")</f>
        <v/>
      </c>
      <c r="J4731" s="23" t="str">
        <f aca="false">IF(B4731="","","touch_3; "&amp;IFERROR(INDEX(Clay_Brands!$A$2:$FZ$601,80,Sync!$D$10)&amp;"","")&amp;"; "&amp;IFERROR(INDEX(Clay_Brands!$A$2:$FZ$601,80,Sync!$D$9)&amp;"",""))</f>
        <v/>
      </c>
      <c r="K4731" s="32" t="s">
        <v>1368</v>
      </c>
    </row>
    <row r="4732" customFormat="false" ht="15" hidden="false" customHeight="false" outlineLevel="0" collapsed="false">
      <c r="A4732" s="23" t="str">
        <f aca="false">IF(B4732="","",B4732+(17*1000+81)/10000000)</f>
        <v/>
      </c>
      <c r="B4732" s="35" t="str">
        <f aca="false">IF(AND(IFERROR(N(INDEX(Clay_Brands!$A$2:$FZ$601,81,Sync!$D$13)),0)&gt;0,IFERROR(INDEX(Clay_Brands!$A$2:$FZ$601,81,Sync!$D$5)&amp;"","")&lt;&gt;"",OR(LEFT(IFERROR(INDEX(Clay_Brands!$A$2:$FZ$601,81,Sync!$D$5)&amp;"",""),6)&lt;&gt;"SAMPLE",Config!$B$19="Y")),IFERROR(N(INDEX(Clay_Brands!$A$2:$FZ$601,81,Sync!$D$13)),0),"")</f>
        <v/>
      </c>
      <c r="C4732" s="23" t="str">
        <f aca="false">IF(B4732="","","brand")</f>
        <v/>
      </c>
      <c r="D4732" s="23" t="str">
        <f aca="false">IF(B4732="","",IFERROR(INDEX(Brand_Log!$DV$2:$DV$201,MATCH(IFERROR(INDEX(Clay_Brands!$A$2:$FZ$601,81,Sync!$D$5)&amp;"",""),Brand_Log!$A$2:$A$201,0))&amp;"",IFERROR(INDEX(Clay_Brands!$A$2:$FZ$601,81,Sync!$D$5)&amp;"","")&amp;""))</f>
        <v/>
      </c>
      <c r="E4732" s="23" t="str">
        <f aca="false">IF(B4732="","",IFERROR(INDEX(Clay_Brands!$A$2:$FZ$601,81,Sync!$D$6)&amp;"",""))</f>
        <v/>
      </c>
      <c r="F4732" s="23" t="str">
        <f aca="false">IF(B4732="","","outreach_sent")</f>
        <v/>
      </c>
      <c r="G4732" s="23" t="str">
        <f aca="false">IF(B4732="","","")</f>
        <v/>
      </c>
      <c r="H4732" s="23" t="str">
        <f aca="false">IF(B4732="","","")</f>
        <v/>
      </c>
      <c r="I4732" s="23" t="str">
        <f aca="false">IF(B4732="","","")</f>
        <v/>
      </c>
      <c r="J4732" s="23" t="str">
        <f aca="false">IF(B4732="","","touch_3; "&amp;IFERROR(INDEX(Clay_Brands!$A$2:$FZ$601,81,Sync!$D$10)&amp;"","")&amp;"; "&amp;IFERROR(INDEX(Clay_Brands!$A$2:$FZ$601,81,Sync!$D$9)&amp;"",""))</f>
        <v/>
      </c>
      <c r="K4732" s="32" t="s">
        <v>1368</v>
      </c>
    </row>
    <row r="4733" customFormat="false" ht="15" hidden="false" customHeight="false" outlineLevel="0" collapsed="false">
      <c r="A4733" s="23" t="str">
        <f aca="false">IF(B4733="","",B4733+(17*1000+82)/10000000)</f>
        <v/>
      </c>
      <c r="B4733" s="35" t="str">
        <f aca="false">IF(AND(IFERROR(N(INDEX(Clay_Brands!$A$2:$FZ$601,82,Sync!$D$13)),0)&gt;0,IFERROR(INDEX(Clay_Brands!$A$2:$FZ$601,82,Sync!$D$5)&amp;"","")&lt;&gt;"",OR(LEFT(IFERROR(INDEX(Clay_Brands!$A$2:$FZ$601,82,Sync!$D$5)&amp;"",""),6)&lt;&gt;"SAMPLE",Config!$B$19="Y")),IFERROR(N(INDEX(Clay_Brands!$A$2:$FZ$601,82,Sync!$D$13)),0),"")</f>
        <v/>
      </c>
      <c r="C4733" s="23" t="str">
        <f aca="false">IF(B4733="","","brand")</f>
        <v/>
      </c>
      <c r="D4733" s="23" t="str">
        <f aca="false">IF(B4733="","",IFERROR(INDEX(Brand_Log!$DV$2:$DV$201,MATCH(IFERROR(INDEX(Clay_Brands!$A$2:$FZ$601,82,Sync!$D$5)&amp;"",""),Brand_Log!$A$2:$A$201,0))&amp;"",IFERROR(INDEX(Clay_Brands!$A$2:$FZ$601,82,Sync!$D$5)&amp;"","")&amp;""))</f>
        <v/>
      </c>
      <c r="E4733" s="23" t="str">
        <f aca="false">IF(B4733="","",IFERROR(INDEX(Clay_Brands!$A$2:$FZ$601,82,Sync!$D$6)&amp;"",""))</f>
        <v/>
      </c>
      <c r="F4733" s="23" t="str">
        <f aca="false">IF(B4733="","","outreach_sent")</f>
        <v/>
      </c>
      <c r="G4733" s="23" t="str">
        <f aca="false">IF(B4733="","","")</f>
        <v/>
      </c>
      <c r="H4733" s="23" t="str">
        <f aca="false">IF(B4733="","","")</f>
        <v/>
      </c>
      <c r="I4733" s="23" t="str">
        <f aca="false">IF(B4733="","","")</f>
        <v/>
      </c>
      <c r="J4733" s="23" t="str">
        <f aca="false">IF(B4733="","","touch_3; "&amp;IFERROR(INDEX(Clay_Brands!$A$2:$FZ$601,82,Sync!$D$10)&amp;"","")&amp;"; "&amp;IFERROR(INDEX(Clay_Brands!$A$2:$FZ$601,82,Sync!$D$9)&amp;"",""))</f>
        <v/>
      </c>
      <c r="K4733" s="32" t="s">
        <v>1368</v>
      </c>
    </row>
    <row r="4734" customFormat="false" ht="15" hidden="false" customHeight="false" outlineLevel="0" collapsed="false">
      <c r="A4734" s="23" t="str">
        <f aca="false">IF(B4734="","",B4734+(17*1000+83)/10000000)</f>
        <v/>
      </c>
      <c r="B4734" s="35" t="str">
        <f aca="false">IF(AND(IFERROR(N(INDEX(Clay_Brands!$A$2:$FZ$601,83,Sync!$D$13)),0)&gt;0,IFERROR(INDEX(Clay_Brands!$A$2:$FZ$601,83,Sync!$D$5)&amp;"","")&lt;&gt;"",OR(LEFT(IFERROR(INDEX(Clay_Brands!$A$2:$FZ$601,83,Sync!$D$5)&amp;"",""),6)&lt;&gt;"SAMPLE",Config!$B$19="Y")),IFERROR(N(INDEX(Clay_Brands!$A$2:$FZ$601,83,Sync!$D$13)),0),"")</f>
        <v/>
      </c>
      <c r="C4734" s="23" t="str">
        <f aca="false">IF(B4734="","","brand")</f>
        <v/>
      </c>
      <c r="D4734" s="23" t="str">
        <f aca="false">IF(B4734="","",IFERROR(INDEX(Brand_Log!$DV$2:$DV$201,MATCH(IFERROR(INDEX(Clay_Brands!$A$2:$FZ$601,83,Sync!$D$5)&amp;"",""),Brand_Log!$A$2:$A$201,0))&amp;"",IFERROR(INDEX(Clay_Brands!$A$2:$FZ$601,83,Sync!$D$5)&amp;"","")&amp;""))</f>
        <v/>
      </c>
      <c r="E4734" s="23" t="str">
        <f aca="false">IF(B4734="","",IFERROR(INDEX(Clay_Brands!$A$2:$FZ$601,83,Sync!$D$6)&amp;"",""))</f>
        <v/>
      </c>
      <c r="F4734" s="23" t="str">
        <f aca="false">IF(B4734="","","outreach_sent")</f>
        <v/>
      </c>
      <c r="G4734" s="23" t="str">
        <f aca="false">IF(B4734="","","")</f>
        <v/>
      </c>
      <c r="H4734" s="23" t="str">
        <f aca="false">IF(B4734="","","")</f>
        <v/>
      </c>
      <c r="I4734" s="23" t="str">
        <f aca="false">IF(B4734="","","")</f>
        <v/>
      </c>
      <c r="J4734" s="23" t="str">
        <f aca="false">IF(B4734="","","touch_3; "&amp;IFERROR(INDEX(Clay_Brands!$A$2:$FZ$601,83,Sync!$D$10)&amp;"","")&amp;"; "&amp;IFERROR(INDEX(Clay_Brands!$A$2:$FZ$601,83,Sync!$D$9)&amp;"",""))</f>
        <v/>
      </c>
      <c r="K4734" s="32" t="s">
        <v>1368</v>
      </c>
    </row>
    <row r="4735" customFormat="false" ht="15" hidden="false" customHeight="false" outlineLevel="0" collapsed="false">
      <c r="A4735" s="23" t="str">
        <f aca="false">IF(B4735="","",B4735+(17*1000+84)/10000000)</f>
        <v/>
      </c>
      <c r="B4735" s="35" t="str">
        <f aca="false">IF(AND(IFERROR(N(INDEX(Clay_Brands!$A$2:$FZ$601,84,Sync!$D$13)),0)&gt;0,IFERROR(INDEX(Clay_Brands!$A$2:$FZ$601,84,Sync!$D$5)&amp;"","")&lt;&gt;"",OR(LEFT(IFERROR(INDEX(Clay_Brands!$A$2:$FZ$601,84,Sync!$D$5)&amp;"",""),6)&lt;&gt;"SAMPLE",Config!$B$19="Y")),IFERROR(N(INDEX(Clay_Brands!$A$2:$FZ$601,84,Sync!$D$13)),0),"")</f>
        <v/>
      </c>
      <c r="C4735" s="23" t="str">
        <f aca="false">IF(B4735="","","brand")</f>
        <v/>
      </c>
      <c r="D4735" s="23" t="str">
        <f aca="false">IF(B4735="","",IFERROR(INDEX(Brand_Log!$DV$2:$DV$201,MATCH(IFERROR(INDEX(Clay_Brands!$A$2:$FZ$601,84,Sync!$D$5)&amp;"",""),Brand_Log!$A$2:$A$201,0))&amp;"",IFERROR(INDEX(Clay_Brands!$A$2:$FZ$601,84,Sync!$D$5)&amp;"","")&amp;""))</f>
        <v/>
      </c>
      <c r="E4735" s="23" t="str">
        <f aca="false">IF(B4735="","",IFERROR(INDEX(Clay_Brands!$A$2:$FZ$601,84,Sync!$D$6)&amp;"",""))</f>
        <v/>
      </c>
      <c r="F4735" s="23" t="str">
        <f aca="false">IF(B4735="","","outreach_sent")</f>
        <v/>
      </c>
      <c r="G4735" s="23" t="str">
        <f aca="false">IF(B4735="","","")</f>
        <v/>
      </c>
      <c r="H4735" s="23" t="str">
        <f aca="false">IF(B4735="","","")</f>
        <v/>
      </c>
      <c r="I4735" s="23" t="str">
        <f aca="false">IF(B4735="","","")</f>
        <v/>
      </c>
      <c r="J4735" s="23" t="str">
        <f aca="false">IF(B4735="","","touch_3; "&amp;IFERROR(INDEX(Clay_Brands!$A$2:$FZ$601,84,Sync!$D$10)&amp;"","")&amp;"; "&amp;IFERROR(INDEX(Clay_Brands!$A$2:$FZ$601,84,Sync!$D$9)&amp;"",""))</f>
        <v/>
      </c>
      <c r="K4735" s="32" t="s">
        <v>1368</v>
      </c>
    </row>
    <row r="4736" customFormat="false" ht="15" hidden="false" customHeight="false" outlineLevel="0" collapsed="false">
      <c r="A4736" s="23" t="str">
        <f aca="false">IF(B4736="","",B4736+(17*1000+85)/10000000)</f>
        <v/>
      </c>
      <c r="B4736" s="35" t="str">
        <f aca="false">IF(AND(IFERROR(N(INDEX(Clay_Brands!$A$2:$FZ$601,85,Sync!$D$13)),0)&gt;0,IFERROR(INDEX(Clay_Brands!$A$2:$FZ$601,85,Sync!$D$5)&amp;"","")&lt;&gt;"",OR(LEFT(IFERROR(INDEX(Clay_Brands!$A$2:$FZ$601,85,Sync!$D$5)&amp;"",""),6)&lt;&gt;"SAMPLE",Config!$B$19="Y")),IFERROR(N(INDEX(Clay_Brands!$A$2:$FZ$601,85,Sync!$D$13)),0),"")</f>
        <v/>
      </c>
      <c r="C4736" s="23" t="str">
        <f aca="false">IF(B4736="","","brand")</f>
        <v/>
      </c>
      <c r="D4736" s="23" t="str">
        <f aca="false">IF(B4736="","",IFERROR(INDEX(Brand_Log!$DV$2:$DV$201,MATCH(IFERROR(INDEX(Clay_Brands!$A$2:$FZ$601,85,Sync!$D$5)&amp;"",""),Brand_Log!$A$2:$A$201,0))&amp;"",IFERROR(INDEX(Clay_Brands!$A$2:$FZ$601,85,Sync!$D$5)&amp;"","")&amp;""))</f>
        <v/>
      </c>
      <c r="E4736" s="23" t="str">
        <f aca="false">IF(B4736="","",IFERROR(INDEX(Clay_Brands!$A$2:$FZ$601,85,Sync!$D$6)&amp;"",""))</f>
        <v/>
      </c>
      <c r="F4736" s="23" t="str">
        <f aca="false">IF(B4736="","","outreach_sent")</f>
        <v/>
      </c>
      <c r="G4736" s="23" t="str">
        <f aca="false">IF(B4736="","","")</f>
        <v/>
      </c>
      <c r="H4736" s="23" t="str">
        <f aca="false">IF(B4736="","","")</f>
        <v/>
      </c>
      <c r="I4736" s="23" t="str">
        <f aca="false">IF(B4736="","","")</f>
        <v/>
      </c>
      <c r="J4736" s="23" t="str">
        <f aca="false">IF(B4736="","","touch_3; "&amp;IFERROR(INDEX(Clay_Brands!$A$2:$FZ$601,85,Sync!$D$10)&amp;"","")&amp;"; "&amp;IFERROR(INDEX(Clay_Brands!$A$2:$FZ$601,85,Sync!$D$9)&amp;"",""))</f>
        <v/>
      </c>
      <c r="K4736" s="32" t="s">
        <v>1368</v>
      </c>
    </row>
    <row r="4737" customFormat="false" ht="15" hidden="false" customHeight="false" outlineLevel="0" collapsed="false">
      <c r="A4737" s="23" t="str">
        <f aca="false">IF(B4737="","",B4737+(17*1000+86)/10000000)</f>
        <v/>
      </c>
      <c r="B4737" s="35" t="str">
        <f aca="false">IF(AND(IFERROR(N(INDEX(Clay_Brands!$A$2:$FZ$601,86,Sync!$D$13)),0)&gt;0,IFERROR(INDEX(Clay_Brands!$A$2:$FZ$601,86,Sync!$D$5)&amp;"","")&lt;&gt;"",OR(LEFT(IFERROR(INDEX(Clay_Brands!$A$2:$FZ$601,86,Sync!$D$5)&amp;"",""),6)&lt;&gt;"SAMPLE",Config!$B$19="Y")),IFERROR(N(INDEX(Clay_Brands!$A$2:$FZ$601,86,Sync!$D$13)),0),"")</f>
        <v/>
      </c>
      <c r="C4737" s="23" t="str">
        <f aca="false">IF(B4737="","","brand")</f>
        <v/>
      </c>
      <c r="D4737" s="23" t="str">
        <f aca="false">IF(B4737="","",IFERROR(INDEX(Brand_Log!$DV$2:$DV$201,MATCH(IFERROR(INDEX(Clay_Brands!$A$2:$FZ$601,86,Sync!$D$5)&amp;"",""),Brand_Log!$A$2:$A$201,0))&amp;"",IFERROR(INDEX(Clay_Brands!$A$2:$FZ$601,86,Sync!$D$5)&amp;"","")&amp;""))</f>
        <v/>
      </c>
      <c r="E4737" s="23" t="str">
        <f aca="false">IF(B4737="","",IFERROR(INDEX(Clay_Brands!$A$2:$FZ$601,86,Sync!$D$6)&amp;"",""))</f>
        <v/>
      </c>
      <c r="F4737" s="23" t="str">
        <f aca="false">IF(B4737="","","outreach_sent")</f>
        <v/>
      </c>
      <c r="G4737" s="23" t="str">
        <f aca="false">IF(B4737="","","")</f>
        <v/>
      </c>
      <c r="H4737" s="23" t="str">
        <f aca="false">IF(B4737="","","")</f>
        <v/>
      </c>
      <c r="I4737" s="23" t="str">
        <f aca="false">IF(B4737="","","")</f>
        <v/>
      </c>
      <c r="J4737" s="23" t="str">
        <f aca="false">IF(B4737="","","touch_3; "&amp;IFERROR(INDEX(Clay_Brands!$A$2:$FZ$601,86,Sync!$D$10)&amp;"","")&amp;"; "&amp;IFERROR(INDEX(Clay_Brands!$A$2:$FZ$601,86,Sync!$D$9)&amp;"",""))</f>
        <v/>
      </c>
      <c r="K4737" s="32" t="s">
        <v>1368</v>
      </c>
    </row>
    <row r="4738" customFormat="false" ht="15" hidden="false" customHeight="false" outlineLevel="0" collapsed="false">
      <c r="A4738" s="23" t="str">
        <f aca="false">IF(B4738="","",B4738+(17*1000+87)/10000000)</f>
        <v/>
      </c>
      <c r="B4738" s="35" t="str">
        <f aca="false">IF(AND(IFERROR(N(INDEX(Clay_Brands!$A$2:$FZ$601,87,Sync!$D$13)),0)&gt;0,IFERROR(INDEX(Clay_Brands!$A$2:$FZ$601,87,Sync!$D$5)&amp;"","")&lt;&gt;"",OR(LEFT(IFERROR(INDEX(Clay_Brands!$A$2:$FZ$601,87,Sync!$D$5)&amp;"",""),6)&lt;&gt;"SAMPLE",Config!$B$19="Y")),IFERROR(N(INDEX(Clay_Brands!$A$2:$FZ$601,87,Sync!$D$13)),0),"")</f>
        <v/>
      </c>
      <c r="C4738" s="23" t="str">
        <f aca="false">IF(B4738="","","brand")</f>
        <v/>
      </c>
      <c r="D4738" s="23" t="str">
        <f aca="false">IF(B4738="","",IFERROR(INDEX(Brand_Log!$DV$2:$DV$201,MATCH(IFERROR(INDEX(Clay_Brands!$A$2:$FZ$601,87,Sync!$D$5)&amp;"",""),Brand_Log!$A$2:$A$201,0))&amp;"",IFERROR(INDEX(Clay_Brands!$A$2:$FZ$601,87,Sync!$D$5)&amp;"","")&amp;""))</f>
        <v/>
      </c>
      <c r="E4738" s="23" t="str">
        <f aca="false">IF(B4738="","",IFERROR(INDEX(Clay_Brands!$A$2:$FZ$601,87,Sync!$D$6)&amp;"",""))</f>
        <v/>
      </c>
      <c r="F4738" s="23" t="str">
        <f aca="false">IF(B4738="","","outreach_sent")</f>
        <v/>
      </c>
      <c r="G4738" s="23" t="str">
        <f aca="false">IF(B4738="","","")</f>
        <v/>
      </c>
      <c r="H4738" s="23" t="str">
        <f aca="false">IF(B4738="","","")</f>
        <v/>
      </c>
      <c r="I4738" s="23" t="str">
        <f aca="false">IF(B4738="","","")</f>
        <v/>
      </c>
      <c r="J4738" s="23" t="str">
        <f aca="false">IF(B4738="","","touch_3; "&amp;IFERROR(INDEX(Clay_Brands!$A$2:$FZ$601,87,Sync!$D$10)&amp;"","")&amp;"; "&amp;IFERROR(INDEX(Clay_Brands!$A$2:$FZ$601,87,Sync!$D$9)&amp;"",""))</f>
        <v/>
      </c>
      <c r="K4738" s="32" t="s">
        <v>1368</v>
      </c>
    </row>
    <row r="4739" customFormat="false" ht="15" hidden="false" customHeight="false" outlineLevel="0" collapsed="false">
      <c r="A4739" s="23" t="str">
        <f aca="false">IF(B4739="","",B4739+(17*1000+88)/10000000)</f>
        <v/>
      </c>
      <c r="B4739" s="35" t="str">
        <f aca="false">IF(AND(IFERROR(N(INDEX(Clay_Brands!$A$2:$FZ$601,88,Sync!$D$13)),0)&gt;0,IFERROR(INDEX(Clay_Brands!$A$2:$FZ$601,88,Sync!$D$5)&amp;"","")&lt;&gt;"",OR(LEFT(IFERROR(INDEX(Clay_Brands!$A$2:$FZ$601,88,Sync!$D$5)&amp;"",""),6)&lt;&gt;"SAMPLE",Config!$B$19="Y")),IFERROR(N(INDEX(Clay_Brands!$A$2:$FZ$601,88,Sync!$D$13)),0),"")</f>
        <v/>
      </c>
      <c r="C4739" s="23" t="str">
        <f aca="false">IF(B4739="","","brand")</f>
        <v/>
      </c>
      <c r="D4739" s="23" t="str">
        <f aca="false">IF(B4739="","",IFERROR(INDEX(Brand_Log!$DV$2:$DV$201,MATCH(IFERROR(INDEX(Clay_Brands!$A$2:$FZ$601,88,Sync!$D$5)&amp;"",""),Brand_Log!$A$2:$A$201,0))&amp;"",IFERROR(INDEX(Clay_Brands!$A$2:$FZ$601,88,Sync!$D$5)&amp;"","")&amp;""))</f>
        <v/>
      </c>
      <c r="E4739" s="23" t="str">
        <f aca="false">IF(B4739="","",IFERROR(INDEX(Clay_Brands!$A$2:$FZ$601,88,Sync!$D$6)&amp;"",""))</f>
        <v/>
      </c>
      <c r="F4739" s="23" t="str">
        <f aca="false">IF(B4739="","","outreach_sent")</f>
        <v/>
      </c>
      <c r="G4739" s="23" t="str">
        <f aca="false">IF(B4739="","","")</f>
        <v/>
      </c>
      <c r="H4739" s="23" t="str">
        <f aca="false">IF(B4739="","","")</f>
        <v/>
      </c>
      <c r="I4739" s="23" t="str">
        <f aca="false">IF(B4739="","","")</f>
        <v/>
      </c>
      <c r="J4739" s="23" t="str">
        <f aca="false">IF(B4739="","","touch_3; "&amp;IFERROR(INDEX(Clay_Brands!$A$2:$FZ$601,88,Sync!$D$10)&amp;"","")&amp;"; "&amp;IFERROR(INDEX(Clay_Brands!$A$2:$FZ$601,88,Sync!$D$9)&amp;"",""))</f>
        <v/>
      </c>
      <c r="K4739" s="32" t="s">
        <v>1368</v>
      </c>
    </row>
    <row r="4740" customFormat="false" ht="15" hidden="false" customHeight="false" outlineLevel="0" collapsed="false">
      <c r="A4740" s="23" t="str">
        <f aca="false">IF(B4740="","",B4740+(17*1000+89)/10000000)</f>
        <v/>
      </c>
      <c r="B4740" s="35" t="str">
        <f aca="false">IF(AND(IFERROR(N(INDEX(Clay_Brands!$A$2:$FZ$601,89,Sync!$D$13)),0)&gt;0,IFERROR(INDEX(Clay_Brands!$A$2:$FZ$601,89,Sync!$D$5)&amp;"","")&lt;&gt;"",OR(LEFT(IFERROR(INDEX(Clay_Brands!$A$2:$FZ$601,89,Sync!$D$5)&amp;"",""),6)&lt;&gt;"SAMPLE",Config!$B$19="Y")),IFERROR(N(INDEX(Clay_Brands!$A$2:$FZ$601,89,Sync!$D$13)),0),"")</f>
        <v/>
      </c>
      <c r="C4740" s="23" t="str">
        <f aca="false">IF(B4740="","","brand")</f>
        <v/>
      </c>
      <c r="D4740" s="23" t="str">
        <f aca="false">IF(B4740="","",IFERROR(INDEX(Brand_Log!$DV$2:$DV$201,MATCH(IFERROR(INDEX(Clay_Brands!$A$2:$FZ$601,89,Sync!$D$5)&amp;"",""),Brand_Log!$A$2:$A$201,0))&amp;"",IFERROR(INDEX(Clay_Brands!$A$2:$FZ$601,89,Sync!$D$5)&amp;"","")&amp;""))</f>
        <v/>
      </c>
      <c r="E4740" s="23" t="str">
        <f aca="false">IF(B4740="","",IFERROR(INDEX(Clay_Brands!$A$2:$FZ$601,89,Sync!$D$6)&amp;"",""))</f>
        <v/>
      </c>
      <c r="F4740" s="23" t="str">
        <f aca="false">IF(B4740="","","outreach_sent")</f>
        <v/>
      </c>
      <c r="G4740" s="23" t="str">
        <f aca="false">IF(B4740="","","")</f>
        <v/>
      </c>
      <c r="H4740" s="23" t="str">
        <f aca="false">IF(B4740="","","")</f>
        <v/>
      </c>
      <c r="I4740" s="23" t="str">
        <f aca="false">IF(B4740="","","")</f>
        <v/>
      </c>
      <c r="J4740" s="23" t="str">
        <f aca="false">IF(B4740="","","touch_3; "&amp;IFERROR(INDEX(Clay_Brands!$A$2:$FZ$601,89,Sync!$D$10)&amp;"","")&amp;"; "&amp;IFERROR(INDEX(Clay_Brands!$A$2:$FZ$601,89,Sync!$D$9)&amp;"",""))</f>
        <v/>
      </c>
      <c r="K4740" s="32" t="s">
        <v>1368</v>
      </c>
    </row>
    <row r="4741" customFormat="false" ht="15" hidden="false" customHeight="false" outlineLevel="0" collapsed="false">
      <c r="A4741" s="23" t="str">
        <f aca="false">IF(B4741="","",B4741+(17*1000+90)/10000000)</f>
        <v/>
      </c>
      <c r="B4741" s="35" t="str">
        <f aca="false">IF(AND(IFERROR(N(INDEX(Clay_Brands!$A$2:$FZ$601,90,Sync!$D$13)),0)&gt;0,IFERROR(INDEX(Clay_Brands!$A$2:$FZ$601,90,Sync!$D$5)&amp;"","")&lt;&gt;"",OR(LEFT(IFERROR(INDEX(Clay_Brands!$A$2:$FZ$601,90,Sync!$D$5)&amp;"",""),6)&lt;&gt;"SAMPLE",Config!$B$19="Y")),IFERROR(N(INDEX(Clay_Brands!$A$2:$FZ$601,90,Sync!$D$13)),0),"")</f>
        <v/>
      </c>
      <c r="C4741" s="23" t="str">
        <f aca="false">IF(B4741="","","brand")</f>
        <v/>
      </c>
      <c r="D4741" s="23" t="str">
        <f aca="false">IF(B4741="","",IFERROR(INDEX(Brand_Log!$DV$2:$DV$201,MATCH(IFERROR(INDEX(Clay_Brands!$A$2:$FZ$601,90,Sync!$D$5)&amp;"",""),Brand_Log!$A$2:$A$201,0))&amp;"",IFERROR(INDEX(Clay_Brands!$A$2:$FZ$601,90,Sync!$D$5)&amp;"","")&amp;""))</f>
        <v/>
      </c>
      <c r="E4741" s="23" t="str">
        <f aca="false">IF(B4741="","",IFERROR(INDEX(Clay_Brands!$A$2:$FZ$601,90,Sync!$D$6)&amp;"",""))</f>
        <v/>
      </c>
      <c r="F4741" s="23" t="str">
        <f aca="false">IF(B4741="","","outreach_sent")</f>
        <v/>
      </c>
      <c r="G4741" s="23" t="str">
        <f aca="false">IF(B4741="","","")</f>
        <v/>
      </c>
      <c r="H4741" s="23" t="str">
        <f aca="false">IF(B4741="","","")</f>
        <v/>
      </c>
      <c r="I4741" s="23" t="str">
        <f aca="false">IF(B4741="","","")</f>
        <v/>
      </c>
      <c r="J4741" s="23" t="str">
        <f aca="false">IF(B4741="","","touch_3; "&amp;IFERROR(INDEX(Clay_Brands!$A$2:$FZ$601,90,Sync!$D$10)&amp;"","")&amp;"; "&amp;IFERROR(INDEX(Clay_Brands!$A$2:$FZ$601,90,Sync!$D$9)&amp;"",""))</f>
        <v/>
      </c>
      <c r="K4741" s="32" t="s">
        <v>1368</v>
      </c>
    </row>
    <row r="4742" customFormat="false" ht="15" hidden="false" customHeight="false" outlineLevel="0" collapsed="false">
      <c r="A4742" s="23" t="str">
        <f aca="false">IF(B4742="","",B4742+(17*1000+91)/10000000)</f>
        <v/>
      </c>
      <c r="B4742" s="35" t="str">
        <f aca="false">IF(AND(IFERROR(N(INDEX(Clay_Brands!$A$2:$FZ$601,91,Sync!$D$13)),0)&gt;0,IFERROR(INDEX(Clay_Brands!$A$2:$FZ$601,91,Sync!$D$5)&amp;"","")&lt;&gt;"",OR(LEFT(IFERROR(INDEX(Clay_Brands!$A$2:$FZ$601,91,Sync!$D$5)&amp;"",""),6)&lt;&gt;"SAMPLE",Config!$B$19="Y")),IFERROR(N(INDEX(Clay_Brands!$A$2:$FZ$601,91,Sync!$D$13)),0),"")</f>
        <v/>
      </c>
      <c r="C4742" s="23" t="str">
        <f aca="false">IF(B4742="","","brand")</f>
        <v/>
      </c>
      <c r="D4742" s="23" t="str">
        <f aca="false">IF(B4742="","",IFERROR(INDEX(Brand_Log!$DV$2:$DV$201,MATCH(IFERROR(INDEX(Clay_Brands!$A$2:$FZ$601,91,Sync!$D$5)&amp;"",""),Brand_Log!$A$2:$A$201,0))&amp;"",IFERROR(INDEX(Clay_Brands!$A$2:$FZ$601,91,Sync!$D$5)&amp;"","")&amp;""))</f>
        <v/>
      </c>
      <c r="E4742" s="23" t="str">
        <f aca="false">IF(B4742="","",IFERROR(INDEX(Clay_Brands!$A$2:$FZ$601,91,Sync!$D$6)&amp;"",""))</f>
        <v/>
      </c>
      <c r="F4742" s="23" t="str">
        <f aca="false">IF(B4742="","","outreach_sent")</f>
        <v/>
      </c>
      <c r="G4742" s="23" t="str">
        <f aca="false">IF(B4742="","","")</f>
        <v/>
      </c>
      <c r="H4742" s="23" t="str">
        <f aca="false">IF(B4742="","","")</f>
        <v/>
      </c>
      <c r="I4742" s="23" t="str">
        <f aca="false">IF(B4742="","","")</f>
        <v/>
      </c>
      <c r="J4742" s="23" t="str">
        <f aca="false">IF(B4742="","","touch_3; "&amp;IFERROR(INDEX(Clay_Brands!$A$2:$FZ$601,91,Sync!$D$10)&amp;"","")&amp;"; "&amp;IFERROR(INDEX(Clay_Brands!$A$2:$FZ$601,91,Sync!$D$9)&amp;"",""))</f>
        <v/>
      </c>
      <c r="K4742" s="32" t="s">
        <v>1368</v>
      </c>
    </row>
    <row r="4743" customFormat="false" ht="15" hidden="false" customHeight="false" outlineLevel="0" collapsed="false">
      <c r="A4743" s="23" t="str">
        <f aca="false">IF(B4743="","",B4743+(17*1000+92)/10000000)</f>
        <v/>
      </c>
      <c r="B4743" s="35" t="str">
        <f aca="false">IF(AND(IFERROR(N(INDEX(Clay_Brands!$A$2:$FZ$601,92,Sync!$D$13)),0)&gt;0,IFERROR(INDEX(Clay_Brands!$A$2:$FZ$601,92,Sync!$D$5)&amp;"","")&lt;&gt;"",OR(LEFT(IFERROR(INDEX(Clay_Brands!$A$2:$FZ$601,92,Sync!$D$5)&amp;"",""),6)&lt;&gt;"SAMPLE",Config!$B$19="Y")),IFERROR(N(INDEX(Clay_Brands!$A$2:$FZ$601,92,Sync!$D$13)),0),"")</f>
        <v/>
      </c>
      <c r="C4743" s="23" t="str">
        <f aca="false">IF(B4743="","","brand")</f>
        <v/>
      </c>
      <c r="D4743" s="23" t="str">
        <f aca="false">IF(B4743="","",IFERROR(INDEX(Brand_Log!$DV$2:$DV$201,MATCH(IFERROR(INDEX(Clay_Brands!$A$2:$FZ$601,92,Sync!$D$5)&amp;"",""),Brand_Log!$A$2:$A$201,0))&amp;"",IFERROR(INDEX(Clay_Brands!$A$2:$FZ$601,92,Sync!$D$5)&amp;"","")&amp;""))</f>
        <v/>
      </c>
      <c r="E4743" s="23" t="str">
        <f aca="false">IF(B4743="","",IFERROR(INDEX(Clay_Brands!$A$2:$FZ$601,92,Sync!$D$6)&amp;"",""))</f>
        <v/>
      </c>
      <c r="F4743" s="23" t="str">
        <f aca="false">IF(B4743="","","outreach_sent")</f>
        <v/>
      </c>
      <c r="G4743" s="23" t="str">
        <f aca="false">IF(B4743="","","")</f>
        <v/>
      </c>
      <c r="H4743" s="23" t="str">
        <f aca="false">IF(B4743="","","")</f>
        <v/>
      </c>
      <c r="I4743" s="23" t="str">
        <f aca="false">IF(B4743="","","")</f>
        <v/>
      </c>
      <c r="J4743" s="23" t="str">
        <f aca="false">IF(B4743="","","touch_3; "&amp;IFERROR(INDEX(Clay_Brands!$A$2:$FZ$601,92,Sync!$D$10)&amp;"","")&amp;"; "&amp;IFERROR(INDEX(Clay_Brands!$A$2:$FZ$601,92,Sync!$D$9)&amp;"",""))</f>
        <v/>
      </c>
      <c r="K4743" s="32" t="s">
        <v>1368</v>
      </c>
    </row>
    <row r="4744" customFormat="false" ht="15" hidden="false" customHeight="false" outlineLevel="0" collapsed="false">
      <c r="A4744" s="23" t="str">
        <f aca="false">IF(B4744="","",B4744+(17*1000+93)/10000000)</f>
        <v/>
      </c>
      <c r="B4744" s="35" t="str">
        <f aca="false">IF(AND(IFERROR(N(INDEX(Clay_Brands!$A$2:$FZ$601,93,Sync!$D$13)),0)&gt;0,IFERROR(INDEX(Clay_Brands!$A$2:$FZ$601,93,Sync!$D$5)&amp;"","")&lt;&gt;"",OR(LEFT(IFERROR(INDEX(Clay_Brands!$A$2:$FZ$601,93,Sync!$D$5)&amp;"",""),6)&lt;&gt;"SAMPLE",Config!$B$19="Y")),IFERROR(N(INDEX(Clay_Brands!$A$2:$FZ$601,93,Sync!$D$13)),0),"")</f>
        <v/>
      </c>
      <c r="C4744" s="23" t="str">
        <f aca="false">IF(B4744="","","brand")</f>
        <v/>
      </c>
      <c r="D4744" s="23" t="str">
        <f aca="false">IF(B4744="","",IFERROR(INDEX(Brand_Log!$DV$2:$DV$201,MATCH(IFERROR(INDEX(Clay_Brands!$A$2:$FZ$601,93,Sync!$D$5)&amp;"",""),Brand_Log!$A$2:$A$201,0))&amp;"",IFERROR(INDEX(Clay_Brands!$A$2:$FZ$601,93,Sync!$D$5)&amp;"","")&amp;""))</f>
        <v/>
      </c>
      <c r="E4744" s="23" t="str">
        <f aca="false">IF(B4744="","",IFERROR(INDEX(Clay_Brands!$A$2:$FZ$601,93,Sync!$D$6)&amp;"",""))</f>
        <v/>
      </c>
      <c r="F4744" s="23" t="str">
        <f aca="false">IF(B4744="","","outreach_sent")</f>
        <v/>
      </c>
      <c r="G4744" s="23" t="str">
        <f aca="false">IF(B4744="","","")</f>
        <v/>
      </c>
      <c r="H4744" s="23" t="str">
        <f aca="false">IF(B4744="","","")</f>
        <v/>
      </c>
      <c r="I4744" s="23" t="str">
        <f aca="false">IF(B4744="","","")</f>
        <v/>
      </c>
      <c r="J4744" s="23" t="str">
        <f aca="false">IF(B4744="","","touch_3; "&amp;IFERROR(INDEX(Clay_Brands!$A$2:$FZ$601,93,Sync!$D$10)&amp;"","")&amp;"; "&amp;IFERROR(INDEX(Clay_Brands!$A$2:$FZ$601,93,Sync!$D$9)&amp;"",""))</f>
        <v/>
      </c>
      <c r="K4744" s="32" t="s">
        <v>1368</v>
      </c>
    </row>
    <row r="4745" customFormat="false" ht="15" hidden="false" customHeight="false" outlineLevel="0" collapsed="false">
      <c r="A4745" s="23" t="str">
        <f aca="false">IF(B4745="","",B4745+(17*1000+94)/10000000)</f>
        <v/>
      </c>
      <c r="B4745" s="35" t="str">
        <f aca="false">IF(AND(IFERROR(N(INDEX(Clay_Brands!$A$2:$FZ$601,94,Sync!$D$13)),0)&gt;0,IFERROR(INDEX(Clay_Brands!$A$2:$FZ$601,94,Sync!$D$5)&amp;"","")&lt;&gt;"",OR(LEFT(IFERROR(INDEX(Clay_Brands!$A$2:$FZ$601,94,Sync!$D$5)&amp;"",""),6)&lt;&gt;"SAMPLE",Config!$B$19="Y")),IFERROR(N(INDEX(Clay_Brands!$A$2:$FZ$601,94,Sync!$D$13)),0),"")</f>
        <v/>
      </c>
      <c r="C4745" s="23" t="str">
        <f aca="false">IF(B4745="","","brand")</f>
        <v/>
      </c>
      <c r="D4745" s="23" t="str">
        <f aca="false">IF(B4745="","",IFERROR(INDEX(Brand_Log!$DV$2:$DV$201,MATCH(IFERROR(INDEX(Clay_Brands!$A$2:$FZ$601,94,Sync!$D$5)&amp;"",""),Brand_Log!$A$2:$A$201,0))&amp;"",IFERROR(INDEX(Clay_Brands!$A$2:$FZ$601,94,Sync!$D$5)&amp;"","")&amp;""))</f>
        <v/>
      </c>
      <c r="E4745" s="23" t="str">
        <f aca="false">IF(B4745="","",IFERROR(INDEX(Clay_Brands!$A$2:$FZ$601,94,Sync!$D$6)&amp;"",""))</f>
        <v/>
      </c>
      <c r="F4745" s="23" t="str">
        <f aca="false">IF(B4745="","","outreach_sent")</f>
        <v/>
      </c>
      <c r="G4745" s="23" t="str">
        <f aca="false">IF(B4745="","","")</f>
        <v/>
      </c>
      <c r="H4745" s="23" t="str">
        <f aca="false">IF(B4745="","","")</f>
        <v/>
      </c>
      <c r="I4745" s="23" t="str">
        <f aca="false">IF(B4745="","","")</f>
        <v/>
      </c>
      <c r="J4745" s="23" t="str">
        <f aca="false">IF(B4745="","","touch_3; "&amp;IFERROR(INDEX(Clay_Brands!$A$2:$FZ$601,94,Sync!$D$10)&amp;"","")&amp;"; "&amp;IFERROR(INDEX(Clay_Brands!$A$2:$FZ$601,94,Sync!$D$9)&amp;"",""))</f>
        <v/>
      </c>
      <c r="K4745" s="32" t="s">
        <v>1368</v>
      </c>
    </row>
    <row r="4746" customFormat="false" ht="15" hidden="false" customHeight="false" outlineLevel="0" collapsed="false">
      <c r="A4746" s="23" t="str">
        <f aca="false">IF(B4746="","",B4746+(17*1000+95)/10000000)</f>
        <v/>
      </c>
      <c r="B4746" s="35" t="str">
        <f aca="false">IF(AND(IFERROR(N(INDEX(Clay_Brands!$A$2:$FZ$601,95,Sync!$D$13)),0)&gt;0,IFERROR(INDEX(Clay_Brands!$A$2:$FZ$601,95,Sync!$D$5)&amp;"","")&lt;&gt;"",OR(LEFT(IFERROR(INDEX(Clay_Brands!$A$2:$FZ$601,95,Sync!$D$5)&amp;"",""),6)&lt;&gt;"SAMPLE",Config!$B$19="Y")),IFERROR(N(INDEX(Clay_Brands!$A$2:$FZ$601,95,Sync!$D$13)),0),"")</f>
        <v/>
      </c>
      <c r="C4746" s="23" t="str">
        <f aca="false">IF(B4746="","","brand")</f>
        <v/>
      </c>
      <c r="D4746" s="23" t="str">
        <f aca="false">IF(B4746="","",IFERROR(INDEX(Brand_Log!$DV$2:$DV$201,MATCH(IFERROR(INDEX(Clay_Brands!$A$2:$FZ$601,95,Sync!$D$5)&amp;"",""),Brand_Log!$A$2:$A$201,0))&amp;"",IFERROR(INDEX(Clay_Brands!$A$2:$FZ$601,95,Sync!$D$5)&amp;"","")&amp;""))</f>
        <v/>
      </c>
      <c r="E4746" s="23" t="str">
        <f aca="false">IF(B4746="","",IFERROR(INDEX(Clay_Brands!$A$2:$FZ$601,95,Sync!$D$6)&amp;"",""))</f>
        <v/>
      </c>
      <c r="F4746" s="23" t="str">
        <f aca="false">IF(B4746="","","outreach_sent")</f>
        <v/>
      </c>
      <c r="G4746" s="23" t="str">
        <f aca="false">IF(B4746="","","")</f>
        <v/>
      </c>
      <c r="H4746" s="23" t="str">
        <f aca="false">IF(B4746="","","")</f>
        <v/>
      </c>
      <c r="I4746" s="23" t="str">
        <f aca="false">IF(B4746="","","")</f>
        <v/>
      </c>
      <c r="J4746" s="23" t="str">
        <f aca="false">IF(B4746="","","touch_3; "&amp;IFERROR(INDEX(Clay_Brands!$A$2:$FZ$601,95,Sync!$D$10)&amp;"","")&amp;"; "&amp;IFERROR(INDEX(Clay_Brands!$A$2:$FZ$601,95,Sync!$D$9)&amp;"",""))</f>
        <v/>
      </c>
      <c r="K4746" s="32" t="s">
        <v>1368</v>
      </c>
    </row>
    <row r="4747" customFormat="false" ht="15" hidden="false" customHeight="false" outlineLevel="0" collapsed="false">
      <c r="A4747" s="23" t="str">
        <f aca="false">IF(B4747="","",B4747+(17*1000+96)/10000000)</f>
        <v/>
      </c>
      <c r="B4747" s="35" t="str">
        <f aca="false">IF(AND(IFERROR(N(INDEX(Clay_Brands!$A$2:$FZ$601,96,Sync!$D$13)),0)&gt;0,IFERROR(INDEX(Clay_Brands!$A$2:$FZ$601,96,Sync!$D$5)&amp;"","")&lt;&gt;"",OR(LEFT(IFERROR(INDEX(Clay_Brands!$A$2:$FZ$601,96,Sync!$D$5)&amp;"",""),6)&lt;&gt;"SAMPLE",Config!$B$19="Y")),IFERROR(N(INDEX(Clay_Brands!$A$2:$FZ$601,96,Sync!$D$13)),0),"")</f>
        <v/>
      </c>
      <c r="C4747" s="23" t="str">
        <f aca="false">IF(B4747="","","brand")</f>
        <v/>
      </c>
      <c r="D4747" s="23" t="str">
        <f aca="false">IF(B4747="","",IFERROR(INDEX(Brand_Log!$DV$2:$DV$201,MATCH(IFERROR(INDEX(Clay_Brands!$A$2:$FZ$601,96,Sync!$D$5)&amp;"",""),Brand_Log!$A$2:$A$201,0))&amp;"",IFERROR(INDEX(Clay_Brands!$A$2:$FZ$601,96,Sync!$D$5)&amp;"","")&amp;""))</f>
        <v/>
      </c>
      <c r="E4747" s="23" t="str">
        <f aca="false">IF(B4747="","",IFERROR(INDEX(Clay_Brands!$A$2:$FZ$601,96,Sync!$D$6)&amp;"",""))</f>
        <v/>
      </c>
      <c r="F4747" s="23" t="str">
        <f aca="false">IF(B4747="","","outreach_sent")</f>
        <v/>
      </c>
      <c r="G4747" s="23" t="str">
        <f aca="false">IF(B4747="","","")</f>
        <v/>
      </c>
      <c r="H4747" s="23" t="str">
        <f aca="false">IF(B4747="","","")</f>
        <v/>
      </c>
      <c r="I4747" s="23" t="str">
        <f aca="false">IF(B4747="","","")</f>
        <v/>
      </c>
      <c r="J4747" s="23" t="str">
        <f aca="false">IF(B4747="","","touch_3; "&amp;IFERROR(INDEX(Clay_Brands!$A$2:$FZ$601,96,Sync!$D$10)&amp;"","")&amp;"; "&amp;IFERROR(INDEX(Clay_Brands!$A$2:$FZ$601,96,Sync!$D$9)&amp;"",""))</f>
        <v/>
      </c>
      <c r="K4747" s="32" t="s">
        <v>1368</v>
      </c>
    </row>
    <row r="4748" customFormat="false" ht="15" hidden="false" customHeight="false" outlineLevel="0" collapsed="false">
      <c r="A4748" s="23" t="str">
        <f aca="false">IF(B4748="","",B4748+(17*1000+97)/10000000)</f>
        <v/>
      </c>
      <c r="B4748" s="35" t="str">
        <f aca="false">IF(AND(IFERROR(N(INDEX(Clay_Brands!$A$2:$FZ$601,97,Sync!$D$13)),0)&gt;0,IFERROR(INDEX(Clay_Brands!$A$2:$FZ$601,97,Sync!$D$5)&amp;"","")&lt;&gt;"",OR(LEFT(IFERROR(INDEX(Clay_Brands!$A$2:$FZ$601,97,Sync!$D$5)&amp;"",""),6)&lt;&gt;"SAMPLE",Config!$B$19="Y")),IFERROR(N(INDEX(Clay_Brands!$A$2:$FZ$601,97,Sync!$D$13)),0),"")</f>
        <v/>
      </c>
      <c r="C4748" s="23" t="str">
        <f aca="false">IF(B4748="","","brand")</f>
        <v/>
      </c>
      <c r="D4748" s="23" t="str">
        <f aca="false">IF(B4748="","",IFERROR(INDEX(Brand_Log!$DV$2:$DV$201,MATCH(IFERROR(INDEX(Clay_Brands!$A$2:$FZ$601,97,Sync!$D$5)&amp;"",""),Brand_Log!$A$2:$A$201,0))&amp;"",IFERROR(INDEX(Clay_Brands!$A$2:$FZ$601,97,Sync!$D$5)&amp;"","")&amp;""))</f>
        <v/>
      </c>
      <c r="E4748" s="23" t="str">
        <f aca="false">IF(B4748="","",IFERROR(INDEX(Clay_Brands!$A$2:$FZ$601,97,Sync!$D$6)&amp;"",""))</f>
        <v/>
      </c>
      <c r="F4748" s="23" t="str">
        <f aca="false">IF(B4748="","","outreach_sent")</f>
        <v/>
      </c>
      <c r="G4748" s="23" t="str">
        <f aca="false">IF(B4748="","","")</f>
        <v/>
      </c>
      <c r="H4748" s="23" t="str">
        <f aca="false">IF(B4748="","","")</f>
        <v/>
      </c>
      <c r="I4748" s="23" t="str">
        <f aca="false">IF(B4748="","","")</f>
        <v/>
      </c>
      <c r="J4748" s="23" t="str">
        <f aca="false">IF(B4748="","","touch_3; "&amp;IFERROR(INDEX(Clay_Brands!$A$2:$FZ$601,97,Sync!$D$10)&amp;"","")&amp;"; "&amp;IFERROR(INDEX(Clay_Brands!$A$2:$FZ$601,97,Sync!$D$9)&amp;"",""))</f>
        <v/>
      </c>
      <c r="K4748" s="32" t="s">
        <v>1368</v>
      </c>
    </row>
    <row r="4749" customFormat="false" ht="15" hidden="false" customHeight="false" outlineLevel="0" collapsed="false">
      <c r="A4749" s="23" t="str">
        <f aca="false">IF(B4749="","",B4749+(17*1000+98)/10000000)</f>
        <v/>
      </c>
      <c r="B4749" s="35" t="str">
        <f aca="false">IF(AND(IFERROR(N(INDEX(Clay_Brands!$A$2:$FZ$601,98,Sync!$D$13)),0)&gt;0,IFERROR(INDEX(Clay_Brands!$A$2:$FZ$601,98,Sync!$D$5)&amp;"","")&lt;&gt;"",OR(LEFT(IFERROR(INDEX(Clay_Brands!$A$2:$FZ$601,98,Sync!$D$5)&amp;"",""),6)&lt;&gt;"SAMPLE",Config!$B$19="Y")),IFERROR(N(INDEX(Clay_Brands!$A$2:$FZ$601,98,Sync!$D$13)),0),"")</f>
        <v/>
      </c>
      <c r="C4749" s="23" t="str">
        <f aca="false">IF(B4749="","","brand")</f>
        <v/>
      </c>
      <c r="D4749" s="23" t="str">
        <f aca="false">IF(B4749="","",IFERROR(INDEX(Brand_Log!$DV$2:$DV$201,MATCH(IFERROR(INDEX(Clay_Brands!$A$2:$FZ$601,98,Sync!$D$5)&amp;"",""),Brand_Log!$A$2:$A$201,0))&amp;"",IFERROR(INDEX(Clay_Brands!$A$2:$FZ$601,98,Sync!$D$5)&amp;"","")&amp;""))</f>
        <v/>
      </c>
      <c r="E4749" s="23" t="str">
        <f aca="false">IF(B4749="","",IFERROR(INDEX(Clay_Brands!$A$2:$FZ$601,98,Sync!$D$6)&amp;"",""))</f>
        <v/>
      </c>
      <c r="F4749" s="23" t="str">
        <f aca="false">IF(B4749="","","outreach_sent")</f>
        <v/>
      </c>
      <c r="G4749" s="23" t="str">
        <f aca="false">IF(B4749="","","")</f>
        <v/>
      </c>
      <c r="H4749" s="23" t="str">
        <f aca="false">IF(B4749="","","")</f>
        <v/>
      </c>
      <c r="I4749" s="23" t="str">
        <f aca="false">IF(B4749="","","")</f>
        <v/>
      </c>
      <c r="J4749" s="23" t="str">
        <f aca="false">IF(B4749="","","touch_3; "&amp;IFERROR(INDEX(Clay_Brands!$A$2:$FZ$601,98,Sync!$D$10)&amp;"","")&amp;"; "&amp;IFERROR(INDEX(Clay_Brands!$A$2:$FZ$601,98,Sync!$D$9)&amp;"",""))</f>
        <v/>
      </c>
      <c r="K4749" s="32" t="s">
        <v>1368</v>
      </c>
    </row>
    <row r="4750" customFormat="false" ht="15" hidden="false" customHeight="false" outlineLevel="0" collapsed="false">
      <c r="A4750" s="23" t="str">
        <f aca="false">IF(B4750="","",B4750+(17*1000+99)/10000000)</f>
        <v/>
      </c>
      <c r="B4750" s="35" t="str">
        <f aca="false">IF(AND(IFERROR(N(INDEX(Clay_Brands!$A$2:$FZ$601,99,Sync!$D$13)),0)&gt;0,IFERROR(INDEX(Clay_Brands!$A$2:$FZ$601,99,Sync!$D$5)&amp;"","")&lt;&gt;"",OR(LEFT(IFERROR(INDEX(Clay_Brands!$A$2:$FZ$601,99,Sync!$D$5)&amp;"",""),6)&lt;&gt;"SAMPLE",Config!$B$19="Y")),IFERROR(N(INDEX(Clay_Brands!$A$2:$FZ$601,99,Sync!$D$13)),0),"")</f>
        <v/>
      </c>
      <c r="C4750" s="23" t="str">
        <f aca="false">IF(B4750="","","brand")</f>
        <v/>
      </c>
      <c r="D4750" s="23" t="str">
        <f aca="false">IF(B4750="","",IFERROR(INDEX(Brand_Log!$DV$2:$DV$201,MATCH(IFERROR(INDEX(Clay_Brands!$A$2:$FZ$601,99,Sync!$D$5)&amp;"",""),Brand_Log!$A$2:$A$201,0))&amp;"",IFERROR(INDEX(Clay_Brands!$A$2:$FZ$601,99,Sync!$D$5)&amp;"","")&amp;""))</f>
        <v/>
      </c>
      <c r="E4750" s="23" t="str">
        <f aca="false">IF(B4750="","",IFERROR(INDEX(Clay_Brands!$A$2:$FZ$601,99,Sync!$D$6)&amp;"",""))</f>
        <v/>
      </c>
      <c r="F4750" s="23" t="str">
        <f aca="false">IF(B4750="","","outreach_sent")</f>
        <v/>
      </c>
      <c r="G4750" s="23" t="str">
        <f aca="false">IF(B4750="","","")</f>
        <v/>
      </c>
      <c r="H4750" s="23" t="str">
        <f aca="false">IF(B4750="","","")</f>
        <v/>
      </c>
      <c r="I4750" s="23" t="str">
        <f aca="false">IF(B4750="","","")</f>
        <v/>
      </c>
      <c r="J4750" s="23" t="str">
        <f aca="false">IF(B4750="","","touch_3; "&amp;IFERROR(INDEX(Clay_Brands!$A$2:$FZ$601,99,Sync!$D$10)&amp;"","")&amp;"; "&amp;IFERROR(INDEX(Clay_Brands!$A$2:$FZ$601,99,Sync!$D$9)&amp;"",""))</f>
        <v/>
      </c>
      <c r="K4750" s="32" t="s">
        <v>1368</v>
      </c>
    </row>
    <row r="4751" customFormat="false" ht="15" hidden="false" customHeight="false" outlineLevel="0" collapsed="false">
      <c r="A4751" s="23" t="str">
        <f aca="false">IF(B4751="","",B4751+(17*1000+100)/10000000)</f>
        <v/>
      </c>
      <c r="B4751" s="35" t="str">
        <f aca="false">IF(AND(IFERROR(N(INDEX(Clay_Brands!$A$2:$FZ$601,100,Sync!$D$13)),0)&gt;0,IFERROR(INDEX(Clay_Brands!$A$2:$FZ$601,100,Sync!$D$5)&amp;"","")&lt;&gt;"",OR(LEFT(IFERROR(INDEX(Clay_Brands!$A$2:$FZ$601,100,Sync!$D$5)&amp;"",""),6)&lt;&gt;"SAMPLE",Config!$B$19="Y")),IFERROR(N(INDEX(Clay_Brands!$A$2:$FZ$601,100,Sync!$D$13)),0),"")</f>
        <v/>
      </c>
      <c r="C4751" s="23" t="str">
        <f aca="false">IF(B4751="","","brand")</f>
        <v/>
      </c>
      <c r="D4751" s="23" t="str">
        <f aca="false">IF(B4751="","",IFERROR(INDEX(Brand_Log!$DV$2:$DV$201,MATCH(IFERROR(INDEX(Clay_Brands!$A$2:$FZ$601,100,Sync!$D$5)&amp;"",""),Brand_Log!$A$2:$A$201,0))&amp;"",IFERROR(INDEX(Clay_Brands!$A$2:$FZ$601,100,Sync!$D$5)&amp;"","")&amp;""))</f>
        <v/>
      </c>
      <c r="E4751" s="23" t="str">
        <f aca="false">IF(B4751="","",IFERROR(INDEX(Clay_Brands!$A$2:$FZ$601,100,Sync!$D$6)&amp;"",""))</f>
        <v/>
      </c>
      <c r="F4751" s="23" t="str">
        <f aca="false">IF(B4751="","","outreach_sent")</f>
        <v/>
      </c>
      <c r="G4751" s="23" t="str">
        <f aca="false">IF(B4751="","","")</f>
        <v/>
      </c>
      <c r="H4751" s="23" t="str">
        <f aca="false">IF(B4751="","","")</f>
        <v/>
      </c>
      <c r="I4751" s="23" t="str">
        <f aca="false">IF(B4751="","","")</f>
        <v/>
      </c>
      <c r="J4751" s="23" t="str">
        <f aca="false">IF(B4751="","","touch_3; "&amp;IFERROR(INDEX(Clay_Brands!$A$2:$FZ$601,100,Sync!$D$10)&amp;"","")&amp;"; "&amp;IFERROR(INDEX(Clay_Brands!$A$2:$FZ$601,100,Sync!$D$9)&amp;"",""))</f>
        <v/>
      </c>
      <c r="K4751" s="32" t="s">
        <v>1368</v>
      </c>
    </row>
    <row r="4752" customFormat="false" ht="15" hidden="false" customHeight="false" outlineLevel="0" collapsed="false">
      <c r="A4752" s="23" t="str">
        <f aca="false">IF(B4752="","",B4752+(17*1000+101)/10000000)</f>
        <v/>
      </c>
      <c r="B4752" s="35" t="str">
        <f aca="false">IF(AND(IFERROR(N(INDEX(Clay_Brands!$A$2:$FZ$601,101,Sync!$D$13)),0)&gt;0,IFERROR(INDEX(Clay_Brands!$A$2:$FZ$601,101,Sync!$D$5)&amp;"","")&lt;&gt;"",OR(LEFT(IFERROR(INDEX(Clay_Brands!$A$2:$FZ$601,101,Sync!$D$5)&amp;"",""),6)&lt;&gt;"SAMPLE",Config!$B$19="Y")),IFERROR(N(INDEX(Clay_Brands!$A$2:$FZ$601,101,Sync!$D$13)),0),"")</f>
        <v/>
      </c>
      <c r="C4752" s="23" t="str">
        <f aca="false">IF(B4752="","","brand")</f>
        <v/>
      </c>
      <c r="D4752" s="23" t="str">
        <f aca="false">IF(B4752="","",IFERROR(INDEX(Brand_Log!$DV$2:$DV$201,MATCH(IFERROR(INDEX(Clay_Brands!$A$2:$FZ$601,101,Sync!$D$5)&amp;"",""),Brand_Log!$A$2:$A$201,0))&amp;"",IFERROR(INDEX(Clay_Brands!$A$2:$FZ$601,101,Sync!$D$5)&amp;"","")&amp;""))</f>
        <v/>
      </c>
      <c r="E4752" s="23" t="str">
        <f aca="false">IF(B4752="","",IFERROR(INDEX(Clay_Brands!$A$2:$FZ$601,101,Sync!$D$6)&amp;"",""))</f>
        <v/>
      </c>
      <c r="F4752" s="23" t="str">
        <f aca="false">IF(B4752="","","outreach_sent")</f>
        <v/>
      </c>
      <c r="G4752" s="23" t="str">
        <f aca="false">IF(B4752="","","")</f>
        <v/>
      </c>
      <c r="H4752" s="23" t="str">
        <f aca="false">IF(B4752="","","")</f>
        <v/>
      </c>
      <c r="I4752" s="23" t="str">
        <f aca="false">IF(B4752="","","")</f>
        <v/>
      </c>
      <c r="J4752" s="23" t="str">
        <f aca="false">IF(B4752="","","touch_3; "&amp;IFERROR(INDEX(Clay_Brands!$A$2:$FZ$601,101,Sync!$D$10)&amp;"","")&amp;"; "&amp;IFERROR(INDEX(Clay_Brands!$A$2:$FZ$601,101,Sync!$D$9)&amp;"",""))</f>
        <v/>
      </c>
      <c r="K4752" s="32" t="s">
        <v>1368</v>
      </c>
    </row>
    <row r="4753" customFormat="false" ht="15" hidden="false" customHeight="false" outlineLevel="0" collapsed="false">
      <c r="A4753" s="23" t="str">
        <f aca="false">IF(B4753="","",B4753+(17*1000+102)/10000000)</f>
        <v/>
      </c>
      <c r="B4753" s="35" t="str">
        <f aca="false">IF(AND(IFERROR(N(INDEX(Clay_Brands!$A$2:$FZ$601,102,Sync!$D$13)),0)&gt;0,IFERROR(INDEX(Clay_Brands!$A$2:$FZ$601,102,Sync!$D$5)&amp;"","")&lt;&gt;"",OR(LEFT(IFERROR(INDEX(Clay_Brands!$A$2:$FZ$601,102,Sync!$D$5)&amp;"",""),6)&lt;&gt;"SAMPLE",Config!$B$19="Y")),IFERROR(N(INDEX(Clay_Brands!$A$2:$FZ$601,102,Sync!$D$13)),0),"")</f>
        <v/>
      </c>
      <c r="C4753" s="23" t="str">
        <f aca="false">IF(B4753="","","brand")</f>
        <v/>
      </c>
      <c r="D4753" s="23" t="str">
        <f aca="false">IF(B4753="","",IFERROR(INDEX(Brand_Log!$DV$2:$DV$201,MATCH(IFERROR(INDEX(Clay_Brands!$A$2:$FZ$601,102,Sync!$D$5)&amp;"",""),Brand_Log!$A$2:$A$201,0))&amp;"",IFERROR(INDEX(Clay_Brands!$A$2:$FZ$601,102,Sync!$D$5)&amp;"","")&amp;""))</f>
        <v/>
      </c>
      <c r="E4753" s="23" t="str">
        <f aca="false">IF(B4753="","",IFERROR(INDEX(Clay_Brands!$A$2:$FZ$601,102,Sync!$D$6)&amp;"",""))</f>
        <v/>
      </c>
      <c r="F4753" s="23" t="str">
        <f aca="false">IF(B4753="","","outreach_sent")</f>
        <v/>
      </c>
      <c r="G4753" s="23" t="str">
        <f aca="false">IF(B4753="","","")</f>
        <v/>
      </c>
      <c r="H4753" s="23" t="str">
        <f aca="false">IF(B4753="","","")</f>
        <v/>
      </c>
      <c r="I4753" s="23" t="str">
        <f aca="false">IF(B4753="","","")</f>
        <v/>
      </c>
      <c r="J4753" s="23" t="str">
        <f aca="false">IF(B4753="","","touch_3; "&amp;IFERROR(INDEX(Clay_Brands!$A$2:$FZ$601,102,Sync!$D$10)&amp;"","")&amp;"; "&amp;IFERROR(INDEX(Clay_Brands!$A$2:$FZ$601,102,Sync!$D$9)&amp;"",""))</f>
        <v/>
      </c>
      <c r="K4753" s="32" t="s">
        <v>1368</v>
      </c>
    </row>
    <row r="4754" customFormat="false" ht="15" hidden="false" customHeight="false" outlineLevel="0" collapsed="false">
      <c r="A4754" s="23" t="str">
        <f aca="false">IF(B4754="","",B4754+(17*1000+103)/10000000)</f>
        <v/>
      </c>
      <c r="B4754" s="35" t="str">
        <f aca="false">IF(AND(IFERROR(N(INDEX(Clay_Brands!$A$2:$FZ$601,103,Sync!$D$13)),0)&gt;0,IFERROR(INDEX(Clay_Brands!$A$2:$FZ$601,103,Sync!$D$5)&amp;"","")&lt;&gt;"",OR(LEFT(IFERROR(INDEX(Clay_Brands!$A$2:$FZ$601,103,Sync!$D$5)&amp;"",""),6)&lt;&gt;"SAMPLE",Config!$B$19="Y")),IFERROR(N(INDEX(Clay_Brands!$A$2:$FZ$601,103,Sync!$D$13)),0),"")</f>
        <v/>
      </c>
      <c r="C4754" s="23" t="str">
        <f aca="false">IF(B4754="","","brand")</f>
        <v/>
      </c>
      <c r="D4754" s="23" t="str">
        <f aca="false">IF(B4754="","",IFERROR(INDEX(Brand_Log!$DV$2:$DV$201,MATCH(IFERROR(INDEX(Clay_Brands!$A$2:$FZ$601,103,Sync!$D$5)&amp;"",""),Brand_Log!$A$2:$A$201,0))&amp;"",IFERROR(INDEX(Clay_Brands!$A$2:$FZ$601,103,Sync!$D$5)&amp;"","")&amp;""))</f>
        <v/>
      </c>
      <c r="E4754" s="23" t="str">
        <f aca="false">IF(B4754="","",IFERROR(INDEX(Clay_Brands!$A$2:$FZ$601,103,Sync!$D$6)&amp;"",""))</f>
        <v/>
      </c>
      <c r="F4754" s="23" t="str">
        <f aca="false">IF(B4754="","","outreach_sent")</f>
        <v/>
      </c>
      <c r="G4754" s="23" t="str">
        <f aca="false">IF(B4754="","","")</f>
        <v/>
      </c>
      <c r="H4754" s="23" t="str">
        <f aca="false">IF(B4754="","","")</f>
        <v/>
      </c>
      <c r="I4754" s="23" t="str">
        <f aca="false">IF(B4754="","","")</f>
        <v/>
      </c>
      <c r="J4754" s="23" t="str">
        <f aca="false">IF(B4754="","","touch_3; "&amp;IFERROR(INDEX(Clay_Brands!$A$2:$FZ$601,103,Sync!$D$10)&amp;"","")&amp;"; "&amp;IFERROR(INDEX(Clay_Brands!$A$2:$FZ$601,103,Sync!$D$9)&amp;"",""))</f>
        <v/>
      </c>
      <c r="K4754" s="32" t="s">
        <v>1368</v>
      </c>
    </row>
    <row r="4755" customFormat="false" ht="15" hidden="false" customHeight="false" outlineLevel="0" collapsed="false">
      <c r="A4755" s="23" t="str">
        <f aca="false">IF(B4755="","",B4755+(17*1000+104)/10000000)</f>
        <v/>
      </c>
      <c r="B4755" s="35" t="str">
        <f aca="false">IF(AND(IFERROR(N(INDEX(Clay_Brands!$A$2:$FZ$601,104,Sync!$D$13)),0)&gt;0,IFERROR(INDEX(Clay_Brands!$A$2:$FZ$601,104,Sync!$D$5)&amp;"","")&lt;&gt;"",OR(LEFT(IFERROR(INDEX(Clay_Brands!$A$2:$FZ$601,104,Sync!$D$5)&amp;"",""),6)&lt;&gt;"SAMPLE",Config!$B$19="Y")),IFERROR(N(INDEX(Clay_Brands!$A$2:$FZ$601,104,Sync!$D$13)),0),"")</f>
        <v/>
      </c>
      <c r="C4755" s="23" t="str">
        <f aca="false">IF(B4755="","","brand")</f>
        <v/>
      </c>
      <c r="D4755" s="23" t="str">
        <f aca="false">IF(B4755="","",IFERROR(INDEX(Brand_Log!$DV$2:$DV$201,MATCH(IFERROR(INDEX(Clay_Brands!$A$2:$FZ$601,104,Sync!$D$5)&amp;"",""),Brand_Log!$A$2:$A$201,0))&amp;"",IFERROR(INDEX(Clay_Brands!$A$2:$FZ$601,104,Sync!$D$5)&amp;"","")&amp;""))</f>
        <v/>
      </c>
      <c r="E4755" s="23" t="str">
        <f aca="false">IF(B4755="","",IFERROR(INDEX(Clay_Brands!$A$2:$FZ$601,104,Sync!$D$6)&amp;"",""))</f>
        <v/>
      </c>
      <c r="F4755" s="23" t="str">
        <f aca="false">IF(B4755="","","outreach_sent")</f>
        <v/>
      </c>
      <c r="G4755" s="23" t="str">
        <f aca="false">IF(B4755="","","")</f>
        <v/>
      </c>
      <c r="H4755" s="23" t="str">
        <f aca="false">IF(B4755="","","")</f>
        <v/>
      </c>
      <c r="I4755" s="23" t="str">
        <f aca="false">IF(B4755="","","")</f>
        <v/>
      </c>
      <c r="J4755" s="23" t="str">
        <f aca="false">IF(B4755="","","touch_3; "&amp;IFERROR(INDEX(Clay_Brands!$A$2:$FZ$601,104,Sync!$D$10)&amp;"","")&amp;"; "&amp;IFERROR(INDEX(Clay_Brands!$A$2:$FZ$601,104,Sync!$D$9)&amp;"",""))</f>
        <v/>
      </c>
      <c r="K4755" s="32" t="s">
        <v>1368</v>
      </c>
    </row>
    <row r="4756" customFormat="false" ht="15" hidden="false" customHeight="false" outlineLevel="0" collapsed="false">
      <c r="A4756" s="23" t="str">
        <f aca="false">IF(B4756="","",B4756+(17*1000+105)/10000000)</f>
        <v/>
      </c>
      <c r="B4756" s="35" t="str">
        <f aca="false">IF(AND(IFERROR(N(INDEX(Clay_Brands!$A$2:$FZ$601,105,Sync!$D$13)),0)&gt;0,IFERROR(INDEX(Clay_Brands!$A$2:$FZ$601,105,Sync!$D$5)&amp;"","")&lt;&gt;"",OR(LEFT(IFERROR(INDEX(Clay_Brands!$A$2:$FZ$601,105,Sync!$D$5)&amp;"",""),6)&lt;&gt;"SAMPLE",Config!$B$19="Y")),IFERROR(N(INDEX(Clay_Brands!$A$2:$FZ$601,105,Sync!$D$13)),0),"")</f>
        <v/>
      </c>
      <c r="C4756" s="23" t="str">
        <f aca="false">IF(B4756="","","brand")</f>
        <v/>
      </c>
      <c r="D4756" s="23" t="str">
        <f aca="false">IF(B4756="","",IFERROR(INDEX(Brand_Log!$DV$2:$DV$201,MATCH(IFERROR(INDEX(Clay_Brands!$A$2:$FZ$601,105,Sync!$D$5)&amp;"",""),Brand_Log!$A$2:$A$201,0))&amp;"",IFERROR(INDEX(Clay_Brands!$A$2:$FZ$601,105,Sync!$D$5)&amp;"","")&amp;""))</f>
        <v/>
      </c>
      <c r="E4756" s="23" t="str">
        <f aca="false">IF(B4756="","",IFERROR(INDEX(Clay_Brands!$A$2:$FZ$601,105,Sync!$D$6)&amp;"",""))</f>
        <v/>
      </c>
      <c r="F4756" s="23" t="str">
        <f aca="false">IF(B4756="","","outreach_sent")</f>
        <v/>
      </c>
      <c r="G4756" s="23" t="str">
        <f aca="false">IF(B4756="","","")</f>
        <v/>
      </c>
      <c r="H4756" s="23" t="str">
        <f aca="false">IF(B4756="","","")</f>
        <v/>
      </c>
      <c r="I4756" s="23" t="str">
        <f aca="false">IF(B4756="","","")</f>
        <v/>
      </c>
      <c r="J4756" s="23" t="str">
        <f aca="false">IF(B4756="","","touch_3; "&amp;IFERROR(INDEX(Clay_Brands!$A$2:$FZ$601,105,Sync!$D$10)&amp;"","")&amp;"; "&amp;IFERROR(INDEX(Clay_Brands!$A$2:$FZ$601,105,Sync!$D$9)&amp;"",""))</f>
        <v/>
      </c>
      <c r="K4756" s="32" t="s">
        <v>1368</v>
      </c>
    </row>
    <row r="4757" customFormat="false" ht="15" hidden="false" customHeight="false" outlineLevel="0" collapsed="false">
      <c r="A4757" s="23" t="str">
        <f aca="false">IF(B4757="","",B4757+(17*1000+106)/10000000)</f>
        <v/>
      </c>
      <c r="B4757" s="35" t="str">
        <f aca="false">IF(AND(IFERROR(N(INDEX(Clay_Brands!$A$2:$FZ$601,106,Sync!$D$13)),0)&gt;0,IFERROR(INDEX(Clay_Brands!$A$2:$FZ$601,106,Sync!$D$5)&amp;"","")&lt;&gt;"",OR(LEFT(IFERROR(INDEX(Clay_Brands!$A$2:$FZ$601,106,Sync!$D$5)&amp;"",""),6)&lt;&gt;"SAMPLE",Config!$B$19="Y")),IFERROR(N(INDEX(Clay_Brands!$A$2:$FZ$601,106,Sync!$D$13)),0),"")</f>
        <v/>
      </c>
      <c r="C4757" s="23" t="str">
        <f aca="false">IF(B4757="","","brand")</f>
        <v/>
      </c>
      <c r="D4757" s="23" t="str">
        <f aca="false">IF(B4757="","",IFERROR(INDEX(Brand_Log!$DV$2:$DV$201,MATCH(IFERROR(INDEX(Clay_Brands!$A$2:$FZ$601,106,Sync!$D$5)&amp;"",""),Brand_Log!$A$2:$A$201,0))&amp;"",IFERROR(INDEX(Clay_Brands!$A$2:$FZ$601,106,Sync!$D$5)&amp;"","")&amp;""))</f>
        <v/>
      </c>
      <c r="E4757" s="23" t="str">
        <f aca="false">IF(B4757="","",IFERROR(INDEX(Clay_Brands!$A$2:$FZ$601,106,Sync!$D$6)&amp;"",""))</f>
        <v/>
      </c>
      <c r="F4757" s="23" t="str">
        <f aca="false">IF(B4757="","","outreach_sent")</f>
        <v/>
      </c>
      <c r="G4757" s="23" t="str">
        <f aca="false">IF(B4757="","","")</f>
        <v/>
      </c>
      <c r="H4757" s="23" t="str">
        <f aca="false">IF(B4757="","","")</f>
        <v/>
      </c>
      <c r="I4757" s="23" t="str">
        <f aca="false">IF(B4757="","","")</f>
        <v/>
      </c>
      <c r="J4757" s="23" t="str">
        <f aca="false">IF(B4757="","","touch_3; "&amp;IFERROR(INDEX(Clay_Brands!$A$2:$FZ$601,106,Sync!$D$10)&amp;"","")&amp;"; "&amp;IFERROR(INDEX(Clay_Brands!$A$2:$FZ$601,106,Sync!$D$9)&amp;"",""))</f>
        <v/>
      </c>
      <c r="K4757" s="32" t="s">
        <v>1368</v>
      </c>
    </row>
    <row r="4758" customFormat="false" ht="15" hidden="false" customHeight="false" outlineLevel="0" collapsed="false">
      <c r="A4758" s="23" t="str">
        <f aca="false">IF(B4758="","",B4758+(17*1000+107)/10000000)</f>
        <v/>
      </c>
      <c r="B4758" s="35" t="str">
        <f aca="false">IF(AND(IFERROR(N(INDEX(Clay_Brands!$A$2:$FZ$601,107,Sync!$D$13)),0)&gt;0,IFERROR(INDEX(Clay_Brands!$A$2:$FZ$601,107,Sync!$D$5)&amp;"","")&lt;&gt;"",OR(LEFT(IFERROR(INDEX(Clay_Brands!$A$2:$FZ$601,107,Sync!$D$5)&amp;"",""),6)&lt;&gt;"SAMPLE",Config!$B$19="Y")),IFERROR(N(INDEX(Clay_Brands!$A$2:$FZ$601,107,Sync!$D$13)),0),"")</f>
        <v/>
      </c>
      <c r="C4758" s="23" t="str">
        <f aca="false">IF(B4758="","","brand")</f>
        <v/>
      </c>
      <c r="D4758" s="23" t="str">
        <f aca="false">IF(B4758="","",IFERROR(INDEX(Brand_Log!$DV$2:$DV$201,MATCH(IFERROR(INDEX(Clay_Brands!$A$2:$FZ$601,107,Sync!$D$5)&amp;"",""),Brand_Log!$A$2:$A$201,0))&amp;"",IFERROR(INDEX(Clay_Brands!$A$2:$FZ$601,107,Sync!$D$5)&amp;"","")&amp;""))</f>
        <v/>
      </c>
      <c r="E4758" s="23" t="str">
        <f aca="false">IF(B4758="","",IFERROR(INDEX(Clay_Brands!$A$2:$FZ$601,107,Sync!$D$6)&amp;"",""))</f>
        <v/>
      </c>
      <c r="F4758" s="23" t="str">
        <f aca="false">IF(B4758="","","outreach_sent")</f>
        <v/>
      </c>
      <c r="G4758" s="23" t="str">
        <f aca="false">IF(B4758="","","")</f>
        <v/>
      </c>
      <c r="H4758" s="23" t="str">
        <f aca="false">IF(B4758="","","")</f>
        <v/>
      </c>
      <c r="I4758" s="23" t="str">
        <f aca="false">IF(B4758="","","")</f>
        <v/>
      </c>
      <c r="J4758" s="23" t="str">
        <f aca="false">IF(B4758="","","touch_3; "&amp;IFERROR(INDEX(Clay_Brands!$A$2:$FZ$601,107,Sync!$D$10)&amp;"","")&amp;"; "&amp;IFERROR(INDEX(Clay_Brands!$A$2:$FZ$601,107,Sync!$D$9)&amp;"",""))</f>
        <v/>
      </c>
      <c r="K4758" s="32" t="s">
        <v>1368</v>
      </c>
    </row>
    <row r="4759" customFormat="false" ht="15" hidden="false" customHeight="false" outlineLevel="0" collapsed="false">
      <c r="A4759" s="23" t="str">
        <f aca="false">IF(B4759="","",B4759+(17*1000+108)/10000000)</f>
        <v/>
      </c>
      <c r="B4759" s="35" t="str">
        <f aca="false">IF(AND(IFERROR(N(INDEX(Clay_Brands!$A$2:$FZ$601,108,Sync!$D$13)),0)&gt;0,IFERROR(INDEX(Clay_Brands!$A$2:$FZ$601,108,Sync!$D$5)&amp;"","")&lt;&gt;"",OR(LEFT(IFERROR(INDEX(Clay_Brands!$A$2:$FZ$601,108,Sync!$D$5)&amp;"",""),6)&lt;&gt;"SAMPLE",Config!$B$19="Y")),IFERROR(N(INDEX(Clay_Brands!$A$2:$FZ$601,108,Sync!$D$13)),0),"")</f>
        <v/>
      </c>
      <c r="C4759" s="23" t="str">
        <f aca="false">IF(B4759="","","brand")</f>
        <v/>
      </c>
      <c r="D4759" s="23" t="str">
        <f aca="false">IF(B4759="","",IFERROR(INDEX(Brand_Log!$DV$2:$DV$201,MATCH(IFERROR(INDEX(Clay_Brands!$A$2:$FZ$601,108,Sync!$D$5)&amp;"",""),Brand_Log!$A$2:$A$201,0))&amp;"",IFERROR(INDEX(Clay_Brands!$A$2:$FZ$601,108,Sync!$D$5)&amp;"","")&amp;""))</f>
        <v/>
      </c>
      <c r="E4759" s="23" t="str">
        <f aca="false">IF(B4759="","",IFERROR(INDEX(Clay_Brands!$A$2:$FZ$601,108,Sync!$D$6)&amp;"",""))</f>
        <v/>
      </c>
      <c r="F4759" s="23" t="str">
        <f aca="false">IF(B4759="","","outreach_sent")</f>
        <v/>
      </c>
      <c r="G4759" s="23" t="str">
        <f aca="false">IF(B4759="","","")</f>
        <v/>
      </c>
      <c r="H4759" s="23" t="str">
        <f aca="false">IF(B4759="","","")</f>
        <v/>
      </c>
      <c r="I4759" s="23" t="str">
        <f aca="false">IF(B4759="","","")</f>
        <v/>
      </c>
      <c r="J4759" s="23" t="str">
        <f aca="false">IF(B4759="","","touch_3; "&amp;IFERROR(INDEX(Clay_Brands!$A$2:$FZ$601,108,Sync!$D$10)&amp;"","")&amp;"; "&amp;IFERROR(INDEX(Clay_Brands!$A$2:$FZ$601,108,Sync!$D$9)&amp;"",""))</f>
        <v/>
      </c>
      <c r="K4759" s="32" t="s">
        <v>1368</v>
      </c>
    </row>
    <row r="4760" customFormat="false" ht="15" hidden="false" customHeight="false" outlineLevel="0" collapsed="false">
      <c r="A4760" s="23" t="str">
        <f aca="false">IF(B4760="","",B4760+(17*1000+109)/10000000)</f>
        <v/>
      </c>
      <c r="B4760" s="35" t="str">
        <f aca="false">IF(AND(IFERROR(N(INDEX(Clay_Brands!$A$2:$FZ$601,109,Sync!$D$13)),0)&gt;0,IFERROR(INDEX(Clay_Brands!$A$2:$FZ$601,109,Sync!$D$5)&amp;"","")&lt;&gt;"",OR(LEFT(IFERROR(INDEX(Clay_Brands!$A$2:$FZ$601,109,Sync!$D$5)&amp;"",""),6)&lt;&gt;"SAMPLE",Config!$B$19="Y")),IFERROR(N(INDEX(Clay_Brands!$A$2:$FZ$601,109,Sync!$D$13)),0),"")</f>
        <v/>
      </c>
      <c r="C4760" s="23" t="str">
        <f aca="false">IF(B4760="","","brand")</f>
        <v/>
      </c>
      <c r="D4760" s="23" t="str">
        <f aca="false">IF(B4760="","",IFERROR(INDEX(Brand_Log!$DV$2:$DV$201,MATCH(IFERROR(INDEX(Clay_Brands!$A$2:$FZ$601,109,Sync!$D$5)&amp;"",""),Brand_Log!$A$2:$A$201,0))&amp;"",IFERROR(INDEX(Clay_Brands!$A$2:$FZ$601,109,Sync!$D$5)&amp;"","")&amp;""))</f>
        <v/>
      </c>
      <c r="E4760" s="23" t="str">
        <f aca="false">IF(B4760="","",IFERROR(INDEX(Clay_Brands!$A$2:$FZ$601,109,Sync!$D$6)&amp;"",""))</f>
        <v/>
      </c>
      <c r="F4760" s="23" t="str">
        <f aca="false">IF(B4760="","","outreach_sent")</f>
        <v/>
      </c>
      <c r="G4760" s="23" t="str">
        <f aca="false">IF(B4760="","","")</f>
        <v/>
      </c>
      <c r="H4760" s="23" t="str">
        <f aca="false">IF(B4760="","","")</f>
        <v/>
      </c>
      <c r="I4760" s="23" t="str">
        <f aca="false">IF(B4760="","","")</f>
        <v/>
      </c>
      <c r="J4760" s="23" t="str">
        <f aca="false">IF(B4760="","","touch_3; "&amp;IFERROR(INDEX(Clay_Brands!$A$2:$FZ$601,109,Sync!$D$10)&amp;"","")&amp;"; "&amp;IFERROR(INDEX(Clay_Brands!$A$2:$FZ$601,109,Sync!$D$9)&amp;"",""))</f>
        <v/>
      </c>
      <c r="K4760" s="32" t="s">
        <v>1368</v>
      </c>
    </row>
    <row r="4761" customFormat="false" ht="15" hidden="false" customHeight="false" outlineLevel="0" collapsed="false">
      <c r="A4761" s="23" t="str">
        <f aca="false">IF(B4761="","",B4761+(17*1000+110)/10000000)</f>
        <v/>
      </c>
      <c r="B4761" s="35" t="str">
        <f aca="false">IF(AND(IFERROR(N(INDEX(Clay_Brands!$A$2:$FZ$601,110,Sync!$D$13)),0)&gt;0,IFERROR(INDEX(Clay_Brands!$A$2:$FZ$601,110,Sync!$D$5)&amp;"","")&lt;&gt;"",OR(LEFT(IFERROR(INDEX(Clay_Brands!$A$2:$FZ$601,110,Sync!$D$5)&amp;"",""),6)&lt;&gt;"SAMPLE",Config!$B$19="Y")),IFERROR(N(INDEX(Clay_Brands!$A$2:$FZ$601,110,Sync!$D$13)),0),"")</f>
        <v/>
      </c>
      <c r="C4761" s="23" t="str">
        <f aca="false">IF(B4761="","","brand")</f>
        <v/>
      </c>
      <c r="D4761" s="23" t="str">
        <f aca="false">IF(B4761="","",IFERROR(INDEX(Brand_Log!$DV$2:$DV$201,MATCH(IFERROR(INDEX(Clay_Brands!$A$2:$FZ$601,110,Sync!$D$5)&amp;"",""),Brand_Log!$A$2:$A$201,0))&amp;"",IFERROR(INDEX(Clay_Brands!$A$2:$FZ$601,110,Sync!$D$5)&amp;"","")&amp;""))</f>
        <v/>
      </c>
      <c r="E4761" s="23" t="str">
        <f aca="false">IF(B4761="","",IFERROR(INDEX(Clay_Brands!$A$2:$FZ$601,110,Sync!$D$6)&amp;"",""))</f>
        <v/>
      </c>
      <c r="F4761" s="23" t="str">
        <f aca="false">IF(B4761="","","outreach_sent")</f>
        <v/>
      </c>
      <c r="G4761" s="23" t="str">
        <f aca="false">IF(B4761="","","")</f>
        <v/>
      </c>
      <c r="H4761" s="23" t="str">
        <f aca="false">IF(B4761="","","")</f>
        <v/>
      </c>
      <c r="I4761" s="23" t="str">
        <f aca="false">IF(B4761="","","")</f>
        <v/>
      </c>
      <c r="J4761" s="23" t="str">
        <f aca="false">IF(B4761="","","touch_3; "&amp;IFERROR(INDEX(Clay_Brands!$A$2:$FZ$601,110,Sync!$D$10)&amp;"","")&amp;"; "&amp;IFERROR(INDEX(Clay_Brands!$A$2:$FZ$601,110,Sync!$D$9)&amp;"",""))</f>
        <v/>
      </c>
      <c r="K4761" s="32" t="s">
        <v>1368</v>
      </c>
    </row>
    <row r="4762" customFormat="false" ht="15" hidden="false" customHeight="false" outlineLevel="0" collapsed="false">
      <c r="A4762" s="23" t="str">
        <f aca="false">IF(B4762="","",B4762+(17*1000+111)/10000000)</f>
        <v/>
      </c>
      <c r="B4762" s="35" t="str">
        <f aca="false">IF(AND(IFERROR(N(INDEX(Clay_Brands!$A$2:$FZ$601,111,Sync!$D$13)),0)&gt;0,IFERROR(INDEX(Clay_Brands!$A$2:$FZ$601,111,Sync!$D$5)&amp;"","")&lt;&gt;"",OR(LEFT(IFERROR(INDEX(Clay_Brands!$A$2:$FZ$601,111,Sync!$D$5)&amp;"",""),6)&lt;&gt;"SAMPLE",Config!$B$19="Y")),IFERROR(N(INDEX(Clay_Brands!$A$2:$FZ$601,111,Sync!$D$13)),0),"")</f>
        <v/>
      </c>
      <c r="C4762" s="23" t="str">
        <f aca="false">IF(B4762="","","brand")</f>
        <v/>
      </c>
      <c r="D4762" s="23" t="str">
        <f aca="false">IF(B4762="","",IFERROR(INDEX(Brand_Log!$DV$2:$DV$201,MATCH(IFERROR(INDEX(Clay_Brands!$A$2:$FZ$601,111,Sync!$D$5)&amp;"",""),Brand_Log!$A$2:$A$201,0))&amp;"",IFERROR(INDEX(Clay_Brands!$A$2:$FZ$601,111,Sync!$D$5)&amp;"","")&amp;""))</f>
        <v/>
      </c>
      <c r="E4762" s="23" t="str">
        <f aca="false">IF(B4762="","",IFERROR(INDEX(Clay_Brands!$A$2:$FZ$601,111,Sync!$D$6)&amp;"",""))</f>
        <v/>
      </c>
      <c r="F4762" s="23" t="str">
        <f aca="false">IF(B4762="","","outreach_sent")</f>
        <v/>
      </c>
      <c r="G4762" s="23" t="str">
        <f aca="false">IF(B4762="","","")</f>
        <v/>
      </c>
      <c r="H4762" s="23" t="str">
        <f aca="false">IF(B4762="","","")</f>
        <v/>
      </c>
      <c r="I4762" s="23" t="str">
        <f aca="false">IF(B4762="","","")</f>
        <v/>
      </c>
      <c r="J4762" s="23" t="str">
        <f aca="false">IF(B4762="","","touch_3; "&amp;IFERROR(INDEX(Clay_Brands!$A$2:$FZ$601,111,Sync!$D$10)&amp;"","")&amp;"; "&amp;IFERROR(INDEX(Clay_Brands!$A$2:$FZ$601,111,Sync!$D$9)&amp;"",""))</f>
        <v/>
      </c>
      <c r="K4762" s="32" t="s">
        <v>1368</v>
      </c>
    </row>
    <row r="4763" customFormat="false" ht="15" hidden="false" customHeight="false" outlineLevel="0" collapsed="false">
      <c r="A4763" s="23" t="str">
        <f aca="false">IF(B4763="","",B4763+(17*1000+112)/10000000)</f>
        <v/>
      </c>
      <c r="B4763" s="35" t="str">
        <f aca="false">IF(AND(IFERROR(N(INDEX(Clay_Brands!$A$2:$FZ$601,112,Sync!$D$13)),0)&gt;0,IFERROR(INDEX(Clay_Brands!$A$2:$FZ$601,112,Sync!$D$5)&amp;"","")&lt;&gt;"",OR(LEFT(IFERROR(INDEX(Clay_Brands!$A$2:$FZ$601,112,Sync!$D$5)&amp;"",""),6)&lt;&gt;"SAMPLE",Config!$B$19="Y")),IFERROR(N(INDEX(Clay_Brands!$A$2:$FZ$601,112,Sync!$D$13)),0),"")</f>
        <v/>
      </c>
      <c r="C4763" s="23" t="str">
        <f aca="false">IF(B4763="","","brand")</f>
        <v/>
      </c>
      <c r="D4763" s="23" t="str">
        <f aca="false">IF(B4763="","",IFERROR(INDEX(Brand_Log!$DV$2:$DV$201,MATCH(IFERROR(INDEX(Clay_Brands!$A$2:$FZ$601,112,Sync!$D$5)&amp;"",""),Brand_Log!$A$2:$A$201,0))&amp;"",IFERROR(INDEX(Clay_Brands!$A$2:$FZ$601,112,Sync!$D$5)&amp;"","")&amp;""))</f>
        <v/>
      </c>
      <c r="E4763" s="23" t="str">
        <f aca="false">IF(B4763="","",IFERROR(INDEX(Clay_Brands!$A$2:$FZ$601,112,Sync!$D$6)&amp;"",""))</f>
        <v/>
      </c>
      <c r="F4763" s="23" t="str">
        <f aca="false">IF(B4763="","","outreach_sent")</f>
        <v/>
      </c>
      <c r="G4763" s="23" t="str">
        <f aca="false">IF(B4763="","","")</f>
        <v/>
      </c>
      <c r="H4763" s="23" t="str">
        <f aca="false">IF(B4763="","","")</f>
        <v/>
      </c>
      <c r="I4763" s="23" t="str">
        <f aca="false">IF(B4763="","","")</f>
        <v/>
      </c>
      <c r="J4763" s="23" t="str">
        <f aca="false">IF(B4763="","","touch_3; "&amp;IFERROR(INDEX(Clay_Brands!$A$2:$FZ$601,112,Sync!$D$10)&amp;"","")&amp;"; "&amp;IFERROR(INDEX(Clay_Brands!$A$2:$FZ$601,112,Sync!$D$9)&amp;"",""))</f>
        <v/>
      </c>
      <c r="K4763" s="32" t="s">
        <v>1368</v>
      </c>
    </row>
    <row r="4764" customFormat="false" ht="15" hidden="false" customHeight="false" outlineLevel="0" collapsed="false">
      <c r="A4764" s="23" t="str">
        <f aca="false">IF(B4764="","",B4764+(17*1000+113)/10000000)</f>
        <v/>
      </c>
      <c r="B4764" s="35" t="str">
        <f aca="false">IF(AND(IFERROR(N(INDEX(Clay_Brands!$A$2:$FZ$601,113,Sync!$D$13)),0)&gt;0,IFERROR(INDEX(Clay_Brands!$A$2:$FZ$601,113,Sync!$D$5)&amp;"","")&lt;&gt;"",OR(LEFT(IFERROR(INDEX(Clay_Brands!$A$2:$FZ$601,113,Sync!$D$5)&amp;"",""),6)&lt;&gt;"SAMPLE",Config!$B$19="Y")),IFERROR(N(INDEX(Clay_Brands!$A$2:$FZ$601,113,Sync!$D$13)),0),"")</f>
        <v/>
      </c>
      <c r="C4764" s="23" t="str">
        <f aca="false">IF(B4764="","","brand")</f>
        <v/>
      </c>
      <c r="D4764" s="23" t="str">
        <f aca="false">IF(B4764="","",IFERROR(INDEX(Brand_Log!$DV$2:$DV$201,MATCH(IFERROR(INDEX(Clay_Brands!$A$2:$FZ$601,113,Sync!$D$5)&amp;"",""),Brand_Log!$A$2:$A$201,0))&amp;"",IFERROR(INDEX(Clay_Brands!$A$2:$FZ$601,113,Sync!$D$5)&amp;"","")&amp;""))</f>
        <v/>
      </c>
      <c r="E4764" s="23" t="str">
        <f aca="false">IF(B4764="","",IFERROR(INDEX(Clay_Brands!$A$2:$FZ$601,113,Sync!$D$6)&amp;"",""))</f>
        <v/>
      </c>
      <c r="F4764" s="23" t="str">
        <f aca="false">IF(B4764="","","outreach_sent")</f>
        <v/>
      </c>
      <c r="G4764" s="23" t="str">
        <f aca="false">IF(B4764="","","")</f>
        <v/>
      </c>
      <c r="H4764" s="23" t="str">
        <f aca="false">IF(B4764="","","")</f>
        <v/>
      </c>
      <c r="I4764" s="23" t="str">
        <f aca="false">IF(B4764="","","")</f>
        <v/>
      </c>
      <c r="J4764" s="23" t="str">
        <f aca="false">IF(B4764="","","touch_3; "&amp;IFERROR(INDEX(Clay_Brands!$A$2:$FZ$601,113,Sync!$D$10)&amp;"","")&amp;"; "&amp;IFERROR(INDEX(Clay_Brands!$A$2:$FZ$601,113,Sync!$D$9)&amp;"",""))</f>
        <v/>
      </c>
      <c r="K4764" s="32" t="s">
        <v>1368</v>
      </c>
    </row>
    <row r="4765" customFormat="false" ht="15" hidden="false" customHeight="false" outlineLevel="0" collapsed="false">
      <c r="A4765" s="23" t="str">
        <f aca="false">IF(B4765="","",B4765+(17*1000+114)/10000000)</f>
        <v/>
      </c>
      <c r="B4765" s="35" t="str">
        <f aca="false">IF(AND(IFERROR(N(INDEX(Clay_Brands!$A$2:$FZ$601,114,Sync!$D$13)),0)&gt;0,IFERROR(INDEX(Clay_Brands!$A$2:$FZ$601,114,Sync!$D$5)&amp;"","")&lt;&gt;"",OR(LEFT(IFERROR(INDEX(Clay_Brands!$A$2:$FZ$601,114,Sync!$D$5)&amp;"",""),6)&lt;&gt;"SAMPLE",Config!$B$19="Y")),IFERROR(N(INDEX(Clay_Brands!$A$2:$FZ$601,114,Sync!$D$13)),0),"")</f>
        <v/>
      </c>
      <c r="C4765" s="23" t="str">
        <f aca="false">IF(B4765="","","brand")</f>
        <v/>
      </c>
      <c r="D4765" s="23" t="str">
        <f aca="false">IF(B4765="","",IFERROR(INDEX(Brand_Log!$DV$2:$DV$201,MATCH(IFERROR(INDEX(Clay_Brands!$A$2:$FZ$601,114,Sync!$D$5)&amp;"",""),Brand_Log!$A$2:$A$201,0))&amp;"",IFERROR(INDEX(Clay_Brands!$A$2:$FZ$601,114,Sync!$D$5)&amp;"","")&amp;""))</f>
        <v/>
      </c>
      <c r="E4765" s="23" t="str">
        <f aca="false">IF(B4765="","",IFERROR(INDEX(Clay_Brands!$A$2:$FZ$601,114,Sync!$D$6)&amp;"",""))</f>
        <v/>
      </c>
      <c r="F4765" s="23" t="str">
        <f aca="false">IF(B4765="","","outreach_sent")</f>
        <v/>
      </c>
      <c r="G4765" s="23" t="str">
        <f aca="false">IF(B4765="","","")</f>
        <v/>
      </c>
      <c r="H4765" s="23" t="str">
        <f aca="false">IF(B4765="","","")</f>
        <v/>
      </c>
      <c r="I4765" s="23" t="str">
        <f aca="false">IF(B4765="","","")</f>
        <v/>
      </c>
      <c r="J4765" s="23" t="str">
        <f aca="false">IF(B4765="","","touch_3; "&amp;IFERROR(INDEX(Clay_Brands!$A$2:$FZ$601,114,Sync!$D$10)&amp;"","")&amp;"; "&amp;IFERROR(INDEX(Clay_Brands!$A$2:$FZ$601,114,Sync!$D$9)&amp;"",""))</f>
        <v/>
      </c>
      <c r="K4765" s="32" t="s">
        <v>1368</v>
      </c>
    </row>
    <row r="4766" customFormat="false" ht="15" hidden="false" customHeight="false" outlineLevel="0" collapsed="false">
      <c r="A4766" s="23" t="str">
        <f aca="false">IF(B4766="","",B4766+(17*1000+115)/10000000)</f>
        <v/>
      </c>
      <c r="B4766" s="35" t="str">
        <f aca="false">IF(AND(IFERROR(N(INDEX(Clay_Brands!$A$2:$FZ$601,115,Sync!$D$13)),0)&gt;0,IFERROR(INDEX(Clay_Brands!$A$2:$FZ$601,115,Sync!$D$5)&amp;"","")&lt;&gt;"",OR(LEFT(IFERROR(INDEX(Clay_Brands!$A$2:$FZ$601,115,Sync!$D$5)&amp;"",""),6)&lt;&gt;"SAMPLE",Config!$B$19="Y")),IFERROR(N(INDEX(Clay_Brands!$A$2:$FZ$601,115,Sync!$D$13)),0),"")</f>
        <v/>
      </c>
      <c r="C4766" s="23" t="str">
        <f aca="false">IF(B4766="","","brand")</f>
        <v/>
      </c>
      <c r="D4766" s="23" t="str">
        <f aca="false">IF(B4766="","",IFERROR(INDEX(Brand_Log!$DV$2:$DV$201,MATCH(IFERROR(INDEX(Clay_Brands!$A$2:$FZ$601,115,Sync!$D$5)&amp;"",""),Brand_Log!$A$2:$A$201,0))&amp;"",IFERROR(INDEX(Clay_Brands!$A$2:$FZ$601,115,Sync!$D$5)&amp;"","")&amp;""))</f>
        <v/>
      </c>
      <c r="E4766" s="23" t="str">
        <f aca="false">IF(B4766="","",IFERROR(INDEX(Clay_Brands!$A$2:$FZ$601,115,Sync!$D$6)&amp;"",""))</f>
        <v/>
      </c>
      <c r="F4766" s="23" t="str">
        <f aca="false">IF(B4766="","","outreach_sent")</f>
        <v/>
      </c>
      <c r="G4766" s="23" t="str">
        <f aca="false">IF(B4766="","","")</f>
        <v/>
      </c>
      <c r="H4766" s="23" t="str">
        <f aca="false">IF(B4766="","","")</f>
        <v/>
      </c>
      <c r="I4766" s="23" t="str">
        <f aca="false">IF(B4766="","","")</f>
        <v/>
      </c>
      <c r="J4766" s="23" t="str">
        <f aca="false">IF(B4766="","","touch_3; "&amp;IFERROR(INDEX(Clay_Brands!$A$2:$FZ$601,115,Sync!$D$10)&amp;"","")&amp;"; "&amp;IFERROR(INDEX(Clay_Brands!$A$2:$FZ$601,115,Sync!$D$9)&amp;"",""))</f>
        <v/>
      </c>
      <c r="K4766" s="32" t="s">
        <v>1368</v>
      </c>
    </row>
    <row r="4767" customFormat="false" ht="15" hidden="false" customHeight="false" outlineLevel="0" collapsed="false">
      <c r="A4767" s="23" t="str">
        <f aca="false">IF(B4767="","",B4767+(17*1000+116)/10000000)</f>
        <v/>
      </c>
      <c r="B4767" s="35" t="str">
        <f aca="false">IF(AND(IFERROR(N(INDEX(Clay_Brands!$A$2:$FZ$601,116,Sync!$D$13)),0)&gt;0,IFERROR(INDEX(Clay_Brands!$A$2:$FZ$601,116,Sync!$D$5)&amp;"","")&lt;&gt;"",OR(LEFT(IFERROR(INDEX(Clay_Brands!$A$2:$FZ$601,116,Sync!$D$5)&amp;"",""),6)&lt;&gt;"SAMPLE",Config!$B$19="Y")),IFERROR(N(INDEX(Clay_Brands!$A$2:$FZ$601,116,Sync!$D$13)),0),"")</f>
        <v/>
      </c>
      <c r="C4767" s="23" t="str">
        <f aca="false">IF(B4767="","","brand")</f>
        <v/>
      </c>
      <c r="D4767" s="23" t="str">
        <f aca="false">IF(B4767="","",IFERROR(INDEX(Brand_Log!$DV$2:$DV$201,MATCH(IFERROR(INDEX(Clay_Brands!$A$2:$FZ$601,116,Sync!$D$5)&amp;"",""),Brand_Log!$A$2:$A$201,0))&amp;"",IFERROR(INDEX(Clay_Brands!$A$2:$FZ$601,116,Sync!$D$5)&amp;"","")&amp;""))</f>
        <v/>
      </c>
      <c r="E4767" s="23" t="str">
        <f aca="false">IF(B4767="","",IFERROR(INDEX(Clay_Brands!$A$2:$FZ$601,116,Sync!$D$6)&amp;"",""))</f>
        <v/>
      </c>
      <c r="F4767" s="23" t="str">
        <f aca="false">IF(B4767="","","outreach_sent")</f>
        <v/>
      </c>
      <c r="G4767" s="23" t="str">
        <f aca="false">IF(B4767="","","")</f>
        <v/>
      </c>
      <c r="H4767" s="23" t="str">
        <f aca="false">IF(B4767="","","")</f>
        <v/>
      </c>
      <c r="I4767" s="23" t="str">
        <f aca="false">IF(B4767="","","")</f>
        <v/>
      </c>
      <c r="J4767" s="23" t="str">
        <f aca="false">IF(B4767="","","touch_3; "&amp;IFERROR(INDEX(Clay_Brands!$A$2:$FZ$601,116,Sync!$D$10)&amp;"","")&amp;"; "&amp;IFERROR(INDEX(Clay_Brands!$A$2:$FZ$601,116,Sync!$D$9)&amp;"",""))</f>
        <v/>
      </c>
      <c r="K4767" s="32" t="s">
        <v>1368</v>
      </c>
    </row>
    <row r="4768" customFormat="false" ht="15" hidden="false" customHeight="false" outlineLevel="0" collapsed="false">
      <c r="A4768" s="23" t="str">
        <f aca="false">IF(B4768="","",B4768+(17*1000+117)/10000000)</f>
        <v/>
      </c>
      <c r="B4768" s="35" t="str">
        <f aca="false">IF(AND(IFERROR(N(INDEX(Clay_Brands!$A$2:$FZ$601,117,Sync!$D$13)),0)&gt;0,IFERROR(INDEX(Clay_Brands!$A$2:$FZ$601,117,Sync!$D$5)&amp;"","")&lt;&gt;"",OR(LEFT(IFERROR(INDEX(Clay_Brands!$A$2:$FZ$601,117,Sync!$D$5)&amp;"",""),6)&lt;&gt;"SAMPLE",Config!$B$19="Y")),IFERROR(N(INDEX(Clay_Brands!$A$2:$FZ$601,117,Sync!$D$13)),0),"")</f>
        <v/>
      </c>
      <c r="C4768" s="23" t="str">
        <f aca="false">IF(B4768="","","brand")</f>
        <v/>
      </c>
      <c r="D4768" s="23" t="str">
        <f aca="false">IF(B4768="","",IFERROR(INDEX(Brand_Log!$DV$2:$DV$201,MATCH(IFERROR(INDEX(Clay_Brands!$A$2:$FZ$601,117,Sync!$D$5)&amp;"",""),Brand_Log!$A$2:$A$201,0))&amp;"",IFERROR(INDEX(Clay_Brands!$A$2:$FZ$601,117,Sync!$D$5)&amp;"","")&amp;""))</f>
        <v/>
      </c>
      <c r="E4768" s="23" t="str">
        <f aca="false">IF(B4768="","",IFERROR(INDEX(Clay_Brands!$A$2:$FZ$601,117,Sync!$D$6)&amp;"",""))</f>
        <v/>
      </c>
      <c r="F4768" s="23" t="str">
        <f aca="false">IF(B4768="","","outreach_sent")</f>
        <v/>
      </c>
      <c r="G4768" s="23" t="str">
        <f aca="false">IF(B4768="","","")</f>
        <v/>
      </c>
      <c r="H4768" s="23" t="str">
        <f aca="false">IF(B4768="","","")</f>
        <v/>
      </c>
      <c r="I4768" s="23" t="str">
        <f aca="false">IF(B4768="","","")</f>
        <v/>
      </c>
      <c r="J4768" s="23" t="str">
        <f aca="false">IF(B4768="","","touch_3; "&amp;IFERROR(INDEX(Clay_Brands!$A$2:$FZ$601,117,Sync!$D$10)&amp;"","")&amp;"; "&amp;IFERROR(INDEX(Clay_Brands!$A$2:$FZ$601,117,Sync!$D$9)&amp;"",""))</f>
        <v/>
      </c>
      <c r="K4768" s="32" t="s">
        <v>1368</v>
      </c>
    </row>
    <row r="4769" customFormat="false" ht="15" hidden="false" customHeight="false" outlineLevel="0" collapsed="false">
      <c r="A4769" s="23" t="str">
        <f aca="false">IF(B4769="","",B4769+(17*1000+118)/10000000)</f>
        <v/>
      </c>
      <c r="B4769" s="35" t="str">
        <f aca="false">IF(AND(IFERROR(N(INDEX(Clay_Brands!$A$2:$FZ$601,118,Sync!$D$13)),0)&gt;0,IFERROR(INDEX(Clay_Brands!$A$2:$FZ$601,118,Sync!$D$5)&amp;"","")&lt;&gt;"",OR(LEFT(IFERROR(INDEX(Clay_Brands!$A$2:$FZ$601,118,Sync!$D$5)&amp;"",""),6)&lt;&gt;"SAMPLE",Config!$B$19="Y")),IFERROR(N(INDEX(Clay_Brands!$A$2:$FZ$601,118,Sync!$D$13)),0),"")</f>
        <v/>
      </c>
      <c r="C4769" s="23" t="str">
        <f aca="false">IF(B4769="","","brand")</f>
        <v/>
      </c>
      <c r="D4769" s="23" t="str">
        <f aca="false">IF(B4769="","",IFERROR(INDEX(Brand_Log!$DV$2:$DV$201,MATCH(IFERROR(INDEX(Clay_Brands!$A$2:$FZ$601,118,Sync!$D$5)&amp;"",""),Brand_Log!$A$2:$A$201,0))&amp;"",IFERROR(INDEX(Clay_Brands!$A$2:$FZ$601,118,Sync!$D$5)&amp;"","")&amp;""))</f>
        <v/>
      </c>
      <c r="E4769" s="23" t="str">
        <f aca="false">IF(B4769="","",IFERROR(INDEX(Clay_Brands!$A$2:$FZ$601,118,Sync!$D$6)&amp;"",""))</f>
        <v/>
      </c>
      <c r="F4769" s="23" t="str">
        <f aca="false">IF(B4769="","","outreach_sent")</f>
        <v/>
      </c>
      <c r="G4769" s="23" t="str">
        <f aca="false">IF(B4769="","","")</f>
        <v/>
      </c>
      <c r="H4769" s="23" t="str">
        <f aca="false">IF(B4769="","","")</f>
        <v/>
      </c>
      <c r="I4769" s="23" t="str">
        <f aca="false">IF(B4769="","","")</f>
        <v/>
      </c>
      <c r="J4769" s="23" t="str">
        <f aca="false">IF(B4769="","","touch_3; "&amp;IFERROR(INDEX(Clay_Brands!$A$2:$FZ$601,118,Sync!$D$10)&amp;"","")&amp;"; "&amp;IFERROR(INDEX(Clay_Brands!$A$2:$FZ$601,118,Sync!$D$9)&amp;"",""))</f>
        <v/>
      </c>
      <c r="K4769" s="32" t="s">
        <v>1368</v>
      </c>
    </row>
    <row r="4770" customFormat="false" ht="15" hidden="false" customHeight="false" outlineLevel="0" collapsed="false">
      <c r="A4770" s="23" t="str">
        <f aca="false">IF(B4770="","",B4770+(17*1000+119)/10000000)</f>
        <v/>
      </c>
      <c r="B4770" s="35" t="str">
        <f aca="false">IF(AND(IFERROR(N(INDEX(Clay_Brands!$A$2:$FZ$601,119,Sync!$D$13)),0)&gt;0,IFERROR(INDEX(Clay_Brands!$A$2:$FZ$601,119,Sync!$D$5)&amp;"","")&lt;&gt;"",OR(LEFT(IFERROR(INDEX(Clay_Brands!$A$2:$FZ$601,119,Sync!$D$5)&amp;"",""),6)&lt;&gt;"SAMPLE",Config!$B$19="Y")),IFERROR(N(INDEX(Clay_Brands!$A$2:$FZ$601,119,Sync!$D$13)),0),"")</f>
        <v/>
      </c>
      <c r="C4770" s="23" t="str">
        <f aca="false">IF(B4770="","","brand")</f>
        <v/>
      </c>
      <c r="D4770" s="23" t="str">
        <f aca="false">IF(B4770="","",IFERROR(INDEX(Brand_Log!$DV$2:$DV$201,MATCH(IFERROR(INDEX(Clay_Brands!$A$2:$FZ$601,119,Sync!$D$5)&amp;"",""),Brand_Log!$A$2:$A$201,0))&amp;"",IFERROR(INDEX(Clay_Brands!$A$2:$FZ$601,119,Sync!$D$5)&amp;"","")&amp;""))</f>
        <v/>
      </c>
      <c r="E4770" s="23" t="str">
        <f aca="false">IF(B4770="","",IFERROR(INDEX(Clay_Brands!$A$2:$FZ$601,119,Sync!$D$6)&amp;"",""))</f>
        <v/>
      </c>
      <c r="F4770" s="23" t="str">
        <f aca="false">IF(B4770="","","outreach_sent")</f>
        <v/>
      </c>
      <c r="G4770" s="23" t="str">
        <f aca="false">IF(B4770="","","")</f>
        <v/>
      </c>
      <c r="H4770" s="23" t="str">
        <f aca="false">IF(B4770="","","")</f>
        <v/>
      </c>
      <c r="I4770" s="23" t="str">
        <f aca="false">IF(B4770="","","")</f>
        <v/>
      </c>
      <c r="J4770" s="23" t="str">
        <f aca="false">IF(B4770="","","touch_3; "&amp;IFERROR(INDEX(Clay_Brands!$A$2:$FZ$601,119,Sync!$D$10)&amp;"","")&amp;"; "&amp;IFERROR(INDEX(Clay_Brands!$A$2:$FZ$601,119,Sync!$D$9)&amp;"",""))</f>
        <v/>
      </c>
      <c r="K4770" s="32" t="s">
        <v>1368</v>
      </c>
    </row>
    <row r="4771" customFormat="false" ht="15" hidden="false" customHeight="false" outlineLevel="0" collapsed="false">
      <c r="A4771" s="23" t="str">
        <f aca="false">IF(B4771="","",B4771+(17*1000+120)/10000000)</f>
        <v/>
      </c>
      <c r="B4771" s="35" t="str">
        <f aca="false">IF(AND(IFERROR(N(INDEX(Clay_Brands!$A$2:$FZ$601,120,Sync!$D$13)),0)&gt;0,IFERROR(INDEX(Clay_Brands!$A$2:$FZ$601,120,Sync!$D$5)&amp;"","")&lt;&gt;"",OR(LEFT(IFERROR(INDEX(Clay_Brands!$A$2:$FZ$601,120,Sync!$D$5)&amp;"",""),6)&lt;&gt;"SAMPLE",Config!$B$19="Y")),IFERROR(N(INDEX(Clay_Brands!$A$2:$FZ$601,120,Sync!$D$13)),0),"")</f>
        <v/>
      </c>
      <c r="C4771" s="23" t="str">
        <f aca="false">IF(B4771="","","brand")</f>
        <v/>
      </c>
      <c r="D4771" s="23" t="str">
        <f aca="false">IF(B4771="","",IFERROR(INDEX(Brand_Log!$DV$2:$DV$201,MATCH(IFERROR(INDEX(Clay_Brands!$A$2:$FZ$601,120,Sync!$D$5)&amp;"",""),Brand_Log!$A$2:$A$201,0))&amp;"",IFERROR(INDEX(Clay_Brands!$A$2:$FZ$601,120,Sync!$D$5)&amp;"","")&amp;""))</f>
        <v/>
      </c>
      <c r="E4771" s="23" t="str">
        <f aca="false">IF(B4771="","",IFERROR(INDEX(Clay_Brands!$A$2:$FZ$601,120,Sync!$D$6)&amp;"",""))</f>
        <v/>
      </c>
      <c r="F4771" s="23" t="str">
        <f aca="false">IF(B4771="","","outreach_sent")</f>
        <v/>
      </c>
      <c r="G4771" s="23" t="str">
        <f aca="false">IF(B4771="","","")</f>
        <v/>
      </c>
      <c r="H4771" s="23" t="str">
        <f aca="false">IF(B4771="","","")</f>
        <v/>
      </c>
      <c r="I4771" s="23" t="str">
        <f aca="false">IF(B4771="","","")</f>
        <v/>
      </c>
      <c r="J4771" s="23" t="str">
        <f aca="false">IF(B4771="","","touch_3; "&amp;IFERROR(INDEX(Clay_Brands!$A$2:$FZ$601,120,Sync!$D$10)&amp;"","")&amp;"; "&amp;IFERROR(INDEX(Clay_Brands!$A$2:$FZ$601,120,Sync!$D$9)&amp;"",""))</f>
        <v/>
      </c>
      <c r="K4771" s="32" t="s">
        <v>1368</v>
      </c>
    </row>
    <row r="4772" customFormat="false" ht="15" hidden="false" customHeight="false" outlineLevel="0" collapsed="false">
      <c r="A4772" s="23" t="str">
        <f aca="false">IF(B4772="","",B4772+(17*1000+121)/10000000)</f>
        <v/>
      </c>
      <c r="B4772" s="35" t="str">
        <f aca="false">IF(AND(IFERROR(N(INDEX(Clay_Brands!$A$2:$FZ$601,121,Sync!$D$13)),0)&gt;0,IFERROR(INDEX(Clay_Brands!$A$2:$FZ$601,121,Sync!$D$5)&amp;"","")&lt;&gt;"",OR(LEFT(IFERROR(INDEX(Clay_Brands!$A$2:$FZ$601,121,Sync!$D$5)&amp;"",""),6)&lt;&gt;"SAMPLE",Config!$B$19="Y")),IFERROR(N(INDEX(Clay_Brands!$A$2:$FZ$601,121,Sync!$D$13)),0),"")</f>
        <v/>
      </c>
      <c r="C4772" s="23" t="str">
        <f aca="false">IF(B4772="","","brand")</f>
        <v/>
      </c>
      <c r="D4772" s="23" t="str">
        <f aca="false">IF(B4772="","",IFERROR(INDEX(Brand_Log!$DV$2:$DV$201,MATCH(IFERROR(INDEX(Clay_Brands!$A$2:$FZ$601,121,Sync!$D$5)&amp;"",""),Brand_Log!$A$2:$A$201,0))&amp;"",IFERROR(INDEX(Clay_Brands!$A$2:$FZ$601,121,Sync!$D$5)&amp;"","")&amp;""))</f>
        <v/>
      </c>
      <c r="E4772" s="23" t="str">
        <f aca="false">IF(B4772="","",IFERROR(INDEX(Clay_Brands!$A$2:$FZ$601,121,Sync!$D$6)&amp;"",""))</f>
        <v/>
      </c>
      <c r="F4772" s="23" t="str">
        <f aca="false">IF(B4772="","","outreach_sent")</f>
        <v/>
      </c>
      <c r="G4772" s="23" t="str">
        <f aca="false">IF(B4772="","","")</f>
        <v/>
      </c>
      <c r="H4772" s="23" t="str">
        <f aca="false">IF(B4772="","","")</f>
        <v/>
      </c>
      <c r="I4772" s="23" t="str">
        <f aca="false">IF(B4772="","","")</f>
        <v/>
      </c>
      <c r="J4772" s="23" t="str">
        <f aca="false">IF(B4772="","","touch_3; "&amp;IFERROR(INDEX(Clay_Brands!$A$2:$FZ$601,121,Sync!$D$10)&amp;"","")&amp;"; "&amp;IFERROR(INDEX(Clay_Brands!$A$2:$FZ$601,121,Sync!$D$9)&amp;"",""))</f>
        <v/>
      </c>
      <c r="K4772" s="32" t="s">
        <v>1368</v>
      </c>
    </row>
    <row r="4773" customFormat="false" ht="15" hidden="false" customHeight="false" outlineLevel="0" collapsed="false">
      <c r="A4773" s="23" t="str">
        <f aca="false">IF(B4773="","",B4773+(17*1000+122)/10000000)</f>
        <v/>
      </c>
      <c r="B4773" s="35" t="str">
        <f aca="false">IF(AND(IFERROR(N(INDEX(Clay_Brands!$A$2:$FZ$601,122,Sync!$D$13)),0)&gt;0,IFERROR(INDEX(Clay_Brands!$A$2:$FZ$601,122,Sync!$D$5)&amp;"","")&lt;&gt;"",OR(LEFT(IFERROR(INDEX(Clay_Brands!$A$2:$FZ$601,122,Sync!$D$5)&amp;"",""),6)&lt;&gt;"SAMPLE",Config!$B$19="Y")),IFERROR(N(INDEX(Clay_Brands!$A$2:$FZ$601,122,Sync!$D$13)),0),"")</f>
        <v/>
      </c>
      <c r="C4773" s="23" t="str">
        <f aca="false">IF(B4773="","","brand")</f>
        <v/>
      </c>
      <c r="D4773" s="23" t="str">
        <f aca="false">IF(B4773="","",IFERROR(INDEX(Brand_Log!$DV$2:$DV$201,MATCH(IFERROR(INDEX(Clay_Brands!$A$2:$FZ$601,122,Sync!$D$5)&amp;"",""),Brand_Log!$A$2:$A$201,0))&amp;"",IFERROR(INDEX(Clay_Brands!$A$2:$FZ$601,122,Sync!$D$5)&amp;"","")&amp;""))</f>
        <v/>
      </c>
      <c r="E4773" s="23" t="str">
        <f aca="false">IF(B4773="","",IFERROR(INDEX(Clay_Brands!$A$2:$FZ$601,122,Sync!$D$6)&amp;"",""))</f>
        <v/>
      </c>
      <c r="F4773" s="23" t="str">
        <f aca="false">IF(B4773="","","outreach_sent")</f>
        <v/>
      </c>
      <c r="G4773" s="23" t="str">
        <f aca="false">IF(B4773="","","")</f>
        <v/>
      </c>
      <c r="H4773" s="23" t="str">
        <f aca="false">IF(B4773="","","")</f>
        <v/>
      </c>
      <c r="I4773" s="23" t="str">
        <f aca="false">IF(B4773="","","")</f>
        <v/>
      </c>
      <c r="J4773" s="23" t="str">
        <f aca="false">IF(B4773="","","touch_3; "&amp;IFERROR(INDEX(Clay_Brands!$A$2:$FZ$601,122,Sync!$D$10)&amp;"","")&amp;"; "&amp;IFERROR(INDEX(Clay_Brands!$A$2:$FZ$601,122,Sync!$D$9)&amp;"",""))</f>
        <v/>
      </c>
      <c r="K4773" s="32" t="s">
        <v>1368</v>
      </c>
    </row>
    <row r="4774" customFormat="false" ht="15" hidden="false" customHeight="false" outlineLevel="0" collapsed="false">
      <c r="A4774" s="23" t="str">
        <f aca="false">IF(B4774="","",B4774+(17*1000+123)/10000000)</f>
        <v/>
      </c>
      <c r="B4774" s="35" t="str">
        <f aca="false">IF(AND(IFERROR(N(INDEX(Clay_Brands!$A$2:$FZ$601,123,Sync!$D$13)),0)&gt;0,IFERROR(INDEX(Clay_Brands!$A$2:$FZ$601,123,Sync!$D$5)&amp;"","")&lt;&gt;"",OR(LEFT(IFERROR(INDEX(Clay_Brands!$A$2:$FZ$601,123,Sync!$D$5)&amp;"",""),6)&lt;&gt;"SAMPLE",Config!$B$19="Y")),IFERROR(N(INDEX(Clay_Brands!$A$2:$FZ$601,123,Sync!$D$13)),0),"")</f>
        <v/>
      </c>
      <c r="C4774" s="23" t="str">
        <f aca="false">IF(B4774="","","brand")</f>
        <v/>
      </c>
      <c r="D4774" s="23" t="str">
        <f aca="false">IF(B4774="","",IFERROR(INDEX(Brand_Log!$DV$2:$DV$201,MATCH(IFERROR(INDEX(Clay_Brands!$A$2:$FZ$601,123,Sync!$D$5)&amp;"",""),Brand_Log!$A$2:$A$201,0))&amp;"",IFERROR(INDEX(Clay_Brands!$A$2:$FZ$601,123,Sync!$D$5)&amp;"","")&amp;""))</f>
        <v/>
      </c>
      <c r="E4774" s="23" t="str">
        <f aca="false">IF(B4774="","",IFERROR(INDEX(Clay_Brands!$A$2:$FZ$601,123,Sync!$D$6)&amp;"",""))</f>
        <v/>
      </c>
      <c r="F4774" s="23" t="str">
        <f aca="false">IF(B4774="","","outreach_sent")</f>
        <v/>
      </c>
      <c r="G4774" s="23" t="str">
        <f aca="false">IF(B4774="","","")</f>
        <v/>
      </c>
      <c r="H4774" s="23" t="str">
        <f aca="false">IF(B4774="","","")</f>
        <v/>
      </c>
      <c r="I4774" s="23" t="str">
        <f aca="false">IF(B4774="","","")</f>
        <v/>
      </c>
      <c r="J4774" s="23" t="str">
        <f aca="false">IF(B4774="","","touch_3; "&amp;IFERROR(INDEX(Clay_Brands!$A$2:$FZ$601,123,Sync!$D$10)&amp;"","")&amp;"; "&amp;IFERROR(INDEX(Clay_Brands!$A$2:$FZ$601,123,Sync!$D$9)&amp;"",""))</f>
        <v/>
      </c>
      <c r="K4774" s="32" t="s">
        <v>1368</v>
      </c>
    </row>
    <row r="4775" customFormat="false" ht="15" hidden="false" customHeight="false" outlineLevel="0" collapsed="false">
      <c r="A4775" s="23" t="str">
        <f aca="false">IF(B4775="","",B4775+(17*1000+124)/10000000)</f>
        <v/>
      </c>
      <c r="B4775" s="35" t="str">
        <f aca="false">IF(AND(IFERROR(N(INDEX(Clay_Brands!$A$2:$FZ$601,124,Sync!$D$13)),0)&gt;0,IFERROR(INDEX(Clay_Brands!$A$2:$FZ$601,124,Sync!$D$5)&amp;"","")&lt;&gt;"",OR(LEFT(IFERROR(INDEX(Clay_Brands!$A$2:$FZ$601,124,Sync!$D$5)&amp;"",""),6)&lt;&gt;"SAMPLE",Config!$B$19="Y")),IFERROR(N(INDEX(Clay_Brands!$A$2:$FZ$601,124,Sync!$D$13)),0),"")</f>
        <v/>
      </c>
      <c r="C4775" s="23" t="str">
        <f aca="false">IF(B4775="","","brand")</f>
        <v/>
      </c>
      <c r="D4775" s="23" t="str">
        <f aca="false">IF(B4775="","",IFERROR(INDEX(Brand_Log!$DV$2:$DV$201,MATCH(IFERROR(INDEX(Clay_Brands!$A$2:$FZ$601,124,Sync!$D$5)&amp;"",""),Brand_Log!$A$2:$A$201,0))&amp;"",IFERROR(INDEX(Clay_Brands!$A$2:$FZ$601,124,Sync!$D$5)&amp;"","")&amp;""))</f>
        <v/>
      </c>
      <c r="E4775" s="23" t="str">
        <f aca="false">IF(B4775="","",IFERROR(INDEX(Clay_Brands!$A$2:$FZ$601,124,Sync!$D$6)&amp;"",""))</f>
        <v/>
      </c>
      <c r="F4775" s="23" t="str">
        <f aca="false">IF(B4775="","","outreach_sent")</f>
        <v/>
      </c>
      <c r="G4775" s="23" t="str">
        <f aca="false">IF(B4775="","","")</f>
        <v/>
      </c>
      <c r="H4775" s="23" t="str">
        <f aca="false">IF(B4775="","","")</f>
        <v/>
      </c>
      <c r="I4775" s="23" t="str">
        <f aca="false">IF(B4775="","","")</f>
        <v/>
      </c>
      <c r="J4775" s="23" t="str">
        <f aca="false">IF(B4775="","","touch_3; "&amp;IFERROR(INDEX(Clay_Brands!$A$2:$FZ$601,124,Sync!$D$10)&amp;"","")&amp;"; "&amp;IFERROR(INDEX(Clay_Brands!$A$2:$FZ$601,124,Sync!$D$9)&amp;"",""))</f>
        <v/>
      </c>
      <c r="K4775" s="32" t="s">
        <v>1368</v>
      </c>
    </row>
    <row r="4776" customFormat="false" ht="15" hidden="false" customHeight="false" outlineLevel="0" collapsed="false">
      <c r="A4776" s="23" t="str">
        <f aca="false">IF(B4776="","",B4776+(17*1000+125)/10000000)</f>
        <v/>
      </c>
      <c r="B4776" s="35" t="str">
        <f aca="false">IF(AND(IFERROR(N(INDEX(Clay_Brands!$A$2:$FZ$601,125,Sync!$D$13)),0)&gt;0,IFERROR(INDEX(Clay_Brands!$A$2:$FZ$601,125,Sync!$D$5)&amp;"","")&lt;&gt;"",OR(LEFT(IFERROR(INDEX(Clay_Brands!$A$2:$FZ$601,125,Sync!$D$5)&amp;"",""),6)&lt;&gt;"SAMPLE",Config!$B$19="Y")),IFERROR(N(INDEX(Clay_Brands!$A$2:$FZ$601,125,Sync!$D$13)),0),"")</f>
        <v/>
      </c>
      <c r="C4776" s="23" t="str">
        <f aca="false">IF(B4776="","","brand")</f>
        <v/>
      </c>
      <c r="D4776" s="23" t="str">
        <f aca="false">IF(B4776="","",IFERROR(INDEX(Brand_Log!$DV$2:$DV$201,MATCH(IFERROR(INDEX(Clay_Brands!$A$2:$FZ$601,125,Sync!$D$5)&amp;"",""),Brand_Log!$A$2:$A$201,0))&amp;"",IFERROR(INDEX(Clay_Brands!$A$2:$FZ$601,125,Sync!$D$5)&amp;"","")&amp;""))</f>
        <v/>
      </c>
      <c r="E4776" s="23" t="str">
        <f aca="false">IF(B4776="","",IFERROR(INDEX(Clay_Brands!$A$2:$FZ$601,125,Sync!$D$6)&amp;"",""))</f>
        <v/>
      </c>
      <c r="F4776" s="23" t="str">
        <f aca="false">IF(B4776="","","outreach_sent")</f>
        <v/>
      </c>
      <c r="G4776" s="23" t="str">
        <f aca="false">IF(B4776="","","")</f>
        <v/>
      </c>
      <c r="H4776" s="23" t="str">
        <f aca="false">IF(B4776="","","")</f>
        <v/>
      </c>
      <c r="I4776" s="23" t="str">
        <f aca="false">IF(B4776="","","")</f>
        <v/>
      </c>
      <c r="J4776" s="23" t="str">
        <f aca="false">IF(B4776="","","touch_3; "&amp;IFERROR(INDEX(Clay_Brands!$A$2:$FZ$601,125,Sync!$D$10)&amp;"","")&amp;"; "&amp;IFERROR(INDEX(Clay_Brands!$A$2:$FZ$601,125,Sync!$D$9)&amp;"",""))</f>
        <v/>
      </c>
      <c r="K4776" s="32" t="s">
        <v>1368</v>
      </c>
    </row>
    <row r="4777" customFormat="false" ht="15" hidden="false" customHeight="false" outlineLevel="0" collapsed="false">
      <c r="A4777" s="23" t="str">
        <f aca="false">IF(B4777="","",B4777+(17*1000+126)/10000000)</f>
        <v/>
      </c>
      <c r="B4777" s="35" t="str">
        <f aca="false">IF(AND(IFERROR(N(INDEX(Clay_Brands!$A$2:$FZ$601,126,Sync!$D$13)),0)&gt;0,IFERROR(INDEX(Clay_Brands!$A$2:$FZ$601,126,Sync!$D$5)&amp;"","")&lt;&gt;"",OR(LEFT(IFERROR(INDEX(Clay_Brands!$A$2:$FZ$601,126,Sync!$D$5)&amp;"",""),6)&lt;&gt;"SAMPLE",Config!$B$19="Y")),IFERROR(N(INDEX(Clay_Brands!$A$2:$FZ$601,126,Sync!$D$13)),0),"")</f>
        <v/>
      </c>
      <c r="C4777" s="23" t="str">
        <f aca="false">IF(B4777="","","brand")</f>
        <v/>
      </c>
      <c r="D4777" s="23" t="str">
        <f aca="false">IF(B4777="","",IFERROR(INDEX(Brand_Log!$DV$2:$DV$201,MATCH(IFERROR(INDEX(Clay_Brands!$A$2:$FZ$601,126,Sync!$D$5)&amp;"",""),Brand_Log!$A$2:$A$201,0))&amp;"",IFERROR(INDEX(Clay_Brands!$A$2:$FZ$601,126,Sync!$D$5)&amp;"","")&amp;""))</f>
        <v/>
      </c>
      <c r="E4777" s="23" t="str">
        <f aca="false">IF(B4777="","",IFERROR(INDEX(Clay_Brands!$A$2:$FZ$601,126,Sync!$D$6)&amp;"",""))</f>
        <v/>
      </c>
      <c r="F4777" s="23" t="str">
        <f aca="false">IF(B4777="","","outreach_sent")</f>
        <v/>
      </c>
      <c r="G4777" s="23" t="str">
        <f aca="false">IF(B4777="","","")</f>
        <v/>
      </c>
      <c r="H4777" s="23" t="str">
        <f aca="false">IF(B4777="","","")</f>
        <v/>
      </c>
      <c r="I4777" s="23" t="str">
        <f aca="false">IF(B4777="","","")</f>
        <v/>
      </c>
      <c r="J4777" s="23" t="str">
        <f aca="false">IF(B4777="","","touch_3; "&amp;IFERROR(INDEX(Clay_Brands!$A$2:$FZ$601,126,Sync!$D$10)&amp;"","")&amp;"; "&amp;IFERROR(INDEX(Clay_Brands!$A$2:$FZ$601,126,Sync!$D$9)&amp;"",""))</f>
        <v/>
      </c>
      <c r="K4777" s="32" t="s">
        <v>1368</v>
      </c>
    </row>
    <row r="4778" customFormat="false" ht="15" hidden="false" customHeight="false" outlineLevel="0" collapsed="false">
      <c r="A4778" s="23" t="str">
        <f aca="false">IF(B4778="","",B4778+(17*1000+127)/10000000)</f>
        <v/>
      </c>
      <c r="B4778" s="35" t="str">
        <f aca="false">IF(AND(IFERROR(N(INDEX(Clay_Brands!$A$2:$FZ$601,127,Sync!$D$13)),0)&gt;0,IFERROR(INDEX(Clay_Brands!$A$2:$FZ$601,127,Sync!$D$5)&amp;"","")&lt;&gt;"",OR(LEFT(IFERROR(INDEX(Clay_Brands!$A$2:$FZ$601,127,Sync!$D$5)&amp;"",""),6)&lt;&gt;"SAMPLE",Config!$B$19="Y")),IFERROR(N(INDEX(Clay_Brands!$A$2:$FZ$601,127,Sync!$D$13)),0),"")</f>
        <v/>
      </c>
      <c r="C4778" s="23" t="str">
        <f aca="false">IF(B4778="","","brand")</f>
        <v/>
      </c>
      <c r="D4778" s="23" t="str">
        <f aca="false">IF(B4778="","",IFERROR(INDEX(Brand_Log!$DV$2:$DV$201,MATCH(IFERROR(INDEX(Clay_Brands!$A$2:$FZ$601,127,Sync!$D$5)&amp;"",""),Brand_Log!$A$2:$A$201,0))&amp;"",IFERROR(INDEX(Clay_Brands!$A$2:$FZ$601,127,Sync!$D$5)&amp;"","")&amp;""))</f>
        <v/>
      </c>
      <c r="E4778" s="23" t="str">
        <f aca="false">IF(B4778="","",IFERROR(INDEX(Clay_Brands!$A$2:$FZ$601,127,Sync!$D$6)&amp;"",""))</f>
        <v/>
      </c>
      <c r="F4778" s="23" t="str">
        <f aca="false">IF(B4778="","","outreach_sent")</f>
        <v/>
      </c>
      <c r="G4778" s="23" t="str">
        <f aca="false">IF(B4778="","","")</f>
        <v/>
      </c>
      <c r="H4778" s="23" t="str">
        <f aca="false">IF(B4778="","","")</f>
        <v/>
      </c>
      <c r="I4778" s="23" t="str">
        <f aca="false">IF(B4778="","","")</f>
        <v/>
      </c>
      <c r="J4778" s="23" t="str">
        <f aca="false">IF(B4778="","","touch_3; "&amp;IFERROR(INDEX(Clay_Brands!$A$2:$FZ$601,127,Sync!$D$10)&amp;"","")&amp;"; "&amp;IFERROR(INDEX(Clay_Brands!$A$2:$FZ$601,127,Sync!$D$9)&amp;"",""))</f>
        <v/>
      </c>
      <c r="K4778" s="32" t="s">
        <v>1368</v>
      </c>
    </row>
    <row r="4779" customFormat="false" ht="15" hidden="false" customHeight="false" outlineLevel="0" collapsed="false">
      <c r="A4779" s="23" t="str">
        <f aca="false">IF(B4779="","",B4779+(17*1000+128)/10000000)</f>
        <v/>
      </c>
      <c r="B4779" s="35" t="str">
        <f aca="false">IF(AND(IFERROR(N(INDEX(Clay_Brands!$A$2:$FZ$601,128,Sync!$D$13)),0)&gt;0,IFERROR(INDEX(Clay_Brands!$A$2:$FZ$601,128,Sync!$D$5)&amp;"","")&lt;&gt;"",OR(LEFT(IFERROR(INDEX(Clay_Brands!$A$2:$FZ$601,128,Sync!$D$5)&amp;"",""),6)&lt;&gt;"SAMPLE",Config!$B$19="Y")),IFERROR(N(INDEX(Clay_Brands!$A$2:$FZ$601,128,Sync!$D$13)),0),"")</f>
        <v/>
      </c>
      <c r="C4779" s="23" t="str">
        <f aca="false">IF(B4779="","","brand")</f>
        <v/>
      </c>
      <c r="D4779" s="23" t="str">
        <f aca="false">IF(B4779="","",IFERROR(INDEX(Brand_Log!$DV$2:$DV$201,MATCH(IFERROR(INDEX(Clay_Brands!$A$2:$FZ$601,128,Sync!$D$5)&amp;"",""),Brand_Log!$A$2:$A$201,0))&amp;"",IFERROR(INDEX(Clay_Brands!$A$2:$FZ$601,128,Sync!$D$5)&amp;"","")&amp;""))</f>
        <v/>
      </c>
      <c r="E4779" s="23" t="str">
        <f aca="false">IF(B4779="","",IFERROR(INDEX(Clay_Brands!$A$2:$FZ$601,128,Sync!$D$6)&amp;"",""))</f>
        <v/>
      </c>
      <c r="F4779" s="23" t="str">
        <f aca="false">IF(B4779="","","outreach_sent")</f>
        <v/>
      </c>
      <c r="G4779" s="23" t="str">
        <f aca="false">IF(B4779="","","")</f>
        <v/>
      </c>
      <c r="H4779" s="23" t="str">
        <f aca="false">IF(B4779="","","")</f>
        <v/>
      </c>
      <c r="I4779" s="23" t="str">
        <f aca="false">IF(B4779="","","")</f>
        <v/>
      </c>
      <c r="J4779" s="23" t="str">
        <f aca="false">IF(B4779="","","touch_3; "&amp;IFERROR(INDEX(Clay_Brands!$A$2:$FZ$601,128,Sync!$D$10)&amp;"","")&amp;"; "&amp;IFERROR(INDEX(Clay_Brands!$A$2:$FZ$601,128,Sync!$D$9)&amp;"",""))</f>
        <v/>
      </c>
      <c r="K4779" s="32" t="s">
        <v>1368</v>
      </c>
    </row>
    <row r="4780" customFormat="false" ht="15" hidden="false" customHeight="false" outlineLevel="0" collapsed="false">
      <c r="A4780" s="23" t="str">
        <f aca="false">IF(B4780="","",B4780+(17*1000+129)/10000000)</f>
        <v/>
      </c>
      <c r="B4780" s="35" t="str">
        <f aca="false">IF(AND(IFERROR(N(INDEX(Clay_Brands!$A$2:$FZ$601,129,Sync!$D$13)),0)&gt;0,IFERROR(INDEX(Clay_Brands!$A$2:$FZ$601,129,Sync!$D$5)&amp;"","")&lt;&gt;"",OR(LEFT(IFERROR(INDEX(Clay_Brands!$A$2:$FZ$601,129,Sync!$D$5)&amp;"",""),6)&lt;&gt;"SAMPLE",Config!$B$19="Y")),IFERROR(N(INDEX(Clay_Brands!$A$2:$FZ$601,129,Sync!$D$13)),0),"")</f>
        <v/>
      </c>
      <c r="C4780" s="23" t="str">
        <f aca="false">IF(B4780="","","brand")</f>
        <v/>
      </c>
      <c r="D4780" s="23" t="str">
        <f aca="false">IF(B4780="","",IFERROR(INDEX(Brand_Log!$DV$2:$DV$201,MATCH(IFERROR(INDEX(Clay_Brands!$A$2:$FZ$601,129,Sync!$D$5)&amp;"",""),Brand_Log!$A$2:$A$201,0))&amp;"",IFERROR(INDEX(Clay_Brands!$A$2:$FZ$601,129,Sync!$D$5)&amp;"","")&amp;""))</f>
        <v/>
      </c>
      <c r="E4780" s="23" t="str">
        <f aca="false">IF(B4780="","",IFERROR(INDEX(Clay_Brands!$A$2:$FZ$601,129,Sync!$D$6)&amp;"",""))</f>
        <v/>
      </c>
      <c r="F4780" s="23" t="str">
        <f aca="false">IF(B4780="","","outreach_sent")</f>
        <v/>
      </c>
      <c r="G4780" s="23" t="str">
        <f aca="false">IF(B4780="","","")</f>
        <v/>
      </c>
      <c r="H4780" s="23" t="str">
        <f aca="false">IF(B4780="","","")</f>
        <v/>
      </c>
      <c r="I4780" s="23" t="str">
        <f aca="false">IF(B4780="","","")</f>
        <v/>
      </c>
      <c r="J4780" s="23" t="str">
        <f aca="false">IF(B4780="","","touch_3; "&amp;IFERROR(INDEX(Clay_Brands!$A$2:$FZ$601,129,Sync!$D$10)&amp;"","")&amp;"; "&amp;IFERROR(INDEX(Clay_Brands!$A$2:$FZ$601,129,Sync!$D$9)&amp;"",""))</f>
        <v/>
      </c>
      <c r="K4780" s="32" t="s">
        <v>1368</v>
      </c>
    </row>
    <row r="4781" customFormat="false" ht="15" hidden="false" customHeight="false" outlineLevel="0" collapsed="false">
      <c r="A4781" s="23" t="str">
        <f aca="false">IF(B4781="","",B4781+(17*1000+130)/10000000)</f>
        <v/>
      </c>
      <c r="B4781" s="35" t="str">
        <f aca="false">IF(AND(IFERROR(N(INDEX(Clay_Brands!$A$2:$FZ$601,130,Sync!$D$13)),0)&gt;0,IFERROR(INDEX(Clay_Brands!$A$2:$FZ$601,130,Sync!$D$5)&amp;"","")&lt;&gt;"",OR(LEFT(IFERROR(INDEX(Clay_Brands!$A$2:$FZ$601,130,Sync!$D$5)&amp;"",""),6)&lt;&gt;"SAMPLE",Config!$B$19="Y")),IFERROR(N(INDEX(Clay_Brands!$A$2:$FZ$601,130,Sync!$D$13)),0),"")</f>
        <v/>
      </c>
      <c r="C4781" s="23" t="str">
        <f aca="false">IF(B4781="","","brand")</f>
        <v/>
      </c>
      <c r="D4781" s="23" t="str">
        <f aca="false">IF(B4781="","",IFERROR(INDEX(Brand_Log!$DV$2:$DV$201,MATCH(IFERROR(INDEX(Clay_Brands!$A$2:$FZ$601,130,Sync!$D$5)&amp;"",""),Brand_Log!$A$2:$A$201,0))&amp;"",IFERROR(INDEX(Clay_Brands!$A$2:$FZ$601,130,Sync!$D$5)&amp;"","")&amp;""))</f>
        <v/>
      </c>
      <c r="E4781" s="23" t="str">
        <f aca="false">IF(B4781="","",IFERROR(INDEX(Clay_Brands!$A$2:$FZ$601,130,Sync!$D$6)&amp;"",""))</f>
        <v/>
      </c>
      <c r="F4781" s="23" t="str">
        <f aca="false">IF(B4781="","","outreach_sent")</f>
        <v/>
      </c>
      <c r="G4781" s="23" t="str">
        <f aca="false">IF(B4781="","","")</f>
        <v/>
      </c>
      <c r="H4781" s="23" t="str">
        <f aca="false">IF(B4781="","","")</f>
        <v/>
      </c>
      <c r="I4781" s="23" t="str">
        <f aca="false">IF(B4781="","","")</f>
        <v/>
      </c>
      <c r="J4781" s="23" t="str">
        <f aca="false">IF(B4781="","","touch_3; "&amp;IFERROR(INDEX(Clay_Brands!$A$2:$FZ$601,130,Sync!$D$10)&amp;"","")&amp;"; "&amp;IFERROR(INDEX(Clay_Brands!$A$2:$FZ$601,130,Sync!$D$9)&amp;"",""))</f>
        <v/>
      </c>
      <c r="K4781" s="32" t="s">
        <v>1368</v>
      </c>
    </row>
    <row r="4782" customFormat="false" ht="15" hidden="false" customHeight="false" outlineLevel="0" collapsed="false">
      <c r="A4782" s="23" t="str">
        <f aca="false">IF(B4782="","",B4782+(17*1000+131)/10000000)</f>
        <v/>
      </c>
      <c r="B4782" s="35" t="str">
        <f aca="false">IF(AND(IFERROR(N(INDEX(Clay_Brands!$A$2:$FZ$601,131,Sync!$D$13)),0)&gt;0,IFERROR(INDEX(Clay_Brands!$A$2:$FZ$601,131,Sync!$D$5)&amp;"","")&lt;&gt;"",OR(LEFT(IFERROR(INDEX(Clay_Brands!$A$2:$FZ$601,131,Sync!$D$5)&amp;"",""),6)&lt;&gt;"SAMPLE",Config!$B$19="Y")),IFERROR(N(INDEX(Clay_Brands!$A$2:$FZ$601,131,Sync!$D$13)),0),"")</f>
        <v/>
      </c>
      <c r="C4782" s="23" t="str">
        <f aca="false">IF(B4782="","","brand")</f>
        <v/>
      </c>
      <c r="D4782" s="23" t="str">
        <f aca="false">IF(B4782="","",IFERROR(INDEX(Brand_Log!$DV$2:$DV$201,MATCH(IFERROR(INDEX(Clay_Brands!$A$2:$FZ$601,131,Sync!$D$5)&amp;"",""),Brand_Log!$A$2:$A$201,0))&amp;"",IFERROR(INDEX(Clay_Brands!$A$2:$FZ$601,131,Sync!$D$5)&amp;"","")&amp;""))</f>
        <v/>
      </c>
      <c r="E4782" s="23" t="str">
        <f aca="false">IF(B4782="","",IFERROR(INDEX(Clay_Brands!$A$2:$FZ$601,131,Sync!$D$6)&amp;"",""))</f>
        <v/>
      </c>
      <c r="F4782" s="23" t="str">
        <f aca="false">IF(B4782="","","outreach_sent")</f>
        <v/>
      </c>
      <c r="G4782" s="23" t="str">
        <f aca="false">IF(B4782="","","")</f>
        <v/>
      </c>
      <c r="H4782" s="23" t="str">
        <f aca="false">IF(B4782="","","")</f>
        <v/>
      </c>
      <c r="I4782" s="23" t="str">
        <f aca="false">IF(B4782="","","")</f>
        <v/>
      </c>
      <c r="J4782" s="23" t="str">
        <f aca="false">IF(B4782="","","touch_3; "&amp;IFERROR(INDEX(Clay_Brands!$A$2:$FZ$601,131,Sync!$D$10)&amp;"","")&amp;"; "&amp;IFERROR(INDEX(Clay_Brands!$A$2:$FZ$601,131,Sync!$D$9)&amp;"",""))</f>
        <v/>
      </c>
      <c r="K4782" s="32" t="s">
        <v>1368</v>
      </c>
    </row>
    <row r="4783" customFormat="false" ht="15" hidden="false" customHeight="false" outlineLevel="0" collapsed="false">
      <c r="A4783" s="23" t="str">
        <f aca="false">IF(B4783="","",B4783+(17*1000+132)/10000000)</f>
        <v/>
      </c>
      <c r="B4783" s="35" t="str">
        <f aca="false">IF(AND(IFERROR(N(INDEX(Clay_Brands!$A$2:$FZ$601,132,Sync!$D$13)),0)&gt;0,IFERROR(INDEX(Clay_Brands!$A$2:$FZ$601,132,Sync!$D$5)&amp;"","")&lt;&gt;"",OR(LEFT(IFERROR(INDEX(Clay_Brands!$A$2:$FZ$601,132,Sync!$D$5)&amp;"",""),6)&lt;&gt;"SAMPLE",Config!$B$19="Y")),IFERROR(N(INDEX(Clay_Brands!$A$2:$FZ$601,132,Sync!$D$13)),0),"")</f>
        <v/>
      </c>
      <c r="C4783" s="23" t="str">
        <f aca="false">IF(B4783="","","brand")</f>
        <v/>
      </c>
      <c r="D4783" s="23" t="str">
        <f aca="false">IF(B4783="","",IFERROR(INDEX(Brand_Log!$DV$2:$DV$201,MATCH(IFERROR(INDEX(Clay_Brands!$A$2:$FZ$601,132,Sync!$D$5)&amp;"",""),Brand_Log!$A$2:$A$201,0))&amp;"",IFERROR(INDEX(Clay_Brands!$A$2:$FZ$601,132,Sync!$D$5)&amp;"","")&amp;""))</f>
        <v/>
      </c>
      <c r="E4783" s="23" t="str">
        <f aca="false">IF(B4783="","",IFERROR(INDEX(Clay_Brands!$A$2:$FZ$601,132,Sync!$D$6)&amp;"",""))</f>
        <v/>
      </c>
      <c r="F4783" s="23" t="str">
        <f aca="false">IF(B4783="","","outreach_sent")</f>
        <v/>
      </c>
      <c r="G4783" s="23" t="str">
        <f aca="false">IF(B4783="","","")</f>
        <v/>
      </c>
      <c r="H4783" s="23" t="str">
        <f aca="false">IF(B4783="","","")</f>
        <v/>
      </c>
      <c r="I4783" s="23" t="str">
        <f aca="false">IF(B4783="","","")</f>
        <v/>
      </c>
      <c r="J4783" s="23" t="str">
        <f aca="false">IF(B4783="","","touch_3; "&amp;IFERROR(INDEX(Clay_Brands!$A$2:$FZ$601,132,Sync!$D$10)&amp;"","")&amp;"; "&amp;IFERROR(INDEX(Clay_Brands!$A$2:$FZ$601,132,Sync!$D$9)&amp;"",""))</f>
        <v/>
      </c>
      <c r="K4783" s="32" t="s">
        <v>1368</v>
      </c>
    </row>
    <row r="4784" customFormat="false" ht="15" hidden="false" customHeight="false" outlineLevel="0" collapsed="false">
      <c r="A4784" s="23" t="str">
        <f aca="false">IF(B4784="","",B4784+(17*1000+133)/10000000)</f>
        <v/>
      </c>
      <c r="B4784" s="35" t="str">
        <f aca="false">IF(AND(IFERROR(N(INDEX(Clay_Brands!$A$2:$FZ$601,133,Sync!$D$13)),0)&gt;0,IFERROR(INDEX(Clay_Brands!$A$2:$FZ$601,133,Sync!$D$5)&amp;"","")&lt;&gt;"",OR(LEFT(IFERROR(INDEX(Clay_Brands!$A$2:$FZ$601,133,Sync!$D$5)&amp;"",""),6)&lt;&gt;"SAMPLE",Config!$B$19="Y")),IFERROR(N(INDEX(Clay_Brands!$A$2:$FZ$601,133,Sync!$D$13)),0),"")</f>
        <v/>
      </c>
      <c r="C4784" s="23" t="str">
        <f aca="false">IF(B4784="","","brand")</f>
        <v/>
      </c>
      <c r="D4784" s="23" t="str">
        <f aca="false">IF(B4784="","",IFERROR(INDEX(Brand_Log!$DV$2:$DV$201,MATCH(IFERROR(INDEX(Clay_Brands!$A$2:$FZ$601,133,Sync!$D$5)&amp;"",""),Brand_Log!$A$2:$A$201,0))&amp;"",IFERROR(INDEX(Clay_Brands!$A$2:$FZ$601,133,Sync!$D$5)&amp;"","")&amp;""))</f>
        <v/>
      </c>
      <c r="E4784" s="23" t="str">
        <f aca="false">IF(B4784="","",IFERROR(INDEX(Clay_Brands!$A$2:$FZ$601,133,Sync!$D$6)&amp;"",""))</f>
        <v/>
      </c>
      <c r="F4784" s="23" t="str">
        <f aca="false">IF(B4784="","","outreach_sent")</f>
        <v/>
      </c>
      <c r="G4784" s="23" t="str">
        <f aca="false">IF(B4784="","","")</f>
        <v/>
      </c>
      <c r="H4784" s="23" t="str">
        <f aca="false">IF(B4784="","","")</f>
        <v/>
      </c>
      <c r="I4784" s="23" t="str">
        <f aca="false">IF(B4784="","","")</f>
        <v/>
      </c>
      <c r="J4784" s="23" t="str">
        <f aca="false">IF(B4784="","","touch_3; "&amp;IFERROR(INDEX(Clay_Brands!$A$2:$FZ$601,133,Sync!$D$10)&amp;"","")&amp;"; "&amp;IFERROR(INDEX(Clay_Brands!$A$2:$FZ$601,133,Sync!$D$9)&amp;"",""))</f>
        <v/>
      </c>
      <c r="K4784" s="32" t="s">
        <v>1368</v>
      </c>
    </row>
    <row r="4785" customFormat="false" ht="15" hidden="false" customHeight="false" outlineLevel="0" collapsed="false">
      <c r="A4785" s="23" t="str">
        <f aca="false">IF(B4785="","",B4785+(17*1000+134)/10000000)</f>
        <v/>
      </c>
      <c r="B4785" s="35" t="str">
        <f aca="false">IF(AND(IFERROR(N(INDEX(Clay_Brands!$A$2:$FZ$601,134,Sync!$D$13)),0)&gt;0,IFERROR(INDEX(Clay_Brands!$A$2:$FZ$601,134,Sync!$D$5)&amp;"","")&lt;&gt;"",OR(LEFT(IFERROR(INDEX(Clay_Brands!$A$2:$FZ$601,134,Sync!$D$5)&amp;"",""),6)&lt;&gt;"SAMPLE",Config!$B$19="Y")),IFERROR(N(INDEX(Clay_Brands!$A$2:$FZ$601,134,Sync!$D$13)),0),"")</f>
        <v/>
      </c>
      <c r="C4785" s="23" t="str">
        <f aca="false">IF(B4785="","","brand")</f>
        <v/>
      </c>
      <c r="D4785" s="23" t="str">
        <f aca="false">IF(B4785="","",IFERROR(INDEX(Brand_Log!$DV$2:$DV$201,MATCH(IFERROR(INDEX(Clay_Brands!$A$2:$FZ$601,134,Sync!$D$5)&amp;"",""),Brand_Log!$A$2:$A$201,0))&amp;"",IFERROR(INDEX(Clay_Brands!$A$2:$FZ$601,134,Sync!$D$5)&amp;"","")&amp;""))</f>
        <v/>
      </c>
      <c r="E4785" s="23" t="str">
        <f aca="false">IF(B4785="","",IFERROR(INDEX(Clay_Brands!$A$2:$FZ$601,134,Sync!$D$6)&amp;"",""))</f>
        <v/>
      </c>
      <c r="F4785" s="23" t="str">
        <f aca="false">IF(B4785="","","outreach_sent")</f>
        <v/>
      </c>
      <c r="G4785" s="23" t="str">
        <f aca="false">IF(B4785="","","")</f>
        <v/>
      </c>
      <c r="H4785" s="23" t="str">
        <f aca="false">IF(B4785="","","")</f>
        <v/>
      </c>
      <c r="I4785" s="23" t="str">
        <f aca="false">IF(B4785="","","")</f>
        <v/>
      </c>
      <c r="J4785" s="23" t="str">
        <f aca="false">IF(B4785="","","touch_3; "&amp;IFERROR(INDEX(Clay_Brands!$A$2:$FZ$601,134,Sync!$D$10)&amp;"","")&amp;"; "&amp;IFERROR(INDEX(Clay_Brands!$A$2:$FZ$601,134,Sync!$D$9)&amp;"",""))</f>
        <v/>
      </c>
      <c r="K4785" s="32" t="s">
        <v>1368</v>
      </c>
    </row>
    <row r="4786" customFormat="false" ht="15" hidden="false" customHeight="false" outlineLevel="0" collapsed="false">
      <c r="A4786" s="23" t="str">
        <f aca="false">IF(B4786="","",B4786+(17*1000+135)/10000000)</f>
        <v/>
      </c>
      <c r="B4786" s="35" t="str">
        <f aca="false">IF(AND(IFERROR(N(INDEX(Clay_Brands!$A$2:$FZ$601,135,Sync!$D$13)),0)&gt;0,IFERROR(INDEX(Clay_Brands!$A$2:$FZ$601,135,Sync!$D$5)&amp;"","")&lt;&gt;"",OR(LEFT(IFERROR(INDEX(Clay_Brands!$A$2:$FZ$601,135,Sync!$D$5)&amp;"",""),6)&lt;&gt;"SAMPLE",Config!$B$19="Y")),IFERROR(N(INDEX(Clay_Brands!$A$2:$FZ$601,135,Sync!$D$13)),0),"")</f>
        <v/>
      </c>
      <c r="C4786" s="23" t="str">
        <f aca="false">IF(B4786="","","brand")</f>
        <v/>
      </c>
      <c r="D4786" s="23" t="str">
        <f aca="false">IF(B4786="","",IFERROR(INDEX(Brand_Log!$DV$2:$DV$201,MATCH(IFERROR(INDEX(Clay_Brands!$A$2:$FZ$601,135,Sync!$D$5)&amp;"",""),Brand_Log!$A$2:$A$201,0))&amp;"",IFERROR(INDEX(Clay_Brands!$A$2:$FZ$601,135,Sync!$D$5)&amp;"","")&amp;""))</f>
        <v/>
      </c>
      <c r="E4786" s="23" t="str">
        <f aca="false">IF(B4786="","",IFERROR(INDEX(Clay_Brands!$A$2:$FZ$601,135,Sync!$D$6)&amp;"",""))</f>
        <v/>
      </c>
      <c r="F4786" s="23" t="str">
        <f aca="false">IF(B4786="","","outreach_sent")</f>
        <v/>
      </c>
      <c r="G4786" s="23" t="str">
        <f aca="false">IF(B4786="","","")</f>
        <v/>
      </c>
      <c r="H4786" s="23" t="str">
        <f aca="false">IF(B4786="","","")</f>
        <v/>
      </c>
      <c r="I4786" s="23" t="str">
        <f aca="false">IF(B4786="","","")</f>
        <v/>
      </c>
      <c r="J4786" s="23" t="str">
        <f aca="false">IF(B4786="","","touch_3; "&amp;IFERROR(INDEX(Clay_Brands!$A$2:$FZ$601,135,Sync!$D$10)&amp;"","")&amp;"; "&amp;IFERROR(INDEX(Clay_Brands!$A$2:$FZ$601,135,Sync!$D$9)&amp;"",""))</f>
        <v/>
      </c>
      <c r="K4786" s="32" t="s">
        <v>1368</v>
      </c>
    </row>
    <row r="4787" customFormat="false" ht="15" hidden="false" customHeight="false" outlineLevel="0" collapsed="false">
      <c r="A4787" s="23" t="str">
        <f aca="false">IF(B4787="","",B4787+(17*1000+136)/10000000)</f>
        <v/>
      </c>
      <c r="B4787" s="35" t="str">
        <f aca="false">IF(AND(IFERROR(N(INDEX(Clay_Brands!$A$2:$FZ$601,136,Sync!$D$13)),0)&gt;0,IFERROR(INDEX(Clay_Brands!$A$2:$FZ$601,136,Sync!$D$5)&amp;"","")&lt;&gt;"",OR(LEFT(IFERROR(INDEX(Clay_Brands!$A$2:$FZ$601,136,Sync!$D$5)&amp;"",""),6)&lt;&gt;"SAMPLE",Config!$B$19="Y")),IFERROR(N(INDEX(Clay_Brands!$A$2:$FZ$601,136,Sync!$D$13)),0),"")</f>
        <v/>
      </c>
      <c r="C4787" s="23" t="str">
        <f aca="false">IF(B4787="","","brand")</f>
        <v/>
      </c>
      <c r="D4787" s="23" t="str">
        <f aca="false">IF(B4787="","",IFERROR(INDEX(Brand_Log!$DV$2:$DV$201,MATCH(IFERROR(INDEX(Clay_Brands!$A$2:$FZ$601,136,Sync!$D$5)&amp;"",""),Brand_Log!$A$2:$A$201,0))&amp;"",IFERROR(INDEX(Clay_Brands!$A$2:$FZ$601,136,Sync!$D$5)&amp;"","")&amp;""))</f>
        <v/>
      </c>
      <c r="E4787" s="23" t="str">
        <f aca="false">IF(B4787="","",IFERROR(INDEX(Clay_Brands!$A$2:$FZ$601,136,Sync!$D$6)&amp;"",""))</f>
        <v/>
      </c>
      <c r="F4787" s="23" t="str">
        <f aca="false">IF(B4787="","","outreach_sent")</f>
        <v/>
      </c>
      <c r="G4787" s="23" t="str">
        <f aca="false">IF(B4787="","","")</f>
        <v/>
      </c>
      <c r="H4787" s="23" t="str">
        <f aca="false">IF(B4787="","","")</f>
        <v/>
      </c>
      <c r="I4787" s="23" t="str">
        <f aca="false">IF(B4787="","","")</f>
        <v/>
      </c>
      <c r="J4787" s="23" t="str">
        <f aca="false">IF(B4787="","","touch_3; "&amp;IFERROR(INDEX(Clay_Brands!$A$2:$FZ$601,136,Sync!$D$10)&amp;"","")&amp;"; "&amp;IFERROR(INDEX(Clay_Brands!$A$2:$FZ$601,136,Sync!$D$9)&amp;"",""))</f>
        <v/>
      </c>
      <c r="K4787" s="32" t="s">
        <v>1368</v>
      </c>
    </row>
    <row r="4788" customFormat="false" ht="15" hidden="false" customHeight="false" outlineLevel="0" collapsed="false">
      <c r="A4788" s="23" t="str">
        <f aca="false">IF(B4788="","",B4788+(17*1000+137)/10000000)</f>
        <v/>
      </c>
      <c r="B4788" s="35" t="str">
        <f aca="false">IF(AND(IFERROR(N(INDEX(Clay_Brands!$A$2:$FZ$601,137,Sync!$D$13)),0)&gt;0,IFERROR(INDEX(Clay_Brands!$A$2:$FZ$601,137,Sync!$D$5)&amp;"","")&lt;&gt;"",OR(LEFT(IFERROR(INDEX(Clay_Brands!$A$2:$FZ$601,137,Sync!$D$5)&amp;"",""),6)&lt;&gt;"SAMPLE",Config!$B$19="Y")),IFERROR(N(INDEX(Clay_Brands!$A$2:$FZ$601,137,Sync!$D$13)),0),"")</f>
        <v/>
      </c>
      <c r="C4788" s="23" t="str">
        <f aca="false">IF(B4788="","","brand")</f>
        <v/>
      </c>
      <c r="D4788" s="23" t="str">
        <f aca="false">IF(B4788="","",IFERROR(INDEX(Brand_Log!$DV$2:$DV$201,MATCH(IFERROR(INDEX(Clay_Brands!$A$2:$FZ$601,137,Sync!$D$5)&amp;"",""),Brand_Log!$A$2:$A$201,0))&amp;"",IFERROR(INDEX(Clay_Brands!$A$2:$FZ$601,137,Sync!$D$5)&amp;"","")&amp;""))</f>
        <v/>
      </c>
      <c r="E4788" s="23" t="str">
        <f aca="false">IF(B4788="","",IFERROR(INDEX(Clay_Brands!$A$2:$FZ$601,137,Sync!$D$6)&amp;"",""))</f>
        <v/>
      </c>
      <c r="F4788" s="23" t="str">
        <f aca="false">IF(B4788="","","outreach_sent")</f>
        <v/>
      </c>
      <c r="G4788" s="23" t="str">
        <f aca="false">IF(B4788="","","")</f>
        <v/>
      </c>
      <c r="H4788" s="23" t="str">
        <f aca="false">IF(B4788="","","")</f>
        <v/>
      </c>
      <c r="I4788" s="23" t="str">
        <f aca="false">IF(B4788="","","")</f>
        <v/>
      </c>
      <c r="J4788" s="23" t="str">
        <f aca="false">IF(B4788="","","touch_3; "&amp;IFERROR(INDEX(Clay_Brands!$A$2:$FZ$601,137,Sync!$D$10)&amp;"","")&amp;"; "&amp;IFERROR(INDEX(Clay_Brands!$A$2:$FZ$601,137,Sync!$D$9)&amp;"",""))</f>
        <v/>
      </c>
      <c r="K4788" s="32" t="s">
        <v>1368</v>
      </c>
    </row>
    <row r="4789" customFormat="false" ht="15" hidden="false" customHeight="false" outlineLevel="0" collapsed="false">
      <c r="A4789" s="23" t="str">
        <f aca="false">IF(B4789="","",B4789+(17*1000+138)/10000000)</f>
        <v/>
      </c>
      <c r="B4789" s="35" t="str">
        <f aca="false">IF(AND(IFERROR(N(INDEX(Clay_Brands!$A$2:$FZ$601,138,Sync!$D$13)),0)&gt;0,IFERROR(INDEX(Clay_Brands!$A$2:$FZ$601,138,Sync!$D$5)&amp;"","")&lt;&gt;"",OR(LEFT(IFERROR(INDEX(Clay_Brands!$A$2:$FZ$601,138,Sync!$D$5)&amp;"",""),6)&lt;&gt;"SAMPLE",Config!$B$19="Y")),IFERROR(N(INDEX(Clay_Brands!$A$2:$FZ$601,138,Sync!$D$13)),0),"")</f>
        <v/>
      </c>
      <c r="C4789" s="23" t="str">
        <f aca="false">IF(B4789="","","brand")</f>
        <v/>
      </c>
      <c r="D4789" s="23" t="str">
        <f aca="false">IF(B4789="","",IFERROR(INDEX(Brand_Log!$DV$2:$DV$201,MATCH(IFERROR(INDEX(Clay_Brands!$A$2:$FZ$601,138,Sync!$D$5)&amp;"",""),Brand_Log!$A$2:$A$201,0))&amp;"",IFERROR(INDEX(Clay_Brands!$A$2:$FZ$601,138,Sync!$D$5)&amp;"","")&amp;""))</f>
        <v/>
      </c>
      <c r="E4789" s="23" t="str">
        <f aca="false">IF(B4789="","",IFERROR(INDEX(Clay_Brands!$A$2:$FZ$601,138,Sync!$D$6)&amp;"",""))</f>
        <v/>
      </c>
      <c r="F4789" s="23" t="str">
        <f aca="false">IF(B4789="","","outreach_sent")</f>
        <v/>
      </c>
      <c r="G4789" s="23" t="str">
        <f aca="false">IF(B4789="","","")</f>
        <v/>
      </c>
      <c r="H4789" s="23" t="str">
        <f aca="false">IF(B4789="","","")</f>
        <v/>
      </c>
      <c r="I4789" s="23" t="str">
        <f aca="false">IF(B4789="","","")</f>
        <v/>
      </c>
      <c r="J4789" s="23" t="str">
        <f aca="false">IF(B4789="","","touch_3; "&amp;IFERROR(INDEX(Clay_Brands!$A$2:$FZ$601,138,Sync!$D$10)&amp;"","")&amp;"; "&amp;IFERROR(INDEX(Clay_Brands!$A$2:$FZ$601,138,Sync!$D$9)&amp;"",""))</f>
        <v/>
      </c>
      <c r="K4789" s="32" t="s">
        <v>1368</v>
      </c>
    </row>
    <row r="4790" customFormat="false" ht="15" hidden="false" customHeight="false" outlineLevel="0" collapsed="false">
      <c r="A4790" s="23" t="str">
        <f aca="false">IF(B4790="","",B4790+(17*1000+139)/10000000)</f>
        <v/>
      </c>
      <c r="B4790" s="35" t="str">
        <f aca="false">IF(AND(IFERROR(N(INDEX(Clay_Brands!$A$2:$FZ$601,139,Sync!$D$13)),0)&gt;0,IFERROR(INDEX(Clay_Brands!$A$2:$FZ$601,139,Sync!$D$5)&amp;"","")&lt;&gt;"",OR(LEFT(IFERROR(INDEX(Clay_Brands!$A$2:$FZ$601,139,Sync!$D$5)&amp;"",""),6)&lt;&gt;"SAMPLE",Config!$B$19="Y")),IFERROR(N(INDEX(Clay_Brands!$A$2:$FZ$601,139,Sync!$D$13)),0),"")</f>
        <v/>
      </c>
      <c r="C4790" s="23" t="str">
        <f aca="false">IF(B4790="","","brand")</f>
        <v/>
      </c>
      <c r="D4790" s="23" t="str">
        <f aca="false">IF(B4790="","",IFERROR(INDEX(Brand_Log!$DV$2:$DV$201,MATCH(IFERROR(INDEX(Clay_Brands!$A$2:$FZ$601,139,Sync!$D$5)&amp;"",""),Brand_Log!$A$2:$A$201,0))&amp;"",IFERROR(INDEX(Clay_Brands!$A$2:$FZ$601,139,Sync!$D$5)&amp;"","")&amp;""))</f>
        <v/>
      </c>
      <c r="E4790" s="23" t="str">
        <f aca="false">IF(B4790="","",IFERROR(INDEX(Clay_Brands!$A$2:$FZ$601,139,Sync!$D$6)&amp;"",""))</f>
        <v/>
      </c>
      <c r="F4790" s="23" t="str">
        <f aca="false">IF(B4790="","","outreach_sent")</f>
        <v/>
      </c>
      <c r="G4790" s="23" t="str">
        <f aca="false">IF(B4790="","","")</f>
        <v/>
      </c>
      <c r="H4790" s="23" t="str">
        <f aca="false">IF(B4790="","","")</f>
        <v/>
      </c>
      <c r="I4790" s="23" t="str">
        <f aca="false">IF(B4790="","","")</f>
        <v/>
      </c>
      <c r="J4790" s="23" t="str">
        <f aca="false">IF(B4790="","","touch_3; "&amp;IFERROR(INDEX(Clay_Brands!$A$2:$FZ$601,139,Sync!$D$10)&amp;"","")&amp;"; "&amp;IFERROR(INDEX(Clay_Brands!$A$2:$FZ$601,139,Sync!$D$9)&amp;"",""))</f>
        <v/>
      </c>
      <c r="K4790" s="32" t="s">
        <v>1368</v>
      </c>
    </row>
    <row r="4791" customFormat="false" ht="15" hidden="false" customHeight="false" outlineLevel="0" collapsed="false">
      <c r="A4791" s="23" t="str">
        <f aca="false">IF(B4791="","",B4791+(17*1000+140)/10000000)</f>
        <v/>
      </c>
      <c r="B4791" s="35" t="str">
        <f aca="false">IF(AND(IFERROR(N(INDEX(Clay_Brands!$A$2:$FZ$601,140,Sync!$D$13)),0)&gt;0,IFERROR(INDEX(Clay_Brands!$A$2:$FZ$601,140,Sync!$D$5)&amp;"","")&lt;&gt;"",OR(LEFT(IFERROR(INDEX(Clay_Brands!$A$2:$FZ$601,140,Sync!$D$5)&amp;"",""),6)&lt;&gt;"SAMPLE",Config!$B$19="Y")),IFERROR(N(INDEX(Clay_Brands!$A$2:$FZ$601,140,Sync!$D$13)),0),"")</f>
        <v/>
      </c>
      <c r="C4791" s="23" t="str">
        <f aca="false">IF(B4791="","","brand")</f>
        <v/>
      </c>
      <c r="D4791" s="23" t="str">
        <f aca="false">IF(B4791="","",IFERROR(INDEX(Brand_Log!$DV$2:$DV$201,MATCH(IFERROR(INDEX(Clay_Brands!$A$2:$FZ$601,140,Sync!$D$5)&amp;"",""),Brand_Log!$A$2:$A$201,0))&amp;"",IFERROR(INDEX(Clay_Brands!$A$2:$FZ$601,140,Sync!$D$5)&amp;"","")&amp;""))</f>
        <v/>
      </c>
      <c r="E4791" s="23" t="str">
        <f aca="false">IF(B4791="","",IFERROR(INDEX(Clay_Brands!$A$2:$FZ$601,140,Sync!$D$6)&amp;"",""))</f>
        <v/>
      </c>
      <c r="F4791" s="23" t="str">
        <f aca="false">IF(B4791="","","outreach_sent")</f>
        <v/>
      </c>
      <c r="G4791" s="23" t="str">
        <f aca="false">IF(B4791="","","")</f>
        <v/>
      </c>
      <c r="H4791" s="23" t="str">
        <f aca="false">IF(B4791="","","")</f>
        <v/>
      </c>
      <c r="I4791" s="23" t="str">
        <f aca="false">IF(B4791="","","")</f>
        <v/>
      </c>
      <c r="J4791" s="23" t="str">
        <f aca="false">IF(B4791="","","touch_3; "&amp;IFERROR(INDEX(Clay_Brands!$A$2:$FZ$601,140,Sync!$D$10)&amp;"","")&amp;"; "&amp;IFERROR(INDEX(Clay_Brands!$A$2:$FZ$601,140,Sync!$D$9)&amp;"",""))</f>
        <v/>
      </c>
      <c r="K4791" s="32" t="s">
        <v>1368</v>
      </c>
    </row>
    <row r="4792" customFormat="false" ht="15" hidden="false" customHeight="false" outlineLevel="0" collapsed="false">
      <c r="A4792" s="23" t="str">
        <f aca="false">IF(B4792="","",B4792+(17*1000+141)/10000000)</f>
        <v/>
      </c>
      <c r="B4792" s="35" t="str">
        <f aca="false">IF(AND(IFERROR(N(INDEX(Clay_Brands!$A$2:$FZ$601,141,Sync!$D$13)),0)&gt;0,IFERROR(INDEX(Clay_Brands!$A$2:$FZ$601,141,Sync!$D$5)&amp;"","")&lt;&gt;"",OR(LEFT(IFERROR(INDEX(Clay_Brands!$A$2:$FZ$601,141,Sync!$D$5)&amp;"",""),6)&lt;&gt;"SAMPLE",Config!$B$19="Y")),IFERROR(N(INDEX(Clay_Brands!$A$2:$FZ$601,141,Sync!$D$13)),0),"")</f>
        <v/>
      </c>
      <c r="C4792" s="23" t="str">
        <f aca="false">IF(B4792="","","brand")</f>
        <v/>
      </c>
      <c r="D4792" s="23" t="str">
        <f aca="false">IF(B4792="","",IFERROR(INDEX(Brand_Log!$DV$2:$DV$201,MATCH(IFERROR(INDEX(Clay_Brands!$A$2:$FZ$601,141,Sync!$D$5)&amp;"",""),Brand_Log!$A$2:$A$201,0))&amp;"",IFERROR(INDEX(Clay_Brands!$A$2:$FZ$601,141,Sync!$D$5)&amp;"","")&amp;""))</f>
        <v/>
      </c>
      <c r="E4792" s="23" t="str">
        <f aca="false">IF(B4792="","",IFERROR(INDEX(Clay_Brands!$A$2:$FZ$601,141,Sync!$D$6)&amp;"",""))</f>
        <v/>
      </c>
      <c r="F4792" s="23" t="str">
        <f aca="false">IF(B4792="","","outreach_sent")</f>
        <v/>
      </c>
      <c r="G4792" s="23" t="str">
        <f aca="false">IF(B4792="","","")</f>
        <v/>
      </c>
      <c r="H4792" s="23" t="str">
        <f aca="false">IF(B4792="","","")</f>
        <v/>
      </c>
      <c r="I4792" s="23" t="str">
        <f aca="false">IF(B4792="","","")</f>
        <v/>
      </c>
      <c r="J4792" s="23" t="str">
        <f aca="false">IF(B4792="","","touch_3; "&amp;IFERROR(INDEX(Clay_Brands!$A$2:$FZ$601,141,Sync!$D$10)&amp;"","")&amp;"; "&amp;IFERROR(INDEX(Clay_Brands!$A$2:$FZ$601,141,Sync!$D$9)&amp;"",""))</f>
        <v/>
      </c>
      <c r="K4792" s="32" t="s">
        <v>1368</v>
      </c>
    </row>
    <row r="4793" customFormat="false" ht="15" hidden="false" customHeight="false" outlineLevel="0" collapsed="false">
      <c r="A4793" s="23" t="str">
        <f aca="false">IF(B4793="","",B4793+(17*1000+142)/10000000)</f>
        <v/>
      </c>
      <c r="B4793" s="35" t="str">
        <f aca="false">IF(AND(IFERROR(N(INDEX(Clay_Brands!$A$2:$FZ$601,142,Sync!$D$13)),0)&gt;0,IFERROR(INDEX(Clay_Brands!$A$2:$FZ$601,142,Sync!$D$5)&amp;"","")&lt;&gt;"",OR(LEFT(IFERROR(INDEX(Clay_Brands!$A$2:$FZ$601,142,Sync!$D$5)&amp;"",""),6)&lt;&gt;"SAMPLE",Config!$B$19="Y")),IFERROR(N(INDEX(Clay_Brands!$A$2:$FZ$601,142,Sync!$D$13)),0),"")</f>
        <v/>
      </c>
      <c r="C4793" s="23" t="str">
        <f aca="false">IF(B4793="","","brand")</f>
        <v/>
      </c>
      <c r="D4793" s="23" t="str">
        <f aca="false">IF(B4793="","",IFERROR(INDEX(Brand_Log!$DV$2:$DV$201,MATCH(IFERROR(INDEX(Clay_Brands!$A$2:$FZ$601,142,Sync!$D$5)&amp;"",""),Brand_Log!$A$2:$A$201,0))&amp;"",IFERROR(INDEX(Clay_Brands!$A$2:$FZ$601,142,Sync!$D$5)&amp;"","")&amp;""))</f>
        <v/>
      </c>
      <c r="E4793" s="23" t="str">
        <f aca="false">IF(B4793="","",IFERROR(INDEX(Clay_Brands!$A$2:$FZ$601,142,Sync!$D$6)&amp;"",""))</f>
        <v/>
      </c>
      <c r="F4793" s="23" t="str">
        <f aca="false">IF(B4793="","","outreach_sent")</f>
        <v/>
      </c>
      <c r="G4793" s="23" t="str">
        <f aca="false">IF(B4793="","","")</f>
        <v/>
      </c>
      <c r="H4793" s="23" t="str">
        <f aca="false">IF(B4793="","","")</f>
        <v/>
      </c>
      <c r="I4793" s="23" t="str">
        <f aca="false">IF(B4793="","","")</f>
        <v/>
      </c>
      <c r="J4793" s="23" t="str">
        <f aca="false">IF(B4793="","","touch_3; "&amp;IFERROR(INDEX(Clay_Brands!$A$2:$FZ$601,142,Sync!$D$10)&amp;"","")&amp;"; "&amp;IFERROR(INDEX(Clay_Brands!$A$2:$FZ$601,142,Sync!$D$9)&amp;"",""))</f>
        <v/>
      </c>
      <c r="K4793" s="32" t="s">
        <v>1368</v>
      </c>
    </row>
    <row r="4794" customFormat="false" ht="15" hidden="false" customHeight="false" outlineLevel="0" collapsed="false">
      <c r="A4794" s="23" t="str">
        <f aca="false">IF(B4794="","",B4794+(17*1000+143)/10000000)</f>
        <v/>
      </c>
      <c r="B4794" s="35" t="str">
        <f aca="false">IF(AND(IFERROR(N(INDEX(Clay_Brands!$A$2:$FZ$601,143,Sync!$D$13)),0)&gt;0,IFERROR(INDEX(Clay_Brands!$A$2:$FZ$601,143,Sync!$D$5)&amp;"","")&lt;&gt;"",OR(LEFT(IFERROR(INDEX(Clay_Brands!$A$2:$FZ$601,143,Sync!$D$5)&amp;"",""),6)&lt;&gt;"SAMPLE",Config!$B$19="Y")),IFERROR(N(INDEX(Clay_Brands!$A$2:$FZ$601,143,Sync!$D$13)),0),"")</f>
        <v/>
      </c>
      <c r="C4794" s="23" t="str">
        <f aca="false">IF(B4794="","","brand")</f>
        <v/>
      </c>
      <c r="D4794" s="23" t="str">
        <f aca="false">IF(B4794="","",IFERROR(INDEX(Brand_Log!$DV$2:$DV$201,MATCH(IFERROR(INDEX(Clay_Brands!$A$2:$FZ$601,143,Sync!$D$5)&amp;"",""),Brand_Log!$A$2:$A$201,0))&amp;"",IFERROR(INDEX(Clay_Brands!$A$2:$FZ$601,143,Sync!$D$5)&amp;"","")&amp;""))</f>
        <v/>
      </c>
      <c r="E4794" s="23" t="str">
        <f aca="false">IF(B4794="","",IFERROR(INDEX(Clay_Brands!$A$2:$FZ$601,143,Sync!$D$6)&amp;"",""))</f>
        <v/>
      </c>
      <c r="F4794" s="23" t="str">
        <f aca="false">IF(B4794="","","outreach_sent")</f>
        <v/>
      </c>
      <c r="G4794" s="23" t="str">
        <f aca="false">IF(B4794="","","")</f>
        <v/>
      </c>
      <c r="H4794" s="23" t="str">
        <f aca="false">IF(B4794="","","")</f>
        <v/>
      </c>
      <c r="I4794" s="23" t="str">
        <f aca="false">IF(B4794="","","")</f>
        <v/>
      </c>
      <c r="J4794" s="23" t="str">
        <f aca="false">IF(B4794="","","touch_3; "&amp;IFERROR(INDEX(Clay_Brands!$A$2:$FZ$601,143,Sync!$D$10)&amp;"","")&amp;"; "&amp;IFERROR(INDEX(Clay_Brands!$A$2:$FZ$601,143,Sync!$D$9)&amp;"",""))</f>
        <v/>
      </c>
      <c r="K4794" s="32" t="s">
        <v>1368</v>
      </c>
    </row>
    <row r="4795" customFormat="false" ht="15" hidden="false" customHeight="false" outlineLevel="0" collapsed="false">
      <c r="A4795" s="23" t="str">
        <f aca="false">IF(B4795="","",B4795+(17*1000+144)/10000000)</f>
        <v/>
      </c>
      <c r="B4795" s="35" t="str">
        <f aca="false">IF(AND(IFERROR(N(INDEX(Clay_Brands!$A$2:$FZ$601,144,Sync!$D$13)),0)&gt;0,IFERROR(INDEX(Clay_Brands!$A$2:$FZ$601,144,Sync!$D$5)&amp;"","")&lt;&gt;"",OR(LEFT(IFERROR(INDEX(Clay_Brands!$A$2:$FZ$601,144,Sync!$D$5)&amp;"",""),6)&lt;&gt;"SAMPLE",Config!$B$19="Y")),IFERROR(N(INDEX(Clay_Brands!$A$2:$FZ$601,144,Sync!$D$13)),0),"")</f>
        <v/>
      </c>
      <c r="C4795" s="23" t="str">
        <f aca="false">IF(B4795="","","brand")</f>
        <v/>
      </c>
      <c r="D4795" s="23" t="str">
        <f aca="false">IF(B4795="","",IFERROR(INDEX(Brand_Log!$DV$2:$DV$201,MATCH(IFERROR(INDEX(Clay_Brands!$A$2:$FZ$601,144,Sync!$D$5)&amp;"",""),Brand_Log!$A$2:$A$201,0))&amp;"",IFERROR(INDEX(Clay_Brands!$A$2:$FZ$601,144,Sync!$D$5)&amp;"","")&amp;""))</f>
        <v/>
      </c>
      <c r="E4795" s="23" t="str">
        <f aca="false">IF(B4795="","",IFERROR(INDEX(Clay_Brands!$A$2:$FZ$601,144,Sync!$D$6)&amp;"",""))</f>
        <v/>
      </c>
      <c r="F4795" s="23" t="str">
        <f aca="false">IF(B4795="","","outreach_sent")</f>
        <v/>
      </c>
      <c r="G4795" s="23" t="str">
        <f aca="false">IF(B4795="","","")</f>
        <v/>
      </c>
      <c r="H4795" s="23" t="str">
        <f aca="false">IF(B4795="","","")</f>
        <v/>
      </c>
      <c r="I4795" s="23" t="str">
        <f aca="false">IF(B4795="","","")</f>
        <v/>
      </c>
      <c r="J4795" s="23" t="str">
        <f aca="false">IF(B4795="","","touch_3; "&amp;IFERROR(INDEX(Clay_Brands!$A$2:$FZ$601,144,Sync!$D$10)&amp;"","")&amp;"; "&amp;IFERROR(INDEX(Clay_Brands!$A$2:$FZ$601,144,Sync!$D$9)&amp;"",""))</f>
        <v/>
      </c>
      <c r="K4795" s="32" t="s">
        <v>1368</v>
      </c>
    </row>
    <row r="4796" customFormat="false" ht="15" hidden="false" customHeight="false" outlineLevel="0" collapsed="false">
      <c r="A4796" s="23" t="str">
        <f aca="false">IF(B4796="","",B4796+(17*1000+145)/10000000)</f>
        <v/>
      </c>
      <c r="B4796" s="35" t="str">
        <f aca="false">IF(AND(IFERROR(N(INDEX(Clay_Brands!$A$2:$FZ$601,145,Sync!$D$13)),0)&gt;0,IFERROR(INDEX(Clay_Brands!$A$2:$FZ$601,145,Sync!$D$5)&amp;"","")&lt;&gt;"",OR(LEFT(IFERROR(INDEX(Clay_Brands!$A$2:$FZ$601,145,Sync!$D$5)&amp;"",""),6)&lt;&gt;"SAMPLE",Config!$B$19="Y")),IFERROR(N(INDEX(Clay_Brands!$A$2:$FZ$601,145,Sync!$D$13)),0),"")</f>
        <v/>
      </c>
      <c r="C4796" s="23" t="str">
        <f aca="false">IF(B4796="","","brand")</f>
        <v/>
      </c>
      <c r="D4796" s="23" t="str">
        <f aca="false">IF(B4796="","",IFERROR(INDEX(Brand_Log!$DV$2:$DV$201,MATCH(IFERROR(INDEX(Clay_Brands!$A$2:$FZ$601,145,Sync!$D$5)&amp;"",""),Brand_Log!$A$2:$A$201,0))&amp;"",IFERROR(INDEX(Clay_Brands!$A$2:$FZ$601,145,Sync!$D$5)&amp;"","")&amp;""))</f>
        <v/>
      </c>
      <c r="E4796" s="23" t="str">
        <f aca="false">IF(B4796="","",IFERROR(INDEX(Clay_Brands!$A$2:$FZ$601,145,Sync!$D$6)&amp;"",""))</f>
        <v/>
      </c>
      <c r="F4796" s="23" t="str">
        <f aca="false">IF(B4796="","","outreach_sent")</f>
        <v/>
      </c>
      <c r="G4796" s="23" t="str">
        <f aca="false">IF(B4796="","","")</f>
        <v/>
      </c>
      <c r="H4796" s="23" t="str">
        <f aca="false">IF(B4796="","","")</f>
        <v/>
      </c>
      <c r="I4796" s="23" t="str">
        <f aca="false">IF(B4796="","","")</f>
        <v/>
      </c>
      <c r="J4796" s="23" t="str">
        <f aca="false">IF(B4796="","","touch_3; "&amp;IFERROR(INDEX(Clay_Brands!$A$2:$FZ$601,145,Sync!$D$10)&amp;"","")&amp;"; "&amp;IFERROR(INDEX(Clay_Brands!$A$2:$FZ$601,145,Sync!$D$9)&amp;"",""))</f>
        <v/>
      </c>
      <c r="K4796" s="32" t="s">
        <v>1368</v>
      </c>
    </row>
    <row r="4797" customFormat="false" ht="15" hidden="false" customHeight="false" outlineLevel="0" collapsed="false">
      <c r="A4797" s="23" t="str">
        <f aca="false">IF(B4797="","",B4797+(17*1000+146)/10000000)</f>
        <v/>
      </c>
      <c r="B4797" s="35" t="str">
        <f aca="false">IF(AND(IFERROR(N(INDEX(Clay_Brands!$A$2:$FZ$601,146,Sync!$D$13)),0)&gt;0,IFERROR(INDEX(Clay_Brands!$A$2:$FZ$601,146,Sync!$D$5)&amp;"","")&lt;&gt;"",OR(LEFT(IFERROR(INDEX(Clay_Brands!$A$2:$FZ$601,146,Sync!$D$5)&amp;"",""),6)&lt;&gt;"SAMPLE",Config!$B$19="Y")),IFERROR(N(INDEX(Clay_Brands!$A$2:$FZ$601,146,Sync!$D$13)),0),"")</f>
        <v/>
      </c>
      <c r="C4797" s="23" t="str">
        <f aca="false">IF(B4797="","","brand")</f>
        <v/>
      </c>
      <c r="D4797" s="23" t="str">
        <f aca="false">IF(B4797="","",IFERROR(INDEX(Brand_Log!$DV$2:$DV$201,MATCH(IFERROR(INDEX(Clay_Brands!$A$2:$FZ$601,146,Sync!$D$5)&amp;"",""),Brand_Log!$A$2:$A$201,0))&amp;"",IFERROR(INDEX(Clay_Brands!$A$2:$FZ$601,146,Sync!$D$5)&amp;"","")&amp;""))</f>
        <v/>
      </c>
      <c r="E4797" s="23" t="str">
        <f aca="false">IF(B4797="","",IFERROR(INDEX(Clay_Brands!$A$2:$FZ$601,146,Sync!$D$6)&amp;"",""))</f>
        <v/>
      </c>
      <c r="F4797" s="23" t="str">
        <f aca="false">IF(B4797="","","outreach_sent")</f>
        <v/>
      </c>
      <c r="G4797" s="23" t="str">
        <f aca="false">IF(B4797="","","")</f>
        <v/>
      </c>
      <c r="H4797" s="23" t="str">
        <f aca="false">IF(B4797="","","")</f>
        <v/>
      </c>
      <c r="I4797" s="23" t="str">
        <f aca="false">IF(B4797="","","")</f>
        <v/>
      </c>
      <c r="J4797" s="23" t="str">
        <f aca="false">IF(B4797="","","touch_3; "&amp;IFERROR(INDEX(Clay_Brands!$A$2:$FZ$601,146,Sync!$D$10)&amp;"","")&amp;"; "&amp;IFERROR(INDEX(Clay_Brands!$A$2:$FZ$601,146,Sync!$D$9)&amp;"",""))</f>
        <v/>
      </c>
      <c r="K4797" s="32" t="s">
        <v>1368</v>
      </c>
    </row>
    <row r="4798" customFormat="false" ht="15" hidden="false" customHeight="false" outlineLevel="0" collapsed="false">
      <c r="A4798" s="23" t="str">
        <f aca="false">IF(B4798="","",B4798+(17*1000+147)/10000000)</f>
        <v/>
      </c>
      <c r="B4798" s="35" t="str">
        <f aca="false">IF(AND(IFERROR(N(INDEX(Clay_Brands!$A$2:$FZ$601,147,Sync!$D$13)),0)&gt;0,IFERROR(INDEX(Clay_Brands!$A$2:$FZ$601,147,Sync!$D$5)&amp;"","")&lt;&gt;"",OR(LEFT(IFERROR(INDEX(Clay_Brands!$A$2:$FZ$601,147,Sync!$D$5)&amp;"",""),6)&lt;&gt;"SAMPLE",Config!$B$19="Y")),IFERROR(N(INDEX(Clay_Brands!$A$2:$FZ$601,147,Sync!$D$13)),0),"")</f>
        <v/>
      </c>
      <c r="C4798" s="23" t="str">
        <f aca="false">IF(B4798="","","brand")</f>
        <v/>
      </c>
      <c r="D4798" s="23" t="str">
        <f aca="false">IF(B4798="","",IFERROR(INDEX(Brand_Log!$DV$2:$DV$201,MATCH(IFERROR(INDEX(Clay_Brands!$A$2:$FZ$601,147,Sync!$D$5)&amp;"",""),Brand_Log!$A$2:$A$201,0))&amp;"",IFERROR(INDEX(Clay_Brands!$A$2:$FZ$601,147,Sync!$D$5)&amp;"","")&amp;""))</f>
        <v/>
      </c>
      <c r="E4798" s="23" t="str">
        <f aca="false">IF(B4798="","",IFERROR(INDEX(Clay_Brands!$A$2:$FZ$601,147,Sync!$D$6)&amp;"",""))</f>
        <v/>
      </c>
      <c r="F4798" s="23" t="str">
        <f aca="false">IF(B4798="","","outreach_sent")</f>
        <v/>
      </c>
      <c r="G4798" s="23" t="str">
        <f aca="false">IF(B4798="","","")</f>
        <v/>
      </c>
      <c r="H4798" s="23" t="str">
        <f aca="false">IF(B4798="","","")</f>
        <v/>
      </c>
      <c r="I4798" s="23" t="str">
        <f aca="false">IF(B4798="","","")</f>
        <v/>
      </c>
      <c r="J4798" s="23" t="str">
        <f aca="false">IF(B4798="","","touch_3; "&amp;IFERROR(INDEX(Clay_Brands!$A$2:$FZ$601,147,Sync!$D$10)&amp;"","")&amp;"; "&amp;IFERROR(INDEX(Clay_Brands!$A$2:$FZ$601,147,Sync!$D$9)&amp;"",""))</f>
        <v/>
      </c>
      <c r="K4798" s="32" t="s">
        <v>1368</v>
      </c>
    </row>
    <row r="4799" customFormat="false" ht="15" hidden="false" customHeight="false" outlineLevel="0" collapsed="false">
      <c r="A4799" s="23" t="str">
        <f aca="false">IF(B4799="","",B4799+(17*1000+148)/10000000)</f>
        <v/>
      </c>
      <c r="B4799" s="35" t="str">
        <f aca="false">IF(AND(IFERROR(N(INDEX(Clay_Brands!$A$2:$FZ$601,148,Sync!$D$13)),0)&gt;0,IFERROR(INDEX(Clay_Brands!$A$2:$FZ$601,148,Sync!$D$5)&amp;"","")&lt;&gt;"",OR(LEFT(IFERROR(INDEX(Clay_Brands!$A$2:$FZ$601,148,Sync!$D$5)&amp;"",""),6)&lt;&gt;"SAMPLE",Config!$B$19="Y")),IFERROR(N(INDEX(Clay_Brands!$A$2:$FZ$601,148,Sync!$D$13)),0),"")</f>
        <v/>
      </c>
      <c r="C4799" s="23" t="str">
        <f aca="false">IF(B4799="","","brand")</f>
        <v/>
      </c>
      <c r="D4799" s="23" t="str">
        <f aca="false">IF(B4799="","",IFERROR(INDEX(Brand_Log!$DV$2:$DV$201,MATCH(IFERROR(INDEX(Clay_Brands!$A$2:$FZ$601,148,Sync!$D$5)&amp;"",""),Brand_Log!$A$2:$A$201,0))&amp;"",IFERROR(INDEX(Clay_Brands!$A$2:$FZ$601,148,Sync!$D$5)&amp;"","")&amp;""))</f>
        <v/>
      </c>
      <c r="E4799" s="23" t="str">
        <f aca="false">IF(B4799="","",IFERROR(INDEX(Clay_Brands!$A$2:$FZ$601,148,Sync!$D$6)&amp;"",""))</f>
        <v/>
      </c>
      <c r="F4799" s="23" t="str">
        <f aca="false">IF(B4799="","","outreach_sent")</f>
        <v/>
      </c>
      <c r="G4799" s="23" t="str">
        <f aca="false">IF(B4799="","","")</f>
        <v/>
      </c>
      <c r="H4799" s="23" t="str">
        <f aca="false">IF(B4799="","","")</f>
        <v/>
      </c>
      <c r="I4799" s="23" t="str">
        <f aca="false">IF(B4799="","","")</f>
        <v/>
      </c>
      <c r="J4799" s="23" t="str">
        <f aca="false">IF(B4799="","","touch_3; "&amp;IFERROR(INDEX(Clay_Brands!$A$2:$FZ$601,148,Sync!$D$10)&amp;"","")&amp;"; "&amp;IFERROR(INDEX(Clay_Brands!$A$2:$FZ$601,148,Sync!$D$9)&amp;"",""))</f>
        <v/>
      </c>
      <c r="K4799" s="32" t="s">
        <v>1368</v>
      </c>
    </row>
    <row r="4800" customFormat="false" ht="15" hidden="false" customHeight="false" outlineLevel="0" collapsed="false">
      <c r="A4800" s="23" t="str">
        <f aca="false">IF(B4800="","",B4800+(17*1000+149)/10000000)</f>
        <v/>
      </c>
      <c r="B4800" s="35" t="str">
        <f aca="false">IF(AND(IFERROR(N(INDEX(Clay_Brands!$A$2:$FZ$601,149,Sync!$D$13)),0)&gt;0,IFERROR(INDEX(Clay_Brands!$A$2:$FZ$601,149,Sync!$D$5)&amp;"","")&lt;&gt;"",OR(LEFT(IFERROR(INDEX(Clay_Brands!$A$2:$FZ$601,149,Sync!$D$5)&amp;"",""),6)&lt;&gt;"SAMPLE",Config!$B$19="Y")),IFERROR(N(INDEX(Clay_Brands!$A$2:$FZ$601,149,Sync!$D$13)),0),"")</f>
        <v/>
      </c>
      <c r="C4800" s="23" t="str">
        <f aca="false">IF(B4800="","","brand")</f>
        <v/>
      </c>
      <c r="D4800" s="23" t="str">
        <f aca="false">IF(B4800="","",IFERROR(INDEX(Brand_Log!$DV$2:$DV$201,MATCH(IFERROR(INDEX(Clay_Brands!$A$2:$FZ$601,149,Sync!$D$5)&amp;"",""),Brand_Log!$A$2:$A$201,0))&amp;"",IFERROR(INDEX(Clay_Brands!$A$2:$FZ$601,149,Sync!$D$5)&amp;"","")&amp;""))</f>
        <v/>
      </c>
      <c r="E4800" s="23" t="str">
        <f aca="false">IF(B4800="","",IFERROR(INDEX(Clay_Brands!$A$2:$FZ$601,149,Sync!$D$6)&amp;"",""))</f>
        <v/>
      </c>
      <c r="F4800" s="23" t="str">
        <f aca="false">IF(B4800="","","outreach_sent")</f>
        <v/>
      </c>
      <c r="G4800" s="23" t="str">
        <f aca="false">IF(B4800="","","")</f>
        <v/>
      </c>
      <c r="H4800" s="23" t="str">
        <f aca="false">IF(B4800="","","")</f>
        <v/>
      </c>
      <c r="I4800" s="23" t="str">
        <f aca="false">IF(B4800="","","")</f>
        <v/>
      </c>
      <c r="J4800" s="23" t="str">
        <f aca="false">IF(B4800="","","touch_3; "&amp;IFERROR(INDEX(Clay_Brands!$A$2:$FZ$601,149,Sync!$D$10)&amp;"","")&amp;"; "&amp;IFERROR(INDEX(Clay_Brands!$A$2:$FZ$601,149,Sync!$D$9)&amp;"",""))</f>
        <v/>
      </c>
      <c r="K4800" s="32" t="s">
        <v>1368</v>
      </c>
    </row>
    <row r="4801" customFormat="false" ht="15" hidden="false" customHeight="false" outlineLevel="0" collapsed="false">
      <c r="A4801" s="23" t="str">
        <f aca="false">IF(B4801="","",B4801+(17*1000+150)/10000000)</f>
        <v/>
      </c>
      <c r="B4801" s="35" t="str">
        <f aca="false">IF(AND(IFERROR(N(INDEX(Clay_Brands!$A$2:$FZ$601,150,Sync!$D$13)),0)&gt;0,IFERROR(INDEX(Clay_Brands!$A$2:$FZ$601,150,Sync!$D$5)&amp;"","")&lt;&gt;"",OR(LEFT(IFERROR(INDEX(Clay_Brands!$A$2:$FZ$601,150,Sync!$D$5)&amp;"",""),6)&lt;&gt;"SAMPLE",Config!$B$19="Y")),IFERROR(N(INDEX(Clay_Brands!$A$2:$FZ$601,150,Sync!$D$13)),0),"")</f>
        <v/>
      </c>
      <c r="C4801" s="23" t="str">
        <f aca="false">IF(B4801="","","brand")</f>
        <v/>
      </c>
      <c r="D4801" s="23" t="str">
        <f aca="false">IF(B4801="","",IFERROR(INDEX(Brand_Log!$DV$2:$DV$201,MATCH(IFERROR(INDEX(Clay_Brands!$A$2:$FZ$601,150,Sync!$D$5)&amp;"",""),Brand_Log!$A$2:$A$201,0))&amp;"",IFERROR(INDEX(Clay_Brands!$A$2:$FZ$601,150,Sync!$D$5)&amp;"","")&amp;""))</f>
        <v/>
      </c>
      <c r="E4801" s="23" t="str">
        <f aca="false">IF(B4801="","",IFERROR(INDEX(Clay_Brands!$A$2:$FZ$601,150,Sync!$D$6)&amp;"",""))</f>
        <v/>
      </c>
      <c r="F4801" s="23" t="str">
        <f aca="false">IF(B4801="","","outreach_sent")</f>
        <v/>
      </c>
      <c r="G4801" s="23" t="str">
        <f aca="false">IF(B4801="","","")</f>
        <v/>
      </c>
      <c r="H4801" s="23" t="str">
        <f aca="false">IF(B4801="","","")</f>
        <v/>
      </c>
      <c r="I4801" s="23" t="str">
        <f aca="false">IF(B4801="","","")</f>
        <v/>
      </c>
      <c r="J4801" s="23" t="str">
        <f aca="false">IF(B4801="","","touch_3; "&amp;IFERROR(INDEX(Clay_Brands!$A$2:$FZ$601,150,Sync!$D$10)&amp;"","")&amp;"; "&amp;IFERROR(INDEX(Clay_Brands!$A$2:$FZ$601,150,Sync!$D$9)&amp;"",""))</f>
        <v/>
      </c>
      <c r="K4801" s="32" t="s">
        <v>1368</v>
      </c>
    </row>
    <row r="4802" customFormat="false" ht="15" hidden="false" customHeight="false" outlineLevel="0" collapsed="false">
      <c r="A4802" s="23" t="str">
        <f aca="false">IF(B4802="","",B4802+(17*1000+151)/10000000)</f>
        <v/>
      </c>
      <c r="B4802" s="35" t="str">
        <f aca="false">IF(AND(IFERROR(N(INDEX(Clay_Brands!$A$2:$FZ$601,151,Sync!$D$13)),0)&gt;0,IFERROR(INDEX(Clay_Brands!$A$2:$FZ$601,151,Sync!$D$5)&amp;"","")&lt;&gt;"",OR(LEFT(IFERROR(INDEX(Clay_Brands!$A$2:$FZ$601,151,Sync!$D$5)&amp;"",""),6)&lt;&gt;"SAMPLE",Config!$B$19="Y")),IFERROR(N(INDEX(Clay_Brands!$A$2:$FZ$601,151,Sync!$D$13)),0),"")</f>
        <v/>
      </c>
      <c r="C4802" s="23" t="str">
        <f aca="false">IF(B4802="","","brand")</f>
        <v/>
      </c>
      <c r="D4802" s="23" t="str">
        <f aca="false">IF(B4802="","",IFERROR(INDEX(Brand_Log!$DV$2:$DV$201,MATCH(IFERROR(INDEX(Clay_Brands!$A$2:$FZ$601,151,Sync!$D$5)&amp;"",""),Brand_Log!$A$2:$A$201,0))&amp;"",IFERROR(INDEX(Clay_Brands!$A$2:$FZ$601,151,Sync!$D$5)&amp;"","")&amp;""))</f>
        <v/>
      </c>
      <c r="E4802" s="23" t="str">
        <f aca="false">IF(B4802="","",IFERROR(INDEX(Clay_Brands!$A$2:$FZ$601,151,Sync!$D$6)&amp;"",""))</f>
        <v/>
      </c>
      <c r="F4802" s="23" t="str">
        <f aca="false">IF(B4802="","","outreach_sent")</f>
        <v/>
      </c>
      <c r="G4802" s="23" t="str">
        <f aca="false">IF(B4802="","","")</f>
        <v/>
      </c>
      <c r="H4802" s="23" t="str">
        <f aca="false">IF(B4802="","","")</f>
        <v/>
      </c>
      <c r="I4802" s="23" t="str">
        <f aca="false">IF(B4802="","","")</f>
        <v/>
      </c>
      <c r="J4802" s="23" t="str">
        <f aca="false">IF(B4802="","","touch_3; "&amp;IFERROR(INDEX(Clay_Brands!$A$2:$FZ$601,151,Sync!$D$10)&amp;"","")&amp;"; "&amp;IFERROR(INDEX(Clay_Brands!$A$2:$FZ$601,151,Sync!$D$9)&amp;"",""))</f>
        <v/>
      </c>
      <c r="K4802" s="32" t="s">
        <v>1368</v>
      </c>
    </row>
    <row r="4803" customFormat="false" ht="15" hidden="false" customHeight="false" outlineLevel="0" collapsed="false">
      <c r="A4803" s="23" t="str">
        <f aca="false">IF(B4803="","",B4803+(17*1000+152)/10000000)</f>
        <v/>
      </c>
      <c r="B4803" s="35" t="str">
        <f aca="false">IF(AND(IFERROR(N(INDEX(Clay_Brands!$A$2:$FZ$601,152,Sync!$D$13)),0)&gt;0,IFERROR(INDEX(Clay_Brands!$A$2:$FZ$601,152,Sync!$D$5)&amp;"","")&lt;&gt;"",OR(LEFT(IFERROR(INDEX(Clay_Brands!$A$2:$FZ$601,152,Sync!$D$5)&amp;"",""),6)&lt;&gt;"SAMPLE",Config!$B$19="Y")),IFERROR(N(INDEX(Clay_Brands!$A$2:$FZ$601,152,Sync!$D$13)),0),"")</f>
        <v/>
      </c>
      <c r="C4803" s="23" t="str">
        <f aca="false">IF(B4803="","","brand")</f>
        <v/>
      </c>
      <c r="D4803" s="23" t="str">
        <f aca="false">IF(B4803="","",IFERROR(INDEX(Brand_Log!$DV$2:$DV$201,MATCH(IFERROR(INDEX(Clay_Brands!$A$2:$FZ$601,152,Sync!$D$5)&amp;"",""),Brand_Log!$A$2:$A$201,0))&amp;"",IFERROR(INDEX(Clay_Brands!$A$2:$FZ$601,152,Sync!$D$5)&amp;"","")&amp;""))</f>
        <v/>
      </c>
      <c r="E4803" s="23" t="str">
        <f aca="false">IF(B4803="","",IFERROR(INDEX(Clay_Brands!$A$2:$FZ$601,152,Sync!$D$6)&amp;"",""))</f>
        <v/>
      </c>
      <c r="F4803" s="23" t="str">
        <f aca="false">IF(B4803="","","outreach_sent")</f>
        <v/>
      </c>
      <c r="G4803" s="23" t="str">
        <f aca="false">IF(B4803="","","")</f>
        <v/>
      </c>
      <c r="H4803" s="23" t="str">
        <f aca="false">IF(B4803="","","")</f>
        <v/>
      </c>
      <c r="I4803" s="23" t="str">
        <f aca="false">IF(B4803="","","")</f>
        <v/>
      </c>
      <c r="J4803" s="23" t="str">
        <f aca="false">IF(B4803="","","touch_3; "&amp;IFERROR(INDEX(Clay_Brands!$A$2:$FZ$601,152,Sync!$D$10)&amp;"","")&amp;"; "&amp;IFERROR(INDEX(Clay_Brands!$A$2:$FZ$601,152,Sync!$D$9)&amp;"",""))</f>
        <v/>
      </c>
      <c r="K4803" s="32" t="s">
        <v>1368</v>
      </c>
    </row>
    <row r="4804" customFormat="false" ht="15" hidden="false" customHeight="false" outlineLevel="0" collapsed="false">
      <c r="A4804" s="23" t="str">
        <f aca="false">IF(B4804="","",B4804+(17*1000+153)/10000000)</f>
        <v/>
      </c>
      <c r="B4804" s="35" t="str">
        <f aca="false">IF(AND(IFERROR(N(INDEX(Clay_Brands!$A$2:$FZ$601,153,Sync!$D$13)),0)&gt;0,IFERROR(INDEX(Clay_Brands!$A$2:$FZ$601,153,Sync!$D$5)&amp;"","")&lt;&gt;"",OR(LEFT(IFERROR(INDEX(Clay_Brands!$A$2:$FZ$601,153,Sync!$D$5)&amp;"",""),6)&lt;&gt;"SAMPLE",Config!$B$19="Y")),IFERROR(N(INDEX(Clay_Brands!$A$2:$FZ$601,153,Sync!$D$13)),0),"")</f>
        <v/>
      </c>
      <c r="C4804" s="23" t="str">
        <f aca="false">IF(B4804="","","brand")</f>
        <v/>
      </c>
      <c r="D4804" s="23" t="str">
        <f aca="false">IF(B4804="","",IFERROR(INDEX(Brand_Log!$DV$2:$DV$201,MATCH(IFERROR(INDEX(Clay_Brands!$A$2:$FZ$601,153,Sync!$D$5)&amp;"",""),Brand_Log!$A$2:$A$201,0))&amp;"",IFERROR(INDEX(Clay_Brands!$A$2:$FZ$601,153,Sync!$D$5)&amp;"","")&amp;""))</f>
        <v/>
      </c>
      <c r="E4804" s="23" t="str">
        <f aca="false">IF(B4804="","",IFERROR(INDEX(Clay_Brands!$A$2:$FZ$601,153,Sync!$D$6)&amp;"",""))</f>
        <v/>
      </c>
      <c r="F4804" s="23" t="str">
        <f aca="false">IF(B4804="","","outreach_sent")</f>
        <v/>
      </c>
      <c r="G4804" s="23" t="str">
        <f aca="false">IF(B4804="","","")</f>
        <v/>
      </c>
      <c r="H4804" s="23" t="str">
        <f aca="false">IF(B4804="","","")</f>
        <v/>
      </c>
      <c r="I4804" s="23" t="str">
        <f aca="false">IF(B4804="","","")</f>
        <v/>
      </c>
      <c r="J4804" s="23" t="str">
        <f aca="false">IF(B4804="","","touch_3; "&amp;IFERROR(INDEX(Clay_Brands!$A$2:$FZ$601,153,Sync!$D$10)&amp;"","")&amp;"; "&amp;IFERROR(INDEX(Clay_Brands!$A$2:$FZ$601,153,Sync!$D$9)&amp;"",""))</f>
        <v/>
      </c>
      <c r="K4804" s="32" t="s">
        <v>1368</v>
      </c>
    </row>
    <row r="4805" customFormat="false" ht="15" hidden="false" customHeight="false" outlineLevel="0" collapsed="false">
      <c r="A4805" s="23" t="str">
        <f aca="false">IF(B4805="","",B4805+(17*1000+154)/10000000)</f>
        <v/>
      </c>
      <c r="B4805" s="35" t="str">
        <f aca="false">IF(AND(IFERROR(N(INDEX(Clay_Brands!$A$2:$FZ$601,154,Sync!$D$13)),0)&gt;0,IFERROR(INDEX(Clay_Brands!$A$2:$FZ$601,154,Sync!$D$5)&amp;"","")&lt;&gt;"",OR(LEFT(IFERROR(INDEX(Clay_Brands!$A$2:$FZ$601,154,Sync!$D$5)&amp;"",""),6)&lt;&gt;"SAMPLE",Config!$B$19="Y")),IFERROR(N(INDEX(Clay_Brands!$A$2:$FZ$601,154,Sync!$D$13)),0),"")</f>
        <v/>
      </c>
      <c r="C4805" s="23" t="str">
        <f aca="false">IF(B4805="","","brand")</f>
        <v/>
      </c>
      <c r="D4805" s="23" t="str">
        <f aca="false">IF(B4805="","",IFERROR(INDEX(Brand_Log!$DV$2:$DV$201,MATCH(IFERROR(INDEX(Clay_Brands!$A$2:$FZ$601,154,Sync!$D$5)&amp;"",""),Brand_Log!$A$2:$A$201,0))&amp;"",IFERROR(INDEX(Clay_Brands!$A$2:$FZ$601,154,Sync!$D$5)&amp;"","")&amp;""))</f>
        <v/>
      </c>
      <c r="E4805" s="23" t="str">
        <f aca="false">IF(B4805="","",IFERROR(INDEX(Clay_Brands!$A$2:$FZ$601,154,Sync!$D$6)&amp;"",""))</f>
        <v/>
      </c>
      <c r="F4805" s="23" t="str">
        <f aca="false">IF(B4805="","","outreach_sent")</f>
        <v/>
      </c>
      <c r="G4805" s="23" t="str">
        <f aca="false">IF(B4805="","","")</f>
        <v/>
      </c>
      <c r="H4805" s="23" t="str">
        <f aca="false">IF(B4805="","","")</f>
        <v/>
      </c>
      <c r="I4805" s="23" t="str">
        <f aca="false">IF(B4805="","","")</f>
        <v/>
      </c>
      <c r="J4805" s="23" t="str">
        <f aca="false">IF(B4805="","","touch_3; "&amp;IFERROR(INDEX(Clay_Brands!$A$2:$FZ$601,154,Sync!$D$10)&amp;"","")&amp;"; "&amp;IFERROR(INDEX(Clay_Brands!$A$2:$FZ$601,154,Sync!$D$9)&amp;"",""))</f>
        <v/>
      </c>
      <c r="K4805" s="32" t="s">
        <v>1368</v>
      </c>
    </row>
    <row r="4806" customFormat="false" ht="15" hidden="false" customHeight="false" outlineLevel="0" collapsed="false">
      <c r="A4806" s="23" t="str">
        <f aca="false">IF(B4806="","",B4806+(17*1000+155)/10000000)</f>
        <v/>
      </c>
      <c r="B4806" s="35" t="str">
        <f aca="false">IF(AND(IFERROR(N(INDEX(Clay_Brands!$A$2:$FZ$601,155,Sync!$D$13)),0)&gt;0,IFERROR(INDEX(Clay_Brands!$A$2:$FZ$601,155,Sync!$D$5)&amp;"","")&lt;&gt;"",OR(LEFT(IFERROR(INDEX(Clay_Brands!$A$2:$FZ$601,155,Sync!$D$5)&amp;"",""),6)&lt;&gt;"SAMPLE",Config!$B$19="Y")),IFERROR(N(INDEX(Clay_Brands!$A$2:$FZ$601,155,Sync!$D$13)),0),"")</f>
        <v/>
      </c>
      <c r="C4806" s="23" t="str">
        <f aca="false">IF(B4806="","","brand")</f>
        <v/>
      </c>
      <c r="D4806" s="23" t="str">
        <f aca="false">IF(B4806="","",IFERROR(INDEX(Brand_Log!$DV$2:$DV$201,MATCH(IFERROR(INDEX(Clay_Brands!$A$2:$FZ$601,155,Sync!$D$5)&amp;"",""),Brand_Log!$A$2:$A$201,0))&amp;"",IFERROR(INDEX(Clay_Brands!$A$2:$FZ$601,155,Sync!$D$5)&amp;"","")&amp;""))</f>
        <v/>
      </c>
      <c r="E4806" s="23" t="str">
        <f aca="false">IF(B4806="","",IFERROR(INDEX(Clay_Brands!$A$2:$FZ$601,155,Sync!$D$6)&amp;"",""))</f>
        <v/>
      </c>
      <c r="F4806" s="23" t="str">
        <f aca="false">IF(B4806="","","outreach_sent")</f>
        <v/>
      </c>
      <c r="G4806" s="23" t="str">
        <f aca="false">IF(B4806="","","")</f>
        <v/>
      </c>
      <c r="H4806" s="23" t="str">
        <f aca="false">IF(B4806="","","")</f>
        <v/>
      </c>
      <c r="I4806" s="23" t="str">
        <f aca="false">IF(B4806="","","")</f>
        <v/>
      </c>
      <c r="J4806" s="23" t="str">
        <f aca="false">IF(B4806="","","touch_3; "&amp;IFERROR(INDEX(Clay_Brands!$A$2:$FZ$601,155,Sync!$D$10)&amp;"","")&amp;"; "&amp;IFERROR(INDEX(Clay_Brands!$A$2:$FZ$601,155,Sync!$D$9)&amp;"",""))</f>
        <v/>
      </c>
      <c r="K4806" s="32" t="s">
        <v>1368</v>
      </c>
    </row>
    <row r="4807" customFormat="false" ht="15" hidden="false" customHeight="false" outlineLevel="0" collapsed="false">
      <c r="A4807" s="23" t="str">
        <f aca="false">IF(B4807="","",B4807+(17*1000+156)/10000000)</f>
        <v/>
      </c>
      <c r="B4807" s="35" t="str">
        <f aca="false">IF(AND(IFERROR(N(INDEX(Clay_Brands!$A$2:$FZ$601,156,Sync!$D$13)),0)&gt;0,IFERROR(INDEX(Clay_Brands!$A$2:$FZ$601,156,Sync!$D$5)&amp;"","")&lt;&gt;"",OR(LEFT(IFERROR(INDEX(Clay_Brands!$A$2:$FZ$601,156,Sync!$D$5)&amp;"",""),6)&lt;&gt;"SAMPLE",Config!$B$19="Y")),IFERROR(N(INDEX(Clay_Brands!$A$2:$FZ$601,156,Sync!$D$13)),0),"")</f>
        <v/>
      </c>
      <c r="C4807" s="23" t="str">
        <f aca="false">IF(B4807="","","brand")</f>
        <v/>
      </c>
      <c r="D4807" s="23" t="str">
        <f aca="false">IF(B4807="","",IFERROR(INDEX(Brand_Log!$DV$2:$DV$201,MATCH(IFERROR(INDEX(Clay_Brands!$A$2:$FZ$601,156,Sync!$D$5)&amp;"",""),Brand_Log!$A$2:$A$201,0))&amp;"",IFERROR(INDEX(Clay_Brands!$A$2:$FZ$601,156,Sync!$D$5)&amp;"","")&amp;""))</f>
        <v/>
      </c>
      <c r="E4807" s="23" t="str">
        <f aca="false">IF(B4807="","",IFERROR(INDEX(Clay_Brands!$A$2:$FZ$601,156,Sync!$D$6)&amp;"",""))</f>
        <v/>
      </c>
      <c r="F4807" s="23" t="str">
        <f aca="false">IF(B4807="","","outreach_sent")</f>
        <v/>
      </c>
      <c r="G4807" s="23" t="str">
        <f aca="false">IF(B4807="","","")</f>
        <v/>
      </c>
      <c r="H4807" s="23" t="str">
        <f aca="false">IF(B4807="","","")</f>
        <v/>
      </c>
      <c r="I4807" s="23" t="str">
        <f aca="false">IF(B4807="","","")</f>
        <v/>
      </c>
      <c r="J4807" s="23" t="str">
        <f aca="false">IF(B4807="","","touch_3; "&amp;IFERROR(INDEX(Clay_Brands!$A$2:$FZ$601,156,Sync!$D$10)&amp;"","")&amp;"; "&amp;IFERROR(INDEX(Clay_Brands!$A$2:$FZ$601,156,Sync!$D$9)&amp;"",""))</f>
        <v/>
      </c>
      <c r="K4807" s="32" t="s">
        <v>1368</v>
      </c>
    </row>
    <row r="4808" customFormat="false" ht="15" hidden="false" customHeight="false" outlineLevel="0" collapsed="false">
      <c r="A4808" s="23" t="str">
        <f aca="false">IF(B4808="","",B4808+(17*1000+157)/10000000)</f>
        <v/>
      </c>
      <c r="B4808" s="35" t="str">
        <f aca="false">IF(AND(IFERROR(N(INDEX(Clay_Brands!$A$2:$FZ$601,157,Sync!$D$13)),0)&gt;0,IFERROR(INDEX(Clay_Brands!$A$2:$FZ$601,157,Sync!$D$5)&amp;"","")&lt;&gt;"",OR(LEFT(IFERROR(INDEX(Clay_Brands!$A$2:$FZ$601,157,Sync!$D$5)&amp;"",""),6)&lt;&gt;"SAMPLE",Config!$B$19="Y")),IFERROR(N(INDEX(Clay_Brands!$A$2:$FZ$601,157,Sync!$D$13)),0),"")</f>
        <v/>
      </c>
      <c r="C4808" s="23" t="str">
        <f aca="false">IF(B4808="","","brand")</f>
        <v/>
      </c>
      <c r="D4808" s="23" t="str">
        <f aca="false">IF(B4808="","",IFERROR(INDEX(Brand_Log!$DV$2:$DV$201,MATCH(IFERROR(INDEX(Clay_Brands!$A$2:$FZ$601,157,Sync!$D$5)&amp;"",""),Brand_Log!$A$2:$A$201,0))&amp;"",IFERROR(INDEX(Clay_Brands!$A$2:$FZ$601,157,Sync!$D$5)&amp;"","")&amp;""))</f>
        <v/>
      </c>
      <c r="E4808" s="23" t="str">
        <f aca="false">IF(B4808="","",IFERROR(INDEX(Clay_Brands!$A$2:$FZ$601,157,Sync!$D$6)&amp;"",""))</f>
        <v/>
      </c>
      <c r="F4808" s="23" t="str">
        <f aca="false">IF(B4808="","","outreach_sent")</f>
        <v/>
      </c>
      <c r="G4808" s="23" t="str">
        <f aca="false">IF(B4808="","","")</f>
        <v/>
      </c>
      <c r="H4808" s="23" t="str">
        <f aca="false">IF(B4808="","","")</f>
        <v/>
      </c>
      <c r="I4808" s="23" t="str">
        <f aca="false">IF(B4808="","","")</f>
        <v/>
      </c>
      <c r="J4808" s="23" t="str">
        <f aca="false">IF(B4808="","","touch_3; "&amp;IFERROR(INDEX(Clay_Brands!$A$2:$FZ$601,157,Sync!$D$10)&amp;"","")&amp;"; "&amp;IFERROR(INDEX(Clay_Brands!$A$2:$FZ$601,157,Sync!$D$9)&amp;"",""))</f>
        <v/>
      </c>
      <c r="K4808" s="32" t="s">
        <v>1368</v>
      </c>
    </row>
    <row r="4809" customFormat="false" ht="15" hidden="false" customHeight="false" outlineLevel="0" collapsed="false">
      <c r="A4809" s="23" t="str">
        <f aca="false">IF(B4809="","",B4809+(17*1000+158)/10000000)</f>
        <v/>
      </c>
      <c r="B4809" s="35" t="str">
        <f aca="false">IF(AND(IFERROR(N(INDEX(Clay_Brands!$A$2:$FZ$601,158,Sync!$D$13)),0)&gt;0,IFERROR(INDEX(Clay_Brands!$A$2:$FZ$601,158,Sync!$D$5)&amp;"","")&lt;&gt;"",OR(LEFT(IFERROR(INDEX(Clay_Brands!$A$2:$FZ$601,158,Sync!$D$5)&amp;"",""),6)&lt;&gt;"SAMPLE",Config!$B$19="Y")),IFERROR(N(INDEX(Clay_Brands!$A$2:$FZ$601,158,Sync!$D$13)),0),"")</f>
        <v/>
      </c>
      <c r="C4809" s="23" t="str">
        <f aca="false">IF(B4809="","","brand")</f>
        <v/>
      </c>
      <c r="D4809" s="23" t="str">
        <f aca="false">IF(B4809="","",IFERROR(INDEX(Brand_Log!$DV$2:$DV$201,MATCH(IFERROR(INDEX(Clay_Brands!$A$2:$FZ$601,158,Sync!$D$5)&amp;"",""),Brand_Log!$A$2:$A$201,0))&amp;"",IFERROR(INDEX(Clay_Brands!$A$2:$FZ$601,158,Sync!$D$5)&amp;"","")&amp;""))</f>
        <v/>
      </c>
      <c r="E4809" s="23" t="str">
        <f aca="false">IF(B4809="","",IFERROR(INDEX(Clay_Brands!$A$2:$FZ$601,158,Sync!$D$6)&amp;"",""))</f>
        <v/>
      </c>
      <c r="F4809" s="23" t="str">
        <f aca="false">IF(B4809="","","outreach_sent")</f>
        <v/>
      </c>
      <c r="G4809" s="23" t="str">
        <f aca="false">IF(B4809="","","")</f>
        <v/>
      </c>
      <c r="H4809" s="23" t="str">
        <f aca="false">IF(B4809="","","")</f>
        <v/>
      </c>
      <c r="I4809" s="23" t="str">
        <f aca="false">IF(B4809="","","")</f>
        <v/>
      </c>
      <c r="J4809" s="23" t="str">
        <f aca="false">IF(B4809="","","touch_3; "&amp;IFERROR(INDEX(Clay_Brands!$A$2:$FZ$601,158,Sync!$D$10)&amp;"","")&amp;"; "&amp;IFERROR(INDEX(Clay_Brands!$A$2:$FZ$601,158,Sync!$D$9)&amp;"",""))</f>
        <v/>
      </c>
      <c r="K4809" s="32" t="s">
        <v>1368</v>
      </c>
    </row>
    <row r="4810" customFormat="false" ht="15" hidden="false" customHeight="false" outlineLevel="0" collapsed="false">
      <c r="A4810" s="23" t="str">
        <f aca="false">IF(B4810="","",B4810+(17*1000+159)/10000000)</f>
        <v/>
      </c>
      <c r="B4810" s="35" t="str">
        <f aca="false">IF(AND(IFERROR(N(INDEX(Clay_Brands!$A$2:$FZ$601,159,Sync!$D$13)),0)&gt;0,IFERROR(INDEX(Clay_Brands!$A$2:$FZ$601,159,Sync!$D$5)&amp;"","")&lt;&gt;"",OR(LEFT(IFERROR(INDEX(Clay_Brands!$A$2:$FZ$601,159,Sync!$D$5)&amp;"",""),6)&lt;&gt;"SAMPLE",Config!$B$19="Y")),IFERROR(N(INDEX(Clay_Brands!$A$2:$FZ$601,159,Sync!$D$13)),0),"")</f>
        <v/>
      </c>
      <c r="C4810" s="23" t="str">
        <f aca="false">IF(B4810="","","brand")</f>
        <v/>
      </c>
      <c r="D4810" s="23" t="str">
        <f aca="false">IF(B4810="","",IFERROR(INDEX(Brand_Log!$DV$2:$DV$201,MATCH(IFERROR(INDEX(Clay_Brands!$A$2:$FZ$601,159,Sync!$D$5)&amp;"",""),Brand_Log!$A$2:$A$201,0))&amp;"",IFERROR(INDEX(Clay_Brands!$A$2:$FZ$601,159,Sync!$D$5)&amp;"","")&amp;""))</f>
        <v/>
      </c>
      <c r="E4810" s="23" t="str">
        <f aca="false">IF(B4810="","",IFERROR(INDEX(Clay_Brands!$A$2:$FZ$601,159,Sync!$D$6)&amp;"",""))</f>
        <v/>
      </c>
      <c r="F4810" s="23" t="str">
        <f aca="false">IF(B4810="","","outreach_sent")</f>
        <v/>
      </c>
      <c r="G4810" s="23" t="str">
        <f aca="false">IF(B4810="","","")</f>
        <v/>
      </c>
      <c r="H4810" s="23" t="str">
        <f aca="false">IF(B4810="","","")</f>
        <v/>
      </c>
      <c r="I4810" s="23" t="str">
        <f aca="false">IF(B4810="","","")</f>
        <v/>
      </c>
      <c r="J4810" s="23" t="str">
        <f aca="false">IF(B4810="","","touch_3; "&amp;IFERROR(INDEX(Clay_Brands!$A$2:$FZ$601,159,Sync!$D$10)&amp;"","")&amp;"; "&amp;IFERROR(INDEX(Clay_Brands!$A$2:$FZ$601,159,Sync!$D$9)&amp;"",""))</f>
        <v/>
      </c>
      <c r="K4810" s="32" t="s">
        <v>1368</v>
      </c>
    </row>
    <row r="4811" customFormat="false" ht="15" hidden="false" customHeight="false" outlineLevel="0" collapsed="false">
      <c r="A4811" s="23" t="str">
        <f aca="false">IF(B4811="","",B4811+(17*1000+160)/10000000)</f>
        <v/>
      </c>
      <c r="B4811" s="35" t="str">
        <f aca="false">IF(AND(IFERROR(N(INDEX(Clay_Brands!$A$2:$FZ$601,160,Sync!$D$13)),0)&gt;0,IFERROR(INDEX(Clay_Brands!$A$2:$FZ$601,160,Sync!$D$5)&amp;"","")&lt;&gt;"",OR(LEFT(IFERROR(INDEX(Clay_Brands!$A$2:$FZ$601,160,Sync!$D$5)&amp;"",""),6)&lt;&gt;"SAMPLE",Config!$B$19="Y")),IFERROR(N(INDEX(Clay_Brands!$A$2:$FZ$601,160,Sync!$D$13)),0),"")</f>
        <v/>
      </c>
      <c r="C4811" s="23" t="str">
        <f aca="false">IF(B4811="","","brand")</f>
        <v/>
      </c>
      <c r="D4811" s="23" t="str">
        <f aca="false">IF(B4811="","",IFERROR(INDEX(Brand_Log!$DV$2:$DV$201,MATCH(IFERROR(INDEX(Clay_Brands!$A$2:$FZ$601,160,Sync!$D$5)&amp;"",""),Brand_Log!$A$2:$A$201,0))&amp;"",IFERROR(INDEX(Clay_Brands!$A$2:$FZ$601,160,Sync!$D$5)&amp;"","")&amp;""))</f>
        <v/>
      </c>
      <c r="E4811" s="23" t="str">
        <f aca="false">IF(B4811="","",IFERROR(INDEX(Clay_Brands!$A$2:$FZ$601,160,Sync!$D$6)&amp;"",""))</f>
        <v/>
      </c>
      <c r="F4811" s="23" t="str">
        <f aca="false">IF(B4811="","","outreach_sent")</f>
        <v/>
      </c>
      <c r="G4811" s="23" t="str">
        <f aca="false">IF(B4811="","","")</f>
        <v/>
      </c>
      <c r="H4811" s="23" t="str">
        <f aca="false">IF(B4811="","","")</f>
        <v/>
      </c>
      <c r="I4811" s="23" t="str">
        <f aca="false">IF(B4811="","","")</f>
        <v/>
      </c>
      <c r="J4811" s="23" t="str">
        <f aca="false">IF(B4811="","","touch_3; "&amp;IFERROR(INDEX(Clay_Brands!$A$2:$FZ$601,160,Sync!$D$10)&amp;"","")&amp;"; "&amp;IFERROR(INDEX(Clay_Brands!$A$2:$FZ$601,160,Sync!$D$9)&amp;"",""))</f>
        <v/>
      </c>
      <c r="K4811" s="32" t="s">
        <v>1368</v>
      </c>
    </row>
    <row r="4812" customFormat="false" ht="15" hidden="false" customHeight="false" outlineLevel="0" collapsed="false">
      <c r="A4812" s="23" t="str">
        <f aca="false">IF(B4812="","",B4812+(17*1000+161)/10000000)</f>
        <v/>
      </c>
      <c r="B4812" s="35" t="str">
        <f aca="false">IF(AND(IFERROR(N(INDEX(Clay_Brands!$A$2:$FZ$601,161,Sync!$D$13)),0)&gt;0,IFERROR(INDEX(Clay_Brands!$A$2:$FZ$601,161,Sync!$D$5)&amp;"","")&lt;&gt;"",OR(LEFT(IFERROR(INDEX(Clay_Brands!$A$2:$FZ$601,161,Sync!$D$5)&amp;"",""),6)&lt;&gt;"SAMPLE",Config!$B$19="Y")),IFERROR(N(INDEX(Clay_Brands!$A$2:$FZ$601,161,Sync!$D$13)),0),"")</f>
        <v/>
      </c>
      <c r="C4812" s="23" t="str">
        <f aca="false">IF(B4812="","","brand")</f>
        <v/>
      </c>
      <c r="D4812" s="23" t="str">
        <f aca="false">IF(B4812="","",IFERROR(INDEX(Brand_Log!$DV$2:$DV$201,MATCH(IFERROR(INDEX(Clay_Brands!$A$2:$FZ$601,161,Sync!$D$5)&amp;"",""),Brand_Log!$A$2:$A$201,0))&amp;"",IFERROR(INDEX(Clay_Brands!$A$2:$FZ$601,161,Sync!$D$5)&amp;"","")&amp;""))</f>
        <v/>
      </c>
      <c r="E4812" s="23" t="str">
        <f aca="false">IF(B4812="","",IFERROR(INDEX(Clay_Brands!$A$2:$FZ$601,161,Sync!$D$6)&amp;"",""))</f>
        <v/>
      </c>
      <c r="F4812" s="23" t="str">
        <f aca="false">IF(B4812="","","outreach_sent")</f>
        <v/>
      </c>
      <c r="G4812" s="23" t="str">
        <f aca="false">IF(B4812="","","")</f>
        <v/>
      </c>
      <c r="H4812" s="23" t="str">
        <f aca="false">IF(B4812="","","")</f>
        <v/>
      </c>
      <c r="I4812" s="23" t="str">
        <f aca="false">IF(B4812="","","")</f>
        <v/>
      </c>
      <c r="J4812" s="23" t="str">
        <f aca="false">IF(B4812="","","touch_3; "&amp;IFERROR(INDEX(Clay_Brands!$A$2:$FZ$601,161,Sync!$D$10)&amp;"","")&amp;"; "&amp;IFERROR(INDEX(Clay_Brands!$A$2:$FZ$601,161,Sync!$D$9)&amp;"",""))</f>
        <v/>
      </c>
      <c r="K4812" s="32" t="s">
        <v>1368</v>
      </c>
    </row>
    <row r="4813" customFormat="false" ht="15" hidden="false" customHeight="false" outlineLevel="0" collapsed="false">
      <c r="A4813" s="23" t="str">
        <f aca="false">IF(B4813="","",B4813+(17*1000+162)/10000000)</f>
        <v/>
      </c>
      <c r="B4813" s="35" t="str">
        <f aca="false">IF(AND(IFERROR(N(INDEX(Clay_Brands!$A$2:$FZ$601,162,Sync!$D$13)),0)&gt;0,IFERROR(INDEX(Clay_Brands!$A$2:$FZ$601,162,Sync!$D$5)&amp;"","")&lt;&gt;"",OR(LEFT(IFERROR(INDEX(Clay_Brands!$A$2:$FZ$601,162,Sync!$D$5)&amp;"",""),6)&lt;&gt;"SAMPLE",Config!$B$19="Y")),IFERROR(N(INDEX(Clay_Brands!$A$2:$FZ$601,162,Sync!$D$13)),0),"")</f>
        <v/>
      </c>
      <c r="C4813" s="23" t="str">
        <f aca="false">IF(B4813="","","brand")</f>
        <v/>
      </c>
      <c r="D4813" s="23" t="str">
        <f aca="false">IF(B4813="","",IFERROR(INDEX(Brand_Log!$DV$2:$DV$201,MATCH(IFERROR(INDEX(Clay_Brands!$A$2:$FZ$601,162,Sync!$D$5)&amp;"",""),Brand_Log!$A$2:$A$201,0))&amp;"",IFERROR(INDEX(Clay_Brands!$A$2:$FZ$601,162,Sync!$D$5)&amp;"","")&amp;""))</f>
        <v/>
      </c>
      <c r="E4813" s="23" t="str">
        <f aca="false">IF(B4813="","",IFERROR(INDEX(Clay_Brands!$A$2:$FZ$601,162,Sync!$D$6)&amp;"",""))</f>
        <v/>
      </c>
      <c r="F4813" s="23" t="str">
        <f aca="false">IF(B4813="","","outreach_sent")</f>
        <v/>
      </c>
      <c r="G4813" s="23" t="str">
        <f aca="false">IF(B4813="","","")</f>
        <v/>
      </c>
      <c r="H4813" s="23" t="str">
        <f aca="false">IF(B4813="","","")</f>
        <v/>
      </c>
      <c r="I4813" s="23" t="str">
        <f aca="false">IF(B4813="","","")</f>
        <v/>
      </c>
      <c r="J4813" s="23" t="str">
        <f aca="false">IF(B4813="","","touch_3; "&amp;IFERROR(INDEX(Clay_Brands!$A$2:$FZ$601,162,Sync!$D$10)&amp;"","")&amp;"; "&amp;IFERROR(INDEX(Clay_Brands!$A$2:$FZ$601,162,Sync!$D$9)&amp;"",""))</f>
        <v/>
      </c>
      <c r="K4813" s="32" t="s">
        <v>1368</v>
      </c>
    </row>
    <row r="4814" customFormat="false" ht="15" hidden="false" customHeight="false" outlineLevel="0" collapsed="false">
      <c r="A4814" s="23" t="str">
        <f aca="false">IF(B4814="","",B4814+(17*1000+163)/10000000)</f>
        <v/>
      </c>
      <c r="B4814" s="35" t="str">
        <f aca="false">IF(AND(IFERROR(N(INDEX(Clay_Brands!$A$2:$FZ$601,163,Sync!$D$13)),0)&gt;0,IFERROR(INDEX(Clay_Brands!$A$2:$FZ$601,163,Sync!$D$5)&amp;"","")&lt;&gt;"",OR(LEFT(IFERROR(INDEX(Clay_Brands!$A$2:$FZ$601,163,Sync!$D$5)&amp;"",""),6)&lt;&gt;"SAMPLE",Config!$B$19="Y")),IFERROR(N(INDEX(Clay_Brands!$A$2:$FZ$601,163,Sync!$D$13)),0),"")</f>
        <v/>
      </c>
      <c r="C4814" s="23" t="str">
        <f aca="false">IF(B4814="","","brand")</f>
        <v/>
      </c>
      <c r="D4814" s="23" t="str">
        <f aca="false">IF(B4814="","",IFERROR(INDEX(Brand_Log!$DV$2:$DV$201,MATCH(IFERROR(INDEX(Clay_Brands!$A$2:$FZ$601,163,Sync!$D$5)&amp;"",""),Brand_Log!$A$2:$A$201,0))&amp;"",IFERROR(INDEX(Clay_Brands!$A$2:$FZ$601,163,Sync!$D$5)&amp;"","")&amp;""))</f>
        <v/>
      </c>
      <c r="E4814" s="23" t="str">
        <f aca="false">IF(B4814="","",IFERROR(INDEX(Clay_Brands!$A$2:$FZ$601,163,Sync!$D$6)&amp;"",""))</f>
        <v/>
      </c>
      <c r="F4814" s="23" t="str">
        <f aca="false">IF(B4814="","","outreach_sent")</f>
        <v/>
      </c>
      <c r="G4814" s="23" t="str">
        <f aca="false">IF(B4814="","","")</f>
        <v/>
      </c>
      <c r="H4814" s="23" t="str">
        <f aca="false">IF(B4814="","","")</f>
        <v/>
      </c>
      <c r="I4814" s="23" t="str">
        <f aca="false">IF(B4814="","","")</f>
        <v/>
      </c>
      <c r="J4814" s="23" t="str">
        <f aca="false">IF(B4814="","","touch_3; "&amp;IFERROR(INDEX(Clay_Brands!$A$2:$FZ$601,163,Sync!$D$10)&amp;"","")&amp;"; "&amp;IFERROR(INDEX(Clay_Brands!$A$2:$FZ$601,163,Sync!$D$9)&amp;"",""))</f>
        <v/>
      </c>
      <c r="K4814" s="32" t="s">
        <v>1368</v>
      </c>
    </row>
    <row r="4815" customFormat="false" ht="15" hidden="false" customHeight="false" outlineLevel="0" collapsed="false">
      <c r="A4815" s="23" t="str">
        <f aca="false">IF(B4815="","",B4815+(17*1000+164)/10000000)</f>
        <v/>
      </c>
      <c r="B4815" s="35" t="str">
        <f aca="false">IF(AND(IFERROR(N(INDEX(Clay_Brands!$A$2:$FZ$601,164,Sync!$D$13)),0)&gt;0,IFERROR(INDEX(Clay_Brands!$A$2:$FZ$601,164,Sync!$D$5)&amp;"","")&lt;&gt;"",OR(LEFT(IFERROR(INDEX(Clay_Brands!$A$2:$FZ$601,164,Sync!$D$5)&amp;"",""),6)&lt;&gt;"SAMPLE",Config!$B$19="Y")),IFERROR(N(INDEX(Clay_Brands!$A$2:$FZ$601,164,Sync!$D$13)),0),"")</f>
        <v/>
      </c>
      <c r="C4815" s="23" t="str">
        <f aca="false">IF(B4815="","","brand")</f>
        <v/>
      </c>
      <c r="D4815" s="23" t="str">
        <f aca="false">IF(B4815="","",IFERROR(INDEX(Brand_Log!$DV$2:$DV$201,MATCH(IFERROR(INDEX(Clay_Brands!$A$2:$FZ$601,164,Sync!$D$5)&amp;"",""),Brand_Log!$A$2:$A$201,0))&amp;"",IFERROR(INDEX(Clay_Brands!$A$2:$FZ$601,164,Sync!$D$5)&amp;"","")&amp;""))</f>
        <v/>
      </c>
      <c r="E4815" s="23" t="str">
        <f aca="false">IF(B4815="","",IFERROR(INDEX(Clay_Brands!$A$2:$FZ$601,164,Sync!$D$6)&amp;"",""))</f>
        <v/>
      </c>
      <c r="F4815" s="23" t="str">
        <f aca="false">IF(B4815="","","outreach_sent")</f>
        <v/>
      </c>
      <c r="G4815" s="23" t="str">
        <f aca="false">IF(B4815="","","")</f>
        <v/>
      </c>
      <c r="H4815" s="23" t="str">
        <f aca="false">IF(B4815="","","")</f>
        <v/>
      </c>
      <c r="I4815" s="23" t="str">
        <f aca="false">IF(B4815="","","")</f>
        <v/>
      </c>
      <c r="J4815" s="23" t="str">
        <f aca="false">IF(B4815="","","touch_3; "&amp;IFERROR(INDEX(Clay_Brands!$A$2:$FZ$601,164,Sync!$D$10)&amp;"","")&amp;"; "&amp;IFERROR(INDEX(Clay_Brands!$A$2:$FZ$601,164,Sync!$D$9)&amp;"",""))</f>
        <v/>
      </c>
      <c r="K4815" s="32" t="s">
        <v>1368</v>
      </c>
    </row>
    <row r="4816" customFormat="false" ht="15" hidden="false" customHeight="false" outlineLevel="0" collapsed="false">
      <c r="A4816" s="23" t="str">
        <f aca="false">IF(B4816="","",B4816+(17*1000+165)/10000000)</f>
        <v/>
      </c>
      <c r="B4816" s="35" t="str">
        <f aca="false">IF(AND(IFERROR(N(INDEX(Clay_Brands!$A$2:$FZ$601,165,Sync!$D$13)),0)&gt;0,IFERROR(INDEX(Clay_Brands!$A$2:$FZ$601,165,Sync!$D$5)&amp;"","")&lt;&gt;"",OR(LEFT(IFERROR(INDEX(Clay_Brands!$A$2:$FZ$601,165,Sync!$D$5)&amp;"",""),6)&lt;&gt;"SAMPLE",Config!$B$19="Y")),IFERROR(N(INDEX(Clay_Brands!$A$2:$FZ$601,165,Sync!$D$13)),0),"")</f>
        <v/>
      </c>
      <c r="C4816" s="23" t="str">
        <f aca="false">IF(B4816="","","brand")</f>
        <v/>
      </c>
      <c r="D4816" s="23" t="str">
        <f aca="false">IF(B4816="","",IFERROR(INDEX(Brand_Log!$DV$2:$DV$201,MATCH(IFERROR(INDEX(Clay_Brands!$A$2:$FZ$601,165,Sync!$D$5)&amp;"",""),Brand_Log!$A$2:$A$201,0))&amp;"",IFERROR(INDEX(Clay_Brands!$A$2:$FZ$601,165,Sync!$D$5)&amp;"","")&amp;""))</f>
        <v/>
      </c>
      <c r="E4816" s="23" t="str">
        <f aca="false">IF(B4816="","",IFERROR(INDEX(Clay_Brands!$A$2:$FZ$601,165,Sync!$D$6)&amp;"",""))</f>
        <v/>
      </c>
      <c r="F4816" s="23" t="str">
        <f aca="false">IF(B4816="","","outreach_sent")</f>
        <v/>
      </c>
      <c r="G4816" s="23" t="str">
        <f aca="false">IF(B4816="","","")</f>
        <v/>
      </c>
      <c r="H4816" s="23" t="str">
        <f aca="false">IF(B4816="","","")</f>
        <v/>
      </c>
      <c r="I4816" s="23" t="str">
        <f aca="false">IF(B4816="","","")</f>
        <v/>
      </c>
      <c r="J4816" s="23" t="str">
        <f aca="false">IF(B4816="","","touch_3; "&amp;IFERROR(INDEX(Clay_Brands!$A$2:$FZ$601,165,Sync!$D$10)&amp;"","")&amp;"; "&amp;IFERROR(INDEX(Clay_Brands!$A$2:$FZ$601,165,Sync!$D$9)&amp;"",""))</f>
        <v/>
      </c>
      <c r="K4816" s="32" t="s">
        <v>1368</v>
      </c>
    </row>
    <row r="4817" customFormat="false" ht="15" hidden="false" customHeight="false" outlineLevel="0" collapsed="false">
      <c r="A4817" s="23" t="str">
        <f aca="false">IF(B4817="","",B4817+(17*1000+166)/10000000)</f>
        <v/>
      </c>
      <c r="B4817" s="35" t="str">
        <f aca="false">IF(AND(IFERROR(N(INDEX(Clay_Brands!$A$2:$FZ$601,166,Sync!$D$13)),0)&gt;0,IFERROR(INDEX(Clay_Brands!$A$2:$FZ$601,166,Sync!$D$5)&amp;"","")&lt;&gt;"",OR(LEFT(IFERROR(INDEX(Clay_Brands!$A$2:$FZ$601,166,Sync!$D$5)&amp;"",""),6)&lt;&gt;"SAMPLE",Config!$B$19="Y")),IFERROR(N(INDEX(Clay_Brands!$A$2:$FZ$601,166,Sync!$D$13)),0),"")</f>
        <v/>
      </c>
      <c r="C4817" s="23" t="str">
        <f aca="false">IF(B4817="","","brand")</f>
        <v/>
      </c>
      <c r="D4817" s="23" t="str">
        <f aca="false">IF(B4817="","",IFERROR(INDEX(Brand_Log!$DV$2:$DV$201,MATCH(IFERROR(INDEX(Clay_Brands!$A$2:$FZ$601,166,Sync!$D$5)&amp;"",""),Brand_Log!$A$2:$A$201,0))&amp;"",IFERROR(INDEX(Clay_Brands!$A$2:$FZ$601,166,Sync!$D$5)&amp;"","")&amp;""))</f>
        <v/>
      </c>
      <c r="E4817" s="23" t="str">
        <f aca="false">IF(B4817="","",IFERROR(INDEX(Clay_Brands!$A$2:$FZ$601,166,Sync!$D$6)&amp;"",""))</f>
        <v/>
      </c>
      <c r="F4817" s="23" t="str">
        <f aca="false">IF(B4817="","","outreach_sent")</f>
        <v/>
      </c>
      <c r="G4817" s="23" t="str">
        <f aca="false">IF(B4817="","","")</f>
        <v/>
      </c>
      <c r="H4817" s="23" t="str">
        <f aca="false">IF(B4817="","","")</f>
        <v/>
      </c>
      <c r="I4817" s="23" t="str">
        <f aca="false">IF(B4817="","","")</f>
        <v/>
      </c>
      <c r="J4817" s="23" t="str">
        <f aca="false">IF(B4817="","","touch_3; "&amp;IFERROR(INDEX(Clay_Brands!$A$2:$FZ$601,166,Sync!$D$10)&amp;"","")&amp;"; "&amp;IFERROR(INDEX(Clay_Brands!$A$2:$FZ$601,166,Sync!$D$9)&amp;"",""))</f>
        <v/>
      </c>
      <c r="K4817" s="32" t="s">
        <v>1368</v>
      </c>
    </row>
    <row r="4818" customFormat="false" ht="15" hidden="false" customHeight="false" outlineLevel="0" collapsed="false">
      <c r="A4818" s="23" t="str">
        <f aca="false">IF(B4818="","",B4818+(17*1000+167)/10000000)</f>
        <v/>
      </c>
      <c r="B4818" s="35" t="str">
        <f aca="false">IF(AND(IFERROR(N(INDEX(Clay_Brands!$A$2:$FZ$601,167,Sync!$D$13)),0)&gt;0,IFERROR(INDEX(Clay_Brands!$A$2:$FZ$601,167,Sync!$D$5)&amp;"","")&lt;&gt;"",OR(LEFT(IFERROR(INDEX(Clay_Brands!$A$2:$FZ$601,167,Sync!$D$5)&amp;"",""),6)&lt;&gt;"SAMPLE",Config!$B$19="Y")),IFERROR(N(INDEX(Clay_Brands!$A$2:$FZ$601,167,Sync!$D$13)),0),"")</f>
        <v/>
      </c>
      <c r="C4818" s="23" t="str">
        <f aca="false">IF(B4818="","","brand")</f>
        <v/>
      </c>
      <c r="D4818" s="23" t="str">
        <f aca="false">IF(B4818="","",IFERROR(INDEX(Brand_Log!$DV$2:$DV$201,MATCH(IFERROR(INDEX(Clay_Brands!$A$2:$FZ$601,167,Sync!$D$5)&amp;"",""),Brand_Log!$A$2:$A$201,0))&amp;"",IFERROR(INDEX(Clay_Brands!$A$2:$FZ$601,167,Sync!$D$5)&amp;"","")&amp;""))</f>
        <v/>
      </c>
      <c r="E4818" s="23" t="str">
        <f aca="false">IF(B4818="","",IFERROR(INDEX(Clay_Brands!$A$2:$FZ$601,167,Sync!$D$6)&amp;"",""))</f>
        <v/>
      </c>
      <c r="F4818" s="23" t="str">
        <f aca="false">IF(B4818="","","outreach_sent")</f>
        <v/>
      </c>
      <c r="G4818" s="23" t="str">
        <f aca="false">IF(B4818="","","")</f>
        <v/>
      </c>
      <c r="H4818" s="23" t="str">
        <f aca="false">IF(B4818="","","")</f>
        <v/>
      </c>
      <c r="I4818" s="23" t="str">
        <f aca="false">IF(B4818="","","")</f>
        <v/>
      </c>
      <c r="J4818" s="23" t="str">
        <f aca="false">IF(B4818="","","touch_3; "&amp;IFERROR(INDEX(Clay_Brands!$A$2:$FZ$601,167,Sync!$D$10)&amp;"","")&amp;"; "&amp;IFERROR(INDEX(Clay_Brands!$A$2:$FZ$601,167,Sync!$D$9)&amp;"",""))</f>
        <v/>
      </c>
      <c r="K4818" s="32" t="s">
        <v>1368</v>
      </c>
    </row>
    <row r="4819" customFormat="false" ht="15" hidden="false" customHeight="false" outlineLevel="0" collapsed="false">
      <c r="A4819" s="23" t="str">
        <f aca="false">IF(B4819="","",B4819+(17*1000+168)/10000000)</f>
        <v/>
      </c>
      <c r="B4819" s="35" t="str">
        <f aca="false">IF(AND(IFERROR(N(INDEX(Clay_Brands!$A$2:$FZ$601,168,Sync!$D$13)),0)&gt;0,IFERROR(INDEX(Clay_Brands!$A$2:$FZ$601,168,Sync!$D$5)&amp;"","")&lt;&gt;"",OR(LEFT(IFERROR(INDEX(Clay_Brands!$A$2:$FZ$601,168,Sync!$D$5)&amp;"",""),6)&lt;&gt;"SAMPLE",Config!$B$19="Y")),IFERROR(N(INDEX(Clay_Brands!$A$2:$FZ$601,168,Sync!$D$13)),0),"")</f>
        <v/>
      </c>
      <c r="C4819" s="23" t="str">
        <f aca="false">IF(B4819="","","brand")</f>
        <v/>
      </c>
      <c r="D4819" s="23" t="str">
        <f aca="false">IF(B4819="","",IFERROR(INDEX(Brand_Log!$DV$2:$DV$201,MATCH(IFERROR(INDEX(Clay_Brands!$A$2:$FZ$601,168,Sync!$D$5)&amp;"",""),Brand_Log!$A$2:$A$201,0))&amp;"",IFERROR(INDEX(Clay_Brands!$A$2:$FZ$601,168,Sync!$D$5)&amp;"","")&amp;""))</f>
        <v/>
      </c>
      <c r="E4819" s="23" t="str">
        <f aca="false">IF(B4819="","",IFERROR(INDEX(Clay_Brands!$A$2:$FZ$601,168,Sync!$D$6)&amp;"",""))</f>
        <v/>
      </c>
      <c r="F4819" s="23" t="str">
        <f aca="false">IF(B4819="","","outreach_sent")</f>
        <v/>
      </c>
      <c r="G4819" s="23" t="str">
        <f aca="false">IF(B4819="","","")</f>
        <v/>
      </c>
      <c r="H4819" s="23" t="str">
        <f aca="false">IF(B4819="","","")</f>
        <v/>
      </c>
      <c r="I4819" s="23" t="str">
        <f aca="false">IF(B4819="","","")</f>
        <v/>
      </c>
      <c r="J4819" s="23" t="str">
        <f aca="false">IF(B4819="","","touch_3; "&amp;IFERROR(INDEX(Clay_Brands!$A$2:$FZ$601,168,Sync!$D$10)&amp;"","")&amp;"; "&amp;IFERROR(INDEX(Clay_Brands!$A$2:$FZ$601,168,Sync!$D$9)&amp;"",""))</f>
        <v/>
      </c>
      <c r="K4819" s="32" t="s">
        <v>1368</v>
      </c>
    </row>
    <row r="4820" customFormat="false" ht="15" hidden="false" customHeight="false" outlineLevel="0" collapsed="false">
      <c r="A4820" s="23" t="str">
        <f aca="false">IF(B4820="","",B4820+(17*1000+169)/10000000)</f>
        <v/>
      </c>
      <c r="B4820" s="35" t="str">
        <f aca="false">IF(AND(IFERROR(N(INDEX(Clay_Brands!$A$2:$FZ$601,169,Sync!$D$13)),0)&gt;0,IFERROR(INDEX(Clay_Brands!$A$2:$FZ$601,169,Sync!$D$5)&amp;"","")&lt;&gt;"",OR(LEFT(IFERROR(INDEX(Clay_Brands!$A$2:$FZ$601,169,Sync!$D$5)&amp;"",""),6)&lt;&gt;"SAMPLE",Config!$B$19="Y")),IFERROR(N(INDEX(Clay_Brands!$A$2:$FZ$601,169,Sync!$D$13)),0),"")</f>
        <v/>
      </c>
      <c r="C4820" s="23" t="str">
        <f aca="false">IF(B4820="","","brand")</f>
        <v/>
      </c>
      <c r="D4820" s="23" t="str">
        <f aca="false">IF(B4820="","",IFERROR(INDEX(Brand_Log!$DV$2:$DV$201,MATCH(IFERROR(INDEX(Clay_Brands!$A$2:$FZ$601,169,Sync!$D$5)&amp;"",""),Brand_Log!$A$2:$A$201,0))&amp;"",IFERROR(INDEX(Clay_Brands!$A$2:$FZ$601,169,Sync!$D$5)&amp;"","")&amp;""))</f>
        <v/>
      </c>
      <c r="E4820" s="23" t="str">
        <f aca="false">IF(B4820="","",IFERROR(INDEX(Clay_Brands!$A$2:$FZ$601,169,Sync!$D$6)&amp;"",""))</f>
        <v/>
      </c>
      <c r="F4820" s="23" t="str">
        <f aca="false">IF(B4820="","","outreach_sent")</f>
        <v/>
      </c>
      <c r="G4820" s="23" t="str">
        <f aca="false">IF(B4820="","","")</f>
        <v/>
      </c>
      <c r="H4820" s="23" t="str">
        <f aca="false">IF(B4820="","","")</f>
        <v/>
      </c>
      <c r="I4820" s="23" t="str">
        <f aca="false">IF(B4820="","","")</f>
        <v/>
      </c>
      <c r="J4820" s="23" t="str">
        <f aca="false">IF(B4820="","","touch_3; "&amp;IFERROR(INDEX(Clay_Brands!$A$2:$FZ$601,169,Sync!$D$10)&amp;"","")&amp;"; "&amp;IFERROR(INDEX(Clay_Brands!$A$2:$FZ$601,169,Sync!$D$9)&amp;"",""))</f>
        <v/>
      </c>
      <c r="K4820" s="32" t="s">
        <v>1368</v>
      </c>
    </row>
    <row r="4821" customFormat="false" ht="15" hidden="false" customHeight="false" outlineLevel="0" collapsed="false">
      <c r="A4821" s="23" t="str">
        <f aca="false">IF(B4821="","",B4821+(17*1000+170)/10000000)</f>
        <v/>
      </c>
      <c r="B4821" s="35" t="str">
        <f aca="false">IF(AND(IFERROR(N(INDEX(Clay_Brands!$A$2:$FZ$601,170,Sync!$D$13)),0)&gt;0,IFERROR(INDEX(Clay_Brands!$A$2:$FZ$601,170,Sync!$D$5)&amp;"","")&lt;&gt;"",OR(LEFT(IFERROR(INDEX(Clay_Brands!$A$2:$FZ$601,170,Sync!$D$5)&amp;"",""),6)&lt;&gt;"SAMPLE",Config!$B$19="Y")),IFERROR(N(INDEX(Clay_Brands!$A$2:$FZ$601,170,Sync!$D$13)),0),"")</f>
        <v/>
      </c>
      <c r="C4821" s="23" t="str">
        <f aca="false">IF(B4821="","","brand")</f>
        <v/>
      </c>
      <c r="D4821" s="23" t="str">
        <f aca="false">IF(B4821="","",IFERROR(INDEX(Brand_Log!$DV$2:$DV$201,MATCH(IFERROR(INDEX(Clay_Brands!$A$2:$FZ$601,170,Sync!$D$5)&amp;"",""),Brand_Log!$A$2:$A$201,0))&amp;"",IFERROR(INDEX(Clay_Brands!$A$2:$FZ$601,170,Sync!$D$5)&amp;"","")&amp;""))</f>
        <v/>
      </c>
      <c r="E4821" s="23" t="str">
        <f aca="false">IF(B4821="","",IFERROR(INDEX(Clay_Brands!$A$2:$FZ$601,170,Sync!$D$6)&amp;"",""))</f>
        <v/>
      </c>
      <c r="F4821" s="23" t="str">
        <f aca="false">IF(B4821="","","outreach_sent")</f>
        <v/>
      </c>
      <c r="G4821" s="23" t="str">
        <f aca="false">IF(B4821="","","")</f>
        <v/>
      </c>
      <c r="H4821" s="23" t="str">
        <f aca="false">IF(B4821="","","")</f>
        <v/>
      </c>
      <c r="I4821" s="23" t="str">
        <f aca="false">IF(B4821="","","")</f>
        <v/>
      </c>
      <c r="J4821" s="23" t="str">
        <f aca="false">IF(B4821="","","touch_3; "&amp;IFERROR(INDEX(Clay_Brands!$A$2:$FZ$601,170,Sync!$D$10)&amp;"","")&amp;"; "&amp;IFERROR(INDEX(Clay_Brands!$A$2:$FZ$601,170,Sync!$D$9)&amp;"",""))</f>
        <v/>
      </c>
      <c r="K4821" s="32" t="s">
        <v>1368</v>
      </c>
    </row>
    <row r="4822" customFormat="false" ht="15" hidden="false" customHeight="false" outlineLevel="0" collapsed="false">
      <c r="A4822" s="23" t="str">
        <f aca="false">IF(B4822="","",B4822+(17*1000+171)/10000000)</f>
        <v/>
      </c>
      <c r="B4822" s="35" t="str">
        <f aca="false">IF(AND(IFERROR(N(INDEX(Clay_Brands!$A$2:$FZ$601,171,Sync!$D$13)),0)&gt;0,IFERROR(INDEX(Clay_Brands!$A$2:$FZ$601,171,Sync!$D$5)&amp;"","")&lt;&gt;"",OR(LEFT(IFERROR(INDEX(Clay_Brands!$A$2:$FZ$601,171,Sync!$D$5)&amp;"",""),6)&lt;&gt;"SAMPLE",Config!$B$19="Y")),IFERROR(N(INDEX(Clay_Brands!$A$2:$FZ$601,171,Sync!$D$13)),0),"")</f>
        <v/>
      </c>
      <c r="C4822" s="23" t="str">
        <f aca="false">IF(B4822="","","brand")</f>
        <v/>
      </c>
      <c r="D4822" s="23" t="str">
        <f aca="false">IF(B4822="","",IFERROR(INDEX(Brand_Log!$DV$2:$DV$201,MATCH(IFERROR(INDEX(Clay_Brands!$A$2:$FZ$601,171,Sync!$D$5)&amp;"",""),Brand_Log!$A$2:$A$201,0))&amp;"",IFERROR(INDEX(Clay_Brands!$A$2:$FZ$601,171,Sync!$D$5)&amp;"","")&amp;""))</f>
        <v/>
      </c>
      <c r="E4822" s="23" t="str">
        <f aca="false">IF(B4822="","",IFERROR(INDEX(Clay_Brands!$A$2:$FZ$601,171,Sync!$D$6)&amp;"",""))</f>
        <v/>
      </c>
      <c r="F4822" s="23" t="str">
        <f aca="false">IF(B4822="","","outreach_sent")</f>
        <v/>
      </c>
      <c r="G4822" s="23" t="str">
        <f aca="false">IF(B4822="","","")</f>
        <v/>
      </c>
      <c r="H4822" s="23" t="str">
        <f aca="false">IF(B4822="","","")</f>
        <v/>
      </c>
      <c r="I4822" s="23" t="str">
        <f aca="false">IF(B4822="","","")</f>
        <v/>
      </c>
      <c r="J4822" s="23" t="str">
        <f aca="false">IF(B4822="","","touch_3; "&amp;IFERROR(INDEX(Clay_Brands!$A$2:$FZ$601,171,Sync!$D$10)&amp;"","")&amp;"; "&amp;IFERROR(INDEX(Clay_Brands!$A$2:$FZ$601,171,Sync!$D$9)&amp;"",""))</f>
        <v/>
      </c>
      <c r="K4822" s="32" t="s">
        <v>1368</v>
      </c>
    </row>
    <row r="4823" customFormat="false" ht="15" hidden="false" customHeight="false" outlineLevel="0" collapsed="false">
      <c r="A4823" s="23" t="str">
        <f aca="false">IF(B4823="","",B4823+(17*1000+172)/10000000)</f>
        <v/>
      </c>
      <c r="B4823" s="35" t="str">
        <f aca="false">IF(AND(IFERROR(N(INDEX(Clay_Brands!$A$2:$FZ$601,172,Sync!$D$13)),0)&gt;0,IFERROR(INDEX(Clay_Brands!$A$2:$FZ$601,172,Sync!$D$5)&amp;"","")&lt;&gt;"",OR(LEFT(IFERROR(INDEX(Clay_Brands!$A$2:$FZ$601,172,Sync!$D$5)&amp;"",""),6)&lt;&gt;"SAMPLE",Config!$B$19="Y")),IFERROR(N(INDEX(Clay_Brands!$A$2:$FZ$601,172,Sync!$D$13)),0),"")</f>
        <v/>
      </c>
      <c r="C4823" s="23" t="str">
        <f aca="false">IF(B4823="","","brand")</f>
        <v/>
      </c>
      <c r="D4823" s="23" t="str">
        <f aca="false">IF(B4823="","",IFERROR(INDEX(Brand_Log!$DV$2:$DV$201,MATCH(IFERROR(INDEX(Clay_Brands!$A$2:$FZ$601,172,Sync!$D$5)&amp;"",""),Brand_Log!$A$2:$A$201,0))&amp;"",IFERROR(INDEX(Clay_Brands!$A$2:$FZ$601,172,Sync!$D$5)&amp;"","")&amp;""))</f>
        <v/>
      </c>
      <c r="E4823" s="23" t="str">
        <f aca="false">IF(B4823="","",IFERROR(INDEX(Clay_Brands!$A$2:$FZ$601,172,Sync!$D$6)&amp;"",""))</f>
        <v/>
      </c>
      <c r="F4823" s="23" t="str">
        <f aca="false">IF(B4823="","","outreach_sent")</f>
        <v/>
      </c>
      <c r="G4823" s="23" t="str">
        <f aca="false">IF(B4823="","","")</f>
        <v/>
      </c>
      <c r="H4823" s="23" t="str">
        <f aca="false">IF(B4823="","","")</f>
        <v/>
      </c>
      <c r="I4823" s="23" t="str">
        <f aca="false">IF(B4823="","","")</f>
        <v/>
      </c>
      <c r="J4823" s="23" t="str">
        <f aca="false">IF(B4823="","","touch_3; "&amp;IFERROR(INDEX(Clay_Brands!$A$2:$FZ$601,172,Sync!$D$10)&amp;"","")&amp;"; "&amp;IFERROR(INDEX(Clay_Brands!$A$2:$FZ$601,172,Sync!$D$9)&amp;"",""))</f>
        <v/>
      </c>
      <c r="K4823" s="32" t="s">
        <v>1368</v>
      </c>
    </row>
    <row r="4824" customFormat="false" ht="15" hidden="false" customHeight="false" outlineLevel="0" collapsed="false">
      <c r="A4824" s="23" t="str">
        <f aca="false">IF(B4824="","",B4824+(17*1000+173)/10000000)</f>
        <v/>
      </c>
      <c r="B4824" s="35" t="str">
        <f aca="false">IF(AND(IFERROR(N(INDEX(Clay_Brands!$A$2:$FZ$601,173,Sync!$D$13)),0)&gt;0,IFERROR(INDEX(Clay_Brands!$A$2:$FZ$601,173,Sync!$D$5)&amp;"","")&lt;&gt;"",OR(LEFT(IFERROR(INDEX(Clay_Brands!$A$2:$FZ$601,173,Sync!$D$5)&amp;"",""),6)&lt;&gt;"SAMPLE",Config!$B$19="Y")),IFERROR(N(INDEX(Clay_Brands!$A$2:$FZ$601,173,Sync!$D$13)),0),"")</f>
        <v/>
      </c>
      <c r="C4824" s="23" t="str">
        <f aca="false">IF(B4824="","","brand")</f>
        <v/>
      </c>
      <c r="D4824" s="23" t="str">
        <f aca="false">IF(B4824="","",IFERROR(INDEX(Brand_Log!$DV$2:$DV$201,MATCH(IFERROR(INDEX(Clay_Brands!$A$2:$FZ$601,173,Sync!$D$5)&amp;"",""),Brand_Log!$A$2:$A$201,0))&amp;"",IFERROR(INDEX(Clay_Brands!$A$2:$FZ$601,173,Sync!$D$5)&amp;"","")&amp;""))</f>
        <v/>
      </c>
      <c r="E4824" s="23" t="str">
        <f aca="false">IF(B4824="","",IFERROR(INDEX(Clay_Brands!$A$2:$FZ$601,173,Sync!$D$6)&amp;"",""))</f>
        <v/>
      </c>
      <c r="F4824" s="23" t="str">
        <f aca="false">IF(B4824="","","outreach_sent")</f>
        <v/>
      </c>
      <c r="G4824" s="23" t="str">
        <f aca="false">IF(B4824="","","")</f>
        <v/>
      </c>
      <c r="H4824" s="23" t="str">
        <f aca="false">IF(B4824="","","")</f>
        <v/>
      </c>
      <c r="I4824" s="23" t="str">
        <f aca="false">IF(B4824="","","")</f>
        <v/>
      </c>
      <c r="J4824" s="23" t="str">
        <f aca="false">IF(B4824="","","touch_3; "&amp;IFERROR(INDEX(Clay_Brands!$A$2:$FZ$601,173,Sync!$D$10)&amp;"","")&amp;"; "&amp;IFERROR(INDEX(Clay_Brands!$A$2:$FZ$601,173,Sync!$D$9)&amp;"",""))</f>
        <v/>
      </c>
      <c r="K4824" s="32" t="s">
        <v>1368</v>
      </c>
    </row>
    <row r="4825" customFormat="false" ht="15" hidden="false" customHeight="false" outlineLevel="0" collapsed="false">
      <c r="A4825" s="23" t="str">
        <f aca="false">IF(B4825="","",B4825+(17*1000+174)/10000000)</f>
        <v/>
      </c>
      <c r="B4825" s="35" t="str">
        <f aca="false">IF(AND(IFERROR(N(INDEX(Clay_Brands!$A$2:$FZ$601,174,Sync!$D$13)),0)&gt;0,IFERROR(INDEX(Clay_Brands!$A$2:$FZ$601,174,Sync!$D$5)&amp;"","")&lt;&gt;"",OR(LEFT(IFERROR(INDEX(Clay_Brands!$A$2:$FZ$601,174,Sync!$D$5)&amp;"",""),6)&lt;&gt;"SAMPLE",Config!$B$19="Y")),IFERROR(N(INDEX(Clay_Brands!$A$2:$FZ$601,174,Sync!$D$13)),0),"")</f>
        <v/>
      </c>
      <c r="C4825" s="23" t="str">
        <f aca="false">IF(B4825="","","brand")</f>
        <v/>
      </c>
      <c r="D4825" s="23" t="str">
        <f aca="false">IF(B4825="","",IFERROR(INDEX(Brand_Log!$DV$2:$DV$201,MATCH(IFERROR(INDEX(Clay_Brands!$A$2:$FZ$601,174,Sync!$D$5)&amp;"",""),Brand_Log!$A$2:$A$201,0))&amp;"",IFERROR(INDEX(Clay_Brands!$A$2:$FZ$601,174,Sync!$D$5)&amp;"","")&amp;""))</f>
        <v/>
      </c>
      <c r="E4825" s="23" t="str">
        <f aca="false">IF(B4825="","",IFERROR(INDEX(Clay_Brands!$A$2:$FZ$601,174,Sync!$D$6)&amp;"",""))</f>
        <v/>
      </c>
      <c r="F4825" s="23" t="str">
        <f aca="false">IF(B4825="","","outreach_sent")</f>
        <v/>
      </c>
      <c r="G4825" s="23" t="str">
        <f aca="false">IF(B4825="","","")</f>
        <v/>
      </c>
      <c r="H4825" s="23" t="str">
        <f aca="false">IF(B4825="","","")</f>
        <v/>
      </c>
      <c r="I4825" s="23" t="str">
        <f aca="false">IF(B4825="","","")</f>
        <v/>
      </c>
      <c r="J4825" s="23" t="str">
        <f aca="false">IF(B4825="","","touch_3; "&amp;IFERROR(INDEX(Clay_Brands!$A$2:$FZ$601,174,Sync!$D$10)&amp;"","")&amp;"; "&amp;IFERROR(INDEX(Clay_Brands!$A$2:$FZ$601,174,Sync!$D$9)&amp;"",""))</f>
        <v/>
      </c>
      <c r="K4825" s="32" t="s">
        <v>1368</v>
      </c>
    </row>
    <row r="4826" customFormat="false" ht="15" hidden="false" customHeight="false" outlineLevel="0" collapsed="false">
      <c r="A4826" s="23" t="str">
        <f aca="false">IF(B4826="","",B4826+(17*1000+175)/10000000)</f>
        <v/>
      </c>
      <c r="B4826" s="35" t="str">
        <f aca="false">IF(AND(IFERROR(N(INDEX(Clay_Brands!$A$2:$FZ$601,175,Sync!$D$13)),0)&gt;0,IFERROR(INDEX(Clay_Brands!$A$2:$FZ$601,175,Sync!$D$5)&amp;"","")&lt;&gt;"",OR(LEFT(IFERROR(INDEX(Clay_Brands!$A$2:$FZ$601,175,Sync!$D$5)&amp;"",""),6)&lt;&gt;"SAMPLE",Config!$B$19="Y")),IFERROR(N(INDEX(Clay_Brands!$A$2:$FZ$601,175,Sync!$D$13)),0),"")</f>
        <v/>
      </c>
      <c r="C4826" s="23" t="str">
        <f aca="false">IF(B4826="","","brand")</f>
        <v/>
      </c>
      <c r="D4826" s="23" t="str">
        <f aca="false">IF(B4826="","",IFERROR(INDEX(Brand_Log!$DV$2:$DV$201,MATCH(IFERROR(INDEX(Clay_Brands!$A$2:$FZ$601,175,Sync!$D$5)&amp;"",""),Brand_Log!$A$2:$A$201,0))&amp;"",IFERROR(INDEX(Clay_Brands!$A$2:$FZ$601,175,Sync!$D$5)&amp;"","")&amp;""))</f>
        <v/>
      </c>
      <c r="E4826" s="23" t="str">
        <f aca="false">IF(B4826="","",IFERROR(INDEX(Clay_Brands!$A$2:$FZ$601,175,Sync!$D$6)&amp;"",""))</f>
        <v/>
      </c>
      <c r="F4826" s="23" t="str">
        <f aca="false">IF(B4826="","","outreach_sent")</f>
        <v/>
      </c>
      <c r="G4826" s="23" t="str">
        <f aca="false">IF(B4826="","","")</f>
        <v/>
      </c>
      <c r="H4826" s="23" t="str">
        <f aca="false">IF(B4826="","","")</f>
        <v/>
      </c>
      <c r="I4826" s="23" t="str">
        <f aca="false">IF(B4826="","","")</f>
        <v/>
      </c>
      <c r="J4826" s="23" t="str">
        <f aca="false">IF(B4826="","","touch_3; "&amp;IFERROR(INDEX(Clay_Brands!$A$2:$FZ$601,175,Sync!$D$10)&amp;"","")&amp;"; "&amp;IFERROR(INDEX(Clay_Brands!$A$2:$FZ$601,175,Sync!$D$9)&amp;"",""))</f>
        <v/>
      </c>
      <c r="K4826" s="32" t="s">
        <v>1368</v>
      </c>
    </row>
    <row r="4827" customFormat="false" ht="15" hidden="false" customHeight="false" outlineLevel="0" collapsed="false">
      <c r="A4827" s="23" t="str">
        <f aca="false">IF(B4827="","",B4827+(17*1000+176)/10000000)</f>
        <v/>
      </c>
      <c r="B4827" s="35" t="str">
        <f aca="false">IF(AND(IFERROR(N(INDEX(Clay_Brands!$A$2:$FZ$601,176,Sync!$D$13)),0)&gt;0,IFERROR(INDEX(Clay_Brands!$A$2:$FZ$601,176,Sync!$D$5)&amp;"","")&lt;&gt;"",OR(LEFT(IFERROR(INDEX(Clay_Brands!$A$2:$FZ$601,176,Sync!$D$5)&amp;"",""),6)&lt;&gt;"SAMPLE",Config!$B$19="Y")),IFERROR(N(INDEX(Clay_Brands!$A$2:$FZ$601,176,Sync!$D$13)),0),"")</f>
        <v/>
      </c>
      <c r="C4827" s="23" t="str">
        <f aca="false">IF(B4827="","","brand")</f>
        <v/>
      </c>
      <c r="D4827" s="23" t="str">
        <f aca="false">IF(B4827="","",IFERROR(INDEX(Brand_Log!$DV$2:$DV$201,MATCH(IFERROR(INDEX(Clay_Brands!$A$2:$FZ$601,176,Sync!$D$5)&amp;"",""),Brand_Log!$A$2:$A$201,0))&amp;"",IFERROR(INDEX(Clay_Brands!$A$2:$FZ$601,176,Sync!$D$5)&amp;"","")&amp;""))</f>
        <v/>
      </c>
      <c r="E4827" s="23" t="str">
        <f aca="false">IF(B4827="","",IFERROR(INDEX(Clay_Brands!$A$2:$FZ$601,176,Sync!$D$6)&amp;"",""))</f>
        <v/>
      </c>
      <c r="F4827" s="23" t="str">
        <f aca="false">IF(B4827="","","outreach_sent")</f>
        <v/>
      </c>
      <c r="G4827" s="23" t="str">
        <f aca="false">IF(B4827="","","")</f>
        <v/>
      </c>
      <c r="H4827" s="23" t="str">
        <f aca="false">IF(B4827="","","")</f>
        <v/>
      </c>
      <c r="I4827" s="23" t="str">
        <f aca="false">IF(B4827="","","")</f>
        <v/>
      </c>
      <c r="J4827" s="23" t="str">
        <f aca="false">IF(B4827="","","touch_3; "&amp;IFERROR(INDEX(Clay_Brands!$A$2:$FZ$601,176,Sync!$D$10)&amp;"","")&amp;"; "&amp;IFERROR(INDEX(Clay_Brands!$A$2:$FZ$601,176,Sync!$D$9)&amp;"",""))</f>
        <v/>
      </c>
      <c r="K4827" s="32" t="s">
        <v>1368</v>
      </c>
    </row>
    <row r="4828" customFormat="false" ht="15" hidden="false" customHeight="false" outlineLevel="0" collapsed="false">
      <c r="A4828" s="23" t="str">
        <f aca="false">IF(B4828="","",B4828+(17*1000+177)/10000000)</f>
        <v/>
      </c>
      <c r="B4828" s="35" t="str">
        <f aca="false">IF(AND(IFERROR(N(INDEX(Clay_Brands!$A$2:$FZ$601,177,Sync!$D$13)),0)&gt;0,IFERROR(INDEX(Clay_Brands!$A$2:$FZ$601,177,Sync!$D$5)&amp;"","")&lt;&gt;"",OR(LEFT(IFERROR(INDEX(Clay_Brands!$A$2:$FZ$601,177,Sync!$D$5)&amp;"",""),6)&lt;&gt;"SAMPLE",Config!$B$19="Y")),IFERROR(N(INDEX(Clay_Brands!$A$2:$FZ$601,177,Sync!$D$13)),0),"")</f>
        <v/>
      </c>
      <c r="C4828" s="23" t="str">
        <f aca="false">IF(B4828="","","brand")</f>
        <v/>
      </c>
      <c r="D4828" s="23" t="str">
        <f aca="false">IF(B4828="","",IFERROR(INDEX(Brand_Log!$DV$2:$DV$201,MATCH(IFERROR(INDEX(Clay_Brands!$A$2:$FZ$601,177,Sync!$D$5)&amp;"",""),Brand_Log!$A$2:$A$201,0))&amp;"",IFERROR(INDEX(Clay_Brands!$A$2:$FZ$601,177,Sync!$D$5)&amp;"","")&amp;""))</f>
        <v/>
      </c>
      <c r="E4828" s="23" t="str">
        <f aca="false">IF(B4828="","",IFERROR(INDEX(Clay_Brands!$A$2:$FZ$601,177,Sync!$D$6)&amp;"",""))</f>
        <v/>
      </c>
      <c r="F4828" s="23" t="str">
        <f aca="false">IF(B4828="","","outreach_sent")</f>
        <v/>
      </c>
      <c r="G4828" s="23" t="str">
        <f aca="false">IF(B4828="","","")</f>
        <v/>
      </c>
      <c r="H4828" s="23" t="str">
        <f aca="false">IF(B4828="","","")</f>
        <v/>
      </c>
      <c r="I4828" s="23" t="str">
        <f aca="false">IF(B4828="","","")</f>
        <v/>
      </c>
      <c r="J4828" s="23" t="str">
        <f aca="false">IF(B4828="","","touch_3; "&amp;IFERROR(INDEX(Clay_Brands!$A$2:$FZ$601,177,Sync!$D$10)&amp;"","")&amp;"; "&amp;IFERROR(INDEX(Clay_Brands!$A$2:$FZ$601,177,Sync!$D$9)&amp;"",""))</f>
        <v/>
      </c>
      <c r="K4828" s="32" t="s">
        <v>1368</v>
      </c>
    </row>
    <row r="4829" customFormat="false" ht="15" hidden="false" customHeight="false" outlineLevel="0" collapsed="false">
      <c r="A4829" s="23" t="str">
        <f aca="false">IF(B4829="","",B4829+(17*1000+178)/10000000)</f>
        <v/>
      </c>
      <c r="B4829" s="35" t="str">
        <f aca="false">IF(AND(IFERROR(N(INDEX(Clay_Brands!$A$2:$FZ$601,178,Sync!$D$13)),0)&gt;0,IFERROR(INDEX(Clay_Brands!$A$2:$FZ$601,178,Sync!$D$5)&amp;"","")&lt;&gt;"",OR(LEFT(IFERROR(INDEX(Clay_Brands!$A$2:$FZ$601,178,Sync!$D$5)&amp;"",""),6)&lt;&gt;"SAMPLE",Config!$B$19="Y")),IFERROR(N(INDEX(Clay_Brands!$A$2:$FZ$601,178,Sync!$D$13)),0),"")</f>
        <v/>
      </c>
      <c r="C4829" s="23" t="str">
        <f aca="false">IF(B4829="","","brand")</f>
        <v/>
      </c>
      <c r="D4829" s="23" t="str">
        <f aca="false">IF(B4829="","",IFERROR(INDEX(Brand_Log!$DV$2:$DV$201,MATCH(IFERROR(INDEX(Clay_Brands!$A$2:$FZ$601,178,Sync!$D$5)&amp;"",""),Brand_Log!$A$2:$A$201,0))&amp;"",IFERROR(INDEX(Clay_Brands!$A$2:$FZ$601,178,Sync!$D$5)&amp;"","")&amp;""))</f>
        <v/>
      </c>
      <c r="E4829" s="23" t="str">
        <f aca="false">IF(B4829="","",IFERROR(INDEX(Clay_Brands!$A$2:$FZ$601,178,Sync!$D$6)&amp;"",""))</f>
        <v/>
      </c>
      <c r="F4829" s="23" t="str">
        <f aca="false">IF(B4829="","","outreach_sent")</f>
        <v/>
      </c>
      <c r="G4829" s="23" t="str">
        <f aca="false">IF(B4829="","","")</f>
        <v/>
      </c>
      <c r="H4829" s="23" t="str">
        <f aca="false">IF(B4829="","","")</f>
        <v/>
      </c>
      <c r="I4829" s="23" t="str">
        <f aca="false">IF(B4829="","","")</f>
        <v/>
      </c>
      <c r="J4829" s="23" t="str">
        <f aca="false">IF(B4829="","","touch_3; "&amp;IFERROR(INDEX(Clay_Brands!$A$2:$FZ$601,178,Sync!$D$10)&amp;"","")&amp;"; "&amp;IFERROR(INDEX(Clay_Brands!$A$2:$FZ$601,178,Sync!$D$9)&amp;"",""))</f>
        <v/>
      </c>
      <c r="K4829" s="32" t="s">
        <v>1368</v>
      </c>
    </row>
    <row r="4830" customFormat="false" ht="15" hidden="false" customHeight="false" outlineLevel="0" collapsed="false">
      <c r="A4830" s="23" t="str">
        <f aca="false">IF(B4830="","",B4830+(17*1000+179)/10000000)</f>
        <v/>
      </c>
      <c r="B4830" s="35" t="str">
        <f aca="false">IF(AND(IFERROR(N(INDEX(Clay_Brands!$A$2:$FZ$601,179,Sync!$D$13)),0)&gt;0,IFERROR(INDEX(Clay_Brands!$A$2:$FZ$601,179,Sync!$D$5)&amp;"","")&lt;&gt;"",OR(LEFT(IFERROR(INDEX(Clay_Brands!$A$2:$FZ$601,179,Sync!$D$5)&amp;"",""),6)&lt;&gt;"SAMPLE",Config!$B$19="Y")),IFERROR(N(INDEX(Clay_Brands!$A$2:$FZ$601,179,Sync!$D$13)),0),"")</f>
        <v/>
      </c>
      <c r="C4830" s="23" t="str">
        <f aca="false">IF(B4830="","","brand")</f>
        <v/>
      </c>
      <c r="D4830" s="23" t="str">
        <f aca="false">IF(B4830="","",IFERROR(INDEX(Brand_Log!$DV$2:$DV$201,MATCH(IFERROR(INDEX(Clay_Brands!$A$2:$FZ$601,179,Sync!$D$5)&amp;"",""),Brand_Log!$A$2:$A$201,0))&amp;"",IFERROR(INDEX(Clay_Brands!$A$2:$FZ$601,179,Sync!$D$5)&amp;"","")&amp;""))</f>
        <v/>
      </c>
      <c r="E4830" s="23" t="str">
        <f aca="false">IF(B4830="","",IFERROR(INDEX(Clay_Brands!$A$2:$FZ$601,179,Sync!$D$6)&amp;"",""))</f>
        <v/>
      </c>
      <c r="F4830" s="23" t="str">
        <f aca="false">IF(B4830="","","outreach_sent")</f>
        <v/>
      </c>
      <c r="G4830" s="23" t="str">
        <f aca="false">IF(B4830="","","")</f>
        <v/>
      </c>
      <c r="H4830" s="23" t="str">
        <f aca="false">IF(B4830="","","")</f>
        <v/>
      </c>
      <c r="I4830" s="23" t="str">
        <f aca="false">IF(B4830="","","")</f>
        <v/>
      </c>
      <c r="J4830" s="23" t="str">
        <f aca="false">IF(B4830="","","touch_3; "&amp;IFERROR(INDEX(Clay_Brands!$A$2:$FZ$601,179,Sync!$D$10)&amp;"","")&amp;"; "&amp;IFERROR(INDEX(Clay_Brands!$A$2:$FZ$601,179,Sync!$D$9)&amp;"",""))</f>
        <v/>
      </c>
      <c r="K4830" s="32" t="s">
        <v>1368</v>
      </c>
    </row>
    <row r="4831" customFormat="false" ht="15" hidden="false" customHeight="false" outlineLevel="0" collapsed="false">
      <c r="A4831" s="23" t="str">
        <f aca="false">IF(B4831="","",B4831+(17*1000+180)/10000000)</f>
        <v/>
      </c>
      <c r="B4831" s="35" t="str">
        <f aca="false">IF(AND(IFERROR(N(INDEX(Clay_Brands!$A$2:$FZ$601,180,Sync!$D$13)),0)&gt;0,IFERROR(INDEX(Clay_Brands!$A$2:$FZ$601,180,Sync!$D$5)&amp;"","")&lt;&gt;"",OR(LEFT(IFERROR(INDEX(Clay_Brands!$A$2:$FZ$601,180,Sync!$D$5)&amp;"",""),6)&lt;&gt;"SAMPLE",Config!$B$19="Y")),IFERROR(N(INDEX(Clay_Brands!$A$2:$FZ$601,180,Sync!$D$13)),0),"")</f>
        <v/>
      </c>
      <c r="C4831" s="23" t="str">
        <f aca="false">IF(B4831="","","brand")</f>
        <v/>
      </c>
      <c r="D4831" s="23" t="str">
        <f aca="false">IF(B4831="","",IFERROR(INDEX(Brand_Log!$DV$2:$DV$201,MATCH(IFERROR(INDEX(Clay_Brands!$A$2:$FZ$601,180,Sync!$D$5)&amp;"",""),Brand_Log!$A$2:$A$201,0))&amp;"",IFERROR(INDEX(Clay_Brands!$A$2:$FZ$601,180,Sync!$D$5)&amp;"","")&amp;""))</f>
        <v/>
      </c>
      <c r="E4831" s="23" t="str">
        <f aca="false">IF(B4831="","",IFERROR(INDEX(Clay_Brands!$A$2:$FZ$601,180,Sync!$D$6)&amp;"",""))</f>
        <v/>
      </c>
      <c r="F4831" s="23" t="str">
        <f aca="false">IF(B4831="","","outreach_sent")</f>
        <v/>
      </c>
      <c r="G4831" s="23" t="str">
        <f aca="false">IF(B4831="","","")</f>
        <v/>
      </c>
      <c r="H4831" s="23" t="str">
        <f aca="false">IF(B4831="","","")</f>
        <v/>
      </c>
      <c r="I4831" s="23" t="str">
        <f aca="false">IF(B4831="","","")</f>
        <v/>
      </c>
      <c r="J4831" s="23" t="str">
        <f aca="false">IF(B4831="","","touch_3; "&amp;IFERROR(INDEX(Clay_Brands!$A$2:$FZ$601,180,Sync!$D$10)&amp;"","")&amp;"; "&amp;IFERROR(INDEX(Clay_Brands!$A$2:$FZ$601,180,Sync!$D$9)&amp;"",""))</f>
        <v/>
      </c>
      <c r="K4831" s="32" t="s">
        <v>1368</v>
      </c>
    </row>
    <row r="4832" customFormat="false" ht="15" hidden="false" customHeight="false" outlineLevel="0" collapsed="false">
      <c r="A4832" s="23" t="str">
        <f aca="false">IF(B4832="","",B4832+(17*1000+181)/10000000)</f>
        <v/>
      </c>
      <c r="B4832" s="35" t="str">
        <f aca="false">IF(AND(IFERROR(N(INDEX(Clay_Brands!$A$2:$FZ$601,181,Sync!$D$13)),0)&gt;0,IFERROR(INDEX(Clay_Brands!$A$2:$FZ$601,181,Sync!$D$5)&amp;"","")&lt;&gt;"",OR(LEFT(IFERROR(INDEX(Clay_Brands!$A$2:$FZ$601,181,Sync!$D$5)&amp;"",""),6)&lt;&gt;"SAMPLE",Config!$B$19="Y")),IFERROR(N(INDEX(Clay_Brands!$A$2:$FZ$601,181,Sync!$D$13)),0),"")</f>
        <v/>
      </c>
      <c r="C4832" s="23" t="str">
        <f aca="false">IF(B4832="","","brand")</f>
        <v/>
      </c>
      <c r="D4832" s="23" t="str">
        <f aca="false">IF(B4832="","",IFERROR(INDEX(Brand_Log!$DV$2:$DV$201,MATCH(IFERROR(INDEX(Clay_Brands!$A$2:$FZ$601,181,Sync!$D$5)&amp;"",""),Brand_Log!$A$2:$A$201,0))&amp;"",IFERROR(INDEX(Clay_Brands!$A$2:$FZ$601,181,Sync!$D$5)&amp;"","")&amp;""))</f>
        <v/>
      </c>
      <c r="E4832" s="23" t="str">
        <f aca="false">IF(B4832="","",IFERROR(INDEX(Clay_Brands!$A$2:$FZ$601,181,Sync!$D$6)&amp;"",""))</f>
        <v/>
      </c>
      <c r="F4832" s="23" t="str">
        <f aca="false">IF(B4832="","","outreach_sent")</f>
        <v/>
      </c>
      <c r="G4832" s="23" t="str">
        <f aca="false">IF(B4832="","","")</f>
        <v/>
      </c>
      <c r="H4832" s="23" t="str">
        <f aca="false">IF(B4832="","","")</f>
        <v/>
      </c>
      <c r="I4832" s="23" t="str">
        <f aca="false">IF(B4832="","","")</f>
        <v/>
      </c>
      <c r="J4832" s="23" t="str">
        <f aca="false">IF(B4832="","","touch_3; "&amp;IFERROR(INDEX(Clay_Brands!$A$2:$FZ$601,181,Sync!$D$10)&amp;"","")&amp;"; "&amp;IFERROR(INDEX(Clay_Brands!$A$2:$FZ$601,181,Sync!$D$9)&amp;"",""))</f>
        <v/>
      </c>
      <c r="K4832" s="32" t="s">
        <v>1368</v>
      </c>
    </row>
    <row r="4833" customFormat="false" ht="15" hidden="false" customHeight="false" outlineLevel="0" collapsed="false">
      <c r="A4833" s="23" t="str">
        <f aca="false">IF(B4833="","",B4833+(17*1000+182)/10000000)</f>
        <v/>
      </c>
      <c r="B4833" s="35" t="str">
        <f aca="false">IF(AND(IFERROR(N(INDEX(Clay_Brands!$A$2:$FZ$601,182,Sync!$D$13)),0)&gt;0,IFERROR(INDEX(Clay_Brands!$A$2:$FZ$601,182,Sync!$D$5)&amp;"","")&lt;&gt;"",OR(LEFT(IFERROR(INDEX(Clay_Brands!$A$2:$FZ$601,182,Sync!$D$5)&amp;"",""),6)&lt;&gt;"SAMPLE",Config!$B$19="Y")),IFERROR(N(INDEX(Clay_Brands!$A$2:$FZ$601,182,Sync!$D$13)),0),"")</f>
        <v/>
      </c>
      <c r="C4833" s="23" t="str">
        <f aca="false">IF(B4833="","","brand")</f>
        <v/>
      </c>
      <c r="D4833" s="23" t="str">
        <f aca="false">IF(B4833="","",IFERROR(INDEX(Brand_Log!$DV$2:$DV$201,MATCH(IFERROR(INDEX(Clay_Brands!$A$2:$FZ$601,182,Sync!$D$5)&amp;"",""),Brand_Log!$A$2:$A$201,0))&amp;"",IFERROR(INDEX(Clay_Brands!$A$2:$FZ$601,182,Sync!$D$5)&amp;"","")&amp;""))</f>
        <v/>
      </c>
      <c r="E4833" s="23" t="str">
        <f aca="false">IF(B4833="","",IFERROR(INDEX(Clay_Brands!$A$2:$FZ$601,182,Sync!$D$6)&amp;"",""))</f>
        <v/>
      </c>
      <c r="F4833" s="23" t="str">
        <f aca="false">IF(B4833="","","outreach_sent")</f>
        <v/>
      </c>
      <c r="G4833" s="23" t="str">
        <f aca="false">IF(B4833="","","")</f>
        <v/>
      </c>
      <c r="H4833" s="23" t="str">
        <f aca="false">IF(B4833="","","")</f>
        <v/>
      </c>
      <c r="I4833" s="23" t="str">
        <f aca="false">IF(B4833="","","")</f>
        <v/>
      </c>
      <c r="J4833" s="23" t="str">
        <f aca="false">IF(B4833="","","touch_3; "&amp;IFERROR(INDEX(Clay_Brands!$A$2:$FZ$601,182,Sync!$D$10)&amp;"","")&amp;"; "&amp;IFERROR(INDEX(Clay_Brands!$A$2:$FZ$601,182,Sync!$D$9)&amp;"",""))</f>
        <v/>
      </c>
      <c r="K4833" s="32" t="s">
        <v>1368</v>
      </c>
    </row>
    <row r="4834" customFormat="false" ht="15" hidden="false" customHeight="false" outlineLevel="0" collapsed="false">
      <c r="A4834" s="23" t="str">
        <f aca="false">IF(B4834="","",B4834+(17*1000+183)/10000000)</f>
        <v/>
      </c>
      <c r="B4834" s="35" t="str">
        <f aca="false">IF(AND(IFERROR(N(INDEX(Clay_Brands!$A$2:$FZ$601,183,Sync!$D$13)),0)&gt;0,IFERROR(INDEX(Clay_Brands!$A$2:$FZ$601,183,Sync!$D$5)&amp;"","")&lt;&gt;"",OR(LEFT(IFERROR(INDEX(Clay_Brands!$A$2:$FZ$601,183,Sync!$D$5)&amp;"",""),6)&lt;&gt;"SAMPLE",Config!$B$19="Y")),IFERROR(N(INDEX(Clay_Brands!$A$2:$FZ$601,183,Sync!$D$13)),0),"")</f>
        <v/>
      </c>
      <c r="C4834" s="23" t="str">
        <f aca="false">IF(B4834="","","brand")</f>
        <v/>
      </c>
      <c r="D4834" s="23" t="str">
        <f aca="false">IF(B4834="","",IFERROR(INDEX(Brand_Log!$DV$2:$DV$201,MATCH(IFERROR(INDEX(Clay_Brands!$A$2:$FZ$601,183,Sync!$D$5)&amp;"",""),Brand_Log!$A$2:$A$201,0))&amp;"",IFERROR(INDEX(Clay_Brands!$A$2:$FZ$601,183,Sync!$D$5)&amp;"","")&amp;""))</f>
        <v/>
      </c>
      <c r="E4834" s="23" t="str">
        <f aca="false">IF(B4834="","",IFERROR(INDEX(Clay_Brands!$A$2:$FZ$601,183,Sync!$D$6)&amp;"",""))</f>
        <v/>
      </c>
      <c r="F4834" s="23" t="str">
        <f aca="false">IF(B4834="","","outreach_sent")</f>
        <v/>
      </c>
      <c r="G4834" s="23" t="str">
        <f aca="false">IF(B4834="","","")</f>
        <v/>
      </c>
      <c r="H4834" s="23" t="str">
        <f aca="false">IF(B4834="","","")</f>
        <v/>
      </c>
      <c r="I4834" s="23" t="str">
        <f aca="false">IF(B4834="","","")</f>
        <v/>
      </c>
      <c r="J4834" s="23" t="str">
        <f aca="false">IF(B4834="","","touch_3; "&amp;IFERROR(INDEX(Clay_Brands!$A$2:$FZ$601,183,Sync!$D$10)&amp;"","")&amp;"; "&amp;IFERROR(INDEX(Clay_Brands!$A$2:$FZ$601,183,Sync!$D$9)&amp;"",""))</f>
        <v/>
      </c>
      <c r="K4834" s="32" t="s">
        <v>1368</v>
      </c>
    </row>
    <row r="4835" customFormat="false" ht="15" hidden="false" customHeight="false" outlineLevel="0" collapsed="false">
      <c r="A4835" s="23" t="str">
        <f aca="false">IF(B4835="","",B4835+(17*1000+184)/10000000)</f>
        <v/>
      </c>
      <c r="B4835" s="35" t="str">
        <f aca="false">IF(AND(IFERROR(N(INDEX(Clay_Brands!$A$2:$FZ$601,184,Sync!$D$13)),0)&gt;0,IFERROR(INDEX(Clay_Brands!$A$2:$FZ$601,184,Sync!$D$5)&amp;"","")&lt;&gt;"",OR(LEFT(IFERROR(INDEX(Clay_Brands!$A$2:$FZ$601,184,Sync!$D$5)&amp;"",""),6)&lt;&gt;"SAMPLE",Config!$B$19="Y")),IFERROR(N(INDEX(Clay_Brands!$A$2:$FZ$601,184,Sync!$D$13)),0),"")</f>
        <v/>
      </c>
      <c r="C4835" s="23" t="str">
        <f aca="false">IF(B4835="","","brand")</f>
        <v/>
      </c>
      <c r="D4835" s="23" t="str">
        <f aca="false">IF(B4835="","",IFERROR(INDEX(Brand_Log!$DV$2:$DV$201,MATCH(IFERROR(INDEX(Clay_Brands!$A$2:$FZ$601,184,Sync!$D$5)&amp;"",""),Brand_Log!$A$2:$A$201,0))&amp;"",IFERROR(INDEX(Clay_Brands!$A$2:$FZ$601,184,Sync!$D$5)&amp;"","")&amp;""))</f>
        <v/>
      </c>
      <c r="E4835" s="23" t="str">
        <f aca="false">IF(B4835="","",IFERROR(INDEX(Clay_Brands!$A$2:$FZ$601,184,Sync!$D$6)&amp;"",""))</f>
        <v/>
      </c>
      <c r="F4835" s="23" t="str">
        <f aca="false">IF(B4835="","","outreach_sent")</f>
        <v/>
      </c>
      <c r="G4835" s="23" t="str">
        <f aca="false">IF(B4835="","","")</f>
        <v/>
      </c>
      <c r="H4835" s="23" t="str">
        <f aca="false">IF(B4835="","","")</f>
        <v/>
      </c>
      <c r="I4835" s="23" t="str">
        <f aca="false">IF(B4835="","","")</f>
        <v/>
      </c>
      <c r="J4835" s="23" t="str">
        <f aca="false">IF(B4835="","","touch_3; "&amp;IFERROR(INDEX(Clay_Brands!$A$2:$FZ$601,184,Sync!$D$10)&amp;"","")&amp;"; "&amp;IFERROR(INDEX(Clay_Brands!$A$2:$FZ$601,184,Sync!$D$9)&amp;"",""))</f>
        <v/>
      </c>
      <c r="K4835" s="32" t="s">
        <v>1368</v>
      </c>
    </row>
    <row r="4836" customFormat="false" ht="15" hidden="false" customHeight="false" outlineLevel="0" collapsed="false">
      <c r="A4836" s="23" t="str">
        <f aca="false">IF(B4836="","",B4836+(17*1000+185)/10000000)</f>
        <v/>
      </c>
      <c r="B4836" s="35" t="str">
        <f aca="false">IF(AND(IFERROR(N(INDEX(Clay_Brands!$A$2:$FZ$601,185,Sync!$D$13)),0)&gt;0,IFERROR(INDEX(Clay_Brands!$A$2:$FZ$601,185,Sync!$D$5)&amp;"","")&lt;&gt;"",OR(LEFT(IFERROR(INDEX(Clay_Brands!$A$2:$FZ$601,185,Sync!$D$5)&amp;"",""),6)&lt;&gt;"SAMPLE",Config!$B$19="Y")),IFERROR(N(INDEX(Clay_Brands!$A$2:$FZ$601,185,Sync!$D$13)),0),"")</f>
        <v/>
      </c>
      <c r="C4836" s="23" t="str">
        <f aca="false">IF(B4836="","","brand")</f>
        <v/>
      </c>
      <c r="D4836" s="23" t="str">
        <f aca="false">IF(B4836="","",IFERROR(INDEX(Brand_Log!$DV$2:$DV$201,MATCH(IFERROR(INDEX(Clay_Brands!$A$2:$FZ$601,185,Sync!$D$5)&amp;"",""),Brand_Log!$A$2:$A$201,0))&amp;"",IFERROR(INDEX(Clay_Brands!$A$2:$FZ$601,185,Sync!$D$5)&amp;"","")&amp;""))</f>
        <v/>
      </c>
      <c r="E4836" s="23" t="str">
        <f aca="false">IF(B4836="","",IFERROR(INDEX(Clay_Brands!$A$2:$FZ$601,185,Sync!$D$6)&amp;"",""))</f>
        <v/>
      </c>
      <c r="F4836" s="23" t="str">
        <f aca="false">IF(B4836="","","outreach_sent")</f>
        <v/>
      </c>
      <c r="G4836" s="23" t="str">
        <f aca="false">IF(B4836="","","")</f>
        <v/>
      </c>
      <c r="H4836" s="23" t="str">
        <f aca="false">IF(B4836="","","")</f>
        <v/>
      </c>
      <c r="I4836" s="23" t="str">
        <f aca="false">IF(B4836="","","")</f>
        <v/>
      </c>
      <c r="J4836" s="23" t="str">
        <f aca="false">IF(B4836="","","touch_3; "&amp;IFERROR(INDEX(Clay_Brands!$A$2:$FZ$601,185,Sync!$D$10)&amp;"","")&amp;"; "&amp;IFERROR(INDEX(Clay_Brands!$A$2:$FZ$601,185,Sync!$D$9)&amp;"",""))</f>
        <v/>
      </c>
      <c r="K4836" s="32" t="s">
        <v>1368</v>
      </c>
    </row>
    <row r="4837" customFormat="false" ht="15" hidden="false" customHeight="false" outlineLevel="0" collapsed="false">
      <c r="A4837" s="23" t="str">
        <f aca="false">IF(B4837="","",B4837+(17*1000+186)/10000000)</f>
        <v/>
      </c>
      <c r="B4837" s="35" t="str">
        <f aca="false">IF(AND(IFERROR(N(INDEX(Clay_Brands!$A$2:$FZ$601,186,Sync!$D$13)),0)&gt;0,IFERROR(INDEX(Clay_Brands!$A$2:$FZ$601,186,Sync!$D$5)&amp;"","")&lt;&gt;"",OR(LEFT(IFERROR(INDEX(Clay_Brands!$A$2:$FZ$601,186,Sync!$D$5)&amp;"",""),6)&lt;&gt;"SAMPLE",Config!$B$19="Y")),IFERROR(N(INDEX(Clay_Brands!$A$2:$FZ$601,186,Sync!$D$13)),0),"")</f>
        <v/>
      </c>
      <c r="C4837" s="23" t="str">
        <f aca="false">IF(B4837="","","brand")</f>
        <v/>
      </c>
      <c r="D4837" s="23" t="str">
        <f aca="false">IF(B4837="","",IFERROR(INDEX(Brand_Log!$DV$2:$DV$201,MATCH(IFERROR(INDEX(Clay_Brands!$A$2:$FZ$601,186,Sync!$D$5)&amp;"",""),Brand_Log!$A$2:$A$201,0))&amp;"",IFERROR(INDEX(Clay_Brands!$A$2:$FZ$601,186,Sync!$D$5)&amp;"","")&amp;""))</f>
        <v/>
      </c>
      <c r="E4837" s="23" t="str">
        <f aca="false">IF(B4837="","",IFERROR(INDEX(Clay_Brands!$A$2:$FZ$601,186,Sync!$D$6)&amp;"",""))</f>
        <v/>
      </c>
      <c r="F4837" s="23" t="str">
        <f aca="false">IF(B4837="","","outreach_sent")</f>
        <v/>
      </c>
      <c r="G4837" s="23" t="str">
        <f aca="false">IF(B4837="","","")</f>
        <v/>
      </c>
      <c r="H4837" s="23" t="str">
        <f aca="false">IF(B4837="","","")</f>
        <v/>
      </c>
      <c r="I4837" s="23" t="str">
        <f aca="false">IF(B4837="","","")</f>
        <v/>
      </c>
      <c r="J4837" s="23" t="str">
        <f aca="false">IF(B4837="","","touch_3; "&amp;IFERROR(INDEX(Clay_Brands!$A$2:$FZ$601,186,Sync!$D$10)&amp;"","")&amp;"; "&amp;IFERROR(INDEX(Clay_Brands!$A$2:$FZ$601,186,Sync!$D$9)&amp;"",""))</f>
        <v/>
      </c>
      <c r="K4837" s="32" t="s">
        <v>1368</v>
      </c>
    </row>
    <row r="4838" customFormat="false" ht="15" hidden="false" customHeight="false" outlineLevel="0" collapsed="false">
      <c r="A4838" s="23" t="str">
        <f aca="false">IF(B4838="","",B4838+(17*1000+187)/10000000)</f>
        <v/>
      </c>
      <c r="B4838" s="35" t="str">
        <f aca="false">IF(AND(IFERROR(N(INDEX(Clay_Brands!$A$2:$FZ$601,187,Sync!$D$13)),0)&gt;0,IFERROR(INDEX(Clay_Brands!$A$2:$FZ$601,187,Sync!$D$5)&amp;"","")&lt;&gt;"",OR(LEFT(IFERROR(INDEX(Clay_Brands!$A$2:$FZ$601,187,Sync!$D$5)&amp;"",""),6)&lt;&gt;"SAMPLE",Config!$B$19="Y")),IFERROR(N(INDEX(Clay_Brands!$A$2:$FZ$601,187,Sync!$D$13)),0),"")</f>
        <v/>
      </c>
      <c r="C4838" s="23" t="str">
        <f aca="false">IF(B4838="","","brand")</f>
        <v/>
      </c>
      <c r="D4838" s="23" t="str">
        <f aca="false">IF(B4838="","",IFERROR(INDEX(Brand_Log!$DV$2:$DV$201,MATCH(IFERROR(INDEX(Clay_Brands!$A$2:$FZ$601,187,Sync!$D$5)&amp;"",""),Brand_Log!$A$2:$A$201,0))&amp;"",IFERROR(INDEX(Clay_Brands!$A$2:$FZ$601,187,Sync!$D$5)&amp;"","")&amp;""))</f>
        <v/>
      </c>
      <c r="E4838" s="23" t="str">
        <f aca="false">IF(B4838="","",IFERROR(INDEX(Clay_Brands!$A$2:$FZ$601,187,Sync!$D$6)&amp;"",""))</f>
        <v/>
      </c>
      <c r="F4838" s="23" t="str">
        <f aca="false">IF(B4838="","","outreach_sent")</f>
        <v/>
      </c>
      <c r="G4838" s="23" t="str">
        <f aca="false">IF(B4838="","","")</f>
        <v/>
      </c>
      <c r="H4838" s="23" t="str">
        <f aca="false">IF(B4838="","","")</f>
        <v/>
      </c>
      <c r="I4838" s="23" t="str">
        <f aca="false">IF(B4838="","","")</f>
        <v/>
      </c>
      <c r="J4838" s="23" t="str">
        <f aca="false">IF(B4838="","","touch_3; "&amp;IFERROR(INDEX(Clay_Brands!$A$2:$FZ$601,187,Sync!$D$10)&amp;"","")&amp;"; "&amp;IFERROR(INDEX(Clay_Brands!$A$2:$FZ$601,187,Sync!$D$9)&amp;"",""))</f>
        <v/>
      </c>
      <c r="K4838" s="32" t="s">
        <v>1368</v>
      </c>
    </row>
    <row r="4839" customFormat="false" ht="15" hidden="false" customHeight="false" outlineLevel="0" collapsed="false">
      <c r="A4839" s="23" t="str">
        <f aca="false">IF(B4839="","",B4839+(17*1000+188)/10000000)</f>
        <v/>
      </c>
      <c r="B4839" s="35" t="str">
        <f aca="false">IF(AND(IFERROR(N(INDEX(Clay_Brands!$A$2:$FZ$601,188,Sync!$D$13)),0)&gt;0,IFERROR(INDEX(Clay_Brands!$A$2:$FZ$601,188,Sync!$D$5)&amp;"","")&lt;&gt;"",OR(LEFT(IFERROR(INDEX(Clay_Brands!$A$2:$FZ$601,188,Sync!$D$5)&amp;"",""),6)&lt;&gt;"SAMPLE",Config!$B$19="Y")),IFERROR(N(INDEX(Clay_Brands!$A$2:$FZ$601,188,Sync!$D$13)),0),"")</f>
        <v/>
      </c>
      <c r="C4839" s="23" t="str">
        <f aca="false">IF(B4839="","","brand")</f>
        <v/>
      </c>
      <c r="D4839" s="23" t="str">
        <f aca="false">IF(B4839="","",IFERROR(INDEX(Brand_Log!$DV$2:$DV$201,MATCH(IFERROR(INDEX(Clay_Brands!$A$2:$FZ$601,188,Sync!$D$5)&amp;"",""),Brand_Log!$A$2:$A$201,0))&amp;"",IFERROR(INDEX(Clay_Brands!$A$2:$FZ$601,188,Sync!$D$5)&amp;"","")&amp;""))</f>
        <v/>
      </c>
      <c r="E4839" s="23" t="str">
        <f aca="false">IF(B4839="","",IFERROR(INDEX(Clay_Brands!$A$2:$FZ$601,188,Sync!$D$6)&amp;"",""))</f>
        <v/>
      </c>
      <c r="F4839" s="23" t="str">
        <f aca="false">IF(B4839="","","outreach_sent")</f>
        <v/>
      </c>
      <c r="G4839" s="23" t="str">
        <f aca="false">IF(B4839="","","")</f>
        <v/>
      </c>
      <c r="H4839" s="23" t="str">
        <f aca="false">IF(B4839="","","")</f>
        <v/>
      </c>
      <c r="I4839" s="23" t="str">
        <f aca="false">IF(B4839="","","")</f>
        <v/>
      </c>
      <c r="J4839" s="23" t="str">
        <f aca="false">IF(B4839="","","touch_3; "&amp;IFERROR(INDEX(Clay_Brands!$A$2:$FZ$601,188,Sync!$D$10)&amp;"","")&amp;"; "&amp;IFERROR(INDEX(Clay_Brands!$A$2:$FZ$601,188,Sync!$D$9)&amp;"",""))</f>
        <v/>
      </c>
      <c r="K4839" s="32" t="s">
        <v>1368</v>
      </c>
    </row>
    <row r="4840" customFormat="false" ht="15" hidden="false" customHeight="false" outlineLevel="0" collapsed="false">
      <c r="A4840" s="23" t="str">
        <f aca="false">IF(B4840="","",B4840+(17*1000+189)/10000000)</f>
        <v/>
      </c>
      <c r="B4840" s="35" t="str">
        <f aca="false">IF(AND(IFERROR(N(INDEX(Clay_Brands!$A$2:$FZ$601,189,Sync!$D$13)),0)&gt;0,IFERROR(INDEX(Clay_Brands!$A$2:$FZ$601,189,Sync!$D$5)&amp;"","")&lt;&gt;"",OR(LEFT(IFERROR(INDEX(Clay_Brands!$A$2:$FZ$601,189,Sync!$D$5)&amp;"",""),6)&lt;&gt;"SAMPLE",Config!$B$19="Y")),IFERROR(N(INDEX(Clay_Brands!$A$2:$FZ$601,189,Sync!$D$13)),0),"")</f>
        <v/>
      </c>
      <c r="C4840" s="23" t="str">
        <f aca="false">IF(B4840="","","brand")</f>
        <v/>
      </c>
      <c r="D4840" s="23" t="str">
        <f aca="false">IF(B4840="","",IFERROR(INDEX(Brand_Log!$DV$2:$DV$201,MATCH(IFERROR(INDEX(Clay_Brands!$A$2:$FZ$601,189,Sync!$D$5)&amp;"",""),Brand_Log!$A$2:$A$201,0))&amp;"",IFERROR(INDEX(Clay_Brands!$A$2:$FZ$601,189,Sync!$D$5)&amp;"","")&amp;""))</f>
        <v/>
      </c>
      <c r="E4840" s="23" t="str">
        <f aca="false">IF(B4840="","",IFERROR(INDEX(Clay_Brands!$A$2:$FZ$601,189,Sync!$D$6)&amp;"",""))</f>
        <v/>
      </c>
      <c r="F4840" s="23" t="str">
        <f aca="false">IF(B4840="","","outreach_sent")</f>
        <v/>
      </c>
      <c r="G4840" s="23" t="str">
        <f aca="false">IF(B4840="","","")</f>
        <v/>
      </c>
      <c r="H4840" s="23" t="str">
        <f aca="false">IF(B4840="","","")</f>
        <v/>
      </c>
      <c r="I4840" s="23" t="str">
        <f aca="false">IF(B4840="","","")</f>
        <v/>
      </c>
      <c r="J4840" s="23" t="str">
        <f aca="false">IF(B4840="","","touch_3; "&amp;IFERROR(INDEX(Clay_Brands!$A$2:$FZ$601,189,Sync!$D$10)&amp;"","")&amp;"; "&amp;IFERROR(INDEX(Clay_Brands!$A$2:$FZ$601,189,Sync!$D$9)&amp;"",""))</f>
        <v/>
      </c>
      <c r="K4840" s="32" t="s">
        <v>1368</v>
      </c>
    </row>
    <row r="4841" customFormat="false" ht="15" hidden="false" customHeight="false" outlineLevel="0" collapsed="false">
      <c r="A4841" s="23" t="str">
        <f aca="false">IF(B4841="","",B4841+(17*1000+190)/10000000)</f>
        <v/>
      </c>
      <c r="B4841" s="35" t="str">
        <f aca="false">IF(AND(IFERROR(N(INDEX(Clay_Brands!$A$2:$FZ$601,190,Sync!$D$13)),0)&gt;0,IFERROR(INDEX(Clay_Brands!$A$2:$FZ$601,190,Sync!$D$5)&amp;"","")&lt;&gt;"",OR(LEFT(IFERROR(INDEX(Clay_Brands!$A$2:$FZ$601,190,Sync!$D$5)&amp;"",""),6)&lt;&gt;"SAMPLE",Config!$B$19="Y")),IFERROR(N(INDEX(Clay_Brands!$A$2:$FZ$601,190,Sync!$D$13)),0),"")</f>
        <v/>
      </c>
      <c r="C4841" s="23" t="str">
        <f aca="false">IF(B4841="","","brand")</f>
        <v/>
      </c>
      <c r="D4841" s="23" t="str">
        <f aca="false">IF(B4841="","",IFERROR(INDEX(Brand_Log!$DV$2:$DV$201,MATCH(IFERROR(INDEX(Clay_Brands!$A$2:$FZ$601,190,Sync!$D$5)&amp;"",""),Brand_Log!$A$2:$A$201,0))&amp;"",IFERROR(INDEX(Clay_Brands!$A$2:$FZ$601,190,Sync!$D$5)&amp;"","")&amp;""))</f>
        <v/>
      </c>
      <c r="E4841" s="23" t="str">
        <f aca="false">IF(B4841="","",IFERROR(INDEX(Clay_Brands!$A$2:$FZ$601,190,Sync!$D$6)&amp;"",""))</f>
        <v/>
      </c>
      <c r="F4841" s="23" t="str">
        <f aca="false">IF(B4841="","","outreach_sent")</f>
        <v/>
      </c>
      <c r="G4841" s="23" t="str">
        <f aca="false">IF(B4841="","","")</f>
        <v/>
      </c>
      <c r="H4841" s="23" t="str">
        <f aca="false">IF(B4841="","","")</f>
        <v/>
      </c>
      <c r="I4841" s="23" t="str">
        <f aca="false">IF(B4841="","","")</f>
        <v/>
      </c>
      <c r="J4841" s="23" t="str">
        <f aca="false">IF(B4841="","","touch_3; "&amp;IFERROR(INDEX(Clay_Brands!$A$2:$FZ$601,190,Sync!$D$10)&amp;"","")&amp;"; "&amp;IFERROR(INDEX(Clay_Brands!$A$2:$FZ$601,190,Sync!$D$9)&amp;"",""))</f>
        <v/>
      </c>
      <c r="K4841" s="32" t="s">
        <v>1368</v>
      </c>
    </row>
    <row r="4842" customFormat="false" ht="15" hidden="false" customHeight="false" outlineLevel="0" collapsed="false">
      <c r="A4842" s="23" t="str">
        <f aca="false">IF(B4842="","",B4842+(17*1000+191)/10000000)</f>
        <v/>
      </c>
      <c r="B4842" s="35" t="str">
        <f aca="false">IF(AND(IFERROR(N(INDEX(Clay_Brands!$A$2:$FZ$601,191,Sync!$D$13)),0)&gt;0,IFERROR(INDEX(Clay_Brands!$A$2:$FZ$601,191,Sync!$D$5)&amp;"","")&lt;&gt;"",OR(LEFT(IFERROR(INDEX(Clay_Brands!$A$2:$FZ$601,191,Sync!$D$5)&amp;"",""),6)&lt;&gt;"SAMPLE",Config!$B$19="Y")),IFERROR(N(INDEX(Clay_Brands!$A$2:$FZ$601,191,Sync!$D$13)),0),"")</f>
        <v/>
      </c>
      <c r="C4842" s="23" t="str">
        <f aca="false">IF(B4842="","","brand")</f>
        <v/>
      </c>
      <c r="D4842" s="23" t="str">
        <f aca="false">IF(B4842="","",IFERROR(INDEX(Brand_Log!$DV$2:$DV$201,MATCH(IFERROR(INDEX(Clay_Brands!$A$2:$FZ$601,191,Sync!$D$5)&amp;"",""),Brand_Log!$A$2:$A$201,0))&amp;"",IFERROR(INDEX(Clay_Brands!$A$2:$FZ$601,191,Sync!$D$5)&amp;"","")&amp;""))</f>
        <v/>
      </c>
      <c r="E4842" s="23" t="str">
        <f aca="false">IF(B4842="","",IFERROR(INDEX(Clay_Brands!$A$2:$FZ$601,191,Sync!$D$6)&amp;"",""))</f>
        <v/>
      </c>
      <c r="F4842" s="23" t="str">
        <f aca="false">IF(B4842="","","outreach_sent")</f>
        <v/>
      </c>
      <c r="G4842" s="23" t="str">
        <f aca="false">IF(B4842="","","")</f>
        <v/>
      </c>
      <c r="H4842" s="23" t="str">
        <f aca="false">IF(B4842="","","")</f>
        <v/>
      </c>
      <c r="I4842" s="23" t="str">
        <f aca="false">IF(B4842="","","")</f>
        <v/>
      </c>
      <c r="J4842" s="23" t="str">
        <f aca="false">IF(B4842="","","touch_3; "&amp;IFERROR(INDEX(Clay_Brands!$A$2:$FZ$601,191,Sync!$D$10)&amp;"","")&amp;"; "&amp;IFERROR(INDEX(Clay_Brands!$A$2:$FZ$601,191,Sync!$D$9)&amp;"",""))</f>
        <v/>
      </c>
      <c r="K4842" s="32" t="s">
        <v>1368</v>
      </c>
    </row>
    <row r="4843" customFormat="false" ht="15" hidden="false" customHeight="false" outlineLevel="0" collapsed="false">
      <c r="A4843" s="23" t="str">
        <f aca="false">IF(B4843="","",B4843+(17*1000+192)/10000000)</f>
        <v/>
      </c>
      <c r="B4843" s="35" t="str">
        <f aca="false">IF(AND(IFERROR(N(INDEX(Clay_Brands!$A$2:$FZ$601,192,Sync!$D$13)),0)&gt;0,IFERROR(INDEX(Clay_Brands!$A$2:$FZ$601,192,Sync!$D$5)&amp;"","")&lt;&gt;"",OR(LEFT(IFERROR(INDEX(Clay_Brands!$A$2:$FZ$601,192,Sync!$D$5)&amp;"",""),6)&lt;&gt;"SAMPLE",Config!$B$19="Y")),IFERROR(N(INDEX(Clay_Brands!$A$2:$FZ$601,192,Sync!$D$13)),0),"")</f>
        <v/>
      </c>
      <c r="C4843" s="23" t="str">
        <f aca="false">IF(B4843="","","brand")</f>
        <v/>
      </c>
      <c r="D4843" s="23" t="str">
        <f aca="false">IF(B4843="","",IFERROR(INDEX(Brand_Log!$DV$2:$DV$201,MATCH(IFERROR(INDEX(Clay_Brands!$A$2:$FZ$601,192,Sync!$D$5)&amp;"",""),Brand_Log!$A$2:$A$201,0))&amp;"",IFERROR(INDEX(Clay_Brands!$A$2:$FZ$601,192,Sync!$D$5)&amp;"","")&amp;""))</f>
        <v/>
      </c>
      <c r="E4843" s="23" t="str">
        <f aca="false">IF(B4843="","",IFERROR(INDEX(Clay_Brands!$A$2:$FZ$601,192,Sync!$D$6)&amp;"",""))</f>
        <v/>
      </c>
      <c r="F4843" s="23" t="str">
        <f aca="false">IF(B4843="","","outreach_sent")</f>
        <v/>
      </c>
      <c r="G4843" s="23" t="str">
        <f aca="false">IF(B4843="","","")</f>
        <v/>
      </c>
      <c r="H4843" s="23" t="str">
        <f aca="false">IF(B4843="","","")</f>
        <v/>
      </c>
      <c r="I4843" s="23" t="str">
        <f aca="false">IF(B4843="","","")</f>
        <v/>
      </c>
      <c r="J4843" s="23" t="str">
        <f aca="false">IF(B4843="","","touch_3; "&amp;IFERROR(INDEX(Clay_Brands!$A$2:$FZ$601,192,Sync!$D$10)&amp;"","")&amp;"; "&amp;IFERROR(INDEX(Clay_Brands!$A$2:$FZ$601,192,Sync!$D$9)&amp;"",""))</f>
        <v/>
      </c>
      <c r="K4843" s="32" t="s">
        <v>1368</v>
      </c>
    </row>
    <row r="4844" customFormat="false" ht="15" hidden="false" customHeight="false" outlineLevel="0" collapsed="false">
      <c r="A4844" s="23" t="str">
        <f aca="false">IF(B4844="","",B4844+(17*1000+193)/10000000)</f>
        <v/>
      </c>
      <c r="B4844" s="35" t="str">
        <f aca="false">IF(AND(IFERROR(N(INDEX(Clay_Brands!$A$2:$FZ$601,193,Sync!$D$13)),0)&gt;0,IFERROR(INDEX(Clay_Brands!$A$2:$FZ$601,193,Sync!$D$5)&amp;"","")&lt;&gt;"",OR(LEFT(IFERROR(INDEX(Clay_Brands!$A$2:$FZ$601,193,Sync!$D$5)&amp;"",""),6)&lt;&gt;"SAMPLE",Config!$B$19="Y")),IFERROR(N(INDEX(Clay_Brands!$A$2:$FZ$601,193,Sync!$D$13)),0),"")</f>
        <v/>
      </c>
      <c r="C4844" s="23" t="str">
        <f aca="false">IF(B4844="","","brand")</f>
        <v/>
      </c>
      <c r="D4844" s="23" t="str">
        <f aca="false">IF(B4844="","",IFERROR(INDEX(Brand_Log!$DV$2:$DV$201,MATCH(IFERROR(INDEX(Clay_Brands!$A$2:$FZ$601,193,Sync!$D$5)&amp;"",""),Brand_Log!$A$2:$A$201,0))&amp;"",IFERROR(INDEX(Clay_Brands!$A$2:$FZ$601,193,Sync!$D$5)&amp;"","")&amp;""))</f>
        <v/>
      </c>
      <c r="E4844" s="23" t="str">
        <f aca="false">IF(B4844="","",IFERROR(INDEX(Clay_Brands!$A$2:$FZ$601,193,Sync!$D$6)&amp;"",""))</f>
        <v/>
      </c>
      <c r="F4844" s="23" t="str">
        <f aca="false">IF(B4844="","","outreach_sent")</f>
        <v/>
      </c>
      <c r="G4844" s="23" t="str">
        <f aca="false">IF(B4844="","","")</f>
        <v/>
      </c>
      <c r="H4844" s="23" t="str">
        <f aca="false">IF(B4844="","","")</f>
        <v/>
      </c>
      <c r="I4844" s="23" t="str">
        <f aca="false">IF(B4844="","","")</f>
        <v/>
      </c>
      <c r="J4844" s="23" t="str">
        <f aca="false">IF(B4844="","","touch_3; "&amp;IFERROR(INDEX(Clay_Brands!$A$2:$FZ$601,193,Sync!$D$10)&amp;"","")&amp;"; "&amp;IFERROR(INDEX(Clay_Brands!$A$2:$FZ$601,193,Sync!$D$9)&amp;"",""))</f>
        <v/>
      </c>
      <c r="K4844" s="32" t="s">
        <v>1368</v>
      </c>
    </row>
    <row r="4845" customFormat="false" ht="15" hidden="false" customHeight="false" outlineLevel="0" collapsed="false">
      <c r="A4845" s="23" t="str">
        <f aca="false">IF(B4845="","",B4845+(17*1000+194)/10000000)</f>
        <v/>
      </c>
      <c r="B4845" s="35" t="str">
        <f aca="false">IF(AND(IFERROR(N(INDEX(Clay_Brands!$A$2:$FZ$601,194,Sync!$D$13)),0)&gt;0,IFERROR(INDEX(Clay_Brands!$A$2:$FZ$601,194,Sync!$D$5)&amp;"","")&lt;&gt;"",OR(LEFT(IFERROR(INDEX(Clay_Brands!$A$2:$FZ$601,194,Sync!$D$5)&amp;"",""),6)&lt;&gt;"SAMPLE",Config!$B$19="Y")),IFERROR(N(INDEX(Clay_Brands!$A$2:$FZ$601,194,Sync!$D$13)),0),"")</f>
        <v/>
      </c>
      <c r="C4845" s="23" t="str">
        <f aca="false">IF(B4845="","","brand")</f>
        <v/>
      </c>
      <c r="D4845" s="23" t="str">
        <f aca="false">IF(B4845="","",IFERROR(INDEX(Brand_Log!$DV$2:$DV$201,MATCH(IFERROR(INDEX(Clay_Brands!$A$2:$FZ$601,194,Sync!$D$5)&amp;"",""),Brand_Log!$A$2:$A$201,0))&amp;"",IFERROR(INDEX(Clay_Brands!$A$2:$FZ$601,194,Sync!$D$5)&amp;"","")&amp;""))</f>
        <v/>
      </c>
      <c r="E4845" s="23" t="str">
        <f aca="false">IF(B4845="","",IFERROR(INDEX(Clay_Brands!$A$2:$FZ$601,194,Sync!$D$6)&amp;"",""))</f>
        <v/>
      </c>
      <c r="F4845" s="23" t="str">
        <f aca="false">IF(B4845="","","outreach_sent")</f>
        <v/>
      </c>
      <c r="G4845" s="23" t="str">
        <f aca="false">IF(B4845="","","")</f>
        <v/>
      </c>
      <c r="H4845" s="23" t="str">
        <f aca="false">IF(B4845="","","")</f>
        <v/>
      </c>
      <c r="I4845" s="23" t="str">
        <f aca="false">IF(B4845="","","")</f>
        <v/>
      </c>
      <c r="J4845" s="23" t="str">
        <f aca="false">IF(B4845="","","touch_3; "&amp;IFERROR(INDEX(Clay_Brands!$A$2:$FZ$601,194,Sync!$D$10)&amp;"","")&amp;"; "&amp;IFERROR(INDEX(Clay_Brands!$A$2:$FZ$601,194,Sync!$D$9)&amp;"",""))</f>
        <v/>
      </c>
      <c r="K4845" s="32" t="s">
        <v>1368</v>
      </c>
    </row>
    <row r="4846" customFormat="false" ht="15" hidden="false" customHeight="false" outlineLevel="0" collapsed="false">
      <c r="A4846" s="23" t="str">
        <f aca="false">IF(B4846="","",B4846+(17*1000+195)/10000000)</f>
        <v/>
      </c>
      <c r="B4846" s="35" t="str">
        <f aca="false">IF(AND(IFERROR(N(INDEX(Clay_Brands!$A$2:$FZ$601,195,Sync!$D$13)),0)&gt;0,IFERROR(INDEX(Clay_Brands!$A$2:$FZ$601,195,Sync!$D$5)&amp;"","")&lt;&gt;"",OR(LEFT(IFERROR(INDEX(Clay_Brands!$A$2:$FZ$601,195,Sync!$D$5)&amp;"",""),6)&lt;&gt;"SAMPLE",Config!$B$19="Y")),IFERROR(N(INDEX(Clay_Brands!$A$2:$FZ$601,195,Sync!$D$13)),0),"")</f>
        <v/>
      </c>
      <c r="C4846" s="23" t="str">
        <f aca="false">IF(B4846="","","brand")</f>
        <v/>
      </c>
      <c r="D4846" s="23" t="str">
        <f aca="false">IF(B4846="","",IFERROR(INDEX(Brand_Log!$DV$2:$DV$201,MATCH(IFERROR(INDEX(Clay_Brands!$A$2:$FZ$601,195,Sync!$D$5)&amp;"",""),Brand_Log!$A$2:$A$201,0))&amp;"",IFERROR(INDEX(Clay_Brands!$A$2:$FZ$601,195,Sync!$D$5)&amp;"","")&amp;""))</f>
        <v/>
      </c>
      <c r="E4846" s="23" t="str">
        <f aca="false">IF(B4846="","",IFERROR(INDEX(Clay_Brands!$A$2:$FZ$601,195,Sync!$D$6)&amp;"",""))</f>
        <v/>
      </c>
      <c r="F4846" s="23" t="str">
        <f aca="false">IF(B4846="","","outreach_sent")</f>
        <v/>
      </c>
      <c r="G4846" s="23" t="str">
        <f aca="false">IF(B4846="","","")</f>
        <v/>
      </c>
      <c r="H4846" s="23" t="str">
        <f aca="false">IF(B4846="","","")</f>
        <v/>
      </c>
      <c r="I4846" s="23" t="str">
        <f aca="false">IF(B4846="","","")</f>
        <v/>
      </c>
      <c r="J4846" s="23" t="str">
        <f aca="false">IF(B4846="","","touch_3; "&amp;IFERROR(INDEX(Clay_Brands!$A$2:$FZ$601,195,Sync!$D$10)&amp;"","")&amp;"; "&amp;IFERROR(INDEX(Clay_Brands!$A$2:$FZ$601,195,Sync!$D$9)&amp;"",""))</f>
        <v/>
      </c>
      <c r="K4846" s="32" t="s">
        <v>1368</v>
      </c>
    </row>
    <row r="4847" customFormat="false" ht="15" hidden="false" customHeight="false" outlineLevel="0" collapsed="false">
      <c r="A4847" s="23" t="str">
        <f aca="false">IF(B4847="","",B4847+(17*1000+196)/10000000)</f>
        <v/>
      </c>
      <c r="B4847" s="35" t="str">
        <f aca="false">IF(AND(IFERROR(N(INDEX(Clay_Brands!$A$2:$FZ$601,196,Sync!$D$13)),0)&gt;0,IFERROR(INDEX(Clay_Brands!$A$2:$FZ$601,196,Sync!$D$5)&amp;"","")&lt;&gt;"",OR(LEFT(IFERROR(INDEX(Clay_Brands!$A$2:$FZ$601,196,Sync!$D$5)&amp;"",""),6)&lt;&gt;"SAMPLE",Config!$B$19="Y")),IFERROR(N(INDEX(Clay_Brands!$A$2:$FZ$601,196,Sync!$D$13)),0),"")</f>
        <v/>
      </c>
      <c r="C4847" s="23" t="str">
        <f aca="false">IF(B4847="","","brand")</f>
        <v/>
      </c>
      <c r="D4847" s="23" t="str">
        <f aca="false">IF(B4847="","",IFERROR(INDEX(Brand_Log!$DV$2:$DV$201,MATCH(IFERROR(INDEX(Clay_Brands!$A$2:$FZ$601,196,Sync!$D$5)&amp;"",""),Brand_Log!$A$2:$A$201,0))&amp;"",IFERROR(INDEX(Clay_Brands!$A$2:$FZ$601,196,Sync!$D$5)&amp;"","")&amp;""))</f>
        <v/>
      </c>
      <c r="E4847" s="23" t="str">
        <f aca="false">IF(B4847="","",IFERROR(INDEX(Clay_Brands!$A$2:$FZ$601,196,Sync!$D$6)&amp;"",""))</f>
        <v/>
      </c>
      <c r="F4847" s="23" t="str">
        <f aca="false">IF(B4847="","","outreach_sent")</f>
        <v/>
      </c>
      <c r="G4847" s="23" t="str">
        <f aca="false">IF(B4847="","","")</f>
        <v/>
      </c>
      <c r="H4847" s="23" t="str">
        <f aca="false">IF(B4847="","","")</f>
        <v/>
      </c>
      <c r="I4847" s="23" t="str">
        <f aca="false">IF(B4847="","","")</f>
        <v/>
      </c>
      <c r="J4847" s="23" t="str">
        <f aca="false">IF(B4847="","","touch_3; "&amp;IFERROR(INDEX(Clay_Brands!$A$2:$FZ$601,196,Sync!$D$10)&amp;"","")&amp;"; "&amp;IFERROR(INDEX(Clay_Brands!$A$2:$FZ$601,196,Sync!$D$9)&amp;"",""))</f>
        <v/>
      </c>
      <c r="K4847" s="32" t="s">
        <v>1368</v>
      </c>
    </row>
    <row r="4848" customFormat="false" ht="15" hidden="false" customHeight="false" outlineLevel="0" collapsed="false">
      <c r="A4848" s="23" t="str">
        <f aca="false">IF(B4848="","",B4848+(17*1000+197)/10000000)</f>
        <v/>
      </c>
      <c r="B4848" s="35" t="str">
        <f aca="false">IF(AND(IFERROR(N(INDEX(Clay_Brands!$A$2:$FZ$601,197,Sync!$D$13)),0)&gt;0,IFERROR(INDEX(Clay_Brands!$A$2:$FZ$601,197,Sync!$D$5)&amp;"","")&lt;&gt;"",OR(LEFT(IFERROR(INDEX(Clay_Brands!$A$2:$FZ$601,197,Sync!$D$5)&amp;"",""),6)&lt;&gt;"SAMPLE",Config!$B$19="Y")),IFERROR(N(INDEX(Clay_Brands!$A$2:$FZ$601,197,Sync!$D$13)),0),"")</f>
        <v/>
      </c>
      <c r="C4848" s="23" t="str">
        <f aca="false">IF(B4848="","","brand")</f>
        <v/>
      </c>
      <c r="D4848" s="23" t="str">
        <f aca="false">IF(B4848="","",IFERROR(INDEX(Brand_Log!$DV$2:$DV$201,MATCH(IFERROR(INDEX(Clay_Brands!$A$2:$FZ$601,197,Sync!$D$5)&amp;"",""),Brand_Log!$A$2:$A$201,0))&amp;"",IFERROR(INDEX(Clay_Brands!$A$2:$FZ$601,197,Sync!$D$5)&amp;"","")&amp;""))</f>
        <v/>
      </c>
      <c r="E4848" s="23" t="str">
        <f aca="false">IF(B4848="","",IFERROR(INDEX(Clay_Brands!$A$2:$FZ$601,197,Sync!$D$6)&amp;"",""))</f>
        <v/>
      </c>
      <c r="F4848" s="23" t="str">
        <f aca="false">IF(B4848="","","outreach_sent")</f>
        <v/>
      </c>
      <c r="G4848" s="23" t="str">
        <f aca="false">IF(B4848="","","")</f>
        <v/>
      </c>
      <c r="H4848" s="23" t="str">
        <f aca="false">IF(B4848="","","")</f>
        <v/>
      </c>
      <c r="I4848" s="23" t="str">
        <f aca="false">IF(B4848="","","")</f>
        <v/>
      </c>
      <c r="J4848" s="23" t="str">
        <f aca="false">IF(B4848="","","touch_3; "&amp;IFERROR(INDEX(Clay_Brands!$A$2:$FZ$601,197,Sync!$D$10)&amp;"","")&amp;"; "&amp;IFERROR(INDEX(Clay_Brands!$A$2:$FZ$601,197,Sync!$D$9)&amp;"",""))</f>
        <v/>
      </c>
      <c r="K4848" s="32" t="s">
        <v>1368</v>
      </c>
    </row>
    <row r="4849" customFormat="false" ht="15" hidden="false" customHeight="false" outlineLevel="0" collapsed="false">
      <c r="A4849" s="23" t="str">
        <f aca="false">IF(B4849="","",B4849+(17*1000+198)/10000000)</f>
        <v/>
      </c>
      <c r="B4849" s="35" t="str">
        <f aca="false">IF(AND(IFERROR(N(INDEX(Clay_Brands!$A$2:$FZ$601,198,Sync!$D$13)),0)&gt;0,IFERROR(INDEX(Clay_Brands!$A$2:$FZ$601,198,Sync!$D$5)&amp;"","")&lt;&gt;"",OR(LEFT(IFERROR(INDEX(Clay_Brands!$A$2:$FZ$601,198,Sync!$D$5)&amp;"",""),6)&lt;&gt;"SAMPLE",Config!$B$19="Y")),IFERROR(N(INDEX(Clay_Brands!$A$2:$FZ$601,198,Sync!$D$13)),0),"")</f>
        <v/>
      </c>
      <c r="C4849" s="23" t="str">
        <f aca="false">IF(B4849="","","brand")</f>
        <v/>
      </c>
      <c r="D4849" s="23" t="str">
        <f aca="false">IF(B4849="","",IFERROR(INDEX(Brand_Log!$DV$2:$DV$201,MATCH(IFERROR(INDEX(Clay_Brands!$A$2:$FZ$601,198,Sync!$D$5)&amp;"",""),Brand_Log!$A$2:$A$201,0))&amp;"",IFERROR(INDEX(Clay_Brands!$A$2:$FZ$601,198,Sync!$D$5)&amp;"","")&amp;""))</f>
        <v/>
      </c>
      <c r="E4849" s="23" t="str">
        <f aca="false">IF(B4849="","",IFERROR(INDEX(Clay_Brands!$A$2:$FZ$601,198,Sync!$D$6)&amp;"",""))</f>
        <v/>
      </c>
      <c r="F4849" s="23" t="str">
        <f aca="false">IF(B4849="","","outreach_sent")</f>
        <v/>
      </c>
      <c r="G4849" s="23" t="str">
        <f aca="false">IF(B4849="","","")</f>
        <v/>
      </c>
      <c r="H4849" s="23" t="str">
        <f aca="false">IF(B4849="","","")</f>
        <v/>
      </c>
      <c r="I4849" s="23" t="str">
        <f aca="false">IF(B4849="","","")</f>
        <v/>
      </c>
      <c r="J4849" s="23" t="str">
        <f aca="false">IF(B4849="","","touch_3; "&amp;IFERROR(INDEX(Clay_Brands!$A$2:$FZ$601,198,Sync!$D$10)&amp;"","")&amp;"; "&amp;IFERROR(INDEX(Clay_Brands!$A$2:$FZ$601,198,Sync!$D$9)&amp;"",""))</f>
        <v/>
      </c>
      <c r="K4849" s="32" t="s">
        <v>1368</v>
      </c>
    </row>
    <row r="4850" customFormat="false" ht="15" hidden="false" customHeight="false" outlineLevel="0" collapsed="false">
      <c r="A4850" s="23" t="str">
        <f aca="false">IF(B4850="","",B4850+(17*1000+199)/10000000)</f>
        <v/>
      </c>
      <c r="B4850" s="35" t="str">
        <f aca="false">IF(AND(IFERROR(N(INDEX(Clay_Brands!$A$2:$FZ$601,199,Sync!$D$13)),0)&gt;0,IFERROR(INDEX(Clay_Brands!$A$2:$FZ$601,199,Sync!$D$5)&amp;"","")&lt;&gt;"",OR(LEFT(IFERROR(INDEX(Clay_Brands!$A$2:$FZ$601,199,Sync!$D$5)&amp;"",""),6)&lt;&gt;"SAMPLE",Config!$B$19="Y")),IFERROR(N(INDEX(Clay_Brands!$A$2:$FZ$601,199,Sync!$D$13)),0),"")</f>
        <v/>
      </c>
      <c r="C4850" s="23" t="str">
        <f aca="false">IF(B4850="","","brand")</f>
        <v/>
      </c>
      <c r="D4850" s="23" t="str">
        <f aca="false">IF(B4850="","",IFERROR(INDEX(Brand_Log!$DV$2:$DV$201,MATCH(IFERROR(INDEX(Clay_Brands!$A$2:$FZ$601,199,Sync!$D$5)&amp;"",""),Brand_Log!$A$2:$A$201,0))&amp;"",IFERROR(INDEX(Clay_Brands!$A$2:$FZ$601,199,Sync!$D$5)&amp;"","")&amp;""))</f>
        <v/>
      </c>
      <c r="E4850" s="23" t="str">
        <f aca="false">IF(B4850="","",IFERROR(INDEX(Clay_Brands!$A$2:$FZ$601,199,Sync!$D$6)&amp;"",""))</f>
        <v/>
      </c>
      <c r="F4850" s="23" t="str">
        <f aca="false">IF(B4850="","","outreach_sent")</f>
        <v/>
      </c>
      <c r="G4850" s="23" t="str">
        <f aca="false">IF(B4850="","","")</f>
        <v/>
      </c>
      <c r="H4850" s="23" t="str">
        <f aca="false">IF(B4850="","","")</f>
        <v/>
      </c>
      <c r="I4850" s="23" t="str">
        <f aca="false">IF(B4850="","","")</f>
        <v/>
      </c>
      <c r="J4850" s="23" t="str">
        <f aca="false">IF(B4850="","","touch_3; "&amp;IFERROR(INDEX(Clay_Brands!$A$2:$FZ$601,199,Sync!$D$10)&amp;"","")&amp;"; "&amp;IFERROR(INDEX(Clay_Brands!$A$2:$FZ$601,199,Sync!$D$9)&amp;"",""))</f>
        <v/>
      </c>
      <c r="K4850" s="32" t="s">
        <v>1368</v>
      </c>
    </row>
    <row r="4851" customFormat="false" ht="15" hidden="false" customHeight="false" outlineLevel="0" collapsed="false">
      <c r="A4851" s="23" t="str">
        <f aca="false">IF(B4851="","",B4851+(17*1000+200)/10000000)</f>
        <v/>
      </c>
      <c r="B4851" s="35" t="str">
        <f aca="false">IF(AND(IFERROR(N(INDEX(Clay_Brands!$A$2:$FZ$601,200,Sync!$D$13)),0)&gt;0,IFERROR(INDEX(Clay_Brands!$A$2:$FZ$601,200,Sync!$D$5)&amp;"","")&lt;&gt;"",OR(LEFT(IFERROR(INDEX(Clay_Brands!$A$2:$FZ$601,200,Sync!$D$5)&amp;"",""),6)&lt;&gt;"SAMPLE",Config!$B$19="Y")),IFERROR(N(INDEX(Clay_Brands!$A$2:$FZ$601,200,Sync!$D$13)),0),"")</f>
        <v/>
      </c>
      <c r="C4851" s="23" t="str">
        <f aca="false">IF(B4851="","","brand")</f>
        <v/>
      </c>
      <c r="D4851" s="23" t="str">
        <f aca="false">IF(B4851="","",IFERROR(INDEX(Brand_Log!$DV$2:$DV$201,MATCH(IFERROR(INDEX(Clay_Brands!$A$2:$FZ$601,200,Sync!$D$5)&amp;"",""),Brand_Log!$A$2:$A$201,0))&amp;"",IFERROR(INDEX(Clay_Brands!$A$2:$FZ$601,200,Sync!$D$5)&amp;"","")&amp;""))</f>
        <v/>
      </c>
      <c r="E4851" s="23" t="str">
        <f aca="false">IF(B4851="","",IFERROR(INDEX(Clay_Brands!$A$2:$FZ$601,200,Sync!$D$6)&amp;"",""))</f>
        <v/>
      </c>
      <c r="F4851" s="23" t="str">
        <f aca="false">IF(B4851="","","outreach_sent")</f>
        <v/>
      </c>
      <c r="G4851" s="23" t="str">
        <f aca="false">IF(B4851="","","")</f>
        <v/>
      </c>
      <c r="H4851" s="23" t="str">
        <f aca="false">IF(B4851="","","")</f>
        <v/>
      </c>
      <c r="I4851" s="23" t="str">
        <f aca="false">IF(B4851="","","")</f>
        <v/>
      </c>
      <c r="J4851" s="23" t="str">
        <f aca="false">IF(B4851="","","touch_3; "&amp;IFERROR(INDEX(Clay_Brands!$A$2:$FZ$601,200,Sync!$D$10)&amp;"","")&amp;"; "&amp;IFERROR(INDEX(Clay_Brands!$A$2:$FZ$601,200,Sync!$D$9)&amp;"",""))</f>
        <v/>
      </c>
      <c r="K4851" s="32" t="s">
        <v>1368</v>
      </c>
    </row>
    <row r="4852" customFormat="false" ht="15" hidden="false" customHeight="false" outlineLevel="0" collapsed="false">
      <c r="A4852" s="23" t="str">
        <f aca="false">IF(B4852="","",B4852+(17*1000+201)/10000000)</f>
        <v/>
      </c>
      <c r="B4852" s="35" t="str">
        <f aca="false">IF(AND(IFERROR(N(INDEX(Clay_Brands!$A$2:$FZ$601,201,Sync!$D$13)),0)&gt;0,IFERROR(INDEX(Clay_Brands!$A$2:$FZ$601,201,Sync!$D$5)&amp;"","")&lt;&gt;"",OR(LEFT(IFERROR(INDEX(Clay_Brands!$A$2:$FZ$601,201,Sync!$D$5)&amp;"",""),6)&lt;&gt;"SAMPLE",Config!$B$19="Y")),IFERROR(N(INDEX(Clay_Brands!$A$2:$FZ$601,201,Sync!$D$13)),0),"")</f>
        <v/>
      </c>
      <c r="C4852" s="23" t="str">
        <f aca="false">IF(B4852="","","brand")</f>
        <v/>
      </c>
      <c r="D4852" s="23" t="str">
        <f aca="false">IF(B4852="","",IFERROR(INDEX(Brand_Log!$DV$2:$DV$201,MATCH(IFERROR(INDEX(Clay_Brands!$A$2:$FZ$601,201,Sync!$D$5)&amp;"",""),Brand_Log!$A$2:$A$201,0))&amp;"",IFERROR(INDEX(Clay_Brands!$A$2:$FZ$601,201,Sync!$D$5)&amp;"","")&amp;""))</f>
        <v/>
      </c>
      <c r="E4852" s="23" t="str">
        <f aca="false">IF(B4852="","",IFERROR(INDEX(Clay_Brands!$A$2:$FZ$601,201,Sync!$D$6)&amp;"",""))</f>
        <v/>
      </c>
      <c r="F4852" s="23" t="str">
        <f aca="false">IF(B4852="","","outreach_sent")</f>
        <v/>
      </c>
      <c r="G4852" s="23" t="str">
        <f aca="false">IF(B4852="","","")</f>
        <v/>
      </c>
      <c r="H4852" s="23" t="str">
        <f aca="false">IF(B4852="","","")</f>
        <v/>
      </c>
      <c r="I4852" s="23" t="str">
        <f aca="false">IF(B4852="","","")</f>
        <v/>
      </c>
      <c r="J4852" s="23" t="str">
        <f aca="false">IF(B4852="","","touch_3; "&amp;IFERROR(INDEX(Clay_Brands!$A$2:$FZ$601,201,Sync!$D$10)&amp;"","")&amp;"; "&amp;IFERROR(INDEX(Clay_Brands!$A$2:$FZ$601,201,Sync!$D$9)&amp;"",""))</f>
        <v/>
      </c>
      <c r="K4852" s="32" t="s">
        <v>1368</v>
      </c>
    </row>
    <row r="4853" customFormat="false" ht="15" hidden="false" customHeight="false" outlineLevel="0" collapsed="false">
      <c r="A4853" s="23" t="str">
        <f aca="false">IF(B4853="","",B4853+(17*1000+202)/10000000)</f>
        <v/>
      </c>
      <c r="B4853" s="35" t="str">
        <f aca="false">IF(AND(IFERROR(N(INDEX(Clay_Brands!$A$2:$FZ$601,202,Sync!$D$13)),0)&gt;0,IFERROR(INDEX(Clay_Brands!$A$2:$FZ$601,202,Sync!$D$5)&amp;"","")&lt;&gt;"",OR(LEFT(IFERROR(INDEX(Clay_Brands!$A$2:$FZ$601,202,Sync!$D$5)&amp;"",""),6)&lt;&gt;"SAMPLE",Config!$B$19="Y")),IFERROR(N(INDEX(Clay_Brands!$A$2:$FZ$601,202,Sync!$D$13)),0),"")</f>
        <v/>
      </c>
      <c r="C4853" s="23" t="str">
        <f aca="false">IF(B4853="","","brand")</f>
        <v/>
      </c>
      <c r="D4853" s="23" t="str">
        <f aca="false">IF(B4853="","",IFERROR(INDEX(Brand_Log!$DV$2:$DV$201,MATCH(IFERROR(INDEX(Clay_Brands!$A$2:$FZ$601,202,Sync!$D$5)&amp;"",""),Brand_Log!$A$2:$A$201,0))&amp;"",IFERROR(INDEX(Clay_Brands!$A$2:$FZ$601,202,Sync!$D$5)&amp;"","")&amp;""))</f>
        <v/>
      </c>
      <c r="E4853" s="23" t="str">
        <f aca="false">IF(B4853="","",IFERROR(INDEX(Clay_Brands!$A$2:$FZ$601,202,Sync!$D$6)&amp;"",""))</f>
        <v/>
      </c>
      <c r="F4853" s="23" t="str">
        <f aca="false">IF(B4853="","","outreach_sent")</f>
        <v/>
      </c>
      <c r="G4853" s="23" t="str">
        <f aca="false">IF(B4853="","","")</f>
        <v/>
      </c>
      <c r="H4853" s="23" t="str">
        <f aca="false">IF(B4853="","","")</f>
        <v/>
      </c>
      <c r="I4853" s="23" t="str">
        <f aca="false">IF(B4853="","","")</f>
        <v/>
      </c>
      <c r="J4853" s="23" t="str">
        <f aca="false">IF(B4853="","","touch_3; "&amp;IFERROR(INDEX(Clay_Brands!$A$2:$FZ$601,202,Sync!$D$10)&amp;"","")&amp;"; "&amp;IFERROR(INDEX(Clay_Brands!$A$2:$FZ$601,202,Sync!$D$9)&amp;"",""))</f>
        <v/>
      </c>
      <c r="K4853" s="32" t="s">
        <v>1368</v>
      </c>
    </row>
    <row r="4854" customFormat="false" ht="15" hidden="false" customHeight="false" outlineLevel="0" collapsed="false">
      <c r="A4854" s="23" t="str">
        <f aca="false">IF(B4854="","",B4854+(17*1000+203)/10000000)</f>
        <v/>
      </c>
      <c r="B4854" s="35" t="str">
        <f aca="false">IF(AND(IFERROR(N(INDEX(Clay_Brands!$A$2:$FZ$601,203,Sync!$D$13)),0)&gt;0,IFERROR(INDEX(Clay_Brands!$A$2:$FZ$601,203,Sync!$D$5)&amp;"","")&lt;&gt;"",OR(LEFT(IFERROR(INDEX(Clay_Brands!$A$2:$FZ$601,203,Sync!$D$5)&amp;"",""),6)&lt;&gt;"SAMPLE",Config!$B$19="Y")),IFERROR(N(INDEX(Clay_Brands!$A$2:$FZ$601,203,Sync!$D$13)),0),"")</f>
        <v/>
      </c>
      <c r="C4854" s="23" t="str">
        <f aca="false">IF(B4854="","","brand")</f>
        <v/>
      </c>
      <c r="D4854" s="23" t="str">
        <f aca="false">IF(B4854="","",IFERROR(INDEX(Brand_Log!$DV$2:$DV$201,MATCH(IFERROR(INDEX(Clay_Brands!$A$2:$FZ$601,203,Sync!$D$5)&amp;"",""),Brand_Log!$A$2:$A$201,0))&amp;"",IFERROR(INDEX(Clay_Brands!$A$2:$FZ$601,203,Sync!$D$5)&amp;"","")&amp;""))</f>
        <v/>
      </c>
      <c r="E4854" s="23" t="str">
        <f aca="false">IF(B4854="","",IFERROR(INDEX(Clay_Brands!$A$2:$FZ$601,203,Sync!$D$6)&amp;"",""))</f>
        <v/>
      </c>
      <c r="F4854" s="23" t="str">
        <f aca="false">IF(B4854="","","outreach_sent")</f>
        <v/>
      </c>
      <c r="G4854" s="23" t="str">
        <f aca="false">IF(B4854="","","")</f>
        <v/>
      </c>
      <c r="H4854" s="23" t="str">
        <f aca="false">IF(B4854="","","")</f>
        <v/>
      </c>
      <c r="I4854" s="23" t="str">
        <f aca="false">IF(B4854="","","")</f>
        <v/>
      </c>
      <c r="J4854" s="23" t="str">
        <f aca="false">IF(B4854="","","touch_3; "&amp;IFERROR(INDEX(Clay_Brands!$A$2:$FZ$601,203,Sync!$D$10)&amp;"","")&amp;"; "&amp;IFERROR(INDEX(Clay_Brands!$A$2:$FZ$601,203,Sync!$D$9)&amp;"",""))</f>
        <v/>
      </c>
      <c r="K4854" s="32" t="s">
        <v>1368</v>
      </c>
    </row>
    <row r="4855" customFormat="false" ht="15" hidden="false" customHeight="false" outlineLevel="0" collapsed="false">
      <c r="A4855" s="23" t="str">
        <f aca="false">IF(B4855="","",B4855+(17*1000+204)/10000000)</f>
        <v/>
      </c>
      <c r="B4855" s="35" t="str">
        <f aca="false">IF(AND(IFERROR(N(INDEX(Clay_Brands!$A$2:$FZ$601,204,Sync!$D$13)),0)&gt;0,IFERROR(INDEX(Clay_Brands!$A$2:$FZ$601,204,Sync!$D$5)&amp;"","")&lt;&gt;"",OR(LEFT(IFERROR(INDEX(Clay_Brands!$A$2:$FZ$601,204,Sync!$D$5)&amp;"",""),6)&lt;&gt;"SAMPLE",Config!$B$19="Y")),IFERROR(N(INDEX(Clay_Brands!$A$2:$FZ$601,204,Sync!$D$13)),0),"")</f>
        <v/>
      </c>
      <c r="C4855" s="23" t="str">
        <f aca="false">IF(B4855="","","brand")</f>
        <v/>
      </c>
      <c r="D4855" s="23" t="str">
        <f aca="false">IF(B4855="","",IFERROR(INDEX(Brand_Log!$DV$2:$DV$201,MATCH(IFERROR(INDEX(Clay_Brands!$A$2:$FZ$601,204,Sync!$D$5)&amp;"",""),Brand_Log!$A$2:$A$201,0))&amp;"",IFERROR(INDEX(Clay_Brands!$A$2:$FZ$601,204,Sync!$D$5)&amp;"","")&amp;""))</f>
        <v/>
      </c>
      <c r="E4855" s="23" t="str">
        <f aca="false">IF(B4855="","",IFERROR(INDEX(Clay_Brands!$A$2:$FZ$601,204,Sync!$D$6)&amp;"",""))</f>
        <v/>
      </c>
      <c r="F4855" s="23" t="str">
        <f aca="false">IF(B4855="","","outreach_sent")</f>
        <v/>
      </c>
      <c r="G4855" s="23" t="str">
        <f aca="false">IF(B4855="","","")</f>
        <v/>
      </c>
      <c r="H4855" s="23" t="str">
        <f aca="false">IF(B4855="","","")</f>
        <v/>
      </c>
      <c r="I4855" s="23" t="str">
        <f aca="false">IF(B4855="","","")</f>
        <v/>
      </c>
      <c r="J4855" s="23" t="str">
        <f aca="false">IF(B4855="","","touch_3; "&amp;IFERROR(INDEX(Clay_Brands!$A$2:$FZ$601,204,Sync!$D$10)&amp;"","")&amp;"; "&amp;IFERROR(INDEX(Clay_Brands!$A$2:$FZ$601,204,Sync!$D$9)&amp;"",""))</f>
        <v/>
      </c>
      <c r="K4855" s="32" t="s">
        <v>1368</v>
      </c>
    </row>
    <row r="4856" customFormat="false" ht="15" hidden="false" customHeight="false" outlineLevel="0" collapsed="false">
      <c r="A4856" s="23" t="str">
        <f aca="false">IF(B4856="","",B4856+(17*1000+205)/10000000)</f>
        <v/>
      </c>
      <c r="B4856" s="35" t="str">
        <f aca="false">IF(AND(IFERROR(N(INDEX(Clay_Brands!$A$2:$FZ$601,205,Sync!$D$13)),0)&gt;0,IFERROR(INDEX(Clay_Brands!$A$2:$FZ$601,205,Sync!$D$5)&amp;"","")&lt;&gt;"",OR(LEFT(IFERROR(INDEX(Clay_Brands!$A$2:$FZ$601,205,Sync!$D$5)&amp;"",""),6)&lt;&gt;"SAMPLE",Config!$B$19="Y")),IFERROR(N(INDEX(Clay_Brands!$A$2:$FZ$601,205,Sync!$D$13)),0),"")</f>
        <v/>
      </c>
      <c r="C4856" s="23" t="str">
        <f aca="false">IF(B4856="","","brand")</f>
        <v/>
      </c>
      <c r="D4856" s="23" t="str">
        <f aca="false">IF(B4856="","",IFERROR(INDEX(Brand_Log!$DV$2:$DV$201,MATCH(IFERROR(INDEX(Clay_Brands!$A$2:$FZ$601,205,Sync!$D$5)&amp;"",""),Brand_Log!$A$2:$A$201,0))&amp;"",IFERROR(INDEX(Clay_Brands!$A$2:$FZ$601,205,Sync!$D$5)&amp;"","")&amp;""))</f>
        <v/>
      </c>
      <c r="E4856" s="23" t="str">
        <f aca="false">IF(B4856="","",IFERROR(INDEX(Clay_Brands!$A$2:$FZ$601,205,Sync!$D$6)&amp;"",""))</f>
        <v/>
      </c>
      <c r="F4856" s="23" t="str">
        <f aca="false">IF(B4856="","","outreach_sent")</f>
        <v/>
      </c>
      <c r="G4856" s="23" t="str">
        <f aca="false">IF(B4856="","","")</f>
        <v/>
      </c>
      <c r="H4856" s="23" t="str">
        <f aca="false">IF(B4856="","","")</f>
        <v/>
      </c>
      <c r="I4856" s="23" t="str">
        <f aca="false">IF(B4856="","","")</f>
        <v/>
      </c>
      <c r="J4856" s="23" t="str">
        <f aca="false">IF(B4856="","","touch_3; "&amp;IFERROR(INDEX(Clay_Brands!$A$2:$FZ$601,205,Sync!$D$10)&amp;"","")&amp;"; "&amp;IFERROR(INDEX(Clay_Brands!$A$2:$FZ$601,205,Sync!$D$9)&amp;"",""))</f>
        <v/>
      </c>
      <c r="K4856" s="32" t="s">
        <v>1368</v>
      </c>
    </row>
    <row r="4857" customFormat="false" ht="15" hidden="false" customHeight="false" outlineLevel="0" collapsed="false">
      <c r="A4857" s="23" t="str">
        <f aca="false">IF(B4857="","",B4857+(17*1000+206)/10000000)</f>
        <v/>
      </c>
      <c r="B4857" s="35" t="str">
        <f aca="false">IF(AND(IFERROR(N(INDEX(Clay_Brands!$A$2:$FZ$601,206,Sync!$D$13)),0)&gt;0,IFERROR(INDEX(Clay_Brands!$A$2:$FZ$601,206,Sync!$D$5)&amp;"","")&lt;&gt;"",OR(LEFT(IFERROR(INDEX(Clay_Brands!$A$2:$FZ$601,206,Sync!$D$5)&amp;"",""),6)&lt;&gt;"SAMPLE",Config!$B$19="Y")),IFERROR(N(INDEX(Clay_Brands!$A$2:$FZ$601,206,Sync!$D$13)),0),"")</f>
        <v/>
      </c>
      <c r="C4857" s="23" t="str">
        <f aca="false">IF(B4857="","","brand")</f>
        <v/>
      </c>
      <c r="D4857" s="23" t="str">
        <f aca="false">IF(B4857="","",IFERROR(INDEX(Brand_Log!$DV$2:$DV$201,MATCH(IFERROR(INDEX(Clay_Brands!$A$2:$FZ$601,206,Sync!$D$5)&amp;"",""),Brand_Log!$A$2:$A$201,0))&amp;"",IFERROR(INDEX(Clay_Brands!$A$2:$FZ$601,206,Sync!$D$5)&amp;"","")&amp;""))</f>
        <v/>
      </c>
      <c r="E4857" s="23" t="str">
        <f aca="false">IF(B4857="","",IFERROR(INDEX(Clay_Brands!$A$2:$FZ$601,206,Sync!$D$6)&amp;"",""))</f>
        <v/>
      </c>
      <c r="F4857" s="23" t="str">
        <f aca="false">IF(B4857="","","outreach_sent")</f>
        <v/>
      </c>
      <c r="G4857" s="23" t="str">
        <f aca="false">IF(B4857="","","")</f>
        <v/>
      </c>
      <c r="H4857" s="23" t="str">
        <f aca="false">IF(B4857="","","")</f>
        <v/>
      </c>
      <c r="I4857" s="23" t="str">
        <f aca="false">IF(B4857="","","")</f>
        <v/>
      </c>
      <c r="J4857" s="23" t="str">
        <f aca="false">IF(B4857="","","touch_3; "&amp;IFERROR(INDEX(Clay_Brands!$A$2:$FZ$601,206,Sync!$D$10)&amp;"","")&amp;"; "&amp;IFERROR(INDEX(Clay_Brands!$A$2:$FZ$601,206,Sync!$D$9)&amp;"",""))</f>
        <v/>
      </c>
      <c r="K4857" s="32" t="s">
        <v>1368</v>
      </c>
    </row>
    <row r="4858" customFormat="false" ht="15" hidden="false" customHeight="false" outlineLevel="0" collapsed="false">
      <c r="A4858" s="23" t="str">
        <f aca="false">IF(B4858="","",B4858+(17*1000+207)/10000000)</f>
        <v/>
      </c>
      <c r="B4858" s="35" t="str">
        <f aca="false">IF(AND(IFERROR(N(INDEX(Clay_Brands!$A$2:$FZ$601,207,Sync!$D$13)),0)&gt;0,IFERROR(INDEX(Clay_Brands!$A$2:$FZ$601,207,Sync!$D$5)&amp;"","")&lt;&gt;"",OR(LEFT(IFERROR(INDEX(Clay_Brands!$A$2:$FZ$601,207,Sync!$D$5)&amp;"",""),6)&lt;&gt;"SAMPLE",Config!$B$19="Y")),IFERROR(N(INDEX(Clay_Brands!$A$2:$FZ$601,207,Sync!$D$13)),0),"")</f>
        <v/>
      </c>
      <c r="C4858" s="23" t="str">
        <f aca="false">IF(B4858="","","brand")</f>
        <v/>
      </c>
      <c r="D4858" s="23" t="str">
        <f aca="false">IF(B4858="","",IFERROR(INDEX(Brand_Log!$DV$2:$DV$201,MATCH(IFERROR(INDEX(Clay_Brands!$A$2:$FZ$601,207,Sync!$D$5)&amp;"",""),Brand_Log!$A$2:$A$201,0))&amp;"",IFERROR(INDEX(Clay_Brands!$A$2:$FZ$601,207,Sync!$D$5)&amp;"","")&amp;""))</f>
        <v/>
      </c>
      <c r="E4858" s="23" t="str">
        <f aca="false">IF(B4858="","",IFERROR(INDEX(Clay_Brands!$A$2:$FZ$601,207,Sync!$D$6)&amp;"",""))</f>
        <v/>
      </c>
      <c r="F4858" s="23" t="str">
        <f aca="false">IF(B4858="","","outreach_sent")</f>
        <v/>
      </c>
      <c r="G4858" s="23" t="str">
        <f aca="false">IF(B4858="","","")</f>
        <v/>
      </c>
      <c r="H4858" s="23" t="str">
        <f aca="false">IF(B4858="","","")</f>
        <v/>
      </c>
      <c r="I4858" s="23" t="str">
        <f aca="false">IF(B4858="","","")</f>
        <v/>
      </c>
      <c r="J4858" s="23" t="str">
        <f aca="false">IF(B4858="","","touch_3; "&amp;IFERROR(INDEX(Clay_Brands!$A$2:$FZ$601,207,Sync!$D$10)&amp;"","")&amp;"; "&amp;IFERROR(INDEX(Clay_Brands!$A$2:$FZ$601,207,Sync!$D$9)&amp;"",""))</f>
        <v/>
      </c>
      <c r="K4858" s="32" t="s">
        <v>1368</v>
      </c>
    </row>
    <row r="4859" customFormat="false" ht="15" hidden="false" customHeight="false" outlineLevel="0" collapsed="false">
      <c r="A4859" s="23" t="str">
        <f aca="false">IF(B4859="","",B4859+(17*1000+208)/10000000)</f>
        <v/>
      </c>
      <c r="B4859" s="35" t="str">
        <f aca="false">IF(AND(IFERROR(N(INDEX(Clay_Brands!$A$2:$FZ$601,208,Sync!$D$13)),0)&gt;0,IFERROR(INDEX(Clay_Brands!$A$2:$FZ$601,208,Sync!$D$5)&amp;"","")&lt;&gt;"",OR(LEFT(IFERROR(INDEX(Clay_Brands!$A$2:$FZ$601,208,Sync!$D$5)&amp;"",""),6)&lt;&gt;"SAMPLE",Config!$B$19="Y")),IFERROR(N(INDEX(Clay_Brands!$A$2:$FZ$601,208,Sync!$D$13)),0),"")</f>
        <v/>
      </c>
      <c r="C4859" s="23" t="str">
        <f aca="false">IF(B4859="","","brand")</f>
        <v/>
      </c>
      <c r="D4859" s="23" t="str">
        <f aca="false">IF(B4859="","",IFERROR(INDEX(Brand_Log!$DV$2:$DV$201,MATCH(IFERROR(INDEX(Clay_Brands!$A$2:$FZ$601,208,Sync!$D$5)&amp;"",""),Brand_Log!$A$2:$A$201,0))&amp;"",IFERROR(INDEX(Clay_Brands!$A$2:$FZ$601,208,Sync!$D$5)&amp;"","")&amp;""))</f>
        <v/>
      </c>
      <c r="E4859" s="23" t="str">
        <f aca="false">IF(B4859="","",IFERROR(INDEX(Clay_Brands!$A$2:$FZ$601,208,Sync!$D$6)&amp;"",""))</f>
        <v/>
      </c>
      <c r="F4859" s="23" t="str">
        <f aca="false">IF(B4859="","","outreach_sent")</f>
        <v/>
      </c>
      <c r="G4859" s="23" t="str">
        <f aca="false">IF(B4859="","","")</f>
        <v/>
      </c>
      <c r="H4859" s="23" t="str">
        <f aca="false">IF(B4859="","","")</f>
        <v/>
      </c>
      <c r="I4859" s="23" t="str">
        <f aca="false">IF(B4859="","","")</f>
        <v/>
      </c>
      <c r="J4859" s="23" t="str">
        <f aca="false">IF(B4859="","","touch_3; "&amp;IFERROR(INDEX(Clay_Brands!$A$2:$FZ$601,208,Sync!$D$10)&amp;"","")&amp;"; "&amp;IFERROR(INDEX(Clay_Brands!$A$2:$FZ$601,208,Sync!$D$9)&amp;"",""))</f>
        <v/>
      </c>
      <c r="K4859" s="32" t="s">
        <v>1368</v>
      </c>
    </row>
    <row r="4860" customFormat="false" ht="15" hidden="false" customHeight="false" outlineLevel="0" collapsed="false">
      <c r="A4860" s="23" t="str">
        <f aca="false">IF(B4860="","",B4860+(17*1000+209)/10000000)</f>
        <v/>
      </c>
      <c r="B4860" s="35" t="str">
        <f aca="false">IF(AND(IFERROR(N(INDEX(Clay_Brands!$A$2:$FZ$601,209,Sync!$D$13)),0)&gt;0,IFERROR(INDEX(Clay_Brands!$A$2:$FZ$601,209,Sync!$D$5)&amp;"","")&lt;&gt;"",OR(LEFT(IFERROR(INDEX(Clay_Brands!$A$2:$FZ$601,209,Sync!$D$5)&amp;"",""),6)&lt;&gt;"SAMPLE",Config!$B$19="Y")),IFERROR(N(INDEX(Clay_Brands!$A$2:$FZ$601,209,Sync!$D$13)),0),"")</f>
        <v/>
      </c>
      <c r="C4860" s="23" t="str">
        <f aca="false">IF(B4860="","","brand")</f>
        <v/>
      </c>
      <c r="D4860" s="23" t="str">
        <f aca="false">IF(B4860="","",IFERROR(INDEX(Brand_Log!$DV$2:$DV$201,MATCH(IFERROR(INDEX(Clay_Brands!$A$2:$FZ$601,209,Sync!$D$5)&amp;"",""),Brand_Log!$A$2:$A$201,0))&amp;"",IFERROR(INDEX(Clay_Brands!$A$2:$FZ$601,209,Sync!$D$5)&amp;"","")&amp;""))</f>
        <v/>
      </c>
      <c r="E4860" s="23" t="str">
        <f aca="false">IF(B4860="","",IFERROR(INDEX(Clay_Brands!$A$2:$FZ$601,209,Sync!$D$6)&amp;"",""))</f>
        <v/>
      </c>
      <c r="F4860" s="23" t="str">
        <f aca="false">IF(B4860="","","outreach_sent")</f>
        <v/>
      </c>
      <c r="G4860" s="23" t="str">
        <f aca="false">IF(B4860="","","")</f>
        <v/>
      </c>
      <c r="H4860" s="23" t="str">
        <f aca="false">IF(B4860="","","")</f>
        <v/>
      </c>
      <c r="I4860" s="23" t="str">
        <f aca="false">IF(B4860="","","")</f>
        <v/>
      </c>
      <c r="J4860" s="23" t="str">
        <f aca="false">IF(B4860="","","touch_3; "&amp;IFERROR(INDEX(Clay_Brands!$A$2:$FZ$601,209,Sync!$D$10)&amp;"","")&amp;"; "&amp;IFERROR(INDEX(Clay_Brands!$A$2:$FZ$601,209,Sync!$D$9)&amp;"",""))</f>
        <v/>
      </c>
      <c r="K4860" s="32" t="s">
        <v>1368</v>
      </c>
    </row>
    <row r="4861" customFormat="false" ht="15" hidden="false" customHeight="false" outlineLevel="0" collapsed="false">
      <c r="A4861" s="23" t="str">
        <f aca="false">IF(B4861="","",B4861+(17*1000+210)/10000000)</f>
        <v/>
      </c>
      <c r="B4861" s="35" t="str">
        <f aca="false">IF(AND(IFERROR(N(INDEX(Clay_Brands!$A$2:$FZ$601,210,Sync!$D$13)),0)&gt;0,IFERROR(INDEX(Clay_Brands!$A$2:$FZ$601,210,Sync!$D$5)&amp;"","")&lt;&gt;"",OR(LEFT(IFERROR(INDEX(Clay_Brands!$A$2:$FZ$601,210,Sync!$D$5)&amp;"",""),6)&lt;&gt;"SAMPLE",Config!$B$19="Y")),IFERROR(N(INDEX(Clay_Brands!$A$2:$FZ$601,210,Sync!$D$13)),0),"")</f>
        <v/>
      </c>
      <c r="C4861" s="23" t="str">
        <f aca="false">IF(B4861="","","brand")</f>
        <v/>
      </c>
      <c r="D4861" s="23" t="str">
        <f aca="false">IF(B4861="","",IFERROR(INDEX(Brand_Log!$DV$2:$DV$201,MATCH(IFERROR(INDEX(Clay_Brands!$A$2:$FZ$601,210,Sync!$D$5)&amp;"",""),Brand_Log!$A$2:$A$201,0))&amp;"",IFERROR(INDEX(Clay_Brands!$A$2:$FZ$601,210,Sync!$D$5)&amp;"","")&amp;""))</f>
        <v/>
      </c>
      <c r="E4861" s="23" t="str">
        <f aca="false">IF(B4861="","",IFERROR(INDEX(Clay_Brands!$A$2:$FZ$601,210,Sync!$D$6)&amp;"",""))</f>
        <v/>
      </c>
      <c r="F4861" s="23" t="str">
        <f aca="false">IF(B4861="","","outreach_sent")</f>
        <v/>
      </c>
      <c r="G4861" s="23" t="str">
        <f aca="false">IF(B4861="","","")</f>
        <v/>
      </c>
      <c r="H4861" s="23" t="str">
        <f aca="false">IF(B4861="","","")</f>
        <v/>
      </c>
      <c r="I4861" s="23" t="str">
        <f aca="false">IF(B4861="","","")</f>
        <v/>
      </c>
      <c r="J4861" s="23" t="str">
        <f aca="false">IF(B4861="","","touch_3; "&amp;IFERROR(INDEX(Clay_Brands!$A$2:$FZ$601,210,Sync!$D$10)&amp;"","")&amp;"; "&amp;IFERROR(INDEX(Clay_Brands!$A$2:$FZ$601,210,Sync!$D$9)&amp;"",""))</f>
        <v/>
      </c>
      <c r="K4861" s="32" t="s">
        <v>1368</v>
      </c>
    </row>
    <row r="4862" customFormat="false" ht="15" hidden="false" customHeight="false" outlineLevel="0" collapsed="false">
      <c r="A4862" s="23" t="str">
        <f aca="false">IF(B4862="","",B4862+(17*1000+211)/10000000)</f>
        <v/>
      </c>
      <c r="B4862" s="35" t="str">
        <f aca="false">IF(AND(IFERROR(N(INDEX(Clay_Brands!$A$2:$FZ$601,211,Sync!$D$13)),0)&gt;0,IFERROR(INDEX(Clay_Brands!$A$2:$FZ$601,211,Sync!$D$5)&amp;"","")&lt;&gt;"",OR(LEFT(IFERROR(INDEX(Clay_Brands!$A$2:$FZ$601,211,Sync!$D$5)&amp;"",""),6)&lt;&gt;"SAMPLE",Config!$B$19="Y")),IFERROR(N(INDEX(Clay_Brands!$A$2:$FZ$601,211,Sync!$D$13)),0),"")</f>
        <v/>
      </c>
      <c r="C4862" s="23" t="str">
        <f aca="false">IF(B4862="","","brand")</f>
        <v/>
      </c>
      <c r="D4862" s="23" t="str">
        <f aca="false">IF(B4862="","",IFERROR(INDEX(Brand_Log!$DV$2:$DV$201,MATCH(IFERROR(INDEX(Clay_Brands!$A$2:$FZ$601,211,Sync!$D$5)&amp;"",""),Brand_Log!$A$2:$A$201,0))&amp;"",IFERROR(INDEX(Clay_Brands!$A$2:$FZ$601,211,Sync!$D$5)&amp;"","")&amp;""))</f>
        <v/>
      </c>
      <c r="E4862" s="23" t="str">
        <f aca="false">IF(B4862="","",IFERROR(INDEX(Clay_Brands!$A$2:$FZ$601,211,Sync!$D$6)&amp;"",""))</f>
        <v/>
      </c>
      <c r="F4862" s="23" t="str">
        <f aca="false">IF(B4862="","","outreach_sent")</f>
        <v/>
      </c>
      <c r="G4862" s="23" t="str">
        <f aca="false">IF(B4862="","","")</f>
        <v/>
      </c>
      <c r="H4862" s="23" t="str">
        <f aca="false">IF(B4862="","","")</f>
        <v/>
      </c>
      <c r="I4862" s="23" t="str">
        <f aca="false">IF(B4862="","","")</f>
        <v/>
      </c>
      <c r="J4862" s="23" t="str">
        <f aca="false">IF(B4862="","","touch_3; "&amp;IFERROR(INDEX(Clay_Brands!$A$2:$FZ$601,211,Sync!$D$10)&amp;"","")&amp;"; "&amp;IFERROR(INDEX(Clay_Brands!$A$2:$FZ$601,211,Sync!$D$9)&amp;"",""))</f>
        <v/>
      </c>
      <c r="K4862" s="32" t="s">
        <v>1368</v>
      </c>
    </row>
    <row r="4863" customFormat="false" ht="15" hidden="false" customHeight="false" outlineLevel="0" collapsed="false">
      <c r="A4863" s="23" t="str">
        <f aca="false">IF(B4863="","",B4863+(17*1000+212)/10000000)</f>
        <v/>
      </c>
      <c r="B4863" s="35" t="str">
        <f aca="false">IF(AND(IFERROR(N(INDEX(Clay_Brands!$A$2:$FZ$601,212,Sync!$D$13)),0)&gt;0,IFERROR(INDEX(Clay_Brands!$A$2:$FZ$601,212,Sync!$D$5)&amp;"","")&lt;&gt;"",OR(LEFT(IFERROR(INDEX(Clay_Brands!$A$2:$FZ$601,212,Sync!$D$5)&amp;"",""),6)&lt;&gt;"SAMPLE",Config!$B$19="Y")),IFERROR(N(INDEX(Clay_Brands!$A$2:$FZ$601,212,Sync!$D$13)),0),"")</f>
        <v/>
      </c>
      <c r="C4863" s="23" t="str">
        <f aca="false">IF(B4863="","","brand")</f>
        <v/>
      </c>
      <c r="D4863" s="23" t="str">
        <f aca="false">IF(B4863="","",IFERROR(INDEX(Brand_Log!$DV$2:$DV$201,MATCH(IFERROR(INDEX(Clay_Brands!$A$2:$FZ$601,212,Sync!$D$5)&amp;"",""),Brand_Log!$A$2:$A$201,0))&amp;"",IFERROR(INDEX(Clay_Brands!$A$2:$FZ$601,212,Sync!$D$5)&amp;"","")&amp;""))</f>
        <v/>
      </c>
      <c r="E4863" s="23" t="str">
        <f aca="false">IF(B4863="","",IFERROR(INDEX(Clay_Brands!$A$2:$FZ$601,212,Sync!$D$6)&amp;"",""))</f>
        <v/>
      </c>
      <c r="F4863" s="23" t="str">
        <f aca="false">IF(B4863="","","outreach_sent")</f>
        <v/>
      </c>
      <c r="G4863" s="23" t="str">
        <f aca="false">IF(B4863="","","")</f>
        <v/>
      </c>
      <c r="H4863" s="23" t="str">
        <f aca="false">IF(B4863="","","")</f>
        <v/>
      </c>
      <c r="I4863" s="23" t="str">
        <f aca="false">IF(B4863="","","")</f>
        <v/>
      </c>
      <c r="J4863" s="23" t="str">
        <f aca="false">IF(B4863="","","touch_3; "&amp;IFERROR(INDEX(Clay_Brands!$A$2:$FZ$601,212,Sync!$D$10)&amp;"","")&amp;"; "&amp;IFERROR(INDEX(Clay_Brands!$A$2:$FZ$601,212,Sync!$D$9)&amp;"",""))</f>
        <v/>
      </c>
      <c r="K4863" s="32" t="s">
        <v>1368</v>
      </c>
    </row>
    <row r="4864" customFormat="false" ht="15" hidden="false" customHeight="false" outlineLevel="0" collapsed="false">
      <c r="A4864" s="23" t="str">
        <f aca="false">IF(B4864="","",B4864+(17*1000+213)/10000000)</f>
        <v/>
      </c>
      <c r="B4864" s="35" t="str">
        <f aca="false">IF(AND(IFERROR(N(INDEX(Clay_Brands!$A$2:$FZ$601,213,Sync!$D$13)),0)&gt;0,IFERROR(INDEX(Clay_Brands!$A$2:$FZ$601,213,Sync!$D$5)&amp;"","")&lt;&gt;"",OR(LEFT(IFERROR(INDEX(Clay_Brands!$A$2:$FZ$601,213,Sync!$D$5)&amp;"",""),6)&lt;&gt;"SAMPLE",Config!$B$19="Y")),IFERROR(N(INDEX(Clay_Brands!$A$2:$FZ$601,213,Sync!$D$13)),0),"")</f>
        <v/>
      </c>
      <c r="C4864" s="23" t="str">
        <f aca="false">IF(B4864="","","brand")</f>
        <v/>
      </c>
      <c r="D4864" s="23" t="str">
        <f aca="false">IF(B4864="","",IFERROR(INDEX(Brand_Log!$DV$2:$DV$201,MATCH(IFERROR(INDEX(Clay_Brands!$A$2:$FZ$601,213,Sync!$D$5)&amp;"",""),Brand_Log!$A$2:$A$201,0))&amp;"",IFERROR(INDEX(Clay_Brands!$A$2:$FZ$601,213,Sync!$D$5)&amp;"","")&amp;""))</f>
        <v/>
      </c>
      <c r="E4864" s="23" t="str">
        <f aca="false">IF(B4864="","",IFERROR(INDEX(Clay_Brands!$A$2:$FZ$601,213,Sync!$D$6)&amp;"",""))</f>
        <v/>
      </c>
      <c r="F4864" s="23" t="str">
        <f aca="false">IF(B4864="","","outreach_sent")</f>
        <v/>
      </c>
      <c r="G4864" s="23" t="str">
        <f aca="false">IF(B4864="","","")</f>
        <v/>
      </c>
      <c r="H4864" s="23" t="str">
        <f aca="false">IF(B4864="","","")</f>
        <v/>
      </c>
      <c r="I4864" s="23" t="str">
        <f aca="false">IF(B4864="","","")</f>
        <v/>
      </c>
      <c r="J4864" s="23" t="str">
        <f aca="false">IF(B4864="","","touch_3; "&amp;IFERROR(INDEX(Clay_Brands!$A$2:$FZ$601,213,Sync!$D$10)&amp;"","")&amp;"; "&amp;IFERROR(INDEX(Clay_Brands!$A$2:$FZ$601,213,Sync!$D$9)&amp;"",""))</f>
        <v/>
      </c>
      <c r="K4864" s="32" t="s">
        <v>1368</v>
      </c>
    </row>
    <row r="4865" customFormat="false" ht="15" hidden="false" customHeight="false" outlineLevel="0" collapsed="false">
      <c r="A4865" s="23" t="str">
        <f aca="false">IF(B4865="","",B4865+(17*1000+214)/10000000)</f>
        <v/>
      </c>
      <c r="B4865" s="35" t="str">
        <f aca="false">IF(AND(IFERROR(N(INDEX(Clay_Brands!$A$2:$FZ$601,214,Sync!$D$13)),0)&gt;0,IFERROR(INDEX(Clay_Brands!$A$2:$FZ$601,214,Sync!$D$5)&amp;"","")&lt;&gt;"",OR(LEFT(IFERROR(INDEX(Clay_Brands!$A$2:$FZ$601,214,Sync!$D$5)&amp;"",""),6)&lt;&gt;"SAMPLE",Config!$B$19="Y")),IFERROR(N(INDEX(Clay_Brands!$A$2:$FZ$601,214,Sync!$D$13)),0),"")</f>
        <v/>
      </c>
      <c r="C4865" s="23" t="str">
        <f aca="false">IF(B4865="","","brand")</f>
        <v/>
      </c>
      <c r="D4865" s="23" t="str">
        <f aca="false">IF(B4865="","",IFERROR(INDEX(Brand_Log!$DV$2:$DV$201,MATCH(IFERROR(INDEX(Clay_Brands!$A$2:$FZ$601,214,Sync!$D$5)&amp;"",""),Brand_Log!$A$2:$A$201,0))&amp;"",IFERROR(INDEX(Clay_Brands!$A$2:$FZ$601,214,Sync!$D$5)&amp;"","")&amp;""))</f>
        <v/>
      </c>
      <c r="E4865" s="23" t="str">
        <f aca="false">IF(B4865="","",IFERROR(INDEX(Clay_Brands!$A$2:$FZ$601,214,Sync!$D$6)&amp;"",""))</f>
        <v/>
      </c>
      <c r="F4865" s="23" t="str">
        <f aca="false">IF(B4865="","","outreach_sent")</f>
        <v/>
      </c>
      <c r="G4865" s="23" t="str">
        <f aca="false">IF(B4865="","","")</f>
        <v/>
      </c>
      <c r="H4865" s="23" t="str">
        <f aca="false">IF(B4865="","","")</f>
        <v/>
      </c>
      <c r="I4865" s="23" t="str">
        <f aca="false">IF(B4865="","","")</f>
        <v/>
      </c>
      <c r="J4865" s="23" t="str">
        <f aca="false">IF(B4865="","","touch_3; "&amp;IFERROR(INDEX(Clay_Brands!$A$2:$FZ$601,214,Sync!$D$10)&amp;"","")&amp;"; "&amp;IFERROR(INDEX(Clay_Brands!$A$2:$FZ$601,214,Sync!$D$9)&amp;"",""))</f>
        <v/>
      </c>
      <c r="K4865" s="32" t="s">
        <v>1368</v>
      </c>
    </row>
    <row r="4866" customFormat="false" ht="15" hidden="false" customHeight="false" outlineLevel="0" collapsed="false">
      <c r="A4866" s="23" t="str">
        <f aca="false">IF(B4866="","",B4866+(17*1000+215)/10000000)</f>
        <v/>
      </c>
      <c r="B4866" s="35" t="str">
        <f aca="false">IF(AND(IFERROR(N(INDEX(Clay_Brands!$A$2:$FZ$601,215,Sync!$D$13)),0)&gt;0,IFERROR(INDEX(Clay_Brands!$A$2:$FZ$601,215,Sync!$D$5)&amp;"","")&lt;&gt;"",OR(LEFT(IFERROR(INDEX(Clay_Brands!$A$2:$FZ$601,215,Sync!$D$5)&amp;"",""),6)&lt;&gt;"SAMPLE",Config!$B$19="Y")),IFERROR(N(INDEX(Clay_Brands!$A$2:$FZ$601,215,Sync!$D$13)),0),"")</f>
        <v/>
      </c>
      <c r="C4866" s="23" t="str">
        <f aca="false">IF(B4866="","","brand")</f>
        <v/>
      </c>
      <c r="D4866" s="23" t="str">
        <f aca="false">IF(B4866="","",IFERROR(INDEX(Brand_Log!$DV$2:$DV$201,MATCH(IFERROR(INDEX(Clay_Brands!$A$2:$FZ$601,215,Sync!$D$5)&amp;"",""),Brand_Log!$A$2:$A$201,0))&amp;"",IFERROR(INDEX(Clay_Brands!$A$2:$FZ$601,215,Sync!$D$5)&amp;"","")&amp;""))</f>
        <v/>
      </c>
      <c r="E4866" s="23" t="str">
        <f aca="false">IF(B4866="","",IFERROR(INDEX(Clay_Brands!$A$2:$FZ$601,215,Sync!$D$6)&amp;"",""))</f>
        <v/>
      </c>
      <c r="F4866" s="23" t="str">
        <f aca="false">IF(B4866="","","outreach_sent")</f>
        <v/>
      </c>
      <c r="G4866" s="23" t="str">
        <f aca="false">IF(B4866="","","")</f>
        <v/>
      </c>
      <c r="H4866" s="23" t="str">
        <f aca="false">IF(B4866="","","")</f>
        <v/>
      </c>
      <c r="I4866" s="23" t="str">
        <f aca="false">IF(B4866="","","")</f>
        <v/>
      </c>
      <c r="J4866" s="23" t="str">
        <f aca="false">IF(B4866="","","touch_3; "&amp;IFERROR(INDEX(Clay_Brands!$A$2:$FZ$601,215,Sync!$D$10)&amp;"","")&amp;"; "&amp;IFERROR(INDEX(Clay_Brands!$A$2:$FZ$601,215,Sync!$D$9)&amp;"",""))</f>
        <v/>
      </c>
      <c r="K4866" s="32" t="s">
        <v>1368</v>
      </c>
    </row>
    <row r="4867" customFormat="false" ht="15" hidden="false" customHeight="false" outlineLevel="0" collapsed="false">
      <c r="A4867" s="23" t="str">
        <f aca="false">IF(B4867="","",B4867+(17*1000+216)/10000000)</f>
        <v/>
      </c>
      <c r="B4867" s="35" t="str">
        <f aca="false">IF(AND(IFERROR(N(INDEX(Clay_Brands!$A$2:$FZ$601,216,Sync!$D$13)),0)&gt;0,IFERROR(INDEX(Clay_Brands!$A$2:$FZ$601,216,Sync!$D$5)&amp;"","")&lt;&gt;"",OR(LEFT(IFERROR(INDEX(Clay_Brands!$A$2:$FZ$601,216,Sync!$D$5)&amp;"",""),6)&lt;&gt;"SAMPLE",Config!$B$19="Y")),IFERROR(N(INDEX(Clay_Brands!$A$2:$FZ$601,216,Sync!$D$13)),0),"")</f>
        <v/>
      </c>
      <c r="C4867" s="23" t="str">
        <f aca="false">IF(B4867="","","brand")</f>
        <v/>
      </c>
      <c r="D4867" s="23" t="str">
        <f aca="false">IF(B4867="","",IFERROR(INDEX(Brand_Log!$DV$2:$DV$201,MATCH(IFERROR(INDEX(Clay_Brands!$A$2:$FZ$601,216,Sync!$D$5)&amp;"",""),Brand_Log!$A$2:$A$201,0))&amp;"",IFERROR(INDEX(Clay_Brands!$A$2:$FZ$601,216,Sync!$D$5)&amp;"","")&amp;""))</f>
        <v/>
      </c>
      <c r="E4867" s="23" t="str">
        <f aca="false">IF(B4867="","",IFERROR(INDEX(Clay_Brands!$A$2:$FZ$601,216,Sync!$D$6)&amp;"",""))</f>
        <v/>
      </c>
      <c r="F4867" s="23" t="str">
        <f aca="false">IF(B4867="","","outreach_sent")</f>
        <v/>
      </c>
      <c r="G4867" s="23" t="str">
        <f aca="false">IF(B4867="","","")</f>
        <v/>
      </c>
      <c r="H4867" s="23" t="str">
        <f aca="false">IF(B4867="","","")</f>
        <v/>
      </c>
      <c r="I4867" s="23" t="str">
        <f aca="false">IF(B4867="","","")</f>
        <v/>
      </c>
      <c r="J4867" s="23" t="str">
        <f aca="false">IF(B4867="","","touch_3; "&amp;IFERROR(INDEX(Clay_Brands!$A$2:$FZ$601,216,Sync!$D$10)&amp;"","")&amp;"; "&amp;IFERROR(INDEX(Clay_Brands!$A$2:$FZ$601,216,Sync!$D$9)&amp;"",""))</f>
        <v/>
      </c>
      <c r="K4867" s="32" t="s">
        <v>1368</v>
      </c>
    </row>
    <row r="4868" customFormat="false" ht="15" hidden="false" customHeight="false" outlineLevel="0" collapsed="false">
      <c r="A4868" s="23" t="str">
        <f aca="false">IF(B4868="","",B4868+(17*1000+217)/10000000)</f>
        <v/>
      </c>
      <c r="B4868" s="35" t="str">
        <f aca="false">IF(AND(IFERROR(N(INDEX(Clay_Brands!$A$2:$FZ$601,217,Sync!$D$13)),0)&gt;0,IFERROR(INDEX(Clay_Brands!$A$2:$FZ$601,217,Sync!$D$5)&amp;"","")&lt;&gt;"",OR(LEFT(IFERROR(INDEX(Clay_Brands!$A$2:$FZ$601,217,Sync!$D$5)&amp;"",""),6)&lt;&gt;"SAMPLE",Config!$B$19="Y")),IFERROR(N(INDEX(Clay_Brands!$A$2:$FZ$601,217,Sync!$D$13)),0),"")</f>
        <v/>
      </c>
      <c r="C4868" s="23" t="str">
        <f aca="false">IF(B4868="","","brand")</f>
        <v/>
      </c>
      <c r="D4868" s="23" t="str">
        <f aca="false">IF(B4868="","",IFERROR(INDEX(Brand_Log!$DV$2:$DV$201,MATCH(IFERROR(INDEX(Clay_Brands!$A$2:$FZ$601,217,Sync!$D$5)&amp;"",""),Brand_Log!$A$2:$A$201,0))&amp;"",IFERROR(INDEX(Clay_Brands!$A$2:$FZ$601,217,Sync!$D$5)&amp;"","")&amp;""))</f>
        <v/>
      </c>
      <c r="E4868" s="23" t="str">
        <f aca="false">IF(B4868="","",IFERROR(INDEX(Clay_Brands!$A$2:$FZ$601,217,Sync!$D$6)&amp;"",""))</f>
        <v/>
      </c>
      <c r="F4868" s="23" t="str">
        <f aca="false">IF(B4868="","","outreach_sent")</f>
        <v/>
      </c>
      <c r="G4868" s="23" t="str">
        <f aca="false">IF(B4868="","","")</f>
        <v/>
      </c>
      <c r="H4868" s="23" t="str">
        <f aca="false">IF(B4868="","","")</f>
        <v/>
      </c>
      <c r="I4868" s="23" t="str">
        <f aca="false">IF(B4868="","","")</f>
        <v/>
      </c>
      <c r="J4868" s="23" t="str">
        <f aca="false">IF(B4868="","","touch_3; "&amp;IFERROR(INDEX(Clay_Brands!$A$2:$FZ$601,217,Sync!$D$10)&amp;"","")&amp;"; "&amp;IFERROR(INDEX(Clay_Brands!$A$2:$FZ$601,217,Sync!$D$9)&amp;"",""))</f>
        <v/>
      </c>
      <c r="K4868" s="32" t="s">
        <v>1368</v>
      </c>
    </row>
    <row r="4869" customFormat="false" ht="15" hidden="false" customHeight="false" outlineLevel="0" collapsed="false">
      <c r="A4869" s="23" t="str">
        <f aca="false">IF(B4869="","",B4869+(17*1000+218)/10000000)</f>
        <v/>
      </c>
      <c r="B4869" s="35" t="str">
        <f aca="false">IF(AND(IFERROR(N(INDEX(Clay_Brands!$A$2:$FZ$601,218,Sync!$D$13)),0)&gt;0,IFERROR(INDEX(Clay_Brands!$A$2:$FZ$601,218,Sync!$D$5)&amp;"","")&lt;&gt;"",OR(LEFT(IFERROR(INDEX(Clay_Brands!$A$2:$FZ$601,218,Sync!$D$5)&amp;"",""),6)&lt;&gt;"SAMPLE",Config!$B$19="Y")),IFERROR(N(INDEX(Clay_Brands!$A$2:$FZ$601,218,Sync!$D$13)),0),"")</f>
        <v/>
      </c>
      <c r="C4869" s="23" t="str">
        <f aca="false">IF(B4869="","","brand")</f>
        <v/>
      </c>
      <c r="D4869" s="23" t="str">
        <f aca="false">IF(B4869="","",IFERROR(INDEX(Brand_Log!$DV$2:$DV$201,MATCH(IFERROR(INDEX(Clay_Brands!$A$2:$FZ$601,218,Sync!$D$5)&amp;"",""),Brand_Log!$A$2:$A$201,0))&amp;"",IFERROR(INDEX(Clay_Brands!$A$2:$FZ$601,218,Sync!$D$5)&amp;"","")&amp;""))</f>
        <v/>
      </c>
      <c r="E4869" s="23" t="str">
        <f aca="false">IF(B4869="","",IFERROR(INDEX(Clay_Brands!$A$2:$FZ$601,218,Sync!$D$6)&amp;"",""))</f>
        <v/>
      </c>
      <c r="F4869" s="23" t="str">
        <f aca="false">IF(B4869="","","outreach_sent")</f>
        <v/>
      </c>
      <c r="G4869" s="23" t="str">
        <f aca="false">IF(B4869="","","")</f>
        <v/>
      </c>
      <c r="H4869" s="23" t="str">
        <f aca="false">IF(B4869="","","")</f>
        <v/>
      </c>
      <c r="I4869" s="23" t="str">
        <f aca="false">IF(B4869="","","")</f>
        <v/>
      </c>
      <c r="J4869" s="23" t="str">
        <f aca="false">IF(B4869="","","touch_3; "&amp;IFERROR(INDEX(Clay_Brands!$A$2:$FZ$601,218,Sync!$D$10)&amp;"","")&amp;"; "&amp;IFERROR(INDEX(Clay_Brands!$A$2:$FZ$601,218,Sync!$D$9)&amp;"",""))</f>
        <v/>
      </c>
      <c r="K4869" s="32" t="s">
        <v>1368</v>
      </c>
    </row>
    <row r="4870" customFormat="false" ht="15" hidden="false" customHeight="false" outlineLevel="0" collapsed="false">
      <c r="A4870" s="23" t="str">
        <f aca="false">IF(B4870="","",B4870+(17*1000+219)/10000000)</f>
        <v/>
      </c>
      <c r="B4870" s="35" t="str">
        <f aca="false">IF(AND(IFERROR(N(INDEX(Clay_Brands!$A$2:$FZ$601,219,Sync!$D$13)),0)&gt;0,IFERROR(INDEX(Clay_Brands!$A$2:$FZ$601,219,Sync!$D$5)&amp;"","")&lt;&gt;"",OR(LEFT(IFERROR(INDEX(Clay_Brands!$A$2:$FZ$601,219,Sync!$D$5)&amp;"",""),6)&lt;&gt;"SAMPLE",Config!$B$19="Y")),IFERROR(N(INDEX(Clay_Brands!$A$2:$FZ$601,219,Sync!$D$13)),0),"")</f>
        <v/>
      </c>
      <c r="C4870" s="23" t="str">
        <f aca="false">IF(B4870="","","brand")</f>
        <v/>
      </c>
      <c r="D4870" s="23" t="str">
        <f aca="false">IF(B4870="","",IFERROR(INDEX(Brand_Log!$DV$2:$DV$201,MATCH(IFERROR(INDEX(Clay_Brands!$A$2:$FZ$601,219,Sync!$D$5)&amp;"",""),Brand_Log!$A$2:$A$201,0))&amp;"",IFERROR(INDEX(Clay_Brands!$A$2:$FZ$601,219,Sync!$D$5)&amp;"","")&amp;""))</f>
        <v/>
      </c>
      <c r="E4870" s="23" t="str">
        <f aca="false">IF(B4870="","",IFERROR(INDEX(Clay_Brands!$A$2:$FZ$601,219,Sync!$D$6)&amp;"",""))</f>
        <v/>
      </c>
      <c r="F4870" s="23" t="str">
        <f aca="false">IF(B4870="","","outreach_sent")</f>
        <v/>
      </c>
      <c r="G4870" s="23" t="str">
        <f aca="false">IF(B4870="","","")</f>
        <v/>
      </c>
      <c r="H4870" s="23" t="str">
        <f aca="false">IF(B4870="","","")</f>
        <v/>
      </c>
      <c r="I4870" s="23" t="str">
        <f aca="false">IF(B4870="","","")</f>
        <v/>
      </c>
      <c r="J4870" s="23" t="str">
        <f aca="false">IF(B4870="","","touch_3; "&amp;IFERROR(INDEX(Clay_Brands!$A$2:$FZ$601,219,Sync!$D$10)&amp;"","")&amp;"; "&amp;IFERROR(INDEX(Clay_Brands!$A$2:$FZ$601,219,Sync!$D$9)&amp;"",""))</f>
        <v/>
      </c>
      <c r="K4870" s="32" t="s">
        <v>1368</v>
      </c>
    </row>
    <row r="4871" customFormat="false" ht="15" hidden="false" customHeight="false" outlineLevel="0" collapsed="false">
      <c r="A4871" s="23" t="str">
        <f aca="false">IF(B4871="","",B4871+(17*1000+220)/10000000)</f>
        <v/>
      </c>
      <c r="B4871" s="35" t="str">
        <f aca="false">IF(AND(IFERROR(N(INDEX(Clay_Brands!$A$2:$FZ$601,220,Sync!$D$13)),0)&gt;0,IFERROR(INDEX(Clay_Brands!$A$2:$FZ$601,220,Sync!$D$5)&amp;"","")&lt;&gt;"",OR(LEFT(IFERROR(INDEX(Clay_Brands!$A$2:$FZ$601,220,Sync!$D$5)&amp;"",""),6)&lt;&gt;"SAMPLE",Config!$B$19="Y")),IFERROR(N(INDEX(Clay_Brands!$A$2:$FZ$601,220,Sync!$D$13)),0),"")</f>
        <v/>
      </c>
      <c r="C4871" s="23" t="str">
        <f aca="false">IF(B4871="","","brand")</f>
        <v/>
      </c>
      <c r="D4871" s="23" t="str">
        <f aca="false">IF(B4871="","",IFERROR(INDEX(Brand_Log!$DV$2:$DV$201,MATCH(IFERROR(INDEX(Clay_Brands!$A$2:$FZ$601,220,Sync!$D$5)&amp;"",""),Brand_Log!$A$2:$A$201,0))&amp;"",IFERROR(INDEX(Clay_Brands!$A$2:$FZ$601,220,Sync!$D$5)&amp;"","")&amp;""))</f>
        <v/>
      </c>
      <c r="E4871" s="23" t="str">
        <f aca="false">IF(B4871="","",IFERROR(INDEX(Clay_Brands!$A$2:$FZ$601,220,Sync!$D$6)&amp;"",""))</f>
        <v/>
      </c>
      <c r="F4871" s="23" t="str">
        <f aca="false">IF(B4871="","","outreach_sent")</f>
        <v/>
      </c>
      <c r="G4871" s="23" t="str">
        <f aca="false">IF(B4871="","","")</f>
        <v/>
      </c>
      <c r="H4871" s="23" t="str">
        <f aca="false">IF(B4871="","","")</f>
        <v/>
      </c>
      <c r="I4871" s="23" t="str">
        <f aca="false">IF(B4871="","","")</f>
        <v/>
      </c>
      <c r="J4871" s="23" t="str">
        <f aca="false">IF(B4871="","","touch_3; "&amp;IFERROR(INDEX(Clay_Brands!$A$2:$FZ$601,220,Sync!$D$10)&amp;"","")&amp;"; "&amp;IFERROR(INDEX(Clay_Brands!$A$2:$FZ$601,220,Sync!$D$9)&amp;"",""))</f>
        <v/>
      </c>
      <c r="K4871" s="32" t="s">
        <v>1368</v>
      </c>
    </row>
    <row r="4872" customFormat="false" ht="15" hidden="false" customHeight="false" outlineLevel="0" collapsed="false">
      <c r="A4872" s="23" t="str">
        <f aca="false">IF(B4872="","",B4872+(17*1000+221)/10000000)</f>
        <v/>
      </c>
      <c r="B4872" s="35" t="str">
        <f aca="false">IF(AND(IFERROR(N(INDEX(Clay_Brands!$A$2:$FZ$601,221,Sync!$D$13)),0)&gt;0,IFERROR(INDEX(Clay_Brands!$A$2:$FZ$601,221,Sync!$D$5)&amp;"","")&lt;&gt;"",OR(LEFT(IFERROR(INDEX(Clay_Brands!$A$2:$FZ$601,221,Sync!$D$5)&amp;"",""),6)&lt;&gt;"SAMPLE",Config!$B$19="Y")),IFERROR(N(INDEX(Clay_Brands!$A$2:$FZ$601,221,Sync!$D$13)),0),"")</f>
        <v/>
      </c>
      <c r="C4872" s="23" t="str">
        <f aca="false">IF(B4872="","","brand")</f>
        <v/>
      </c>
      <c r="D4872" s="23" t="str">
        <f aca="false">IF(B4872="","",IFERROR(INDEX(Brand_Log!$DV$2:$DV$201,MATCH(IFERROR(INDEX(Clay_Brands!$A$2:$FZ$601,221,Sync!$D$5)&amp;"",""),Brand_Log!$A$2:$A$201,0))&amp;"",IFERROR(INDEX(Clay_Brands!$A$2:$FZ$601,221,Sync!$D$5)&amp;"","")&amp;""))</f>
        <v/>
      </c>
      <c r="E4872" s="23" t="str">
        <f aca="false">IF(B4872="","",IFERROR(INDEX(Clay_Brands!$A$2:$FZ$601,221,Sync!$D$6)&amp;"",""))</f>
        <v/>
      </c>
      <c r="F4872" s="23" t="str">
        <f aca="false">IF(B4872="","","outreach_sent")</f>
        <v/>
      </c>
      <c r="G4872" s="23" t="str">
        <f aca="false">IF(B4872="","","")</f>
        <v/>
      </c>
      <c r="H4872" s="23" t="str">
        <f aca="false">IF(B4872="","","")</f>
        <v/>
      </c>
      <c r="I4872" s="23" t="str">
        <f aca="false">IF(B4872="","","")</f>
        <v/>
      </c>
      <c r="J4872" s="23" t="str">
        <f aca="false">IF(B4872="","","touch_3; "&amp;IFERROR(INDEX(Clay_Brands!$A$2:$FZ$601,221,Sync!$D$10)&amp;"","")&amp;"; "&amp;IFERROR(INDEX(Clay_Brands!$A$2:$FZ$601,221,Sync!$D$9)&amp;"",""))</f>
        <v/>
      </c>
      <c r="K4872" s="32" t="s">
        <v>1368</v>
      </c>
    </row>
    <row r="4873" customFormat="false" ht="15" hidden="false" customHeight="false" outlineLevel="0" collapsed="false">
      <c r="A4873" s="23" t="str">
        <f aca="false">IF(B4873="","",B4873+(17*1000+222)/10000000)</f>
        <v/>
      </c>
      <c r="B4873" s="35" t="str">
        <f aca="false">IF(AND(IFERROR(N(INDEX(Clay_Brands!$A$2:$FZ$601,222,Sync!$D$13)),0)&gt;0,IFERROR(INDEX(Clay_Brands!$A$2:$FZ$601,222,Sync!$D$5)&amp;"","")&lt;&gt;"",OR(LEFT(IFERROR(INDEX(Clay_Brands!$A$2:$FZ$601,222,Sync!$D$5)&amp;"",""),6)&lt;&gt;"SAMPLE",Config!$B$19="Y")),IFERROR(N(INDEX(Clay_Brands!$A$2:$FZ$601,222,Sync!$D$13)),0),"")</f>
        <v/>
      </c>
      <c r="C4873" s="23" t="str">
        <f aca="false">IF(B4873="","","brand")</f>
        <v/>
      </c>
      <c r="D4873" s="23" t="str">
        <f aca="false">IF(B4873="","",IFERROR(INDEX(Brand_Log!$DV$2:$DV$201,MATCH(IFERROR(INDEX(Clay_Brands!$A$2:$FZ$601,222,Sync!$D$5)&amp;"",""),Brand_Log!$A$2:$A$201,0))&amp;"",IFERROR(INDEX(Clay_Brands!$A$2:$FZ$601,222,Sync!$D$5)&amp;"","")&amp;""))</f>
        <v/>
      </c>
      <c r="E4873" s="23" t="str">
        <f aca="false">IF(B4873="","",IFERROR(INDEX(Clay_Brands!$A$2:$FZ$601,222,Sync!$D$6)&amp;"",""))</f>
        <v/>
      </c>
      <c r="F4873" s="23" t="str">
        <f aca="false">IF(B4873="","","outreach_sent")</f>
        <v/>
      </c>
      <c r="G4873" s="23" t="str">
        <f aca="false">IF(B4873="","","")</f>
        <v/>
      </c>
      <c r="H4873" s="23" t="str">
        <f aca="false">IF(B4873="","","")</f>
        <v/>
      </c>
      <c r="I4873" s="23" t="str">
        <f aca="false">IF(B4873="","","")</f>
        <v/>
      </c>
      <c r="J4873" s="23" t="str">
        <f aca="false">IF(B4873="","","touch_3; "&amp;IFERROR(INDEX(Clay_Brands!$A$2:$FZ$601,222,Sync!$D$10)&amp;"","")&amp;"; "&amp;IFERROR(INDEX(Clay_Brands!$A$2:$FZ$601,222,Sync!$D$9)&amp;"",""))</f>
        <v/>
      </c>
      <c r="K4873" s="32" t="s">
        <v>1368</v>
      </c>
    </row>
    <row r="4874" customFormat="false" ht="15" hidden="false" customHeight="false" outlineLevel="0" collapsed="false">
      <c r="A4874" s="23" t="str">
        <f aca="false">IF(B4874="","",B4874+(17*1000+223)/10000000)</f>
        <v/>
      </c>
      <c r="B4874" s="35" t="str">
        <f aca="false">IF(AND(IFERROR(N(INDEX(Clay_Brands!$A$2:$FZ$601,223,Sync!$D$13)),0)&gt;0,IFERROR(INDEX(Clay_Brands!$A$2:$FZ$601,223,Sync!$D$5)&amp;"","")&lt;&gt;"",OR(LEFT(IFERROR(INDEX(Clay_Brands!$A$2:$FZ$601,223,Sync!$D$5)&amp;"",""),6)&lt;&gt;"SAMPLE",Config!$B$19="Y")),IFERROR(N(INDEX(Clay_Brands!$A$2:$FZ$601,223,Sync!$D$13)),0),"")</f>
        <v/>
      </c>
      <c r="C4874" s="23" t="str">
        <f aca="false">IF(B4874="","","brand")</f>
        <v/>
      </c>
      <c r="D4874" s="23" t="str">
        <f aca="false">IF(B4874="","",IFERROR(INDEX(Brand_Log!$DV$2:$DV$201,MATCH(IFERROR(INDEX(Clay_Brands!$A$2:$FZ$601,223,Sync!$D$5)&amp;"",""),Brand_Log!$A$2:$A$201,0))&amp;"",IFERROR(INDEX(Clay_Brands!$A$2:$FZ$601,223,Sync!$D$5)&amp;"","")&amp;""))</f>
        <v/>
      </c>
      <c r="E4874" s="23" t="str">
        <f aca="false">IF(B4874="","",IFERROR(INDEX(Clay_Brands!$A$2:$FZ$601,223,Sync!$D$6)&amp;"",""))</f>
        <v/>
      </c>
      <c r="F4874" s="23" t="str">
        <f aca="false">IF(B4874="","","outreach_sent")</f>
        <v/>
      </c>
      <c r="G4874" s="23" t="str">
        <f aca="false">IF(B4874="","","")</f>
        <v/>
      </c>
      <c r="H4874" s="23" t="str">
        <f aca="false">IF(B4874="","","")</f>
        <v/>
      </c>
      <c r="I4874" s="23" t="str">
        <f aca="false">IF(B4874="","","")</f>
        <v/>
      </c>
      <c r="J4874" s="23" t="str">
        <f aca="false">IF(B4874="","","touch_3; "&amp;IFERROR(INDEX(Clay_Brands!$A$2:$FZ$601,223,Sync!$D$10)&amp;"","")&amp;"; "&amp;IFERROR(INDEX(Clay_Brands!$A$2:$FZ$601,223,Sync!$D$9)&amp;"",""))</f>
        <v/>
      </c>
      <c r="K4874" s="32" t="s">
        <v>1368</v>
      </c>
    </row>
    <row r="4875" customFormat="false" ht="15" hidden="false" customHeight="false" outlineLevel="0" collapsed="false">
      <c r="A4875" s="23" t="str">
        <f aca="false">IF(B4875="","",B4875+(17*1000+224)/10000000)</f>
        <v/>
      </c>
      <c r="B4875" s="35" t="str">
        <f aca="false">IF(AND(IFERROR(N(INDEX(Clay_Brands!$A$2:$FZ$601,224,Sync!$D$13)),0)&gt;0,IFERROR(INDEX(Clay_Brands!$A$2:$FZ$601,224,Sync!$D$5)&amp;"","")&lt;&gt;"",OR(LEFT(IFERROR(INDEX(Clay_Brands!$A$2:$FZ$601,224,Sync!$D$5)&amp;"",""),6)&lt;&gt;"SAMPLE",Config!$B$19="Y")),IFERROR(N(INDEX(Clay_Brands!$A$2:$FZ$601,224,Sync!$D$13)),0),"")</f>
        <v/>
      </c>
      <c r="C4875" s="23" t="str">
        <f aca="false">IF(B4875="","","brand")</f>
        <v/>
      </c>
      <c r="D4875" s="23" t="str">
        <f aca="false">IF(B4875="","",IFERROR(INDEX(Brand_Log!$DV$2:$DV$201,MATCH(IFERROR(INDEX(Clay_Brands!$A$2:$FZ$601,224,Sync!$D$5)&amp;"",""),Brand_Log!$A$2:$A$201,0))&amp;"",IFERROR(INDEX(Clay_Brands!$A$2:$FZ$601,224,Sync!$D$5)&amp;"","")&amp;""))</f>
        <v/>
      </c>
      <c r="E4875" s="23" t="str">
        <f aca="false">IF(B4875="","",IFERROR(INDEX(Clay_Brands!$A$2:$FZ$601,224,Sync!$D$6)&amp;"",""))</f>
        <v/>
      </c>
      <c r="F4875" s="23" t="str">
        <f aca="false">IF(B4875="","","outreach_sent")</f>
        <v/>
      </c>
      <c r="G4875" s="23" t="str">
        <f aca="false">IF(B4875="","","")</f>
        <v/>
      </c>
      <c r="H4875" s="23" t="str">
        <f aca="false">IF(B4875="","","")</f>
        <v/>
      </c>
      <c r="I4875" s="23" t="str">
        <f aca="false">IF(B4875="","","")</f>
        <v/>
      </c>
      <c r="J4875" s="23" t="str">
        <f aca="false">IF(B4875="","","touch_3; "&amp;IFERROR(INDEX(Clay_Brands!$A$2:$FZ$601,224,Sync!$D$10)&amp;"","")&amp;"; "&amp;IFERROR(INDEX(Clay_Brands!$A$2:$FZ$601,224,Sync!$D$9)&amp;"",""))</f>
        <v/>
      </c>
      <c r="K4875" s="32" t="s">
        <v>1368</v>
      </c>
    </row>
    <row r="4876" customFormat="false" ht="15" hidden="false" customHeight="false" outlineLevel="0" collapsed="false">
      <c r="A4876" s="23" t="str">
        <f aca="false">IF(B4876="","",B4876+(17*1000+225)/10000000)</f>
        <v/>
      </c>
      <c r="B4876" s="35" t="str">
        <f aca="false">IF(AND(IFERROR(N(INDEX(Clay_Brands!$A$2:$FZ$601,225,Sync!$D$13)),0)&gt;0,IFERROR(INDEX(Clay_Brands!$A$2:$FZ$601,225,Sync!$D$5)&amp;"","")&lt;&gt;"",OR(LEFT(IFERROR(INDEX(Clay_Brands!$A$2:$FZ$601,225,Sync!$D$5)&amp;"",""),6)&lt;&gt;"SAMPLE",Config!$B$19="Y")),IFERROR(N(INDEX(Clay_Brands!$A$2:$FZ$601,225,Sync!$D$13)),0),"")</f>
        <v/>
      </c>
      <c r="C4876" s="23" t="str">
        <f aca="false">IF(B4876="","","brand")</f>
        <v/>
      </c>
      <c r="D4876" s="23" t="str">
        <f aca="false">IF(B4876="","",IFERROR(INDEX(Brand_Log!$DV$2:$DV$201,MATCH(IFERROR(INDEX(Clay_Brands!$A$2:$FZ$601,225,Sync!$D$5)&amp;"",""),Brand_Log!$A$2:$A$201,0))&amp;"",IFERROR(INDEX(Clay_Brands!$A$2:$FZ$601,225,Sync!$D$5)&amp;"","")&amp;""))</f>
        <v/>
      </c>
      <c r="E4876" s="23" t="str">
        <f aca="false">IF(B4876="","",IFERROR(INDEX(Clay_Brands!$A$2:$FZ$601,225,Sync!$D$6)&amp;"",""))</f>
        <v/>
      </c>
      <c r="F4876" s="23" t="str">
        <f aca="false">IF(B4876="","","outreach_sent")</f>
        <v/>
      </c>
      <c r="G4876" s="23" t="str">
        <f aca="false">IF(B4876="","","")</f>
        <v/>
      </c>
      <c r="H4876" s="23" t="str">
        <f aca="false">IF(B4876="","","")</f>
        <v/>
      </c>
      <c r="I4876" s="23" t="str">
        <f aca="false">IF(B4876="","","")</f>
        <v/>
      </c>
      <c r="J4876" s="23" t="str">
        <f aca="false">IF(B4876="","","touch_3; "&amp;IFERROR(INDEX(Clay_Brands!$A$2:$FZ$601,225,Sync!$D$10)&amp;"","")&amp;"; "&amp;IFERROR(INDEX(Clay_Brands!$A$2:$FZ$601,225,Sync!$D$9)&amp;"",""))</f>
        <v/>
      </c>
      <c r="K4876" s="32" t="s">
        <v>1368</v>
      </c>
    </row>
    <row r="4877" customFormat="false" ht="15" hidden="false" customHeight="false" outlineLevel="0" collapsed="false">
      <c r="A4877" s="23" t="str">
        <f aca="false">IF(B4877="","",B4877+(17*1000+226)/10000000)</f>
        <v/>
      </c>
      <c r="B4877" s="35" t="str">
        <f aca="false">IF(AND(IFERROR(N(INDEX(Clay_Brands!$A$2:$FZ$601,226,Sync!$D$13)),0)&gt;0,IFERROR(INDEX(Clay_Brands!$A$2:$FZ$601,226,Sync!$D$5)&amp;"","")&lt;&gt;"",OR(LEFT(IFERROR(INDEX(Clay_Brands!$A$2:$FZ$601,226,Sync!$D$5)&amp;"",""),6)&lt;&gt;"SAMPLE",Config!$B$19="Y")),IFERROR(N(INDEX(Clay_Brands!$A$2:$FZ$601,226,Sync!$D$13)),0),"")</f>
        <v/>
      </c>
      <c r="C4877" s="23" t="str">
        <f aca="false">IF(B4877="","","brand")</f>
        <v/>
      </c>
      <c r="D4877" s="23" t="str">
        <f aca="false">IF(B4877="","",IFERROR(INDEX(Brand_Log!$DV$2:$DV$201,MATCH(IFERROR(INDEX(Clay_Brands!$A$2:$FZ$601,226,Sync!$D$5)&amp;"",""),Brand_Log!$A$2:$A$201,0))&amp;"",IFERROR(INDEX(Clay_Brands!$A$2:$FZ$601,226,Sync!$D$5)&amp;"","")&amp;""))</f>
        <v/>
      </c>
      <c r="E4877" s="23" t="str">
        <f aca="false">IF(B4877="","",IFERROR(INDEX(Clay_Brands!$A$2:$FZ$601,226,Sync!$D$6)&amp;"",""))</f>
        <v/>
      </c>
      <c r="F4877" s="23" t="str">
        <f aca="false">IF(B4877="","","outreach_sent")</f>
        <v/>
      </c>
      <c r="G4877" s="23" t="str">
        <f aca="false">IF(B4877="","","")</f>
        <v/>
      </c>
      <c r="H4877" s="23" t="str">
        <f aca="false">IF(B4877="","","")</f>
        <v/>
      </c>
      <c r="I4877" s="23" t="str">
        <f aca="false">IF(B4877="","","")</f>
        <v/>
      </c>
      <c r="J4877" s="23" t="str">
        <f aca="false">IF(B4877="","","touch_3; "&amp;IFERROR(INDEX(Clay_Brands!$A$2:$FZ$601,226,Sync!$D$10)&amp;"","")&amp;"; "&amp;IFERROR(INDEX(Clay_Brands!$A$2:$FZ$601,226,Sync!$D$9)&amp;"",""))</f>
        <v/>
      </c>
      <c r="K4877" s="32" t="s">
        <v>1368</v>
      </c>
    </row>
    <row r="4878" customFormat="false" ht="15" hidden="false" customHeight="false" outlineLevel="0" collapsed="false">
      <c r="A4878" s="23" t="str">
        <f aca="false">IF(B4878="","",B4878+(17*1000+227)/10000000)</f>
        <v/>
      </c>
      <c r="B4878" s="35" t="str">
        <f aca="false">IF(AND(IFERROR(N(INDEX(Clay_Brands!$A$2:$FZ$601,227,Sync!$D$13)),0)&gt;0,IFERROR(INDEX(Clay_Brands!$A$2:$FZ$601,227,Sync!$D$5)&amp;"","")&lt;&gt;"",OR(LEFT(IFERROR(INDEX(Clay_Brands!$A$2:$FZ$601,227,Sync!$D$5)&amp;"",""),6)&lt;&gt;"SAMPLE",Config!$B$19="Y")),IFERROR(N(INDEX(Clay_Brands!$A$2:$FZ$601,227,Sync!$D$13)),0),"")</f>
        <v/>
      </c>
      <c r="C4878" s="23" t="str">
        <f aca="false">IF(B4878="","","brand")</f>
        <v/>
      </c>
      <c r="D4878" s="23" t="str">
        <f aca="false">IF(B4878="","",IFERROR(INDEX(Brand_Log!$DV$2:$DV$201,MATCH(IFERROR(INDEX(Clay_Brands!$A$2:$FZ$601,227,Sync!$D$5)&amp;"",""),Brand_Log!$A$2:$A$201,0))&amp;"",IFERROR(INDEX(Clay_Brands!$A$2:$FZ$601,227,Sync!$D$5)&amp;"","")&amp;""))</f>
        <v/>
      </c>
      <c r="E4878" s="23" t="str">
        <f aca="false">IF(B4878="","",IFERROR(INDEX(Clay_Brands!$A$2:$FZ$601,227,Sync!$D$6)&amp;"",""))</f>
        <v/>
      </c>
      <c r="F4878" s="23" t="str">
        <f aca="false">IF(B4878="","","outreach_sent")</f>
        <v/>
      </c>
      <c r="G4878" s="23" t="str">
        <f aca="false">IF(B4878="","","")</f>
        <v/>
      </c>
      <c r="H4878" s="23" t="str">
        <f aca="false">IF(B4878="","","")</f>
        <v/>
      </c>
      <c r="I4878" s="23" t="str">
        <f aca="false">IF(B4878="","","")</f>
        <v/>
      </c>
      <c r="J4878" s="23" t="str">
        <f aca="false">IF(B4878="","","touch_3; "&amp;IFERROR(INDEX(Clay_Brands!$A$2:$FZ$601,227,Sync!$D$10)&amp;"","")&amp;"; "&amp;IFERROR(INDEX(Clay_Brands!$A$2:$FZ$601,227,Sync!$D$9)&amp;"",""))</f>
        <v/>
      </c>
      <c r="K4878" s="32" t="s">
        <v>1368</v>
      </c>
    </row>
    <row r="4879" customFormat="false" ht="15" hidden="false" customHeight="false" outlineLevel="0" collapsed="false">
      <c r="A4879" s="23" t="str">
        <f aca="false">IF(B4879="","",B4879+(17*1000+228)/10000000)</f>
        <v/>
      </c>
      <c r="B4879" s="35" t="str">
        <f aca="false">IF(AND(IFERROR(N(INDEX(Clay_Brands!$A$2:$FZ$601,228,Sync!$D$13)),0)&gt;0,IFERROR(INDEX(Clay_Brands!$A$2:$FZ$601,228,Sync!$D$5)&amp;"","")&lt;&gt;"",OR(LEFT(IFERROR(INDEX(Clay_Brands!$A$2:$FZ$601,228,Sync!$D$5)&amp;"",""),6)&lt;&gt;"SAMPLE",Config!$B$19="Y")),IFERROR(N(INDEX(Clay_Brands!$A$2:$FZ$601,228,Sync!$D$13)),0),"")</f>
        <v/>
      </c>
      <c r="C4879" s="23" t="str">
        <f aca="false">IF(B4879="","","brand")</f>
        <v/>
      </c>
      <c r="D4879" s="23" t="str">
        <f aca="false">IF(B4879="","",IFERROR(INDEX(Brand_Log!$DV$2:$DV$201,MATCH(IFERROR(INDEX(Clay_Brands!$A$2:$FZ$601,228,Sync!$D$5)&amp;"",""),Brand_Log!$A$2:$A$201,0))&amp;"",IFERROR(INDEX(Clay_Brands!$A$2:$FZ$601,228,Sync!$D$5)&amp;"","")&amp;""))</f>
        <v/>
      </c>
      <c r="E4879" s="23" t="str">
        <f aca="false">IF(B4879="","",IFERROR(INDEX(Clay_Brands!$A$2:$FZ$601,228,Sync!$D$6)&amp;"",""))</f>
        <v/>
      </c>
      <c r="F4879" s="23" t="str">
        <f aca="false">IF(B4879="","","outreach_sent")</f>
        <v/>
      </c>
      <c r="G4879" s="23" t="str">
        <f aca="false">IF(B4879="","","")</f>
        <v/>
      </c>
      <c r="H4879" s="23" t="str">
        <f aca="false">IF(B4879="","","")</f>
        <v/>
      </c>
      <c r="I4879" s="23" t="str">
        <f aca="false">IF(B4879="","","")</f>
        <v/>
      </c>
      <c r="J4879" s="23" t="str">
        <f aca="false">IF(B4879="","","touch_3; "&amp;IFERROR(INDEX(Clay_Brands!$A$2:$FZ$601,228,Sync!$D$10)&amp;"","")&amp;"; "&amp;IFERROR(INDEX(Clay_Brands!$A$2:$FZ$601,228,Sync!$D$9)&amp;"",""))</f>
        <v/>
      </c>
      <c r="K4879" s="32" t="s">
        <v>1368</v>
      </c>
    </row>
    <row r="4880" customFormat="false" ht="15" hidden="false" customHeight="false" outlineLevel="0" collapsed="false">
      <c r="A4880" s="23" t="str">
        <f aca="false">IF(B4880="","",B4880+(17*1000+229)/10000000)</f>
        <v/>
      </c>
      <c r="B4880" s="35" t="str">
        <f aca="false">IF(AND(IFERROR(N(INDEX(Clay_Brands!$A$2:$FZ$601,229,Sync!$D$13)),0)&gt;0,IFERROR(INDEX(Clay_Brands!$A$2:$FZ$601,229,Sync!$D$5)&amp;"","")&lt;&gt;"",OR(LEFT(IFERROR(INDEX(Clay_Brands!$A$2:$FZ$601,229,Sync!$D$5)&amp;"",""),6)&lt;&gt;"SAMPLE",Config!$B$19="Y")),IFERROR(N(INDEX(Clay_Brands!$A$2:$FZ$601,229,Sync!$D$13)),0),"")</f>
        <v/>
      </c>
      <c r="C4880" s="23" t="str">
        <f aca="false">IF(B4880="","","brand")</f>
        <v/>
      </c>
      <c r="D4880" s="23" t="str">
        <f aca="false">IF(B4880="","",IFERROR(INDEX(Brand_Log!$DV$2:$DV$201,MATCH(IFERROR(INDEX(Clay_Brands!$A$2:$FZ$601,229,Sync!$D$5)&amp;"",""),Brand_Log!$A$2:$A$201,0))&amp;"",IFERROR(INDEX(Clay_Brands!$A$2:$FZ$601,229,Sync!$D$5)&amp;"","")&amp;""))</f>
        <v/>
      </c>
      <c r="E4880" s="23" t="str">
        <f aca="false">IF(B4880="","",IFERROR(INDEX(Clay_Brands!$A$2:$FZ$601,229,Sync!$D$6)&amp;"",""))</f>
        <v/>
      </c>
      <c r="F4880" s="23" t="str">
        <f aca="false">IF(B4880="","","outreach_sent")</f>
        <v/>
      </c>
      <c r="G4880" s="23" t="str">
        <f aca="false">IF(B4880="","","")</f>
        <v/>
      </c>
      <c r="H4880" s="23" t="str">
        <f aca="false">IF(B4880="","","")</f>
        <v/>
      </c>
      <c r="I4880" s="23" t="str">
        <f aca="false">IF(B4880="","","")</f>
        <v/>
      </c>
      <c r="J4880" s="23" t="str">
        <f aca="false">IF(B4880="","","touch_3; "&amp;IFERROR(INDEX(Clay_Brands!$A$2:$FZ$601,229,Sync!$D$10)&amp;"","")&amp;"; "&amp;IFERROR(INDEX(Clay_Brands!$A$2:$FZ$601,229,Sync!$D$9)&amp;"",""))</f>
        <v/>
      </c>
      <c r="K4880" s="32" t="s">
        <v>1368</v>
      </c>
    </row>
    <row r="4881" customFormat="false" ht="15" hidden="false" customHeight="false" outlineLevel="0" collapsed="false">
      <c r="A4881" s="23" t="str">
        <f aca="false">IF(B4881="","",B4881+(17*1000+230)/10000000)</f>
        <v/>
      </c>
      <c r="B4881" s="35" t="str">
        <f aca="false">IF(AND(IFERROR(N(INDEX(Clay_Brands!$A$2:$FZ$601,230,Sync!$D$13)),0)&gt;0,IFERROR(INDEX(Clay_Brands!$A$2:$FZ$601,230,Sync!$D$5)&amp;"","")&lt;&gt;"",OR(LEFT(IFERROR(INDEX(Clay_Brands!$A$2:$FZ$601,230,Sync!$D$5)&amp;"",""),6)&lt;&gt;"SAMPLE",Config!$B$19="Y")),IFERROR(N(INDEX(Clay_Brands!$A$2:$FZ$601,230,Sync!$D$13)),0),"")</f>
        <v/>
      </c>
      <c r="C4881" s="23" t="str">
        <f aca="false">IF(B4881="","","brand")</f>
        <v/>
      </c>
      <c r="D4881" s="23" t="str">
        <f aca="false">IF(B4881="","",IFERROR(INDEX(Brand_Log!$DV$2:$DV$201,MATCH(IFERROR(INDEX(Clay_Brands!$A$2:$FZ$601,230,Sync!$D$5)&amp;"",""),Brand_Log!$A$2:$A$201,0))&amp;"",IFERROR(INDEX(Clay_Brands!$A$2:$FZ$601,230,Sync!$D$5)&amp;"","")&amp;""))</f>
        <v/>
      </c>
      <c r="E4881" s="23" t="str">
        <f aca="false">IF(B4881="","",IFERROR(INDEX(Clay_Brands!$A$2:$FZ$601,230,Sync!$D$6)&amp;"",""))</f>
        <v/>
      </c>
      <c r="F4881" s="23" t="str">
        <f aca="false">IF(B4881="","","outreach_sent")</f>
        <v/>
      </c>
      <c r="G4881" s="23" t="str">
        <f aca="false">IF(B4881="","","")</f>
        <v/>
      </c>
      <c r="H4881" s="23" t="str">
        <f aca="false">IF(B4881="","","")</f>
        <v/>
      </c>
      <c r="I4881" s="23" t="str">
        <f aca="false">IF(B4881="","","")</f>
        <v/>
      </c>
      <c r="J4881" s="23" t="str">
        <f aca="false">IF(B4881="","","touch_3; "&amp;IFERROR(INDEX(Clay_Brands!$A$2:$FZ$601,230,Sync!$D$10)&amp;"","")&amp;"; "&amp;IFERROR(INDEX(Clay_Brands!$A$2:$FZ$601,230,Sync!$D$9)&amp;"",""))</f>
        <v/>
      </c>
      <c r="K4881" s="32" t="s">
        <v>1368</v>
      </c>
    </row>
    <row r="4882" customFormat="false" ht="15" hidden="false" customHeight="false" outlineLevel="0" collapsed="false">
      <c r="A4882" s="23" t="str">
        <f aca="false">IF(B4882="","",B4882+(17*1000+231)/10000000)</f>
        <v/>
      </c>
      <c r="B4882" s="35" t="str">
        <f aca="false">IF(AND(IFERROR(N(INDEX(Clay_Brands!$A$2:$FZ$601,231,Sync!$D$13)),0)&gt;0,IFERROR(INDEX(Clay_Brands!$A$2:$FZ$601,231,Sync!$D$5)&amp;"","")&lt;&gt;"",OR(LEFT(IFERROR(INDEX(Clay_Brands!$A$2:$FZ$601,231,Sync!$D$5)&amp;"",""),6)&lt;&gt;"SAMPLE",Config!$B$19="Y")),IFERROR(N(INDEX(Clay_Brands!$A$2:$FZ$601,231,Sync!$D$13)),0),"")</f>
        <v/>
      </c>
      <c r="C4882" s="23" t="str">
        <f aca="false">IF(B4882="","","brand")</f>
        <v/>
      </c>
      <c r="D4882" s="23" t="str">
        <f aca="false">IF(B4882="","",IFERROR(INDEX(Brand_Log!$DV$2:$DV$201,MATCH(IFERROR(INDEX(Clay_Brands!$A$2:$FZ$601,231,Sync!$D$5)&amp;"",""),Brand_Log!$A$2:$A$201,0))&amp;"",IFERROR(INDEX(Clay_Brands!$A$2:$FZ$601,231,Sync!$D$5)&amp;"","")&amp;""))</f>
        <v/>
      </c>
      <c r="E4882" s="23" t="str">
        <f aca="false">IF(B4882="","",IFERROR(INDEX(Clay_Brands!$A$2:$FZ$601,231,Sync!$D$6)&amp;"",""))</f>
        <v/>
      </c>
      <c r="F4882" s="23" t="str">
        <f aca="false">IF(B4882="","","outreach_sent")</f>
        <v/>
      </c>
      <c r="G4882" s="23" t="str">
        <f aca="false">IF(B4882="","","")</f>
        <v/>
      </c>
      <c r="H4882" s="23" t="str">
        <f aca="false">IF(B4882="","","")</f>
        <v/>
      </c>
      <c r="I4882" s="23" t="str">
        <f aca="false">IF(B4882="","","")</f>
        <v/>
      </c>
      <c r="J4882" s="23" t="str">
        <f aca="false">IF(B4882="","","touch_3; "&amp;IFERROR(INDEX(Clay_Brands!$A$2:$FZ$601,231,Sync!$D$10)&amp;"","")&amp;"; "&amp;IFERROR(INDEX(Clay_Brands!$A$2:$FZ$601,231,Sync!$D$9)&amp;"",""))</f>
        <v/>
      </c>
      <c r="K4882" s="32" t="s">
        <v>1368</v>
      </c>
    </row>
    <row r="4883" customFormat="false" ht="15" hidden="false" customHeight="false" outlineLevel="0" collapsed="false">
      <c r="A4883" s="23" t="str">
        <f aca="false">IF(B4883="","",B4883+(17*1000+232)/10000000)</f>
        <v/>
      </c>
      <c r="B4883" s="35" t="str">
        <f aca="false">IF(AND(IFERROR(N(INDEX(Clay_Brands!$A$2:$FZ$601,232,Sync!$D$13)),0)&gt;0,IFERROR(INDEX(Clay_Brands!$A$2:$FZ$601,232,Sync!$D$5)&amp;"","")&lt;&gt;"",OR(LEFT(IFERROR(INDEX(Clay_Brands!$A$2:$FZ$601,232,Sync!$D$5)&amp;"",""),6)&lt;&gt;"SAMPLE",Config!$B$19="Y")),IFERROR(N(INDEX(Clay_Brands!$A$2:$FZ$601,232,Sync!$D$13)),0),"")</f>
        <v/>
      </c>
      <c r="C4883" s="23" t="str">
        <f aca="false">IF(B4883="","","brand")</f>
        <v/>
      </c>
      <c r="D4883" s="23" t="str">
        <f aca="false">IF(B4883="","",IFERROR(INDEX(Brand_Log!$DV$2:$DV$201,MATCH(IFERROR(INDEX(Clay_Brands!$A$2:$FZ$601,232,Sync!$D$5)&amp;"",""),Brand_Log!$A$2:$A$201,0))&amp;"",IFERROR(INDEX(Clay_Brands!$A$2:$FZ$601,232,Sync!$D$5)&amp;"","")&amp;""))</f>
        <v/>
      </c>
      <c r="E4883" s="23" t="str">
        <f aca="false">IF(B4883="","",IFERROR(INDEX(Clay_Brands!$A$2:$FZ$601,232,Sync!$D$6)&amp;"",""))</f>
        <v/>
      </c>
      <c r="F4883" s="23" t="str">
        <f aca="false">IF(B4883="","","outreach_sent")</f>
        <v/>
      </c>
      <c r="G4883" s="23" t="str">
        <f aca="false">IF(B4883="","","")</f>
        <v/>
      </c>
      <c r="H4883" s="23" t="str">
        <f aca="false">IF(B4883="","","")</f>
        <v/>
      </c>
      <c r="I4883" s="23" t="str">
        <f aca="false">IF(B4883="","","")</f>
        <v/>
      </c>
      <c r="J4883" s="23" t="str">
        <f aca="false">IF(B4883="","","touch_3; "&amp;IFERROR(INDEX(Clay_Brands!$A$2:$FZ$601,232,Sync!$D$10)&amp;"","")&amp;"; "&amp;IFERROR(INDEX(Clay_Brands!$A$2:$FZ$601,232,Sync!$D$9)&amp;"",""))</f>
        <v/>
      </c>
      <c r="K4883" s="32" t="s">
        <v>1368</v>
      </c>
    </row>
    <row r="4884" customFormat="false" ht="15" hidden="false" customHeight="false" outlineLevel="0" collapsed="false">
      <c r="A4884" s="23" t="str">
        <f aca="false">IF(B4884="","",B4884+(17*1000+233)/10000000)</f>
        <v/>
      </c>
      <c r="B4884" s="35" t="str">
        <f aca="false">IF(AND(IFERROR(N(INDEX(Clay_Brands!$A$2:$FZ$601,233,Sync!$D$13)),0)&gt;0,IFERROR(INDEX(Clay_Brands!$A$2:$FZ$601,233,Sync!$D$5)&amp;"","")&lt;&gt;"",OR(LEFT(IFERROR(INDEX(Clay_Brands!$A$2:$FZ$601,233,Sync!$D$5)&amp;"",""),6)&lt;&gt;"SAMPLE",Config!$B$19="Y")),IFERROR(N(INDEX(Clay_Brands!$A$2:$FZ$601,233,Sync!$D$13)),0),"")</f>
        <v/>
      </c>
      <c r="C4884" s="23" t="str">
        <f aca="false">IF(B4884="","","brand")</f>
        <v/>
      </c>
      <c r="D4884" s="23" t="str">
        <f aca="false">IF(B4884="","",IFERROR(INDEX(Brand_Log!$DV$2:$DV$201,MATCH(IFERROR(INDEX(Clay_Brands!$A$2:$FZ$601,233,Sync!$D$5)&amp;"",""),Brand_Log!$A$2:$A$201,0))&amp;"",IFERROR(INDEX(Clay_Brands!$A$2:$FZ$601,233,Sync!$D$5)&amp;"","")&amp;""))</f>
        <v/>
      </c>
      <c r="E4884" s="23" t="str">
        <f aca="false">IF(B4884="","",IFERROR(INDEX(Clay_Brands!$A$2:$FZ$601,233,Sync!$D$6)&amp;"",""))</f>
        <v/>
      </c>
      <c r="F4884" s="23" t="str">
        <f aca="false">IF(B4884="","","outreach_sent")</f>
        <v/>
      </c>
      <c r="G4884" s="23" t="str">
        <f aca="false">IF(B4884="","","")</f>
        <v/>
      </c>
      <c r="H4884" s="23" t="str">
        <f aca="false">IF(B4884="","","")</f>
        <v/>
      </c>
      <c r="I4884" s="23" t="str">
        <f aca="false">IF(B4884="","","")</f>
        <v/>
      </c>
      <c r="J4884" s="23" t="str">
        <f aca="false">IF(B4884="","","touch_3; "&amp;IFERROR(INDEX(Clay_Brands!$A$2:$FZ$601,233,Sync!$D$10)&amp;"","")&amp;"; "&amp;IFERROR(INDEX(Clay_Brands!$A$2:$FZ$601,233,Sync!$D$9)&amp;"",""))</f>
        <v/>
      </c>
      <c r="K4884" s="32" t="s">
        <v>1368</v>
      </c>
    </row>
    <row r="4885" customFormat="false" ht="15" hidden="false" customHeight="false" outlineLevel="0" collapsed="false">
      <c r="A4885" s="23" t="str">
        <f aca="false">IF(B4885="","",B4885+(17*1000+234)/10000000)</f>
        <v/>
      </c>
      <c r="B4885" s="35" t="str">
        <f aca="false">IF(AND(IFERROR(N(INDEX(Clay_Brands!$A$2:$FZ$601,234,Sync!$D$13)),0)&gt;0,IFERROR(INDEX(Clay_Brands!$A$2:$FZ$601,234,Sync!$D$5)&amp;"","")&lt;&gt;"",OR(LEFT(IFERROR(INDEX(Clay_Brands!$A$2:$FZ$601,234,Sync!$D$5)&amp;"",""),6)&lt;&gt;"SAMPLE",Config!$B$19="Y")),IFERROR(N(INDEX(Clay_Brands!$A$2:$FZ$601,234,Sync!$D$13)),0),"")</f>
        <v/>
      </c>
      <c r="C4885" s="23" t="str">
        <f aca="false">IF(B4885="","","brand")</f>
        <v/>
      </c>
      <c r="D4885" s="23" t="str">
        <f aca="false">IF(B4885="","",IFERROR(INDEX(Brand_Log!$DV$2:$DV$201,MATCH(IFERROR(INDEX(Clay_Brands!$A$2:$FZ$601,234,Sync!$D$5)&amp;"",""),Brand_Log!$A$2:$A$201,0))&amp;"",IFERROR(INDEX(Clay_Brands!$A$2:$FZ$601,234,Sync!$D$5)&amp;"","")&amp;""))</f>
        <v/>
      </c>
      <c r="E4885" s="23" t="str">
        <f aca="false">IF(B4885="","",IFERROR(INDEX(Clay_Brands!$A$2:$FZ$601,234,Sync!$D$6)&amp;"",""))</f>
        <v/>
      </c>
      <c r="F4885" s="23" t="str">
        <f aca="false">IF(B4885="","","outreach_sent")</f>
        <v/>
      </c>
      <c r="G4885" s="23" t="str">
        <f aca="false">IF(B4885="","","")</f>
        <v/>
      </c>
      <c r="H4885" s="23" t="str">
        <f aca="false">IF(B4885="","","")</f>
        <v/>
      </c>
      <c r="I4885" s="23" t="str">
        <f aca="false">IF(B4885="","","")</f>
        <v/>
      </c>
      <c r="J4885" s="23" t="str">
        <f aca="false">IF(B4885="","","touch_3; "&amp;IFERROR(INDEX(Clay_Brands!$A$2:$FZ$601,234,Sync!$D$10)&amp;"","")&amp;"; "&amp;IFERROR(INDEX(Clay_Brands!$A$2:$FZ$601,234,Sync!$D$9)&amp;"",""))</f>
        <v/>
      </c>
      <c r="K4885" s="32" t="s">
        <v>1368</v>
      </c>
    </row>
    <row r="4886" customFormat="false" ht="15" hidden="false" customHeight="false" outlineLevel="0" collapsed="false">
      <c r="A4886" s="23" t="str">
        <f aca="false">IF(B4886="","",B4886+(17*1000+235)/10000000)</f>
        <v/>
      </c>
      <c r="B4886" s="35" t="str">
        <f aca="false">IF(AND(IFERROR(N(INDEX(Clay_Brands!$A$2:$FZ$601,235,Sync!$D$13)),0)&gt;0,IFERROR(INDEX(Clay_Brands!$A$2:$FZ$601,235,Sync!$D$5)&amp;"","")&lt;&gt;"",OR(LEFT(IFERROR(INDEX(Clay_Brands!$A$2:$FZ$601,235,Sync!$D$5)&amp;"",""),6)&lt;&gt;"SAMPLE",Config!$B$19="Y")),IFERROR(N(INDEX(Clay_Brands!$A$2:$FZ$601,235,Sync!$D$13)),0),"")</f>
        <v/>
      </c>
      <c r="C4886" s="23" t="str">
        <f aca="false">IF(B4886="","","brand")</f>
        <v/>
      </c>
      <c r="D4886" s="23" t="str">
        <f aca="false">IF(B4886="","",IFERROR(INDEX(Brand_Log!$DV$2:$DV$201,MATCH(IFERROR(INDEX(Clay_Brands!$A$2:$FZ$601,235,Sync!$D$5)&amp;"",""),Brand_Log!$A$2:$A$201,0))&amp;"",IFERROR(INDEX(Clay_Brands!$A$2:$FZ$601,235,Sync!$D$5)&amp;"","")&amp;""))</f>
        <v/>
      </c>
      <c r="E4886" s="23" t="str">
        <f aca="false">IF(B4886="","",IFERROR(INDEX(Clay_Brands!$A$2:$FZ$601,235,Sync!$D$6)&amp;"",""))</f>
        <v/>
      </c>
      <c r="F4886" s="23" t="str">
        <f aca="false">IF(B4886="","","outreach_sent")</f>
        <v/>
      </c>
      <c r="G4886" s="23" t="str">
        <f aca="false">IF(B4886="","","")</f>
        <v/>
      </c>
      <c r="H4886" s="23" t="str">
        <f aca="false">IF(B4886="","","")</f>
        <v/>
      </c>
      <c r="I4886" s="23" t="str">
        <f aca="false">IF(B4886="","","")</f>
        <v/>
      </c>
      <c r="J4886" s="23" t="str">
        <f aca="false">IF(B4886="","","touch_3; "&amp;IFERROR(INDEX(Clay_Brands!$A$2:$FZ$601,235,Sync!$D$10)&amp;"","")&amp;"; "&amp;IFERROR(INDEX(Clay_Brands!$A$2:$FZ$601,235,Sync!$D$9)&amp;"",""))</f>
        <v/>
      </c>
      <c r="K4886" s="32" t="s">
        <v>1368</v>
      </c>
    </row>
    <row r="4887" customFormat="false" ht="15" hidden="false" customHeight="false" outlineLevel="0" collapsed="false">
      <c r="A4887" s="23" t="str">
        <f aca="false">IF(B4887="","",B4887+(17*1000+236)/10000000)</f>
        <v/>
      </c>
      <c r="B4887" s="35" t="str">
        <f aca="false">IF(AND(IFERROR(N(INDEX(Clay_Brands!$A$2:$FZ$601,236,Sync!$D$13)),0)&gt;0,IFERROR(INDEX(Clay_Brands!$A$2:$FZ$601,236,Sync!$D$5)&amp;"","")&lt;&gt;"",OR(LEFT(IFERROR(INDEX(Clay_Brands!$A$2:$FZ$601,236,Sync!$D$5)&amp;"",""),6)&lt;&gt;"SAMPLE",Config!$B$19="Y")),IFERROR(N(INDEX(Clay_Brands!$A$2:$FZ$601,236,Sync!$D$13)),0),"")</f>
        <v/>
      </c>
      <c r="C4887" s="23" t="str">
        <f aca="false">IF(B4887="","","brand")</f>
        <v/>
      </c>
      <c r="D4887" s="23" t="str">
        <f aca="false">IF(B4887="","",IFERROR(INDEX(Brand_Log!$DV$2:$DV$201,MATCH(IFERROR(INDEX(Clay_Brands!$A$2:$FZ$601,236,Sync!$D$5)&amp;"",""),Brand_Log!$A$2:$A$201,0))&amp;"",IFERROR(INDEX(Clay_Brands!$A$2:$FZ$601,236,Sync!$D$5)&amp;"","")&amp;""))</f>
        <v/>
      </c>
      <c r="E4887" s="23" t="str">
        <f aca="false">IF(B4887="","",IFERROR(INDEX(Clay_Brands!$A$2:$FZ$601,236,Sync!$D$6)&amp;"",""))</f>
        <v/>
      </c>
      <c r="F4887" s="23" t="str">
        <f aca="false">IF(B4887="","","outreach_sent")</f>
        <v/>
      </c>
      <c r="G4887" s="23" t="str">
        <f aca="false">IF(B4887="","","")</f>
        <v/>
      </c>
      <c r="H4887" s="23" t="str">
        <f aca="false">IF(B4887="","","")</f>
        <v/>
      </c>
      <c r="I4887" s="23" t="str">
        <f aca="false">IF(B4887="","","")</f>
        <v/>
      </c>
      <c r="J4887" s="23" t="str">
        <f aca="false">IF(B4887="","","touch_3; "&amp;IFERROR(INDEX(Clay_Brands!$A$2:$FZ$601,236,Sync!$D$10)&amp;"","")&amp;"; "&amp;IFERROR(INDEX(Clay_Brands!$A$2:$FZ$601,236,Sync!$D$9)&amp;"",""))</f>
        <v/>
      </c>
      <c r="K4887" s="32" t="s">
        <v>1368</v>
      </c>
    </row>
    <row r="4888" customFormat="false" ht="15" hidden="false" customHeight="false" outlineLevel="0" collapsed="false">
      <c r="A4888" s="23" t="str">
        <f aca="false">IF(B4888="","",B4888+(17*1000+237)/10000000)</f>
        <v/>
      </c>
      <c r="B4888" s="35" t="str">
        <f aca="false">IF(AND(IFERROR(N(INDEX(Clay_Brands!$A$2:$FZ$601,237,Sync!$D$13)),0)&gt;0,IFERROR(INDEX(Clay_Brands!$A$2:$FZ$601,237,Sync!$D$5)&amp;"","")&lt;&gt;"",OR(LEFT(IFERROR(INDEX(Clay_Brands!$A$2:$FZ$601,237,Sync!$D$5)&amp;"",""),6)&lt;&gt;"SAMPLE",Config!$B$19="Y")),IFERROR(N(INDEX(Clay_Brands!$A$2:$FZ$601,237,Sync!$D$13)),0),"")</f>
        <v/>
      </c>
      <c r="C4888" s="23" t="str">
        <f aca="false">IF(B4888="","","brand")</f>
        <v/>
      </c>
      <c r="D4888" s="23" t="str">
        <f aca="false">IF(B4888="","",IFERROR(INDEX(Brand_Log!$DV$2:$DV$201,MATCH(IFERROR(INDEX(Clay_Brands!$A$2:$FZ$601,237,Sync!$D$5)&amp;"",""),Brand_Log!$A$2:$A$201,0))&amp;"",IFERROR(INDEX(Clay_Brands!$A$2:$FZ$601,237,Sync!$D$5)&amp;"","")&amp;""))</f>
        <v/>
      </c>
      <c r="E4888" s="23" t="str">
        <f aca="false">IF(B4888="","",IFERROR(INDEX(Clay_Brands!$A$2:$FZ$601,237,Sync!$D$6)&amp;"",""))</f>
        <v/>
      </c>
      <c r="F4888" s="23" t="str">
        <f aca="false">IF(B4888="","","outreach_sent")</f>
        <v/>
      </c>
      <c r="G4888" s="23" t="str">
        <f aca="false">IF(B4888="","","")</f>
        <v/>
      </c>
      <c r="H4888" s="23" t="str">
        <f aca="false">IF(B4888="","","")</f>
        <v/>
      </c>
      <c r="I4888" s="23" t="str">
        <f aca="false">IF(B4888="","","")</f>
        <v/>
      </c>
      <c r="J4888" s="23" t="str">
        <f aca="false">IF(B4888="","","touch_3; "&amp;IFERROR(INDEX(Clay_Brands!$A$2:$FZ$601,237,Sync!$D$10)&amp;"","")&amp;"; "&amp;IFERROR(INDEX(Clay_Brands!$A$2:$FZ$601,237,Sync!$D$9)&amp;"",""))</f>
        <v/>
      </c>
      <c r="K4888" s="32" t="s">
        <v>1368</v>
      </c>
    </row>
    <row r="4889" customFormat="false" ht="15" hidden="false" customHeight="false" outlineLevel="0" collapsed="false">
      <c r="A4889" s="23" t="str">
        <f aca="false">IF(B4889="","",B4889+(17*1000+238)/10000000)</f>
        <v/>
      </c>
      <c r="B4889" s="35" t="str">
        <f aca="false">IF(AND(IFERROR(N(INDEX(Clay_Brands!$A$2:$FZ$601,238,Sync!$D$13)),0)&gt;0,IFERROR(INDEX(Clay_Brands!$A$2:$FZ$601,238,Sync!$D$5)&amp;"","")&lt;&gt;"",OR(LEFT(IFERROR(INDEX(Clay_Brands!$A$2:$FZ$601,238,Sync!$D$5)&amp;"",""),6)&lt;&gt;"SAMPLE",Config!$B$19="Y")),IFERROR(N(INDEX(Clay_Brands!$A$2:$FZ$601,238,Sync!$D$13)),0),"")</f>
        <v/>
      </c>
      <c r="C4889" s="23" t="str">
        <f aca="false">IF(B4889="","","brand")</f>
        <v/>
      </c>
      <c r="D4889" s="23" t="str">
        <f aca="false">IF(B4889="","",IFERROR(INDEX(Brand_Log!$DV$2:$DV$201,MATCH(IFERROR(INDEX(Clay_Brands!$A$2:$FZ$601,238,Sync!$D$5)&amp;"",""),Brand_Log!$A$2:$A$201,0))&amp;"",IFERROR(INDEX(Clay_Brands!$A$2:$FZ$601,238,Sync!$D$5)&amp;"","")&amp;""))</f>
        <v/>
      </c>
      <c r="E4889" s="23" t="str">
        <f aca="false">IF(B4889="","",IFERROR(INDEX(Clay_Brands!$A$2:$FZ$601,238,Sync!$D$6)&amp;"",""))</f>
        <v/>
      </c>
      <c r="F4889" s="23" t="str">
        <f aca="false">IF(B4889="","","outreach_sent")</f>
        <v/>
      </c>
      <c r="G4889" s="23" t="str">
        <f aca="false">IF(B4889="","","")</f>
        <v/>
      </c>
      <c r="H4889" s="23" t="str">
        <f aca="false">IF(B4889="","","")</f>
        <v/>
      </c>
      <c r="I4889" s="23" t="str">
        <f aca="false">IF(B4889="","","")</f>
        <v/>
      </c>
      <c r="J4889" s="23" t="str">
        <f aca="false">IF(B4889="","","touch_3; "&amp;IFERROR(INDEX(Clay_Brands!$A$2:$FZ$601,238,Sync!$D$10)&amp;"","")&amp;"; "&amp;IFERROR(INDEX(Clay_Brands!$A$2:$FZ$601,238,Sync!$D$9)&amp;"",""))</f>
        <v/>
      </c>
      <c r="K4889" s="32" t="s">
        <v>1368</v>
      </c>
    </row>
    <row r="4890" customFormat="false" ht="15" hidden="false" customHeight="false" outlineLevel="0" collapsed="false">
      <c r="A4890" s="23" t="str">
        <f aca="false">IF(B4890="","",B4890+(17*1000+239)/10000000)</f>
        <v/>
      </c>
      <c r="B4890" s="35" t="str">
        <f aca="false">IF(AND(IFERROR(N(INDEX(Clay_Brands!$A$2:$FZ$601,239,Sync!$D$13)),0)&gt;0,IFERROR(INDEX(Clay_Brands!$A$2:$FZ$601,239,Sync!$D$5)&amp;"","")&lt;&gt;"",OR(LEFT(IFERROR(INDEX(Clay_Brands!$A$2:$FZ$601,239,Sync!$D$5)&amp;"",""),6)&lt;&gt;"SAMPLE",Config!$B$19="Y")),IFERROR(N(INDEX(Clay_Brands!$A$2:$FZ$601,239,Sync!$D$13)),0),"")</f>
        <v/>
      </c>
      <c r="C4890" s="23" t="str">
        <f aca="false">IF(B4890="","","brand")</f>
        <v/>
      </c>
      <c r="D4890" s="23" t="str">
        <f aca="false">IF(B4890="","",IFERROR(INDEX(Brand_Log!$DV$2:$DV$201,MATCH(IFERROR(INDEX(Clay_Brands!$A$2:$FZ$601,239,Sync!$D$5)&amp;"",""),Brand_Log!$A$2:$A$201,0))&amp;"",IFERROR(INDEX(Clay_Brands!$A$2:$FZ$601,239,Sync!$D$5)&amp;"","")&amp;""))</f>
        <v/>
      </c>
      <c r="E4890" s="23" t="str">
        <f aca="false">IF(B4890="","",IFERROR(INDEX(Clay_Brands!$A$2:$FZ$601,239,Sync!$D$6)&amp;"",""))</f>
        <v/>
      </c>
      <c r="F4890" s="23" t="str">
        <f aca="false">IF(B4890="","","outreach_sent")</f>
        <v/>
      </c>
      <c r="G4890" s="23" t="str">
        <f aca="false">IF(B4890="","","")</f>
        <v/>
      </c>
      <c r="H4890" s="23" t="str">
        <f aca="false">IF(B4890="","","")</f>
        <v/>
      </c>
      <c r="I4890" s="23" t="str">
        <f aca="false">IF(B4890="","","")</f>
        <v/>
      </c>
      <c r="J4890" s="23" t="str">
        <f aca="false">IF(B4890="","","touch_3; "&amp;IFERROR(INDEX(Clay_Brands!$A$2:$FZ$601,239,Sync!$D$10)&amp;"","")&amp;"; "&amp;IFERROR(INDEX(Clay_Brands!$A$2:$FZ$601,239,Sync!$D$9)&amp;"",""))</f>
        <v/>
      </c>
      <c r="K4890" s="32" t="s">
        <v>1368</v>
      </c>
    </row>
    <row r="4891" customFormat="false" ht="15" hidden="false" customHeight="false" outlineLevel="0" collapsed="false">
      <c r="A4891" s="23" t="str">
        <f aca="false">IF(B4891="","",B4891+(17*1000+240)/10000000)</f>
        <v/>
      </c>
      <c r="B4891" s="35" t="str">
        <f aca="false">IF(AND(IFERROR(N(INDEX(Clay_Brands!$A$2:$FZ$601,240,Sync!$D$13)),0)&gt;0,IFERROR(INDEX(Clay_Brands!$A$2:$FZ$601,240,Sync!$D$5)&amp;"","")&lt;&gt;"",OR(LEFT(IFERROR(INDEX(Clay_Brands!$A$2:$FZ$601,240,Sync!$D$5)&amp;"",""),6)&lt;&gt;"SAMPLE",Config!$B$19="Y")),IFERROR(N(INDEX(Clay_Brands!$A$2:$FZ$601,240,Sync!$D$13)),0),"")</f>
        <v/>
      </c>
      <c r="C4891" s="23" t="str">
        <f aca="false">IF(B4891="","","brand")</f>
        <v/>
      </c>
      <c r="D4891" s="23" t="str">
        <f aca="false">IF(B4891="","",IFERROR(INDEX(Brand_Log!$DV$2:$DV$201,MATCH(IFERROR(INDEX(Clay_Brands!$A$2:$FZ$601,240,Sync!$D$5)&amp;"",""),Brand_Log!$A$2:$A$201,0))&amp;"",IFERROR(INDEX(Clay_Brands!$A$2:$FZ$601,240,Sync!$D$5)&amp;"","")&amp;""))</f>
        <v/>
      </c>
      <c r="E4891" s="23" t="str">
        <f aca="false">IF(B4891="","",IFERROR(INDEX(Clay_Brands!$A$2:$FZ$601,240,Sync!$D$6)&amp;"",""))</f>
        <v/>
      </c>
      <c r="F4891" s="23" t="str">
        <f aca="false">IF(B4891="","","outreach_sent")</f>
        <v/>
      </c>
      <c r="G4891" s="23" t="str">
        <f aca="false">IF(B4891="","","")</f>
        <v/>
      </c>
      <c r="H4891" s="23" t="str">
        <f aca="false">IF(B4891="","","")</f>
        <v/>
      </c>
      <c r="I4891" s="23" t="str">
        <f aca="false">IF(B4891="","","")</f>
        <v/>
      </c>
      <c r="J4891" s="23" t="str">
        <f aca="false">IF(B4891="","","touch_3; "&amp;IFERROR(INDEX(Clay_Brands!$A$2:$FZ$601,240,Sync!$D$10)&amp;"","")&amp;"; "&amp;IFERROR(INDEX(Clay_Brands!$A$2:$FZ$601,240,Sync!$D$9)&amp;"",""))</f>
        <v/>
      </c>
      <c r="K4891" s="32" t="s">
        <v>1368</v>
      </c>
    </row>
    <row r="4892" customFormat="false" ht="15" hidden="false" customHeight="false" outlineLevel="0" collapsed="false">
      <c r="A4892" s="23" t="str">
        <f aca="false">IF(B4892="","",B4892+(17*1000+241)/10000000)</f>
        <v/>
      </c>
      <c r="B4892" s="35" t="str">
        <f aca="false">IF(AND(IFERROR(N(INDEX(Clay_Brands!$A$2:$FZ$601,241,Sync!$D$13)),0)&gt;0,IFERROR(INDEX(Clay_Brands!$A$2:$FZ$601,241,Sync!$D$5)&amp;"","")&lt;&gt;"",OR(LEFT(IFERROR(INDEX(Clay_Brands!$A$2:$FZ$601,241,Sync!$D$5)&amp;"",""),6)&lt;&gt;"SAMPLE",Config!$B$19="Y")),IFERROR(N(INDEX(Clay_Brands!$A$2:$FZ$601,241,Sync!$D$13)),0),"")</f>
        <v/>
      </c>
      <c r="C4892" s="23" t="str">
        <f aca="false">IF(B4892="","","brand")</f>
        <v/>
      </c>
      <c r="D4892" s="23" t="str">
        <f aca="false">IF(B4892="","",IFERROR(INDEX(Brand_Log!$DV$2:$DV$201,MATCH(IFERROR(INDEX(Clay_Brands!$A$2:$FZ$601,241,Sync!$D$5)&amp;"",""),Brand_Log!$A$2:$A$201,0))&amp;"",IFERROR(INDEX(Clay_Brands!$A$2:$FZ$601,241,Sync!$D$5)&amp;"","")&amp;""))</f>
        <v/>
      </c>
      <c r="E4892" s="23" t="str">
        <f aca="false">IF(B4892="","",IFERROR(INDEX(Clay_Brands!$A$2:$FZ$601,241,Sync!$D$6)&amp;"",""))</f>
        <v/>
      </c>
      <c r="F4892" s="23" t="str">
        <f aca="false">IF(B4892="","","outreach_sent")</f>
        <v/>
      </c>
      <c r="G4892" s="23" t="str">
        <f aca="false">IF(B4892="","","")</f>
        <v/>
      </c>
      <c r="H4892" s="23" t="str">
        <f aca="false">IF(B4892="","","")</f>
        <v/>
      </c>
      <c r="I4892" s="23" t="str">
        <f aca="false">IF(B4892="","","")</f>
        <v/>
      </c>
      <c r="J4892" s="23" t="str">
        <f aca="false">IF(B4892="","","touch_3; "&amp;IFERROR(INDEX(Clay_Brands!$A$2:$FZ$601,241,Sync!$D$10)&amp;"","")&amp;"; "&amp;IFERROR(INDEX(Clay_Brands!$A$2:$FZ$601,241,Sync!$D$9)&amp;"",""))</f>
        <v/>
      </c>
      <c r="K4892" s="32" t="s">
        <v>1368</v>
      </c>
    </row>
    <row r="4893" customFormat="false" ht="15" hidden="false" customHeight="false" outlineLevel="0" collapsed="false">
      <c r="A4893" s="23" t="str">
        <f aca="false">IF(B4893="","",B4893+(17*1000+242)/10000000)</f>
        <v/>
      </c>
      <c r="B4893" s="35" t="str">
        <f aca="false">IF(AND(IFERROR(N(INDEX(Clay_Brands!$A$2:$FZ$601,242,Sync!$D$13)),0)&gt;0,IFERROR(INDEX(Clay_Brands!$A$2:$FZ$601,242,Sync!$D$5)&amp;"","")&lt;&gt;"",OR(LEFT(IFERROR(INDEX(Clay_Brands!$A$2:$FZ$601,242,Sync!$D$5)&amp;"",""),6)&lt;&gt;"SAMPLE",Config!$B$19="Y")),IFERROR(N(INDEX(Clay_Brands!$A$2:$FZ$601,242,Sync!$D$13)),0),"")</f>
        <v/>
      </c>
      <c r="C4893" s="23" t="str">
        <f aca="false">IF(B4893="","","brand")</f>
        <v/>
      </c>
      <c r="D4893" s="23" t="str">
        <f aca="false">IF(B4893="","",IFERROR(INDEX(Brand_Log!$DV$2:$DV$201,MATCH(IFERROR(INDEX(Clay_Brands!$A$2:$FZ$601,242,Sync!$D$5)&amp;"",""),Brand_Log!$A$2:$A$201,0))&amp;"",IFERROR(INDEX(Clay_Brands!$A$2:$FZ$601,242,Sync!$D$5)&amp;"","")&amp;""))</f>
        <v/>
      </c>
      <c r="E4893" s="23" t="str">
        <f aca="false">IF(B4893="","",IFERROR(INDEX(Clay_Brands!$A$2:$FZ$601,242,Sync!$D$6)&amp;"",""))</f>
        <v/>
      </c>
      <c r="F4893" s="23" t="str">
        <f aca="false">IF(B4893="","","outreach_sent")</f>
        <v/>
      </c>
      <c r="G4893" s="23" t="str">
        <f aca="false">IF(B4893="","","")</f>
        <v/>
      </c>
      <c r="H4893" s="23" t="str">
        <f aca="false">IF(B4893="","","")</f>
        <v/>
      </c>
      <c r="I4893" s="23" t="str">
        <f aca="false">IF(B4893="","","")</f>
        <v/>
      </c>
      <c r="J4893" s="23" t="str">
        <f aca="false">IF(B4893="","","touch_3; "&amp;IFERROR(INDEX(Clay_Brands!$A$2:$FZ$601,242,Sync!$D$10)&amp;"","")&amp;"; "&amp;IFERROR(INDEX(Clay_Brands!$A$2:$FZ$601,242,Sync!$D$9)&amp;"",""))</f>
        <v/>
      </c>
      <c r="K4893" s="32" t="s">
        <v>1368</v>
      </c>
    </row>
    <row r="4894" customFormat="false" ht="15" hidden="false" customHeight="false" outlineLevel="0" collapsed="false">
      <c r="A4894" s="23" t="str">
        <f aca="false">IF(B4894="","",B4894+(17*1000+243)/10000000)</f>
        <v/>
      </c>
      <c r="B4894" s="35" t="str">
        <f aca="false">IF(AND(IFERROR(N(INDEX(Clay_Brands!$A$2:$FZ$601,243,Sync!$D$13)),0)&gt;0,IFERROR(INDEX(Clay_Brands!$A$2:$FZ$601,243,Sync!$D$5)&amp;"","")&lt;&gt;"",OR(LEFT(IFERROR(INDEX(Clay_Brands!$A$2:$FZ$601,243,Sync!$D$5)&amp;"",""),6)&lt;&gt;"SAMPLE",Config!$B$19="Y")),IFERROR(N(INDEX(Clay_Brands!$A$2:$FZ$601,243,Sync!$D$13)),0),"")</f>
        <v/>
      </c>
      <c r="C4894" s="23" t="str">
        <f aca="false">IF(B4894="","","brand")</f>
        <v/>
      </c>
      <c r="D4894" s="23" t="str">
        <f aca="false">IF(B4894="","",IFERROR(INDEX(Brand_Log!$DV$2:$DV$201,MATCH(IFERROR(INDEX(Clay_Brands!$A$2:$FZ$601,243,Sync!$D$5)&amp;"",""),Brand_Log!$A$2:$A$201,0))&amp;"",IFERROR(INDEX(Clay_Brands!$A$2:$FZ$601,243,Sync!$D$5)&amp;"","")&amp;""))</f>
        <v/>
      </c>
      <c r="E4894" s="23" t="str">
        <f aca="false">IF(B4894="","",IFERROR(INDEX(Clay_Brands!$A$2:$FZ$601,243,Sync!$D$6)&amp;"",""))</f>
        <v/>
      </c>
      <c r="F4894" s="23" t="str">
        <f aca="false">IF(B4894="","","outreach_sent")</f>
        <v/>
      </c>
      <c r="G4894" s="23" t="str">
        <f aca="false">IF(B4894="","","")</f>
        <v/>
      </c>
      <c r="H4894" s="23" t="str">
        <f aca="false">IF(B4894="","","")</f>
        <v/>
      </c>
      <c r="I4894" s="23" t="str">
        <f aca="false">IF(B4894="","","")</f>
        <v/>
      </c>
      <c r="J4894" s="23" t="str">
        <f aca="false">IF(B4894="","","touch_3; "&amp;IFERROR(INDEX(Clay_Brands!$A$2:$FZ$601,243,Sync!$D$10)&amp;"","")&amp;"; "&amp;IFERROR(INDEX(Clay_Brands!$A$2:$FZ$601,243,Sync!$D$9)&amp;"",""))</f>
        <v/>
      </c>
      <c r="K4894" s="32" t="s">
        <v>1368</v>
      </c>
    </row>
    <row r="4895" customFormat="false" ht="15" hidden="false" customHeight="false" outlineLevel="0" collapsed="false">
      <c r="A4895" s="23" t="str">
        <f aca="false">IF(B4895="","",B4895+(17*1000+244)/10000000)</f>
        <v/>
      </c>
      <c r="B4895" s="35" t="str">
        <f aca="false">IF(AND(IFERROR(N(INDEX(Clay_Brands!$A$2:$FZ$601,244,Sync!$D$13)),0)&gt;0,IFERROR(INDEX(Clay_Brands!$A$2:$FZ$601,244,Sync!$D$5)&amp;"","")&lt;&gt;"",OR(LEFT(IFERROR(INDEX(Clay_Brands!$A$2:$FZ$601,244,Sync!$D$5)&amp;"",""),6)&lt;&gt;"SAMPLE",Config!$B$19="Y")),IFERROR(N(INDEX(Clay_Brands!$A$2:$FZ$601,244,Sync!$D$13)),0),"")</f>
        <v/>
      </c>
      <c r="C4895" s="23" t="str">
        <f aca="false">IF(B4895="","","brand")</f>
        <v/>
      </c>
      <c r="D4895" s="23" t="str">
        <f aca="false">IF(B4895="","",IFERROR(INDEX(Brand_Log!$DV$2:$DV$201,MATCH(IFERROR(INDEX(Clay_Brands!$A$2:$FZ$601,244,Sync!$D$5)&amp;"",""),Brand_Log!$A$2:$A$201,0))&amp;"",IFERROR(INDEX(Clay_Brands!$A$2:$FZ$601,244,Sync!$D$5)&amp;"","")&amp;""))</f>
        <v/>
      </c>
      <c r="E4895" s="23" t="str">
        <f aca="false">IF(B4895="","",IFERROR(INDEX(Clay_Brands!$A$2:$FZ$601,244,Sync!$D$6)&amp;"",""))</f>
        <v/>
      </c>
      <c r="F4895" s="23" t="str">
        <f aca="false">IF(B4895="","","outreach_sent")</f>
        <v/>
      </c>
      <c r="G4895" s="23" t="str">
        <f aca="false">IF(B4895="","","")</f>
        <v/>
      </c>
      <c r="H4895" s="23" t="str">
        <f aca="false">IF(B4895="","","")</f>
        <v/>
      </c>
      <c r="I4895" s="23" t="str">
        <f aca="false">IF(B4895="","","")</f>
        <v/>
      </c>
      <c r="J4895" s="23" t="str">
        <f aca="false">IF(B4895="","","touch_3; "&amp;IFERROR(INDEX(Clay_Brands!$A$2:$FZ$601,244,Sync!$D$10)&amp;"","")&amp;"; "&amp;IFERROR(INDEX(Clay_Brands!$A$2:$FZ$601,244,Sync!$D$9)&amp;"",""))</f>
        <v/>
      </c>
      <c r="K4895" s="32" t="s">
        <v>1368</v>
      </c>
    </row>
    <row r="4896" customFormat="false" ht="15" hidden="false" customHeight="false" outlineLevel="0" collapsed="false">
      <c r="A4896" s="23" t="str">
        <f aca="false">IF(B4896="","",B4896+(17*1000+245)/10000000)</f>
        <v/>
      </c>
      <c r="B4896" s="35" t="str">
        <f aca="false">IF(AND(IFERROR(N(INDEX(Clay_Brands!$A$2:$FZ$601,245,Sync!$D$13)),0)&gt;0,IFERROR(INDEX(Clay_Brands!$A$2:$FZ$601,245,Sync!$D$5)&amp;"","")&lt;&gt;"",OR(LEFT(IFERROR(INDEX(Clay_Brands!$A$2:$FZ$601,245,Sync!$D$5)&amp;"",""),6)&lt;&gt;"SAMPLE",Config!$B$19="Y")),IFERROR(N(INDEX(Clay_Brands!$A$2:$FZ$601,245,Sync!$D$13)),0),"")</f>
        <v/>
      </c>
      <c r="C4896" s="23" t="str">
        <f aca="false">IF(B4896="","","brand")</f>
        <v/>
      </c>
      <c r="D4896" s="23" t="str">
        <f aca="false">IF(B4896="","",IFERROR(INDEX(Brand_Log!$DV$2:$DV$201,MATCH(IFERROR(INDEX(Clay_Brands!$A$2:$FZ$601,245,Sync!$D$5)&amp;"",""),Brand_Log!$A$2:$A$201,0))&amp;"",IFERROR(INDEX(Clay_Brands!$A$2:$FZ$601,245,Sync!$D$5)&amp;"","")&amp;""))</f>
        <v/>
      </c>
      <c r="E4896" s="23" t="str">
        <f aca="false">IF(B4896="","",IFERROR(INDEX(Clay_Brands!$A$2:$FZ$601,245,Sync!$D$6)&amp;"",""))</f>
        <v/>
      </c>
      <c r="F4896" s="23" t="str">
        <f aca="false">IF(B4896="","","outreach_sent")</f>
        <v/>
      </c>
      <c r="G4896" s="23" t="str">
        <f aca="false">IF(B4896="","","")</f>
        <v/>
      </c>
      <c r="H4896" s="23" t="str">
        <f aca="false">IF(B4896="","","")</f>
        <v/>
      </c>
      <c r="I4896" s="23" t="str">
        <f aca="false">IF(B4896="","","")</f>
        <v/>
      </c>
      <c r="J4896" s="23" t="str">
        <f aca="false">IF(B4896="","","touch_3; "&amp;IFERROR(INDEX(Clay_Brands!$A$2:$FZ$601,245,Sync!$D$10)&amp;"","")&amp;"; "&amp;IFERROR(INDEX(Clay_Brands!$A$2:$FZ$601,245,Sync!$D$9)&amp;"",""))</f>
        <v/>
      </c>
      <c r="K4896" s="32" t="s">
        <v>1368</v>
      </c>
    </row>
    <row r="4897" customFormat="false" ht="15" hidden="false" customHeight="false" outlineLevel="0" collapsed="false">
      <c r="A4897" s="23" t="str">
        <f aca="false">IF(B4897="","",B4897+(17*1000+246)/10000000)</f>
        <v/>
      </c>
      <c r="B4897" s="35" t="str">
        <f aca="false">IF(AND(IFERROR(N(INDEX(Clay_Brands!$A$2:$FZ$601,246,Sync!$D$13)),0)&gt;0,IFERROR(INDEX(Clay_Brands!$A$2:$FZ$601,246,Sync!$D$5)&amp;"","")&lt;&gt;"",OR(LEFT(IFERROR(INDEX(Clay_Brands!$A$2:$FZ$601,246,Sync!$D$5)&amp;"",""),6)&lt;&gt;"SAMPLE",Config!$B$19="Y")),IFERROR(N(INDEX(Clay_Brands!$A$2:$FZ$601,246,Sync!$D$13)),0),"")</f>
        <v/>
      </c>
      <c r="C4897" s="23" t="str">
        <f aca="false">IF(B4897="","","brand")</f>
        <v/>
      </c>
      <c r="D4897" s="23" t="str">
        <f aca="false">IF(B4897="","",IFERROR(INDEX(Brand_Log!$DV$2:$DV$201,MATCH(IFERROR(INDEX(Clay_Brands!$A$2:$FZ$601,246,Sync!$D$5)&amp;"",""),Brand_Log!$A$2:$A$201,0))&amp;"",IFERROR(INDEX(Clay_Brands!$A$2:$FZ$601,246,Sync!$D$5)&amp;"","")&amp;""))</f>
        <v/>
      </c>
      <c r="E4897" s="23" t="str">
        <f aca="false">IF(B4897="","",IFERROR(INDEX(Clay_Brands!$A$2:$FZ$601,246,Sync!$D$6)&amp;"",""))</f>
        <v/>
      </c>
      <c r="F4897" s="23" t="str">
        <f aca="false">IF(B4897="","","outreach_sent")</f>
        <v/>
      </c>
      <c r="G4897" s="23" t="str">
        <f aca="false">IF(B4897="","","")</f>
        <v/>
      </c>
      <c r="H4897" s="23" t="str">
        <f aca="false">IF(B4897="","","")</f>
        <v/>
      </c>
      <c r="I4897" s="23" t="str">
        <f aca="false">IF(B4897="","","")</f>
        <v/>
      </c>
      <c r="J4897" s="23" t="str">
        <f aca="false">IF(B4897="","","touch_3; "&amp;IFERROR(INDEX(Clay_Brands!$A$2:$FZ$601,246,Sync!$D$10)&amp;"","")&amp;"; "&amp;IFERROR(INDEX(Clay_Brands!$A$2:$FZ$601,246,Sync!$D$9)&amp;"",""))</f>
        <v/>
      </c>
      <c r="K4897" s="32" t="s">
        <v>1368</v>
      </c>
    </row>
    <row r="4898" customFormat="false" ht="15" hidden="false" customHeight="false" outlineLevel="0" collapsed="false">
      <c r="A4898" s="23" t="str">
        <f aca="false">IF(B4898="","",B4898+(17*1000+247)/10000000)</f>
        <v/>
      </c>
      <c r="B4898" s="35" t="str">
        <f aca="false">IF(AND(IFERROR(N(INDEX(Clay_Brands!$A$2:$FZ$601,247,Sync!$D$13)),0)&gt;0,IFERROR(INDEX(Clay_Brands!$A$2:$FZ$601,247,Sync!$D$5)&amp;"","")&lt;&gt;"",OR(LEFT(IFERROR(INDEX(Clay_Brands!$A$2:$FZ$601,247,Sync!$D$5)&amp;"",""),6)&lt;&gt;"SAMPLE",Config!$B$19="Y")),IFERROR(N(INDEX(Clay_Brands!$A$2:$FZ$601,247,Sync!$D$13)),0),"")</f>
        <v/>
      </c>
      <c r="C4898" s="23" t="str">
        <f aca="false">IF(B4898="","","brand")</f>
        <v/>
      </c>
      <c r="D4898" s="23" t="str">
        <f aca="false">IF(B4898="","",IFERROR(INDEX(Brand_Log!$DV$2:$DV$201,MATCH(IFERROR(INDEX(Clay_Brands!$A$2:$FZ$601,247,Sync!$D$5)&amp;"",""),Brand_Log!$A$2:$A$201,0))&amp;"",IFERROR(INDEX(Clay_Brands!$A$2:$FZ$601,247,Sync!$D$5)&amp;"","")&amp;""))</f>
        <v/>
      </c>
      <c r="E4898" s="23" t="str">
        <f aca="false">IF(B4898="","",IFERROR(INDEX(Clay_Brands!$A$2:$FZ$601,247,Sync!$D$6)&amp;"",""))</f>
        <v/>
      </c>
      <c r="F4898" s="23" t="str">
        <f aca="false">IF(B4898="","","outreach_sent")</f>
        <v/>
      </c>
      <c r="G4898" s="23" t="str">
        <f aca="false">IF(B4898="","","")</f>
        <v/>
      </c>
      <c r="H4898" s="23" t="str">
        <f aca="false">IF(B4898="","","")</f>
        <v/>
      </c>
      <c r="I4898" s="23" t="str">
        <f aca="false">IF(B4898="","","")</f>
        <v/>
      </c>
      <c r="J4898" s="23" t="str">
        <f aca="false">IF(B4898="","","touch_3; "&amp;IFERROR(INDEX(Clay_Brands!$A$2:$FZ$601,247,Sync!$D$10)&amp;"","")&amp;"; "&amp;IFERROR(INDEX(Clay_Brands!$A$2:$FZ$601,247,Sync!$D$9)&amp;"",""))</f>
        <v/>
      </c>
      <c r="K4898" s="32" t="s">
        <v>1368</v>
      </c>
    </row>
    <row r="4899" customFormat="false" ht="15" hidden="false" customHeight="false" outlineLevel="0" collapsed="false">
      <c r="A4899" s="23" t="str">
        <f aca="false">IF(B4899="","",B4899+(17*1000+248)/10000000)</f>
        <v/>
      </c>
      <c r="B4899" s="35" t="str">
        <f aca="false">IF(AND(IFERROR(N(INDEX(Clay_Brands!$A$2:$FZ$601,248,Sync!$D$13)),0)&gt;0,IFERROR(INDEX(Clay_Brands!$A$2:$FZ$601,248,Sync!$D$5)&amp;"","")&lt;&gt;"",OR(LEFT(IFERROR(INDEX(Clay_Brands!$A$2:$FZ$601,248,Sync!$D$5)&amp;"",""),6)&lt;&gt;"SAMPLE",Config!$B$19="Y")),IFERROR(N(INDEX(Clay_Brands!$A$2:$FZ$601,248,Sync!$D$13)),0),"")</f>
        <v/>
      </c>
      <c r="C4899" s="23" t="str">
        <f aca="false">IF(B4899="","","brand")</f>
        <v/>
      </c>
      <c r="D4899" s="23" t="str">
        <f aca="false">IF(B4899="","",IFERROR(INDEX(Brand_Log!$DV$2:$DV$201,MATCH(IFERROR(INDEX(Clay_Brands!$A$2:$FZ$601,248,Sync!$D$5)&amp;"",""),Brand_Log!$A$2:$A$201,0))&amp;"",IFERROR(INDEX(Clay_Brands!$A$2:$FZ$601,248,Sync!$D$5)&amp;"","")&amp;""))</f>
        <v/>
      </c>
      <c r="E4899" s="23" t="str">
        <f aca="false">IF(B4899="","",IFERROR(INDEX(Clay_Brands!$A$2:$FZ$601,248,Sync!$D$6)&amp;"",""))</f>
        <v/>
      </c>
      <c r="F4899" s="23" t="str">
        <f aca="false">IF(B4899="","","outreach_sent")</f>
        <v/>
      </c>
      <c r="G4899" s="23" t="str">
        <f aca="false">IF(B4899="","","")</f>
        <v/>
      </c>
      <c r="H4899" s="23" t="str">
        <f aca="false">IF(B4899="","","")</f>
        <v/>
      </c>
      <c r="I4899" s="23" t="str">
        <f aca="false">IF(B4899="","","")</f>
        <v/>
      </c>
      <c r="J4899" s="23" t="str">
        <f aca="false">IF(B4899="","","touch_3; "&amp;IFERROR(INDEX(Clay_Brands!$A$2:$FZ$601,248,Sync!$D$10)&amp;"","")&amp;"; "&amp;IFERROR(INDEX(Clay_Brands!$A$2:$FZ$601,248,Sync!$D$9)&amp;"",""))</f>
        <v/>
      </c>
      <c r="K4899" s="32" t="s">
        <v>1368</v>
      </c>
    </row>
    <row r="4900" customFormat="false" ht="15" hidden="false" customHeight="false" outlineLevel="0" collapsed="false">
      <c r="A4900" s="23" t="str">
        <f aca="false">IF(B4900="","",B4900+(17*1000+249)/10000000)</f>
        <v/>
      </c>
      <c r="B4900" s="35" t="str">
        <f aca="false">IF(AND(IFERROR(N(INDEX(Clay_Brands!$A$2:$FZ$601,249,Sync!$D$13)),0)&gt;0,IFERROR(INDEX(Clay_Brands!$A$2:$FZ$601,249,Sync!$D$5)&amp;"","")&lt;&gt;"",OR(LEFT(IFERROR(INDEX(Clay_Brands!$A$2:$FZ$601,249,Sync!$D$5)&amp;"",""),6)&lt;&gt;"SAMPLE",Config!$B$19="Y")),IFERROR(N(INDEX(Clay_Brands!$A$2:$FZ$601,249,Sync!$D$13)),0),"")</f>
        <v/>
      </c>
      <c r="C4900" s="23" t="str">
        <f aca="false">IF(B4900="","","brand")</f>
        <v/>
      </c>
      <c r="D4900" s="23" t="str">
        <f aca="false">IF(B4900="","",IFERROR(INDEX(Brand_Log!$DV$2:$DV$201,MATCH(IFERROR(INDEX(Clay_Brands!$A$2:$FZ$601,249,Sync!$D$5)&amp;"",""),Brand_Log!$A$2:$A$201,0))&amp;"",IFERROR(INDEX(Clay_Brands!$A$2:$FZ$601,249,Sync!$D$5)&amp;"","")&amp;""))</f>
        <v/>
      </c>
      <c r="E4900" s="23" t="str">
        <f aca="false">IF(B4900="","",IFERROR(INDEX(Clay_Brands!$A$2:$FZ$601,249,Sync!$D$6)&amp;"",""))</f>
        <v/>
      </c>
      <c r="F4900" s="23" t="str">
        <f aca="false">IF(B4900="","","outreach_sent")</f>
        <v/>
      </c>
      <c r="G4900" s="23" t="str">
        <f aca="false">IF(B4900="","","")</f>
        <v/>
      </c>
      <c r="H4900" s="23" t="str">
        <f aca="false">IF(B4900="","","")</f>
        <v/>
      </c>
      <c r="I4900" s="23" t="str">
        <f aca="false">IF(B4900="","","")</f>
        <v/>
      </c>
      <c r="J4900" s="23" t="str">
        <f aca="false">IF(B4900="","","touch_3; "&amp;IFERROR(INDEX(Clay_Brands!$A$2:$FZ$601,249,Sync!$D$10)&amp;"","")&amp;"; "&amp;IFERROR(INDEX(Clay_Brands!$A$2:$FZ$601,249,Sync!$D$9)&amp;"",""))</f>
        <v/>
      </c>
      <c r="K4900" s="32" t="s">
        <v>1368</v>
      </c>
    </row>
    <row r="4901" customFormat="false" ht="15" hidden="false" customHeight="false" outlineLevel="0" collapsed="false">
      <c r="A4901" s="23" t="str">
        <f aca="false">IF(B4901="","",B4901+(17*1000+250)/10000000)</f>
        <v/>
      </c>
      <c r="B4901" s="35" t="str">
        <f aca="false">IF(AND(IFERROR(N(INDEX(Clay_Brands!$A$2:$FZ$601,250,Sync!$D$13)),0)&gt;0,IFERROR(INDEX(Clay_Brands!$A$2:$FZ$601,250,Sync!$D$5)&amp;"","")&lt;&gt;"",OR(LEFT(IFERROR(INDEX(Clay_Brands!$A$2:$FZ$601,250,Sync!$D$5)&amp;"",""),6)&lt;&gt;"SAMPLE",Config!$B$19="Y")),IFERROR(N(INDEX(Clay_Brands!$A$2:$FZ$601,250,Sync!$D$13)),0),"")</f>
        <v/>
      </c>
      <c r="C4901" s="23" t="str">
        <f aca="false">IF(B4901="","","brand")</f>
        <v/>
      </c>
      <c r="D4901" s="23" t="str">
        <f aca="false">IF(B4901="","",IFERROR(INDEX(Brand_Log!$DV$2:$DV$201,MATCH(IFERROR(INDEX(Clay_Brands!$A$2:$FZ$601,250,Sync!$D$5)&amp;"",""),Brand_Log!$A$2:$A$201,0))&amp;"",IFERROR(INDEX(Clay_Brands!$A$2:$FZ$601,250,Sync!$D$5)&amp;"","")&amp;""))</f>
        <v/>
      </c>
      <c r="E4901" s="23" t="str">
        <f aca="false">IF(B4901="","",IFERROR(INDEX(Clay_Brands!$A$2:$FZ$601,250,Sync!$D$6)&amp;"",""))</f>
        <v/>
      </c>
      <c r="F4901" s="23" t="str">
        <f aca="false">IF(B4901="","","outreach_sent")</f>
        <v/>
      </c>
      <c r="G4901" s="23" t="str">
        <f aca="false">IF(B4901="","","")</f>
        <v/>
      </c>
      <c r="H4901" s="23" t="str">
        <f aca="false">IF(B4901="","","")</f>
        <v/>
      </c>
      <c r="I4901" s="23" t="str">
        <f aca="false">IF(B4901="","","")</f>
        <v/>
      </c>
      <c r="J4901" s="23" t="str">
        <f aca="false">IF(B4901="","","touch_3; "&amp;IFERROR(INDEX(Clay_Brands!$A$2:$FZ$601,250,Sync!$D$10)&amp;"","")&amp;"; "&amp;IFERROR(INDEX(Clay_Brands!$A$2:$FZ$601,250,Sync!$D$9)&amp;"",""))</f>
        <v/>
      </c>
      <c r="K4901" s="32" t="s">
        <v>1368</v>
      </c>
    </row>
    <row r="4902" customFormat="false" ht="15" hidden="false" customHeight="false" outlineLevel="0" collapsed="false">
      <c r="A4902" s="23" t="str">
        <f aca="false">IF(B4902="","",B4902+(17*1000+251)/10000000)</f>
        <v/>
      </c>
      <c r="B4902" s="35" t="str">
        <f aca="false">IF(AND(IFERROR(N(INDEX(Clay_Brands!$A$2:$FZ$601,251,Sync!$D$13)),0)&gt;0,IFERROR(INDEX(Clay_Brands!$A$2:$FZ$601,251,Sync!$D$5)&amp;"","")&lt;&gt;"",OR(LEFT(IFERROR(INDEX(Clay_Brands!$A$2:$FZ$601,251,Sync!$D$5)&amp;"",""),6)&lt;&gt;"SAMPLE",Config!$B$19="Y")),IFERROR(N(INDEX(Clay_Brands!$A$2:$FZ$601,251,Sync!$D$13)),0),"")</f>
        <v/>
      </c>
      <c r="C4902" s="23" t="str">
        <f aca="false">IF(B4902="","","brand")</f>
        <v/>
      </c>
      <c r="D4902" s="23" t="str">
        <f aca="false">IF(B4902="","",IFERROR(INDEX(Brand_Log!$DV$2:$DV$201,MATCH(IFERROR(INDEX(Clay_Brands!$A$2:$FZ$601,251,Sync!$D$5)&amp;"",""),Brand_Log!$A$2:$A$201,0))&amp;"",IFERROR(INDEX(Clay_Brands!$A$2:$FZ$601,251,Sync!$D$5)&amp;"","")&amp;""))</f>
        <v/>
      </c>
      <c r="E4902" s="23" t="str">
        <f aca="false">IF(B4902="","",IFERROR(INDEX(Clay_Brands!$A$2:$FZ$601,251,Sync!$D$6)&amp;"",""))</f>
        <v/>
      </c>
      <c r="F4902" s="23" t="str">
        <f aca="false">IF(B4902="","","outreach_sent")</f>
        <v/>
      </c>
      <c r="G4902" s="23" t="str">
        <f aca="false">IF(B4902="","","")</f>
        <v/>
      </c>
      <c r="H4902" s="23" t="str">
        <f aca="false">IF(B4902="","","")</f>
        <v/>
      </c>
      <c r="I4902" s="23" t="str">
        <f aca="false">IF(B4902="","","")</f>
        <v/>
      </c>
      <c r="J4902" s="23" t="str">
        <f aca="false">IF(B4902="","","touch_3; "&amp;IFERROR(INDEX(Clay_Brands!$A$2:$FZ$601,251,Sync!$D$10)&amp;"","")&amp;"; "&amp;IFERROR(INDEX(Clay_Brands!$A$2:$FZ$601,251,Sync!$D$9)&amp;"",""))</f>
        <v/>
      </c>
      <c r="K4902" s="32" t="s">
        <v>1368</v>
      </c>
    </row>
    <row r="4903" customFormat="false" ht="15" hidden="false" customHeight="false" outlineLevel="0" collapsed="false">
      <c r="A4903" s="23" t="str">
        <f aca="false">IF(B4903="","",B4903+(17*1000+252)/10000000)</f>
        <v/>
      </c>
      <c r="B4903" s="35" t="str">
        <f aca="false">IF(AND(IFERROR(N(INDEX(Clay_Brands!$A$2:$FZ$601,252,Sync!$D$13)),0)&gt;0,IFERROR(INDEX(Clay_Brands!$A$2:$FZ$601,252,Sync!$D$5)&amp;"","")&lt;&gt;"",OR(LEFT(IFERROR(INDEX(Clay_Brands!$A$2:$FZ$601,252,Sync!$D$5)&amp;"",""),6)&lt;&gt;"SAMPLE",Config!$B$19="Y")),IFERROR(N(INDEX(Clay_Brands!$A$2:$FZ$601,252,Sync!$D$13)),0),"")</f>
        <v/>
      </c>
      <c r="C4903" s="23" t="str">
        <f aca="false">IF(B4903="","","brand")</f>
        <v/>
      </c>
      <c r="D4903" s="23" t="str">
        <f aca="false">IF(B4903="","",IFERROR(INDEX(Brand_Log!$DV$2:$DV$201,MATCH(IFERROR(INDEX(Clay_Brands!$A$2:$FZ$601,252,Sync!$D$5)&amp;"",""),Brand_Log!$A$2:$A$201,0))&amp;"",IFERROR(INDEX(Clay_Brands!$A$2:$FZ$601,252,Sync!$D$5)&amp;"","")&amp;""))</f>
        <v/>
      </c>
      <c r="E4903" s="23" t="str">
        <f aca="false">IF(B4903="","",IFERROR(INDEX(Clay_Brands!$A$2:$FZ$601,252,Sync!$D$6)&amp;"",""))</f>
        <v/>
      </c>
      <c r="F4903" s="23" t="str">
        <f aca="false">IF(B4903="","","outreach_sent")</f>
        <v/>
      </c>
      <c r="G4903" s="23" t="str">
        <f aca="false">IF(B4903="","","")</f>
        <v/>
      </c>
      <c r="H4903" s="23" t="str">
        <f aca="false">IF(B4903="","","")</f>
        <v/>
      </c>
      <c r="I4903" s="23" t="str">
        <f aca="false">IF(B4903="","","")</f>
        <v/>
      </c>
      <c r="J4903" s="23" t="str">
        <f aca="false">IF(B4903="","","touch_3; "&amp;IFERROR(INDEX(Clay_Brands!$A$2:$FZ$601,252,Sync!$D$10)&amp;"","")&amp;"; "&amp;IFERROR(INDEX(Clay_Brands!$A$2:$FZ$601,252,Sync!$D$9)&amp;"",""))</f>
        <v/>
      </c>
      <c r="K4903" s="32" t="s">
        <v>1368</v>
      </c>
    </row>
    <row r="4904" customFormat="false" ht="15" hidden="false" customHeight="false" outlineLevel="0" collapsed="false">
      <c r="A4904" s="23" t="str">
        <f aca="false">IF(B4904="","",B4904+(17*1000+253)/10000000)</f>
        <v/>
      </c>
      <c r="B4904" s="35" t="str">
        <f aca="false">IF(AND(IFERROR(N(INDEX(Clay_Brands!$A$2:$FZ$601,253,Sync!$D$13)),0)&gt;0,IFERROR(INDEX(Clay_Brands!$A$2:$FZ$601,253,Sync!$D$5)&amp;"","")&lt;&gt;"",OR(LEFT(IFERROR(INDEX(Clay_Brands!$A$2:$FZ$601,253,Sync!$D$5)&amp;"",""),6)&lt;&gt;"SAMPLE",Config!$B$19="Y")),IFERROR(N(INDEX(Clay_Brands!$A$2:$FZ$601,253,Sync!$D$13)),0),"")</f>
        <v/>
      </c>
      <c r="C4904" s="23" t="str">
        <f aca="false">IF(B4904="","","brand")</f>
        <v/>
      </c>
      <c r="D4904" s="23" t="str">
        <f aca="false">IF(B4904="","",IFERROR(INDEX(Brand_Log!$DV$2:$DV$201,MATCH(IFERROR(INDEX(Clay_Brands!$A$2:$FZ$601,253,Sync!$D$5)&amp;"",""),Brand_Log!$A$2:$A$201,0))&amp;"",IFERROR(INDEX(Clay_Brands!$A$2:$FZ$601,253,Sync!$D$5)&amp;"","")&amp;""))</f>
        <v/>
      </c>
      <c r="E4904" s="23" t="str">
        <f aca="false">IF(B4904="","",IFERROR(INDEX(Clay_Brands!$A$2:$FZ$601,253,Sync!$D$6)&amp;"",""))</f>
        <v/>
      </c>
      <c r="F4904" s="23" t="str">
        <f aca="false">IF(B4904="","","outreach_sent")</f>
        <v/>
      </c>
      <c r="G4904" s="23" t="str">
        <f aca="false">IF(B4904="","","")</f>
        <v/>
      </c>
      <c r="H4904" s="23" t="str">
        <f aca="false">IF(B4904="","","")</f>
        <v/>
      </c>
      <c r="I4904" s="23" t="str">
        <f aca="false">IF(B4904="","","")</f>
        <v/>
      </c>
      <c r="J4904" s="23" t="str">
        <f aca="false">IF(B4904="","","touch_3; "&amp;IFERROR(INDEX(Clay_Brands!$A$2:$FZ$601,253,Sync!$D$10)&amp;"","")&amp;"; "&amp;IFERROR(INDEX(Clay_Brands!$A$2:$FZ$601,253,Sync!$D$9)&amp;"",""))</f>
        <v/>
      </c>
      <c r="K4904" s="32" t="s">
        <v>1368</v>
      </c>
    </row>
    <row r="4905" customFormat="false" ht="15" hidden="false" customHeight="false" outlineLevel="0" collapsed="false">
      <c r="A4905" s="23" t="str">
        <f aca="false">IF(B4905="","",B4905+(17*1000+254)/10000000)</f>
        <v/>
      </c>
      <c r="B4905" s="35" t="str">
        <f aca="false">IF(AND(IFERROR(N(INDEX(Clay_Brands!$A$2:$FZ$601,254,Sync!$D$13)),0)&gt;0,IFERROR(INDEX(Clay_Brands!$A$2:$FZ$601,254,Sync!$D$5)&amp;"","")&lt;&gt;"",OR(LEFT(IFERROR(INDEX(Clay_Brands!$A$2:$FZ$601,254,Sync!$D$5)&amp;"",""),6)&lt;&gt;"SAMPLE",Config!$B$19="Y")),IFERROR(N(INDEX(Clay_Brands!$A$2:$FZ$601,254,Sync!$D$13)),0),"")</f>
        <v/>
      </c>
      <c r="C4905" s="23" t="str">
        <f aca="false">IF(B4905="","","brand")</f>
        <v/>
      </c>
      <c r="D4905" s="23" t="str">
        <f aca="false">IF(B4905="","",IFERROR(INDEX(Brand_Log!$DV$2:$DV$201,MATCH(IFERROR(INDEX(Clay_Brands!$A$2:$FZ$601,254,Sync!$D$5)&amp;"",""),Brand_Log!$A$2:$A$201,0))&amp;"",IFERROR(INDEX(Clay_Brands!$A$2:$FZ$601,254,Sync!$D$5)&amp;"","")&amp;""))</f>
        <v/>
      </c>
      <c r="E4905" s="23" t="str">
        <f aca="false">IF(B4905="","",IFERROR(INDEX(Clay_Brands!$A$2:$FZ$601,254,Sync!$D$6)&amp;"",""))</f>
        <v/>
      </c>
      <c r="F4905" s="23" t="str">
        <f aca="false">IF(B4905="","","outreach_sent")</f>
        <v/>
      </c>
      <c r="G4905" s="23" t="str">
        <f aca="false">IF(B4905="","","")</f>
        <v/>
      </c>
      <c r="H4905" s="23" t="str">
        <f aca="false">IF(B4905="","","")</f>
        <v/>
      </c>
      <c r="I4905" s="23" t="str">
        <f aca="false">IF(B4905="","","")</f>
        <v/>
      </c>
      <c r="J4905" s="23" t="str">
        <f aca="false">IF(B4905="","","touch_3; "&amp;IFERROR(INDEX(Clay_Brands!$A$2:$FZ$601,254,Sync!$D$10)&amp;"","")&amp;"; "&amp;IFERROR(INDEX(Clay_Brands!$A$2:$FZ$601,254,Sync!$D$9)&amp;"",""))</f>
        <v/>
      </c>
      <c r="K4905" s="32" t="s">
        <v>1368</v>
      </c>
    </row>
    <row r="4906" customFormat="false" ht="15" hidden="false" customHeight="false" outlineLevel="0" collapsed="false">
      <c r="A4906" s="23" t="str">
        <f aca="false">IF(B4906="","",B4906+(17*1000+255)/10000000)</f>
        <v/>
      </c>
      <c r="B4906" s="35" t="str">
        <f aca="false">IF(AND(IFERROR(N(INDEX(Clay_Brands!$A$2:$FZ$601,255,Sync!$D$13)),0)&gt;0,IFERROR(INDEX(Clay_Brands!$A$2:$FZ$601,255,Sync!$D$5)&amp;"","")&lt;&gt;"",OR(LEFT(IFERROR(INDEX(Clay_Brands!$A$2:$FZ$601,255,Sync!$D$5)&amp;"",""),6)&lt;&gt;"SAMPLE",Config!$B$19="Y")),IFERROR(N(INDEX(Clay_Brands!$A$2:$FZ$601,255,Sync!$D$13)),0),"")</f>
        <v/>
      </c>
      <c r="C4906" s="23" t="str">
        <f aca="false">IF(B4906="","","brand")</f>
        <v/>
      </c>
      <c r="D4906" s="23" t="str">
        <f aca="false">IF(B4906="","",IFERROR(INDEX(Brand_Log!$DV$2:$DV$201,MATCH(IFERROR(INDEX(Clay_Brands!$A$2:$FZ$601,255,Sync!$D$5)&amp;"",""),Brand_Log!$A$2:$A$201,0))&amp;"",IFERROR(INDEX(Clay_Brands!$A$2:$FZ$601,255,Sync!$D$5)&amp;"","")&amp;""))</f>
        <v/>
      </c>
      <c r="E4906" s="23" t="str">
        <f aca="false">IF(B4906="","",IFERROR(INDEX(Clay_Brands!$A$2:$FZ$601,255,Sync!$D$6)&amp;"",""))</f>
        <v/>
      </c>
      <c r="F4906" s="23" t="str">
        <f aca="false">IF(B4906="","","outreach_sent")</f>
        <v/>
      </c>
      <c r="G4906" s="23" t="str">
        <f aca="false">IF(B4906="","","")</f>
        <v/>
      </c>
      <c r="H4906" s="23" t="str">
        <f aca="false">IF(B4906="","","")</f>
        <v/>
      </c>
      <c r="I4906" s="23" t="str">
        <f aca="false">IF(B4906="","","")</f>
        <v/>
      </c>
      <c r="J4906" s="23" t="str">
        <f aca="false">IF(B4906="","","touch_3; "&amp;IFERROR(INDEX(Clay_Brands!$A$2:$FZ$601,255,Sync!$D$10)&amp;"","")&amp;"; "&amp;IFERROR(INDEX(Clay_Brands!$A$2:$FZ$601,255,Sync!$D$9)&amp;"",""))</f>
        <v/>
      </c>
      <c r="K4906" s="32" t="s">
        <v>1368</v>
      </c>
    </row>
    <row r="4907" customFormat="false" ht="15" hidden="false" customHeight="false" outlineLevel="0" collapsed="false">
      <c r="A4907" s="23" t="str">
        <f aca="false">IF(B4907="","",B4907+(17*1000+256)/10000000)</f>
        <v/>
      </c>
      <c r="B4907" s="35" t="str">
        <f aca="false">IF(AND(IFERROR(N(INDEX(Clay_Brands!$A$2:$FZ$601,256,Sync!$D$13)),0)&gt;0,IFERROR(INDEX(Clay_Brands!$A$2:$FZ$601,256,Sync!$D$5)&amp;"","")&lt;&gt;"",OR(LEFT(IFERROR(INDEX(Clay_Brands!$A$2:$FZ$601,256,Sync!$D$5)&amp;"",""),6)&lt;&gt;"SAMPLE",Config!$B$19="Y")),IFERROR(N(INDEX(Clay_Brands!$A$2:$FZ$601,256,Sync!$D$13)),0),"")</f>
        <v/>
      </c>
      <c r="C4907" s="23" t="str">
        <f aca="false">IF(B4907="","","brand")</f>
        <v/>
      </c>
      <c r="D4907" s="23" t="str">
        <f aca="false">IF(B4907="","",IFERROR(INDEX(Brand_Log!$DV$2:$DV$201,MATCH(IFERROR(INDEX(Clay_Brands!$A$2:$FZ$601,256,Sync!$D$5)&amp;"",""),Brand_Log!$A$2:$A$201,0))&amp;"",IFERROR(INDEX(Clay_Brands!$A$2:$FZ$601,256,Sync!$D$5)&amp;"","")&amp;""))</f>
        <v/>
      </c>
      <c r="E4907" s="23" t="str">
        <f aca="false">IF(B4907="","",IFERROR(INDEX(Clay_Brands!$A$2:$FZ$601,256,Sync!$D$6)&amp;"",""))</f>
        <v/>
      </c>
      <c r="F4907" s="23" t="str">
        <f aca="false">IF(B4907="","","outreach_sent")</f>
        <v/>
      </c>
      <c r="G4907" s="23" t="str">
        <f aca="false">IF(B4907="","","")</f>
        <v/>
      </c>
      <c r="H4907" s="23" t="str">
        <f aca="false">IF(B4907="","","")</f>
        <v/>
      </c>
      <c r="I4907" s="23" t="str">
        <f aca="false">IF(B4907="","","")</f>
        <v/>
      </c>
      <c r="J4907" s="23" t="str">
        <f aca="false">IF(B4907="","","touch_3; "&amp;IFERROR(INDEX(Clay_Brands!$A$2:$FZ$601,256,Sync!$D$10)&amp;"","")&amp;"; "&amp;IFERROR(INDEX(Clay_Brands!$A$2:$FZ$601,256,Sync!$D$9)&amp;"",""))</f>
        <v/>
      </c>
      <c r="K4907" s="32" t="s">
        <v>1368</v>
      </c>
    </row>
    <row r="4908" customFormat="false" ht="15" hidden="false" customHeight="false" outlineLevel="0" collapsed="false">
      <c r="A4908" s="23" t="str">
        <f aca="false">IF(B4908="","",B4908+(17*1000+257)/10000000)</f>
        <v/>
      </c>
      <c r="B4908" s="35" t="str">
        <f aca="false">IF(AND(IFERROR(N(INDEX(Clay_Brands!$A$2:$FZ$601,257,Sync!$D$13)),0)&gt;0,IFERROR(INDEX(Clay_Brands!$A$2:$FZ$601,257,Sync!$D$5)&amp;"","")&lt;&gt;"",OR(LEFT(IFERROR(INDEX(Clay_Brands!$A$2:$FZ$601,257,Sync!$D$5)&amp;"",""),6)&lt;&gt;"SAMPLE",Config!$B$19="Y")),IFERROR(N(INDEX(Clay_Brands!$A$2:$FZ$601,257,Sync!$D$13)),0),"")</f>
        <v/>
      </c>
      <c r="C4908" s="23" t="str">
        <f aca="false">IF(B4908="","","brand")</f>
        <v/>
      </c>
      <c r="D4908" s="23" t="str">
        <f aca="false">IF(B4908="","",IFERROR(INDEX(Brand_Log!$DV$2:$DV$201,MATCH(IFERROR(INDEX(Clay_Brands!$A$2:$FZ$601,257,Sync!$D$5)&amp;"",""),Brand_Log!$A$2:$A$201,0))&amp;"",IFERROR(INDEX(Clay_Brands!$A$2:$FZ$601,257,Sync!$D$5)&amp;"","")&amp;""))</f>
        <v/>
      </c>
      <c r="E4908" s="23" t="str">
        <f aca="false">IF(B4908="","",IFERROR(INDEX(Clay_Brands!$A$2:$FZ$601,257,Sync!$D$6)&amp;"",""))</f>
        <v/>
      </c>
      <c r="F4908" s="23" t="str">
        <f aca="false">IF(B4908="","","outreach_sent")</f>
        <v/>
      </c>
      <c r="G4908" s="23" t="str">
        <f aca="false">IF(B4908="","","")</f>
        <v/>
      </c>
      <c r="H4908" s="23" t="str">
        <f aca="false">IF(B4908="","","")</f>
        <v/>
      </c>
      <c r="I4908" s="23" t="str">
        <f aca="false">IF(B4908="","","")</f>
        <v/>
      </c>
      <c r="J4908" s="23" t="str">
        <f aca="false">IF(B4908="","","touch_3; "&amp;IFERROR(INDEX(Clay_Brands!$A$2:$FZ$601,257,Sync!$D$10)&amp;"","")&amp;"; "&amp;IFERROR(INDEX(Clay_Brands!$A$2:$FZ$601,257,Sync!$D$9)&amp;"",""))</f>
        <v/>
      </c>
      <c r="K4908" s="32" t="s">
        <v>1368</v>
      </c>
    </row>
    <row r="4909" customFormat="false" ht="15" hidden="false" customHeight="false" outlineLevel="0" collapsed="false">
      <c r="A4909" s="23" t="str">
        <f aca="false">IF(B4909="","",B4909+(17*1000+258)/10000000)</f>
        <v/>
      </c>
      <c r="B4909" s="35" t="str">
        <f aca="false">IF(AND(IFERROR(N(INDEX(Clay_Brands!$A$2:$FZ$601,258,Sync!$D$13)),0)&gt;0,IFERROR(INDEX(Clay_Brands!$A$2:$FZ$601,258,Sync!$D$5)&amp;"","")&lt;&gt;"",OR(LEFT(IFERROR(INDEX(Clay_Brands!$A$2:$FZ$601,258,Sync!$D$5)&amp;"",""),6)&lt;&gt;"SAMPLE",Config!$B$19="Y")),IFERROR(N(INDEX(Clay_Brands!$A$2:$FZ$601,258,Sync!$D$13)),0),"")</f>
        <v/>
      </c>
      <c r="C4909" s="23" t="str">
        <f aca="false">IF(B4909="","","brand")</f>
        <v/>
      </c>
      <c r="D4909" s="23" t="str">
        <f aca="false">IF(B4909="","",IFERROR(INDEX(Brand_Log!$DV$2:$DV$201,MATCH(IFERROR(INDEX(Clay_Brands!$A$2:$FZ$601,258,Sync!$D$5)&amp;"",""),Brand_Log!$A$2:$A$201,0))&amp;"",IFERROR(INDEX(Clay_Brands!$A$2:$FZ$601,258,Sync!$D$5)&amp;"","")&amp;""))</f>
        <v/>
      </c>
      <c r="E4909" s="23" t="str">
        <f aca="false">IF(B4909="","",IFERROR(INDEX(Clay_Brands!$A$2:$FZ$601,258,Sync!$D$6)&amp;"",""))</f>
        <v/>
      </c>
      <c r="F4909" s="23" t="str">
        <f aca="false">IF(B4909="","","outreach_sent")</f>
        <v/>
      </c>
      <c r="G4909" s="23" t="str">
        <f aca="false">IF(B4909="","","")</f>
        <v/>
      </c>
      <c r="H4909" s="23" t="str">
        <f aca="false">IF(B4909="","","")</f>
        <v/>
      </c>
      <c r="I4909" s="23" t="str">
        <f aca="false">IF(B4909="","","")</f>
        <v/>
      </c>
      <c r="J4909" s="23" t="str">
        <f aca="false">IF(B4909="","","touch_3; "&amp;IFERROR(INDEX(Clay_Brands!$A$2:$FZ$601,258,Sync!$D$10)&amp;"","")&amp;"; "&amp;IFERROR(INDEX(Clay_Brands!$A$2:$FZ$601,258,Sync!$D$9)&amp;"",""))</f>
        <v/>
      </c>
      <c r="K4909" s="32" t="s">
        <v>1368</v>
      </c>
    </row>
    <row r="4910" customFormat="false" ht="15" hidden="false" customHeight="false" outlineLevel="0" collapsed="false">
      <c r="A4910" s="23" t="str">
        <f aca="false">IF(B4910="","",B4910+(17*1000+259)/10000000)</f>
        <v/>
      </c>
      <c r="B4910" s="35" t="str">
        <f aca="false">IF(AND(IFERROR(N(INDEX(Clay_Brands!$A$2:$FZ$601,259,Sync!$D$13)),0)&gt;0,IFERROR(INDEX(Clay_Brands!$A$2:$FZ$601,259,Sync!$D$5)&amp;"","")&lt;&gt;"",OR(LEFT(IFERROR(INDEX(Clay_Brands!$A$2:$FZ$601,259,Sync!$D$5)&amp;"",""),6)&lt;&gt;"SAMPLE",Config!$B$19="Y")),IFERROR(N(INDEX(Clay_Brands!$A$2:$FZ$601,259,Sync!$D$13)),0),"")</f>
        <v/>
      </c>
      <c r="C4910" s="23" t="str">
        <f aca="false">IF(B4910="","","brand")</f>
        <v/>
      </c>
      <c r="D4910" s="23" t="str">
        <f aca="false">IF(B4910="","",IFERROR(INDEX(Brand_Log!$DV$2:$DV$201,MATCH(IFERROR(INDEX(Clay_Brands!$A$2:$FZ$601,259,Sync!$D$5)&amp;"",""),Brand_Log!$A$2:$A$201,0))&amp;"",IFERROR(INDEX(Clay_Brands!$A$2:$FZ$601,259,Sync!$D$5)&amp;"","")&amp;""))</f>
        <v/>
      </c>
      <c r="E4910" s="23" t="str">
        <f aca="false">IF(B4910="","",IFERROR(INDEX(Clay_Brands!$A$2:$FZ$601,259,Sync!$D$6)&amp;"",""))</f>
        <v/>
      </c>
      <c r="F4910" s="23" t="str">
        <f aca="false">IF(B4910="","","outreach_sent")</f>
        <v/>
      </c>
      <c r="G4910" s="23" t="str">
        <f aca="false">IF(B4910="","","")</f>
        <v/>
      </c>
      <c r="H4910" s="23" t="str">
        <f aca="false">IF(B4910="","","")</f>
        <v/>
      </c>
      <c r="I4910" s="23" t="str">
        <f aca="false">IF(B4910="","","")</f>
        <v/>
      </c>
      <c r="J4910" s="23" t="str">
        <f aca="false">IF(B4910="","","touch_3; "&amp;IFERROR(INDEX(Clay_Brands!$A$2:$FZ$601,259,Sync!$D$10)&amp;"","")&amp;"; "&amp;IFERROR(INDEX(Clay_Brands!$A$2:$FZ$601,259,Sync!$D$9)&amp;"",""))</f>
        <v/>
      </c>
      <c r="K4910" s="32" t="s">
        <v>1368</v>
      </c>
    </row>
    <row r="4911" customFormat="false" ht="15" hidden="false" customHeight="false" outlineLevel="0" collapsed="false">
      <c r="A4911" s="23" t="str">
        <f aca="false">IF(B4911="","",B4911+(17*1000+260)/10000000)</f>
        <v/>
      </c>
      <c r="B4911" s="35" t="str">
        <f aca="false">IF(AND(IFERROR(N(INDEX(Clay_Brands!$A$2:$FZ$601,260,Sync!$D$13)),0)&gt;0,IFERROR(INDEX(Clay_Brands!$A$2:$FZ$601,260,Sync!$D$5)&amp;"","")&lt;&gt;"",OR(LEFT(IFERROR(INDEX(Clay_Brands!$A$2:$FZ$601,260,Sync!$D$5)&amp;"",""),6)&lt;&gt;"SAMPLE",Config!$B$19="Y")),IFERROR(N(INDEX(Clay_Brands!$A$2:$FZ$601,260,Sync!$D$13)),0),"")</f>
        <v/>
      </c>
      <c r="C4911" s="23" t="str">
        <f aca="false">IF(B4911="","","brand")</f>
        <v/>
      </c>
      <c r="D4911" s="23" t="str">
        <f aca="false">IF(B4911="","",IFERROR(INDEX(Brand_Log!$DV$2:$DV$201,MATCH(IFERROR(INDEX(Clay_Brands!$A$2:$FZ$601,260,Sync!$D$5)&amp;"",""),Brand_Log!$A$2:$A$201,0))&amp;"",IFERROR(INDEX(Clay_Brands!$A$2:$FZ$601,260,Sync!$D$5)&amp;"","")&amp;""))</f>
        <v/>
      </c>
      <c r="E4911" s="23" t="str">
        <f aca="false">IF(B4911="","",IFERROR(INDEX(Clay_Brands!$A$2:$FZ$601,260,Sync!$D$6)&amp;"",""))</f>
        <v/>
      </c>
      <c r="F4911" s="23" t="str">
        <f aca="false">IF(B4911="","","outreach_sent")</f>
        <v/>
      </c>
      <c r="G4911" s="23" t="str">
        <f aca="false">IF(B4911="","","")</f>
        <v/>
      </c>
      <c r="H4911" s="23" t="str">
        <f aca="false">IF(B4911="","","")</f>
        <v/>
      </c>
      <c r="I4911" s="23" t="str">
        <f aca="false">IF(B4911="","","")</f>
        <v/>
      </c>
      <c r="J4911" s="23" t="str">
        <f aca="false">IF(B4911="","","touch_3; "&amp;IFERROR(INDEX(Clay_Brands!$A$2:$FZ$601,260,Sync!$D$10)&amp;"","")&amp;"; "&amp;IFERROR(INDEX(Clay_Brands!$A$2:$FZ$601,260,Sync!$D$9)&amp;"",""))</f>
        <v/>
      </c>
      <c r="K4911" s="32" t="s">
        <v>1368</v>
      </c>
    </row>
    <row r="4912" customFormat="false" ht="15" hidden="false" customHeight="false" outlineLevel="0" collapsed="false">
      <c r="A4912" s="23" t="str">
        <f aca="false">IF(B4912="","",B4912+(17*1000+261)/10000000)</f>
        <v/>
      </c>
      <c r="B4912" s="35" t="str">
        <f aca="false">IF(AND(IFERROR(N(INDEX(Clay_Brands!$A$2:$FZ$601,261,Sync!$D$13)),0)&gt;0,IFERROR(INDEX(Clay_Brands!$A$2:$FZ$601,261,Sync!$D$5)&amp;"","")&lt;&gt;"",OR(LEFT(IFERROR(INDEX(Clay_Brands!$A$2:$FZ$601,261,Sync!$D$5)&amp;"",""),6)&lt;&gt;"SAMPLE",Config!$B$19="Y")),IFERROR(N(INDEX(Clay_Brands!$A$2:$FZ$601,261,Sync!$D$13)),0),"")</f>
        <v/>
      </c>
      <c r="C4912" s="23" t="str">
        <f aca="false">IF(B4912="","","brand")</f>
        <v/>
      </c>
      <c r="D4912" s="23" t="str">
        <f aca="false">IF(B4912="","",IFERROR(INDEX(Brand_Log!$DV$2:$DV$201,MATCH(IFERROR(INDEX(Clay_Brands!$A$2:$FZ$601,261,Sync!$D$5)&amp;"",""),Brand_Log!$A$2:$A$201,0))&amp;"",IFERROR(INDEX(Clay_Brands!$A$2:$FZ$601,261,Sync!$D$5)&amp;"","")&amp;""))</f>
        <v/>
      </c>
      <c r="E4912" s="23" t="str">
        <f aca="false">IF(B4912="","",IFERROR(INDEX(Clay_Brands!$A$2:$FZ$601,261,Sync!$D$6)&amp;"",""))</f>
        <v/>
      </c>
      <c r="F4912" s="23" t="str">
        <f aca="false">IF(B4912="","","outreach_sent")</f>
        <v/>
      </c>
      <c r="G4912" s="23" t="str">
        <f aca="false">IF(B4912="","","")</f>
        <v/>
      </c>
      <c r="H4912" s="23" t="str">
        <f aca="false">IF(B4912="","","")</f>
        <v/>
      </c>
      <c r="I4912" s="23" t="str">
        <f aca="false">IF(B4912="","","")</f>
        <v/>
      </c>
      <c r="J4912" s="23" t="str">
        <f aca="false">IF(B4912="","","touch_3; "&amp;IFERROR(INDEX(Clay_Brands!$A$2:$FZ$601,261,Sync!$D$10)&amp;"","")&amp;"; "&amp;IFERROR(INDEX(Clay_Brands!$A$2:$FZ$601,261,Sync!$D$9)&amp;"",""))</f>
        <v/>
      </c>
      <c r="K4912" s="32" t="s">
        <v>1368</v>
      </c>
    </row>
    <row r="4913" customFormat="false" ht="15" hidden="false" customHeight="false" outlineLevel="0" collapsed="false">
      <c r="A4913" s="23" t="str">
        <f aca="false">IF(B4913="","",B4913+(17*1000+262)/10000000)</f>
        <v/>
      </c>
      <c r="B4913" s="35" t="str">
        <f aca="false">IF(AND(IFERROR(N(INDEX(Clay_Brands!$A$2:$FZ$601,262,Sync!$D$13)),0)&gt;0,IFERROR(INDEX(Clay_Brands!$A$2:$FZ$601,262,Sync!$D$5)&amp;"","")&lt;&gt;"",OR(LEFT(IFERROR(INDEX(Clay_Brands!$A$2:$FZ$601,262,Sync!$D$5)&amp;"",""),6)&lt;&gt;"SAMPLE",Config!$B$19="Y")),IFERROR(N(INDEX(Clay_Brands!$A$2:$FZ$601,262,Sync!$D$13)),0),"")</f>
        <v/>
      </c>
      <c r="C4913" s="23" t="str">
        <f aca="false">IF(B4913="","","brand")</f>
        <v/>
      </c>
      <c r="D4913" s="23" t="str">
        <f aca="false">IF(B4913="","",IFERROR(INDEX(Brand_Log!$DV$2:$DV$201,MATCH(IFERROR(INDEX(Clay_Brands!$A$2:$FZ$601,262,Sync!$D$5)&amp;"",""),Brand_Log!$A$2:$A$201,0))&amp;"",IFERROR(INDEX(Clay_Brands!$A$2:$FZ$601,262,Sync!$D$5)&amp;"","")&amp;""))</f>
        <v/>
      </c>
      <c r="E4913" s="23" t="str">
        <f aca="false">IF(B4913="","",IFERROR(INDEX(Clay_Brands!$A$2:$FZ$601,262,Sync!$D$6)&amp;"",""))</f>
        <v/>
      </c>
      <c r="F4913" s="23" t="str">
        <f aca="false">IF(B4913="","","outreach_sent")</f>
        <v/>
      </c>
      <c r="G4913" s="23" t="str">
        <f aca="false">IF(B4913="","","")</f>
        <v/>
      </c>
      <c r="H4913" s="23" t="str">
        <f aca="false">IF(B4913="","","")</f>
        <v/>
      </c>
      <c r="I4913" s="23" t="str">
        <f aca="false">IF(B4913="","","")</f>
        <v/>
      </c>
      <c r="J4913" s="23" t="str">
        <f aca="false">IF(B4913="","","touch_3; "&amp;IFERROR(INDEX(Clay_Brands!$A$2:$FZ$601,262,Sync!$D$10)&amp;"","")&amp;"; "&amp;IFERROR(INDEX(Clay_Brands!$A$2:$FZ$601,262,Sync!$D$9)&amp;"",""))</f>
        <v/>
      </c>
      <c r="K4913" s="32" t="s">
        <v>1368</v>
      </c>
    </row>
    <row r="4914" customFormat="false" ht="15" hidden="false" customHeight="false" outlineLevel="0" collapsed="false">
      <c r="A4914" s="23" t="str">
        <f aca="false">IF(B4914="","",B4914+(17*1000+263)/10000000)</f>
        <v/>
      </c>
      <c r="B4914" s="35" t="str">
        <f aca="false">IF(AND(IFERROR(N(INDEX(Clay_Brands!$A$2:$FZ$601,263,Sync!$D$13)),0)&gt;0,IFERROR(INDEX(Clay_Brands!$A$2:$FZ$601,263,Sync!$D$5)&amp;"","")&lt;&gt;"",OR(LEFT(IFERROR(INDEX(Clay_Brands!$A$2:$FZ$601,263,Sync!$D$5)&amp;"",""),6)&lt;&gt;"SAMPLE",Config!$B$19="Y")),IFERROR(N(INDEX(Clay_Brands!$A$2:$FZ$601,263,Sync!$D$13)),0),"")</f>
        <v/>
      </c>
      <c r="C4914" s="23" t="str">
        <f aca="false">IF(B4914="","","brand")</f>
        <v/>
      </c>
      <c r="D4914" s="23" t="str">
        <f aca="false">IF(B4914="","",IFERROR(INDEX(Brand_Log!$DV$2:$DV$201,MATCH(IFERROR(INDEX(Clay_Brands!$A$2:$FZ$601,263,Sync!$D$5)&amp;"",""),Brand_Log!$A$2:$A$201,0))&amp;"",IFERROR(INDEX(Clay_Brands!$A$2:$FZ$601,263,Sync!$D$5)&amp;"","")&amp;""))</f>
        <v/>
      </c>
      <c r="E4914" s="23" t="str">
        <f aca="false">IF(B4914="","",IFERROR(INDEX(Clay_Brands!$A$2:$FZ$601,263,Sync!$D$6)&amp;"",""))</f>
        <v/>
      </c>
      <c r="F4914" s="23" t="str">
        <f aca="false">IF(B4914="","","outreach_sent")</f>
        <v/>
      </c>
      <c r="G4914" s="23" t="str">
        <f aca="false">IF(B4914="","","")</f>
        <v/>
      </c>
      <c r="H4914" s="23" t="str">
        <f aca="false">IF(B4914="","","")</f>
        <v/>
      </c>
      <c r="I4914" s="23" t="str">
        <f aca="false">IF(B4914="","","")</f>
        <v/>
      </c>
      <c r="J4914" s="23" t="str">
        <f aca="false">IF(B4914="","","touch_3; "&amp;IFERROR(INDEX(Clay_Brands!$A$2:$FZ$601,263,Sync!$D$10)&amp;"","")&amp;"; "&amp;IFERROR(INDEX(Clay_Brands!$A$2:$FZ$601,263,Sync!$D$9)&amp;"",""))</f>
        <v/>
      </c>
      <c r="K4914" s="32" t="s">
        <v>1368</v>
      </c>
    </row>
    <row r="4915" customFormat="false" ht="15" hidden="false" customHeight="false" outlineLevel="0" collapsed="false">
      <c r="A4915" s="23" t="str">
        <f aca="false">IF(B4915="","",B4915+(17*1000+264)/10000000)</f>
        <v/>
      </c>
      <c r="B4915" s="35" t="str">
        <f aca="false">IF(AND(IFERROR(N(INDEX(Clay_Brands!$A$2:$FZ$601,264,Sync!$D$13)),0)&gt;0,IFERROR(INDEX(Clay_Brands!$A$2:$FZ$601,264,Sync!$D$5)&amp;"","")&lt;&gt;"",OR(LEFT(IFERROR(INDEX(Clay_Brands!$A$2:$FZ$601,264,Sync!$D$5)&amp;"",""),6)&lt;&gt;"SAMPLE",Config!$B$19="Y")),IFERROR(N(INDEX(Clay_Brands!$A$2:$FZ$601,264,Sync!$D$13)),0),"")</f>
        <v/>
      </c>
      <c r="C4915" s="23" t="str">
        <f aca="false">IF(B4915="","","brand")</f>
        <v/>
      </c>
      <c r="D4915" s="23" t="str">
        <f aca="false">IF(B4915="","",IFERROR(INDEX(Brand_Log!$DV$2:$DV$201,MATCH(IFERROR(INDEX(Clay_Brands!$A$2:$FZ$601,264,Sync!$D$5)&amp;"",""),Brand_Log!$A$2:$A$201,0))&amp;"",IFERROR(INDEX(Clay_Brands!$A$2:$FZ$601,264,Sync!$D$5)&amp;"","")&amp;""))</f>
        <v/>
      </c>
      <c r="E4915" s="23" t="str">
        <f aca="false">IF(B4915="","",IFERROR(INDEX(Clay_Brands!$A$2:$FZ$601,264,Sync!$D$6)&amp;"",""))</f>
        <v/>
      </c>
      <c r="F4915" s="23" t="str">
        <f aca="false">IF(B4915="","","outreach_sent")</f>
        <v/>
      </c>
      <c r="G4915" s="23" t="str">
        <f aca="false">IF(B4915="","","")</f>
        <v/>
      </c>
      <c r="H4915" s="23" t="str">
        <f aca="false">IF(B4915="","","")</f>
        <v/>
      </c>
      <c r="I4915" s="23" t="str">
        <f aca="false">IF(B4915="","","")</f>
        <v/>
      </c>
      <c r="J4915" s="23" t="str">
        <f aca="false">IF(B4915="","","touch_3; "&amp;IFERROR(INDEX(Clay_Brands!$A$2:$FZ$601,264,Sync!$D$10)&amp;"","")&amp;"; "&amp;IFERROR(INDEX(Clay_Brands!$A$2:$FZ$601,264,Sync!$D$9)&amp;"",""))</f>
        <v/>
      </c>
      <c r="K4915" s="32" t="s">
        <v>1368</v>
      </c>
    </row>
    <row r="4916" customFormat="false" ht="15" hidden="false" customHeight="false" outlineLevel="0" collapsed="false">
      <c r="A4916" s="23" t="str">
        <f aca="false">IF(B4916="","",B4916+(17*1000+265)/10000000)</f>
        <v/>
      </c>
      <c r="B4916" s="35" t="str">
        <f aca="false">IF(AND(IFERROR(N(INDEX(Clay_Brands!$A$2:$FZ$601,265,Sync!$D$13)),0)&gt;0,IFERROR(INDEX(Clay_Brands!$A$2:$FZ$601,265,Sync!$D$5)&amp;"","")&lt;&gt;"",OR(LEFT(IFERROR(INDEX(Clay_Brands!$A$2:$FZ$601,265,Sync!$D$5)&amp;"",""),6)&lt;&gt;"SAMPLE",Config!$B$19="Y")),IFERROR(N(INDEX(Clay_Brands!$A$2:$FZ$601,265,Sync!$D$13)),0),"")</f>
        <v/>
      </c>
      <c r="C4916" s="23" t="str">
        <f aca="false">IF(B4916="","","brand")</f>
        <v/>
      </c>
      <c r="D4916" s="23" t="str">
        <f aca="false">IF(B4916="","",IFERROR(INDEX(Brand_Log!$DV$2:$DV$201,MATCH(IFERROR(INDEX(Clay_Brands!$A$2:$FZ$601,265,Sync!$D$5)&amp;"",""),Brand_Log!$A$2:$A$201,0))&amp;"",IFERROR(INDEX(Clay_Brands!$A$2:$FZ$601,265,Sync!$D$5)&amp;"","")&amp;""))</f>
        <v/>
      </c>
      <c r="E4916" s="23" t="str">
        <f aca="false">IF(B4916="","",IFERROR(INDEX(Clay_Brands!$A$2:$FZ$601,265,Sync!$D$6)&amp;"",""))</f>
        <v/>
      </c>
      <c r="F4916" s="23" t="str">
        <f aca="false">IF(B4916="","","outreach_sent")</f>
        <v/>
      </c>
      <c r="G4916" s="23" t="str">
        <f aca="false">IF(B4916="","","")</f>
        <v/>
      </c>
      <c r="H4916" s="23" t="str">
        <f aca="false">IF(B4916="","","")</f>
        <v/>
      </c>
      <c r="I4916" s="23" t="str">
        <f aca="false">IF(B4916="","","")</f>
        <v/>
      </c>
      <c r="J4916" s="23" t="str">
        <f aca="false">IF(B4916="","","touch_3; "&amp;IFERROR(INDEX(Clay_Brands!$A$2:$FZ$601,265,Sync!$D$10)&amp;"","")&amp;"; "&amp;IFERROR(INDEX(Clay_Brands!$A$2:$FZ$601,265,Sync!$D$9)&amp;"",""))</f>
        <v/>
      </c>
      <c r="K4916" s="32" t="s">
        <v>1368</v>
      </c>
    </row>
    <row r="4917" customFormat="false" ht="15" hidden="false" customHeight="false" outlineLevel="0" collapsed="false">
      <c r="A4917" s="23" t="str">
        <f aca="false">IF(B4917="","",B4917+(17*1000+266)/10000000)</f>
        <v/>
      </c>
      <c r="B4917" s="35" t="str">
        <f aca="false">IF(AND(IFERROR(N(INDEX(Clay_Brands!$A$2:$FZ$601,266,Sync!$D$13)),0)&gt;0,IFERROR(INDEX(Clay_Brands!$A$2:$FZ$601,266,Sync!$D$5)&amp;"","")&lt;&gt;"",OR(LEFT(IFERROR(INDEX(Clay_Brands!$A$2:$FZ$601,266,Sync!$D$5)&amp;"",""),6)&lt;&gt;"SAMPLE",Config!$B$19="Y")),IFERROR(N(INDEX(Clay_Brands!$A$2:$FZ$601,266,Sync!$D$13)),0),"")</f>
        <v/>
      </c>
      <c r="C4917" s="23" t="str">
        <f aca="false">IF(B4917="","","brand")</f>
        <v/>
      </c>
      <c r="D4917" s="23" t="str">
        <f aca="false">IF(B4917="","",IFERROR(INDEX(Brand_Log!$DV$2:$DV$201,MATCH(IFERROR(INDEX(Clay_Brands!$A$2:$FZ$601,266,Sync!$D$5)&amp;"",""),Brand_Log!$A$2:$A$201,0))&amp;"",IFERROR(INDEX(Clay_Brands!$A$2:$FZ$601,266,Sync!$D$5)&amp;"","")&amp;""))</f>
        <v/>
      </c>
      <c r="E4917" s="23" t="str">
        <f aca="false">IF(B4917="","",IFERROR(INDEX(Clay_Brands!$A$2:$FZ$601,266,Sync!$D$6)&amp;"",""))</f>
        <v/>
      </c>
      <c r="F4917" s="23" t="str">
        <f aca="false">IF(B4917="","","outreach_sent")</f>
        <v/>
      </c>
      <c r="G4917" s="23" t="str">
        <f aca="false">IF(B4917="","","")</f>
        <v/>
      </c>
      <c r="H4917" s="23" t="str">
        <f aca="false">IF(B4917="","","")</f>
        <v/>
      </c>
      <c r="I4917" s="23" t="str">
        <f aca="false">IF(B4917="","","")</f>
        <v/>
      </c>
      <c r="J4917" s="23" t="str">
        <f aca="false">IF(B4917="","","touch_3; "&amp;IFERROR(INDEX(Clay_Brands!$A$2:$FZ$601,266,Sync!$D$10)&amp;"","")&amp;"; "&amp;IFERROR(INDEX(Clay_Brands!$A$2:$FZ$601,266,Sync!$D$9)&amp;"",""))</f>
        <v/>
      </c>
      <c r="K4917" s="32" t="s">
        <v>1368</v>
      </c>
    </row>
    <row r="4918" customFormat="false" ht="15" hidden="false" customHeight="false" outlineLevel="0" collapsed="false">
      <c r="A4918" s="23" t="str">
        <f aca="false">IF(B4918="","",B4918+(17*1000+267)/10000000)</f>
        <v/>
      </c>
      <c r="B4918" s="35" t="str">
        <f aca="false">IF(AND(IFERROR(N(INDEX(Clay_Brands!$A$2:$FZ$601,267,Sync!$D$13)),0)&gt;0,IFERROR(INDEX(Clay_Brands!$A$2:$FZ$601,267,Sync!$D$5)&amp;"","")&lt;&gt;"",OR(LEFT(IFERROR(INDEX(Clay_Brands!$A$2:$FZ$601,267,Sync!$D$5)&amp;"",""),6)&lt;&gt;"SAMPLE",Config!$B$19="Y")),IFERROR(N(INDEX(Clay_Brands!$A$2:$FZ$601,267,Sync!$D$13)),0),"")</f>
        <v/>
      </c>
      <c r="C4918" s="23" t="str">
        <f aca="false">IF(B4918="","","brand")</f>
        <v/>
      </c>
      <c r="D4918" s="23" t="str">
        <f aca="false">IF(B4918="","",IFERROR(INDEX(Brand_Log!$DV$2:$DV$201,MATCH(IFERROR(INDEX(Clay_Brands!$A$2:$FZ$601,267,Sync!$D$5)&amp;"",""),Brand_Log!$A$2:$A$201,0))&amp;"",IFERROR(INDEX(Clay_Brands!$A$2:$FZ$601,267,Sync!$D$5)&amp;"","")&amp;""))</f>
        <v/>
      </c>
      <c r="E4918" s="23" t="str">
        <f aca="false">IF(B4918="","",IFERROR(INDEX(Clay_Brands!$A$2:$FZ$601,267,Sync!$D$6)&amp;"",""))</f>
        <v/>
      </c>
      <c r="F4918" s="23" t="str">
        <f aca="false">IF(B4918="","","outreach_sent")</f>
        <v/>
      </c>
      <c r="G4918" s="23" t="str">
        <f aca="false">IF(B4918="","","")</f>
        <v/>
      </c>
      <c r="H4918" s="23" t="str">
        <f aca="false">IF(B4918="","","")</f>
        <v/>
      </c>
      <c r="I4918" s="23" t="str">
        <f aca="false">IF(B4918="","","")</f>
        <v/>
      </c>
      <c r="J4918" s="23" t="str">
        <f aca="false">IF(B4918="","","touch_3; "&amp;IFERROR(INDEX(Clay_Brands!$A$2:$FZ$601,267,Sync!$D$10)&amp;"","")&amp;"; "&amp;IFERROR(INDEX(Clay_Brands!$A$2:$FZ$601,267,Sync!$D$9)&amp;"",""))</f>
        <v/>
      </c>
      <c r="K4918" s="32" t="s">
        <v>1368</v>
      </c>
    </row>
    <row r="4919" customFormat="false" ht="15" hidden="false" customHeight="false" outlineLevel="0" collapsed="false">
      <c r="A4919" s="23" t="str">
        <f aca="false">IF(B4919="","",B4919+(17*1000+268)/10000000)</f>
        <v/>
      </c>
      <c r="B4919" s="35" t="str">
        <f aca="false">IF(AND(IFERROR(N(INDEX(Clay_Brands!$A$2:$FZ$601,268,Sync!$D$13)),0)&gt;0,IFERROR(INDEX(Clay_Brands!$A$2:$FZ$601,268,Sync!$D$5)&amp;"","")&lt;&gt;"",OR(LEFT(IFERROR(INDEX(Clay_Brands!$A$2:$FZ$601,268,Sync!$D$5)&amp;"",""),6)&lt;&gt;"SAMPLE",Config!$B$19="Y")),IFERROR(N(INDEX(Clay_Brands!$A$2:$FZ$601,268,Sync!$D$13)),0),"")</f>
        <v/>
      </c>
      <c r="C4919" s="23" t="str">
        <f aca="false">IF(B4919="","","brand")</f>
        <v/>
      </c>
      <c r="D4919" s="23" t="str">
        <f aca="false">IF(B4919="","",IFERROR(INDEX(Brand_Log!$DV$2:$DV$201,MATCH(IFERROR(INDEX(Clay_Brands!$A$2:$FZ$601,268,Sync!$D$5)&amp;"",""),Brand_Log!$A$2:$A$201,0))&amp;"",IFERROR(INDEX(Clay_Brands!$A$2:$FZ$601,268,Sync!$D$5)&amp;"","")&amp;""))</f>
        <v/>
      </c>
      <c r="E4919" s="23" t="str">
        <f aca="false">IF(B4919="","",IFERROR(INDEX(Clay_Brands!$A$2:$FZ$601,268,Sync!$D$6)&amp;"",""))</f>
        <v/>
      </c>
      <c r="F4919" s="23" t="str">
        <f aca="false">IF(B4919="","","outreach_sent")</f>
        <v/>
      </c>
      <c r="G4919" s="23" t="str">
        <f aca="false">IF(B4919="","","")</f>
        <v/>
      </c>
      <c r="H4919" s="23" t="str">
        <f aca="false">IF(B4919="","","")</f>
        <v/>
      </c>
      <c r="I4919" s="23" t="str">
        <f aca="false">IF(B4919="","","")</f>
        <v/>
      </c>
      <c r="J4919" s="23" t="str">
        <f aca="false">IF(B4919="","","touch_3; "&amp;IFERROR(INDEX(Clay_Brands!$A$2:$FZ$601,268,Sync!$D$10)&amp;"","")&amp;"; "&amp;IFERROR(INDEX(Clay_Brands!$A$2:$FZ$601,268,Sync!$D$9)&amp;"",""))</f>
        <v/>
      </c>
      <c r="K4919" s="32" t="s">
        <v>1368</v>
      </c>
    </row>
    <row r="4920" customFormat="false" ht="15" hidden="false" customHeight="false" outlineLevel="0" collapsed="false">
      <c r="A4920" s="23" t="str">
        <f aca="false">IF(B4920="","",B4920+(17*1000+269)/10000000)</f>
        <v/>
      </c>
      <c r="B4920" s="35" t="str">
        <f aca="false">IF(AND(IFERROR(N(INDEX(Clay_Brands!$A$2:$FZ$601,269,Sync!$D$13)),0)&gt;0,IFERROR(INDEX(Clay_Brands!$A$2:$FZ$601,269,Sync!$D$5)&amp;"","")&lt;&gt;"",OR(LEFT(IFERROR(INDEX(Clay_Brands!$A$2:$FZ$601,269,Sync!$D$5)&amp;"",""),6)&lt;&gt;"SAMPLE",Config!$B$19="Y")),IFERROR(N(INDEX(Clay_Brands!$A$2:$FZ$601,269,Sync!$D$13)),0),"")</f>
        <v/>
      </c>
      <c r="C4920" s="23" t="str">
        <f aca="false">IF(B4920="","","brand")</f>
        <v/>
      </c>
      <c r="D4920" s="23" t="str">
        <f aca="false">IF(B4920="","",IFERROR(INDEX(Brand_Log!$DV$2:$DV$201,MATCH(IFERROR(INDEX(Clay_Brands!$A$2:$FZ$601,269,Sync!$D$5)&amp;"",""),Brand_Log!$A$2:$A$201,0))&amp;"",IFERROR(INDEX(Clay_Brands!$A$2:$FZ$601,269,Sync!$D$5)&amp;"","")&amp;""))</f>
        <v/>
      </c>
      <c r="E4920" s="23" t="str">
        <f aca="false">IF(B4920="","",IFERROR(INDEX(Clay_Brands!$A$2:$FZ$601,269,Sync!$D$6)&amp;"",""))</f>
        <v/>
      </c>
      <c r="F4920" s="23" t="str">
        <f aca="false">IF(B4920="","","outreach_sent")</f>
        <v/>
      </c>
      <c r="G4920" s="23" t="str">
        <f aca="false">IF(B4920="","","")</f>
        <v/>
      </c>
      <c r="H4920" s="23" t="str">
        <f aca="false">IF(B4920="","","")</f>
        <v/>
      </c>
      <c r="I4920" s="23" t="str">
        <f aca="false">IF(B4920="","","")</f>
        <v/>
      </c>
      <c r="J4920" s="23" t="str">
        <f aca="false">IF(B4920="","","touch_3; "&amp;IFERROR(INDEX(Clay_Brands!$A$2:$FZ$601,269,Sync!$D$10)&amp;"","")&amp;"; "&amp;IFERROR(INDEX(Clay_Brands!$A$2:$FZ$601,269,Sync!$D$9)&amp;"",""))</f>
        <v/>
      </c>
      <c r="K4920" s="32" t="s">
        <v>1368</v>
      </c>
    </row>
    <row r="4921" customFormat="false" ht="15" hidden="false" customHeight="false" outlineLevel="0" collapsed="false">
      <c r="A4921" s="23" t="str">
        <f aca="false">IF(B4921="","",B4921+(17*1000+270)/10000000)</f>
        <v/>
      </c>
      <c r="B4921" s="35" t="str">
        <f aca="false">IF(AND(IFERROR(N(INDEX(Clay_Brands!$A$2:$FZ$601,270,Sync!$D$13)),0)&gt;0,IFERROR(INDEX(Clay_Brands!$A$2:$FZ$601,270,Sync!$D$5)&amp;"","")&lt;&gt;"",OR(LEFT(IFERROR(INDEX(Clay_Brands!$A$2:$FZ$601,270,Sync!$D$5)&amp;"",""),6)&lt;&gt;"SAMPLE",Config!$B$19="Y")),IFERROR(N(INDEX(Clay_Brands!$A$2:$FZ$601,270,Sync!$D$13)),0),"")</f>
        <v/>
      </c>
      <c r="C4921" s="23" t="str">
        <f aca="false">IF(B4921="","","brand")</f>
        <v/>
      </c>
      <c r="D4921" s="23" t="str">
        <f aca="false">IF(B4921="","",IFERROR(INDEX(Brand_Log!$DV$2:$DV$201,MATCH(IFERROR(INDEX(Clay_Brands!$A$2:$FZ$601,270,Sync!$D$5)&amp;"",""),Brand_Log!$A$2:$A$201,0))&amp;"",IFERROR(INDEX(Clay_Brands!$A$2:$FZ$601,270,Sync!$D$5)&amp;"","")&amp;""))</f>
        <v/>
      </c>
      <c r="E4921" s="23" t="str">
        <f aca="false">IF(B4921="","",IFERROR(INDEX(Clay_Brands!$A$2:$FZ$601,270,Sync!$D$6)&amp;"",""))</f>
        <v/>
      </c>
      <c r="F4921" s="23" t="str">
        <f aca="false">IF(B4921="","","outreach_sent")</f>
        <v/>
      </c>
      <c r="G4921" s="23" t="str">
        <f aca="false">IF(B4921="","","")</f>
        <v/>
      </c>
      <c r="H4921" s="23" t="str">
        <f aca="false">IF(B4921="","","")</f>
        <v/>
      </c>
      <c r="I4921" s="23" t="str">
        <f aca="false">IF(B4921="","","")</f>
        <v/>
      </c>
      <c r="J4921" s="23" t="str">
        <f aca="false">IF(B4921="","","touch_3; "&amp;IFERROR(INDEX(Clay_Brands!$A$2:$FZ$601,270,Sync!$D$10)&amp;"","")&amp;"; "&amp;IFERROR(INDEX(Clay_Brands!$A$2:$FZ$601,270,Sync!$D$9)&amp;"",""))</f>
        <v/>
      </c>
      <c r="K4921" s="32" t="s">
        <v>1368</v>
      </c>
    </row>
    <row r="4922" customFormat="false" ht="15" hidden="false" customHeight="false" outlineLevel="0" collapsed="false">
      <c r="A4922" s="23" t="str">
        <f aca="false">IF(B4922="","",B4922+(17*1000+271)/10000000)</f>
        <v/>
      </c>
      <c r="B4922" s="35" t="str">
        <f aca="false">IF(AND(IFERROR(N(INDEX(Clay_Brands!$A$2:$FZ$601,271,Sync!$D$13)),0)&gt;0,IFERROR(INDEX(Clay_Brands!$A$2:$FZ$601,271,Sync!$D$5)&amp;"","")&lt;&gt;"",OR(LEFT(IFERROR(INDEX(Clay_Brands!$A$2:$FZ$601,271,Sync!$D$5)&amp;"",""),6)&lt;&gt;"SAMPLE",Config!$B$19="Y")),IFERROR(N(INDEX(Clay_Brands!$A$2:$FZ$601,271,Sync!$D$13)),0),"")</f>
        <v/>
      </c>
      <c r="C4922" s="23" t="str">
        <f aca="false">IF(B4922="","","brand")</f>
        <v/>
      </c>
      <c r="D4922" s="23" t="str">
        <f aca="false">IF(B4922="","",IFERROR(INDEX(Brand_Log!$DV$2:$DV$201,MATCH(IFERROR(INDEX(Clay_Brands!$A$2:$FZ$601,271,Sync!$D$5)&amp;"",""),Brand_Log!$A$2:$A$201,0))&amp;"",IFERROR(INDEX(Clay_Brands!$A$2:$FZ$601,271,Sync!$D$5)&amp;"","")&amp;""))</f>
        <v/>
      </c>
      <c r="E4922" s="23" t="str">
        <f aca="false">IF(B4922="","",IFERROR(INDEX(Clay_Brands!$A$2:$FZ$601,271,Sync!$D$6)&amp;"",""))</f>
        <v/>
      </c>
      <c r="F4922" s="23" t="str">
        <f aca="false">IF(B4922="","","outreach_sent")</f>
        <v/>
      </c>
      <c r="G4922" s="23" t="str">
        <f aca="false">IF(B4922="","","")</f>
        <v/>
      </c>
      <c r="H4922" s="23" t="str">
        <f aca="false">IF(B4922="","","")</f>
        <v/>
      </c>
      <c r="I4922" s="23" t="str">
        <f aca="false">IF(B4922="","","")</f>
        <v/>
      </c>
      <c r="J4922" s="23" t="str">
        <f aca="false">IF(B4922="","","touch_3; "&amp;IFERROR(INDEX(Clay_Brands!$A$2:$FZ$601,271,Sync!$D$10)&amp;"","")&amp;"; "&amp;IFERROR(INDEX(Clay_Brands!$A$2:$FZ$601,271,Sync!$D$9)&amp;"",""))</f>
        <v/>
      </c>
      <c r="K4922" s="32" t="s">
        <v>1368</v>
      </c>
    </row>
    <row r="4923" customFormat="false" ht="15" hidden="false" customHeight="false" outlineLevel="0" collapsed="false">
      <c r="A4923" s="23" t="str">
        <f aca="false">IF(B4923="","",B4923+(17*1000+272)/10000000)</f>
        <v/>
      </c>
      <c r="B4923" s="35" t="str">
        <f aca="false">IF(AND(IFERROR(N(INDEX(Clay_Brands!$A$2:$FZ$601,272,Sync!$D$13)),0)&gt;0,IFERROR(INDEX(Clay_Brands!$A$2:$FZ$601,272,Sync!$D$5)&amp;"","")&lt;&gt;"",OR(LEFT(IFERROR(INDEX(Clay_Brands!$A$2:$FZ$601,272,Sync!$D$5)&amp;"",""),6)&lt;&gt;"SAMPLE",Config!$B$19="Y")),IFERROR(N(INDEX(Clay_Brands!$A$2:$FZ$601,272,Sync!$D$13)),0),"")</f>
        <v/>
      </c>
      <c r="C4923" s="23" t="str">
        <f aca="false">IF(B4923="","","brand")</f>
        <v/>
      </c>
      <c r="D4923" s="23" t="str">
        <f aca="false">IF(B4923="","",IFERROR(INDEX(Brand_Log!$DV$2:$DV$201,MATCH(IFERROR(INDEX(Clay_Brands!$A$2:$FZ$601,272,Sync!$D$5)&amp;"",""),Brand_Log!$A$2:$A$201,0))&amp;"",IFERROR(INDEX(Clay_Brands!$A$2:$FZ$601,272,Sync!$D$5)&amp;"","")&amp;""))</f>
        <v/>
      </c>
      <c r="E4923" s="23" t="str">
        <f aca="false">IF(B4923="","",IFERROR(INDEX(Clay_Brands!$A$2:$FZ$601,272,Sync!$D$6)&amp;"",""))</f>
        <v/>
      </c>
      <c r="F4923" s="23" t="str">
        <f aca="false">IF(B4923="","","outreach_sent")</f>
        <v/>
      </c>
      <c r="G4923" s="23" t="str">
        <f aca="false">IF(B4923="","","")</f>
        <v/>
      </c>
      <c r="H4923" s="23" t="str">
        <f aca="false">IF(B4923="","","")</f>
        <v/>
      </c>
      <c r="I4923" s="23" t="str">
        <f aca="false">IF(B4923="","","")</f>
        <v/>
      </c>
      <c r="J4923" s="23" t="str">
        <f aca="false">IF(B4923="","","touch_3; "&amp;IFERROR(INDEX(Clay_Brands!$A$2:$FZ$601,272,Sync!$D$10)&amp;"","")&amp;"; "&amp;IFERROR(INDEX(Clay_Brands!$A$2:$FZ$601,272,Sync!$D$9)&amp;"",""))</f>
        <v/>
      </c>
      <c r="K4923" s="32" t="s">
        <v>1368</v>
      </c>
    </row>
    <row r="4924" customFormat="false" ht="15" hidden="false" customHeight="false" outlineLevel="0" collapsed="false">
      <c r="A4924" s="23" t="str">
        <f aca="false">IF(B4924="","",B4924+(17*1000+273)/10000000)</f>
        <v/>
      </c>
      <c r="B4924" s="35" t="str">
        <f aca="false">IF(AND(IFERROR(N(INDEX(Clay_Brands!$A$2:$FZ$601,273,Sync!$D$13)),0)&gt;0,IFERROR(INDEX(Clay_Brands!$A$2:$FZ$601,273,Sync!$D$5)&amp;"","")&lt;&gt;"",OR(LEFT(IFERROR(INDEX(Clay_Brands!$A$2:$FZ$601,273,Sync!$D$5)&amp;"",""),6)&lt;&gt;"SAMPLE",Config!$B$19="Y")),IFERROR(N(INDEX(Clay_Brands!$A$2:$FZ$601,273,Sync!$D$13)),0),"")</f>
        <v/>
      </c>
      <c r="C4924" s="23" t="str">
        <f aca="false">IF(B4924="","","brand")</f>
        <v/>
      </c>
      <c r="D4924" s="23" t="str">
        <f aca="false">IF(B4924="","",IFERROR(INDEX(Brand_Log!$DV$2:$DV$201,MATCH(IFERROR(INDEX(Clay_Brands!$A$2:$FZ$601,273,Sync!$D$5)&amp;"",""),Brand_Log!$A$2:$A$201,0))&amp;"",IFERROR(INDEX(Clay_Brands!$A$2:$FZ$601,273,Sync!$D$5)&amp;"","")&amp;""))</f>
        <v/>
      </c>
      <c r="E4924" s="23" t="str">
        <f aca="false">IF(B4924="","",IFERROR(INDEX(Clay_Brands!$A$2:$FZ$601,273,Sync!$D$6)&amp;"",""))</f>
        <v/>
      </c>
      <c r="F4924" s="23" t="str">
        <f aca="false">IF(B4924="","","outreach_sent")</f>
        <v/>
      </c>
      <c r="G4924" s="23" t="str">
        <f aca="false">IF(B4924="","","")</f>
        <v/>
      </c>
      <c r="H4924" s="23" t="str">
        <f aca="false">IF(B4924="","","")</f>
        <v/>
      </c>
      <c r="I4924" s="23" t="str">
        <f aca="false">IF(B4924="","","")</f>
        <v/>
      </c>
      <c r="J4924" s="23" t="str">
        <f aca="false">IF(B4924="","","touch_3; "&amp;IFERROR(INDEX(Clay_Brands!$A$2:$FZ$601,273,Sync!$D$10)&amp;"","")&amp;"; "&amp;IFERROR(INDEX(Clay_Brands!$A$2:$FZ$601,273,Sync!$D$9)&amp;"",""))</f>
        <v/>
      </c>
      <c r="K4924" s="32" t="s">
        <v>1368</v>
      </c>
    </row>
    <row r="4925" customFormat="false" ht="15" hidden="false" customHeight="false" outlineLevel="0" collapsed="false">
      <c r="A4925" s="23" t="str">
        <f aca="false">IF(B4925="","",B4925+(17*1000+274)/10000000)</f>
        <v/>
      </c>
      <c r="B4925" s="35" t="str">
        <f aca="false">IF(AND(IFERROR(N(INDEX(Clay_Brands!$A$2:$FZ$601,274,Sync!$D$13)),0)&gt;0,IFERROR(INDEX(Clay_Brands!$A$2:$FZ$601,274,Sync!$D$5)&amp;"","")&lt;&gt;"",OR(LEFT(IFERROR(INDEX(Clay_Brands!$A$2:$FZ$601,274,Sync!$D$5)&amp;"",""),6)&lt;&gt;"SAMPLE",Config!$B$19="Y")),IFERROR(N(INDEX(Clay_Brands!$A$2:$FZ$601,274,Sync!$D$13)),0),"")</f>
        <v/>
      </c>
      <c r="C4925" s="23" t="str">
        <f aca="false">IF(B4925="","","brand")</f>
        <v/>
      </c>
      <c r="D4925" s="23" t="str">
        <f aca="false">IF(B4925="","",IFERROR(INDEX(Brand_Log!$DV$2:$DV$201,MATCH(IFERROR(INDEX(Clay_Brands!$A$2:$FZ$601,274,Sync!$D$5)&amp;"",""),Brand_Log!$A$2:$A$201,0))&amp;"",IFERROR(INDEX(Clay_Brands!$A$2:$FZ$601,274,Sync!$D$5)&amp;"","")&amp;""))</f>
        <v/>
      </c>
      <c r="E4925" s="23" t="str">
        <f aca="false">IF(B4925="","",IFERROR(INDEX(Clay_Brands!$A$2:$FZ$601,274,Sync!$D$6)&amp;"",""))</f>
        <v/>
      </c>
      <c r="F4925" s="23" t="str">
        <f aca="false">IF(B4925="","","outreach_sent")</f>
        <v/>
      </c>
      <c r="G4925" s="23" t="str">
        <f aca="false">IF(B4925="","","")</f>
        <v/>
      </c>
      <c r="H4925" s="23" t="str">
        <f aca="false">IF(B4925="","","")</f>
        <v/>
      </c>
      <c r="I4925" s="23" t="str">
        <f aca="false">IF(B4925="","","")</f>
        <v/>
      </c>
      <c r="J4925" s="23" t="str">
        <f aca="false">IF(B4925="","","touch_3; "&amp;IFERROR(INDEX(Clay_Brands!$A$2:$FZ$601,274,Sync!$D$10)&amp;"","")&amp;"; "&amp;IFERROR(INDEX(Clay_Brands!$A$2:$FZ$601,274,Sync!$D$9)&amp;"",""))</f>
        <v/>
      </c>
      <c r="K4925" s="32" t="s">
        <v>1368</v>
      </c>
    </row>
    <row r="4926" customFormat="false" ht="15" hidden="false" customHeight="false" outlineLevel="0" collapsed="false">
      <c r="A4926" s="23" t="str">
        <f aca="false">IF(B4926="","",B4926+(17*1000+275)/10000000)</f>
        <v/>
      </c>
      <c r="B4926" s="35" t="str">
        <f aca="false">IF(AND(IFERROR(N(INDEX(Clay_Brands!$A$2:$FZ$601,275,Sync!$D$13)),0)&gt;0,IFERROR(INDEX(Clay_Brands!$A$2:$FZ$601,275,Sync!$D$5)&amp;"","")&lt;&gt;"",OR(LEFT(IFERROR(INDEX(Clay_Brands!$A$2:$FZ$601,275,Sync!$D$5)&amp;"",""),6)&lt;&gt;"SAMPLE",Config!$B$19="Y")),IFERROR(N(INDEX(Clay_Brands!$A$2:$FZ$601,275,Sync!$D$13)),0),"")</f>
        <v/>
      </c>
      <c r="C4926" s="23" t="str">
        <f aca="false">IF(B4926="","","brand")</f>
        <v/>
      </c>
      <c r="D4926" s="23" t="str">
        <f aca="false">IF(B4926="","",IFERROR(INDEX(Brand_Log!$DV$2:$DV$201,MATCH(IFERROR(INDEX(Clay_Brands!$A$2:$FZ$601,275,Sync!$D$5)&amp;"",""),Brand_Log!$A$2:$A$201,0))&amp;"",IFERROR(INDEX(Clay_Brands!$A$2:$FZ$601,275,Sync!$D$5)&amp;"","")&amp;""))</f>
        <v/>
      </c>
      <c r="E4926" s="23" t="str">
        <f aca="false">IF(B4926="","",IFERROR(INDEX(Clay_Brands!$A$2:$FZ$601,275,Sync!$D$6)&amp;"",""))</f>
        <v/>
      </c>
      <c r="F4926" s="23" t="str">
        <f aca="false">IF(B4926="","","outreach_sent")</f>
        <v/>
      </c>
      <c r="G4926" s="23" t="str">
        <f aca="false">IF(B4926="","","")</f>
        <v/>
      </c>
      <c r="H4926" s="23" t="str">
        <f aca="false">IF(B4926="","","")</f>
        <v/>
      </c>
      <c r="I4926" s="23" t="str">
        <f aca="false">IF(B4926="","","")</f>
        <v/>
      </c>
      <c r="J4926" s="23" t="str">
        <f aca="false">IF(B4926="","","touch_3; "&amp;IFERROR(INDEX(Clay_Brands!$A$2:$FZ$601,275,Sync!$D$10)&amp;"","")&amp;"; "&amp;IFERROR(INDEX(Clay_Brands!$A$2:$FZ$601,275,Sync!$D$9)&amp;"",""))</f>
        <v/>
      </c>
      <c r="K4926" s="32" t="s">
        <v>1368</v>
      </c>
    </row>
    <row r="4927" customFormat="false" ht="15" hidden="false" customHeight="false" outlineLevel="0" collapsed="false">
      <c r="A4927" s="23" t="str">
        <f aca="false">IF(B4927="","",B4927+(17*1000+276)/10000000)</f>
        <v/>
      </c>
      <c r="B4927" s="35" t="str">
        <f aca="false">IF(AND(IFERROR(N(INDEX(Clay_Brands!$A$2:$FZ$601,276,Sync!$D$13)),0)&gt;0,IFERROR(INDEX(Clay_Brands!$A$2:$FZ$601,276,Sync!$D$5)&amp;"","")&lt;&gt;"",OR(LEFT(IFERROR(INDEX(Clay_Brands!$A$2:$FZ$601,276,Sync!$D$5)&amp;"",""),6)&lt;&gt;"SAMPLE",Config!$B$19="Y")),IFERROR(N(INDEX(Clay_Brands!$A$2:$FZ$601,276,Sync!$D$13)),0),"")</f>
        <v/>
      </c>
      <c r="C4927" s="23" t="str">
        <f aca="false">IF(B4927="","","brand")</f>
        <v/>
      </c>
      <c r="D4927" s="23" t="str">
        <f aca="false">IF(B4927="","",IFERROR(INDEX(Brand_Log!$DV$2:$DV$201,MATCH(IFERROR(INDEX(Clay_Brands!$A$2:$FZ$601,276,Sync!$D$5)&amp;"",""),Brand_Log!$A$2:$A$201,0))&amp;"",IFERROR(INDEX(Clay_Brands!$A$2:$FZ$601,276,Sync!$D$5)&amp;"","")&amp;""))</f>
        <v/>
      </c>
      <c r="E4927" s="23" t="str">
        <f aca="false">IF(B4927="","",IFERROR(INDEX(Clay_Brands!$A$2:$FZ$601,276,Sync!$D$6)&amp;"",""))</f>
        <v/>
      </c>
      <c r="F4927" s="23" t="str">
        <f aca="false">IF(B4927="","","outreach_sent")</f>
        <v/>
      </c>
      <c r="G4927" s="23" t="str">
        <f aca="false">IF(B4927="","","")</f>
        <v/>
      </c>
      <c r="H4927" s="23" t="str">
        <f aca="false">IF(B4927="","","")</f>
        <v/>
      </c>
      <c r="I4927" s="23" t="str">
        <f aca="false">IF(B4927="","","")</f>
        <v/>
      </c>
      <c r="J4927" s="23" t="str">
        <f aca="false">IF(B4927="","","touch_3; "&amp;IFERROR(INDEX(Clay_Brands!$A$2:$FZ$601,276,Sync!$D$10)&amp;"","")&amp;"; "&amp;IFERROR(INDEX(Clay_Brands!$A$2:$FZ$601,276,Sync!$D$9)&amp;"",""))</f>
        <v/>
      </c>
      <c r="K4927" s="32" t="s">
        <v>1368</v>
      </c>
    </row>
    <row r="4928" customFormat="false" ht="15" hidden="false" customHeight="false" outlineLevel="0" collapsed="false">
      <c r="A4928" s="23" t="str">
        <f aca="false">IF(B4928="","",B4928+(17*1000+277)/10000000)</f>
        <v/>
      </c>
      <c r="B4928" s="35" t="str">
        <f aca="false">IF(AND(IFERROR(N(INDEX(Clay_Brands!$A$2:$FZ$601,277,Sync!$D$13)),0)&gt;0,IFERROR(INDEX(Clay_Brands!$A$2:$FZ$601,277,Sync!$D$5)&amp;"","")&lt;&gt;"",OR(LEFT(IFERROR(INDEX(Clay_Brands!$A$2:$FZ$601,277,Sync!$D$5)&amp;"",""),6)&lt;&gt;"SAMPLE",Config!$B$19="Y")),IFERROR(N(INDEX(Clay_Brands!$A$2:$FZ$601,277,Sync!$D$13)),0),"")</f>
        <v/>
      </c>
      <c r="C4928" s="23" t="str">
        <f aca="false">IF(B4928="","","brand")</f>
        <v/>
      </c>
      <c r="D4928" s="23" t="str">
        <f aca="false">IF(B4928="","",IFERROR(INDEX(Brand_Log!$DV$2:$DV$201,MATCH(IFERROR(INDEX(Clay_Brands!$A$2:$FZ$601,277,Sync!$D$5)&amp;"",""),Brand_Log!$A$2:$A$201,0))&amp;"",IFERROR(INDEX(Clay_Brands!$A$2:$FZ$601,277,Sync!$D$5)&amp;"","")&amp;""))</f>
        <v/>
      </c>
      <c r="E4928" s="23" t="str">
        <f aca="false">IF(B4928="","",IFERROR(INDEX(Clay_Brands!$A$2:$FZ$601,277,Sync!$D$6)&amp;"",""))</f>
        <v/>
      </c>
      <c r="F4928" s="23" t="str">
        <f aca="false">IF(B4928="","","outreach_sent")</f>
        <v/>
      </c>
      <c r="G4928" s="23" t="str">
        <f aca="false">IF(B4928="","","")</f>
        <v/>
      </c>
      <c r="H4928" s="23" t="str">
        <f aca="false">IF(B4928="","","")</f>
        <v/>
      </c>
      <c r="I4928" s="23" t="str">
        <f aca="false">IF(B4928="","","")</f>
        <v/>
      </c>
      <c r="J4928" s="23" t="str">
        <f aca="false">IF(B4928="","","touch_3; "&amp;IFERROR(INDEX(Clay_Brands!$A$2:$FZ$601,277,Sync!$D$10)&amp;"","")&amp;"; "&amp;IFERROR(INDEX(Clay_Brands!$A$2:$FZ$601,277,Sync!$D$9)&amp;"",""))</f>
        <v/>
      </c>
      <c r="K4928" s="32" t="s">
        <v>1368</v>
      </c>
    </row>
    <row r="4929" customFormat="false" ht="15" hidden="false" customHeight="false" outlineLevel="0" collapsed="false">
      <c r="A4929" s="23" t="str">
        <f aca="false">IF(B4929="","",B4929+(17*1000+278)/10000000)</f>
        <v/>
      </c>
      <c r="B4929" s="35" t="str">
        <f aca="false">IF(AND(IFERROR(N(INDEX(Clay_Brands!$A$2:$FZ$601,278,Sync!$D$13)),0)&gt;0,IFERROR(INDEX(Clay_Brands!$A$2:$FZ$601,278,Sync!$D$5)&amp;"","")&lt;&gt;"",OR(LEFT(IFERROR(INDEX(Clay_Brands!$A$2:$FZ$601,278,Sync!$D$5)&amp;"",""),6)&lt;&gt;"SAMPLE",Config!$B$19="Y")),IFERROR(N(INDEX(Clay_Brands!$A$2:$FZ$601,278,Sync!$D$13)),0),"")</f>
        <v/>
      </c>
      <c r="C4929" s="23" t="str">
        <f aca="false">IF(B4929="","","brand")</f>
        <v/>
      </c>
      <c r="D4929" s="23" t="str">
        <f aca="false">IF(B4929="","",IFERROR(INDEX(Brand_Log!$DV$2:$DV$201,MATCH(IFERROR(INDEX(Clay_Brands!$A$2:$FZ$601,278,Sync!$D$5)&amp;"",""),Brand_Log!$A$2:$A$201,0))&amp;"",IFERROR(INDEX(Clay_Brands!$A$2:$FZ$601,278,Sync!$D$5)&amp;"","")&amp;""))</f>
        <v/>
      </c>
      <c r="E4929" s="23" t="str">
        <f aca="false">IF(B4929="","",IFERROR(INDEX(Clay_Brands!$A$2:$FZ$601,278,Sync!$D$6)&amp;"",""))</f>
        <v/>
      </c>
      <c r="F4929" s="23" t="str">
        <f aca="false">IF(B4929="","","outreach_sent")</f>
        <v/>
      </c>
      <c r="G4929" s="23" t="str">
        <f aca="false">IF(B4929="","","")</f>
        <v/>
      </c>
      <c r="H4929" s="23" t="str">
        <f aca="false">IF(B4929="","","")</f>
        <v/>
      </c>
      <c r="I4929" s="23" t="str">
        <f aca="false">IF(B4929="","","")</f>
        <v/>
      </c>
      <c r="J4929" s="23" t="str">
        <f aca="false">IF(B4929="","","touch_3; "&amp;IFERROR(INDEX(Clay_Brands!$A$2:$FZ$601,278,Sync!$D$10)&amp;"","")&amp;"; "&amp;IFERROR(INDEX(Clay_Brands!$A$2:$FZ$601,278,Sync!$D$9)&amp;"",""))</f>
        <v/>
      </c>
      <c r="K4929" s="32" t="s">
        <v>1368</v>
      </c>
    </row>
    <row r="4930" customFormat="false" ht="15" hidden="false" customHeight="false" outlineLevel="0" collapsed="false">
      <c r="A4930" s="23" t="str">
        <f aca="false">IF(B4930="","",B4930+(17*1000+279)/10000000)</f>
        <v/>
      </c>
      <c r="B4930" s="35" t="str">
        <f aca="false">IF(AND(IFERROR(N(INDEX(Clay_Brands!$A$2:$FZ$601,279,Sync!$D$13)),0)&gt;0,IFERROR(INDEX(Clay_Brands!$A$2:$FZ$601,279,Sync!$D$5)&amp;"","")&lt;&gt;"",OR(LEFT(IFERROR(INDEX(Clay_Brands!$A$2:$FZ$601,279,Sync!$D$5)&amp;"",""),6)&lt;&gt;"SAMPLE",Config!$B$19="Y")),IFERROR(N(INDEX(Clay_Brands!$A$2:$FZ$601,279,Sync!$D$13)),0),"")</f>
        <v/>
      </c>
      <c r="C4930" s="23" t="str">
        <f aca="false">IF(B4930="","","brand")</f>
        <v/>
      </c>
      <c r="D4930" s="23" t="str">
        <f aca="false">IF(B4930="","",IFERROR(INDEX(Brand_Log!$DV$2:$DV$201,MATCH(IFERROR(INDEX(Clay_Brands!$A$2:$FZ$601,279,Sync!$D$5)&amp;"",""),Brand_Log!$A$2:$A$201,0))&amp;"",IFERROR(INDEX(Clay_Brands!$A$2:$FZ$601,279,Sync!$D$5)&amp;"","")&amp;""))</f>
        <v/>
      </c>
      <c r="E4930" s="23" t="str">
        <f aca="false">IF(B4930="","",IFERROR(INDEX(Clay_Brands!$A$2:$FZ$601,279,Sync!$D$6)&amp;"",""))</f>
        <v/>
      </c>
      <c r="F4930" s="23" t="str">
        <f aca="false">IF(B4930="","","outreach_sent")</f>
        <v/>
      </c>
      <c r="G4930" s="23" t="str">
        <f aca="false">IF(B4930="","","")</f>
        <v/>
      </c>
      <c r="H4930" s="23" t="str">
        <f aca="false">IF(B4930="","","")</f>
        <v/>
      </c>
      <c r="I4930" s="23" t="str">
        <f aca="false">IF(B4930="","","")</f>
        <v/>
      </c>
      <c r="J4930" s="23" t="str">
        <f aca="false">IF(B4930="","","touch_3; "&amp;IFERROR(INDEX(Clay_Brands!$A$2:$FZ$601,279,Sync!$D$10)&amp;"","")&amp;"; "&amp;IFERROR(INDEX(Clay_Brands!$A$2:$FZ$601,279,Sync!$D$9)&amp;"",""))</f>
        <v/>
      </c>
      <c r="K4930" s="32" t="s">
        <v>1368</v>
      </c>
    </row>
    <row r="4931" customFormat="false" ht="15" hidden="false" customHeight="false" outlineLevel="0" collapsed="false">
      <c r="A4931" s="23" t="str">
        <f aca="false">IF(B4931="","",B4931+(17*1000+280)/10000000)</f>
        <v/>
      </c>
      <c r="B4931" s="35" t="str">
        <f aca="false">IF(AND(IFERROR(N(INDEX(Clay_Brands!$A$2:$FZ$601,280,Sync!$D$13)),0)&gt;0,IFERROR(INDEX(Clay_Brands!$A$2:$FZ$601,280,Sync!$D$5)&amp;"","")&lt;&gt;"",OR(LEFT(IFERROR(INDEX(Clay_Brands!$A$2:$FZ$601,280,Sync!$D$5)&amp;"",""),6)&lt;&gt;"SAMPLE",Config!$B$19="Y")),IFERROR(N(INDEX(Clay_Brands!$A$2:$FZ$601,280,Sync!$D$13)),0),"")</f>
        <v/>
      </c>
      <c r="C4931" s="23" t="str">
        <f aca="false">IF(B4931="","","brand")</f>
        <v/>
      </c>
      <c r="D4931" s="23" t="str">
        <f aca="false">IF(B4931="","",IFERROR(INDEX(Brand_Log!$DV$2:$DV$201,MATCH(IFERROR(INDEX(Clay_Brands!$A$2:$FZ$601,280,Sync!$D$5)&amp;"",""),Brand_Log!$A$2:$A$201,0))&amp;"",IFERROR(INDEX(Clay_Brands!$A$2:$FZ$601,280,Sync!$D$5)&amp;"","")&amp;""))</f>
        <v/>
      </c>
      <c r="E4931" s="23" t="str">
        <f aca="false">IF(B4931="","",IFERROR(INDEX(Clay_Brands!$A$2:$FZ$601,280,Sync!$D$6)&amp;"",""))</f>
        <v/>
      </c>
      <c r="F4931" s="23" t="str">
        <f aca="false">IF(B4931="","","outreach_sent")</f>
        <v/>
      </c>
      <c r="G4931" s="23" t="str">
        <f aca="false">IF(B4931="","","")</f>
        <v/>
      </c>
      <c r="H4931" s="23" t="str">
        <f aca="false">IF(B4931="","","")</f>
        <v/>
      </c>
      <c r="I4931" s="23" t="str">
        <f aca="false">IF(B4931="","","")</f>
        <v/>
      </c>
      <c r="J4931" s="23" t="str">
        <f aca="false">IF(B4931="","","touch_3; "&amp;IFERROR(INDEX(Clay_Brands!$A$2:$FZ$601,280,Sync!$D$10)&amp;"","")&amp;"; "&amp;IFERROR(INDEX(Clay_Brands!$A$2:$FZ$601,280,Sync!$D$9)&amp;"",""))</f>
        <v/>
      </c>
      <c r="K4931" s="32" t="s">
        <v>1368</v>
      </c>
    </row>
    <row r="4932" customFormat="false" ht="15" hidden="false" customHeight="false" outlineLevel="0" collapsed="false">
      <c r="A4932" s="23" t="str">
        <f aca="false">IF(B4932="","",B4932+(17*1000+281)/10000000)</f>
        <v/>
      </c>
      <c r="B4932" s="35" t="str">
        <f aca="false">IF(AND(IFERROR(N(INDEX(Clay_Brands!$A$2:$FZ$601,281,Sync!$D$13)),0)&gt;0,IFERROR(INDEX(Clay_Brands!$A$2:$FZ$601,281,Sync!$D$5)&amp;"","")&lt;&gt;"",OR(LEFT(IFERROR(INDEX(Clay_Brands!$A$2:$FZ$601,281,Sync!$D$5)&amp;"",""),6)&lt;&gt;"SAMPLE",Config!$B$19="Y")),IFERROR(N(INDEX(Clay_Brands!$A$2:$FZ$601,281,Sync!$D$13)),0),"")</f>
        <v/>
      </c>
      <c r="C4932" s="23" t="str">
        <f aca="false">IF(B4932="","","brand")</f>
        <v/>
      </c>
      <c r="D4932" s="23" t="str">
        <f aca="false">IF(B4932="","",IFERROR(INDEX(Brand_Log!$DV$2:$DV$201,MATCH(IFERROR(INDEX(Clay_Brands!$A$2:$FZ$601,281,Sync!$D$5)&amp;"",""),Brand_Log!$A$2:$A$201,0))&amp;"",IFERROR(INDEX(Clay_Brands!$A$2:$FZ$601,281,Sync!$D$5)&amp;"","")&amp;""))</f>
        <v/>
      </c>
      <c r="E4932" s="23" t="str">
        <f aca="false">IF(B4932="","",IFERROR(INDEX(Clay_Brands!$A$2:$FZ$601,281,Sync!$D$6)&amp;"",""))</f>
        <v/>
      </c>
      <c r="F4932" s="23" t="str">
        <f aca="false">IF(B4932="","","outreach_sent")</f>
        <v/>
      </c>
      <c r="G4932" s="23" t="str">
        <f aca="false">IF(B4932="","","")</f>
        <v/>
      </c>
      <c r="H4932" s="23" t="str">
        <f aca="false">IF(B4932="","","")</f>
        <v/>
      </c>
      <c r="I4932" s="23" t="str">
        <f aca="false">IF(B4932="","","")</f>
        <v/>
      </c>
      <c r="J4932" s="23" t="str">
        <f aca="false">IF(B4932="","","touch_3; "&amp;IFERROR(INDEX(Clay_Brands!$A$2:$FZ$601,281,Sync!$D$10)&amp;"","")&amp;"; "&amp;IFERROR(INDEX(Clay_Brands!$A$2:$FZ$601,281,Sync!$D$9)&amp;"",""))</f>
        <v/>
      </c>
      <c r="K4932" s="32" t="s">
        <v>1368</v>
      </c>
    </row>
    <row r="4933" customFormat="false" ht="15" hidden="false" customHeight="false" outlineLevel="0" collapsed="false">
      <c r="A4933" s="23" t="str">
        <f aca="false">IF(B4933="","",B4933+(17*1000+282)/10000000)</f>
        <v/>
      </c>
      <c r="B4933" s="35" t="str">
        <f aca="false">IF(AND(IFERROR(N(INDEX(Clay_Brands!$A$2:$FZ$601,282,Sync!$D$13)),0)&gt;0,IFERROR(INDEX(Clay_Brands!$A$2:$FZ$601,282,Sync!$D$5)&amp;"","")&lt;&gt;"",OR(LEFT(IFERROR(INDEX(Clay_Brands!$A$2:$FZ$601,282,Sync!$D$5)&amp;"",""),6)&lt;&gt;"SAMPLE",Config!$B$19="Y")),IFERROR(N(INDEX(Clay_Brands!$A$2:$FZ$601,282,Sync!$D$13)),0),"")</f>
        <v/>
      </c>
      <c r="C4933" s="23" t="str">
        <f aca="false">IF(B4933="","","brand")</f>
        <v/>
      </c>
      <c r="D4933" s="23" t="str">
        <f aca="false">IF(B4933="","",IFERROR(INDEX(Brand_Log!$DV$2:$DV$201,MATCH(IFERROR(INDEX(Clay_Brands!$A$2:$FZ$601,282,Sync!$D$5)&amp;"",""),Brand_Log!$A$2:$A$201,0))&amp;"",IFERROR(INDEX(Clay_Brands!$A$2:$FZ$601,282,Sync!$D$5)&amp;"","")&amp;""))</f>
        <v/>
      </c>
      <c r="E4933" s="23" t="str">
        <f aca="false">IF(B4933="","",IFERROR(INDEX(Clay_Brands!$A$2:$FZ$601,282,Sync!$D$6)&amp;"",""))</f>
        <v/>
      </c>
      <c r="F4933" s="23" t="str">
        <f aca="false">IF(B4933="","","outreach_sent")</f>
        <v/>
      </c>
      <c r="G4933" s="23" t="str">
        <f aca="false">IF(B4933="","","")</f>
        <v/>
      </c>
      <c r="H4933" s="23" t="str">
        <f aca="false">IF(B4933="","","")</f>
        <v/>
      </c>
      <c r="I4933" s="23" t="str">
        <f aca="false">IF(B4933="","","")</f>
        <v/>
      </c>
      <c r="J4933" s="23" t="str">
        <f aca="false">IF(B4933="","","touch_3; "&amp;IFERROR(INDEX(Clay_Brands!$A$2:$FZ$601,282,Sync!$D$10)&amp;"","")&amp;"; "&amp;IFERROR(INDEX(Clay_Brands!$A$2:$FZ$601,282,Sync!$D$9)&amp;"",""))</f>
        <v/>
      </c>
      <c r="K4933" s="32" t="s">
        <v>1368</v>
      </c>
    </row>
    <row r="4934" customFormat="false" ht="15" hidden="false" customHeight="false" outlineLevel="0" collapsed="false">
      <c r="A4934" s="23" t="str">
        <f aca="false">IF(B4934="","",B4934+(17*1000+283)/10000000)</f>
        <v/>
      </c>
      <c r="B4934" s="35" t="str">
        <f aca="false">IF(AND(IFERROR(N(INDEX(Clay_Brands!$A$2:$FZ$601,283,Sync!$D$13)),0)&gt;0,IFERROR(INDEX(Clay_Brands!$A$2:$FZ$601,283,Sync!$D$5)&amp;"","")&lt;&gt;"",OR(LEFT(IFERROR(INDEX(Clay_Brands!$A$2:$FZ$601,283,Sync!$D$5)&amp;"",""),6)&lt;&gt;"SAMPLE",Config!$B$19="Y")),IFERROR(N(INDEX(Clay_Brands!$A$2:$FZ$601,283,Sync!$D$13)),0),"")</f>
        <v/>
      </c>
      <c r="C4934" s="23" t="str">
        <f aca="false">IF(B4934="","","brand")</f>
        <v/>
      </c>
      <c r="D4934" s="23" t="str">
        <f aca="false">IF(B4934="","",IFERROR(INDEX(Brand_Log!$DV$2:$DV$201,MATCH(IFERROR(INDEX(Clay_Brands!$A$2:$FZ$601,283,Sync!$D$5)&amp;"",""),Brand_Log!$A$2:$A$201,0))&amp;"",IFERROR(INDEX(Clay_Brands!$A$2:$FZ$601,283,Sync!$D$5)&amp;"","")&amp;""))</f>
        <v/>
      </c>
      <c r="E4934" s="23" t="str">
        <f aca="false">IF(B4934="","",IFERROR(INDEX(Clay_Brands!$A$2:$FZ$601,283,Sync!$D$6)&amp;"",""))</f>
        <v/>
      </c>
      <c r="F4934" s="23" t="str">
        <f aca="false">IF(B4934="","","outreach_sent")</f>
        <v/>
      </c>
      <c r="G4934" s="23" t="str">
        <f aca="false">IF(B4934="","","")</f>
        <v/>
      </c>
      <c r="H4934" s="23" t="str">
        <f aca="false">IF(B4934="","","")</f>
        <v/>
      </c>
      <c r="I4934" s="23" t="str">
        <f aca="false">IF(B4934="","","")</f>
        <v/>
      </c>
      <c r="J4934" s="23" t="str">
        <f aca="false">IF(B4934="","","touch_3; "&amp;IFERROR(INDEX(Clay_Brands!$A$2:$FZ$601,283,Sync!$D$10)&amp;"","")&amp;"; "&amp;IFERROR(INDEX(Clay_Brands!$A$2:$FZ$601,283,Sync!$D$9)&amp;"",""))</f>
        <v/>
      </c>
      <c r="K4934" s="32" t="s">
        <v>1368</v>
      </c>
    </row>
    <row r="4935" customFormat="false" ht="15" hidden="false" customHeight="false" outlineLevel="0" collapsed="false">
      <c r="A4935" s="23" t="str">
        <f aca="false">IF(B4935="","",B4935+(17*1000+284)/10000000)</f>
        <v/>
      </c>
      <c r="B4935" s="35" t="str">
        <f aca="false">IF(AND(IFERROR(N(INDEX(Clay_Brands!$A$2:$FZ$601,284,Sync!$D$13)),0)&gt;0,IFERROR(INDEX(Clay_Brands!$A$2:$FZ$601,284,Sync!$D$5)&amp;"","")&lt;&gt;"",OR(LEFT(IFERROR(INDEX(Clay_Brands!$A$2:$FZ$601,284,Sync!$D$5)&amp;"",""),6)&lt;&gt;"SAMPLE",Config!$B$19="Y")),IFERROR(N(INDEX(Clay_Brands!$A$2:$FZ$601,284,Sync!$D$13)),0),"")</f>
        <v/>
      </c>
      <c r="C4935" s="23" t="str">
        <f aca="false">IF(B4935="","","brand")</f>
        <v/>
      </c>
      <c r="D4935" s="23" t="str">
        <f aca="false">IF(B4935="","",IFERROR(INDEX(Brand_Log!$DV$2:$DV$201,MATCH(IFERROR(INDEX(Clay_Brands!$A$2:$FZ$601,284,Sync!$D$5)&amp;"",""),Brand_Log!$A$2:$A$201,0))&amp;"",IFERROR(INDEX(Clay_Brands!$A$2:$FZ$601,284,Sync!$D$5)&amp;"","")&amp;""))</f>
        <v/>
      </c>
      <c r="E4935" s="23" t="str">
        <f aca="false">IF(B4935="","",IFERROR(INDEX(Clay_Brands!$A$2:$FZ$601,284,Sync!$D$6)&amp;"",""))</f>
        <v/>
      </c>
      <c r="F4935" s="23" t="str">
        <f aca="false">IF(B4935="","","outreach_sent")</f>
        <v/>
      </c>
      <c r="G4935" s="23" t="str">
        <f aca="false">IF(B4935="","","")</f>
        <v/>
      </c>
      <c r="H4935" s="23" t="str">
        <f aca="false">IF(B4935="","","")</f>
        <v/>
      </c>
      <c r="I4935" s="23" t="str">
        <f aca="false">IF(B4935="","","")</f>
        <v/>
      </c>
      <c r="J4935" s="23" t="str">
        <f aca="false">IF(B4935="","","touch_3; "&amp;IFERROR(INDEX(Clay_Brands!$A$2:$FZ$601,284,Sync!$D$10)&amp;"","")&amp;"; "&amp;IFERROR(INDEX(Clay_Brands!$A$2:$FZ$601,284,Sync!$D$9)&amp;"",""))</f>
        <v/>
      </c>
      <c r="K4935" s="32" t="s">
        <v>1368</v>
      </c>
    </row>
    <row r="4936" customFormat="false" ht="15" hidden="false" customHeight="false" outlineLevel="0" collapsed="false">
      <c r="A4936" s="23" t="str">
        <f aca="false">IF(B4936="","",B4936+(17*1000+285)/10000000)</f>
        <v/>
      </c>
      <c r="B4936" s="35" t="str">
        <f aca="false">IF(AND(IFERROR(N(INDEX(Clay_Brands!$A$2:$FZ$601,285,Sync!$D$13)),0)&gt;0,IFERROR(INDEX(Clay_Brands!$A$2:$FZ$601,285,Sync!$D$5)&amp;"","")&lt;&gt;"",OR(LEFT(IFERROR(INDEX(Clay_Brands!$A$2:$FZ$601,285,Sync!$D$5)&amp;"",""),6)&lt;&gt;"SAMPLE",Config!$B$19="Y")),IFERROR(N(INDEX(Clay_Brands!$A$2:$FZ$601,285,Sync!$D$13)),0),"")</f>
        <v/>
      </c>
      <c r="C4936" s="23" t="str">
        <f aca="false">IF(B4936="","","brand")</f>
        <v/>
      </c>
      <c r="D4936" s="23" t="str">
        <f aca="false">IF(B4936="","",IFERROR(INDEX(Brand_Log!$DV$2:$DV$201,MATCH(IFERROR(INDEX(Clay_Brands!$A$2:$FZ$601,285,Sync!$D$5)&amp;"",""),Brand_Log!$A$2:$A$201,0))&amp;"",IFERROR(INDEX(Clay_Brands!$A$2:$FZ$601,285,Sync!$D$5)&amp;"","")&amp;""))</f>
        <v/>
      </c>
      <c r="E4936" s="23" t="str">
        <f aca="false">IF(B4936="","",IFERROR(INDEX(Clay_Brands!$A$2:$FZ$601,285,Sync!$D$6)&amp;"",""))</f>
        <v/>
      </c>
      <c r="F4936" s="23" t="str">
        <f aca="false">IF(B4936="","","outreach_sent")</f>
        <v/>
      </c>
      <c r="G4936" s="23" t="str">
        <f aca="false">IF(B4936="","","")</f>
        <v/>
      </c>
      <c r="H4936" s="23" t="str">
        <f aca="false">IF(B4936="","","")</f>
        <v/>
      </c>
      <c r="I4936" s="23" t="str">
        <f aca="false">IF(B4936="","","")</f>
        <v/>
      </c>
      <c r="J4936" s="23" t="str">
        <f aca="false">IF(B4936="","","touch_3; "&amp;IFERROR(INDEX(Clay_Brands!$A$2:$FZ$601,285,Sync!$D$10)&amp;"","")&amp;"; "&amp;IFERROR(INDEX(Clay_Brands!$A$2:$FZ$601,285,Sync!$D$9)&amp;"",""))</f>
        <v/>
      </c>
      <c r="K4936" s="32" t="s">
        <v>1368</v>
      </c>
    </row>
    <row r="4937" customFormat="false" ht="15" hidden="false" customHeight="false" outlineLevel="0" collapsed="false">
      <c r="A4937" s="23" t="str">
        <f aca="false">IF(B4937="","",B4937+(17*1000+286)/10000000)</f>
        <v/>
      </c>
      <c r="B4937" s="35" t="str">
        <f aca="false">IF(AND(IFERROR(N(INDEX(Clay_Brands!$A$2:$FZ$601,286,Sync!$D$13)),0)&gt;0,IFERROR(INDEX(Clay_Brands!$A$2:$FZ$601,286,Sync!$D$5)&amp;"","")&lt;&gt;"",OR(LEFT(IFERROR(INDEX(Clay_Brands!$A$2:$FZ$601,286,Sync!$D$5)&amp;"",""),6)&lt;&gt;"SAMPLE",Config!$B$19="Y")),IFERROR(N(INDEX(Clay_Brands!$A$2:$FZ$601,286,Sync!$D$13)),0),"")</f>
        <v/>
      </c>
      <c r="C4937" s="23" t="str">
        <f aca="false">IF(B4937="","","brand")</f>
        <v/>
      </c>
      <c r="D4937" s="23" t="str">
        <f aca="false">IF(B4937="","",IFERROR(INDEX(Brand_Log!$DV$2:$DV$201,MATCH(IFERROR(INDEX(Clay_Brands!$A$2:$FZ$601,286,Sync!$D$5)&amp;"",""),Brand_Log!$A$2:$A$201,0))&amp;"",IFERROR(INDEX(Clay_Brands!$A$2:$FZ$601,286,Sync!$D$5)&amp;"","")&amp;""))</f>
        <v/>
      </c>
      <c r="E4937" s="23" t="str">
        <f aca="false">IF(B4937="","",IFERROR(INDEX(Clay_Brands!$A$2:$FZ$601,286,Sync!$D$6)&amp;"",""))</f>
        <v/>
      </c>
      <c r="F4937" s="23" t="str">
        <f aca="false">IF(B4937="","","outreach_sent")</f>
        <v/>
      </c>
      <c r="G4937" s="23" t="str">
        <f aca="false">IF(B4937="","","")</f>
        <v/>
      </c>
      <c r="H4937" s="23" t="str">
        <f aca="false">IF(B4937="","","")</f>
        <v/>
      </c>
      <c r="I4937" s="23" t="str">
        <f aca="false">IF(B4937="","","")</f>
        <v/>
      </c>
      <c r="J4937" s="23" t="str">
        <f aca="false">IF(B4937="","","touch_3; "&amp;IFERROR(INDEX(Clay_Brands!$A$2:$FZ$601,286,Sync!$D$10)&amp;"","")&amp;"; "&amp;IFERROR(INDEX(Clay_Brands!$A$2:$FZ$601,286,Sync!$D$9)&amp;"",""))</f>
        <v/>
      </c>
      <c r="K4937" s="32" t="s">
        <v>1368</v>
      </c>
    </row>
    <row r="4938" customFormat="false" ht="15" hidden="false" customHeight="false" outlineLevel="0" collapsed="false">
      <c r="A4938" s="23" t="str">
        <f aca="false">IF(B4938="","",B4938+(17*1000+287)/10000000)</f>
        <v/>
      </c>
      <c r="B4938" s="35" t="str">
        <f aca="false">IF(AND(IFERROR(N(INDEX(Clay_Brands!$A$2:$FZ$601,287,Sync!$D$13)),0)&gt;0,IFERROR(INDEX(Clay_Brands!$A$2:$FZ$601,287,Sync!$D$5)&amp;"","")&lt;&gt;"",OR(LEFT(IFERROR(INDEX(Clay_Brands!$A$2:$FZ$601,287,Sync!$D$5)&amp;"",""),6)&lt;&gt;"SAMPLE",Config!$B$19="Y")),IFERROR(N(INDEX(Clay_Brands!$A$2:$FZ$601,287,Sync!$D$13)),0),"")</f>
        <v/>
      </c>
      <c r="C4938" s="23" t="str">
        <f aca="false">IF(B4938="","","brand")</f>
        <v/>
      </c>
      <c r="D4938" s="23" t="str">
        <f aca="false">IF(B4938="","",IFERROR(INDEX(Brand_Log!$DV$2:$DV$201,MATCH(IFERROR(INDEX(Clay_Brands!$A$2:$FZ$601,287,Sync!$D$5)&amp;"",""),Brand_Log!$A$2:$A$201,0))&amp;"",IFERROR(INDEX(Clay_Brands!$A$2:$FZ$601,287,Sync!$D$5)&amp;"","")&amp;""))</f>
        <v/>
      </c>
      <c r="E4938" s="23" t="str">
        <f aca="false">IF(B4938="","",IFERROR(INDEX(Clay_Brands!$A$2:$FZ$601,287,Sync!$D$6)&amp;"",""))</f>
        <v/>
      </c>
      <c r="F4938" s="23" t="str">
        <f aca="false">IF(B4938="","","outreach_sent")</f>
        <v/>
      </c>
      <c r="G4938" s="23" t="str">
        <f aca="false">IF(B4938="","","")</f>
        <v/>
      </c>
      <c r="H4938" s="23" t="str">
        <f aca="false">IF(B4938="","","")</f>
        <v/>
      </c>
      <c r="I4938" s="23" t="str">
        <f aca="false">IF(B4938="","","")</f>
        <v/>
      </c>
      <c r="J4938" s="23" t="str">
        <f aca="false">IF(B4938="","","touch_3; "&amp;IFERROR(INDEX(Clay_Brands!$A$2:$FZ$601,287,Sync!$D$10)&amp;"","")&amp;"; "&amp;IFERROR(INDEX(Clay_Brands!$A$2:$FZ$601,287,Sync!$D$9)&amp;"",""))</f>
        <v/>
      </c>
      <c r="K4938" s="32" t="s">
        <v>1368</v>
      </c>
    </row>
    <row r="4939" customFormat="false" ht="15" hidden="false" customHeight="false" outlineLevel="0" collapsed="false">
      <c r="A4939" s="23" t="str">
        <f aca="false">IF(B4939="","",B4939+(17*1000+288)/10000000)</f>
        <v/>
      </c>
      <c r="B4939" s="35" t="str">
        <f aca="false">IF(AND(IFERROR(N(INDEX(Clay_Brands!$A$2:$FZ$601,288,Sync!$D$13)),0)&gt;0,IFERROR(INDEX(Clay_Brands!$A$2:$FZ$601,288,Sync!$D$5)&amp;"","")&lt;&gt;"",OR(LEFT(IFERROR(INDEX(Clay_Brands!$A$2:$FZ$601,288,Sync!$D$5)&amp;"",""),6)&lt;&gt;"SAMPLE",Config!$B$19="Y")),IFERROR(N(INDEX(Clay_Brands!$A$2:$FZ$601,288,Sync!$D$13)),0),"")</f>
        <v/>
      </c>
      <c r="C4939" s="23" t="str">
        <f aca="false">IF(B4939="","","brand")</f>
        <v/>
      </c>
      <c r="D4939" s="23" t="str">
        <f aca="false">IF(B4939="","",IFERROR(INDEX(Brand_Log!$DV$2:$DV$201,MATCH(IFERROR(INDEX(Clay_Brands!$A$2:$FZ$601,288,Sync!$D$5)&amp;"",""),Brand_Log!$A$2:$A$201,0))&amp;"",IFERROR(INDEX(Clay_Brands!$A$2:$FZ$601,288,Sync!$D$5)&amp;"","")&amp;""))</f>
        <v/>
      </c>
      <c r="E4939" s="23" t="str">
        <f aca="false">IF(B4939="","",IFERROR(INDEX(Clay_Brands!$A$2:$FZ$601,288,Sync!$D$6)&amp;"",""))</f>
        <v/>
      </c>
      <c r="F4939" s="23" t="str">
        <f aca="false">IF(B4939="","","outreach_sent")</f>
        <v/>
      </c>
      <c r="G4939" s="23" t="str">
        <f aca="false">IF(B4939="","","")</f>
        <v/>
      </c>
      <c r="H4939" s="23" t="str">
        <f aca="false">IF(B4939="","","")</f>
        <v/>
      </c>
      <c r="I4939" s="23" t="str">
        <f aca="false">IF(B4939="","","")</f>
        <v/>
      </c>
      <c r="J4939" s="23" t="str">
        <f aca="false">IF(B4939="","","touch_3; "&amp;IFERROR(INDEX(Clay_Brands!$A$2:$FZ$601,288,Sync!$D$10)&amp;"","")&amp;"; "&amp;IFERROR(INDEX(Clay_Brands!$A$2:$FZ$601,288,Sync!$D$9)&amp;"",""))</f>
        <v/>
      </c>
      <c r="K4939" s="32" t="s">
        <v>1368</v>
      </c>
    </row>
    <row r="4940" customFormat="false" ht="15" hidden="false" customHeight="false" outlineLevel="0" collapsed="false">
      <c r="A4940" s="23" t="str">
        <f aca="false">IF(B4940="","",B4940+(17*1000+289)/10000000)</f>
        <v/>
      </c>
      <c r="B4940" s="35" t="str">
        <f aca="false">IF(AND(IFERROR(N(INDEX(Clay_Brands!$A$2:$FZ$601,289,Sync!$D$13)),0)&gt;0,IFERROR(INDEX(Clay_Brands!$A$2:$FZ$601,289,Sync!$D$5)&amp;"","")&lt;&gt;"",OR(LEFT(IFERROR(INDEX(Clay_Brands!$A$2:$FZ$601,289,Sync!$D$5)&amp;"",""),6)&lt;&gt;"SAMPLE",Config!$B$19="Y")),IFERROR(N(INDEX(Clay_Brands!$A$2:$FZ$601,289,Sync!$D$13)),0),"")</f>
        <v/>
      </c>
      <c r="C4940" s="23" t="str">
        <f aca="false">IF(B4940="","","brand")</f>
        <v/>
      </c>
      <c r="D4940" s="23" t="str">
        <f aca="false">IF(B4940="","",IFERROR(INDEX(Brand_Log!$DV$2:$DV$201,MATCH(IFERROR(INDEX(Clay_Brands!$A$2:$FZ$601,289,Sync!$D$5)&amp;"",""),Brand_Log!$A$2:$A$201,0))&amp;"",IFERROR(INDEX(Clay_Brands!$A$2:$FZ$601,289,Sync!$D$5)&amp;"","")&amp;""))</f>
        <v/>
      </c>
      <c r="E4940" s="23" t="str">
        <f aca="false">IF(B4940="","",IFERROR(INDEX(Clay_Brands!$A$2:$FZ$601,289,Sync!$D$6)&amp;"",""))</f>
        <v/>
      </c>
      <c r="F4940" s="23" t="str">
        <f aca="false">IF(B4940="","","outreach_sent")</f>
        <v/>
      </c>
      <c r="G4940" s="23" t="str">
        <f aca="false">IF(B4940="","","")</f>
        <v/>
      </c>
      <c r="H4940" s="23" t="str">
        <f aca="false">IF(B4940="","","")</f>
        <v/>
      </c>
      <c r="I4940" s="23" t="str">
        <f aca="false">IF(B4940="","","")</f>
        <v/>
      </c>
      <c r="J4940" s="23" t="str">
        <f aca="false">IF(B4940="","","touch_3; "&amp;IFERROR(INDEX(Clay_Brands!$A$2:$FZ$601,289,Sync!$D$10)&amp;"","")&amp;"; "&amp;IFERROR(INDEX(Clay_Brands!$A$2:$FZ$601,289,Sync!$D$9)&amp;"",""))</f>
        <v/>
      </c>
      <c r="K4940" s="32" t="s">
        <v>1368</v>
      </c>
    </row>
    <row r="4941" customFormat="false" ht="15" hidden="false" customHeight="false" outlineLevel="0" collapsed="false">
      <c r="A4941" s="23" t="str">
        <f aca="false">IF(B4941="","",B4941+(17*1000+290)/10000000)</f>
        <v/>
      </c>
      <c r="B4941" s="35" t="str">
        <f aca="false">IF(AND(IFERROR(N(INDEX(Clay_Brands!$A$2:$FZ$601,290,Sync!$D$13)),0)&gt;0,IFERROR(INDEX(Clay_Brands!$A$2:$FZ$601,290,Sync!$D$5)&amp;"","")&lt;&gt;"",OR(LEFT(IFERROR(INDEX(Clay_Brands!$A$2:$FZ$601,290,Sync!$D$5)&amp;"",""),6)&lt;&gt;"SAMPLE",Config!$B$19="Y")),IFERROR(N(INDEX(Clay_Brands!$A$2:$FZ$601,290,Sync!$D$13)),0),"")</f>
        <v/>
      </c>
      <c r="C4941" s="23" t="str">
        <f aca="false">IF(B4941="","","brand")</f>
        <v/>
      </c>
      <c r="D4941" s="23" t="str">
        <f aca="false">IF(B4941="","",IFERROR(INDEX(Brand_Log!$DV$2:$DV$201,MATCH(IFERROR(INDEX(Clay_Brands!$A$2:$FZ$601,290,Sync!$D$5)&amp;"",""),Brand_Log!$A$2:$A$201,0))&amp;"",IFERROR(INDEX(Clay_Brands!$A$2:$FZ$601,290,Sync!$D$5)&amp;"","")&amp;""))</f>
        <v/>
      </c>
      <c r="E4941" s="23" t="str">
        <f aca="false">IF(B4941="","",IFERROR(INDEX(Clay_Brands!$A$2:$FZ$601,290,Sync!$D$6)&amp;"",""))</f>
        <v/>
      </c>
      <c r="F4941" s="23" t="str">
        <f aca="false">IF(B4941="","","outreach_sent")</f>
        <v/>
      </c>
      <c r="G4941" s="23" t="str">
        <f aca="false">IF(B4941="","","")</f>
        <v/>
      </c>
      <c r="H4941" s="23" t="str">
        <f aca="false">IF(B4941="","","")</f>
        <v/>
      </c>
      <c r="I4941" s="23" t="str">
        <f aca="false">IF(B4941="","","")</f>
        <v/>
      </c>
      <c r="J4941" s="23" t="str">
        <f aca="false">IF(B4941="","","touch_3; "&amp;IFERROR(INDEX(Clay_Brands!$A$2:$FZ$601,290,Sync!$D$10)&amp;"","")&amp;"; "&amp;IFERROR(INDEX(Clay_Brands!$A$2:$FZ$601,290,Sync!$D$9)&amp;"",""))</f>
        <v/>
      </c>
      <c r="K4941" s="32" t="s">
        <v>1368</v>
      </c>
    </row>
    <row r="4942" customFormat="false" ht="15" hidden="false" customHeight="false" outlineLevel="0" collapsed="false">
      <c r="A4942" s="23" t="str">
        <f aca="false">IF(B4942="","",B4942+(17*1000+291)/10000000)</f>
        <v/>
      </c>
      <c r="B4942" s="35" t="str">
        <f aca="false">IF(AND(IFERROR(N(INDEX(Clay_Brands!$A$2:$FZ$601,291,Sync!$D$13)),0)&gt;0,IFERROR(INDEX(Clay_Brands!$A$2:$FZ$601,291,Sync!$D$5)&amp;"","")&lt;&gt;"",OR(LEFT(IFERROR(INDEX(Clay_Brands!$A$2:$FZ$601,291,Sync!$D$5)&amp;"",""),6)&lt;&gt;"SAMPLE",Config!$B$19="Y")),IFERROR(N(INDEX(Clay_Brands!$A$2:$FZ$601,291,Sync!$D$13)),0),"")</f>
        <v/>
      </c>
      <c r="C4942" s="23" t="str">
        <f aca="false">IF(B4942="","","brand")</f>
        <v/>
      </c>
      <c r="D4942" s="23" t="str">
        <f aca="false">IF(B4942="","",IFERROR(INDEX(Brand_Log!$DV$2:$DV$201,MATCH(IFERROR(INDEX(Clay_Brands!$A$2:$FZ$601,291,Sync!$D$5)&amp;"",""),Brand_Log!$A$2:$A$201,0))&amp;"",IFERROR(INDEX(Clay_Brands!$A$2:$FZ$601,291,Sync!$D$5)&amp;"","")&amp;""))</f>
        <v/>
      </c>
      <c r="E4942" s="23" t="str">
        <f aca="false">IF(B4942="","",IFERROR(INDEX(Clay_Brands!$A$2:$FZ$601,291,Sync!$D$6)&amp;"",""))</f>
        <v/>
      </c>
      <c r="F4942" s="23" t="str">
        <f aca="false">IF(B4942="","","outreach_sent")</f>
        <v/>
      </c>
      <c r="G4942" s="23" t="str">
        <f aca="false">IF(B4942="","","")</f>
        <v/>
      </c>
      <c r="H4942" s="23" t="str">
        <f aca="false">IF(B4942="","","")</f>
        <v/>
      </c>
      <c r="I4942" s="23" t="str">
        <f aca="false">IF(B4942="","","")</f>
        <v/>
      </c>
      <c r="J4942" s="23" t="str">
        <f aca="false">IF(B4942="","","touch_3; "&amp;IFERROR(INDEX(Clay_Brands!$A$2:$FZ$601,291,Sync!$D$10)&amp;"","")&amp;"; "&amp;IFERROR(INDEX(Clay_Brands!$A$2:$FZ$601,291,Sync!$D$9)&amp;"",""))</f>
        <v/>
      </c>
      <c r="K4942" s="32" t="s">
        <v>1368</v>
      </c>
    </row>
    <row r="4943" customFormat="false" ht="15" hidden="false" customHeight="false" outlineLevel="0" collapsed="false">
      <c r="A4943" s="23" t="str">
        <f aca="false">IF(B4943="","",B4943+(17*1000+292)/10000000)</f>
        <v/>
      </c>
      <c r="B4943" s="35" t="str">
        <f aca="false">IF(AND(IFERROR(N(INDEX(Clay_Brands!$A$2:$FZ$601,292,Sync!$D$13)),0)&gt;0,IFERROR(INDEX(Clay_Brands!$A$2:$FZ$601,292,Sync!$D$5)&amp;"","")&lt;&gt;"",OR(LEFT(IFERROR(INDEX(Clay_Brands!$A$2:$FZ$601,292,Sync!$D$5)&amp;"",""),6)&lt;&gt;"SAMPLE",Config!$B$19="Y")),IFERROR(N(INDEX(Clay_Brands!$A$2:$FZ$601,292,Sync!$D$13)),0),"")</f>
        <v/>
      </c>
      <c r="C4943" s="23" t="str">
        <f aca="false">IF(B4943="","","brand")</f>
        <v/>
      </c>
      <c r="D4943" s="23" t="str">
        <f aca="false">IF(B4943="","",IFERROR(INDEX(Brand_Log!$DV$2:$DV$201,MATCH(IFERROR(INDEX(Clay_Brands!$A$2:$FZ$601,292,Sync!$D$5)&amp;"",""),Brand_Log!$A$2:$A$201,0))&amp;"",IFERROR(INDEX(Clay_Brands!$A$2:$FZ$601,292,Sync!$D$5)&amp;"","")&amp;""))</f>
        <v/>
      </c>
      <c r="E4943" s="23" t="str">
        <f aca="false">IF(B4943="","",IFERROR(INDEX(Clay_Brands!$A$2:$FZ$601,292,Sync!$D$6)&amp;"",""))</f>
        <v/>
      </c>
      <c r="F4943" s="23" t="str">
        <f aca="false">IF(B4943="","","outreach_sent")</f>
        <v/>
      </c>
      <c r="G4943" s="23" t="str">
        <f aca="false">IF(B4943="","","")</f>
        <v/>
      </c>
      <c r="H4943" s="23" t="str">
        <f aca="false">IF(B4943="","","")</f>
        <v/>
      </c>
      <c r="I4943" s="23" t="str">
        <f aca="false">IF(B4943="","","")</f>
        <v/>
      </c>
      <c r="J4943" s="23" t="str">
        <f aca="false">IF(B4943="","","touch_3; "&amp;IFERROR(INDEX(Clay_Brands!$A$2:$FZ$601,292,Sync!$D$10)&amp;"","")&amp;"; "&amp;IFERROR(INDEX(Clay_Brands!$A$2:$FZ$601,292,Sync!$D$9)&amp;"",""))</f>
        <v/>
      </c>
      <c r="K4943" s="32" t="s">
        <v>1368</v>
      </c>
    </row>
    <row r="4944" customFormat="false" ht="15" hidden="false" customHeight="false" outlineLevel="0" collapsed="false">
      <c r="A4944" s="23" t="str">
        <f aca="false">IF(B4944="","",B4944+(17*1000+293)/10000000)</f>
        <v/>
      </c>
      <c r="B4944" s="35" t="str">
        <f aca="false">IF(AND(IFERROR(N(INDEX(Clay_Brands!$A$2:$FZ$601,293,Sync!$D$13)),0)&gt;0,IFERROR(INDEX(Clay_Brands!$A$2:$FZ$601,293,Sync!$D$5)&amp;"","")&lt;&gt;"",OR(LEFT(IFERROR(INDEX(Clay_Brands!$A$2:$FZ$601,293,Sync!$D$5)&amp;"",""),6)&lt;&gt;"SAMPLE",Config!$B$19="Y")),IFERROR(N(INDEX(Clay_Brands!$A$2:$FZ$601,293,Sync!$D$13)),0),"")</f>
        <v/>
      </c>
      <c r="C4944" s="23" t="str">
        <f aca="false">IF(B4944="","","brand")</f>
        <v/>
      </c>
      <c r="D4944" s="23" t="str">
        <f aca="false">IF(B4944="","",IFERROR(INDEX(Brand_Log!$DV$2:$DV$201,MATCH(IFERROR(INDEX(Clay_Brands!$A$2:$FZ$601,293,Sync!$D$5)&amp;"",""),Brand_Log!$A$2:$A$201,0))&amp;"",IFERROR(INDEX(Clay_Brands!$A$2:$FZ$601,293,Sync!$D$5)&amp;"","")&amp;""))</f>
        <v/>
      </c>
      <c r="E4944" s="23" t="str">
        <f aca="false">IF(B4944="","",IFERROR(INDEX(Clay_Brands!$A$2:$FZ$601,293,Sync!$D$6)&amp;"",""))</f>
        <v/>
      </c>
      <c r="F4944" s="23" t="str">
        <f aca="false">IF(B4944="","","outreach_sent")</f>
        <v/>
      </c>
      <c r="G4944" s="23" t="str">
        <f aca="false">IF(B4944="","","")</f>
        <v/>
      </c>
      <c r="H4944" s="23" t="str">
        <f aca="false">IF(B4944="","","")</f>
        <v/>
      </c>
      <c r="I4944" s="23" t="str">
        <f aca="false">IF(B4944="","","")</f>
        <v/>
      </c>
      <c r="J4944" s="23" t="str">
        <f aca="false">IF(B4944="","","touch_3; "&amp;IFERROR(INDEX(Clay_Brands!$A$2:$FZ$601,293,Sync!$D$10)&amp;"","")&amp;"; "&amp;IFERROR(INDEX(Clay_Brands!$A$2:$FZ$601,293,Sync!$D$9)&amp;"",""))</f>
        <v/>
      </c>
      <c r="K4944" s="32" t="s">
        <v>1368</v>
      </c>
    </row>
    <row r="4945" customFormat="false" ht="15" hidden="false" customHeight="false" outlineLevel="0" collapsed="false">
      <c r="A4945" s="23" t="str">
        <f aca="false">IF(B4945="","",B4945+(17*1000+294)/10000000)</f>
        <v/>
      </c>
      <c r="B4945" s="35" t="str">
        <f aca="false">IF(AND(IFERROR(N(INDEX(Clay_Brands!$A$2:$FZ$601,294,Sync!$D$13)),0)&gt;0,IFERROR(INDEX(Clay_Brands!$A$2:$FZ$601,294,Sync!$D$5)&amp;"","")&lt;&gt;"",OR(LEFT(IFERROR(INDEX(Clay_Brands!$A$2:$FZ$601,294,Sync!$D$5)&amp;"",""),6)&lt;&gt;"SAMPLE",Config!$B$19="Y")),IFERROR(N(INDEX(Clay_Brands!$A$2:$FZ$601,294,Sync!$D$13)),0),"")</f>
        <v/>
      </c>
      <c r="C4945" s="23" t="str">
        <f aca="false">IF(B4945="","","brand")</f>
        <v/>
      </c>
      <c r="D4945" s="23" t="str">
        <f aca="false">IF(B4945="","",IFERROR(INDEX(Brand_Log!$DV$2:$DV$201,MATCH(IFERROR(INDEX(Clay_Brands!$A$2:$FZ$601,294,Sync!$D$5)&amp;"",""),Brand_Log!$A$2:$A$201,0))&amp;"",IFERROR(INDEX(Clay_Brands!$A$2:$FZ$601,294,Sync!$D$5)&amp;"","")&amp;""))</f>
        <v/>
      </c>
      <c r="E4945" s="23" t="str">
        <f aca="false">IF(B4945="","",IFERROR(INDEX(Clay_Brands!$A$2:$FZ$601,294,Sync!$D$6)&amp;"",""))</f>
        <v/>
      </c>
      <c r="F4945" s="23" t="str">
        <f aca="false">IF(B4945="","","outreach_sent")</f>
        <v/>
      </c>
      <c r="G4945" s="23" t="str">
        <f aca="false">IF(B4945="","","")</f>
        <v/>
      </c>
      <c r="H4945" s="23" t="str">
        <f aca="false">IF(B4945="","","")</f>
        <v/>
      </c>
      <c r="I4945" s="23" t="str">
        <f aca="false">IF(B4945="","","")</f>
        <v/>
      </c>
      <c r="J4945" s="23" t="str">
        <f aca="false">IF(B4945="","","touch_3; "&amp;IFERROR(INDEX(Clay_Brands!$A$2:$FZ$601,294,Sync!$D$10)&amp;"","")&amp;"; "&amp;IFERROR(INDEX(Clay_Brands!$A$2:$FZ$601,294,Sync!$D$9)&amp;"",""))</f>
        <v/>
      </c>
      <c r="K4945" s="32" t="s">
        <v>1368</v>
      </c>
    </row>
    <row r="4946" customFormat="false" ht="15" hidden="false" customHeight="false" outlineLevel="0" collapsed="false">
      <c r="A4946" s="23" t="str">
        <f aca="false">IF(B4946="","",B4946+(17*1000+295)/10000000)</f>
        <v/>
      </c>
      <c r="B4946" s="35" t="str">
        <f aca="false">IF(AND(IFERROR(N(INDEX(Clay_Brands!$A$2:$FZ$601,295,Sync!$D$13)),0)&gt;0,IFERROR(INDEX(Clay_Brands!$A$2:$FZ$601,295,Sync!$D$5)&amp;"","")&lt;&gt;"",OR(LEFT(IFERROR(INDEX(Clay_Brands!$A$2:$FZ$601,295,Sync!$D$5)&amp;"",""),6)&lt;&gt;"SAMPLE",Config!$B$19="Y")),IFERROR(N(INDEX(Clay_Brands!$A$2:$FZ$601,295,Sync!$D$13)),0),"")</f>
        <v/>
      </c>
      <c r="C4946" s="23" t="str">
        <f aca="false">IF(B4946="","","brand")</f>
        <v/>
      </c>
      <c r="D4946" s="23" t="str">
        <f aca="false">IF(B4946="","",IFERROR(INDEX(Brand_Log!$DV$2:$DV$201,MATCH(IFERROR(INDEX(Clay_Brands!$A$2:$FZ$601,295,Sync!$D$5)&amp;"",""),Brand_Log!$A$2:$A$201,0))&amp;"",IFERROR(INDEX(Clay_Brands!$A$2:$FZ$601,295,Sync!$D$5)&amp;"","")&amp;""))</f>
        <v/>
      </c>
      <c r="E4946" s="23" t="str">
        <f aca="false">IF(B4946="","",IFERROR(INDEX(Clay_Brands!$A$2:$FZ$601,295,Sync!$D$6)&amp;"",""))</f>
        <v/>
      </c>
      <c r="F4946" s="23" t="str">
        <f aca="false">IF(B4946="","","outreach_sent")</f>
        <v/>
      </c>
      <c r="G4946" s="23" t="str">
        <f aca="false">IF(B4946="","","")</f>
        <v/>
      </c>
      <c r="H4946" s="23" t="str">
        <f aca="false">IF(B4946="","","")</f>
        <v/>
      </c>
      <c r="I4946" s="23" t="str">
        <f aca="false">IF(B4946="","","")</f>
        <v/>
      </c>
      <c r="J4946" s="23" t="str">
        <f aca="false">IF(B4946="","","touch_3; "&amp;IFERROR(INDEX(Clay_Brands!$A$2:$FZ$601,295,Sync!$D$10)&amp;"","")&amp;"; "&amp;IFERROR(INDEX(Clay_Brands!$A$2:$FZ$601,295,Sync!$D$9)&amp;"",""))</f>
        <v/>
      </c>
      <c r="K4946" s="32" t="s">
        <v>1368</v>
      </c>
    </row>
    <row r="4947" customFormat="false" ht="15" hidden="false" customHeight="false" outlineLevel="0" collapsed="false">
      <c r="A4947" s="23" t="str">
        <f aca="false">IF(B4947="","",B4947+(17*1000+296)/10000000)</f>
        <v/>
      </c>
      <c r="B4947" s="35" t="str">
        <f aca="false">IF(AND(IFERROR(N(INDEX(Clay_Brands!$A$2:$FZ$601,296,Sync!$D$13)),0)&gt;0,IFERROR(INDEX(Clay_Brands!$A$2:$FZ$601,296,Sync!$D$5)&amp;"","")&lt;&gt;"",OR(LEFT(IFERROR(INDEX(Clay_Brands!$A$2:$FZ$601,296,Sync!$D$5)&amp;"",""),6)&lt;&gt;"SAMPLE",Config!$B$19="Y")),IFERROR(N(INDEX(Clay_Brands!$A$2:$FZ$601,296,Sync!$D$13)),0),"")</f>
        <v/>
      </c>
      <c r="C4947" s="23" t="str">
        <f aca="false">IF(B4947="","","brand")</f>
        <v/>
      </c>
      <c r="D4947" s="23" t="str">
        <f aca="false">IF(B4947="","",IFERROR(INDEX(Brand_Log!$DV$2:$DV$201,MATCH(IFERROR(INDEX(Clay_Brands!$A$2:$FZ$601,296,Sync!$D$5)&amp;"",""),Brand_Log!$A$2:$A$201,0))&amp;"",IFERROR(INDEX(Clay_Brands!$A$2:$FZ$601,296,Sync!$D$5)&amp;"","")&amp;""))</f>
        <v/>
      </c>
      <c r="E4947" s="23" t="str">
        <f aca="false">IF(B4947="","",IFERROR(INDEX(Clay_Brands!$A$2:$FZ$601,296,Sync!$D$6)&amp;"",""))</f>
        <v/>
      </c>
      <c r="F4947" s="23" t="str">
        <f aca="false">IF(B4947="","","outreach_sent")</f>
        <v/>
      </c>
      <c r="G4947" s="23" t="str">
        <f aca="false">IF(B4947="","","")</f>
        <v/>
      </c>
      <c r="H4947" s="23" t="str">
        <f aca="false">IF(B4947="","","")</f>
        <v/>
      </c>
      <c r="I4947" s="23" t="str">
        <f aca="false">IF(B4947="","","")</f>
        <v/>
      </c>
      <c r="J4947" s="23" t="str">
        <f aca="false">IF(B4947="","","touch_3; "&amp;IFERROR(INDEX(Clay_Brands!$A$2:$FZ$601,296,Sync!$D$10)&amp;"","")&amp;"; "&amp;IFERROR(INDEX(Clay_Brands!$A$2:$FZ$601,296,Sync!$D$9)&amp;"",""))</f>
        <v/>
      </c>
      <c r="K4947" s="32" t="s">
        <v>1368</v>
      </c>
    </row>
    <row r="4948" customFormat="false" ht="15" hidden="false" customHeight="false" outlineLevel="0" collapsed="false">
      <c r="A4948" s="23" t="str">
        <f aca="false">IF(B4948="","",B4948+(17*1000+297)/10000000)</f>
        <v/>
      </c>
      <c r="B4948" s="35" t="str">
        <f aca="false">IF(AND(IFERROR(N(INDEX(Clay_Brands!$A$2:$FZ$601,297,Sync!$D$13)),0)&gt;0,IFERROR(INDEX(Clay_Brands!$A$2:$FZ$601,297,Sync!$D$5)&amp;"","")&lt;&gt;"",OR(LEFT(IFERROR(INDEX(Clay_Brands!$A$2:$FZ$601,297,Sync!$D$5)&amp;"",""),6)&lt;&gt;"SAMPLE",Config!$B$19="Y")),IFERROR(N(INDEX(Clay_Brands!$A$2:$FZ$601,297,Sync!$D$13)),0),"")</f>
        <v/>
      </c>
      <c r="C4948" s="23" t="str">
        <f aca="false">IF(B4948="","","brand")</f>
        <v/>
      </c>
      <c r="D4948" s="23" t="str">
        <f aca="false">IF(B4948="","",IFERROR(INDEX(Brand_Log!$DV$2:$DV$201,MATCH(IFERROR(INDEX(Clay_Brands!$A$2:$FZ$601,297,Sync!$D$5)&amp;"",""),Brand_Log!$A$2:$A$201,0))&amp;"",IFERROR(INDEX(Clay_Brands!$A$2:$FZ$601,297,Sync!$D$5)&amp;"","")&amp;""))</f>
        <v/>
      </c>
      <c r="E4948" s="23" t="str">
        <f aca="false">IF(B4948="","",IFERROR(INDEX(Clay_Brands!$A$2:$FZ$601,297,Sync!$D$6)&amp;"",""))</f>
        <v/>
      </c>
      <c r="F4948" s="23" t="str">
        <f aca="false">IF(B4948="","","outreach_sent")</f>
        <v/>
      </c>
      <c r="G4948" s="23" t="str">
        <f aca="false">IF(B4948="","","")</f>
        <v/>
      </c>
      <c r="H4948" s="23" t="str">
        <f aca="false">IF(B4948="","","")</f>
        <v/>
      </c>
      <c r="I4948" s="23" t="str">
        <f aca="false">IF(B4948="","","")</f>
        <v/>
      </c>
      <c r="J4948" s="23" t="str">
        <f aca="false">IF(B4948="","","touch_3; "&amp;IFERROR(INDEX(Clay_Brands!$A$2:$FZ$601,297,Sync!$D$10)&amp;"","")&amp;"; "&amp;IFERROR(INDEX(Clay_Brands!$A$2:$FZ$601,297,Sync!$D$9)&amp;"",""))</f>
        <v/>
      </c>
      <c r="K4948" s="32" t="s">
        <v>1368</v>
      </c>
    </row>
    <row r="4949" customFormat="false" ht="15" hidden="false" customHeight="false" outlineLevel="0" collapsed="false">
      <c r="A4949" s="23" t="str">
        <f aca="false">IF(B4949="","",B4949+(17*1000+298)/10000000)</f>
        <v/>
      </c>
      <c r="B4949" s="35" t="str">
        <f aca="false">IF(AND(IFERROR(N(INDEX(Clay_Brands!$A$2:$FZ$601,298,Sync!$D$13)),0)&gt;0,IFERROR(INDEX(Clay_Brands!$A$2:$FZ$601,298,Sync!$D$5)&amp;"","")&lt;&gt;"",OR(LEFT(IFERROR(INDEX(Clay_Brands!$A$2:$FZ$601,298,Sync!$D$5)&amp;"",""),6)&lt;&gt;"SAMPLE",Config!$B$19="Y")),IFERROR(N(INDEX(Clay_Brands!$A$2:$FZ$601,298,Sync!$D$13)),0),"")</f>
        <v/>
      </c>
      <c r="C4949" s="23" t="str">
        <f aca="false">IF(B4949="","","brand")</f>
        <v/>
      </c>
      <c r="D4949" s="23" t="str">
        <f aca="false">IF(B4949="","",IFERROR(INDEX(Brand_Log!$DV$2:$DV$201,MATCH(IFERROR(INDEX(Clay_Brands!$A$2:$FZ$601,298,Sync!$D$5)&amp;"",""),Brand_Log!$A$2:$A$201,0))&amp;"",IFERROR(INDEX(Clay_Brands!$A$2:$FZ$601,298,Sync!$D$5)&amp;"","")&amp;""))</f>
        <v/>
      </c>
      <c r="E4949" s="23" t="str">
        <f aca="false">IF(B4949="","",IFERROR(INDEX(Clay_Brands!$A$2:$FZ$601,298,Sync!$D$6)&amp;"",""))</f>
        <v/>
      </c>
      <c r="F4949" s="23" t="str">
        <f aca="false">IF(B4949="","","outreach_sent")</f>
        <v/>
      </c>
      <c r="G4949" s="23" t="str">
        <f aca="false">IF(B4949="","","")</f>
        <v/>
      </c>
      <c r="H4949" s="23" t="str">
        <f aca="false">IF(B4949="","","")</f>
        <v/>
      </c>
      <c r="I4949" s="23" t="str">
        <f aca="false">IF(B4949="","","")</f>
        <v/>
      </c>
      <c r="J4949" s="23" t="str">
        <f aca="false">IF(B4949="","","touch_3; "&amp;IFERROR(INDEX(Clay_Brands!$A$2:$FZ$601,298,Sync!$D$10)&amp;"","")&amp;"; "&amp;IFERROR(INDEX(Clay_Brands!$A$2:$FZ$601,298,Sync!$D$9)&amp;"",""))</f>
        <v/>
      </c>
      <c r="K4949" s="32" t="s">
        <v>1368</v>
      </c>
    </row>
    <row r="4950" customFormat="false" ht="15" hidden="false" customHeight="false" outlineLevel="0" collapsed="false">
      <c r="A4950" s="23" t="str">
        <f aca="false">IF(B4950="","",B4950+(17*1000+299)/10000000)</f>
        <v/>
      </c>
      <c r="B4950" s="35" t="str">
        <f aca="false">IF(AND(IFERROR(N(INDEX(Clay_Brands!$A$2:$FZ$601,299,Sync!$D$13)),0)&gt;0,IFERROR(INDEX(Clay_Brands!$A$2:$FZ$601,299,Sync!$D$5)&amp;"","")&lt;&gt;"",OR(LEFT(IFERROR(INDEX(Clay_Brands!$A$2:$FZ$601,299,Sync!$D$5)&amp;"",""),6)&lt;&gt;"SAMPLE",Config!$B$19="Y")),IFERROR(N(INDEX(Clay_Brands!$A$2:$FZ$601,299,Sync!$D$13)),0),"")</f>
        <v/>
      </c>
      <c r="C4950" s="23" t="str">
        <f aca="false">IF(B4950="","","brand")</f>
        <v/>
      </c>
      <c r="D4950" s="23" t="str">
        <f aca="false">IF(B4950="","",IFERROR(INDEX(Brand_Log!$DV$2:$DV$201,MATCH(IFERROR(INDEX(Clay_Brands!$A$2:$FZ$601,299,Sync!$D$5)&amp;"",""),Brand_Log!$A$2:$A$201,0))&amp;"",IFERROR(INDEX(Clay_Brands!$A$2:$FZ$601,299,Sync!$D$5)&amp;"","")&amp;""))</f>
        <v/>
      </c>
      <c r="E4950" s="23" t="str">
        <f aca="false">IF(B4950="","",IFERROR(INDEX(Clay_Brands!$A$2:$FZ$601,299,Sync!$D$6)&amp;"",""))</f>
        <v/>
      </c>
      <c r="F4950" s="23" t="str">
        <f aca="false">IF(B4950="","","outreach_sent")</f>
        <v/>
      </c>
      <c r="G4950" s="23" t="str">
        <f aca="false">IF(B4950="","","")</f>
        <v/>
      </c>
      <c r="H4950" s="23" t="str">
        <f aca="false">IF(B4950="","","")</f>
        <v/>
      </c>
      <c r="I4950" s="23" t="str">
        <f aca="false">IF(B4950="","","")</f>
        <v/>
      </c>
      <c r="J4950" s="23" t="str">
        <f aca="false">IF(B4950="","","touch_3; "&amp;IFERROR(INDEX(Clay_Brands!$A$2:$FZ$601,299,Sync!$D$10)&amp;"","")&amp;"; "&amp;IFERROR(INDEX(Clay_Brands!$A$2:$FZ$601,299,Sync!$D$9)&amp;"",""))</f>
        <v/>
      </c>
      <c r="K4950" s="32" t="s">
        <v>1368</v>
      </c>
    </row>
    <row r="4951" customFormat="false" ht="15" hidden="false" customHeight="false" outlineLevel="0" collapsed="false">
      <c r="A4951" s="23" t="str">
        <f aca="false">IF(B4951="","",B4951+(17*1000+300)/10000000)</f>
        <v/>
      </c>
      <c r="B4951" s="35" t="str">
        <f aca="false">IF(AND(IFERROR(N(INDEX(Clay_Brands!$A$2:$FZ$601,300,Sync!$D$13)),0)&gt;0,IFERROR(INDEX(Clay_Brands!$A$2:$FZ$601,300,Sync!$D$5)&amp;"","")&lt;&gt;"",OR(LEFT(IFERROR(INDEX(Clay_Brands!$A$2:$FZ$601,300,Sync!$D$5)&amp;"",""),6)&lt;&gt;"SAMPLE",Config!$B$19="Y")),IFERROR(N(INDEX(Clay_Brands!$A$2:$FZ$601,300,Sync!$D$13)),0),"")</f>
        <v/>
      </c>
      <c r="C4951" s="23" t="str">
        <f aca="false">IF(B4951="","","brand")</f>
        <v/>
      </c>
      <c r="D4951" s="23" t="str">
        <f aca="false">IF(B4951="","",IFERROR(INDEX(Brand_Log!$DV$2:$DV$201,MATCH(IFERROR(INDEX(Clay_Brands!$A$2:$FZ$601,300,Sync!$D$5)&amp;"",""),Brand_Log!$A$2:$A$201,0))&amp;"",IFERROR(INDEX(Clay_Brands!$A$2:$FZ$601,300,Sync!$D$5)&amp;"","")&amp;""))</f>
        <v/>
      </c>
      <c r="E4951" s="23" t="str">
        <f aca="false">IF(B4951="","",IFERROR(INDEX(Clay_Brands!$A$2:$FZ$601,300,Sync!$D$6)&amp;"",""))</f>
        <v/>
      </c>
      <c r="F4951" s="23" t="str">
        <f aca="false">IF(B4951="","","outreach_sent")</f>
        <v/>
      </c>
      <c r="G4951" s="23" t="str">
        <f aca="false">IF(B4951="","","")</f>
        <v/>
      </c>
      <c r="H4951" s="23" t="str">
        <f aca="false">IF(B4951="","","")</f>
        <v/>
      </c>
      <c r="I4951" s="23" t="str">
        <f aca="false">IF(B4951="","","")</f>
        <v/>
      </c>
      <c r="J4951" s="23" t="str">
        <f aca="false">IF(B4951="","","touch_3; "&amp;IFERROR(INDEX(Clay_Brands!$A$2:$FZ$601,300,Sync!$D$10)&amp;"","")&amp;"; "&amp;IFERROR(INDEX(Clay_Brands!$A$2:$FZ$601,300,Sync!$D$9)&amp;"",""))</f>
        <v/>
      </c>
      <c r="K4951" s="32" t="s">
        <v>1368</v>
      </c>
    </row>
    <row r="4952" customFormat="false" ht="15" hidden="false" customHeight="false" outlineLevel="0" collapsed="false">
      <c r="A4952" s="23" t="str">
        <f aca="false">IF(B4952="","",B4952+(17*1000+301)/10000000)</f>
        <v/>
      </c>
      <c r="B4952" s="35" t="str">
        <f aca="false">IF(AND(IFERROR(N(INDEX(Clay_Brands!$A$2:$FZ$601,301,Sync!$D$13)),0)&gt;0,IFERROR(INDEX(Clay_Brands!$A$2:$FZ$601,301,Sync!$D$5)&amp;"","")&lt;&gt;"",OR(LEFT(IFERROR(INDEX(Clay_Brands!$A$2:$FZ$601,301,Sync!$D$5)&amp;"",""),6)&lt;&gt;"SAMPLE",Config!$B$19="Y")),IFERROR(N(INDEX(Clay_Brands!$A$2:$FZ$601,301,Sync!$D$13)),0),"")</f>
        <v/>
      </c>
      <c r="C4952" s="23" t="str">
        <f aca="false">IF(B4952="","","brand")</f>
        <v/>
      </c>
      <c r="D4952" s="23" t="str">
        <f aca="false">IF(B4952="","",IFERROR(INDEX(Brand_Log!$DV$2:$DV$201,MATCH(IFERROR(INDEX(Clay_Brands!$A$2:$FZ$601,301,Sync!$D$5)&amp;"",""),Brand_Log!$A$2:$A$201,0))&amp;"",IFERROR(INDEX(Clay_Brands!$A$2:$FZ$601,301,Sync!$D$5)&amp;"","")&amp;""))</f>
        <v/>
      </c>
      <c r="E4952" s="23" t="str">
        <f aca="false">IF(B4952="","",IFERROR(INDEX(Clay_Brands!$A$2:$FZ$601,301,Sync!$D$6)&amp;"",""))</f>
        <v/>
      </c>
      <c r="F4952" s="23" t="str">
        <f aca="false">IF(B4952="","","outreach_sent")</f>
        <v/>
      </c>
      <c r="G4952" s="23" t="str">
        <f aca="false">IF(B4952="","","")</f>
        <v/>
      </c>
      <c r="H4952" s="23" t="str">
        <f aca="false">IF(B4952="","","")</f>
        <v/>
      </c>
      <c r="I4952" s="23" t="str">
        <f aca="false">IF(B4952="","","")</f>
        <v/>
      </c>
      <c r="J4952" s="23" t="str">
        <f aca="false">IF(B4952="","","touch_3; "&amp;IFERROR(INDEX(Clay_Brands!$A$2:$FZ$601,301,Sync!$D$10)&amp;"","")&amp;"; "&amp;IFERROR(INDEX(Clay_Brands!$A$2:$FZ$601,301,Sync!$D$9)&amp;"",""))</f>
        <v/>
      </c>
      <c r="K4952" s="32" t="s">
        <v>1368</v>
      </c>
    </row>
    <row r="4953" customFormat="false" ht="15" hidden="false" customHeight="false" outlineLevel="0" collapsed="false">
      <c r="A4953" s="23" t="str">
        <f aca="false">IF(B4953="","",B4953+(17*1000+302)/10000000)</f>
        <v/>
      </c>
      <c r="B4953" s="35" t="str">
        <f aca="false">IF(AND(IFERROR(N(INDEX(Clay_Brands!$A$2:$FZ$601,302,Sync!$D$13)),0)&gt;0,IFERROR(INDEX(Clay_Brands!$A$2:$FZ$601,302,Sync!$D$5)&amp;"","")&lt;&gt;"",OR(LEFT(IFERROR(INDEX(Clay_Brands!$A$2:$FZ$601,302,Sync!$D$5)&amp;"",""),6)&lt;&gt;"SAMPLE",Config!$B$19="Y")),IFERROR(N(INDEX(Clay_Brands!$A$2:$FZ$601,302,Sync!$D$13)),0),"")</f>
        <v/>
      </c>
      <c r="C4953" s="23" t="str">
        <f aca="false">IF(B4953="","","brand")</f>
        <v/>
      </c>
      <c r="D4953" s="23" t="str">
        <f aca="false">IF(B4953="","",IFERROR(INDEX(Brand_Log!$DV$2:$DV$201,MATCH(IFERROR(INDEX(Clay_Brands!$A$2:$FZ$601,302,Sync!$D$5)&amp;"",""),Brand_Log!$A$2:$A$201,0))&amp;"",IFERROR(INDEX(Clay_Brands!$A$2:$FZ$601,302,Sync!$D$5)&amp;"","")&amp;""))</f>
        <v/>
      </c>
      <c r="E4953" s="23" t="str">
        <f aca="false">IF(B4953="","",IFERROR(INDEX(Clay_Brands!$A$2:$FZ$601,302,Sync!$D$6)&amp;"",""))</f>
        <v/>
      </c>
      <c r="F4953" s="23" t="str">
        <f aca="false">IF(B4953="","","outreach_sent")</f>
        <v/>
      </c>
      <c r="G4953" s="23" t="str">
        <f aca="false">IF(B4953="","","")</f>
        <v/>
      </c>
      <c r="H4953" s="23" t="str">
        <f aca="false">IF(B4953="","","")</f>
        <v/>
      </c>
      <c r="I4953" s="23" t="str">
        <f aca="false">IF(B4953="","","")</f>
        <v/>
      </c>
      <c r="J4953" s="23" t="str">
        <f aca="false">IF(B4953="","","touch_3; "&amp;IFERROR(INDEX(Clay_Brands!$A$2:$FZ$601,302,Sync!$D$10)&amp;"","")&amp;"; "&amp;IFERROR(INDEX(Clay_Brands!$A$2:$FZ$601,302,Sync!$D$9)&amp;"",""))</f>
        <v/>
      </c>
      <c r="K4953" s="32" t="s">
        <v>1368</v>
      </c>
    </row>
    <row r="4954" customFormat="false" ht="15" hidden="false" customHeight="false" outlineLevel="0" collapsed="false">
      <c r="A4954" s="23" t="str">
        <f aca="false">IF(B4954="","",B4954+(17*1000+303)/10000000)</f>
        <v/>
      </c>
      <c r="B4954" s="35" t="str">
        <f aca="false">IF(AND(IFERROR(N(INDEX(Clay_Brands!$A$2:$FZ$601,303,Sync!$D$13)),0)&gt;0,IFERROR(INDEX(Clay_Brands!$A$2:$FZ$601,303,Sync!$D$5)&amp;"","")&lt;&gt;"",OR(LEFT(IFERROR(INDEX(Clay_Brands!$A$2:$FZ$601,303,Sync!$D$5)&amp;"",""),6)&lt;&gt;"SAMPLE",Config!$B$19="Y")),IFERROR(N(INDEX(Clay_Brands!$A$2:$FZ$601,303,Sync!$D$13)),0),"")</f>
        <v/>
      </c>
      <c r="C4954" s="23" t="str">
        <f aca="false">IF(B4954="","","brand")</f>
        <v/>
      </c>
      <c r="D4954" s="23" t="str">
        <f aca="false">IF(B4954="","",IFERROR(INDEX(Brand_Log!$DV$2:$DV$201,MATCH(IFERROR(INDEX(Clay_Brands!$A$2:$FZ$601,303,Sync!$D$5)&amp;"",""),Brand_Log!$A$2:$A$201,0))&amp;"",IFERROR(INDEX(Clay_Brands!$A$2:$FZ$601,303,Sync!$D$5)&amp;"","")&amp;""))</f>
        <v/>
      </c>
      <c r="E4954" s="23" t="str">
        <f aca="false">IF(B4954="","",IFERROR(INDEX(Clay_Brands!$A$2:$FZ$601,303,Sync!$D$6)&amp;"",""))</f>
        <v/>
      </c>
      <c r="F4954" s="23" t="str">
        <f aca="false">IF(B4954="","","outreach_sent")</f>
        <v/>
      </c>
      <c r="G4954" s="23" t="str">
        <f aca="false">IF(B4954="","","")</f>
        <v/>
      </c>
      <c r="H4954" s="23" t="str">
        <f aca="false">IF(B4954="","","")</f>
        <v/>
      </c>
      <c r="I4954" s="23" t="str">
        <f aca="false">IF(B4954="","","")</f>
        <v/>
      </c>
      <c r="J4954" s="23" t="str">
        <f aca="false">IF(B4954="","","touch_3; "&amp;IFERROR(INDEX(Clay_Brands!$A$2:$FZ$601,303,Sync!$D$10)&amp;"","")&amp;"; "&amp;IFERROR(INDEX(Clay_Brands!$A$2:$FZ$601,303,Sync!$D$9)&amp;"",""))</f>
        <v/>
      </c>
      <c r="K4954" s="32" t="s">
        <v>1368</v>
      </c>
    </row>
    <row r="4955" customFormat="false" ht="15" hidden="false" customHeight="false" outlineLevel="0" collapsed="false">
      <c r="A4955" s="23" t="str">
        <f aca="false">IF(B4955="","",B4955+(17*1000+304)/10000000)</f>
        <v/>
      </c>
      <c r="B4955" s="35" t="str">
        <f aca="false">IF(AND(IFERROR(N(INDEX(Clay_Brands!$A$2:$FZ$601,304,Sync!$D$13)),0)&gt;0,IFERROR(INDEX(Clay_Brands!$A$2:$FZ$601,304,Sync!$D$5)&amp;"","")&lt;&gt;"",OR(LEFT(IFERROR(INDEX(Clay_Brands!$A$2:$FZ$601,304,Sync!$D$5)&amp;"",""),6)&lt;&gt;"SAMPLE",Config!$B$19="Y")),IFERROR(N(INDEX(Clay_Brands!$A$2:$FZ$601,304,Sync!$D$13)),0),"")</f>
        <v/>
      </c>
      <c r="C4955" s="23" t="str">
        <f aca="false">IF(B4955="","","brand")</f>
        <v/>
      </c>
      <c r="D4955" s="23" t="str">
        <f aca="false">IF(B4955="","",IFERROR(INDEX(Brand_Log!$DV$2:$DV$201,MATCH(IFERROR(INDEX(Clay_Brands!$A$2:$FZ$601,304,Sync!$D$5)&amp;"",""),Brand_Log!$A$2:$A$201,0))&amp;"",IFERROR(INDEX(Clay_Brands!$A$2:$FZ$601,304,Sync!$D$5)&amp;"","")&amp;""))</f>
        <v/>
      </c>
      <c r="E4955" s="23" t="str">
        <f aca="false">IF(B4955="","",IFERROR(INDEX(Clay_Brands!$A$2:$FZ$601,304,Sync!$D$6)&amp;"",""))</f>
        <v/>
      </c>
      <c r="F4955" s="23" t="str">
        <f aca="false">IF(B4955="","","outreach_sent")</f>
        <v/>
      </c>
      <c r="G4955" s="23" t="str">
        <f aca="false">IF(B4955="","","")</f>
        <v/>
      </c>
      <c r="H4955" s="23" t="str">
        <f aca="false">IF(B4955="","","")</f>
        <v/>
      </c>
      <c r="I4955" s="23" t="str">
        <f aca="false">IF(B4955="","","")</f>
        <v/>
      </c>
      <c r="J4955" s="23" t="str">
        <f aca="false">IF(B4955="","","touch_3; "&amp;IFERROR(INDEX(Clay_Brands!$A$2:$FZ$601,304,Sync!$D$10)&amp;"","")&amp;"; "&amp;IFERROR(INDEX(Clay_Brands!$A$2:$FZ$601,304,Sync!$D$9)&amp;"",""))</f>
        <v/>
      </c>
      <c r="K4955" s="32" t="s">
        <v>1368</v>
      </c>
    </row>
    <row r="4956" customFormat="false" ht="15" hidden="false" customHeight="false" outlineLevel="0" collapsed="false">
      <c r="A4956" s="23" t="str">
        <f aca="false">IF(B4956="","",B4956+(17*1000+305)/10000000)</f>
        <v/>
      </c>
      <c r="B4956" s="35" t="str">
        <f aca="false">IF(AND(IFERROR(N(INDEX(Clay_Brands!$A$2:$FZ$601,305,Sync!$D$13)),0)&gt;0,IFERROR(INDEX(Clay_Brands!$A$2:$FZ$601,305,Sync!$D$5)&amp;"","")&lt;&gt;"",OR(LEFT(IFERROR(INDEX(Clay_Brands!$A$2:$FZ$601,305,Sync!$D$5)&amp;"",""),6)&lt;&gt;"SAMPLE",Config!$B$19="Y")),IFERROR(N(INDEX(Clay_Brands!$A$2:$FZ$601,305,Sync!$D$13)),0),"")</f>
        <v/>
      </c>
      <c r="C4956" s="23" t="str">
        <f aca="false">IF(B4956="","","brand")</f>
        <v/>
      </c>
      <c r="D4956" s="23" t="str">
        <f aca="false">IF(B4956="","",IFERROR(INDEX(Brand_Log!$DV$2:$DV$201,MATCH(IFERROR(INDEX(Clay_Brands!$A$2:$FZ$601,305,Sync!$D$5)&amp;"",""),Brand_Log!$A$2:$A$201,0))&amp;"",IFERROR(INDEX(Clay_Brands!$A$2:$FZ$601,305,Sync!$D$5)&amp;"","")&amp;""))</f>
        <v/>
      </c>
      <c r="E4956" s="23" t="str">
        <f aca="false">IF(B4956="","",IFERROR(INDEX(Clay_Brands!$A$2:$FZ$601,305,Sync!$D$6)&amp;"",""))</f>
        <v/>
      </c>
      <c r="F4956" s="23" t="str">
        <f aca="false">IF(B4956="","","outreach_sent")</f>
        <v/>
      </c>
      <c r="G4956" s="23" t="str">
        <f aca="false">IF(B4956="","","")</f>
        <v/>
      </c>
      <c r="H4956" s="23" t="str">
        <f aca="false">IF(B4956="","","")</f>
        <v/>
      </c>
      <c r="I4956" s="23" t="str">
        <f aca="false">IF(B4956="","","")</f>
        <v/>
      </c>
      <c r="J4956" s="23" t="str">
        <f aca="false">IF(B4956="","","touch_3; "&amp;IFERROR(INDEX(Clay_Brands!$A$2:$FZ$601,305,Sync!$D$10)&amp;"","")&amp;"; "&amp;IFERROR(INDEX(Clay_Brands!$A$2:$FZ$601,305,Sync!$D$9)&amp;"",""))</f>
        <v/>
      </c>
      <c r="K4956" s="32" t="s">
        <v>1368</v>
      </c>
    </row>
    <row r="4957" customFormat="false" ht="15" hidden="false" customHeight="false" outlineLevel="0" collapsed="false">
      <c r="A4957" s="23" t="str">
        <f aca="false">IF(B4957="","",B4957+(17*1000+306)/10000000)</f>
        <v/>
      </c>
      <c r="B4957" s="35" t="str">
        <f aca="false">IF(AND(IFERROR(N(INDEX(Clay_Brands!$A$2:$FZ$601,306,Sync!$D$13)),0)&gt;0,IFERROR(INDEX(Clay_Brands!$A$2:$FZ$601,306,Sync!$D$5)&amp;"","")&lt;&gt;"",OR(LEFT(IFERROR(INDEX(Clay_Brands!$A$2:$FZ$601,306,Sync!$D$5)&amp;"",""),6)&lt;&gt;"SAMPLE",Config!$B$19="Y")),IFERROR(N(INDEX(Clay_Brands!$A$2:$FZ$601,306,Sync!$D$13)),0),"")</f>
        <v/>
      </c>
      <c r="C4957" s="23" t="str">
        <f aca="false">IF(B4957="","","brand")</f>
        <v/>
      </c>
      <c r="D4957" s="23" t="str">
        <f aca="false">IF(B4957="","",IFERROR(INDEX(Brand_Log!$DV$2:$DV$201,MATCH(IFERROR(INDEX(Clay_Brands!$A$2:$FZ$601,306,Sync!$D$5)&amp;"",""),Brand_Log!$A$2:$A$201,0))&amp;"",IFERROR(INDEX(Clay_Brands!$A$2:$FZ$601,306,Sync!$D$5)&amp;"","")&amp;""))</f>
        <v/>
      </c>
      <c r="E4957" s="23" t="str">
        <f aca="false">IF(B4957="","",IFERROR(INDEX(Clay_Brands!$A$2:$FZ$601,306,Sync!$D$6)&amp;"",""))</f>
        <v/>
      </c>
      <c r="F4957" s="23" t="str">
        <f aca="false">IF(B4957="","","outreach_sent")</f>
        <v/>
      </c>
      <c r="G4957" s="23" t="str">
        <f aca="false">IF(B4957="","","")</f>
        <v/>
      </c>
      <c r="H4957" s="23" t="str">
        <f aca="false">IF(B4957="","","")</f>
        <v/>
      </c>
      <c r="I4957" s="23" t="str">
        <f aca="false">IF(B4957="","","")</f>
        <v/>
      </c>
      <c r="J4957" s="23" t="str">
        <f aca="false">IF(B4957="","","touch_3; "&amp;IFERROR(INDEX(Clay_Brands!$A$2:$FZ$601,306,Sync!$D$10)&amp;"","")&amp;"; "&amp;IFERROR(INDEX(Clay_Brands!$A$2:$FZ$601,306,Sync!$D$9)&amp;"",""))</f>
        <v/>
      </c>
      <c r="K4957" s="32" t="s">
        <v>1368</v>
      </c>
    </row>
    <row r="4958" customFormat="false" ht="15" hidden="false" customHeight="false" outlineLevel="0" collapsed="false">
      <c r="A4958" s="23" t="str">
        <f aca="false">IF(B4958="","",B4958+(17*1000+307)/10000000)</f>
        <v/>
      </c>
      <c r="B4958" s="35" t="str">
        <f aca="false">IF(AND(IFERROR(N(INDEX(Clay_Brands!$A$2:$FZ$601,307,Sync!$D$13)),0)&gt;0,IFERROR(INDEX(Clay_Brands!$A$2:$FZ$601,307,Sync!$D$5)&amp;"","")&lt;&gt;"",OR(LEFT(IFERROR(INDEX(Clay_Brands!$A$2:$FZ$601,307,Sync!$D$5)&amp;"",""),6)&lt;&gt;"SAMPLE",Config!$B$19="Y")),IFERROR(N(INDEX(Clay_Brands!$A$2:$FZ$601,307,Sync!$D$13)),0),"")</f>
        <v/>
      </c>
      <c r="C4958" s="23" t="str">
        <f aca="false">IF(B4958="","","brand")</f>
        <v/>
      </c>
      <c r="D4958" s="23" t="str">
        <f aca="false">IF(B4958="","",IFERROR(INDEX(Brand_Log!$DV$2:$DV$201,MATCH(IFERROR(INDEX(Clay_Brands!$A$2:$FZ$601,307,Sync!$D$5)&amp;"",""),Brand_Log!$A$2:$A$201,0))&amp;"",IFERROR(INDEX(Clay_Brands!$A$2:$FZ$601,307,Sync!$D$5)&amp;"","")&amp;""))</f>
        <v/>
      </c>
      <c r="E4958" s="23" t="str">
        <f aca="false">IF(B4958="","",IFERROR(INDEX(Clay_Brands!$A$2:$FZ$601,307,Sync!$D$6)&amp;"",""))</f>
        <v/>
      </c>
      <c r="F4958" s="23" t="str">
        <f aca="false">IF(B4958="","","outreach_sent")</f>
        <v/>
      </c>
      <c r="G4958" s="23" t="str">
        <f aca="false">IF(B4958="","","")</f>
        <v/>
      </c>
      <c r="H4958" s="23" t="str">
        <f aca="false">IF(B4958="","","")</f>
        <v/>
      </c>
      <c r="I4958" s="23" t="str">
        <f aca="false">IF(B4958="","","")</f>
        <v/>
      </c>
      <c r="J4958" s="23" t="str">
        <f aca="false">IF(B4958="","","touch_3; "&amp;IFERROR(INDEX(Clay_Brands!$A$2:$FZ$601,307,Sync!$D$10)&amp;"","")&amp;"; "&amp;IFERROR(INDEX(Clay_Brands!$A$2:$FZ$601,307,Sync!$D$9)&amp;"",""))</f>
        <v/>
      </c>
      <c r="K4958" s="32" t="s">
        <v>1368</v>
      </c>
    </row>
    <row r="4959" customFormat="false" ht="15" hidden="false" customHeight="false" outlineLevel="0" collapsed="false">
      <c r="A4959" s="23" t="str">
        <f aca="false">IF(B4959="","",B4959+(17*1000+308)/10000000)</f>
        <v/>
      </c>
      <c r="B4959" s="35" t="str">
        <f aca="false">IF(AND(IFERROR(N(INDEX(Clay_Brands!$A$2:$FZ$601,308,Sync!$D$13)),0)&gt;0,IFERROR(INDEX(Clay_Brands!$A$2:$FZ$601,308,Sync!$D$5)&amp;"","")&lt;&gt;"",OR(LEFT(IFERROR(INDEX(Clay_Brands!$A$2:$FZ$601,308,Sync!$D$5)&amp;"",""),6)&lt;&gt;"SAMPLE",Config!$B$19="Y")),IFERROR(N(INDEX(Clay_Brands!$A$2:$FZ$601,308,Sync!$D$13)),0),"")</f>
        <v/>
      </c>
      <c r="C4959" s="23" t="str">
        <f aca="false">IF(B4959="","","brand")</f>
        <v/>
      </c>
      <c r="D4959" s="23" t="str">
        <f aca="false">IF(B4959="","",IFERROR(INDEX(Brand_Log!$DV$2:$DV$201,MATCH(IFERROR(INDEX(Clay_Brands!$A$2:$FZ$601,308,Sync!$D$5)&amp;"",""),Brand_Log!$A$2:$A$201,0))&amp;"",IFERROR(INDEX(Clay_Brands!$A$2:$FZ$601,308,Sync!$D$5)&amp;"","")&amp;""))</f>
        <v/>
      </c>
      <c r="E4959" s="23" t="str">
        <f aca="false">IF(B4959="","",IFERROR(INDEX(Clay_Brands!$A$2:$FZ$601,308,Sync!$D$6)&amp;"",""))</f>
        <v/>
      </c>
      <c r="F4959" s="23" t="str">
        <f aca="false">IF(B4959="","","outreach_sent")</f>
        <v/>
      </c>
      <c r="G4959" s="23" t="str">
        <f aca="false">IF(B4959="","","")</f>
        <v/>
      </c>
      <c r="H4959" s="23" t="str">
        <f aca="false">IF(B4959="","","")</f>
        <v/>
      </c>
      <c r="I4959" s="23" t="str">
        <f aca="false">IF(B4959="","","")</f>
        <v/>
      </c>
      <c r="J4959" s="23" t="str">
        <f aca="false">IF(B4959="","","touch_3; "&amp;IFERROR(INDEX(Clay_Brands!$A$2:$FZ$601,308,Sync!$D$10)&amp;"","")&amp;"; "&amp;IFERROR(INDEX(Clay_Brands!$A$2:$FZ$601,308,Sync!$D$9)&amp;"",""))</f>
        <v/>
      </c>
      <c r="K4959" s="32" t="s">
        <v>1368</v>
      </c>
    </row>
    <row r="4960" customFormat="false" ht="15" hidden="false" customHeight="false" outlineLevel="0" collapsed="false">
      <c r="A4960" s="23" t="str">
        <f aca="false">IF(B4960="","",B4960+(17*1000+309)/10000000)</f>
        <v/>
      </c>
      <c r="B4960" s="35" t="str">
        <f aca="false">IF(AND(IFERROR(N(INDEX(Clay_Brands!$A$2:$FZ$601,309,Sync!$D$13)),0)&gt;0,IFERROR(INDEX(Clay_Brands!$A$2:$FZ$601,309,Sync!$D$5)&amp;"","")&lt;&gt;"",OR(LEFT(IFERROR(INDEX(Clay_Brands!$A$2:$FZ$601,309,Sync!$D$5)&amp;"",""),6)&lt;&gt;"SAMPLE",Config!$B$19="Y")),IFERROR(N(INDEX(Clay_Brands!$A$2:$FZ$601,309,Sync!$D$13)),0),"")</f>
        <v/>
      </c>
      <c r="C4960" s="23" t="str">
        <f aca="false">IF(B4960="","","brand")</f>
        <v/>
      </c>
      <c r="D4960" s="23" t="str">
        <f aca="false">IF(B4960="","",IFERROR(INDEX(Brand_Log!$DV$2:$DV$201,MATCH(IFERROR(INDEX(Clay_Brands!$A$2:$FZ$601,309,Sync!$D$5)&amp;"",""),Brand_Log!$A$2:$A$201,0))&amp;"",IFERROR(INDEX(Clay_Brands!$A$2:$FZ$601,309,Sync!$D$5)&amp;"","")&amp;""))</f>
        <v/>
      </c>
      <c r="E4960" s="23" t="str">
        <f aca="false">IF(B4960="","",IFERROR(INDEX(Clay_Brands!$A$2:$FZ$601,309,Sync!$D$6)&amp;"",""))</f>
        <v/>
      </c>
      <c r="F4960" s="23" t="str">
        <f aca="false">IF(B4960="","","outreach_sent")</f>
        <v/>
      </c>
      <c r="G4960" s="23" t="str">
        <f aca="false">IF(B4960="","","")</f>
        <v/>
      </c>
      <c r="H4960" s="23" t="str">
        <f aca="false">IF(B4960="","","")</f>
        <v/>
      </c>
      <c r="I4960" s="23" t="str">
        <f aca="false">IF(B4960="","","")</f>
        <v/>
      </c>
      <c r="J4960" s="23" t="str">
        <f aca="false">IF(B4960="","","touch_3; "&amp;IFERROR(INDEX(Clay_Brands!$A$2:$FZ$601,309,Sync!$D$10)&amp;"","")&amp;"; "&amp;IFERROR(INDEX(Clay_Brands!$A$2:$FZ$601,309,Sync!$D$9)&amp;"",""))</f>
        <v/>
      </c>
      <c r="K4960" s="32" t="s">
        <v>1368</v>
      </c>
    </row>
    <row r="4961" customFormat="false" ht="15" hidden="false" customHeight="false" outlineLevel="0" collapsed="false">
      <c r="A4961" s="23" t="str">
        <f aca="false">IF(B4961="","",B4961+(17*1000+310)/10000000)</f>
        <v/>
      </c>
      <c r="B4961" s="35" t="str">
        <f aca="false">IF(AND(IFERROR(N(INDEX(Clay_Brands!$A$2:$FZ$601,310,Sync!$D$13)),0)&gt;0,IFERROR(INDEX(Clay_Brands!$A$2:$FZ$601,310,Sync!$D$5)&amp;"","")&lt;&gt;"",OR(LEFT(IFERROR(INDEX(Clay_Brands!$A$2:$FZ$601,310,Sync!$D$5)&amp;"",""),6)&lt;&gt;"SAMPLE",Config!$B$19="Y")),IFERROR(N(INDEX(Clay_Brands!$A$2:$FZ$601,310,Sync!$D$13)),0),"")</f>
        <v/>
      </c>
      <c r="C4961" s="23" t="str">
        <f aca="false">IF(B4961="","","brand")</f>
        <v/>
      </c>
      <c r="D4961" s="23" t="str">
        <f aca="false">IF(B4961="","",IFERROR(INDEX(Brand_Log!$DV$2:$DV$201,MATCH(IFERROR(INDEX(Clay_Brands!$A$2:$FZ$601,310,Sync!$D$5)&amp;"",""),Brand_Log!$A$2:$A$201,0))&amp;"",IFERROR(INDEX(Clay_Brands!$A$2:$FZ$601,310,Sync!$D$5)&amp;"","")&amp;""))</f>
        <v/>
      </c>
      <c r="E4961" s="23" t="str">
        <f aca="false">IF(B4961="","",IFERROR(INDEX(Clay_Brands!$A$2:$FZ$601,310,Sync!$D$6)&amp;"",""))</f>
        <v/>
      </c>
      <c r="F4961" s="23" t="str">
        <f aca="false">IF(B4961="","","outreach_sent")</f>
        <v/>
      </c>
      <c r="G4961" s="23" t="str">
        <f aca="false">IF(B4961="","","")</f>
        <v/>
      </c>
      <c r="H4961" s="23" t="str">
        <f aca="false">IF(B4961="","","")</f>
        <v/>
      </c>
      <c r="I4961" s="23" t="str">
        <f aca="false">IF(B4961="","","")</f>
        <v/>
      </c>
      <c r="J4961" s="23" t="str">
        <f aca="false">IF(B4961="","","touch_3; "&amp;IFERROR(INDEX(Clay_Brands!$A$2:$FZ$601,310,Sync!$D$10)&amp;"","")&amp;"; "&amp;IFERROR(INDEX(Clay_Brands!$A$2:$FZ$601,310,Sync!$D$9)&amp;"",""))</f>
        <v/>
      </c>
      <c r="K4961" s="32" t="s">
        <v>1368</v>
      </c>
    </row>
    <row r="4962" customFormat="false" ht="15" hidden="false" customHeight="false" outlineLevel="0" collapsed="false">
      <c r="A4962" s="23" t="str">
        <f aca="false">IF(B4962="","",B4962+(17*1000+311)/10000000)</f>
        <v/>
      </c>
      <c r="B4962" s="35" t="str">
        <f aca="false">IF(AND(IFERROR(N(INDEX(Clay_Brands!$A$2:$FZ$601,311,Sync!$D$13)),0)&gt;0,IFERROR(INDEX(Clay_Brands!$A$2:$FZ$601,311,Sync!$D$5)&amp;"","")&lt;&gt;"",OR(LEFT(IFERROR(INDEX(Clay_Brands!$A$2:$FZ$601,311,Sync!$D$5)&amp;"",""),6)&lt;&gt;"SAMPLE",Config!$B$19="Y")),IFERROR(N(INDEX(Clay_Brands!$A$2:$FZ$601,311,Sync!$D$13)),0),"")</f>
        <v/>
      </c>
      <c r="C4962" s="23" t="str">
        <f aca="false">IF(B4962="","","brand")</f>
        <v/>
      </c>
      <c r="D4962" s="23" t="str">
        <f aca="false">IF(B4962="","",IFERROR(INDEX(Brand_Log!$DV$2:$DV$201,MATCH(IFERROR(INDEX(Clay_Brands!$A$2:$FZ$601,311,Sync!$D$5)&amp;"",""),Brand_Log!$A$2:$A$201,0))&amp;"",IFERROR(INDEX(Clay_Brands!$A$2:$FZ$601,311,Sync!$D$5)&amp;"","")&amp;""))</f>
        <v/>
      </c>
      <c r="E4962" s="23" t="str">
        <f aca="false">IF(B4962="","",IFERROR(INDEX(Clay_Brands!$A$2:$FZ$601,311,Sync!$D$6)&amp;"",""))</f>
        <v/>
      </c>
      <c r="F4962" s="23" t="str">
        <f aca="false">IF(B4962="","","outreach_sent")</f>
        <v/>
      </c>
      <c r="G4962" s="23" t="str">
        <f aca="false">IF(B4962="","","")</f>
        <v/>
      </c>
      <c r="H4962" s="23" t="str">
        <f aca="false">IF(B4962="","","")</f>
        <v/>
      </c>
      <c r="I4962" s="23" t="str">
        <f aca="false">IF(B4962="","","")</f>
        <v/>
      </c>
      <c r="J4962" s="23" t="str">
        <f aca="false">IF(B4962="","","touch_3; "&amp;IFERROR(INDEX(Clay_Brands!$A$2:$FZ$601,311,Sync!$D$10)&amp;"","")&amp;"; "&amp;IFERROR(INDEX(Clay_Brands!$A$2:$FZ$601,311,Sync!$D$9)&amp;"",""))</f>
        <v/>
      </c>
      <c r="K4962" s="32" t="s">
        <v>1368</v>
      </c>
    </row>
    <row r="4963" customFormat="false" ht="15" hidden="false" customHeight="false" outlineLevel="0" collapsed="false">
      <c r="A4963" s="23" t="str">
        <f aca="false">IF(B4963="","",B4963+(17*1000+312)/10000000)</f>
        <v/>
      </c>
      <c r="B4963" s="35" t="str">
        <f aca="false">IF(AND(IFERROR(N(INDEX(Clay_Brands!$A$2:$FZ$601,312,Sync!$D$13)),0)&gt;0,IFERROR(INDEX(Clay_Brands!$A$2:$FZ$601,312,Sync!$D$5)&amp;"","")&lt;&gt;"",OR(LEFT(IFERROR(INDEX(Clay_Brands!$A$2:$FZ$601,312,Sync!$D$5)&amp;"",""),6)&lt;&gt;"SAMPLE",Config!$B$19="Y")),IFERROR(N(INDEX(Clay_Brands!$A$2:$FZ$601,312,Sync!$D$13)),0),"")</f>
        <v/>
      </c>
      <c r="C4963" s="23" t="str">
        <f aca="false">IF(B4963="","","brand")</f>
        <v/>
      </c>
      <c r="D4963" s="23" t="str">
        <f aca="false">IF(B4963="","",IFERROR(INDEX(Brand_Log!$DV$2:$DV$201,MATCH(IFERROR(INDEX(Clay_Brands!$A$2:$FZ$601,312,Sync!$D$5)&amp;"",""),Brand_Log!$A$2:$A$201,0))&amp;"",IFERROR(INDEX(Clay_Brands!$A$2:$FZ$601,312,Sync!$D$5)&amp;"","")&amp;""))</f>
        <v/>
      </c>
      <c r="E4963" s="23" t="str">
        <f aca="false">IF(B4963="","",IFERROR(INDEX(Clay_Brands!$A$2:$FZ$601,312,Sync!$D$6)&amp;"",""))</f>
        <v/>
      </c>
      <c r="F4963" s="23" t="str">
        <f aca="false">IF(B4963="","","outreach_sent")</f>
        <v/>
      </c>
      <c r="G4963" s="23" t="str">
        <f aca="false">IF(B4963="","","")</f>
        <v/>
      </c>
      <c r="H4963" s="23" t="str">
        <f aca="false">IF(B4963="","","")</f>
        <v/>
      </c>
      <c r="I4963" s="23" t="str">
        <f aca="false">IF(B4963="","","")</f>
        <v/>
      </c>
      <c r="J4963" s="23" t="str">
        <f aca="false">IF(B4963="","","touch_3; "&amp;IFERROR(INDEX(Clay_Brands!$A$2:$FZ$601,312,Sync!$D$10)&amp;"","")&amp;"; "&amp;IFERROR(INDEX(Clay_Brands!$A$2:$FZ$601,312,Sync!$D$9)&amp;"",""))</f>
        <v/>
      </c>
      <c r="K4963" s="32" t="s">
        <v>1368</v>
      </c>
    </row>
    <row r="4964" customFormat="false" ht="15" hidden="false" customHeight="false" outlineLevel="0" collapsed="false">
      <c r="A4964" s="23" t="str">
        <f aca="false">IF(B4964="","",B4964+(17*1000+313)/10000000)</f>
        <v/>
      </c>
      <c r="B4964" s="35" t="str">
        <f aca="false">IF(AND(IFERROR(N(INDEX(Clay_Brands!$A$2:$FZ$601,313,Sync!$D$13)),0)&gt;0,IFERROR(INDEX(Clay_Brands!$A$2:$FZ$601,313,Sync!$D$5)&amp;"","")&lt;&gt;"",OR(LEFT(IFERROR(INDEX(Clay_Brands!$A$2:$FZ$601,313,Sync!$D$5)&amp;"",""),6)&lt;&gt;"SAMPLE",Config!$B$19="Y")),IFERROR(N(INDEX(Clay_Brands!$A$2:$FZ$601,313,Sync!$D$13)),0),"")</f>
        <v/>
      </c>
      <c r="C4964" s="23" t="str">
        <f aca="false">IF(B4964="","","brand")</f>
        <v/>
      </c>
      <c r="D4964" s="23" t="str">
        <f aca="false">IF(B4964="","",IFERROR(INDEX(Brand_Log!$DV$2:$DV$201,MATCH(IFERROR(INDEX(Clay_Brands!$A$2:$FZ$601,313,Sync!$D$5)&amp;"",""),Brand_Log!$A$2:$A$201,0))&amp;"",IFERROR(INDEX(Clay_Brands!$A$2:$FZ$601,313,Sync!$D$5)&amp;"","")&amp;""))</f>
        <v/>
      </c>
      <c r="E4964" s="23" t="str">
        <f aca="false">IF(B4964="","",IFERROR(INDEX(Clay_Brands!$A$2:$FZ$601,313,Sync!$D$6)&amp;"",""))</f>
        <v/>
      </c>
      <c r="F4964" s="23" t="str">
        <f aca="false">IF(B4964="","","outreach_sent")</f>
        <v/>
      </c>
      <c r="G4964" s="23" t="str">
        <f aca="false">IF(B4964="","","")</f>
        <v/>
      </c>
      <c r="H4964" s="23" t="str">
        <f aca="false">IF(B4964="","","")</f>
        <v/>
      </c>
      <c r="I4964" s="23" t="str">
        <f aca="false">IF(B4964="","","")</f>
        <v/>
      </c>
      <c r="J4964" s="23" t="str">
        <f aca="false">IF(B4964="","","touch_3; "&amp;IFERROR(INDEX(Clay_Brands!$A$2:$FZ$601,313,Sync!$D$10)&amp;"","")&amp;"; "&amp;IFERROR(INDEX(Clay_Brands!$A$2:$FZ$601,313,Sync!$D$9)&amp;"",""))</f>
        <v/>
      </c>
      <c r="K4964" s="32" t="s">
        <v>1368</v>
      </c>
    </row>
    <row r="4965" customFormat="false" ht="15" hidden="false" customHeight="false" outlineLevel="0" collapsed="false">
      <c r="A4965" s="23" t="str">
        <f aca="false">IF(B4965="","",B4965+(17*1000+314)/10000000)</f>
        <v/>
      </c>
      <c r="B4965" s="35" t="str">
        <f aca="false">IF(AND(IFERROR(N(INDEX(Clay_Brands!$A$2:$FZ$601,314,Sync!$D$13)),0)&gt;0,IFERROR(INDEX(Clay_Brands!$A$2:$FZ$601,314,Sync!$D$5)&amp;"","")&lt;&gt;"",OR(LEFT(IFERROR(INDEX(Clay_Brands!$A$2:$FZ$601,314,Sync!$D$5)&amp;"",""),6)&lt;&gt;"SAMPLE",Config!$B$19="Y")),IFERROR(N(INDEX(Clay_Brands!$A$2:$FZ$601,314,Sync!$D$13)),0),"")</f>
        <v/>
      </c>
      <c r="C4965" s="23" t="str">
        <f aca="false">IF(B4965="","","brand")</f>
        <v/>
      </c>
      <c r="D4965" s="23" t="str">
        <f aca="false">IF(B4965="","",IFERROR(INDEX(Brand_Log!$DV$2:$DV$201,MATCH(IFERROR(INDEX(Clay_Brands!$A$2:$FZ$601,314,Sync!$D$5)&amp;"",""),Brand_Log!$A$2:$A$201,0))&amp;"",IFERROR(INDEX(Clay_Brands!$A$2:$FZ$601,314,Sync!$D$5)&amp;"","")&amp;""))</f>
        <v/>
      </c>
      <c r="E4965" s="23" t="str">
        <f aca="false">IF(B4965="","",IFERROR(INDEX(Clay_Brands!$A$2:$FZ$601,314,Sync!$D$6)&amp;"",""))</f>
        <v/>
      </c>
      <c r="F4965" s="23" t="str">
        <f aca="false">IF(B4965="","","outreach_sent")</f>
        <v/>
      </c>
      <c r="G4965" s="23" t="str">
        <f aca="false">IF(B4965="","","")</f>
        <v/>
      </c>
      <c r="H4965" s="23" t="str">
        <f aca="false">IF(B4965="","","")</f>
        <v/>
      </c>
      <c r="I4965" s="23" t="str">
        <f aca="false">IF(B4965="","","")</f>
        <v/>
      </c>
      <c r="J4965" s="23" t="str">
        <f aca="false">IF(B4965="","","touch_3; "&amp;IFERROR(INDEX(Clay_Brands!$A$2:$FZ$601,314,Sync!$D$10)&amp;"","")&amp;"; "&amp;IFERROR(INDEX(Clay_Brands!$A$2:$FZ$601,314,Sync!$D$9)&amp;"",""))</f>
        <v/>
      </c>
      <c r="K4965" s="32" t="s">
        <v>1368</v>
      </c>
    </row>
    <row r="4966" customFormat="false" ht="15" hidden="false" customHeight="false" outlineLevel="0" collapsed="false">
      <c r="A4966" s="23" t="str">
        <f aca="false">IF(B4966="","",B4966+(17*1000+315)/10000000)</f>
        <v/>
      </c>
      <c r="B4966" s="35" t="str">
        <f aca="false">IF(AND(IFERROR(N(INDEX(Clay_Brands!$A$2:$FZ$601,315,Sync!$D$13)),0)&gt;0,IFERROR(INDEX(Clay_Brands!$A$2:$FZ$601,315,Sync!$D$5)&amp;"","")&lt;&gt;"",OR(LEFT(IFERROR(INDEX(Clay_Brands!$A$2:$FZ$601,315,Sync!$D$5)&amp;"",""),6)&lt;&gt;"SAMPLE",Config!$B$19="Y")),IFERROR(N(INDEX(Clay_Brands!$A$2:$FZ$601,315,Sync!$D$13)),0),"")</f>
        <v/>
      </c>
      <c r="C4966" s="23" t="str">
        <f aca="false">IF(B4966="","","brand")</f>
        <v/>
      </c>
      <c r="D4966" s="23" t="str">
        <f aca="false">IF(B4966="","",IFERROR(INDEX(Brand_Log!$DV$2:$DV$201,MATCH(IFERROR(INDEX(Clay_Brands!$A$2:$FZ$601,315,Sync!$D$5)&amp;"",""),Brand_Log!$A$2:$A$201,0))&amp;"",IFERROR(INDEX(Clay_Brands!$A$2:$FZ$601,315,Sync!$D$5)&amp;"","")&amp;""))</f>
        <v/>
      </c>
      <c r="E4966" s="23" t="str">
        <f aca="false">IF(B4966="","",IFERROR(INDEX(Clay_Brands!$A$2:$FZ$601,315,Sync!$D$6)&amp;"",""))</f>
        <v/>
      </c>
      <c r="F4966" s="23" t="str">
        <f aca="false">IF(B4966="","","outreach_sent")</f>
        <v/>
      </c>
      <c r="G4966" s="23" t="str">
        <f aca="false">IF(B4966="","","")</f>
        <v/>
      </c>
      <c r="H4966" s="23" t="str">
        <f aca="false">IF(B4966="","","")</f>
        <v/>
      </c>
      <c r="I4966" s="23" t="str">
        <f aca="false">IF(B4966="","","")</f>
        <v/>
      </c>
      <c r="J4966" s="23" t="str">
        <f aca="false">IF(B4966="","","touch_3; "&amp;IFERROR(INDEX(Clay_Brands!$A$2:$FZ$601,315,Sync!$D$10)&amp;"","")&amp;"; "&amp;IFERROR(INDEX(Clay_Brands!$A$2:$FZ$601,315,Sync!$D$9)&amp;"",""))</f>
        <v/>
      </c>
      <c r="K4966" s="32" t="s">
        <v>1368</v>
      </c>
    </row>
    <row r="4967" customFormat="false" ht="15" hidden="false" customHeight="false" outlineLevel="0" collapsed="false">
      <c r="A4967" s="23" t="str">
        <f aca="false">IF(B4967="","",B4967+(17*1000+316)/10000000)</f>
        <v/>
      </c>
      <c r="B4967" s="35" t="str">
        <f aca="false">IF(AND(IFERROR(N(INDEX(Clay_Brands!$A$2:$FZ$601,316,Sync!$D$13)),0)&gt;0,IFERROR(INDEX(Clay_Brands!$A$2:$FZ$601,316,Sync!$D$5)&amp;"","")&lt;&gt;"",OR(LEFT(IFERROR(INDEX(Clay_Brands!$A$2:$FZ$601,316,Sync!$D$5)&amp;"",""),6)&lt;&gt;"SAMPLE",Config!$B$19="Y")),IFERROR(N(INDEX(Clay_Brands!$A$2:$FZ$601,316,Sync!$D$13)),0),"")</f>
        <v/>
      </c>
      <c r="C4967" s="23" t="str">
        <f aca="false">IF(B4967="","","brand")</f>
        <v/>
      </c>
      <c r="D4967" s="23" t="str">
        <f aca="false">IF(B4967="","",IFERROR(INDEX(Brand_Log!$DV$2:$DV$201,MATCH(IFERROR(INDEX(Clay_Brands!$A$2:$FZ$601,316,Sync!$D$5)&amp;"",""),Brand_Log!$A$2:$A$201,0))&amp;"",IFERROR(INDEX(Clay_Brands!$A$2:$FZ$601,316,Sync!$D$5)&amp;"","")&amp;""))</f>
        <v/>
      </c>
      <c r="E4967" s="23" t="str">
        <f aca="false">IF(B4967="","",IFERROR(INDEX(Clay_Brands!$A$2:$FZ$601,316,Sync!$D$6)&amp;"",""))</f>
        <v/>
      </c>
      <c r="F4967" s="23" t="str">
        <f aca="false">IF(B4967="","","outreach_sent")</f>
        <v/>
      </c>
      <c r="G4967" s="23" t="str">
        <f aca="false">IF(B4967="","","")</f>
        <v/>
      </c>
      <c r="H4967" s="23" t="str">
        <f aca="false">IF(B4967="","","")</f>
        <v/>
      </c>
      <c r="I4967" s="23" t="str">
        <f aca="false">IF(B4967="","","")</f>
        <v/>
      </c>
      <c r="J4967" s="23" t="str">
        <f aca="false">IF(B4967="","","touch_3; "&amp;IFERROR(INDEX(Clay_Brands!$A$2:$FZ$601,316,Sync!$D$10)&amp;"","")&amp;"; "&amp;IFERROR(INDEX(Clay_Brands!$A$2:$FZ$601,316,Sync!$D$9)&amp;"",""))</f>
        <v/>
      </c>
      <c r="K4967" s="32" t="s">
        <v>1368</v>
      </c>
    </row>
    <row r="4968" customFormat="false" ht="15" hidden="false" customHeight="false" outlineLevel="0" collapsed="false">
      <c r="A4968" s="23" t="str">
        <f aca="false">IF(B4968="","",B4968+(17*1000+317)/10000000)</f>
        <v/>
      </c>
      <c r="B4968" s="35" t="str">
        <f aca="false">IF(AND(IFERROR(N(INDEX(Clay_Brands!$A$2:$FZ$601,317,Sync!$D$13)),0)&gt;0,IFERROR(INDEX(Clay_Brands!$A$2:$FZ$601,317,Sync!$D$5)&amp;"","")&lt;&gt;"",OR(LEFT(IFERROR(INDEX(Clay_Brands!$A$2:$FZ$601,317,Sync!$D$5)&amp;"",""),6)&lt;&gt;"SAMPLE",Config!$B$19="Y")),IFERROR(N(INDEX(Clay_Brands!$A$2:$FZ$601,317,Sync!$D$13)),0),"")</f>
        <v/>
      </c>
      <c r="C4968" s="23" t="str">
        <f aca="false">IF(B4968="","","brand")</f>
        <v/>
      </c>
      <c r="D4968" s="23" t="str">
        <f aca="false">IF(B4968="","",IFERROR(INDEX(Brand_Log!$DV$2:$DV$201,MATCH(IFERROR(INDEX(Clay_Brands!$A$2:$FZ$601,317,Sync!$D$5)&amp;"",""),Brand_Log!$A$2:$A$201,0))&amp;"",IFERROR(INDEX(Clay_Brands!$A$2:$FZ$601,317,Sync!$D$5)&amp;"","")&amp;""))</f>
        <v/>
      </c>
      <c r="E4968" s="23" t="str">
        <f aca="false">IF(B4968="","",IFERROR(INDEX(Clay_Brands!$A$2:$FZ$601,317,Sync!$D$6)&amp;"",""))</f>
        <v/>
      </c>
      <c r="F4968" s="23" t="str">
        <f aca="false">IF(B4968="","","outreach_sent")</f>
        <v/>
      </c>
      <c r="G4968" s="23" t="str">
        <f aca="false">IF(B4968="","","")</f>
        <v/>
      </c>
      <c r="H4968" s="23" t="str">
        <f aca="false">IF(B4968="","","")</f>
        <v/>
      </c>
      <c r="I4968" s="23" t="str">
        <f aca="false">IF(B4968="","","")</f>
        <v/>
      </c>
      <c r="J4968" s="23" t="str">
        <f aca="false">IF(B4968="","","touch_3; "&amp;IFERROR(INDEX(Clay_Brands!$A$2:$FZ$601,317,Sync!$D$10)&amp;"","")&amp;"; "&amp;IFERROR(INDEX(Clay_Brands!$A$2:$FZ$601,317,Sync!$D$9)&amp;"",""))</f>
        <v/>
      </c>
      <c r="K4968" s="32" t="s">
        <v>1368</v>
      </c>
    </row>
    <row r="4969" customFormat="false" ht="15" hidden="false" customHeight="false" outlineLevel="0" collapsed="false">
      <c r="A4969" s="23" t="str">
        <f aca="false">IF(B4969="","",B4969+(17*1000+318)/10000000)</f>
        <v/>
      </c>
      <c r="B4969" s="35" t="str">
        <f aca="false">IF(AND(IFERROR(N(INDEX(Clay_Brands!$A$2:$FZ$601,318,Sync!$D$13)),0)&gt;0,IFERROR(INDEX(Clay_Brands!$A$2:$FZ$601,318,Sync!$D$5)&amp;"","")&lt;&gt;"",OR(LEFT(IFERROR(INDEX(Clay_Brands!$A$2:$FZ$601,318,Sync!$D$5)&amp;"",""),6)&lt;&gt;"SAMPLE",Config!$B$19="Y")),IFERROR(N(INDEX(Clay_Brands!$A$2:$FZ$601,318,Sync!$D$13)),0),"")</f>
        <v/>
      </c>
      <c r="C4969" s="23" t="str">
        <f aca="false">IF(B4969="","","brand")</f>
        <v/>
      </c>
      <c r="D4969" s="23" t="str">
        <f aca="false">IF(B4969="","",IFERROR(INDEX(Brand_Log!$DV$2:$DV$201,MATCH(IFERROR(INDEX(Clay_Brands!$A$2:$FZ$601,318,Sync!$D$5)&amp;"",""),Brand_Log!$A$2:$A$201,0))&amp;"",IFERROR(INDEX(Clay_Brands!$A$2:$FZ$601,318,Sync!$D$5)&amp;"","")&amp;""))</f>
        <v/>
      </c>
      <c r="E4969" s="23" t="str">
        <f aca="false">IF(B4969="","",IFERROR(INDEX(Clay_Brands!$A$2:$FZ$601,318,Sync!$D$6)&amp;"",""))</f>
        <v/>
      </c>
      <c r="F4969" s="23" t="str">
        <f aca="false">IF(B4969="","","outreach_sent")</f>
        <v/>
      </c>
      <c r="G4969" s="23" t="str">
        <f aca="false">IF(B4969="","","")</f>
        <v/>
      </c>
      <c r="H4969" s="23" t="str">
        <f aca="false">IF(B4969="","","")</f>
        <v/>
      </c>
      <c r="I4969" s="23" t="str">
        <f aca="false">IF(B4969="","","")</f>
        <v/>
      </c>
      <c r="J4969" s="23" t="str">
        <f aca="false">IF(B4969="","","touch_3; "&amp;IFERROR(INDEX(Clay_Brands!$A$2:$FZ$601,318,Sync!$D$10)&amp;"","")&amp;"; "&amp;IFERROR(INDEX(Clay_Brands!$A$2:$FZ$601,318,Sync!$D$9)&amp;"",""))</f>
        <v/>
      </c>
      <c r="K4969" s="32" t="s">
        <v>1368</v>
      </c>
    </row>
    <row r="4970" customFormat="false" ht="15" hidden="false" customHeight="false" outlineLevel="0" collapsed="false">
      <c r="A4970" s="23" t="str">
        <f aca="false">IF(B4970="","",B4970+(17*1000+319)/10000000)</f>
        <v/>
      </c>
      <c r="B4970" s="35" t="str">
        <f aca="false">IF(AND(IFERROR(N(INDEX(Clay_Brands!$A$2:$FZ$601,319,Sync!$D$13)),0)&gt;0,IFERROR(INDEX(Clay_Brands!$A$2:$FZ$601,319,Sync!$D$5)&amp;"","")&lt;&gt;"",OR(LEFT(IFERROR(INDEX(Clay_Brands!$A$2:$FZ$601,319,Sync!$D$5)&amp;"",""),6)&lt;&gt;"SAMPLE",Config!$B$19="Y")),IFERROR(N(INDEX(Clay_Brands!$A$2:$FZ$601,319,Sync!$D$13)),0),"")</f>
        <v/>
      </c>
      <c r="C4970" s="23" t="str">
        <f aca="false">IF(B4970="","","brand")</f>
        <v/>
      </c>
      <c r="D4970" s="23" t="str">
        <f aca="false">IF(B4970="","",IFERROR(INDEX(Brand_Log!$DV$2:$DV$201,MATCH(IFERROR(INDEX(Clay_Brands!$A$2:$FZ$601,319,Sync!$D$5)&amp;"",""),Brand_Log!$A$2:$A$201,0))&amp;"",IFERROR(INDEX(Clay_Brands!$A$2:$FZ$601,319,Sync!$D$5)&amp;"","")&amp;""))</f>
        <v/>
      </c>
      <c r="E4970" s="23" t="str">
        <f aca="false">IF(B4970="","",IFERROR(INDEX(Clay_Brands!$A$2:$FZ$601,319,Sync!$D$6)&amp;"",""))</f>
        <v/>
      </c>
      <c r="F4970" s="23" t="str">
        <f aca="false">IF(B4970="","","outreach_sent")</f>
        <v/>
      </c>
      <c r="G4970" s="23" t="str">
        <f aca="false">IF(B4970="","","")</f>
        <v/>
      </c>
      <c r="H4970" s="23" t="str">
        <f aca="false">IF(B4970="","","")</f>
        <v/>
      </c>
      <c r="I4970" s="23" t="str">
        <f aca="false">IF(B4970="","","")</f>
        <v/>
      </c>
      <c r="J4970" s="23" t="str">
        <f aca="false">IF(B4970="","","touch_3; "&amp;IFERROR(INDEX(Clay_Brands!$A$2:$FZ$601,319,Sync!$D$10)&amp;"","")&amp;"; "&amp;IFERROR(INDEX(Clay_Brands!$A$2:$FZ$601,319,Sync!$D$9)&amp;"",""))</f>
        <v/>
      </c>
      <c r="K4970" s="32" t="s">
        <v>1368</v>
      </c>
    </row>
    <row r="4971" customFormat="false" ht="15" hidden="false" customHeight="false" outlineLevel="0" collapsed="false">
      <c r="A4971" s="23" t="str">
        <f aca="false">IF(B4971="","",B4971+(17*1000+320)/10000000)</f>
        <v/>
      </c>
      <c r="B4971" s="35" t="str">
        <f aca="false">IF(AND(IFERROR(N(INDEX(Clay_Brands!$A$2:$FZ$601,320,Sync!$D$13)),0)&gt;0,IFERROR(INDEX(Clay_Brands!$A$2:$FZ$601,320,Sync!$D$5)&amp;"","")&lt;&gt;"",OR(LEFT(IFERROR(INDEX(Clay_Brands!$A$2:$FZ$601,320,Sync!$D$5)&amp;"",""),6)&lt;&gt;"SAMPLE",Config!$B$19="Y")),IFERROR(N(INDEX(Clay_Brands!$A$2:$FZ$601,320,Sync!$D$13)),0),"")</f>
        <v/>
      </c>
      <c r="C4971" s="23" t="str">
        <f aca="false">IF(B4971="","","brand")</f>
        <v/>
      </c>
      <c r="D4971" s="23" t="str">
        <f aca="false">IF(B4971="","",IFERROR(INDEX(Brand_Log!$DV$2:$DV$201,MATCH(IFERROR(INDEX(Clay_Brands!$A$2:$FZ$601,320,Sync!$D$5)&amp;"",""),Brand_Log!$A$2:$A$201,0))&amp;"",IFERROR(INDEX(Clay_Brands!$A$2:$FZ$601,320,Sync!$D$5)&amp;"","")&amp;""))</f>
        <v/>
      </c>
      <c r="E4971" s="23" t="str">
        <f aca="false">IF(B4971="","",IFERROR(INDEX(Clay_Brands!$A$2:$FZ$601,320,Sync!$D$6)&amp;"",""))</f>
        <v/>
      </c>
      <c r="F4971" s="23" t="str">
        <f aca="false">IF(B4971="","","outreach_sent")</f>
        <v/>
      </c>
      <c r="G4971" s="23" t="str">
        <f aca="false">IF(B4971="","","")</f>
        <v/>
      </c>
      <c r="H4971" s="23" t="str">
        <f aca="false">IF(B4971="","","")</f>
        <v/>
      </c>
      <c r="I4971" s="23" t="str">
        <f aca="false">IF(B4971="","","")</f>
        <v/>
      </c>
      <c r="J4971" s="23" t="str">
        <f aca="false">IF(B4971="","","touch_3; "&amp;IFERROR(INDEX(Clay_Brands!$A$2:$FZ$601,320,Sync!$D$10)&amp;"","")&amp;"; "&amp;IFERROR(INDEX(Clay_Brands!$A$2:$FZ$601,320,Sync!$D$9)&amp;"",""))</f>
        <v/>
      </c>
      <c r="K4971" s="32" t="s">
        <v>1368</v>
      </c>
    </row>
    <row r="4972" customFormat="false" ht="15" hidden="false" customHeight="false" outlineLevel="0" collapsed="false">
      <c r="A4972" s="23" t="str">
        <f aca="false">IF(B4972="","",B4972+(17*1000+321)/10000000)</f>
        <v/>
      </c>
      <c r="B4972" s="35" t="str">
        <f aca="false">IF(AND(IFERROR(N(INDEX(Clay_Brands!$A$2:$FZ$601,321,Sync!$D$13)),0)&gt;0,IFERROR(INDEX(Clay_Brands!$A$2:$FZ$601,321,Sync!$D$5)&amp;"","")&lt;&gt;"",OR(LEFT(IFERROR(INDEX(Clay_Brands!$A$2:$FZ$601,321,Sync!$D$5)&amp;"",""),6)&lt;&gt;"SAMPLE",Config!$B$19="Y")),IFERROR(N(INDEX(Clay_Brands!$A$2:$FZ$601,321,Sync!$D$13)),0),"")</f>
        <v/>
      </c>
      <c r="C4972" s="23" t="str">
        <f aca="false">IF(B4972="","","brand")</f>
        <v/>
      </c>
      <c r="D4972" s="23" t="str">
        <f aca="false">IF(B4972="","",IFERROR(INDEX(Brand_Log!$DV$2:$DV$201,MATCH(IFERROR(INDEX(Clay_Brands!$A$2:$FZ$601,321,Sync!$D$5)&amp;"",""),Brand_Log!$A$2:$A$201,0))&amp;"",IFERROR(INDEX(Clay_Brands!$A$2:$FZ$601,321,Sync!$D$5)&amp;"","")&amp;""))</f>
        <v/>
      </c>
      <c r="E4972" s="23" t="str">
        <f aca="false">IF(B4972="","",IFERROR(INDEX(Clay_Brands!$A$2:$FZ$601,321,Sync!$D$6)&amp;"",""))</f>
        <v/>
      </c>
      <c r="F4972" s="23" t="str">
        <f aca="false">IF(B4972="","","outreach_sent")</f>
        <v/>
      </c>
      <c r="G4972" s="23" t="str">
        <f aca="false">IF(B4972="","","")</f>
        <v/>
      </c>
      <c r="H4972" s="23" t="str">
        <f aca="false">IF(B4972="","","")</f>
        <v/>
      </c>
      <c r="I4972" s="23" t="str">
        <f aca="false">IF(B4972="","","")</f>
        <v/>
      </c>
      <c r="J4972" s="23" t="str">
        <f aca="false">IF(B4972="","","touch_3; "&amp;IFERROR(INDEX(Clay_Brands!$A$2:$FZ$601,321,Sync!$D$10)&amp;"","")&amp;"; "&amp;IFERROR(INDEX(Clay_Brands!$A$2:$FZ$601,321,Sync!$D$9)&amp;"",""))</f>
        <v/>
      </c>
      <c r="K4972" s="32" t="s">
        <v>1368</v>
      </c>
    </row>
    <row r="4973" customFormat="false" ht="15" hidden="false" customHeight="false" outlineLevel="0" collapsed="false">
      <c r="A4973" s="23" t="str">
        <f aca="false">IF(B4973="","",B4973+(17*1000+322)/10000000)</f>
        <v/>
      </c>
      <c r="B4973" s="35" t="str">
        <f aca="false">IF(AND(IFERROR(N(INDEX(Clay_Brands!$A$2:$FZ$601,322,Sync!$D$13)),0)&gt;0,IFERROR(INDEX(Clay_Brands!$A$2:$FZ$601,322,Sync!$D$5)&amp;"","")&lt;&gt;"",OR(LEFT(IFERROR(INDEX(Clay_Brands!$A$2:$FZ$601,322,Sync!$D$5)&amp;"",""),6)&lt;&gt;"SAMPLE",Config!$B$19="Y")),IFERROR(N(INDEX(Clay_Brands!$A$2:$FZ$601,322,Sync!$D$13)),0),"")</f>
        <v/>
      </c>
      <c r="C4973" s="23" t="str">
        <f aca="false">IF(B4973="","","brand")</f>
        <v/>
      </c>
      <c r="D4973" s="23" t="str">
        <f aca="false">IF(B4973="","",IFERROR(INDEX(Brand_Log!$DV$2:$DV$201,MATCH(IFERROR(INDEX(Clay_Brands!$A$2:$FZ$601,322,Sync!$D$5)&amp;"",""),Brand_Log!$A$2:$A$201,0))&amp;"",IFERROR(INDEX(Clay_Brands!$A$2:$FZ$601,322,Sync!$D$5)&amp;"","")&amp;""))</f>
        <v/>
      </c>
      <c r="E4973" s="23" t="str">
        <f aca="false">IF(B4973="","",IFERROR(INDEX(Clay_Brands!$A$2:$FZ$601,322,Sync!$D$6)&amp;"",""))</f>
        <v/>
      </c>
      <c r="F4973" s="23" t="str">
        <f aca="false">IF(B4973="","","outreach_sent")</f>
        <v/>
      </c>
      <c r="G4973" s="23" t="str">
        <f aca="false">IF(B4973="","","")</f>
        <v/>
      </c>
      <c r="H4973" s="23" t="str">
        <f aca="false">IF(B4973="","","")</f>
        <v/>
      </c>
      <c r="I4973" s="23" t="str">
        <f aca="false">IF(B4973="","","")</f>
        <v/>
      </c>
      <c r="J4973" s="23" t="str">
        <f aca="false">IF(B4973="","","touch_3; "&amp;IFERROR(INDEX(Clay_Brands!$A$2:$FZ$601,322,Sync!$D$10)&amp;"","")&amp;"; "&amp;IFERROR(INDEX(Clay_Brands!$A$2:$FZ$601,322,Sync!$D$9)&amp;"",""))</f>
        <v/>
      </c>
      <c r="K4973" s="32" t="s">
        <v>1368</v>
      </c>
    </row>
    <row r="4974" customFormat="false" ht="15" hidden="false" customHeight="false" outlineLevel="0" collapsed="false">
      <c r="A4974" s="23" t="str">
        <f aca="false">IF(B4974="","",B4974+(17*1000+323)/10000000)</f>
        <v/>
      </c>
      <c r="B4974" s="35" t="str">
        <f aca="false">IF(AND(IFERROR(N(INDEX(Clay_Brands!$A$2:$FZ$601,323,Sync!$D$13)),0)&gt;0,IFERROR(INDEX(Clay_Brands!$A$2:$FZ$601,323,Sync!$D$5)&amp;"","")&lt;&gt;"",OR(LEFT(IFERROR(INDEX(Clay_Brands!$A$2:$FZ$601,323,Sync!$D$5)&amp;"",""),6)&lt;&gt;"SAMPLE",Config!$B$19="Y")),IFERROR(N(INDEX(Clay_Brands!$A$2:$FZ$601,323,Sync!$D$13)),0),"")</f>
        <v/>
      </c>
      <c r="C4974" s="23" t="str">
        <f aca="false">IF(B4974="","","brand")</f>
        <v/>
      </c>
      <c r="D4974" s="23" t="str">
        <f aca="false">IF(B4974="","",IFERROR(INDEX(Brand_Log!$DV$2:$DV$201,MATCH(IFERROR(INDEX(Clay_Brands!$A$2:$FZ$601,323,Sync!$D$5)&amp;"",""),Brand_Log!$A$2:$A$201,0))&amp;"",IFERROR(INDEX(Clay_Brands!$A$2:$FZ$601,323,Sync!$D$5)&amp;"","")&amp;""))</f>
        <v/>
      </c>
      <c r="E4974" s="23" t="str">
        <f aca="false">IF(B4974="","",IFERROR(INDEX(Clay_Brands!$A$2:$FZ$601,323,Sync!$D$6)&amp;"",""))</f>
        <v/>
      </c>
      <c r="F4974" s="23" t="str">
        <f aca="false">IF(B4974="","","outreach_sent")</f>
        <v/>
      </c>
      <c r="G4974" s="23" t="str">
        <f aca="false">IF(B4974="","","")</f>
        <v/>
      </c>
      <c r="H4974" s="23" t="str">
        <f aca="false">IF(B4974="","","")</f>
        <v/>
      </c>
      <c r="I4974" s="23" t="str">
        <f aca="false">IF(B4974="","","")</f>
        <v/>
      </c>
      <c r="J4974" s="23" t="str">
        <f aca="false">IF(B4974="","","touch_3; "&amp;IFERROR(INDEX(Clay_Brands!$A$2:$FZ$601,323,Sync!$D$10)&amp;"","")&amp;"; "&amp;IFERROR(INDEX(Clay_Brands!$A$2:$FZ$601,323,Sync!$D$9)&amp;"",""))</f>
        <v/>
      </c>
      <c r="K4974" s="32" t="s">
        <v>1368</v>
      </c>
    </row>
    <row r="4975" customFormat="false" ht="15" hidden="false" customHeight="false" outlineLevel="0" collapsed="false">
      <c r="A4975" s="23" t="str">
        <f aca="false">IF(B4975="","",B4975+(17*1000+324)/10000000)</f>
        <v/>
      </c>
      <c r="B4975" s="35" t="str">
        <f aca="false">IF(AND(IFERROR(N(INDEX(Clay_Brands!$A$2:$FZ$601,324,Sync!$D$13)),0)&gt;0,IFERROR(INDEX(Clay_Brands!$A$2:$FZ$601,324,Sync!$D$5)&amp;"","")&lt;&gt;"",OR(LEFT(IFERROR(INDEX(Clay_Brands!$A$2:$FZ$601,324,Sync!$D$5)&amp;"",""),6)&lt;&gt;"SAMPLE",Config!$B$19="Y")),IFERROR(N(INDEX(Clay_Brands!$A$2:$FZ$601,324,Sync!$D$13)),0),"")</f>
        <v/>
      </c>
      <c r="C4975" s="23" t="str">
        <f aca="false">IF(B4975="","","brand")</f>
        <v/>
      </c>
      <c r="D4975" s="23" t="str">
        <f aca="false">IF(B4975="","",IFERROR(INDEX(Brand_Log!$DV$2:$DV$201,MATCH(IFERROR(INDEX(Clay_Brands!$A$2:$FZ$601,324,Sync!$D$5)&amp;"",""),Brand_Log!$A$2:$A$201,0))&amp;"",IFERROR(INDEX(Clay_Brands!$A$2:$FZ$601,324,Sync!$D$5)&amp;"","")&amp;""))</f>
        <v/>
      </c>
      <c r="E4975" s="23" t="str">
        <f aca="false">IF(B4975="","",IFERROR(INDEX(Clay_Brands!$A$2:$FZ$601,324,Sync!$D$6)&amp;"",""))</f>
        <v/>
      </c>
      <c r="F4975" s="23" t="str">
        <f aca="false">IF(B4975="","","outreach_sent")</f>
        <v/>
      </c>
      <c r="G4975" s="23" t="str">
        <f aca="false">IF(B4975="","","")</f>
        <v/>
      </c>
      <c r="H4975" s="23" t="str">
        <f aca="false">IF(B4975="","","")</f>
        <v/>
      </c>
      <c r="I4975" s="23" t="str">
        <f aca="false">IF(B4975="","","")</f>
        <v/>
      </c>
      <c r="J4975" s="23" t="str">
        <f aca="false">IF(B4975="","","touch_3; "&amp;IFERROR(INDEX(Clay_Brands!$A$2:$FZ$601,324,Sync!$D$10)&amp;"","")&amp;"; "&amp;IFERROR(INDEX(Clay_Brands!$A$2:$FZ$601,324,Sync!$D$9)&amp;"",""))</f>
        <v/>
      </c>
      <c r="K4975" s="32" t="s">
        <v>1368</v>
      </c>
    </row>
    <row r="4976" customFormat="false" ht="15" hidden="false" customHeight="false" outlineLevel="0" collapsed="false">
      <c r="A4976" s="23" t="str">
        <f aca="false">IF(B4976="","",B4976+(17*1000+325)/10000000)</f>
        <v/>
      </c>
      <c r="B4976" s="35" t="str">
        <f aca="false">IF(AND(IFERROR(N(INDEX(Clay_Brands!$A$2:$FZ$601,325,Sync!$D$13)),0)&gt;0,IFERROR(INDEX(Clay_Brands!$A$2:$FZ$601,325,Sync!$D$5)&amp;"","")&lt;&gt;"",OR(LEFT(IFERROR(INDEX(Clay_Brands!$A$2:$FZ$601,325,Sync!$D$5)&amp;"",""),6)&lt;&gt;"SAMPLE",Config!$B$19="Y")),IFERROR(N(INDEX(Clay_Brands!$A$2:$FZ$601,325,Sync!$D$13)),0),"")</f>
        <v/>
      </c>
      <c r="C4976" s="23" t="str">
        <f aca="false">IF(B4976="","","brand")</f>
        <v/>
      </c>
      <c r="D4976" s="23" t="str">
        <f aca="false">IF(B4976="","",IFERROR(INDEX(Brand_Log!$DV$2:$DV$201,MATCH(IFERROR(INDEX(Clay_Brands!$A$2:$FZ$601,325,Sync!$D$5)&amp;"",""),Brand_Log!$A$2:$A$201,0))&amp;"",IFERROR(INDEX(Clay_Brands!$A$2:$FZ$601,325,Sync!$D$5)&amp;"","")&amp;""))</f>
        <v/>
      </c>
      <c r="E4976" s="23" t="str">
        <f aca="false">IF(B4976="","",IFERROR(INDEX(Clay_Brands!$A$2:$FZ$601,325,Sync!$D$6)&amp;"",""))</f>
        <v/>
      </c>
      <c r="F4976" s="23" t="str">
        <f aca="false">IF(B4976="","","outreach_sent")</f>
        <v/>
      </c>
      <c r="G4976" s="23" t="str">
        <f aca="false">IF(B4976="","","")</f>
        <v/>
      </c>
      <c r="H4976" s="23" t="str">
        <f aca="false">IF(B4976="","","")</f>
        <v/>
      </c>
      <c r="I4976" s="23" t="str">
        <f aca="false">IF(B4976="","","")</f>
        <v/>
      </c>
      <c r="J4976" s="23" t="str">
        <f aca="false">IF(B4976="","","touch_3; "&amp;IFERROR(INDEX(Clay_Brands!$A$2:$FZ$601,325,Sync!$D$10)&amp;"","")&amp;"; "&amp;IFERROR(INDEX(Clay_Brands!$A$2:$FZ$601,325,Sync!$D$9)&amp;"",""))</f>
        <v/>
      </c>
      <c r="K4976" s="32" t="s">
        <v>1368</v>
      </c>
    </row>
    <row r="4977" customFormat="false" ht="15" hidden="false" customHeight="false" outlineLevel="0" collapsed="false">
      <c r="A4977" s="23" t="str">
        <f aca="false">IF(B4977="","",B4977+(17*1000+326)/10000000)</f>
        <v/>
      </c>
      <c r="B4977" s="35" t="str">
        <f aca="false">IF(AND(IFERROR(N(INDEX(Clay_Brands!$A$2:$FZ$601,326,Sync!$D$13)),0)&gt;0,IFERROR(INDEX(Clay_Brands!$A$2:$FZ$601,326,Sync!$D$5)&amp;"","")&lt;&gt;"",OR(LEFT(IFERROR(INDEX(Clay_Brands!$A$2:$FZ$601,326,Sync!$D$5)&amp;"",""),6)&lt;&gt;"SAMPLE",Config!$B$19="Y")),IFERROR(N(INDEX(Clay_Brands!$A$2:$FZ$601,326,Sync!$D$13)),0),"")</f>
        <v/>
      </c>
      <c r="C4977" s="23" t="str">
        <f aca="false">IF(B4977="","","brand")</f>
        <v/>
      </c>
      <c r="D4977" s="23" t="str">
        <f aca="false">IF(B4977="","",IFERROR(INDEX(Brand_Log!$DV$2:$DV$201,MATCH(IFERROR(INDEX(Clay_Brands!$A$2:$FZ$601,326,Sync!$D$5)&amp;"",""),Brand_Log!$A$2:$A$201,0))&amp;"",IFERROR(INDEX(Clay_Brands!$A$2:$FZ$601,326,Sync!$D$5)&amp;"","")&amp;""))</f>
        <v/>
      </c>
      <c r="E4977" s="23" t="str">
        <f aca="false">IF(B4977="","",IFERROR(INDEX(Clay_Brands!$A$2:$FZ$601,326,Sync!$D$6)&amp;"",""))</f>
        <v/>
      </c>
      <c r="F4977" s="23" t="str">
        <f aca="false">IF(B4977="","","outreach_sent")</f>
        <v/>
      </c>
      <c r="G4977" s="23" t="str">
        <f aca="false">IF(B4977="","","")</f>
        <v/>
      </c>
      <c r="H4977" s="23" t="str">
        <f aca="false">IF(B4977="","","")</f>
        <v/>
      </c>
      <c r="I4977" s="23" t="str">
        <f aca="false">IF(B4977="","","")</f>
        <v/>
      </c>
      <c r="J4977" s="23" t="str">
        <f aca="false">IF(B4977="","","touch_3; "&amp;IFERROR(INDEX(Clay_Brands!$A$2:$FZ$601,326,Sync!$D$10)&amp;"","")&amp;"; "&amp;IFERROR(INDEX(Clay_Brands!$A$2:$FZ$601,326,Sync!$D$9)&amp;"",""))</f>
        <v/>
      </c>
      <c r="K4977" s="32" t="s">
        <v>1368</v>
      </c>
    </row>
    <row r="4978" customFormat="false" ht="15" hidden="false" customHeight="false" outlineLevel="0" collapsed="false">
      <c r="A4978" s="23" t="str">
        <f aca="false">IF(B4978="","",B4978+(17*1000+327)/10000000)</f>
        <v/>
      </c>
      <c r="B4978" s="35" t="str">
        <f aca="false">IF(AND(IFERROR(N(INDEX(Clay_Brands!$A$2:$FZ$601,327,Sync!$D$13)),0)&gt;0,IFERROR(INDEX(Clay_Brands!$A$2:$FZ$601,327,Sync!$D$5)&amp;"","")&lt;&gt;"",OR(LEFT(IFERROR(INDEX(Clay_Brands!$A$2:$FZ$601,327,Sync!$D$5)&amp;"",""),6)&lt;&gt;"SAMPLE",Config!$B$19="Y")),IFERROR(N(INDEX(Clay_Brands!$A$2:$FZ$601,327,Sync!$D$13)),0),"")</f>
        <v/>
      </c>
      <c r="C4978" s="23" t="str">
        <f aca="false">IF(B4978="","","brand")</f>
        <v/>
      </c>
      <c r="D4978" s="23" t="str">
        <f aca="false">IF(B4978="","",IFERROR(INDEX(Brand_Log!$DV$2:$DV$201,MATCH(IFERROR(INDEX(Clay_Brands!$A$2:$FZ$601,327,Sync!$D$5)&amp;"",""),Brand_Log!$A$2:$A$201,0))&amp;"",IFERROR(INDEX(Clay_Brands!$A$2:$FZ$601,327,Sync!$D$5)&amp;"","")&amp;""))</f>
        <v/>
      </c>
      <c r="E4978" s="23" t="str">
        <f aca="false">IF(B4978="","",IFERROR(INDEX(Clay_Brands!$A$2:$FZ$601,327,Sync!$D$6)&amp;"",""))</f>
        <v/>
      </c>
      <c r="F4978" s="23" t="str">
        <f aca="false">IF(B4978="","","outreach_sent")</f>
        <v/>
      </c>
      <c r="G4978" s="23" t="str">
        <f aca="false">IF(B4978="","","")</f>
        <v/>
      </c>
      <c r="H4978" s="23" t="str">
        <f aca="false">IF(B4978="","","")</f>
        <v/>
      </c>
      <c r="I4978" s="23" t="str">
        <f aca="false">IF(B4978="","","")</f>
        <v/>
      </c>
      <c r="J4978" s="23" t="str">
        <f aca="false">IF(B4978="","","touch_3; "&amp;IFERROR(INDEX(Clay_Brands!$A$2:$FZ$601,327,Sync!$D$10)&amp;"","")&amp;"; "&amp;IFERROR(INDEX(Clay_Brands!$A$2:$FZ$601,327,Sync!$D$9)&amp;"",""))</f>
        <v/>
      </c>
      <c r="K4978" s="32" t="s">
        <v>1368</v>
      </c>
    </row>
    <row r="4979" customFormat="false" ht="15" hidden="false" customHeight="false" outlineLevel="0" collapsed="false">
      <c r="A4979" s="23" t="str">
        <f aca="false">IF(B4979="","",B4979+(17*1000+328)/10000000)</f>
        <v/>
      </c>
      <c r="B4979" s="35" t="str">
        <f aca="false">IF(AND(IFERROR(N(INDEX(Clay_Brands!$A$2:$FZ$601,328,Sync!$D$13)),0)&gt;0,IFERROR(INDEX(Clay_Brands!$A$2:$FZ$601,328,Sync!$D$5)&amp;"","")&lt;&gt;"",OR(LEFT(IFERROR(INDEX(Clay_Brands!$A$2:$FZ$601,328,Sync!$D$5)&amp;"",""),6)&lt;&gt;"SAMPLE",Config!$B$19="Y")),IFERROR(N(INDEX(Clay_Brands!$A$2:$FZ$601,328,Sync!$D$13)),0),"")</f>
        <v/>
      </c>
      <c r="C4979" s="23" t="str">
        <f aca="false">IF(B4979="","","brand")</f>
        <v/>
      </c>
      <c r="D4979" s="23" t="str">
        <f aca="false">IF(B4979="","",IFERROR(INDEX(Brand_Log!$DV$2:$DV$201,MATCH(IFERROR(INDEX(Clay_Brands!$A$2:$FZ$601,328,Sync!$D$5)&amp;"",""),Brand_Log!$A$2:$A$201,0))&amp;"",IFERROR(INDEX(Clay_Brands!$A$2:$FZ$601,328,Sync!$D$5)&amp;"","")&amp;""))</f>
        <v/>
      </c>
      <c r="E4979" s="23" t="str">
        <f aca="false">IF(B4979="","",IFERROR(INDEX(Clay_Brands!$A$2:$FZ$601,328,Sync!$D$6)&amp;"",""))</f>
        <v/>
      </c>
      <c r="F4979" s="23" t="str">
        <f aca="false">IF(B4979="","","outreach_sent")</f>
        <v/>
      </c>
      <c r="G4979" s="23" t="str">
        <f aca="false">IF(B4979="","","")</f>
        <v/>
      </c>
      <c r="H4979" s="23" t="str">
        <f aca="false">IF(B4979="","","")</f>
        <v/>
      </c>
      <c r="I4979" s="23" t="str">
        <f aca="false">IF(B4979="","","")</f>
        <v/>
      </c>
      <c r="J4979" s="23" t="str">
        <f aca="false">IF(B4979="","","touch_3; "&amp;IFERROR(INDEX(Clay_Brands!$A$2:$FZ$601,328,Sync!$D$10)&amp;"","")&amp;"; "&amp;IFERROR(INDEX(Clay_Brands!$A$2:$FZ$601,328,Sync!$D$9)&amp;"",""))</f>
        <v/>
      </c>
      <c r="K4979" s="32" t="s">
        <v>1368</v>
      </c>
    </row>
    <row r="4980" customFormat="false" ht="15" hidden="false" customHeight="false" outlineLevel="0" collapsed="false">
      <c r="A4980" s="23" t="str">
        <f aca="false">IF(B4980="","",B4980+(17*1000+329)/10000000)</f>
        <v/>
      </c>
      <c r="B4980" s="35" t="str">
        <f aca="false">IF(AND(IFERROR(N(INDEX(Clay_Brands!$A$2:$FZ$601,329,Sync!$D$13)),0)&gt;0,IFERROR(INDEX(Clay_Brands!$A$2:$FZ$601,329,Sync!$D$5)&amp;"","")&lt;&gt;"",OR(LEFT(IFERROR(INDEX(Clay_Brands!$A$2:$FZ$601,329,Sync!$D$5)&amp;"",""),6)&lt;&gt;"SAMPLE",Config!$B$19="Y")),IFERROR(N(INDEX(Clay_Brands!$A$2:$FZ$601,329,Sync!$D$13)),0),"")</f>
        <v/>
      </c>
      <c r="C4980" s="23" t="str">
        <f aca="false">IF(B4980="","","brand")</f>
        <v/>
      </c>
      <c r="D4980" s="23" t="str">
        <f aca="false">IF(B4980="","",IFERROR(INDEX(Brand_Log!$DV$2:$DV$201,MATCH(IFERROR(INDEX(Clay_Brands!$A$2:$FZ$601,329,Sync!$D$5)&amp;"",""),Brand_Log!$A$2:$A$201,0))&amp;"",IFERROR(INDEX(Clay_Brands!$A$2:$FZ$601,329,Sync!$D$5)&amp;"","")&amp;""))</f>
        <v/>
      </c>
      <c r="E4980" s="23" t="str">
        <f aca="false">IF(B4980="","",IFERROR(INDEX(Clay_Brands!$A$2:$FZ$601,329,Sync!$D$6)&amp;"",""))</f>
        <v/>
      </c>
      <c r="F4980" s="23" t="str">
        <f aca="false">IF(B4980="","","outreach_sent")</f>
        <v/>
      </c>
      <c r="G4980" s="23" t="str">
        <f aca="false">IF(B4980="","","")</f>
        <v/>
      </c>
      <c r="H4980" s="23" t="str">
        <f aca="false">IF(B4980="","","")</f>
        <v/>
      </c>
      <c r="I4980" s="23" t="str">
        <f aca="false">IF(B4980="","","")</f>
        <v/>
      </c>
      <c r="J4980" s="23" t="str">
        <f aca="false">IF(B4980="","","touch_3; "&amp;IFERROR(INDEX(Clay_Brands!$A$2:$FZ$601,329,Sync!$D$10)&amp;"","")&amp;"; "&amp;IFERROR(INDEX(Clay_Brands!$A$2:$FZ$601,329,Sync!$D$9)&amp;"",""))</f>
        <v/>
      </c>
      <c r="K4980" s="32" t="s">
        <v>1368</v>
      </c>
    </row>
    <row r="4981" customFormat="false" ht="15" hidden="false" customHeight="false" outlineLevel="0" collapsed="false">
      <c r="A4981" s="23" t="str">
        <f aca="false">IF(B4981="","",B4981+(17*1000+330)/10000000)</f>
        <v/>
      </c>
      <c r="B4981" s="35" t="str">
        <f aca="false">IF(AND(IFERROR(N(INDEX(Clay_Brands!$A$2:$FZ$601,330,Sync!$D$13)),0)&gt;0,IFERROR(INDEX(Clay_Brands!$A$2:$FZ$601,330,Sync!$D$5)&amp;"","")&lt;&gt;"",OR(LEFT(IFERROR(INDEX(Clay_Brands!$A$2:$FZ$601,330,Sync!$D$5)&amp;"",""),6)&lt;&gt;"SAMPLE",Config!$B$19="Y")),IFERROR(N(INDEX(Clay_Brands!$A$2:$FZ$601,330,Sync!$D$13)),0),"")</f>
        <v/>
      </c>
      <c r="C4981" s="23" t="str">
        <f aca="false">IF(B4981="","","brand")</f>
        <v/>
      </c>
      <c r="D4981" s="23" t="str">
        <f aca="false">IF(B4981="","",IFERROR(INDEX(Brand_Log!$DV$2:$DV$201,MATCH(IFERROR(INDEX(Clay_Brands!$A$2:$FZ$601,330,Sync!$D$5)&amp;"",""),Brand_Log!$A$2:$A$201,0))&amp;"",IFERROR(INDEX(Clay_Brands!$A$2:$FZ$601,330,Sync!$D$5)&amp;"","")&amp;""))</f>
        <v/>
      </c>
      <c r="E4981" s="23" t="str">
        <f aca="false">IF(B4981="","",IFERROR(INDEX(Clay_Brands!$A$2:$FZ$601,330,Sync!$D$6)&amp;"",""))</f>
        <v/>
      </c>
      <c r="F4981" s="23" t="str">
        <f aca="false">IF(B4981="","","outreach_sent")</f>
        <v/>
      </c>
      <c r="G4981" s="23" t="str">
        <f aca="false">IF(B4981="","","")</f>
        <v/>
      </c>
      <c r="H4981" s="23" t="str">
        <f aca="false">IF(B4981="","","")</f>
        <v/>
      </c>
      <c r="I4981" s="23" t="str">
        <f aca="false">IF(B4981="","","")</f>
        <v/>
      </c>
      <c r="J4981" s="23" t="str">
        <f aca="false">IF(B4981="","","touch_3; "&amp;IFERROR(INDEX(Clay_Brands!$A$2:$FZ$601,330,Sync!$D$10)&amp;"","")&amp;"; "&amp;IFERROR(INDEX(Clay_Brands!$A$2:$FZ$601,330,Sync!$D$9)&amp;"",""))</f>
        <v/>
      </c>
      <c r="K4981" s="32" t="s">
        <v>1368</v>
      </c>
    </row>
    <row r="4982" customFormat="false" ht="15" hidden="false" customHeight="false" outlineLevel="0" collapsed="false">
      <c r="A4982" s="23" t="str">
        <f aca="false">IF(B4982="","",B4982+(17*1000+331)/10000000)</f>
        <v/>
      </c>
      <c r="B4982" s="35" t="str">
        <f aca="false">IF(AND(IFERROR(N(INDEX(Clay_Brands!$A$2:$FZ$601,331,Sync!$D$13)),0)&gt;0,IFERROR(INDEX(Clay_Brands!$A$2:$FZ$601,331,Sync!$D$5)&amp;"","")&lt;&gt;"",OR(LEFT(IFERROR(INDEX(Clay_Brands!$A$2:$FZ$601,331,Sync!$D$5)&amp;"",""),6)&lt;&gt;"SAMPLE",Config!$B$19="Y")),IFERROR(N(INDEX(Clay_Brands!$A$2:$FZ$601,331,Sync!$D$13)),0),"")</f>
        <v/>
      </c>
      <c r="C4982" s="23" t="str">
        <f aca="false">IF(B4982="","","brand")</f>
        <v/>
      </c>
      <c r="D4982" s="23" t="str">
        <f aca="false">IF(B4982="","",IFERROR(INDEX(Brand_Log!$DV$2:$DV$201,MATCH(IFERROR(INDEX(Clay_Brands!$A$2:$FZ$601,331,Sync!$D$5)&amp;"",""),Brand_Log!$A$2:$A$201,0))&amp;"",IFERROR(INDEX(Clay_Brands!$A$2:$FZ$601,331,Sync!$D$5)&amp;"","")&amp;""))</f>
        <v/>
      </c>
      <c r="E4982" s="23" t="str">
        <f aca="false">IF(B4982="","",IFERROR(INDEX(Clay_Brands!$A$2:$FZ$601,331,Sync!$D$6)&amp;"",""))</f>
        <v/>
      </c>
      <c r="F4982" s="23" t="str">
        <f aca="false">IF(B4982="","","outreach_sent")</f>
        <v/>
      </c>
      <c r="G4982" s="23" t="str">
        <f aca="false">IF(B4982="","","")</f>
        <v/>
      </c>
      <c r="H4982" s="23" t="str">
        <f aca="false">IF(B4982="","","")</f>
        <v/>
      </c>
      <c r="I4982" s="23" t="str">
        <f aca="false">IF(B4982="","","")</f>
        <v/>
      </c>
      <c r="J4982" s="23" t="str">
        <f aca="false">IF(B4982="","","touch_3; "&amp;IFERROR(INDEX(Clay_Brands!$A$2:$FZ$601,331,Sync!$D$10)&amp;"","")&amp;"; "&amp;IFERROR(INDEX(Clay_Brands!$A$2:$FZ$601,331,Sync!$D$9)&amp;"",""))</f>
        <v/>
      </c>
      <c r="K4982" s="32" t="s">
        <v>1368</v>
      </c>
    </row>
    <row r="4983" customFormat="false" ht="15" hidden="false" customHeight="false" outlineLevel="0" collapsed="false">
      <c r="A4983" s="23" t="str">
        <f aca="false">IF(B4983="","",B4983+(17*1000+332)/10000000)</f>
        <v/>
      </c>
      <c r="B4983" s="35" t="str">
        <f aca="false">IF(AND(IFERROR(N(INDEX(Clay_Brands!$A$2:$FZ$601,332,Sync!$D$13)),0)&gt;0,IFERROR(INDEX(Clay_Brands!$A$2:$FZ$601,332,Sync!$D$5)&amp;"","")&lt;&gt;"",OR(LEFT(IFERROR(INDEX(Clay_Brands!$A$2:$FZ$601,332,Sync!$D$5)&amp;"",""),6)&lt;&gt;"SAMPLE",Config!$B$19="Y")),IFERROR(N(INDEX(Clay_Brands!$A$2:$FZ$601,332,Sync!$D$13)),0),"")</f>
        <v/>
      </c>
      <c r="C4983" s="23" t="str">
        <f aca="false">IF(B4983="","","brand")</f>
        <v/>
      </c>
      <c r="D4983" s="23" t="str">
        <f aca="false">IF(B4983="","",IFERROR(INDEX(Brand_Log!$DV$2:$DV$201,MATCH(IFERROR(INDEX(Clay_Brands!$A$2:$FZ$601,332,Sync!$D$5)&amp;"",""),Brand_Log!$A$2:$A$201,0))&amp;"",IFERROR(INDEX(Clay_Brands!$A$2:$FZ$601,332,Sync!$D$5)&amp;"","")&amp;""))</f>
        <v/>
      </c>
      <c r="E4983" s="23" t="str">
        <f aca="false">IF(B4983="","",IFERROR(INDEX(Clay_Brands!$A$2:$FZ$601,332,Sync!$D$6)&amp;"",""))</f>
        <v/>
      </c>
      <c r="F4983" s="23" t="str">
        <f aca="false">IF(B4983="","","outreach_sent")</f>
        <v/>
      </c>
      <c r="G4983" s="23" t="str">
        <f aca="false">IF(B4983="","","")</f>
        <v/>
      </c>
      <c r="H4983" s="23" t="str">
        <f aca="false">IF(B4983="","","")</f>
        <v/>
      </c>
      <c r="I4983" s="23" t="str">
        <f aca="false">IF(B4983="","","")</f>
        <v/>
      </c>
      <c r="J4983" s="23" t="str">
        <f aca="false">IF(B4983="","","touch_3; "&amp;IFERROR(INDEX(Clay_Brands!$A$2:$FZ$601,332,Sync!$D$10)&amp;"","")&amp;"; "&amp;IFERROR(INDEX(Clay_Brands!$A$2:$FZ$601,332,Sync!$D$9)&amp;"",""))</f>
        <v/>
      </c>
      <c r="K4983" s="32" t="s">
        <v>1368</v>
      </c>
    </row>
    <row r="4984" customFormat="false" ht="15" hidden="false" customHeight="false" outlineLevel="0" collapsed="false">
      <c r="A4984" s="23" t="str">
        <f aca="false">IF(B4984="","",B4984+(17*1000+333)/10000000)</f>
        <v/>
      </c>
      <c r="B4984" s="35" t="str">
        <f aca="false">IF(AND(IFERROR(N(INDEX(Clay_Brands!$A$2:$FZ$601,333,Sync!$D$13)),0)&gt;0,IFERROR(INDEX(Clay_Brands!$A$2:$FZ$601,333,Sync!$D$5)&amp;"","")&lt;&gt;"",OR(LEFT(IFERROR(INDEX(Clay_Brands!$A$2:$FZ$601,333,Sync!$D$5)&amp;"",""),6)&lt;&gt;"SAMPLE",Config!$B$19="Y")),IFERROR(N(INDEX(Clay_Brands!$A$2:$FZ$601,333,Sync!$D$13)),0),"")</f>
        <v/>
      </c>
      <c r="C4984" s="23" t="str">
        <f aca="false">IF(B4984="","","brand")</f>
        <v/>
      </c>
      <c r="D4984" s="23" t="str">
        <f aca="false">IF(B4984="","",IFERROR(INDEX(Brand_Log!$DV$2:$DV$201,MATCH(IFERROR(INDEX(Clay_Brands!$A$2:$FZ$601,333,Sync!$D$5)&amp;"",""),Brand_Log!$A$2:$A$201,0))&amp;"",IFERROR(INDEX(Clay_Brands!$A$2:$FZ$601,333,Sync!$D$5)&amp;"","")&amp;""))</f>
        <v/>
      </c>
      <c r="E4984" s="23" t="str">
        <f aca="false">IF(B4984="","",IFERROR(INDEX(Clay_Brands!$A$2:$FZ$601,333,Sync!$D$6)&amp;"",""))</f>
        <v/>
      </c>
      <c r="F4984" s="23" t="str">
        <f aca="false">IF(B4984="","","outreach_sent")</f>
        <v/>
      </c>
      <c r="G4984" s="23" t="str">
        <f aca="false">IF(B4984="","","")</f>
        <v/>
      </c>
      <c r="H4984" s="23" t="str">
        <f aca="false">IF(B4984="","","")</f>
        <v/>
      </c>
      <c r="I4984" s="23" t="str">
        <f aca="false">IF(B4984="","","")</f>
        <v/>
      </c>
      <c r="J4984" s="23" t="str">
        <f aca="false">IF(B4984="","","touch_3; "&amp;IFERROR(INDEX(Clay_Brands!$A$2:$FZ$601,333,Sync!$D$10)&amp;"","")&amp;"; "&amp;IFERROR(INDEX(Clay_Brands!$A$2:$FZ$601,333,Sync!$D$9)&amp;"",""))</f>
        <v/>
      </c>
      <c r="K4984" s="32" t="s">
        <v>1368</v>
      </c>
    </row>
    <row r="4985" customFormat="false" ht="15" hidden="false" customHeight="false" outlineLevel="0" collapsed="false">
      <c r="A4985" s="23" t="str">
        <f aca="false">IF(B4985="","",B4985+(17*1000+334)/10000000)</f>
        <v/>
      </c>
      <c r="B4985" s="35" t="str">
        <f aca="false">IF(AND(IFERROR(N(INDEX(Clay_Brands!$A$2:$FZ$601,334,Sync!$D$13)),0)&gt;0,IFERROR(INDEX(Clay_Brands!$A$2:$FZ$601,334,Sync!$D$5)&amp;"","")&lt;&gt;"",OR(LEFT(IFERROR(INDEX(Clay_Brands!$A$2:$FZ$601,334,Sync!$D$5)&amp;"",""),6)&lt;&gt;"SAMPLE",Config!$B$19="Y")),IFERROR(N(INDEX(Clay_Brands!$A$2:$FZ$601,334,Sync!$D$13)),0),"")</f>
        <v/>
      </c>
      <c r="C4985" s="23" t="str">
        <f aca="false">IF(B4985="","","brand")</f>
        <v/>
      </c>
      <c r="D4985" s="23" t="str">
        <f aca="false">IF(B4985="","",IFERROR(INDEX(Brand_Log!$DV$2:$DV$201,MATCH(IFERROR(INDEX(Clay_Brands!$A$2:$FZ$601,334,Sync!$D$5)&amp;"",""),Brand_Log!$A$2:$A$201,0))&amp;"",IFERROR(INDEX(Clay_Brands!$A$2:$FZ$601,334,Sync!$D$5)&amp;"","")&amp;""))</f>
        <v/>
      </c>
      <c r="E4985" s="23" t="str">
        <f aca="false">IF(B4985="","",IFERROR(INDEX(Clay_Brands!$A$2:$FZ$601,334,Sync!$D$6)&amp;"",""))</f>
        <v/>
      </c>
      <c r="F4985" s="23" t="str">
        <f aca="false">IF(B4985="","","outreach_sent")</f>
        <v/>
      </c>
      <c r="G4985" s="23" t="str">
        <f aca="false">IF(B4985="","","")</f>
        <v/>
      </c>
      <c r="H4985" s="23" t="str">
        <f aca="false">IF(B4985="","","")</f>
        <v/>
      </c>
      <c r="I4985" s="23" t="str">
        <f aca="false">IF(B4985="","","")</f>
        <v/>
      </c>
      <c r="J4985" s="23" t="str">
        <f aca="false">IF(B4985="","","touch_3; "&amp;IFERROR(INDEX(Clay_Brands!$A$2:$FZ$601,334,Sync!$D$10)&amp;"","")&amp;"; "&amp;IFERROR(INDEX(Clay_Brands!$A$2:$FZ$601,334,Sync!$D$9)&amp;"",""))</f>
        <v/>
      </c>
      <c r="K4985" s="32" t="s">
        <v>1368</v>
      </c>
    </row>
    <row r="4986" customFormat="false" ht="15" hidden="false" customHeight="false" outlineLevel="0" collapsed="false">
      <c r="A4986" s="23" t="str">
        <f aca="false">IF(B4986="","",B4986+(17*1000+335)/10000000)</f>
        <v/>
      </c>
      <c r="B4986" s="35" t="str">
        <f aca="false">IF(AND(IFERROR(N(INDEX(Clay_Brands!$A$2:$FZ$601,335,Sync!$D$13)),0)&gt;0,IFERROR(INDEX(Clay_Brands!$A$2:$FZ$601,335,Sync!$D$5)&amp;"","")&lt;&gt;"",OR(LEFT(IFERROR(INDEX(Clay_Brands!$A$2:$FZ$601,335,Sync!$D$5)&amp;"",""),6)&lt;&gt;"SAMPLE",Config!$B$19="Y")),IFERROR(N(INDEX(Clay_Brands!$A$2:$FZ$601,335,Sync!$D$13)),0),"")</f>
        <v/>
      </c>
      <c r="C4986" s="23" t="str">
        <f aca="false">IF(B4986="","","brand")</f>
        <v/>
      </c>
      <c r="D4986" s="23" t="str">
        <f aca="false">IF(B4986="","",IFERROR(INDEX(Brand_Log!$DV$2:$DV$201,MATCH(IFERROR(INDEX(Clay_Brands!$A$2:$FZ$601,335,Sync!$D$5)&amp;"",""),Brand_Log!$A$2:$A$201,0))&amp;"",IFERROR(INDEX(Clay_Brands!$A$2:$FZ$601,335,Sync!$D$5)&amp;"","")&amp;""))</f>
        <v/>
      </c>
      <c r="E4986" s="23" t="str">
        <f aca="false">IF(B4986="","",IFERROR(INDEX(Clay_Brands!$A$2:$FZ$601,335,Sync!$D$6)&amp;"",""))</f>
        <v/>
      </c>
      <c r="F4986" s="23" t="str">
        <f aca="false">IF(B4986="","","outreach_sent")</f>
        <v/>
      </c>
      <c r="G4986" s="23" t="str">
        <f aca="false">IF(B4986="","","")</f>
        <v/>
      </c>
      <c r="H4986" s="23" t="str">
        <f aca="false">IF(B4986="","","")</f>
        <v/>
      </c>
      <c r="I4986" s="23" t="str">
        <f aca="false">IF(B4986="","","")</f>
        <v/>
      </c>
      <c r="J4986" s="23" t="str">
        <f aca="false">IF(B4986="","","touch_3; "&amp;IFERROR(INDEX(Clay_Brands!$A$2:$FZ$601,335,Sync!$D$10)&amp;"","")&amp;"; "&amp;IFERROR(INDEX(Clay_Brands!$A$2:$FZ$601,335,Sync!$D$9)&amp;"",""))</f>
        <v/>
      </c>
      <c r="K4986" s="32" t="s">
        <v>1368</v>
      </c>
    </row>
    <row r="4987" customFormat="false" ht="15" hidden="false" customHeight="false" outlineLevel="0" collapsed="false">
      <c r="A4987" s="23" t="str">
        <f aca="false">IF(B4987="","",B4987+(17*1000+336)/10000000)</f>
        <v/>
      </c>
      <c r="B4987" s="35" t="str">
        <f aca="false">IF(AND(IFERROR(N(INDEX(Clay_Brands!$A$2:$FZ$601,336,Sync!$D$13)),0)&gt;0,IFERROR(INDEX(Clay_Brands!$A$2:$FZ$601,336,Sync!$D$5)&amp;"","")&lt;&gt;"",OR(LEFT(IFERROR(INDEX(Clay_Brands!$A$2:$FZ$601,336,Sync!$D$5)&amp;"",""),6)&lt;&gt;"SAMPLE",Config!$B$19="Y")),IFERROR(N(INDEX(Clay_Brands!$A$2:$FZ$601,336,Sync!$D$13)),0),"")</f>
        <v/>
      </c>
      <c r="C4987" s="23" t="str">
        <f aca="false">IF(B4987="","","brand")</f>
        <v/>
      </c>
      <c r="D4987" s="23" t="str">
        <f aca="false">IF(B4987="","",IFERROR(INDEX(Brand_Log!$DV$2:$DV$201,MATCH(IFERROR(INDEX(Clay_Brands!$A$2:$FZ$601,336,Sync!$D$5)&amp;"",""),Brand_Log!$A$2:$A$201,0))&amp;"",IFERROR(INDEX(Clay_Brands!$A$2:$FZ$601,336,Sync!$D$5)&amp;"","")&amp;""))</f>
        <v/>
      </c>
      <c r="E4987" s="23" t="str">
        <f aca="false">IF(B4987="","",IFERROR(INDEX(Clay_Brands!$A$2:$FZ$601,336,Sync!$D$6)&amp;"",""))</f>
        <v/>
      </c>
      <c r="F4987" s="23" t="str">
        <f aca="false">IF(B4987="","","outreach_sent")</f>
        <v/>
      </c>
      <c r="G4987" s="23" t="str">
        <f aca="false">IF(B4987="","","")</f>
        <v/>
      </c>
      <c r="H4987" s="23" t="str">
        <f aca="false">IF(B4987="","","")</f>
        <v/>
      </c>
      <c r="I4987" s="23" t="str">
        <f aca="false">IF(B4987="","","")</f>
        <v/>
      </c>
      <c r="J4987" s="23" t="str">
        <f aca="false">IF(B4987="","","touch_3; "&amp;IFERROR(INDEX(Clay_Brands!$A$2:$FZ$601,336,Sync!$D$10)&amp;"","")&amp;"; "&amp;IFERROR(INDEX(Clay_Brands!$A$2:$FZ$601,336,Sync!$D$9)&amp;"",""))</f>
        <v/>
      </c>
      <c r="K4987" s="32" t="s">
        <v>1368</v>
      </c>
    </row>
    <row r="4988" customFormat="false" ht="15" hidden="false" customHeight="false" outlineLevel="0" collapsed="false">
      <c r="A4988" s="23" t="str">
        <f aca="false">IF(B4988="","",B4988+(17*1000+337)/10000000)</f>
        <v/>
      </c>
      <c r="B4988" s="35" t="str">
        <f aca="false">IF(AND(IFERROR(N(INDEX(Clay_Brands!$A$2:$FZ$601,337,Sync!$D$13)),0)&gt;0,IFERROR(INDEX(Clay_Brands!$A$2:$FZ$601,337,Sync!$D$5)&amp;"","")&lt;&gt;"",OR(LEFT(IFERROR(INDEX(Clay_Brands!$A$2:$FZ$601,337,Sync!$D$5)&amp;"",""),6)&lt;&gt;"SAMPLE",Config!$B$19="Y")),IFERROR(N(INDEX(Clay_Brands!$A$2:$FZ$601,337,Sync!$D$13)),0),"")</f>
        <v/>
      </c>
      <c r="C4988" s="23" t="str">
        <f aca="false">IF(B4988="","","brand")</f>
        <v/>
      </c>
      <c r="D4988" s="23" t="str">
        <f aca="false">IF(B4988="","",IFERROR(INDEX(Brand_Log!$DV$2:$DV$201,MATCH(IFERROR(INDEX(Clay_Brands!$A$2:$FZ$601,337,Sync!$D$5)&amp;"",""),Brand_Log!$A$2:$A$201,0))&amp;"",IFERROR(INDEX(Clay_Brands!$A$2:$FZ$601,337,Sync!$D$5)&amp;"","")&amp;""))</f>
        <v/>
      </c>
      <c r="E4988" s="23" t="str">
        <f aca="false">IF(B4988="","",IFERROR(INDEX(Clay_Brands!$A$2:$FZ$601,337,Sync!$D$6)&amp;"",""))</f>
        <v/>
      </c>
      <c r="F4988" s="23" t="str">
        <f aca="false">IF(B4988="","","outreach_sent")</f>
        <v/>
      </c>
      <c r="G4988" s="23" t="str">
        <f aca="false">IF(B4988="","","")</f>
        <v/>
      </c>
      <c r="H4988" s="23" t="str">
        <f aca="false">IF(B4988="","","")</f>
        <v/>
      </c>
      <c r="I4988" s="23" t="str">
        <f aca="false">IF(B4988="","","")</f>
        <v/>
      </c>
      <c r="J4988" s="23" t="str">
        <f aca="false">IF(B4988="","","touch_3; "&amp;IFERROR(INDEX(Clay_Brands!$A$2:$FZ$601,337,Sync!$D$10)&amp;"","")&amp;"; "&amp;IFERROR(INDEX(Clay_Brands!$A$2:$FZ$601,337,Sync!$D$9)&amp;"",""))</f>
        <v/>
      </c>
      <c r="K4988" s="32" t="s">
        <v>1368</v>
      </c>
    </row>
    <row r="4989" customFormat="false" ht="15" hidden="false" customHeight="false" outlineLevel="0" collapsed="false">
      <c r="A4989" s="23" t="str">
        <f aca="false">IF(B4989="","",B4989+(17*1000+338)/10000000)</f>
        <v/>
      </c>
      <c r="B4989" s="35" t="str">
        <f aca="false">IF(AND(IFERROR(N(INDEX(Clay_Brands!$A$2:$FZ$601,338,Sync!$D$13)),0)&gt;0,IFERROR(INDEX(Clay_Brands!$A$2:$FZ$601,338,Sync!$D$5)&amp;"","")&lt;&gt;"",OR(LEFT(IFERROR(INDEX(Clay_Brands!$A$2:$FZ$601,338,Sync!$D$5)&amp;"",""),6)&lt;&gt;"SAMPLE",Config!$B$19="Y")),IFERROR(N(INDEX(Clay_Brands!$A$2:$FZ$601,338,Sync!$D$13)),0),"")</f>
        <v/>
      </c>
      <c r="C4989" s="23" t="str">
        <f aca="false">IF(B4989="","","brand")</f>
        <v/>
      </c>
      <c r="D4989" s="23" t="str">
        <f aca="false">IF(B4989="","",IFERROR(INDEX(Brand_Log!$DV$2:$DV$201,MATCH(IFERROR(INDEX(Clay_Brands!$A$2:$FZ$601,338,Sync!$D$5)&amp;"",""),Brand_Log!$A$2:$A$201,0))&amp;"",IFERROR(INDEX(Clay_Brands!$A$2:$FZ$601,338,Sync!$D$5)&amp;"","")&amp;""))</f>
        <v/>
      </c>
      <c r="E4989" s="23" t="str">
        <f aca="false">IF(B4989="","",IFERROR(INDEX(Clay_Brands!$A$2:$FZ$601,338,Sync!$D$6)&amp;"",""))</f>
        <v/>
      </c>
      <c r="F4989" s="23" t="str">
        <f aca="false">IF(B4989="","","outreach_sent")</f>
        <v/>
      </c>
      <c r="G4989" s="23" t="str">
        <f aca="false">IF(B4989="","","")</f>
        <v/>
      </c>
      <c r="H4989" s="23" t="str">
        <f aca="false">IF(B4989="","","")</f>
        <v/>
      </c>
      <c r="I4989" s="23" t="str">
        <f aca="false">IF(B4989="","","")</f>
        <v/>
      </c>
      <c r="J4989" s="23" t="str">
        <f aca="false">IF(B4989="","","touch_3; "&amp;IFERROR(INDEX(Clay_Brands!$A$2:$FZ$601,338,Sync!$D$10)&amp;"","")&amp;"; "&amp;IFERROR(INDEX(Clay_Brands!$A$2:$FZ$601,338,Sync!$D$9)&amp;"",""))</f>
        <v/>
      </c>
      <c r="K4989" s="32" t="s">
        <v>1368</v>
      </c>
    </row>
    <row r="4990" customFormat="false" ht="15" hidden="false" customHeight="false" outlineLevel="0" collapsed="false">
      <c r="A4990" s="23" t="str">
        <f aca="false">IF(B4990="","",B4990+(17*1000+339)/10000000)</f>
        <v/>
      </c>
      <c r="B4990" s="35" t="str">
        <f aca="false">IF(AND(IFERROR(N(INDEX(Clay_Brands!$A$2:$FZ$601,339,Sync!$D$13)),0)&gt;0,IFERROR(INDEX(Clay_Brands!$A$2:$FZ$601,339,Sync!$D$5)&amp;"","")&lt;&gt;"",OR(LEFT(IFERROR(INDEX(Clay_Brands!$A$2:$FZ$601,339,Sync!$D$5)&amp;"",""),6)&lt;&gt;"SAMPLE",Config!$B$19="Y")),IFERROR(N(INDEX(Clay_Brands!$A$2:$FZ$601,339,Sync!$D$13)),0),"")</f>
        <v/>
      </c>
      <c r="C4990" s="23" t="str">
        <f aca="false">IF(B4990="","","brand")</f>
        <v/>
      </c>
      <c r="D4990" s="23" t="str">
        <f aca="false">IF(B4990="","",IFERROR(INDEX(Brand_Log!$DV$2:$DV$201,MATCH(IFERROR(INDEX(Clay_Brands!$A$2:$FZ$601,339,Sync!$D$5)&amp;"",""),Brand_Log!$A$2:$A$201,0))&amp;"",IFERROR(INDEX(Clay_Brands!$A$2:$FZ$601,339,Sync!$D$5)&amp;"","")&amp;""))</f>
        <v/>
      </c>
      <c r="E4990" s="23" t="str">
        <f aca="false">IF(B4990="","",IFERROR(INDEX(Clay_Brands!$A$2:$FZ$601,339,Sync!$D$6)&amp;"",""))</f>
        <v/>
      </c>
      <c r="F4990" s="23" t="str">
        <f aca="false">IF(B4990="","","outreach_sent")</f>
        <v/>
      </c>
      <c r="G4990" s="23" t="str">
        <f aca="false">IF(B4990="","","")</f>
        <v/>
      </c>
      <c r="H4990" s="23" t="str">
        <f aca="false">IF(B4990="","","")</f>
        <v/>
      </c>
      <c r="I4990" s="23" t="str">
        <f aca="false">IF(B4990="","","")</f>
        <v/>
      </c>
      <c r="J4990" s="23" t="str">
        <f aca="false">IF(B4990="","","touch_3; "&amp;IFERROR(INDEX(Clay_Brands!$A$2:$FZ$601,339,Sync!$D$10)&amp;"","")&amp;"; "&amp;IFERROR(INDEX(Clay_Brands!$A$2:$FZ$601,339,Sync!$D$9)&amp;"",""))</f>
        <v/>
      </c>
      <c r="K4990" s="32" t="s">
        <v>1368</v>
      </c>
    </row>
    <row r="4991" customFormat="false" ht="15" hidden="false" customHeight="false" outlineLevel="0" collapsed="false">
      <c r="A4991" s="23" t="str">
        <f aca="false">IF(B4991="","",B4991+(17*1000+340)/10000000)</f>
        <v/>
      </c>
      <c r="B4991" s="35" t="str">
        <f aca="false">IF(AND(IFERROR(N(INDEX(Clay_Brands!$A$2:$FZ$601,340,Sync!$D$13)),0)&gt;0,IFERROR(INDEX(Clay_Brands!$A$2:$FZ$601,340,Sync!$D$5)&amp;"","")&lt;&gt;"",OR(LEFT(IFERROR(INDEX(Clay_Brands!$A$2:$FZ$601,340,Sync!$D$5)&amp;"",""),6)&lt;&gt;"SAMPLE",Config!$B$19="Y")),IFERROR(N(INDEX(Clay_Brands!$A$2:$FZ$601,340,Sync!$D$13)),0),"")</f>
        <v/>
      </c>
      <c r="C4991" s="23" t="str">
        <f aca="false">IF(B4991="","","brand")</f>
        <v/>
      </c>
      <c r="D4991" s="23" t="str">
        <f aca="false">IF(B4991="","",IFERROR(INDEX(Brand_Log!$DV$2:$DV$201,MATCH(IFERROR(INDEX(Clay_Brands!$A$2:$FZ$601,340,Sync!$D$5)&amp;"",""),Brand_Log!$A$2:$A$201,0))&amp;"",IFERROR(INDEX(Clay_Brands!$A$2:$FZ$601,340,Sync!$D$5)&amp;"","")&amp;""))</f>
        <v/>
      </c>
      <c r="E4991" s="23" t="str">
        <f aca="false">IF(B4991="","",IFERROR(INDEX(Clay_Brands!$A$2:$FZ$601,340,Sync!$D$6)&amp;"",""))</f>
        <v/>
      </c>
      <c r="F4991" s="23" t="str">
        <f aca="false">IF(B4991="","","outreach_sent")</f>
        <v/>
      </c>
      <c r="G4991" s="23" t="str">
        <f aca="false">IF(B4991="","","")</f>
        <v/>
      </c>
      <c r="H4991" s="23" t="str">
        <f aca="false">IF(B4991="","","")</f>
        <v/>
      </c>
      <c r="I4991" s="23" t="str">
        <f aca="false">IF(B4991="","","")</f>
        <v/>
      </c>
      <c r="J4991" s="23" t="str">
        <f aca="false">IF(B4991="","","touch_3; "&amp;IFERROR(INDEX(Clay_Brands!$A$2:$FZ$601,340,Sync!$D$10)&amp;"","")&amp;"; "&amp;IFERROR(INDEX(Clay_Brands!$A$2:$FZ$601,340,Sync!$D$9)&amp;"",""))</f>
        <v/>
      </c>
      <c r="K4991" s="32" t="s">
        <v>1368</v>
      </c>
    </row>
    <row r="4992" customFormat="false" ht="15" hidden="false" customHeight="false" outlineLevel="0" collapsed="false">
      <c r="A4992" s="23" t="str">
        <f aca="false">IF(B4992="","",B4992+(17*1000+341)/10000000)</f>
        <v/>
      </c>
      <c r="B4992" s="35" t="str">
        <f aca="false">IF(AND(IFERROR(N(INDEX(Clay_Brands!$A$2:$FZ$601,341,Sync!$D$13)),0)&gt;0,IFERROR(INDEX(Clay_Brands!$A$2:$FZ$601,341,Sync!$D$5)&amp;"","")&lt;&gt;"",OR(LEFT(IFERROR(INDEX(Clay_Brands!$A$2:$FZ$601,341,Sync!$D$5)&amp;"",""),6)&lt;&gt;"SAMPLE",Config!$B$19="Y")),IFERROR(N(INDEX(Clay_Brands!$A$2:$FZ$601,341,Sync!$D$13)),0),"")</f>
        <v/>
      </c>
      <c r="C4992" s="23" t="str">
        <f aca="false">IF(B4992="","","brand")</f>
        <v/>
      </c>
      <c r="D4992" s="23" t="str">
        <f aca="false">IF(B4992="","",IFERROR(INDEX(Brand_Log!$DV$2:$DV$201,MATCH(IFERROR(INDEX(Clay_Brands!$A$2:$FZ$601,341,Sync!$D$5)&amp;"",""),Brand_Log!$A$2:$A$201,0))&amp;"",IFERROR(INDEX(Clay_Brands!$A$2:$FZ$601,341,Sync!$D$5)&amp;"","")&amp;""))</f>
        <v/>
      </c>
      <c r="E4992" s="23" t="str">
        <f aca="false">IF(B4992="","",IFERROR(INDEX(Clay_Brands!$A$2:$FZ$601,341,Sync!$D$6)&amp;"",""))</f>
        <v/>
      </c>
      <c r="F4992" s="23" t="str">
        <f aca="false">IF(B4992="","","outreach_sent")</f>
        <v/>
      </c>
      <c r="G4992" s="23" t="str">
        <f aca="false">IF(B4992="","","")</f>
        <v/>
      </c>
      <c r="H4992" s="23" t="str">
        <f aca="false">IF(B4992="","","")</f>
        <v/>
      </c>
      <c r="I4992" s="23" t="str">
        <f aca="false">IF(B4992="","","")</f>
        <v/>
      </c>
      <c r="J4992" s="23" t="str">
        <f aca="false">IF(B4992="","","touch_3; "&amp;IFERROR(INDEX(Clay_Brands!$A$2:$FZ$601,341,Sync!$D$10)&amp;"","")&amp;"; "&amp;IFERROR(INDEX(Clay_Brands!$A$2:$FZ$601,341,Sync!$D$9)&amp;"",""))</f>
        <v/>
      </c>
      <c r="K4992" s="32" t="s">
        <v>1368</v>
      </c>
    </row>
    <row r="4993" customFormat="false" ht="15" hidden="false" customHeight="false" outlineLevel="0" collapsed="false">
      <c r="A4993" s="23" t="str">
        <f aca="false">IF(B4993="","",B4993+(17*1000+342)/10000000)</f>
        <v/>
      </c>
      <c r="B4993" s="35" t="str">
        <f aca="false">IF(AND(IFERROR(N(INDEX(Clay_Brands!$A$2:$FZ$601,342,Sync!$D$13)),0)&gt;0,IFERROR(INDEX(Clay_Brands!$A$2:$FZ$601,342,Sync!$D$5)&amp;"","")&lt;&gt;"",OR(LEFT(IFERROR(INDEX(Clay_Brands!$A$2:$FZ$601,342,Sync!$D$5)&amp;"",""),6)&lt;&gt;"SAMPLE",Config!$B$19="Y")),IFERROR(N(INDEX(Clay_Brands!$A$2:$FZ$601,342,Sync!$D$13)),0),"")</f>
        <v/>
      </c>
      <c r="C4993" s="23" t="str">
        <f aca="false">IF(B4993="","","brand")</f>
        <v/>
      </c>
      <c r="D4993" s="23" t="str">
        <f aca="false">IF(B4993="","",IFERROR(INDEX(Brand_Log!$DV$2:$DV$201,MATCH(IFERROR(INDEX(Clay_Brands!$A$2:$FZ$601,342,Sync!$D$5)&amp;"",""),Brand_Log!$A$2:$A$201,0))&amp;"",IFERROR(INDEX(Clay_Brands!$A$2:$FZ$601,342,Sync!$D$5)&amp;"","")&amp;""))</f>
        <v/>
      </c>
      <c r="E4993" s="23" t="str">
        <f aca="false">IF(B4993="","",IFERROR(INDEX(Clay_Brands!$A$2:$FZ$601,342,Sync!$D$6)&amp;"",""))</f>
        <v/>
      </c>
      <c r="F4993" s="23" t="str">
        <f aca="false">IF(B4993="","","outreach_sent")</f>
        <v/>
      </c>
      <c r="G4993" s="23" t="str">
        <f aca="false">IF(B4993="","","")</f>
        <v/>
      </c>
      <c r="H4993" s="23" t="str">
        <f aca="false">IF(B4993="","","")</f>
        <v/>
      </c>
      <c r="I4993" s="23" t="str">
        <f aca="false">IF(B4993="","","")</f>
        <v/>
      </c>
      <c r="J4993" s="23" t="str">
        <f aca="false">IF(B4993="","","touch_3; "&amp;IFERROR(INDEX(Clay_Brands!$A$2:$FZ$601,342,Sync!$D$10)&amp;"","")&amp;"; "&amp;IFERROR(INDEX(Clay_Brands!$A$2:$FZ$601,342,Sync!$D$9)&amp;"",""))</f>
        <v/>
      </c>
      <c r="K4993" s="32" t="s">
        <v>1368</v>
      </c>
    </row>
    <row r="4994" customFormat="false" ht="15" hidden="false" customHeight="false" outlineLevel="0" collapsed="false">
      <c r="A4994" s="23" t="str">
        <f aca="false">IF(B4994="","",B4994+(17*1000+343)/10000000)</f>
        <v/>
      </c>
      <c r="B4994" s="35" t="str">
        <f aca="false">IF(AND(IFERROR(N(INDEX(Clay_Brands!$A$2:$FZ$601,343,Sync!$D$13)),0)&gt;0,IFERROR(INDEX(Clay_Brands!$A$2:$FZ$601,343,Sync!$D$5)&amp;"","")&lt;&gt;"",OR(LEFT(IFERROR(INDEX(Clay_Brands!$A$2:$FZ$601,343,Sync!$D$5)&amp;"",""),6)&lt;&gt;"SAMPLE",Config!$B$19="Y")),IFERROR(N(INDEX(Clay_Brands!$A$2:$FZ$601,343,Sync!$D$13)),0),"")</f>
        <v/>
      </c>
      <c r="C4994" s="23" t="str">
        <f aca="false">IF(B4994="","","brand")</f>
        <v/>
      </c>
      <c r="D4994" s="23" t="str">
        <f aca="false">IF(B4994="","",IFERROR(INDEX(Brand_Log!$DV$2:$DV$201,MATCH(IFERROR(INDEX(Clay_Brands!$A$2:$FZ$601,343,Sync!$D$5)&amp;"",""),Brand_Log!$A$2:$A$201,0))&amp;"",IFERROR(INDEX(Clay_Brands!$A$2:$FZ$601,343,Sync!$D$5)&amp;"","")&amp;""))</f>
        <v/>
      </c>
      <c r="E4994" s="23" t="str">
        <f aca="false">IF(B4994="","",IFERROR(INDEX(Clay_Brands!$A$2:$FZ$601,343,Sync!$D$6)&amp;"",""))</f>
        <v/>
      </c>
      <c r="F4994" s="23" t="str">
        <f aca="false">IF(B4994="","","outreach_sent")</f>
        <v/>
      </c>
      <c r="G4994" s="23" t="str">
        <f aca="false">IF(B4994="","","")</f>
        <v/>
      </c>
      <c r="H4994" s="23" t="str">
        <f aca="false">IF(B4994="","","")</f>
        <v/>
      </c>
      <c r="I4994" s="23" t="str">
        <f aca="false">IF(B4994="","","")</f>
        <v/>
      </c>
      <c r="J4994" s="23" t="str">
        <f aca="false">IF(B4994="","","touch_3; "&amp;IFERROR(INDEX(Clay_Brands!$A$2:$FZ$601,343,Sync!$D$10)&amp;"","")&amp;"; "&amp;IFERROR(INDEX(Clay_Brands!$A$2:$FZ$601,343,Sync!$D$9)&amp;"",""))</f>
        <v/>
      </c>
      <c r="K4994" s="32" t="s">
        <v>1368</v>
      </c>
    </row>
    <row r="4995" customFormat="false" ht="15" hidden="false" customHeight="false" outlineLevel="0" collapsed="false">
      <c r="A4995" s="23" t="str">
        <f aca="false">IF(B4995="","",B4995+(17*1000+344)/10000000)</f>
        <v/>
      </c>
      <c r="B4995" s="35" t="str">
        <f aca="false">IF(AND(IFERROR(N(INDEX(Clay_Brands!$A$2:$FZ$601,344,Sync!$D$13)),0)&gt;0,IFERROR(INDEX(Clay_Brands!$A$2:$FZ$601,344,Sync!$D$5)&amp;"","")&lt;&gt;"",OR(LEFT(IFERROR(INDEX(Clay_Brands!$A$2:$FZ$601,344,Sync!$D$5)&amp;"",""),6)&lt;&gt;"SAMPLE",Config!$B$19="Y")),IFERROR(N(INDEX(Clay_Brands!$A$2:$FZ$601,344,Sync!$D$13)),0),"")</f>
        <v/>
      </c>
      <c r="C4995" s="23" t="str">
        <f aca="false">IF(B4995="","","brand")</f>
        <v/>
      </c>
      <c r="D4995" s="23" t="str">
        <f aca="false">IF(B4995="","",IFERROR(INDEX(Brand_Log!$DV$2:$DV$201,MATCH(IFERROR(INDEX(Clay_Brands!$A$2:$FZ$601,344,Sync!$D$5)&amp;"",""),Brand_Log!$A$2:$A$201,0))&amp;"",IFERROR(INDEX(Clay_Brands!$A$2:$FZ$601,344,Sync!$D$5)&amp;"","")&amp;""))</f>
        <v/>
      </c>
      <c r="E4995" s="23" t="str">
        <f aca="false">IF(B4995="","",IFERROR(INDEX(Clay_Brands!$A$2:$FZ$601,344,Sync!$D$6)&amp;"",""))</f>
        <v/>
      </c>
      <c r="F4995" s="23" t="str">
        <f aca="false">IF(B4995="","","outreach_sent")</f>
        <v/>
      </c>
      <c r="G4995" s="23" t="str">
        <f aca="false">IF(B4995="","","")</f>
        <v/>
      </c>
      <c r="H4995" s="23" t="str">
        <f aca="false">IF(B4995="","","")</f>
        <v/>
      </c>
      <c r="I4995" s="23" t="str">
        <f aca="false">IF(B4995="","","")</f>
        <v/>
      </c>
      <c r="J4995" s="23" t="str">
        <f aca="false">IF(B4995="","","touch_3; "&amp;IFERROR(INDEX(Clay_Brands!$A$2:$FZ$601,344,Sync!$D$10)&amp;"","")&amp;"; "&amp;IFERROR(INDEX(Clay_Brands!$A$2:$FZ$601,344,Sync!$D$9)&amp;"",""))</f>
        <v/>
      </c>
      <c r="K4995" s="32" t="s">
        <v>1368</v>
      </c>
    </row>
    <row r="4996" customFormat="false" ht="15" hidden="false" customHeight="false" outlineLevel="0" collapsed="false">
      <c r="A4996" s="23" t="str">
        <f aca="false">IF(B4996="","",B4996+(17*1000+345)/10000000)</f>
        <v/>
      </c>
      <c r="B4996" s="35" t="str">
        <f aca="false">IF(AND(IFERROR(N(INDEX(Clay_Brands!$A$2:$FZ$601,345,Sync!$D$13)),0)&gt;0,IFERROR(INDEX(Clay_Brands!$A$2:$FZ$601,345,Sync!$D$5)&amp;"","")&lt;&gt;"",OR(LEFT(IFERROR(INDEX(Clay_Brands!$A$2:$FZ$601,345,Sync!$D$5)&amp;"",""),6)&lt;&gt;"SAMPLE",Config!$B$19="Y")),IFERROR(N(INDEX(Clay_Brands!$A$2:$FZ$601,345,Sync!$D$13)),0),"")</f>
        <v/>
      </c>
      <c r="C4996" s="23" t="str">
        <f aca="false">IF(B4996="","","brand")</f>
        <v/>
      </c>
      <c r="D4996" s="23" t="str">
        <f aca="false">IF(B4996="","",IFERROR(INDEX(Brand_Log!$DV$2:$DV$201,MATCH(IFERROR(INDEX(Clay_Brands!$A$2:$FZ$601,345,Sync!$D$5)&amp;"",""),Brand_Log!$A$2:$A$201,0))&amp;"",IFERROR(INDEX(Clay_Brands!$A$2:$FZ$601,345,Sync!$D$5)&amp;"","")&amp;""))</f>
        <v/>
      </c>
      <c r="E4996" s="23" t="str">
        <f aca="false">IF(B4996="","",IFERROR(INDEX(Clay_Brands!$A$2:$FZ$601,345,Sync!$D$6)&amp;"",""))</f>
        <v/>
      </c>
      <c r="F4996" s="23" t="str">
        <f aca="false">IF(B4996="","","outreach_sent")</f>
        <v/>
      </c>
      <c r="G4996" s="23" t="str">
        <f aca="false">IF(B4996="","","")</f>
        <v/>
      </c>
      <c r="H4996" s="23" t="str">
        <f aca="false">IF(B4996="","","")</f>
        <v/>
      </c>
      <c r="I4996" s="23" t="str">
        <f aca="false">IF(B4996="","","")</f>
        <v/>
      </c>
      <c r="J4996" s="23" t="str">
        <f aca="false">IF(B4996="","","touch_3; "&amp;IFERROR(INDEX(Clay_Brands!$A$2:$FZ$601,345,Sync!$D$10)&amp;"","")&amp;"; "&amp;IFERROR(INDEX(Clay_Brands!$A$2:$FZ$601,345,Sync!$D$9)&amp;"",""))</f>
        <v/>
      </c>
      <c r="K4996" s="32" t="s">
        <v>1368</v>
      </c>
    </row>
    <row r="4997" customFormat="false" ht="15" hidden="false" customHeight="false" outlineLevel="0" collapsed="false">
      <c r="A4997" s="23" t="str">
        <f aca="false">IF(B4997="","",B4997+(17*1000+346)/10000000)</f>
        <v/>
      </c>
      <c r="B4997" s="35" t="str">
        <f aca="false">IF(AND(IFERROR(N(INDEX(Clay_Brands!$A$2:$FZ$601,346,Sync!$D$13)),0)&gt;0,IFERROR(INDEX(Clay_Brands!$A$2:$FZ$601,346,Sync!$D$5)&amp;"","")&lt;&gt;"",OR(LEFT(IFERROR(INDEX(Clay_Brands!$A$2:$FZ$601,346,Sync!$D$5)&amp;"",""),6)&lt;&gt;"SAMPLE",Config!$B$19="Y")),IFERROR(N(INDEX(Clay_Brands!$A$2:$FZ$601,346,Sync!$D$13)),0),"")</f>
        <v/>
      </c>
      <c r="C4997" s="23" t="str">
        <f aca="false">IF(B4997="","","brand")</f>
        <v/>
      </c>
      <c r="D4997" s="23" t="str">
        <f aca="false">IF(B4997="","",IFERROR(INDEX(Brand_Log!$DV$2:$DV$201,MATCH(IFERROR(INDEX(Clay_Brands!$A$2:$FZ$601,346,Sync!$D$5)&amp;"",""),Brand_Log!$A$2:$A$201,0))&amp;"",IFERROR(INDEX(Clay_Brands!$A$2:$FZ$601,346,Sync!$D$5)&amp;"","")&amp;""))</f>
        <v/>
      </c>
      <c r="E4997" s="23" t="str">
        <f aca="false">IF(B4997="","",IFERROR(INDEX(Clay_Brands!$A$2:$FZ$601,346,Sync!$D$6)&amp;"",""))</f>
        <v/>
      </c>
      <c r="F4997" s="23" t="str">
        <f aca="false">IF(B4997="","","outreach_sent")</f>
        <v/>
      </c>
      <c r="G4997" s="23" t="str">
        <f aca="false">IF(B4997="","","")</f>
        <v/>
      </c>
      <c r="H4997" s="23" t="str">
        <f aca="false">IF(B4997="","","")</f>
        <v/>
      </c>
      <c r="I4997" s="23" t="str">
        <f aca="false">IF(B4997="","","")</f>
        <v/>
      </c>
      <c r="J4997" s="23" t="str">
        <f aca="false">IF(B4997="","","touch_3; "&amp;IFERROR(INDEX(Clay_Brands!$A$2:$FZ$601,346,Sync!$D$10)&amp;"","")&amp;"; "&amp;IFERROR(INDEX(Clay_Brands!$A$2:$FZ$601,346,Sync!$D$9)&amp;"",""))</f>
        <v/>
      </c>
      <c r="K4997" s="32" t="s">
        <v>1368</v>
      </c>
    </row>
    <row r="4998" customFormat="false" ht="15" hidden="false" customHeight="false" outlineLevel="0" collapsed="false">
      <c r="A4998" s="23" t="str">
        <f aca="false">IF(B4998="","",B4998+(17*1000+347)/10000000)</f>
        <v/>
      </c>
      <c r="B4998" s="35" t="str">
        <f aca="false">IF(AND(IFERROR(N(INDEX(Clay_Brands!$A$2:$FZ$601,347,Sync!$D$13)),0)&gt;0,IFERROR(INDEX(Clay_Brands!$A$2:$FZ$601,347,Sync!$D$5)&amp;"","")&lt;&gt;"",OR(LEFT(IFERROR(INDEX(Clay_Brands!$A$2:$FZ$601,347,Sync!$D$5)&amp;"",""),6)&lt;&gt;"SAMPLE",Config!$B$19="Y")),IFERROR(N(INDEX(Clay_Brands!$A$2:$FZ$601,347,Sync!$D$13)),0),"")</f>
        <v/>
      </c>
      <c r="C4998" s="23" t="str">
        <f aca="false">IF(B4998="","","brand")</f>
        <v/>
      </c>
      <c r="D4998" s="23" t="str">
        <f aca="false">IF(B4998="","",IFERROR(INDEX(Brand_Log!$DV$2:$DV$201,MATCH(IFERROR(INDEX(Clay_Brands!$A$2:$FZ$601,347,Sync!$D$5)&amp;"",""),Brand_Log!$A$2:$A$201,0))&amp;"",IFERROR(INDEX(Clay_Brands!$A$2:$FZ$601,347,Sync!$D$5)&amp;"","")&amp;""))</f>
        <v/>
      </c>
      <c r="E4998" s="23" t="str">
        <f aca="false">IF(B4998="","",IFERROR(INDEX(Clay_Brands!$A$2:$FZ$601,347,Sync!$D$6)&amp;"",""))</f>
        <v/>
      </c>
      <c r="F4998" s="23" t="str">
        <f aca="false">IF(B4998="","","outreach_sent")</f>
        <v/>
      </c>
      <c r="G4998" s="23" t="str">
        <f aca="false">IF(B4998="","","")</f>
        <v/>
      </c>
      <c r="H4998" s="23" t="str">
        <f aca="false">IF(B4998="","","")</f>
        <v/>
      </c>
      <c r="I4998" s="23" t="str">
        <f aca="false">IF(B4998="","","")</f>
        <v/>
      </c>
      <c r="J4998" s="23" t="str">
        <f aca="false">IF(B4998="","","touch_3; "&amp;IFERROR(INDEX(Clay_Brands!$A$2:$FZ$601,347,Sync!$D$10)&amp;"","")&amp;"; "&amp;IFERROR(INDEX(Clay_Brands!$A$2:$FZ$601,347,Sync!$D$9)&amp;"",""))</f>
        <v/>
      </c>
      <c r="K4998" s="32" t="s">
        <v>1368</v>
      </c>
    </row>
    <row r="4999" customFormat="false" ht="15" hidden="false" customHeight="false" outlineLevel="0" collapsed="false">
      <c r="A4999" s="23" t="str">
        <f aca="false">IF(B4999="","",B4999+(17*1000+348)/10000000)</f>
        <v/>
      </c>
      <c r="B4999" s="35" t="str">
        <f aca="false">IF(AND(IFERROR(N(INDEX(Clay_Brands!$A$2:$FZ$601,348,Sync!$D$13)),0)&gt;0,IFERROR(INDEX(Clay_Brands!$A$2:$FZ$601,348,Sync!$D$5)&amp;"","")&lt;&gt;"",OR(LEFT(IFERROR(INDEX(Clay_Brands!$A$2:$FZ$601,348,Sync!$D$5)&amp;"",""),6)&lt;&gt;"SAMPLE",Config!$B$19="Y")),IFERROR(N(INDEX(Clay_Brands!$A$2:$FZ$601,348,Sync!$D$13)),0),"")</f>
        <v/>
      </c>
      <c r="C4999" s="23" t="str">
        <f aca="false">IF(B4999="","","brand")</f>
        <v/>
      </c>
      <c r="D4999" s="23" t="str">
        <f aca="false">IF(B4999="","",IFERROR(INDEX(Brand_Log!$DV$2:$DV$201,MATCH(IFERROR(INDEX(Clay_Brands!$A$2:$FZ$601,348,Sync!$D$5)&amp;"",""),Brand_Log!$A$2:$A$201,0))&amp;"",IFERROR(INDEX(Clay_Brands!$A$2:$FZ$601,348,Sync!$D$5)&amp;"","")&amp;""))</f>
        <v/>
      </c>
      <c r="E4999" s="23" t="str">
        <f aca="false">IF(B4999="","",IFERROR(INDEX(Clay_Brands!$A$2:$FZ$601,348,Sync!$D$6)&amp;"",""))</f>
        <v/>
      </c>
      <c r="F4999" s="23" t="str">
        <f aca="false">IF(B4999="","","outreach_sent")</f>
        <v/>
      </c>
      <c r="G4999" s="23" t="str">
        <f aca="false">IF(B4999="","","")</f>
        <v/>
      </c>
      <c r="H4999" s="23" t="str">
        <f aca="false">IF(B4999="","","")</f>
        <v/>
      </c>
      <c r="I4999" s="23" t="str">
        <f aca="false">IF(B4999="","","")</f>
        <v/>
      </c>
      <c r="J4999" s="23" t="str">
        <f aca="false">IF(B4999="","","touch_3; "&amp;IFERROR(INDEX(Clay_Brands!$A$2:$FZ$601,348,Sync!$D$10)&amp;"","")&amp;"; "&amp;IFERROR(INDEX(Clay_Brands!$A$2:$FZ$601,348,Sync!$D$9)&amp;"",""))</f>
        <v/>
      </c>
      <c r="K4999" s="32" t="s">
        <v>1368</v>
      </c>
    </row>
    <row r="5000" customFormat="false" ht="15" hidden="false" customHeight="false" outlineLevel="0" collapsed="false">
      <c r="A5000" s="23" t="str">
        <f aca="false">IF(B5000="","",B5000+(17*1000+349)/10000000)</f>
        <v/>
      </c>
      <c r="B5000" s="35" t="str">
        <f aca="false">IF(AND(IFERROR(N(INDEX(Clay_Brands!$A$2:$FZ$601,349,Sync!$D$13)),0)&gt;0,IFERROR(INDEX(Clay_Brands!$A$2:$FZ$601,349,Sync!$D$5)&amp;"","")&lt;&gt;"",OR(LEFT(IFERROR(INDEX(Clay_Brands!$A$2:$FZ$601,349,Sync!$D$5)&amp;"",""),6)&lt;&gt;"SAMPLE",Config!$B$19="Y")),IFERROR(N(INDEX(Clay_Brands!$A$2:$FZ$601,349,Sync!$D$13)),0),"")</f>
        <v/>
      </c>
      <c r="C5000" s="23" t="str">
        <f aca="false">IF(B5000="","","brand")</f>
        <v/>
      </c>
      <c r="D5000" s="23" t="str">
        <f aca="false">IF(B5000="","",IFERROR(INDEX(Brand_Log!$DV$2:$DV$201,MATCH(IFERROR(INDEX(Clay_Brands!$A$2:$FZ$601,349,Sync!$D$5)&amp;"",""),Brand_Log!$A$2:$A$201,0))&amp;"",IFERROR(INDEX(Clay_Brands!$A$2:$FZ$601,349,Sync!$D$5)&amp;"","")&amp;""))</f>
        <v/>
      </c>
      <c r="E5000" s="23" t="str">
        <f aca="false">IF(B5000="","",IFERROR(INDEX(Clay_Brands!$A$2:$FZ$601,349,Sync!$D$6)&amp;"",""))</f>
        <v/>
      </c>
      <c r="F5000" s="23" t="str">
        <f aca="false">IF(B5000="","","outreach_sent")</f>
        <v/>
      </c>
      <c r="G5000" s="23" t="str">
        <f aca="false">IF(B5000="","","")</f>
        <v/>
      </c>
      <c r="H5000" s="23" t="str">
        <f aca="false">IF(B5000="","","")</f>
        <v/>
      </c>
      <c r="I5000" s="23" t="str">
        <f aca="false">IF(B5000="","","")</f>
        <v/>
      </c>
      <c r="J5000" s="23" t="str">
        <f aca="false">IF(B5000="","","touch_3; "&amp;IFERROR(INDEX(Clay_Brands!$A$2:$FZ$601,349,Sync!$D$10)&amp;"","")&amp;"; "&amp;IFERROR(INDEX(Clay_Brands!$A$2:$FZ$601,349,Sync!$D$9)&amp;"",""))</f>
        <v/>
      </c>
      <c r="K5000" s="32" t="s">
        <v>1368</v>
      </c>
    </row>
    <row r="5001" customFormat="false" ht="15" hidden="false" customHeight="false" outlineLevel="0" collapsed="false">
      <c r="A5001" s="23" t="str">
        <f aca="false">IF(B5001="","",B5001+(17*1000+350)/10000000)</f>
        <v/>
      </c>
      <c r="B5001" s="35" t="str">
        <f aca="false">IF(AND(IFERROR(N(INDEX(Clay_Brands!$A$2:$FZ$601,350,Sync!$D$13)),0)&gt;0,IFERROR(INDEX(Clay_Brands!$A$2:$FZ$601,350,Sync!$D$5)&amp;"","")&lt;&gt;"",OR(LEFT(IFERROR(INDEX(Clay_Brands!$A$2:$FZ$601,350,Sync!$D$5)&amp;"",""),6)&lt;&gt;"SAMPLE",Config!$B$19="Y")),IFERROR(N(INDEX(Clay_Brands!$A$2:$FZ$601,350,Sync!$D$13)),0),"")</f>
        <v/>
      </c>
      <c r="C5001" s="23" t="str">
        <f aca="false">IF(B5001="","","brand")</f>
        <v/>
      </c>
      <c r="D5001" s="23" t="str">
        <f aca="false">IF(B5001="","",IFERROR(INDEX(Brand_Log!$DV$2:$DV$201,MATCH(IFERROR(INDEX(Clay_Brands!$A$2:$FZ$601,350,Sync!$D$5)&amp;"",""),Brand_Log!$A$2:$A$201,0))&amp;"",IFERROR(INDEX(Clay_Brands!$A$2:$FZ$601,350,Sync!$D$5)&amp;"","")&amp;""))</f>
        <v/>
      </c>
      <c r="E5001" s="23" t="str">
        <f aca="false">IF(B5001="","",IFERROR(INDEX(Clay_Brands!$A$2:$FZ$601,350,Sync!$D$6)&amp;"",""))</f>
        <v/>
      </c>
      <c r="F5001" s="23" t="str">
        <f aca="false">IF(B5001="","","outreach_sent")</f>
        <v/>
      </c>
      <c r="G5001" s="23" t="str">
        <f aca="false">IF(B5001="","","")</f>
        <v/>
      </c>
      <c r="H5001" s="23" t="str">
        <f aca="false">IF(B5001="","","")</f>
        <v/>
      </c>
      <c r="I5001" s="23" t="str">
        <f aca="false">IF(B5001="","","")</f>
        <v/>
      </c>
      <c r="J5001" s="23" t="str">
        <f aca="false">IF(B5001="","","touch_3; "&amp;IFERROR(INDEX(Clay_Brands!$A$2:$FZ$601,350,Sync!$D$10)&amp;"","")&amp;"; "&amp;IFERROR(INDEX(Clay_Brands!$A$2:$FZ$601,350,Sync!$D$9)&amp;"",""))</f>
        <v/>
      </c>
      <c r="K5001" s="32" t="s">
        <v>1368</v>
      </c>
    </row>
    <row r="5002" customFormat="false" ht="15" hidden="false" customHeight="false" outlineLevel="0" collapsed="false">
      <c r="A5002" s="23" t="str">
        <f aca="false">IF(B5002="","",B5002+(17*1000+351)/10000000)</f>
        <v/>
      </c>
      <c r="B5002" s="35" t="str">
        <f aca="false">IF(AND(IFERROR(N(INDEX(Clay_Brands!$A$2:$FZ$601,351,Sync!$D$13)),0)&gt;0,IFERROR(INDEX(Clay_Brands!$A$2:$FZ$601,351,Sync!$D$5)&amp;"","")&lt;&gt;"",OR(LEFT(IFERROR(INDEX(Clay_Brands!$A$2:$FZ$601,351,Sync!$D$5)&amp;"",""),6)&lt;&gt;"SAMPLE",Config!$B$19="Y")),IFERROR(N(INDEX(Clay_Brands!$A$2:$FZ$601,351,Sync!$D$13)),0),"")</f>
        <v/>
      </c>
      <c r="C5002" s="23" t="str">
        <f aca="false">IF(B5002="","","brand")</f>
        <v/>
      </c>
      <c r="D5002" s="23" t="str">
        <f aca="false">IF(B5002="","",IFERROR(INDEX(Brand_Log!$DV$2:$DV$201,MATCH(IFERROR(INDEX(Clay_Brands!$A$2:$FZ$601,351,Sync!$D$5)&amp;"",""),Brand_Log!$A$2:$A$201,0))&amp;"",IFERROR(INDEX(Clay_Brands!$A$2:$FZ$601,351,Sync!$D$5)&amp;"","")&amp;""))</f>
        <v/>
      </c>
      <c r="E5002" s="23" t="str">
        <f aca="false">IF(B5002="","",IFERROR(INDEX(Clay_Brands!$A$2:$FZ$601,351,Sync!$D$6)&amp;"",""))</f>
        <v/>
      </c>
      <c r="F5002" s="23" t="str">
        <f aca="false">IF(B5002="","","outreach_sent")</f>
        <v/>
      </c>
      <c r="G5002" s="23" t="str">
        <f aca="false">IF(B5002="","","")</f>
        <v/>
      </c>
      <c r="H5002" s="23" t="str">
        <f aca="false">IF(B5002="","","")</f>
        <v/>
      </c>
      <c r="I5002" s="23" t="str">
        <f aca="false">IF(B5002="","","")</f>
        <v/>
      </c>
      <c r="J5002" s="23" t="str">
        <f aca="false">IF(B5002="","","touch_3; "&amp;IFERROR(INDEX(Clay_Brands!$A$2:$FZ$601,351,Sync!$D$10)&amp;"","")&amp;"; "&amp;IFERROR(INDEX(Clay_Brands!$A$2:$FZ$601,351,Sync!$D$9)&amp;"",""))</f>
        <v/>
      </c>
      <c r="K5002" s="32" t="s">
        <v>1368</v>
      </c>
    </row>
    <row r="5003" customFormat="false" ht="15" hidden="false" customHeight="false" outlineLevel="0" collapsed="false">
      <c r="A5003" s="23" t="str">
        <f aca="false">IF(B5003="","",B5003+(17*1000+352)/10000000)</f>
        <v/>
      </c>
      <c r="B5003" s="35" t="str">
        <f aca="false">IF(AND(IFERROR(N(INDEX(Clay_Brands!$A$2:$FZ$601,352,Sync!$D$13)),0)&gt;0,IFERROR(INDEX(Clay_Brands!$A$2:$FZ$601,352,Sync!$D$5)&amp;"","")&lt;&gt;"",OR(LEFT(IFERROR(INDEX(Clay_Brands!$A$2:$FZ$601,352,Sync!$D$5)&amp;"",""),6)&lt;&gt;"SAMPLE",Config!$B$19="Y")),IFERROR(N(INDEX(Clay_Brands!$A$2:$FZ$601,352,Sync!$D$13)),0),"")</f>
        <v/>
      </c>
      <c r="C5003" s="23" t="str">
        <f aca="false">IF(B5003="","","brand")</f>
        <v/>
      </c>
      <c r="D5003" s="23" t="str">
        <f aca="false">IF(B5003="","",IFERROR(INDEX(Brand_Log!$DV$2:$DV$201,MATCH(IFERROR(INDEX(Clay_Brands!$A$2:$FZ$601,352,Sync!$D$5)&amp;"",""),Brand_Log!$A$2:$A$201,0))&amp;"",IFERROR(INDEX(Clay_Brands!$A$2:$FZ$601,352,Sync!$D$5)&amp;"","")&amp;""))</f>
        <v/>
      </c>
      <c r="E5003" s="23" t="str">
        <f aca="false">IF(B5003="","",IFERROR(INDEX(Clay_Brands!$A$2:$FZ$601,352,Sync!$D$6)&amp;"",""))</f>
        <v/>
      </c>
      <c r="F5003" s="23" t="str">
        <f aca="false">IF(B5003="","","outreach_sent")</f>
        <v/>
      </c>
      <c r="G5003" s="23" t="str">
        <f aca="false">IF(B5003="","","")</f>
        <v/>
      </c>
      <c r="H5003" s="23" t="str">
        <f aca="false">IF(B5003="","","")</f>
        <v/>
      </c>
      <c r="I5003" s="23" t="str">
        <f aca="false">IF(B5003="","","")</f>
        <v/>
      </c>
      <c r="J5003" s="23" t="str">
        <f aca="false">IF(B5003="","","touch_3; "&amp;IFERROR(INDEX(Clay_Brands!$A$2:$FZ$601,352,Sync!$D$10)&amp;"","")&amp;"; "&amp;IFERROR(INDEX(Clay_Brands!$A$2:$FZ$601,352,Sync!$D$9)&amp;"",""))</f>
        <v/>
      </c>
      <c r="K5003" s="32" t="s">
        <v>1368</v>
      </c>
    </row>
    <row r="5004" customFormat="false" ht="15" hidden="false" customHeight="false" outlineLevel="0" collapsed="false">
      <c r="A5004" s="23" t="str">
        <f aca="false">IF(B5004="","",B5004+(17*1000+353)/10000000)</f>
        <v/>
      </c>
      <c r="B5004" s="35" t="str">
        <f aca="false">IF(AND(IFERROR(N(INDEX(Clay_Brands!$A$2:$FZ$601,353,Sync!$D$13)),0)&gt;0,IFERROR(INDEX(Clay_Brands!$A$2:$FZ$601,353,Sync!$D$5)&amp;"","")&lt;&gt;"",OR(LEFT(IFERROR(INDEX(Clay_Brands!$A$2:$FZ$601,353,Sync!$D$5)&amp;"",""),6)&lt;&gt;"SAMPLE",Config!$B$19="Y")),IFERROR(N(INDEX(Clay_Brands!$A$2:$FZ$601,353,Sync!$D$13)),0),"")</f>
        <v/>
      </c>
      <c r="C5004" s="23" t="str">
        <f aca="false">IF(B5004="","","brand")</f>
        <v/>
      </c>
      <c r="D5004" s="23" t="str">
        <f aca="false">IF(B5004="","",IFERROR(INDEX(Brand_Log!$DV$2:$DV$201,MATCH(IFERROR(INDEX(Clay_Brands!$A$2:$FZ$601,353,Sync!$D$5)&amp;"",""),Brand_Log!$A$2:$A$201,0))&amp;"",IFERROR(INDEX(Clay_Brands!$A$2:$FZ$601,353,Sync!$D$5)&amp;"","")&amp;""))</f>
        <v/>
      </c>
      <c r="E5004" s="23" t="str">
        <f aca="false">IF(B5004="","",IFERROR(INDEX(Clay_Brands!$A$2:$FZ$601,353,Sync!$D$6)&amp;"",""))</f>
        <v/>
      </c>
      <c r="F5004" s="23" t="str">
        <f aca="false">IF(B5004="","","outreach_sent")</f>
        <v/>
      </c>
      <c r="G5004" s="23" t="str">
        <f aca="false">IF(B5004="","","")</f>
        <v/>
      </c>
      <c r="H5004" s="23" t="str">
        <f aca="false">IF(B5004="","","")</f>
        <v/>
      </c>
      <c r="I5004" s="23" t="str">
        <f aca="false">IF(B5004="","","")</f>
        <v/>
      </c>
      <c r="J5004" s="23" t="str">
        <f aca="false">IF(B5004="","","touch_3; "&amp;IFERROR(INDEX(Clay_Brands!$A$2:$FZ$601,353,Sync!$D$10)&amp;"","")&amp;"; "&amp;IFERROR(INDEX(Clay_Brands!$A$2:$FZ$601,353,Sync!$D$9)&amp;"",""))</f>
        <v/>
      </c>
      <c r="K5004" s="32" t="s">
        <v>1368</v>
      </c>
    </row>
    <row r="5005" customFormat="false" ht="15" hidden="false" customHeight="false" outlineLevel="0" collapsed="false">
      <c r="A5005" s="23" t="str">
        <f aca="false">IF(B5005="","",B5005+(17*1000+354)/10000000)</f>
        <v/>
      </c>
      <c r="B5005" s="35" t="str">
        <f aca="false">IF(AND(IFERROR(N(INDEX(Clay_Brands!$A$2:$FZ$601,354,Sync!$D$13)),0)&gt;0,IFERROR(INDEX(Clay_Brands!$A$2:$FZ$601,354,Sync!$D$5)&amp;"","")&lt;&gt;"",OR(LEFT(IFERROR(INDEX(Clay_Brands!$A$2:$FZ$601,354,Sync!$D$5)&amp;"",""),6)&lt;&gt;"SAMPLE",Config!$B$19="Y")),IFERROR(N(INDEX(Clay_Brands!$A$2:$FZ$601,354,Sync!$D$13)),0),"")</f>
        <v/>
      </c>
      <c r="C5005" s="23" t="str">
        <f aca="false">IF(B5005="","","brand")</f>
        <v/>
      </c>
      <c r="D5005" s="23" t="str">
        <f aca="false">IF(B5005="","",IFERROR(INDEX(Brand_Log!$DV$2:$DV$201,MATCH(IFERROR(INDEX(Clay_Brands!$A$2:$FZ$601,354,Sync!$D$5)&amp;"",""),Brand_Log!$A$2:$A$201,0))&amp;"",IFERROR(INDEX(Clay_Brands!$A$2:$FZ$601,354,Sync!$D$5)&amp;"","")&amp;""))</f>
        <v/>
      </c>
      <c r="E5005" s="23" t="str">
        <f aca="false">IF(B5005="","",IFERROR(INDEX(Clay_Brands!$A$2:$FZ$601,354,Sync!$D$6)&amp;"",""))</f>
        <v/>
      </c>
      <c r="F5005" s="23" t="str">
        <f aca="false">IF(B5005="","","outreach_sent")</f>
        <v/>
      </c>
      <c r="G5005" s="23" t="str">
        <f aca="false">IF(B5005="","","")</f>
        <v/>
      </c>
      <c r="H5005" s="23" t="str">
        <f aca="false">IF(B5005="","","")</f>
        <v/>
      </c>
      <c r="I5005" s="23" t="str">
        <f aca="false">IF(B5005="","","")</f>
        <v/>
      </c>
      <c r="J5005" s="23" t="str">
        <f aca="false">IF(B5005="","","touch_3; "&amp;IFERROR(INDEX(Clay_Brands!$A$2:$FZ$601,354,Sync!$D$10)&amp;"","")&amp;"; "&amp;IFERROR(INDEX(Clay_Brands!$A$2:$FZ$601,354,Sync!$D$9)&amp;"",""))</f>
        <v/>
      </c>
      <c r="K5005" s="32" t="s">
        <v>1368</v>
      </c>
    </row>
    <row r="5006" customFormat="false" ht="15" hidden="false" customHeight="false" outlineLevel="0" collapsed="false">
      <c r="A5006" s="23" t="str">
        <f aca="false">IF(B5006="","",B5006+(17*1000+355)/10000000)</f>
        <v/>
      </c>
      <c r="B5006" s="35" t="str">
        <f aca="false">IF(AND(IFERROR(N(INDEX(Clay_Brands!$A$2:$FZ$601,355,Sync!$D$13)),0)&gt;0,IFERROR(INDEX(Clay_Brands!$A$2:$FZ$601,355,Sync!$D$5)&amp;"","")&lt;&gt;"",OR(LEFT(IFERROR(INDEX(Clay_Brands!$A$2:$FZ$601,355,Sync!$D$5)&amp;"",""),6)&lt;&gt;"SAMPLE",Config!$B$19="Y")),IFERROR(N(INDEX(Clay_Brands!$A$2:$FZ$601,355,Sync!$D$13)),0),"")</f>
        <v/>
      </c>
      <c r="C5006" s="23" t="str">
        <f aca="false">IF(B5006="","","brand")</f>
        <v/>
      </c>
      <c r="D5006" s="23" t="str">
        <f aca="false">IF(B5006="","",IFERROR(INDEX(Brand_Log!$DV$2:$DV$201,MATCH(IFERROR(INDEX(Clay_Brands!$A$2:$FZ$601,355,Sync!$D$5)&amp;"",""),Brand_Log!$A$2:$A$201,0))&amp;"",IFERROR(INDEX(Clay_Brands!$A$2:$FZ$601,355,Sync!$D$5)&amp;"","")&amp;""))</f>
        <v/>
      </c>
      <c r="E5006" s="23" t="str">
        <f aca="false">IF(B5006="","",IFERROR(INDEX(Clay_Brands!$A$2:$FZ$601,355,Sync!$D$6)&amp;"",""))</f>
        <v/>
      </c>
      <c r="F5006" s="23" t="str">
        <f aca="false">IF(B5006="","","outreach_sent")</f>
        <v/>
      </c>
      <c r="G5006" s="23" t="str">
        <f aca="false">IF(B5006="","","")</f>
        <v/>
      </c>
      <c r="H5006" s="23" t="str">
        <f aca="false">IF(B5006="","","")</f>
        <v/>
      </c>
      <c r="I5006" s="23" t="str">
        <f aca="false">IF(B5006="","","")</f>
        <v/>
      </c>
      <c r="J5006" s="23" t="str">
        <f aca="false">IF(B5006="","","touch_3; "&amp;IFERROR(INDEX(Clay_Brands!$A$2:$FZ$601,355,Sync!$D$10)&amp;"","")&amp;"; "&amp;IFERROR(INDEX(Clay_Brands!$A$2:$FZ$601,355,Sync!$D$9)&amp;"",""))</f>
        <v/>
      </c>
      <c r="K5006" s="32" t="s">
        <v>1368</v>
      </c>
    </row>
    <row r="5007" customFormat="false" ht="15" hidden="false" customHeight="false" outlineLevel="0" collapsed="false">
      <c r="A5007" s="23" t="str">
        <f aca="false">IF(B5007="","",B5007+(17*1000+356)/10000000)</f>
        <v/>
      </c>
      <c r="B5007" s="35" t="str">
        <f aca="false">IF(AND(IFERROR(N(INDEX(Clay_Brands!$A$2:$FZ$601,356,Sync!$D$13)),0)&gt;0,IFERROR(INDEX(Clay_Brands!$A$2:$FZ$601,356,Sync!$D$5)&amp;"","")&lt;&gt;"",OR(LEFT(IFERROR(INDEX(Clay_Brands!$A$2:$FZ$601,356,Sync!$D$5)&amp;"",""),6)&lt;&gt;"SAMPLE",Config!$B$19="Y")),IFERROR(N(INDEX(Clay_Brands!$A$2:$FZ$601,356,Sync!$D$13)),0),"")</f>
        <v/>
      </c>
      <c r="C5007" s="23" t="str">
        <f aca="false">IF(B5007="","","brand")</f>
        <v/>
      </c>
      <c r="D5007" s="23" t="str">
        <f aca="false">IF(B5007="","",IFERROR(INDEX(Brand_Log!$DV$2:$DV$201,MATCH(IFERROR(INDEX(Clay_Brands!$A$2:$FZ$601,356,Sync!$D$5)&amp;"",""),Brand_Log!$A$2:$A$201,0))&amp;"",IFERROR(INDEX(Clay_Brands!$A$2:$FZ$601,356,Sync!$D$5)&amp;"","")&amp;""))</f>
        <v/>
      </c>
      <c r="E5007" s="23" t="str">
        <f aca="false">IF(B5007="","",IFERROR(INDEX(Clay_Brands!$A$2:$FZ$601,356,Sync!$D$6)&amp;"",""))</f>
        <v/>
      </c>
      <c r="F5007" s="23" t="str">
        <f aca="false">IF(B5007="","","outreach_sent")</f>
        <v/>
      </c>
      <c r="G5007" s="23" t="str">
        <f aca="false">IF(B5007="","","")</f>
        <v/>
      </c>
      <c r="H5007" s="23" t="str">
        <f aca="false">IF(B5007="","","")</f>
        <v/>
      </c>
      <c r="I5007" s="23" t="str">
        <f aca="false">IF(B5007="","","")</f>
        <v/>
      </c>
      <c r="J5007" s="23" t="str">
        <f aca="false">IF(B5007="","","touch_3; "&amp;IFERROR(INDEX(Clay_Brands!$A$2:$FZ$601,356,Sync!$D$10)&amp;"","")&amp;"; "&amp;IFERROR(INDEX(Clay_Brands!$A$2:$FZ$601,356,Sync!$D$9)&amp;"",""))</f>
        <v/>
      </c>
      <c r="K5007" s="32" t="s">
        <v>1368</v>
      </c>
    </row>
    <row r="5008" customFormat="false" ht="15" hidden="false" customHeight="false" outlineLevel="0" collapsed="false">
      <c r="A5008" s="23" t="str">
        <f aca="false">IF(B5008="","",B5008+(17*1000+357)/10000000)</f>
        <v/>
      </c>
      <c r="B5008" s="35" t="str">
        <f aca="false">IF(AND(IFERROR(N(INDEX(Clay_Brands!$A$2:$FZ$601,357,Sync!$D$13)),0)&gt;0,IFERROR(INDEX(Clay_Brands!$A$2:$FZ$601,357,Sync!$D$5)&amp;"","")&lt;&gt;"",OR(LEFT(IFERROR(INDEX(Clay_Brands!$A$2:$FZ$601,357,Sync!$D$5)&amp;"",""),6)&lt;&gt;"SAMPLE",Config!$B$19="Y")),IFERROR(N(INDEX(Clay_Brands!$A$2:$FZ$601,357,Sync!$D$13)),0),"")</f>
        <v/>
      </c>
      <c r="C5008" s="23" t="str">
        <f aca="false">IF(B5008="","","brand")</f>
        <v/>
      </c>
      <c r="D5008" s="23" t="str">
        <f aca="false">IF(B5008="","",IFERROR(INDEX(Brand_Log!$DV$2:$DV$201,MATCH(IFERROR(INDEX(Clay_Brands!$A$2:$FZ$601,357,Sync!$D$5)&amp;"",""),Brand_Log!$A$2:$A$201,0))&amp;"",IFERROR(INDEX(Clay_Brands!$A$2:$FZ$601,357,Sync!$D$5)&amp;"","")&amp;""))</f>
        <v/>
      </c>
      <c r="E5008" s="23" t="str">
        <f aca="false">IF(B5008="","",IFERROR(INDEX(Clay_Brands!$A$2:$FZ$601,357,Sync!$D$6)&amp;"",""))</f>
        <v/>
      </c>
      <c r="F5008" s="23" t="str">
        <f aca="false">IF(B5008="","","outreach_sent")</f>
        <v/>
      </c>
      <c r="G5008" s="23" t="str">
        <f aca="false">IF(B5008="","","")</f>
        <v/>
      </c>
      <c r="H5008" s="23" t="str">
        <f aca="false">IF(B5008="","","")</f>
        <v/>
      </c>
      <c r="I5008" s="23" t="str">
        <f aca="false">IF(B5008="","","")</f>
        <v/>
      </c>
      <c r="J5008" s="23" t="str">
        <f aca="false">IF(B5008="","","touch_3; "&amp;IFERROR(INDEX(Clay_Brands!$A$2:$FZ$601,357,Sync!$D$10)&amp;"","")&amp;"; "&amp;IFERROR(INDEX(Clay_Brands!$A$2:$FZ$601,357,Sync!$D$9)&amp;"",""))</f>
        <v/>
      </c>
      <c r="K5008" s="32" t="s">
        <v>1368</v>
      </c>
    </row>
    <row r="5009" customFormat="false" ht="15" hidden="false" customHeight="false" outlineLevel="0" collapsed="false">
      <c r="A5009" s="23" t="str">
        <f aca="false">IF(B5009="","",B5009+(17*1000+358)/10000000)</f>
        <v/>
      </c>
      <c r="B5009" s="35" t="str">
        <f aca="false">IF(AND(IFERROR(N(INDEX(Clay_Brands!$A$2:$FZ$601,358,Sync!$D$13)),0)&gt;0,IFERROR(INDEX(Clay_Brands!$A$2:$FZ$601,358,Sync!$D$5)&amp;"","")&lt;&gt;"",OR(LEFT(IFERROR(INDEX(Clay_Brands!$A$2:$FZ$601,358,Sync!$D$5)&amp;"",""),6)&lt;&gt;"SAMPLE",Config!$B$19="Y")),IFERROR(N(INDEX(Clay_Brands!$A$2:$FZ$601,358,Sync!$D$13)),0),"")</f>
        <v/>
      </c>
      <c r="C5009" s="23" t="str">
        <f aca="false">IF(B5009="","","brand")</f>
        <v/>
      </c>
      <c r="D5009" s="23" t="str">
        <f aca="false">IF(B5009="","",IFERROR(INDEX(Brand_Log!$DV$2:$DV$201,MATCH(IFERROR(INDEX(Clay_Brands!$A$2:$FZ$601,358,Sync!$D$5)&amp;"",""),Brand_Log!$A$2:$A$201,0))&amp;"",IFERROR(INDEX(Clay_Brands!$A$2:$FZ$601,358,Sync!$D$5)&amp;"","")&amp;""))</f>
        <v/>
      </c>
      <c r="E5009" s="23" t="str">
        <f aca="false">IF(B5009="","",IFERROR(INDEX(Clay_Brands!$A$2:$FZ$601,358,Sync!$D$6)&amp;"",""))</f>
        <v/>
      </c>
      <c r="F5009" s="23" t="str">
        <f aca="false">IF(B5009="","","outreach_sent")</f>
        <v/>
      </c>
      <c r="G5009" s="23" t="str">
        <f aca="false">IF(B5009="","","")</f>
        <v/>
      </c>
      <c r="H5009" s="23" t="str">
        <f aca="false">IF(B5009="","","")</f>
        <v/>
      </c>
      <c r="I5009" s="23" t="str">
        <f aca="false">IF(B5009="","","")</f>
        <v/>
      </c>
      <c r="J5009" s="23" t="str">
        <f aca="false">IF(B5009="","","touch_3; "&amp;IFERROR(INDEX(Clay_Brands!$A$2:$FZ$601,358,Sync!$D$10)&amp;"","")&amp;"; "&amp;IFERROR(INDEX(Clay_Brands!$A$2:$FZ$601,358,Sync!$D$9)&amp;"",""))</f>
        <v/>
      </c>
      <c r="K5009" s="32" t="s">
        <v>1368</v>
      </c>
    </row>
    <row r="5010" customFormat="false" ht="15" hidden="false" customHeight="false" outlineLevel="0" collapsed="false">
      <c r="A5010" s="23" t="str">
        <f aca="false">IF(B5010="","",B5010+(17*1000+359)/10000000)</f>
        <v/>
      </c>
      <c r="B5010" s="35" t="str">
        <f aca="false">IF(AND(IFERROR(N(INDEX(Clay_Brands!$A$2:$FZ$601,359,Sync!$D$13)),0)&gt;0,IFERROR(INDEX(Clay_Brands!$A$2:$FZ$601,359,Sync!$D$5)&amp;"","")&lt;&gt;"",OR(LEFT(IFERROR(INDEX(Clay_Brands!$A$2:$FZ$601,359,Sync!$D$5)&amp;"",""),6)&lt;&gt;"SAMPLE",Config!$B$19="Y")),IFERROR(N(INDEX(Clay_Brands!$A$2:$FZ$601,359,Sync!$D$13)),0),"")</f>
        <v/>
      </c>
      <c r="C5010" s="23" t="str">
        <f aca="false">IF(B5010="","","brand")</f>
        <v/>
      </c>
      <c r="D5010" s="23" t="str">
        <f aca="false">IF(B5010="","",IFERROR(INDEX(Brand_Log!$DV$2:$DV$201,MATCH(IFERROR(INDEX(Clay_Brands!$A$2:$FZ$601,359,Sync!$D$5)&amp;"",""),Brand_Log!$A$2:$A$201,0))&amp;"",IFERROR(INDEX(Clay_Brands!$A$2:$FZ$601,359,Sync!$D$5)&amp;"","")&amp;""))</f>
        <v/>
      </c>
      <c r="E5010" s="23" t="str">
        <f aca="false">IF(B5010="","",IFERROR(INDEX(Clay_Brands!$A$2:$FZ$601,359,Sync!$D$6)&amp;"",""))</f>
        <v/>
      </c>
      <c r="F5010" s="23" t="str">
        <f aca="false">IF(B5010="","","outreach_sent")</f>
        <v/>
      </c>
      <c r="G5010" s="23" t="str">
        <f aca="false">IF(B5010="","","")</f>
        <v/>
      </c>
      <c r="H5010" s="23" t="str">
        <f aca="false">IF(B5010="","","")</f>
        <v/>
      </c>
      <c r="I5010" s="23" t="str">
        <f aca="false">IF(B5010="","","")</f>
        <v/>
      </c>
      <c r="J5010" s="23" t="str">
        <f aca="false">IF(B5010="","","touch_3; "&amp;IFERROR(INDEX(Clay_Brands!$A$2:$FZ$601,359,Sync!$D$10)&amp;"","")&amp;"; "&amp;IFERROR(INDEX(Clay_Brands!$A$2:$FZ$601,359,Sync!$D$9)&amp;"",""))</f>
        <v/>
      </c>
      <c r="K5010" s="32" t="s">
        <v>1368</v>
      </c>
    </row>
    <row r="5011" customFormat="false" ht="15" hidden="false" customHeight="false" outlineLevel="0" collapsed="false">
      <c r="A5011" s="23" t="str">
        <f aca="false">IF(B5011="","",B5011+(17*1000+360)/10000000)</f>
        <v/>
      </c>
      <c r="B5011" s="35" t="str">
        <f aca="false">IF(AND(IFERROR(N(INDEX(Clay_Brands!$A$2:$FZ$601,360,Sync!$D$13)),0)&gt;0,IFERROR(INDEX(Clay_Brands!$A$2:$FZ$601,360,Sync!$D$5)&amp;"","")&lt;&gt;"",OR(LEFT(IFERROR(INDEX(Clay_Brands!$A$2:$FZ$601,360,Sync!$D$5)&amp;"",""),6)&lt;&gt;"SAMPLE",Config!$B$19="Y")),IFERROR(N(INDEX(Clay_Brands!$A$2:$FZ$601,360,Sync!$D$13)),0),"")</f>
        <v/>
      </c>
      <c r="C5011" s="23" t="str">
        <f aca="false">IF(B5011="","","brand")</f>
        <v/>
      </c>
      <c r="D5011" s="23" t="str">
        <f aca="false">IF(B5011="","",IFERROR(INDEX(Brand_Log!$DV$2:$DV$201,MATCH(IFERROR(INDEX(Clay_Brands!$A$2:$FZ$601,360,Sync!$D$5)&amp;"",""),Brand_Log!$A$2:$A$201,0))&amp;"",IFERROR(INDEX(Clay_Brands!$A$2:$FZ$601,360,Sync!$D$5)&amp;"","")&amp;""))</f>
        <v/>
      </c>
      <c r="E5011" s="23" t="str">
        <f aca="false">IF(B5011="","",IFERROR(INDEX(Clay_Brands!$A$2:$FZ$601,360,Sync!$D$6)&amp;"",""))</f>
        <v/>
      </c>
      <c r="F5011" s="23" t="str">
        <f aca="false">IF(B5011="","","outreach_sent")</f>
        <v/>
      </c>
      <c r="G5011" s="23" t="str">
        <f aca="false">IF(B5011="","","")</f>
        <v/>
      </c>
      <c r="H5011" s="23" t="str">
        <f aca="false">IF(B5011="","","")</f>
        <v/>
      </c>
      <c r="I5011" s="23" t="str">
        <f aca="false">IF(B5011="","","")</f>
        <v/>
      </c>
      <c r="J5011" s="23" t="str">
        <f aca="false">IF(B5011="","","touch_3; "&amp;IFERROR(INDEX(Clay_Brands!$A$2:$FZ$601,360,Sync!$D$10)&amp;"","")&amp;"; "&amp;IFERROR(INDEX(Clay_Brands!$A$2:$FZ$601,360,Sync!$D$9)&amp;"",""))</f>
        <v/>
      </c>
      <c r="K5011" s="32" t="s">
        <v>1368</v>
      </c>
    </row>
    <row r="5012" customFormat="false" ht="15" hidden="false" customHeight="false" outlineLevel="0" collapsed="false">
      <c r="A5012" s="23" t="str">
        <f aca="false">IF(B5012="","",B5012+(17*1000+361)/10000000)</f>
        <v/>
      </c>
      <c r="B5012" s="35" t="str">
        <f aca="false">IF(AND(IFERROR(N(INDEX(Clay_Brands!$A$2:$FZ$601,361,Sync!$D$13)),0)&gt;0,IFERROR(INDEX(Clay_Brands!$A$2:$FZ$601,361,Sync!$D$5)&amp;"","")&lt;&gt;"",OR(LEFT(IFERROR(INDEX(Clay_Brands!$A$2:$FZ$601,361,Sync!$D$5)&amp;"",""),6)&lt;&gt;"SAMPLE",Config!$B$19="Y")),IFERROR(N(INDEX(Clay_Brands!$A$2:$FZ$601,361,Sync!$D$13)),0),"")</f>
        <v/>
      </c>
      <c r="C5012" s="23" t="str">
        <f aca="false">IF(B5012="","","brand")</f>
        <v/>
      </c>
      <c r="D5012" s="23" t="str">
        <f aca="false">IF(B5012="","",IFERROR(INDEX(Brand_Log!$DV$2:$DV$201,MATCH(IFERROR(INDEX(Clay_Brands!$A$2:$FZ$601,361,Sync!$D$5)&amp;"",""),Brand_Log!$A$2:$A$201,0))&amp;"",IFERROR(INDEX(Clay_Brands!$A$2:$FZ$601,361,Sync!$D$5)&amp;"","")&amp;""))</f>
        <v/>
      </c>
      <c r="E5012" s="23" t="str">
        <f aca="false">IF(B5012="","",IFERROR(INDEX(Clay_Brands!$A$2:$FZ$601,361,Sync!$D$6)&amp;"",""))</f>
        <v/>
      </c>
      <c r="F5012" s="23" t="str">
        <f aca="false">IF(B5012="","","outreach_sent")</f>
        <v/>
      </c>
      <c r="G5012" s="23" t="str">
        <f aca="false">IF(B5012="","","")</f>
        <v/>
      </c>
      <c r="H5012" s="23" t="str">
        <f aca="false">IF(B5012="","","")</f>
        <v/>
      </c>
      <c r="I5012" s="23" t="str">
        <f aca="false">IF(B5012="","","")</f>
        <v/>
      </c>
      <c r="J5012" s="23" t="str">
        <f aca="false">IF(B5012="","","touch_3; "&amp;IFERROR(INDEX(Clay_Brands!$A$2:$FZ$601,361,Sync!$D$10)&amp;"","")&amp;"; "&amp;IFERROR(INDEX(Clay_Brands!$A$2:$FZ$601,361,Sync!$D$9)&amp;"",""))</f>
        <v/>
      </c>
      <c r="K5012" s="32" t="s">
        <v>1368</v>
      </c>
    </row>
    <row r="5013" customFormat="false" ht="15" hidden="false" customHeight="false" outlineLevel="0" collapsed="false">
      <c r="A5013" s="23" t="str">
        <f aca="false">IF(B5013="","",B5013+(17*1000+362)/10000000)</f>
        <v/>
      </c>
      <c r="B5013" s="35" t="str">
        <f aca="false">IF(AND(IFERROR(N(INDEX(Clay_Brands!$A$2:$FZ$601,362,Sync!$D$13)),0)&gt;0,IFERROR(INDEX(Clay_Brands!$A$2:$FZ$601,362,Sync!$D$5)&amp;"","")&lt;&gt;"",OR(LEFT(IFERROR(INDEX(Clay_Brands!$A$2:$FZ$601,362,Sync!$D$5)&amp;"",""),6)&lt;&gt;"SAMPLE",Config!$B$19="Y")),IFERROR(N(INDEX(Clay_Brands!$A$2:$FZ$601,362,Sync!$D$13)),0),"")</f>
        <v/>
      </c>
      <c r="C5013" s="23" t="str">
        <f aca="false">IF(B5013="","","brand")</f>
        <v/>
      </c>
      <c r="D5013" s="23" t="str">
        <f aca="false">IF(B5013="","",IFERROR(INDEX(Brand_Log!$DV$2:$DV$201,MATCH(IFERROR(INDEX(Clay_Brands!$A$2:$FZ$601,362,Sync!$D$5)&amp;"",""),Brand_Log!$A$2:$A$201,0))&amp;"",IFERROR(INDEX(Clay_Brands!$A$2:$FZ$601,362,Sync!$D$5)&amp;"","")&amp;""))</f>
        <v/>
      </c>
      <c r="E5013" s="23" t="str">
        <f aca="false">IF(B5013="","",IFERROR(INDEX(Clay_Brands!$A$2:$FZ$601,362,Sync!$D$6)&amp;"",""))</f>
        <v/>
      </c>
      <c r="F5013" s="23" t="str">
        <f aca="false">IF(B5013="","","outreach_sent")</f>
        <v/>
      </c>
      <c r="G5013" s="23" t="str">
        <f aca="false">IF(B5013="","","")</f>
        <v/>
      </c>
      <c r="H5013" s="23" t="str">
        <f aca="false">IF(B5013="","","")</f>
        <v/>
      </c>
      <c r="I5013" s="23" t="str">
        <f aca="false">IF(B5013="","","")</f>
        <v/>
      </c>
      <c r="J5013" s="23" t="str">
        <f aca="false">IF(B5013="","","touch_3; "&amp;IFERROR(INDEX(Clay_Brands!$A$2:$FZ$601,362,Sync!$D$10)&amp;"","")&amp;"; "&amp;IFERROR(INDEX(Clay_Brands!$A$2:$FZ$601,362,Sync!$D$9)&amp;"",""))</f>
        <v/>
      </c>
      <c r="K5013" s="32" t="s">
        <v>1368</v>
      </c>
    </row>
    <row r="5014" customFormat="false" ht="15" hidden="false" customHeight="false" outlineLevel="0" collapsed="false">
      <c r="A5014" s="23" t="str">
        <f aca="false">IF(B5014="","",B5014+(17*1000+363)/10000000)</f>
        <v/>
      </c>
      <c r="B5014" s="35" t="str">
        <f aca="false">IF(AND(IFERROR(N(INDEX(Clay_Brands!$A$2:$FZ$601,363,Sync!$D$13)),0)&gt;0,IFERROR(INDEX(Clay_Brands!$A$2:$FZ$601,363,Sync!$D$5)&amp;"","")&lt;&gt;"",OR(LEFT(IFERROR(INDEX(Clay_Brands!$A$2:$FZ$601,363,Sync!$D$5)&amp;"",""),6)&lt;&gt;"SAMPLE",Config!$B$19="Y")),IFERROR(N(INDEX(Clay_Brands!$A$2:$FZ$601,363,Sync!$D$13)),0),"")</f>
        <v/>
      </c>
      <c r="C5014" s="23" t="str">
        <f aca="false">IF(B5014="","","brand")</f>
        <v/>
      </c>
      <c r="D5014" s="23" t="str">
        <f aca="false">IF(B5014="","",IFERROR(INDEX(Brand_Log!$DV$2:$DV$201,MATCH(IFERROR(INDEX(Clay_Brands!$A$2:$FZ$601,363,Sync!$D$5)&amp;"",""),Brand_Log!$A$2:$A$201,0))&amp;"",IFERROR(INDEX(Clay_Brands!$A$2:$FZ$601,363,Sync!$D$5)&amp;"","")&amp;""))</f>
        <v/>
      </c>
      <c r="E5014" s="23" t="str">
        <f aca="false">IF(B5014="","",IFERROR(INDEX(Clay_Brands!$A$2:$FZ$601,363,Sync!$D$6)&amp;"",""))</f>
        <v/>
      </c>
      <c r="F5014" s="23" t="str">
        <f aca="false">IF(B5014="","","outreach_sent")</f>
        <v/>
      </c>
      <c r="G5014" s="23" t="str">
        <f aca="false">IF(B5014="","","")</f>
        <v/>
      </c>
      <c r="H5014" s="23" t="str">
        <f aca="false">IF(B5014="","","")</f>
        <v/>
      </c>
      <c r="I5014" s="23" t="str">
        <f aca="false">IF(B5014="","","")</f>
        <v/>
      </c>
      <c r="J5014" s="23" t="str">
        <f aca="false">IF(B5014="","","touch_3; "&amp;IFERROR(INDEX(Clay_Brands!$A$2:$FZ$601,363,Sync!$D$10)&amp;"","")&amp;"; "&amp;IFERROR(INDEX(Clay_Brands!$A$2:$FZ$601,363,Sync!$D$9)&amp;"",""))</f>
        <v/>
      </c>
      <c r="K5014" s="32" t="s">
        <v>1368</v>
      </c>
    </row>
    <row r="5015" customFormat="false" ht="15" hidden="false" customHeight="false" outlineLevel="0" collapsed="false">
      <c r="A5015" s="23" t="str">
        <f aca="false">IF(B5015="","",B5015+(17*1000+364)/10000000)</f>
        <v/>
      </c>
      <c r="B5015" s="35" t="str">
        <f aca="false">IF(AND(IFERROR(N(INDEX(Clay_Brands!$A$2:$FZ$601,364,Sync!$D$13)),0)&gt;0,IFERROR(INDEX(Clay_Brands!$A$2:$FZ$601,364,Sync!$D$5)&amp;"","")&lt;&gt;"",OR(LEFT(IFERROR(INDEX(Clay_Brands!$A$2:$FZ$601,364,Sync!$D$5)&amp;"",""),6)&lt;&gt;"SAMPLE",Config!$B$19="Y")),IFERROR(N(INDEX(Clay_Brands!$A$2:$FZ$601,364,Sync!$D$13)),0),"")</f>
        <v/>
      </c>
      <c r="C5015" s="23" t="str">
        <f aca="false">IF(B5015="","","brand")</f>
        <v/>
      </c>
      <c r="D5015" s="23" t="str">
        <f aca="false">IF(B5015="","",IFERROR(INDEX(Brand_Log!$DV$2:$DV$201,MATCH(IFERROR(INDEX(Clay_Brands!$A$2:$FZ$601,364,Sync!$D$5)&amp;"",""),Brand_Log!$A$2:$A$201,0))&amp;"",IFERROR(INDEX(Clay_Brands!$A$2:$FZ$601,364,Sync!$D$5)&amp;"","")&amp;""))</f>
        <v/>
      </c>
      <c r="E5015" s="23" t="str">
        <f aca="false">IF(B5015="","",IFERROR(INDEX(Clay_Brands!$A$2:$FZ$601,364,Sync!$D$6)&amp;"",""))</f>
        <v/>
      </c>
      <c r="F5015" s="23" t="str">
        <f aca="false">IF(B5015="","","outreach_sent")</f>
        <v/>
      </c>
      <c r="G5015" s="23" t="str">
        <f aca="false">IF(B5015="","","")</f>
        <v/>
      </c>
      <c r="H5015" s="23" t="str">
        <f aca="false">IF(B5015="","","")</f>
        <v/>
      </c>
      <c r="I5015" s="23" t="str">
        <f aca="false">IF(B5015="","","")</f>
        <v/>
      </c>
      <c r="J5015" s="23" t="str">
        <f aca="false">IF(B5015="","","touch_3; "&amp;IFERROR(INDEX(Clay_Brands!$A$2:$FZ$601,364,Sync!$D$10)&amp;"","")&amp;"; "&amp;IFERROR(INDEX(Clay_Brands!$A$2:$FZ$601,364,Sync!$D$9)&amp;"",""))</f>
        <v/>
      </c>
      <c r="K5015" s="32" t="s">
        <v>1368</v>
      </c>
    </row>
    <row r="5016" customFormat="false" ht="15" hidden="false" customHeight="false" outlineLevel="0" collapsed="false">
      <c r="A5016" s="23" t="str">
        <f aca="false">IF(B5016="","",B5016+(17*1000+365)/10000000)</f>
        <v/>
      </c>
      <c r="B5016" s="35" t="str">
        <f aca="false">IF(AND(IFERROR(N(INDEX(Clay_Brands!$A$2:$FZ$601,365,Sync!$D$13)),0)&gt;0,IFERROR(INDEX(Clay_Brands!$A$2:$FZ$601,365,Sync!$D$5)&amp;"","")&lt;&gt;"",OR(LEFT(IFERROR(INDEX(Clay_Brands!$A$2:$FZ$601,365,Sync!$D$5)&amp;"",""),6)&lt;&gt;"SAMPLE",Config!$B$19="Y")),IFERROR(N(INDEX(Clay_Brands!$A$2:$FZ$601,365,Sync!$D$13)),0),"")</f>
        <v/>
      </c>
      <c r="C5016" s="23" t="str">
        <f aca="false">IF(B5016="","","brand")</f>
        <v/>
      </c>
      <c r="D5016" s="23" t="str">
        <f aca="false">IF(B5016="","",IFERROR(INDEX(Brand_Log!$DV$2:$DV$201,MATCH(IFERROR(INDEX(Clay_Brands!$A$2:$FZ$601,365,Sync!$D$5)&amp;"",""),Brand_Log!$A$2:$A$201,0))&amp;"",IFERROR(INDEX(Clay_Brands!$A$2:$FZ$601,365,Sync!$D$5)&amp;"","")&amp;""))</f>
        <v/>
      </c>
      <c r="E5016" s="23" t="str">
        <f aca="false">IF(B5016="","",IFERROR(INDEX(Clay_Brands!$A$2:$FZ$601,365,Sync!$D$6)&amp;"",""))</f>
        <v/>
      </c>
      <c r="F5016" s="23" t="str">
        <f aca="false">IF(B5016="","","outreach_sent")</f>
        <v/>
      </c>
      <c r="G5016" s="23" t="str">
        <f aca="false">IF(B5016="","","")</f>
        <v/>
      </c>
      <c r="H5016" s="23" t="str">
        <f aca="false">IF(B5016="","","")</f>
        <v/>
      </c>
      <c r="I5016" s="23" t="str">
        <f aca="false">IF(B5016="","","")</f>
        <v/>
      </c>
      <c r="J5016" s="23" t="str">
        <f aca="false">IF(B5016="","","touch_3; "&amp;IFERROR(INDEX(Clay_Brands!$A$2:$FZ$601,365,Sync!$D$10)&amp;"","")&amp;"; "&amp;IFERROR(INDEX(Clay_Brands!$A$2:$FZ$601,365,Sync!$D$9)&amp;"",""))</f>
        <v/>
      </c>
      <c r="K5016" s="32" t="s">
        <v>1368</v>
      </c>
    </row>
    <row r="5017" customFormat="false" ht="15" hidden="false" customHeight="false" outlineLevel="0" collapsed="false">
      <c r="A5017" s="23" t="str">
        <f aca="false">IF(B5017="","",B5017+(17*1000+366)/10000000)</f>
        <v/>
      </c>
      <c r="B5017" s="35" t="str">
        <f aca="false">IF(AND(IFERROR(N(INDEX(Clay_Brands!$A$2:$FZ$601,366,Sync!$D$13)),0)&gt;0,IFERROR(INDEX(Clay_Brands!$A$2:$FZ$601,366,Sync!$D$5)&amp;"","")&lt;&gt;"",OR(LEFT(IFERROR(INDEX(Clay_Brands!$A$2:$FZ$601,366,Sync!$D$5)&amp;"",""),6)&lt;&gt;"SAMPLE",Config!$B$19="Y")),IFERROR(N(INDEX(Clay_Brands!$A$2:$FZ$601,366,Sync!$D$13)),0),"")</f>
        <v/>
      </c>
      <c r="C5017" s="23" t="str">
        <f aca="false">IF(B5017="","","brand")</f>
        <v/>
      </c>
      <c r="D5017" s="23" t="str">
        <f aca="false">IF(B5017="","",IFERROR(INDEX(Brand_Log!$DV$2:$DV$201,MATCH(IFERROR(INDEX(Clay_Brands!$A$2:$FZ$601,366,Sync!$D$5)&amp;"",""),Brand_Log!$A$2:$A$201,0))&amp;"",IFERROR(INDEX(Clay_Brands!$A$2:$FZ$601,366,Sync!$D$5)&amp;"","")&amp;""))</f>
        <v/>
      </c>
      <c r="E5017" s="23" t="str">
        <f aca="false">IF(B5017="","",IFERROR(INDEX(Clay_Brands!$A$2:$FZ$601,366,Sync!$D$6)&amp;"",""))</f>
        <v/>
      </c>
      <c r="F5017" s="23" t="str">
        <f aca="false">IF(B5017="","","outreach_sent")</f>
        <v/>
      </c>
      <c r="G5017" s="23" t="str">
        <f aca="false">IF(B5017="","","")</f>
        <v/>
      </c>
      <c r="H5017" s="23" t="str">
        <f aca="false">IF(B5017="","","")</f>
        <v/>
      </c>
      <c r="I5017" s="23" t="str">
        <f aca="false">IF(B5017="","","")</f>
        <v/>
      </c>
      <c r="J5017" s="23" t="str">
        <f aca="false">IF(B5017="","","touch_3; "&amp;IFERROR(INDEX(Clay_Brands!$A$2:$FZ$601,366,Sync!$D$10)&amp;"","")&amp;"; "&amp;IFERROR(INDEX(Clay_Brands!$A$2:$FZ$601,366,Sync!$D$9)&amp;"",""))</f>
        <v/>
      </c>
      <c r="K5017" s="32" t="s">
        <v>1368</v>
      </c>
    </row>
    <row r="5018" customFormat="false" ht="15" hidden="false" customHeight="false" outlineLevel="0" collapsed="false">
      <c r="A5018" s="23" t="str">
        <f aca="false">IF(B5018="","",B5018+(17*1000+367)/10000000)</f>
        <v/>
      </c>
      <c r="B5018" s="35" t="str">
        <f aca="false">IF(AND(IFERROR(N(INDEX(Clay_Brands!$A$2:$FZ$601,367,Sync!$D$13)),0)&gt;0,IFERROR(INDEX(Clay_Brands!$A$2:$FZ$601,367,Sync!$D$5)&amp;"","")&lt;&gt;"",OR(LEFT(IFERROR(INDEX(Clay_Brands!$A$2:$FZ$601,367,Sync!$D$5)&amp;"",""),6)&lt;&gt;"SAMPLE",Config!$B$19="Y")),IFERROR(N(INDEX(Clay_Brands!$A$2:$FZ$601,367,Sync!$D$13)),0),"")</f>
        <v/>
      </c>
      <c r="C5018" s="23" t="str">
        <f aca="false">IF(B5018="","","brand")</f>
        <v/>
      </c>
      <c r="D5018" s="23" t="str">
        <f aca="false">IF(B5018="","",IFERROR(INDEX(Brand_Log!$DV$2:$DV$201,MATCH(IFERROR(INDEX(Clay_Brands!$A$2:$FZ$601,367,Sync!$D$5)&amp;"",""),Brand_Log!$A$2:$A$201,0))&amp;"",IFERROR(INDEX(Clay_Brands!$A$2:$FZ$601,367,Sync!$D$5)&amp;"","")&amp;""))</f>
        <v/>
      </c>
      <c r="E5018" s="23" t="str">
        <f aca="false">IF(B5018="","",IFERROR(INDEX(Clay_Brands!$A$2:$FZ$601,367,Sync!$D$6)&amp;"",""))</f>
        <v/>
      </c>
      <c r="F5018" s="23" t="str">
        <f aca="false">IF(B5018="","","outreach_sent")</f>
        <v/>
      </c>
      <c r="G5018" s="23" t="str">
        <f aca="false">IF(B5018="","","")</f>
        <v/>
      </c>
      <c r="H5018" s="23" t="str">
        <f aca="false">IF(B5018="","","")</f>
        <v/>
      </c>
      <c r="I5018" s="23" t="str">
        <f aca="false">IF(B5018="","","")</f>
        <v/>
      </c>
      <c r="J5018" s="23" t="str">
        <f aca="false">IF(B5018="","","touch_3; "&amp;IFERROR(INDEX(Clay_Brands!$A$2:$FZ$601,367,Sync!$D$10)&amp;"","")&amp;"; "&amp;IFERROR(INDEX(Clay_Brands!$A$2:$FZ$601,367,Sync!$D$9)&amp;"",""))</f>
        <v/>
      </c>
      <c r="K5018" s="32" t="s">
        <v>1368</v>
      </c>
    </row>
    <row r="5019" customFormat="false" ht="15" hidden="false" customHeight="false" outlineLevel="0" collapsed="false">
      <c r="A5019" s="23" t="str">
        <f aca="false">IF(B5019="","",B5019+(17*1000+368)/10000000)</f>
        <v/>
      </c>
      <c r="B5019" s="35" t="str">
        <f aca="false">IF(AND(IFERROR(N(INDEX(Clay_Brands!$A$2:$FZ$601,368,Sync!$D$13)),0)&gt;0,IFERROR(INDEX(Clay_Brands!$A$2:$FZ$601,368,Sync!$D$5)&amp;"","")&lt;&gt;"",OR(LEFT(IFERROR(INDEX(Clay_Brands!$A$2:$FZ$601,368,Sync!$D$5)&amp;"",""),6)&lt;&gt;"SAMPLE",Config!$B$19="Y")),IFERROR(N(INDEX(Clay_Brands!$A$2:$FZ$601,368,Sync!$D$13)),0),"")</f>
        <v/>
      </c>
      <c r="C5019" s="23" t="str">
        <f aca="false">IF(B5019="","","brand")</f>
        <v/>
      </c>
      <c r="D5019" s="23" t="str">
        <f aca="false">IF(B5019="","",IFERROR(INDEX(Brand_Log!$DV$2:$DV$201,MATCH(IFERROR(INDEX(Clay_Brands!$A$2:$FZ$601,368,Sync!$D$5)&amp;"",""),Brand_Log!$A$2:$A$201,0))&amp;"",IFERROR(INDEX(Clay_Brands!$A$2:$FZ$601,368,Sync!$D$5)&amp;"","")&amp;""))</f>
        <v/>
      </c>
      <c r="E5019" s="23" t="str">
        <f aca="false">IF(B5019="","",IFERROR(INDEX(Clay_Brands!$A$2:$FZ$601,368,Sync!$D$6)&amp;"",""))</f>
        <v/>
      </c>
      <c r="F5019" s="23" t="str">
        <f aca="false">IF(B5019="","","outreach_sent")</f>
        <v/>
      </c>
      <c r="G5019" s="23" t="str">
        <f aca="false">IF(B5019="","","")</f>
        <v/>
      </c>
      <c r="H5019" s="23" t="str">
        <f aca="false">IF(B5019="","","")</f>
        <v/>
      </c>
      <c r="I5019" s="23" t="str">
        <f aca="false">IF(B5019="","","")</f>
        <v/>
      </c>
      <c r="J5019" s="23" t="str">
        <f aca="false">IF(B5019="","","touch_3; "&amp;IFERROR(INDEX(Clay_Brands!$A$2:$FZ$601,368,Sync!$D$10)&amp;"","")&amp;"; "&amp;IFERROR(INDEX(Clay_Brands!$A$2:$FZ$601,368,Sync!$D$9)&amp;"",""))</f>
        <v/>
      </c>
      <c r="K5019" s="32" t="s">
        <v>1368</v>
      </c>
    </row>
    <row r="5020" customFormat="false" ht="15" hidden="false" customHeight="false" outlineLevel="0" collapsed="false">
      <c r="A5020" s="23" t="str">
        <f aca="false">IF(B5020="","",B5020+(17*1000+369)/10000000)</f>
        <v/>
      </c>
      <c r="B5020" s="35" t="str">
        <f aca="false">IF(AND(IFERROR(N(INDEX(Clay_Brands!$A$2:$FZ$601,369,Sync!$D$13)),0)&gt;0,IFERROR(INDEX(Clay_Brands!$A$2:$FZ$601,369,Sync!$D$5)&amp;"","")&lt;&gt;"",OR(LEFT(IFERROR(INDEX(Clay_Brands!$A$2:$FZ$601,369,Sync!$D$5)&amp;"",""),6)&lt;&gt;"SAMPLE",Config!$B$19="Y")),IFERROR(N(INDEX(Clay_Brands!$A$2:$FZ$601,369,Sync!$D$13)),0),"")</f>
        <v/>
      </c>
      <c r="C5020" s="23" t="str">
        <f aca="false">IF(B5020="","","brand")</f>
        <v/>
      </c>
      <c r="D5020" s="23" t="str">
        <f aca="false">IF(B5020="","",IFERROR(INDEX(Brand_Log!$DV$2:$DV$201,MATCH(IFERROR(INDEX(Clay_Brands!$A$2:$FZ$601,369,Sync!$D$5)&amp;"",""),Brand_Log!$A$2:$A$201,0))&amp;"",IFERROR(INDEX(Clay_Brands!$A$2:$FZ$601,369,Sync!$D$5)&amp;"","")&amp;""))</f>
        <v/>
      </c>
      <c r="E5020" s="23" t="str">
        <f aca="false">IF(B5020="","",IFERROR(INDEX(Clay_Brands!$A$2:$FZ$601,369,Sync!$D$6)&amp;"",""))</f>
        <v/>
      </c>
      <c r="F5020" s="23" t="str">
        <f aca="false">IF(B5020="","","outreach_sent")</f>
        <v/>
      </c>
      <c r="G5020" s="23" t="str">
        <f aca="false">IF(B5020="","","")</f>
        <v/>
      </c>
      <c r="H5020" s="23" t="str">
        <f aca="false">IF(B5020="","","")</f>
        <v/>
      </c>
      <c r="I5020" s="23" t="str">
        <f aca="false">IF(B5020="","","")</f>
        <v/>
      </c>
      <c r="J5020" s="23" t="str">
        <f aca="false">IF(B5020="","","touch_3; "&amp;IFERROR(INDEX(Clay_Brands!$A$2:$FZ$601,369,Sync!$D$10)&amp;"","")&amp;"; "&amp;IFERROR(INDEX(Clay_Brands!$A$2:$FZ$601,369,Sync!$D$9)&amp;"",""))</f>
        <v/>
      </c>
      <c r="K5020" s="32" t="s">
        <v>1368</v>
      </c>
    </row>
    <row r="5021" customFormat="false" ht="15" hidden="false" customHeight="false" outlineLevel="0" collapsed="false">
      <c r="A5021" s="23" t="str">
        <f aca="false">IF(B5021="","",B5021+(17*1000+370)/10000000)</f>
        <v/>
      </c>
      <c r="B5021" s="35" t="str">
        <f aca="false">IF(AND(IFERROR(N(INDEX(Clay_Brands!$A$2:$FZ$601,370,Sync!$D$13)),0)&gt;0,IFERROR(INDEX(Clay_Brands!$A$2:$FZ$601,370,Sync!$D$5)&amp;"","")&lt;&gt;"",OR(LEFT(IFERROR(INDEX(Clay_Brands!$A$2:$FZ$601,370,Sync!$D$5)&amp;"",""),6)&lt;&gt;"SAMPLE",Config!$B$19="Y")),IFERROR(N(INDEX(Clay_Brands!$A$2:$FZ$601,370,Sync!$D$13)),0),"")</f>
        <v/>
      </c>
      <c r="C5021" s="23" t="str">
        <f aca="false">IF(B5021="","","brand")</f>
        <v/>
      </c>
      <c r="D5021" s="23" t="str">
        <f aca="false">IF(B5021="","",IFERROR(INDEX(Brand_Log!$DV$2:$DV$201,MATCH(IFERROR(INDEX(Clay_Brands!$A$2:$FZ$601,370,Sync!$D$5)&amp;"",""),Brand_Log!$A$2:$A$201,0))&amp;"",IFERROR(INDEX(Clay_Brands!$A$2:$FZ$601,370,Sync!$D$5)&amp;"","")&amp;""))</f>
        <v/>
      </c>
      <c r="E5021" s="23" t="str">
        <f aca="false">IF(B5021="","",IFERROR(INDEX(Clay_Brands!$A$2:$FZ$601,370,Sync!$D$6)&amp;"",""))</f>
        <v/>
      </c>
      <c r="F5021" s="23" t="str">
        <f aca="false">IF(B5021="","","outreach_sent")</f>
        <v/>
      </c>
      <c r="G5021" s="23" t="str">
        <f aca="false">IF(B5021="","","")</f>
        <v/>
      </c>
      <c r="H5021" s="23" t="str">
        <f aca="false">IF(B5021="","","")</f>
        <v/>
      </c>
      <c r="I5021" s="23" t="str">
        <f aca="false">IF(B5021="","","")</f>
        <v/>
      </c>
      <c r="J5021" s="23" t="str">
        <f aca="false">IF(B5021="","","touch_3; "&amp;IFERROR(INDEX(Clay_Brands!$A$2:$FZ$601,370,Sync!$D$10)&amp;"","")&amp;"; "&amp;IFERROR(INDEX(Clay_Brands!$A$2:$FZ$601,370,Sync!$D$9)&amp;"",""))</f>
        <v/>
      </c>
      <c r="K5021" s="32" t="s">
        <v>1368</v>
      </c>
    </row>
    <row r="5022" customFormat="false" ht="15" hidden="false" customHeight="false" outlineLevel="0" collapsed="false">
      <c r="A5022" s="23" t="str">
        <f aca="false">IF(B5022="","",B5022+(17*1000+371)/10000000)</f>
        <v/>
      </c>
      <c r="B5022" s="35" t="str">
        <f aca="false">IF(AND(IFERROR(N(INDEX(Clay_Brands!$A$2:$FZ$601,371,Sync!$D$13)),0)&gt;0,IFERROR(INDEX(Clay_Brands!$A$2:$FZ$601,371,Sync!$D$5)&amp;"","")&lt;&gt;"",OR(LEFT(IFERROR(INDEX(Clay_Brands!$A$2:$FZ$601,371,Sync!$D$5)&amp;"",""),6)&lt;&gt;"SAMPLE",Config!$B$19="Y")),IFERROR(N(INDEX(Clay_Brands!$A$2:$FZ$601,371,Sync!$D$13)),0),"")</f>
        <v/>
      </c>
      <c r="C5022" s="23" t="str">
        <f aca="false">IF(B5022="","","brand")</f>
        <v/>
      </c>
      <c r="D5022" s="23" t="str">
        <f aca="false">IF(B5022="","",IFERROR(INDEX(Brand_Log!$DV$2:$DV$201,MATCH(IFERROR(INDEX(Clay_Brands!$A$2:$FZ$601,371,Sync!$D$5)&amp;"",""),Brand_Log!$A$2:$A$201,0))&amp;"",IFERROR(INDEX(Clay_Brands!$A$2:$FZ$601,371,Sync!$D$5)&amp;"","")&amp;""))</f>
        <v/>
      </c>
      <c r="E5022" s="23" t="str">
        <f aca="false">IF(B5022="","",IFERROR(INDEX(Clay_Brands!$A$2:$FZ$601,371,Sync!$D$6)&amp;"",""))</f>
        <v/>
      </c>
      <c r="F5022" s="23" t="str">
        <f aca="false">IF(B5022="","","outreach_sent")</f>
        <v/>
      </c>
      <c r="G5022" s="23" t="str">
        <f aca="false">IF(B5022="","","")</f>
        <v/>
      </c>
      <c r="H5022" s="23" t="str">
        <f aca="false">IF(B5022="","","")</f>
        <v/>
      </c>
      <c r="I5022" s="23" t="str">
        <f aca="false">IF(B5022="","","")</f>
        <v/>
      </c>
      <c r="J5022" s="23" t="str">
        <f aca="false">IF(B5022="","","touch_3; "&amp;IFERROR(INDEX(Clay_Brands!$A$2:$FZ$601,371,Sync!$D$10)&amp;"","")&amp;"; "&amp;IFERROR(INDEX(Clay_Brands!$A$2:$FZ$601,371,Sync!$D$9)&amp;"",""))</f>
        <v/>
      </c>
      <c r="K5022" s="32" t="s">
        <v>1368</v>
      </c>
    </row>
    <row r="5023" customFormat="false" ht="15" hidden="false" customHeight="false" outlineLevel="0" collapsed="false">
      <c r="A5023" s="23" t="str">
        <f aca="false">IF(B5023="","",B5023+(17*1000+372)/10000000)</f>
        <v/>
      </c>
      <c r="B5023" s="35" t="str">
        <f aca="false">IF(AND(IFERROR(N(INDEX(Clay_Brands!$A$2:$FZ$601,372,Sync!$D$13)),0)&gt;0,IFERROR(INDEX(Clay_Brands!$A$2:$FZ$601,372,Sync!$D$5)&amp;"","")&lt;&gt;"",OR(LEFT(IFERROR(INDEX(Clay_Brands!$A$2:$FZ$601,372,Sync!$D$5)&amp;"",""),6)&lt;&gt;"SAMPLE",Config!$B$19="Y")),IFERROR(N(INDEX(Clay_Brands!$A$2:$FZ$601,372,Sync!$D$13)),0),"")</f>
        <v/>
      </c>
      <c r="C5023" s="23" t="str">
        <f aca="false">IF(B5023="","","brand")</f>
        <v/>
      </c>
      <c r="D5023" s="23" t="str">
        <f aca="false">IF(B5023="","",IFERROR(INDEX(Brand_Log!$DV$2:$DV$201,MATCH(IFERROR(INDEX(Clay_Brands!$A$2:$FZ$601,372,Sync!$D$5)&amp;"",""),Brand_Log!$A$2:$A$201,0))&amp;"",IFERROR(INDEX(Clay_Brands!$A$2:$FZ$601,372,Sync!$D$5)&amp;"","")&amp;""))</f>
        <v/>
      </c>
      <c r="E5023" s="23" t="str">
        <f aca="false">IF(B5023="","",IFERROR(INDEX(Clay_Brands!$A$2:$FZ$601,372,Sync!$D$6)&amp;"",""))</f>
        <v/>
      </c>
      <c r="F5023" s="23" t="str">
        <f aca="false">IF(B5023="","","outreach_sent")</f>
        <v/>
      </c>
      <c r="G5023" s="23" t="str">
        <f aca="false">IF(B5023="","","")</f>
        <v/>
      </c>
      <c r="H5023" s="23" t="str">
        <f aca="false">IF(B5023="","","")</f>
        <v/>
      </c>
      <c r="I5023" s="23" t="str">
        <f aca="false">IF(B5023="","","")</f>
        <v/>
      </c>
      <c r="J5023" s="23" t="str">
        <f aca="false">IF(B5023="","","touch_3; "&amp;IFERROR(INDEX(Clay_Brands!$A$2:$FZ$601,372,Sync!$D$10)&amp;"","")&amp;"; "&amp;IFERROR(INDEX(Clay_Brands!$A$2:$FZ$601,372,Sync!$D$9)&amp;"",""))</f>
        <v/>
      </c>
      <c r="K5023" s="32" t="s">
        <v>1368</v>
      </c>
    </row>
    <row r="5024" customFormat="false" ht="15" hidden="false" customHeight="false" outlineLevel="0" collapsed="false">
      <c r="A5024" s="23" t="str">
        <f aca="false">IF(B5024="","",B5024+(17*1000+373)/10000000)</f>
        <v/>
      </c>
      <c r="B5024" s="35" t="str">
        <f aca="false">IF(AND(IFERROR(N(INDEX(Clay_Brands!$A$2:$FZ$601,373,Sync!$D$13)),0)&gt;0,IFERROR(INDEX(Clay_Brands!$A$2:$FZ$601,373,Sync!$D$5)&amp;"","")&lt;&gt;"",OR(LEFT(IFERROR(INDEX(Clay_Brands!$A$2:$FZ$601,373,Sync!$D$5)&amp;"",""),6)&lt;&gt;"SAMPLE",Config!$B$19="Y")),IFERROR(N(INDEX(Clay_Brands!$A$2:$FZ$601,373,Sync!$D$13)),0),"")</f>
        <v/>
      </c>
      <c r="C5024" s="23" t="str">
        <f aca="false">IF(B5024="","","brand")</f>
        <v/>
      </c>
      <c r="D5024" s="23" t="str">
        <f aca="false">IF(B5024="","",IFERROR(INDEX(Brand_Log!$DV$2:$DV$201,MATCH(IFERROR(INDEX(Clay_Brands!$A$2:$FZ$601,373,Sync!$D$5)&amp;"",""),Brand_Log!$A$2:$A$201,0))&amp;"",IFERROR(INDEX(Clay_Brands!$A$2:$FZ$601,373,Sync!$D$5)&amp;"","")&amp;""))</f>
        <v/>
      </c>
      <c r="E5024" s="23" t="str">
        <f aca="false">IF(B5024="","",IFERROR(INDEX(Clay_Brands!$A$2:$FZ$601,373,Sync!$D$6)&amp;"",""))</f>
        <v/>
      </c>
      <c r="F5024" s="23" t="str">
        <f aca="false">IF(B5024="","","outreach_sent")</f>
        <v/>
      </c>
      <c r="G5024" s="23" t="str">
        <f aca="false">IF(B5024="","","")</f>
        <v/>
      </c>
      <c r="H5024" s="23" t="str">
        <f aca="false">IF(B5024="","","")</f>
        <v/>
      </c>
      <c r="I5024" s="23" t="str">
        <f aca="false">IF(B5024="","","")</f>
        <v/>
      </c>
      <c r="J5024" s="23" t="str">
        <f aca="false">IF(B5024="","","touch_3; "&amp;IFERROR(INDEX(Clay_Brands!$A$2:$FZ$601,373,Sync!$D$10)&amp;"","")&amp;"; "&amp;IFERROR(INDEX(Clay_Brands!$A$2:$FZ$601,373,Sync!$D$9)&amp;"",""))</f>
        <v/>
      </c>
      <c r="K5024" s="32" t="s">
        <v>1368</v>
      </c>
    </row>
    <row r="5025" customFormat="false" ht="15" hidden="false" customHeight="false" outlineLevel="0" collapsed="false">
      <c r="A5025" s="23" t="str">
        <f aca="false">IF(B5025="","",B5025+(17*1000+374)/10000000)</f>
        <v/>
      </c>
      <c r="B5025" s="35" t="str">
        <f aca="false">IF(AND(IFERROR(N(INDEX(Clay_Brands!$A$2:$FZ$601,374,Sync!$D$13)),0)&gt;0,IFERROR(INDEX(Clay_Brands!$A$2:$FZ$601,374,Sync!$D$5)&amp;"","")&lt;&gt;"",OR(LEFT(IFERROR(INDEX(Clay_Brands!$A$2:$FZ$601,374,Sync!$D$5)&amp;"",""),6)&lt;&gt;"SAMPLE",Config!$B$19="Y")),IFERROR(N(INDEX(Clay_Brands!$A$2:$FZ$601,374,Sync!$D$13)),0),"")</f>
        <v/>
      </c>
      <c r="C5025" s="23" t="str">
        <f aca="false">IF(B5025="","","brand")</f>
        <v/>
      </c>
      <c r="D5025" s="23" t="str">
        <f aca="false">IF(B5025="","",IFERROR(INDEX(Brand_Log!$DV$2:$DV$201,MATCH(IFERROR(INDEX(Clay_Brands!$A$2:$FZ$601,374,Sync!$D$5)&amp;"",""),Brand_Log!$A$2:$A$201,0))&amp;"",IFERROR(INDEX(Clay_Brands!$A$2:$FZ$601,374,Sync!$D$5)&amp;"","")&amp;""))</f>
        <v/>
      </c>
      <c r="E5025" s="23" t="str">
        <f aca="false">IF(B5025="","",IFERROR(INDEX(Clay_Brands!$A$2:$FZ$601,374,Sync!$D$6)&amp;"",""))</f>
        <v/>
      </c>
      <c r="F5025" s="23" t="str">
        <f aca="false">IF(B5025="","","outreach_sent")</f>
        <v/>
      </c>
      <c r="G5025" s="23" t="str">
        <f aca="false">IF(B5025="","","")</f>
        <v/>
      </c>
      <c r="H5025" s="23" t="str">
        <f aca="false">IF(B5025="","","")</f>
        <v/>
      </c>
      <c r="I5025" s="23" t="str">
        <f aca="false">IF(B5025="","","")</f>
        <v/>
      </c>
      <c r="J5025" s="23" t="str">
        <f aca="false">IF(B5025="","","touch_3; "&amp;IFERROR(INDEX(Clay_Brands!$A$2:$FZ$601,374,Sync!$D$10)&amp;"","")&amp;"; "&amp;IFERROR(INDEX(Clay_Brands!$A$2:$FZ$601,374,Sync!$D$9)&amp;"",""))</f>
        <v/>
      </c>
      <c r="K5025" s="32" t="s">
        <v>1368</v>
      </c>
    </row>
    <row r="5026" customFormat="false" ht="15" hidden="false" customHeight="false" outlineLevel="0" collapsed="false">
      <c r="A5026" s="23" t="str">
        <f aca="false">IF(B5026="","",B5026+(17*1000+375)/10000000)</f>
        <v/>
      </c>
      <c r="B5026" s="35" t="str">
        <f aca="false">IF(AND(IFERROR(N(INDEX(Clay_Brands!$A$2:$FZ$601,375,Sync!$D$13)),0)&gt;0,IFERROR(INDEX(Clay_Brands!$A$2:$FZ$601,375,Sync!$D$5)&amp;"","")&lt;&gt;"",OR(LEFT(IFERROR(INDEX(Clay_Brands!$A$2:$FZ$601,375,Sync!$D$5)&amp;"",""),6)&lt;&gt;"SAMPLE",Config!$B$19="Y")),IFERROR(N(INDEX(Clay_Brands!$A$2:$FZ$601,375,Sync!$D$13)),0),"")</f>
        <v/>
      </c>
      <c r="C5026" s="23" t="str">
        <f aca="false">IF(B5026="","","brand")</f>
        <v/>
      </c>
      <c r="D5026" s="23" t="str">
        <f aca="false">IF(B5026="","",IFERROR(INDEX(Brand_Log!$DV$2:$DV$201,MATCH(IFERROR(INDEX(Clay_Brands!$A$2:$FZ$601,375,Sync!$D$5)&amp;"",""),Brand_Log!$A$2:$A$201,0))&amp;"",IFERROR(INDEX(Clay_Brands!$A$2:$FZ$601,375,Sync!$D$5)&amp;"","")&amp;""))</f>
        <v/>
      </c>
      <c r="E5026" s="23" t="str">
        <f aca="false">IF(B5026="","",IFERROR(INDEX(Clay_Brands!$A$2:$FZ$601,375,Sync!$D$6)&amp;"",""))</f>
        <v/>
      </c>
      <c r="F5026" s="23" t="str">
        <f aca="false">IF(B5026="","","outreach_sent")</f>
        <v/>
      </c>
      <c r="G5026" s="23" t="str">
        <f aca="false">IF(B5026="","","")</f>
        <v/>
      </c>
      <c r="H5026" s="23" t="str">
        <f aca="false">IF(B5026="","","")</f>
        <v/>
      </c>
      <c r="I5026" s="23" t="str">
        <f aca="false">IF(B5026="","","")</f>
        <v/>
      </c>
      <c r="J5026" s="23" t="str">
        <f aca="false">IF(B5026="","","touch_3; "&amp;IFERROR(INDEX(Clay_Brands!$A$2:$FZ$601,375,Sync!$D$10)&amp;"","")&amp;"; "&amp;IFERROR(INDEX(Clay_Brands!$A$2:$FZ$601,375,Sync!$D$9)&amp;"",""))</f>
        <v/>
      </c>
      <c r="K5026" s="32" t="s">
        <v>1368</v>
      </c>
    </row>
    <row r="5027" customFormat="false" ht="15" hidden="false" customHeight="false" outlineLevel="0" collapsed="false">
      <c r="A5027" s="23" t="str">
        <f aca="false">IF(B5027="","",B5027+(17*1000+376)/10000000)</f>
        <v/>
      </c>
      <c r="B5027" s="35" t="str">
        <f aca="false">IF(AND(IFERROR(N(INDEX(Clay_Brands!$A$2:$FZ$601,376,Sync!$D$13)),0)&gt;0,IFERROR(INDEX(Clay_Brands!$A$2:$FZ$601,376,Sync!$D$5)&amp;"","")&lt;&gt;"",OR(LEFT(IFERROR(INDEX(Clay_Brands!$A$2:$FZ$601,376,Sync!$D$5)&amp;"",""),6)&lt;&gt;"SAMPLE",Config!$B$19="Y")),IFERROR(N(INDEX(Clay_Brands!$A$2:$FZ$601,376,Sync!$D$13)),0),"")</f>
        <v/>
      </c>
      <c r="C5027" s="23" t="str">
        <f aca="false">IF(B5027="","","brand")</f>
        <v/>
      </c>
      <c r="D5027" s="23" t="str">
        <f aca="false">IF(B5027="","",IFERROR(INDEX(Brand_Log!$DV$2:$DV$201,MATCH(IFERROR(INDEX(Clay_Brands!$A$2:$FZ$601,376,Sync!$D$5)&amp;"",""),Brand_Log!$A$2:$A$201,0))&amp;"",IFERROR(INDEX(Clay_Brands!$A$2:$FZ$601,376,Sync!$D$5)&amp;"","")&amp;""))</f>
        <v/>
      </c>
      <c r="E5027" s="23" t="str">
        <f aca="false">IF(B5027="","",IFERROR(INDEX(Clay_Brands!$A$2:$FZ$601,376,Sync!$D$6)&amp;"",""))</f>
        <v/>
      </c>
      <c r="F5027" s="23" t="str">
        <f aca="false">IF(B5027="","","outreach_sent")</f>
        <v/>
      </c>
      <c r="G5027" s="23" t="str">
        <f aca="false">IF(B5027="","","")</f>
        <v/>
      </c>
      <c r="H5027" s="23" t="str">
        <f aca="false">IF(B5027="","","")</f>
        <v/>
      </c>
      <c r="I5027" s="23" t="str">
        <f aca="false">IF(B5027="","","")</f>
        <v/>
      </c>
      <c r="J5027" s="23" t="str">
        <f aca="false">IF(B5027="","","touch_3; "&amp;IFERROR(INDEX(Clay_Brands!$A$2:$FZ$601,376,Sync!$D$10)&amp;"","")&amp;"; "&amp;IFERROR(INDEX(Clay_Brands!$A$2:$FZ$601,376,Sync!$D$9)&amp;"",""))</f>
        <v/>
      </c>
      <c r="K5027" s="32" t="s">
        <v>1368</v>
      </c>
    </row>
    <row r="5028" customFormat="false" ht="15" hidden="false" customHeight="false" outlineLevel="0" collapsed="false">
      <c r="A5028" s="23" t="str">
        <f aca="false">IF(B5028="","",B5028+(17*1000+377)/10000000)</f>
        <v/>
      </c>
      <c r="B5028" s="35" t="str">
        <f aca="false">IF(AND(IFERROR(N(INDEX(Clay_Brands!$A$2:$FZ$601,377,Sync!$D$13)),0)&gt;0,IFERROR(INDEX(Clay_Brands!$A$2:$FZ$601,377,Sync!$D$5)&amp;"","")&lt;&gt;"",OR(LEFT(IFERROR(INDEX(Clay_Brands!$A$2:$FZ$601,377,Sync!$D$5)&amp;"",""),6)&lt;&gt;"SAMPLE",Config!$B$19="Y")),IFERROR(N(INDEX(Clay_Brands!$A$2:$FZ$601,377,Sync!$D$13)),0),"")</f>
        <v/>
      </c>
      <c r="C5028" s="23" t="str">
        <f aca="false">IF(B5028="","","brand")</f>
        <v/>
      </c>
      <c r="D5028" s="23" t="str">
        <f aca="false">IF(B5028="","",IFERROR(INDEX(Brand_Log!$DV$2:$DV$201,MATCH(IFERROR(INDEX(Clay_Brands!$A$2:$FZ$601,377,Sync!$D$5)&amp;"",""),Brand_Log!$A$2:$A$201,0))&amp;"",IFERROR(INDEX(Clay_Brands!$A$2:$FZ$601,377,Sync!$D$5)&amp;"","")&amp;""))</f>
        <v/>
      </c>
      <c r="E5028" s="23" t="str">
        <f aca="false">IF(B5028="","",IFERROR(INDEX(Clay_Brands!$A$2:$FZ$601,377,Sync!$D$6)&amp;"",""))</f>
        <v/>
      </c>
      <c r="F5028" s="23" t="str">
        <f aca="false">IF(B5028="","","outreach_sent")</f>
        <v/>
      </c>
      <c r="G5028" s="23" t="str">
        <f aca="false">IF(B5028="","","")</f>
        <v/>
      </c>
      <c r="H5028" s="23" t="str">
        <f aca="false">IF(B5028="","","")</f>
        <v/>
      </c>
      <c r="I5028" s="23" t="str">
        <f aca="false">IF(B5028="","","")</f>
        <v/>
      </c>
      <c r="J5028" s="23" t="str">
        <f aca="false">IF(B5028="","","touch_3; "&amp;IFERROR(INDEX(Clay_Brands!$A$2:$FZ$601,377,Sync!$D$10)&amp;"","")&amp;"; "&amp;IFERROR(INDEX(Clay_Brands!$A$2:$FZ$601,377,Sync!$D$9)&amp;"",""))</f>
        <v/>
      </c>
      <c r="K5028" s="32" t="s">
        <v>1368</v>
      </c>
    </row>
    <row r="5029" customFormat="false" ht="15" hidden="false" customHeight="false" outlineLevel="0" collapsed="false">
      <c r="A5029" s="23" t="str">
        <f aca="false">IF(B5029="","",B5029+(17*1000+378)/10000000)</f>
        <v/>
      </c>
      <c r="B5029" s="35" t="str">
        <f aca="false">IF(AND(IFERROR(N(INDEX(Clay_Brands!$A$2:$FZ$601,378,Sync!$D$13)),0)&gt;0,IFERROR(INDEX(Clay_Brands!$A$2:$FZ$601,378,Sync!$D$5)&amp;"","")&lt;&gt;"",OR(LEFT(IFERROR(INDEX(Clay_Brands!$A$2:$FZ$601,378,Sync!$D$5)&amp;"",""),6)&lt;&gt;"SAMPLE",Config!$B$19="Y")),IFERROR(N(INDEX(Clay_Brands!$A$2:$FZ$601,378,Sync!$D$13)),0),"")</f>
        <v/>
      </c>
      <c r="C5029" s="23" t="str">
        <f aca="false">IF(B5029="","","brand")</f>
        <v/>
      </c>
      <c r="D5029" s="23" t="str">
        <f aca="false">IF(B5029="","",IFERROR(INDEX(Brand_Log!$DV$2:$DV$201,MATCH(IFERROR(INDEX(Clay_Brands!$A$2:$FZ$601,378,Sync!$D$5)&amp;"",""),Brand_Log!$A$2:$A$201,0))&amp;"",IFERROR(INDEX(Clay_Brands!$A$2:$FZ$601,378,Sync!$D$5)&amp;"","")&amp;""))</f>
        <v/>
      </c>
      <c r="E5029" s="23" t="str">
        <f aca="false">IF(B5029="","",IFERROR(INDEX(Clay_Brands!$A$2:$FZ$601,378,Sync!$D$6)&amp;"",""))</f>
        <v/>
      </c>
      <c r="F5029" s="23" t="str">
        <f aca="false">IF(B5029="","","outreach_sent")</f>
        <v/>
      </c>
      <c r="G5029" s="23" t="str">
        <f aca="false">IF(B5029="","","")</f>
        <v/>
      </c>
      <c r="H5029" s="23" t="str">
        <f aca="false">IF(B5029="","","")</f>
        <v/>
      </c>
      <c r="I5029" s="23" t="str">
        <f aca="false">IF(B5029="","","")</f>
        <v/>
      </c>
      <c r="J5029" s="23" t="str">
        <f aca="false">IF(B5029="","","touch_3; "&amp;IFERROR(INDEX(Clay_Brands!$A$2:$FZ$601,378,Sync!$D$10)&amp;"","")&amp;"; "&amp;IFERROR(INDEX(Clay_Brands!$A$2:$FZ$601,378,Sync!$D$9)&amp;"",""))</f>
        <v/>
      </c>
      <c r="K5029" s="32" t="s">
        <v>1368</v>
      </c>
    </row>
    <row r="5030" customFormat="false" ht="15" hidden="false" customHeight="false" outlineLevel="0" collapsed="false">
      <c r="A5030" s="23" t="str">
        <f aca="false">IF(B5030="","",B5030+(17*1000+379)/10000000)</f>
        <v/>
      </c>
      <c r="B5030" s="35" t="str">
        <f aca="false">IF(AND(IFERROR(N(INDEX(Clay_Brands!$A$2:$FZ$601,379,Sync!$D$13)),0)&gt;0,IFERROR(INDEX(Clay_Brands!$A$2:$FZ$601,379,Sync!$D$5)&amp;"","")&lt;&gt;"",OR(LEFT(IFERROR(INDEX(Clay_Brands!$A$2:$FZ$601,379,Sync!$D$5)&amp;"",""),6)&lt;&gt;"SAMPLE",Config!$B$19="Y")),IFERROR(N(INDEX(Clay_Brands!$A$2:$FZ$601,379,Sync!$D$13)),0),"")</f>
        <v/>
      </c>
      <c r="C5030" s="23" t="str">
        <f aca="false">IF(B5030="","","brand")</f>
        <v/>
      </c>
      <c r="D5030" s="23" t="str">
        <f aca="false">IF(B5030="","",IFERROR(INDEX(Brand_Log!$DV$2:$DV$201,MATCH(IFERROR(INDEX(Clay_Brands!$A$2:$FZ$601,379,Sync!$D$5)&amp;"",""),Brand_Log!$A$2:$A$201,0))&amp;"",IFERROR(INDEX(Clay_Brands!$A$2:$FZ$601,379,Sync!$D$5)&amp;"","")&amp;""))</f>
        <v/>
      </c>
      <c r="E5030" s="23" t="str">
        <f aca="false">IF(B5030="","",IFERROR(INDEX(Clay_Brands!$A$2:$FZ$601,379,Sync!$D$6)&amp;"",""))</f>
        <v/>
      </c>
      <c r="F5030" s="23" t="str">
        <f aca="false">IF(B5030="","","outreach_sent")</f>
        <v/>
      </c>
      <c r="G5030" s="23" t="str">
        <f aca="false">IF(B5030="","","")</f>
        <v/>
      </c>
      <c r="H5030" s="23" t="str">
        <f aca="false">IF(B5030="","","")</f>
        <v/>
      </c>
      <c r="I5030" s="23" t="str">
        <f aca="false">IF(B5030="","","")</f>
        <v/>
      </c>
      <c r="J5030" s="23" t="str">
        <f aca="false">IF(B5030="","","touch_3; "&amp;IFERROR(INDEX(Clay_Brands!$A$2:$FZ$601,379,Sync!$D$10)&amp;"","")&amp;"; "&amp;IFERROR(INDEX(Clay_Brands!$A$2:$FZ$601,379,Sync!$D$9)&amp;"",""))</f>
        <v/>
      </c>
      <c r="K5030" s="32" t="s">
        <v>1368</v>
      </c>
    </row>
    <row r="5031" customFormat="false" ht="15" hidden="false" customHeight="false" outlineLevel="0" collapsed="false">
      <c r="A5031" s="23" t="str">
        <f aca="false">IF(B5031="","",B5031+(17*1000+380)/10000000)</f>
        <v/>
      </c>
      <c r="B5031" s="35" t="str">
        <f aca="false">IF(AND(IFERROR(N(INDEX(Clay_Brands!$A$2:$FZ$601,380,Sync!$D$13)),0)&gt;0,IFERROR(INDEX(Clay_Brands!$A$2:$FZ$601,380,Sync!$D$5)&amp;"","")&lt;&gt;"",OR(LEFT(IFERROR(INDEX(Clay_Brands!$A$2:$FZ$601,380,Sync!$D$5)&amp;"",""),6)&lt;&gt;"SAMPLE",Config!$B$19="Y")),IFERROR(N(INDEX(Clay_Brands!$A$2:$FZ$601,380,Sync!$D$13)),0),"")</f>
        <v/>
      </c>
      <c r="C5031" s="23" t="str">
        <f aca="false">IF(B5031="","","brand")</f>
        <v/>
      </c>
      <c r="D5031" s="23" t="str">
        <f aca="false">IF(B5031="","",IFERROR(INDEX(Brand_Log!$DV$2:$DV$201,MATCH(IFERROR(INDEX(Clay_Brands!$A$2:$FZ$601,380,Sync!$D$5)&amp;"",""),Brand_Log!$A$2:$A$201,0))&amp;"",IFERROR(INDEX(Clay_Brands!$A$2:$FZ$601,380,Sync!$D$5)&amp;"","")&amp;""))</f>
        <v/>
      </c>
      <c r="E5031" s="23" t="str">
        <f aca="false">IF(B5031="","",IFERROR(INDEX(Clay_Brands!$A$2:$FZ$601,380,Sync!$D$6)&amp;"",""))</f>
        <v/>
      </c>
      <c r="F5031" s="23" t="str">
        <f aca="false">IF(B5031="","","outreach_sent")</f>
        <v/>
      </c>
      <c r="G5031" s="23" t="str">
        <f aca="false">IF(B5031="","","")</f>
        <v/>
      </c>
      <c r="H5031" s="23" t="str">
        <f aca="false">IF(B5031="","","")</f>
        <v/>
      </c>
      <c r="I5031" s="23" t="str">
        <f aca="false">IF(B5031="","","")</f>
        <v/>
      </c>
      <c r="J5031" s="23" t="str">
        <f aca="false">IF(B5031="","","touch_3; "&amp;IFERROR(INDEX(Clay_Brands!$A$2:$FZ$601,380,Sync!$D$10)&amp;"","")&amp;"; "&amp;IFERROR(INDEX(Clay_Brands!$A$2:$FZ$601,380,Sync!$D$9)&amp;"",""))</f>
        <v/>
      </c>
      <c r="K5031" s="32" t="s">
        <v>1368</v>
      </c>
    </row>
    <row r="5032" customFormat="false" ht="15" hidden="false" customHeight="false" outlineLevel="0" collapsed="false">
      <c r="A5032" s="23" t="str">
        <f aca="false">IF(B5032="","",B5032+(17*1000+381)/10000000)</f>
        <v/>
      </c>
      <c r="B5032" s="35" t="str">
        <f aca="false">IF(AND(IFERROR(N(INDEX(Clay_Brands!$A$2:$FZ$601,381,Sync!$D$13)),0)&gt;0,IFERROR(INDEX(Clay_Brands!$A$2:$FZ$601,381,Sync!$D$5)&amp;"","")&lt;&gt;"",OR(LEFT(IFERROR(INDEX(Clay_Brands!$A$2:$FZ$601,381,Sync!$D$5)&amp;"",""),6)&lt;&gt;"SAMPLE",Config!$B$19="Y")),IFERROR(N(INDEX(Clay_Brands!$A$2:$FZ$601,381,Sync!$D$13)),0),"")</f>
        <v/>
      </c>
      <c r="C5032" s="23" t="str">
        <f aca="false">IF(B5032="","","brand")</f>
        <v/>
      </c>
      <c r="D5032" s="23" t="str">
        <f aca="false">IF(B5032="","",IFERROR(INDEX(Brand_Log!$DV$2:$DV$201,MATCH(IFERROR(INDEX(Clay_Brands!$A$2:$FZ$601,381,Sync!$D$5)&amp;"",""),Brand_Log!$A$2:$A$201,0))&amp;"",IFERROR(INDEX(Clay_Brands!$A$2:$FZ$601,381,Sync!$D$5)&amp;"","")&amp;""))</f>
        <v/>
      </c>
      <c r="E5032" s="23" t="str">
        <f aca="false">IF(B5032="","",IFERROR(INDEX(Clay_Brands!$A$2:$FZ$601,381,Sync!$D$6)&amp;"",""))</f>
        <v/>
      </c>
      <c r="F5032" s="23" t="str">
        <f aca="false">IF(B5032="","","outreach_sent")</f>
        <v/>
      </c>
      <c r="G5032" s="23" t="str">
        <f aca="false">IF(B5032="","","")</f>
        <v/>
      </c>
      <c r="H5032" s="23" t="str">
        <f aca="false">IF(B5032="","","")</f>
        <v/>
      </c>
      <c r="I5032" s="23" t="str">
        <f aca="false">IF(B5032="","","")</f>
        <v/>
      </c>
      <c r="J5032" s="23" t="str">
        <f aca="false">IF(B5032="","","touch_3; "&amp;IFERROR(INDEX(Clay_Brands!$A$2:$FZ$601,381,Sync!$D$10)&amp;"","")&amp;"; "&amp;IFERROR(INDEX(Clay_Brands!$A$2:$FZ$601,381,Sync!$D$9)&amp;"",""))</f>
        <v/>
      </c>
      <c r="K5032" s="32" t="s">
        <v>1368</v>
      </c>
    </row>
    <row r="5033" customFormat="false" ht="15" hidden="false" customHeight="false" outlineLevel="0" collapsed="false">
      <c r="A5033" s="23" t="str">
        <f aca="false">IF(B5033="","",B5033+(17*1000+382)/10000000)</f>
        <v/>
      </c>
      <c r="B5033" s="35" t="str">
        <f aca="false">IF(AND(IFERROR(N(INDEX(Clay_Brands!$A$2:$FZ$601,382,Sync!$D$13)),0)&gt;0,IFERROR(INDEX(Clay_Brands!$A$2:$FZ$601,382,Sync!$D$5)&amp;"","")&lt;&gt;"",OR(LEFT(IFERROR(INDEX(Clay_Brands!$A$2:$FZ$601,382,Sync!$D$5)&amp;"",""),6)&lt;&gt;"SAMPLE",Config!$B$19="Y")),IFERROR(N(INDEX(Clay_Brands!$A$2:$FZ$601,382,Sync!$D$13)),0),"")</f>
        <v/>
      </c>
      <c r="C5033" s="23" t="str">
        <f aca="false">IF(B5033="","","brand")</f>
        <v/>
      </c>
      <c r="D5033" s="23" t="str">
        <f aca="false">IF(B5033="","",IFERROR(INDEX(Brand_Log!$DV$2:$DV$201,MATCH(IFERROR(INDEX(Clay_Brands!$A$2:$FZ$601,382,Sync!$D$5)&amp;"",""),Brand_Log!$A$2:$A$201,0))&amp;"",IFERROR(INDEX(Clay_Brands!$A$2:$FZ$601,382,Sync!$D$5)&amp;"","")&amp;""))</f>
        <v/>
      </c>
      <c r="E5033" s="23" t="str">
        <f aca="false">IF(B5033="","",IFERROR(INDEX(Clay_Brands!$A$2:$FZ$601,382,Sync!$D$6)&amp;"",""))</f>
        <v/>
      </c>
      <c r="F5033" s="23" t="str">
        <f aca="false">IF(B5033="","","outreach_sent")</f>
        <v/>
      </c>
      <c r="G5033" s="23" t="str">
        <f aca="false">IF(B5033="","","")</f>
        <v/>
      </c>
      <c r="H5033" s="23" t="str">
        <f aca="false">IF(B5033="","","")</f>
        <v/>
      </c>
      <c r="I5033" s="23" t="str">
        <f aca="false">IF(B5033="","","")</f>
        <v/>
      </c>
      <c r="J5033" s="23" t="str">
        <f aca="false">IF(B5033="","","touch_3; "&amp;IFERROR(INDEX(Clay_Brands!$A$2:$FZ$601,382,Sync!$D$10)&amp;"","")&amp;"; "&amp;IFERROR(INDEX(Clay_Brands!$A$2:$FZ$601,382,Sync!$D$9)&amp;"",""))</f>
        <v/>
      </c>
      <c r="K5033" s="32" t="s">
        <v>1368</v>
      </c>
    </row>
    <row r="5034" customFormat="false" ht="15" hidden="false" customHeight="false" outlineLevel="0" collapsed="false">
      <c r="A5034" s="23" t="str">
        <f aca="false">IF(B5034="","",B5034+(17*1000+383)/10000000)</f>
        <v/>
      </c>
      <c r="B5034" s="35" t="str">
        <f aca="false">IF(AND(IFERROR(N(INDEX(Clay_Brands!$A$2:$FZ$601,383,Sync!$D$13)),0)&gt;0,IFERROR(INDEX(Clay_Brands!$A$2:$FZ$601,383,Sync!$D$5)&amp;"","")&lt;&gt;"",OR(LEFT(IFERROR(INDEX(Clay_Brands!$A$2:$FZ$601,383,Sync!$D$5)&amp;"",""),6)&lt;&gt;"SAMPLE",Config!$B$19="Y")),IFERROR(N(INDEX(Clay_Brands!$A$2:$FZ$601,383,Sync!$D$13)),0),"")</f>
        <v/>
      </c>
      <c r="C5034" s="23" t="str">
        <f aca="false">IF(B5034="","","brand")</f>
        <v/>
      </c>
      <c r="D5034" s="23" t="str">
        <f aca="false">IF(B5034="","",IFERROR(INDEX(Brand_Log!$DV$2:$DV$201,MATCH(IFERROR(INDEX(Clay_Brands!$A$2:$FZ$601,383,Sync!$D$5)&amp;"",""),Brand_Log!$A$2:$A$201,0))&amp;"",IFERROR(INDEX(Clay_Brands!$A$2:$FZ$601,383,Sync!$D$5)&amp;"","")&amp;""))</f>
        <v/>
      </c>
      <c r="E5034" s="23" t="str">
        <f aca="false">IF(B5034="","",IFERROR(INDEX(Clay_Brands!$A$2:$FZ$601,383,Sync!$D$6)&amp;"",""))</f>
        <v/>
      </c>
      <c r="F5034" s="23" t="str">
        <f aca="false">IF(B5034="","","outreach_sent")</f>
        <v/>
      </c>
      <c r="G5034" s="23" t="str">
        <f aca="false">IF(B5034="","","")</f>
        <v/>
      </c>
      <c r="H5034" s="23" t="str">
        <f aca="false">IF(B5034="","","")</f>
        <v/>
      </c>
      <c r="I5034" s="23" t="str">
        <f aca="false">IF(B5034="","","")</f>
        <v/>
      </c>
      <c r="J5034" s="23" t="str">
        <f aca="false">IF(B5034="","","touch_3; "&amp;IFERROR(INDEX(Clay_Brands!$A$2:$FZ$601,383,Sync!$D$10)&amp;"","")&amp;"; "&amp;IFERROR(INDEX(Clay_Brands!$A$2:$FZ$601,383,Sync!$D$9)&amp;"",""))</f>
        <v/>
      </c>
      <c r="K5034" s="32" t="s">
        <v>1368</v>
      </c>
    </row>
    <row r="5035" customFormat="false" ht="15" hidden="false" customHeight="false" outlineLevel="0" collapsed="false">
      <c r="A5035" s="23" t="str">
        <f aca="false">IF(B5035="","",B5035+(17*1000+384)/10000000)</f>
        <v/>
      </c>
      <c r="B5035" s="35" t="str">
        <f aca="false">IF(AND(IFERROR(N(INDEX(Clay_Brands!$A$2:$FZ$601,384,Sync!$D$13)),0)&gt;0,IFERROR(INDEX(Clay_Brands!$A$2:$FZ$601,384,Sync!$D$5)&amp;"","")&lt;&gt;"",OR(LEFT(IFERROR(INDEX(Clay_Brands!$A$2:$FZ$601,384,Sync!$D$5)&amp;"",""),6)&lt;&gt;"SAMPLE",Config!$B$19="Y")),IFERROR(N(INDEX(Clay_Brands!$A$2:$FZ$601,384,Sync!$D$13)),0),"")</f>
        <v/>
      </c>
      <c r="C5035" s="23" t="str">
        <f aca="false">IF(B5035="","","brand")</f>
        <v/>
      </c>
      <c r="D5035" s="23" t="str">
        <f aca="false">IF(B5035="","",IFERROR(INDEX(Brand_Log!$DV$2:$DV$201,MATCH(IFERROR(INDEX(Clay_Brands!$A$2:$FZ$601,384,Sync!$D$5)&amp;"",""),Brand_Log!$A$2:$A$201,0))&amp;"",IFERROR(INDEX(Clay_Brands!$A$2:$FZ$601,384,Sync!$D$5)&amp;"","")&amp;""))</f>
        <v/>
      </c>
      <c r="E5035" s="23" t="str">
        <f aca="false">IF(B5035="","",IFERROR(INDEX(Clay_Brands!$A$2:$FZ$601,384,Sync!$D$6)&amp;"",""))</f>
        <v/>
      </c>
      <c r="F5035" s="23" t="str">
        <f aca="false">IF(B5035="","","outreach_sent")</f>
        <v/>
      </c>
      <c r="G5035" s="23" t="str">
        <f aca="false">IF(B5035="","","")</f>
        <v/>
      </c>
      <c r="H5035" s="23" t="str">
        <f aca="false">IF(B5035="","","")</f>
        <v/>
      </c>
      <c r="I5035" s="23" t="str">
        <f aca="false">IF(B5035="","","")</f>
        <v/>
      </c>
      <c r="J5035" s="23" t="str">
        <f aca="false">IF(B5035="","","touch_3; "&amp;IFERROR(INDEX(Clay_Brands!$A$2:$FZ$601,384,Sync!$D$10)&amp;"","")&amp;"; "&amp;IFERROR(INDEX(Clay_Brands!$A$2:$FZ$601,384,Sync!$D$9)&amp;"",""))</f>
        <v/>
      </c>
      <c r="K5035" s="32" t="s">
        <v>1368</v>
      </c>
    </row>
    <row r="5036" customFormat="false" ht="15" hidden="false" customHeight="false" outlineLevel="0" collapsed="false">
      <c r="A5036" s="23" t="str">
        <f aca="false">IF(B5036="","",B5036+(17*1000+385)/10000000)</f>
        <v/>
      </c>
      <c r="B5036" s="35" t="str">
        <f aca="false">IF(AND(IFERROR(N(INDEX(Clay_Brands!$A$2:$FZ$601,385,Sync!$D$13)),0)&gt;0,IFERROR(INDEX(Clay_Brands!$A$2:$FZ$601,385,Sync!$D$5)&amp;"","")&lt;&gt;"",OR(LEFT(IFERROR(INDEX(Clay_Brands!$A$2:$FZ$601,385,Sync!$D$5)&amp;"",""),6)&lt;&gt;"SAMPLE",Config!$B$19="Y")),IFERROR(N(INDEX(Clay_Brands!$A$2:$FZ$601,385,Sync!$D$13)),0),"")</f>
        <v/>
      </c>
      <c r="C5036" s="23" t="str">
        <f aca="false">IF(B5036="","","brand")</f>
        <v/>
      </c>
      <c r="D5036" s="23" t="str">
        <f aca="false">IF(B5036="","",IFERROR(INDEX(Brand_Log!$DV$2:$DV$201,MATCH(IFERROR(INDEX(Clay_Brands!$A$2:$FZ$601,385,Sync!$D$5)&amp;"",""),Brand_Log!$A$2:$A$201,0))&amp;"",IFERROR(INDEX(Clay_Brands!$A$2:$FZ$601,385,Sync!$D$5)&amp;"","")&amp;""))</f>
        <v/>
      </c>
      <c r="E5036" s="23" t="str">
        <f aca="false">IF(B5036="","",IFERROR(INDEX(Clay_Brands!$A$2:$FZ$601,385,Sync!$D$6)&amp;"",""))</f>
        <v/>
      </c>
      <c r="F5036" s="23" t="str">
        <f aca="false">IF(B5036="","","outreach_sent")</f>
        <v/>
      </c>
      <c r="G5036" s="23" t="str">
        <f aca="false">IF(B5036="","","")</f>
        <v/>
      </c>
      <c r="H5036" s="23" t="str">
        <f aca="false">IF(B5036="","","")</f>
        <v/>
      </c>
      <c r="I5036" s="23" t="str">
        <f aca="false">IF(B5036="","","")</f>
        <v/>
      </c>
      <c r="J5036" s="23" t="str">
        <f aca="false">IF(B5036="","","touch_3; "&amp;IFERROR(INDEX(Clay_Brands!$A$2:$FZ$601,385,Sync!$D$10)&amp;"","")&amp;"; "&amp;IFERROR(INDEX(Clay_Brands!$A$2:$FZ$601,385,Sync!$D$9)&amp;"",""))</f>
        <v/>
      </c>
      <c r="K5036" s="32" t="s">
        <v>1368</v>
      </c>
    </row>
    <row r="5037" customFormat="false" ht="15" hidden="false" customHeight="false" outlineLevel="0" collapsed="false">
      <c r="A5037" s="23" t="str">
        <f aca="false">IF(B5037="","",B5037+(17*1000+386)/10000000)</f>
        <v/>
      </c>
      <c r="B5037" s="35" t="str">
        <f aca="false">IF(AND(IFERROR(N(INDEX(Clay_Brands!$A$2:$FZ$601,386,Sync!$D$13)),0)&gt;0,IFERROR(INDEX(Clay_Brands!$A$2:$FZ$601,386,Sync!$D$5)&amp;"","")&lt;&gt;"",OR(LEFT(IFERROR(INDEX(Clay_Brands!$A$2:$FZ$601,386,Sync!$D$5)&amp;"",""),6)&lt;&gt;"SAMPLE",Config!$B$19="Y")),IFERROR(N(INDEX(Clay_Brands!$A$2:$FZ$601,386,Sync!$D$13)),0),"")</f>
        <v/>
      </c>
      <c r="C5037" s="23" t="str">
        <f aca="false">IF(B5037="","","brand")</f>
        <v/>
      </c>
      <c r="D5037" s="23" t="str">
        <f aca="false">IF(B5037="","",IFERROR(INDEX(Brand_Log!$DV$2:$DV$201,MATCH(IFERROR(INDEX(Clay_Brands!$A$2:$FZ$601,386,Sync!$D$5)&amp;"",""),Brand_Log!$A$2:$A$201,0))&amp;"",IFERROR(INDEX(Clay_Brands!$A$2:$FZ$601,386,Sync!$D$5)&amp;"","")&amp;""))</f>
        <v/>
      </c>
      <c r="E5037" s="23" t="str">
        <f aca="false">IF(B5037="","",IFERROR(INDEX(Clay_Brands!$A$2:$FZ$601,386,Sync!$D$6)&amp;"",""))</f>
        <v/>
      </c>
      <c r="F5037" s="23" t="str">
        <f aca="false">IF(B5037="","","outreach_sent")</f>
        <v/>
      </c>
      <c r="G5037" s="23" t="str">
        <f aca="false">IF(B5037="","","")</f>
        <v/>
      </c>
      <c r="H5037" s="23" t="str">
        <f aca="false">IF(B5037="","","")</f>
        <v/>
      </c>
      <c r="I5037" s="23" t="str">
        <f aca="false">IF(B5037="","","")</f>
        <v/>
      </c>
      <c r="J5037" s="23" t="str">
        <f aca="false">IF(B5037="","","touch_3; "&amp;IFERROR(INDEX(Clay_Brands!$A$2:$FZ$601,386,Sync!$D$10)&amp;"","")&amp;"; "&amp;IFERROR(INDEX(Clay_Brands!$A$2:$FZ$601,386,Sync!$D$9)&amp;"",""))</f>
        <v/>
      </c>
      <c r="K5037" s="32" t="s">
        <v>1368</v>
      </c>
    </row>
    <row r="5038" customFormat="false" ht="15" hidden="false" customHeight="false" outlineLevel="0" collapsed="false">
      <c r="A5038" s="23" t="str">
        <f aca="false">IF(B5038="","",B5038+(17*1000+387)/10000000)</f>
        <v/>
      </c>
      <c r="B5038" s="35" t="str">
        <f aca="false">IF(AND(IFERROR(N(INDEX(Clay_Brands!$A$2:$FZ$601,387,Sync!$D$13)),0)&gt;0,IFERROR(INDEX(Clay_Brands!$A$2:$FZ$601,387,Sync!$D$5)&amp;"","")&lt;&gt;"",OR(LEFT(IFERROR(INDEX(Clay_Brands!$A$2:$FZ$601,387,Sync!$D$5)&amp;"",""),6)&lt;&gt;"SAMPLE",Config!$B$19="Y")),IFERROR(N(INDEX(Clay_Brands!$A$2:$FZ$601,387,Sync!$D$13)),0),"")</f>
        <v/>
      </c>
      <c r="C5038" s="23" t="str">
        <f aca="false">IF(B5038="","","brand")</f>
        <v/>
      </c>
      <c r="D5038" s="23" t="str">
        <f aca="false">IF(B5038="","",IFERROR(INDEX(Brand_Log!$DV$2:$DV$201,MATCH(IFERROR(INDEX(Clay_Brands!$A$2:$FZ$601,387,Sync!$D$5)&amp;"",""),Brand_Log!$A$2:$A$201,0))&amp;"",IFERROR(INDEX(Clay_Brands!$A$2:$FZ$601,387,Sync!$D$5)&amp;"","")&amp;""))</f>
        <v/>
      </c>
      <c r="E5038" s="23" t="str">
        <f aca="false">IF(B5038="","",IFERROR(INDEX(Clay_Brands!$A$2:$FZ$601,387,Sync!$D$6)&amp;"",""))</f>
        <v/>
      </c>
      <c r="F5038" s="23" t="str">
        <f aca="false">IF(B5038="","","outreach_sent")</f>
        <v/>
      </c>
      <c r="G5038" s="23" t="str">
        <f aca="false">IF(B5038="","","")</f>
        <v/>
      </c>
      <c r="H5038" s="23" t="str">
        <f aca="false">IF(B5038="","","")</f>
        <v/>
      </c>
      <c r="I5038" s="23" t="str">
        <f aca="false">IF(B5038="","","")</f>
        <v/>
      </c>
      <c r="J5038" s="23" t="str">
        <f aca="false">IF(B5038="","","touch_3; "&amp;IFERROR(INDEX(Clay_Brands!$A$2:$FZ$601,387,Sync!$D$10)&amp;"","")&amp;"; "&amp;IFERROR(INDEX(Clay_Brands!$A$2:$FZ$601,387,Sync!$D$9)&amp;"",""))</f>
        <v/>
      </c>
      <c r="K5038" s="32" t="s">
        <v>1368</v>
      </c>
    </row>
    <row r="5039" customFormat="false" ht="15" hidden="false" customHeight="false" outlineLevel="0" collapsed="false">
      <c r="A5039" s="23" t="str">
        <f aca="false">IF(B5039="","",B5039+(17*1000+388)/10000000)</f>
        <v/>
      </c>
      <c r="B5039" s="35" t="str">
        <f aca="false">IF(AND(IFERROR(N(INDEX(Clay_Brands!$A$2:$FZ$601,388,Sync!$D$13)),0)&gt;0,IFERROR(INDEX(Clay_Brands!$A$2:$FZ$601,388,Sync!$D$5)&amp;"","")&lt;&gt;"",OR(LEFT(IFERROR(INDEX(Clay_Brands!$A$2:$FZ$601,388,Sync!$D$5)&amp;"",""),6)&lt;&gt;"SAMPLE",Config!$B$19="Y")),IFERROR(N(INDEX(Clay_Brands!$A$2:$FZ$601,388,Sync!$D$13)),0),"")</f>
        <v/>
      </c>
      <c r="C5039" s="23" t="str">
        <f aca="false">IF(B5039="","","brand")</f>
        <v/>
      </c>
      <c r="D5039" s="23" t="str">
        <f aca="false">IF(B5039="","",IFERROR(INDEX(Brand_Log!$DV$2:$DV$201,MATCH(IFERROR(INDEX(Clay_Brands!$A$2:$FZ$601,388,Sync!$D$5)&amp;"",""),Brand_Log!$A$2:$A$201,0))&amp;"",IFERROR(INDEX(Clay_Brands!$A$2:$FZ$601,388,Sync!$D$5)&amp;"","")&amp;""))</f>
        <v/>
      </c>
      <c r="E5039" s="23" t="str">
        <f aca="false">IF(B5039="","",IFERROR(INDEX(Clay_Brands!$A$2:$FZ$601,388,Sync!$D$6)&amp;"",""))</f>
        <v/>
      </c>
      <c r="F5039" s="23" t="str">
        <f aca="false">IF(B5039="","","outreach_sent")</f>
        <v/>
      </c>
      <c r="G5039" s="23" t="str">
        <f aca="false">IF(B5039="","","")</f>
        <v/>
      </c>
      <c r="H5039" s="23" t="str">
        <f aca="false">IF(B5039="","","")</f>
        <v/>
      </c>
      <c r="I5039" s="23" t="str">
        <f aca="false">IF(B5039="","","")</f>
        <v/>
      </c>
      <c r="J5039" s="23" t="str">
        <f aca="false">IF(B5039="","","touch_3; "&amp;IFERROR(INDEX(Clay_Brands!$A$2:$FZ$601,388,Sync!$D$10)&amp;"","")&amp;"; "&amp;IFERROR(INDEX(Clay_Brands!$A$2:$FZ$601,388,Sync!$D$9)&amp;"",""))</f>
        <v/>
      </c>
      <c r="K5039" s="32" t="s">
        <v>1368</v>
      </c>
    </row>
    <row r="5040" customFormat="false" ht="15" hidden="false" customHeight="false" outlineLevel="0" collapsed="false">
      <c r="A5040" s="23" t="str">
        <f aca="false">IF(B5040="","",B5040+(17*1000+389)/10000000)</f>
        <v/>
      </c>
      <c r="B5040" s="35" t="str">
        <f aca="false">IF(AND(IFERROR(N(INDEX(Clay_Brands!$A$2:$FZ$601,389,Sync!$D$13)),0)&gt;0,IFERROR(INDEX(Clay_Brands!$A$2:$FZ$601,389,Sync!$D$5)&amp;"","")&lt;&gt;"",OR(LEFT(IFERROR(INDEX(Clay_Brands!$A$2:$FZ$601,389,Sync!$D$5)&amp;"",""),6)&lt;&gt;"SAMPLE",Config!$B$19="Y")),IFERROR(N(INDEX(Clay_Brands!$A$2:$FZ$601,389,Sync!$D$13)),0),"")</f>
        <v/>
      </c>
      <c r="C5040" s="23" t="str">
        <f aca="false">IF(B5040="","","brand")</f>
        <v/>
      </c>
      <c r="D5040" s="23" t="str">
        <f aca="false">IF(B5040="","",IFERROR(INDEX(Brand_Log!$DV$2:$DV$201,MATCH(IFERROR(INDEX(Clay_Brands!$A$2:$FZ$601,389,Sync!$D$5)&amp;"",""),Brand_Log!$A$2:$A$201,0))&amp;"",IFERROR(INDEX(Clay_Brands!$A$2:$FZ$601,389,Sync!$D$5)&amp;"","")&amp;""))</f>
        <v/>
      </c>
      <c r="E5040" s="23" t="str">
        <f aca="false">IF(B5040="","",IFERROR(INDEX(Clay_Brands!$A$2:$FZ$601,389,Sync!$D$6)&amp;"",""))</f>
        <v/>
      </c>
      <c r="F5040" s="23" t="str">
        <f aca="false">IF(B5040="","","outreach_sent")</f>
        <v/>
      </c>
      <c r="G5040" s="23" t="str">
        <f aca="false">IF(B5040="","","")</f>
        <v/>
      </c>
      <c r="H5040" s="23" t="str">
        <f aca="false">IF(B5040="","","")</f>
        <v/>
      </c>
      <c r="I5040" s="23" t="str">
        <f aca="false">IF(B5040="","","")</f>
        <v/>
      </c>
      <c r="J5040" s="23" t="str">
        <f aca="false">IF(B5040="","","touch_3; "&amp;IFERROR(INDEX(Clay_Brands!$A$2:$FZ$601,389,Sync!$D$10)&amp;"","")&amp;"; "&amp;IFERROR(INDEX(Clay_Brands!$A$2:$FZ$601,389,Sync!$D$9)&amp;"",""))</f>
        <v/>
      </c>
      <c r="K5040" s="32" t="s">
        <v>1368</v>
      </c>
    </row>
    <row r="5041" customFormat="false" ht="15" hidden="false" customHeight="false" outlineLevel="0" collapsed="false">
      <c r="A5041" s="23" t="str">
        <f aca="false">IF(B5041="","",B5041+(17*1000+390)/10000000)</f>
        <v/>
      </c>
      <c r="B5041" s="35" t="str">
        <f aca="false">IF(AND(IFERROR(N(INDEX(Clay_Brands!$A$2:$FZ$601,390,Sync!$D$13)),0)&gt;0,IFERROR(INDEX(Clay_Brands!$A$2:$FZ$601,390,Sync!$D$5)&amp;"","")&lt;&gt;"",OR(LEFT(IFERROR(INDEX(Clay_Brands!$A$2:$FZ$601,390,Sync!$D$5)&amp;"",""),6)&lt;&gt;"SAMPLE",Config!$B$19="Y")),IFERROR(N(INDEX(Clay_Brands!$A$2:$FZ$601,390,Sync!$D$13)),0),"")</f>
        <v/>
      </c>
      <c r="C5041" s="23" t="str">
        <f aca="false">IF(B5041="","","brand")</f>
        <v/>
      </c>
      <c r="D5041" s="23" t="str">
        <f aca="false">IF(B5041="","",IFERROR(INDEX(Brand_Log!$DV$2:$DV$201,MATCH(IFERROR(INDEX(Clay_Brands!$A$2:$FZ$601,390,Sync!$D$5)&amp;"",""),Brand_Log!$A$2:$A$201,0))&amp;"",IFERROR(INDEX(Clay_Brands!$A$2:$FZ$601,390,Sync!$D$5)&amp;"","")&amp;""))</f>
        <v/>
      </c>
      <c r="E5041" s="23" t="str">
        <f aca="false">IF(B5041="","",IFERROR(INDEX(Clay_Brands!$A$2:$FZ$601,390,Sync!$D$6)&amp;"",""))</f>
        <v/>
      </c>
      <c r="F5041" s="23" t="str">
        <f aca="false">IF(B5041="","","outreach_sent")</f>
        <v/>
      </c>
      <c r="G5041" s="23" t="str">
        <f aca="false">IF(B5041="","","")</f>
        <v/>
      </c>
      <c r="H5041" s="23" t="str">
        <f aca="false">IF(B5041="","","")</f>
        <v/>
      </c>
      <c r="I5041" s="23" t="str">
        <f aca="false">IF(B5041="","","")</f>
        <v/>
      </c>
      <c r="J5041" s="23" t="str">
        <f aca="false">IF(B5041="","","touch_3; "&amp;IFERROR(INDEX(Clay_Brands!$A$2:$FZ$601,390,Sync!$D$10)&amp;"","")&amp;"; "&amp;IFERROR(INDEX(Clay_Brands!$A$2:$FZ$601,390,Sync!$D$9)&amp;"",""))</f>
        <v/>
      </c>
      <c r="K5041" s="32" t="s">
        <v>1368</v>
      </c>
    </row>
    <row r="5042" customFormat="false" ht="15" hidden="false" customHeight="false" outlineLevel="0" collapsed="false">
      <c r="A5042" s="23" t="str">
        <f aca="false">IF(B5042="","",B5042+(17*1000+391)/10000000)</f>
        <v/>
      </c>
      <c r="B5042" s="35" t="str">
        <f aca="false">IF(AND(IFERROR(N(INDEX(Clay_Brands!$A$2:$FZ$601,391,Sync!$D$13)),0)&gt;0,IFERROR(INDEX(Clay_Brands!$A$2:$FZ$601,391,Sync!$D$5)&amp;"","")&lt;&gt;"",OR(LEFT(IFERROR(INDEX(Clay_Brands!$A$2:$FZ$601,391,Sync!$D$5)&amp;"",""),6)&lt;&gt;"SAMPLE",Config!$B$19="Y")),IFERROR(N(INDEX(Clay_Brands!$A$2:$FZ$601,391,Sync!$D$13)),0),"")</f>
        <v/>
      </c>
      <c r="C5042" s="23" t="str">
        <f aca="false">IF(B5042="","","brand")</f>
        <v/>
      </c>
      <c r="D5042" s="23" t="str">
        <f aca="false">IF(B5042="","",IFERROR(INDEX(Brand_Log!$DV$2:$DV$201,MATCH(IFERROR(INDEX(Clay_Brands!$A$2:$FZ$601,391,Sync!$D$5)&amp;"",""),Brand_Log!$A$2:$A$201,0))&amp;"",IFERROR(INDEX(Clay_Brands!$A$2:$FZ$601,391,Sync!$D$5)&amp;"","")&amp;""))</f>
        <v/>
      </c>
      <c r="E5042" s="23" t="str">
        <f aca="false">IF(B5042="","",IFERROR(INDEX(Clay_Brands!$A$2:$FZ$601,391,Sync!$D$6)&amp;"",""))</f>
        <v/>
      </c>
      <c r="F5042" s="23" t="str">
        <f aca="false">IF(B5042="","","outreach_sent")</f>
        <v/>
      </c>
      <c r="G5042" s="23" t="str">
        <f aca="false">IF(B5042="","","")</f>
        <v/>
      </c>
      <c r="H5042" s="23" t="str">
        <f aca="false">IF(B5042="","","")</f>
        <v/>
      </c>
      <c r="I5042" s="23" t="str">
        <f aca="false">IF(B5042="","","")</f>
        <v/>
      </c>
      <c r="J5042" s="23" t="str">
        <f aca="false">IF(B5042="","","touch_3; "&amp;IFERROR(INDEX(Clay_Brands!$A$2:$FZ$601,391,Sync!$D$10)&amp;"","")&amp;"; "&amp;IFERROR(INDEX(Clay_Brands!$A$2:$FZ$601,391,Sync!$D$9)&amp;"",""))</f>
        <v/>
      </c>
      <c r="K5042" s="32" t="s">
        <v>1368</v>
      </c>
    </row>
    <row r="5043" customFormat="false" ht="15" hidden="false" customHeight="false" outlineLevel="0" collapsed="false">
      <c r="A5043" s="23" t="str">
        <f aca="false">IF(B5043="","",B5043+(17*1000+392)/10000000)</f>
        <v/>
      </c>
      <c r="B5043" s="35" t="str">
        <f aca="false">IF(AND(IFERROR(N(INDEX(Clay_Brands!$A$2:$FZ$601,392,Sync!$D$13)),0)&gt;0,IFERROR(INDEX(Clay_Brands!$A$2:$FZ$601,392,Sync!$D$5)&amp;"","")&lt;&gt;"",OR(LEFT(IFERROR(INDEX(Clay_Brands!$A$2:$FZ$601,392,Sync!$D$5)&amp;"",""),6)&lt;&gt;"SAMPLE",Config!$B$19="Y")),IFERROR(N(INDEX(Clay_Brands!$A$2:$FZ$601,392,Sync!$D$13)),0),"")</f>
        <v/>
      </c>
      <c r="C5043" s="23" t="str">
        <f aca="false">IF(B5043="","","brand")</f>
        <v/>
      </c>
      <c r="D5043" s="23" t="str">
        <f aca="false">IF(B5043="","",IFERROR(INDEX(Brand_Log!$DV$2:$DV$201,MATCH(IFERROR(INDEX(Clay_Brands!$A$2:$FZ$601,392,Sync!$D$5)&amp;"",""),Brand_Log!$A$2:$A$201,0))&amp;"",IFERROR(INDEX(Clay_Brands!$A$2:$FZ$601,392,Sync!$D$5)&amp;"","")&amp;""))</f>
        <v/>
      </c>
      <c r="E5043" s="23" t="str">
        <f aca="false">IF(B5043="","",IFERROR(INDEX(Clay_Brands!$A$2:$FZ$601,392,Sync!$D$6)&amp;"",""))</f>
        <v/>
      </c>
      <c r="F5043" s="23" t="str">
        <f aca="false">IF(B5043="","","outreach_sent")</f>
        <v/>
      </c>
      <c r="G5043" s="23" t="str">
        <f aca="false">IF(B5043="","","")</f>
        <v/>
      </c>
      <c r="H5043" s="23" t="str">
        <f aca="false">IF(B5043="","","")</f>
        <v/>
      </c>
      <c r="I5043" s="23" t="str">
        <f aca="false">IF(B5043="","","")</f>
        <v/>
      </c>
      <c r="J5043" s="23" t="str">
        <f aca="false">IF(B5043="","","touch_3; "&amp;IFERROR(INDEX(Clay_Brands!$A$2:$FZ$601,392,Sync!$D$10)&amp;"","")&amp;"; "&amp;IFERROR(INDEX(Clay_Brands!$A$2:$FZ$601,392,Sync!$D$9)&amp;"",""))</f>
        <v/>
      </c>
      <c r="K5043" s="32" t="s">
        <v>1368</v>
      </c>
    </row>
    <row r="5044" customFormat="false" ht="15" hidden="false" customHeight="false" outlineLevel="0" collapsed="false">
      <c r="A5044" s="23" t="str">
        <f aca="false">IF(B5044="","",B5044+(17*1000+393)/10000000)</f>
        <v/>
      </c>
      <c r="B5044" s="35" t="str">
        <f aca="false">IF(AND(IFERROR(N(INDEX(Clay_Brands!$A$2:$FZ$601,393,Sync!$D$13)),0)&gt;0,IFERROR(INDEX(Clay_Brands!$A$2:$FZ$601,393,Sync!$D$5)&amp;"","")&lt;&gt;"",OR(LEFT(IFERROR(INDEX(Clay_Brands!$A$2:$FZ$601,393,Sync!$D$5)&amp;"",""),6)&lt;&gt;"SAMPLE",Config!$B$19="Y")),IFERROR(N(INDEX(Clay_Brands!$A$2:$FZ$601,393,Sync!$D$13)),0),"")</f>
        <v/>
      </c>
      <c r="C5044" s="23" t="str">
        <f aca="false">IF(B5044="","","brand")</f>
        <v/>
      </c>
      <c r="D5044" s="23" t="str">
        <f aca="false">IF(B5044="","",IFERROR(INDEX(Brand_Log!$DV$2:$DV$201,MATCH(IFERROR(INDEX(Clay_Brands!$A$2:$FZ$601,393,Sync!$D$5)&amp;"",""),Brand_Log!$A$2:$A$201,0))&amp;"",IFERROR(INDEX(Clay_Brands!$A$2:$FZ$601,393,Sync!$D$5)&amp;"","")&amp;""))</f>
        <v/>
      </c>
      <c r="E5044" s="23" t="str">
        <f aca="false">IF(B5044="","",IFERROR(INDEX(Clay_Brands!$A$2:$FZ$601,393,Sync!$D$6)&amp;"",""))</f>
        <v/>
      </c>
      <c r="F5044" s="23" t="str">
        <f aca="false">IF(B5044="","","outreach_sent")</f>
        <v/>
      </c>
      <c r="G5044" s="23" t="str">
        <f aca="false">IF(B5044="","","")</f>
        <v/>
      </c>
      <c r="H5044" s="23" t="str">
        <f aca="false">IF(B5044="","","")</f>
        <v/>
      </c>
      <c r="I5044" s="23" t="str">
        <f aca="false">IF(B5044="","","")</f>
        <v/>
      </c>
      <c r="J5044" s="23" t="str">
        <f aca="false">IF(B5044="","","touch_3; "&amp;IFERROR(INDEX(Clay_Brands!$A$2:$FZ$601,393,Sync!$D$10)&amp;"","")&amp;"; "&amp;IFERROR(INDEX(Clay_Brands!$A$2:$FZ$601,393,Sync!$D$9)&amp;"",""))</f>
        <v/>
      </c>
      <c r="K5044" s="32" t="s">
        <v>1368</v>
      </c>
    </row>
    <row r="5045" customFormat="false" ht="15" hidden="false" customHeight="false" outlineLevel="0" collapsed="false">
      <c r="A5045" s="23" t="str">
        <f aca="false">IF(B5045="","",B5045+(17*1000+394)/10000000)</f>
        <v/>
      </c>
      <c r="B5045" s="35" t="str">
        <f aca="false">IF(AND(IFERROR(N(INDEX(Clay_Brands!$A$2:$FZ$601,394,Sync!$D$13)),0)&gt;0,IFERROR(INDEX(Clay_Brands!$A$2:$FZ$601,394,Sync!$D$5)&amp;"","")&lt;&gt;"",OR(LEFT(IFERROR(INDEX(Clay_Brands!$A$2:$FZ$601,394,Sync!$D$5)&amp;"",""),6)&lt;&gt;"SAMPLE",Config!$B$19="Y")),IFERROR(N(INDEX(Clay_Brands!$A$2:$FZ$601,394,Sync!$D$13)),0),"")</f>
        <v/>
      </c>
      <c r="C5045" s="23" t="str">
        <f aca="false">IF(B5045="","","brand")</f>
        <v/>
      </c>
      <c r="D5045" s="23" t="str">
        <f aca="false">IF(B5045="","",IFERROR(INDEX(Brand_Log!$DV$2:$DV$201,MATCH(IFERROR(INDEX(Clay_Brands!$A$2:$FZ$601,394,Sync!$D$5)&amp;"",""),Brand_Log!$A$2:$A$201,0))&amp;"",IFERROR(INDEX(Clay_Brands!$A$2:$FZ$601,394,Sync!$D$5)&amp;"","")&amp;""))</f>
        <v/>
      </c>
      <c r="E5045" s="23" t="str">
        <f aca="false">IF(B5045="","",IFERROR(INDEX(Clay_Brands!$A$2:$FZ$601,394,Sync!$D$6)&amp;"",""))</f>
        <v/>
      </c>
      <c r="F5045" s="23" t="str">
        <f aca="false">IF(B5045="","","outreach_sent")</f>
        <v/>
      </c>
      <c r="G5045" s="23" t="str">
        <f aca="false">IF(B5045="","","")</f>
        <v/>
      </c>
      <c r="H5045" s="23" t="str">
        <f aca="false">IF(B5045="","","")</f>
        <v/>
      </c>
      <c r="I5045" s="23" t="str">
        <f aca="false">IF(B5045="","","")</f>
        <v/>
      </c>
      <c r="J5045" s="23" t="str">
        <f aca="false">IF(B5045="","","touch_3; "&amp;IFERROR(INDEX(Clay_Brands!$A$2:$FZ$601,394,Sync!$D$10)&amp;"","")&amp;"; "&amp;IFERROR(INDEX(Clay_Brands!$A$2:$FZ$601,394,Sync!$D$9)&amp;"",""))</f>
        <v/>
      </c>
      <c r="K5045" s="32" t="s">
        <v>1368</v>
      </c>
    </row>
    <row r="5046" customFormat="false" ht="15" hidden="false" customHeight="false" outlineLevel="0" collapsed="false">
      <c r="A5046" s="23" t="str">
        <f aca="false">IF(B5046="","",B5046+(17*1000+395)/10000000)</f>
        <v/>
      </c>
      <c r="B5046" s="35" t="str">
        <f aca="false">IF(AND(IFERROR(N(INDEX(Clay_Brands!$A$2:$FZ$601,395,Sync!$D$13)),0)&gt;0,IFERROR(INDEX(Clay_Brands!$A$2:$FZ$601,395,Sync!$D$5)&amp;"","")&lt;&gt;"",OR(LEFT(IFERROR(INDEX(Clay_Brands!$A$2:$FZ$601,395,Sync!$D$5)&amp;"",""),6)&lt;&gt;"SAMPLE",Config!$B$19="Y")),IFERROR(N(INDEX(Clay_Brands!$A$2:$FZ$601,395,Sync!$D$13)),0),"")</f>
        <v/>
      </c>
      <c r="C5046" s="23" t="str">
        <f aca="false">IF(B5046="","","brand")</f>
        <v/>
      </c>
      <c r="D5046" s="23" t="str">
        <f aca="false">IF(B5046="","",IFERROR(INDEX(Brand_Log!$DV$2:$DV$201,MATCH(IFERROR(INDEX(Clay_Brands!$A$2:$FZ$601,395,Sync!$D$5)&amp;"",""),Brand_Log!$A$2:$A$201,0))&amp;"",IFERROR(INDEX(Clay_Brands!$A$2:$FZ$601,395,Sync!$D$5)&amp;"","")&amp;""))</f>
        <v/>
      </c>
      <c r="E5046" s="23" t="str">
        <f aca="false">IF(B5046="","",IFERROR(INDEX(Clay_Brands!$A$2:$FZ$601,395,Sync!$D$6)&amp;"",""))</f>
        <v/>
      </c>
      <c r="F5046" s="23" t="str">
        <f aca="false">IF(B5046="","","outreach_sent")</f>
        <v/>
      </c>
      <c r="G5046" s="23" t="str">
        <f aca="false">IF(B5046="","","")</f>
        <v/>
      </c>
      <c r="H5046" s="23" t="str">
        <f aca="false">IF(B5046="","","")</f>
        <v/>
      </c>
      <c r="I5046" s="23" t="str">
        <f aca="false">IF(B5046="","","")</f>
        <v/>
      </c>
      <c r="J5046" s="23" t="str">
        <f aca="false">IF(B5046="","","touch_3; "&amp;IFERROR(INDEX(Clay_Brands!$A$2:$FZ$601,395,Sync!$D$10)&amp;"","")&amp;"; "&amp;IFERROR(INDEX(Clay_Brands!$A$2:$FZ$601,395,Sync!$D$9)&amp;"",""))</f>
        <v/>
      </c>
      <c r="K5046" s="32" t="s">
        <v>1368</v>
      </c>
    </row>
    <row r="5047" customFormat="false" ht="15" hidden="false" customHeight="false" outlineLevel="0" collapsed="false">
      <c r="A5047" s="23" t="str">
        <f aca="false">IF(B5047="","",B5047+(17*1000+396)/10000000)</f>
        <v/>
      </c>
      <c r="B5047" s="35" t="str">
        <f aca="false">IF(AND(IFERROR(N(INDEX(Clay_Brands!$A$2:$FZ$601,396,Sync!$D$13)),0)&gt;0,IFERROR(INDEX(Clay_Brands!$A$2:$FZ$601,396,Sync!$D$5)&amp;"","")&lt;&gt;"",OR(LEFT(IFERROR(INDEX(Clay_Brands!$A$2:$FZ$601,396,Sync!$D$5)&amp;"",""),6)&lt;&gt;"SAMPLE",Config!$B$19="Y")),IFERROR(N(INDEX(Clay_Brands!$A$2:$FZ$601,396,Sync!$D$13)),0),"")</f>
        <v/>
      </c>
      <c r="C5047" s="23" t="str">
        <f aca="false">IF(B5047="","","brand")</f>
        <v/>
      </c>
      <c r="D5047" s="23" t="str">
        <f aca="false">IF(B5047="","",IFERROR(INDEX(Brand_Log!$DV$2:$DV$201,MATCH(IFERROR(INDEX(Clay_Brands!$A$2:$FZ$601,396,Sync!$D$5)&amp;"",""),Brand_Log!$A$2:$A$201,0))&amp;"",IFERROR(INDEX(Clay_Brands!$A$2:$FZ$601,396,Sync!$D$5)&amp;"","")&amp;""))</f>
        <v/>
      </c>
      <c r="E5047" s="23" t="str">
        <f aca="false">IF(B5047="","",IFERROR(INDEX(Clay_Brands!$A$2:$FZ$601,396,Sync!$D$6)&amp;"",""))</f>
        <v/>
      </c>
      <c r="F5047" s="23" t="str">
        <f aca="false">IF(B5047="","","outreach_sent")</f>
        <v/>
      </c>
      <c r="G5047" s="23" t="str">
        <f aca="false">IF(B5047="","","")</f>
        <v/>
      </c>
      <c r="H5047" s="23" t="str">
        <f aca="false">IF(B5047="","","")</f>
        <v/>
      </c>
      <c r="I5047" s="23" t="str">
        <f aca="false">IF(B5047="","","")</f>
        <v/>
      </c>
      <c r="J5047" s="23" t="str">
        <f aca="false">IF(B5047="","","touch_3; "&amp;IFERROR(INDEX(Clay_Brands!$A$2:$FZ$601,396,Sync!$D$10)&amp;"","")&amp;"; "&amp;IFERROR(INDEX(Clay_Brands!$A$2:$FZ$601,396,Sync!$D$9)&amp;"",""))</f>
        <v/>
      </c>
      <c r="K5047" s="32" t="s">
        <v>1368</v>
      </c>
    </row>
    <row r="5048" customFormat="false" ht="15" hidden="false" customHeight="false" outlineLevel="0" collapsed="false">
      <c r="A5048" s="23" t="str">
        <f aca="false">IF(B5048="","",B5048+(17*1000+397)/10000000)</f>
        <v/>
      </c>
      <c r="B5048" s="35" t="str">
        <f aca="false">IF(AND(IFERROR(N(INDEX(Clay_Brands!$A$2:$FZ$601,397,Sync!$D$13)),0)&gt;0,IFERROR(INDEX(Clay_Brands!$A$2:$FZ$601,397,Sync!$D$5)&amp;"","")&lt;&gt;"",OR(LEFT(IFERROR(INDEX(Clay_Brands!$A$2:$FZ$601,397,Sync!$D$5)&amp;"",""),6)&lt;&gt;"SAMPLE",Config!$B$19="Y")),IFERROR(N(INDEX(Clay_Brands!$A$2:$FZ$601,397,Sync!$D$13)),0),"")</f>
        <v/>
      </c>
      <c r="C5048" s="23" t="str">
        <f aca="false">IF(B5048="","","brand")</f>
        <v/>
      </c>
      <c r="D5048" s="23" t="str">
        <f aca="false">IF(B5048="","",IFERROR(INDEX(Brand_Log!$DV$2:$DV$201,MATCH(IFERROR(INDEX(Clay_Brands!$A$2:$FZ$601,397,Sync!$D$5)&amp;"",""),Brand_Log!$A$2:$A$201,0))&amp;"",IFERROR(INDEX(Clay_Brands!$A$2:$FZ$601,397,Sync!$D$5)&amp;"","")&amp;""))</f>
        <v/>
      </c>
      <c r="E5048" s="23" t="str">
        <f aca="false">IF(B5048="","",IFERROR(INDEX(Clay_Brands!$A$2:$FZ$601,397,Sync!$D$6)&amp;"",""))</f>
        <v/>
      </c>
      <c r="F5048" s="23" t="str">
        <f aca="false">IF(B5048="","","outreach_sent")</f>
        <v/>
      </c>
      <c r="G5048" s="23" t="str">
        <f aca="false">IF(B5048="","","")</f>
        <v/>
      </c>
      <c r="H5048" s="23" t="str">
        <f aca="false">IF(B5048="","","")</f>
        <v/>
      </c>
      <c r="I5048" s="23" t="str">
        <f aca="false">IF(B5048="","","")</f>
        <v/>
      </c>
      <c r="J5048" s="23" t="str">
        <f aca="false">IF(B5048="","","touch_3; "&amp;IFERROR(INDEX(Clay_Brands!$A$2:$FZ$601,397,Sync!$D$10)&amp;"","")&amp;"; "&amp;IFERROR(INDEX(Clay_Brands!$A$2:$FZ$601,397,Sync!$D$9)&amp;"",""))</f>
        <v/>
      </c>
      <c r="K5048" s="32" t="s">
        <v>1368</v>
      </c>
    </row>
    <row r="5049" customFormat="false" ht="15" hidden="false" customHeight="false" outlineLevel="0" collapsed="false">
      <c r="A5049" s="23" t="str">
        <f aca="false">IF(B5049="","",B5049+(17*1000+398)/10000000)</f>
        <v/>
      </c>
      <c r="B5049" s="35" t="str">
        <f aca="false">IF(AND(IFERROR(N(INDEX(Clay_Brands!$A$2:$FZ$601,398,Sync!$D$13)),0)&gt;0,IFERROR(INDEX(Clay_Brands!$A$2:$FZ$601,398,Sync!$D$5)&amp;"","")&lt;&gt;"",OR(LEFT(IFERROR(INDEX(Clay_Brands!$A$2:$FZ$601,398,Sync!$D$5)&amp;"",""),6)&lt;&gt;"SAMPLE",Config!$B$19="Y")),IFERROR(N(INDEX(Clay_Brands!$A$2:$FZ$601,398,Sync!$D$13)),0),"")</f>
        <v/>
      </c>
      <c r="C5049" s="23" t="str">
        <f aca="false">IF(B5049="","","brand")</f>
        <v/>
      </c>
      <c r="D5049" s="23" t="str">
        <f aca="false">IF(B5049="","",IFERROR(INDEX(Brand_Log!$DV$2:$DV$201,MATCH(IFERROR(INDEX(Clay_Brands!$A$2:$FZ$601,398,Sync!$D$5)&amp;"",""),Brand_Log!$A$2:$A$201,0))&amp;"",IFERROR(INDEX(Clay_Brands!$A$2:$FZ$601,398,Sync!$D$5)&amp;"","")&amp;""))</f>
        <v/>
      </c>
      <c r="E5049" s="23" t="str">
        <f aca="false">IF(B5049="","",IFERROR(INDEX(Clay_Brands!$A$2:$FZ$601,398,Sync!$D$6)&amp;"",""))</f>
        <v/>
      </c>
      <c r="F5049" s="23" t="str">
        <f aca="false">IF(B5049="","","outreach_sent")</f>
        <v/>
      </c>
      <c r="G5049" s="23" t="str">
        <f aca="false">IF(B5049="","","")</f>
        <v/>
      </c>
      <c r="H5049" s="23" t="str">
        <f aca="false">IF(B5049="","","")</f>
        <v/>
      </c>
      <c r="I5049" s="23" t="str">
        <f aca="false">IF(B5049="","","")</f>
        <v/>
      </c>
      <c r="J5049" s="23" t="str">
        <f aca="false">IF(B5049="","","touch_3; "&amp;IFERROR(INDEX(Clay_Brands!$A$2:$FZ$601,398,Sync!$D$10)&amp;"","")&amp;"; "&amp;IFERROR(INDEX(Clay_Brands!$A$2:$FZ$601,398,Sync!$D$9)&amp;"",""))</f>
        <v/>
      </c>
      <c r="K5049" s="32" t="s">
        <v>1368</v>
      </c>
    </row>
    <row r="5050" customFormat="false" ht="15" hidden="false" customHeight="false" outlineLevel="0" collapsed="false">
      <c r="A5050" s="23" t="str">
        <f aca="false">IF(B5050="","",B5050+(17*1000+399)/10000000)</f>
        <v/>
      </c>
      <c r="B5050" s="35" t="str">
        <f aca="false">IF(AND(IFERROR(N(INDEX(Clay_Brands!$A$2:$FZ$601,399,Sync!$D$13)),0)&gt;0,IFERROR(INDEX(Clay_Brands!$A$2:$FZ$601,399,Sync!$D$5)&amp;"","")&lt;&gt;"",OR(LEFT(IFERROR(INDEX(Clay_Brands!$A$2:$FZ$601,399,Sync!$D$5)&amp;"",""),6)&lt;&gt;"SAMPLE",Config!$B$19="Y")),IFERROR(N(INDEX(Clay_Brands!$A$2:$FZ$601,399,Sync!$D$13)),0),"")</f>
        <v/>
      </c>
      <c r="C5050" s="23" t="str">
        <f aca="false">IF(B5050="","","brand")</f>
        <v/>
      </c>
      <c r="D5050" s="23" t="str">
        <f aca="false">IF(B5050="","",IFERROR(INDEX(Brand_Log!$DV$2:$DV$201,MATCH(IFERROR(INDEX(Clay_Brands!$A$2:$FZ$601,399,Sync!$D$5)&amp;"",""),Brand_Log!$A$2:$A$201,0))&amp;"",IFERROR(INDEX(Clay_Brands!$A$2:$FZ$601,399,Sync!$D$5)&amp;"","")&amp;""))</f>
        <v/>
      </c>
      <c r="E5050" s="23" t="str">
        <f aca="false">IF(B5050="","",IFERROR(INDEX(Clay_Brands!$A$2:$FZ$601,399,Sync!$D$6)&amp;"",""))</f>
        <v/>
      </c>
      <c r="F5050" s="23" t="str">
        <f aca="false">IF(B5050="","","outreach_sent")</f>
        <v/>
      </c>
      <c r="G5050" s="23" t="str">
        <f aca="false">IF(B5050="","","")</f>
        <v/>
      </c>
      <c r="H5050" s="23" t="str">
        <f aca="false">IF(B5050="","","")</f>
        <v/>
      </c>
      <c r="I5050" s="23" t="str">
        <f aca="false">IF(B5050="","","")</f>
        <v/>
      </c>
      <c r="J5050" s="23" t="str">
        <f aca="false">IF(B5050="","","touch_3; "&amp;IFERROR(INDEX(Clay_Brands!$A$2:$FZ$601,399,Sync!$D$10)&amp;"","")&amp;"; "&amp;IFERROR(INDEX(Clay_Brands!$A$2:$FZ$601,399,Sync!$D$9)&amp;"",""))</f>
        <v/>
      </c>
      <c r="K5050" s="32" t="s">
        <v>1368</v>
      </c>
    </row>
    <row r="5051" customFormat="false" ht="15" hidden="false" customHeight="false" outlineLevel="0" collapsed="false">
      <c r="A5051" s="23" t="str">
        <f aca="false">IF(B5051="","",B5051+(17*1000+400)/10000000)</f>
        <v/>
      </c>
      <c r="B5051" s="35" t="str">
        <f aca="false">IF(AND(IFERROR(N(INDEX(Clay_Brands!$A$2:$FZ$601,400,Sync!$D$13)),0)&gt;0,IFERROR(INDEX(Clay_Brands!$A$2:$FZ$601,400,Sync!$D$5)&amp;"","")&lt;&gt;"",OR(LEFT(IFERROR(INDEX(Clay_Brands!$A$2:$FZ$601,400,Sync!$D$5)&amp;"",""),6)&lt;&gt;"SAMPLE",Config!$B$19="Y")),IFERROR(N(INDEX(Clay_Brands!$A$2:$FZ$601,400,Sync!$D$13)),0),"")</f>
        <v/>
      </c>
      <c r="C5051" s="23" t="str">
        <f aca="false">IF(B5051="","","brand")</f>
        <v/>
      </c>
      <c r="D5051" s="23" t="str">
        <f aca="false">IF(B5051="","",IFERROR(INDEX(Brand_Log!$DV$2:$DV$201,MATCH(IFERROR(INDEX(Clay_Brands!$A$2:$FZ$601,400,Sync!$D$5)&amp;"",""),Brand_Log!$A$2:$A$201,0))&amp;"",IFERROR(INDEX(Clay_Brands!$A$2:$FZ$601,400,Sync!$D$5)&amp;"","")&amp;""))</f>
        <v/>
      </c>
      <c r="E5051" s="23" t="str">
        <f aca="false">IF(B5051="","",IFERROR(INDEX(Clay_Brands!$A$2:$FZ$601,400,Sync!$D$6)&amp;"",""))</f>
        <v/>
      </c>
      <c r="F5051" s="23" t="str">
        <f aca="false">IF(B5051="","","outreach_sent")</f>
        <v/>
      </c>
      <c r="G5051" s="23" t="str">
        <f aca="false">IF(B5051="","","")</f>
        <v/>
      </c>
      <c r="H5051" s="23" t="str">
        <f aca="false">IF(B5051="","","")</f>
        <v/>
      </c>
      <c r="I5051" s="23" t="str">
        <f aca="false">IF(B5051="","","")</f>
        <v/>
      </c>
      <c r="J5051" s="23" t="str">
        <f aca="false">IF(B5051="","","touch_3; "&amp;IFERROR(INDEX(Clay_Brands!$A$2:$FZ$601,400,Sync!$D$10)&amp;"","")&amp;"; "&amp;IFERROR(INDEX(Clay_Brands!$A$2:$FZ$601,400,Sync!$D$9)&amp;"",""))</f>
        <v/>
      </c>
      <c r="K5051" s="32" t="s">
        <v>1368</v>
      </c>
    </row>
    <row r="5052" customFormat="false" ht="15" hidden="false" customHeight="false" outlineLevel="0" collapsed="false">
      <c r="A5052" s="23" t="str">
        <f aca="false">IF(B5052="","",B5052+(17*1000+401)/10000000)</f>
        <v/>
      </c>
      <c r="B5052" s="35" t="str">
        <f aca="false">IF(AND(IFERROR(N(INDEX(Clay_Brands!$A$2:$FZ$601,401,Sync!$D$13)),0)&gt;0,IFERROR(INDEX(Clay_Brands!$A$2:$FZ$601,401,Sync!$D$5)&amp;"","")&lt;&gt;"",OR(LEFT(IFERROR(INDEX(Clay_Brands!$A$2:$FZ$601,401,Sync!$D$5)&amp;"",""),6)&lt;&gt;"SAMPLE",Config!$B$19="Y")),IFERROR(N(INDEX(Clay_Brands!$A$2:$FZ$601,401,Sync!$D$13)),0),"")</f>
        <v/>
      </c>
      <c r="C5052" s="23" t="str">
        <f aca="false">IF(B5052="","","brand")</f>
        <v/>
      </c>
      <c r="D5052" s="23" t="str">
        <f aca="false">IF(B5052="","",IFERROR(INDEX(Brand_Log!$DV$2:$DV$201,MATCH(IFERROR(INDEX(Clay_Brands!$A$2:$FZ$601,401,Sync!$D$5)&amp;"",""),Brand_Log!$A$2:$A$201,0))&amp;"",IFERROR(INDEX(Clay_Brands!$A$2:$FZ$601,401,Sync!$D$5)&amp;"","")&amp;""))</f>
        <v/>
      </c>
      <c r="E5052" s="23" t="str">
        <f aca="false">IF(B5052="","",IFERROR(INDEX(Clay_Brands!$A$2:$FZ$601,401,Sync!$D$6)&amp;"",""))</f>
        <v/>
      </c>
      <c r="F5052" s="23" t="str">
        <f aca="false">IF(B5052="","","outreach_sent")</f>
        <v/>
      </c>
      <c r="G5052" s="23" t="str">
        <f aca="false">IF(B5052="","","")</f>
        <v/>
      </c>
      <c r="H5052" s="23" t="str">
        <f aca="false">IF(B5052="","","")</f>
        <v/>
      </c>
      <c r="I5052" s="23" t="str">
        <f aca="false">IF(B5052="","","")</f>
        <v/>
      </c>
      <c r="J5052" s="23" t="str">
        <f aca="false">IF(B5052="","","touch_3; "&amp;IFERROR(INDEX(Clay_Brands!$A$2:$FZ$601,401,Sync!$D$10)&amp;"","")&amp;"; "&amp;IFERROR(INDEX(Clay_Brands!$A$2:$FZ$601,401,Sync!$D$9)&amp;"",""))</f>
        <v/>
      </c>
      <c r="K5052" s="32" t="s">
        <v>1368</v>
      </c>
    </row>
    <row r="5053" customFormat="false" ht="15" hidden="false" customHeight="false" outlineLevel="0" collapsed="false">
      <c r="A5053" s="23" t="str">
        <f aca="false">IF(B5053="","",B5053+(17*1000+402)/10000000)</f>
        <v/>
      </c>
      <c r="B5053" s="35" t="str">
        <f aca="false">IF(AND(IFERROR(N(INDEX(Clay_Brands!$A$2:$FZ$601,402,Sync!$D$13)),0)&gt;0,IFERROR(INDEX(Clay_Brands!$A$2:$FZ$601,402,Sync!$D$5)&amp;"","")&lt;&gt;"",OR(LEFT(IFERROR(INDEX(Clay_Brands!$A$2:$FZ$601,402,Sync!$D$5)&amp;"",""),6)&lt;&gt;"SAMPLE",Config!$B$19="Y")),IFERROR(N(INDEX(Clay_Brands!$A$2:$FZ$601,402,Sync!$D$13)),0),"")</f>
        <v/>
      </c>
      <c r="C5053" s="23" t="str">
        <f aca="false">IF(B5053="","","brand")</f>
        <v/>
      </c>
      <c r="D5053" s="23" t="str">
        <f aca="false">IF(B5053="","",IFERROR(INDEX(Brand_Log!$DV$2:$DV$201,MATCH(IFERROR(INDEX(Clay_Brands!$A$2:$FZ$601,402,Sync!$D$5)&amp;"",""),Brand_Log!$A$2:$A$201,0))&amp;"",IFERROR(INDEX(Clay_Brands!$A$2:$FZ$601,402,Sync!$D$5)&amp;"","")&amp;""))</f>
        <v/>
      </c>
      <c r="E5053" s="23" t="str">
        <f aca="false">IF(B5053="","",IFERROR(INDEX(Clay_Brands!$A$2:$FZ$601,402,Sync!$D$6)&amp;"",""))</f>
        <v/>
      </c>
      <c r="F5053" s="23" t="str">
        <f aca="false">IF(B5053="","","outreach_sent")</f>
        <v/>
      </c>
      <c r="G5053" s="23" t="str">
        <f aca="false">IF(B5053="","","")</f>
        <v/>
      </c>
      <c r="H5053" s="23" t="str">
        <f aca="false">IF(B5053="","","")</f>
        <v/>
      </c>
      <c r="I5053" s="23" t="str">
        <f aca="false">IF(B5053="","","")</f>
        <v/>
      </c>
      <c r="J5053" s="23" t="str">
        <f aca="false">IF(B5053="","","touch_3; "&amp;IFERROR(INDEX(Clay_Brands!$A$2:$FZ$601,402,Sync!$D$10)&amp;"","")&amp;"; "&amp;IFERROR(INDEX(Clay_Brands!$A$2:$FZ$601,402,Sync!$D$9)&amp;"",""))</f>
        <v/>
      </c>
      <c r="K5053" s="32" t="s">
        <v>1368</v>
      </c>
    </row>
    <row r="5054" customFormat="false" ht="15" hidden="false" customHeight="false" outlineLevel="0" collapsed="false">
      <c r="A5054" s="23" t="str">
        <f aca="false">IF(B5054="","",B5054+(17*1000+403)/10000000)</f>
        <v/>
      </c>
      <c r="B5054" s="35" t="str">
        <f aca="false">IF(AND(IFERROR(N(INDEX(Clay_Brands!$A$2:$FZ$601,403,Sync!$D$13)),0)&gt;0,IFERROR(INDEX(Clay_Brands!$A$2:$FZ$601,403,Sync!$D$5)&amp;"","")&lt;&gt;"",OR(LEFT(IFERROR(INDEX(Clay_Brands!$A$2:$FZ$601,403,Sync!$D$5)&amp;"",""),6)&lt;&gt;"SAMPLE",Config!$B$19="Y")),IFERROR(N(INDEX(Clay_Brands!$A$2:$FZ$601,403,Sync!$D$13)),0),"")</f>
        <v/>
      </c>
      <c r="C5054" s="23" t="str">
        <f aca="false">IF(B5054="","","brand")</f>
        <v/>
      </c>
      <c r="D5054" s="23" t="str">
        <f aca="false">IF(B5054="","",IFERROR(INDEX(Brand_Log!$DV$2:$DV$201,MATCH(IFERROR(INDEX(Clay_Brands!$A$2:$FZ$601,403,Sync!$D$5)&amp;"",""),Brand_Log!$A$2:$A$201,0))&amp;"",IFERROR(INDEX(Clay_Brands!$A$2:$FZ$601,403,Sync!$D$5)&amp;"","")&amp;""))</f>
        <v/>
      </c>
      <c r="E5054" s="23" t="str">
        <f aca="false">IF(B5054="","",IFERROR(INDEX(Clay_Brands!$A$2:$FZ$601,403,Sync!$D$6)&amp;"",""))</f>
        <v/>
      </c>
      <c r="F5054" s="23" t="str">
        <f aca="false">IF(B5054="","","outreach_sent")</f>
        <v/>
      </c>
      <c r="G5054" s="23" t="str">
        <f aca="false">IF(B5054="","","")</f>
        <v/>
      </c>
      <c r="H5054" s="23" t="str">
        <f aca="false">IF(B5054="","","")</f>
        <v/>
      </c>
      <c r="I5054" s="23" t="str">
        <f aca="false">IF(B5054="","","")</f>
        <v/>
      </c>
      <c r="J5054" s="23" t="str">
        <f aca="false">IF(B5054="","","touch_3; "&amp;IFERROR(INDEX(Clay_Brands!$A$2:$FZ$601,403,Sync!$D$10)&amp;"","")&amp;"; "&amp;IFERROR(INDEX(Clay_Brands!$A$2:$FZ$601,403,Sync!$D$9)&amp;"",""))</f>
        <v/>
      </c>
      <c r="K5054" s="32" t="s">
        <v>1368</v>
      </c>
    </row>
    <row r="5055" customFormat="false" ht="15" hidden="false" customHeight="false" outlineLevel="0" collapsed="false">
      <c r="A5055" s="23" t="str">
        <f aca="false">IF(B5055="","",B5055+(17*1000+404)/10000000)</f>
        <v/>
      </c>
      <c r="B5055" s="35" t="str">
        <f aca="false">IF(AND(IFERROR(N(INDEX(Clay_Brands!$A$2:$FZ$601,404,Sync!$D$13)),0)&gt;0,IFERROR(INDEX(Clay_Brands!$A$2:$FZ$601,404,Sync!$D$5)&amp;"","")&lt;&gt;"",OR(LEFT(IFERROR(INDEX(Clay_Brands!$A$2:$FZ$601,404,Sync!$D$5)&amp;"",""),6)&lt;&gt;"SAMPLE",Config!$B$19="Y")),IFERROR(N(INDEX(Clay_Brands!$A$2:$FZ$601,404,Sync!$D$13)),0),"")</f>
        <v/>
      </c>
      <c r="C5055" s="23" t="str">
        <f aca="false">IF(B5055="","","brand")</f>
        <v/>
      </c>
      <c r="D5055" s="23" t="str">
        <f aca="false">IF(B5055="","",IFERROR(INDEX(Brand_Log!$DV$2:$DV$201,MATCH(IFERROR(INDEX(Clay_Brands!$A$2:$FZ$601,404,Sync!$D$5)&amp;"",""),Brand_Log!$A$2:$A$201,0))&amp;"",IFERROR(INDEX(Clay_Brands!$A$2:$FZ$601,404,Sync!$D$5)&amp;"","")&amp;""))</f>
        <v/>
      </c>
      <c r="E5055" s="23" t="str">
        <f aca="false">IF(B5055="","",IFERROR(INDEX(Clay_Brands!$A$2:$FZ$601,404,Sync!$D$6)&amp;"",""))</f>
        <v/>
      </c>
      <c r="F5055" s="23" t="str">
        <f aca="false">IF(B5055="","","outreach_sent")</f>
        <v/>
      </c>
      <c r="G5055" s="23" t="str">
        <f aca="false">IF(B5055="","","")</f>
        <v/>
      </c>
      <c r="H5055" s="23" t="str">
        <f aca="false">IF(B5055="","","")</f>
        <v/>
      </c>
      <c r="I5055" s="23" t="str">
        <f aca="false">IF(B5055="","","")</f>
        <v/>
      </c>
      <c r="J5055" s="23" t="str">
        <f aca="false">IF(B5055="","","touch_3; "&amp;IFERROR(INDEX(Clay_Brands!$A$2:$FZ$601,404,Sync!$D$10)&amp;"","")&amp;"; "&amp;IFERROR(INDEX(Clay_Brands!$A$2:$FZ$601,404,Sync!$D$9)&amp;"",""))</f>
        <v/>
      </c>
      <c r="K5055" s="32" t="s">
        <v>1368</v>
      </c>
    </row>
    <row r="5056" customFormat="false" ht="15" hidden="false" customHeight="false" outlineLevel="0" collapsed="false">
      <c r="A5056" s="23" t="str">
        <f aca="false">IF(B5056="","",B5056+(17*1000+405)/10000000)</f>
        <v/>
      </c>
      <c r="B5056" s="35" t="str">
        <f aca="false">IF(AND(IFERROR(N(INDEX(Clay_Brands!$A$2:$FZ$601,405,Sync!$D$13)),0)&gt;0,IFERROR(INDEX(Clay_Brands!$A$2:$FZ$601,405,Sync!$D$5)&amp;"","")&lt;&gt;"",OR(LEFT(IFERROR(INDEX(Clay_Brands!$A$2:$FZ$601,405,Sync!$D$5)&amp;"",""),6)&lt;&gt;"SAMPLE",Config!$B$19="Y")),IFERROR(N(INDEX(Clay_Brands!$A$2:$FZ$601,405,Sync!$D$13)),0),"")</f>
        <v/>
      </c>
      <c r="C5056" s="23" t="str">
        <f aca="false">IF(B5056="","","brand")</f>
        <v/>
      </c>
      <c r="D5056" s="23" t="str">
        <f aca="false">IF(B5056="","",IFERROR(INDEX(Brand_Log!$DV$2:$DV$201,MATCH(IFERROR(INDEX(Clay_Brands!$A$2:$FZ$601,405,Sync!$D$5)&amp;"",""),Brand_Log!$A$2:$A$201,0))&amp;"",IFERROR(INDEX(Clay_Brands!$A$2:$FZ$601,405,Sync!$D$5)&amp;"","")&amp;""))</f>
        <v/>
      </c>
      <c r="E5056" s="23" t="str">
        <f aca="false">IF(B5056="","",IFERROR(INDEX(Clay_Brands!$A$2:$FZ$601,405,Sync!$D$6)&amp;"",""))</f>
        <v/>
      </c>
      <c r="F5056" s="23" t="str">
        <f aca="false">IF(B5056="","","outreach_sent")</f>
        <v/>
      </c>
      <c r="G5056" s="23" t="str">
        <f aca="false">IF(B5056="","","")</f>
        <v/>
      </c>
      <c r="H5056" s="23" t="str">
        <f aca="false">IF(B5056="","","")</f>
        <v/>
      </c>
      <c r="I5056" s="23" t="str">
        <f aca="false">IF(B5056="","","")</f>
        <v/>
      </c>
      <c r="J5056" s="23" t="str">
        <f aca="false">IF(B5056="","","touch_3; "&amp;IFERROR(INDEX(Clay_Brands!$A$2:$FZ$601,405,Sync!$D$10)&amp;"","")&amp;"; "&amp;IFERROR(INDEX(Clay_Brands!$A$2:$FZ$601,405,Sync!$D$9)&amp;"",""))</f>
        <v/>
      </c>
      <c r="K5056" s="32" t="s">
        <v>1368</v>
      </c>
    </row>
    <row r="5057" customFormat="false" ht="15" hidden="false" customHeight="false" outlineLevel="0" collapsed="false">
      <c r="A5057" s="23" t="str">
        <f aca="false">IF(B5057="","",B5057+(17*1000+406)/10000000)</f>
        <v/>
      </c>
      <c r="B5057" s="35" t="str">
        <f aca="false">IF(AND(IFERROR(N(INDEX(Clay_Brands!$A$2:$FZ$601,406,Sync!$D$13)),0)&gt;0,IFERROR(INDEX(Clay_Brands!$A$2:$FZ$601,406,Sync!$D$5)&amp;"","")&lt;&gt;"",OR(LEFT(IFERROR(INDEX(Clay_Brands!$A$2:$FZ$601,406,Sync!$D$5)&amp;"",""),6)&lt;&gt;"SAMPLE",Config!$B$19="Y")),IFERROR(N(INDEX(Clay_Brands!$A$2:$FZ$601,406,Sync!$D$13)),0),"")</f>
        <v/>
      </c>
      <c r="C5057" s="23" t="str">
        <f aca="false">IF(B5057="","","brand")</f>
        <v/>
      </c>
      <c r="D5057" s="23" t="str">
        <f aca="false">IF(B5057="","",IFERROR(INDEX(Brand_Log!$DV$2:$DV$201,MATCH(IFERROR(INDEX(Clay_Brands!$A$2:$FZ$601,406,Sync!$D$5)&amp;"",""),Brand_Log!$A$2:$A$201,0))&amp;"",IFERROR(INDEX(Clay_Brands!$A$2:$FZ$601,406,Sync!$D$5)&amp;"","")&amp;""))</f>
        <v/>
      </c>
      <c r="E5057" s="23" t="str">
        <f aca="false">IF(B5057="","",IFERROR(INDEX(Clay_Brands!$A$2:$FZ$601,406,Sync!$D$6)&amp;"",""))</f>
        <v/>
      </c>
      <c r="F5057" s="23" t="str">
        <f aca="false">IF(B5057="","","outreach_sent")</f>
        <v/>
      </c>
      <c r="G5057" s="23" t="str">
        <f aca="false">IF(B5057="","","")</f>
        <v/>
      </c>
      <c r="H5057" s="23" t="str">
        <f aca="false">IF(B5057="","","")</f>
        <v/>
      </c>
      <c r="I5057" s="23" t="str">
        <f aca="false">IF(B5057="","","")</f>
        <v/>
      </c>
      <c r="J5057" s="23" t="str">
        <f aca="false">IF(B5057="","","touch_3; "&amp;IFERROR(INDEX(Clay_Brands!$A$2:$FZ$601,406,Sync!$D$10)&amp;"","")&amp;"; "&amp;IFERROR(INDEX(Clay_Brands!$A$2:$FZ$601,406,Sync!$D$9)&amp;"",""))</f>
        <v/>
      </c>
      <c r="K5057" s="32" t="s">
        <v>1368</v>
      </c>
    </row>
    <row r="5058" customFormat="false" ht="15" hidden="false" customHeight="false" outlineLevel="0" collapsed="false">
      <c r="A5058" s="23" t="str">
        <f aca="false">IF(B5058="","",B5058+(17*1000+407)/10000000)</f>
        <v/>
      </c>
      <c r="B5058" s="35" t="str">
        <f aca="false">IF(AND(IFERROR(N(INDEX(Clay_Brands!$A$2:$FZ$601,407,Sync!$D$13)),0)&gt;0,IFERROR(INDEX(Clay_Brands!$A$2:$FZ$601,407,Sync!$D$5)&amp;"","")&lt;&gt;"",OR(LEFT(IFERROR(INDEX(Clay_Brands!$A$2:$FZ$601,407,Sync!$D$5)&amp;"",""),6)&lt;&gt;"SAMPLE",Config!$B$19="Y")),IFERROR(N(INDEX(Clay_Brands!$A$2:$FZ$601,407,Sync!$D$13)),0),"")</f>
        <v/>
      </c>
      <c r="C5058" s="23" t="str">
        <f aca="false">IF(B5058="","","brand")</f>
        <v/>
      </c>
      <c r="D5058" s="23" t="str">
        <f aca="false">IF(B5058="","",IFERROR(INDEX(Brand_Log!$DV$2:$DV$201,MATCH(IFERROR(INDEX(Clay_Brands!$A$2:$FZ$601,407,Sync!$D$5)&amp;"",""),Brand_Log!$A$2:$A$201,0))&amp;"",IFERROR(INDEX(Clay_Brands!$A$2:$FZ$601,407,Sync!$D$5)&amp;"","")&amp;""))</f>
        <v/>
      </c>
      <c r="E5058" s="23" t="str">
        <f aca="false">IF(B5058="","",IFERROR(INDEX(Clay_Brands!$A$2:$FZ$601,407,Sync!$D$6)&amp;"",""))</f>
        <v/>
      </c>
      <c r="F5058" s="23" t="str">
        <f aca="false">IF(B5058="","","outreach_sent")</f>
        <v/>
      </c>
      <c r="G5058" s="23" t="str">
        <f aca="false">IF(B5058="","","")</f>
        <v/>
      </c>
      <c r="H5058" s="23" t="str">
        <f aca="false">IF(B5058="","","")</f>
        <v/>
      </c>
      <c r="I5058" s="23" t="str">
        <f aca="false">IF(B5058="","","")</f>
        <v/>
      </c>
      <c r="J5058" s="23" t="str">
        <f aca="false">IF(B5058="","","touch_3; "&amp;IFERROR(INDEX(Clay_Brands!$A$2:$FZ$601,407,Sync!$D$10)&amp;"","")&amp;"; "&amp;IFERROR(INDEX(Clay_Brands!$A$2:$FZ$601,407,Sync!$D$9)&amp;"",""))</f>
        <v/>
      </c>
      <c r="K5058" s="32" t="s">
        <v>1368</v>
      </c>
    </row>
    <row r="5059" customFormat="false" ht="15" hidden="false" customHeight="false" outlineLevel="0" collapsed="false">
      <c r="A5059" s="23" t="str">
        <f aca="false">IF(B5059="","",B5059+(17*1000+408)/10000000)</f>
        <v/>
      </c>
      <c r="B5059" s="35" t="str">
        <f aca="false">IF(AND(IFERROR(N(INDEX(Clay_Brands!$A$2:$FZ$601,408,Sync!$D$13)),0)&gt;0,IFERROR(INDEX(Clay_Brands!$A$2:$FZ$601,408,Sync!$D$5)&amp;"","")&lt;&gt;"",OR(LEFT(IFERROR(INDEX(Clay_Brands!$A$2:$FZ$601,408,Sync!$D$5)&amp;"",""),6)&lt;&gt;"SAMPLE",Config!$B$19="Y")),IFERROR(N(INDEX(Clay_Brands!$A$2:$FZ$601,408,Sync!$D$13)),0),"")</f>
        <v/>
      </c>
      <c r="C5059" s="23" t="str">
        <f aca="false">IF(B5059="","","brand")</f>
        <v/>
      </c>
      <c r="D5059" s="23" t="str">
        <f aca="false">IF(B5059="","",IFERROR(INDEX(Brand_Log!$DV$2:$DV$201,MATCH(IFERROR(INDEX(Clay_Brands!$A$2:$FZ$601,408,Sync!$D$5)&amp;"",""),Brand_Log!$A$2:$A$201,0))&amp;"",IFERROR(INDEX(Clay_Brands!$A$2:$FZ$601,408,Sync!$D$5)&amp;"","")&amp;""))</f>
        <v/>
      </c>
      <c r="E5059" s="23" t="str">
        <f aca="false">IF(B5059="","",IFERROR(INDEX(Clay_Brands!$A$2:$FZ$601,408,Sync!$D$6)&amp;"",""))</f>
        <v/>
      </c>
      <c r="F5059" s="23" t="str">
        <f aca="false">IF(B5059="","","outreach_sent")</f>
        <v/>
      </c>
      <c r="G5059" s="23" t="str">
        <f aca="false">IF(B5059="","","")</f>
        <v/>
      </c>
      <c r="H5059" s="23" t="str">
        <f aca="false">IF(B5059="","","")</f>
        <v/>
      </c>
      <c r="I5059" s="23" t="str">
        <f aca="false">IF(B5059="","","")</f>
        <v/>
      </c>
      <c r="J5059" s="23" t="str">
        <f aca="false">IF(B5059="","","touch_3; "&amp;IFERROR(INDEX(Clay_Brands!$A$2:$FZ$601,408,Sync!$D$10)&amp;"","")&amp;"; "&amp;IFERROR(INDEX(Clay_Brands!$A$2:$FZ$601,408,Sync!$D$9)&amp;"",""))</f>
        <v/>
      </c>
      <c r="K5059" s="32" t="s">
        <v>1368</v>
      </c>
    </row>
    <row r="5060" customFormat="false" ht="15" hidden="false" customHeight="false" outlineLevel="0" collapsed="false">
      <c r="A5060" s="23" t="str">
        <f aca="false">IF(B5060="","",B5060+(17*1000+409)/10000000)</f>
        <v/>
      </c>
      <c r="B5060" s="35" t="str">
        <f aca="false">IF(AND(IFERROR(N(INDEX(Clay_Brands!$A$2:$FZ$601,409,Sync!$D$13)),0)&gt;0,IFERROR(INDEX(Clay_Brands!$A$2:$FZ$601,409,Sync!$D$5)&amp;"","")&lt;&gt;"",OR(LEFT(IFERROR(INDEX(Clay_Brands!$A$2:$FZ$601,409,Sync!$D$5)&amp;"",""),6)&lt;&gt;"SAMPLE",Config!$B$19="Y")),IFERROR(N(INDEX(Clay_Brands!$A$2:$FZ$601,409,Sync!$D$13)),0),"")</f>
        <v/>
      </c>
      <c r="C5060" s="23" t="str">
        <f aca="false">IF(B5060="","","brand")</f>
        <v/>
      </c>
      <c r="D5060" s="23" t="str">
        <f aca="false">IF(B5060="","",IFERROR(INDEX(Brand_Log!$DV$2:$DV$201,MATCH(IFERROR(INDEX(Clay_Brands!$A$2:$FZ$601,409,Sync!$D$5)&amp;"",""),Brand_Log!$A$2:$A$201,0))&amp;"",IFERROR(INDEX(Clay_Brands!$A$2:$FZ$601,409,Sync!$D$5)&amp;"","")&amp;""))</f>
        <v/>
      </c>
      <c r="E5060" s="23" t="str">
        <f aca="false">IF(B5060="","",IFERROR(INDEX(Clay_Brands!$A$2:$FZ$601,409,Sync!$D$6)&amp;"",""))</f>
        <v/>
      </c>
      <c r="F5060" s="23" t="str">
        <f aca="false">IF(B5060="","","outreach_sent")</f>
        <v/>
      </c>
      <c r="G5060" s="23" t="str">
        <f aca="false">IF(B5060="","","")</f>
        <v/>
      </c>
      <c r="H5060" s="23" t="str">
        <f aca="false">IF(B5060="","","")</f>
        <v/>
      </c>
      <c r="I5060" s="23" t="str">
        <f aca="false">IF(B5060="","","")</f>
        <v/>
      </c>
      <c r="J5060" s="23" t="str">
        <f aca="false">IF(B5060="","","touch_3; "&amp;IFERROR(INDEX(Clay_Brands!$A$2:$FZ$601,409,Sync!$D$10)&amp;"","")&amp;"; "&amp;IFERROR(INDEX(Clay_Brands!$A$2:$FZ$601,409,Sync!$D$9)&amp;"",""))</f>
        <v/>
      </c>
      <c r="K5060" s="32" t="s">
        <v>1368</v>
      </c>
    </row>
    <row r="5061" customFormat="false" ht="15" hidden="false" customHeight="false" outlineLevel="0" collapsed="false">
      <c r="A5061" s="23" t="str">
        <f aca="false">IF(B5061="","",B5061+(17*1000+410)/10000000)</f>
        <v/>
      </c>
      <c r="B5061" s="35" t="str">
        <f aca="false">IF(AND(IFERROR(N(INDEX(Clay_Brands!$A$2:$FZ$601,410,Sync!$D$13)),0)&gt;0,IFERROR(INDEX(Clay_Brands!$A$2:$FZ$601,410,Sync!$D$5)&amp;"","")&lt;&gt;"",OR(LEFT(IFERROR(INDEX(Clay_Brands!$A$2:$FZ$601,410,Sync!$D$5)&amp;"",""),6)&lt;&gt;"SAMPLE",Config!$B$19="Y")),IFERROR(N(INDEX(Clay_Brands!$A$2:$FZ$601,410,Sync!$D$13)),0),"")</f>
        <v/>
      </c>
      <c r="C5061" s="23" t="str">
        <f aca="false">IF(B5061="","","brand")</f>
        <v/>
      </c>
      <c r="D5061" s="23" t="str">
        <f aca="false">IF(B5061="","",IFERROR(INDEX(Brand_Log!$DV$2:$DV$201,MATCH(IFERROR(INDEX(Clay_Brands!$A$2:$FZ$601,410,Sync!$D$5)&amp;"",""),Brand_Log!$A$2:$A$201,0))&amp;"",IFERROR(INDEX(Clay_Brands!$A$2:$FZ$601,410,Sync!$D$5)&amp;"","")&amp;""))</f>
        <v/>
      </c>
      <c r="E5061" s="23" t="str">
        <f aca="false">IF(B5061="","",IFERROR(INDEX(Clay_Brands!$A$2:$FZ$601,410,Sync!$D$6)&amp;"",""))</f>
        <v/>
      </c>
      <c r="F5061" s="23" t="str">
        <f aca="false">IF(B5061="","","outreach_sent")</f>
        <v/>
      </c>
      <c r="G5061" s="23" t="str">
        <f aca="false">IF(B5061="","","")</f>
        <v/>
      </c>
      <c r="H5061" s="23" t="str">
        <f aca="false">IF(B5061="","","")</f>
        <v/>
      </c>
      <c r="I5061" s="23" t="str">
        <f aca="false">IF(B5061="","","")</f>
        <v/>
      </c>
      <c r="J5061" s="23" t="str">
        <f aca="false">IF(B5061="","","touch_3; "&amp;IFERROR(INDEX(Clay_Brands!$A$2:$FZ$601,410,Sync!$D$10)&amp;"","")&amp;"; "&amp;IFERROR(INDEX(Clay_Brands!$A$2:$FZ$601,410,Sync!$D$9)&amp;"",""))</f>
        <v/>
      </c>
      <c r="K5061" s="32" t="s">
        <v>1368</v>
      </c>
    </row>
    <row r="5062" customFormat="false" ht="15" hidden="false" customHeight="false" outlineLevel="0" collapsed="false">
      <c r="A5062" s="23" t="str">
        <f aca="false">IF(B5062="","",B5062+(17*1000+411)/10000000)</f>
        <v/>
      </c>
      <c r="B5062" s="35" t="str">
        <f aca="false">IF(AND(IFERROR(N(INDEX(Clay_Brands!$A$2:$FZ$601,411,Sync!$D$13)),0)&gt;0,IFERROR(INDEX(Clay_Brands!$A$2:$FZ$601,411,Sync!$D$5)&amp;"","")&lt;&gt;"",OR(LEFT(IFERROR(INDEX(Clay_Brands!$A$2:$FZ$601,411,Sync!$D$5)&amp;"",""),6)&lt;&gt;"SAMPLE",Config!$B$19="Y")),IFERROR(N(INDEX(Clay_Brands!$A$2:$FZ$601,411,Sync!$D$13)),0),"")</f>
        <v/>
      </c>
      <c r="C5062" s="23" t="str">
        <f aca="false">IF(B5062="","","brand")</f>
        <v/>
      </c>
      <c r="D5062" s="23" t="str">
        <f aca="false">IF(B5062="","",IFERROR(INDEX(Brand_Log!$DV$2:$DV$201,MATCH(IFERROR(INDEX(Clay_Brands!$A$2:$FZ$601,411,Sync!$D$5)&amp;"",""),Brand_Log!$A$2:$A$201,0))&amp;"",IFERROR(INDEX(Clay_Brands!$A$2:$FZ$601,411,Sync!$D$5)&amp;"","")&amp;""))</f>
        <v/>
      </c>
      <c r="E5062" s="23" t="str">
        <f aca="false">IF(B5062="","",IFERROR(INDEX(Clay_Brands!$A$2:$FZ$601,411,Sync!$D$6)&amp;"",""))</f>
        <v/>
      </c>
      <c r="F5062" s="23" t="str">
        <f aca="false">IF(B5062="","","outreach_sent")</f>
        <v/>
      </c>
      <c r="G5062" s="23" t="str">
        <f aca="false">IF(B5062="","","")</f>
        <v/>
      </c>
      <c r="H5062" s="23" t="str">
        <f aca="false">IF(B5062="","","")</f>
        <v/>
      </c>
      <c r="I5062" s="23" t="str">
        <f aca="false">IF(B5062="","","")</f>
        <v/>
      </c>
      <c r="J5062" s="23" t="str">
        <f aca="false">IF(B5062="","","touch_3; "&amp;IFERROR(INDEX(Clay_Brands!$A$2:$FZ$601,411,Sync!$D$10)&amp;"","")&amp;"; "&amp;IFERROR(INDEX(Clay_Brands!$A$2:$FZ$601,411,Sync!$D$9)&amp;"",""))</f>
        <v/>
      </c>
      <c r="K5062" s="32" t="s">
        <v>1368</v>
      </c>
    </row>
    <row r="5063" customFormat="false" ht="15" hidden="false" customHeight="false" outlineLevel="0" collapsed="false">
      <c r="A5063" s="23" t="str">
        <f aca="false">IF(B5063="","",B5063+(17*1000+412)/10000000)</f>
        <v/>
      </c>
      <c r="B5063" s="35" t="str">
        <f aca="false">IF(AND(IFERROR(N(INDEX(Clay_Brands!$A$2:$FZ$601,412,Sync!$D$13)),0)&gt;0,IFERROR(INDEX(Clay_Brands!$A$2:$FZ$601,412,Sync!$D$5)&amp;"","")&lt;&gt;"",OR(LEFT(IFERROR(INDEX(Clay_Brands!$A$2:$FZ$601,412,Sync!$D$5)&amp;"",""),6)&lt;&gt;"SAMPLE",Config!$B$19="Y")),IFERROR(N(INDEX(Clay_Brands!$A$2:$FZ$601,412,Sync!$D$13)),0),"")</f>
        <v/>
      </c>
      <c r="C5063" s="23" t="str">
        <f aca="false">IF(B5063="","","brand")</f>
        <v/>
      </c>
      <c r="D5063" s="23" t="str">
        <f aca="false">IF(B5063="","",IFERROR(INDEX(Brand_Log!$DV$2:$DV$201,MATCH(IFERROR(INDEX(Clay_Brands!$A$2:$FZ$601,412,Sync!$D$5)&amp;"",""),Brand_Log!$A$2:$A$201,0))&amp;"",IFERROR(INDEX(Clay_Brands!$A$2:$FZ$601,412,Sync!$D$5)&amp;"","")&amp;""))</f>
        <v/>
      </c>
      <c r="E5063" s="23" t="str">
        <f aca="false">IF(B5063="","",IFERROR(INDEX(Clay_Brands!$A$2:$FZ$601,412,Sync!$D$6)&amp;"",""))</f>
        <v/>
      </c>
      <c r="F5063" s="23" t="str">
        <f aca="false">IF(B5063="","","outreach_sent")</f>
        <v/>
      </c>
      <c r="G5063" s="23" t="str">
        <f aca="false">IF(B5063="","","")</f>
        <v/>
      </c>
      <c r="H5063" s="23" t="str">
        <f aca="false">IF(B5063="","","")</f>
        <v/>
      </c>
      <c r="I5063" s="23" t="str">
        <f aca="false">IF(B5063="","","")</f>
        <v/>
      </c>
      <c r="J5063" s="23" t="str">
        <f aca="false">IF(B5063="","","touch_3; "&amp;IFERROR(INDEX(Clay_Brands!$A$2:$FZ$601,412,Sync!$D$10)&amp;"","")&amp;"; "&amp;IFERROR(INDEX(Clay_Brands!$A$2:$FZ$601,412,Sync!$D$9)&amp;"",""))</f>
        <v/>
      </c>
      <c r="K5063" s="32" t="s">
        <v>1368</v>
      </c>
    </row>
    <row r="5064" customFormat="false" ht="15" hidden="false" customHeight="false" outlineLevel="0" collapsed="false">
      <c r="A5064" s="23" t="str">
        <f aca="false">IF(B5064="","",B5064+(17*1000+413)/10000000)</f>
        <v/>
      </c>
      <c r="B5064" s="35" t="str">
        <f aca="false">IF(AND(IFERROR(N(INDEX(Clay_Brands!$A$2:$FZ$601,413,Sync!$D$13)),0)&gt;0,IFERROR(INDEX(Clay_Brands!$A$2:$FZ$601,413,Sync!$D$5)&amp;"","")&lt;&gt;"",OR(LEFT(IFERROR(INDEX(Clay_Brands!$A$2:$FZ$601,413,Sync!$D$5)&amp;"",""),6)&lt;&gt;"SAMPLE",Config!$B$19="Y")),IFERROR(N(INDEX(Clay_Brands!$A$2:$FZ$601,413,Sync!$D$13)),0),"")</f>
        <v/>
      </c>
      <c r="C5064" s="23" t="str">
        <f aca="false">IF(B5064="","","brand")</f>
        <v/>
      </c>
      <c r="D5064" s="23" t="str">
        <f aca="false">IF(B5064="","",IFERROR(INDEX(Brand_Log!$DV$2:$DV$201,MATCH(IFERROR(INDEX(Clay_Brands!$A$2:$FZ$601,413,Sync!$D$5)&amp;"",""),Brand_Log!$A$2:$A$201,0))&amp;"",IFERROR(INDEX(Clay_Brands!$A$2:$FZ$601,413,Sync!$D$5)&amp;"","")&amp;""))</f>
        <v/>
      </c>
      <c r="E5064" s="23" t="str">
        <f aca="false">IF(B5064="","",IFERROR(INDEX(Clay_Brands!$A$2:$FZ$601,413,Sync!$D$6)&amp;"",""))</f>
        <v/>
      </c>
      <c r="F5064" s="23" t="str">
        <f aca="false">IF(B5064="","","outreach_sent")</f>
        <v/>
      </c>
      <c r="G5064" s="23" t="str">
        <f aca="false">IF(B5064="","","")</f>
        <v/>
      </c>
      <c r="H5064" s="23" t="str">
        <f aca="false">IF(B5064="","","")</f>
        <v/>
      </c>
      <c r="I5064" s="23" t="str">
        <f aca="false">IF(B5064="","","")</f>
        <v/>
      </c>
      <c r="J5064" s="23" t="str">
        <f aca="false">IF(B5064="","","touch_3; "&amp;IFERROR(INDEX(Clay_Brands!$A$2:$FZ$601,413,Sync!$D$10)&amp;"","")&amp;"; "&amp;IFERROR(INDEX(Clay_Brands!$A$2:$FZ$601,413,Sync!$D$9)&amp;"",""))</f>
        <v/>
      </c>
      <c r="K5064" s="32" t="s">
        <v>1368</v>
      </c>
    </row>
    <row r="5065" customFormat="false" ht="15" hidden="false" customHeight="false" outlineLevel="0" collapsed="false">
      <c r="A5065" s="23" t="str">
        <f aca="false">IF(B5065="","",B5065+(17*1000+414)/10000000)</f>
        <v/>
      </c>
      <c r="B5065" s="35" t="str">
        <f aca="false">IF(AND(IFERROR(N(INDEX(Clay_Brands!$A$2:$FZ$601,414,Sync!$D$13)),0)&gt;0,IFERROR(INDEX(Clay_Brands!$A$2:$FZ$601,414,Sync!$D$5)&amp;"","")&lt;&gt;"",OR(LEFT(IFERROR(INDEX(Clay_Brands!$A$2:$FZ$601,414,Sync!$D$5)&amp;"",""),6)&lt;&gt;"SAMPLE",Config!$B$19="Y")),IFERROR(N(INDEX(Clay_Brands!$A$2:$FZ$601,414,Sync!$D$13)),0),"")</f>
        <v/>
      </c>
      <c r="C5065" s="23" t="str">
        <f aca="false">IF(B5065="","","brand")</f>
        <v/>
      </c>
      <c r="D5065" s="23" t="str">
        <f aca="false">IF(B5065="","",IFERROR(INDEX(Brand_Log!$DV$2:$DV$201,MATCH(IFERROR(INDEX(Clay_Brands!$A$2:$FZ$601,414,Sync!$D$5)&amp;"",""),Brand_Log!$A$2:$A$201,0))&amp;"",IFERROR(INDEX(Clay_Brands!$A$2:$FZ$601,414,Sync!$D$5)&amp;"","")&amp;""))</f>
        <v/>
      </c>
      <c r="E5065" s="23" t="str">
        <f aca="false">IF(B5065="","",IFERROR(INDEX(Clay_Brands!$A$2:$FZ$601,414,Sync!$D$6)&amp;"",""))</f>
        <v/>
      </c>
      <c r="F5065" s="23" t="str">
        <f aca="false">IF(B5065="","","outreach_sent")</f>
        <v/>
      </c>
      <c r="G5065" s="23" t="str">
        <f aca="false">IF(B5065="","","")</f>
        <v/>
      </c>
      <c r="H5065" s="23" t="str">
        <f aca="false">IF(B5065="","","")</f>
        <v/>
      </c>
      <c r="I5065" s="23" t="str">
        <f aca="false">IF(B5065="","","")</f>
        <v/>
      </c>
      <c r="J5065" s="23" t="str">
        <f aca="false">IF(B5065="","","touch_3; "&amp;IFERROR(INDEX(Clay_Brands!$A$2:$FZ$601,414,Sync!$D$10)&amp;"","")&amp;"; "&amp;IFERROR(INDEX(Clay_Brands!$A$2:$FZ$601,414,Sync!$D$9)&amp;"",""))</f>
        <v/>
      </c>
      <c r="K5065" s="32" t="s">
        <v>1368</v>
      </c>
    </row>
    <row r="5066" customFormat="false" ht="15" hidden="false" customHeight="false" outlineLevel="0" collapsed="false">
      <c r="A5066" s="23" t="str">
        <f aca="false">IF(B5066="","",B5066+(17*1000+415)/10000000)</f>
        <v/>
      </c>
      <c r="B5066" s="35" t="str">
        <f aca="false">IF(AND(IFERROR(N(INDEX(Clay_Brands!$A$2:$FZ$601,415,Sync!$D$13)),0)&gt;0,IFERROR(INDEX(Clay_Brands!$A$2:$FZ$601,415,Sync!$D$5)&amp;"","")&lt;&gt;"",OR(LEFT(IFERROR(INDEX(Clay_Brands!$A$2:$FZ$601,415,Sync!$D$5)&amp;"",""),6)&lt;&gt;"SAMPLE",Config!$B$19="Y")),IFERROR(N(INDEX(Clay_Brands!$A$2:$FZ$601,415,Sync!$D$13)),0),"")</f>
        <v/>
      </c>
      <c r="C5066" s="23" t="str">
        <f aca="false">IF(B5066="","","brand")</f>
        <v/>
      </c>
      <c r="D5066" s="23" t="str">
        <f aca="false">IF(B5066="","",IFERROR(INDEX(Brand_Log!$DV$2:$DV$201,MATCH(IFERROR(INDEX(Clay_Brands!$A$2:$FZ$601,415,Sync!$D$5)&amp;"",""),Brand_Log!$A$2:$A$201,0))&amp;"",IFERROR(INDEX(Clay_Brands!$A$2:$FZ$601,415,Sync!$D$5)&amp;"","")&amp;""))</f>
        <v/>
      </c>
      <c r="E5066" s="23" t="str">
        <f aca="false">IF(B5066="","",IFERROR(INDEX(Clay_Brands!$A$2:$FZ$601,415,Sync!$D$6)&amp;"",""))</f>
        <v/>
      </c>
      <c r="F5066" s="23" t="str">
        <f aca="false">IF(B5066="","","outreach_sent")</f>
        <v/>
      </c>
      <c r="G5066" s="23" t="str">
        <f aca="false">IF(B5066="","","")</f>
        <v/>
      </c>
      <c r="H5066" s="23" t="str">
        <f aca="false">IF(B5066="","","")</f>
        <v/>
      </c>
      <c r="I5066" s="23" t="str">
        <f aca="false">IF(B5066="","","")</f>
        <v/>
      </c>
      <c r="J5066" s="23" t="str">
        <f aca="false">IF(B5066="","","touch_3; "&amp;IFERROR(INDEX(Clay_Brands!$A$2:$FZ$601,415,Sync!$D$10)&amp;"","")&amp;"; "&amp;IFERROR(INDEX(Clay_Brands!$A$2:$FZ$601,415,Sync!$D$9)&amp;"",""))</f>
        <v/>
      </c>
      <c r="K5066" s="32" t="s">
        <v>1368</v>
      </c>
    </row>
    <row r="5067" customFormat="false" ht="15" hidden="false" customHeight="false" outlineLevel="0" collapsed="false">
      <c r="A5067" s="23" t="str">
        <f aca="false">IF(B5067="","",B5067+(17*1000+416)/10000000)</f>
        <v/>
      </c>
      <c r="B5067" s="35" t="str">
        <f aca="false">IF(AND(IFERROR(N(INDEX(Clay_Brands!$A$2:$FZ$601,416,Sync!$D$13)),0)&gt;0,IFERROR(INDEX(Clay_Brands!$A$2:$FZ$601,416,Sync!$D$5)&amp;"","")&lt;&gt;"",OR(LEFT(IFERROR(INDEX(Clay_Brands!$A$2:$FZ$601,416,Sync!$D$5)&amp;"",""),6)&lt;&gt;"SAMPLE",Config!$B$19="Y")),IFERROR(N(INDEX(Clay_Brands!$A$2:$FZ$601,416,Sync!$D$13)),0),"")</f>
        <v/>
      </c>
      <c r="C5067" s="23" t="str">
        <f aca="false">IF(B5067="","","brand")</f>
        <v/>
      </c>
      <c r="D5067" s="23" t="str">
        <f aca="false">IF(B5067="","",IFERROR(INDEX(Brand_Log!$DV$2:$DV$201,MATCH(IFERROR(INDEX(Clay_Brands!$A$2:$FZ$601,416,Sync!$D$5)&amp;"",""),Brand_Log!$A$2:$A$201,0))&amp;"",IFERROR(INDEX(Clay_Brands!$A$2:$FZ$601,416,Sync!$D$5)&amp;"","")&amp;""))</f>
        <v/>
      </c>
      <c r="E5067" s="23" t="str">
        <f aca="false">IF(B5067="","",IFERROR(INDEX(Clay_Brands!$A$2:$FZ$601,416,Sync!$D$6)&amp;"",""))</f>
        <v/>
      </c>
      <c r="F5067" s="23" t="str">
        <f aca="false">IF(B5067="","","outreach_sent")</f>
        <v/>
      </c>
      <c r="G5067" s="23" t="str">
        <f aca="false">IF(B5067="","","")</f>
        <v/>
      </c>
      <c r="H5067" s="23" t="str">
        <f aca="false">IF(B5067="","","")</f>
        <v/>
      </c>
      <c r="I5067" s="23" t="str">
        <f aca="false">IF(B5067="","","")</f>
        <v/>
      </c>
      <c r="J5067" s="23" t="str">
        <f aca="false">IF(B5067="","","touch_3; "&amp;IFERROR(INDEX(Clay_Brands!$A$2:$FZ$601,416,Sync!$D$10)&amp;"","")&amp;"; "&amp;IFERROR(INDEX(Clay_Brands!$A$2:$FZ$601,416,Sync!$D$9)&amp;"",""))</f>
        <v/>
      </c>
      <c r="K5067" s="32" t="s">
        <v>1368</v>
      </c>
    </row>
    <row r="5068" customFormat="false" ht="15" hidden="false" customHeight="false" outlineLevel="0" collapsed="false">
      <c r="A5068" s="23" t="str">
        <f aca="false">IF(B5068="","",B5068+(17*1000+417)/10000000)</f>
        <v/>
      </c>
      <c r="B5068" s="35" t="str">
        <f aca="false">IF(AND(IFERROR(N(INDEX(Clay_Brands!$A$2:$FZ$601,417,Sync!$D$13)),0)&gt;0,IFERROR(INDEX(Clay_Brands!$A$2:$FZ$601,417,Sync!$D$5)&amp;"","")&lt;&gt;"",OR(LEFT(IFERROR(INDEX(Clay_Brands!$A$2:$FZ$601,417,Sync!$D$5)&amp;"",""),6)&lt;&gt;"SAMPLE",Config!$B$19="Y")),IFERROR(N(INDEX(Clay_Brands!$A$2:$FZ$601,417,Sync!$D$13)),0),"")</f>
        <v/>
      </c>
      <c r="C5068" s="23" t="str">
        <f aca="false">IF(B5068="","","brand")</f>
        <v/>
      </c>
      <c r="D5068" s="23" t="str">
        <f aca="false">IF(B5068="","",IFERROR(INDEX(Brand_Log!$DV$2:$DV$201,MATCH(IFERROR(INDEX(Clay_Brands!$A$2:$FZ$601,417,Sync!$D$5)&amp;"",""),Brand_Log!$A$2:$A$201,0))&amp;"",IFERROR(INDEX(Clay_Brands!$A$2:$FZ$601,417,Sync!$D$5)&amp;"","")&amp;""))</f>
        <v/>
      </c>
      <c r="E5068" s="23" t="str">
        <f aca="false">IF(B5068="","",IFERROR(INDEX(Clay_Brands!$A$2:$FZ$601,417,Sync!$D$6)&amp;"",""))</f>
        <v/>
      </c>
      <c r="F5068" s="23" t="str">
        <f aca="false">IF(B5068="","","outreach_sent")</f>
        <v/>
      </c>
      <c r="G5068" s="23" t="str">
        <f aca="false">IF(B5068="","","")</f>
        <v/>
      </c>
      <c r="H5068" s="23" t="str">
        <f aca="false">IF(B5068="","","")</f>
        <v/>
      </c>
      <c r="I5068" s="23" t="str">
        <f aca="false">IF(B5068="","","")</f>
        <v/>
      </c>
      <c r="J5068" s="23" t="str">
        <f aca="false">IF(B5068="","","touch_3; "&amp;IFERROR(INDEX(Clay_Brands!$A$2:$FZ$601,417,Sync!$D$10)&amp;"","")&amp;"; "&amp;IFERROR(INDEX(Clay_Brands!$A$2:$FZ$601,417,Sync!$D$9)&amp;"",""))</f>
        <v/>
      </c>
      <c r="K5068" s="32" t="s">
        <v>1368</v>
      </c>
    </row>
    <row r="5069" customFormat="false" ht="15" hidden="false" customHeight="false" outlineLevel="0" collapsed="false">
      <c r="A5069" s="23" t="str">
        <f aca="false">IF(B5069="","",B5069+(17*1000+418)/10000000)</f>
        <v/>
      </c>
      <c r="B5069" s="35" t="str">
        <f aca="false">IF(AND(IFERROR(N(INDEX(Clay_Brands!$A$2:$FZ$601,418,Sync!$D$13)),0)&gt;0,IFERROR(INDEX(Clay_Brands!$A$2:$FZ$601,418,Sync!$D$5)&amp;"","")&lt;&gt;"",OR(LEFT(IFERROR(INDEX(Clay_Brands!$A$2:$FZ$601,418,Sync!$D$5)&amp;"",""),6)&lt;&gt;"SAMPLE",Config!$B$19="Y")),IFERROR(N(INDEX(Clay_Brands!$A$2:$FZ$601,418,Sync!$D$13)),0),"")</f>
        <v/>
      </c>
      <c r="C5069" s="23" t="str">
        <f aca="false">IF(B5069="","","brand")</f>
        <v/>
      </c>
      <c r="D5069" s="23" t="str">
        <f aca="false">IF(B5069="","",IFERROR(INDEX(Brand_Log!$DV$2:$DV$201,MATCH(IFERROR(INDEX(Clay_Brands!$A$2:$FZ$601,418,Sync!$D$5)&amp;"",""),Brand_Log!$A$2:$A$201,0))&amp;"",IFERROR(INDEX(Clay_Brands!$A$2:$FZ$601,418,Sync!$D$5)&amp;"","")&amp;""))</f>
        <v/>
      </c>
      <c r="E5069" s="23" t="str">
        <f aca="false">IF(B5069="","",IFERROR(INDEX(Clay_Brands!$A$2:$FZ$601,418,Sync!$D$6)&amp;"",""))</f>
        <v/>
      </c>
      <c r="F5069" s="23" t="str">
        <f aca="false">IF(B5069="","","outreach_sent")</f>
        <v/>
      </c>
      <c r="G5069" s="23" t="str">
        <f aca="false">IF(B5069="","","")</f>
        <v/>
      </c>
      <c r="H5069" s="23" t="str">
        <f aca="false">IF(B5069="","","")</f>
        <v/>
      </c>
      <c r="I5069" s="23" t="str">
        <f aca="false">IF(B5069="","","")</f>
        <v/>
      </c>
      <c r="J5069" s="23" t="str">
        <f aca="false">IF(B5069="","","touch_3; "&amp;IFERROR(INDEX(Clay_Brands!$A$2:$FZ$601,418,Sync!$D$10)&amp;"","")&amp;"; "&amp;IFERROR(INDEX(Clay_Brands!$A$2:$FZ$601,418,Sync!$D$9)&amp;"",""))</f>
        <v/>
      </c>
      <c r="K5069" s="32" t="s">
        <v>1368</v>
      </c>
    </row>
    <row r="5070" customFormat="false" ht="15" hidden="false" customHeight="false" outlineLevel="0" collapsed="false">
      <c r="A5070" s="23" t="str">
        <f aca="false">IF(B5070="","",B5070+(17*1000+419)/10000000)</f>
        <v/>
      </c>
      <c r="B5070" s="35" t="str">
        <f aca="false">IF(AND(IFERROR(N(INDEX(Clay_Brands!$A$2:$FZ$601,419,Sync!$D$13)),0)&gt;0,IFERROR(INDEX(Clay_Brands!$A$2:$FZ$601,419,Sync!$D$5)&amp;"","")&lt;&gt;"",OR(LEFT(IFERROR(INDEX(Clay_Brands!$A$2:$FZ$601,419,Sync!$D$5)&amp;"",""),6)&lt;&gt;"SAMPLE",Config!$B$19="Y")),IFERROR(N(INDEX(Clay_Brands!$A$2:$FZ$601,419,Sync!$D$13)),0),"")</f>
        <v/>
      </c>
      <c r="C5070" s="23" t="str">
        <f aca="false">IF(B5070="","","brand")</f>
        <v/>
      </c>
      <c r="D5070" s="23" t="str">
        <f aca="false">IF(B5070="","",IFERROR(INDEX(Brand_Log!$DV$2:$DV$201,MATCH(IFERROR(INDEX(Clay_Brands!$A$2:$FZ$601,419,Sync!$D$5)&amp;"",""),Brand_Log!$A$2:$A$201,0))&amp;"",IFERROR(INDEX(Clay_Brands!$A$2:$FZ$601,419,Sync!$D$5)&amp;"","")&amp;""))</f>
        <v/>
      </c>
      <c r="E5070" s="23" t="str">
        <f aca="false">IF(B5070="","",IFERROR(INDEX(Clay_Brands!$A$2:$FZ$601,419,Sync!$D$6)&amp;"",""))</f>
        <v/>
      </c>
      <c r="F5070" s="23" t="str">
        <f aca="false">IF(B5070="","","outreach_sent")</f>
        <v/>
      </c>
      <c r="G5070" s="23" t="str">
        <f aca="false">IF(B5070="","","")</f>
        <v/>
      </c>
      <c r="H5070" s="23" t="str">
        <f aca="false">IF(B5070="","","")</f>
        <v/>
      </c>
      <c r="I5070" s="23" t="str">
        <f aca="false">IF(B5070="","","")</f>
        <v/>
      </c>
      <c r="J5070" s="23" t="str">
        <f aca="false">IF(B5070="","","touch_3; "&amp;IFERROR(INDEX(Clay_Brands!$A$2:$FZ$601,419,Sync!$D$10)&amp;"","")&amp;"; "&amp;IFERROR(INDEX(Clay_Brands!$A$2:$FZ$601,419,Sync!$D$9)&amp;"",""))</f>
        <v/>
      </c>
      <c r="K5070" s="32" t="s">
        <v>1368</v>
      </c>
    </row>
    <row r="5071" customFormat="false" ht="15" hidden="false" customHeight="false" outlineLevel="0" collapsed="false">
      <c r="A5071" s="23" t="str">
        <f aca="false">IF(B5071="","",B5071+(17*1000+420)/10000000)</f>
        <v/>
      </c>
      <c r="B5071" s="35" t="str">
        <f aca="false">IF(AND(IFERROR(N(INDEX(Clay_Brands!$A$2:$FZ$601,420,Sync!$D$13)),0)&gt;0,IFERROR(INDEX(Clay_Brands!$A$2:$FZ$601,420,Sync!$D$5)&amp;"","")&lt;&gt;"",OR(LEFT(IFERROR(INDEX(Clay_Brands!$A$2:$FZ$601,420,Sync!$D$5)&amp;"",""),6)&lt;&gt;"SAMPLE",Config!$B$19="Y")),IFERROR(N(INDEX(Clay_Brands!$A$2:$FZ$601,420,Sync!$D$13)),0),"")</f>
        <v/>
      </c>
      <c r="C5071" s="23" t="str">
        <f aca="false">IF(B5071="","","brand")</f>
        <v/>
      </c>
      <c r="D5071" s="23" t="str">
        <f aca="false">IF(B5071="","",IFERROR(INDEX(Brand_Log!$DV$2:$DV$201,MATCH(IFERROR(INDEX(Clay_Brands!$A$2:$FZ$601,420,Sync!$D$5)&amp;"",""),Brand_Log!$A$2:$A$201,0))&amp;"",IFERROR(INDEX(Clay_Brands!$A$2:$FZ$601,420,Sync!$D$5)&amp;"","")&amp;""))</f>
        <v/>
      </c>
      <c r="E5071" s="23" t="str">
        <f aca="false">IF(B5071="","",IFERROR(INDEX(Clay_Brands!$A$2:$FZ$601,420,Sync!$D$6)&amp;"",""))</f>
        <v/>
      </c>
      <c r="F5071" s="23" t="str">
        <f aca="false">IF(B5071="","","outreach_sent")</f>
        <v/>
      </c>
      <c r="G5071" s="23" t="str">
        <f aca="false">IF(B5071="","","")</f>
        <v/>
      </c>
      <c r="H5071" s="23" t="str">
        <f aca="false">IF(B5071="","","")</f>
        <v/>
      </c>
      <c r="I5071" s="23" t="str">
        <f aca="false">IF(B5071="","","")</f>
        <v/>
      </c>
      <c r="J5071" s="23" t="str">
        <f aca="false">IF(B5071="","","touch_3; "&amp;IFERROR(INDEX(Clay_Brands!$A$2:$FZ$601,420,Sync!$D$10)&amp;"","")&amp;"; "&amp;IFERROR(INDEX(Clay_Brands!$A$2:$FZ$601,420,Sync!$D$9)&amp;"",""))</f>
        <v/>
      </c>
      <c r="K5071" s="32" t="s">
        <v>1368</v>
      </c>
    </row>
    <row r="5072" customFormat="false" ht="15" hidden="false" customHeight="false" outlineLevel="0" collapsed="false">
      <c r="A5072" s="23" t="str">
        <f aca="false">IF(B5072="","",B5072+(17*1000+421)/10000000)</f>
        <v/>
      </c>
      <c r="B5072" s="35" t="str">
        <f aca="false">IF(AND(IFERROR(N(INDEX(Clay_Brands!$A$2:$FZ$601,421,Sync!$D$13)),0)&gt;0,IFERROR(INDEX(Clay_Brands!$A$2:$FZ$601,421,Sync!$D$5)&amp;"","")&lt;&gt;"",OR(LEFT(IFERROR(INDEX(Clay_Brands!$A$2:$FZ$601,421,Sync!$D$5)&amp;"",""),6)&lt;&gt;"SAMPLE",Config!$B$19="Y")),IFERROR(N(INDEX(Clay_Brands!$A$2:$FZ$601,421,Sync!$D$13)),0),"")</f>
        <v/>
      </c>
      <c r="C5072" s="23" t="str">
        <f aca="false">IF(B5072="","","brand")</f>
        <v/>
      </c>
      <c r="D5072" s="23" t="str">
        <f aca="false">IF(B5072="","",IFERROR(INDEX(Brand_Log!$DV$2:$DV$201,MATCH(IFERROR(INDEX(Clay_Brands!$A$2:$FZ$601,421,Sync!$D$5)&amp;"",""),Brand_Log!$A$2:$A$201,0))&amp;"",IFERROR(INDEX(Clay_Brands!$A$2:$FZ$601,421,Sync!$D$5)&amp;"","")&amp;""))</f>
        <v/>
      </c>
      <c r="E5072" s="23" t="str">
        <f aca="false">IF(B5072="","",IFERROR(INDEX(Clay_Brands!$A$2:$FZ$601,421,Sync!$D$6)&amp;"",""))</f>
        <v/>
      </c>
      <c r="F5072" s="23" t="str">
        <f aca="false">IF(B5072="","","outreach_sent")</f>
        <v/>
      </c>
      <c r="G5072" s="23" t="str">
        <f aca="false">IF(B5072="","","")</f>
        <v/>
      </c>
      <c r="H5072" s="23" t="str">
        <f aca="false">IF(B5072="","","")</f>
        <v/>
      </c>
      <c r="I5072" s="23" t="str">
        <f aca="false">IF(B5072="","","")</f>
        <v/>
      </c>
      <c r="J5072" s="23" t="str">
        <f aca="false">IF(B5072="","","touch_3; "&amp;IFERROR(INDEX(Clay_Brands!$A$2:$FZ$601,421,Sync!$D$10)&amp;"","")&amp;"; "&amp;IFERROR(INDEX(Clay_Brands!$A$2:$FZ$601,421,Sync!$D$9)&amp;"",""))</f>
        <v/>
      </c>
      <c r="K5072" s="32" t="s">
        <v>1368</v>
      </c>
    </row>
    <row r="5073" customFormat="false" ht="15" hidden="false" customHeight="false" outlineLevel="0" collapsed="false">
      <c r="A5073" s="23" t="str">
        <f aca="false">IF(B5073="","",B5073+(17*1000+422)/10000000)</f>
        <v/>
      </c>
      <c r="B5073" s="35" t="str">
        <f aca="false">IF(AND(IFERROR(N(INDEX(Clay_Brands!$A$2:$FZ$601,422,Sync!$D$13)),0)&gt;0,IFERROR(INDEX(Clay_Brands!$A$2:$FZ$601,422,Sync!$D$5)&amp;"","")&lt;&gt;"",OR(LEFT(IFERROR(INDEX(Clay_Brands!$A$2:$FZ$601,422,Sync!$D$5)&amp;"",""),6)&lt;&gt;"SAMPLE",Config!$B$19="Y")),IFERROR(N(INDEX(Clay_Brands!$A$2:$FZ$601,422,Sync!$D$13)),0),"")</f>
        <v/>
      </c>
      <c r="C5073" s="23" t="str">
        <f aca="false">IF(B5073="","","brand")</f>
        <v/>
      </c>
      <c r="D5073" s="23" t="str">
        <f aca="false">IF(B5073="","",IFERROR(INDEX(Brand_Log!$DV$2:$DV$201,MATCH(IFERROR(INDEX(Clay_Brands!$A$2:$FZ$601,422,Sync!$D$5)&amp;"",""),Brand_Log!$A$2:$A$201,0))&amp;"",IFERROR(INDEX(Clay_Brands!$A$2:$FZ$601,422,Sync!$D$5)&amp;"","")&amp;""))</f>
        <v/>
      </c>
      <c r="E5073" s="23" t="str">
        <f aca="false">IF(B5073="","",IFERROR(INDEX(Clay_Brands!$A$2:$FZ$601,422,Sync!$D$6)&amp;"",""))</f>
        <v/>
      </c>
      <c r="F5073" s="23" t="str">
        <f aca="false">IF(B5073="","","outreach_sent")</f>
        <v/>
      </c>
      <c r="G5073" s="23" t="str">
        <f aca="false">IF(B5073="","","")</f>
        <v/>
      </c>
      <c r="H5073" s="23" t="str">
        <f aca="false">IF(B5073="","","")</f>
        <v/>
      </c>
      <c r="I5073" s="23" t="str">
        <f aca="false">IF(B5073="","","")</f>
        <v/>
      </c>
      <c r="J5073" s="23" t="str">
        <f aca="false">IF(B5073="","","touch_3; "&amp;IFERROR(INDEX(Clay_Brands!$A$2:$FZ$601,422,Sync!$D$10)&amp;"","")&amp;"; "&amp;IFERROR(INDEX(Clay_Brands!$A$2:$FZ$601,422,Sync!$D$9)&amp;"",""))</f>
        <v/>
      </c>
      <c r="K5073" s="32" t="s">
        <v>1368</v>
      </c>
    </row>
    <row r="5074" customFormat="false" ht="15" hidden="false" customHeight="false" outlineLevel="0" collapsed="false">
      <c r="A5074" s="23" t="str">
        <f aca="false">IF(B5074="","",B5074+(17*1000+423)/10000000)</f>
        <v/>
      </c>
      <c r="B5074" s="35" t="str">
        <f aca="false">IF(AND(IFERROR(N(INDEX(Clay_Brands!$A$2:$FZ$601,423,Sync!$D$13)),0)&gt;0,IFERROR(INDEX(Clay_Brands!$A$2:$FZ$601,423,Sync!$D$5)&amp;"","")&lt;&gt;"",OR(LEFT(IFERROR(INDEX(Clay_Brands!$A$2:$FZ$601,423,Sync!$D$5)&amp;"",""),6)&lt;&gt;"SAMPLE",Config!$B$19="Y")),IFERROR(N(INDEX(Clay_Brands!$A$2:$FZ$601,423,Sync!$D$13)),0),"")</f>
        <v/>
      </c>
      <c r="C5074" s="23" t="str">
        <f aca="false">IF(B5074="","","brand")</f>
        <v/>
      </c>
      <c r="D5074" s="23" t="str">
        <f aca="false">IF(B5074="","",IFERROR(INDEX(Brand_Log!$DV$2:$DV$201,MATCH(IFERROR(INDEX(Clay_Brands!$A$2:$FZ$601,423,Sync!$D$5)&amp;"",""),Brand_Log!$A$2:$A$201,0))&amp;"",IFERROR(INDEX(Clay_Brands!$A$2:$FZ$601,423,Sync!$D$5)&amp;"","")&amp;""))</f>
        <v/>
      </c>
      <c r="E5074" s="23" t="str">
        <f aca="false">IF(B5074="","",IFERROR(INDEX(Clay_Brands!$A$2:$FZ$601,423,Sync!$D$6)&amp;"",""))</f>
        <v/>
      </c>
      <c r="F5074" s="23" t="str">
        <f aca="false">IF(B5074="","","outreach_sent")</f>
        <v/>
      </c>
      <c r="G5074" s="23" t="str">
        <f aca="false">IF(B5074="","","")</f>
        <v/>
      </c>
      <c r="H5074" s="23" t="str">
        <f aca="false">IF(B5074="","","")</f>
        <v/>
      </c>
      <c r="I5074" s="23" t="str">
        <f aca="false">IF(B5074="","","")</f>
        <v/>
      </c>
      <c r="J5074" s="23" t="str">
        <f aca="false">IF(B5074="","","touch_3; "&amp;IFERROR(INDEX(Clay_Brands!$A$2:$FZ$601,423,Sync!$D$10)&amp;"","")&amp;"; "&amp;IFERROR(INDEX(Clay_Brands!$A$2:$FZ$601,423,Sync!$D$9)&amp;"",""))</f>
        <v/>
      </c>
      <c r="K5074" s="32" t="s">
        <v>1368</v>
      </c>
    </row>
    <row r="5075" customFormat="false" ht="15" hidden="false" customHeight="false" outlineLevel="0" collapsed="false">
      <c r="A5075" s="23" t="str">
        <f aca="false">IF(B5075="","",B5075+(17*1000+424)/10000000)</f>
        <v/>
      </c>
      <c r="B5075" s="35" t="str">
        <f aca="false">IF(AND(IFERROR(N(INDEX(Clay_Brands!$A$2:$FZ$601,424,Sync!$D$13)),0)&gt;0,IFERROR(INDEX(Clay_Brands!$A$2:$FZ$601,424,Sync!$D$5)&amp;"","")&lt;&gt;"",OR(LEFT(IFERROR(INDEX(Clay_Brands!$A$2:$FZ$601,424,Sync!$D$5)&amp;"",""),6)&lt;&gt;"SAMPLE",Config!$B$19="Y")),IFERROR(N(INDEX(Clay_Brands!$A$2:$FZ$601,424,Sync!$D$13)),0),"")</f>
        <v/>
      </c>
      <c r="C5075" s="23" t="str">
        <f aca="false">IF(B5075="","","brand")</f>
        <v/>
      </c>
      <c r="D5075" s="23" t="str">
        <f aca="false">IF(B5075="","",IFERROR(INDEX(Brand_Log!$DV$2:$DV$201,MATCH(IFERROR(INDEX(Clay_Brands!$A$2:$FZ$601,424,Sync!$D$5)&amp;"",""),Brand_Log!$A$2:$A$201,0))&amp;"",IFERROR(INDEX(Clay_Brands!$A$2:$FZ$601,424,Sync!$D$5)&amp;"","")&amp;""))</f>
        <v/>
      </c>
      <c r="E5075" s="23" t="str">
        <f aca="false">IF(B5075="","",IFERROR(INDEX(Clay_Brands!$A$2:$FZ$601,424,Sync!$D$6)&amp;"",""))</f>
        <v/>
      </c>
      <c r="F5075" s="23" t="str">
        <f aca="false">IF(B5075="","","outreach_sent")</f>
        <v/>
      </c>
      <c r="G5075" s="23" t="str">
        <f aca="false">IF(B5075="","","")</f>
        <v/>
      </c>
      <c r="H5075" s="23" t="str">
        <f aca="false">IF(B5075="","","")</f>
        <v/>
      </c>
      <c r="I5075" s="23" t="str">
        <f aca="false">IF(B5075="","","")</f>
        <v/>
      </c>
      <c r="J5075" s="23" t="str">
        <f aca="false">IF(B5075="","","touch_3; "&amp;IFERROR(INDEX(Clay_Brands!$A$2:$FZ$601,424,Sync!$D$10)&amp;"","")&amp;"; "&amp;IFERROR(INDEX(Clay_Brands!$A$2:$FZ$601,424,Sync!$D$9)&amp;"",""))</f>
        <v/>
      </c>
      <c r="K5075" s="32" t="s">
        <v>1368</v>
      </c>
    </row>
    <row r="5076" customFormat="false" ht="15" hidden="false" customHeight="false" outlineLevel="0" collapsed="false">
      <c r="A5076" s="23" t="str">
        <f aca="false">IF(B5076="","",B5076+(17*1000+425)/10000000)</f>
        <v/>
      </c>
      <c r="B5076" s="35" t="str">
        <f aca="false">IF(AND(IFERROR(N(INDEX(Clay_Brands!$A$2:$FZ$601,425,Sync!$D$13)),0)&gt;0,IFERROR(INDEX(Clay_Brands!$A$2:$FZ$601,425,Sync!$D$5)&amp;"","")&lt;&gt;"",OR(LEFT(IFERROR(INDEX(Clay_Brands!$A$2:$FZ$601,425,Sync!$D$5)&amp;"",""),6)&lt;&gt;"SAMPLE",Config!$B$19="Y")),IFERROR(N(INDEX(Clay_Brands!$A$2:$FZ$601,425,Sync!$D$13)),0),"")</f>
        <v/>
      </c>
      <c r="C5076" s="23" t="str">
        <f aca="false">IF(B5076="","","brand")</f>
        <v/>
      </c>
      <c r="D5076" s="23" t="str">
        <f aca="false">IF(B5076="","",IFERROR(INDEX(Brand_Log!$DV$2:$DV$201,MATCH(IFERROR(INDEX(Clay_Brands!$A$2:$FZ$601,425,Sync!$D$5)&amp;"",""),Brand_Log!$A$2:$A$201,0))&amp;"",IFERROR(INDEX(Clay_Brands!$A$2:$FZ$601,425,Sync!$D$5)&amp;"","")&amp;""))</f>
        <v/>
      </c>
      <c r="E5076" s="23" t="str">
        <f aca="false">IF(B5076="","",IFERROR(INDEX(Clay_Brands!$A$2:$FZ$601,425,Sync!$D$6)&amp;"",""))</f>
        <v/>
      </c>
      <c r="F5076" s="23" t="str">
        <f aca="false">IF(B5076="","","outreach_sent")</f>
        <v/>
      </c>
      <c r="G5076" s="23" t="str">
        <f aca="false">IF(B5076="","","")</f>
        <v/>
      </c>
      <c r="H5076" s="23" t="str">
        <f aca="false">IF(B5076="","","")</f>
        <v/>
      </c>
      <c r="I5076" s="23" t="str">
        <f aca="false">IF(B5076="","","")</f>
        <v/>
      </c>
      <c r="J5076" s="23" t="str">
        <f aca="false">IF(B5076="","","touch_3; "&amp;IFERROR(INDEX(Clay_Brands!$A$2:$FZ$601,425,Sync!$D$10)&amp;"","")&amp;"; "&amp;IFERROR(INDEX(Clay_Brands!$A$2:$FZ$601,425,Sync!$D$9)&amp;"",""))</f>
        <v/>
      </c>
      <c r="K5076" s="32" t="s">
        <v>1368</v>
      </c>
    </row>
    <row r="5077" customFormat="false" ht="15" hidden="false" customHeight="false" outlineLevel="0" collapsed="false">
      <c r="A5077" s="23" t="str">
        <f aca="false">IF(B5077="","",B5077+(17*1000+426)/10000000)</f>
        <v/>
      </c>
      <c r="B5077" s="35" t="str">
        <f aca="false">IF(AND(IFERROR(N(INDEX(Clay_Brands!$A$2:$FZ$601,426,Sync!$D$13)),0)&gt;0,IFERROR(INDEX(Clay_Brands!$A$2:$FZ$601,426,Sync!$D$5)&amp;"","")&lt;&gt;"",OR(LEFT(IFERROR(INDEX(Clay_Brands!$A$2:$FZ$601,426,Sync!$D$5)&amp;"",""),6)&lt;&gt;"SAMPLE",Config!$B$19="Y")),IFERROR(N(INDEX(Clay_Brands!$A$2:$FZ$601,426,Sync!$D$13)),0),"")</f>
        <v/>
      </c>
      <c r="C5077" s="23" t="str">
        <f aca="false">IF(B5077="","","brand")</f>
        <v/>
      </c>
      <c r="D5077" s="23" t="str">
        <f aca="false">IF(B5077="","",IFERROR(INDEX(Brand_Log!$DV$2:$DV$201,MATCH(IFERROR(INDEX(Clay_Brands!$A$2:$FZ$601,426,Sync!$D$5)&amp;"",""),Brand_Log!$A$2:$A$201,0))&amp;"",IFERROR(INDEX(Clay_Brands!$A$2:$FZ$601,426,Sync!$D$5)&amp;"","")&amp;""))</f>
        <v/>
      </c>
      <c r="E5077" s="23" t="str">
        <f aca="false">IF(B5077="","",IFERROR(INDEX(Clay_Brands!$A$2:$FZ$601,426,Sync!$D$6)&amp;"",""))</f>
        <v/>
      </c>
      <c r="F5077" s="23" t="str">
        <f aca="false">IF(B5077="","","outreach_sent")</f>
        <v/>
      </c>
      <c r="G5077" s="23" t="str">
        <f aca="false">IF(B5077="","","")</f>
        <v/>
      </c>
      <c r="H5077" s="23" t="str">
        <f aca="false">IF(B5077="","","")</f>
        <v/>
      </c>
      <c r="I5077" s="23" t="str">
        <f aca="false">IF(B5077="","","")</f>
        <v/>
      </c>
      <c r="J5077" s="23" t="str">
        <f aca="false">IF(B5077="","","touch_3; "&amp;IFERROR(INDEX(Clay_Brands!$A$2:$FZ$601,426,Sync!$D$10)&amp;"","")&amp;"; "&amp;IFERROR(INDEX(Clay_Brands!$A$2:$FZ$601,426,Sync!$D$9)&amp;"",""))</f>
        <v/>
      </c>
      <c r="K5077" s="32" t="s">
        <v>1368</v>
      </c>
    </row>
    <row r="5078" customFormat="false" ht="15" hidden="false" customHeight="false" outlineLevel="0" collapsed="false">
      <c r="A5078" s="23" t="str">
        <f aca="false">IF(B5078="","",B5078+(17*1000+427)/10000000)</f>
        <v/>
      </c>
      <c r="B5078" s="35" t="str">
        <f aca="false">IF(AND(IFERROR(N(INDEX(Clay_Brands!$A$2:$FZ$601,427,Sync!$D$13)),0)&gt;0,IFERROR(INDEX(Clay_Brands!$A$2:$FZ$601,427,Sync!$D$5)&amp;"","")&lt;&gt;"",OR(LEFT(IFERROR(INDEX(Clay_Brands!$A$2:$FZ$601,427,Sync!$D$5)&amp;"",""),6)&lt;&gt;"SAMPLE",Config!$B$19="Y")),IFERROR(N(INDEX(Clay_Brands!$A$2:$FZ$601,427,Sync!$D$13)),0),"")</f>
        <v/>
      </c>
      <c r="C5078" s="23" t="str">
        <f aca="false">IF(B5078="","","brand")</f>
        <v/>
      </c>
      <c r="D5078" s="23" t="str">
        <f aca="false">IF(B5078="","",IFERROR(INDEX(Brand_Log!$DV$2:$DV$201,MATCH(IFERROR(INDEX(Clay_Brands!$A$2:$FZ$601,427,Sync!$D$5)&amp;"",""),Brand_Log!$A$2:$A$201,0))&amp;"",IFERROR(INDEX(Clay_Brands!$A$2:$FZ$601,427,Sync!$D$5)&amp;"","")&amp;""))</f>
        <v/>
      </c>
      <c r="E5078" s="23" t="str">
        <f aca="false">IF(B5078="","",IFERROR(INDEX(Clay_Brands!$A$2:$FZ$601,427,Sync!$D$6)&amp;"",""))</f>
        <v/>
      </c>
      <c r="F5078" s="23" t="str">
        <f aca="false">IF(B5078="","","outreach_sent")</f>
        <v/>
      </c>
      <c r="G5078" s="23" t="str">
        <f aca="false">IF(B5078="","","")</f>
        <v/>
      </c>
      <c r="H5078" s="23" t="str">
        <f aca="false">IF(B5078="","","")</f>
        <v/>
      </c>
      <c r="I5078" s="23" t="str">
        <f aca="false">IF(B5078="","","")</f>
        <v/>
      </c>
      <c r="J5078" s="23" t="str">
        <f aca="false">IF(B5078="","","touch_3; "&amp;IFERROR(INDEX(Clay_Brands!$A$2:$FZ$601,427,Sync!$D$10)&amp;"","")&amp;"; "&amp;IFERROR(INDEX(Clay_Brands!$A$2:$FZ$601,427,Sync!$D$9)&amp;"",""))</f>
        <v/>
      </c>
      <c r="K5078" s="32" t="s">
        <v>1368</v>
      </c>
    </row>
    <row r="5079" customFormat="false" ht="15" hidden="false" customHeight="false" outlineLevel="0" collapsed="false">
      <c r="A5079" s="23" t="str">
        <f aca="false">IF(B5079="","",B5079+(17*1000+428)/10000000)</f>
        <v/>
      </c>
      <c r="B5079" s="35" t="str">
        <f aca="false">IF(AND(IFERROR(N(INDEX(Clay_Brands!$A$2:$FZ$601,428,Sync!$D$13)),0)&gt;0,IFERROR(INDEX(Clay_Brands!$A$2:$FZ$601,428,Sync!$D$5)&amp;"","")&lt;&gt;"",OR(LEFT(IFERROR(INDEX(Clay_Brands!$A$2:$FZ$601,428,Sync!$D$5)&amp;"",""),6)&lt;&gt;"SAMPLE",Config!$B$19="Y")),IFERROR(N(INDEX(Clay_Brands!$A$2:$FZ$601,428,Sync!$D$13)),0),"")</f>
        <v/>
      </c>
      <c r="C5079" s="23" t="str">
        <f aca="false">IF(B5079="","","brand")</f>
        <v/>
      </c>
      <c r="D5079" s="23" t="str">
        <f aca="false">IF(B5079="","",IFERROR(INDEX(Brand_Log!$DV$2:$DV$201,MATCH(IFERROR(INDEX(Clay_Brands!$A$2:$FZ$601,428,Sync!$D$5)&amp;"",""),Brand_Log!$A$2:$A$201,0))&amp;"",IFERROR(INDEX(Clay_Brands!$A$2:$FZ$601,428,Sync!$D$5)&amp;"","")&amp;""))</f>
        <v/>
      </c>
      <c r="E5079" s="23" t="str">
        <f aca="false">IF(B5079="","",IFERROR(INDEX(Clay_Brands!$A$2:$FZ$601,428,Sync!$D$6)&amp;"",""))</f>
        <v/>
      </c>
      <c r="F5079" s="23" t="str">
        <f aca="false">IF(B5079="","","outreach_sent")</f>
        <v/>
      </c>
      <c r="G5079" s="23" t="str">
        <f aca="false">IF(B5079="","","")</f>
        <v/>
      </c>
      <c r="H5079" s="23" t="str">
        <f aca="false">IF(B5079="","","")</f>
        <v/>
      </c>
      <c r="I5079" s="23" t="str">
        <f aca="false">IF(B5079="","","")</f>
        <v/>
      </c>
      <c r="J5079" s="23" t="str">
        <f aca="false">IF(B5079="","","touch_3; "&amp;IFERROR(INDEX(Clay_Brands!$A$2:$FZ$601,428,Sync!$D$10)&amp;"","")&amp;"; "&amp;IFERROR(INDEX(Clay_Brands!$A$2:$FZ$601,428,Sync!$D$9)&amp;"",""))</f>
        <v/>
      </c>
      <c r="K5079" s="32" t="s">
        <v>1368</v>
      </c>
    </row>
    <row r="5080" customFormat="false" ht="15" hidden="false" customHeight="false" outlineLevel="0" collapsed="false">
      <c r="A5080" s="23" t="str">
        <f aca="false">IF(B5080="","",B5080+(17*1000+429)/10000000)</f>
        <v/>
      </c>
      <c r="B5080" s="35" t="str">
        <f aca="false">IF(AND(IFERROR(N(INDEX(Clay_Brands!$A$2:$FZ$601,429,Sync!$D$13)),0)&gt;0,IFERROR(INDEX(Clay_Brands!$A$2:$FZ$601,429,Sync!$D$5)&amp;"","")&lt;&gt;"",OR(LEFT(IFERROR(INDEX(Clay_Brands!$A$2:$FZ$601,429,Sync!$D$5)&amp;"",""),6)&lt;&gt;"SAMPLE",Config!$B$19="Y")),IFERROR(N(INDEX(Clay_Brands!$A$2:$FZ$601,429,Sync!$D$13)),0),"")</f>
        <v/>
      </c>
      <c r="C5080" s="23" t="str">
        <f aca="false">IF(B5080="","","brand")</f>
        <v/>
      </c>
      <c r="D5080" s="23" t="str">
        <f aca="false">IF(B5080="","",IFERROR(INDEX(Brand_Log!$DV$2:$DV$201,MATCH(IFERROR(INDEX(Clay_Brands!$A$2:$FZ$601,429,Sync!$D$5)&amp;"",""),Brand_Log!$A$2:$A$201,0))&amp;"",IFERROR(INDEX(Clay_Brands!$A$2:$FZ$601,429,Sync!$D$5)&amp;"","")&amp;""))</f>
        <v/>
      </c>
      <c r="E5080" s="23" t="str">
        <f aca="false">IF(B5080="","",IFERROR(INDEX(Clay_Brands!$A$2:$FZ$601,429,Sync!$D$6)&amp;"",""))</f>
        <v/>
      </c>
      <c r="F5080" s="23" t="str">
        <f aca="false">IF(B5080="","","outreach_sent")</f>
        <v/>
      </c>
      <c r="G5080" s="23" t="str">
        <f aca="false">IF(B5080="","","")</f>
        <v/>
      </c>
      <c r="H5080" s="23" t="str">
        <f aca="false">IF(B5080="","","")</f>
        <v/>
      </c>
      <c r="I5080" s="23" t="str">
        <f aca="false">IF(B5080="","","")</f>
        <v/>
      </c>
      <c r="J5080" s="23" t="str">
        <f aca="false">IF(B5080="","","touch_3; "&amp;IFERROR(INDEX(Clay_Brands!$A$2:$FZ$601,429,Sync!$D$10)&amp;"","")&amp;"; "&amp;IFERROR(INDEX(Clay_Brands!$A$2:$FZ$601,429,Sync!$D$9)&amp;"",""))</f>
        <v/>
      </c>
      <c r="K5080" s="32" t="s">
        <v>1368</v>
      </c>
    </row>
    <row r="5081" customFormat="false" ht="15" hidden="false" customHeight="false" outlineLevel="0" collapsed="false">
      <c r="A5081" s="23" t="str">
        <f aca="false">IF(B5081="","",B5081+(17*1000+430)/10000000)</f>
        <v/>
      </c>
      <c r="B5081" s="35" t="str">
        <f aca="false">IF(AND(IFERROR(N(INDEX(Clay_Brands!$A$2:$FZ$601,430,Sync!$D$13)),0)&gt;0,IFERROR(INDEX(Clay_Brands!$A$2:$FZ$601,430,Sync!$D$5)&amp;"","")&lt;&gt;"",OR(LEFT(IFERROR(INDEX(Clay_Brands!$A$2:$FZ$601,430,Sync!$D$5)&amp;"",""),6)&lt;&gt;"SAMPLE",Config!$B$19="Y")),IFERROR(N(INDEX(Clay_Brands!$A$2:$FZ$601,430,Sync!$D$13)),0),"")</f>
        <v/>
      </c>
      <c r="C5081" s="23" t="str">
        <f aca="false">IF(B5081="","","brand")</f>
        <v/>
      </c>
      <c r="D5081" s="23" t="str">
        <f aca="false">IF(B5081="","",IFERROR(INDEX(Brand_Log!$DV$2:$DV$201,MATCH(IFERROR(INDEX(Clay_Brands!$A$2:$FZ$601,430,Sync!$D$5)&amp;"",""),Brand_Log!$A$2:$A$201,0))&amp;"",IFERROR(INDEX(Clay_Brands!$A$2:$FZ$601,430,Sync!$D$5)&amp;"","")&amp;""))</f>
        <v/>
      </c>
      <c r="E5081" s="23" t="str">
        <f aca="false">IF(B5081="","",IFERROR(INDEX(Clay_Brands!$A$2:$FZ$601,430,Sync!$D$6)&amp;"",""))</f>
        <v/>
      </c>
      <c r="F5081" s="23" t="str">
        <f aca="false">IF(B5081="","","outreach_sent")</f>
        <v/>
      </c>
      <c r="G5081" s="23" t="str">
        <f aca="false">IF(B5081="","","")</f>
        <v/>
      </c>
      <c r="H5081" s="23" t="str">
        <f aca="false">IF(B5081="","","")</f>
        <v/>
      </c>
      <c r="I5081" s="23" t="str">
        <f aca="false">IF(B5081="","","")</f>
        <v/>
      </c>
      <c r="J5081" s="23" t="str">
        <f aca="false">IF(B5081="","","touch_3; "&amp;IFERROR(INDEX(Clay_Brands!$A$2:$FZ$601,430,Sync!$D$10)&amp;"","")&amp;"; "&amp;IFERROR(INDEX(Clay_Brands!$A$2:$FZ$601,430,Sync!$D$9)&amp;"",""))</f>
        <v/>
      </c>
      <c r="K5081" s="32" t="s">
        <v>1368</v>
      </c>
    </row>
    <row r="5082" customFormat="false" ht="15" hidden="false" customHeight="false" outlineLevel="0" collapsed="false">
      <c r="A5082" s="23" t="str">
        <f aca="false">IF(B5082="","",B5082+(17*1000+431)/10000000)</f>
        <v/>
      </c>
      <c r="B5082" s="35" t="str">
        <f aca="false">IF(AND(IFERROR(N(INDEX(Clay_Brands!$A$2:$FZ$601,431,Sync!$D$13)),0)&gt;0,IFERROR(INDEX(Clay_Brands!$A$2:$FZ$601,431,Sync!$D$5)&amp;"","")&lt;&gt;"",OR(LEFT(IFERROR(INDEX(Clay_Brands!$A$2:$FZ$601,431,Sync!$D$5)&amp;"",""),6)&lt;&gt;"SAMPLE",Config!$B$19="Y")),IFERROR(N(INDEX(Clay_Brands!$A$2:$FZ$601,431,Sync!$D$13)),0),"")</f>
        <v/>
      </c>
      <c r="C5082" s="23" t="str">
        <f aca="false">IF(B5082="","","brand")</f>
        <v/>
      </c>
      <c r="D5082" s="23" t="str">
        <f aca="false">IF(B5082="","",IFERROR(INDEX(Brand_Log!$DV$2:$DV$201,MATCH(IFERROR(INDEX(Clay_Brands!$A$2:$FZ$601,431,Sync!$D$5)&amp;"",""),Brand_Log!$A$2:$A$201,0))&amp;"",IFERROR(INDEX(Clay_Brands!$A$2:$FZ$601,431,Sync!$D$5)&amp;"","")&amp;""))</f>
        <v/>
      </c>
      <c r="E5082" s="23" t="str">
        <f aca="false">IF(B5082="","",IFERROR(INDEX(Clay_Brands!$A$2:$FZ$601,431,Sync!$D$6)&amp;"",""))</f>
        <v/>
      </c>
      <c r="F5082" s="23" t="str">
        <f aca="false">IF(B5082="","","outreach_sent")</f>
        <v/>
      </c>
      <c r="G5082" s="23" t="str">
        <f aca="false">IF(B5082="","","")</f>
        <v/>
      </c>
      <c r="H5082" s="23" t="str">
        <f aca="false">IF(B5082="","","")</f>
        <v/>
      </c>
      <c r="I5082" s="23" t="str">
        <f aca="false">IF(B5082="","","")</f>
        <v/>
      </c>
      <c r="J5082" s="23" t="str">
        <f aca="false">IF(B5082="","","touch_3; "&amp;IFERROR(INDEX(Clay_Brands!$A$2:$FZ$601,431,Sync!$D$10)&amp;"","")&amp;"; "&amp;IFERROR(INDEX(Clay_Brands!$A$2:$FZ$601,431,Sync!$D$9)&amp;"",""))</f>
        <v/>
      </c>
      <c r="K5082" s="32" t="s">
        <v>1368</v>
      </c>
    </row>
    <row r="5083" customFormat="false" ht="15" hidden="false" customHeight="false" outlineLevel="0" collapsed="false">
      <c r="A5083" s="23" t="str">
        <f aca="false">IF(B5083="","",B5083+(17*1000+432)/10000000)</f>
        <v/>
      </c>
      <c r="B5083" s="35" t="str">
        <f aca="false">IF(AND(IFERROR(N(INDEX(Clay_Brands!$A$2:$FZ$601,432,Sync!$D$13)),0)&gt;0,IFERROR(INDEX(Clay_Brands!$A$2:$FZ$601,432,Sync!$D$5)&amp;"","")&lt;&gt;"",OR(LEFT(IFERROR(INDEX(Clay_Brands!$A$2:$FZ$601,432,Sync!$D$5)&amp;"",""),6)&lt;&gt;"SAMPLE",Config!$B$19="Y")),IFERROR(N(INDEX(Clay_Brands!$A$2:$FZ$601,432,Sync!$D$13)),0),"")</f>
        <v/>
      </c>
      <c r="C5083" s="23" t="str">
        <f aca="false">IF(B5083="","","brand")</f>
        <v/>
      </c>
      <c r="D5083" s="23" t="str">
        <f aca="false">IF(B5083="","",IFERROR(INDEX(Brand_Log!$DV$2:$DV$201,MATCH(IFERROR(INDEX(Clay_Brands!$A$2:$FZ$601,432,Sync!$D$5)&amp;"",""),Brand_Log!$A$2:$A$201,0))&amp;"",IFERROR(INDEX(Clay_Brands!$A$2:$FZ$601,432,Sync!$D$5)&amp;"","")&amp;""))</f>
        <v/>
      </c>
      <c r="E5083" s="23" t="str">
        <f aca="false">IF(B5083="","",IFERROR(INDEX(Clay_Brands!$A$2:$FZ$601,432,Sync!$D$6)&amp;"",""))</f>
        <v/>
      </c>
      <c r="F5083" s="23" t="str">
        <f aca="false">IF(B5083="","","outreach_sent")</f>
        <v/>
      </c>
      <c r="G5083" s="23" t="str">
        <f aca="false">IF(B5083="","","")</f>
        <v/>
      </c>
      <c r="H5083" s="23" t="str">
        <f aca="false">IF(B5083="","","")</f>
        <v/>
      </c>
      <c r="I5083" s="23" t="str">
        <f aca="false">IF(B5083="","","")</f>
        <v/>
      </c>
      <c r="J5083" s="23" t="str">
        <f aca="false">IF(B5083="","","touch_3; "&amp;IFERROR(INDEX(Clay_Brands!$A$2:$FZ$601,432,Sync!$D$10)&amp;"","")&amp;"; "&amp;IFERROR(INDEX(Clay_Brands!$A$2:$FZ$601,432,Sync!$D$9)&amp;"",""))</f>
        <v/>
      </c>
      <c r="K5083" s="32" t="s">
        <v>1368</v>
      </c>
    </row>
    <row r="5084" customFormat="false" ht="15" hidden="false" customHeight="false" outlineLevel="0" collapsed="false">
      <c r="A5084" s="23" t="str">
        <f aca="false">IF(B5084="","",B5084+(17*1000+433)/10000000)</f>
        <v/>
      </c>
      <c r="B5084" s="35" t="str">
        <f aca="false">IF(AND(IFERROR(N(INDEX(Clay_Brands!$A$2:$FZ$601,433,Sync!$D$13)),0)&gt;0,IFERROR(INDEX(Clay_Brands!$A$2:$FZ$601,433,Sync!$D$5)&amp;"","")&lt;&gt;"",OR(LEFT(IFERROR(INDEX(Clay_Brands!$A$2:$FZ$601,433,Sync!$D$5)&amp;"",""),6)&lt;&gt;"SAMPLE",Config!$B$19="Y")),IFERROR(N(INDEX(Clay_Brands!$A$2:$FZ$601,433,Sync!$D$13)),0),"")</f>
        <v/>
      </c>
      <c r="C5084" s="23" t="str">
        <f aca="false">IF(B5084="","","brand")</f>
        <v/>
      </c>
      <c r="D5084" s="23" t="str">
        <f aca="false">IF(B5084="","",IFERROR(INDEX(Brand_Log!$DV$2:$DV$201,MATCH(IFERROR(INDEX(Clay_Brands!$A$2:$FZ$601,433,Sync!$D$5)&amp;"",""),Brand_Log!$A$2:$A$201,0))&amp;"",IFERROR(INDEX(Clay_Brands!$A$2:$FZ$601,433,Sync!$D$5)&amp;"","")&amp;""))</f>
        <v/>
      </c>
      <c r="E5084" s="23" t="str">
        <f aca="false">IF(B5084="","",IFERROR(INDEX(Clay_Brands!$A$2:$FZ$601,433,Sync!$D$6)&amp;"",""))</f>
        <v/>
      </c>
      <c r="F5084" s="23" t="str">
        <f aca="false">IF(B5084="","","outreach_sent")</f>
        <v/>
      </c>
      <c r="G5084" s="23" t="str">
        <f aca="false">IF(B5084="","","")</f>
        <v/>
      </c>
      <c r="H5084" s="23" t="str">
        <f aca="false">IF(B5084="","","")</f>
        <v/>
      </c>
      <c r="I5084" s="23" t="str">
        <f aca="false">IF(B5084="","","")</f>
        <v/>
      </c>
      <c r="J5084" s="23" t="str">
        <f aca="false">IF(B5084="","","touch_3; "&amp;IFERROR(INDEX(Clay_Brands!$A$2:$FZ$601,433,Sync!$D$10)&amp;"","")&amp;"; "&amp;IFERROR(INDEX(Clay_Brands!$A$2:$FZ$601,433,Sync!$D$9)&amp;"",""))</f>
        <v/>
      </c>
      <c r="K5084" s="32" t="s">
        <v>1368</v>
      </c>
    </row>
    <row r="5085" customFormat="false" ht="15" hidden="false" customHeight="false" outlineLevel="0" collapsed="false">
      <c r="A5085" s="23" t="str">
        <f aca="false">IF(B5085="","",B5085+(17*1000+434)/10000000)</f>
        <v/>
      </c>
      <c r="B5085" s="35" t="str">
        <f aca="false">IF(AND(IFERROR(N(INDEX(Clay_Brands!$A$2:$FZ$601,434,Sync!$D$13)),0)&gt;0,IFERROR(INDEX(Clay_Brands!$A$2:$FZ$601,434,Sync!$D$5)&amp;"","")&lt;&gt;"",OR(LEFT(IFERROR(INDEX(Clay_Brands!$A$2:$FZ$601,434,Sync!$D$5)&amp;"",""),6)&lt;&gt;"SAMPLE",Config!$B$19="Y")),IFERROR(N(INDEX(Clay_Brands!$A$2:$FZ$601,434,Sync!$D$13)),0),"")</f>
        <v/>
      </c>
      <c r="C5085" s="23" t="str">
        <f aca="false">IF(B5085="","","brand")</f>
        <v/>
      </c>
      <c r="D5085" s="23" t="str">
        <f aca="false">IF(B5085="","",IFERROR(INDEX(Brand_Log!$DV$2:$DV$201,MATCH(IFERROR(INDEX(Clay_Brands!$A$2:$FZ$601,434,Sync!$D$5)&amp;"",""),Brand_Log!$A$2:$A$201,0))&amp;"",IFERROR(INDEX(Clay_Brands!$A$2:$FZ$601,434,Sync!$D$5)&amp;"","")&amp;""))</f>
        <v/>
      </c>
      <c r="E5085" s="23" t="str">
        <f aca="false">IF(B5085="","",IFERROR(INDEX(Clay_Brands!$A$2:$FZ$601,434,Sync!$D$6)&amp;"",""))</f>
        <v/>
      </c>
      <c r="F5085" s="23" t="str">
        <f aca="false">IF(B5085="","","outreach_sent")</f>
        <v/>
      </c>
      <c r="G5085" s="23" t="str">
        <f aca="false">IF(B5085="","","")</f>
        <v/>
      </c>
      <c r="H5085" s="23" t="str">
        <f aca="false">IF(B5085="","","")</f>
        <v/>
      </c>
      <c r="I5085" s="23" t="str">
        <f aca="false">IF(B5085="","","")</f>
        <v/>
      </c>
      <c r="J5085" s="23" t="str">
        <f aca="false">IF(B5085="","","touch_3; "&amp;IFERROR(INDEX(Clay_Brands!$A$2:$FZ$601,434,Sync!$D$10)&amp;"","")&amp;"; "&amp;IFERROR(INDEX(Clay_Brands!$A$2:$FZ$601,434,Sync!$D$9)&amp;"",""))</f>
        <v/>
      </c>
      <c r="K5085" s="32" t="s">
        <v>1368</v>
      </c>
    </row>
    <row r="5086" customFormat="false" ht="15" hidden="false" customHeight="false" outlineLevel="0" collapsed="false">
      <c r="A5086" s="23" t="str">
        <f aca="false">IF(B5086="","",B5086+(17*1000+435)/10000000)</f>
        <v/>
      </c>
      <c r="B5086" s="35" t="str">
        <f aca="false">IF(AND(IFERROR(N(INDEX(Clay_Brands!$A$2:$FZ$601,435,Sync!$D$13)),0)&gt;0,IFERROR(INDEX(Clay_Brands!$A$2:$FZ$601,435,Sync!$D$5)&amp;"","")&lt;&gt;"",OR(LEFT(IFERROR(INDEX(Clay_Brands!$A$2:$FZ$601,435,Sync!$D$5)&amp;"",""),6)&lt;&gt;"SAMPLE",Config!$B$19="Y")),IFERROR(N(INDEX(Clay_Brands!$A$2:$FZ$601,435,Sync!$D$13)),0),"")</f>
        <v/>
      </c>
      <c r="C5086" s="23" t="str">
        <f aca="false">IF(B5086="","","brand")</f>
        <v/>
      </c>
      <c r="D5086" s="23" t="str">
        <f aca="false">IF(B5086="","",IFERROR(INDEX(Brand_Log!$DV$2:$DV$201,MATCH(IFERROR(INDEX(Clay_Brands!$A$2:$FZ$601,435,Sync!$D$5)&amp;"",""),Brand_Log!$A$2:$A$201,0))&amp;"",IFERROR(INDEX(Clay_Brands!$A$2:$FZ$601,435,Sync!$D$5)&amp;"","")&amp;""))</f>
        <v/>
      </c>
      <c r="E5086" s="23" t="str">
        <f aca="false">IF(B5086="","",IFERROR(INDEX(Clay_Brands!$A$2:$FZ$601,435,Sync!$D$6)&amp;"",""))</f>
        <v/>
      </c>
      <c r="F5086" s="23" t="str">
        <f aca="false">IF(B5086="","","outreach_sent")</f>
        <v/>
      </c>
      <c r="G5086" s="23" t="str">
        <f aca="false">IF(B5086="","","")</f>
        <v/>
      </c>
      <c r="H5086" s="23" t="str">
        <f aca="false">IF(B5086="","","")</f>
        <v/>
      </c>
      <c r="I5086" s="23" t="str">
        <f aca="false">IF(B5086="","","")</f>
        <v/>
      </c>
      <c r="J5086" s="23" t="str">
        <f aca="false">IF(B5086="","","touch_3; "&amp;IFERROR(INDEX(Clay_Brands!$A$2:$FZ$601,435,Sync!$D$10)&amp;"","")&amp;"; "&amp;IFERROR(INDEX(Clay_Brands!$A$2:$FZ$601,435,Sync!$D$9)&amp;"",""))</f>
        <v/>
      </c>
      <c r="K5086" s="32" t="s">
        <v>1368</v>
      </c>
    </row>
    <row r="5087" customFormat="false" ht="15" hidden="false" customHeight="false" outlineLevel="0" collapsed="false">
      <c r="A5087" s="23" t="str">
        <f aca="false">IF(B5087="","",B5087+(17*1000+436)/10000000)</f>
        <v/>
      </c>
      <c r="B5087" s="35" t="str">
        <f aca="false">IF(AND(IFERROR(N(INDEX(Clay_Brands!$A$2:$FZ$601,436,Sync!$D$13)),0)&gt;0,IFERROR(INDEX(Clay_Brands!$A$2:$FZ$601,436,Sync!$D$5)&amp;"","")&lt;&gt;"",OR(LEFT(IFERROR(INDEX(Clay_Brands!$A$2:$FZ$601,436,Sync!$D$5)&amp;"",""),6)&lt;&gt;"SAMPLE",Config!$B$19="Y")),IFERROR(N(INDEX(Clay_Brands!$A$2:$FZ$601,436,Sync!$D$13)),0),"")</f>
        <v/>
      </c>
      <c r="C5087" s="23" t="str">
        <f aca="false">IF(B5087="","","brand")</f>
        <v/>
      </c>
      <c r="D5087" s="23" t="str">
        <f aca="false">IF(B5087="","",IFERROR(INDEX(Brand_Log!$DV$2:$DV$201,MATCH(IFERROR(INDEX(Clay_Brands!$A$2:$FZ$601,436,Sync!$D$5)&amp;"",""),Brand_Log!$A$2:$A$201,0))&amp;"",IFERROR(INDEX(Clay_Brands!$A$2:$FZ$601,436,Sync!$D$5)&amp;"","")&amp;""))</f>
        <v/>
      </c>
      <c r="E5087" s="23" t="str">
        <f aca="false">IF(B5087="","",IFERROR(INDEX(Clay_Brands!$A$2:$FZ$601,436,Sync!$D$6)&amp;"",""))</f>
        <v/>
      </c>
      <c r="F5087" s="23" t="str">
        <f aca="false">IF(B5087="","","outreach_sent")</f>
        <v/>
      </c>
      <c r="G5087" s="23" t="str">
        <f aca="false">IF(B5087="","","")</f>
        <v/>
      </c>
      <c r="H5087" s="23" t="str">
        <f aca="false">IF(B5087="","","")</f>
        <v/>
      </c>
      <c r="I5087" s="23" t="str">
        <f aca="false">IF(B5087="","","")</f>
        <v/>
      </c>
      <c r="J5087" s="23" t="str">
        <f aca="false">IF(B5087="","","touch_3; "&amp;IFERROR(INDEX(Clay_Brands!$A$2:$FZ$601,436,Sync!$D$10)&amp;"","")&amp;"; "&amp;IFERROR(INDEX(Clay_Brands!$A$2:$FZ$601,436,Sync!$D$9)&amp;"",""))</f>
        <v/>
      </c>
      <c r="K5087" s="32" t="s">
        <v>1368</v>
      </c>
    </row>
    <row r="5088" customFormat="false" ht="15" hidden="false" customHeight="false" outlineLevel="0" collapsed="false">
      <c r="A5088" s="23" t="str">
        <f aca="false">IF(B5088="","",B5088+(17*1000+437)/10000000)</f>
        <v/>
      </c>
      <c r="B5088" s="35" t="str">
        <f aca="false">IF(AND(IFERROR(N(INDEX(Clay_Brands!$A$2:$FZ$601,437,Sync!$D$13)),0)&gt;0,IFERROR(INDEX(Clay_Brands!$A$2:$FZ$601,437,Sync!$D$5)&amp;"","")&lt;&gt;"",OR(LEFT(IFERROR(INDEX(Clay_Brands!$A$2:$FZ$601,437,Sync!$D$5)&amp;"",""),6)&lt;&gt;"SAMPLE",Config!$B$19="Y")),IFERROR(N(INDEX(Clay_Brands!$A$2:$FZ$601,437,Sync!$D$13)),0),"")</f>
        <v/>
      </c>
      <c r="C5088" s="23" t="str">
        <f aca="false">IF(B5088="","","brand")</f>
        <v/>
      </c>
      <c r="D5088" s="23" t="str">
        <f aca="false">IF(B5088="","",IFERROR(INDEX(Brand_Log!$DV$2:$DV$201,MATCH(IFERROR(INDEX(Clay_Brands!$A$2:$FZ$601,437,Sync!$D$5)&amp;"",""),Brand_Log!$A$2:$A$201,0))&amp;"",IFERROR(INDEX(Clay_Brands!$A$2:$FZ$601,437,Sync!$D$5)&amp;"","")&amp;""))</f>
        <v/>
      </c>
      <c r="E5088" s="23" t="str">
        <f aca="false">IF(B5088="","",IFERROR(INDEX(Clay_Brands!$A$2:$FZ$601,437,Sync!$D$6)&amp;"",""))</f>
        <v/>
      </c>
      <c r="F5088" s="23" t="str">
        <f aca="false">IF(B5088="","","outreach_sent")</f>
        <v/>
      </c>
      <c r="G5088" s="23" t="str">
        <f aca="false">IF(B5088="","","")</f>
        <v/>
      </c>
      <c r="H5088" s="23" t="str">
        <f aca="false">IF(B5088="","","")</f>
        <v/>
      </c>
      <c r="I5088" s="23" t="str">
        <f aca="false">IF(B5088="","","")</f>
        <v/>
      </c>
      <c r="J5088" s="23" t="str">
        <f aca="false">IF(B5088="","","touch_3; "&amp;IFERROR(INDEX(Clay_Brands!$A$2:$FZ$601,437,Sync!$D$10)&amp;"","")&amp;"; "&amp;IFERROR(INDEX(Clay_Brands!$A$2:$FZ$601,437,Sync!$D$9)&amp;"",""))</f>
        <v/>
      </c>
      <c r="K5088" s="32" t="s">
        <v>1368</v>
      </c>
    </row>
    <row r="5089" customFormat="false" ht="15" hidden="false" customHeight="false" outlineLevel="0" collapsed="false">
      <c r="A5089" s="23" t="str">
        <f aca="false">IF(B5089="","",B5089+(17*1000+438)/10000000)</f>
        <v/>
      </c>
      <c r="B5089" s="35" t="str">
        <f aca="false">IF(AND(IFERROR(N(INDEX(Clay_Brands!$A$2:$FZ$601,438,Sync!$D$13)),0)&gt;0,IFERROR(INDEX(Clay_Brands!$A$2:$FZ$601,438,Sync!$D$5)&amp;"","")&lt;&gt;"",OR(LEFT(IFERROR(INDEX(Clay_Brands!$A$2:$FZ$601,438,Sync!$D$5)&amp;"",""),6)&lt;&gt;"SAMPLE",Config!$B$19="Y")),IFERROR(N(INDEX(Clay_Brands!$A$2:$FZ$601,438,Sync!$D$13)),0),"")</f>
        <v/>
      </c>
      <c r="C5089" s="23" t="str">
        <f aca="false">IF(B5089="","","brand")</f>
        <v/>
      </c>
      <c r="D5089" s="23" t="str">
        <f aca="false">IF(B5089="","",IFERROR(INDEX(Brand_Log!$DV$2:$DV$201,MATCH(IFERROR(INDEX(Clay_Brands!$A$2:$FZ$601,438,Sync!$D$5)&amp;"",""),Brand_Log!$A$2:$A$201,0))&amp;"",IFERROR(INDEX(Clay_Brands!$A$2:$FZ$601,438,Sync!$D$5)&amp;"","")&amp;""))</f>
        <v/>
      </c>
      <c r="E5089" s="23" t="str">
        <f aca="false">IF(B5089="","",IFERROR(INDEX(Clay_Brands!$A$2:$FZ$601,438,Sync!$D$6)&amp;"",""))</f>
        <v/>
      </c>
      <c r="F5089" s="23" t="str">
        <f aca="false">IF(B5089="","","outreach_sent")</f>
        <v/>
      </c>
      <c r="G5089" s="23" t="str">
        <f aca="false">IF(B5089="","","")</f>
        <v/>
      </c>
      <c r="H5089" s="23" t="str">
        <f aca="false">IF(B5089="","","")</f>
        <v/>
      </c>
      <c r="I5089" s="23" t="str">
        <f aca="false">IF(B5089="","","")</f>
        <v/>
      </c>
      <c r="J5089" s="23" t="str">
        <f aca="false">IF(B5089="","","touch_3; "&amp;IFERROR(INDEX(Clay_Brands!$A$2:$FZ$601,438,Sync!$D$10)&amp;"","")&amp;"; "&amp;IFERROR(INDEX(Clay_Brands!$A$2:$FZ$601,438,Sync!$D$9)&amp;"",""))</f>
        <v/>
      </c>
      <c r="K5089" s="32" t="s">
        <v>1368</v>
      </c>
    </row>
    <row r="5090" customFormat="false" ht="15" hidden="false" customHeight="false" outlineLevel="0" collapsed="false">
      <c r="A5090" s="23" t="str">
        <f aca="false">IF(B5090="","",B5090+(17*1000+439)/10000000)</f>
        <v/>
      </c>
      <c r="B5090" s="35" t="str">
        <f aca="false">IF(AND(IFERROR(N(INDEX(Clay_Brands!$A$2:$FZ$601,439,Sync!$D$13)),0)&gt;0,IFERROR(INDEX(Clay_Brands!$A$2:$FZ$601,439,Sync!$D$5)&amp;"","")&lt;&gt;"",OR(LEFT(IFERROR(INDEX(Clay_Brands!$A$2:$FZ$601,439,Sync!$D$5)&amp;"",""),6)&lt;&gt;"SAMPLE",Config!$B$19="Y")),IFERROR(N(INDEX(Clay_Brands!$A$2:$FZ$601,439,Sync!$D$13)),0),"")</f>
        <v/>
      </c>
      <c r="C5090" s="23" t="str">
        <f aca="false">IF(B5090="","","brand")</f>
        <v/>
      </c>
      <c r="D5090" s="23" t="str">
        <f aca="false">IF(B5090="","",IFERROR(INDEX(Brand_Log!$DV$2:$DV$201,MATCH(IFERROR(INDEX(Clay_Brands!$A$2:$FZ$601,439,Sync!$D$5)&amp;"",""),Brand_Log!$A$2:$A$201,0))&amp;"",IFERROR(INDEX(Clay_Brands!$A$2:$FZ$601,439,Sync!$D$5)&amp;"","")&amp;""))</f>
        <v/>
      </c>
      <c r="E5090" s="23" t="str">
        <f aca="false">IF(B5090="","",IFERROR(INDEX(Clay_Brands!$A$2:$FZ$601,439,Sync!$D$6)&amp;"",""))</f>
        <v/>
      </c>
      <c r="F5090" s="23" t="str">
        <f aca="false">IF(B5090="","","outreach_sent")</f>
        <v/>
      </c>
      <c r="G5090" s="23" t="str">
        <f aca="false">IF(B5090="","","")</f>
        <v/>
      </c>
      <c r="H5090" s="23" t="str">
        <f aca="false">IF(B5090="","","")</f>
        <v/>
      </c>
      <c r="I5090" s="23" t="str">
        <f aca="false">IF(B5090="","","")</f>
        <v/>
      </c>
      <c r="J5090" s="23" t="str">
        <f aca="false">IF(B5090="","","touch_3; "&amp;IFERROR(INDEX(Clay_Brands!$A$2:$FZ$601,439,Sync!$D$10)&amp;"","")&amp;"; "&amp;IFERROR(INDEX(Clay_Brands!$A$2:$FZ$601,439,Sync!$D$9)&amp;"",""))</f>
        <v/>
      </c>
      <c r="K5090" s="32" t="s">
        <v>1368</v>
      </c>
    </row>
    <row r="5091" customFormat="false" ht="15" hidden="false" customHeight="false" outlineLevel="0" collapsed="false">
      <c r="A5091" s="23" t="str">
        <f aca="false">IF(B5091="","",B5091+(17*1000+440)/10000000)</f>
        <v/>
      </c>
      <c r="B5091" s="35" t="str">
        <f aca="false">IF(AND(IFERROR(N(INDEX(Clay_Brands!$A$2:$FZ$601,440,Sync!$D$13)),0)&gt;0,IFERROR(INDEX(Clay_Brands!$A$2:$FZ$601,440,Sync!$D$5)&amp;"","")&lt;&gt;"",OR(LEFT(IFERROR(INDEX(Clay_Brands!$A$2:$FZ$601,440,Sync!$D$5)&amp;"",""),6)&lt;&gt;"SAMPLE",Config!$B$19="Y")),IFERROR(N(INDEX(Clay_Brands!$A$2:$FZ$601,440,Sync!$D$13)),0),"")</f>
        <v/>
      </c>
      <c r="C5091" s="23" t="str">
        <f aca="false">IF(B5091="","","brand")</f>
        <v/>
      </c>
      <c r="D5091" s="23" t="str">
        <f aca="false">IF(B5091="","",IFERROR(INDEX(Brand_Log!$DV$2:$DV$201,MATCH(IFERROR(INDEX(Clay_Brands!$A$2:$FZ$601,440,Sync!$D$5)&amp;"",""),Brand_Log!$A$2:$A$201,0))&amp;"",IFERROR(INDEX(Clay_Brands!$A$2:$FZ$601,440,Sync!$D$5)&amp;"","")&amp;""))</f>
        <v/>
      </c>
      <c r="E5091" s="23" t="str">
        <f aca="false">IF(B5091="","",IFERROR(INDEX(Clay_Brands!$A$2:$FZ$601,440,Sync!$D$6)&amp;"",""))</f>
        <v/>
      </c>
      <c r="F5091" s="23" t="str">
        <f aca="false">IF(B5091="","","outreach_sent")</f>
        <v/>
      </c>
      <c r="G5091" s="23" t="str">
        <f aca="false">IF(B5091="","","")</f>
        <v/>
      </c>
      <c r="H5091" s="23" t="str">
        <f aca="false">IF(B5091="","","")</f>
        <v/>
      </c>
      <c r="I5091" s="23" t="str">
        <f aca="false">IF(B5091="","","")</f>
        <v/>
      </c>
      <c r="J5091" s="23" t="str">
        <f aca="false">IF(B5091="","","touch_3; "&amp;IFERROR(INDEX(Clay_Brands!$A$2:$FZ$601,440,Sync!$D$10)&amp;"","")&amp;"; "&amp;IFERROR(INDEX(Clay_Brands!$A$2:$FZ$601,440,Sync!$D$9)&amp;"",""))</f>
        <v/>
      </c>
      <c r="K5091" s="32" t="s">
        <v>1368</v>
      </c>
    </row>
    <row r="5092" customFormat="false" ht="15" hidden="false" customHeight="false" outlineLevel="0" collapsed="false">
      <c r="A5092" s="23" t="str">
        <f aca="false">IF(B5092="","",B5092+(17*1000+441)/10000000)</f>
        <v/>
      </c>
      <c r="B5092" s="35" t="str">
        <f aca="false">IF(AND(IFERROR(N(INDEX(Clay_Brands!$A$2:$FZ$601,441,Sync!$D$13)),0)&gt;0,IFERROR(INDEX(Clay_Brands!$A$2:$FZ$601,441,Sync!$D$5)&amp;"","")&lt;&gt;"",OR(LEFT(IFERROR(INDEX(Clay_Brands!$A$2:$FZ$601,441,Sync!$D$5)&amp;"",""),6)&lt;&gt;"SAMPLE",Config!$B$19="Y")),IFERROR(N(INDEX(Clay_Brands!$A$2:$FZ$601,441,Sync!$D$13)),0),"")</f>
        <v/>
      </c>
      <c r="C5092" s="23" t="str">
        <f aca="false">IF(B5092="","","brand")</f>
        <v/>
      </c>
      <c r="D5092" s="23" t="str">
        <f aca="false">IF(B5092="","",IFERROR(INDEX(Brand_Log!$DV$2:$DV$201,MATCH(IFERROR(INDEX(Clay_Brands!$A$2:$FZ$601,441,Sync!$D$5)&amp;"",""),Brand_Log!$A$2:$A$201,0))&amp;"",IFERROR(INDEX(Clay_Brands!$A$2:$FZ$601,441,Sync!$D$5)&amp;"","")&amp;""))</f>
        <v/>
      </c>
      <c r="E5092" s="23" t="str">
        <f aca="false">IF(B5092="","",IFERROR(INDEX(Clay_Brands!$A$2:$FZ$601,441,Sync!$D$6)&amp;"",""))</f>
        <v/>
      </c>
      <c r="F5092" s="23" t="str">
        <f aca="false">IF(B5092="","","outreach_sent")</f>
        <v/>
      </c>
      <c r="G5092" s="23" t="str">
        <f aca="false">IF(B5092="","","")</f>
        <v/>
      </c>
      <c r="H5092" s="23" t="str">
        <f aca="false">IF(B5092="","","")</f>
        <v/>
      </c>
      <c r="I5092" s="23" t="str">
        <f aca="false">IF(B5092="","","")</f>
        <v/>
      </c>
      <c r="J5092" s="23" t="str">
        <f aca="false">IF(B5092="","","touch_3; "&amp;IFERROR(INDEX(Clay_Brands!$A$2:$FZ$601,441,Sync!$D$10)&amp;"","")&amp;"; "&amp;IFERROR(INDEX(Clay_Brands!$A$2:$FZ$601,441,Sync!$D$9)&amp;"",""))</f>
        <v/>
      </c>
      <c r="K5092" s="32" t="s">
        <v>1368</v>
      </c>
    </row>
    <row r="5093" customFormat="false" ht="15" hidden="false" customHeight="false" outlineLevel="0" collapsed="false">
      <c r="A5093" s="23" t="str">
        <f aca="false">IF(B5093="","",B5093+(17*1000+442)/10000000)</f>
        <v/>
      </c>
      <c r="B5093" s="35" t="str">
        <f aca="false">IF(AND(IFERROR(N(INDEX(Clay_Brands!$A$2:$FZ$601,442,Sync!$D$13)),0)&gt;0,IFERROR(INDEX(Clay_Brands!$A$2:$FZ$601,442,Sync!$D$5)&amp;"","")&lt;&gt;"",OR(LEFT(IFERROR(INDEX(Clay_Brands!$A$2:$FZ$601,442,Sync!$D$5)&amp;"",""),6)&lt;&gt;"SAMPLE",Config!$B$19="Y")),IFERROR(N(INDEX(Clay_Brands!$A$2:$FZ$601,442,Sync!$D$13)),0),"")</f>
        <v/>
      </c>
      <c r="C5093" s="23" t="str">
        <f aca="false">IF(B5093="","","brand")</f>
        <v/>
      </c>
      <c r="D5093" s="23" t="str">
        <f aca="false">IF(B5093="","",IFERROR(INDEX(Brand_Log!$DV$2:$DV$201,MATCH(IFERROR(INDEX(Clay_Brands!$A$2:$FZ$601,442,Sync!$D$5)&amp;"",""),Brand_Log!$A$2:$A$201,0))&amp;"",IFERROR(INDEX(Clay_Brands!$A$2:$FZ$601,442,Sync!$D$5)&amp;"","")&amp;""))</f>
        <v/>
      </c>
      <c r="E5093" s="23" t="str">
        <f aca="false">IF(B5093="","",IFERROR(INDEX(Clay_Brands!$A$2:$FZ$601,442,Sync!$D$6)&amp;"",""))</f>
        <v/>
      </c>
      <c r="F5093" s="23" t="str">
        <f aca="false">IF(B5093="","","outreach_sent")</f>
        <v/>
      </c>
      <c r="G5093" s="23" t="str">
        <f aca="false">IF(B5093="","","")</f>
        <v/>
      </c>
      <c r="H5093" s="23" t="str">
        <f aca="false">IF(B5093="","","")</f>
        <v/>
      </c>
      <c r="I5093" s="23" t="str">
        <f aca="false">IF(B5093="","","")</f>
        <v/>
      </c>
      <c r="J5093" s="23" t="str">
        <f aca="false">IF(B5093="","","touch_3; "&amp;IFERROR(INDEX(Clay_Brands!$A$2:$FZ$601,442,Sync!$D$10)&amp;"","")&amp;"; "&amp;IFERROR(INDEX(Clay_Brands!$A$2:$FZ$601,442,Sync!$D$9)&amp;"",""))</f>
        <v/>
      </c>
      <c r="K5093" s="32" t="s">
        <v>1368</v>
      </c>
    </row>
    <row r="5094" customFormat="false" ht="15" hidden="false" customHeight="false" outlineLevel="0" collapsed="false">
      <c r="A5094" s="23" t="str">
        <f aca="false">IF(B5094="","",B5094+(17*1000+443)/10000000)</f>
        <v/>
      </c>
      <c r="B5094" s="35" t="str">
        <f aca="false">IF(AND(IFERROR(N(INDEX(Clay_Brands!$A$2:$FZ$601,443,Sync!$D$13)),0)&gt;0,IFERROR(INDEX(Clay_Brands!$A$2:$FZ$601,443,Sync!$D$5)&amp;"","")&lt;&gt;"",OR(LEFT(IFERROR(INDEX(Clay_Brands!$A$2:$FZ$601,443,Sync!$D$5)&amp;"",""),6)&lt;&gt;"SAMPLE",Config!$B$19="Y")),IFERROR(N(INDEX(Clay_Brands!$A$2:$FZ$601,443,Sync!$D$13)),0),"")</f>
        <v/>
      </c>
      <c r="C5094" s="23" t="str">
        <f aca="false">IF(B5094="","","brand")</f>
        <v/>
      </c>
      <c r="D5094" s="23" t="str">
        <f aca="false">IF(B5094="","",IFERROR(INDEX(Brand_Log!$DV$2:$DV$201,MATCH(IFERROR(INDEX(Clay_Brands!$A$2:$FZ$601,443,Sync!$D$5)&amp;"",""),Brand_Log!$A$2:$A$201,0))&amp;"",IFERROR(INDEX(Clay_Brands!$A$2:$FZ$601,443,Sync!$D$5)&amp;"","")&amp;""))</f>
        <v/>
      </c>
      <c r="E5094" s="23" t="str">
        <f aca="false">IF(B5094="","",IFERROR(INDEX(Clay_Brands!$A$2:$FZ$601,443,Sync!$D$6)&amp;"",""))</f>
        <v/>
      </c>
      <c r="F5094" s="23" t="str">
        <f aca="false">IF(B5094="","","outreach_sent")</f>
        <v/>
      </c>
      <c r="G5094" s="23" t="str">
        <f aca="false">IF(B5094="","","")</f>
        <v/>
      </c>
      <c r="H5094" s="23" t="str">
        <f aca="false">IF(B5094="","","")</f>
        <v/>
      </c>
      <c r="I5094" s="23" t="str">
        <f aca="false">IF(B5094="","","")</f>
        <v/>
      </c>
      <c r="J5094" s="23" t="str">
        <f aca="false">IF(B5094="","","touch_3; "&amp;IFERROR(INDEX(Clay_Brands!$A$2:$FZ$601,443,Sync!$D$10)&amp;"","")&amp;"; "&amp;IFERROR(INDEX(Clay_Brands!$A$2:$FZ$601,443,Sync!$D$9)&amp;"",""))</f>
        <v/>
      </c>
      <c r="K5094" s="32" t="s">
        <v>1368</v>
      </c>
    </row>
    <row r="5095" customFormat="false" ht="15" hidden="false" customHeight="false" outlineLevel="0" collapsed="false">
      <c r="A5095" s="23" t="str">
        <f aca="false">IF(B5095="","",B5095+(17*1000+444)/10000000)</f>
        <v/>
      </c>
      <c r="B5095" s="35" t="str">
        <f aca="false">IF(AND(IFERROR(N(INDEX(Clay_Brands!$A$2:$FZ$601,444,Sync!$D$13)),0)&gt;0,IFERROR(INDEX(Clay_Brands!$A$2:$FZ$601,444,Sync!$D$5)&amp;"","")&lt;&gt;"",OR(LEFT(IFERROR(INDEX(Clay_Brands!$A$2:$FZ$601,444,Sync!$D$5)&amp;"",""),6)&lt;&gt;"SAMPLE",Config!$B$19="Y")),IFERROR(N(INDEX(Clay_Brands!$A$2:$FZ$601,444,Sync!$D$13)),0),"")</f>
        <v/>
      </c>
      <c r="C5095" s="23" t="str">
        <f aca="false">IF(B5095="","","brand")</f>
        <v/>
      </c>
      <c r="D5095" s="23" t="str">
        <f aca="false">IF(B5095="","",IFERROR(INDEX(Brand_Log!$DV$2:$DV$201,MATCH(IFERROR(INDEX(Clay_Brands!$A$2:$FZ$601,444,Sync!$D$5)&amp;"",""),Brand_Log!$A$2:$A$201,0))&amp;"",IFERROR(INDEX(Clay_Brands!$A$2:$FZ$601,444,Sync!$D$5)&amp;"","")&amp;""))</f>
        <v/>
      </c>
      <c r="E5095" s="23" t="str">
        <f aca="false">IF(B5095="","",IFERROR(INDEX(Clay_Brands!$A$2:$FZ$601,444,Sync!$D$6)&amp;"",""))</f>
        <v/>
      </c>
      <c r="F5095" s="23" t="str">
        <f aca="false">IF(B5095="","","outreach_sent")</f>
        <v/>
      </c>
      <c r="G5095" s="23" t="str">
        <f aca="false">IF(B5095="","","")</f>
        <v/>
      </c>
      <c r="H5095" s="23" t="str">
        <f aca="false">IF(B5095="","","")</f>
        <v/>
      </c>
      <c r="I5095" s="23" t="str">
        <f aca="false">IF(B5095="","","")</f>
        <v/>
      </c>
      <c r="J5095" s="23" t="str">
        <f aca="false">IF(B5095="","","touch_3; "&amp;IFERROR(INDEX(Clay_Brands!$A$2:$FZ$601,444,Sync!$D$10)&amp;"","")&amp;"; "&amp;IFERROR(INDEX(Clay_Brands!$A$2:$FZ$601,444,Sync!$D$9)&amp;"",""))</f>
        <v/>
      </c>
      <c r="K5095" s="32" t="s">
        <v>1368</v>
      </c>
    </row>
    <row r="5096" customFormat="false" ht="15" hidden="false" customHeight="false" outlineLevel="0" collapsed="false">
      <c r="A5096" s="23" t="str">
        <f aca="false">IF(B5096="","",B5096+(17*1000+445)/10000000)</f>
        <v/>
      </c>
      <c r="B5096" s="35" t="str">
        <f aca="false">IF(AND(IFERROR(N(INDEX(Clay_Brands!$A$2:$FZ$601,445,Sync!$D$13)),0)&gt;0,IFERROR(INDEX(Clay_Brands!$A$2:$FZ$601,445,Sync!$D$5)&amp;"","")&lt;&gt;"",OR(LEFT(IFERROR(INDEX(Clay_Brands!$A$2:$FZ$601,445,Sync!$D$5)&amp;"",""),6)&lt;&gt;"SAMPLE",Config!$B$19="Y")),IFERROR(N(INDEX(Clay_Brands!$A$2:$FZ$601,445,Sync!$D$13)),0),"")</f>
        <v/>
      </c>
      <c r="C5096" s="23" t="str">
        <f aca="false">IF(B5096="","","brand")</f>
        <v/>
      </c>
      <c r="D5096" s="23" t="str">
        <f aca="false">IF(B5096="","",IFERROR(INDEX(Brand_Log!$DV$2:$DV$201,MATCH(IFERROR(INDEX(Clay_Brands!$A$2:$FZ$601,445,Sync!$D$5)&amp;"",""),Brand_Log!$A$2:$A$201,0))&amp;"",IFERROR(INDEX(Clay_Brands!$A$2:$FZ$601,445,Sync!$D$5)&amp;"","")&amp;""))</f>
        <v/>
      </c>
      <c r="E5096" s="23" t="str">
        <f aca="false">IF(B5096="","",IFERROR(INDEX(Clay_Brands!$A$2:$FZ$601,445,Sync!$D$6)&amp;"",""))</f>
        <v/>
      </c>
      <c r="F5096" s="23" t="str">
        <f aca="false">IF(B5096="","","outreach_sent")</f>
        <v/>
      </c>
      <c r="G5096" s="23" t="str">
        <f aca="false">IF(B5096="","","")</f>
        <v/>
      </c>
      <c r="H5096" s="23" t="str">
        <f aca="false">IF(B5096="","","")</f>
        <v/>
      </c>
      <c r="I5096" s="23" t="str">
        <f aca="false">IF(B5096="","","")</f>
        <v/>
      </c>
      <c r="J5096" s="23" t="str">
        <f aca="false">IF(B5096="","","touch_3; "&amp;IFERROR(INDEX(Clay_Brands!$A$2:$FZ$601,445,Sync!$D$10)&amp;"","")&amp;"; "&amp;IFERROR(INDEX(Clay_Brands!$A$2:$FZ$601,445,Sync!$D$9)&amp;"",""))</f>
        <v/>
      </c>
      <c r="K5096" s="32" t="s">
        <v>1368</v>
      </c>
    </row>
    <row r="5097" customFormat="false" ht="15" hidden="false" customHeight="false" outlineLevel="0" collapsed="false">
      <c r="A5097" s="23" t="str">
        <f aca="false">IF(B5097="","",B5097+(17*1000+446)/10000000)</f>
        <v/>
      </c>
      <c r="B5097" s="35" t="str">
        <f aca="false">IF(AND(IFERROR(N(INDEX(Clay_Brands!$A$2:$FZ$601,446,Sync!$D$13)),0)&gt;0,IFERROR(INDEX(Clay_Brands!$A$2:$FZ$601,446,Sync!$D$5)&amp;"","")&lt;&gt;"",OR(LEFT(IFERROR(INDEX(Clay_Brands!$A$2:$FZ$601,446,Sync!$D$5)&amp;"",""),6)&lt;&gt;"SAMPLE",Config!$B$19="Y")),IFERROR(N(INDEX(Clay_Brands!$A$2:$FZ$601,446,Sync!$D$13)),0),"")</f>
        <v/>
      </c>
      <c r="C5097" s="23" t="str">
        <f aca="false">IF(B5097="","","brand")</f>
        <v/>
      </c>
      <c r="D5097" s="23" t="str">
        <f aca="false">IF(B5097="","",IFERROR(INDEX(Brand_Log!$DV$2:$DV$201,MATCH(IFERROR(INDEX(Clay_Brands!$A$2:$FZ$601,446,Sync!$D$5)&amp;"",""),Brand_Log!$A$2:$A$201,0))&amp;"",IFERROR(INDEX(Clay_Brands!$A$2:$FZ$601,446,Sync!$D$5)&amp;"","")&amp;""))</f>
        <v/>
      </c>
      <c r="E5097" s="23" t="str">
        <f aca="false">IF(B5097="","",IFERROR(INDEX(Clay_Brands!$A$2:$FZ$601,446,Sync!$D$6)&amp;"",""))</f>
        <v/>
      </c>
      <c r="F5097" s="23" t="str">
        <f aca="false">IF(B5097="","","outreach_sent")</f>
        <v/>
      </c>
      <c r="G5097" s="23" t="str">
        <f aca="false">IF(B5097="","","")</f>
        <v/>
      </c>
      <c r="H5097" s="23" t="str">
        <f aca="false">IF(B5097="","","")</f>
        <v/>
      </c>
      <c r="I5097" s="23" t="str">
        <f aca="false">IF(B5097="","","")</f>
        <v/>
      </c>
      <c r="J5097" s="23" t="str">
        <f aca="false">IF(B5097="","","touch_3; "&amp;IFERROR(INDEX(Clay_Brands!$A$2:$FZ$601,446,Sync!$D$10)&amp;"","")&amp;"; "&amp;IFERROR(INDEX(Clay_Brands!$A$2:$FZ$601,446,Sync!$D$9)&amp;"",""))</f>
        <v/>
      </c>
      <c r="K5097" s="32" t="s">
        <v>1368</v>
      </c>
    </row>
    <row r="5098" customFormat="false" ht="15" hidden="false" customHeight="false" outlineLevel="0" collapsed="false">
      <c r="A5098" s="23" t="str">
        <f aca="false">IF(B5098="","",B5098+(17*1000+447)/10000000)</f>
        <v/>
      </c>
      <c r="B5098" s="35" t="str">
        <f aca="false">IF(AND(IFERROR(N(INDEX(Clay_Brands!$A$2:$FZ$601,447,Sync!$D$13)),0)&gt;0,IFERROR(INDEX(Clay_Brands!$A$2:$FZ$601,447,Sync!$D$5)&amp;"","")&lt;&gt;"",OR(LEFT(IFERROR(INDEX(Clay_Brands!$A$2:$FZ$601,447,Sync!$D$5)&amp;"",""),6)&lt;&gt;"SAMPLE",Config!$B$19="Y")),IFERROR(N(INDEX(Clay_Brands!$A$2:$FZ$601,447,Sync!$D$13)),0),"")</f>
        <v/>
      </c>
      <c r="C5098" s="23" t="str">
        <f aca="false">IF(B5098="","","brand")</f>
        <v/>
      </c>
      <c r="D5098" s="23" t="str">
        <f aca="false">IF(B5098="","",IFERROR(INDEX(Brand_Log!$DV$2:$DV$201,MATCH(IFERROR(INDEX(Clay_Brands!$A$2:$FZ$601,447,Sync!$D$5)&amp;"",""),Brand_Log!$A$2:$A$201,0))&amp;"",IFERROR(INDEX(Clay_Brands!$A$2:$FZ$601,447,Sync!$D$5)&amp;"","")&amp;""))</f>
        <v/>
      </c>
      <c r="E5098" s="23" t="str">
        <f aca="false">IF(B5098="","",IFERROR(INDEX(Clay_Brands!$A$2:$FZ$601,447,Sync!$D$6)&amp;"",""))</f>
        <v/>
      </c>
      <c r="F5098" s="23" t="str">
        <f aca="false">IF(B5098="","","outreach_sent")</f>
        <v/>
      </c>
      <c r="G5098" s="23" t="str">
        <f aca="false">IF(B5098="","","")</f>
        <v/>
      </c>
      <c r="H5098" s="23" t="str">
        <f aca="false">IF(B5098="","","")</f>
        <v/>
      </c>
      <c r="I5098" s="23" t="str">
        <f aca="false">IF(B5098="","","")</f>
        <v/>
      </c>
      <c r="J5098" s="23" t="str">
        <f aca="false">IF(B5098="","","touch_3; "&amp;IFERROR(INDEX(Clay_Brands!$A$2:$FZ$601,447,Sync!$D$10)&amp;"","")&amp;"; "&amp;IFERROR(INDEX(Clay_Brands!$A$2:$FZ$601,447,Sync!$D$9)&amp;"",""))</f>
        <v/>
      </c>
      <c r="K5098" s="32" t="s">
        <v>1368</v>
      </c>
    </row>
    <row r="5099" customFormat="false" ht="15" hidden="false" customHeight="false" outlineLevel="0" collapsed="false">
      <c r="A5099" s="23" t="str">
        <f aca="false">IF(B5099="","",B5099+(17*1000+448)/10000000)</f>
        <v/>
      </c>
      <c r="B5099" s="35" t="str">
        <f aca="false">IF(AND(IFERROR(N(INDEX(Clay_Brands!$A$2:$FZ$601,448,Sync!$D$13)),0)&gt;0,IFERROR(INDEX(Clay_Brands!$A$2:$FZ$601,448,Sync!$D$5)&amp;"","")&lt;&gt;"",OR(LEFT(IFERROR(INDEX(Clay_Brands!$A$2:$FZ$601,448,Sync!$D$5)&amp;"",""),6)&lt;&gt;"SAMPLE",Config!$B$19="Y")),IFERROR(N(INDEX(Clay_Brands!$A$2:$FZ$601,448,Sync!$D$13)),0),"")</f>
        <v/>
      </c>
      <c r="C5099" s="23" t="str">
        <f aca="false">IF(B5099="","","brand")</f>
        <v/>
      </c>
      <c r="D5099" s="23" t="str">
        <f aca="false">IF(B5099="","",IFERROR(INDEX(Brand_Log!$DV$2:$DV$201,MATCH(IFERROR(INDEX(Clay_Brands!$A$2:$FZ$601,448,Sync!$D$5)&amp;"",""),Brand_Log!$A$2:$A$201,0))&amp;"",IFERROR(INDEX(Clay_Brands!$A$2:$FZ$601,448,Sync!$D$5)&amp;"","")&amp;""))</f>
        <v/>
      </c>
      <c r="E5099" s="23" t="str">
        <f aca="false">IF(B5099="","",IFERROR(INDEX(Clay_Brands!$A$2:$FZ$601,448,Sync!$D$6)&amp;"",""))</f>
        <v/>
      </c>
      <c r="F5099" s="23" t="str">
        <f aca="false">IF(B5099="","","outreach_sent")</f>
        <v/>
      </c>
      <c r="G5099" s="23" t="str">
        <f aca="false">IF(B5099="","","")</f>
        <v/>
      </c>
      <c r="H5099" s="23" t="str">
        <f aca="false">IF(B5099="","","")</f>
        <v/>
      </c>
      <c r="I5099" s="23" t="str">
        <f aca="false">IF(B5099="","","")</f>
        <v/>
      </c>
      <c r="J5099" s="23" t="str">
        <f aca="false">IF(B5099="","","touch_3; "&amp;IFERROR(INDEX(Clay_Brands!$A$2:$FZ$601,448,Sync!$D$10)&amp;"","")&amp;"; "&amp;IFERROR(INDEX(Clay_Brands!$A$2:$FZ$601,448,Sync!$D$9)&amp;"",""))</f>
        <v/>
      </c>
      <c r="K5099" s="32" t="s">
        <v>1368</v>
      </c>
    </row>
    <row r="5100" customFormat="false" ht="15" hidden="false" customHeight="false" outlineLevel="0" collapsed="false">
      <c r="A5100" s="23" t="str">
        <f aca="false">IF(B5100="","",B5100+(17*1000+449)/10000000)</f>
        <v/>
      </c>
      <c r="B5100" s="35" t="str">
        <f aca="false">IF(AND(IFERROR(N(INDEX(Clay_Brands!$A$2:$FZ$601,449,Sync!$D$13)),0)&gt;0,IFERROR(INDEX(Clay_Brands!$A$2:$FZ$601,449,Sync!$D$5)&amp;"","")&lt;&gt;"",OR(LEFT(IFERROR(INDEX(Clay_Brands!$A$2:$FZ$601,449,Sync!$D$5)&amp;"",""),6)&lt;&gt;"SAMPLE",Config!$B$19="Y")),IFERROR(N(INDEX(Clay_Brands!$A$2:$FZ$601,449,Sync!$D$13)),0),"")</f>
        <v/>
      </c>
      <c r="C5100" s="23" t="str">
        <f aca="false">IF(B5100="","","brand")</f>
        <v/>
      </c>
      <c r="D5100" s="23" t="str">
        <f aca="false">IF(B5100="","",IFERROR(INDEX(Brand_Log!$DV$2:$DV$201,MATCH(IFERROR(INDEX(Clay_Brands!$A$2:$FZ$601,449,Sync!$D$5)&amp;"",""),Brand_Log!$A$2:$A$201,0))&amp;"",IFERROR(INDEX(Clay_Brands!$A$2:$FZ$601,449,Sync!$D$5)&amp;"","")&amp;""))</f>
        <v/>
      </c>
      <c r="E5100" s="23" t="str">
        <f aca="false">IF(B5100="","",IFERROR(INDEX(Clay_Brands!$A$2:$FZ$601,449,Sync!$D$6)&amp;"",""))</f>
        <v/>
      </c>
      <c r="F5100" s="23" t="str">
        <f aca="false">IF(B5100="","","outreach_sent")</f>
        <v/>
      </c>
      <c r="G5100" s="23" t="str">
        <f aca="false">IF(B5100="","","")</f>
        <v/>
      </c>
      <c r="H5100" s="23" t="str">
        <f aca="false">IF(B5100="","","")</f>
        <v/>
      </c>
      <c r="I5100" s="23" t="str">
        <f aca="false">IF(B5100="","","")</f>
        <v/>
      </c>
      <c r="J5100" s="23" t="str">
        <f aca="false">IF(B5100="","","touch_3; "&amp;IFERROR(INDEX(Clay_Brands!$A$2:$FZ$601,449,Sync!$D$10)&amp;"","")&amp;"; "&amp;IFERROR(INDEX(Clay_Brands!$A$2:$FZ$601,449,Sync!$D$9)&amp;"",""))</f>
        <v/>
      </c>
      <c r="K5100" s="32" t="s">
        <v>1368</v>
      </c>
    </row>
    <row r="5101" customFormat="false" ht="15" hidden="false" customHeight="false" outlineLevel="0" collapsed="false">
      <c r="A5101" s="23" t="str">
        <f aca="false">IF(B5101="","",B5101+(17*1000+450)/10000000)</f>
        <v/>
      </c>
      <c r="B5101" s="35" t="str">
        <f aca="false">IF(AND(IFERROR(N(INDEX(Clay_Brands!$A$2:$FZ$601,450,Sync!$D$13)),0)&gt;0,IFERROR(INDEX(Clay_Brands!$A$2:$FZ$601,450,Sync!$D$5)&amp;"","")&lt;&gt;"",OR(LEFT(IFERROR(INDEX(Clay_Brands!$A$2:$FZ$601,450,Sync!$D$5)&amp;"",""),6)&lt;&gt;"SAMPLE",Config!$B$19="Y")),IFERROR(N(INDEX(Clay_Brands!$A$2:$FZ$601,450,Sync!$D$13)),0),"")</f>
        <v/>
      </c>
      <c r="C5101" s="23" t="str">
        <f aca="false">IF(B5101="","","brand")</f>
        <v/>
      </c>
      <c r="D5101" s="23" t="str">
        <f aca="false">IF(B5101="","",IFERROR(INDEX(Brand_Log!$DV$2:$DV$201,MATCH(IFERROR(INDEX(Clay_Brands!$A$2:$FZ$601,450,Sync!$D$5)&amp;"",""),Brand_Log!$A$2:$A$201,0))&amp;"",IFERROR(INDEX(Clay_Brands!$A$2:$FZ$601,450,Sync!$D$5)&amp;"","")&amp;""))</f>
        <v/>
      </c>
      <c r="E5101" s="23" t="str">
        <f aca="false">IF(B5101="","",IFERROR(INDEX(Clay_Brands!$A$2:$FZ$601,450,Sync!$D$6)&amp;"",""))</f>
        <v/>
      </c>
      <c r="F5101" s="23" t="str">
        <f aca="false">IF(B5101="","","outreach_sent")</f>
        <v/>
      </c>
      <c r="G5101" s="23" t="str">
        <f aca="false">IF(B5101="","","")</f>
        <v/>
      </c>
      <c r="H5101" s="23" t="str">
        <f aca="false">IF(B5101="","","")</f>
        <v/>
      </c>
      <c r="I5101" s="23" t="str">
        <f aca="false">IF(B5101="","","")</f>
        <v/>
      </c>
      <c r="J5101" s="23" t="str">
        <f aca="false">IF(B5101="","","touch_3; "&amp;IFERROR(INDEX(Clay_Brands!$A$2:$FZ$601,450,Sync!$D$10)&amp;"","")&amp;"; "&amp;IFERROR(INDEX(Clay_Brands!$A$2:$FZ$601,450,Sync!$D$9)&amp;"",""))</f>
        <v/>
      </c>
      <c r="K5101" s="32" t="s">
        <v>1368</v>
      </c>
    </row>
    <row r="5102" customFormat="false" ht="15" hidden="false" customHeight="false" outlineLevel="0" collapsed="false">
      <c r="A5102" s="23" t="str">
        <f aca="false">IF(B5102="","",B5102+(17*1000+451)/10000000)</f>
        <v/>
      </c>
      <c r="B5102" s="35" t="str">
        <f aca="false">IF(AND(IFERROR(N(INDEX(Clay_Brands!$A$2:$FZ$601,451,Sync!$D$13)),0)&gt;0,IFERROR(INDEX(Clay_Brands!$A$2:$FZ$601,451,Sync!$D$5)&amp;"","")&lt;&gt;"",OR(LEFT(IFERROR(INDEX(Clay_Brands!$A$2:$FZ$601,451,Sync!$D$5)&amp;"",""),6)&lt;&gt;"SAMPLE",Config!$B$19="Y")),IFERROR(N(INDEX(Clay_Brands!$A$2:$FZ$601,451,Sync!$D$13)),0),"")</f>
        <v/>
      </c>
      <c r="C5102" s="23" t="str">
        <f aca="false">IF(B5102="","","brand")</f>
        <v/>
      </c>
      <c r="D5102" s="23" t="str">
        <f aca="false">IF(B5102="","",IFERROR(INDEX(Brand_Log!$DV$2:$DV$201,MATCH(IFERROR(INDEX(Clay_Brands!$A$2:$FZ$601,451,Sync!$D$5)&amp;"",""),Brand_Log!$A$2:$A$201,0))&amp;"",IFERROR(INDEX(Clay_Brands!$A$2:$FZ$601,451,Sync!$D$5)&amp;"","")&amp;""))</f>
        <v/>
      </c>
      <c r="E5102" s="23" t="str">
        <f aca="false">IF(B5102="","",IFERROR(INDEX(Clay_Brands!$A$2:$FZ$601,451,Sync!$D$6)&amp;"",""))</f>
        <v/>
      </c>
      <c r="F5102" s="23" t="str">
        <f aca="false">IF(B5102="","","outreach_sent")</f>
        <v/>
      </c>
      <c r="G5102" s="23" t="str">
        <f aca="false">IF(B5102="","","")</f>
        <v/>
      </c>
      <c r="H5102" s="23" t="str">
        <f aca="false">IF(B5102="","","")</f>
        <v/>
      </c>
      <c r="I5102" s="23" t="str">
        <f aca="false">IF(B5102="","","")</f>
        <v/>
      </c>
      <c r="J5102" s="23" t="str">
        <f aca="false">IF(B5102="","","touch_3; "&amp;IFERROR(INDEX(Clay_Brands!$A$2:$FZ$601,451,Sync!$D$10)&amp;"","")&amp;"; "&amp;IFERROR(INDEX(Clay_Brands!$A$2:$FZ$601,451,Sync!$D$9)&amp;"",""))</f>
        <v/>
      </c>
      <c r="K5102" s="32" t="s">
        <v>1368</v>
      </c>
    </row>
    <row r="5103" customFormat="false" ht="15" hidden="false" customHeight="false" outlineLevel="0" collapsed="false">
      <c r="A5103" s="23" t="str">
        <f aca="false">IF(B5103="","",B5103+(17*1000+452)/10000000)</f>
        <v/>
      </c>
      <c r="B5103" s="35" t="str">
        <f aca="false">IF(AND(IFERROR(N(INDEX(Clay_Brands!$A$2:$FZ$601,452,Sync!$D$13)),0)&gt;0,IFERROR(INDEX(Clay_Brands!$A$2:$FZ$601,452,Sync!$D$5)&amp;"","")&lt;&gt;"",OR(LEFT(IFERROR(INDEX(Clay_Brands!$A$2:$FZ$601,452,Sync!$D$5)&amp;"",""),6)&lt;&gt;"SAMPLE",Config!$B$19="Y")),IFERROR(N(INDEX(Clay_Brands!$A$2:$FZ$601,452,Sync!$D$13)),0),"")</f>
        <v/>
      </c>
      <c r="C5103" s="23" t="str">
        <f aca="false">IF(B5103="","","brand")</f>
        <v/>
      </c>
      <c r="D5103" s="23" t="str">
        <f aca="false">IF(B5103="","",IFERROR(INDEX(Brand_Log!$DV$2:$DV$201,MATCH(IFERROR(INDEX(Clay_Brands!$A$2:$FZ$601,452,Sync!$D$5)&amp;"",""),Brand_Log!$A$2:$A$201,0))&amp;"",IFERROR(INDEX(Clay_Brands!$A$2:$FZ$601,452,Sync!$D$5)&amp;"","")&amp;""))</f>
        <v/>
      </c>
      <c r="E5103" s="23" t="str">
        <f aca="false">IF(B5103="","",IFERROR(INDEX(Clay_Brands!$A$2:$FZ$601,452,Sync!$D$6)&amp;"",""))</f>
        <v/>
      </c>
      <c r="F5103" s="23" t="str">
        <f aca="false">IF(B5103="","","outreach_sent")</f>
        <v/>
      </c>
      <c r="G5103" s="23" t="str">
        <f aca="false">IF(B5103="","","")</f>
        <v/>
      </c>
      <c r="H5103" s="23" t="str">
        <f aca="false">IF(B5103="","","")</f>
        <v/>
      </c>
      <c r="I5103" s="23" t="str">
        <f aca="false">IF(B5103="","","")</f>
        <v/>
      </c>
      <c r="J5103" s="23" t="str">
        <f aca="false">IF(B5103="","","touch_3; "&amp;IFERROR(INDEX(Clay_Brands!$A$2:$FZ$601,452,Sync!$D$10)&amp;"","")&amp;"; "&amp;IFERROR(INDEX(Clay_Brands!$A$2:$FZ$601,452,Sync!$D$9)&amp;"",""))</f>
        <v/>
      </c>
      <c r="K5103" s="32" t="s">
        <v>1368</v>
      </c>
    </row>
    <row r="5104" customFormat="false" ht="15" hidden="false" customHeight="false" outlineLevel="0" collapsed="false">
      <c r="A5104" s="23" t="str">
        <f aca="false">IF(B5104="","",B5104+(17*1000+453)/10000000)</f>
        <v/>
      </c>
      <c r="B5104" s="35" t="str">
        <f aca="false">IF(AND(IFERROR(N(INDEX(Clay_Brands!$A$2:$FZ$601,453,Sync!$D$13)),0)&gt;0,IFERROR(INDEX(Clay_Brands!$A$2:$FZ$601,453,Sync!$D$5)&amp;"","")&lt;&gt;"",OR(LEFT(IFERROR(INDEX(Clay_Brands!$A$2:$FZ$601,453,Sync!$D$5)&amp;"",""),6)&lt;&gt;"SAMPLE",Config!$B$19="Y")),IFERROR(N(INDEX(Clay_Brands!$A$2:$FZ$601,453,Sync!$D$13)),0),"")</f>
        <v/>
      </c>
      <c r="C5104" s="23" t="str">
        <f aca="false">IF(B5104="","","brand")</f>
        <v/>
      </c>
      <c r="D5104" s="23" t="str">
        <f aca="false">IF(B5104="","",IFERROR(INDEX(Brand_Log!$DV$2:$DV$201,MATCH(IFERROR(INDEX(Clay_Brands!$A$2:$FZ$601,453,Sync!$D$5)&amp;"",""),Brand_Log!$A$2:$A$201,0))&amp;"",IFERROR(INDEX(Clay_Brands!$A$2:$FZ$601,453,Sync!$D$5)&amp;"","")&amp;""))</f>
        <v/>
      </c>
      <c r="E5104" s="23" t="str">
        <f aca="false">IF(B5104="","",IFERROR(INDEX(Clay_Brands!$A$2:$FZ$601,453,Sync!$D$6)&amp;"",""))</f>
        <v/>
      </c>
      <c r="F5104" s="23" t="str">
        <f aca="false">IF(B5104="","","outreach_sent")</f>
        <v/>
      </c>
      <c r="G5104" s="23" t="str">
        <f aca="false">IF(B5104="","","")</f>
        <v/>
      </c>
      <c r="H5104" s="23" t="str">
        <f aca="false">IF(B5104="","","")</f>
        <v/>
      </c>
      <c r="I5104" s="23" t="str">
        <f aca="false">IF(B5104="","","")</f>
        <v/>
      </c>
      <c r="J5104" s="23" t="str">
        <f aca="false">IF(B5104="","","touch_3; "&amp;IFERROR(INDEX(Clay_Brands!$A$2:$FZ$601,453,Sync!$D$10)&amp;"","")&amp;"; "&amp;IFERROR(INDEX(Clay_Brands!$A$2:$FZ$601,453,Sync!$D$9)&amp;"",""))</f>
        <v/>
      </c>
      <c r="K5104" s="32" t="s">
        <v>1368</v>
      </c>
    </row>
    <row r="5105" customFormat="false" ht="15" hidden="false" customHeight="false" outlineLevel="0" collapsed="false">
      <c r="A5105" s="23" t="str">
        <f aca="false">IF(B5105="","",B5105+(17*1000+454)/10000000)</f>
        <v/>
      </c>
      <c r="B5105" s="35" t="str">
        <f aca="false">IF(AND(IFERROR(N(INDEX(Clay_Brands!$A$2:$FZ$601,454,Sync!$D$13)),0)&gt;0,IFERROR(INDEX(Clay_Brands!$A$2:$FZ$601,454,Sync!$D$5)&amp;"","")&lt;&gt;"",OR(LEFT(IFERROR(INDEX(Clay_Brands!$A$2:$FZ$601,454,Sync!$D$5)&amp;"",""),6)&lt;&gt;"SAMPLE",Config!$B$19="Y")),IFERROR(N(INDEX(Clay_Brands!$A$2:$FZ$601,454,Sync!$D$13)),0),"")</f>
        <v/>
      </c>
      <c r="C5105" s="23" t="str">
        <f aca="false">IF(B5105="","","brand")</f>
        <v/>
      </c>
      <c r="D5105" s="23" t="str">
        <f aca="false">IF(B5105="","",IFERROR(INDEX(Brand_Log!$DV$2:$DV$201,MATCH(IFERROR(INDEX(Clay_Brands!$A$2:$FZ$601,454,Sync!$D$5)&amp;"",""),Brand_Log!$A$2:$A$201,0))&amp;"",IFERROR(INDEX(Clay_Brands!$A$2:$FZ$601,454,Sync!$D$5)&amp;"","")&amp;""))</f>
        <v/>
      </c>
      <c r="E5105" s="23" t="str">
        <f aca="false">IF(B5105="","",IFERROR(INDEX(Clay_Brands!$A$2:$FZ$601,454,Sync!$D$6)&amp;"",""))</f>
        <v/>
      </c>
      <c r="F5105" s="23" t="str">
        <f aca="false">IF(B5105="","","outreach_sent")</f>
        <v/>
      </c>
      <c r="G5105" s="23" t="str">
        <f aca="false">IF(B5105="","","")</f>
        <v/>
      </c>
      <c r="H5105" s="23" t="str">
        <f aca="false">IF(B5105="","","")</f>
        <v/>
      </c>
      <c r="I5105" s="23" t="str">
        <f aca="false">IF(B5105="","","")</f>
        <v/>
      </c>
      <c r="J5105" s="23" t="str">
        <f aca="false">IF(B5105="","","touch_3; "&amp;IFERROR(INDEX(Clay_Brands!$A$2:$FZ$601,454,Sync!$D$10)&amp;"","")&amp;"; "&amp;IFERROR(INDEX(Clay_Brands!$A$2:$FZ$601,454,Sync!$D$9)&amp;"",""))</f>
        <v/>
      </c>
      <c r="K5105" s="32" t="s">
        <v>1368</v>
      </c>
    </row>
    <row r="5106" customFormat="false" ht="15" hidden="false" customHeight="false" outlineLevel="0" collapsed="false">
      <c r="A5106" s="23" t="str">
        <f aca="false">IF(B5106="","",B5106+(17*1000+455)/10000000)</f>
        <v/>
      </c>
      <c r="B5106" s="35" t="str">
        <f aca="false">IF(AND(IFERROR(N(INDEX(Clay_Brands!$A$2:$FZ$601,455,Sync!$D$13)),0)&gt;0,IFERROR(INDEX(Clay_Brands!$A$2:$FZ$601,455,Sync!$D$5)&amp;"","")&lt;&gt;"",OR(LEFT(IFERROR(INDEX(Clay_Brands!$A$2:$FZ$601,455,Sync!$D$5)&amp;"",""),6)&lt;&gt;"SAMPLE",Config!$B$19="Y")),IFERROR(N(INDEX(Clay_Brands!$A$2:$FZ$601,455,Sync!$D$13)),0),"")</f>
        <v/>
      </c>
      <c r="C5106" s="23" t="str">
        <f aca="false">IF(B5106="","","brand")</f>
        <v/>
      </c>
      <c r="D5106" s="23" t="str">
        <f aca="false">IF(B5106="","",IFERROR(INDEX(Brand_Log!$DV$2:$DV$201,MATCH(IFERROR(INDEX(Clay_Brands!$A$2:$FZ$601,455,Sync!$D$5)&amp;"",""),Brand_Log!$A$2:$A$201,0))&amp;"",IFERROR(INDEX(Clay_Brands!$A$2:$FZ$601,455,Sync!$D$5)&amp;"","")&amp;""))</f>
        <v/>
      </c>
      <c r="E5106" s="23" t="str">
        <f aca="false">IF(B5106="","",IFERROR(INDEX(Clay_Brands!$A$2:$FZ$601,455,Sync!$D$6)&amp;"",""))</f>
        <v/>
      </c>
      <c r="F5106" s="23" t="str">
        <f aca="false">IF(B5106="","","outreach_sent")</f>
        <v/>
      </c>
      <c r="G5106" s="23" t="str">
        <f aca="false">IF(B5106="","","")</f>
        <v/>
      </c>
      <c r="H5106" s="23" t="str">
        <f aca="false">IF(B5106="","","")</f>
        <v/>
      </c>
      <c r="I5106" s="23" t="str">
        <f aca="false">IF(B5106="","","")</f>
        <v/>
      </c>
      <c r="J5106" s="23" t="str">
        <f aca="false">IF(B5106="","","touch_3; "&amp;IFERROR(INDEX(Clay_Brands!$A$2:$FZ$601,455,Sync!$D$10)&amp;"","")&amp;"; "&amp;IFERROR(INDEX(Clay_Brands!$A$2:$FZ$601,455,Sync!$D$9)&amp;"",""))</f>
        <v/>
      </c>
      <c r="K5106" s="32" t="s">
        <v>1368</v>
      </c>
    </row>
    <row r="5107" customFormat="false" ht="15" hidden="false" customHeight="false" outlineLevel="0" collapsed="false">
      <c r="A5107" s="23" t="str">
        <f aca="false">IF(B5107="","",B5107+(17*1000+456)/10000000)</f>
        <v/>
      </c>
      <c r="B5107" s="35" t="str">
        <f aca="false">IF(AND(IFERROR(N(INDEX(Clay_Brands!$A$2:$FZ$601,456,Sync!$D$13)),0)&gt;0,IFERROR(INDEX(Clay_Brands!$A$2:$FZ$601,456,Sync!$D$5)&amp;"","")&lt;&gt;"",OR(LEFT(IFERROR(INDEX(Clay_Brands!$A$2:$FZ$601,456,Sync!$D$5)&amp;"",""),6)&lt;&gt;"SAMPLE",Config!$B$19="Y")),IFERROR(N(INDEX(Clay_Brands!$A$2:$FZ$601,456,Sync!$D$13)),0),"")</f>
        <v/>
      </c>
      <c r="C5107" s="23" t="str">
        <f aca="false">IF(B5107="","","brand")</f>
        <v/>
      </c>
      <c r="D5107" s="23" t="str">
        <f aca="false">IF(B5107="","",IFERROR(INDEX(Brand_Log!$DV$2:$DV$201,MATCH(IFERROR(INDEX(Clay_Brands!$A$2:$FZ$601,456,Sync!$D$5)&amp;"",""),Brand_Log!$A$2:$A$201,0))&amp;"",IFERROR(INDEX(Clay_Brands!$A$2:$FZ$601,456,Sync!$D$5)&amp;"","")&amp;""))</f>
        <v/>
      </c>
      <c r="E5107" s="23" t="str">
        <f aca="false">IF(B5107="","",IFERROR(INDEX(Clay_Brands!$A$2:$FZ$601,456,Sync!$D$6)&amp;"",""))</f>
        <v/>
      </c>
      <c r="F5107" s="23" t="str">
        <f aca="false">IF(B5107="","","outreach_sent")</f>
        <v/>
      </c>
      <c r="G5107" s="23" t="str">
        <f aca="false">IF(B5107="","","")</f>
        <v/>
      </c>
      <c r="H5107" s="23" t="str">
        <f aca="false">IF(B5107="","","")</f>
        <v/>
      </c>
      <c r="I5107" s="23" t="str">
        <f aca="false">IF(B5107="","","")</f>
        <v/>
      </c>
      <c r="J5107" s="23" t="str">
        <f aca="false">IF(B5107="","","touch_3; "&amp;IFERROR(INDEX(Clay_Brands!$A$2:$FZ$601,456,Sync!$D$10)&amp;"","")&amp;"; "&amp;IFERROR(INDEX(Clay_Brands!$A$2:$FZ$601,456,Sync!$D$9)&amp;"",""))</f>
        <v/>
      </c>
      <c r="K5107" s="32" t="s">
        <v>1368</v>
      </c>
    </row>
    <row r="5108" customFormat="false" ht="15" hidden="false" customHeight="false" outlineLevel="0" collapsed="false">
      <c r="A5108" s="23" t="str">
        <f aca="false">IF(B5108="","",B5108+(17*1000+457)/10000000)</f>
        <v/>
      </c>
      <c r="B5108" s="35" t="str">
        <f aca="false">IF(AND(IFERROR(N(INDEX(Clay_Brands!$A$2:$FZ$601,457,Sync!$D$13)),0)&gt;0,IFERROR(INDEX(Clay_Brands!$A$2:$FZ$601,457,Sync!$D$5)&amp;"","")&lt;&gt;"",OR(LEFT(IFERROR(INDEX(Clay_Brands!$A$2:$FZ$601,457,Sync!$D$5)&amp;"",""),6)&lt;&gt;"SAMPLE",Config!$B$19="Y")),IFERROR(N(INDEX(Clay_Brands!$A$2:$FZ$601,457,Sync!$D$13)),0),"")</f>
        <v/>
      </c>
      <c r="C5108" s="23" t="str">
        <f aca="false">IF(B5108="","","brand")</f>
        <v/>
      </c>
      <c r="D5108" s="23" t="str">
        <f aca="false">IF(B5108="","",IFERROR(INDEX(Brand_Log!$DV$2:$DV$201,MATCH(IFERROR(INDEX(Clay_Brands!$A$2:$FZ$601,457,Sync!$D$5)&amp;"",""),Brand_Log!$A$2:$A$201,0))&amp;"",IFERROR(INDEX(Clay_Brands!$A$2:$FZ$601,457,Sync!$D$5)&amp;"","")&amp;""))</f>
        <v/>
      </c>
      <c r="E5108" s="23" t="str">
        <f aca="false">IF(B5108="","",IFERROR(INDEX(Clay_Brands!$A$2:$FZ$601,457,Sync!$D$6)&amp;"",""))</f>
        <v/>
      </c>
      <c r="F5108" s="23" t="str">
        <f aca="false">IF(B5108="","","outreach_sent")</f>
        <v/>
      </c>
      <c r="G5108" s="23" t="str">
        <f aca="false">IF(B5108="","","")</f>
        <v/>
      </c>
      <c r="H5108" s="23" t="str">
        <f aca="false">IF(B5108="","","")</f>
        <v/>
      </c>
      <c r="I5108" s="23" t="str">
        <f aca="false">IF(B5108="","","")</f>
        <v/>
      </c>
      <c r="J5108" s="23" t="str">
        <f aca="false">IF(B5108="","","touch_3; "&amp;IFERROR(INDEX(Clay_Brands!$A$2:$FZ$601,457,Sync!$D$10)&amp;"","")&amp;"; "&amp;IFERROR(INDEX(Clay_Brands!$A$2:$FZ$601,457,Sync!$D$9)&amp;"",""))</f>
        <v/>
      </c>
      <c r="K5108" s="32" t="s">
        <v>1368</v>
      </c>
    </row>
    <row r="5109" customFormat="false" ht="15" hidden="false" customHeight="false" outlineLevel="0" collapsed="false">
      <c r="A5109" s="23" t="str">
        <f aca="false">IF(B5109="","",B5109+(17*1000+458)/10000000)</f>
        <v/>
      </c>
      <c r="B5109" s="35" t="str">
        <f aca="false">IF(AND(IFERROR(N(INDEX(Clay_Brands!$A$2:$FZ$601,458,Sync!$D$13)),0)&gt;0,IFERROR(INDEX(Clay_Brands!$A$2:$FZ$601,458,Sync!$D$5)&amp;"","")&lt;&gt;"",OR(LEFT(IFERROR(INDEX(Clay_Brands!$A$2:$FZ$601,458,Sync!$D$5)&amp;"",""),6)&lt;&gt;"SAMPLE",Config!$B$19="Y")),IFERROR(N(INDEX(Clay_Brands!$A$2:$FZ$601,458,Sync!$D$13)),0),"")</f>
        <v/>
      </c>
      <c r="C5109" s="23" t="str">
        <f aca="false">IF(B5109="","","brand")</f>
        <v/>
      </c>
      <c r="D5109" s="23" t="str">
        <f aca="false">IF(B5109="","",IFERROR(INDEX(Brand_Log!$DV$2:$DV$201,MATCH(IFERROR(INDEX(Clay_Brands!$A$2:$FZ$601,458,Sync!$D$5)&amp;"",""),Brand_Log!$A$2:$A$201,0))&amp;"",IFERROR(INDEX(Clay_Brands!$A$2:$FZ$601,458,Sync!$D$5)&amp;"","")&amp;""))</f>
        <v/>
      </c>
      <c r="E5109" s="23" t="str">
        <f aca="false">IF(B5109="","",IFERROR(INDEX(Clay_Brands!$A$2:$FZ$601,458,Sync!$D$6)&amp;"",""))</f>
        <v/>
      </c>
      <c r="F5109" s="23" t="str">
        <f aca="false">IF(B5109="","","outreach_sent")</f>
        <v/>
      </c>
      <c r="G5109" s="23" t="str">
        <f aca="false">IF(B5109="","","")</f>
        <v/>
      </c>
      <c r="H5109" s="23" t="str">
        <f aca="false">IF(B5109="","","")</f>
        <v/>
      </c>
      <c r="I5109" s="23" t="str">
        <f aca="false">IF(B5109="","","")</f>
        <v/>
      </c>
      <c r="J5109" s="23" t="str">
        <f aca="false">IF(B5109="","","touch_3; "&amp;IFERROR(INDEX(Clay_Brands!$A$2:$FZ$601,458,Sync!$D$10)&amp;"","")&amp;"; "&amp;IFERROR(INDEX(Clay_Brands!$A$2:$FZ$601,458,Sync!$D$9)&amp;"",""))</f>
        <v/>
      </c>
      <c r="K5109" s="32" t="s">
        <v>1368</v>
      </c>
    </row>
    <row r="5110" customFormat="false" ht="15" hidden="false" customHeight="false" outlineLevel="0" collapsed="false">
      <c r="A5110" s="23" t="str">
        <f aca="false">IF(B5110="","",B5110+(17*1000+459)/10000000)</f>
        <v/>
      </c>
      <c r="B5110" s="35" t="str">
        <f aca="false">IF(AND(IFERROR(N(INDEX(Clay_Brands!$A$2:$FZ$601,459,Sync!$D$13)),0)&gt;0,IFERROR(INDEX(Clay_Brands!$A$2:$FZ$601,459,Sync!$D$5)&amp;"","")&lt;&gt;"",OR(LEFT(IFERROR(INDEX(Clay_Brands!$A$2:$FZ$601,459,Sync!$D$5)&amp;"",""),6)&lt;&gt;"SAMPLE",Config!$B$19="Y")),IFERROR(N(INDEX(Clay_Brands!$A$2:$FZ$601,459,Sync!$D$13)),0),"")</f>
        <v/>
      </c>
      <c r="C5110" s="23" t="str">
        <f aca="false">IF(B5110="","","brand")</f>
        <v/>
      </c>
      <c r="D5110" s="23" t="str">
        <f aca="false">IF(B5110="","",IFERROR(INDEX(Brand_Log!$DV$2:$DV$201,MATCH(IFERROR(INDEX(Clay_Brands!$A$2:$FZ$601,459,Sync!$D$5)&amp;"",""),Brand_Log!$A$2:$A$201,0))&amp;"",IFERROR(INDEX(Clay_Brands!$A$2:$FZ$601,459,Sync!$D$5)&amp;"","")&amp;""))</f>
        <v/>
      </c>
      <c r="E5110" s="23" t="str">
        <f aca="false">IF(B5110="","",IFERROR(INDEX(Clay_Brands!$A$2:$FZ$601,459,Sync!$D$6)&amp;"",""))</f>
        <v/>
      </c>
      <c r="F5110" s="23" t="str">
        <f aca="false">IF(B5110="","","outreach_sent")</f>
        <v/>
      </c>
      <c r="G5110" s="23" t="str">
        <f aca="false">IF(B5110="","","")</f>
        <v/>
      </c>
      <c r="H5110" s="23" t="str">
        <f aca="false">IF(B5110="","","")</f>
        <v/>
      </c>
      <c r="I5110" s="23" t="str">
        <f aca="false">IF(B5110="","","")</f>
        <v/>
      </c>
      <c r="J5110" s="23" t="str">
        <f aca="false">IF(B5110="","","touch_3; "&amp;IFERROR(INDEX(Clay_Brands!$A$2:$FZ$601,459,Sync!$D$10)&amp;"","")&amp;"; "&amp;IFERROR(INDEX(Clay_Brands!$A$2:$FZ$601,459,Sync!$D$9)&amp;"",""))</f>
        <v/>
      </c>
      <c r="K5110" s="32" t="s">
        <v>1368</v>
      </c>
    </row>
    <row r="5111" customFormat="false" ht="15" hidden="false" customHeight="false" outlineLevel="0" collapsed="false">
      <c r="A5111" s="23" t="str">
        <f aca="false">IF(B5111="","",B5111+(17*1000+460)/10000000)</f>
        <v/>
      </c>
      <c r="B5111" s="35" t="str">
        <f aca="false">IF(AND(IFERROR(N(INDEX(Clay_Brands!$A$2:$FZ$601,460,Sync!$D$13)),0)&gt;0,IFERROR(INDEX(Clay_Brands!$A$2:$FZ$601,460,Sync!$D$5)&amp;"","")&lt;&gt;"",OR(LEFT(IFERROR(INDEX(Clay_Brands!$A$2:$FZ$601,460,Sync!$D$5)&amp;"",""),6)&lt;&gt;"SAMPLE",Config!$B$19="Y")),IFERROR(N(INDEX(Clay_Brands!$A$2:$FZ$601,460,Sync!$D$13)),0),"")</f>
        <v/>
      </c>
      <c r="C5111" s="23" t="str">
        <f aca="false">IF(B5111="","","brand")</f>
        <v/>
      </c>
      <c r="D5111" s="23" t="str">
        <f aca="false">IF(B5111="","",IFERROR(INDEX(Brand_Log!$DV$2:$DV$201,MATCH(IFERROR(INDEX(Clay_Brands!$A$2:$FZ$601,460,Sync!$D$5)&amp;"",""),Brand_Log!$A$2:$A$201,0))&amp;"",IFERROR(INDEX(Clay_Brands!$A$2:$FZ$601,460,Sync!$D$5)&amp;"","")&amp;""))</f>
        <v/>
      </c>
      <c r="E5111" s="23" t="str">
        <f aca="false">IF(B5111="","",IFERROR(INDEX(Clay_Brands!$A$2:$FZ$601,460,Sync!$D$6)&amp;"",""))</f>
        <v/>
      </c>
      <c r="F5111" s="23" t="str">
        <f aca="false">IF(B5111="","","outreach_sent")</f>
        <v/>
      </c>
      <c r="G5111" s="23" t="str">
        <f aca="false">IF(B5111="","","")</f>
        <v/>
      </c>
      <c r="H5111" s="23" t="str">
        <f aca="false">IF(B5111="","","")</f>
        <v/>
      </c>
      <c r="I5111" s="23" t="str">
        <f aca="false">IF(B5111="","","")</f>
        <v/>
      </c>
      <c r="J5111" s="23" t="str">
        <f aca="false">IF(B5111="","","touch_3; "&amp;IFERROR(INDEX(Clay_Brands!$A$2:$FZ$601,460,Sync!$D$10)&amp;"","")&amp;"; "&amp;IFERROR(INDEX(Clay_Brands!$A$2:$FZ$601,460,Sync!$D$9)&amp;"",""))</f>
        <v/>
      </c>
      <c r="K5111" s="32" t="s">
        <v>1368</v>
      </c>
    </row>
    <row r="5112" customFormat="false" ht="15" hidden="false" customHeight="false" outlineLevel="0" collapsed="false">
      <c r="A5112" s="23" t="str">
        <f aca="false">IF(B5112="","",B5112+(17*1000+461)/10000000)</f>
        <v/>
      </c>
      <c r="B5112" s="35" t="str">
        <f aca="false">IF(AND(IFERROR(N(INDEX(Clay_Brands!$A$2:$FZ$601,461,Sync!$D$13)),0)&gt;0,IFERROR(INDEX(Clay_Brands!$A$2:$FZ$601,461,Sync!$D$5)&amp;"","")&lt;&gt;"",OR(LEFT(IFERROR(INDEX(Clay_Brands!$A$2:$FZ$601,461,Sync!$D$5)&amp;"",""),6)&lt;&gt;"SAMPLE",Config!$B$19="Y")),IFERROR(N(INDEX(Clay_Brands!$A$2:$FZ$601,461,Sync!$D$13)),0),"")</f>
        <v/>
      </c>
      <c r="C5112" s="23" t="str">
        <f aca="false">IF(B5112="","","brand")</f>
        <v/>
      </c>
      <c r="D5112" s="23" t="str">
        <f aca="false">IF(B5112="","",IFERROR(INDEX(Brand_Log!$DV$2:$DV$201,MATCH(IFERROR(INDEX(Clay_Brands!$A$2:$FZ$601,461,Sync!$D$5)&amp;"",""),Brand_Log!$A$2:$A$201,0))&amp;"",IFERROR(INDEX(Clay_Brands!$A$2:$FZ$601,461,Sync!$D$5)&amp;"","")&amp;""))</f>
        <v/>
      </c>
      <c r="E5112" s="23" t="str">
        <f aca="false">IF(B5112="","",IFERROR(INDEX(Clay_Brands!$A$2:$FZ$601,461,Sync!$D$6)&amp;"",""))</f>
        <v/>
      </c>
      <c r="F5112" s="23" t="str">
        <f aca="false">IF(B5112="","","outreach_sent")</f>
        <v/>
      </c>
      <c r="G5112" s="23" t="str">
        <f aca="false">IF(B5112="","","")</f>
        <v/>
      </c>
      <c r="H5112" s="23" t="str">
        <f aca="false">IF(B5112="","","")</f>
        <v/>
      </c>
      <c r="I5112" s="23" t="str">
        <f aca="false">IF(B5112="","","")</f>
        <v/>
      </c>
      <c r="J5112" s="23" t="str">
        <f aca="false">IF(B5112="","","touch_3; "&amp;IFERROR(INDEX(Clay_Brands!$A$2:$FZ$601,461,Sync!$D$10)&amp;"","")&amp;"; "&amp;IFERROR(INDEX(Clay_Brands!$A$2:$FZ$601,461,Sync!$D$9)&amp;"",""))</f>
        <v/>
      </c>
      <c r="K5112" s="32" t="s">
        <v>1368</v>
      </c>
    </row>
    <row r="5113" customFormat="false" ht="15" hidden="false" customHeight="false" outlineLevel="0" collapsed="false">
      <c r="A5113" s="23" t="str">
        <f aca="false">IF(B5113="","",B5113+(17*1000+462)/10000000)</f>
        <v/>
      </c>
      <c r="B5113" s="35" t="str">
        <f aca="false">IF(AND(IFERROR(N(INDEX(Clay_Brands!$A$2:$FZ$601,462,Sync!$D$13)),0)&gt;0,IFERROR(INDEX(Clay_Brands!$A$2:$FZ$601,462,Sync!$D$5)&amp;"","")&lt;&gt;"",OR(LEFT(IFERROR(INDEX(Clay_Brands!$A$2:$FZ$601,462,Sync!$D$5)&amp;"",""),6)&lt;&gt;"SAMPLE",Config!$B$19="Y")),IFERROR(N(INDEX(Clay_Brands!$A$2:$FZ$601,462,Sync!$D$13)),0),"")</f>
        <v/>
      </c>
      <c r="C5113" s="23" t="str">
        <f aca="false">IF(B5113="","","brand")</f>
        <v/>
      </c>
      <c r="D5113" s="23" t="str">
        <f aca="false">IF(B5113="","",IFERROR(INDEX(Brand_Log!$DV$2:$DV$201,MATCH(IFERROR(INDEX(Clay_Brands!$A$2:$FZ$601,462,Sync!$D$5)&amp;"",""),Brand_Log!$A$2:$A$201,0))&amp;"",IFERROR(INDEX(Clay_Brands!$A$2:$FZ$601,462,Sync!$D$5)&amp;"","")&amp;""))</f>
        <v/>
      </c>
      <c r="E5113" s="23" t="str">
        <f aca="false">IF(B5113="","",IFERROR(INDEX(Clay_Brands!$A$2:$FZ$601,462,Sync!$D$6)&amp;"",""))</f>
        <v/>
      </c>
      <c r="F5113" s="23" t="str">
        <f aca="false">IF(B5113="","","outreach_sent")</f>
        <v/>
      </c>
      <c r="G5113" s="23" t="str">
        <f aca="false">IF(B5113="","","")</f>
        <v/>
      </c>
      <c r="H5113" s="23" t="str">
        <f aca="false">IF(B5113="","","")</f>
        <v/>
      </c>
      <c r="I5113" s="23" t="str">
        <f aca="false">IF(B5113="","","")</f>
        <v/>
      </c>
      <c r="J5113" s="23" t="str">
        <f aca="false">IF(B5113="","","touch_3; "&amp;IFERROR(INDEX(Clay_Brands!$A$2:$FZ$601,462,Sync!$D$10)&amp;"","")&amp;"; "&amp;IFERROR(INDEX(Clay_Brands!$A$2:$FZ$601,462,Sync!$D$9)&amp;"",""))</f>
        <v/>
      </c>
      <c r="K5113" s="32" t="s">
        <v>1368</v>
      </c>
    </row>
    <row r="5114" customFormat="false" ht="15" hidden="false" customHeight="false" outlineLevel="0" collapsed="false">
      <c r="A5114" s="23" t="str">
        <f aca="false">IF(B5114="","",B5114+(17*1000+463)/10000000)</f>
        <v/>
      </c>
      <c r="B5114" s="35" t="str">
        <f aca="false">IF(AND(IFERROR(N(INDEX(Clay_Brands!$A$2:$FZ$601,463,Sync!$D$13)),0)&gt;0,IFERROR(INDEX(Clay_Brands!$A$2:$FZ$601,463,Sync!$D$5)&amp;"","")&lt;&gt;"",OR(LEFT(IFERROR(INDEX(Clay_Brands!$A$2:$FZ$601,463,Sync!$D$5)&amp;"",""),6)&lt;&gt;"SAMPLE",Config!$B$19="Y")),IFERROR(N(INDEX(Clay_Brands!$A$2:$FZ$601,463,Sync!$D$13)),0),"")</f>
        <v/>
      </c>
      <c r="C5114" s="23" t="str">
        <f aca="false">IF(B5114="","","brand")</f>
        <v/>
      </c>
      <c r="D5114" s="23" t="str">
        <f aca="false">IF(B5114="","",IFERROR(INDEX(Brand_Log!$DV$2:$DV$201,MATCH(IFERROR(INDEX(Clay_Brands!$A$2:$FZ$601,463,Sync!$D$5)&amp;"",""),Brand_Log!$A$2:$A$201,0))&amp;"",IFERROR(INDEX(Clay_Brands!$A$2:$FZ$601,463,Sync!$D$5)&amp;"","")&amp;""))</f>
        <v/>
      </c>
      <c r="E5114" s="23" t="str">
        <f aca="false">IF(B5114="","",IFERROR(INDEX(Clay_Brands!$A$2:$FZ$601,463,Sync!$D$6)&amp;"",""))</f>
        <v/>
      </c>
      <c r="F5114" s="23" t="str">
        <f aca="false">IF(B5114="","","outreach_sent")</f>
        <v/>
      </c>
      <c r="G5114" s="23" t="str">
        <f aca="false">IF(B5114="","","")</f>
        <v/>
      </c>
      <c r="H5114" s="23" t="str">
        <f aca="false">IF(B5114="","","")</f>
        <v/>
      </c>
      <c r="I5114" s="23" t="str">
        <f aca="false">IF(B5114="","","")</f>
        <v/>
      </c>
      <c r="J5114" s="23" t="str">
        <f aca="false">IF(B5114="","","touch_3; "&amp;IFERROR(INDEX(Clay_Brands!$A$2:$FZ$601,463,Sync!$D$10)&amp;"","")&amp;"; "&amp;IFERROR(INDEX(Clay_Brands!$A$2:$FZ$601,463,Sync!$D$9)&amp;"",""))</f>
        <v/>
      </c>
      <c r="K5114" s="32" t="s">
        <v>1368</v>
      </c>
    </row>
    <row r="5115" customFormat="false" ht="15" hidden="false" customHeight="false" outlineLevel="0" collapsed="false">
      <c r="A5115" s="23" t="str">
        <f aca="false">IF(B5115="","",B5115+(17*1000+464)/10000000)</f>
        <v/>
      </c>
      <c r="B5115" s="35" t="str">
        <f aca="false">IF(AND(IFERROR(N(INDEX(Clay_Brands!$A$2:$FZ$601,464,Sync!$D$13)),0)&gt;0,IFERROR(INDEX(Clay_Brands!$A$2:$FZ$601,464,Sync!$D$5)&amp;"","")&lt;&gt;"",OR(LEFT(IFERROR(INDEX(Clay_Brands!$A$2:$FZ$601,464,Sync!$D$5)&amp;"",""),6)&lt;&gt;"SAMPLE",Config!$B$19="Y")),IFERROR(N(INDEX(Clay_Brands!$A$2:$FZ$601,464,Sync!$D$13)),0),"")</f>
        <v/>
      </c>
      <c r="C5115" s="23" t="str">
        <f aca="false">IF(B5115="","","brand")</f>
        <v/>
      </c>
      <c r="D5115" s="23" t="str">
        <f aca="false">IF(B5115="","",IFERROR(INDEX(Brand_Log!$DV$2:$DV$201,MATCH(IFERROR(INDEX(Clay_Brands!$A$2:$FZ$601,464,Sync!$D$5)&amp;"",""),Brand_Log!$A$2:$A$201,0))&amp;"",IFERROR(INDEX(Clay_Brands!$A$2:$FZ$601,464,Sync!$D$5)&amp;"","")&amp;""))</f>
        <v/>
      </c>
      <c r="E5115" s="23" t="str">
        <f aca="false">IF(B5115="","",IFERROR(INDEX(Clay_Brands!$A$2:$FZ$601,464,Sync!$D$6)&amp;"",""))</f>
        <v/>
      </c>
      <c r="F5115" s="23" t="str">
        <f aca="false">IF(B5115="","","outreach_sent")</f>
        <v/>
      </c>
      <c r="G5115" s="23" t="str">
        <f aca="false">IF(B5115="","","")</f>
        <v/>
      </c>
      <c r="H5115" s="23" t="str">
        <f aca="false">IF(B5115="","","")</f>
        <v/>
      </c>
      <c r="I5115" s="23" t="str">
        <f aca="false">IF(B5115="","","")</f>
        <v/>
      </c>
      <c r="J5115" s="23" t="str">
        <f aca="false">IF(B5115="","","touch_3; "&amp;IFERROR(INDEX(Clay_Brands!$A$2:$FZ$601,464,Sync!$D$10)&amp;"","")&amp;"; "&amp;IFERROR(INDEX(Clay_Brands!$A$2:$FZ$601,464,Sync!$D$9)&amp;"",""))</f>
        <v/>
      </c>
      <c r="K5115" s="32" t="s">
        <v>1368</v>
      </c>
    </row>
    <row r="5116" customFormat="false" ht="15" hidden="false" customHeight="false" outlineLevel="0" collapsed="false">
      <c r="A5116" s="23" t="str">
        <f aca="false">IF(B5116="","",B5116+(17*1000+465)/10000000)</f>
        <v/>
      </c>
      <c r="B5116" s="35" t="str">
        <f aca="false">IF(AND(IFERROR(N(INDEX(Clay_Brands!$A$2:$FZ$601,465,Sync!$D$13)),0)&gt;0,IFERROR(INDEX(Clay_Brands!$A$2:$FZ$601,465,Sync!$D$5)&amp;"","")&lt;&gt;"",OR(LEFT(IFERROR(INDEX(Clay_Brands!$A$2:$FZ$601,465,Sync!$D$5)&amp;"",""),6)&lt;&gt;"SAMPLE",Config!$B$19="Y")),IFERROR(N(INDEX(Clay_Brands!$A$2:$FZ$601,465,Sync!$D$13)),0),"")</f>
        <v/>
      </c>
      <c r="C5116" s="23" t="str">
        <f aca="false">IF(B5116="","","brand")</f>
        <v/>
      </c>
      <c r="D5116" s="23" t="str">
        <f aca="false">IF(B5116="","",IFERROR(INDEX(Brand_Log!$DV$2:$DV$201,MATCH(IFERROR(INDEX(Clay_Brands!$A$2:$FZ$601,465,Sync!$D$5)&amp;"",""),Brand_Log!$A$2:$A$201,0))&amp;"",IFERROR(INDEX(Clay_Brands!$A$2:$FZ$601,465,Sync!$D$5)&amp;"","")&amp;""))</f>
        <v/>
      </c>
      <c r="E5116" s="23" t="str">
        <f aca="false">IF(B5116="","",IFERROR(INDEX(Clay_Brands!$A$2:$FZ$601,465,Sync!$D$6)&amp;"",""))</f>
        <v/>
      </c>
      <c r="F5116" s="23" t="str">
        <f aca="false">IF(B5116="","","outreach_sent")</f>
        <v/>
      </c>
      <c r="G5116" s="23" t="str">
        <f aca="false">IF(B5116="","","")</f>
        <v/>
      </c>
      <c r="H5116" s="23" t="str">
        <f aca="false">IF(B5116="","","")</f>
        <v/>
      </c>
      <c r="I5116" s="23" t="str">
        <f aca="false">IF(B5116="","","")</f>
        <v/>
      </c>
      <c r="J5116" s="23" t="str">
        <f aca="false">IF(B5116="","","touch_3; "&amp;IFERROR(INDEX(Clay_Brands!$A$2:$FZ$601,465,Sync!$D$10)&amp;"","")&amp;"; "&amp;IFERROR(INDEX(Clay_Brands!$A$2:$FZ$601,465,Sync!$D$9)&amp;"",""))</f>
        <v/>
      </c>
      <c r="K5116" s="32" t="s">
        <v>1368</v>
      </c>
    </row>
    <row r="5117" customFormat="false" ht="15" hidden="false" customHeight="false" outlineLevel="0" collapsed="false">
      <c r="A5117" s="23" t="str">
        <f aca="false">IF(B5117="","",B5117+(17*1000+466)/10000000)</f>
        <v/>
      </c>
      <c r="B5117" s="35" t="str">
        <f aca="false">IF(AND(IFERROR(N(INDEX(Clay_Brands!$A$2:$FZ$601,466,Sync!$D$13)),0)&gt;0,IFERROR(INDEX(Clay_Brands!$A$2:$FZ$601,466,Sync!$D$5)&amp;"","")&lt;&gt;"",OR(LEFT(IFERROR(INDEX(Clay_Brands!$A$2:$FZ$601,466,Sync!$D$5)&amp;"",""),6)&lt;&gt;"SAMPLE",Config!$B$19="Y")),IFERROR(N(INDEX(Clay_Brands!$A$2:$FZ$601,466,Sync!$D$13)),0),"")</f>
        <v/>
      </c>
      <c r="C5117" s="23" t="str">
        <f aca="false">IF(B5117="","","brand")</f>
        <v/>
      </c>
      <c r="D5117" s="23" t="str">
        <f aca="false">IF(B5117="","",IFERROR(INDEX(Brand_Log!$DV$2:$DV$201,MATCH(IFERROR(INDEX(Clay_Brands!$A$2:$FZ$601,466,Sync!$D$5)&amp;"",""),Brand_Log!$A$2:$A$201,0))&amp;"",IFERROR(INDEX(Clay_Brands!$A$2:$FZ$601,466,Sync!$D$5)&amp;"","")&amp;""))</f>
        <v/>
      </c>
      <c r="E5117" s="23" t="str">
        <f aca="false">IF(B5117="","",IFERROR(INDEX(Clay_Brands!$A$2:$FZ$601,466,Sync!$D$6)&amp;"",""))</f>
        <v/>
      </c>
      <c r="F5117" s="23" t="str">
        <f aca="false">IF(B5117="","","outreach_sent")</f>
        <v/>
      </c>
      <c r="G5117" s="23" t="str">
        <f aca="false">IF(B5117="","","")</f>
        <v/>
      </c>
      <c r="H5117" s="23" t="str">
        <f aca="false">IF(B5117="","","")</f>
        <v/>
      </c>
      <c r="I5117" s="23" t="str">
        <f aca="false">IF(B5117="","","")</f>
        <v/>
      </c>
      <c r="J5117" s="23" t="str">
        <f aca="false">IF(B5117="","","touch_3; "&amp;IFERROR(INDEX(Clay_Brands!$A$2:$FZ$601,466,Sync!$D$10)&amp;"","")&amp;"; "&amp;IFERROR(INDEX(Clay_Brands!$A$2:$FZ$601,466,Sync!$D$9)&amp;"",""))</f>
        <v/>
      </c>
      <c r="K5117" s="32" t="s">
        <v>1368</v>
      </c>
    </row>
    <row r="5118" customFormat="false" ht="15" hidden="false" customHeight="false" outlineLevel="0" collapsed="false">
      <c r="A5118" s="23" t="str">
        <f aca="false">IF(B5118="","",B5118+(17*1000+467)/10000000)</f>
        <v/>
      </c>
      <c r="B5118" s="35" t="str">
        <f aca="false">IF(AND(IFERROR(N(INDEX(Clay_Brands!$A$2:$FZ$601,467,Sync!$D$13)),0)&gt;0,IFERROR(INDEX(Clay_Brands!$A$2:$FZ$601,467,Sync!$D$5)&amp;"","")&lt;&gt;"",OR(LEFT(IFERROR(INDEX(Clay_Brands!$A$2:$FZ$601,467,Sync!$D$5)&amp;"",""),6)&lt;&gt;"SAMPLE",Config!$B$19="Y")),IFERROR(N(INDEX(Clay_Brands!$A$2:$FZ$601,467,Sync!$D$13)),0),"")</f>
        <v/>
      </c>
      <c r="C5118" s="23" t="str">
        <f aca="false">IF(B5118="","","brand")</f>
        <v/>
      </c>
      <c r="D5118" s="23" t="str">
        <f aca="false">IF(B5118="","",IFERROR(INDEX(Brand_Log!$DV$2:$DV$201,MATCH(IFERROR(INDEX(Clay_Brands!$A$2:$FZ$601,467,Sync!$D$5)&amp;"",""),Brand_Log!$A$2:$A$201,0))&amp;"",IFERROR(INDEX(Clay_Brands!$A$2:$FZ$601,467,Sync!$D$5)&amp;"","")&amp;""))</f>
        <v/>
      </c>
      <c r="E5118" s="23" t="str">
        <f aca="false">IF(B5118="","",IFERROR(INDEX(Clay_Brands!$A$2:$FZ$601,467,Sync!$D$6)&amp;"",""))</f>
        <v/>
      </c>
      <c r="F5118" s="23" t="str">
        <f aca="false">IF(B5118="","","outreach_sent")</f>
        <v/>
      </c>
      <c r="G5118" s="23" t="str">
        <f aca="false">IF(B5118="","","")</f>
        <v/>
      </c>
      <c r="H5118" s="23" t="str">
        <f aca="false">IF(B5118="","","")</f>
        <v/>
      </c>
      <c r="I5118" s="23" t="str">
        <f aca="false">IF(B5118="","","")</f>
        <v/>
      </c>
      <c r="J5118" s="23" t="str">
        <f aca="false">IF(B5118="","","touch_3; "&amp;IFERROR(INDEX(Clay_Brands!$A$2:$FZ$601,467,Sync!$D$10)&amp;"","")&amp;"; "&amp;IFERROR(INDEX(Clay_Brands!$A$2:$FZ$601,467,Sync!$D$9)&amp;"",""))</f>
        <v/>
      </c>
      <c r="K5118" s="32" t="s">
        <v>1368</v>
      </c>
    </row>
    <row r="5119" customFormat="false" ht="15" hidden="false" customHeight="false" outlineLevel="0" collapsed="false">
      <c r="A5119" s="23" t="str">
        <f aca="false">IF(B5119="","",B5119+(17*1000+468)/10000000)</f>
        <v/>
      </c>
      <c r="B5119" s="35" t="str">
        <f aca="false">IF(AND(IFERROR(N(INDEX(Clay_Brands!$A$2:$FZ$601,468,Sync!$D$13)),0)&gt;0,IFERROR(INDEX(Clay_Brands!$A$2:$FZ$601,468,Sync!$D$5)&amp;"","")&lt;&gt;"",OR(LEFT(IFERROR(INDEX(Clay_Brands!$A$2:$FZ$601,468,Sync!$D$5)&amp;"",""),6)&lt;&gt;"SAMPLE",Config!$B$19="Y")),IFERROR(N(INDEX(Clay_Brands!$A$2:$FZ$601,468,Sync!$D$13)),0),"")</f>
        <v/>
      </c>
      <c r="C5119" s="23" t="str">
        <f aca="false">IF(B5119="","","brand")</f>
        <v/>
      </c>
      <c r="D5119" s="23" t="str">
        <f aca="false">IF(B5119="","",IFERROR(INDEX(Brand_Log!$DV$2:$DV$201,MATCH(IFERROR(INDEX(Clay_Brands!$A$2:$FZ$601,468,Sync!$D$5)&amp;"",""),Brand_Log!$A$2:$A$201,0))&amp;"",IFERROR(INDEX(Clay_Brands!$A$2:$FZ$601,468,Sync!$D$5)&amp;"","")&amp;""))</f>
        <v/>
      </c>
      <c r="E5119" s="23" t="str">
        <f aca="false">IF(B5119="","",IFERROR(INDEX(Clay_Brands!$A$2:$FZ$601,468,Sync!$D$6)&amp;"",""))</f>
        <v/>
      </c>
      <c r="F5119" s="23" t="str">
        <f aca="false">IF(B5119="","","outreach_sent")</f>
        <v/>
      </c>
      <c r="G5119" s="23" t="str">
        <f aca="false">IF(B5119="","","")</f>
        <v/>
      </c>
      <c r="H5119" s="23" t="str">
        <f aca="false">IF(B5119="","","")</f>
        <v/>
      </c>
      <c r="I5119" s="23" t="str">
        <f aca="false">IF(B5119="","","")</f>
        <v/>
      </c>
      <c r="J5119" s="23" t="str">
        <f aca="false">IF(B5119="","","touch_3; "&amp;IFERROR(INDEX(Clay_Brands!$A$2:$FZ$601,468,Sync!$D$10)&amp;"","")&amp;"; "&amp;IFERROR(INDEX(Clay_Brands!$A$2:$FZ$601,468,Sync!$D$9)&amp;"",""))</f>
        <v/>
      </c>
      <c r="K5119" s="32" t="s">
        <v>1368</v>
      </c>
    </row>
    <row r="5120" customFormat="false" ht="15" hidden="false" customHeight="false" outlineLevel="0" collapsed="false">
      <c r="A5120" s="23" t="str">
        <f aca="false">IF(B5120="","",B5120+(17*1000+469)/10000000)</f>
        <v/>
      </c>
      <c r="B5120" s="35" t="str">
        <f aca="false">IF(AND(IFERROR(N(INDEX(Clay_Brands!$A$2:$FZ$601,469,Sync!$D$13)),0)&gt;0,IFERROR(INDEX(Clay_Brands!$A$2:$FZ$601,469,Sync!$D$5)&amp;"","")&lt;&gt;"",OR(LEFT(IFERROR(INDEX(Clay_Brands!$A$2:$FZ$601,469,Sync!$D$5)&amp;"",""),6)&lt;&gt;"SAMPLE",Config!$B$19="Y")),IFERROR(N(INDEX(Clay_Brands!$A$2:$FZ$601,469,Sync!$D$13)),0),"")</f>
        <v/>
      </c>
      <c r="C5120" s="23" t="str">
        <f aca="false">IF(B5120="","","brand")</f>
        <v/>
      </c>
      <c r="D5120" s="23" t="str">
        <f aca="false">IF(B5120="","",IFERROR(INDEX(Brand_Log!$DV$2:$DV$201,MATCH(IFERROR(INDEX(Clay_Brands!$A$2:$FZ$601,469,Sync!$D$5)&amp;"",""),Brand_Log!$A$2:$A$201,0))&amp;"",IFERROR(INDEX(Clay_Brands!$A$2:$FZ$601,469,Sync!$D$5)&amp;"","")&amp;""))</f>
        <v/>
      </c>
      <c r="E5120" s="23" t="str">
        <f aca="false">IF(B5120="","",IFERROR(INDEX(Clay_Brands!$A$2:$FZ$601,469,Sync!$D$6)&amp;"",""))</f>
        <v/>
      </c>
      <c r="F5120" s="23" t="str">
        <f aca="false">IF(B5120="","","outreach_sent")</f>
        <v/>
      </c>
      <c r="G5120" s="23" t="str">
        <f aca="false">IF(B5120="","","")</f>
        <v/>
      </c>
      <c r="H5120" s="23" t="str">
        <f aca="false">IF(B5120="","","")</f>
        <v/>
      </c>
      <c r="I5120" s="23" t="str">
        <f aca="false">IF(B5120="","","")</f>
        <v/>
      </c>
      <c r="J5120" s="23" t="str">
        <f aca="false">IF(B5120="","","touch_3; "&amp;IFERROR(INDEX(Clay_Brands!$A$2:$FZ$601,469,Sync!$D$10)&amp;"","")&amp;"; "&amp;IFERROR(INDEX(Clay_Brands!$A$2:$FZ$601,469,Sync!$D$9)&amp;"",""))</f>
        <v/>
      </c>
      <c r="K5120" s="32" t="s">
        <v>1368</v>
      </c>
    </row>
    <row r="5121" customFormat="false" ht="15" hidden="false" customHeight="false" outlineLevel="0" collapsed="false">
      <c r="A5121" s="23" t="str">
        <f aca="false">IF(B5121="","",B5121+(17*1000+470)/10000000)</f>
        <v/>
      </c>
      <c r="B5121" s="35" t="str">
        <f aca="false">IF(AND(IFERROR(N(INDEX(Clay_Brands!$A$2:$FZ$601,470,Sync!$D$13)),0)&gt;0,IFERROR(INDEX(Clay_Brands!$A$2:$FZ$601,470,Sync!$D$5)&amp;"","")&lt;&gt;"",OR(LEFT(IFERROR(INDEX(Clay_Brands!$A$2:$FZ$601,470,Sync!$D$5)&amp;"",""),6)&lt;&gt;"SAMPLE",Config!$B$19="Y")),IFERROR(N(INDEX(Clay_Brands!$A$2:$FZ$601,470,Sync!$D$13)),0),"")</f>
        <v/>
      </c>
      <c r="C5121" s="23" t="str">
        <f aca="false">IF(B5121="","","brand")</f>
        <v/>
      </c>
      <c r="D5121" s="23" t="str">
        <f aca="false">IF(B5121="","",IFERROR(INDEX(Brand_Log!$DV$2:$DV$201,MATCH(IFERROR(INDEX(Clay_Brands!$A$2:$FZ$601,470,Sync!$D$5)&amp;"",""),Brand_Log!$A$2:$A$201,0))&amp;"",IFERROR(INDEX(Clay_Brands!$A$2:$FZ$601,470,Sync!$D$5)&amp;"","")&amp;""))</f>
        <v/>
      </c>
      <c r="E5121" s="23" t="str">
        <f aca="false">IF(B5121="","",IFERROR(INDEX(Clay_Brands!$A$2:$FZ$601,470,Sync!$D$6)&amp;"",""))</f>
        <v/>
      </c>
      <c r="F5121" s="23" t="str">
        <f aca="false">IF(B5121="","","outreach_sent")</f>
        <v/>
      </c>
      <c r="G5121" s="23" t="str">
        <f aca="false">IF(B5121="","","")</f>
        <v/>
      </c>
      <c r="H5121" s="23" t="str">
        <f aca="false">IF(B5121="","","")</f>
        <v/>
      </c>
      <c r="I5121" s="23" t="str">
        <f aca="false">IF(B5121="","","")</f>
        <v/>
      </c>
      <c r="J5121" s="23" t="str">
        <f aca="false">IF(B5121="","","touch_3; "&amp;IFERROR(INDEX(Clay_Brands!$A$2:$FZ$601,470,Sync!$D$10)&amp;"","")&amp;"; "&amp;IFERROR(INDEX(Clay_Brands!$A$2:$FZ$601,470,Sync!$D$9)&amp;"",""))</f>
        <v/>
      </c>
      <c r="K5121" s="32" t="s">
        <v>1368</v>
      </c>
    </row>
    <row r="5122" customFormat="false" ht="15" hidden="false" customHeight="false" outlineLevel="0" collapsed="false">
      <c r="A5122" s="23" t="str">
        <f aca="false">IF(B5122="","",B5122+(17*1000+471)/10000000)</f>
        <v/>
      </c>
      <c r="B5122" s="35" t="str">
        <f aca="false">IF(AND(IFERROR(N(INDEX(Clay_Brands!$A$2:$FZ$601,471,Sync!$D$13)),0)&gt;0,IFERROR(INDEX(Clay_Brands!$A$2:$FZ$601,471,Sync!$D$5)&amp;"","")&lt;&gt;"",OR(LEFT(IFERROR(INDEX(Clay_Brands!$A$2:$FZ$601,471,Sync!$D$5)&amp;"",""),6)&lt;&gt;"SAMPLE",Config!$B$19="Y")),IFERROR(N(INDEX(Clay_Brands!$A$2:$FZ$601,471,Sync!$D$13)),0),"")</f>
        <v/>
      </c>
      <c r="C5122" s="23" t="str">
        <f aca="false">IF(B5122="","","brand")</f>
        <v/>
      </c>
      <c r="D5122" s="23" t="str">
        <f aca="false">IF(B5122="","",IFERROR(INDEX(Brand_Log!$DV$2:$DV$201,MATCH(IFERROR(INDEX(Clay_Brands!$A$2:$FZ$601,471,Sync!$D$5)&amp;"",""),Brand_Log!$A$2:$A$201,0))&amp;"",IFERROR(INDEX(Clay_Brands!$A$2:$FZ$601,471,Sync!$D$5)&amp;"","")&amp;""))</f>
        <v/>
      </c>
      <c r="E5122" s="23" t="str">
        <f aca="false">IF(B5122="","",IFERROR(INDEX(Clay_Brands!$A$2:$FZ$601,471,Sync!$D$6)&amp;"",""))</f>
        <v/>
      </c>
      <c r="F5122" s="23" t="str">
        <f aca="false">IF(B5122="","","outreach_sent")</f>
        <v/>
      </c>
      <c r="G5122" s="23" t="str">
        <f aca="false">IF(B5122="","","")</f>
        <v/>
      </c>
      <c r="H5122" s="23" t="str">
        <f aca="false">IF(B5122="","","")</f>
        <v/>
      </c>
      <c r="I5122" s="23" t="str">
        <f aca="false">IF(B5122="","","")</f>
        <v/>
      </c>
      <c r="J5122" s="23" t="str">
        <f aca="false">IF(B5122="","","touch_3; "&amp;IFERROR(INDEX(Clay_Brands!$A$2:$FZ$601,471,Sync!$D$10)&amp;"","")&amp;"; "&amp;IFERROR(INDEX(Clay_Brands!$A$2:$FZ$601,471,Sync!$D$9)&amp;"",""))</f>
        <v/>
      </c>
      <c r="K5122" s="32" t="s">
        <v>1368</v>
      </c>
    </row>
    <row r="5123" customFormat="false" ht="15" hidden="false" customHeight="false" outlineLevel="0" collapsed="false">
      <c r="A5123" s="23" t="str">
        <f aca="false">IF(B5123="","",B5123+(17*1000+472)/10000000)</f>
        <v/>
      </c>
      <c r="B5123" s="35" t="str">
        <f aca="false">IF(AND(IFERROR(N(INDEX(Clay_Brands!$A$2:$FZ$601,472,Sync!$D$13)),0)&gt;0,IFERROR(INDEX(Clay_Brands!$A$2:$FZ$601,472,Sync!$D$5)&amp;"","")&lt;&gt;"",OR(LEFT(IFERROR(INDEX(Clay_Brands!$A$2:$FZ$601,472,Sync!$D$5)&amp;"",""),6)&lt;&gt;"SAMPLE",Config!$B$19="Y")),IFERROR(N(INDEX(Clay_Brands!$A$2:$FZ$601,472,Sync!$D$13)),0),"")</f>
        <v/>
      </c>
      <c r="C5123" s="23" t="str">
        <f aca="false">IF(B5123="","","brand")</f>
        <v/>
      </c>
      <c r="D5123" s="23" t="str">
        <f aca="false">IF(B5123="","",IFERROR(INDEX(Brand_Log!$DV$2:$DV$201,MATCH(IFERROR(INDEX(Clay_Brands!$A$2:$FZ$601,472,Sync!$D$5)&amp;"",""),Brand_Log!$A$2:$A$201,0))&amp;"",IFERROR(INDEX(Clay_Brands!$A$2:$FZ$601,472,Sync!$D$5)&amp;"","")&amp;""))</f>
        <v/>
      </c>
      <c r="E5123" s="23" t="str">
        <f aca="false">IF(B5123="","",IFERROR(INDEX(Clay_Brands!$A$2:$FZ$601,472,Sync!$D$6)&amp;"",""))</f>
        <v/>
      </c>
      <c r="F5123" s="23" t="str">
        <f aca="false">IF(B5123="","","outreach_sent")</f>
        <v/>
      </c>
      <c r="G5123" s="23" t="str">
        <f aca="false">IF(B5123="","","")</f>
        <v/>
      </c>
      <c r="H5123" s="23" t="str">
        <f aca="false">IF(B5123="","","")</f>
        <v/>
      </c>
      <c r="I5123" s="23" t="str">
        <f aca="false">IF(B5123="","","")</f>
        <v/>
      </c>
      <c r="J5123" s="23" t="str">
        <f aca="false">IF(B5123="","","touch_3; "&amp;IFERROR(INDEX(Clay_Brands!$A$2:$FZ$601,472,Sync!$D$10)&amp;"","")&amp;"; "&amp;IFERROR(INDEX(Clay_Brands!$A$2:$FZ$601,472,Sync!$D$9)&amp;"",""))</f>
        <v/>
      </c>
      <c r="K5123" s="32" t="s">
        <v>1368</v>
      </c>
    </row>
    <row r="5124" customFormat="false" ht="15" hidden="false" customHeight="false" outlineLevel="0" collapsed="false">
      <c r="A5124" s="23" t="str">
        <f aca="false">IF(B5124="","",B5124+(17*1000+473)/10000000)</f>
        <v/>
      </c>
      <c r="B5124" s="35" t="str">
        <f aca="false">IF(AND(IFERROR(N(INDEX(Clay_Brands!$A$2:$FZ$601,473,Sync!$D$13)),0)&gt;0,IFERROR(INDEX(Clay_Brands!$A$2:$FZ$601,473,Sync!$D$5)&amp;"","")&lt;&gt;"",OR(LEFT(IFERROR(INDEX(Clay_Brands!$A$2:$FZ$601,473,Sync!$D$5)&amp;"",""),6)&lt;&gt;"SAMPLE",Config!$B$19="Y")),IFERROR(N(INDEX(Clay_Brands!$A$2:$FZ$601,473,Sync!$D$13)),0),"")</f>
        <v/>
      </c>
      <c r="C5124" s="23" t="str">
        <f aca="false">IF(B5124="","","brand")</f>
        <v/>
      </c>
      <c r="D5124" s="23" t="str">
        <f aca="false">IF(B5124="","",IFERROR(INDEX(Brand_Log!$DV$2:$DV$201,MATCH(IFERROR(INDEX(Clay_Brands!$A$2:$FZ$601,473,Sync!$D$5)&amp;"",""),Brand_Log!$A$2:$A$201,0))&amp;"",IFERROR(INDEX(Clay_Brands!$A$2:$FZ$601,473,Sync!$D$5)&amp;"","")&amp;""))</f>
        <v/>
      </c>
      <c r="E5124" s="23" t="str">
        <f aca="false">IF(B5124="","",IFERROR(INDEX(Clay_Brands!$A$2:$FZ$601,473,Sync!$D$6)&amp;"",""))</f>
        <v/>
      </c>
      <c r="F5124" s="23" t="str">
        <f aca="false">IF(B5124="","","outreach_sent")</f>
        <v/>
      </c>
      <c r="G5124" s="23" t="str">
        <f aca="false">IF(B5124="","","")</f>
        <v/>
      </c>
      <c r="H5124" s="23" t="str">
        <f aca="false">IF(B5124="","","")</f>
        <v/>
      </c>
      <c r="I5124" s="23" t="str">
        <f aca="false">IF(B5124="","","")</f>
        <v/>
      </c>
      <c r="J5124" s="23" t="str">
        <f aca="false">IF(B5124="","","touch_3; "&amp;IFERROR(INDEX(Clay_Brands!$A$2:$FZ$601,473,Sync!$D$10)&amp;"","")&amp;"; "&amp;IFERROR(INDEX(Clay_Brands!$A$2:$FZ$601,473,Sync!$D$9)&amp;"",""))</f>
        <v/>
      </c>
      <c r="K5124" s="32" t="s">
        <v>1368</v>
      </c>
    </row>
    <row r="5125" customFormat="false" ht="15" hidden="false" customHeight="false" outlineLevel="0" collapsed="false">
      <c r="A5125" s="23" t="str">
        <f aca="false">IF(B5125="","",B5125+(17*1000+474)/10000000)</f>
        <v/>
      </c>
      <c r="B5125" s="35" t="str">
        <f aca="false">IF(AND(IFERROR(N(INDEX(Clay_Brands!$A$2:$FZ$601,474,Sync!$D$13)),0)&gt;0,IFERROR(INDEX(Clay_Brands!$A$2:$FZ$601,474,Sync!$D$5)&amp;"","")&lt;&gt;"",OR(LEFT(IFERROR(INDEX(Clay_Brands!$A$2:$FZ$601,474,Sync!$D$5)&amp;"",""),6)&lt;&gt;"SAMPLE",Config!$B$19="Y")),IFERROR(N(INDEX(Clay_Brands!$A$2:$FZ$601,474,Sync!$D$13)),0),"")</f>
        <v/>
      </c>
      <c r="C5125" s="23" t="str">
        <f aca="false">IF(B5125="","","brand")</f>
        <v/>
      </c>
      <c r="D5125" s="23" t="str">
        <f aca="false">IF(B5125="","",IFERROR(INDEX(Brand_Log!$DV$2:$DV$201,MATCH(IFERROR(INDEX(Clay_Brands!$A$2:$FZ$601,474,Sync!$D$5)&amp;"",""),Brand_Log!$A$2:$A$201,0))&amp;"",IFERROR(INDEX(Clay_Brands!$A$2:$FZ$601,474,Sync!$D$5)&amp;"","")&amp;""))</f>
        <v/>
      </c>
      <c r="E5125" s="23" t="str">
        <f aca="false">IF(B5125="","",IFERROR(INDEX(Clay_Brands!$A$2:$FZ$601,474,Sync!$D$6)&amp;"",""))</f>
        <v/>
      </c>
      <c r="F5125" s="23" t="str">
        <f aca="false">IF(B5125="","","outreach_sent")</f>
        <v/>
      </c>
      <c r="G5125" s="23" t="str">
        <f aca="false">IF(B5125="","","")</f>
        <v/>
      </c>
      <c r="H5125" s="23" t="str">
        <f aca="false">IF(B5125="","","")</f>
        <v/>
      </c>
      <c r="I5125" s="23" t="str">
        <f aca="false">IF(B5125="","","")</f>
        <v/>
      </c>
      <c r="J5125" s="23" t="str">
        <f aca="false">IF(B5125="","","touch_3; "&amp;IFERROR(INDEX(Clay_Brands!$A$2:$FZ$601,474,Sync!$D$10)&amp;"","")&amp;"; "&amp;IFERROR(INDEX(Clay_Brands!$A$2:$FZ$601,474,Sync!$D$9)&amp;"",""))</f>
        <v/>
      </c>
      <c r="K5125" s="32" t="s">
        <v>1368</v>
      </c>
    </row>
    <row r="5126" customFormat="false" ht="15" hidden="false" customHeight="false" outlineLevel="0" collapsed="false">
      <c r="A5126" s="23" t="str">
        <f aca="false">IF(B5126="","",B5126+(17*1000+475)/10000000)</f>
        <v/>
      </c>
      <c r="B5126" s="35" t="str">
        <f aca="false">IF(AND(IFERROR(N(INDEX(Clay_Brands!$A$2:$FZ$601,475,Sync!$D$13)),0)&gt;0,IFERROR(INDEX(Clay_Brands!$A$2:$FZ$601,475,Sync!$D$5)&amp;"","")&lt;&gt;"",OR(LEFT(IFERROR(INDEX(Clay_Brands!$A$2:$FZ$601,475,Sync!$D$5)&amp;"",""),6)&lt;&gt;"SAMPLE",Config!$B$19="Y")),IFERROR(N(INDEX(Clay_Brands!$A$2:$FZ$601,475,Sync!$D$13)),0),"")</f>
        <v/>
      </c>
      <c r="C5126" s="23" t="str">
        <f aca="false">IF(B5126="","","brand")</f>
        <v/>
      </c>
      <c r="D5126" s="23" t="str">
        <f aca="false">IF(B5126="","",IFERROR(INDEX(Brand_Log!$DV$2:$DV$201,MATCH(IFERROR(INDEX(Clay_Brands!$A$2:$FZ$601,475,Sync!$D$5)&amp;"",""),Brand_Log!$A$2:$A$201,0))&amp;"",IFERROR(INDEX(Clay_Brands!$A$2:$FZ$601,475,Sync!$D$5)&amp;"","")&amp;""))</f>
        <v/>
      </c>
      <c r="E5126" s="23" t="str">
        <f aca="false">IF(B5126="","",IFERROR(INDEX(Clay_Brands!$A$2:$FZ$601,475,Sync!$D$6)&amp;"",""))</f>
        <v/>
      </c>
      <c r="F5126" s="23" t="str">
        <f aca="false">IF(B5126="","","outreach_sent")</f>
        <v/>
      </c>
      <c r="G5126" s="23" t="str">
        <f aca="false">IF(B5126="","","")</f>
        <v/>
      </c>
      <c r="H5126" s="23" t="str">
        <f aca="false">IF(B5126="","","")</f>
        <v/>
      </c>
      <c r="I5126" s="23" t="str">
        <f aca="false">IF(B5126="","","")</f>
        <v/>
      </c>
      <c r="J5126" s="23" t="str">
        <f aca="false">IF(B5126="","","touch_3; "&amp;IFERROR(INDEX(Clay_Brands!$A$2:$FZ$601,475,Sync!$D$10)&amp;"","")&amp;"; "&amp;IFERROR(INDEX(Clay_Brands!$A$2:$FZ$601,475,Sync!$D$9)&amp;"",""))</f>
        <v/>
      </c>
      <c r="K5126" s="32" t="s">
        <v>1368</v>
      </c>
    </row>
    <row r="5127" customFormat="false" ht="15" hidden="false" customHeight="false" outlineLevel="0" collapsed="false">
      <c r="A5127" s="23" t="str">
        <f aca="false">IF(B5127="","",B5127+(17*1000+476)/10000000)</f>
        <v/>
      </c>
      <c r="B5127" s="35" t="str">
        <f aca="false">IF(AND(IFERROR(N(INDEX(Clay_Brands!$A$2:$FZ$601,476,Sync!$D$13)),0)&gt;0,IFERROR(INDEX(Clay_Brands!$A$2:$FZ$601,476,Sync!$D$5)&amp;"","")&lt;&gt;"",OR(LEFT(IFERROR(INDEX(Clay_Brands!$A$2:$FZ$601,476,Sync!$D$5)&amp;"",""),6)&lt;&gt;"SAMPLE",Config!$B$19="Y")),IFERROR(N(INDEX(Clay_Brands!$A$2:$FZ$601,476,Sync!$D$13)),0),"")</f>
        <v/>
      </c>
      <c r="C5127" s="23" t="str">
        <f aca="false">IF(B5127="","","brand")</f>
        <v/>
      </c>
      <c r="D5127" s="23" t="str">
        <f aca="false">IF(B5127="","",IFERROR(INDEX(Brand_Log!$DV$2:$DV$201,MATCH(IFERROR(INDEX(Clay_Brands!$A$2:$FZ$601,476,Sync!$D$5)&amp;"",""),Brand_Log!$A$2:$A$201,0))&amp;"",IFERROR(INDEX(Clay_Brands!$A$2:$FZ$601,476,Sync!$D$5)&amp;"","")&amp;""))</f>
        <v/>
      </c>
      <c r="E5127" s="23" t="str">
        <f aca="false">IF(B5127="","",IFERROR(INDEX(Clay_Brands!$A$2:$FZ$601,476,Sync!$D$6)&amp;"",""))</f>
        <v/>
      </c>
      <c r="F5127" s="23" t="str">
        <f aca="false">IF(B5127="","","outreach_sent")</f>
        <v/>
      </c>
      <c r="G5127" s="23" t="str">
        <f aca="false">IF(B5127="","","")</f>
        <v/>
      </c>
      <c r="H5127" s="23" t="str">
        <f aca="false">IF(B5127="","","")</f>
        <v/>
      </c>
      <c r="I5127" s="23" t="str">
        <f aca="false">IF(B5127="","","")</f>
        <v/>
      </c>
      <c r="J5127" s="23" t="str">
        <f aca="false">IF(B5127="","","touch_3; "&amp;IFERROR(INDEX(Clay_Brands!$A$2:$FZ$601,476,Sync!$D$10)&amp;"","")&amp;"; "&amp;IFERROR(INDEX(Clay_Brands!$A$2:$FZ$601,476,Sync!$D$9)&amp;"",""))</f>
        <v/>
      </c>
      <c r="K5127" s="32" t="s">
        <v>1368</v>
      </c>
    </row>
    <row r="5128" customFormat="false" ht="15" hidden="false" customHeight="false" outlineLevel="0" collapsed="false">
      <c r="A5128" s="23" t="str">
        <f aca="false">IF(B5128="","",B5128+(17*1000+477)/10000000)</f>
        <v/>
      </c>
      <c r="B5128" s="35" t="str">
        <f aca="false">IF(AND(IFERROR(N(INDEX(Clay_Brands!$A$2:$FZ$601,477,Sync!$D$13)),0)&gt;0,IFERROR(INDEX(Clay_Brands!$A$2:$FZ$601,477,Sync!$D$5)&amp;"","")&lt;&gt;"",OR(LEFT(IFERROR(INDEX(Clay_Brands!$A$2:$FZ$601,477,Sync!$D$5)&amp;"",""),6)&lt;&gt;"SAMPLE",Config!$B$19="Y")),IFERROR(N(INDEX(Clay_Brands!$A$2:$FZ$601,477,Sync!$D$13)),0),"")</f>
        <v/>
      </c>
      <c r="C5128" s="23" t="str">
        <f aca="false">IF(B5128="","","brand")</f>
        <v/>
      </c>
      <c r="D5128" s="23" t="str">
        <f aca="false">IF(B5128="","",IFERROR(INDEX(Brand_Log!$DV$2:$DV$201,MATCH(IFERROR(INDEX(Clay_Brands!$A$2:$FZ$601,477,Sync!$D$5)&amp;"",""),Brand_Log!$A$2:$A$201,0))&amp;"",IFERROR(INDEX(Clay_Brands!$A$2:$FZ$601,477,Sync!$D$5)&amp;"","")&amp;""))</f>
        <v/>
      </c>
      <c r="E5128" s="23" t="str">
        <f aca="false">IF(B5128="","",IFERROR(INDEX(Clay_Brands!$A$2:$FZ$601,477,Sync!$D$6)&amp;"",""))</f>
        <v/>
      </c>
      <c r="F5128" s="23" t="str">
        <f aca="false">IF(B5128="","","outreach_sent")</f>
        <v/>
      </c>
      <c r="G5128" s="23" t="str">
        <f aca="false">IF(B5128="","","")</f>
        <v/>
      </c>
      <c r="H5128" s="23" t="str">
        <f aca="false">IF(B5128="","","")</f>
        <v/>
      </c>
      <c r="I5128" s="23" t="str">
        <f aca="false">IF(B5128="","","")</f>
        <v/>
      </c>
      <c r="J5128" s="23" t="str">
        <f aca="false">IF(B5128="","","touch_3; "&amp;IFERROR(INDEX(Clay_Brands!$A$2:$FZ$601,477,Sync!$D$10)&amp;"","")&amp;"; "&amp;IFERROR(INDEX(Clay_Brands!$A$2:$FZ$601,477,Sync!$D$9)&amp;"",""))</f>
        <v/>
      </c>
      <c r="K5128" s="32" t="s">
        <v>1368</v>
      </c>
    </row>
    <row r="5129" customFormat="false" ht="15" hidden="false" customHeight="false" outlineLevel="0" collapsed="false">
      <c r="A5129" s="23" t="str">
        <f aca="false">IF(B5129="","",B5129+(17*1000+478)/10000000)</f>
        <v/>
      </c>
      <c r="B5129" s="35" t="str">
        <f aca="false">IF(AND(IFERROR(N(INDEX(Clay_Brands!$A$2:$FZ$601,478,Sync!$D$13)),0)&gt;0,IFERROR(INDEX(Clay_Brands!$A$2:$FZ$601,478,Sync!$D$5)&amp;"","")&lt;&gt;"",OR(LEFT(IFERROR(INDEX(Clay_Brands!$A$2:$FZ$601,478,Sync!$D$5)&amp;"",""),6)&lt;&gt;"SAMPLE",Config!$B$19="Y")),IFERROR(N(INDEX(Clay_Brands!$A$2:$FZ$601,478,Sync!$D$13)),0),"")</f>
        <v/>
      </c>
      <c r="C5129" s="23" t="str">
        <f aca="false">IF(B5129="","","brand")</f>
        <v/>
      </c>
      <c r="D5129" s="23" t="str">
        <f aca="false">IF(B5129="","",IFERROR(INDEX(Brand_Log!$DV$2:$DV$201,MATCH(IFERROR(INDEX(Clay_Brands!$A$2:$FZ$601,478,Sync!$D$5)&amp;"",""),Brand_Log!$A$2:$A$201,0))&amp;"",IFERROR(INDEX(Clay_Brands!$A$2:$FZ$601,478,Sync!$D$5)&amp;"","")&amp;""))</f>
        <v/>
      </c>
      <c r="E5129" s="23" t="str">
        <f aca="false">IF(B5129="","",IFERROR(INDEX(Clay_Brands!$A$2:$FZ$601,478,Sync!$D$6)&amp;"",""))</f>
        <v/>
      </c>
      <c r="F5129" s="23" t="str">
        <f aca="false">IF(B5129="","","outreach_sent")</f>
        <v/>
      </c>
      <c r="G5129" s="23" t="str">
        <f aca="false">IF(B5129="","","")</f>
        <v/>
      </c>
      <c r="H5129" s="23" t="str">
        <f aca="false">IF(B5129="","","")</f>
        <v/>
      </c>
      <c r="I5129" s="23" t="str">
        <f aca="false">IF(B5129="","","")</f>
        <v/>
      </c>
      <c r="J5129" s="23" t="str">
        <f aca="false">IF(B5129="","","touch_3; "&amp;IFERROR(INDEX(Clay_Brands!$A$2:$FZ$601,478,Sync!$D$10)&amp;"","")&amp;"; "&amp;IFERROR(INDEX(Clay_Brands!$A$2:$FZ$601,478,Sync!$D$9)&amp;"",""))</f>
        <v/>
      </c>
      <c r="K5129" s="32" t="s">
        <v>1368</v>
      </c>
    </row>
    <row r="5130" customFormat="false" ht="15" hidden="false" customHeight="false" outlineLevel="0" collapsed="false">
      <c r="A5130" s="23" t="str">
        <f aca="false">IF(B5130="","",B5130+(17*1000+479)/10000000)</f>
        <v/>
      </c>
      <c r="B5130" s="35" t="str">
        <f aca="false">IF(AND(IFERROR(N(INDEX(Clay_Brands!$A$2:$FZ$601,479,Sync!$D$13)),0)&gt;0,IFERROR(INDEX(Clay_Brands!$A$2:$FZ$601,479,Sync!$D$5)&amp;"","")&lt;&gt;"",OR(LEFT(IFERROR(INDEX(Clay_Brands!$A$2:$FZ$601,479,Sync!$D$5)&amp;"",""),6)&lt;&gt;"SAMPLE",Config!$B$19="Y")),IFERROR(N(INDEX(Clay_Brands!$A$2:$FZ$601,479,Sync!$D$13)),0),"")</f>
        <v/>
      </c>
      <c r="C5130" s="23" t="str">
        <f aca="false">IF(B5130="","","brand")</f>
        <v/>
      </c>
      <c r="D5130" s="23" t="str">
        <f aca="false">IF(B5130="","",IFERROR(INDEX(Brand_Log!$DV$2:$DV$201,MATCH(IFERROR(INDEX(Clay_Brands!$A$2:$FZ$601,479,Sync!$D$5)&amp;"",""),Brand_Log!$A$2:$A$201,0))&amp;"",IFERROR(INDEX(Clay_Brands!$A$2:$FZ$601,479,Sync!$D$5)&amp;"","")&amp;""))</f>
        <v/>
      </c>
      <c r="E5130" s="23" t="str">
        <f aca="false">IF(B5130="","",IFERROR(INDEX(Clay_Brands!$A$2:$FZ$601,479,Sync!$D$6)&amp;"",""))</f>
        <v/>
      </c>
      <c r="F5130" s="23" t="str">
        <f aca="false">IF(B5130="","","outreach_sent")</f>
        <v/>
      </c>
      <c r="G5130" s="23" t="str">
        <f aca="false">IF(B5130="","","")</f>
        <v/>
      </c>
      <c r="H5130" s="23" t="str">
        <f aca="false">IF(B5130="","","")</f>
        <v/>
      </c>
      <c r="I5130" s="23" t="str">
        <f aca="false">IF(B5130="","","")</f>
        <v/>
      </c>
      <c r="J5130" s="23" t="str">
        <f aca="false">IF(B5130="","","touch_3; "&amp;IFERROR(INDEX(Clay_Brands!$A$2:$FZ$601,479,Sync!$D$10)&amp;"","")&amp;"; "&amp;IFERROR(INDEX(Clay_Brands!$A$2:$FZ$601,479,Sync!$D$9)&amp;"",""))</f>
        <v/>
      </c>
      <c r="K5130" s="32" t="s">
        <v>1368</v>
      </c>
    </row>
    <row r="5131" customFormat="false" ht="15" hidden="false" customHeight="false" outlineLevel="0" collapsed="false">
      <c r="A5131" s="23" t="str">
        <f aca="false">IF(B5131="","",B5131+(17*1000+480)/10000000)</f>
        <v/>
      </c>
      <c r="B5131" s="35" t="str">
        <f aca="false">IF(AND(IFERROR(N(INDEX(Clay_Brands!$A$2:$FZ$601,480,Sync!$D$13)),0)&gt;0,IFERROR(INDEX(Clay_Brands!$A$2:$FZ$601,480,Sync!$D$5)&amp;"","")&lt;&gt;"",OR(LEFT(IFERROR(INDEX(Clay_Brands!$A$2:$FZ$601,480,Sync!$D$5)&amp;"",""),6)&lt;&gt;"SAMPLE",Config!$B$19="Y")),IFERROR(N(INDEX(Clay_Brands!$A$2:$FZ$601,480,Sync!$D$13)),0),"")</f>
        <v/>
      </c>
      <c r="C5131" s="23" t="str">
        <f aca="false">IF(B5131="","","brand")</f>
        <v/>
      </c>
      <c r="D5131" s="23" t="str">
        <f aca="false">IF(B5131="","",IFERROR(INDEX(Brand_Log!$DV$2:$DV$201,MATCH(IFERROR(INDEX(Clay_Brands!$A$2:$FZ$601,480,Sync!$D$5)&amp;"",""),Brand_Log!$A$2:$A$201,0))&amp;"",IFERROR(INDEX(Clay_Brands!$A$2:$FZ$601,480,Sync!$D$5)&amp;"","")&amp;""))</f>
        <v/>
      </c>
      <c r="E5131" s="23" t="str">
        <f aca="false">IF(B5131="","",IFERROR(INDEX(Clay_Brands!$A$2:$FZ$601,480,Sync!$D$6)&amp;"",""))</f>
        <v/>
      </c>
      <c r="F5131" s="23" t="str">
        <f aca="false">IF(B5131="","","outreach_sent")</f>
        <v/>
      </c>
      <c r="G5131" s="23" t="str">
        <f aca="false">IF(B5131="","","")</f>
        <v/>
      </c>
      <c r="H5131" s="23" t="str">
        <f aca="false">IF(B5131="","","")</f>
        <v/>
      </c>
      <c r="I5131" s="23" t="str">
        <f aca="false">IF(B5131="","","")</f>
        <v/>
      </c>
      <c r="J5131" s="23" t="str">
        <f aca="false">IF(B5131="","","touch_3; "&amp;IFERROR(INDEX(Clay_Brands!$A$2:$FZ$601,480,Sync!$D$10)&amp;"","")&amp;"; "&amp;IFERROR(INDEX(Clay_Brands!$A$2:$FZ$601,480,Sync!$D$9)&amp;"",""))</f>
        <v/>
      </c>
      <c r="K5131" s="32" t="s">
        <v>1368</v>
      </c>
    </row>
    <row r="5132" customFormat="false" ht="15" hidden="false" customHeight="false" outlineLevel="0" collapsed="false">
      <c r="A5132" s="23" t="str">
        <f aca="false">IF(B5132="","",B5132+(17*1000+481)/10000000)</f>
        <v/>
      </c>
      <c r="B5132" s="35" t="str">
        <f aca="false">IF(AND(IFERROR(N(INDEX(Clay_Brands!$A$2:$FZ$601,481,Sync!$D$13)),0)&gt;0,IFERROR(INDEX(Clay_Brands!$A$2:$FZ$601,481,Sync!$D$5)&amp;"","")&lt;&gt;"",OR(LEFT(IFERROR(INDEX(Clay_Brands!$A$2:$FZ$601,481,Sync!$D$5)&amp;"",""),6)&lt;&gt;"SAMPLE",Config!$B$19="Y")),IFERROR(N(INDEX(Clay_Brands!$A$2:$FZ$601,481,Sync!$D$13)),0),"")</f>
        <v/>
      </c>
      <c r="C5132" s="23" t="str">
        <f aca="false">IF(B5132="","","brand")</f>
        <v/>
      </c>
      <c r="D5132" s="23" t="str">
        <f aca="false">IF(B5132="","",IFERROR(INDEX(Brand_Log!$DV$2:$DV$201,MATCH(IFERROR(INDEX(Clay_Brands!$A$2:$FZ$601,481,Sync!$D$5)&amp;"",""),Brand_Log!$A$2:$A$201,0))&amp;"",IFERROR(INDEX(Clay_Brands!$A$2:$FZ$601,481,Sync!$D$5)&amp;"","")&amp;""))</f>
        <v/>
      </c>
      <c r="E5132" s="23" t="str">
        <f aca="false">IF(B5132="","",IFERROR(INDEX(Clay_Brands!$A$2:$FZ$601,481,Sync!$D$6)&amp;"",""))</f>
        <v/>
      </c>
      <c r="F5132" s="23" t="str">
        <f aca="false">IF(B5132="","","outreach_sent")</f>
        <v/>
      </c>
      <c r="G5132" s="23" t="str">
        <f aca="false">IF(B5132="","","")</f>
        <v/>
      </c>
      <c r="H5132" s="23" t="str">
        <f aca="false">IF(B5132="","","")</f>
        <v/>
      </c>
      <c r="I5132" s="23" t="str">
        <f aca="false">IF(B5132="","","")</f>
        <v/>
      </c>
      <c r="J5132" s="23" t="str">
        <f aca="false">IF(B5132="","","touch_3; "&amp;IFERROR(INDEX(Clay_Brands!$A$2:$FZ$601,481,Sync!$D$10)&amp;"","")&amp;"; "&amp;IFERROR(INDEX(Clay_Brands!$A$2:$FZ$601,481,Sync!$D$9)&amp;"",""))</f>
        <v/>
      </c>
      <c r="K5132" s="32" t="s">
        <v>1368</v>
      </c>
    </row>
    <row r="5133" customFormat="false" ht="15" hidden="false" customHeight="false" outlineLevel="0" collapsed="false">
      <c r="A5133" s="23" t="str">
        <f aca="false">IF(B5133="","",B5133+(17*1000+482)/10000000)</f>
        <v/>
      </c>
      <c r="B5133" s="35" t="str">
        <f aca="false">IF(AND(IFERROR(N(INDEX(Clay_Brands!$A$2:$FZ$601,482,Sync!$D$13)),0)&gt;0,IFERROR(INDEX(Clay_Brands!$A$2:$FZ$601,482,Sync!$D$5)&amp;"","")&lt;&gt;"",OR(LEFT(IFERROR(INDEX(Clay_Brands!$A$2:$FZ$601,482,Sync!$D$5)&amp;"",""),6)&lt;&gt;"SAMPLE",Config!$B$19="Y")),IFERROR(N(INDEX(Clay_Brands!$A$2:$FZ$601,482,Sync!$D$13)),0),"")</f>
        <v/>
      </c>
      <c r="C5133" s="23" t="str">
        <f aca="false">IF(B5133="","","brand")</f>
        <v/>
      </c>
      <c r="D5133" s="23" t="str">
        <f aca="false">IF(B5133="","",IFERROR(INDEX(Brand_Log!$DV$2:$DV$201,MATCH(IFERROR(INDEX(Clay_Brands!$A$2:$FZ$601,482,Sync!$D$5)&amp;"",""),Brand_Log!$A$2:$A$201,0))&amp;"",IFERROR(INDEX(Clay_Brands!$A$2:$FZ$601,482,Sync!$D$5)&amp;"","")&amp;""))</f>
        <v/>
      </c>
      <c r="E5133" s="23" t="str">
        <f aca="false">IF(B5133="","",IFERROR(INDEX(Clay_Brands!$A$2:$FZ$601,482,Sync!$D$6)&amp;"",""))</f>
        <v/>
      </c>
      <c r="F5133" s="23" t="str">
        <f aca="false">IF(B5133="","","outreach_sent")</f>
        <v/>
      </c>
      <c r="G5133" s="23" t="str">
        <f aca="false">IF(B5133="","","")</f>
        <v/>
      </c>
      <c r="H5133" s="23" t="str">
        <f aca="false">IF(B5133="","","")</f>
        <v/>
      </c>
      <c r="I5133" s="23" t="str">
        <f aca="false">IF(B5133="","","")</f>
        <v/>
      </c>
      <c r="J5133" s="23" t="str">
        <f aca="false">IF(B5133="","","touch_3; "&amp;IFERROR(INDEX(Clay_Brands!$A$2:$FZ$601,482,Sync!$D$10)&amp;"","")&amp;"; "&amp;IFERROR(INDEX(Clay_Brands!$A$2:$FZ$601,482,Sync!$D$9)&amp;"",""))</f>
        <v/>
      </c>
      <c r="K5133" s="32" t="s">
        <v>1368</v>
      </c>
    </row>
    <row r="5134" customFormat="false" ht="15" hidden="false" customHeight="false" outlineLevel="0" collapsed="false">
      <c r="A5134" s="23" t="str">
        <f aca="false">IF(B5134="","",B5134+(17*1000+483)/10000000)</f>
        <v/>
      </c>
      <c r="B5134" s="35" t="str">
        <f aca="false">IF(AND(IFERROR(N(INDEX(Clay_Brands!$A$2:$FZ$601,483,Sync!$D$13)),0)&gt;0,IFERROR(INDEX(Clay_Brands!$A$2:$FZ$601,483,Sync!$D$5)&amp;"","")&lt;&gt;"",OR(LEFT(IFERROR(INDEX(Clay_Brands!$A$2:$FZ$601,483,Sync!$D$5)&amp;"",""),6)&lt;&gt;"SAMPLE",Config!$B$19="Y")),IFERROR(N(INDEX(Clay_Brands!$A$2:$FZ$601,483,Sync!$D$13)),0),"")</f>
        <v/>
      </c>
      <c r="C5134" s="23" t="str">
        <f aca="false">IF(B5134="","","brand")</f>
        <v/>
      </c>
      <c r="D5134" s="23" t="str">
        <f aca="false">IF(B5134="","",IFERROR(INDEX(Brand_Log!$DV$2:$DV$201,MATCH(IFERROR(INDEX(Clay_Brands!$A$2:$FZ$601,483,Sync!$D$5)&amp;"",""),Brand_Log!$A$2:$A$201,0))&amp;"",IFERROR(INDEX(Clay_Brands!$A$2:$FZ$601,483,Sync!$D$5)&amp;"","")&amp;""))</f>
        <v/>
      </c>
      <c r="E5134" s="23" t="str">
        <f aca="false">IF(B5134="","",IFERROR(INDEX(Clay_Brands!$A$2:$FZ$601,483,Sync!$D$6)&amp;"",""))</f>
        <v/>
      </c>
      <c r="F5134" s="23" t="str">
        <f aca="false">IF(B5134="","","outreach_sent")</f>
        <v/>
      </c>
      <c r="G5134" s="23" t="str">
        <f aca="false">IF(B5134="","","")</f>
        <v/>
      </c>
      <c r="H5134" s="23" t="str">
        <f aca="false">IF(B5134="","","")</f>
        <v/>
      </c>
      <c r="I5134" s="23" t="str">
        <f aca="false">IF(B5134="","","")</f>
        <v/>
      </c>
      <c r="J5134" s="23" t="str">
        <f aca="false">IF(B5134="","","touch_3; "&amp;IFERROR(INDEX(Clay_Brands!$A$2:$FZ$601,483,Sync!$D$10)&amp;"","")&amp;"; "&amp;IFERROR(INDEX(Clay_Brands!$A$2:$FZ$601,483,Sync!$D$9)&amp;"",""))</f>
        <v/>
      </c>
      <c r="K5134" s="32" t="s">
        <v>1368</v>
      </c>
    </row>
    <row r="5135" customFormat="false" ht="15" hidden="false" customHeight="false" outlineLevel="0" collapsed="false">
      <c r="A5135" s="23" t="str">
        <f aca="false">IF(B5135="","",B5135+(17*1000+484)/10000000)</f>
        <v/>
      </c>
      <c r="B5135" s="35" t="str">
        <f aca="false">IF(AND(IFERROR(N(INDEX(Clay_Brands!$A$2:$FZ$601,484,Sync!$D$13)),0)&gt;0,IFERROR(INDEX(Clay_Brands!$A$2:$FZ$601,484,Sync!$D$5)&amp;"","")&lt;&gt;"",OR(LEFT(IFERROR(INDEX(Clay_Brands!$A$2:$FZ$601,484,Sync!$D$5)&amp;"",""),6)&lt;&gt;"SAMPLE",Config!$B$19="Y")),IFERROR(N(INDEX(Clay_Brands!$A$2:$FZ$601,484,Sync!$D$13)),0),"")</f>
        <v/>
      </c>
      <c r="C5135" s="23" t="str">
        <f aca="false">IF(B5135="","","brand")</f>
        <v/>
      </c>
      <c r="D5135" s="23" t="str">
        <f aca="false">IF(B5135="","",IFERROR(INDEX(Brand_Log!$DV$2:$DV$201,MATCH(IFERROR(INDEX(Clay_Brands!$A$2:$FZ$601,484,Sync!$D$5)&amp;"",""),Brand_Log!$A$2:$A$201,0))&amp;"",IFERROR(INDEX(Clay_Brands!$A$2:$FZ$601,484,Sync!$D$5)&amp;"","")&amp;""))</f>
        <v/>
      </c>
      <c r="E5135" s="23" t="str">
        <f aca="false">IF(B5135="","",IFERROR(INDEX(Clay_Brands!$A$2:$FZ$601,484,Sync!$D$6)&amp;"",""))</f>
        <v/>
      </c>
      <c r="F5135" s="23" t="str">
        <f aca="false">IF(B5135="","","outreach_sent")</f>
        <v/>
      </c>
      <c r="G5135" s="23" t="str">
        <f aca="false">IF(B5135="","","")</f>
        <v/>
      </c>
      <c r="H5135" s="23" t="str">
        <f aca="false">IF(B5135="","","")</f>
        <v/>
      </c>
      <c r="I5135" s="23" t="str">
        <f aca="false">IF(B5135="","","")</f>
        <v/>
      </c>
      <c r="J5135" s="23" t="str">
        <f aca="false">IF(B5135="","","touch_3; "&amp;IFERROR(INDEX(Clay_Brands!$A$2:$FZ$601,484,Sync!$D$10)&amp;"","")&amp;"; "&amp;IFERROR(INDEX(Clay_Brands!$A$2:$FZ$601,484,Sync!$D$9)&amp;"",""))</f>
        <v/>
      </c>
      <c r="K5135" s="32" t="s">
        <v>1368</v>
      </c>
    </row>
    <row r="5136" customFormat="false" ht="15" hidden="false" customHeight="false" outlineLevel="0" collapsed="false">
      <c r="A5136" s="23" t="str">
        <f aca="false">IF(B5136="","",B5136+(17*1000+485)/10000000)</f>
        <v/>
      </c>
      <c r="B5136" s="35" t="str">
        <f aca="false">IF(AND(IFERROR(N(INDEX(Clay_Brands!$A$2:$FZ$601,485,Sync!$D$13)),0)&gt;0,IFERROR(INDEX(Clay_Brands!$A$2:$FZ$601,485,Sync!$D$5)&amp;"","")&lt;&gt;"",OR(LEFT(IFERROR(INDEX(Clay_Brands!$A$2:$FZ$601,485,Sync!$D$5)&amp;"",""),6)&lt;&gt;"SAMPLE",Config!$B$19="Y")),IFERROR(N(INDEX(Clay_Brands!$A$2:$FZ$601,485,Sync!$D$13)),0),"")</f>
        <v/>
      </c>
      <c r="C5136" s="23" t="str">
        <f aca="false">IF(B5136="","","brand")</f>
        <v/>
      </c>
      <c r="D5136" s="23" t="str">
        <f aca="false">IF(B5136="","",IFERROR(INDEX(Brand_Log!$DV$2:$DV$201,MATCH(IFERROR(INDEX(Clay_Brands!$A$2:$FZ$601,485,Sync!$D$5)&amp;"",""),Brand_Log!$A$2:$A$201,0))&amp;"",IFERROR(INDEX(Clay_Brands!$A$2:$FZ$601,485,Sync!$D$5)&amp;"","")&amp;""))</f>
        <v/>
      </c>
      <c r="E5136" s="23" t="str">
        <f aca="false">IF(B5136="","",IFERROR(INDEX(Clay_Brands!$A$2:$FZ$601,485,Sync!$D$6)&amp;"",""))</f>
        <v/>
      </c>
      <c r="F5136" s="23" t="str">
        <f aca="false">IF(B5136="","","outreach_sent")</f>
        <v/>
      </c>
      <c r="G5136" s="23" t="str">
        <f aca="false">IF(B5136="","","")</f>
        <v/>
      </c>
      <c r="H5136" s="23" t="str">
        <f aca="false">IF(B5136="","","")</f>
        <v/>
      </c>
      <c r="I5136" s="23" t="str">
        <f aca="false">IF(B5136="","","")</f>
        <v/>
      </c>
      <c r="J5136" s="23" t="str">
        <f aca="false">IF(B5136="","","touch_3; "&amp;IFERROR(INDEX(Clay_Brands!$A$2:$FZ$601,485,Sync!$D$10)&amp;"","")&amp;"; "&amp;IFERROR(INDEX(Clay_Brands!$A$2:$FZ$601,485,Sync!$D$9)&amp;"",""))</f>
        <v/>
      </c>
      <c r="K5136" s="32" t="s">
        <v>1368</v>
      </c>
    </row>
    <row r="5137" customFormat="false" ht="15" hidden="false" customHeight="false" outlineLevel="0" collapsed="false">
      <c r="A5137" s="23" t="str">
        <f aca="false">IF(B5137="","",B5137+(17*1000+486)/10000000)</f>
        <v/>
      </c>
      <c r="B5137" s="35" t="str">
        <f aca="false">IF(AND(IFERROR(N(INDEX(Clay_Brands!$A$2:$FZ$601,486,Sync!$D$13)),0)&gt;0,IFERROR(INDEX(Clay_Brands!$A$2:$FZ$601,486,Sync!$D$5)&amp;"","")&lt;&gt;"",OR(LEFT(IFERROR(INDEX(Clay_Brands!$A$2:$FZ$601,486,Sync!$D$5)&amp;"",""),6)&lt;&gt;"SAMPLE",Config!$B$19="Y")),IFERROR(N(INDEX(Clay_Brands!$A$2:$FZ$601,486,Sync!$D$13)),0),"")</f>
        <v/>
      </c>
      <c r="C5137" s="23" t="str">
        <f aca="false">IF(B5137="","","brand")</f>
        <v/>
      </c>
      <c r="D5137" s="23" t="str">
        <f aca="false">IF(B5137="","",IFERROR(INDEX(Brand_Log!$DV$2:$DV$201,MATCH(IFERROR(INDEX(Clay_Brands!$A$2:$FZ$601,486,Sync!$D$5)&amp;"",""),Brand_Log!$A$2:$A$201,0))&amp;"",IFERROR(INDEX(Clay_Brands!$A$2:$FZ$601,486,Sync!$D$5)&amp;"","")&amp;""))</f>
        <v/>
      </c>
      <c r="E5137" s="23" t="str">
        <f aca="false">IF(B5137="","",IFERROR(INDEX(Clay_Brands!$A$2:$FZ$601,486,Sync!$D$6)&amp;"",""))</f>
        <v/>
      </c>
      <c r="F5137" s="23" t="str">
        <f aca="false">IF(B5137="","","outreach_sent")</f>
        <v/>
      </c>
      <c r="G5137" s="23" t="str">
        <f aca="false">IF(B5137="","","")</f>
        <v/>
      </c>
      <c r="H5137" s="23" t="str">
        <f aca="false">IF(B5137="","","")</f>
        <v/>
      </c>
      <c r="I5137" s="23" t="str">
        <f aca="false">IF(B5137="","","")</f>
        <v/>
      </c>
      <c r="J5137" s="23" t="str">
        <f aca="false">IF(B5137="","","touch_3; "&amp;IFERROR(INDEX(Clay_Brands!$A$2:$FZ$601,486,Sync!$D$10)&amp;"","")&amp;"; "&amp;IFERROR(INDEX(Clay_Brands!$A$2:$FZ$601,486,Sync!$D$9)&amp;"",""))</f>
        <v/>
      </c>
      <c r="K5137" s="32" t="s">
        <v>1368</v>
      </c>
    </row>
    <row r="5138" customFormat="false" ht="15" hidden="false" customHeight="false" outlineLevel="0" collapsed="false">
      <c r="A5138" s="23" t="str">
        <f aca="false">IF(B5138="","",B5138+(17*1000+487)/10000000)</f>
        <v/>
      </c>
      <c r="B5138" s="35" t="str">
        <f aca="false">IF(AND(IFERROR(N(INDEX(Clay_Brands!$A$2:$FZ$601,487,Sync!$D$13)),0)&gt;0,IFERROR(INDEX(Clay_Brands!$A$2:$FZ$601,487,Sync!$D$5)&amp;"","")&lt;&gt;"",OR(LEFT(IFERROR(INDEX(Clay_Brands!$A$2:$FZ$601,487,Sync!$D$5)&amp;"",""),6)&lt;&gt;"SAMPLE",Config!$B$19="Y")),IFERROR(N(INDEX(Clay_Brands!$A$2:$FZ$601,487,Sync!$D$13)),0),"")</f>
        <v/>
      </c>
      <c r="C5138" s="23" t="str">
        <f aca="false">IF(B5138="","","brand")</f>
        <v/>
      </c>
      <c r="D5138" s="23" t="str">
        <f aca="false">IF(B5138="","",IFERROR(INDEX(Brand_Log!$DV$2:$DV$201,MATCH(IFERROR(INDEX(Clay_Brands!$A$2:$FZ$601,487,Sync!$D$5)&amp;"",""),Brand_Log!$A$2:$A$201,0))&amp;"",IFERROR(INDEX(Clay_Brands!$A$2:$FZ$601,487,Sync!$D$5)&amp;"","")&amp;""))</f>
        <v/>
      </c>
      <c r="E5138" s="23" t="str">
        <f aca="false">IF(B5138="","",IFERROR(INDEX(Clay_Brands!$A$2:$FZ$601,487,Sync!$D$6)&amp;"",""))</f>
        <v/>
      </c>
      <c r="F5138" s="23" t="str">
        <f aca="false">IF(B5138="","","outreach_sent")</f>
        <v/>
      </c>
      <c r="G5138" s="23" t="str">
        <f aca="false">IF(B5138="","","")</f>
        <v/>
      </c>
      <c r="H5138" s="23" t="str">
        <f aca="false">IF(B5138="","","")</f>
        <v/>
      </c>
      <c r="I5138" s="23" t="str">
        <f aca="false">IF(B5138="","","")</f>
        <v/>
      </c>
      <c r="J5138" s="23" t="str">
        <f aca="false">IF(B5138="","","touch_3; "&amp;IFERROR(INDEX(Clay_Brands!$A$2:$FZ$601,487,Sync!$D$10)&amp;"","")&amp;"; "&amp;IFERROR(INDEX(Clay_Brands!$A$2:$FZ$601,487,Sync!$D$9)&amp;"",""))</f>
        <v/>
      </c>
      <c r="K5138" s="32" t="s">
        <v>1368</v>
      </c>
    </row>
    <row r="5139" customFormat="false" ht="15" hidden="false" customHeight="false" outlineLevel="0" collapsed="false">
      <c r="A5139" s="23" t="str">
        <f aca="false">IF(B5139="","",B5139+(17*1000+488)/10000000)</f>
        <v/>
      </c>
      <c r="B5139" s="35" t="str">
        <f aca="false">IF(AND(IFERROR(N(INDEX(Clay_Brands!$A$2:$FZ$601,488,Sync!$D$13)),0)&gt;0,IFERROR(INDEX(Clay_Brands!$A$2:$FZ$601,488,Sync!$D$5)&amp;"","")&lt;&gt;"",OR(LEFT(IFERROR(INDEX(Clay_Brands!$A$2:$FZ$601,488,Sync!$D$5)&amp;"",""),6)&lt;&gt;"SAMPLE",Config!$B$19="Y")),IFERROR(N(INDEX(Clay_Brands!$A$2:$FZ$601,488,Sync!$D$13)),0),"")</f>
        <v/>
      </c>
      <c r="C5139" s="23" t="str">
        <f aca="false">IF(B5139="","","brand")</f>
        <v/>
      </c>
      <c r="D5139" s="23" t="str">
        <f aca="false">IF(B5139="","",IFERROR(INDEX(Brand_Log!$DV$2:$DV$201,MATCH(IFERROR(INDEX(Clay_Brands!$A$2:$FZ$601,488,Sync!$D$5)&amp;"",""),Brand_Log!$A$2:$A$201,0))&amp;"",IFERROR(INDEX(Clay_Brands!$A$2:$FZ$601,488,Sync!$D$5)&amp;"","")&amp;""))</f>
        <v/>
      </c>
      <c r="E5139" s="23" t="str">
        <f aca="false">IF(B5139="","",IFERROR(INDEX(Clay_Brands!$A$2:$FZ$601,488,Sync!$D$6)&amp;"",""))</f>
        <v/>
      </c>
      <c r="F5139" s="23" t="str">
        <f aca="false">IF(B5139="","","outreach_sent")</f>
        <v/>
      </c>
      <c r="G5139" s="23" t="str">
        <f aca="false">IF(B5139="","","")</f>
        <v/>
      </c>
      <c r="H5139" s="23" t="str">
        <f aca="false">IF(B5139="","","")</f>
        <v/>
      </c>
      <c r="I5139" s="23" t="str">
        <f aca="false">IF(B5139="","","")</f>
        <v/>
      </c>
      <c r="J5139" s="23" t="str">
        <f aca="false">IF(B5139="","","touch_3; "&amp;IFERROR(INDEX(Clay_Brands!$A$2:$FZ$601,488,Sync!$D$10)&amp;"","")&amp;"; "&amp;IFERROR(INDEX(Clay_Brands!$A$2:$FZ$601,488,Sync!$D$9)&amp;"",""))</f>
        <v/>
      </c>
      <c r="K5139" s="32" t="s">
        <v>1368</v>
      </c>
    </row>
    <row r="5140" customFormat="false" ht="15" hidden="false" customHeight="false" outlineLevel="0" collapsed="false">
      <c r="A5140" s="23" t="str">
        <f aca="false">IF(B5140="","",B5140+(17*1000+489)/10000000)</f>
        <v/>
      </c>
      <c r="B5140" s="35" t="str">
        <f aca="false">IF(AND(IFERROR(N(INDEX(Clay_Brands!$A$2:$FZ$601,489,Sync!$D$13)),0)&gt;0,IFERROR(INDEX(Clay_Brands!$A$2:$FZ$601,489,Sync!$D$5)&amp;"","")&lt;&gt;"",OR(LEFT(IFERROR(INDEX(Clay_Brands!$A$2:$FZ$601,489,Sync!$D$5)&amp;"",""),6)&lt;&gt;"SAMPLE",Config!$B$19="Y")),IFERROR(N(INDEX(Clay_Brands!$A$2:$FZ$601,489,Sync!$D$13)),0),"")</f>
        <v/>
      </c>
      <c r="C5140" s="23" t="str">
        <f aca="false">IF(B5140="","","brand")</f>
        <v/>
      </c>
      <c r="D5140" s="23" t="str">
        <f aca="false">IF(B5140="","",IFERROR(INDEX(Brand_Log!$DV$2:$DV$201,MATCH(IFERROR(INDEX(Clay_Brands!$A$2:$FZ$601,489,Sync!$D$5)&amp;"",""),Brand_Log!$A$2:$A$201,0))&amp;"",IFERROR(INDEX(Clay_Brands!$A$2:$FZ$601,489,Sync!$D$5)&amp;"","")&amp;""))</f>
        <v/>
      </c>
      <c r="E5140" s="23" t="str">
        <f aca="false">IF(B5140="","",IFERROR(INDEX(Clay_Brands!$A$2:$FZ$601,489,Sync!$D$6)&amp;"",""))</f>
        <v/>
      </c>
      <c r="F5140" s="23" t="str">
        <f aca="false">IF(B5140="","","outreach_sent")</f>
        <v/>
      </c>
      <c r="G5140" s="23" t="str">
        <f aca="false">IF(B5140="","","")</f>
        <v/>
      </c>
      <c r="H5140" s="23" t="str">
        <f aca="false">IF(B5140="","","")</f>
        <v/>
      </c>
      <c r="I5140" s="23" t="str">
        <f aca="false">IF(B5140="","","")</f>
        <v/>
      </c>
      <c r="J5140" s="23" t="str">
        <f aca="false">IF(B5140="","","touch_3; "&amp;IFERROR(INDEX(Clay_Brands!$A$2:$FZ$601,489,Sync!$D$10)&amp;"","")&amp;"; "&amp;IFERROR(INDEX(Clay_Brands!$A$2:$FZ$601,489,Sync!$D$9)&amp;"",""))</f>
        <v/>
      </c>
      <c r="K5140" s="32" t="s">
        <v>1368</v>
      </c>
    </row>
    <row r="5141" customFormat="false" ht="15" hidden="false" customHeight="false" outlineLevel="0" collapsed="false">
      <c r="A5141" s="23" t="str">
        <f aca="false">IF(B5141="","",B5141+(17*1000+490)/10000000)</f>
        <v/>
      </c>
      <c r="B5141" s="35" t="str">
        <f aca="false">IF(AND(IFERROR(N(INDEX(Clay_Brands!$A$2:$FZ$601,490,Sync!$D$13)),0)&gt;0,IFERROR(INDEX(Clay_Brands!$A$2:$FZ$601,490,Sync!$D$5)&amp;"","")&lt;&gt;"",OR(LEFT(IFERROR(INDEX(Clay_Brands!$A$2:$FZ$601,490,Sync!$D$5)&amp;"",""),6)&lt;&gt;"SAMPLE",Config!$B$19="Y")),IFERROR(N(INDEX(Clay_Brands!$A$2:$FZ$601,490,Sync!$D$13)),0),"")</f>
        <v/>
      </c>
      <c r="C5141" s="23" t="str">
        <f aca="false">IF(B5141="","","brand")</f>
        <v/>
      </c>
      <c r="D5141" s="23" t="str">
        <f aca="false">IF(B5141="","",IFERROR(INDEX(Brand_Log!$DV$2:$DV$201,MATCH(IFERROR(INDEX(Clay_Brands!$A$2:$FZ$601,490,Sync!$D$5)&amp;"",""),Brand_Log!$A$2:$A$201,0))&amp;"",IFERROR(INDEX(Clay_Brands!$A$2:$FZ$601,490,Sync!$D$5)&amp;"","")&amp;""))</f>
        <v/>
      </c>
      <c r="E5141" s="23" t="str">
        <f aca="false">IF(B5141="","",IFERROR(INDEX(Clay_Brands!$A$2:$FZ$601,490,Sync!$D$6)&amp;"",""))</f>
        <v/>
      </c>
      <c r="F5141" s="23" t="str">
        <f aca="false">IF(B5141="","","outreach_sent")</f>
        <v/>
      </c>
      <c r="G5141" s="23" t="str">
        <f aca="false">IF(B5141="","","")</f>
        <v/>
      </c>
      <c r="H5141" s="23" t="str">
        <f aca="false">IF(B5141="","","")</f>
        <v/>
      </c>
      <c r="I5141" s="23" t="str">
        <f aca="false">IF(B5141="","","")</f>
        <v/>
      </c>
      <c r="J5141" s="23" t="str">
        <f aca="false">IF(B5141="","","touch_3; "&amp;IFERROR(INDEX(Clay_Brands!$A$2:$FZ$601,490,Sync!$D$10)&amp;"","")&amp;"; "&amp;IFERROR(INDEX(Clay_Brands!$A$2:$FZ$601,490,Sync!$D$9)&amp;"",""))</f>
        <v/>
      </c>
      <c r="K5141" s="32" t="s">
        <v>1368</v>
      </c>
    </row>
    <row r="5142" customFormat="false" ht="15" hidden="false" customHeight="false" outlineLevel="0" collapsed="false">
      <c r="A5142" s="23" t="str">
        <f aca="false">IF(B5142="","",B5142+(17*1000+491)/10000000)</f>
        <v/>
      </c>
      <c r="B5142" s="35" t="str">
        <f aca="false">IF(AND(IFERROR(N(INDEX(Clay_Brands!$A$2:$FZ$601,491,Sync!$D$13)),0)&gt;0,IFERROR(INDEX(Clay_Brands!$A$2:$FZ$601,491,Sync!$D$5)&amp;"","")&lt;&gt;"",OR(LEFT(IFERROR(INDEX(Clay_Brands!$A$2:$FZ$601,491,Sync!$D$5)&amp;"",""),6)&lt;&gt;"SAMPLE",Config!$B$19="Y")),IFERROR(N(INDEX(Clay_Brands!$A$2:$FZ$601,491,Sync!$D$13)),0),"")</f>
        <v/>
      </c>
      <c r="C5142" s="23" t="str">
        <f aca="false">IF(B5142="","","brand")</f>
        <v/>
      </c>
      <c r="D5142" s="23" t="str">
        <f aca="false">IF(B5142="","",IFERROR(INDEX(Brand_Log!$DV$2:$DV$201,MATCH(IFERROR(INDEX(Clay_Brands!$A$2:$FZ$601,491,Sync!$D$5)&amp;"",""),Brand_Log!$A$2:$A$201,0))&amp;"",IFERROR(INDEX(Clay_Brands!$A$2:$FZ$601,491,Sync!$D$5)&amp;"","")&amp;""))</f>
        <v/>
      </c>
      <c r="E5142" s="23" t="str">
        <f aca="false">IF(B5142="","",IFERROR(INDEX(Clay_Brands!$A$2:$FZ$601,491,Sync!$D$6)&amp;"",""))</f>
        <v/>
      </c>
      <c r="F5142" s="23" t="str">
        <f aca="false">IF(B5142="","","outreach_sent")</f>
        <v/>
      </c>
      <c r="G5142" s="23" t="str">
        <f aca="false">IF(B5142="","","")</f>
        <v/>
      </c>
      <c r="H5142" s="23" t="str">
        <f aca="false">IF(B5142="","","")</f>
        <v/>
      </c>
      <c r="I5142" s="23" t="str">
        <f aca="false">IF(B5142="","","")</f>
        <v/>
      </c>
      <c r="J5142" s="23" t="str">
        <f aca="false">IF(B5142="","","touch_3; "&amp;IFERROR(INDEX(Clay_Brands!$A$2:$FZ$601,491,Sync!$D$10)&amp;"","")&amp;"; "&amp;IFERROR(INDEX(Clay_Brands!$A$2:$FZ$601,491,Sync!$D$9)&amp;"",""))</f>
        <v/>
      </c>
      <c r="K5142" s="32" t="s">
        <v>1368</v>
      </c>
    </row>
    <row r="5143" customFormat="false" ht="15" hidden="false" customHeight="false" outlineLevel="0" collapsed="false">
      <c r="A5143" s="23" t="str">
        <f aca="false">IF(B5143="","",B5143+(17*1000+492)/10000000)</f>
        <v/>
      </c>
      <c r="B5143" s="35" t="str">
        <f aca="false">IF(AND(IFERROR(N(INDEX(Clay_Brands!$A$2:$FZ$601,492,Sync!$D$13)),0)&gt;0,IFERROR(INDEX(Clay_Brands!$A$2:$FZ$601,492,Sync!$D$5)&amp;"","")&lt;&gt;"",OR(LEFT(IFERROR(INDEX(Clay_Brands!$A$2:$FZ$601,492,Sync!$D$5)&amp;"",""),6)&lt;&gt;"SAMPLE",Config!$B$19="Y")),IFERROR(N(INDEX(Clay_Brands!$A$2:$FZ$601,492,Sync!$D$13)),0),"")</f>
        <v/>
      </c>
      <c r="C5143" s="23" t="str">
        <f aca="false">IF(B5143="","","brand")</f>
        <v/>
      </c>
      <c r="D5143" s="23" t="str">
        <f aca="false">IF(B5143="","",IFERROR(INDEX(Brand_Log!$DV$2:$DV$201,MATCH(IFERROR(INDEX(Clay_Brands!$A$2:$FZ$601,492,Sync!$D$5)&amp;"",""),Brand_Log!$A$2:$A$201,0))&amp;"",IFERROR(INDEX(Clay_Brands!$A$2:$FZ$601,492,Sync!$D$5)&amp;"","")&amp;""))</f>
        <v/>
      </c>
      <c r="E5143" s="23" t="str">
        <f aca="false">IF(B5143="","",IFERROR(INDEX(Clay_Brands!$A$2:$FZ$601,492,Sync!$D$6)&amp;"",""))</f>
        <v/>
      </c>
      <c r="F5143" s="23" t="str">
        <f aca="false">IF(B5143="","","outreach_sent")</f>
        <v/>
      </c>
      <c r="G5143" s="23" t="str">
        <f aca="false">IF(B5143="","","")</f>
        <v/>
      </c>
      <c r="H5143" s="23" t="str">
        <f aca="false">IF(B5143="","","")</f>
        <v/>
      </c>
      <c r="I5143" s="23" t="str">
        <f aca="false">IF(B5143="","","")</f>
        <v/>
      </c>
      <c r="J5143" s="23" t="str">
        <f aca="false">IF(B5143="","","touch_3; "&amp;IFERROR(INDEX(Clay_Brands!$A$2:$FZ$601,492,Sync!$D$10)&amp;"","")&amp;"; "&amp;IFERROR(INDEX(Clay_Brands!$A$2:$FZ$601,492,Sync!$D$9)&amp;"",""))</f>
        <v/>
      </c>
      <c r="K5143" s="32" t="s">
        <v>1368</v>
      </c>
    </row>
    <row r="5144" customFormat="false" ht="15" hidden="false" customHeight="false" outlineLevel="0" collapsed="false">
      <c r="A5144" s="23" t="str">
        <f aca="false">IF(B5144="","",B5144+(17*1000+493)/10000000)</f>
        <v/>
      </c>
      <c r="B5144" s="35" t="str">
        <f aca="false">IF(AND(IFERROR(N(INDEX(Clay_Brands!$A$2:$FZ$601,493,Sync!$D$13)),0)&gt;0,IFERROR(INDEX(Clay_Brands!$A$2:$FZ$601,493,Sync!$D$5)&amp;"","")&lt;&gt;"",OR(LEFT(IFERROR(INDEX(Clay_Brands!$A$2:$FZ$601,493,Sync!$D$5)&amp;"",""),6)&lt;&gt;"SAMPLE",Config!$B$19="Y")),IFERROR(N(INDEX(Clay_Brands!$A$2:$FZ$601,493,Sync!$D$13)),0),"")</f>
        <v/>
      </c>
      <c r="C5144" s="23" t="str">
        <f aca="false">IF(B5144="","","brand")</f>
        <v/>
      </c>
      <c r="D5144" s="23" t="str">
        <f aca="false">IF(B5144="","",IFERROR(INDEX(Brand_Log!$DV$2:$DV$201,MATCH(IFERROR(INDEX(Clay_Brands!$A$2:$FZ$601,493,Sync!$D$5)&amp;"",""),Brand_Log!$A$2:$A$201,0))&amp;"",IFERROR(INDEX(Clay_Brands!$A$2:$FZ$601,493,Sync!$D$5)&amp;"","")&amp;""))</f>
        <v/>
      </c>
      <c r="E5144" s="23" t="str">
        <f aca="false">IF(B5144="","",IFERROR(INDEX(Clay_Brands!$A$2:$FZ$601,493,Sync!$D$6)&amp;"",""))</f>
        <v/>
      </c>
      <c r="F5144" s="23" t="str">
        <f aca="false">IF(B5144="","","outreach_sent")</f>
        <v/>
      </c>
      <c r="G5144" s="23" t="str">
        <f aca="false">IF(B5144="","","")</f>
        <v/>
      </c>
      <c r="H5144" s="23" t="str">
        <f aca="false">IF(B5144="","","")</f>
        <v/>
      </c>
      <c r="I5144" s="23" t="str">
        <f aca="false">IF(B5144="","","")</f>
        <v/>
      </c>
      <c r="J5144" s="23" t="str">
        <f aca="false">IF(B5144="","","touch_3; "&amp;IFERROR(INDEX(Clay_Brands!$A$2:$FZ$601,493,Sync!$D$10)&amp;"","")&amp;"; "&amp;IFERROR(INDEX(Clay_Brands!$A$2:$FZ$601,493,Sync!$D$9)&amp;"",""))</f>
        <v/>
      </c>
      <c r="K5144" s="32" t="s">
        <v>1368</v>
      </c>
    </row>
    <row r="5145" customFormat="false" ht="15" hidden="false" customHeight="false" outlineLevel="0" collapsed="false">
      <c r="A5145" s="23" t="str">
        <f aca="false">IF(B5145="","",B5145+(17*1000+494)/10000000)</f>
        <v/>
      </c>
      <c r="B5145" s="35" t="str">
        <f aca="false">IF(AND(IFERROR(N(INDEX(Clay_Brands!$A$2:$FZ$601,494,Sync!$D$13)),0)&gt;0,IFERROR(INDEX(Clay_Brands!$A$2:$FZ$601,494,Sync!$D$5)&amp;"","")&lt;&gt;"",OR(LEFT(IFERROR(INDEX(Clay_Brands!$A$2:$FZ$601,494,Sync!$D$5)&amp;"",""),6)&lt;&gt;"SAMPLE",Config!$B$19="Y")),IFERROR(N(INDEX(Clay_Brands!$A$2:$FZ$601,494,Sync!$D$13)),0),"")</f>
        <v/>
      </c>
      <c r="C5145" s="23" t="str">
        <f aca="false">IF(B5145="","","brand")</f>
        <v/>
      </c>
      <c r="D5145" s="23" t="str">
        <f aca="false">IF(B5145="","",IFERROR(INDEX(Brand_Log!$DV$2:$DV$201,MATCH(IFERROR(INDEX(Clay_Brands!$A$2:$FZ$601,494,Sync!$D$5)&amp;"",""),Brand_Log!$A$2:$A$201,0))&amp;"",IFERROR(INDEX(Clay_Brands!$A$2:$FZ$601,494,Sync!$D$5)&amp;"","")&amp;""))</f>
        <v/>
      </c>
      <c r="E5145" s="23" t="str">
        <f aca="false">IF(B5145="","",IFERROR(INDEX(Clay_Brands!$A$2:$FZ$601,494,Sync!$D$6)&amp;"",""))</f>
        <v/>
      </c>
      <c r="F5145" s="23" t="str">
        <f aca="false">IF(B5145="","","outreach_sent")</f>
        <v/>
      </c>
      <c r="G5145" s="23" t="str">
        <f aca="false">IF(B5145="","","")</f>
        <v/>
      </c>
      <c r="H5145" s="23" t="str">
        <f aca="false">IF(B5145="","","")</f>
        <v/>
      </c>
      <c r="I5145" s="23" t="str">
        <f aca="false">IF(B5145="","","")</f>
        <v/>
      </c>
      <c r="J5145" s="23" t="str">
        <f aca="false">IF(B5145="","","touch_3; "&amp;IFERROR(INDEX(Clay_Brands!$A$2:$FZ$601,494,Sync!$D$10)&amp;"","")&amp;"; "&amp;IFERROR(INDEX(Clay_Brands!$A$2:$FZ$601,494,Sync!$D$9)&amp;"",""))</f>
        <v/>
      </c>
      <c r="K5145" s="32" t="s">
        <v>1368</v>
      </c>
    </row>
    <row r="5146" customFormat="false" ht="15" hidden="false" customHeight="false" outlineLevel="0" collapsed="false">
      <c r="A5146" s="23" t="str">
        <f aca="false">IF(B5146="","",B5146+(17*1000+495)/10000000)</f>
        <v/>
      </c>
      <c r="B5146" s="35" t="str">
        <f aca="false">IF(AND(IFERROR(N(INDEX(Clay_Brands!$A$2:$FZ$601,495,Sync!$D$13)),0)&gt;0,IFERROR(INDEX(Clay_Brands!$A$2:$FZ$601,495,Sync!$D$5)&amp;"","")&lt;&gt;"",OR(LEFT(IFERROR(INDEX(Clay_Brands!$A$2:$FZ$601,495,Sync!$D$5)&amp;"",""),6)&lt;&gt;"SAMPLE",Config!$B$19="Y")),IFERROR(N(INDEX(Clay_Brands!$A$2:$FZ$601,495,Sync!$D$13)),0),"")</f>
        <v/>
      </c>
      <c r="C5146" s="23" t="str">
        <f aca="false">IF(B5146="","","brand")</f>
        <v/>
      </c>
      <c r="D5146" s="23" t="str">
        <f aca="false">IF(B5146="","",IFERROR(INDEX(Brand_Log!$DV$2:$DV$201,MATCH(IFERROR(INDEX(Clay_Brands!$A$2:$FZ$601,495,Sync!$D$5)&amp;"",""),Brand_Log!$A$2:$A$201,0))&amp;"",IFERROR(INDEX(Clay_Brands!$A$2:$FZ$601,495,Sync!$D$5)&amp;"","")&amp;""))</f>
        <v/>
      </c>
      <c r="E5146" s="23" t="str">
        <f aca="false">IF(B5146="","",IFERROR(INDEX(Clay_Brands!$A$2:$FZ$601,495,Sync!$D$6)&amp;"",""))</f>
        <v/>
      </c>
      <c r="F5146" s="23" t="str">
        <f aca="false">IF(B5146="","","outreach_sent")</f>
        <v/>
      </c>
      <c r="G5146" s="23" t="str">
        <f aca="false">IF(B5146="","","")</f>
        <v/>
      </c>
      <c r="H5146" s="23" t="str">
        <f aca="false">IF(B5146="","","")</f>
        <v/>
      </c>
      <c r="I5146" s="23" t="str">
        <f aca="false">IF(B5146="","","")</f>
        <v/>
      </c>
      <c r="J5146" s="23" t="str">
        <f aca="false">IF(B5146="","","touch_3; "&amp;IFERROR(INDEX(Clay_Brands!$A$2:$FZ$601,495,Sync!$D$10)&amp;"","")&amp;"; "&amp;IFERROR(INDEX(Clay_Brands!$A$2:$FZ$601,495,Sync!$D$9)&amp;"",""))</f>
        <v/>
      </c>
      <c r="K5146" s="32" t="s">
        <v>1368</v>
      </c>
    </row>
    <row r="5147" customFormat="false" ht="15" hidden="false" customHeight="false" outlineLevel="0" collapsed="false">
      <c r="A5147" s="23" t="str">
        <f aca="false">IF(B5147="","",B5147+(17*1000+496)/10000000)</f>
        <v/>
      </c>
      <c r="B5147" s="35" t="str">
        <f aca="false">IF(AND(IFERROR(N(INDEX(Clay_Brands!$A$2:$FZ$601,496,Sync!$D$13)),0)&gt;0,IFERROR(INDEX(Clay_Brands!$A$2:$FZ$601,496,Sync!$D$5)&amp;"","")&lt;&gt;"",OR(LEFT(IFERROR(INDEX(Clay_Brands!$A$2:$FZ$601,496,Sync!$D$5)&amp;"",""),6)&lt;&gt;"SAMPLE",Config!$B$19="Y")),IFERROR(N(INDEX(Clay_Brands!$A$2:$FZ$601,496,Sync!$D$13)),0),"")</f>
        <v/>
      </c>
      <c r="C5147" s="23" t="str">
        <f aca="false">IF(B5147="","","brand")</f>
        <v/>
      </c>
      <c r="D5147" s="23" t="str">
        <f aca="false">IF(B5147="","",IFERROR(INDEX(Brand_Log!$DV$2:$DV$201,MATCH(IFERROR(INDEX(Clay_Brands!$A$2:$FZ$601,496,Sync!$D$5)&amp;"",""),Brand_Log!$A$2:$A$201,0))&amp;"",IFERROR(INDEX(Clay_Brands!$A$2:$FZ$601,496,Sync!$D$5)&amp;"","")&amp;""))</f>
        <v/>
      </c>
      <c r="E5147" s="23" t="str">
        <f aca="false">IF(B5147="","",IFERROR(INDEX(Clay_Brands!$A$2:$FZ$601,496,Sync!$D$6)&amp;"",""))</f>
        <v/>
      </c>
      <c r="F5147" s="23" t="str">
        <f aca="false">IF(B5147="","","outreach_sent")</f>
        <v/>
      </c>
      <c r="G5147" s="23" t="str">
        <f aca="false">IF(B5147="","","")</f>
        <v/>
      </c>
      <c r="H5147" s="23" t="str">
        <f aca="false">IF(B5147="","","")</f>
        <v/>
      </c>
      <c r="I5147" s="23" t="str">
        <f aca="false">IF(B5147="","","")</f>
        <v/>
      </c>
      <c r="J5147" s="23" t="str">
        <f aca="false">IF(B5147="","","touch_3; "&amp;IFERROR(INDEX(Clay_Brands!$A$2:$FZ$601,496,Sync!$D$10)&amp;"","")&amp;"; "&amp;IFERROR(INDEX(Clay_Brands!$A$2:$FZ$601,496,Sync!$D$9)&amp;"",""))</f>
        <v/>
      </c>
      <c r="K5147" s="32" t="s">
        <v>1368</v>
      </c>
    </row>
    <row r="5148" customFormat="false" ht="15" hidden="false" customHeight="false" outlineLevel="0" collapsed="false">
      <c r="A5148" s="23" t="str">
        <f aca="false">IF(B5148="","",B5148+(17*1000+497)/10000000)</f>
        <v/>
      </c>
      <c r="B5148" s="35" t="str">
        <f aca="false">IF(AND(IFERROR(N(INDEX(Clay_Brands!$A$2:$FZ$601,497,Sync!$D$13)),0)&gt;0,IFERROR(INDEX(Clay_Brands!$A$2:$FZ$601,497,Sync!$D$5)&amp;"","")&lt;&gt;"",OR(LEFT(IFERROR(INDEX(Clay_Brands!$A$2:$FZ$601,497,Sync!$D$5)&amp;"",""),6)&lt;&gt;"SAMPLE",Config!$B$19="Y")),IFERROR(N(INDEX(Clay_Brands!$A$2:$FZ$601,497,Sync!$D$13)),0),"")</f>
        <v/>
      </c>
      <c r="C5148" s="23" t="str">
        <f aca="false">IF(B5148="","","brand")</f>
        <v/>
      </c>
      <c r="D5148" s="23" t="str">
        <f aca="false">IF(B5148="","",IFERROR(INDEX(Brand_Log!$DV$2:$DV$201,MATCH(IFERROR(INDEX(Clay_Brands!$A$2:$FZ$601,497,Sync!$D$5)&amp;"",""),Brand_Log!$A$2:$A$201,0))&amp;"",IFERROR(INDEX(Clay_Brands!$A$2:$FZ$601,497,Sync!$D$5)&amp;"","")&amp;""))</f>
        <v/>
      </c>
      <c r="E5148" s="23" t="str">
        <f aca="false">IF(B5148="","",IFERROR(INDEX(Clay_Brands!$A$2:$FZ$601,497,Sync!$D$6)&amp;"",""))</f>
        <v/>
      </c>
      <c r="F5148" s="23" t="str">
        <f aca="false">IF(B5148="","","outreach_sent")</f>
        <v/>
      </c>
      <c r="G5148" s="23" t="str">
        <f aca="false">IF(B5148="","","")</f>
        <v/>
      </c>
      <c r="H5148" s="23" t="str">
        <f aca="false">IF(B5148="","","")</f>
        <v/>
      </c>
      <c r="I5148" s="23" t="str">
        <f aca="false">IF(B5148="","","")</f>
        <v/>
      </c>
      <c r="J5148" s="23" t="str">
        <f aca="false">IF(B5148="","","touch_3; "&amp;IFERROR(INDEX(Clay_Brands!$A$2:$FZ$601,497,Sync!$D$10)&amp;"","")&amp;"; "&amp;IFERROR(INDEX(Clay_Brands!$A$2:$FZ$601,497,Sync!$D$9)&amp;"",""))</f>
        <v/>
      </c>
      <c r="K5148" s="32" t="s">
        <v>1368</v>
      </c>
    </row>
    <row r="5149" customFormat="false" ht="15" hidden="false" customHeight="false" outlineLevel="0" collapsed="false">
      <c r="A5149" s="23" t="str">
        <f aca="false">IF(B5149="","",B5149+(17*1000+498)/10000000)</f>
        <v/>
      </c>
      <c r="B5149" s="35" t="str">
        <f aca="false">IF(AND(IFERROR(N(INDEX(Clay_Brands!$A$2:$FZ$601,498,Sync!$D$13)),0)&gt;0,IFERROR(INDEX(Clay_Brands!$A$2:$FZ$601,498,Sync!$D$5)&amp;"","")&lt;&gt;"",OR(LEFT(IFERROR(INDEX(Clay_Brands!$A$2:$FZ$601,498,Sync!$D$5)&amp;"",""),6)&lt;&gt;"SAMPLE",Config!$B$19="Y")),IFERROR(N(INDEX(Clay_Brands!$A$2:$FZ$601,498,Sync!$D$13)),0),"")</f>
        <v/>
      </c>
      <c r="C5149" s="23" t="str">
        <f aca="false">IF(B5149="","","brand")</f>
        <v/>
      </c>
      <c r="D5149" s="23" t="str">
        <f aca="false">IF(B5149="","",IFERROR(INDEX(Brand_Log!$DV$2:$DV$201,MATCH(IFERROR(INDEX(Clay_Brands!$A$2:$FZ$601,498,Sync!$D$5)&amp;"",""),Brand_Log!$A$2:$A$201,0))&amp;"",IFERROR(INDEX(Clay_Brands!$A$2:$FZ$601,498,Sync!$D$5)&amp;"","")&amp;""))</f>
        <v/>
      </c>
      <c r="E5149" s="23" t="str">
        <f aca="false">IF(B5149="","",IFERROR(INDEX(Clay_Brands!$A$2:$FZ$601,498,Sync!$D$6)&amp;"",""))</f>
        <v/>
      </c>
      <c r="F5149" s="23" t="str">
        <f aca="false">IF(B5149="","","outreach_sent")</f>
        <v/>
      </c>
      <c r="G5149" s="23" t="str">
        <f aca="false">IF(B5149="","","")</f>
        <v/>
      </c>
      <c r="H5149" s="23" t="str">
        <f aca="false">IF(B5149="","","")</f>
        <v/>
      </c>
      <c r="I5149" s="23" t="str">
        <f aca="false">IF(B5149="","","")</f>
        <v/>
      </c>
      <c r="J5149" s="23" t="str">
        <f aca="false">IF(B5149="","","touch_3; "&amp;IFERROR(INDEX(Clay_Brands!$A$2:$FZ$601,498,Sync!$D$10)&amp;"","")&amp;"; "&amp;IFERROR(INDEX(Clay_Brands!$A$2:$FZ$601,498,Sync!$D$9)&amp;"",""))</f>
        <v/>
      </c>
      <c r="K5149" s="32" t="s">
        <v>1368</v>
      </c>
    </row>
    <row r="5150" customFormat="false" ht="15" hidden="false" customHeight="false" outlineLevel="0" collapsed="false">
      <c r="A5150" s="23" t="str">
        <f aca="false">IF(B5150="","",B5150+(17*1000+499)/10000000)</f>
        <v/>
      </c>
      <c r="B5150" s="35" t="str">
        <f aca="false">IF(AND(IFERROR(N(INDEX(Clay_Brands!$A$2:$FZ$601,499,Sync!$D$13)),0)&gt;0,IFERROR(INDEX(Clay_Brands!$A$2:$FZ$601,499,Sync!$D$5)&amp;"","")&lt;&gt;"",OR(LEFT(IFERROR(INDEX(Clay_Brands!$A$2:$FZ$601,499,Sync!$D$5)&amp;"",""),6)&lt;&gt;"SAMPLE",Config!$B$19="Y")),IFERROR(N(INDEX(Clay_Brands!$A$2:$FZ$601,499,Sync!$D$13)),0),"")</f>
        <v/>
      </c>
      <c r="C5150" s="23" t="str">
        <f aca="false">IF(B5150="","","brand")</f>
        <v/>
      </c>
      <c r="D5150" s="23" t="str">
        <f aca="false">IF(B5150="","",IFERROR(INDEX(Brand_Log!$DV$2:$DV$201,MATCH(IFERROR(INDEX(Clay_Brands!$A$2:$FZ$601,499,Sync!$D$5)&amp;"",""),Brand_Log!$A$2:$A$201,0))&amp;"",IFERROR(INDEX(Clay_Brands!$A$2:$FZ$601,499,Sync!$D$5)&amp;"","")&amp;""))</f>
        <v/>
      </c>
      <c r="E5150" s="23" t="str">
        <f aca="false">IF(B5150="","",IFERROR(INDEX(Clay_Brands!$A$2:$FZ$601,499,Sync!$D$6)&amp;"",""))</f>
        <v/>
      </c>
      <c r="F5150" s="23" t="str">
        <f aca="false">IF(B5150="","","outreach_sent")</f>
        <v/>
      </c>
      <c r="G5150" s="23" t="str">
        <f aca="false">IF(B5150="","","")</f>
        <v/>
      </c>
      <c r="H5150" s="23" t="str">
        <f aca="false">IF(B5150="","","")</f>
        <v/>
      </c>
      <c r="I5150" s="23" t="str">
        <f aca="false">IF(B5150="","","")</f>
        <v/>
      </c>
      <c r="J5150" s="23" t="str">
        <f aca="false">IF(B5150="","","touch_3; "&amp;IFERROR(INDEX(Clay_Brands!$A$2:$FZ$601,499,Sync!$D$10)&amp;"","")&amp;"; "&amp;IFERROR(INDEX(Clay_Brands!$A$2:$FZ$601,499,Sync!$D$9)&amp;"",""))</f>
        <v/>
      </c>
      <c r="K5150" s="32" t="s">
        <v>1368</v>
      </c>
    </row>
    <row r="5151" customFormat="false" ht="15" hidden="false" customHeight="false" outlineLevel="0" collapsed="false">
      <c r="A5151" s="23" t="str">
        <f aca="false">IF(B5151="","",B5151+(17*1000+500)/10000000)</f>
        <v/>
      </c>
      <c r="B5151" s="35" t="str">
        <f aca="false">IF(AND(IFERROR(N(INDEX(Clay_Brands!$A$2:$FZ$601,500,Sync!$D$13)),0)&gt;0,IFERROR(INDEX(Clay_Brands!$A$2:$FZ$601,500,Sync!$D$5)&amp;"","")&lt;&gt;"",OR(LEFT(IFERROR(INDEX(Clay_Brands!$A$2:$FZ$601,500,Sync!$D$5)&amp;"",""),6)&lt;&gt;"SAMPLE",Config!$B$19="Y")),IFERROR(N(INDEX(Clay_Brands!$A$2:$FZ$601,500,Sync!$D$13)),0),"")</f>
        <v/>
      </c>
      <c r="C5151" s="23" t="str">
        <f aca="false">IF(B5151="","","brand")</f>
        <v/>
      </c>
      <c r="D5151" s="23" t="str">
        <f aca="false">IF(B5151="","",IFERROR(INDEX(Brand_Log!$DV$2:$DV$201,MATCH(IFERROR(INDEX(Clay_Brands!$A$2:$FZ$601,500,Sync!$D$5)&amp;"",""),Brand_Log!$A$2:$A$201,0))&amp;"",IFERROR(INDEX(Clay_Brands!$A$2:$FZ$601,500,Sync!$D$5)&amp;"","")&amp;""))</f>
        <v/>
      </c>
      <c r="E5151" s="23" t="str">
        <f aca="false">IF(B5151="","",IFERROR(INDEX(Clay_Brands!$A$2:$FZ$601,500,Sync!$D$6)&amp;"",""))</f>
        <v/>
      </c>
      <c r="F5151" s="23" t="str">
        <f aca="false">IF(B5151="","","outreach_sent")</f>
        <v/>
      </c>
      <c r="G5151" s="23" t="str">
        <f aca="false">IF(B5151="","","")</f>
        <v/>
      </c>
      <c r="H5151" s="23" t="str">
        <f aca="false">IF(B5151="","","")</f>
        <v/>
      </c>
      <c r="I5151" s="23" t="str">
        <f aca="false">IF(B5151="","","")</f>
        <v/>
      </c>
      <c r="J5151" s="23" t="str">
        <f aca="false">IF(B5151="","","touch_3; "&amp;IFERROR(INDEX(Clay_Brands!$A$2:$FZ$601,500,Sync!$D$10)&amp;"","")&amp;"; "&amp;IFERROR(INDEX(Clay_Brands!$A$2:$FZ$601,500,Sync!$D$9)&amp;"",""))</f>
        <v/>
      </c>
      <c r="K5151" s="32" t="s">
        <v>1368</v>
      </c>
    </row>
    <row r="5152" customFormat="false" ht="15" hidden="false" customHeight="false" outlineLevel="0" collapsed="false">
      <c r="A5152" s="23" t="str">
        <f aca="false">IF(B5152="","",B5152+(17*1000+501)/10000000)</f>
        <v/>
      </c>
      <c r="B5152" s="35" t="str">
        <f aca="false">IF(AND(IFERROR(N(INDEX(Clay_Brands!$A$2:$FZ$601,501,Sync!$D$13)),0)&gt;0,IFERROR(INDEX(Clay_Brands!$A$2:$FZ$601,501,Sync!$D$5)&amp;"","")&lt;&gt;"",OR(LEFT(IFERROR(INDEX(Clay_Brands!$A$2:$FZ$601,501,Sync!$D$5)&amp;"",""),6)&lt;&gt;"SAMPLE",Config!$B$19="Y")),IFERROR(N(INDEX(Clay_Brands!$A$2:$FZ$601,501,Sync!$D$13)),0),"")</f>
        <v/>
      </c>
      <c r="C5152" s="23" t="str">
        <f aca="false">IF(B5152="","","brand")</f>
        <v/>
      </c>
      <c r="D5152" s="23" t="str">
        <f aca="false">IF(B5152="","",IFERROR(INDEX(Brand_Log!$DV$2:$DV$201,MATCH(IFERROR(INDEX(Clay_Brands!$A$2:$FZ$601,501,Sync!$D$5)&amp;"",""),Brand_Log!$A$2:$A$201,0))&amp;"",IFERROR(INDEX(Clay_Brands!$A$2:$FZ$601,501,Sync!$D$5)&amp;"","")&amp;""))</f>
        <v/>
      </c>
      <c r="E5152" s="23" t="str">
        <f aca="false">IF(B5152="","",IFERROR(INDEX(Clay_Brands!$A$2:$FZ$601,501,Sync!$D$6)&amp;"",""))</f>
        <v/>
      </c>
      <c r="F5152" s="23" t="str">
        <f aca="false">IF(B5152="","","outreach_sent")</f>
        <v/>
      </c>
      <c r="G5152" s="23" t="str">
        <f aca="false">IF(B5152="","","")</f>
        <v/>
      </c>
      <c r="H5152" s="23" t="str">
        <f aca="false">IF(B5152="","","")</f>
        <v/>
      </c>
      <c r="I5152" s="23" t="str">
        <f aca="false">IF(B5152="","","")</f>
        <v/>
      </c>
      <c r="J5152" s="23" t="str">
        <f aca="false">IF(B5152="","","touch_3; "&amp;IFERROR(INDEX(Clay_Brands!$A$2:$FZ$601,501,Sync!$D$10)&amp;"","")&amp;"; "&amp;IFERROR(INDEX(Clay_Brands!$A$2:$FZ$601,501,Sync!$D$9)&amp;"",""))</f>
        <v/>
      </c>
      <c r="K5152" s="32" t="s">
        <v>1368</v>
      </c>
    </row>
    <row r="5153" customFormat="false" ht="15" hidden="false" customHeight="false" outlineLevel="0" collapsed="false">
      <c r="A5153" s="23" t="str">
        <f aca="false">IF(B5153="","",B5153+(17*1000+502)/10000000)</f>
        <v/>
      </c>
      <c r="B5153" s="35" t="str">
        <f aca="false">IF(AND(IFERROR(N(INDEX(Clay_Brands!$A$2:$FZ$601,502,Sync!$D$13)),0)&gt;0,IFERROR(INDEX(Clay_Brands!$A$2:$FZ$601,502,Sync!$D$5)&amp;"","")&lt;&gt;"",OR(LEFT(IFERROR(INDEX(Clay_Brands!$A$2:$FZ$601,502,Sync!$D$5)&amp;"",""),6)&lt;&gt;"SAMPLE",Config!$B$19="Y")),IFERROR(N(INDEX(Clay_Brands!$A$2:$FZ$601,502,Sync!$D$13)),0),"")</f>
        <v/>
      </c>
      <c r="C5153" s="23" t="str">
        <f aca="false">IF(B5153="","","brand")</f>
        <v/>
      </c>
      <c r="D5153" s="23" t="str">
        <f aca="false">IF(B5153="","",IFERROR(INDEX(Brand_Log!$DV$2:$DV$201,MATCH(IFERROR(INDEX(Clay_Brands!$A$2:$FZ$601,502,Sync!$D$5)&amp;"",""),Brand_Log!$A$2:$A$201,0))&amp;"",IFERROR(INDEX(Clay_Brands!$A$2:$FZ$601,502,Sync!$D$5)&amp;"","")&amp;""))</f>
        <v/>
      </c>
      <c r="E5153" s="23" t="str">
        <f aca="false">IF(B5153="","",IFERROR(INDEX(Clay_Brands!$A$2:$FZ$601,502,Sync!$D$6)&amp;"",""))</f>
        <v/>
      </c>
      <c r="F5153" s="23" t="str">
        <f aca="false">IF(B5153="","","outreach_sent")</f>
        <v/>
      </c>
      <c r="G5153" s="23" t="str">
        <f aca="false">IF(B5153="","","")</f>
        <v/>
      </c>
      <c r="H5153" s="23" t="str">
        <f aca="false">IF(B5153="","","")</f>
        <v/>
      </c>
      <c r="I5153" s="23" t="str">
        <f aca="false">IF(B5153="","","")</f>
        <v/>
      </c>
      <c r="J5153" s="23" t="str">
        <f aca="false">IF(B5153="","","touch_3; "&amp;IFERROR(INDEX(Clay_Brands!$A$2:$FZ$601,502,Sync!$D$10)&amp;"","")&amp;"; "&amp;IFERROR(INDEX(Clay_Brands!$A$2:$FZ$601,502,Sync!$D$9)&amp;"",""))</f>
        <v/>
      </c>
      <c r="K5153" s="32" t="s">
        <v>1368</v>
      </c>
    </row>
    <row r="5154" customFormat="false" ht="15" hidden="false" customHeight="false" outlineLevel="0" collapsed="false">
      <c r="A5154" s="23" t="str">
        <f aca="false">IF(B5154="","",B5154+(17*1000+503)/10000000)</f>
        <v/>
      </c>
      <c r="B5154" s="35" t="str">
        <f aca="false">IF(AND(IFERROR(N(INDEX(Clay_Brands!$A$2:$FZ$601,503,Sync!$D$13)),0)&gt;0,IFERROR(INDEX(Clay_Brands!$A$2:$FZ$601,503,Sync!$D$5)&amp;"","")&lt;&gt;"",OR(LEFT(IFERROR(INDEX(Clay_Brands!$A$2:$FZ$601,503,Sync!$D$5)&amp;"",""),6)&lt;&gt;"SAMPLE",Config!$B$19="Y")),IFERROR(N(INDEX(Clay_Brands!$A$2:$FZ$601,503,Sync!$D$13)),0),"")</f>
        <v/>
      </c>
      <c r="C5154" s="23" t="str">
        <f aca="false">IF(B5154="","","brand")</f>
        <v/>
      </c>
      <c r="D5154" s="23" t="str">
        <f aca="false">IF(B5154="","",IFERROR(INDEX(Brand_Log!$DV$2:$DV$201,MATCH(IFERROR(INDEX(Clay_Brands!$A$2:$FZ$601,503,Sync!$D$5)&amp;"",""),Brand_Log!$A$2:$A$201,0))&amp;"",IFERROR(INDEX(Clay_Brands!$A$2:$FZ$601,503,Sync!$D$5)&amp;"","")&amp;""))</f>
        <v/>
      </c>
      <c r="E5154" s="23" t="str">
        <f aca="false">IF(B5154="","",IFERROR(INDEX(Clay_Brands!$A$2:$FZ$601,503,Sync!$D$6)&amp;"",""))</f>
        <v/>
      </c>
      <c r="F5154" s="23" t="str">
        <f aca="false">IF(B5154="","","outreach_sent")</f>
        <v/>
      </c>
      <c r="G5154" s="23" t="str">
        <f aca="false">IF(B5154="","","")</f>
        <v/>
      </c>
      <c r="H5154" s="23" t="str">
        <f aca="false">IF(B5154="","","")</f>
        <v/>
      </c>
      <c r="I5154" s="23" t="str">
        <f aca="false">IF(B5154="","","")</f>
        <v/>
      </c>
      <c r="J5154" s="23" t="str">
        <f aca="false">IF(B5154="","","touch_3; "&amp;IFERROR(INDEX(Clay_Brands!$A$2:$FZ$601,503,Sync!$D$10)&amp;"","")&amp;"; "&amp;IFERROR(INDEX(Clay_Brands!$A$2:$FZ$601,503,Sync!$D$9)&amp;"",""))</f>
        <v/>
      </c>
      <c r="K5154" s="32" t="s">
        <v>1368</v>
      </c>
    </row>
    <row r="5155" customFormat="false" ht="15" hidden="false" customHeight="false" outlineLevel="0" collapsed="false">
      <c r="A5155" s="23" t="str">
        <f aca="false">IF(B5155="","",B5155+(17*1000+504)/10000000)</f>
        <v/>
      </c>
      <c r="B5155" s="35" t="str">
        <f aca="false">IF(AND(IFERROR(N(INDEX(Clay_Brands!$A$2:$FZ$601,504,Sync!$D$13)),0)&gt;0,IFERROR(INDEX(Clay_Brands!$A$2:$FZ$601,504,Sync!$D$5)&amp;"","")&lt;&gt;"",OR(LEFT(IFERROR(INDEX(Clay_Brands!$A$2:$FZ$601,504,Sync!$D$5)&amp;"",""),6)&lt;&gt;"SAMPLE",Config!$B$19="Y")),IFERROR(N(INDEX(Clay_Brands!$A$2:$FZ$601,504,Sync!$D$13)),0),"")</f>
        <v/>
      </c>
      <c r="C5155" s="23" t="str">
        <f aca="false">IF(B5155="","","brand")</f>
        <v/>
      </c>
      <c r="D5155" s="23" t="str">
        <f aca="false">IF(B5155="","",IFERROR(INDEX(Brand_Log!$DV$2:$DV$201,MATCH(IFERROR(INDEX(Clay_Brands!$A$2:$FZ$601,504,Sync!$D$5)&amp;"",""),Brand_Log!$A$2:$A$201,0))&amp;"",IFERROR(INDEX(Clay_Brands!$A$2:$FZ$601,504,Sync!$D$5)&amp;"","")&amp;""))</f>
        <v/>
      </c>
      <c r="E5155" s="23" t="str">
        <f aca="false">IF(B5155="","",IFERROR(INDEX(Clay_Brands!$A$2:$FZ$601,504,Sync!$D$6)&amp;"",""))</f>
        <v/>
      </c>
      <c r="F5155" s="23" t="str">
        <f aca="false">IF(B5155="","","outreach_sent")</f>
        <v/>
      </c>
      <c r="G5155" s="23" t="str">
        <f aca="false">IF(B5155="","","")</f>
        <v/>
      </c>
      <c r="H5155" s="23" t="str">
        <f aca="false">IF(B5155="","","")</f>
        <v/>
      </c>
      <c r="I5155" s="23" t="str">
        <f aca="false">IF(B5155="","","")</f>
        <v/>
      </c>
      <c r="J5155" s="23" t="str">
        <f aca="false">IF(B5155="","","touch_3; "&amp;IFERROR(INDEX(Clay_Brands!$A$2:$FZ$601,504,Sync!$D$10)&amp;"","")&amp;"; "&amp;IFERROR(INDEX(Clay_Brands!$A$2:$FZ$601,504,Sync!$D$9)&amp;"",""))</f>
        <v/>
      </c>
      <c r="K5155" s="32" t="s">
        <v>1368</v>
      </c>
    </row>
    <row r="5156" customFormat="false" ht="15" hidden="false" customHeight="false" outlineLevel="0" collapsed="false">
      <c r="A5156" s="23" t="str">
        <f aca="false">IF(B5156="","",B5156+(17*1000+505)/10000000)</f>
        <v/>
      </c>
      <c r="B5156" s="35" t="str">
        <f aca="false">IF(AND(IFERROR(N(INDEX(Clay_Brands!$A$2:$FZ$601,505,Sync!$D$13)),0)&gt;0,IFERROR(INDEX(Clay_Brands!$A$2:$FZ$601,505,Sync!$D$5)&amp;"","")&lt;&gt;"",OR(LEFT(IFERROR(INDEX(Clay_Brands!$A$2:$FZ$601,505,Sync!$D$5)&amp;"",""),6)&lt;&gt;"SAMPLE",Config!$B$19="Y")),IFERROR(N(INDEX(Clay_Brands!$A$2:$FZ$601,505,Sync!$D$13)),0),"")</f>
        <v/>
      </c>
      <c r="C5156" s="23" t="str">
        <f aca="false">IF(B5156="","","brand")</f>
        <v/>
      </c>
      <c r="D5156" s="23" t="str">
        <f aca="false">IF(B5156="","",IFERROR(INDEX(Brand_Log!$DV$2:$DV$201,MATCH(IFERROR(INDEX(Clay_Brands!$A$2:$FZ$601,505,Sync!$D$5)&amp;"",""),Brand_Log!$A$2:$A$201,0))&amp;"",IFERROR(INDEX(Clay_Brands!$A$2:$FZ$601,505,Sync!$D$5)&amp;"","")&amp;""))</f>
        <v/>
      </c>
      <c r="E5156" s="23" t="str">
        <f aca="false">IF(B5156="","",IFERROR(INDEX(Clay_Brands!$A$2:$FZ$601,505,Sync!$D$6)&amp;"",""))</f>
        <v/>
      </c>
      <c r="F5156" s="23" t="str">
        <f aca="false">IF(B5156="","","outreach_sent")</f>
        <v/>
      </c>
      <c r="G5156" s="23" t="str">
        <f aca="false">IF(B5156="","","")</f>
        <v/>
      </c>
      <c r="H5156" s="23" t="str">
        <f aca="false">IF(B5156="","","")</f>
        <v/>
      </c>
      <c r="I5156" s="23" t="str">
        <f aca="false">IF(B5156="","","")</f>
        <v/>
      </c>
      <c r="J5156" s="23" t="str">
        <f aca="false">IF(B5156="","","touch_3; "&amp;IFERROR(INDEX(Clay_Brands!$A$2:$FZ$601,505,Sync!$D$10)&amp;"","")&amp;"; "&amp;IFERROR(INDEX(Clay_Brands!$A$2:$FZ$601,505,Sync!$D$9)&amp;"",""))</f>
        <v/>
      </c>
      <c r="K5156" s="32" t="s">
        <v>1368</v>
      </c>
    </row>
    <row r="5157" customFormat="false" ht="15" hidden="false" customHeight="false" outlineLevel="0" collapsed="false">
      <c r="A5157" s="23" t="str">
        <f aca="false">IF(B5157="","",B5157+(17*1000+506)/10000000)</f>
        <v/>
      </c>
      <c r="B5157" s="35" t="str">
        <f aca="false">IF(AND(IFERROR(N(INDEX(Clay_Brands!$A$2:$FZ$601,506,Sync!$D$13)),0)&gt;0,IFERROR(INDEX(Clay_Brands!$A$2:$FZ$601,506,Sync!$D$5)&amp;"","")&lt;&gt;"",OR(LEFT(IFERROR(INDEX(Clay_Brands!$A$2:$FZ$601,506,Sync!$D$5)&amp;"",""),6)&lt;&gt;"SAMPLE",Config!$B$19="Y")),IFERROR(N(INDEX(Clay_Brands!$A$2:$FZ$601,506,Sync!$D$13)),0),"")</f>
        <v/>
      </c>
      <c r="C5157" s="23" t="str">
        <f aca="false">IF(B5157="","","brand")</f>
        <v/>
      </c>
      <c r="D5157" s="23" t="str">
        <f aca="false">IF(B5157="","",IFERROR(INDEX(Brand_Log!$DV$2:$DV$201,MATCH(IFERROR(INDEX(Clay_Brands!$A$2:$FZ$601,506,Sync!$D$5)&amp;"",""),Brand_Log!$A$2:$A$201,0))&amp;"",IFERROR(INDEX(Clay_Brands!$A$2:$FZ$601,506,Sync!$D$5)&amp;"","")&amp;""))</f>
        <v/>
      </c>
      <c r="E5157" s="23" t="str">
        <f aca="false">IF(B5157="","",IFERROR(INDEX(Clay_Brands!$A$2:$FZ$601,506,Sync!$D$6)&amp;"",""))</f>
        <v/>
      </c>
      <c r="F5157" s="23" t="str">
        <f aca="false">IF(B5157="","","outreach_sent")</f>
        <v/>
      </c>
      <c r="G5157" s="23" t="str">
        <f aca="false">IF(B5157="","","")</f>
        <v/>
      </c>
      <c r="H5157" s="23" t="str">
        <f aca="false">IF(B5157="","","")</f>
        <v/>
      </c>
      <c r="I5157" s="23" t="str">
        <f aca="false">IF(B5157="","","")</f>
        <v/>
      </c>
      <c r="J5157" s="23" t="str">
        <f aca="false">IF(B5157="","","touch_3; "&amp;IFERROR(INDEX(Clay_Brands!$A$2:$FZ$601,506,Sync!$D$10)&amp;"","")&amp;"; "&amp;IFERROR(INDEX(Clay_Brands!$A$2:$FZ$601,506,Sync!$D$9)&amp;"",""))</f>
        <v/>
      </c>
      <c r="K5157" s="32" t="s">
        <v>1368</v>
      </c>
    </row>
    <row r="5158" customFormat="false" ht="15" hidden="false" customHeight="false" outlineLevel="0" collapsed="false">
      <c r="A5158" s="23" t="str">
        <f aca="false">IF(B5158="","",B5158+(17*1000+507)/10000000)</f>
        <v/>
      </c>
      <c r="B5158" s="35" t="str">
        <f aca="false">IF(AND(IFERROR(N(INDEX(Clay_Brands!$A$2:$FZ$601,507,Sync!$D$13)),0)&gt;0,IFERROR(INDEX(Clay_Brands!$A$2:$FZ$601,507,Sync!$D$5)&amp;"","")&lt;&gt;"",OR(LEFT(IFERROR(INDEX(Clay_Brands!$A$2:$FZ$601,507,Sync!$D$5)&amp;"",""),6)&lt;&gt;"SAMPLE",Config!$B$19="Y")),IFERROR(N(INDEX(Clay_Brands!$A$2:$FZ$601,507,Sync!$D$13)),0),"")</f>
        <v/>
      </c>
      <c r="C5158" s="23" t="str">
        <f aca="false">IF(B5158="","","brand")</f>
        <v/>
      </c>
      <c r="D5158" s="23" t="str">
        <f aca="false">IF(B5158="","",IFERROR(INDEX(Brand_Log!$DV$2:$DV$201,MATCH(IFERROR(INDEX(Clay_Brands!$A$2:$FZ$601,507,Sync!$D$5)&amp;"",""),Brand_Log!$A$2:$A$201,0))&amp;"",IFERROR(INDEX(Clay_Brands!$A$2:$FZ$601,507,Sync!$D$5)&amp;"","")&amp;""))</f>
        <v/>
      </c>
      <c r="E5158" s="23" t="str">
        <f aca="false">IF(B5158="","",IFERROR(INDEX(Clay_Brands!$A$2:$FZ$601,507,Sync!$D$6)&amp;"",""))</f>
        <v/>
      </c>
      <c r="F5158" s="23" t="str">
        <f aca="false">IF(B5158="","","outreach_sent")</f>
        <v/>
      </c>
      <c r="G5158" s="23" t="str">
        <f aca="false">IF(B5158="","","")</f>
        <v/>
      </c>
      <c r="H5158" s="23" t="str">
        <f aca="false">IF(B5158="","","")</f>
        <v/>
      </c>
      <c r="I5158" s="23" t="str">
        <f aca="false">IF(B5158="","","")</f>
        <v/>
      </c>
      <c r="J5158" s="23" t="str">
        <f aca="false">IF(B5158="","","touch_3; "&amp;IFERROR(INDEX(Clay_Brands!$A$2:$FZ$601,507,Sync!$D$10)&amp;"","")&amp;"; "&amp;IFERROR(INDEX(Clay_Brands!$A$2:$FZ$601,507,Sync!$D$9)&amp;"",""))</f>
        <v/>
      </c>
      <c r="K5158" s="32" t="s">
        <v>1368</v>
      </c>
    </row>
    <row r="5159" customFormat="false" ht="15" hidden="false" customHeight="false" outlineLevel="0" collapsed="false">
      <c r="A5159" s="23" t="str">
        <f aca="false">IF(B5159="","",B5159+(17*1000+508)/10000000)</f>
        <v/>
      </c>
      <c r="B5159" s="35" t="str">
        <f aca="false">IF(AND(IFERROR(N(INDEX(Clay_Brands!$A$2:$FZ$601,508,Sync!$D$13)),0)&gt;0,IFERROR(INDEX(Clay_Brands!$A$2:$FZ$601,508,Sync!$D$5)&amp;"","")&lt;&gt;"",OR(LEFT(IFERROR(INDEX(Clay_Brands!$A$2:$FZ$601,508,Sync!$D$5)&amp;"",""),6)&lt;&gt;"SAMPLE",Config!$B$19="Y")),IFERROR(N(INDEX(Clay_Brands!$A$2:$FZ$601,508,Sync!$D$13)),0),"")</f>
        <v/>
      </c>
      <c r="C5159" s="23" t="str">
        <f aca="false">IF(B5159="","","brand")</f>
        <v/>
      </c>
      <c r="D5159" s="23" t="str">
        <f aca="false">IF(B5159="","",IFERROR(INDEX(Brand_Log!$DV$2:$DV$201,MATCH(IFERROR(INDEX(Clay_Brands!$A$2:$FZ$601,508,Sync!$D$5)&amp;"",""),Brand_Log!$A$2:$A$201,0))&amp;"",IFERROR(INDEX(Clay_Brands!$A$2:$FZ$601,508,Sync!$D$5)&amp;"","")&amp;""))</f>
        <v/>
      </c>
      <c r="E5159" s="23" t="str">
        <f aca="false">IF(B5159="","",IFERROR(INDEX(Clay_Brands!$A$2:$FZ$601,508,Sync!$D$6)&amp;"",""))</f>
        <v/>
      </c>
      <c r="F5159" s="23" t="str">
        <f aca="false">IF(B5159="","","outreach_sent")</f>
        <v/>
      </c>
      <c r="G5159" s="23" t="str">
        <f aca="false">IF(B5159="","","")</f>
        <v/>
      </c>
      <c r="H5159" s="23" t="str">
        <f aca="false">IF(B5159="","","")</f>
        <v/>
      </c>
      <c r="I5159" s="23" t="str">
        <f aca="false">IF(B5159="","","")</f>
        <v/>
      </c>
      <c r="J5159" s="23" t="str">
        <f aca="false">IF(B5159="","","touch_3; "&amp;IFERROR(INDEX(Clay_Brands!$A$2:$FZ$601,508,Sync!$D$10)&amp;"","")&amp;"; "&amp;IFERROR(INDEX(Clay_Brands!$A$2:$FZ$601,508,Sync!$D$9)&amp;"",""))</f>
        <v/>
      </c>
      <c r="K5159" s="32" t="s">
        <v>1368</v>
      </c>
    </row>
    <row r="5160" customFormat="false" ht="15" hidden="false" customHeight="false" outlineLevel="0" collapsed="false">
      <c r="A5160" s="23" t="str">
        <f aca="false">IF(B5160="","",B5160+(17*1000+509)/10000000)</f>
        <v/>
      </c>
      <c r="B5160" s="35" t="str">
        <f aca="false">IF(AND(IFERROR(N(INDEX(Clay_Brands!$A$2:$FZ$601,509,Sync!$D$13)),0)&gt;0,IFERROR(INDEX(Clay_Brands!$A$2:$FZ$601,509,Sync!$D$5)&amp;"","")&lt;&gt;"",OR(LEFT(IFERROR(INDEX(Clay_Brands!$A$2:$FZ$601,509,Sync!$D$5)&amp;"",""),6)&lt;&gt;"SAMPLE",Config!$B$19="Y")),IFERROR(N(INDEX(Clay_Brands!$A$2:$FZ$601,509,Sync!$D$13)),0),"")</f>
        <v/>
      </c>
      <c r="C5160" s="23" t="str">
        <f aca="false">IF(B5160="","","brand")</f>
        <v/>
      </c>
      <c r="D5160" s="23" t="str">
        <f aca="false">IF(B5160="","",IFERROR(INDEX(Brand_Log!$DV$2:$DV$201,MATCH(IFERROR(INDEX(Clay_Brands!$A$2:$FZ$601,509,Sync!$D$5)&amp;"",""),Brand_Log!$A$2:$A$201,0))&amp;"",IFERROR(INDEX(Clay_Brands!$A$2:$FZ$601,509,Sync!$D$5)&amp;"","")&amp;""))</f>
        <v/>
      </c>
      <c r="E5160" s="23" t="str">
        <f aca="false">IF(B5160="","",IFERROR(INDEX(Clay_Brands!$A$2:$FZ$601,509,Sync!$D$6)&amp;"",""))</f>
        <v/>
      </c>
      <c r="F5160" s="23" t="str">
        <f aca="false">IF(B5160="","","outreach_sent")</f>
        <v/>
      </c>
      <c r="G5160" s="23" t="str">
        <f aca="false">IF(B5160="","","")</f>
        <v/>
      </c>
      <c r="H5160" s="23" t="str">
        <f aca="false">IF(B5160="","","")</f>
        <v/>
      </c>
      <c r="I5160" s="23" t="str">
        <f aca="false">IF(B5160="","","")</f>
        <v/>
      </c>
      <c r="J5160" s="23" t="str">
        <f aca="false">IF(B5160="","","touch_3; "&amp;IFERROR(INDEX(Clay_Brands!$A$2:$FZ$601,509,Sync!$D$10)&amp;"","")&amp;"; "&amp;IFERROR(INDEX(Clay_Brands!$A$2:$FZ$601,509,Sync!$D$9)&amp;"",""))</f>
        <v/>
      </c>
      <c r="K5160" s="32" t="s">
        <v>1368</v>
      </c>
    </row>
    <row r="5161" customFormat="false" ht="15" hidden="false" customHeight="false" outlineLevel="0" collapsed="false">
      <c r="A5161" s="23" t="str">
        <f aca="false">IF(B5161="","",B5161+(17*1000+510)/10000000)</f>
        <v/>
      </c>
      <c r="B5161" s="35" t="str">
        <f aca="false">IF(AND(IFERROR(N(INDEX(Clay_Brands!$A$2:$FZ$601,510,Sync!$D$13)),0)&gt;0,IFERROR(INDEX(Clay_Brands!$A$2:$FZ$601,510,Sync!$D$5)&amp;"","")&lt;&gt;"",OR(LEFT(IFERROR(INDEX(Clay_Brands!$A$2:$FZ$601,510,Sync!$D$5)&amp;"",""),6)&lt;&gt;"SAMPLE",Config!$B$19="Y")),IFERROR(N(INDEX(Clay_Brands!$A$2:$FZ$601,510,Sync!$D$13)),0),"")</f>
        <v/>
      </c>
      <c r="C5161" s="23" t="str">
        <f aca="false">IF(B5161="","","brand")</f>
        <v/>
      </c>
      <c r="D5161" s="23" t="str">
        <f aca="false">IF(B5161="","",IFERROR(INDEX(Brand_Log!$DV$2:$DV$201,MATCH(IFERROR(INDEX(Clay_Brands!$A$2:$FZ$601,510,Sync!$D$5)&amp;"",""),Brand_Log!$A$2:$A$201,0))&amp;"",IFERROR(INDEX(Clay_Brands!$A$2:$FZ$601,510,Sync!$D$5)&amp;"","")&amp;""))</f>
        <v/>
      </c>
      <c r="E5161" s="23" t="str">
        <f aca="false">IF(B5161="","",IFERROR(INDEX(Clay_Brands!$A$2:$FZ$601,510,Sync!$D$6)&amp;"",""))</f>
        <v/>
      </c>
      <c r="F5161" s="23" t="str">
        <f aca="false">IF(B5161="","","outreach_sent")</f>
        <v/>
      </c>
      <c r="G5161" s="23" t="str">
        <f aca="false">IF(B5161="","","")</f>
        <v/>
      </c>
      <c r="H5161" s="23" t="str">
        <f aca="false">IF(B5161="","","")</f>
        <v/>
      </c>
      <c r="I5161" s="23" t="str">
        <f aca="false">IF(B5161="","","")</f>
        <v/>
      </c>
      <c r="J5161" s="23" t="str">
        <f aca="false">IF(B5161="","","touch_3; "&amp;IFERROR(INDEX(Clay_Brands!$A$2:$FZ$601,510,Sync!$D$10)&amp;"","")&amp;"; "&amp;IFERROR(INDEX(Clay_Brands!$A$2:$FZ$601,510,Sync!$D$9)&amp;"",""))</f>
        <v/>
      </c>
      <c r="K5161" s="32" t="s">
        <v>1368</v>
      </c>
    </row>
    <row r="5162" customFormat="false" ht="15" hidden="false" customHeight="false" outlineLevel="0" collapsed="false">
      <c r="A5162" s="23" t="str">
        <f aca="false">IF(B5162="","",B5162+(17*1000+511)/10000000)</f>
        <v/>
      </c>
      <c r="B5162" s="35" t="str">
        <f aca="false">IF(AND(IFERROR(N(INDEX(Clay_Brands!$A$2:$FZ$601,511,Sync!$D$13)),0)&gt;0,IFERROR(INDEX(Clay_Brands!$A$2:$FZ$601,511,Sync!$D$5)&amp;"","")&lt;&gt;"",OR(LEFT(IFERROR(INDEX(Clay_Brands!$A$2:$FZ$601,511,Sync!$D$5)&amp;"",""),6)&lt;&gt;"SAMPLE",Config!$B$19="Y")),IFERROR(N(INDEX(Clay_Brands!$A$2:$FZ$601,511,Sync!$D$13)),0),"")</f>
        <v/>
      </c>
      <c r="C5162" s="23" t="str">
        <f aca="false">IF(B5162="","","brand")</f>
        <v/>
      </c>
      <c r="D5162" s="23" t="str">
        <f aca="false">IF(B5162="","",IFERROR(INDEX(Brand_Log!$DV$2:$DV$201,MATCH(IFERROR(INDEX(Clay_Brands!$A$2:$FZ$601,511,Sync!$D$5)&amp;"",""),Brand_Log!$A$2:$A$201,0))&amp;"",IFERROR(INDEX(Clay_Brands!$A$2:$FZ$601,511,Sync!$D$5)&amp;"","")&amp;""))</f>
        <v/>
      </c>
      <c r="E5162" s="23" t="str">
        <f aca="false">IF(B5162="","",IFERROR(INDEX(Clay_Brands!$A$2:$FZ$601,511,Sync!$D$6)&amp;"",""))</f>
        <v/>
      </c>
      <c r="F5162" s="23" t="str">
        <f aca="false">IF(B5162="","","outreach_sent")</f>
        <v/>
      </c>
      <c r="G5162" s="23" t="str">
        <f aca="false">IF(B5162="","","")</f>
        <v/>
      </c>
      <c r="H5162" s="23" t="str">
        <f aca="false">IF(B5162="","","")</f>
        <v/>
      </c>
      <c r="I5162" s="23" t="str">
        <f aca="false">IF(B5162="","","")</f>
        <v/>
      </c>
      <c r="J5162" s="23" t="str">
        <f aca="false">IF(B5162="","","touch_3; "&amp;IFERROR(INDEX(Clay_Brands!$A$2:$FZ$601,511,Sync!$D$10)&amp;"","")&amp;"; "&amp;IFERROR(INDEX(Clay_Brands!$A$2:$FZ$601,511,Sync!$D$9)&amp;"",""))</f>
        <v/>
      </c>
      <c r="K5162" s="32" t="s">
        <v>1368</v>
      </c>
    </row>
    <row r="5163" customFormat="false" ht="15" hidden="false" customHeight="false" outlineLevel="0" collapsed="false">
      <c r="A5163" s="23" t="str">
        <f aca="false">IF(B5163="","",B5163+(17*1000+512)/10000000)</f>
        <v/>
      </c>
      <c r="B5163" s="35" t="str">
        <f aca="false">IF(AND(IFERROR(N(INDEX(Clay_Brands!$A$2:$FZ$601,512,Sync!$D$13)),0)&gt;0,IFERROR(INDEX(Clay_Brands!$A$2:$FZ$601,512,Sync!$D$5)&amp;"","")&lt;&gt;"",OR(LEFT(IFERROR(INDEX(Clay_Brands!$A$2:$FZ$601,512,Sync!$D$5)&amp;"",""),6)&lt;&gt;"SAMPLE",Config!$B$19="Y")),IFERROR(N(INDEX(Clay_Brands!$A$2:$FZ$601,512,Sync!$D$13)),0),"")</f>
        <v/>
      </c>
      <c r="C5163" s="23" t="str">
        <f aca="false">IF(B5163="","","brand")</f>
        <v/>
      </c>
      <c r="D5163" s="23" t="str">
        <f aca="false">IF(B5163="","",IFERROR(INDEX(Brand_Log!$DV$2:$DV$201,MATCH(IFERROR(INDEX(Clay_Brands!$A$2:$FZ$601,512,Sync!$D$5)&amp;"",""),Brand_Log!$A$2:$A$201,0))&amp;"",IFERROR(INDEX(Clay_Brands!$A$2:$FZ$601,512,Sync!$D$5)&amp;"","")&amp;""))</f>
        <v/>
      </c>
      <c r="E5163" s="23" t="str">
        <f aca="false">IF(B5163="","",IFERROR(INDEX(Clay_Brands!$A$2:$FZ$601,512,Sync!$D$6)&amp;"",""))</f>
        <v/>
      </c>
      <c r="F5163" s="23" t="str">
        <f aca="false">IF(B5163="","","outreach_sent")</f>
        <v/>
      </c>
      <c r="G5163" s="23" t="str">
        <f aca="false">IF(B5163="","","")</f>
        <v/>
      </c>
      <c r="H5163" s="23" t="str">
        <f aca="false">IF(B5163="","","")</f>
        <v/>
      </c>
      <c r="I5163" s="23" t="str">
        <f aca="false">IF(B5163="","","")</f>
        <v/>
      </c>
      <c r="J5163" s="23" t="str">
        <f aca="false">IF(B5163="","","touch_3; "&amp;IFERROR(INDEX(Clay_Brands!$A$2:$FZ$601,512,Sync!$D$10)&amp;"","")&amp;"; "&amp;IFERROR(INDEX(Clay_Brands!$A$2:$FZ$601,512,Sync!$D$9)&amp;"",""))</f>
        <v/>
      </c>
      <c r="K5163" s="32" t="s">
        <v>1368</v>
      </c>
    </row>
    <row r="5164" customFormat="false" ht="15" hidden="false" customHeight="false" outlineLevel="0" collapsed="false">
      <c r="A5164" s="23" t="str">
        <f aca="false">IF(B5164="","",B5164+(17*1000+513)/10000000)</f>
        <v/>
      </c>
      <c r="B5164" s="35" t="str">
        <f aca="false">IF(AND(IFERROR(N(INDEX(Clay_Brands!$A$2:$FZ$601,513,Sync!$D$13)),0)&gt;0,IFERROR(INDEX(Clay_Brands!$A$2:$FZ$601,513,Sync!$D$5)&amp;"","")&lt;&gt;"",OR(LEFT(IFERROR(INDEX(Clay_Brands!$A$2:$FZ$601,513,Sync!$D$5)&amp;"",""),6)&lt;&gt;"SAMPLE",Config!$B$19="Y")),IFERROR(N(INDEX(Clay_Brands!$A$2:$FZ$601,513,Sync!$D$13)),0),"")</f>
        <v/>
      </c>
      <c r="C5164" s="23" t="str">
        <f aca="false">IF(B5164="","","brand")</f>
        <v/>
      </c>
      <c r="D5164" s="23" t="str">
        <f aca="false">IF(B5164="","",IFERROR(INDEX(Brand_Log!$DV$2:$DV$201,MATCH(IFERROR(INDEX(Clay_Brands!$A$2:$FZ$601,513,Sync!$D$5)&amp;"",""),Brand_Log!$A$2:$A$201,0))&amp;"",IFERROR(INDEX(Clay_Brands!$A$2:$FZ$601,513,Sync!$D$5)&amp;"","")&amp;""))</f>
        <v/>
      </c>
      <c r="E5164" s="23" t="str">
        <f aca="false">IF(B5164="","",IFERROR(INDEX(Clay_Brands!$A$2:$FZ$601,513,Sync!$D$6)&amp;"",""))</f>
        <v/>
      </c>
      <c r="F5164" s="23" t="str">
        <f aca="false">IF(B5164="","","outreach_sent")</f>
        <v/>
      </c>
      <c r="G5164" s="23" t="str">
        <f aca="false">IF(B5164="","","")</f>
        <v/>
      </c>
      <c r="H5164" s="23" t="str">
        <f aca="false">IF(B5164="","","")</f>
        <v/>
      </c>
      <c r="I5164" s="23" t="str">
        <f aca="false">IF(B5164="","","")</f>
        <v/>
      </c>
      <c r="J5164" s="23" t="str">
        <f aca="false">IF(B5164="","","touch_3; "&amp;IFERROR(INDEX(Clay_Brands!$A$2:$FZ$601,513,Sync!$D$10)&amp;"","")&amp;"; "&amp;IFERROR(INDEX(Clay_Brands!$A$2:$FZ$601,513,Sync!$D$9)&amp;"",""))</f>
        <v/>
      </c>
      <c r="K5164" s="32" t="s">
        <v>1368</v>
      </c>
    </row>
    <row r="5165" customFormat="false" ht="15" hidden="false" customHeight="false" outlineLevel="0" collapsed="false">
      <c r="A5165" s="23" t="str">
        <f aca="false">IF(B5165="","",B5165+(17*1000+514)/10000000)</f>
        <v/>
      </c>
      <c r="B5165" s="35" t="str">
        <f aca="false">IF(AND(IFERROR(N(INDEX(Clay_Brands!$A$2:$FZ$601,514,Sync!$D$13)),0)&gt;0,IFERROR(INDEX(Clay_Brands!$A$2:$FZ$601,514,Sync!$D$5)&amp;"","")&lt;&gt;"",OR(LEFT(IFERROR(INDEX(Clay_Brands!$A$2:$FZ$601,514,Sync!$D$5)&amp;"",""),6)&lt;&gt;"SAMPLE",Config!$B$19="Y")),IFERROR(N(INDEX(Clay_Brands!$A$2:$FZ$601,514,Sync!$D$13)),0),"")</f>
        <v/>
      </c>
      <c r="C5165" s="23" t="str">
        <f aca="false">IF(B5165="","","brand")</f>
        <v/>
      </c>
      <c r="D5165" s="23" t="str">
        <f aca="false">IF(B5165="","",IFERROR(INDEX(Brand_Log!$DV$2:$DV$201,MATCH(IFERROR(INDEX(Clay_Brands!$A$2:$FZ$601,514,Sync!$D$5)&amp;"",""),Brand_Log!$A$2:$A$201,0))&amp;"",IFERROR(INDEX(Clay_Brands!$A$2:$FZ$601,514,Sync!$D$5)&amp;"","")&amp;""))</f>
        <v/>
      </c>
      <c r="E5165" s="23" t="str">
        <f aca="false">IF(B5165="","",IFERROR(INDEX(Clay_Brands!$A$2:$FZ$601,514,Sync!$D$6)&amp;"",""))</f>
        <v/>
      </c>
      <c r="F5165" s="23" t="str">
        <f aca="false">IF(B5165="","","outreach_sent")</f>
        <v/>
      </c>
      <c r="G5165" s="23" t="str">
        <f aca="false">IF(B5165="","","")</f>
        <v/>
      </c>
      <c r="H5165" s="23" t="str">
        <f aca="false">IF(B5165="","","")</f>
        <v/>
      </c>
      <c r="I5165" s="23" t="str">
        <f aca="false">IF(B5165="","","")</f>
        <v/>
      </c>
      <c r="J5165" s="23" t="str">
        <f aca="false">IF(B5165="","","touch_3; "&amp;IFERROR(INDEX(Clay_Brands!$A$2:$FZ$601,514,Sync!$D$10)&amp;"","")&amp;"; "&amp;IFERROR(INDEX(Clay_Brands!$A$2:$FZ$601,514,Sync!$D$9)&amp;"",""))</f>
        <v/>
      </c>
      <c r="K5165" s="32" t="s">
        <v>1368</v>
      </c>
    </row>
    <row r="5166" customFormat="false" ht="15" hidden="false" customHeight="false" outlineLevel="0" collapsed="false">
      <c r="A5166" s="23" t="str">
        <f aca="false">IF(B5166="","",B5166+(17*1000+515)/10000000)</f>
        <v/>
      </c>
      <c r="B5166" s="35" t="str">
        <f aca="false">IF(AND(IFERROR(N(INDEX(Clay_Brands!$A$2:$FZ$601,515,Sync!$D$13)),0)&gt;0,IFERROR(INDEX(Clay_Brands!$A$2:$FZ$601,515,Sync!$D$5)&amp;"","")&lt;&gt;"",OR(LEFT(IFERROR(INDEX(Clay_Brands!$A$2:$FZ$601,515,Sync!$D$5)&amp;"",""),6)&lt;&gt;"SAMPLE",Config!$B$19="Y")),IFERROR(N(INDEX(Clay_Brands!$A$2:$FZ$601,515,Sync!$D$13)),0),"")</f>
        <v/>
      </c>
      <c r="C5166" s="23" t="str">
        <f aca="false">IF(B5166="","","brand")</f>
        <v/>
      </c>
      <c r="D5166" s="23" t="str">
        <f aca="false">IF(B5166="","",IFERROR(INDEX(Brand_Log!$DV$2:$DV$201,MATCH(IFERROR(INDEX(Clay_Brands!$A$2:$FZ$601,515,Sync!$D$5)&amp;"",""),Brand_Log!$A$2:$A$201,0))&amp;"",IFERROR(INDEX(Clay_Brands!$A$2:$FZ$601,515,Sync!$D$5)&amp;"","")&amp;""))</f>
        <v/>
      </c>
      <c r="E5166" s="23" t="str">
        <f aca="false">IF(B5166="","",IFERROR(INDEX(Clay_Brands!$A$2:$FZ$601,515,Sync!$D$6)&amp;"",""))</f>
        <v/>
      </c>
      <c r="F5166" s="23" t="str">
        <f aca="false">IF(B5166="","","outreach_sent")</f>
        <v/>
      </c>
      <c r="G5166" s="23" t="str">
        <f aca="false">IF(B5166="","","")</f>
        <v/>
      </c>
      <c r="H5166" s="23" t="str">
        <f aca="false">IF(B5166="","","")</f>
        <v/>
      </c>
      <c r="I5166" s="23" t="str">
        <f aca="false">IF(B5166="","","")</f>
        <v/>
      </c>
      <c r="J5166" s="23" t="str">
        <f aca="false">IF(B5166="","","touch_3; "&amp;IFERROR(INDEX(Clay_Brands!$A$2:$FZ$601,515,Sync!$D$10)&amp;"","")&amp;"; "&amp;IFERROR(INDEX(Clay_Brands!$A$2:$FZ$601,515,Sync!$D$9)&amp;"",""))</f>
        <v/>
      </c>
      <c r="K5166" s="32" t="s">
        <v>1368</v>
      </c>
    </row>
    <row r="5167" customFormat="false" ht="15" hidden="false" customHeight="false" outlineLevel="0" collapsed="false">
      <c r="A5167" s="23" t="str">
        <f aca="false">IF(B5167="","",B5167+(17*1000+516)/10000000)</f>
        <v/>
      </c>
      <c r="B5167" s="35" t="str">
        <f aca="false">IF(AND(IFERROR(N(INDEX(Clay_Brands!$A$2:$FZ$601,516,Sync!$D$13)),0)&gt;0,IFERROR(INDEX(Clay_Brands!$A$2:$FZ$601,516,Sync!$D$5)&amp;"","")&lt;&gt;"",OR(LEFT(IFERROR(INDEX(Clay_Brands!$A$2:$FZ$601,516,Sync!$D$5)&amp;"",""),6)&lt;&gt;"SAMPLE",Config!$B$19="Y")),IFERROR(N(INDEX(Clay_Brands!$A$2:$FZ$601,516,Sync!$D$13)),0),"")</f>
        <v/>
      </c>
      <c r="C5167" s="23" t="str">
        <f aca="false">IF(B5167="","","brand")</f>
        <v/>
      </c>
      <c r="D5167" s="23" t="str">
        <f aca="false">IF(B5167="","",IFERROR(INDEX(Brand_Log!$DV$2:$DV$201,MATCH(IFERROR(INDEX(Clay_Brands!$A$2:$FZ$601,516,Sync!$D$5)&amp;"",""),Brand_Log!$A$2:$A$201,0))&amp;"",IFERROR(INDEX(Clay_Brands!$A$2:$FZ$601,516,Sync!$D$5)&amp;"","")&amp;""))</f>
        <v/>
      </c>
      <c r="E5167" s="23" t="str">
        <f aca="false">IF(B5167="","",IFERROR(INDEX(Clay_Brands!$A$2:$FZ$601,516,Sync!$D$6)&amp;"",""))</f>
        <v/>
      </c>
      <c r="F5167" s="23" t="str">
        <f aca="false">IF(B5167="","","outreach_sent")</f>
        <v/>
      </c>
      <c r="G5167" s="23" t="str">
        <f aca="false">IF(B5167="","","")</f>
        <v/>
      </c>
      <c r="H5167" s="23" t="str">
        <f aca="false">IF(B5167="","","")</f>
        <v/>
      </c>
      <c r="I5167" s="23" t="str">
        <f aca="false">IF(B5167="","","")</f>
        <v/>
      </c>
      <c r="J5167" s="23" t="str">
        <f aca="false">IF(B5167="","","touch_3; "&amp;IFERROR(INDEX(Clay_Brands!$A$2:$FZ$601,516,Sync!$D$10)&amp;"","")&amp;"; "&amp;IFERROR(INDEX(Clay_Brands!$A$2:$FZ$601,516,Sync!$D$9)&amp;"",""))</f>
        <v/>
      </c>
      <c r="K5167" s="32" t="s">
        <v>1368</v>
      </c>
    </row>
    <row r="5168" customFormat="false" ht="15" hidden="false" customHeight="false" outlineLevel="0" collapsed="false">
      <c r="A5168" s="23" t="str">
        <f aca="false">IF(B5168="","",B5168+(17*1000+517)/10000000)</f>
        <v/>
      </c>
      <c r="B5168" s="35" t="str">
        <f aca="false">IF(AND(IFERROR(N(INDEX(Clay_Brands!$A$2:$FZ$601,517,Sync!$D$13)),0)&gt;0,IFERROR(INDEX(Clay_Brands!$A$2:$FZ$601,517,Sync!$D$5)&amp;"","")&lt;&gt;"",OR(LEFT(IFERROR(INDEX(Clay_Brands!$A$2:$FZ$601,517,Sync!$D$5)&amp;"",""),6)&lt;&gt;"SAMPLE",Config!$B$19="Y")),IFERROR(N(INDEX(Clay_Brands!$A$2:$FZ$601,517,Sync!$D$13)),0),"")</f>
        <v/>
      </c>
      <c r="C5168" s="23" t="str">
        <f aca="false">IF(B5168="","","brand")</f>
        <v/>
      </c>
      <c r="D5168" s="23" t="str">
        <f aca="false">IF(B5168="","",IFERROR(INDEX(Brand_Log!$DV$2:$DV$201,MATCH(IFERROR(INDEX(Clay_Brands!$A$2:$FZ$601,517,Sync!$D$5)&amp;"",""),Brand_Log!$A$2:$A$201,0))&amp;"",IFERROR(INDEX(Clay_Brands!$A$2:$FZ$601,517,Sync!$D$5)&amp;"","")&amp;""))</f>
        <v/>
      </c>
      <c r="E5168" s="23" t="str">
        <f aca="false">IF(B5168="","",IFERROR(INDEX(Clay_Brands!$A$2:$FZ$601,517,Sync!$D$6)&amp;"",""))</f>
        <v/>
      </c>
      <c r="F5168" s="23" t="str">
        <f aca="false">IF(B5168="","","outreach_sent")</f>
        <v/>
      </c>
      <c r="G5168" s="23" t="str">
        <f aca="false">IF(B5168="","","")</f>
        <v/>
      </c>
      <c r="H5168" s="23" t="str">
        <f aca="false">IF(B5168="","","")</f>
        <v/>
      </c>
      <c r="I5168" s="23" t="str">
        <f aca="false">IF(B5168="","","")</f>
        <v/>
      </c>
      <c r="J5168" s="23" t="str">
        <f aca="false">IF(B5168="","","touch_3; "&amp;IFERROR(INDEX(Clay_Brands!$A$2:$FZ$601,517,Sync!$D$10)&amp;"","")&amp;"; "&amp;IFERROR(INDEX(Clay_Brands!$A$2:$FZ$601,517,Sync!$D$9)&amp;"",""))</f>
        <v/>
      </c>
      <c r="K5168" s="32" t="s">
        <v>1368</v>
      </c>
    </row>
    <row r="5169" customFormat="false" ht="15" hidden="false" customHeight="false" outlineLevel="0" collapsed="false">
      <c r="A5169" s="23" t="str">
        <f aca="false">IF(B5169="","",B5169+(17*1000+518)/10000000)</f>
        <v/>
      </c>
      <c r="B5169" s="35" t="str">
        <f aca="false">IF(AND(IFERROR(N(INDEX(Clay_Brands!$A$2:$FZ$601,518,Sync!$D$13)),0)&gt;0,IFERROR(INDEX(Clay_Brands!$A$2:$FZ$601,518,Sync!$D$5)&amp;"","")&lt;&gt;"",OR(LEFT(IFERROR(INDEX(Clay_Brands!$A$2:$FZ$601,518,Sync!$D$5)&amp;"",""),6)&lt;&gt;"SAMPLE",Config!$B$19="Y")),IFERROR(N(INDEX(Clay_Brands!$A$2:$FZ$601,518,Sync!$D$13)),0),"")</f>
        <v/>
      </c>
      <c r="C5169" s="23" t="str">
        <f aca="false">IF(B5169="","","brand")</f>
        <v/>
      </c>
      <c r="D5169" s="23" t="str">
        <f aca="false">IF(B5169="","",IFERROR(INDEX(Brand_Log!$DV$2:$DV$201,MATCH(IFERROR(INDEX(Clay_Brands!$A$2:$FZ$601,518,Sync!$D$5)&amp;"",""),Brand_Log!$A$2:$A$201,0))&amp;"",IFERROR(INDEX(Clay_Brands!$A$2:$FZ$601,518,Sync!$D$5)&amp;"","")&amp;""))</f>
        <v/>
      </c>
      <c r="E5169" s="23" t="str">
        <f aca="false">IF(B5169="","",IFERROR(INDEX(Clay_Brands!$A$2:$FZ$601,518,Sync!$D$6)&amp;"",""))</f>
        <v/>
      </c>
      <c r="F5169" s="23" t="str">
        <f aca="false">IF(B5169="","","outreach_sent")</f>
        <v/>
      </c>
      <c r="G5169" s="23" t="str">
        <f aca="false">IF(B5169="","","")</f>
        <v/>
      </c>
      <c r="H5169" s="23" t="str">
        <f aca="false">IF(B5169="","","")</f>
        <v/>
      </c>
      <c r="I5169" s="23" t="str">
        <f aca="false">IF(B5169="","","")</f>
        <v/>
      </c>
      <c r="J5169" s="23" t="str">
        <f aca="false">IF(B5169="","","touch_3; "&amp;IFERROR(INDEX(Clay_Brands!$A$2:$FZ$601,518,Sync!$D$10)&amp;"","")&amp;"; "&amp;IFERROR(INDEX(Clay_Brands!$A$2:$FZ$601,518,Sync!$D$9)&amp;"",""))</f>
        <v/>
      </c>
      <c r="K5169" s="32" t="s">
        <v>1368</v>
      </c>
    </row>
    <row r="5170" customFormat="false" ht="15" hidden="false" customHeight="false" outlineLevel="0" collapsed="false">
      <c r="A5170" s="23" t="str">
        <f aca="false">IF(B5170="","",B5170+(17*1000+519)/10000000)</f>
        <v/>
      </c>
      <c r="B5170" s="35" t="str">
        <f aca="false">IF(AND(IFERROR(N(INDEX(Clay_Brands!$A$2:$FZ$601,519,Sync!$D$13)),0)&gt;0,IFERROR(INDEX(Clay_Brands!$A$2:$FZ$601,519,Sync!$D$5)&amp;"","")&lt;&gt;"",OR(LEFT(IFERROR(INDEX(Clay_Brands!$A$2:$FZ$601,519,Sync!$D$5)&amp;"",""),6)&lt;&gt;"SAMPLE",Config!$B$19="Y")),IFERROR(N(INDEX(Clay_Brands!$A$2:$FZ$601,519,Sync!$D$13)),0),"")</f>
        <v/>
      </c>
      <c r="C5170" s="23" t="str">
        <f aca="false">IF(B5170="","","brand")</f>
        <v/>
      </c>
      <c r="D5170" s="23" t="str">
        <f aca="false">IF(B5170="","",IFERROR(INDEX(Brand_Log!$DV$2:$DV$201,MATCH(IFERROR(INDEX(Clay_Brands!$A$2:$FZ$601,519,Sync!$D$5)&amp;"",""),Brand_Log!$A$2:$A$201,0))&amp;"",IFERROR(INDEX(Clay_Brands!$A$2:$FZ$601,519,Sync!$D$5)&amp;"","")&amp;""))</f>
        <v/>
      </c>
      <c r="E5170" s="23" t="str">
        <f aca="false">IF(B5170="","",IFERROR(INDEX(Clay_Brands!$A$2:$FZ$601,519,Sync!$D$6)&amp;"",""))</f>
        <v/>
      </c>
      <c r="F5170" s="23" t="str">
        <f aca="false">IF(B5170="","","outreach_sent")</f>
        <v/>
      </c>
      <c r="G5170" s="23" t="str">
        <f aca="false">IF(B5170="","","")</f>
        <v/>
      </c>
      <c r="H5170" s="23" t="str">
        <f aca="false">IF(B5170="","","")</f>
        <v/>
      </c>
      <c r="I5170" s="23" t="str">
        <f aca="false">IF(B5170="","","")</f>
        <v/>
      </c>
      <c r="J5170" s="23" t="str">
        <f aca="false">IF(B5170="","","touch_3; "&amp;IFERROR(INDEX(Clay_Brands!$A$2:$FZ$601,519,Sync!$D$10)&amp;"","")&amp;"; "&amp;IFERROR(INDEX(Clay_Brands!$A$2:$FZ$601,519,Sync!$D$9)&amp;"",""))</f>
        <v/>
      </c>
      <c r="K5170" s="32" t="s">
        <v>1368</v>
      </c>
    </row>
    <row r="5171" customFormat="false" ht="15" hidden="false" customHeight="false" outlineLevel="0" collapsed="false">
      <c r="A5171" s="23" t="str">
        <f aca="false">IF(B5171="","",B5171+(17*1000+520)/10000000)</f>
        <v/>
      </c>
      <c r="B5171" s="35" t="str">
        <f aca="false">IF(AND(IFERROR(N(INDEX(Clay_Brands!$A$2:$FZ$601,520,Sync!$D$13)),0)&gt;0,IFERROR(INDEX(Clay_Brands!$A$2:$FZ$601,520,Sync!$D$5)&amp;"","")&lt;&gt;"",OR(LEFT(IFERROR(INDEX(Clay_Brands!$A$2:$FZ$601,520,Sync!$D$5)&amp;"",""),6)&lt;&gt;"SAMPLE",Config!$B$19="Y")),IFERROR(N(INDEX(Clay_Brands!$A$2:$FZ$601,520,Sync!$D$13)),0),"")</f>
        <v/>
      </c>
      <c r="C5171" s="23" t="str">
        <f aca="false">IF(B5171="","","brand")</f>
        <v/>
      </c>
      <c r="D5171" s="23" t="str">
        <f aca="false">IF(B5171="","",IFERROR(INDEX(Brand_Log!$DV$2:$DV$201,MATCH(IFERROR(INDEX(Clay_Brands!$A$2:$FZ$601,520,Sync!$D$5)&amp;"",""),Brand_Log!$A$2:$A$201,0))&amp;"",IFERROR(INDEX(Clay_Brands!$A$2:$FZ$601,520,Sync!$D$5)&amp;"","")&amp;""))</f>
        <v/>
      </c>
      <c r="E5171" s="23" t="str">
        <f aca="false">IF(B5171="","",IFERROR(INDEX(Clay_Brands!$A$2:$FZ$601,520,Sync!$D$6)&amp;"",""))</f>
        <v/>
      </c>
      <c r="F5171" s="23" t="str">
        <f aca="false">IF(B5171="","","outreach_sent")</f>
        <v/>
      </c>
      <c r="G5171" s="23" t="str">
        <f aca="false">IF(B5171="","","")</f>
        <v/>
      </c>
      <c r="H5171" s="23" t="str">
        <f aca="false">IF(B5171="","","")</f>
        <v/>
      </c>
      <c r="I5171" s="23" t="str">
        <f aca="false">IF(B5171="","","")</f>
        <v/>
      </c>
      <c r="J5171" s="23" t="str">
        <f aca="false">IF(B5171="","","touch_3; "&amp;IFERROR(INDEX(Clay_Brands!$A$2:$FZ$601,520,Sync!$D$10)&amp;"","")&amp;"; "&amp;IFERROR(INDEX(Clay_Brands!$A$2:$FZ$601,520,Sync!$D$9)&amp;"",""))</f>
        <v/>
      </c>
      <c r="K5171" s="32" t="s">
        <v>1368</v>
      </c>
    </row>
    <row r="5172" customFormat="false" ht="15" hidden="false" customHeight="false" outlineLevel="0" collapsed="false">
      <c r="A5172" s="23" t="str">
        <f aca="false">IF(B5172="","",B5172+(17*1000+521)/10000000)</f>
        <v/>
      </c>
      <c r="B5172" s="35" t="str">
        <f aca="false">IF(AND(IFERROR(N(INDEX(Clay_Brands!$A$2:$FZ$601,521,Sync!$D$13)),0)&gt;0,IFERROR(INDEX(Clay_Brands!$A$2:$FZ$601,521,Sync!$D$5)&amp;"","")&lt;&gt;"",OR(LEFT(IFERROR(INDEX(Clay_Brands!$A$2:$FZ$601,521,Sync!$D$5)&amp;"",""),6)&lt;&gt;"SAMPLE",Config!$B$19="Y")),IFERROR(N(INDEX(Clay_Brands!$A$2:$FZ$601,521,Sync!$D$13)),0),"")</f>
        <v/>
      </c>
      <c r="C5172" s="23" t="str">
        <f aca="false">IF(B5172="","","brand")</f>
        <v/>
      </c>
      <c r="D5172" s="23" t="str">
        <f aca="false">IF(B5172="","",IFERROR(INDEX(Brand_Log!$DV$2:$DV$201,MATCH(IFERROR(INDEX(Clay_Brands!$A$2:$FZ$601,521,Sync!$D$5)&amp;"",""),Brand_Log!$A$2:$A$201,0))&amp;"",IFERROR(INDEX(Clay_Brands!$A$2:$FZ$601,521,Sync!$D$5)&amp;"","")&amp;""))</f>
        <v/>
      </c>
      <c r="E5172" s="23" t="str">
        <f aca="false">IF(B5172="","",IFERROR(INDEX(Clay_Brands!$A$2:$FZ$601,521,Sync!$D$6)&amp;"",""))</f>
        <v/>
      </c>
      <c r="F5172" s="23" t="str">
        <f aca="false">IF(B5172="","","outreach_sent")</f>
        <v/>
      </c>
      <c r="G5172" s="23" t="str">
        <f aca="false">IF(B5172="","","")</f>
        <v/>
      </c>
      <c r="H5172" s="23" t="str">
        <f aca="false">IF(B5172="","","")</f>
        <v/>
      </c>
      <c r="I5172" s="23" t="str">
        <f aca="false">IF(B5172="","","")</f>
        <v/>
      </c>
      <c r="J5172" s="23" t="str">
        <f aca="false">IF(B5172="","","touch_3; "&amp;IFERROR(INDEX(Clay_Brands!$A$2:$FZ$601,521,Sync!$D$10)&amp;"","")&amp;"; "&amp;IFERROR(INDEX(Clay_Brands!$A$2:$FZ$601,521,Sync!$D$9)&amp;"",""))</f>
        <v/>
      </c>
      <c r="K5172" s="32" t="s">
        <v>1368</v>
      </c>
    </row>
    <row r="5173" customFormat="false" ht="15" hidden="false" customHeight="false" outlineLevel="0" collapsed="false">
      <c r="A5173" s="23" t="str">
        <f aca="false">IF(B5173="","",B5173+(17*1000+522)/10000000)</f>
        <v/>
      </c>
      <c r="B5173" s="35" t="str">
        <f aca="false">IF(AND(IFERROR(N(INDEX(Clay_Brands!$A$2:$FZ$601,522,Sync!$D$13)),0)&gt;0,IFERROR(INDEX(Clay_Brands!$A$2:$FZ$601,522,Sync!$D$5)&amp;"","")&lt;&gt;"",OR(LEFT(IFERROR(INDEX(Clay_Brands!$A$2:$FZ$601,522,Sync!$D$5)&amp;"",""),6)&lt;&gt;"SAMPLE",Config!$B$19="Y")),IFERROR(N(INDEX(Clay_Brands!$A$2:$FZ$601,522,Sync!$D$13)),0),"")</f>
        <v/>
      </c>
      <c r="C5173" s="23" t="str">
        <f aca="false">IF(B5173="","","brand")</f>
        <v/>
      </c>
      <c r="D5173" s="23" t="str">
        <f aca="false">IF(B5173="","",IFERROR(INDEX(Brand_Log!$DV$2:$DV$201,MATCH(IFERROR(INDEX(Clay_Brands!$A$2:$FZ$601,522,Sync!$D$5)&amp;"",""),Brand_Log!$A$2:$A$201,0))&amp;"",IFERROR(INDEX(Clay_Brands!$A$2:$FZ$601,522,Sync!$D$5)&amp;"","")&amp;""))</f>
        <v/>
      </c>
      <c r="E5173" s="23" t="str">
        <f aca="false">IF(B5173="","",IFERROR(INDEX(Clay_Brands!$A$2:$FZ$601,522,Sync!$D$6)&amp;"",""))</f>
        <v/>
      </c>
      <c r="F5173" s="23" t="str">
        <f aca="false">IF(B5173="","","outreach_sent")</f>
        <v/>
      </c>
      <c r="G5173" s="23" t="str">
        <f aca="false">IF(B5173="","","")</f>
        <v/>
      </c>
      <c r="H5173" s="23" t="str">
        <f aca="false">IF(B5173="","","")</f>
        <v/>
      </c>
      <c r="I5173" s="23" t="str">
        <f aca="false">IF(B5173="","","")</f>
        <v/>
      </c>
      <c r="J5173" s="23" t="str">
        <f aca="false">IF(B5173="","","touch_3; "&amp;IFERROR(INDEX(Clay_Brands!$A$2:$FZ$601,522,Sync!$D$10)&amp;"","")&amp;"; "&amp;IFERROR(INDEX(Clay_Brands!$A$2:$FZ$601,522,Sync!$D$9)&amp;"",""))</f>
        <v/>
      </c>
      <c r="K5173" s="32" t="s">
        <v>1368</v>
      </c>
    </row>
    <row r="5174" customFormat="false" ht="15" hidden="false" customHeight="false" outlineLevel="0" collapsed="false">
      <c r="A5174" s="23" t="str">
        <f aca="false">IF(B5174="","",B5174+(17*1000+523)/10000000)</f>
        <v/>
      </c>
      <c r="B5174" s="35" t="str">
        <f aca="false">IF(AND(IFERROR(N(INDEX(Clay_Brands!$A$2:$FZ$601,523,Sync!$D$13)),0)&gt;0,IFERROR(INDEX(Clay_Brands!$A$2:$FZ$601,523,Sync!$D$5)&amp;"","")&lt;&gt;"",OR(LEFT(IFERROR(INDEX(Clay_Brands!$A$2:$FZ$601,523,Sync!$D$5)&amp;"",""),6)&lt;&gt;"SAMPLE",Config!$B$19="Y")),IFERROR(N(INDEX(Clay_Brands!$A$2:$FZ$601,523,Sync!$D$13)),0),"")</f>
        <v/>
      </c>
      <c r="C5174" s="23" t="str">
        <f aca="false">IF(B5174="","","brand")</f>
        <v/>
      </c>
      <c r="D5174" s="23" t="str">
        <f aca="false">IF(B5174="","",IFERROR(INDEX(Brand_Log!$DV$2:$DV$201,MATCH(IFERROR(INDEX(Clay_Brands!$A$2:$FZ$601,523,Sync!$D$5)&amp;"",""),Brand_Log!$A$2:$A$201,0))&amp;"",IFERROR(INDEX(Clay_Brands!$A$2:$FZ$601,523,Sync!$D$5)&amp;"","")&amp;""))</f>
        <v/>
      </c>
      <c r="E5174" s="23" t="str">
        <f aca="false">IF(B5174="","",IFERROR(INDEX(Clay_Brands!$A$2:$FZ$601,523,Sync!$D$6)&amp;"",""))</f>
        <v/>
      </c>
      <c r="F5174" s="23" t="str">
        <f aca="false">IF(B5174="","","outreach_sent")</f>
        <v/>
      </c>
      <c r="G5174" s="23" t="str">
        <f aca="false">IF(B5174="","","")</f>
        <v/>
      </c>
      <c r="H5174" s="23" t="str">
        <f aca="false">IF(B5174="","","")</f>
        <v/>
      </c>
      <c r="I5174" s="23" t="str">
        <f aca="false">IF(B5174="","","")</f>
        <v/>
      </c>
      <c r="J5174" s="23" t="str">
        <f aca="false">IF(B5174="","","touch_3; "&amp;IFERROR(INDEX(Clay_Brands!$A$2:$FZ$601,523,Sync!$D$10)&amp;"","")&amp;"; "&amp;IFERROR(INDEX(Clay_Brands!$A$2:$FZ$601,523,Sync!$D$9)&amp;"",""))</f>
        <v/>
      </c>
      <c r="K5174" s="32" t="s">
        <v>1368</v>
      </c>
    </row>
    <row r="5175" customFormat="false" ht="15" hidden="false" customHeight="false" outlineLevel="0" collapsed="false">
      <c r="A5175" s="23" t="str">
        <f aca="false">IF(B5175="","",B5175+(17*1000+524)/10000000)</f>
        <v/>
      </c>
      <c r="B5175" s="35" t="str">
        <f aca="false">IF(AND(IFERROR(N(INDEX(Clay_Brands!$A$2:$FZ$601,524,Sync!$D$13)),0)&gt;0,IFERROR(INDEX(Clay_Brands!$A$2:$FZ$601,524,Sync!$D$5)&amp;"","")&lt;&gt;"",OR(LEFT(IFERROR(INDEX(Clay_Brands!$A$2:$FZ$601,524,Sync!$D$5)&amp;"",""),6)&lt;&gt;"SAMPLE",Config!$B$19="Y")),IFERROR(N(INDEX(Clay_Brands!$A$2:$FZ$601,524,Sync!$D$13)),0),"")</f>
        <v/>
      </c>
      <c r="C5175" s="23" t="str">
        <f aca="false">IF(B5175="","","brand")</f>
        <v/>
      </c>
      <c r="D5175" s="23" t="str">
        <f aca="false">IF(B5175="","",IFERROR(INDEX(Brand_Log!$DV$2:$DV$201,MATCH(IFERROR(INDEX(Clay_Brands!$A$2:$FZ$601,524,Sync!$D$5)&amp;"",""),Brand_Log!$A$2:$A$201,0))&amp;"",IFERROR(INDEX(Clay_Brands!$A$2:$FZ$601,524,Sync!$D$5)&amp;"","")&amp;""))</f>
        <v/>
      </c>
      <c r="E5175" s="23" t="str">
        <f aca="false">IF(B5175="","",IFERROR(INDEX(Clay_Brands!$A$2:$FZ$601,524,Sync!$D$6)&amp;"",""))</f>
        <v/>
      </c>
      <c r="F5175" s="23" t="str">
        <f aca="false">IF(B5175="","","outreach_sent")</f>
        <v/>
      </c>
      <c r="G5175" s="23" t="str">
        <f aca="false">IF(B5175="","","")</f>
        <v/>
      </c>
      <c r="H5175" s="23" t="str">
        <f aca="false">IF(B5175="","","")</f>
        <v/>
      </c>
      <c r="I5175" s="23" t="str">
        <f aca="false">IF(B5175="","","")</f>
        <v/>
      </c>
      <c r="J5175" s="23" t="str">
        <f aca="false">IF(B5175="","","touch_3; "&amp;IFERROR(INDEX(Clay_Brands!$A$2:$FZ$601,524,Sync!$D$10)&amp;"","")&amp;"; "&amp;IFERROR(INDEX(Clay_Brands!$A$2:$FZ$601,524,Sync!$D$9)&amp;"",""))</f>
        <v/>
      </c>
      <c r="K5175" s="32" t="s">
        <v>1368</v>
      </c>
    </row>
    <row r="5176" customFormat="false" ht="15" hidden="false" customHeight="false" outlineLevel="0" collapsed="false">
      <c r="A5176" s="23" t="str">
        <f aca="false">IF(B5176="","",B5176+(17*1000+525)/10000000)</f>
        <v/>
      </c>
      <c r="B5176" s="35" t="str">
        <f aca="false">IF(AND(IFERROR(N(INDEX(Clay_Brands!$A$2:$FZ$601,525,Sync!$D$13)),0)&gt;0,IFERROR(INDEX(Clay_Brands!$A$2:$FZ$601,525,Sync!$D$5)&amp;"","")&lt;&gt;"",OR(LEFT(IFERROR(INDEX(Clay_Brands!$A$2:$FZ$601,525,Sync!$D$5)&amp;"",""),6)&lt;&gt;"SAMPLE",Config!$B$19="Y")),IFERROR(N(INDEX(Clay_Brands!$A$2:$FZ$601,525,Sync!$D$13)),0),"")</f>
        <v/>
      </c>
      <c r="C5176" s="23" t="str">
        <f aca="false">IF(B5176="","","brand")</f>
        <v/>
      </c>
      <c r="D5176" s="23" t="str">
        <f aca="false">IF(B5176="","",IFERROR(INDEX(Brand_Log!$DV$2:$DV$201,MATCH(IFERROR(INDEX(Clay_Brands!$A$2:$FZ$601,525,Sync!$D$5)&amp;"",""),Brand_Log!$A$2:$A$201,0))&amp;"",IFERROR(INDEX(Clay_Brands!$A$2:$FZ$601,525,Sync!$D$5)&amp;"","")&amp;""))</f>
        <v/>
      </c>
      <c r="E5176" s="23" t="str">
        <f aca="false">IF(B5176="","",IFERROR(INDEX(Clay_Brands!$A$2:$FZ$601,525,Sync!$D$6)&amp;"",""))</f>
        <v/>
      </c>
      <c r="F5176" s="23" t="str">
        <f aca="false">IF(B5176="","","outreach_sent")</f>
        <v/>
      </c>
      <c r="G5176" s="23" t="str">
        <f aca="false">IF(B5176="","","")</f>
        <v/>
      </c>
      <c r="H5176" s="23" t="str">
        <f aca="false">IF(B5176="","","")</f>
        <v/>
      </c>
      <c r="I5176" s="23" t="str">
        <f aca="false">IF(B5176="","","")</f>
        <v/>
      </c>
      <c r="J5176" s="23" t="str">
        <f aca="false">IF(B5176="","","touch_3; "&amp;IFERROR(INDEX(Clay_Brands!$A$2:$FZ$601,525,Sync!$D$10)&amp;"","")&amp;"; "&amp;IFERROR(INDEX(Clay_Brands!$A$2:$FZ$601,525,Sync!$D$9)&amp;"",""))</f>
        <v/>
      </c>
      <c r="K5176" s="32" t="s">
        <v>1368</v>
      </c>
    </row>
    <row r="5177" customFormat="false" ht="15" hidden="false" customHeight="false" outlineLevel="0" collapsed="false">
      <c r="A5177" s="23" t="str">
        <f aca="false">IF(B5177="","",B5177+(17*1000+526)/10000000)</f>
        <v/>
      </c>
      <c r="B5177" s="35" t="str">
        <f aca="false">IF(AND(IFERROR(N(INDEX(Clay_Brands!$A$2:$FZ$601,526,Sync!$D$13)),0)&gt;0,IFERROR(INDEX(Clay_Brands!$A$2:$FZ$601,526,Sync!$D$5)&amp;"","")&lt;&gt;"",OR(LEFT(IFERROR(INDEX(Clay_Brands!$A$2:$FZ$601,526,Sync!$D$5)&amp;"",""),6)&lt;&gt;"SAMPLE",Config!$B$19="Y")),IFERROR(N(INDEX(Clay_Brands!$A$2:$FZ$601,526,Sync!$D$13)),0),"")</f>
        <v/>
      </c>
      <c r="C5177" s="23" t="str">
        <f aca="false">IF(B5177="","","brand")</f>
        <v/>
      </c>
      <c r="D5177" s="23" t="str">
        <f aca="false">IF(B5177="","",IFERROR(INDEX(Brand_Log!$DV$2:$DV$201,MATCH(IFERROR(INDEX(Clay_Brands!$A$2:$FZ$601,526,Sync!$D$5)&amp;"",""),Brand_Log!$A$2:$A$201,0))&amp;"",IFERROR(INDEX(Clay_Brands!$A$2:$FZ$601,526,Sync!$D$5)&amp;"","")&amp;""))</f>
        <v/>
      </c>
      <c r="E5177" s="23" t="str">
        <f aca="false">IF(B5177="","",IFERROR(INDEX(Clay_Brands!$A$2:$FZ$601,526,Sync!$D$6)&amp;"",""))</f>
        <v/>
      </c>
      <c r="F5177" s="23" t="str">
        <f aca="false">IF(B5177="","","outreach_sent")</f>
        <v/>
      </c>
      <c r="G5177" s="23" t="str">
        <f aca="false">IF(B5177="","","")</f>
        <v/>
      </c>
      <c r="H5177" s="23" t="str">
        <f aca="false">IF(B5177="","","")</f>
        <v/>
      </c>
      <c r="I5177" s="23" t="str">
        <f aca="false">IF(B5177="","","")</f>
        <v/>
      </c>
      <c r="J5177" s="23" t="str">
        <f aca="false">IF(B5177="","","touch_3; "&amp;IFERROR(INDEX(Clay_Brands!$A$2:$FZ$601,526,Sync!$D$10)&amp;"","")&amp;"; "&amp;IFERROR(INDEX(Clay_Brands!$A$2:$FZ$601,526,Sync!$D$9)&amp;"",""))</f>
        <v/>
      </c>
      <c r="K5177" s="32" t="s">
        <v>1368</v>
      </c>
    </row>
    <row r="5178" customFormat="false" ht="15" hidden="false" customHeight="false" outlineLevel="0" collapsed="false">
      <c r="A5178" s="23" t="str">
        <f aca="false">IF(B5178="","",B5178+(17*1000+527)/10000000)</f>
        <v/>
      </c>
      <c r="B5178" s="35" t="str">
        <f aca="false">IF(AND(IFERROR(N(INDEX(Clay_Brands!$A$2:$FZ$601,527,Sync!$D$13)),0)&gt;0,IFERROR(INDEX(Clay_Brands!$A$2:$FZ$601,527,Sync!$D$5)&amp;"","")&lt;&gt;"",OR(LEFT(IFERROR(INDEX(Clay_Brands!$A$2:$FZ$601,527,Sync!$D$5)&amp;"",""),6)&lt;&gt;"SAMPLE",Config!$B$19="Y")),IFERROR(N(INDEX(Clay_Brands!$A$2:$FZ$601,527,Sync!$D$13)),0),"")</f>
        <v/>
      </c>
      <c r="C5178" s="23" t="str">
        <f aca="false">IF(B5178="","","brand")</f>
        <v/>
      </c>
      <c r="D5178" s="23" t="str">
        <f aca="false">IF(B5178="","",IFERROR(INDEX(Brand_Log!$DV$2:$DV$201,MATCH(IFERROR(INDEX(Clay_Brands!$A$2:$FZ$601,527,Sync!$D$5)&amp;"",""),Brand_Log!$A$2:$A$201,0))&amp;"",IFERROR(INDEX(Clay_Brands!$A$2:$FZ$601,527,Sync!$D$5)&amp;"","")&amp;""))</f>
        <v/>
      </c>
      <c r="E5178" s="23" t="str">
        <f aca="false">IF(B5178="","",IFERROR(INDEX(Clay_Brands!$A$2:$FZ$601,527,Sync!$D$6)&amp;"",""))</f>
        <v/>
      </c>
      <c r="F5178" s="23" t="str">
        <f aca="false">IF(B5178="","","outreach_sent")</f>
        <v/>
      </c>
      <c r="G5178" s="23" t="str">
        <f aca="false">IF(B5178="","","")</f>
        <v/>
      </c>
      <c r="H5178" s="23" t="str">
        <f aca="false">IF(B5178="","","")</f>
        <v/>
      </c>
      <c r="I5178" s="23" t="str">
        <f aca="false">IF(B5178="","","")</f>
        <v/>
      </c>
      <c r="J5178" s="23" t="str">
        <f aca="false">IF(B5178="","","touch_3; "&amp;IFERROR(INDEX(Clay_Brands!$A$2:$FZ$601,527,Sync!$D$10)&amp;"","")&amp;"; "&amp;IFERROR(INDEX(Clay_Brands!$A$2:$FZ$601,527,Sync!$D$9)&amp;"",""))</f>
        <v/>
      </c>
      <c r="K5178" s="32" t="s">
        <v>1368</v>
      </c>
    </row>
    <row r="5179" customFormat="false" ht="15" hidden="false" customHeight="false" outlineLevel="0" collapsed="false">
      <c r="A5179" s="23" t="str">
        <f aca="false">IF(B5179="","",B5179+(17*1000+528)/10000000)</f>
        <v/>
      </c>
      <c r="B5179" s="35" t="str">
        <f aca="false">IF(AND(IFERROR(N(INDEX(Clay_Brands!$A$2:$FZ$601,528,Sync!$D$13)),0)&gt;0,IFERROR(INDEX(Clay_Brands!$A$2:$FZ$601,528,Sync!$D$5)&amp;"","")&lt;&gt;"",OR(LEFT(IFERROR(INDEX(Clay_Brands!$A$2:$FZ$601,528,Sync!$D$5)&amp;"",""),6)&lt;&gt;"SAMPLE",Config!$B$19="Y")),IFERROR(N(INDEX(Clay_Brands!$A$2:$FZ$601,528,Sync!$D$13)),0),"")</f>
        <v/>
      </c>
      <c r="C5179" s="23" t="str">
        <f aca="false">IF(B5179="","","brand")</f>
        <v/>
      </c>
      <c r="D5179" s="23" t="str">
        <f aca="false">IF(B5179="","",IFERROR(INDEX(Brand_Log!$DV$2:$DV$201,MATCH(IFERROR(INDEX(Clay_Brands!$A$2:$FZ$601,528,Sync!$D$5)&amp;"",""),Brand_Log!$A$2:$A$201,0))&amp;"",IFERROR(INDEX(Clay_Brands!$A$2:$FZ$601,528,Sync!$D$5)&amp;"","")&amp;""))</f>
        <v/>
      </c>
      <c r="E5179" s="23" t="str">
        <f aca="false">IF(B5179="","",IFERROR(INDEX(Clay_Brands!$A$2:$FZ$601,528,Sync!$D$6)&amp;"",""))</f>
        <v/>
      </c>
      <c r="F5179" s="23" t="str">
        <f aca="false">IF(B5179="","","outreach_sent")</f>
        <v/>
      </c>
      <c r="G5179" s="23" t="str">
        <f aca="false">IF(B5179="","","")</f>
        <v/>
      </c>
      <c r="H5179" s="23" t="str">
        <f aca="false">IF(B5179="","","")</f>
        <v/>
      </c>
      <c r="I5179" s="23" t="str">
        <f aca="false">IF(B5179="","","")</f>
        <v/>
      </c>
      <c r="J5179" s="23" t="str">
        <f aca="false">IF(B5179="","","touch_3; "&amp;IFERROR(INDEX(Clay_Brands!$A$2:$FZ$601,528,Sync!$D$10)&amp;"","")&amp;"; "&amp;IFERROR(INDEX(Clay_Brands!$A$2:$FZ$601,528,Sync!$D$9)&amp;"",""))</f>
        <v/>
      </c>
      <c r="K5179" s="32" t="s">
        <v>1368</v>
      </c>
    </row>
    <row r="5180" customFormat="false" ht="15" hidden="false" customHeight="false" outlineLevel="0" collapsed="false">
      <c r="A5180" s="23" t="str">
        <f aca="false">IF(B5180="","",B5180+(17*1000+529)/10000000)</f>
        <v/>
      </c>
      <c r="B5180" s="35" t="str">
        <f aca="false">IF(AND(IFERROR(N(INDEX(Clay_Brands!$A$2:$FZ$601,529,Sync!$D$13)),0)&gt;0,IFERROR(INDEX(Clay_Brands!$A$2:$FZ$601,529,Sync!$D$5)&amp;"","")&lt;&gt;"",OR(LEFT(IFERROR(INDEX(Clay_Brands!$A$2:$FZ$601,529,Sync!$D$5)&amp;"",""),6)&lt;&gt;"SAMPLE",Config!$B$19="Y")),IFERROR(N(INDEX(Clay_Brands!$A$2:$FZ$601,529,Sync!$D$13)),0),"")</f>
        <v/>
      </c>
      <c r="C5180" s="23" t="str">
        <f aca="false">IF(B5180="","","brand")</f>
        <v/>
      </c>
      <c r="D5180" s="23" t="str">
        <f aca="false">IF(B5180="","",IFERROR(INDEX(Brand_Log!$DV$2:$DV$201,MATCH(IFERROR(INDEX(Clay_Brands!$A$2:$FZ$601,529,Sync!$D$5)&amp;"",""),Brand_Log!$A$2:$A$201,0))&amp;"",IFERROR(INDEX(Clay_Brands!$A$2:$FZ$601,529,Sync!$D$5)&amp;"","")&amp;""))</f>
        <v/>
      </c>
      <c r="E5180" s="23" t="str">
        <f aca="false">IF(B5180="","",IFERROR(INDEX(Clay_Brands!$A$2:$FZ$601,529,Sync!$D$6)&amp;"",""))</f>
        <v/>
      </c>
      <c r="F5180" s="23" t="str">
        <f aca="false">IF(B5180="","","outreach_sent")</f>
        <v/>
      </c>
      <c r="G5180" s="23" t="str">
        <f aca="false">IF(B5180="","","")</f>
        <v/>
      </c>
      <c r="H5180" s="23" t="str">
        <f aca="false">IF(B5180="","","")</f>
        <v/>
      </c>
      <c r="I5180" s="23" t="str">
        <f aca="false">IF(B5180="","","")</f>
        <v/>
      </c>
      <c r="J5180" s="23" t="str">
        <f aca="false">IF(B5180="","","touch_3; "&amp;IFERROR(INDEX(Clay_Brands!$A$2:$FZ$601,529,Sync!$D$10)&amp;"","")&amp;"; "&amp;IFERROR(INDEX(Clay_Brands!$A$2:$FZ$601,529,Sync!$D$9)&amp;"",""))</f>
        <v/>
      </c>
      <c r="K5180" s="32" t="s">
        <v>1368</v>
      </c>
    </row>
    <row r="5181" customFormat="false" ht="15" hidden="false" customHeight="false" outlineLevel="0" collapsed="false">
      <c r="A5181" s="23" t="str">
        <f aca="false">IF(B5181="","",B5181+(17*1000+530)/10000000)</f>
        <v/>
      </c>
      <c r="B5181" s="35" t="str">
        <f aca="false">IF(AND(IFERROR(N(INDEX(Clay_Brands!$A$2:$FZ$601,530,Sync!$D$13)),0)&gt;0,IFERROR(INDEX(Clay_Brands!$A$2:$FZ$601,530,Sync!$D$5)&amp;"","")&lt;&gt;"",OR(LEFT(IFERROR(INDEX(Clay_Brands!$A$2:$FZ$601,530,Sync!$D$5)&amp;"",""),6)&lt;&gt;"SAMPLE",Config!$B$19="Y")),IFERROR(N(INDEX(Clay_Brands!$A$2:$FZ$601,530,Sync!$D$13)),0),"")</f>
        <v/>
      </c>
      <c r="C5181" s="23" t="str">
        <f aca="false">IF(B5181="","","brand")</f>
        <v/>
      </c>
      <c r="D5181" s="23" t="str">
        <f aca="false">IF(B5181="","",IFERROR(INDEX(Brand_Log!$DV$2:$DV$201,MATCH(IFERROR(INDEX(Clay_Brands!$A$2:$FZ$601,530,Sync!$D$5)&amp;"",""),Brand_Log!$A$2:$A$201,0))&amp;"",IFERROR(INDEX(Clay_Brands!$A$2:$FZ$601,530,Sync!$D$5)&amp;"","")&amp;""))</f>
        <v/>
      </c>
      <c r="E5181" s="23" t="str">
        <f aca="false">IF(B5181="","",IFERROR(INDEX(Clay_Brands!$A$2:$FZ$601,530,Sync!$D$6)&amp;"",""))</f>
        <v/>
      </c>
      <c r="F5181" s="23" t="str">
        <f aca="false">IF(B5181="","","outreach_sent")</f>
        <v/>
      </c>
      <c r="G5181" s="23" t="str">
        <f aca="false">IF(B5181="","","")</f>
        <v/>
      </c>
      <c r="H5181" s="23" t="str">
        <f aca="false">IF(B5181="","","")</f>
        <v/>
      </c>
      <c r="I5181" s="23" t="str">
        <f aca="false">IF(B5181="","","")</f>
        <v/>
      </c>
      <c r="J5181" s="23" t="str">
        <f aca="false">IF(B5181="","","touch_3; "&amp;IFERROR(INDEX(Clay_Brands!$A$2:$FZ$601,530,Sync!$D$10)&amp;"","")&amp;"; "&amp;IFERROR(INDEX(Clay_Brands!$A$2:$FZ$601,530,Sync!$D$9)&amp;"",""))</f>
        <v/>
      </c>
      <c r="K5181" s="32" t="s">
        <v>1368</v>
      </c>
    </row>
    <row r="5182" customFormat="false" ht="15" hidden="false" customHeight="false" outlineLevel="0" collapsed="false">
      <c r="A5182" s="23" t="str">
        <f aca="false">IF(B5182="","",B5182+(17*1000+531)/10000000)</f>
        <v/>
      </c>
      <c r="B5182" s="35" t="str">
        <f aca="false">IF(AND(IFERROR(N(INDEX(Clay_Brands!$A$2:$FZ$601,531,Sync!$D$13)),0)&gt;0,IFERROR(INDEX(Clay_Brands!$A$2:$FZ$601,531,Sync!$D$5)&amp;"","")&lt;&gt;"",OR(LEFT(IFERROR(INDEX(Clay_Brands!$A$2:$FZ$601,531,Sync!$D$5)&amp;"",""),6)&lt;&gt;"SAMPLE",Config!$B$19="Y")),IFERROR(N(INDEX(Clay_Brands!$A$2:$FZ$601,531,Sync!$D$13)),0),"")</f>
        <v/>
      </c>
      <c r="C5182" s="23" t="str">
        <f aca="false">IF(B5182="","","brand")</f>
        <v/>
      </c>
      <c r="D5182" s="23" t="str">
        <f aca="false">IF(B5182="","",IFERROR(INDEX(Brand_Log!$DV$2:$DV$201,MATCH(IFERROR(INDEX(Clay_Brands!$A$2:$FZ$601,531,Sync!$D$5)&amp;"",""),Brand_Log!$A$2:$A$201,0))&amp;"",IFERROR(INDEX(Clay_Brands!$A$2:$FZ$601,531,Sync!$D$5)&amp;"","")&amp;""))</f>
        <v/>
      </c>
      <c r="E5182" s="23" t="str">
        <f aca="false">IF(B5182="","",IFERROR(INDEX(Clay_Brands!$A$2:$FZ$601,531,Sync!$D$6)&amp;"",""))</f>
        <v/>
      </c>
      <c r="F5182" s="23" t="str">
        <f aca="false">IF(B5182="","","outreach_sent")</f>
        <v/>
      </c>
      <c r="G5182" s="23" t="str">
        <f aca="false">IF(B5182="","","")</f>
        <v/>
      </c>
      <c r="H5182" s="23" t="str">
        <f aca="false">IF(B5182="","","")</f>
        <v/>
      </c>
      <c r="I5182" s="23" t="str">
        <f aca="false">IF(B5182="","","")</f>
        <v/>
      </c>
      <c r="J5182" s="23" t="str">
        <f aca="false">IF(B5182="","","touch_3; "&amp;IFERROR(INDEX(Clay_Brands!$A$2:$FZ$601,531,Sync!$D$10)&amp;"","")&amp;"; "&amp;IFERROR(INDEX(Clay_Brands!$A$2:$FZ$601,531,Sync!$D$9)&amp;"",""))</f>
        <v/>
      </c>
      <c r="K5182" s="32" t="s">
        <v>1368</v>
      </c>
    </row>
    <row r="5183" customFormat="false" ht="15" hidden="false" customHeight="false" outlineLevel="0" collapsed="false">
      <c r="A5183" s="23" t="str">
        <f aca="false">IF(B5183="","",B5183+(17*1000+532)/10000000)</f>
        <v/>
      </c>
      <c r="B5183" s="35" t="str">
        <f aca="false">IF(AND(IFERROR(N(INDEX(Clay_Brands!$A$2:$FZ$601,532,Sync!$D$13)),0)&gt;0,IFERROR(INDEX(Clay_Brands!$A$2:$FZ$601,532,Sync!$D$5)&amp;"","")&lt;&gt;"",OR(LEFT(IFERROR(INDEX(Clay_Brands!$A$2:$FZ$601,532,Sync!$D$5)&amp;"",""),6)&lt;&gt;"SAMPLE",Config!$B$19="Y")),IFERROR(N(INDEX(Clay_Brands!$A$2:$FZ$601,532,Sync!$D$13)),0),"")</f>
        <v/>
      </c>
      <c r="C5183" s="23" t="str">
        <f aca="false">IF(B5183="","","brand")</f>
        <v/>
      </c>
      <c r="D5183" s="23" t="str">
        <f aca="false">IF(B5183="","",IFERROR(INDEX(Brand_Log!$DV$2:$DV$201,MATCH(IFERROR(INDEX(Clay_Brands!$A$2:$FZ$601,532,Sync!$D$5)&amp;"",""),Brand_Log!$A$2:$A$201,0))&amp;"",IFERROR(INDEX(Clay_Brands!$A$2:$FZ$601,532,Sync!$D$5)&amp;"","")&amp;""))</f>
        <v/>
      </c>
      <c r="E5183" s="23" t="str">
        <f aca="false">IF(B5183="","",IFERROR(INDEX(Clay_Brands!$A$2:$FZ$601,532,Sync!$D$6)&amp;"",""))</f>
        <v/>
      </c>
      <c r="F5183" s="23" t="str">
        <f aca="false">IF(B5183="","","outreach_sent")</f>
        <v/>
      </c>
      <c r="G5183" s="23" t="str">
        <f aca="false">IF(B5183="","","")</f>
        <v/>
      </c>
      <c r="H5183" s="23" t="str">
        <f aca="false">IF(B5183="","","")</f>
        <v/>
      </c>
      <c r="I5183" s="23" t="str">
        <f aca="false">IF(B5183="","","")</f>
        <v/>
      </c>
      <c r="J5183" s="23" t="str">
        <f aca="false">IF(B5183="","","touch_3; "&amp;IFERROR(INDEX(Clay_Brands!$A$2:$FZ$601,532,Sync!$D$10)&amp;"","")&amp;"; "&amp;IFERROR(INDEX(Clay_Brands!$A$2:$FZ$601,532,Sync!$D$9)&amp;"",""))</f>
        <v/>
      </c>
      <c r="K5183" s="32" t="s">
        <v>1368</v>
      </c>
    </row>
    <row r="5184" customFormat="false" ht="15" hidden="false" customHeight="false" outlineLevel="0" collapsed="false">
      <c r="A5184" s="23" t="str">
        <f aca="false">IF(B5184="","",B5184+(17*1000+533)/10000000)</f>
        <v/>
      </c>
      <c r="B5184" s="35" t="str">
        <f aca="false">IF(AND(IFERROR(N(INDEX(Clay_Brands!$A$2:$FZ$601,533,Sync!$D$13)),0)&gt;0,IFERROR(INDEX(Clay_Brands!$A$2:$FZ$601,533,Sync!$D$5)&amp;"","")&lt;&gt;"",OR(LEFT(IFERROR(INDEX(Clay_Brands!$A$2:$FZ$601,533,Sync!$D$5)&amp;"",""),6)&lt;&gt;"SAMPLE",Config!$B$19="Y")),IFERROR(N(INDEX(Clay_Brands!$A$2:$FZ$601,533,Sync!$D$13)),0),"")</f>
        <v/>
      </c>
      <c r="C5184" s="23" t="str">
        <f aca="false">IF(B5184="","","brand")</f>
        <v/>
      </c>
      <c r="D5184" s="23" t="str">
        <f aca="false">IF(B5184="","",IFERROR(INDEX(Brand_Log!$DV$2:$DV$201,MATCH(IFERROR(INDEX(Clay_Brands!$A$2:$FZ$601,533,Sync!$D$5)&amp;"",""),Brand_Log!$A$2:$A$201,0))&amp;"",IFERROR(INDEX(Clay_Brands!$A$2:$FZ$601,533,Sync!$D$5)&amp;"","")&amp;""))</f>
        <v/>
      </c>
      <c r="E5184" s="23" t="str">
        <f aca="false">IF(B5184="","",IFERROR(INDEX(Clay_Brands!$A$2:$FZ$601,533,Sync!$D$6)&amp;"",""))</f>
        <v/>
      </c>
      <c r="F5184" s="23" t="str">
        <f aca="false">IF(B5184="","","outreach_sent")</f>
        <v/>
      </c>
      <c r="G5184" s="23" t="str">
        <f aca="false">IF(B5184="","","")</f>
        <v/>
      </c>
      <c r="H5184" s="23" t="str">
        <f aca="false">IF(B5184="","","")</f>
        <v/>
      </c>
      <c r="I5184" s="23" t="str">
        <f aca="false">IF(B5184="","","")</f>
        <v/>
      </c>
      <c r="J5184" s="23" t="str">
        <f aca="false">IF(B5184="","","touch_3; "&amp;IFERROR(INDEX(Clay_Brands!$A$2:$FZ$601,533,Sync!$D$10)&amp;"","")&amp;"; "&amp;IFERROR(INDEX(Clay_Brands!$A$2:$FZ$601,533,Sync!$D$9)&amp;"",""))</f>
        <v/>
      </c>
      <c r="K5184" s="32" t="s">
        <v>1368</v>
      </c>
    </row>
    <row r="5185" customFormat="false" ht="15" hidden="false" customHeight="false" outlineLevel="0" collapsed="false">
      <c r="A5185" s="23" t="str">
        <f aca="false">IF(B5185="","",B5185+(17*1000+534)/10000000)</f>
        <v/>
      </c>
      <c r="B5185" s="35" t="str">
        <f aca="false">IF(AND(IFERROR(N(INDEX(Clay_Brands!$A$2:$FZ$601,534,Sync!$D$13)),0)&gt;0,IFERROR(INDEX(Clay_Brands!$A$2:$FZ$601,534,Sync!$D$5)&amp;"","")&lt;&gt;"",OR(LEFT(IFERROR(INDEX(Clay_Brands!$A$2:$FZ$601,534,Sync!$D$5)&amp;"",""),6)&lt;&gt;"SAMPLE",Config!$B$19="Y")),IFERROR(N(INDEX(Clay_Brands!$A$2:$FZ$601,534,Sync!$D$13)),0),"")</f>
        <v/>
      </c>
      <c r="C5185" s="23" t="str">
        <f aca="false">IF(B5185="","","brand")</f>
        <v/>
      </c>
      <c r="D5185" s="23" t="str">
        <f aca="false">IF(B5185="","",IFERROR(INDEX(Brand_Log!$DV$2:$DV$201,MATCH(IFERROR(INDEX(Clay_Brands!$A$2:$FZ$601,534,Sync!$D$5)&amp;"",""),Brand_Log!$A$2:$A$201,0))&amp;"",IFERROR(INDEX(Clay_Brands!$A$2:$FZ$601,534,Sync!$D$5)&amp;"","")&amp;""))</f>
        <v/>
      </c>
      <c r="E5185" s="23" t="str">
        <f aca="false">IF(B5185="","",IFERROR(INDEX(Clay_Brands!$A$2:$FZ$601,534,Sync!$D$6)&amp;"",""))</f>
        <v/>
      </c>
      <c r="F5185" s="23" t="str">
        <f aca="false">IF(B5185="","","outreach_sent")</f>
        <v/>
      </c>
      <c r="G5185" s="23" t="str">
        <f aca="false">IF(B5185="","","")</f>
        <v/>
      </c>
      <c r="H5185" s="23" t="str">
        <f aca="false">IF(B5185="","","")</f>
        <v/>
      </c>
      <c r="I5185" s="23" t="str">
        <f aca="false">IF(B5185="","","")</f>
        <v/>
      </c>
      <c r="J5185" s="23" t="str">
        <f aca="false">IF(B5185="","","touch_3; "&amp;IFERROR(INDEX(Clay_Brands!$A$2:$FZ$601,534,Sync!$D$10)&amp;"","")&amp;"; "&amp;IFERROR(INDEX(Clay_Brands!$A$2:$FZ$601,534,Sync!$D$9)&amp;"",""))</f>
        <v/>
      </c>
      <c r="K5185" s="32" t="s">
        <v>1368</v>
      </c>
    </row>
    <row r="5186" customFormat="false" ht="15" hidden="false" customHeight="false" outlineLevel="0" collapsed="false">
      <c r="A5186" s="23" t="str">
        <f aca="false">IF(B5186="","",B5186+(17*1000+535)/10000000)</f>
        <v/>
      </c>
      <c r="B5186" s="35" t="str">
        <f aca="false">IF(AND(IFERROR(N(INDEX(Clay_Brands!$A$2:$FZ$601,535,Sync!$D$13)),0)&gt;0,IFERROR(INDEX(Clay_Brands!$A$2:$FZ$601,535,Sync!$D$5)&amp;"","")&lt;&gt;"",OR(LEFT(IFERROR(INDEX(Clay_Brands!$A$2:$FZ$601,535,Sync!$D$5)&amp;"",""),6)&lt;&gt;"SAMPLE",Config!$B$19="Y")),IFERROR(N(INDEX(Clay_Brands!$A$2:$FZ$601,535,Sync!$D$13)),0),"")</f>
        <v/>
      </c>
      <c r="C5186" s="23" t="str">
        <f aca="false">IF(B5186="","","brand")</f>
        <v/>
      </c>
      <c r="D5186" s="23" t="str">
        <f aca="false">IF(B5186="","",IFERROR(INDEX(Brand_Log!$DV$2:$DV$201,MATCH(IFERROR(INDEX(Clay_Brands!$A$2:$FZ$601,535,Sync!$D$5)&amp;"",""),Brand_Log!$A$2:$A$201,0))&amp;"",IFERROR(INDEX(Clay_Brands!$A$2:$FZ$601,535,Sync!$D$5)&amp;"","")&amp;""))</f>
        <v/>
      </c>
      <c r="E5186" s="23" t="str">
        <f aca="false">IF(B5186="","",IFERROR(INDEX(Clay_Brands!$A$2:$FZ$601,535,Sync!$D$6)&amp;"",""))</f>
        <v/>
      </c>
      <c r="F5186" s="23" t="str">
        <f aca="false">IF(B5186="","","outreach_sent")</f>
        <v/>
      </c>
      <c r="G5186" s="23" t="str">
        <f aca="false">IF(B5186="","","")</f>
        <v/>
      </c>
      <c r="H5186" s="23" t="str">
        <f aca="false">IF(B5186="","","")</f>
        <v/>
      </c>
      <c r="I5186" s="23" t="str">
        <f aca="false">IF(B5186="","","")</f>
        <v/>
      </c>
      <c r="J5186" s="23" t="str">
        <f aca="false">IF(B5186="","","touch_3; "&amp;IFERROR(INDEX(Clay_Brands!$A$2:$FZ$601,535,Sync!$D$10)&amp;"","")&amp;"; "&amp;IFERROR(INDEX(Clay_Brands!$A$2:$FZ$601,535,Sync!$D$9)&amp;"",""))</f>
        <v/>
      </c>
      <c r="K5186" s="32" t="s">
        <v>1368</v>
      </c>
    </row>
    <row r="5187" customFormat="false" ht="15" hidden="false" customHeight="false" outlineLevel="0" collapsed="false">
      <c r="A5187" s="23" t="str">
        <f aca="false">IF(B5187="","",B5187+(17*1000+536)/10000000)</f>
        <v/>
      </c>
      <c r="B5187" s="35" t="str">
        <f aca="false">IF(AND(IFERROR(N(INDEX(Clay_Brands!$A$2:$FZ$601,536,Sync!$D$13)),0)&gt;0,IFERROR(INDEX(Clay_Brands!$A$2:$FZ$601,536,Sync!$D$5)&amp;"","")&lt;&gt;"",OR(LEFT(IFERROR(INDEX(Clay_Brands!$A$2:$FZ$601,536,Sync!$D$5)&amp;"",""),6)&lt;&gt;"SAMPLE",Config!$B$19="Y")),IFERROR(N(INDEX(Clay_Brands!$A$2:$FZ$601,536,Sync!$D$13)),0),"")</f>
        <v/>
      </c>
      <c r="C5187" s="23" t="str">
        <f aca="false">IF(B5187="","","brand")</f>
        <v/>
      </c>
      <c r="D5187" s="23" t="str">
        <f aca="false">IF(B5187="","",IFERROR(INDEX(Brand_Log!$DV$2:$DV$201,MATCH(IFERROR(INDEX(Clay_Brands!$A$2:$FZ$601,536,Sync!$D$5)&amp;"",""),Brand_Log!$A$2:$A$201,0))&amp;"",IFERROR(INDEX(Clay_Brands!$A$2:$FZ$601,536,Sync!$D$5)&amp;"","")&amp;""))</f>
        <v/>
      </c>
      <c r="E5187" s="23" t="str">
        <f aca="false">IF(B5187="","",IFERROR(INDEX(Clay_Brands!$A$2:$FZ$601,536,Sync!$D$6)&amp;"",""))</f>
        <v/>
      </c>
      <c r="F5187" s="23" t="str">
        <f aca="false">IF(B5187="","","outreach_sent")</f>
        <v/>
      </c>
      <c r="G5187" s="23" t="str">
        <f aca="false">IF(B5187="","","")</f>
        <v/>
      </c>
      <c r="H5187" s="23" t="str">
        <f aca="false">IF(B5187="","","")</f>
        <v/>
      </c>
      <c r="I5187" s="23" t="str">
        <f aca="false">IF(B5187="","","")</f>
        <v/>
      </c>
      <c r="J5187" s="23" t="str">
        <f aca="false">IF(B5187="","","touch_3; "&amp;IFERROR(INDEX(Clay_Brands!$A$2:$FZ$601,536,Sync!$D$10)&amp;"","")&amp;"; "&amp;IFERROR(INDEX(Clay_Brands!$A$2:$FZ$601,536,Sync!$D$9)&amp;"",""))</f>
        <v/>
      </c>
      <c r="K5187" s="32" t="s">
        <v>1368</v>
      </c>
    </row>
    <row r="5188" customFormat="false" ht="15" hidden="false" customHeight="false" outlineLevel="0" collapsed="false">
      <c r="A5188" s="23" t="str">
        <f aca="false">IF(B5188="","",B5188+(17*1000+537)/10000000)</f>
        <v/>
      </c>
      <c r="B5188" s="35" t="str">
        <f aca="false">IF(AND(IFERROR(N(INDEX(Clay_Brands!$A$2:$FZ$601,537,Sync!$D$13)),0)&gt;0,IFERROR(INDEX(Clay_Brands!$A$2:$FZ$601,537,Sync!$D$5)&amp;"","")&lt;&gt;"",OR(LEFT(IFERROR(INDEX(Clay_Brands!$A$2:$FZ$601,537,Sync!$D$5)&amp;"",""),6)&lt;&gt;"SAMPLE",Config!$B$19="Y")),IFERROR(N(INDEX(Clay_Brands!$A$2:$FZ$601,537,Sync!$D$13)),0),"")</f>
        <v/>
      </c>
      <c r="C5188" s="23" t="str">
        <f aca="false">IF(B5188="","","brand")</f>
        <v/>
      </c>
      <c r="D5188" s="23" t="str">
        <f aca="false">IF(B5188="","",IFERROR(INDEX(Brand_Log!$DV$2:$DV$201,MATCH(IFERROR(INDEX(Clay_Brands!$A$2:$FZ$601,537,Sync!$D$5)&amp;"",""),Brand_Log!$A$2:$A$201,0))&amp;"",IFERROR(INDEX(Clay_Brands!$A$2:$FZ$601,537,Sync!$D$5)&amp;"","")&amp;""))</f>
        <v/>
      </c>
      <c r="E5188" s="23" t="str">
        <f aca="false">IF(B5188="","",IFERROR(INDEX(Clay_Brands!$A$2:$FZ$601,537,Sync!$D$6)&amp;"",""))</f>
        <v/>
      </c>
      <c r="F5188" s="23" t="str">
        <f aca="false">IF(B5188="","","outreach_sent")</f>
        <v/>
      </c>
      <c r="G5188" s="23" t="str">
        <f aca="false">IF(B5188="","","")</f>
        <v/>
      </c>
      <c r="H5188" s="23" t="str">
        <f aca="false">IF(B5188="","","")</f>
        <v/>
      </c>
      <c r="I5188" s="23" t="str">
        <f aca="false">IF(B5188="","","")</f>
        <v/>
      </c>
      <c r="J5188" s="23" t="str">
        <f aca="false">IF(B5188="","","touch_3; "&amp;IFERROR(INDEX(Clay_Brands!$A$2:$FZ$601,537,Sync!$D$10)&amp;"","")&amp;"; "&amp;IFERROR(INDEX(Clay_Brands!$A$2:$FZ$601,537,Sync!$D$9)&amp;"",""))</f>
        <v/>
      </c>
      <c r="K5188" s="32" t="s">
        <v>1368</v>
      </c>
    </row>
    <row r="5189" customFormat="false" ht="15" hidden="false" customHeight="false" outlineLevel="0" collapsed="false">
      <c r="A5189" s="23" t="str">
        <f aca="false">IF(B5189="","",B5189+(17*1000+538)/10000000)</f>
        <v/>
      </c>
      <c r="B5189" s="35" t="str">
        <f aca="false">IF(AND(IFERROR(N(INDEX(Clay_Brands!$A$2:$FZ$601,538,Sync!$D$13)),0)&gt;0,IFERROR(INDEX(Clay_Brands!$A$2:$FZ$601,538,Sync!$D$5)&amp;"","")&lt;&gt;"",OR(LEFT(IFERROR(INDEX(Clay_Brands!$A$2:$FZ$601,538,Sync!$D$5)&amp;"",""),6)&lt;&gt;"SAMPLE",Config!$B$19="Y")),IFERROR(N(INDEX(Clay_Brands!$A$2:$FZ$601,538,Sync!$D$13)),0),"")</f>
        <v/>
      </c>
      <c r="C5189" s="23" t="str">
        <f aca="false">IF(B5189="","","brand")</f>
        <v/>
      </c>
      <c r="D5189" s="23" t="str">
        <f aca="false">IF(B5189="","",IFERROR(INDEX(Brand_Log!$DV$2:$DV$201,MATCH(IFERROR(INDEX(Clay_Brands!$A$2:$FZ$601,538,Sync!$D$5)&amp;"",""),Brand_Log!$A$2:$A$201,0))&amp;"",IFERROR(INDEX(Clay_Brands!$A$2:$FZ$601,538,Sync!$D$5)&amp;"","")&amp;""))</f>
        <v/>
      </c>
      <c r="E5189" s="23" t="str">
        <f aca="false">IF(B5189="","",IFERROR(INDEX(Clay_Brands!$A$2:$FZ$601,538,Sync!$D$6)&amp;"",""))</f>
        <v/>
      </c>
      <c r="F5189" s="23" t="str">
        <f aca="false">IF(B5189="","","outreach_sent")</f>
        <v/>
      </c>
      <c r="G5189" s="23" t="str">
        <f aca="false">IF(B5189="","","")</f>
        <v/>
      </c>
      <c r="H5189" s="23" t="str">
        <f aca="false">IF(B5189="","","")</f>
        <v/>
      </c>
      <c r="I5189" s="23" t="str">
        <f aca="false">IF(B5189="","","")</f>
        <v/>
      </c>
      <c r="J5189" s="23" t="str">
        <f aca="false">IF(B5189="","","touch_3; "&amp;IFERROR(INDEX(Clay_Brands!$A$2:$FZ$601,538,Sync!$D$10)&amp;"","")&amp;"; "&amp;IFERROR(INDEX(Clay_Brands!$A$2:$FZ$601,538,Sync!$D$9)&amp;"",""))</f>
        <v/>
      </c>
      <c r="K5189" s="32" t="s">
        <v>1368</v>
      </c>
    </row>
    <row r="5190" customFormat="false" ht="15" hidden="false" customHeight="false" outlineLevel="0" collapsed="false">
      <c r="A5190" s="23" t="str">
        <f aca="false">IF(B5190="","",B5190+(17*1000+539)/10000000)</f>
        <v/>
      </c>
      <c r="B5190" s="35" t="str">
        <f aca="false">IF(AND(IFERROR(N(INDEX(Clay_Brands!$A$2:$FZ$601,539,Sync!$D$13)),0)&gt;0,IFERROR(INDEX(Clay_Brands!$A$2:$FZ$601,539,Sync!$D$5)&amp;"","")&lt;&gt;"",OR(LEFT(IFERROR(INDEX(Clay_Brands!$A$2:$FZ$601,539,Sync!$D$5)&amp;"",""),6)&lt;&gt;"SAMPLE",Config!$B$19="Y")),IFERROR(N(INDEX(Clay_Brands!$A$2:$FZ$601,539,Sync!$D$13)),0),"")</f>
        <v/>
      </c>
      <c r="C5190" s="23" t="str">
        <f aca="false">IF(B5190="","","brand")</f>
        <v/>
      </c>
      <c r="D5190" s="23" t="str">
        <f aca="false">IF(B5190="","",IFERROR(INDEX(Brand_Log!$DV$2:$DV$201,MATCH(IFERROR(INDEX(Clay_Brands!$A$2:$FZ$601,539,Sync!$D$5)&amp;"",""),Brand_Log!$A$2:$A$201,0))&amp;"",IFERROR(INDEX(Clay_Brands!$A$2:$FZ$601,539,Sync!$D$5)&amp;"","")&amp;""))</f>
        <v/>
      </c>
      <c r="E5190" s="23" t="str">
        <f aca="false">IF(B5190="","",IFERROR(INDEX(Clay_Brands!$A$2:$FZ$601,539,Sync!$D$6)&amp;"",""))</f>
        <v/>
      </c>
      <c r="F5190" s="23" t="str">
        <f aca="false">IF(B5190="","","outreach_sent")</f>
        <v/>
      </c>
      <c r="G5190" s="23" t="str">
        <f aca="false">IF(B5190="","","")</f>
        <v/>
      </c>
      <c r="H5190" s="23" t="str">
        <f aca="false">IF(B5190="","","")</f>
        <v/>
      </c>
      <c r="I5190" s="23" t="str">
        <f aca="false">IF(B5190="","","")</f>
        <v/>
      </c>
      <c r="J5190" s="23" t="str">
        <f aca="false">IF(B5190="","","touch_3; "&amp;IFERROR(INDEX(Clay_Brands!$A$2:$FZ$601,539,Sync!$D$10)&amp;"","")&amp;"; "&amp;IFERROR(INDEX(Clay_Brands!$A$2:$FZ$601,539,Sync!$D$9)&amp;"",""))</f>
        <v/>
      </c>
      <c r="K5190" s="32" t="s">
        <v>1368</v>
      </c>
    </row>
    <row r="5191" customFormat="false" ht="15" hidden="false" customHeight="false" outlineLevel="0" collapsed="false">
      <c r="A5191" s="23" t="str">
        <f aca="false">IF(B5191="","",B5191+(17*1000+540)/10000000)</f>
        <v/>
      </c>
      <c r="B5191" s="35" t="str">
        <f aca="false">IF(AND(IFERROR(N(INDEX(Clay_Brands!$A$2:$FZ$601,540,Sync!$D$13)),0)&gt;0,IFERROR(INDEX(Clay_Brands!$A$2:$FZ$601,540,Sync!$D$5)&amp;"","")&lt;&gt;"",OR(LEFT(IFERROR(INDEX(Clay_Brands!$A$2:$FZ$601,540,Sync!$D$5)&amp;"",""),6)&lt;&gt;"SAMPLE",Config!$B$19="Y")),IFERROR(N(INDEX(Clay_Brands!$A$2:$FZ$601,540,Sync!$D$13)),0),"")</f>
        <v/>
      </c>
      <c r="C5191" s="23" t="str">
        <f aca="false">IF(B5191="","","brand")</f>
        <v/>
      </c>
      <c r="D5191" s="23" t="str">
        <f aca="false">IF(B5191="","",IFERROR(INDEX(Brand_Log!$DV$2:$DV$201,MATCH(IFERROR(INDEX(Clay_Brands!$A$2:$FZ$601,540,Sync!$D$5)&amp;"",""),Brand_Log!$A$2:$A$201,0))&amp;"",IFERROR(INDEX(Clay_Brands!$A$2:$FZ$601,540,Sync!$D$5)&amp;"","")&amp;""))</f>
        <v/>
      </c>
      <c r="E5191" s="23" t="str">
        <f aca="false">IF(B5191="","",IFERROR(INDEX(Clay_Brands!$A$2:$FZ$601,540,Sync!$D$6)&amp;"",""))</f>
        <v/>
      </c>
      <c r="F5191" s="23" t="str">
        <f aca="false">IF(B5191="","","outreach_sent")</f>
        <v/>
      </c>
      <c r="G5191" s="23" t="str">
        <f aca="false">IF(B5191="","","")</f>
        <v/>
      </c>
      <c r="H5191" s="23" t="str">
        <f aca="false">IF(B5191="","","")</f>
        <v/>
      </c>
      <c r="I5191" s="23" t="str">
        <f aca="false">IF(B5191="","","")</f>
        <v/>
      </c>
      <c r="J5191" s="23" t="str">
        <f aca="false">IF(B5191="","","touch_3; "&amp;IFERROR(INDEX(Clay_Brands!$A$2:$FZ$601,540,Sync!$D$10)&amp;"","")&amp;"; "&amp;IFERROR(INDEX(Clay_Brands!$A$2:$FZ$601,540,Sync!$D$9)&amp;"",""))</f>
        <v/>
      </c>
      <c r="K5191" s="32" t="s">
        <v>1368</v>
      </c>
    </row>
    <row r="5192" customFormat="false" ht="15" hidden="false" customHeight="false" outlineLevel="0" collapsed="false">
      <c r="A5192" s="23" t="str">
        <f aca="false">IF(B5192="","",B5192+(17*1000+541)/10000000)</f>
        <v/>
      </c>
      <c r="B5192" s="35" t="str">
        <f aca="false">IF(AND(IFERROR(N(INDEX(Clay_Brands!$A$2:$FZ$601,541,Sync!$D$13)),0)&gt;0,IFERROR(INDEX(Clay_Brands!$A$2:$FZ$601,541,Sync!$D$5)&amp;"","")&lt;&gt;"",OR(LEFT(IFERROR(INDEX(Clay_Brands!$A$2:$FZ$601,541,Sync!$D$5)&amp;"",""),6)&lt;&gt;"SAMPLE",Config!$B$19="Y")),IFERROR(N(INDEX(Clay_Brands!$A$2:$FZ$601,541,Sync!$D$13)),0),"")</f>
        <v/>
      </c>
      <c r="C5192" s="23" t="str">
        <f aca="false">IF(B5192="","","brand")</f>
        <v/>
      </c>
      <c r="D5192" s="23" t="str">
        <f aca="false">IF(B5192="","",IFERROR(INDEX(Brand_Log!$DV$2:$DV$201,MATCH(IFERROR(INDEX(Clay_Brands!$A$2:$FZ$601,541,Sync!$D$5)&amp;"",""),Brand_Log!$A$2:$A$201,0))&amp;"",IFERROR(INDEX(Clay_Brands!$A$2:$FZ$601,541,Sync!$D$5)&amp;"","")&amp;""))</f>
        <v/>
      </c>
      <c r="E5192" s="23" t="str">
        <f aca="false">IF(B5192="","",IFERROR(INDEX(Clay_Brands!$A$2:$FZ$601,541,Sync!$D$6)&amp;"",""))</f>
        <v/>
      </c>
      <c r="F5192" s="23" t="str">
        <f aca="false">IF(B5192="","","outreach_sent")</f>
        <v/>
      </c>
      <c r="G5192" s="23" t="str">
        <f aca="false">IF(B5192="","","")</f>
        <v/>
      </c>
      <c r="H5192" s="23" t="str">
        <f aca="false">IF(B5192="","","")</f>
        <v/>
      </c>
      <c r="I5192" s="23" t="str">
        <f aca="false">IF(B5192="","","")</f>
        <v/>
      </c>
      <c r="J5192" s="23" t="str">
        <f aca="false">IF(B5192="","","touch_3; "&amp;IFERROR(INDEX(Clay_Brands!$A$2:$FZ$601,541,Sync!$D$10)&amp;"","")&amp;"; "&amp;IFERROR(INDEX(Clay_Brands!$A$2:$FZ$601,541,Sync!$D$9)&amp;"",""))</f>
        <v/>
      </c>
      <c r="K5192" s="32" t="s">
        <v>1368</v>
      </c>
    </row>
    <row r="5193" customFormat="false" ht="15" hidden="false" customHeight="false" outlineLevel="0" collapsed="false">
      <c r="A5193" s="23" t="str">
        <f aca="false">IF(B5193="","",B5193+(17*1000+542)/10000000)</f>
        <v/>
      </c>
      <c r="B5193" s="35" t="str">
        <f aca="false">IF(AND(IFERROR(N(INDEX(Clay_Brands!$A$2:$FZ$601,542,Sync!$D$13)),0)&gt;0,IFERROR(INDEX(Clay_Brands!$A$2:$FZ$601,542,Sync!$D$5)&amp;"","")&lt;&gt;"",OR(LEFT(IFERROR(INDEX(Clay_Brands!$A$2:$FZ$601,542,Sync!$D$5)&amp;"",""),6)&lt;&gt;"SAMPLE",Config!$B$19="Y")),IFERROR(N(INDEX(Clay_Brands!$A$2:$FZ$601,542,Sync!$D$13)),0),"")</f>
        <v/>
      </c>
      <c r="C5193" s="23" t="str">
        <f aca="false">IF(B5193="","","brand")</f>
        <v/>
      </c>
      <c r="D5193" s="23" t="str">
        <f aca="false">IF(B5193="","",IFERROR(INDEX(Brand_Log!$DV$2:$DV$201,MATCH(IFERROR(INDEX(Clay_Brands!$A$2:$FZ$601,542,Sync!$D$5)&amp;"",""),Brand_Log!$A$2:$A$201,0))&amp;"",IFERROR(INDEX(Clay_Brands!$A$2:$FZ$601,542,Sync!$D$5)&amp;"","")&amp;""))</f>
        <v/>
      </c>
      <c r="E5193" s="23" t="str">
        <f aca="false">IF(B5193="","",IFERROR(INDEX(Clay_Brands!$A$2:$FZ$601,542,Sync!$D$6)&amp;"",""))</f>
        <v/>
      </c>
      <c r="F5193" s="23" t="str">
        <f aca="false">IF(B5193="","","outreach_sent")</f>
        <v/>
      </c>
      <c r="G5193" s="23" t="str">
        <f aca="false">IF(B5193="","","")</f>
        <v/>
      </c>
      <c r="H5193" s="23" t="str">
        <f aca="false">IF(B5193="","","")</f>
        <v/>
      </c>
      <c r="I5193" s="23" t="str">
        <f aca="false">IF(B5193="","","")</f>
        <v/>
      </c>
      <c r="J5193" s="23" t="str">
        <f aca="false">IF(B5193="","","touch_3; "&amp;IFERROR(INDEX(Clay_Brands!$A$2:$FZ$601,542,Sync!$D$10)&amp;"","")&amp;"; "&amp;IFERROR(INDEX(Clay_Brands!$A$2:$FZ$601,542,Sync!$D$9)&amp;"",""))</f>
        <v/>
      </c>
      <c r="K5193" s="32" t="s">
        <v>1368</v>
      </c>
    </row>
    <row r="5194" customFormat="false" ht="15" hidden="false" customHeight="false" outlineLevel="0" collapsed="false">
      <c r="A5194" s="23" t="str">
        <f aca="false">IF(B5194="","",B5194+(17*1000+543)/10000000)</f>
        <v/>
      </c>
      <c r="B5194" s="35" t="str">
        <f aca="false">IF(AND(IFERROR(N(INDEX(Clay_Brands!$A$2:$FZ$601,543,Sync!$D$13)),0)&gt;0,IFERROR(INDEX(Clay_Brands!$A$2:$FZ$601,543,Sync!$D$5)&amp;"","")&lt;&gt;"",OR(LEFT(IFERROR(INDEX(Clay_Brands!$A$2:$FZ$601,543,Sync!$D$5)&amp;"",""),6)&lt;&gt;"SAMPLE",Config!$B$19="Y")),IFERROR(N(INDEX(Clay_Brands!$A$2:$FZ$601,543,Sync!$D$13)),0),"")</f>
        <v/>
      </c>
      <c r="C5194" s="23" t="str">
        <f aca="false">IF(B5194="","","brand")</f>
        <v/>
      </c>
      <c r="D5194" s="23" t="str">
        <f aca="false">IF(B5194="","",IFERROR(INDEX(Brand_Log!$DV$2:$DV$201,MATCH(IFERROR(INDEX(Clay_Brands!$A$2:$FZ$601,543,Sync!$D$5)&amp;"",""),Brand_Log!$A$2:$A$201,0))&amp;"",IFERROR(INDEX(Clay_Brands!$A$2:$FZ$601,543,Sync!$D$5)&amp;"","")&amp;""))</f>
        <v/>
      </c>
      <c r="E5194" s="23" t="str">
        <f aca="false">IF(B5194="","",IFERROR(INDEX(Clay_Brands!$A$2:$FZ$601,543,Sync!$D$6)&amp;"",""))</f>
        <v/>
      </c>
      <c r="F5194" s="23" t="str">
        <f aca="false">IF(B5194="","","outreach_sent")</f>
        <v/>
      </c>
      <c r="G5194" s="23" t="str">
        <f aca="false">IF(B5194="","","")</f>
        <v/>
      </c>
      <c r="H5194" s="23" t="str">
        <f aca="false">IF(B5194="","","")</f>
        <v/>
      </c>
      <c r="I5194" s="23" t="str">
        <f aca="false">IF(B5194="","","")</f>
        <v/>
      </c>
      <c r="J5194" s="23" t="str">
        <f aca="false">IF(B5194="","","touch_3; "&amp;IFERROR(INDEX(Clay_Brands!$A$2:$FZ$601,543,Sync!$D$10)&amp;"","")&amp;"; "&amp;IFERROR(INDEX(Clay_Brands!$A$2:$FZ$601,543,Sync!$D$9)&amp;"",""))</f>
        <v/>
      </c>
      <c r="K5194" s="32" t="s">
        <v>1368</v>
      </c>
    </row>
    <row r="5195" customFormat="false" ht="15" hidden="false" customHeight="false" outlineLevel="0" collapsed="false">
      <c r="A5195" s="23" t="str">
        <f aca="false">IF(B5195="","",B5195+(17*1000+544)/10000000)</f>
        <v/>
      </c>
      <c r="B5195" s="35" t="str">
        <f aca="false">IF(AND(IFERROR(N(INDEX(Clay_Brands!$A$2:$FZ$601,544,Sync!$D$13)),0)&gt;0,IFERROR(INDEX(Clay_Brands!$A$2:$FZ$601,544,Sync!$D$5)&amp;"","")&lt;&gt;"",OR(LEFT(IFERROR(INDEX(Clay_Brands!$A$2:$FZ$601,544,Sync!$D$5)&amp;"",""),6)&lt;&gt;"SAMPLE",Config!$B$19="Y")),IFERROR(N(INDEX(Clay_Brands!$A$2:$FZ$601,544,Sync!$D$13)),0),"")</f>
        <v/>
      </c>
      <c r="C5195" s="23" t="str">
        <f aca="false">IF(B5195="","","brand")</f>
        <v/>
      </c>
      <c r="D5195" s="23" t="str">
        <f aca="false">IF(B5195="","",IFERROR(INDEX(Brand_Log!$DV$2:$DV$201,MATCH(IFERROR(INDEX(Clay_Brands!$A$2:$FZ$601,544,Sync!$D$5)&amp;"",""),Brand_Log!$A$2:$A$201,0))&amp;"",IFERROR(INDEX(Clay_Brands!$A$2:$FZ$601,544,Sync!$D$5)&amp;"","")&amp;""))</f>
        <v/>
      </c>
      <c r="E5195" s="23" t="str">
        <f aca="false">IF(B5195="","",IFERROR(INDEX(Clay_Brands!$A$2:$FZ$601,544,Sync!$D$6)&amp;"",""))</f>
        <v/>
      </c>
      <c r="F5195" s="23" t="str">
        <f aca="false">IF(B5195="","","outreach_sent")</f>
        <v/>
      </c>
      <c r="G5195" s="23" t="str">
        <f aca="false">IF(B5195="","","")</f>
        <v/>
      </c>
      <c r="H5195" s="23" t="str">
        <f aca="false">IF(B5195="","","")</f>
        <v/>
      </c>
      <c r="I5195" s="23" t="str">
        <f aca="false">IF(B5195="","","")</f>
        <v/>
      </c>
      <c r="J5195" s="23" t="str">
        <f aca="false">IF(B5195="","","touch_3; "&amp;IFERROR(INDEX(Clay_Brands!$A$2:$FZ$601,544,Sync!$D$10)&amp;"","")&amp;"; "&amp;IFERROR(INDEX(Clay_Brands!$A$2:$FZ$601,544,Sync!$D$9)&amp;"",""))</f>
        <v/>
      </c>
      <c r="K5195" s="32" t="s">
        <v>1368</v>
      </c>
    </row>
    <row r="5196" customFormat="false" ht="15" hidden="false" customHeight="false" outlineLevel="0" collapsed="false">
      <c r="A5196" s="23" t="str">
        <f aca="false">IF(B5196="","",B5196+(17*1000+545)/10000000)</f>
        <v/>
      </c>
      <c r="B5196" s="35" t="str">
        <f aca="false">IF(AND(IFERROR(N(INDEX(Clay_Brands!$A$2:$FZ$601,545,Sync!$D$13)),0)&gt;0,IFERROR(INDEX(Clay_Brands!$A$2:$FZ$601,545,Sync!$D$5)&amp;"","")&lt;&gt;"",OR(LEFT(IFERROR(INDEX(Clay_Brands!$A$2:$FZ$601,545,Sync!$D$5)&amp;"",""),6)&lt;&gt;"SAMPLE",Config!$B$19="Y")),IFERROR(N(INDEX(Clay_Brands!$A$2:$FZ$601,545,Sync!$D$13)),0),"")</f>
        <v/>
      </c>
      <c r="C5196" s="23" t="str">
        <f aca="false">IF(B5196="","","brand")</f>
        <v/>
      </c>
      <c r="D5196" s="23" t="str">
        <f aca="false">IF(B5196="","",IFERROR(INDEX(Brand_Log!$DV$2:$DV$201,MATCH(IFERROR(INDEX(Clay_Brands!$A$2:$FZ$601,545,Sync!$D$5)&amp;"",""),Brand_Log!$A$2:$A$201,0))&amp;"",IFERROR(INDEX(Clay_Brands!$A$2:$FZ$601,545,Sync!$D$5)&amp;"","")&amp;""))</f>
        <v/>
      </c>
      <c r="E5196" s="23" t="str">
        <f aca="false">IF(B5196="","",IFERROR(INDEX(Clay_Brands!$A$2:$FZ$601,545,Sync!$D$6)&amp;"",""))</f>
        <v/>
      </c>
      <c r="F5196" s="23" t="str">
        <f aca="false">IF(B5196="","","outreach_sent")</f>
        <v/>
      </c>
      <c r="G5196" s="23" t="str">
        <f aca="false">IF(B5196="","","")</f>
        <v/>
      </c>
      <c r="H5196" s="23" t="str">
        <f aca="false">IF(B5196="","","")</f>
        <v/>
      </c>
      <c r="I5196" s="23" t="str">
        <f aca="false">IF(B5196="","","")</f>
        <v/>
      </c>
      <c r="J5196" s="23" t="str">
        <f aca="false">IF(B5196="","","touch_3; "&amp;IFERROR(INDEX(Clay_Brands!$A$2:$FZ$601,545,Sync!$D$10)&amp;"","")&amp;"; "&amp;IFERROR(INDEX(Clay_Brands!$A$2:$FZ$601,545,Sync!$D$9)&amp;"",""))</f>
        <v/>
      </c>
      <c r="K5196" s="32" t="s">
        <v>1368</v>
      </c>
    </row>
    <row r="5197" customFormat="false" ht="15" hidden="false" customHeight="false" outlineLevel="0" collapsed="false">
      <c r="A5197" s="23" t="str">
        <f aca="false">IF(B5197="","",B5197+(17*1000+546)/10000000)</f>
        <v/>
      </c>
      <c r="B5197" s="35" t="str">
        <f aca="false">IF(AND(IFERROR(N(INDEX(Clay_Brands!$A$2:$FZ$601,546,Sync!$D$13)),0)&gt;0,IFERROR(INDEX(Clay_Brands!$A$2:$FZ$601,546,Sync!$D$5)&amp;"","")&lt;&gt;"",OR(LEFT(IFERROR(INDEX(Clay_Brands!$A$2:$FZ$601,546,Sync!$D$5)&amp;"",""),6)&lt;&gt;"SAMPLE",Config!$B$19="Y")),IFERROR(N(INDEX(Clay_Brands!$A$2:$FZ$601,546,Sync!$D$13)),0),"")</f>
        <v/>
      </c>
      <c r="C5197" s="23" t="str">
        <f aca="false">IF(B5197="","","brand")</f>
        <v/>
      </c>
      <c r="D5197" s="23" t="str">
        <f aca="false">IF(B5197="","",IFERROR(INDEX(Brand_Log!$DV$2:$DV$201,MATCH(IFERROR(INDEX(Clay_Brands!$A$2:$FZ$601,546,Sync!$D$5)&amp;"",""),Brand_Log!$A$2:$A$201,0))&amp;"",IFERROR(INDEX(Clay_Brands!$A$2:$FZ$601,546,Sync!$D$5)&amp;"","")&amp;""))</f>
        <v/>
      </c>
      <c r="E5197" s="23" t="str">
        <f aca="false">IF(B5197="","",IFERROR(INDEX(Clay_Brands!$A$2:$FZ$601,546,Sync!$D$6)&amp;"",""))</f>
        <v/>
      </c>
      <c r="F5197" s="23" t="str">
        <f aca="false">IF(B5197="","","outreach_sent")</f>
        <v/>
      </c>
      <c r="G5197" s="23" t="str">
        <f aca="false">IF(B5197="","","")</f>
        <v/>
      </c>
      <c r="H5197" s="23" t="str">
        <f aca="false">IF(B5197="","","")</f>
        <v/>
      </c>
      <c r="I5197" s="23" t="str">
        <f aca="false">IF(B5197="","","")</f>
        <v/>
      </c>
      <c r="J5197" s="23" t="str">
        <f aca="false">IF(B5197="","","touch_3; "&amp;IFERROR(INDEX(Clay_Brands!$A$2:$FZ$601,546,Sync!$D$10)&amp;"","")&amp;"; "&amp;IFERROR(INDEX(Clay_Brands!$A$2:$FZ$601,546,Sync!$D$9)&amp;"",""))</f>
        <v/>
      </c>
      <c r="K5197" s="32" t="s">
        <v>1368</v>
      </c>
    </row>
    <row r="5198" customFormat="false" ht="15" hidden="false" customHeight="false" outlineLevel="0" collapsed="false">
      <c r="A5198" s="23" t="str">
        <f aca="false">IF(B5198="","",B5198+(17*1000+547)/10000000)</f>
        <v/>
      </c>
      <c r="B5198" s="35" t="str">
        <f aca="false">IF(AND(IFERROR(N(INDEX(Clay_Brands!$A$2:$FZ$601,547,Sync!$D$13)),0)&gt;0,IFERROR(INDEX(Clay_Brands!$A$2:$FZ$601,547,Sync!$D$5)&amp;"","")&lt;&gt;"",OR(LEFT(IFERROR(INDEX(Clay_Brands!$A$2:$FZ$601,547,Sync!$D$5)&amp;"",""),6)&lt;&gt;"SAMPLE",Config!$B$19="Y")),IFERROR(N(INDEX(Clay_Brands!$A$2:$FZ$601,547,Sync!$D$13)),0),"")</f>
        <v/>
      </c>
      <c r="C5198" s="23" t="str">
        <f aca="false">IF(B5198="","","brand")</f>
        <v/>
      </c>
      <c r="D5198" s="23" t="str">
        <f aca="false">IF(B5198="","",IFERROR(INDEX(Brand_Log!$DV$2:$DV$201,MATCH(IFERROR(INDEX(Clay_Brands!$A$2:$FZ$601,547,Sync!$D$5)&amp;"",""),Brand_Log!$A$2:$A$201,0))&amp;"",IFERROR(INDEX(Clay_Brands!$A$2:$FZ$601,547,Sync!$D$5)&amp;"","")&amp;""))</f>
        <v/>
      </c>
      <c r="E5198" s="23" t="str">
        <f aca="false">IF(B5198="","",IFERROR(INDEX(Clay_Brands!$A$2:$FZ$601,547,Sync!$D$6)&amp;"",""))</f>
        <v/>
      </c>
      <c r="F5198" s="23" t="str">
        <f aca="false">IF(B5198="","","outreach_sent")</f>
        <v/>
      </c>
      <c r="G5198" s="23" t="str">
        <f aca="false">IF(B5198="","","")</f>
        <v/>
      </c>
      <c r="H5198" s="23" t="str">
        <f aca="false">IF(B5198="","","")</f>
        <v/>
      </c>
      <c r="I5198" s="23" t="str">
        <f aca="false">IF(B5198="","","")</f>
        <v/>
      </c>
      <c r="J5198" s="23" t="str">
        <f aca="false">IF(B5198="","","touch_3; "&amp;IFERROR(INDEX(Clay_Brands!$A$2:$FZ$601,547,Sync!$D$10)&amp;"","")&amp;"; "&amp;IFERROR(INDEX(Clay_Brands!$A$2:$FZ$601,547,Sync!$D$9)&amp;"",""))</f>
        <v/>
      </c>
      <c r="K5198" s="32" t="s">
        <v>1368</v>
      </c>
    </row>
    <row r="5199" customFormat="false" ht="15" hidden="false" customHeight="false" outlineLevel="0" collapsed="false">
      <c r="A5199" s="23" t="str">
        <f aca="false">IF(B5199="","",B5199+(17*1000+548)/10000000)</f>
        <v/>
      </c>
      <c r="B5199" s="35" t="str">
        <f aca="false">IF(AND(IFERROR(N(INDEX(Clay_Brands!$A$2:$FZ$601,548,Sync!$D$13)),0)&gt;0,IFERROR(INDEX(Clay_Brands!$A$2:$FZ$601,548,Sync!$D$5)&amp;"","")&lt;&gt;"",OR(LEFT(IFERROR(INDEX(Clay_Brands!$A$2:$FZ$601,548,Sync!$D$5)&amp;"",""),6)&lt;&gt;"SAMPLE",Config!$B$19="Y")),IFERROR(N(INDEX(Clay_Brands!$A$2:$FZ$601,548,Sync!$D$13)),0),"")</f>
        <v/>
      </c>
      <c r="C5199" s="23" t="str">
        <f aca="false">IF(B5199="","","brand")</f>
        <v/>
      </c>
      <c r="D5199" s="23" t="str">
        <f aca="false">IF(B5199="","",IFERROR(INDEX(Brand_Log!$DV$2:$DV$201,MATCH(IFERROR(INDEX(Clay_Brands!$A$2:$FZ$601,548,Sync!$D$5)&amp;"",""),Brand_Log!$A$2:$A$201,0))&amp;"",IFERROR(INDEX(Clay_Brands!$A$2:$FZ$601,548,Sync!$D$5)&amp;"","")&amp;""))</f>
        <v/>
      </c>
      <c r="E5199" s="23" t="str">
        <f aca="false">IF(B5199="","",IFERROR(INDEX(Clay_Brands!$A$2:$FZ$601,548,Sync!$D$6)&amp;"",""))</f>
        <v/>
      </c>
      <c r="F5199" s="23" t="str">
        <f aca="false">IF(B5199="","","outreach_sent")</f>
        <v/>
      </c>
      <c r="G5199" s="23" t="str">
        <f aca="false">IF(B5199="","","")</f>
        <v/>
      </c>
      <c r="H5199" s="23" t="str">
        <f aca="false">IF(B5199="","","")</f>
        <v/>
      </c>
      <c r="I5199" s="23" t="str">
        <f aca="false">IF(B5199="","","")</f>
        <v/>
      </c>
      <c r="J5199" s="23" t="str">
        <f aca="false">IF(B5199="","","touch_3; "&amp;IFERROR(INDEX(Clay_Brands!$A$2:$FZ$601,548,Sync!$D$10)&amp;"","")&amp;"; "&amp;IFERROR(INDEX(Clay_Brands!$A$2:$FZ$601,548,Sync!$D$9)&amp;"",""))</f>
        <v/>
      </c>
      <c r="K5199" s="32" t="s">
        <v>1368</v>
      </c>
    </row>
    <row r="5200" customFormat="false" ht="15" hidden="false" customHeight="false" outlineLevel="0" collapsed="false">
      <c r="A5200" s="23" t="str">
        <f aca="false">IF(B5200="","",B5200+(17*1000+549)/10000000)</f>
        <v/>
      </c>
      <c r="B5200" s="35" t="str">
        <f aca="false">IF(AND(IFERROR(N(INDEX(Clay_Brands!$A$2:$FZ$601,549,Sync!$D$13)),0)&gt;0,IFERROR(INDEX(Clay_Brands!$A$2:$FZ$601,549,Sync!$D$5)&amp;"","")&lt;&gt;"",OR(LEFT(IFERROR(INDEX(Clay_Brands!$A$2:$FZ$601,549,Sync!$D$5)&amp;"",""),6)&lt;&gt;"SAMPLE",Config!$B$19="Y")),IFERROR(N(INDEX(Clay_Brands!$A$2:$FZ$601,549,Sync!$D$13)),0),"")</f>
        <v/>
      </c>
      <c r="C5200" s="23" t="str">
        <f aca="false">IF(B5200="","","brand")</f>
        <v/>
      </c>
      <c r="D5200" s="23" t="str">
        <f aca="false">IF(B5200="","",IFERROR(INDEX(Brand_Log!$DV$2:$DV$201,MATCH(IFERROR(INDEX(Clay_Brands!$A$2:$FZ$601,549,Sync!$D$5)&amp;"",""),Brand_Log!$A$2:$A$201,0))&amp;"",IFERROR(INDEX(Clay_Brands!$A$2:$FZ$601,549,Sync!$D$5)&amp;"","")&amp;""))</f>
        <v/>
      </c>
      <c r="E5200" s="23" t="str">
        <f aca="false">IF(B5200="","",IFERROR(INDEX(Clay_Brands!$A$2:$FZ$601,549,Sync!$D$6)&amp;"",""))</f>
        <v/>
      </c>
      <c r="F5200" s="23" t="str">
        <f aca="false">IF(B5200="","","outreach_sent")</f>
        <v/>
      </c>
      <c r="G5200" s="23" t="str">
        <f aca="false">IF(B5200="","","")</f>
        <v/>
      </c>
      <c r="H5200" s="23" t="str">
        <f aca="false">IF(B5200="","","")</f>
        <v/>
      </c>
      <c r="I5200" s="23" t="str">
        <f aca="false">IF(B5200="","","")</f>
        <v/>
      </c>
      <c r="J5200" s="23" t="str">
        <f aca="false">IF(B5200="","","touch_3; "&amp;IFERROR(INDEX(Clay_Brands!$A$2:$FZ$601,549,Sync!$D$10)&amp;"","")&amp;"; "&amp;IFERROR(INDEX(Clay_Brands!$A$2:$FZ$601,549,Sync!$D$9)&amp;"",""))</f>
        <v/>
      </c>
      <c r="K5200" s="32" t="s">
        <v>1368</v>
      </c>
    </row>
    <row r="5201" customFormat="false" ht="15" hidden="false" customHeight="false" outlineLevel="0" collapsed="false">
      <c r="A5201" s="23" t="str">
        <f aca="false">IF(B5201="","",B5201+(17*1000+550)/10000000)</f>
        <v/>
      </c>
      <c r="B5201" s="35" t="str">
        <f aca="false">IF(AND(IFERROR(N(INDEX(Clay_Brands!$A$2:$FZ$601,550,Sync!$D$13)),0)&gt;0,IFERROR(INDEX(Clay_Brands!$A$2:$FZ$601,550,Sync!$D$5)&amp;"","")&lt;&gt;"",OR(LEFT(IFERROR(INDEX(Clay_Brands!$A$2:$FZ$601,550,Sync!$D$5)&amp;"",""),6)&lt;&gt;"SAMPLE",Config!$B$19="Y")),IFERROR(N(INDEX(Clay_Brands!$A$2:$FZ$601,550,Sync!$D$13)),0),"")</f>
        <v/>
      </c>
      <c r="C5201" s="23" t="str">
        <f aca="false">IF(B5201="","","brand")</f>
        <v/>
      </c>
      <c r="D5201" s="23" t="str">
        <f aca="false">IF(B5201="","",IFERROR(INDEX(Brand_Log!$DV$2:$DV$201,MATCH(IFERROR(INDEX(Clay_Brands!$A$2:$FZ$601,550,Sync!$D$5)&amp;"",""),Brand_Log!$A$2:$A$201,0))&amp;"",IFERROR(INDEX(Clay_Brands!$A$2:$FZ$601,550,Sync!$D$5)&amp;"","")&amp;""))</f>
        <v/>
      </c>
      <c r="E5201" s="23" t="str">
        <f aca="false">IF(B5201="","",IFERROR(INDEX(Clay_Brands!$A$2:$FZ$601,550,Sync!$D$6)&amp;"",""))</f>
        <v/>
      </c>
      <c r="F5201" s="23" t="str">
        <f aca="false">IF(B5201="","","outreach_sent")</f>
        <v/>
      </c>
      <c r="G5201" s="23" t="str">
        <f aca="false">IF(B5201="","","")</f>
        <v/>
      </c>
      <c r="H5201" s="23" t="str">
        <f aca="false">IF(B5201="","","")</f>
        <v/>
      </c>
      <c r="I5201" s="23" t="str">
        <f aca="false">IF(B5201="","","")</f>
        <v/>
      </c>
      <c r="J5201" s="23" t="str">
        <f aca="false">IF(B5201="","","touch_3; "&amp;IFERROR(INDEX(Clay_Brands!$A$2:$FZ$601,550,Sync!$D$10)&amp;"","")&amp;"; "&amp;IFERROR(INDEX(Clay_Brands!$A$2:$FZ$601,550,Sync!$D$9)&amp;"",""))</f>
        <v/>
      </c>
      <c r="K5201" s="32" t="s">
        <v>1368</v>
      </c>
    </row>
    <row r="5202" customFormat="false" ht="15" hidden="false" customHeight="false" outlineLevel="0" collapsed="false">
      <c r="A5202" s="23" t="str">
        <f aca="false">IF(B5202="","",B5202+(17*1000+551)/10000000)</f>
        <v/>
      </c>
      <c r="B5202" s="35" t="str">
        <f aca="false">IF(AND(IFERROR(N(INDEX(Clay_Brands!$A$2:$FZ$601,551,Sync!$D$13)),0)&gt;0,IFERROR(INDEX(Clay_Brands!$A$2:$FZ$601,551,Sync!$D$5)&amp;"","")&lt;&gt;"",OR(LEFT(IFERROR(INDEX(Clay_Brands!$A$2:$FZ$601,551,Sync!$D$5)&amp;"",""),6)&lt;&gt;"SAMPLE",Config!$B$19="Y")),IFERROR(N(INDEX(Clay_Brands!$A$2:$FZ$601,551,Sync!$D$13)),0),"")</f>
        <v/>
      </c>
      <c r="C5202" s="23" t="str">
        <f aca="false">IF(B5202="","","brand")</f>
        <v/>
      </c>
      <c r="D5202" s="23" t="str">
        <f aca="false">IF(B5202="","",IFERROR(INDEX(Brand_Log!$DV$2:$DV$201,MATCH(IFERROR(INDEX(Clay_Brands!$A$2:$FZ$601,551,Sync!$D$5)&amp;"",""),Brand_Log!$A$2:$A$201,0))&amp;"",IFERROR(INDEX(Clay_Brands!$A$2:$FZ$601,551,Sync!$D$5)&amp;"","")&amp;""))</f>
        <v/>
      </c>
      <c r="E5202" s="23" t="str">
        <f aca="false">IF(B5202="","",IFERROR(INDEX(Clay_Brands!$A$2:$FZ$601,551,Sync!$D$6)&amp;"",""))</f>
        <v/>
      </c>
      <c r="F5202" s="23" t="str">
        <f aca="false">IF(B5202="","","outreach_sent")</f>
        <v/>
      </c>
      <c r="G5202" s="23" t="str">
        <f aca="false">IF(B5202="","","")</f>
        <v/>
      </c>
      <c r="H5202" s="23" t="str">
        <f aca="false">IF(B5202="","","")</f>
        <v/>
      </c>
      <c r="I5202" s="23" t="str">
        <f aca="false">IF(B5202="","","")</f>
        <v/>
      </c>
      <c r="J5202" s="23" t="str">
        <f aca="false">IF(B5202="","","touch_3; "&amp;IFERROR(INDEX(Clay_Brands!$A$2:$FZ$601,551,Sync!$D$10)&amp;"","")&amp;"; "&amp;IFERROR(INDEX(Clay_Brands!$A$2:$FZ$601,551,Sync!$D$9)&amp;"",""))</f>
        <v/>
      </c>
      <c r="K5202" s="32" t="s">
        <v>1368</v>
      </c>
    </row>
    <row r="5203" customFormat="false" ht="15" hidden="false" customHeight="false" outlineLevel="0" collapsed="false">
      <c r="A5203" s="23" t="str">
        <f aca="false">IF(B5203="","",B5203+(17*1000+552)/10000000)</f>
        <v/>
      </c>
      <c r="B5203" s="35" t="str">
        <f aca="false">IF(AND(IFERROR(N(INDEX(Clay_Brands!$A$2:$FZ$601,552,Sync!$D$13)),0)&gt;0,IFERROR(INDEX(Clay_Brands!$A$2:$FZ$601,552,Sync!$D$5)&amp;"","")&lt;&gt;"",OR(LEFT(IFERROR(INDEX(Clay_Brands!$A$2:$FZ$601,552,Sync!$D$5)&amp;"",""),6)&lt;&gt;"SAMPLE",Config!$B$19="Y")),IFERROR(N(INDEX(Clay_Brands!$A$2:$FZ$601,552,Sync!$D$13)),0),"")</f>
        <v/>
      </c>
      <c r="C5203" s="23" t="str">
        <f aca="false">IF(B5203="","","brand")</f>
        <v/>
      </c>
      <c r="D5203" s="23" t="str">
        <f aca="false">IF(B5203="","",IFERROR(INDEX(Brand_Log!$DV$2:$DV$201,MATCH(IFERROR(INDEX(Clay_Brands!$A$2:$FZ$601,552,Sync!$D$5)&amp;"",""),Brand_Log!$A$2:$A$201,0))&amp;"",IFERROR(INDEX(Clay_Brands!$A$2:$FZ$601,552,Sync!$D$5)&amp;"","")&amp;""))</f>
        <v/>
      </c>
      <c r="E5203" s="23" t="str">
        <f aca="false">IF(B5203="","",IFERROR(INDEX(Clay_Brands!$A$2:$FZ$601,552,Sync!$D$6)&amp;"",""))</f>
        <v/>
      </c>
      <c r="F5203" s="23" t="str">
        <f aca="false">IF(B5203="","","outreach_sent")</f>
        <v/>
      </c>
      <c r="G5203" s="23" t="str">
        <f aca="false">IF(B5203="","","")</f>
        <v/>
      </c>
      <c r="H5203" s="23" t="str">
        <f aca="false">IF(B5203="","","")</f>
        <v/>
      </c>
      <c r="I5203" s="23" t="str">
        <f aca="false">IF(B5203="","","")</f>
        <v/>
      </c>
      <c r="J5203" s="23" t="str">
        <f aca="false">IF(B5203="","","touch_3; "&amp;IFERROR(INDEX(Clay_Brands!$A$2:$FZ$601,552,Sync!$D$10)&amp;"","")&amp;"; "&amp;IFERROR(INDEX(Clay_Brands!$A$2:$FZ$601,552,Sync!$D$9)&amp;"",""))</f>
        <v/>
      </c>
      <c r="K5203" s="32" t="s">
        <v>1368</v>
      </c>
    </row>
    <row r="5204" customFormat="false" ht="15" hidden="false" customHeight="false" outlineLevel="0" collapsed="false">
      <c r="A5204" s="23" t="str">
        <f aca="false">IF(B5204="","",B5204+(17*1000+553)/10000000)</f>
        <v/>
      </c>
      <c r="B5204" s="35" t="str">
        <f aca="false">IF(AND(IFERROR(N(INDEX(Clay_Brands!$A$2:$FZ$601,553,Sync!$D$13)),0)&gt;0,IFERROR(INDEX(Clay_Brands!$A$2:$FZ$601,553,Sync!$D$5)&amp;"","")&lt;&gt;"",OR(LEFT(IFERROR(INDEX(Clay_Brands!$A$2:$FZ$601,553,Sync!$D$5)&amp;"",""),6)&lt;&gt;"SAMPLE",Config!$B$19="Y")),IFERROR(N(INDEX(Clay_Brands!$A$2:$FZ$601,553,Sync!$D$13)),0),"")</f>
        <v/>
      </c>
      <c r="C5204" s="23" t="str">
        <f aca="false">IF(B5204="","","brand")</f>
        <v/>
      </c>
      <c r="D5204" s="23" t="str">
        <f aca="false">IF(B5204="","",IFERROR(INDEX(Brand_Log!$DV$2:$DV$201,MATCH(IFERROR(INDEX(Clay_Brands!$A$2:$FZ$601,553,Sync!$D$5)&amp;"",""),Brand_Log!$A$2:$A$201,0))&amp;"",IFERROR(INDEX(Clay_Brands!$A$2:$FZ$601,553,Sync!$D$5)&amp;"","")&amp;""))</f>
        <v/>
      </c>
      <c r="E5204" s="23" t="str">
        <f aca="false">IF(B5204="","",IFERROR(INDEX(Clay_Brands!$A$2:$FZ$601,553,Sync!$D$6)&amp;"",""))</f>
        <v/>
      </c>
      <c r="F5204" s="23" t="str">
        <f aca="false">IF(B5204="","","outreach_sent")</f>
        <v/>
      </c>
      <c r="G5204" s="23" t="str">
        <f aca="false">IF(B5204="","","")</f>
        <v/>
      </c>
      <c r="H5204" s="23" t="str">
        <f aca="false">IF(B5204="","","")</f>
        <v/>
      </c>
      <c r="I5204" s="23" t="str">
        <f aca="false">IF(B5204="","","")</f>
        <v/>
      </c>
      <c r="J5204" s="23" t="str">
        <f aca="false">IF(B5204="","","touch_3; "&amp;IFERROR(INDEX(Clay_Brands!$A$2:$FZ$601,553,Sync!$D$10)&amp;"","")&amp;"; "&amp;IFERROR(INDEX(Clay_Brands!$A$2:$FZ$601,553,Sync!$D$9)&amp;"",""))</f>
        <v/>
      </c>
      <c r="K5204" s="32" t="s">
        <v>1368</v>
      </c>
    </row>
    <row r="5205" customFormat="false" ht="15" hidden="false" customHeight="false" outlineLevel="0" collapsed="false">
      <c r="A5205" s="23" t="str">
        <f aca="false">IF(B5205="","",B5205+(17*1000+554)/10000000)</f>
        <v/>
      </c>
      <c r="B5205" s="35" t="str">
        <f aca="false">IF(AND(IFERROR(N(INDEX(Clay_Brands!$A$2:$FZ$601,554,Sync!$D$13)),0)&gt;0,IFERROR(INDEX(Clay_Brands!$A$2:$FZ$601,554,Sync!$D$5)&amp;"","")&lt;&gt;"",OR(LEFT(IFERROR(INDEX(Clay_Brands!$A$2:$FZ$601,554,Sync!$D$5)&amp;"",""),6)&lt;&gt;"SAMPLE",Config!$B$19="Y")),IFERROR(N(INDEX(Clay_Brands!$A$2:$FZ$601,554,Sync!$D$13)),0),"")</f>
        <v/>
      </c>
      <c r="C5205" s="23" t="str">
        <f aca="false">IF(B5205="","","brand")</f>
        <v/>
      </c>
      <c r="D5205" s="23" t="str">
        <f aca="false">IF(B5205="","",IFERROR(INDEX(Brand_Log!$DV$2:$DV$201,MATCH(IFERROR(INDEX(Clay_Brands!$A$2:$FZ$601,554,Sync!$D$5)&amp;"",""),Brand_Log!$A$2:$A$201,0))&amp;"",IFERROR(INDEX(Clay_Brands!$A$2:$FZ$601,554,Sync!$D$5)&amp;"","")&amp;""))</f>
        <v/>
      </c>
      <c r="E5205" s="23" t="str">
        <f aca="false">IF(B5205="","",IFERROR(INDEX(Clay_Brands!$A$2:$FZ$601,554,Sync!$D$6)&amp;"",""))</f>
        <v/>
      </c>
      <c r="F5205" s="23" t="str">
        <f aca="false">IF(B5205="","","outreach_sent")</f>
        <v/>
      </c>
      <c r="G5205" s="23" t="str">
        <f aca="false">IF(B5205="","","")</f>
        <v/>
      </c>
      <c r="H5205" s="23" t="str">
        <f aca="false">IF(B5205="","","")</f>
        <v/>
      </c>
      <c r="I5205" s="23" t="str">
        <f aca="false">IF(B5205="","","")</f>
        <v/>
      </c>
      <c r="J5205" s="23" t="str">
        <f aca="false">IF(B5205="","","touch_3; "&amp;IFERROR(INDEX(Clay_Brands!$A$2:$FZ$601,554,Sync!$D$10)&amp;"","")&amp;"; "&amp;IFERROR(INDEX(Clay_Brands!$A$2:$FZ$601,554,Sync!$D$9)&amp;"",""))</f>
        <v/>
      </c>
      <c r="K5205" s="32" t="s">
        <v>1368</v>
      </c>
    </row>
    <row r="5206" customFormat="false" ht="15" hidden="false" customHeight="false" outlineLevel="0" collapsed="false">
      <c r="A5206" s="23" t="str">
        <f aca="false">IF(B5206="","",B5206+(17*1000+555)/10000000)</f>
        <v/>
      </c>
      <c r="B5206" s="35" t="str">
        <f aca="false">IF(AND(IFERROR(N(INDEX(Clay_Brands!$A$2:$FZ$601,555,Sync!$D$13)),0)&gt;0,IFERROR(INDEX(Clay_Brands!$A$2:$FZ$601,555,Sync!$D$5)&amp;"","")&lt;&gt;"",OR(LEFT(IFERROR(INDEX(Clay_Brands!$A$2:$FZ$601,555,Sync!$D$5)&amp;"",""),6)&lt;&gt;"SAMPLE",Config!$B$19="Y")),IFERROR(N(INDEX(Clay_Brands!$A$2:$FZ$601,555,Sync!$D$13)),0),"")</f>
        <v/>
      </c>
      <c r="C5206" s="23" t="str">
        <f aca="false">IF(B5206="","","brand")</f>
        <v/>
      </c>
      <c r="D5206" s="23" t="str">
        <f aca="false">IF(B5206="","",IFERROR(INDEX(Brand_Log!$DV$2:$DV$201,MATCH(IFERROR(INDEX(Clay_Brands!$A$2:$FZ$601,555,Sync!$D$5)&amp;"",""),Brand_Log!$A$2:$A$201,0))&amp;"",IFERROR(INDEX(Clay_Brands!$A$2:$FZ$601,555,Sync!$D$5)&amp;"","")&amp;""))</f>
        <v/>
      </c>
      <c r="E5206" s="23" t="str">
        <f aca="false">IF(B5206="","",IFERROR(INDEX(Clay_Brands!$A$2:$FZ$601,555,Sync!$D$6)&amp;"",""))</f>
        <v/>
      </c>
      <c r="F5206" s="23" t="str">
        <f aca="false">IF(B5206="","","outreach_sent")</f>
        <v/>
      </c>
      <c r="G5206" s="23" t="str">
        <f aca="false">IF(B5206="","","")</f>
        <v/>
      </c>
      <c r="H5206" s="23" t="str">
        <f aca="false">IF(B5206="","","")</f>
        <v/>
      </c>
      <c r="I5206" s="23" t="str">
        <f aca="false">IF(B5206="","","")</f>
        <v/>
      </c>
      <c r="J5206" s="23" t="str">
        <f aca="false">IF(B5206="","","touch_3; "&amp;IFERROR(INDEX(Clay_Brands!$A$2:$FZ$601,555,Sync!$D$10)&amp;"","")&amp;"; "&amp;IFERROR(INDEX(Clay_Brands!$A$2:$FZ$601,555,Sync!$D$9)&amp;"",""))</f>
        <v/>
      </c>
      <c r="K5206" s="32" t="s">
        <v>1368</v>
      </c>
    </row>
    <row r="5207" customFormat="false" ht="15" hidden="false" customHeight="false" outlineLevel="0" collapsed="false">
      <c r="A5207" s="23" t="str">
        <f aca="false">IF(B5207="","",B5207+(17*1000+556)/10000000)</f>
        <v/>
      </c>
      <c r="B5207" s="35" t="str">
        <f aca="false">IF(AND(IFERROR(N(INDEX(Clay_Brands!$A$2:$FZ$601,556,Sync!$D$13)),0)&gt;0,IFERROR(INDEX(Clay_Brands!$A$2:$FZ$601,556,Sync!$D$5)&amp;"","")&lt;&gt;"",OR(LEFT(IFERROR(INDEX(Clay_Brands!$A$2:$FZ$601,556,Sync!$D$5)&amp;"",""),6)&lt;&gt;"SAMPLE",Config!$B$19="Y")),IFERROR(N(INDEX(Clay_Brands!$A$2:$FZ$601,556,Sync!$D$13)),0),"")</f>
        <v/>
      </c>
      <c r="C5207" s="23" t="str">
        <f aca="false">IF(B5207="","","brand")</f>
        <v/>
      </c>
      <c r="D5207" s="23" t="str">
        <f aca="false">IF(B5207="","",IFERROR(INDEX(Brand_Log!$DV$2:$DV$201,MATCH(IFERROR(INDEX(Clay_Brands!$A$2:$FZ$601,556,Sync!$D$5)&amp;"",""),Brand_Log!$A$2:$A$201,0))&amp;"",IFERROR(INDEX(Clay_Brands!$A$2:$FZ$601,556,Sync!$D$5)&amp;"","")&amp;""))</f>
        <v/>
      </c>
      <c r="E5207" s="23" t="str">
        <f aca="false">IF(B5207="","",IFERROR(INDEX(Clay_Brands!$A$2:$FZ$601,556,Sync!$D$6)&amp;"",""))</f>
        <v/>
      </c>
      <c r="F5207" s="23" t="str">
        <f aca="false">IF(B5207="","","outreach_sent")</f>
        <v/>
      </c>
      <c r="G5207" s="23" t="str">
        <f aca="false">IF(B5207="","","")</f>
        <v/>
      </c>
      <c r="H5207" s="23" t="str">
        <f aca="false">IF(B5207="","","")</f>
        <v/>
      </c>
      <c r="I5207" s="23" t="str">
        <f aca="false">IF(B5207="","","")</f>
        <v/>
      </c>
      <c r="J5207" s="23" t="str">
        <f aca="false">IF(B5207="","","touch_3; "&amp;IFERROR(INDEX(Clay_Brands!$A$2:$FZ$601,556,Sync!$D$10)&amp;"","")&amp;"; "&amp;IFERROR(INDEX(Clay_Brands!$A$2:$FZ$601,556,Sync!$D$9)&amp;"",""))</f>
        <v/>
      </c>
      <c r="K5207" s="32" t="s">
        <v>1368</v>
      </c>
    </row>
    <row r="5208" customFormat="false" ht="15" hidden="false" customHeight="false" outlineLevel="0" collapsed="false">
      <c r="A5208" s="23" t="str">
        <f aca="false">IF(B5208="","",B5208+(17*1000+557)/10000000)</f>
        <v/>
      </c>
      <c r="B5208" s="35" t="str">
        <f aca="false">IF(AND(IFERROR(N(INDEX(Clay_Brands!$A$2:$FZ$601,557,Sync!$D$13)),0)&gt;0,IFERROR(INDEX(Clay_Brands!$A$2:$FZ$601,557,Sync!$D$5)&amp;"","")&lt;&gt;"",OR(LEFT(IFERROR(INDEX(Clay_Brands!$A$2:$FZ$601,557,Sync!$D$5)&amp;"",""),6)&lt;&gt;"SAMPLE",Config!$B$19="Y")),IFERROR(N(INDEX(Clay_Brands!$A$2:$FZ$601,557,Sync!$D$13)),0),"")</f>
        <v/>
      </c>
      <c r="C5208" s="23" t="str">
        <f aca="false">IF(B5208="","","brand")</f>
        <v/>
      </c>
      <c r="D5208" s="23" t="str">
        <f aca="false">IF(B5208="","",IFERROR(INDEX(Brand_Log!$DV$2:$DV$201,MATCH(IFERROR(INDEX(Clay_Brands!$A$2:$FZ$601,557,Sync!$D$5)&amp;"",""),Brand_Log!$A$2:$A$201,0))&amp;"",IFERROR(INDEX(Clay_Brands!$A$2:$FZ$601,557,Sync!$D$5)&amp;"","")&amp;""))</f>
        <v/>
      </c>
      <c r="E5208" s="23" t="str">
        <f aca="false">IF(B5208="","",IFERROR(INDEX(Clay_Brands!$A$2:$FZ$601,557,Sync!$D$6)&amp;"",""))</f>
        <v/>
      </c>
      <c r="F5208" s="23" t="str">
        <f aca="false">IF(B5208="","","outreach_sent")</f>
        <v/>
      </c>
      <c r="G5208" s="23" t="str">
        <f aca="false">IF(B5208="","","")</f>
        <v/>
      </c>
      <c r="H5208" s="23" t="str">
        <f aca="false">IF(B5208="","","")</f>
        <v/>
      </c>
      <c r="I5208" s="23" t="str">
        <f aca="false">IF(B5208="","","")</f>
        <v/>
      </c>
      <c r="J5208" s="23" t="str">
        <f aca="false">IF(B5208="","","touch_3; "&amp;IFERROR(INDEX(Clay_Brands!$A$2:$FZ$601,557,Sync!$D$10)&amp;"","")&amp;"; "&amp;IFERROR(INDEX(Clay_Brands!$A$2:$FZ$601,557,Sync!$D$9)&amp;"",""))</f>
        <v/>
      </c>
      <c r="K5208" s="32" t="s">
        <v>1368</v>
      </c>
    </row>
    <row r="5209" customFormat="false" ht="15" hidden="false" customHeight="false" outlineLevel="0" collapsed="false">
      <c r="A5209" s="23" t="str">
        <f aca="false">IF(B5209="","",B5209+(17*1000+558)/10000000)</f>
        <v/>
      </c>
      <c r="B5209" s="35" t="str">
        <f aca="false">IF(AND(IFERROR(N(INDEX(Clay_Brands!$A$2:$FZ$601,558,Sync!$D$13)),0)&gt;0,IFERROR(INDEX(Clay_Brands!$A$2:$FZ$601,558,Sync!$D$5)&amp;"","")&lt;&gt;"",OR(LEFT(IFERROR(INDEX(Clay_Brands!$A$2:$FZ$601,558,Sync!$D$5)&amp;"",""),6)&lt;&gt;"SAMPLE",Config!$B$19="Y")),IFERROR(N(INDEX(Clay_Brands!$A$2:$FZ$601,558,Sync!$D$13)),0),"")</f>
        <v/>
      </c>
      <c r="C5209" s="23" t="str">
        <f aca="false">IF(B5209="","","brand")</f>
        <v/>
      </c>
      <c r="D5209" s="23" t="str">
        <f aca="false">IF(B5209="","",IFERROR(INDEX(Brand_Log!$DV$2:$DV$201,MATCH(IFERROR(INDEX(Clay_Brands!$A$2:$FZ$601,558,Sync!$D$5)&amp;"",""),Brand_Log!$A$2:$A$201,0))&amp;"",IFERROR(INDEX(Clay_Brands!$A$2:$FZ$601,558,Sync!$D$5)&amp;"","")&amp;""))</f>
        <v/>
      </c>
      <c r="E5209" s="23" t="str">
        <f aca="false">IF(B5209="","",IFERROR(INDEX(Clay_Brands!$A$2:$FZ$601,558,Sync!$D$6)&amp;"",""))</f>
        <v/>
      </c>
      <c r="F5209" s="23" t="str">
        <f aca="false">IF(B5209="","","outreach_sent")</f>
        <v/>
      </c>
      <c r="G5209" s="23" t="str">
        <f aca="false">IF(B5209="","","")</f>
        <v/>
      </c>
      <c r="H5209" s="23" t="str">
        <f aca="false">IF(B5209="","","")</f>
        <v/>
      </c>
      <c r="I5209" s="23" t="str">
        <f aca="false">IF(B5209="","","")</f>
        <v/>
      </c>
      <c r="J5209" s="23" t="str">
        <f aca="false">IF(B5209="","","touch_3; "&amp;IFERROR(INDEX(Clay_Brands!$A$2:$FZ$601,558,Sync!$D$10)&amp;"","")&amp;"; "&amp;IFERROR(INDEX(Clay_Brands!$A$2:$FZ$601,558,Sync!$D$9)&amp;"",""))</f>
        <v/>
      </c>
      <c r="K5209" s="32" t="s">
        <v>1368</v>
      </c>
    </row>
    <row r="5210" customFormat="false" ht="15" hidden="false" customHeight="false" outlineLevel="0" collapsed="false">
      <c r="A5210" s="23" t="str">
        <f aca="false">IF(B5210="","",B5210+(17*1000+559)/10000000)</f>
        <v/>
      </c>
      <c r="B5210" s="35" t="str">
        <f aca="false">IF(AND(IFERROR(N(INDEX(Clay_Brands!$A$2:$FZ$601,559,Sync!$D$13)),0)&gt;0,IFERROR(INDEX(Clay_Brands!$A$2:$FZ$601,559,Sync!$D$5)&amp;"","")&lt;&gt;"",OR(LEFT(IFERROR(INDEX(Clay_Brands!$A$2:$FZ$601,559,Sync!$D$5)&amp;"",""),6)&lt;&gt;"SAMPLE",Config!$B$19="Y")),IFERROR(N(INDEX(Clay_Brands!$A$2:$FZ$601,559,Sync!$D$13)),0),"")</f>
        <v/>
      </c>
      <c r="C5210" s="23" t="str">
        <f aca="false">IF(B5210="","","brand")</f>
        <v/>
      </c>
      <c r="D5210" s="23" t="str">
        <f aca="false">IF(B5210="","",IFERROR(INDEX(Brand_Log!$DV$2:$DV$201,MATCH(IFERROR(INDEX(Clay_Brands!$A$2:$FZ$601,559,Sync!$D$5)&amp;"",""),Brand_Log!$A$2:$A$201,0))&amp;"",IFERROR(INDEX(Clay_Brands!$A$2:$FZ$601,559,Sync!$D$5)&amp;"","")&amp;""))</f>
        <v/>
      </c>
      <c r="E5210" s="23" t="str">
        <f aca="false">IF(B5210="","",IFERROR(INDEX(Clay_Brands!$A$2:$FZ$601,559,Sync!$D$6)&amp;"",""))</f>
        <v/>
      </c>
      <c r="F5210" s="23" t="str">
        <f aca="false">IF(B5210="","","outreach_sent")</f>
        <v/>
      </c>
      <c r="G5210" s="23" t="str">
        <f aca="false">IF(B5210="","","")</f>
        <v/>
      </c>
      <c r="H5210" s="23" t="str">
        <f aca="false">IF(B5210="","","")</f>
        <v/>
      </c>
      <c r="I5210" s="23" t="str">
        <f aca="false">IF(B5210="","","")</f>
        <v/>
      </c>
      <c r="J5210" s="23" t="str">
        <f aca="false">IF(B5210="","","touch_3; "&amp;IFERROR(INDEX(Clay_Brands!$A$2:$FZ$601,559,Sync!$D$10)&amp;"","")&amp;"; "&amp;IFERROR(INDEX(Clay_Brands!$A$2:$FZ$601,559,Sync!$D$9)&amp;"",""))</f>
        <v/>
      </c>
      <c r="K5210" s="32" t="s">
        <v>1368</v>
      </c>
    </row>
    <row r="5211" customFormat="false" ht="15" hidden="false" customHeight="false" outlineLevel="0" collapsed="false">
      <c r="A5211" s="23" t="str">
        <f aca="false">IF(B5211="","",B5211+(17*1000+560)/10000000)</f>
        <v/>
      </c>
      <c r="B5211" s="35" t="str">
        <f aca="false">IF(AND(IFERROR(N(INDEX(Clay_Brands!$A$2:$FZ$601,560,Sync!$D$13)),0)&gt;0,IFERROR(INDEX(Clay_Brands!$A$2:$FZ$601,560,Sync!$D$5)&amp;"","")&lt;&gt;"",OR(LEFT(IFERROR(INDEX(Clay_Brands!$A$2:$FZ$601,560,Sync!$D$5)&amp;"",""),6)&lt;&gt;"SAMPLE",Config!$B$19="Y")),IFERROR(N(INDEX(Clay_Brands!$A$2:$FZ$601,560,Sync!$D$13)),0),"")</f>
        <v/>
      </c>
      <c r="C5211" s="23" t="str">
        <f aca="false">IF(B5211="","","brand")</f>
        <v/>
      </c>
      <c r="D5211" s="23" t="str">
        <f aca="false">IF(B5211="","",IFERROR(INDEX(Brand_Log!$DV$2:$DV$201,MATCH(IFERROR(INDEX(Clay_Brands!$A$2:$FZ$601,560,Sync!$D$5)&amp;"",""),Brand_Log!$A$2:$A$201,0))&amp;"",IFERROR(INDEX(Clay_Brands!$A$2:$FZ$601,560,Sync!$D$5)&amp;"","")&amp;""))</f>
        <v/>
      </c>
      <c r="E5211" s="23" t="str">
        <f aca="false">IF(B5211="","",IFERROR(INDEX(Clay_Brands!$A$2:$FZ$601,560,Sync!$D$6)&amp;"",""))</f>
        <v/>
      </c>
      <c r="F5211" s="23" t="str">
        <f aca="false">IF(B5211="","","outreach_sent")</f>
        <v/>
      </c>
      <c r="G5211" s="23" t="str">
        <f aca="false">IF(B5211="","","")</f>
        <v/>
      </c>
      <c r="H5211" s="23" t="str">
        <f aca="false">IF(B5211="","","")</f>
        <v/>
      </c>
      <c r="I5211" s="23" t="str">
        <f aca="false">IF(B5211="","","")</f>
        <v/>
      </c>
      <c r="J5211" s="23" t="str">
        <f aca="false">IF(B5211="","","touch_3; "&amp;IFERROR(INDEX(Clay_Brands!$A$2:$FZ$601,560,Sync!$D$10)&amp;"","")&amp;"; "&amp;IFERROR(INDEX(Clay_Brands!$A$2:$FZ$601,560,Sync!$D$9)&amp;"",""))</f>
        <v/>
      </c>
      <c r="K5211" s="32" t="s">
        <v>1368</v>
      </c>
    </row>
    <row r="5212" customFormat="false" ht="15" hidden="false" customHeight="false" outlineLevel="0" collapsed="false">
      <c r="A5212" s="23" t="str">
        <f aca="false">IF(B5212="","",B5212+(17*1000+561)/10000000)</f>
        <v/>
      </c>
      <c r="B5212" s="35" t="str">
        <f aca="false">IF(AND(IFERROR(N(INDEX(Clay_Brands!$A$2:$FZ$601,561,Sync!$D$13)),0)&gt;0,IFERROR(INDEX(Clay_Brands!$A$2:$FZ$601,561,Sync!$D$5)&amp;"","")&lt;&gt;"",OR(LEFT(IFERROR(INDEX(Clay_Brands!$A$2:$FZ$601,561,Sync!$D$5)&amp;"",""),6)&lt;&gt;"SAMPLE",Config!$B$19="Y")),IFERROR(N(INDEX(Clay_Brands!$A$2:$FZ$601,561,Sync!$D$13)),0),"")</f>
        <v/>
      </c>
      <c r="C5212" s="23" t="str">
        <f aca="false">IF(B5212="","","brand")</f>
        <v/>
      </c>
      <c r="D5212" s="23" t="str">
        <f aca="false">IF(B5212="","",IFERROR(INDEX(Brand_Log!$DV$2:$DV$201,MATCH(IFERROR(INDEX(Clay_Brands!$A$2:$FZ$601,561,Sync!$D$5)&amp;"",""),Brand_Log!$A$2:$A$201,0))&amp;"",IFERROR(INDEX(Clay_Brands!$A$2:$FZ$601,561,Sync!$D$5)&amp;"","")&amp;""))</f>
        <v/>
      </c>
      <c r="E5212" s="23" t="str">
        <f aca="false">IF(B5212="","",IFERROR(INDEX(Clay_Brands!$A$2:$FZ$601,561,Sync!$D$6)&amp;"",""))</f>
        <v/>
      </c>
      <c r="F5212" s="23" t="str">
        <f aca="false">IF(B5212="","","outreach_sent")</f>
        <v/>
      </c>
      <c r="G5212" s="23" t="str">
        <f aca="false">IF(B5212="","","")</f>
        <v/>
      </c>
      <c r="H5212" s="23" t="str">
        <f aca="false">IF(B5212="","","")</f>
        <v/>
      </c>
      <c r="I5212" s="23" t="str">
        <f aca="false">IF(B5212="","","")</f>
        <v/>
      </c>
      <c r="J5212" s="23" t="str">
        <f aca="false">IF(B5212="","","touch_3; "&amp;IFERROR(INDEX(Clay_Brands!$A$2:$FZ$601,561,Sync!$D$10)&amp;"","")&amp;"; "&amp;IFERROR(INDEX(Clay_Brands!$A$2:$FZ$601,561,Sync!$D$9)&amp;"",""))</f>
        <v/>
      </c>
      <c r="K5212" s="32" t="s">
        <v>1368</v>
      </c>
    </row>
    <row r="5213" customFormat="false" ht="15" hidden="false" customHeight="false" outlineLevel="0" collapsed="false">
      <c r="A5213" s="23" t="str">
        <f aca="false">IF(B5213="","",B5213+(17*1000+562)/10000000)</f>
        <v/>
      </c>
      <c r="B5213" s="35" t="str">
        <f aca="false">IF(AND(IFERROR(N(INDEX(Clay_Brands!$A$2:$FZ$601,562,Sync!$D$13)),0)&gt;0,IFERROR(INDEX(Clay_Brands!$A$2:$FZ$601,562,Sync!$D$5)&amp;"","")&lt;&gt;"",OR(LEFT(IFERROR(INDEX(Clay_Brands!$A$2:$FZ$601,562,Sync!$D$5)&amp;"",""),6)&lt;&gt;"SAMPLE",Config!$B$19="Y")),IFERROR(N(INDEX(Clay_Brands!$A$2:$FZ$601,562,Sync!$D$13)),0),"")</f>
        <v/>
      </c>
      <c r="C5213" s="23" t="str">
        <f aca="false">IF(B5213="","","brand")</f>
        <v/>
      </c>
      <c r="D5213" s="23" t="str">
        <f aca="false">IF(B5213="","",IFERROR(INDEX(Brand_Log!$DV$2:$DV$201,MATCH(IFERROR(INDEX(Clay_Brands!$A$2:$FZ$601,562,Sync!$D$5)&amp;"",""),Brand_Log!$A$2:$A$201,0))&amp;"",IFERROR(INDEX(Clay_Brands!$A$2:$FZ$601,562,Sync!$D$5)&amp;"","")&amp;""))</f>
        <v/>
      </c>
      <c r="E5213" s="23" t="str">
        <f aca="false">IF(B5213="","",IFERROR(INDEX(Clay_Brands!$A$2:$FZ$601,562,Sync!$D$6)&amp;"",""))</f>
        <v/>
      </c>
      <c r="F5213" s="23" t="str">
        <f aca="false">IF(B5213="","","outreach_sent")</f>
        <v/>
      </c>
      <c r="G5213" s="23" t="str">
        <f aca="false">IF(B5213="","","")</f>
        <v/>
      </c>
      <c r="H5213" s="23" t="str">
        <f aca="false">IF(B5213="","","")</f>
        <v/>
      </c>
      <c r="I5213" s="23" t="str">
        <f aca="false">IF(B5213="","","")</f>
        <v/>
      </c>
      <c r="J5213" s="23" t="str">
        <f aca="false">IF(B5213="","","touch_3; "&amp;IFERROR(INDEX(Clay_Brands!$A$2:$FZ$601,562,Sync!$D$10)&amp;"","")&amp;"; "&amp;IFERROR(INDEX(Clay_Brands!$A$2:$FZ$601,562,Sync!$D$9)&amp;"",""))</f>
        <v/>
      </c>
      <c r="K5213" s="32" t="s">
        <v>1368</v>
      </c>
    </row>
    <row r="5214" customFormat="false" ht="15" hidden="false" customHeight="false" outlineLevel="0" collapsed="false">
      <c r="A5214" s="23" t="str">
        <f aca="false">IF(B5214="","",B5214+(17*1000+563)/10000000)</f>
        <v/>
      </c>
      <c r="B5214" s="35" t="str">
        <f aca="false">IF(AND(IFERROR(N(INDEX(Clay_Brands!$A$2:$FZ$601,563,Sync!$D$13)),0)&gt;0,IFERROR(INDEX(Clay_Brands!$A$2:$FZ$601,563,Sync!$D$5)&amp;"","")&lt;&gt;"",OR(LEFT(IFERROR(INDEX(Clay_Brands!$A$2:$FZ$601,563,Sync!$D$5)&amp;"",""),6)&lt;&gt;"SAMPLE",Config!$B$19="Y")),IFERROR(N(INDEX(Clay_Brands!$A$2:$FZ$601,563,Sync!$D$13)),0),"")</f>
        <v/>
      </c>
      <c r="C5214" s="23" t="str">
        <f aca="false">IF(B5214="","","brand")</f>
        <v/>
      </c>
      <c r="D5214" s="23" t="str">
        <f aca="false">IF(B5214="","",IFERROR(INDEX(Brand_Log!$DV$2:$DV$201,MATCH(IFERROR(INDEX(Clay_Brands!$A$2:$FZ$601,563,Sync!$D$5)&amp;"",""),Brand_Log!$A$2:$A$201,0))&amp;"",IFERROR(INDEX(Clay_Brands!$A$2:$FZ$601,563,Sync!$D$5)&amp;"","")&amp;""))</f>
        <v/>
      </c>
      <c r="E5214" s="23" t="str">
        <f aca="false">IF(B5214="","",IFERROR(INDEX(Clay_Brands!$A$2:$FZ$601,563,Sync!$D$6)&amp;"",""))</f>
        <v/>
      </c>
      <c r="F5214" s="23" t="str">
        <f aca="false">IF(B5214="","","outreach_sent")</f>
        <v/>
      </c>
      <c r="G5214" s="23" t="str">
        <f aca="false">IF(B5214="","","")</f>
        <v/>
      </c>
      <c r="H5214" s="23" t="str">
        <f aca="false">IF(B5214="","","")</f>
        <v/>
      </c>
      <c r="I5214" s="23" t="str">
        <f aca="false">IF(B5214="","","")</f>
        <v/>
      </c>
      <c r="J5214" s="23" t="str">
        <f aca="false">IF(B5214="","","touch_3; "&amp;IFERROR(INDEX(Clay_Brands!$A$2:$FZ$601,563,Sync!$D$10)&amp;"","")&amp;"; "&amp;IFERROR(INDEX(Clay_Brands!$A$2:$FZ$601,563,Sync!$D$9)&amp;"",""))</f>
        <v/>
      </c>
      <c r="K5214" s="32" t="s">
        <v>1368</v>
      </c>
    </row>
    <row r="5215" customFormat="false" ht="15" hidden="false" customHeight="false" outlineLevel="0" collapsed="false">
      <c r="A5215" s="23" t="str">
        <f aca="false">IF(B5215="","",B5215+(17*1000+564)/10000000)</f>
        <v/>
      </c>
      <c r="B5215" s="35" t="str">
        <f aca="false">IF(AND(IFERROR(N(INDEX(Clay_Brands!$A$2:$FZ$601,564,Sync!$D$13)),0)&gt;0,IFERROR(INDEX(Clay_Brands!$A$2:$FZ$601,564,Sync!$D$5)&amp;"","")&lt;&gt;"",OR(LEFT(IFERROR(INDEX(Clay_Brands!$A$2:$FZ$601,564,Sync!$D$5)&amp;"",""),6)&lt;&gt;"SAMPLE",Config!$B$19="Y")),IFERROR(N(INDEX(Clay_Brands!$A$2:$FZ$601,564,Sync!$D$13)),0),"")</f>
        <v/>
      </c>
      <c r="C5215" s="23" t="str">
        <f aca="false">IF(B5215="","","brand")</f>
        <v/>
      </c>
      <c r="D5215" s="23" t="str">
        <f aca="false">IF(B5215="","",IFERROR(INDEX(Brand_Log!$DV$2:$DV$201,MATCH(IFERROR(INDEX(Clay_Brands!$A$2:$FZ$601,564,Sync!$D$5)&amp;"",""),Brand_Log!$A$2:$A$201,0))&amp;"",IFERROR(INDEX(Clay_Brands!$A$2:$FZ$601,564,Sync!$D$5)&amp;"","")&amp;""))</f>
        <v/>
      </c>
      <c r="E5215" s="23" t="str">
        <f aca="false">IF(B5215="","",IFERROR(INDEX(Clay_Brands!$A$2:$FZ$601,564,Sync!$D$6)&amp;"",""))</f>
        <v/>
      </c>
      <c r="F5215" s="23" t="str">
        <f aca="false">IF(B5215="","","outreach_sent")</f>
        <v/>
      </c>
      <c r="G5215" s="23" t="str">
        <f aca="false">IF(B5215="","","")</f>
        <v/>
      </c>
      <c r="H5215" s="23" t="str">
        <f aca="false">IF(B5215="","","")</f>
        <v/>
      </c>
      <c r="I5215" s="23" t="str">
        <f aca="false">IF(B5215="","","")</f>
        <v/>
      </c>
      <c r="J5215" s="23" t="str">
        <f aca="false">IF(B5215="","","touch_3; "&amp;IFERROR(INDEX(Clay_Brands!$A$2:$FZ$601,564,Sync!$D$10)&amp;"","")&amp;"; "&amp;IFERROR(INDEX(Clay_Brands!$A$2:$FZ$601,564,Sync!$D$9)&amp;"",""))</f>
        <v/>
      </c>
      <c r="K5215" s="32" t="s">
        <v>1368</v>
      </c>
    </row>
    <row r="5216" customFormat="false" ht="15" hidden="false" customHeight="false" outlineLevel="0" collapsed="false">
      <c r="A5216" s="23" t="str">
        <f aca="false">IF(B5216="","",B5216+(17*1000+565)/10000000)</f>
        <v/>
      </c>
      <c r="B5216" s="35" t="str">
        <f aca="false">IF(AND(IFERROR(N(INDEX(Clay_Brands!$A$2:$FZ$601,565,Sync!$D$13)),0)&gt;0,IFERROR(INDEX(Clay_Brands!$A$2:$FZ$601,565,Sync!$D$5)&amp;"","")&lt;&gt;"",OR(LEFT(IFERROR(INDEX(Clay_Brands!$A$2:$FZ$601,565,Sync!$D$5)&amp;"",""),6)&lt;&gt;"SAMPLE",Config!$B$19="Y")),IFERROR(N(INDEX(Clay_Brands!$A$2:$FZ$601,565,Sync!$D$13)),0),"")</f>
        <v/>
      </c>
      <c r="C5216" s="23" t="str">
        <f aca="false">IF(B5216="","","brand")</f>
        <v/>
      </c>
      <c r="D5216" s="23" t="str">
        <f aca="false">IF(B5216="","",IFERROR(INDEX(Brand_Log!$DV$2:$DV$201,MATCH(IFERROR(INDEX(Clay_Brands!$A$2:$FZ$601,565,Sync!$D$5)&amp;"",""),Brand_Log!$A$2:$A$201,0))&amp;"",IFERROR(INDEX(Clay_Brands!$A$2:$FZ$601,565,Sync!$D$5)&amp;"","")&amp;""))</f>
        <v/>
      </c>
      <c r="E5216" s="23" t="str">
        <f aca="false">IF(B5216="","",IFERROR(INDEX(Clay_Brands!$A$2:$FZ$601,565,Sync!$D$6)&amp;"",""))</f>
        <v/>
      </c>
      <c r="F5216" s="23" t="str">
        <f aca="false">IF(B5216="","","outreach_sent")</f>
        <v/>
      </c>
      <c r="G5216" s="23" t="str">
        <f aca="false">IF(B5216="","","")</f>
        <v/>
      </c>
      <c r="H5216" s="23" t="str">
        <f aca="false">IF(B5216="","","")</f>
        <v/>
      </c>
      <c r="I5216" s="23" t="str">
        <f aca="false">IF(B5216="","","")</f>
        <v/>
      </c>
      <c r="J5216" s="23" t="str">
        <f aca="false">IF(B5216="","","touch_3; "&amp;IFERROR(INDEX(Clay_Brands!$A$2:$FZ$601,565,Sync!$D$10)&amp;"","")&amp;"; "&amp;IFERROR(INDEX(Clay_Brands!$A$2:$FZ$601,565,Sync!$D$9)&amp;"",""))</f>
        <v/>
      </c>
      <c r="K5216" s="32" t="s">
        <v>1368</v>
      </c>
    </row>
    <row r="5217" customFormat="false" ht="15" hidden="false" customHeight="false" outlineLevel="0" collapsed="false">
      <c r="A5217" s="23" t="str">
        <f aca="false">IF(B5217="","",B5217+(17*1000+566)/10000000)</f>
        <v/>
      </c>
      <c r="B5217" s="35" t="str">
        <f aca="false">IF(AND(IFERROR(N(INDEX(Clay_Brands!$A$2:$FZ$601,566,Sync!$D$13)),0)&gt;0,IFERROR(INDEX(Clay_Brands!$A$2:$FZ$601,566,Sync!$D$5)&amp;"","")&lt;&gt;"",OR(LEFT(IFERROR(INDEX(Clay_Brands!$A$2:$FZ$601,566,Sync!$D$5)&amp;"",""),6)&lt;&gt;"SAMPLE",Config!$B$19="Y")),IFERROR(N(INDEX(Clay_Brands!$A$2:$FZ$601,566,Sync!$D$13)),0),"")</f>
        <v/>
      </c>
      <c r="C5217" s="23" t="str">
        <f aca="false">IF(B5217="","","brand")</f>
        <v/>
      </c>
      <c r="D5217" s="23" t="str">
        <f aca="false">IF(B5217="","",IFERROR(INDEX(Brand_Log!$DV$2:$DV$201,MATCH(IFERROR(INDEX(Clay_Brands!$A$2:$FZ$601,566,Sync!$D$5)&amp;"",""),Brand_Log!$A$2:$A$201,0))&amp;"",IFERROR(INDEX(Clay_Brands!$A$2:$FZ$601,566,Sync!$D$5)&amp;"","")&amp;""))</f>
        <v/>
      </c>
      <c r="E5217" s="23" t="str">
        <f aca="false">IF(B5217="","",IFERROR(INDEX(Clay_Brands!$A$2:$FZ$601,566,Sync!$D$6)&amp;"",""))</f>
        <v/>
      </c>
      <c r="F5217" s="23" t="str">
        <f aca="false">IF(B5217="","","outreach_sent")</f>
        <v/>
      </c>
      <c r="G5217" s="23" t="str">
        <f aca="false">IF(B5217="","","")</f>
        <v/>
      </c>
      <c r="H5217" s="23" t="str">
        <f aca="false">IF(B5217="","","")</f>
        <v/>
      </c>
      <c r="I5217" s="23" t="str">
        <f aca="false">IF(B5217="","","")</f>
        <v/>
      </c>
      <c r="J5217" s="23" t="str">
        <f aca="false">IF(B5217="","","touch_3; "&amp;IFERROR(INDEX(Clay_Brands!$A$2:$FZ$601,566,Sync!$D$10)&amp;"","")&amp;"; "&amp;IFERROR(INDEX(Clay_Brands!$A$2:$FZ$601,566,Sync!$D$9)&amp;"",""))</f>
        <v/>
      </c>
      <c r="K5217" s="32" t="s">
        <v>1368</v>
      </c>
    </row>
    <row r="5218" customFormat="false" ht="15" hidden="false" customHeight="false" outlineLevel="0" collapsed="false">
      <c r="A5218" s="23" t="str">
        <f aca="false">IF(B5218="","",B5218+(17*1000+567)/10000000)</f>
        <v/>
      </c>
      <c r="B5218" s="35" t="str">
        <f aca="false">IF(AND(IFERROR(N(INDEX(Clay_Brands!$A$2:$FZ$601,567,Sync!$D$13)),0)&gt;0,IFERROR(INDEX(Clay_Brands!$A$2:$FZ$601,567,Sync!$D$5)&amp;"","")&lt;&gt;"",OR(LEFT(IFERROR(INDEX(Clay_Brands!$A$2:$FZ$601,567,Sync!$D$5)&amp;"",""),6)&lt;&gt;"SAMPLE",Config!$B$19="Y")),IFERROR(N(INDEX(Clay_Brands!$A$2:$FZ$601,567,Sync!$D$13)),0),"")</f>
        <v/>
      </c>
      <c r="C5218" s="23" t="str">
        <f aca="false">IF(B5218="","","brand")</f>
        <v/>
      </c>
      <c r="D5218" s="23" t="str">
        <f aca="false">IF(B5218="","",IFERROR(INDEX(Brand_Log!$DV$2:$DV$201,MATCH(IFERROR(INDEX(Clay_Brands!$A$2:$FZ$601,567,Sync!$D$5)&amp;"",""),Brand_Log!$A$2:$A$201,0))&amp;"",IFERROR(INDEX(Clay_Brands!$A$2:$FZ$601,567,Sync!$D$5)&amp;"","")&amp;""))</f>
        <v/>
      </c>
      <c r="E5218" s="23" t="str">
        <f aca="false">IF(B5218="","",IFERROR(INDEX(Clay_Brands!$A$2:$FZ$601,567,Sync!$D$6)&amp;"",""))</f>
        <v/>
      </c>
      <c r="F5218" s="23" t="str">
        <f aca="false">IF(B5218="","","outreach_sent")</f>
        <v/>
      </c>
      <c r="G5218" s="23" t="str">
        <f aca="false">IF(B5218="","","")</f>
        <v/>
      </c>
      <c r="H5218" s="23" t="str">
        <f aca="false">IF(B5218="","","")</f>
        <v/>
      </c>
      <c r="I5218" s="23" t="str">
        <f aca="false">IF(B5218="","","")</f>
        <v/>
      </c>
      <c r="J5218" s="23" t="str">
        <f aca="false">IF(B5218="","","touch_3; "&amp;IFERROR(INDEX(Clay_Brands!$A$2:$FZ$601,567,Sync!$D$10)&amp;"","")&amp;"; "&amp;IFERROR(INDEX(Clay_Brands!$A$2:$FZ$601,567,Sync!$D$9)&amp;"",""))</f>
        <v/>
      </c>
      <c r="K5218" s="32" t="s">
        <v>1368</v>
      </c>
    </row>
    <row r="5219" customFormat="false" ht="15" hidden="false" customHeight="false" outlineLevel="0" collapsed="false">
      <c r="A5219" s="23" t="str">
        <f aca="false">IF(B5219="","",B5219+(17*1000+568)/10000000)</f>
        <v/>
      </c>
      <c r="B5219" s="35" t="str">
        <f aca="false">IF(AND(IFERROR(N(INDEX(Clay_Brands!$A$2:$FZ$601,568,Sync!$D$13)),0)&gt;0,IFERROR(INDEX(Clay_Brands!$A$2:$FZ$601,568,Sync!$D$5)&amp;"","")&lt;&gt;"",OR(LEFT(IFERROR(INDEX(Clay_Brands!$A$2:$FZ$601,568,Sync!$D$5)&amp;"",""),6)&lt;&gt;"SAMPLE",Config!$B$19="Y")),IFERROR(N(INDEX(Clay_Brands!$A$2:$FZ$601,568,Sync!$D$13)),0),"")</f>
        <v/>
      </c>
      <c r="C5219" s="23" t="str">
        <f aca="false">IF(B5219="","","brand")</f>
        <v/>
      </c>
      <c r="D5219" s="23" t="str">
        <f aca="false">IF(B5219="","",IFERROR(INDEX(Brand_Log!$DV$2:$DV$201,MATCH(IFERROR(INDEX(Clay_Brands!$A$2:$FZ$601,568,Sync!$D$5)&amp;"",""),Brand_Log!$A$2:$A$201,0))&amp;"",IFERROR(INDEX(Clay_Brands!$A$2:$FZ$601,568,Sync!$D$5)&amp;"","")&amp;""))</f>
        <v/>
      </c>
      <c r="E5219" s="23" t="str">
        <f aca="false">IF(B5219="","",IFERROR(INDEX(Clay_Brands!$A$2:$FZ$601,568,Sync!$D$6)&amp;"",""))</f>
        <v/>
      </c>
      <c r="F5219" s="23" t="str">
        <f aca="false">IF(B5219="","","outreach_sent")</f>
        <v/>
      </c>
      <c r="G5219" s="23" t="str">
        <f aca="false">IF(B5219="","","")</f>
        <v/>
      </c>
      <c r="H5219" s="23" t="str">
        <f aca="false">IF(B5219="","","")</f>
        <v/>
      </c>
      <c r="I5219" s="23" t="str">
        <f aca="false">IF(B5219="","","")</f>
        <v/>
      </c>
      <c r="J5219" s="23" t="str">
        <f aca="false">IF(B5219="","","touch_3; "&amp;IFERROR(INDEX(Clay_Brands!$A$2:$FZ$601,568,Sync!$D$10)&amp;"","")&amp;"; "&amp;IFERROR(INDEX(Clay_Brands!$A$2:$FZ$601,568,Sync!$D$9)&amp;"",""))</f>
        <v/>
      </c>
      <c r="K5219" s="32" t="s">
        <v>1368</v>
      </c>
    </row>
    <row r="5220" customFormat="false" ht="15" hidden="false" customHeight="false" outlineLevel="0" collapsed="false">
      <c r="A5220" s="23" t="str">
        <f aca="false">IF(B5220="","",B5220+(17*1000+569)/10000000)</f>
        <v/>
      </c>
      <c r="B5220" s="35" t="str">
        <f aca="false">IF(AND(IFERROR(N(INDEX(Clay_Brands!$A$2:$FZ$601,569,Sync!$D$13)),0)&gt;0,IFERROR(INDEX(Clay_Brands!$A$2:$FZ$601,569,Sync!$D$5)&amp;"","")&lt;&gt;"",OR(LEFT(IFERROR(INDEX(Clay_Brands!$A$2:$FZ$601,569,Sync!$D$5)&amp;"",""),6)&lt;&gt;"SAMPLE",Config!$B$19="Y")),IFERROR(N(INDEX(Clay_Brands!$A$2:$FZ$601,569,Sync!$D$13)),0),"")</f>
        <v/>
      </c>
      <c r="C5220" s="23" t="str">
        <f aca="false">IF(B5220="","","brand")</f>
        <v/>
      </c>
      <c r="D5220" s="23" t="str">
        <f aca="false">IF(B5220="","",IFERROR(INDEX(Brand_Log!$DV$2:$DV$201,MATCH(IFERROR(INDEX(Clay_Brands!$A$2:$FZ$601,569,Sync!$D$5)&amp;"",""),Brand_Log!$A$2:$A$201,0))&amp;"",IFERROR(INDEX(Clay_Brands!$A$2:$FZ$601,569,Sync!$D$5)&amp;"","")&amp;""))</f>
        <v/>
      </c>
      <c r="E5220" s="23" t="str">
        <f aca="false">IF(B5220="","",IFERROR(INDEX(Clay_Brands!$A$2:$FZ$601,569,Sync!$D$6)&amp;"",""))</f>
        <v/>
      </c>
      <c r="F5220" s="23" t="str">
        <f aca="false">IF(B5220="","","outreach_sent")</f>
        <v/>
      </c>
      <c r="G5220" s="23" t="str">
        <f aca="false">IF(B5220="","","")</f>
        <v/>
      </c>
      <c r="H5220" s="23" t="str">
        <f aca="false">IF(B5220="","","")</f>
        <v/>
      </c>
      <c r="I5220" s="23" t="str">
        <f aca="false">IF(B5220="","","")</f>
        <v/>
      </c>
      <c r="J5220" s="23" t="str">
        <f aca="false">IF(B5220="","","touch_3; "&amp;IFERROR(INDEX(Clay_Brands!$A$2:$FZ$601,569,Sync!$D$10)&amp;"","")&amp;"; "&amp;IFERROR(INDEX(Clay_Brands!$A$2:$FZ$601,569,Sync!$D$9)&amp;"",""))</f>
        <v/>
      </c>
      <c r="K5220" s="32" t="s">
        <v>1368</v>
      </c>
    </row>
    <row r="5221" customFormat="false" ht="15" hidden="false" customHeight="false" outlineLevel="0" collapsed="false">
      <c r="A5221" s="23" t="str">
        <f aca="false">IF(B5221="","",B5221+(17*1000+570)/10000000)</f>
        <v/>
      </c>
      <c r="B5221" s="35" t="str">
        <f aca="false">IF(AND(IFERROR(N(INDEX(Clay_Brands!$A$2:$FZ$601,570,Sync!$D$13)),0)&gt;0,IFERROR(INDEX(Clay_Brands!$A$2:$FZ$601,570,Sync!$D$5)&amp;"","")&lt;&gt;"",OR(LEFT(IFERROR(INDEX(Clay_Brands!$A$2:$FZ$601,570,Sync!$D$5)&amp;"",""),6)&lt;&gt;"SAMPLE",Config!$B$19="Y")),IFERROR(N(INDEX(Clay_Brands!$A$2:$FZ$601,570,Sync!$D$13)),0),"")</f>
        <v/>
      </c>
      <c r="C5221" s="23" t="str">
        <f aca="false">IF(B5221="","","brand")</f>
        <v/>
      </c>
      <c r="D5221" s="23" t="str">
        <f aca="false">IF(B5221="","",IFERROR(INDEX(Brand_Log!$DV$2:$DV$201,MATCH(IFERROR(INDEX(Clay_Brands!$A$2:$FZ$601,570,Sync!$D$5)&amp;"",""),Brand_Log!$A$2:$A$201,0))&amp;"",IFERROR(INDEX(Clay_Brands!$A$2:$FZ$601,570,Sync!$D$5)&amp;"","")&amp;""))</f>
        <v/>
      </c>
      <c r="E5221" s="23" t="str">
        <f aca="false">IF(B5221="","",IFERROR(INDEX(Clay_Brands!$A$2:$FZ$601,570,Sync!$D$6)&amp;"",""))</f>
        <v/>
      </c>
      <c r="F5221" s="23" t="str">
        <f aca="false">IF(B5221="","","outreach_sent")</f>
        <v/>
      </c>
      <c r="G5221" s="23" t="str">
        <f aca="false">IF(B5221="","","")</f>
        <v/>
      </c>
      <c r="H5221" s="23" t="str">
        <f aca="false">IF(B5221="","","")</f>
        <v/>
      </c>
      <c r="I5221" s="23" t="str">
        <f aca="false">IF(B5221="","","")</f>
        <v/>
      </c>
      <c r="J5221" s="23" t="str">
        <f aca="false">IF(B5221="","","touch_3; "&amp;IFERROR(INDEX(Clay_Brands!$A$2:$FZ$601,570,Sync!$D$10)&amp;"","")&amp;"; "&amp;IFERROR(INDEX(Clay_Brands!$A$2:$FZ$601,570,Sync!$D$9)&amp;"",""))</f>
        <v/>
      </c>
      <c r="K5221" s="32" t="s">
        <v>1368</v>
      </c>
    </row>
    <row r="5222" customFormat="false" ht="15" hidden="false" customHeight="false" outlineLevel="0" collapsed="false">
      <c r="A5222" s="23" t="str">
        <f aca="false">IF(B5222="","",B5222+(17*1000+571)/10000000)</f>
        <v/>
      </c>
      <c r="B5222" s="35" t="str">
        <f aca="false">IF(AND(IFERROR(N(INDEX(Clay_Brands!$A$2:$FZ$601,571,Sync!$D$13)),0)&gt;0,IFERROR(INDEX(Clay_Brands!$A$2:$FZ$601,571,Sync!$D$5)&amp;"","")&lt;&gt;"",OR(LEFT(IFERROR(INDEX(Clay_Brands!$A$2:$FZ$601,571,Sync!$D$5)&amp;"",""),6)&lt;&gt;"SAMPLE",Config!$B$19="Y")),IFERROR(N(INDEX(Clay_Brands!$A$2:$FZ$601,571,Sync!$D$13)),0),"")</f>
        <v/>
      </c>
      <c r="C5222" s="23" t="str">
        <f aca="false">IF(B5222="","","brand")</f>
        <v/>
      </c>
      <c r="D5222" s="23" t="str">
        <f aca="false">IF(B5222="","",IFERROR(INDEX(Brand_Log!$DV$2:$DV$201,MATCH(IFERROR(INDEX(Clay_Brands!$A$2:$FZ$601,571,Sync!$D$5)&amp;"",""),Brand_Log!$A$2:$A$201,0))&amp;"",IFERROR(INDEX(Clay_Brands!$A$2:$FZ$601,571,Sync!$D$5)&amp;"","")&amp;""))</f>
        <v/>
      </c>
      <c r="E5222" s="23" t="str">
        <f aca="false">IF(B5222="","",IFERROR(INDEX(Clay_Brands!$A$2:$FZ$601,571,Sync!$D$6)&amp;"",""))</f>
        <v/>
      </c>
      <c r="F5222" s="23" t="str">
        <f aca="false">IF(B5222="","","outreach_sent")</f>
        <v/>
      </c>
      <c r="G5222" s="23" t="str">
        <f aca="false">IF(B5222="","","")</f>
        <v/>
      </c>
      <c r="H5222" s="23" t="str">
        <f aca="false">IF(B5222="","","")</f>
        <v/>
      </c>
      <c r="I5222" s="23" t="str">
        <f aca="false">IF(B5222="","","")</f>
        <v/>
      </c>
      <c r="J5222" s="23" t="str">
        <f aca="false">IF(B5222="","","touch_3; "&amp;IFERROR(INDEX(Clay_Brands!$A$2:$FZ$601,571,Sync!$D$10)&amp;"","")&amp;"; "&amp;IFERROR(INDEX(Clay_Brands!$A$2:$FZ$601,571,Sync!$D$9)&amp;"",""))</f>
        <v/>
      </c>
      <c r="K5222" s="32" t="s">
        <v>1368</v>
      </c>
    </row>
    <row r="5223" customFormat="false" ht="15" hidden="false" customHeight="false" outlineLevel="0" collapsed="false">
      <c r="A5223" s="23" t="str">
        <f aca="false">IF(B5223="","",B5223+(17*1000+572)/10000000)</f>
        <v/>
      </c>
      <c r="B5223" s="35" t="str">
        <f aca="false">IF(AND(IFERROR(N(INDEX(Clay_Brands!$A$2:$FZ$601,572,Sync!$D$13)),0)&gt;0,IFERROR(INDEX(Clay_Brands!$A$2:$FZ$601,572,Sync!$D$5)&amp;"","")&lt;&gt;"",OR(LEFT(IFERROR(INDEX(Clay_Brands!$A$2:$FZ$601,572,Sync!$D$5)&amp;"",""),6)&lt;&gt;"SAMPLE",Config!$B$19="Y")),IFERROR(N(INDEX(Clay_Brands!$A$2:$FZ$601,572,Sync!$D$13)),0),"")</f>
        <v/>
      </c>
      <c r="C5223" s="23" t="str">
        <f aca="false">IF(B5223="","","brand")</f>
        <v/>
      </c>
      <c r="D5223" s="23" t="str">
        <f aca="false">IF(B5223="","",IFERROR(INDEX(Brand_Log!$DV$2:$DV$201,MATCH(IFERROR(INDEX(Clay_Brands!$A$2:$FZ$601,572,Sync!$D$5)&amp;"",""),Brand_Log!$A$2:$A$201,0))&amp;"",IFERROR(INDEX(Clay_Brands!$A$2:$FZ$601,572,Sync!$D$5)&amp;"","")&amp;""))</f>
        <v/>
      </c>
      <c r="E5223" s="23" t="str">
        <f aca="false">IF(B5223="","",IFERROR(INDEX(Clay_Brands!$A$2:$FZ$601,572,Sync!$D$6)&amp;"",""))</f>
        <v/>
      </c>
      <c r="F5223" s="23" t="str">
        <f aca="false">IF(B5223="","","outreach_sent")</f>
        <v/>
      </c>
      <c r="G5223" s="23" t="str">
        <f aca="false">IF(B5223="","","")</f>
        <v/>
      </c>
      <c r="H5223" s="23" t="str">
        <f aca="false">IF(B5223="","","")</f>
        <v/>
      </c>
      <c r="I5223" s="23" t="str">
        <f aca="false">IF(B5223="","","")</f>
        <v/>
      </c>
      <c r="J5223" s="23" t="str">
        <f aca="false">IF(B5223="","","touch_3; "&amp;IFERROR(INDEX(Clay_Brands!$A$2:$FZ$601,572,Sync!$D$10)&amp;"","")&amp;"; "&amp;IFERROR(INDEX(Clay_Brands!$A$2:$FZ$601,572,Sync!$D$9)&amp;"",""))</f>
        <v/>
      </c>
      <c r="K5223" s="32" t="s">
        <v>1368</v>
      </c>
    </row>
    <row r="5224" customFormat="false" ht="15" hidden="false" customHeight="false" outlineLevel="0" collapsed="false">
      <c r="A5224" s="23" t="str">
        <f aca="false">IF(B5224="","",B5224+(17*1000+573)/10000000)</f>
        <v/>
      </c>
      <c r="B5224" s="35" t="str">
        <f aca="false">IF(AND(IFERROR(N(INDEX(Clay_Brands!$A$2:$FZ$601,573,Sync!$D$13)),0)&gt;0,IFERROR(INDEX(Clay_Brands!$A$2:$FZ$601,573,Sync!$D$5)&amp;"","")&lt;&gt;"",OR(LEFT(IFERROR(INDEX(Clay_Brands!$A$2:$FZ$601,573,Sync!$D$5)&amp;"",""),6)&lt;&gt;"SAMPLE",Config!$B$19="Y")),IFERROR(N(INDEX(Clay_Brands!$A$2:$FZ$601,573,Sync!$D$13)),0),"")</f>
        <v/>
      </c>
      <c r="C5224" s="23" t="str">
        <f aca="false">IF(B5224="","","brand")</f>
        <v/>
      </c>
      <c r="D5224" s="23" t="str">
        <f aca="false">IF(B5224="","",IFERROR(INDEX(Brand_Log!$DV$2:$DV$201,MATCH(IFERROR(INDEX(Clay_Brands!$A$2:$FZ$601,573,Sync!$D$5)&amp;"",""),Brand_Log!$A$2:$A$201,0))&amp;"",IFERROR(INDEX(Clay_Brands!$A$2:$FZ$601,573,Sync!$D$5)&amp;"","")&amp;""))</f>
        <v/>
      </c>
      <c r="E5224" s="23" t="str">
        <f aca="false">IF(B5224="","",IFERROR(INDEX(Clay_Brands!$A$2:$FZ$601,573,Sync!$D$6)&amp;"",""))</f>
        <v/>
      </c>
      <c r="F5224" s="23" t="str">
        <f aca="false">IF(B5224="","","outreach_sent")</f>
        <v/>
      </c>
      <c r="G5224" s="23" t="str">
        <f aca="false">IF(B5224="","","")</f>
        <v/>
      </c>
      <c r="H5224" s="23" t="str">
        <f aca="false">IF(B5224="","","")</f>
        <v/>
      </c>
      <c r="I5224" s="23" t="str">
        <f aca="false">IF(B5224="","","")</f>
        <v/>
      </c>
      <c r="J5224" s="23" t="str">
        <f aca="false">IF(B5224="","","touch_3; "&amp;IFERROR(INDEX(Clay_Brands!$A$2:$FZ$601,573,Sync!$D$10)&amp;"","")&amp;"; "&amp;IFERROR(INDEX(Clay_Brands!$A$2:$FZ$601,573,Sync!$D$9)&amp;"",""))</f>
        <v/>
      </c>
      <c r="K5224" s="32" t="s">
        <v>1368</v>
      </c>
    </row>
    <row r="5225" customFormat="false" ht="15" hidden="false" customHeight="false" outlineLevel="0" collapsed="false">
      <c r="A5225" s="23" t="str">
        <f aca="false">IF(B5225="","",B5225+(17*1000+574)/10000000)</f>
        <v/>
      </c>
      <c r="B5225" s="35" t="str">
        <f aca="false">IF(AND(IFERROR(N(INDEX(Clay_Brands!$A$2:$FZ$601,574,Sync!$D$13)),0)&gt;0,IFERROR(INDEX(Clay_Brands!$A$2:$FZ$601,574,Sync!$D$5)&amp;"","")&lt;&gt;"",OR(LEFT(IFERROR(INDEX(Clay_Brands!$A$2:$FZ$601,574,Sync!$D$5)&amp;"",""),6)&lt;&gt;"SAMPLE",Config!$B$19="Y")),IFERROR(N(INDEX(Clay_Brands!$A$2:$FZ$601,574,Sync!$D$13)),0),"")</f>
        <v/>
      </c>
      <c r="C5225" s="23" t="str">
        <f aca="false">IF(B5225="","","brand")</f>
        <v/>
      </c>
      <c r="D5225" s="23" t="str">
        <f aca="false">IF(B5225="","",IFERROR(INDEX(Brand_Log!$DV$2:$DV$201,MATCH(IFERROR(INDEX(Clay_Brands!$A$2:$FZ$601,574,Sync!$D$5)&amp;"",""),Brand_Log!$A$2:$A$201,0))&amp;"",IFERROR(INDEX(Clay_Brands!$A$2:$FZ$601,574,Sync!$D$5)&amp;"","")&amp;""))</f>
        <v/>
      </c>
      <c r="E5225" s="23" t="str">
        <f aca="false">IF(B5225="","",IFERROR(INDEX(Clay_Brands!$A$2:$FZ$601,574,Sync!$D$6)&amp;"",""))</f>
        <v/>
      </c>
      <c r="F5225" s="23" t="str">
        <f aca="false">IF(B5225="","","outreach_sent")</f>
        <v/>
      </c>
      <c r="G5225" s="23" t="str">
        <f aca="false">IF(B5225="","","")</f>
        <v/>
      </c>
      <c r="H5225" s="23" t="str">
        <f aca="false">IF(B5225="","","")</f>
        <v/>
      </c>
      <c r="I5225" s="23" t="str">
        <f aca="false">IF(B5225="","","")</f>
        <v/>
      </c>
      <c r="J5225" s="23" t="str">
        <f aca="false">IF(B5225="","","touch_3; "&amp;IFERROR(INDEX(Clay_Brands!$A$2:$FZ$601,574,Sync!$D$10)&amp;"","")&amp;"; "&amp;IFERROR(INDEX(Clay_Brands!$A$2:$FZ$601,574,Sync!$D$9)&amp;"",""))</f>
        <v/>
      </c>
      <c r="K5225" s="32" t="s">
        <v>1368</v>
      </c>
    </row>
    <row r="5226" customFormat="false" ht="15" hidden="false" customHeight="false" outlineLevel="0" collapsed="false">
      <c r="A5226" s="23" t="str">
        <f aca="false">IF(B5226="","",B5226+(17*1000+575)/10000000)</f>
        <v/>
      </c>
      <c r="B5226" s="35" t="str">
        <f aca="false">IF(AND(IFERROR(N(INDEX(Clay_Brands!$A$2:$FZ$601,575,Sync!$D$13)),0)&gt;0,IFERROR(INDEX(Clay_Brands!$A$2:$FZ$601,575,Sync!$D$5)&amp;"","")&lt;&gt;"",OR(LEFT(IFERROR(INDEX(Clay_Brands!$A$2:$FZ$601,575,Sync!$D$5)&amp;"",""),6)&lt;&gt;"SAMPLE",Config!$B$19="Y")),IFERROR(N(INDEX(Clay_Brands!$A$2:$FZ$601,575,Sync!$D$13)),0),"")</f>
        <v/>
      </c>
      <c r="C5226" s="23" t="str">
        <f aca="false">IF(B5226="","","brand")</f>
        <v/>
      </c>
      <c r="D5226" s="23" t="str">
        <f aca="false">IF(B5226="","",IFERROR(INDEX(Brand_Log!$DV$2:$DV$201,MATCH(IFERROR(INDEX(Clay_Brands!$A$2:$FZ$601,575,Sync!$D$5)&amp;"",""),Brand_Log!$A$2:$A$201,0))&amp;"",IFERROR(INDEX(Clay_Brands!$A$2:$FZ$601,575,Sync!$D$5)&amp;"","")&amp;""))</f>
        <v/>
      </c>
      <c r="E5226" s="23" t="str">
        <f aca="false">IF(B5226="","",IFERROR(INDEX(Clay_Brands!$A$2:$FZ$601,575,Sync!$D$6)&amp;"",""))</f>
        <v/>
      </c>
      <c r="F5226" s="23" t="str">
        <f aca="false">IF(B5226="","","outreach_sent")</f>
        <v/>
      </c>
      <c r="G5226" s="23" t="str">
        <f aca="false">IF(B5226="","","")</f>
        <v/>
      </c>
      <c r="H5226" s="23" t="str">
        <f aca="false">IF(B5226="","","")</f>
        <v/>
      </c>
      <c r="I5226" s="23" t="str">
        <f aca="false">IF(B5226="","","")</f>
        <v/>
      </c>
      <c r="J5226" s="23" t="str">
        <f aca="false">IF(B5226="","","touch_3; "&amp;IFERROR(INDEX(Clay_Brands!$A$2:$FZ$601,575,Sync!$D$10)&amp;"","")&amp;"; "&amp;IFERROR(INDEX(Clay_Brands!$A$2:$FZ$601,575,Sync!$D$9)&amp;"",""))</f>
        <v/>
      </c>
      <c r="K5226" s="32" t="s">
        <v>1368</v>
      </c>
    </row>
    <row r="5227" customFormat="false" ht="15" hidden="false" customHeight="false" outlineLevel="0" collapsed="false">
      <c r="A5227" s="23" t="str">
        <f aca="false">IF(B5227="","",B5227+(17*1000+576)/10000000)</f>
        <v/>
      </c>
      <c r="B5227" s="35" t="str">
        <f aca="false">IF(AND(IFERROR(N(INDEX(Clay_Brands!$A$2:$FZ$601,576,Sync!$D$13)),0)&gt;0,IFERROR(INDEX(Clay_Brands!$A$2:$FZ$601,576,Sync!$D$5)&amp;"","")&lt;&gt;"",OR(LEFT(IFERROR(INDEX(Clay_Brands!$A$2:$FZ$601,576,Sync!$D$5)&amp;"",""),6)&lt;&gt;"SAMPLE",Config!$B$19="Y")),IFERROR(N(INDEX(Clay_Brands!$A$2:$FZ$601,576,Sync!$D$13)),0),"")</f>
        <v/>
      </c>
      <c r="C5227" s="23" t="str">
        <f aca="false">IF(B5227="","","brand")</f>
        <v/>
      </c>
      <c r="D5227" s="23" t="str">
        <f aca="false">IF(B5227="","",IFERROR(INDEX(Brand_Log!$DV$2:$DV$201,MATCH(IFERROR(INDEX(Clay_Brands!$A$2:$FZ$601,576,Sync!$D$5)&amp;"",""),Brand_Log!$A$2:$A$201,0))&amp;"",IFERROR(INDEX(Clay_Brands!$A$2:$FZ$601,576,Sync!$D$5)&amp;"","")&amp;""))</f>
        <v/>
      </c>
      <c r="E5227" s="23" t="str">
        <f aca="false">IF(B5227="","",IFERROR(INDEX(Clay_Brands!$A$2:$FZ$601,576,Sync!$D$6)&amp;"",""))</f>
        <v/>
      </c>
      <c r="F5227" s="23" t="str">
        <f aca="false">IF(B5227="","","outreach_sent")</f>
        <v/>
      </c>
      <c r="G5227" s="23" t="str">
        <f aca="false">IF(B5227="","","")</f>
        <v/>
      </c>
      <c r="H5227" s="23" t="str">
        <f aca="false">IF(B5227="","","")</f>
        <v/>
      </c>
      <c r="I5227" s="23" t="str">
        <f aca="false">IF(B5227="","","")</f>
        <v/>
      </c>
      <c r="J5227" s="23" t="str">
        <f aca="false">IF(B5227="","","touch_3; "&amp;IFERROR(INDEX(Clay_Brands!$A$2:$FZ$601,576,Sync!$D$10)&amp;"","")&amp;"; "&amp;IFERROR(INDEX(Clay_Brands!$A$2:$FZ$601,576,Sync!$D$9)&amp;"",""))</f>
        <v/>
      </c>
      <c r="K5227" s="32" t="s">
        <v>1368</v>
      </c>
    </row>
    <row r="5228" customFormat="false" ht="15" hidden="false" customHeight="false" outlineLevel="0" collapsed="false">
      <c r="A5228" s="23" t="str">
        <f aca="false">IF(B5228="","",B5228+(17*1000+577)/10000000)</f>
        <v/>
      </c>
      <c r="B5228" s="35" t="str">
        <f aca="false">IF(AND(IFERROR(N(INDEX(Clay_Brands!$A$2:$FZ$601,577,Sync!$D$13)),0)&gt;0,IFERROR(INDEX(Clay_Brands!$A$2:$FZ$601,577,Sync!$D$5)&amp;"","")&lt;&gt;"",OR(LEFT(IFERROR(INDEX(Clay_Brands!$A$2:$FZ$601,577,Sync!$D$5)&amp;"",""),6)&lt;&gt;"SAMPLE",Config!$B$19="Y")),IFERROR(N(INDEX(Clay_Brands!$A$2:$FZ$601,577,Sync!$D$13)),0),"")</f>
        <v/>
      </c>
      <c r="C5228" s="23" t="str">
        <f aca="false">IF(B5228="","","brand")</f>
        <v/>
      </c>
      <c r="D5228" s="23" t="str">
        <f aca="false">IF(B5228="","",IFERROR(INDEX(Brand_Log!$DV$2:$DV$201,MATCH(IFERROR(INDEX(Clay_Brands!$A$2:$FZ$601,577,Sync!$D$5)&amp;"",""),Brand_Log!$A$2:$A$201,0))&amp;"",IFERROR(INDEX(Clay_Brands!$A$2:$FZ$601,577,Sync!$D$5)&amp;"","")&amp;""))</f>
        <v/>
      </c>
      <c r="E5228" s="23" t="str">
        <f aca="false">IF(B5228="","",IFERROR(INDEX(Clay_Brands!$A$2:$FZ$601,577,Sync!$D$6)&amp;"",""))</f>
        <v/>
      </c>
      <c r="F5228" s="23" t="str">
        <f aca="false">IF(B5228="","","outreach_sent")</f>
        <v/>
      </c>
      <c r="G5228" s="23" t="str">
        <f aca="false">IF(B5228="","","")</f>
        <v/>
      </c>
      <c r="H5228" s="23" t="str">
        <f aca="false">IF(B5228="","","")</f>
        <v/>
      </c>
      <c r="I5228" s="23" t="str">
        <f aca="false">IF(B5228="","","")</f>
        <v/>
      </c>
      <c r="J5228" s="23" t="str">
        <f aca="false">IF(B5228="","","touch_3; "&amp;IFERROR(INDEX(Clay_Brands!$A$2:$FZ$601,577,Sync!$D$10)&amp;"","")&amp;"; "&amp;IFERROR(INDEX(Clay_Brands!$A$2:$FZ$601,577,Sync!$D$9)&amp;"",""))</f>
        <v/>
      </c>
      <c r="K5228" s="32" t="s">
        <v>1368</v>
      </c>
    </row>
    <row r="5229" customFormat="false" ht="15" hidden="false" customHeight="false" outlineLevel="0" collapsed="false">
      <c r="A5229" s="23" t="str">
        <f aca="false">IF(B5229="","",B5229+(17*1000+578)/10000000)</f>
        <v/>
      </c>
      <c r="B5229" s="35" t="str">
        <f aca="false">IF(AND(IFERROR(N(INDEX(Clay_Brands!$A$2:$FZ$601,578,Sync!$D$13)),0)&gt;0,IFERROR(INDEX(Clay_Brands!$A$2:$FZ$601,578,Sync!$D$5)&amp;"","")&lt;&gt;"",OR(LEFT(IFERROR(INDEX(Clay_Brands!$A$2:$FZ$601,578,Sync!$D$5)&amp;"",""),6)&lt;&gt;"SAMPLE",Config!$B$19="Y")),IFERROR(N(INDEX(Clay_Brands!$A$2:$FZ$601,578,Sync!$D$13)),0),"")</f>
        <v/>
      </c>
      <c r="C5229" s="23" t="str">
        <f aca="false">IF(B5229="","","brand")</f>
        <v/>
      </c>
      <c r="D5229" s="23" t="str">
        <f aca="false">IF(B5229="","",IFERROR(INDEX(Brand_Log!$DV$2:$DV$201,MATCH(IFERROR(INDEX(Clay_Brands!$A$2:$FZ$601,578,Sync!$D$5)&amp;"",""),Brand_Log!$A$2:$A$201,0))&amp;"",IFERROR(INDEX(Clay_Brands!$A$2:$FZ$601,578,Sync!$D$5)&amp;"","")&amp;""))</f>
        <v/>
      </c>
      <c r="E5229" s="23" t="str">
        <f aca="false">IF(B5229="","",IFERROR(INDEX(Clay_Brands!$A$2:$FZ$601,578,Sync!$D$6)&amp;"",""))</f>
        <v/>
      </c>
      <c r="F5229" s="23" t="str">
        <f aca="false">IF(B5229="","","outreach_sent")</f>
        <v/>
      </c>
      <c r="G5229" s="23" t="str">
        <f aca="false">IF(B5229="","","")</f>
        <v/>
      </c>
      <c r="H5229" s="23" t="str">
        <f aca="false">IF(B5229="","","")</f>
        <v/>
      </c>
      <c r="I5229" s="23" t="str">
        <f aca="false">IF(B5229="","","")</f>
        <v/>
      </c>
      <c r="J5229" s="23" t="str">
        <f aca="false">IF(B5229="","","touch_3; "&amp;IFERROR(INDEX(Clay_Brands!$A$2:$FZ$601,578,Sync!$D$10)&amp;"","")&amp;"; "&amp;IFERROR(INDEX(Clay_Brands!$A$2:$FZ$601,578,Sync!$D$9)&amp;"",""))</f>
        <v/>
      </c>
      <c r="K5229" s="32" t="s">
        <v>1368</v>
      </c>
    </row>
    <row r="5230" customFormat="false" ht="15" hidden="false" customHeight="false" outlineLevel="0" collapsed="false">
      <c r="A5230" s="23" t="str">
        <f aca="false">IF(B5230="","",B5230+(17*1000+579)/10000000)</f>
        <v/>
      </c>
      <c r="B5230" s="35" t="str">
        <f aca="false">IF(AND(IFERROR(N(INDEX(Clay_Brands!$A$2:$FZ$601,579,Sync!$D$13)),0)&gt;0,IFERROR(INDEX(Clay_Brands!$A$2:$FZ$601,579,Sync!$D$5)&amp;"","")&lt;&gt;"",OR(LEFT(IFERROR(INDEX(Clay_Brands!$A$2:$FZ$601,579,Sync!$D$5)&amp;"",""),6)&lt;&gt;"SAMPLE",Config!$B$19="Y")),IFERROR(N(INDEX(Clay_Brands!$A$2:$FZ$601,579,Sync!$D$13)),0),"")</f>
        <v/>
      </c>
      <c r="C5230" s="23" t="str">
        <f aca="false">IF(B5230="","","brand")</f>
        <v/>
      </c>
      <c r="D5230" s="23" t="str">
        <f aca="false">IF(B5230="","",IFERROR(INDEX(Brand_Log!$DV$2:$DV$201,MATCH(IFERROR(INDEX(Clay_Brands!$A$2:$FZ$601,579,Sync!$D$5)&amp;"",""),Brand_Log!$A$2:$A$201,0))&amp;"",IFERROR(INDEX(Clay_Brands!$A$2:$FZ$601,579,Sync!$D$5)&amp;"","")&amp;""))</f>
        <v/>
      </c>
      <c r="E5230" s="23" t="str">
        <f aca="false">IF(B5230="","",IFERROR(INDEX(Clay_Brands!$A$2:$FZ$601,579,Sync!$D$6)&amp;"",""))</f>
        <v/>
      </c>
      <c r="F5230" s="23" t="str">
        <f aca="false">IF(B5230="","","outreach_sent")</f>
        <v/>
      </c>
      <c r="G5230" s="23" t="str">
        <f aca="false">IF(B5230="","","")</f>
        <v/>
      </c>
      <c r="H5230" s="23" t="str">
        <f aca="false">IF(B5230="","","")</f>
        <v/>
      </c>
      <c r="I5230" s="23" t="str">
        <f aca="false">IF(B5230="","","")</f>
        <v/>
      </c>
      <c r="J5230" s="23" t="str">
        <f aca="false">IF(B5230="","","touch_3; "&amp;IFERROR(INDEX(Clay_Brands!$A$2:$FZ$601,579,Sync!$D$10)&amp;"","")&amp;"; "&amp;IFERROR(INDEX(Clay_Brands!$A$2:$FZ$601,579,Sync!$D$9)&amp;"",""))</f>
        <v/>
      </c>
      <c r="K5230" s="32" t="s">
        <v>1368</v>
      </c>
    </row>
    <row r="5231" customFormat="false" ht="15" hidden="false" customHeight="false" outlineLevel="0" collapsed="false">
      <c r="A5231" s="23" t="str">
        <f aca="false">IF(B5231="","",B5231+(17*1000+580)/10000000)</f>
        <v/>
      </c>
      <c r="B5231" s="35" t="str">
        <f aca="false">IF(AND(IFERROR(N(INDEX(Clay_Brands!$A$2:$FZ$601,580,Sync!$D$13)),0)&gt;0,IFERROR(INDEX(Clay_Brands!$A$2:$FZ$601,580,Sync!$D$5)&amp;"","")&lt;&gt;"",OR(LEFT(IFERROR(INDEX(Clay_Brands!$A$2:$FZ$601,580,Sync!$D$5)&amp;"",""),6)&lt;&gt;"SAMPLE",Config!$B$19="Y")),IFERROR(N(INDEX(Clay_Brands!$A$2:$FZ$601,580,Sync!$D$13)),0),"")</f>
        <v/>
      </c>
      <c r="C5231" s="23" t="str">
        <f aca="false">IF(B5231="","","brand")</f>
        <v/>
      </c>
      <c r="D5231" s="23" t="str">
        <f aca="false">IF(B5231="","",IFERROR(INDEX(Brand_Log!$DV$2:$DV$201,MATCH(IFERROR(INDEX(Clay_Brands!$A$2:$FZ$601,580,Sync!$D$5)&amp;"",""),Brand_Log!$A$2:$A$201,0))&amp;"",IFERROR(INDEX(Clay_Brands!$A$2:$FZ$601,580,Sync!$D$5)&amp;"","")&amp;""))</f>
        <v/>
      </c>
      <c r="E5231" s="23" t="str">
        <f aca="false">IF(B5231="","",IFERROR(INDEX(Clay_Brands!$A$2:$FZ$601,580,Sync!$D$6)&amp;"",""))</f>
        <v/>
      </c>
      <c r="F5231" s="23" t="str">
        <f aca="false">IF(B5231="","","outreach_sent")</f>
        <v/>
      </c>
      <c r="G5231" s="23" t="str">
        <f aca="false">IF(B5231="","","")</f>
        <v/>
      </c>
      <c r="H5231" s="23" t="str">
        <f aca="false">IF(B5231="","","")</f>
        <v/>
      </c>
      <c r="I5231" s="23" t="str">
        <f aca="false">IF(B5231="","","")</f>
        <v/>
      </c>
      <c r="J5231" s="23" t="str">
        <f aca="false">IF(B5231="","","touch_3; "&amp;IFERROR(INDEX(Clay_Brands!$A$2:$FZ$601,580,Sync!$D$10)&amp;"","")&amp;"; "&amp;IFERROR(INDEX(Clay_Brands!$A$2:$FZ$601,580,Sync!$D$9)&amp;"",""))</f>
        <v/>
      </c>
      <c r="K5231" s="32" t="s">
        <v>1368</v>
      </c>
    </row>
    <row r="5232" customFormat="false" ht="15" hidden="false" customHeight="false" outlineLevel="0" collapsed="false">
      <c r="A5232" s="23" t="str">
        <f aca="false">IF(B5232="","",B5232+(17*1000+581)/10000000)</f>
        <v/>
      </c>
      <c r="B5232" s="35" t="str">
        <f aca="false">IF(AND(IFERROR(N(INDEX(Clay_Brands!$A$2:$FZ$601,581,Sync!$D$13)),0)&gt;0,IFERROR(INDEX(Clay_Brands!$A$2:$FZ$601,581,Sync!$D$5)&amp;"","")&lt;&gt;"",OR(LEFT(IFERROR(INDEX(Clay_Brands!$A$2:$FZ$601,581,Sync!$D$5)&amp;"",""),6)&lt;&gt;"SAMPLE",Config!$B$19="Y")),IFERROR(N(INDEX(Clay_Brands!$A$2:$FZ$601,581,Sync!$D$13)),0),"")</f>
        <v/>
      </c>
      <c r="C5232" s="23" t="str">
        <f aca="false">IF(B5232="","","brand")</f>
        <v/>
      </c>
      <c r="D5232" s="23" t="str">
        <f aca="false">IF(B5232="","",IFERROR(INDEX(Brand_Log!$DV$2:$DV$201,MATCH(IFERROR(INDEX(Clay_Brands!$A$2:$FZ$601,581,Sync!$D$5)&amp;"",""),Brand_Log!$A$2:$A$201,0))&amp;"",IFERROR(INDEX(Clay_Brands!$A$2:$FZ$601,581,Sync!$D$5)&amp;"","")&amp;""))</f>
        <v/>
      </c>
      <c r="E5232" s="23" t="str">
        <f aca="false">IF(B5232="","",IFERROR(INDEX(Clay_Brands!$A$2:$FZ$601,581,Sync!$D$6)&amp;"",""))</f>
        <v/>
      </c>
      <c r="F5232" s="23" t="str">
        <f aca="false">IF(B5232="","","outreach_sent")</f>
        <v/>
      </c>
      <c r="G5232" s="23" t="str">
        <f aca="false">IF(B5232="","","")</f>
        <v/>
      </c>
      <c r="H5232" s="23" t="str">
        <f aca="false">IF(B5232="","","")</f>
        <v/>
      </c>
      <c r="I5232" s="23" t="str">
        <f aca="false">IF(B5232="","","")</f>
        <v/>
      </c>
      <c r="J5232" s="23" t="str">
        <f aca="false">IF(B5232="","","touch_3; "&amp;IFERROR(INDEX(Clay_Brands!$A$2:$FZ$601,581,Sync!$D$10)&amp;"","")&amp;"; "&amp;IFERROR(INDEX(Clay_Brands!$A$2:$FZ$601,581,Sync!$D$9)&amp;"",""))</f>
        <v/>
      </c>
      <c r="K5232" s="32" t="s">
        <v>1368</v>
      </c>
    </row>
    <row r="5233" customFormat="false" ht="15" hidden="false" customHeight="false" outlineLevel="0" collapsed="false">
      <c r="A5233" s="23" t="str">
        <f aca="false">IF(B5233="","",B5233+(17*1000+582)/10000000)</f>
        <v/>
      </c>
      <c r="B5233" s="35" t="str">
        <f aca="false">IF(AND(IFERROR(N(INDEX(Clay_Brands!$A$2:$FZ$601,582,Sync!$D$13)),0)&gt;0,IFERROR(INDEX(Clay_Brands!$A$2:$FZ$601,582,Sync!$D$5)&amp;"","")&lt;&gt;"",OR(LEFT(IFERROR(INDEX(Clay_Brands!$A$2:$FZ$601,582,Sync!$D$5)&amp;"",""),6)&lt;&gt;"SAMPLE",Config!$B$19="Y")),IFERROR(N(INDEX(Clay_Brands!$A$2:$FZ$601,582,Sync!$D$13)),0),"")</f>
        <v/>
      </c>
      <c r="C5233" s="23" t="str">
        <f aca="false">IF(B5233="","","brand")</f>
        <v/>
      </c>
      <c r="D5233" s="23" t="str">
        <f aca="false">IF(B5233="","",IFERROR(INDEX(Brand_Log!$DV$2:$DV$201,MATCH(IFERROR(INDEX(Clay_Brands!$A$2:$FZ$601,582,Sync!$D$5)&amp;"",""),Brand_Log!$A$2:$A$201,0))&amp;"",IFERROR(INDEX(Clay_Brands!$A$2:$FZ$601,582,Sync!$D$5)&amp;"","")&amp;""))</f>
        <v/>
      </c>
      <c r="E5233" s="23" t="str">
        <f aca="false">IF(B5233="","",IFERROR(INDEX(Clay_Brands!$A$2:$FZ$601,582,Sync!$D$6)&amp;"",""))</f>
        <v/>
      </c>
      <c r="F5233" s="23" t="str">
        <f aca="false">IF(B5233="","","outreach_sent")</f>
        <v/>
      </c>
      <c r="G5233" s="23" t="str">
        <f aca="false">IF(B5233="","","")</f>
        <v/>
      </c>
      <c r="H5233" s="23" t="str">
        <f aca="false">IF(B5233="","","")</f>
        <v/>
      </c>
      <c r="I5233" s="23" t="str">
        <f aca="false">IF(B5233="","","")</f>
        <v/>
      </c>
      <c r="J5233" s="23" t="str">
        <f aca="false">IF(B5233="","","touch_3; "&amp;IFERROR(INDEX(Clay_Brands!$A$2:$FZ$601,582,Sync!$D$10)&amp;"","")&amp;"; "&amp;IFERROR(INDEX(Clay_Brands!$A$2:$FZ$601,582,Sync!$D$9)&amp;"",""))</f>
        <v/>
      </c>
      <c r="K5233" s="32" t="s">
        <v>1368</v>
      </c>
    </row>
    <row r="5234" customFormat="false" ht="15" hidden="false" customHeight="false" outlineLevel="0" collapsed="false">
      <c r="A5234" s="23" t="str">
        <f aca="false">IF(B5234="","",B5234+(17*1000+583)/10000000)</f>
        <v/>
      </c>
      <c r="B5234" s="35" t="str">
        <f aca="false">IF(AND(IFERROR(N(INDEX(Clay_Brands!$A$2:$FZ$601,583,Sync!$D$13)),0)&gt;0,IFERROR(INDEX(Clay_Brands!$A$2:$FZ$601,583,Sync!$D$5)&amp;"","")&lt;&gt;"",OR(LEFT(IFERROR(INDEX(Clay_Brands!$A$2:$FZ$601,583,Sync!$D$5)&amp;"",""),6)&lt;&gt;"SAMPLE",Config!$B$19="Y")),IFERROR(N(INDEX(Clay_Brands!$A$2:$FZ$601,583,Sync!$D$13)),0),"")</f>
        <v/>
      </c>
      <c r="C5234" s="23" t="str">
        <f aca="false">IF(B5234="","","brand")</f>
        <v/>
      </c>
      <c r="D5234" s="23" t="str">
        <f aca="false">IF(B5234="","",IFERROR(INDEX(Brand_Log!$DV$2:$DV$201,MATCH(IFERROR(INDEX(Clay_Brands!$A$2:$FZ$601,583,Sync!$D$5)&amp;"",""),Brand_Log!$A$2:$A$201,0))&amp;"",IFERROR(INDEX(Clay_Brands!$A$2:$FZ$601,583,Sync!$D$5)&amp;"","")&amp;""))</f>
        <v/>
      </c>
      <c r="E5234" s="23" t="str">
        <f aca="false">IF(B5234="","",IFERROR(INDEX(Clay_Brands!$A$2:$FZ$601,583,Sync!$D$6)&amp;"",""))</f>
        <v/>
      </c>
      <c r="F5234" s="23" t="str">
        <f aca="false">IF(B5234="","","outreach_sent")</f>
        <v/>
      </c>
      <c r="G5234" s="23" t="str">
        <f aca="false">IF(B5234="","","")</f>
        <v/>
      </c>
      <c r="H5234" s="23" t="str">
        <f aca="false">IF(B5234="","","")</f>
        <v/>
      </c>
      <c r="I5234" s="23" t="str">
        <f aca="false">IF(B5234="","","")</f>
        <v/>
      </c>
      <c r="J5234" s="23" t="str">
        <f aca="false">IF(B5234="","","touch_3; "&amp;IFERROR(INDEX(Clay_Brands!$A$2:$FZ$601,583,Sync!$D$10)&amp;"","")&amp;"; "&amp;IFERROR(INDEX(Clay_Brands!$A$2:$FZ$601,583,Sync!$D$9)&amp;"",""))</f>
        <v/>
      </c>
      <c r="K5234" s="32" t="s">
        <v>1368</v>
      </c>
    </row>
    <row r="5235" customFormat="false" ht="15" hidden="false" customHeight="false" outlineLevel="0" collapsed="false">
      <c r="A5235" s="23" t="str">
        <f aca="false">IF(B5235="","",B5235+(17*1000+584)/10000000)</f>
        <v/>
      </c>
      <c r="B5235" s="35" t="str">
        <f aca="false">IF(AND(IFERROR(N(INDEX(Clay_Brands!$A$2:$FZ$601,584,Sync!$D$13)),0)&gt;0,IFERROR(INDEX(Clay_Brands!$A$2:$FZ$601,584,Sync!$D$5)&amp;"","")&lt;&gt;"",OR(LEFT(IFERROR(INDEX(Clay_Brands!$A$2:$FZ$601,584,Sync!$D$5)&amp;"",""),6)&lt;&gt;"SAMPLE",Config!$B$19="Y")),IFERROR(N(INDEX(Clay_Brands!$A$2:$FZ$601,584,Sync!$D$13)),0),"")</f>
        <v/>
      </c>
      <c r="C5235" s="23" t="str">
        <f aca="false">IF(B5235="","","brand")</f>
        <v/>
      </c>
      <c r="D5235" s="23" t="str">
        <f aca="false">IF(B5235="","",IFERROR(INDEX(Brand_Log!$DV$2:$DV$201,MATCH(IFERROR(INDEX(Clay_Brands!$A$2:$FZ$601,584,Sync!$D$5)&amp;"",""),Brand_Log!$A$2:$A$201,0))&amp;"",IFERROR(INDEX(Clay_Brands!$A$2:$FZ$601,584,Sync!$D$5)&amp;"","")&amp;""))</f>
        <v/>
      </c>
      <c r="E5235" s="23" t="str">
        <f aca="false">IF(B5235="","",IFERROR(INDEX(Clay_Brands!$A$2:$FZ$601,584,Sync!$D$6)&amp;"",""))</f>
        <v/>
      </c>
      <c r="F5235" s="23" t="str">
        <f aca="false">IF(B5235="","","outreach_sent")</f>
        <v/>
      </c>
      <c r="G5235" s="23" t="str">
        <f aca="false">IF(B5235="","","")</f>
        <v/>
      </c>
      <c r="H5235" s="23" t="str">
        <f aca="false">IF(B5235="","","")</f>
        <v/>
      </c>
      <c r="I5235" s="23" t="str">
        <f aca="false">IF(B5235="","","")</f>
        <v/>
      </c>
      <c r="J5235" s="23" t="str">
        <f aca="false">IF(B5235="","","touch_3; "&amp;IFERROR(INDEX(Clay_Brands!$A$2:$FZ$601,584,Sync!$D$10)&amp;"","")&amp;"; "&amp;IFERROR(INDEX(Clay_Brands!$A$2:$FZ$601,584,Sync!$D$9)&amp;"",""))</f>
        <v/>
      </c>
      <c r="K5235" s="32" t="s">
        <v>1368</v>
      </c>
    </row>
    <row r="5236" customFormat="false" ht="15" hidden="false" customHeight="false" outlineLevel="0" collapsed="false">
      <c r="A5236" s="23" t="str">
        <f aca="false">IF(B5236="","",B5236+(17*1000+585)/10000000)</f>
        <v/>
      </c>
      <c r="B5236" s="35" t="str">
        <f aca="false">IF(AND(IFERROR(N(INDEX(Clay_Brands!$A$2:$FZ$601,585,Sync!$D$13)),0)&gt;0,IFERROR(INDEX(Clay_Brands!$A$2:$FZ$601,585,Sync!$D$5)&amp;"","")&lt;&gt;"",OR(LEFT(IFERROR(INDEX(Clay_Brands!$A$2:$FZ$601,585,Sync!$D$5)&amp;"",""),6)&lt;&gt;"SAMPLE",Config!$B$19="Y")),IFERROR(N(INDEX(Clay_Brands!$A$2:$FZ$601,585,Sync!$D$13)),0),"")</f>
        <v/>
      </c>
      <c r="C5236" s="23" t="str">
        <f aca="false">IF(B5236="","","brand")</f>
        <v/>
      </c>
      <c r="D5236" s="23" t="str">
        <f aca="false">IF(B5236="","",IFERROR(INDEX(Brand_Log!$DV$2:$DV$201,MATCH(IFERROR(INDEX(Clay_Brands!$A$2:$FZ$601,585,Sync!$D$5)&amp;"",""),Brand_Log!$A$2:$A$201,0))&amp;"",IFERROR(INDEX(Clay_Brands!$A$2:$FZ$601,585,Sync!$D$5)&amp;"","")&amp;""))</f>
        <v/>
      </c>
      <c r="E5236" s="23" t="str">
        <f aca="false">IF(B5236="","",IFERROR(INDEX(Clay_Brands!$A$2:$FZ$601,585,Sync!$D$6)&amp;"",""))</f>
        <v/>
      </c>
      <c r="F5236" s="23" t="str">
        <f aca="false">IF(B5236="","","outreach_sent")</f>
        <v/>
      </c>
      <c r="G5236" s="23" t="str">
        <f aca="false">IF(B5236="","","")</f>
        <v/>
      </c>
      <c r="H5236" s="23" t="str">
        <f aca="false">IF(B5236="","","")</f>
        <v/>
      </c>
      <c r="I5236" s="23" t="str">
        <f aca="false">IF(B5236="","","")</f>
        <v/>
      </c>
      <c r="J5236" s="23" t="str">
        <f aca="false">IF(B5236="","","touch_3; "&amp;IFERROR(INDEX(Clay_Brands!$A$2:$FZ$601,585,Sync!$D$10)&amp;"","")&amp;"; "&amp;IFERROR(INDEX(Clay_Brands!$A$2:$FZ$601,585,Sync!$D$9)&amp;"",""))</f>
        <v/>
      </c>
      <c r="K5236" s="32" t="s">
        <v>1368</v>
      </c>
    </row>
    <row r="5237" customFormat="false" ht="15" hidden="false" customHeight="false" outlineLevel="0" collapsed="false">
      <c r="A5237" s="23" t="str">
        <f aca="false">IF(B5237="","",B5237+(17*1000+586)/10000000)</f>
        <v/>
      </c>
      <c r="B5237" s="35" t="str">
        <f aca="false">IF(AND(IFERROR(N(INDEX(Clay_Brands!$A$2:$FZ$601,586,Sync!$D$13)),0)&gt;0,IFERROR(INDEX(Clay_Brands!$A$2:$FZ$601,586,Sync!$D$5)&amp;"","")&lt;&gt;"",OR(LEFT(IFERROR(INDEX(Clay_Brands!$A$2:$FZ$601,586,Sync!$D$5)&amp;"",""),6)&lt;&gt;"SAMPLE",Config!$B$19="Y")),IFERROR(N(INDEX(Clay_Brands!$A$2:$FZ$601,586,Sync!$D$13)),0),"")</f>
        <v/>
      </c>
      <c r="C5237" s="23" t="str">
        <f aca="false">IF(B5237="","","brand")</f>
        <v/>
      </c>
      <c r="D5237" s="23" t="str">
        <f aca="false">IF(B5237="","",IFERROR(INDEX(Brand_Log!$DV$2:$DV$201,MATCH(IFERROR(INDEX(Clay_Brands!$A$2:$FZ$601,586,Sync!$D$5)&amp;"",""),Brand_Log!$A$2:$A$201,0))&amp;"",IFERROR(INDEX(Clay_Brands!$A$2:$FZ$601,586,Sync!$D$5)&amp;"","")&amp;""))</f>
        <v/>
      </c>
      <c r="E5237" s="23" t="str">
        <f aca="false">IF(B5237="","",IFERROR(INDEX(Clay_Brands!$A$2:$FZ$601,586,Sync!$D$6)&amp;"",""))</f>
        <v/>
      </c>
      <c r="F5237" s="23" t="str">
        <f aca="false">IF(B5237="","","outreach_sent")</f>
        <v/>
      </c>
      <c r="G5237" s="23" t="str">
        <f aca="false">IF(B5237="","","")</f>
        <v/>
      </c>
      <c r="H5237" s="23" t="str">
        <f aca="false">IF(B5237="","","")</f>
        <v/>
      </c>
      <c r="I5237" s="23" t="str">
        <f aca="false">IF(B5237="","","")</f>
        <v/>
      </c>
      <c r="J5237" s="23" t="str">
        <f aca="false">IF(B5237="","","touch_3; "&amp;IFERROR(INDEX(Clay_Brands!$A$2:$FZ$601,586,Sync!$D$10)&amp;"","")&amp;"; "&amp;IFERROR(INDEX(Clay_Brands!$A$2:$FZ$601,586,Sync!$D$9)&amp;"",""))</f>
        <v/>
      </c>
      <c r="K5237" s="32" t="s">
        <v>1368</v>
      </c>
    </row>
    <row r="5238" customFormat="false" ht="15" hidden="false" customHeight="false" outlineLevel="0" collapsed="false">
      <c r="A5238" s="23" t="str">
        <f aca="false">IF(B5238="","",B5238+(17*1000+587)/10000000)</f>
        <v/>
      </c>
      <c r="B5238" s="35" t="str">
        <f aca="false">IF(AND(IFERROR(N(INDEX(Clay_Brands!$A$2:$FZ$601,587,Sync!$D$13)),0)&gt;0,IFERROR(INDEX(Clay_Brands!$A$2:$FZ$601,587,Sync!$D$5)&amp;"","")&lt;&gt;"",OR(LEFT(IFERROR(INDEX(Clay_Brands!$A$2:$FZ$601,587,Sync!$D$5)&amp;"",""),6)&lt;&gt;"SAMPLE",Config!$B$19="Y")),IFERROR(N(INDEX(Clay_Brands!$A$2:$FZ$601,587,Sync!$D$13)),0),"")</f>
        <v/>
      </c>
      <c r="C5238" s="23" t="str">
        <f aca="false">IF(B5238="","","brand")</f>
        <v/>
      </c>
      <c r="D5238" s="23" t="str">
        <f aca="false">IF(B5238="","",IFERROR(INDEX(Brand_Log!$DV$2:$DV$201,MATCH(IFERROR(INDEX(Clay_Brands!$A$2:$FZ$601,587,Sync!$D$5)&amp;"",""),Brand_Log!$A$2:$A$201,0))&amp;"",IFERROR(INDEX(Clay_Brands!$A$2:$FZ$601,587,Sync!$D$5)&amp;"","")&amp;""))</f>
        <v/>
      </c>
      <c r="E5238" s="23" t="str">
        <f aca="false">IF(B5238="","",IFERROR(INDEX(Clay_Brands!$A$2:$FZ$601,587,Sync!$D$6)&amp;"",""))</f>
        <v/>
      </c>
      <c r="F5238" s="23" t="str">
        <f aca="false">IF(B5238="","","outreach_sent")</f>
        <v/>
      </c>
      <c r="G5238" s="23" t="str">
        <f aca="false">IF(B5238="","","")</f>
        <v/>
      </c>
      <c r="H5238" s="23" t="str">
        <f aca="false">IF(B5238="","","")</f>
        <v/>
      </c>
      <c r="I5238" s="23" t="str">
        <f aca="false">IF(B5238="","","")</f>
        <v/>
      </c>
      <c r="J5238" s="23" t="str">
        <f aca="false">IF(B5238="","","touch_3; "&amp;IFERROR(INDEX(Clay_Brands!$A$2:$FZ$601,587,Sync!$D$10)&amp;"","")&amp;"; "&amp;IFERROR(INDEX(Clay_Brands!$A$2:$FZ$601,587,Sync!$D$9)&amp;"",""))</f>
        <v/>
      </c>
      <c r="K5238" s="32" t="s">
        <v>1368</v>
      </c>
    </row>
    <row r="5239" customFormat="false" ht="15" hidden="false" customHeight="false" outlineLevel="0" collapsed="false">
      <c r="A5239" s="23" t="str">
        <f aca="false">IF(B5239="","",B5239+(17*1000+588)/10000000)</f>
        <v/>
      </c>
      <c r="B5239" s="35" t="str">
        <f aca="false">IF(AND(IFERROR(N(INDEX(Clay_Brands!$A$2:$FZ$601,588,Sync!$D$13)),0)&gt;0,IFERROR(INDEX(Clay_Brands!$A$2:$FZ$601,588,Sync!$D$5)&amp;"","")&lt;&gt;"",OR(LEFT(IFERROR(INDEX(Clay_Brands!$A$2:$FZ$601,588,Sync!$D$5)&amp;"",""),6)&lt;&gt;"SAMPLE",Config!$B$19="Y")),IFERROR(N(INDEX(Clay_Brands!$A$2:$FZ$601,588,Sync!$D$13)),0),"")</f>
        <v/>
      </c>
      <c r="C5239" s="23" t="str">
        <f aca="false">IF(B5239="","","brand")</f>
        <v/>
      </c>
      <c r="D5239" s="23" t="str">
        <f aca="false">IF(B5239="","",IFERROR(INDEX(Brand_Log!$DV$2:$DV$201,MATCH(IFERROR(INDEX(Clay_Brands!$A$2:$FZ$601,588,Sync!$D$5)&amp;"",""),Brand_Log!$A$2:$A$201,0))&amp;"",IFERROR(INDEX(Clay_Brands!$A$2:$FZ$601,588,Sync!$D$5)&amp;"","")&amp;""))</f>
        <v/>
      </c>
      <c r="E5239" s="23" t="str">
        <f aca="false">IF(B5239="","",IFERROR(INDEX(Clay_Brands!$A$2:$FZ$601,588,Sync!$D$6)&amp;"",""))</f>
        <v/>
      </c>
      <c r="F5239" s="23" t="str">
        <f aca="false">IF(B5239="","","outreach_sent")</f>
        <v/>
      </c>
      <c r="G5239" s="23" t="str">
        <f aca="false">IF(B5239="","","")</f>
        <v/>
      </c>
      <c r="H5239" s="23" t="str">
        <f aca="false">IF(B5239="","","")</f>
        <v/>
      </c>
      <c r="I5239" s="23" t="str">
        <f aca="false">IF(B5239="","","")</f>
        <v/>
      </c>
      <c r="J5239" s="23" t="str">
        <f aca="false">IF(B5239="","","touch_3; "&amp;IFERROR(INDEX(Clay_Brands!$A$2:$FZ$601,588,Sync!$D$10)&amp;"","")&amp;"; "&amp;IFERROR(INDEX(Clay_Brands!$A$2:$FZ$601,588,Sync!$D$9)&amp;"",""))</f>
        <v/>
      </c>
      <c r="K5239" s="32" t="s">
        <v>1368</v>
      </c>
    </row>
    <row r="5240" customFormat="false" ht="15" hidden="false" customHeight="false" outlineLevel="0" collapsed="false">
      <c r="A5240" s="23" t="str">
        <f aca="false">IF(B5240="","",B5240+(17*1000+589)/10000000)</f>
        <v/>
      </c>
      <c r="B5240" s="35" t="str">
        <f aca="false">IF(AND(IFERROR(N(INDEX(Clay_Brands!$A$2:$FZ$601,589,Sync!$D$13)),0)&gt;0,IFERROR(INDEX(Clay_Brands!$A$2:$FZ$601,589,Sync!$D$5)&amp;"","")&lt;&gt;"",OR(LEFT(IFERROR(INDEX(Clay_Brands!$A$2:$FZ$601,589,Sync!$D$5)&amp;"",""),6)&lt;&gt;"SAMPLE",Config!$B$19="Y")),IFERROR(N(INDEX(Clay_Brands!$A$2:$FZ$601,589,Sync!$D$13)),0),"")</f>
        <v/>
      </c>
      <c r="C5240" s="23" t="str">
        <f aca="false">IF(B5240="","","brand")</f>
        <v/>
      </c>
      <c r="D5240" s="23" t="str">
        <f aca="false">IF(B5240="","",IFERROR(INDEX(Brand_Log!$DV$2:$DV$201,MATCH(IFERROR(INDEX(Clay_Brands!$A$2:$FZ$601,589,Sync!$D$5)&amp;"",""),Brand_Log!$A$2:$A$201,0))&amp;"",IFERROR(INDEX(Clay_Brands!$A$2:$FZ$601,589,Sync!$D$5)&amp;"","")&amp;""))</f>
        <v/>
      </c>
      <c r="E5240" s="23" t="str">
        <f aca="false">IF(B5240="","",IFERROR(INDEX(Clay_Brands!$A$2:$FZ$601,589,Sync!$D$6)&amp;"",""))</f>
        <v/>
      </c>
      <c r="F5240" s="23" t="str">
        <f aca="false">IF(B5240="","","outreach_sent")</f>
        <v/>
      </c>
      <c r="G5240" s="23" t="str">
        <f aca="false">IF(B5240="","","")</f>
        <v/>
      </c>
      <c r="H5240" s="23" t="str">
        <f aca="false">IF(B5240="","","")</f>
        <v/>
      </c>
      <c r="I5240" s="23" t="str">
        <f aca="false">IF(B5240="","","")</f>
        <v/>
      </c>
      <c r="J5240" s="23" t="str">
        <f aca="false">IF(B5240="","","touch_3; "&amp;IFERROR(INDEX(Clay_Brands!$A$2:$FZ$601,589,Sync!$D$10)&amp;"","")&amp;"; "&amp;IFERROR(INDEX(Clay_Brands!$A$2:$FZ$601,589,Sync!$D$9)&amp;"",""))</f>
        <v/>
      </c>
      <c r="K5240" s="32" t="s">
        <v>1368</v>
      </c>
    </row>
    <row r="5241" customFormat="false" ht="15" hidden="false" customHeight="false" outlineLevel="0" collapsed="false">
      <c r="A5241" s="23" t="str">
        <f aca="false">IF(B5241="","",B5241+(17*1000+590)/10000000)</f>
        <v/>
      </c>
      <c r="B5241" s="35" t="str">
        <f aca="false">IF(AND(IFERROR(N(INDEX(Clay_Brands!$A$2:$FZ$601,590,Sync!$D$13)),0)&gt;0,IFERROR(INDEX(Clay_Brands!$A$2:$FZ$601,590,Sync!$D$5)&amp;"","")&lt;&gt;"",OR(LEFT(IFERROR(INDEX(Clay_Brands!$A$2:$FZ$601,590,Sync!$D$5)&amp;"",""),6)&lt;&gt;"SAMPLE",Config!$B$19="Y")),IFERROR(N(INDEX(Clay_Brands!$A$2:$FZ$601,590,Sync!$D$13)),0),"")</f>
        <v/>
      </c>
      <c r="C5241" s="23" t="str">
        <f aca="false">IF(B5241="","","brand")</f>
        <v/>
      </c>
      <c r="D5241" s="23" t="str">
        <f aca="false">IF(B5241="","",IFERROR(INDEX(Brand_Log!$DV$2:$DV$201,MATCH(IFERROR(INDEX(Clay_Brands!$A$2:$FZ$601,590,Sync!$D$5)&amp;"",""),Brand_Log!$A$2:$A$201,0))&amp;"",IFERROR(INDEX(Clay_Brands!$A$2:$FZ$601,590,Sync!$D$5)&amp;"","")&amp;""))</f>
        <v/>
      </c>
      <c r="E5241" s="23" t="str">
        <f aca="false">IF(B5241="","",IFERROR(INDEX(Clay_Brands!$A$2:$FZ$601,590,Sync!$D$6)&amp;"",""))</f>
        <v/>
      </c>
      <c r="F5241" s="23" t="str">
        <f aca="false">IF(B5241="","","outreach_sent")</f>
        <v/>
      </c>
      <c r="G5241" s="23" t="str">
        <f aca="false">IF(B5241="","","")</f>
        <v/>
      </c>
      <c r="H5241" s="23" t="str">
        <f aca="false">IF(B5241="","","")</f>
        <v/>
      </c>
      <c r="I5241" s="23" t="str">
        <f aca="false">IF(B5241="","","")</f>
        <v/>
      </c>
      <c r="J5241" s="23" t="str">
        <f aca="false">IF(B5241="","","touch_3; "&amp;IFERROR(INDEX(Clay_Brands!$A$2:$FZ$601,590,Sync!$D$10)&amp;"","")&amp;"; "&amp;IFERROR(INDEX(Clay_Brands!$A$2:$FZ$601,590,Sync!$D$9)&amp;"",""))</f>
        <v/>
      </c>
      <c r="K5241" s="32" t="s">
        <v>1368</v>
      </c>
    </row>
    <row r="5242" customFormat="false" ht="15" hidden="false" customHeight="false" outlineLevel="0" collapsed="false">
      <c r="A5242" s="23" t="str">
        <f aca="false">IF(B5242="","",B5242+(17*1000+591)/10000000)</f>
        <v/>
      </c>
      <c r="B5242" s="35" t="str">
        <f aca="false">IF(AND(IFERROR(N(INDEX(Clay_Brands!$A$2:$FZ$601,591,Sync!$D$13)),0)&gt;0,IFERROR(INDEX(Clay_Brands!$A$2:$FZ$601,591,Sync!$D$5)&amp;"","")&lt;&gt;"",OR(LEFT(IFERROR(INDEX(Clay_Brands!$A$2:$FZ$601,591,Sync!$D$5)&amp;"",""),6)&lt;&gt;"SAMPLE",Config!$B$19="Y")),IFERROR(N(INDEX(Clay_Brands!$A$2:$FZ$601,591,Sync!$D$13)),0),"")</f>
        <v/>
      </c>
      <c r="C5242" s="23" t="str">
        <f aca="false">IF(B5242="","","brand")</f>
        <v/>
      </c>
      <c r="D5242" s="23" t="str">
        <f aca="false">IF(B5242="","",IFERROR(INDEX(Brand_Log!$DV$2:$DV$201,MATCH(IFERROR(INDEX(Clay_Brands!$A$2:$FZ$601,591,Sync!$D$5)&amp;"",""),Brand_Log!$A$2:$A$201,0))&amp;"",IFERROR(INDEX(Clay_Brands!$A$2:$FZ$601,591,Sync!$D$5)&amp;"","")&amp;""))</f>
        <v/>
      </c>
      <c r="E5242" s="23" t="str">
        <f aca="false">IF(B5242="","",IFERROR(INDEX(Clay_Brands!$A$2:$FZ$601,591,Sync!$D$6)&amp;"",""))</f>
        <v/>
      </c>
      <c r="F5242" s="23" t="str">
        <f aca="false">IF(B5242="","","outreach_sent")</f>
        <v/>
      </c>
      <c r="G5242" s="23" t="str">
        <f aca="false">IF(B5242="","","")</f>
        <v/>
      </c>
      <c r="H5242" s="23" t="str">
        <f aca="false">IF(B5242="","","")</f>
        <v/>
      </c>
      <c r="I5242" s="23" t="str">
        <f aca="false">IF(B5242="","","")</f>
        <v/>
      </c>
      <c r="J5242" s="23" t="str">
        <f aca="false">IF(B5242="","","touch_3; "&amp;IFERROR(INDEX(Clay_Brands!$A$2:$FZ$601,591,Sync!$D$10)&amp;"","")&amp;"; "&amp;IFERROR(INDEX(Clay_Brands!$A$2:$FZ$601,591,Sync!$D$9)&amp;"",""))</f>
        <v/>
      </c>
      <c r="K5242" s="32" t="s">
        <v>1368</v>
      </c>
    </row>
    <row r="5243" customFormat="false" ht="15" hidden="false" customHeight="false" outlineLevel="0" collapsed="false">
      <c r="A5243" s="23" t="str">
        <f aca="false">IF(B5243="","",B5243+(17*1000+592)/10000000)</f>
        <v/>
      </c>
      <c r="B5243" s="35" t="str">
        <f aca="false">IF(AND(IFERROR(N(INDEX(Clay_Brands!$A$2:$FZ$601,592,Sync!$D$13)),0)&gt;0,IFERROR(INDEX(Clay_Brands!$A$2:$FZ$601,592,Sync!$D$5)&amp;"","")&lt;&gt;"",OR(LEFT(IFERROR(INDEX(Clay_Brands!$A$2:$FZ$601,592,Sync!$D$5)&amp;"",""),6)&lt;&gt;"SAMPLE",Config!$B$19="Y")),IFERROR(N(INDEX(Clay_Brands!$A$2:$FZ$601,592,Sync!$D$13)),0),"")</f>
        <v/>
      </c>
      <c r="C5243" s="23" t="str">
        <f aca="false">IF(B5243="","","brand")</f>
        <v/>
      </c>
      <c r="D5243" s="23" t="str">
        <f aca="false">IF(B5243="","",IFERROR(INDEX(Brand_Log!$DV$2:$DV$201,MATCH(IFERROR(INDEX(Clay_Brands!$A$2:$FZ$601,592,Sync!$D$5)&amp;"",""),Brand_Log!$A$2:$A$201,0))&amp;"",IFERROR(INDEX(Clay_Brands!$A$2:$FZ$601,592,Sync!$D$5)&amp;"","")&amp;""))</f>
        <v/>
      </c>
      <c r="E5243" s="23" t="str">
        <f aca="false">IF(B5243="","",IFERROR(INDEX(Clay_Brands!$A$2:$FZ$601,592,Sync!$D$6)&amp;"",""))</f>
        <v/>
      </c>
      <c r="F5243" s="23" t="str">
        <f aca="false">IF(B5243="","","outreach_sent")</f>
        <v/>
      </c>
      <c r="G5243" s="23" t="str">
        <f aca="false">IF(B5243="","","")</f>
        <v/>
      </c>
      <c r="H5243" s="23" t="str">
        <f aca="false">IF(B5243="","","")</f>
        <v/>
      </c>
      <c r="I5243" s="23" t="str">
        <f aca="false">IF(B5243="","","")</f>
        <v/>
      </c>
      <c r="J5243" s="23" t="str">
        <f aca="false">IF(B5243="","","touch_3; "&amp;IFERROR(INDEX(Clay_Brands!$A$2:$FZ$601,592,Sync!$D$10)&amp;"","")&amp;"; "&amp;IFERROR(INDEX(Clay_Brands!$A$2:$FZ$601,592,Sync!$D$9)&amp;"",""))</f>
        <v/>
      </c>
      <c r="K5243" s="32" t="s">
        <v>1368</v>
      </c>
    </row>
    <row r="5244" customFormat="false" ht="15" hidden="false" customHeight="false" outlineLevel="0" collapsed="false">
      <c r="A5244" s="23" t="str">
        <f aca="false">IF(B5244="","",B5244+(17*1000+593)/10000000)</f>
        <v/>
      </c>
      <c r="B5244" s="35" t="str">
        <f aca="false">IF(AND(IFERROR(N(INDEX(Clay_Brands!$A$2:$FZ$601,593,Sync!$D$13)),0)&gt;0,IFERROR(INDEX(Clay_Brands!$A$2:$FZ$601,593,Sync!$D$5)&amp;"","")&lt;&gt;"",OR(LEFT(IFERROR(INDEX(Clay_Brands!$A$2:$FZ$601,593,Sync!$D$5)&amp;"",""),6)&lt;&gt;"SAMPLE",Config!$B$19="Y")),IFERROR(N(INDEX(Clay_Brands!$A$2:$FZ$601,593,Sync!$D$13)),0),"")</f>
        <v/>
      </c>
      <c r="C5244" s="23" t="str">
        <f aca="false">IF(B5244="","","brand")</f>
        <v/>
      </c>
      <c r="D5244" s="23" t="str">
        <f aca="false">IF(B5244="","",IFERROR(INDEX(Brand_Log!$DV$2:$DV$201,MATCH(IFERROR(INDEX(Clay_Brands!$A$2:$FZ$601,593,Sync!$D$5)&amp;"",""),Brand_Log!$A$2:$A$201,0))&amp;"",IFERROR(INDEX(Clay_Brands!$A$2:$FZ$601,593,Sync!$D$5)&amp;"","")&amp;""))</f>
        <v/>
      </c>
      <c r="E5244" s="23" t="str">
        <f aca="false">IF(B5244="","",IFERROR(INDEX(Clay_Brands!$A$2:$FZ$601,593,Sync!$D$6)&amp;"",""))</f>
        <v/>
      </c>
      <c r="F5244" s="23" t="str">
        <f aca="false">IF(B5244="","","outreach_sent")</f>
        <v/>
      </c>
      <c r="G5244" s="23" t="str">
        <f aca="false">IF(B5244="","","")</f>
        <v/>
      </c>
      <c r="H5244" s="23" t="str">
        <f aca="false">IF(B5244="","","")</f>
        <v/>
      </c>
      <c r="I5244" s="23" t="str">
        <f aca="false">IF(B5244="","","")</f>
        <v/>
      </c>
      <c r="J5244" s="23" t="str">
        <f aca="false">IF(B5244="","","touch_3; "&amp;IFERROR(INDEX(Clay_Brands!$A$2:$FZ$601,593,Sync!$D$10)&amp;"","")&amp;"; "&amp;IFERROR(INDEX(Clay_Brands!$A$2:$FZ$601,593,Sync!$D$9)&amp;"",""))</f>
        <v/>
      </c>
      <c r="K5244" s="32" t="s">
        <v>1368</v>
      </c>
    </row>
    <row r="5245" customFormat="false" ht="15" hidden="false" customHeight="false" outlineLevel="0" collapsed="false">
      <c r="A5245" s="23" t="str">
        <f aca="false">IF(B5245="","",B5245+(17*1000+594)/10000000)</f>
        <v/>
      </c>
      <c r="B5245" s="35" t="str">
        <f aca="false">IF(AND(IFERROR(N(INDEX(Clay_Brands!$A$2:$FZ$601,594,Sync!$D$13)),0)&gt;0,IFERROR(INDEX(Clay_Brands!$A$2:$FZ$601,594,Sync!$D$5)&amp;"","")&lt;&gt;"",OR(LEFT(IFERROR(INDEX(Clay_Brands!$A$2:$FZ$601,594,Sync!$D$5)&amp;"",""),6)&lt;&gt;"SAMPLE",Config!$B$19="Y")),IFERROR(N(INDEX(Clay_Brands!$A$2:$FZ$601,594,Sync!$D$13)),0),"")</f>
        <v/>
      </c>
      <c r="C5245" s="23" t="str">
        <f aca="false">IF(B5245="","","brand")</f>
        <v/>
      </c>
      <c r="D5245" s="23" t="str">
        <f aca="false">IF(B5245="","",IFERROR(INDEX(Brand_Log!$DV$2:$DV$201,MATCH(IFERROR(INDEX(Clay_Brands!$A$2:$FZ$601,594,Sync!$D$5)&amp;"",""),Brand_Log!$A$2:$A$201,0))&amp;"",IFERROR(INDEX(Clay_Brands!$A$2:$FZ$601,594,Sync!$D$5)&amp;"","")&amp;""))</f>
        <v/>
      </c>
      <c r="E5245" s="23" t="str">
        <f aca="false">IF(B5245="","",IFERROR(INDEX(Clay_Brands!$A$2:$FZ$601,594,Sync!$D$6)&amp;"",""))</f>
        <v/>
      </c>
      <c r="F5245" s="23" t="str">
        <f aca="false">IF(B5245="","","outreach_sent")</f>
        <v/>
      </c>
      <c r="G5245" s="23" t="str">
        <f aca="false">IF(B5245="","","")</f>
        <v/>
      </c>
      <c r="H5245" s="23" t="str">
        <f aca="false">IF(B5245="","","")</f>
        <v/>
      </c>
      <c r="I5245" s="23" t="str">
        <f aca="false">IF(B5245="","","")</f>
        <v/>
      </c>
      <c r="J5245" s="23" t="str">
        <f aca="false">IF(B5245="","","touch_3; "&amp;IFERROR(INDEX(Clay_Brands!$A$2:$FZ$601,594,Sync!$D$10)&amp;"","")&amp;"; "&amp;IFERROR(INDEX(Clay_Brands!$A$2:$FZ$601,594,Sync!$D$9)&amp;"",""))</f>
        <v/>
      </c>
      <c r="K5245" s="32" t="s">
        <v>1368</v>
      </c>
    </row>
    <row r="5246" customFormat="false" ht="15" hidden="false" customHeight="false" outlineLevel="0" collapsed="false">
      <c r="A5246" s="23" t="str">
        <f aca="false">IF(B5246="","",B5246+(17*1000+595)/10000000)</f>
        <v/>
      </c>
      <c r="B5246" s="35" t="str">
        <f aca="false">IF(AND(IFERROR(N(INDEX(Clay_Brands!$A$2:$FZ$601,595,Sync!$D$13)),0)&gt;0,IFERROR(INDEX(Clay_Brands!$A$2:$FZ$601,595,Sync!$D$5)&amp;"","")&lt;&gt;"",OR(LEFT(IFERROR(INDEX(Clay_Brands!$A$2:$FZ$601,595,Sync!$D$5)&amp;"",""),6)&lt;&gt;"SAMPLE",Config!$B$19="Y")),IFERROR(N(INDEX(Clay_Brands!$A$2:$FZ$601,595,Sync!$D$13)),0),"")</f>
        <v/>
      </c>
      <c r="C5246" s="23" t="str">
        <f aca="false">IF(B5246="","","brand")</f>
        <v/>
      </c>
      <c r="D5246" s="23" t="str">
        <f aca="false">IF(B5246="","",IFERROR(INDEX(Brand_Log!$DV$2:$DV$201,MATCH(IFERROR(INDEX(Clay_Brands!$A$2:$FZ$601,595,Sync!$D$5)&amp;"",""),Brand_Log!$A$2:$A$201,0))&amp;"",IFERROR(INDEX(Clay_Brands!$A$2:$FZ$601,595,Sync!$D$5)&amp;"","")&amp;""))</f>
        <v/>
      </c>
      <c r="E5246" s="23" t="str">
        <f aca="false">IF(B5246="","",IFERROR(INDEX(Clay_Brands!$A$2:$FZ$601,595,Sync!$D$6)&amp;"",""))</f>
        <v/>
      </c>
      <c r="F5246" s="23" t="str">
        <f aca="false">IF(B5246="","","outreach_sent")</f>
        <v/>
      </c>
      <c r="G5246" s="23" t="str">
        <f aca="false">IF(B5246="","","")</f>
        <v/>
      </c>
      <c r="H5246" s="23" t="str">
        <f aca="false">IF(B5246="","","")</f>
        <v/>
      </c>
      <c r="I5246" s="23" t="str">
        <f aca="false">IF(B5246="","","")</f>
        <v/>
      </c>
      <c r="J5246" s="23" t="str">
        <f aca="false">IF(B5246="","","touch_3; "&amp;IFERROR(INDEX(Clay_Brands!$A$2:$FZ$601,595,Sync!$D$10)&amp;"","")&amp;"; "&amp;IFERROR(INDEX(Clay_Brands!$A$2:$FZ$601,595,Sync!$D$9)&amp;"",""))</f>
        <v/>
      </c>
      <c r="K5246" s="32" t="s">
        <v>1368</v>
      </c>
    </row>
    <row r="5247" customFormat="false" ht="15" hidden="false" customHeight="false" outlineLevel="0" collapsed="false">
      <c r="A5247" s="23" t="str">
        <f aca="false">IF(B5247="","",B5247+(17*1000+596)/10000000)</f>
        <v/>
      </c>
      <c r="B5247" s="35" t="str">
        <f aca="false">IF(AND(IFERROR(N(INDEX(Clay_Brands!$A$2:$FZ$601,596,Sync!$D$13)),0)&gt;0,IFERROR(INDEX(Clay_Brands!$A$2:$FZ$601,596,Sync!$D$5)&amp;"","")&lt;&gt;"",OR(LEFT(IFERROR(INDEX(Clay_Brands!$A$2:$FZ$601,596,Sync!$D$5)&amp;"",""),6)&lt;&gt;"SAMPLE",Config!$B$19="Y")),IFERROR(N(INDEX(Clay_Brands!$A$2:$FZ$601,596,Sync!$D$13)),0),"")</f>
        <v/>
      </c>
      <c r="C5247" s="23" t="str">
        <f aca="false">IF(B5247="","","brand")</f>
        <v/>
      </c>
      <c r="D5247" s="23" t="str">
        <f aca="false">IF(B5247="","",IFERROR(INDEX(Brand_Log!$DV$2:$DV$201,MATCH(IFERROR(INDEX(Clay_Brands!$A$2:$FZ$601,596,Sync!$D$5)&amp;"",""),Brand_Log!$A$2:$A$201,0))&amp;"",IFERROR(INDEX(Clay_Brands!$A$2:$FZ$601,596,Sync!$D$5)&amp;"","")&amp;""))</f>
        <v/>
      </c>
      <c r="E5247" s="23" t="str">
        <f aca="false">IF(B5247="","",IFERROR(INDEX(Clay_Brands!$A$2:$FZ$601,596,Sync!$D$6)&amp;"",""))</f>
        <v/>
      </c>
      <c r="F5247" s="23" t="str">
        <f aca="false">IF(B5247="","","outreach_sent")</f>
        <v/>
      </c>
      <c r="G5247" s="23" t="str">
        <f aca="false">IF(B5247="","","")</f>
        <v/>
      </c>
      <c r="H5247" s="23" t="str">
        <f aca="false">IF(B5247="","","")</f>
        <v/>
      </c>
      <c r="I5247" s="23" t="str">
        <f aca="false">IF(B5247="","","")</f>
        <v/>
      </c>
      <c r="J5247" s="23" t="str">
        <f aca="false">IF(B5247="","","touch_3; "&amp;IFERROR(INDEX(Clay_Brands!$A$2:$FZ$601,596,Sync!$D$10)&amp;"","")&amp;"; "&amp;IFERROR(INDEX(Clay_Brands!$A$2:$FZ$601,596,Sync!$D$9)&amp;"",""))</f>
        <v/>
      </c>
      <c r="K5247" s="32" t="s">
        <v>1368</v>
      </c>
    </row>
    <row r="5248" customFormat="false" ht="15" hidden="false" customHeight="false" outlineLevel="0" collapsed="false">
      <c r="A5248" s="23" t="str">
        <f aca="false">IF(B5248="","",B5248+(17*1000+597)/10000000)</f>
        <v/>
      </c>
      <c r="B5248" s="35" t="str">
        <f aca="false">IF(AND(IFERROR(N(INDEX(Clay_Brands!$A$2:$FZ$601,597,Sync!$D$13)),0)&gt;0,IFERROR(INDEX(Clay_Brands!$A$2:$FZ$601,597,Sync!$D$5)&amp;"","")&lt;&gt;"",OR(LEFT(IFERROR(INDEX(Clay_Brands!$A$2:$FZ$601,597,Sync!$D$5)&amp;"",""),6)&lt;&gt;"SAMPLE",Config!$B$19="Y")),IFERROR(N(INDEX(Clay_Brands!$A$2:$FZ$601,597,Sync!$D$13)),0),"")</f>
        <v/>
      </c>
      <c r="C5248" s="23" t="str">
        <f aca="false">IF(B5248="","","brand")</f>
        <v/>
      </c>
      <c r="D5248" s="23" t="str">
        <f aca="false">IF(B5248="","",IFERROR(INDEX(Brand_Log!$DV$2:$DV$201,MATCH(IFERROR(INDEX(Clay_Brands!$A$2:$FZ$601,597,Sync!$D$5)&amp;"",""),Brand_Log!$A$2:$A$201,0))&amp;"",IFERROR(INDEX(Clay_Brands!$A$2:$FZ$601,597,Sync!$D$5)&amp;"","")&amp;""))</f>
        <v/>
      </c>
      <c r="E5248" s="23" t="str">
        <f aca="false">IF(B5248="","",IFERROR(INDEX(Clay_Brands!$A$2:$FZ$601,597,Sync!$D$6)&amp;"",""))</f>
        <v/>
      </c>
      <c r="F5248" s="23" t="str">
        <f aca="false">IF(B5248="","","outreach_sent")</f>
        <v/>
      </c>
      <c r="G5248" s="23" t="str">
        <f aca="false">IF(B5248="","","")</f>
        <v/>
      </c>
      <c r="H5248" s="23" t="str">
        <f aca="false">IF(B5248="","","")</f>
        <v/>
      </c>
      <c r="I5248" s="23" t="str">
        <f aca="false">IF(B5248="","","")</f>
        <v/>
      </c>
      <c r="J5248" s="23" t="str">
        <f aca="false">IF(B5248="","","touch_3; "&amp;IFERROR(INDEX(Clay_Brands!$A$2:$FZ$601,597,Sync!$D$10)&amp;"","")&amp;"; "&amp;IFERROR(INDEX(Clay_Brands!$A$2:$FZ$601,597,Sync!$D$9)&amp;"",""))</f>
        <v/>
      </c>
      <c r="K5248" s="32" t="s">
        <v>1368</v>
      </c>
    </row>
    <row r="5249" customFormat="false" ht="15" hidden="false" customHeight="false" outlineLevel="0" collapsed="false">
      <c r="A5249" s="23" t="str">
        <f aca="false">IF(B5249="","",B5249+(17*1000+598)/10000000)</f>
        <v/>
      </c>
      <c r="B5249" s="35" t="str">
        <f aca="false">IF(AND(IFERROR(N(INDEX(Clay_Brands!$A$2:$FZ$601,598,Sync!$D$13)),0)&gt;0,IFERROR(INDEX(Clay_Brands!$A$2:$FZ$601,598,Sync!$D$5)&amp;"","")&lt;&gt;"",OR(LEFT(IFERROR(INDEX(Clay_Brands!$A$2:$FZ$601,598,Sync!$D$5)&amp;"",""),6)&lt;&gt;"SAMPLE",Config!$B$19="Y")),IFERROR(N(INDEX(Clay_Brands!$A$2:$FZ$601,598,Sync!$D$13)),0),"")</f>
        <v/>
      </c>
      <c r="C5249" s="23" t="str">
        <f aca="false">IF(B5249="","","brand")</f>
        <v/>
      </c>
      <c r="D5249" s="23" t="str">
        <f aca="false">IF(B5249="","",IFERROR(INDEX(Brand_Log!$DV$2:$DV$201,MATCH(IFERROR(INDEX(Clay_Brands!$A$2:$FZ$601,598,Sync!$D$5)&amp;"",""),Brand_Log!$A$2:$A$201,0))&amp;"",IFERROR(INDEX(Clay_Brands!$A$2:$FZ$601,598,Sync!$D$5)&amp;"","")&amp;""))</f>
        <v/>
      </c>
      <c r="E5249" s="23" t="str">
        <f aca="false">IF(B5249="","",IFERROR(INDEX(Clay_Brands!$A$2:$FZ$601,598,Sync!$D$6)&amp;"",""))</f>
        <v/>
      </c>
      <c r="F5249" s="23" t="str">
        <f aca="false">IF(B5249="","","outreach_sent")</f>
        <v/>
      </c>
      <c r="G5249" s="23" t="str">
        <f aca="false">IF(B5249="","","")</f>
        <v/>
      </c>
      <c r="H5249" s="23" t="str">
        <f aca="false">IF(B5249="","","")</f>
        <v/>
      </c>
      <c r="I5249" s="23" t="str">
        <f aca="false">IF(B5249="","","")</f>
        <v/>
      </c>
      <c r="J5249" s="23" t="str">
        <f aca="false">IF(B5249="","","touch_3; "&amp;IFERROR(INDEX(Clay_Brands!$A$2:$FZ$601,598,Sync!$D$10)&amp;"","")&amp;"; "&amp;IFERROR(INDEX(Clay_Brands!$A$2:$FZ$601,598,Sync!$D$9)&amp;"",""))</f>
        <v/>
      </c>
      <c r="K5249" s="32" t="s">
        <v>1368</v>
      </c>
    </row>
    <row r="5250" customFormat="false" ht="15" hidden="false" customHeight="false" outlineLevel="0" collapsed="false">
      <c r="A5250" s="23" t="str">
        <f aca="false">IF(B5250="","",B5250+(17*1000+599)/10000000)</f>
        <v/>
      </c>
      <c r="B5250" s="35" t="str">
        <f aca="false">IF(AND(IFERROR(N(INDEX(Clay_Brands!$A$2:$FZ$601,599,Sync!$D$13)),0)&gt;0,IFERROR(INDEX(Clay_Brands!$A$2:$FZ$601,599,Sync!$D$5)&amp;"","")&lt;&gt;"",OR(LEFT(IFERROR(INDEX(Clay_Brands!$A$2:$FZ$601,599,Sync!$D$5)&amp;"",""),6)&lt;&gt;"SAMPLE",Config!$B$19="Y")),IFERROR(N(INDEX(Clay_Brands!$A$2:$FZ$601,599,Sync!$D$13)),0),"")</f>
        <v/>
      </c>
      <c r="C5250" s="23" t="str">
        <f aca="false">IF(B5250="","","brand")</f>
        <v/>
      </c>
      <c r="D5250" s="23" t="str">
        <f aca="false">IF(B5250="","",IFERROR(INDEX(Brand_Log!$DV$2:$DV$201,MATCH(IFERROR(INDEX(Clay_Brands!$A$2:$FZ$601,599,Sync!$D$5)&amp;"",""),Brand_Log!$A$2:$A$201,0))&amp;"",IFERROR(INDEX(Clay_Brands!$A$2:$FZ$601,599,Sync!$D$5)&amp;"","")&amp;""))</f>
        <v/>
      </c>
      <c r="E5250" s="23" t="str">
        <f aca="false">IF(B5250="","",IFERROR(INDEX(Clay_Brands!$A$2:$FZ$601,599,Sync!$D$6)&amp;"",""))</f>
        <v/>
      </c>
      <c r="F5250" s="23" t="str">
        <f aca="false">IF(B5250="","","outreach_sent")</f>
        <v/>
      </c>
      <c r="G5250" s="23" t="str">
        <f aca="false">IF(B5250="","","")</f>
        <v/>
      </c>
      <c r="H5250" s="23" t="str">
        <f aca="false">IF(B5250="","","")</f>
        <v/>
      </c>
      <c r="I5250" s="23" t="str">
        <f aca="false">IF(B5250="","","")</f>
        <v/>
      </c>
      <c r="J5250" s="23" t="str">
        <f aca="false">IF(B5250="","","touch_3; "&amp;IFERROR(INDEX(Clay_Brands!$A$2:$FZ$601,599,Sync!$D$10)&amp;"","")&amp;"; "&amp;IFERROR(INDEX(Clay_Brands!$A$2:$FZ$601,599,Sync!$D$9)&amp;"",""))</f>
        <v/>
      </c>
      <c r="K5250" s="32" t="s">
        <v>1368</v>
      </c>
    </row>
    <row r="5251" customFormat="false" ht="15" hidden="false" customHeight="false" outlineLevel="0" collapsed="false">
      <c r="A5251" s="23" t="str">
        <f aca="false">IF(B5251="","",B5251+(17*1000+600)/10000000)</f>
        <v/>
      </c>
      <c r="B5251" s="35" t="str">
        <f aca="false">IF(AND(IFERROR(N(INDEX(Clay_Brands!$A$2:$FZ$601,600,Sync!$D$13)),0)&gt;0,IFERROR(INDEX(Clay_Brands!$A$2:$FZ$601,600,Sync!$D$5)&amp;"","")&lt;&gt;"",OR(LEFT(IFERROR(INDEX(Clay_Brands!$A$2:$FZ$601,600,Sync!$D$5)&amp;"",""),6)&lt;&gt;"SAMPLE",Config!$B$19="Y")),IFERROR(N(INDEX(Clay_Brands!$A$2:$FZ$601,600,Sync!$D$13)),0),"")</f>
        <v/>
      </c>
      <c r="C5251" s="23" t="str">
        <f aca="false">IF(B5251="","","brand")</f>
        <v/>
      </c>
      <c r="D5251" s="23" t="str">
        <f aca="false">IF(B5251="","",IFERROR(INDEX(Brand_Log!$DV$2:$DV$201,MATCH(IFERROR(INDEX(Clay_Brands!$A$2:$FZ$601,600,Sync!$D$5)&amp;"",""),Brand_Log!$A$2:$A$201,0))&amp;"",IFERROR(INDEX(Clay_Brands!$A$2:$FZ$601,600,Sync!$D$5)&amp;"","")&amp;""))</f>
        <v/>
      </c>
      <c r="E5251" s="23" t="str">
        <f aca="false">IF(B5251="","",IFERROR(INDEX(Clay_Brands!$A$2:$FZ$601,600,Sync!$D$6)&amp;"",""))</f>
        <v/>
      </c>
      <c r="F5251" s="23" t="str">
        <f aca="false">IF(B5251="","","outreach_sent")</f>
        <v/>
      </c>
      <c r="G5251" s="23" t="str">
        <f aca="false">IF(B5251="","","")</f>
        <v/>
      </c>
      <c r="H5251" s="23" t="str">
        <f aca="false">IF(B5251="","","")</f>
        <v/>
      </c>
      <c r="I5251" s="23" t="str">
        <f aca="false">IF(B5251="","","")</f>
        <v/>
      </c>
      <c r="J5251" s="23" t="str">
        <f aca="false">IF(B5251="","","touch_3; "&amp;IFERROR(INDEX(Clay_Brands!$A$2:$FZ$601,600,Sync!$D$10)&amp;"","")&amp;"; "&amp;IFERROR(INDEX(Clay_Brands!$A$2:$FZ$601,600,Sync!$D$9)&amp;"",""))</f>
        <v/>
      </c>
      <c r="K5251" s="32" t="s">
        <v>1368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6"/>
    <col collapsed="false" customWidth="true" hidden="false" outlineLevel="0" max="3" min="3" style="0" width="90"/>
  </cols>
  <sheetData>
    <row r="1" customFormat="false" ht="15" hidden="false" customHeight="false" outlineLevel="0" collapsed="false">
      <c r="A1" s="37" t="s">
        <v>1369</v>
      </c>
    </row>
    <row r="2" customFormat="false" ht="15" hidden="false" customHeight="false" outlineLevel="0" collapsed="false">
      <c r="A2" s="8" t="s">
        <v>1370</v>
      </c>
      <c r="B2" s="8" t="s">
        <v>1371</v>
      </c>
      <c r="C2" s="8" t="s">
        <v>1372</v>
      </c>
    </row>
    <row r="3" customFormat="false" ht="15" hidden="false" customHeight="false" outlineLevel="0" collapsed="false">
      <c r="A3" s="37" t="s">
        <v>1373</v>
      </c>
      <c r="B3" s="32" t="s">
        <v>1374</v>
      </c>
      <c r="C3" s="7" t="s">
        <v>1375</v>
      </c>
    </row>
    <row r="4" customFormat="false" ht="15" hidden="false" customHeight="false" outlineLevel="0" collapsed="false">
      <c r="A4" s="37" t="s">
        <v>1376</v>
      </c>
      <c r="B4" s="32" t="s">
        <v>1377</v>
      </c>
      <c r="C4" s="7" t="s">
        <v>1378</v>
      </c>
    </row>
    <row r="5" customFormat="false" ht="15" hidden="false" customHeight="false" outlineLevel="0" collapsed="false">
      <c r="A5" s="37" t="s">
        <v>1379</v>
      </c>
      <c r="B5" s="33" t="n">
        <v>46367</v>
      </c>
      <c r="C5" s="7" t="s">
        <v>1380</v>
      </c>
    </row>
    <row r="6" customFormat="false" ht="15" hidden="false" customHeight="false" outlineLevel="0" collapsed="false">
      <c r="A6" s="37" t="s">
        <v>1381</v>
      </c>
      <c r="B6" s="33" t="n">
        <v>46325</v>
      </c>
      <c r="C6" s="7" t="s">
        <v>1382</v>
      </c>
    </row>
    <row r="7" customFormat="false" ht="15" hidden="false" customHeight="false" outlineLevel="0" collapsed="false">
      <c r="A7" s="37" t="s">
        <v>1383</v>
      </c>
      <c r="B7" s="33" t="n">
        <v>46332</v>
      </c>
      <c r="C7" s="7" t="s">
        <v>1384</v>
      </c>
    </row>
    <row r="8" customFormat="false" ht="15" hidden="false" customHeight="false" outlineLevel="0" collapsed="false">
      <c r="A8" s="37" t="s">
        <v>1385</v>
      </c>
      <c r="B8" s="33" t="n">
        <v>46339</v>
      </c>
      <c r="C8" s="7" t="s">
        <v>1386</v>
      </c>
    </row>
    <row r="9" customFormat="false" ht="15" hidden="false" customHeight="false" outlineLevel="0" collapsed="false">
      <c r="A9" s="37" t="s">
        <v>1387</v>
      </c>
      <c r="B9" s="33" t="n">
        <v>46321</v>
      </c>
      <c r="C9" s="7" t="s">
        <v>1388</v>
      </c>
    </row>
    <row r="10" customFormat="false" ht="15" hidden="false" customHeight="false" outlineLevel="0" collapsed="false">
      <c r="A10" s="37" t="s">
        <v>1389</v>
      </c>
      <c r="B10" s="0" t="n">
        <v>15</v>
      </c>
      <c r="C10" s="7" t="s">
        <v>1390</v>
      </c>
    </row>
    <row r="11" customFormat="false" ht="15" hidden="false" customHeight="false" outlineLevel="0" collapsed="false">
      <c r="A11" s="37" t="s">
        <v>1391</v>
      </c>
      <c r="B11" s="0" t="n">
        <v>5</v>
      </c>
      <c r="C11" s="7" t="s">
        <v>1392</v>
      </c>
    </row>
    <row r="12" customFormat="false" ht="15" hidden="false" customHeight="false" outlineLevel="0" collapsed="false">
      <c r="A12" s="37" t="s">
        <v>1393</v>
      </c>
      <c r="B12" s="0" t="n">
        <v>15</v>
      </c>
      <c r="C12" s="7" t="s">
        <v>1390</v>
      </c>
    </row>
    <row r="13" customFormat="false" ht="15" hidden="false" customHeight="false" outlineLevel="0" collapsed="false">
      <c r="A13" s="37" t="s">
        <v>1394</v>
      </c>
      <c r="B13" s="0" t="n">
        <v>3</v>
      </c>
      <c r="C13" s="7" t="s">
        <v>1395</v>
      </c>
    </row>
    <row r="14" customFormat="false" ht="15" hidden="false" customHeight="false" outlineLevel="0" collapsed="false">
      <c r="A14" s="37" t="s">
        <v>1396</v>
      </c>
      <c r="B14" s="0" t="n">
        <v>500</v>
      </c>
      <c r="C14" s="7" t="s">
        <v>1397</v>
      </c>
    </row>
    <row r="15" customFormat="false" ht="15" hidden="false" customHeight="false" outlineLevel="0" collapsed="false">
      <c r="A15" s="37" t="s">
        <v>1398</v>
      </c>
      <c r="B15" s="0" t="n">
        <v>100</v>
      </c>
      <c r="C15" s="7" t="s">
        <v>1399</v>
      </c>
    </row>
    <row r="16" customFormat="false" ht="15" hidden="false" customHeight="false" outlineLevel="0" collapsed="false">
      <c r="A16" s="37" t="s">
        <v>1400</v>
      </c>
      <c r="B16" s="43" t="n">
        <v>0.2</v>
      </c>
      <c r="C16" s="7" t="s">
        <v>1401</v>
      </c>
    </row>
    <row r="17" customFormat="false" ht="15" hidden="false" customHeight="false" outlineLevel="0" collapsed="false">
      <c r="A17" s="37" t="s">
        <v>1402</v>
      </c>
      <c r="B17" s="0" t="n">
        <v>30</v>
      </c>
      <c r="C17" s="7" t="s">
        <v>1403</v>
      </c>
    </row>
    <row r="18" customFormat="false" ht="15" hidden="false" customHeight="false" outlineLevel="0" collapsed="false">
      <c r="A18" s="37" t="s">
        <v>1404</v>
      </c>
      <c r="B18" s="0" t="n">
        <v>10</v>
      </c>
      <c r="C18" s="7" t="s">
        <v>1405</v>
      </c>
    </row>
    <row r="19" customFormat="false" ht="15" hidden="false" customHeight="false" outlineLevel="0" collapsed="false">
      <c r="A19" s="37" t="s">
        <v>1406</v>
      </c>
      <c r="B19" s="32" t="s">
        <v>460</v>
      </c>
      <c r="C19" s="7" t="s">
        <v>1407</v>
      </c>
    </row>
    <row r="20" customFormat="false" ht="15" hidden="false" customHeight="false" outlineLevel="0" collapsed="false">
      <c r="A20" s="37" t="s">
        <v>1408</v>
      </c>
      <c r="B20" s="0" t="str">
        <f aca="false">IF(B19="Y","&lt;&gt;","&lt;&gt;SAMPLE*")</f>
        <v>&lt;&gt;</v>
      </c>
      <c r="C20" s="7" t="s">
        <v>1409</v>
      </c>
    </row>
    <row r="21" customFormat="false" ht="15" hidden="false" customHeight="false" outlineLevel="0" collapsed="false">
      <c r="A21" s="37" t="s">
        <v>1410</v>
      </c>
      <c r="B21" s="33" t="n">
        <v>46367</v>
      </c>
      <c r="C21" s="7" t="s">
        <v>1411</v>
      </c>
    </row>
    <row r="22" customFormat="false" ht="15" hidden="false" customHeight="false" outlineLevel="0" collapsed="false">
      <c r="A22" s="37" t="s">
        <v>1412</v>
      </c>
      <c r="B22" s="33" t="n">
        <v>46367</v>
      </c>
      <c r="C22" s="7" t="s">
        <v>1413</v>
      </c>
    </row>
    <row r="23" customFormat="false" ht="15" hidden="false" customHeight="false" outlineLevel="0" collapsed="false">
      <c r="A23" s="37" t="s">
        <v>1414</v>
      </c>
      <c r="B23" s="0" t="n">
        <v>1000</v>
      </c>
      <c r="C23" s="7" t="s">
        <v>1415</v>
      </c>
    </row>
    <row r="24" customFormat="false" ht="15" hidden="false" customHeight="false" outlineLevel="0" collapsed="false">
      <c r="A24" s="37" t="s">
        <v>1416</v>
      </c>
      <c r="B24" s="33" t="n">
        <v>46367</v>
      </c>
      <c r="C24" s="7" t="s">
        <v>1417</v>
      </c>
    </row>
    <row r="25" customFormat="false" ht="15" hidden="false" customHeight="false" outlineLevel="0" collapsed="false">
      <c r="A25" s="37" t="s">
        <v>1418</v>
      </c>
      <c r="B25" s="0" t="n">
        <v>5</v>
      </c>
      <c r="C25" s="7" t="s">
        <v>1419</v>
      </c>
    </row>
    <row r="26" customFormat="false" ht="15" hidden="false" customHeight="false" outlineLevel="0" collapsed="false">
      <c r="A26" s="37" t="s">
        <v>1420</v>
      </c>
      <c r="B26" s="0" t="n">
        <v>350</v>
      </c>
      <c r="C26" s="7" t="s">
        <v>1421</v>
      </c>
    </row>
    <row r="27" customFormat="false" ht="15" hidden="false" customHeight="false" outlineLevel="0" collapsed="false">
      <c r="A27" s="37" t="s">
        <v>1422</v>
      </c>
      <c r="B27" s="0" t="n">
        <v>2</v>
      </c>
      <c r="C27" s="7" t="s">
        <v>1423</v>
      </c>
    </row>
    <row r="28" customFormat="false" ht="15" hidden="false" customHeight="false" outlineLevel="0" collapsed="false">
      <c r="A28" s="37" t="s">
        <v>1424</v>
      </c>
      <c r="B28" s="0" t="n">
        <v>600</v>
      </c>
      <c r="C28" s="7" t="s">
        <v>1425</v>
      </c>
    </row>
    <row r="29" customFormat="false" ht="15" hidden="false" customHeight="false" outlineLevel="0" collapsed="false">
      <c r="A29" s="37" t="s">
        <v>1426</v>
      </c>
      <c r="B29" s="43" t="n">
        <v>0.05</v>
      </c>
      <c r="C29" s="7" t="s">
        <v>1427</v>
      </c>
    </row>
    <row r="30" customFormat="false" ht="15" hidden="false" customHeight="false" outlineLevel="0" collapsed="false">
      <c r="A30" s="37" t="s">
        <v>1428</v>
      </c>
      <c r="B30" s="0" t="n">
        <v>3</v>
      </c>
      <c r="C30" s="7" t="s">
        <v>1429</v>
      </c>
    </row>
    <row r="31" customFormat="false" ht="15" hidden="false" customHeight="false" outlineLevel="0" collapsed="false">
      <c r="A31" s="37" t="s">
        <v>1430</v>
      </c>
      <c r="B31" s="0" t="n">
        <v>30</v>
      </c>
      <c r="C31" s="7" t="s">
        <v>1431</v>
      </c>
    </row>
    <row r="32" customFormat="false" ht="15" hidden="false" customHeight="false" outlineLevel="0" collapsed="false">
      <c r="A32" s="37" t="s">
        <v>1432</v>
      </c>
      <c r="B32" s="0" t="n">
        <v>40</v>
      </c>
      <c r="C32" s="7" t="s">
        <v>1433</v>
      </c>
    </row>
    <row r="33" customFormat="false" ht="15" hidden="false" customHeight="false" outlineLevel="0" collapsed="false">
      <c r="A33" s="37" t="s">
        <v>1434</v>
      </c>
      <c r="B33" s="0" t="n">
        <v>250</v>
      </c>
      <c r="C33" s="7" t="s">
        <v>1435</v>
      </c>
    </row>
    <row r="34" customFormat="false" ht="15" hidden="false" customHeight="false" outlineLevel="0" collapsed="false">
      <c r="A34" s="37" t="s">
        <v>1436</v>
      </c>
      <c r="B34" s="33" t="n">
        <v>46353</v>
      </c>
      <c r="C34" s="7" t="s">
        <v>1437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B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6" min="1" style="0" width="14"/>
    <col collapsed="false" customWidth="true" hidden="false" outlineLevel="0" max="7" min="7" style="0" width="15"/>
    <col collapsed="false" customWidth="true" hidden="false" outlineLevel="0" max="8" min="8" style="0" width="14"/>
    <col collapsed="false" customWidth="true" hidden="false" outlineLevel="0" max="9" min="9" style="0" width="27"/>
    <col collapsed="false" customWidth="true" hidden="false" outlineLevel="0" max="10" min="10" style="0" width="18"/>
    <col collapsed="false" customWidth="true" hidden="false" outlineLevel="0" max="11" min="11" style="0" width="14"/>
    <col collapsed="false" customWidth="true" hidden="false" outlineLevel="0" max="12" min="12" style="0" width="20"/>
    <col collapsed="false" customWidth="true" hidden="false" outlineLevel="0" max="13" min="13" style="0" width="24"/>
    <col collapsed="false" customWidth="true" hidden="false" outlineLevel="0" max="14" min="14" style="0" width="22"/>
    <col collapsed="false" customWidth="true" hidden="false" outlineLevel="0" max="15" min="15" style="0" width="46"/>
    <col collapsed="false" customWidth="true" hidden="false" outlineLevel="0" max="16" min="16" style="0" width="18"/>
    <col collapsed="false" customWidth="true" hidden="false" outlineLevel="0" max="17" min="17" style="0" width="46"/>
    <col collapsed="false" customWidth="true" hidden="false" outlineLevel="0" max="18" min="18" style="0" width="19"/>
    <col collapsed="false" customWidth="true" hidden="false" outlineLevel="0" max="22" min="19" style="0" width="14"/>
    <col collapsed="false" customWidth="true" hidden="false" outlineLevel="0" max="23" min="23" style="0" width="16"/>
    <col collapsed="false" customWidth="true" hidden="false" outlineLevel="0" max="25" min="24" style="0" width="14"/>
    <col collapsed="false" customWidth="true" hidden="false" outlineLevel="0" max="26" min="26" style="0" width="20"/>
    <col collapsed="false" customWidth="true" hidden="false" outlineLevel="0" max="27" min="27" style="0" width="25"/>
    <col collapsed="false" customWidth="true" hidden="false" outlineLevel="0" max="28" min="28" style="0" width="22"/>
  </cols>
  <sheetData>
    <row r="1" customFormat="false" ht="28.35" hidden="false" customHeight="false" outlineLevel="0" collapsed="false">
      <c r="A1" s="8" t="s">
        <v>1438</v>
      </c>
      <c r="B1" s="8" t="s">
        <v>1439</v>
      </c>
      <c r="C1" s="8" t="s">
        <v>1440</v>
      </c>
      <c r="D1" s="8" t="s">
        <v>1441</v>
      </c>
      <c r="E1" s="8" t="s">
        <v>306</v>
      </c>
      <c r="F1" s="8" t="s">
        <v>308</v>
      </c>
      <c r="G1" s="8" t="s">
        <v>334</v>
      </c>
      <c r="H1" s="8" t="s">
        <v>1442</v>
      </c>
      <c r="I1" s="8" t="s">
        <v>1443</v>
      </c>
      <c r="J1" s="8" t="s">
        <v>1062</v>
      </c>
      <c r="K1" s="8" t="s">
        <v>1444</v>
      </c>
      <c r="L1" s="8" t="s">
        <v>1071</v>
      </c>
      <c r="M1" s="8" t="s">
        <v>1073</v>
      </c>
      <c r="N1" s="8" t="s">
        <v>1445</v>
      </c>
      <c r="O1" s="8" t="s">
        <v>1446</v>
      </c>
      <c r="P1" s="8" t="s">
        <v>1447</v>
      </c>
      <c r="Q1" s="8" t="s">
        <v>1448</v>
      </c>
      <c r="R1" s="8" t="s">
        <v>941</v>
      </c>
      <c r="S1" s="8" t="s">
        <v>958</v>
      </c>
      <c r="T1" s="8" t="s">
        <v>973</v>
      </c>
      <c r="U1" s="8" t="s">
        <v>874</v>
      </c>
      <c r="V1" s="8" t="s">
        <v>1449</v>
      </c>
      <c r="W1" s="8" t="s">
        <v>1450</v>
      </c>
      <c r="X1" s="8" t="s">
        <v>1038</v>
      </c>
      <c r="Y1" s="8" t="s">
        <v>1451</v>
      </c>
      <c r="Z1" s="8" t="s">
        <v>982</v>
      </c>
      <c r="AA1" s="8" t="s">
        <v>344</v>
      </c>
      <c r="AB1" s="8" t="s">
        <v>332</v>
      </c>
    </row>
    <row r="2" customFormat="false" ht="15" hidden="false" customHeight="false" outlineLevel="0" collapsed="false">
      <c r="A2" s="0" t="s">
        <v>460</v>
      </c>
      <c r="B2" s="0" t="s">
        <v>460</v>
      </c>
      <c r="C2" s="0" t="s">
        <v>1083</v>
      </c>
      <c r="D2" s="0" t="s">
        <v>460</v>
      </c>
      <c r="E2" s="0" t="s">
        <v>594</v>
      </c>
      <c r="F2" s="0" t="s">
        <v>482</v>
      </c>
      <c r="G2" s="0" t="s">
        <v>500</v>
      </c>
      <c r="H2" s="0" t="s">
        <v>500</v>
      </c>
      <c r="I2" s="0" t="s">
        <v>687</v>
      </c>
      <c r="J2" s="0" t="s">
        <v>1452</v>
      </c>
      <c r="K2" s="0" t="n">
        <v>1</v>
      </c>
      <c r="L2" s="0" t="s">
        <v>1083</v>
      </c>
      <c r="M2" s="0" t="s">
        <v>1453</v>
      </c>
      <c r="N2" s="0" t="s">
        <v>98</v>
      </c>
      <c r="O2" s="0" t="s">
        <v>99</v>
      </c>
      <c r="P2" s="0" t="s">
        <v>100</v>
      </c>
      <c r="Q2" s="0" t="s">
        <v>101</v>
      </c>
      <c r="R2" s="0" t="s">
        <v>1454</v>
      </c>
      <c r="S2" s="0" t="s">
        <v>1018</v>
      </c>
      <c r="T2" s="0" t="s">
        <v>1455</v>
      </c>
      <c r="U2" s="0" t="s">
        <v>896</v>
      </c>
      <c r="V2" s="0" t="s">
        <v>939</v>
      </c>
      <c r="W2" s="0" t="s">
        <v>1043</v>
      </c>
      <c r="X2" s="0" t="s">
        <v>197</v>
      </c>
      <c r="Y2" s="0" t="s">
        <v>1083</v>
      </c>
      <c r="Z2" s="0" t="s">
        <v>1029</v>
      </c>
      <c r="AA2" s="0" t="s">
        <v>1456</v>
      </c>
      <c r="AB2" s="0" t="s">
        <v>499</v>
      </c>
    </row>
    <row r="3" customFormat="false" ht="15" hidden="false" customHeight="false" outlineLevel="0" collapsed="false">
      <c r="A3" s="0" t="s">
        <v>457</v>
      </c>
      <c r="B3" s="0" t="s">
        <v>457</v>
      </c>
      <c r="C3" s="0" t="s">
        <v>470</v>
      </c>
      <c r="D3" s="0" t="s">
        <v>457</v>
      </c>
      <c r="E3" s="0" t="s">
        <v>481</v>
      </c>
      <c r="F3" s="0" t="s">
        <v>454</v>
      </c>
      <c r="G3" s="0" t="s">
        <v>469</v>
      </c>
      <c r="H3" s="0" t="s">
        <v>469</v>
      </c>
      <c r="I3" s="0" t="s">
        <v>1457</v>
      </c>
      <c r="J3" s="0" t="s">
        <v>1458</v>
      </c>
      <c r="K3" s="0" t="n">
        <v>2</v>
      </c>
      <c r="L3" s="0" t="s">
        <v>497</v>
      </c>
      <c r="M3" s="0" t="s">
        <v>1459</v>
      </c>
      <c r="N3" s="0" t="s">
        <v>104</v>
      </c>
      <c r="O3" s="0" t="s">
        <v>105</v>
      </c>
      <c r="P3" s="0" t="s">
        <v>106</v>
      </c>
      <c r="Q3" s="0" t="s">
        <v>107</v>
      </c>
      <c r="R3" s="0" t="s">
        <v>1460</v>
      </c>
      <c r="S3" s="0" t="s">
        <v>1461</v>
      </c>
      <c r="T3" s="0" t="s">
        <v>1026</v>
      </c>
      <c r="U3" s="0" t="s">
        <v>594</v>
      </c>
      <c r="V3" s="0" t="s">
        <v>899</v>
      </c>
      <c r="W3" s="0" t="s">
        <v>1160</v>
      </c>
      <c r="X3" s="0" t="s">
        <v>202</v>
      </c>
      <c r="Y3" s="0" t="s">
        <v>497</v>
      </c>
      <c r="Z3" s="0" t="s">
        <v>1462</v>
      </c>
      <c r="AA3" s="0" t="s">
        <v>475</v>
      </c>
      <c r="AB3" s="0" t="s">
        <v>580</v>
      </c>
    </row>
    <row r="4" customFormat="false" ht="15" hidden="false" customHeight="false" outlineLevel="0" collapsed="false">
      <c r="B4" s="0" t="s">
        <v>497</v>
      </c>
      <c r="C4" s="0" t="s">
        <v>511</v>
      </c>
      <c r="D4" s="0" t="s">
        <v>511</v>
      </c>
      <c r="E4" s="0" t="s">
        <v>453</v>
      </c>
      <c r="F4" s="0" t="s">
        <v>523</v>
      </c>
      <c r="G4" s="0" t="s">
        <v>1463</v>
      </c>
      <c r="H4" s="0" t="s">
        <v>1464</v>
      </c>
      <c r="I4" s="0" t="s">
        <v>698</v>
      </c>
      <c r="J4" s="0" t="s">
        <v>1124</v>
      </c>
      <c r="K4" s="0" t="n">
        <v>3</v>
      </c>
      <c r="L4" s="0" t="s">
        <v>98</v>
      </c>
      <c r="M4" s="0" t="s">
        <v>1465</v>
      </c>
      <c r="N4" s="0" t="s">
        <v>110</v>
      </c>
      <c r="O4" s="0" t="s">
        <v>111</v>
      </c>
      <c r="P4" s="0" t="s">
        <v>112</v>
      </c>
      <c r="Q4" s="0" t="s">
        <v>113</v>
      </c>
      <c r="R4" s="0" t="s">
        <v>1466</v>
      </c>
      <c r="U4" s="0" t="s">
        <v>156</v>
      </c>
      <c r="Y4" s="0" t="s">
        <v>470</v>
      </c>
      <c r="Z4" s="0" t="s">
        <v>1467</v>
      </c>
      <c r="AA4" s="0" t="s">
        <v>1468</v>
      </c>
      <c r="AB4" s="0" t="s">
        <v>1469</v>
      </c>
    </row>
    <row r="5" customFormat="false" ht="15" hidden="false" customHeight="false" outlineLevel="0" collapsed="false">
      <c r="E5" s="0" t="s">
        <v>493</v>
      </c>
      <c r="F5" s="0" t="s">
        <v>493</v>
      </c>
      <c r="G5" s="0" t="s">
        <v>1464</v>
      </c>
      <c r="H5" s="0" t="s">
        <v>156</v>
      </c>
      <c r="I5" s="0" t="s">
        <v>1470</v>
      </c>
      <c r="J5" s="0" t="s">
        <v>1094</v>
      </c>
      <c r="K5" s="0" t="n">
        <v>4</v>
      </c>
      <c r="L5" s="0" t="s">
        <v>1471</v>
      </c>
      <c r="M5" s="0" t="s">
        <v>1472</v>
      </c>
      <c r="N5" s="0" t="s">
        <v>114</v>
      </c>
      <c r="O5" s="0" t="s">
        <v>115</v>
      </c>
      <c r="P5" s="0" t="s">
        <v>116</v>
      </c>
      <c r="Q5" s="0" t="s">
        <v>117</v>
      </c>
      <c r="R5" s="0" t="s">
        <v>1010</v>
      </c>
      <c r="AB5" s="0" t="s">
        <v>1473</v>
      </c>
    </row>
    <row r="6" customFormat="false" ht="15" hidden="false" customHeight="false" outlineLevel="0" collapsed="false">
      <c r="G6" s="0" t="s">
        <v>156</v>
      </c>
      <c r="I6" s="0" t="s">
        <v>1165</v>
      </c>
      <c r="J6" s="0" t="s">
        <v>1243</v>
      </c>
      <c r="K6" s="0" t="n">
        <v>5</v>
      </c>
      <c r="L6" s="0" t="s">
        <v>1474</v>
      </c>
      <c r="M6" s="0" t="s">
        <v>1475</v>
      </c>
      <c r="N6" s="0" t="s">
        <v>119</v>
      </c>
      <c r="O6" s="0" t="s">
        <v>120</v>
      </c>
      <c r="P6" s="0" t="s">
        <v>121</v>
      </c>
      <c r="Q6" s="0" t="s">
        <v>122</v>
      </c>
      <c r="R6" s="0" t="s">
        <v>1476</v>
      </c>
      <c r="AB6" s="0" t="s">
        <v>1477</v>
      </c>
    </row>
    <row r="7" customFormat="false" ht="15" hidden="false" customHeight="false" outlineLevel="0" collapsed="false">
      <c r="G7" s="0" t="s">
        <v>1478</v>
      </c>
      <c r="I7" s="0" t="s">
        <v>1478</v>
      </c>
      <c r="J7" s="0" t="s">
        <v>1090</v>
      </c>
      <c r="K7" s="0" t="n">
        <v>6</v>
      </c>
      <c r="L7" s="0" t="s">
        <v>1479</v>
      </c>
      <c r="M7" s="0" t="s">
        <v>1480</v>
      </c>
      <c r="N7" s="0" t="s">
        <v>126</v>
      </c>
      <c r="O7" s="0" t="s">
        <v>127</v>
      </c>
      <c r="P7" s="0" t="s">
        <v>128</v>
      </c>
      <c r="Q7" s="0" t="s">
        <v>129</v>
      </c>
      <c r="R7" s="0" t="s">
        <v>1481</v>
      </c>
      <c r="AB7" s="0" t="s">
        <v>156</v>
      </c>
    </row>
    <row r="8" customFormat="false" ht="15" hidden="false" customHeight="false" outlineLevel="0" collapsed="false">
      <c r="J8" s="0" t="s">
        <v>343</v>
      </c>
      <c r="K8" s="0" t="n">
        <v>7</v>
      </c>
      <c r="L8" s="0" t="s">
        <v>1130</v>
      </c>
      <c r="M8" s="0" t="s">
        <v>1482</v>
      </c>
      <c r="N8" s="0" t="s">
        <v>131</v>
      </c>
      <c r="O8" s="0" t="s">
        <v>132</v>
      </c>
      <c r="P8" s="0" t="s">
        <v>133</v>
      </c>
      <c r="Q8" s="0" t="s">
        <v>134</v>
      </c>
      <c r="R8" s="0" t="s">
        <v>1483</v>
      </c>
    </row>
    <row r="9" customFormat="false" ht="15" hidden="false" customHeight="false" outlineLevel="0" collapsed="false">
      <c r="J9" s="0" t="s">
        <v>1484</v>
      </c>
      <c r="K9" s="0" t="n">
        <v>8</v>
      </c>
      <c r="L9" s="0" t="s">
        <v>470</v>
      </c>
      <c r="M9" s="0" t="s">
        <v>1485</v>
      </c>
      <c r="N9" s="0" t="s">
        <v>135</v>
      </c>
      <c r="O9" s="0" t="s">
        <v>136</v>
      </c>
      <c r="P9" s="0" t="s">
        <v>137</v>
      </c>
      <c r="Q9" s="0" t="s">
        <v>138</v>
      </c>
      <c r="R9" s="0" t="s">
        <v>472</v>
      </c>
    </row>
    <row r="10" customFormat="false" ht="15" hidden="false" customHeight="false" outlineLevel="0" collapsed="false">
      <c r="J10" s="0" t="s">
        <v>1082</v>
      </c>
      <c r="K10" s="0" t="n">
        <v>9</v>
      </c>
      <c r="L10" s="0" t="s">
        <v>1160</v>
      </c>
      <c r="M10" s="0" t="s">
        <v>1486</v>
      </c>
      <c r="N10" s="0" t="s">
        <v>139</v>
      </c>
      <c r="O10" s="0" t="s">
        <v>140</v>
      </c>
      <c r="P10" s="0" t="s">
        <v>141</v>
      </c>
      <c r="Q10" s="0" t="s">
        <v>142</v>
      </c>
      <c r="R10" s="0" t="s">
        <v>1487</v>
      </c>
    </row>
    <row r="11" customFormat="false" ht="15" hidden="false" customHeight="false" outlineLevel="0" collapsed="false">
      <c r="J11" s="0" t="s">
        <v>1232</v>
      </c>
      <c r="K11" s="0" t="n">
        <v>9</v>
      </c>
      <c r="L11" s="0" t="s">
        <v>1488</v>
      </c>
      <c r="M11" s="0" t="s">
        <v>1489</v>
      </c>
      <c r="N11" s="0" t="s">
        <v>143</v>
      </c>
      <c r="O11" s="0" t="s">
        <v>144</v>
      </c>
      <c r="P11" s="0" t="s">
        <v>145</v>
      </c>
      <c r="Q11" s="0" t="s">
        <v>146</v>
      </c>
      <c r="R11" s="0" t="s">
        <v>1490</v>
      </c>
    </row>
    <row r="12" customFormat="false" ht="15" hidden="false" customHeight="false" outlineLevel="0" collapsed="false">
      <c r="J12" s="0" t="s">
        <v>1130</v>
      </c>
      <c r="K12" s="0" t="n">
        <v>0</v>
      </c>
      <c r="L12" s="0" t="s">
        <v>1491</v>
      </c>
      <c r="M12" s="0" t="s">
        <v>1492</v>
      </c>
      <c r="N12" s="0" t="s">
        <v>148</v>
      </c>
      <c r="O12" s="0" t="s">
        <v>149</v>
      </c>
      <c r="P12" s="0" t="s">
        <v>150</v>
      </c>
      <c r="Q12" s="0" t="s">
        <v>151</v>
      </c>
      <c r="R12" s="0" t="s">
        <v>1493</v>
      </c>
    </row>
    <row r="13" customFormat="false" ht="15" hidden="false" customHeight="false" outlineLevel="0" collapsed="false">
      <c r="J13" s="0" t="s">
        <v>470</v>
      </c>
      <c r="K13" s="0" t="n">
        <v>0</v>
      </c>
      <c r="L13" s="0" t="s">
        <v>1494</v>
      </c>
      <c r="M13" s="0" t="s">
        <v>1131</v>
      </c>
      <c r="N13" s="0" t="s">
        <v>152</v>
      </c>
      <c r="O13" s="0" t="s">
        <v>153</v>
      </c>
      <c r="P13" s="0" t="s">
        <v>154</v>
      </c>
      <c r="Q13" s="0" t="s">
        <v>155</v>
      </c>
      <c r="R13" s="0" t="s">
        <v>1495</v>
      </c>
    </row>
    <row r="14" customFormat="false" ht="15" hidden="false" customHeight="false" outlineLevel="0" collapsed="false">
      <c r="J14" s="0" t="s">
        <v>1474</v>
      </c>
      <c r="K14" s="0" t="n">
        <v>0</v>
      </c>
      <c r="L14" s="0" t="s">
        <v>1496</v>
      </c>
      <c r="M14" s="0" t="s">
        <v>1165</v>
      </c>
      <c r="N14" s="0" t="s">
        <v>156</v>
      </c>
      <c r="O14" s="0" t="s">
        <v>157</v>
      </c>
      <c r="P14" s="0" t="s">
        <v>156</v>
      </c>
      <c r="Q14" s="0" t="s">
        <v>157</v>
      </c>
      <c r="R14" s="0" t="s">
        <v>1497</v>
      </c>
    </row>
    <row r="15" customFormat="false" ht="15" hidden="false" customHeight="false" outlineLevel="0" collapsed="false">
      <c r="J15" s="0" t="s">
        <v>1063</v>
      </c>
      <c r="K15" s="0" t="n">
        <v>0</v>
      </c>
      <c r="L15" s="0" t="s">
        <v>1498</v>
      </c>
      <c r="R15" s="0" t="s">
        <v>1499</v>
      </c>
    </row>
    <row r="16" customFormat="false" ht="15" hidden="false" customHeight="false" outlineLevel="0" collapsed="false">
      <c r="L16" s="0" t="s">
        <v>1125</v>
      </c>
    </row>
    <row r="17" customFormat="false" ht="15" hidden="false" customHeight="false" outlineLevel="0" collapsed="false">
      <c r="L17" s="0" t="s">
        <v>1166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22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4"/>
    <col collapsed="false" customWidth="true" hidden="false" outlineLevel="0" max="3" min="3" style="0" width="22"/>
    <col collapsed="false" customWidth="true" hidden="false" outlineLevel="0" max="4" min="4" style="0" width="90"/>
    <col collapsed="false" customWidth="true" hidden="false" outlineLevel="0" max="5" min="5" style="0" width="40"/>
  </cols>
  <sheetData>
    <row r="1" customFormat="false" ht="15" hidden="false" customHeight="false" outlineLevel="0" collapsed="false">
      <c r="A1" s="8" t="s">
        <v>1500</v>
      </c>
      <c r="B1" s="8" t="s">
        <v>1501</v>
      </c>
      <c r="C1" s="8" t="s">
        <v>1502</v>
      </c>
      <c r="D1" s="8" t="s">
        <v>1503</v>
      </c>
      <c r="E1" s="8" t="s">
        <v>1504</v>
      </c>
    </row>
    <row r="2" customFormat="false" ht="28.35" hidden="false" customHeight="false" outlineLevel="0" collapsed="false">
      <c r="A2" s="38" t="s">
        <v>1505</v>
      </c>
      <c r="B2" s="38" t="s">
        <v>300</v>
      </c>
      <c r="C2" s="38" t="s">
        <v>1506</v>
      </c>
      <c r="D2" s="38" t="s">
        <v>774</v>
      </c>
      <c r="E2" s="38" t="s">
        <v>1507</v>
      </c>
    </row>
    <row r="3" customFormat="false" ht="28.35" hidden="false" customHeight="false" outlineLevel="0" collapsed="false">
      <c r="A3" s="38" t="s">
        <v>1505</v>
      </c>
      <c r="B3" s="38" t="s">
        <v>301</v>
      </c>
      <c r="C3" s="38" t="s">
        <v>1508</v>
      </c>
      <c r="D3" s="38" t="s">
        <v>775</v>
      </c>
      <c r="E3" s="38" t="s">
        <v>1509</v>
      </c>
    </row>
    <row r="4" customFormat="false" ht="55.2" hidden="false" customHeight="false" outlineLevel="0" collapsed="false">
      <c r="A4" s="38" t="s">
        <v>1505</v>
      </c>
      <c r="B4" s="38" t="s">
        <v>302</v>
      </c>
      <c r="C4" s="38" t="s">
        <v>1508</v>
      </c>
      <c r="D4" s="38" t="s">
        <v>776</v>
      </c>
      <c r="E4" s="38" t="s">
        <v>1510</v>
      </c>
    </row>
    <row r="5" customFormat="false" ht="15" hidden="false" customHeight="false" outlineLevel="0" collapsed="false">
      <c r="A5" s="38" t="s">
        <v>1505</v>
      </c>
      <c r="B5" s="38" t="s">
        <v>303</v>
      </c>
      <c r="C5" s="38" t="s">
        <v>1508</v>
      </c>
      <c r="D5" s="38" t="s">
        <v>777</v>
      </c>
      <c r="E5" s="38" t="s">
        <v>1511</v>
      </c>
    </row>
    <row r="6" customFormat="false" ht="15" hidden="false" customHeight="false" outlineLevel="0" collapsed="false">
      <c r="A6" s="38" t="s">
        <v>1505</v>
      </c>
      <c r="B6" s="38" t="s">
        <v>304</v>
      </c>
      <c r="C6" s="38" t="s">
        <v>1508</v>
      </c>
      <c r="D6" s="38" t="s">
        <v>778</v>
      </c>
      <c r="E6" s="38" t="s">
        <v>1512</v>
      </c>
    </row>
    <row r="7" customFormat="false" ht="15" hidden="false" customHeight="false" outlineLevel="0" collapsed="false">
      <c r="A7" s="38" t="s">
        <v>1505</v>
      </c>
      <c r="B7" s="38" t="s">
        <v>305</v>
      </c>
      <c r="C7" s="38" t="s">
        <v>1508</v>
      </c>
      <c r="D7" s="38" t="s">
        <v>779</v>
      </c>
      <c r="E7" s="38" t="s">
        <v>1513</v>
      </c>
    </row>
    <row r="8" customFormat="false" ht="28.35" hidden="false" customHeight="false" outlineLevel="0" collapsed="false">
      <c r="A8" s="38" t="s">
        <v>1505</v>
      </c>
      <c r="B8" s="38" t="s">
        <v>306</v>
      </c>
      <c r="C8" s="38" t="s">
        <v>1514</v>
      </c>
      <c r="D8" s="38" t="s">
        <v>780</v>
      </c>
      <c r="E8" s="38" t="s">
        <v>1515</v>
      </c>
    </row>
    <row r="9" customFormat="false" ht="15" hidden="false" customHeight="false" outlineLevel="0" collapsed="false">
      <c r="A9" s="38" t="s">
        <v>1505</v>
      </c>
      <c r="B9" s="38" t="s">
        <v>307</v>
      </c>
      <c r="C9" s="38" t="s">
        <v>1037</v>
      </c>
      <c r="D9" s="38" t="s">
        <v>781</v>
      </c>
      <c r="E9" s="38" t="s">
        <v>1516</v>
      </c>
    </row>
    <row r="10" customFormat="false" ht="28.35" hidden="false" customHeight="false" outlineLevel="0" collapsed="false">
      <c r="A10" s="38" t="s">
        <v>1505</v>
      </c>
      <c r="B10" s="38" t="s">
        <v>308</v>
      </c>
      <c r="C10" s="38" t="s">
        <v>1517</v>
      </c>
      <c r="D10" s="38" t="s">
        <v>782</v>
      </c>
      <c r="E10" s="38"/>
    </row>
    <row r="11" customFormat="false" ht="15" hidden="false" customHeight="false" outlineLevel="0" collapsed="false">
      <c r="A11" s="38" t="s">
        <v>1505</v>
      </c>
      <c r="B11" s="38" t="s">
        <v>309</v>
      </c>
      <c r="C11" s="38" t="s">
        <v>1508</v>
      </c>
      <c r="D11" s="38" t="s">
        <v>783</v>
      </c>
      <c r="E11" s="38" t="s">
        <v>1518</v>
      </c>
    </row>
    <row r="12" customFormat="false" ht="15" hidden="false" customHeight="false" outlineLevel="0" collapsed="false">
      <c r="A12" s="38" t="s">
        <v>1505</v>
      </c>
      <c r="B12" s="38" t="s">
        <v>310</v>
      </c>
      <c r="C12" s="38" t="s">
        <v>1508</v>
      </c>
      <c r="D12" s="38" t="s">
        <v>784</v>
      </c>
      <c r="E12" s="38" t="s">
        <v>1518</v>
      </c>
    </row>
    <row r="13" customFormat="false" ht="15" hidden="false" customHeight="false" outlineLevel="0" collapsed="false">
      <c r="A13" s="38" t="s">
        <v>1505</v>
      </c>
      <c r="B13" s="38" t="s">
        <v>311</v>
      </c>
      <c r="C13" s="38" t="s">
        <v>1519</v>
      </c>
      <c r="D13" s="38" t="s">
        <v>785</v>
      </c>
      <c r="E13" s="38" t="s">
        <v>1520</v>
      </c>
    </row>
    <row r="14" customFormat="false" ht="15" hidden="false" customHeight="false" outlineLevel="0" collapsed="false">
      <c r="A14" s="38" t="s">
        <v>1505</v>
      </c>
      <c r="B14" s="38" t="s">
        <v>312</v>
      </c>
      <c r="C14" s="38" t="s">
        <v>1521</v>
      </c>
      <c r="D14" s="38" t="s">
        <v>786</v>
      </c>
      <c r="E14" s="38" t="s">
        <v>1522</v>
      </c>
    </row>
    <row r="15" customFormat="false" ht="15" hidden="false" customHeight="false" outlineLevel="0" collapsed="false">
      <c r="A15" s="38" t="s">
        <v>1505</v>
      </c>
      <c r="B15" s="38" t="s">
        <v>313</v>
      </c>
      <c r="C15" s="38" t="s">
        <v>1508</v>
      </c>
      <c r="D15" s="38" t="s">
        <v>787</v>
      </c>
      <c r="E15" s="38" t="s">
        <v>1522</v>
      </c>
    </row>
    <row r="16" customFormat="false" ht="15" hidden="false" customHeight="false" outlineLevel="0" collapsed="false">
      <c r="A16" s="38" t="s">
        <v>1505</v>
      </c>
      <c r="B16" s="38" t="s">
        <v>314</v>
      </c>
      <c r="C16" s="38" t="s">
        <v>1521</v>
      </c>
      <c r="D16" s="38" t="s">
        <v>788</v>
      </c>
      <c r="E16" s="38" t="s">
        <v>1523</v>
      </c>
    </row>
    <row r="17" customFormat="false" ht="15" hidden="false" customHeight="false" outlineLevel="0" collapsed="false">
      <c r="A17" s="38" t="s">
        <v>1505</v>
      </c>
      <c r="B17" s="38" t="s">
        <v>315</v>
      </c>
      <c r="C17" s="38" t="s">
        <v>1508</v>
      </c>
      <c r="D17" s="38" t="s">
        <v>789</v>
      </c>
      <c r="E17" s="38" t="s">
        <v>1523</v>
      </c>
    </row>
    <row r="18" customFormat="false" ht="28.35" hidden="false" customHeight="false" outlineLevel="0" collapsed="false">
      <c r="A18" s="38" t="s">
        <v>1505</v>
      </c>
      <c r="B18" s="38" t="s">
        <v>316</v>
      </c>
      <c r="C18" s="38" t="s">
        <v>1519</v>
      </c>
      <c r="D18" s="38" t="s">
        <v>790</v>
      </c>
      <c r="E18" s="38" t="s">
        <v>1524</v>
      </c>
    </row>
    <row r="19" customFormat="false" ht="15" hidden="false" customHeight="false" outlineLevel="0" collapsed="false">
      <c r="A19" s="38" t="s">
        <v>1505</v>
      </c>
      <c r="B19" s="38" t="s">
        <v>317</v>
      </c>
      <c r="C19" s="38" t="s">
        <v>1508</v>
      </c>
      <c r="D19" s="38" t="s">
        <v>791</v>
      </c>
      <c r="E19" s="38" t="s">
        <v>1525</v>
      </c>
    </row>
    <row r="20" customFormat="false" ht="15" hidden="false" customHeight="false" outlineLevel="0" collapsed="false">
      <c r="A20" s="38" t="s">
        <v>1505</v>
      </c>
      <c r="B20" s="38" t="s">
        <v>318</v>
      </c>
      <c r="C20" s="38" t="s">
        <v>1508</v>
      </c>
      <c r="D20" s="38" t="s">
        <v>792</v>
      </c>
      <c r="E20" s="38" t="s">
        <v>1526</v>
      </c>
    </row>
    <row r="21" customFormat="false" ht="15" hidden="false" customHeight="false" outlineLevel="0" collapsed="false">
      <c r="A21" s="38" t="s">
        <v>1505</v>
      </c>
      <c r="B21" s="38" t="s">
        <v>319</v>
      </c>
      <c r="C21" s="38" t="s">
        <v>1508</v>
      </c>
      <c r="D21" s="38" t="s">
        <v>793</v>
      </c>
      <c r="E21" s="38" t="s">
        <v>1526</v>
      </c>
    </row>
    <row r="22" customFormat="false" ht="15" hidden="false" customHeight="false" outlineLevel="0" collapsed="false">
      <c r="A22" s="38" t="s">
        <v>1505</v>
      </c>
      <c r="B22" s="38" t="s">
        <v>320</v>
      </c>
      <c r="C22" s="38" t="s">
        <v>1527</v>
      </c>
      <c r="D22" s="38" t="s">
        <v>794</v>
      </c>
      <c r="E22" s="38" t="s">
        <v>1528</v>
      </c>
    </row>
    <row r="23" customFormat="false" ht="15" hidden="false" customHeight="false" outlineLevel="0" collapsed="false">
      <c r="A23" s="38" t="s">
        <v>1505</v>
      </c>
      <c r="B23" s="38" t="s">
        <v>321</v>
      </c>
      <c r="C23" s="38" t="s">
        <v>1508</v>
      </c>
      <c r="D23" s="38" t="s">
        <v>795</v>
      </c>
      <c r="E23" s="38" t="s">
        <v>1528</v>
      </c>
    </row>
    <row r="24" customFormat="false" ht="15" hidden="false" customHeight="false" outlineLevel="0" collapsed="false">
      <c r="A24" s="38" t="s">
        <v>1505</v>
      </c>
      <c r="B24" s="38" t="s">
        <v>322</v>
      </c>
      <c r="C24" s="38" t="s">
        <v>1519</v>
      </c>
      <c r="D24" s="38" t="s">
        <v>796</v>
      </c>
      <c r="E24" s="38" t="s">
        <v>1529</v>
      </c>
    </row>
    <row r="25" customFormat="false" ht="15" hidden="false" customHeight="false" outlineLevel="0" collapsed="false">
      <c r="A25" s="38" t="s">
        <v>1505</v>
      </c>
      <c r="B25" s="38" t="s">
        <v>323</v>
      </c>
      <c r="C25" s="38" t="s">
        <v>1508</v>
      </c>
      <c r="D25" s="38" t="s">
        <v>797</v>
      </c>
      <c r="E25" s="38" t="s">
        <v>1530</v>
      </c>
    </row>
    <row r="26" customFormat="false" ht="28.35" hidden="false" customHeight="false" outlineLevel="0" collapsed="false">
      <c r="A26" s="38" t="s">
        <v>1505</v>
      </c>
      <c r="B26" s="38" t="s">
        <v>324</v>
      </c>
      <c r="C26" s="38" t="s">
        <v>1521</v>
      </c>
      <c r="D26" s="38" t="s">
        <v>798</v>
      </c>
      <c r="E26" s="38" t="s">
        <v>1531</v>
      </c>
    </row>
    <row r="27" customFormat="false" ht="15" hidden="false" customHeight="false" outlineLevel="0" collapsed="false">
      <c r="A27" s="38" t="s">
        <v>1505</v>
      </c>
      <c r="B27" s="38" t="s">
        <v>325</v>
      </c>
      <c r="C27" s="38" t="s">
        <v>1521</v>
      </c>
      <c r="D27" s="38" t="s">
        <v>799</v>
      </c>
      <c r="E27" s="38"/>
    </row>
    <row r="28" customFormat="false" ht="15" hidden="false" customHeight="false" outlineLevel="0" collapsed="false">
      <c r="A28" s="38" t="s">
        <v>1505</v>
      </c>
      <c r="B28" s="38" t="s">
        <v>326</v>
      </c>
      <c r="C28" s="38" t="s">
        <v>1521</v>
      </c>
      <c r="D28" s="38" t="s">
        <v>800</v>
      </c>
      <c r="E28" s="38" t="s">
        <v>1532</v>
      </c>
    </row>
    <row r="29" customFormat="false" ht="15" hidden="false" customHeight="false" outlineLevel="0" collapsed="false">
      <c r="A29" s="38" t="s">
        <v>1505</v>
      </c>
      <c r="B29" s="38" t="s">
        <v>327</v>
      </c>
      <c r="C29" s="38" t="s">
        <v>1508</v>
      </c>
      <c r="D29" s="38" t="s">
        <v>801</v>
      </c>
      <c r="E29" s="38" t="s">
        <v>1533</v>
      </c>
    </row>
    <row r="30" customFormat="false" ht="15" hidden="false" customHeight="false" outlineLevel="0" collapsed="false">
      <c r="A30" s="38" t="s">
        <v>1505</v>
      </c>
      <c r="B30" s="38" t="s">
        <v>328</v>
      </c>
      <c r="C30" s="38" t="s">
        <v>1519</v>
      </c>
      <c r="D30" s="38" t="s">
        <v>802</v>
      </c>
      <c r="E30" s="38" t="s">
        <v>1534</v>
      </c>
    </row>
    <row r="31" customFormat="false" ht="15" hidden="false" customHeight="false" outlineLevel="0" collapsed="false">
      <c r="A31" s="38" t="s">
        <v>1505</v>
      </c>
      <c r="B31" s="38" t="s">
        <v>329</v>
      </c>
      <c r="C31" s="38" t="s">
        <v>1508</v>
      </c>
      <c r="D31" s="38" t="s">
        <v>803</v>
      </c>
      <c r="E31" s="38" t="s">
        <v>1535</v>
      </c>
    </row>
    <row r="32" customFormat="false" ht="15" hidden="false" customHeight="false" outlineLevel="0" collapsed="false">
      <c r="A32" s="38" t="s">
        <v>1505</v>
      </c>
      <c r="B32" s="38" t="s">
        <v>330</v>
      </c>
      <c r="C32" s="38" t="s">
        <v>1508</v>
      </c>
      <c r="D32" s="38" t="s">
        <v>804</v>
      </c>
      <c r="E32" s="38" t="s">
        <v>1536</v>
      </c>
    </row>
    <row r="33" customFormat="false" ht="15" hidden="false" customHeight="false" outlineLevel="0" collapsed="false">
      <c r="A33" s="38" t="s">
        <v>1505</v>
      </c>
      <c r="B33" s="38" t="s">
        <v>331</v>
      </c>
      <c r="C33" s="38" t="s">
        <v>1527</v>
      </c>
      <c r="D33" s="38" t="s">
        <v>805</v>
      </c>
      <c r="E33" s="38" t="s">
        <v>1537</v>
      </c>
    </row>
    <row r="34" customFormat="false" ht="41.75" hidden="false" customHeight="false" outlineLevel="0" collapsed="false">
      <c r="A34" s="38" t="s">
        <v>1505</v>
      </c>
      <c r="B34" s="38" t="s">
        <v>332</v>
      </c>
      <c r="C34" s="38" t="s">
        <v>1538</v>
      </c>
      <c r="D34" s="38" t="s">
        <v>806</v>
      </c>
      <c r="E34" s="38" t="s">
        <v>1539</v>
      </c>
    </row>
    <row r="35" customFormat="false" ht="15" hidden="false" customHeight="false" outlineLevel="0" collapsed="false">
      <c r="A35" s="38" t="s">
        <v>1505</v>
      </c>
      <c r="B35" s="38" t="s">
        <v>333</v>
      </c>
      <c r="C35" s="38" t="s">
        <v>1508</v>
      </c>
      <c r="D35" s="38" t="s">
        <v>807</v>
      </c>
      <c r="E35" s="38" t="s">
        <v>1540</v>
      </c>
    </row>
    <row r="36" customFormat="false" ht="41.75" hidden="false" customHeight="false" outlineLevel="0" collapsed="false">
      <c r="A36" s="38" t="s">
        <v>1505</v>
      </c>
      <c r="B36" s="38" t="s">
        <v>334</v>
      </c>
      <c r="C36" s="38" t="s">
        <v>1541</v>
      </c>
      <c r="D36" s="38" t="s">
        <v>808</v>
      </c>
      <c r="E36" s="38" t="s">
        <v>1542</v>
      </c>
    </row>
    <row r="37" customFormat="false" ht="15" hidden="false" customHeight="false" outlineLevel="0" collapsed="false">
      <c r="A37" s="38" t="s">
        <v>1505</v>
      </c>
      <c r="B37" s="38" t="s">
        <v>335</v>
      </c>
      <c r="C37" s="38" t="s">
        <v>1543</v>
      </c>
      <c r="D37" s="38" t="s">
        <v>809</v>
      </c>
      <c r="E37" s="38" t="s">
        <v>1544</v>
      </c>
    </row>
    <row r="38" customFormat="false" ht="15" hidden="false" customHeight="false" outlineLevel="0" collapsed="false">
      <c r="A38" s="38" t="s">
        <v>1505</v>
      </c>
      <c r="B38" s="38" t="s">
        <v>336</v>
      </c>
      <c r="C38" s="38" t="s">
        <v>1508</v>
      </c>
      <c r="D38" s="38" t="s">
        <v>810</v>
      </c>
      <c r="E38" s="38" t="s">
        <v>1545</v>
      </c>
    </row>
    <row r="39" customFormat="false" ht="15" hidden="false" customHeight="false" outlineLevel="0" collapsed="false">
      <c r="A39" s="38" t="s">
        <v>1505</v>
      </c>
      <c r="B39" s="38" t="s">
        <v>337</v>
      </c>
      <c r="C39" s="38" t="s">
        <v>1508</v>
      </c>
      <c r="D39" s="38" t="s">
        <v>811</v>
      </c>
      <c r="E39" s="38" t="s">
        <v>1546</v>
      </c>
    </row>
    <row r="40" customFormat="false" ht="15" hidden="false" customHeight="false" outlineLevel="0" collapsed="false">
      <c r="A40" s="38" t="s">
        <v>1505</v>
      </c>
      <c r="B40" s="38" t="s">
        <v>338</v>
      </c>
      <c r="C40" s="38" t="s">
        <v>1508</v>
      </c>
      <c r="D40" s="38" t="s">
        <v>812</v>
      </c>
      <c r="E40" s="38" t="s">
        <v>1546</v>
      </c>
    </row>
    <row r="41" customFormat="false" ht="149.25" hidden="false" customHeight="false" outlineLevel="0" collapsed="false">
      <c r="A41" s="38" t="s">
        <v>1505</v>
      </c>
      <c r="B41" s="38" t="s">
        <v>339</v>
      </c>
      <c r="C41" s="38" t="s">
        <v>1547</v>
      </c>
      <c r="D41" s="38" t="s">
        <v>813</v>
      </c>
      <c r="E41" s="38" t="s">
        <v>1548</v>
      </c>
    </row>
    <row r="42" customFormat="false" ht="149.25" hidden="false" customHeight="false" outlineLevel="0" collapsed="false">
      <c r="A42" s="38" t="s">
        <v>1505</v>
      </c>
      <c r="B42" s="38" t="s">
        <v>340</v>
      </c>
      <c r="C42" s="38" t="s">
        <v>1547</v>
      </c>
      <c r="D42" s="38" t="s">
        <v>814</v>
      </c>
      <c r="E42" s="38" t="s">
        <v>1548</v>
      </c>
    </row>
    <row r="43" customFormat="false" ht="149.25" hidden="false" customHeight="false" outlineLevel="0" collapsed="false">
      <c r="A43" s="38" t="s">
        <v>1505</v>
      </c>
      <c r="B43" s="38" t="s">
        <v>341</v>
      </c>
      <c r="C43" s="38" t="s">
        <v>1547</v>
      </c>
      <c r="D43" s="38" t="s">
        <v>815</v>
      </c>
      <c r="E43" s="38" t="s">
        <v>1548</v>
      </c>
    </row>
    <row r="44" customFormat="false" ht="15" hidden="false" customHeight="false" outlineLevel="0" collapsed="false">
      <c r="A44" s="38" t="s">
        <v>1505</v>
      </c>
      <c r="B44" s="38" t="s">
        <v>342</v>
      </c>
      <c r="C44" s="38" t="s">
        <v>1508</v>
      </c>
      <c r="D44" s="38" t="s">
        <v>816</v>
      </c>
      <c r="E44" s="38" t="s">
        <v>1549</v>
      </c>
    </row>
    <row r="45" customFormat="false" ht="15" hidden="false" customHeight="false" outlineLevel="0" collapsed="false">
      <c r="A45" s="38" t="s">
        <v>1505</v>
      </c>
      <c r="B45" s="38" t="s">
        <v>343</v>
      </c>
      <c r="C45" s="38" t="s">
        <v>1527</v>
      </c>
      <c r="D45" s="38" t="s">
        <v>817</v>
      </c>
      <c r="E45" s="38" t="s">
        <v>1550</v>
      </c>
    </row>
    <row r="46" customFormat="false" ht="15" hidden="false" customHeight="false" outlineLevel="0" collapsed="false">
      <c r="A46" s="38" t="s">
        <v>1505</v>
      </c>
      <c r="B46" s="38" t="s">
        <v>344</v>
      </c>
      <c r="C46" s="38" t="s">
        <v>1508</v>
      </c>
      <c r="D46" s="38" t="s">
        <v>818</v>
      </c>
      <c r="E46" s="38" t="s">
        <v>1551</v>
      </c>
    </row>
    <row r="47" customFormat="false" ht="15" hidden="false" customHeight="false" outlineLevel="0" collapsed="false">
      <c r="A47" s="38" t="s">
        <v>1505</v>
      </c>
      <c r="B47" s="38" t="s">
        <v>345</v>
      </c>
      <c r="C47" s="38" t="s">
        <v>1519</v>
      </c>
      <c r="D47" s="38" t="s">
        <v>819</v>
      </c>
      <c r="E47" s="38" t="s">
        <v>1552</v>
      </c>
    </row>
    <row r="48" customFormat="false" ht="28.35" hidden="false" customHeight="false" outlineLevel="0" collapsed="false">
      <c r="A48" s="38" t="s">
        <v>1505</v>
      </c>
      <c r="B48" s="38" t="s">
        <v>346</v>
      </c>
      <c r="C48" s="38" t="s">
        <v>1519</v>
      </c>
      <c r="D48" s="38" t="s">
        <v>820</v>
      </c>
      <c r="E48" s="38" t="s">
        <v>1553</v>
      </c>
    </row>
    <row r="49" customFormat="false" ht="15" hidden="false" customHeight="false" outlineLevel="0" collapsed="false">
      <c r="A49" s="38" t="s">
        <v>1505</v>
      </c>
      <c r="B49" s="38" t="s">
        <v>347</v>
      </c>
      <c r="C49" s="38" t="s">
        <v>1521</v>
      </c>
      <c r="D49" s="38" t="s">
        <v>821</v>
      </c>
      <c r="E49" s="38" t="s">
        <v>1554</v>
      </c>
    </row>
    <row r="50" customFormat="false" ht="28.35" hidden="false" customHeight="false" outlineLevel="0" collapsed="false">
      <c r="A50" s="38" t="s">
        <v>1505</v>
      </c>
      <c r="B50" s="38" t="s">
        <v>348</v>
      </c>
      <c r="C50" s="38" t="s">
        <v>1519</v>
      </c>
      <c r="D50" s="38" t="s">
        <v>822</v>
      </c>
      <c r="E50" s="38" t="s">
        <v>1555</v>
      </c>
    </row>
    <row r="51" customFormat="false" ht="15" hidden="false" customHeight="false" outlineLevel="0" collapsed="false">
      <c r="A51" s="38" t="s">
        <v>1505</v>
      </c>
      <c r="B51" s="38" t="s">
        <v>349</v>
      </c>
      <c r="C51" s="38" t="s">
        <v>1508</v>
      </c>
      <c r="D51" s="38" t="s">
        <v>823</v>
      </c>
      <c r="E51" s="38"/>
    </row>
    <row r="52" customFormat="false" ht="28.35" hidden="false" customHeight="false" outlineLevel="0" collapsed="false">
      <c r="A52" s="38" t="s">
        <v>1556</v>
      </c>
      <c r="B52" s="38" t="s">
        <v>300</v>
      </c>
      <c r="C52" s="38" t="s">
        <v>1506</v>
      </c>
      <c r="D52" s="38" t="s">
        <v>828</v>
      </c>
      <c r="E52" s="38" t="s">
        <v>1507</v>
      </c>
    </row>
    <row r="53" customFormat="false" ht="28.35" hidden="false" customHeight="false" outlineLevel="0" collapsed="false">
      <c r="A53" s="38" t="s">
        <v>1556</v>
      </c>
      <c r="B53" s="38" t="s">
        <v>301</v>
      </c>
      <c r="C53" s="38" t="s">
        <v>1508</v>
      </c>
      <c r="D53" s="38" t="s">
        <v>829</v>
      </c>
      <c r="E53" s="38" t="s">
        <v>1509</v>
      </c>
    </row>
    <row r="54" customFormat="false" ht="55.2" hidden="false" customHeight="false" outlineLevel="0" collapsed="false">
      <c r="A54" s="38" t="s">
        <v>1556</v>
      </c>
      <c r="B54" s="38" t="s">
        <v>302</v>
      </c>
      <c r="C54" s="38" t="s">
        <v>1508</v>
      </c>
      <c r="D54" s="38" t="s">
        <v>776</v>
      </c>
      <c r="E54" s="38" t="s">
        <v>1510</v>
      </c>
    </row>
    <row r="55" customFormat="false" ht="15" hidden="false" customHeight="false" outlineLevel="0" collapsed="false">
      <c r="A55" s="38" t="s">
        <v>1556</v>
      </c>
      <c r="B55" s="38" t="s">
        <v>303</v>
      </c>
      <c r="C55" s="38" t="s">
        <v>1508</v>
      </c>
      <c r="D55" s="38" t="s">
        <v>830</v>
      </c>
      <c r="E55" s="38" t="s">
        <v>1511</v>
      </c>
    </row>
    <row r="56" customFormat="false" ht="15" hidden="false" customHeight="false" outlineLevel="0" collapsed="false">
      <c r="A56" s="38" t="s">
        <v>1556</v>
      </c>
      <c r="B56" s="38" t="s">
        <v>304</v>
      </c>
      <c r="C56" s="38" t="s">
        <v>1508</v>
      </c>
      <c r="D56" s="38" t="s">
        <v>778</v>
      </c>
      <c r="E56" s="38" t="s">
        <v>1512</v>
      </c>
    </row>
    <row r="57" customFormat="false" ht="15" hidden="false" customHeight="false" outlineLevel="0" collapsed="false">
      <c r="A57" s="38" t="s">
        <v>1556</v>
      </c>
      <c r="B57" s="38" t="s">
        <v>305</v>
      </c>
      <c r="C57" s="38" t="s">
        <v>1508</v>
      </c>
      <c r="D57" s="38" t="s">
        <v>831</v>
      </c>
      <c r="E57" s="38" t="s">
        <v>1513</v>
      </c>
    </row>
    <row r="58" customFormat="false" ht="28.35" hidden="false" customHeight="false" outlineLevel="0" collapsed="false">
      <c r="A58" s="38" t="s">
        <v>1556</v>
      </c>
      <c r="B58" s="38" t="s">
        <v>306</v>
      </c>
      <c r="C58" s="38" t="s">
        <v>1514</v>
      </c>
      <c r="D58" s="38" t="s">
        <v>832</v>
      </c>
      <c r="E58" s="38" t="s">
        <v>1515</v>
      </c>
    </row>
    <row r="59" customFormat="false" ht="15" hidden="false" customHeight="false" outlineLevel="0" collapsed="false">
      <c r="A59" s="38" t="s">
        <v>1556</v>
      </c>
      <c r="B59" s="38" t="s">
        <v>307</v>
      </c>
      <c r="C59" s="38" t="s">
        <v>1037</v>
      </c>
      <c r="D59" s="38" t="s">
        <v>833</v>
      </c>
      <c r="E59" s="38" t="s">
        <v>1516</v>
      </c>
    </row>
    <row r="60" customFormat="false" ht="28.35" hidden="false" customHeight="false" outlineLevel="0" collapsed="false">
      <c r="A60" s="38" t="s">
        <v>1556</v>
      </c>
      <c r="B60" s="38" t="s">
        <v>308</v>
      </c>
      <c r="C60" s="38" t="s">
        <v>1517</v>
      </c>
      <c r="D60" s="38" t="s">
        <v>782</v>
      </c>
      <c r="E60" s="38"/>
    </row>
    <row r="61" customFormat="false" ht="15" hidden="false" customHeight="false" outlineLevel="0" collapsed="false">
      <c r="A61" s="38" t="s">
        <v>1556</v>
      </c>
      <c r="B61" s="38" t="s">
        <v>600</v>
      </c>
      <c r="C61" s="38" t="s">
        <v>1508</v>
      </c>
      <c r="D61" s="38" t="s">
        <v>834</v>
      </c>
      <c r="E61" s="38" t="s">
        <v>1557</v>
      </c>
    </row>
    <row r="62" customFormat="false" ht="15" hidden="false" customHeight="false" outlineLevel="0" collapsed="false">
      <c r="A62" s="38" t="s">
        <v>1556</v>
      </c>
      <c r="B62" s="38" t="s">
        <v>601</v>
      </c>
      <c r="C62" s="38" t="s">
        <v>1521</v>
      </c>
      <c r="D62" s="38" t="s">
        <v>835</v>
      </c>
      <c r="E62" s="38" t="s">
        <v>1558</v>
      </c>
    </row>
    <row r="63" customFormat="false" ht="28.35" hidden="false" customHeight="false" outlineLevel="0" collapsed="false">
      <c r="A63" s="38" t="s">
        <v>1556</v>
      </c>
      <c r="B63" s="38" t="s">
        <v>602</v>
      </c>
      <c r="C63" s="38" t="s">
        <v>1521</v>
      </c>
      <c r="D63" s="38" t="s">
        <v>836</v>
      </c>
      <c r="E63" s="38" t="s">
        <v>1558</v>
      </c>
    </row>
    <row r="64" customFormat="false" ht="15" hidden="false" customHeight="false" outlineLevel="0" collapsed="false">
      <c r="A64" s="38" t="s">
        <v>1556</v>
      </c>
      <c r="B64" s="38" t="s">
        <v>603</v>
      </c>
      <c r="C64" s="38" t="s">
        <v>1508</v>
      </c>
      <c r="D64" s="38" t="s">
        <v>837</v>
      </c>
      <c r="E64" s="38" t="s">
        <v>1558</v>
      </c>
    </row>
    <row r="65" customFormat="false" ht="15" hidden="false" customHeight="false" outlineLevel="0" collapsed="false">
      <c r="A65" s="38" t="s">
        <v>1556</v>
      </c>
      <c r="B65" s="38" t="s">
        <v>604</v>
      </c>
      <c r="C65" s="38" t="s">
        <v>1508</v>
      </c>
      <c r="D65" s="38" t="s">
        <v>838</v>
      </c>
      <c r="E65" s="38" t="s">
        <v>1559</v>
      </c>
    </row>
    <row r="66" customFormat="false" ht="15" hidden="false" customHeight="false" outlineLevel="0" collapsed="false">
      <c r="A66" s="38" t="s">
        <v>1556</v>
      </c>
      <c r="B66" s="38" t="s">
        <v>605</v>
      </c>
      <c r="C66" s="38" t="s">
        <v>1519</v>
      </c>
      <c r="D66" s="38" t="s">
        <v>839</v>
      </c>
      <c r="E66" s="38" t="s">
        <v>1560</v>
      </c>
    </row>
    <row r="67" customFormat="false" ht="15" hidden="false" customHeight="false" outlineLevel="0" collapsed="false">
      <c r="A67" s="38" t="s">
        <v>1556</v>
      </c>
      <c r="B67" s="38" t="s">
        <v>606</v>
      </c>
      <c r="C67" s="38" t="s">
        <v>1519</v>
      </c>
      <c r="D67" s="38" t="s">
        <v>840</v>
      </c>
      <c r="E67" s="38" t="s">
        <v>1561</v>
      </c>
    </row>
    <row r="68" customFormat="false" ht="15" hidden="false" customHeight="false" outlineLevel="0" collapsed="false">
      <c r="A68" s="38" t="s">
        <v>1556</v>
      </c>
      <c r="B68" s="38" t="s">
        <v>607</v>
      </c>
      <c r="C68" s="38" t="s">
        <v>1508</v>
      </c>
      <c r="D68" s="38" t="s">
        <v>841</v>
      </c>
      <c r="E68" s="38" t="s">
        <v>1561</v>
      </c>
    </row>
    <row r="69" customFormat="false" ht="28.35" hidden="false" customHeight="false" outlineLevel="0" collapsed="false">
      <c r="A69" s="38" t="s">
        <v>1556</v>
      </c>
      <c r="B69" s="38" t="s">
        <v>608</v>
      </c>
      <c r="C69" s="38" t="s">
        <v>1521</v>
      </c>
      <c r="D69" s="38" t="s">
        <v>842</v>
      </c>
      <c r="E69" s="38" t="s">
        <v>1562</v>
      </c>
    </row>
    <row r="70" customFormat="false" ht="15" hidden="false" customHeight="false" outlineLevel="0" collapsed="false">
      <c r="A70" s="38" t="s">
        <v>1556</v>
      </c>
      <c r="B70" s="38" t="s">
        <v>609</v>
      </c>
      <c r="C70" s="38" t="s">
        <v>1508</v>
      </c>
      <c r="D70" s="38" t="s">
        <v>843</v>
      </c>
      <c r="E70" s="38" t="s">
        <v>1563</v>
      </c>
    </row>
    <row r="71" customFormat="false" ht="28.35" hidden="false" customHeight="false" outlineLevel="0" collapsed="false">
      <c r="A71" s="38" t="s">
        <v>1556</v>
      </c>
      <c r="B71" s="38" t="s">
        <v>610</v>
      </c>
      <c r="C71" s="38" t="s">
        <v>1508</v>
      </c>
      <c r="D71" s="38" t="s">
        <v>844</v>
      </c>
      <c r="E71" s="38"/>
    </row>
    <row r="72" customFormat="false" ht="15" hidden="false" customHeight="false" outlineLevel="0" collapsed="false">
      <c r="A72" s="38" t="s">
        <v>1556</v>
      </c>
      <c r="B72" s="38" t="s">
        <v>611</v>
      </c>
      <c r="C72" s="38" t="s">
        <v>1519</v>
      </c>
      <c r="D72" s="38" t="s">
        <v>845</v>
      </c>
      <c r="E72" s="38" t="s">
        <v>1564</v>
      </c>
    </row>
    <row r="73" customFormat="false" ht="28.35" hidden="false" customHeight="false" outlineLevel="0" collapsed="false">
      <c r="A73" s="38" t="s">
        <v>1556</v>
      </c>
      <c r="B73" s="38" t="s">
        <v>612</v>
      </c>
      <c r="C73" s="38" t="s">
        <v>1521</v>
      </c>
      <c r="D73" s="38" t="s">
        <v>846</v>
      </c>
      <c r="E73" s="38" t="s">
        <v>1565</v>
      </c>
    </row>
    <row r="74" customFormat="false" ht="15" hidden="false" customHeight="false" outlineLevel="0" collapsed="false">
      <c r="A74" s="38" t="s">
        <v>1556</v>
      </c>
      <c r="B74" s="38" t="s">
        <v>613</v>
      </c>
      <c r="C74" s="38" t="s">
        <v>1508</v>
      </c>
      <c r="D74" s="38" t="s">
        <v>847</v>
      </c>
      <c r="E74" s="38" t="s">
        <v>1563</v>
      </c>
    </row>
    <row r="75" customFormat="false" ht="15" hidden="false" customHeight="false" outlineLevel="0" collapsed="false">
      <c r="A75" s="38" t="s">
        <v>1556</v>
      </c>
      <c r="B75" s="38" t="s">
        <v>614</v>
      </c>
      <c r="C75" s="38" t="s">
        <v>1508</v>
      </c>
      <c r="D75" s="38" t="s">
        <v>848</v>
      </c>
      <c r="E75" s="38" t="s">
        <v>1566</v>
      </c>
    </row>
    <row r="76" customFormat="false" ht="55.2" hidden="false" customHeight="false" outlineLevel="0" collapsed="false">
      <c r="A76" s="38" t="s">
        <v>1556</v>
      </c>
      <c r="B76" s="38" t="s">
        <v>615</v>
      </c>
      <c r="C76" s="38" t="s">
        <v>1567</v>
      </c>
      <c r="D76" s="38" t="s">
        <v>849</v>
      </c>
      <c r="E76" s="38" t="s">
        <v>1568</v>
      </c>
    </row>
    <row r="77" customFormat="false" ht="15" hidden="false" customHeight="false" outlineLevel="0" collapsed="false">
      <c r="A77" s="38" t="s">
        <v>1556</v>
      </c>
      <c r="B77" s="38" t="s">
        <v>616</v>
      </c>
      <c r="C77" s="38" t="s">
        <v>1508</v>
      </c>
      <c r="D77" s="38" t="s">
        <v>850</v>
      </c>
      <c r="E77" s="38" t="s">
        <v>1568</v>
      </c>
    </row>
    <row r="78" customFormat="false" ht="15" hidden="false" customHeight="false" outlineLevel="0" collapsed="false">
      <c r="A78" s="38" t="s">
        <v>1556</v>
      </c>
      <c r="B78" s="38" t="s">
        <v>617</v>
      </c>
      <c r="C78" s="38" t="s">
        <v>1508</v>
      </c>
      <c r="D78" s="38" t="s">
        <v>851</v>
      </c>
      <c r="E78" s="38" t="s">
        <v>1569</v>
      </c>
    </row>
    <row r="79" customFormat="false" ht="28.35" hidden="false" customHeight="false" outlineLevel="0" collapsed="false">
      <c r="A79" s="38" t="s">
        <v>1556</v>
      </c>
      <c r="B79" s="38" t="s">
        <v>618</v>
      </c>
      <c r="C79" s="38" t="s">
        <v>1570</v>
      </c>
      <c r="D79" s="38" t="s">
        <v>852</v>
      </c>
      <c r="E79" s="38" t="s">
        <v>1571</v>
      </c>
    </row>
    <row r="80" customFormat="false" ht="15" hidden="false" customHeight="false" outlineLevel="0" collapsed="false">
      <c r="A80" s="38" t="s">
        <v>1556</v>
      </c>
      <c r="B80" s="38" t="s">
        <v>619</v>
      </c>
      <c r="C80" s="38" t="s">
        <v>1570</v>
      </c>
      <c r="D80" s="38" t="s">
        <v>853</v>
      </c>
      <c r="E80" s="38" t="s">
        <v>1572</v>
      </c>
    </row>
    <row r="81" customFormat="false" ht="15" hidden="false" customHeight="false" outlineLevel="0" collapsed="false">
      <c r="A81" s="38" t="s">
        <v>1556</v>
      </c>
      <c r="B81" s="38" t="s">
        <v>620</v>
      </c>
      <c r="C81" s="38" t="s">
        <v>1570</v>
      </c>
      <c r="D81" s="38" t="s">
        <v>854</v>
      </c>
      <c r="E81" s="38" t="s">
        <v>1573</v>
      </c>
    </row>
    <row r="82" customFormat="false" ht="15" hidden="false" customHeight="false" outlineLevel="0" collapsed="false">
      <c r="A82" s="38" t="s">
        <v>1556</v>
      </c>
      <c r="B82" s="38" t="s">
        <v>621</v>
      </c>
      <c r="C82" s="38" t="s">
        <v>1570</v>
      </c>
      <c r="D82" s="38" t="s">
        <v>855</v>
      </c>
      <c r="E82" s="38" t="s">
        <v>1574</v>
      </c>
    </row>
    <row r="83" customFormat="false" ht="28.35" hidden="false" customHeight="false" outlineLevel="0" collapsed="false">
      <c r="A83" s="38" t="s">
        <v>1556</v>
      </c>
      <c r="B83" s="38" t="s">
        <v>622</v>
      </c>
      <c r="C83" s="38" t="s">
        <v>1570</v>
      </c>
      <c r="D83" s="38" t="s">
        <v>856</v>
      </c>
      <c r="E83" s="38" t="s">
        <v>1575</v>
      </c>
    </row>
    <row r="84" customFormat="false" ht="15" hidden="false" customHeight="false" outlineLevel="0" collapsed="false">
      <c r="A84" s="38" t="s">
        <v>1556</v>
      </c>
      <c r="B84" s="38" t="s">
        <v>623</v>
      </c>
      <c r="C84" s="38" t="s">
        <v>1570</v>
      </c>
      <c r="D84" s="38" t="s">
        <v>857</v>
      </c>
      <c r="E84" s="38" t="s">
        <v>1576</v>
      </c>
    </row>
    <row r="85" customFormat="false" ht="15" hidden="false" customHeight="false" outlineLevel="0" collapsed="false">
      <c r="A85" s="38" t="s">
        <v>1556</v>
      </c>
      <c r="B85" s="38" t="s">
        <v>624</v>
      </c>
      <c r="C85" s="38" t="s">
        <v>1508</v>
      </c>
      <c r="D85" s="38" t="s">
        <v>858</v>
      </c>
      <c r="E85" s="38" t="s">
        <v>1577</v>
      </c>
    </row>
    <row r="86" customFormat="false" ht="28.35" hidden="false" customHeight="false" outlineLevel="0" collapsed="false">
      <c r="A86" s="38" t="s">
        <v>1556</v>
      </c>
      <c r="B86" s="38" t="s">
        <v>625</v>
      </c>
      <c r="C86" s="38" t="s">
        <v>1519</v>
      </c>
      <c r="D86" s="38" t="s">
        <v>859</v>
      </c>
      <c r="E86" s="38" t="s">
        <v>1578</v>
      </c>
    </row>
    <row r="87" customFormat="false" ht="135.8" hidden="false" customHeight="false" outlineLevel="0" collapsed="false">
      <c r="A87" s="38" t="s">
        <v>1556</v>
      </c>
      <c r="B87" s="38" t="s">
        <v>339</v>
      </c>
      <c r="C87" s="38" t="s">
        <v>1579</v>
      </c>
      <c r="D87" s="38" t="s">
        <v>860</v>
      </c>
      <c r="E87" s="38" t="s">
        <v>1548</v>
      </c>
    </row>
    <row r="88" customFormat="false" ht="135.8" hidden="false" customHeight="false" outlineLevel="0" collapsed="false">
      <c r="A88" s="38" t="s">
        <v>1556</v>
      </c>
      <c r="B88" s="38" t="s">
        <v>340</v>
      </c>
      <c r="C88" s="38" t="s">
        <v>1579</v>
      </c>
      <c r="D88" s="38" t="s">
        <v>814</v>
      </c>
      <c r="E88" s="38" t="s">
        <v>1548</v>
      </c>
    </row>
    <row r="89" customFormat="false" ht="135.8" hidden="false" customHeight="false" outlineLevel="0" collapsed="false">
      <c r="A89" s="38" t="s">
        <v>1556</v>
      </c>
      <c r="B89" s="38" t="s">
        <v>341</v>
      </c>
      <c r="C89" s="38" t="s">
        <v>1579</v>
      </c>
      <c r="D89" s="38" t="s">
        <v>815</v>
      </c>
      <c r="E89" s="38" t="s">
        <v>1548</v>
      </c>
    </row>
    <row r="90" customFormat="false" ht="15" hidden="false" customHeight="false" outlineLevel="0" collapsed="false">
      <c r="A90" s="38" t="s">
        <v>1556</v>
      </c>
      <c r="B90" s="38" t="s">
        <v>342</v>
      </c>
      <c r="C90" s="38" t="s">
        <v>1508</v>
      </c>
      <c r="D90" s="38" t="s">
        <v>816</v>
      </c>
      <c r="E90" s="38" t="s">
        <v>1549</v>
      </c>
    </row>
    <row r="91" customFormat="false" ht="15" hidden="false" customHeight="false" outlineLevel="0" collapsed="false">
      <c r="A91" s="38" t="s">
        <v>1556</v>
      </c>
      <c r="B91" s="38" t="s">
        <v>343</v>
      </c>
      <c r="C91" s="38" t="s">
        <v>1527</v>
      </c>
      <c r="D91" s="38" t="s">
        <v>861</v>
      </c>
      <c r="E91" s="38" t="s">
        <v>1580</v>
      </c>
    </row>
    <row r="92" customFormat="false" ht="15" hidden="false" customHeight="false" outlineLevel="0" collapsed="false">
      <c r="A92" s="38" t="s">
        <v>1556</v>
      </c>
      <c r="B92" s="38" t="s">
        <v>345</v>
      </c>
      <c r="C92" s="38" t="s">
        <v>1519</v>
      </c>
      <c r="D92" s="38" t="s">
        <v>862</v>
      </c>
      <c r="E92" s="38" t="s">
        <v>1552</v>
      </c>
    </row>
    <row r="93" customFormat="false" ht="15" hidden="false" customHeight="false" outlineLevel="0" collapsed="false">
      <c r="A93" s="38" t="s">
        <v>1556</v>
      </c>
      <c r="B93" s="38" t="s">
        <v>326</v>
      </c>
      <c r="C93" s="38" t="s">
        <v>1521</v>
      </c>
      <c r="D93" s="38" t="s">
        <v>863</v>
      </c>
      <c r="E93" s="38" t="s">
        <v>1532</v>
      </c>
    </row>
    <row r="94" customFormat="false" ht="15" hidden="false" customHeight="false" outlineLevel="0" collapsed="false">
      <c r="A94" s="38" t="s">
        <v>1556</v>
      </c>
      <c r="B94" s="38" t="s">
        <v>327</v>
      </c>
      <c r="C94" s="38" t="s">
        <v>1508</v>
      </c>
      <c r="D94" s="38" t="s">
        <v>864</v>
      </c>
      <c r="E94" s="38" t="s">
        <v>1532</v>
      </c>
    </row>
    <row r="95" customFormat="false" ht="28.35" hidden="false" customHeight="false" outlineLevel="0" collapsed="false">
      <c r="A95" s="38" t="s">
        <v>1556</v>
      </c>
      <c r="B95" s="38" t="s">
        <v>346</v>
      </c>
      <c r="C95" s="38" t="s">
        <v>1519</v>
      </c>
      <c r="D95" s="38" t="s">
        <v>820</v>
      </c>
      <c r="E95" s="38" t="s">
        <v>1553</v>
      </c>
    </row>
    <row r="96" customFormat="false" ht="15" hidden="false" customHeight="false" outlineLevel="0" collapsed="false">
      <c r="A96" s="38" t="s">
        <v>1556</v>
      </c>
      <c r="B96" s="38" t="s">
        <v>347</v>
      </c>
      <c r="C96" s="38" t="s">
        <v>1521</v>
      </c>
      <c r="D96" s="38" t="s">
        <v>821</v>
      </c>
      <c r="E96" s="38" t="s">
        <v>1554</v>
      </c>
    </row>
    <row r="97" customFormat="false" ht="28.35" hidden="false" customHeight="false" outlineLevel="0" collapsed="false">
      <c r="A97" s="38" t="s">
        <v>1556</v>
      </c>
      <c r="B97" s="38" t="s">
        <v>348</v>
      </c>
      <c r="C97" s="38" t="s">
        <v>1519</v>
      </c>
      <c r="D97" s="38" t="s">
        <v>865</v>
      </c>
      <c r="E97" s="38" t="s">
        <v>1555</v>
      </c>
    </row>
    <row r="98" customFormat="false" ht="15" hidden="false" customHeight="false" outlineLevel="0" collapsed="false">
      <c r="A98" s="38" t="s">
        <v>1556</v>
      </c>
      <c r="B98" s="38" t="s">
        <v>349</v>
      </c>
      <c r="C98" s="38" t="s">
        <v>1508</v>
      </c>
      <c r="D98" s="38" t="s">
        <v>823</v>
      </c>
      <c r="E98" s="38"/>
    </row>
    <row r="99" customFormat="false" ht="15" hidden="false" customHeight="false" outlineLevel="0" collapsed="false">
      <c r="A99" s="38" t="s">
        <v>1581</v>
      </c>
      <c r="B99" s="38" t="s">
        <v>867</v>
      </c>
      <c r="C99" s="38" t="s">
        <v>1508</v>
      </c>
      <c r="D99" s="38" t="s">
        <v>1582</v>
      </c>
      <c r="E99" s="38" t="s">
        <v>1583</v>
      </c>
    </row>
    <row r="100" customFormat="false" ht="15" hidden="false" customHeight="false" outlineLevel="0" collapsed="false">
      <c r="A100" s="38" t="s">
        <v>1581</v>
      </c>
      <c r="B100" s="38" t="s">
        <v>868</v>
      </c>
      <c r="C100" s="38" t="s">
        <v>1508</v>
      </c>
      <c r="D100" s="38" t="s">
        <v>1582</v>
      </c>
      <c r="E100" s="38" t="s">
        <v>1583</v>
      </c>
    </row>
    <row r="101" customFormat="false" ht="15" hidden="false" customHeight="false" outlineLevel="0" collapsed="false">
      <c r="A101" s="38" t="s">
        <v>1581</v>
      </c>
      <c r="B101" s="38" t="s">
        <v>301</v>
      </c>
      <c r="C101" s="38" t="s">
        <v>1508</v>
      </c>
      <c r="D101" s="38" t="s">
        <v>1582</v>
      </c>
      <c r="E101" s="38" t="s">
        <v>1583</v>
      </c>
    </row>
    <row r="102" customFormat="false" ht="15" hidden="false" customHeight="false" outlineLevel="0" collapsed="false">
      <c r="A102" s="38" t="s">
        <v>1581</v>
      </c>
      <c r="B102" s="38" t="s">
        <v>303</v>
      </c>
      <c r="C102" s="38" t="s">
        <v>1508</v>
      </c>
      <c r="D102" s="38" t="s">
        <v>1582</v>
      </c>
      <c r="E102" s="38" t="s">
        <v>1583</v>
      </c>
    </row>
    <row r="103" customFormat="false" ht="15" hidden="false" customHeight="false" outlineLevel="0" collapsed="false">
      <c r="A103" s="38" t="s">
        <v>1581</v>
      </c>
      <c r="B103" s="38" t="s">
        <v>304</v>
      </c>
      <c r="C103" s="38" t="s">
        <v>1508</v>
      </c>
      <c r="D103" s="38" t="s">
        <v>1582</v>
      </c>
      <c r="E103" s="38" t="s">
        <v>1583</v>
      </c>
    </row>
    <row r="104" customFormat="false" ht="15" hidden="false" customHeight="false" outlineLevel="0" collapsed="false">
      <c r="A104" s="38" t="s">
        <v>1581</v>
      </c>
      <c r="B104" s="38" t="s">
        <v>869</v>
      </c>
      <c r="C104" s="38" t="s">
        <v>1508</v>
      </c>
      <c r="D104" s="38" t="s">
        <v>1582</v>
      </c>
      <c r="E104" s="38" t="s">
        <v>1583</v>
      </c>
    </row>
    <row r="105" customFormat="false" ht="15" hidden="false" customHeight="false" outlineLevel="0" collapsed="false">
      <c r="A105" s="38" t="s">
        <v>1581</v>
      </c>
      <c r="B105" s="38" t="s">
        <v>870</v>
      </c>
      <c r="C105" s="38" t="s">
        <v>1508</v>
      </c>
      <c r="D105" s="38" t="s">
        <v>1582</v>
      </c>
      <c r="E105" s="38" t="s">
        <v>1583</v>
      </c>
    </row>
    <row r="106" customFormat="false" ht="15" hidden="false" customHeight="false" outlineLevel="0" collapsed="false">
      <c r="A106" s="38" t="s">
        <v>1581</v>
      </c>
      <c r="B106" s="38" t="s">
        <v>871</v>
      </c>
      <c r="C106" s="38" t="s">
        <v>1508</v>
      </c>
      <c r="D106" s="38" t="s">
        <v>1582</v>
      </c>
      <c r="E106" s="38" t="s">
        <v>1583</v>
      </c>
    </row>
    <row r="107" customFormat="false" ht="15" hidden="false" customHeight="false" outlineLevel="0" collapsed="false">
      <c r="A107" s="38" t="s">
        <v>1581</v>
      </c>
      <c r="B107" s="38" t="s">
        <v>872</v>
      </c>
      <c r="C107" s="38" t="s">
        <v>1508</v>
      </c>
      <c r="D107" s="38" t="s">
        <v>1582</v>
      </c>
      <c r="E107" s="38" t="s">
        <v>1583</v>
      </c>
    </row>
    <row r="108" customFormat="false" ht="15" hidden="false" customHeight="false" outlineLevel="0" collapsed="false">
      <c r="A108" s="38" t="s">
        <v>1581</v>
      </c>
      <c r="B108" s="38" t="s">
        <v>314</v>
      </c>
      <c r="C108" s="38" t="s">
        <v>1508</v>
      </c>
      <c r="D108" s="38" t="s">
        <v>1582</v>
      </c>
      <c r="E108" s="38" t="s">
        <v>1583</v>
      </c>
    </row>
    <row r="109" customFormat="false" ht="15" hidden="false" customHeight="false" outlineLevel="0" collapsed="false">
      <c r="A109" s="38" t="s">
        <v>1581</v>
      </c>
      <c r="B109" s="38" t="s">
        <v>329</v>
      </c>
      <c r="C109" s="38" t="s">
        <v>1508</v>
      </c>
      <c r="D109" s="38" t="s">
        <v>1582</v>
      </c>
      <c r="E109" s="38" t="s">
        <v>1583</v>
      </c>
    </row>
    <row r="110" customFormat="false" ht="15" hidden="false" customHeight="false" outlineLevel="0" collapsed="false">
      <c r="A110" s="38" t="s">
        <v>1581</v>
      </c>
      <c r="B110" s="38" t="s">
        <v>330</v>
      </c>
      <c r="C110" s="38" t="s">
        <v>1508</v>
      </c>
      <c r="D110" s="38" t="s">
        <v>1582</v>
      </c>
      <c r="E110" s="38" t="s">
        <v>1583</v>
      </c>
    </row>
    <row r="111" customFormat="false" ht="15" hidden="false" customHeight="false" outlineLevel="0" collapsed="false">
      <c r="A111" s="38" t="s">
        <v>1581</v>
      </c>
      <c r="B111" s="38" t="s">
        <v>873</v>
      </c>
      <c r="C111" s="38" t="s">
        <v>1508</v>
      </c>
      <c r="D111" s="38" t="s">
        <v>1582</v>
      </c>
      <c r="E111" s="38" t="s">
        <v>1583</v>
      </c>
    </row>
    <row r="112" customFormat="false" ht="15" hidden="false" customHeight="false" outlineLevel="0" collapsed="false">
      <c r="A112" s="38" t="s">
        <v>1581</v>
      </c>
      <c r="B112" s="38" t="s">
        <v>334</v>
      </c>
      <c r="C112" s="38" t="s">
        <v>1508</v>
      </c>
      <c r="D112" s="38" t="s">
        <v>1582</v>
      </c>
      <c r="E112" s="38" t="s">
        <v>1583</v>
      </c>
    </row>
    <row r="113" customFormat="false" ht="15" hidden="false" customHeight="false" outlineLevel="0" collapsed="false">
      <c r="A113" s="38" t="s">
        <v>1581</v>
      </c>
      <c r="B113" s="38" t="s">
        <v>333</v>
      </c>
      <c r="C113" s="38" t="s">
        <v>1508</v>
      </c>
      <c r="D113" s="38" t="s">
        <v>1582</v>
      </c>
      <c r="E113" s="38" t="s">
        <v>1583</v>
      </c>
    </row>
    <row r="114" customFormat="false" ht="15" hidden="false" customHeight="false" outlineLevel="0" collapsed="false">
      <c r="A114" s="38" t="s">
        <v>1581</v>
      </c>
      <c r="B114" s="38" t="s">
        <v>335</v>
      </c>
      <c r="C114" s="38" t="s">
        <v>1508</v>
      </c>
      <c r="D114" s="38" t="s">
        <v>1582</v>
      </c>
      <c r="E114" s="38" t="s">
        <v>1583</v>
      </c>
    </row>
    <row r="115" customFormat="false" ht="15" hidden="false" customHeight="false" outlineLevel="0" collapsed="false">
      <c r="A115" s="38" t="s">
        <v>1581</v>
      </c>
      <c r="B115" s="38" t="s">
        <v>874</v>
      </c>
      <c r="C115" s="38" t="s">
        <v>1508</v>
      </c>
      <c r="D115" s="38" t="s">
        <v>1582</v>
      </c>
      <c r="E115" s="38" t="s">
        <v>1583</v>
      </c>
    </row>
    <row r="116" customFormat="false" ht="15" hidden="false" customHeight="false" outlineLevel="0" collapsed="false">
      <c r="A116" s="38" t="s">
        <v>1581</v>
      </c>
      <c r="B116" s="38" t="s">
        <v>875</v>
      </c>
      <c r="C116" s="38" t="s">
        <v>1508</v>
      </c>
      <c r="D116" s="38" t="s">
        <v>1582</v>
      </c>
      <c r="E116" s="38" t="s">
        <v>1583</v>
      </c>
    </row>
    <row r="117" customFormat="false" ht="15" hidden="false" customHeight="false" outlineLevel="0" collapsed="false">
      <c r="A117" s="38" t="s">
        <v>1581</v>
      </c>
      <c r="B117" s="38" t="s">
        <v>876</v>
      </c>
      <c r="C117" s="38" t="s">
        <v>1508</v>
      </c>
      <c r="D117" s="38" t="s">
        <v>1582</v>
      </c>
      <c r="E117" s="38" t="s">
        <v>1583</v>
      </c>
    </row>
    <row r="118" customFormat="false" ht="15" hidden="false" customHeight="false" outlineLevel="0" collapsed="false">
      <c r="A118" s="38" t="s">
        <v>1581</v>
      </c>
      <c r="B118" s="38" t="s">
        <v>349</v>
      </c>
      <c r="C118" s="38" t="s">
        <v>1508</v>
      </c>
      <c r="D118" s="38" t="s">
        <v>1582</v>
      </c>
      <c r="E118" s="38" t="s">
        <v>1583</v>
      </c>
    </row>
    <row r="119" customFormat="false" ht="15" hidden="false" customHeight="false" outlineLevel="0" collapsed="false">
      <c r="A119" s="38" t="s">
        <v>1581</v>
      </c>
      <c r="B119" s="38" t="s">
        <v>305</v>
      </c>
      <c r="C119" s="38" t="s">
        <v>1508</v>
      </c>
      <c r="D119" s="38" t="s">
        <v>1582</v>
      </c>
      <c r="E119" s="38" t="s">
        <v>1583</v>
      </c>
    </row>
    <row r="120" customFormat="false" ht="15" hidden="false" customHeight="false" outlineLevel="0" collapsed="false">
      <c r="A120" s="38" t="s">
        <v>1581</v>
      </c>
      <c r="B120" s="38" t="s">
        <v>877</v>
      </c>
      <c r="C120" s="38" t="s">
        <v>1506</v>
      </c>
      <c r="D120" s="38" t="s">
        <v>1584</v>
      </c>
      <c r="E120" s="38" t="s">
        <v>1585</v>
      </c>
    </row>
    <row r="121" customFormat="false" ht="15" hidden="false" customHeight="false" outlineLevel="0" collapsed="false">
      <c r="A121" s="38" t="s">
        <v>1581</v>
      </c>
      <c r="B121" s="38" t="s">
        <v>878</v>
      </c>
      <c r="C121" s="38" t="s">
        <v>1506</v>
      </c>
      <c r="D121" s="38" t="s">
        <v>1586</v>
      </c>
      <c r="E121" s="38" t="s">
        <v>1587</v>
      </c>
    </row>
    <row r="122" customFormat="false" ht="15" hidden="false" customHeight="false" outlineLevel="0" collapsed="false">
      <c r="A122" s="38" t="s">
        <v>1581</v>
      </c>
      <c r="B122" s="38" t="s">
        <v>879</v>
      </c>
      <c r="C122" s="38" t="s">
        <v>1037</v>
      </c>
      <c r="D122" s="38" t="s">
        <v>1588</v>
      </c>
      <c r="E122" s="38" t="s">
        <v>1585</v>
      </c>
    </row>
    <row r="123" customFormat="false" ht="15" hidden="false" customHeight="false" outlineLevel="0" collapsed="false">
      <c r="A123" s="38" t="s">
        <v>1581</v>
      </c>
      <c r="B123" s="38" t="s">
        <v>880</v>
      </c>
      <c r="C123" s="38" t="s">
        <v>1508</v>
      </c>
      <c r="D123" s="38" t="s">
        <v>1589</v>
      </c>
      <c r="E123" s="38" t="s">
        <v>1585</v>
      </c>
    </row>
    <row r="124" customFormat="false" ht="15" hidden="false" customHeight="false" outlineLevel="0" collapsed="false">
      <c r="A124" s="38" t="s">
        <v>1581</v>
      </c>
      <c r="B124" s="38" t="s">
        <v>881</v>
      </c>
      <c r="C124" s="38" t="s">
        <v>1519</v>
      </c>
      <c r="D124" s="38" t="s">
        <v>1590</v>
      </c>
      <c r="E124" s="38" t="s">
        <v>1585</v>
      </c>
    </row>
    <row r="125" customFormat="false" ht="28.35" hidden="false" customHeight="false" outlineLevel="0" collapsed="false">
      <c r="A125" s="38" t="s">
        <v>1581</v>
      </c>
      <c r="B125" s="38" t="s">
        <v>323</v>
      </c>
      <c r="C125" s="38" t="s">
        <v>1591</v>
      </c>
      <c r="D125" s="38" t="s">
        <v>1592</v>
      </c>
      <c r="E125" s="38" t="s">
        <v>1585</v>
      </c>
    </row>
    <row r="126" customFormat="false" ht="15" hidden="false" customHeight="false" outlineLevel="0" collapsed="false">
      <c r="A126" s="38" t="s">
        <v>1581</v>
      </c>
      <c r="B126" s="38" t="s">
        <v>882</v>
      </c>
      <c r="C126" s="38" t="s">
        <v>1591</v>
      </c>
      <c r="D126" s="38" t="s">
        <v>1593</v>
      </c>
      <c r="E126" s="38" t="s">
        <v>1585</v>
      </c>
    </row>
    <row r="127" customFormat="false" ht="15" hidden="false" customHeight="false" outlineLevel="0" collapsed="false">
      <c r="A127" s="38" t="s">
        <v>1581</v>
      </c>
      <c r="B127" s="38" t="s">
        <v>883</v>
      </c>
      <c r="C127" s="38" t="s">
        <v>1591</v>
      </c>
      <c r="D127" s="38" t="s">
        <v>1594</v>
      </c>
      <c r="E127" s="38" t="s">
        <v>1585</v>
      </c>
    </row>
    <row r="128" customFormat="false" ht="15" hidden="false" customHeight="false" outlineLevel="0" collapsed="false">
      <c r="A128" s="38" t="s">
        <v>1581</v>
      </c>
      <c r="B128" s="38" t="s">
        <v>884</v>
      </c>
      <c r="C128" s="38" t="s">
        <v>1508</v>
      </c>
      <c r="D128" s="38" t="s">
        <v>1595</v>
      </c>
      <c r="E128" s="38" t="s">
        <v>1596</v>
      </c>
    </row>
    <row r="129" customFormat="false" ht="15" hidden="false" customHeight="false" outlineLevel="0" collapsed="false">
      <c r="A129" s="38" t="s">
        <v>1581</v>
      </c>
      <c r="B129" s="38" t="s">
        <v>331</v>
      </c>
      <c r="C129" s="38" t="s">
        <v>1519</v>
      </c>
      <c r="D129" s="38" t="s">
        <v>1597</v>
      </c>
      <c r="E129" s="38" t="s">
        <v>1598</v>
      </c>
    </row>
    <row r="130" customFormat="false" ht="28.35" hidden="false" customHeight="false" outlineLevel="0" collapsed="false">
      <c r="A130" s="38" t="s">
        <v>1581</v>
      </c>
      <c r="B130" s="38" t="s">
        <v>885</v>
      </c>
      <c r="C130" s="38" t="s">
        <v>1508</v>
      </c>
      <c r="D130" s="38" t="s">
        <v>1599</v>
      </c>
      <c r="E130" s="38" t="s">
        <v>1600</v>
      </c>
    </row>
    <row r="131" customFormat="false" ht="15" hidden="false" customHeight="false" outlineLevel="0" collapsed="false">
      <c r="A131" s="38" t="s">
        <v>1581</v>
      </c>
      <c r="B131" s="38" t="s">
        <v>886</v>
      </c>
      <c r="C131" s="38" t="s">
        <v>1508</v>
      </c>
      <c r="D131" s="38" t="s">
        <v>1601</v>
      </c>
      <c r="E131" s="38" t="s">
        <v>1600</v>
      </c>
    </row>
    <row r="132" customFormat="false" ht="15" hidden="false" customHeight="false" outlineLevel="0" collapsed="false">
      <c r="A132" s="38" t="s">
        <v>1581</v>
      </c>
      <c r="B132" s="38" t="s">
        <v>887</v>
      </c>
      <c r="C132" s="38" t="s">
        <v>1508</v>
      </c>
      <c r="D132" s="38" t="s">
        <v>1602</v>
      </c>
      <c r="E132" s="38" t="s">
        <v>1600</v>
      </c>
    </row>
    <row r="133" customFormat="false" ht="28.35" hidden="false" customHeight="false" outlineLevel="0" collapsed="false">
      <c r="A133" s="38" t="s">
        <v>1581</v>
      </c>
      <c r="B133" s="38" t="s">
        <v>888</v>
      </c>
      <c r="C133" s="38" t="s">
        <v>1519</v>
      </c>
      <c r="D133" s="38" t="s">
        <v>1603</v>
      </c>
      <c r="E133" s="38" t="s">
        <v>1604</v>
      </c>
    </row>
    <row r="134" customFormat="false" ht="15" hidden="false" customHeight="false" outlineLevel="0" collapsed="false">
      <c r="A134" s="38" t="s">
        <v>1581</v>
      </c>
      <c r="B134" s="38" t="s">
        <v>889</v>
      </c>
      <c r="C134" s="38" t="s">
        <v>1506</v>
      </c>
      <c r="D134" s="38" t="s">
        <v>1605</v>
      </c>
      <c r="E134" s="38" t="s">
        <v>1600</v>
      </c>
    </row>
    <row r="135" customFormat="false" ht="15" hidden="false" customHeight="false" outlineLevel="0" collapsed="false">
      <c r="A135" s="38" t="s">
        <v>1606</v>
      </c>
      <c r="B135" s="38" t="s">
        <v>867</v>
      </c>
      <c r="C135" s="38" t="s">
        <v>1508</v>
      </c>
      <c r="D135" s="38" t="s">
        <v>1607</v>
      </c>
      <c r="E135" s="38" t="s">
        <v>1583</v>
      </c>
    </row>
    <row r="136" customFormat="false" ht="15" hidden="false" customHeight="false" outlineLevel="0" collapsed="false">
      <c r="A136" s="38" t="s">
        <v>1606</v>
      </c>
      <c r="B136" s="38" t="s">
        <v>868</v>
      </c>
      <c r="C136" s="38" t="s">
        <v>1508</v>
      </c>
      <c r="D136" s="38" t="s">
        <v>1607</v>
      </c>
      <c r="E136" s="38" t="s">
        <v>1583</v>
      </c>
    </row>
    <row r="137" customFormat="false" ht="15" hidden="false" customHeight="false" outlineLevel="0" collapsed="false">
      <c r="A137" s="38" t="s">
        <v>1606</v>
      </c>
      <c r="B137" s="38" t="s">
        <v>938</v>
      </c>
      <c r="C137" s="38" t="s">
        <v>1508</v>
      </c>
      <c r="D137" s="38" t="s">
        <v>1607</v>
      </c>
      <c r="E137" s="38" t="s">
        <v>1583</v>
      </c>
    </row>
    <row r="138" customFormat="false" ht="15" hidden="false" customHeight="false" outlineLevel="0" collapsed="false">
      <c r="A138" s="38" t="s">
        <v>1606</v>
      </c>
      <c r="B138" s="38" t="s">
        <v>939</v>
      </c>
      <c r="C138" s="38" t="s">
        <v>1508</v>
      </c>
      <c r="D138" s="38" t="s">
        <v>1607</v>
      </c>
      <c r="E138" s="38" t="s">
        <v>1583</v>
      </c>
    </row>
    <row r="139" customFormat="false" ht="15" hidden="false" customHeight="false" outlineLevel="0" collapsed="false">
      <c r="A139" s="38" t="s">
        <v>1606</v>
      </c>
      <c r="B139" s="38" t="s">
        <v>303</v>
      </c>
      <c r="C139" s="38" t="s">
        <v>1508</v>
      </c>
      <c r="D139" s="38" t="s">
        <v>1607</v>
      </c>
      <c r="E139" s="38" t="s">
        <v>1583</v>
      </c>
    </row>
    <row r="140" customFormat="false" ht="15" hidden="false" customHeight="false" outlineLevel="0" collapsed="false">
      <c r="A140" s="38" t="s">
        <v>1606</v>
      </c>
      <c r="B140" s="38" t="s">
        <v>304</v>
      </c>
      <c r="C140" s="38" t="s">
        <v>1508</v>
      </c>
      <c r="D140" s="38" t="s">
        <v>1607</v>
      </c>
      <c r="E140" s="38" t="s">
        <v>1583</v>
      </c>
    </row>
    <row r="141" customFormat="false" ht="15" hidden="false" customHeight="false" outlineLevel="0" collapsed="false">
      <c r="A141" s="38" t="s">
        <v>1606</v>
      </c>
      <c r="B141" s="38" t="s">
        <v>869</v>
      </c>
      <c r="C141" s="38" t="s">
        <v>1508</v>
      </c>
      <c r="D141" s="38" t="s">
        <v>1607</v>
      </c>
      <c r="E141" s="38" t="s">
        <v>1583</v>
      </c>
    </row>
    <row r="142" customFormat="false" ht="15" hidden="false" customHeight="false" outlineLevel="0" collapsed="false">
      <c r="A142" s="38" t="s">
        <v>1606</v>
      </c>
      <c r="B142" s="38" t="s">
        <v>870</v>
      </c>
      <c r="C142" s="38" t="s">
        <v>1508</v>
      </c>
      <c r="D142" s="38" t="s">
        <v>1607</v>
      </c>
      <c r="E142" s="38" t="s">
        <v>1583</v>
      </c>
    </row>
    <row r="143" customFormat="false" ht="15" hidden="false" customHeight="false" outlineLevel="0" collapsed="false">
      <c r="A143" s="38" t="s">
        <v>1606</v>
      </c>
      <c r="B143" s="38" t="s">
        <v>940</v>
      </c>
      <c r="C143" s="38" t="s">
        <v>1508</v>
      </c>
      <c r="D143" s="38" t="s">
        <v>1607</v>
      </c>
      <c r="E143" s="38" t="s">
        <v>1583</v>
      </c>
    </row>
    <row r="144" customFormat="false" ht="15" hidden="false" customHeight="false" outlineLevel="0" collapsed="false">
      <c r="A144" s="38" t="s">
        <v>1606</v>
      </c>
      <c r="B144" s="38" t="s">
        <v>941</v>
      </c>
      <c r="C144" s="38" t="s">
        <v>1508</v>
      </c>
      <c r="D144" s="38" t="s">
        <v>1607</v>
      </c>
      <c r="E144" s="38" t="s">
        <v>1583</v>
      </c>
    </row>
    <row r="145" customFormat="false" ht="15" hidden="false" customHeight="false" outlineLevel="0" collapsed="false">
      <c r="A145" s="38" t="s">
        <v>1606</v>
      </c>
      <c r="B145" s="38" t="s">
        <v>942</v>
      </c>
      <c r="C145" s="38" t="s">
        <v>1508</v>
      </c>
      <c r="D145" s="38" t="s">
        <v>1607</v>
      </c>
      <c r="E145" s="38" t="s">
        <v>1583</v>
      </c>
    </row>
    <row r="146" customFormat="false" ht="15" hidden="false" customHeight="false" outlineLevel="0" collapsed="false">
      <c r="A146" s="38" t="s">
        <v>1606</v>
      </c>
      <c r="B146" s="38" t="s">
        <v>943</v>
      </c>
      <c r="C146" s="38" t="s">
        <v>1508</v>
      </c>
      <c r="D146" s="38" t="s">
        <v>1607</v>
      </c>
      <c r="E146" s="38" t="s">
        <v>1583</v>
      </c>
    </row>
    <row r="147" customFormat="false" ht="15" hidden="false" customHeight="false" outlineLevel="0" collapsed="false">
      <c r="A147" s="38" t="s">
        <v>1606</v>
      </c>
      <c r="B147" s="38" t="s">
        <v>944</v>
      </c>
      <c r="C147" s="38" t="s">
        <v>1508</v>
      </c>
      <c r="D147" s="38" t="s">
        <v>1607</v>
      </c>
      <c r="E147" s="38" t="s">
        <v>1583</v>
      </c>
    </row>
    <row r="148" customFormat="false" ht="15" hidden="false" customHeight="false" outlineLevel="0" collapsed="false">
      <c r="A148" s="38" t="s">
        <v>1606</v>
      </c>
      <c r="B148" s="38" t="s">
        <v>945</v>
      </c>
      <c r="C148" s="38" t="s">
        <v>1508</v>
      </c>
      <c r="D148" s="38" t="s">
        <v>1607</v>
      </c>
      <c r="E148" s="38" t="s">
        <v>1583</v>
      </c>
    </row>
    <row r="149" customFormat="false" ht="15" hidden="false" customHeight="false" outlineLevel="0" collapsed="false">
      <c r="A149" s="38" t="s">
        <v>1606</v>
      </c>
      <c r="B149" s="38" t="s">
        <v>946</v>
      </c>
      <c r="C149" s="38" t="s">
        <v>1508</v>
      </c>
      <c r="D149" s="38" t="s">
        <v>1607</v>
      </c>
      <c r="E149" s="38" t="s">
        <v>1583</v>
      </c>
    </row>
    <row r="150" customFormat="false" ht="15" hidden="false" customHeight="false" outlineLevel="0" collapsed="false">
      <c r="A150" s="38" t="s">
        <v>1606</v>
      </c>
      <c r="B150" s="38" t="s">
        <v>947</v>
      </c>
      <c r="C150" s="38" t="s">
        <v>1508</v>
      </c>
      <c r="D150" s="38" t="s">
        <v>1607</v>
      </c>
      <c r="E150" s="38" t="s">
        <v>1583</v>
      </c>
    </row>
    <row r="151" customFormat="false" ht="15" hidden="false" customHeight="false" outlineLevel="0" collapsed="false">
      <c r="A151" s="38" t="s">
        <v>1606</v>
      </c>
      <c r="B151" s="38" t="s">
        <v>948</v>
      </c>
      <c r="C151" s="38" t="s">
        <v>1508</v>
      </c>
      <c r="D151" s="38" t="s">
        <v>1607</v>
      </c>
      <c r="E151" s="38" t="s">
        <v>1583</v>
      </c>
    </row>
    <row r="152" customFormat="false" ht="15" hidden="false" customHeight="false" outlineLevel="0" collapsed="false">
      <c r="A152" s="38" t="s">
        <v>1606</v>
      </c>
      <c r="B152" s="38" t="s">
        <v>949</v>
      </c>
      <c r="C152" s="38" t="s">
        <v>1508</v>
      </c>
      <c r="D152" s="38" t="s">
        <v>1607</v>
      </c>
      <c r="E152" s="38" t="s">
        <v>1583</v>
      </c>
    </row>
    <row r="153" customFormat="false" ht="15" hidden="false" customHeight="false" outlineLevel="0" collapsed="false">
      <c r="A153" s="38" t="s">
        <v>1606</v>
      </c>
      <c r="B153" s="38" t="s">
        <v>950</v>
      </c>
      <c r="C153" s="38" t="s">
        <v>1508</v>
      </c>
      <c r="D153" s="38" t="s">
        <v>1607</v>
      </c>
      <c r="E153" s="38" t="s">
        <v>1583</v>
      </c>
    </row>
    <row r="154" customFormat="false" ht="15" hidden="false" customHeight="false" outlineLevel="0" collapsed="false">
      <c r="A154" s="38" t="s">
        <v>1606</v>
      </c>
      <c r="B154" s="38" t="s">
        <v>951</v>
      </c>
      <c r="C154" s="38" t="s">
        <v>1508</v>
      </c>
      <c r="D154" s="38" t="s">
        <v>1607</v>
      </c>
      <c r="E154" s="38" t="s">
        <v>1583</v>
      </c>
    </row>
    <row r="155" customFormat="false" ht="15" hidden="false" customHeight="false" outlineLevel="0" collapsed="false">
      <c r="A155" s="38" t="s">
        <v>1606</v>
      </c>
      <c r="B155" s="38" t="s">
        <v>952</v>
      </c>
      <c r="C155" s="38" t="s">
        <v>1508</v>
      </c>
      <c r="D155" s="38" t="s">
        <v>1607</v>
      </c>
      <c r="E155" s="38" t="s">
        <v>1583</v>
      </c>
    </row>
    <row r="156" customFormat="false" ht="15" hidden="false" customHeight="false" outlineLevel="0" collapsed="false">
      <c r="A156" s="38" t="s">
        <v>1606</v>
      </c>
      <c r="B156" s="38" t="s">
        <v>953</v>
      </c>
      <c r="C156" s="38" t="s">
        <v>1508</v>
      </c>
      <c r="D156" s="38" t="s">
        <v>1607</v>
      </c>
      <c r="E156" s="38" t="s">
        <v>1583</v>
      </c>
    </row>
    <row r="157" customFormat="false" ht="15" hidden="false" customHeight="false" outlineLevel="0" collapsed="false">
      <c r="A157" s="38" t="s">
        <v>1606</v>
      </c>
      <c r="B157" s="38" t="s">
        <v>954</v>
      </c>
      <c r="C157" s="38" t="s">
        <v>1508</v>
      </c>
      <c r="D157" s="38" t="s">
        <v>1607</v>
      </c>
      <c r="E157" s="38" t="s">
        <v>1583</v>
      </c>
    </row>
    <row r="158" customFormat="false" ht="15" hidden="false" customHeight="false" outlineLevel="0" collapsed="false">
      <c r="A158" s="38" t="s">
        <v>1606</v>
      </c>
      <c r="B158" s="38" t="s">
        <v>955</v>
      </c>
      <c r="C158" s="38" t="s">
        <v>1508</v>
      </c>
      <c r="D158" s="38" t="s">
        <v>1607</v>
      </c>
      <c r="E158" s="38" t="s">
        <v>1583</v>
      </c>
    </row>
    <row r="159" customFormat="false" ht="15" hidden="false" customHeight="false" outlineLevel="0" collapsed="false">
      <c r="A159" s="38" t="s">
        <v>1606</v>
      </c>
      <c r="B159" s="38" t="s">
        <v>956</v>
      </c>
      <c r="C159" s="38" t="s">
        <v>1508</v>
      </c>
      <c r="D159" s="38" t="s">
        <v>1607</v>
      </c>
      <c r="E159" s="38" t="s">
        <v>1583</v>
      </c>
    </row>
    <row r="160" customFormat="false" ht="15" hidden="false" customHeight="false" outlineLevel="0" collapsed="false">
      <c r="A160" s="38" t="s">
        <v>1606</v>
      </c>
      <c r="B160" s="38" t="s">
        <v>349</v>
      </c>
      <c r="C160" s="38" t="s">
        <v>1508</v>
      </c>
      <c r="D160" s="38" t="s">
        <v>1607</v>
      </c>
      <c r="E160" s="38" t="s">
        <v>1583</v>
      </c>
    </row>
    <row r="161" customFormat="false" ht="15" hidden="false" customHeight="false" outlineLevel="0" collapsed="false">
      <c r="A161" s="38" t="s">
        <v>1606</v>
      </c>
      <c r="B161" s="38" t="s">
        <v>305</v>
      </c>
      <c r="C161" s="38" t="s">
        <v>1508</v>
      </c>
      <c r="D161" s="38" t="s">
        <v>1607</v>
      </c>
      <c r="E161" s="38" t="s">
        <v>1583</v>
      </c>
    </row>
    <row r="162" customFormat="false" ht="15" hidden="false" customHeight="false" outlineLevel="0" collapsed="false">
      <c r="A162" s="38" t="s">
        <v>1606</v>
      </c>
      <c r="B162" s="38" t="s">
        <v>957</v>
      </c>
      <c r="C162" s="38" t="s">
        <v>1506</v>
      </c>
      <c r="D162" s="38" t="s">
        <v>1608</v>
      </c>
      <c r="E162" s="38" t="s">
        <v>1585</v>
      </c>
    </row>
    <row r="163" customFormat="false" ht="15" hidden="false" customHeight="false" outlineLevel="0" collapsed="false">
      <c r="A163" s="38" t="s">
        <v>1606</v>
      </c>
      <c r="B163" s="38" t="s">
        <v>878</v>
      </c>
      <c r="C163" s="38" t="s">
        <v>1506</v>
      </c>
      <c r="D163" s="38" t="s">
        <v>1609</v>
      </c>
      <c r="E163" s="38" t="s">
        <v>1587</v>
      </c>
    </row>
    <row r="164" customFormat="false" ht="15" hidden="false" customHeight="false" outlineLevel="0" collapsed="false">
      <c r="A164" s="38" t="s">
        <v>1606</v>
      </c>
      <c r="B164" s="38" t="s">
        <v>958</v>
      </c>
      <c r="C164" s="38" t="s">
        <v>1610</v>
      </c>
      <c r="D164" s="38" t="s">
        <v>1611</v>
      </c>
      <c r="E164" s="38" t="s">
        <v>1585</v>
      </c>
    </row>
    <row r="165" customFormat="false" ht="15" hidden="false" customHeight="false" outlineLevel="0" collapsed="false">
      <c r="A165" s="38" t="s">
        <v>1606</v>
      </c>
      <c r="B165" s="38" t="s">
        <v>959</v>
      </c>
      <c r="C165" s="38" t="s">
        <v>1521</v>
      </c>
      <c r="D165" s="38" t="s">
        <v>1612</v>
      </c>
      <c r="E165" s="38" t="s">
        <v>1585</v>
      </c>
    </row>
    <row r="166" customFormat="false" ht="15" hidden="false" customHeight="false" outlineLevel="0" collapsed="false">
      <c r="A166" s="38" t="s">
        <v>1606</v>
      </c>
      <c r="B166" s="38" t="s">
        <v>960</v>
      </c>
      <c r="C166" s="38" t="s">
        <v>1521</v>
      </c>
      <c r="D166" s="38" t="s">
        <v>1613</v>
      </c>
      <c r="E166" s="38" t="s">
        <v>1585</v>
      </c>
    </row>
    <row r="167" customFormat="false" ht="15" hidden="false" customHeight="false" outlineLevel="0" collapsed="false">
      <c r="A167" s="38" t="s">
        <v>1606</v>
      </c>
      <c r="B167" s="38" t="s">
        <v>961</v>
      </c>
      <c r="C167" s="38" t="s">
        <v>1508</v>
      </c>
      <c r="D167" s="38" t="s">
        <v>1614</v>
      </c>
      <c r="E167" s="38" t="s">
        <v>1585</v>
      </c>
    </row>
    <row r="168" customFormat="false" ht="15" hidden="false" customHeight="false" outlineLevel="0" collapsed="false">
      <c r="A168" s="38" t="s">
        <v>1606</v>
      </c>
      <c r="B168" s="38" t="s">
        <v>879</v>
      </c>
      <c r="C168" s="38" t="s">
        <v>1037</v>
      </c>
      <c r="D168" s="38" t="s">
        <v>1615</v>
      </c>
      <c r="E168" s="38" t="s">
        <v>1585</v>
      </c>
    </row>
    <row r="169" customFormat="false" ht="15" hidden="false" customHeight="false" outlineLevel="0" collapsed="false">
      <c r="A169" s="38" t="s">
        <v>1606</v>
      </c>
      <c r="B169" s="38" t="s">
        <v>962</v>
      </c>
      <c r="C169" s="38" t="s">
        <v>1508</v>
      </c>
      <c r="D169" s="38" t="s">
        <v>1616</v>
      </c>
      <c r="E169" s="38" t="s">
        <v>1585</v>
      </c>
    </row>
    <row r="170" customFormat="false" ht="15" hidden="false" customHeight="false" outlineLevel="0" collapsed="false">
      <c r="A170" s="38" t="s">
        <v>1606</v>
      </c>
      <c r="B170" s="38" t="s">
        <v>963</v>
      </c>
      <c r="C170" s="38" t="s">
        <v>1037</v>
      </c>
      <c r="D170" s="38" t="s">
        <v>1617</v>
      </c>
      <c r="E170" s="38" t="s">
        <v>1585</v>
      </c>
    </row>
    <row r="171" customFormat="false" ht="28.35" hidden="false" customHeight="false" outlineLevel="0" collapsed="false">
      <c r="A171" s="38" t="s">
        <v>1606</v>
      </c>
      <c r="B171" s="38" t="s">
        <v>964</v>
      </c>
      <c r="C171" s="38" t="s">
        <v>1591</v>
      </c>
      <c r="D171" s="38" t="s">
        <v>1618</v>
      </c>
      <c r="E171" s="38" t="s">
        <v>1585</v>
      </c>
    </row>
    <row r="172" customFormat="false" ht="15" hidden="false" customHeight="false" outlineLevel="0" collapsed="false">
      <c r="A172" s="38" t="s">
        <v>1606</v>
      </c>
      <c r="B172" s="38" t="s">
        <v>965</v>
      </c>
      <c r="C172" s="38" t="s">
        <v>1037</v>
      </c>
      <c r="D172" s="38" t="s">
        <v>1619</v>
      </c>
      <c r="E172" s="38" t="s">
        <v>1585</v>
      </c>
    </row>
    <row r="173" customFormat="false" ht="15" hidden="false" customHeight="false" outlineLevel="0" collapsed="false">
      <c r="A173" s="38" t="s">
        <v>1606</v>
      </c>
      <c r="B173" s="38" t="s">
        <v>966</v>
      </c>
      <c r="C173" s="38" t="s">
        <v>1037</v>
      </c>
      <c r="D173" s="38" t="s">
        <v>1620</v>
      </c>
      <c r="E173" s="38" t="s">
        <v>1585</v>
      </c>
    </row>
    <row r="174" customFormat="false" ht="15" hidden="false" customHeight="false" outlineLevel="0" collapsed="false">
      <c r="A174" s="38" t="s">
        <v>1606</v>
      </c>
      <c r="B174" s="38" t="s">
        <v>967</v>
      </c>
      <c r="C174" s="38" t="s">
        <v>1037</v>
      </c>
      <c r="D174" s="38" t="s">
        <v>1621</v>
      </c>
      <c r="E174" s="38" t="s">
        <v>1585</v>
      </c>
    </row>
    <row r="175" customFormat="false" ht="15" hidden="false" customHeight="false" outlineLevel="0" collapsed="false">
      <c r="A175" s="38" t="s">
        <v>1606</v>
      </c>
      <c r="B175" s="38" t="s">
        <v>968</v>
      </c>
      <c r="C175" s="38" t="s">
        <v>1508</v>
      </c>
      <c r="D175" s="38" t="s">
        <v>1622</v>
      </c>
      <c r="E175" s="38" t="s">
        <v>1585</v>
      </c>
    </row>
    <row r="176" customFormat="false" ht="15" hidden="false" customHeight="false" outlineLevel="0" collapsed="false">
      <c r="A176" s="38" t="s">
        <v>1606</v>
      </c>
      <c r="B176" s="38" t="s">
        <v>969</v>
      </c>
      <c r="C176" s="38" t="s">
        <v>1508</v>
      </c>
      <c r="D176" s="38" t="s">
        <v>1623</v>
      </c>
      <c r="E176" s="38" t="s">
        <v>1585</v>
      </c>
    </row>
    <row r="177" customFormat="false" ht="15" hidden="false" customHeight="false" outlineLevel="0" collapsed="false">
      <c r="A177" s="38" t="s">
        <v>1606</v>
      </c>
      <c r="B177" s="38" t="s">
        <v>970</v>
      </c>
      <c r="C177" s="38" t="s">
        <v>1508</v>
      </c>
      <c r="D177" s="38" t="s">
        <v>1624</v>
      </c>
      <c r="E177" s="38" t="s">
        <v>1585</v>
      </c>
    </row>
    <row r="178" customFormat="false" ht="15" hidden="false" customHeight="false" outlineLevel="0" collapsed="false">
      <c r="A178" s="38" t="s">
        <v>1606</v>
      </c>
      <c r="B178" s="38" t="s">
        <v>971</v>
      </c>
      <c r="C178" s="38" t="s">
        <v>1508</v>
      </c>
      <c r="D178" s="38" t="s">
        <v>1625</v>
      </c>
      <c r="E178" s="38" t="s">
        <v>1585</v>
      </c>
    </row>
    <row r="179" customFormat="false" ht="15" hidden="false" customHeight="false" outlineLevel="0" collapsed="false">
      <c r="A179" s="38" t="s">
        <v>1606</v>
      </c>
      <c r="B179" s="38" t="s">
        <v>972</v>
      </c>
      <c r="C179" s="38" t="s">
        <v>1508</v>
      </c>
      <c r="D179" s="38" t="s">
        <v>1626</v>
      </c>
      <c r="E179" s="38" t="s">
        <v>1585</v>
      </c>
    </row>
    <row r="180" customFormat="false" ht="15" hidden="false" customHeight="false" outlineLevel="0" collapsed="false">
      <c r="A180" s="38" t="s">
        <v>1606</v>
      </c>
      <c r="B180" s="38" t="s">
        <v>973</v>
      </c>
      <c r="C180" s="38" t="s">
        <v>1627</v>
      </c>
      <c r="D180" s="38" t="s">
        <v>1628</v>
      </c>
      <c r="E180" s="38" t="s">
        <v>1585</v>
      </c>
    </row>
    <row r="181" customFormat="false" ht="15" hidden="false" customHeight="false" outlineLevel="0" collapsed="false">
      <c r="A181" s="38" t="s">
        <v>1606</v>
      </c>
      <c r="B181" s="38" t="s">
        <v>974</v>
      </c>
      <c r="C181" s="38" t="s">
        <v>1508</v>
      </c>
      <c r="D181" s="38" t="s">
        <v>1629</v>
      </c>
      <c r="E181" s="38" t="s">
        <v>1585</v>
      </c>
    </row>
    <row r="182" customFormat="false" ht="15" hidden="false" customHeight="false" outlineLevel="0" collapsed="false">
      <c r="A182" s="38" t="s">
        <v>1606</v>
      </c>
      <c r="B182" s="38" t="s">
        <v>975</v>
      </c>
      <c r="C182" s="38" t="s">
        <v>1521</v>
      </c>
      <c r="D182" s="38" t="s">
        <v>1630</v>
      </c>
      <c r="E182" s="38" t="s">
        <v>1631</v>
      </c>
    </row>
    <row r="183" customFormat="false" ht="15" hidden="false" customHeight="false" outlineLevel="0" collapsed="false">
      <c r="A183" s="38" t="s">
        <v>1606</v>
      </c>
      <c r="B183" s="38" t="s">
        <v>976</v>
      </c>
      <c r="C183" s="38" t="s">
        <v>1037</v>
      </c>
      <c r="D183" s="38" t="s">
        <v>1632</v>
      </c>
      <c r="E183" s="38" t="s">
        <v>1631</v>
      </c>
    </row>
    <row r="184" customFormat="false" ht="15" hidden="false" customHeight="false" outlineLevel="0" collapsed="false">
      <c r="A184" s="38" t="s">
        <v>1606</v>
      </c>
      <c r="B184" s="38" t="s">
        <v>977</v>
      </c>
      <c r="C184" s="38" t="s">
        <v>1521</v>
      </c>
      <c r="D184" s="38" t="s">
        <v>1633</v>
      </c>
      <c r="E184" s="38" t="s">
        <v>1631</v>
      </c>
    </row>
    <row r="185" customFormat="false" ht="15" hidden="false" customHeight="false" outlineLevel="0" collapsed="false">
      <c r="A185" s="38" t="s">
        <v>1606</v>
      </c>
      <c r="B185" s="38" t="s">
        <v>978</v>
      </c>
      <c r="C185" s="38" t="s">
        <v>1037</v>
      </c>
      <c r="D185" s="38" t="s">
        <v>1634</v>
      </c>
      <c r="E185" s="38" t="s">
        <v>1631</v>
      </c>
    </row>
    <row r="186" customFormat="false" ht="15" hidden="false" customHeight="false" outlineLevel="0" collapsed="false">
      <c r="A186" s="38" t="s">
        <v>1606</v>
      </c>
      <c r="B186" s="38" t="s">
        <v>884</v>
      </c>
      <c r="C186" s="38" t="s">
        <v>1508</v>
      </c>
      <c r="D186" s="38" t="s">
        <v>1635</v>
      </c>
      <c r="E186" s="38" t="s">
        <v>1596</v>
      </c>
    </row>
    <row r="187" customFormat="false" ht="15" hidden="false" customHeight="false" outlineLevel="0" collapsed="false">
      <c r="A187" s="38" t="s">
        <v>1606</v>
      </c>
      <c r="B187" s="38" t="s">
        <v>979</v>
      </c>
      <c r="C187" s="38" t="s">
        <v>1037</v>
      </c>
      <c r="D187" s="38" t="s">
        <v>1636</v>
      </c>
      <c r="E187" s="38" t="s">
        <v>1596</v>
      </c>
    </row>
    <row r="188" customFormat="false" ht="15" hidden="false" customHeight="false" outlineLevel="0" collapsed="false">
      <c r="A188" s="38" t="s">
        <v>1606</v>
      </c>
      <c r="B188" s="38" t="s">
        <v>980</v>
      </c>
      <c r="C188" s="38" t="s">
        <v>1519</v>
      </c>
      <c r="D188" s="38" t="s">
        <v>1637</v>
      </c>
      <c r="E188" s="38" t="s">
        <v>1596</v>
      </c>
    </row>
    <row r="189" customFormat="false" ht="15" hidden="false" customHeight="false" outlineLevel="0" collapsed="false">
      <c r="A189" s="38" t="s">
        <v>1606</v>
      </c>
      <c r="B189" s="38" t="s">
        <v>981</v>
      </c>
      <c r="C189" s="38" t="s">
        <v>1508</v>
      </c>
      <c r="D189" s="38" t="s">
        <v>1638</v>
      </c>
      <c r="E189" s="38" t="s">
        <v>1596</v>
      </c>
    </row>
    <row r="190" customFormat="false" ht="41.75" hidden="false" customHeight="false" outlineLevel="0" collapsed="false">
      <c r="A190" s="38" t="s">
        <v>1606</v>
      </c>
      <c r="B190" s="38" t="s">
        <v>982</v>
      </c>
      <c r="C190" s="38" t="s">
        <v>1639</v>
      </c>
      <c r="D190" s="38" t="s">
        <v>1640</v>
      </c>
      <c r="E190" s="38" t="s">
        <v>1641</v>
      </c>
    </row>
    <row r="191" customFormat="false" ht="15" hidden="false" customHeight="false" outlineLevel="0" collapsed="false">
      <c r="A191" s="38" t="s">
        <v>1606</v>
      </c>
      <c r="B191" s="38" t="s">
        <v>983</v>
      </c>
      <c r="C191" s="38" t="s">
        <v>1508</v>
      </c>
      <c r="D191" s="38" t="s">
        <v>1642</v>
      </c>
      <c r="E191" s="38" t="s">
        <v>1641</v>
      </c>
    </row>
    <row r="192" customFormat="false" ht="15" hidden="false" customHeight="false" outlineLevel="0" collapsed="false">
      <c r="A192" s="38" t="s">
        <v>1606</v>
      </c>
      <c r="B192" s="38" t="s">
        <v>984</v>
      </c>
      <c r="C192" s="38" t="s">
        <v>1508</v>
      </c>
      <c r="D192" s="38" t="s">
        <v>1643</v>
      </c>
      <c r="E192" s="38" t="s">
        <v>1641</v>
      </c>
    </row>
    <row r="193" customFormat="false" ht="15" hidden="false" customHeight="false" outlineLevel="0" collapsed="false">
      <c r="A193" s="38" t="s">
        <v>1606</v>
      </c>
      <c r="B193" s="38" t="s">
        <v>985</v>
      </c>
      <c r="C193" s="38" t="s">
        <v>1508</v>
      </c>
      <c r="D193" s="38" t="s">
        <v>1644</v>
      </c>
      <c r="E193" s="38" t="s">
        <v>1641</v>
      </c>
    </row>
    <row r="194" customFormat="false" ht="41.75" hidden="false" customHeight="false" outlineLevel="0" collapsed="false">
      <c r="A194" s="38" t="s">
        <v>1606</v>
      </c>
      <c r="B194" s="38" t="s">
        <v>986</v>
      </c>
      <c r="C194" s="38" t="s">
        <v>1639</v>
      </c>
      <c r="D194" s="38" t="s">
        <v>1645</v>
      </c>
      <c r="E194" s="38" t="s">
        <v>1641</v>
      </c>
    </row>
    <row r="195" customFormat="false" ht="15" hidden="false" customHeight="false" outlineLevel="0" collapsed="false">
      <c r="A195" s="38" t="s">
        <v>1606</v>
      </c>
      <c r="B195" s="38" t="s">
        <v>987</v>
      </c>
      <c r="C195" s="38" t="s">
        <v>1508</v>
      </c>
      <c r="D195" s="38" t="s">
        <v>1646</v>
      </c>
      <c r="E195" s="38" t="s">
        <v>1641</v>
      </c>
    </row>
    <row r="196" customFormat="false" ht="15" hidden="false" customHeight="false" outlineLevel="0" collapsed="false">
      <c r="A196" s="38" t="s">
        <v>1606</v>
      </c>
      <c r="B196" s="38" t="s">
        <v>988</v>
      </c>
      <c r="C196" s="38" t="s">
        <v>1508</v>
      </c>
      <c r="D196" s="38" t="s">
        <v>1647</v>
      </c>
      <c r="E196" s="38" t="s">
        <v>1641</v>
      </c>
    </row>
    <row r="197" customFormat="false" ht="15" hidden="false" customHeight="false" outlineLevel="0" collapsed="false">
      <c r="A197" s="38" t="s">
        <v>1606</v>
      </c>
      <c r="B197" s="38" t="s">
        <v>989</v>
      </c>
      <c r="C197" s="38" t="s">
        <v>1519</v>
      </c>
      <c r="D197" s="38" t="s">
        <v>1648</v>
      </c>
      <c r="E197" s="38" t="s">
        <v>1649</v>
      </c>
    </row>
    <row r="198" customFormat="false" ht="28.35" hidden="false" customHeight="false" outlineLevel="0" collapsed="false">
      <c r="A198" s="38" t="s">
        <v>1606</v>
      </c>
      <c r="B198" s="38" t="s">
        <v>990</v>
      </c>
      <c r="C198" s="38" t="s">
        <v>1519</v>
      </c>
      <c r="D198" s="38" t="s">
        <v>1650</v>
      </c>
      <c r="E198" s="38" t="s">
        <v>1651</v>
      </c>
    </row>
    <row r="199" customFormat="false" ht="28.35" hidden="false" customHeight="false" outlineLevel="0" collapsed="false">
      <c r="A199" s="38" t="s">
        <v>1606</v>
      </c>
      <c r="B199" s="38" t="s">
        <v>991</v>
      </c>
      <c r="C199" s="38" t="s">
        <v>1519</v>
      </c>
      <c r="D199" s="38" t="s">
        <v>1652</v>
      </c>
      <c r="E199" s="38" t="s">
        <v>1653</v>
      </c>
    </row>
    <row r="200" customFormat="false" ht="28.35" hidden="false" customHeight="false" outlineLevel="0" collapsed="false">
      <c r="A200" s="38" t="s">
        <v>1606</v>
      </c>
      <c r="B200" s="38" t="s">
        <v>992</v>
      </c>
      <c r="C200" s="38" t="s">
        <v>1519</v>
      </c>
      <c r="D200" s="38" t="s">
        <v>1654</v>
      </c>
      <c r="E200" s="38" t="s">
        <v>1655</v>
      </c>
    </row>
    <row r="201" customFormat="false" ht="28.35" hidden="false" customHeight="false" outlineLevel="0" collapsed="false">
      <c r="A201" s="38" t="s">
        <v>1606</v>
      </c>
      <c r="B201" s="38" t="s">
        <v>993</v>
      </c>
      <c r="C201" s="38" t="s">
        <v>1519</v>
      </c>
      <c r="D201" s="38" t="s">
        <v>1656</v>
      </c>
      <c r="E201" s="38" t="s">
        <v>1657</v>
      </c>
    </row>
    <row r="202" customFormat="false" ht="15" hidden="false" customHeight="false" outlineLevel="0" collapsed="false">
      <c r="A202" s="38" t="s">
        <v>1606</v>
      </c>
      <c r="B202" s="38" t="s">
        <v>994</v>
      </c>
      <c r="C202" s="38" t="s">
        <v>1519</v>
      </c>
      <c r="D202" s="38" t="s">
        <v>1658</v>
      </c>
      <c r="E202" s="38" t="s">
        <v>1659</v>
      </c>
    </row>
    <row r="203" customFormat="false" ht="15" hidden="false" customHeight="false" outlineLevel="0" collapsed="false">
      <c r="A203" s="38" t="s">
        <v>1606</v>
      </c>
      <c r="B203" s="38" t="s">
        <v>995</v>
      </c>
      <c r="C203" s="38" t="s">
        <v>1519</v>
      </c>
      <c r="D203" s="38" t="s">
        <v>1660</v>
      </c>
      <c r="E203" s="38" t="s">
        <v>1661</v>
      </c>
    </row>
    <row r="204" customFormat="false" ht="28.35" hidden="false" customHeight="false" outlineLevel="0" collapsed="false">
      <c r="A204" s="38" t="s">
        <v>1606</v>
      </c>
      <c r="B204" s="38" t="s">
        <v>996</v>
      </c>
      <c r="C204" s="38" t="s">
        <v>1519</v>
      </c>
      <c r="D204" s="38" t="s">
        <v>1662</v>
      </c>
      <c r="E204" s="38" t="s">
        <v>1663</v>
      </c>
    </row>
    <row r="205" customFormat="false" ht="15" hidden="false" customHeight="false" outlineLevel="0" collapsed="false">
      <c r="A205" s="38" t="s">
        <v>1606</v>
      </c>
      <c r="B205" s="38" t="s">
        <v>997</v>
      </c>
      <c r="C205" s="38" t="s">
        <v>1037</v>
      </c>
      <c r="D205" s="38" t="s">
        <v>1664</v>
      </c>
      <c r="E205" s="38" t="s">
        <v>1665</v>
      </c>
    </row>
    <row r="206" customFormat="false" ht="15" hidden="false" customHeight="false" outlineLevel="0" collapsed="false">
      <c r="A206" s="38" t="s">
        <v>1606</v>
      </c>
      <c r="B206" s="38" t="s">
        <v>998</v>
      </c>
      <c r="C206" s="38" t="s">
        <v>1508</v>
      </c>
      <c r="D206" s="38" t="s">
        <v>1666</v>
      </c>
      <c r="E206" s="38" t="s">
        <v>1665</v>
      </c>
    </row>
    <row r="207" customFormat="false" ht="15" hidden="false" customHeight="false" outlineLevel="0" collapsed="false">
      <c r="A207" s="38" t="s">
        <v>1606</v>
      </c>
      <c r="B207" s="38" t="s">
        <v>999</v>
      </c>
      <c r="C207" s="38" t="s">
        <v>1506</v>
      </c>
      <c r="D207" s="38" t="s">
        <v>1667</v>
      </c>
      <c r="E207" s="38" t="s">
        <v>1600</v>
      </c>
    </row>
    <row r="208" customFormat="false" ht="15" hidden="false" customHeight="false" outlineLevel="0" collapsed="false">
      <c r="A208" s="38" t="s">
        <v>1606</v>
      </c>
      <c r="B208" s="38" t="s">
        <v>1000</v>
      </c>
      <c r="C208" s="38" t="s">
        <v>1508</v>
      </c>
      <c r="D208" s="38" t="s">
        <v>1668</v>
      </c>
      <c r="E208" s="38" t="s">
        <v>1600</v>
      </c>
    </row>
    <row r="209" customFormat="false" ht="15" hidden="false" customHeight="false" outlineLevel="0" collapsed="false">
      <c r="A209" s="38" t="s">
        <v>1606</v>
      </c>
      <c r="B209" s="38" t="s">
        <v>1001</v>
      </c>
      <c r="C209" s="38" t="s">
        <v>1508</v>
      </c>
      <c r="D209" s="38" t="s">
        <v>1669</v>
      </c>
      <c r="E209" s="38" t="s">
        <v>1600</v>
      </c>
    </row>
    <row r="210" customFormat="false" ht="15" hidden="false" customHeight="false" outlineLevel="0" collapsed="false">
      <c r="A210" s="38" t="s">
        <v>1606</v>
      </c>
      <c r="B210" s="38" t="s">
        <v>1002</v>
      </c>
      <c r="C210" s="38" t="s">
        <v>1508</v>
      </c>
      <c r="D210" s="38" t="s">
        <v>1670</v>
      </c>
      <c r="E210" s="38" t="s">
        <v>1600</v>
      </c>
    </row>
    <row r="211" customFormat="false" ht="15" hidden="false" customHeight="false" outlineLevel="0" collapsed="false">
      <c r="A211" s="38" t="s">
        <v>1606</v>
      </c>
      <c r="B211" s="38" t="s">
        <v>1003</v>
      </c>
      <c r="C211" s="38" t="s">
        <v>1508</v>
      </c>
      <c r="D211" s="38" t="s">
        <v>1671</v>
      </c>
      <c r="E211" s="38" t="s">
        <v>1672</v>
      </c>
    </row>
    <row r="212" customFormat="false" ht="15" hidden="false" customHeight="false" outlineLevel="0" collapsed="false">
      <c r="A212" s="38" t="s">
        <v>1673</v>
      </c>
      <c r="B212" s="38" t="s">
        <v>1037</v>
      </c>
      <c r="C212" s="38" t="s">
        <v>1037</v>
      </c>
      <c r="D212" s="38" t="s">
        <v>1674</v>
      </c>
      <c r="E212" s="38" t="s">
        <v>1675</v>
      </c>
    </row>
    <row r="213" customFormat="false" ht="15" hidden="false" customHeight="false" outlineLevel="0" collapsed="false">
      <c r="A213" s="38" t="s">
        <v>1673</v>
      </c>
      <c r="B213" s="38" t="s">
        <v>1038</v>
      </c>
      <c r="C213" s="38" t="s">
        <v>1676</v>
      </c>
      <c r="D213" s="38" t="s">
        <v>1677</v>
      </c>
      <c r="E213" s="38" t="s">
        <v>1678</v>
      </c>
    </row>
    <row r="214" customFormat="false" ht="15" hidden="false" customHeight="false" outlineLevel="0" collapsed="false">
      <c r="A214" s="38" t="s">
        <v>1673</v>
      </c>
      <c r="B214" s="38" t="s">
        <v>878</v>
      </c>
      <c r="C214" s="38" t="s">
        <v>1506</v>
      </c>
      <c r="D214" s="38" t="s">
        <v>1679</v>
      </c>
      <c r="E214" s="38" t="s">
        <v>1680</v>
      </c>
    </row>
    <row r="215" customFormat="false" ht="15" hidden="false" customHeight="false" outlineLevel="0" collapsed="false">
      <c r="A215" s="38" t="s">
        <v>1673</v>
      </c>
      <c r="B215" s="38" t="s">
        <v>1039</v>
      </c>
      <c r="C215" s="38" t="s">
        <v>1508</v>
      </c>
      <c r="D215" s="38" t="s">
        <v>1681</v>
      </c>
      <c r="E215" s="38" t="s">
        <v>1682</v>
      </c>
    </row>
    <row r="216" customFormat="false" ht="28.35" hidden="false" customHeight="false" outlineLevel="0" collapsed="false">
      <c r="A216" s="38" t="s">
        <v>1673</v>
      </c>
      <c r="B216" s="38" t="s">
        <v>1040</v>
      </c>
      <c r="C216" s="38" t="s">
        <v>1683</v>
      </c>
      <c r="D216" s="38" t="s">
        <v>1684</v>
      </c>
      <c r="E216" s="38" t="s">
        <v>1685</v>
      </c>
    </row>
    <row r="217" customFormat="false" ht="15" hidden="false" customHeight="false" outlineLevel="0" collapsed="false">
      <c r="A217" s="38" t="s">
        <v>1673</v>
      </c>
      <c r="B217" s="38" t="s">
        <v>1041</v>
      </c>
      <c r="C217" s="38" t="s">
        <v>1521</v>
      </c>
      <c r="D217" s="38" t="s">
        <v>1686</v>
      </c>
      <c r="E217" s="38" t="s">
        <v>1687</v>
      </c>
    </row>
    <row r="218" customFormat="false" ht="15" hidden="false" customHeight="false" outlineLevel="0" collapsed="false">
      <c r="A218" s="38" t="s">
        <v>1673</v>
      </c>
      <c r="B218" s="38" t="s">
        <v>1042</v>
      </c>
      <c r="C218" s="38" t="s">
        <v>1508</v>
      </c>
      <c r="D218" s="38" t="s">
        <v>1688</v>
      </c>
      <c r="E218" s="38" t="s">
        <v>1689</v>
      </c>
    </row>
    <row r="219" customFormat="false" ht="15" hidden="false" customHeight="false" outlineLevel="0" collapsed="false">
      <c r="A219" s="38" t="s">
        <v>1673</v>
      </c>
      <c r="B219" s="38" t="s">
        <v>349</v>
      </c>
      <c r="C219" s="38" t="s">
        <v>1508</v>
      </c>
      <c r="D219" s="38" t="s">
        <v>823</v>
      </c>
      <c r="E219" s="38" t="s">
        <v>1690</v>
      </c>
    </row>
    <row r="220" customFormat="false" ht="15" hidden="false" customHeight="false" outlineLevel="0" collapsed="false">
      <c r="A220" s="38" t="s">
        <v>1691</v>
      </c>
      <c r="B220" s="38" t="s">
        <v>1037</v>
      </c>
      <c r="C220" s="38" t="s">
        <v>1037</v>
      </c>
      <c r="D220" s="38" t="s">
        <v>1674</v>
      </c>
      <c r="E220" s="38" t="s">
        <v>1692</v>
      </c>
    </row>
    <row r="221" customFormat="false" ht="15" hidden="false" customHeight="false" outlineLevel="0" collapsed="false">
      <c r="A221" s="38" t="s">
        <v>1691</v>
      </c>
      <c r="B221" s="38" t="s">
        <v>1038</v>
      </c>
      <c r="C221" s="38" t="s">
        <v>1508</v>
      </c>
      <c r="D221" s="38" t="s">
        <v>1677</v>
      </c>
      <c r="E221" s="38" t="s">
        <v>1692</v>
      </c>
    </row>
    <row r="222" customFormat="false" ht="41.75" hidden="false" customHeight="false" outlineLevel="0" collapsed="false">
      <c r="A222" s="38" t="s">
        <v>1691</v>
      </c>
      <c r="B222" s="38" t="s">
        <v>1346</v>
      </c>
      <c r="C222" s="38" t="s">
        <v>1508</v>
      </c>
      <c r="D222" s="38" t="s">
        <v>1693</v>
      </c>
      <c r="E222" s="38" t="s">
        <v>1694</v>
      </c>
    </row>
    <row r="223" customFormat="false" ht="15" hidden="false" customHeight="false" outlineLevel="0" collapsed="false">
      <c r="A223" s="38" t="s">
        <v>1691</v>
      </c>
      <c r="B223" s="38" t="s">
        <v>1039</v>
      </c>
      <c r="C223" s="38" t="s">
        <v>1508</v>
      </c>
      <c r="D223" s="38" t="s">
        <v>1681</v>
      </c>
      <c r="E223" s="38" t="s">
        <v>1692</v>
      </c>
    </row>
    <row r="224" customFormat="false" ht="41.75" hidden="false" customHeight="false" outlineLevel="0" collapsed="false">
      <c r="A224" s="38" t="s">
        <v>1691</v>
      </c>
      <c r="B224" s="38" t="s">
        <v>1040</v>
      </c>
      <c r="C224" s="38" t="s">
        <v>1508</v>
      </c>
      <c r="D224" s="38" t="s">
        <v>1695</v>
      </c>
      <c r="E224" s="38" t="s">
        <v>1692</v>
      </c>
    </row>
    <row r="225" customFormat="false" ht="28.35" hidden="false" customHeight="false" outlineLevel="0" collapsed="false">
      <c r="A225" s="38" t="s">
        <v>1691</v>
      </c>
      <c r="B225" s="38" t="s">
        <v>1041</v>
      </c>
      <c r="C225" s="38" t="s">
        <v>1521</v>
      </c>
      <c r="D225" s="38" t="s">
        <v>1696</v>
      </c>
      <c r="E225" s="38" t="s">
        <v>1692</v>
      </c>
    </row>
    <row r="226" customFormat="false" ht="15" hidden="false" customHeight="false" outlineLevel="0" collapsed="false">
      <c r="A226" s="38" t="s">
        <v>1691</v>
      </c>
      <c r="B226" s="38" t="s">
        <v>1042</v>
      </c>
      <c r="C226" s="38" t="s">
        <v>1508</v>
      </c>
      <c r="D226" s="38" t="s">
        <v>1697</v>
      </c>
      <c r="E226" s="38" t="s">
        <v>1692</v>
      </c>
    </row>
    <row r="227" customFormat="false" ht="15" hidden="false" customHeight="false" outlineLevel="0" collapsed="false">
      <c r="A227" s="38" t="s">
        <v>1691</v>
      </c>
      <c r="B227" s="38" t="s">
        <v>605</v>
      </c>
      <c r="C227" s="38" t="s">
        <v>1698</v>
      </c>
      <c r="D227" s="38" t="s">
        <v>1699</v>
      </c>
      <c r="E227" s="38" t="s">
        <v>1692</v>
      </c>
    </row>
    <row r="228" customFormat="false" ht="28.35" hidden="false" customHeight="false" outlineLevel="0" collapsed="false">
      <c r="A228" s="38" t="s">
        <v>1691</v>
      </c>
      <c r="B228" s="38" t="s">
        <v>349</v>
      </c>
      <c r="C228" s="38" t="s">
        <v>1508</v>
      </c>
      <c r="D228" s="38" t="s">
        <v>1700</v>
      </c>
      <c r="E228" s="38" t="s">
        <v>1692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8"/>
    <col collapsed="false" customWidth="true" hidden="false" outlineLevel="0" max="3" min="3" style="0" width="60"/>
    <col collapsed="false" customWidth="true" hidden="false" outlineLevel="0" max="4" min="4" style="0" width="44"/>
    <col collapsed="false" customWidth="true" hidden="false" outlineLevel="0" max="5" min="5" style="0" width="60"/>
  </cols>
  <sheetData>
    <row r="1" customFormat="false" ht="15" hidden="false" customHeight="false" outlineLevel="0" collapsed="false">
      <c r="A1" s="37" t="s">
        <v>1701</v>
      </c>
    </row>
    <row r="2" customFormat="false" ht="15" hidden="false" customHeight="false" outlineLevel="0" collapsed="false">
      <c r="A2" s="8" t="s">
        <v>1501</v>
      </c>
      <c r="B2" s="8" t="s">
        <v>1502</v>
      </c>
      <c r="C2" s="8" t="s">
        <v>1702</v>
      </c>
      <c r="D2" s="8" t="s">
        <v>1703</v>
      </c>
      <c r="E2" s="8" t="s">
        <v>1704</v>
      </c>
    </row>
    <row r="3" customFormat="false" ht="28.35" hidden="false" customHeight="false" outlineLevel="0" collapsed="false">
      <c r="A3" s="38" t="s">
        <v>1067</v>
      </c>
      <c r="B3" s="38" t="s">
        <v>1508</v>
      </c>
      <c r="C3" s="38" t="s">
        <v>1705</v>
      </c>
      <c r="D3" s="38" t="s">
        <v>1706</v>
      </c>
      <c r="E3" s="38" t="s">
        <v>1707</v>
      </c>
    </row>
    <row r="4" customFormat="false" ht="28.35" hidden="false" customHeight="false" outlineLevel="0" collapsed="false">
      <c r="A4" s="38" t="s">
        <v>1066</v>
      </c>
      <c r="B4" s="38" t="s">
        <v>1037</v>
      </c>
      <c r="C4" s="38" t="s">
        <v>1708</v>
      </c>
      <c r="D4" s="38" t="s">
        <v>1709</v>
      </c>
      <c r="E4" s="38" t="s">
        <v>1710</v>
      </c>
    </row>
    <row r="5" customFormat="false" ht="15" hidden="false" customHeight="false" outlineLevel="0" collapsed="false">
      <c r="A5" s="38" t="s">
        <v>1068</v>
      </c>
      <c r="B5" s="38" t="s">
        <v>1037</v>
      </c>
      <c r="C5" s="38" t="s">
        <v>1708</v>
      </c>
      <c r="D5" s="38" t="s">
        <v>1711</v>
      </c>
      <c r="E5" s="38" t="s">
        <v>1712</v>
      </c>
    </row>
    <row r="6" customFormat="false" ht="15" hidden="false" customHeight="false" outlineLevel="0" collapsed="false">
      <c r="A6" s="38" t="s">
        <v>1069</v>
      </c>
      <c r="B6" s="38" t="s">
        <v>1037</v>
      </c>
      <c r="C6" s="38" t="s">
        <v>1708</v>
      </c>
      <c r="D6" s="38" t="s">
        <v>1713</v>
      </c>
      <c r="E6" s="38" t="s">
        <v>1714</v>
      </c>
    </row>
    <row r="7" customFormat="false" ht="15" hidden="false" customHeight="false" outlineLevel="0" collapsed="false">
      <c r="A7" s="38" t="s">
        <v>1070</v>
      </c>
      <c r="B7" s="38" t="s">
        <v>1037</v>
      </c>
      <c r="C7" s="38" t="s">
        <v>1708</v>
      </c>
      <c r="D7" s="38" t="s">
        <v>1715</v>
      </c>
      <c r="E7" s="38" t="s">
        <v>1716</v>
      </c>
    </row>
    <row r="8" customFormat="false" ht="41.75" hidden="false" customHeight="false" outlineLevel="0" collapsed="false">
      <c r="A8" s="38" t="s">
        <v>1071</v>
      </c>
      <c r="B8" s="38" t="s">
        <v>1717</v>
      </c>
      <c r="C8" s="38" t="s">
        <v>1718</v>
      </c>
      <c r="D8" s="38" t="s">
        <v>1719</v>
      </c>
      <c r="E8" s="38" t="s">
        <v>1720</v>
      </c>
    </row>
    <row r="9" customFormat="false" ht="28.35" hidden="false" customHeight="false" outlineLevel="0" collapsed="false">
      <c r="A9" s="38" t="s">
        <v>307</v>
      </c>
      <c r="B9" s="38" t="s">
        <v>1037</v>
      </c>
      <c r="C9" s="38" t="s">
        <v>1708</v>
      </c>
      <c r="D9" s="38" t="s">
        <v>1721</v>
      </c>
      <c r="E9" s="38" t="s">
        <v>1722</v>
      </c>
    </row>
    <row r="10" customFormat="false" ht="15" hidden="false" customHeight="false" outlineLevel="0" collapsed="false">
      <c r="A10" s="38" t="s">
        <v>1072</v>
      </c>
      <c r="B10" s="38" t="s">
        <v>1508</v>
      </c>
      <c r="C10" s="38" t="s">
        <v>1723</v>
      </c>
      <c r="D10" s="38" t="s">
        <v>1724</v>
      </c>
      <c r="E10" s="38" t="s">
        <v>1725</v>
      </c>
    </row>
    <row r="11" customFormat="false" ht="41.75" hidden="false" customHeight="false" outlineLevel="0" collapsed="false">
      <c r="A11" s="38" t="s">
        <v>343</v>
      </c>
      <c r="B11" s="38" t="s">
        <v>1698</v>
      </c>
      <c r="C11" s="38" t="s">
        <v>1726</v>
      </c>
      <c r="D11" s="38" t="s">
        <v>1727</v>
      </c>
      <c r="E11" s="38" t="s">
        <v>1728</v>
      </c>
    </row>
    <row r="12" customFormat="false" ht="55.2" hidden="false" customHeight="false" outlineLevel="0" collapsed="false">
      <c r="A12" s="38" t="s">
        <v>1073</v>
      </c>
      <c r="B12" s="38" t="s">
        <v>1717</v>
      </c>
      <c r="C12" s="38" t="s">
        <v>1729</v>
      </c>
      <c r="D12" s="38" t="s">
        <v>1730</v>
      </c>
      <c r="E12" s="38" t="s">
        <v>1731</v>
      </c>
    </row>
    <row r="13" customFormat="false" ht="15" hidden="false" customHeight="false" outlineLevel="0" collapsed="false">
      <c r="A13" s="38" t="s">
        <v>1074</v>
      </c>
      <c r="B13" s="38" t="s">
        <v>1037</v>
      </c>
      <c r="C13" s="38" t="s">
        <v>1708</v>
      </c>
      <c r="D13" s="38" t="s">
        <v>1732</v>
      </c>
      <c r="E13" s="38" t="s">
        <v>1733</v>
      </c>
    </row>
    <row r="14" customFormat="false" ht="28.35" hidden="false" customHeight="false" outlineLevel="0" collapsed="false">
      <c r="A14" s="38" t="s">
        <v>1075</v>
      </c>
      <c r="B14" s="38" t="s">
        <v>1037</v>
      </c>
      <c r="C14" s="38" t="s">
        <v>1708</v>
      </c>
      <c r="D14" s="38" t="s">
        <v>1734</v>
      </c>
      <c r="E14" s="38" t="s">
        <v>1735</v>
      </c>
    </row>
    <row r="15" customFormat="false" ht="15" hidden="false" customHeight="false" outlineLevel="0" collapsed="false">
      <c r="A15" s="38" t="s">
        <v>1076</v>
      </c>
      <c r="B15" s="38" t="s">
        <v>1508</v>
      </c>
      <c r="C15" s="38" t="s">
        <v>1736</v>
      </c>
      <c r="D15" s="38" t="s">
        <v>1737</v>
      </c>
      <c r="E15" s="38" t="s">
        <v>1738</v>
      </c>
    </row>
    <row r="17" customFormat="false" ht="15" hidden="false" customHeight="false" outlineLevel="0" collapsed="false">
      <c r="A17" s="7" t="s">
        <v>1739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2026-10-24T10:15:12Z</dcterms:created>
  <dc:creator>openpyxl</dc:creator>
  <dc:description/>
  <dc:language>en-US</dc:language>
  <cp:lastModifiedBy/>
  <dcterms:modified xsi:type="dcterms:W3CDTF">2026-10-24T10:15:13Z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